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邮件流程目录" sheetId="1" r:id="rId5"/>
    <sheet state="visible" name="2、通用邮件模板" sheetId="2" r:id="rId6"/>
    <sheet state="visible" name="3、结尾&amp;落款" sheetId="3" r:id="rId7"/>
    <sheet state="visible" name="补偿规则" sheetId="4" r:id="rId8"/>
    <sheet state="visible" name="4、长版whats new" sheetId="5" r:id="rId9"/>
    <sheet state="visible" name="5、短版whats new" sheetId="6" r:id="rId10"/>
    <sheet state="visible" name="6、更新前预告邮件" sheetId="7" r:id="rId11"/>
    <sheet state="visible" name="7、更新前平衡性调整邮件" sheetId="8" r:id="rId12"/>
    <sheet state="visible" name="8、更新公告（暂时不用）" sheetId="9" r:id="rId13"/>
    <sheet state="visible" name="9、更新后补偿邮件" sheetId="10" r:id="rId14"/>
    <sheet state="visible" name="工具表多语言导入工具" sheetId="11" r:id="rId15"/>
    <sheet state="visible" name="邮件文本批量生成" sheetId="12" r:id="rId16"/>
    <sheet state="visible" name="ITEM引用" sheetId="13" r:id="rId17"/>
    <sheet state="visible" name="solider引用" sheetId="14" r:id="rId18"/>
    <sheet state="visible" name="RSS引用" sheetId="15" r:id="rId19"/>
  </sheets>
  <definedNames/>
  <calcPr/>
</workbook>
</file>

<file path=xl/sharedStrings.xml><?xml version="1.0" encoding="utf-8"?>
<sst xmlns="http://schemas.openxmlformats.org/spreadsheetml/2006/main" count="1616" uniqueCount="1356">
  <si>
    <t>运营邮件流程</t>
  </si>
  <si>
    <r>
      <rPr>
        <rFont val="Arial"/>
        <b/>
        <color rgb="FF000000"/>
        <sz val="12.0"/>
      </rPr>
      <t>1.</t>
    </r>
    <r>
      <rPr>
        <rFont val="Arial"/>
        <b/>
        <color rgb="FFFF0000"/>
        <sz val="12.0"/>
      </rPr>
      <t>通用邮件</t>
    </r>
    <r>
      <rPr>
        <rFont val="Arial"/>
        <b/>
        <color rgb="FF000000"/>
        <sz val="12.0"/>
      </rPr>
      <t>中寻找是否有合适的邮件可以复用</t>
    </r>
  </si>
  <si>
    <r>
      <rPr>
        <rFont val="Arial"/>
        <b/>
        <color rgb="FF000000"/>
        <sz val="12.0"/>
      </rPr>
      <t>2.若无通用模板可以使用，选择合适的</t>
    </r>
    <r>
      <rPr>
        <rFont val="Arial"/>
        <b/>
        <color rgb="FFFF0000"/>
        <sz val="12.0"/>
      </rPr>
      <t>结尾</t>
    </r>
    <r>
      <rPr>
        <rFont val="Arial"/>
        <b/>
        <color rgb="FF000000"/>
        <sz val="12.0"/>
      </rPr>
      <t>，本地化回来之后使用</t>
    </r>
    <r>
      <rPr>
        <rFont val="Arial"/>
        <b/>
        <color rgb="FFFF0000"/>
        <sz val="12.0"/>
      </rPr>
      <t>邮件生成表</t>
    </r>
    <r>
      <rPr>
        <rFont val="Arial"/>
        <b/>
        <color rgb="FF000000"/>
        <sz val="12.0"/>
      </rPr>
      <t>生成完整邮件发送即可</t>
    </r>
  </si>
  <si>
    <t>通用邮件目录</t>
  </si>
  <si>
    <t>版本更新</t>
  </si>
  <si>
    <t>更新后补偿</t>
  </si>
  <si>
    <t>账号封禁</t>
  </si>
  <si>
    <t>不正当游戏封号</t>
  </si>
  <si>
    <t>开服合服</t>
  </si>
  <si>
    <t>开新服</t>
  </si>
  <si>
    <t>延迟更新公告</t>
  </si>
  <si>
    <t>非法获得宝石道具封号</t>
  </si>
  <si>
    <t>合服公告</t>
  </si>
  <si>
    <t>发布广告封号</t>
  </si>
  <si>
    <t>合服补偿</t>
  </si>
  <si>
    <t>服务器维护</t>
  </si>
  <si>
    <t>临时维护</t>
  </si>
  <si>
    <t>恶意获利封号</t>
  </si>
  <si>
    <t>维护超时</t>
  </si>
  <si>
    <t>恶意刷资源被处理</t>
  </si>
  <si>
    <t>恶意增加战力被处理</t>
  </si>
  <si>
    <t>更新调整</t>
  </si>
  <si>
    <t>英雄平衡性调整补偿</t>
  </si>
  <si>
    <t>问卷调查</t>
  </si>
  <si>
    <t>问卷发放</t>
  </si>
  <si>
    <t>举报类BUG（利用游戏漏洞获利）奖励</t>
  </si>
  <si>
    <t>数值平衡性调整补偿</t>
  </si>
  <si>
    <t>问卷调查奖励</t>
  </si>
  <si>
    <t>体验类BUG（影响玩家体验）奖励</t>
  </si>
  <si>
    <t>平衡性调整说明</t>
  </si>
  <si>
    <t>全服表扬</t>
  </si>
  <si>
    <t>故障问题</t>
  </si>
  <si>
    <t>问题已解决</t>
  </si>
  <si>
    <r>
      <rPr>
        <color rgb="FF1155CC"/>
        <sz val="11.0"/>
        <u/>
      </rPr>
      <t>活动相关
更新至202</t>
    </r>
    <r>
      <rPr>
        <color rgb="FF000000"/>
        <sz val="11.0"/>
        <u/>
      </rPr>
      <t>1.8.13</t>
    </r>
  </si>
  <si>
    <t>决战卫星之巅开启</t>
  </si>
  <si>
    <t>数据异常</t>
  </si>
  <si>
    <r>
      <rPr>
        <rFont val="Arial"/>
        <color theme="1"/>
        <sz val="11.0"/>
      </rPr>
      <t>狂飙拉力赛任务无法完成</t>
    </r>
    <r>
      <rPr>
        <rFont val="Arial"/>
        <color theme="1"/>
        <sz val="11.0"/>
      </rPr>
      <t>问题已解决</t>
    </r>
  </si>
  <si>
    <t>游戏卡顿</t>
  </si>
  <si>
    <t>怒气值异常问题修复</t>
  </si>
  <si>
    <t>部队丢失</t>
  </si>
  <si>
    <t>决战卫星之巅奖励丢失</t>
  </si>
  <si>
    <t>部队丢失修复</t>
  </si>
  <si>
    <t xml:space="preserve">决战卫星之巅时间调整
</t>
  </si>
  <si>
    <t>活动排名异常修复</t>
  </si>
  <si>
    <t>地图改动补偿</t>
  </si>
  <si>
    <t>邮件回档</t>
  </si>
  <si>
    <t>新版本问题已修复</t>
  </si>
  <si>
    <t>奖励补发</t>
  </si>
  <si>
    <t>活动异常下线</t>
  </si>
  <si>
    <t>问卷公告</t>
  </si>
  <si>
    <r>
      <rPr>
        <rFont val="Arial"/>
        <b val="0"/>
        <color rgb="FFFFFFFF"/>
        <sz val="10.0"/>
      </rPr>
      <t>文本显色规则：</t>
    </r>
    <r>
      <rPr>
        <rFont val="Arial"/>
        <b/>
        <color rgb="FFFFFFFF"/>
        <sz val="10.0"/>
      </rPr>
      <t xml:space="preserve">
</t>
    </r>
    <r>
      <rPr>
        <rFont val="Arial"/>
        <b/>
        <color rgb="FF00FF00"/>
        <sz val="10.0"/>
      </rPr>
      <t>绿色：</t>
    </r>
    <r>
      <rPr>
        <rFont val="Arial"/>
        <b val="0"/>
        <color rgb="FFFFFFFF"/>
        <sz val="10.0"/>
      </rPr>
      <t>邮件里带跳转功能的</t>
    </r>
    <r>
      <rPr>
        <rFont val="Arial"/>
        <b val="0"/>
        <color rgb="FF00FF00"/>
        <sz val="10.0"/>
      </rPr>
      <t>超链接</t>
    </r>
    <r>
      <rPr>
        <rFont val="Arial"/>
        <b val="0"/>
        <color rgb="FFFFFFFF"/>
        <sz val="10.0"/>
      </rPr>
      <t xml:space="preserve">
</t>
    </r>
    <r>
      <rPr>
        <rFont val="Arial"/>
        <b val="0"/>
        <color rgb="FFFFA200"/>
        <sz val="10.0"/>
      </rPr>
      <t>黄色：</t>
    </r>
    <r>
      <rPr>
        <rFont val="Arial"/>
        <b val="0"/>
        <color rgb="FFFFFFFF"/>
        <sz val="10.0"/>
      </rPr>
      <t>除超链接以外的重点信息，例如 将在</t>
    </r>
    <r>
      <rPr>
        <rFont val="Arial"/>
        <b val="0"/>
        <color rgb="FFFFA200"/>
        <sz val="10.0"/>
      </rPr>
      <t>10分钟</t>
    </r>
    <r>
      <rPr>
        <rFont val="Arial"/>
        <b val="0"/>
        <color rgb="FFFFFFFF"/>
        <sz val="10.0"/>
      </rPr>
      <t>后维护，本次更新将</t>
    </r>
    <r>
      <rPr>
        <rFont val="Arial"/>
        <b val="0"/>
        <color rgb="FFFFA200"/>
        <sz val="10.0"/>
      </rPr>
      <t>重置</t>
    </r>
    <r>
      <rPr>
        <rFont val="Arial"/>
        <b val="0"/>
        <color rgb="FFFFFFFF"/>
        <sz val="10.0"/>
      </rPr>
      <t>您的主城位置</t>
    </r>
  </si>
  <si>
    <t>使用场景</t>
  </si>
  <si>
    <t>cn</t>
  </si>
  <si>
    <t>en-loc</t>
  </si>
  <si>
    <t>fr</t>
  </si>
  <si>
    <t>de</t>
  </si>
  <si>
    <t>po</t>
  </si>
  <si>
    <t>zh</t>
  </si>
  <si>
    <t>id</t>
  </si>
  <si>
    <t>th</t>
  </si>
  <si>
    <t>sp</t>
  </si>
  <si>
    <t>ru</t>
  </si>
  <si>
    <t>tr</t>
  </si>
  <si>
    <t>vi</t>
  </si>
  <si>
    <t>it</t>
  </si>
  <si>
    <t>pl</t>
  </si>
  <si>
    <t>版本更新礼物</t>
  </si>
  <si>
    <t>Version Update Reward</t>
  </si>
  <si>
    <t>Récompense pour la mise à jour</t>
  </si>
  <si>
    <t>Versions-Update-Belohnung</t>
  </si>
  <si>
    <t>Recompensa de Atualização</t>
  </si>
  <si>
    <t>版本更新禮物</t>
  </si>
  <si>
    <t>Hadiah Pembaruan Versi</t>
  </si>
  <si>
    <t>รางวัลการอัปเดตเวอร์ชัน</t>
  </si>
  <si>
    <t>Recompensa por actualización de versión</t>
  </si>
  <si>
    <t>Награда за обновление версии</t>
  </si>
  <si>
    <t>Sürüm Güncelleme Ödülü</t>
  </si>
  <si>
    <t>Phần thưởng cập nhật phiên bản</t>
  </si>
  <si>
    <r>
      <rPr>
        <rFont val="Arial"/>
        <color theme="1"/>
      </rPr>
      <t>亲爱的指挥官：\n\n感谢您的更新，在此我们送上一份更新礼物，祝您玩得开心！\n\n我们会继续关注大家的反馈和建议，通过持续优化提升游戏品质，给您带来更好的游戏体验。\n\n欢迎大家通过Discord官方社区或游戏内客服服务和我们积极沟通。\n</t>
    </r>
    <r>
      <rPr>
        <rFont val="Arial"/>
        <color rgb="FF00FF00"/>
      </rPr>
      <t>[-1#Official Discord](herf=https://discord.gg/RncnPNw)</t>
    </r>
    <r>
      <rPr>
        <rFont val="Arial"/>
        <color theme="1"/>
      </rPr>
      <t>\n\n罗杰副官</t>
    </r>
  </si>
  <si>
    <t>Dear Captain,\n\nThanks for updating! We've included a small update reward for you. Happy gaming!\n\nWe will continue to listen to your feedback and keep optimizing to bring you a better gaming experience.\n\nPlease don't hesitate to get in touch with us via Discord or the in-game customer support. [-1#Official Discord](herf=https://discord.gg/RncnPNw)\n\nDeputy Roger</t>
  </si>
  <si>
    <t xml:space="preserve"> </t>
  </si>
  <si>
    <t>Lieber Captain,\n\nvielen Dank, dass du das Update durchgeführt hast! Wir haben eine kleine Update-Belohnung für dich beigefügt. Viel Spaß beim Spielen!\n\nWir werden auch in Zukunft auf dein Feedback hören und das Spiel weiter optimieren, um dir ein noch besseres Spielerlebnis zu bieten.\n\nBitte zögere nicht, mit uns über Discord oder den Ingame-Kundensupport in Kontakt zu treten. [-1#Offizieller Discord](herf=https://discord.gg/RncnPNw)\n\nAdjudant Roger</t>
  </si>
  <si>
    <t>Caro Capitão,\n\nAgradecemos por fazer a atualização! Incluímos uma pequena recompensa de atualização para você. Bons jogos!\n\nContinuaremos a ouvir seu feedback, mantendo assim a experiência de jogo otimizada.\n\nNão deixe de entrar em contato conosco no Discord ou no suporte ao cliente dentro do jogo. [-1#Discord Oficial](herf=https://discord.gg/RncnPNw)\n\nDelegado Roger</t>
  </si>
  <si>
    <t>親愛的指揮官：\n\n感謝您的更新，在此我們送上一份更新禮物，祝您玩得開心！\n\n我們會繼續關注大家的反饋和建議，通過持續優化提升遊戲品質，給您帶來更好的遊戲體驗。\n\n歡迎大家通過Discord官方社區或遊戲內客服服務和我們積極溝通。\n[-1#Official Discord](herf=https://discord.gg/RncnPNw)\n\n羅傑副官</t>
  </si>
  <si>
    <t>Kapten yang terhormat,\n\nTerima kasih telah melakukan pembaruan! Kami telah menyertakan hadiah pembaruan kecil untukmu. Selamat bermain game!\n\nKami akan terus mendengarkan umpan balikmu dan terus mengoptimalkan untuk memberikan pengalaman bermain game yang lebih baik.\n\nJangan ragu untuk menghubungi kami melalui Discord atau dukungan pelanggan dalam game. [-1#Official Discord](herf=https://discord.gg/RncnPNw)\n\nDeputi Roger</t>
  </si>
  <si>
    <t>ถึงท่านผู้บัญชาการ\n\nขอบคุณสำหรับการอัปเดต! เราเลยขอมอบของรางวัลการอัปเดตชิ้นเล็ก ๆ นี้ให้ ขอให้มีความสุขในการเล่นเกมนะ!\n\nเราพร้อมรับฟังความคิดเห็นของนายและปรับปรุงอย่างต่อเนื่องเพื่อนำเสนอประสบการณ์การเล่นเกมที่ดียิ่ง ๆ ขึ้นไป\n\nโปรดอย่าลังเลที่จะติดต่อเราผ่านทาง Discord หรือฝ่ายสนับสนุนลูกค้าในเกม [-1#Official Discord](herf=https://discord.gg/RncnPNw)\n\nท่านรองโรเจอร์</t>
  </si>
  <si>
    <t>Querido Capitán,\n\n¡Gracias por actualizar! ¡Hemos incluido una pequeña recompensa por actualización para ti! Felices juegos. \n\nContinuaremos escuchando tus comentarios y nos mantendremos optimizando para traerte una mejor experiencia de juego.\n\nPor favor, no dudes en ponerte en contacto con nosotros mediante Discord o a través del soporte al cliente del juego. [-1#Discord Oficial](herf=https://discord.gg/RncnPNw)\n\nComisario Roger</t>
  </si>
  <si>
    <t>Уважаемый капитан!\n\nСпасибо, что обновляете игру! Мы отправляем вам небольшую награду за обновление. Счастливой игры!\n\nМы продолжим изучать ваши отзывы и оптимизировать качество игры, чтобы оставить у вас наилучшие впечатления.\n\nВы в любой момент можете написать нам в Discord или в игровую службу поддержки. [-1#Сервер Discord](herf=https://discord.gg/RncnPNw)\n\nПомощник Роджер</t>
  </si>
  <si>
    <t>Sevgili Kaptan,\n\nGüncellediğin için teşekkürler! Senin için küçük bir güncelleme ödülümüz var. Mutlu oyunlar!\n\nGeri bildirimlerini dinlemeye ve sana daha iyi bir deneyim sunmak adına optimize etmeye devam edeceğiz.\n\nDiscord üzerinden veya oyun içi müşteri desteğinden bize ulaşabilirsin. [-1#Resmî Discord](herf=https://discord.gg/RncnPNw)\n\nYardımcı Roger</t>
  </si>
  <si>
    <t>Thưa Thủ Lĩnh,\n\nCảm ơn các bạn đã cập nhật! Chúng tôi đã đính kèm một phần thưởng cập nhật nhỏ dành cho bạn. Chúc bạn chơi game vui vẻ!\n\nChúng tôi sẽ tiếp tục lắng nghe phản hồi của bạn để tiếp tục tối ưu hóa và mang lại cho bạn trải nghiệm chơi game tốt hơn.\n\nVui lòng liên hệ với chúng tôi qua Discord hoặc bộ phận hỗ trợ khách hàng trong trò chơi. [-1#Discord chính thức](herf=https://discord.gg/RncnPNw)\n\nPhụ tá Roger</t>
  </si>
  <si>
    <t>0.22.0版本更新延迟公告</t>
  </si>
  <si>
    <t>Version 0.22.0 Update Delay</t>
  </si>
  <si>
    <t>Retard de mise à jour 0.22.0</t>
  </si>
  <si>
    <t>Version 0.22.0 Update-Verzögerung</t>
  </si>
  <si>
    <t>Adiamento da atualização 0.22.0</t>
  </si>
  <si>
    <t>0.22.0版本更新延遲公告</t>
  </si>
  <si>
    <t>Penundaan Pembaruan Versi 0.22.0</t>
  </si>
  <si>
    <t>ความล่าช้าในการอัปเดตเวอร์ชัน 0.22.0</t>
  </si>
  <si>
    <t>Retraso en la actualización a la versión 0.22.0</t>
  </si>
  <si>
    <t>Задержка обновления до версии 0.22.0</t>
  </si>
  <si>
    <t>Sürüm 0.22.0 Güncelleme Ertelemesi</t>
  </si>
  <si>
    <t>Trì hoãn Cập nhật phiên bản 0.22.0</t>
  </si>
  <si>
    <r>
      <rPr>
        <rFont val="Arial"/>
        <color theme="1"/>
      </rPr>
      <t>亲爱的指挥官：\n\n0.22.0版本更新时间将会被</t>
    </r>
    <r>
      <rPr>
        <rFont val="Arial"/>
        <color rgb="FFFF9900"/>
      </rPr>
      <t>&lt;color=#ffa200&gt;延迟&lt;/color&gt;</t>
    </r>
    <r>
      <rPr>
        <rFont val="Arial"/>
        <color theme="1"/>
      </rPr>
      <t>，具体时间我们将另行通知。\n\n感谢您对Age of Apes的理解与支持，祝愿火箭发射顺利！\n\n罗杰副官</t>
    </r>
  </si>
  <si>
    <t>Dear Captain,\n\nThe version 0.22.0 update has been &lt;color=#ffa200&gt;delayed&lt;/color&gt;. We will notify you as soon as the new update time is confirmed.\n\nThank you for your understanding and support. See you around the Tavern!\n\nDeputy Roger</t>
  </si>
  <si>
    <t>Cher capitaine,\n\nLa mise à jour 0.22.0 a pris du &lt;color=#ffa200&gt;retard&lt;/color&gt;. Nous vous tiendrons informé dès que l'horaire de fin des opérations sera confirmé.\n\nMerci pour votre compréhension et votre soutien. A bientôt à la taverne!\n\nRoger l'assistant</t>
  </si>
  <si>
    <t>Lieber Captain,\n\nDas Update auf die Version 0.22.0 hat sich &lt;color=#ffa200&gt;verzögert&lt;/color. Wir werden dich benachrichtigen, sobald der neue Update-Zeitpunkt bestätigt ist.\n\nVielen Dank für dein Verständnis und deine Unterstützung. Wir sehen uns in der Taverne!\n\nAdjudant Roger</t>
  </si>
  <si>
    <t>Caro Capitão,\n\nA atualização para a versão 0.22.0 foi &lt;color=#ffa200&gt;adiada&lt;/color. Notificaremos você assim que a nova data de atualização for confirmada.\n\nNossa equipe agradece seu apoio e compreensão. Vemos você na taverna!\n\nDelegado Roger</t>
  </si>
  <si>
    <t>親愛的指揮官：\n\n0.22.0版本更新時間將會被&lt;color=#ffa200&gt;延遲&lt;/color&gt;，具體時間我們將另行通知。\n\n感謝你對Age of Apes的理解與支持，祝愿火箭發射順利！\n\n羅傑副官</t>
  </si>
  <si>
    <t>Kapten yang terhormat,\n\nPembaruan versi 0.22.0 telah &lt;color=#ffa200&gt;ditunda&lt;/color. Kami akan memberitahukanmu segera setelah waktu pembaruan terkini dikonfirmasi.\n\nTerima kasih atas pengertian dan dukunganmu. Sampai jumpa di sekitar Kedai!\n\nDeputi Roger</t>
  </si>
  <si>
    <t>ถึงท่านผู้บัญชาการ\n\nการอัปเดตเวอร์ชัน 0.22.0 &lt;color=#ffa200&gt;เกิดความล่าช้า&lt;/color&gt; เราจะแจ้งให้นายทราบทันทีที่มีการยืนยันเวลาอัปเดตใหม่\n\nขอขอบคุณสำหรับความเข้าใจและการสนับสนุนของนาย แล้วไว้เจอกันแถว ๆ โรงแรมนะ!\n\nท่านรองโรเจอร์</t>
  </si>
  <si>
    <t>Querido Capitán, \n\nLa actualización a la versión 0.22.0 ha sido &lt;color=#ffa200&gt;retrasada&lt;/color. Te notificaremos tan pronto como el horario de la nueva actualización este confirmado. \n\nGracias por tu comprensión y apoyo. ¡Nos vemos en la Taberna!\n\nComisario Roger</t>
  </si>
  <si>
    <t>Уважаемый капитан!\n\nОбновление до версии 0.22.0 &lt;color=#ffa200&gt;отложено&lt;/color&gt;. Как только мы узнаем точное время обновления, мы вам сообщим.\n\nСпасибо за понимание и поддержку. Увидимся в таверне!\n\nПомощник Роджер</t>
  </si>
  <si>
    <t>Sevgili Kaptan,\n\nSürüm 0.22.0 güncellemesi &lt;color=#ffa200&gt;ertelendi&lt;/color. Yeni güncelleme zamanı belli olduğunda seni bilgilendireceğiz.\n\nAnlayışın ve desteğin için teşekkürler. Tavernada görüşürüz!\n\nYardımcı Roger</t>
  </si>
  <si>
    <t>Thưa Thủ Lĩnh,\n\nBản cập nhật của phiên bản 0.22.0 sẽ &lt;color=#ffa200&gt;bị hoãn lại&lt;/color. Chúng tôi sẽ thông báo ngay sau khi xác nhận xong thời gian cập nhật mới.\n\nCảm ơn các bạn đã thông cảm và hỗ trợ. Hẹn gặp lại ở Tửu Quán nhé!\n\nPhụ tá Roger</t>
  </si>
  <si>
    <t>临时维护公告</t>
  </si>
  <si>
    <t>Server Maintenance Notice</t>
  </si>
  <si>
    <t>Maintenance des serveurs</t>
  </si>
  <si>
    <t>Hinweis zur Serverwartung</t>
  </si>
  <si>
    <t>Aviso de manutenção do servidor</t>
  </si>
  <si>
    <t>臨時維護公告</t>
  </si>
  <si>
    <t>Pemberitahuan Pemeliharaan Server</t>
  </si>
  <si>
    <t>ประกาศการบำรุงรักษาเซิร์ฟเวอร์</t>
  </si>
  <si>
    <t>Aviso de Mantenimiento de Servidor</t>
  </si>
  <si>
    <t>Уведомление об обслуживании сервера</t>
  </si>
  <si>
    <t>Sunucu Bakımı Bildirimi</t>
  </si>
  <si>
    <t>Thông báo bảo trì máy chủ</t>
  </si>
  <si>
    <r>
      <rPr>
        <rFont val="Arial"/>
        <color theme="1"/>
      </rPr>
      <t>亲爱的指挥官：\n\n为了更好地帮助你领导这座城市，我们将在</t>
    </r>
    <r>
      <rPr>
        <rFont val="Arial"/>
        <color rgb="FFFF9900"/>
      </rPr>
      <t>&lt;color=#ffa200&gt;2021-04-01 00:00 UTC&lt;/color&gt;</t>
    </r>
    <r>
      <rPr>
        <rFont val="Arial"/>
        <color theme="1"/>
      </rPr>
      <t>进入维护状态，维护时长大约为</t>
    </r>
    <r>
      <rPr>
        <rFont val="Arial"/>
        <color rgb="FFFF9900"/>
      </rPr>
      <t>&lt;color=#ffa200&gt;30分钟&lt;/color&gt;</t>
    </r>
    <r>
      <rPr>
        <rFont val="Arial"/>
        <color theme="1"/>
      </rPr>
      <t>，维护期间你将无法正常进入游戏。\n为您带来不便深感歉意，在此为您送上一份补偿，请注意查收。\n本次维护不排除延迟开启的可能，如若延迟，请关注社区发布的具体开服时间。感谢您对Age of Apes的理解与支持，祝愿火箭发射顺利！\n</t>
    </r>
    <r>
      <rPr>
        <rFont val="Arial"/>
        <color rgb="FF00FF00"/>
      </rPr>
      <t>[-1#Official Discord](herf=https://discord.gg/RncnPNw)</t>
    </r>
    <r>
      <rPr>
        <rFont val="Arial"/>
        <color theme="1"/>
      </rPr>
      <t>\n\n罗杰副官</t>
    </r>
  </si>
  <si>
    <t>Dear Captain,\n\nTo help you better lead your City, we'll be performing server maintenance starting at &lt;color=#ffa200&gt;2021-04-01 00:00 UTC&lt;/color&gt;. It'll take approximately &lt;color=#ffa200&gt;30 minutes&lt;/color&gt;. You will not be able to access the game during this time.\n\nWe apologize for the inconvenience and have included a small gift for you as compensation.\n\nMaintenance may take longer. If so, please stay tuned for updates posted to our Monkey Community.\n\nThanks for your understanding and support. See you around the Tavern!\n\n[-1#Official Discord](herf=https://discord.gg/RncnPNw)\n\nDeputy Roger</t>
  </si>
  <si>
    <t>Cher capitaine,\n\nPour vous aider à mieux gérer votre ville, nous prévoyons des opérations de maintenance des serveurs à partir du &lt;color=#ffa200&gt;01/04/2021 à 00:00 (TU)&lt;/color&gt;. Elles prendront environ &lt;color=#ffa200&gt;30 minutes&lt;/color&gt;. Pendant cette période, vous ne pourrez pas accéder au jeu.\n\nNous vous prions de nous excuser pour ce désagrément et vous offrons un petit cadeau en dédommagement.\n\nIl se peut que les opérations de maintenance prennent plus de temps. Pour en être informé, nous vous invitons à rejoindre notre communauté des singes.\n\nMerci pour votre compréhension et votre soutien. A bientôt à la taverne!\n\n[-1#Discord officiel](herf=https://discord.gg/RncnPNw)\n\nRoger l'assistant</t>
  </si>
  <si>
    <t>Lieber Captain,\n\nDamit du deine Stadt besser führen kannst, werden wir beginnend um &lt;color=#ffa200&gt;01.04.2021 00:00 UTC&lt;/color&gt; eine Serverwartung durchführen. Sie wird etwa &lt;color=#ffa200&gt;30 Minuten&lt;/color&gt; dauern. Während dieser Zeit wirst du nicht auf das Spiel zugreifen können.\n\nWir entschuldigen uns für die Unannehmlichkeiten und haben als Entschädigung ein kleines Geschenk für dich beigefügt.\n\nDie Wartungsarbeiten können möglicherweise länger dauern. Wenn dies der Fall ist, halte dich bitte über unsere Affen-Community auf dem Laufenden.\n\nVielen Dank für dein Verständnis und deine Unterstützung. Wir sehen uns in der Taverne!\n\n[-1#Offizieller Discord](herf=https://discord.gg/RncnPNw)\n\nAdjudant Roger</t>
  </si>
  <si>
    <t>Caro Capitão,\n\nPara ajudar você a melhorar a liderança de sua cidade, vamos fazer uma manutenção de servidor em &lt;color=#ffa200&gt;01/04/2021, às 00:00 (fuso UTC)&lt;/color&gt;. Ela demorará cerca de &lt;color=#ffa200&gt;30 minutos&lt;/color&gt;. Não será possível acessar o jogo durante este período.\n\nLamentamos pelo inconveniente e, por isso, incluímos um pequeno presente para você como compensação.\n\nA manutenção pode levar mais tempo. Se este for o caso, haverá atualizações sobre isso em nossa Comunidade dos Macacos\n\nNossa equipe agradece seu apoio e compreensão. Vemos você na taverna!\n\n[-1#Discord Oficial](herf=https://discord.gg/RncnPNw)\n\nDelegado Roger</t>
  </si>
  <si>
    <t>親愛的指揮官：\n\n為了更好地幫助你領導這座城市，我們將在&lt;color=#ffa200&gt;2021-04-01 00:00 UTC&lt;/color&gt;進入維護狀態，維護時長大約為&lt;color=#ffa200&gt;30分鐘&lt; /color&gt;，維護期間你將無法正常進入遊戲。\n為您帶來不便深感歉意，在此為您送上一份補償，請注意查收。\n本次維護不排除延遲開啟的可能，如若延遲，請關注社區發布的具體開服時間。感謝你對Age of Apes的理解與支持，祝愿火箭發射順利！\n[-1#Official Discord](herf=https://discord.gg/RncnPNw)\n\n羅傑副官</t>
  </si>
  <si>
    <t>Kapten yang terhormat,\n\nUntuk membantumu memimpin Kota dengan lebih baik, kami akan melakukan pemeliharaan server pada &lt;color=#ffa200&gt;2021-04-01 00:00 UTC&lt;/color&gt;. Pemeliharan akan memerlukan waktu sekitar &lt;color=#ffa200&gt;30 menit&lt;/color&gt;. Kamu tidak akan bisa mengakses game selama waktu tersebut.\n\nKami mohon maaf atas ketidaknyamanannya dan telah menyertakan hadiah kecil untukmu sebagai kompensasi.\n\nPemeliharaan mungkin memerlukan waktu lebih lama. Jika demikian, nantikan pembaruan yang diposting di Komunitas Kera kami.\n\nTerima kasih atas pengertian dan dukunganmu. Sampai jumpa di sekitar Kedai!\n\n[-1#Official Discord](herf=https://discord.gg/RncnPNw)\n\nDeputi Roger</t>
  </si>
  <si>
    <t>ถึงท่านผู้บัญชาการ\n\nเพื่อช่วยให้นายบัญชาการเมืองของนายได้ดีขึ้น เราจะดำเนินการบำรุงรักษาเซิร์ฟเวอร์โดยเริ่มตั้งแต่วันที่&lt;color=#ffa200&gt; 01-04-2021 00:00 ตามเวลา UTC&lt;/color&gt; โดยจะใช้เวลาประมาณ&lt;color=#ffa200&gt; 30 นาที &lt;/color&gt;ซึ่งนายจะไม่สามารถเข้าเกมได้ในช่วงเวลาดังกล่าว\n\nขออภัยในความไม่สะดวก และเราขอมอบของรางวัลเล็ก ๆ น้อย ๆ นี้ให้เป็นการชดเชย\n\nการบำรุงรักษาอาจใช้เวลานานกว่าที่แจ้งไว้ได้ หากเป็นเช่นนั้น โปรดติดตามการอัปเดตที่เราจะโพสต์ไว้ในชุมชนเหล่าลิงของเรา\n\nขอขอบคุณสำหรับความเข้าใจและการสนับสนุนของนาย แล้วไว้เจอกันแถว ๆ โรงแรมนะ!\n\n[-1#Official Discord](herf=https://discord.gg/RncnPNw)\n\nท่านรองโรเจอร์</t>
  </si>
  <si>
    <t>Querido Capitán, \n\nPara ayudarte a liderear mejor a tu Ciudad estaremos realizando un mantenimiento del servidor comenzando el día: &lt;color=#ffa200&gt;01-04-2021 00:00 UTC&lt;/color&gt;. Tomará aproximadamente &lt;color=#ffa200&gt;30 minutos&lt;/color&gt;. No podrás acceder al juego durante este periodo. \n\nNos disculpamos por el inconveniente y hemos incluido un pequeño regalo para ti como compensación. \n\nEl mantenimiento puede durar más tiempo. Si es así, mantente sintonizado para actualizaciones publicadas en nuestra Comunidad Mono. \n\nGracias por tu comprensión y apoyo. ¡Nos vemos en la Taberna!\n\n[-1#Discord Oficial](herf=https://discord.gg/RncnPNw)\n\nComisario Roger</t>
  </si>
  <si>
    <t>Уважаемый капитан!\n\nЧтобы помочь вам лучше руководить вашим городом, мы проводим техобслуживание начиная с &lt;color=#ffa200&gt;00:00 01.04.2021 (UTC)&lt;/color&gt;. Обслуживание займет около &lt;color=#ffa200&gt;30 минут&lt;/color&gt;, и в это время вы не сможете войти в игру.\n\nПриносим извинения за неудобства и отправляем вам небольшой подарок в качестве компенсации!\n\nЕсть вероятность, что обслуживание займет больше времени. В этом случае следите за новостями в нашем обезьяньем сообществе.\n\nСпасибо за понимание и поддержку. Увидимся в таверне!\n\n[-1#Официальный Discord](herf=https://discord.gg/RncnPNw)\n\nПомощник Роджер</t>
  </si>
  <si>
    <t>Sevgili Kaptan,\n\nŞehrine daha iyi liderlik etmeni sağlamak için &lt;color=#ffa200&gt;01.04.2021, 00.00’da (UTC)&lt;/color&gt; başlayacak bir sunucu bakımı gerçekleştireceğiz&lt;/color&gt;. Yaklaşık &lt;color=#ffa200&gt;30 dakika&lt;/color&gt; sürecek. Bu süre içerisinde oyuna erişemeyeceksin.\n\nVerdiğimiz sıkıntıdan ötürü özür dileriz, bunun telafisi olarak sana küçük bir hediye sunuyoruz.\n\nBakım daha uzun sürebilir. Bu durumda, Maymun Topluluğumuzda paylaşılan güncellemeleri lütfen takip et.\n\nAnlayışın ve desteğin için teşekkürler. Tavernada görüşürüz!\n\n[-1#Resmî Discord](herf=https://discord.gg/RncnPNw)\n\nYardımcı Roger</t>
  </si>
  <si>
    <t>Thưa Thủ Lĩnh,\n\nĐể giúp bạn lãnh đạo Thành phố của mình ngày một tốt hơn, chúng tôi sẽ tiến hành bảo trì máy chủ, bắt đầu từ &lt;color=#ffa200&gt;00:00 ngày 01/04/2021 UTC&lt;/color&gt;. Thời gian bảo trì sẽ kéo dài trong khoảng &lt;color=#ffa200&gt;30 phút&lt;/color&gt;. Bạn sẽ không thể truy cập vào ứng dụng trong khoảng thời gian này.\n\nChúng tôi xin lỗi vì sự bất tiện này và xin phép được tặng một món quà nhỏ để bù đắp cho bạn.\n\nThời gian bảo trì có thể kéo dài lâu hơn. Nếu việc đó xảy ra, hãy theo dõi các tin tức cập nhật đăng trong Cộng đồng Khỉ của chúng tôi.\n\nCảm ơn bạn đã thông cảm và hỗ trợ. Hẹn gặp lại ở Tửu Quán nhé!\n\n[-1#Discord chính thức](herf=https://discord.gg/RncnPNw)\n\nPhụ tá Roger</t>
  </si>
  <si>
    <t>维护超时说明</t>
  </si>
  <si>
    <t>Maintenance Delay</t>
  </si>
  <si>
    <t>Retard de maintenance</t>
  </si>
  <si>
    <t>Wartungsverzögerung</t>
  </si>
  <si>
    <t>Atraso na manutenção</t>
  </si>
  <si>
    <t>維護超時說明</t>
  </si>
  <si>
    <t>Penundaan Pemeliharaan</t>
  </si>
  <si>
    <t>ความล่าช้าในการบำรุงรักษา</t>
  </si>
  <si>
    <t>Retraso del Mantenimiento</t>
  </si>
  <si>
    <t>Продление техобслуживания</t>
  </si>
  <si>
    <t>Bakım Ertelemesi</t>
  </si>
  <si>
    <t>Hoãn bảo trì</t>
  </si>
  <si>
    <r>
      <rPr>
        <rFont val="Arial"/>
        <color theme="1"/>
      </rPr>
      <t>亲爱的指挥官：\n\n你好，由于城市电路发生故障，我们在</t>
    </r>
    <r>
      <rPr>
        <rFont val="Arial"/>
        <color rgb="FFFF9900"/>
      </rPr>
      <t>&lt;color=#ffa200&gt;00:00 UTC&lt;/color&gt;</t>
    </r>
    <r>
      <rPr>
        <rFont val="Arial"/>
        <color theme="1"/>
      </rPr>
      <t>开始的系统维护花费了比预估更多的维护时间，现在维护已经结束，你可以正常登录游戏。\n为您带来不便深感歉意，在此为您送上一份补偿，请注意查收。\n\n感谢您对Age of Apes的理解与支持，祝愿火箭发射顺利！\n\n罗杰副官</t>
    </r>
  </si>
  <si>
    <t>Dear Captain,\n\nDue to issues in the city circuits, the maintenance that started at &lt;color=#ffa200&gt;00:00 UTC&lt;/color&gt; took longer than expected. Maintenance has now finished and you may log in normally.\n\nWe apologize for the inconvenience and have included a small gift for you as compensation.\n\nThanks for your understanding and support. See you around the Tavern!\n\nDeputy Roger</t>
  </si>
  <si>
    <t>Cher capitaine,\n\nEn raison d'un dysfonctionnement des circuits de la ville, les opérations de maintenance, qui ont débuté à &lt;color=#ffa200&gt;00:00 (TU)&lt;/color&gt;, ont pris plus de temps que prévu. Elles sont à présent achevées et vous pouvez vous connecter normalement.\n\nNous vous prions de nous excuser pour ce désagrément et vous offrons un petit cadeau en dédommagement.\n\nMerci pour votre compréhension et votre soutien. A bientôt à la taverne!\n\nRoger l'assistant</t>
  </si>
  <si>
    <t>Lieber Captain,\n\nAufgrund von Problemen in den Schaltkreisen der Stadt hat die Wartung, die um &lt;color=#ffa200&gt;00:00 UTC&lt;/color&gt; begann, länger gedauert als erwartet. Die Wartungsarbeiten sind nun beendet und du kannst dich normal einloggen.\n\nWir entschuldigen uns für die Unannehmlichkeiten und haben als Entschädigung ein kleines Geschenk für dich beigefügt.\n\nVielen Dank für dein Verständnis und deine Unterstützung. Wir sehen uns in der Taverne!\n\nAdjudant Roger</t>
  </si>
  <si>
    <t>Caro Capitão,\n\nDevido a problemas nos circuitos da cidade, a manutenção que começou &lt;color=#ffa200&gt;à 00:00 (fuso UTC)&lt;/color&gt; levou mais do que o esperado. A manutenção terminou e você pode agora entrar normalmente.\n\nLamentamos pelo inconveniente e, por isso, incluímos um pequeno presente para você como compensação.\n\nNossa equipe agradece seu apoio e compreensão. Vemos você na taverna!\n\nDelegado Roger</t>
  </si>
  <si>
    <t>親愛的指揮官：\n\n你好，由於城市電路發生故障，我們在&lt;color=#ffa200&gt;00:00 UTC&lt;/color&gt;開始的系統維護花費了比預估更多的維護時間，現在維護已經結束，你可以正常登錄遊戲。\n為您帶來不便深感歉意，在此為您送上一份補償，請注意查收。\n\n感謝你對Age of Apes的理解與支持，祝愿火箭發射順利！\n\n羅傑副官</t>
  </si>
  <si>
    <t>Kapten yang terhormat,\n\nKarena masalah di sirkuit kota, perawatan yang dimulai pada &lt;color=#ffa200&gt;00:00 UTC&lt;/color&gt; akan memerlukan waktu lebih lama daripada yang diperkirakan. Pemeliharaan telah selesai dan kamu bisa masuk secara normal.\n\nKami mohon maaf atas ketidaknyamanannya dan telah menyertakan hadiah kecil untukmu sebagai kompensasi.\n\nTerima kasih atas pengertian dan dukunganmu. Sampai jumpa di sekitar Kedai!\n\nDeputi Roger</t>
  </si>
  <si>
    <t>ถึงท่านผู้บัญชาการ\n\nเนื่องจากเกิดปัญหาในวงจรของเมือง การบำรุงรักษาที่เริ่มในเวลา&lt;color=#ffa200&gt; 00:00 UTC&lt;/color&gt; จึงใช้เวลานานกว่าที่คาดไว้ ขณะนี้การบำรุงรักษาเสร็จสิ้นแล้ว นายสามารถเข้าสู่ระบบได้ตามปกติ\n\nขออภัยในความไม่สะดวก เราจึงขอมอบของขวัญเล็ก ๆ น้อย ๆ นี้ให้เป็นการชดเชย\n\nขอขอบคุณสำหรับความเข้าใจและการสนับสนุนของนาย แล้วไว้เจอกันแถว ๆ โรงแรมนะ!\n\nท่านรองโรเจอร์</t>
  </si>
  <si>
    <t>Querido Capitán, \n\nDebido a problemas con los circuitos de la ciudad, el mantenimiento que había comenzado a las &lt;color=#ffa200&gt;00:00 UTC&lt;/color&gt; tomo más tiempo de lo esperado. El mantenimiento ahora ha terminado y ya puedes conectarte normalmente. \n\nNos disculpamos por el inconveniente y hemos incluido un pequeño regalo para ti como compensación.\n\nGracias por tu comprensión y apoyo. ¡Nos vemos en la Taberna!\n\nComisario Roger</t>
  </si>
  <si>
    <t>Уважаемый капитан!\n\nИз-за проблем в городских сетях техобслуживание, которое началось в &lt;color=#ffa200&gt;00:00 (UTC)&lt;/color&gt;, заняло больше времени, чем ожидалось. Сейчас оно закончено, и вы можете войти в игру в обычном режиме.\n\nПриносим извинения за доставленные неудобства и отправляем вам небольшой подарок в качестве компенсации!\n\nСпасибо за понимание и поддержку. Увидимся в таверне!\n\nПомощник Роджер</t>
  </si>
  <si>
    <t>Sevgili Kaptan,\n\nŞehir devrelerindeki sorunlar yüzünden &lt;color=#ffa200&gt;00.00’da (UTC)&lt;/color&gt; başlayan bakım beklenenden uzun sürdü. Bakım şimdi tamamlandı, normal şekilde giriş yapabilirsin.\n\nVerdiğimiz sıkıntıdan ötürü özür dileriz, bunun telafisi olarak sana küçük bir hediye sunuyoruz.\n\nAnlayışın ve desteğin için teşekkürler. Tavernada görüşürüz!\n\nYardımcı Roger</t>
  </si>
  <si>
    <t>Thưa Thủ Lĩnh,\n\nDo các vấn đề về mạch điện trong thành phố, thời gian bảo trì bắt đầu lúc &lt;color=#ffa200&gt;00:00 UTC&lt;/color&gt; đã kéo dài hơn dự kiến. Quá trình bảo trì hiện đã kết thúc và bạn có thể đăng nhập bình thường.\n\nChúng tôi xin lỗi vì sự bất tiện này và xin phép được tặng một món quà nhỏ để bù đắp cho bạn.\n\nCảm ơn bạn đã thông cảm và hỗ trợ. Hẹn gặp lại ở Tửu Quán nhé!\n\nPhụ tá Roger</t>
  </si>
  <si>
    <t>Survey</t>
  </si>
  <si>
    <t>Enquête</t>
  </si>
  <si>
    <t>Umfrage</t>
  </si>
  <si>
    <t>Pesquisa</t>
  </si>
  <si>
    <t>問卷調查</t>
  </si>
  <si>
    <t>Survei</t>
  </si>
  <si>
    <t>แบบสำรวจ</t>
  </si>
  <si>
    <t>Encuesta</t>
  </si>
  <si>
    <t>Опрос</t>
  </si>
  <si>
    <t>Anket</t>
  </si>
  <si>
    <t>Khảo sát</t>
  </si>
  <si>
    <t>Sondaggio</t>
  </si>
  <si>
    <t>Ankieta</t>
  </si>
  <si>
    <t>استبيان</t>
  </si>
  <si>
    <r>
      <rPr>
        <rFont val="Arial"/>
        <color theme="1"/>
      </rPr>
      <t>亲爱的指挥官：\n\n恭喜您被选为幸运猴子，来参与我们的问卷调研！为了给您提供更好的游戏体验，您的建议非常重要。在问卷填写完毕后，您将会获得一份很棒的奖励！\n详细规则\n1. 在</t>
    </r>
    <r>
      <rPr>
        <rFont val="Arial"/>
        <color rgb="FFFF9900"/>
      </rPr>
      <t>&lt;color=#ffa200&gt;2021-01-21 00:00 UTC&lt;/color&gt;</t>
    </r>
    <r>
      <rPr>
        <rFont val="Arial"/>
        <color theme="1"/>
      </rPr>
      <t>之前完成问卷，您将获得&lt;color=#ffa200&gt;200CD&lt;/color&gt;奖励；\n2. 奖励将会在</t>
    </r>
    <r>
      <rPr>
        <rFont val="Arial"/>
        <color rgb="FFFF9900"/>
      </rPr>
      <t>&lt;color=#ffa200&gt;2021-1-27 00:00 UTC&lt;/color&gt;</t>
    </r>
    <r>
      <rPr>
        <rFont val="Arial"/>
        <color theme="1"/>
      </rPr>
      <t>之前发放；\n3. 每位玩家只能获得一次奖励；\n4. 您填写的内容我们仅供内部分析使用；\n</t>
    </r>
    <r>
      <rPr>
        <rFont val="Arial"/>
        <color rgb="FF00FF00"/>
      </rPr>
      <t>[-1#问卷](herf=http://questionnaire.tap4fun.com/jq/104274483.aspx?sojumpparm=%7Buser_id%7D)</t>
    </r>
    <r>
      <rPr>
        <rFont val="Arial"/>
        <color theme="1"/>
      </rPr>
      <t>\n\n罗杰副官</t>
    </r>
  </si>
  <si>
    <t>Dear Captain,\n\nCongratulations! You have been selected as one of the lucky monkeys to participate in our survey! In order to provide you with a better gaming experience, we would like to know your suggestions about the game. After completing the survey, you will receive a great reward!\n\nParticipation Rules:\n\n1. Complete the survey before &lt;color=#ffa200&gt;2021-01-21 00:00 UTC&lt;/color&gt; to receive &lt;color=#ffa200&gt;200 CDs&lt;/color&gt;.\n2. The reward will be issued before &lt;color=#ffa200&gt;2021-1-27 00:00 UTC&lt;/color&gt;.\n3. Each player can only get the reward once.\n4. Your survey answers are for internal analysis only.\n\n[-1#Survey](herf=https://www.surveymonkey.com/r/TNW9665?user_id=%7Buser_id%7D)\n\nDeputy Roger</t>
  </si>
  <si>
    <t>Cher capitaine,\n\nFélicitations! Vous faites partie des rares chanceux sélectionnés pour participer à notre enquête! Afin de vous proposer une expérience de jeu optimale, nous aimerions connaître vos suggestions. Après avoir rempli le questionnaire, vous recevrez une belle récompense!\n\nRèglement:\n\n1. Répondez à l'enquête avant le &lt;color=#ffa200&gt;21/01/2021 à 00:00 (TU)&lt;/color&gt; pour recevoir &lt;color=#ffa200&gt;200 CD&lt;/color&gt;.\n2. La récompense sera transmise avant le &lt;color=#ffa200&gt;27/01/2021 à 00:00 (TU)&lt;/color&gt;.\n3. Une seule récompense par joueur.\n4. Vos réponses à l'enquête seront utilisées pour analyse en interne uniquement.\n\n[-1#Enquête](herf=https://www.surveymonkey.com/r/TNW9665?user_id=%7Buser_id%7D)\n\nRoger l'assistant</t>
  </si>
  <si>
    <t>Lieber Captain,\n\nHerzlichen Glückwunsch! Du wurdest als einer der glücklichen Affen ausgewählt, die an unserer Umfrage teilnehmen dürfen! Um dir ein besseres Spielerlebnis bieten zu können, möchten wir gerne deine Vorschläge zum Spiel hören. Nach Beendigung der Umfrage erhältst du eine tolle Belohnung!\n\nTeilnahmeregeln:\n\n1. Schließe die Umfrage vor dem &lt;color=#ffa200&gt;21.01.21 00:00 UTC&lt;/color&gt; ab, um &lt;color=#ffa200&gt;200 CDs&lt;/color&gt; zu erhalten.\n2. Die Belohnung wird vor dem &lt;color=#ffa200&gt;27.01.2021 00:00 Uhr UTC&lt;/color&gt; ausgegeben.\n3. Jeder Spieler kann die Belohnung nur einmal erhalten.\n4. Deine Antworten auf die Umfrage sind nur für die interne Auswertung bestimmt.\n\n[-1#Umfrage](herf=https://www.surveymonkey.com/r/TNW9665?user_id=%7Buser_id%7D)\n\nAdjudant Roger</t>
  </si>
  <si>
    <t>Caro Capitão,\n\nParabéns! Você foi um dos macacos sortudos escolhidos para participar de nossa pesquisa! Para fornecer uma experiência de jogo melhor para você, gostaríamos de ouvir sua opinião sobre o jogo. Ao completar a pesquisa, você receberá uma grande recompensa!\n\nRegras para participar:\n\n1. Conclua a pesquisa antes de &lt;color=#ffa200&gt;21/01/2021, à 00:00 (UTC)&lt;/color&gt; para receber &lt;color=#ffa200&gt;200 CDs&lt;/color&gt;.\n2. A recompensa será enviada antes de &lt;color=#ffa200&gt;27/01/2021, à 00:00 (UTC)&lt;/color&gt;.\n3. Cada jogador só pode conseguir a recompensa uma vez.\n4. Suas respostas serão usadas somente para análise interna de nossa equipe.\n\n[-1#Pesquisa](herf=https://www.surveymonkey.com/r/TNW9665?user_id=%7Buser_id%7D)\n\nDelegado Roger</t>
  </si>
  <si>
    <t>親愛的指揮官：\n\n恭喜您被選為幸運猴子，來參與我們的問卷調研！為了給您提供更好的遊戲體驗，您的建議非常重要。在問卷填寫完畢後，您將會獲得一份很棒的獎勵！\n詳細規則\n1. 在&lt;color=#ffa200&gt;2021-01-21 00:00 UTC&lt;/color&gt;之前完成問卷，您將獲得&lt;color=#ffa200&gt;200CD&lt;/color&gt;獎勵；\n2. 獎勵將會在&lt;color=#ffa200&gt;2021-1-27 00:00 UTC&lt;/color&gt;之前發放；\n3. 每位玩家只能獲得一次獎勵；\n4. 您填寫的內容我們僅供內部分析使用；\n[-1#問卷](herf=http://questionnaire.tap4fun.com/jq/104274483.aspx?sojumpparm=%7Buser_id%7D)\n\n羅傑副官</t>
  </si>
  <si>
    <t>Kapten yang terhormat,\n\nSelamat! Kamu terpilih sebagai salah satu kera yang beruntung untuk berpartisipasi dalam survei kami! Untuk memberimu pengalaman bermain game yang lebih baik, kami ingin mengetahui saranmu tentang game. Setelah menyelesaikan survei, kamu akan menerima hadiah besar!\n\nAturan Partisipasi:\n\n1. Selesaikan survei sebelum &lt;color=#ffa200&gt;2021-01-21 00:00 UTC&lt;/color&gt; untuk menerima &lt;color=#ffa200&gt;200 CD&lt;/color&gt;.\n2. Hadiah akan diberikan sebelum &lt;color=#ffa200&gt;2021-1-27 00:00 UTC&lt;/color&gt;.\n3. Setiap pemain hanya bisa mendapatkan hadiahnya sekali.\n4. Jawaban surveimu hanya untuk analisis internal.\n\n[-1#Survey](herf=https://www.surveymonkey.com/r/TNW9665?user_id=%7Buser_id%7D)\n\nDeputi Roger</t>
  </si>
  <si>
    <t>ถึงท่านผู้บัญชาการ\n\nยินดีด้วย! นายได้รับเลือกให้เป็นหนึ่งในลิงผู้โชคดีจากการเข้าร่วมแบบสำรวจของเรา! เพื่อให้นายได้รับประสบการณ์การเล่นเกมที่ดีขึ้น เราต้องการทราบข้อเสนอแนะของนายเกี่ยวกับเกมนี้ ซึ่งนายจะได้รับรางวัลก้อนโตหลังจากทำแบบสำรวจเสร็จแล้ว!\n\nกติกาการเข้าร่วม:\n\n1. ตอบแบบสำรวจให้เสร็จสิ้นก่อน&lt;color=#ffa200&gt; 21-01-2021 00:00 ตามเวลา UTC&lt;/color&gt; เพื่อรับ&lt;color=#ffa200&gt; ซีดี 200 แผ่น&lt;/color&gt;\n2. คุณจะได้รับรางวัลก่อนวันที่&lt;color=#ffa200&gt; 27-01-2021 00:00 ตามเวลา UTC&lt;/color&gt;\n3. ผู้เล่นแต่ละคนสามารถรับรางวัลได้เพียงครั้งเดียว\n4. คำตอบจากแบบสำรวจของนายใช้สำหรับการวิเคราะห์ภายในเท่านั้น\n\n[-1#Survey](herf=https://www.surveymonkey.com/r/TNW9665?user_id=%7Buser_id%7D)\n\nท่านรองโรเจอร์</t>
  </si>
  <si>
    <t>Querido Capitán, \n\n¡Felicidades! Has sido seleccionado como uno de los monos suertudos para participar en nuestra encuesta. Para poder proporcionarte una mejor experiencia de juego, nos gustaría conocer tus sugerencias con relación al juego. ¡Tras de completar la encuesta, recibirás una gran recompensa! \n\nReglas de participación: \n\n1. Completa la encuesta antes del &lt;color=#ffa200&gt;21-01-2021 00:00 UTC&lt;/color&gt; para recibir &lt;color=#ffa200&gt;200 CD&lt;/color&gt;.\n2. La recompensa será emitida después del &lt;color=#ffa200&gt;27-1-2021 00:00 UTC&lt;/color&gt;.\n3. Cada jugador solamente podrá obtener la recompensa una vez. \n4. Tus respuestas a la encuesta solamente son para análisis interno.\n\n[-1#Encuesta](herf=https://www.surveymonkey.com/r/TNW9665?user_id=%7Buser_id%7D)\n\nComisario Roger</t>
  </si>
  <si>
    <t>Уважаемый капитан!\n\nПоздравляем! Вам повезло попасть в число счастливчиков, отобранных для участия в опросе! Чтобы обеспечить вам наилучшие впечатления от игры, мы хотим выслушать ваши предложения. Когда вы пройдете опрос, то получите отличную награду!\n\nПравила участия:\n\n1. Пройдите опрос до &lt;color=#ffa200&gt;00:00 21.01.2021 (UTC)&lt;/color&gt;, чтобы получить в награду &lt;color=#ffa200&gt;200 CD&lt;/color&gt;.\n2. Награда будет выдана до &lt;color=#ffa200&gt;00:00 27.01.2021 (UTC)&lt;/color&gt;.\n3. Каждый игрок может получить награду только один раз.\n4. Ваши ответы в опросе предназначены исключительно для внутреннего анализа.\n\n[-1#Survey](herf=https://www.surveymonkey.com/r/TNW9665?user_id=%7Buser_id%7D)\n\nПомощник Роджер</t>
  </si>
  <si>
    <t>Sevgili Kaptan,\n\nTebrikler! Anketimize katılacak şanslı maymunlardan biri olarak seçildin! Sana daha iyi bir oyun deneyimi sunabilmek için oyunla ilgili tavsiyelerini öğrenmek istiyoruz. Anketi tamamladıktan sonra harika bir ödül alacaksın!\n\nKatılım Kuralları:\n\n1. Anketi &lt;color=#ffa200&gt;21.01.2021, 00.00’dan (UTC)&lt;/color&gt; önce tamamla ve &lt;color=#ffa200&gt;200 CD&lt;/color&gt; kazan.\n2. Ödül &lt;color=#ffa200&gt;27.01.2021, 00.00’dan (UTC)&lt;/color&gt; önce verilecek.\n3. Her oyuncu ödülü sadece bir kez alabilir.\n4. Anket cevapların sadece dâhilî analiz için kullanılacak.\n\n[-1#Anket]\n(herf=https://www.surveymonkey.com/r/TNW9665?user_id=%7Buser_id%7D)\n\nYardımcı Roger</t>
  </si>
  <si>
    <t>Thưa Thủ Lĩnh,\n\nXin chúc mừng! Bạn là một trong những chú khỉ may mắn được chọn để tham gia khảo sát của chúng tôi! Để có thể cung cấp một trải nghiệm trò chơi tốt hơn, chúng tôi muốn tìm hiểu các đề xuất của bạn về trò chơi. Sau khi hoàn thành khảo sát, bạn sẽ nhận được một phần thưởng thú vị!\n\nNội quy tham gia:\n\n1. Hoàn thành khảo sát trước &lt;color=#ffa200&gt;00:00 UTC ngày 21/01/2021&lt;/color&gt; để nhận &lt;color=#ffa200&gt;200 CD&lt;/color&gt;.\n2. Phần thưởng sẽ được phát trước &lt;color=#ffa200&gt;00:00 UTC ngày 27/01/2021&lt;/color&gt;.\n3. Mỗi người chơi chỉ có thể nhận phần thưởng một lần duy nhất.\n4. Câu trả lời khảo sát của bạn chỉ được sử dụng để phân tích nội bộ.\n\n-1#Khảo sát](herf=https://www.surveymonkey.com/r/TNW9665?user_id=%7Buser_id%7D)\n\nPhụ tá Roger</t>
  </si>
  <si>
    <t>Caro Capitano,\n\nCongratulazioni! Sei stato selezionato tra le scimmie fortunate che potranno partecipare al nostro sondaggio! Per offrire una migliore esperienza di gioco, vorremmo conoscere i tuoi suggerimenti. Dopo aver completato il sondaggio, riceverai una grande ricompensa!\n\nRegole di partecipazione:\n\n1. Completa il sondaggio prima del &lt;color=#ffa200&gt;21/01/2022 00:00 UTC&lt;/color&gt; per ricevere &lt;color=#ffa200&gt;200 CD&lt;/color&gt;.\n2. La ricompensa verrà inviata prima del &lt;color=#ffa200&gt;27/01/2022 00&gt;00 UTC&lt;/color&gt;.\n3. Ogni giocatore può ottenere la ricompensa solo una volta.\n4. Le risposte del sondaggio sono solo per scopi di analisi interne.\n\n[-1#Survey](herf=https://www.surveymonkey.com/r/TNW9665?user_id=%7Buser_id%7D)\n\nSottotenente Roger</t>
  </si>
  <si>
    <t>Kapitanie,\n\nGratulacje! Jesteś jedną ze szczęśliwych małp wybranych do udziału w naszej ankiecie! Aby zapewnić lepsze wrażenia graczy, chcemy poznać Twoje sugestie dotyczące gry. Po wypełnieniu ankiety otrzymasz wspaniałą nagrodę!\n\nZasady udziału:\n\n1. Wypełnij ankietę do &lt;color=#ffa200&gt;21.01.2021, do godz. 00:00 (UTC)&lt;/color&gt;, aby otrzymać &lt;color=#ffa200&gt;200 CD&lt;/color&gt;.\n2. Nagroda zostanie przyznana do &lt;color=#ffa200&gt;27.01.2021, do godz. 00:00 (UTC)&lt;/color&gt;.\n3. Każdy gracz może otrzymać nagrodę tylko raz.\n4. Odpowiedzi udzielone w ankiecie zostaną wykorzystane wyłącznie do wewnętrznej analizy.\n\n[-1#Survey](herf=https://www.surveymonkey.com/r/TNW9665?user_id=%7Buser_id%7D)\n\nZastępca Roger</t>
  </si>
  <si>
    <t>عزيزي الزعيم،\n\n تهانينا! لقد تم اختيارك كواحد من الزعماء المحظوظين للمشاركة في الاستبيان الخاص بنا! من أجل تزويدك بتجربة لعب أفضل، نود أن نعرف اقتراحاتك حول اللعبة. بعد إكمال الاستبيان، ستحصل على مكافأة رائعة!\n\n قواعد المشاركة:\n\n1. أكمل الاستبيان قبل &lt;color=#ffa200&gt;2021-01-21 00:00 UTC&lt;/color&gt; لتحصل على &lt;color=#ffa200&gt;200 قرص CD&lt;/color&gt;. سيتم إصدار المكافأة قبل &lt;color=#ffa200&gt;2021-1-27 00:00 UTC&lt;/color&gt;.\n3. يمكن لكل لاعب الحصول على المكافأة مرة واحدة فقط.\n4. إجابات الاستطلاع الخاصة بك هي للتحليل الداخلي فقط.\n\n[-1#استبيان](herf=https://www.surveymonkey.com/r/TNW9665?user_id=%7Buser_id%7D)\n\nالنائب روجر</t>
  </si>
  <si>
    <t>问卷奖励</t>
  </si>
  <si>
    <t>Survey Reward</t>
  </si>
  <si>
    <t>Récompense pour l'enquête</t>
  </si>
  <si>
    <t>Umfrage-Belohnung</t>
  </si>
  <si>
    <t>Recompensa de pesquisa</t>
  </si>
  <si>
    <t>問卷調查獎勵</t>
  </si>
  <si>
    <t>Hadiah Survei</t>
  </si>
  <si>
    <t>รางวัลของแบบสำรวจ</t>
  </si>
  <si>
    <t>Recompensa por la Encuesta</t>
  </si>
  <si>
    <t>Награда за опрос</t>
  </si>
  <si>
    <t>Anket Ödülü</t>
  </si>
  <si>
    <t>Quà khảo sát</t>
  </si>
  <si>
    <t>Ricompensa per il sondaggio</t>
  </si>
  <si>
    <t>Nagroda za ankietę</t>
  </si>
  <si>
    <t>مكافآت الاستبيان</t>
  </si>
  <si>
    <t>亲爱的指挥官：\n\n感谢您抽出宝贵的时间参与我们的问卷调查。您的反馈将帮助我们改善并为您带来更好的游戏体验。\n\n请收下您的奖励。期待和您在小酒馆喝一杯！\n\n罗杰副官</t>
  </si>
  <si>
    <t>Dear Captain,\n\nThank you for taking to time to complete the survey. Your valuable feedback will help us improve and bring you a better gaming experience.\n\nPlease claim your survey reward. See you around the Tavern!\n\nDeputy Roger</t>
  </si>
  <si>
    <t>Cher capitaine,\n\nMerci d'avoir pris le temps de répondre à l'enquête. Vos précieux commentaires nous aideront à améliorer le jeu pour vous proposer une expérience optimale.\n\nVous pouvez récupérer votre récompense. A bientôt à la taverne!\n\nRoger l'assistant</t>
  </si>
  <si>
    <t>Lieber Captain,\n\nVielen Dank, dass du dir die Zeit genommen hast, die Umfrage auszufüllen. Dein wertvolles Feedback wird uns helfen, uns zu verbessern und dir ein besseres Spielerlebnis zu bieten.\n\nBitte fordere deine Belohnung ein. Wir sehen uns in der Taverne!\n\nAdjudant Roger</t>
  </si>
  <si>
    <t>Caro Capitão,\n\nAgradecemos por concluir a pesquisa. Seu feedback valioso nos ajudará a melhorar ainda mais a experiência de jogo para você.\n\nResgate sua recompensa pela pesquisa. Vemos você na taverna!\n\nDelegado Roger</t>
  </si>
  <si>
    <t>親愛的指揮官：\n\n感謝您抽出寶貴的時間參與我們的問卷調查。您的反饋將幫助我們改善並為您帶來更好的遊戲體驗。\n\n請收下您的獎勵。期待和您在小酒館喝一杯！\n\n羅傑副官</t>
  </si>
  <si>
    <t>Kapten yang terhormat,\n\nTerima kasih telah meluangkan waktu untuk menyelesaikan survei. Umpan balikmu yang berharga akan membantu kami meningkatkan dan memberikan pengalaman bermain game yang lebih baik.\n\nKlaim hadiah surveimu. Sampai jumpa di sekitar Kedai!\n\nDeputi Roger</t>
  </si>
  <si>
    <t>ถึงท่านผู้บัญชาการ\n\nขอขอบคุณที่สละเวลาทำแบบสำรวจ ความคิดเห็นที่มีค่าของนายจะช่วยให้เราปรับปรุงและนำเสนอประสบการณ์การเล่นเกมที่ดียิ่งขึ้นได้\n\nรีบไปรับรางวัลแบบสำรวจของนายสิ แล้วไว้เจอกันแถว ๆ โรงแรมนะ!\n\nท่านรองโรเจอร์</t>
  </si>
  <si>
    <t>Querido Capitán, \n\nGracias por tomarte el tiempo para completar la encuesta. Tus valiosos comentarios nos ayudarán a mejorar y ofrecerte una mejor experiencia de juego. \n\nPor favor, reclama tu recompensa de la encuesta. ¡Nos vemos en la Taberna! \n\nComisario Roger</t>
  </si>
  <si>
    <t>Уважаемый капитан!\n\nСпасибо, что нашли время пройти наш опрос. Ваши ценные отзывы помогут нам совершенствоваться и дарить вам еще лучшие впечатления от игры.\n\nПожалуйста, заберите свою награду за участие. Увидимся в таверне!\n\nПомощник Роджер</t>
  </si>
  <si>
    <t>Sevgili Kaptan,\n\nZaman ayırıp anketimizi doldurduğun için teşekkürler. Değerli geri bildirimin gelişmemize ve sana daha iyi bir oyun deneyimi sunmamıza yardım edecek.\n\nLütfen anket ödülünü al. Tavernada görüşürüz!\n\nYardımcı Roger</t>
  </si>
  <si>
    <t>Thưa Thủ Lĩnh,\n\nCảm ơn bạn đã dành thời gian hoàn thành khảo sát. Phản hồi quý giá của bạn sẽ giúp chúng tôi cải thiện và cung cấp cho bạn trải nghiệm trò chơi tốt hơn.\n\nVui lòng nhận phần thưởng khảo sát của bạn. Hẹn gặp lại ở Tửu Quán nhé!\n\nPhụ tá Roger</t>
  </si>
  <si>
    <t>Caro Capitano,\n\nGrazie per aver dedicato del tempo al sondaggio. Il tuo prezioso feedback ci aiuterà a migliorare e offrire un'esperienza di gioco migliore.\n\nRiscatta la ricompensa per il sondaggio. Ci vediamo alla Taverna!\n\nSottotenente Roger</t>
  </si>
  <si>
    <t>Kapitanie,\n\nDziękujemy za czas poświęcony na wypełnienie ankiety. Twój wartościowy wkład pomoże nam poprawić wrażenia wszystkich graczy.\n\nOdbierz swoją nagrodę za ankietę. Do zobaczenia w Tawernie!\n\nZastępca Roger</t>
  </si>
  <si>
    <t>عزيزي الزعيم،\n\n شكرًا لك على تخصيص بعض الوقت لإكمال الاستبيان. ستساعدنا ملاحظاتك القيّمة على التحسين وستجلب لك تجربة لعب أفضل.\n\n الرجاء إكتساب مكافأة الاستبيان. أراك حول المقهى!\n\n النائب روجر</t>
  </si>
  <si>
    <t>问题修复说明</t>
  </si>
  <si>
    <t>Issue Fixed</t>
  </si>
  <si>
    <t>Problème résolu</t>
  </si>
  <si>
    <t>Problem behoben</t>
  </si>
  <si>
    <t>Problemas resolvidos</t>
  </si>
  <si>
    <t>問題修復說明</t>
  </si>
  <si>
    <t>Perbaikan Masalah</t>
  </si>
  <si>
    <t>แก้ไขปัญหาแล้ว</t>
  </si>
  <si>
    <t>Problema Resuelto</t>
  </si>
  <si>
    <t>Проблема решена</t>
  </si>
  <si>
    <t>Sorun Düzeltildi</t>
  </si>
  <si>
    <t>Đã khắc phục sự cố</t>
  </si>
  <si>
    <r>
      <rPr>
        <rFont val="Arial"/>
        <color theme="1"/>
      </rPr>
      <t>亲爱的指挥官：\n\n你好，目前我们已经紧急修复了电路，城市已经</t>
    </r>
    <r>
      <rPr>
        <rFont val="Arial"/>
        <color rgb="FFFF9900"/>
      </rPr>
      <t>&lt;color=#ffa200&gt;恢复正常&lt;/color&gt;</t>
    </r>
    <r>
      <rPr>
        <rFont val="Arial"/>
        <color theme="1"/>
      </rPr>
      <t>。\n为您带来不便深感歉意，在此为您送上一份补偿，请注意查收。\n我们将不断改进，希望能得到你的理解与支持，祝愿火箭发射顺利！\n\n罗杰副官</t>
    </r>
  </si>
  <si>
    <t>Dear Captain,\n\nOur team has successfully fixed the circuits and your City has &lt;color=#ffa200&gt;returned to normal&lt;/color&gt;.\n\nWe apologize for the inconvenience and have included a small gift for you as compensation.\n\nThank you for your understanding and support as we continue to improve. See you around the Tavern!\n\nDeputy Roger</t>
  </si>
  <si>
    <t>Cher capitaine,\n\nNotre équipe a réussi à réparer les circuits et la situation est de &lt;color=#ffa200&gt;retour à la normale&lt;/color&gt;.\n\nNous vous prions de nous excuser pour ce désagrément et vous offrons un petit cadeau en dédommagement.\n\nMerci pour votre compréhension et votre soutien. A bientôt à la taverne!\n\nRoger l'assistant</t>
  </si>
  <si>
    <t>Lieber Captain,\n\nUnser Team hat die Schaltkreise erfolgreich repariert und deine Stadt ist &lt;color=#ffa200&gt;zur Normalität zurückgekehrt&lt;/color&gt;.\n\nWir entschuldigen uns für die Unannehmlichkeiten und haben als Entschädigung ein kleines Geschenk für dich beigefügt.\n\nVielen Dank für dein Verständnis und deine Unterstützung, während wir uns weiter verbessern. Wir sehen uns in der Taverne!\n\nAdjudant Roger</t>
  </si>
  <si>
    <t>Caro Capitão,\n\nNossa equipe foi bem-sucedida em consertar os circuitos e sua cidade &lt;color=#ffa200&gt;já voltou ao normal&lt;/color&gt;.\n\nLamentamos pelo inconveniente e, por isso, incluímos um pequeno presente para você como compensação.\n\nNossa equipe agradece sua compreensão e apoio ao passo que continuamos melhorando. Vemos você na taverna!\n\nDelegado Roger</t>
  </si>
  <si>
    <t>親愛的指揮官：\n\n你好，目前我們已經緊急修復了電路，城市已經&lt;color=#ffa200&gt;恢復正常&lt;/color&gt;。\n為您帶來不便深感歉意，在此為您送上一份補償，請注意查收。\n我們將不斷改進，希望能得到你的理解與支持，祝愿火箭發射順利！\n\n羅傑副官</t>
  </si>
  <si>
    <t>Kapten yang terhormat,\n\nTim kami berhasil memperbaiki sirkuit dan Kotamu telah &lt;color=#ffa200&gt;kembali normal&lt;/color&gt;.\n\nKami mohon maaf atas ketidaknyamanannya dan telah menyertakan hadiah kecil untukmu sebagai kompensasi.\n\nTerima kasih atas pengertian dan dukunganmu sementara kami terus meningkatkan game. Sampai jumpa di sekitar Kedai!\n\nDeputi Roger</t>
  </si>
  <si>
    <t>ถึงท่านผู้บัญชาการ\n\nทีมของเราได้แก้ไขวงจรเรียบร้อยแล้ว และเมืองของนายก็&lt;color=#ffa200&gt;กลับสู่สภาวะปกติแล้ว&lt;/color&gt;\n\nขออภัยในความไม่สะดวก เราจึงขอมอบของขวัญเล็ก ๆ น้อย ๆ นี้ให้เป็นการชดเชย\n\nขอขอบคุณสำหรับความเข้าใจและการสนับสนุนการปรับปรุงอย่างต่อเนื่องของเรา แล้วไว้เจอกันแถว ๆ โรงแรมนะ!\n\nท่านรองโรเจอร์</t>
  </si>
  <si>
    <t>Querido Capitán, \n\nNuestro equipo ha corregido exitosamente los circuitos y tu Ciudad ha &lt;color=#ffa200&gt;regresado a la normalidad&lt;/color&gt;.\n\nNos disculpamos por el inconveniente y hemos incluido un pequeño regalo para ti como compensación. \n\nGracias por tu comprensión y apoyo mientras continuamos mejorando. ¡Nos vemos en la Taberna!\n\nComisario Roger</t>
  </si>
  <si>
    <t>Уважаемый капитан!\n\nНаша команда успешно починила все микросхемы, и ваш город &lt;color=#ffa200&gt;вернулся к нормальной жизни&lt;/color&gt;.\n\nПриносим извинения за неудобства и отправляем вам небольшой подарок в качестве компенсации!\n\nСпасибо за понимание и поддержку наших мер по улучшению игры. Увидимся в таверне!\n\nПомощник Роджер</t>
  </si>
  <si>
    <t>Sevgili Kaptan,\n\nEkibimiz devreleri başarıyla onardı ve Şehrin &lt;color=#ffa200&gt;normale döndü&lt;/color&gt;.\n\nVerdiğimiz sıkıntıdan ötürü özür dileriz, bunun telafisi olarak sana küçük bir hediye sunuyoruz.\n\nGelişme sürecimizdeki anlayışın ve desteğin için teşekkürler. Tavernada görüşürüz!\n\nYardımcı Roger</t>
  </si>
  <si>
    <t>Thưa Thủ Lĩnh,\n\nĐội ngũ của chúng tôi đã sửa mạch điện thành công và Thành phố của bạn đã &lt;color=#ffa200&gt;trở lại bình thường&lt;/color&gt;.\n\nChúng tôi xin lỗi vì sự bất tiện này và xin phép được tặng một món quà nhỏ để bù đắp cho bạn.\n\nCảm ơn các bạn đã thông cảm và ủng hộ trong thời gian chúng tôi tiếp tục cải thiện trò chơi. Hẹn gặp lại ở Tửu Quán nhé!\n\nPhụ tá Roger</t>
  </si>
  <si>
    <t>紧急问题说明</t>
  </si>
  <si>
    <t>Urgent Fix Ongoing</t>
  </si>
  <si>
    <t>Résolution urgente en cours</t>
  </si>
  <si>
    <t>Dringende Fehlerbehebung im Gange</t>
  </si>
  <si>
    <t>Ajuste urgente em andamento</t>
  </si>
  <si>
    <t>緊急問題說明</t>
  </si>
  <si>
    <t>Perbaikan Mendesak Sedang Berlangsung</t>
  </si>
  <si>
    <t>กำลังดำเนินการแก้ไขอย่างเร่งด่วน</t>
  </si>
  <si>
    <t>Arreglo urgente en curso</t>
  </si>
  <si>
    <t>Срочное исправление</t>
  </si>
  <si>
    <t>Acil Tamir Devam Ediyor</t>
  </si>
  <si>
    <t>Chúng tôi đang khẩn trương sửa lỗi</t>
  </si>
  <si>
    <r>
      <rPr>
        <rFont val="Arial"/>
        <color theme="1"/>
      </rPr>
      <t>亲爱的指挥官：\n\n由于城市电路故障，你的城市可能会出现</t>
    </r>
    <r>
      <rPr>
        <rFont val="Arial"/>
        <color rgb="FFFF9900"/>
      </rPr>
      <t>&lt;color=#ffa200&gt;数据异常&lt;/color&gt;</t>
    </r>
    <r>
      <rPr>
        <rFont val="Arial"/>
        <color theme="1"/>
      </rPr>
      <t>等情况，我们</t>
    </r>
    <r>
      <rPr>
        <rFont val="Arial"/>
        <color rgb="FFFF9900"/>
      </rPr>
      <t>&lt;color=#ffa200&gt;正在紧急修复&lt;/color&gt;</t>
    </r>
    <r>
      <rPr>
        <rFont val="Arial"/>
        <color theme="1"/>
      </rPr>
      <t>电路。\n为您带来不便深感歉意，在此为您送上一份补偿，请注意查收。\n感谢您对Age of Apes的理解与支持，祝愿火箭发射顺利！\n\n罗杰副官</t>
    </r>
  </si>
  <si>
    <t>Dear Captain,\n\nDue to circuit malfunctions, your City may experience &lt;color=#ffa200&gt;data errors&lt;/color&gt; or other issues. We are working hard to &lt;color=#ffa200&gt;fix these issues as quickly as possible&lt;/color&gt;.\n\nWe apologize for the inconvenience and have included a small gift for you as compensation.\n\nThank you for your understanding and support. See you around the Tavern!\n\nDeputy Roger</t>
  </si>
  <si>
    <t>Cher capitaine,\n\nEn raison du dysfonctionnement d'un circuit, votre ville peut présenter des &lt;color=#ffa200&gt;erreurs de données&lt;/color&gt; ou d'autres soucis. Nous travaillons dur pour &lt;color=#ffa200&gt;résoudre ces problèmes aussi vite que possible&lt;/color&gt;.\n\nNous vous prions de nous excuser pour ce désagrément et vous offrons un petit cadeau en dédommagement.\n\nMerci pour votre compréhension et votre soutien. A bientôt à la taverne!\n\nRoger l'assistant</t>
  </si>
  <si>
    <t>Lieber Captain,\n\nAufgrund von Schaltkreisfehlern kann es in deiner Stadt zu &lt;color=#ffa200&gt;Datenfehlern&lt;/color&gt; oder anderen Problemen kommen. Wir arbeiten hart daran, &lt;color=#ffa200&gt;diese Probleme so schnell wie möglich zu beheben&lt;/color&gt;.\n\nWir entschuldigen uns für die Unannehmlichkeiten und haben als Entschädigung ein kleines Geschenk für dich beigefügt.\n\nVielen Dank für dein Verständnis und deine Unterstützung. Wir sehen uns in der Taverne!\n\nAdjudant Roger</t>
  </si>
  <si>
    <t>Caro Capitão,\n\nDevido a um mal funcionamento dos circuitos, sua cidade talvez enfrente&lt;color=#ffa200&gt; erros nos dados&lt;/color&gt; ou outros problemas. Estamos trabalhando muito para &lt;color=#ffa200&gt;resolver esses problemas o quanto antes&lt;/color&gt;.\n\nLamentamos pelo inconveniente e, por isso, incluímos um pequeno presente para você como compensação.\n\nNossa equipe agradece seu apoio e compreensão. Vemos você na taverna!\n\nDelegado Roger</t>
  </si>
  <si>
    <t>親愛的指揮官：\n\n由於城市電路故障，你的城市可能會出現&lt;color=#ffa200&gt;數據異常&lt;/color&gt;等情況，我們&lt;color=#ffa200&gt;正在緊急修復&lt;/color&gt;電路。\n為您帶來不便深感歉意，在此為您送上一份補償，請注意查收。\n感謝你對Age of Apes的理解與支持，祝愿火箭發射順利！\n\n羅傑副官</t>
  </si>
  <si>
    <t>Kapten yang terhormat,\n\nSehubungan dengan kerusakan sirkuit, Kotamu mungkin mengalami &lt;color=#ffa200&gt;kesalahan data&lt;/color&gt; atau masalah lain. Kami bekerja keras untuk &lt;color=#ffa200&gt;memperbaiki masalah ini secepat mungkin&lt;/color&gt;.\n\nKami mohon maaf atas ketidaknyamanannya dan telah menyertakan hadiah kecil untukmu sebagai kompensasi.\n\nTerima kasih atas pengertian dan dukunganmu. Sampai Jumpa di Sekitar Kedai!\n\nDeputi Roger</t>
  </si>
  <si>
    <t>ถึงท่านผู้บัญชาการ\n\nเนื่องจากวงจรทำงานผิดปกติ เมืองของนายอาจประสบ&lt;color=#ffa200&gt;การผิดพลาดเกี่ยวกับข้อมูล&lt;/color&gt;หรือปัญหาอื่น ๆ ซึ่งเรากำลังดำเนินการอย่างเต็มที่เพื่อ&lt;color=#ffa200&gt;แก้ไขปัญหาเหล่านี้โดยเร็วที่สุด&lt;/color&gt;\n\nขออภัยในความไม่สะดวก เราจึงขอมอบของขวัญเล็ก ๆ น้อย ๆ นี้ให้เป็นการชดเชย\n\nขอขอบคุณสำหรับความเข้าใจและการสนับสนุนของนาย แล้วไว้เจอกันแถว ๆ โรงแรมนะ!\n\nท่านรองโรเจอร์</t>
  </si>
  <si>
    <t>Querido Capitán, \n\nDebido a unos fallos en los circuitos tu Ciudad puede experimentar &lt;color=#ffa200&gt;errores de datos&lt;/color&gt; u otros problemas. Estamos trabajando duro para &lt;color=#ffa200&gt;corregir estos problemas tan pronto como sea posible&lt;/color&gt;.\n\nNos disculpamos por el inconveniente y hemos incluido un pequeño regalo para ti como compensación. \n\nGracias por tu comprensión y apoyo. ¡Nos vemos en la Taberna!\n\nComisario Roger</t>
  </si>
  <si>
    <t>Уважаемый капитан!\n\nИз-за сбоев в работе микросхем в вашем городе могут возникнуть &lt;color=#ffa200&gt;ошибки данных&lt;/color&gt; или другие проблемы. Мы прилагаем все усилия, чтобы &lt;color=#ffa200&gt;исправить эти неполадки как можно скорее&lt;/color&gt;.\n\nПриносим извинения за неудобства и отправляем вам небольшой подарок в качестве компенсации!\n\nСпасибо за понимание и поддержку. Увидимся в таверне!\n\nПомощник Роджер</t>
  </si>
  <si>
    <t>Sevgili Kaptan,\n\nDevre bozuklukları nedeniyle Şehrin &lt;color=#ffa200&gt;veri hataları&lt;/color&gt; veya başka sorunlar yaşayabilir. &lt;color=#ffa200&gt;Bu sorunları olabildiğince hızlı çözmek&lt;/color&gt; için çalışıyoruz.\n\nVerdiğimiz sıkıntıdan ötürü özür dileriz, bunun telafisi olarak sana küçük bir hediye sunuyoruz.\n\nAnlayışın ve desteğin için teşekkürler. Tavernada görüşürüz!\n\nYardımcı Roger</t>
  </si>
  <si>
    <t>Thưa Thủ Lĩnh,\n\nDo sự cố trục trặc về mạch điện, Thành phố của bạn có thể gặp &lt;color=#ffa200&gt;lỗi dữ liệu&lt;/color&gt; hoặc các vấn đề khác. Chúng tôi đang hết sức nỗ lực để &lt;color=#ffa200&gt;khắc phục sự cố sớm nhất có thể&lt;/color&gt;.\n\nChúng tôi xin lỗi vì sự bất tiện này và xin phép được tặng một món quà nhỏ để bù đắp cho bạn.\n\nCảm ơn bạn đã thông cảm và hỗ trợ. Hẹn gặp lại ở Tửu Quán nhé!\n\nPhụ tá Roger</t>
  </si>
  <si>
    <t>亲爱的指挥官：\n\n由于城市电路故障，你的城市可能会出现&lt;color=#ffa200&gt;游戏卡顿&lt;/color&gt;等情况，我们&lt;color=#ffa200&gt;正在紧急修复&lt;/color&gt;电路。\n为您带来不便深感歉意，在此为您送上一份补偿，请注意查收。\n感谢您对Age of Apes的理解与支持，祝愿火箭发射顺利！\n\n罗杰副官</t>
  </si>
  <si>
    <t>Dear Captain,\n\nDue to circuit malfunctions, your City may experience &lt;color=#ffa200&gt;freezes&lt;/color&gt; or other issues. We are working hard to &lt;color=#ffa200&gt;fix these issues as quickly as possible&lt;/color&gt;.\n\nWe apologize for the inconvenience and have included a small gift for you as compensation.\n\nThank you for your understanding and support. See you around the Tavern!\n\nDeputy Roger</t>
  </si>
  <si>
    <t>Cher capitaine,\n\nEn raison du dysfonctionnement d'un circuit, votre ville peut se &lt;color=#ffa200&gt;figer&lt;/color&gt; ou présenter d'autres soucis. Nous travaillons dur pour &lt;color=#ffa200&gt;résoudre ces problèmes aussi vite que possible&lt;/color&gt;.\n\nNous vous prions de nous excuser pour ce désagrément et vous offrons un petit cadeau en dédommagement.\n\nMerci pour votre compréhension et votre soutien. A bientôt à la taverne!\n\nRoger l'assistant</t>
  </si>
  <si>
    <t>Lieber Captain,\n\nAufgrund von Schaltkreisfehlern kann es in deiner Stadt zu &lt;color=#ffa200&gt;Programmabstürzen&lt;/color&gt; oder anderen Problemen kommen. Wir arbeiten hart daran, &lt;color=#ffa200&gt;diese Probleme so schnell wie möglich zu beheben&lt;/color&gt;.\n\nWir entschuldigen uns für die Unannehmlichkeiten und haben als Entschädigung ein kleines Geschenk für dich beigefügt.\n\nVielen Dank für dein Verständnis und deine Unterstützung. Wir sehen uns in der Taverne!\n\nAdjudant Roger"</t>
  </si>
  <si>
    <t>Caro Capitão,\n\nDevido a um mal funcionamento dos circuitos, sua cidade talvez enfrente &lt;color=#ffa200&gt;travamentos&lt;/color&gt; ou outros problemas. Estamos trabalhando muito para &lt;color=#ffa200&gt;resolver esses problemas o quanto antes&lt;/color&gt;.\n\nLamentamos pelo inconveniente e, por isso, incluímos um pequeno presente para você como compensação.\n\nNossa equipe agradece seu apoio e compreensão. Vemos você na taverna!\n\nDelegado Roger</t>
  </si>
  <si>
    <t>親愛的指揮官：\n\n由於城市電路故障，你的城市可能會出現&lt;color=#ffa200&gt;遊戲卡頓&lt;/color&gt;等情況，我們&lt;color=#ffa200&gt;正在緊急修復&lt;/color&gt;電路。\n為您帶來不便深感歉意，在此為您送上一份補償，請注意查收。\n感謝你對Age of Apes的理解與支持，祝愿火箭發射順利！\n\n羅傑副官</t>
  </si>
  <si>
    <t>Kapten yang terhormat,\n\nSehubungan dengan kerusakan sirkuit, Kotamu mungkin mengalami &lt;color=#ffa200&gt;freezes&lt;/color&gt; atau masalah lain. Kami bekerja keras untuk &lt;color=#ffa200&gt;memperbaiki masalah ini secepat mungkin&lt;/color&gt;.\n\nKami mohon maaf atas ketidaknyamanannya dan telah menyertakan hadiah kecil untukmu sebagai kompensasi.\n\nTerima kasih atas pengertian dan dukunganmu. Sampai Jumpa di Sekitar Kedai!\n\nDeputi Roger</t>
  </si>
  <si>
    <t>ถึงท่านผู้บัญชาการ\n\nเนื่องจากวงจรทำงานผิดปกติ เมืองของนายอาจประสบปัญหา&lt;color=#ffa200&gt;อาการค้าง&lt;/color&gt;หรือปัญหาอื่น ๆ ได้ ซึ่งเรากำลังดำเนินการอย่างเต็มที่เพื่อ&lt;color=#ffa200&gt;แก้ไขปัญหาเหล่านี้โดยเร็วที่สุด&lt;/color&gt;\n\nขออภัยในความไม่สะดวก เราจึงขอมอบของขวัญเล็ก ๆ น้อย ๆ นี้ให้เป็นการชดเชย\n\nขอขอบคุณสำหรับความเข้าใจและการสนับสนุนของนาย แล้วไว้เจอกันแถว ๆ โรงแรมนะ!\n\nท่านรองโรเจอร์</t>
  </si>
  <si>
    <t>Querido Capitán, \n\nDebido a unos fallos en los circuitos tu Ciudad puede experimentar &lt;color=#ffa200&gt;bloqueos&lt;/color&gt; u otros problemas. Estamos trabajando duro para &lt;color=#ffa200&gt;corregir estos problemas tan pronto como sea posible&lt;/color&gt;.\n\nNos disculpamos por el inconveniente y hemos incluido un pequeño regalo para ti como compensación. \n\nGracias por tu comprensión y apoyo. ¡Nos vemos en la Taberna!\n\nComisario Roger</t>
  </si>
  <si>
    <t>Уважаемый капитан!\n\nИз-за сбоев в работе микросхем в вашем городе могут возникнуть &lt;color=#ffa200&gt;зависания&lt;/color&gt; или другие проблемы. Мы прилагаем все усилия, чтобы &lt;color=#ffa200&gt;исправить эти неполадки как можно скорее&lt;/color&gt;.\n\nПриносим извинения за неудобства и отправляем вам небольшой подарок в качестве компенсации!\n\nСпасибо за понимание и поддержку. Увидимся в таверне!\n\nПомощник Роджер</t>
  </si>
  <si>
    <t>Sevgili Kaptan,\n\nDevre bozuklukları nedeniyle Şehrin &lt;color=#ffa200&gt;donmalar&lt;/color&gt; veya başka sorunlar yaşayabilir. &lt;color=#ffa200&gt;Bu sorunları olabildiğince hızlı çözmek&lt;/color&gt; için çalışıyoruz.\n\nVerdiğimiz sıkıntıdan ötürü özür dileriz, bunun telafisi olarak sana küçük bir hediye sunuyoruz.\n\nAnlayışın ve desteğin için teşekkürler. Tavernada görüşürüz!\n\nYardımcı Roger</t>
  </si>
  <si>
    <t>Thưa Thủ Lĩnh,\n\nDo sự cố trục trặc về mạch điện, Thành phố của bạn có thể gặp &lt;color=#ffa200&gt;lỗi ngưng vận hành&lt;/color&gt; hoặc các vấn đề khác. Chúng tôi đang hết sức nỗ lực để &lt;color=#ffa200&gt;khắc phục sự cố sớm nhất có thể&lt;/color&gt;.\n\nChúng tôi xin lỗi vì sự bất tiện này và xin phép được tặng một món quà nhỏ để bù đắp cho bạn.\n\nCảm ơn bạn đã thông cảm và hỗ trợ. Hẹn gặp lại ở Tửu Quán nhé!\n\nPhụ tá Roger</t>
  </si>
  <si>
    <t>部队异常说明</t>
  </si>
  <si>
    <t>Troop Data Error</t>
  </si>
  <si>
    <t>Erreur de données liées aux troupes</t>
  </si>
  <si>
    <t>Truppendatenfehler</t>
  </si>
  <si>
    <t>Erro nos dados de tropas</t>
  </si>
  <si>
    <t>部隊異常說明</t>
  </si>
  <si>
    <t>Kesalahan Data Pasukan</t>
  </si>
  <si>
    <t>ข้อผิดพลาดเกี่ยวกับข้อมูลกองทหาร</t>
  </si>
  <si>
    <t>Error en los Datos de la Tropa</t>
  </si>
  <si>
    <t>Ошибка данных войск</t>
  </si>
  <si>
    <t>Birlik Verisi Hatası</t>
  </si>
  <si>
    <t>Lỗi dữ liệu binh lính</t>
  </si>
  <si>
    <r>
      <rPr>
        <rFont val="Arial"/>
        <color theme="1"/>
      </rPr>
      <t>亲爱的指挥官：\n\n你好，由于城市电路发生故障，你的部队可能会出现</t>
    </r>
    <r>
      <rPr>
        <rFont val="Arial"/>
        <color rgb="FFFF9900"/>
      </rPr>
      <t>&lt;color=#ffa200&gt;丢失&lt;/color&gt;</t>
    </r>
    <r>
      <rPr>
        <rFont val="Arial"/>
        <color theme="1"/>
      </rPr>
      <t>的情况。我们正在处理解决这个问题。\n为您带来不便深感歉意，在此为您送上一份补偿，请注意查收。\n我们将不断改进，希望能得到你的理解与支持，祝愿火箭发射顺利！\n\n罗杰副官</t>
    </r>
  </si>
  <si>
    <t>Dear Captain,\n\nDue to circuit malfunctions, you may experience problems with &lt;color=#ffa200&gt;missing troops&lt;/color&gt;. We are currently working to fix this issue.\n\nWe apologize for the inconvenience and have included a small gift for you as compensation.\n\nThank you for your understanding and support as we continue to improve. See you around the Tavern!\n\nDeputy Roger</t>
  </si>
  <si>
    <t>Cher capitaine,\n\nEn raison du dysfonctionnement d'un circuit, vous avez peut-être constaté des &lt;color=#ffa200&gt;troupes manquantes&lt;/color&gt;. Nous travaillons actuellement à résoudre ce souci.\n\nNous vous prions de nous excuser pour ce désagrément et vous offrons un petit cadeau en dédommagement.\n\nMerci pour votre compréhension et votre soutien. A bientôt à la taverne!\n\nRoger l'assistant</t>
  </si>
  <si>
    <t>Lieber Captain,\n\nAufgrund von Schaltkreisfehlern kann es bei dir zu Problemen mit &lt;color=#ffa200&gt;fehlenden Truppen&lt;/color&gt; kommen. Wir arbeiten aktuell daran, dieses Problem zu beheben.\n\nWir entschuldigen uns für die Unannehmlichkeiten und haben als Entschädigung ein kleines Geschenk für dich beigefügt.\n\nVielen Dank für dein Verständnis und deine Unterstützung, während wir uns weiter verbessern. Wir sehen uns in der Taverne!\n\nAdjudant Roger</t>
  </si>
  <si>
    <t>Caro Capitão,\n\nDevido a um mal funcionamento dos circuitos, você talvez tenha problemas com &lt;color=#ffa200&gt;tropas perdidas&lt;/color&gt;. Estamos trabalhando para resolver esse problema.\n\nLamentamos pelo inconveniente e, por isso, incluímos um pequeno presente para você como compensação.\n\nNossa equipe agradece sua compreensão e apoio ao passo que continuamos melhorando. Vemos você na taverna!\n\nDelegado Roger</t>
  </si>
  <si>
    <t>親愛的指揮官：\n\n你好，由於城市電路發生故障，你的部隊可能會出現&lt;color=#ffa200&gt;丟失&lt;/color&gt;的情況。我們正在處理解決這個問題。\n為您帶來不便深感歉意，在此為您送上一份補償，請注意查收。\n我們將不斷改進，希望能得到你的理解與支持，祝愿火箭發射順利！\n\n羅傑副官</t>
  </si>
  <si>
    <t>Kapten yang terhormat,\n\nSehubungan dengan kerusakan sirkuit, kamu mungkin mengalami masalah dengan &lt;color=#ffa200&gt;pasukan yang hilang&lt;/color&gt;. Kami sedang berusaha untuk memperbaiki masalah ini.\n\nKami mohon maaf atas ketidaknyamanannya dan telah menyertakan hadiah kecil untukmu sebagai kompensasi.\n\nTerima kasih atas pengertian dan dukunganmu sementara kami terus meningkatkan game. Sampai jumpa di sekitar Kedai!\n\nDeputi Roger</t>
  </si>
  <si>
    <t>ถึงท่านผู้บัญชาการ\n\nเนื่องจากวงจรทำงานผิดปกติ นายอาจประสบปัญหา&lt;color=#ffa200&gt;กองทหารสูญหาย&lt;/color&gt; ซึ่งในขณะนี้ เรากำลังดำเนินการแก้ไขปัญหานี้อย่างเต็มที่\n\nขออภัยในความไม่สะดวก เราจึงขอมอบของขวัญเล็ก ๆ น้อย ๆ ให้เป็นการชดเชย\n\nขอขอบคุณสำหรับความเข้าใจและการสนับสนุนการปรับปรุงอย่างต่อเนื่องของเรา แล้วไว้เจอกันแถว ๆ โรงแรมนะ!\n\nท่านรองโรเจอร์</t>
  </si>
  <si>
    <t>Querido Capitán, \n\nDebido a unos fallos en los circuitos, puedes experimentar problemas con &lt;color=#ffa200&gt;tropas faltantes&lt;/color&gt;. Estamos trabajando en este momento para corregir este problema.\n\nNos disculpamos por el inconveniente y hemos incluido un pequeño regalo para ti como compensación. \n\nGracias por tu comprensión y apoyo mientras continuamos mejorando. ¡Nos vemos en la Taberna!\n\nComisario Roger</t>
  </si>
  <si>
    <t>Уважаемый капитан!\n\nИз-за сбоев в работе микросхем в вашем городе могут возникнуть проблемы с &lt;color=#ffa200&gt;исчезновением войск&lt;/color&gt;. Мы прилагаем все усилия, чтобы исправить эти неполадки.\n\nПриносим извинения за неудобства и отправляем вам небольшой подарок в качестве компенсации!\n\nСпасибо за понимание и поддержку наших мер по улучшению игры. Увидимся в таверне!\n\nПомощник Роджер</t>
  </si>
  <si>
    <t>Sevgili Kaptan,\n\nDevre bozuklukları nedeniyle &lt;color=#ffa200&gt;eksik birlikler&lt;/color&gt; konusunda sorun yaşayabilirsin. Bu sorunu çözmek için şu anda çalışıyoruz.\n\nVerdiğimiz sıkıntıdan ötürü özür dileriz, bunun telafisi olarak sana küçük bir hediye sunuyoruz.\n\nGelişme sürecimizdeki anlayışın ve desteğin için teşekkürler. Tavernada görüşürüz!\n\nYardımcı Roger</t>
  </si>
  <si>
    <t>Thưa Thủ Lĩnh,\n\nDo sự cố trục trặc về mạch điện, bạn có thể gặp tình trạng &lt;color=#ffa200&gt;binh lính mất tích&lt;/color&gt;. Chúng tôi hiện đang tìm cách khắc phục sự cố này.\n\nChúng tôi xin lỗi vì sự bất tiện này và xin phép được tặng một món quà nhỏ để bù đắp cho bạn.\n\nCảm ơn bạn đã thông cảm và ủng hộ trong thời gian chúng tôi tiếp tục cải thiện trò chơi. Hẹn gặp lại ở Tửu Quán nhé!\n\nPhụ tá Roger</t>
  </si>
  <si>
    <t>部队异常修复说明</t>
  </si>
  <si>
    <t>Troop Data Error Fixed</t>
  </si>
  <si>
    <t>Résolution de l'erreur de données liées aux troupes</t>
  </si>
  <si>
    <t>Truppendatenfehler behoben</t>
  </si>
  <si>
    <t>Erro nos dados de tropas resolvido</t>
  </si>
  <si>
    <t>部隊異常修復說明</t>
  </si>
  <si>
    <t>Kesalahan Data Pasukan Diperbaiki</t>
  </si>
  <si>
    <t>แก้ไขข้อผิดพลาดเกี่ยวกับข้อมูลกองทหารแล้ว</t>
  </si>
  <si>
    <t>Error en los Datos de la Tropa corregido</t>
  </si>
  <si>
    <t>Ошибка данных войск исправлена</t>
  </si>
  <si>
    <t>Birlik Verisi Hatası Düzeltildi</t>
  </si>
  <si>
    <t>Đã khắc phục lỗi dữ liệu binh lính</t>
  </si>
  <si>
    <r>
      <rPr>
        <rFont val="Arial"/>
        <color theme="1"/>
      </rPr>
      <t>亲爱的指挥官：\n\n由于城市里令人不安的蟑螂，你的城市可能遇到了</t>
    </r>
    <r>
      <rPr>
        <rFont val="Arial"/>
        <color rgb="FFFF9900"/>
      </rPr>
      <t>&lt;color=#ffa200&gt;部队损失&lt;/color&gt;</t>
    </r>
    <r>
      <rPr>
        <rFont val="Arial"/>
        <color theme="1"/>
      </rPr>
      <t>。我们的团队已经解决了这个问题，所有的部队都回来了!你可以检查一下，他们已经回到你的城市了!我们对你遇到的麻烦感到抱歉。\n感谢您对Age of Apes的理解和支持。祝你能喝到所有的香蕉冰沙!\n\n罗杰副官</t>
    </r>
  </si>
  <si>
    <t>Dear Captain,\n\nDue to circuit malfunctions, you may have experienced problems with &lt;color=#ffa200&gt;missing troops&lt;/color&gt;. We have fixed the issue and all of your troops have returned to your City! Make an inspection, we're sure you'll find them all present and accounted for.\n\nWe apologize for the inconvenience and will work hard to bring you a better gaming experience.\n\nThank you for your understanding and support. See you around the Tavern!\n\nDeputy Roger</t>
  </si>
  <si>
    <t>Cher capitaine,\n\nEn raison du dysfonctionnement d'un circuit, vous avez peut-être constaté des &lt;color=#ffa200&gt;troupes manquantes&lt;/color&gt;. Nous avons résolu le problème et toutes vos troupes sont de retour dans votre ville. Vous pouvez effectuer une inspection, nous sommes certains qu'elles répondront toutes à l'appel.\n\nNous vous prions de nous excuser pour ce désagrément. Nous continuons de travailler dur pour vous proposer une expérience de jeu optimale.\n\nMerci pour votre compréhension et votre soutien. A bientôt à la taverne!\n\nRoger l'assistant</t>
  </si>
  <si>
    <t>Lieber Captain,\n\nAufgrund von Schaltkreisfehlern kann es sein, dass du Probleme mit &lt;color=#ffa200&gt;fehlenden Truppen&lt;/color&gt; hattest. Wir haben das Problem behoben und alle deine Truppen sind in deine Stadt zurückgekehrt! Mach eine Inspektion, wir sind sicher, du wirst sie alle anwesend und bereit vorfinden.\n\nWir entschuldigen uns für die Unannehmlichkeiten und werden hart daran arbeiten, dir ein besseres Spielerlebnis zu bieten.\n\nVielen Dank für dein Verständnis und deine Unterstützung. Wir sehen uns in der Taverne!\n\nAdjudant Roger</t>
  </si>
  <si>
    <t>Caro Capitão,\n\nDevido a um mal funcionamento dos circuitos, você talvez notou alguns problemas com &lt;color=#ffa200&gt;tropas perdidas&lt;/color&gt;. Resolvemos esse problema e todas as suas tropas devem ter retornado para a sua cidade! Confira suas tropas. Temos certeza de que você as encontrará conforme o esperado.\n\nLamentamos pelo ocorrido e trabalharemos ainda mais para melhorar sua experiência dentro do jogo.\n\nNossa equipe agradece seu apoio e compreensão. Vemos você na taverna!\n\nDelegado Roger</t>
  </si>
  <si>
    <t>親愛的指揮官：\n\n由於城市裡令人不安的蟑螂，你的城市可能遇到了&lt;color=#ffa200&gt;部隊損失&lt;/color&gt;。我們的團隊已經解決了這個問題，所有的部隊都回來了!你可以檢查一下，他們已經回到你的城市了!我們對你遇到的麻煩感到抱歉。\n感謝您對Age of Apes的理解和支持。祝你能喝到所有的香蕉冰沙!\n\n羅傑副官</t>
  </si>
  <si>
    <t>Kapten yang terhormat,\n\nSehubungan dengan kerusakan sirkuit, kamu mungkin mengalami masalah dengan &lt;color=#ffa200&gt;pasukan yang hilang&lt;/color&gt;. Kami telah memperbaiki masalah tersebut dan semua pasukanmu telah kembali ke Kotamu! Lakukan pemeriksaan, kami yakin kamu akan menemukan semuanya ada dan dipertanggungjawabkan.\n\nKami mohon maaf atas ketidaknyamanan ini dan akan bekerja keras untuk memberikanmu pengalaman bermain game yang lebih baik.\n\nTerima kasih atas pengertian dan dukunganmu. Sampai Jumpa di Sekitar Kedai!\n\nDeputi Roger</t>
  </si>
  <si>
    <t>ถึงท่านผู้บัญชาการ\n\nเนื่องจากวงจรทำงานผิดปกติ นายอาจประสบปัญหา&lt;color=#ffa200&gt;กองทหารสูญหาย&lt;/color&gt; ซึ่งเราได้จัดการแก้ไขปัญหาและกองทหารทั้งหมดของนายก็ได้กลับไปที่เมืองของนายแล้ว! ลองไปตรวจสอบดูนะ เรามั่นใจว่านายจะพบกองทหารของนายอยู่กันพร้อมหน้าเลยล่ะ\n\nขออภัยในความไม่สะดวก และเราจะพยายามอย่างเต็มที่เพื่อให้นายได้รับประสบการณ์การเล่นเกมที่ดียิ่ง ๆ ขึ้นไป\n\nขอขอบคุณสำหรับความเข้าใจและการสนับสนุนของนาย แล้วไว้เจอกันแถว ๆ โรงแรมนะ!\n\nท่านรองโรเจอร์</t>
  </si>
  <si>
    <t>Querido Capitán, \n\nDebido a unos fallos en los circuitos, puedes experimentar problemas con &lt;color=#ffa200&gt;tropas faltantes&lt;/color&gt;. Hemos corregido este problema y, ¡todas tus tropas han regresado a la Ciudad! Haz una inspección para asegurarte de que las encuentres presentes y contabilizadas.\n\nNos disculpamos por el inconveniente y trabajaremos duro para traerte una mejor experiencia de juego. \n\nGracias por tu comprensión y apoyo. ¡Nos vemos en la Taberna!\n\nComisario Roger</t>
  </si>
  <si>
    <t>Уважаемый капитан!\n\nИз-за сбоев в работе микросхем вы могли столкнуться с &lt;color=#ffa200&gt;исчезновением войск&lt;/color&gt;. Мы исправили эту проблему, и ваши войска вернулись в город. Можете проверить: мы уверены, что вы найдете их в целости и сохранности.\n\nПриносим извинения за неудобства — мы будем усердно работать, чтобы дарить вам лучшие впечатления от игры.\n\nСпасибо за понимание и поддержку. Увидимся в таверне!\n\nПомощник Роджер</t>
  </si>
  <si>
    <t>Sevgili Kaptan,\n\nDevre bozuklukları nedeniyle &lt;color=#ffa200&gt;eksik birlikler&lt;/color&gt; konusunda sorun yaşamış olabilirsin. Sorunu çözdük ve tüm birliklerin Şehrine döndü! Teftiş yap, hepsini yerli yerinde ve olması gereken sayıda bulacağına eminiz.\n\nVerdiğimiz sıkıntıdan ötürü özür dileriz ve sana daha iyi bir oyun deneyimi sunmak için çok çalışacağız.\n\nAnlayışın ve desteğin için teşekkürler. Tavernada görüşürüz!\n\nYardımcı Roger</t>
  </si>
  <si>
    <t>Thưa Thủ Lĩnh,\n\nDo sự cố trục trặc về mạch điện, bạn có thể đã gặp phải tình trạng &lt;color=#ffa200&gt;binh lính mất tích&lt;/color&gt;. Chúng tôi đã khắc phục xong sự cố và tất cả binh lính đã trở về Thành phố của bạn! Kiểm tra nhé, chúng tôi chắc chắn bạn sẽ thấy tất cả binh lính đều xuất hiện không thiếu một ai đâu.\n\nChúng tôi chân thành xin lỗi vì sự bất tiện này và sẽ làm việc chăm chỉ để mang lại cho bạn những trải nghiệm tốt hơn trong trò chơi.\n\nCảm ơn bạn đã thông cảm và hỗ trợ. Hẹn gặp lại ở Tửu Quán nhé!\n\nPhụ tá Roger</t>
  </si>
  <si>
    <t>活动排名积分已解决</t>
  </si>
  <si>
    <t>Ranking Points Issue Fixed</t>
  </si>
  <si>
    <t>Résolution d'un problème de classement</t>
  </si>
  <si>
    <t>Problem mit Ranglistenpunkten behoben</t>
  </si>
  <si>
    <t>Resolução do problema nos pontos de classificação</t>
  </si>
  <si>
    <t>活動排名積分已解決</t>
  </si>
  <si>
    <t>Masalah Poin Peringkat Diperbaiki</t>
  </si>
  <si>
    <t>แก้ไขปัญหาเกี่ยวกับคะแนนอันดับ</t>
  </si>
  <si>
    <t>Problema con los Puntos de Clasificación corregido</t>
  </si>
  <si>
    <t>Исправлена проблема с очками рейтинга</t>
  </si>
  <si>
    <t>Sıralama Puanları Sorunu Düzeltildi</t>
  </si>
  <si>
    <t>Đã khắc phục sự cố điểm BXH</t>
  </si>
  <si>
    <r>
      <rPr>
        <rFont val="Arial"/>
        <color theme="1"/>
      </rPr>
      <t>亲爱的指挥官：\n\n你好，由于城市电路发生故障，少数玩家的</t>
    </r>
    <r>
      <rPr>
        <rFont val="Arial"/>
        <color rgb="FFFF9900"/>
      </rPr>
      <t>&lt;color=#ffa200&gt;活动排名积分&lt;/color&gt;</t>
    </r>
    <r>
      <rPr>
        <rFont val="Arial"/>
        <color theme="1"/>
      </rPr>
      <t>出现了</t>
    </r>
    <r>
      <rPr>
        <rFont val="Arial"/>
        <color rgb="FFFF9900"/>
      </rPr>
      <t>&lt;color=#ffa200&gt;计算错误&lt;/color&gt;</t>
    </r>
    <r>
      <rPr>
        <rFont val="Arial"/>
        <color theme="1"/>
      </rPr>
      <t>的情况。我们已经处理了这个问题，后续活动的积分将</t>
    </r>
    <r>
      <rPr>
        <rFont val="Arial"/>
        <color rgb="FFFF9900"/>
      </rPr>
      <t>&lt;color=#ffa200&gt;正常显示&lt;/color&gt;</t>
    </r>
    <r>
      <rPr>
        <rFont val="Arial"/>
        <color theme="1"/>
      </rPr>
      <t>。\n为您带来不便深感歉意，在此为您送上一份补偿，请注意查收。\n我们将不断改进，希望能得到你的理解与支持，祝愿火箭发射顺利！\n\n罗杰副官</t>
    </r>
  </si>
  <si>
    <t>Dear Captain,\n\nDue to circuit malfunctions, some players experienced &lt;color=#ffa200&gt;calculation errors&lt;/color&gt; in their &lt;color=#ffa200&gt;event ranking points&lt;/color&gt;. We have fixed this issue and ranking points will &lt;color=#ffa200&gt;display normally&lt;/color&gt; going forward.\n\nWe apologize for the inconvenience and have included a small gift for you as compensation.\n\nThank you for your understanding and support as we continue to improve. See you around the Tavern!\n\nDeputy Roger</t>
  </si>
  <si>
    <t>Cher capitaine,\n\nEn raison du dysfonctionnement d'un circuit, certains joueurs ont constaté des &lt;color=#ffa200&gt;erreurs de calcul&lt;/color&gt; dans leur &lt;color=#ffa200&gt;score de classement dans un évènement&lt;/color&gt;. Nous avons résolu le problème et les scores affichés sont de &lt;color=#ffa200&gt;retour à la normale&lt;/color&gt;.\n\nNous vous prions de nous excuser pour ce désagrément et vous offrons un petit cadeau en dédommagement.\n\nMerci pour votre compréhension et votre soutien. Nous travaillons dur pour continuer à nous améliorer. A bientôt à la taverne!\n\nRoger l'assistant</t>
  </si>
  <si>
    <t>Lieber Captain,\n\nAufgrund von Schaltkreisfehlern kam es bei einigen Spielern zu &lt;color=#ffa200&gt;Berechnungsfehlern&lt;/color&gt; bei ihren &lt;color=#ffa200&gt;Event-Ranglistenpunkten&lt;/color&gt;. Wir haben dieses Problem behoben und die Ranglistenpunkte werden in Zukunft &lt;color=#ffa200&gt;normal angezeigt&lt;/color&gt;.\n\nWir entschuldigen uns für die Unannehmlichkeiten und haben als Entschädigung ein kleines Geschenk für dich beigefügt.\n\nVielen Dank für dein Verständnis und deine Unterstützung, während wir uns weiter verbessern. Wir sehen uns in der Taverne!\n\nAdjudant Roger</t>
  </si>
  <si>
    <t>Caro Capitão,\n\nDevido a um mal funcionamento dos circuitos, alguns jogadores notaram &lt;color=#ffa200&gt;erros de cálculo&lt;/color&gt; em seus &lt;color=#ffa200&gt;pontos de classificação de eventos&lt;/color&gt;. Resolvemos o problema e os pontos de classificação estão sendo &lt;color=#ffa200&gt;mostrados normalmente&lt;/color&gt; a partir de agora.\n\nLamentamos pelo inconveniente e, por isso, incluímos um pequeno presente para você como compensação.\n\nNossa equipe agradece sua compreensão e apoio ao passo que continuamos melhorando. Vemos você na taverna!\n\nDelegado Roger</t>
  </si>
  <si>
    <t>親愛的指揮官：\n\n你好，由於城市電路發生故障，少數玩家的&lt;color=#ffa200&gt;活動排名積分&lt;/color&gt;出現了&lt;color=#ffa200&gt;計算錯誤&lt;/color&gt;的情況。我們已經處理了這個問題，後續活動的積分將&lt;color=#ffa200&gt;正常顯示&lt;/color&gt;。\n為您帶來不便深感歉意，在此為您送上一份補償，請注意查收。\n我們將不斷改進，希望能得到你的理解與支持，祝愿火箭發射順利！\n\n羅傑副官</t>
  </si>
  <si>
    <t>Kapten yang terhormat,\n\nSehubungan dengan kerusakan sirkuit, sejumlah pemain mengalami &lt;color=#ffa200&gt;kesalahan perhitungan&lt;/color&gt; pada &lt;color=#ffa200&gt;poin peringkat acara&lt;/color&gt;. Kami telah memperbaiki masalah ini dan poin peringkat akan &lt;color=#ffa200&gt;ditampilkan secara normal&lt;/color&gt; selanjutnya.\n\nKami mohon maaf atas ketidaknyamanannya dan telah menyertakan hadiah kecil untukmu sebagai kompensasi.\n\nTerima kasih atas pengertian dan dukunganmu sementara kami terus meningkatkan game. Sampai jumpa di sekitar Kedai!\n\nDeputi Roger</t>
  </si>
  <si>
    <t>ถึงท่านผู้บัญชาการ\n\nเนื่องจากวงจรทำงานผิดปกติ ผู้เล่นบางคนอาจพบ&lt;color=#ffa200&gt;ข้อผิดพลาดในการคำนวณ&lt;/color&gt;&lt;color=#ffa200&gt;คะแนนอันดับกิจกรรม&lt;/color&gt; เราได้แก้ไขปัญหานี้แล้วและคะแนนอันดับจะ&lt;color=#ffa200&gt;แสดงอันดับที่ถูกต้อง&lt;/color&gt;ในอนาคต\n\nขออภัยในความไม่สะดวก เราจึงขอมอบของขวัญเล็ก ๆ น้อย ๆ ให้เป็นการชดเชย\n\nขอขอบคุณสำหรับความเข้าใจและการสนับสนุนการปรับปรุงอย่างต่อเนื่องของเรา แล้วไว้เจอกันแถว ๆ โรงแรมนะ!\n\nท่านรองโรเจอร์</t>
  </si>
  <si>
    <t>Querido Capitán, \n\nDebido a unos fallos en los circuitos, algunos jugadores han experimentado &lt;color=#ffa200&gt;errores de cálculo&lt;/color&gt; en sus &lt;color=#ffa200&gt;puntos de clasificación del evento&lt;/color&gt;. Hemos corregido este problema y los puntos de clasificación ahora &lt;color=#ffa200&gt;se desplegarán normalmente&lt;/color&gt; de aquí en adelante.\n\nNos disculpamos por el inconveniente y hemos incluido un pequeño regalo para ti como compensación. \n\nGracias por tu comprensión y apoyo mientras continuamos mejorando. ¡Nos vemos en la Taberna!\n\nComisario Roger</t>
  </si>
  <si>
    <t>Уважаемый капитан!\n\nИз-за сбоев в работе микросхем некоторые игроки столкнулись с &lt;color=#ffa200&gt;ошибками подсчета&lt;/color&gt; &lt;color=#ffa200&gt;очков рейтинга в событии&lt;/color&gt;. Мы исправили эту проблему, и теперь очки рейтинга будут &lt;color=#ffa200&gt;отображаться нормально&lt;/color&gt;.\n\nПриносим извинения за неудобства и отправляем вам небольшой подарок в качестве компенсации!\n\nСпасибо за понимание и поддержку наших мер по улучшению игры. Увидимся в таверне!\n\nПомощник Роджер</t>
  </si>
  <si>
    <t>Sevgili Kaptan,\n\nDevre bozuklukları yüzünden bazı oyuncular &lt;color=#ffa200&gt;etkinlik sıralama puanlarında&lt;/color&gt; &lt;color=#ffa200&gt;hesaplama hatalarıyla&lt;/color&gt; karşılaştılar. Bu sorunu düzelttik ve sıralama puanları bundan sonra &lt;color=#ffa200&gt;normal şekilde görüntülenecek&lt;/color&gt;.\n\nVerdiğimiz sıkıntıdan ötürü özür dileriz, bunun telafisi olarak sana küçük bir hediye sunuyoruz.\n\nGelişme sürecimizdeki anlayışın ve desteğin için teşekkürler. Tavernada görüşürüz!\n\nYardımcı Roger</t>
  </si>
  <si>
    <t>Thưa Thủ Lĩnh,\n\nDo sự cố trục trặc về mạch điện, một vài người chơi đã gặp phải &lt;color=#ffa200&gt;lỗi tính toán&lt;/color&gt; trong &lt;color=#ffa200&gt;việc tính điểm xếp hạng&lt;/color&gt;. Chúng tôi đã khắc phục sự cố này và điểm xếp hạng sẽ &lt;color=#ffa200&gt;hiển thị bình thường&lt;/color&gt; trong tương lai\n\nChúng tôi xin lỗi vì sự bất tiện này và xin phép được tặng một món quà nhỏ để bù đắp cho bạn.\n\nCảm ơn bạn đã thông cảm và ủng hộ trong thời gian chúng tôi tiếp tục cải thiện trò chơi. Hẹn gặp lại ở Tửu Quán nhé!\n\nPhụ tá Roger</t>
  </si>
  <si>
    <t>回档邮件</t>
  </si>
  <si>
    <t>通知：数据已修复</t>
  </si>
  <si>
    <t>Data Error Fixed</t>
  </si>
  <si>
    <t>Résolution d'une erreur de données</t>
  </si>
  <si>
    <t>Datenfehler behoben</t>
  </si>
  <si>
    <t>Resolvido o erro nos dados</t>
  </si>
  <si>
    <t>通知：數據已修復</t>
  </si>
  <si>
    <t>Kesalahan Data Diperbaiki</t>
  </si>
  <si>
    <t>แก้ไขข้อผิดพลาดเกี่ยวกับข้อมูลแล้ว</t>
  </si>
  <si>
    <t>Corrección en el error de Datos</t>
  </si>
  <si>
    <t>Исправлена ошибка в данных</t>
  </si>
  <si>
    <t>Veri Hatası Düzeltildi</t>
  </si>
  <si>
    <t>Đã khắc phục lỗi dữ liệu</t>
  </si>
  <si>
    <r>
      <rPr>
        <rFont val="Arial"/>
        <color theme="1"/>
      </rPr>
      <t>亲爱的指挥官：\n\n由于系统故障，导致一些玩家收到多封相同的邮件，重复领取了邮件中的50 CD道具。\n我们的团队已经解决了这个问题，同时，我们会将您的数据</t>
    </r>
    <r>
      <rPr>
        <rFont val="Arial"/>
        <color rgb="FFFF9900"/>
      </rPr>
      <t>&lt;color=#ffa200&gt;回档至问题发生前&lt;/color&gt;</t>
    </r>
    <r>
      <rPr>
        <rFont val="Arial"/>
        <color theme="1"/>
      </rPr>
      <t>（即UTC时间2020年02月18日20:00之前）。\n\n我们无比珍视您在Age of Apes投入的心血和宝贵的时间，回档给您带来的损失，我们深感抱歉。\n请收下我们为您准备的赔偿：\n\n我们真诚地感谢您对Age of Apes的支持、包容和热爱。\n\n罗杰副官</t>
    </r>
  </si>
  <si>
    <t>Dear Captain,\n\nDue to circuit malfunctions, some players received the same mail multiple times by mistake and repeatedly claimed the attached 50 CDs item.\n\nWe have fixed this issue and will be &lt;color=#ffa200&gt;restoring your data to before the problem occurred&lt;/color&gt; (i.e. before 2020-02-18 20:00 UTC).\n\nWe appreciate the time and effort you've put into Age of Apes and sincerely apologize for any loss caused by the data restoration. We've included a small gift for you as compensation:\n\nThank you very much for your support and understanding.\n\nDeputy Roger</t>
  </si>
  <si>
    <t>Cher capitaine,\n\nEn raison du dysfonctionnement d'un circuit, certains joueurs ont reçu plusieurs fois le même message et ont récupéré les 50 CD qu'il contenait à de multiples reprises.\n\nNous avons résolu le problème et nous allons &lt;color=#ffa200&gt;restaurer vos données à l'état antérieur au problème&lt;/color&gt; (c'est-à-dire avant le 18/02/2020 à 20:00 TU).\n\nNous sommes conscients du temps et des efforts que vous investissez dans Age of Apes. C'est pourquoi nous vous prions de nous excuser pour les éventuelles pertes dues à la restauration des données. Voici un petit cadeau en dédommagement:\n\nMerci infiniment pour votre compréhension et votre soutien.\n\nRoger l'assistant</t>
  </si>
  <si>
    <t>Lieber Captain,\n\nAufgrund von Schaltkreisfehlern haben einige Spieler fälschlicherweise dieselbe Mail mehrfach erhalten und wiederholt das angehängte 50-CDs-Item beansprucht.\n\nWir haben dieses Problem behoben und werden &lt;color=#ffa200&gt;deine Daten auf den Stand vor dem Auftreten des Problems zurücksetzen&lt;/color&gt; (d.h. vor 28.02.2020 20:00 UTC).\n\nWir schätzen die Zeit und Mühe, die du in Age of Apes gesteckt hast und entschuldigen uns aufrichtig für den Verlust, der durch die Datenwiederherstellung entstanden ist. Als Entschädigung haben wir ein kleines Geschenk für dich beigefügt:\n\nVielen Dank für dein Verständnis und deine Unterstützung.\n\nAdjudant Roger</t>
  </si>
  <si>
    <t>Caro Capitão,\n\nDevido a um mal funcionamento dos circuitos, alguns jogadores receberam a mesma mensagem várias vezes por engano e resgataram mais de uma vez o item de 50 CDs que estava no anexo.\n\nResolvemos este problema e &lt;color=#ffa200&gt;restauramos os dados para antes do problema ter acontecido&lt;/color&gt;, ou seja, antes de 18/02/2020, às 20:00 (UTC).\n\nAgradecemos pelo seu tempo e esforços em Ages of Apes e lamentamos por quaisquer perdas causadas pela restauração desses dados. Incluímos um pequeno presente para você como compensação:\n\nAgradecemos pelo apoio e compreensão.\n\nDelegado Roger</t>
  </si>
  <si>
    <t>親愛的指揮官：\n\n由於系統故障，導致一些玩家收到多封相同的郵件，重複領取了郵件中的50 CD道具。\n我們的團隊已經解決了這個問題，同時，我們會將您的數據&lt;color=#ffa200&gt;回檔至問題發生前&lt;/color&gt;（即UTC時間2020年02月18日20:00之前）。\n\n我們無比珍視您在Age of Apes投入的心血和寶貴的時間，回檔給您帶來的損失，我們深感抱歉。\n請收下我們為您準備的賠償：\n\n我們真誠地感謝您對Age of Apes的支持、包容和熱愛。\n\n羅傑副官</t>
  </si>
  <si>
    <t>Kapten yang terhormat,\n\nSehubungan dengan kerusakan sirkuit, sejumlah pemain menerima email yang sama beberapa kali secara tidak sengaja dan berulang kali mengklaim item 50 CD yang disertakan.\n\nKami telah memperbaiki masalah ini dan akan &lt;color=#ffa200&gt;memulihkan datamu ke sebelum masalah terjadi&lt;/color&gt; (i.e. before 2020-02-18 20:00 UTC).\n\nKami menghargai waktu dan upaya yang kamu lakukan untuk Age of Apes dan dengan tulus meminta maaf atas kerugian yang disebabkan oleh pemulihan data. Kami telah menyertakan hadiah kecil untukmu sebagai kompensasi:\n\nTerima kasih banyak atas dukungan dan pengertiannya.\n\nDeputi Roger</t>
  </si>
  <si>
    <t>ถึงท่านผู้บัญชาการ\n\nเนื่องจากวงจรทำงานผิดปกติ ทำให้ผู้เล่นบางคนได้รับจดหมายฉบับเดียวกันซ้ำหลายครั้งโดยไม่ได้ตั้งใจ และได้รับไอเทมซีดี 50 แผ่นที่แนบไปซ้ำ ๆ\n\nเราได้แก้ไขปัญหานี้แล้ว และจะ&lt;color=#ffa200&gt;กู้คืนข้อมูลของนายไปในช่วงก่อนที่ปัญหาจะเกิดขึ้น&lt;/color&gt; (เช่น ก่อนวันที่ 18-02-2020 20:00 ตามเวลา UTC)\n\nขอขอบคุณที่สละเวลาและความพยายามที่มีให้กับ Age of Apes และขออภัยเป็นอย่างยิ่งสำหรับความสูญเสียใด ๆ ที่เกิดขึ้นจากการกู้คืนข้อมูล เราจึงขอมอบของขวัญเล็ก ๆ น้อย ๆ ให้เป็นการชดเชย:\n\nขอขอบคุณอย่างยิ่งสำหรับการสนับสนุนและความเข้าใจของนาย\n\nท่านรองโรเจอร์</t>
  </si>
  <si>
    <t>Querido Capitán, \n\nDebido a unos fallos en los circuitos algunos jugadores recibieron el mismo correo múltiples veces por error y pudieron reclamar repetidamente el artículo de 50 CD adjunto. \n\nHemos corregido este error y estaremos &lt;color=#ffa200&gt;restaurando tus datos al punto antes de que el problema ocurriera&lt;/color&gt; (por ejemplo, antes del 18-02-2020 20:00 UTC).\n\nApreciamos el tiempo y esfuerzo que haz puesto en Age of Apes y sinceramente nos disculpamos por cualquier pérdida de datos provocada por esta restauración de datos. Hemos incluido un pequeño regalo para ti como compensación:\n\nMuchas gracias por tu apoyo y comprensión. \n\nComisario Roger</t>
  </si>
  <si>
    <t>Уважаемый капитан!\n\nИз-за сбоев в работе микросхем некоторые игроки ошибочно получили одно и то же письмо несколько раз и несколько раз забрали приложенный предмет на 50 CD.\n\nМы исправили эту проблему и проведем &lt;color=#ffa200&gt;возврат данных к состоянию до произошедшей ошибки&lt;/color&gt; (то есть до 20:00 18.02.2020 UTC).\n\nМы ценим то, сколько времени и сил вы вкладываете в Age of Apes, и приносим искренние извинения за потери, которые может вызвать восстановление данных. В качестве компенсации отправляем вам небольшой подарок:\n\nБольшое спасибо за понимание и поддержку.\n\nПомощник Роджер</t>
  </si>
  <si>
    <t>Sevgili Kaptan,\n\nDevre bozuklukları yüzünden bazı oyuncular yanlışlıkla aynı postayı birden fazla kez aldılar ve ekteki 50 CD’lik eşyayı tekrar tekrar aldılar.\n\nBu sorunu düzelttik ve &lt;color=#ffa200&gt;verini sorun ortaya çıkmadan önceki hâliyle geri getireceğiz&lt;/color&gt; (ör. 18.02.2020, 20.00 (UTC) öncesi).\n\nAge of Apes’e ayırdığın zaman ve tüm çabaların için teşekkürler, veri geri getirmeden kaynaklanan kayıplar için içtenlikle özür dileriz. Telafi olarak sana küçük bir hediye sunuyoruz:\n\nDesteğin ve anlayışın için çok teşekkürler.\n\nYardımcı Roger</t>
  </si>
  <si>
    <t>Thưa Thủ Lĩnh,\n\nDo sự cố trục trặc về mạch điện, một lá thư đã được gửi đến một số người chơi nhiều lần do nhầm lẫn và người chơi liên tục nhận các vật phẩm trị giá 50 CD được đính kèm trong thư.\n\nChúng tôi đã khắc phục sự cố này và sẽ &lt;color=#ffa200&gt;khôi phục dữ liệu của bạn trước khi có vấn đề xảy ra&lt;/color&gt; (ví dụ trước 20:00 ngày 18/02/2020 UTC).\n\nChúng tôi vô cùng trân trọng thời gian và công sức mà bạn đã bỏ ra cho Age of Apes, và chân thành xin lỗi vì mọi tổn thất do quá trình khôi phục dữ liệu gây ra. Chúng tôi đã gửi kèm một món quà nhỏ cho bạn để đền bù:\n\nChúng tôi vô cùng cảm ơn các bạn đã thông cảm và ủng hộ.\n\nPhụ tá Roger</t>
  </si>
  <si>
    <t>奖励补偿发放</t>
  </si>
  <si>
    <t>Reward Re-Send</t>
  </si>
  <si>
    <t>Renvoi de récompenses</t>
  </si>
  <si>
    <t>Belohnung erneut gesendet</t>
  </si>
  <si>
    <t>Reenvio de recompensa</t>
  </si>
  <si>
    <t>獎勵補償發放</t>
  </si>
  <si>
    <t>Hadiah Dikirim Ulang</t>
  </si>
  <si>
    <t>การส่งรางวัลซ้ำ</t>
  </si>
  <si>
    <t>Re-envío de la Recompensa</t>
  </si>
  <si>
    <t>Повторная отправка наград</t>
  </si>
  <si>
    <t>Ödüllerin Yeniden Yollanması</t>
  </si>
  <si>
    <t>Gửi lại phần thưởng</t>
  </si>
  <si>
    <r>
      <rPr>
        <rFont val="Arial"/>
        <color theme="1"/>
      </rPr>
      <t>亲爱的指挥官：\n\n由于游戏内数据异常，导致您在{0}中</t>
    </r>
    <r>
      <rPr>
        <rFont val="Arial"/>
        <color rgb="FFFF9900"/>
      </rPr>
      <t>&lt;color=#ffa200&gt;没有收到对应的奖励&lt;/color&gt;</t>
    </r>
    <r>
      <rPr>
        <rFont val="Arial"/>
        <color theme="1"/>
      </rPr>
      <t>，我们已经修复了这个问题，因此给您带来的不便我们深感歉意，在此将奖励补发给您，请注意查收：\n\n感谢您对Age of Apes的理解与支持，祝愿火箭发射顺利！\n\n罗杰副官</t>
    </r>
  </si>
  <si>
    <t>Dear Captain,\n\nDue to data abnormalities, you &lt;color=#ffa200&gt;did not receive the corresponding rewards&lt;/color&gt; for {0}. We have fixed this issue and have included the appropriate rewards here. Please claim them below.\n\nThank you for your understanding and support of Age of Apes. May the bananas be with you and see you around the Tavern!\n\nDeputy Roger</t>
  </si>
  <si>
    <t>Cher capitaine,\n\nEn raison d'une erreur de données, &lt;color=#ffa200&gt;vous n'avez pas reçu les récompenses&lt;/color&gt; liées à {0}. Nous avons résolu ce problème et vous transmettons lesdites récompenses. Veuillez les récupérer ci-dessous.\n\nMerci pour votre compréhension et votre soutien à Age of Apes. Gardez la banane, et à bientôt à la taverne!\n\nRoger l'assistant</t>
  </si>
  <si>
    <t>Lieber Captain,\n\nAufgrund von Datenanomalien hast du &lt;color=#ffa200&gt;nicht die entsprechenden Belohnungen&lt;/color&gt; für {0} erhalten. Wir haben dieses Problem behoben und die entsprechenden Belohnungen hier beigefügt. Bitte fordere sie unten ein.\n\nVielen Dank für dein Verständnis und deine Unterstützung von Age of Apes. Mögen die Bananen mit dir sein und wir sehen uns in der Taverne!\n\nAdjudant Roger</t>
  </si>
  <si>
    <t>Caro Capitão,\n\nDevido a alguns problemas com os dados, você &lt;color=#ffa200&gt;não recebeu as seguintes recompensas&lt;/color&gt; para {0}. Resolvemos este problemas e incluímos as recompensas correspondentes aqui. Resgate-as abaixo.\n\nNossa equipe agradece sua compreensão e apoio a Age of Apes. Que as bananas estejam com você! Nos vemos na taverna!\n\nDelegado Roger</t>
  </si>
  <si>
    <t>親愛的指揮官：\n\n由於遊戲內數據異常，導致您在{0}中&lt;color=#ffa200&gt;沒有收到對應的獎勵&lt;/color&gt;，我們已經修復了這個問題，因此給您帶來的不便我們深感歉意，在此將獎勵補發給您，請注意查收：\n\n感謝您對Age of Apes的理解與支持，祝愿火箭發射順利！\n\n羅傑副官</t>
  </si>
  <si>
    <t>Kapten yang terhormat,\n\nSehubungan dengan ketidaknormalan data, kamu &lt;color=#ffa200&gt;tidak menerima hadiah yang sesuai&lt;/color&gt; for {0}. Kami telah memperbaiki masalah ini dan telah menyertakan hadiah yang sesuai di sini. Klaim di bawah ini.\n\nTerima kasih atas pengertian dan dukunganmu terhadap Age of Apes. Semoga pisang menyertaimu dan sampai jumpa di sekitar Kedai!\n\nDeputi Roger</t>
  </si>
  <si>
    <t>ถึงท่านผู้บัญชาการ\n\nเนื่องจากข้อมูลผิดปกติ นายจึงอาจ&lt;color=#ffa200&gt;ไม่ได้รับรางวัล&lt;/color&gt;ของ{0}ตามที่กำหนด เราได้แก้ไขปัญหานี้แล้วและได้มอบรางวัลที่ถูกต้องมาให้ที่นี่แล้ว รีบไปรับรางวัลด้านล่างได้เลย\n\nขอขอบคุณสำหรับความเข้าใจและการสนับสนุน Age of Apes ของนาย ขอให้กล้วยจงสถิตย์อยู่กับนาย แล้วไว้เจอกันแถว ๆ โรงแรมนะ!\n\nท่านรองโรเจอร์</t>
  </si>
  <si>
    <t>Querido Capitán, \n\nDebido a una anormalidad de datos, no &lt;color=#ffa200&gt;recibiste las recompensas correspondientes&lt;/color&gt; por {0}. Hemos corregido este problema y hemos incluido las recompensas apropiadas aquí. Por favor, reclámalas debajo.\n\nGracias por tu comprensión y apoyo a Age of Apes. Que las bananas te acompañen y, ¡nos vemos en la Taberna!\n\nComisario Roger</t>
  </si>
  <si>
    <t>Уважаемый капитан!\n\nВ связи с аномальными игровыми данными вы &lt;color=#ffa200&gt;не получили соответствующую награду&lt;/color&gt; за событие «{0}». Мы исправили эту проблему и отправляем ваши награды. Пожалуйста, заберите их ниже.\n\nСпасибо за понимание и поддержку Age of Apes. Да пребудут с вами бананы — и увидимся в таверне!\n\nПомощник Роджер</t>
  </si>
  <si>
    <t>Sevgili Kaptan,\n\nVeri anormallikleri nedeniyle {0} ile &lt;color=#ffa200&gt;ilgili ödülleri almadın&lt;/color&gt;. Bu sorunu düzelttik ve ilgili ödülleri şu an buraya ekledik. Lütfen bunları aşağıdan al.\n\nAnlayışınız ve Age of Apes’e verdiğiniz destek için teşekkür ederiz. Muzlar seninle olsun, Tavernada görüşmek üzere!\n\nYardımcı Roger</t>
  </si>
  <si>
    <t>Thưa Thủ Lĩnh,\n\nDo xảy ra bất thường trong dữ liệu, bạn &lt;color=#ffa200&gt;không nhận được phần thưởng tương ứng&lt;/color&gt; cho {0}. Chúng tôi đã khắc phục sự cố này và đã gửi kèm một phần thưởng thích hợp trong thông báo này. Vui lòng nhận phần thưởng ở bên dưới.\n\nCảm ơn lòng thông cảm và tinh thần hỗ trợ Age of Apes của bạn. Chúc kho của bạn luôn đầy chuối và hẹn gặp bạn ở Tửu Quán!\n\nPhụ tá Roger</t>
  </si>
  <si>
    <t>Map Change Compensation</t>
  </si>
  <si>
    <t>Dédommagement pour modification de la carte</t>
  </si>
  <si>
    <t>Entschädigung für Änderungen an der Karte</t>
  </si>
  <si>
    <t>Compensação pela Mudança de Mapa</t>
  </si>
  <si>
    <t>地圖改動補償</t>
  </si>
  <si>
    <t>Kompensasi Perubahan Peta</t>
  </si>
  <si>
    <t>การชดเชยการเปลี่ยนแปลงแผนที่</t>
  </si>
  <si>
    <t>Compensación por cambio de mapa</t>
  </si>
  <si>
    <t>Компенсация за изменение карты</t>
  </si>
  <si>
    <t>Harita Değişikliği Telafisi</t>
  </si>
  <si>
    <t>Đền Bù Thay Đổi Bản Đồ</t>
  </si>
  <si>
    <t>亲爱的指挥官：\n我们在最近的更新中修改了地图，这可能导致您丢失某些占领的地图单位、修建的帮派建筑，或基地被移动。\n以下是给您的补偿，请收下。</t>
  </si>
  <si>
    <t>Dear Captain, \nWe made changes to the map in the most recent game update. This may have caused you to lose certain occupied map units or Gang buildings, or to have your City moved. \nWe have included a reward for you as compensation. Thank you for your understanding and support.</t>
  </si>
  <si>
    <t>Capitaine,\nNous avons modifié la carte lors de la dernière mise à jour du jeu. En raison de ces changements, vous avez peut-être perdu des unités, des bâtiments de gang, ou votre ville a été déplacée.\nVoici un cadeau en dédommagement. Merci pour votre compréhension et votre soutien.</t>
  </si>
  <si>
    <t>Hallo Captain, \nWir haben mit dem letzten Spielupdate Änderungen an der Karte vorgenommen. Dies kann dazu geführt haben, dass du bestimmte besetzte Karteneinheiten oder Clan-Gebäude verloren hast oder dass deine Stadt versetzt wurde. \nWir haben als Entschädigung eine Belohnung für dich beigefügt. Vielen Dank für dein Verständnis und deine Unterstützung.</t>
  </si>
  <si>
    <t>Caro Capitão, \nFizemos algumas mudanças no mapa na atualização mais recente do jogo. Isso pode ter feito você perder algumas unidades no mapa ocupado, estruturas da gangue ou sua cidade mudou de lugar. \nIncluímos uma recompensa para você como compensação. Nossa equipe agradece seu apoio e compreensão.</t>
  </si>
  <si>
    <t>親愛的指揮官：\n我們在最近的更新中修改了地圖，這可能導致您丟失某些佔領的地圖單位、修建的幫派建築，或基地被移動。 \n以下是給您的補償，請收下。</t>
  </si>
  <si>
    <t>Kapten yang terhormat, \nKami membuat perubahan pada peta di pembaruan game terkini. Ini mungkin akan mengakibatkanmu kehilangan unit peta atau bangunan Geng tertentu yang diduduki, atau memindahkan Kotamu. \nKami telah menyertakan hadiah untukmu sebagai kompensasi. Terima kasih atas pengertian dan dukunganmu.</t>
  </si>
  <si>
    <t>ถึงกัปตัน\nเราได้ทำการเปลี่ยนแปลงแผนที่ในการอัปเดตเกมล่าสุด ซึ่งอาจทำให้คุณสูญเสียหน่วยทหารที่ทำการครอบครองอยู่บนแผนที่หรือสิ่งปลูกสร้างของแก๊ง หรือเมืองของคุณอาจถูกย้ายตำแหน่ง\nเราจึงขอส่งรางวัลนี้มาให้คุณแทนคำขออภัย ขอขอบคุณสำหรับความเข้าใจและการสนับสนุนของคุณ</t>
  </si>
  <si>
    <t>Querido Capitán: \nHemos realizado cambios en el mapa durante la más reciente actualización del juego. Esto puede haber provocado que perdieras algunas unidades de mapa ocupadas o edificios de la Banda, o, que tu Ciudad se haya movido de lugar. \nHemos incluido una recompensa para ti como compensación. Gracias por tu comprensión y apoyo.</t>
  </si>
  <si>
    <t>Уважаемый капитан! \nВ последнем обновлении игры мы внесли изменения в карту. Это могло привести к потерям тех или иных оккупированных построек на карте или зданий банды, а также к перемещению вашего города. \nВ качестве компенсации мы отправляем вам эту награду. Спасибо за понимание и поддержку.</t>
  </si>
  <si>
    <t>Sevgili Kaptan, \nEn son oyun güncellemesinde haritada değişiklikler yaptık. Bu işgal edilen belirli harita birimlerini veya Çete binalarını kaybetmene veya Şehrinin taşınmasına neden olabilir. \nTelafi olarak senin için bir ödül ekledik. Anlayışın ve desteğin için teşekkürler.</t>
  </si>
  <si>
    <t>Thưa Thủ Lĩnh, \nChúng tôi đã thực hiện một số thay đổi về bản đồ trong bản cập nhật trò chơi gần đây nhất. Việc này có thể khiến bạn bị mất các đơn vị bản đồ hoặc các công trình Bang Hội đã chiếm đóng, hoặc Thành Phố của bạn bị di chuyển. \nChúng tôi đã đính kèm một phần thưởng để bù đắp cho bạn. Cảm ơn bạn đã thông cảm và ủng hộ chúng tôi.</t>
  </si>
  <si>
    <t>恶意使用Bug的玩家已被处理</t>
  </si>
  <si>
    <t>Player Using Exploits Penalized</t>
  </si>
  <si>
    <t>Rappel à l'ordre d'un joueur exploitant des failles</t>
  </si>
  <si>
    <t>Bestrafung des Spielers, der Exploits ausgenutzt hat</t>
  </si>
  <si>
    <t>Penalização para jogadores abusando de bugs</t>
  </si>
  <si>
    <t>惡意使用Bug的玩家已被處理</t>
  </si>
  <si>
    <t>Pemain yang Menggunakan Eksploitasi Bug Dihukum</t>
  </si>
  <si>
    <t>การลงโทษผู้เล่นที่ใช้ประโยชน์จากช่องโหว่</t>
  </si>
  <si>
    <t>Penalización a jugador aprovechándose del juego</t>
  </si>
  <si>
    <t>Наказан игрок, использовавший эксплойты</t>
  </si>
  <si>
    <t>İstismar Eden Oyuncu Cezalandırıldı</t>
  </si>
  <si>
    <t>Phạt người chơi có hành vi bóc lột</t>
  </si>
  <si>
    <r>
      <rPr>
        <rFont val="Arial"/>
        <color theme="1"/>
      </rPr>
      <t>亲爱的指挥官：\n\n我们收到部分玩家反馈，有一名玩家</t>
    </r>
    <r>
      <rPr>
        <rFont val="Arial"/>
        <color rgb="FFFF9900"/>
      </rPr>
      <t>&lt;color=#ffa200&gt;恶意利用游戏规则刷取资源&lt;/color&gt;</t>
    </r>
    <r>
      <rPr>
        <rFont val="Arial"/>
        <color theme="1"/>
      </rPr>
      <t>，导致游戏数据异常，我们已经对有异常操作的玩家</t>
    </r>
    <r>
      <rPr>
        <rFont val="Arial"/>
        <color rgb="FFFF9900"/>
      </rPr>
      <t>&lt;color=#ffa200&gt;采取了措施&lt;/color&gt;</t>
    </r>
    <r>
      <rPr>
        <rFont val="Arial"/>
        <color theme="1"/>
      </rPr>
      <t>。\n很抱歉该bug影响到了您的体验，在此为您送上一份补偿，请注意查收。\n\n再次感谢玩家们对Age of Apes的支持和热爱。欢迎您报告任何注意到的错误和异常行为，这有助于我们为所有人提供更好的游戏体验。\n\n罗杰副官</t>
    </r>
  </si>
  <si>
    <t>Dear Captain,\n\nWe received feedback regarding a player who &lt;color=#ffa200&gt;exploited in-game bugs to illegally obtain resources&lt;/color&gt;, causing data abnormalities in the game. Please rest assured we have already &lt;color=#ffa200&gt;taken measures&lt;/color&gt; against the player.\n\nWe apologize for any negative experience you may have had as a result. Here's a special gift to make it up to you.\n\nThanks again for your support. If you notice any errors or abnormal behavior, please don't hesitate to report them. Your feedback helps us to provide a better gaming experience for all players.\n\nDeputy Roger</t>
  </si>
  <si>
    <t>Cher capitaine,\n\nIl a été porté à notre connaissance qu'un joueur &lt;color=#ffa200&gt;exploitait des failles dans le jeu pour obtenir illégalement des ressources&lt;/color&gt;, ce qui a causé des incohérences dans les données. Ne vous inquiétez pas, nous avons d'ores et déjà &lt;color=#ffa200&gt;pris des mesures&lt;/color&gt; à l'encontre de ce joueur.\n\nNous vous prions de nous excuser pour les désagréments que vous avez pu subir. Voici un cadeau spécial pour nous faire pardonner.\n\nMerci encore pour votre soutien. Si vous constatez des erreurs ou des comportements anormaux, n'hésitez pas à nous en faire part. Vos commentaires nous aident à proposer une expérience optimale pour tous les joueurs.\n\nRoger l'assistant</t>
  </si>
  <si>
    <t>Lieber Captain,\n\nWir sind auf einen Spieler aufmerksam gemacht worden, der &lt;color=#ffa200&gt;Programmfehler im Spiel ausgenutzt hat, um illegal Ressourcen zu erhalten&lt;/color&gt; und dadurch Datenanomalien im Spiel verursacht hat. Bitte sei versichert, dass wir bereits &lt;color=#ffa200&gt;Maßnahmen&lt;/color&gt; gegen diesen Spieler ergriffen haben.\n\nWir entschuldigen uns für jegliche negative Erfahrung, die du dadurch gemacht hast. Hier ist ein besonderes Geschenk zur Wiedergutmachung für dich.\n\nNochmals vielen Dank für deine Unterstützung. Wenn du irgendwelche Fehler oder irreguläres Verhalten bemerkst, zögere bitte nicht, es zu melden. Dein Feedback hilft uns, ein besseres Spielerlebnis für alle Spieler zu gewährleisten.\n\nAdjudant Roger</t>
  </si>
  <si>
    <t>Caro Capitão,\n\nRecebemos feedback a respeito de um jogador que &lt;color=#ffa200&gt;abusou de bugs para obter recursos ilegalmente&lt;/color&gt;, o que causou problemas nos dados do jogo. Saiba que já tomamos todas as &lt;color=#ffa200&gt;medidas cabíveis&lt;/color&gt; a respeito deste jogador.\n\nLamentamos por qualquer inconveniente que isso possa ter causado a você. Você receberá um pequeno presente de compensação.\n\nNossa equipe agradece seu suporte. Caso note quaisquer erros ou comportamentos suspeitos, não deixe de falar conosco. Seu feedback nos ajuda a melhorar a experiência de jogo para todos os jogadores.\n\nDelegado Roger</t>
  </si>
  <si>
    <t>親愛的指揮官：\n\n我們收到部分玩家反饋，有一名玩家&lt;color=#ffa200&gt;惡意利用遊戲規則刷取資源&lt;/color&gt;，導致遊戲數據異常，我們已經對有異常操作的玩家&lt;color=#ffa200&gt;採取了措施&lt;/color&gt;。\n很抱歉該bug影響到了您的體驗，在此為您送上一份補償，請注意查收。\n\n再次感謝玩家們對Age of Apes的支持和熱愛。歡迎您報告任何注意到的錯誤和異常行為，這有助於我們為所有人提供更好的遊戲體驗。\n\n羅傑副官</t>
  </si>
  <si>
    <t>Kapten yang terhormat,\n\nKami menerima umpan balik terkait pemain yang &lt;color=#ffa200&gt;mengeksploitasi bug dalam game untuk mendapatkan sumber daya secara ilegal&lt;/color&gt;, sehingga mengakibatkan ketidaknormalan data di dalam game. Yakinlah bahwa kami telah &lt;color=#ffa200&gt;mengambil tindakan&lt;/color&gt; terhadap pemain tersebut.\n\nKami mohon maaf atas pengalaman negatif yang mungkin kamu alami. Ini hadiah spesial untuk menebusnya buatmu.\n\nTerima kasih sekali lagi atas dukunganmu. Jika kamu melihat adanya kesalahan atau perilaku tidak normal, jangan ragu untuk melaporkannya. Umpan balikmu membantu kami memberikan pengalaman bermain game yang lebih baik untuk semua pemain.\n\nDeputi Roger</t>
  </si>
  <si>
    <t>ถึงท่านผู้บัญชาการ\n\nเราได้รับข้อเสนอแนะเกี่ยวกับผู้เล่นที่&lt;color=#ffa200&gt;ใช้ประโยชน์จากข้อบกพร่องในเกมเพื่อรับทรัพยากรอย่างผิดกฎหมาย&lt;/color&gt; ซึ่งทำให้ข้อมูลในเกมเกิดความผิดปกติ ขอนายโปรดมั่นใจว่าเราได้&lt;color=#ffa200&gt;ดำเนินมาตรการ&lt;/color&gt;กับผู้เล่นที่มีพฤติกรรมดังกล่าวแล้ว\n\nเราขออภัยสำหรับประสบการณ์เชิงลบใด ๆ ที่นายอาจได้รับ เอาเป็นว่าเราขอมอบของขวัญสุดพิเศษชิ้นนี้ให้นายนะ\n\nขอขอบคุณอีกครั้งสำหรับการสนับสนุน หากนายสังเกตเห็นข้อผิดพลาดหรือพฤติกรรมที่ผิดปกติ โปรดอย่าลังเลที่จะรายงานเรา ความคิดเห็นของนายจะช่วยให้เราสามารถมอบประสบการณ์การเล่นเกมที่ดีขึ้นให้กับผู้เล่นทุกคนได้\n\nท่านรองโรเจอร์</t>
  </si>
  <si>
    <t>Querido Capitán, \n\nHemos recibido comentarios con relación a un jugador que &lt;color=#ffa200&gt;aprovechándose de algunos problemas dentro del juego obtuvo recursos ilegalmente&lt;/color&gt;, provocando anormalidades de datos en el juego. Por favor, ten la seguridad de que ya hemos &lt;color=#ffa200&gt;tomado medidas&lt;/color&gt; contra el jugador.\n\nNos disculpamos por la experiencia negativa que hayas podido tener como resultado. Te presentamos un regalo especial para compensarte.\n\nMuchas gracias nuevamente por tu apoyo. Si te das cuenta de cualquier error o comportamiento anormal, por favor, no dudes en reportarlo. Tus comentarios nos ayudan a proporcionar una mejor experiencia de juego para todos los jugadores.\n\n\nComisario Roger</t>
  </si>
  <si>
    <t>Уважаемый капитан!\n\nМы получили сведения об игроке, который &lt;color=#ffa200&gt;использовал игровые ошибки, чтобы недопустимым образом получить ресурсы&lt;/color&gt;. Это вызвало аномалию игровых данных. Сообщаем, что мы уже &lt;color=#ffa200&gt;приняли меры&lt;/color&gt; против этого игрока. \n\nПриносим извинения за не самые лучшие впечатления, которые вы в результате могли получить. Вот вам особый подарок в качестве компенсации. \n\nЕще раз благодарим за поддержку. Если вы заметите какие-либо ошибки или аномальное поведение, пожалуйста, сразу сообщайте о них. Ваши отзывы помогают нам сделать игру лучше для всех игроков.\n\nПомощник Роджер</t>
  </si>
  <si>
    <t>Sevgili Kaptan,\n\n&lt;color=#ffa200&gt;Yasa dışı şekilde kaynak elde etmek için oyun içi hataları istismar eden&lt;/color&gt; ve oyunda veri anormalliklerine yol açan bir oyuncuya dair geri bildirim aldık. Lütfen oyuncuya yönelik &lt;color=#ffa200&gt;önlemleri aldığımızdan&lt;/color&gt; emin ol.\n\nBunun sonucunda yaşadığın her tür olumsuz deneyim için özür dileriz. Bu durumu telafi etme amaçlı özel bir hediyemiz var.\n\nDesteğin için bir kez daha teşekkürler. Herhangi bir hata veya anormal davranış görürsen, lütfen bunları raporlamaktan çekinme. Geri bildirimin tüm oyunculara daha iyi bir oyun deneyimi sunmamız konusunda bize yardımcı oluyor.\n\nYardımcı Roger</t>
  </si>
  <si>
    <t>Thưa Thủ Lĩnh,\n\nChúng tôi đã nhận được phản hồi về một người chơi &lt;color=#ffa200&gt;khai thác lỗi trong trò chơi để lấy tài nguyên bất hợp pháp&lt;/color&gt;, gây ra các bất thường dữ liệu trong trò chơi. Hãy yên tâm, chúng tôi đã &lt;color=#ffa200&gt;tiến hành các biện pháp&lt;/color&gt; để xử lý người chơi này.\n\nChúng tôi chân thành xin lỗi vì bất kỳ trải nghiệm tiêu cực nào mà bạn có thể đã gặp phải. Đây là một món quà đặc biệt dành cho bạn.\n\nMột lần nữa xin được cảm ơn bạn đã hỗ trợ. Nếu bạn nhận thấy bất kỳ lỗi hoặc hành vi bất thường nào, vui lòng báo cáo cho chúng tôi. Phản hồi của bạn giúp chúng tôi mang đến trải nghiệm trò chơi tốt hơn cho tất cả người chơi.\n\nPhụ tá Roger</t>
  </si>
  <si>
    <r>
      <rPr>
        <rFont val="Arial"/>
        <color theme="1"/>
      </rPr>
      <t>亲爱的指挥官：\n\n我们收到部分玩家反馈，有一名玩家</t>
    </r>
    <r>
      <rPr>
        <rFont val="Arial"/>
        <color rgb="FFFF9900"/>
      </rPr>
      <t>&lt;color=#ffa200&gt;恶意利用游戏规则增加战力&lt;/color&gt;</t>
    </r>
    <r>
      <rPr>
        <rFont val="Arial"/>
        <color theme="1"/>
      </rPr>
      <t>，导致游戏数据异常，我们已经对有异常操作的玩家</t>
    </r>
    <r>
      <rPr>
        <rFont val="Arial"/>
        <color rgb="FFFF9900"/>
      </rPr>
      <t>&lt;color=#ffa200&gt;采取了措施&lt;/color&gt;</t>
    </r>
    <r>
      <rPr>
        <rFont val="Arial"/>
        <color theme="1"/>
      </rPr>
      <t>。\n很抱歉该bug影响到了您的体验，在此为您送上一份补偿，请注意查收。\n\n再次感谢玩家们对Age of Apes的支持和热爱。欢迎您报告任何注意到的错误和异常行为，这有助于我们为所有人提供更好的游戏体验。\n\n罗杰副官</t>
    </r>
  </si>
  <si>
    <t>Dear Captain,\n\nWe received feedback regarding a player who &lt;color=#ffa200&gt;exploited in-game bugs to illegally increase power&lt;/color&gt;, causing data abnormalities in the game. Please rest assured we have already &lt;color=#ffa200&gt;taken measures&lt;/color&gt; against the player.\n\nWe apologize for any negative experience you may have had as a result. Here's a special gift to make it up to you.\n\nThanks again for your support. If you notice any errors or abnormal behavior, please don't hesitate to report them. Your feedback helps us to provide a better gaming experience for all players.\n\nDeputy Roger</t>
  </si>
  <si>
    <t>Cher capitaine,\n\nIl a été porté à notre connaissance qu'un joueur &lt;color=#ffa200&gt;exploitait des failles dans le jeu pour augmenter illégalement sa puissance&lt;/color&gt;, ce qui a causé des incohérences dans les données. Ne vous inquiétez pas, nous avons d'ores et déjà &lt;color=#ffa200&gt;pris des mesures&lt;/color&gt; à l'encontre de ce joueur.\n\nNous vous prions de nous excuser pour les désagréments que vous avez pu subir. Voici un cadeau spécial pour nous faire pardonner.\n\nMerci encore pour votre soutien. Si vous constatez des erreurs ou des comportements anormaux, n'hésitez pas à nous en faire part. C'est grâce à vos commentaires que nous pouvons proposer une expérience de jeu optimale pour tous les joueurs.\n\nRoger l'assistant</t>
  </si>
  <si>
    <t>Lieber Captain,\n\nWir sind auf einen Spieler aufmerksam gemacht worden, der &lt;color=#ffa200&gt;Programmfehler im Spiel ausgenutzt hat, um illegal seine Stärke zu erhöhen&lt;/color&gt; und dadurch Datenanomalien im Spiel verursacht hat. Bitte sei versichert, dass wir bereits &lt;color=#ffa200&gt;Maßnahmen&lt;/color&gt; gegen diesen Spieler ergriffen haben.\n\nWir entschuldigen uns für jegliche negative Erfahrung, die du dadurch gemacht hast. Hier ist ein besonderes Geschenk zur Wiedergutmachung für dich.\n\nNochmals vielen Dank für deine Unterstützung. Wenn du irgendwelche Fehler oder irreguläres Verhalten bemerkst, zögere bitte nicht, es zu melden. Dein Feedback hilft uns, ein besseres Spielerlebnis für alle Spieler zu gewährleisten.\n\nAdjudant Roger</t>
  </si>
  <si>
    <t>Caro Capitão,\n\nRecebemos feedback a respeito de um jogador que &lt;color=#ffa200&gt;abusou de bugs para aumentar o poder dele ilegalmente&lt;/color&gt;, o que causou problemas nos dados do jogo. Saiba que já tomamos todas as &lt;color=#ffa200&gt;medidas cabíveis&lt;/color&gt; a respeito deste jogador.\n\nLamentamos por qualquer inconveniente que isso possa ter causado a você. Você receberá um pequeno presente de compensação.\n\nNossa equipe agradece seu suporte. Caso note quaisquer erros ou comportamentos suspeitos, não deixe de falar conosco. Seu feedback nos ajuda a melhorar a experiência de jogo para todos os jogadores.\n\nDelegado Roger</t>
  </si>
  <si>
    <t>親愛的指揮官：\n\n我們收到部分玩家反饋，有一名玩家&lt;color=#ffa200&gt;惡意利用遊戲規則增加戰力&lt;/color&gt;，導致遊戲數據異常，我們已經對有異常操作的玩家&lt;color=#ffa200&gt;採取了措施&lt;/color&gt;。\n很抱歉該bug影響到了您的體驗，在此為您送上一份補償，請注意查收。\n\n再次感謝玩家們對Age of Apes的支持和熱愛。歡迎您報告任何注意到的錯誤和異常行為，這有助於我們為所有人提供更好的遊戲體驗。\n\n羅傑副官</t>
  </si>
  <si>
    <t>Kapten yang terhormat,\n\nKami menerima umpan balik terkait pemain yang &lt;color=#ffa200&gt;mengeksploitasi bug dalam game untuk meningkatkan kekuatan secara ilegal&lt;/color&gt;, sehingga mengakibatkan ketidaknormalan data di dalam game. Yakinlah bahwa kami telah &lt;color=#ffa200&gt;mengambil tindakan&lt;/color&gt; terhadap pemain tersebut.\n\nKami mohon maaf atas pengalaman negatif yang mungkin kamu alami. Ini hadiah spesial untuk menebusnya buatmu.\n\nTerima kasih sekali lagi atas dukunganmu. Jika kamu melihat adanya kesalahan atau perilaku tidak normal, jangan ragu untuk melaporkannya. Umpan balikmu membantu kami memberikan pengalaman bermain game yang lebih baik untuk semua pemain.\n\nDeputi Roger</t>
  </si>
  <si>
    <t>ถึงท่านผู้บัญชาการ\n\nเราได้รับข้อเสนอแนะเกี่ยวกับผู้เล่นที่&lt;color=#ffa200&gt;ใช้ประโยชน์จากข้อบกพร่องในเกมเพื่อเพิ่มพลังอย่างผิดกฎหมาย&lt;/color&gt; ซึ่งทำให้ข้อมูลในเกมเกิดความผิดปกติ ขอนายโปรดมั่นใจว่าเราได้&lt;color=#ffa200&gt;ดำเนินมาตรการ&lt;/color&gt;กับผู้เล่นที่มีพฤติกรรมดังกล่าวแล้ว\n\nเราขออภัยสำหรับประสบการณ์เชิงลบใด ๆ ที่นายอาจได้รับ เอาเป็นว่าเราขอมอบของขวัญสุดพิเศษชิ้นนี้ให้นายนะ\n\nขอขอบคุณอีกครั้งสำหรับการสนับสนุน หากนายสังเกตเห็นข้อผิดพลาดหรือพฤติกรรมที่ผิดปกติ โปรดอย่าลังเลที่จะรายงานเรา ความคิดเห็นของนายจะช่วยให้เราสามารถมอบประสบการณ์การเล่นเกมที่ดีขึ้นให้กับผู้เล่นทุกคนได้\n\nท่านรองโรเจอร์</t>
  </si>
  <si>
    <t>Querido Capitán, \n\nHemos recibido comentarios con relación a un jugador que &lt;color=#ffa200&gt;aprovechándose de algunos problemas dentro del juego incrementó su poder&lt;/color&gt;, provocando anormalidades de datos en el juego. Por favor, ten la seguridad de que ya hemos &lt;color=#ffa200&gt;tomado medidas&lt;/color&gt; contra el jugador.\n\nNos disculpamos por la experiencia negativa que hayas podido tener como resultado. Te presentamos un regalo especial para compensarte.\n\nMuchas gracias nuevamente por tu apoyo. Si te das cuenta de cualquier error o comportamiento anormal, por favor, no dudes en reportarlo. Tus comentarios nos ayudan a proporcionar una mejor experiencia de juego para todos los jugadores.\n\n\nComisario Roger</t>
  </si>
  <si>
    <t>Уважаемый капитан!\n\nМы получили сведения об игроке, который &lt;color=#ffa200&gt;использовал игровые ошибки, чтобы недопустимым образом увеличить свою силу&lt;/color&gt;. Это вызвало аномалию игровых данных. Сообщаем, что мы уже &lt;color=#ffa200&gt;приняли меры&lt;/color&gt; против этого игрока. \n\nПриносим извинения за не самые лучшие впечатления, которые вы в результате могли получить. Вот вам особый подарок в качестве компенсации. \n\nЕще раз благодарим за поддержку. Если вы заметите какие-либо ошибки или аномальное поведение, пожалуйста, сразу сообщайте о них. Ваши отзывы помогают нам сделать игру лучше для всех игроков.\n\nПомощник Роджер</t>
  </si>
  <si>
    <t>Sevgili Kaptan,\n\n&lt;color=#ffa200&gt;Yasa dışı şekilde gücünü artırmak için oyun içi hataları istismar eden&lt;/color&gt; ve oyunda veri anormalliklerine yol açan bir oyuncuya dair geri bildirim aldık. Lütfen oyuncuya yönelik &lt;color=#ffa200&gt;önlemleri aldığımızdan&lt;/color&gt; emin ol.\n\nBunun sonucunda yaşadığın her tür olumsuz deneyim için özür dileriz. Bu durumu telafi etme amaçlı özel bir hediyemiz var.\n\nDesteğin için bir kez daha teşekkürler. Herhangi bir hata veya anormal davranış görürsen, lütfen bunları raporlamaktan çekinme. Geri bildirimin tüm oyunculara daha iyi bir oyun deneyimi sunmamız konusunda bize yardımcı oluyor.\n\nYardımcı Roger</t>
  </si>
  <si>
    <t>Thưa Thủ Lĩnh,\n\nChúng tôi đã nhận được phản hồi về một người chơi &lt;color=#ffa200&gt;khai thác lỗi trong trò chơi để tăng sức mạnh bất hợp pháp&lt;/color&gt;, gây ra các bất thường dữ liệu trong trò chơi. Hãy yên tâm, chúng tôi đã &lt;color=#ffa200&gt;tiến hành các biện pháp&lt;/color&gt; để xử lý người chơi này.\n\nChúng tôi chân thành xin lỗi vì bất kỳ trải nghiệm tiêu cực nào mà bạn có thể đã gặp phải. Đây là một món quà đặc biệt dành cho bạn.\n\nMột lần nữa xin được cảm ơn bạn đã hỗ trợ. Nếu bạn nhận thấy bất kỳ lỗi hoặc hành vi bất thường nào, vui lòng báo cáo cho chúng tôi. Phản hồi của bạn giúp chúng tôi mang đến trải nghiệm trò chơi tốt hơn cho tất cả người chơi.\n\nPhụ tá Roger</t>
  </si>
  <si>
    <t>举报奖励</t>
  </si>
  <si>
    <t>Report Reward</t>
  </si>
  <si>
    <t>Récompense de signalement</t>
  </si>
  <si>
    <t>Melde-Belohnung</t>
  </si>
  <si>
    <t>Recompensa de relatório</t>
  </si>
  <si>
    <t>舉報獎勵</t>
  </si>
  <si>
    <t>Hadiah Laporan</t>
  </si>
  <si>
    <t>รางวัลสำหรับการรายงาน</t>
  </si>
  <si>
    <t>Reporte de la Recompensa</t>
  </si>
  <si>
    <t>Награда за сообщение</t>
  </si>
  <si>
    <t>Rapor Ödülü</t>
  </si>
  <si>
    <t>Phần thưởng Báo cáo</t>
  </si>
  <si>
    <t>亲爱的指挥官：\n\n感谢您帮助我们保护Age of Apes的公平环境。我们已对有异常操作的玩家采取措施。\n\n再次感谢您对Age of Apes的支持和热爱。欢迎您报告注意到的错误和异常行为，这有助于我们为所有人提供更好的游戏体验。\n\n罗杰副官</t>
  </si>
  <si>
    <t>Dear Captain,\n\nThank you for helping to protect the fair gaming environment of Age of Apes! We have taken measures against the player you reported for abnormal operations.\n\nThanks again for your support. If you notice any errors or abnormal behavior, please don't hesitate to report them. Your feedback helps us to provide a better gaming experience for all players.\n\nDeputy Roger</t>
  </si>
  <si>
    <t>Cher capitaine,\n\nMerci de nous aider à préserver un environnement de jeu équitable pour Age of Apes! Nous avons pris des mesures à l'encontre du joueur que vous avez signalé pour opérations anormales.\n\nMerci encore pour votre soutien. Si vous constatez des erreurs ou des comportements anormaux, n'hésitez pas à nous en faire part. C'est grâce à vos commentaires que nous pouvons proposer une expérience de jeu optimale pour tous les joueurs.\n\nRoger l'assistant</t>
  </si>
  <si>
    <t>Lieber Captain,\n\nVielen Dank, dass du dabei hilfst, die faire Spielumgebung von Age of Apes zu bewahren! Wir haben Maßnahmen gegen den Spieler ergriffen, den du wegen irregulärer Handlungen gemeldet hast.\n\nVielen Dank nochmals für deine Unterstützung. Wenn du irgendwelche Fehler oder regelwidriges Verhalten bemerkst, zögere bitte nicht, dies zu melden. Dein Feedback hilft uns dabei, ein besseres Spielerlebnis für alle Spieler zu gewährleisten.\n\nAdjudant Roger</t>
  </si>
  <si>
    <t>Caro Capitão,\n\nAgradecemos sua ajuda em manter o ambiente de jogo justo em Ages of Apes! Tomamos as medidas cabíveis a respeito do jogador que você reportou por comportamento suspeito.\n\nNossa equipe agradece seu suporte. Caso note quaisquer erros ou comportamentos suspeitos, não deixe de falar conosco. Seu feedback nos ajuda a melhorar a experiência de jogo para todos os jogadores.\n\nDelegado Roger</t>
  </si>
  <si>
    <t>親愛的指揮官：\n\n感謝您幫助我們保護Age of Apes的公平環境。我們已對有異常操作的玩家採取措施。\n\n再次感謝您對Age of Apes的支持和熱愛。歡迎您報告注意到的錯誤和異常行為，這有助於我們為所有人提供更好的遊戲體驗。\n\n羅傑副官</t>
  </si>
  <si>
    <t>Kapten yang terhormat,\n\nTerima kasih telah membantu melindungi lingkungan permainan yang adil di Age of Apes! Kami telah mengambil tindakan terhadap pemain yang kamu laporkan untuk operasi abnormal.\n\nTerima kasih sekali lagi atas dukunganmu. Jika kamu melihat adanya kesalahan atau perilaku tidak normal, jangan ragu untuk melaporkannya. Umpan balikmu membantu kami memberikan pengalaman bermain game yang lebih baik untuk semua pemain.\n\nDeputi Roger</t>
  </si>
  <si>
    <t>ถึงท่านผู้บัญชาการ\n\nขอขอบคุณที่ช่วยปกป้องสภาพแวดล้อมการเล่นเกม Age of Apes ให้มีความยุติธรรม! เราได้ดำเนินมาตรการกับผู้เล่นที่นายรายงานว่ามีการใช้วิธีการที่ผิดปกติ\n\nขอขอบคุณอีกครั้งสำหรับการสนับสนุน หากนายสังเกตเห็นข้อผิดพลาดหรือพฤติกรรมที่ผิดปกติ โปรดอย่าลังเลที่จะรายงานเรา ความคิดเห็นของนายจะช่วยให้เราสามารถมอบประสบการณ์การเล่นเกมที่ดีขึ้นให้กับผู้เล่นทุกคนได้\n\nท่านรองโรเจอร์</t>
  </si>
  <si>
    <t>Querido Capitán,\n\n¡Gracias por ayudarnos a proteger un entorno de juego justo para Age of Apes! Hemos tomado medidas contra el jugador que reportaste por operaciones anormales. \n\nMuchas gracias nuevamente por tu apoyo. Si te das cuenta de cualquier error o comportamiento anormal, por favor, no dudes en reportarlo. Tus comentarios nos ayudan a proporcionar una mejor experiencia de juego para todos los jugadores.\n\nComisario Roger</t>
  </si>
  <si>
    <t>Уважаемый капитан!\n\nСпасибо за то, что помогаете защитить честную игру в мире Age of Apes! Мы приняли меры против игрока, об аномальных действиях которого вы сообщили. \n\nЕще раз благодарим за поддержку. Если вы заметите какие-либо ошибки или аномальное поведение, пожалуйста, сразу сообщайте о них. Ваши отзывы помогают нам сделать игру лучше для всех игроков.\n\nПомощник Роджер</t>
  </si>
  <si>
    <t>Sevgili Kaptan,\n\nAge of Apes’in adil oyun ortamını korumamıza yardımcı olduğun için teşekkürler! Anormal eylemler konusunda raporladığın oyuncuya yönelik önlemler aldık.\n\nDesteğin için bir kez daha teşekkürler. Herhangi bir hata veya anormal davranış görürsen, lütfen bunları raporlamaktan çekinme. Geri bildirimin tüm oyunculara daha iyi bir oyun deneyimi sunmamız konusunda bize yardımcı oluyor.\n\nYardımcı Roger</t>
  </si>
  <si>
    <t>Thưa Thủ Lĩnh,\n\nCảm ơn bạn vì đã giúp bảo vệ môi trường chơi game công bằng ở Age of Apes! Chúng tôi đã thực hiện các biện pháp đối phó với người chơi được bạn báo cáo vì các thao tác bất thường.\n\nMột lần nữa xin được cảm ơn bạn đã hỗ trợ. Nếu bạn nhận thấy bất kỳ lỗi hoặc hành vi bất thường nào, vui lòng báo cáo cho chúng tôi. Phản hồi của bạn giúp chúng tôi mang đến trải nghiệm trò chơi tốt hơn cho tất cả người chơi.\n\nPhụ tá Roger</t>
  </si>
  <si>
    <t>BUG汇报奖励</t>
  </si>
  <si>
    <t>Bug Report Reward</t>
  </si>
  <si>
    <t>Récompense de signalement d'un bug</t>
  </si>
  <si>
    <t>Belohnung für Fehlerberichte</t>
  </si>
  <si>
    <t>Recompensa ao reportar bugs</t>
  </si>
  <si>
    <t>BUG匯報獎勵</t>
  </si>
  <si>
    <t>Hadiah Laporan Bug</t>
  </si>
  <si>
    <t>รางวัลสำหรับการรายงานข้อบกพร่อง</t>
  </si>
  <si>
    <t>Recompensa por reporte de fallos</t>
  </si>
  <si>
    <t>Награда за сообщение об ошибке</t>
  </si>
  <si>
    <t>Hata Raporu Ödülleri</t>
  </si>
  <si>
    <t>Phần thưởng Báo cáo Lỗi</t>
  </si>
  <si>
    <t>亲爱的指挥官：\n\n感谢您发现游戏内的异常问题并反馈给我们，帮助Age of Apes为所有猴子们提供更好的游戏体验！\n\n我们将继续完善游戏，希望您越来越喜欢它！再次感谢您对Age of Apes的支持和热爱！\n\n罗杰副官</t>
  </si>
  <si>
    <t>Dear Captain,\n\nThank you for finding and reporting game abnormalities and helping us to provide a better gaming experience for all players.\n\nWe will work hard to keep improving the game. Thanks again for your support and love for Age of Apes!\n\nMay the bananas be with you and see you around the Tavern!\n\nDeputy Roger</t>
  </si>
  <si>
    <t>Cher capitaine,\n\nMerci d'avoir repéré et signalé une faille dans le jeu! C'est grâce à vos signalements que nous pouvons offrir une expérience optimale à tous les joueurs.\n\nNous poursuivons nos efforts pour continuer d'améliorer le jeu. Merci pour votre soutien et votre amour pour Age of Apes!\n\nQue les bananes soient avec vous! On se retrouve à la taverne!\n\nRoger l'assistant</t>
  </si>
  <si>
    <t>Lieber Captain,\n\nVielen Dank, dass du Anomalien im Spiel gefunden und gemeldet hast und uns hilfst, allen Spielern ein besseres Spielerlebnis zu bieten.\n\nWir werden hart daran arbeiten, das Spiel weiter zu verbessern. Nochmals vielen Dank für deine Unterstützung und deine Begeisterung für Age of Apes!\n\nMögen die Bananen mit dir sein und wir sehen uns in der Taverne!\n\nAdjudant Roger</t>
  </si>
  <si>
    <t>Caro Capitão,\n\nAgradecemos sua ajuda ao encontrar e reportar anormalidades no jogo e por nos ajudar a fornecer uma melhor experiência de jogo para todos.\n\nEstamos trabalhando para melhorar o jogo. Agradecemos novamente pelo seu apoio e carinho por Ages of Apes!\n\nQue as bananas estejam com você! Nos vemos na taverna!\n\nDelegado Roger</t>
  </si>
  <si>
    <t>親愛的指揮官：\n\n感謝您發現遊戲內的異常問題並反饋給我們，幫助Age of Apes為所有猴子們提供更好的遊戲體驗！\n\n我們將繼續完善遊戲，希望您越來越喜歡它！再次感謝您對Age of Apes的支持和熱愛！\n\n羅傑副官</t>
  </si>
  <si>
    <t>Kapten yang terhormat,\n\nTerima kasih telah menemukan dan melaporkan kelainan game dan membantu kami memberikan pengalaman bermain game yang lebih baik untuk semua pemain.\n\nKami akan bekerja keras untuk terus meningkatkan game. Sekali lagi terima kasih atas dukungan dan cintanya untuk Age of Apes!\n\nSemoga pisang menyertaimu dan sampai jumpa di sekitar Kedai!\n\nDeputi Roger</t>
  </si>
  <si>
    <t>ถึงท่านผู้บัญชาการ\n\nขอขอบคุณที่ช่วยค้นหาและรายงานความผิดปกติของเกม ซึ่งจะช่วยให้เราสามารถมอบประสบการณ์การเล่นเกมที่ดียิ่งขึ้นให้กับผู้เล่นทุกคนได้\n\nเราจะทำงานอย่างหนักเพื่อปรับปรุงเกมต่อไป ขอขอบคุณอีกครั้งสำหรับการสนับสนุนและความรักที่มีให้กับ Age of Apes!\n\nขอให้กล้วยจงสถิตย์อยู่กับนาย แล้วไว้เจอกันแถว ๆ โรงแรมนะ!\n\nท่านรองโรเจอร์</t>
  </si>
  <si>
    <t>Querido Capitán, \n\nGracias por encontrar y reportar anomalidades dentro del juego y ayudarnos a proporcionar una mejor experiencia para todos los jugadores. \n\nTrabajaremos duro para mantenernos mejorando el juego. ¡Gracias nuevamente por tu apoyo y amor por Age of Apes! \n\n¡Que las bananas sean contigo y nos vemos en la Taberna!\n\nComisario Roger</t>
  </si>
  <si>
    <t>Уважаемый капитан!\n\nСпасибо, что сообщили о выявленной некорректной работе игры и помогли нам предоставить игрокам более хорошие впечатления.\n\nМы продолжим усердную работу над улучшением игры. Еще раз спасибо за поддержку и любовь к Age of Apes!\n\nДа пребудут с вами бананы — и увидимся в таверне!\n\nПомощник Роджер</t>
  </si>
  <si>
    <t>Sevgili Kaptan,\n\nOyundaki anormallikleri bulup raporlayarak tüm oyunculara daha iyi bir oyun deneyimi sunmamıza yardımcı olduğun için teşekkürler.\n\nOyunu geliştirmek için çok çalışmaya devam edeceğiz. Age of Apes’e desteğin ve gösterdiğin sevgi için bir kez daha teşekkürler!\n\nMuzlar seninle olsun, Tavernada görüşmek üzere!\n\nYardımcı Roger</t>
  </si>
  <si>
    <t>Thưa Thủ Lĩnh,\n\nCảm ơn bạn đã phát hiện và báo cáo sự bất thường trong trò chơi, giúp chúng tôi mang đến trải nghiệm trò chơi tốt hơn cho tất cả những người chơi khác.\n\nChúng tôi sẽ nỗ lực chăm chỉ để tiếp tục cải thiện trò chơi. Một lần nữa, xin cảm ơn sự ủng hộ và tình yêu mà bạn đã dành cho Age of Apes!\n\nChúc kho của bạn luôn đầy chuối và hẹn gặp bạn ở Tửu Quán!\n\nPhụ tá Roger</t>
  </si>
  <si>
    <t>感谢xx反馈BUG</t>
  </si>
  <si>
    <t>Thank You to xx for Bug Report</t>
  </si>
  <si>
    <t>Merci à xx pour son signalement d'un bug</t>
  </si>
  <si>
    <t>Vielen Dank an xx für den Hinweis auf Programmfehler</t>
  </si>
  <si>
    <t>Agradecimento a xx por reportar bugs</t>
  </si>
  <si>
    <t>感謝xx反饋BUG</t>
  </si>
  <si>
    <t>Terima Kasih kepada xx untuk Laporan Bug</t>
  </si>
  <si>
    <t>ขอขอบคุณxx สำหรับการรายงานข้อผิดพลาด</t>
  </si>
  <si>
    <t>Gracias a xx por su Reporte de Fallos</t>
  </si>
  <si>
    <t>Спасибо игроку xx за сообщение об ошибке</t>
  </si>
  <si>
    <t>xx, Hata Raporu İçin Teşekkürler</t>
  </si>
  <si>
    <t>Lời cảm ơn gửi đến xx vì đã Báo cáo Lỗi</t>
  </si>
  <si>
    <r>
      <rPr>
        <rFont val="Arial"/>
        <color rgb="FF000000"/>
      </rPr>
      <t>亲爱的指挥官：\n\n感谢</t>
    </r>
    <r>
      <rPr>
        <rFont val="Arial"/>
        <color rgb="FFFF9900"/>
      </rPr>
      <t>&lt;color=#ffa200&gt;xxx玩家&lt;/color&gt;</t>
    </r>
    <r>
      <rPr>
        <rFont val="Arial"/>
        <color rgb="FF000000"/>
      </rPr>
      <t>发现游戏内的异常问题并反馈给我们！这将有助于我们为所有人提供更好的游戏体验。\n\n我们鼓励所有猴子都能参与其中，发现游戏内的错误和部分玩家利用漏洞获利的异常行为，请及时通过Discord社区、游戏内的客服服务渠道告诉我们，一经BUG被核实，我们将对及时上报的玩家发放奖励！\n\n罗杰副官</t>
    </r>
  </si>
  <si>
    <t>Dear Captain,\n\nWe want to give a big thanks to &lt;color=#ffa200&gt;player xxx&lt;/color&gt; for finding and informing us of abnormalities in the game! This feedback will help us to provide a better gaming experience for all players.\n\nIf you notice any errors or abnormal behavior (such as players using exploits), please don't hesitate to report them. Please get in touch through our official Discord community or our customer support channels. Once the errors are verified, we will send rewards to the reporting players as a token of our appreciation.\n\nDeputy Roger</t>
  </si>
  <si>
    <t>Cher capitaine,\n\nNous tenions à remercier chaleureusement &lt;color=#ffa200&gt;le joueur xxx&lt;/color&gt; d'avoir repéré des failles dans le jeu et de les avoir signalées à nos équipes. Ce signalement va nous aider à offrir une expérience optimale à tous les joueurs. \n\nSi vous faites face à une erreur ou un comportement anormal (comme des joueurs profitant de failles), n'hésitez pas à nous en faire part via notre serveur Discord ou le service client. Après vérification des erreurs, une récompense est envoyée en remerciement aux joueurs ayant effectué des signalements. \n\nRoger l'assistant</t>
  </si>
  <si>
    <t>Lieber Captain,\n\nWir möchten dem &lt;color=#ffa200&gt;Spieler xxx&lt;/color&gt; ein großes Dankeschön dafür aussprechen, dass er Auffälligkeiten im Spiel gefunden und uns darüber informiert hat! Dieses Feedback wird uns dabei helfen, ein besseres Spielerlebnis für alle Spieler zu gewährleisten.\n\nWenn du Hinweise auf Fehler oder irreguläres Verhalten (z.B. Spieler, die Exploits nutzen) bemerkst, zögere bitte nicht, diese zu melden. Bitte melde dich über unseren offiziellen Discord-Kanal oder unseren Kundensupport-Kanal. Sobald die Fehler verifiziert sind, werden wir den meldenden Spielern als Zeichen unserer Wertschätzung Belohnungen zusenden.\n\nAdjudant Roger</t>
  </si>
  <si>
    <t>Caro Capitão,\n\nQueremos agradecer ao &lt;color=#ffa200&gt;jogador xxx&lt;/color&gt; por encontrar e nos avisar sobre anormalidades dentro do jogo! Este feedback nos ajuda a melhorar a experiência de jogo para todo mundo.\n\nSe notar quaisquer erros ou comportamentos suspeitos (por exemplo, jogadores abusando de bugs), não deixe de falar conosco sobre isso. Entre em contato pelo nosso canal oficial no Discord ou suporte ao cliente. Assim que os erros forem verificados, enviaremos recompensas para os jogadores como agradecimento pela ajuda.\n\nDelegado Roger</t>
  </si>
  <si>
    <t>親愛的指揮官：\n\n感謝&lt;color=#ffa200&gt;xxx玩家&lt;/color&gt;發現遊戲內的異常問題並反饋給我們！這將有助於我們為所有人提供更好的遊戲體驗。\n\n我們鼓勵所有猴子都能參與其中，發現遊戲內的錯誤和部分玩家利用漏洞獲利的異常行為，請及時通過Discord社區、遊戲內的客服服務渠道告訴我們，一經BUG被核實，我們將對及時上報的玩家發放獎勵！\n\n羅傑副官</t>
  </si>
  <si>
    <t>Kapten yang terhormat,\n\nKami ingin berterima kasih banyak kepada &lt;color=#ffa200&gt;pemain xxx&lt;/color&gt; karena menemukan dan memberi tahu kami tentang ketidaknormalan dalam game! Umpan balik ini akan membantu kami memberikan pengalaman bermain game yang lebih baik untuk semua pemain.\n\nJika kamu melihat kesalahan atau perilaku tidak normal (seperti pemain menggunakan eksploitasi), jangan ragu untuk melaporkannya. Hubungi komunitas Discord resmi kami atau saluran dukungan pelanggan kami. Setelah kesalahan diverifikasi, kami akan mengirimkan hadiah kepada pemain pelapor sebagai tanda penghargaan kami.\n\nDeputi Roger</t>
  </si>
  <si>
    <t>ถึงท่านผู้บัญชาการ\n\nเราอยากขอบคุณ&lt;color=#ffa200&gt;ผู้เล่นนาม xxx&lt;/color&gt; สำหรับการค้นหาและแจ้งให้เราทราบถึงความผิดปกติในเกม! ความคิดเห็นนี้จะช่วยให้เราสามารถมอบประสบการณ์การเล่นเกมที่ดียิ่งขึ้นให้กับผู้เล่นทุกคนได้\n\nหากนายสังเกตเห็นข้อผิดพลาดหรือพฤติกรรมที่ผิดปกติ (เช่น ผู้เล่นที่ใช้ช่องโหว่เพื่อเอาเปรียบ) โปรดอย่าลังเลที่จะรายงานเรา โปรดติดต่อผ่านชุมชน Discord อย่างเป็นทางการหรือช่องทางการสนับสนุนลูกค้าของเรา เมื่อตรวจสอบข้อผิดพลาดแล้ว เราจะส่งรางวัลให้กับผู้เล่นที่รายงานปัญหาต่าง ๆ เพื่อใช้แทนคำขอบคุณจากเรา\n\nท่านรองโรเจอร์</t>
  </si>
  <si>
    <t>Querido Capitán,\n\n¡Queremos dar un enorme agradecimiento al &lt;color=#ffa200&gt;jugador xxx&lt;/color&gt; por encontrar e informarnos de anormalidades dentro del juego! Estos comentarios nos ayudan a proporcionar una mejor experiencia de juego para todos los jugadores. \n\nSi te das cuenta de cualquier error o de algún comportamiento anormal (como por ejemplo jugadores aprovechándose de errores en el juego) por favor no dudes en reportarlo. Por favor, ponte en contacto con nuestro oficial en la comunidad de Discord o mediante nuestros canales se soporte al cliente. Una vez que los errores sean verificados, enviaremos recompensas a los jugadores que realizaron los reportes como una muestra de nuestro aprecio.\n\nComisario Roger</t>
  </si>
  <si>
    <t>Уважаемый капитан!\n\nМы хотим выразить огромную благодарность &lt;color=#ffa200&gt;игроку xxx&lt;/color&gt; за то, что он сообщил нам о выявленных аномалиях в игре! Этот отзыв поможет нам сделать игру лучше для всех игроков.\n\nЕсли вы заметите какие-либо ошибки или аномальное поведение (например, игроков, использующих эксплойты), то, пожалуйста, не стесняйтесь сообщать о них. Пишите нам в Discord или в игровую службу поддержки. Если ошибка подтвердится, то в знак признательности мы отправим награду сообщившим о ней игрокам.\n\nПомощник Роджер</t>
  </si>
  <si>
    <t>Sevgili Kaptan,\n\n&lt;color=#ffa200&gt;xxx adlı oyuncuya&lt;/color&gt; oyundaki anormallikleri bulduğu ve bize bildirdiği için çok teşekkürler! Bu geri bildirim tüm oyunculara daha iyi bir oyun deneyimi sunmamız konusunda bize yardım edecek.\n\nHerhangi bir hata veya anormal davranış (istismar yolları kullanan oyuncular gibi) görürsen, lütfen bunları raporlamaktan çekinme. Lütfen resmî Discord topluluğumuzdan veya müşteri destek kanallarımızdan bize ulaş. Hatalar doğrulandıktan sonra, teşekkür amacıyla raporlayan oyunculara ödüller göndereceğiz.\n\nYardımcı Roger</t>
  </si>
  <si>
    <t>Thưa Thủ Lĩnh,\n\nChúng tôi muốn gửi lời cảm ơn sâu sắc đến &lt;color=#ffa200&gt;người chơi xxx&lt;/color&gt; vì đã phát hiện và thông báo những bất thường trong trò chơi cho chúng tôi! Phản hồi này sẽ giúp chúng tôi mang đến trải nghiệm trò chơi tốt hơn cho tất cả người chơi.\n\nNếu bạn nhận thấy bất kỳ lỗi hoặc hành vi bất thường nào (chẳng hạn như hành vi khai thác của người dùng), vui lòng báo cáo cho chúng tôi. Vui lòng liên hệ qua cộng đồng Discord chính thức hoặc các kênh hỗ trợ khách hàng của chúng tôi. Sau khi xác minh xong các lỗi, chúng tôi sẽ gửi phần thưởng cho những người chơi đã báo cáo để thể hiện lòng thành của mình.\n\nPhụ tá Roger</t>
  </si>
  <si>
    <t>新服开放通知</t>
  </si>
  <si>
    <t>New Server Opened</t>
  </si>
  <si>
    <t>Ouverture d'un nouveau serveur</t>
  </si>
  <si>
    <t>Neuer Server ist geöffnet</t>
  </si>
  <si>
    <t>Novo servidor aberto</t>
  </si>
  <si>
    <t>新服開放通知</t>
  </si>
  <si>
    <t>Server Baru Dibuka</t>
  </si>
  <si>
    <t>เปิดเซิร์ฟเวอร์ใหม่แล้ว</t>
  </si>
  <si>
    <t>Apertura de nuevo servidor</t>
  </si>
  <si>
    <t>Открыт новый сервер</t>
  </si>
  <si>
    <t>Yeni Sunucu Açıldı</t>
  </si>
  <si>
    <t>Khai trương máy chủ mới</t>
  </si>
  <si>
    <r>
      <rPr>
        <rFont val="Arial"/>
        <color rgb="FF434343"/>
      </rPr>
      <t>亲爱的指挥官：\n\n很高兴地告诉你，我们即将</t>
    </r>
    <r>
      <rPr>
        <rFont val="Arial"/>
        <color rgb="FFFF9900"/>
      </rPr>
      <t>在&lt;color=#ffa200&gt;2021-04-01 00:00 UTC&lt;/color&gt;</t>
    </r>
    <r>
      <rPr>
        <rFont val="Arial"/>
        <color rgb="FF434343"/>
      </rPr>
      <t>开启新的服务器：</t>
    </r>
    <r>
      <rPr>
        <rFont val="Arial"/>
        <color rgb="FFFF9900"/>
      </rPr>
      <t>&lt;color=#ffa200&gt;2000502-Omega&lt;/color&gt;</t>
    </r>
    <r>
      <rPr>
        <rFont val="Arial"/>
        <color rgb="FF434343"/>
      </rPr>
      <t>。\n我们期待您能加入对未知Omega的探索，赢得这场关于香蕉的竞赛！\n\n罗杰副官</t>
    </r>
  </si>
  <si>
    <t>Dear Captain,\n\nWe're excited to announce that the new server, &lt;color=#ffa200&gt;2000502-Omega&lt;/color&gt; will officially open on &lt;color=#ffa200&gt;2021-04-01 00:00 UTC&lt;/color&gt;.\n\nWe hope you'll come explore the mysterious Omega and win this race for the banana in the sky!\n\nDeputy Roger</t>
  </si>
  <si>
    <t>Cher capitaine,\n\nNous avons le plaisir de vous annoncer que l'ouverture officielle du nouveau serveur &lt;color=#ffa200&gt;2000502-Omega&lt;/color&gt; aura lieu le &lt;color=#ffa200&gt;01-04-2021 à 00:00 TU&lt;/color&gt;.\n\nNous avons hâte de vous voir explorer la mystérieuse Oméga et être le premier à accéder à la banane géante dans le ciel!\n\nRoger l'assistant</t>
  </si>
  <si>
    <t>Lieber Captain,\n\nWir freuen uns ankündigen zu können, dass der neue Server, &lt;color=#ffa200&gt;2000502-Omega&lt;/color&gt; offiziell am &lt;color=#ffa200&gt;01.04.2021 00:00 UTC&lt;/color&gt; geöffnet wird.\n\nWir hoffen, dass du Omega erkunden und das Rennen um die Banane im Himmel gewinnen wirst!\n\nAdjudant Roger</t>
  </si>
  <si>
    <t>Caro Capitão,\n\nEstamos animados em anunciar que o novo servidor, o &lt;color=#ffa200&gt;2000502-Omega&lt;/color&gt; será aberto oficialmente em &lt;color=#ffa200&gt;01/04/2021, à 00:00 (UTC)&lt;/color&gt;.\n\nEsperamos que você venha explorar o misterioso Omega e ganhe esta corrida pela banana celeste!\n\nDelegado Roger</t>
  </si>
  <si>
    <t>親愛的指揮官：\n\n很高興地告訴你，我們即將在&lt;color=#ffa200&gt;2021-04-01 00:00 UTC&lt;/color&gt;開啟新的服務器：&lt;color=#ffa200&gt;2000502-Omega&lt;/color&gt;。\n我們期待您能加入對未知Omega的探索，贏得這場關於香蕉的競賽！\n\n羅傑副官</t>
  </si>
  <si>
    <t>Kapten yang terhormat,\n\nKami sangat senang mengumumkan bahwa server baru,&lt;color=#ffa200&gt;2000502-Omega&lt;/color&gt; akan dibuka secara resmi pada &lt;color=#ffa200&gt;2021-04-01 00:00 UTC&lt;/color&gt;.\n\nKami harap kamu akan datang menjelajahi Omega misterius dan memenangkan perlombaan untuk mendapatkan pisang di langit!\n\nDeputi Roger</t>
  </si>
  <si>
    <t>ถึงท่านผู้บัญชาการ\n\nเรารู้สึกตื่นเต้นสุด ๆ ที่จะประกาศว่าเซิร์ฟเวอร์ใหม่ของเรา &lt;color=#ffa200&gt;2000502-โอเมกา&lt;/color&gt; จะเปิดอย่างเป็นทางการในวันที่ &lt;color=#ffa200&gt;01-04-2021 00:00 ตามเวลา UTC&lt;/color&gt;\n\nเราหวังว่านายจะได้มาร่วมสำรวจโอเมกาลึกลับ และชนะการแข่งขันเพื่อชิงกล้วยบนท้องฟ้านี้นะ!\n\nท่านรองโรเจอร์</t>
  </si>
  <si>
    <t>Querido Capitán, \n\nEstamos muy emocionados de anunciarte que nuestro nuevo servidor &lt;color=#ffa200&gt;2000502-Omega&lt;/color&gt; abrirá oficialmente el día &lt;color=#ffa200&gt;01-04-2021 00:00 UTC&lt;/color&gt;.\n\n¡Esperamos que vengas a explorar el misterioso Omega y que ganes esta carrera por la banana en el cielo!\n\nComisario Roger</t>
  </si>
  <si>
    <t>Уважаемый капитан!\n\nМы рады сообщить, что новый сервер &lt;color=#ffa200&gt;2000502-Omega&lt;/color&gt; официально открывается в &lt;color=#ffa200&gt;00:00 01.04.2021 (UTC)&lt;/color&gt;.\n\nНадеемся, что вы придете исследовать таинственный сервер Omega и сразитесь в гонке за бананом в небе!\n\nПомощник Роджер</t>
  </si>
  <si>
    <t>Sevgili Kaptan,\n\nYeni sunucu &lt;color=#ffa200&gt;2000502-Omega&lt;/color&gt;’nın &lt;color=#ffa200&gt;01.04.2021’de (UTC)&lt;/color&gt; resmen açılacağını duyurmaktan mutluluk duyuyoruz.\n\nGelip gizemli Omega’yı keşfetmeni ve gökyüzündeki muz için yapılan bu yarışı kazanmanı bekliyoruz!\n\nYardımcı Roger</t>
  </si>
  <si>
    <t>Thưa Thủ Lĩnh,\n\nChúng tôi rất vui mừng được thông báo rằng máy chủ mới, &lt;color=#ffa200&gt;2000502-Omega&lt;/color&gt; sẽ chính thức được mở ra vào lúc &lt;color=#ffa200&gt;00:00 ngày 01/04/2021 UTC&lt;/color&gt;.\n\nChúng tôi hy vọng bạn sẽ khám phá Omega bí ẩn và giành chiến thắng trong cuộc đua chuối trong không gian!\n\nPhụ tá Roger</t>
  </si>
  <si>
    <t>服务器合并公告</t>
  </si>
  <si>
    <t>Server Merge Notice</t>
  </si>
  <si>
    <t>Fusion de serveurs</t>
  </si>
  <si>
    <t>Hinweis zur Serverfusion</t>
  </si>
  <si>
    <t>Aviso de junção de servidores</t>
  </si>
  <si>
    <t>服務器合併公告</t>
  </si>
  <si>
    <t>Pemberitahuan Penggabungan Server</t>
  </si>
  <si>
    <t>ประกาศเกี่ยวกับการรวมเซิร์ฟเวอร์</t>
  </si>
  <si>
    <t>Aviso de Fusión de Servidor</t>
  </si>
  <si>
    <t>Уведомление о слиянии серверов</t>
  </si>
  <si>
    <t>Sunucu Birleştirme Bildirimi</t>
  </si>
  <si>
    <t>Thông báo hợp nhất máy chủ</t>
  </si>
  <si>
    <r>
      <rPr>
        <rFont val="Arial"/>
        <color rgb="FF434343"/>
      </rPr>
      <t>亲爱的指挥官：\n\n为了维持服务器的活跃，并平衡各服务器实力，我们即将对您的服务器进行合服，详细安排如下：\n【合服时间】</t>
    </r>
    <r>
      <rPr>
        <rFont val="Arial"/>
        <color rgb="FFFF9900"/>
      </rPr>
      <t>&lt;color=#ffa200&gt;2021-02-01 06:00:00至2021-02-01 10:00:00（UTC时间）&lt;/color&gt;</t>
    </r>
    <r>
      <rPr>
        <rFont val="Arial"/>
        <color rgb="FF434343"/>
      </rPr>
      <t>；\n\n【合并服务器列表】\n2000402、2000502、2000602、2000702、2000802、2000902、2001002、2001102、2001202将合并至2001202服务器；\n\n【合服注意事项】\n-在</t>
    </r>
    <r>
      <rPr>
        <rFont val="Arial"/>
        <color rgb="FFFF9900"/>
      </rPr>
      <t>&lt;color=#ffa200&gt;合服前7日内（2021-01-25后）&lt;/color&gt;</t>
    </r>
    <r>
      <rPr>
        <rFont val="Arial"/>
        <color rgb="FF434343"/>
      </rPr>
      <t>，服务器将无法进行注册，同时不再开启新的活动。合服完成后将恢复正常；\n-请在合服前提前领取邮件奖励，合服完成后，所有的邮件及邮件附件将被清除；\n-合服期间，参与合服的服务器处于停服维护状态，玩家不能登录。合服完成后，玩家可正常进入游戏；\n-合服完成后，若玩家在多个相关区都有角色，迁移至新区后多角色可以并存。多角色玩家可在账号界面查看并选择该区下的不同角色；\n-合服完成后，太空里程碑将从第一阶段重新开始，迷雾全服开启，玩家可以进行部落转换；\n-合服完成后，联盟、部落领土及建筑将清空；\n-合服完成后，部落火箭、铁轨将清空；\n-合服完成后，排行榜重新计算；\n-合服完成后，清除所有遗迹数据中立建筑数据，处于初始的争夺状态；\n-合服完成后，火箭发射进程将清除；\n-合服完成后，地图上资源点、野怪重新刷新；\n-合服完成后，所有行军队列、采集中的部队全部遣返回主城；\n-合服完成后，所有受到影响的玩家可以获得以下补偿：\n改名卡*1\nCD*10000\n60分钟训练加速*15\n60分钟研究加速*15\n60分钟建筑加速*15\n50,000粮食*20\n50,000钢铁*20\n\n感谢您对Age of Apes的理解与支持，祝愿火箭发射顺利！\n\n罗杰副官</t>
    </r>
  </si>
  <si>
    <t>Dear Captain,\n\nTo keep servers active and to balance the overall power among them, your server has been scheduled for merging. Details are as follows:\n\n[Time]\n&lt;color=#ffa200&gt;2021-02-01 06:00:00 UTC to 2021-02-01 10:00:00 UTC&lt;/color&gt;\n\n[Servers]\nServers 2000402, 2000502, 2000602, 2000702, 2000802, 2000902, 2001002, 2001102, 2001202 will be merged into server 2001202.\n\n[Important Notes]\n- In the &lt;color=#ffa200&gt;7 days before the merge (i.e. after 2021-01-25)&lt;/color&gt;, affected servers will not accept account registrations or hold new events. These functions will go back to normal after the server merge is complete.\n- Please claim mail rewards before the merge. After the merge is complete, all mail and mail attachments will be cleared.\n- During the merge, affected servers will undergo maintenance and you will not be able to access the game. You may log in as normal once the merge is complete.\n- If you have multiple roles in various affected servers, these will all be migrated to the new server. You can view and select roles in the Player Info - Settings - Role Manager interface.\n- After the merge, Space Milestones will start from the first stage, fog areas will reset, and players may change Clans.\n- After the merge, Clan and Gang territory and buildings will be cleared.\n- After the merge, Clan Rocket and Railways will be cleared.\n- After the merge, Rankings will reset.\n- After the merge, all data for Ruins and public buildings will be cleared, return to their initial state, and available for occupation.\n- After the merge, Rocket launch progress will be cleared.\n- After the merge, resource spots and mutants on the map will refresh.\n- After the merge, all marching and gathering troops will return to the City.\n- After the merge, all affected players will receive the following compensation:\nRename Avatar *1\nCD*10,000\n60 min Training Speedup*15\n60 min Research Speedup*15\n60 min Building Speedup*15\n50k Food *20\n50k Iron *20\n\nThank you for your support and understanding! See you around the Tavern!\n\nDeputy Roger</t>
  </si>
  <si>
    <t>Cher capitaine,\n\nAfin de maintenir l'activité et garantir un équilibre global de puissance, une fusion de votre serveur a été programmée comme suit:\n\n[Date]\n&lt;color=#ffa200&gt;Du 01/02/2021 à 06:00:00 TU au 01/02/2021 à 10:00:00 TU&lt;/color&gt;\n\n[Serveurs]\nLes serveurs 2000402, 2000502, 2000602, 2000702, 2000802, 2000902, 2001002, 2001102, 2001202 vont être intégrés au serveur 2001202.\n\n\n[A savoir]\n- Dans les &lt;color=#ffa200&gt;7 jours précédant la fusion (c'est-à-dire après le 25-01-2021)&lt;/color&gt;, aucun compte ne pourra plus être créé et plus aucun évènement ne pourra plus être organisé sur le serveur. Une fois la fusion terminée, ces fonctions seront rétablies. \n- Veuillez récupérer vos récompenses avant la fusion. Tous les messages ainsi que les pièces jointes seront effacés après la fusion des serveurs.\n- Les serveurs concernés seront en maintenance le temps de la fusion. Vous ne pourrez donc pas vous connecter pendant cet intervalle. Les serveurs seront à nouveau accessibles une fois la fusion terminée. \n- Si vous possédez plusieurs compte sur différents serveurs concernés par la fusion, ceux-ci seront tous migrés sur le nouveau serveur. Pour voir et sélectionner vos comptes, appuyez sur votre avatar en haut à gauche de votre écran (infos joueur) &gt; icône en forme de rouage (réglages) &gt; Compte.\n- Après la fusion, les évènements de l'espace seront réinitialisés au niveau 1, les zones de brume remises à zéro et les joueurs pourront changer de clan s'ils le souhaitent.\n- Après la fusion, les territoires et bâtiments des clans et des gangs seront réinitialisés.\n- Après la fusion, les fusées de clan ainsi que les chemins de fer seront supprimés.\n- Après la fusion, les classements seront remis à zéro\n- Après la fusion, toutes les données relatives aux ruines et aux bâtiments neutres seront effacées, ces derniers seront réinitialisés et pourront donc à nouveau être occupés.\n- Après la fusion, la progression du lancement de la fusée sera remise à zéro.\n- Après la fusion, les points de ressources et les mutants sur la carte seront actualisés.\n- Après la fusion, toutes les troupes en déplacement ou en collecte de ressources seront rapatriées dans la ville.\n- Après la fusion, tous les joueurs affectés recevront les compensations suivantes: \nUn changement de pseudo\n10000 CD\n15 accélérateurs d'entraînement de 60min\n15 accélérateurs de recherche de 60min\n15 accélérateurs de construction de 60min\n20x 50k de nourriture\n20x 50k de ferraille\n\nMerci pour votre compréhension et votre soutien, on se retrouve à la taverne!\n\nRoger l'assistant</t>
  </si>
  <si>
    <t>Lieber Captain,\n\nUm die Server weiterhin aktiv zu halten und die Machtverhältnisse zwischen ihnen ausgewogen zu halten, wurde dein Server für eine Zusammenlegung (Serverfusion) ausgewählt. Details sind im Folgenden aufgeführt:\n\n[Zeit]\n&lt;color=#ffa200&gt;1.02.2021 06:00:00 UTC bis 01.02.2021 10:00:00 UTC&lt;/color&gt;\n\n[Server]\nServers 2000402, 2000502, 2000602, 2000702, 2000802, 2000902, 2001002, 2001102, 2001202 werden zu Server 2001202 zusammengelegt.\n\n[Wichtige Hinweise]\n\n- In den sieben Tagen vor der Serverfusion (d.h. nach dem 25.01.2021) werden die betroffenen Server keine Kontoanmeldungen mehr annehmen und keine neuen Events durchführen. Diese Vorgänge werden nach Abschluss der Serverfusion wieder normal ablaufen.\n- Bitte beanspruche Mail-Belohnungen vor der Serverfusion. Nach Abschluss der Fusion werden alle Mails und Mailanhänge gelöscht.\n- Während der Serverfusion werden die betroffenen Server gewartet und du wirst nicht auf das Spiel zugreifen können. Sobald die Fusion abgeschlossen ist, kannst du dich wieder normal einloggen.\n- Wenn du mehrere Charaktere auf verschiedenen betroffenen Servern hast, werden diese alle auf den neuen Server übertragen. Du kannst die Charaktere im Interface Spieler-Info &gt; Einstellungen &gt; Rollenverwaltung betrachten und auswählen.\n- Nach der Serverfusion beginnen die Weltraum-Meilensteine wieder von der ersten Stufe an, die Nebelgebiete werden zurückgesetzt, und die Spieler können die Horde wechseln.\n- Nach der Serverfusion werden Horden und Clan-Territorien und -Gebäude geräumt.\n- Nach der Serverfusion werden Hordenraketen und -Eisenbahnschienen zurückgesetzt.\n- Nach der Serverfusion werden die Ranglisten zurückgesetzt.\n- Nach der Serverfusion werden alle Daten für Ruinen und öffentliche Gebäude gelöscht und sind wieder in ihrem ursprünglichen Zustand und zur Besetzung verfügbar.\n- Nach der Serverfusion wird der Raketenstart-Fortschritt zurückgesetzt.\n- Nach der Serverfusion werden Ressourcenpunkte und Mutanten auf der Karte aktualisiert.\n- Nach der Serverfusion kehren alle marschierenden und sammelnden Truppen in die Stadt zurück.\n- Nach der Serverfusion erhalten alle betroffenen Spieler die folgende Entschädigung:\nAvatar umbenennen*1\nCD*10.000\n60 Min. Ausbildungsbeschleunigung*15\n60 Min. Forschungsbeschleunigung*15\n60 Min. Baubeschleunigung*15\nNahrung*20\nEisen*20\nCD*10.000\n\nVielen Dank für deine Unterstützung und dein Verständnis! \n\nWir sehen uns in der Taverne!</t>
  </si>
  <si>
    <t>Caro Capitão,\n\nA fim de manter os servidores ativos e balancear o poder geral entre eles, foi agendada uma junção para o seu servidor. Seguem-se os detalhes:\n\n[Time]\n&lt;color=#ffa200&gt;De 01/02/2021 6h (UTC) a 01/02/2021 10h (UTC)&lt;/color&gt;\n\n[Servidores]\nOs servidores 2000402, 2000502, 2000602, 2000702, 2000802, 2000902, 2001002, 2001102, 2001202 serão integrados ao 2001202.\n\n[Avisos importantes]\n- Durante os &lt;color=#ffa200&gt;7 dias antes da integração (após 25/01/2021)&lt;/color&gt;, os servidores afetados não aceitarão novos registros, assim como não haverá novos eventos. Tais funções voltarão ao normal depois que a junção estiver completa.\n- Lembre-se de resgatar todas as recompensas na caixa de entrada antes da junção. Depois disso, todos os anexos e mensagens da caixa de entrada serão apagados.\n- Durante a junção, os servidores afetados entrarão em manutenção e você não poderá acessar o jogo. Você poderá entrar normalmente assim que a junção estiver completa.\n- Caso você tenha várias funções em mais de um servidor afetado, elas serão migradas para o novo servidor. Veja e selecione as funções na interface: Informações do jogador - Configurações - Gerenciador de Funções.\n- Depois da junção, marcos espaciais voltarão à primeira fase, as áreas de névoa serão reiniciadas e os jogadores poderão trocar de clã.\n- Depois da junção, os territórios e estruturas dos clãs e das gangues serão apagados.\n- Depois da junção, ferrovias e foguetes dos clãs serão apagados.\n- Depois da junção, as classificações serão reiniciadas.\n- Depois da junção, ruínas e estruturas públicas serão apagadas, retornando ao estado inicial delas, o que as deixará disponíveis para ocupação.\n- Depois da junção, os avanços nos lançamentos de foguetes serão apagados.\n- Depois da junção, pontos de recursos e mutantes no mapa serão atualizados.\n- Depois da junção, todas as tropas em deslocamento e que estejam coletando recursos voltarão para a cidade.\n- Depois da junção, todos os jogadores afetados receberão o seguinte como compensação:\nAvatar renomeado x 1\nCD x 10.000\nAceleradores de treinamento de 60 minutos x 15\nAceleradores de pequisa de 60 minutos x 15\nAceleradores de construção de 60 minutos x 15\n50k de comida x 20\n50k de ferro x 20\nCD x 10.000\n\nAgradecemos sua compreensão e apoio! Vemos você na taverna!\n\nDelegado Roger</t>
  </si>
  <si>
    <t>親愛的指揮官：\n\n為了維持服務器的活躍，並平衡各服務器實力，我們即將對您的服務器進行合服，詳細安排如下：\n【合服時間】&lt;color=#ffa200&gt;2021-02-01 06:00:00至2021-02-01 10:00:00（UTC時間）&lt;/color&gt;；\n\n【合併服務器列表】\n2000402、2000502、2000602、2000702、2000802、2000902、2001002、2001102、2001202將合併至2001202服務器；\n\n【合服注意事項】\n-在&lt;color=#ffa200&gt;合服前7日內（2021-01-25後）&lt;/color&gt;，服務器將無法進行註冊，同時不再開啟新的活動。合服完成後將恢復正常；\n-請在合服前提前領取郵件獎勵，合服完成後，所有的郵件及郵件附件將被清除；\n-合服期間，參與合服的服務器處於停服維護狀態，玩家不能登錄。合服完成後，玩家可正常進入遊戲；\n-合服完成後，若玩家在多個相關區都有角色，遷移至新區後多角色可以並存。多角色玩家可在賬號界面查看並選擇該區下的不同角色；\n-合服完成後，太空里程碑將從第一階段重新開始，迷霧全服開啟，玩家可以進行部落轉換；\n-合服完成後，聯盟、部落領土及建築將清空；\n-合服完成後，部落火箭、鐵軌將清空；\n-合服完成後，排行榜重新計算；\n-合服完成後，清除所有遺跡數據中立建築數據，處於初始的爭奪狀態；\n-合服完成後，火箭發射進程將清除；\n-合服完成後，地圖上資源點、野怪重新刷新；\n-合服完成後，所有行軍隊列、採集中的部隊全部遣返回主城；\n-合服完成後，所有受到影響的玩家可以獲得以下補償：\n改名卡*1\nCD*10000\n60分鐘訓練加速*15\n60分鐘研究加速*15\n60分鍾建築加速*15\n50,000糧食*20\n50,000鋼鐵*20\n\n感謝你對Age of Apes的理解與支持，祝愿火箭發射順利！\n\n羅傑副官</t>
  </si>
  <si>
    <t>Kapten yang terhormat,\n\nUntuk menjaga server tetap aktif dan untuk menyeimbangkan kekuatan keseluruhan di antaranya, servermu telah dijadwalkan untuk digabungkan. Detailnya adalah sebagai berikut:\n\n[Waktu]\n&lt;color=#ffa200&gt;2021-02-01 06:00:00 UTC hingga 2021-02-01 10:00:00 UTC&lt;/color&gt;\n\n[Server]\nServers 2000402, 2000502, 2000602, 2000702, 2000802, 2000902, 2001002, 2001102, 2001202 akan digabungkan dengan server 2001202.\n\n[Catatan Penting]\n- In the &lt;color=#ffa200&gt;7 hari sebelum penggabungan (mis. setelah 2021-01-25)&lt;/color&gt;, server yang terpengaruh tidak akan menerima pendaftaran akun atau mengadakan acara baru. Fungsi ini akan kembali normal setelah penggabungan server selesai.\n- Klaim hadiah kotak masuk sebelum penggabungan. Setelah penggabungan selesai, semua kotak masuk dan lampiran kotak masuk akan dihapus.\n- Selama penggabungan, server yang terpengaruh akan menjalani pemeliharaan dan kamu tidak akan bisa mengakses game. Kamu bisa masuk seperti biasa setelah penggabungan selesai.\n- Jika kamu memiliki banyak peran di berbagai server yang terpengaruh, semuanya akan dipindahkan ke server baru. Kamu bisa melihat dan memilih peran di Info Pemain - Pengaturan - antarmuka Manajer Peran.\n- Setelah penggabungan, Tonggak Luar Angkasa akan dimulai dari tahap pertama, area kabut akan diatur ulang, dan pemain bisa berganti Klan.\n- Setelah penggabungan, wilayah dan bangunan Klan dan Geng akan dihapus.\n- Setelah penggabungan, Roket dan Rel Kereta Api Klan akan dihapus.\n- Setelah penggabungan, Peringkat akan diatur ulang.\n- Setelah penggabungan, semua data Reruntuhan dan bangunan umum akan dibersihkan, kembali ke keadaan semula, dan tersedia untuk ditempati.\n- Setelah penggabungan, progres peluncuran Roket akan dihapus.\n- Setelah penggabungan, tempat sumber daya dan mutan di peta akan diperbarui.\n- Setelah penggabungan, semua pasukan yang berbaris dan berkumpul akan kembali ke Kota.\n- Setelah penggabungan, semua pemain yang terpengaruh akan menerima kompensasi berikut:\nUbah nama Avatar *1\nCD*10.000\n60 menit Percepatan Latihan*15\n60 menit Percepatan Riset*15\n60 menit Percepatan Gedung*15\n50k Makanan *20\n50k Besi *20\nCD*10000\n\nTerima kasih atas dukungan dan pengertianmu! Sampai jumpa di sekitar Kedai!\n\nDeputi Roger</t>
  </si>
  <si>
    <t>ถึงท่านผู้บัญชาการ\n\nเพื่อให้เซิร์ฟเวอร์ใช้งานได้อย่างเป็นปกติและเพื่อความสมดุลของค่าพลังโดยรวมระหว่างเซิร์ฟเวอร์ เราจึงกำหนดเวลาสำหรับการรวมเซิร์ฟเวอร์ของนายเข้าด้วยกันดังรายละเอียดต่อไปนี้:\n\n[เวลา]\n&lt;color=#ffa200&gt;วันที่ 01-02-2021 06:00:00 UTC ถึง 01-02-2021 10:00:00 UTC&lt;/color&gt;\n\n[เซิร์ฟเวอร์]\nเซิร์ฟเวอร์ 2000402, 2000502, 2000602, 2000702, 2000802, 2000902, 2001002, 2001102, 2001202 จะถูกรวมเข้ากับเซิร์ฟเวอร์ 2001202\n\n[หมายเหตุสำคัญ]\n- ในช่วงเวลา&lt;color=#ffa200&gt; 7 วันก่อนการรวม (เช่น หลังวันที่ 25-01-2021)&lt;/color&gt; เซิร์ฟเวอร์ที่ได้รับผลกระทบจะไม่ยอมรับการลงทะเบียนบัญชีใหม่หรือการจัดกิจกรรมใหม่ใด ๆ โดยฟังก์ชันเหล่านี้จะกลับคืนสู่สภาวะปกติหลังจากการรวมเซิร์ฟเวอร์เสร็จสมบูรณ์แล้ว\n- โปรดรับรางวัลทางเมลก่อนการรวม เนื่องจากเมื่อการรวมเซิร์ฟเวอร์เสร็จสมบูรณ์แล้ว อีเมลและไฟล์แนบทั้งหมดจะถูกล้างออกไป\n- ในระหว่างการรวม เราจะทำการบำรุงรักษาเซิร์ฟเวอร์ที่ได้รับผลกระทบ ซึ่งนายจะไม่สามารถเข้าเล่นเกมได้ โดยนายจะสามารถเข้าสู่ระบบได้ตามปกติเมื่อการรวมเสร็จสมบูรณ์\n- หากนายทำหน้าที่หลายบทบาทในเซิร์ฟเวอร์ที่ได้รับผลกระทบ หน้าที่ทั้งหมดจะถูกย้ายไปที่เซิร์ฟเวอร์ใหม่ โดยนายสามารถดูและเลือกบทบาทได้ในอินเตอร์เฟสข้อมูลผู้เล่น - การตั้งค่า - ตัวจัดการบทบาท\n- หลังการรวม เหตุการณ์สำคัญแห่งอวกาศจะเริ่มต้นใหม่จากด่านแรก พื้นที่หมอกจะถูกรีเซ็ต และผู้เล่นจะสามารถเปลี่ยนเผ่าได้\n- หลังการรวม อาณาเขตและสิ่งปลูกสร้างของเผ่าและแก๊งจะถูกล้างใหม่\n- หลังการรวม จรวดและรางรถไฟของเผ่าจะถูกล้างใหม่\n- หลังการรวม อันดับจะถูกรีเซ็ต\n- หลังการรวม ข้อมูลทั้งหมดของซากปรักหักพังและสิ่งปลูกสร้างสาธารณะจะถูกล้างกลับสู่สถานะเริ่มต้น ซึ่งพร้อมให้ทุกคนเข้าการยึดครอง\n- หลังการรวม ความคืบหน้าในการปล่อยจรวดจะถูกล้างใหม่\n- หลังการรวม จุดทรัพยากรและเหล่ามิวแตนต์บนแผนที่จะถูกรีเฟรชใหม่\n- หลังการรวม กองทหารที่เดินทัพและออกเก็บรวมรวมทรัพยากรทั้งหมดจะกลับไปที่เมือง\n- หลังการรวม ผู้เล่นที่ได้รับผลกระทบทั้งหมดจะได้รับของขวัญชดเชยดังต่อไปนี้:\nไอเทมเปลี่ยนชื่ออวาตาร์ 1 ชิ้น\nซีดี 10,000 แผ่น\nไอเทมเร่งความเร็ว 60 นาที 15 ชิ้น\nไอเทมเร่งการวิจัย 60 นาที 15 ชิ้น\nไอเทมเร่งความเร็วการก่อสร้าง 60 นาที 15 ชิ้น\nอาหาร 50k 20 ชิ้น\nเหล็ก 50k 20 ชิ้น\nซีดี *10000 แผ่น\n\nขอบคุณสำหรับการสนับสนุนและความเข้าใจ! แล้วไว้เจอกันแถว ๆ โรงแรมนะ!\n\nท่านรองโรเจอร์</t>
  </si>
  <si>
    <t>Querido Capitán, \n\nPara mantener los servidores activos y balancear el poder en general entre ellos, tu servidor ha sido programado para una fusión. Los detalles son los siguientes:\n\n[Hora]\n&lt;color=#ffa200&gt;01-02-2021 06:00:00 UTC a las 01-02-2021 10:00:00 UTC&lt;/color&gt;\n\n[Servidores]\nLos servidores 2000402, 2000502, 2000602, 2000702, 2000802, 2000902, 2001002, 2001102, 2001202 serán fusionados en el servidor 2001202.\n\n[Notas importantes]\n- Durante los &lt;color=#ffa200&gt;7 días anteriores a la fusión (por ej. después del 25-01-2021)&lt;/color&gt;, los servidores afectados no aceptaran registros de cuentas realizarán eventos nuevos. Estas funciones regresaran a la normalidad después de que la fusión del servidor esté completa. \n- Por favor, reclama las recompensas por correo antes de la fusión. Después de que la fusión este completa, todos los correos y archivos adjuntos de correo serán eliminados. \n- Durante la fusión, los servidores afectados estarán bajo mantenimiento y no te será posible acceder al jugo. Podrás conectarte normalmente cuando la fusión este completa. \n- Si tienes múltiples roles en los servidores afectados, todos ellos serán migrados hacia el nuevo servidor. Puedes ver y seleccionar los roles en la Información del Jugador – Configuraciones – Interface de Administración de Roles. \n- Después de la fusión, los Logros del Espacio comenzarán desde la primera etapa, las áreas de niebla serán reiniciadas y los jugadores podrán cambiar de Clanes. \n- Después de la fusión, el territorio del Clan y de la Banda y los edificios serán eliminados. \n- Después de la fusión, el Cohete del Clan y las Vías del Tren serán eliminadas. \n- Después de la fusión, las Clasificaciones serán reiniciadas. \n- Después de la fusión, todos los datos de las Ruinas y de los edificios públicos serán eliminados, regresados a su estado inicial y estarán disponibles para ocupación. \n- Después de la fusión, el progreso en el lanzamiento del Cohete será eliminado. \n- Después de la fusión, los puntos de recursos y los mutantes en el mapa serán actualizados. \n- Después de la fusión, todas las tropas en marcha y recolectando regresarán a la Ciudad. \n- Después de la fusión todos los jugadores afectados recibirán la siguiente compensación:\nRenombrar Avatar *1\nCD*10,000\nAcelerador de Entrenamiento de 60 min *15\nAcelerador de Investigación de 60 min *15\nAcelerador de Construcción de 60 min *15\n50k de Comida *20\n50k de Hierro *20\nCD*10000\n\n¡Gracias por tu apoyo y comprensión! Nos vemos en la Taberna.\n\n\nComisario Roger</t>
  </si>
  <si>
    <t>Уважаемый капитан!\n\nДля поддержания активности на серверах и сохранения баланса общей мощи на них, мы проводим слияние серверов, которое затронет и ваш сервер. Вот подробности:\n\n[Время]\n&lt;color=#ffa200&gt;с 06:00 01.02.2021 по 10:00 01.02.2021 (UTC)&lt;/color&gt;\n\n[Серверы]\nСерверы 2000402, 2000502, 2000602, 2000702, 2000802, 2000902, 2001002, 2001102 и 2001202 будут объединены в сервер 2001202.\n\n[Важные примечания]\n– В течение &lt;color=#ffa200&gt;7 дней до слияния (то есть с 25.01.2021)&lt;/color&gt; на упомянутых серверах не будут проводиться ни новые события, ни регистрация новых учетных записей. Эти функции вернутся после завершения слияния серверов.\n– Пожалуйста, получите награды из почты до слияния. После завершения слияния вся почта и почтовые вложения будут очищены.\n– Во время слияния затронутые серверы будут закрыты на техобслуживание, и вы не сможете войти в игру. Вы сможете войти в систему после завершения слияния.\n– Если у вас было несколько персонажей на разных затронутых серверах, все они будут перенесены на новый сервер. Вы сможете просматривать и выбирать роли в разделе «Сведения об игроке &gt; Настройки &gt; Управление ролями».\n– После слияния космические рубежи вернутся на первый этап, области тумана будут сброшены, а игроки смогут поменять кланы.\n– После слияния территории и постройки кланов и банд будут сброшены.\n– После слияния ракеты и железные дороги кланов будут сброшены.\n– После слияния рейтинг будет сброшен.\n– После слияния все данные о руинах и общественных зданиях будут сброшены; объекты вернутся в исходное состояние и будут доступны для оккупации.\n– После слияния прогресс запуска ракет будет сброшен.\n– После слияния обновятся точки ресурсов и мутанты на карте.\n– После слияния все войска на марше и собирающие войска вернутся в город.\n– После слияния все игроки, которых оно затронуло, получат следующую компенсацию:\nСмена имени x1\nCD x10 000\nУскорители обучения на 60 мин. x15\nУскорители исследований на 60 мин. x15\nУскорители строительства на 60 мин. x15\n50K ед. пищи x20\n50K ед. железа x20\n\nБлагодарим за поддержку и понимание. Увидимся в таверне!\n\nПомощник Роджер</t>
  </si>
  <si>
    <t>Sevgili Kaptan,\n\nSunucuların etkinliğini sağlamak ve toplam güçlerini dengelemek için sunucun başka sunucularla birleştirilecek. Detaylar şöyle:\n\n[Zaman]\n&lt;color=#ffa200&gt;01.02.2021, 06:00:00 (UTC) ile 01.02.2021, 10:00:00 (UTC) arası&lt;/color&gt;\n\n[Sunucular]\n2000402, 2000502, 2000602, 2000702, 2000802, 2000902, 2001002, 2001102, 2001202 sunucuları 2001202 sunucusu ile birleştirilecek.\n\n[Önemli Notlar]\n- &lt;color=#ffa200&gt;Birleşme öncesindeki 7 gün içinde (ör. 25.01.2021 sonrası)&lt;/color&gt;, etkilenen sunucular hesap kaydı kabul etmeyecek veya buralarda yeni etkinlik düzenlenmeyecek. Bu işlevler sunucu birleşmesi tamamlandıktan sonra normale dönecek.\n- Lütfen birleşme öncesinde posta ödüllerini al. Birleşme tamamlandıktan sonra tüm postalar ve posta ekleri ortadan kalkar.\n- Birleşme sırasında, etkilenen sunucular bakıma girecek ve bu sürede oyuna erişim sağlayamayacaksın. Birleşme tamamlanınca normal şekilde giriş yapabilirsin.\n- Etkilenen çeşitli sunucularda birden fazla rolün varsa, bunların tümü yeni sunucuyla birleştirilecek. Oyuncu Bilgisi - Ayarlar - Rol Yöneticisi arayüzünden rolleri görebilir ve seçebilirsin.\n- Birleşme sonrasında, Uzay Dönüm Noktaları ilk aşamadan başlar, sis alanları sıfırlanır ve oyuncular Klan değiştirebilir.\n- Birleşme sonrasında Klan, Çete bölgesi ve binalar ortadan kalkar.\n- Birleşme sonrasında Klan Roketi ve Demir Yolları ortadan kalkar.\n- Birleşme sonrasında Sıralamalar sıfırlanır.\n- Birleşme sonrasında Harabe ve kamu binası verileri ortadan kalkar, ilk durumlarına geri dönerler ve işgal edilebilir hâle gelirler.\n- Birleşme sonrasında Roket fırlatma süreci başa döner.\n- Birleşme sonrasında haritadaki kaynak noktaları ve mutantlar yenilenir.\n- Birleşme sonrasında seferdeki ve toplama durumundaki tüm birlikler Şehre döner.\n- Birleşme sonrasında etkilenen tüm oyuncular şu telafileri alır:\nAvatarı Yeniden Adlandır *1\nCD *10.000\n60 dk Eğitim Hızlandırıcı *15\n60 dk Araştırma Hızlandırıcı *15\n60 dk İnşaat Hızlandırıcı *15\n50.000 Yiyecek *20\n50.000 Demir *20\nCD *10.000\n\nDesteğin ve anlayışın için teşekkürler! Tavernada görüşürüz!\n\nYardımcı Roger</t>
  </si>
  <si>
    <t>Thưa Thủ Lĩnh,\n\nĐể các máy chủ tiếp tục hoạt động tích cực và cân bằng sức mạnh tổng thể giữa các máy chủ này, chúng tôi đã lên lịch hợp nhất cho máy chủ của bạn. Thông tin chi tiết như sau:\n\n[Thời gian]\n&lt;color=#ffa200&gt;06:00:00 UTC ngày 01/02/2021 đến 10:00:00 UTC ngày 01/02/2021&lt;/color&gt;\n\n[Máy chủ]\nCác máy chủ 2000402, 2000502, 2000602, 2000702, 2000802, 2000902, 2001002, 2001102, 2001202 sẽ được hợp thành máy chủ 2001202.\n\n[Thông báo quan trọng]\n- Trong vòng &lt;color=#ffa200&gt;7 ngày trước khi hợp nhất (chẳng hạn như 25/01/2021)&lt;/color&gt;, các máy chủ bị ảnh hưởng sẽ không thể đăng ký tài khoản mới hoặc tổ chức các sự kiện mới. Các chức năng này sẽ hoạt động bình thường trở lại sau khi quá trình hợp nhất máy chủ hoàn tất.\n- Vui lòng nhận phần thưởng trong thư trước khi hợp nhất. Sau khi quá trình hợp nhất hoàn tất, tất cả thư và quà đính kèm trong thư sẽ bị xóa.\n- Trong quá trình hợp nhất, các máy chủ bị ảnh hưởng sẽ trong thời gian bảo trì và bạn sẽ không thể truy cập vào trò chơi. Bạn có thể đăng nhập bình thường sau khi quá trình hợp nhất hoàn tất.\n- Nếu bạn có nhiều nhân vật trong nhiều máy chủ bị ảnh hưởng, tất cả các nhân vật này sẽ được chuyển sang máy chủ mới. Bạn có thể xem và chọn nhân vật trong giao diện Thông tin người chơi - Cài đặt - Quản lý nhân vật.\n- Sau khi hợp nhất, Cột Mốc Không Gian sẽ bắt đầu từ giai đoạn đầu tiên, các khu vực sương mù sẽ thiết lập lại và người chơi có thể đổi Bộ Lạc.\n- Sau khi hợp nhất, lãnh thổ và các công trình của Bộ Lạc và Bang Hội sẽ bị xóa.\n- Sau khi hợp nhất, Hỏa Tiễn và Đường Sắt Bộ Lạc sẽ bị xóa.\n- Sau khi hợp nhất, BXH sẽ thiết lập lại.\n- Sau khi hợp nhất, tất cả dữ liệu Tàn Tích và công trình công cộng sẽ bị xóa, trở về trạng thái ban đầu và sẵn sàng để chiếm đóng.\n- Sau khi hợp nhất, tiến trình phóng Hỏa Tiễn sẽ bị xóa.\n- Sau khi hợp nhất, các điểm tài nguyên và Vượn Đột Biến trên bản đồ sẽ được làm mới.\n- Sau khi hợp nhất, tất cả binh lính đang hành quân và tập kết sẽ trở về Thành Phố.\n- Sau khi hợp nhất, tất cả người chơi bị ảnh hưởng sẽ nhận được phần thưởng bồi thường như sau:\nĐổi Tên Hình Đại Diện *1\nCD*10.000\nVật Phẩm Tăng Tốc Huấn Luyện 60 phút*15\nVật Phẩm Tăng Tốc Nghiên Cứu 60 phút*15\nVật Phẩm Tăng Tốc Xây Dựng 60 phút*15\n50k Thực Phẩm *20\n50k Sắt *20\nCD*10000\n\nCảm ơn bạn đã thông cảm và hỗ trợ! Hẹn gặp lại ở Tửu Quán nhé!\n\nPhụ tá Roger</t>
  </si>
  <si>
    <t>Server Merge Compensation</t>
  </si>
  <si>
    <t>Compensation pour la fusion des serveurs</t>
  </si>
  <si>
    <t>Entschädigung für Serverfusion</t>
  </si>
  <si>
    <t>Compensação pela junção de servidores</t>
  </si>
  <si>
    <t>合服補償</t>
  </si>
  <si>
    <t>Kompensasi Penggabungan Server</t>
  </si>
  <si>
    <t>การชดเชยกรณีการรวมเซิร์ฟเวอร์</t>
  </si>
  <si>
    <t>Compensación por la Fusión de Servidor</t>
  </si>
  <si>
    <t>Компенсация за слияние серверов</t>
  </si>
  <si>
    <t>Sunucu Birleştirme Telafisi</t>
  </si>
  <si>
    <t>Quà đền bù hợp nhất máy chủ</t>
  </si>
  <si>
    <t>亲爱的指挥官：\n\n以下是你的合服补偿，请注意查收。\n\n感谢您对Age of Apes的理解与支持，祝愿火箭发射顺利！\n\n罗杰副官</t>
  </si>
  <si>
    <t>Dear Captain,\n\nPlease claim your server merge compensation:\n\nThank you for your understanding and support! See you around the Tavern!\n\nDeputy Roger</t>
  </si>
  <si>
    <t>Cher capitaine,\n\nVous trouverez ci-dessous votre compensation pour la fusion des serveurs:\n\nMerci pour votre compréhension et votre soutien! On se retrouve à la taverne!\n\nRoger l'assistant</t>
  </si>
  <si>
    <t>Lieber Captain,\n\nBitte fordere deine Entschädigung für die Serverfusion ein::\n\nVielen Dank für dein Verständnis und deine Unterstützung! Wir sehen uns in der Taverne!\n\nAdjudant Roger</t>
  </si>
  <si>
    <t>Caro Capitão,\n\nResgate a compensação pela junção de servidores:\n\nAgradecemos sua compreensão e suporte! Vemos você na taverna!\n\nDelegado Roger</t>
  </si>
  <si>
    <t>親愛的指揮官：\n\n以下是你的合服補償，請注意查收。\n\n感謝你對Age of Apes的理解與支持，祝愿火箭發射順利！\n\n羅傑副官</t>
  </si>
  <si>
    <t>Kapten yang terhormat,\n\nKlaim kompensasi penggabungan servermu:\n\nTerima kasih atas pengertian dan dukunganmu! Sampai Jumpa di Sekitar Kedai\n\nDeputi Roger</t>
  </si>
  <si>
    <t>ถึงท่านผู้บัญชาการ\n\nโปรดรับของขวัญชดเชยกรณีการรวมเซิร์ฟเวอร์ของนายต่อไปนี้:\n\nขอขอบคุณสำหรับความเข้าใจและการสนับสนุน! แล้วไว้เจอกันแถว ๆ โรงแรมนะ!\n\nท่านรองโรเจอร์</t>
  </si>
  <si>
    <t>Querido Capitán, \n\nPor favor, reclama tu compensación por la fusión de servidores: \n\nGracias por tu comprensión y apoyo. ¡Nos vemos en la Taberna!\n\nComisario Roger</t>
  </si>
  <si>
    <t>Уважаемый капитан!\n\nПожалуйста, заберите компенсацию за слияние серверов:\n\nСпасибо за понимание и поддержку. Увидимся в таверне!\n\nПомощник Роджер</t>
  </si>
  <si>
    <t>Sevgili Kaptan,\n\nLütfen sunucu birleştirme telafini al:\n\nAnlayışın ve desteğin için teşekkürler! Tavernada görüşürüz!\n\nYardımcı Roger</t>
  </si>
  <si>
    <t>Thưa Thủ Lĩnh,\n\nVui lòng nhận quà đền bù hợp nhất máy chủ của bạn:\n\nCảm ơn bạn đã thông cảm và hỗ trợ! Hẹn gặp lại ở Tửu Quán nhé!\n\nPhụ tá Roger</t>
  </si>
  <si>
    <t>关于斗士的补偿说明</t>
  </si>
  <si>
    <t>Fighter Compensation</t>
  </si>
  <si>
    <t>Compensation pour l'équilibrage des combattants</t>
  </si>
  <si>
    <t>Kämpfer-Entschädigung</t>
  </si>
  <si>
    <t>Compensação de combatente</t>
  </si>
  <si>
    <t>關於鬥士的補償說明</t>
  </si>
  <si>
    <t>Kompensasi Pejuang</t>
  </si>
  <si>
    <t>การชดเชยกรณีการปรับเปลี่ยนนักสู้</t>
  </si>
  <si>
    <t>Compensación al Luchador</t>
  </si>
  <si>
    <t>Компенсация за героев</t>
  </si>
  <si>
    <t>Savaşçı Telafisi</t>
  </si>
  <si>
    <t>Đền Bù Chiến Binh</t>
  </si>
  <si>
    <t>亲爱的指挥官： 由于最近进行了英雄平衡性调整，我们将为您送上一份补偿：\n\n谢谢你对我们的支持，我们将不断改进，希望能得到您的理解和支持，下一次在酒馆中再次干杯!\n\n罗杰副官</t>
  </si>
  <si>
    <t>Dear Captain,\n\nTo compensate for the recent adjustments in the Fighter system, we'd like to offer you the following reward:\n\nThank you for your understanding and support as we continue to improve and progress. See you around the Tavern!\n\nDeputy Roger</t>
  </si>
  <si>
    <t>Cher capitaine,\n\nSuite aux récents équilibrages dans le système des combattants, nous avons décidé de vous offrir la compensation suivante:\n\nMerci pour votre compréhension et votre soutien. Nous mettons tout en œuvre pour continuer à progresser et améliorer le jeu.\n\nOn se retrouve à la taverne!\n\nRoger l'assistant</t>
  </si>
  <si>
    <t>Lieber Captain,\n\nUm die kürzlichen Anpassungen im Kämpfer-System zu kompensieren, möchten wir dir die folgende Belohnung anbieten:\n\nVielen Dank für dein Verständnis und deine Unterstützung, während wir uns weiter verbessern und vorankommen. Wir sehen uns in der Taverne!\n\nAdjudant Roger</t>
  </si>
  <si>
    <t>Caro Capitão,\n\nPara compensar os ajustes recentes no sistema de combatentes, gostaríamos de oferecer a seguinte recompensa:\n\nAgradecemos pela sua compreensão e suporte ao passo que continuamos melhorando. Vemos você na taverna!\n\nDelegado Roger</t>
  </si>
  <si>
    <t>親愛的指揮官： 由於最近進行了英雄平衡性調整，我們將為您送上一份補償：\n\n謝謝你對我們的支持，我們將不斷改進，希望能得到您的理解和支持，下一次在酒館中再次乾杯!\n\n羅傑副官</t>
  </si>
  <si>
    <t>Kapten yang terhormat,\n\nUntuk mengimbangi penyesuaian terbaru dalam sistem Pejuang, kami ingin menawarkan hadiah berikut:\n\nTerima kasih atas pengertian dan dukunganmu sementara kami terus meningkatkan dan membuat kemajuan. Sampai jumpa di sekitar Kedai!\n\nDeputi Roger</t>
  </si>
  <si>
    <t>ถึงท่านผู้บัญชาการ\n\nโปรดรับของขวัญชดเชยกรณีการปรับเปลี่ยนระบบนักสู้ของนายดังต่อไปนี้:\n\nขอขอบคุณสำหรับความเข้าใจและการสนับสนุนของนายในการปรับปรุงและพัฒนาอย่างต่อเนื่องของเรา แล้วไว้เจอกันแถว ๆ โรงแรมนะ!\n\nท่านรองโรเจอร์</t>
  </si>
  <si>
    <t>Querido Capitán, \n\nPara compensar por los ajustes recientes al sistema de Luchador, deseamos ofrecerte la siguiente recompensa:\n\nGracias por tu comprensión y apoyo mientras continuamos mejorando y progresando. ¡Nos vemos en la Taberna!\n\nComisario Roger</t>
  </si>
  <si>
    <t>Уважаемый капитан!\n\nВ качестве компенсации за недавнюю корректировку системы героев мы хотим предложить вам следующую награду:\n\nСпасибо за понимание и поддержку наших мер по улучшению и развитию игры. Увидимся в таверне!\n\nПомощник Роджер</t>
  </si>
  <si>
    <t>Sevgili Kaptan,\n\nYakın zamanda Savaşçı sisteminde yapılan düzenlemelerin telafisi olarak sana şu ödülü sunmak istiyoruz:\n\nGelişme ve ilerleme sürecimizdeki anlayışın ve desteğin için teşekkürler. Tavernada görüşürüz!\n\nYardımcı Roger</t>
  </si>
  <si>
    <t>Thưa Thủ Lĩnh,\n\nĐể đền bù cho những điều chỉnh gần đây trong hệ thống Chiến Binh, chúng tôi muốn tặng bạn phần thưởng sau:\n\nCảm ơn các bạn đã thông cảm và ủng hộ trong thời gian chúng tôi tiếp tục cải thiện và tiến bộ. Hẹn gặp lại ở Tửu Quán nhé!\n\nPhụ tá Roger</t>
  </si>
  <si>
    <t>关于平衡性的补偿说明</t>
  </si>
  <si>
    <t>Balance Adjustment Compensation</t>
  </si>
  <si>
    <t>Compensation pour les équilibrages</t>
  </si>
  <si>
    <t>Entschädigung für Balance-Anpassung</t>
  </si>
  <si>
    <t>Compensação pelo ajuste no balanceamento</t>
  </si>
  <si>
    <t>關於平衡性的補償說明</t>
  </si>
  <si>
    <t>Kompensasi Penyesuaian Saldo</t>
  </si>
  <si>
    <t>การชดเชยกรณีการปรับสมดุล</t>
  </si>
  <si>
    <t>Compensación de Ajuste de Balance</t>
  </si>
  <si>
    <t>Компенсация за корректировку баланса</t>
  </si>
  <si>
    <t>Denge Düzenlemesi Telafisi</t>
  </si>
  <si>
    <t>Đền Bù Điều Chỉnh Cân Bằng</t>
  </si>
  <si>
    <t>亲爱的指挥官：\n\n由于最近进行了数值平衡性调整，我们将为您送上一份补偿：\n\n谢谢你对我们的支持，我们将不断改进，希望能得到您的理解和支持，下一次在酒馆中再次干杯!\n\n罗杰副官</t>
  </si>
  <si>
    <t>Dear Captain,\n\nWe have included a reward for you as compensation for the recent stat balance adjustments:\n\nThank you for the understanding and support as we continue to improve. See you around the Tavern!\n\nDeputy Roger</t>
  </si>
  <si>
    <t>Cher capitaine,\n\nSuite aux récents équilibrages des statistiques, nous avons décidé de vous offrir la compensation suivante:\n\nMerci pour votre compréhension et votre soutien. Nous mettons tout en œuvre pour continuer à progresser et améliorer le jeu. \n\nOn se retrouve à la taverne!\n\nRoger l'assistant</t>
  </si>
  <si>
    <t>Lieber Captain,\n\nAls Entschädigung für die kürzlich vorgenommenen Balance-Anpassungen haben wir eine Belohnung beigefügt:\n\nVielen Dank für dein Verständnis und deine Unterstützung, während wir uns weiter verbessern. Wir sehen uns in der Taverne!\n\nAdjudant Roger</t>
  </si>
  <si>
    <t>Caro Capitão,\n\nIncluímos uma recompensa para você como compensação pelo balanceamento de atributos mais recente:\n\nAgradecemos sua compreensão e suporte ao passo que continuamos melhorando. Vemos você na taverna!\n\nDelegado Roger</t>
  </si>
  <si>
    <t>親愛的指揮官：\n\n由於最近進行了數值平衡性調整，我們將為您送上一份補償：\n\n謝謝你對我們的支持，我們將不斷改進，希望能得到您的理解和支持，下一次在酒館中再次乾杯!\n\n羅傑副官</t>
  </si>
  <si>
    <t>Kapten yang terhormat,\n\nKami telah menyertakan hadiah untukmu sebagai kompensasi atas penyesuaian saldo status terbaru:\n\nTerima kasih atas pengertian dan dukunganmu sementara kami terus meningkatkan game. Sampai jumpa di sekitar Kedai!\n\nDeputi Roger</t>
  </si>
  <si>
    <t>ถึงท่านผู้บัญชาการ\n\nโปรดรับของขวัญชดเชยกรณีการปรับสมดุลของค่าพลังล่าสุดดังต่อไปนี้:\n\nขอขอบคุณสำหรับความเข้าใจและการสนับสนุนการปรับปรุงอย่างต่อเนื่องของเรา แล้วไว้เจอกันแถว ๆ โรงแรมนะ!\n\nท่านรองโรเจอร์</t>
  </si>
  <si>
    <t>Querido Capitán, \n\nHemos incluido una recompensa para ti como compensación por el reciente ajuste para balancear estadísticas: \n\n¡Gracias por tu comprensión y apoyo mientras continuamos mejorando! Nos vemos en la Taberna.\n\nComisario Roger</t>
  </si>
  <si>
    <t>Уважаемый капитан!\n\nВ качестве компенсации за недавнюю корректировку баланса мы отправили вам награду:\n\nСпасибо за понимание и поддержку наших мер по улучшению игры. Увидимся в таверне!\n\nПомощник Роджер</t>
  </si>
  <si>
    <t>Sevgili Kaptan,\n\nSon özellik dengesi düzenlemesi için sana telafi olarak bir ödül sunuyoruz:\n\nGelişme sürecimizdeki anlayışın ve desteğin için teşekkürler. Tavernada görüşürüz!\n\nYardımcı Roger</t>
  </si>
  <si>
    <t>Thưa Thủ Lĩnh,\n\nChúng tôi có kèm theo một phần thưởng tặng bạn để đền bù cho những đợt điều chỉnh cân bằng chỉ số gần đây:\n\nCảm ơn các bạn đã thấu hiểu và hỗ trợ chúng tôi tiếp tục cải thiện. Hẹn gặp lại ở Tửu Quán nhé!\n\nPhụ tá Roger</t>
  </si>
  <si>
    <t>数值平衡性调整说明</t>
  </si>
  <si>
    <t>0.26.0版本平衡性调整说明</t>
  </si>
  <si>
    <t>Version 0.26.0 Balance Adjustments</t>
  </si>
  <si>
    <t>Equilibrage version 0.26.0</t>
  </si>
  <si>
    <t>Version 0.26.0 Balance-Anpassungen</t>
  </si>
  <si>
    <t>Ajustes de balanceamento da versão 0.26.0</t>
  </si>
  <si>
    <t>0.26.0版本平衡性調整說明</t>
  </si>
  <si>
    <t>Penyesuaian Saldo Versi 0.26.0</t>
  </si>
  <si>
    <t>เวอร์ชัน 0.26.0 การปรับสมดุล</t>
  </si>
  <si>
    <t>Ajustes de Balance para la Versión 0.26.0</t>
  </si>
  <si>
    <t>Настройки баланса в версии 0.26.0</t>
  </si>
  <si>
    <t>Sürüm 0.26.0 Denge Düzenlemeleri</t>
  </si>
  <si>
    <t>Điều Chỉnh Cân Bằng Phiên Bản 0.26.0</t>
  </si>
  <si>
    <r>
      <rPr>
        <rFont val="Arial"/>
        <color theme="1"/>
      </rPr>
      <t>亲爱的指挥官：\n\n为了确保整体的游戏平衡，我们在即将更新的0.26.0版本进行了以下</t>
    </r>
    <r>
      <rPr>
        <rFont val="Arial"/>
        <color rgb="FFFF9900"/>
      </rPr>
      <t>&lt;color=#ffa200&gt;数值调整&lt;/color&gt;</t>
    </r>
    <r>
      <rPr>
        <rFont val="Arial"/>
        <color theme="1"/>
      </rPr>
      <t>：\n\n</t>
    </r>
    <r>
      <rPr>
        <rFont val="Arial"/>
        <color rgb="FFFF0000"/>
      </rPr>
      <t>xxxxx</t>
    </r>
    <r>
      <rPr>
        <rFont val="Arial"/>
        <color theme="1"/>
      </rPr>
      <t>\n\n\n对于本次调整，我们将会进行以下的补偿：\n\n</t>
    </r>
    <r>
      <rPr>
        <rFont val="Arial"/>
        <color rgb="FFFF0000"/>
      </rPr>
      <t>xxxxx</t>
    </r>
    <r>
      <rPr>
        <rFont val="Arial"/>
        <color theme="1"/>
      </rPr>
      <t>\n\n谢谢您对我们的支持，我们将不断改进，希望能得到您的理解和支持，下一次在酒馆中再次干杯!\n\n罗杰副官</t>
    </r>
  </si>
  <si>
    <t>Dear Captain,\n\nIn order to increase overall balance in the game, the upcoming 0.26.0 version update will include the following &lt;color=#ffa200&gt;stat adjustments&lt;/color&gt;:\n\nxxxxx\n\nWe apologize for the inconvenience and will be issuing the following reward as compensation:\n\nxxxxx\n\nThank you for your understanding and support as we continue to improve. See you around the Tavern!\n\nDeputy Roger</t>
  </si>
  <si>
    <t>Cher capitaine,\n\nAfin d'équilibrer globalement le jeu, les &lt;color=#ffa200&gt;modifications des statistiques&lt;/color&gt; suivantes prendront effet dans la prochaine mise à jour 0.26.0 du jeu:\n\nxxxxx\n\nVeuillez nous excuser pour ce désagrément. Les compensations suivantes vous seront offertes:\n\nxxxxx\n\nMerci pour votre compréhension et votre soutien. Nous mettons tout en œuvre pour continuer à progresser et améliorer le jeu. \n\nOn se retrouve à la taverne!\n\nRoger l'assistant</t>
  </si>
  <si>
    <t>Lieber Captain,\n\nUm die allgemeine Balance im Spiel zu erhöhen, wird das kommende Versionsupdate 0.26.0 die folgenden &lt;color=#ffa200&gt;Balance-Anpassungen&lt;/color&gt; beinhalten:\n\nxxxxx\n\nWir entschuldigen uns für die Unannehmlichkeiten und werden als Entschädigung die folgende Belohnung ausgeben:\n\nxxxxx\n\nVielen Dank für dein Verständnis und deine Unterstützung, während wir uns weiter verbessern. Wir sehen uns in der Taverne!\n\nAdjudant Roger</t>
  </si>
  <si>
    <t>Caro Capitão,\n\nPara melhorar o balanceamento geral dentro do jogo, a versão 0.26.0 incluirá os seguintes &lt;color=#ffa200&gt;ajustes de atributos&lt;/color&gt;:\n\nxxxxx\n\nLamentamos por quaisquer inconveniências e enviaremos a seguinte recompensa para você como compensação:\n\nxxxxx\n\nAgradecemos pela sua compreensão e suporte ao passo que continuamos melhorando. Vemos você na taverna!\n\nDelegado Roger</t>
  </si>
  <si>
    <t>親愛的指揮官：\n\n為了確保整體的遊戲平衡，我們在即將更新的0.26.0版本進行了以下&lt;color=#ffa200&gt;數值調整&lt;/color&gt;：\n\nxxxxx\n\n\n對於本次調整，我們將會進行以下的補償：\n\nxxxxx\n\n謝謝您對我們的支持，我們將不斷改進，希望能得到您的理解和支持，下一次在酒館中再次乾杯!\n\n羅傑副官</t>
  </si>
  <si>
    <t>Kapten yang terhormat,\n\nUntuk meningkatkan keseimbangan keseluruhan dalam game, pembaruan versi 0.26.0 mendatang akan mencakup &lt;color=#ffa200&gt;penyesuaian status&lt;/color&gt; berikut ini:\n\nxxxxx\n\nKami mohon maaf atas ketidaknyamanan ini dan akan memberikan hadiah berikut sebagai kompensasi:\n\nxxxxx\n\nTerima kasih atas pengertian dan dukunganmu sementara kami terus meningkatkan game. Sampai jumpa di sekitar Kedai!\n\nDeputi Roger</t>
  </si>
  <si>
    <t>ถึงท่านผู้บัญชาการ\n\nเพื่อเพิ่มความสมดุลโดยรวมในเกม การอัปเดตเวอร์ชัน 0.26.0 ที่กำลังจะมีขึ้นจะมีการปรับ&lt;color=#ffa200&gt;ค่าพลัง&lt;/color&gt;ดังต่อไปนี้:\n\nxxxxx\n\nขออภัยในความไม่สะดวก โดยเราขอมอบรางวัลดังต่อไปนี้ให้เพื่อเป็นการชดเชย:\n\nxxxxx\n\nขอขอบคุณสำหรับความเข้าใจและการสนับสนุนในการปรับปรุงอย่างต่อเนื่องของเรา แล้วไว้เจอกันแถว ๆ โรงแรมนะ!\n\nท่านรองโรเจอร์</t>
  </si>
  <si>
    <t>Querido Capitán, \n\nPara poder aumentar el balance en general dentro del juego, la próxima actualización del juego a la versión 0.26.0 incluirá el siguiente &lt;color=#ffa200&gt;ajuste de estadísticas&lt;/color&gt;:\n\nxxxxx\n\nNos disculpamos por el inconveniente y estaremos enviando la siguiente recompensa como compensación:\n\nxxxxx\n\nGracias por tu comprensión y apoyo mientras continuamos mejorando. ¡Nos vemos en la Taberna!\n\nComisario Roger</t>
  </si>
  <si>
    <t>Уважаемый капитан!\n\nВ целях улучшения общего баланса игры мы вносим следующие &lt;color=#ffa200&gt;изменения показателей&lt;/color&gt; в обновлении до версии 0.26.0:\n\nxxxxx\n\nПриносим извинения за неудобства и хотим предложить следующую награду в качестве компенсации:\n\nxxxxx\n\nСпасибо за понимание и поддержку наших мер по улучшению игры. Увидимся в таверне!\n\nПомощник Роджер</t>
  </si>
  <si>
    <t>Sevgili Kaptan,\n\nOyundaki genel dengeyi artırmak için, sunulacak 0.26.0 sürüm güncellemesi şu &lt;color=#ffa200&gt;özellik düzenlemelerini&lt;/color&gt; içerecek:\n\nxxxxx\n\nVerdiğimiz sıkıntıdan ötürü özür dileriz, telafi olarak şu ödülü sunacağız:\n\nxxxxx\n\nGelişme sürecimizdeki anlayışın ve desteğin için teşekkürler. Tavernada görüşürüz!\n\nYardımcı Roger</t>
  </si>
  <si>
    <t>Thưa Thủ Lĩnh,\n\nĐể tăng cân bằng tổng thể trong trò chơi, bản cập nhật phiên bản 0.26.0 sắp tới sẽ bao gồm những &lt;color=#ffa200&gt;điều chỉnh chỉ số&lt;/color&gt; sau:\n\nxxxxx\n\nChúng tôi xin lỗi vì các hành động bất tiện này và sẽ trao những phần thưởng sau đây để đền bù:\n\nxxxxx\n\nCảm ơn các bạn đã thông cảm và ủng hộ trong thời gian chúng tôi tiếp tục cải thiện trò chơi. Hẹn gặp lại ở Tửu Quán nhé!\n\nPhụ tá Roger</t>
  </si>
  <si>
    <t>活动相关
（持续更新）</t>
  </si>
  <si>
    <t>决战卫星之巅活动已开启</t>
  </si>
  <si>
    <t>Astral Coliseum Event Open Now</t>
  </si>
  <si>
    <t>L'évènement du Colisée astral a commencé</t>
  </si>
  <si>
    <t>Astral-Kolosseum ist jetzt geöffnet</t>
  </si>
  <si>
    <t>Coliseu Astral está aberto agora</t>
  </si>
  <si>
    <t>決戰衛星之巔活動已開啟</t>
  </si>
  <si>
    <t>Acara Koloseum Astral Dibuka Sekarang</t>
  </si>
  <si>
    <t>กิจกรรมโคลีเซียมดวงดาวพร้อมให้เล่นแล้ว</t>
  </si>
  <si>
    <t>Evento del Coliseo Astral abierto ahora</t>
  </si>
  <si>
    <t>Событие в Астральном Колизее открыто</t>
  </si>
  <si>
    <t>Yıldız Kolezyumu Etkinliği Açıldı</t>
  </si>
  <si>
    <t>Sự kiện Đại Đấu Trường Thiên Thể hiện đã mở</t>
  </si>
  <si>
    <r>
      <rPr>
        <rFont val="Arial"/>
        <color theme="1"/>
      </rPr>
      <t>亲爱的指挥官：\n\n我们已经开启新的一轮“决战卫星之巅”，本次活动报名时间为</t>
    </r>
    <r>
      <rPr>
        <rFont val="Arial"/>
        <color rgb="FFFF9900"/>
      </rPr>
      <t>&lt;color=#ffa200&gt;2020-12-29 00:00至2021-01-01 00:00 UTC &lt;/color&gt;</t>
    </r>
    <r>
      <rPr>
        <rFont val="Arial"/>
        <color theme="1"/>
      </rPr>
      <t>，请抓紧时间报名。\n\n根据热情玩家在社区反馈的问题，我们进行了以下优化：\n\n</t>
    </r>
    <r>
      <rPr>
        <rFont val="Arial"/>
        <color rgb="FFFF0000"/>
      </rPr>
      <t>xxxx</t>
    </r>
    <r>
      <rPr>
        <rFont val="Arial"/>
        <color theme="1"/>
      </rPr>
      <t>\n\n以上就是我们这个版本针对战场做出的所有改动，您还可以点击主界面右上方的活动入口了解具体信息。\n\n我们会继续关注大家的反馈和建议，通过持续优化提升游戏品质，给您带来更好的游戏体验。\n\n欢迎大家通过Discord官方社区或游戏内客服服务和我们积极沟通。\n\n祝愿大家在卫星战场上尽情战斗，赢得奖励与荣耀！\n感谢您对Age of Apes的理解与支持，祝愿火箭发射顺利！\n\n罗杰副官</t>
    </r>
  </si>
  <si>
    <t>Dear Captain,\n\nA new round of Astral Coliseum has begun. The registration period for this round of the event is from&lt;color=#ffa200&gt;2020-12-29 00:00 UTC to 2021-01-01 00:00 UTC&lt;/color&gt;. Hurry and register!\n\nBased on the feedback from enthusiastic players in our community, we have made the following optimizations:\n\nxxxxx\n\nThese are all of the changes made to Astral Coliseum in the current version. Tap the event portal in the main interface for more details.\n\nWe will continue to listen to your feedback and keep optimizing to bring you a better gaming experience.\n\nPlease don't hesitate to get in touch with us via Discord or the in-game customer support. [-1#Official Discord](herf=https://discord.gg/RncnPNw)\n\nFight to the end, monkeys! Rewards and honor shall be yours!\n\nThank you for your understanding and support. See you around the Tavern!\n\nDeputy Roger</t>
  </si>
  <si>
    <t>Cher capitaine,\n\nUne nouvelle manche du Colisée astral a commencé. Les inscriptions sont ouvertes du &lt;color=#ffa200&gt;29-12-2020 à 00:00 TU au 01-01-2021 à 00:00 TU&lt;/color&gt;. Dépêchez-vous de vous inscrire!\n\nGrâce aux commentaires enthousiastes des joueurs, nous avons amélioré certains aspects de l’évènement:\n\nxxxxx\n\nVoilà les changements apportés à cette nouvelle version du Colisée astral. Pour en savoir plus, appuyez sur l’icône de l’évènement dans l’interface principale.\n\nNous continuons de lire tous vos retours et d'optimiser encore le jeu afin de vous offrir la meilleure expérience possible.\n\nNous vous invitons à nous faire part de toutes vos remarques via Discord ou via le service client en jeu. [-1#Official Discord](herf=https://discord.gg/RncnPNw)\n\nNe cessez jamais de vous battre, primate! Vous obtiendrez la gloire et les récompenses que vous méritez!\n\nMerci pour votre compréhension et votre soutien. On se retrouve à la taverne!\n\nRoger l'assistant</t>
  </si>
  <si>
    <t>Lieber Captain,\n\nEine neue Runde des Astral-Kolosseums hat begonnen. Der Anmeldezeitraum für diese Runde des Events ist von &lt;color=#ffa200&gt;29.12.2020 00:00 UTC bis 01.01.2021 00:00 UTC&lt;/color&gt;. Also melde dich schnell an!\nBasierend auf dem Feedback von begeisterten Spielern aus unserer Community haben wir folgende Optimierungen vorgenommen:\n\nxxxxx\n\nDas sind alle Änderungen, die in der aktuellen Version am Astral-Kolosseum vorgenommen wurden. Tippe auf das Event-Portal im Haupt-Interface für weitere Details.\n\nWir werden weiterhin auf euer Feedback hören und Optimierungen vornehmen, um euch ein besseres Spielerlebnis zu bieten.\n\nBitte zögere nicht, mit uns über Discord oder den Ingame-Kundensupport in Kontakt zu treten. [-1#Offizieller Discord](herf=https://discord.gg/RncnPNw)\n\nKämpft bis zum Ende, meine Affen! Belohnungen und Ehre sollen euch gehören!\n\nVielen Dank für dein Verständnis und deine Unterstützung. Wir sehen uns in der Taverne!\n\nAdjudant Roger</t>
  </si>
  <si>
    <t>Caro Capitão,\n\nUma nova rodada do Coliseu Astral começou. O período para fazer o registro para esta rodada do evento começa vai &lt;color=#ffa200&gt;da meia-noite de 29/12/2020 à meia-noite de 01/01/2021 (ambos em fusos UTC)&lt;/color&gt;. Faça o registro agora!\n\nCom base no feedback que recebemos dos jogadores de nossa comunidade, fizemos as seguintes melhorias:\n\nxxxxx\n\nEssas são as melhorias que fizemos no Coliseu Astral para a versão atual. Toque no portal do evento na interface principal para detalhes adicionais.\n\nContinuaremos a ouvir seu feedback, mantendo assim a experiência de jogo otimizada.\n\nNão deixe de entrar em contato conosco no Discord ou no suporte ao cliente dentro do jogo. [-1#Discord Oficial](herf=https://discord.gg/RncnPNw)\n\nMacacos, lutem até o fim! As honras e recompensas serão todas suas!\n\nNossa equipe agradece seu apoio e compreensão. Vemos você na taverna!\n\nDelegado Roger</t>
  </si>
  <si>
    <t>親愛的指揮官：\n\n我們已經開啟新的一輪“決戰衛星之巔”，本次活動報名時間為&lt;color=#ffa200&gt;2020-12-29 00:00至2021-01-01 00:00 UTC &lt;/color&gt;，請抓緊時間報名。\n\n根據熱情玩家在社區反饋的問題，我們進行了以下優化：\n\nxxxx\n\n以上就是我們這個版本針對戰場做出的所有改動，您還可以點擊主界面右上方的活動入口了解具體信息。\n\n我們會繼續關注大家的反饋和建議，通過持續優化提升遊戲品質，給您帶來更好的遊戲體驗。\n\n歡迎大家通過Discord官方社區或遊戲內客服服務和我們積極溝通。\n\n祝愿大家在衛星戰場上盡情戰鬥，贏得獎勵與榮耀！\n感謝您對Age of Apes的理解與支持，祝愿火箭發射順利！\n\n羅傑副官</t>
  </si>
  <si>
    <t>Kapten yang terhormat,\n\nBabak baru Koloseum Astral telah dimulai. Periode pendaftaran untuk babak acara ini adalah mulai dari&lt;color=#ffa200&gt;2020-12-29 00:00 UTC hingga 2021-01-01 00:00 UTC&lt;/color&gt;. Segera daftar!\n\nBerdasarkan umpan balik dari para pemain yang antusias di komunitas, kami telah melakukan pengoptimalan berikut:\n\nxxxxx\n\nIni semua adalah perubahan yang dilakukan pada Koloseum Astral di versi terbaru. Ketuk portal acara di antarmuka utama untuk lebih jelasnya.\n\nKami akan terus mendengarkan umpan balikmu dan terus mengoptimalkan untuk memberimu pengalaman bermain yang lebih baik.\n\nJangan ragu untuk menghubungi kami melalui Discord atau dukungan pelanggan dalam game. [-1#Official Discord](herf=https://discord.gg/RncnPNw)\n\nBerjuang hingga akhir, kera! Hadiah dan Kehormatan akan menjadi milikmu!\n\nTerima kasih atas pengertian dan dukunganmu. Sampai Jumpa di Sekitar Kedai!\n\nDeputi Roger</t>
  </si>
  <si>
    <t>ถึงท่านผู้บัญชาการ\n\nโคลีเซียมดวงดาวรอบใหม่เริ่มขึ้นแล้ว ระยะเวลาการลงทะเบียนสำหรับกิจกรรมรอบนี้คือตั้งแต่วันที่&lt;color=#ffa200&gt; 19-12-2020 00:00 UTC ถึง 01-01-2021 00:00 UTC&lt;/color&gt; นายรีบไปลงทะเบียนโดยด่วนเลยนะ!\n\nจากข้อเสนอแนะจากผู้เล่นสุดกระตือรือร้นในชุมชนของเรา เราจึงได้ทำการเพิ่มประสิทธิภาพดังต่อไปนี้:\n\nxxxxx\n\nนี่คือการเปลี่ยนแปลงทั้งหมดที่เกิดขึ้นกับโคลีเซียมดวงดาวในเวอร์ชันปัจจุบัน แตะที่พอร์ทัลเหตุการณ์ในอินเทอร์เฟสหลักเพื่อดูรายละเอียดเพิ่มเติม\n\nเรายินดีรับฟังความคิดเห็นของนายเสมอและทำการปรับปรุงอย่างต่อเนื่องเพื่อนำเสนอประสบการณ์การเล่นเกมที่ดียิ่ง ๆ ขึ้นไป\n\nโปรดอย่าลังเลที่จะติดต่อเราผ่านทาง Discord หรือฝ่ายสนับสนุนลูกค้าในเกม [-1#Official Discord](herf=https://discord.gg/RncnPNw)\n\nสู้ให้สุดนะ เจ้าลิง! แล้วรางวัลและเกียรติยศทั้งปวงจะเป็นของนาย!\n\nขอขอบคุณสำหรับความเข้าใจและการสนับสนุนของนาย แล้วไว้เจอกันแถว ๆ โรงแรมนะ!\n\nท่านรองโรเจอร์</t>
  </si>
  <si>
    <t>Querido Capitán,\n\nUna nueva partida del Coliseo Astral ha comenzado. El periodo de registro para esta partida del evento es del&lt;color=#ffa200&gt;29-12-2929 00:00 UTC al 01-01-2021 00:00 UTC&lt;/color&gt;.\n\nBasándonos en los comentarios de los entusiastas jugadores en nuestra comunidad, hemos realizado las siguientes optimizaciones: \n\nXxxxx\n\nEstos son todos los cambios realizados al Coliseo Astral en su versión actual. Toca en el portal del evento en la interface principal para más detalles. \n\nContinuaremos escuchando tus comentarios y optimizando para traerte una mejor experiencia de juego. \n\nPor favor, no dudes en ponerte en contacto con nosotros mediante Discord o a través del soporte al cliente del juego. [-1#Discord Oficial](herf=https://discord.gg/RncnPNw)\n\n¡Luchen hasta el final monos! ¡Las recompensas y el honor serán suyos!\n\n\nGracias por tu comprensión y apoyo. ¡Nos vemos en la Taberna!\n\nComisario Roger</t>
  </si>
  <si>
    <t>Уважаемый капитан!\n\nНачался новый раунд «Астрального Колизея». Период регистрации для этого раунда: &lt;color=#ffa200&gt;00:00 29.12.2020 — 00:00 01.01.2021 (UTC)&lt;/color&gt;. Спешите регистрироваться!\n\nПрочитав отзывы энтузиастов нашего сообщества, мы внесли в игру следующие улучшения:\n\nxxxxx\n\nЭто все изменения, которые мы внесли в «Астральный Колизей» в текущей версии. Нажмите на портал событий в главном интерфейсе для получения подробной информации.\n\nМы продолжим изучать ваши отзывы и оптимизировать качество игры, чтобы оставить у вас наилучшие впечатления.\n\nВы в любой момент можете написать нам в Discord или в игровую службу поддержки. [-1#Сервер Discord](herf=https://discord.gg/RncnPNw).\n\nСражайтесь до конца, приматы! Вас ждут награды и слава!\n\nСпасибо за понимание и поддержку. Увидимся в таверне!\n\nПомощник Роджер</t>
  </si>
  <si>
    <t>Sevgili Kaptan,\n\nYeni bir Yıldız Kolezyumu raundu başladı. Etkinliğin bu raundunun kayıt dönemi &lt;color=#ffa200&gt;29.12.2020 00.00 - 01.01.2021 00.00 (UTC)&lt;/color&gt; arası. Acele et ve kaydol!\n\nTopluluğumuzdaki heyecan dolu oyuncuların geri bildirimleriyle şu optimizasyonları yaptık:\n\nxxxxx\n\nMevcut sürümdeki tüm Yıldız Kolezyumu değişiklikleri bunlar. Daha fazla bilgi için ana arayüzdeki etkinlik portalına dokun.\n\nGeri bildirimlerini dinlemeye ve sana daha iyi bir deneyim sunmak adına optimize etmeye devam edeceğiz.\n\nDiscord üzerinden veya oyun içi müşteri desteğinden bize ulaşabilirsin. [-1#Resmî Discord](herf=https://discord.gg/RncnPNw)\n\nMaymunlar, sonuna kadar savaşın! Ödüller ve onur senin olsun!\n\nAnlayışın ve desteğin için teşekkürler. Tavernada görüşürüz!\n\nYardımcı Roger</t>
  </si>
  <si>
    <t>Thưa Thủ Lĩnh,\n\nVòng đấu mới của Đại Đấu Trường Thiên Thể đã bắt đầu. Thời gian đăng ký cho vòng sự kiện này từ&lt;color=#ffa200&gt;00:00 UTC ngày 19/12/2020 đến 00:00 UTC ngày 01/01/2021&lt;/color&gt;. Hãy nhanh tay đăng ký!\n\nDựa trên phản hồi từ những người chơi nhiệt tình trong cộng đồng, chúng tôi đã thực hiện các tối ưu hóa sau:\n\nxxxxx\n\nĐây là tất cả những thay đổi của Đại Đấu Trường Thiên Thể trong phiên bản hiện tại. Hãy nhấn vào cổng sự kiện trong giao diện chính để biết thêm chi tiết.\n\nChúng tôi sẽ tiếp tục lắng nghe phản hồi của bạn để tiếp tục tối ưu hóa và mang lại cho bạn trải nghiệm chơi game tốt hơn.\n\nVui lòng liên hệ với chúng tôi qua Discord hoặc bộ phận hỗ trợ khách hàng trong trò chơi. [-1# Discord chính thức](herf=https://discord.gg/RncnPNw)\n\nHãy chiến đấu đến khoảnh khắc cuối cùng, các đồng chí khỉ! Phần thưởng và danh dự sẽ thuộc về bạn!\n\nCảm ơn bạn đã thông cảm và hỗ trợ. Hẹn gặp lại ở Tửu Quán nhé!\n\nPhụ tá Roger</t>
  </si>
  <si>
    <r>
      <rPr>
        <rFont val="arial"/>
        <color rgb="FF000000"/>
      </rPr>
      <t>狂飙拉力赛任务无法完成</t>
    </r>
    <r>
      <rPr>
        <rFont val="arial"/>
        <color rgb="FF000000"/>
      </rPr>
      <t>问题已解决</t>
    </r>
  </si>
  <si>
    <r>
      <rPr>
        <rFont val="arial"/>
        <color rgb="FF000000"/>
      </rPr>
      <t>狂飙拉力赛任务无法完成</t>
    </r>
    <r>
      <rPr>
        <rFont val="arial"/>
        <color rgb="FF000000"/>
      </rPr>
      <t>问题已解决</t>
    </r>
  </si>
  <si>
    <t>Cyclone Rally Quest Issue Fixed</t>
  </si>
  <si>
    <t>狂飆拉力賽任務無法完成問題已解決</t>
  </si>
  <si>
    <t>亲爱的指挥官：
由于罗杰不小心弄乱了文件，您可能会遇到无法完成狂飙拉力赛部分任务的问题，我们已经修复了该问题，特此为您送上一份补偿：
谢谢您对我们的支持，我们将不断改进，希望能得到您的理解和支持，下一次在酒馆中再次干杯!</t>
  </si>
  <si>
    <t>Dear Captain,
Roger messed up the files so you may have encountered a problem completing certain Cyclone Rally quests. This issue has already been fixed. We apologize for the inconvenience and offer this small reward as compensation:
Thank you for your understanding and support as we continue to improve. See you around the Tavern!</t>
  </si>
  <si>
    <t>親愛的指揮官：
由於羅傑不小心弄亂了文件，您可能會遇到無法完成狂飆拉力賽部分任務的問題，我們已經修復了該問題，特此為您送上一份補償：
謝謝您對我們的支持，我們將不斷改進，希望能得到您的理解和支持，下一次在酒館中再次乾杯!</t>
  </si>
  <si>
    <t>Rage Issue Fixed</t>
  </si>
  <si>
    <t>怒氣值異常問題修復</t>
  </si>
  <si>
    <t>Исправлена проблема с яростью</t>
  </si>
  <si>
    <r>
      <rPr>
        <rFont val="Arial"/>
        <color rgb="FF000000"/>
      </rPr>
      <t>亲爱的指挥官：
由于城市电路故障，您在战斗中可能会出现</t>
    </r>
    <r>
      <rPr>
        <rFont val="Arial"/>
        <color rgb="FFFF9900"/>
      </rPr>
      <t>&lt;color=#ffa200&gt;怒气值异常&lt;/color&gt;</t>
    </r>
    <r>
      <rPr>
        <rFont val="Arial"/>
        <color rgb="FF000000"/>
      </rPr>
      <t>等情况，目前我们</t>
    </r>
    <r>
      <rPr>
        <rFont val="Arial"/>
        <color rgb="FFFF9900"/>
      </rPr>
      <t>&lt;color=#ffa200&gt;已修复&lt;/color&gt;</t>
    </r>
    <r>
      <rPr>
        <rFont val="Arial"/>
        <color rgb="FF000000"/>
      </rPr>
      <t>电路。
为您带来不便深感歉意，在此为您送上一份补偿，请注意查收。
感谢您对Age of Apes的理解与支持，祝愿火箭发射顺利！
您的基地顾问罗杰</t>
    </r>
  </si>
  <si>
    <t>Dear Captain,
Due to circuit malfunctions, you may have experienced &lt;color=#ffa200&gt;Rage stat errors&lt;/color&gt; in battle. We have already &lt;color=#ffa200&gt;fixed&lt;/color&gt; this issue.
We apologize for the inconvenience and have included a small gift for you as compensation.
Thank you for your understanding and support. See you around the Tavern!
Your trusty helper,
Roger</t>
  </si>
  <si>
    <t>親愛的指揮官：
由於城市電路故障，您在戰鬥中可能會出現&lt;color=#ffa200&gt;怒氣值異常&lt;/color&gt;等情況，目前我們&lt;color=#ffa200&gt;已修復&lt;/color&gt;電路。
為您帶來不便深感歉意，在此為您送上一份補償，請注意查收。
感謝您對Age of Apes的理解與支持，祝愿火箭發射順利！
您的基地顧問羅傑</t>
  </si>
  <si>
    <t>Уважаемый капитан!
Из-за сбоев в работе микросхем вы могли столкнуться с &lt;color=#ffa200&gt;проблемой учета ярости&lt;/color&gt; в бою. Мы уже &lt;color=#ffa200&gt;исправили&lt;/color&gt; эту неполадку.
Приносим извинения за неудобства и отправляем вам небольшой подарок в качестве компенсации!
Спасибо за понимание и поддержку. Увидимся в таверне!
Ваш верный помощник,
Роджер</t>
  </si>
  <si>
    <t xml:space="preserve">奖励异常补偿
</t>
  </si>
  <si>
    <t xml:space="preserve">Reward Error Compensation
</t>
  </si>
  <si>
    <t xml:space="preserve">獎勵異常補償
</t>
  </si>
  <si>
    <t>亲爱的指挥官：
由于城市里混乱的道路，您没能收到本次决战卫星之巅中匹配失败的奖励。\n我们的团队已经解决了这个问题，这是您应得的奖励！\n我们对您遇到的麻烦深表歉意。感谢您对Age of Apes的理解和支持。祝您畅饮所有香蕉冰沙!</t>
  </si>
  <si>
    <t>Dear Captain,
Due to circuit malfunctions, you did not receive the match failure reward for this Astral Coliseum. \nWe have resolved this issue and have included the reward that is due to you. \nWe sincerely apologize for the inconvenience. Thank you for your understanding and support! See you around the Tavern!</t>
  </si>
  <si>
    <t>親愛的指揮官：
由於城市裡混亂的道路，您沒能收到本次決戰衛星之巔中匹配失敗的獎勵。 \n我們的團隊已經解決了這個問題，這是您應得的獎勵！ \n我們對您遇到的麻煩深表歉意。感謝您對Age of Apes的理解和支持。祝您暢飲所有香蕉冰沙!</t>
  </si>
  <si>
    <t>决战卫星之巅时间调整</t>
  </si>
  <si>
    <t>Astral Coliseum Date Change</t>
  </si>
  <si>
    <t>決戰衛星之巔時間調整</t>
  </si>
  <si>
    <r>
      <rPr>
        <rFont val="Arial"/>
        <color rgb="FF000000"/>
      </rPr>
      <t>亲爱的指挥官：\n\n为了能让更多玩家参与决战卫星之巅活动，我们将本期决战卫星之巅的战斗时间调整到了</t>
    </r>
    <r>
      <rPr>
        <rFont val="Arial"/>
        <color rgb="FFFF9900"/>
      </rPr>
      <t>&lt;color=#ffa200&gt;2021-05-07&lt;/color&gt;</t>
    </r>
    <r>
      <rPr>
        <rFont val="Arial"/>
        <color rgb="FF000000"/>
      </rPr>
      <t>，请猴子们做好准备迎接战斗！\n\n本次时间调整是我们为猴子们提供更好游戏体验的尝试，</t>
    </r>
    <r>
      <rPr>
        <rFont val="Arial"/>
        <color rgb="FFFF9900"/>
      </rPr>
      <t>&lt;color=#ffa200&gt;仅本次有效&lt;/color&gt;</t>
    </r>
    <r>
      <rPr>
        <rFont val="Arial"/>
        <color rgb="FF000000"/>
      </rPr>
      <t>，之后的决战卫星之巅战斗时间以活动说明为准。\n\n请大家在卫星战场上尽情战斗，赢得奖励与荣耀！\n\n您的基地顾问罗杰</t>
    </r>
  </si>
  <si>
    <t>Dear Captain,\n\nIn order to allow more players to participate in Astral Coliseum, battles for the current Astral Coliseum event will now take place on &lt;color=#ffa200&gt;2021-05-07&lt;/color&gt;. Please prepare accordingly!\n\nThis date change was made to provide you with a better gaming experience, and it is &lt;color=#ffa200&gt;only valid for this event&lt;/color&gt;. Please refer to specific event announcements for future Astral Coliseum battle dates.\n\nFight to the end, monkeys! Rewards and honor shall be yours!\n\nDeputy Roger</t>
  </si>
  <si>
    <t>親愛的指揮官：\n\n為了能讓更多玩家參與決戰衛星之巔活動，我們將本期決戰衛星之巔的戰鬥時間調整到了&lt;color=#ffa200&gt;2021-05-07&lt;/color&gt;，請猴子們做好準備迎接戰鬥！ \n\n本次時間調整是我們為猴子們提供更好遊戲體驗的嘗試，&lt;color=#ffa200&gt;僅本次有效&lt;/color&gt;，之後的決戰衛星之巔戰鬥時間以活動說明為準。 \n\n請大家在衛星戰場上盡情戰鬥，贏得獎勵與榮耀！ \n\n您的基地顧問羅傑</t>
  </si>
  <si>
    <t>新版本问题修复</t>
  </si>
  <si>
    <t xml:space="preserve">新版本问题已修复
</t>
  </si>
  <si>
    <t xml:space="preserve">New Version Fixes
</t>
  </si>
  <si>
    <t>Corrections de la nouvelle version</t>
  </si>
  <si>
    <t xml:space="preserve">Neue Versionskorrekturen
</t>
  </si>
  <si>
    <t xml:space="preserve">Novos ajustes de versão
 </t>
  </si>
  <si>
    <t xml:space="preserve">新版本問題已修復
</t>
  </si>
  <si>
    <t xml:space="preserve">Perbaikan Versi Baru
 </t>
  </si>
  <si>
    <t xml:space="preserve">การแก้ไขในเวอร์ชันใหม่
 </t>
  </si>
  <si>
    <t xml:space="preserve">Nuevas correcciones de versión
 </t>
  </si>
  <si>
    <t xml:space="preserve">Исправления в новой версии
</t>
  </si>
  <si>
    <t xml:space="preserve">Yeni Sürüm Düzeltmeleri
 </t>
  </si>
  <si>
    <t xml:space="preserve">Đã sửa lỗi phiên bản mới
</t>
  </si>
  <si>
    <t>亲爱的指挥官：
0.30.0版本更新后我们收到了很多反馈意见，根据反馈意见我们已针对以下内容&lt;color=#ffa200&gt;进行了修复&lt;/color&gt;：
xxx
为您带来不便深感歉意，在此为您送上一份补偿。
我们将不断改进，希望能得到你的理解与支持，祝愿火箭发射顺利！
罗杰副官</t>
  </si>
  <si>
    <t>Dear Captain,
We have received your feedback after the version 0.30.0 update. Based on your suggestions, we have &lt;color=#ffa200&gt;implemented fixes&lt;/color&gt; for the following issues:
xxx
We apologize for the inconvenience and have included a small gift for you as compensation.
Thank you for your understanding and support as we continue to improve. See you around the Tavern!
Deputy Roger</t>
  </si>
  <si>
    <t>Capitaine,
Nous avons reçu des retours concernant la nouvelle version 0.30.0. Grâce à vos commentaires, nous avons &lt;color=#ffa200&gt;corrigé les problèmes&lt;/color&gt; suivants:
xxx
Nous vous prions de nous excuser pour la gêne occasionnée, et vous offrons un petit cadeau en dédommagement. 
Merci pour votre compréhension et votre soutien sans faille. A bientôt à la taverne!
Votre assistant, Roger</t>
  </si>
  <si>
    <t xml:space="preserve"> Lieber Captain,
 Wir haben dein Feedback nach dem Versionsupdate 0.30.0 erhalten. Aufgrund deiner Vorschläge haben wir für folgende Probleme &lt;color=#ffa200&gt;Korrekturen implementiert&lt;/color&gt;:
xxx
 Wir bitten, mögliche Unannehmlichkeiten zu entschuldigen, und haben ein kleines Geschenk als Kompensation beigefügt.
 Danke für dein Verständnis und deine Unterstützung, während wir ständig an Verbesserungen arbeiten! Wir sehen uns in der Taverne!
 Adjutant Roger</t>
  </si>
  <si>
    <t>Caro Capitão,
 Recebemos seu feedback após a atualização da versão 0.30.0. Com base nas suas sugestões, &lt;color=#ffa200&gt;implementamos melhorias&lt;/color&gt; nos seguintes problemas:
xxx
 Lamentamos pela inconveniência e incluímos um brinde para você como compensação.
 Nossa equipe agradece sua compreensão e apoio ao passo que continuamos melhorando. Vemos você na taverna!
 Delegado Roger</t>
  </si>
  <si>
    <t>親愛的指揮官：
0.30.0版本更新後我們收到了很多反饋意見，根據反饋意見我們已針對以下內容&lt;color=#ffa200&gt;進行了修復&lt;/color&gt;：
xxx
為您帶來不便深感歉意，在此為您送上一份補償。
我們將不斷改進，希望能得到你的理解與支持，祝愿火箭發射順利！
羅傑副官</t>
  </si>
  <si>
    <t>Kapten yang terhormat,
 Kami telah menerima tanggapanmu setelah pembaruan versi 0.30.0. Berdasarkan saranmu, kami telah &lt;color=#ffa200&gt;mengimplementasikan perbaikan&lt;/color&gt; untuk masalah berikut:
xxx
 Maaf atas ketidaknyamanan ini dan kami telah menyertakan hadiah kecil untukmu sebagai kompensasi.
 Terima kasih atas pengertian dan dukunganmu sementara kami terus meningkatkan game. Sampai jumpa di Kedai!
 Deputi Roger</t>
  </si>
  <si>
    <t>ถึงกัปตัน
 เราได้รับข้อเสนอแนะของคุณหลังจากอัปเดตเวอร์ชัน 0.30.0 แล้ว จากคำแนะนำของคุณ เราจึง&lt;color=#ffa200&gt;ทำการแก้ไข&lt;/color&gt;ปัญหาต่อไปนี้:
xxx
 เราขออภัยในความไม่สะดวกและขอมอบของขวัญเล็ก ๆ น้อย ๆ ไว้แทนคำขออภัย
 ขอขอบคุณสำหรับความเข้าใจและการสนับสนุนของคุณในขณะที่เราทำการปรับปรุงอย่างต่อเนื่อง ไว้เจอกันแถว ๆ โรงแรมนะ!
 รองโรเจอร์</t>
  </si>
  <si>
    <t>Querido Capitán: 
 Hemos recibido tus comentarios después de la actualización 0.30.0. De acuerdo a tus sugerencias hemos &lt;color=#ffa200&gt;implementado correcciones&lt;/color&gt; para los siguientes problemas:
xxx
 Nos disculpamos por los inconvenientes y hemos incluido un pequeño regalo para ti como compensación. 
 Gracias por tu comprensión y apoyo mientras continuamos mejorando. ¡Nos vemos en la Taberna!
 Comisario Roger</t>
  </si>
  <si>
    <t>Уважаемый капитан!
Мы получили ваши отзывы после обновления до версии 0.30.0. Основываясь на ваших предложениях, мы &lt;color=#ffa200&gt;внесли исправления&lt;/color&gt; для следующих проблем:
xxx
Приносим извинения за доставленные неудобства и в качестве компенсации отправляем вам небольшой подарок.
Спасибо за понимание и поддержку наших мер по улучшению игры. Увидимся в таверне!
Помощник Роджер</t>
  </si>
  <si>
    <t>Sevgili Kaptan,
 0.30.0 güncellemesinin ardından geri bildirimlerini aldık. Tavsiyelerin doğrultusunda şu konulara yönelik &lt;color=#ffa200&gt;düzeltmeler uyguladık&lt;/color&gt;:
xxx
 Verdiğimiz sıkıntıdan ötürü özür dileriz, bunun telafisi olarak sana küçük bir hediye sunuyoruz.
 Gelişme sürecimizdeki anlayışın ve desteğin için teşekkürler. Tavernada görüşürüz!
 Yardımcın Roger</t>
  </si>
  <si>
    <t xml:space="preserve"> Thưa Thủ Lĩnh,
 Chúng tôi đã nhận được phản hồi của bạn về bản cập nhật phiên bản 0.30.0. Dựa trên đề xuất của bạn, chúng tôi đã &lt;color=#ffa200&gt;thực hiện sửa&lt;/color&gt; những vấn đề sau:
xxx
 Chúng tôi chân thành xin lỗi và xin đính kèm một phần quà nhỏ để bù đắp cho bạn.
 Cảm ơn các bạn đã thấu hiểu và hỗ trợ chúng tôi tiếp tục cải thiện. Hẹn gặp lại ở Tửu Quán nhé!
 Thay mặt Roger</t>
  </si>
  <si>
    <t>活动下线通知
亲爱的指挥官：\n\n你好，由于城市电路发生故障，&lt;color=#ffa200&gt;一网打尽&lt;/color&gt;活动需要&lt;color=#ffa200&gt;临时下线进行调整&lt;/color&gt;，调整结束后将再次上线。\n为你带来不便深感歉意，在此为你送上一份补偿，请注意查收。\n我们将不断改进，希望能得到你的理解与支持，祝愿火箭发射顺利！\n\n罗杰副官</t>
  </si>
  <si>
    <t>Event Offline
Dear Captain,\n\nDue to circuit malfunctions, the &lt;color=#ffa200&gt;One Fell Swoop&lt;/color&gt; event has been &lt;color=#ffa200&gt;taken offline for emergency adjustments&lt;/color&gt;. It will be re-launched once adjustments have been made.\n\nWe apologize for the inconvenience and have included a small gift for you as compensation.\n\nThank you for your understanding and support as we continue to improve. See you around the Tavern!\n\nDeputy Roger</t>
  </si>
  <si>
    <t>圣诞节邮件</t>
  </si>
  <si>
    <t>圣诞节赠礼！</t>
  </si>
  <si>
    <t>亲爱的指挥官：
猿猴世界迎来了一年一度的圣诞节，惊喜圣诞夜、圣诞晚会活动也在持续进行，为了庆祝圣诞，特此为您送上一份奖励：
谢谢您对我们的支持，我们将不断改进，希望能得到您的理解和支持，下一次在酒馆中再次干杯!</t>
  </si>
  <si>
    <t>来自前线的信</t>
  </si>
  <si>
    <t>LETTER FROM THE FRONT</t>
  </si>
  <si>
    <t>LETTRE DU FRONT</t>
  </si>
  <si>
    <t>BRIEF VON DER FRONT</t>
  </si>
  <si>
    <t>CARTA DO FRONTE</t>
  </si>
  <si>
    <t>來自前線的信</t>
  </si>
  <si>
    <t>SURAT DARI BARIS DEPAN</t>
  </si>
  <si>
    <t>จดหมายจากด่านหน้า</t>
  </si>
  <si>
    <t>CARTAS DESDE EL FRENTE</t>
  </si>
  <si>
    <t>ПИСЬМО С ФРОНТА</t>
  </si>
  <si>
    <t>CEPHEDEN MEKTUP</t>
  </si>
  <si>
    <t>THƯ TỪ TIỀN TUYẾN</t>
  </si>
  <si>
    <r>
      <rPr>
        <rFont val="Arial"/>
        <color theme="1"/>
      </rPr>
      <t>1. 在</t>
    </r>
    <r>
      <rPr>
        <rFont val="Arial"/>
        <color rgb="FFFF9900"/>
      </rPr>
      <t>&lt;color=#ffa200&gt;2022-01-21 00:00 UTC&lt;/color&gt;</t>
    </r>
    <r>
      <rPr>
        <rFont val="Arial"/>
        <color theme="1"/>
      </rPr>
      <t>之前完成问卷，您将获得&lt;color=#ffa200&gt;200CD&lt;/color&gt;奖励；\n2. 奖励将会在完成问卷后发放；\n3. 每位玩家只能获得一次奖励；\n4. 您填写的内容我们仅供内部分析使用；</t>
    </r>
  </si>
  <si>
    <t>1. Complete the survey before &lt;color=#ffa200&gt;2022-01-21 00:00 UTC&lt;/color&gt; to receive &lt;color=#ffa200&gt;200 CDs&lt;/color&gt;.\n2. The reward will be issued after you've completed the survey. \n3. Each player can only get the reward once. \n4. Your survey answers are for internal analysis only.</t>
  </si>
  <si>
    <t>1. Répondez à l'enquête avant le &lt;color=#ffa200&gt;21/01/2022 à 00:00 (TU)&lt;/color&gt; pour recevoir &lt;color=#ffa200&gt;200 CD&lt;/color&gt;.\n2. La récompense vous sera versée quand vous aurez répondu à l'enquête.\n3. Les joueurs ne peuvent recevoir cette récompense qu'une seule fois.\n4. Vos réponses sont utilisées à des fins d'analyse en interne uniquement.</t>
  </si>
  <si>
    <t>1. Schließe die Umfrage vor &lt;color=#ffa200&gt;00:00 UTC am 21.1.2022&lt;/color&gt; ab, um &lt;color=#ffa200&gt;200 CDs&lt;/color&gt; zu erhalten.\n2. Die Belohnung wird nach Abschluss der Umfrage vergeben.\n3. Jeder Spieler kann diese Belohnung nur jeweils einmal erhalten.\n4. Deine Antworten auf die Umfrage werden nur für interne Analysen benutzt.</t>
  </si>
  <si>
    <t>1. Conclua a pesquisa antes de &lt;color=#ffa200&gt;21/01/2022, meia-noite UTC&lt;/color&gt;, para receber &lt;color=#ffa200&gt;200 CDs&lt;/color&gt;.\n2. A recompensa serão enviada após a conclusão da pesquisa. \n3. Cada jogador só pode conseguir a recompensa uma vez. \n4. Suas respostas serão usadas somente para análise interna de nossa equipe.</t>
  </si>
  <si>
    <t>1. 在&lt;color=#ffa200&gt;2022-01-21 00:00 UTC&lt;/color&gt;之前完成問卷，您將獲得&lt;color=#ffa200&gt;200CD&lt;/color&gt;獎勵；\n2. 獎勵將會在完成問卷後發放；\n3. 每位玩家只能獲得一次獎勵；\n4. 您填寫的內容我們僅供內部分析使用；</t>
  </si>
  <si>
    <t>1. Selesaikan survei sebelum &lt;color=#ffa200&gt;21-01-2022 00:00 UTC&lt;/color&gt; untuk mendapat &lt;color=#ffa200&gt;200 CD&lt;/color&gt;.\n2. Hadiah akan diberikan setelah kamu menyelesaikan survei. \n3. Setiap pemain hanya dapat menerima hadiah sekali. \n4. Jawaban surveimu hanya untuk analisis internal.</t>
  </si>
  <si>
    <t>1. ทำแบบสำรวจให้เสร็จก่อนวันที่ &lt;color=#ffa200&gt;21-01-2022 00:00 UTC&lt;/color&gt; เพื่อรับ&lt;color=#ffa200&gt;ซีดี 200 แผ่น&lt;/color&gt;\n2. ระบบจะมอบรางวัลนี้ให้หลังจากที่คุณทำแบบสำรวจเสร็จแล้ว\n3. ผู้เล่นแต่ละคนสามารถรับรางวัลนี้ได้เพียงครั้งเดียว\n4. คำตอบแบบสำรวจของคุณมีไว้สำหรับการวิเคราะห์ภายในเท่านั้น</t>
  </si>
  <si>
    <t>1. Completa la encuesta antes del &lt;color=#ffa200&gt;21-01-2022 00:00 UTC&lt;/color&gt; para recibir &lt;color=#ffa200&gt;200 CD&lt;/color&gt;.\n2. La recompensa se emitirá después de que hayas completado la encuesta.\n3. Cada jugador solo puede obtener la recompensa una vez.\n4. Las respuestas de tu encuesta son únicamente para análisis interno.</t>
  </si>
  <si>
    <t>1. Пройдите опрос до &lt;color=#ffa200&gt;00:00 UTC 21.01.2022&lt;/color&gt;, чтобы получить &lt;color=#ffa200&gt;200 CD&lt;/color&gt;.\n2. Эта награда выдается, когда вы заканчиваете проходить опрос.\n3. Каждый игрок может получить награду только один раз.\n4. Ваши ответы на вопросы предназначены только для внутреннего анализа.</t>
  </si>
  <si>
    <t>1. Anketi &lt;color=#ffa200&gt;21.01.2022 00.00’dan (UTC)&lt;/color&gt; önce tamamla ve &lt;color=#ffa200&gt;200 CD&lt;/color&gt; kazan.\n2. Bu ödül, anketi tamamlamanın ardından verilir. \n3. Her oyuncu ödülü sadece bir kez alabilir. \n4. Anket cevapların sadece dâhilî analiz için kullanılacak.</t>
  </si>
  <si>
    <t>1. Hãy hoàn thành khảo sát trước &lt;color=#ffa200&gt;00:00 ngày 21/01/2022 (giờ UTC)&lt;/color&gt; để nhận &lt;color=#ffa200&gt;200 CD&lt;/color&gt;.\n2. Phần thưởng này sẽ được phát sau khi bạn làm xong khảo sát. \n3. Mỗi người chơi chỉ có thể nhận phần thưởng này một lần. \n4. Những câu trả lời của bạn trong khảo sát chỉ được sử dụng trong phân tích nội bộ.</t>
  </si>
  <si>
    <t>地图数据异常</t>
  </si>
  <si>
    <t>亲爱的指挥官：\n由于游戏内数据异常，这可能导致您丢失某些占领的地图单位、修建的帮派建筑，或基地被移动。\n以下是给您的补偿，请收下。</t>
  </si>
  <si>
    <t>Dear Captain, \nDue to data abnormalities, this may have caused you to lose certain occupied map units or Gang buildings, or to have your City moved. \nWe have included a reward for you as compensation. Thank you for your understanding and support.</t>
  </si>
  <si>
    <t>掉落错误问题说明</t>
  </si>
  <si>
    <t>Drop rewards Error</t>
  </si>
  <si>
    <r>
      <rPr>
        <rFont val="Arial"/>
        <color theme="1"/>
      </rPr>
      <t>亲爱的指挥官：\n\n由于数据异常，钻探机器人掉落奖励错误，我们</t>
    </r>
    <r>
      <rPr>
        <rFont val="Arial"/>
        <color rgb="FFFF9900"/>
      </rPr>
      <t>&lt;color=#ffa200&gt;正在紧急修复&lt;/color&gt;</t>
    </r>
    <r>
      <rPr>
        <rFont val="Arial"/>
        <color theme="1"/>
      </rPr>
      <t>。\n为您带来不便深感歉意，在此为您送上一份补偿，请注意查收。\n感谢您对Age of Apes的理解与支持，祝愿火箭发射顺利！\n\n罗杰副官</t>
    </r>
  </si>
  <si>
    <t>Dear Captain,
Due to data errors, the drop rewards for  Drill Bots were incorrectly configured.
We are working hard to fix these issues as quickly as possible.We apologize for the inconvenience and have included a small gift for you as compensation. Thank you for your understanding and support. See you around the Tavern!
Deputy Roger</t>
  </si>
  <si>
    <t>谷歌充值已修复</t>
  </si>
  <si>
    <t>Google Pay Fixed</t>
  </si>
  <si>
    <t>谷歌支付失败问题说明</t>
  </si>
  <si>
    <t>亲爱的指挥官：\n\n由于谷歌支付出现故障，使用谷歌支付的玩家可能会出现&lt;color=#ffa200&gt;充值异常&lt;/color&gt;的情况，谷歌&lt;color=#ffa200&gt;已经修复，支付恢复正常&lt;/color&gt;。\n为您带来不便深感歉意。\n感谢您对Age of Apes的理解与支持，祝愿火箭发射顺利！\n\n罗杰副官</t>
  </si>
  <si>
    <t>Dear Captain, \n\nDue to an issue with Google Pay, you may have experienced &lt;color=#ffa200&gt;payment errors&lt;/color&gt; when using this payment method. Google &lt;color=#ffa200&gt;has fixed this issue and payments can be processed as normal&lt;/color&gt;. \n\nWe sincerely apologize for any inconvenience. Thank you for your understanding and support, see you around the Tavern!\n\nDeputy Roger</t>
  </si>
  <si>
    <t>万圣节活动合服公告</t>
  </si>
  <si>
    <t>服务器无法登录补偿</t>
  </si>
  <si>
    <t>服务器登录问题补偿</t>
  </si>
  <si>
    <t>Login Error Compensation</t>
  </si>
  <si>
    <t>亲爱的指挥官：\n\n由于服务器波动异常，导致您所在地区出现&lt;color=#ffa200&gt;无法正常登录游戏&lt;/color&gt;的情况，目前服务器异常问题已&lt;color=#ffa200&gt;成功修复&lt;/color&gt;。在此为您送上一份补偿，请注意查收。\n\n感谢您对Age of Apes的理解与支持，祝愿火箭发射顺利！\n\n罗杰副官</t>
  </si>
  <si>
    <t>Dear Captain, \n\nDue to server issues, players in your region encountered an &lt;color=#ffa200&gt;error when trying to log into the game&lt;/color&gt;. This issue has now been &lt;color=#ffa200&gt;fixed&lt;/color&gt;. \n\nWe sincerely apologize for the inconvenience and have included a small gift for you as compensation.\n\nThank you for your continued understanding and support. See you around the Tavern!\n\nDeputy Roger</t>
  </si>
  <si>
    <t>万圣节活动合服补偿</t>
  </si>
  <si>
    <t>亲爱的指挥官：
由于合服，万圣节相关活动提前关闭，现在惊喜狂欢夜已经重新开启，在所有开启的惊喜狂欢夜活动中（包括本次及上次）只要消耗超过60张南瓜奖券（包括60张）且未获得过南瓜古堡（永久），我们会在2022年11月3日前通过邮件单独给您进行南瓜古堡的发放。
如有疑惑，欢迎大家通过Discord官方社区或游戏内客服服务和我们积极沟通。
以下是你的万圣节合服补偿，请注意查收：
感谢您对Age of Apes的理解与支持，祝愿火箭发射顺利！
罗杰副官</t>
  </si>
  <si>
    <t>万圣节活动皮肤补偿</t>
  </si>
  <si>
    <t>亲爱的指挥官：
由于合服，万圣节相关活动提前关闭，现在惊喜狂欢夜已经重新开启，在所有开启的惊喜狂欢夜活动中（包括本次及上次）您消耗超过60张南瓜奖券（包括60张）且未获得过南瓜古堡（永久）。
以下是你的万圣节皮肤补偿，请注意查收：
感谢您对Age of Apes的理解与支持，祝愿火箭发射顺利！
罗杰副官</t>
  </si>
  <si>
    <t>AC战场重新报名</t>
  </si>
  <si>
    <t>决战卫星之巅报名异常说明</t>
  </si>
  <si>
    <t xml:space="preserve">[Astral Coliseum] Registration Error Compensation
</t>
  </si>
  <si>
    <t>亲爱的指挥官：
由于数据异常，部分玩家出现活动报名失败的问题。此问题现已修复。如您希望继续参与活动，尽快重新进行活动报名。为您带来不便深感歉意，在此为您送上一份补偿，请注意查收。\n感谢您对Age of Apes的理解与支持，祝愿火箭发射顺利！\n\n罗杰副官</t>
  </si>
  <si>
    <t>Dear Captain,\n\nDue to server issues, players in your sever encountered an &lt;color=#ffa200&gt;error when trying to register for [Astral Coliseum]&lt;/color&gt;. This issue has now been fixed.&lt;color=#ffa200&gt;If you'd still like to participate in this event, please re-register as soon as possible.&lt;/color&gt;\nWe sincerely apologize for the inconvenience and have included a small gift for you as compensation.\n\nThank you for your continued understanding and support. See you around the Tavern!\n\nDeputy Roger</t>
  </si>
  <si>
    <t>发热卡顿问题修复</t>
  </si>
  <si>
    <t>新版本性能问题补偿</t>
  </si>
  <si>
    <t>Compensation for Post-Update Performance Issues</t>
  </si>
  <si>
    <t>亲爱的指挥官：
针对新版本更新后出现的发热、卡顿等游戏性能问题，我们已经进行了紧急修复，并将在最近的版本更新中发布，请您关注后续版本更新通知。为您带来不便深感歉意，在此为您送上一份补偿，请注意查收。\n感谢您对Age of Apes的理解与支持，祝愿火箭发射顺利！\n\n罗杰副官</t>
  </si>
  <si>
    <t>Dear Captain, \n\nWe're currently completing fixes on performance issues (overheating, lagging, etc.) that have appeared after the recent version update. These fixes will be implemented in the next update (please see upcoming announcements for details). \n\nWe sincerely apologize for the inconvenience and have included a small gift for you as compensation.\n\nThank you for your continued understanding and support. See you around the Tavern!\n\nDeputy Roger</t>
  </si>
  <si>
    <t>手动开BP 补偿</t>
  </si>
  <si>
    <t>狂飙拉力赛开启延迟补偿</t>
  </si>
  <si>
    <t>亲爱的指挥官：\n\n由于服务器数据异常，导致您所在服务器出现&lt;color=#ffa200&gt;狂飙拉力赛活动未按时开启&lt;/color&gt;的问题，目前此活动已&lt;color=#ffa200&gt;正常开启&lt;/color&gt;。在此为您送上一份补偿，请注意查收。\n\n感谢您对猿族时代的理解与支持，祝愿火箭发射顺利！\n\n罗杰副官</t>
  </si>
  <si>
    <t>合服导致BP关闭，重开</t>
  </si>
  <si>
    <t>飞驰拉力赛重新开启的说明</t>
  </si>
  <si>
    <t>亲爱的指挥官：
由于服务器合并产生的数据影响，合服前开启的飞驰拉力赛已提前结束。我们将在11月22日0时重新开启新赛季的飞驰拉力赛，欢迎各位指挥官前往参加。
注意事项：
1、对于在合服前已购买了飞驰拉力赛狂野车手或冠军车手礼包的指挥官，我们将在新一期活动开启后，通过邮件为您发放激活道具，领取后即可继承上一期活动中的车手权益，请关注后续邮件通知，及时领取。
2、重新开启的飞驰拉力赛为全新一期的新赛季活动，不会继承上一期的活动等级及任务进度，请各位指挥官在起点重新出发。
在此为您送上一份补偿，请注意查收。感谢您对猿族时代的理解与支持，祝愿火箭发射顺利！
罗杰副官</t>
  </si>
  <si>
    <t>BP重开补发激活道具-9.99</t>
  </si>
  <si>
    <t>亲爱的指挥官：
新赛季飞驰拉力赛活动已开启。您在因合服而提前结束的上赛季活动中购买了狂野车手礼包，领取此邮件奖励，您将重新激活新赛季狂野车手权益，解锁豪华补给站奖励。
感谢您对猿族时代的理解与支持，愿您在新赛季活动中继续驰骋赛场！
罗杰副官</t>
  </si>
  <si>
    <t>BP重开补发激活道具-19.99&amp;11.99</t>
  </si>
  <si>
    <t>亲爱的指挥官：
新赛季飞驰拉力赛活动已开启。您在因合服而提前结束的上赛季活动中购买了冠军车手礼包，领取此邮件奖励，您将重新激活新赛季冠军车手权益，解锁豪华补给站、典藏补给站及直升10级奖励。
感谢您对猿族时代的理解与支持，愿您在新赛季活动中继续驰骋赛场！
罗杰副官</t>
  </si>
  <si>
    <t>决战卫星之巅入场异常问题补偿</t>
  </si>
  <si>
    <t>亲爱的指挥官：
系统查询到由于服务器数据异常，导致您在上周的决战卫星之巅活动中未能成功进入战场。
在此为您送上一份补偿，请注意查收。感谢您对猿族时代的理解与支持，祝愿火箭发射顺利！
罗杰副官</t>
  </si>
  <si>
    <t>Compensation - Astral Coliseum Access Error
Dear Captain,
Due to server errors, you were unable to enter the Astral Coliseum battleground in last week's event.
We sincerely apologize for the inconvenience and have included a gift for you as compensation. Thank you for your understanding and support as we continue to improve. 
See you around the Tavern!
Deputy Roger</t>
  </si>
  <si>
    <t>亲爱的指挥官：
系统检测到由于服务器数据异常，导致上周的决战卫星之巅活动中，您所匹配到的对手未能成功进入战场。
在此为您送上一份补偿，请注意查收。感谢您对猿族时代的理解与支持，祝愿火箭发射顺利！
罗杰副官</t>
  </si>
  <si>
    <t>Dear Captain,
Due to server errors, the opponent you were matched with was unable to enter the Astral Coliseum battleground in last week's event.
We sincerely apologize for the inconvenience and have included a gift for you as compensation. Thank you for your understanding and support as we continue to improve. 
See you around the Tavern!
Deputy Roger</t>
  </si>
  <si>
    <t>全国禁娱停服公告</t>
  </si>
  <si>
    <t>12月6日服务器暂停登录通知
亲爱的指挥官：
由于2022年12月6日全国将举行重要悼念活动，停止公共娱乐活动。猿族时代将在2022年12月6日0:00至12月7日0:00（共1天）临时关闭服务器，届时您将无法登录游戏。
为保障全体指挥官的资产安全，系统将在12月6日0:00-12月8日0:00自动为所有玩家开启48小时护盾保护，停服期间未领取的订阅卡奖励将通过邮件统一发放。
其他停服补偿将在12月7日服务器重新开启后为您发放。感谢您对猿族时代的理解与支持，祝愿火箭发射顺利！
罗杰副官</t>
  </si>
  <si>
    <t>临时停服补偿</t>
  </si>
  <si>
    <t>欢迎回来，指挥官
亲爱的指挥官：
由于2022年12月6日全国举行重要悼念活动，猿族时代进行了为期1天的服务器临时关停。现服务器已重新开启，您可正常进行游戏。
在此为您送上一份补偿，请注意查收。感谢您对猿族时代的理解与支持，祝愿火箭发射顺利！</t>
  </si>
  <si>
    <t>全国禁娱停服公告-无理由短版</t>
  </si>
  <si>
    <t>12月6日停服公告
亲爱的指挥官：
自2022年12月6日00:00起，《猿族时代》将停服一天。预计12月7日起恢复登录，请合理安排游戏时间。
罗杰副官</t>
  </si>
  <si>
    <t>12月6日停服公告
亲爱的指挥官：
2022年12月6日00:00-23:59，《猿族时代》将进行停服维护，期间无法登录游戏。
停服维护期间未领取的酒吧签到奖励及生效中的订阅卡奖励将在12月7日后通过邮件统一发放。
感谢您对猿族时代的理解与支持。
罗杰副官</t>
  </si>
  <si>
    <t>大富翁活动战装图纸补发</t>
  </si>
  <si>
    <t>秘境探险活动数据异常补偿</t>
  </si>
  <si>
    <t>亲爱的指挥官：
由于数据异常，导致您在近期秘境探险活动初级区域中所获得的特战系列图纸出现无法使用的问题，此问题已修复完成。
以下是您的活动补偿，请查收。
感谢您对Age of Apes的理解与支持，祝愿火箭发射顺利！
罗杰副官</t>
  </si>
  <si>
    <t>飞艇击落战活动异常结束补偿</t>
  </si>
  <si>
    <t>Compensation for Airship Shootdown</t>
  </si>
  <si>
    <t>亲爱的指挥官：
由于数据异常，导致您所在服务器的飞艇击落战活动提前结束，如您在本期活动中使用了穿甲弹道具，稍后将通过邮件进行道具返还，欢迎您在下期活动中继续参与。
给您带来的不便敬请谅解，在此为您送上一份补偿，请注意查收。感谢您对Age of Apes的理解与支持，祝愿火箭发射顺利！
罗杰副官</t>
  </si>
  <si>
    <t>Dear Captain,
Due to data anomalies, the Airship Shootdown event on your server has ended prematurely. If you used Piercer Ammo items during this event, they will be returned to you via mail shortly. We welcome you to participate in the next event.
We apologize for any inconvenience this may have caused and have included a compensation package for you. Please check your mail to claim it. Thank you for your understanding and support of Age of Apes, and we wish you a successful rocket launch!
Deputy Roger</t>
  </si>
  <si>
    <t>穿甲弹返还</t>
  </si>
  <si>
    <t>Piercer Ammo Returned</t>
  </si>
  <si>
    <t>亲爱的指挥官：
由于飞艇击落战活动提前结束，导致您的活动进度受到影响，现为您返还本期活动中使用的穿甲弹道具，您可以在下期活动中继续使用。
感谢您对Age of Apes的理解与支持，祝愿火箭发射顺利！
罗杰副官</t>
  </si>
  <si>
    <t>Dear Captain,
Due to the premature end of the Airship Shootdown event, your progress was affected. We are returning the Piercer Ammo item that you used during this event. You can continue to use it in the next event.
Thank you for your understanding and support for Age of Apes. We wish you a successful rocket launch!
Deputy Roger</t>
  </si>
  <si>
    <t>帮派礼物补发</t>
  </si>
  <si>
    <t>Gang Gift Resend</t>
  </si>
  <si>
    <t>亲爱的指挥官：
由于数据异常，您在购买战装特惠礼包时未获得帮派礼物，目前此问题已修复。以下是为您重新补发的帮派礼物，请查收。
感谢您对Age of Apes的理解与支持，祝愿火箭发射顺利！
罗杰副官</t>
  </si>
  <si>
    <t>Dear Captain,
Due to a data anomaly, you did not receive the Gang Gifts when purchasing the Equipment Special Offer Pack. This issue has now been resolved. Here are the Gang Gifts resent to you, please check.
Thank you for your understanding and support of Age of Apes, and we wish you a successful rocket launch!
Deputy Roger</t>
  </si>
  <si>
    <t>跨服异族上线通知</t>
  </si>
  <si>
    <t>飞艇击落战即将开启</t>
  </si>
  <si>
    <t>亲爱的指挥官：
飞艇击落战活动即将于7月4日0时正式开启，活动为期5天，活动期间，众多服务器将同场竞技，共同迎战强盗猿首领！竞争飞艇克星排名，赢取战装重铸矿晶等超多稀有奖励！
注意：7月4日-7月8日飞艇击落战活动开启期间，狙击强盗猿活动将暂时无法进入，请指挥官妥善安排活动参与时间。
感谢您对Age of Apes的理解与支持，祝愿火箭发射顺利！
罗杰副官</t>
  </si>
  <si>
    <t>新版本功能问题补偿</t>
  </si>
  <si>
    <t>亲爱的指挥官：
0.55.0版本发布后，部分玩家出现了游戏登录异常、邮件通知异常的问题，目前此问题已修复完成。
在此向受到异常情况影响的指挥官致以真诚的歉意，现为您送上一份补偿，请查收。
感谢您对Age of Apes的理解与支持，祝愿火箭发射顺利！
罗杰副官</t>
  </si>
  <si>
    <t>珊瑚星数据异常已修复完成</t>
  </si>
  <si>
    <t>亲爱的指挥官：
由于数据异常，本期珊瑚星之战中，各位指挥官从深海试炼任务中所获得的银河荣耀榜积分值异常高于实际应得积分值，从而引起了银河荣耀榜排名错乱等问题。
昨日我们已对产生问题的数据算法进行了紧急修正，修正后继续参与了深海试炼任务的指挥官的积分数据已自动校准完成，清除了异常积分。今日我们继续对余下未自动校准积分的指挥官数据进行了统一修正。&lt;color=#ffa200&gt;目前此问题已全部修复完成，银河荣耀榜积分排名已全部正常显示，请前往查看&lt;/color&gt;。
如您对本次银河荣耀榜积分修正存有疑问，欢迎通过游戏内客服服务与我们取得联系（客服联系方式：点击主页头像-设置-帮助与客服-下滑至【联系我们】）。
为您带来不便深感歉意，感谢您对Age of Apes的理解与支持，祝愿火箭发射顺利！
罗杰副官</t>
  </si>
  <si>
    <t>[Coral Star] Points Data Error has been fixed
Dear Captain,
Due to data anomalies, in this round of Battle on Coral Star, the points you commanders obtained from the Trench Trials tasks for the Glory Rankings were abnormally higher than the actual points you should have received, which caused problems such as the disorder of the Glory Rankings.
Yesterday, we have urgently corrected the problematic data algorithm. The points data of the commanders who continued to participate in the Trench Trials tasks after the correction has been automatically calibrated and the abnormal points have been removed. Today, we continued to uniformly correct the data of the commanders whose points have not been automatically calibrated. &lt;color=#ffa200&gt;At present, this problem has been completely fixed, and the points ranking of the Glory Rankings is all displayed correctly, please go and check&lt;/color&gt;.
If you have any questions about this correction of the Glory Rankings points, you are welcome to contact us through the in-game customer service (customer service contact method: click on the homepage avatar - settings - customer service - scroll down to [contact us]).
We deeply apologize for the inconvenience caused to you, thank you for your understanding and support for Age of Apes, and wish the rocket launch goes smoothly!
Deputy Roger</t>
  </si>
  <si>
    <t>珊瑚星数据异常修复的补充说明及补偿</t>
  </si>
  <si>
    <t>亲爱的指挥官：
关于近日在珊瑚星之战中出现的银河荣耀榜积分异常问题，目前已全部修复完成。现做如下补充说明，方便各位指挥官更清晰的了解问题的产生及处理过程：
问题描述：银河荣耀榜深海阵营的积分获取来源中，“在深海试炼中完成1个试炼任务”的完成积分被错误显示为6000分，正确积分值应为600分。
处理结果：发现问题后，为保证游戏环境的公平性，我们已将此任务的积分数值由错误的6000分还原至正确的600分，此后指挥官完成的每次深海试炼任务将获得正确的600荣耀积分；对于珊瑚星中所有指挥官已获得的异常荣耀积分，我们已按照每个深海试炼任务600荣耀积分的正确数值进行了重新计算，目前银河荣耀榜中已显示正确的积分及排名。
再次为给您带来不佳的游戏体验深表歉意，在此为您送上一份补偿，请查收。
如您对本次银河荣耀榜积分修正存有疑问，欢迎通过游戏内客服服务与我们取得联系（客服联系方式：点击主页头像-设置-帮助与客服-下滑至【联系我们】）。
罗杰副官</t>
  </si>
  <si>
    <t>狂飙商店兑换异常的问题说明</t>
  </si>
  <si>
    <t>亲爱的指挥官：
由于数据异常，部分服务器的狂飙商店出现了无法正常兑换商品的问题，我们正在紧急处理，异常期间，您可以继续参与狂飙拉力赛活动，活动中所获得的极速轮胎道具，可在问题修复后继续使用。
给您带来的不便深表歉意，感谢您对Age of Apes的理解与支持，祝愿火箭发射顺利！
罗杰副官</t>
  </si>
  <si>
    <t>狂飙商店兑换异常问题已修复</t>
  </si>
  <si>
    <t>亲爱的指挥官：
由于数据异常，近期部分服务器的狂飙商店出现了无法正常兑换商品的问题，目前此问题已修复完成。
再次为给您带来不佳的游戏体验深表歉意，在此为您送上一份补偿，请查收。
感谢您对Age of Apes的理解与支持，祝愿火箭发射顺利！
罗杰副官</t>
  </si>
  <si>
    <t>史诗斗士天赋突破引导调整补偿</t>
  </si>
  <si>
    <t>亲爱的指挥官：
我们在近期对史诗稀有度斗士的天赋突破功能引导进行了调整，由于您在调整前已完成了相关引导内容，为保证游戏公平，现为您补发调整后的引导奖励，请查收。
感谢您对Age of Apes的理解与支持，祝愿火箭发射顺利！
罗杰副官</t>
  </si>
  <si>
    <t>kvk结束后回原服押运说明</t>
  </si>
  <si>
    <t>亲爱的指挥官：
kvk结束后回原服第一日无法押运，第二日将恢复正常。
在此向指挥官致以真诚的歉意，现为您送上一份补偿，请查收。
感谢您对Age of Apes的理解与支持，祝愿火箭发射顺利！
罗杰副官</t>
  </si>
  <si>
    <t>斗士远征战装生效问题修复说明</t>
  </si>
  <si>
    <t>亲爱的指挥官：
斗士远征战装生效的bug已经修复，我们将对您的最高通关数据同步修复，修复规则如下：
1.通关数&lt;=100的不处理
2.通关数&gt;100 且&lt;=150的关卡进度下降20关
3.通关进度&gt;150且&lt;=200关卡进度下降50关
4.通关进度&gt;200且&lt;=250关卡进度下降70关
5.通关进度&gt;250且&lt;=300关卡进度下降80关
关卡数据修复后，重新通关因bug而通关过的关卡，可以再次领取首通奖励，下次活动开启时排行榜数据将会重新计算。
感谢您对Age of Apes的理解与支持，祝愿火箭发射顺利！
罗杰副官</t>
  </si>
  <si>
    <t xml:space="preserve">活跃馈赠问题补偿
</t>
  </si>
  <si>
    <t>亲爱的指挥官：
由于游戏内数据异常，导致您在活跃馈赠活动中付费获得的镭射唱片和vip点数道具数量有误，因此给您带来的不便我们深感歉意，我们已为您补发了正确的镭射唱片和VIP点数道具，请注意查收：
感谢您对Age of Apes的理解与支持，祝愿火箭发射顺利！
罗杰副官</t>
  </si>
  <si>
    <t>30版本邮件落款称呼调整：</t>
  </si>
  <si>
    <t>罗杰副官</t>
  </si>
  <si>
    <t>Deputy Roger</t>
  </si>
  <si>
    <t>Roger l'assistant</t>
  </si>
  <si>
    <t>Adjudant Roger</t>
  </si>
  <si>
    <t>Delegado Roger</t>
  </si>
  <si>
    <t>羅傑副官</t>
  </si>
  <si>
    <t>Deputi Roger</t>
  </si>
  <si>
    <t>ท่านรองโรเจอร์</t>
  </si>
  <si>
    <t>Comisario Roger</t>
  </si>
  <si>
    <t>Помощник Роджер</t>
  </si>
  <si>
    <t>Yardımcı Roger</t>
  </si>
  <si>
    <t>Phụ tá Roger</t>
  </si>
  <si>
    <t>亲爱的指挥官：</t>
  </si>
  <si>
    <t>Dear Captain,</t>
  </si>
  <si>
    <t>Cher capitaine,</t>
  </si>
  <si>
    <t>Lieber Captain,</t>
  </si>
  <si>
    <t>Caro Capitão,</t>
  </si>
  <si>
    <t>親愛的指揮官：</t>
  </si>
  <si>
    <t>Kapten yang terhormat,</t>
  </si>
  <si>
    <t>ถึงท่านผู้บัญชาการ</t>
  </si>
  <si>
    <t>Querido Capitán,</t>
  </si>
  <si>
    <t>Уважаемый капитан!</t>
  </si>
  <si>
    <t>Sevgili Kaptan,</t>
  </si>
  <si>
    <t>Thưa Thủ Lĩnh,</t>
  </si>
  <si>
    <t>奖励补偿发放
亲爱的指挥官：\n\n由于游戏内数据异常，导致您在周年庆狂欢气球福利礼包中&lt;color=#ffa200&gt;没有收到对应的奖励&lt;/color&gt;，我们已经修复了这个问题，因此给您带来的不便我们深感歉意，在此将奖励补发给您，请注意查收：，\n\n感谢您对Age of Apes周年庆的理解与支持，祝愿火箭发射顺利！\n\n罗杰副官</t>
  </si>
  <si>
    <t>火车争霸问题补偿
亲爱的指挥官：
由于游戏内数据异常，上周的游戏数据异常残留，导致您在本周的个人积分被重置，因此给您带来的不便我们深感歉意，我们已为您补偿了一定的个人积分和连胜场次，并在此将送上一份补偿，请注意查收：
感谢您对Age of Apes的理解与支持，祝愿火箭发射顺利！
罗杰副官</t>
  </si>
  <si>
    <t>加速扣除补充
亲爱的指挥官：
您通过异常原因获取的加速道具已扣除，并帮您转化成了对应的1053712个镭射唱片，请注意查收
感谢您对Age of Apes的理解与支持，祝愿火箭发射顺利！
罗杰副官</t>
  </si>
  <si>
    <t>维护公告</t>
  </si>
  <si>
    <r>
      <rPr>
        <rFont val="Arial"/>
        <color theme="1"/>
      </rPr>
      <t>亲爱的指挥官：\n\n为了更好地上线周年庆相关活动，官方充值中心将在</t>
    </r>
    <r>
      <rPr>
        <rFont val="Arial"/>
        <color rgb="FFFF9900"/>
      </rPr>
      <t>&lt;color=#ffa200&gt;2025-07-25 10:00 UTC&lt;/color&gt;</t>
    </r>
    <r>
      <rPr>
        <rFont val="Arial"/>
        <color theme="1"/>
      </rPr>
      <t>进入维护状态，维护时长大约为</t>
    </r>
    <r>
      <rPr>
        <rFont val="Arial"/>
        <color rgb="FFFF9900"/>
      </rPr>
      <t>&lt;color=#ffa200&gt;2个小时&lt;/color&gt;</t>
    </r>
    <r>
      <rPr>
        <rFont val="Arial"/>
        <color theme="1"/>
      </rPr>
      <t>，维护期间你将无法正常进入游戏。\n为您带来不便深感歉意，在此为您送上一份补偿，请注意查收。\n本次维护不排除延迟开启的可能，如若延迟，请关注社区发布的具体开服时间。感谢您对Age of Apes的理解与支持，祝愿火箭发射顺利！\n</t>
    </r>
    <r>
      <rPr>
        <rFont val="Arial"/>
        <color rgb="FF00FF00"/>
      </rPr>
      <t>[-1#Official Discord](herf=https://discord.gg/RncnPNw)</t>
    </r>
    <r>
      <rPr>
        <rFont val="Arial"/>
        <color theme="1"/>
      </rPr>
      <t>\n\n罗杰副官</t>
    </r>
  </si>
  <si>
    <t>补偿</t>
  </si>
  <si>
    <t>为您带来不便深感歉意，在此为您送上一份补偿，请注意查收。
感谢你对Age of Apes的理解与支持，祝愿火箭发射顺利！
罗杰副官</t>
  </si>
  <si>
    <t>We apologize for the inconvenience. Here's a gift to make it up to you!
Thanks for your understanding and support. See you around the Tavern!</t>
  </si>
  <si>
    <t>Veuillez nous excuser pour la gêne occasionnée. En guise de dédommagement, nous vous offrons ce cadeau.
Merci pour votre compréhension et votre soutien, on se retrouve à la taverne!</t>
  </si>
  <si>
    <t>Wir entschuldigen uns für die Unannehmlichkeiten. Hier ist ein Geschenk, um dich dafür zu entschädigen!
 Vielen Dank für dein Verständnis und deine Unterstützung. Wir sehen uns in der Taverne!</t>
  </si>
  <si>
    <t xml:space="preserve"> Pedimos desculpas pela inconveniência. Aqui está um presente para compensar!
 Agradecemos pela compreensão e apoio. Nos vemos na taverna!</t>
  </si>
  <si>
    <t>為你帶來不便，我們深感抱歉。請接受這份禮物，作為補償！
 感謝你的理解及支持！我們酒館見！</t>
  </si>
  <si>
    <t xml:space="preserve"> Maaf atas ketidaknyamanannya. Berikut hadiah sebagai tanda maaf kami!
 Terima kasih atas pengertian dan dukunganmu. Sampai jumpa di sekitar Kedai!</t>
  </si>
  <si>
    <t>เราขออภัยสำหรับความไม่สะดวก นี่คือของขวัญที่คุณจะต้องถูกใจ!
 ขอบคุณสำหรับความเข้าใจและการให้ความสนับสนุนของคุณ แล้วพบกันใหม่ที่โรงแรม!</t>
  </si>
  <si>
    <t xml:space="preserve"> ¡Te presentamos una disculpa por este inconveniente, así que te enviamos el siguiente regalo para compensarte!
 ¡Gracias por tu comprensión y apoyo! Nos vemos en la Taberna.</t>
  </si>
  <si>
    <t>Приносим извинения за неудобства. Вот вам подарок в качестве компенсации!
Спасибо за понимание и поддержку. Увидимся в таверне!</t>
  </si>
  <si>
    <t xml:space="preserve"> Verdiğimiz sıkıntıdan ötürü özür dileriz. Bu durumu telafi etme amaçlı bir hediyemiz var!
 Anlayışın ve desteğin için teşekkürler. Tavernada görüşürüz!</t>
  </si>
  <si>
    <t xml:space="preserve"> Chúng tôi xin lỗi vì sự bất tiện này. Đây là một món quà để bù đắp cho bạn!
 Cảm ơn bạn đã thông cảm và luôn ủng hộ Age of Apes. Hẹn gặp lại bạn ở Tửu Quán!</t>
  </si>
  <si>
    <t>通用</t>
  </si>
  <si>
    <t>谢谢你对我们的支持，我们将不断改进，希望能得到您的理解和支持，下一次在酒馆中再次干杯!
罗杰副官</t>
  </si>
  <si>
    <t>Thank you for the understanding and support as we continue to improve. See you around the Tavern!</t>
  </si>
  <si>
    <t>Merci pour votre compréhension et votre soutien sans faille, tandis que nous continuons d'améliorer Age of Apes. Retrouvons-nous à la taverne!</t>
  </si>
  <si>
    <t>Vielen Dank für dein Verständnis und deine Unterstützung, während wir uns weiter verbessern. Wir sehen uns in der Taverne!</t>
  </si>
  <si>
    <t>Agradecemos sua compreensão e suporte! Nos vemos na taverna!</t>
  </si>
  <si>
    <t>謝謝你對我們的支持，我們將不斷改進，希望能得到你的理解和支持，下一次在酒館中再次乾杯!</t>
  </si>
  <si>
    <t>Terima kasih atas pengertian dan dukungan selama kami melakukan peningkatan. Sampai jumpa di sekitar Kedai!</t>
  </si>
  <si>
    <t>ขอขอบคุณสำหรับความเข้าใจและการสนับสนุนสิ่งต่าง ๆ ที่เราปรับปรุงไปอย่างต่อเนื่อง ไว้เจอกันแถว ๆ โรงแรมนะ!</t>
  </si>
  <si>
    <t>Gracias por tu comprensión y apoyo mientras continuamos mejorando. ¡Nos vemos en la Taberna!</t>
  </si>
  <si>
    <t>Спасибо за понимание и поддержку наших мер по улучшению игры. Увидимся в таверне!</t>
  </si>
  <si>
    <t>Gelişme sürecimizdeki anlayışın ve desteğin için teşekkürler. Tavernada görüşürüz!</t>
  </si>
  <si>
    <t>Cảm ơn các bạn đã thấu hiểu và hỗ trợ chúng tôi tiếp tục cải thiện. Hẹn gặp lại ở Tửu Quán nhé!</t>
  </si>
  <si>
    <t>感谢你对的理解与支持，祝愿火箭发射顺利！
罗杰副官</t>
  </si>
  <si>
    <t>Thanks for your understanding and support. See you around the Tavern!</t>
  </si>
  <si>
    <t>Merci pour votre compréhension et votre soutien, on se retrouve à la taverne!</t>
  </si>
  <si>
    <t xml:space="preserve"> Vielen Dank für dein Verständnis und deine Unterstützung. Wir sehen uns in der Taverne!</t>
  </si>
  <si>
    <t xml:space="preserve"> Agradecemos pela compreensão e apoio. Nos vemos na taverna!</t>
  </si>
  <si>
    <t>感謝你對的理解與支持，祝愿火箭發射順利！</t>
  </si>
  <si>
    <t>Terima kasih atas pengertian dan dukunganmu. Sampai jumpa di sekitar Kedai!</t>
  </si>
  <si>
    <t>ขอบคุณสำหรับความเข้าใจและการให้ความสนับสนุนของคุณ แล้วพบกันใหม่ที่โรงแรม!</t>
  </si>
  <si>
    <t>¡Gracias por tu comprensión y apoyo! Nos vemos en la Taberna.</t>
  </si>
  <si>
    <t>Спасибо за понимание и поддержку. Увидимся в таверне!</t>
  </si>
  <si>
    <t>Anlayışın ve desteğin için teşekkürler. Tavernada görüşürüz!</t>
  </si>
  <si>
    <t>Cảm ơn bạn đã thông cảm và luôn ủng hộ Age of Apes. Hẹn gặp lại bạn ở Tửu Quán!</t>
  </si>
  <si>
    <t>非常感谢您对我们的理解和支持，我们将不断改进，愿您可以享受在猴子世界游玩的快乐。
罗杰副官</t>
  </si>
  <si>
    <t>Thank you very much for your understanding and support, and see you around the Tavern!</t>
  </si>
  <si>
    <t>Merci pour votre compréhension et votre soutien sans faille. On se retrouve à la taverne!</t>
  </si>
  <si>
    <t>Vielen Dank für euer Verständnis und eure Unterstützung, und wir sehen uns in der Taverne!"</t>
  </si>
  <si>
    <t>Agradecemos pela sua compreensão e apoio. Nos vemos na taverna!</t>
  </si>
  <si>
    <t>非常感謝您對我們的理解和支持，我們將不斷改進，願您可以享受在猴子世界遊玩的快樂。</t>
  </si>
  <si>
    <t>Terima kasih banyak atas pengertian dan dukungannya, sampai jumpa di sekitar Kedai!</t>
  </si>
  <si>
    <t>ขอขอบคุณอย่างยิ่งสำหรับความเข้าใจและการสนับสนุนของคุณ แล้วเจอกันรอบ ๆ โรงแรมนะ!</t>
  </si>
  <si>
    <t>¡Muchas gracias por tu comprensión y apoyo y nos vemos en la Taberna!</t>
  </si>
  <si>
    <t xml:space="preserve">
Большое спасибо за понимание и поддержку. Увидимся в таверне!</t>
  </si>
  <si>
    <t>Anlayışın ve desteğin için teşekkürler, Tavernada görüşürüz!</t>
  </si>
  <si>
    <t>Xin chân thành cảm ơn các bạn đã thông cảm và ủng hộ, hẹn gặp lại các bạn ở Tửu Quán!</t>
  </si>
  <si>
    <t>社区反馈</t>
  </si>
  <si>
    <t>感谢您对Age of Apes的理解与支持。如果您有意见或建议，也欢迎您通过客服或社区进行反馈，我们会认真听取，祝愿火箭发射顺利！
[-1#点击加入Discord社区](herf=https://discord.gg/fK3gtph)
罗杰副官</t>
  </si>
  <si>
    <t>Thank you for your understanding and support. If you have any other questions or suggestions, please don't hesitate to contact us via the in-game customer support or the community.
See you around the Tavern!</t>
  </si>
  <si>
    <t>感謝您對Age of Apes的理解與支持。如果您有意見或建議，也歡迎您通過客服或社區進行反饋，我們會認真聽取，祝愿火箭發射順利！</t>
  </si>
  <si>
    <t>补偿规则</t>
  </si>
  <si>
    <r>
      <rPr>
        <rFont val="Arial"/>
        <color theme="1"/>
      </rPr>
      <t>1.系统/活动BUG通常需要发一封说明邮件和BUG已修复邮件。
2.以下均是</t>
    </r>
    <r>
      <rPr>
        <rFont val="Arial"/>
        <color rgb="FFCC0000"/>
      </rPr>
      <t>额外补偿</t>
    </r>
    <r>
      <rPr>
        <rFont val="Arial"/>
        <color theme="1"/>
      </rPr>
      <t>，如对玩家造成损失，需统一/单独补上玩家损失部分（这个为默认规则，将不在下方详细指出）。
3.如果BUG需要维护部署，需按</t>
    </r>
    <r>
      <rPr>
        <rFont val="Arial"/>
        <color rgb="FFCC0000"/>
      </rPr>
      <t>BUG补偿+日常维护（日常维护的补偿跟随维护邮件即可，不叠加在bug补偿邮件中）</t>
    </r>
    <r>
      <rPr>
        <rFont val="Arial"/>
        <color theme="1"/>
      </rPr>
      <t>进行补偿。
4.以下均</t>
    </r>
    <r>
      <rPr>
        <rFont val="Arial"/>
        <color rgb="FFCC0000"/>
      </rPr>
      <t>基础补偿</t>
    </r>
    <r>
      <rPr>
        <rFont val="Arial"/>
        <color theme="1"/>
      </rPr>
      <t>规则，如遇特殊情况，有单独需求，可在补偿中</t>
    </r>
    <r>
      <rPr>
        <rFont val="Arial"/>
        <color rgb="FFFF0000"/>
      </rPr>
      <t>附加BUG相关道具</t>
    </r>
    <r>
      <rPr>
        <rFont val="Arial"/>
        <color theme="1"/>
      </rPr>
      <t>。
5.事故中的分级将由具体情况具体分析。</t>
    </r>
  </si>
  <si>
    <t>分类</t>
  </si>
  <si>
    <t>具体情况</t>
  </si>
  <si>
    <t>详细补偿</t>
  </si>
  <si>
    <t>日常维护</t>
  </si>
  <si>
    <t>维护半小时内</t>
  </si>
  <si>
    <t>15分钟训练加速*2</t>
  </si>
  <si>
    <t>维护超半小时</t>
  </si>
  <si>
    <t>超时15分钟 = 15分钟训练加速*1</t>
  </si>
  <si>
    <t>60分钟训练加速*1 + 60分钟科研加速*1 + 60分钟建筑加速*1 + 50,000粮食* 10 + 50,000钢铁*10</t>
  </si>
  <si>
    <t>事故</t>
  </si>
  <si>
    <t>S级事故</t>
  </si>
  <si>
    <t>CD*500 + 60分钟训练加速*4 + 60分钟科研加速*3 + 60分钟建筑加速*3 + 50,000粮食* 20 + 50,000钢铁*20</t>
  </si>
  <si>
    <t>A级事故</t>
  </si>
  <si>
    <t>CD*200 + 60分钟训练加速*1 + 60分钟科研加速*1 + 60分钟建筑加速*1 + 50,000粮食* 10 + 50,000钢铁*10</t>
  </si>
  <si>
    <t>B级事故</t>
  </si>
  <si>
    <t>CD*100 + 15分钟训练加速*10 + 50,000粮食*5 + 50,000钢铁*5</t>
  </si>
  <si>
    <t>C级事故</t>
  </si>
  <si>
    <t xml:space="preserve">15分钟训练加速*5 + 50,000粮食*2 + 50,000钢铁*2 </t>
  </si>
  <si>
    <t>社区相关</t>
  </si>
  <si>
    <t>问卷</t>
  </si>
  <si>
    <t>CD*200</t>
  </si>
  <si>
    <t>外团奖励</t>
  </si>
  <si>
    <t>500CD一天，一个有效bug+100CD</t>
  </si>
  <si>
    <t>事故分级标准</t>
  </si>
  <si>
    <t>https://wiki.tap4fun.com/pages/viewpage.action?pageId=47186488</t>
  </si>
  <si>
    <t>BUG上报奖励规则</t>
  </si>
  <si>
    <t>扣道具（包括道具和代币）</t>
  </si>
  <si>
    <r>
      <rPr>
        <rFont val="Arial"/>
        <color theme="1"/>
      </rPr>
      <t>1.客服&amp;社区（目前常用的两个渠道）前2位反馈问题的玩家，在举报的BUG核实后根据事故级别给予宝石奖励并公告表扬；
2.</t>
    </r>
    <r>
      <rPr>
        <rFont val="Arial"/>
        <b/>
        <color theme="1"/>
      </rPr>
      <t>执行流程</t>
    </r>
    <r>
      <rPr>
        <rFont val="Arial"/>
        <color theme="1"/>
      </rPr>
      <t>：客服&amp;社区上报问题并记录上报玩家的顺序（取各渠道的</t>
    </r>
    <r>
      <rPr>
        <rFont val="Arial"/>
        <color rgb="FFFF0000"/>
      </rPr>
      <t>前1位，可并列2位</t>
    </r>
    <r>
      <rPr>
        <rFont val="Arial"/>
        <color theme="1"/>
      </rPr>
      <t>）→ 项目组验证BUG核实真实性 → 项目组解决BUG → 运营发奖励&amp;公告
面向玩家的解释，不同程度的bug会有一个dev鉴定，dev会根据bug的定级情况发放不同程度的奖励。</t>
    </r>
  </si>
  <si>
    <t>道具扣除到$500（锚点价值），开启行为限制</t>
  </si>
  <si>
    <t>还清后解除</t>
  </si>
  <si>
    <t xml:space="preserve"> CD*5000（客服）/ 猿猴币*4999 （社区）</t>
  </si>
  <si>
    <t xml:space="preserve"> CD*2500（客服））/ 猿猴币*1999 （社区）</t>
  </si>
  <si>
    <t xml:space="preserve"> CD*1000（客服））/ 猿猴币*499 （社区）</t>
  </si>
  <si>
    <t xml:space="preserve"> CD*500（客服））/ 猿猴币*99 （社区）</t>
  </si>
  <si>
    <t>战装刷奖励的玩家 扣除的道具</t>
  </si>
  <si>
    <t>客服问题反馈特殊补偿</t>
  </si>
  <si>
    <t>误解答问题</t>
  </si>
  <si>
    <t xml:space="preserve"> CD*200</t>
  </si>
  <si>
    <t>特殊问题安慰补偿</t>
  </si>
  <si>
    <t>其他奖励</t>
  </si>
  <si>
    <t>详细</t>
  </si>
  <si>
    <t>用户调研</t>
  </si>
  <si>
    <t>调研问卷</t>
  </si>
  <si>
    <r>
      <rPr>
        <rFont val="Arial"/>
        <color theme="1"/>
      </rPr>
      <t>公告内容</t>
    </r>
    <r>
      <rPr>
        <rFont val="Arial"/>
        <b/>
        <color rgb="FFFF0000"/>
      </rPr>
      <t>（红字记得每次修改）</t>
    </r>
  </si>
  <si>
    <t>简体中文-cn</t>
  </si>
  <si>
    <t>英语-en</t>
  </si>
  <si>
    <t>法语-fr</t>
  </si>
  <si>
    <t>德语-de</t>
  </si>
  <si>
    <t>葡萄牙语-po</t>
  </si>
  <si>
    <t>繁体中文-zh</t>
  </si>
  <si>
    <t>印度尼西亚语-id</t>
  </si>
  <si>
    <t>泰语-th</t>
  </si>
  <si>
    <t>西班牙语-sp</t>
  </si>
  <si>
    <t>俄语-ru</t>
  </si>
  <si>
    <t>土耳其语-tr</t>
  </si>
  <si>
    <t>越南语-vi</t>
  </si>
  <si>
    <t>意大利语-it</t>
  </si>
  <si>
    <t>波兰语-pls</t>
  </si>
  <si>
    <t>阿拉伯语-ar</t>
  </si>
  <si>
    <t>日语-jp</t>
  </si>
  <si>
    <t>韩语-kr</t>
  </si>
  <si>
    <t>更新邮件标题</t>
  </si>
  <si>
    <r>
      <rPr>
        <rFont val="Arial"/>
        <color rgb="FFFF0000"/>
        <sz val="10.0"/>
      </rPr>
      <t>0.29.0</t>
    </r>
    <r>
      <rPr>
        <rFont val="Arial"/>
        <color rgb="FF000000"/>
        <sz val="10.0"/>
      </rPr>
      <t>版本更新介绍</t>
    </r>
  </si>
  <si>
    <r>
      <rPr>
        <rFont val="Arial"/>
        <color rgb="FF000000"/>
        <sz val="10.0"/>
      </rPr>
      <t xml:space="preserve">Version </t>
    </r>
    <r>
      <rPr>
        <rFont val="Arial"/>
        <color rgb="FFFF0000"/>
        <sz val="10.0"/>
      </rPr>
      <t>0.29.0</t>
    </r>
    <r>
      <rPr>
        <rFont val="Arial"/>
        <color rgb="FF000000"/>
        <sz val="10.0"/>
      </rPr>
      <t xml:space="preserve"> Update</t>
    </r>
  </si>
  <si>
    <r>
      <rPr>
        <rFont val="Arial"/>
        <color rgb="FF000000"/>
        <sz val="10.0"/>
      </rPr>
      <t xml:space="preserve">Mise à jour </t>
    </r>
    <r>
      <rPr>
        <rFont val="Arial"/>
        <color rgb="FFFF0000"/>
        <sz val="10.0"/>
      </rPr>
      <t>0.29.0</t>
    </r>
  </si>
  <si>
    <r>
      <rPr>
        <rFont val="Arial"/>
        <color rgb="FF000000"/>
        <sz val="10.0"/>
      </rPr>
      <t>Update auf Version</t>
    </r>
    <r>
      <rPr>
        <rFont val="Arial"/>
        <color rgb="FFFF0000"/>
        <sz val="10.0"/>
      </rPr>
      <t xml:space="preserve"> 0.29.0</t>
    </r>
  </si>
  <si>
    <r>
      <rPr>
        <rFont val="Arial"/>
        <color rgb="FF000000"/>
        <sz val="10.0"/>
      </rPr>
      <t xml:space="preserve">Atualização da versão </t>
    </r>
    <r>
      <rPr>
        <rFont val="Arial"/>
        <color rgb="FFFF0000"/>
        <sz val="10.0"/>
      </rPr>
      <t>0.29.0</t>
    </r>
  </si>
  <si>
    <r>
      <rPr>
        <rFont val="Arial"/>
        <color rgb="FF000000"/>
        <sz val="10.0"/>
      </rPr>
      <t>版本</t>
    </r>
    <r>
      <rPr>
        <rFont val="Arial"/>
        <color rgb="FFFF0000"/>
        <sz val="10.0"/>
      </rPr>
      <t xml:space="preserve"> 0.29.0</t>
    </r>
    <r>
      <rPr>
        <rFont val="Arial"/>
        <color rgb="FF000000"/>
        <sz val="10.0"/>
      </rPr>
      <t xml:space="preserve"> 更新</t>
    </r>
  </si>
  <si>
    <r>
      <rPr>
        <rFont val="Arial"/>
        <color rgb="FF000000"/>
        <sz val="10.0"/>
      </rPr>
      <t xml:space="preserve">Pembaruan Versi </t>
    </r>
    <r>
      <rPr>
        <rFont val="Arial"/>
        <color rgb="FFFF0000"/>
        <sz val="10.0"/>
      </rPr>
      <t>0.29.0</t>
    </r>
  </si>
  <si>
    <r>
      <rPr>
        <rFont val="Arial"/>
        <color rgb="FF000000"/>
        <sz val="10.0"/>
      </rPr>
      <t xml:space="preserve">อัปเดตเวอร์ชัน </t>
    </r>
    <r>
      <rPr>
        <rFont val="Arial"/>
        <color rgb="FFFF0000"/>
        <sz val="10.0"/>
      </rPr>
      <t>0.29.0</t>
    </r>
  </si>
  <si>
    <r>
      <rPr>
        <rFont val="Arial"/>
        <color rgb="FF000000"/>
        <sz val="10.0"/>
      </rPr>
      <t xml:space="preserve">Actualización a la versión </t>
    </r>
    <r>
      <rPr>
        <rFont val="Arial"/>
        <color rgb="FFFF0000"/>
        <sz val="10.0"/>
      </rPr>
      <t>0.29.0</t>
    </r>
  </si>
  <si>
    <r>
      <rPr>
        <rFont val="Arial"/>
        <color rgb="FF000000"/>
        <sz val="10.0"/>
      </rPr>
      <t xml:space="preserve">Обновление до версии </t>
    </r>
    <r>
      <rPr>
        <rFont val="Arial"/>
        <color rgb="FFFF0000"/>
        <sz val="10.0"/>
      </rPr>
      <t>0.29.0</t>
    </r>
  </si>
  <si>
    <r>
      <rPr>
        <rFont val="Arial"/>
        <color rgb="FF000000"/>
        <sz val="10.0"/>
      </rPr>
      <t>Sürüm</t>
    </r>
    <r>
      <rPr>
        <rFont val="Arial"/>
        <color rgb="FFFF0000"/>
        <sz val="10.0"/>
      </rPr>
      <t xml:space="preserve"> 0.29.0</t>
    </r>
    <r>
      <rPr>
        <rFont val="Arial"/>
        <color rgb="FF000000"/>
        <sz val="10.0"/>
      </rPr>
      <t xml:space="preserve"> Güncellemesi</t>
    </r>
  </si>
  <si>
    <r>
      <rPr>
        <rFont val="Arial"/>
        <color rgb="FF000000"/>
        <sz val="10.0"/>
      </rPr>
      <t xml:space="preserve">Cập nhật Phiên bản </t>
    </r>
    <r>
      <rPr>
        <rFont val="Arial"/>
        <color rgb="FFFF0000"/>
        <sz val="10.0"/>
      </rPr>
      <t>0.29.0</t>
    </r>
  </si>
  <si>
    <t>非强更（有盾版）</t>
  </si>
  <si>
    <r>
      <rPr>
        <rFont val="Arial"/>
        <color rgb="FF000000"/>
        <sz val="10.0"/>
      </rPr>
      <t>亲爱的指挥官：
为了给大家带来更好的游戏体验，我们预计在</t>
    </r>
    <r>
      <rPr>
        <rFont val="Arial"/>
        <color rgb="FFFF9900"/>
        <sz val="10.0"/>
      </rPr>
      <t>&lt;color=#ffa200&gt;UTC时间</t>
    </r>
    <r>
      <rPr>
        <rFont val="Arial"/>
        <color rgb="FFFF0000"/>
        <sz val="10.0"/>
      </rPr>
      <t>2021年4月1日06:00</t>
    </r>
    <r>
      <rPr>
        <rFont val="Arial"/>
        <color rgb="FFFF9900"/>
        <sz val="10.0"/>
      </rPr>
      <t>&lt;/color&gt;</t>
    </r>
    <r>
      <rPr>
        <rFont val="Arial"/>
        <color rgb="FF000000"/>
        <sz val="10.0"/>
      </rPr>
      <t>进行</t>
    </r>
    <r>
      <rPr>
        <rFont val="Arial"/>
        <color rgb="FFFF0000"/>
        <sz val="10.0"/>
      </rPr>
      <t>0.29.0</t>
    </r>
    <r>
      <rPr>
        <rFont val="Arial"/>
        <color rgb="FF000000"/>
        <sz val="10.0"/>
      </rPr>
      <t>版本更新。届时服务器将进行</t>
    </r>
    <r>
      <rPr>
        <rFont val="Arial"/>
        <color rgb="FFFF9900"/>
        <sz val="10.0"/>
      </rPr>
      <t>&lt;color=#ffa200&gt;</t>
    </r>
    <r>
      <rPr>
        <rFont val="Arial"/>
        <color rgb="FFFF0000"/>
        <sz val="10.0"/>
      </rPr>
      <t>60</t>
    </r>
    <r>
      <rPr>
        <rFont val="Arial"/>
        <color rgb="FFFF9900"/>
        <sz val="10.0"/>
      </rPr>
      <t>分钟&lt;/color&gt;</t>
    </r>
    <r>
      <rPr>
        <rFont val="Arial"/>
        <color rgb="FF000000"/>
        <sz val="10.0"/>
      </rPr>
      <t>维护，维护结束后猴子们可以选择适当的网络环境更新版本。我们将在版本更新后8小时内为您送来更新礼包，届时请您下载新版本后登录游戏在邮件处领取。
【更新时间】</t>
    </r>
    <r>
      <rPr>
        <rFont val="Arial"/>
        <color rgb="FFFF9900"/>
        <sz val="10.0"/>
      </rPr>
      <t>&lt;color=#ffa200&gt;</t>
    </r>
    <r>
      <rPr>
        <rFont val="Arial"/>
        <color rgb="FFFF0000"/>
        <sz val="10.0"/>
      </rPr>
      <t>2021年4月1日UTC06:00</t>
    </r>
    <r>
      <rPr>
        <rFont val="Arial"/>
        <color rgb="FFFF9900"/>
        <sz val="10.0"/>
      </rPr>
      <t>&lt;/color&gt;</t>
    </r>
    <r>
      <rPr>
        <rFont val="Arial"/>
        <color rgb="FF000000"/>
        <sz val="10.0"/>
      </rPr>
      <t>，届时您将无法进入游戏。停服开始后，所有玩家都将获得8小时的能量护盾，此期间请不要将部队派出基地，以免造成不必要的损失，并且该护盾将在玩家上线后10分钟内消失。
【预计维护时长】</t>
    </r>
    <r>
      <rPr>
        <rFont val="Arial"/>
        <color rgb="FFFF9900"/>
        <sz val="10.0"/>
      </rPr>
      <t>&lt;color=#ffa200&gt;</t>
    </r>
    <r>
      <rPr>
        <rFont val="Arial"/>
        <color rgb="FFFF0000"/>
        <sz val="10.0"/>
      </rPr>
      <t>60</t>
    </r>
    <r>
      <rPr>
        <rFont val="Arial"/>
        <color rgb="FFFF9900"/>
        <sz val="10.0"/>
      </rPr>
      <t>分钟&lt;/color&gt;</t>
    </r>
    <r>
      <rPr>
        <rFont val="Arial"/>
        <color rgb="FF000000"/>
        <sz val="10.0"/>
      </rPr>
      <t xml:space="preserve">
【下载地址】请前往</t>
    </r>
    <r>
      <rPr>
        <rFont val="Arial"/>
        <color rgb="FFFF9900"/>
        <sz val="10.0"/>
      </rPr>
      <t>&lt;color=#ffa200&gt;Google Play 和 App Store&lt;/color&gt;</t>
    </r>
    <r>
      <rPr>
        <rFont val="Arial"/>
        <color rgb="FF000000"/>
        <sz val="10.0"/>
      </rPr>
      <t xml:space="preserve">中更新
</t>
    </r>
    <r>
      <rPr>
        <rFont val="Arial"/>
        <color rgb="FF00FF00"/>
        <sz val="10.0"/>
      </rPr>
      <t xml:space="preserve">[-1#点击更新GOOGLE版本](herf=https://play.google.com/store/apps/details?id=com.tap4fun.ape.gplay&amp;fbclid=IwAR116CrjtfV5PPtCr0IoJq0oKeS1ChLBo8DITNbG7nkH-cFXXDcIGL1iNN4)
[-1#点击更新IOS版本](herf=https://apps.apple.com/us/app/age-of-apes/id1475453887) </t>
    </r>
    <r>
      <rPr>
        <rFont val="Arial"/>
        <color rgb="FF000000"/>
        <sz val="10.0"/>
      </rPr>
      <t xml:space="preserve">
【</t>
    </r>
    <r>
      <rPr>
        <rFont val="Arial"/>
        <color rgb="FFFF0000"/>
        <sz val="10.0"/>
      </rPr>
      <t>0.29.0</t>
    </r>
    <r>
      <rPr>
        <rFont val="Arial"/>
        <color rgb="FF000000"/>
        <sz val="10.0"/>
      </rPr>
      <t>更新内容】
xxxxxx
本次维护不排除延迟开启的可能，如若延迟，请关注社区发布的具体开服时间。</t>
    </r>
    <r>
      <rPr>
        <rFont val="Arial"/>
        <color rgb="FF00FF00"/>
        <sz val="10.0"/>
      </rPr>
      <t>[-1#点击加入Discord社区](herf=https://discord.gg/fK3gtph)</t>
    </r>
    <r>
      <rPr>
        <rFont val="Arial"/>
        <color rgb="FF000000"/>
        <sz val="10.0"/>
      </rPr>
      <t xml:space="preserve">
我们将继续修复游戏中的一些问题，同时给大家带来更多的新内容。敬请期待，享受你的香蕉盛宴吧！
罗杰副官</t>
    </r>
  </si>
  <si>
    <r>
      <rPr>
        <rFont val="Arial"/>
        <color rgb="FF000000"/>
      </rPr>
      <t>Dear Captain,
In order to bring you a better gaming experience, we plan to release the version</t>
    </r>
    <r>
      <rPr>
        <rFont val="Arial"/>
        <color rgb="FFFF0000"/>
      </rPr>
      <t xml:space="preserve"> 0.29.0</t>
    </r>
    <r>
      <rPr>
        <rFont val="Arial"/>
        <color rgb="FF000000"/>
      </rPr>
      <t xml:space="preserve"> update on &lt;color=#ffa200&gt;</t>
    </r>
    <r>
      <rPr>
        <rFont val="Arial"/>
        <color rgb="FFFF0000"/>
      </rPr>
      <t>2021-04-01 at 06:00 UTC</t>
    </r>
    <r>
      <rPr>
        <rFont val="Arial"/>
        <color rgb="FF000000"/>
      </rPr>
      <t>&lt;/color&gt;. At that time, we will conduct server maintenance lasting approximately &lt;color=#ffa200&gt;</t>
    </r>
    <r>
      <rPr>
        <rFont val="Arial"/>
        <color rgb="FFFF0000"/>
      </rPr>
      <t>60 m</t>
    </r>
    <r>
      <rPr>
        <rFont val="Arial"/>
        <color rgb="FF000000"/>
      </rPr>
      <t xml:space="preserve">inutes&lt;/color&gt;. You may update the game once server maintenance is complete. We will issue an update pack within 8 hours after the update. Please download the new game version and log into the game to claim the reward in your Mail.
[Update Time]
</t>
    </r>
    <r>
      <rPr>
        <rFont val="Arial"/>
        <color rgb="FFFF0000"/>
      </rPr>
      <t>06:00 UTC, 2021-04-01</t>
    </r>
    <r>
      <rPr>
        <rFont val="Arial"/>
        <color rgb="FF000000"/>
      </rPr>
      <t>; you will not be able to access the game during this time. Once server maintenance starts, all players will receive an 8-hour City Shield which will be disabled 10 minutes after players log back into the game. To avoid any unnecessary loss, please do not dispatch troops outside your City during this time. 
[Estimated Maintenance Duration]
&lt;color=#ffa200&gt;</t>
    </r>
    <r>
      <rPr>
        <rFont val="Arial"/>
        <color rgb="FFFF0000"/>
      </rPr>
      <t xml:space="preserve">60 </t>
    </r>
    <r>
      <rPr>
        <rFont val="Arial"/>
        <color rgb="FF000000"/>
      </rPr>
      <t xml:space="preserve">minutes&lt;/color&gt;
[Download Links]
Please go to &lt;color=#ffa200&gt;Google Play or the App Store&lt;/color&gt; and update your game.
[-1#Tap to update for Android](herf=https://play.google.com/store/apps/details?id=com.tap4fun.ape.gplay&amp;fbclid=IwAR116CrjtfV5PPtCr0IoJq0oKeS1ChLBo8DITNbG7nkH-cFXXDcIGL1iNN4)
[-1#Tap to update for iOS](herf=https://apps.apple.com/us/app/age-of-apes/id1475453887)
</t>
    </r>
    <r>
      <rPr>
        <rFont val="Arial"/>
        <color rgb="FFFF0000"/>
      </rPr>
      <t xml:space="preserve">[0.29.0 </t>
    </r>
    <r>
      <rPr>
        <rFont val="Arial"/>
        <color rgb="FF000000"/>
      </rPr>
      <t>Update Details]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t>
    </r>
  </si>
  <si>
    <r>
      <rPr>
        <rFont val="Arial"/>
        <color rgb="FF000000"/>
      </rPr>
      <t xml:space="preserve">Cher capitaine,
Afin d’améliorer votre expérience de jeu, nous prévoyons le lancement de la mise à jour </t>
    </r>
    <r>
      <rPr>
        <rFont val="Arial"/>
        <color rgb="FFFF0000"/>
      </rPr>
      <t xml:space="preserve">0.29.0 </t>
    </r>
    <r>
      <rPr>
        <rFont val="Arial"/>
        <color rgb="FF000000"/>
      </rPr>
      <t>le &lt;color=#ffa200&gt;</t>
    </r>
    <r>
      <rPr>
        <rFont val="Arial"/>
        <color rgb="FFFF0000"/>
      </rPr>
      <t xml:space="preserve"> 06:00 UTC, 01-04-2021 </t>
    </r>
    <r>
      <rPr>
        <rFont val="Arial"/>
        <color rgb="FF000000"/>
      </rPr>
      <t>&lt;/color&gt;. Nous procéderons alors à une maintenance des serveurs qui durera environ &lt;color=#ffa200&gt;</t>
    </r>
    <r>
      <rPr>
        <rFont val="Arial"/>
        <color rgb="FFFF0000"/>
      </rPr>
      <t xml:space="preserve">60 </t>
    </r>
    <r>
      <rPr>
        <rFont val="Arial"/>
        <color rgb="FF000000"/>
      </rPr>
      <t xml:space="preserve">minutes&lt;/color&gt;. Une fois les opérations terminées, vous pourrez mettre votre jeu à jour. Nous lancerons un pack de mise à jour dans les 8 heures suivant la maintenance. Merci de télécharger la nouvelle version et de vous connecter pour récupérer la récompense dans votre messagerie. 
[Horaire de mise à jour]
</t>
    </r>
    <r>
      <rPr>
        <rFont val="Arial"/>
        <color rgb="FFFF0000"/>
      </rPr>
      <t xml:space="preserve"> 06:00 UTC, 01-04-2021</t>
    </r>
    <r>
      <rPr>
        <rFont val="Arial"/>
        <color rgb="FF000000"/>
      </rPr>
      <t>(TU). Pendant le déploiement, vous ne pourrez plus accéder au jeu. Au début des opérations de maintenance, tous les joueurs bénéficieront d’un bouclier de 8 heures, qui sera désactivé 10 minutes après leur reconnexion. Pour éviter toute perte, ne déployez aucune troupe en dehors de votre ville pendant cette période. 
[Durée estimée de la maintenance]
&lt;color=#ffa200&gt;</t>
    </r>
    <r>
      <rPr>
        <rFont val="Arial"/>
        <color rgb="FFFF0000"/>
      </rPr>
      <t xml:space="preserve">60 </t>
    </r>
    <r>
      <rPr>
        <rFont val="Arial"/>
        <color rgb="FF000000"/>
      </rPr>
      <t xml:space="preserve">minutes&lt;/color&gt;
[Liens de téléchargement]
Rendez-vous sur &lt;color=#ffa200&gt;Google Play ou l’App Store&lt;/color&gt; (ou appuyez sur la fenêtre pop-up dans le jeu pour accéder à la page des téléchargements) et effectuez la mise à jour du jeu.
[-1#Appuyez pour mettre à jour sur Android](herf=https://play.google.com/store/apps/details?id=com.tap4fun.ape.gplay&amp;fbclid=IwAR116CrjtfV5PPtCr0IoJq0oKeS1ChLBo8DITNbG7nkH-cFXXDcIGL1iNN4)
[-1#Appuyez pour mettre à jour sur iOS](herf=https://apps.apple.com/us/app/age-of-apes/id1475453887)
[Détails de la mise à jour </t>
    </r>
    <r>
      <rPr>
        <rFont val="Arial"/>
        <color rgb="FFFF0000"/>
      </rPr>
      <t>0.29.0</t>
    </r>
    <r>
      <rPr>
        <rFont val="Arial"/>
        <color rgb="FF000000"/>
      </rPr>
      <t>]
Suivez notre communauté officielle sur Discord pour connaître les éventuels retards dans la maintenance des serveurs et, le cas échéant, l’horaire corrigé du redémarrage des serveurs. [-1# Appuyez pour accéder à la communauté Discord officielle](herf=https://discord.gg/RncnPNw)
Nous poursuivons le travail pour résoudre les dysfonctionnements et vous proposer du nouveau contenu génial. Restez à l’écoute et à bientôt à la taverne!
Roger l'assistant</t>
    </r>
  </si>
  <si>
    <r>
      <rPr>
        <rFont val="Arial"/>
        <color rgb="FF000000"/>
      </rPr>
      <t>Lieber Captain,
 Um dir ein besseres Spielerlebnis zu bieten, werden wir am &lt;color=#ffa200&gt;</t>
    </r>
    <r>
      <rPr>
        <rFont val="Arial"/>
        <color rgb="FFFF0000"/>
      </rPr>
      <t>01.04.2021 um 06:00 UTC</t>
    </r>
    <r>
      <rPr>
        <rFont val="Arial"/>
        <color rgb="FF000000"/>
      </rPr>
      <t xml:space="preserve">&lt;/color&gt; das Update auf Version </t>
    </r>
    <r>
      <rPr>
        <rFont val="Arial"/>
        <color rgb="FFFF0000"/>
      </rPr>
      <t>0.29.0</t>
    </r>
    <r>
      <rPr>
        <rFont val="Arial"/>
        <color rgb="FF000000"/>
      </rPr>
      <t xml:space="preserve"> durchzuführen. Wir werden zu diesem Zeitpunkt eine Serverwartung durchführen, die etwa &lt;color=#ffa200&gt;</t>
    </r>
    <r>
      <rPr>
        <rFont val="Arial"/>
        <color rgb="FFFF0000"/>
      </rPr>
      <t xml:space="preserve">60 </t>
    </r>
    <r>
      <rPr>
        <rFont val="Arial"/>
        <color rgb="FF000000"/>
      </rPr>
      <t xml:space="preserve">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t>
    </r>
    <r>
      <rPr>
        <rFont val="Arial"/>
        <color rgb="FFFF0000"/>
      </rPr>
      <t xml:space="preserve"> 01.04.2021, 06:00 UTC</t>
    </r>
    <r>
      <rPr>
        <rFont val="Arial"/>
        <color rgb="FF000000"/>
      </rPr>
      <t>; du wirst während dieser Zeit nicht auf das Spiel zugreifen können. Sobald die Serverwartung beginnt, erhalten alle Spieler ein 8-stündiges Stadtschild, das 10 Minuten, nachdem sich die Spieler wieder ins Spiel eingeloggt haben, deaktiviert wird. Um unnötige Verluste zu vermeiden, solltest du während dieser Zeit keine Truppen außerhalb deiner Stadt entsenden. 
 [Geschätzte Wartungsdauer]
 &lt;color=#ffa200&gt;</t>
    </r>
    <r>
      <rPr>
        <rFont val="Arial"/>
        <color rgb="FFFF0000"/>
      </rPr>
      <t xml:space="preserve">60 </t>
    </r>
    <r>
      <rPr>
        <rFont val="Arial"/>
        <color rgb="FF000000"/>
      </rPr>
      <t>Minuten&lt;/color&gt;
 [Download-Links]
 Bitte gehe zu &lt;color=#ffa200&gt;Google Play oder dem App Store&lt;/color&gt; und aktualisiere dein Spiel.
 [-1#Tippen zum Update für Android](herf=https://play.google.com/store/apps/details?id=com.tap4fun.ape.gplay&amp;fbclid=IwAR116CrjtfV5PPtCr0IoJq0oKeS1ChLBo8DITNbG7nkH-cFXXDcIGL1iNN4)
 [-1#Tippen zum Update für iOS](herf=https://apps.apple.com/us/app/age-of-apes/id1475453887)
 [</t>
    </r>
    <r>
      <rPr>
        <rFont val="Arial"/>
        <color rgb="FFFF0000"/>
      </rPr>
      <t>0.29.0</t>
    </r>
    <r>
      <rPr>
        <rFont val="Arial"/>
        <color rgb="FF000000"/>
      </rPr>
      <t xml:space="preserve"> Update-Details]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t>
    </r>
  </si>
  <si>
    <r>
      <rPr>
        <rFont val="Arial"/>
        <color rgb="FF000000"/>
      </rPr>
      <t xml:space="preserve">Caro Capitão,
 Para melhorar a experiência de jogo, planejamos lançar a atualização </t>
    </r>
    <r>
      <rPr>
        <rFont val="Arial"/>
        <color rgb="FFFF0000"/>
      </rPr>
      <t>0.29.0</t>
    </r>
    <r>
      <rPr>
        <rFont val="Arial"/>
        <color rgb="FF000000"/>
      </rPr>
      <t xml:space="preserve"> em &lt;color=#ffa200&gt;</t>
    </r>
    <r>
      <rPr>
        <rFont val="Arial"/>
        <color rgb="FFFF0000"/>
      </rPr>
      <t>01/04/2021 às 06:00</t>
    </r>
    <r>
      <rPr>
        <rFont val="Arial"/>
        <color rgb="FF000000"/>
      </rPr>
      <t xml:space="preserve"> (fuso UTC)&lt;/color&gt;. No momento, estamos fazendo a manutenção do jogo, que durará cerca de &lt;color=#ffa200&gt;</t>
    </r>
    <r>
      <rPr>
        <rFont val="Arial"/>
        <color rgb="FFFF0000"/>
      </rPr>
      <t>60 minuto</t>
    </r>
    <r>
      <rPr>
        <rFont val="Arial"/>
        <color rgb="FF000000"/>
      </rPr>
      <t xml:space="preserve">s&lt;/color&gt;. Você poderá atualizar o jogo assim que a manutenção do servidor for concluída. Lançaremos um pacote de atualização dentro de 8 horas após a atualização. Faça o download da nova versão e entre no jogo para resgatar as recompensas enviadas.
 [Horário da atualização]
</t>
    </r>
    <r>
      <rPr>
        <rFont val="Arial"/>
        <color rgb="FFFF0000"/>
      </rPr>
      <t xml:space="preserve"> 01/04/2021, às 06:00</t>
    </r>
    <r>
      <rPr>
        <rFont val="Arial"/>
        <color rgb="FF000000"/>
      </rPr>
      <t xml:space="preserve"> (fuso UTC). Não será possível acessar o jogo durante este período. Assim que a manutenção começar, todos os jogadores receberão 8 horas de escudo da cidade, que será desativado 10 minutos depois que o jogador entrar novamente no jogo. Para evitar perdas desnecessárias, não envie tropas para fora da cidade durante este período. 
 [Tempo de manutenção estimado]
 &lt;color=#ffa200&gt;</t>
    </r>
    <r>
      <rPr>
        <rFont val="Arial"/>
        <color rgb="FFFF0000"/>
      </rPr>
      <t>60</t>
    </r>
    <r>
      <rPr>
        <rFont val="Arial"/>
        <color rgb="FF000000"/>
      </rPr>
      <t xml:space="preserve"> minutos&lt;/color&gt;
 [Links de download]
 Vá ao &lt;color=#ffa200&gt;Google Play ou ao App Store&lt;/color&gt; e faça a atualização.
 [-1#Toque para atualizar para Android](herf=https://play.google.com/store/apps/details?id=com.tap4fun.ape.gplay&amp;fbclid=IwAR116CrjtfV5PPtCr0IoJq0oKeS1ChLBo8DITNbG7nkH-cFXXDcIGL1iNN4)
 [-1#Toque para atualizar para iOS](herf=https://apps.apple.com/us/app/age-of-apes/id1475453887)
 [Detalhes da atualização </t>
    </r>
    <r>
      <rPr>
        <rFont val="Arial"/>
        <color rgb="FFFF0000"/>
      </rPr>
      <t>0.29.0</t>
    </r>
    <r>
      <rPr>
        <rFont val="Arial"/>
        <color rgb="FF000000"/>
      </rPr>
      <t>]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t>
    </r>
  </si>
  <si>
    <r>
      <rPr>
        <rFont val="Arial"/>
        <color rgb="FF000000"/>
      </rPr>
      <t>親愛的指揮官：
為了給大家帶來更好的遊戲體驗，我們預計在&lt;color=#ffa200&gt;UTC時間</t>
    </r>
    <r>
      <rPr>
        <rFont val="Arial"/>
        <color rgb="FFFF0000"/>
      </rPr>
      <t>2021年4月1日06:00</t>
    </r>
    <r>
      <rPr>
        <rFont val="Arial"/>
        <color rgb="FF000000"/>
      </rPr>
      <t>&lt;/color&gt;進行</t>
    </r>
    <r>
      <rPr>
        <rFont val="Arial"/>
        <color rgb="FFFF0000"/>
      </rPr>
      <t>0.29.0</t>
    </r>
    <r>
      <rPr>
        <rFont val="Arial"/>
        <color rgb="FF000000"/>
      </rPr>
      <t>版本更新。屆時服務器將進行&lt;color=#ffa200&gt;</t>
    </r>
    <r>
      <rPr>
        <rFont val="Arial"/>
        <color rgb="FFFF0000"/>
      </rPr>
      <t>60</t>
    </r>
    <r>
      <rPr>
        <rFont val="Arial"/>
        <color rgb="FF000000"/>
      </rPr>
      <t>分鐘&lt;/color&gt;維護，維護結束後猴子們可以選擇適當的網絡環境更新版本。我們將在版本更新後8小時內為您送來更新禮包，屆時請您下載新版本後登錄遊戲在郵件處領取。
【更新時間】&lt;color=#ffa200&gt;</t>
    </r>
    <r>
      <rPr>
        <rFont val="Arial"/>
        <color rgb="FFFF0000"/>
      </rPr>
      <t>2021年4月1日UTC06:00</t>
    </r>
    <r>
      <rPr>
        <rFont val="Arial"/>
        <color rgb="FF000000"/>
      </rPr>
      <t>&lt;/color&gt;，屆時您將無法進入遊戲。停服開始後，所有玩家都將獲得8小時的能量護盾，此期間請不要將部隊派出基地，以免造成不必要的損失，並且該護盾將在玩家上線後10分鐘內消失。
【預計維護時長】&lt;color=#ffa200&gt;</t>
    </r>
    <r>
      <rPr>
        <rFont val="Arial"/>
        <color rgb="FFFF0000"/>
      </rPr>
      <t>60分鐘</t>
    </r>
    <r>
      <rPr>
        <rFont val="Arial"/>
        <color rgb="FF000000"/>
      </rPr>
      <t>&lt;/color&gt;
【下載地址】請前往&lt;color=#ffa200&gt;Google Play 和 App Store&lt;/color&gt;中更新
[-1#點擊更新GOOGLE版本](herf=https://play.google.com/store/apps/details?id=com.tap4fun.ape.gplay&amp;fbclid=IwAR116CrjtfV5PPtCr0IoJq0oKeS1ChLBo8DITNbG7nkH-cFXXDcIGL1iNN4)
[-1#點擊更新IOS版本](herf=https://apps.apple.com/us/app/age-of-apes/id1475453887)
【</t>
    </r>
    <r>
      <rPr>
        <rFont val="Arial"/>
        <color rgb="FFFF0000"/>
      </rPr>
      <t>0.29.0</t>
    </r>
    <r>
      <rPr>
        <rFont val="Arial"/>
        <color rgb="FF000000"/>
      </rPr>
      <t>更新內容】
本次維護不排除延遲開啟的可能，如若延遲，請關注社區發布的具體開服時間。 [-1#點擊加入Discord社區](herf=https://discord.gg/fK3gtph)
我們將繼續修復遊戲中的一些問題，同時給大家帶來更多的新內容。敬請期待，享受你的香蕉盛宴吧！
羅傑副官</t>
    </r>
  </si>
  <si>
    <r>
      <rPr>
        <rFont val="Arial"/>
        <color rgb="FF000000"/>
      </rPr>
      <t xml:space="preserve">Kapten yang terhormat,
 Untuk memberikanmu pengalaman bermain yang lebih baik, kami berencana untuk merilis pembaruan versi </t>
    </r>
    <r>
      <rPr>
        <rFont val="Arial"/>
        <color rgb="FFFF0000"/>
      </rPr>
      <t xml:space="preserve">0.29.0 </t>
    </r>
    <r>
      <rPr>
        <rFont val="Arial"/>
        <color rgb="FF000000"/>
      </rPr>
      <t>pada &lt;color=#ffa200&gt;</t>
    </r>
    <r>
      <rPr>
        <rFont val="Arial"/>
        <color rgb="FFFF0000"/>
      </rPr>
      <t>2021-04-01 pukul 06:00</t>
    </r>
    <r>
      <rPr>
        <rFont val="Arial"/>
        <color rgb="FF000000"/>
      </rPr>
      <t xml:space="preserve"> UTC&lt;/color&gt;. Pada saat itu, kami akan melakukan pemeliharaan server yang berlangsung kira-kira &lt;color=#ffa200&gt;</t>
    </r>
    <r>
      <rPr>
        <rFont val="Arial"/>
        <color rgb="FFFF0000"/>
      </rPr>
      <t>60 menit</t>
    </r>
    <r>
      <rPr>
        <rFont val="Arial"/>
        <color rgb="FF000000"/>
      </rPr>
      <t xml:space="preserve">&lt;/color&gt;. Kamu bisa memperbarui game setelah pemeliharaan server selesai. Kami akan mengeluarkan paket pembaruan dalam 8 jam setelah pembaruan. Unduh versi game baru dan masuk ke dalam game untuk mengklaim hadiah dalam Emailmu.
 [Waktu Pembaruan]
</t>
    </r>
    <r>
      <rPr>
        <rFont val="Arial"/>
        <color rgb="FFFF0000"/>
      </rPr>
      <t xml:space="preserve"> 06:00 UTC, 2021-04-01;</t>
    </r>
    <r>
      <rPr>
        <rFont val="Arial"/>
        <color rgb="FF000000"/>
      </rPr>
      <t xml:space="preserve"> kamu tidak akan bisa mengakses game selama waktu tersebut. Setelah pemeliharaan server dimulai, semua pemain akan menerima Perisai Kota 8 jam yang akan dinonaktifkan 10 menit setelah pemain masuk kembali ke dalam game. Untuk menghindari kerugian yang tidak perlu, jangan kirim pasukan ke luar Kotamu selama waktu tersebut.
 [Perkiraan Durasi Pemeliharaan]
 &lt;color=#ffa200&gt;</t>
    </r>
    <r>
      <rPr>
        <rFont val="Arial"/>
        <color rgb="FFFF0000"/>
      </rPr>
      <t>60 menit</t>
    </r>
    <r>
      <rPr>
        <rFont val="Arial"/>
        <color rgb="FF000000"/>
      </rPr>
      <t xml:space="preserve">&lt;/color&gt;
 [Tautan Unduhan]
 Buka &lt;color=#ffa200&gt;Google Play atau App Store&lt;/color&gt;, lalu perbarui game.
 [-1#Ketuk untuk memperbarui Android](herf=https://play.google.com/store/apps/details?id=com.tap4fun.ape.gplay&amp;fbclid=IwAR116CrjtfV5PPtCr0IoJq0oKeS1ChLBo8DITNbG7nkH-cFXXDcIGL1iNN4)
 [-1#Ketuk untuk memperbarui iOS](herf=https://apps.apple.com/us/app/age-of-apes/id1475453887)
 </t>
    </r>
    <r>
      <rPr>
        <rFont val="Arial"/>
        <color rgb="FFFF0000"/>
      </rPr>
      <t>[0.29.0</t>
    </r>
    <r>
      <rPr>
        <rFont val="Arial"/>
        <color rgb="FF000000"/>
      </rPr>
      <t xml:space="preserve"> Rincian Pembaruan]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t>
    </r>
  </si>
  <si>
    <r>
      <rPr>
        <rFont val="Arial"/>
        <color rgb="FF000000"/>
      </rPr>
      <t xml:space="preserve">ถึงท่านผู้บัญชาการ
 เพื่อให้นายได้รับประสบการณ์การเล่นเกมที่ดีขึ้น เราวางแผนที่จะปล่อยอัปเดตเวอร์ชัน </t>
    </r>
    <r>
      <rPr>
        <rFont val="Arial"/>
        <color rgb="FFFF0000"/>
      </rPr>
      <t xml:space="preserve">0.29.0 </t>
    </r>
    <r>
      <rPr>
        <rFont val="Arial"/>
        <color rgb="FF000000"/>
      </rPr>
      <t>ในวันที่ &lt;color=#ffa200&gt;</t>
    </r>
    <r>
      <rPr>
        <rFont val="Arial"/>
        <color rgb="FFFF0000"/>
      </rPr>
      <t>2021-04-01 ในเวลา 06:00 ตามเวลา UT</t>
    </r>
    <r>
      <rPr>
        <rFont val="Arial"/>
        <color rgb="FF000000"/>
      </rPr>
      <t>C&lt;/color&gt; ซึ่งในเวลาดังกล่าว เราจะทำการบำรุงรักษาเซิร์ฟเวอร์เป็นเวลาประมาณ &lt;color=#ffa200&gt;</t>
    </r>
    <r>
      <rPr>
        <rFont val="Arial"/>
        <color rgb="FFFF0000"/>
      </rPr>
      <t xml:space="preserve">60 </t>
    </r>
    <r>
      <rPr>
        <rFont val="Arial"/>
        <color rgb="FF000000"/>
      </rPr>
      <t xml:space="preserve">นาที&lt;/color&gt; นายจะสามารถอัปเดตเกมได้เมื่อเราทำการบำรุงรักษาเซิร์ฟเวอร์เสร็จสิ้นแล้ว โดยเราจะออกแพ็กอัปเดตภายใน 8 ชั่วโมงหลังการอัปเดต โปรดดาวน์โหลดเกมเวอร์ชันใหม่แล้วล็อกอินเข้าสู่เกมเพื่อรับรางวัลในเมลของนาย
 [เวลาอัปเดต]
</t>
    </r>
    <r>
      <rPr>
        <rFont val="Arial"/>
        <color rgb="FFFF0000"/>
      </rPr>
      <t xml:space="preserve"> 06:00 UTC 2021-04-01</t>
    </r>
    <r>
      <rPr>
        <rFont val="Arial"/>
        <color rgb="FF000000"/>
      </rPr>
      <t>; นายจะไม่สามารถเข้าเล่นเกมได้ในช่วงเวลานี้ โดยเมื่อเริ่มทำการบำรุงรักษาเซิร์ฟเวอร์ ผู้เล่นทุกคนจะได้รับโล่สันติภาพเป็นเวลา 8 ชั่วโมง ซึ่งจะปิดใช้งานใน 10 นาทีหลังจากที่ผู้เล่นกลับเข้าสู่เกม ดังนั้น เพื่อหลีกเลี่ยงการสูญเสียที่ไม่จำเป็น อย่าส่งกองทหารออกไปนอกเมืองของนายในช่วงเวลาที่บอกล่ะ
 [ระยะเวลาการบำรุงรักษาโดยประมาณ]
 &lt;color=#ffa200&gt;</t>
    </r>
    <r>
      <rPr>
        <rFont val="Arial"/>
        <color rgb="FFFF0000"/>
      </rPr>
      <t>60 นา</t>
    </r>
    <r>
      <rPr>
        <rFont val="Arial"/>
        <color rgb="FF000000"/>
      </rPr>
      <t xml:space="preserve">ที&lt;/color&gt;
 [ลิงก์สำหรับดาวน์โหลด]
 ไปที่ &lt;color=#ffa200&gt;Google Play หรือ App Store&lt;/color&gt; แล้วอัปเดตเกมของนายได้เลย
 [-1#แตะเพื่ออัปเดตสำหรับ Android](herf=https://play.google.com/store/apps/details?id=com.tap4fun.ape.gplay&amp;fbclid=IwAR116CrjtfV5PPtCr0IoJq0oKeS1ChLBo8DITNbG7nkH-cFXXDcIGL1iNN4)
 [-1#แตะเพื่ออัปเดตสำหรับ iOS](herf=https://apps.apple.com/us/app/age-of-apes/id1475453887)
</t>
    </r>
    <r>
      <rPr>
        <rFont val="Arial"/>
        <color rgb="FFFF0000"/>
      </rPr>
      <t xml:space="preserve"> [0.29.0 </t>
    </r>
    <r>
      <rPr>
        <rFont val="Arial"/>
        <color rgb="FF000000"/>
      </rPr>
      <t>รายละเอียดการอัปเดต]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t>
    </r>
  </si>
  <si>
    <r>
      <rPr>
        <rFont val="Arial"/>
        <color rgb="FF000000"/>
      </rPr>
      <t xml:space="preserve">Querido Capitán,
 Para poder brindarte una mejor experiencia de juego, planeamos liberar una actualización a la versión </t>
    </r>
    <r>
      <rPr>
        <rFont val="Arial"/>
        <color rgb="FFFF0000"/>
      </rPr>
      <t>0.29.0 e</t>
    </r>
    <r>
      <rPr>
        <rFont val="Arial"/>
        <color rgb="FF000000"/>
      </rPr>
      <t>l &lt;color=#ffa200&gt;</t>
    </r>
    <r>
      <rPr>
        <rFont val="Arial"/>
        <color rgb="FFFF0000"/>
      </rPr>
      <t>01-04-2021 a las 06:00 UTC</t>
    </r>
    <r>
      <rPr>
        <rFont val="Arial"/>
        <color rgb="FF000000"/>
      </rPr>
      <t>&lt;/color&gt;. En ese momento, realizaremos un mantenimiento de servidor que tendrá una duración aproximada de &lt;color=#ffa200&gt;</t>
    </r>
    <r>
      <rPr>
        <rFont val="Arial"/>
        <color rgb="FFFF0000"/>
      </rPr>
      <t>60 minut</t>
    </r>
    <r>
      <rPr>
        <rFont val="Arial"/>
        <color rgb="FF000000"/>
      </rPr>
      <t xml:space="preserve">os&lt;/color&gt;. Podrás actualizar el juego una vez que el mantenimiento del servidor esté completo. Liberaremos un paquete de actualización dentro de las siguientes 8 horas después de la actualización. Por favor, descarga la nueva versión del juego y conéctate al juego para reclamar la recompensa en tu Correo. 
 [Hora de la Actualización]
</t>
    </r>
    <r>
      <rPr>
        <rFont val="Arial"/>
        <color rgb="FFFF0000"/>
      </rPr>
      <t xml:space="preserve"> 06:00 UTC, 01-04-2021; </t>
    </r>
    <r>
      <rPr>
        <rFont val="Arial"/>
        <color rgb="FF000000"/>
      </rPr>
      <t>no podrás acceder al juego durante esta hora. Una vez que el mantenimiento de servidor comience, todos los jugadores recibirán un Escudo de Ciudad de 8 horas que será deshabilitado 10 minutos después de que los jugadores se reconecten al juego. Para evitar cualquier perdida innecesaria, por favor, no envíes tropas fuera de la Ciudad durante este periodo. 
 [Duración Estimada del Mantenimiento]
 &lt;color=#ffa200&gt;</t>
    </r>
    <r>
      <rPr>
        <rFont val="Arial"/>
        <color rgb="FFFF0000"/>
      </rPr>
      <t>60 m</t>
    </r>
    <r>
      <rPr>
        <rFont val="Arial"/>
        <color rgb="FF000000"/>
      </rPr>
      <t>inutos&lt;/color&gt;
 [Ligas de Descarga]
 Por favor ve a &lt;color=#ffa200&gt;Google Play o a la Tienda de Aplicaciones&lt;/color&gt; y actualiza tu juego.
 [-1#Toca para actualizar para Android](herf=https://play.google.com/store/apps/details?id=com.tap4fun.ape.gplay&amp;fbclid=IwAR116CrjtfV5PPtCr0IoJq0oKeS1ChLBo8DITNbG7nkH-cFXXDcIGL1iNN4)
 [-1#Toca para actualizar para iOS](herf=https://apps.apple.com/us/app/age-of-apes/id1475453887)
 [Detalles de la actualización</t>
    </r>
    <r>
      <rPr>
        <rFont val="Arial"/>
        <color rgb="FFFF0000"/>
      </rPr>
      <t xml:space="preserve"> 0.29.0]</t>
    </r>
    <r>
      <rPr>
        <rFont val="Arial"/>
        <color rgb="FF000000"/>
      </rPr>
      <t xml:space="preserve">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t>
    </r>
  </si>
  <si>
    <r>
      <rPr>
        <rFont val="Arial"/>
        <color rgb="FF000000"/>
      </rPr>
      <t xml:space="preserve">Уважаемый капитан!
Для того чтобы подарить вам наилучшие впечатления от игры, мы планируем выпустить обновление версии </t>
    </r>
    <r>
      <rPr>
        <rFont val="Arial"/>
        <color rgb="FFFF0000"/>
      </rPr>
      <t xml:space="preserve">0.29.0 </t>
    </r>
    <r>
      <rPr>
        <rFont val="Arial"/>
        <color rgb="FF000000"/>
      </rPr>
      <t>&lt;color=#ffa200&gt;0</t>
    </r>
    <r>
      <rPr>
        <rFont val="Arial"/>
        <color rgb="FFFF0000"/>
      </rPr>
      <t>1.04.2021 в 06:00 UTC</t>
    </r>
    <r>
      <rPr>
        <rFont val="Arial"/>
        <color rgb="FF000000"/>
      </rPr>
      <t>&lt;/color&gt;. Мы проведем техническое обслуживание сервера, которое продлится примерно &lt;color=#ffa200&gt;</t>
    </r>
    <r>
      <rPr>
        <rFont val="Arial"/>
        <color rgb="FFFF0000"/>
      </rPr>
      <t>60 минут&lt;</t>
    </r>
    <r>
      <rPr>
        <rFont val="Arial"/>
        <color rgb="FF000000"/>
      </rPr>
      <t xml:space="preserve">/color&gt;. Вы сможете обновить игру, когда обслуживание закончится. 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t>
    </r>
    <r>
      <rPr>
        <rFont val="Arial"/>
        <color rgb="FFFF0000"/>
      </rPr>
      <t>01.04.2021, 06:00 UTC</t>
    </r>
    <r>
      <rPr>
        <rFont val="Arial"/>
        <color rgb="FF000000"/>
      </rPr>
      <t>. Во время обновления вы не сможете получить доступ к игре. Как только начнется обслуживание сервера, все игроки получат городской щит на 8 часов, который будет отключен через 10 минут после того, как игроки снова войдут в игру. Чтобы избежать ненужных потерь, пожалуйста, не отправляйте войска за пределы города в течение этого времени. 
[Ожидаемая длительность обслуживания]
&lt;color=#ffa200&gt;</t>
    </r>
    <r>
      <rPr>
        <rFont val="Arial"/>
        <color rgb="FFFF0000"/>
      </rPr>
      <t>60 минут</t>
    </r>
    <r>
      <rPr>
        <rFont val="Arial"/>
        <color rgb="FF000000"/>
      </rPr>
      <t>&lt;/color&gt;
[Ссылки для загрузки]
Пожалуйста, перейдите в &lt;color=#ffa200&gt;Google Play или App Store&lt;/color&gt; и обновите игру.
[-1#Нажмите для обновления на Android](herf=https://play.google.com/store/apps/details?id=com.tap4fun.ape.gplay&amp;fbclid=IwAR116CrjtfV5PPtCr0IoJq0oKeS1ChLBo8DITNbG7nkH-cFXXDcIGL1iNN4)
[-1#Нажмите для обновления на iOS](herf=https://apps.apple.com/us/app/age-of-apes/id1475453887)
[Детали обновления</t>
    </r>
    <r>
      <rPr>
        <rFont val="Arial"/>
        <color rgb="FFFF0000"/>
      </rPr>
      <t xml:space="preserve"> 0.29.0</t>
    </r>
    <r>
      <rPr>
        <rFont val="Arial"/>
        <color rgb="FF000000"/>
      </rPr>
      <t>]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t>
    </r>
  </si>
  <si>
    <r>
      <rPr>
        <rFont val="Arial"/>
        <color rgb="FF000000"/>
      </rPr>
      <t xml:space="preserve">Sevgili Kaptan,
 Sana daha iyi bir oyun deneyimi sunmak adına sürüm </t>
    </r>
    <r>
      <rPr>
        <rFont val="Arial"/>
        <color rgb="FFFF0000"/>
      </rPr>
      <t xml:space="preserve">0.21.0 </t>
    </r>
    <r>
      <rPr>
        <rFont val="Arial"/>
        <color rgb="FF000000"/>
      </rPr>
      <t>güncellemesini &lt;color=#ffa200&gt;</t>
    </r>
    <r>
      <rPr>
        <rFont val="Arial"/>
        <color rgb="FFFF0000"/>
      </rPr>
      <t>01.04.2021 saat 06.00’da (</t>
    </r>
    <r>
      <rPr>
        <rFont val="Arial"/>
        <color rgb="FF000000"/>
      </rPr>
      <t>UTC)&lt;/color&gt; yayımlamayı planlıyoruz. O esnada yaklaşık &lt;color=#ffa200&gt;</t>
    </r>
    <r>
      <rPr>
        <rFont val="Arial"/>
        <color rgb="FFFF0000"/>
      </rPr>
      <t>60 dakika</t>
    </r>
    <r>
      <rPr>
        <rFont val="Arial"/>
        <color rgb="FF000000"/>
      </rPr>
      <t xml:space="preserve">&lt;/color&gt; sürecek bir sunucu bakımı gerçekleştireceğiz. Sunucu bakımı tamamlanınca oyunu güncelleyebilirsin. Güncellemenin ardından 8 saat içinde bir güncelleme paketi yayımlayacağız. Lütfen oyunun yeni sürümünü indir ve oyuna giriş yaparak Postandan ödülünü al.
 [Güncelleme Zamanı]
 </t>
    </r>
    <r>
      <rPr>
        <rFont val="Arial"/>
        <color rgb="FFFF0000"/>
      </rPr>
      <t>06.00 (UTC), 01.04.2021;</t>
    </r>
    <r>
      <rPr>
        <rFont val="Arial"/>
        <color rgb="FF000000"/>
      </rPr>
      <t xml:space="preserve"> bu sırada oyuna erişim sağlayamayacaksın. Sunucu bakımı başladıktan sonra tüm oyuncular 8 saatlik bir Şehir Kalkanı alacak ve oyuncular oyuna tekrar giriş yaptıktan 10 dakika sonra bu devre dışı kalacak. Gereksiz kayıplar yaşamamak adına, lütfen bu süre zarfında birliklerinizi Şehrinin dışına çıkarma. 
 [Tahmini Bakım Süresi]
 &lt;color=#ffa200&gt;</t>
    </r>
    <r>
      <rPr>
        <rFont val="Arial"/>
        <color rgb="FFFF0000"/>
      </rPr>
      <t>60 dakika</t>
    </r>
    <r>
      <rPr>
        <rFont val="Arial"/>
        <color rgb="FF000000"/>
      </rPr>
      <t xml:space="preserve">&lt;/color&gt;
 [İndirme Bağlantıları]
 Lütfen &lt;color=#ffa200&gt;Google Play veya App Store&lt;/color&gt;’a git ve oyununu güncelle.
 [-1#Android’de güncellemek için dokun](herf=https://play.google.com/store/apps/details?id=com.tap4fun.ape.gplay&amp;fbclid=IwAR116CrjtfV5PPtCr0IoJq0oKeS1ChLBo8DITNbG7nkH-cFXXDcIGL1iNN4)
 [-1#iOS’ta güncellemek için dokun](herf=https://apps.apple.com/us/app/age-of-apes/id1475453887)
</t>
    </r>
    <r>
      <rPr>
        <rFont val="Arial"/>
        <color rgb="FFFF0000"/>
      </rPr>
      <t xml:space="preserve"> [0.29.0</t>
    </r>
    <r>
      <rPr>
        <rFont val="Arial"/>
        <color rgb="FF000000"/>
      </rPr>
      <t xml:space="preserve"> Güncelleme Bilgileri]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t>
    </r>
  </si>
  <si>
    <r>
      <rPr>
        <rFont val="Arial"/>
        <color rgb="FF000000"/>
      </rPr>
      <t xml:space="preserve">Thưa Thủ Lĩnh,
 Để đem lại cho bạn trải nghiệm chơi game tốt hơn, chúng tôi dự định sẽ phát hành bản cập nhật </t>
    </r>
    <r>
      <rPr>
        <rFont val="Arial"/>
        <color rgb="FFFF0000"/>
      </rPr>
      <t>0.29.0</t>
    </r>
    <r>
      <rPr>
        <rFont val="Arial"/>
        <color rgb="FF000000"/>
      </rPr>
      <t xml:space="preserve"> vào lúc &lt;color=#ffa200&gt;</t>
    </r>
    <r>
      <rPr>
        <rFont val="Arial"/>
        <color rgb="FFFF0000"/>
      </rPr>
      <t xml:space="preserve">06:00 </t>
    </r>
    <r>
      <rPr>
        <rFont val="Arial"/>
        <color rgb="FF000000"/>
      </rPr>
      <t xml:space="preserve">UTC ngày </t>
    </r>
    <r>
      <rPr>
        <rFont val="Arial"/>
        <color rgb="FFFF0000"/>
      </rPr>
      <t>01/04/2021</t>
    </r>
    <r>
      <rPr>
        <rFont val="Arial"/>
        <color rgb="FF000000"/>
      </rPr>
      <t>&lt;/color&gt;. Cùng lúc đó, chúng tôi cũng sẽ thực hiện bảo trì máy chủ kéo dài khoảng &lt;color=#ffa200&gt;</t>
    </r>
    <r>
      <rPr>
        <rFont val="Arial"/>
        <color rgb="FFFF0000"/>
      </rPr>
      <t>60 ph</t>
    </r>
    <r>
      <rPr>
        <rFont val="Arial"/>
        <color rgb="FF000000"/>
      </rPr>
      <t xml:space="preserve">út&lt;/color&gt;. Bạn có thể cập nhật lại game khi quá trình bảo trì máy chủ được hoàn tất. Chúng tôi sẽ phát hành gói cập nhật trong vòng 8 tiếng sau khi cập nhật. Hãy tải phiên bản game mới và đăng nhập lại vào game để nhận thưởng trong Mail nhé.
 [Thời gian cập nhật]
</t>
    </r>
    <r>
      <rPr>
        <rFont val="Arial"/>
        <color rgb="FFFF0000"/>
      </rPr>
      <t xml:space="preserve"> 06:00 UTC, ngày 01/04/2021; </t>
    </r>
    <r>
      <rPr>
        <rFont val="Arial"/>
        <color rgb="FF000000"/>
      </rPr>
      <t>bạn sẽ không thể truy cập vào game trong khoảng thời gian này. Một khi quá trình bảo trì máy chủ bắt đầu, tất cả người chơi sẽ nhận được một Khiên Chắn Thành Phố 8 tiếng, sẽ hết hiệu lực vào 10 phút sau khi người chơi đăng nhập trở lại game. Để tránh những sự thất thoát không cần thiết, đừng cử binh lính ra ngoài Thành Phố trong khoảng thời gian này. 
 [Thời lượng bảo trì ước tính]
 &lt;color=#ffa200&gt;</t>
    </r>
    <r>
      <rPr>
        <rFont val="Arial"/>
        <color rgb="FFFF0000"/>
      </rPr>
      <t>60 p</t>
    </r>
    <r>
      <rPr>
        <rFont val="Arial"/>
        <color rgb="FF000000"/>
      </rPr>
      <t>hút&lt;/color&gt;
 [Link tải về]
 Hãy vào &lt;color=#ffa200&gt;Google Play hoặc App Store&lt;/color&gt; để cập nhật game.
 [-1#Nhấp để tải cho Android](herf=https://play.google.com/store/apps/details?id=com.tap4fun.ape.gplay&amp;fbclid=IwAR116CrjtfV5PPtCr0IoJq0oKeS1ChLBo8DITNbG7nkH-cFXXDcIGL1iNN4)
 [-1#Nhấp để tải cho iOS](herf=https://apps.apple.com/us/app/age-of-apes/id1475453887)
 [Thông tin bản cập nhậ</t>
    </r>
    <r>
      <rPr>
        <rFont val="Arial"/>
        <color rgb="FFFF0000"/>
      </rPr>
      <t>t 0.29.0]</t>
    </r>
    <r>
      <rPr>
        <rFont val="Arial"/>
        <color rgb="FF000000"/>
      </rPr>
      <t xml:space="preserve">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t>
    </r>
  </si>
  <si>
    <t>非强更</t>
  </si>
  <si>
    <r>
      <rPr>
        <rFont val="Arial"/>
        <color rgb="FF000000"/>
        <sz val="10.0"/>
      </rPr>
      <t>亲爱的指挥官：
为了给大家带来更好的游戏体验，我们预计在</t>
    </r>
    <r>
      <rPr>
        <rFont val="Arial"/>
        <color rgb="FFFF9900"/>
        <sz val="10.0"/>
      </rPr>
      <t>&lt;color=#ffa200&gt;UTC时间</t>
    </r>
    <r>
      <rPr>
        <rFont val="Arial"/>
        <color rgb="FFFF0000"/>
        <sz val="10.0"/>
      </rPr>
      <t>2021年4月1日06:00</t>
    </r>
    <r>
      <rPr>
        <rFont val="Arial"/>
        <color rgb="FFFF9900"/>
        <sz val="10.0"/>
      </rPr>
      <t>&lt;/color&gt;</t>
    </r>
    <r>
      <rPr>
        <rFont val="Arial"/>
        <color rgb="FF000000"/>
        <sz val="10.0"/>
      </rPr>
      <t>进行</t>
    </r>
    <r>
      <rPr>
        <rFont val="Arial"/>
        <color rgb="FFFF0000"/>
        <sz val="10.0"/>
      </rPr>
      <t>0.29.0</t>
    </r>
    <r>
      <rPr>
        <rFont val="Arial"/>
        <color rgb="FF000000"/>
        <sz val="10.0"/>
      </rPr>
      <t>版本更新。届时服务器将进行</t>
    </r>
    <r>
      <rPr>
        <rFont val="Arial"/>
        <color rgb="FFFF9900"/>
        <sz val="10.0"/>
      </rPr>
      <t>&lt;color=#ffa200&gt;</t>
    </r>
    <r>
      <rPr>
        <rFont val="Arial"/>
        <color rgb="FFFF0000"/>
        <sz val="10.0"/>
      </rPr>
      <t>60</t>
    </r>
    <r>
      <rPr>
        <rFont val="Arial"/>
        <color rgb="FFFF9900"/>
        <sz val="10.0"/>
      </rPr>
      <t>分钟&lt;/color&gt;</t>
    </r>
    <r>
      <rPr>
        <rFont val="Arial"/>
        <color rgb="FF000000"/>
        <sz val="10.0"/>
      </rPr>
      <t>维护，维护结束后猴子们可以选择适当的网络环境更新版本。我们将在版本更新后8小时内为您送来更新礼包，届时请您下载新版本后登录游戏在邮件处领取。
【更新时间】</t>
    </r>
    <r>
      <rPr>
        <rFont val="Arial"/>
        <color rgb="FFFF9900"/>
        <sz val="10.0"/>
      </rPr>
      <t>&lt;color=#ffa200&gt;</t>
    </r>
    <r>
      <rPr>
        <rFont val="Arial"/>
        <color rgb="FFFF0000"/>
        <sz val="10.0"/>
      </rPr>
      <t>2021年4月1日UTC06:00</t>
    </r>
    <r>
      <rPr>
        <rFont val="Arial"/>
        <color rgb="FFFF9900"/>
        <sz val="10.0"/>
      </rPr>
      <t>&lt;/color&gt;</t>
    </r>
    <r>
      <rPr>
        <rFont val="Arial"/>
        <color rgb="FF000000"/>
        <sz val="10.0"/>
      </rPr>
      <t>，届时您将无法进入游戏。
【预计维护时长】</t>
    </r>
    <r>
      <rPr>
        <rFont val="Arial"/>
        <color rgb="FFFF9900"/>
        <sz val="10.0"/>
      </rPr>
      <t>&lt;color=#ffa200&gt;</t>
    </r>
    <r>
      <rPr>
        <rFont val="Arial"/>
        <color rgb="FFFF0000"/>
        <sz val="10.0"/>
      </rPr>
      <t>60</t>
    </r>
    <r>
      <rPr>
        <rFont val="Arial"/>
        <color rgb="FFFF9900"/>
        <sz val="10.0"/>
      </rPr>
      <t>分钟&lt;/color&gt;</t>
    </r>
    <r>
      <rPr>
        <rFont val="Arial"/>
        <color rgb="FF000000"/>
        <sz val="10.0"/>
      </rPr>
      <t xml:space="preserve">
【</t>
    </r>
    <r>
      <rPr>
        <rFont val="Arial"/>
        <color rgb="FFFF0000"/>
        <sz val="10.0"/>
      </rPr>
      <t>0.29.0</t>
    </r>
    <r>
      <rPr>
        <rFont val="Arial"/>
        <color rgb="FF000000"/>
        <sz val="10.0"/>
      </rPr>
      <t>更新内容】
xxxxxx
本次维护不排除延迟开启的可能，如若延迟，请关注社区发布的具体开服时间。</t>
    </r>
    <r>
      <rPr>
        <rFont val="Arial"/>
        <color rgb="FF00FF00"/>
        <sz val="10.0"/>
      </rPr>
      <t>[-1#点击加入Discord社区](herf=https://discord.gg/fK3gtph)</t>
    </r>
    <r>
      <rPr>
        <rFont val="Arial"/>
        <color rgb="FF000000"/>
        <sz val="10.0"/>
      </rPr>
      <t xml:space="preserve">
我们将继续修复游戏中的一些问题，同时给大家带来更多的新内容。敬请期待，享受你的香蕉盛宴吧！
罗杰副官</t>
    </r>
  </si>
  <si>
    <r>
      <rPr>
        <rFont val="Arial"/>
        <color rgb="FF000000"/>
      </rPr>
      <t>Dear Captain,
In order to bring you a better gaming experience, we plan to release the version</t>
    </r>
    <r>
      <rPr>
        <rFont val="Arial"/>
        <color rgb="FFFF0000"/>
      </rPr>
      <t xml:space="preserve"> 0.29.0</t>
    </r>
    <r>
      <rPr>
        <rFont val="Arial"/>
        <color rgb="FF000000"/>
      </rPr>
      <t xml:space="preserve"> update on &lt;color=#ffa200&gt;</t>
    </r>
    <r>
      <rPr>
        <rFont val="Arial"/>
        <color rgb="FFFF0000"/>
      </rPr>
      <t>2021-04-01 at 06:00 UTC</t>
    </r>
    <r>
      <rPr>
        <rFont val="Arial"/>
        <color rgb="FF000000"/>
      </rPr>
      <t>&lt;/color&gt;. At that time, we will conduct server maintenance lasting approximately &lt;color=#ffa200&gt;</t>
    </r>
    <r>
      <rPr>
        <rFont val="Arial"/>
        <color rgb="FFFF0000"/>
      </rPr>
      <t>60 m</t>
    </r>
    <r>
      <rPr>
        <rFont val="Arial"/>
        <color rgb="FF000000"/>
      </rPr>
      <t xml:space="preserve">inutes&lt;/color&gt;. You may update the game once server maintenance is complete. We will issue an update pack within 8 hours after the update. Please download the new game version and log into the game to claim the reward in your Mail.
[Update Time]
</t>
    </r>
    <r>
      <rPr>
        <rFont val="Arial"/>
        <color rgb="FFFF0000"/>
      </rPr>
      <t>06:00 UTC, 2021-04-01</t>
    </r>
    <r>
      <rPr>
        <rFont val="Arial"/>
        <color rgb="FF000000"/>
      </rPr>
      <t>; you will not be able to access the game during this time. 
[Estimated Maintenance Duration]
&lt;color=#ffa200&gt;</t>
    </r>
    <r>
      <rPr>
        <rFont val="Arial"/>
        <color rgb="FFFF0000"/>
      </rPr>
      <t xml:space="preserve">60 </t>
    </r>
    <r>
      <rPr>
        <rFont val="Arial"/>
        <color rgb="FF000000"/>
      </rPr>
      <t xml:space="preserve">minutes&lt;/color&gt;
</t>
    </r>
    <r>
      <rPr>
        <rFont val="Arial"/>
        <color rgb="FFFF0000"/>
      </rPr>
      <t xml:space="preserve">[0.29.0 </t>
    </r>
    <r>
      <rPr>
        <rFont val="Arial"/>
        <color rgb="FF000000"/>
      </rPr>
      <t>Update Details]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t>
    </r>
  </si>
  <si>
    <r>
      <rPr>
        <rFont val="Arial"/>
        <color rgb="FF000000"/>
      </rPr>
      <t xml:space="preserve">Cher capitaine,
Afin d’améliorer votre expérience de jeu, nous prévoyons le lancement de la mise à jour </t>
    </r>
    <r>
      <rPr>
        <rFont val="Arial"/>
        <color rgb="FFFF0000"/>
      </rPr>
      <t xml:space="preserve">0.29.0 </t>
    </r>
    <r>
      <rPr>
        <rFont val="Arial"/>
        <color rgb="FF000000"/>
      </rPr>
      <t>le &lt;color=#ffa200&gt;</t>
    </r>
    <r>
      <rPr>
        <rFont val="Arial"/>
        <color rgb="FFFF0000"/>
      </rPr>
      <t xml:space="preserve"> 06:00 UTC, 01-04-2021 </t>
    </r>
    <r>
      <rPr>
        <rFont val="Arial"/>
        <color rgb="FF000000"/>
      </rPr>
      <t>&lt;/color&gt;. Nous procéderons alors à une maintenance des serveurs qui durera environ &lt;color=#ffa200&gt;</t>
    </r>
    <r>
      <rPr>
        <rFont val="Arial"/>
        <color rgb="FFFF0000"/>
      </rPr>
      <t xml:space="preserve">60 </t>
    </r>
    <r>
      <rPr>
        <rFont val="Arial"/>
        <color rgb="FF000000"/>
      </rPr>
      <t xml:space="preserve">minutes&lt;/color&gt;. Une fois les opérations terminées, vous pourrez mettre votre jeu à jour. Nous lancerons un pack de mise à jour dans les 8 heures suivant la maintenance. Merci de télécharger la nouvelle version et de vous connecter pour récupérer la récompense dans votre messagerie. 
[Horaire de mise à jour]
</t>
    </r>
    <r>
      <rPr>
        <rFont val="Arial"/>
        <color rgb="FFFF0000"/>
      </rPr>
      <t xml:space="preserve"> 06:00 UTC, 01-04-2021</t>
    </r>
    <r>
      <rPr>
        <rFont val="Arial"/>
        <color rgb="FF000000"/>
      </rPr>
      <t>(TU). Pendant le déploiement, vous ne pourrez plus accéder au jeu. 
[Durée estimée de la maintenance]
&lt;color=#ffa200&gt;</t>
    </r>
    <r>
      <rPr>
        <rFont val="Arial"/>
        <color rgb="FFFF0000"/>
      </rPr>
      <t xml:space="preserve">60 </t>
    </r>
    <r>
      <rPr>
        <rFont val="Arial"/>
        <color rgb="FF000000"/>
      </rPr>
      <t xml:space="preserve">minutes&lt;/color&gt;
[Détails de la mise à jour </t>
    </r>
    <r>
      <rPr>
        <rFont val="Arial"/>
        <color rgb="FFFF0000"/>
      </rPr>
      <t>0.29.0</t>
    </r>
    <r>
      <rPr>
        <rFont val="Arial"/>
        <color rgb="FF000000"/>
      </rPr>
      <t>]
Suivez notre communauté officielle sur Discord pour connaître les éventuels retards dans la maintenance des serveurs et, le cas échéant, l’horaire corrigé du redémarrage des serveurs. [-1# Appuyez pour accéder à la communauté Discord officielle](herf=https://discord.gg/RncnPNw)
Nous poursuivons le travail pour résoudre les dysfonctionnements et vous proposer du nouveau contenu génial. Restez à l’écoute et à bientôt à la taverne!
Roger l'assistant</t>
    </r>
  </si>
  <si>
    <r>
      <rPr>
        <rFont val="Arial"/>
        <color rgb="FF000000"/>
      </rPr>
      <t>Lieber Captain,
 Um dir ein besseres Spielerlebnis zu bieten, werden wir am &lt;color=#ffa200&gt;</t>
    </r>
    <r>
      <rPr>
        <rFont val="Arial"/>
        <color rgb="FFFF0000"/>
      </rPr>
      <t>01.04.2021 um 06:00 UTC</t>
    </r>
    <r>
      <rPr>
        <rFont val="Arial"/>
        <color rgb="FF000000"/>
      </rPr>
      <t xml:space="preserve">&lt;/color&gt; das Update auf Version </t>
    </r>
    <r>
      <rPr>
        <rFont val="Arial"/>
        <color rgb="FFFF0000"/>
      </rPr>
      <t>0.29.0</t>
    </r>
    <r>
      <rPr>
        <rFont val="Arial"/>
        <color rgb="FF000000"/>
      </rPr>
      <t xml:space="preserve"> durchzuführen. Wir werden zu diesem Zeitpunkt eine Serverwartung durchführen, die etwa &lt;color=#ffa200&gt;</t>
    </r>
    <r>
      <rPr>
        <rFont val="Arial"/>
        <color rgb="FFFF0000"/>
      </rPr>
      <t xml:space="preserve">60 </t>
    </r>
    <r>
      <rPr>
        <rFont val="Arial"/>
        <color rgb="FF000000"/>
      </rPr>
      <t xml:space="preserve">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t>
    </r>
    <r>
      <rPr>
        <rFont val="Arial"/>
        <color rgb="FFFF0000"/>
      </rPr>
      <t xml:space="preserve"> 01.04.2021, 06:00 UTC</t>
    </r>
    <r>
      <rPr>
        <rFont val="Arial"/>
        <color rgb="FF000000"/>
      </rPr>
      <t>; du wirst während dieser Zeit nicht auf das Spiel zugreifen können. 
 [Geschätzte Wartungsdauer]
 &lt;color=#ffa200&gt;</t>
    </r>
    <r>
      <rPr>
        <rFont val="Arial"/>
        <color rgb="FFFF0000"/>
      </rPr>
      <t xml:space="preserve">60 </t>
    </r>
    <r>
      <rPr>
        <rFont val="Arial"/>
        <color rgb="FF000000"/>
      </rPr>
      <t>Minuten&lt;/color&gt;
 [</t>
    </r>
    <r>
      <rPr>
        <rFont val="Arial"/>
        <color rgb="FFFF0000"/>
      </rPr>
      <t>0.29.0</t>
    </r>
    <r>
      <rPr>
        <rFont val="Arial"/>
        <color rgb="FF000000"/>
      </rPr>
      <t xml:space="preserve"> Update-Details]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t>
    </r>
  </si>
  <si>
    <r>
      <rPr>
        <rFont val="Arial"/>
        <color rgb="FF000000"/>
      </rPr>
      <t xml:space="preserve">Caro Capitão,
 Para melhorar a experiência de jogo, planejamos lançar a atualização </t>
    </r>
    <r>
      <rPr>
        <rFont val="Arial"/>
        <color rgb="FFFF0000"/>
      </rPr>
      <t>0.29.0</t>
    </r>
    <r>
      <rPr>
        <rFont val="Arial"/>
        <color rgb="FF000000"/>
      </rPr>
      <t xml:space="preserve"> em &lt;color=#ffa200&gt;</t>
    </r>
    <r>
      <rPr>
        <rFont val="Arial"/>
        <color rgb="FFFF0000"/>
      </rPr>
      <t>01/04/2021 às 06:00</t>
    </r>
    <r>
      <rPr>
        <rFont val="Arial"/>
        <color rgb="FF000000"/>
      </rPr>
      <t xml:space="preserve"> (fuso UTC)&lt;/color&gt;. No momento, estamos fazendo a manutenção do jogo, que durará cerca de &lt;color=#ffa200&gt;</t>
    </r>
    <r>
      <rPr>
        <rFont val="Arial"/>
        <color rgb="FFFF0000"/>
      </rPr>
      <t>60 minuto</t>
    </r>
    <r>
      <rPr>
        <rFont val="Arial"/>
        <color rgb="FF000000"/>
      </rPr>
      <t xml:space="preserve">s&lt;/color&gt;. Você poderá atualizar o jogo assim que a manutenção do servidor for concluída. Lançaremos um pacote de atualização dentro de 8 horas após a atualização. Faça o download da nova versão e entre no jogo para resgatar as recompensas enviadas.
 [Horário da atualização]
</t>
    </r>
    <r>
      <rPr>
        <rFont val="Arial"/>
        <color rgb="FFFF0000"/>
      </rPr>
      <t xml:space="preserve"> 01/04/2021, às 06:00</t>
    </r>
    <r>
      <rPr>
        <rFont val="Arial"/>
        <color rgb="FF000000"/>
      </rPr>
      <t xml:space="preserve"> (fuso UTC). Não será possível acessar o jogo durante este período. 
 [Tempo de manutenção estimado]
 &lt;color=#ffa200&gt;</t>
    </r>
    <r>
      <rPr>
        <rFont val="Arial"/>
        <color rgb="FFFF0000"/>
      </rPr>
      <t>60</t>
    </r>
    <r>
      <rPr>
        <rFont val="Arial"/>
        <color rgb="FF000000"/>
      </rPr>
      <t xml:space="preserve"> minutos&lt;/color&gt;
 [Detalhes da atualização </t>
    </r>
    <r>
      <rPr>
        <rFont val="Arial"/>
        <color rgb="FFFF0000"/>
      </rPr>
      <t>0.29.0</t>
    </r>
    <r>
      <rPr>
        <rFont val="Arial"/>
        <color rgb="FF000000"/>
      </rPr>
      <t>]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t>
    </r>
  </si>
  <si>
    <r>
      <rPr>
        <rFont val="Arial"/>
        <color rgb="FF000000"/>
      </rPr>
      <t>親愛的指揮官：
為了給大家帶來更好的遊戲體驗，我們預計在&lt;color=#ffa200&gt;UTC時間</t>
    </r>
    <r>
      <rPr>
        <rFont val="Arial"/>
        <color rgb="FFFF0000"/>
      </rPr>
      <t>2021年4月1日06:00</t>
    </r>
    <r>
      <rPr>
        <rFont val="Arial"/>
        <color rgb="FF000000"/>
      </rPr>
      <t>&lt;/color&gt;進行</t>
    </r>
    <r>
      <rPr>
        <rFont val="Arial"/>
        <color rgb="FFFF0000"/>
      </rPr>
      <t>0.29.0</t>
    </r>
    <r>
      <rPr>
        <rFont val="Arial"/>
        <color rgb="FF000000"/>
      </rPr>
      <t>版本更新。屆時服務器將進行&lt;color=#ffa200&gt;</t>
    </r>
    <r>
      <rPr>
        <rFont val="Arial"/>
        <color rgb="FFFF0000"/>
      </rPr>
      <t>60</t>
    </r>
    <r>
      <rPr>
        <rFont val="Arial"/>
        <color rgb="FF000000"/>
      </rPr>
      <t>分鐘&lt;/color&gt;維護，維護結束後猴子們可以選擇適當的網絡環境更新版本。我們將在版本更新後8小時內為您送來更新禮包，屆時請您下載新版本後登錄遊戲在郵件處領取。
【更新時間】&lt;color=#ffa200&gt;</t>
    </r>
    <r>
      <rPr>
        <rFont val="Arial"/>
        <color rgb="FFFF0000"/>
      </rPr>
      <t>2021年4月1日UTC06:00</t>
    </r>
    <r>
      <rPr>
        <rFont val="Arial"/>
        <color rgb="FF000000"/>
      </rPr>
      <t>&lt;/color&gt;，屆時您將無法進入遊戲。
【預計維護時長】&lt;color=#ffa200&gt;</t>
    </r>
    <r>
      <rPr>
        <rFont val="Arial"/>
        <color rgb="FFFF0000"/>
      </rPr>
      <t>60分鐘</t>
    </r>
    <r>
      <rPr>
        <rFont val="Arial"/>
        <color rgb="FF000000"/>
      </rPr>
      <t>&lt;/color&gt;
【</t>
    </r>
    <r>
      <rPr>
        <rFont val="Arial"/>
        <color rgb="FFFF0000"/>
      </rPr>
      <t>0.29.0</t>
    </r>
    <r>
      <rPr>
        <rFont val="Arial"/>
        <color rgb="FF000000"/>
      </rPr>
      <t>更新內容】
本次維護不排除延遲開啟的可能，如若延遲，請關注社區發布的具體開服時間。 [-1#點擊加入Discord社區](herf=https://discord.gg/fK3gtph)
我們將繼續修復遊戲中的一些問題，同時給大家帶來更多的新內容。敬請期待，享受你的香蕉盛宴吧！
羅傑副官</t>
    </r>
  </si>
  <si>
    <r>
      <rPr>
        <rFont val="Arial"/>
        <color rgb="FF000000"/>
      </rPr>
      <t xml:space="preserve">Kapten yang terhormat,
 Untuk memberikanmu pengalaman bermain yang lebih baik, kami berencana untuk merilis pembaruan versi </t>
    </r>
    <r>
      <rPr>
        <rFont val="Arial"/>
        <color rgb="FFFF0000"/>
      </rPr>
      <t xml:space="preserve">0.29.0 </t>
    </r>
    <r>
      <rPr>
        <rFont val="Arial"/>
        <color rgb="FF000000"/>
      </rPr>
      <t>pada &lt;color=#ffa200&gt;</t>
    </r>
    <r>
      <rPr>
        <rFont val="Arial"/>
        <color rgb="FFFF0000"/>
      </rPr>
      <t>2021-04-01 pukul 06:00</t>
    </r>
    <r>
      <rPr>
        <rFont val="Arial"/>
        <color rgb="FF000000"/>
      </rPr>
      <t xml:space="preserve"> UTC&lt;/color&gt;. Pada saat itu, kami akan melakukan pemeliharaan server yang berlangsung kira-kira &lt;color=#ffa200&gt;</t>
    </r>
    <r>
      <rPr>
        <rFont val="Arial"/>
        <color rgb="FFFF0000"/>
      </rPr>
      <t>60 menit</t>
    </r>
    <r>
      <rPr>
        <rFont val="Arial"/>
        <color rgb="FF000000"/>
      </rPr>
      <t xml:space="preserve">&lt;/color&gt;. Kamu bisa memperbarui game setelah pemeliharaan server selesai. Kami akan mengeluarkan paket pembaruan dalam 8 jam setelah pembaruan. Unduh versi game baru dan masuk ke dalam game untuk mengklaim hadiah dalam Emailmu.
 [Waktu Pembaruan]
</t>
    </r>
    <r>
      <rPr>
        <rFont val="Arial"/>
        <color rgb="FFFF0000"/>
      </rPr>
      <t xml:space="preserve"> 06:00 UTC, 2021-04-01;</t>
    </r>
    <r>
      <rPr>
        <rFont val="Arial"/>
        <color rgb="FF000000"/>
      </rPr>
      <t xml:space="preserve"> kamu tidak akan bisa mengakses game selama waktu tersebut. 
 [Perkiraan Durasi Pemeliharaan]
 &lt;color=#ffa200&gt;</t>
    </r>
    <r>
      <rPr>
        <rFont val="Arial"/>
        <color rgb="FFFF0000"/>
      </rPr>
      <t>60 menit</t>
    </r>
    <r>
      <rPr>
        <rFont val="Arial"/>
        <color rgb="FF000000"/>
      </rPr>
      <t xml:space="preserve">&lt;/color&gt;
 </t>
    </r>
    <r>
      <rPr>
        <rFont val="Arial"/>
        <color rgb="FFFF0000"/>
      </rPr>
      <t>[0.29.0</t>
    </r>
    <r>
      <rPr>
        <rFont val="Arial"/>
        <color rgb="FF000000"/>
      </rPr>
      <t xml:space="preserve"> Rincian Pembaruan]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t>
    </r>
  </si>
  <si>
    <r>
      <rPr>
        <rFont val="Arial"/>
        <color rgb="FF000000"/>
      </rPr>
      <t xml:space="preserve">ถึงท่านผู้บัญชาการ
 เพื่อให้นายได้รับประสบการณ์การเล่นเกมที่ดีขึ้น เราวางแผนที่จะปล่อยอัปเดตเวอร์ชัน </t>
    </r>
    <r>
      <rPr>
        <rFont val="Arial"/>
        <color rgb="FFFF0000"/>
      </rPr>
      <t xml:space="preserve">0.29.0 </t>
    </r>
    <r>
      <rPr>
        <rFont val="Arial"/>
        <color rgb="FF000000"/>
      </rPr>
      <t>ในวันที่ &lt;color=#ffa200&gt;</t>
    </r>
    <r>
      <rPr>
        <rFont val="Arial"/>
        <color rgb="FFFF0000"/>
      </rPr>
      <t>2021-04-01 ในเวลา 06:00 ตามเวลา UT</t>
    </r>
    <r>
      <rPr>
        <rFont val="Arial"/>
        <color rgb="FF000000"/>
      </rPr>
      <t>C&lt;/color&gt; ซึ่งในเวลาดังกล่าว เราจะทำการบำรุงรักษาเซิร์ฟเวอร์เป็นเวลาประมาณ &lt;color=#ffa200&gt;</t>
    </r>
    <r>
      <rPr>
        <rFont val="Arial"/>
        <color rgb="FFFF0000"/>
      </rPr>
      <t xml:space="preserve">60 </t>
    </r>
    <r>
      <rPr>
        <rFont val="Arial"/>
        <color rgb="FF000000"/>
      </rPr>
      <t xml:space="preserve">นาที&lt;/color&gt; นายจะสามารถอัปเดตเกมได้เมื่อเราทำการบำรุงรักษาเซิร์ฟเวอร์เสร็จสิ้นแล้ว โดยเราจะออกแพ็กอัปเดตภายใน 8 ชั่วโมงหลังการอัปเดต โปรดดาวน์โหลดเกมเวอร์ชันใหม่แล้วล็อกอินเข้าสู่เกมเพื่อรับรางวัลในเมลของนาย
 [เวลาอัปเดต]
</t>
    </r>
    <r>
      <rPr>
        <rFont val="Arial"/>
        <color rgb="FFFF0000"/>
      </rPr>
      <t xml:space="preserve"> 06:00 UTC 2021-04-01</t>
    </r>
    <r>
      <rPr>
        <rFont val="Arial"/>
        <color rgb="FF000000"/>
      </rPr>
      <t>; นายจะไม่สามารถเข้าเล่นเกมได้ในช่วงเวลานี้ 
 [ระยะเวลาการบำรุงรักษาโดยประมาณ]
 &lt;color=#ffa200&gt;</t>
    </r>
    <r>
      <rPr>
        <rFont val="Arial"/>
        <color rgb="FFFF0000"/>
      </rPr>
      <t>60 นา</t>
    </r>
    <r>
      <rPr>
        <rFont val="Arial"/>
        <color rgb="FF000000"/>
      </rPr>
      <t xml:space="preserve">ที&lt;/color&gt;
</t>
    </r>
    <r>
      <rPr>
        <rFont val="Arial"/>
        <color rgb="FFFF0000"/>
      </rPr>
      <t xml:space="preserve"> [0.29.0 </t>
    </r>
    <r>
      <rPr>
        <rFont val="Arial"/>
        <color rgb="FF000000"/>
      </rPr>
      <t>รายละเอียดการอัปเดต]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t>
    </r>
  </si>
  <si>
    <r>
      <rPr>
        <rFont val="Arial"/>
        <color rgb="FF000000"/>
      </rPr>
      <t xml:space="preserve">Querido Capitán,
 Para poder brindarte una mejor experiencia de juego, planeamos liberar una actualización a la versión </t>
    </r>
    <r>
      <rPr>
        <rFont val="Arial"/>
        <color rgb="FFFF0000"/>
      </rPr>
      <t>0.29.0 e</t>
    </r>
    <r>
      <rPr>
        <rFont val="Arial"/>
        <color rgb="FF000000"/>
      </rPr>
      <t>l &lt;color=#ffa200&gt;</t>
    </r>
    <r>
      <rPr>
        <rFont val="Arial"/>
        <color rgb="FFFF0000"/>
      </rPr>
      <t>01-04-2021 a las 06:00 UTC</t>
    </r>
    <r>
      <rPr>
        <rFont val="Arial"/>
        <color rgb="FF000000"/>
      </rPr>
      <t>&lt;/color&gt;. En ese momento, realizaremos un mantenimiento de servidor que tendrá una duración aproximada de &lt;color=#ffa200&gt;</t>
    </r>
    <r>
      <rPr>
        <rFont val="Arial"/>
        <color rgb="FFFF0000"/>
      </rPr>
      <t>60 minut</t>
    </r>
    <r>
      <rPr>
        <rFont val="Arial"/>
        <color rgb="FF000000"/>
      </rPr>
      <t xml:space="preserve">os&lt;/color&gt;. Podrás actualizar el juego una vez que el mantenimiento del servidor esté completo. Liberaremos un paquete de actualización dentro de las siguientes 8 horas después de la actualización. Por favor, descarga la nueva versión del juego y conéctate al juego para reclamar la recompensa en tu Correo. 
 [Hora de la Actualización]
</t>
    </r>
    <r>
      <rPr>
        <rFont val="Arial"/>
        <color rgb="FFFF0000"/>
      </rPr>
      <t xml:space="preserve"> 06:00 UTC, 01-04-2021; </t>
    </r>
    <r>
      <rPr>
        <rFont val="Arial"/>
        <color rgb="FF000000"/>
      </rPr>
      <t>no podrás acceder al juego durante esta hora. 
 [Duración Estimada del Mantenimiento]
 &lt;color=#ffa200&gt;</t>
    </r>
    <r>
      <rPr>
        <rFont val="Arial"/>
        <color rgb="FFFF0000"/>
      </rPr>
      <t>60 m</t>
    </r>
    <r>
      <rPr>
        <rFont val="Arial"/>
        <color rgb="FF000000"/>
      </rPr>
      <t>inutos&lt;/color&gt;
 [Detalles de la actualización</t>
    </r>
    <r>
      <rPr>
        <rFont val="Arial"/>
        <color rgb="FFFF0000"/>
      </rPr>
      <t xml:space="preserve"> 0.29.0]</t>
    </r>
    <r>
      <rPr>
        <rFont val="Arial"/>
        <color rgb="FF000000"/>
      </rPr>
      <t xml:space="preserve">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t>
    </r>
  </si>
  <si>
    <r>
      <rPr>
        <rFont val="Arial"/>
        <color rgb="FF000000"/>
      </rPr>
      <t xml:space="preserve">Уважаемый капитан!
Для того чтобы подарить вам наилучшие впечатления от игры, мы планируем выпустить обновление версии </t>
    </r>
    <r>
      <rPr>
        <rFont val="Arial"/>
        <color rgb="FFFF0000"/>
      </rPr>
      <t xml:space="preserve">0.29.0 </t>
    </r>
    <r>
      <rPr>
        <rFont val="Arial"/>
        <color rgb="FF000000"/>
      </rPr>
      <t>&lt;color=#ffa200&gt;0</t>
    </r>
    <r>
      <rPr>
        <rFont val="Arial"/>
        <color rgb="FFFF0000"/>
      </rPr>
      <t>1.04.2021 в 06:00 UTC</t>
    </r>
    <r>
      <rPr>
        <rFont val="Arial"/>
        <color rgb="FF000000"/>
      </rPr>
      <t>&lt;/color&gt;. Мы проведем техническое обслуживание сервера, которое продлится примерно &lt;color=#ffa200&gt;</t>
    </r>
    <r>
      <rPr>
        <rFont val="Arial"/>
        <color rgb="FFFF0000"/>
      </rPr>
      <t>60 минут&lt;</t>
    </r>
    <r>
      <rPr>
        <rFont val="Arial"/>
        <color rgb="FF000000"/>
      </rPr>
      <t xml:space="preserve">/color&gt;. Вы сможете обновить игру, когда обслуживание закончится. 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t>
    </r>
    <r>
      <rPr>
        <rFont val="Arial"/>
        <color rgb="FFFF0000"/>
      </rPr>
      <t>01.04.2021, 06:00 UTC</t>
    </r>
    <r>
      <rPr>
        <rFont val="Arial"/>
        <color rgb="FF000000"/>
      </rPr>
      <t>. Во время обновления вы не сможете получить доступ к игре. 
[Ожидаемая длительность обслуживания]
&lt;color=#ffa200&gt;</t>
    </r>
    <r>
      <rPr>
        <rFont val="Arial"/>
        <color rgb="FFFF0000"/>
      </rPr>
      <t>60 минут</t>
    </r>
    <r>
      <rPr>
        <rFont val="Arial"/>
        <color rgb="FF000000"/>
      </rPr>
      <t>&lt;/color&gt;
[Детали обновления</t>
    </r>
    <r>
      <rPr>
        <rFont val="Arial"/>
        <color rgb="FFFF0000"/>
      </rPr>
      <t xml:space="preserve"> 0.29.0</t>
    </r>
    <r>
      <rPr>
        <rFont val="Arial"/>
        <color rgb="FF000000"/>
      </rPr>
      <t>]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t>
    </r>
  </si>
  <si>
    <r>
      <rPr>
        <rFont val="Arial"/>
        <color rgb="FF000000"/>
      </rPr>
      <t xml:space="preserve">Sevgili Kaptan,
 Sana daha iyi bir oyun deneyimi sunmak adına sürüm </t>
    </r>
    <r>
      <rPr>
        <rFont val="Arial"/>
        <color rgb="FFFF0000"/>
      </rPr>
      <t xml:space="preserve">0.21.0 </t>
    </r>
    <r>
      <rPr>
        <rFont val="Arial"/>
        <color rgb="FF000000"/>
      </rPr>
      <t>güncellemesini &lt;color=#ffa200&gt;</t>
    </r>
    <r>
      <rPr>
        <rFont val="Arial"/>
        <color rgb="FFFF0000"/>
      </rPr>
      <t>01.04.2021 saat 06.00’da (</t>
    </r>
    <r>
      <rPr>
        <rFont val="Arial"/>
        <color rgb="FF000000"/>
      </rPr>
      <t>UTC)&lt;/color&gt; yayımlamayı planlıyoruz. O esnada yaklaşık &lt;color=#ffa200&gt;</t>
    </r>
    <r>
      <rPr>
        <rFont val="Arial"/>
        <color rgb="FFFF0000"/>
      </rPr>
      <t>60 dakika</t>
    </r>
    <r>
      <rPr>
        <rFont val="Arial"/>
        <color rgb="FF000000"/>
      </rPr>
      <t xml:space="preserve">&lt;/color&gt; sürecek bir sunucu bakımı gerçekleştireceğiz. Sunucu bakımı tamamlanınca oyunu güncelleyebilirsin. Güncellemenin ardından 8 saat içinde bir güncelleme paketi yayımlayacağız. Lütfen oyunun yeni sürümünü indir ve oyuna giriş yaparak Postandan ödülünü al.
 [Güncelleme Zamanı]
 </t>
    </r>
    <r>
      <rPr>
        <rFont val="Arial"/>
        <color rgb="FFFF0000"/>
      </rPr>
      <t>06.00 (UTC), 01.04.2021;</t>
    </r>
    <r>
      <rPr>
        <rFont val="Arial"/>
        <color rgb="FF000000"/>
      </rPr>
      <t xml:space="preserve"> bu sırada oyuna erişim sağlayamayacaksın. 
 [Tahmini Bakım Süresi]
 &lt;color=#ffa200&gt;</t>
    </r>
    <r>
      <rPr>
        <rFont val="Arial"/>
        <color rgb="FFFF0000"/>
      </rPr>
      <t>60 dakika</t>
    </r>
    <r>
      <rPr>
        <rFont val="Arial"/>
        <color rgb="FF000000"/>
      </rPr>
      <t xml:space="preserve">&lt;/color&gt;
</t>
    </r>
    <r>
      <rPr>
        <rFont val="Arial"/>
        <color rgb="FFFF0000"/>
      </rPr>
      <t xml:space="preserve"> [0.29.0</t>
    </r>
    <r>
      <rPr>
        <rFont val="Arial"/>
        <color rgb="FF000000"/>
      </rPr>
      <t xml:space="preserve"> Güncelleme Bilgileri]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t>
    </r>
  </si>
  <si>
    <r>
      <rPr>
        <rFont val="Arial"/>
        <color rgb="FF000000"/>
      </rPr>
      <t xml:space="preserve">Thưa Thủ Lĩnh,
 Để đem lại cho bạn trải nghiệm chơi game tốt hơn, chúng tôi dự định sẽ phát hành bản cập nhật </t>
    </r>
    <r>
      <rPr>
        <rFont val="Arial"/>
        <color rgb="FFFF0000"/>
      </rPr>
      <t>0.29.0</t>
    </r>
    <r>
      <rPr>
        <rFont val="Arial"/>
        <color rgb="FF000000"/>
      </rPr>
      <t xml:space="preserve"> vào lúc &lt;color=#ffa200&gt;</t>
    </r>
    <r>
      <rPr>
        <rFont val="Arial"/>
        <color rgb="FFFF0000"/>
      </rPr>
      <t xml:space="preserve">06:00 </t>
    </r>
    <r>
      <rPr>
        <rFont val="Arial"/>
        <color rgb="FF000000"/>
      </rPr>
      <t xml:space="preserve">UTC ngày </t>
    </r>
    <r>
      <rPr>
        <rFont val="Arial"/>
        <color rgb="FFFF0000"/>
      </rPr>
      <t>01/04/2021</t>
    </r>
    <r>
      <rPr>
        <rFont val="Arial"/>
        <color rgb="FF000000"/>
      </rPr>
      <t>&lt;/color&gt;. Cùng lúc đó, chúng tôi cũng sẽ thực hiện bảo trì máy chủ kéo dài khoảng &lt;color=#ffa200&gt;</t>
    </r>
    <r>
      <rPr>
        <rFont val="Arial"/>
        <color rgb="FFFF0000"/>
      </rPr>
      <t>60 ph</t>
    </r>
    <r>
      <rPr>
        <rFont val="Arial"/>
        <color rgb="FF000000"/>
      </rPr>
      <t xml:space="preserve">út&lt;/color&gt;. Bạn có thể cập nhật lại game khi quá trình bảo trì máy chủ được hoàn tất. Chúng tôi sẽ phát hành gói cập nhật trong vòng 8 tiếng sau khi cập nhật. Hãy tải phiên bản game mới và đăng nhập lại vào game để nhận thưởng trong Mail nhé.
 [Thời gian cập nhật]
</t>
    </r>
    <r>
      <rPr>
        <rFont val="Arial"/>
        <color rgb="FFFF0000"/>
      </rPr>
      <t xml:space="preserve"> 06:00 UTC, ngày 01/04/2021; </t>
    </r>
    <r>
      <rPr>
        <rFont val="Arial"/>
        <color rgb="FF000000"/>
      </rPr>
      <t>bạn sẽ không thể truy cập vào game trong khoảng thời gian này. 
 [Thời lượng bảo trì ước tính]
 &lt;color=#ffa200&gt;</t>
    </r>
    <r>
      <rPr>
        <rFont val="Arial"/>
        <color rgb="FFFF0000"/>
      </rPr>
      <t>60 p</t>
    </r>
    <r>
      <rPr>
        <rFont val="Arial"/>
        <color rgb="FF000000"/>
      </rPr>
      <t>hút&lt;/color&gt;
 [Thông tin bản cập nhậ</t>
    </r>
    <r>
      <rPr>
        <rFont val="Arial"/>
        <color rgb="FFFF0000"/>
      </rPr>
      <t>t 0.29.0]</t>
    </r>
    <r>
      <rPr>
        <rFont val="Arial"/>
        <color rgb="FF000000"/>
      </rPr>
      <t xml:space="preserve">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t>
    </r>
  </si>
  <si>
    <t>强更</t>
  </si>
  <si>
    <t>亲爱的指挥官：
为了给大家带来更好的游戏体验，我们预计在&lt;color=#ffa200&gt;UTC时间 2021年6月11日UTC06:00&lt;/color&gt;进行0.29.0版本更新。届时服务器将进行&lt;color=#ffa200&gt;60分钟&lt;/color&gt;的维护，为了确保所有玩家都有相同的游戏体验并享受最新的内容，本次更新为&lt;color=#ffa200&gt;强制更新&lt;/color&gt;，维护结束后，客户端版本号低于0.29.0的猴子们将无法进入游戏。我们将在版本更新后8小时内为您送来更新礼包，届时请您下载新版本后登录游戏在邮件处领取。
【更新时间】&lt;color=#ffa200&gt; 2021年6月11日UTC06:00&lt;/color&gt;，届时您将无法进入游戏。
【预计维护时长】&lt;color=#ffa200&gt;60分钟&lt;/color&gt;
【0.29.0更新内容】
-新增斗士：铸造大师邓普斯，可以化钢铁为神器的传奇匠师！通过擂台抽奖获得。
-新增活动-霍格博士的复仇：你即将迎来霍格博士与战争机器的挑战，联合氏族伙伴，战胜他们即可获得丰厚奖励！
-新增活动-帮派崛起：建设帮派，占领建筑、你将与你的帮派共同冲击最强帮派！
-新增功能：荣誉币兑换商店，变废为宝，将你不需要的道具换成荣誉币！
-新增转盘月卡：限时好礼，尝试手气，领取终极折扣！
-VIP系统升级：VIP系统全新升级，更优秀的权益，更丰厚的奖励在等着你！
-界面表现优化：优化了里程碑、月卡、擂台、限时礼包的界面体验。
本次维护不排除延迟开启的可能，如若延迟，则请关注社区发布的具体开服时间。[-1#点击加入Discord社区](herf=https://discord.gg/fK3gtph)
我们将继续修复游戏中的一些问题，同时给大家带来更多的新内容。敬请期待，享受你的香蕉盛宴吧！
罗杰副官</t>
  </si>
  <si>
    <r>
      <rPr>
        <rFont val="Arial"/>
        <color rgb="FF000000"/>
      </rPr>
      <t xml:space="preserve">Dear Captain,
In order to bring you a better gaming experience, we plan to release the version </t>
    </r>
    <r>
      <rPr>
        <rFont val="Arial"/>
        <color rgb="FFFF0000"/>
      </rPr>
      <t>0.29.0</t>
    </r>
    <r>
      <rPr>
        <rFont val="Arial"/>
        <color rgb="FF000000"/>
      </rPr>
      <t xml:space="preserve"> update on &lt;color=#ffa200&gt;</t>
    </r>
    <r>
      <rPr>
        <rFont val="Arial"/>
        <color rgb="FFFF0000"/>
      </rPr>
      <t xml:space="preserve">2021-06-11 at 06:00 </t>
    </r>
    <r>
      <rPr>
        <rFont val="Arial"/>
        <color rgb="FF000000"/>
      </rPr>
      <t>UTC&lt;/color&gt;. At that time, we will conduct server maintenance lasting approximately &lt;color=#ffa200&gt;</t>
    </r>
    <r>
      <rPr>
        <rFont val="Arial"/>
        <color rgb="FFFF0000"/>
      </rPr>
      <t xml:space="preserve">60 </t>
    </r>
    <r>
      <rPr>
        <rFont val="Arial"/>
        <color rgb="FF000000"/>
      </rPr>
      <t xml:space="preserve">minutes&lt;/color&gt;. To ensure a common gaming experience and to allow all players to enjoy the latest game content, this will be a &lt;color=#ffa200&gt;mandatory update&lt;/color&gt;. Players running versions older than </t>
    </r>
    <r>
      <rPr>
        <rFont val="Arial"/>
        <color rgb="FFFF0000"/>
      </rPr>
      <t xml:space="preserve">0.29.0 </t>
    </r>
    <r>
      <rPr>
        <rFont val="Arial"/>
        <color rgb="FF000000"/>
      </rPr>
      <t xml:space="preserve">will no longer be able to access the game after this maintenance is complete. We will issue an update pack within 8 hours after the update. Please download the new game version and log into the game to claim the reward in your Mail.
[Update Time]
</t>
    </r>
    <r>
      <rPr>
        <rFont val="Arial"/>
        <color rgb="FFFF0000"/>
      </rPr>
      <t>06:00 UTC, 2021-06-11;</t>
    </r>
    <r>
      <rPr>
        <rFont val="Arial"/>
        <color rgb="FF000000"/>
      </rPr>
      <t xml:space="preserve"> you will not be able to access the game during this time. 
[Estimated Maintenance Duration]
&lt;color=#ffa200&gt;</t>
    </r>
    <r>
      <rPr>
        <rFont val="Arial"/>
        <color rgb="FFFF0000"/>
      </rPr>
      <t xml:space="preserve">60 </t>
    </r>
    <r>
      <rPr>
        <rFont val="Arial"/>
        <color rgb="FF000000"/>
      </rPr>
      <t xml:space="preserve">minutes&lt;/color&gt;
</t>
    </r>
    <r>
      <rPr>
        <rFont val="Arial"/>
        <color rgb="FFFF0000"/>
      </rPr>
      <t>[0.29.0</t>
    </r>
    <r>
      <rPr>
        <rFont val="Arial"/>
        <color rgb="FF000000"/>
      </rPr>
      <t xml:space="preserve"> Update Details]
xxxxx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t>
    </r>
  </si>
  <si>
    <r>
      <rPr>
        <rFont val="Arial"/>
        <color rgb="FF000000"/>
      </rPr>
      <t xml:space="preserve">Cher capitaine,
Afin d’améliorer votre expérience de jeu, nous prévoyons le lancement de la mise à jour </t>
    </r>
    <r>
      <rPr>
        <rFont val="Arial"/>
        <color rgb="FFFF0000"/>
      </rPr>
      <t xml:space="preserve">0.29.0 </t>
    </r>
    <r>
      <rPr>
        <rFont val="Arial"/>
        <color rgb="FF000000"/>
      </rPr>
      <t>le &lt;color=#ffa200&gt;</t>
    </r>
    <r>
      <rPr>
        <rFont val="Arial"/>
        <color rgb="FFFF0000"/>
      </rPr>
      <t>11/06/2021 à 6 heures (TU)</t>
    </r>
    <r>
      <rPr>
        <rFont val="Arial"/>
        <color rgb="FF000000"/>
      </rPr>
      <t xml:space="preserve"> &lt;/color&gt;. Nous procèderons alors à une maintenance des serveurs qui durera environ &lt;color=#ffa200&gt;</t>
    </r>
    <r>
      <rPr>
        <rFont val="Arial"/>
        <color rgb="FFFF0000"/>
      </rPr>
      <t>60</t>
    </r>
    <r>
      <rPr>
        <rFont val="Arial"/>
        <color rgb="FF000000"/>
      </rPr>
      <t xml:space="preserve"> minutes&lt;/color&gt;. Pour garantir l’homogénéité de l’expérience et garantir à tous l’accès au contenu le plus récent, il s’agira d’une &lt;color=#ffa200&gt;mise à jour obligatoire &lt;/color&gt;. A l’issue de cette maintenance, les joueurs utilisant une version antérieure à la</t>
    </r>
    <r>
      <rPr>
        <rFont val="Arial"/>
        <color rgb="FFFF0000"/>
      </rPr>
      <t xml:space="preserve"> 0.29.0 n</t>
    </r>
    <r>
      <rPr>
        <rFont val="Arial"/>
        <color rgb="FF000000"/>
      </rPr>
      <t xml:space="preserve">e pourrons plus accéder au jeu. Nous lancerons un pack de mise à jour dans les 8 heures suivant la maintenance. Merci de télécharger la nouvelle version et de vous connecter pour récupérer la récompense dans votre messagerie. 
[Horaire de mise à jour]
Le </t>
    </r>
    <r>
      <rPr>
        <rFont val="Arial"/>
        <color rgb="FFFF0000"/>
      </rPr>
      <t>11/06/2021 à 8 heures (TU</t>
    </r>
    <r>
      <rPr>
        <rFont val="Arial"/>
        <color rgb="FF000000"/>
      </rPr>
      <t>). Pendant le déploiement, vous ne pourrez plus accéder au jeu. 
[Durée estimée de la maintenance]
&lt;color=#ffa200&gt;</t>
    </r>
    <r>
      <rPr>
        <rFont val="Arial"/>
        <color rgb="FFFF0000"/>
      </rPr>
      <t>60</t>
    </r>
    <r>
      <rPr>
        <rFont val="Arial"/>
        <color rgb="FF000000"/>
      </rPr>
      <t xml:space="preserve"> minutes&lt;/color&gt;
[Détails de la mise à jour </t>
    </r>
    <r>
      <rPr>
        <rFont val="Arial"/>
        <color rgb="FFFF0000"/>
      </rPr>
      <t>0.29.0</t>
    </r>
    <r>
      <rPr>
        <rFont val="Arial"/>
        <color rgb="FF000000"/>
      </rPr>
      <t>]
xxxxx
Suivez notre communauté officielle sur Discord pour connaître les éventuels retards dans la maintenance des serveurs et, le cas échéant, l’horaire corrigé du redémarrage des serveurs. [-1# Appuyez pour rejoindre notre serveur Discord officiel](herf=https://discord.gg/RncnPNw)
Nous poursuivons le travail pour résoudre les dysfonctionnements et vous proposer du nouveau contenu génial. Restez à l’écoute et à bientôt à la taverne!
Roger l'assistant</t>
    </r>
  </si>
  <si>
    <r>
      <rPr>
        <rFont val="Arial"/>
        <color rgb="FF000000"/>
      </rPr>
      <t>Lieber Captain,
 Um dir ein besseres Spielerlebnis zu bieten, werden wir am &lt;color=#ffa200</t>
    </r>
    <r>
      <rPr>
        <rFont val="Arial"/>
        <color rgb="FFFF0000"/>
      </rPr>
      <t>&gt;11.06.2021 um 06:00 UTC</t>
    </r>
    <r>
      <rPr>
        <rFont val="Arial"/>
        <color rgb="FF000000"/>
      </rPr>
      <t xml:space="preserve">&lt;/color&gt; das Update auf Version </t>
    </r>
    <r>
      <rPr>
        <rFont val="Arial"/>
        <color rgb="FFFF0000"/>
      </rPr>
      <t xml:space="preserve">0.29.0 </t>
    </r>
    <r>
      <rPr>
        <rFont val="Arial"/>
        <color rgb="FF000000"/>
      </rPr>
      <t>durchzuführen. Wir werden zu diesem Zeitpunkt eine Serverwartung durchführen, die etwa &lt;color=#ffa200&gt;</t>
    </r>
    <r>
      <rPr>
        <rFont val="Arial"/>
        <color rgb="FFFF0000"/>
      </rPr>
      <t xml:space="preserve">60 </t>
    </r>
    <r>
      <rPr>
        <rFont val="Arial"/>
        <color rgb="FF000000"/>
      </rPr>
      <t xml:space="preserve">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t>
    </r>
    <r>
      <rPr>
        <rFont val="Arial"/>
        <color rgb="FFFF0000"/>
      </rPr>
      <t xml:space="preserve"> 11.06.2021, 08:00 UTC</t>
    </r>
    <r>
      <rPr>
        <rFont val="Arial"/>
        <color rgb="FF000000"/>
      </rPr>
      <t>; du wirst während dieser Zeit nicht auf das Spiel zugreifen können. 
 [Geschätzte Wartungsdauer]
 &lt;color=#ffa200&gt;</t>
    </r>
    <r>
      <rPr>
        <rFont val="Arial"/>
        <color rgb="FFFF0000"/>
      </rPr>
      <t xml:space="preserve">60 </t>
    </r>
    <r>
      <rPr>
        <rFont val="Arial"/>
        <color rgb="FF000000"/>
      </rPr>
      <t xml:space="preserve">Minuten&lt;/color&gt;
</t>
    </r>
    <r>
      <rPr>
        <rFont val="Arial"/>
        <color rgb="FFFF0000"/>
      </rPr>
      <t xml:space="preserve"> [0.29.0</t>
    </r>
    <r>
      <rPr>
        <rFont val="Arial"/>
        <color rgb="FF000000"/>
      </rPr>
      <t xml:space="preserve"> Update-Details]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t>
    </r>
  </si>
  <si>
    <r>
      <rPr>
        <rFont val="Arial"/>
        <color rgb="FF000000"/>
      </rPr>
      <t>Caro Capitão,
 Para melhorar a experiência de jogo, planejamos lançar a atualizaçã</t>
    </r>
    <r>
      <rPr>
        <rFont val="Arial"/>
        <color rgb="FFFF0000"/>
      </rPr>
      <t>o 0.29.0 e</t>
    </r>
    <r>
      <rPr>
        <rFont val="Arial"/>
        <color rgb="FF000000"/>
      </rPr>
      <t>m &lt;color=#ffa200&gt;</t>
    </r>
    <r>
      <rPr>
        <rFont val="Arial"/>
        <color rgb="FFFF0000"/>
      </rPr>
      <t>11/06/2021 às 06:00 (fuso UTC)</t>
    </r>
    <r>
      <rPr>
        <rFont val="Arial"/>
        <color rgb="FF000000"/>
      </rPr>
      <t>&lt;/color&gt;. No momento, estamos fazendo a manutenção do jogo, que durará cerca de &lt;color=#ffa200&gt;</t>
    </r>
    <r>
      <rPr>
        <rFont val="Arial"/>
        <color rgb="FFFF0000"/>
      </rPr>
      <t>60</t>
    </r>
    <r>
      <rPr>
        <rFont val="Arial"/>
        <color rgb="FF000000"/>
      </rPr>
      <t xml:space="preserve"> minutos&lt;/color&gt;. Para garantir a equidade da experiência de jogo e permitir que os jogadores aproveitem o conteúdo mais recente do jogo, esta será uma &lt;color=#ffa200&gt;atualização obrigatória&lt;/color&gt;. Jogadores que estiverem usando versões anteriores à </t>
    </r>
    <r>
      <rPr>
        <rFont val="Arial"/>
        <color rgb="FFFF0000"/>
      </rPr>
      <t>0.29.0</t>
    </r>
    <r>
      <rPr>
        <rFont val="Arial"/>
        <color rgb="FF000000"/>
      </rPr>
      <t xml:space="preserve"> não poderão mais acessar o jogo após a manutenção. Lançaremos um pacote de atualização dentro de 8 horas após a atualização. Faça o download da nova versão e entre no jogo para resgatar as recompensas enviadas.
 [Horário da atualização]
</t>
    </r>
    <r>
      <rPr>
        <rFont val="Arial"/>
        <color rgb="FFFF0000"/>
      </rPr>
      <t>11/06/2021, às 06:00 (fuso UTC).</t>
    </r>
    <r>
      <rPr>
        <rFont val="Arial"/>
        <color rgb="FF000000"/>
      </rPr>
      <t xml:space="preserve"> Não será possível acessar o jogo durante este período. 
 [Tempo de manutenção estimado]
 &lt;color=#ffa200&gt;</t>
    </r>
    <r>
      <rPr>
        <rFont val="Arial"/>
        <color rgb="FFFF0000"/>
      </rPr>
      <t xml:space="preserve">60 </t>
    </r>
    <r>
      <rPr>
        <rFont val="Arial"/>
        <color rgb="FF000000"/>
      </rPr>
      <t xml:space="preserve">minutos&lt;/color&gt;
 [Detalhes da atualização </t>
    </r>
    <r>
      <rPr>
        <rFont val="Arial"/>
        <color rgb="FFFF0000"/>
      </rPr>
      <t>0.29.0</t>
    </r>
    <r>
      <rPr>
        <rFont val="Arial"/>
        <color rgb="FF000000"/>
      </rPr>
      <t>]
xxxxx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t>
    </r>
  </si>
  <si>
    <r>
      <rPr>
        <rFont val="Arial"/>
        <color rgb="FF000000"/>
      </rPr>
      <t>親愛的指揮官：
為了給大家帶來更好的遊戲體驗，我們預計在&lt;color=#ffa200</t>
    </r>
    <r>
      <rPr>
        <rFont val="Arial"/>
        <color rgb="FFFF0000"/>
      </rPr>
      <t>&gt;UTC時間 2021年6月11日 06:00&lt;</t>
    </r>
    <r>
      <rPr>
        <rFont val="Arial"/>
        <color rgb="FF000000"/>
      </rPr>
      <t>/color&gt;進行0.29.0版本更新。屆時服務器將進行&lt;color=#ffa200&gt;</t>
    </r>
    <r>
      <rPr>
        <rFont val="Arial"/>
        <color rgb="FFFF0000"/>
      </rPr>
      <t>60分</t>
    </r>
    <r>
      <rPr>
        <rFont val="Arial"/>
        <color rgb="FF000000"/>
      </rPr>
      <t>鐘&lt;/color&gt;的維護，為了確保所有玩家都有相同的遊戲體驗並享受最新的內容，本次更新為&lt;color=#ffa200&gt;強制更新&lt;/color &gt;，維護結束後，客戶端版本號低於</t>
    </r>
    <r>
      <rPr>
        <rFont val="Arial"/>
        <color rgb="FFFF0000"/>
      </rPr>
      <t>0.29.0</t>
    </r>
    <r>
      <rPr>
        <rFont val="Arial"/>
        <color rgb="FF000000"/>
      </rPr>
      <t>的猴子們將無法進入遊戲。我們將在版本更新後8小時內為您送來更新禮包，屆時請您下載新版本後登錄遊戲在郵件處領取。
【更新時間】&lt;color=#ffa200&gt;</t>
    </r>
    <r>
      <rPr>
        <rFont val="Arial"/>
        <color rgb="FFFF0000"/>
      </rPr>
      <t>2021年6月11日UTC06:00&lt;</t>
    </r>
    <r>
      <rPr>
        <rFont val="Arial"/>
        <color rgb="FF000000"/>
      </rPr>
      <t>/color&gt;，屆時您將無法進入遊戲。
【預計維護時長】&lt;color=#ffa200</t>
    </r>
    <r>
      <rPr>
        <rFont val="Arial"/>
        <color rgb="FFFF0000"/>
      </rPr>
      <t>&gt;60分</t>
    </r>
    <r>
      <rPr>
        <rFont val="Arial"/>
        <color rgb="FF000000"/>
      </rPr>
      <t>鐘&lt;/color&gt;
【</t>
    </r>
    <r>
      <rPr>
        <rFont val="Arial"/>
        <color rgb="FFFF0000"/>
      </rPr>
      <t>0.29.0</t>
    </r>
    <r>
      <rPr>
        <rFont val="Arial"/>
        <color rgb="FF000000"/>
      </rPr>
      <t>更新內容】
xxxxx
本次維護不排除延遲開啟的可能，如若延遲，則請關注社區發布的具體開服時間。 [-1#點擊加入Discord社區](herf=https://discord.gg/fK3gtph)
我們將繼續修復遊戲中的一些問題，同時給大家帶來更多的新內容。敬請期待，享受你的香蕉盛宴吧！
羅傑副官</t>
    </r>
  </si>
  <si>
    <r>
      <rPr>
        <rFont val="Arial"/>
        <color rgb="FF000000"/>
      </rPr>
      <t xml:space="preserve">Kapten yang terhormat,
 Untuk memberikanmu pengalaman bermain yang lebih baik, kami berencana untuk merilis pembaruan versi </t>
    </r>
    <r>
      <rPr>
        <rFont val="Arial"/>
        <color rgb="FFFF0000"/>
      </rPr>
      <t>0.29.0</t>
    </r>
    <r>
      <rPr>
        <rFont val="Arial"/>
        <color rgb="FF000000"/>
      </rPr>
      <t xml:space="preserve"> pada &lt;color=#ffa200&gt;</t>
    </r>
    <r>
      <rPr>
        <rFont val="Arial"/>
        <color rgb="FFFF0000"/>
      </rPr>
      <t>2021-06-11 pukul 06:00 UTC</t>
    </r>
    <r>
      <rPr>
        <rFont val="Arial"/>
        <color rgb="FF000000"/>
      </rPr>
      <t>&lt;/color&gt;. Pada saat itu, kami akan melakukan pemeliharaan server yang berlangsung kira-kira &lt;color=#ffa200&gt;</t>
    </r>
    <r>
      <rPr>
        <rFont val="Arial"/>
        <color rgb="FFFF0000"/>
      </rPr>
      <t xml:space="preserve">60 </t>
    </r>
    <r>
      <rPr>
        <rFont val="Arial"/>
        <color rgb="FF000000"/>
      </rPr>
      <t>menit&lt;/color&gt;. Untuk memastikan pengalaman bermain game yang normal dan memungkinkan semua pemain menikmati konten game terbaru, hal ini akan menjadi &lt;color=#ffa200&gt;pembaruan wajib&lt;/color&gt;. Pemain yang menjalankan versi lebih lama dari</t>
    </r>
    <r>
      <rPr>
        <rFont val="Arial"/>
        <color rgb="FFFF0000"/>
      </rPr>
      <t xml:space="preserve"> 0.29.0 </t>
    </r>
    <r>
      <rPr>
        <rFont val="Arial"/>
        <color rgb="FF000000"/>
      </rPr>
      <t xml:space="preserve">tidak bisa lagi mengakses game setelah pemeliharaan ini selesai.Kami akan mengeluarkan paket pembaruan dalam 8 jam setelah pembaruan. Unduh versi game baru dan masuk ke dalam game untuk mengklaim hadiah dalam Emailmu.
 [Waktu Pembaruan]
</t>
    </r>
    <r>
      <rPr>
        <rFont val="Arial"/>
        <color rgb="FFFF0000"/>
      </rPr>
      <t xml:space="preserve"> 06:00 UTC, 2021-06-11; </t>
    </r>
    <r>
      <rPr>
        <rFont val="Arial"/>
        <color rgb="FF000000"/>
      </rPr>
      <t>kamu tidak akan bisa mengakses game selama waktu tersebut. 
 [Perkiraan Durasi Pemeliharaan]
 &lt;color=#ffa200&gt;</t>
    </r>
    <r>
      <rPr>
        <rFont val="Arial"/>
        <color rgb="FFFF0000"/>
      </rPr>
      <t xml:space="preserve">60 </t>
    </r>
    <r>
      <rPr>
        <rFont val="Arial"/>
        <color rgb="FF000000"/>
      </rPr>
      <t xml:space="preserve">menit&lt;/color&gt;
</t>
    </r>
    <r>
      <rPr>
        <rFont val="Arial"/>
        <color rgb="FFFF0000"/>
      </rPr>
      <t xml:space="preserve"> [0.29.0 </t>
    </r>
    <r>
      <rPr>
        <rFont val="Arial"/>
        <color rgb="FF000000"/>
      </rPr>
      <t>Rincian Pembaruan]
xxxxx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t>
    </r>
  </si>
  <si>
    <r>
      <rPr>
        <rFont val="Arial"/>
        <color rgb="FF000000"/>
      </rPr>
      <t>ถึงท่านผู้บัญชาการ
 เพื่อให้นายได้รับประสบการณ์การเล่นเกมที่ดีขึ้น เราวางแผนที่จะปล่อยอัปเดตเวอร์ชัน</t>
    </r>
    <r>
      <rPr>
        <rFont val="Arial"/>
        <color rgb="FFFF0000"/>
      </rPr>
      <t xml:space="preserve"> 0.29.0</t>
    </r>
    <r>
      <rPr>
        <rFont val="Arial"/>
        <color rgb="FF000000"/>
      </rPr>
      <t xml:space="preserve"> ในวันที่ &lt;color=#ffa200</t>
    </r>
    <r>
      <rPr>
        <rFont val="Arial"/>
        <color rgb="FFFF0000"/>
      </rPr>
      <t xml:space="preserve">&gt;2021-06-11 ในเวลา 06:00 </t>
    </r>
    <r>
      <rPr>
        <rFont val="Arial"/>
        <color rgb="FF000000"/>
      </rPr>
      <t>ตามเวลา UTC&lt;/color&gt; ซึ่งในเวลาดังกล่าว เราจะทำการบำรุงรักษาเซิร์ฟเวอร์เป็นเวลาประมาณ &lt;color=#ffa200&gt;</t>
    </r>
    <r>
      <rPr>
        <rFont val="Arial"/>
        <color rgb="FFFF0000"/>
      </rPr>
      <t xml:space="preserve">60 </t>
    </r>
    <r>
      <rPr>
        <rFont val="Arial"/>
        <color rgb="FF000000"/>
      </rPr>
      <t>นาที&lt;/color&gt; เพื่อให้มั่นใจว่าประสบการณ์การเล่นเกมของทุกท่านเป็นไปด้วยดี และเพื่อให้ผู้เล่นทุกคนได้เพลิดเพลินไปกับเนื้อหาเกมล่าสุด ในกรณีนี้จะเป็น&lt;color=#ffa200&gt;การอัปเดตภาคบังคับ&lt;/color&gt; ซึ่งผู้เล่นที่ใช้เวอร์ชันเก่ากว่า</t>
    </r>
    <r>
      <rPr>
        <rFont val="Arial"/>
        <color rgb="FFFF0000"/>
      </rPr>
      <t xml:space="preserve"> 0.29.0 จะ</t>
    </r>
    <r>
      <rPr>
        <rFont val="Arial"/>
        <color rgb="FF000000"/>
      </rPr>
      <t xml:space="preserve">ไม่สามารถเข้าสู่เกมได้หลังจากการบำรุงรักษานี้เสร็จสมบูรณ์
 [เวลาอัปเดต]
 </t>
    </r>
    <r>
      <rPr>
        <rFont val="Arial"/>
        <color rgb="FFFF0000"/>
      </rPr>
      <t>06:00 UTC 2021-06-11</t>
    </r>
    <r>
      <rPr>
        <rFont val="Arial"/>
        <color rgb="FF000000"/>
      </rPr>
      <t>; 
 [ระยะเวลาการบำรุงรักษาโดยประมาณ]
 &lt;color=#ffa200&gt;</t>
    </r>
    <r>
      <rPr>
        <rFont val="Arial"/>
        <color rgb="FFFF0000"/>
      </rPr>
      <t>60</t>
    </r>
    <r>
      <rPr>
        <rFont val="Arial"/>
        <color rgb="FF000000"/>
      </rPr>
      <t xml:space="preserve"> นาที&lt;/color&gt;
 [</t>
    </r>
    <r>
      <rPr>
        <rFont val="Arial"/>
        <color rgb="FFFF0000"/>
      </rPr>
      <t>0.29.0</t>
    </r>
    <r>
      <rPr>
        <rFont val="Arial"/>
        <color rgb="FF000000"/>
      </rPr>
      <t xml:space="preserve"> รายละเอียดการอัปเดต]
xxxxx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t>
    </r>
  </si>
  <si>
    <r>
      <rPr>
        <rFont val="Arial"/>
        <color rgb="FF000000"/>
      </rPr>
      <t>Querido Capitán,
 Para poder brindarte una mejor experiencia de juego, planeamos liberar una actualización a la versión</t>
    </r>
    <r>
      <rPr>
        <rFont val="Arial"/>
        <color rgb="FFFF0000"/>
      </rPr>
      <t xml:space="preserve"> 0.29.0 </t>
    </r>
    <r>
      <rPr>
        <rFont val="Arial"/>
        <color rgb="FF000000"/>
      </rPr>
      <t>el &lt;color=#ffa200&gt;</t>
    </r>
    <r>
      <rPr>
        <rFont val="Arial"/>
        <color rgb="FFFF0000"/>
      </rPr>
      <t xml:space="preserve">2021-06-11 a las 06:00 </t>
    </r>
    <r>
      <rPr>
        <rFont val="Arial"/>
        <color rgb="FF000000"/>
      </rPr>
      <t>UTC&lt;/color&gt;. En ese momento, realizaremos un mantenimiento de servidor que tendrá una duración aproximada de &lt;color=#ffa200&gt;</t>
    </r>
    <r>
      <rPr>
        <rFont val="Arial"/>
        <color rgb="FFFF0000"/>
      </rPr>
      <t>60</t>
    </r>
    <r>
      <rPr>
        <rFont val="Arial"/>
        <color rgb="FF000000"/>
      </rPr>
      <t xml:space="preserve"> minutos&lt;/color&gt;. Para asegurarnos de que la experiencia de juego sea común y para permitir que todos los jugadores disfruten del contenido más actualizado del juego esta será una &lt;color=#ffa200&gt;actualización obligatoria&lt;/color&gt;. Los jugadores que estén utilizando versiones más viejas a la </t>
    </r>
    <r>
      <rPr>
        <rFont val="Arial"/>
        <color rgb="FFFF0000"/>
      </rPr>
      <t xml:space="preserve">0.29.0 </t>
    </r>
    <r>
      <rPr>
        <rFont val="Arial"/>
        <color rgb="FF000000"/>
      </rPr>
      <t xml:space="preserve">ya no podrán acceder al juego después de que este mantenimiento esté completo. Liberaremos un paquete de actualización dentro de las siguientes 8 horas después de la actualización. Por favor, descarga la nueva versión del juego y conéctate al juego para reclamar la recompensa en tu Correo. 
 [Hora de la Actualización]
</t>
    </r>
    <r>
      <rPr>
        <rFont val="Arial"/>
        <color rgb="FFFF0000"/>
      </rPr>
      <t xml:space="preserve"> 06:00 UTC, 2021-06-11;</t>
    </r>
    <r>
      <rPr>
        <rFont val="Arial"/>
        <color rgb="FF000000"/>
      </rPr>
      <t xml:space="preserve"> no podrás acceder al juego durante esta hora. 
 [Duración Estimada del Mantenimiento]
 &lt;color=#ffa200&gt;60 minutos&lt;/color&gt;
 [Detalles de la actualización </t>
    </r>
    <r>
      <rPr>
        <rFont val="Arial"/>
        <color rgb="FFFF0000"/>
      </rPr>
      <t>0.29.0</t>
    </r>
    <r>
      <rPr>
        <rFont val="Arial"/>
        <color rgb="FF000000"/>
      </rPr>
      <t>]
xxxxx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t>
    </r>
  </si>
  <si>
    <r>
      <rPr>
        <rFont val="Arial"/>
        <color rgb="FF000000"/>
      </rPr>
      <t xml:space="preserve">Уважаемый капитан!
Для того чтобы подарить вам наилучшие впечатления от игры, мы планируем выпустить обновление версии </t>
    </r>
    <r>
      <rPr>
        <rFont val="Arial"/>
        <color rgb="FFFF0000"/>
      </rPr>
      <t xml:space="preserve">0.29.0 </t>
    </r>
    <r>
      <rPr>
        <rFont val="Arial"/>
        <color rgb="FF000000"/>
      </rPr>
      <t>&lt;color=#ffa200&gt;</t>
    </r>
    <r>
      <rPr>
        <rFont val="Arial"/>
        <color rgb="FFFF0000"/>
      </rPr>
      <t xml:space="preserve"> 11.06.2021 в 06:00 UT</t>
    </r>
    <r>
      <rPr>
        <rFont val="Arial"/>
        <color rgb="FF000000"/>
      </rPr>
      <t>C&lt;/color&gt;. Мы проведем техническое обслуживание сервера, которое продлится примерно &lt;color=#ffa200&gt;</t>
    </r>
    <r>
      <rPr>
        <rFont val="Arial"/>
        <color rgb="FFFF0000"/>
      </rPr>
      <t>60</t>
    </r>
    <r>
      <rPr>
        <rFont val="Arial"/>
        <color rgb="FF000000"/>
      </rPr>
      <t xml:space="preserve"> минут&lt;/color&gt;. Для того чтобы игра работала одинаково у всех игроков и все игроки могли наслаждаться новейшим игровым контентом, мы делаем это обновление &lt;color=#ffa200&gt;обязательным&lt;/color&gt;. Игроки с версиями игры, отличными от</t>
    </r>
    <r>
      <rPr>
        <rFont val="Arial"/>
        <color rgb="FFFF0000"/>
      </rPr>
      <t xml:space="preserve"> 0.29.0,</t>
    </r>
    <r>
      <rPr>
        <rFont val="Arial"/>
        <color rgb="FF000000"/>
      </rPr>
      <t xml:space="preserve"> не смогут получить доступ к игре после завершения обслуживания.Мы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t>
    </r>
    <r>
      <rPr>
        <rFont val="Arial"/>
        <color rgb="FFFF0000"/>
      </rPr>
      <t xml:space="preserve"> 11.06.2021, 06:00 UTC</t>
    </r>
    <r>
      <rPr>
        <rFont val="Arial"/>
        <color rgb="FF000000"/>
      </rPr>
      <t>. Во время обновления вы не сможете получить доступ к игре. 
[Ожидаемая длительность обслуживания]
&lt;color=#ffa200&gt;</t>
    </r>
    <r>
      <rPr>
        <rFont val="Arial"/>
        <color rgb="FFFF0000"/>
      </rPr>
      <t>60</t>
    </r>
    <r>
      <rPr>
        <rFont val="Arial"/>
        <color rgb="FF000000"/>
      </rPr>
      <t xml:space="preserve"> минут&lt;/color&gt;
[Детали обновления</t>
    </r>
    <r>
      <rPr>
        <rFont val="Arial"/>
        <color rgb="FFFF0000"/>
      </rPr>
      <t xml:space="preserve"> 0.29.0</t>
    </r>
    <r>
      <rPr>
        <rFont val="Arial"/>
        <color rgb="FF000000"/>
      </rPr>
      <t>]
xxxxx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t>
    </r>
  </si>
  <si>
    <r>
      <rPr>
        <rFont val="Arial"/>
        <color rgb="FF000000"/>
      </rPr>
      <t>Sevgili Kaptan,
 Sana daha iyi bir oyun deneyimi sunmak adına sürüm</t>
    </r>
    <r>
      <rPr>
        <rFont val="Arial"/>
        <color rgb="FFFF0000"/>
      </rPr>
      <t xml:space="preserve"> 0.29.0 </t>
    </r>
    <r>
      <rPr>
        <rFont val="Arial"/>
        <color rgb="FF000000"/>
      </rPr>
      <t>güncellemesini &lt;color=#ffa200&gt;</t>
    </r>
    <r>
      <rPr>
        <rFont val="Arial"/>
        <color rgb="FFFF0000"/>
      </rPr>
      <t xml:space="preserve"> 11.06.2021 saat 06.00’da </t>
    </r>
    <r>
      <rPr>
        <rFont val="Arial"/>
        <color rgb="FF000000"/>
      </rPr>
      <t>(UTC)&lt;/color&gt; yayımlamayı planlıyoruz. O esnada yaklaşık &lt;color=#ffa200&gt;</t>
    </r>
    <r>
      <rPr>
        <rFont val="Arial"/>
        <color rgb="FFFF0000"/>
      </rPr>
      <t xml:space="preserve">60 </t>
    </r>
    <r>
      <rPr>
        <rFont val="Arial"/>
        <color rgb="FF000000"/>
      </rPr>
      <t xml:space="preserve">dakika&lt;/color&gt; sürecek bir sunucu bakımı gerçekleştireceğiz. Ortak bir oyun deneyimi sunmak ve tüm oyuncuların oyunun en yeni içeriklerinden faydalanmasını sağlamak için bu &lt;color=#ffa200&gt;zorunlu bir güncelleme&lt;/color&gt; olacak. </t>
    </r>
    <r>
      <rPr>
        <rFont val="Arial"/>
        <color rgb="FFFF0000"/>
      </rPr>
      <t>0.29.0</t>
    </r>
    <r>
      <rPr>
        <rFont val="Arial"/>
        <color rgb="FF000000"/>
      </rPr>
      <t xml:space="preserve">’dan daha eski sürümleri kullanan oyuncular, bu bakımın tamamlanmasının ardından bir daha oyuna erişim sağlayamayacaklar. Güncellemenin ardından 8 saat içinde bir güncelleme paketi yayımlayacağız. Lütfen oyunun yeni sürümünü indir ve oyuna giriş yaparak Postandan ödülünü al.
 [Güncelleme Zamanı]
 </t>
    </r>
    <r>
      <rPr>
        <rFont val="Arial"/>
        <color rgb="FFFF0000"/>
      </rPr>
      <t>06.00 (UTC),  11.06.2021</t>
    </r>
    <r>
      <rPr>
        <rFont val="Arial"/>
        <color rgb="FF000000"/>
      </rPr>
      <t>; bu sırada oyuna erişim sağlayamayacaksın. 
 [Tahmini Bakım Süresi]
 &lt;color=#ffa200&gt;</t>
    </r>
    <r>
      <rPr>
        <rFont val="Arial"/>
        <color rgb="FFFF0000"/>
      </rPr>
      <t>60</t>
    </r>
    <r>
      <rPr>
        <rFont val="Arial"/>
        <color rgb="FF000000"/>
      </rPr>
      <t xml:space="preserve"> dakika&lt;/color&gt;
 [</t>
    </r>
    <r>
      <rPr>
        <rFont val="Arial"/>
        <color rgb="FFFF0000"/>
      </rPr>
      <t>0.29.0</t>
    </r>
    <r>
      <rPr>
        <rFont val="Arial"/>
        <color rgb="FF000000"/>
      </rPr>
      <t xml:space="preserve"> Güncelleme Bilgileri]
xxxxx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t>
    </r>
  </si>
  <si>
    <r>
      <rPr>
        <rFont val="Arial"/>
        <color rgb="FF000000"/>
      </rPr>
      <t xml:space="preserve">Thưa Thủ Lĩnh,
 Để đem lại cho bạn trải nghiệm chơi game tốt hơn, chúng tôi dự định sẽ phát hành bản cập nhật </t>
    </r>
    <r>
      <rPr>
        <rFont val="Arial"/>
        <color rgb="FFFF0000"/>
      </rPr>
      <t>0.29.0</t>
    </r>
    <r>
      <rPr>
        <rFont val="Arial"/>
        <color rgb="FF000000"/>
      </rPr>
      <t xml:space="preserve"> vào lúc &lt;color=#ffa200&gt;</t>
    </r>
    <r>
      <rPr>
        <rFont val="Arial"/>
        <color rgb="FFFF0000"/>
      </rPr>
      <t>06:00 UTC ngày 11/06/2021</t>
    </r>
    <r>
      <rPr>
        <rFont val="Arial"/>
        <color rgb="FF000000"/>
      </rPr>
      <t>&lt;/color&gt;. Cùng lúc đó, chúng tôi cũng sẽ thực hiện bảo trì máy chủ kéo dài khoảng &lt;color=#ffa200&gt;</t>
    </r>
    <r>
      <rPr>
        <rFont val="Arial"/>
        <color rgb="FFFF0000"/>
      </rPr>
      <t>60</t>
    </r>
    <r>
      <rPr>
        <rFont val="Arial"/>
        <color rgb="FF000000"/>
      </rPr>
      <t xml:space="preserve"> phút&lt;/color&gt;. Để đảm bảo trải nghiệm game chung và cho phép tất cả người chơi tận hưởng nội dung game mới nhất, đây sẽ là một &lt;color=#ffa200&gt;bản cập nhật bắt buộc&lt;/color&gt;. Những người chơi chạy phiên bản cũ hơn </t>
    </r>
    <r>
      <rPr>
        <rFont val="Arial"/>
        <color rgb="FFFF0000"/>
      </rPr>
      <t>0.29.0</t>
    </r>
    <r>
      <rPr>
        <rFont val="Arial"/>
        <color rgb="FF000000"/>
      </rPr>
      <t xml:space="preserve"> sẽ không thể truy cập vào game nữa sau khi quá trình bảo trì này hoàn tất. Chúng tôi sẽ phát hành gói cập nhật trong vòng 8 tiếng sau khi cập nhật. Hãy tải phiên bản game mới và đăng nhập lại vào game để nhận thưởng trong Mail nhé.
 [Thời gian cập nhật]
 </t>
    </r>
    <r>
      <rPr>
        <rFont val="Arial"/>
        <color rgb="FFFF0000"/>
      </rPr>
      <t>06:00 UTC, ngày 11/06/2021;</t>
    </r>
    <r>
      <rPr>
        <rFont val="Arial"/>
        <color rgb="FF000000"/>
      </rPr>
      <t xml:space="preserve"> bạn sẽ không thể truy cập vào game trong khoảng thời gian này. 
 [Thời lượng bảo trì ước tính]
 &lt;color=#ffa200&gt;</t>
    </r>
    <r>
      <rPr>
        <rFont val="Arial"/>
        <color rgb="FFFF0000"/>
      </rPr>
      <t>60</t>
    </r>
    <r>
      <rPr>
        <rFont val="Arial"/>
        <color rgb="FF000000"/>
      </rPr>
      <t xml:space="preserve"> phút&lt;/color&gt;
 [Thông tin bản cập nhật</t>
    </r>
    <r>
      <rPr>
        <rFont val="Arial"/>
        <color rgb="FFFF0000"/>
      </rPr>
      <t xml:space="preserve"> 0.29.0]
</t>
    </r>
    <r>
      <rPr>
        <rFont val="Arial"/>
        <color rgb="FF000000"/>
      </rPr>
      <t>xxxxx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t>
    </r>
  </si>
  <si>
    <t>强更（有盾版）</t>
  </si>
  <si>
    <r>
      <rPr>
        <rFont val="Arial"/>
        <color rgb="FF000000"/>
      </rPr>
      <t>亲爱的指挥官：
为了给大家带来更好的游戏体验，我们预计在</t>
    </r>
    <r>
      <rPr>
        <rFont val="Arial"/>
        <color rgb="FFFF9900"/>
      </rPr>
      <t xml:space="preserve">&lt;color=#ffa200&gt;UTC时间 </t>
    </r>
    <r>
      <rPr>
        <rFont val="Arial"/>
        <color rgb="FFFF0000"/>
      </rPr>
      <t>2021年5月24日UTC07:00</t>
    </r>
    <r>
      <rPr>
        <rFont val="Arial"/>
        <color rgb="FFFF9900"/>
      </rPr>
      <t>&lt;/color&gt;</t>
    </r>
    <r>
      <rPr>
        <rFont val="Arial"/>
        <color rgb="FF000000"/>
      </rPr>
      <t>进行</t>
    </r>
    <r>
      <rPr>
        <rFont val="Arial"/>
        <color rgb="FFFF0000"/>
      </rPr>
      <t>0.29.0</t>
    </r>
    <r>
      <rPr>
        <rFont val="Arial"/>
        <color rgb="FF000000"/>
      </rPr>
      <t>版本更新。届时服务器将进行</t>
    </r>
    <r>
      <rPr>
        <rFont val="Arial"/>
        <color rgb="FFFF9900"/>
      </rPr>
      <t>&lt;color=#ffa200&gt;</t>
    </r>
    <r>
      <rPr>
        <rFont val="Arial"/>
        <color rgb="FFFF0000"/>
      </rPr>
      <t>60分</t>
    </r>
    <r>
      <rPr>
        <rFont val="Arial"/>
        <color rgb="FFFF9900"/>
      </rPr>
      <t>钟&lt;/color&gt;</t>
    </r>
    <r>
      <rPr>
        <rFont val="Arial"/>
        <color rgb="FF000000"/>
      </rPr>
      <t>的维护，为了确保所有玩家都有相同的游戏体验并享受最新的内容，本次更新为</t>
    </r>
    <r>
      <rPr>
        <rFont val="Arial"/>
        <color rgb="FFFF9900"/>
      </rPr>
      <t>&lt;color=#ffa200&gt;强制更新&lt;/color&gt;</t>
    </r>
    <r>
      <rPr>
        <rFont val="Arial"/>
        <color rgb="FF000000"/>
      </rPr>
      <t>，维护结束后，客户端版本号低于</t>
    </r>
    <r>
      <rPr>
        <rFont val="Arial"/>
        <color rgb="FFFF0000"/>
      </rPr>
      <t>0.29.0</t>
    </r>
    <r>
      <rPr>
        <rFont val="Arial"/>
        <color rgb="FF000000"/>
      </rPr>
      <t>的猴子们将无法进入游戏。我们将在版本更新后8小时内为您送来更新礼包，届时请您下载新版本后登录游戏在邮件处领取。
【更新时间】</t>
    </r>
    <r>
      <rPr>
        <rFont val="Arial"/>
        <color rgb="FFFF9900"/>
      </rPr>
      <t>&lt;color=#ffa200&gt;</t>
    </r>
    <r>
      <rPr>
        <rFont val="Arial"/>
        <color rgb="FFFF0000"/>
      </rPr>
      <t>2021年5月24日UTC07:00</t>
    </r>
    <r>
      <rPr>
        <rFont val="Arial"/>
        <color rgb="FFFF9900"/>
      </rPr>
      <t>&lt;/color&gt;</t>
    </r>
    <r>
      <rPr>
        <rFont val="Arial"/>
        <color rgb="FF000000"/>
      </rPr>
      <t>，届时您将无法进入游戏。停服开始后，所有玩家都将获得8小时的能量护盾，此期间请不要将部队派出基地，以免造成不必要的损失，并且该护盾将在玩家上线后10分钟内消失。
【预计维护时长】</t>
    </r>
    <r>
      <rPr>
        <rFont val="Arial"/>
        <color rgb="FFFF9900"/>
      </rPr>
      <t>&lt;color=#ffa200&gt;</t>
    </r>
    <r>
      <rPr>
        <rFont val="Arial"/>
        <color rgb="FFFF0000"/>
      </rPr>
      <t>60</t>
    </r>
    <r>
      <rPr>
        <rFont val="Arial"/>
        <color rgb="FFFF9900"/>
      </rPr>
      <t>分钟&lt;/color&gt;</t>
    </r>
    <r>
      <rPr>
        <rFont val="Arial"/>
        <color rgb="FF000000"/>
      </rPr>
      <t xml:space="preserve">
【</t>
    </r>
    <r>
      <rPr>
        <rFont val="Arial"/>
        <color rgb="FFFF0000"/>
      </rPr>
      <t>0.29.0</t>
    </r>
    <r>
      <rPr>
        <rFont val="Arial"/>
        <color rgb="FF000000"/>
      </rPr>
      <t>更新内容】
本次维护不排除延迟开启的可能，如若延迟，则请关注社区发布的具体开服时间。</t>
    </r>
    <r>
      <rPr>
        <rFont val="Arial"/>
        <color rgb="FF00FF00"/>
      </rPr>
      <t>[-1#点击加入Discord社区](herf=https://discord.gg/fK3gtph)</t>
    </r>
    <r>
      <rPr>
        <rFont val="Arial"/>
        <color rgb="FF000000"/>
      </rPr>
      <t xml:space="preserve">
我们将继续修复游戏中的一些问题，同时给大家带来更多的新内容。敬请期待，享受你的香蕉盛宴吧！
罗杰副官</t>
    </r>
  </si>
  <si>
    <r>
      <rPr>
        <rFont val="Arial"/>
        <color rgb="FF000000"/>
      </rPr>
      <t xml:space="preserve">Dear Captain,
In order to bring you a better gaming experience, we plan to release the version </t>
    </r>
    <r>
      <rPr>
        <rFont val="Arial"/>
        <color rgb="FFFF0000"/>
      </rPr>
      <t>0.29.0</t>
    </r>
    <r>
      <rPr>
        <rFont val="Arial"/>
        <color rgb="FF000000"/>
      </rPr>
      <t xml:space="preserve"> update on &lt;color=#ffa200&gt;</t>
    </r>
    <r>
      <rPr>
        <rFont val="Arial"/>
        <color rgb="FFFF0000"/>
      </rPr>
      <t xml:space="preserve">2021-04-01 at 06:00 </t>
    </r>
    <r>
      <rPr>
        <rFont val="Arial"/>
        <color rgb="FF000000"/>
      </rPr>
      <t>UTC&lt;/color&gt;. At that time, we will conduct server maintenance lasting approximately &lt;color=#ffa200&gt;</t>
    </r>
    <r>
      <rPr>
        <rFont val="Arial"/>
        <color rgb="FFFF0000"/>
      </rPr>
      <t xml:space="preserve">60 </t>
    </r>
    <r>
      <rPr>
        <rFont val="Arial"/>
        <color rgb="FF000000"/>
      </rPr>
      <t xml:space="preserve">minutes&lt;/color&gt;. To ensure a common gaming experience and to allow all players to enjoy the latest game content, this will be a &lt;color=#ffa200&gt;mandatory update&lt;/color&gt;. Players running versions older than </t>
    </r>
    <r>
      <rPr>
        <rFont val="Arial"/>
        <color rgb="FFFF0000"/>
      </rPr>
      <t xml:space="preserve">0.29.0 </t>
    </r>
    <r>
      <rPr>
        <rFont val="Arial"/>
        <color rgb="FF000000"/>
      </rPr>
      <t xml:space="preserve">will no longer be able to access the game after this maintenance is complete. We will issue an update pack within 8 hours after the update. Please download the new game version and log into the game to claim the reward in your Mail.
[Update Time]
</t>
    </r>
    <r>
      <rPr>
        <rFont val="Arial"/>
        <color rgb="FFFF0000"/>
      </rPr>
      <t>06:00 UTC, 2021-04-01;</t>
    </r>
    <r>
      <rPr>
        <rFont val="Arial"/>
        <color rgb="FF000000"/>
      </rPr>
      <t xml:space="preserve"> you will not be able to access the game during this time. Once server maintenance starts, all players will receive an 8-hour City Shield which will be disabled 10 minutes after players log back into the game. To avoid any unnecessary loss, please do not dispatch troops outside your City during this time. 
[Estimated Maintenance Duration]
&lt;color=#ffa200&gt;</t>
    </r>
    <r>
      <rPr>
        <rFont val="Arial"/>
        <color rgb="FFFF0000"/>
      </rPr>
      <t xml:space="preserve">60 </t>
    </r>
    <r>
      <rPr>
        <rFont val="Arial"/>
        <color rgb="FF000000"/>
      </rPr>
      <t xml:space="preserve">minutes&lt;/color&gt;
[Download Links]
Please go to &lt;color=#ffa200&gt;Google Play or the App Store&lt;/color&gt; (or tap the pop-up alert in the game to go to the download page) and update your game.
[-1#Tap to update for Android](herf=https://play.google.com/store/apps/details?id=com.tap4fun.ape.gplay&amp;fbclid=IwAR116CrjtfV5PPtCr0IoJq0oKeS1ChLBo8DITNbG7nkH-cFXXDcIGL1iNN4)
[-1#Tap to update for iOS](herf=https://apps.apple.com/us/app/age-of-apes/id1475453887)
</t>
    </r>
    <r>
      <rPr>
        <rFont val="Arial"/>
        <color rgb="FFFF0000"/>
      </rPr>
      <t>[0.29.0</t>
    </r>
    <r>
      <rPr>
        <rFont val="Arial"/>
        <color rgb="FF000000"/>
      </rPr>
      <t xml:space="preserve"> Update Details]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t>
    </r>
  </si>
  <si>
    <r>
      <rPr>
        <rFont val="Arial"/>
        <color rgb="FF000000"/>
      </rPr>
      <t xml:space="preserve">Cher capitaine,
Afin d’améliorer votre expérience de jeu, nous prévoyons le lancement de la mise à jour </t>
    </r>
    <r>
      <rPr>
        <rFont val="Arial"/>
        <color rgb="FFFF0000"/>
      </rPr>
      <t xml:space="preserve">0.29.0 </t>
    </r>
    <r>
      <rPr>
        <rFont val="Arial"/>
        <color rgb="FF000000"/>
      </rPr>
      <t>le &lt;color=#ffa200&gt;</t>
    </r>
    <r>
      <rPr>
        <rFont val="Arial"/>
        <color rgb="FFFF0000"/>
      </rPr>
      <t>01/04/2021 à 6 heures (TU)</t>
    </r>
    <r>
      <rPr>
        <rFont val="Arial"/>
        <color rgb="FF000000"/>
      </rPr>
      <t xml:space="preserve"> &lt;/color&gt;. Nous procèderons alors à une maintenance des serveurs qui durera environ &lt;color=#ffa200&gt;</t>
    </r>
    <r>
      <rPr>
        <rFont val="Arial"/>
        <color rgb="FFFF0000"/>
      </rPr>
      <t>60</t>
    </r>
    <r>
      <rPr>
        <rFont val="Arial"/>
        <color rgb="FF000000"/>
      </rPr>
      <t xml:space="preserve"> minutes&lt;/color&gt;. Pour garantir l’homogénéité de l’expérience et garantir à tous l’accès au contenu le plus récent, il s’agira d’une &lt;color=#ffa200&gt;mise à jour obligatoire &lt;/color&gt;. A l’issue de cette maintenance, les joueurs utilisant une version antérieure à la</t>
    </r>
    <r>
      <rPr>
        <rFont val="Arial"/>
        <color rgb="FFFF0000"/>
      </rPr>
      <t xml:space="preserve"> 0.29.0 n</t>
    </r>
    <r>
      <rPr>
        <rFont val="Arial"/>
        <color rgb="FF000000"/>
      </rPr>
      <t xml:space="preserve">e pourrons plus accéder au jeu. Nous lancerons un pack de mise à jour dans les 8 heures suivant la maintenance. Merci de télécharger la nouvelle version et de vous connecter pour récupérer la récompense dans votre messagerie. 
[Horaire de mise à jour]
Le </t>
    </r>
    <r>
      <rPr>
        <rFont val="Arial"/>
        <color rgb="FFFF0000"/>
      </rPr>
      <t>01/04/2021 à 6 heures (TU</t>
    </r>
    <r>
      <rPr>
        <rFont val="Arial"/>
        <color rgb="FF000000"/>
      </rPr>
      <t>). Pendant le déploiement, vous ne pourrez plus accéder au jeu. Au début des opérations de maintenance, tous les joueurs bénéficieront d’un bouclier de 8 heures, qui sera désactivé 10 minutes après leur reconnexion. Pour éviter toute perte, ne déployez aucune troupe en dehors de votre ville pendant cette période. 
[Durée estimée de la maintenance]
&lt;color=#ffa200&gt;</t>
    </r>
    <r>
      <rPr>
        <rFont val="Arial"/>
        <color rgb="FFFF0000"/>
      </rPr>
      <t>60</t>
    </r>
    <r>
      <rPr>
        <rFont val="Arial"/>
        <color rgb="FF000000"/>
      </rPr>
      <t xml:space="preserve"> minutes&lt;/color&gt;
[Liens de téléchargement]
Rendez-vous sur &lt;color=#ffa200&gt;Google Play ou l’App Store&lt;/color&gt; (ou appuyez sur la fenêtre pop-up dans le jeu pour accéder à la page des téléchargements) et effectuez la mise à jour du jeu.
[-1#Appuyez pour mettre à jour sur Android](herf=https://play.google.com/store/apps/details?id=com.tap4fun.ape.gplay&amp;fbclid=IwAR116CrjtfV5PPtCr0IoJq0oKeS1ChLBo8DITNbG7nkH-cFXXDcIGL1iNN4)
[-1#Appuyez pour mettre à jour sur iOS](herf=https://apps.apple.com/us/app/age-of-apes/id1475453887)
[Détails de la mise à jour </t>
    </r>
    <r>
      <rPr>
        <rFont val="Arial"/>
        <color rgb="FFFF0000"/>
      </rPr>
      <t>0.29.0</t>
    </r>
    <r>
      <rPr>
        <rFont val="Arial"/>
        <color rgb="FF000000"/>
      </rPr>
      <t>]
Suivez notre communauté officielle sur Discord pour connaître les éventuels retards dans la maintenance des serveurs et, le cas échéant, l’horaire corrigé du redémarrage des serveurs. [-1# Appuyez pour rejoindre notre serveur Discord officiel](herf=https://discord.gg/RncnPNw)
Nous poursuivons le travail pour résoudre les dysfonctionnements et vous proposer du nouveau contenu génial. Restez à l’écoute et à bientôt à la taverne!
Roger l'assistant</t>
    </r>
  </si>
  <si>
    <r>
      <rPr>
        <rFont val="Arial"/>
        <color rgb="FF000000"/>
      </rPr>
      <t>Lieber Captain,
 Um dir ein besseres Spielerlebnis zu bieten, werden wir am &lt;color=#ffa200</t>
    </r>
    <r>
      <rPr>
        <rFont val="Arial"/>
        <color rgb="FFFF0000"/>
      </rPr>
      <t>&gt;01.04.2021 um 06:00 UTC</t>
    </r>
    <r>
      <rPr>
        <rFont val="Arial"/>
        <color rgb="FF000000"/>
      </rPr>
      <t xml:space="preserve">&lt;/color&gt; das Update auf Version </t>
    </r>
    <r>
      <rPr>
        <rFont val="Arial"/>
        <color rgb="FFFF0000"/>
      </rPr>
      <t xml:space="preserve">0.29.0 </t>
    </r>
    <r>
      <rPr>
        <rFont val="Arial"/>
        <color rgb="FF000000"/>
      </rPr>
      <t>durchzuführen. Wir werden zu diesem Zeitpunkt eine Serverwartung durchführen, die etwa &lt;color=#ffa200&gt;</t>
    </r>
    <r>
      <rPr>
        <rFont val="Arial"/>
        <color rgb="FFFF0000"/>
      </rPr>
      <t xml:space="preserve">60 </t>
    </r>
    <r>
      <rPr>
        <rFont val="Arial"/>
        <color rgb="FF000000"/>
      </rPr>
      <t xml:space="preserve">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t>
    </r>
    <r>
      <rPr>
        <rFont val="Arial"/>
        <color rgb="FFFF0000"/>
      </rPr>
      <t xml:space="preserve"> 01.04.2021, 06:00 UTC</t>
    </r>
    <r>
      <rPr>
        <rFont val="Arial"/>
        <color rgb="FF000000"/>
      </rPr>
      <t>; du wirst während dieser Zeit nicht auf das Spiel zugreifen können. Sobald die Serverwartung beginnt, erhalten alle Spieler ein 8-stündiges Stadtschild, das 10 Minuten, nachdem sich die Spieler wieder ins Spiel eingeloggt haben, deaktiviert wird. Um unnötige Verluste zu vermeiden, solltest du während dieser Zeit keine Truppen außerhalb deiner Stadt entsenden. 
 [Geschätzte Wartungsdauer]
 &lt;color=#ffa200&gt;</t>
    </r>
    <r>
      <rPr>
        <rFont val="Arial"/>
        <color rgb="FFFF0000"/>
      </rPr>
      <t xml:space="preserve">60 </t>
    </r>
    <r>
      <rPr>
        <rFont val="Arial"/>
        <color rgb="FF000000"/>
      </rPr>
      <t xml:space="preserve">Minuten&lt;/color&gt;
 [Download-Links]
 Bitte gehe zu &lt;color=#ffa200&gt;Google Play oder dem App Store&lt;/color&gt; und aktualisiere dein Spiel.
 [-1#Tippen zum Update für Android](herf=https://play.google.com/store/apps/details?id=com.tap4fun.ape.gplay&amp;fbclid=IwAR116CrjtfV5PPtCr0IoJq0oKeS1ChLBo8DITNbG7nkH-cFXXDcIGL1iNN4)
 [-1#Tippen zum Update für iOS](herf=https://apps.apple.com/us/app/age-of-apes/id1475453887)
</t>
    </r>
    <r>
      <rPr>
        <rFont val="Arial"/>
        <color rgb="FFFF0000"/>
      </rPr>
      <t xml:space="preserve"> [0.29.0</t>
    </r>
    <r>
      <rPr>
        <rFont val="Arial"/>
        <color rgb="FF000000"/>
      </rPr>
      <t xml:space="preserve"> Update-Details]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t>
    </r>
  </si>
  <si>
    <r>
      <rPr>
        <rFont val="Arial"/>
        <color rgb="FF000000"/>
      </rPr>
      <t>Caro Capitão,
 Para melhorar a experiência de jogo, planejamos lançar a atualizaçã</t>
    </r>
    <r>
      <rPr>
        <rFont val="Arial"/>
        <color rgb="FFFF0000"/>
      </rPr>
      <t>o 0.29.0 e</t>
    </r>
    <r>
      <rPr>
        <rFont val="Arial"/>
        <color rgb="FF000000"/>
      </rPr>
      <t>m &lt;color=#ffa200&gt;</t>
    </r>
    <r>
      <rPr>
        <rFont val="Arial"/>
        <color rgb="FFFF0000"/>
      </rPr>
      <t>01/04/2021 às 06:00 (fuso UTC)</t>
    </r>
    <r>
      <rPr>
        <rFont val="Arial"/>
        <color rgb="FF000000"/>
      </rPr>
      <t>&lt;/color&gt;. No momento, estamos fazendo a manutenção do jogo, que durará cerca de &lt;color=#ffa200&gt;</t>
    </r>
    <r>
      <rPr>
        <rFont val="Arial"/>
        <color rgb="FFFF0000"/>
      </rPr>
      <t>60</t>
    </r>
    <r>
      <rPr>
        <rFont val="Arial"/>
        <color rgb="FF000000"/>
      </rPr>
      <t xml:space="preserve"> minutos&lt;/color&gt;. Para garantir a equidade da experiência de jogo e permitir que os jogadores aproveitem o conteúdo mais recente do jogo, esta será uma &lt;color=#ffa200&gt;atualização obrigatória&lt;/color&gt;. Jogadores que estiverem usando versões anteriores à </t>
    </r>
    <r>
      <rPr>
        <rFont val="Arial"/>
        <color rgb="FFFF0000"/>
      </rPr>
      <t>0.29.0</t>
    </r>
    <r>
      <rPr>
        <rFont val="Arial"/>
        <color rgb="FF000000"/>
      </rPr>
      <t xml:space="preserve"> não poderão mais acessar o jogo após a manutenção. Lançaremos um pacote de atualização dentro de 8 horas após a atualização. Faça o download da nova versão e entre no jogo para resgatar as recompensas enviadas.
 [Horário da atualização]
</t>
    </r>
    <r>
      <rPr>
        <rFont val="Arial"/>
        <color rgb="FFFF0000"/>
      </rPr>
      <t xml:space="preserve"> 01/04/2021, às 06:00 (fuso UTC).</t>
    </r>
    <r>
      <rPr>
        <rFont val="Arial"/>
        <color rgb="FF000000"/>
      </rPr>
      <t xml:space="preserve"> Não será possível acessar o jogo durante este período. Assim que a manutenção começar, todos os jogadores receberão 8 horas de escudo da cidade, que será desativado 10 minutos depois que o jogador entrar novamente no jogo. Para evitar perdas desnecessárias, não envie tropas para fora da cidade durante este período. 
 [Tempo de manutenção estimado]
 &lt;color=#ffa200&gt;</t>
    </r>
    <r>
      <rPr>
        <rFont val="Arial"/>
        <color rgb="FFFF0000"/>
      </rPr>
      <t xml:space="preserve">60 </t>
    </r>
    <r>
      <rPr>
        <rFont val="Arial"/>
        <color rgb="FF000000"/>
      </rPr>
      <t xml:space="preserve">minutos&lt;/color&gt;
 [Links de download]
 Vá ao &lt;color=#ffa200&gt;Google Play ou ao App Store&lt;/color&gt; (ou toque no alerta pop-up no jogo para ir à página de dowloads) e atualize o jogo.
 [-1#Toque para atualizar para Android](herf=https://play.google.com/store/apps/details?id=com.tap4fun.ape.gplay&amp;fbclid=IwAR116CrjtfV5PPtCr0IoJq0oKeS1ChLBo8DITNbG7nkH-cFXXDcIGL1iNN4)
 [-1#Toque para atualizar para iOS](herf=https://apps.apple.com/us/app/age-of-apes/id1475453887)
 [Detalhes da atualização </t>
    </r>
    <r>
      <rPr>
        <rFont val="Arial"/>
        <color rgb="FFFF0000"/>
      </rPr>
      <t>0.29.0</t>
    </r>
    <r>
      <rPr>
        <rFont val="Arial"/>
        <color rgb="FF000000"/>
      </rPr>
      <t>]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t>
    </r>
  </si>
  <si>
    <r>
      <rPr>
        <rFont val="Arial"/>
        <color rgb="FF000000"/>
      </rPr>
      <t>親愛的指揮官：
為了給大家帶來更好的遊戲體驗，我們預計在&lt;color=#ffa200</t>
    </r>
    <r>
      <rPr>
        <rFont val="Arial"/>
        <color rgb="FFFF0000"/>
      </rPr>
      <t>&gt;UTC時間 2021年4月1日 06:00&lt;</t>
    </r>
    <r>
      <rPr>
        <rFont val="Arial"/>
        <color rgb="FF000000"/>
      </rPr>
      <t>/color&gt;進行0.29.0版本更新。屆時服務器將進行&lt;color=#ffa200&gt;</t>
    </r>
    <r>
      <rPr>
        <rFont val="Arial"/>
        <color rgb="FFFF0000"/>
      </rPr>
      <t>60分</t>
    </r>
    <r>
      <rPr>
        <rFont val="Arial"/>
        <color rgb="FF000000"/>
      </rPr>
      <t>鐘&lt;/color&gt;的維護，為了確保所有玩家都有相同的遊戲體驗並享受最新的內容，本次更新為&lt;color=#ffa200&gt;強制更新&lt;/color &gt;，維護結束後，客戶端版本號低於</t>
    </r>
    <r>
      <rPr>
        <rFont val="Arial"/>
        <color rgb="FFFF0000"/>
      </rPr>
      <t>0.29.0</t>
    </r>
    <r>
      <rPr>
        <rFont val="Arial"/>
        <color rgb="FF000000"/>
      </rPr>
      <t>的猴子們將無法進入遊戲。我們將在版本更新後8小時內為您送來更新禮包，屆時請您下載新版本後登錄遊戲在郵件處領取。
【更新時間】&lt;color=#ffa200&gt;</t>
    </r>
    <r>
      <rPr>
        <rFont val="Arial"/>
        <color rgb="FFFF0000"/>
      </rPr>
      <t>2021年4月1日UTC06:00&lt;</t>
    </r>
    <r>
      <rPr>
        <rFont val="Arial"/>
        <color rgb="FF000000"/>
      </rPr>
      <t>/color&gt;，屆時您將無法進入遊戲。停服開始後，所有玩家都將獲得8小時的能量護盾，此期間請不要將部隊派出基地，以免造成不必要的損失，並且該護盾將在玩家上線後10分鐘內消失。
【預計維護時長】&lt;color=#ffa200</t>
    </r>
    <r>
      <rPr>
        <rFont val="Arial"/>
        <color rgb="FFFF0000"/>
      </rPr>
      <t>&gt;60分</t>
    </r>
    <r>
      <rPr>
        <rFont val="Arial"/>
        <color rgb="FF000000"/>
      </rPr>
      <t>鐘&lt;/color&gt;
【下載地址】請前往&lt;color=#ffa200&gt;Google Play 和 App Store&lt;/color&gt;（或點擊遊戲自動彈出的下載引導進入下載頁面）中更新
[-1#點擊更新GOOGLE版本](herf=https://play.google.com/store/apps/details?id=com.tap4fun.ape.gplay&amp;fbclid=IwAR116CrjtfV5PPtCr0IoJq0oKeS1ChLBo8DITNbG7nkH-cFXXDcIGL1iNN4)
[-1#點擊更新IOS版本](herf=https://apps.apple.com/us/app/age-of-apes/id1475453887)
【</t>
    </r>
    <r>
      <rPr>
        <rFont val="Arial"/>
        <color rgb="FFFF0000"/>
      </rPr>
      <t>0.29.0</t>
    </r>
    <r>
      <rPr>
        <rFont val="Arial"/>
        <color rgb="FF000000"/>
      </rPr>
      <t>更新內容】
本次維護不排除延遲開啟的可能，如若延遲，則請關注社區發布的具體開服時間。 [-1#點擊加入Discord社區](herf=https://discord.gg/fK3gtph)
我們將繼續修復遊戲中的一些問題，同時給大家帶來更多的新內容。敬請期待，享受你的香蕉盛宴吧！
羅傑副官</t>
    </r>
  </si>
  <si>
    <r>
      <rPr>
        <rFont val="Arial"/>
        <color rgb="FF000000"/>
      </rPr>
      <t xml:space="preserve">Kapten yang terhormat,
 Untuk memberikanmu pengalaman bermain yang lebih baik, kami berencana untuk merilis pembaruan versi </t>
    </r>
    <r>
      <rPr>
        <rFont val="Arial"/>
        <color rgb="FFFF0000"/>
      </rPr>
      <t>0.29.0</t>
    </r>
    <r>
      <rPr>
        <rFont val="Arial"/>
        <color rgb="FF000000"/>
      </rPr>
      <t xml:space="preserve"> pada &lt;color=#ffa200&gt;</t>
    </r>
    <r>
      <rPr>
        <rFont val="Arial"/>
        <color rgb="FFFF0000"/>
      </rPr>
      <t>2021-04-01 pukul 06:00 UTC</t>
    </r>
    <r>
      <rPr>
        <rFont val="Arial"/>
        <color rgb="FF000000"/>
      </rPr>
      <t>&lt;/color&gt;. Pada saat itu, kami akan melakukan pemeliharaan server yang berlangsung kira-kira &lt;color=#ffa200&gt;</t>
    </r>
    <r>
      <rPr>
        <rFont val="Arial"/>
        <color rgb="FFFF0000"/>
      </rPr>
      <t xml:space="preserve">60 </t>
    </r>
    <r>
      <rPr>
        <rFont val="Arial"/>
        <color rgb="FF000000"/>
      </rPr>
      <t>menit&lt;/color&gt;. Untuk memastikan pengalaman bermain game yang normal dan memungkinkan semua pemain menikmati konten game terbaru, hal ini akan menjadi &lt;color=#ffa200&gt;pembaruan wajib&lt;/color&gt;. Pemain yang menjalankan versi lebih lama dari</t>
    </r>
    <r>
      <rPr>
        <rFont val="Arial"/>
        <color rgb="FFFF0000"/>
      </rPr>
      <t xml:space="preserve"> 0.29.0 </t>
    </r>
    <r>
      <rPr>
        <rFont val="Arial"/>
        <color rgb="FF000000"/>
      </rPr>
      <t xml:space="preserve">tidak bisa lagi mengakses game setelah pemeliharaan ini selesai.Kami akan mengeluarkan paket pembaruan dalam 8 jam setelah pembaruan. Unduh versi game baru dan masuk ke dalam game untuk mengklaim hadiah dalam Emailmu.
 [Waktu Pembaruan]
</t>
    </r>
    <r>
      <rPr>
        <rFont val="Arial"/>
        <color rgb="FFFF0000"/>
      </rPr>
      <t xml:space="preserve"> 06:00 UTC, 2021-04-01; </t>
    </r>
    <r>
      <rPr>
        <rFont val="Arial"/>
        <color rgb="FF000000"/>
      </rPr>
      <t>kamu tidak akan bisa mengakses game selama waktu tersebut. Setelah pemeliharaan server dimulai, semua pemain akan menerima Perisai Kota 8 jam yang akan dinonaktifkan 10 menit setelah pemain masuk kembali ke dalam game. Untuk menghindari kerugian yang tidak perlu, jangan kirim pasukan ke luar Kotamu selama waktu tersebut.
 [Perkiraan Durasi Pemeliharaan]
 &lt;color=#ffa200&gt;</t>
    </r>
    <r>
      <rPr>
        <rFont val="Arial"/>
        <color rgb="FFFF0000"/>
      </rPr>
      <t xml:space="preserve">60 </t>
    </r>
    <r>
      <rPr>
        <rFont val="Arial"/>
        <color rgb="FF000000"/>
      </rPr>
      <t xml:space="preserve">menit&lt;/color&gt;
 [Tautan Unduhan]
 Buka &lt;color=#ffa200&gt;Google Play atau App Store&lt;/color&gt; (atau ketuk peringatan pop-up di dalam game untuk membuka halaman unduhan), lalu perbarui gamemu.
 [-1#Ketuk untuk memperbarui Android](herf=https://play.google.com/store/apps/details?id=com.tap4fun.ape.gplay&amp;fbclid=IwAR116CrjtfV5PPtCr0IoJq0oKeS1ChLBo8DITNbG7nkH-cFXXDcIGL1iNN4)
 [-1#Ketuk untuk memperbarui iOS](herf=https://apps.apple.com/us/app/age-of-apes/id1475453887)
</t>
    </r>
    <r>
      <rPr>
        <rFont val="Arial"/>
        <color rgb="FFFF0000"/>
      </rPr>
      <t xml:space="preserve"> [0.29.0 </t>
    </r>
    <r>
      <rPr>
        <rFont val="Arial"/>
        <color rgb="FF000000"/>
      </rPr>
      <t>Rincian Pembaruan]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t>
    </r>
  </si>
  <si>
    <r>
      <rPr>
        <rFont val="Arial"/>
        <color rgb="FF000000"/>
      </rPr>
      <t>ถึงท่านผู้บัญชาการ
 เพื่อให้นายได้รับประสบการณ์การเล่นเกมที่ดีขึ้น เราวางแผนที่จะปล่อยอัปเดตเวอร์ชัน</t>
    </r>
    <r>
      <rPr>
        <rFont val="Arial"/>
        <color rgb="FFFF0000"/>
      </rPr>
      <t xml:space="preserve"> 0.29.0</t>
    </r>
    <r>
      <rPr>
        <rFont val="Arial"/>
        <color rgb="FF000000"/>
      </rPr>
      <t xml:space="preserve"> ในวันที่ &lt;color=#ffa200</t>
    </r>
    <r>
      <rPr>
        <rFont val="Arial"/>
        <color rgb="FFFF0000"/>
      </rPr>
      <t xml:space="preserve">&gt;2021-04-01 ในเวลา 06:00 </t>
    </r>
    <r>
      <rPr>
        <rFont val="Arial"/>
        <color rgb="FF000000"/>
      </rPr>
      <t>ตามเวลา UTC&lt;/color&gt; ซึ่งในเวลาดังกล่าว เราจะทำการบำรุงรักษาเซิร์ฟเวอร์เป็นเวลาประมาณ &lt;color=#ffa200&gt;</t>
    </r>
    <r>
      <rPr>
        <rFont val="Arial"/>
        <color rgb="FFFF0000"/>
      </rPr>
      <t xml:space="preserve">60 </t>
    </r>
    <r>
      <rPr>
        <rFont val="Arial"/>
        <color rgb="FF000000"/>
      </rPr>
      <t>นาที&lt;/color&gt; เพื่อให้มั่นใจว่าประสบการณ์การเล่นเกมของทุกท่านเป็นไปด้วยดี และเพื่อให้ผู้เล่นทุกคนได้เพลิดเพลินไปกับเนื้อหาเกมล่าสุด ในกรณีนี้จะเป็น&lt;color=#ffa200&gt;การอัปเดตภาคบังคับ&lt;/color&gt; ซึ่งผู้เล่นที่ใช้เวอร์ชันเก่ากว่า</t>
    </r>
    <r>
      <rPr>
        <rFont val="Arial"/>
        <color rgb="FFFF0000"/>
      </rPr>
      <t xml:space="preserve"> 0.29.0 จะ</t>
    </r>
    <r>
      <rPr>
        <rFont val="Arial"/>
        <color rgb="FF000000"/>
      </rPr>
      <t xml:space="preserve">ไม่สามารถเข้าสู่เกมได้หลังจากการบำรุงรักษานี้เสร็จสมบูรณ์
 [เวลาอัปเดต]
 </t>
    </r>
    <r>
      <rPr>
        <rFont val="Arial"/>
        <color rgb="FFFF0000"/>
      </rPr>
      <t>06:00 UTC 2021-04-01</t>
    </r>
    <r>
      <rPr>
        <rFont val="Arial"/>
        <color rgb="FF000000"/>
      </rPr>
      <t>; นายจะไม่สามารถเข้าเล่นเกมได้ในช่วงเวลานี้ โดยเมื่อเริ่มทำการบำรุงรักษาเซิร์ฟเวอร์ ผู้เล่นทุกคนจะได้รับโล่สันติภาพเป็นเวลา 8 ชั่วโมง ซึ่งจะปิดใช้งานใน 10 นาทีหลังจากที่ผู้เล่นกลับเข้าสู่เกม ดังนั้น เพื่อหลีกเลี่ยงการสูญเสียที่ไม่จำเป็น อย่าส่งกองทหารออกไปนอกเมืองของนายในช่วงเวลาที่บอกล่ะ
 [ระยะเวลาการบำรุงรักษาโดยประมาณ]
 &lt;color=#ffa200&gt;</t>
    </r>
    <r>
      <rPr>
        <rFont val="Arial"/>
        <color rgb="FFFF0000"/>
      </rPr>
      <t>60</t>
    </r>
    <r>
      <rPr>
        <rFont val="Arial"/>
        <color rgb="FF000000"/>
      </rPr>
      <t xml:space="preserve"> นาที&lt;/color&gt;
 [ลิงก์สำหรับดาวน์โหลด]
 โปรดไปที่ &lt;color=#ffa200&gt;Google Play หรือ App Store&lt;/color&gt; (หรือแตะป๊อปอัปการแจ้งเตือนในเกมเพื่อไปที่หน้าดาวน์โหลด) แล้วอัปเดตเกมของคุณ
 [-1#แตะเพื่ออัปเดตสำหรับ Android](herf=https://play.google.com/store/apps/details?id=com.tap4fun.ape.gplay&amp;fbclid=IwAR116CrjtfV5PPtCr0IoJq0oKeS1ChLBo8DITNbG7nkH-cFXXDcIGL1iNN4)
 [-1#แตะเพื่ออัปเดตสำหรับ iOS](herf=https://apps.apple.com/us/app/age-of-apes/id1475453887)
 [</t>
    </r>
    <r>
      <rPr>
        <rFont val="Arial"/>
        <color rgb="FFFF0000"/>
      </rPr>
      <t>0.29.0</t>
    </r>
    <r>
      <rPr>
        <rFont val="Arial"/>
        <color rgb="FF000000"/>
      </rPr>
      <t xml:space="preserve"> รายละเอียดการอัปเดต]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t>
    </r>
  </si>
  <si>
    <r>
      <rPr>
        <rFont val="Arial"/>
        <color rgb="FF000000"/>
      </rPr>
      <t>Querido Capitán,
 Para poder brindarte una mejor experiencia de juego, planeamos liberar una actualización a la versión</t>
    </r>
    <r>
      <rPr>
        <rFont val="Arial"/>
        <color rgb="FFFF0000"/>
      </rPr>
      <t xml:space="preserve"> 0.29.0 </t>
    </r>
    <r>
      <rPr>
        <rFont val="Arial"/>
        <color rgb="FF000000"/>
      </rPr>
      <t>el &lt;color=#ffa200&gt;</t>
    </r>
    <r>
      <rPr>
        <rFont val="Arial"/>
        <color rgb="FFFF0000"/>
      </rPr>
      <t xml:space="preserve">01-04-2021 a las 06:00 </t>
    </r>
    <r>
      <rPr>
        <rFont val="Arial"/>
        <color rgb="FF000000"/>
      </rPr>
      <t>UTC&lt;/color&gt;. En ese momento, realizaremos un mantenimiento de servidor que tendrá una duración aproximada de &lt;color=#ffa200&gt;</t>
    </r>
    <r>
      <rPr>
        <rFont val="Arial"/>
        <color rgb="FFFF0000"/>
      </rPr>
      <t>60</t>
    </r>
    <r>
      <rPr>
        <rFont val="Arial"/>
        <color rgb="FF000000"/>
      </rPr>
      <t xml:space="preserve"> minutos&lt;/color&gt;. Para asegurarnos de que la experiencia de juego sea común y para permitir que todos los jugadores disfruten del contenido más actualizado del juego esta será una &lt;color=#ffa200&gt;actualización obligatoria&lt;/color&gt;. Los jugadores que estén utilizando versiones más viejas a la </t>
    </r>
    <r>
      <rPr>
        <rFont val="Arial"/>
        <color rgb="FFFF0000"/>
      </rPr>
      <t xml:space="preserve">0.29.0 </t>
    </r>
    <r>
      <rPr>
        <rFont val="Arial"/>
        <color rgb="FF000000"/>
      </rPr>
      <t xml:space="preserve">ya no podrán acceder al juego después de que este mantenimiento esté completo. Liberaremos un paquete de actualización dentro de las siguientes 8 horas después de la actualización. Por favor, descarga la nueva versión del juego y conéctate al juego para reclamar la recompensa en tu Correo. 
 [Hora de la Actualización]
</t>
    </r>
    <r>
      <rPr>
        <rFont val="Arial"/>
        <color rgb="FFFF0000"/>
      </rPr>
      <t xml:space="preserve"> 06:00 UTC, 01-04-2021;</t>
    </r>
    <r>
      <rPr>
        <rFont val="Arial"/>
        <color rgb="FF000000"/>
      </rPr>
      <t xml:space="preserve"> no podrás acceder al juego durante esta hora. Una vez que el mantenimiento de servidor comience, todos los jugadores recibirán un Escudo de Ciudad de 8 horas que será deshabilitado 10 minutos después de que los jugadores se reconecten al juego. Para evitar cualquier perdida innecesaria, por favor, no envíes tropas fuera de la Ciudad durante este periodo. 
 [Duración Estimada del Mantenimiento]
 &lt;color=#ffa200&gt;60 minutos&lt;/color&gt;
 [Ligas de Descarga]
 Por favor ve a &lt;color=#ffa200&gt;Google Play o la Tienda de Aplicaciones&lt;/color&gt; (o toca en la alerta emergente en el juego para ir a la página de descarga) y actualiza tu juego.
 [-1#Toca para actualizar para Android](herf=https://play.google.com/store/apps/details?id=com.tap4fun.ape.gplay&amp;fbclid=IwAR116CrjtfV5PPtCr0IoJq0oKeS1ChLBo8DITNbG7nkH-cFXXDcIGL1iNN4)
 [-1#Toca para actualizar para iOS](herf=https://apps.apple.com/us/app/age-of-apes/id1475453887)
 [Detalles de la actualización </t>
    </r>
    <r>
      <rPr>
        <rFont val="Arial"/>
        <color rgb="FFFF0000"/>
      </rPr>
      <t>0.29.0</t>
    </r>
    <r>
      <rPr>
        <rFont val="Arial"/>
        <color rgb="FF000000"/>
      </rPr>
      <t>]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t>
    </r>
  </si>
  <si>
    <r>
      <rPr>
        <rFont val="Arial"/>
        <color rgb="FF000000"/>
      </rPr>
      <t xml:space="preserve">Уважаемый капитан!
Для того чтобы подарить вам наилучшие впечатления от игры, мы планируем выпустить обновление версии </t>
    </r>
    <r>
      <rPr>
        <rFont val="Arial"/>
        <color rgb="FFFF0000"/>
      </rPr>
      <t xml:space="preserve">0.29.0 </t>
    </r>
    <r>
      <rPr>
        <rFont val="Arial"/>
        <color rgb="FF000000"/>
      </rPr>
      <t>&lt;color=#ffa200&gt;</t>
    </r>
    <r>
      <rPr>
        <rFont val="Arial"/>
        <color rgb="FFFF0000"/>
      </rPr>
      <t>01.04.2021 в 06:00 UT</t>
    </r>
    <r>
      <rPr>
        <rFont val="Arial"/>
        <color rgb="FF000000"/>
      </rPr>
      <t>C&lt;/color&gt;. Мы проведем техническое обслуживание сервера, которое продлится примерно &lt;color=#ffa200&gt;</t>
    </r>
    <r>
      <rPr>
        <rFont val="Arial"/>
        <color rgb="FFFF0000"/>
      </rPr>
      <t>60</t>
    </r>
    <r>
      <rPr>
        <rFont val="Arial"/>
        <color rgb="FF000000"/>
      </rPr>
      <t xml:space="preserve"> минут&lt;/color&gt;. Для того чтобы игра работала одинаково у всех игроков и все игроки могли наслаждаться новейшим игровым контентом, мы делаем это обновление &lt;color=#ffa200&gt;обязательным&lt;/color&gt;. Игроки с версиями игры, отличными от</t>
    </r>
    <r>
      <rPr>
        <rFont val="Arial"/>
        <color rgb="FFFF0000"/>
      </rPr>
      <t xml:space="preserve"> 0.29.0,</t>
    </r>
    <r>
      <rPr>
        <rFont val="Arial"/>
        <color rgb="FF000000"/>
      </rPr>
      <t xml:space="preserve"> не смогут получить доступ к игре после завершения обслуживания.Мы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t>
    </r>
    <r>
      <rPr>
        <rFont val="Arial"/>
        <color rgb="FFFF0000"/>
      </rPr>
      <t>01.04.2021, 06:00 UTC</t>
    </r>
    <r>
      <rPr>
        <rFont val="Arial"/>
        <color rgb="FF000000"/>
      </rPr>
      <t>. Во время обновления вы не сможете получить доступ к игре. Как только начнется обслуживание сервера, все игроки получат городской щит на 8 часов, который будет отключен через 10 минут после того, как игроки снова войдут в игру. Чтобы избежать ненужных потерь, пожалуйста, не отправляйте войска за пределы города в течение этого времени. 
[Ожидаемая длительность обслуживания]
&lt;color=#ffa200&gt;</t>
    </r>
    <r>
      <rPr>
        <rFont val="Arial"/>
        <color rgb="FFFF0000"/>
      </rPr>
      <t>60</t>
    </r>
    <r>
      <rPr>
        <rFont val="Arial"/>
        <color rgb="FF000000"/>
      </rPr>
      <t xml:space="preserve"> минут&lt;/color&gt;
[Ссылки для загрузки]
Пожалуйста, перейдите в &lt;color=#ffa200&gt;Google Play или App Store&lt;/color&gt; (или нажмите на всплывающее сообщение в игре, чтобы перейти на страницу загрузки) и обновите игру.
[-1#Нажмите для обновления на Android](herf=https://play.google.com/store/apps/details?id=com.tap4fun.ape.gplay&amp;fbclid=IwAR116CrjtfV5PPtCr0IoJq0oKeS1ChLBo8DITNbG7nkH-cFXXDcIGL1iNN4)
[-1#Нажмите для обновления на iOS](herf=https://apps.apple.com/us/app/age-of-apes/id1475453887)
[Детали обновления</t>
    </r>
    <r>
      <rPr>
        <rFont val="Arial"/>
        <color rgb="FFFF0000"/>
      </rPr>
      <t xml:space="preserve"> 0.29.0</t>
    </r>
    <r>
      <rPr>
        <rFont val="Arial"/>
        <color rgb="FF000000"/>
      </rPr>
      <t>]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t>
    </r>
  </si>
  <si>
    <r>
      <rPr>
        <rFont val="Arial"/>
        <color rgb="FF000000"/>
      </rPr>
      <t>Sevgili Kaptan,
 Sana daha iyi bir oyun deneyimi sunmak adına sürüm</t>
    </r>
    <r>
      <rPr>
        <rFont val="Arial"/>
        <color rgb="FFFF0000"/>
      </rPr>
      <t xml:space="preserve"> 0.21.0 </t>
    </r>
    <r>
      <rPr>
        <rFont val="Arial"/>
        <color rgb="FF000000"/>
      </rPr>
      <t>güncellemesini &lt;color=#ffa200&gt;</t>
    </r>
    <r>
      <rPr>
        <rFont val="Arial"/>
        <color rgb="FFFF0000"/>
      </rPr>
      <t xml:space="preserve">01.04.2021 saat 06.00’da </t>
    </r>
    <r>
      <rPr>
        <rFont val="Arial"/>
        <color rgb="FF000000"/>
      </rPr>
      <t>(UTC)&lt;/color&gt; yayımlamayı planlıyoruz. O esnada yaklaşık &lt;color=#ffa200&gt;</t>
    </r>
    <r>
      <rPr>
        <rFont val="Arial"/>
        <color rgb="FFFF0000"/>
      </rPr>
      <t xml:space="preserve">60 </t>
    </r>
    <r>
      <rPr>
        <rFont val="Arial"/>
        <color rgb="FF000000"/>
      </rPr>
      <t xml:space="preserve">dakika&lt;/color&gt; sürecek bir sunucu bakımı gerçekleştireceğiz. Ortak bir oyun deneyimi sunmak ve tüm oyuncuların oyunun en yeni içeriklerinden faydalanmasını sağlamak için bu &lt;color=#ffa200&gt;zorunlu bir güncelleme&lt;/color&gt; olacak. </t>
    </r>
    <r>
      <rPr>
        <rFont val="Arial"/>
        <color rgb="FFFF0000"/>
      </rPr>
      <t>0.29.0</t>
    </r>
    <r>
      <rPr>
        <rFont val="Arial"/>
        <color rgb="FF000000"/>
      </rPr>
      <t xml:space="preserve">’dan daha eski sürümleri kullanan oyuncular, bu bakımın tamamlanmasının ardından bir daha oyuna erişim sağlayamayacaklar. Güncellemenin ardından 8 saat içinde bir güncelleme paketi yayımlayacağız. Lütfen oyunun yeni sürümünü indir ve oyuna giriş yaparak Postandan ödülünü al.
 [Güncelleme Zamanı]
 </t>
    </r>
    <r>
      <rPr>
        <rFont val="Arial"/>
        <color rgb="FFFF0000"/>
      </rPr>
      <t>06.00 (UTC), 01.04.2021</t>
    </r>
    <r>
      <rPr>
        <rFont val="Arial"/>
        <color rgb="FF000000"/>
      </rPr>
      <t>; bu sırada oyuna erişim sağlayamayacaksın. Sunucu bakımı başladıktan sonra tüm oyuncular 8 saatlik bir Şehir Kalkanı alacak ve oyuncular oyuna tekrar giriş yaptıktan 10 dakika sonra bu devre dışı kalacak. Gereksiz kayıplar yaşamamak adına, lütfen bu süre zarfında birliklerinizi Şehrinin dışına çıkarma. 
 [Tahmini Bakım Süresi]
 &lt;color=#ffa200&gt;</t>
    </r>
    <r>
      <rPr>
        <rFont val="Arial"/>
        <color rgb="FFFF0000"/>
      </rPr>
      <t>60</t>
    </r>
    <r>
      <rPr>
        <rFont val="Arial"/>
        <color rgb="FF000000"/>
      </rPr>
      <t xml:space="preserve"> dakika&lt;/color&gt;
 [İndirme Bağlantıları]
 Lütfen &lt;color=#ffa200&gt;Google Play veya App Store&lt;/color&gt;’a git (veya indirme sayfasına gitmek için oyundaki açılır uyarıya dokun) ve oyununu güncelle.
 [-1#Android’de güncellemek için dokun](herf=https://play.google.com/store/apps/details?id=com.tap4fun.ape.gplay&amp;fbclid=IwAR116CrjtfV5PPtCr0IoJq0oKeS1ChLBo8DITNbG7nkH-cFXXDcIGL1iNN4)
 [-1#iOS’ta güncellemek için dokun](herf=https://apps.apple.com/us/app/age-of-apes/id1475453887)
 [</t>
    </r>
    <r>
      <rPr>
        <rFont val="Arial"/>
        <color rgb="FFFF0000"/>
      </rPr>
      <t>0.29.0</t>
    </r>
    <r>
      <rPr>
        <rFont val="Arial"/>
        <color rgb="FF000000"/>
      </rPr>
      <t xml:space="preserve"> Güncelleme Bilgileri]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t>
    </r>
  </si>
  <si>
    <r>
      <rPr>
        <rFont val="Arial"/>
        <color rgb="FF000000"/>
      </rPr>
      <t xml:space="preserve">Thưa Thủ Lĩnh,
 Để đem lại cho bạn trải nghiệm chơi game tốt hơn, chúng tôi dự định sẽ phát hành bản cập nhật </t>
    </r>
    <r>
      <rPr>
        <rFont val="Arial"/>
        <color rgb="FFFF0000"/>
      </rPr>
      <t>0.29.0</t>
    </r>
    <r>
      <rPr>
        <rFont val="Arial"/>
        <color rgb="FF000000"/>
      </rPr>
      <t xml:space="preserve"> vào lúc &lt;color=#ffa200&gt;</t>
    </r>
    <r>
      <rPr>
        <rFont val="Arial"/>
        <color rgb="FFFF0000"/>
      </rPr>
      <t>06:00 UTC ngày 01/04/2021</t>
    </r>
    <r>
      <rPr>
        <rFont val="Arial"/>
        <color rgb="FF000000"/>
      </rPr>
      <t>&lt;/color&gt;. Cùng lúc đó, chúng tôi cũng sẽ thực hiện bảo trì máy chủ kéo dài khoảng &lt;color=#ffa200&gt;</t>
    </r>
    <r>
      <rPr>
        <rFont val="Arial"/>
        <color rgb="FFFF0000"/>
      </rPr>
      <t>60</t>
    </r>
    <r>
      <rPr>
        <rFont val="Arial"/>
        <color rgb="FF000000"/>
      </rPr>
      <t xml:space="preserve"> phút&lt;/color&gt;. Để đảm bảo trải nghiệm game chung và cho phép tất cả người chơi tận hưởng nội dung game mới nhất, đây sẽ là một &lt;color=#ffa200&gt;bản cập nhật bắt buộc&lt;/color&gt;. Những người chơi chạy phiên bản cũ hơn </t>
    </r>
    <r>
      <rPr>
        <rFont val="Arial"/>
        <color rgb="FFFF0000"/>
      </rPr>
      <t>0.29.0</t>
    </r>
    <r>
      <rPr>
        <rFont val="Arial"/>
        <color rgb="FF000000"/>
      </rPr>
      <t xml:space="preserve"> sẽ không thể truy cập vào game nữa sau khi quá trình bảo trì này hoàn tất. Chúng tôi sẽ phát hành gói cập nhật trong vòng 8 tiếng sau khi cập nhật. Hãy tải phiên bản game mới và đăng nhập lại vào game để nhận thưởng trong Mail nhé.
 [Thời gian cập nhật]
 </t>
    </r>
    <r>
      <rPr>
        <rFont val="Arial"/>
        <color rgb="FFFF0000"/>
      </rPr>
      <t>06:00 UTC, ngày 01/04/2021;</t>
    </r>
    <r>
      <rPr>
        <rFont val="Arial"/>
        <color rgb="FF000000"/>
      </rPr>
      <t xml:space="preserve"> bạn sẽ không thể truy cập vào game trong khoảng thời gian này. Một khi quá trình bảo trì máy chủ bắt đầu, tất cả người chơi sẽ nhận được một Khiên Chắn Thành Phố 8 tiếng, sẽ hết hiệu lực vào 10 phút sau khi người chơi đăng nhập trở lại game. Để tránh những sự thất thoát không cần thiết, đừng cử binh lính ra ngoài Thành Phố trong khoảng thời gian này. 
 [Thời lượng bảo trì ước tính]
 &lt;color=#ffa200&gt;</t>
    </r>
    <r>
      <rPr>
        <rFont val="Arial"/>
        <color rgb="FFFF0000"/>
      </rPr>
      <t>60</t>
    </r>
    <r>
      <rPr>
        <rFont val="Arial"/>
        <color rgb="FF000000"/>
      </rPr>
      <t xml:space="preserve"> phút&lt;/color&gt;
 [Link tải về]
 Hãy vào &lt;color=#ffa200&gt;Google Play hoặc App Store&lt;/color&gt; (hoặc nhấp vào cảnh báo pop-up trong game để vào trang tải về) và cập nhật game.
 [-1#Nhấp để tải cho Android](herf=https://play.google.com/store/apps/details?id=com.tap4fun.ape.gplay&amp;fbclid=IwAR116CrjtfV5PPtCr0IoJq0oKeS1ChLBo8DITNbG7nkH-cFXXDcIGL1iNN4)
 [-1#Nhấp để tải cho iOS](herf=https://apps.apple.com/us/app/age-of-apes/id1475453887)
 [Thông tin bản cập nhật</t>
    </r>
    <r>
      <rPr>
        <rFont val="Arial"/>
        <color rgb="FFFF0000"/>
      </rPr>
      <t xml:space="preserve"> 0.29.0]</t>
    </r>
    <r>
      <rPr>
        <rFont val="Arial"/>
        <color rgb="FF000000"/>
      </rPr>
      <t xml:space="preserve">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t>
    </r>
  </si>
  <si>
    <r>
      <rPr>
        <rFont val="Arial"/>
        <color rgb="FFFF0000"/>
        <sz val="10.0"/>
      </rPr>
      <t>aaa</t>
    </r>
    <r>
      <rPr>
        <rFont val="Arial"/>
        <color rgb="FF000000"/>
        <sz val="10.0"/>
      </rPr>
      <t>版本更新介绍</t>
    </r>
  </si>
  <si>
    <r>
      <rPr>
        <rFont val="Arial"/>
        <color rgb="FF000000"/>
        <sz val="10.0"/>
      </rPr>
      <t xml:space="preserve">Version </t>
    </r>
    <r>
      <rPr>
        <rFont val="Arial"/>
        <color rgb="FFFF0000"/>
        <sz val="10.0"/>
      </rPr>
      <t>aaa</t>
    </r>
    <r>
      <rPr>
        <rFont val="Arial"/>
        <color rgb="FF000000"/>
        <sz val="10.0"/>
      </rPr>
      <t xml:space="preserve"> Update</t>
    </r>
  </si>
  <si>
    <r>
      <rPr>
        <rFont val="Arial"/>
        <color rgb="FF000000"/>
        <sz val="10.0"/>
      </rPr>
      <t xml:space="preserve">Mise à jour </t>
    </r>
    <r>
      <rPr>
        <rFont val="Arial"/>
        <color rgb="FFFF0000"/>
        <sz val="10.0"/>
      </rPr>
      <t>aaa</t>
    </r>
  </si>
  <si>
    <r>
      <rPr>
        <rFont val="Arial"/>
        <color rgb="FF000000"/>
        <sz val="10.0"/>
      </rPr>
      <t>Update auf Version</t>
    </r>
    <r>
      <rPr>
        <rFont val="Arial"/>
        <color rgb="FFFF0000"/>
        <sz val="10.0"/>
      </rPr>
      <t xml:space="preserve"> aaa</t>
    </r>
  </si>
  <si>
    <r>
      <rPr>
        <rFont val="Arial"/>
        <color rgb="FF000000"/>
        <sz val="10.0"/>
      </rPr>
      <t xml:space="preserve">Atualização da versão </t>
    </r>
    <r>
      <rPr>
        <rFont val="Arial"/>
        <color rgb="FFFF0000"/>
        <sz val="10.0"/>
      </rPr>
      <t>aaa</t>
    </r>
  </si>
  <si>
    <r>
      <rPr>
        <rFont val="Arial"/>
        <color rgb="FF000000"/>
        <sz val="10.0"/>
      </rPr>
      <t>版本</t>
    </r>
    <r>
      <rPr>
        <rFont val="Arial"/>
        <color rgb="FFFF0000"/>
        <sz val="10.0"/>
      </rPr>
      <t xml:space="preserve"> aaa</t>
    </r>
    <r>
      <rPr>
        <rFont val="Arial"/>
        <color rgb="FF000000"/>
        <sz val="10.0"/>
      </rPr>
      <t xml:space="preserve"> 更新</t>
    </r>
  </si>
  <si>
    <r>
      <rPr>
        <rFont val="Arial"/>
        <color rgb="FF000000"/>
        <sz val="10.0"/>
      </rPr>
      <t xml:space="preserve">Pembaruan Versi </t>
    </r>
    <r>
      <rPr>
        <rFont val="Arial"/>
        <color rgb="FFFF0000"/>
        <sz val="10.0"/>
      </rPr>
      <t>aaa</t>
    </r>
  </si>
  <si>
    <r>
      <rPr>
        <rFont val="Arial"/>
        <color rgb="FF000000"/>
        <sz val="10.0"/>
      </rPr>
      <t xml:space="preserve">อัปเดตเวอร์ชัน </t>
    </r>
    <r>
      <rPr>
        <rFont val="Arial"/>
        <color rgb="FFFF0000"/>
        <sz val="10.0"/>
      </rPr>
      <t>aaa</t>
    </r>
  </si>
  <si>
    <r>
      <rPr>
        <rFont val="Arial"/>
        <color rgb="FF000000"/>
        <sz val="10.0"/>
      </rPr>
      <t xml:space="preserve">Actualización a la versión </t>
    </r>
    <r>
      <rPr>
        <rFont val="Arial"/>
        <color rgb="FFFF0000"/>
        <sz val="10.0"/>
      </rPr>
      <t>aaa</t>
    </r>
  </si>
  <si>
    <r>
      <rPr>
        <rFont val="Arial"/>
        <color rgb="FF000000"/>
        <sz val="10.0"/>
      </rPr>
      <t xml:space="preserve">Обновление до версии </t>
    </r>
    <r>
      <rPr>
        <rFont val="Arial"/>
        <color rgb="FFFF0000"/>
        <sz val="10.0"/>
      </rPr>
      <t>aaa</t>
    </r>
  </si>
  <si>
    <r>
      <rPr>
        <rFont val="Arial"/>
        <color rgb="FF000000"/>
        <sz val="10.0"/>
      </rPr>
      <t>Sürüm</t>
    </r>
    <r>
      <rPr>
        <rFont val="Arial"/>
        <color rgb="FFFF0000"/>
        <sz val="10.0"/>
      </rPr>
      <t xml:space="preserve"> aaa</t>
    </r>
    <r>
      <rPr>
        <rFont val="Arial"/>
        <color rgb="FF000000"/>
        <sz val="10.0"/>
      </rPr>
      <t xml:space="preserve"> Güncellemesi</t>
    </r>
  </si>
  <si>
    <r>
      <rPr>
        <rFont val="Arial"/>
        <color rgb="FF000000"/>
        <sz val="10.0"/>
      </rPr>
      <t xml:space="preserve">Cập nhật Phiên bản </t>
    </r>
    <r>
      <rPr>
        <rFont val="Arial"/>
        <color rgb="FFFF0000"/>
        <sz val="10.0"/>
      </rPr>
      <t>aaa</t>
    </r>
  </si>
  <si>
    <r>
      <rPr>
        <rFont val="Arial"/>
        <color rgb="FF000000"/>
      </rPr>
      <t xml:space="preserve">Versione </t>
    </r>
    <r>
      <rPr>
        <rFont val="Arial"/>
        <color theme="1"/>
      </rPr>
      <t>aaa</t>
    </r>
    <r>
      <rPr>
        <rFont val="Arial"/>
        <color rgb="FF000000"/>
      </rPr>
      <t xml:space="preserve"> Aggiornamento</t>
    </r>
  </si>
  <si>
    <r>
      <rPr>
        <rFont val="Arial"/>
        <color theme="1"/>
      </rPr>
      <t xml:space="preserve">Wersja </t>
    </r>
    <r>
      <rPr>
        <rFont val="Arial"/>
        <color rgb="FFFF0000"/>
      </rPr>
      <t>aaa</t>
    </r>
    <r>
      <rPr>
        <rFont val="Arial"/>
        <color theme="1"/>
      </rPr>
      <t xml:space="preserve"> Aktualizacja</t>
    </r>
  </si>
  <si>
    <r>
      <rPr>
        <rFont val="Arial"/>
        <color theme="1"/>
      </rPr>
      <t xml:space="preserve">تحديث إصدار </t>
    </r>
    <r>
      <rPr>
        <rFont val="Arial"/>
        <color rgb="FFFF0000"/>
      </rPr>
      <t>aaa</t>
    </r>
  </si>
  <si>
    <t>バージョンaaa更新</t>
  </si>
  <si>
    <t>버전 aaa 업데이트</t>
  </si>
  <si>
    <t>亲爱的指挥官：
为了给大家带来更好的游戏体验，我们预计在&lt;color=#ffa200&gt;UTC时间bbb年ccc月ddd日eee:fff&lt;/color&gt;进行aaa版本更新。届时服务器将进行&lt;color=#ffa200&gt;ggg分钟&lt;/color&gt;维护，维护结束后猴子们可以选择适当的网络环境更新版本。
【更新时间】&lt;color=#ffa200&gt;bbb年ccc月ddd日UTCeee:fff&lt;/color&gt;，届时您将无法进入游戏。
【预计维护时长】&lt;color=#ffa200&gt;ggg分钟&lt;/color&gt;
【aaa更新内容】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t>
  </si>
  <si>
    <r>
      <rPr>
        <rFont val="Arial"/>
        <color rgb="FF000000"/>
      </rPr>
      <t>Dear Captain,
In order to bring you a better gaming experience, we plan to release the version</t>
    </r>
    <r>
      <rPr>
        <rFont val="Arial"/>
        <color rgb="FFFF0000"/>
      </rPr>
      <t xml:space="preserve"> aaa</t>
    </r>
    <r>
      <rPr>
        <rFont val="Arial"/>
        <color rgb="FF000000"/>
      </rPr>
      <t xml:space="preserve"> update on &lt;color=#ffa200&gt;</t>
    </r>
    <r>
      <rPr>
        <rFont val="Arial"/>
        <color rgb="FFFF0000"/>
      </rPr>
      <t>bbb-ccc-ddd at eee:fff UTC</t>
    </r>
    <r>
      <rPr>
        <rFont val="Arial"/>
        <color rgb="FF000000"/>
      </rPr>
      <t>&lt;/color&gt;. At that time, we will conduct server maintenance lasting approximately &lt;color=#ffa200&gt;</t>
    </r>
    <r>
      <rPr>
        <rFont val="Arial"/>
        <color rgb="FFFF0000"/>
      </rPr>
      <t>ggg m</t>
    </r>
    <r>
      <rPr>
        <rFont val="Arial"/>
        <color rgb="FF000000"/>
      </rPr>
      <t xml:space="preserve">inutes&lt;/color&gt;. You may update the game once server maintenance is complete. 
[Update Time]
</t>
    </r>
    <r>
      <rPr>
        <rFont val="Arial"/>
        <color rgb="FFFF0000"/>
      </rPr>
      <t>eee:fff UTC, bbb-ccc-ddd</t>
    </r>
    <r>
      <rPr>
        <rFont val="Arial"/>
        <color rgb="FF000000"/>
      </rPr>
      <t>; you will not be able to access the game during this time.
[Estimated Maintenance Duration]
&lt;color=#ffa200&gt;</t>
    </r>
    <r>
      <rPr>
        <rFont val="Arial"/>
        <color rgb="FFFF0000"/>
      </rPr>
      <t xml:space="preserve">ggg </t>
    </r>
    <r>
      <rPr>
        <rFont val="Arial"/>
        <color rgb="FF000000"/>
      </rPr>
      <t xml:space="preserve">minutes&lt;/color&gt;
</t>
    </r>
    <r>
      <rPr>
        <rFont val="Arial"/>
        <color rgb="FFFF0000"/>
      </rPr>
      <t xml:space="preserve">[aaa </t>
    </r>
    <r>
      <rPr>
        <rFont val="Arial"/>
        <color rgb="FF000000"/>
      </rPr>
      <t>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t>
    </r>
  </si>
  <si>
    <r>
      <rPr>
        <rFont val="Arial"/>
        <color rgb="FF000000"/>
      </rPr>
      <t xml:space="preserve">Cher capitaine,
Afin d’améliorer votre expérience de jeu, nous prévoyons le lancement de la mise à jour </t>
    </r>
    <r>
      <rPr>
        <rFont val="Arial"/>
        <color rgb="FFFF0000"/>
      </rPr>
      <t xml:space="preserve">aaa </t>
    </r>
    <r>
      <rPr>
        <rFont val="Arial"/>
        <color rgb="FF000000"/>
      </rPr>
      <t>le &lt;color=#ffa200&gt;</t>
    </r>
    <r>
      <rPr>
        <rFont val="Arial"/>
        <color rgb="FFFF0000"/>
      </rPr>
      <t xml:space="preserve"> eee:fff UTC, ddd-ccc-bbb </t>
    </r>
    <r>
      <rPr>
        <rFont val="Arial"/>
        <color rgb="FF000000"/>
      </rPr>
      <t>&lt;/color&gt;. Nous procéderons alors à une maintenance des serveurs qui durera environ &lt;color=#ffa200&gt;</t>
    </r>
    <r>
      <rPr>
        <rFont val="Arial"/>
        <color rgb="FFFF0000"/>
      </rPr>
      <t xml:space="preserve">ggg </t>
    </r>
    <r>
      <rPr>
        <rFont val="Arial"/>
        <color rgb="FF000000"/>
      </rPr>
      <t xml:space="preserve">minutes&lt;/color&gt;. Une fois les opérations terminées, vous pourrez mettre votre jeu à jour. 
[Horaire de mise à jour]
</t>
    </r>
    <r>
      <rPr>
        <rFont val="Arial"/>
        <color rgb="FFFF0000"/>
      </rPr>
      <t xml:space="preserve"> eee:fff UTC, ddd-ccc-bbb</t>
    </r>
    <r>
      <rPr>
        <rFont val="Arial"/>
        <color rgb="FF000000"/>
      </rPr>
      <t>(TU). Pendant le déploiement, vous ne pourrez plus accéder au jeu.
[Durée estimée de la maintenance]
&lt;color=#ffa200&gt;</t>
    </r>
    <r>
      <rPr>
        <rFont val="Arial"/>
        <color rgb="FFFF0000"/>
      </rPr>
      <t xml:space="preserve">ggg </t>
    </r>
    <r>
      <rPr>
        <rFont val="Arial"/>
        <color rgb="FF000000"/>
      </rPr>
      <t xml:space="preserve">minutes&lt;/color&gt;
[Détails de la mise à jour </t>
    </r>
    <r>
      <rPr>
        <rFont val="Arial"/>
        <color rgb="FFFF0000"/>
      </rPr>
      <t>aaa</t>
    </r>
    <r>
      <rPr>
        <rFont val="Arial"/>
        <color rgb="FF000000"/>
      </rPr>
      <t>]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t>
    </r>
  </si>
  <si>
    <r>
      <rPr>
        <rFont val="Arial"/>
        <color rgb="FF000000"/>
      </rPr>
      <t>Lieber Captain,
 Um dir ein besseres Spielerlebnis zu bieten, werden wir am &lt;color=#ffa200&gt;</t>
    </r>
    <r>
      <rPr>
        <rFont val="Arial"/>
        <color rgb="FFFF0000"/>
      </rPr>
      <t>ddd.ccc.bbb um eee:fff UTC</t>
    </r>
    <r>
      <rPr>
        <rFont val="Arial"/>
        <color rgb="FF000000"/>
      </rPr>
      <t xml:space="preserve">&lt;/color&gt; das Update auf Version </t>
    </r>
    <r>
      <rPr>
        <rFont val="Arial"/>
        <color rgb="FFFF0000"/>
      </rPr>
      <t>aaa</t>
    </r>
    <r>
      <rPr>
        <rFont val="Arial"/>
        <color rgb="FF000000"/>
      </rPr>
      <t xml:space="preserve"> durchzuführen. Wir werden zu diesem Zeitpunkt eine Serverwartung durchführen, die etwa &lt;color=#ffa200&gt;</t>
    </r>
    <r>
      <rPr>
        <rFont val="Arial"/>
        <color rgb="FFFF0000"/>
      </rPr>
      <t xml:space="preserve">ggg </t>
    </r>
    <r>
      <rPr>
        <rFont val="Arial"/>
        <color rgb="FF000000"/>
      </rPr>
      <t xml:space="preserve">Minuten&lt;/color&gt; dauern wird. Du kannst das Spiel aktualisieren, sobald die Serverwartung abgeschlossen ist. 
 [Update-Zeit]
</t>
    </r>
    <r>
      <rPr>
        <rFont val="Arial"/>
        <color rgb="FFFF0000"/>
      </rPr>
      <t xml:space="preserve"> ddd.ccc.bbb, eee:fff UTC</t>
    </r>
    <r>
      <rPr>
        <rFont val="Arial"/>
        <color rgb="FF000000"/>
      </rPr>
      <t>; du wirst während dieser Zeit nicht auf das Spiel zugreifen können. 
 [Geschätzte Wartungsdauer]
 &lt;color=#ffa200&gt;</t>
    </r>
    <r>
      <rPr>
        <rFont val="Arial"/>
        <color rgb="FFFF0000"/>
      </rPr>
      <t xml:space="preserve">ggg </t>
    </r>
    <r>
      <rPr>
        <rFont val="Arial"/>
        <color rgb="FF000000"/>
      </rPr>
      <t>Minuten&lt;/color&gt;
 [</t>
    </r>
    <r>
      <rPr>
        <rFont val="Arial"/>
        <color rgb="FFFF0000"/>
      </rPr>
      <t>aaa</t>
    </r>
    <r>
      <rPr>
        <rFont val="Arial"/>
        <color rgb="FF000000"/>
      </rPr>
      <t xml:space="preserve">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t>
    </r>
  </si>
  <si>
    <r>
      <rPr>
        <rFont val="Arial"/>
        <color rgb="FF000000"/>
      </rPr>
      <t xml:space="preserve">Caro Capitão,
 Para melhorar a experiência de jogo, planejamos lançar a atualização </t>
    </r>
    <r>
      <rPr>
        <rFont val="Arial"/>
        <color rgb="FFFF0000"/>
      </rPr>
      <t>aaa</t>
    </r>
    <r>
      <rPr>
        <rFont val="Arial"/>
        <color rgb="FF000000"/>
      </rPr>
      <t xml:space="preserve"> em &lt;color=#ffa200&gt;</t>
    </r>
    <r>
      <rPr>
        <rFont val="Arial"/>
        <color rgb="FFFF0000"/>
      </rPr>
      <t>ddd/ccc/bbb às eee:fff</t>
    </r>
    <r>
      <rPr>
        <rFont val="Arial"/>
        <color rgb="FF000000"/>
      </rPr>
      <t xml:space="preserve"> (fuso UTC)&lt;/color&gt;. No momento, estamos fazendo a manutenção do jogo, que durará cerca de &lt;color=#ffa200&gt;</t>
    </r>
    <r>
      <rPr>
        <rFont val="Arial"/>
        <color rgb="FFFF0000"/>
      </rPr>
      <t>ggg minuto</t>
    </r>
    <r>
      <rPr>
        <rFont val="Arial"/>
        <color rgb="FF000000"/>
      </rPr>
      <t xml:space="preserve">s&lt;/color&gt;. Você poderá atualizar o jogo assim que a manutenção do servidor for concluída.
 [Horário da atualização]
</t>
    </r>
    <r>
      <rPr>
        <rFont val="Arial"/>
        <color rgb="FFFF0000"/>
      </rPr>
      <t xml:space="preserve"> ddd/ccc/bbb, às eee:fff</t>
    </r>
    <r>
      <rPr>
        <rFont val="Arial"/>
        <color rgb="FF000000"/>
      </rPr>
      <t xml:space="preserve"> (fuso UTC). Não será possível acessar o jogo durante este período. 
 [Tempo de manutenção estimado]
 &lt;color=#ffa200&gt;</t>
    </r>
    <r>
      <rPr>
        <rFont val="Arial"/>
        <color rgb="FFFF0000"/>
      </rPr>
      <t>ggg</t>
    </r>
    <r>
      <rPr>
        <rFont val="Arial"/>
        <color rgb="FF000000"/>
      </rPr>
      <t xml:space="preserve"> minutos&lt;/color&gt;
 [Detalhes da atualização </t>
    </r>
    <r>
      <rPr>
        <rFont val="Arial"/>
        <color rgb="FFFF0000"/>
      </rPr>
      <t>aaa</t>
    </r>
    <r>
      <rPr>
        <rFont val="Arial"/>
        <color rgb="FF000000"/>
      </rPr>
      <t>]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t>
    </r>
  </si>
  <si>
    <r>
      <rPr>
        <rFont val="Arial"/>
        <color rgb="FF000000"/>
      </rPr>
      <t>親愛的指揮官：
為了給大家帶來更好的遊戲體驗，我們預計在&lt;color=#ffa200&gt;UTC時間</t>
    </r>
    <r>
      <rPr>
        <rFont val="Arial"/>
        <color rgb="FFFF0000"/>
      </rPr>
      <t>bbb年ccc月ddd日eee:fff</t>
    </r>
    <r>
      <rPr>
        <rFont val="Arial"/>
        <color rgb="FF000000"/>
      </rPr>
      <t>&lt;/color&gt;進行</t>
    </r>
    <r>
      <rPr>
        <rFont val="Arial"/>
        <color rgb="FFFF0000"/>
      </rPr>
      <t>aaa</t>
    </r>
    <r>
      <rPr>
        <rFont val="Arial"/>
        <color rgb="FF000000"/>
      </rPr>
      <t>版本更新。屆時服務器將進行&lt;color=#ffa200&gt;</t>
    </r>
    <r>
      <rPr>
        <rFont val="Arial"/>
        <color rgb="FFFF0000"/>
      </rPr>
      <t>ggg</t>
    </r>
    <r>
      <rPr>
        <rFont val="Arial"/>
        <color rgb="FF000000"/>
      </rPr>
      <t>分鐘&lt;/color&gt;維護，維護結束後猴子們可以選擇適當的網絡環境更新版本。
【更新時間】&lt;color=#ffa200&gt;</t>
    </r>
    <r>
      <rPr>
        <rFont val="Arial"/>
        <color rgb="FFFF0000"/>
      </rPr>
      <t>bbb年ccc月ddd日UTCeee:fff</t>
    </r>
    <r>
      <rPr>
        <rFont val="Arial"/>
        <color rgb="FF000000"/>
      </rPr>
      <t>&lt;/color&gt;，屆時您將無法進入遊戲。
【預計維護時長】&lt;color=#ffa200&gt;</t>
    </r>
    <r>
      <rPr>
        <rFont val="Arial"/>
        <color rgb="FFFF0000"/>
      </rPr>
      <t>ggg分鐘</t>
    </r>
    <r>
      <rPr>
        <rFont val="Arial"/>
        <color rgb="FF000000"/>
      </rPr>
      <t>&lt;/color&gt;
【</t>
    </r>
    <r>
      <rPr>
        <rFont val="Arial"/>
        <color rgb="FFFF0000"/>
      </rPr>
      <t>aaa</t>
    </r>
    <r>
      <rPr>
        <rFont val="Arial"/>
        <color rgb="FF000000"/>
      </rPr>
      <t>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t>
    </r>
  </si>
  <si>
    <r>
      <rPr>
        <rFont val="Arial"/>
        <color rgb="FF000000"/>
      </rPr>
      <t xml:space="preserve">Kapten yang terhormat,
 Untuk memberikanmu pengalaman bermain yang lebih baik, kami berencana untuk merilis pembaruan versi </t>
    </r>
    <r>
      <rPr>
        <rFont val="Arial"/>
        <color rgb="FFFF0000"/>
      </rPr>
      <t xml:space="preserve">aaa </t>
    </r>
    <r>
      <rPr>
        <rFont val="Arial"/>
        <color rgb="FF000000"/>
      </rPr>
      <t>pada &lt;color=#ffa200&gt;</t>
    </r>
    <r>
      <rPr>
        <rFont val="Arial"/>
        <color rgb="FFFF0000"/>
      </rPr>
      <t>bbb-ccc-ddd pukul eee:fff</t>
    </r>
    <r>
      <rPr>
        <rFont val="Arial"/>
        <color rgb="FF000000"/>
      </rPr>
      <t xml:space="preserve"> UTC&lt;/color&gt;. Pada saat itu, kami akan melakukan pemeliharaan server yang berlangsung kira-kira &lt;color=#ffa200&gt;</t>
    </r>
    <r>
      <rPr>
        <rFont val="Arial"/>
        <color rgb="FFFF0000"/>
      </rPr>
      <t>ggg menit</t>
    </r>
    <r>
      <rPr>
        <rFont val="Arial"/>
        <color rgb="FF000000"/>
      </rPr>
      <t xml:space="preserve">&lt;/color&gt;. Kamu bisa memperbarui game setelah pemeliharaan server selesai. 
 [Waktu Pembaruan]
</t>
    </r>
    <r>
      <rPr>
        <rFont val="Arial"/>
        <color rgb="FFFF0000"/>
      </rPr>
      <t xml:space="preserve"> eee:fff UTC, bbb-ccc-ddd;</t>
    </r>
    <r>
      <rPr>
        <rFont val="Arial"/>
        <color rgb="FF000000"/>
      </rPr>
      <t xml:space="preserve"> kamu tidak akan bisa mengakses game selama waktu tersebut. 
 [Perkiraan Durasi Pemeliharaan]
 &lt;color=#ffa200&gt;</t>
    </r>
    <r>
      <rPr>
        <rFont val="Arial"/>
        <color rgb="FFFF0000"/>
      </rPr>
      <t>ggg menit</t>
    </r>
    <r>
      <rPr>
        <rFont val="Arial"/>
        <color rgb="FF000000"/>
      </rPr>
      <t xml:space="preserve">&lt;/color&gt;
 </t>
    </r>
    <r>
      <rPr>
        <rFont val="Arial"/>
        <color rgb="FFFF0000"/>
      </rPr>
      <t>[aaa</t>
    </r>
    <r>
      <rPr>
        <rFont val="Arial"/>
        <color rgb="FF000000"/>
      </rPr>
      <t xml:space="preserve">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t>
    </r>
  </si>
  <si>
    <r>
      <rPr>
        <rFont val="Arial"/>
        <color rgb="FF000000"/>
      </rPr>
      <t xml:space="preserve">ถึงท่านผู้บัญชาการ
 เพื่อให้นายได้รับประสบการณ์การเล่นเกมที่ดีขึ้น เราวางแผนที่จะปล่อยอัปเดตเวอร์ชัน </t>
    </r>
    <r>
      <rPr>
        <rFont val="Arial"/>
        <color rgb="FFFF0000"/>
      </rPr>
      <t xml:space="preserve">aaa </t>
    </r>
    <r>
      <rPr>
        <rFont val="Arial"/>
        <color rgb="FF000000"/>
      </rPr>
      <t>ในวันที่ &lt;color=#ffa200&gt;</t>
    </r>
    <r>
      <rPr>
        <rFont val="Arial"/>
        <color rgb="FFFF0000"/>
      </rPr>
      <t>bbb-ccc-ddd ในเวลา eee:fff ตามเวลา UT</t>
    </r>
    <r>
      <rPr>
        <rFont val="Arial"/>
        <color rgb="FF000000"/>
      </rPr>
      <t>C&lt;/color&gt; ซึ่งในเวลาดังกล่าว เราจะทำการบำรุงรักษาเซิร์ฟเวอร์เป็นเวลาประมาณ &lt;color=#ffa200&gt;</t>
    </r>
    <r>
      <rPr>
        <rFont val="Arial"/>
        <color rgb="FFFF0000"/>
      </rPr>
      <t xml:space="preserve">ggg </t>
    </r>
    <r>
      <rPr>
        <rFont val="Arial"/>
        <color rgb="FF000000"/>
      </rPr>
      <t xml:space="preserve">นาที&lt;/color&gt; นายจะสามารถอัปเดตเกมได้เมื่อเราทำการบำรุงรักษาเซิร์ฟเวอร์เสร็จสิ้นแล้ว
 [เวลาอัปเดต]
</t>
    </r>
    <r>
      <rPr>
        <rFont val="Arial"/>
        <color rgb="FFFF0000"/>
      </rPr>
      <t xml:space="preserve"> eee:fff UTC bbb-ccc-ddd</t>
    </r>
    <r>
      <rPr>
        <rFont val="Arial"/>
        <color rgb="FF000000"/>
      </rPr>
      <t>; นายจะไม่สามารถเข้าเล่นเกมได้ในช่วงเวลานี้ 
 [ระยะเวลาการบำรุงรักษาโดยประมาณ]
 &lt;color=#ffa200&gt;</t>
    </r>
    <r>
      <rPr>
        <rFont val="Arial"/>
        <color rgb="FFFF0000"/>
      </rPr>
      <t>ggg นา</t>
    </r>
    <r>
      <rPr>
        <rFont val="Arial"/>
        <color rgb="FF000000"/>
      </rPr>
      <t xml:space="preserve">ที&lt;/color&gt;
</t>
    </r>
    <r>
      <rPr>
        <rFont val="Arial"/>
        <color rgb="FFFF0000"/>
      </rPr>
      <t xml:space="preserve"> [aaa </t>
    </r>
    <r>
      <rPr>
        <rFont val="Arial"/>
        <color rgb="FF000000"/>
      </rPr>
      <t>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t>
    </r>
  </si>
  <si>
    <r>
      <rPr>
        <rFont val="Arial"/>
        <color rgb="FF000000"/>
      </rPr>
      <t xml:space="preserve">Querido Capitán,
 Para poder brindarte una mejor experiencia de juego, planeamos liberar una actualización a la versión </t>
    </r>
    <r>
      <rPr>
        <rFont val="Arial"/>
        <color rgb="FFFF0000"/>
      </rPr>
      <t>aaa e</t>
    </r>
    <r>
      <rPr>
        <rFont val="Arial"/>
        <color rgb="FF000000"/>
      </rPr>
      <t>l &lt;color=#ffa200&gt;</t>
    </r>
    <r>
      <rPr>
        <rFont val="Arial"/>
        <color rgb="FFFF0000"/>
      </rPr>
      <t>ddd-ccc-bbb a las eee:fff UTC</t>
    </r>
    <r>
      <rPr>
        <rFont val="Arial"/>
        <color rgb="FF000000"/>
      </rPr>
      <t>&lt;/color&gt;. En ese momento, realizaremos un mantenimiento de servidor que tendrá una duración aproximada de &lt;color=#ffa200&gt;</t>
    </r>
    <r>
      <rPr>
        <rFont val="Arial"/>
        <color rgb="FFFF0000"/>
      </rPr>
      <t>ggg minut</t>
    </r>
    <r>
      <rPr>
        <rFont val="Arial"/>
        <color rgb="FF000000"/>
      </rPr>
      <t xml:space="preserve">os&lt;/color&gt;. Podrás actualizar el juego una vez que el mantenimiento del servidor esté completo.
 [Hora de la Actualización]
</t>
    </r>
    <r>
      <rPr>
        <rFont val="Arial"/>
        <color rgb="FFFF0000"/>
      </rPr>
      <t xml:space="preserve"> eee:fff UTC, ddd-ccc-bbb; </t>
    </r>
    <r>
      <rPr>
        <rFont val="Arial"/>
        <color rgb="FF000000"/>
      </rPr>
      <t>no podrás acceder al juego durante esta hora. 
 [Duración Estimada del Mantenimiento]
 &lt;color=#ffa200&gt;</t>
    </r>
    <r>
      <rPr>
        <rFont val="Arial"/>
        <color rgb="FFFF0000"/>
      </rPr>
      <t>ggg m</t>
    </r>
    <r>
      <rPr>
        <rFont val="Arial"/>
        <color rgb="FF000000"/>
      </rPr>
      <t>inutos&lt;/color&gt;
 [Detalles de la actualización</t>
    </r>
    <r>
      <rPr>
        <rFont val="Arial"/>
        <color rgb="FFFF0000"/>
      </rPr>
      <t xml:space="preserve"> aaa]
</t>
    </r>
    <r>
      <rPr>
        <rFont val="Arial"/>
        <color rgb="FF000000"/>
      </rPr>
      <t>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t>
    </r>
  </si>
  <si>
    <r>
      <rPr>
        <rFont val="Arial"/>
        <color rgb="FF000000"/>
      </rPr>
      <t xml:space="preserve">Уважаемый капитан!
Для того чтобы подарить вам наилучшие впечатления от игры, мы планируем выпустить обновление версии </t>
    </r>
    <r>
      <rPr>
        <rFont val="Arial"/>
        <color rgb="FFFF0000"/>
      </rPr>
      <t xml:space="preserve">aaa </t>
    </r>
    <r>
      <rPr>
        <rFont val="Arial"/>
        <color rgb="FF000000"/>
      </rPr>
      <t>&lt;color=#ffa200&gt;</t>
    </r>
    <r>
      <rPr>
        <rFont val="Arial"/>
        <color rgb="FFFF0000"/>
      </rPr>
      <t>ddd.ccc.bbb в eee:fff UTC</t>
    </r>
    <r>
      <rPr>
        <rFont val="Arial"/>
        <color rgb="FF000000"/>
      </rPr>
      <t>&lt;/color&gt;. Мы проведем техническое обслуживание сервера, которое продлится примерно &lt;color=#ffa200&gt;</t>
    </r>
    <r>
      <rPr>
        <rFont val="Arial"/>
        <color rgb="FFFF0000"/>
      </rPr>
      <t>ggg минут&lt;</t>
    </r>
    <r>
      <rPr>
        <rFont val="Arial"/>
        <color rgb="FF000000"/>
      </rPr>
      <t xml:space="preserve">/color&gt;. Вы сможете обновить игру, когда обслуживание закончится.
[Время обновления]
</t>
    </r>
    <r>
      <rPr>
        <rFont val="Arial"/>
        <color rgb="FFFF0000"/>
      </rPr>
      <t>ddd.ccc.bbb, eee:fff UTC</t>
    </r>
    <r>
      <rPr>
        <rFont val="Arial"/>
        <color rgb="FF000000"/>
      </rPr>
      <t>. Во время обновления вы не сможете получить доступ к игре. 
[Ожидаемая длительность обслуживания]
&lt;color=#ffa200&gt;</t>
    </r>
    <r>
      <rPr>
        <rFont val="Arial"/>
        <color rgb="FFFF0000"/>
      </rPr>
      <t>ggg минут</t>
    </r>
    <r>
      <rPr>
        <rFont val="Arial"/>
        <color rgb="FF000000"/>
      </rPr>
      <t>&lt;/color&gt;
[Детали обновления</t>
    </r>
    <r>
      <rPr>
        <rFont val="Arial"/>
        <color rgb="FFFF0000"/>
      </rPr>
      <t xml:space="preserve"> aaa</t>
    </r>
    <r>
      <rPr>
        <rFont val="Arial"/>
        <color rgb="FF000000"/>
      </rPr>
      <t>]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t>
    </r>
  </si>
  <si>
    <r>
      <rPr>
        <rFont val="Arial"/>
        <color rgb="FF000000"/>
      </rPr>
      <t>Sevgili Kaptan,
 Sana daha iyi bir oyun deneyimi sunmak adına sürüm aaa</t>
    </r>
    <r>
      <rPr>
        <rFont val="Arial"/>
        <color rgb="FFFF0000"/>
      </rPr>
      <t xml:space="preserve"> </t>
    </r>
    <r>
      <rPr>
        <rFont val="Arial"/>
        <color rgb="FF000000"/>
      </rPr>
      <t>güncellemesini &lt;color=#ffa200&gt;</t>
    </r>
    <r>
      <rPr>
        <rFont val="Arial"/>
        <color rgb="FFFF0000"/>
      </rPr>
      <t>ddd.ccc.bbb saat eee.fff’da (</t>
    </r>
    <r>
      <rPr>
        <rFont val="Arial"/>
        <color rgb="FF000000"/>
      </rPr>
      <t>UTC)&lt;/color&gt; yayımlamayı planlıyoruz. O esnada yaklaşık &lt;color=#ffa200&gt;</t>
    </r>
    <r>
      <rPr>
        <rFont val="Arial"/>
        <color rgb="FFFF0000"/>
      </rPr>
      <t>ggg dakika</t>
    </r>
    <r>
      <rPr>
        <rFont val="Arial"/>
        <color rgb="FF000000"/>
      </rPr>
      <t xml:space="preserve">&lt;/color&gt; sürecek bir sunucu bakımı gerçekleştireceğiz. Sunucu bakımı tamamlanınca oyunu güncelleyebilirsin.
 [Güncelleme Zamanı]
 </t>
    </r>
    <r>
      <rPr>
        <rFont val="Arial"/>
        <color rgb="FFFF0000"/>
      </rPr>
      <t>eee.fff (UTC), ddd.ccc.bbb;</t>
    </r>
    <r>
      <rPr>
        <rFont val="Arial"/>
        <color rgb="FF000000"/>
      </rPr>
      <t xml:space="preserve"> bu sırada oyuna erişim sağlayamayacaksın. 
 [Tahmini Bakım Süresi]
 &lt;color=#ffa200&gt;</t>
    </r>
    <r>
      <rPr>
        <rFont val="Arial"/>
        <color rgb="FFFF0000"/>
      </rPr>
      <t>ggg dakika</t>
    </r>
    <r>
      <rPr>
        <rFont val="Arial"/>
        <color rgb="FF000000"/>
      </rPr>
      <t xml:space="preserve">&lt;/color&gt;
</t>
    </r>
    <r>
      <rPr>
        <rFont val="Arial"/>
        <color rgb="FFFF0000"/>
      </rPr>
      <t xml:space="preserve"> [aaa</t>
    </r>
    <r>
      <rPr>
        <rFont val="Arial"/>
        <color rgb="FF000000"/>
      </rPr>
      <t xml:space="preserve">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t>
    </r>
  </si>
  <si>
    <r>
      <rPr>
        <rFont val="Arial"/>
        <color rgb="FF000000"/>
      </rPr>
      <t xml:space="preserve">Thưa Thủ Lĩnh,
 Để đem lại cho bạn trải nghiệm chơi game tốt hơn, chúng tôi dự định sẽ phát hành bản cập nhật </t>
    </r>
    <r>
      <rPr>
        <rFont val="Arial"/>
        <color rgb="FFFF0000"/>
      </rPr>
      <t>aaa</t>
    </r>
    <r>
      <rPr>
        <rFont val="Arial"/>
        <color rgb="FF000000"/>
      </rPr>
      <t xml:space="preserve"> vào lúc &lt;color=#ffa200&gt;</t>
    </r>
    <r>
      <rPr>
        <rFont val="Arial"/>
        <color rgb="FFFF0000"/>
      </rPr>
      <t xml:space="preserve">eee:fff </t>
    </r>
    <r>
      <rPr>
        <rFont val="Arial"/>
        <color rgb="FF000000"/>
      </rPr>
      <t xml:space="preserve">UTC ngày </t>
    </r>
    <r>
      <rPr>
        <rFont val="Arial"/>
        <color rgb="FFFF0000"/>
      </rPr>
      <t>ddd/ccc/bbb</t>
    </r>
    <r>
      <rPr>
        <rFont val="Arial"/>
        <color rgb="FF000000"/>
      </rPr>
      <t>&lt;/color&gt;. Cùng lúc đó, chúng tôi cũng sẽ thực hiện bảo trì máy chủ kéo dài khoảng &lt;color=#ffa200&gt;</t>
    </r>
    <r>
      <rPr>
        <rFont val="Arial"/>
        <color rgb="FFFF0000"/>
      </rPr>
      <t>ggg ph</t>
    </r>
    <r>
      <rPr>
        <rFont val="Arial"/>
        <color rgb="FF000000"/>
      </rPr>
      <t xml:space="preserve">út&lt;/color&gt;. Bạn có thể cập nhật lại game khi quá trình bảo trì máy chủ được hoàn tất.
 [Thời gian cập nhật]
</t>
    </r>
    <r>
      <rPr>
        <rFont val="Arial"/>
        <color rgb="FFFF0000"/>
      </rPr>
      <t xml:space="preserve"> eee:fff UTC, ngày ddd/ccc/bbb; </t>
    </r>
    <r>
      <rPr>
        <rFont val="Arial"/>
        <color rgb="FF000000"/>
      </rPr>
      <t>bạn sẽ không thể truy cập vào game trong khoảng thời gian này. 
 [Thời lượng bảo trì ước tính]
 &lt;color=#ffa200&gt;</t>
    </r>
    <r>
      <rPr>
        <rFont val="Arial"/>
        <color rgb="FFFF0000"/>
      </rPr>
      <t>ggg p</t>
    </r>
    <r>
      <rPr>
        <rFont val="Arial"/>
        <color rgb="FF000000"/>
      </rPr>
      <t>hút&lt;/color&gt;
 [Thông tin bản cập nhậ</t>
    </r>
    <r>
      <rPr>
        <rFont val="Arial"/>
        <color rgb="FFFF0000"/>
      </rPr>
      <t xml:space="preserve">t aaa]
</t>
    </r>
    <r>
      <rPr>
        <rFont val="Arial"/>
        <color rgb="FF000000"/>
      </rPr>
      <t>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t>
    </r>
  </si>
  <si>
    <r>
      <rPr>
        <rFont val="Arial"/>
        <color theme="1"/>
      </rPr>
      <t>Caro Capitano,
Per offrirti un'esperienza di gioco migliore, abbiamo pianificato di rilasciare l'aggiornamento alla versione aaa il &lt;color=#ffa200&gt;bbb-ccc-ddd alle eee:fff UTC&lt;/color&gt;. In quel momento, effettueremo una manutenzione del server della durata approssimativa di &lt;color=#ffa200&gt;</t>
    </r>
    <r>
      <rPr>
        <rFont val="Arial"/>
        <color rgb="FFFF0000"/>
      </rPr>
      <t>ggg</t>
    </r>
    <r>
      <rPr>
        <rFont val="Arial"/>
        <color theme="1"/>
      </rPr>
      <t xml:space="preserve"> minuti&lt;/color&gt;. Potrai aggiornare il gioco una volta completata la manutenzione del server.
[Orario di aggiornamento]
eee:fff UTC, </t>
    </r>
    <r>
      <rPr>
        <rFont val="Arial"/>
        <color rgb="FFFF0000"/>
      </rPr>
      <t>bbb-ccc-ddd</t>
    </r>
    <r>
      <rPr>
        <rFont val="Arial"/>
        <color theme="1"/>
      </rPr>
      <t>; durante questo periodo non potrai accedere al gioco.
[Durata stimata della manutenzione]
&lt;color=#ffa200&gt;ggg minuti&lt;/color&gt;
[Dettagli dell'aggiornamento aaa]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t>
    </r>
  </si>
  <si>
    <t>Szanowny Kapitanie,
Aby zapewnić ci lepsze wrażenia z gry, planujemy wydać aktualizację wersji aaa dnia bbb-ccc-ddd o godzinie eee:fff UTC. W tym czasie przeprowadzimy konserwację serwera trwającą około ggg minut. Po zakończeniu konserwacji serwera możesz zaktualizować grę.
[Czas aktualizacji]
eee:fff UTC, bbb-ccc-ddd; w tym czasie nie będziesz mógł uzyskać dostępu do gry.
[Przewidywany czas trwania konserwacji]
&lt;color=#ffa200&gt;ggg minut&lt;/color&gt;
[Szczegóły aktualizacji aaa]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t>
  </si>
  <si>
    <t xml:space="preserve">عزيزي الزعيم،\nمن أجل تقديم تجربة لعب أفضل، نخطط لإصدار تحديث إصدار aaa في &lt;color=#ffa200&gt;bbb-ccc-ddd في الساعة eee:fff UTC&lt;/color&gt;. في ذلك الوقت، سنقوم بإجراء صيانة للخادم تستغرق حوالي &lt;color=#ffa200&gt;ggg دقائق&lt;/color&gt;.   يرجى تنزيل إصدار اللعبة الجديد وتسجيل الدخول إلى اللعبة للحصول على المكافأة في بريدك.\n[وقت التحديث]\neee:fff UTC، bbb-ccc-ddd؛ لن تتمكن من الوصول إلى اللعبة خلال هذا الوقت.\n[المدة المتوقعة للصيانة]\n&lt;color=#ffa200&gt;ggg دقائق&lt;/color&gt;\n[تفاصيل تحديث aaa]\nhhh\nيرجى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t>
  </si>
  <si>
    <t>尊敬する指揮官どの、
より良いゲーム体験を提供するために、&lt;color=#ffa200&gt;bbb-ccc-dddのeee:fff UTC&lt;/color&gt;にバージョンaaa更新をリリースする予定です。その時点で、約&lt;color=#ffa200&gt;ggg分間&lt;/color&gt;のサーバーメンテナンスを実施します。サーバーメンテナンスが完了次第、ゲームのアップデートが可能になります。
[アップデート時間]
eee:fff UTC, bbb-ccc-ddd; この時間帯はゲームにアクセスできません。
[予想メンテナンス時間]
&lt;color=#ffa200&gt;ggg分間&lt;/color&gt;
[aaa更新の詳細]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t>
  </si>
  <si>
    <t>친애하는 대장님,
더 나은 게임 경험을 제공하기 위해, 우리는 &lt;color=#ffa200&gt;bbb-ccc-ddd eee:fff UTC&lt;/color&gt;에 버전 aaa 업데이트를 출시할 계획입니다. 그 시간에 우리는 약 &lt;color=#ffa200&gt;ggg분&lt;/color&gt; 동안 서버 유지보수를 진행할 것입니다. 서버 유지보수가 완료되면 게임을 업데이트할 수 있습니다.
[업데이트 시간]
eee:fff UTC, bbb-ccc-ddd; 이 시간 동안 게임에 접속할 수 없습니다.
[예상 유지보수 기간]
&lt;color=#ffa200&gt;ggg분&lt;/color&gt;
[aaa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t>
  </si>
  <si>
    <t>版本号：</t>
  </si>
  <si>
    <t>0.85.0</t>
  </si>
  <si>
    <t>维护时间（年）：</t>
  </si>
  <si>
    <t>2026</t>
  </si>
  <si>
    <t>维护时间（月）：</t>
  </si>
  <si>
    <t>02</t>
  </si>
  <si>
    <t>维护时间（日）：</t>
  </si>
  <si>
    <t>10</t>
  </si>
  <si>
    <t>维护时间（utc时）：</t>
  </si>
  <si>
    <t>06</t>
  </si>
  <si>
    <t>维护时间（utc分）：</t>
  </si>
  <si>
    <t>00</t>
  </si>
  <si>
    <t>维护时长（分钟）：</t>
  </si>
  <si>
    <t>60</t>
  </si>
  <si>
    <t>aaa</t>
  </si>
  <si>
    <t>bbb</t>
  </si>
  <si>
    <t>ccc</t>
  </si>
  <si>
    <t>ddd</t>
  </si>
  <si>
    <t>eee</t>
  </si>
  <si>
    <t>fff</t>
  </si>
  <si>
    <t>ggg</t>
  </si>
  <si>
    <t>最终输出</t>
  </si>
  <si>
    <t>标题：</t>
  </si>
  <si>
    <t>内容：</t>
  </si>
  <si>
    <t>一般不用强更！！！</t>
  </si>
  <si>
    <r>
      <rPr>
        <rFont val="Arial"/>
        <color rgb="FFFF0000"/>
        <sz val="10.0"/>
      </rPr>
      <t>aaa</t>
    </r>
    <r>
      <rPr>
        <rFont val="Arial"/>
        <color rgb="FF000000"/>
        <sz val="10.0"/>
      </rPr>
      <t>版本更新介绍</t>
    </r>
  </si>
  <si>
    <r>
      <rPr>
        <rFont val="Arial"/>
        <color rgb="FF000000"/>
        <sz val="10.0"/>
      </rPr>
      <t xml:space="preserve">Version </t>
    </r>
    <r>
      <rPr>
        <rFont val="Arial"/>
        <color rgb="FFFF0000"/>
        <sz val="10.0"/>
      </rPr>
      <t>aaa</t>
    </r>
    <r>
      <rPr>
        <rFont val="Arial"/>
        <color rgb="FF000000"/>
        <sz val="10.0"/>
      </rPr>
      <t xml:space="preserve"> Update</t>
    </r>
  </si>
  <si>
    <r>
      <rPr>
        <rFont val="Arial"/>
        <color rgb="FF000000"/>
        <sz val="10.0"/>
      </rPr>
      <t xml:space="preserve">Mise à jour </t>
    </r>
    <r>
      <rPr>
        <rFont val="Arial"/>
        <color rgb="FFFF0000"/>
        <sz val="10.0"/>
      </rPr>
      <t>aaa</t>
    </r>
  </si>
  <si>
    <r>
      <rPr>
        <rFont val="Arial"/>
        <color rgb="FF000000"/>
        <sz val="10.0"/>
      </rPr>
      <t>Update auf Version</t>
    </r>
    <r>
      <rPr>
        <rFont val="Arial"/>
        <color rgb="FFFF0000"/>
        <sz val="10.0"/>
      </rPr>
      <t xml:space="preserve"> aaa</t>
    </r>
  </si>
  <si>
    <r>
      <rPr>
        <rFont val="Arial"/>
        <color rgb="FF000000"/>
        <sz val="10.0"/>
      </rPr>
      <t xml:space="preserve">Atualização da versão </t>
    </r>
    <r>
      <rPr>
        <rFont val="Arial"/>
        <color rgb="FFFF0000"/>
        <sz val="10.0"/>
      </rPr>
      <t>aaa</t>
    </r>
  </si>
  <si>
    <r>
      <rPr>
        <rFont val="Arial"/>
        <color rgb="FF000000"/>
        <sz val="10.0"/>
      </rPr>
      <t>版本</t>
    </r>
    <r>
      <rPr>
        <rFont val="Arial"/>
        <color rgb="FFFF0000"/>
        <sz val="10.0"/>
      </rPr>
      <t xml:space="preserve"> aaa</t>
    </r>
    <r>
      <rPr>
        <rFont val="Arial"/>
        <color rgb="FF000000"/>
        <sz val="10.0"/>
      </rPr>
      <t xml:space="preserve"> 更新</t>
    </r>
  </si>
  <si>
    <r>
      <rPr>
        <rFont val="Arial"/>
        <color rgb="FF000000"/>
        <sz val="10.0"/>
      </rPr>
      <t xml:space="preserve">Pembaruan Versi </t>
    </r>
    <r>
      <rPr>
        <rFont val="Arial"/>
        <color rgb="FFFF0000"/>
        <sz val="10.0"/>
      </rPr>
      <t>aaa</t>
    </r>
  </si>
  <si>
    <r>
      <rPr>
        <rFont val="Arial"/>
        <color rgb="FF000000"/>
        <sz val="10.0"/>
      </rPr>
      <t xml:space="preserve">อัปเดตเวอร์ชัน </t>
    </r>
    <r>
      <rPr>
        <rFont val="Arial"/>
        <color rgb="FFFF0000"/>
        <sz val="10.0"/>
      </rPr>
      <t>aaa</t>
    </r>
  </si>
  <si>
    <r>
      <rPr>
        <rFont val="Arial"/>
        <color rgb="FF000000"/>
        <sz val="10.0"/>
      </rPr>
      <t xml:space="preserve">Actualización a la versión </t>
    </r>
    <r>
      <rPr>
        <rFont val="Arial"/>
        <color rgb="FFFF0000"/>
        <sz val="10.0"/>
      </rPr>
      <t>aaa</t>
    </r>
  </si>
  <si>
    <r>
      <rPr>
        <rFont val="Arial"/>
        <color rgb="FF000000"/>
        <sz val="10.0"/>
      </rPr>
      <t xml:space="preserve">Обновление до версии </t>
    </r>
    <r>
      <rPr>
        <rFont val="Arial"/>
        <color rgb="FFFF0000"/>
        <sz val="10.0"/>
      </rPr>
      <t>aaa</t>
    </r>
  </si>
  <si>
    <r>
      <rPr>
        <rFont val="Arial"/>
        <color rgb="FF000000"/>
        <sz val="10.0"/>
      </rPr>
      <t>Sürüm</t>
    </r>
    <r>
      <rPr>
        <rFont val="Arial"/>
        <color rgb="FFFF0000"/>
        <sz val="10.0"/>
      </rPr>
      <t xml:space="preserve"> aaa</t>
    </r>
    <r>
      <rPr>
        <rFont val="Arial"/>
        <color rgb="FF000000"/>
        <sz val="10.0"/>
      </rPr>
      <t xml:space="preserve"> Güncellemesi</t>
    </r>
  </si>
  <si>
    <r>
      <rPr>
        <rFont val="Arial"/>
        <color rgb="FF000000"/>
        <sz val="10.0"/>
      </rPr>
      <t xml:space="preserve">Cập nhật Phiên bản </t>
    </r>
    <r>
      <rPr>
        <rFont val="Arial"/>
        <color rgb="FFFF0000"/>
        <sz val="10.0"/>
      </rPr>
      <t>aaa</t>
    </r>
  </si>
  <si>
    <t>亲爱的指挥官：
为了给大家带来更好的游戏体验，我们预计在&lt;color=#ffa200&gt;UTC时间 bbb年ccc月ddd日UTCeee:fff&lt;/color&gt;进行aaa版本更新。届时服务器将进行&lt;color=#ffa200&gt;ggg分钟&lt;/color&gt;的维护，为了确保所有玩家都有相同的游戏体验并享受最新的内容，本次更新为&lt;color=#ffa200&gt;强制更新&lt;/color&gt;，维护结束后，客户端版本号低于aaa的猴子们将无法进入游戏。我们将在版本更新后8小时内为您送来更新礼包，届时请您下载新版本后登录游戏在邮件处领取。
【更新时间】&lt;color=#ffa200&gt; bbb年ccc月ddd日UTCeee:fff&lt;/color&gt;，届时您将无法进入游戏。
【预计维护时长】&lt;color=#ffa200&gt;ggg分钟&lt;/color&gt;
【aaa更新内容】
xxxxx
本次维护不排除延迟开启的可能，如若延迟，则请关注社区发布的具体开服时间。[-1#点击加入Discord社区](herf=https://discord.gg/fK3gtph)
我们将继续修复游戏中的一些问题，同时给大家带来更多的新内容。敬请期待，享受你的香蕉盛宴吧！
罗杰副官</t>
  </si>
  <si>
    <r>
      <rPr>
        <rFont val="Arial"/>
        <color rgb="FF000000"/>
      </rPr>
      <t xml:space="preserve">Dear Captain,
In order to bring you a better gaming experience, we plan to release the version </t>
    </r>
    <r>
      <rPr>
        <rFont val="Arial"/>
        <color rgb="FFFF0000"/>
      </rPr>
      <t>aaa</t>
    </r>
    <r>
      <rPr>
        <rFont val="Arial"/>
        <color rgb="FF000000"/>
      </rPr>
      <t xml:space="preserve"> update on &lt;color=#ffa200&gt;</t>
    </r>
    <r>
      <rPr>
        <rFont val="Arial"/>
        <color rgb="FFFF0000"/>
      </rPr>
      <t xml:space="preserve">bbb-ccc-ddd at eee:fff </t>
    </r>
    <r>
      <rPr>
        <rFont val="Arial"/>
        <color rgb="FF000000"/>
      </rPr>
      <t>UTC&lt;/color&gt;. At that time, we will conduct server maintenance lasting approximately &lt;color=#ffa200&gt;</t>
    </r>
    <r>
      <rPr>
        <rFont val="Arial"/>
        <color rgb="FFFF0000"/>
      </rPr>
      <t xml:space="preserve">ggg </t>
    </r>
    <r>
      <rPr>
        <rFont val="Arial"/>
        <color rgb="FF000000"/>
      </rPr>
      <t xml:space="preserve">minutes&lt;/color&gt;. To ensure a common gaming experience and to allow all players to enjoy the latest game content, this will be a &lt;color=#ffa200&gt;mandatory update&lt;/color&gt;. Players running versions older than </t>
    </r>
    <r>
      <rPr>
        <rFont val="Arial"/>
        <color rgb="FFFF0000"/>
      </rPr>
      <t xml:space="preserve">aaa </t>
    </r>
    <r>
      <rPr>
        <rFont val="Arial"/>
        <color rgb="FF000000"/>
      </rPr>
      <t xml:space="preserve">will no longer be able to access the game after this maintenance is complete. We will issue an update pack within 8 hours after the update. Please download the new game version and log into the game to claim the reward in your Mail.
[Update Time]
</t>
    </r>
    <r>
      <rPr>
        <rFont val="Arial"/>
        <color rgb="FFFF0000"/>
      </rPr>
      <t>eee:fff UTC, bbb-ccc-ddd;</t>
    </r>
    <r>
      <rPr>
        <rFont val="Arial"/>
        <color rgb="FF000000"/>
      </rPr>
      <t xml:space="preserve"> you will not be able to access the game during this time. 
[Estimated Maintenance Duration]
&lt;color=#ffa200&gt;</t>
    </r>
    <r>
      <rPr>
        <rFont val="Arial"/>
        <color rgb="FFFF0000"/>
      </rPr>
      <t xml:space="preserve">ggg </t>
    </r>
    <r>
      <rPr>
        <rFont val="Arial"/>
        <color rgb="FF000000"/>
      </rPr>
      <t xml:space="preserve">minutes&lt;/color&gt;
</t>
    </r>
    <r>
      <rPr>
        <rFont val="Arial"/>
        <color rgb="FFFF0000"/>
      </rPr>
      <t>[aaa Up</t>
    </r>
    <r>
      <rPr>
        <rFont val="Arial"/>
        <color rgb="FF000000"/>
      </rPr>
      <t>date Details]
xxxxx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t>
    </r>
  </si>
  <si>
    <r>
      <rPr>
        <rFont val="Arial"/>
        <color rgb="FF000000"/>
      </rPr>
      <t xml:space="preserve">Cher capitaine,
Afin d’améliorer votre expérience de jeu, nous prévoyons le lancement de la mise à jour </t>
    </r>
    <r>
      <rPr>
        <rFont val="Arial"/>
        <color rgb="FFFF0000"/>
      </rPr>
      <t xml:space="preserve">aaa </t>
    </r>
    <r>
      <rPr>
        <rFont val="Arial"/>
        <color rgb="FF000000"/>
      </rPr>
      <t>le &lt;color=#ffa200&gt;</t>
    </r>
    <r>
      <rPr>
        <rFont val="Arial"/>
        <color rgb="FFFF0000"/>
      </rPr>
      <t>eee:fff UTC, ddd-ccc-bbb</t>
    </r>
    <r>
      <rPr>
        <rFont val="Arial"/>
        <color rgb="FF000000"/>
      </rPr>
      <t xml:space="preserve"> &lt;/color&gt;. Nous procèderons alors à une maintenance des serveurs qui durera environ &lt;color=#ffa200&gt;</t>
    </r>
    <r>
      <rPr>
        <rFont val="Arial"/>
        <color rgb="FFFF0000"/>
      </rPr>
      <t>ggg</t>
    </r>
    <r>
      <rPr>
        <rFont val="Arial"/>
        <color rgb="FF000000"/>
      </rPr>
      <t xml:space="preserve"> minutes&lt;/color&gt;. Pour garantir l’homogénéité de l’expérience et garantir à tous l’accès au contenu le plus récent, il s’agira d’une &lt;color=#ffa200&gt;mise à jour obligatoire &lt;/color&gt;. A l’issue de cette maintenance, les joueurs utilisant une version antérieure à la</t>
    </r>
    <r>
      <rPr>
        <rFont val="Arial"/>
        <color rgb="FFFF0000"/>
      </rPr>
      <t xml:space="preserve"> aaa n</t>
    </r>
    <r>
      <rPr>
        <rFont val="Arial"/>
        <color rgb="FF000000"/>
      </rPr>
      <t>e pourrons plus accéder au jeu. Nous lancerons un pack de mise à jour dans les 8 heures suivant la maintenance. Merci de télécharger la nouvelle version et de vous connecter pour récupérer la récompense dans votre messagerie. 
[Horaire de mise à jour]
Le eee:fff UTC, ddd-ccc-bbb. Pendant le déploiement, vous ne pourrez plus accéder au jeu. 
[Durée estimée de la maintenance]
&lt;color=#ffa200&gt;</t>
    </r>
    <r>
      <rPr>
        <rFont val="Arial"/>
        <color rgb="FFFF0000"/>
      </rPr>
      <t>ggg</t>
    </r>
    <r>
      <rPr>
        <rFont val="Arial"/>
        <color rgb="FF000000"/>
      </rPr>
      <t xml:space="preserve"> minutes&lt;/color&gt;
[Détails de la mise à jour </t>
    </r>
    <r>
      <rPr>
        <rFont val="Arial"/>
        <color rgb="FFFF0000"/>
      </rPr>
      <t xml:space="preserve">aaa]
</t>
    </r>
    <r>
      <rPr>
        <rFont val="Arial"/>
        <color rgb="FF000000"/>
      </rPr>
      <t>xxxxx
Suivez notre communauté officielle sur Discord pour connaître les éventuels retards dans la maintenance des serveurs et, le cas échéant, l’horaire corrigé du redémarrage des serveurs. [-1# Appuyez pour rejoindre notre serveur Discord officiel](herf=https://discord.gg/RncnPNw)
Nous poursuivons le travail pour résoudre les dysfonctionnements et vous proposer du nouveau contenu génial. Restez à l’écoute et à bientôt à la taverne!
Roger l'assistant</t>
    </r>
  </si>
  <si>
    <r>
      <rPr>
        <rFont val="Arial"/>
        <color rgb="FF000000"/>
      </rPr>
      <t>Lieber Captain,
 Um dir ein besseres Spielerlebnis zu bieten, werden wir am &lt;color=#ffa200</t>
    </r>
    <r>
      <rPr>
        <rFont val="Arial"/>
        <color rgb="FFFF0000"/>
      </rPr>
      <t>&gt;ddd.ccc.bbb um eee:fff UTC</t>
    </r>
    <r>
      <rPr>
        <rFont val="Arial"/>
        <color rgb="FF000000"/>
      </rPr>
      <t xml:space="preserve">&lt;/color&gt; das Update auf Version </t>
    </r>
    <r>
      <rPr>
        <rFont val="Arial"/>
        <color rgb="FFFF0000"/>
      </rPr>
      <t xml:space="preserve">aaa </t>
    </r>
    <r>
      <rPr>
        <rFont val="Arial"/>
        <color rgb="FF000000"/>
      </rPr>
      <t>durchzuführen. Wir werden zu diesem Zeitpunkt eine Serverwartung durchführen, die etwa &lt;color=#ffa200&gt;</t>
    </r>
    <r>
      <rPr>
        <rFont val="Arial"/>
        <color rgb="FFFF0000"/>
      </rPr>
      <t xml:space="preserve">ggg </t>
    </r>
    <r>
      <rPr>
        <rFont val="Arial"/>
        <color rgb="FF000000"/>
      </rPr>
      <t xml:space="preserve">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t>
    </r>
    <r>
      <rPr>
        <rFont val="Arial"/>
        <color rgb="FFFF0000"/>
      </rPr>
      <t xml:space="preserve"> ddd.ccc.bbb, 08:00 UTC</t>
    </r>
    <r>
      <rPr>
        <rFont val="Arial"/>
        <color rgb="FF000000"/>
      </rPr>
      <t>; du wirst während dieser Zeit nicht auf das Spiel zugreifen können. 
 [Geschätzte Wartungsdauer]
 &lt;color=#ffa200&gt;</t>
    </r>
    <r>
      <rPr>
        <rFont val="Arial"/>
        <color rgb="FFFF0000"/>
      </rPr>
      <t xml:space="preserve">ggg </t>
    </r>
    <r>
      <rPr>
        <rFont val="Arial"/>
        <color rgb="FF000000"/>
      </rPr>
      <t xml:space="preserve">Minuten&lt;/color&gt;
</t>
    </r>
    <r>
      <rPr>
        <rFont val="Arial"/>
        <color rgb="FFFF0000"/>
      </rPr>
      <t xml:space="preserve"> [aaa</t>
    </r>
    <r>
      <rPr>
        <rFont val="Arial"/>
        <color rgb="FF000000"/>
      </rPr>
      <t xml:space="preserve"> Update-Details]
 xxxxx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t>
    </r>
  </si>
  <si>
    <r>
      <rPr>
        <rFont val="Arial"/>
        <color rgb="FF000000"/>
      </rPr>
      <t>Caro Capitão,
 Para melhorar a experiência de jogo, planejamos lançar a atualizaçã</t>
    </r>
    <r>
      <rPr>
        <rFont val="Arial"/>
        <color rgb="FFFF0000"/>
      </rPr>
      <t>o aaa e</t>
    </r>
    <r>
      <rPr>
        <rFont val="Arial"/>
        <color rgb="FF000000"/>
      </rPr>
      <t>m &lt;color=#ffa200&gt;</t>
    </r>
    <r>
      <rPr>
        <rFont val="Arial"/>
        <color rgb="FFFF0000"/>
      </rPr>
      <t>ddd/ccc/bbb às eee:fff (fuso UTC)</t>
    </r>
    <r>
      <rPr>
        <rFont val="Arial"/>
        <color rgb="FF000000"/>
      </rPr>
      <t>&lt;/color&gt;. No momento, estamos fazendo a manutenção do jogo, que durará cerca de &lt;color=#ffa200&gt;</t>
    </r>
    <r>
      <rPr>
        <rFont val="Arial"/>
        <color rgb="FFFF0000"/>
      </rPr>
      <t>ggg</t>
    </r>
    <r>
      <rPr>
        <rFont val="Arial"/>
        <color rgb="FF000000"/>
      </rPr>
      <t xml:space="preserve"> minutos&lt;/color&gt;. Para garantir a equidade da experiência de jogo e permitir que os jogadores aproveitem o conteúdo mais recente do jogo, esta será uma &lt;color=#ffa200&gt;atualização obrigatória&lt;/color&gt;. Jogadores que estiverem usando versões anteriores à </t>
    </r>
    <r>
      <rPr>
        <rFont val="Arial"/>
        <color rgb="FFFF0000"/>
      </rPr>
      <t>aaa</t>
    </r>
    <r>
      <rPr>
        <rFont val="Arial"/>
        <color rgb="FF000000"/>
      </rPr>
      <t xml:space="preserve"> não poderão mais acessar o jogo após a manutenção. Lançaremos um pacote de atualização dentro de 8 horas após a atualização. Faça o download da nova versão e entre no jogo para resgatar as recompensas enviadas.
 [Horário da atualização]
</t>
    </r>
    <r>
      <rPr>
        <rFont val="Arial"/>
        <color rgb="FFFF0000"/>
      </rPr>
      <t>ddd/ccc/bbb, às eee:fff (fuso UTC).</t>
    </r>
    <r>
      <rPr>
        <rFont val="Arial"/>
        <color rgb="FF000000"/>
      </rPr>
      <t xml:space="preserve"> Não será possível acessar o jogo durante este período. 
 [Tempo de manutenção estimado]
 &lt;color=#ffa200&gt;</t>
    </r>
    <r>
      <rPr>
        <rFont val="Arial"/>
        <color rgb="FFFF0000"/>
      </rPr>
      <t xml:space="preserve">ggg </t>
    </r>
    <r>
      <rPr>
        <rFont val="Arial"/>
        <color rgb="FF000000"/>
      </rPr>
      <t xml:space="preserve">minutos&lt;/color&gt;
 [Detalhes da atualização </t>
    </r>
    <r>
      <rPr>
        <rFont val="Arial"/>
        <color rgb="FFFF0000"/>
      </rPr>
      <t xml:space="preserve">aaa]
</t>
    </r>
    <r>
      <rPr>
        <rFont val="Arial"/>
        <color rgb="FF000000"/>
      </rPr>
      <t>xxxxx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t>
    </r>
  </si>
  <si>
    <r>
      <rPr>
        <rFont val="Arial"/>
        <color rgb="FF000000"/>
      </rPr>
      <t>親愛的指揮官：
為了給大家帶來更好的遊戲體驗，我們預計在&lt;color=#ffa200</t>
    </r>
    <r>
      <rPr>
        <rFont val="Arial"/>
        <color rgb="FFFF0000"/>
      </rPr>
      <t>&gt;UTC時間 bbb年6月ddd日 eee:fff&lt;</t>
    </r>
    <r>
      <rPr>
        <rFont val="Arial"/>
        <color rgb="FF000000"/>
      </rPr>
      <t>/color&gt;進行aaa版本更新。屆時服務器將進行&lt;color=#ffa200&gt;</t>
    </r>
    <r>
      <rPr>
        <rFont val="Arial"/>
        <color rgb="FFFF0000"/>
      </rPr>
      <t>ggg分</t>
    </r>
    <r>
      <rPr>
        <rFont val="Arial"/>
        <color rgb="FF000000"/>
      </rPr>
      <t>鐘&lt;/color&gt;的維護，為了確保所有玩家都有相同的遊戲體驗並享受最新的內容，本次更新為&lt;color=#ffa200&gt;強制更新&lt;/color &gt;，維護結束後，客戶端版本號低於</t>
    </r>
    <r>
      <rPr>
        <rFont val="Arial"/>
        <color rgb="FFFF0000"/>
      </rPr>
      <t>aaa</t>
    </r>
    <r>
      <rPr>
        <rFont val="Arial"/>
        <color rgb="FF000000"/>
      </rPr>
      <t>的猴子們將無法進入遊戲。我們將在版本更新後8小時內為您送來更新禮包，屆時請您下載新版本後登錄遊戲在郵件處領取。
【更新時間】&lt;color=#ffa200&gt;</t>
    </r>
    <r>
      <rPr>
        <rFont val="Arial"/>
        <color rgb="FFFF0000"/>
      </rPr>
      <t>bbb年6月ddd日UTCeee:fff&lt;</t>
    </r>
    <r>
      <rPr>
        <rFont val="Arial"/>
        <color rgb="FF000000"/>
      </rPr>
      <t>/color&gt;，屆時您將無法進入遊戲。
【預計維護時長】&lt;color=#ffa200</t>
    </r>
    <r>
      <rPr>
        <rFont val="Arial"/>
        <color rgb="FFFF0000"/>
      </rPr>
      <t>&gt;ggg分</t>
    </r>
    <r>
      <rPr>
        <rFont val="Arial"/>
        <color rgb="FF000000"/>
      </rPr>
      <t>鐘&lt;/color&gt;
【</t>
    </r>
    <r>
      <rPr>
        <rFont val="Arial"/>
        <color rgb="FFFF0000"/>
      </rPr>
      <t>aaa更新內</t>
    </r>
    <r>
      <rPr>
        <rFont val="Arial"/>
        <color rgb="FF000000"/>
      </rPr>
      <t>容】
xxxxx
本次維護不排除延遲開啟的可能，如若延遲，則請關注社區發布的具體開服時間。 [-1#點擊加入Discord社區](herf=https://discord.gg/fK3gtph)
我們將繼續修復遊戲中的一些問題，同時給大家帶來更多的新內容。敬請期待，享受你的香蕉盛宴吧！
羅傑副官</t>
    </r>
  </si>
  <si>
    <r>
      <rPr>
        <rFont val="Arial"/>
        <color rgb="FF000000"/>
      </rPr>
      <t xml:space="preserve">Kapten yang terhormat,
 Untuk memberikanmu pengalaman bermain yang lebih baik, kami berencana untuk merilis pembaruan versi </t>
    </r>
    <r>
      <rPr>
        <rFont val="Arial"/>
        <color rgb="FFFF0000"/>
      </rPr>
      <t>aaa</t>
    </r>
    <r>
      <rPr>
        <rFont val="Arial"/>
        <color rgb="FF000000"/>
      </rPr>
      <t xml:space="preserve"> pada &lt;color=#ffa200&gt;</t>
    </r>
    <r>
      <rPr>
        <rFont val="Arial"/>
        <color rgb="FFFF0000"/>
      </rPr>
      <t>bbb-ccc-ddd pukul eee:fff UTC</t>
    </r>
    <r>
      <rPr>
        <rFont val="Arial"/>
        <color rgb="FF000000"/>
      </rPr>
      <t>&lt;/color&gt;. Pada saat itu, kami akan melakukan pemeliharaan server yang berlangsung kira-kira &lt;color=#ffa200&gt;</t>
    </r>
    <r>
      <rPr>
        <rFont val="Arial"/>
        <color rgb="FFFF0000"/>
      </rPr>
      <t xml:space="preserve">ggg </t>
    </r>
    <r>
      <rPr>
        <rFont val="Arial"/>
        <color rgb="FF000000"/>
      </rPr>
      <t>menit&lt;/color&gt;. Untuk memastikan pengalaman bermain game yang normal dan memungkinkan semua pemain menikmati konten game terbaru, hal ini akan menjadi &lt;color=#ffa200&gt;pembaruan wajib&lt;/color&gt;. Pemain yang menjalankan versi lebih lama dari</t>
    </r>
    <r>
      <rPr>
        <rFont val="Arial"/>
        <color rgb="FFFF0000"/>
      </rPr>
      <t xml:space="preserve"> aaa </t>
    </r>
    <r>
      <rPr>
        <rFont val="Arial"/>
        <color rgb="FF000000"/>
      </rPr>
      <t xml:space="preserve">tidak bisa lagi mengakses game setelah pemeliharaan ini selesai.Kami akan mengeluarkan paket pembaruan dalam 8 jam setelah pembaruan. Unduh versi game baru dan masuk ke dalam game untuk mengklaim hadiah dalam Emailmu.
 [Waktu Pembaruan]
</t>
    </r>
    <r>
      <rPr>
        <rFont val="Arial"/>
        <color rgb="FFFF0000"/>
      </rPr>
      <t xml:space="preserve"> eee:fff UTC, bbb-ccc-ddd; </t>
    </r>
    <r>
      <rPr>
        <rFont val="Arial"/>
        <color rgb="FF000000"/>
      </rPr>
      <t>kamu tidak akan bisa mengakses game selama waktu tersebut. 
 [Perkiraan Durasi Pemeliharaan]
 &lt;color=#ffa200&gt;</t>
    </r>
    <r>
      <rPr>
        <rFont val="Arial"/>
        <color rgb="FFFF0000"/>
      </rPr>
      <t xml:space="preserve">ggg </t>
    </r>
    <r>
      <rPr>
        <rFont val="Arial"/>
        <color rgb="FF000000"/>
      </rPr>
      <t xml:space="preserve">menit&lt;/color&gt;
</t>
    </r>
    <r>
      <rPr>
        <rFont val="Arial"/>
        <color rgb="FFFF0000"/>
      </rPr>
      <t xml:space="preserve"> [aaa Rin</t>
    </r>
    <r>
      <rPr>
        <rFont val="Arial"/>
        <color rgb="FF000000"/>
      </rPr>
      <t>cian Pembaruan]
xxxxx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t>
    </r>
  </si>
  <si>
    <r>
      <rPr>
        <rFont val="Arial"/>
        <color rgb="FF000000"/>
      </rPr>
      <t>ถึงท่านผู้บัญชาการ
 เพื่อให้นายได้รับประสบการณ์การเล่นเกมที่ดีขึ้น เราวางแผนที่จะปล่อยอัปเดตเวอร์ชัน</t>
    </r>
    <r>
      <rPr>
        <rFont val="Arial"/>
        <color rgb="FFFF0000"/>
      </rPr>
      <t xml:space="preserve"> aaa</t>
    </r>
    <r>
      <rPr>
        <rFont val="Arial"/>
        <color rgb="FF000000"/>
      </rPr>
      <t xml:space="preserve"> ในวันที่ &lt;color=#ffa200</t>
    </r>
    <r>
      <rPr>
        <rFont val="Arial"/>
        <color rgb="FFFF0000"/>
      </rPr>
      <t xml:space="preserve">&gt;bbb-ccc-ddd ในเวลา eee:fff </t>
    </r>
    <r>
      <rPr>
        <rFont val="Arial"/>
        <color rgb="FF000000"/>
      </rPr>
      <t>ตามเวลา UTC&lt;/color&gt; ซึ่งในเวลาดังกล่าว เราจะทำการบำรุงรักษาเซิร์ฟเวอร์เป็นเวลาประมาณ &lt;color=#ffa200&gt;</t>
    </r>
    <r>
      <rPr>
        <rFont val="Arial"/>
        <color rgb="FFFF0000"/>
      </rPr>
      <t xml:space="preserve">ggg </t>
    </r>
    <r>
      <rPr>
        <rFont val="Arial"/>
        <color rgb="FF000000"/>
      </rPr>
      <t>นาที&lt;/color&gt; เพื่อให้มั่นใจว่าประสบการณ์การเล่นเกมของทุกท่านเป็นไปด้วยดี และเพื่อให้ผู้เล่นทุกคนได้เพลิดเพลินไปกับเนื้อหาเกมล่าสุด ในกรณีนี้จะเป็น&lt;color=#ffa200&gt;การอัปเดตภาคบังคับ&lt;/color&gt; ซึ่งผู้เล่นที่ใช้เวอร์ชันเก่ากว่า</t>
    </r>
    <r>
      <rPr>
        <rFont val="Arial"/>
        <color rgb="FFFF0000"/>
      </rPr>
      <t xml:space="preserve"> aaa จะ</t>
    </r>
    <r>
      <rPr>
        <rFont val="Arial"/>
        <color rgb="FF000000"/>
      </rPr>
      <t xml:space="preserve">ไม่สามารถเข้าสู่เกมได้หลังจากการบำรุงรักษานี้เสร็จสมบูรณ์
 [เวลาอัปเดต]
 </t>
    </r>
    <r>
      <rPr>
        <rFont val="Arial"/>
        <color rgb="FFFF0000"/>
      </rPr>
      <t>eee:fff UTC bbb-ccc-ddd</t>
    </r>
    <r>
      <rPr>
        <rFont val="Arial"/>
        <color rgb="FF000000"/>
      </rPr>
      <t>; 
 [ระยะเวลาการบำรุงรักษาโดยประมาณ]
 &lt;color=#ffa200&gt;</t>
    </r>
    <r>
      <rPr>
        <rFont val="Arial"/>
        <color rgb="FFFF0000"/>
      </rPr>
      <t>ggg</t>
    </r>
    <r>
      <rPr>
        <rFont val="Arial"/>
        <color rgb="FF000000"/>
      </rPr>
      <t xml:space="preserve"> นาที&lt;/color&gt;
 [</t>
    </r>
    <r>
      <rPr>
        <rFont val="Arial"/>
        <color rgb="FFFF0000"/>
      </rPr>
      <t>aaa รา</t>
    </r>
    <r>
      <rPr>
        <rFont val="Arial"/>
        <color rgb="FF000000"/>
      </rPr>
      <t>ยละเอียดการอัปเดต]
xxxxx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t>
    </r>
  </si>
  <si>
    <r>
      <rPr>
        <rFont val="Arial"/>
        <color rgb="FF000000"/>
      </rPr>
      <t>Querido Capitán,
 Para poder brindarte una mejor experiencia de juego, planeamos liberar una actualización a la versión</t>
    </r>
    <r>
      <rPr>
        <rFont val="Arial"/>
        <color rgb="FFFF0000"/>
      </rPr>
      <t xml:space="preserve"> aaa </t>
    </r>
    <r>
      <rPr>
        <rFont val="Arial"/>
        <color rgb="FF000000"/>
      </rPr>
      <t>el &lt;color=#ffa200&gt;</t>
    </r>
    <r>
      <rPr>
        <rFont val="Arial"/>
        <color rgb="FFFF0000"/>
      </rPr>
      <t xml:space="preserve">bbb-ccc-ddd a las eee:fff </t>
    </r>
    <r>
      <rPr>
        <rFont val="Arial"/>
        <color rgb="FF000000"/>
      </rPr>
      <t>UTC&lt;/color&gt;. En ese momento, realizaremos un mantenimiento de servidor que tendrá una duración aproximada de &lt;color=#ffa200&gt;</t>
    </r>
    <r>
      <rPr>
        <rFont val="Arial"/>
        <color rgb="FFFF0000"/>
      </rPr>
      <t>ggg</t>
    </r>
    <r>
      <rPr>
        <rFont val="Arial"/>
        <color rgb="FF000000"/>
      </rPr>
      <t xml:space="preserve"> minutos&lt;/color&gt;. Para asegurarnos de que la experiencia de juego sea común y para permitir que todos los jugadores disfruten del contenido más actualizado del juego esta será una &lt;color=#ffa200&gt;actualización obligatoria&lt;/color&gt;. Los jugadores que estén utilizando versiones más viejas a la </t>
    </r>
    <r>
      <rPr>
        <rFont val="Arial"/>
        <color rgb="FFFF0000"/>
      </rPr>
      <t xml:space="preserve">aaa </t>
    </r>
    <r>
      <rPr>
        <rFont val="Arial"/>
        <color rgb="FF000000"/>
      </rPr>
      <t xml:space="preserve">ya no podrán acceder al juego después de que este mantenimiento esté completo. Liberaremos un paquete de actualización dentro de las siguientes 8 horas después de la actualización. Por favor, descarga la nueva versión del juego y conéctate al juego para reclamar la recompensa en tu Correo. 
 [Hora de la Actualización]
</t>
    </r>
    <r>
      <rPr>
        <rFont val="Arial"/>
        <color rgb="FFFF0000"/>
      </rPr>
      <t xml:space="preserve"> eee:fff UTC, bbb-ccc-ddd;</t>
    </r>
    <r>
      <rPr>
        <rFont val="Arial"/>
        <color rgb="FF000000"/>
      </rPr>
      <t xml:space="preserve"> no podrás acceder al juego durante esta hora. 
 [Duración Estimada del Mantenimiento]
 &lt;color=#ffa200&gt;ggg minutos&lt;/color&gt;
 [Detalles de la actualización </t>
    </r>
    <r>
      <rPr>
        <rFont val="Arial"/>
        <color rgb="FFFF0000"/>
      </rPr>
      <t xml:space="preserve">aaa]
</t>
    </r>
    <r>
      <rPr>
        <rFont val="Arial"/>
        <color rgb="FF000000"/>
      </rPr>
      <t>xxxxx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t>
    </r>
  </si>
  <si>
    <r>
      <rPr>
        <rFont val="Arial"/>
        <color rgb="FF000000"/>
      </rPr>
      <t xml:space="preserve">Уважаемый капитан!
Для того чтобы подарить вам наилучшие впечатления от игры, мы планируем выпустить обновление версии </t>
    </r>
    <r>
      <rPr>
        <rFont val="Arial"/>
        <color rgb="FFFF0000"/>
      </rPr>
      <t xml:space="preserve">aaa </t>
    </r>
    <r>
      <rPr>
        <rFont val="Arial"/>
        <color rgb="FF000000"/>
      </rPr>
      <t>&lt;color=#ffa200&gt;</t>
    </r>
    <r>
      <rPr>
        <rFont val="Arial"/>
        <color rgb="FFFF0000"/>
      </rPr>
      <t xml:space="preserve"> ddd.ccc.bbb в eee:fff UT</t>
    </r>
    <r>
      <rPr>
        <rFont val="Arial"/>
        <color rgb="FF000000"/>
      </rPr>
      <t>C&lt;/color&gt;. Мы проведем техническое обслуживание сервера, которое продлится примерно &lt;color=#ffa200&gt;</t>
    </r>
    <r>
      <rPr>
        <rFont val="Arial"/>
        <color rgb="FFFF0000"/>
      </rPr>
      <t>ggg</t>
    </r>
    <r>
      <rPr>
        <rFont val="Arial"/>
        <color rgb="FF000000"/>
      </rPr>
      <t xml:space="preserve"> минут&lt;/color&gt;. Для того чтобы игра работала одинаково у всех игроков и все игроки могли наслаждаться новейшим игровым контентом, мы делаем это обновление &lt;color=#ffa200&gt;обязательным&lt;/color&gt;. Игроки с версиями игры, отличными от</t>
    </r>
    <r>
      <rPr>
        <rFont val="Arial"/>
        <color rgb="FFFF0000"/>
      </rPr>
      <t xml:space="preserve"> aaa,</t>
    </r>
    <r>
      <rPr>
        <rFont val="Arial"/>
        <color rgb="FF000000"/>
      </rPr>
      <t xml:space="preserve"> не смогут получить доступ к игре после завершения обслуживания.Мы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t>
    </r>
    <r>
      <rPr>
        <rFont val="Arial"/>
        <color rgb="FFFF0000"/>
      </rPr>
      <t xml:space="preserve"> ddd.ccc.bbb, eee:fff UTC</t>
    </r>
    <r>
      <rPr>
        <rFont val="Arial"/>
        <color rgb="FF000000"/>
      </rPr>
      <t>. Во время обновления вы не сможете получить доступ к игре. 
[Ожидаемая длительность обслуживания]
&lt;color=#ffa200&gt;</t>
    </r>
    <r>
      <rPr>
        <rFont val="Arial"/>
        <color rgb="FFFF0000"/>
      </rPr>
      <t>ggg</t>
    </r>
    <r>
      <rPr>
        <rFont val="Arial"/>
        <color rgb="FF000000"/>
      </rPr>
      <t xml:space="preserve"> минут&lt;/color&gt;
[Детали обновления</t>
    </r>
    <r>
      <rPr>
        <rFont val="Arial"/>
        <color rgb="FFFF0000"/>
      </rPr>
      <t xml:space="preserve"> aaa]
</t>
    </r>
    <r>
      <rPr>
        <rFont val="Arial"/>
        <color rgb="FF000000"/>
      </rPr>
      <t>xxxxx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t>
    </r>
  </si>
  <si>
    <r>
      <rPr>
        <rFont val="Arial"/>
        <color rgb="FF000000"/>
      </rPr>
      <t>Sevgili Kaptan,
 Sana daha iyi bir oyun deneyimi sunmak adına sürüm</t>
    </r>
    <r>
      <rPr>
        <rFont val="Arial"/>
        <color rgb="FFFF0000"/>
      </rPr>
      <t xml:space="preserve"> aaa </t>
    </r>
    <r>
      <rPr>
        <rFont val="Arial"/>
        <color rgb="FF000000"/>
      </rPr>
      <t>güncellemesini &lt;color=#ffa200&gt;</t>
    </r>
    <r>
      <rPr>
        <rFont val="Arial"/>
        <color rgb="FFFF0000"/>
      </rPr>
      <t xml:space="preserve"> ddd.ccc.bbb saat eee.fff’da </t>
    </r>
    <r>
      <rPr>
        <rFont val="Arial"/>
        <color rgb="FF000000"/>
      </rPr>
      <t>(UTC)&lt;/color&gt; yayımlamayı planlıyoruz. O esnada yaklaşık &lt;color=#ffa200&gt;</t>
    </r>
    <r>
      <rPr>
        <rFont val="Arial"/>
        <color rgb="FFFF0000"/>
      </rPr>
      <t xml:space="preserve">ggg </t>
    </r>
    <r>
      <rPr>
        <rFont val="Arial"/>
        <color rgb="FF000000"/>
      </rPr>
      <t xml:space="preserve">dakika&lt;/color&gt; sürecek bir sunucu bakımı gerçekleştireceğiz. Ortak bir oyun deneyimi sunmak ve tüm oyuncuların oyunun en yeni içeriklerinden faydalanmasını sağlamak için bu &lt;color=#ffa200&gt;zorunlu bir güncelleme&lt;/color&gt; olacak. </t>
    </r>
    <r>
      <rPr>
        <rFont val="Arial"/>
        <color rgb="FFFF0000"/>
      </rPr>
      <t>aaa</t>
    </r>
    <r>
      <rPr>
        <rFont val="Arial"/>
        <color rgb="FF000000"/>
      </rPr>
      <t xml:space="preserve">’dan daha eski sürümleri kullanan oyuncular, bu bakımın tamamlanmasının ardından bir daha oyuna erişim sağlayamayacaklar. Güncellemenin ardından 8 saat içinde bir güncelleme paketi yayımlayacağız. Lütfen oyunun yeni sürümünü indir ve oyuna giriş yaparak Postandan ödülünü al.
 [Güncelleme Zamanı]
 </t>
    </r>
    <r>
      <rPr>
        <rFont val="Arial"/>
        <color rgb="FFFF0000"/>
      </rPr>
      <t>eee.fff (UTC),  ddd.ccc.bbb</t>
    </r>
    <r>
      <rPr>
        <rFont val="Arial"/>
        <color rgb="FF000000"/>
      </rPr>
      <t>; bu sırada oyuna erişim sağlayamayacaksın. 
 [Tahmini Bakım Süresi]
 &lt;color=#ffa200&gt;</t>
    </r>
    <r>
      <rPr>
        <rFont val="Arial"/>
        <color rgb="FFFF0000"/>
      </rPr>
      <t>ggg</t>
    </r>
    <r>
      <rPr>
        <rFont val="Arial"/>
        <color rgb="FF000000"/>
      </rPr>
      <t xml:space="preserve"> dakika&lt;/color&gt;
 [</t>
    </r>
    <r>
      <rPr>
        <rFont val="Arial"/>
        <color rgb="FFFF0000"/>
      </rPr>
      <t>aaa Gü</t>
    </r>
    <r>
      <rPr>
        <rFont val="Arial"/>
        <color rgb="FF000000"/>
      </rPr>
      <t>ncelleme Bilgileri]
xxxxx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t>
    </r>
  </si>
  <si>
    <r>
      <rPr>
        <rFont val="Arial"/>
        <color rgb="FF000000"/>
      </rPr>
      <t xml:space="preserve">Thưa Thủ Lĩnh,
 Để đem lại cho bạn trải nghiệm chơi game tốt hơn, chúng tôi dự định sẽ phát hành bản cập nhật </t>
    </r>
    <r>
      <rPr>
        <rFont val="Arial"/>
        <color rgb="FFFF0000"/>
      </rPr>
      <t>aaa</t>
    </r>
    <r>
      <rPr>
        <rFont val="Arial"/>
        <color rgb="FF000000"/>
      </rPr>
      <t xml:space="preserve"> vào lúc &lt;color=#ffa200&gt;</t>
    </r>
    <r>
      <rPr>
        <rFont val="Arial"/>
        <color rgb="FFFF0000"/>
      </rPr>
      <t>eee:fff UTC ngày ddd/ccc/bbb</t>
    </r>
    <r>
      <rPr>
        <rFont val="Arial"/>
        <color rgb="FF000000"/>
      </rPr>
      <t>&lt;/color&gt;. Cùng lúc đó, chúng tôi cũng sẽ thực hiện bảo trì máy chủ kéo dài khoảng &lt;color=#ffa200&gt;</t>
    </r>
    <r>
      <rPr>
        <rFont val="Arial"/>
        <color rgb="FFFF0000"/>
      </rPr>
      <t>ggg</t>
    </r>
    <r>
      <rPr>
        <rFont val="Arial"/>
        <color rgb="FF000000"/>
      </rPr>
      <t xml:space="preserve"> phút&lt;/color&gt;. Để đảm bảo trải nghiệm game chung và cho phép tất cả người chơi tận hưởng nội dung game mới nhất, đây sẽ là một &lt;color=#ffa200&gt;bản cập nhật bắt buộc&lt;/color&gt;. Những người chơi chạy phiên bản cũ hơn </t>
    </r>
    <r>
      <rPr>
        <rFont val="Arial"/>
        <color rgb="FFFF0000"/>
      </rPr>
      <t>aaa</t>
    </r>
    <r>
      <rPr>
        <rFont val="Arial"/>
        <color rgb="FF000000"/>
      </rPr>
      <t xml:space="preserve"> sẽ không thể truy cập vào game nữa sau khi quá trình bảo trì này hoàn tất. Chúng tôi sẽ phát hành gói cập nhật trong vòng 8 tiếng sau khi cập nhật. Hãy tải phiên bản game mới và đăng nhập lại vào game để nhận thưởng trong Mail nhé.
 [Thời gian cập nhật]
 </t>
    </r>
    <r>
      <rPr>
        <rFont val="Arial"/>
        <color rgb="FFFF0000"/>
      </rPr>
      <t>eee:fff UTC, ngày ddd/ccc/bbb;</t>
    </r>
    <r>
      <rPr>
        <rFont val="Arial"/>
        <color rgb="FF000000"/>
      </rPr>
      <t xml:space="preserve"> bạn sẽ không thể truy cập vào game trong khoảng thời gian này. 
 [Thời lượng bảo trì ước tính]
 &lt;color=#ffa200&gt;</t>
    </r>
    <r>
      <rPr>
        <rFont val="Arial"/>
        <color rgb="FFFF0000"/>
      </rPr>
      <t>ggg</t>
    </r>
    <r>
      <rPr>
        <rFont val="Arial"/>
        <color rgb="FF000000"/>
      </rPr>
      <t xml:space="preserve"> phút&lt;/color&gt;
 [Thông tin bản cập nhật</t>
    </r>
    <r>
      <rPr>
        <rFont val="Arial"/>
        <color rgb="FFFF0000"/>
      </rPr>
      <t xml:space="preserve"> aaa]
</t>
    </r>
    <r>
      <rPr>
        <rFont val="Arial"/>
        <color rgb="FF000000"/>
      </rPr>
      <t>xxxxx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t>
    </r>
  </si>
  <si>
    <t>版本：</t>
  </si>
  <si>
    <t>0.48.0</t>
  </si>
  <si>
    <t>时间年：</t>
  </si>
  <si>
    <t>2022</t>
  </si>
  <si>
    <t>时间月：</t>
  </si>
  <si>
    <t>时间日：</t>
  </si>
  <si>
    <t>31</t>
  </si>
  <si>
    <t>时间时：</t>
  </si>
  <si>
    <t>07</t>
  </si>
  <si>
    <t>时间分：</t>
  </si>
  <si>
    <t>维护时长：分</t>
  </si>
  <si>
    <t>120</t>
  </si>
  <si>
    <t>最终输出：</t>
  </si>
  <si>
    <t>标题</t>
  </si>
  <si>
    <t>内容</t>
  </si>
  <si>
    <t>国服非强更</t>
  </si>
  <si>
    <t>0.53.0版本更新介绍</t>
  </si>
  <si>
    <t>亲爱的指挥官：
为了给大家带来更好的游戏体验，我们预计在&lt;color=#ffa200&gt;北京时间2023年05月17日14:00&lt;/color&gt;进行0.53.0版本更新。届时服务器将进行&lt;color=#ffa200&gt;120分钟&lt;/color&gt;维护，维护结束后猴子们可以选择适当的网络环境更新版本。我们将在版本更新后8小时内为您送来更新礼包，届时请您下载新版本后登录游戏在邮件处领取。
【更新时间】&lt;color=#ffa200&gt;北京时间2023年05月17日14:00&lt;/color&gt;，届时您将无法进入游戏。
【预计维护时长】&lt;color=#ffa200&gt;120分钟&lt;/color&gt;
【0.53.0更新内容】
-新增斗士：荒野守护者雷蒙德，攻防兼备，火力全开，让所有猿猴敬畏的荒野守护者来了！
-堡垒对决新增怪物炮弹狂猿、入侵暴徒；新增建筑物疗愈塔；新增技能生命轮转、钢铁防线。
-新增活动“航天夺魁”：帮派全员参与，争夺限量配送站外观！
-新增“电能强化”功能，可在电子科技中通过消耗电池开启。
-发射准备活动优化：优化了活动的界面展示和部分任务积分奖励。
-收藏品成就系统优化：提升收藏品战力，可领取更多奖励。
-战装试炼场优化：增加了每周期可领取的铁质发条道具，并且优化了Boss宝箱的奖励显示。-斗士系统优化：新增斗士排序和筛选的功能。
-行军系统优化：新增行军目的地跳转功能。
-空闲队列优化：优化了不同队列的状态展示以及操作逻辑，现在可以更方便地管理队列了！
-投资计划优化：新增每日收益预览。
-黑色氏族美术表现优化：大地图黑色氏族领土分界线、行军线颜色更加明显。
-聊天组优化：多人聊天组优化，新增“添加或删除成员”功能。
-帮派科技优化：优化多种科研状态的表现。
-军备远征优化：增加军备远征相关红点提示、预告，优化BOSS关卡奖励展示。-挑战界面优化：全新挑战界面，表现力提升！同时增加了奖励和玩法进度的展示。
-堡垒竞夺优化：优化堡垒竞夺次数消耗逻辑，气泡提示的显示逻辑。
-战装优化：优化了战装相关界面跳转逻辑、界面表现。
-帮派运动会优化：新增了冠军旗帜奖励，添加了传说段位中的积分奖励。
-地下探宝活动优化：活动结束后可以查看排行榜，优化了玩法规则显示。
本次维护不排除延迟开启的可能，如若延迟，请关注社区发布的具体开服时间。
我们将继续修复游戏中的一些问题，同时给大家带来更多的新内容。敬请期待，享受你的香蕉盛宴吧！
罗杰副官</t>
  </si>
  <si>
    <t>平衡性调整邮件模板点我！！</t>
  </si>
  <si>
    <t>aaa版本平衡性调整说明</t>
  </si>
  <si>
    <t>Version aaa Balance Adjustments</t>
  </si>
  <si>
    <t>Equilibrage version aaa</t>
  </si>
  <si>
    <t>Version aaa Balance-Anpassungen</t>
  </si>
  <si>
    <t>Ajustes de balanceamento da versão aaa</t>
  </si>
  <si>
    <t>aaa版本平衡性調整說明</t>
  </si>
  <si>
    <t>Penyesuaian Saldo Versi aaa</t>
  </si>
  <si>
    <t>เวอร์ชัน aaa การปรับสมดุล</t>
  </si>
  <si>
    <t>Ajustes de Balance para la Versión aaa</t>
  </si>
  <si>
    <t>Настройки баланса в версии aaa</t>
  </si>
  <si>
    <t>Sürüm aaa Denge Düzenlemeleri</t>
  </si>
  <si>
    <t>Điều Chỉnh Cân Bằng Phiên Bản aaa</t>
  </si>
  <si>
    <t>Versione aaa Modifiche di equilibrio</t>
  </si>
  <si>
    <t>Wersja aaa Zmiany w zrównoważeniu</t>
  </si>
  <si>
    <t>الإصدار aaa تعديلات متوازنة</t>
  </si>
  <si>
    <t>バージョンaaaバランス調整</t>
  </si>
  <si>
    <t>버전 aaa 밸런스 조정</t>
  </si>
  <si>
    <r>
      <rPr>
        <rFont val="Arial"/>
        <color theme="1"/>
      </rPr>
      <t>亲爱的指挥官：\n\n为了确保整体的游戏平衡，我们在即将更新的aaa版本进行了以下</t>
    </r>
    <r>
      <rPr>
        <rFont val="Arial"/>
        <color rgb="FFFF9900"/>
      </rPr>
      <t>&lt;color=#ffa200&gt;数值调整&lt;/color&gt;</t>
    </r>
    <r>
      <rPr>
        <rFont val="Arial"/>
        <color theme="1"/>
      </rPr>
      <t>：\n\n</t>
    </r>
    <r>
      <rPr>
        <rFont val="Arial"/>
        <color rgb="FFFF0000"/>
      </rPr>
      <t>xxxxx</t>
    </r>
    <r>
      <rPr>
        <rFont val="Arial"/>
        <color theme="1"/>
      </rPr>
      <t>\n\n\n谢谢您对我们的支持，我们将不断改进，希望能得到您的理解和支持，下一次在酒馆中再次干杯!\n\n罗杰副官</t>
    </r>
  </si>
  <si>
    <t>Dear Captain,\n\nIn order to increase overall balance in the game, the upcoming aaa version update will include the following &lt;color=#ffa200&gt;stat adjustments&lt;/color&gt;:\n\nxxxxx\n\nThank you for your understanding and support as we continue to improve. See you around the Tavern!\n\nDeputy Roger</t>
  </si>
  <si>
    <t>Cher capitaine,\n\nAfin d'équilibrer globalement le jeu, les &lt;color=#ffa200&gt;modifications des statistiques&lt;/color&gt; suivantes prendront effet dans la prochaine mise à jour aaa du jeu:\n\nxxxxx\n\nMerci pour votre compréhension et votre soutien. Nous mettons tout en œuvre pour continuer à progresser et améliorer le jeu. \n\nOn se retrouve à la taverne!\n\nRoger l'assistant</t>
  </si>
  <si>
    <t>Lieber Captain,\n\nUm die allgemeine Balance im Spiel zu erhöhen, wird das kommende Versionsupdate aaa die folgenden &lt;color=#ffa200&gt;Balance-Anpassungen&lt;/color&gt; beinhalten:\n\nxxxxx\n\nVielen Dank für dein Verständnis und deine Unterstützung, während wir uns weiter verbessern. Wir sehen uns in der Taverne!\n\nAdjudant Roger</t>
  </si>
  <si>
    <t>Caro Capitão,\n\nPara melhorar o balanceamento geral dentro do jogo, a versão aaa incluirá os seguintes &lt;color=#ffa200&gt;ajustes de atributos&lt;/color&gt;:\n\nxxxxx\n\nAgradecemos pela sua compreensão e suporte ao passo que continuamos melhorando. Vemos você na taverna!\n\nDelegado Roger</t>
  </si>
  <si>
    <t>親愛的指揮官：\n\n為了確保整體的遊戲平衡，我們在即將更新的aaa版本進行了以下&lt;color=#ffa200&gt;數值調整&lt;/color&gt;：\n\nxxxxx\n\n\n謝謝您對我們的支持，我們將不斷改進，希望能得到您的理解和支持，下一次在酒館中再次乾杯!\n\n羅傑副官</t>
  </si>
  <si>
    <t>Kapten yang terhormat,\n\nUntuk meningkatkan keseimbangan keseluruhan dalam game, pembaruan versi aaa mendatang akan mencakup &lt;color=#ffa200&gt;penyesuaian status&lt;/color&gt; berikut ini:\n\nxxxxx\n\nTerima kasih atas pengertian dan dukunganmu sementara kami terus meningkatkan game. Sampai jumpa di sekitar Kedai!\n\nDeputi Roger</t>
  </si>
  <si>
    <t>ถึงท่านผู้บัญชาการ\n\nเพื่อเพิ่มความสมดุลโดยรวมในเกม การอัปเดตเวอร์ชัน aaa ที่กำลังจะมีขึ้นจะมีการปรับ&lt;color=#ffa200&gt;ค่าพลัง&lt;/color&gt;ดังต่อไปนี้:\n\nxxxxx\n\nขอขอบคุณสำหรับความเข้าใจและการสนับสนุนในการปรับปรุงอย่างต่อเนื่องของเรา แล้วไว้เจอกันแถว ๆ โรงแรมนะ!\n\nท่านรองโรเจอร์</t>
  </si>
  <si>
    <t>Querido Capitán, \n\nPara poder aumentar el balance en general dentro del juego, la próxima actualización del juego a la versión aaa incluirá el siguiente &lt;color=#ffa200&gt;ajuste de estadísticas&lt;/color&gt;:\n\nxxxxx\n\nGracias por tu comprensión y apoyo mientras continuamos mejorando. ¡Nos vemos en la Taberna!\n\nComisario Roger</t>
  </si>
  <si>
    <t>Уважаемый капитан!\n\nВ целях улучшения общего баланса игры мы вносим следующие &lt;color=#ffa200&gt;изменения показателей&lt;/color&gt; в обновлении до версии aaa:\n\nxxxxx\n\nСпасибо за понимание и поддержку наших мер по улучшению игры. Увидимся в таверне!\n\nПомощник Роджер</t>
  </si>
  <si>
    <t>Sevgili Kaptan,\n\nOyundaki genel dengeyi artırmak için, sunulacak aaa sürüm güncellemesi şu &lt;color=#ffa200&gt;özellik düzenlemelerini&lt;/color&gt; içerecek:\n\nxxxxx\n\nGelişme sürecimizdeki anlayışın ve desteğin için teşekkürler. Tavernada görüşürüz!\n\nYardımcı Roger</t>
  </si>
  <si>
    <t>Thưa Thủ Lĩnh,\n\nĐể tăng cân bằng tổng thể trong trò chơi, bản cập nhật phiên bản aaa sắp tới sẽ bao gồm những &lt;color=#ffa200&gt;điều chỉnh chỉ số&lt;/color&gt; sau:\n\nxxxxx\n\nCảm ơn các bạn đã thông cảm và ủng hộ trong thời gian chúng tôi tiếp tục cải thiện trò chơi. Hẹn gặp lại ở Tửu Quán nhé!\n\nPhụ tá Roger</t>
  </si>
  <si>
    <t>Caro Capitano,\nPer aumentare l'equilibrio generale nel gioco, il prossimo aggiornamento della versione aaa includerà i seguenti &lt;color=#ffa200&gt;aggiustamenti di statistiche&lt;/color&gt;:\nxxxxx\nGrazie per la comprensione e il supporto mentre continuiamo a migliorare. Ci vediamo alla Taverna!\nSottotenente Roger</t>
  </si>
  <si>
    <t>Szanowny Kapitanie,\nAby zwiększyć ogólną równowagę w grze, nadchodząca aktualizacja wersji aaa będzie zawierać następujące &lt;color=#ffa200&gt;zmiany w statystykach&lt;/color&gt;:\nxxxxx\nDziękujemy za zrozumienie i wsparcie – ciągle staramy się doskonalić system. Do zobaczenia w Tawernie!\nZastępca Roger</t>
  </si>
  <si>
    <t>عزيزي الزعيم،\nمن أجل زيادة التوازن العام في اللعبة، سيتضمن التحديث القادم لإصدار aaa التالي &lt;color=#ffa200&gt;تعديلات الإحصائيات&lt;/color&gt; التالية:\nxxxxx\nشكرا لتفهمك ودعمك ونحن نواصل التحسينات. أراك حول المقهى!\nالنائب روجر</t>
  </si>
  <si>
    <t>親愛なるキャプテン、\n\nゲーム全体のバランスを向上させるため、次回のaaaバージョン更新には以下の&lt;color=#ffa200&gt;ステータス調整&lt;/color&gt;が含まれます：\n\nxxxxx\n\n\n私たちは改善を続ける中で、あなたの理解とサポートに感謝します。酒場でお会いしましょう！\n\n副指揮官ロジャー</t>
  </si>
  <si>
    <t>친애하는 대장님,\n\n게임의 전반적인 밸런스를 높이기 위해, 다가오는 aaa 버전 업데이트에는 다음과 같은 &lt;color=#ffa200&gt;통계 조정&lt;/color&gt;이 포함될 것입니다:\n\nxxxxx\n\n\n우리가 계속해서 개선해 나가는 동안 당신의 이해와 지원에 감사드립니다. 선술집에서 만나요!\n\n부관 로저</t>
  </si>
  <si>
    <t>输入</t>
  </si>
  <si>
    <t>版本:</t>
  </si>
  <si>
    <t>0.84.0</t>
  </si>
  <si>
    <t>输出</t>
  </si>
  <si>
    <t>更新公告标题</t>
  </si>
  <si>
    <t>0.35.5版本更新介绍</t>
  </si>
  <si>
    <t>Version 0.35.5 Update</t>
  </si>
  <si>
    <t>Mise à jour 0.35.5</t>
  </si>
  <si>
    <t>Update auf Version 0.35.5</t>
  </si>
  <si>
    <t>Atualização da versão 0.35.5</t>
  </si>
  <si>
    <t>版本 0.35.5 更新</t>
  </si>
  <si>
    <t>Pembaruan Versi 0.35.5</t>
  </si>
  <si>
    <t>อัปเดตเวอร์ชัน 0.35.5</t>
  </si>
  <si>
    <t>Actualización a la versión 0.35.5</t>
  </si>
  <si>
    <t>Обновление до версии 0.35.5</t>
  </si>
  <si>
    <t>Sürüm 0.35.5 Güncellemesi</t>
  </si>
  <si>
    <t>Cập nhật Phiên bản 0.35.5</t>
  </si>
  <si>
    <t>更新公告内容</t>
  </si>
  <si>
    <t>在0.35.5版本中我们更新了以下内容：
（what's new长版内容）</t>
  </si>
  <si>
    <t xml:space="preserve">Version 0.35.5 contains the following updates:
</t>
  </si>
  <si>
    <t>La version 0.35.5 contient les mises à jour suivantes:</t>
  </si>
  <si>
    <t>Version 0.35.5 enthält die folgenden Updates:</t>
  </si>
  <si>
    <t>A versão 0.35.5 contém as seguintes atualizações:</t>
  </si>
  <si>
    <t>在0.35.5版本中我們更新了以下內容：
（what's new長版內容）</t>
  </si>
  <si>
    <t>Versi 0.35.5 berisi pembaruan berikut:</t>
  </si>
  <si>
    <t>เวอร์ชัน 0.35.5 ประกอบด้วยการอัปเดตต่อไปนี้:</t>
  </si>
  <si>
    <t>La versión 0.35.5 contiene las siguientes actualizaciones:</t>
  </si>
  <si>
    <t>Версия 0.35.5 содержит следующие обновления:</t>
  </si>
  <si>
    <t>Sürüm 0.35.5 şu güncellemeleri içerir:</t>
  </si>
  <si>
    <t>Phiên bản 0.35.5 có những cập nhật sau:</t>
  </si>
  <si>
    <t>公告banner</t>
  </si>
  <si>
    <t>0.58.0</t>
  </si>
  <si>
    <t>aaa版本更新介绍</t>
  </si>
  <si>
    <t>Version aaa Update</t>
  </si>
  <si>
    <t>Mise à jour aaa</t>
  </si>
  <si>
    <t>Update auf Version aaa</t>
  </si>
  <si>
    <t>Atualização da versão aaa</t>
  </si>
  <si>
    <t>版本 aaa 更新</t>
  </si>
  <si>
    <t>Pembaruan Versi aaa</t>
  </si>
  <si>
    <t>อัปเดตเวอร์ชัน aaa</t>
  </si>
  <si>
    <t>Actualización a la versión aaa</t>
  </si>
  <si>
    <t>Обновление до версии aaa</t>
  </si>
  <si>
    <t>Sürüm aaa Güncellemesi</t>
  </si>
  <si>
    <t>Cập nhật Phiên bản aaa</t>
  </si>
  <si>
    <t xml:space="preserve">在aaa版本中我们更新了以下内容：
</t>
  </si>
  <si>
    <t xml:space="preserve">Version aaa contains the following updates:
</t>
  </si>
  <si>
    <t xml:space="preserve">La version aaa contient les mises à jour suivantes:
</t>
  </si>
  <si>
    <t xml:space="preserve">Version aaa enthält die folgenden Updates:
</t>
  </si>
  <si>
    <t xml:space="preserve">A versão aaa contém as seguintes atualizações:
</t>
  </si>
  <si>
    <t xml:space="preserve">在aaa版本中我們更新了以下內容：
</t>
  </si>
  <si>
    <t xml:space="preserve">Versi aaa berisi pembaruan berikut:
</t>
  </si>
  <si>
    <t xml:space="preserve">เวอร์ชัน aaa ประกอบด้วยการอัปเดตต่อไปนี้:
</t>
  </si>
  <si>
    <t xml:space="preserve">La versión aaa contiene las siguientes actualizaciones:
</t>
  </si>
  <si>
    <t xml:space="preserve">Версия aaa содержит следующие обновления:
</t>
  </si>
  <si>
    <t xml:space="preserve">Sürüm aaa şu güncellemeleri içerir:
</t>
  </si>
  <si>
    <t xml:space="preserve">Phiên bản aaa có những cập nhật sau:
</t>
  </si>
  <si>
    <t>Versione 0.52.0 Aggiornamento</t>
  </si>
  <si>
    <t>Wersja 0.52.0 Aktualizacja</t>
  </si>
  <si>
    <t>الإصدار 0.52.0 التحديث</t>
  </si>
  <si>
    <t>Nuovo combattente: il navigante Hardy, un marinaio che attraversa gli oceani alla ricerca di tesori! Può essere ottenuto tramite "Scimmia suprema".
Nuove Reliquie: presentiamo 5 nuovi set di reliquie - Spavalderia e intimidazioni, Oro scintillante, Campioni di sport, Moda e tendenze e Controllo medico. Ottenibili tramite l'evento "Cofanetto sorpresa delle Reliquie".
Nuova modalità di gioco Fortress Saccheggiatore: Abbina con altri giocatori e competi per le risorse attraverso battaglie strategiche.
Nuova modalità di gioco Spedizione Attrezzatura: i giocatori possono potenziare la loro forza militare, affrontare livelli consecutivi e ottenere ricompense di spedizione.
Nuovo evento di Pasqua:
Sorpresa dell'uovo fortunato: Rompi le uova fortunate per vincere esclusive skin di base deluxe e altre ricche ricompense!
Festa delle uova fortunate: Raccogli le Bacchette magiche e vinci ricompense sorpresa! Salendo di livello nell'evento, avrai la possibilità di ottenere la nuova skin per la marcia "Melodia a colori"!
Assalto del Gigagorilla: Durante la Pasqua, il Gigagorilla maledetto del dottor Hogg sta causando il caos ovunque. Attaccalo per ottenere ricompense cumulative di punti!
Funzione Busta rossa: L'evento Busta rossa è tornato per un periodo limitato! Ottieni oggetti della Busta rossa e scegli un canale di chat per inviarli ai giocatori nel canale!
Nuova funzione di scambio Combattenti: Per i primi 15 giorni dopo l'apertura di un nuovo server, i giocatori possono scambiare liberamente esperienza e livelli stelle tra Combattenti della stessa qualità.
Nuova funzione Selezione Eroe della Taverna: Dopo un certo numero di Banchetti deluxe, la Taverna sblocca la funzione Selezione Eroe, che consente ai giocatori di scegliere liberamente l'Eroe che desiderano estrarre dal pool.
Nuovo gameplay Rissa dei campioni: Un nuovo aggiornamento per la Rissa equilibrata, con sfide di corsia e copertura di nebbia. Sarà potenza pura o brillante strategia? Sta a te accettare la sfida! (Sostituisce la Rissa equilibrata dopo aver raggiunto una certa fase nel gioco)
Aggiornamento del gameplay di Fortress Takeover: Aggiunto Lanciarazzi, con 50 nuovi livelli di Lanciarazzi e aggiornata la galleria con contenuti correlati al Lanciarazzi.
Aggiornamento della funzione del sistema Amico: Aggiunta la funzione di confronto della forza e delle battaglie reciproche, ottimizzata la visualizzazione del sistema Amico.
Ottimizzazione della Sala delle Reliquie Sorpresa: Sono state aggiunte nuove Reliquie alla Sala delle Reliquie, insieme a una nuova funzione "Scegli la tua" che ti consente di selezionare la serie di Reliquie che desideri.
Ottimizzazione Guerre planetarie: migliorato il meccanismo per la selezione dei punti di atterraggio, con i primi tre Eserciti che hanno l'opportunità di cambiare il loro punto di atterraggio una volta.
Ottimizzazione della Gara della Fortezza: Migliorato il ritmo dell'evento e le relative ricompense.
Ottimizzazione della visualizzazione del tempo di accelerazione: Aggiunte le visualizzazioni del tempo di accelerazione per la Velocità di ricerca e la Velocità di costruzione, consentendo di visualizzare il tempo rimanente di accelerazione nelle interfacce di potenziamento edifici e ricerca.
Ottimizzazione del Distributore della Gang: migliorata la prompt di rimozione del Distributore della Gang e aggiunta una descrizione delle risorse consumate dal Distributore.
Ottimizzazione della funzione di adunata: ora l'adunata automatica ti consente di selezionare il livello minimo del mostro obiettivo a cui vuoi unirti; l'interfaccia di battaglia dell'adunata ha aggiunto una descrizione delle regole.
Ottimizzazione del gameplay dei convogli: i convogli possono ora scortare i veicoli di trasporto dei giocatori di diverse gang all'interno dello stesso clan.</t>
  </si>
  <si>
    <t>Nowy wojownik: Żeglarz-Hardy, morski podróżnik, który przemierza oceany w poszukiwaniu tajemniczych skarbów! Można go zdobyć poprzez zdobycie tytułu "Ubermałpy".
Nowe Relikty: Przedstawiamy 5 nowych zestawów reliktów - Insygnia siły, Złoto co się świeci, Sport wyczynowy, Moda i trendy oraz Służba zdrowia. Można je zdobyć podczas wydarzenia "Niespodziankowa Skarbnica Reliktów".
Nowa rozgrywka Fortress Looter: Dopasuj się do innych graczy i rywalizuj o zasoby poprzez strategiczne bitwy.
Nowa rozgrywka Ekspedycji Wyposażenia: Gracze mogą zwiększać swoją siłę militarną, podejmować kolejne etapy wyzwania i zdobywać nagrody ekspedycyjne.
Nowe wydarzenie wielkanocne:
Niespodzianka ze Szczęśliwymi jajami: Rozbijaj Szczęśliwe jaja, aby wygrać ekskluzywne skórki bazy i inne bogate nagrody!
Zabawa ze szczęśliwymi jajami: Zbieraj Magiczne różdżki i wygrywaj niespodziankowe nagrody! Zdobywaj poziomy podczas wydarzenia, aby mieć szansę na zdobycie nowej skórki na marsz "Kolorowa melodia"!
Atak Gigamałpy: Podczas Wielkanocy, Gigamałpa zniszczenia doktora Hogga powoduje chaos wszędzie. Atakuj, aby zdobyć nagrody za punkty kumulacyjne!
Funkcja Czerwonej Koperty: Wydarzenie Czerwonej Koperty powraca na krótki czas! Zdobądź przedmioty z Czerwonej Koperty i wybierz kanał czatu, aby je wysłać do graczy w kanale!
Nowa funkcja Zamiany Wojowników: W ciągu pierwszych 15 dni po otwarciu nowego serwera gracze mogą swobodnie wymieniać doświadczenie i poziomy gwiazdek między Wojownikami tej samej jakości.
Nowa funkcja wyboru bohatera w Tawernie: Po pewnej liczbie Ekskluzywnych bankietów, Tawerna odblokuje funkcję wyboru bohatera, umożliwiając graczom swobodne wybieranie bohatera, którego chcą wylosować z puli.
Nowa rozgrywka Bijatyka Mistrzów: zupełnie nowa wersja Bijatyki Zrównoważonej, z wyzwaniami na drodze i zasłoną mgły. Czy to będzie surowa siła czy genialna strategia? To zależy od Ciebie, aby podjąć wyzwanie! (Zastępuje Bijatykę Zrównoważoną po osiągnięciu określonego etapu w grze)
Ulepszenie rozgrywki Przejęcie Twierdzy: Dodano Wyrzutnię rakiet, 50 nowych poziomów Wyrzutni rakiet oraz zaktualizowano galerię związanych z Wyrzutnią rakiet treści.
Ulepszenie funkcji Systemu Znajomych: Dodano porównanie siły i funkcje wzajemnej walki, zoptymalizowano wyświetlanie Systemu Znajomych.
Optymalizacja Skrzyni z Niespodziankowymi Reliktami: Dodano nowe Relikty do Skrzyni z Reliktami, wraz z nową funkcją "Wybierz swoje", która pozwala wybrać serię Reliktów, którą chcesz.
Optymalizacja Wojen Planet: Ulepszono mechanizm wyboru punktów lądowania, gdzie najlepsze trzy Armie mają możliwość zmiany swojego punktu lądowania raz.
Optymalizacja Wyścigu Fortecy: Poprawiono tempo wydarzenia i związane z nim nagrody.
Optymalizacja wyświetlania czasu Przyspieszenia: Dodano wyświetlanie czasu Przyspieszenia badań i Przyspieszenia budowy, umożliwiając wyświetlanie pozostałego czasu Przyspieszenia w interfejsach modernizacji budynku i badań.
Optymalizacja Dystrybutora Gangu: Poprawiono komunikat o usuwaniu Dystrybutora Gangu oraz dodano opis zasobów zużywanych przez Dystrybutora.
Optymalizacja funkcji Rajdu: Automatyczny Rajd teraz pozwala wybrać minimalny poziom celu potwora, do którego chcesz dołączyć do drużyny; interfejs bitwy Rajdu dodał opis zasad.
Optymalizacja rozgrywki Konwoju: Konwoje mogą teraz eskortować pojazdy transportowe graczy z różnych gangów w ramach tego samego klanu.</t>
  </si>
  <si>
    <t>- إضافة مقاتل جديد: بحار الرحلات البعيدة - هادي، البحار الذي يبحث عن الكنوز الغامضة ويتحدى الأمواج! يمكن الحصول عليه من خلال "القرد الخارق".
المقتنيات الجديدة: تقديم 5 مجموعات جديدة من المقتنيات - خدعة واختيال، بريق الذهب، رائد في الرياضة، الاتجاه والموضة، وفحص الصحة. يمكن الحصول عليها من خلال حدث "خزانة المقتنيات المفاجئة".
لعبة نهب الحصون الجديدة: تواجه لاعبين آخرين وتنافس على الموارد من خلال معارك استراتيجية.
لعبة الرحلة الجديدة للعتاد: يمكن للاعبين تعزيز قوتهم العسكرية، وتحدي المراحل المتتالية، وكسب مكافآت الرحلة الاستكشافية.
حدث عيد الفصح الجديد:
مفاجآت بيض الحظ: اكسر بيض الحظ للفوز بأغلفة قواعد فاخرة حصرية ومكافآت غنية أخرى!
حفلة بيض الحظ: اجمع العصي السحرية واربح مكافآت مفاجئة! ارتقِ في المستوى خلال الحدث للحصول على فرصة للحصول على جلد المسيرة الجديد "اللحن الملون"!
هجوم القرد العملاق: خلال عيد الفصح، يسبب القرد العملاق المدمر للدكتور هوغ الفوضى في كل مكان. هاجمه لتحصل على مكافآت نقاط تراكمية!
ميزة الظرف الأحمر: حدث الظرف الأحمر عاد مرة أخرى لفترة محدودة! احصل على عناصر الظرف الأحمر واختر قناة الدردشة لإرسالها إلى اللاعبين في القناة!
ميزة تبادل المقاتل الجديد: خلال الـ 15 يومًا الأولى بعد افتتاح خادم جديد، يمكن للاعبين تبادل مستويات الخبرة والنجوم بحرية بين المقاتلين من نفس النوعية.
ميزة اختيار بطل جديد في المقهى: بعد عدد معين من الولائم الفاخرة، سيتم فتح ميزة اختيار البطل الجديد، مما يتيح للاعبين اختيار البطل الذي يريدون استخراجه من البركة بحرية.
لعبة جديدة في حلبة الأبطال: ترقية جديدة للحلبة المتوازنة، تتضمن تحديات المسار والغطاء الضبابي. هل سيكون القوة الخام أم الاستراتيجية الرائعة؟ الأمر متروك لك لتتحدى! (تحل محل الحلبة المتوازنة بعد الوصول إلى مرحلة معينة في اللعبة)
ترقية لعبة الاستيلاء على القلعة: تم إضافة منصة إطلاق الصواريخ، مع 50 مستوى جديد لمنصة إطلاق الصواريخ وتحديث المعرض بمحتوى يتعلق بمنصة إطلاق الصواريخ.
ترقية ميزة نظام الأصدقاء: تمت إضافة ميزة مقارنة القوة وميزة المعارك المتبادلة، وتم تحسين عرض نظام الأصدقاء.
تحسين صندوق المقتنيات المفاجئ: تمت إضافة مقتنيات جديدة إلى صندوق المقتنيات، بالإضافة إلى ميزة جديدة "اختر ما تريد"، تتيح لك اختيار سلسلة المقتنيات التي تريدها.
تحسينات حروب الكواكب: تم تحسين آلية اختيار نقاط الهبوط، حيث يتاح للجيوش الثلاثة الأولى فرصة تغيير نقطة الهبوط مرة واحدة.
تحسين سباق الحصن: تحسين وتسريع وتحسين المكافآت المتعلقة بالحدث.
تحسين عرض وقت التسريع: تمت إضافة عرض وقت تسريع الأبحاث وتسريع البناء، مما يتيح لك عرض الوقت المتبقي للتسريع في واجهات ترقية المباني والأبحاث.
تحسين محطة توزيع العصابة: تم تحسين الرسالة التحذيرية لإزالة محطة توزيع العصابة وإضافة وصف للموارد المستهلكة من قبل الموزع.
تحسين ميزة الحشد: يسمح الحشد التلقائي الآن للاعبين باختيار أدنى مستوى للوحش الهدف الذي يرغبون في الانضمام إليه في الفريق؛ تمت إضافة وصف للقواعد في واجهة معركة الحشد.
تحسين لعبة القوافل: يمكن للقوافل الآن مرافقة مركبات النقل للاعبين من عصابات مختلفة داخل نفس العشيرة.</t>
  </si>
  <si>
    <t>A</t>
  </si>
  <si>
    <r>
      <rPr>
        <rFont val="Arial"/>
        <b/>
        <color rgb="FF000000"/>
      </rPr>
      <t>版本更新后用于补偿的邮件，</t>
    </r>
    <r>
      <rPr>
        <rFont val="Arial"/>
        <b/>
        <color rgb="FFFF0000"/>
      </rPr>
      <t>替换版本数字</t>
    </r>
  </si>
  <si>
    <t>Ricompensa aggiornamento versione</t>
  </si>
  <si>
    <t>Nagroda za aktualizację wersji</t>
  </si>
  <si>
    <t>جائزة تحديث الإصدار</t>
  </si>
  <si>
    <t>亲爱的指挥官：
服务器维护已结束，感谢您的更新，在此我们送上一份更新礼物，祝您玩得开心！
还未更新版本的指挥官请前往&lt;color=#ffa200&gt;Google Play 和 App Store&lt;/color&gt;中更新：
[-1#点击更新GOOGLE版本](herf=https://play.google.com/store/apps/details?id=com.tap4fun.ape.gplay&amp;fbclid=IwAR116CrjtfV5PPtCr0IoJq0oKeS1ChLBo8DITNbG7nkH-cFXXDcIGL1iNN4)
[-1#点击更新IOS版本](herf=https://apps.apple.com/us/app/age-of-apes/id1475453887) 
我们会继续关注大家的反馈和建议，通过持续优化提升游戏品质，给您带来更好的游戏体验。
欢迎大家通过Discord官方社区或游戏内客服服务和我们积极沟通。\n[-1#Official Discord](herf=https://discord.gg/RncnPNw)
罗杰副官</t>
  </si>
  <si>
    <r>
      <rPr>
        <rFont val="Arial"/>
        <color theme="1"/>
      </rPr>
      <t xml:space="preserve">Dear Captain,
Server maintenance is now complete. We've included a small reward to thank you for updating!
To update to the latest version, please go to </t>
    </r>
    <r>
      <rPr>
        <rFont val="Arial"/>
        <color rgb="FF4A86E8"/>
      </rPr>
      <t>&lt;color=#ffa200&gt;Google Play or the App Store&lt;/color&gt;</t>
    </r>
    <r>
      <rPr>
        <rFont val="Arial"/>
        <color theme="1"/>
      </rPr>
      <t>.
[-1#Tap to update for Android](herf=https://play.google.com/store/apps/details?id=com.tap4fun.ape.gplay&amp;fbclid=IwAR116CrjtfV5PPtCr0IoJq0oKeS1ChLBo8DITNbG7nkH-cFXXDcIGL1iNN4)
[-1#Tap to update for iOS](herf=https://apps.apple.com/us/app/age-of-apes/id1475453887)
We will continue to listen to your feedback and keep optimizing to bring you a better gaming experience.
Please don't hesitate to get in touch with us via Discord or in-game customer support. [-1#Official Discord](herf=https://discord.gg/RncnPNw)
Deputy Roger</t>
    </r>
  </si>
  <si>
    <t>Chef,
La maintenance du serveur est terminée. Ce message contient une récompense pour vous remercier de mettre à jour votre jeu!
Pour effectuer la mise à jour, rendez-vous sur &lt;color=#ffa200&gt;Google Play ou l'App Store&lt;/color&gt;.
[-1#Appuyez ici pour mettre à jour sur Android](herf=https://play.google.com/store/apps/details?id=com.tap4fun.ape.gplay&amp;fbclid=IwAR116CrjtfV5PPtCr0IoJq0oKeS1ChLBo8DITNbG7nkH-cFXXDcIGL1iNN4)
[-1#Appuyez ici pour mettre à jour sur iOS](herf=https://apps.apple.com/us/app/age-of-apes/id1475453887)
Nous sommes toujours à l'écoute de vos retours et continuerons de vous offrir la meilleure expérience de jeu possible.
N'hésitez pas à contacter notre service client sur Discord ou directement en jeu. [-1#Discord officiel](herf=https://discord.gg/RncnPNw)
Roger l'assistant</t>
  </si>
  <si>
    <t>Lieber Captain,
 Die Serverwartung ist jetzt erfolgreich abgeschlossen. Wir haben eine kleine Belohnung beigelegt, um dir fürs Updaten zu danken!
 Um auf die neueste Version zu aktualisieren, besuche bitte &lt;color=#ffa200&gt;Google Play oder den App Store&lt;/color&gt;.
 [-1#Tippen für das Update für Android](herf=https://play.google.com/store/apps/details?id=com.tap4fun.ape.gplay&amp;fbclid=IwAR116CrjtfV5PPtCr0IoJq0oKeS1ChLBo8DITNbG7nkH-cFXXDcIGL1iNN4)
 [-1#Tippen für das Update für iOS](herf=https://apps.apple.com/us/app/age-of-apes/id1475453887)
 Wir werden auch weiterhin auf dein Feedback hören und das Spiel ständig optimieren, um dir ein noch besseres Spielerlebnis zu bieten.
 Du kannst dich jederzeit über Discord oder den Kundensupport im Spiel an uns wenden. [-1#Official Discord](herf=https://discord.gg/RncnPNw)
 Adjutant Roger</t>
  </si>
  <si>
    <t>Caro Capitão,
 A manutenção do servidor foi concluída. Incluímos uma pequena recompensa como agradecimento por atualizar o jogo!
 Para atualizar para a versão mais recente, visite a &lt;color=#ffa200&gt;Google Play ou App Store&lt;/color&gt;.
 [-1#Toque para atualizar no Android](herf=https://play.google.com/store/apps/details?id=com.tap4fun.ape.gplay&amp;fbclid=IwAR116CrjtfV5PPtCr0IoJq0oKeS1ChLBo8DITNbG7nkH-cFXXDcIGL1iNN4)
 [-1#Toque para atualizar no iOS](herf=https://apps.apple.com/us/app/age-of-apes/id1475453887)
 Continuaremos ouvindo seu feedback e otimizando o jogo para trazer uma experiência melhor a todos.
 Não deixe de entrar em contato conosco no Discord ou no suporte ao cliente dentro do jogo. [-1#Discord Oficial](herf=https://discord.gg/RncnPNw)
 Delegado Roger</t>
  </si>
  <si>
    <t>親愛的指揮官：
服務器維護已結束，感謝您的更新，在此我們送上一份更新禮物，祝您玩得開心！
還未更新版本的指揮官請前往&lt;color=#ffa200&gt;Google Play 和 App Store&lt;/color&gt;中更新：
[-1#點擊更新GOOGLE版本](herf=https://play.google.com/store/apps/details?id=com.tap4fun.ape.gplay&amp;fbclid=IwAR116CrjtfV5PPtCr0IoJq0oKeS1ChLBo8DITNbG7nkH-cFXXDcIGL1iNN4)
[-1#點擊更新IOS版本](herf=https://apps.apple.com/us/app/age-of-apes/id1475453887) 
我們會繼續關注大家的反饋和建議，通過持續優化提升遊戲品質，給您帶來更好的遊戲體驗。
歡迎大家通過Discord官方社區或遊戲內客服服務和我們積極溝通。 \n[-1#Official Discord](herf=https://discord.gg/RncnPNw)
羅傑副官</t>
  </si>
  <si>
    <t>Kapten yang terhormat,
Maintenance Server sudah selesai, terima kasih telah melakukan update, ini hadiah update untuk Anda. Selamat bermain!
Harap Komandan yang belum update versi segera update di &lt;color=#ffa200&gt;Google Play dan App Store&lt;/color&gt;:
[-1#Tekan update versi GOOGLE](herf=https://play.google.com/store/apps/details?id=com.tap4fun.ape.gplay&amp;fbclid=IwAR116CrjtfV5PPtCr0IoJq0oKeS1ChLBo8DITNbG7nkH-cFXXDcIGL1iNN4)
[-1#Tekan update versi IOS](herf=https://apps.apple.com/us/app/age-of-apes/id1475453887) 
Kami akan terus memperhatikan feedback dan saran Anda serta memberikan pengalaman bermain lebih baik dengan terus meningkatkan kualitas game.
Kami mengundang Anda menghubungi kami lewat Komunitas Resmi Discord atau Customer Service Game. \n[-1#Official Discord](herf=https://discord.gg/RncnPNw)
Deputi Roger</t>
  </si>
  <si>
    <t>เรียน กัปตัน,
 การปิดปรับปรุงเซิร์ฟเวอร์เสร็จสมบูรณ์แล้ว เราได้แนบของขวัญเล็กน้อยมาให้ด้วยแทนคำขอบคุณที่รอการอัปเดต!
 วิธีการอัปเดตเป็นเวอร์ชันล่าสุด กรุณาไปที่ &lt;color=#ffa200&gt;Google Play หรือไปที่ App Store&lt;/color&gt;
 [-1#แตะเพื่ออัปเดตสำหรับ Android](herf=https://play.google.com/store/apps/details?id=com.tap4fun.ape.gplay&amp;fbclid=IwAR116CrjtfV5PPtCr0IoJq0oKeS1ChLBo8DITNbG7nkH-cFXXDcIGL1iNN4)
 [-1#แตะเพื่ออัปเดตสำหรับ iOS](herf=https://apps.apple.com/us/app/age-of-apes/id1475453887)
 เรายังคงรับฟังข้อเสนอแนะของคุณและปรับปรุงคุณภาพของเกมเพื่อให้คุณได้สัมผัสประสบการณ์ในการเล่นที่ดียิ่งขึ้นต่อไป
 คุณสามารถติดต่อหาเราได้เสมอผ่านทาง Discord หรือฝ่ายสนับสนุนลูกค้าจากภายในเกม [-1#Official Discord](herf=https://discord.gg/RncnPNw)
 ท่านรองโรเจอร์</t>
  </si>
  <si>
    <t>Estimado Capitán:
 El mantenimiento del servidor ya está completo. ¡Hemos incluido una pequeña recompensa para agradecerte por realizar la actualización!
 Para actualizar a la última versión, por favor ve a &lt;color=#ffa200&gt;Google Play o la App Store&lt;/color&gt;.
 [-1#Toca para actualizar en Android](herf=https://play.google.com/store/apps/details?id=com.tap4fun.ape.gplay&amp;fbclid=IwAR116CrjtfV5PPtCr0IoJq0oKeS1ChLBo8DITNbG7nkH-cFXXDcIGL1iNN4)
 [-1#Toca para actualizar en iOS](herf=https://apps.apple.com/us/app/age-of-apes/id1475453887)
 Continuaremos poniendo atención a tus comentarios y seguiremos optimizando para brindarte una mejor experiencia de juego.
 No dudes en ponerte en contacto con nosotros a través de Discord o del servicio de atención al cliente del juego. 
 Comisario Roger</t>
  </si>
  <si>
    <t>Уважаемый капитан!
Обслуживание сервера закончено. В благодарность за обновление мы предлагаем небольшую награду!
Для обновления до последней версии перейдите в магазин &lt;color=#ffa200&gt;Google Play или App Store&lt;/color&gt;.
[-1#Нажмите для обновления на Android](herf=https://play.google.com/store/apps/details?id=com.tap4fun.ape.gplay&amp;fbclid=IwAR116CrjtfV5PPtCr0IoJq0oKeS1ChLBo8DITNbG7nkH-cFXXDcIGL1iNN4)
[-1#Нажмите для обновления на iOS](herf=https://apps.apple.com/us/app/age-of-apes/id1475453887)
Мы продолжим изучать ваши отзывы и оптимизировать качество игры, чтобы оставить у вас наилучшие впечатления.
Вы в любой момент можете написать нам в Discord или в игровую службу поддержки. [-1#Сервер Discord](herf=https://discord.gg/RncnPNw)
Помощник Роджер</t>
  </si>
  <si>
    <t>Sevgili Kaptan,
 Sunucu bakımı tamamlanmıştır. Güncelleme yaptığın için teşekkür olarak ufak bir ödül ekledik!
 Son sürüme güncellemek için lütfen &lt;color=#ffa200&gt;Google Play veya App Store&lt;/color&gt; uygulamalarını ziyaret et.
 [-1#Android güncellemesi için dokun](herf=https://play.google.com/store/apps/details?id=com.tap4fun.ape.gplay&amp;fbclid=IwAR116CrjtfV5PPtCr0IoJq0oKeS1ChLBo8DITNbG7nkH-cFXXDcIGL1iNN4)
 [-1#iOS güncellemesi için dokun](herf=https://apps.apple.com/us/app/age-of-apes/id1475453887)
 Geri bildirimlerini dikkate alıp daha iyi bir oyun deneyimi sunmak için oyunu düzenlemeye devam edeceğiz.
 Lütfen Discord veya oyun içi müşteri desteği aracılığıyla bize ulaşmaktan çekinme. [-1#Resmi Discord Sunucusu](herf=https://discord.gg/RncnPNw)
 Yardımcın Roger</t>
  </si>
  <si>
    <t>Thưa Thủ Lĩnh, 
Bảo trì server đã kết thúc, cảm ơn bạn đã cập nhật, chúng tôi đã đính kèm một phần thưởng cập nhật nhỏ dành cho bạn. Chúc bạn chơi game vui vẻ! 
Thủ Lĩnh vẫn chưa cập nhật phiên bản, vui lòng đến &lt;color=#ffa200&gt;Google Play và App Store&lt;/color&gt; cập nhật: 
[-1#Nhấn cập nhật phiên bản GOOGLE](herf=https://play.google.com/store/apps/details?id=com.tap4fun.ape.gplay&amp;fbclid=IwAR116CrjtfV5PPtCr0IoJq0oKeS1ChLBo8DITNbG7nkH-cFXXDcIGL1iNN4)
[-1#Nhấn cập nhật phiên bản IOS](herf=https://apps.apple.com/us/app/age-of-apes/id1475453887) 
Chúng tôi sẽ tiếp tục lắng nghe phản hồi của bạn để tiếp tục tối ưu hóa và mang lại cho bạn trải nghiệm chơi game tốt hơn. 
Vui lòng liên hệ với chúng tôi qua Discord hoặc bộ phận hỗ trợ khách hàng trong trò chơi. \n[-1#Official Discord](herf=https://discord.gg/RncnPNw)
Phó Tướng Roger</t>
  </si>
  <si>
    <t>Caro Capitano,
La manutenzione del server è stata completata. Abbiamo incluso nel messaggio una piccola ricompensa per ringraziarti dell'aggiornamento!
Per aggiornare il gioco alla versione più recente, vai su &lt;color=#ffa200&gt;Google Play o App Store&lt;/color&gt;.
[-1#Tocca per aggiornare su Android] (herf=https://play.google.com/store/apps/details?id=com.tap4fun.ape.gplay&amp;fbclid=IwAR116CrjtfV5PPtCr0IoJq0oKeS1ChLBo8DITNbG7nkH-cFXXDcIGL1iNN4)
[-1#Tocca per aggiornare su iOS] (herf=https://apps.apple.com/us/app/age-of-apes/id1475453887)
Continueremo a prendere in considerazione i feedback ed effettuare miglioramenti per offrire un'esperienza di gioco migliore.
Non esitare a contattarci tramite Discord o il supporto clienti nel gioco.[-1#Discord ufficiale] (herf=https://discord.gg/RncnPNw)
Sottotenente Roger</t>
  </si>
  <si>
    <t>Kapitanie,
Zakończyliśmy prace konserwacyjne serwera. Przekazujemy Ci niewielką nagrodę w ramach podziękowań za aktualizację!
Aby zaktualizować do najnowszej wersji, przejdź do &lt;color=#ffa200&gt;Sklepu Play lub App Store&lt;/color&gt;.
[-1#Dotknij, aby zaktualizować w systemie Android](herf=https://play.google.com/store/apps/details?id=com.tap4fun.ape.gplay&amp;fbclid=IwAR116CrjtfV5PPtCr0IoJq0oKeS1ChLBo8DITNbG7nkH-cFXXDcIGL1iNN4)
[-1#Dotknij, aby zaktualizować w systemie iOS](herf=https://apps.apple.com/us/app/age-of-apes/id1475453887)
W dalszym ciągu będziemy wsłuchiwać się w opinie użytkowników i wprowadzać optymalizacje systemu, aby zapewnić jak najlepsze wrażenia z gry.
Skontaktuj się z nami przez Discord lub przez system obsługi klienta w grze. [-1#Official Discord](herf=https://discord.gg/RncnPNw)
Zastępca Roger</t>
  </si>
  <si>
    <t>عزيزي الزعيم،\nتم الانتهاء من صيانة الخادم. لقد قمنا بإضافة مكافأة صغيرة لنشكرك على التحديث!\nلتحديث إلى أحدث إصدار، يرجى الانتقال إلى &lt;color=#ffa200&gt;Google Play أو App Store&lt;/color&gt;.\n[-1#انقر للتحديث على Android](herf=https://play.google.com/store/apps/details?id=com.tap4fun.ape.gplay&amp;fbclid=IwAR116CrjtfV5PPtCr0IoJq0oKeS1ChLBo8DITNbG7nkH-cFXXDcIGL1iNN4)\n[-1#انقر للتحديث على iOS](herf=https://apps.apple.com/us/app/age-of-apes/id1475453887)\nسنستمر في الاستماع إلى ملاحظاتك والتحسين المستمر لتقديم تجربة لعب أفضل.\nيرجى عدم التردد في الاتصال بنا عبر Discord أو دعم العملاء داخل اللعبة. [-1#Official Discord](herf=https://discord.gg/RncnPNw)\nالنائب روجر</t>
  </si>
  <si>
    <t>创建为模板转发邮件</t>
  </si>
  <si>
    <t>国服</t>
  </si>
  <si>
    <t>CN</t>
  </si>
  <si>
    <t>亲爱的指挥官：\n\n感谢您的更新，在此我们送上一份更新礼物，祝您玩得开心！\n\n我们会继续关注大家的反馈和建议，通过持续优化提升游戏品质，给您带来更好的游戏体验。\n\n欢迎大家通过游戏内客服服务和我们积极沟通。\n\n罗杰副官</t>
  </si>
  <si>
    <t>亲爱的指挥官：\n\n感谢您的更新，在此我们送上一份更新礼物，祝您玩得开心！\n通过下方的链接更新包体后即可体验到最新内容：
[-1#点击更新版本](herf=https://app.t4f.cn/p2cn/main.apk)\n我们会继续关注大家的反馈和建议，通过持续优化提升游戏品质，给您带来更好的游戏体验。\n\n欢迎大家通过QQ群（667122105）或游戏内客服服务和我们积极沟通。\n\n罗杰副官</t>
  </si>
  <si>
    <t>更新前预告</t>
  </si>
  <si>
    <t>罗马尼亚语-ro</t>
  </si>
  <si>
    <t>荷兰语-nl</t>
  </si>
  <si>
    <t>波斯语-fa</t>
  </si>
  <si>
    <t>超链接文本内容</t>
  </si>
  <si>
    <t>超链接地址</t>
  </si>
  <si>
    <r>
      <rPr>
        <rFont val="Arial"/>
        <b/>
        <color theme="1"/>
      </rPr>
      <t xml:space="preserve">模板使用指南：
</t>
    </r>
    <r>
      <rPr>
        <rFont val="Arial"/>
        <color theme="1"/>
      </rPr>
      <t>将本地化返回的邮件按语种顺序贴在3、4列中，其中3列代表邮件标题，4列为邮件正文。22行将自动生成为后台规定的格式，可直接在后台中选择【</t>
    </r>
    <r>
      <rPr>
        <rFont val="Arial"/>
        <b/>
        <color theme="1"/>
      </rPr>
      <t>快速生成邮件正文</t>
    </r>
    <r>
      <rPr>
        <rFont val="Arial"/>
        <color theme="1"/>
      </rPr>
      <t>】，复制粘贴至文本框中，将在后台自动生成邮件内容。最后，请在后台认真核对各语种与其文本是否一一对应。</t>
    </r>
  </si>
  <si>
    <t>"cn"</t>
  </si>
  <si>
    <t>"en"</t>
  </si>
  <si>
    <t>"fr"</t>
  </si>
  <si>
    <t>"de"</t>
  </si>
  <si>
    <t>"po"</t>
  </si>
  <si>
    <t>"zh"</t>
  </si>
  <si>
    <t>"id"</t>
  </si>
  <si>
    <t>"th"</t>
  </si>
  <si>
    <t>"sp"</t>
  </si>
  <si>
    <t>"ru"</t>
  </si>
  <si>
    <t>"tr"</t>
  </si>
  <si>
    <t>"vi"</t>
  </si>
  <si>
    <t>航天碎片回收通知</t>
  </si>
  <si>
    <t>Space Fragment Recycling Notice</t>
  </si>
  <si>
    <t>Avis de recyclage des Fragments Spatiaux</t>
  </si>
  <si>
    <t>Weltraumfragment-Recycling-Hinweis</t>
  </si>
  <si>
    <t>Aviso de Reciclagem de Fragmentos Espaciais</t>
  </si>
  <si>
    <t>Pemberitahuan Daur Ulang Potongan Angkasa</t>
  </si>
  <si>
    <t>ประกาศเกี่ยวกับการรีไซเคิลชิ้นส่วนอวกาศ</t>
  </si>
  <si>
    <t>Aviso de Reciclaje de Fragmentos Espaciales</t>
  </si>
  <si>
    <t>Уведомление о переработке космических фрагментов</t>
  </si>
  <si>
    <t>Uzay Parçası Geri Dönüşüm Bildirimi</t>
  </si>
  <si>
    <t>Thông Báo Tái Chế Mảnh Vỡ Không Gian</t>
  </si>
  <si>
    <t>亲爱的指挥官：\n\n由于“航天夺魁”和“碎片兑换处活动”临时下线，截止UTC07:00您未使用的航天碎片已被回收并转化为1000粮食，航天碎片宝箱已被回收并转化为10,000粮食。\n以下是您被回收后获得的道具，请查收。\n\n罗杰副官</t>
  </si>
  <si>
    <t>Dear Commander,\n\nDue to the temporary suspension of the "Space Race" and "Fragment Exchange" events, your unused Space Fragments have been recycled and converted into 1,000 Food by UTC 07:00, and Space Fragment Chests have been recycled and converted into 10,000 Food. \nBelow are the items you received after the recycling. Please check.\n\nDeputy Roger</t>
  </si>
  <si>
    <t>Cher Commandant,\n\nEn raison de la suspension temporaire des événements "Course Spatiale" et "Échange de Fragments", vos Fragments Spatiaux inutilisés ont été recyclés et convertis en 1 000 Nourriture à 07:00 UTC, et les Coffres de Fragment Spatial ont été recyclés et convertis en 10 000 Nourriture. \nVoici les objets que vous avez reçus après le recyclage. Veuillez vérifier.\n\nRoger l'assistant</t>
  </si>
  <si>
    <t>Lieber Kommandant,\n\nAufgrund der vorübergehenden Aussetzung der "Weltraumrennen" und "Fragmentaustausch" Events wurden Ihre unbenutzten Weltraumfragmente bis UTC 07:00 recycelt und in 1.000 Nahrung umgewandelt, und Weltraumfragmentkisten wurden recycelt und in 10.000 Nahrung umgewandelt. \nUnten sind die Gegenstände aufgeführt, die Sie nach dem Recycling erhalten haben. Bitte überprüfen Sie.\n\nAdjutant Roger</t>
  </si>
  <si>
    <t>Caro Comandante,\n\nDevido à suspensão temporária dos eventos "Corrida Espacial" e "Troca de Fragmentos", seus Fragmentos Espaciais não utilizados foram reciclados e convertidos em 1.000 Comida até às 07:00 UTC, e os Cofres de Fragmento Espacial foram reciclados e convertidos em 10.000 Comida. \nAbaixo estão os itens que você recebeu após a reciclagem. Por favor, verifique.\n\nDelegado Roger</t>
  </si>
  <si>
    <t>親愛的指揮官：\n\n由於「航天奪魁」和「碎片兌換處活動」臨時下線，截止UTC07:00您未使用的航天碎片已被回收並轉化為1000糧食，航天碎片寶箱已被回收並轉化為10,000糧食。\n以下是您被回收後獲得的道具，請查收。\n\n羅傑副官</t>
  </si>
  <si>
    <t>Kepada Komandan,\n\nKarena penangguhan sementara acara "BALAP LUAR ANGKASA" dan "Tempat Penukaran Potongan", potongan angkasa yang tidak digunakan telah dikumpulkan dan diubah menjadi 1.000 Makanan pada pukul 07:00 UTC, dan Kotak Potongan Angkasa telah dikumpulkan dan diubah menjadi 10.000 Makanan. \nBerikut adalah item yang Anda terima setelah daur ulang. Silakan periksa.\n\nDeputi Roger</t>
  </si>
  <si>
    <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ชิ้นส่วนอวกาศที่คุณไม่ได้ใช้ได้ถูกนำไปรีไซเคิลและแปลงเป็นอาหาร 1,000 ชิ้น ณ เวลา UTC 07:00 และกล่องสมบัติชิ้นส่วนอวกาศได้ถูกนำไปรีไซเคิลและแปลงเป็นอาหาร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t>
  </si>
  <si>
    <t>Estimado Comandante,\n\nDebido a la suspensión temporal de los eventos "Carrera Espacial" e "Intercambio de Fragmentos", tus Fragmentos Espaciales no utilizados han sido reciclados y convertidos en 1,000 Comida a las 07:00 UTC, y los Cofres de Fragmento Espacial han sido reciclados y convertidos en 10,000 Comida. \nA continuación se muestran los objetos que recibiste después del reciclaje. Por favor, verifica.\n\nComisario Roger</t>
  </si>
  <si>
    <t>Уважаемый командир,\n\nВ связи с временной приостановкой мероприятий "Космическая Гонка" и "Обмен Фрагментами", ваши неиспользованные Космические Фрагменты 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проверьте.\n\nПомощник Роджер</t>
  </si>
  <si>
    <t>Sevgili Komutan,\n\n"Uzay Yarışı" ve "Parça Değişimi" etkinliklerinin geçici olarak durdurulması nedeniyle, kullanılmayan Uzay Parçalarınız UTC 07:00 itibariyle 1.000 Yiyeceğe dönüştürülerek geri dönüştürüldü ve Uzay Parça Sandıkları 10.000 Yiyeceğe dönüştürülerek geri dönüştürüldü. \nAşağıda geri dönüşüm sonrası aldığınız eşyalar bulunmaktadır. Lütfen kontrol edin.\n\nYardımcı Roger</t>
  </si>
  <si>
    <t>Chỉ huy thân mến,\n\nDo việc tạm dừng sự kiện "CUỘC ĐUA KHÔNG GIAN" và "Mảnh Ghép Quy Đổi", mảnh vỡ hàng không vũ trụ chưa sử dụng của bạn đã được thu hồi và chuyển đổi thành 1.000 Thực Phẩm vào lúc 07:00 UTC, và Hộp đựng mảnh vỡ hàng không vũ trụ đã được thu hồi và chuyển đổi thành 10.000 Thực Phẩm. \nDưới đây là các vật phẩm bạn nhận được sau khi thu hồi. Vui lòng kiểm tra.\n\nPhụ tá Roger</t>
  </si>
  <si>
    <t>"language":</t>
  </si>
  <si>
    <t>"title":</t>
  </si>
  <si>
    <t>"</t>
  </si>
  <si>
    <t>"content":</t>
  </si>
  <si>
    <t>"linkText":""</t>
  </si>
  <si>
    <t>"link":""</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</si>
</sst>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scheme val="minor"/>
    </font>
    <font>
      <b/>
      <sz val="12.0"/>
      <color rgb="FF000000"/>
      <name val="Arial"/>
      <scheme val="minor"/>
    </font>
    <font>
      <b/>
      <sz val="12.0"/>
      <color theme="1"/>
      <name val="Arial"/>
      <scheme val="minor"/>
    </font>
    <font>
      <u/>
      <sz val="11.0"/>
      <color rgb="FF1155CC"/>
    </font>
    <font>
      <sz val="11.0"/>
      <color theme="1"/>
      <name val="Arial"/>
      <scheme val="minor"/>
    </font>
    <font>
      <color theme="1"/>
      <name val="Arial"/>
      <scheme val="minor"/>
    </font>
    <font>
      <u/>
      <sz val="11.0"/>
      <color rgb="FF1155CC"/>
      <name val="Arial"/>
      <scheme val="minor"/>
    </font>
    <font>
      <u/>
      <sz val="11.0"/>
      <color rgb="FF1155CC"/>
    </font>
    <font>
      <b/>
      <sz val="10.0"/>
      <color rgb="FFFFFFFF"/>
      <name val="Arial"/>
    </font>
    <font>
      <b/>
      <sz val="11.0"/>
      <color rgb="FFFFFFFF"/>
      <name val="Arial"/>
    </font>
    <font>
      <color theme="1"/>
      <name val="Arial"/>
    </font>
    <font>
      <b/>
      <sz val="14.0"/>
      <color theme="1"/>
      <name val="Arial"/>
    </font>
    <font>
      <b/>
      <color rgb="FFFFFFFF"/>
      <name val="Arial"/>
    </font>
    <font>
      <b/>
      <color rgb="FFFF0000"/>
      <name val="Arial"/>
    </font>
    <font>
      <color rgb="FF000000"/>
      <name val="Arial"/>
    </font>
    <font>
      <color rgb="FF434343"/>
      <name val="Arial"/>
    </font>
    <font>
      <color theme="1"/>
      <name val="Calibri"/>
    </font>
    <font>
      <color rgb="FF000000"/>
      <name val="Arial"/>
      <scheme val="minor"/>
    </font>
    <font>
      <sz val="10.0"/>
      <color rgb="FF171A1D"/>
      <name val="Arial"/>
    </font>
    <font>
      <b/>
      <sz val="11.0"/>
      <color rgb="FFFF0000"/>
      <name val="Arial"/>
    </font>
    <font>
      <b/>
      <color rgb="FFFFFFFF"/>
      <name val="Times New Roman"/>
    </font>
    <font/>
    <font>
      <color rgb="FFFFFFFF"/>
      <name val="Times New Roman"/>
    </font>
    <font>
      <strike/>
      <sz val="18.0"/>
      <color theme="1"/>
      <name val="Arial"/>
      <scheme val="minor"/>
    </font>
    <font>
      <b/>
      <color rgb="FFFF0000"/>
      <name val="Arial"/>
      <scheme val="minor"/>
    </font>
    <font>
      <b/>
      <u/>
      <color rgb="FFFF0000"/>
    </font>
    <font>
      <b/>
      <color rgb="FFFFFFFF"/>
      <name val="Arial"/>
      <scheme val="minor"/>
    </font>
    <font>
      <sz val="10.0"/>
      <color theme="1"/>
      <name val="Arial"/>
    </font>
    <font>
      <sz val="11.0"/>
      <color rgb="FF000000"/>
      <name val="Inconsolata"/>
    </font>
    <font>
      <color rgb="FFFFFFFF"/>
      <name val="Arial"/>
    </font>
    <font>
      <sz val="10.0"/>
      <color rgb="FF000000"/>
      <name val="Arial"/>
    </font>
    <font>
      <b/>
      <color theme="1"/>
      <name val="Arial"/>
      <scheme val="minor"/>
    </font>
    <font>
      <b/>
      <sz val="18.0"/>
      <color rgb="FFFF0000"/>
      <name val="Arial"/>
      <scheme val="minor"/>
    </font>
    <font>
      <b/>
      <u/>
      <sz val="12.0"/>
      <color rgb="FF1155CC"/>
    </font>
    <font>
      <b/>
      <u/>
      <sz val="12.0"/>
      <color rgb="FF1155CC"/>
      <name val="Arial"/>
      <scheme val="minor"/>
    </font>
    <font>
      <sz val="10.0"/>
      <color theme="1"/>
      <name val="Arial"/>
      <scheme val="minor"/>
    </font>
    <font>
      <b/>
      <sz val="10.0"/>
      <color theme="1"/>
      <name val="Arial"/>
      <scheme val="minor"/>
    </font>
    <font>
      <sz val="12.0"/>
      <color rgb="FFE56600"/>
      <name val="Montserrat"/>
    </font>
    <font>
      <u/>
      <sz val="12.0"/>
      <color rgb="FF1155CC"/>
    </font>
    <font>
      <b/>
      <color rgb="FF000000"/>
      <name val="Arial"/>
    </font>
    <font>
      <sz val="11.0"/>
      <color rgb="FFFFFFFF"/>
      <name val="Inherit"/>
    </font>
    <font>
      <b/>
      <sz val="8.0"/>
      <color rgb="FF000000"/>
      <name val="&quot;PingFang SC&quot;"/>
    </font>
    <font>
      <color rgb="FF000000"/>
      <name val="宋体"/>
    </font>
  </fonts>
  <fills count="24">
    <fill>
      <patternFill patternType="none"/>
    </fill>
    <fill>
      <patternFill patternType="lightGray"/>
    </fill>
    <fill>
      <patternFill patternType="solid">
        <fgColor rgb="FFD9D9D9"/>
        <bgColor rgb="FFD9D9D9"/>
      </patternFill>
    </fill>
    <fill>
      <patternFill patternType="solid">
        <fgColor rgb="FFD9EAD3"/>
        <bgColor rgb="FFD9EAD3"/>
      </patternFill>
    </fill>
    <fill>
      <patternFill patternType="solid">
        <fgColor rgb="FF57545C"/>
        <bgColor rgb="FF57545C"/>
      </patternFill>
    </fill>
    <fill>
      <patternFill patternType="solid">
        <fgColor rgb="FFD0E0E3"/>
        <bgColor rgb="FFD0E0E3"/>
      </patternFill>
    </fill>
    <fill>
      <patternFill patternType="solid">
        <fgColor rgb="FF6711FF"/>
        <bgColor rgb="FF6711FF"/>
      </patternFill>
    </fill>
    <fill>
      <patternFill patternType="solid">
        <fgColor rgb="FFF4CCCC"/>
        <bgColor rgb="FFF4CCCC"/>
      </patternFill>
    </fill>
    <fill>
      <patternFill patternType="solid">
        <fgColor rgb="FFEA9999"/>
        <bgColor rgb="FFEA9999"/>
      </patternFill>
    </fill>
    <fill>
      <patternFill patternType="solid">
        <fgColor rgb="FFFFFFFF"/>
        <bgColor rgb="FFFFFFFF"/>
      </patternFill>
    </fill>
    <fill>
      <patternFill patternType="solid">
        <fgColor rgb="FFB6D7A8"/>
        <bgColor rgb="FFB6D7A8"/>
      </patternFill>
    </fill>
    <fill>
      <patternFill patternType="solid">
        <fgColor rgb="FFCFE2F3"/>
        <bgColor rgb="FFCFE2F3"/>
      </patternFill>
    </fill>
    <fill>
      <patternFill patternType="solid">
        <fgColor rgb="FF4A86E8"/>
        <bgColor rgb="FF4A86E8"/>
      </patternFill>
    </fill>
    <fill>
      <patternFill patternType="solid">
        <fgColor rgb="FF3D85C6"/>
        <bgColor rgb="FF3D85C6"/>
      </patternFill>
    </fill>
    <fill>
      <patternFill patternType="solid">
        <fgColor rgb="FF93C47D"/>
        <bgColor rgb="FF93C47D"/>
      </patternFill>
    </fill>
    <fill>
      <patternFill patternType="solid">
        <fgColor rgb="FFDD7E6B"/>
        <bgColor rgb="FFDD7E6B"/>
      </patternFill>
    </fill>
    <fill>
      <patternFill patternType="solid">
        <fgColor rgb="FFFFF2CC"/>
        <bgColor rgb="FFFFF2CC"/>
      </patternFill>
    </fill>
    <fill>
      <patternFill patternType="solid">
        <fgColor rgb="FFB7B7B7"/>
        <bgColor rgb="FFB7B7B7"/>
      </patternFill>
    </fill>
    <fill>
      <patternFill patternType="solid">
        <fgColor theme="0"/>
        <bgColor theme="0"/>
      </patternFill>
    </fill>
    <fill>
      <patternFill patternType="solid">
        <fgColor rgb="FFFCE5CD"/>
        <bgColor rgb="FFFCE5CD"/>
      </patternFill>
    </fill>
    <fill>
      <patternFill patternType="solid">
        <fgColor rgb="FFE6B8AF"/>
        <bgColor rgb="FFE6B8AF"/>
      </patternFill>
    </fill>
    <fill>
      <patternFill patternType="solid">
        <fgColor rgb="FF3C78D8"/>
        <bgColor rgb="FF3C78D8"/>
      </patternFill>
    </fill>
    <fill>
      <patternFill patternType="solid">
        <fgColor rgb="FFB0B3B2"/>
        <bgColor rgb="FFB0B3B2"/>
      </patternFill>
    </fill>
    <fill>
      <patternFill patternType="solid">
        <fgColor rgb="FFD4D4D4"/>
        <bgColor rgb="FFD4D4D4"/>
      </patternFill>
    </fill>
  </fills>
  <borders count="20">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left/>
      <top/>
    </border>
    <border>
      <top/>
    </border>
    <border>
      <righ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Alignment="1" applyFill="1" applyFont="1">
      <alignment readingOrder="0"/>
    </xf>
    <xf borderId="0" fillId="0" fontId="3" numFmtId="0" xfId="0" applyAlignment="1" applyFont="1">
      <alignment readingOrder="0" vertical="top"/>
    </xf>
    <xf borderId="0" fillId="0" fontId="4" numFmtId="0" xfId="0" applyAlignment="1" applyFont="1">
      <alignment readingOrder="0" vertical="top"/>
    </xf>
    <xf borderId="0" fillId="0" fontId="5" numFmtId="0" xfId="0" applyAlignment="1" applyFont="1">
      <alignment vertical="top"/>
    </xf>
    <xf borderId="0" fillId="0" fontId="6" numFmtId="0" xfId="0" applyAlignment="1" applyFont="1">
      <alignment readingOrder="0" vertical="top"/>
    </xf>
    <xf borderId="0" fillId="0" fontId="4" numFmtId="0" xfId="0" applyAlignment="1" applyFont="1">
      <alignment readingOrder="0" vertical="top"/>
    </xf>
    <xf borderId="0" fillId="0" fontId="4" numFmtId="0" xfId="0" applyAlignment="1" applyFont="1">
      <alignment vertical="top"/>
    </xf>
    <xf borderId="0" fillId="0" fontId="4" numFmtId="0" xfId="0" applyFont="1"/>
    <xf borderId="0" fillId="0" fontId="4" numFmtId="0" xfId="0" applyAlignment="1" applyFont="1">
      <alignment readingOrder="0"/>
    </xf>
    <xf borderId="0" fillId="0" fontId="7"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readingOrder="0" shrinkToFit="0" vertical="top" wrapText="0"/>
    </xf>
    <xf borderId="0" fillId="0" fontId="5" numFmtId="0" xfId="0" applyAlignment="1" applyFont="1">
      <alignment readingOrder="0"/>
    </xf>
    <xf borderId="0" fillId="4" fontId="8" numFmtId="0" xfId="0" applyAlignment="1" applyFill="1" applyFont="1">
      <alignment horizontal="center" readingOrder="0" shrinkToFit="0" vertical="top" wrapText="0"/>
    </xf>
    <xf borderId="0" fillId="0" fontId="9" numFmtId="0" xfId="0" applyAlignment="1" applyFont="1">
      <alignment horizontal="center" readingOrder="0" shrinkToFit="0" vertical="top" wrapText="0"/>
    </xf>
    <xf borderId="0" fillId="0" fontId="10" numFmtId="0" xfId="0" applyAlignment="1" applyFont="1">
      <alignment shrinkToFit="0" vertical="top" wrapText="1"/>
    </xf>
    <xf borderId="0" fillId="0" fontId="10" numFmtId="0" xfId="0" applyAlignment="1" applyFont="1">
      <alignment shrinkToFit="0" vertical="bottom" wrapText="0"/>
    </xf>
    <xf borderId="0" fillId="5" fontId="11" numFmtId="0" xfId="0" applyAlignment="1" applyFill="1" applyFont="1">
      <alignment horizontal="center" shrinkToFit="0" vertical="top" wrapText="0"/>
    </xf>
    <xf borderId="0" fillId="6" fontId="12" numFmtId="0" xfId="0" applyAlignment="1" applyFill="1" applyFont="1">
      <alignment horizontal="center" shrinkToFit="0" vertical="top" wrapText="1"/>
    </xf>
    <xf borderId="0" fillId="6" fontId="12" numFmtId="0" xfId="0" applyAlignment="1" applyFont="1">
      <alignment shrinkToFit="0" vertical="top" wrapText="1"/>
    </xf>
    <xf borderId="0" fillId="6" fontId="13" numFmtId="0" xfId="0" applyAlignment="1" applyFont="1">
      <alignment shrinkToFit="0" vertical="top" wrapText="1"/>
    </xf>
    <xf borderId="0" fillId="6" fontId="12" numFmtId="0" xfId="0" applyAlignment="1" applyFont="1">
      <alignment readingOrder="0" shrinkToFit="0" vertical="top" wrapText="1"/>
    </xf>
    <xf borderId="0" fillId="7" fontId="5" numFmtId="0" xfId="0" applyAlignment="1" applyFill="1" applyFont="1">
      <alignment horizontal="left" readingOrder="0" shrinkToFit="0" vertical="top" wrapText="0"/>
    </xf>
    <xf borderId="0" fillId="0" fontId="5" numFmtId="0" xfId="0" applyAlignment="1" applyFont="1">
      <alignment horizontal="left" readingOrder="0" shrinkToFit="0" vertical="top" wrapText="0"/>
    </xf>
    <xf borderId="1" fillId="0" fontId="10" numFmtId="0" xfId="0" applyAlignment="1" applyBorder="1" applyFont="1">
      <alignment horizontal="left" readingOrder="0" shrinkToFit="0" vertical="top" wrapText="1"/>
    </xf>
    <xf borderId="0" fillId="0" fontId="14" numFmtId="0" xfId="0" applyAlignment="1" applyFont="1">
      <alignment horizontal="left" readingOrder="0" shrinkToFit="0" vertical="top" wrapText="1"/>
    </xf>
    <xf borderId="0" fillId="0" fontId="10" numFmtId="0" xfId="0" applyAlignment="1" applyFont="1">
      <alignment horizontal="left" readingOrder="0" shrinkToFit="0" vertical="top" wrapText="1"/>
    </xf>
    <xf borderId="0" fillId="0" fontId="5" numFmtId="0" xfId="0" applyAlignment="1" applyFont="1">
      <alignment horizontal="left" shrinkToFit="0" vertical="top" wrapText="0"/>
    </xf>
    <xf borderId="0" fillId="8" fontId="5" numFmtId="0" xfId="0" applyAlignment="1" applyFill="1" applyFont="1">
      <alignment horizontal="left" readingOrder="0" shrinkToFit="0" vertical="top" wrapText="0"/>
    </xf>
    <xf borderId="0" fillId="0" fontId="10" numFmtId="0" xfId="0" applyAlignment="1" applyFont="1">
      <alignment shrinkToFit="0" wrapText="1"/>
    </xf>
    <xf borderId="0" fillId="0" fontId="10" numFmtId="49" xfId="0" applyAlignment="1" applyFont="1" applyNumberFormat="1">
      <alignment shrinkToFit="0" vertical="top" wrapText="1"/>
    </xf>
    <xf borderId="0" fillId="0" fontId="10" numFmtId="0" xfId="0" applyAlignment="1" applyFont="1">
      <alignment horizontal="right" shrinkToFit="0" wrapText="1"/>
    </xf>
    <xf borderId="0" fillId="0" fontId="5" numFmtId="0" xfId="0" applyAlignment="1" applyFont="1">
      <alignment shrinkToFit="0" vertical="top" wrapText="0"/>
    </xf>
    <xf borderId="0" fillId="0" fontId="14" numFmtId="49" xfId="0" applyAlignment="1" applyFont="1" applyNumberFormat="1">
      <alignment horizontal="left" readingOrder="0" shrinkToFit="0" vertical="top" wrapText="1"/>
    </xf>
    <xf borderId="0" fillId="0" fontId="10" numFmtId="0" xfId="0" applyAlignment="1" applyFont="1">
      <alignment readingOrder="0" vertical="top"/>
    </xf>
    <xf borderId="0" fillId="0" fontId="5" numFmtId="0" xfId="0" applyAlignment="1" applyFont="1">
      <alignment shrinkToFit="0" vertical="top" wrapText="1"/>
    </xf>
    <xf borderId="0" fillId="0" fontId="10" numFmtId="0" xfId="0" applyAlignment="1" applyFont="1">
      <alignment vertical="top"/>
    </xf>
    <xf borderId="0" fillId="0" fontId="10" numFmtId="49" xfId="0" applyAlignment="1" applyFont="1" applyNumberFormat="1">
      <alignment vertical="top"/>
    </xf>
    <xf borderId="0" fillId="0" fontId="10" numFmtId="0" xfId="0" applyAlignment="1" applyFont="1">
      <alignment vertical="top"/>
    </xf>
    <xf borderId="0" fillId="0" fontId="10" numFmtId="0" xfId="0" applyAlignment="1" applyFont="1">
      <alignment shrinkToFit="0" vertical="top" wrapText="1"/>
    </xf>
    <xf borderId="0" fillId="0" fontId="10" numFmtId="49" xfId="0" applyAlignment="1" applyFont="1" applyNumberFormat="1">
      <alignment shrinkToFit="0" vertical="top" wrapText="1"/>
    </xf>
    <xf borderId="0" fillId="7" fontId="5" numFmtId="0" xfId="0" applyAlignment="1" applyFont="1">
      <alignment readingOrder="0" shrinkToFit="0" vertical="top" wrapText="0"/>
    </xf>
    <xf borderId="0" fillId="0" fontId="10" numFmtId="0" xfId="0" applyAlignment="1" applyFont="1">
      <alignment shrinkToFit="0" vertical="top" wrapText="0"/>
    </xf>
    <xf borderId="0" fillId="9" fontId="10" numFmtId="0" xfId="0" applyAlignment="1" applyFill="1" applyFont="1">
      <alignment shrinkToFit="0" vertical="top" wrapText="0"/>
    </xf>
    <xf borderId="0" fillId="9" fontId="14" numFmtId="0" xfId="0" applyAlignment="1" applyFont="1">
      <alignment shrinkToFit="0" vertical="top" wrapText="0"/>
    </xf>
    <xf borderId="0" fillId="0" fontId="5" numFmtId="0" xfId="0" applyAlignment="1" applyFont="1">
      <alignment readingOrder="0" shrinkToFit="0" vertical="top" wrapText="1"/>
    </xf>
    <xf borderId="0" fillId="0" fontId="15" numFmtId="0" xfId="0" applyAlignment="1" applyFont="1">
      <alignment horizontal="left" readingOrder="0" shrinkToFit="0" vertical="top" wrapText="1"/>
    </xf>
    <xf borderId="0" fillId="0" fontId="16" numFmtId="0" xfId="0" applyAlignment="1" applyFont="1">
      <alignment horizontal="left" readingOrder="0" shrinkToFit="0" vertical="top" wrapText="1"/>
    </xf>
    <xf borderId="0" fillId="7" fontId="5" numFmtId="0" xfId="0" applyAlignment="1" applyFont="1">
      <alignment readingOrder="0" vertical="top"/>
    </xf>
    <xf borderId="0" fillId="8" fontId="5" numFmtId="0" xfId="0" applyAlignment="1" applyFont="1">
      <alignment readingOrder="0" vertical="top"/>
    </xf>
    <xf borderId="0" fillId="0" fontId="14" numFmtId="0" xfId="0" applyAlignment="1" applyFont="1">
      <alignment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vertical="top" wrapText="1"/>
    </xf>
    <xf borderId="0" fillId="0" fontId="17" numFmtId="0" xfId="0" applyAlignment="1" applyFont="1">
      <alignment readingOrder="0" vertical="top"/>
    </xf>
    <xf borderId="0" fillId="0" fontId="17" numFmtId="0" xfId="0" applyAlignment="1" applyFont="1">
      <alignment readingOrder="0" shrinkToFit="0" vertical="top" wrapText="1"/>
    </xf>
    <xf borderId="0" fillId="9" fontId="14" numFmtId="0" xfId="0" applyAlignment="1" applyFont="1">
      <alignment horizontal="left" readingOrder="0" shrinkToFit="0" vertical="top" wrapText="1"/>
    </xf>
    <xf borderId="1" fillId="0" fontId="14" numFmtId="0" xfId="0" applyAlignment="1" applyBorder="1" applyFont="1">
      <alignment horizontal="left" readingOrder="0" shrinkToFit="0" vertical="top" wrapText="1"/>
    </xf>
    <xf borderId="0" fillId="0" fontId="10" numFmtId="49" xfId="0" applyAlignment="1" applyFont="1" applyNumberFormat="1">
      <alignment readingOrder="0" shrinkToFit="0" vertical="top" wrapText="0"/>
    </xf>
    <xf borderId="0" fillId="0" fontId="14" numFmtId="0" xfId="0" applyAlignment="1" applyFont="1">
      <alignment horizontal="left" readingOrder="0" shrinkToFit="0" vertical="top" wrapText="0"/>
    </xf>
    <xf borderId="0" fillId="0" fontId="14" numFmtId="0" xfId="0" applyAlignment="1" applyFont="1">
      <alignment readingOrder="0" shrinkToFit="0" vertical="top" wrapText="0"/>
    </xf>
    <xf borderId="0" fillId="0" fontId="10" numFmtId="0" xfId="0" applyAlignment="1" applyFont="1">
      <alignment readingOrder="0" shrinkToFit="0" vertical="top" wrapText="0"/>
    </xf>
    <xf borderId="0" fillId="0" fontId="14" numFmtId="49" xfId="0" applyAlignment="1" applyFont="1" applyNumberFormat="1">
      <alignment readingOrder="0" shrinkToFit="0" vertical="top" wrapText="0"/>
    </xf>
    <xf borderId="0" fillId="0" fontId="10" numFmtId="49" xfId="0" applyAlignment="1" applyFont="1" applyNumberFormat="1">
      <alignment shrinkToFit="0" wrapText="1"/>
    </xf>
    <xf borderId="0" fillId="0" fontId="5" numFmtId="0" xfId="0" applyAlignment="1" applyFont="1">
      <alignment shrinkToFit="0" wrapText="1"/>
    </xf>
    <xf borderId="0" fillId="0" fontId="5" numFmtId="0" xfId="0" applyAlignment="1" applyFont="1">
      <alignment readingOrder="0" shrinkToFit="0" wrapText="1"/>
    </xf>
    <xf borderId="0" fillId="10" fontId="5" numFmtId="0" xfId="0" applyAlignment="1" applyFill="1" applyFont="1">
      <alignment horizontal="left" readingOrder="0" shrinkToFit="0" vertical="top" wrapText="0"/>
    </xf>
    <xf borderId="0" fillId="0" fontId="10" numFmtId="49" xfId="0" applyAlignment="1" applyFont="1" applyNumberFormat="1">
      <alignment readingOrder="0" shrinkToFit="0" vertical="top" wrapText="1"/>
    </xf>
    <xf borderId="0" fillId="0" fontId="10" numFmtId="49" xfId="0" applyAlignment="1" applyFont="1" applyNumberFormat="1">
      <alignment readingOrder="0" shrinkToFit="0" vertical="top" wrapText="1"/>
    </xf>
    <xf borderId="0" fillId="0" fontId="5" numFmtId="0" xfId="0" applyAlignment="1" applyFont="1">
      <alignment horizontal="left" shrinkToFit="0" vertical="top" wrapText="1"/>
    </xf>
    <xf borderId="0" fillId="0" fontId="5" numFmtId="0" xfId="0" applyAlignment="1" applyFont="1">
      <alignment vertical="center"/>
    </xf>
    <xf borderId="0" fillId="0" fontId="10" numFmtId="0" xfId="0" applyAlignment="1" applyFont="1">
      <alignment horizontal="left" readingOrder="0" shrinkToFit="0" vertical="center" wrapText="1"/>
    </xf>
    <xf borderId="0" fillId="0" fontId="5" numFmtId="0" xfId="0" applyAlignment="1" applyFont="1">
      <alignment readingOrder="0" vertical="center"/>
    </xf>
    <xf borderId="0" fillId="0" fontId="5" numFmtId="0" xfId="0" applyAlignment="1" applyFont="1">
      <alignment readingOrder="0" shrinkToFit="0" vertical="center" wrapText="1"/>
    </xf>
    <xf borderId="0" fillId="0" fontId="10" numFmtId="0" xfId="0" applyAlignment="1" applyFont="1">
      <alignment readingOrder="0" shrinkToFit="0" vertical="center" wrapText="0"/>
    </xf>
    <xf borderId="0" fillId="0" fontId="10" numFmtId="49" xfId="0" applyAlignment="1" applyFont="1" applyNumberFormat="1">
      <alignment shrinkToFit="0" vertical="center" wrapText="1"/>
    </xf>
    <xf borderId="0" fillId="9" fontId="18" numFmtId="0" xfId="0" applyAlignment="1" applyFont="1">
      <alignment horizontal="left" readingOrder="0" shrinkToFit="0" vertical="center" wrapText="1"/>
    </xf>
    <xf borderId="0" fillId="0" fontId="5" numFmtId="0" xfId="0" applyAlignment="1" applyFont="1">
      <alignment readingOrder="0" shrinkToFit="0" wrapText="1"/>
    </xf>
    <xf borderId="0" fillId="0" fontId="10" numFmtId="49" xfId="0" applyAlignment="1" applyFont="1" applyNumberFormat="1">
      <alignment shrinkToFit="0" vertical="bottom" wrapText="1"/>
    </xf>
    <xf borderId="0" fillId="0" fontId="10" numFmtId="0" xfId="0" applyAlignment="1" applyFont="1">
      <alignment shrinkToFit="0" vertical="bottom" wrapText="1"/>
    </xf>
    <xf borderId="0" fillId="9" fontId="10" numFmtId="0" xfId="0" applyAlignment="1" applyFont="1">
      <alignment vertical="bottom"/>
    </xf>
    <xf borderId="0" fillId="0" fontId="10" numFmtId="0" xfId="0" applyFont="1"/>
    <xf borderId="0" fillId="9" fontId="10" numFmtId="0" xfId="0" applyAlignment="1" applyFont="1">
      <alignment readingOrder="0" vertical="bottom"/>
    </xf>
    <xf borderId="0" fillId="0" fontId="10" numFmtId="0" xfId="0" applyAlignment="1" applyFont="1">
      <alignment readingOrder="0"/>
    </xf>
    <xf borderId="0" fillId="0" fontId="10" numFmtId="0" xfId="0" applyAlignment="1" applyFont="1">
      <alignment readingOrder="0" shrinkToFit="0" vertical="bottom" wrapText="1"/>
    </xf>
    <xf borderId="0" fillId="0" fontId="10" numFmtId="0" xfId="0" applyAlignment="1" applyFont="1">
      <alignment shrinkToFit="0" vertical="bottom" wrapText="1"/>
    </xf>
    <xf borderId="0" fillId="0" fontId="5" numFmtId="0" xfId="0" applyAlignment="1" applyFont="1">
      <alignment readingOrder="0" shrinkToFit="0" wrapText="0"/>
    </xf>
    <xf borderId="0" fillId="5" fontId="5" numFmtId="0" xfId="0" applyAlignment="1" applyFont="1">
      <alignment readingOrder="0"/>
    </xf>
    <xf borderId="0" fillId="5" fontId="5" numFmtId="0" xfId="0" applyFont="1"/>
    <xf borderId="0" fillId="5" fontId="5" numFmtId="0" xfId="0" applyAlignment="1" applyFont="1">
      <alignment shrinkToFit="0" wrapText="1"/>
    </xf>
    <xf borderId="0" fillId="5" fontId="14" numFmtId="0" xfId="0" applyAlignment="1" applyFont="1">
      <alignment shrinkToFit="0" wrapText="1"/>
    </xf>
    <xf borderId="0" fillId="5" fontId="14" numFmtId="49" xfId="0" applyAlignment="1" applyFont="1" applyNumberFormat="1">
      <alignment vertical="bottom"/>
    </xf>
    <xf borderId="0" fillId="5" fontId="10" numFmtId="0" xfId="0" applyFont="1"/>
    <xf borderId="0" fillId="5" fontId="10" numFmtId="0" xfId="0" applyAlignment="1" applyFont="1">
      <alignment vertical="bottom"/>
    </xf>
    <xf borderId="0" fillId="5" fontId="14" numFmtId="0" xfId="0" applyAlignment="1" applyFont="1">
      <alignment vertical="bottom"/>
    </xf>
    <xf borderId="0" fillId="5" fontId="10" numFmtId="0" xfId="0" applyAlignment="1" applyFont="1">
      <alignment readingOrder="0" vertical="bottom"/>
    </xf>
    <xf borderId="2" fillId="5" fontId="10" numFmtId="0" xfId="0" applyAlignment="1" applyBorder="1" applyFont="1">
      <alignment vertical="top"/>
    </xf>
    <xf borderId="0" fillId="5" fontId="5" numFmtId="0" xfId="0" applyAlignment="1" applyFont="1">
      <alignment readingOrder="0" shrinkToFit="0" wrapText="1"/>
    </xf>
    <xf borderId="0" fillId="11" fontId="4" numFmtId="0" xfId="0" applyAlignment="1" applyFill="1" applyFont="1">
      <alignment readingOrder="0"/>
    </xf>
    <xf borderId="0" fillId="6" fontId="9" numFmtId="0" xfId="0" applyAlignment="1" applyFont="1">
      <alignment horizontal="center" shrinkToFit="0" vertical="bottom" wrapText="0"/>
    </xf>
    <xf borderId="0" fillId="6" fontId="9" numFmtId="0" xfId="0" applyFont="1"/>
    <xf borderId="0" fillId="6" fontId="19" numFmtId="0" xfId="0" applyFont="1"/>
    <xf borderId="0" fillId="0" fontId="5" numFmtId="0" xfId="0" applyAlignment="1" applyFont="1">
      <alignment readingOrder="0" shrinkToFit="0" wrapText="0"/>
    </xf>
    <xf borderId="0" fillId="9" fontId="14" numFmtId="0" xfId="0" applyAlignment="1" applyFont="1">
      <alignment horizontal="left" readingOrder="0" shrinkToFit="0" wrapText="1"/>
    </xf>
    <xf borderId="0" fillId="9" fontId="14" numFmtId="0" xfId="0" applyAlignment="1" applyFont="1">
      <alignment horizontal="left" readingOrder="0" shrinkToFit="0" wrapText="0"/>
    </xf>
    <xf borderId="0" fillId="0" fontId="5" numFmtId="0" xfId="0" applyAlignment="1" applyFont="1">
      <alignment shrinkToFit="0" wrapText="0"/>
    </xf>
    <xf borderId="3" fillId="12" fontId="20" numFmtId="49" xfId="0" applyAlignment="1" applyBorder="1" applyFill="1" applyFont="1" applyNumberFormat="1">
      <alignment horizontal="center" readingOrder="0" shrinkToFit="0" vertical="bottom" wrapText="1"/>
    </xf>
    <xf borderId="4" fillId="0" fontId="21" numFmtId="0" xfId="0" applyBorder="1" applyFont="1"/>
    <xf borderId="5" fillId="0" fontId="21" numFmtId="0" xfId="0" applyBorder="1" applyFont="1"/>
    <xf borderId="6" fillId="0" fontId="5" numFmtId="0" xfId="0" applyAlignment="1" applyBorder="1" applyFont="1">
      <alignment readingOrder="0" shrinkToFit="0" vertical="top" wrapText="1"/>
    </xf>
    <xf borderId="7" fillId="0" fontId="21" numFmtId="0" xfId="0" applyBorder="1" applyFont="1"/>
    <xf borderId="8" fillId="0" fontId="21" numFmtId="0" xfId="0" applyBorder="1" applyFont="1"/>
    <xf borderId="9" fillId="0" fontId="21" numFmtId="0" xfId="0" applyBorder="1" applyFont="1"/>
    <xf borderId="10" fillId="0" fontId="21" numFmtId="0" xfId="0" applyBorder="1" applyFont="1"/>
    <xf borderId="11" fillId="0" fontId="21" numFmtId="0" xfId="0" applyBorder="1" applyFont="1"/>
    <xf borderId="12" fillId="0" fontId="21" numFmtId="0" xfId="0" applyBorder="1" applyFont="1"/>
    <xf borderId="13" fillId="0" fontId="21" numFmtId="0" xfId="0" applyBorder="1" applyFont="1"/>
    <xf borderId="2" fillId="13" fontId="22" numFmtId="49" xfId="0" applyAlignment="1" applyBorder="1" applyFill="1" applyFont="1" applyNumberFormat="1">
      <alignment horizontal="center" readingOrder="0" shrinkToFit="0" vertical="bottom" wrapText="1"/>
    </xf>
    <xf borderId="14" fillId="13" fontId="22" numFmtId="49" xfId="0" applyAlignment="1" applyBorder="1" applyFont="1" applyNumberFormat="1">
      <alignment horizontal="center" readingOrder="0" shrinkToFit="0" vertical="bottom" wrapText="1"/>
    </xf>
    <xf borderId="15" fillId="0" fontId="21" numFmtId="0" xfId="0" applyBorder="1" applyFont="1"/>
    <xf borderId="16" fillId="0" fontId="21" numFmtId="0" xfId="0" applyBorder="1" applyFont="1"/>
    <xf borderId="0" fillId="0" fontId="23" numFmtId="0" xfId="0" applyAlignment="1" applyFont="1">
      <alignment horizontal="center" readingOrder="0" vertical="center"/>
    </xf>
    <xf borderId="17" fillId="13" fontId="22" numFmtId="49" xfId="0" applyAlignment="1" applyBorder="1" applyFont="1" applyNumberFormat="1">
      <alignment horizontal="center" readingOrder="0" shrinkToFit="0" vertical="center" wrapText="1"/>
    </xf>
    <xf borderId="12" fillId="0" fontId="5" numFmtId="0" xfId="0" applyAlignment="1" applyBorder="1" applyFont="1">
      <alignment horizontal="center" readingOrder="0" shrinkToFit="0" wrapText="1"/>
    </xf>
    <xf borderId="14" fillId="0" fontId="5" numFmtId="0" xfId="0" applyAlignment="1" applyBorder="1" applyFont="1">
      <alignment readingOrder="0" shrinkToFit="0" wrapText="1"/>
    </xf>
    <xf borderId="18" fillId="0" fontId="21" numFmtId="0" xfId="0" applyBorder="1" applyFont="1"/>
    <xf borderId="15" fillId="0" fontId="5" numFmtId="0" xfId="0" applyAlignment="1" applyBorder="1" applyFont="1">
      <alignment horizontal="center" readingOrder="0" shrinkToFit="0" wrapText="1"/>
    </xf>
    <xf borderId="2" fillId="13" fontId="22" numFmtId="49" xfId="0" applyAlignment="1" applyBorder="1" applyFont="1" applyNumberFormat="1">
      <alignment horizontal="center" readingOrder="0" shrinkToFit="0" vertical="center" wrapText="1"/>
    </xf>
    <xf borderId="13" fillId="0" fontId="5" numFmtId="0" xfId="0" applyAlignment="1" applyBorder="1" applyFont="1">
      <alignment horizontal="center" readingOrder="0"/>
    </xf>
    <xf borderId="11" fillId="0" fontId="5" numFmtId="0" xfId="0" applyAlignment="1" applyBorder="1" applyFont="1">
      <alignment horizontal="left" readingOrder="0"/>
    </xf>
    <xf borderId="19" fillId="0" fontId="21" numFmtId="0" xfId="0" applyBorder="1" applyFont="1"/>
    <xf borderId="10" fillId="0" fontId="5" numFmtId="0" xfId="0" applyAlignment="1" applyBorder="1" applyFont="1">
      <alignment horizontal="center" readingOrder="0"/>
    </xf>
    <xf borderId="9" fillId="0" fontId="5" numFmtId="0" xfId="0" applyAlignment="1" applyBorder="1" applyFont="1">
      <alignment horizontal="left" readingOrder="0"/>
    </xf>
    <xf borderId="0" fillId="0" fontId="24" numFmtId="0" xfId="0" applyAlignment="1" applyFont="1">
      <alignment horizontal="center" readingOrder="0"/>
    </xf>
    <xf borderId="0" fillId="0" fontId="25" numFmtId="0" xfId="0" applyAlignment="1" applyFont="1">
      <alignment readingOrder="0"/>
    </xf>
    <xf borderId="0" fillId="0" fontId="24" numFmtId="0" xfId="0" applyFont="1"/>
    <xf borderId="3" fillId="14" fontId="20" numFmtId="49" xfId="0" applyAlignment="1" applyBorder="1" applyFill="1" applyFont="1" applyNumberFormat="1">
      <alignment horizontal="center" readingOrder="0" shrinkToFit="0" vertical="bottom" wrapText="1"/>
    </xf>
    <xf borderId="6" fillId="0" fontId="5" numFmtId="0" xfId="0" applyAlignment="1" applyBorder="1" applyFont="1">
      <alignment readingOrder="0" shrinkToFit="0" vertical="center" wrapText="1"/>
    </xf>
    <xf borderId="0" fillId="0" fontId="5" numFmtId="0" xfId="0" applyAlignment="1" applyFont="1">
      <alignment horizontal="center" readingOrder="0"/>
    </xf>
    <xf borderId="0" fillId="0" fontId="5" numFmtId="0" xfId="0" applyAlignment="1" applyFont="1">
      <alignment horizontal="left" readingOrder="0"/>
    </xf>
    <xf borderId="2" fillId="0" fontId="5" numFmtId="0" xfId="0" applyAlignment="1" applyBorder="1" applyFont="1">
      <alignment horizontal="center" readingOrder="0"/>
    </xf>
    <xf borderId="14" fillId="0" fontId="5" numFmtId="0" xfId="0" applyAlignment="1" applyBorder="1" applyFont="1">
      <alignment horizontal="left" readingOrder="0"/>
    </xf>
    <xf borderId="0" fillId="12" fontId="12" numFmtId="49" xfId="0" applyAlignment="1" applyFont="1" applyNumberFormat="1">
      <alignment horizontal="center" shrinkToFit="0" vertical="top" wrapText="0"/>
    </xf>
    <xf borderId="0" fillId="12" fontId="12" numFmtId="49" xfId="0" applyAlignment="1" applyFont="1" applyNumberFormat="1">
      <alignment horizontal="center" readingOrder="0" shrinkToFit="0" vertical="top" wrapText="0"/>
    </xf>
    <xf borderId="0" fillId="12" fontId="26" numFmtId="0" xfId="0" applyFont="1"/>
    <xf borderId="0" fillId="0" fontId="5" numFmtId="0" xfId="0" applyFont="1"/>
    <xf borderId="0" fillId="0" fontId="5" numFmtId="0" xfId="0" applyAlignment="1" applyFont="1">
      <alignment horizontal="center" readingOrder="0" shrinkToFit="0" vertical="top" wrapText="0"/>
    </xf>
    <xf borderId="0" fillId="9" fontId="5" numFmtId="0" xfId="0" applyAlignment="1" applyFont="1">
      <alignment readingOrder="0" shrinkToFit="0" vertical="top" wrapText="0"/>
    </xf>
    <xf borderId="0" fillId="0" fontId="5" numFmtId="0" xfId="0" applyAlignment="1" applyFont="1">
      <alignment readingOrder="0" shrinkToFit="0" vertical="top" wrapText="0"/>
    </xf>
    <xf borderId="0" fillId="0" fontId="5" numFmtId="49" xfId="0" applyAlignment="1" applyFont="1" applyNumberFormat="1">
      <alignment readingOrder="0" shrinkToFit="0" vertical="top" wrapText="0"/>
    </xf>
    <xf borderId="0" fillId="0" fontId="5" numFmtId="49" xfId="0" applyAlignment="1" applyFont="1" applyNumberFormat="1">
      <alignment shrinkToFit="0" vertical="top" wrapText="0"/>
    </xf>
    <xf borderId="0" fillId="0" fontId="5" numFmtId="49" xfId="0" applyAlignment="1" applyFont="1" applyNumberFormat="1">
      <alignment readingOrder="0" shrinkToFit="0" vertical="top" wrapText="0"/>
    </xf>
    <xf borderId="0" fillId="0" fontId="5" numFmtId="0" xfId="0" applyAlignment="1" applyFont="1">
      <alignment readingOrder="0"/>
    </xf>
    <xf borderId="0" fillId="0" fontId="10" numFmtId="49" xfId="0" applyAlignment="1" applyFont="1" applyNumberFormat="1">
      <alignment shrinkToFit="0" vertical="top" wrapText="0"/>
    </xf>
    <xf borderId="0" fillId="9" fontId="27" numFmtId="0" xfId="0" applyAlignment="1" applyFont="1">
      <alignment horizontal="left" readingOrder="0" shrinkToFit="0" vertical="top" wrapText="0"/>
    </xf>
    <xf borderId="0" fillId="9" fontId="14" numFmtId="0" xfId="0" applyAlignment="1" applyFont="1">
      <alignment shrinkToFit="0" vertical="top" wrapText="0"/>
    </xf>
    <xf borderId="0" fillId="0" fontId="14" numFmtId="0" xfId="0" applyAlignment="1" applyFont="1">
      <alignment shrinkToFit="0" vertical="top" wrapText="0"/>
    </xf>
    <xf borderId="0" fillId="0" fontId="14" numFmtId="49" xfId="0" applyAlignment="1" applyFont="1" applyNumberFormat="1">
      <alignment shrinkToFit="0" vertical="top" wrapText="0"/>
    </xf>
    <xf borderId="0" fillId="0" fontId="5" numFmtId="0" xfId="0" applyAlignment="1" applyFont="1">
      <alignment horizontal="center" readingOrder="0" vertical="top"/>
    </xf>
    <xf borderId="0" fillId="0" fontId="5" numFmtId="0" xfId="0" applyAlignment="1" applyFont="1">
      <alignment shrinkToFit="0" vertical="top" wrapText="0"/>
    </xf>
    <xf borderId="0" fillId="0" fontId="5" numFmtId="49" xfId="0" applyAlignment="1" applyFont="1" applyNumberFormat="1">
      <alignment readingOrder="0" vertical="top"/>
    </xf>
    <xf borderId="0" fillId="0" fontId="5" numFmtId="49" xfId="0" applyAlignment="1" applyFont="1" applyNumberFormat="1">
      <alignment vertical="top"/>
    </xf>
    <xf borderId="0" fillId="0" fontId="5" numFmtId="0" xfId="0" applyAlignment="1" applyFont="1">
      <alignment horizontal="center" readingOrder="0" vertical="center"/>
    </xf>
    <xf borderId="0" fillId="0" fontId="5" numFmtId="0" xfId="0" applyAlignment="1" applyFont="1">
      <alignment shrinkToFit="0" wrapText="0"/>
    </xf>
    <xf borderId="0" fillId="0" fontId="5" numFmtId="0" xfId="0" applyAlignment="1" applyFont="1">
      <alignment horizontal="center" vertical="center"/>
    </xf>
    <xf borderId="0" fillId="0" fontId="5" numFmtId="49" xfId="0" applyFont="1" applyNumberFormat="1"/>
    <xf borderId="0" fillId="0" fontId="5" numFmtId="49" xfId="0" applyAlignment="1" applyFont="1" applyNumberFormat="1">
      <alignment shrinkToFit="0" wrapText="0"/>
    </xf>
    <xf borderId="0" fillId="0" fontId="5" numFmtId="0" xfId="0" applyAlignment="1" applyFont="1">
      <alignment readingOrder="0"/>
    </xf>
    <xf borderId="0" fillId="9" fontId="27" numFmtId="0" xfId="0" applyAlignment="1" applyFont="1">
      <alignment readingOrder="0" shrinkToFit="0" vertical="center" wrapText="0"/>
    </xf>
    <xf borderId="0" fillId="0" fontId="10" numFmtId="49" xfId="0" applyAlignment="1" applyFont="1" applyNumberFormat="1">
      <alignment shrinkToFit="0" vertical="bottom" wrapText="1"/>
    </xf>
    <xf borderId="0" fillId="9" fontId="28" numFmtId="0" xfId="0" applyAlignment="1" applyFont="1">
      <alignment horizontal="left" shrinkToFit="0" vertical="top" wrapText="0"/>
    </xf>
    <xf borderId="0" fillId="0" fontId="10" numFmtId="0" xfId="0" applyAlignment="1" applyFont="1">
      <alignment shrinkToFit="0" vertical="top" wrapText="0"/>
    </xf>
    <xf borderId="0" fillId="9" fontId="10" numFmtId="49" xfId="0" applyAlignment="1" applyFont="1" applyNumberFormat="1">
      <alignment shrinkToFit="0" vertical="top" wrapText="0"/>
    </xf>
    <xf borderId="0" fillId="0" fontId="14" numFmtId="49" xfId="0" applyAlignment="1" applyFont="1" applyNumberFormat="1">
      <alignment shrinkToFit="0" vertical="top" wrapText="0"/>
    </xf>
    <xf borderId="0" fillId="9" fontId="10" numFmtId="49" xfId="0" applyAlignment="1" applyFont="1" applyNumberFormat="1">
      <alignment shrinkToFit="0" vertical="top" wrapText="0"/>
    </xf>
    <xf borderId="0" fillId="2" fontId="5" numFmtId="0" xfId="0" applyAlignment="1" applyFont="1">
      <alignment readingOrder="0" shrinkToFit="0" wrapText="1"/>
    </xf>
    <xf borderId="0" fillId="6" fontId="12" numFmtId="0" xfId="0" applyAlignment="1" applyFont="1">
      <alignment horizontal="center" readingOrder="0" vertical="bottom"/>
    </xf>
    <xf borderId="0" fillId="6" fontId="29" numFmtId="0" xfId="0" applyAlignment="1" applyFont="1">
      <alignment horizontal="center" readingOrder="0" vertical="bottom"/>
    </xf>
    <xf borderId="0" fillId="6" fontId="29" numFmtId="0" xfId="0" applyAlignment="1" applyFont="1">
      <alignment readingOrder="0" vertical="bottom"/>
    </xf>
    <xf borderId="0" fillId="6" fontId="29" numFmtId="0" xfId="0" applyAlignment="1" applyFont="1">
      <alignment horizontal="center" readingOrder="0" vertical="bottom"/>
    </xf>
    <xf borderId="0" fillId="6" fontId="29" numFmtId="0" xfId="0" applyAlignment="1" applyFont="1">
      <alignment horizontal="center" readingOrder="0" shrinkToFit="0" vertical="bottom" wrapText="1"/>
    </xf>
    <xf borderId="0" fillId="7" fontId="0" numFmtId="0" xfId="0" applyAlignment="1" applyFont="1">
      <alignment readingOrder="0" shrinkToFit="0" wrapText="0"/>
    </xf>
    <xf borderId="0" fillId="9" fontId="0" numFmtId="0" xfId="0" applyAlignment="1" applyFont="1">
      <alignment horizontal="left" readingOrder="0" shrinkToFit="0" wrapText="0"/>
    </xf>
    <xf borderId="0" fillId="9" fontId="0" numFmtId="0" xfId="0" applyAlignment="1" applyFont="1">
      <alignment horizontal="left" readingOrder="0" shrinkToFit="0" wrapText="1"/>
    </xf>
    <xf borderId="0" fillId="7" fontId="10" numFmtId="0" xfId="0" applyAlignment="1" applyFont="1">
      <alignment horizontal="center" readingOrder="0"/>
    </xf>
    <xf borderId="0" fillId="0" fontId="30" numFmtId="0" xfId="0" applyAlignment="1" applyFont="1">
      <alignment horizontal="left" readingOrder="0" shrinkToFit="0" vertical="top" wrapText="1"/>
    </xf>
    <xf borderId="0" fillId="0" fontId="14" numFmtId="0" xfId="0" applyAlignment="1" applyFont="1">
      <alignment readingOrder="0" vertical="top"/>
    </xf>
    <xf borderId="0" fillId="0" fontId="14" numFmtId="49" xfId="0" applyAlignment="1" applyFont="1" applyNumberFormat="1">
      <alignment readingOrder="0" shrinkToFit="0" vertical="top" wrapText="1"/>
    </xf>
    <xf borderId="0" fillId="0" fontId="5" numFmtId="0" xfId="0" applyAlignment="1" applyFont="1">
      <alignment shrinkToFit="0" wrapText="0"/>
    </xf>
    <xf borderId="0" fillId="7" fontId="10" numFmtId="0" xfId="0" applyAlignment="1" applyFont="1">
      <alignment horizontal="center" readingOrder="0" vertical="center"/>
    </xf>
    <xf borderId="0" fillId="8" fontId="10" numFmtId="0" xfId="0" applyAlignment="1" applyFont="1">
      <alignment horizontal="center"/>
    </xf>
    <xf borderId="0" fillId="8" fontId="10" numFmtId="0" xfId="0" applyAlignment="1" applyFont="1">
      <alignment horizontal="center" readingOrder="0"/>
    </xf>
    <xf borderId="0" fillId="7" fontId="10" numFmtId="0" xfId="0" applyAlignment="1" applyFont="1">
      <alignment horizontal="center"/>
    </xf>
    <xf borderId="0" fillId="0" fontId="5" numFmtId="0" xfId="0" applyAlignment="1" applyFont="1">
      <alignment readingOrder="0" shrinkToFit="0" wrapText="1"/>
    </xf>
    <xf borderId="0" fillId="15" fontId="31" numFmtId="0" xfId="0" applyAlignment="1" applyFill="1" applyFont="1">
      <alignment readingOrder="0"/>
    </xf>
    <xf borderId="0" fillId="15" fontId="5" numFmtId="0" xfId="0" applyFont="1"/>
    <xf borderId="0" fillId="0" fontId="5" numFmtId="49" xfId="0" applyAlignment="1" applyFont="1" applyNumberFormat="1">
      <alignment readingOrder="0"/>
    </xf>
    <xf borderId="0" fillId="16" fontId="31" numFmtId="0" xfId="0" applyAlignment="1" applyFill="1" applyFont="1">
      <alignment readingOrder="0"/>
    </xf>
    <xf borderId="0" fillId="0" fontId="5" numFmtId="49" xfId="0" applyAlignment="1" applyFont="1" applyNumberFormat="1">
      <alignment readingOrder="0" shrinkToFit="0" vertical="top" wrapText="1"/>
    </xf>
    <xf borderId="0" fillId="0" fontId="5" numFmtId="49" xfId="0" applyAlignment="1" applyFont="1" applyNumberFormat="1">
      <alignment shrinkToFit="0" wrapText="1"/>
    </xf>
    <xf borderId="0" fillId="0" fontId="32" numFmtId="0" xfId="0" applyAlignment="1" applyFont="1">
      <alignment readingOrder="0"/>
    </xf>
    <xf borderId="0" fillId="17" fontId="31" numFmtId="0" xfId="0" applyAlignment="1" applyFill="1" applyFont="1">
      <alignment readingOrder="0"/>
    </xf>
    <xf borderId="0" fillId="17" fontId="5" numFmtId="0" xfId="0" applyFont="1"/>
    <xf borderId="0" fillId="17" fontId="5" numFmtId="0" xfId="0" applyAlignment="1" applyFont="1">
      <alignment shrinkToFit="0" wrapText="1"/>
    </xf>
    <xf borderId="0" fillId="18" fontId="31" numFmtId="0" xfId="0" applyAlignment="1" applyFill="1" applyFont="1">
      <alignment readingOrder="0" shrinkToFit="0" wrapText="0"/>
    </xf>
    <xf borderId="0" fillId="8" fontId="10" numFmtId="0" xfId="0" applyAlignment="1" applyFont="1">
      <alignment horizontal="center" shrinkToFit="0" wrapText="0"/>
    </xf>
    <xf borderId="0" fillId="0" fontId="5" numFmtId="49" xfId="0" applyAlignment="1" applyFont="1" applyNumberFormat="1">
      <alignment readingOrder="0" shrinkToFit="0" wrapText="0"/>
    </xf>
    <xf borderId="0" fillId="0" fontId="5" numFmtId="49" xfId="0" applyAlignment="1" applyFont="1" applyNumberFormat="1">
      <alignment readingOrder="0" shrinkToFit="0" wrapText="1"/>
    </xf>
    <xf borderId="0" fillId="19" fontId="31" numFmtId="0" xfId="0" applyAlignment="1" applyFill="1" applyFont="1">
      <alignment readingOrder="0"/>
    </xf>
    <xf borderId="0" fillId="0" fontId="5" numFmtId="49" xfId="0" applyAlignment="1" applyFont="1" applyNumberFormat="1">
      <alignment shrinkToFit="0" vertical="top" wrapText="1"/>
    </xf>
    <xf borderId="0" fillId="0" fontId="5" numFmtId="0" xfId="0" applyAlignment="1" applyFont="1">
      <alignment horizontal="right" readingOrder="0" shrinkToFit="0" wrapText="1"/>
    </xf>
    <xf borderId="0" fillId="0" fontId="33" numFmtId="0" xfId="0" applyAlignment="1" applyFont="1">
      <alignment horizontal="left" readingOrder="0" shrinkToFit="0" wrapText="0"/>
    </xf>
    <xf borderId="0" fillId="0" fontId="26" numFmtId="0" xfId="0" applyAlignment="1" applyFont="1">
      <alignment horizontal="center" shrinkToFit="0" wrapText="0"/>
    </xf>
    <xf borderId="0" fillId="0" fontId="34" numFmtId="0" xfId="0" applyAlignment="1" applyFont="1">
      <alignment horizontal="left" readingOrder="0" shrinkToFit="0" wrapText="0"/>
    </xf>
    <xf borderId="0" fillId="0" fontId="10" numFmtId="0" xfId="0" applyAlignment="1" applyFont="1">
      <alignment horizontal="left" readingOrder="0" shrinkToFit="0" vertical="top" wrapText="0"/>
    </xf>
    <xf borderId="0" fillId="0" fontId="10" numFmtId="0" xfId="0" applyAlignment="1" applyFont="1">
      <alignment vertical="bottom"/>
    </xf>
    <xf borderId="0" fillId="0" fontId="10" numFmtId="0" xfId="0" applyAlignment="1" applyFont="1">
      <alignment horizontal="right" vertical="bottom"/>
    </xf>
    <xf borderId="0" fillId="0" fontId="10" numFmtId="0" xfId="0" applyAlignment="1" applyFont="1">
      <alignment readingOrder="0" vertical="bottom"/>
    </xf>
    <xf borderId="0" fillId="0" fontId="35" numFmtId="0" xfId="0" applyAlignment="1" applyFont="1">
      <alignment horizontal="left" readingOrder="0" shrinkToFit="0" wrapText="0"/>
    </xf>
    <xf borderId="0" fillId="20" fontId="36" numFmtId="0" xfId="0" applyAlignment="1" applyFill="1" applyFont="1">
      <alignment horizontal="left" readingOrder="0" shrinkToFit="0" wrapText="0"/>
    </xf>
    <xf borderId="0" fillId="18" fontId="35" numFmtId="0" xfId="0" applyAlignment="1" applyFont="1">
      <alignment horizontal="left" readingOrder="0" shrinkToFit="0" wrapText="0"/>
    </xf>
    <xf borderId="0" fillId="0" fontId="5" numFmtId="0" xfId="0" applyAlignment="1" applyFont="1">
      <alignment horizontal="left" readingOrder="0" shrinkToFit="0" wrapText="0"/>
    </xf>
    <xf borderId="0" fillId="0" fontId="5" numFmtId="0" xfId="0" applyAlignment="1" applyFont="1">
      <alignment horizontal="center" shrinkToFit="0" wrapText="0"/>
    </xf>
    <xf borderId="0" fillId="0" fontId="5" numFmtId="0" xfId="0" applyAlignment="1" applyFont="1">
      <alignment horizontal="left" shrinkToFit="0" wrapText="0"/>
    </xf>
    <xf borderId="0" fillId="0" fontId="5" numFmtId="0" xfId="0" applyAlignment="1" applyFont="1">
      <alignment horizontal="left" shrinkToFit="0" vertical="top" wrapText="0"/>
    </xf>
    <xf borderId="0" fillId="21" fontId="26" numFmtId="0" xfId="0" applyAlignment="1" applyFill="1" applyFont="1">
      <alignment horizontal="center" shrinkToFit="0" wrapText="0"/>
    </xf>
    <xf borderId="0" fillId="21" fontId="26" numFmtId="49" xfId="0" applyAlignment="1" applyFont="1" applyNumberFormat="1">
      <alignment horizontal="center" shrinkToFit="0" wrapText="0"/>
    </xf>
    <xf borderId="0" fillId="0" fontId="5" numFmtId="4" xfId="0" applyAlignment="1" applyFont="1" applyNumberFormat="1">
      <alignment shrinkToFit="0" wrapText="0"/>
    </xf>
    <xf borderId="0" fillId="0" fontId="5" numFmtId="49" xfId="0" applyAlignment="1" applyFont="1" applyNumberFormat="1">
      <alignment shrinkToFit="0" wrapText="0"/>
    </xf>
    <xf borderId="0" fillId="2" fontId="5" numFmtId="0" xfId="0" applyAlignment="1" applyFont="1">
      <alignment readingOrder="0"/>
    </xf>
    <xf borderId="0" fillId="0" fontId="0" numFmtId="0" xfId="0" applyAlignment="1" applyFont="1">
      <alignment shrinkToFit="0" wrapText="0"/>
    </xf>
    <xf borderId="0" fillId="9" fontId="0" numFmtId="0" xfId="0" applyAlignment="1" applyFont="1">
      <alignment horizontal="left" readingOrder="0" shrinkToFit="0" vertical="top" wrapText="1"/>
    </xf>
    <xf borderId="0" fillId="9" fontId="37" numFmtId="0" xfId="0" applyAlignment="1" applyFont="1">
      <alignment horizontal="left"/>
    </xf>
    <xf borderId="0" fillId="0" fontId="14" numFmtId="0" xfId="0" applyAlignment="1" applyFont="1">
      <alignment horizontal="left" readingOrder="0"/>
    </xf>
    <xf borderId="0" fillId="16" fontId="38" numFmtId="0" xfId="0" applyAlignment="1" applyFont="1">
      <alignment readingOrder="0"/>
    </xf>
    <xf borderId="0" fillId="20" fontId="31" numFmtId="0" xfId="0" applyAlignment="1" applyFont="1">
      <alignment readingOrder="0"/>
    </xf>
    <xf borderId="0" fillId="16" fontId="5" numFmtId="0" xfId="0" applyFont="1"/>
    <xf borderId="0" fillId="16" fontId="39" numFmtId="0" xfId="0" applyAlignment="1" applyFont="1">
      <alignment horizontal="center" readingOrder="0" vertical="bottom"/>
    </xf>
    <xf borderId="0" fillId="16" fontId="12" numFmtId="0" xfId="0" applyAlignment="1" applyFont="1">
      <alignment horizontal="center" vertical="bottom"/>
    </xf>
    <xf borderId="0" fillId="0" fontId="12" numFmtId="0" xfId="0" applyAlignment="1" applyFont="1">
      <alignment horizontal="center" vertical="bottom"/>
    </xf>
    <xf borderId="0" fillId="0" fontId="29" numFmtId="0" xfId="0" applyAlignment="1" applyFont="1">
      <alignment horizontal="center" vertical="bottom"/>
    </xf>
    <xf borderId="0" fillId="0" fontId="29" numFmtId="0" xfId="0" applyAlignment="1" applyFont="1">
      <alignment vertical="bottom"/>
    </xf>
    <xf borderId="0" fillId="6" fontId="12" numFmtId="0" xfId="0" applyAlignment="1" applyFont="1">
      <alignment horizontal="center" vertical="bottom"/>
    </xf>
    <xf borderId="0" fillId="6" fontId="29" numFmtId="0" xfId="0" applyAlignment="1" applyFont="1">
      <alignment horizontal="center" vertical="bottom"/>
    </xf>
    <xf borderId="0" fillId="6" fontId="29" numFmtId="0" xfId="0" applyAlignment="1" applyFont="1">
      <alignment vertical="bottom"/>
    </xf>
    <xf borderId="0" fillId="0" fontId="14" numFmtId="0" xfId="0" applyAlignment="1" applyFont="1">
      <alignment shrinkToFit="0" vertical="bottom" wrapText="1"/>
    </xf>
    <xf borderId="0" fillId="0" fontId="5" numFmtId="0" xfId="0" applyAlignment="1" applyFont="1">
      <alignment readingOrder="0" shrinkToFit="0" wrapText="0"/>
    </xf>
    <xf borderId="0" fillId="0" fontId="10" numFmtId="49" xfId="0" applyAlignment="1" applyFont="1" applyNumberFormat="1">
      <alignment readingOrder="0" vertical="top"/>
    </xf>
    <xf borderId="0" fillId="0" fontId="14" numFmtId="0" xfId="0" applyAlignment="1" applyFont="1">
      <alignment horizontal="left" shrinkToFit="0" vertical="top" wrapText="0"/>
    </xf>
    <xf borderId="0" fillId="0" fontId="5" numFmtId="0" xfId="0" applyAlignment="1" applyFont="1">
      <alignment readingOrder="0" shrinkToFit="0" vertical="top" wrapText="1"/>
    </xf>
    <xf borderId="0" fillId="0" fontId="40" numFmtId="0" xfId="0" applyAlignment="1" applyFont="1">
      <alignment horizontal="center" readingOrder="0" shrinkToFit="0" wrapText="0"/>
    </xf>
    <xf borderId="0" fillId="0" fontId="40" numFmtId="0" xfId="0" applyAlignment="1" applyFont="1">
      <alignment horizontal="center" readingOrder="0" shrinkToFit="0" wrapText="0"/>
    </xf>
    <xf borderId="0" fillId="0" fontId="40" numFmtId="0" xfId="0" applyAlignment="1" applyFont="1">
      <alignment horizontal="center" shrinkToFit="0" wrapText="0"/>
    </xf>
    <xf borderId="0" fillId="0" fontId="40" numFmtId="0" xfId="0" applyAlignment="1" applyFont="1">
      <alignment horizontal="center" shrinkToFit="0" wrapText="0"/>
    </xf>
    <xf borderId="2" fillId="7" fontId="17" numFmtId="0" xfId="0" applyAlignment="1" applyBorder="1" applyFont="1">
      <alignment readingOrder="0" vertical="top"/>
    </xf>
    <xf borderId="2" fillId="22" fontId="41" numFmtId="0" xfId="0" applyAlignment="1" applyBorder="1" applyFill="1" applyFont="1">
      <alignment readingOrder="0" vertical="top"/>
    </xf>
    <xf borderId="2" fillId="23" fontId="41" numFmtId="0" xfId="0" applyAlignment="1" applyBorder="1" applyFill="1" applyFont="1">
      <alignment readingOrder="0" vertical="top"/>
    </xf>
    <xf borderId="2" fillId="0" fontId="5" numFmtId="0" xfId="0" applyAlignment="1" applyBorder="1" applyFont="1">
      <alignment vertical="top"/>
    </xf>
    <xf borderId="14" fillId="3" fontId="5" numFmtId="0" xfId="0" applyAlignment="1" applyBorder="1" applyFont="1">
      <alignment readingOrder="0" shrinkToFit="0" wrapText="0"/>
    </xf>
    <xf borderId="0" fillId="0" fontId="10" numFmtId="49" xfId="0" applyAlignment="1" applyFont="1" applyNumberFormat="1">
      <alignment vertical="bottom"/>
    </xf>
    <xf borderId="0" fillId="9" fontId="10" numFmtId="0" xfId="0" applyAlignment="1" applyFont="1">
      <alignment vertical="bottom"/>
    </xf>
    <xf borderId="0" fillId="9" fontId="10" numFmtId="49" xfId="0" applyAlignment="1" applyFont="1" applyNumberFormat="1">
      <alignment vertical="bottom"/>
    </xf>
    <xf borderId="0" fillId="9" fontId="10" numFmtId="0" xfId="0" applyAlignment="1" applyFont="1">
      <alignment horizontal="right" vertical="bottom"/>
    </xf>
    <xf borderId="0" fillId="0" fontId="10" numFmtId="0" xfId="0" applyAlignment="1" applyFont="1">
      <alignment shrinkToFit="0" vertical="bottom" wrapText="0"/>
    </xf>
    <xf borderId="0" fillId="0" fontId="10" numFmtId="0" xfId="0" applyAlignment="1" applyFont="1">
      <alignment shrinkToFit="0" vertical="bottom" wrapText="0"/>
    </xf>
    <xf borderId="0" fillId="9" fontId="10" numFmtId="49" xfId="0" applyAlignment="1" applyFont="1" applyNumberFormat="1">
      <alignment vertical="bottom"/>
    </xf>
    <xf borderId="2" fillId="0" fontId="10" numFmtId="0" xfId="0" applyAlignment="1" applyBorder="1" applyFont="1">
      <alignment shrinkToFit="0" vertical="bottom" wrapText="0"/>
    </xf>
    <xf borderId="2" fillId="0" fontId="10" numFmtId="0" xfId="0" applyAlignment="1" applyBorder="1" applyFont="1">
      <alignment shrinkToFit="0" vertical="bottom" wrapText="0"/>
    </xf>
    <xf borderId="0" fillId="19" fontId="5" numFmtId="0" xfId="0" applyAlignment="1" applyFont="1">
      <alignment shrinkToFit="0" wrapText="0"/>
    </xf>
    <xf borderId="1" fillId="0" fontId="42" numFmtId="0" xfId="0" applyAlignment="1" applyBorder="1" applyFont="1">
      <alignment horizontal="left" readingOrder="0" shrinkToFit="0" vertical="top" wrapText="0"/>
    </xf>
    <xf borderId="0" fillId="0" fontId="42" numFmtId="0" xfId="0" applyAlignment="1" applyFont="1">
      <alignment horizontal="left" readingOrder="0" shrinkToFit="0" vertical="bottom" wrapText="0"/>
    </xf>
    <xf borderId="0" fillId="0" fontId="42" numFmtId="0" xfId="0" applyAlignment="1" applyFon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219075</xdr:colOff>
      <xdr:row>0</xdr:row>
      <xdr:rowOff>19050</xdr:rowOff>
    </xdr:from>
    <xdr:ext cx="7886700" cy="4419600"/>
    <xdr:pic>
      <xdr:nvPicPr>
        <xdr:cNvPr id="0" name="image2.png" title="图片"/>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828675</xdr:colOff>
      <xdr:row>21</xdr:row>
      <xdr:rowOff>95250</xdr:rowOff>
    </xdr:from>
    <xdr:ext cx="2305050" cy="1047750"/>
    <xdr:pic>
      <xdr:nvPicPr>
        <xdr:cNvPr id="0" name="image1.png" title="图片"/>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iki.tap4fun.com/pages/viewpage.action?pageId=47186488"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Zdw-aSToWI6TCYrWSewSaGOomFWe2Djj/view?usp=shari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21.75"/>
    <col customWidth="1" min="4" max="4" width="40.63"/>
    <col customWidth="1" min="5" max="5" width="16.75"/>
    <col customWidth="1" min="6" max="6" width="12.88"/>
  </cols>
  <sheetData>
    <row r="1">
      <c r="A1" s="1" t="s">
        <v>0</v>
      </c>
    </row>
    <row r="2">
      <c r="A2" s="1" t="s">
        <v>1</v>
      </c>
    </row>
    <row r="3">
      <c r="A3" s="1" t="s">
        <v>2</v>
      </c>
    </row>
    <row r="4">
      <c r="A4" s="2" t="s">
        <v>3</v>
      </c>
    </row>
    <row r="5">
      <c r="A5" s="3" t="s">
        <v>4</v>
      </c>
      <c r="B5" s="4" t="s">
        <v>5</v>
      </c>
      <c r="C5" s="3" t="s">
        <v>6</v>
      </c>
      <c r="D5" s="4" t="s">
        <v>7</v>
      </c>
      <c r="E5" s="3" t="s">
        <v>8</v>
      </c>
      <c r="F5" s="4" t="s">
        <v>9</v>
      </c>
      <c r="J5" s="5"/>
    </row>
    <row r="6">
      <c r="A6" s="6"/>
      <c r="B6" s="4" t="s">
        <v>10</v>
      </c>
      <c r="D6" s="7" t="s">
        <v>11</v>
      </c>
      <c r="F6" s="4" t="s">
        <v>12</v>
      </c>
      <c r="J6" s="5"/>
    </row>
    <row r="7">
      <c r="A7" s="7"/>
      <c r="B7" s="4"/>
      <c r="D7" s="7" t="s">
        <v>13</v>
      </c>
      <c r="F7" s="4" t="s">
        <v>14</v>
      </c>
      <c r="J7" s="5"/>
    </row>
    <row r="8">
      <c r="A8" s="3" t="s">
        <v>15</v>
      </c>
      <c r="B8" s="4" t="s">
        <v>16</v>
      </c>
      <c r="D8" s="7" t="s">
        <v>17</v>
      </c>
      <c r="E8" s="8"/>
      <c r="F8" s="4"/>
      <c r="J8" s="5"/>
    </row>
    <row r="9">
      <c r="B9" s="4" t="s">
        <v>18</v>
      </c>
      <c r="D9" s="4" t="s">
        <v>19</v>
      </c>
      <c r="E9" s="9"/>
      <c r="F9" s="4"/>
      <c r="J9" s="5"/>
    </row>
    <row r="10">
      <c r="A10" s="4"/>
      <c r="B10" s="4"/>
      <c r="D10" s="4" t="s">
        <v>20</v>
      </c>
      <c r="E10" s="3" t="s">
        <v>21</v>
      </c>
      <c r="F10" s="4" t="s">
        <v>22</v>
      </c>
      <c r="J10" s="5"/>
    </row>
    <row r="11">
      <c r="A11" s="3" t="s">
        <v>23</v>
      </c>
      <c r="B11" s="4" t="s">
        <v>24</v>
      </c>
      <c r="D11" s="10" t="s">
        <v>25</v>
      </c>
      <c r="F11" s="4" t="s">
        <v>26</v>
      </c>
      <c r="J11" s="5"/>
    </row>
    <row r="12">
      <c r="B12" s="4" t="s">
        <v>27</v>
      </c>
      <c r="D12" s="10" t="s">
        <v>28</v>
      </c>
      <c r="E12" s="9"/>
      <c r="F12" s="4" t="s">
        <v>29</v>
      </c>
      <c r="J12" s="5"/>
    </row>
    <row r="13">
      <c r="A13" s="4"/>
      <c r="B13" s="4"/>
      <c r="D13" s="10" t="s">
        <v>30</v>
      </c>
      <c r="J13" s="5"/>
    </row>
    <row r="14">
      <c r="A14" s="3" t="s">
        <v>31</v>
      </c>
      <c r="B14" s="4" t="s">
        <v>32</v>
      </c>
      <c r="C14" s="8"/>
      <c r="D14" s="8"/>
      <c r="E14" s="11" t="s">
        <v>33</v>
      </c>
      <c r="F14" s="4" t="s">
        <v>34</v>
      </c>
      <c r="G14" s="8"/>
      <c r="H14" s="9"/>
      <c r="I14" s="9"/>
    </row>
    <row r="15">
      <c r="B15" s="4" t="s">
        <v>35</v>
      </c>
      <c r="C15" s="8"/>
      <c r="D15" s="8"/>
      <c r="F15" s="4" t="s">
        <v>36</v>
      </c>
      <c r="G15" s="8"/>
      <c r="H15" s="9"/>
      <c r="I15" s="9"/>
    </row>
    <row r="16">
      <c r="B16" s="4" t="s">
        <v>37</v>
      </c>
      <c r="C16" s="8"/>
      <c r="D16" s="8"/>
      <c r="F16" s="4" t="s">
        <v>38</v>
      </c>
      <c r="G16" s="8"/>
      <c r="H16" s="9"/>
      <c r="I16" s="9"/>
    </row>
    <row r="17" ht="18.75" customHeight="1">
      <c r="B17" s="7" t="s">
        <v>39</v>
      </c>
      <c r="C17" s="8"/>
      <c r="D17" s="8"/>
      <c r="F17" s="4" t="s">
        <v>40</v>
      </c>
      <c r="G17" s="8"/>
      <c r="H17" s="9"/>
      <c r="I17" s="9"/>
    </row>
    <row r="18" ht="21.75" customHeight="1">
      <c r="B18" s="7" t="s">
        <v>41</v>
      </c>
      <c r="C18" s="8"/>
      <c r="D18" s="8"/>
      <c r="F18" s="4" t="s">
        <v>42</v>
      </c>
      <c r="G18" s="8"/>
      <c r="H18" s="9"/>
      <c r="I18" s="9"/>
    </row>
    <row r="19">
      <c r="B19" s="4" t="s">
        <v>43</v>
      </c>
      <c r="C19" s="8"/>
      <c r="D19" s="8"/>
      <c r="E19" s="8"/>
      <c r="F19" s="12" t="s">
        <v>44</v>
      </c>
      <c r="G19" s="8"/>
      <c r="H19" s="9"/>
      <c r="I19" s="9"/>
    </row>
    <row r="20">
      <c r="B20" s="7" t="s">
        <v>45</v>
      </c>
      <c r="C20" s="8"/>
      <c r="D20" s="8"/>
      <c r="E20" s="8"/>
      <c r="F20" s="13" t="s">
        <v>46</v>
      </c>
      <c r="G20" s="8"/>
      <c r="H20" s="9"/>
      <c r="I20" s="9"/>
    </row>
    <row r="21">
      <c r="B21" s="7" t="s">
        <v>47</v>
      </c>
      <c r="C21" s="8"/>
      <c r="D21" s="8"/>
      <c r="E21" s="8"/>
      <c r="F21" s="14" t="s">
        <v>48</v>
      </c>
      <c r="G21" s="8"/>
      <c r="H21" s="9"/>
      <c r="I21" s="9"/>
    </row>
    <row r="22">
      <c r="A22" s="4"/>
      <c r="B22" s="4"/>
      <c r="C22" s="8"/>
      <c r="D22" s="8"/>
      <c r="E22" s="8"/>
      <c r="F22" s="13"/>
      <c r="G22" s="8"/>
      <c r="H22" s="9"/>
      <c r="I22" s="9"/>
    </row>
    <row r="23">
      <c r="C23" s="8"/>
      <c r="D23" s="8"/>
      <c r="E23" s="3" t="s">
        <v>49</v>
      </c>
      <c r="F23" s="5"/>
      <c r="G23" s="8"/>
      <c r="H23" s="9"/>
      <c r="I23" s="9"/>
    </row>
    <row r="24">
      <c r="C24" s="8"/>
      <c r="D24" s="8"/>
      <c r="E24" s="8"/>
      <c r="F24" s="5"/>
      <c r="G24" s="8"/>
      <c r="H24" s="9"/>
      <c r="I24" s="9"/>
    </row>
    <row r="25">
      <c r="C25" s="5"/>
      <c r="D25" s="5"/>
      <c r="E25" s="5"/>
      <c r="F25" s="5"/>
      <c r="G25" s="5"/>
    </row>
    <row r="26">
      <c r="C26" s="5"/>
      <c r="D26" s="5"/>
      <c r="E26" s="5"/>
      <c r="F26" s="5"/>
      <c r="G26" s="5"/>
    </row>
    <row r="27">
      <c r="C27" s="5"/>
      <c r="D27" s="5"/>
      <c r="E27" s="5"/>
      <c r="F27" s="5"/>
      <c r="G27" s="5"/>
    </row>
    <row r="28">
      <c r="C28" s="5"/>
      <c r="D28" s="5"/>
      <c r="E28" s="5"/>
      <c r="F28" s="5"/>
      <c r="G28" s="5"/>
    </row>
    <row r="29">
      <c r="C29" s="5"/>
      <c r="D29" s="5"/>
      <c r="E29" s="5"/>
      <c r="F29" s="5"/>
      <c r="G29" s="5"/>
    </row>
    <row r="30">
      <c r="C30" s="5"/>
      <c r="D30" s="5"/>
      <c r="E30" s="5"/>
      <c r="G30" s="5"/>
    </row>
    <row r="31">
      <c r="C31" s="5"/>
      <c r="D31" s="5"/>
      <c r="E31" s="5"/>
      <c r="G31" s="5"/>
    </row>
  </sheetData>
  <mergeCells count="11">
    <mergeCell ref="A8:A9"/>
    <mergeCell ref="A11:A12"/>
    <mergeCell ref="A14:A21"/>
    <mergeCell ref="A1:I1"/>
    <mergeCell ref="A2:I2"/>
    <mergeCell ref="A3:I3"/>
    <mergeCell ref="A4:I4"/>
    <mergeCell ref="C5:C13"/>
    <mergeCell ref="E5:E7"/>
    <mergeCell ref="E10:E11"/>
    <mergeCell ref="E14:E18"/>
  </mergeCells>
  <hyperlinks>
    <hyperlink display="版本更新" location="'2、通用邮件模板'!A3:A6" ref="A5"/>
    <hyperlink display="账号封禁" location="'2、通用邮件模板'!A31:A40" ref="C5"/>
    <hyperlink display="开服合服" location="'2、通用邮件模板'!A41:A46" ref="E5"/>
    <hyperlink display="服务器维护" location="'2、通用邮件模板'!A7:A10" ref="A8"/>
    <hyperlink display="更新调整" location="'2、通用邮件模板'!A47:A52" ref="E10"/>
    <hyperlink display="问卷调查" location="'2、通用邮件模板'!A11:A14" ref="A11"/>
    <hyperlink display="故障问题" location="'2、通用邮件模板'!A15:A30" ref="A14"/>
    <hyperlink display="活动相关&#10;&#10;更新至2021.8.13" location="'2、通用邮件模板'!A53:A62" ref="E14"/>
    <hyperlink display="问卷公告" location="'2、通用邮件模板'!72:73" ref="E2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2" max="2" width="25.75"/>
    <col customWidth="1" min="3" max="3" width="35.13"/>
    <col customWidth="1" min="4" max="14" width="29.0"/>
  </cols>
  <sheetData>
    <row r="1">
      <c r="A1" s="15" t="s">
        <v>50</v>
      </c>
      <c r="D1" s="16"/>
      <c r="E1" s="16"/>
      <c r="F1" s="16"/>
      <c r="G1" s="17"/>
      <c r="H1" s="17"/>
      <c r="I1" s="17"/>
      <c r="J1" s="17"/>
      <c r="K1" s="17"/>
      <c r="L1" s="17"/>
      <c r="M1" s="17"/>
      <c r="N1" s="17"/>
      <c r="O1" s="18"/>
      <c r="P1" s="18"/>
      <c r="Q1" s="18"/>
      <c r="R1" s="18"/>
      <c r="S1" s="18"/>
      <c r="T1" s="18"/>
      <c r="U1" s="18"/>
      <c r="V1" s="18"/>
      <c r="W1" s="18"/>
      <c r="X1" s="18"/>
      <c r="Y1" s="18"/>
      <c r="Z1" s="18"/>
      <c r="AA1" s="18"/>
      <c r="AB1" s="18"/>
      <c r="AC1" s="18"/>
      <c r="AD1" s="18"/>
    </row>
    <row r="2" ht="22.5" customHeight="1">
      <c r="A2" s="19" t="s">
        <v>51</v>
      </c>
      <c r="B2" s="19"/>
      <c r="C2" s="20" t="s">
        <v>52</v>
      </c>
      <c r="D2" s="20" t="s">
        <v>53</v>
      </c>
      <c r="E2" s="21" t="s">
        <v>54</v>
      </c>
      <c r="F2" s="21" t="s">
        <v>55</v>
      </c>
      <c r="G2" s="21" t="s">
        <v>56</v>
      </c>
      <c r="H2" s="22" t="s">
        <v>57</v>
      </c>
      <c r="I2" s="21" t="s">
        <v>58</v>
      </c>
      <c r="J2" s="21" t="s">
        <v>59</v>
      </c>
      <c r="K2" s="21" t="s">
        <v>60</v>
      </c>
      <c r="L2" s="21" t="s">
        <v>61</v>
      </c>
      <c r="M2" s="21" t="s">
        <v>62</v>
      </c>
      <c r="N2" s="21" t="s">
        <v>63</v>
      </c>
      <c r="O2" s="23" t="s">
        <v>64</v>
      </c>
      <c r="P2" s="23" t="s">
        <v>65</v>
      </c>
      <c r="Q2" s="18"/>
      <c r="R2" s="18"/>
      <c r="S2" s="18"/>
      <c r="T2" s="18"/>
      <c r="U2" s="18"/>
      <c r="V2" s="18"/>
      <c r="W2" s="18"/>
      <c r="X2" s="18"/>
      <c r="Y2" s="18"/>
      <c r="Z2" s="18"/>
      <c r="AA2" s="18"/>
    </row>
    <row r="3" ht="17.25" customHeight="1">
      <c r="A3" s="24" t="s">
        <v>4</v>
      </c>
      <c r="B3" s="25" t="s">
        <v>5</v>
      </c>
      <c r="C3" s="26" t="s">
        <v>66</v>
      </c>
      <c r="D3" s="27" t="s">
        <v>67</v>
      </c>
      <c r="E3" s="28" t="s">
        <v>68</v>
      </c>
      <c r="F3" s="27" t="s">
        <v>69</v>
      </c>
      <c r="G3" s="27" t="s">
        <v>70</v>
      </c>
      <c r="H3" s="28" t="s">
        <v>71</v>
      </c>
      <c r="I3" s="27" t="s">
        <v>72</v>
      </c>
      <c r="J3" s="27" t="s">
        <v>73</v>
      </c>
      <c r="K3" s="27" t="s">
        <v>74</v>
      </c>
      <c r="L3" s="27" t="s">
        <v>75</v>
      </c>
      <c r="M3" s="27" t="s">
        <v>76</v>
      </c>
      <c r="N3" s="27" t="s">
        <v>77</v>
      </c>
      <c r="O3" s="29"/>
      <c r="P3" s="29"/>
      <c r="Q3" s="29"/>
      <c r="R3" s="29"/>
      <c r="S3" s="29"/>
      <c r="T3" s="29"/>
      <c r="U3" s="29"/>
      <c r="V3" s="29"/>
      <c r="W3" s="29"/>
      <c r="X3" s="29"/>
      <c r="Y3" s="29"/>
      <c r="Z3" s="29"/>
      <c r="AA3" s="29"/>
      <c r="AB3" s="29"/>
      <c r="AC3" s="29"/>
      <c r="AD3" s="29"/>
    </row>
    <row r="4" ht="121.5" customHeight="1">
      <c r="C4" s="28" t="s">
        <v>78</v>
      </c>
      <c r="D4" s="27" t="s">
        <v>79</v>
      </c>
      <c r="E4" s="28" t="s">
        <v>80</v>
      </c>
      <c r="F4" s="27" t="s">
        <v>81</v>
      </c>
      <c r="G4" s="27" t="s">
        <v>82</v>
      </c>
      <c r="H4" s="28" t="s">
        <v>83</v>
      </c>
      <c r="I4" s="27" t="s">
        <v>84</v>
      </c>
      <c r="J4" s="27" t="s">
        <v>85</v>
      </c>
      <c r="K4" s="27" t="s">
        <v>86</v>
      </c>
      <c r="L4" s="27" t="s">
        <v>87</v>
      </c>
      <c r="M4" s="27" t="s">
        <v>88</v>
      </c>
      <c r="N4" s="27" t="s">
        <v>89</v>
      </c>
      <c r="O4" s="29"/>
      <c r="P4" s="29"/>
      <c r="Q4" s="29"/>
      <c r="R4" s="29"/>
      <c r="S4" s="29"/>
      <c r="T4" s="29"/>
      <c r="U4" s="29"/>
      <c r="V4" s="29"/>
      <c r="W4" s="29"/>
      <c r="X4" s="29"/>
      <c r="Y4" s="29"/>
      <c r="Z4" s="29"/>
      <c r="AA4" s="29"/>
      <c r="AB4" s="29"/>
      <c r="AC4" s="29"/>
      <c r="AD4" s="29"/>
    </row>
    <row r="5" ht="17.25" customHeight="1">
      <c r="B5" s="25" t="s">
        <v>10</v>
      </c>
      <c r="C5" s="28" t="s">
        <v>90</v>
      </c>
      <c r="D5" s="27" t="s">
        <v>91</v>
      </c>
      <c r="E5" s="28" t="s">
        <v>92</v>
      </c>
      <c r="F5" s="27" t="s">
        <v>93</v>
      </c>
      <c r="G5" s="27" t="s">
        <v>94</v>
      </c>
      <c r="H5" s="28" t="s">
        <v>95</v>
      </c>
      <c r="I5" s="27" t="s">
        <v>96</v>
      </c>
      <c r="J5" s="27" t="s">
        <v>97</v>
      </c>
      <c r="K5" s="27" t="s">
        <v>98</v>
      </c>
      <c r="L5" s="27" t="s">
        <v>99</v>
      </c>
      <c r="M5" s="27" t="s">
        <v>100</v>
      </c>
      <c r="N5" s="27" t="s">
        <v>101</v>
      </c>
      <c r="O5" s="29"/>
      <c r="P5" s="29"/>
      <c r="Q5" s="29"/>
      <c r="R5" s="29"/>
      <c r="S5" s="29"/>
      <c r="T5" s="29"/>
      <c r="U5" s="29"/>
      <c r="V5" s="29"/>
      <c r="W5" s="29"/>
      <c r="X5" s="29"/>
      <c r="Y5" s="29"/>
      <c r="Z5" s="29"/>
      <c r="AA5" s="29"/>
      <c r="AB5" s="29"/>
      <c r="AC5" s="29"/>
      <c r="AD5" s="29"/>
    </row>
    <row r="6" ht="93.0" customHeight="1">
      <c r="C6" s="28" t="s">
        <v>102</v>
      </c>
      <c r="D6" s="27" t="s">
        <v>103</v>
      </c>
      <c r="E6" s="28" t="s">
        <v>104</v>
      </c>
      <c r="F6" s="27" t="s">
        <v>105</v>
      </c>
      <c r="G6" s="27" t="s">
        <v>106</v>
      </c>
      <c r="H6" s="28" t="s">
        <v>107</v>
      </c>
      <c r="I6" s="27" t="s">
        <v>108</v>
      </c>
      <c r="J6" s="27" t="s">
        <v>109</v>
      </c>
      <c r="K6" s="27" t="s">
        <v>110</v>
      </c>
      <c r="L6" s="27" t="s">
        <v>111</v>
      </c>
      <c r="M6" s="27" t="s">
        <v>112</v>
      </c>
      <c r="N6" s="27" t="s">
        <v>113</v>
      </c>
      <c r="O6" s="29"/>
      <c r="P6" s="29"/>
      <c r="Q6" s="29"/>
      <c r="R6" s="29"/>
      <c r="S6" s="29"/>
      <c r="T6" s="29"/>
      <c r="U6" s="29"/>
      <c r="V6" s="29"/>
      <c r="W6" s="29"/>
      <c r="X6" s="29"/>
      <c r="Y6" s="29"/>
      <c r="Z6" s="29"/>
      <c r="AA6" s="29"/>
      <c r="AB6" s="29"/>
      <c r="AC6" s="29"/>
      <c r="AD6" s="29"/>
    </row>
    <row r="7" ht="17.25" customHeight="1">
      <c r="A7" s="30" t="s">
        <v>15</v>
      </c>
      <c r="B7" s="25" t="s">
        <v>16</v>
      </c>
      <c r="C7" s="28" t="s">
        <v>114</v>
      </c>
      <c r="D7" s="27" t="s">
        <v>115</v>
      </c>
      <c r="E7" s="28" t="s">
        <v>116</v>
      </c>
      <c r="F7" s="27" t="s">
        <v>117</v>
      </c>
      <c r="G7" s="27" t="s">
        <v>118</v>
      </c>
      <c r="H7" s="28" t="s">
        <v>119</v>
      </c>
      <c r="I7" s="27" t="s">
        <v>120</v>
      </c>
      <c r="J7" s="27" t="s">
        <v>121</v>
      </c>
      <c r="K7" s="27" t="s">
        <v>122</v>
      </c>
      <c r="L7" s="27" t="s">
        <v>123</v>
      </c>
      <c r="M7" s="27" t="s">
        <v>124</v>
      </c>
      <c r="N7" s="27" t="s">
        <v>125</v>
      </c>
      <c r="O7" s="29"/>
      <c r="P7" s="29"/>
      <c r="Q7" s="29"/>
      <c r="R7" s="29"/>
      <c r="S7" s="29"/>
      <c r="T7" s="29"/>
      <c r="U7" s="29"/>
      <c r="V7" s="29"/>
      <c r="W7" s="29"/>
      <c r="X7" s="29"/>
      <c r="Y7" s="29"/>
      <c r="Z7" s="29"/>
      <c r="AA7" s="29"/>
      <c r="AB7" s="29"/>
      <c r="AC7" s="29"/>
      <c r="AD7" s="29"/>
    </row>
    <row r="8" ht="101.25" customHeight="1">
      <c r="C8" s="28" t="s">
        <v>126</v>
      </c>
      <c r="D8" s="27" t="s">
        <v>127</v>
      </c>
      <c r="E8" s="28" t="s">
        <v>128</v>
      </c>
      <c r="F8" s="27" t="s">
        <v>129</v>
      </c>
      <c r="G8" s="27" t="s">
        <v>130</v>
      </c>
      <c r="H8" s="28" t="s">
        <v>131</v>
      </c>
      <c r="I8" s="27" t="s">
        <v>132</v>
      </c>
      <c r="J8" s="27" t="s">
        <v>133</v>
      </c>
      <c r="K8" s="27" t="s">
        <v>134</v>
      </c>
      <c r="L8" s="27" t="s">
        <v>135</v>
      </c>
      <c r="M8" s="27" t="s">
        <v>136</v>
      </c>
      <c r="N8" s="27" t="s">
        <v>137</v>
      </c>
      <c r="O8" s="29"/>
      <c r="P8" s="29"/>
      <c r="Q8" s="29"/>
      <c r="R8" s="29"/>
      <c r="S8" s="29"/>
      <c r="T8" s="29"/>
      <c r="U8" s="29"/>
      <c r="V8" s="29"/>
      <c r="W8" s="29"/>
      <c r="X8" s="29"/>
      <c r="Y8" s="29"/>
      <c r="Z8" s="29"/>
      <c r="AA8" s="29"/>
      <c r="AB8" s="29"/>
      <c r="AC8" s="29"/>
      <c r="AD8" s="29"/>
    </row>
    <row r="9" ht="17.25" customHeight="1">
      <c r="B9" s="25" t="s">
        <v>18</v>
      </c>
      <c r="C9" s="28" t="s">
        <v>138</v>
      </c>
      <c r="D9" s="27" t="s">
        <v>139</v>
      </c>
      <c r="E9" s="28" t="s">
        <v>140</v>
      </c>
      <c r="F9" s="27" t="s">
        <v>141</v>
      </c>
      <c r="G9" s="27" t="s">
        <v>142</v>
      </c>
      <c r="H9" s="28" t="s">
        <v>143</v>
      </c>
      <c r="I9" s="27" t="s">
        <v>144</v>
      </c>
      <c r="J9" s="27" t="s">
        <v>145</v>
      </c>
      <c r="K9" s="27" t="s">
        <v>146</v>
      </c>
      <c r="L9" s="27" t="s">
        <v>147</v>
      </c>
      <c r="M9" s="27" t="s">
        <v>148</v>
      </c>
      <c r="N9" s="27" t="s">
        <v>149</v>
      </c>
      <c r="O9" s="29"/>
      <c r="P9" s="29"/>
      <c r="Q9" s="29"/>
      <c r="R9" s="29"/>
      <c r="S9" s="29"/>
      <c r="T9" s="29"/>
      <c r="U9" s="29"/>
      <c r="V9" s="29"/>
      <c r="W9" s="29"/>
      <c r="X9" s="29"/>
      <c r="Y9" s="29"/>
      <c r="Z9" s="29"/>
      <c r="AA9" s="29"/>
      <c r="AB9" s="29"/>
      <c r="AC9" s="29"/>
      <c r="AD9" s="29"/>
    </row>
    <row r="10" ht="108.75" customHeight="1">
      <c r="C10" s="28" t="s">
        <v>150</v>
      </c>
      <c r="D10" s="27" t="s">
        <v>151</v>
      </c>
      <c r="E10" s="27" t="s">
        <v>152</v>
      </c>
      <c r="F10" s="27" t="s">
        <v>153</v>
      </c>
      <c r="G10" s="27" t="s">
        <v>154</v>
      </c>
      <c r="H10" s="28" t="s">
        <v>155</v>
      </c>
      <c r="I10" s="27" t="s">
        <v>156</v>
      </c>
      <c r="J10" s="27" t="s">
        <v>157</v>
      </c>
      <c r="K10" s="27" t="s">
        <v>158</v>
      </c>
      <c r="L10" s="27" t="s">
        <v>159</v>
      </c>
      <c r="M10" s="27" t="s">
        <v>160</v>
      </c>
      <c r="N10" s="27" t="s">
        <v>161</v>
      </c>
      <c r="O10" s="29"/>
      <c r="P10" s="29"/>
      <c r="Q10" s="29"/>
      <c r="R10" s="29"/>
      <c r="S10" s="29"/>
      <c r="T10" s="29"/>
      <c r="U10" s="29"/>
      <c r="V10" s="29"/>
      <c r="W10" s="29"/>
      <c r="X10" s="29"/>
      <c r="Y10" s="29"/>
      <c r="Z10" s="29"/>
      <c r="AA10" s="29"/>
      <c r="AB10" s="29"/>
      <c r="AC10" s="29"/>
      <c r="AD10" s="29"/>
    </row>
    <row r="11" ht="17.25" customHeight="1">
      <c r="A11" s="24" t="s">
        <v>23</v>
      </c>
      <c r="B11" s="25" t="s">
        <v>24</v>
      </c>
      <c r="C11" s="28" t="s">
        <v>23</v>
      </c>
      <c r="D11" s="27" t="s">
        <v>162</v>
      </c>
      <c r="E11" s="28" t="s">
        <v>163</v>
      </c>
      <c r="F11" s="27" t="s">
        <v>164</v>
      </c>
      <c r="G11" s="27" t="s">
        <v>165</v>
      </c>
      <c r="H11" s="28" t="s">
        <v>166</v>
      </c>
      <c r="I11" s="27" t="s">
        <v>167</v>
      </c>
      <c r="J11" s="27" t="s">
        <v>168</v>
      </c>
      <c r="K11" s="27" t="s">
        <v>169</v>
      </c>
      <c r="L11" s="27" t="s">
        <v>170</v>
      </c>
      <c r="M11" s="27" t="s">
        <v>171</v>
      </c>
      <c r="N11" s="27" t="s">
        <v>172</v>
      </c>
      <c r="O11" s="31" t="s">
        <v>173</v>
      </c>
      <c r="P11" s="32" t="s">
        <v>174</v>
      </c>
      <c r="Q11" s="33" t="s">
        <v>175</v>
      </c>
      <c r="R11" s="29"/>
      <c r="S11" s="29"/>
      <c r="T11" s="29"/>
      <c r="U11" s="29"/>
      <c r="V11" s="29"/>
      <c r="W11" s="29"/>
      <c r="X11" s="29"/>
      <c r="Y11" s="29"/>
      <c r="Z11" s="29"/>
      <c r="AA11" s="29"/>
      <c r="AB11" s="29"/>
      <c r="AC11" s="29"/>
      <c r="AD11" s="29"/>
    </row>
    <row r="12" ht="121.5" customHeight="1">
      <c r="C12" s="28" t="s">
        <v>176</v>
      </c>
      <c r="D12" s="27" t="s">
        <v>177</v>
      </c>
      <c r="E12" s="27" t="s">
        <v>178</v>
      </c>
      <c r="F12" s="27" t="s">
        <v>179</v>
      </c>
      <c r="G12" s="27" t="s">
        <v>180</v>
      </c>
      <c r="H12" s="28" t="s">
        <v>181</v>
      </c>
      <c r="I12" s="27" t="s">
        <v>182</v>
      </c>
      <c r="J12" s="27" t="s">
        <v>183</v>
      </c>
      <c r="K12" s="27" t="s">
        <v>184</v>
      </c>
      <c r="L12" s="27" t="s">
        <v>185</v>
      </c>
      <c r="M12" s="27" t="s">
        <v>186</v>
      </c>
      <c r="N12" s="27" t="s">
        <v>187</v>
      </c>
      <c r="O12" s="31" t="s">
        <v>188</v>
      </c>
      <c r="P12" s="32" t="s">
        <v>189</v>
      </c>
      <c r="Q12" s="33" t="s">
        <v>190</v>
      </c>
      <c r="R12" s="29"/>
      <c r="S12" s="29"/>
      <c r="T12" s="29"/>
      <c r="U12" s="29"/>
      <c r="V12" s="29"/>
      <c r="W12" s="29"/>
      <c r="X12" s="29"/>
      <c r="Y12" s="29"/>
      <c r="Z12" s="29"/>
      <c r="AA12" s="29"/>
      <c r="AB12" s="29"/>
      <c r="AC12" s="29"/>
      <c r="AD12" s="29"/>
    </row>
    <row r="13" ht="17.25" customHeight="1">
      <c r="B13" s="25" t="s">
        <v>191</v>
      </c>
      <c r="C13" s="28" t="s">
        <v>27</v>
      </c>
      <c r="D13" s="27" t="s">
        <v>192</v>
      </c>
      <c r="E13" s="28" t="s">
        <v>193</v>
      </c>
      <c r="F13" s="27" t="s">
        <v>194</v>
      </c>
      <c r="G13" s="27" t="s">
        <v>195</v>
      </c>
      <c r="H13" s="28" t="s">
        <v>196</v>
      </c>
      <c r="I13" s="27" t="s">
        <v>197</v>
      </c>
      <c r="J13" s="27" t="s">
        <v>198</v>
      </c>
      <c r="K13" s="27" t="s">
        <v>199</v>
      </c>
      <c r="L13" s="27" t="s">
        <v>200</v>
      </c>
      <c r="M13" s="27" t="s">
        <v>201</v>
      </c>
      <c r="N13" s="27" t="s">
        <v>202</v>
      </c>
      <c r="O13" s="31" t="s">
        <v>203</v>
      </c>
      <c r="P13" s="32" t="s">
        <v>204</v>
      </c>
      <c r="Q13" s="33" t="s">
        <v>205</v>
      </c>
      <c r="R13" s="29"/>
      <c r="S13" s="29"/>
      <c r="T13" s="29"/>
      <c r="U13" s="29"/>
      <c r="V13" s="29"/>
      <c r="W13" s="29"/>
      <c r="X13" s="29"/>
      <c r="Y13" s="29"/>
      <c r="Z13" s="29"/>
      <c r="AA13" s="29"/>
      <c r="AB13" s="29"/>
      <c r="AC13" s="29"/>
      <c r="AD13" s="29"/>
    </row>
    <row r="14" ht="91.5" customHeight="1">
      <c r="C14" s="28" t="s">
        <v>206</v>
      </c>
      <c r="D14" s="27" t="s">
        <v>207</v>
      </c>
      <c r="E14" s="28" t="s">
        <v>208</v>
      </c>
      <c r="F14" s="27" t="s">
        <v>209</v>
      </c>
      <c r="G14" s="27" t="s">
        <v>210</v>
      </c>
      <c r="H14" s="28" t="s">
        <v>211</v>
      </c>
      <c r="I14" s="27" t="s">
        <v>212</v>
      </c>
      <c r="J14" s="27" t="s">
        <v>213</v>
      </c>
      <c r="K14" s="27" t="s">
        <v>214</v>
      </c>
      <c r="L14" s="27" t="s">
        <v>215</v>
      </c>
      <c r="M14" s="27" t="s">
        <v>216</v>
      </c>
      <c r="N14" s="27" t="s">
        <v>217</v>
      </c>
      <c r="O14" s="31" t="s">
        <v>218</v>
      </c>
      <c r="P14" s="32" t="s">
        <v>219</v>
      </c>
      <c r="Q14" s="33" t="s">
        <v>220</v>
      </c>
      <c r="R14" s="29"/>
      <c r="S14" s="29"/>
      <c r="T14" s="29"/>
      <c r="U14" s="29"/>
      <c r="V14" s="29"/>
      <c r="W14" s="29"/>
      <c r="X14" s="29"/>
      <c r="Y14" s="29"/>
      <c r="Z14" s="29"/>
      <c r="AA14" s="29"/>
      <c r="AB14" s="29"/>
      <c r="AC14" s="29"/>
      <c r="AD14" s="29"/>
    </row>
    <row r="15" ht="17.25" customHeight="1">
      <c r="A15" s="30" t="s">
        <v>31</v>
      </c>
      <c r="B15" s="25" t="s">
        <v>32</v>
      </c>
      <c r="C15" s="28" t="s">
        <v>221</v>
      </c>
      <c r="D15" s="27" t="s">
        <v>222</v>
      </c>
      <c r="E15" s="28" t="s">
        <v>223</v>
      </c>
      <c r="F15" s="27" t="s">
        <v>224</v>
      </c>
      <c r="G15" s="27" t="s">
        <v>225</v>
      </c>
      <c r="H15" s="28" t="s">
        <v>226</v>
      </c>
      <c r="I15" s="27" t="s">
        <v>227</v>
      </c>
      <c r="J15" s="27" t="s">
        <v>228</v>
      </c>
      <c r="K15" s="27" t="s">
        <v>229</v>
      </c>
      <c r="L15" s="27" t="s">
        <v>230</v>
      </c>
      <c r="M15" s="27" t="s">
        <v>231</v>
      </c>
      <c r="N15" s="27" t="s">
        <v>232</v>
      </c>
      <c r="O15" s="29"/>
      <c r="P15" s="29"/>
      <c r="Q15" s="29"/>
      <c r="R15" s="29"/>
      <c r="S15" s="29"/>
      <c r="T15" s="29"/>
      <c r="U15" s="29"/>
      <c r="V15" s="29"/>
      <c r="W15" s="29"/>
      <c r="X15" s="29"/>
      <c r="Y15" s="29"/>
      <c r="Z15" s="29"/>
      <c r="AA15" s="29"/>
      <c r="AB15" s="29"/>
      <c r="AC15" s="29"/>
      <c r="AD15" s="29"/>
    </row>
    <row r="16" ht="123.0" customHeight="1">
      <c r="C16" s="28" t="s">
        <v>233</v>
      </c>
      <c r="D16" s="27" t="s">
        <v>234</v>
      </c>
      <c r="E16" s="28" t="s">
        <v>235</v>
      </c>
      <c r="F16" s="27" t="s">
        <v>236</v>
      </c>
      <c r="G16" s="27" t="s">
        <v>237</v>
      </c>
      <c r="H16" s="28" t="s">
        <v>238</v>
      </c>
      <c r="I16" s="27" t="s">
        <v>239</v>
      </c>
      <c r="J16" s="27" t="s">
        <v>240</v>
      </c>
      <c r="K16" s="27" t="s">
        <v>241</v>
      </c>
      <c r="L16" s="27" t="s">
        <v>242</v>
      </c>
      <c r="M16" s="27" t="s">
        <v>243</v>
      </c>
      <c r="N16" s="27" t="s">
        <v>244</v>
      </c>
      <c r="O16" s="29"/>
      <c r="P16" s="29"/>
      <c r="Q16" s="29"/>
      <c r="R16" s="29"/>
      <c r="S16" s="29"/>
      <c r="T16" s="29"/>
      <c r="U16" s="29"/>
      <c r="V16" s="29"/>
      <c r="W16" s="29"/>
      <c r="X16" s="29"/>
      <c r="Y16" s="29"/>
      <c r="Z16" s="29"/>
      <c r="AA16" s="29"/>
      <c r="AB16" s="29"/>
      <c r="AC16" s="29"/>
      <c r="AD16" s="29"/>
    </row>
    <row r="17" ht="17.25" customHeight="1">
      <c r="B17" s="25" t="s">
        <v>35</v>
      </c>
      <c r="C17" s="28" t="s">
        <v>245</v>
      </c>
      <c r="D17" s="27" t="s">
        <v>246</v>
      </c>
      <c r="E17" s="28" t="s">
        <v>247</v>
      </c>
      <c r="F17" s="27" t="s">
        <v>248</v>
      </c>
      <c r="G17" s="27" t="s">
        <v>249</v>
      </c>
      <c r="H17" s="28" t="s">
        <v>250</v>
      </c>
      <c r="I17" s="27" t="s">
        <v>251</v>
      </c>
      <c r="J17" s="27" t="s">
        <v>252</v>
      </c>
      <c r="K17" s="27" t="s">
        <v>253</v>
      </c>
      <c r="L17" s="27" t="s">
        <v>254</v>
      </c>
      <c r="M17" s="27" t="s">
        <v>255</v>
      </c>
      <c r="N17" s="27" t="s">
        <v>256</v>
      </c>
      <c r="O17" s="29"/>
      <c r="P17" s="29"/>
      <c r="Q17" s="29"/>
      <c r="R17" s="29"/>
      <c r="S17" s="29"/>
      <c r="T17" s="29"/>
      <c r="U17" s="29"/>
      <c r="V17" s="29"/>
      <c r="W17" s="29"/>
      <c r="X17" s="29"/>
      <c r="Y17" s="29"/>
      <c r="Z17" s="29"/>
      <c r="AA17" s="29"/>
      <c r="AB17" s="29"/>
      <c r="AC17" s="29"/>
      <c r="AD17" s="29"/>
    </row>
    <row r="18" ht="101.25" customHeight="1">
      <c r="C18" s="28" t="s">
        <v>257</v>
      </c>
      <c r="D18" s="27" t="s">
        <v>258</v>
      </c>
      <c r="E18" s="28" t="s">
        <v>259</v>
      </c>
      <c r="F18" s="27" t="s">
        <v>260</v>
      </c>
      <c r="G18" s="27" t="s">
        <v>261</v>
      </c>
      <c r="H18" s="28" t="s">
        <v>262</v>
      </c>
      <c r="I18" s="27" t="s">
        <v>263</v>
      </c>
      <c r="J18" s="27" t="s">
        <v>264</v>
      </c>
      <c r="K18" s="27" t="s">
        <v>265</v>
      </c>
      <c r="L18" s="27" t="s">
        <v>266</v>
      </c>
      <c r="M18" s="27" t="s">
        <v>267</v>
      </c>
      <c r="N18" s="27" t="s">
        <v>268</v>
      </c>
      <c r="O18" s="29"/>
      <c r="P18" s="29"/>
      <c r="Q18" s="29"/>
      <c r="R18" s="29"/>
      <c r="S18" s="29"/>
      <c r="T18" s="29"/>
      <c r="U18" s="29"/>
      <c r="V18" s="29"/>
      <c r="W18" s="29"/>
      <c r="X18" s="29"/>
      <c r="Y18" s="29"/>
      <c r="Z18" s="29"/>
      <c r="AA18" s="29"/>
      <c r="AB18" s="29"/>
      <c r="AC18" s="29"/>
      <c r="AD18" s="29"/>
    </row>
    <row r="19" ht="17.25" customHeight="1">
      <c r="B19" s="25" t="s">
        <v>37</v>
      </c>
      <c r="C19" s="28" t="s">
        <v>245</v>
      </c>
      <c r="D19" s="27" t="s">
        <v>246</v>
      </c>
      <c r="E19" s="28" t="s">
        <v>247</v>
      </c>
      <c r="F19" s="27" t="s">
        <v>248</v>
      </c>
      <c r="G19" s="27" t="s">
        <v>249</v>
      </c>
      <c r="H19" s="28" t="s">
        <v>250</v>
      </c>
      <c r="I19" s="27" t="s">
        <v>251</v>
      </c>
      <c r="J19" s="27" t="s">
        <v>252</v>
      </c>
      <c r="K19" s="27" t="s">
        <v>253</v>
      </c>
      <c r="L19" s="27" t="s">
        <v>254</v>
      </c>
      <c r="M19" s="27" t="s">
        <v>255</v>
      </c>
      <c r="N19" s="27" t="s">
        <v>256</v>
      </c>
      <c r="O19" s="29"/>
      <c r="P19" s="29"/>
      <c r="Q19" s="29"/>
      <c r="R19" s="29"/>
      <c r="S19" s="29"/>
      <c r="T19" s="29"/>
      <c r="U19" s="29"/>
      <c r="V19" s="29"/>
      <c r="W19" s="29"/>
      <c r="X19" s="29"/>
      <c r="Y19" s="29"/>
      <c r="Z19" s="29"/>
      <c r="AA19" s="29"/>
      <c r="AB19" s="29"/>
      <c r="AC19" s="29"/>
      <c r="AD19" s="29"/>
    </row>
    <row r="20" ht="120.0" customHeight="1">
      <c r="C20" s="28" t="s">
        <v>269</v>
      </c>
      <c r="D20" s="27" t="s">
        <v>270</v>
      </c>
      <c r="E20" s="28" t="s">
        <v>271</v>
      </c>
      <c r="F20" s="27" t="s">
        <v>272</v>
      </c>
      <c r="G20" s="27" t="s">
        <v>273</v>
      </c>
      <c r="H20" s="28" t="s">
        <v>274</v>
      </c>
      <c r="I20" s="27" t="s">
        <v>275</v>
      </c>
      <c r="J20" s="27" t="s">
        <v>276</v>
      </c>
      <c r="K20" s="27" t="s">
        <v>277</v>
      </c>
      <c r="L20" s="27" t="s">
        <v>278</v>
      </c>
      <c r="M20" s="27" t="s">
        <v>279</v>
      </c>
      <c r="N20" s="27" t="s">
        <v>280</v>
      </c>
      <c r="O20" s="29"/>
      <c r="P20" s="29"/>
      <c r="Q20" s="29"/>
      <c r="R20" s="29"/>
      <c r="S20" s="29"/>
      <c r="T20" s="29"/>
      <c r="U20" s="29"/>
      <c r="V20" s="29"/>
      <c r="W20" s="29"/>
      <c r="X20" s="29"/>
      <c r="Y20" s="29"/>
      <c r="Z20" s="29"/>
      <c r="AA20" s="29"/>
      <c r="AB20" s="29"/>
      <c r="AC20" s="29"/>
      <c r="AD20" s="29"/>
    </row>
    <row r="21" ht="17.25" customHeight="1">
      <c r="B21" s="25" t="s">
        <v>39</v>
      </c>
      <c r="C21" s="28" t="s">
        <v>281</v>
      </c>
      <c r="D21" s="27" t="s">
        <v>282</v>
      </c>
      <c r="E21" s="28" t="s">
        <v>283</v>
      </c>
      <c r="F21" s="27" t="s">
        <v>284</v>
      </c>
      <c r="G21" s="27" t="s">
        <v>285</v>
      </c>
      <c r="H21" s="28" t="s">
        <v>286</v>
      </c>
      <c r="I21" s="27" t="s">
        <v>287</v>
      </c>
      <c r="J21" s="27" t="s">
        <v>288</v>
      </c>
      <c r="K21" s="27" t="s">
        <v>289</v>
      </c>
      <c r="L21" s="27" t="s">
        <v>290</v>
      </c>
      <c r="M21" s="27" t="s">
        <v>291</v>
      </c>
      <c r="N21" s="27" t="s">
        <v>292</v>
      </c>
      <c r="O21" s="29"/>
      <c r="P21" s="29"/>
      <c r="Q21" s="29"/>
      <c r="R21" s="29"/>
      <c r="S21" s="29"/>
      <c r="T21" s="29"/>
      <c r="U21" s="29"/>
      <c r="V21" s="29"/>
      <c r="W21" s="29"/>
      <c r="X21" s="29"/>
      <c r="Y21" s="29"/>
      <c r="Z21" s="29"/>
      <c r="AA21" s="29"/>
      <c r="AB21" s="29"/>
      <c r="AC21" s="29"/>
      <c r="AD21" s="29"/>
    </row>
    <row r="22" ht="104.25" customHeight="1">
      <c r="C22" s="28" t="s">
        <v>293</v>
      </c>
      <c r="D22" s="27" t="s">
        <v>294</v>
      </c>
      <c r="E22" s="28" t="s">
        <v>295</v>
      </c>
      <c r="F22" s="27" t="s">
        <v>296</v>
      </c>
      <c r="G22" s="27" t="s">
        <v>297</v>
      </c>
      <c r="H22" s="28" t="s">
        <v>298</v>
      </c>
      <c r="I22" s="27" t="s">
        <v>299</v>
      </c>
      <c r="J22" s="27" t="s">
        <v>300</v>
      </c>
      <c r="K22" s="27" t="s">
        <v>301</v>
      </c>
      <c r="L22" s="27" t="s">
        <v>302</v>
      </c>
      <c r="M22" s="27" t="s">
        <v>303</v>
      </c>
      <c r="N22" s="27" t="s">
        <v>304</v>
      </c>
      <c r="O22" s="34"/>
      <c r="P22" s="34"/>
      <c r="Q22" s="34"/>
      <c r="R22" s="34"/>
      <c r="S22" s="34"/>
      <c r="T22" s="34"/>
      <c r="U22" s="34"/>
      <c r="V22" s="34"/>
      <c r="W22" s="34"/>
      <c r="X22" s="34"/>
      <c r="Y22" s="34"/>
      <c r="Z22" s="34"/>
      <c r="AA22" s="34"/>
      <c r="AB22" s="34"/>
      <c r="AC22" s="34"/>
      <c r="AD22" s="34"/>
    </row>
    <row r="23" ht="17.25" customHeight="1">
      <c r="B23" s="13" t="s">
        <v>41</v>
      </c>
      <c r="C23" s="28" t="s">
        <v>305</v>
      </c>
      <c r="D23" s="27" t="s">
        <v>306</v>
      </c>
      <c r="E23" s="28" t="s">
        <v>307</v>
      </c>
      <c r="F23" s="27" t="s">
        <v>308</v>
      </c>
      <c r="G23" s="27" t="s">
        <v>309</v>
      </c>
      <c r="H23" s="28" t="s">
        <v>310</v>
      </c>
      <c r="I23" s="27" t="s">
        <v>311</v>
      </c>
      <c r="J23" s="27" t="s">
        <v>312</v>
      </c>
      <c r="K23" s="27" t="s">
        <v>313</v>
      </c>
      <c r="L23" s="27" t="s">
        <v>314</v>
      </c>
      <c r="M23" s="27" t="s">
        <v>315</v>
      </c>
      <c r="N23" s="27" t="s">
        <v>316</v>
      </c>
      <c r="O23" s="34"/>
      <c r="P23" s="34"/>
      <c r="Q23" s="34"/>
      <c r="R23" s="34"/>
      <c r="S23" s="34"/>
      <c r="T23" s="34"/>
      <c r="U23" s="34"/>
      <c r="V23" s="34"/>
      <c r="W23" s="34"/>
      <c r="X23" s="34"/>
      <c r="Y23" s="34"/>
      <c r="Z23" s="34"/>
      <c r="AA23" s="34"/>
      <c r="AB23" s="34"/>
      <c r="AC23" s="34"/>
      <c r="AD23" s="34"/>
    </row>
    <row r="24" ht="141.0" customHeight="1">
      <c r="C24" s="28" t="s">
        <v>317</v>
      </c>
      <c r="D24" s="27" t="s">
        <v>318</v>
      </c>
      <c r="E24" s="28" t="s">
        <v>319</v>
      </c>
      <c r="F24" s="27" t="s">
        <v>320</v>
      </c>
      <c r="G24" s="27" t="s">
        <v>321</v>
      </c>
      <c r="H24" s="28" t="s">
        <v>322</v>
      </c>
      <c r="I24" s="27" t="s">
        <v>323</v>
      </c>
      <c r="J24" s="27" t="s">
        <v>324</v>
      </c>
      <c r="K24" s="27" t="s">
        <v>325</v>
      </c>
      <c r="L24" s="27" t="s">
        <v>326</v>
      </c>
      <c r="M24" s="27" t="s">
        <v>327</v>
      </c>
      <c r="N24" s="27" t="s">
        <v>328</v>
      </c>
      <c r="O24" s="34"/>
      <c r="P24" s="34"/>
      <c r="Q24" s="34"/>
      <c r="R24" s="34"/>
      <c r="S24" s="34"/>
      <c r="T24" s="34"/>
      <c r="U24" s="34"/>
      <c r="V24" s="34"/>
      <c r="W24" s="34"/>
      <c r="X24" s="34"/>
      <c r="Y24" s="34"/>
      <c r="Z24" s="34"/>
      <c r="AA24" s="34"/>
      <c r="AB24" s="34"/>
      <c r="AC24" s="34"/>
      <c r="AD24" s="34"/>
    </row>
    <row r="25" ht="17.25" customHeight="1">
      <c r="B25" s="13" t="s">
        <v>43</v>
      </c>
      <c r="C25" s="28" t="s">
        <v>329</v>
      </c>
      <c r="D25" s="27" t="s">
        <v>330</v>
      </c>
      <c r="E25" s="28" t="s">
        <v>331</v>
      </c>
      <c r="F25" s="27" t="s">
        <v>332</v>
      </c>
      <c r="G25" s="35" t="s">
        <v>333</v>
      </c>
      <c r="H25" s="28" t="s">
        <v>334</v>
      </c>
      <c r="I25" s="27" t="s">
        <v>335</v>
      </c>
      <c r="J25" s="27" t="s">
        <v>336</v>
      </c>
      <c r="K25" s="27" t="s">
        <v>337</v>
      </c>
      <c r="L25" s="27" t="s">
        <v>338</v>
      </c>
      <c r="M25" s="27" t="s">
        <v>339</v>
      </c>
      <c r="N25" s="27" t="s">
        <v>340</v>
      </c>
      <c r="O25" s="34"/>
      <c r="P25" s="34"/>
      <c r="Q25" s="34"/>
      <c r="R25" s="34"/>
      <c r="S25" s="34"/>
      <c r="T25" s="34"/>
      <c r="U25" s="34"/>
      <c r="V25" s="34"/>
      <c r="W25" s="34"/>
      <c r="X25" s="34"/>
      <c r="Y25" s="34"/>
      <c r="Z25" s="34"/>
      <c r="AA25" s="34"/>
      <c r="AB25" s="34"/>
      <c r="AC25" s="34"/>
      <c r="AD25" s="34"/>
    </row>
    <row r="26" ht="91.5" customHeight="1">
      <c r="C26" s="28" t="s">
        <v>341</v>
      </c>
      <c r="D26" s="27" t="s">
        <v>342</v>
      </c>
      <c r="E26" s="28" t="s">
        <v>343</v>
      </c>
      <c r="F26" s="27" t="s">
        <v>344</v>
      </c>
      <c r="G26" s="35" t="s">
        <v>345</v>
      </c>
      <c r="H26" s="28" t="s">
        <v>346</v>
      </c>
      <c r="I26" s="27" t="s">
        <v>347</v>
      </c>
      <c r="J26" s="27" t="s">
        <v>348</v>
      </c>
      <c r="K26" s="27" t="s">
        <v>349</v>
      </c>
      <c r="L26" s="27" t="s">
        <v>350</v>
      </c>
      <c r="M26" s="27" t="s">
        <v>351</v>
      </c>
      <c r="N26" s="27" t="s">
        <v>352</v>
      </c>
      <c r="O26" s="34"/>
      <c r="P26" s="34"/>
      <c r="Q26" s="34"/>
      <c r="R26" s="34"/>
      <c r="S26" s="34"/>
      <c r="T26" s="34"/>
      <c r="U26" s="34"/>
      <c r="V26" s="34"/>
      <c r="W26" s="34"/>
      <c r="X26" s="34"/>
      <c r="Y26" s="34"/>
      <c r="Z26" s="34"/>
      <c r="AA26" s="34"/>
      <c r="AB26" s="34"/>
      <c r="AC26" s="34"/>
      <c r="AD26" s="34"/>
    </row>
    <row r="27" ht="17.25" customHeight="1">
      <c r="B27" s="36" t="s">
        <v>353</v>
      </c>
      <c r="C27" s="28" t="s">
        <v>354</v>
      </c>
      <c r="D27" s="27" t="s">
        <v>355</v>
      </c>
      <c r="E27" s="28" t="s">
        <v>356</v>
      </c>
      <c r="F27" s="27" t="s">
        <v>357</v>
      </c>
      <c r="G27" s="35" t="s">
        <v>358</v>
      </c>
      <c r="H27" s="28" t="s">
        <v>359</v>
      </c>
      <c r="I27" s="27" t="s">
        <v>360</v>
      </c>
      <c r="J27" s="27" t="s">
        <v>361</v>
      </c>
      <c r="K27" s="27" t="s">
        <v>362</v>
      </c>
      <c r="L27" s="27" t="s">
        <v>363</v>
      </c>
      <c r="M27" s="27" t="s">
        <v>364</v>
      </c>
      <c r="N27" s="27" t="s">
        <v>365</v>
      </c>
      <c r="O27" s="34"/>
      <c r="P27" s="34"/>
      <c r="Q27" s="34"/>
      <c r="R27" s="34"/>
      <c r="S27" s="34"/>
      <c r="T27" s="34"/>
      <c r="U27" s="34"/>
      <c r="V27" s="34"/>
      <c r="W27" s="34"/>
      <c r="X27" s="34"/>
      <c r="Y27" s="34"/>
      <c r="Z27" s="34"/>
      <c r="AA27" s="34"/>
      <c r="AB27" s="34"/>
      <c r="AC27" s="34"/>
      <c r="AD27" s="34"/>
    </row>
    <row r="28" ht="77.25" customHeight="1">
      <c r="C28" s="28" t="s">
        <v>366</v>
      </c>
      <c r="D28" s="27" t="s">
        <v>367</v>
      </c>
      <c r="E28" s="28" t="s">
        <v>368</v>
      </c>
      <c r="F28" s="27" t="s">
        <v>369</v>
      </c>
      <c r="G28" s="35" t="s">
        <v>370</v>
      </c>
      <c r="H28" s="28" t="s">
        <v>371</v>
      </c>
      <c r="I28" s="27" t="s">
        <v>372</v>
      </c>
      <c r="J28" s="27" t="s">
        <v>373</v>
      </c>
      <c r="K28" s="27" t="s">
        <v>374</v>
      </c>
      <c r="L28" s="27" t="s">
        <v>375</v>
      </c>
      <c r="M28" s="27" t="s">
        <v>376</v>
      </c>
      <c r="N28" s="27" t="s">
        <v>377</v>
      </c>
      <c r="O28" s="37"/>
      <c r="P28" s="37"/>
      <c r="Q28" s="37"/>
      <c r="R28" s="37"/>
      <c r="S28" s="37"/>
      <c r="T28" s="37"/>
      <c r="U28" s="37"/>
      <c r="V28" s="37"/>
      <c r="W28" s="37"/>
      <c r="X28" s="37"/>
      <c r="Y28" s="37"/>
      <c r="Z28" s="37"/>
      <c r="AA28" s="37"/>
      <c r="AB28" s="37"/>
      <c r="AC28" s="37"/>
      <c r="AD28" s="37"/>
    </row>
    <row r="29" ht="17.25" customHeight="1">
      <c r="B29" s="38" t="s">
        <v>47</v>
      </c>
      <c r="C29" s="28" t="s">
        <v>378</v>
      </c>
      <c r="D29" s="27" t="s">
        <v>379</v>
      </c>
      <c r="E29" s="28" t="s">
        <v>380</v>
      </c>
      <c r="F29" s="27" t="s">
        <v>381</v>
      </c>
      <c r="G29" s="35" t="s">
        <v>382</v>
      </c>
      <c r="H29" s="28" t="s">
        <v>383</v>
      </c>
      <c r="I29" s="27" t="s">
        <v>384</v>
      </c>
      <c r="J29" s="27" t="s">
        <v>385</v>
      </c>
      <c r="K29" s="27" t="s">
        <v>386</v>
      </c>
      <c r="L29" s="27" t="s">
        <v>387</v>
      </c>
      <c r="M29" s="27" t="s">
        <v>388</v>
      </c>
      <c r="N29" s="27" t="s">
        <v>389</v>
      </c>
      <c r="O29" s="34"/>
      <c r="P29" s="34"/>
      <c r="Q29" s="34"/>
      <c r="R29" s="34"/>
      <c r="S29" s="34"/>
      <c r="T29" s="34"/>
      <c r="U29" s="34"/>
      <c r="V29" s="34"/>
      <c r="W29" s="34"/>
      <c r="X29" s="34"/>
      <c r="Y29" s="34"/>
      <c r="Z29" s="34"/>
      <c r="AA29" s="34"/>
      <c r="AB29" s="34"/>
      <c r="AC29" s="34"/>
      <c r="AD29" s="34"/>
    </row>
    <row r="30" ht="109.5" customHeight="1">
      <c r="C30" s="28" t="s">
        <v>390</v>
      </c>
      <c r="D30" s="27" t="s">
        <v>391</v>
      </c>
      <c r="E30" s="28" t="s">
        <v>392</v>
      </c>
      <c r="F30" s="27" t="s">
        <v>393</v>
      </c>
      <c r="G30" s="35" t="s">
        <v>394</v>
      </c>
      <c r="H30" s="28" t="s">
        <v>395</v>
      </c>
      <c r="I30" s="27" t="s">
        <v>396</v>
      </c>
      <c r="J30" s="27" t="s">
        <v>397</v>
      </c>
      <c r="K30" s="27" t="s">
        <v>398</v>
      </c>
      <c r="L30" s="27" t="s">
        <v>399</v>
      </c>
      <c r="M30" s="27" t="s">
        <v>400</v>
      </c>
      <c r="N30" s="27" t="s">
        <v>401</v>
      </c>
      <c r="O30" s="34"/>
      <c r="P30" s="34"/>
      <c r="Q30" s="34"/>
      <c r="R30" s="34"/>
      <c r="S30" s="34"/>
      <c r="T30" s="34"/>
      <c r="U30" s="34"/>
      <c r="V30" s="34"/>
      <c r="W30" s="34"/>
      <c r="X30" s="34"/>
      <c r="Y30" s="34"/>
      <c r="Z30" s="34"/>
      <c r="AA30" s="34"/>
      <c r="AB30" s="34"/>
      <c r="AC30" s="34"/>
      <c r="AD30" s="34"/>
    </row>
    <row r="31" ht="109.5" customHeight="1">
      <c r="B31" s="38" t="s">
        <v>44</v>
      </c>
      <c r="C31" s="32" t="s">
        <v>44</v>
      </c>
      <c r="D31" s="32" t="s">
        <v>402</v>
      </c>
      <c r="E31" s="38" t="s">
        <v>403</v>
      </c>
      <c r="F31" s="38" t="s">
        <v>404</v>
      </c>
      <c r="G31" s="39" t="s">
        <v>405</v>
      </c>
      <c r="H31" s="38" t="s">
        <v>406</v>
      </c>
      <c r="I31" s="38" t="s">
        <v>407</v>
      </c>
      <c r="J31" s="38" t="s">
        <v>408</v>
      </c>
      <c r="K31" s="38" t="s">
        <v>409</v>
      </c>
      <c r="L31" s="38" t="s">
        <v>410</v>
      </c>
      <c r="M31" s="38" t="s">
        <v>411</v>
      </c>
      <c r="N31" s="38" t="s">
        <v>412</v>
      </c>
      <c r="O31" s="40"/>
      <c r="P31" s="40"/>
      <c r="Q31" s="40"/>
      <c r="R31" s="40"/>
      <c r="S31" s="40"/>
      <c r="T31" s="40"/>
      <c r="U31" s="40"/>
      <c r="V31" s="40"/>
      <c r="W31" s="40"/>
      <c r="X31" s="40"/>
      <c r="Y31" s="40"/>
      <c r="Z31" s="40"/>
      <c r="AA31" s="40"/>
      <c r="AB31" s="40"/>
      <c r="AC31" s="40"/>
      <c r="AD31" s="40"/>
    </row>
    <row r="32" ht="109.5" customHeight="1">
      <c r="C32" s="32" t="s">
        <v>413</v>
      </c>
      <c r="D32" s="32" t="s">
        <v>414</v>
      </c>
      <c r="E32" s="41" t="s">
        <v>415</v>
      </c>
      <c r="F32" s="41" t="s">
        <v>416</v>
      </c>
      <c r="G32" s="42" t="s">
        <v>417</v>
      </c>
      <c r="H32" s="41" t="s">
        <v>418</v>
      </c>
      <c r="I32" s="41" t="s">
        <v>419</v>
      </c>
      <c r="J32" s="41" t="s">
        <v>420</v>
      </c>
      <c r="K32" s="41" t="s">
        <v>421</v>
      </c>
      <c r="L32" s="41" t="s">
        <v>422</v>
      </c>
      <c r="M32" s="41" t="s">
        <v>423</v>
      </c>
      <c r="N32" s="41" t="s">
        <v>424</v>
      </c>
      <c r="O32" s="40"/>
      <c r="P32" s="40"/>
      <c r="Q32" s="40"/>
      <c r="R32" s="40"/>
      <c r="S32" s="40"/>
      <c r="T32" s="40"/>
      <c r="U32" s="40"/>
      <c r="V32" s="40"/>
      <c r="W32" s="40"/>
      <c r="X32" s="40"/>
      <c r="Y32" s="40"/>
      <c r="Z32" s="40"/>
      <c r="AA32" s="40"/>
      <c r="AB32" s="40"/>
      <c r="AC32" s="40"/>
      <c r="AD32" s="40"/>
    </row>
    <row r="33" ht="17.25" customHeight="1">
      <c r="A33" s="43" t="s">
        <v>6</v>
      </c>
      <c r="B33" s="13" t="s">
        <v>7</v>
      </c>
      <c r="C33" s="28" t="s">
        <v>425</v>
      </c>
      <c r="D33" s="27" t="s">
        <v>426</v>
      </c>
      <c r="E33" s="28" t="s">
        <v>427</v>
      </c>
      <c r="F33" s="27" t="s">
        <v>428</v>
      </c>
      <c r="G33" s="27" t="s">
        <v>429</v>
      </c>
      <c r="H33" s="28" t="s">
        <v>430</v>
      </c>
      <c r="I33" s="27" t="s">
        <v>431</v>
      </c>
      <c r="J33" s="27" t="s">
        <v>432</v>
      </c>
      <c r="K33" s="27" t="s">
        <v>433</v>
      </c>
      <c r="L33" s="27" t="s">
        <v>434</v>
      </c>
      <c r="M33" s="27" t="s">
        <v>435</v>
      </c>
      <c r="N33" s="27" t="s">
        <v>436</v>
      </c>
      <c r="O33" s="44"/>
      <c r="P33" s="45"/>
      <c r="Q33" s="46"/>
      <c r="R33" s="34"/>
      <c r="S33" s="34"/>
      <c r="T33" s="34"/>
      <c r="U33" s="34"/>
      <c r="V33" s="34"/>
      <c r="W33" s="34"/>
      <c r="X33" s="34"/>
      <c r="Y33" s="34"/>
      <c r="Z33" s="34"/>
      <c r="AA33" s="34"/>
      <c r="AB33" s="34"/>
      <c r="AC33" s="34"/>
      <c r="AD33" s="34"/>
    </row>
    <row r="34" ht="117.0" customHeight="1">
      <c r="C34" s="28" t="s">
        <v>437</v>
      </c>
      <c r="D34" s="27" t="s">
        <v>438</v>
      </c>
      <c r="E34" s="27" t="s">
        <v>439</v>
      </c>
      <c r="F34" s="27" t="s">
        <v>440</v>
      </c>
      <c r="G34" s="27" t="s">
        <v>441</v>
      </c>
      <c r="H34" s="28" t="s">
        <v>442</v>
      </c>
      <c r="I34" s="27" t="s">
        <v>443</v>
      </c>
      <c r="J34" s="27" t="s">
        <v>444</v>
      </c>
      <c r="K34" s="27" t="s">
        <v>445</v>
      </c>
      <c r="L34" s="27" t="s">
        <v>446</v>
      </c>
      <c r="M34" s="27" t="s">
        <v>447</v>
      </c>
      <c r="N34" s="27" t="s">
        <v>448</v>
      </c>
      <c r="O34" s="44"/>
      <c r="P34" s="45"/>
      <c r="Q34" s="46"/>
      <c r="R34" s="34"/>
      <c r="S34" s="34"/>
      <c r="T34" s="34"/>
      <c r="U34" s="34"/>
      <c r="V34" s="34"/>
      <c r="W34" s="34"/>
      <c r="X34" s="34"/>
      <c r="Y34" s="34"/>
      <c r="Z34" s="34"/>
      <c r="AA34" s="34"/>
      <c r="AB34" s="34"/>
      <c r="AC34" s="34"/>
      <c r="AD34" s="34"/>
    </row>
    <row r="35" ht="17.25" customHeight="1">
      <c r="B35" s="13" t="s">
        <v>11</v>
      </c>
      <c r="C35" s="28" t="s">
        <v>425</v>
      </c>
      <c r="D35" s="27" t="s">
        <v>426</v>
      </c>
      <c r="E35" s="28" t="s">
        <v>427</v>
      </c>
      <c r="F35" s="27" t="s">
        <v>428</v>
      </c>
      <c r="G35" s="27" t="s">
        <v>429</v>
      </c>
      <c r="H35" s="28" t="s">
        <v>430</v>
      </c>
      <c r="I35" s="27" t="s">
        <v>431</v>
      </c>
      <c r="J35" s="27" t="s">
        <v>432</v>
      </c>
      <c r="K35" s="27" t="s">
        <v>433</v>
      </c>
      <c r="L35" s="27" t="s">
        <v>434</v>
      </c>
      <c r="M35" s="27" t="s">
        <v>435</v>
      </c>
      <c r="N35" s="27" t="s">
        <v>436</v>
      </c>
      <c r="O35" s="44"/>
      <c r="P35" s="45"/>
      <c r="Q35" s="46"/>
      <c r="R35" s="34"/>
      <c r="S35" s="34"/>
      <c r="T35" s="34"/>
      <c r="U35" s="34"/>
      <c r="V35" s="34"/>
      <c r="W35" s="34"/>
      <c r="X35" s="34"/>
      <c r="Y35" s="34"/>
      <c r="Z35" s="34"/>
      <c r="AA35" s="34"/>
      <c r="AB35" s="34"/>
      <c r="AC35" s="34"/>
      <c r="AD35" s="34"/>
    </row>
    <row r="36" ht="101.25" customHeight="1">
      <c r="C36" s="28" t="s">
        <v>449</v>
      </c>
      <c r="D36" s="27" t="s">
        <v>450</v>
      </c>
      <c r="E36" s="28" t="s">
        <v>451</v>
      </c>
      <c r="F36" s="27" t="s">
        <v>452</v>
      </c>
      <c r="G36" s="27" t="s">
        <v>453</v>
      </c>
      <c r="H36" s="28" t="s">
        <v>454</v>
      </c>
      <c r="I36" s="27" t="s">
        <v>455</v>
      </c>
      <c r="J36" s="27" t="s">
        <v>456</v>
      </c>
      <c r="K36" s="27" t="s">
        <v>457</v>
      </c>
      <c r="L36" s="27" t="s">
        <v>458</v>
      </c>
      <c r="M36" s="27" t="s">
        <v>459</v>
      </c>
      <c r="N36" s="27" t="s">
        <v>460</v>
      </c>
      <c r="O36" s="44"/>
      <c r="P36" s="45"/>
      <c r="Q36" s="46"/>
      <c r="R36" s="34"/>
      <c r="S36" s="34"/>
      <c r="T36" s="34"/>
      <c r="U36" s="34"/>
      <c r="V36" s="34"/>
      <c r="W36" s="34"/>
      <c r="X36" s="34"/>
      <c r="Y36" s="34"/>
      <c r="Z36" s="34"/>
      <c r="AA36" s="34"/>
      <c r="AB36" s="34"/>
      <c r="AC36" s="34"/>
      <c r="AD36" s="34"/>
    </row>
    <row r="37" ht="17.25" customHeight="1">
      <c r="B37" s="47" t="s">
        <v>25</v>
      </c>
      <c r="C37" s="28" t="s">
        <v>461</v>
      </c>
      <c r="D37" s="27" t="s">
        <v>462</v>
      </c>
      <c r="E37" s="28" t="s">
        <v>463</v>
      </c>
      <c r="F37" s="27" t="s">
        <v>464</v>
      </c>
      <c r="G37" s="27" t="s">
        <v>465</v>
      </c>
      <c r="H37" s="28" t="s">
        <v>466</v>
      </c>
      <c r="I37" s="27" t="s">
        <v>467</v>
      </c>
      <c r="J37" s="27" t="s">
        <v>468</v>
      </c>
      <c r="K37" s="27" t="s">
        <v>469</v>
      </c>
      <c r="L37" s="27" t="s">
        <v>470</v>
      </c>
      <c r="M37" s="27" t="s">
        <v>471</v>
      </c>
      <c r="N37" s="27" t="s">
        <v>472</v>
      </c>
      <c r="O37" s="44"/>
      <c r="P37" s="45"/>
      <c r="Q37" s="46"/>
      <c r="R37" s="34"/>
      <c r="S37" s="34"/>
      <c r="T37" s="34"/>
      <c r="U37" s="34"/>
      <c r="V37" s="34"/>
      <c r="W37" s="34"/>
      <c r="X37" s="34"/>
      <c r="Y37" s="34"/>
      <c r="Z37" s="34"/>
      <c r="AA37" s="34"/>
      <c r="AB37" s="34"/>
      <c r="AC37" s="34"/>
      <c r="AD37" s="34"/>
    </row>
    <row r="38" ht="115.5" customHeight="1">
      <c r="C38" s="28" t="s">
        <v>473</v>
      </c>
      <c r="D38" s="27" t="s">
        <v>474</v>
      </c>
      <c r="E38" s="28" t="s">
        <v>475</v>
      </c>
      <c r="F38" s="27" t="s">
        <v>476</v>
      </c>
      <c r="G38" s="27" t="s">
        <v>477</v>
      </c>
      <c r="H38" s="28" t="s">
        <v>478</v>
      </c>
      <c r="I38" s="27" t="s">
        <v>479</v>
      </c>
      <c r="J38" s="27" t="s">
        <v>480</v>
      </c>
      <c r="K38" s="27" t="s">
        <v>481</v>
      </c>
      <c r="L38" s="27" t="s">
        <v>482</v>
      </c>
      <c r="M38" s="27" t="s">
        <v>483</v>
      </c>
      <c r="N38" s="27" t="s">
        <v>484</v>
      </c>
      <c r="O38" s="44"/>
      <c r="P38" s="45"/>
      <c r="Q38" s="46"/>
      <c r="R38" s="34"/>
      <c r="S38" s="34"/>
      <c r="T38" s="34"/>
      <c r="U38" s="34"/>
      <c r="V38" s="34"/>
      <c r="W38" s="34"/>
      <c r="X38" s="34"/>
      <c r="Y38" s="34"/>
      <c r="Z38" s="34"/>
      <c r="AA38" s="34"/>
      <c r="AB38" s="34"/>
      <c r="AC38" s="34"/>
      <c r="AD38" s="34"/>
    </row>
    <row r="39" ht="17.25" customHeight="1">
      <c r="B39" s="47" t="s">
        <v>28</v>
      </c>
      <c r="C39" s="28" t="s">
        <v>485</v>
      </c>
      <c r="D39" s="27" t="s">
        <v>486</v>
      </c>
      <c r="E39" s="28" t="s">
        <v>487</v>
      </c>
      <c r="F39" s="27" t="s">
        <v>488</v>
      </c>
      <c r="G39" s="27" t="s">
        <v>489</v>
      </c>
      <c r="H39" s="28" t="s">
        <v>490</v>
      </c>
      <c r="I39" s="27" t="s">
        <v>491</v>
      </c>
      <c r="J39" s="27" t="s">
        <v>492</v>
      </c>
      <c r="K39" s="27" t="s">
        <v>493</v>
      </c>
      <c r="L39" s="27" t="s">
        <v>494</v>
      </c>
      <c r="M39" s="27" t="s">
        <v>495</v>
      </c>
      <c r="N39" s="27" t="s">
        <v>496</v>
      </c>
      <c r="O39" s="44"/>
      <c r="P39" s="45"/>
      <c r="Q39" s="46"/>
      <c r="R39" s="34"/>
      <c r="S39" s="34"/>
      <c r="T39" s="34"/>
      <c r="U39" s="34"/>
      <c r="V39" s="34"/>
      <c r="W39" s="34"/>
      <c r="X39" s="34"/>
      <c r="Y39" s="34"/>
      <c r="Z39" s="34"/>
      <c r="AA39" s="34"/>
      <c r="AB39" s="34"/>
      <c r="AC39" s="34"/>
      <c r="AD39" s="34"/>
    </row>
    <row r="40" ht="117.75" customHeight="1">
      <c r="C40" s="28" t="s">
        <v>497</v>
      </c>
      <c r="D40" s="27" t="s">
        <v>498</v>
      </c>
      <c r="E40" s="28" t="s">
        <v>499</v>
      </c>
      <c r="F40" s="27" t="s">
        <v>500</v>
      </c>
      <c r="G40" s="27" t="s">
        <v>501</v>
      </c>
      <c r="H40" s="28" t="s">
        <v>502</v>
      </c>
      <c r="I40" s="27" t="s">
        <v>503</v>
      </c>
      <c r="J40" s="27" t="s">
        <v>504</v>
      </c>
      <c r="K40" s="27" t="s">
        <v>505</v>
      </c>
      <c r="L40" s="27" t="s">
        <v>506</v>
      </c>
      <c r="M40" s="27" t="s">
        <v>507</v>
      </c>
      <c r="N40" s="27" t="s">
        <v>508</v>
      </c>
      <c r="O40" s="44"/>
      <c r="P40" s="45"/>
      <c r="Q40" s="46"/>
      <c r="R40" s="34"/>
      <c r="S40" s="34"/>
      <c r="T40" s="34"/>
      <c r="U40" s="34"/>
      <c r="V40" s="34"/>
      <c r="W40" s="34"/>
      <c r="X40" s="34"/>
      <c r="Y40" s="34"/>
      <c r="Z40" s="34"/>
      <c r="AA40" s="34"/>
      <c r="AB40" s="34"/>
      <c r="AC40" s="34"/>
      <c r="AD40" s="34"/>
    </row>
    <row r="41" ht="17.25" customHeight="1">
      <c r="B41" s="12" t="s">
        <v>30</v>
      </c>
      <c r="C41" s="28" t="s">
        <v>509</v>
      </c>
      <c r="D41" s="27" t="s">
        <v>510</v>
      </c>
      <c r="E41" s="28" t="s">
        <v>511</v>
      </c>
      <c r="F41" s="27" t="s">
        <v>512</v>
      </c>
      <c r="G41" s="27" t="s">
        <v>513</v>
      </c>
      <c r="H41" s="28" t="s">
        <v>514</v>
      </c>
      <c r="I41" s="27" t="s">
        <v>515</v>
      </c>
      <c r="J41" s="27" t="s">
        <v>516</v>
      </c>
      <c r="K41" s="27" t="s">
        <v>517</v>
      </c>
      <c r="L41" s="27" t="s">
        <v>518</v>
      </c>
      <c r="M41" s="27" t="s">
        <v>519</v>
      </c>
      <c r="N41" s="27" t="s">
        <v>520</v>
      </c>
      <c r="O41" s="44"/>
      <c r="P41" s="45"/>
      <c r="Q41" s="46"/>
      <c r="R41" s="34"/>
      <c r="S41" s="34"/>
      <c r="T41" s="34"/>
      <c r="U41" s="34"/>
      <c r="V41" s="34"/>
      <c r="W41" s="34"/>
      <c r="X41" s="34"/>
      <c r="Y41" s="34"/>
      <c r="Z41" s="34"/>
      <c r="AA41" s="34"/>
      <c r="AB41" s="34"/>
      <c r="AC41" s="34"/>
      <c r="AD41" s="34"/>
    </row>
    <row r="42" ht="91.5" customHeight="1">
      <c r="C42" s="27" t="s">
        <v>521</v>
      </c>
      <c r="D42" s="27" t="s">
        <v>522</v>
      </c>
      <c r="E42" s="27" t="s">
        <v>523</v>
      </c>
      <c r="F42" s="27" t="s">
        <v>524</v>
      </c>
      <c r="G42" s="27" t="s">
        <v>525</v>
      </c>
      <c r="H42" s="28" t="s">
        <v>526</v>
      </c>
      <c r="I42" s="27" t="s">
        <v>527</v>
      </c>
      <c r="J42" s="27" t="s">
        <v>528</v>
      </c>
      <c r="K42" s="27" t="s">
        <v>529</v>
      </c>
      <c r="L42" s="27" t="s">
        <v>530</v>
      </c>
      <c r="M42" s="27" t="s">
        <v>531</v>
      </c>
      <c r="N42" s="27" t="s">
        <v>532</v>
      </c>
      <c r="O42" s="44"/>
      <c r="P42" s="45"/>
      <c r="Q42" s="46"/>
      <c r="R42" s="34"/>
      <c r="S42" s="34"/>
      <c r="T42" s="34"/>
      <c r="U42" s="34"/>
      <c r="V42" s="34"/>
      <c r="W42" s="34"/>
      <c r="X42" s="34"/>
      <c r="Y42" s="34"/>
      <c r="Z42" s="34"/>
      <c r="AA42" s="34"/>
      <c r="AB42" s="34"/>
      <c r="AC42" s="34"/>
      <c r="AD42" s="34"/>
    </row>
    <row r="43" ht="17.25" customHeight="1">
      <c r="A43" s="30" t="s">
        <v>8</v>
      </c>
      <c r="B43" s="13" t="s">
        <v>9</v>
      </c>
      <c r="C43" s="28" t="s">
        <v>533</v>
      </c>
      <c r="D43" s="27" t="s">
        <v>534</v>
      </c>
      <c r="E43" s="28" t="s">
        <v>535</v>
      </c>
      <c r="F43" s="27" t="s">
        <v>536</v>
      </c>
      <c r="G43" s="27" t="s">
        <v>537</v>
      </c>
      <c r="H43" s="28" t="s">
        <v>538</v>
      </c>
      <c r="I43" s="27" t="s">
        <v>539</v>
      </c>
      <c r="J43" s="27" t="s">
        <v>540</v>
      </c>
      <c r="K43" s="27" t="s">
        <v>541</v>
      </c>
      <c r="L43" s="27" t="s">
        <v>542</v>
      </c>
      <c r="M43" s="27" t="s">
        <v>543</v>
      </c>
      <c r="N43" s="27" t="s">
        <v>544</v>
      </c>
      <c r="O43" s="44"/>
      <c r="P43" s="45"/>
      <c r="Q43" s="46"/>
      <c r="R43" s="34"/>
      <c r="S43" s="34"/>
      <c r="T43" s="34"/>
      <c r="U43" s="34"/>
      <c r="V43" s="34"/>
      <c r="W43" s="34"/>
      <c r="X43" s="34"/>
      <c r="Y43" s="34"/>
      <c r="Z43" s="34"/>
      <c r="AA43" s="34"/>
      <c r="AB43" s="34"/>
      <c r="AC43" s="34"/>
      <c r="AD43" s="34"/>
    </row>
    <row r="44" ht="72.75" customHeight="1">
      <c r="C44" s="48" t="s">
        <v>545</v>
      </c>
      <c r="D44" s="27" t="s">
        <v>546</v>
      </c>
      <c r="E44" s="28" t="s">
        <v>547</v>
      </c>
      <c r="F44" s="27" t="s">
        <v>548</v>
      </c>
      <c r="G44" s="27" t="s">
        <v>549</v>
      </c>
      <c r="H44" s="28" t="s">
        <v>550</v>
      </c>
      <c r="I44" s="27" t="s">
        <v>551</v>
      </c>
      <c r="J44" s="27" t="s">
        <v>552</v>
      </c>
      <c r="K44" s="27" t="s">
        <v>553</v>
      </c>
      <c r="L44" s="27" t="s">
        <v>554</v>
      </c>
      <c r="M44" s="27" t="s">
        <v>555</v>
      </c>
      <c r="N44" s="27" t="s">
        <v>556</v>
      </c>
      <c r="O44" s="44"/>
      <c r="P44" s="45"/>
      <c r="Q44" s="46"/>
      <c r="R44" s="34"/>
      <c r="S44" s="34"/>
      <c r="T44" s="34"/>
      <c r="U44" s="34"/>
      <c r="V44" s="34"/>
      <c r="W44" s="34"/>
      <c r="X44" s="34"/>
      <c r="Y44" s="34"/>
      <c r="Z44" s="34"/>
      <c r="AA44" s="34"/>
      <c r="AB44" s="34"/>
      <c r="AC44" s="34"/>
      <c r="AD44" s="34"/>
    </row>
    <row r="45" ht="17.25" customHeight="1">
      <c r="B45" s="13" t="s">
        <v>12</v>
      </c>
      <c r="C45" s="48" t="s">
        <v>557</v>
      </c>
      <c r="D45" s="27" t="s">
        <v>558</v>
      </c>
      <c r="E45" s="49" t="s">
        <v>559</v>
      </c>
      <c r="F45" s="27" t="s">
        <v>560</v>
      </c>
      <c r="G45" s="27" t="s">
        <v>561</v>
      </c>
      <c r="H45" s="28" t="s">
        <v>562</v>
      </c>
      <c r="I45" s="27" t="s">
        <v>563</v>
      </c>
      <c r="J45" s="27" t="s">
        <v>564</v>
      </c>
      <c r="K45" s="27" t="s">
        <v>565</v>
      </c>
      <c r="L45" s="27" t="s">
        <v>566</v>
      </c>
      <c r="M45" s="27" t="s">
        <v>567</v>
      </c>
      <c r="N45" s="27" t="s">
        <v>568</v>
      </c>
      <c r="O45" s="44"/>
      <c r="P45" s="45"/>
      <c r="Q45" s="46"/>
      <c r="R45" s="34"/>
      <c r="S45" s="34"/>
      <c r="T45" s="34"/>
      <c r="U45" s="34"/>
      <c r="V45" s="34"/>
      <c r="W45" s="34"/>
      <c r="X45" s="34"/>
      <c r="Y45" s="34"/>
      <c r="Z45" s="34"/>
      <c r="AA45" s="34"/>
      <c r="AB45" s="34"/>
      <c r="AC45" s="34"/>
      <c r="AD45" s="34"/>
    </row>
    <row r="46" ht="106.5" customHeight="1">
      <c r="C46" s="48" t="s">
        <v>569</v>
      </c>
      <c r="D46" s="27" t="s">
        <v>570</v>
      </c>
      <c r="E46" s="28" t="s">
        <v>571</v>
      </c>
      <c r="F46" s="27" t="s">
        <v>572</v>
      </c>
      <c r="G46" s="27" t="s">
        <v>573</v>
      </c>
      <c r="H46" s="28" t="s">
        <v>574</v>
      </c>
      <c r="I46" s="27" t="s">
        <v>575</v>
      </c>
      <c r="J46" s="27" t="s">
        <v>576</v>
      </c>
      <c r="K46" s="27" t="s">
        <v>577</v>
      </c>
      <c r="L46" s="27" t="s">
        <v>578</v>
      </c>
      <c r="M46" s="27" t="s">
        <v>579</v>
      </c>
      <c r="N46" s="27" t="s">
        <v>580</v>
      </c>
      <c r="O46" s="44"/>
      <c r="P46" s="45"/>
      <c r="Q46" s="46"/>
      <c r="R46" s="34"/>
      <c r="S46" s="34"/>
      <c r="T46" s="34"/>
      <c r="U46" s="34"/>
      <c r="V46" s="34"/>
      <c r="W46" s="34"/>
      <c r="X46" s="34"/>
      <c r="Y46" s="34"/>
      <c r="Z46" s="34"/>
      <c r="AA46" s="34"/>
      <c r="AB46" s="34"/>
      <c r="AC46" s="34"/>
      <c r="AD46" s="34"/>
    </row>
    <row r="47" ht="17.25" customHeight="1">
      <c r="B47" s="12" t="s">
        <v>14</v>
      </c>
      <c r="C47" s="28" t="s">
        <v>14</v>
      </c>
      <c r="D47" s="27" t="s">
        <v>581</v>
      </c>
      <c r="E47" s="28" t="s">
        <v>582</v>
      </c>
      <c r="F47" s="27" t="s">
        <v>583</v>
      </c>
      <c r="G47" s="27" t="s">
        <v>584</v>
      </c>
      <c r="H47" s="28" t="s">
        <v>585</v>
      </c>
      <c r="I47" s="27" t="s">
        <v>586</v>
      </c>
      <c r="J47" s="27" t="s">
        <v>587</v>
      </c>
      <c r="K47" s="27" t="s">
        <v>588</v>
      </c>
      <c r="L47" s="27" t="s">
        <v>589</v>
      </c>
      <c r="M47" s="27" t="s">
        <v>590</v>
      </c>
      <c r="N47" s="27" t="s">
        <v>591</v>
      </c>
      <c r="O47" s="44"/>
      <c r="P47" s="45"/>
      <c r="Q47" s="46"/>
      <c r="R47" s="34"/>
      <c r="S47" s="34"/>
      <c r="T47" s="34"/>
      <c r="U47" s="34"/>
      <c r="V47" s="34"/>
      <c r="W47" s="34"/>
      <c r="X47" s="34"/>
      <c r="Y47" s="34"/>
      <c r="Z47" s="34"/>
      <c r="AA47" s="34"/>
      <c r="AB47" s="34"/>
      <c r="AC47" s="34"/>
      <c r="AD47" s="34"/>
    </row>
    <row r="48" ht="87.0" customHeight="1">
      <c r="C48" s="28" t="s">
        <v>592</v>
      </c>
      <c r="D48" s="27" t="s">
        <v>593</v>
      </c>
      <c r="E48" s="28" t="s">
        <v>594</v>
      </c>
      <c r="F48" s="27" t="s">
        <v>595</v>
      </c>
      <c r="G48" s="27" t="s">
        <v>596</v>
      </c>
      <c r="H48" s="28" t="s">
        <v>597</v>
      </c>
      <c r="I48" s="27" t="s">
        <v>598</v>
      </c>
      <c r="J48" s="27" t="s">
        <v>599</v>
      </c>
      <c r="K48" s="27" t="s">
        <v>600</v>
      </c>
      <c r="L48" s="27" t="s">
        <v>601</v>
      </c>
      <c r="M48" s="27" t="s">
        <v>602</v>
      </c>
      <c r="N48" s="27" t="s">
        <v>603</v>
      </c>
      <c r="O48" s="44"/>
      <c r="P48" s="45"/>
      <c r="Q48" s="46"/>
      <c r="R48" s="34"/>
      <c r="S48" s="34"/>
      <c r="T48" s="34"/>
      <c r="U48" s="34"/>
      <c r="V48" s="34"/>
      <c r="W48" s="34"/>
      <c r="X48" s="34"/>
      <c r="Y48" s="34"/>
      <c r="Z48" s="34"/>
      <c r="AA48" s="34"/>
      <c r="AB48" s="34"/>
      <c r="AC48" s="34"/>
      <c r="AD48" s="34"/>
    </row>
    <row r="49" ht="17.25" customHeight="1">
      <c r="A49" s="50" t="s">
        <v>21</v>
      </c>
      <c r="B49" s="12" t="s">
        <v>22</v>
      </c>
      <c r="C49" s="27" t="s">
        <v>604</v>
      </c>
      <c r="D49" s="27" t="s">
        <v>605</v>
      </c>
      <c r="E49" s="28" t="s">
        <v>606</v>
      </c>
      <c r="F49" s="27" t="s">
        <v>607</v>
      </c>
      <c r="G49" s="27" t="s">
        <v>608</v>
      </c>
      <c r="H49" s="28" t="s">
        <v>609</v>
      </c>
      <c r="I49" s="27" t="s">
        <v>610</v>
      </c>
      <c r="J49" s="27" t="s">
        <v>611</v>
      </c>
      <c r="K49" s="27" t="s">
        <v>612</v>
      </c>
      <c r="L49" s="27" t="s">
        <v>613</v>
      </c>
      <c r="M49" s="27" t="s">
        <v>614</v>
      </c>
      <c r="N49" s="27" t="s">
        <v>615</v>
      </c>
      <c r="O49" s="44"/>
      <c r="P49" s="45"/>
      <c r="Q49" s="46"/>
      <c r="R49" s="34"/>
      <c r="S49" s="34"/>
      <c r="T49" s="34"/>
      <c r="U49" s="34"/>
      <c r="V49" s="34"/>
      <c r="W49" s="34"/>
      <c r="X49" s="34"/>
      <c r="Y49" s="34"/>
      <c r="Z49" s="34"/>
      <c r="AA49" s="34"/>
      <c r="AB49" s="34"/>
      <c r="AC49" s="34"/>
      <c r="AD49" s="34"/>
    </row>
    <row r="50" ht="104.25" customHeight="1">
      <c r="C50" s="27" t="s">
        <v>616</v>
      </c>
      <c r="D50" s="27" t="s">
        <v>617</v>
      </c>
      <c r="E50" s="27" t="s">
        <v>618</v>
      </c>
      <c r="F50" s="27" t="s">
        <v>619</v>
      </c>
      <c r="G50" s="27" t="s">
        <v>620</v>
      </c>
      <c r="H50" s="28" t="s">
        <v>621</v>
      </c>
      <c r="I50" s="27" t="s">
        <v>622</v>
      </c>
      <c r="J50" s="27" t="s">
        <v>623</v>
      </c>
      <c r="K50" s="27" t="s">
        <v>624</v>
      </c>
      <c r="L50" s="27" t="s">
        <v>625</v>
      </c>
      <c r="M50" s="27" t="s">
        <v>626</v>
      </c>
      <c r="N50" s="27" t="s">
        <v>627</v>
      </c>
      <c r="O50" s="44"/>
      <c r="P50" s="45"/>
      <c r="Q50" s="46"/>
      <c r="R50" s="34"/>
      <c r="S50" s="34"/>
      <c r="T50" s="34"/>
      <c r="U50" s="34"/>
      <c r="V50" s="34"/>
      <c r="W50" s="34"/>
      <c r="X50" s="34"/>
      <c r="Y50" s="34"/>
      <c r="Z50" s="34"/>
      <c r="AA50" s="34"/>
      <c r="AB50" s="34"/>
      <c r="AC50" s="34"/>
      <c r="AD50" s="34"/>
    </row>
    <row r="51" ht="17.25" customHeight="1">
      <c r="B51" s="13" t="s">
        <v>26</v>
      </c>
      <c r="C51" s="28" t="s">
        <v>628</v>
      </c>
      <c r="D51" s="27" t="s">
        <v>629</v>
      </c>
      <c r="E51" s="28" t="s">
        <v>630</v>
      </c>
      <c r="F51" s="27" t="s">
        <v>631</v>
      </c>
      <c r="G51" s="27" t="s">
        <v>632</v>
      </c>
      <c r="H51" s="28" t="s">
        <v>633</v>
      </c>
      <c r="I51" s="27" t="s">
        <v>634</v>
      </c>
      <c r="J51" s="27" t="s">
        <v>635</v>
      </c>
      <c r="K51" s="27" t="s">
        <v>636</v>
      </c>
      <c r="L51" s="27" t="s">
        <v>637</v>
      </c>
      <c r="M51" s="27" t="s">
        <v>638</v>
      </c>
      <c r="N51" s="27" t="s">
        <v>639</v>
      </c>
      <c r="O51" s="44"/>
      <c r="P51" s="44"/>
      <c r="Q51" s="5"/>
      <c r="R51" s="34"/>
      <c r="S51" s="34"/>
      <c r="T51" s="34"/>
      <c r="U51" s="34"/>
      <c r="V51" s="34"/>
      <c r="W51" s="34"/>
      <c r="X51" s="34"/>
      <c r="Y51" s="34"/>
      <c r="Z51" s="34"/>
      <c r="AA51" s="34"/>
      <c r="AB51" s="34"/>
      <c r="AC51" s="34"/>
      <c r="AD51" s="34"/>
    </row>
    <row r="52" ht="114.0" customHeight="1">
      <c r="C52" s="28" t="s">
        <v>640</v>
      </c>
      <c r="D52" s="27" t="s">
        <v>641</v>
      </c>
      <c r="E52" s="28" t="s">
        <v>642</v>
      </c>
      <c r="F52" s="27" t="s">
        <v>643</v>
      </c>
      <c r="G52" s="27" t="s">
        <v>644</v>
      </c>
      <c r="H52" s="28" t="s">
        <v>645</v>
      </c>
      <c r="I52" s="27" t="s">
        <v>646</v>
      </c>
      <c r="J52" s="27" t="s">
        <v>647</v>
      </c>
      <c r="K52" s="27" t="s">
        <v>648</v>
      </c>
      <c r="L52" s="27" t="s">
        <v>649</v>
      </c>
      <c r="M52" s="27" t="s">
        <v>650</v>
      </c>
      <c r="N52" s="27" t="s">
        <v>651</v>
      </c>
      <c r="O52" s="44"/>
      <c r="P52" s="44"/>
      <c r="Q52" s="5"/>
      <c r="R52" s="34"/>
      <c r="S52" s="34"/>
      <c r="T52" s="34"/>
      <c r="U52" s="34"/>
      <c r="V52" s="34"/>
      <c r="W52" s="34"/>
      <c r="X52" s="34"/>
      <c r="Y52" s="34"/>
      <c r="Z52" s="34"/>
      <c r="AA52" s="34"/>
      <c r="AB52" s="34"/>
      <c r="AC52" s="34"/>
      <c r="AD52" s="34"/>
    </row>
    <row r="53" ht="17.25" customHeight="1">
      <c r="B53" s="12" t="s">
        <v>652</v>
      </c>
      <c r="C53" s="27" t="s">
        <v>653</v>
      </c>
      <c r="D53" s="27" t="s">
        <v>654</v>
      </c>
      <c r="E53" s="28" t="s">
        <v>655</v>
      </c>
      <c r="F53" s="27" t="s">
        <v>656</v>
      </c>
      <c r="G53" s="27" t="s">
        <v>657</v>
      </c>
      <c r="H53" s="28" t="s">
        <v>658</v>
      </c>
      <c r="I53" s="27" t="s">
        <v>659</v>
      </c>
      <c r="J53" s="27" t="s">
        <v>660</v>
      </c>
      <c r="K53" s="27" t="s">
        <v>661</v>
      </c>
      <c r="L53" s="27" t="s">
        <v>662</v>
      </c>
      <c r="M53" s="27" t="s">
        <v>663</v>
      </c>
      <c r="N53" s="27" t="s">
        <v>664</v>
      </c>
      <c r="O53" s="34"/>
      <c r="P53" s="34"/>
      <c r="Q53" s="34"/>
      <c r="R53" s="34"/>
      <c r="S53" s="34"/>
      <c r="T53" s="34"/>
      <c r="U53" s="34"/>
      <c r="V53" s="34"/>
      <c r="W53" s="34"/>
      <c r="X53" s="34"/>
      <c r="Y53" s="34"/>
      <c r="Z53" s="34"/>
      <c r="AA53" s="34"/>
      <c r="AB53" s="34"/>
      <c r="AC53" s="34"/>
      <c r="AD53" s="34"/>
    </row>
    <row r="54" ht="111.0" customHeight="1">
      <c r="B54" s="12"/>
      <c r="C54" s="28" t="s">
        <v>665</v>
      </c>
      <c r="D54" s="27" t="s">
        <v>666</v>
      </c>
      <c r="E54" s="28" t="s">
        <v>667</v>
      </c>
      <c r="F54" s="27" t="s">
        <v>668</v>
      </c>
      <c r="G54" s="27" t="s">
        <v>669</v>
      </c>
      <c r="H54" s="28" t="s">
        <v>670</v>
      </c>
      <c r="I54" s="27" t="s">
        <v>671</v>
      </c>
      <c r="J54" s="27" t="s">
        <v>672</v>
      </c>
      <c r="K54" s="27" t="s">
        <v>673</v>
      </c>
      <c r="L54" s="27" t="s">
        <v>674</v>
      </c>
      <c r="M54" s="27" t="s">
        <v>675</v>
      </c>
      <c r="N54" s="27" t="s">
        <v>676</v>
      </c>
      <c r="O54" s="34"/>
      <c r="P54" s="34"/>
      <c r="Q54" s="34"/>
      <c r="R54" s="34"/>
      <c r="S54" s="34"/>
      <c r="T54" s="34"/>
      <c r="U54" s="34"/>
      <c r="V54" s="34"/>
      <c r="W54" s="34"/>
      <c r="X54" s="34"/>
      <c r="Y54" s="34"/>
      <c r="Z54" s="34"/>
      <c r="AA54" s="34"/>
      <c r="AB54" s="34"/>
      <c r="AC54" s="34"/>
      <c r="AD54" s="34"/>
    </row>
    <row r="55" ht="17.25" customHeight="1">
      <c r="A55" s="51" t="s">
        <v>677</v>
      </c>
      <c r="B55" s="12" t="s">
        <v>34</v>
      </c>
      <c r="C55" s="28" t="s">
        <v>678</v>
      </c>
      <c r="D55" s="27" t="s">
        <v>679</v>
      </c>
      <c r="E55" s="28" t="s">
        <v>680</v>
      </c>
      <c r="F55" s="27" t="s">
        <v>681</v>
      </c>
      <c r="G55" s="27" t="s">
        <v>682</v>
      </c>
      <c r="H55" s="28" t="s">
        <v>683</v>
      </c>
      <c r="I55" s="27" t="s">
        <v>684</v>
      </c>
      <c r="J55" s="27" t="s">
        <v>685</v>
      </c>
      <c r="K55" s="27" t="s">
        <v>686</v>
      </c>
      <c r="L55" s="27" t="s">
        <v>687</v>
      </c>
      <c r="M55" s="27" t="s">
        <v>688</v>
      </c>
      <c r="N55" s="27" t="s">
        <v>689</v>
      </c>
      <c r="O55" s="5"/>
      <c r="P55" s="5"/>
      <c r="Q55" s="5"/>
      <c r="R55" s="5"/>
      <c r="S55" s="5"/>
      <c r="T55" s="5"/>
      <c r="U55" s="5"/>
      <c r="V55" s="5"/>
      <c r="W55" s="5"/>
      <c r="X55" s="5"/>
      <c r="Y55" s="5"/>
      <c r="Z55" s="5"/>
      <c r="AA55" s="5"/>
      <c r="AB55" s="5"/>
      <c r="AC55" s="5"/>
      <c r="AD55" s="5"/>
    </row>
    <row r="56" ht="200.25" customHeight="1">
      <c r="C56" s="28" t="s">
        <v>690</v>
      </c>
      <c r="D56" s="27" t="s">
        <v>691</v>
      </c>
      <c r="E56" s="28" t="s">
        <v>692</v>
      </c>
      <c r="F56" s="27" t="s">
        <v>693</v>
      </c>
      <c r="G56" s="27" t="s">
        <v>694</v>
      </c>
      <c r="H56" s="28" t="s">
        <v>695</v>
      </c>
      <c r="I56" s="27" t="s">
        <v>696</v>
      </c>
      <c r="J56" s="27" t="s">
        <v>697</v>
      </c>
      <c r="K56" s="27" t="s">
        <v>698</v>
      </c>
      <c r="L56" s="27" t="s">
        <v>699</v>
      </c>
      <c r="M56" s="27" t="s">
        <v>700</v>
      </c>
      <c r="N56" s="27" t="s">
        <v>701</v>
      </c>
      <c r="O56" s="5"/>
      <c r="P56" s="5"/>
      <c r="Q56" s="5"/>
      <c r="R56" s="5"/>
      <c r="S56" s="5"/>
      <c r="T56" s="5"/>
      <c r="U56" s="5"/>
      <c r="V56" s="5"/>
      <c r="W56" s="5"/>
      <c r="X56" s="5"/>
      <c r="Y56" s="5"/>
      <c r="Z56" s="5"/>
      <c r="AA56" s="5"/>
      <c r="AB56" s="5"/>
      <c r="AC56" s="5"/>
      <c r="AD56" s="5"/>
    </row>
    <row r="57" ht="17.25" customHeight="1">
      <c r="B57" s="52" t="s">
        <v>702</v>
      </c>
      <c r="C57" s="52" t="s">
        <v>703</v>
      </c>
      <c r="D57" s="53" t="s">
        <v>704</v>
      </c>
      <c r="E57" s="37"/>
      <c r="F57" s="37"/>
      <c r="G57" s="37"/>
      <c r="H57" s="47" t="s">
        <v>705</v>
      </c>
      <c r="I57" s="37"/>
      <c r="J57" s="37"/>
      <c r="K57" s="37"/>
      <c r="L57" s="37"/>
      <c r="M57" s="37"/>
      <c r="N57" s="37"/>
    </row>
    <row r="58" ht="99.75" customHeight="1">
      <c r="C58" s="54" t="s">
        <v>706</v>
      </c>
      <c r="D58" s="55" t="s">
        <v>707</v>
      </c>
      <c r="E58" s="37"/>
      <c r="F58" s="37"/>
      <c r="G58" s="37"/>
      <c r="H58" s="47" t="s">
        <v>708</v>
      </c>
      <c r="I58" s="37"/>
      <c r="J58" s="37"/>
      <c r="K58" s="37"/>
      <c r="L58" s="37"/>
      <c r="M58" s="37"/>
      <c r="N58" s="37"/>
    </row>
    <row r="59" ht="17.25" customHeight="1">
      <c r="B59" s="53" t="s">
        <v>38</v>
      </c>
      <c r="C59" s="53" t="s">
        <v>38</v>
      </c>
      <c r="D59" s="53" t="s">
        <v>709</v>
      </c>
      <c r="E59" s="37"/>
      <c r="F59" s="37"/>
      <c r="G59" s="37"/>
      <c r="H59" s="47" t="s">
        <v>710</v>
      </c>
      <c r="I59" s="37"/>
      <c r="J59" s="37"/>
      <c r="K59" s="37"/>
      <c r="L59" s="17" t="s">
        <v>711</v>
      </c>
      <c r="M59" s="37"/>
      <c r="N59" s="37"/>
    </row>
    <row r="60" ht="97.5" customHeight="1">
      <c r="C60" s="55" t="s">
        <v>712</v>
      </c>
      <c r="D60" s="55" t="s">
        <v>713</v>
      </c>
      <c r="E60" s="37"/>
      <c r="F60" s="37"/>
      <c r="G60" s="37"/>
      <c r="H60" s="47" t="s">
        <v>714</v>
      </c>
      <c r="I60" s="37"/>
      <c r="J60" s="37"/>
      <c r="K60" s="37"/>
      <c r="L60" s="56" t="s">
        <v>715</v>
      </c>
      <c r="M60" s="37"/>
      <c r="N60" s="37"/>
    </row>
    <row r="61" ht="17.25" customHeight="1">
      <c r="B61" s="57" t="s">
        <v>40</v>
      </c>
      <c r="C61" s="55" t="s">
        <v>716</v>
      </c>
      <c r="D61" s="55" t="s">
        <v>717</v>
      </c>
      <c r="E61" s="37"/>
      <c r="F61" s="37"/>
      <c r="G61" s="37"/>
      <c r="H61" s="47" t="s">
        <v>718</v>
      </c>
      <c r="I61" s="37"/>
      <c r="J61" s="37"/>
      <c r="K61" s="37"/>
      <c r="L61" s="37"/>
      <c r="M61" s="37"/>
      <c r="N61" s="37"/>
    </row>
    <row r="62" ht="78.75" customHeight="1">
      <c r="C62" s="58" t="s">
        <v>719</v>
      </c>
      <c r="D62" s="59" t="s">
        <v>720</v>
      </c>
      <c r="E62" s="37"/>
      <c r="F62" s="37"/>
      <c r="G62" s="37"/>
      <c r="H62" s="47" t="s">
        <v>721</v>
      </c>
      <c r="I62" s="37"/>
      <c r="J62" s="37"/>
      <c r="K62" s="37"/>
      <c r="L62" s="37"/>
      <c r="M62" s="37"/>
      <c r="N62" s="37"/>
      <c r="O62" s="5"/>
      <c r="P62" s="5"/>
      <c r="Q62" s="5"/>
      <c r="R62" s="5"/>
      <c r="S62" s="5"/>
      <c r="T62" s="5"/>
      <c r="U62" s="5"/>
      <c r="V62" s="5"/>
      <c r="W62" s="5"/>
      <c r="X62" s="5"/>
      <c r="Y62" s="5"/>
      <c r="Z62" s="5"/>
      <c r="AA62" s="5"/>
      <c r="AB62" s="5"/>
      <c r="AC62" s="5"/>
      <c r="AD62" s="5"/>
    </row>
    <row r="63" ht="17.25" customHeight="1">
      <c r="B63" s="55" t="s">
        <v>42</v>
      </c>
      <c r="C63" s="60" t="s">
        <v>722</v>
      </c>
      <c r="D63" s="27" t="s">
        <v>723</v>
      </c>
      <c r="E63" s="37"/>
      <c r="F63" s="37"/>
      <c r="G63" s="37"/>
      <c r="H63" s="47" t="s">
        <v>724</v>
      </c>
      <c r="I63" s="37"/>
      <c r="J63" s="37"/>
      <c r="K63" s="37"/>
      <c r="L63" s="37"/>
      <c r="M63" s="37"/>
      <c r="N63" s="37"/>
    </row>
    <row r="64" ht="101.25" customHeight="1">
      <c r="C64" s="27" t="s">
        <v>725</v>
      </c>
      <c r="D64" s="27" t="s">
        <v>726</v>
      </c>
      <c r="E64" s="37"/>
      <c r="F64" s="37"/>
      <c r="G64" s="37"/>
      <c r="H64" s="47" t="s">
        <v>727</v>
      </c>
      <c r="I64" s="37"/>
      <c r="J64" s="37"/>
      <c r="K64" s="37"/>
      <c r="L64" s="37"/>
      <c r="M64" s="37"/>
      <c r="N64" s="37"/>
    </row>
    <row r="65">
      <c r="B65" s="12" t="s">
        <v>44</v>
      </c>
      <c r="C65" s="32" t="s">
        <v>44</v>
      </c>
      <c r="D65" s="32" t="s">
        <v>402</v>
      </c>
      <c r="E65" s="12" t="s">
        <v>403</v>
      </c>
      <c r="F65" s="12" t="s">
        <v>404</v>
      </c>
      <c r="G65" s="12" t="s">
        <v>405</v>
      </c>
      <c r="H65" s="12" t="s">
        <v>406</v>
      </c>
      <c r="I65" s="12" t="s">
        <v>407</v>
      </c>
      <c r="J65" s="12" t="s">
        <v>408</v>
      </c>
      <c r="K65" s="12" t="s">
        <v>409</v>
      </c>
      <c r="L65" s="12" t="s">
        <v>410</v>
      </c>
      <c r="M65" s="12" t="s">
        <v>411</v>
      </c>
      <c r="N65" s="12" t="s">
        <v>412</v>
      </c>
      <c r="O65" s="5"/>
      <c r="P65" s="5"/>
      <c r="Q65" s="5"/>
      <c r="R65" s="5"/>
      <c r="S65" s="5"/>
      <c r="T65" s="5"/>
      <c r="U65" s="5"/>
      <c r="V65" s="5"/>
      <c r="W65" s="5"/>
      <c r="X65" s="5"/>
      <c r="Y65" s="5"/>
      <c r="Z65" s="5"/>
      <c r="AA65" s="5"/>
      <c r="AB65" s="5"/>
      <c r="AC65" s="5"/>
      <c r="AD65" s="5"/>
    </row>
    <row r="66" ht="66.0" customHeight="1">
      <c r="C66" s="32" t="s">
        <v>413</v>
      </c>
      <c r="D66" s="32" t="s">
        <v>414</v>
      </c>
      <c r="E66" s="47" t="s">
        <v>415</v>
      </c>
      <c r="F66" s="47" t="s">
        <v>416</v>
      </c>
      <c r="G66" s="47" t="s">
        <v>417</v>
      </c>
      <c r="H66" s="47" t="s">
        <v>418</v>
      </c>
      <c r="I66" s="47" t="s">
        <v>419</v>
      </c>
      <c r="J66" s="47" t="s">
        <v>420</v>
      </c>
      <c r="K66" s="47" t="s">
        <v>421</v>
      </c>
      <c r="L66" s="47" t="s">
        <v>422</v>
      </c>
      <c r="M66" s="47" t="s">
        <v>423</v>
      </c>
      <c r="N66" s="47" t="s">
        <v>424</v>
      </c>
      <c r="O66" s="5"/>
      <c r="P66" s="5"/>
      <c r="Q66" s="5"/>
      <c r="R66" s="5"/>
      <c r="S66" s="5"/>
      <c r="T66" s="5"/>
      <c r="U66" s="5"/>
      <c r="V66" s="5"/>
      <c r="W66" s="5"/>
      <c r="X66" s="5"/>
      <c r="Y66" s="5"/>
      <c r="Z66" s="5"/>
      <c r="AA66" s="5"/>
      <c r="AB66" s="5"/>
      <c r="AC66" s="5"/>
      <c r="AD66" s="5"/>
    </row>
    <row r="67" ht="21.75" customHeight="1">
      <c r="B67" s="13" t="s">
        <v>728</v>
      </c>
      <c r="C67" s="61" t="s">
        <v>729</v>
      </c>
      <c r="D67" s="61" t="s">
        <v>730</v>
      </c>
      <c r="E67" s="62" t="s">
        <v>731</v>
      </c>
      <c r="F67" s="63" t="s">
        <v>732</v>
      </c>
      <c r="G67" s="63" t="s">
        <v>733</v>
      </c>
      <c r="H67" s="64" t="s">
        <v>734</v>
      </c>
      <c r="I67" s="65" t="s">
        <v>735</v>
      </c>
      <c r="J67" s="65" t="s">
        <v>736</v>
      </c>
      <c r="K67" s="63" t="s">
        <v>737</v>
      </c>
      <c r="L67" s="64" t="s">
        <v>738</v>
      </c>
      <c r="M67" s="63" t="s">
        <v>739</v>
      </c>
      <c r="N67" s="63" t="s">
        <v>740</v>
      </c>
      <c r="O67" s="34"/>
      <c r="P67" s="34"/>
      <c r="Q67" s="34"/>
      <c r="R67" s="34"/>
      <c r="S67" s="34"/>
      <c r="T67" s="34"/>
      <c r="U67" s="34"/>
      <c r="V67" s="34"/>
      <c r="W67" s="34"/>
      <c r="X67" s="34"/>
      <c r="Y67" s="34"/>
      <c r="Z67" s="34"/>
      <c r="AA67" s="34"/>
      <c r="AB67" s="34"/>
      <c r="AC67" s="34"/>
      <c r="AD67" s="34"/>
    </row>
    <row r="68" ht="126.0" customHeight="1">
      <c r="C68" s="13" t="s">
        <v>741</v>
      </c>
      <c r="D68" s="13" t="s">
        <v>742</v>
      </c>
      <c r="E68" s="13" t="s">
        <v>743</v>
      </c>
      <c r="F68" s="62" t="s">
        <v>744</v>
      </c>
      <c r="G68" s="13" t="s">
        <v>745</v>
      </c>
      <c r="H68" s="13" t="s">
        <v>746</v>
      </c>
      <c r="I68" s="13" t="s">
        <v>747</v>
      </c>
      <c r="J68" s="13" t="s">
        <v>748</v>
      </c>
      <c r="K68" s="13" t="s">
        <v>749</v>
      </c>
      <c r="L68" s="13" t="s">
        <v>750</v>
      </c>
      <c r="M68" s="13" t="s">
        <v>751</v>
      </c>
      <c r="N68" s="13" t="s">
        <v>752</v>
      </c>
      <c r="O68" s="34"/>
      <c r="P68" s="34"/>
      <c r="Q68" s="34"/>
      <c r="R68" s="34"/>
      <c r="S68" s="34"/>
      <c r="T68" s="34"/>
      <c r="U68" s="34"/>
      <c r="V68" s="34"/>
      <c r="W68" s="34"/>
      <c r="X68" s="34"/>
      <c r="Y68" s="34"/>
      <c r="Z68" s="34"/>
      <c r="AA68" s="34"/>
      <c r="AB68" s="34"/>
      <c r="AC68" s="34"/>
      <c r="AD68" s="34"/>
    </row>
    <row r="69">
      <c r="B69" s="14" t="s">
        <v>48</v>
      </c>
      <c r="C69" s="66" t="s">
        <v>753</v>
      </c>
      <c r="D69" s="66" t="s">
        <v>754</v>
      </c>
      <c r="E69" s="67"/>
      <c r="F69" s="67"/>
      <c r="G69" s="67"/>
      <c r="H69" s="67"/>
      <c r="I69" s="67"/>
      <c r="J69" s="67"/>
      <c r="K69" s="67"/>
      <c r="L69" s="67"/>
      <c r="M69" s="67"/>
      <c r="N69" s="67"/>
    </row>
    <row r="70">
      <c r="B70" s="14" t="s">
        <v>755</v>
      </c>
      <c r="C70" s="68" t="s">
        <v>756</v>
      </c>
      <c r="D70" s="67"/>
      <c r="E70" s="67"/>
      <c r="F70" s="67"/>
      <c r="G70" s="67"/>
      <c r="H70" s="67"/>
      <c r="I70" s="67"/>
      <c r="J70" s="67"/>
      <c r="K70" s="67"/>
      <c r="L70" s="67"/>
      <c r="M70" s="67"/>
      <c r="N70" s="67"/>
    </row>
    <row r="71">
      <c r="B71" s="14" t="s">
        <v>755</v>
      </c>
      <c r="C71" s="54" t="s">
        <v>757</v>
      </c>
      <c r="D71" s="67"/>
      <c r="E71" s="67"/>
      <c r="F71" s="67"/>
      <c r="G71" s="67"/>
      <c r="H71" s="67"/>
      <c r="I71" s="67"/>
      <c r="J71" s="67"/>
      <c r="K71" s="67"/>
      <c r="L71" s="67"/>
      <c r="M71" s="67"/>
      <c r="N71" s="67"/>
    </row>
    <row r="72" ht="19.5" customHeight="1">
      <c r="A72" s="69"/>
      <c r="B72" s="25" t="s">
        <v>49</v>
      </c>
      <c r="C72" s="38" t="s">
        <v>758</v>
      </c>
      <c r="D72" s="38" t="s">
        <v>759</v>
      </c>
      <c r="E72" s="38" t="s">
        <v>760</v>
      </c>
      <c r="F72" s="38" t="s">
        <v>761</v>
      </c>
      <c r="G72" s="38" t="s">
        <v>762</v>
      </c>
      <c r="H72" s="38" t="s">
        <v>763</v>
      </c>
      <c r="I72" s="38" t="s">
        <v>764</v>
      </c>
      <c r="J72" s="38" t="s">
        <v>765</v>
      </c>
      <c r="K72" s="38" t="s">
        <v>766</v>
      </c>
      <c r="L72" s="38" t="s">
        <v>767</v>
      </c>
      <c r="M72" s="38" t="s">
        <v>768</v>
      </c>
      <c r="N72" s="38" t="s">
        <v>769</v>
      </c>
      <c r="O72" s="29"/>
      <c r="P72" s="29"/>
      <c r="Q72" s="29"/>
      <c r="R72" s="29"/>
      <c r="S72" s="29"/>
      <c r="T72" s="29"/>
      <c r="U72" s="29"/>
      <c r="V72" s="29"/>
      <c r="W72" s="29"/>
      <c r="X72" s="29"/>
      <c r="Y72" s="29"/>
      <c r="Z72" s="29"/>
      <c r="AA72" s="29"/>
      <c r="AB72" s="29"/>
      <c r="AC72" s="29"/>
      <c r="AD72" s="29"/>
    </row>
    <row r="73" ht="91.5" customHeight="1">
      <c r="A73" s="69"/>
      <c r="C73" s="56" t="s">
        <v>770</v>
      </c>
      <c r="D73" s="70" t="s">
        <v>771</v>
      </c>
      <c r="E73" s="70" t="s">
        <v>772</v>
      </c>
      <c r="F73" s="71" t="s">
        <v>773</v>
      </c>
      <c r="G73" s="71" t="s">
        <v>774</v>
      </c>
      <c r="H73" s="28" t="s">
        <v>775</v>
      </c>
      <c r="I73" s="71" t="s">
        <v>776</v>
      </c>
      <c r="J73" s="71" t="s">
        <v>777</v>
      </c>
      <c r="K73" s="71" t="s">
        <v>778</v>
      </c>
      <c r="L73" s="71" t="s">
        <v>779</v>
      </c>
      <c r="M73" s="71" t="s">
        <v>780</v>
      </c>
      <c r="N73" s="71" t="s">
        <v>781</v>
      </c>
      <c r="O73" s="72"/>
      <c r="P73" s="72"/>
      <c r="Q73" s="72"/>
      <c r="R73" s="72"/>
      <c r="S73" s="72"/>
      <c r="T73" s="72"/>
      <c r="U73" s="72"/>
      <c r="V73" s="72"/>
      <c r="W73" s="72"/>
      <c r="X73" s="72"/>
      <c r="Y73" s="72"/>
      <c r="Z73" s="72"/>
      <c r="AA73" s="72"/>
      <c r="AB73" s="72"/>
      <c r="AC73" s="72"/>
      <c r="AD73" s="72"/>
    </row>
    <row r="74">
      <c r="B74" s="73"/>
      <c r="C74" s="74" t="s">
        <v>378</v>
      </c>
      <c r="D74" s="27" t="s">
        <v>379</v>
      </c>
      <c r="E74" s="67"/>
      <c r="F74" s="67"/>
      <c r="G74" s="67"/>
      <c r="H74" s="67"/>
      <c r="I74" s="67"/>
      <c r="J74" s="67"/>
      <c r="K74" s="67"/>
      <c r="L74" s="67"/>
      <c r="M74" s="67"/>
      <c r="N74" s="67"/>
    </row>
    <row r="75">
      <c r="B75" s="75" t="s">
        <v>782</v>
      </c>
      <c r="C75" s="76" t="s">
        <v>783</v>
      </c>
      <c r="D75" s="68" t="s">
        <v>784</v>
      </c>
      <c r="E75" s="67"/>
      <c r="F75" s="67"/>
      <c r="G75" s="67"/>
      <c r="H75" s="67"/>
      <c r="I75" s="67"/>
      <c r="J75" s="67"/>
      <c r="K75" s="67"/>
      <c r="L75" s="67"/>
      <c r="M75" s="67"/>
      <c r="N75" s="67"/>
    </row>
    <row r="76">
      <c r="B76" s="73"/>
      <c r="C76" s="75" t="s">
        <v>785</v>
      </c>
      <c r="D76" s="27" t="s">
        <v>786</v>
      </c>
      <c r="E76" s="67"/>
      <c r="F76" s="67"/>
      <c r="G76" s="67"/>
      <c r="H76" s="67"/>
      <c r="I76" s="67"/>
      <c r="J76" s="67"/>
      <c r="K76" s="67"/>
      <c r="L76" s="67"/>
      <c r="M76" s="67"/>
      <c r="N76" s="67"/>
    </row>
    <row r="77">
      <c r="B77" s="75" t="s">
        <v>785</v>
      </c>
      <c r="C77" s="74" t="s">
        <v>787</v>
      </c>
      <c r="D77" s="68" t="s">
        <v>788</v>
      </c>
      <c r="E77" s="67"/>
      <c r="F77" s="67"/>
      <c r="G77" s="67"/>
      <c r="H77" s="67"/>
      <c r="I77" s="67"/>
      <c r="J77" s="67"/>
      <c r="K77" s="67"/>
      <c r="L77" s="67"/>
      <c r="M77" s="67"/>
      <c r="N77" s="67"/>
    </row>
    <row r="78">
      <c r="C78" s="77" t="s">
        <v>789</v>
      </c>
      <c r="D78" s="78" t="s">
        <v>790</v>
      </c>
      <c r="E78" s="67"/>
      <c r="F78" s="67"/>
      <c r="G78" s="67"/>
      <c r="H78" s="67"/>
      <c r="I78" s="67"/>
      <c r="J78" s="67"/>
      <c r="K78" s="67"/>
      <c r="L78" s="67"/>
      <c r="M78" s="67"/>
      <c r="N78" s="67"/>
    </row>
    <row r="79">
      <c r="B79" s="14" t="s">
        <v>791</v>
      </c>
      <c r="C79" s="79" t="s">
        <v>792</v>
      </c>
      <c r="D79" s="78" t="s">
        <v>793</v>
      </c>
      <c r="E79" s="67"/>
      <c r="F79" s="67"/>
      <c r="G79" s="67"/>
      <c r="H79" s="67"/>
      <c r="I79" s="67"/>
      <c r="J79" s="67"/>
      <c r="K79" s="67"/>
      <c r="L79" s="67"/>
      <c r="M79" s="67"/>
      <c r="N79" s="67"/>
    </row>
    <row r="80">
      <c r="C80" s="14" t="s">
        <v>794</v>
      </c>
      <c r="D80" s="67"/>
      <c r="E80" s="67"/>
      <c r="F80" s="67"/>
      <c r="G80" s="67"/>
      <c r="H80" s="67"/>
      <c r="I80" s="67"/>
      <c r="J80" s="67"/>
      <c r="K80" s="67"/>
      <c r="L80" s="67"/>
      <c r="M80" s="67"/>
      <c r="N80" s="67"/>
    </row>
    <row r="81">
      <c r="C81" s="80" t="s">
        <v>592</v>
      </c>
      <c r="D81" s="67"/>
      <c r="E81" s="67"/>
      <c r="F81" s="67"/>
      <c r="G81" s="67"/>
      <c r="H81" s="67"/>
      <c r="I81" s="67"/>
      <c r="J81" s="67"/>
      <c r="K81" s="67"/>
      <c r="L81" s="67"/>
      <c r="M81" s="67"/>
      <c r="N81" s="67"/>
    </row>
    <row r="82">
      <c r="B82" s="14" t="s">
        <v>795</v>
      </c>
      <c r="C82" s="77" t="s">
        <v>796</v>
      </c>
      <c r="D82" s="81" t="s">
        <v>797</v>
      </c>
      <c r="E82" s="67"/>
      <c r="F82" s="67"/>
      <c r="G82" s="67"/>
      <c r="H82" s="67"/>
      <c r="I82" s="67"/>
      <c r="J82" s="67"/>
      <c r="K82" s="67"/>
      <c r="L82" s="67"/>
      <c r="M82" s="67"/>
      <c r="N82" s="67"/>
    </row>
    <row r="83">
      <c r="C83" s="79" t="s">
        <v>798</v>
      </c>
      <c r="D83" s="82" t="s">
        <v>799</v>
      </c>
      <c r="E83" s="67"/>
      <c r="F83" s="67"/>
      <c r="G83" s="67"/>
      <c r="H83" s="67"/>
      <c r="I83" s="67"/>
      <c r="J83" s="67"/>
      <c r="K83" s="67"/>
      <c r="L83" s="67"/>
      <c r="M83" s="67"/>
      <c r="N83" s="67"/>
    </row>
    <row r="84">
      <c r="B84" s="83" t="s">
        <v>800</v>
      </c>
      <c r="C84" s="83" t="s">
        <v>800</v>
      </c>
      <c r="D84" s="67"/>
      <c r="E84" s="67"/>
      <c r="F84" s="67"/>
      <c r="G84" s="67"/>
      <c r="H84" s="67"/>
      <c r="I84" s="67"/>
      <c r="J84" s="67"/>
      <c r="K84" s="67"/>
      <c r="L84" s="67"/>
      <c r="M84" s="67"/>
      <c r="N84" s="67"/>
    </row>
    <row r="85">
      <c r="C85" s="84" t="s">
        <v>801</v>
      </c>
      <c r="D85" s="67"/>
      <c r="E85" s="67"/>
      <c r="F85" s="67"/>
      <c r="G85" s="67"/>
      <c r="H85" s="67"/>
      <c r="I85" s="67"/>
      <c r="J85" s="67"/>
      <c r="K85" s="67"/>
      <c r="L85" s="67"/>
      <c r="M85" s="67"/>
      <c r="N85" s="67"/>
    </row>
    <row r="86">
      <c r="B86" s="85" t="s">
        <v>802</v>
      </c>
      <c r="C86" s="85" t="s">
        <v>802</v>
      </c>
      <c r="D86" s="67"/>
      <c r="E86" s="67"/>
      <c r="F86" s="67"/>
      <c r="G86" s="67"/>
      <c r="H86" s="67"/>
      <c r="I86" s="67"/>
      <c r="J86" s="67"/>
      <c r="K86" s="67"/>
      <c r="L86" s="67"/>
      <c r="M86" s="67"/>
      <c r="N86" s="67"/>
    </row>
    <row r="87">
      <c r="C87" s="86" t="s">
        <v>803</v>
      </c>
      <c r="D87" s="67"/>
      <c r="E87" s="67"/>
      <c r="F87" s="67"/>
      <c r="G87" s="67"/>
      <c r="H87" s="67"/>
      <c r="I87" s="67"/>
      <c r="J87" s="67"/>
      <c r="K87" s="67"/>
      <c r="L87" s="67"/>
      <c r="M87" s="67"/>
      <c r="N87" s="67"/>
    </row>
    <row r="88">
      <c r="C88" s="67"/>
      <c r="D88" s="67"/>
      <c r="E88" s="67"/>
      <c r="F88" s="67"/>
      <c r="G88" s="67"/>
      <c r="H88" s="67"/>
      <c r="I88" s="67"/>
      <c r="J88" s="67"/>
      <c r="K88" s="67"/>
      <c r="L88" s="67"/>
      <c r="M88" s="67"/>
      <c r="N88" s="67"/>
    </row>
    <row r="89">
      <c r="B89" s="14" t="s">
        <v>804</v>
      </c>
      <c r="C89" s="77" t="s">
        <v>805</v>
      </c>
      <c r="D89" s="68" t="s">
        <v>806</v>
      </c>
      <c r="E89" s="67"/>
      <c r="F89" s="67"/>
      <c r="G89" s="67"/>
      <c r="H89" s="67"/>
      <c r="I89" s="67"/>
      <c r="J89" s="67"/>
      <c r="K89" s="67"/>
      <c r="L89" s="67"/>
      <c r="M89" s="67"/>
      <c r="N89" s="67"/>
    </row>
    <row r="90">
      <c r="C90" s="68" t="s">
        <v>807</v>
      </c>
      <c r="D90" s="68" t="s">
        <v>808</v>
      </c>
      <c r="E90" s="67"/>
      <c r="F90" s="67"/>
      <c r="G90" s="67"/>
      <c r="H90" s="67"/>
      <c r="I90" s="67"/>
      <c r="J90" s="67"/>
      <c r="K90" s="67"/>
      <c r="L90" s="67"/>
      <c r="M90" s="67"/>
      <c r="N90" s="67"/>
    </row>
    <row r="91">
      <c r="B91" s="14" t="s">
        <v>809</v>
      </c>
      <c r="C91" s="68" t="s">
        <v>810</v>
      </c>
      <c r="D91" s="81" t="s">
        <v>811</v>
      </c>
      <c r="E91" s="67"/>
      <c r="F91" s="67"/>
      <c r="G91" s="67"/>
      <c r="H91" s="67"/>
      <c r="I91" s="67"/>
      <c r="J91" s="67"/>
      <c r="K91" s="67"/>
      <c r="L91" s="67"/>
      <c r="M91" s="67"/>
      <c r="N91" s="67"/>
    </row>
    <row r="92">
      <c r="C92" s="68" t="s">
        <v>812</v>
      </c>
      <c r="D92" s="82" t="s">
        <v>813</v>
      </c>
      <c r="E92" s="67"/>
      <c r="F92" s="67"/>
      <c r="G92" s="67"/>
      <c r="H92" s="67"/>
      <c r="I92" s="67"/>
      <c r="J92" s="67"/>
      <c r="K92" s="67"/>
      <c r="L92" s="67"/>
      <c r="M92" s="67"/>
      <c r="N92" s="67"/>
    </row>
    <row r="93">
      <c r="B93" s="14" t="s">
        <v>814</v>
      </c>
      <c r="C93" s="68" t="s">
        <v>815</v>
      </c>
      <c r="D93" s="67"/>
      <c r="E93" s="67"/>
      <c r="F93" s="67"/>
      <c r="G93" s="67"/>
      <c r="H93" s="67"/>
      <c r="I93" s="67"/>
      <c r="J93" s="67"/>
      <c r="K93" s="67"/>
      <c r="L93" s="67"/>
      <c r="M93" s="67"/>
      <c r="N93" s="67"/>
    </row>
    <row r="94">
      <c r="C94" s="79" t="s">
        <v>816</v>
      </c>
      <c r="D94" s="67"/>
      <c r="E94" s="67"/>
      <c r="F94" s="67"/>
      <c r="G94" s="67"/>
      <c r="H94" s="67"/>
      <c r="I94" s="67"/>
      <c r="J94" s="67"/>
      <c r="K94" s="67"/>
      <c r="L94" s="67"/>
      <c r="M94" s="67"/>
      <c r="N94" s="67"/>
    </row>
    <row r="95">
      <c r="B95" s="14" t="s">
        <v>817</v>
      </c>
      <c r="C95" s="68" t="s">
        <v>818</v>
      </c>
      <c r="D95" s="67"/>
      <c r="E95" s="67"/>
      <c r="F95" s="67"/>
      <c r="G95" s="67"/>
      <c r="H95" s="67"/>
      <c r="I95" s="67"/>
      <c r="J95" s="67"/>
      <c r="K95" s="67"/>
      <c r="L95" s="67"/>
      <c r="M95" s="67"/>
      <c r="N95" s="67"/>
    </row>
    <row r="96">
      <c r="C96" s="68" t="s">
        <v>819</v>
      </c>
      <c r="D96" s="67"/>
      <c r="E96" s="67"/>
      <c r="F96" s="67"/>
      <c r="G96" s="67"/>
      <c r="H96" s="67"/>
      <c r="I96" s="67"/>
      <c r="J96" s="67"/>
      <c r="K96" s="67"/>
      <c r="L96" s="67"/>
      <c r="M96" s="67"/>
      <c r="N96" s="67"/>
    </row>
    <row r="97">
      <c r="B97" s="14" t="s">
        <v>820</v>
      </c>
      <c r="C97" s="68" t="s">
        <v>821</v>
      </c>
      <c r="D97" s="82"/>
      <c r="E97" s="67"/>
      <c r="F97" s="67"/>
      <c r="G97" s="67"/>
      <c r="H97" s="67"/>
      <c r="I97" s="67"/>
      <c r="J97" s="67"/>
      <c r="K97" s="67"/>
      <c r="L97" s="67"/>
      <c r="M97" s="67"/>
      <c r="N97" s="67"/>
    </row>
    <row r="98">
      <c r="B98" s="14" t="s">
        <v>822</v>
      </c>
      <c r="C98" s="68" t="s">
        <v>823</v>
      </c>
      <c r="E98" s="67"/>
      <c r="F98" s="67"/>
      <c r="G98" s="67"/>
      <c r="H98" s="67"/>
      <c r="I98" s="67"/>
      <c r="J98" s="67"/>
      <c r="K98" s="67"/>
      <c r="L98" s="67"/>
      <c r="M98" s="67"/>
      <c r="N98" s="67"/>
    </row>
    <row r="99">
      <c r="B99" s="14" t="s">
        <v>824</v>
      </c>
      <c r="C99" s="68" t="s">
        <v>825</v>
      </c>
      <c r="D99" s="87" t="s">
        <v>826</v>
      </c>
      <c r="E99" s="67"/>
      <c r="F99" s="67"/>
      <c r="G99" s="67"/>
      <c r="H99" s="67"/>
      <c r="I99" s="67"/>
      <c r="J99" s="67"/>
      <c r="K99" s="67"/>
      <c r="L99" s="67"/>
      <c r="M99" s="67"/>
      <c r="N99" s="67"/>
    </row>
    <row r="100">
      <c r="B100" s="14" t="s">
        <v>824</v>
      </c>
      <c r="C100" s="68" t="s">
        <v>827</v>
      </c>
      <c r="D100" s="88" t="s">
        <v>828</v>
      </c>
      <c r="E100" s="67"/>
      <c r="F100" s="67"/>
      <c r="G100" s="67"/>
      <c r="H100" s="67"/>
      <c r="I100" s="67"/>
      <c r="J100" s="67"/>
      <c r="K100" s="67"/>
      <c r="L100" s="67"/>
      <c r="M100" s="67"/>
      <c r="N100" s="67"/>
    </row>
    <row r="101">
      <c r="B101" s="14" t="s">
        <v>829</v>
      </c>
      <c r="C101" s="68" t="s">
        <v>830</v>
      </c>
      <c r="D101" s="67"/>
      <c r="E101" s="67"/>
      <c r="F101" s="67"/>
      <c r="G101" s="67"/>
      <c r="H101" s="67"/>
      <c r="I101" s="67"/>
      <c r="J101" s="67"/>
      <c r="K101" s="67"/>
      <c r="L101" s="67"/>
      <c r="M101" s="67"/>
      <c r="N101" s="67"/>
    </row>
    <row r="102">
      <c r="B102" s="14" t="s">
        <v>831</v>
      </c>
      <c r="C102" s="68" t="s">
        <v>832</v>
      </c>
      <c r="D102" s="67"/>
      <c r="E102" s="67"/>
      <c r="F102" s="67"/>
      <c r="G102" s="67"/>
      <c r="H102" s="67"/>
      <c r="I102" s="67"/>
      <c r="J102" s="67"/>
      <c r="K102" s="67"/>
      <c r="L102" s="67"/>
      <c r="M102" s="67"/>
      <c r="N102" s="67"/>
    </row>
    <row r="103">
      <c r="B103" s="14" t="s">
        <v>833</v>
      </c>
      <c r="C103" s="68" t="s">
        <v>834</v>
      </c>
      <c r="D103" s="67"/>
      <c r="E103" s="67"/>
      <c r="F103" s="67"/>
      <c r="G103" s="67"/>
      <c r="H103" s="67"/>
      <c r="I103" s="67"/>
      <c r="J103" s="67"/>
      <c r="K103" s="67"/>
      <c r="L103" s="67"/>
      <c r="M103" s="67"/>
      <c r="N103" s="67"/>
    </row>
    <row r="104">
      <c r="B104" s="14" t="s">
        <v>833</v>
      </c>
      <c r="C104" s="68" t="s">
        <v>835</v>
      </c>
      <c r="D104" s="67"/>
      <c r="E104" s="67"/>
      <c r="F104" s="67"/>
      <c r="G104" s="67"/>
      <c r="H104" s="67"/>
      <c r="I104" s="67"/>
      <c r="J104" s="67"/>
      <c r="K104" s="67"/>
      <c r="L104" s="67"/>
      <c r="M104" s="67"/>
      <c r="N104" s="67"/>
    </row>
    <row r="105">
      <c r="B105" s="14" t="s">
        <v>836</v>
      </c>
      <c r="C105" s="68" t="s">
        <v>837</v>
      </c>
      <c r="D105" s="67"/>
      <c r="E105" s="67"/>
      <c r="F105" s="67"/>
      <c r="G105" s="67"/>
      <c r="H105" s="67"/>
      <c r="I105" s="67"/>
      <c r="J105" s="67"/>
      <c r="K105" s="67"/>
      <c r="L105" s="67"/>
      <c r="M105" s="67"/>
      <c r="N105" s="67"/>
    </row>
    <row r="106">
      <c r="C106" s="68" t="s">
        <v>838</v>
      </c>
      <c r="D106" s="67"/>
      <c r="E106" s="67"/>
      <c r="F106" s="67"/>
      <c r="G106" s="67"/>
      <c r="H106" s="67"/>
      <c r="I106" s="67"/>
      <c r="J106" s="67"/>
      <c r="K106" s="67"/>
      <c r="L106" s="67"/>
      <c r="M106" s="67"/>
      <c r="N106" s="67"/>
    </row>
    <row r="107">
      <c r="B107" s="14" t="s">
        <v>839</v>
      </c>
      <c r="C107" s="14" t="s">
        <v>839</v>
      </c>
      <c r="D107" s="68" t="s">
        <v>840</v>
      </c>
      <c r="E107" s="67"/>
      <c r="F107" s="67"/>
      <c r="G107" s="67"/>
      <c r="H107" s="67"/>
      <c r="I107" s="67"/>
      <c r="J107" s="67"/>
      <c r="K107" s="67"/>
      <c r="L107" s="67"/>
      <c r="M107" s="67"/>
      <c r="N107" s="67"/>
    </row>
    <row r="108">
      <c r="C108" s="68" t="s">
        <v>841</v>
      </c>
      <c r="D108" s="68" t="s">
        <v>842</v>
      </c>
      <c r="E108" s="67"/>
      <c r="F108" s="67"/>
      <c r="G108" s="67"/>
      <c r="H108" s="67"/>
      <c r="I108" s="67"/>
      <c r="J108" s="67"/>
      <c r="K108" s="67"/>
      <c r="L108" s="67"/>
      <c r="M108" s="67"/>
      <c r="N108" s="67"/>
    </row>
    <row r="109">
      <c r="C109" s="67"/>
      <c r="D109" s="67"/>
      <c r="E109" s="67"/>
      <c r="F109" s="67"/>
      <c r="G109" s="67"/>
      <c r="H109" s="67"/>
      <c r="I109" s="67"/>
      <c r="J109" s="67"/>
      <c r="K109" s="67"/>
      <c r="L109" s="67"/>
      <c r="M109" s="67"/>
      <c r="N109" s="67"/>
    </row>
    <row r="110">
      <c r="B110" s="14" t="s">
        <v>843</v>
      </c>
      <c r="C110" s="14" t="s">
        <v>843</v>
      </c>
      <c r="D110" s="68" t="s">
        <v>844</v>
      </c>
      <c r="E110" s="67"/>
      <c r="F110" s="67"/>
      <c r="G110" s="67"/>
      <c r="H110" s="67"/>
      <c r="I110" s="67"/>
      <c r="J110" s="67"/>
      <c r="K110" s="67"/>
      <c r="L110" s="67"/>
      <c r="M110" s="67"/>
      <c r="N110" s="67"/>
    </row>
    <row r="111">
      <c r="C111" s="68" t="s">
        <v>845</v>
      </c>
      <c r="D111" s="68" t="s">
        <v>846</v>
      </c>
      <c r="E111" s="67"/>
      <c r="F111" s="67"/>
      <c r="G111" s="67"/>
      <c r="H111" s="67"/>
      <c r="I111" s="67"/>
      <c r="J111" s="67"/>
      <c r="K111" s="67"/>
      <c r="L111" s="67"/>
      <c r="M111" s="67"/>
      <c r="N111" s="67"/>
    </row>
    <row r="112">
      <c r="C112" s="67"/>
      <c r="D112" s="67"/>
      <c r="E112" s="67"/>
      <c r="F112" s="67"/>
      <c r="G112" s="67"/>
      <c r="H112" s="67"/>
      <c r="I112" s="67"/>
      <c r="J112" s="67"/>
      <c r="K112" s="67"/>
      <c r="L112" s="67"/>
      <c r="M112" s="67"/>
      <c r="N112" s="67"/>
    </row>
    <row r="113">
      <c r="B113" s="14" t="s">
        <v>847</v>
      </c>
      <c r="C113" s="67"/>
      <c r="D113" s="68" t="s">
        <v>848</v>
      </c>
      <c r="E113" s="67"/>
      <c r="F113" s="67"/>
      <c r="G113" s="67"/>
      <c r="H113" s="67"/>
      <c r="I113" s="67"/>
      <c r="J113" s="67"/>
      <c r="K113" s="67"/>
      <c r="L113" s="67"/>
      <c r="M113" s="67"/>
      <c r="N113" s="67"/>
    </row>
    <row r="114">
      <c r="B114" s="14"/>
      <c r="C114" s="68" t="s">
        <v>849</v>
      </c>
      <c r="D114" s="68" t="s">
        <v>850</v>
      </c>
      <c r="E114" s="67"/>
      <c r="F114" s="67"/>
      <c r="G114" s="67"/>
      <c r="H114" s="67"/>
      <c r="I114" s="67"/>
      <c r="J114" s="67"/>
      <c r="K114" s="67"/>
      <c r="L114" s="67"/>
      <c r="M114" s="67"/>
      <c r="N114" s="67"/>
    </row>
    <row r="115">
      <c r="C115" s="67"/>
      <c r="D115" s="67"/>
      <c r="E115" s="67"/>
      <c r="F115" s="67"/>
      <c r="G115" s="67"/>
      <c r="H115" s="67"/>
      <c r="I115" s="67"/>
      <c r="J115" s="67"/>
      <c r="K115" s="67"/>
      <c r="L115" s="67"/>
      <c r="M115" s="67"/>
      <c r="N115" s="67"/>
    </row>
    <row r="116">
      <c r="B116" s="14" t="s">
        <v>851</v>
      </c>
      <c r="C116" s="68" t="s">
        <v>852</v>
      </c>
      <c r="D116" s="67"/>
      <c r="E116" s="67"/>
      <c r="F116" s="67"/>
      <c r="G116" s="67"/>
      <c r="H116" s="67"/>
      <c r="I116" s="67"/>
      <c r="J116" s="67"/>
      <c r="K116" s="67"/>
      <c r="L116" s="67"/>
      <c r="M116" s="67"/>
      <c r="N116" s="67"/>
    </row>
    <row r="117">
      <c r="C117" s="68" t="s">
        <v>853</v>
      </c>
      <c r="D117" s="67"/>
      <c r="E117" s="67"/>
      <c r="F117" s="67"/>
      <c r="G117" s="67"/>
      <c r="H117" s="67"/>
      <c r="I117" s="67"/>
      <c r="J117" s="67"/>
      <c r="K117" s="67"/>
      <c r="L117" s="67"/>
      <c r="M117" s="67"/>
      <c r="N117" s="67"/>
    </row>
    <row r="118" ht="22.5" customHeight="1">
      <c r="C118" s="67"/>
      <c r="D118" s="67"/>
      <c r="E118" s="67"/>
      <c r="F118" s="67"/>
      <c r="G118" s="67"/>
      <c r="H118" s="67"/>
      <c r="I118" s="67"/>
      <c r="J118" s="67"/>
      <c r="K118" s="67"/>
      <c r="L118" s="67"/>
      <c r="M118" s="67"/>
      <c r="N118" s="67"/>
    </row>
    <row r="119" ht="132.0" customHeight="1">
      <c r="B119" s="14" t="s">
        <v>854</v>
      </c>
      <c r="C119" s="28" t="s">
        <v>855</v>
      </c>
      <c r="D119" s="67"/>
      <c r="E119" s="67"/>
      <c r="F119" s="67"/>
      <c r="G119" s="67"/>
      <c r="H119" s="67"/>
      <c r="I119" s="67"/>
      <c r="J119" s="67"/>
      <c r="K119" s="67"/>
      <c r="L119" s="67"/>
      <c r="M119" s="67"/>
      <c r="N119" s="67"/>
    </row>
    <row r="120" ht="132.0" customHeight="1">
      <c r="B120" s="14" t="s">
        <v>856</v>
      </c>
      <c r="C120" s="68" t="s">
        <v>857</v>
      </c>
      <c r="D120" s="68" t="s">
        <v>858</v>
      </c>
      <c r="E120" s="67"/>
      <c r="F120" s="67"/>
      <c r="G120" s="67"/>
      <c r="H120" s="67"/>
      <c r="I120" s="67"/>
      <c r="J120" s="67"/>
      <c r="K120" s="67"/>
      <c r="L120" s="67"/>
      <c r="M120" s="67"/>
      <c r="N120" s="67"/>
    </row>
    <row r="121">
      <c r="B121" s="14" t="s">
        <v>859</v>
      </c>
      <c r="C121" s="89" t="s">
        <v>860</v>
      </c>
      <c r="D121" s="67"/>
      <c r="E121" s="67"/>
      <c r="F121" s="67"/>
      <c r="G121" s="67"/>
      <c r="H121" s="67"/>
      <c r="I121" s="67"/>
      <c r="J121" s="67"/>
      <c r="K121" s="67"/>
      <c r="L121" s="67"/>
      <c r="M121" s="67"/>
      <c r="N121" s="67"/>
    </row>
    <row r="122">
      <c r="C122" s="67"/>
      <c r="D122" s="67"/>
      <c r="E122" s="67"/>
      <c r="F122" s="67"/>
      <c r="G122" s="67"/>
      <c r="H122" s="67"/>
      <c r="I122" s="67"/>
      <c r="J122" s="67"/>
      <c r="K122" s="67"/>
      <c r="L122" s="67"/>
      <c r="M122" s="67"/>
      <c r="N122" s="67"/>
    </row>
    <row r="123">
      <c r="B123" s="14" t="s">
        <v>861</v>
      </c>
      <c r="C123" s="68" t="s">
        <v>862</v>
      </c>
      <c r="D123" s="67"/>
      <c r="E123" s="67"/>
      <c r="F123" s="67"/>
      <c r="G123" s="67"/>
      <c r="H123" s="67"/>
      <c r="I123" s="67"/>
      <c r="J123" s="67"/>
      <c r="K123" s="67"/>
      <c r="L123" s="67"/>
      <c r="M123" s="67"/>
      <c r="N123" s="67"/>
    </row>
    <row r="124">
      <c r="B124" s="14" t="s">
        <v>863</v>
      </c>
      <c r="C124" s="68" t="s">
        <v>864</v>
      </c>
      <c r="D124" s="67"/>
      <c r="E124" s="67"/>
      <c r="F124" s="67"/>
      <c r="G124" s="67"/>
      <c r="H124" s="67"/>
      <c r="I124" s="67"/>
      <c r="J124" s="67"/>
      <c r="K124" s="67"/>
      <c r="L124" s="67"/>
      <c r="M124" s="67"/>
      <c r="N124" s="67"/>
    </row>
    <row r="125">
      <c r="C125" s="67"/>
      <c r="D125" s="67"/>
      <c r="E125" s="67"/>
      <c r="F125" s="67"/>
      <c r="G125" s="67"/>
      <c r="H125" s="67"/>
      <c r="I125" s="67"/>
      <c r="J125" s="67"/>
      <c r="K125" s="67"/>
      <c r="L125" s="67"/>
      <c r="M125" s="67"/>
      <c r="N125" s="67"/>
    </row>
    <row r="126">
      <c r="B126" s="14" t="s">
        <v>865</v>
      </c>
      <c r="C126" s="68" t="s">
        <v>866</v>
      </c>
      <c r="D126" s="67"/>
      <c r="E126" s="67"/>
      <c r="F126" s="67"/>
      <c r="G126" s="67"/>
      <c r="H126" s="67"/>
      <c r="I126" s="67"/>
      <c r="J126" s="67"/>
      <c r="K126" s="67"/>
      <c r="L126" s="67"/>
      <c r="M126" s="67"/>
      <c r="N126" s="67"/>
    </row>
    <row r="127" ht="138.75" customHeight="1">
      <c r="B127" s="75" t="s">
        <v>867</v>
      </c>
      <c r="C127" s="76" t="s">
        <v>868</v>
      </c>
      <c r="D127" s="67"/>
      <c r="E127" s="67"/>
      <c r="F127" s="67"/>
      <c r="G127" s="67"/>
      <c r="H127" s="67"/>
      <c r="I127" s="67"/>
      <c r="J127" s="67"/>
      <c r="K127" s="67"/>
      <c r="L127" s="67"/>
      <c r="M127" s="67"/>
      <c r="N127" s="67"/>
    </row>
    <row r="128" ht="184.5" customHeight="1">
      <c r="B128" s="75" t="s">
        <v>869</v>
      </c>
      <c r="C128" s="76" t="s">
        <v>870</v>
      </c>
      <c r="D128" s="67"/>
      <c r="E128" s="67"/>
      <c r="F128" s="67"/>
      <c r="G128" s="67"/>
      <c r="H128" s="67"/>
      <c r="I128" s="67"/>
      <c r="J128" s="67"/>
      <c r="K128" s="67"/>
      <c r="L128" s="67"/>
      <c r="M128" s="67"/>
      <c r="N128" s="67"/>
    </row>
    <row r="129">
      <c r="B129" s="14" t="s">
        <v>871</v>
      </c>
      <c r="C129" s="68" t="s">
        <v>872</v>
      </c>
      <c r="D129" s="67"/>
      <c r="E129" s="67"/>
      <c r="F129" s="67"/>
      <c r="G129" s="67"/>
      <c r="H129" s="67"/>
      <c r="I129" s="67"/>
      <c r="J129" s="67"/>
      <c r="K129" s="67"/>
      <c r="L129" s="67"/>
      <c r="M129" s="67"/>
      <c r="N129" s="67"/>
    </row>
    <row r="130">
      <c r="C130" s="67"/>
      <c r="D130" s="67"/>
      <c r="E130" s="67"/>
      <c r="F130" s="67"/>
      <c r="G130" s="67"/>
      <c r="H130" s="67"/>
      <c r="I130" s="67"/>
      <c r="J130" s="67"/>
      <c r="K130" s="67"/>
      <c r="L130" s="67"/>
      <c r="M130" s="67"/>
      <c r="N130" s="67"/>
    </row>
    <row r="131">
      <c r="C131" s="67"/>
      <c r="D131" s="67"/>
      <c r="E131" s="67"/>
      <c r="F131" s="67"/>
      <c r="G131" s="67"/>
      <c r="H131" s="67"/>
      <c r="I131" s="67"/>
      <c r="J131" s="67"/>
      <c r="K131" s="67"/>
      <c r="L131" s="67"/>
      <c r="M131" s="67"/>
      <c r="N131" s="67"/>
    </row>
    <row r="132">
      <c r="A132" s="90" t="s">
        <v>873</v>
      </c>
      <c r="B132" s="91"/>
      <c r="C132" s="92"/>
      <c r="D132" s="92"/>
      <c r="E132" s="92"/>
      <c r="F132" s="92"/>
      <c r="G132" s="92"/>
      <c r="H132" s="92"/>
      <c r="I132" s="92"/>
      <c r="J132" s="92"/>
      <c r="K132" s="92"/>
      <c r="L132" s="92"/>
      <c r="M132" s="92"/>
      <c r="N132" s="92"/>
      <c r="O132" s="91"/>
      <c r="P132" s="91"/>
      <c r="Q132" s="91"/>
      <c r="R132" s="91"/>
      <c r="S132" s="91"/>
      <c r="T132" s="91"/>
      <c r="U132" s="91"/>
      <c r="V132" s="91"/>
      <c r="W132" s="91"/>
      <c r="X132" s="91"/>
      <c r="Y132" s="91"/>
      <c r="Z132" s="91"/>
      <c r="AA132" s="91"/>
      <c r="AB132" s="91"/>
      <c r="AC132" s="91"/>
      <c r="AD132" s="91"/>
    </row>
    <row r="133">
      <c r="A133" s="91"/>
      <c r="B133" s="91"/>
      <c r="C133" s="93" t="s">
        <v>874</v>
      </c>
      <c r="D133" s="94" t="s">
        <v>875</v>
      </c>
      <c r="E133" s="95" t="s">
        <v>876</v>
      </c>
      <c r="F133" s="96" t="s">
        <v>877</v>
      </c>
      <c r="G133" s="97" t="s">
        <v>878</v>
      </c>
      <c r="H133" s="98" t="s">
        <v>879</v>
      </c>
      <c r="I133" s="97" t="s">
        <v>880</v>
      </c>
      <c r="J133" s="97" t="s">
        <v>881</v>
      </c>
      <c r="K133" s="97" t="s">
        <v>882</v>
      </c>
      <c r="L133" s="99" t="s">
        <v>883</v>
      </c>
      <c r="M133" s="97" t="s">
        <v>884</v>
      </c>
      <c r="N133" s="97" t="s">
        <v>885</v>
      </c>
      <c r="O133" s="91"/>
      <c r="P133" s="91"/>
      <c r="Q133" s="91"/>
      <c r="R133" s="91"/>
      <c r="S133" s="91"/>
      <c r="T133" s="91"/>
      <c r="U133" s="91"/>
      <c r="V133" s="91"/>
      <c r="W133" s="91"/>
      <c r="X133" s="91"/>
      <c r="Y133" s="91"/>
      <c r="Z133" s="91"/>
      <c r="AA133" s="91"/>
      <c r="AB133" s="91"/>
      <c r="AC133" s="91"/>
      <c r="AD133" s="91"/>
    </row>
    <row r="134">
      <c r="A134" s="91"/>
      <c r="B134" s="91"/>
      <c r="C134" s="92" t="s">
        <v>886</v>
      </c>
      <c r="D134" s="92" t="s">
        <v>887</v>
      </c>
      <c r="E134" s="100" t="s">
        <v>888</v>
      </c>
      <c r="F134" s="100" t="s">
        <v>889</v>
      </c>
      <c r="G134" s="100" t="s">
        <v>890</v>
      </c>
      <c r="H134" s="100" t="s">
        <v>891</v>
      </c>
      <c r="I134" s="100" t="s">
        <v>892</v>
      </c>
      <c r="J134" s="100" t="s">
        <v>893</v>
      </c>
      <c r="K134" s="100" t="s">
        <v>894</v>
      </c>
      <c r="L134" s="100" t="s">
        <v>895</v>
      </c>
      <c r="M134" s="100" t="s">
        <v>896</v>
      </c>
      <c r="N134" s="100" t="s">
        <v>897</v>
      </c>
      <c r="O134" s="91"/>
      <c r="P134" s="91"/>
      <c r="Q134" s="91"/>
      <c r="R134" s="91"/>
      <c r="S134" s="91"/>
      <c r="T134" s="91"/>
      <c r="U134" s="91"/>
      <c r="V134" s="91"/>
      <c r="W134" s="91"/>
      <c r="X134" s="91"/>
      <c r="Y134" s="91"/>
      <c r="Z134" s="91"/>
      <c r="AA134" s="91"/>
      <c r="AB134" s="91"/>
      <c r="AC134" s="91"/>
      <c r="AD134" s="91"/>
    </row>
    <row r="135">
      <c r="C135" s="67"/>
      <c r="D135" s="67"/>
      <c r="E135" s="67"/>
      <c r="F135" s="67"/>
      <c r="G135" s="67"/>
      <c r="H135" s="67"/>
      <c r="I135" s="67"/>
      <c r="J135" s="67"/>
      <c r="K135" s="67"/>
      <c r="L135" s="67"/>
      <c r="M135" s="67"/>
      <c r="N135" s="67"/>
    </row>
    <row r="136">
      <c r="C136" s="67"/>
      <c r="D136" s="67"/>
      <c r="E136" s="67"/>
      <c r="F136" s="67"/>
      <c r="G136" s="67"/>
      <c r="H136" s="67"/>
      <c r="I136" s="67"/>
      <c r="J136" s="67"/>
      <c r="K136" s="67"/>
      <c r="L136" s="67"/>
      <c r="M136" s="67"/>
      <c r="N136" s="67"/>
    </row>
    <row r="137">
      <c r="C137" s="67"/>
      <c r="D137" s="67"/>
      <c r="E137" s="67"/>
      <c r="F137" s="67"/>
      <c r="G137" s="67"/>
      <c r="H137" s="67"/>
      <c r="I137" s="67"/>
      <c r="J137" s="67"/>
      <c r="K137" s="67"/>
      <c r="L137" s="67"/>
      <c r="M137" s="67"/>
      <c r="N137" s="67"/>
    </row>
    <row r="138">
      <c r="C138" s="67"/>
      <c r="D138" s="67"/>
      <c r="E138" s="67"/>
      <c r="F138" s="67"/>
      <c r="G138" s="67"/>
      <c r="H138" s="67"/>
      <c r="I138" s="67"/>
      <c r="J138" s="67"/>
      <c r="K138" s="67"/>
      <c r="L138" s="67"/>
      <c r="M138" s="67"/>
      <c r="N138" s="67"/>
    </row>
    <row r="139">
      <c r="C139" s="67"/>
      <c r="D139" s="67"/>
      <c r="E139" s="67"/>
      <c r="F139" s="67"/>
      <c r="G139" s="67"/>
      <c r="H139" s="67"/>
      <c r="I139" s="67"/>
      <c r="J139" s="67"/>
      <c r="K139" s="67"/>
      <c r="L139" s="67"/>
      <c r="M139" s="67"/>
      <c r="N139" s="67"/>
    </row>
    <row r="140">
      <c r="C140" s="67"/>
      <c r="D140" s="67"/>
      <c r="E140" s="67"/>
      <c r="F140" s="67"/>
      <c r="G140" s="67"/>
      <c r="H140" s="67"/>
      <c r="I140" s="67"/>
      <c r="J140" s="67"/>
      <c r="K140" s="67"/>
      <c r="L140" s="67"/>
      <c r="M140" s="67"/>
      <c r="N140" s="67"/>
    </row>
    <row r="141">
      <c r="C141" s="67"/>
      <c r="D141" s="67"/>
      <c r="E141" s="67"/>
      <c r="F141" s="67"/>
      <c r="G141" s="67"/>
      <c r="H141" s="67"/>
      <c r="I141" s="67"/>
      <c r="J141" s="67"/>
      <c r="K141" s="67"/>
      <c r="L141" s="67"/>
      <c r="M141" s="67"/>
      <c r="N141" s="67"/>
    </row>
    <row r="142">
      <c r="C142" s="67"/>
      <c r="D142" s="67"/>
      <c r="E142" s="67"/>
      <c r="F142" s="67"/>
      <c r="G142" s="67"/>
      <c r="H142" s="67"/>
      <c r="I142" s="67"/>
      <c r="J142" s="67"/>
      <c r="K142" s="67"/>
      <c r="L142" s="67"/>
      <c r="M142" s="67"/>
      <c r="N142" s="67"/>
    </row>
    <row r="143">
      <c r="C143" s="68" t="s">
        <v>898</v>
      </c>
      <c r="D143" s="67"/>
      <c r="E143" s="67"/>
      <c r="F143" s="67"/>
      <c r="G143" s="67"/>
      <c r="H143" s="67"/>
      <c r="I143" s="67"/>
      <c r="J143" s="67"/>
      <c r="K143" s="67"/>
      <c r="L143" s="67"/>
      <c r="M143" s="67"/>
      <c r="N143" s="67"/>
    </row>
    <row r="144">
      <c r="C144" s="67"/>
      <c r="D144" s="67"/>
      <c r="E144" s="67"/>
      <c r="F144" s="67"/>
      <c r="G144" s="67"/>
      <c r="H144" s="67"/>
      <c r="I144" s="67"/>
      <c r="J144" s="67"/>
      <c r="K144" s="67"/>
      <c r="L144" s="67"/>
      <c r="M144" s="67"/>
      <c r="N144" s="67"/>
    </row>
    <row r="145">
      <c r="C145" s="67"/>
      <c r="D145" s="67"/>
      <c r="E145" s="67"/>
      <c r="F145" s="67"/>
      <c r="G145" s="67"/>
      <c r="H145" s="67"/>
      <c r="I145" s="67"/>
      <c r="J145" s="67"/>
      <c r="K145" s="67"/>
      <c r="L145" s="67"/>
      <c r="M145" s="67"/>
      <c r="N145" s="67"/>
    </row>
    <row r="146">
      <c r="C146" s="68" t="s">
        <v>899</v>
      </c>
      <c r="D146" s="67"/>
      <c r="E146" s="67"/>
      <c r="F146" s="67"/>
      <c r="G146" s="67"/>
      <c r="H146" s="67"/>
      <c r="I146" s="67"/>
      <c r="J146" s="67"/>
      <c r="K146" s="67"/>
      <c r="L146" s="67"/>
      <c r="M146" s="67"/>
      <c r="N146" s="67"/>
    </row>
    <row r="147">
      <c r="C147" s="67"/>
      <c r="D147" s="67"/>
      <c r="E147" s="67"/>
      <c r="F147" s="67"/>
      <c r="G147" s="67"/>
      <c r="H147" s="67"/>
      <c r="I147" s="67"/>
      <c r="J147" s="67"/>
      <c r="K147" s="67"/>
      <c r="L147" s="67"/>
      <c r="M147" s="67"/>
      <c r="N147" s="67"/>
    </row>
    <row r="148">
      <c r="C148" s="67"/>
      <c r="D148" s="67"/>
      <c r="E148" s="67"/>
      <c r="F148" s="67"/>
      <c r="G148" s="67"/>
      <c r="H148" s="67"/>
      <c r="I148" s="67"/>
      <c r="J148" s="67"/>
      <c r="K148" s="67"/>
      <c r="L148" s="67"/>
      <c r="M148" s="67"/>
      <c r="N148" s="67"/>
    </row>
    <row r="149">
      <c r="C149" s="68" t="s">
        <v>900</v>
      </c>
      <c r="D149" s="67"/>
      <c r="E149" s="67"/>
      <c r="F149" s="67"/>
      <c r="G149" s="67"/>
      <c r="H149" s="67"/>
      <c r="I149" s="67"/>
      <c r="J149" s="67"/>
      <c r="K149" s="67"/>
      <c r="L149" s="67"/>
      <c r="M149" s="67"/>
      <c r="N149" s="67"/>
    </row>
    <row r="150">
      <c r="C150" s="28" t="s">
        <v>901</v>
      </c>
      <c r="D150" s="67"/>
      <c r="E150" s="67"/>
      <c r="F150" s="67"/>
      <c r="G150" s="67"/>
      <c r="H150" s="67"/>
      <c r="I150" s="67"/>
      <c r="J150" s="67"/>
      <c r="K150" s="67"/>
      <c r="L150" s="67"/>
      <c r="M150" s="67"/>
      <c r="N150" s="67"/>
    </row>
    <row r="151">
      <c r="C151" s="28" t="s">
        <v>902</v>
      </c>
      <c r="D151" s="67"/>
      <c r="E151" s="67"/>
      <c r="F151" s="67"/>
      <c r="G151" s="67"/>
      <c r="H151" s="67"/>
      <c r="I151" s="67"/>
      <c r="J151" s="67"/>
      <c r="K151" s="67"/>
      <c r="L151" s="67"/>
      <c r="M151" s="67"/>
      <c r="N151" s="67"/>
    </row>
    <row r="152">
      <c r="C152" s="67"/>
      <c r="D152" s="67"/>
      <c r="E152" s="67"/>
      <c r="F152" s="67"/>
      <c r="G152" s="67"/>
      <c r="H152" s="67"/>
      <c r="I152" s="67"/>
      <c r="J152" s="67"/>
      <c r="K152" s="67"/>
      <c r="L152" s="67"/>
      <c r="M152" s="67"/>
      <c r="N152" s="67"/>
    </row>
    <row r="153">
      <c r="C153" s="67"/>
      <c r="D153" s="67"/>
      <c r="E153" s="67"/>
      <c r="F153" s="67"/>
      <c r="G153" s="67"/>
      <c r="H153" s="67"/>
      <c r="I153" s="67"/>
      <c r="J153" s="67"/>
      <c r="K153" s="67"/>
      <c r="L153" s="67"/>
      <c r="M153" s="67"/>
      <c r="N153" s="67"/>
    </row>
    <row r="154">
      <c r="C154" s="67"/>
      <c r="D154" s="67"/>
      <c r="E154" s="67"/>
      <c r="F154" s="67"/>
      <c r="G154" s="67"/>
      <c r="H154" s="67"/>
      <c r="I154" s="67"/>
      <c r="J154" s="67"/>
      <c r="K154" s="67"/>
      <c r="L154" s="67"/>
      <c r="M154" s="67"/>
      <c r="N154" s="67"/>
    </row>
    <row r="155">
      <c r="C155" s="67"/>
      <c r="D155" s="67"/>
      <c r="E155" s="67"/>
      <c r="F155" s="67"/>
      <c r="G155" s="67"/>
      <c r="H155" s="67"/>
      <c r="I155" s="67"/>
      <c r="J155" s="67"/>
      <c r="K155" s="67"/>
      <c r="L155" s="67"/>
      <c r="M155" s="67"/>
      <c r="N155" s="67"/>
    </row>
    <row r="156">
      <c r="C156" s="67"/>
      <c r="D156" s="67"/>
      <c r="E156" s="67"/>
      <c r="F156" s="67"/>
      <c r="G156" s="67"/>
      <c r="H156" s="67"/>
      <c r="I156" s="67"/>
      <c r="J156" s="67"/>
      <c r="K156" s="67"/>
      <c r="L156" s="67"/>
      <c r="M156" s="67"/>
      <c r="N156" s="67"/>
    </row>
    <row r="157">
      <c r="C157" s="67"/>
      <c r="D157" s="67"/>
      <c r="E157" s="67"/>
      <c r="F157" s="67"/>
      <c r="G157" s="67"/>
      <c r="H157" s="67"/>
      <c r="I157" s="67"/>
      <c r="J157" s="67"/>
      <c r="K157" s="67"/>
      <c r="L157" s="67"/>
      <c r="M157" s="67"/>
      <c r="N157" s="67"/>
    </row>
    <row r="158">
      <c r="C158" s="67"/>
      <c r="D158" s="67"/>
      <c r="E158" s="67"/>
      <c r="F158" s="67"/>
      <c r="G158" s="67"/>
      <c r="H158" s="67"/>
      <c r="I158" s="67"/>
      <c r="J158" s="67"/>
      <c r="K158" s="67"/>
      <c r="L158" s="67"/>
      <c r="M158" s="67"/>
      <c r="N158" s="67"/>
    </row>
    <row r="159">
      <c r="C159" s="67"/>
      <c r="D159" s="67"/>
      <c r="E159" s="67"/>
      <c r="F159" s="67"/>
      <c r="G159" s="67"/>
      <c r="H159" s="67"/>
      <c r="I159" s="67"/>
      <c r="J159" s="67"/>
      <c r="K159" s="67"/>
      <c r="L159" s="67"/>
      <c r="M159" s="67"/>
      <c r="N159" s="67"/>
    </row>
    <row r="160">
      <c r="C160" s="67"/>
      <c r="D160" s="67"/>
      <c r="E160" s="67"/>
      <c r="F160" s="67"/>
      <c r="G160" s="67"/>
      <c r="H160" s="67"/>
      <c r="I160" s="67"/>
      <c r="J160" s="67"/>
      <c r="K160" s="67"/>
      <c r="L160" s="67"/>
      <c r="M160" s="67"/>
      <c r="N160" s="67"/>
    </row>
    <row r="161">
      <c r="C161" s="67"/>
      <c r="D161" s="67"/>
      <c r="E161" s="67"/>
      <c r="F161" s="67"/>
      <c r="G161" s="67"/>
      <c r="H161" s="67"/>
      <c r="I161" s="67"/>
      <c r="J161" s="67"/>
      <c r="K161" s="67"/>
      <c r="L161" s="67"/>
      <c r="M161" s="67"/>
      <c r="N161" s="67"/>
    </row>
    <row r="162">
      <c r="C162" s="67"/>
      <c r="D162" s="67"/>
      <c r="E162" s="67"/>
      <c r="F162" s="67"/>
      <c r="G162" s="67"/>
      <c r="H162" s="67"/>
      <c r="I162" s="67"/>
      <c r="J162" s="67"/>
      <c r="K162" s="67"/>
      <c r="L162" s="67"/>
      <c r="M162" s="67"/>
      <c r="N162" s="67"/>
    </row>
    <row r="163">
      <c r="C163" s="67"/>
      <c r="D163" s="67"/>
      <c r="E163" s="67"/>
      <c r="F163" s="67"/>
      <c r="G163" s="67"/>
      <c r="H163" s="67"/>
      <c r="I163" s="67"/>
      <c r="J163" s="67"/>
      <c r="K163" s="67"/>
      <c r="L163" s="67"/>
      <c r="M163" s="67"/>
      <c r="N163" s="67"/>
    </row>
    <row r="164">
      <c r="C164" s="67"/>
      <c r="D164" s="67"/>
      <c r="E164" s="67"/>
      <c r="F164" s="67"/>
      <c r="G164" s="67"/>
      <c r="H164" s="67"/>
      <c r="I164" s="67"/>
      <c r="J164" s="67"/>
      <c r="K164" s="67"/>
      <c r="L164" s="67"/>
      <c r="M164" s="67"/>
      <c r="N164" s="67"/>
    </row>
    <row r="165">
      <c r="C165" s="67"/>
      <c r="D165" s="67"/>
      <c r="E165" s="67"/>
      <c r="F165" s="67"/>
      <c r="G165" s="67"/>
      <c r="H165" s="67"/>
      <c r="I165" s="67"/>
      <c r="J165" s="67"/>
      <c r="K165" s="67"/>
      <c r="L165" s="67"/>
      <c r="M165" s="67"/>
      <c r="N165" s="67"/>
    </row>
    <row r="166">
      <c r="C166" s="67"/>
      <c r="D166" s="67"/>
      <c r="E166" s="67"/>
      <c r="F166" s="67"/>
      <c r="G166" s="67"/>
      <c r="H166" s="67"/>
      <c r="I166" s="67"/>
      <c r="J166" s="67"/>
      <c r="K166" s="67"/>
      <c r="L166" s="67"/>
      <c r="M166" s="67"/>
      <c r="N166" s="67"/>
    </row>
    <row r="167">
      <c r="C167" s="67"/>
      <c r="D167" s="67"/>
      <c r="E167" s="67"/>
      <c r="F167" s="67"/>
      <c r="G167" s="67"/>
      <c r="H167" s="67"/>
      <c r="I167" s="67"/>
      <c r="J167" s="67"/>
      <c r="K167" s="67"/>
      <c r="L167" s="67"/>
      <c r="M167" s="67"/>
      <c r="N167" s="67"/>
    </row>
    <row r="168">
      <c r="C168" s="67"/>
      <c r="D168" s="67"/>
      <c r="E168" s="67"/>
      <c r="F168" s="67"/>
      <c r="G168" s="67"/>
      <c r="H168" s="67"/>
      <c r="I168" s="67"/>
      <c r="J168" s="67"/>
      <c r="K168" s="67"/>
      <c r="L168" s="67"/>
      <c r="M168" s="67"/>
      <c r="N168" s="67"/>
    </row>
    <row r="169">
      <c r="C169" s="67"/>
      <c r="D169" s="67"/>
      <c r="E169" s="67"/>
      <c r="F169" s="67"/>
      <c r="G169" s="67"/>
      <c r="H169" s="67"/>
      <c r="I169" s="67"/>
      <c r="J169" s="67"/>
      <c r="K169" s="67"/>
      <c r="L169" s="67"/>
      <c r="M169" s="67"/>
      <c r="N169" s="67"/>
    </row>
    <row r="170">
      <c r="C170" s="67"/>
      <c r="D170" s="67"/>
      <c r="E170" s="67"/>
      <c r="F170" s="67"/>
      <c r="G170" s="67"/>
      <c r="H170" s="67"/>
      <c r="I170" s="67"/>
      <c r="J170" s="67"/>
      <c r="K170" s="67"/>
      <c r="L170" s="67"/>
      <c r="M170" s="67"/>
      <c r="N170" s="67"/>
    </row>
    <row r="171">
      <c r="C171" s="67"/>
      <c r="D171" s="67"/>
      <c r="E171" s="67"/>
      <c r="F171" s="67"/>
      <c r="G171" s="67"/>
      <c r="H171" s="67"/>
      <c r="I171" s="67"/>
      <c r="J171" s="67"/>
      <c r="K171" s="67"/>
      <c r="L171" s="67"/>
      <c r="M171" s="67"/>
      <c r="N171" s="67"/>
    </row>
    <row r="172">
      <c r="C172" s="67"/>
      <c r="D172" s="67"/>
      <c r="E172" s="67"/>
      <c r="F172" s="67"/>
      <c r="G172" s="67"/>
      <c r="H172" s="67"/>
      <c r="I172" s="67"/>
      <c r="J172" s="67"/>
      <c r="K172" s="67"/>
      <c r="L172" s="67"/>
      <c r="M172" s="67"/>
      <c r="N172" s="67"/>
    </row>
    <row r="173">
      <c r="C173" s="67"/>
      <c r="D173" s="67"/>
      <c r="E173" s="67"/>
      <c r="F173" s="67"/>
      <c r="G173" s="67"/>
      <c r="H173" s="67"/>
      <c r="I173" s="67"/>
      <c r="J173" s="67"/>
      <c r="K173" s="67"/>
      <c r="L173" s="67"/>
      <c r="M173" s="67"/>
      <c r="N173" s="67"/>
    </row>
    <row r="174">
      <c r="C174" s="67"/>
      <c r="D174" s="67"/>
      <c r="E174" s="67"/>
      <c r="F174" s="67"/>
      <c r="G174" s="67"/>
      <c r="H174" s="67"/>
      <c r="I174" s="67"/>
      <c r="J174" s="67"/>
      <c r="K174" s="67"/>
      <c r="L174" s="67"/>
      <c r="M174" s="67"/>
      <c r="N174" s="67"/>
    </row>
    <row r="175">
      <c r="C175" s="67"/>
      <c r="D175" s="67"/>
      <c r="E175" s="67"/>
      <c r="F175" s="67"/>
      <c r="G175" s="67"/>
      <c r="H175" s="67"/>
      <c r="I175" s="67"/>
      <c r="J175" s="67"/>
      <c r="K175" s="67"/>
      <c r="L175" s="67"/>
      <c r="M175" s="67"/>
      <c r="N175" s="67"/>
    </row>
    <row r="176">
      <c r="C176" s="67"/>
      <c r="D176" s="67"/>
      <c r="E176" s="67"/>
      <c r="F176" s="67"/>
      <c r="G176" s="67"/>
      <c r="H176" s="67"/>
      <c r="I176" s="67"/>
      <c r="J176" s="67"/>
      <c r="K176" s="67"/>
      <c r="L176" s="67"/>
      <c r="M176" s="67"/>
      <c r="N176" s="67"/>
    </row>
    <row r="177">
      <c r="C177" s="67"/>
      <c r="D177" s="67"/>
      <c r="E177" s="67"/>
      <c r="F177" s="67"/>
      <c r="G177" s="67"/>
      <c r="H177" s="67"/>
      <c r="I177" s="67"/>
      <c r="J177" s="67"/>
      <c r="K177" s="67"/>
      <c r="L177" s="67"/>
      <c r="M177" s="67"/>
      <c r="N177" s="67"/>
    </row>
    <row r="178">
      <c r="C178" s="67"/>
      <c r="D178" s="67"/>
      <c r="E178" s="67"/>
      <c r="F178" s="67"/>
      <c r="G178" s="67"/>
      <c r="H178" s="67"/>
      <c r="I178" s="67"/>
      <c r="J178" s="67"/>
      <c r="K178" s="67"/>
      <c r="L178" s="67"/>
      <c r="M178" s="67"/>
      <c r="N178" s="67"/>
    </row>
    <row r="179">
      <c r="C179" s="67"/>
      <c r="D179" s="67"/>
      <c r="E179" s="67"/>
      <c r="F179" s="67"/>
      <c r="G179" s="67"/>
      <c r="H179" s="67"/>
      <c r="I179" s="67"/>
      <c r="J179" s="67"/>
      <c r="K179" s="67"/>
      <c r="L179" s="67"/>
      <c r="M179" s="67"/>
      <c r="N179" s="67"/>
    </row>
    <row r="180">
      <c r="C180" s="67"/>
      <c r="D180" s="67"/>
      <c r="E180" s="67"/>
      <c r="F180" s="67"/>
      <c r="G180" s="67"/>
      <c r="H180" s="67"/>
      <c r="I180" s="67"/>
      <c r="J180" s="67"/>
      <c r="K180" s="67"/>
      <c r="L180" s="67"/>
      <c r="M180" s="67"/>
      <c r="N180" s="67"/>
    </row>
    <row r="181">
      <c r="C181" s="67"/>
      <c r="D181" s="67"/>
      <c r="E181" s="67"/>
      <c r="F181" s="67"/>
      <c r="G181" s="67"/>
      <c r="H181" s="67"/>
      <c r="I181" s="67"/>
      <c r="J181" s="67"/>
      <c r="K181" s="67"/>
      <c r="L181" s="67"/>
      <c r="M181" s="67"/>
      <c r="N181" s="67"/>
    </row>
    <row r="182">
      <c r="C182" s="67"/>
      <c r="D182" s="67"/>
      <c r="E182" s="67"/>
      <c r="F182" s="67"/>
      <c r="G182" s="67"/>
      <c r="H182" s="67"/>
      <c r="I182" s="67"/>
      <c r="J182" s="67"/>
      <c r="K182" s="67"/>
      <c r="L182" s="67"/>
      <c r="M182" s="67"/>
      <c r="N182" s="67"/>
    </row>
    <row r="183">
      <c r="C183" s="67"/>
      <c r="D183" s="67"/>
      <c r="E183" s="67"/>
      <c r="F183" s="67"/>
      <c r="G183" s="67"/>
      <c r="H183" s="67"/>
      <c r="I183" s="67"/>
      <c r="J183" s="67"/>
      <c r="K183" s="67"/>
      <c r="L183" s="67"/>
      <c r="M183" s="67"/>
      <c r="N183" s="67"/>
    </row>
    <row r="184">
      <c r="C184" s="67"/>
      <c r="D184" s="67"/>
      <c r="E184" s="67"/>
      <c r="F184" s="67"/>
      <c r="G184" s="67"/>
      <c r="H184" s="67"/>
      <c r="I184" s="67"/>
      <c r="J184" s="67"/>
      <c r="K184" s="67"/>
      <c r="L184" s="67"/>
      <c r="M184" s="67"/>
      <c r="N184" s="67"/>
    </row>
    <row r="185">
      <c r="C185" s="67"/>
      <c r="D185" s="67"/>
      <c r="E185" s="67"/>
      <c r="F185" s="67"/>
      <c r="G185" s="67"/>
      <c r="H185" s="67"/>
      <c r="I185" s="67"/>
      <c r="J185" s="67"/>
      <c r="K185" s="67"/>
      <c r="L185" s="67"/>
      <c r="M185" s="67"/>
      <c r="N185" s="67"/>
    </row>
    <row r="186">
      <c r="C186" s="67"/>
      <c r="D186" s="67"/>
      <c r="E186" s="67"/>
      <c r="F186" s="67"/>
      <c r="G186" s="67"/>
      <c r="H186" s="67"/>
      <c r="I186" s="67"/>
      <c r="J186" s="67"/>
      <c r="K186" s="67"/>
      <c r="L186" s="67"/>
      <c r="M186" s="67"/>
      <c r="N186" s="67"/>
    </row>
    <row r="187">
      <c r="C187" s="67"/>
      <c r="D187" s="67"/>
      <c r="E187" s="67"/>
      <c r="F187" s="67"/>
      <c r="G187" s="67"/>
      <c r="H187" s="67"/>
      <c r="I187" s="67"/>
      <c r="J187" s="67"/>
      <c r="K187" s="67"/>
      <c r="L187" s="67"/>
      <c r="M187" s="67"/>
      <c r="N187" s="67"/>
    </row>
    <row r="188">
      <c r="C188" s="67"/>
      <c r="D188" s="67"/>
      <c r="E188" s="67"/>
      <c r="F188" s="67"/>
      <c r="G188" s="67"/>
      <c r="H188" s="67"/>
      <c r="I188" s="67"/>
      <c r="J188" s="67"/>
      <c r="K188" s="67"/>
      <c r="L188" s="67"/>
      <c r="M188" s="67"/>
      <c r="N188" s="67"/>
    </row>
    <row r="189">
      <c r="C189" s="67"/>
      <c r="D189" s="67"/>
      <c r="E189" s="67"/>
      <c r="F189" s="67"/>
      <c r="G189" s="67"/>
      <c r="H189" s="67"/>
      <c r="I189" s="67"/>
      <c r="J189" s="67"/>
      <c r="K189" s="67"/>
      <c r="L189" s="67"/>
      <c r="M189" s="67"/>
      <c r="N189" s="67"/>
    </row>
    <row r="190">
      <c r="C190" s="67"/>
      <c r="D190" s="67"/>
      <c r="E190" s="67"/>
      <c r="F190" s="67"/>
      <c r="G190" s="67"/>
      <c r="H190" s="67"/>
      <c r="I190" s="67"/>
      <c r="J190" s="67"/>
      <c r="K190" s="67"/>
      <c r="L190" s="67"/>
      <c r="M190" s="67"/>
      <c r="N190" s="67"/>
    </row>
    <row r="191">
      <c r="C191" s="67"/>
      <c r="D191" s="67"/>
      <c r="E191" s="67"/>
      <c r="F191" s="67"/>
      <c r="G191" s="67"/>
      <c r="H191" s="67"/>
      <c r="I191" s="67"/>
      <c r="J191" s="67"/>
      <c r="K191" s="67"/>
      <c r="L191" s="67"/>
      <c r="M191" s="67"/>
      <c r="N191" s="67"/>
    </row>
    <row r="192">
      <c r="C192" s="67"/>
      <c r="D192" s="67"/>
      <c r="E192" s="67"/>
      <c r="F192" s="67"/>
      <c r="G192" s="67"/>
      <c r="H192" s="67"/>
      <c r="I192" s="67"/>
      <c r="J192" s="67"/>
      <c r="K192" s="67"/>
      <c r="L192" s="67"/>
      <c r="M192" s="67"/>
      <c r="N192" s="67"/>
    </row>
    <row r="193">
      <c r="C193" s="67"/>
      <c r="D193" s="67"/>
      <c r="E193" s="67"/>
      <c r="F193" s="67"/>
      <c r="G193" s="67"/>
      <c r="H193" s="67"/>
      <c r="I193" s="67"/>
      <c r="J193" s="67"/>
      <c r="K193" s="67"/>
      <c r="L193" s="67"/>
      <c r="M193" s="67"/>
      <c r="N193" s="67"/>
    </row>
    <row r="194">
      <c r="C194" s="67"/>
      <c r="D194" s="67"/>
      <c r="E194" s="67"/>
      <c r="F194" s="67"/>
      <c r="G194" s="67"/>
      <c r="H194" s="67"/>
      <c r="I194" s="67"/>
      <c r="J194" s="67"/>
      <c r="K194" s="67"/>
      <c r="L194" s="67"/>
      <c r="M194" s="67"/>
      <c r="N194" s="67"/>
    </row>
    <row r="195">
      <c r="C195" s="67"/>
      <c r="D195" s="67"/>
      <c r="E195" s="67"/>
      <c r="F195" s="67"/>
      <c r="G195" s="67"/>
      <c r="H195" s="67"/>
      <c r="I195" s="67"/>
      <c r="J195" s="67"/>
      <c r="K195" s="67"/>
      <c r="L195" s="67"/>
      <c r="M195" s="67"/>
      <c r="N195" s="67"/>
    </row>
    <row r="196">
      <c r="C196" s="67"/>
      <c r="D196" s="67"/>
      <c r="E196" s="67"/>
      <c r="F196" s="67"/>
      <c r="G196" s="67"/>
      <c r="H196" s="67"/>
      <c r="I196" s="67"/>
      <c r="J196" s="67"/>
      <c r="K196" s="67"/>
      <c r="L196" s="67"/>
      <c r="M196" s="67"/>
      <c r="N196" s="67"/>
    </row>
    <row r="197">
      <c r="C197" s="67"/>
      <c r="D197" s="67"/>
      <c r="E197" s="67"/>
      <c r="F197" s="67"/>
      <c r="G197" s="67"/>
      <c r="H197" s="67"/>
      <c r="I197" s="67"/>
      <c r="J197" s="67"/>
      <c r="K197" s="67"/>
      <c r="L197" s="67"/>
      <c r="M197" s="67"/>
      <c r="N197" s="67"/>
    </row>
    <row r="198">
      <c r="C198" s="67"/>
      <c r="D198" s="67"/>
      <c r="E198" s="67"/>
      <c r="F198" s="67"/>
      <c r="G198" s="67"/>
      <c r="H198" s="67"/>
      <c r="I198" s="67"/>
      <c r="J198" s="67"/>
      <c r="K198" s="67"/>
      <c r="L198" s="67"/>
      <c r="M198" s="67"/>
      <c r="N198" s="67"/>
    </row>
    <row r="199">
      <c r="C199" s="67"/>
      <c r="D199" s="67"/>
      <c r="E199" s="67"/>
      <c r="F199" s="67"/>
      <c r="G199" s="67"/>
      <c r="H199" s="67"/>
      <c r="I199" s="67"/>
      <c r="J199" s="67"/>
      <c r="K199" s="67"/>
      <c r="L199" s="67"/>
      <c r="M199" s="67"/>
      <c r="N199" s="67"/>
    </row>
    <row r="200">
      <c r="C200" s="67"/>
      <c r="D200" s="67"/>
      <c r="E200" s="67"/>
      <c r="F200" s="67"/>
      <c r="G200" s="67"/>
      <c r="H200" s="67"/>
      <c r="I200" s="67"/>
      <c r="J200" s="67"/>
      <c r="K200" s="67"/>
      <c r="L200" s="67"/>
      <c r="M200" s="67"/>
      <c r="N200" s="67"/>
    </row>
    <row r="201">
      <c r="C201" s="67"/>
      <c r="D201" s="67"/>
      <c r="E201" s="67"/>
      <c r="F201" s="67"/>
      <c r="G201" s="67"/>
      <c r="H201" s="67"/>
      <c r="I201" s="67"/>
      <c r="J201" s="67"/>
      <c r="K201" s="67"/>
      <c r="L201" s="67"/>
      <c r="M201" s="67"/>
      <c r="N201" s="67"/>
    </row>
    <row r="202">
      <c r="C202" s="67"/>
      <c r="D202" s="67"/>
      <c r="E202" s="67"/>
      <c r="F202" s="67"/>
      <c r="G202" s="67"/>
      <c r="H202" s="67"/>
      <c r="I202" s="67"/>
      <c r="J202" s="67"/>
      <c r="K202" s="67"/>
      <c r="L202" s="67"/>
      <c r="M202" s="67"/>
      <c r="N202" s="67"/>
    </row>
    <row r="203">
      <c r="C203" s="67"/>
      <c r="D203" s="67"/>
      <c r="E203" s="67"/>
      <c r="F203" s="67"/>
      <c r="G203" s="67"/>
      <c r="H203" s="67"/>
      <c r="I203" s="67"/>
      <c r="J203" s="67"/>
      <c r="K203" s="67"/>
      <c r="L203" s="67"/>
      <c r="M203" s="67"/>
      <c r="N203" s="67"/>
    </row>
    <row r="204">
      <c r="C204" s="67"/>
      <c r="D204" s="67"/>
      <c r="E204" s="67"/>
      <c r="F204" s="67"/>
      <c r="G204" s="67"/>
      <c r="H204" s="67"/>
      <c r="I204" s="67"/>
      <c r="J204" s="67"/>
      <c r="K204" s="67"/>
      <c r="L204" s="67"/>
      <c r="M204" s="67"/>
      <c r="N204" s="67"/>
    </row>
    <row r="205">
      <c r="C205" s="67"/>
      <c r="D205" s="67"/>
      <c r="E205" s="67"/>
      <c r="F205" s="67"/>
      <c r="G205" s="67"/>
      <c r="H205" s="67"/>
      <c r="I205" s="67"/>
      <c r="J205" s="67"/>
      <c r="K205" s="67"/>
      <c r="L205" s="67"/>
      <c r="M205" s="67"/>
      <c r="N205" s="67"/>
    </row>
    <row r="206">
      <c r="C206" s="67"/>
      <c r="D206" s="67"/>
      <c r="E206" s="67"/>
      <c r="F206" s="67"/>
      <c r="G206" s="67"/>
      <c r="H206" s="67"/>
      <c r="I206" s="67"/>
      <c r="J206" s="67"/>
      <c r="K206" s="67"/>
      <c r="L206" s="67"/>
      <c r="M206" s="67"/>
      <c r="N206" s="67"/>
    </row>
    <row r="207">
      <c r="C207" s="67"/>
      <c r="D207" s="67"/>
      <c r="E207" s="67"/>
      <c r="F207" s="67"/>
      <c r="G207" s="67"/>
      <c r="H207" s="67"/>
      <c r="I207" s="67"/>
      <c r="J207" s="67"/>
      <c r="K207" s="67"/>
      <c r="L207" s="67"/>
      <c r="M207" s="67"/>
      <c r="N207" s="67"/>
    </row>
    <row r="208">
      <c r="C208" s="67"/>
      <c r="D208" s="67"/>
      <c r="E208" s="67"/>
      <c r="F208" s="67"/>
      <c r="G208" s="67"/>
      <c r="H208" s="67"/>
      <c r="I208" s="67"/>
      <c r="J208" s="67"/>
      <c r="K208" s="67"/>
      <c r="L208" s="67"/>
      <c r="M208" s="67"/>
      <c r="N208" s="67"/>
    </row>
    <row r="209">
      <c r="C209" s="67"/>
      <c r="D209" s="67"/>
      <c r="E209" s="67"/>
      <c r="F209" s="67"/>
      <c r="G209" s="67"/>
      <c r="H209" s="67"/>
      <c r="I209" s="67"/>
      <c r="J209" s="67"/>
      <c r="K209" s="67"/>
      <c r="L209" s="67"/>
      <c r="M209" s="67"/>
      <c r="N209" s="67"/>
    </row>
    <row r="210">
      <c r="C210" s="67"/>
      <c r="D210" s="67"/>
      <c r="E210" s="67"/>
      <c r="F210" s="67"/>
      <c r="G210" s="67"/>
      <c r="H210" s="67"/>
      <c r="I210" s="67"/>
      <c r="J210" s="67"/>
      <c r="K210" s="67"/>
      <c r="L210" s="67"/>
      <c r="M210" s="67"/>
      <c r="N210" s="67"/>
    </row>
    <row r="211">
      <c r="C211" s="67"/>
      <c r="D211" s="67"/>
      <c r="E211" s="67"/>
      <c r="F211" s="67"/>
      <c r="G211" s="67"/>
      <c r="H211" s="67"/>
      <c r="I211" s="67"/>
      <c r="J211" s="67"/>
      <c r="K211" s="67"/>
      <c r="L211" s="67"/>
      <c r="M211" s="67"/>
      <c r="N211" s="67"/>
    </row>
    <row r="212">
      <c r="C212" s="67"/>
      <c r="D212" s="67"/>
      <c r="E212" s="67"/>
      <c r="F212" s="67"/>
      <c r="G212" s="67"/>
      <c r="H212" s="67"/>
      <c r="I212" s="67"/>
      <c r="J212" s="67"/>
      <c r="K212" s="67"/>
      <c r="L212" s="67"/>
      <c r="M212" s="67"/>
      <c r="N212" s="67"/>
    </row>
    <row r="213">
      <c r="C213" s="67"/>
      <c r="D213" s="67"/>
      <c r="E213" s="67"/>
      <c r="F213" s="67"/>
      <c r="G213" s="67"/>
      <c r="H213" s="67"/>
      <c r="I213" s="67"/>
      <c r="J213" s="67"/>
      <c r="K213" s="67"/>
      <c r="L213" s="67"/>
      <c r="M213" s="67"/>
      <c r="N213" s="67"/>
    </row>
    <row r="214">
      <c r="C214" s="67"/>
      <c r="D214" s="67"/>
      <c r="E214" s="67"/>
      <c r="F214" s="67"/>
      <c r="G214" s="67"/>
      <c r="H214" s="67"/>
      <c r="I214" s="67"/>
      <c r="J214" s="67"/>
      <c r="K214" s="67"/>
      <c r="L214" s="67"/>
      <c r="M214" s="67"/>
      <c r="N214" s="67"/>
    </row>
    <row r="215">
      <c r="C215" s="67"/>
      <c r="D215" s="67"/>
      <c r="E215" s="67"/>
      <c r="F215" s="67"/>
      <c r="G215" s="67"/>
      <c r="H215" s="67"/>
      <c r="I215" s="67"/>
      <c r="J215" s="67"/>
      <c r="K215" s="67"/>
      <c r="L215" s="67"/>
      <c r="M215" s="67"/>
      <c r="N215" s="67"/>
    </row>
    <row r="216">
      <c r="C216" s="67"/>
      <c r="D216" s="67"/>
      <c r="E216" s="67"/>
      <c r="F216" s="67"/>
      <c r="G216" s="67"/>
      <c r="H216" s="67"/>
      <c r="I216" s="67"/>
      <c r="J216" s="67"/>
      <c r="K216" s="67"/>
      <c r="L216" s="67"/>
      <c r="M216" s="67"/>
      <c r="N216" s="67"/>
    </row>
    <row r="217">
      <c r="C217" s="67"/>
      <c r="D217" s="67"/>
      <c r="E217" s="67"/>
      <c r="F217" s="67"/>
      <c r="G217" s="67"/>
      <c r="H217" s="67"/>
      <c r="I217" s="67"/>
      <c r="J217" s="67"/>
      <c r="K217" s="67"/>
      <c r="L217" s="67"/>
      <c r="M217" s="67"/>
      <c r="N217" s="67"/>
    </row>
    <row r="218">
      <c r="C218" s="67"/>
      <c r="D218" s="67"/>
      <c r="E218" s="67"/>
      <c r="F218" s="67"/>
      <c r="G218" s="67"/>
      <c r="H218" s="67"/>
      <c r="I218" s="67"/>
      <c r="J218" s="67"/>
      <c r="K218" s="67"/>
      <c r="L218" s="67"/>
      <c r="M218" s="67"/>
      <c r="N218" s="67"/>
    </row>
    <row r="219">
      <c r="C219" s="67"/>
      <c r="D219" s="67"/>
      <c r="E219" s="67"/>
      <c r="F219" s="67"/>
      <c r="G219" s="67"/>
      <c r="H219" s="67"/>
      <c r="I219" s="67"/>
      <c r="J219" s="67"/>
      <c r="K219" s="67"/>
      <c r="L219" s="67"/>
      <c r="M219" s="67"/>
      <c r="N219" s="67"/>
    </row>
    <row r="220">
      <c r="C220" s="67"/>
      <c r="D220" s="67"/>
      <c r="E220" s="67"/>
      <c r="F220" s="67"/>
      <c r="G220" s="67"/>
      <c r="H220" s="67"/>
      <c r="I220" s="67"/>
      <c r="J220" s="67"/>
      <c r="K220" s="67"/>
      <c r="L220" s="67"/>
      <c r="M220" s="67"/>
      <c r="N220" s="67"/>
    </row>
    <row r="221">
      <c r="C221" s="67"/>
      <c r="D221" s="67"/>
      <c r="E221" s="67"/>
      <c r="F221" s="67"/>
      <c r="G221" s="67"/>
      <c r="H221" s="67"/>
      <c r="I221" s="67"/>
      <c r="J221" s="67"/>
      <c r="K221" s="67"/>
      <c r="L221" s="67"/>
      <c r="M221" s="67"/>
      <c r="N221" s="67"/>
    </row>
    <row r="222">
      <c r="C222" s="67"/>
      <c r="D222" s="67"/>
      <c r="E222" s="67"/>
      <c r="F222" s="67"/>
      <c r="G222" s="67"/>
      <c r="H222" s="67"/>
      <c r="I222" s="67"/>
      <c r="J222" s="67"/>
      <c r="K222" s="67"/>
      <c r="L222" s="67"/>
      <c r="M222" s="67"/>
      <c r="N222" s="67"/>
    </row>
    <row r="223">
      <c r="C223" s="67"/>
      <c r="D223" s="67"/>
      <c r="E223" s="67"/>
      <c r="F223" s="67"/>
      <c r="G223" s="67"/>
      <c r="H223" s="67"/>
      <c r="I223" s="67"/>
      <c r="J223" s="67"/>
      <c r="K223" s="67"/>
      <c r="L223" s="67"/>
      <c r="M223" s="67"/>
      <c r="N223" s="67"/>
    </row>
    <row r="224">
      <c r="C224" s="67"/>
      <c r="D224" s="67"/>
      <c r="E224" s="67"/>
      <c r="F224" s="67"/>
      <c r="G224" s="67"/>
      <c r="H224" s="67"/>
      <c r="I224" s="67"/>
      <c r="J224" s="67"/>
      <c r="K224" s="67"/>
      <c r="L224" s="67"/>
      <c r="M224" s="67"/>
      <c r="N224" s="67"/>
    </row>
    <row r="225">
      <c r="C225" s="67"/>
      <c r="D225" s="67"/>
      <c r="E225" s="67"/>
      <c r="F225" s="67"/>
      <c r="G225" s="67"/>
      <c r="H225" s="67"/>
      <c r="I225" s="67"/>
      <c r="J225" s="67"/>
      <c r="K225" s="67"/>
      <c r="L225" s="67"/>
      <c r="M225" s="67"/>
      <c r="N225" s="67"/>
    </row>
    <row r="226">
      <c r="C226" s="67"/>
      <c r="D226" s="67"/>
      <c r="E226" s="67"/>
      <c r="F226" s="67"/>
      <c r="G226" s="67"/>
      <c r="H226" s="67"/>
      <c r="I226" s="67"/>
      <c r="J226" s="67"/>
      <c r="K226" s="67"/>
      <c r="L226" s="67"/>
      <c r="M226" s="67"/>
      <c r="N226" s="67"/>
    </row>
    <row r="227">
      <c r="C227" s="67"/>
      <c r="D227" s="67"/>
      <c r="E227" s="67"/>
      <c r="F227" s="67"/>
      <c r="G227" s="67"/>
      <c r="H227" s="67"/>
      <c r="I227" s="67"/>
      <c r="J227" s="67"/>
      <c r="K227" s="67"/>
      <c r="L227" s="67"/>
      <c r="M227" s="67"/>
      <c r="N227" s="67"/>
    </row>
    <row r="228">
      <c r="C228" s="67"/>
      <c r="D228" s="67"/>
      <c r="E228" s="67"/>
      <c r="F228" s="67"/>
      <c r="G228" s="67"/>
      <c r="H228" s="67"/>
      <c r="I228" s="67"/>
      <c r="J228" s="67"/>
      <c r="K228" s="67"/>
      <c r="L228" s="67"/>
      <c r="M228" s="67"/>
      <c r="N228" s="67"/>
    </row>
    <row r="229">
      <c r="C229" s="67"/>
      <c r="D229" s="67"/>
      <c r="E229" s="67"/>
      <c r="F229" s="67"/>
      <c r="G229" s="67"/>
      <c r="H229" s="67"/>
      <c r="I229" s="67"/>
      <c r="J229" s="67"/>
      <c r="K229" s="67"/>
      <c r="L229" s="67"/>
      <c r="M229" s="67"/>
      <c r="N229" s="67"/>
    </row>
    <row r="230">
      <c r="C230" s="67"/>
      <c r="D230" s="67"/>
      <c r="E230" s="67"/>
      <c r="F230" s="67"/>
      <c r="G230" s="67"/>
      <c r="H230" s="67"/>
      <c r="I230" s="67"/>
      <c r="J230" s="67"/>
      <c r="K230" s="67"/>
      <c r="L230" s="67"/>
      <c r="M230" s="67"/>
      <c r="N230" s="67"/>
    </row>
    <row r="231">
      <c r="C231" s="67"/>
      <c r="D231" s="67"/>
      <c r="E231" s="67"/>
      <c r="F231" s="67"/>
      <c r="G231" s="67"/>
      <c r="H231" s="67"/>
      <c r="I231" s="67"/>
      <c r="J231" s="67"/>
      <c r="K231" s="67"/>
      <c r="L231" s="67"/>
      <c r="M231" s="67"/>
      <c r="N231" s="67"/>
    </row>
    <row r="232">
      <c r="C232" s="67"/>
      <c r="D232" s="67"/>
      <c r="E232" s="67"/>
      <c r="F232" s="67"/>
      <c r="G232" s="67"/>
      <c r="H232" s="67"/>
      <c r="I232" s="67"/>
      <c r="J232" s="67"/>
      <c r="K232" s="67"/>
      <c r="L232" s="67"/>
      <c r="M232" s="67"/>
      <c r="N232" s="67"/>
    </row>
    <row r="233">
      <c r="C233" s="67"/>
      <c r="D233" s="67"/>
      <c r="E233" s="67"/>
      <c r="F233" s="67"/>
      <c r="G233" s="67"/>
      <c r="H233" s="67"/>
      <c r="I233" s="67"/>
      <c r="J233" s="67"/>
      <c r="K233" s="67"/>
      <c r="L233" s="67"/>
      <c r="M233" s="67"/>
      <c r="N233" s="67"/>
    </row>
    <row r="234">
      <c r="C234" s="67"/>
      <c r="D234" s="67"/>
      <c r="E234" s="67"/>
      <c r="F234" s="67"/>
      <c r="G234" s="67"/>
      <c r="H234" s="67"/>
      <c r="I234" s="67"/>
      <c r="J234" s="67"/>
      <c r="K234" s="67"/>
      <c r="L234" s="67"/>
      <c r="M234" s="67"/>
      <c r="N234" s="67"/>
    </row>
    <row r="235">
      <c r="C235" s="67"/>
      <c r="D235" s="67"/>
      <c r="E235" s="67"/>
      <c r="F235" s="67"/>
      <c r="G235" s="67"/>
      <c r="H235" s="67"/>
      <c r="I235" s="67"/>
      <c r="J235" s="67"/>
      <c r="K235" s="67"/>
      <c r="L235" s="67"/>
      <c r="M235" s="67"/>
      <c r="N235" s="67"/>
    </row>
    <row r="236">
      <c r="C236" s="67"/>
      <c r="D236" s="67"/>
      <c r="E236" s="67"/>
      <c r="F236" s="67"/>
      <c r="G236" s="67"/>
      <c r="H236" s="67"/>
      <c r="I236" s="67"/>
      <c r="J236" s="67"/>
      <c r="K236" s="67"/>
      <c r="L236" s="67"/>
      <c r="M236" s="67"/>
      <c r="N236" s="67"/>
    </row>
    <row r="237">
      <c r="C237" s="67"/>
      <c r="D237" s="67"/>
      <c r="E237" s="67"/>
      <c r="F237" s="67"/>
      <c r="G237" s="67"/>
      <c r="H237" s="67"/>
      <c r="I237" s="67"/>
      <c r="J237" s="67"/>
      <c r="K237" s="67"/>
      <c r="L237" s="67"/>
      <c r="M237" s="67"/>
      <c r="N237" s="67"/>
    </row>
    <row r="238">
      <c r="C238" s="67"/>
      <c r="D238" s="67"/>
      <c r="E238" s="67"/>
      <c r="F238" s="67"/>
      <c r="G238" s="67"/>
      <c r="H238" s="67"/>
      <c r="I238" s="67"/>
      <c r="J238" s="67"/>
      <c r="K238" s="67"/>
      <c r="L238" s="67"/>
      <c r="M238" s="67"/>
      <c r="N238" s="67"/>
    </row>
    <row r="239">
      <c r="C239" s="67"/>
      <c r="D239" s="67"/>
      <c r="E239" s="67"/>
      <c r="F239" s="67"/>
      <c r="G239" s="67"/>
      <c r="H239" s="67"/>
      <c r="I239" s="67"/>
      <c r="J239" s="67"/>
      <c r="K239" s="67"/>
      <c r="L239" s="67"/>
      <c r="M239" s="67"/>
      <c r="N239" s="67"/>
    </row>
    <row r="240">
      <c r="C240" s="67"/>
      <c r="D240" s="67"/>
      <c r="E240" s="67"/>
      <c r="F240" s="67"/>
      <c r="G240" s="67"/>
      <c r="H240" s="67"/>
      <c r="I240" s="67"/>
      <c r="J240" s="67"/>
      <c r="K240" s="67"/>
      <c r="L240" s="67"/>
      <c r="M240" s="67"/>
      <c r="N240" s="67"/>
    </row>
    <row r="241">
      <c r="C241" s="67"/>
      <c r="D241" s="67"/>
      <c r="E241" s="67"/>
      <c r="F241" s="67"/>
      <c r="G241" s="67"/>
      <c r="H241" s="67"/>
      <c r="I241" s="67"/>
      <c r="J241" s="67"/>
      <c r="K241" s="67"/>
      <c r="L241" s="67"/>
      <c r="M241" s="67"/>
      <c r="N241" s="67"/>
    </row>
    <row r="242">
      <c r="C242" s="67"/>
      <c r="D242" s="67"/>
      <c r="E242" s="67"/>
      <c r="F242" s="67"/>
      <c r="G242" s="67"/>
      <c r="H242" s="67"/>
      <c r="I242" s="67"/>
      <c r="J242" s="67"/>
      <c r="K242" s="67"/>
      <c r="L242" s="67"/>
      <c r="M242" s="67"/>
      <c r="N242" s="67"/>
    </row>
    <row r="243">
      <c r="C243" s="67"/>
      <c r="D243" s="67"/>
      <c r="E243" s="67"/>
      <c r="F243" s="67"/>
      <c r="G243" s="67"/>
      <c r="H243" s="67"/>
      <c r="I243" s="67"/>
      <c r="J243" s="67"/>
      <c r="K243" s="67"/>
      <c r="L243" s="67"/>
      <c r="M243" s="67"/>
      <c r="N243" s="67"/>
    </row>
    <row r="244">
      <c r="C244" s="67"/>
      <c r="D244" s="67"/>
      <c r="E244" s="67"/>
      <c r="F244" s="67"/>
      <c r="G244" s="67"/>
      <c r="H244" s="67"/>
      <c r="I244" s="67"/>
      <c r="J244" s="67"/>
      <c r="K244" s="67"/>
      <c r="L244" s="67"/>
      <c r="M244" s="67"/>
      <c r="N244" s="67"/>
    </row>
    <row r="245">
      <c r="C245" s="67"/>
      <c r="D245" s="67"/>
      <c r="E245" s="67"/>
      <c r="F245" s="67"/>
      <c r="G245" s="67"/>
      <c r="H245" s="67"/>
      <c r="I245" s="67"/>
      <c r="J245" s="67"/>
      <c r="K245" s="67"/>
      <c r="L245" s="67"/>
      <c r="M245" s="67"/>
      <c r="N245" s="67"/>
    </row>
    <row r="246">
      <c r="C246" s="67"/>
      <c r="D246" s="67"/>
      <c r="E246" s="67"/>
      <c r="F246" s="67"/>
      <c r="G246" s="67"/>
      <c r="H246" s="67"/>
      <c r="I246" s="67"/>
      <c r="J246" s="67"/>
      <c r="K246" s="67"/>
      <c r="L246" s="67"/>
      <c r="M246" s="67"/>
      <c r="N246" s="67"/>
    </row>
    <row r="247">
      <c r="C247" s="67"/>
      <c r="D247" s="67"/>
      <c r="E247" s="67"/>
      <c r="F247" s="67"/>
      <c r="G247" s="67"/>
      <c r="H247" s="67"/>
      <c r="I247" s="67"/>
      <c r="J247" s="67"/>
      <c r="K247" s="67"/>
      <c r="L247" s="67"/>
      <c r="M247" s="67"/>
      <c r="N247" s="67"/>
    </row>
    <row r="248">
      <c r="C248" s="67"/>
      <c r="D248" s="67"/>
      <c r="E248" s="67"/>
      <c r="F248" s="67"/>
      <c r="G248" s="67"/>
      <c r="H248" s="67"/>
      <c r="I248" s="67"/>
      <c r="J248" s="67"/>
      <c r="K248" s="67"/>
      <c r="L248" s="67"/>
      <c r="M248" s="67"/>
      <c r="N248" s="67"/>
    </row>
    <row r="249">
      <c r="C249" s="67"/>
      <c r="D249" s="67"/>
      <c r="E249" s="67"/>
      <c r="F249" s="67"/>
      <c r="G249" s="67"/>
      <c r="H249" s="67"/>
      <c r="I249" s="67"/>
      <c r="J249" s="67"/>
      <c r="K249" s="67"/>
      <c r="L249" s="67"/>
      <c r="M249" s="67"/>
      <c r="N249" s="67"/>
    </row>
    <row r="250">
      <c r="C250" s="67"/>
      <c r="D250" s="67"/>
      <c r="E250" s="67"/>
      <c r="F250" s="67"/>
      <c r="G250" s="67"/>
      <c r="H250" s="67"/>
      <c r="I250" s="67"/>
      <c r="J250" s="67"/>
      <c r="K250" s="67"/>
      <c r="L250" s="67"/>
      <c r="M250" s="67"/>
      <c r="N250" s="67"/>
    </row>
    <row r="251">
      <c r="C251" s="67"/>
      <c r="D251" s="67"/>
      <c r="E251" s="67"/>
      <c r="F251" s="67"/>
      <c r="G251" s="67"/>
      <c r="H251" s="67"/>
      <c r="I251" s="67"/>
      <c r="J251" s="67"/>
      <c r="K251" s="67"/>
      <c r="L251" s="67"/>
      <c r="M251" s="67"/>
      <c r="N251" s="67"/>
    </row>
    <row r="252">
      <c r="C252" s="67"/>
      <c r="D252" s="67"/>
      <c r="E252" s="67"/>
      <c r="F252" s="67"/>
      <c r="G252" s="67"/>
      <c r="H252" s="67"/>
      <c r="I252" s="67"/>
      <c r="J252" s="67"/>
      <c r="K252" s="67"/>
      <c r="L252" s="67"/>
      <c r="M252" s="67"/>
      <c r="N252" s="67"/>
    </row>
    <row r="253">
      <c r="C253" s="67"/>
      <c r="D253" s="67"/>
      <c r="E253" s="67"/>
      <c r="F253" s="67"/>
      <c r="G253" s="67"/>
      <c r="H253" s="67"/>
      <c r="I253" s="67"/>
      <c r="J253" s="67"/>
      <c r="K253" s="67"/>
      <c r="L253" s="67"/>
      <c r="M253" s="67"/>
      <c r="N253" s="67"/>
    </row>
    <row r="254">
      <c r="C254" s="67"/>
      <c r="D254" s="67"/>
      <c r="E254" s="67"/>
      <c r="F254" s="67"/>
      <c r="G254" s="67"/>
      <c r="H254" s="67"/>
      <c r="I254" s="67"/>
      <c r="J254" s="67"/>
      <c r="K254" s="67"/>
      <c r="L254" s="67"/>
      <c r="M254" s="67"/>
      <c r="N254" s="67"/>
    </row>
    <row r="255">
      <c r="C255" s="67"/>
      <c r="D255" s="67"/>
      <c r="E255" s="67"/>
      <c r="F255" s="67"/>
      <c r="G255" s="67"/>
      <c r="H255" s="67"/>
      <c r="I255" s="67"/>
      <c r="J255" s="67"/>
      <c r="K255" s="67"/>
      <c r="L255" s="67"/>
      <c r="M255" s="67"/>
      <c r="N255" s="67"/>
    </row>
    <row r="256">
      <c r="C256" s="67"/>
      <c r="D256" s="67"/>
      <c r="E256" s="67"/>
      <c r="F256" s="67"/>
      <c r="G256" s="67"/>
      <c r="H256" s="67"/>
      <c r="I256" s="67"/>
      <c r="J256" s="67"/>
      <c r="K256" s="67"/>
      <c r="L256" s="67"/>
      <c r="M256" s="67"/>
      <c r="N256" s="67"/>
    </row>
    <row r="257">
      <c r="C257" s="67"/>
      <c r="D257" s="67"/>
      <c r="E257" s="67"/>
      <c r="F257" s="67"/>
      <c r="G257" s="67"/>
      <c r="H257" s="67"/>
      <c r="I257" s="67"/>
      <c r="J257" s="67"/>
      <c r="K257" s="67"/>
      <c r="L257" s="67"/>
      <c r="M257" s="67"/>
      <c r="N257" s="67"/>
    </row>
    <row r="258">
      <c r="C258" s="67"/>
      <c r="D258" s="67"/>
      <c r="E258" s="67"/>
      <c r="F258" s="67"/>
      <c r="G258" s="67"/>
      <c r="H258" s="67"/>
      <c r="I258" s="67"/>
      <c r="J258" s="67"/>
      <c r="K258" s="67"/>
      <c r="L258" s="67"/>
      <c r="M258" s="67"/>
      <c r="N258" s="67"/>
    </row>
    <row r="259">
      <c r="C259" s="67"/>
      <c r="D259" s="67"/>
      <c r="E259" s="67"/>
      <c r="F259" s="67"/>
      <c r="G259" s="67"/>
      <c r="H259" s="67"/>
      <c r="I259" s="67"/>
      <c r="J259" s="67"/>
      <c r="K259" s="67"/>
      <c r="L259" s="67"/>
      <c r="M259" s="67"/>
      <c r="N259" s="67"/>
    </row>
    <row r="260">
      <c r="C260" s="67"/>
      <c r="D260" s="67"/>
      <c r="E260" s="67"/>
      <c r="F260" s="67"/>
      <c r="G260" s="67"/>
      <c r="H260" s="67"/>
      <c r="I260" s="67"/>
      <c r="J260" s="67"/>
      <c r="K260" s="67"/>
      <c r="L260" s="67"/>
      <c r="M260" s="67"/>
      <c r="N260" s="67"/>
    </row>
    <row r="261">
      <c r="C261" s="67"/>
      <c r="D261" s="67"/>
      <c r="E261" s="67"/>
      <c r="F261" s="67"/>
      <c r="G261" s="67"/>
      <c r="H261" s="67"/>
      <c r="I261" s="67"/>
      <c r="J261" s="67"/>
      <c r="K261" s="67"/>
      <c r="L261" s="67"/>
      <c r="M261" s="67"/>
      <c r="N261" s="67"/>
    </row>
    <row r="262">
      <c r="C262" s="67"/>
      <c r="D262" s="67"/>
      <c r="E262" s="67"/>
      <c r="F262" s="67"/>
      <c r="G262" s="67"/>
      <c r="H262" s="67"/>
      <c r="I262" s="67"/>
      <c r="J262" s="67"/>
      <c r="K262" s="67"/>
      <c r="L262" s="67"/>
      <c r="M262" s="67"/>
      <c r="N262" s="67"/>
    </row>
    <row r="263">
      <c r="C263" s="67"/>
      <c r="D263" s="67"/>
      <c r="E263" s="67"/>
      <c r="F263" s="67"/>
      <c r="G263" s="67"/>
      <c r="H263" s="67"/>
      <c r="I263" s="67"/>
      <c r="J263" s="67"/>
      <c r="K263" s="67"/>
      <c r="L263" s="67"/>
      <c r="M263" s="67"/>
      <c r="N263" s="67"/>
    </row>
    <row r="264">
      <c r="C264" s="67"/>
      <c r="D264" s="67"/>
      <c r="E264" s="67"/>
      <c r="F264" s="67"/>
      <c r="G264" s="67"/>
      <c r="H264" s="67"/>
      <c r="I264" s="67"/>
      <c r="J264" s="67"/>
      <c r="K264" s="67"/>
      <c r="L264" s="67"/>
      <c r="M264" s="67"/>
      <c r="N264" s="67"/>
    </row>
    <row r="265">
      <c r="C265" s="67"/>
      <c r="D265" s="67"/>
      <c r="E265" s="67"/>
      <c r="F265" s="67"/>
      <c r="G265" s="67"/>
      <c r="H265" s="67"/>
      <c r="I265" s="67"/>
      <c r="J265" s="67"/>
      <c r="K265" s="67"/>
      <c r="L265" s="67"/>
      <c r="M265" s="67"/>
      <c r="N265" s="67"/>
    </row>
    <row r="266">
      <c r="C266" s="67"/>
      <c r="D266" s="67"/>
      <c r="E266" s="67"/>
      <c r="F266" s="67"/>
      <c r="G266" s="67"/>
      <c r="H266" s="67"/>
      <c r="I266" s="67"/>
      <c r="J266" s="67"/>
      <c r="K266" s="67"/>
      <c r="L266" s="67"/>
      <c r="M266" s="67"/>
      <c r="N266" s="67"/>
    </row>
    <row r="267">
      <c r="C267" s="67"/>
      <c r="D267" s="67"/>
      <c r="E267" s="67"/>
      <c r="F267" s="67"/>
      <c r="G267" s="67"/>
      <c r="H267" s="67"/>
      <c r="I267" s="67"/>
      <c r="J267" s="67"/>
      <c r="K267" s="67"/>
      <c r="L267" s="67"/>
      <c r="M267" s="67"/>
      <c r="N267" s="67"/>
    </row>
    <row r="268">
      <c r="C268" s="67"/>
      <c r="D268" s="67"/>
      <c r="E268" s="67"/>
      <c r="F268" s="67"/>
      <c r="G268" s="67"/>
      <c r="H268" s="67"/>
      <c r="I268" s="67"/>
      <c r="J268" s="67"/>
      <c r="K268" s="67"/>
      <c r="L268" s="67"/>
      <c r="M268" s="67"/>
      <c r="N268" s="67"/>
    </row>
    <row r="269">
      <c r="C269" s="67"/>
      <c r="D269" s="67"/>
      <c r="E269" s="67"/>
      <c r="F269" s="67"/>
      <c r="G269" s="67"/>
      <c r="H269" s="67"/>
      <c r="I269" s="67"/>
      <c r="J269" s="67"/>
      <c r="K269" s="67"/>
      <c r="L269" s="67"/>
      <c r="M269" s="67"/>
      <c r="N269" s="67"/>
    </row>
    <row r="270">
      <c r="C270" s="67"/>
      <c r="D270" s="67"/>
      <c r="E270" s="67"/>
      <c r="F270" s="67"/>
      <c r="G270" s="67"/>
      <c r="H270" s="67"/>
      <c r="I270" s="67"/>
      <c r="J270" s="67"/>
      <c r="K270" s="67"/>
      <c r="L270" s="67"/>
      <c r="M270" s="67"/>
      <c r="N270" s="67"/>
    </row>
    <row r="271">
      <c r="C271" s="67"/>
      <c r="D271" s="67"/>
      <c r="E271" s="67"/>
      <c r="F271" s="67"/>
      <c r="G271" s="67"/>
      <c r="H271" s="67"/>
      <c r="I271" s="67"/>
      <c r="J271" s="67"/>
      <c r="K271" s="67"/>
      <c r="L271" s="67"/>
      <c r="M271" s="67"/>
      <c r="N271" s="67"/>
    </row>
    <row r="272">
      <c r="C272" s="67"/>
      <c r="D272" s="67"/>
      <c r="E272" s="67"/>
      <c r="F272" s="67"/>
      <c r="G272" s="67"/>
      <c r="H272" s="67"/>
      <c r="I272" s="67"/>
      <c r="J272" s="67"/>
      <c r="K272" s="67"/>
      <c r="L272" s="67"/>
      <c r="M272" s="67"/>
      <c r="N272" s="67"/>
    </row>
    <row r="273">
      <c r="C273" s="67"/>
      <c r="D273" s="67"/>
      <c r="E273" s="67"/>
      <c r="F273" s="67"/>
      <c r="G273" s="67"/>
      <c r="H273" s="67"/>
      <c r="I273" s="67"/>
      <c r="J273" s="67"/>
      <c r="K273" s="67"/>
      <c r="L273" s="67"/>
      <c r="M273" s="67"/>
      <c r="N273" s="67"/>
    </row>
    <row r="274">
      <c r="C274" s="67"/>
      <c r="D274" s="67"/>
      <c r="E274" s="67"/>
      <c r="F274" s="67"/>
      <c r="G274" s="67"/>
      <c r="H274" s="67"/>
      <c r="I274" s="67"/>
      <c r="J274" s="67"/>
      <c r="K274" s="67"/>
      <c r="L274" s="67"/>
      <c r="M274" s="67"/>
      <c r="N274" s="67"/>
    </row>
    <row r="275">
      <c r="C275" s="67"/>
      <c r="D275" s="67"/>
      <c r="E275" s="67"/>
      <c r="F275" s="67"/>
      <c r="G275" s="67"/>
      <c r="H275" s="67"/>
      <c r="I275" s="67"/>
      <c r="J275" s="67"/>
      <c r="K275" s="67"/>
      <c r="L275" s="67"/>
      <c r="M275" s="67"/>
      <c r="N275" s="67"/>
    </row>
    <row r="276">
      <c r="C276" s="67"/>
      <c r="D276" s="67"/>
      <c r="E276" s="67"/>
      <c r="F276" s="67"/>
      <c r="G276" s="67"/>
      <c r="H276" s="67"/>
      <c r="I276" s="67"/>
      <c r="J276" s="67"/>
      <c r="K276" s="67"/>
      <c r="L276" s="67"/>
      <c r="M276" s="67"/>
      <c r="N276" s="67"/>
    </row>
    <row r="277">
      <c r="C277" s="67"/>
      <c r="D277" s="67"/>
      <c r="E277" s="67"/>
      <c r="F277" s="67"/>
      <c r="G277" s="67"/>
      <c r="H277" s="67"/>
      <c r="I277" s="67"/>
      <c r="J277" s="67"/>
      <c r="K277" s="67"/>
      <c r="L277" s="67"/>
      <c r="M277" s="67"/>
      <c r="N277" s="67"/>
    </row>
    <row r="278">
      <c r="C278" s="67"/>
      <c r="D278" s="67"/>
      <c r="E278" s="67"/>
      <c r="F278" s="67"/>
      <c r="G278" s="67"/>
      <c r="H278" s="67"/>
      <c r="I278" s="67"/>
      <c r="J278" s="67"/>
      <c r="K278" s="67"/>
      <c r="L278" s="67"/>
      <c r="M278" s="67"/>
      <c r="N278" s="67"/>
    </row>
    <row r="279">
      <c r="C279" s="67"/>
      <c r="D279" s="67"/>
      <c r="E279" s="67"/>
      <c r="F279" s="67"/>
      <c r="G279" s="67"/>
      <c r="H279" s="67"/>
      <c r="I279" s="67"/>
      <c r="J279" s="67"/>
      <c r="K279" s="67"/>
      <c r="L279" s="67"/>
      <c r="M279" s="67"/>
      <c r="N279" s="67"/>
    </row>
    <row r="280">
      <c r="C280" s="67"/>
      <c r="D280" s="67"/>
      <c r="E280" s="67"/>
      <c r="F280" s="67"/>
      <c r="G280" s="67"/>
      <c r="H280" s="67"/>
      <c r="I280" s="67"/>
      <c r="J280" s="67"/>
      <c r="K280" s="67"/>
      <c r="L280" s="67"/>
      <c r="M280" s="67"/>
      <c r="N280" s="67"/>
    </row>
    <row r="281">
      <c r="C281" s="67"/>
      <c r="D281" s="67"/>
      <c r="E281" s="67"/>
      <c r="F281" s="67"/>
      <c r="G281" s="67"/>
      <c r="H281" s="67"/>
      <c r="I281" s="67"/>
      <c r="J281" s="67"/>
      <c r="K281" s="67"/>
      <c r="L281" s="67"/>
      <c r="M281" s="67"/>
      <c r="N281" s="67"/>
    </row>
    <row r="282">
      <c r="C282" s="67"/>
      <c r="D282" s="67"/>
      <c r="E282" s="67"/>
      <c r="F282" s="67"/>
      <c r="G282" s="67"/>
      <c r="H282" s="67"/>
      <c r="I282" s="67"/>
      <c r="J282" s="67"/>
      <c r="K282" s="67"/>
      <c r="L282" s="67"/>
      <c r="M282" s="67"/>
      <c r="N282" s="67"/>
    </row>
    <row r="283">
      <c r="C283" s="67"/>
      <c r="D283" s="67"/>
      <c r="E283" s="67"/>
      <c r="F283" s="67"/>
      <c r="G283" s="67"/>
      <c r="H283" s="67"/>
      <c r="I283" s="67"/>
      <c r="J283" s="67"/>
      <c r="K283" s="67"/>
      <c r="L283" s="67"/>
      <c r="M283" s="67"/>
      <c r="N283" s="67"/>
    </row>
    <row r="284">
      <c r="C284" s="67"/>
      <c r="D284" s="67"/>
      <c r="E284" s="67"/>
      <c r="F284" s="67"/>
      <c r="G284" s="67"/>
      <c r="H284" s="67"/>
      <c r="I284" s="67"/>
      <c r="J284" s="67"/>
      <c r="K284" s="67"/>
      <c r="L284" s="67"/>
      <c r="M284" s="67"/>
      <c r="N284" s="67"/>
    </row>
    <row r="285">
      <c r="C285" s="67"/>
      <c r="D285" s="67"/>
      <c r="E285" s="67"/>
      <c r="F285" s="67"/>
      <c r="G285" s="67"/>
      <c r="H285" s="67"/>
      <c r="I285" s="67"/>
      <c r="J285" s="67"/>
      <c r="K285" s="67"/>
      <c r="L285" s="67"/>
      <c r="M285" s="67"/>
      <c r="N285" s="67"/>
    </row>
    <row r="286">
      <c r="C286" s="67"/>
      <c r="D286" s="67"/>
      <c r="E286" s="67"/>
      <c r="F286" s="67"/>
      <c r="G286" s="67"/>
      <c r="H286" s="67"/>
      <c r="I286" s="67"/>
      <c r="J286" s="67"/>
      <c r="K286" s="67"/>
      <c r="L286" s="67"/>
      <c r="M286" s="67"/>
      <c r="N286" s="67"/>
    </row>
    <row r="287">
      <c r="C287" s="67"/>
      <c r="D287" s="67"/>
      <c r="E287" s="67"/>
      <c r="F287" s="67"/>
      <c r="G287" s="67"/>
      <c r="H287" s="67"/>
      <c r="I287" s="67"/>
      <c r="J287" s="67"/>
      <c r="K287" s="67"/>
      <c r="L287" s="67"/>
      <c r="M287" s="67"/>
      <c r="N287" s="67"/>
    </row>
    <row r="288">
      <c r="C288" s="67"/>
      <c r="D288" s="67"/>
      <c r="E288" s="67"/>
      <c r="F288" s="67"/>
      <c r="G288" s="67"/>
      <c r="H288" s="67"/>
      <c r="I288" s="67"/>
      <c r="J288" s="67"/>
      <c r="K288" s="67"/>
      <c r="L288" s="67"/>
      <c r="M288" s="67"/>
      <c r="N288" s="67"/>
    </row>
    <row r="289">
      <c r="C289" s="67"/>
      <c r="D289" s="67"/>
      <c r="E289" s="67"/>
      <c r="F289" s="67"/>
      <c r="G289" s="67"/>
      <c r="H289" s="67"/>
      <c r="I289" s="67"/>
      <c r="J289" s="67"/>
      <c r="K289" s="67"/>
      <c r="L289" s="67"/>
      <c r="M289" s="67"/>
      <c r="N289" s="67"/>
    </row>
    <row r="290">
      <c r="C290" s="67"/>
      <c r="D290" s="67"/>
      <c r="E290" s="67"/>
      <c r="F290" s="67"/>
      <c r="G290" s="67"/>
      <c r="H290" s="67"/>
      <c r="I290" s="67"/>
      <c r="J290" s="67"/>
      <c r="K290" s="67"/>
      <c r="L290" s="67"/>
      <c r="M290" s="67"/>
      <c r="N290" s="67"/>
    </row>
    <row r="291">
      <c r="C291" s="67"/>
      <c r="D291" s="67"/>
      <c r="E291" s="67"/>
      <c r="F291" s="67"/>
      <c r="G291" s="67"/>
      <c r="H291" s="67"/>
      <c r="I291" s="67"/>
      <c r="J291" s="67"/>
      <c r="K291" s="67"/>
      <c r="L291" s="67"/>
      <c r="M291" s="67"/>
      <c r="N291" s="67"/>
    </row>
    <row r="292">
      <c r="C292" s="67"/>
      <c r="D292" s="67"/>
      <c r="E292" s="67"/>
      <c r="F292" s="67"/>
      <c r="G292" s="67"/>
      <c r="H292" s="67"/>
      <c r="I292" s="67"/>
      <c r="J292" s="67"/>
      <c r="K292" s="67"/>
      <c r="L292" s="67"/>
      <c r="M292" s="67"/>
      <c r="N292" s="67"/>
    </row>
    <row r="293">
      <c r="C293" s="67"/>
      <c r="D293" s="67"/>
      <c r="E293" s="67"/>
      <c r="F293" s="67"/>
      <c r="G293" s="67"/>
      <c r="H293" s="67"/>
      <c r="I293" s="67"/>
      <c r="J293" s="67"/>
      <c r="K293" s="67"/>
      <c r="L293" s="67"/>
      <c r="M293" s="67"/>
      <c r="N293" s="67"/>
    </row>
    <row r="294">
      <c r="C294" s="67"/>
      <c r="D294" s="67"/>
      <c r="E294" s="67"/>
      <c r="F294" s="67"/>
      <c r="G294" s="67"/>
      <c r="H294" s="67"/>
      <c r="I294" s="67"/>
      <c r="J294" s="67"/>
      <c r="K294" s="67"/>
      <c r="L294" s="67"/>
      <c r="M294" s="67"/>
      <c r="N294" s="67"/>
    </row>
    <row r="295">
      <c r="C295" s="67"/>
      <c r="D295" s="67"/>
      <c r="E295" s="67"/>
      <c r="F295" s="67"/>
      <c r="G295" s="67"/>
      <c r="H295" s="67"/>
      <c r="I295" s="67"/>
      <c r="J295" s="67"/>
      <c r="K295" s="67"/>
      <c r="L295" s="67"/>
      <c r="M295" s="67"/>
      <c r="N295" s="67"/>
    </row>
    <row r="296">
      <c r="C296" s="67"/>
      <c r="D296" s="67"/>
      <c r="E296" s="67"/>
      <c r="F296" s="67"/>
      <c r="G296" s="67"/>
      <c r="H296" s="67"/>
      <c r="I296" s="67"/>
      <c r="J296" s="67"/>
      <c r="K296" s="67"/>
      <c r="L296" s="67"/>
      <c r="M296" s="67"/>
      <c r="N296" s="67"/>
    </row>
    <row r="297">
      <c r="C297" s="67"/>
      <c r="D297" s="67"/>
      <c r="E297" s="67"/>
      <c r="F297" s="67"/>
      <c r="G297" s="67"/>
      <c r="H297" s="67"/>
      <c r="I297" s="67"/>
      <c r="J297" s="67"/>
      <c r="K297" s="67"/>
      <c r="L297" s="67"/>
      <c r="M297" s="67"/>
      <c r="N297" s="67"/>
    </row>
    <row r="298">
      <c r="C298" s="67"/>
      <c r="D298" s="67"/>
      <c r="E298" s="67"/>
      <c r="F298" s="67"/>
      <c r="G298" s="67"/>
      <c r="H298" s="67"/>
      <c r="I298" s="67"/>
      <c r="J298" s="67"/>
      <c r="K298" s="67"/>
      <c r="L298" s="67"/>
      <c r="M298" s="67"/>
      <c r="N298" s="67"/>
    </row>
    <row r="299">
      <c r="C299" s="67"/>
      <c r="D299" s="67"/>
      <c r="E299" s="67"/>
      <c r="F299" s="67"/>
      <c r="G299" s="67"/>
      <c r="H299" s="67"/>
      <c r="I299" s="67"/>
      <c r="J299" s="67"/>
      <c r="K299" s="67"/>
      <c r="L299" s="67"/>
      <c r="M299" s="67"/>
      <c r="N299" s="67"/>
    </row>
    <row r="300">
      <c r="C300" s="67"/>
      <c r="D300" s="67"/>
      <c r="E300" s="67"/>
      <c r="F300" s="67"/>
      <c r="G300" s="67"/>
      <c r="H300" s="67"/>
      <c r="I300" s="67"/>
      <c r="J300" s="67"/>
      <c r="K300" s="67"/>
      <c r="L300" s="67"/>
      <c r="M300" s="67"/>
      <c r="N300" s="67"/>
    </row>
    <row r="301">
      <c r="C301" s="67"/>
      <c r="D301" s="67"/>
      <c r="E301" s="67"/>
      <c r="F301" s="67"/>
      <c r="G301" s="67"/>
      <c r="H301" s="67"/>
      <c r="I301" s="67"/>
      <c r="J301" s="67"/>
      <c r="K301" s="67"/>
      <c r="L301" s="67"/>
      <c r="M301" s="67"/>
      <c r="N301" s="67"/>
    </row>
    <row r="302">
      <c r="C302" s="67"/>
      <c r="D302" s="67"/>
      <c r="E302" s="67"/>
      <c r="F302" s="67"/>
      <c r="G302" s="67"/>
      <c r="H302" s="67"/>
      <c r="I302" s="67"/>
      <c r="J302" s="67"/>
      <c r="K302" s="67"/>
      <c r="L302" s="67"/>
      <c r="M302" s="67"/>
      <c r="N302" s="67"/>
    </row>
    <row r="303">
      <c r="C303" s="67"/>
      <c r="D303" s="67"/>
      <c r="E303" s="67"/>
      <c r="F303" s="67"/>
      <c r="G303" s="67"/>
      <c r="H303" s="67"/>
      <c r="I303" s="67"/>
      <c r="J303" s="67"/>
      <c r="K303" s="67"/>
      <c r="L303" s="67"/>
      <c r="M303" s="67"/>
      <c r="N303" s="67"/>
    </row>
    <row r="304">
      <c r="C304" s="67"/>
      <c r="D304" s="67"/>
      <c r="E304" s="67"/>
      <c r="F304" s="67"/>
      <c r="G304" s="67"/>
      <c r="H304" s="67"/>
      <c r="I304" s="67"/>
      <c r="J304" s="67"/>
      <c r="K304" s="67"/>
      <c r="L304" s="67"/>
      <c r="M304" s="67"/>
      <c r="N304" s="67"/>
    </row>
    <row r="305">
      <c r="C305" s="67"/>
      <c r="D305" s="67"/>
      <c r="E305" s="67"/>
      <c r="F305" s="67"/>
      <c r="G305" s="67"/>
      <c r="H305" s="67"/>
      <c r="I305" s="67"/>
      <c r="J305" s="67"/>
      <c r="K305" s="67"/>
      <c r="L305" s="67"/>
      <c r="M305" s="67"/>
      <c r="N305" s="67"/>
    </row>
    <row r="306">
      <c r="C306" s="67"/>
      <c r="D306" s="67"/>
      <c r="E306" s="67"/>
      <c r="F306" s="67"/>
      <c r="G306" s="67"/>
      <c r="H306" s="67"/>
      <c r="I306" s="67"/>
      <c r="J306" s="67"/>
      <c r="K306" s="67"/>
      <c r="L306" s="67"/>
      <c r="M306" s="67"/>
      <c r="N306" s="67"/>
    </row>
    <row r="307">
      <c r="C307" s="67"/>
      <c r="D307" s="67"/>
      <c r="E307" s="67"/>
      <c r="F307" s="67"/>
      <c r="G307" s="67"/>
      <c r="H307" s="67"/>
      <c r="I307" s="67"/>
      <c r="J307" s="67"/>
      <c r="K307" s="67"/>
      <c r="L307" s="67"/>
      <c r="M307" s="67"/>
      <c r="N307" s="67"/>
    </row>
    <row r="308">
      <c r="C308" s="67"/>
      <c r="D308" s="67"/>
      <c r="E308" s="67"/>
      <c r="F308" s="67"/>
      <c r="G308" s="67"/>
      <c r="H308" s="67"/>
      <c r="I308" s="67"/>
      <c r="J308" s="67"/>
      <c r="K308" s="67"/>
      <c r="L308" s="67"/>
      <c r="M308" s="67"/>
      <c r="N308" s="67"/>
    </row>
    <row r="309">
      <c r="C309" s="67"/>
      <c r="D309" s="67"/>
      <c r="E309" s="67"/>
      <c r="F309" s="67"/>
      <c r="G309" s="67"/>
      <c r="H309" s="67"/>
      <c r="I309" s="67"/>
      <c r="J309" s="67"/>
      <c r="K309" s="67"/>
      <c r="L309" s="67"/>
      <c r="M309" s="67"/>
      <c r="N309" s="67"/>
    </row>
    <row r="310">
      <c r="C310" s="67"/>
      <c r="D310" s="67"/>
      <c r="E310" s="67"/>
      <c r="F310" s="67"/>
      <c r="G310" s="67"/>
      <c r="H310" s="67"/>
      <c r="I310" s="67"/>
      <c r="J310" s="67"/>
      <c r="K310" s="67"/>
      <c r="L310" s="67"/>
      <c r="M310" s="67"/>
      <c r="N310" s="67"/>
    </row>
    <row r="311">
      <c r="C311" s="67"/>
      <c r="D311" s="67"/>
      <c r="E311" s="67"/>
      <c r="F311" s="67"/>
      <c r="G311" s="67"/>
      <c r="H311" s="67"/>
      <c r="I311" s="67"/>
      <c r="J311" s="67"/>
      <c r="K311" s="67"/>
      <c r="L311" s="67"/>
      <c r="M311" s="67"/>
      <c r="N311" s="67"/>
    </row>
    <row r="312">
      <c r="C312" s="67"/>
      <c r="D312" s="67"/>
      <c r="E312" s="67"/>
      <c r="F312" s="67"/>
      <c r="G312" s="67"/>
      <c r="H312" s="67"/>
      <c r="I312" s="67"/>
      <c r="J312" s="67"/>
      <c r="K312" s="67"/>
      <c r="L312" s="67"/>
      <c r="M312" s="67"/>
      <c r="N312" s="67"/>
    </row>
    <row r="313">
      <c r="C313" s="67"/>
      <c r="D313" s="67"/>
      <c r="E313" s="67"/>
      <c r="F313" s="67"/>
      <c r="G313" s="67"/>
      <c r="H313" s="67"/>
      <c r="I313" s="67"/>
      <c r="J313" s="67"/>
      <c r="K313" s="67"/>
      <c r="L313" s="67"/>
      <c r="M313" s="67"/>
      <c r="N313" s="67"/>
    </row>
    <row r="314">
      <c r="C314" s="67"/>
      <c r="D314" s="67"/>
      <c r="E314" s="67"/>
      <c r="F314" s="67"/>
      <c r="G314" s="67"/>
      <c r="H314" s="67"/>
      <c r="I314" s="67"/>
      <c r="J314" s="67"/>
      <c r="K314" s="67"/>
      <c r="L314" s="67"/>
      <c r="M314" s="67"/>
      <c r="N314" s="67"/>
    </row>
    <row r="315">
      <c r="C315" s="67"/>
      <c r="D315" s="67"/>
      <c r="E315" s="67"/>
      <c r="F315" s="67"/>
      <c r="G315" s="67"/>
      <c r="H315" s="67"/>
      <c r="I315" s="67"/>
      <c r="J315" s="67"/>
      <c r="K315" s="67"/>
      <c r="L315" s="67"/>
      <c r="M315" s="67"/>
      <c r="N315" s="67"/>
    </row>
    <row r="316">
      <c r="C316" s="67"/>
      <c r="D316" s="67"/>
      <c r="E316" s="67"/>
      <c r="F316" s="67"/>
      <c r="G316" s="67"/>
      <c r="H316" s="67"/>
      <c r="I316" s="67"/>
      <c r="J316" s="67"/>
      <c r="K316" s="67"/>
      <c r="L316" s="67"/>
      <c r="M316" s="67"/>
      <c r="N316" s="67"/>
    </row>
    <row r="317">
      <c r="C317" s="67"/>
      <c r="D317" s="67"/>
      <c r="E317" s="67"/>
      <c r="F317" s="67"/>
      <c r="G317" s="67"/>
      <c r="H317" s="67"/>
      <c r="I317" s="67"/>
      <c r="J317" s="67"/>
      <c r="K317" s="67"/>
      <c r="L317" s="67"/>
      <c r="M317" s="67"/>
      <c r="N317" s="67"/>
    </row>
    <row r="318">
      <c r="C318" s="67"/>
      <c r="D318" s="67"/>
      <c r="E318" s="67"/>
      <c r="F318" s="67"/>
      <c r="G318" s="67"/>
      <c r="H318" s="67"/>
      <c r="I318" s="67"/>
      <c r="J318" s="67"/>
      <c r="K318" s="67"/>
      <c r="L318" s="67"/>
      <c r="M318" s="67"/>
      <c r="N318" s="67"/>
    </row>
    <row r="319">
      <c r="C319" s="67"/>
      <c r="D319" s="67"/>
      <c r="E319" s="67"/>
      <c r="F319" s="67"/>
      <c r="G319" s="67"/>
      <c r="H319" s="67"/>
      <c r="I319" s="67"/>
      <c r="J319" s="67"/>
      <c r="K319" s="67"/>
      <c r="L319" s="67"/>
      <c r="M319" s="67"/>
      <c r="N319" s="67"/>
    </row>
    <row r="320">
      <c r="C320" s="67"/>
      <c r="D320" s="67"/>
      <c r="E320" s="67"/>
      <c r="F320" s="67"/>
      <c r="G320" s="67"/>
      <c r="H320" s="67"/>
      <c r="I320" s="67"/>
      <c r="J320" s="67"/>
      <c r="K320" s="67"/>
      <c r="L320" s="67"/>
      <c r="M320" s="67"/>
      <c r="N320" s="67"/>
    </row>
    <row r="321">
      <c r="C321" s="67"/>
      <c r="D321" s="67"/>
      <c r="E321" s="67"/>
      <c r="F321" s="67"/>
      <c r="G321" s="67"/>
      <c r="H321" s="67"/>
      <c r="I321" s="67"/>
      <c r="J321" s="67"/>
      <c r="K321" s="67"/>
      <c r="L321" s="67"/>
      <c r="M321" s="67"/>
      <c r="N321" s="67"/>
    </row>
    <row r="322">
      <c r="C322" s="67"/>
      <c r="D322" s="67"/>
      <c r="E322" s="67"/>
      <c r="F322" s="67"/>
      <c r="G322" s="67"/>
      <c r="H322" s="67"/>
      <c r="I322" s="67"/>
      <c r="J322" s="67"/>
      <c r="K322" s="67"/>
      <c r="L322" s="67"/>
      <c r="M322" s="67"/>
      <c r="N322" s="67"/>
    </row>
    <row r="323">
      <c r="C323" s="67"/>
      <c r="D323" s="67"/>
      <c r="E323" s="67"/>
      <c r="F323" s="67"/>
      <c r="G323" s="67"/>
      <c r="H323" s="67"/>
      <c r="I323" s="67"/>
      <c r="J323" s="67"/>
      <c r="K323" s="67"/>
      <c r="L323" s="67"/>
      <c r="M323" s="67"/>
      <c r="N323" s="67"/>
    </row>
    <row r="324">
      <c r="C324" s="67"/>
      <c r="D324" s="67"/>
      <c r="E324" s="67"/>
      <c r="F324" s="67"/>
      <c r="G324" s="67"/>
      <c r="H324" s="67"/>
      <c r="I324" s="67"/>
      <c r="J324" s="67"/>
      <c r="K324" s="67"/>
      <c r="L324" s="67"/>
      <c r="M324" s="67"/>
      <c r="N324" s="67"/>
    </row>
    <row r="325">
      <c r="C325" s="67"/>
      <c r="D325" s="67"/>
      <c r="E325" s="67"/>
      <c r="F325" s="67"/>
      <c r="G325" s="67"/>
      <c r="H325" s="67"/>
      <c r="I325" s="67"/>
      <c r="J325" s="67"/>
      <c r="K325" s="67"/>
      <c r="L325" s="67"/>
      <c r="M325" s="67"/>
      <c r="N325" s="67"/>
    </row>
    <row r="326">
      <c r="C326" s="67"/>
      <c r="D326" s="67"/>
      <c r="E326" s="67"/>
      <c r="F326" s="67"/>
      <c r="G326" s="67"/>
      <c r="H326" s="67"/>
      <c r="I326" s="67"/>
      <c r="J326" s="67"/>
      <c r="K326" s="67"/>
      <c r="L326" s="67"/>
      <c r="M326" s="67"/>
      <c r="N326" s="67"/>
    </row>
    <row r="327">
      <c r="C327" s="67"/>
      <c r="D327" s="67"/>
      <c r="E327" s="67"/>
      <c r="F327" s="67"/>
      <c r="G327" s="67"/>
      <c r="H327" s="67"/>
      <c r="I327" s="67"/>
      <c r="J327" s="67"/>
      <c r="K327" s="67"/>
      <c r="L327" s="67"/>
      <c r="M327" s="67"/>
      <c r="N327" s="67"/>
    </row>
    <row r="328">
      <c r="C328" s="67"/>
      <c r="D328" s="67"/>
      <c r="E328" s="67"/>
      <c r="F328" s="67"/>
      <c r="G328" s="67"/>
      <c r="H328" s="67"/>
      <c r="I328" s="67"/>
      <c r="J328" s="67"/>
      <c r="K328" s="67"/>
      <c r="L328" s="67"/>
      <c r="M328" s="67"/>
      <c r="N328" s="67"/>
    </row>
    <row r="329">
      <c r="C329" s="67"/>
      <c r="D329" s="67"/>
      <c r="E329" s="67"/>
      <c r="F329" s="67"/>
      <c r="G329" s="67"/>
      <c r="H329" s="67"/>
      <c r="I329" s="67"/>
      <c r="J329" s="67"/>
      <c r="K329" s="67"/>
      <c r="L329" s="67"/>
      <c r="M329" s="67"/>
      <c r="N329" s="67"/>
    </row>
    <row r="330">
      <c r="C330" s="67"/>
      <c r="D330" s="67"/>
      <c r="E330" s="67"/>
      <c r="F330" s="67"/>
      <c r="G330" s="67"/>
      <c r="H330" s="67"/>
      <c r="I330" s="67"/>
      <c r="J330" s="67"/>
      <c r="K330" s="67"/>
      <c r="L330" s="67"/>
      <c r="M330" s="67"/>
      <c r="N330" s="67"/>
    </row>
    <row r="331">
      <c r="C331" s="67"/>
      <c r="D331" s="67"/>
      <c r="E331" s="67"/>
      <c r="F331" s="67"/>
      <c r="G331" s="67"/>
      <c r="H331" s="67"/>
      <c r="I331" s="67"/>
      <c r="J331" s="67"/>
      <c r="K331" s="67"/>
      <c r="L331" s="67"/>
      <c r="M331" s="67"/>
      <c r="N331" s="67"/>
    </row>
    <row r="332">
      <c r="C332" s="67"/>
      <c r="D332" s="67"/>
      <c r="E332" s="67"/>
      <c r="F332" s="67"/>
      <c r="G332" s="67"/>
      <c r="H332" s="67"/>
      <c r="I332" s="67"/>
      <c r="J332" s="67"/>
      <c r="K332" s="67"/>
      <c r="L332" s="67"/>
      <c r="M332" s="67"/>
      <c r="N332" s="67"/>
    </row>
    <row r="333">
      <c r="C333" s="67"/>
      <c r="D333" s="67"/>
      <c r="E333" s="67"/>
      <c r="F333" s="67"/>
      <c r="G333" s="67"/>
      <c r="H333" s="67"/>
      <c r="I333" s="67"/>
      <c r="J333" s="67"/>
      <c r="K333" s="67"/>
      <c r="L333" s="67"/>
      <c r="M333" s="67"/>
      <c r="N333" s="67"/>
    </row>
    <row r="334">
      <c r="C334" s="67"/>
      <c r="D334" s="67"/>
      <c r="E334" s="67"/>
      <c r="F334" s="67"/>
      <c r="G334" s="67"/>
      <c r="H334" s="67"/>
      <c r="I334" s="67"/>
      <c r="J334" s="67"/>
      <c r="K334" s="67"/>
      <c r="L334" s="67"/>
      <c r="M334" s="67"/>
      <c r="N334" s="67"/>
    </row>
    <row r="335">
      <c r="C335" s="67"/>
      <c r="D335" s="67"/>
      <c r="E335" s="67"/>
      <c r="F335" s="67"/>
      <c r="G335" s="67"/>
      <c r="H335" s="67"/>
      <c r="I335" s="67"/>
      <c r="J335" s="67"/>
      <c r="K335" s="67"/>
      <c r="L335" s="67"/>
      <c r="M335" s="67"/>
      <c r="N335" s="67"/>
    </row>
    <row r="336">
      <c r="C336" s="67"/>
      <c r="D336" s="67"/>
      <c r="E336" s="67"/>
      <c r="F336" s="67"/>
      <c r="G336" s="67"/>
      <c r="H336" s="67"/>
      <c r="I336" s="67"/>
      <c r="J336" s="67"/>
      <c r="K336" s="67"/>
      <c r="L336" s="67"/>
      <c r="M336" s="67"/>
      <c r="N336" s="67"/>
    </row>
    <row r="337">
      <c r="C337" s="67"/>
      <c r="D337" s="67"/>
      <c r="E337" s="67"/>
      <c r="F337" s="67"/>
      <c r="G337" s="67"/>
      <c r="H337" s="67"/>
      <c r="I337" s="67"/>
      <c r="J337" s="67"/>
      <c r="K337" s="67"/>
      <c r="L337" s="67"/>
      <c r="M337" s="67"/>
      <c r="N337" s="67"/>
    </row>
    <row r="338">
      <c r="C338" s="67"/>
      <c r="D338" s="67"/>
      <c r="E338" s="67"/>
      <c r="F338" s="67"/>
      <c r="G338" s="67"/>
      <c r="H338" s="67"/>
      <c r="I338" s="67"/>
      <c r="J338" s="67"/>
      <c r="K338" s="67"/>
      <c r="L338" s="67"/>
      <c r="M338" s="67"/>
      <c r="N338" s="67"/>
    </row>
    <row r="339">
      <c r="C339" s="67"/>
      <c r="D339" s="67"/>
      <c r="E339" s="67"/>
      <c r="F339" s="67"/>
      <c r="G339" s="67"/>
      <c r="H339" s="67"/>
      <c r="I339" s="67"/>
      <c r="J339" s="67"/>
      <c r="K339" s="67"/>
      <c r="L339" s="67"/>
      <c r="M339" s="67"/>
      <c r="N339" s="67"/>
    </row>
    <row r="340">
      <c r="C340" s="67"/>
      <c r="D340" s="67"/>
      <c r="E340" s="67"/>
      <c r="F340" s="67"/>
      <c r="G340" s="67"/>
      <c r="H340" s="67"/>
      <c r="I340" s="67"/>
      <c r="J340" s="67"/>
      <c r="K340" s="67"/>
      <c r="L340" s="67"/>
      <c r="M340" s="67"/>
      <c r="N340" s="67"/>
    </row>
    <row r="341">
      <c r="C341" s="67"/>
      <c r="D341" s="67"/>
      <c r="E341" s="67"/>
      <c r="F341" s="67"/>
      <c r="G341" s="67"/>
      <c r="H341" s="67"/>
      <c r="I341" s="67"/>
      <c r="J341" s="67"/>
      <c r="K341" s="67"/>
      <c r="L341" s="67"/>
      <c r="M341" s="67"/>
      <c r="N341" s="67"/>
    </row>
    <row r="342">
      <c r="C342" s="67"/>
      <c r="D342" s="67"/>
      <c r="E342" s="67"/>
      <c r="F342" s="67"/>
      <c r="G342" s="67"/>
      <c r="H342" s="67"/>
      <c r="I342" s="67"/>
      <c r="J342" s="67"/>
      <c r="K342" s="67"/>
      <c r="L342" s="67"/>
      <c r="M342" s="67"/>
      <c r="N342" s="67"/>
    </row>
    <row r="343">
      <c r="C343" s="67"/>
      <c r="D343" s="67"/>
      <c r="E343" s="67"/>
      <c r="F343" s="67"/>
      <c r="G343" s="67"/>
      <c r="H343" s="67"/>
      <c r="I343" s="67"/>
      <c r="J343" s="67"/>
      <c r="K343" s="67"/>
      <c r="L343" s="67"/>
      <c r="M343" s="67"/>
      <c r="N343" s="67"/>
    </row>
    <row r="344">
      <c r="C344" s="67"/>
      <c r="D344" s="67"/>
      <c r="E344" s="67"/>
      <c r="F344" s="67"/>
      <c r="G344" s="67"/>
      <c r="H344" s="67"/>
      <c r="I344" s="67"/>
      <c r="J344" s="67"/>
      <c r="K344" s="67"/>
      <c r="L344" s="67"/>
      <c r="M344" s="67"/>
      <c r="N344" s="67"/>
    </row>
    <row r="345">
      <c r="C345" s="67"/>
      <c r="D345" s="67"/>
      <c r="E345" s="67"/>
      <c r="F345" s="67"/>
      <c r="G345" s="67"/>
      <c r="H345" s="67"/>
      <c r="I345" s="67"/>
      <c r="J345" s="67"/>
      <c r="K345" s="67"/>
      <c r="L345" s="67"/>
      <c r="M345" s="67"/>
      <c r="N345" s="67"/>
    </row>
    <row r="346">
      <c r="C346" s="67"/>
      <c r="D346" s="67"/>
      <c r="E346" s="67"/>
      <c r="F346" s="67"/>
      <c r="G346" s="67"/>
      <c r="H346" s="67"/>
      <c r="I346" s="67"/>
      <c r="J346" s="67"/>
      <c r="K346" s="67"/>
      <c r="L346" s="67"/>
      <c r="M346" s="67"/>
      <c r="N346" s="67"/>
    </row>
    <row r="347">
      <c r="C347" s="67"/>
      <c r="D347" s="67"/>
      <c r="E347" s="67"/>
      <c r="F347" s="67"/>
      <c r="G347" s="67"/>
      <c r="H347" s="67"/>
      <c r="I347" s="67"/>
      <c r="J347" s="67"/>
      <c r="K347" s="67"/>
      <c r="L347" s="67"/>
      <c r="M347" s="67"/>
      <c r="N347" s="67"/>
    </row>
    <row r="348">
      <c r="C348" s="67"/>
      <c r="D348" s="67"/>
      <c r="E348" s="67"/>
      <c r="F348" s="67"/>
      <c r="G348" s="67"/>
      <c r="H348" s="67"/>
      <c r="I348" s="67"/>
      <c r="J348" s="67"/>
      <c r="K348" s="67"/>
      <c r="L348" s="67"/>
      <c r="M348" s="67"/>
      <c r="N348" s="67"/>
    </row>
    <row r="349">
      <c r="C349" s="67"/>
      <c r="D349" s="67"/>
      <c r="E349" s="67"/>
      <c r="F349" s="67"/>
      <c r="G349" s="67"/>
      <c r="H349" s="67"/>
      <c r="I349" s="67"/>
      <c r="J349" s="67"/>
      <c r="K349" s="67"/>
      <c r="L349" s="67"/>
      <c r="M349" s="67"/>
      <c r="N349" s="67"/>
    </row>
    <row r="350">
      <c r="C350" s="67"/>
      <c r="D350" s="67"/>
      <c r="E350" s="67"/>
      <c r="F350" s="67"/>
      <c r="G350" s="67"/>
      <c r="H350" s="67"/>
      <c r="I350" s="67"/>
      <c r="J350" s="67"/>
      <c r="K350" s="67"/>
      <c r="L350" s="67"/>
      <c r="M350" s="67"/>
      <c r="N350" s="67"/>
    </row>
    <row r="351">
      <c r="C351" s="67"/>
      <c r="D351" s="67"/>
      <c r="E351" s="67"/>
      <c r="F351" s="67"/>
      <c r="G351" s="67"/>
      <c r="H351" s="67"/>
      <c r="I351" s="67"/>
      <c r="J351" s="67"/>
      <c r="K351" s="67"/>
      <c r="L351" s="67"/>
      <c r="M351" s="67"/>
      <c r="N351" s="67"/>
    </row>
    <row r="352">
      <c r="C352" s="67"/>
      <c r="D352" s="67"/>
      <c r="E352" s="67"/>
      <c r="F352" s="67"/>
      <c r="G352" s="67"/>
      <c r="H352" s="67"/>
      <c r="I352" s="67"/>
      <c r="J352" s="67"/>
      <c r="K352" s="67"/>
      <c r="L352" s="67"/>
      <c r="M352" s="67"/>
      <c r="N352" s="67"/>
    </row>
    <row r="353">
      <c r="C353" s="67"/>
      <c r="D353" s="67"/>
      <c r="E353" s="67"/>
      <c r="F353" s="67"/>
      <c r="G353" s="67"/>
      <c r="H353" s="67"/>
      <c r="I353" s="67"/>
      <c r="J353" s="67"/>
      <c r="K353" s="67"/>
      <c r="L353" s="67"/>
      <c r="M353" s="67"/>
      <c r="N353" s="67"/>
    </row>
    <row r="354">
      <c r="C354" s="67"/>
      <c r="D354" s="67"/>
      <c r="E354" s="67"/>
      <c r="F354" s="67"/>
      <c r="G354" s="67"/>
      <c r="H354" s="67"/>
      <c r="I354" s="67"/>
      <c r="J354" s="67"/>
      <c r="K354" s="67"/>
      <c r="L354" s="67"/>
      <c r="M354" s="67"/>
      <c r="N354" s="67"/>
    </row>
    <row r="355">
      <c r="C355" s="67"/>
      <c r="D355" s="67"/>
      <c r="E355" s="67"/>
      <c r="F355" s="67"/>
      <c r="G355" s="67"/>
      <c r="H355" s="67"/>
      <c r="I355" s="67"/>
      <c r="J355" s="67"/>
      <c r="K355" s="67"/>
      <c r="L355" s="67"/>
      <c r="M355" s="67"/>
      <c r="N355" s="67"/>
    </row>
    <row r="356">
      <c r="C356" s="67"/>
      <c r="D356" s="67"/>
      <c r="E356" s="67"/>
      <c r="F356" s="67"/>
      <c r="G356" s="67"/>
      <c r="H356" s="67"/>
      <c r="I356" s="67"/>
      <c r="J356" s="67"/>
      <c r="K356" s="67"/>
      <c r="L356" s="67"/>
      <c r="M356" s="67"/>
      <c r="N356" s="67"/>
    </row>
    <row r="357">
      <c r="C357" s="67"/>
      <c r="D357" s="67"/>
      <c r="E357" s="67"/>
      <c r="F357" s="67"/>
      <c r="G357" s="67"/>
      <c r="H357" s="67"/>
      <c r="I357" s="67"/>
      <c r="J357" s="67"/>
      <c r="K357" s="67"/>
      <c r="L357" s="67"/>
      <c r="M357" s="67"/>
      <c r="N357" s="67"/>
    </row>
    <row r="358">
      <c r="C358" s="67"/>
      <c r="D358" s="67"/>
      <c r="E358" s="67"/>
      <c r="F358" s="67"/>
      <c r="G358" s="67"/>
      <c r="H358" s="67"/>
      <c r="I358" s="67"/>
      <c r="J358" s="67"/>
      <c r="K358" s="67"/>
      <c r="L358" s="67"/>
      <c r="M358" s="67"/>
      <c r="N358" s="67"/>
    </row>
    <row r="359">
      <c r="C359" s="67"/>
      <c r="D359" s="67"/>
      <c r="E359" s="67"/>
      <c r="F359" s="67"/>
      <c r="G359" s="67"/>
      <c r="H359" s="67"/>
      <c r="I359" s="67"/>
      <c r="J359" s="67"/>
      <c r="K359" s="67"/>
      <c r="L359" s="67"/>
      <c r="M359" s="67"/>
      <c r="N359" s="67"/>
    </row>
    <row r="360">
      <c r="C360" s="67"/>
      <c r="D360" s="67"/>
      <c r="E360" s="67"/>
      <c r="F360" s="67"/>
      <c r="G360" s="67"/>
      <c r="H360" s="67"/>
      <c r="I360" s="67"/>
      <c r="J360" s="67"/>
      <c r="K360" s="67"/>
      <c r="L360" s="67"/>
      <c r="M360" s="67"/>
      <c r="N360" s="67"/>
    </row>
    <row r="361">
      <c r="C361" s="67"/>
      <c r="D361" s="67"/>
      <c r="E361" s="67"/>
      <c r="F361" s="67"/>
      <c r="G361" s="67"/>
      <c r="H361" s="67"/>
      <c r="I361" s="67"/>
      <c r="J361" s="67"/>
      <c r="K361" s="67"/>
      <c r="L361" s="67"/>
      <c r="M361" s="67"/>
      <c r="N361" s="67"/>
    </row>
    <row r="362">
      <c r="C362" s="67"/>
      <c r="D362" s="67"/>
      <c r="E362" s="67"/>
      <c r="F362" s="67"/>
      <c r="G362" s="67"/>
      <c r="H362" s="67"/>
      <c r="I362" s="67"/>
      <c r="J362" s="67"/>
      <c r="K362" s="67"/>
      <c r="L362" s="67"/>
      <c r="M362" s="67"/>
      <c r="N362" s="67"/>
    </row>
    <row r="363">
      <c r="C363" s="67"/>
      <c r="D363" s="67"/>
      <c r="E363" s="67"/>
      <c r="F363" s="67"/>
      <c r="G363" s="67"/>
      <c r="H363" s="67"/>
      <c r="I363" s="67"/>
      <c r="J363" s="67"/>
      <c r="K363" s="67"/>
      <c r="L363" s="67"/>
      <c r="M363" s="67"/>
      <c r="N363" s="67"/>
    </row>
    <row r="364">
      <c r="C364" s="67"/>
      <c r="D364" s="67"/>
      <c r="E364" s="67"/>
      <c r="F364" s="67"/>
      <c r="G364" s="67"/>
      <c r="H364" s="67"/>
      <c r="I364" s="67"/>
      <c r="J364" s="67"/>
      <c r="K364" s="67"/>
      <c r="L364" s="67"/>
      <c r="M364" s="67"/>
      <c r="N364" s="67"/>
    </row>
    <row r="365">
      <c r="C365" s="67"/>
      <c r="D365" s="67"/>
      <c r="E365" s="67"/>
      <c r="F365" s="67"/>
      <c r="G365" s="67"/>
      <c r="H365" s="67"/>
      <c r="I365" s="67"/>
      <c r="J365" s="67"/>
      <c r="K365" s="67"/>
      <c r="L365" s="67"/>
      <c r="M365" s="67"/>
      <c r="N365" s="67"/>
    </row>
    <row r="366">
      <c r="C366" s="67"/>
      <c r="D366" s="67"/>
      <c r="E366" s="67"/>
      <c r="F366" s="67"/>
      <c r="G366" s="67"/>
      <c r="H366" s="67"/>
      <c r="I366" s="67"/>
      <c r="J366" s="67"/>
      <c r="K366" s="67"/>
      <c r="L366" s="67"/>
      <c r="M366" s="67"/>
      <c r="N366" s="67"/>
    </row>
    <row r="367">
      <c r="C367" s="67"/>
      <c r="D367" s="67"/>
      <c r="E367" s="67"/>
      <c r="F367" s="67"/>
      <c r="G367" s="67"/>
      <c r="H367" s="67"/>
      <c r="I367" s="67"/>
      <c r="J367" s="67"/>
      <c r="K367" s="67"/>
      <c r="L367" s="67"/>
      <c r="M367" s="67"/>
      <c r="N367" s="67"/>
    </row>
    <row r="368">
      <c r="C368" s="67"/>
      <c r="D368" s="67"/>
      <c r="E368" s="67"/>
      <c r="F368" s="67"/>
      <c r="G368" s="67"/>
      <c r="H368" s="67"/>
      <c r="I368" s="67"/>
      <c r="J368" s="67"/>
      <c r="K368" s="67"/>
      <c r="L368" s="67"/>
      <c r="M368" s="67"/>
      <c r="N368" s="67"/>
    </row>
    <row r="369">
      <c r="C369" s="67"/>
      <c r="D369" s="67"/>
      <c r="E369" s="67"/>
      <c r="F369" s="67"/>
      <c r="G369" s="67"/>
      <c r="H369" s="67"/>
      <c r="I369" s="67"/>
      <c r="J369" s="67"/>
      <c r="K369" s="67"/>
      <c r="L369" s="67"/>
      <c r="M369" s="67"/>
      <c r="N369" s="67"/>
    </row>
    <row r="370">
      <c r="C370" s="67"/>
      <c r="D370" s="67"/>
      <c r="E370" s="67"/>
      <c r="F370" s="67"/>
      <c r="G370" s="67"/>
      <c r="H370" s="67"/>
      <c r="I370" s="67"/>
      <c r="J370" s="67"/>
      <c r="K370" s="67"/>
      <c r="L370" s="67"/>
      <c r="M370" s="67"/>
      <c r="N370" s="67"/>
    </row>
    <row r="371">
      <c r="C371" s="67"/>
      <c r="D371" s="67"/>
      <c r="E371" s="67"/>
      <c r="F371" s="67"/>
      <c r="G371" s="67"/>
      <c r="H371" s="67"/>
      <c r="I371" s="67"/>
      <c r="J371" s="67"/>
      <c r="K371" s="67"/>
      <c r="L371" s="67"/>
      <c r="M371" s="67"/>
      <c r="N371" s="67"/>
    </row>
    <row r="372">
      <c r="C372" s="67"/>
      <c r="D372" s="67"/>
      <c r="E372" s="67"/>
      <c r="F372" s="67"/>
      <c r="G372" s="67"/>
      <c r="H372" s="67"/>
      <c r="I372" s="67"/>
      <c r="J372" s="67"/>
      <c r="K372" s="67"/>
      <c r="L372" s="67"/>
      <c r="M372" s="67"/>
      <c r="N372" s="67"/>
    </row>
    <row r="373">
      <c r="C373" s="67"/>
      <c r="D373" s="67"/>
      <c r="E373" s="67"/>
      <c r="F373" s="67"/>
      <c r="G373" s="67"/>
      <c r="H373" s="67"/>
      <c r="I373" s="67"/>
      <c r="J373" s="67"/>
      <c r="K373" s="67"/>
      <c r="L373" s="67"/>
      <c r="M373" s="67"/>
      <c r="N373" s="67"/>
    </row>
    <row r="374">
      <c r="C374" s="67"/>
      <c r="D374" s="67"/>
      <c r="E374" s="67"/>
      <c r="F374" s="67"/>
      <c r="G374" s="67"/>
      <c r="H374" s="67"/>
      <c r="I374" s="67"/>
      <c r="J374" s="67"/>
      <c r="K374" s="67"/>
      <c r="L374" s="67"/>
      <c r="M374" s="67"/>
      <c r="N374" s="67"/>
    </row>
    <row r="375">
      <c r="C375" s="67"/>
      <c r="D375" s="67"/>
      <c r="E375" s="67"/>
      <c r="F375" s="67"/>
      <c r="G375" s="67"/>
      <c r="H375" s="67"/>
      <c r="I375" s="67"/>
      <c r="J375" s="67"/>
      <c r="K375" s="67"/>
      <c r="L375" s="67"/>
      <c r="M375" s="67"/>
      <c r="N375" s="67"/>
    </row>
    <row r="376">
      <c r="C376" s="67"/>
      <c r="D376" s="67"/>
      <c r="E376" s="67"/>
      <c r="F376" s="67"/>
      <c r="G376" s="67"/>
      <c r="H376" s="67"/>
      <c r="I376" s="67"/>
      <c r="J376" s="67"/>
      <c r="K376" s="67"/>
      <c r="L376" s="67"/>
      <c r="M376" s="67"/>
      <c r="N376" s="67"/>
    </row>
    <row r="377">
      <c r="C377" s="67"/>
      <c r="D377" s="67"/>
      <c r="E377" s="67"/>
      <c r="F377" s="67"/>
      <c r="G377" s="67"/>
      <c r="H377" s="67"/>
      <c r="I377" s="67"/>
      <c r="J377" s="67"/>
      <c r="K377" s="67"/>
      <c r="L377" s="67"/>
      <c r="M377" s="67"/>
      <c r="N377" s="67"/>
    </row>
    <row r="378">
      <c r="C378" s="67"/>
      <c r="D378" s="67"/>
      <c r="E378" s="67"/>
      <c r="F378" s="67"/>
      <c r="G378" s="67"/>
      <c r="H378" s="67"/>
      <c r="I378" s="67"/>
      <c r="J378" s="67"/>
      <c r="K378" s="67"/>
      <c r="L378" s="67"/>
      <c r="M378" s="67"/>
      <c r="N378" s="67"/>
    </row>
    <row r="379">
      <c r="C379" s="67"/>
      <c r="D379" s="67"/>
      <c r="E379" s="67"/>
      <c r="F379" s="67"/>
      <c r="G379" s="67"/>
      <c r="H379" s="67"/>
      <c r="I379" s="67"/>
      <c r="J379" s="67"/>
      <c r="K379" s="67"/>
      <c r="L379" s="67"/>
      <c r="M379" s="67"/>
      <c r="N379" s="67"/>
    </row>
    <row r="380">
      <c r="C380" s="67"/>
      <c r="D380" s="67"/>
      <c r="E380" s="67"/>
      <c r="F380" s="67"/>
      <c r="G380" s="67"/>
      <c r="H380" s="67"/>
      <c r="I380" s="67"/>
      <c r="J380" s="67"/>
      <c r="K380" s="67"/>
      <c r="L380" s="67"/>
      <c r="M380" s="67"/>
      <c r="N380" s="67"/>
    </row>
    <row r="381">
      <c r="C381" s="67"/>
      <c r="D381" s="67"/>
      <c r="E381" s="67"/>
      <c r="F381" s="67"/>
      <c r="G381" s="67"/>
      <c r="H381" s="67"/>
      <c r="I381" s="67"/>
      <c r="J381" s="67"/>
      <c r="K381" s="67"/>
      <c r="L381" s="67"/>
      <c r="M381" s="67"/>
      <c r="N381" s="67"/>
    </row>
    <row r="382">
      <c r="C382" s="67"/>
      <c r="D382" s="67"/>
      <c r="E382" s="67"/>
      <c r="F382" s="67"/>
      <c r="G382" s="67"/>
      <c r="H382" s="67"/>
      <c r="I382" s="67"/>
      <c r="J382" s="67"/>
      <c r="K382" s="67"/>
      <c r="L382" s="67"/>
      <c r="M382" s="67"/>
      <c r="N382" s="67"/>
    </row>
    <row r="383">
      <c r="C383" s="67"/>
      <c r="D383" s="67"/>
      <c r="E383" s="67"/>
      <c r="F383" s="67"/>
      <c r="G383" s="67"/>
      <c r="H383" s="67"/>
      <c r="I383" s="67"/>
      <c r="J383" s="67"/>
      <c r="K383" s="67"/>
      <c r="L383" s="67"/>
      <c r="M383" s="67"/>
      <c r="N383" s="67"/>
    </row>
    <row r="384">
      <c r="C384" s="67"/>
      <c r="D384" s="67"/>
      <c r="E384" s="67"/>
      <c r="F384" s="67"/>
      <c r="G384" s="67"/>
      <c r="H384" s="67"/>
      <c r="I384" s="67"/>
      <c r="J384" s="67"/>
      <c r="K384" s="67"/>
      <c r="L384" s="67"/>
      <c r="M384" s="67"/>
      <c r="N384" s="67"/>
    </row>
    <row r="385">
      <c r="C385" s="67"/>
      <c r="D385" s="67"/>
      <c r="E385" s="67"/>
      <c r="F385" s="67"/>
      <c r="G385" s="67"/>
      <c r="H385" s="67"/>
      <c r="I385" s="67"/>
      <c r="J385" s="67"/>
      <c r="K385" s="67"/>
      <c r="L385" s="67"/>
      <c r="M385" s="67"/>
      <c r="N385" s="67"/>
    </row>
    <row r="386">
      <c r="C386" s="67"/>
      <c r="D386" s="67"/>
      <c r="E386" s="67"/>
      <c r="F386" s="67"/>
      <c r="G386" s="67"/>
      <c r="H386" s="67"/>
      <c r="I386" s="67"/>
      <c r="J386" s="67"/>
      <c r="K386" s="67"/>
      <c r="L386" s="67"/>
      <c r="M386" s="67"/>
      <c r="N386" s="67"/>
    </row>
    <row r="387">
      <c r="C387" s="67"/>
      <c r="D387" s="67"/>
      <c r="E387" s="67"/>
      <c r="F387" s="67"/>
      <c r="G387" s="67"/>
      <c r="H387" s="67"/>
      <c r="I387" s="67"/>
      <c r="J387" s="67"/>
      <c r="K387" s="67"/>
      <c r="L387" s="67"/>
      <c r="M387" s="67"/>
      <c r="N387" s="67"/>
    </row>
    <row r="388">
      <c r="C388" s="67"/>
      <c r="D388" s="67"/>
      <c r="E388" s="67"/>
      <c r="F388" s="67"/>
      <c r="G388" s="67"/>
      <c r="H388" s="67"/>
      <c r="I388" s="67"/>
      <c r="J388" s="67"/>
      <c r="K388" s="67"/>
      <c r="L388" s="67"/>
      <c r="M388" s="67"/>
      <c r="N388" s="67"/>
    </row>
    <row r="389">
      <c r="C389" s="67"/>
      <c r="D389" s="67"/>
      <c r="E389" s="67"/>
      <c r="F389" s="67"/>
      <c r="G389" s="67"/>
      <c r="H389" s="67"/>
      <c r="I389" s="67"/>
      <c r="J389" s="67"/>
      <c r="K389" s="67"/>
      <c r="L389" s="67"/>
      <c r="M389" s="67"/>
      <c r="N389" s="67"/>
    </row>
    <row r="390">
      <c r="C390" s="67"/>
      <c r="D390" s="67"/>
      <c r="E390" s="67"/>
      <c r="F390" s="67"/>
      <c r="G390" s="67"/>
      <c r="H390" s="67"/>
      <c r="I390" s="67"/>
      <c r="J390" s="67"/>
      <c r="K390" s="67"/>
      <c r="L390" s="67"/>
      <c r="M390" s="67"/>
      <c r="N390" s="67"/>
    </row>
    <row r="391">
      <c r="C391" s="67"/>
      <c r="D391" s="67"/>
      <c r="E391" s="67"/>
      <c r="F391" s="67"/>
      <c r="G391" s="67"/>
      <c r="H391" s="67"/>
      <c r="I391" s="67"/>
      <c r="J391" s="67"/>
      <c r="K391" s="67"/>
      <c r="L391" s="67"/>
      <c r="M391" s="67"/>
      <c r="N391" s="67"/>
    </row>
    <row r="392">
      <c r="C392" s="67"/>
      <c r="D392" s="67"/>
      <c r="E392" s="67"/>
      <c r="F392" s="67"/>
      <c r="G392" s="67"/>
      <c r="H392" s="67"/>
      <c r="I392" s="67"/>
      <c r="J392" s="67"/>
      <c r="K392" s="67"/>
      <c r="L392" s="67"/>
      <c r="M392" s="67"/>
      <c r="N392" s="67"/>
    </row>
    <row r="393">
      <c r="C393" s="67"/>
      <c r="D393" s="67"/>
      <c r="E393" s="67"/>
      <c r="F393" s="67"/>
      <c r="G393" s="67"/>
      <c r="H393" s="67"/>
      <c r="I393" s="67"/>
      <c r="J393" s="67"/>
      <c r="K393" s="67"/>
      <c r="L393" s="67"/>
      <c r="M393" s="67"/>
      <c r="N393" s="67"/>
    </row>
    <row r="394">
      <c r="C394" s="67"/>
      <c r="D394" s="67"/>
      <c r="E394" s="67"/>
      <c r="F394" s="67"/>
      <c r="G394" s="67"/>
      <c r="H394" s="67"/>
      <c r="I394" s="67"/>
      <c r="J394" s="67"/>
      <c r="K394" s="67"/>
      <c r="L394" s="67"/>
      <c r="M394" s="67"/>
      <c r="N394" s="67"/>
    </row>
    <row r="395">
      <c r="C395" s="67"/>
      <c r="D395" s="67"/>
      <c r="E395" s="67"/>
      <c r="F395" s="67"/>
      <c r="G395" s="67"/>
      <c r="H395" s="67"/>
      <c r="I395" s="67"/>
      <c r="J395" s="67"/>
      <c r="K395" s="67"/>
      <c r="L395" s="67"/>
      <c r="M395" s="67"/>
      <c r="N395" s="67"/>
    </row>
    <row r="396">
      <c r="C396" s="67"/>
      <c r="D396" s="67"/>
      <c r="E396" s="67"/>
      <c r="F396" s="67"/>
      <c r="G396" s="67"/>
      <c r="H396" s="67"/>
      <c r="I396" s="67"/>
      <c r="J396" s="67"/>
      <c r="K396" s="67"/>
      <c r="L396" s="67"/>
      <c r="M396" s="67"/>
      <c r="N396" s="67"/>
    </row>
    <row r="397">
      <c r="C397" s="67"/>
      <c r="D397" s="67"/>
      <c r="E397" s="67"/>
      <c r="F397" s="67"/>
      <c r="G397" s="67"/>
      <c r="H397" s="67"/>
      <c r="I397" s="67"/>
      <c r="J397" s="67"/>
      <c r="K397" s="67"/>
      <c r="L397" s="67"/>
      <c r="M397" s="67"/>
      <c r="N397" s="67"/>
    </row>
    <row r="398">
      <c r="C398" s="67"/>
      <c r="D398" s="67"/>
      <c r="E398" s="67"/>
      <c r="F398" s="67"/>
      <c r="G398" s="67"/>
      <c r="H398" s="67"/>
      <c r="I398" s="67"/>
      <c r="J398" s="67"/>
      <c r="K398" s="67"/>
      <c r="L398" s="67"/>
      <c r="M398" s="67"/>
      <c r="N398" s="67"/>
    </row>
    <row r="399">
      <c r="C399" s="67"/>
      <c r="D399" s="67"/>
      <c r="E399" s="67"/>
      <c r="F399" s="67"/>
      <c r="G399" s="67"/>
      <c r="H399" s="67"/>
      <c r="I399" s="67"/>
      <c r="J399" s="67"/>
      <c r="K399" s="67"/>
      <c r="L399" s="67"/>
      <c r="M399" s="67"/>
      <c r="N399" s="67"/>
    </row>
    <row r="400">
      <c r="C400" s="67"/>
      <c r="D400" s="67"/>
      <c r="E400" s="67"/>
      <c r="F400" s="67"/>
      <c r="G400" s="67"/>
      <c r="H400" s="67"/>
      <c r="I400" s="67"/>
      <c r="J400" s="67"/>
      <c r="K400" s="67"/>
      <c r="L400" s="67"/>
      <c r="M400" s="67"/>
      <c r="N400" s="67"/>
    </row>
    <row r="401">
      <c r="C401" s="67"/>
      <c r="D401" s="67"/>
      <c r="E401" s="67"/>
      <c r="F401" s="67"/>
      <c r="G401" s="67"/>
      <c r="H401" s="67"/>
      <c r="I401" s="67"/>
      <c r="J401" s="67"/>
      <c r="K401" s="67"/>
      <c r="L401" s="67"/>
      <c r="M401" s="67"/>
      <c r="N401" s="67"/>
    </row>
    <row r="402">
      <c r="C402" s="67"/>
      <c r="D402" s="67"/>
      <c r="E402" s="67"/>
      <c r="F402" s="67"/>
      <c r="G402" s="67"/>
      <c r="H402" s="67"/>
      <c r="I402" s="67"/>
      <c r="J402" s="67"/>
      <c r="K402" s="67"/>
      <c r="L402" s="67"/>
      <c r="M402" s="67"/>
      <c r="N402" s="67"/>
    </row>
    <row r="403">
      <c r="C403" s="67"/>
      <c r="D403" s="67"/>
      <c r="E403" s="67"/>
      <c r="F403" s="67"/>
      <c r="G403" s="67"/>
      <c r="H403" s="67"/>
      <c r="I403" s="67"/>
      <c r="J403" s="67"/>
      <c r="K403" s="67"/>
      <c r="L403" s="67"/>
      <c r="M403" s="67"/>
      <c r="N403" s="67"/>
    </row>
    <row r="404">
      <c r="C404" s="67"/>
      <c r="D404" s="67"/>
      <c r="E404" s="67"/>
      <c r="F404" s="67"/>
      <c r="G404" s="67"/>
      <c r="H404" s="67"/>
      <c r="I404" s="67"/>
      <c r="J404" s="67"/>
      <c r="K404" s="67"/>
      <c r="L404" s="67"/>
      <c r="M404" s="67"/>
      <c r="N404" s="67"/>
    </row>
    <row r="405">
      <c r="C405" s="67"/>
      <c r="D405" s="67"/>
      <c r="E405" s="67"/>
      <c r="F405" s="67"/>
      <c r="G405" s="67"/>
      <c r="H405" s="67"/>
      <c r="I405" s="67"/>
      <c r="J405" s="67"/>
      <c r="K405" s="67"/>
      <c r="L405" s="67"/>
      <c r="M405" s="67"/>
      <c r="N405" s="67"/>
    </row>
    <row r="406">
      <c r="C406" s="67"/>
      <c r="D406" s="67"/>
      <c r="E406" s="67"/>
      <c r="F406" s="67"/>
      <c r="G406" s="67"/>
      <c r="H406" s="67"/>
      <c r="I406" s="67"/>
      <c r="J406" s="67"/>
      <c r="K406" s="67"/>
      <c r="L406" s="67"/>
      <c r="M406" s="67"/>
      <c r="N406" s="67"/>
    </row>
    <row r="407">
      <c r="C407" s="67"/>
      <c r="D407" s="67"/>
      <c r="E407" s="67"/>
      <c r="F407" s="67"/>
      <c r="G407" s="67"/>
      <c r="H407" s="67"/>
      <c r="I407" s="67"/>
      <c r="J407" s="67"/>
      <c r="K407" s="67"/>
      <c r="L407" s="67"/>
      <c r="M407" s="67"/>
      <c r="N407" s="67"/>
    </row>
    <row r="408">
      <c r="C408" s="67"/>
      <c r="D408" s="67"/>
      <c r="E408" s="67"/>
      <c r="F408" s="67"/>
      <c r="G408" s="67"/>
      <c r="H408" s="67"/>
      <c r="I408" s="67"/>
      <c r="J408" s="67"/>
      <c r="K408" s="67"/>
      <c r="L408" s="67"/>
      <c r="M408" s="67"/>
      <c r="N408" s="67"/>
    </row>
    <row r="409">
      <c r="C409" s="67"/>
      <c r="D409" s="67"/>
      <c r="E409" s="67"/>
      <c r="F409" s="67"/>
      <c r="G409" s="67"/>
      <c r="H409" s="67"/>
      <c r="I409" s="67"/>
      <c r="J409" s="67"/>
      <c r="K409" s="67"/>
      <c r="L409" s="67"/>
      <c r="M409" s="67"/>
      <c r="N409" s="67"/>
    </row>
    <row r="410">
      <c r="C410" s="67"/>
      <c r="D410" s="67"/>
      <c r="E410" s="67"/>
      <c r="F410" s="67"/>
      <c r="G410" s="67"/>
      <c r="H410" s="67"/>
      <c r="I410" s="67"/>
      <c r="J410" s="67"/>
      <c r="K410" s="67"/>
      <c r="L410" s="67"/>
      <c r="M410" s="67"/>
      <c r="N410" s="67"/>
    </row>
    <row r="411">
      <c r="C411" s="67"/>
      <c r="D411" s="67"/>
      <c r="E411" s="67"/>
      <c r="F411" s="67"/>
      <c r="G411" s="67"/>
      <c r="H411" s="67"/>
      <c r="I411" s="67"/>
      <c r="J411" s="67"/>
      <c r="K411" s="67"/>
      <c r="L411" s="67"/>
      <c r="M411" s="67"/>
      <c r="N411" s="67"/>
    </row>
    <row r="412">
      <c r="C412" s="67"/>
      <c r="D412" s="67"/>
      <c r="E412" s="67"/>
      <c r="F412" s="67"/>
      <c r="G412" s="67"/>
      <c r="H412" s="67"/>
      <c r="I412" s="67"/>
      <c r="J412" s="67"/>
      <c r="K412" s="67"/>
      <c r="L412" s="67"/>
      <c r="M412" s="67"/>
      <c r="N412" s="67"/>
    </row>
    <row r="413">
      <c r="C413" s="67"/>
      <c r="D413" s="67"/>
      <c r="E413" s="67"/>
      <c r="F413" s="67"/>
      <c r="G413" s="67"/>
      <c r="H413" s="67"/>
      <c r="I413" s="67"/>
      <c r="J413" s="67"/>
      <c r="K413" s="67"/>
      <c r="L413" s="67"/>
      <c r="M413" s="67"/>
      <c r="N413" s="67"/>
    </row>
    <row r="414">
      <c r="C414" s="67"/>
      <c r="D414" s="67"/>
      <c r="E414" s="67"/>
      <c r="F414" s="67"/>
      <c r="G414" s="67"/>
      <c r="H414" s="67"/>
      <c r="I414" s="67"/>
      <c r="J414" s="67"/>
      <c r="K414" s="67"/>
      <c r="L414" s="67"/>
      <c r="M414" s="67"/>
      <c r="N414" s="67"/>
    </row>
    <row r="415">
      <c r="C415" s="67"/>
      <c r="D415" s="67"/>
      <c r="E415" s="67"/>
      <c r="F415" s="67"/>
      <c r="G415" s="67"/>
      <c r="H415" s="67"/>
      <c r="I415" s="67"/>
      <c r="J415" s="67"/>
      <c r="K415" s="67"/>
      <c r="L415" s="67"/>
      <c r="M415" s="67"/>
      <c r="N415" s="67"/>
    </row>
    <row r="416">
      <c r="C416" s="67"/>
      <c r="D416" s="67"/>
      <c r="E416" s="67"/>
      <c r="F416" s="67"/>
      <c r="G416" s="67"/>
      <c r="H416" s="67"/>
      <c r="I416" s="67"/>
      <c r="J416" s="67"/>
      <c r="K416" s="67"/>
      <c r="L416" s="67"/>
      <c r="M416" s="67"/>
      <c r="N416" s="67"/>
    </row>
    <row r="417">
      <c r="C417" s="67"/>
      <c r="D417" s="67"/>
      <c r="E417" s="67"/>
      <c r="F417" s="67"/>
      <c r="G417" s="67"/>
      <c r="H417" s="67"/>
      <c r="I417" s="67"/>
      <c r="J417" s="67"/>
      <c r="K417" s="67"/>
      <c r="L417" s="67"/>
      <c r="M417" s="67"/>
      <c r="N417" s="67"/>
    </row>
    <row r="418">
      <c r="C418" s="67"/>
      <c r="D418" s="67"/>
      <c r="E418" s="67"/>
      <c r="F418" s="67"/>
      <c r="G418" s="67"/>
      <c r="H418" s="67"/>
      <c r="I418" s="67"/>
      <c r="J418" s="67"/>
      <c r="K418" s="67"/>
      <c r="L418" s="67"/>
      <c r="M418" s="67"/>
      <c r="N418" s="67"/>
    </row>
    <row r="419">
      <c r="C419" s="67"/>
      <c r="D419" s="67"/>
      <c r="E419" s="67"/>
      <c r="F419" s="67"/>
      <c r="G419" s="67"/>
      <c r="H419" s="67"/>
      <c r="I419" s="67"/>
      <c r="J419" s="67"/>
      <c r="K419" s="67"/>
      <c r="L419" s="67"/>
      <c r="M419" s="67"/>
      <c r="N419" s="67"/>
    </row>
    <row r="420">
      <c r="C420" s="67"/>
      <c r="D420" s="67"/>
      <c r="E420" s="67"/>
      <c r="F420" s="67"/>
      <c r="G420" s="67"/>
      <c r="H420" s="67"/>
      <c r="I420" s="67"/>
      <c r="J420" s="67"/>
      <c r="K420" s="67"/>
      <c r="L420" s="67"/>
      <c r="M420" s="67"/>
      <c r="N420" s="67"/>
    </row>
    <row r="421">
      <c r="C421" s="67"/>
      <c r="D421" s="67"/>
      <c r="E421" s="67"/>
      <c r="F421" s="67"/>
      <c r="G421" s="67"/>
      <c r="H421" s="67"/>
      <c r="I421" s="67"/>
      <c r="J421" s="67"/>
      <c r="K421" s="67"/>
      <c r="L421" s="67"/>
      <c r="M421" s="67"/>
      <c r="N421" s="67"/>
    </row>
    <row r="422">
      <c r="C422" s="67"/>
      <c r="D422" s="67"/>
      <c r="E422" s="67"/>
      <c r="F422" s="67"/>
      <c r="G422" s="67"/>
      <c r="H422" s="67"/>
      <c r="I422" s="67"/>
      <c r="J422" s="67"/>
      <c r="K422" s="67"/>
      <c r="L422" s="67"/>
      <c r="M422" s="67"/>
      <c r="N422" s="67"/>
    </row>
    <row r="423">
      <c r="C423" s="67"/>
      <c r="D423" s="67"/>
      <c r="E423" s="67"/>
      <c r="F423" s="67"/>
      <c r="G423" s="67"/>
      <c r="H423" s="67"/>
      <c r="I423" s="67"/>
      <c r="J423" s="67"/>
      <c r="K423" s="67"/>
      <c r="L423" s="67"/>
      <c r="M423" s="67"/>
      <c r="N423" s="67"/>
    </row>
    <row r="424">
      <c r="C424" s="67"/>
      <c r="D424" s="67"/>
      <c r="E424" s="67"/>
      <c r="F424" s="67"/>
      <c r="G424" s="67"/>
      <c r="H424" s="67"/>
      <c r="I424" s="67"/>
      <c r="J424" s="67"/>
      <c r="K424" s="67"/>
      <c r="L424" s="67"/>
      <c r="M424" s="67"/>
      <c r="N424" s="67"/>
    </row>
    <row r="425">
      <c r="C425" s="67"/>
      <c r="D425" s="67"/>
      <c r="E425" s="67"/>
      <c r="F425" s="67"/>
      <c r="G425" s="67"/>
      <c r="H425" s="67"/>
      <c r="I425" s="67"/>
      <c r="J425" s="67"/>
      <c r="K425" s="67"/>
      <c r="L425" s="67"/>
      <c r="M425" s="67"/>
      <c r="N425" s="67"/>
    </row>
    <row r="426">
      <c r="C426" s="67"/>
      <c r="D426" s="67"/>
      <c r="E426" s="67"/>
      <c r="F426" s="67"/>
      <c r="G426" s="67"/>
      <c r="H426" s="67"/>
      <c r="I426" s="67"/>
      <c r="J426" s="67"/>
      <c r="K426" s="67"/>
      <c r="L426" s="67"/>
      <c r="M426" s="67"/>
      <c r="N426" s="67"/>
    </row>
    <row r="427">
      <c r="C427" s="67"/>
      <c r="D427" s="67"/>
      <c r="E427" s="67"/>
      <c r="F427" s="67"/>
      <c r="G427" s="67"/>
      <c r="H427" s="67"/>
      <c r="I427" s="67"/>
      <c r="J427" s="67"/>
      <c r="K427" s="67"/>
      <c r="L427" s="67"/>
      <c r="M427" s="67"/>
      <c r="N427" s="67"/>
    </row>
    <row r="428">
      <c r="C428" s="67"/>
      <c r="D428" s="67"/>
      <c r="E428" s="67"/>
      <c r="F428" s="67"/>
      <c r="G428" s="67"/>
      <c r="H428" s="67"/>
      <c r="I428" s="67"/>
      <c r="J428" s="67"/>
      <c r="K428" s="67"/>
      <c r="L428" s="67"/>
      <c r="M428" s="67"/>
      <c r="N428" s="67"/>
    </row>
    <row r="429">
      <c r="C429" s="67"/>
      <c r="D429" s="67"/>
      <c r="E429" s="67"/>
      <c r="F429" s="67"/>
      <c r="G429" s="67"/>
      <c r="H429" s="67"/>
      <c r="I429" s="67"/>
      <c r="J429" s="67"/>
      <c r="K429" s="67"/>
      <c r="L429" s="67"/>
      <c r="M429" s="67"/>
      <c r="N429" s="67"/>
    </row>
    <row r="430">
      <c r="C430" s="67"/>
      <c r="D430" s="67"/>
      <c r="E430" s="67"/>
      <c r="F430" s="67"/>
      <c r="G430" s="67"/>
      <c r="H430" s="67"/>
      <c r="I430" s="67"/>
      <c r="J430" s="67"/>
      <c r="K430" s="67"/>
      <c r="L430" s="67"/>
      <c r="M430" s="67"/>
      <c r="N430" s="67"/>
    </row>
    <row r="431">
      <c r="C431" s="67"/>
      <c r="D431" s="67"/>
      <c r="E431" s="67"/>
      <c r="F431" s="67"/>
      <c r="G431" s="67"/>
      <c r="H431" s="67"/>
      <c r="I431" s="67"/>
      <c r="J431" s="67"/>
      <c r="K431" s="67"/>
      <c r="L431" s="67"/>
      <c r="M431" s="67"/>
      <c r="N431" s="67"/>
    </row>
    <row r="432">
      <c r="C432" s="67"/>
      <c r="D432" s="67"/>
      <c r="E432" s="67"/>
      <c r="F432" s="67"/>
      <c r="G432" s="67"/>
      <c r="H432" s="67"/>
      <c r="I432" s="67"/>
      <c r="J432" s="67"/>
      <c r="K432" s="67"/>
      <c r="L432" s="67"/>
      <c r="M432" s="67"/>
      <c r="N432" s="67"/>
    </row>
    <row r="433">
      <c r="C433" s="67"/>
      <c r="D433" s="67"/>
      <c r="E433" s="67"/>
      <c r="F433" s="67"/>
      <c r="G433" s="67"/>
      <c r="H433" s="67"/>
      <c r="I433" s="67"/>
      <c r="J433" s="67"/>
      <c r="K433" s="67"/>
      <c r="L433" s="67"/>
      <c r="M433" s="67"/>
      <c r="N433" s="67"/>
    </row>
    <row r="434">
      <c r="C434" s="67"/>
      <c r="D434" s="67"/>
      <c r="E434" s="67"/>
      <c r="F434" s="67"/>
      <c r="G434" s="67"/>
      <c r="H434" s="67"/>
      <c r="I434" s="67"/>
      <c r="J434" s="67"/>
      <c r="K434" s="67"/>
      <c r="L434" s="67"/>
      <c r="M434" s="67"/>
      <c r="N434" s="67"/>
    </row>
    <row r="435">
      <c r="C435" s="67"/>
      <c r="D435" s="67"/>
      <c r="E435" s="67"/>
      <c r="F435" s="67"/>
      <c r="G435" s="67"/>
      <c r="H435" s="67"/>
      <c r="I435" s="67"/>
      <c r="J435" s="67"/>
      <c r="K435" s="67"/>
      <c r="L435" s="67"/>
      <c r="M435" s="67"/>
      <c r="N435" s="67"/>
    </row>
    <row r="436">
      <c r="C436" s="67"/>
      <c r="D436" s="67"/>
      <c r="E436" s="67"/>
      <c r="F436" s="67"/>
      <c r="G436" s="67"/>
      <c r="H436" s="67"/>
      <c r="I436" s="67"/>
      <c r="J436" s="67"/>
      <c r="K436" s="67"/>
      <c r="L436" s="67"/>
      <c r="M436" s="67"/>
      <c r="N436" s="67"/>
    </row>
    <row r="437">
      <c r="C437" s="67"/>
      <c r="D437" s="67"/>
      <c r="E437" s="67"/>
      <c r="F437" s="67"/>
      <c r="G437" s="67"/>
      <c r="H437" s="67"/>
      <c r="I437" s="67"/>
      <c r="J437" s="67"/>
      <c r="K437" s="67"/>
      <c r="L437" s="67"/>
      <c r="M437" s="67"/>
      <c r="N437" s="67"/>
    </row>
    <row r="438">
      <c r="C438" s="67"/>
      <c r="D438" s="67"/>
      <c r="E438" s="67"/>
      <c r="F438" s="67"/>
      <c r="G438" s="67"/>
      <c r="H438" s="67"/>
      <c r="I438" s="67"/>
      <c r="J438" s="67"/>
      <c r="K438" s="67"/>
      <c r="L438" s="67"/>
      <c r="M438" s="67"/>
      <c r="N438" s="67"/>
    </row>
    <row r="439">
      <c r="C439" s="67"/>
      <c r="D439" s="67"/>
      <c r="E439" s="67"/>
      <c r="F439" s="67"/>
      <c r="G439" s="67"/>
      <c r="H439" s="67"/>
      <c r="I439" s="67"/>
      <c r="J439" s="67"/>
      <c r="K439" s="67"/>
      <c r="L439" s="67"/>
      <c r="M439" s="67"/>
      <c r="N439" s="67"/>
    </row>
    <row r="440">
      <c r="C440" s="67"/>
      <c r="D440" s="67"/>
      <c r="E440" s="67"/>
      <c r="F440" s="67"/>
      <c r="G440" s="67"/>
      <c r="H440" s="67"/>
      <c r="I440" s="67"/>
      <c r="J440" s="67"/>
      <c r="K440" s="67"/>
      <c r="L440" s="67"/>
      <c r="M440" s="67"/>
      <c r="N440" s="67"/>
    </row>
    <row r="441">
      <c r="C441" s="67"/>
      <c r="D441" s="67"/>
      <c r="E441" s="67"/>
      <c r="F441" s="67"/>
      <c r="G441" s="67"/>
      <c r="H441" s="67"/>
      <c r="I441" s="67"/>
      <c r="J441" s="67"/>
      <c r="K441" s="67"/>
      <c r="L441" s="67"/>
      <c r="M441" s="67"/>
      <c r="N441" s="67"/>
    </row>
    <row r="442">
      <c r="C442" s="67"/>
      <c r="D442" s="67"/>
      <c r="E442" s="67"/>
      <c r="F442" s="67"/>
      <c r="G442" s="67"/>
      <c r="H442" s="67"/>
      <c r="I442" s="67"/>
      <c r="J442" s="67"/>
      <c r="K442" s="67"/>
      <c r="L442" s="67"/>
      <c r="M442" s="67"/>
      <c r="N442" s="67"/>
    </row>
    <row r="443">
      <c r="C443" s="67"/>
      <c r="D443" s="67"/>
      <c r="E443" s="67"/>
      <c r="F443" s="67"/>
      <c r="G443" s="67"/>
      <c r="H443" s="67"/>
      <c r="I443" s="67"/>
      <c r="J443" s="67"/>
      <c r="K443" s="67"/>
      <c r="L443" s="67"/>
      <c r="M443" s="67"/>
      <c r="N443" s="67"/>
    </row>
    <row r="444">
      <c r="C444" s="67"/>
      <c r="D444" s="67"/>
      <c r="E444" s="67"/>
      <c r="F444" s="67"/>
      <c r="G444" s="67"/>
      <c r="H444" s="67"/>
      <c r="I444" s="67"/>
      <c r="J444" s="67"/>
      <c r="K444" s="67"/>
      <c r="L444" s="67"/>
      <c r="M444" s="67"/>
      <c r="N444" s="67"/>
    </row>
    <row r="445">
      <c r="C445" s="67"/>
      <c r="D445" s="67"/>
      <c r="E445" s="67"/>
      <c r="F445" s="67"/>
      <c r="G445" s="67"/>
      <c r="H445" s="67"/>
      <c r="I445" s="67"/>
      <c r="J445" s="67"/>
      <c r="K445" s="67"/>
      <c r="L445" s="67"/>
      <c r="M445" s="67"/>
      <c r="N445" s="67"/>
    </row>
    <row r="446">
      <c r="C446" s="67"/>
      <c r="D446" s="67"/>
      <c r="E446" s="67"/>
      <c r="F446" s="67"/>
      <c r="G446" s="67"/>
      <c r="H446" s="67"/>
      <c r="I446" s="67"/>
      <c r="J446" s="67"/>
      <c r="K446" s="67"/>
      <c r="L446" s="67"/>
      <c r="M446" s="67"/>
      <c r="N446" s="67"/>
    </row>
    <row r="447">
      <c r="C447" s="67"/>
      <c r="D447" s="67"/>
      <c r="E447" s="67"/>
      <c r="F447" s="67"/>
      <c r="G447" s="67"/>
      <c r="H447" s="67"/>
      <c r="I447" s="67"/>
      <c r="J447" s="67"/>
      <c r="K447" s="67"/>
      <c r="L447" s="67"/>
      <c r="M447" s="67"/>
      <c r="N447" s="67"/>
    </row>
    <row r="448">
      <c r="C448" s="67"/>
      <c r="D448" s="67"/>
      <c r="E448" s="67"/>
      <c r="F448" s="67"/>
      <c r="G448" s="67"/>
      <c r="H448" s="67"/>
      <c r="I448" s="67"/>
      <c r="J448" s="67"/>
      <c r="K448" s="67"/>
      <c r="L448" s="67"/>
      <c r="M448" s="67"/>
      <c r="N448" s="67"/>
    </row>
    <row r="449">
      <c r="C449" s="67"/>
      <c r="D449" s="67"/>
      <c r="E449" s="67"/>
      <c r="F449" s="67"/>
      <c r="G449" s="67"/>
      <c r="H449" s="67"/>
      <c r="I449" s="67"/>
      <c r="J449" s="67"/>
      <c r="K449" s="67"/>
      <c r="L449" s="67"/>
      <c r="M449" s="67"/>
      <c r="N449" s="67"/>
    </row>
    <row r="450">
      <c r="C450" s="67"/>
      <c r="D450" s="67"/>
      <c r="E450" s="67"/>
      <c r="F450" s="67"/>
      <c r="G450" s="67"/>
      <c r="H450" s="67"/>
      <c r="I450" s="67"/>
      <c r="J450" s="67"/>
      <c r="K450" s="67"/>
      <c r="L450" s="67"/>
      <c r="M450" s="67"/>
      <c r="N450" s="67"/>
    </row>
    <row r="451">
      <c r="C451" s="67"/>
      <c r="D451" s="67"/>
      <c r="E451" s="67"/>
      <c r="F451" s="67"/>
      <c r="G451" s="67"/>
      <c r="H451" s="67"/>
      <c r="I451" s="67"/>
      <c r="J451" s="67"/>
      <c r="K451" s="67"/>
      <c r="L451" s="67"/>
      <c r="M451" s="67"/>
      <c r="N451" s="67"/>
    </row>
    <row r="452">
      <c r="C452" s="67"/>
      <c r="D452" s="67"/>
      <c r="E452" s="67"/>
      <c r="F452" s="67"/>
      <c r="G452" s="67"/>
      <c r="H452" s="67"/>
      <c r="I452" s="67"/>
      <c r="J452" s="67"/>
      <c r="K452" s="67"/>
      <c r="L452" s="67"/>
      <c r="M452" s="67"/>
      <c r="N452" s="67"/>
    </row>
    <row r="453">
      <c r="C453" s="67"/>
      <c r="D453" s="67"/>
      <c r="E453" s="67"/>
      <c r="F453" s="67"/>
      <c r="G453" s="67"/>
      <c r="H453" s="67"/>
      <c r="I453" s="67"/>
      <c r="J453" s="67"/>
      <c r="K453" s="67"/>
      <c r="L453" s="67"/>
      <c r="M453" s="67"/>
      <c r="N453" s="67"/>
    </row>
    <row r="454">
      <c r="C454" s="67"/>
      <c r="D454" s="67"/>
      <c r="E454" s="67"/>
      <c r="F454" s="67"/>
      <c r="G454" s="67"/>
      <c r="H454" s="67"/>
      <c r="I454" s="67"/>
      <c r="J454" s="67"/>
      <c r="K454" s="67"/>
      <c r="L454" s="67"/>
      <c r="M454" s="67"/>
      <c r="N454" s="67"/>
    </row>
    <row r="455">
      <c r="C455" s="67"/>
      <c r="D455" s="67"/>
      <c r="E455" s="67"/>
      <c r="F455" s="67"/>
      <c r="G455" s="67"/>
      <c r="H455" s="67"/>
      <c r="I455" s="67"/>
      <c r="J455" s="67"/>
      <c r="K455" s="67"/>
      <c r="L455" s="67"/>
      <c r="M455" s="67"/>
      <c r="N455" s="67"/>
    </row>
    <row r="456">
      <c r="C456" s="67"/>
      <c r="D456" s="67"/>
      <c r="E456" s="67"/>
      <c r="F456" s="67"/>
      <c r="G456" s="67"/>
      <c r="H456" s="67"/>
      <c r="I456" s="67"/>
      <c r="J456" s="67"/>
      <c r="K456" s="67"/>
      <c r="L456" s="67"/>
      <c r="M456" s="67"/>
      <c r="N456" s="67"/>
    </row>
    <row r="457">
      <c r="C457" s="67"/>
      <c r="D457" s="67"/>
      <c r="E457" s="67"/>
      <c r="F457" s="67"/>
      <c r="G457" s="67"/>
      <c r="H457" s="67"/>
      <c r="I457" s="67"/>
      <c r="J457" s="67"/>
      <c r="K457" s="67"/>
      <c r="L457" s="67"/>
      <c r="M457" s="67"/>
      <c r="N457" s="67"/>
    </row>
    <row r="458">
      <c r="C458" s="67"/>
      <c r="D458" s="67"/>
      <c r="E458" s="67"/>
      <c r="F458" s="67"/>
      <c r="G458" s="67"/>
      <c r="H458" s="67"/>
      <c r="I458" s="67"/>
      <c r="J458" s="67"/>
      <c r="K458" s="67"/>
      <c r="L458" s="67"/>
      <c r="M458" s="67"/>
      <c r="N458" s="67"/>
    </row>
    <row r="459">
      <c r="C459" s="67"/>
      <c r="D459" s="67"/>
      <c r="E459" s="67"/>
      <c r="F459" s="67"/>
      <c r="G459" s="67"/>
      <c r="H459" s="67"/>
      <c r="I459" s="67"/>
      <c r="J459" s="67"/>
      <c r="K459" s="67"/>
      <c r="L459" s="67"/>
      <c r="M459" s="67"/>
      <c r="N459" s="67"/>
    </row>
    <row r="460">
      <c r="C460" s="67"/>
      <c r="D460" s="67"/>
      <c r="E460" s="67"/>
      <c r="F460" s="67"/>
      <c r="G460" s="67"/>
      <c r="H460" s="67"/>
      <c r="I460" s="67"/>
      <c r="J460" s="67"/>
      <c r="K460" s="67"/>
      <c r="L460" s="67"/>
      <c r="M460" s="67"/>
      <c r="N460" s="67"/>
    </row>
    <row r="461">
      <c r="C461" s="67"/>
      <c r="D461" s="67"/>
      <c r="E461" s="67"/>
      <c r="F461" s="67"/>
      <c r="G461" s="67"/>
      <c r="H461" s="67"/>
      <c r="I461" s="67"/>
      <c r="J461" s="67"/>
      <c r="K461" s="67"/>
      <c r="L461" s="67"/>
      <c r="M461" s="67"/>
      <c r="N461" s="67"/>
    </row>
    <row r="462">
      <c r="C462" s="67"/>
      <c r="D462" s="67"/>
      <c r="E462" s="67"/>
      <c r="F462" s="67"/>
      <c r="G462" s="67"/>
      <c r="H462" s="67"/>
      <c r="I462" s="67"/>
      <c r="J462" s="67"/>
      <c r="K462" s="67"/>
      <c r="L462" s="67"/>
      <c r="M462" s="67"/>
      <c r="N462" s="67"/>
    </row>
    <row r="463">
      <c r="C463" s="67"/>
      <c r="D463" s="67"/>
      <c r="E463" s="67"/>
      <c r="F463" s="67"/>
      <c r="G463" s="67"/>
      <c r="H463" s="67"/>
      <c r="I463" s="67"/>
      <c r="J463" s="67"/>
      <c r="K463" s="67"/>
      <c r="L463" s="67"/>
      <c r="M463" s="67"/>
      <c r="N463" s="67"/>
    </row>
    <row r="464">
      <c r="C464" s="67"/>
      <c r="D464" s="67"/>
      <c r="E464" s="67"/>
      <c r="F464" s="67"/>
      <c r="G464" s="67"/>
      <c r="H464" s="67"/>
      <c r="I464" s="67"/>
      <c r="J464" s="67"/>
      <c r="K464" s="67"/>
      <c r="L464" s="67"/>
      <c r="M464" s="67"/>
      <c r="N464" s="67"/>
    </row>
    <row r="465">
      <c r="C465" s="67"/>
      <c r="D465" s="67"/>
      <c r="E465" s="67"/>
      <c r="F465" s="67"/>
      <c r="G465" s="67"/>
      <c r="H465" s="67"/>
      <c r="I465" s="67"/>
      <c r="J465" s="67"/>
      <c r="K465" s="67"/>
      <c r="L465" s="67"/>
      <c r="M465" s="67"/>
      <c r="N465" s="67"/>
    </row>
    <row r="466">
      <c r="C466" s="67"/>
      <c r="D466" s="67"/>
      <c r="E466" s="67"/>
      <c r="F466" s="67"/>
      <c r="G466" s="67"/>
      <c r="H466" s="67"/>
      <c r="I466" s="67"/>
      <c r="J466" s="67"/>
      <c r="K466" s="67"/>
      <c r="L466" s="67"/>
      <c r="M466" s="67"/>
      <c r="N466" s="67"/>
    </row>
    <row r="467">
      <c r="C467" s="67"/>
      <c r="D467" s="67"/>
      <c r="E467" s="67"/>
      <c r="F467" s="67"/>
      <c r="G467" s="67"/>
      <c r="H467" s="67"/>
      <c r="I467" s="67"/>
      <c r="J467" s="67"/>
      <c r="K467" s="67"/>
      <c r="L467" s="67"/>
      <c r="M467" s="67"/>
      <c r="N467" s="67"/>
    </row>
    <row r="468">
      <c r="C468" s="67"/>
      <c r="D468" s="67"/>
      <c r="E468" s="67"/>
      <c r="F468" s="67"/>
      <c r="G468" s="67"/>
      <c r="H468" s="67"/>
      <c r="I468" s="67"/>
      <c r="J468" s="67"/>
      <c r="K468" s="67"/>
      <c r="L468" s="67"/>
      <c r="M468" s="67"/>
      <c r="N468" s="67"/>
    </row>
    <row r="469">
      <c r="C469" s="67"/>
      <c r="D469" s="67"/>
      <c r="E469" s="67"/>
      <c r="F469" s="67"/>
      <c r="G469" s="67"/>
      <c r="H469" s="67"/>
      <c r="I469" s="67"/>
      <c r="J469" s="67"/>
      <c r="K469" s="67"/>
      <c r="L469" s="67"/>
      <c r="M469" s="67"/>
      <c r="N469" s="67"/>
    </row>
    <row r="470">
      <c r="C470" s="67"/>
      <c r="D470" s="67"/>
      <c r="E470" s="67"/>
      <c r="F470" s="67"/>
      <c r="G470" s="67"/>
      <c r="H470" s="67"/>
      <c r="I470" s="67"/>
      <c r="J470" s="67"/>
      <c r="K470" s="67"/>
      <c r="L470" s="67"/>
      <c r="M470" s="67"/>
      <c r="N470" s="67"/>
    </row>
    <row r="471">
      <c r="C471" s="67"/>
      <c r="D471" s="67"/>
      <c r="E471" s="67"/>
      <c r="F471" s="67"/>
      <c r="G471" s="67"/>
      <c r="H471" s="67"/>
      <c r="I471" s="67"/>
      <c r="J471" s="67"/>
      <c r="K471" s="67"/>
      <c r="L471" s="67"/>
      <c r="M471" s="67"/>
      <c r="N471" s="67"/>
    </row>
    <row r="472">
      <c r="C472" s="67"/>
      <c r="D472" s="67"/>
      <c r="E472" s="67"/>
      <c r="F472" s="67"/>
      <c r="G472" s="67"/>
      <c r="H472" s="67"/>
      <c r="I472" s="67"/>
      <c r="J472" s="67"/>
      <c r="K472" s="67"/>
      <c r="L472" s="67"/>
      <c r="M472" s="67"/>
      <c r="N472" s="67"/>
    </row>
    <row r="473">
      <c r="C473" s="67"/>
      <c r="D473" s="67"/>
      <c r="E473" s="67"/>
      <c r="F473" s="67"/>
      <c r="G473" s="67"/>
      <c r="H473" s="67"/>
      <c r="I473" s="67"/>
      <c r="J473" s="67"/>
      <c r="K473" s="67"/>
      <c r="L473" s="67"/>
      <c r="M473" s="67"/>
      <c r="N473" s="67"/>
    </row>
    <row r="474">
      <c r="C474" s="67"/>
      <c r="D474" s="67"/>
      <c r="E474" s="67"/>
      <c r="F474" s="67"/>
      <c r="G474" s="67"/>
      <c r="H474" s="67"/>
      <c r="I474" s="67"/>
      <c r="J474" s="67"/>
      <c r="K474" s="67"/>
      <c r="L474" s="67"/>
      <c r="M474" s="67"/>
      <c r="N474" s="67"/>
    </row>
    <row r="475">
      <c r="C475" s="67"/>
      <c r="D475" s="67"/>
      <c r="E475" s="67"/>
      <c r="F475" s="67"/>
      <c r="G475" s="67"/>
      <c r="H475" s="67"/>
      <c r="I475" s="67"/>
      <c r="J475" s="67"/>
      <c r="K475" s="67"/>
      <c r="L475" s="67"/>
      <c r="M475" s="67"/>
      <c r="N475" s="67"/>
    </row>
    <row r="476">
      <c r="C476" s="67"/>
      <c r="D476" s="67"/>
      <c r="E476" s="67"/>
      <c r="F476" s="67"/>
      <c r="G476" s="67"/>
      <c r="H476" s="67"/>
      <c r="I476" s="67"/>
      <c r="J476" s="67"/>
      <c r="K476" s="67"/>
      <c r="L476" s="67"/>
      <c r="M476" s="67"/>
      <c r="N476" s="67"/>
    </row>
    <row r="477">
      <c r="C477" s="67"/>
      <c r="D477" s="67"/>
      <c r="E477" s="67"/>
      <c r="F477" s="67"/>
      <c r="G477" s="67"/>
      <c r="H477" s="67"/>
      <c r="I477" s="67"/>
      <c r="J477" s="67"/>
      <c r="K477" s="67"/>
      <c r="L477" s="67"/>
      <c r="M477" s="67"/>
      <c r="N477" s="67"/>
    </row>
    <row r="478">
      <c r="C478" s="67"/>
      <c r="D478" s="67"/>
      <c r="E478" s="67"/>
      <c r="F478" s="67"/>
      <c r="G478" s="67"/>
      <c r="H478" s="67"/>
      <c r="I478" s="67"/>
      <c r="J478" s="67"/>
      <c r="K478" s="67"/>
      <c r="L478" s="67"/>
      <c r="M478" s="67"/>
      <c r="N478" s="67"/>
    </row>
    <row r="479">
      <c r="C479" s="67"/>
      <c r="D479" s="67"/>
      <c r="E479" s="67"/>
      <c r="F479" s="67"/>
      <c r="G479" s="67"/>
      <c r="H479" s="67"/>
      <c r="I479" s="67"/>
      <c r="J479" s="67"/>
      <c r="K479" s="67"/>
      <c r="L479" s="67"/>
      <c r="M479" s="67"/>
      <c r="N479" s="67"/>
    </row>
    <row r="480">
      <c r="C480" s="67"/>
      <c r="D480" s="67"/>
      <c r="E480" s="67"/>
      <c r="F480" s="67"/>
      <c r="G480" s="67"/>
      <c r="H480" s="67"/>
      <c r="I480" s="67"/>
      <c r="J480" s="67"/>
      <c r="K480" s="67"/>
      <c r="L480" s="67"/>
      <c r="M480" s="67"/>
      <c r="N480" s="67"/>
    </row>
    <row r="481">
      <c r="C481" s="67"/>
      <c r="D481" s="67"/>
      <c r="E481" s="67"/>
      <c r="F481" s="67"/>
      <c r="G481" s="67"/>
      <c r="H481" s="67"/>
      <c r="I481" s="67"/>
      <c r="J481" s="67"/>
      <c r="K481" s="67"/>
      <c r="L481" s="67"/>
      <c r="M481" s="67"/>
      <c r="N481" s="67"/>
    </row>
    <row r="482">
      <c r="C482" s="67"/>
      <c r="D482" s="67"/>
      <c r="E482" s="67"/>
      <c r="F482" s="67"/>
      <c r="G482" s="67"/>
      <c r="H482" s="67"/>
      <c r="I482" s="67"/>
      <c r="J482" s="67"/>
      <c r="K482" s="67"/>
      <c r="L482" s="67"/>
      <c r="M482" s="67"/>
      <c r="N482" s="67"/>
    </row>
    <row r="483">
      <c r="C483" s="67"/>
      <c r="D483" s="67"/>
      <c r="E483" s="67"/>
      <c r="F483" s="67"/>
      <c r="G483" s="67"/>
      <c r="H483" s="67"/>
      <c r="I483" s="67"/>
      <c r="J483" s="67"/>
      <c r="K483" s="67"/>
      <c r="L483" s="67"/>
      <c r="M483" s="67"/>
      <c r="N483" s="67"/>
    </row>
    <row r="484">
      <c r="C484" s="67"/>
      <c r="D484" s="67"/>
      <c r="E484" s="67"/>
      <c r="F484" s="67"/>
      <c r="G484" s="67"/>
      <c r="H484" s="67"/>
      <c r="I484" s="67"/>
      <c r="J484" s="67"/>
      <c r="K484" s="67"/>
      <c r="L484" s="67"/>
      <c r="M484" s="67"/>
      <c r="N484" s="67"/>
    </row>
    <row r="485">
      <c r="C485" s="67"/>
      <c r="D485" s="67"/>
      <c r="E485" s="67"/>
      <c r="F485" s="67"/>
      <c r="G485" s="67"/>
      <c r="H485" s="67"/>
      <c r="I485" s="67"/>
      <c r="J485" s="67"/>
      <c r="K485" s="67"/>
      <c r="L485" s="67"/>
      <c r="M485" s="67"/>
      <c r="N485" s="67"/>
    </row>
    <row r="486">
      <c r="C486" s="67"/>
      <c r="D486" s="67"/>
      <c r="E486" s="67"/>
      <c r="F486" s="67"/>
      <c r="G486" s="67"/>
      <c r="H486" s="67"/>
      <c r="I486" s="67"/>
      <c r="J486" s="67"/>
      <c r="K486" s="67"/>
      <c r="L486" s="67"/>
      <c r="M486" s="67"/>
      <c r="N486" s="67"/>
    </row>
    <row r="487">
      <c r="C487" s="67"/>
      <c r="D487" s="67"/>
      <c r="E487" s="67"/>
      <c r="F487" s="67"/>
      <c r="G487" s="67"/>
      <c r="H487" s="67"/>
      <c r="I487" s="67"/>
      <c r="J487" s="67"/>
      <c r="K487" s="67"/>
      <c r="L487" s="67"/>
      <c r="M487" s="67"/>
      <c r="N487" s="67"/>
    </row>
    <row r="488">
      <c r="C488" s="67"/>
      <c r="D488" s="67"/>
      <c r="E488" s="67"/>
      <c r="F488" s="67"/>
      <c r="G488" s="67"/>
      <c r="H488" s="67"/>
      <c r="I488" s="67"/>
      <c r="J488" s="67"/>
      <c r="K488" s="67"/>
      <c r="L488" s="67"/>
      <c r="M488" s="67"/>
      <c r="N488" s="67"/>
    </row>
    <row r="489">
      <c r="C489" s="67"/>
      <c r="D489" s="67"/>
      <c r="E489" s="67"/>
      <c r="F489" s="67"/>
      <c r="G489" s="67"/>
      <c r="H489" s="67"/>
      <c r="I489" s="67"/>
      <c r="J489" s="67"/>
      <c r="K489" s="67"/>
      <c r="L489" s="67"/>
      <c r="M489" s="67"/>
      <c r="N489" s="67"/>
    </row>
    <row r="490">
      <c r="C490" s="67"/>
      <c r="D490" s="67"/>
      <c r="E490" s="67"/>
      <c r="F490" s="67"/>
      <c r="G490" s="67"/>
      <c r="H490" s="67"/>
      <c r="I490" s="67"/>
      <c r="J490" s="67"/>
      <c r="K490" s="67"/>
      <c r="L490" s="67"/>
      <c r="M490" s="67"/>
      <c r="N490" s="67"/>
    </row>
    <row r="491">
      <c r="C491" s="67"/>
      <c r="D491" s="67"/>
      <c r="E491" s="67"/>
      <c r="F491" s="67"/>
      <c r="G491" s="67"/>
      <c r="H491" s="67"/>
      <c r="I491" s="67"/>
      <c r="J491" s="67"/>
      <c r="K491" s="67"/>
      <c r="L491" s="67"/>
      <c r="M491" s="67"/>
      <c r="N491" s="67"/>
    </row>
    <row r="492">
      <c r="C492" s="67"/>
      <c r="D492" s="67"/>
      <c r="E492" s="67"/>
      <c r="F492" s="67"/>
      <c r="G492" s="67"/>
      <c r="H492" s="67"/>
      <c r="I492" s="67"/>
      <c r="J492" s="67"/>
      <c r="K492" s="67"/>
      <c r="L492" s="67"/>
      <c r="M492" s="67"/>
      <c r="N492" s="67"/>
    </row>
    <row r="493">
      <c r="C493" s="67"/>
      <c r="D493" s="67"/>
      <c r="E493" s="67"/>
      <c r="F493" s="67"/>
      <c r="G493" s="67"/>
      <c r="H493" s="67"/>
      <c r="I493" s="67"/>
      <c r="J493" s="67"/>
      <c r="K493" s="67"/>
      <c r="L493" s="67"/>
      <c r="M493" s="67"/>
      <c r="N493" s="67"/>
    </row>
    <row r="494">
      <c r="C494" s="67"/>
      <c r="D494" s="67"/>
      <c r="E494" s="67"/>
      <c r="F494" s="67"/>
      <c r="G494" s="67"/>
      <c r="H494" s="67"/>
      <c r="I494" s="67"/>
      <c r="J494" s="67"/>
      <c r="K494" s="67"/>
      <c r="L494" s="67"/>
      <c r="M494" s="67"/>
      <c r="N494" s="67"/>
    </row>
    <row r="495">
      <c r="C495" s="67"/>
      <c r="D495" s="67"/>
      <c r="E495" s="67"/>
      <c r="F495" s="67"/>
      <c r="G495" s="67"/>
      <c r="H495" s="67"/>
      <c r="I495" s="67"/>
      <c r="J495" s="67"/>
      <c r="K495" s="67"/>
      <c r="L495" s="67"/>
      <c r="M495" s="67"/>
      <c r="N495" s="67"/>
    </row>
    <row r="496">
      <c r="C496" s="67"/>
      <c r="D496" s="67"/>
      <c r="E496" s="67"/>
      <c r="F496" s="67"/>
      <c r="G496" s="67"/>
      <c r="H496" s="67"/>
      <c r="I496" s="67"/>
      <c r="J496" s="67"/>
      <c r="K496" s="67"/>
      <c r="L496" s="67"/>
      <c r="M496" s="67"/>
      <c r="N496" s="67"/>
    </row>
    <row r="497">
      <c r="C497" s="67"/>
      <c r="D497" s="67"/>
      <c r="E497" s="67"/>
      <c r="F497" s="67"/>
      <c r="G497" s="67"/>
      <c r="H497" s="67"/>
      <c r="I497" s="67"/>
      <c r="J497" s="67"/>
      <c r="K497" s="67"/>
      <c r="L497" s="67"/>
      <c r="M497" s="67"/>
      <c r="N497" s="67"/>
    </row>
    <row r="498">
      <c r="C498" s="67"/>
      <c r="D498" s="67"/>
      <c r="E498" s="67"/>
      <c r="F498" s="67"/>
      <c r="G498" s="67"/>
      <c r="H498" s="67"/>
      <c r="I498" s="67"/>
      <c r="J498" s="67"/>
      <c r="K498" s="67"/>
      <c r="L498" s="67"/>
      <c r="M498" s="67"/>
      <c r="N498" s="67"/>
    </row>
    <row r="499">
      <c r="C499" s="67"/>
      <c r="D499" s="67"/>
      <c r="E499" s="67"/>
      <c r="F499" s="67"/>
      <c r="G499" s="67"/>
      <c r="H499" s="67"/>
      <c r="I499" s="67"/>
      <c r="J499" s="67"/>
      <c r="K499" s="67"/>
      <c r="L499" s="67"/>
      <c r="M499" s="67"/>
      <c r="N499" s="67"/>
    </row>
    <row r="500">
      <c r="C500" s="67"/>
      <c r="D500" s="67"/>
      <c r="E500" s="67"/>
      <c r="F500" s="67"/>
      <c r="G500" s="67"/>
      <c r="H500" s="67"/>
      <c r="I500" s="67"/>
      <c r="J500" s="67"/>
      <c r="K500" s="67"/>
      <c r="L500" s="67"/>
      <c r="M500" s="67"/>
      <c r="N500" s="67"/>
    </row>
    <row r="501">
      <c r="C501" s="67"/>
      <c r="D501" s="67"/>
      <c r="E501" s="67"/>
      <c r="F501" s="67"/>
      <c r="G501" s="67"/>
      <c r="H501" s="67"/>
      <c r="I501" s="67"/>
      <c r="J501" s="67"/>
      <c r="K501" s="67"/>
      <c r="L501" s="67"/>
      <c r="M501" s="67"/>
      <c r="N501" s="67"/>
    </row>
    <row r="502">
      <c r="C502" s="67"/>
      <c r="D502" s="67"/>
      <c r="E502" s="67"/>
      <c r="F502" s="67"/>
      <c r="G502" s="67"/>
      <c r="H502" s="67"/>
      <c r="I502" s="67"/>
      <c r="J502" s="67"/>
      <c r="K502" s="67"/>
      <c r="L502" s="67"/>
      <c r="M502" s="67"/>
      <c r="N502" s="67"/>
    </row>
    <row r="503">
      <c r="C503" s="67"/>
      <c r="D503" s="67"/>
      <c r="E503" s="67"/>
      <c r="F503" s="67"/>
      <c r="G503" s="67"/>
      <c r="H503" s="67"/>
      <c r="I503" s="67"/>
      <c r="J503" s="67"/>
      <c r="K503" s="67"/>
      <c r="L503" s="67"/>
      <c r="M503" s="67"/>
      <c r="N503" s="67"/>
    </row>
    <row r="504">
      <c r="C504" s="67"/>
      <c r="D504" s="67"/>
      <c r="E504" s="67"/>
      <c r="F504" s="67"/>
      <c r="G504" s="67"/>
      <c r="H504" s="67"/>
      <c r="I504" s="67"/>
      <c r="J504" s="67"/>
      <c r="K504" s="67"/>
      <c r="L504" s="67"/>
      <c r="M504" s="67"/>
      <c r="N504" s="67"/>
    </row>
    <row r="505">
      <c r="C505" s="67"/>
      <c r="D505" s="67"/>
      <c r="E505" s="67"/>
      <c r="F505" s="67"/>
      <c r="G505" s="67"/>
      <c r="H505" s="67"/>
      <c r="I505" s="67"/>
      <c r="J505" s="67"/>
      <c r="K505" s="67"/>
      <c r="L505" s="67"/>
      <c r="M505" s="67"/>
      <c r="N505" s="67"/>
    </row>
    <row r="506">
      <c r="C506" s="67"/>
      <c r="D506" s="67"/>
      <c r="E506" s="67"/>
      <c r="F506" s="67"/>
      <c r="G506" s="67"/>
      <c r="H506" s="67"/>
      <c r="I506" s="67"/>
      <c r="J506" s="67"/>
      <c r="K506" s="67"/>
      <c r="L506" s="67"/>
      <c r="M506" s="67"/>
      <c r="N506" s="67"/>
    </row>
    <row r="507">
      <c r="C507" s="67"/>
      <c r="D507" s="67"/>
      <c r="E507" s="67"/>
      <c r="F507" s="67"/>
      <c r="G507" s="67"/>
      <c r="H507" s="67"/>
      <c r="I507" s="67"/>
      <c r="J507" s="67"/>
      <c r="K507" s="67"/>
      <c r="L507" s="67"/>
      <c r="M507" s="67"/>
      <c r="N507" s="67"/>
    </row>
    <row r="508">
      <c r="C508" s="67"/>
      <c r="D508" s="67"/>
      <c r="E508" s="67"/>
      <c r="F508" s="67"/>
      <c r="G508" s="67"/>
      <c r="H508" s="67"/>
      <c r="I508" s="67"/>
      <c r="J508" s="67"/>
      <c r="K508" s="67"/>
      <c r="L508" s="67"/>
      <c r="M508" s="67"/>
      <c r="N508" s="67"/>
    </row>
    <row r="509">
      <c r="C509" s="67"/>
      <c r="D509" s="67"/>
      <c r="E509" s="67"/>
      <c r="F509" s="67"/>
      <c r="G509" s="67"/>
      <c r="H509" s="67"/>
      <c r="I509" s="67"/>
      <c r="J509" s="67"/>
      <c r="K509" s="67"/>
      <c r="L509" s="67"/>
      <c r="M509" s="67"/>
      <c r="N509" s="67"/>
    </row>
    <row r="510">
      <c r="C510" s="67"/>
      <c r="D510" s="67"/>
      <c r="E510" s="67"/>
      <c r="F510" s="67"/>
      <c r="G510" s="67"/>
      <c r="H510" s="67"/>
      <c r="I510" s="67"/>
      <c r="J510" s="67"/>
      <c r="K510" s="67"/>
      <c r="L510" s="67"/>
      <c r="M510" s="67"/>
      <c r="N510" s="67"/>
    </row>
    <row r="511">
      <c r="C511" s="67"/>
      <c r="D511" s="67"/>
      <c r="E511" s="67"/>
      <c r="F511" s="67"/>
      <c r="G511" s="67"/>
      <c r="H511" s="67"/>
      <c r="I511" s="67"/>
      <c r="J511" s="67"/>
      <c r="K511" s="67"/>
      <c r="L511" s="67"/>
      <c r="M511" s="67"/>
      <c r="N511" s="67"/>
    </row>
    <row r="512">
      <c r="C512" s="67"/>
      <c r="D512" s="67"/>
      <c r="E512" s="67"/>
      <c r="F512" s="67"/>
      <c r="G512" s="67"/>
      <c r="H512" s="67"/>
      <c r="I512" s="67"/>
      <c r="J512" s="67"/>
      <c r="K512" s="67"/>
      <c r="L512" s="67"/>
      <c r="M512" s="67"/>
      <c r="N512" s="67"/>
    </row>
    <row r="513">
      <c r="C513" s="67"/>
      <c r="D513" s="67"/>
      <c r="E513" s="67"/>
      <c r="F513" s="67"/>
      <c r="G513" s="67"/>
      <c r="H513" s="67"/>
      <c r="I513" s="67"/>
      <c r="J513" s="67"/>
      <c r="K513" s="67"/>
      <c r="L513" s="67"/>
      <c r="M513" s="67"/>
      <c r="N513" s="67"/>
    </row>
    <row r="514">
      <c r="C514" s="67"/>
      <c r="D514" s="67"/>
      <c r="E514" s="67"/>
      <c r="F514" s="67"/>
      <c r="G514" s="67"/>
      <c r="H514" s="67"/>
      <c r="I514" s="67"/>
      <c r="J514" s="67"/>
      <c r="K514" s="67"/>
      <c r="L514" s="67"/>
      <c r="M514" s="67"/>
      <c r="N514" s="67"/>
    </row>
    <row r="515">
      <c r="C515" s="67"/>
      <c r="D515" s="67"/>
      <c r="E515" s="67"/>
      <c r="F515" s="67"/>
      <c r="G515" s="67"/>
      <c r="H515" s="67"/>
      <c r="I515" s="67"/>
      <c r="J515" s="67"/>
      <c r="K515" s="67"/>
      <c r="L515" s="67"/>
      <c r="M515" s="67"/>
      <c r="N515" s="67"/>
    </row>
    <row r="516">
      <c r="C516" s="67"/>
      <c r="D516" s="67"/>
      <c r="E516" s="67"/>
      <c r="F516" s="67"/>
      <c r="G516" s="67"/>
      <c r="H516" s="67"/>
      <c r="I516" s="67"/>
      <c r="J516" s="67"/>
      <c r="K516" s="67"/>
      <c r="L516" s="67"/>
      <c r="M516" s="67"/>
      <c r="N516" s="67"/>
    </row>
    <row r="517">
      <c r="C517" s="67"/>
      <c r="D517" s="67"/>
      <c r="E517" s="67"/>
      <c r="F517" s="67"/>
      <c r="G517" s="67"/>
      <c r="H517" s="67"/>
      <c r="I517" s="67"/>
      <c r="J517" s="67"/>
      <c r="K517" s="67"/>
      <c r="L517" s="67"/>
      <c r="M517" s="67"/>
      <c r="N517" s="67"/>
    </row>
    <row r="518">
      <c r="C518" s="67"/>
      <c r="D518" s="67"/>
      <c r="E518" s="67"/>
      <c r="F518" s="67"/>
      <c r="G518" s="67"/>
      <c r="H518" s="67"/>
      <c r="I518" s="67"/>
      <c r="J518" s="67"/>
      <c r="K518" s="67"/>
      <c r="L518" s="67"/>
      <c r="M518" s="67"/>
      <c r="N518" s="67"/>
    </row>
    <row r="519">
      <c r="C519" s="67"/>
      <c r="D519" s="67"/>
      <c r="E519" s="67"/>
      <c r="F519" s="67"/>
      <c r="G519" s="67"/>
      <c r="H519" s="67"/>
      <c r="I519" s="67"/>
      <c r="J519" s="67"/>
      <c r="K519" s="67"/>
      <c r="L519" s="67"/>
      <c r="M519" s="67"/>
      <c r="N519" s="67"/>
    </row>
    <row r="520">
      <c r="C520" s="67"/>
      <c r="D520" s="67"/>
      <c r="E520" s="67"/>
      <c r="F520" s="67"/>
      <c r="G520" s="67"/>
      <c r="H520" s="67"/>
      <c r="I520" s="67"/>
      <c r="J520" s="67"/>
      <c r="K520" s="67"/>
      <c r="L520" s="67"/>
      <c r="M520" s="67"/>
      <c r="N520" s="67"/>
    </row>
    <row r="521">
      <c r="C521" s="67"/>
      <c r="D521" s="67"/>
      <c r="E521" s="67"/>
      <c r="F521" s="67"/>
      <c r="G521" s="67"/>
      <c r="H521" s="67"/>
      <c r="I521" s="67"/>
      <c r="J521" s="67"/>
      <c r="K521" s="67"/>
      <c r="L521" s="67"/>
      <c r="M521" s="67"/>
      <c r="N521" s="67"/>
    </row>
    <row r="522">
      <c r="C522" s="67"/>
      <c r="D522" s="67"/>
      <c r="E522" s="67"/>
      <c r="F522" s="67"/>
      <c r="G522" s="67"/>
      <c r="H522" s="67"/>
      <c r="I522" s="67"/>
      <c r="J522" s="67"/>
      <c r="K522" s="67"/>
      <c r="L522" s="67"/>
      <c r="M522" s="67"/>
      <c r="N522" s="67"/>
    </row>
    <row r="523">
      <c r="C523" s="67"/>
      <c r="D523" s="67"/>
      <c r="E523" s="67"/>
      <c r="F523" s="67"/>
      <c r="G523" s="67"/>
      <c r="H523" s="67"/>
      <c r="I523" s="67"/>
      <c r="J523" s="67"/>
      <c r="K523" s="67"/>
      <c r="L523" s="67"/>
      <c r="M523" s="67"/>
      <c r="N523" s="67"/>
    </row>
    <row r="524">
      <c r="C524" s="67"/>
      <c r="D524" s="67"/>
      <c r="E524" s="67"/>
      <c r="F524" s="67"/>
      <c r="G524" s="67"/>
      <c r="H524" s="67"/>
      <c r="I524" s="67"/>
      <c r="J524" s="67"/>
      <c r="K524" s="67"/>
      <c r="L524" s="67"/>
      <c r="M524" s="67"/>
      <c r="N524" s="67"/>
    </row>
    <row r="525">
      <c r="C525" s="67"/>
      <c r="D525" s="67"/>
      <c r="E525" s="67"/>
      <c r="F525" s="67"/>
      <c r="G525" s="67"/>
      <c r="H525" s="67"/>
      <c r="I525" s="67"/>
      <c r="J525" s="67"/>
      <c r="K525" s="67"/>
      <c r="L525" s="67"/>
      <c r="M525" s="67"/>
      <c r="N525" s="67"/>
    </row>
    <row r="526">
      <c r="C526" s="67"/>
      <c r="D526" s="67"/>
      <c r="E526" s="67"/>
      <c r="F526" s="67"/>
      <c r="G526" s="67"/>
      <c r="H526" s="67"/>
      <c r="I526" s="67"/>
      <c r="J526" s="67"/>
      <c r="K526" s="67"/>
      <c r="L526" s="67"/>
      <c r="M526" s="67"/>
      <c r="N526" s="67"/>
    </row>
    <row r="527">
      <c r="C527" s="67"/>
      <c r="D527" s="67"/>
      <c r="E527" s="67"/>
      <c r="F527" s="67"/>
      <c r="G527" s="67"/>
      <c r="H527" s="67"/>
      <c r="I527" s="67"/>
      <c r="J527" s="67"/>
      <c r="K527" s="67"/>
      <c r="L527" s="67"/>
      <c r="M527" s="67"/>
      <c r="N527" s="67"/>
    </row>
    <row r="528">
      <c r="C528" s="67"/>
      <c r="D528" s="67"/>
      <c r="E528" s="67"/>
      <c r="F528" s="67"/>
      <c r="G528" s="67"/>
      <c r="H528" s="67"/>
      <c r="I528" s="67"/>
      <c r="J528" s="67"/>
      <c r="K528" s="67"/>
      <c r="L528" s="67"/>
      <c r="M528" s="67"/>
      <c r="N528" s="67"/>
    </row>
    <row r="529">
      <c r="C529" s="67"/>
      <c r="D529" s="67"/>
      <c r="E529" s="67"/>
      <c r="F529" s="67"/>
      <c r="G529" s="67"/>
      <c r="H529" s="67"/>
      <c r="I529" s="67"/>
      <c r="J529" s="67"/>
      <c r="K529" s="67"/>
      <c r="L529" s="67"/>
      <c r="M529" s="67"/>
      <c r="N529" s="67"/>
    </row>
    <row r="530">
      <c r="C530" s="67"/>
      <c r="D530" s="67"/>
      <c r="E530" s="67"/>
      <c r="F530" s="67"/>
      <c r="G530" s="67"/>
      <c r="H530" s="67"/>
      <c r="I530" s="67"/>
      <c r="J530" s="67"/>
      <c r="K530" s="67"/>
      <c r="L530" s="67"/>
      <c r="M530" s="67"/>
      <c r="N530" s="67"/>
    </row>
    <row r="531">
      <c r="C531" s="67"/>
      <c r="D531" s="67"/>
      <c r="E531" s="67"/>
      <c r="F531" s="67"/>
      <c r="G531" s="67"/>
      <c r="H531" s="67"/>
      <c r="I531" s="67"/>
      <c r="J531" s="67"/>
      <c r="K531" s="67"/>
      <c r="L531" s="67"/>
      <c r="M531" s="67"/>
      <c r="N531" s="67"/>
    </row>
    <row r="532">
      <c r="C532" s="67"/>
      <c r="D532" s="67"/>
      <c r="E532" s="67"/>
      <c r="F532" s="67"/>
      <c r="G532" s="67"/>
      <c r="H532" s="67"/>
      <c r="I532" s="67"/>
      <c r="J532" s="67"/>
      <c r="K532" s="67"/>
      <c r="L532" s="67"/>
      <c r="M532" s="67"/>
      <c r="N532" s="67"/>
    </row>
    <row r="533">
      <c r="C533" s="67"/>
      <c r="D533" s="67"/>
      <c r="E533" s="67"/>
      <c r="F533" s="67"/>
      <c r="G533" s="67"/>
      <c r="H533" s="67"/>
      <c r="I533" s="67"/>
      <c r="J533" s="67"/>
      <c r="K533" s="67"/>
      <c r="L533" s="67"/>
      <c r="M533" s="67"/>
      <c r="N533" s="67"/>
    </row>
    <row r="534">
      <c r="C534" s="67"/>
      <c r="D534" s="67"/>
      <c r="E534" s="67"/>
      <c r="F534" s="67"/>
      <c r="G534" s="67"/>
      <c r="H534" s="67"/>
      <c r="I534" s="67"/>
      <c r="J534" s="67"/>
      <c r="K534" s="67"/>
      <c r="L534" s="67"/>
      <c r="M534" s="67"/>
      <c r="N534" s="67"/>
    </row>
    <row r="535">
      <c r="C535" s="67"/>
      <c r="D535" s="67"/>
      <c r="E535" s="67"/>
      <c r="F535" s="67"/>
      <c r="G535" s="67"/>
      <c r="H535" s="67"/>
      <c r="I535" s="67"/>
      <c r="J535" s="67"/>
      <c r="K535" s="67"/>
      <c r="L535" s="67"/>
      <c r="M535" s="67"/>
      <c r="N535" s="67"/>
    </row>
    <row r="536">
      <c r="C536" s="67"/>
      <c r="D536" s="67"/>
      <c r="E536" s="67"/>
      <c r="F536" s="67"/>
      <c r="G536" s="67"/>
      <c r="H536" s="67"/>
      <c r="I536" s="67"/>
      <c r="J536" s="67"/>
      <c r="K536" s="67"/>
      <c r="L536" s="67"/>
      <c r="M536" s="67"/>
      <c r="N536" s="67"/>
    </row>
    <row r="537">
      <c r="C537" s="67"/>
      <c r="D537" s="67"/>
      <c r="E537" s="67"/>
      <c r="F537" s="67"/>
      <c r="G537" s="67"/>
      <c r="H537" s="67"/>
      <c r="I537" s="67"/>
      <c r="J537" s="67"/>
      <c r="K537" s="67"/>
      <c r="L537" s="67"/>
      <c r="M537" s="67"/>
      <c r="N537" s="67"/>
    </row>
    <row r="538">
      <c r="C538" s="67"/>
      <c r="D538" s="67"/>
      <c r="E538" s="67"/>
      <c r="F538" s="67"/>
      <c r="G538" s="67"/>
      <c r="H538" s="67"/>
      <c r="I538" s="67"/>
      <c r="J538" s="67"/>
      <c r="K538" s="67"/>
      <c r="L538" s="67"/>
      <c r="M538" s="67"/>
      <c r="N538" s="67"/>
    </row>
    <row r="539">
      <c r="C539" s="67"/>
      <c r="D539" s="67"/>
      <c r="E539" s="67"/>
      <c r="F539" s="67"/>
      <c r="G539" s="67"/>
      <c r="H539" s="67"/>
      <c r="I539" s="67"/>
      <c r="J539" s="67"/>
      <c r="K539" s="67"/>
      <c r="L539" s="67"/>
      <c r="M539" s="67"/>
      <c r="N539" s="67"/>
    </row>
    <row r="540">
      <c r="C540" s="67"/>
      <c r="D540" s="67"/>
      <c r="E540" s="67"/>
      <c r="F540" s="67"/>
      <c r="G540" s="67"/>
      <c r="H540" s="67"/>
      <c r="I540" s="67"/>
      <c r="J540" s="67"/>
      <c r="K540" s="67"/>
      <c r="L540" s="67"/>
      <c r="M540" s="67"/>
      <c r="N540" s="67"/>
    </row>
    <row r="541">
      <c r="C541" s="67"/>
      <c r="D541" s="67"/>
      <c r="E541" s="67"/>
      <c r="F541" s="67"/>
      <c r="G541" s="67"/>
      <c r="H541" s="67"/>
      <c r="I541" s="67"/>
      <c r="J541" s="67"/>
      <c r="K541" s="67"/>
      <c r="L541" s="67"/>
      <c r="M541" s="67"/>
      <c r="N541" s="67"/>
    </row>
    <row r="542">
      <c r="C542" s="67"/>
      <c r="D542" s="67"/>
      <c r="E542" s="67"/>
      <c r="F542" s="67"/>
      <c r="G542" s="67"/>
      <c r="H542" s="67"/>
      <c r="I542" s="67"/>
      <c r="J542" s="67"/>
      <c r="K542" s="67"/>
      <c r="L542" s="67"/>
      <c r="M542" s="67"/>
      <c r="N542" s="67"/>
    </row>
    <row r="543">
      <c r="C543" s="67"/>
      <c r="D543" s="67"/>
      <c r="E543" s="67"/>
      <c r="F543" s="67"/>
      <c r="G543" s="67"/>
      <c r="H543" s="67"/>
      <c r="I543" s="67"/>
      <c r="J543" s="67"/>
      <c r="K543" s="67"/>
      <c r="L543" s="67"/>
      <c r="M543" s="67"/>
      <c r="N543" s="67"/>
    </row>
    <row r="544">
      <c r="C544" s="67"/>
      <c r="D544" s="67"/>
      <c r="E544" s="67"/>
      <c r="F544" s="67"/>
      <c r="G544" s="67"/>
      <c r="H544" s="67"/>
      <c r="I544" s="67"/>
      <c r="J544" s="67"/>
      <c r="K544" s="67"/>
      <c r="L544" s="67"/>
      <c r="M544" s="67"/>
      <c r="N544" s="67"/>
    </row>
    <row r="545">
      <c r="C545" s="67"/>
      <c r="D545" s="67"/>
      <c r="E545" s="67"/>
      <c r="F545" s="67"/>
      <c r="G545" s="67"/>
      <c r="H545" s="67"/>
      <c r="I545" s="67"/>
      <c r="J545" s="67"/>
      <c r="K545" s="67"/>
      <c r="L545" s="67"/>
      <c r="M545" s="67"/>
      <c r="N545" s="67"/>
    </row>
    <row r="546">
      <c r="C546" s="67"/>
      <c r="D546" s="67"/>
      <c r="E546" s="67"/>
      <c r="F546" s="67"/>
      <c r="G546" s="67"/>
      <c r="H546" s="67"/>
      <c r="I546" s="67"/>
      <c r="J546" s="67"/>
      <c r="K546" s="67"/>
      <c r="L546" s="67"/>
      <c r="M546" s="67"/>
      <c r="N546" s="67"/>
    </row>
    <row r="547">
      <c r="C547" s="67"/>
      <c r="D547" s="67"/>
      <c r="E547" s="67"/>
      <c r="F547" s="67"/>
      <c r="G547" s="67"/>
      <c r="H547" s="67"/>
      <c r="I547" s="67"/>
      <c r="J547" s="67"/>
      <c r="K547" s="67"/>
      <c r="L547" s="67"/>
      <c r="M547" s="67"/>
      <c r="N547" s="67"/>
    </row>
    <row r="548">
      <c r="C548" s="67"/>
      <c r="D548" s="67"/>
      <c r="E548" s="67"/>
      <c r="F548" s="67"/>
      <c r="G548" s="67"/>
      <c r="H548" s="67"/>
      <c r="I548" s="67"/>
      <c r="J548" s="67"/>
      <c r="K548" s="67"/>
      <c r="L548" s="67"/>
      <c r="M548" s="67"/>
      <c r="N548" s="67"/>
    </row>
    <row r="549">
      <c r="C549" s="67"/>
      <c r="D549" s="67"/>
      <c r="E549" s="67"/>
      <c r="F549" s="67"/>
      <c r="G549" s="67"/>
      <c r="H549" s="67"/>
      <c r="I549" s="67"/>
      <c r="J549" s="67"/>
      <c r="K549" s="67"/>
      <c r="L549" s="67"/>
      <c r="M549" s="67"/>
      <c r="N549" s="67"/>
    </row>
    <row r="550">
      <c r="C550" s="67"/>
      <c r="D550" s="67"/>
      <c r="E550" s="67"/>
      <c r="F550" s="67"/>
      <c r="G550" s="67"/>
      <c r="H550" s="67"/>
      <c r="I550" s="67"/>
      <c r="J550" s="67"/>
      <c r="K550" s="67"/>
      <c r="L550" s="67"/>
      <c r="M550" s="67"/>
      <c r="N550" s="67"/>
    </row>
    <row r="551">
      <c r="C551" s="67"/>
      <c r="D551" s="67"/>
      <c r="E551" s="67"/>
      <c r="F551" s="67"/>
      <c r="G551" s="67"/>
      <c r="H551" s="67"/>
      <c r="I551" s="67"/>
      <c r="J551" s="67"/>
      <c r="K551" s="67"/>
      <c r="L551" s="67"/>
      <c r="M551" s="67"/>
      <c r="N551" s="67"/>
    </row>
    <row r="552">
      <c r="C552" s="67"/>
      <c r="D552" s="67"/>
      <c r="E552" s="67"/>
      <c r="F552" s="67"/>
      <c r="G552" s="67"/>
      <c r="H552" s="67"/>
      <c r="I552" s="67"/>
      <c r="J552" s="67"/>
      <c r="K552" s="67"/>
      <c r="L552" s="67"/>
      <c r="M552" s="67"/>
      <c r="N552" s="67"/>
    </row>
    <row r="553">
      <c r="C553" s="67"/>
      <c r="D553" s="67"/>
      <c r="E553" s="67"/>
      <c r="F553" s="67"/>
      <c r="G553" s="67"/>
      <c r="H553" s="67"/>
      <c r="I553" s="67"/>
      <c r="J553" s="67"/>
      <c r="K553" s="67"/>
      <c r="L553" s="67"/>
      <c r="M553" s="67"/>
      <c r="N553" s="67"/>
    </row>
    <row r="554">
      <c r="C554" s="67"/>
      <c r="D554" s="67"/>
      <c r="E554" s="67"/>
      <c r="F554" s="67"/>
      <c r="G554" s="67"/>
      <c r="H554" s="67"/>
      <c r="I554" s="67"/>
      <c r="J554" s="67"/>
      <c r="K554" s="67"/>
      <c r="L554" s="67"/>
      <c r="M554" s="67"/>
      <c r="N554" s="67"/>
    </row>
    <row r="555">
      <c r="C555" s="67"/>
      <c r="D555" s="67"/>
      <c r="E555" s="67"/>
      <c r="F555" s="67"/>
      <c r="G555" s="67"/>
      <c r="H555" s="67"/>
      <c r="I555" s="67"/>
      <c r="J555" s="67"/>
      <c r="K555" s="67"/>
      <c r="L555" s="67"/>
      <c r="M555" s="67"/>
      <c r="N555" s="67"/>
    </row>
    <row r="556">
      <c r="C556" s="67"/>
      <c r="D556" s="67"/>
      <c r="E556" s="67"/>
      <c r="F556" s="67"/>
      <c r="G556" s="67"/>
      <c r="H556" s="67"/>
      <c r="I556" s="67"/>
      <c r="J556" s="67"/>
      <c r="K556" s="67"/>
      <c r="L556" s="67"/>
      <c r="M556" s="67"/>
      <c r="N556" s="67"/>
    </row>
    <row r="557">
      <c r="C557" s="67"/>
      <c r="D557" s="67"/>
      <c r="E557" s="67"/>
      <c r="F557" s="67"/>
      <c r="G557" s="67"/>
      <c r="H557" s="67"/>
      <c r="I557" s="67"/>
      <c r="J557" s="67"/>
      <c r="K557" s="67"/>
      <c r="L557" s="67"/>
      <c r="M557" s="67"/>
      <c r="N557" s="67"/>
    </row>
    <row r="558">
      <c r="C558" s="67"/>
      <c r="D558" s="67"/>
      <c r="E558" s="67"/>
      <c r="F558" s="67"/>
      <c r="G558" s="67"/>
      <c r="H558" s="67"/>
      <c r="I558" s="67"/>
      <c r="J558" s="67"/>
      <c r="K558" s="67"/>
      <c r="L558" s="67"/>
      <c r="M558" s="67"/>
      <c r="N558" s="67"/>
    </row>
    <row r="559">
      <c r="C559" s="67"/>
      <c r="D559" s="67"/>
      <c r="E559" s="67"/>
      <c r="F559" s="67"/>
      <c r="G559" s="67"/>
      <c r="H559" s="67"/>
      <c r="I559" s="67"/>
      <c r="J559" s="67"/>
      <c r="K559" s="67"/>
      <c r="L559" s="67"/>
      <c r="M559" s="67"/>
      <c r="N559" s="67"/>
    </row>
    <row r="560">
      <c r="C560" s="67"/>
      <c r="D560" s="67"/>
      <c r="E560" s="67"/>
      <c r="F560" s="67"/>
      <c r="G560" s="67"/>
      <c r="H560" s="67"/>
      <c r="I560" s="67"/>
      <c r="J560" s="67"/>
      <c r="K560" s="67"/>
      <c r="L560" s="67"/>
      <c r="M560" s="67"/>
      <c r="N560" s="67"/>
    </row>
    <row r="561">
      <c r="C561" s="67"/>
      <c r="D561" s="67"/>
      <c r="E561" s="67"/>
      <c r="F561" s="67"/>
      <c r="G561" s="67"/>
      <c r="H561" s="67"/>
      <c r="I561" s="67"/>
      <c r="J561" s="67"/>
      <c r="K561" s="67"/>
      <c r="L561" s="67"/>
      <c r="M561" s="67"/>
      <c r="N561" s="67"/>
    </row>
    <row r="562">
      <c r="C562" s="67"/>
      <c r="D562" s="67"/>
      <c r="E562" s="67"/>
      <c r="F562" s="67"/>
      <c r="G562" s="67"/>
      <c r="H562" s="67"/>
      <c r="I562" s="67"/>
      <c r="J562" s="67"/>
      <c r="K562" s="67"/>
      <c r="L562" s="67"/>
      <c r="M562" s="67"/>
      <c r="N562" s="67"/>
    </row>
    <row r="563">
      <c r="C563" s="67"/>
      <c r="D563" s="67"/>
      <c r="E563" s="67"/>
      <c r="F563" s="67"/>
      <c r="G563" s="67"/>
      <c r="H563" s="67"/>
      <c r="I563" s="67"/>
      <c r="J563" s="67"/>
      <c r="K563" s="67"/>
      <c r="L563" s="67"/>
      <c r="M563" s="67"/>
      <c r="N563" s="67"/>
    </row>
    <row r="564">
      <c r="C564" s="67"/>
      <c r="D564" s="67"/>
      <c r="E564" s="67"/>
      <c r="F564" s="67"/>
      <c r="G564" s="67"/>
      <c r="H564" s="67"/>
      <c r="I564" s="67"/>
      <c r="J564" s="67"/>
      <c r="K564" s="67"/>
      <c r="L564" s="67"/>
      <c r="M564" s="67"/>
      <c r="N564" s="67"/>
    </row>
    <row r="565">
      <c r="C565" s="67"/>
      <c r="D565" s="67"/>
      <c r="E565" s="67"/>
      <c r="F565" s="67"/>
      <c r="G565" s="67"/>
      <c r="H565" s="67"/>
      <c r="I565" s="67"/>
      <c r="J565" s="67"/>
      <c r="K565" s="67"/>
      <c r="L565" s="67"/>
      <c r="M565" s="67"/>
      <c r="N565" s="67"/>
    </row>
    <row r="566">
      <c r="C566" s="67"/>
      <c r="D566" s="67"/>
      <c r="E566" s="67"/>
      <c r="F566" s="67"/>
      <c r="G566" s="67"/>
      <c r="H566" s="67"/>
      <c r="I566" s="67"/>
      <c r="J566" s="67"/>
      <c r="K566" s="67"/>
      <c r="L566" s="67"/>
      <c r="M566" s="67"/>
      <c r="N566" s="67"/>
    </row>
    <row r="567">
      <c r="C567" s="67"/>
      <c r="D567" s="67"/>
      <c r="E567" s="67"/>
      <c r="F567" s="67"/>
      <c r="G567" s="67"/>
      <c r="H567" s="67"/>
      <c r="I567" s="67"/>
      <c r="J567" s="67"/>
      <c r="K567" s="67"/>
      <c r="L567" s="67"/>
      <c r="M567" s="67"/>
      <c r="N567" s="67"/>
    </row>
    <row r="568">
      <c r="C568" s="67"/>
      <c r="D568" s="67"/>
      <c r="E568" s="67"/>
      <c r="F568" s="67"/>
      <c r="G568" s="67"/>
      <c r="H568" s="67"/>
      <c r="I568" s="67"/>
      <c r="J568" s="67"/>
      <c r="K568" s="67"/>
      <c r="L568" s="67"/>
      <c r="M568" s="67"/>
      <c r="N568" s="67"/>
    </row>
    <row r="569">
      <c r="C569" s="67"/>
      <c r="D569" s="67"/>
      <c r="E569" s="67"/>
      <c r="F569" s="67"/>
      <c r="G569" s="67"/>
      <c r="H569" s="67"/>
      <c r="I569" s="67"/>
      <c r="J569" s="67"/>
      <c r="K569" s="67"/>
      <c r="L569" s="67"/>
      <c r="M569" s="67"/>
      <c r="N569" s="67"/>
    </row>
    <row r="570">
      <c r="C570" s="67"/>
      <c r="D570" s="67"/>
      <c r="E570" s="67"/>
      <c r="F570" s="67"/>
      <c r="G570" s="67"/>
      <c r="H570" s="67"/>
      <c r="I570" s="67"/>
      <c r="J570" s="67"/>
      <c r="K570" s="67"/>
      <c r="L570" s="67"/>
      <c r="M570" s="67"/>
      <c r="N570" s="67"/>
    </row>
    <row r="571">
      <c r="C571" s="67"/>
      <c r="D571" s="67"/>
      <c r="E571" s="67"/>
      <c r="F571" s="67"/>
      <c r="G571" s="67"/>
      <c r="H571" s="67"/>
      <c r="I571" s="67"/>
      <c r="J571" s="67"/>
      <c r="K571" s="67"/>
      <c r="L571" s="67"/>
      <c r="M571" s="67"/>
      <c r="N571" s="67"/>
    </row>
    <row r="572">
      <c r="C572" s="67"/>
      <c r="D572" s="67"/>
      <c r="E572" s="67"/>
      <c r="F572" s="67"/>
      <c r="G572" s="67"/>
      <c r="H572" s="67"/>
      <c r="I572" s="67"/>
      <c r="J572" s="67"/>
      <c r="K572" s="67"/>
      <c r="L572" s="67"/>
      <c r="M572" s="67"/>
      <c r="N572" s="67"/>
    </row>
    <row r="573">
      <c r="C573" s="67"/>
      <c r="D573" s="67"/>
      <c r="E573" s="67"/>
      <c r="F573" s="67"/>
      <c r="G573" s="67"/>
      <c r="H573" s="67"/>
      <c r="I573" s="67"/>
      <c r="J573" s="67"/>
      <c r="K573" s="67"/>
      <c r="L573" s="67"/>
      <c r="M573" s="67"/>
      <c r="N573" s="67"/>
    </row>
    <row r="574">
      <c r="C574" s="67"/>
      <c r="D574" s="67"/>
      <c r="E574" s="67"/>
      <c r="F574" s="67"/>
      <c r="G574" s="67"/>
      <c r="H574" s="67"/>
      <c r="I574" s="67"/>
      <c r="J574" s="67"/>
      <c r="K574" s="67"/>
      <c r="L574" s="67"/>
      <c r="M574" s="67"/>
      <c r="N574" s="67"/>
    </row>
    <row r="575">
      <c r="C575" s="67"/>
      <c r="D575" s="67"/>
      <c r="E575" s="67"/>
      <c r="F575" s="67"/>
      <c r="G575" s="67"/>
      <c r="H575" s="67"/>
      <c r="I575" s="67"/>
      <c r="J575" s="67"/>
      <c r="K575" s="67"/>
      <c r="L575" s="67"/>
      <c r="M575" s="67"/>
      <c r="N575" s="67"/>
    </row>
    <row r="576">
      <c r="C576" s="67"/>
      <c r="D576" s="67"/>
      <c r="E576" s="67"/>
      <c r="F576" s="67"/>
      <c r="G576" s="67"/>
      <c r="H576" s="67"/>
      <c r="I576" s="67"/>
      <c r="J576" s="67"/>
      <c r="K576" s="67"/>
      <c r="L576" s="67"/>
      <c r="M576" s="67"/>
      <c r="N576" s="67"/>
    </row>
    <row r="577">
      <c r="C577" s="67"/>
      <c r="D577" s="67"/>
      <c r="E577" s="67"/>
      <c r="F577" s="67"/>
      <c r="G577" s="67"/>
      <c r="H577" s="67"/>
      <c r="I577" s="67"/>
      <c r="J577" s="67"/>
      <c r="K577" s="67"/>
      <c r="L577" s="67"/>
      <c r="M577" s="67"/>
      <c r="N577" s="67"/>
    </row>
    <row r="578">
      <c r="C578" s="67"/>
      <c r="D578" s="67"/>
      <c r="E578" s="67"/>
      <c r="F578" s="67"/>
      <c r="G578" s="67"/>
      <c r="H578" s="67"/>
      <c r="I578" s="67"/>
      <c r="J578" s="67"/>
      <c r="K578" s="67"/>
      <c r="L578" s="67"/>
      <c r="M578" s="67"/>
      <c r="N578" s="67"/>
    </row>
    <row r="579">
      <c r="C579" s="67"/>
      <c r="D579" s="67"/>
      <c r="E579" s="67"/>
      <c r="F579" s="67"/>
      <c r="G579" s="67"/>
      <c r="H579" s="67"/>
      <c r="I579" s="67"/>
      <c r="J579" s="67"/>
      <c r="K579" s="67"/>
      <c r="L579" s="67"/>
      <c r="M579" s="67"/>
      <c r="N579" s="67"/>
    </row>
    <row r="580">
      <c r="C580" s="67"/>
      <c r="D580" s="67"/>
      <c r="E580" s="67"/>
      <c r="F580" s="67"/>
      <c r="G580" s="67"/>
      <c r="H580" s="67"/>
      <c r="I580" s="67"/>
      <c r="J580" s="67"/>
      <c r="K580" s="67"/>
      <c r="L580" s="67"/>
      <c r="M580" s="67"/>
      <c r="N580" s="67"/>
    </row>
    <row r="581">
      <c r="C581" s="67"/>
      <c r="D581" s="67"/>
      <c r="E581" s="67"/>
      <c r="F581" s="67"/>
      <c r="G581" s="67"/>
      <c r="H581" s="67"/>
      <c r="I581" s="67"/>
      <c r="J581" s="67"/>
      <c r="K581" s="67"/>
      <c r="L581" s="67"/>
      <c r="M581" s="67"/>
      <c r="N581" s="67"/>
    </row>
    <row r="582">
      <c r="C582" s="67"/>
      <c r="D582" s="67"/>
      <c r="E582" s="67"/>
      <c r="F582" s="67"/>
      <c r="G582" s="67"/>
      <c r="H582" s="67"/>
      <c r="I582" s="67"/>
      <c r="J582" s="67"/>
      <c r="K582" s="67"/>
      <c r="L582" s="67"/>
      <c r="M582" s="67"/>
      <c r="N582" s="67"/>
    </row>
    <row r="583">
      <c r="C583" s="67"/>
      <c r="D583" s="67"/>
      <c r="E583" s="67"/>
      <c r="F583" s="67"/>
      <c r="G583" s="67"/>
      <c r="H583" s="67"/>
      <c r="I583" s="67"/>
      <c r="J583" s="67"/>
      <c r="K583" s="67"/>
      <c r="L583" s="67"/>
      <c r="M583" s="67"/>
      <c r="N583" s="67"/>
    </row>
    <row r="584">
      <c r="C584" s="67"/>
      <c r="D584" s="67"/>
      <c r="E584" s="67"/>
      <c r="F584" s="67"/>
      <c r="G584" s="67"/>
      <c r="H584" s="67"/>
      <c r="I584" s="67"/>
      <c r="J584" s="67"/>
      <c r="K584" s="67"/>
      <c r="L584" s="67"/>
      <c r="M584" s="67"/>
      <c r="N584" s="67"/>
    </row>
    <row r="585">
      <c r="C585" s="67"/>
      <c r="D585" s="67"/>
      <c r="E585" s="67"/>
      <c r="F585" s="67"/>
      <c r="G585" s="67"/>
      <c r="H585" s="67"/>
      <c r="I585" s="67"/>
      <c r="J585" s="67"/>
      <c r="K585" s="67"/>
      <c r="L585" s="67"/>
      <c r="M585" s="67"/>
      <c r="N585" s="67"/>
    </row>
    <row r="586">
      <c r="C586" s="67"/>
      <c r="D586" s="67"/>
      <c r="E586" s="67"/>
      <c r="F586" s="67"/>
      <c r="G586" s="67"/>
      <c r="H586" s="67"/>
      <c r="I586" s="67"/>
      <c r="J586" s="67"/>
      <c r="K586" s="67"/>
      <c r="L586" s="67"/>
      <c r="M586" s="67"/>
      <c r="N586" s="67"/>
    </row>
    <row r="587">
      <c r="C587" s="67"/>
      <c r="D587" s="67"/>
      <c r="E587" s="67"/>
      <c r="F587" s="67"/>
      <c r="G587" s="67"/>
      <c r="H587" s="67"/>
      <c r="I587" s="67"/>
      <c r="J587" s="67"/>
      <c r="K587" s="67"/>
      <c r="L587" s="67"/>
      <c r="M587" s="67"/>
      <c r="N587" s="67"/>
    </row>
    <row r="588">
      <c r="C588" s="67"/>
      <c r="D588" s="67"/>
      <c r="E588" s="67"/>
      <c r="F588" s="67"/>
      <c r="G588" s="67"/>
      <c r="H588" s="67"/>
      <c r="I588" s="67"/>
      <c r="J588" s="67"/>
      <c r="K588" s="67"/>
      <c r="L588" s="67"/>
      <c r="M588" s="67"/>
      <c r="N588" s="67"/>
    </row>
    <row r="589">
      <c r="C589" s="67"/>
      <c r="D589" s="67"/>
      <c r="E589" s="67"/>
      <c r="F589" s="67"/>
      <c r="G589" s="67"/>
      <c r="H589" s="67"/>
      <c r="I589" s="67"/>
      <c r="J589" s="67"/>
      <c r="K589" s="67"/>
      <c r="L589" s="67"/>
      <c r="M589" s="67"/>
      <c r="N589" s="67"/>
    </row>
    <row r="590">
      <c r="C590" s="67"/>
      <c r="D590" s="67"/>
      <c r="E590" s="67"/>
      <c r="F590" s="67"/>
      <c r="G590" s="67"/>
      <c r="H590" s="67"/>
      <c r="I590" s="67"/>
      <c r="J590" s="67"/>
      <c r="K590" s="67"/>
      <c r="L590" s="67"/>
      <c r="M590" s="67"/>
      <c r="N590" s="67"/>
    </row>
    <row r="591">
      <c r="C591" s="67"/>
      <c r="D591" s="67"/>
      <c r="E591" s="67"/>
      <c r="F591" s="67"/>
      <c r="G591" s="67"/>
      <c r="H591" s="67"/>
      <c r="I591" s="67"/>
      <c r="J591" s="67"/>
      <c r="K591" s="67"/>
      <c r="L591" s="67"/>
      <c r="M591" s="67"/>
      <c r="N591" s="67"/>
    </row>
    <row r="592">
      <c r="C592" s="67"/>
      <c r="D592" s="67"/>
      <c r="E592" s="67"/>
      <c r="F592" s="67"/>
      <c r="G592" s="67"/>
      <c r="H592" s="67"/>
      <c r="I592" s="67"/>
      <c r="J592" s="67"/>
      <c r="K592" s="67"/>
      <c r="L592" s="67"/>
      <c r="M592" s="67"/>
      <c r="N592" s="67"/>
    </row>
    <row r="593">
      <c r="C593" s="67"/>
      <c r="D593" s="67"/>
      <c r="E593" s="67"/>
      <c r="F593" s="67"/>
      <c r="G593" s="67"/>
      <c r="H593" s="67"/>
      <c r="I593" s="67"/>
      <c r="J593" s="67"/>
      <c r="K593" s="67"/>
      <c r="L593" s="67"/>
      <c r="M593" s="67"/>
      <c r="N593" s="67"/>
    </row>
    <row r="594">
      <c r="C594" s="67"/>
      <c r="D594" s="67"/>
      <c r="E594" s="67"/>
      <c r="F594" s="67"/>
      <c r="G594" s="67"/>
      <c r="H594" s="67"/>
      <c r="I594" s="67"/>
      <c r="J594" s="67"/>
      <c r="K594" s="67"/>
      <c r="L594" s="67"/>
      <c r="M594" s="67"/>
      <c r="N594" s="67"/>
    </row>
    <row r="595">
      <c r="C595" s="67"/>
      <c r="D595" s="67"/>
      <c r="E595" s="67"/>
      <c r="F595" s="67"/>
      <c r="G595" s="67"/>
      <c r="H595" s="67"/>
      <c r="I595" s="67"/>
      <c r="J595" s="67"/>
      <c r="K595" s="67"/>
      <c r="L595" s="67"/>
      <c r="M595" s="67"/>
      <c r="N595" s="67"/>
    </row>
    <row r="596">
      <c r="C596" s="67"/>
      <c r="D596" s="67"/>
      <c r="E596" s="67"/>
      <c r="F596" s="67"/>
      <c r="G596" s="67"/>
      <c r="H596" s="67"/>
      <c r="I596" s="67"/>
      <c r="J596" s="67"/>
      <c r="K596" s="67"/>
      <c r="L596" s="67"/>
      <c r="M596" s="67"/>
      <c r="N596" s="67"/>
    </row>
    <row r="597">
      <c r="C597" s="67"/>
      <c r="D597" s="67"/>
      <c r="E597" s="67"/>
      <c r="F597" s="67"/>
      <c r="G597" s="67"/>
      <c r="H597" s="67"/>
      <c r="I597" s="67"/>
      <c r="J597" s="67"/>
      <c r="K597" s="67"/>
      <c r="L597" s="67"/>
      <c r="M597" s="67"/>
      <c r="N597" s="67"/>
    </row>
    <row r="598">
      <c r="C598" s="67"/>
      <c r="D598" s="67"/>
      <c r="E598" s="67"/>
      <c r="F598" s="67"/>
      <c r="G598" s="67"/>
      <c r="H598" s="67"/>
      <c r="I598" s="67"/>
      <c r="J598" s="67"/>
      <c r="K598" s="67"/>
      <c r="L598" s="67"/>
      <c r="M598" s="67"/>
      <c r="N598" s="67"/>
    </row>
    <row r="599">
      <c r="C599" s="67"/>
      <c r="D599" s="67"/>
      <c r="E599" s="67"/>
      <c r="F599" s="67"/>
      <c r="G599" s="67"/>
      <c r="H599" s="67"/>
      <c r="I599" s="67"/>
      <c r="J599" s="67"/>
      <c r="K599" s="67"/>
      <c r="L599" s="67"/>
      <c r="M599" s="67"/>
      <c r="N599" s="67"/>
    </row>
    <row r="600">
      <c r="C600" s="67"/>
      <c r="D600" s="67"/>
      <c r="E600" s="67"/>
      <c r="F600" s="67"/>
      <c r="G600" s="67"/>
      <c r="H600" s="67"/>
      <c r="I600" s="67"/>
      <c r="J600" s="67"/>
      <c r="K600" s="67"/>
      <c r="L600" s="67"/>
      <c r="M600" s="67"/>
      <c r="N600" s="67"/>
    </row>
    <row r="601">
      <c r="C601" s="67"/>
      <c r="D601" s="67"/>
      <c r="E601" s="67"/>
      <c r="F601" s="67"/>
      <c r="G601" s="67"/>
      <c r="H601" s="67"/>
      <c r="I601" s="67"/>
      <c r="J601" s="67"/>
      <c r="K601" s="67"/>
      <c r="L601" s="67"/>
      <c r="M601" s="67"/>
      <c r="N601" s="67"/>
    </row>
    <row r="602">
      <c r="C602" s="67"/>
      <c r="D602" s="67"/>
      <c r="E602" s="67"/>
      <c r="F602" s="67"/>
      <c r="G602" s="67"/>
      <c r="H602" s="67"/>
      <c r="I602" s="67"/>
      <c r="J602" s="67"/>
      <c r="K602" s="67"/>
      <c r="L602" s="67"/>
      <c r="M602" s="67"/>
      <c r="N602" s="67"/>
    </row>
    <row r="603">
      <c r="C603" s="67"/>
      <c r="D603" s="67"/>
      <c r="E603" s="67"/>
      <c r="F603" s="67"/>
      <c r="G603" s="67"/>
      <c r="H603" s="67"/>
      <c r="I603" s="67"/>
      <c r="J603" s="67"/>
      <c r="K603" s="67"/>
      <c r="L603" s="67"/>
      <c r="M603" s="67"/>
      <c r="N603" s="67"/>
    </row>
    <row r="604">
      <c r="C604" s="67"/>
      <c r="D604" s="67"/>
      <c r="E604" s="67"/>
      <c r="F604" s="67"/>
      <c r="G604" s="67"/>
      <c r="H604" s="67"/>
      <c r="I604" s="67"/>
      <c r="J604" s="67"/>
      <c r="K604" s="67"/>
      <c r="L604" s="67"/>
      <c r="M604" s="67"/>
      <c r="N604" s="67"/>
    </row>
    <row r="605">
      <c r="C605" s="67"/>
      <c r="D605" s="67"/>
      <c r="E605" s="67"/>
      <c r="F605" s="67"/>
      <c r="G605" s="67"/>
      <c r="H605" s="67"/>
      <c r="I605" s="67"/>
      <c r="J605" s="67"/>
      <c r="K605" s="67"/>
      <c r="L605" s="67"/>
      <c r="M605" s="67"/>
      <c r="N605" s="67"/>
    </row>
    <row r="606">
      <c r="C606" s="67"/>
      <c r="D606" s="67"/>
      <c r="E606" s="67"/>
      <c r="F606" s="67"/>
      <c r="G606" s="67"/>
      <c r="H606" s="67"/>
      <c r="I606" s="67"/>
      <c r="J606" s="67"/>
      <c r="K606" s="67"/>
      <c r="L606" s="67"/>
      <c r="M606" s="67"/>
      <c r="N606" s="67"/>
    </row>
    <row r="607">
      <c r="C607" s="67"/>
      <c r="D607" s="67"/>
      <c r="E607" s="67"/>
      <c r="F607" s="67"/>
      <c r="G607" s="67"/>
      <c r="H607" s="67"/>
      <c r="I607" s="67"/>
      <c r="J607" s="67"/>
      <c r="K607" s="67"/>
      <c r="L607" s="67"/>
      <c r="M607" s="67"/>
      <c r="N607" s="67"/>
    </row>
    <row r="608">
      <c r="C608" s="67"/>
      <c r="D608" s="67"/>
      <c r="E608" s="67"/>
      <c r="F608" s="67"/>
      <c r="G608" s="67"/>
      <c r="H608" s="67"/>
      <c r="I608" s="67"/>
      <c r="J608" s="67"/>
      <c r="K608" s="67"/>
      <c r="L608" s="67"/>
      <c r="M608" s="67"/>
      <c r="N608" s="67"/>
    </row>
    <row r="609">
      <c r="C609" s="67"/>
      <c r="D609" s="67"/>
      <c r="E609" s="67"/>
      <c r="F609" s="67"/>
      <c r="G609" s="67"/>
      <c r="H609" s="67"/>
      <c r="I609" s="67"/>
      <c r="J609" s="67"/>
      <c r="K609" s="67"/>
      <c r="L609" s="67"/>
      <c r="M609" s="67"/>
      <c r="N609" s="67"/>
    </row>
    <row r="610">
      <c r="C610" s="67"/>
      <c r="D610" s="67"/>
      <c r="E610" s="67"/>
      <c r="F610" s="67"/>
      <c r="G610" s="67"/>
      <c r="H610" s="67"/>
      <c r="I610" s="67"/>
      <c r="J610" s="67"/>
      <c r="K610" s="67"/>
      <c r="L610" s="67"/>
      <c r="M610" s="67"/>
      <c r="N610" s="67"/>
    </row>
    <row r="611">
      <c r="C611" s="67"/>
      <c r="D611" s="67"/>
      <c r="E611" s="67"/>
      <c r="F611" s="67"/>
      <c r="G611" s="67"/>
      <c r="H611" s="67"/>
      <c r="I611" s="67"/>
      <c r="J611" s="67"/>
      <c r="K611" s="67"/>
      <c r="L611" s="67"/>
      <c r="M611" s="67"/>
      <c r="N611" s="67"/>
    </row>
    <row r="612">
      <c r="C612" s="67"/>
      <c r="D612" s="67"/>
      <c r="E612" s="67"/>
      <c r="F612" s="67"/>
      <c r="G612" s="67"/>
      <c r="H612" s="67"/>
      <c r="I612" s="67"/>
      <c r="J612" s="67"/>
      <c r="K612" s="67"/>
      <c r="L612" s="67"/>
      <c r="M612" s="67"/>
      <c r="N612" s="67"/>
    </row>
    <row r="613">
      <c r="C613" s="67"/>
      <c r="D613" s="67"/>
      <c r="E613" s="67"/>
      <c r="F613" s="67"/>
      <c r="G613" s="67"/>
      <c r="H613" s="67"/>
      <c r="I613" s="67"/>
      <c r="J613" s="67"/>
      <c r="K613" s="67"/>
      <c r="L613" s="67"/>
      <c r="M613" s="67"/>
      <c r="N613" s="67"/>
    </row>
    <row r="614">
      <c r="C614" s="67"/>
      <c r="D614" s="67"/>
      <c r="E614" s="67"/>
      <c r="F614" s="67"/>
      <c r="G614" s="67"/>
      <c r="H614" s="67"/>
      <c r="I614" s="67"/>
      <c r="J614" s="67"/>
      <c r="K614" s="67"/>
      <c r="L614" s="67"/>
      <c r="M614" s="67"/>
      <c r="N614" s="67"/>
    </row>
    <row r="615">
      <c r="C615" s="67"/>
      <c r="D615" s="67"/>
      <c r="E615" s="67"/>
      <c r="F615" s="67"/>
      <c r="G615" s="67"/>
      <c r="H615" s="67"/>
      <c r="I615" s="67"/>
      <c r="J615" s="67"/>
      <c r="K615" s="67"/>
      <c r="L615" s="67"/>
      <c r="M615" s="67"/>
      <c r="N615" s="67"/>
    </row>
    <row r="616">
      <c r="C616" s="67"/>
      <c r="D616" s="67"/>
      <c r="E616" s="67"/>
      <c r="F616" s="67"/>
      <c r="G616" s="67"/>
      <c r="H616" s="67"/>
      <c r="I616" s="67"/>
      <c r="J616" s="67"/>
      <c r="K616" s="67"/>
      <c r="L616" s="67"/>
      <c r="M616" s="67"/>
      <c r="N616" s="67"/>
    </row>
    <row r="617">
      <c r="C617" s="67"/>
      <c r="D617" s="67"/>
      <c r="E617" s="67"/>
      <c r="F617" s="67"/>
      <c r="G617" s="67"/>
      <c r="H617" s="67"/>
      <c r="I617" s="67"/>
      <c r="J617" s="67"/>
      <c r="K617" s="67"/>
      <c r="L617" s="67"/>
      <c r="M617" s="67"/>
      <c r="N617" s="67"/>
    </row>
    <row r="618">
      <c r="C618" s="67"/>
      <c r="D618" s="67"/>
      <c r="E618" s="67"/>
      <c r="F618" s="67"/>
      <c r="G618" s="67"/>
      <c r="H618" s="67"/>
      <c r="I618" s="67"/>
      <c r="J618" s="67"/>
      <c r="K618" s="67"/>
      <c r="L618" s="67"/>
      <c r="M618" s="67"/>
      <c r="N618" s="67"/>
    </row>
    <row r="619">
      <c r="C619" s="67"/>
      <c r="D619" s="67"/>
      <c r="E619" s="67"/>
      <c r="F619" s="67"/>
      <c r="G619" s="67"/>
      <c r="H619" s="67"/>
      <c r="I619" s="67"/>
      <c r="J619" s="67"/>
      <c r="K619" s="67"/>
      <c r="L619" s="67"/>
      <c r="M619" s="67"/>
      <c r="N619" s="67"/>
    </row>
    <row r="620">
      <c r="C620" s="67"/>
      <c r="D620" s="67"/>
      <c r="E620" s="67"/>
      <c r="F620" s="67"/>
      <c r="G620" s="67"/>
      <c r="H620" s="67"/>
      <c r="I620" s="67"/>
      <c r="J620" s="67"/>
      <c r="K620" s="67"/>
      <c r="L620" s="67"/>
      <c r="M620" s="67"/>
      <c r="N620" s="67"/>
    </row>
    <row r="621">
      <c r="C621" s="67"/>
      <c r="D621" s="67"/>
      <c r="E621" s="67"/>
      <c r="F621" s="67"/>
      <c r="G621" s="67"/>
      <c r="H621" s="67"/>
      <c r="I621" s="67"/>
      <c r="J621" s="67"/>
      <c r="K621" s="67"/>
      <c r="L621" s="67"/>
      <c r="M621" s="67"/>
      <c r="N621" s="67"/>
    </row>
    <row r="622">
      <c r="C622" s="67"/>
      <c r="D622" s="67"/>
      <c r="E622" s="67"/>
      <c r="F622" s="67"/>
      <c r="G622" s="67"/>
      <c r="H622" s="67"/>
      <c r="I622" s="67"/>
      <c r="J622" s="67"/>
      <c r="K622" s="67"/>
      <c r="L622" s="67"/>
      <c r="M622" s="67"/>
      <c r="N622" s="67"/>
    </row>
    <row r="623">
      <c r="C623" s="67"/>
      <c r="D623" s="67"/>
      <c r="E623" s="67"/>
      <c r="F623" s="67"/>
      <c r="G623" s="67"/>
      <c r="H623" s="67"/>
      <c r="I623" s="67"/>
      <c r="J623" s="67"/>
      <c r="K623" s="67"/>
      <c r="L623" s="67"/>
      <c r="M623" s="67"/>
      <c r="N623" s="67"/>
    </row>
    <row r="624">
      <c r="C624" s="67"/>
      <c r="D624" s="67"/>
      <c r="E624" s="67"/>
      <c r="F624" s="67"/>
      <c r="G624" s="67"/>
      <c r="H624" s="67"/>
      <c r="I624" s="67"/>
      <c r="J624" s="67"/>
      <c r="K624" s="67"/>
      <c r="L624" s="67"/>
      <c r="M624" s="67"/>
      <c r="N624" s="67"/>
    </row>
    <row r="625">
      <c r="C625" s="67"/>
      <c r="D625" s="67"/>
      <c r="E625" s="67"/>
      <c r="F625" s="67"/>
      <c r="G625" s="67"/>
      <c r="H625" s="67"/>
      <c r="I625" s="67"/>
      <c r="J625" s="67"/>
      <c r="K625" s="67"/>
      <c r="L625" s="67"/>
      <c r="M625" s="67"/>
      <c r="N625" s="67"/>
    </row>
    <row r="626">
      <c r="C626" s="67"/>
      <c r="D626" s="67"/>
      <c r="E626" s="67"/>
      <c r="F626" s="67"/>
      <c r="G626" s="67"/>
      <c r="H626" s="67"/>
      <c r="I626" s="67"/>
      <c r="J626" s="67"/>
      <c r="K626" s="67"/>
      <c r="L626" s="67"/>
      <c r="M626" s="67"/>
      <c r="N626" s="67"/>
    </row>
    <row r="627">
      <c r="C627" s="67"/>
      <c r="D627" s="67"/>
      <c r="E627" s="67"/>
      <c r="F627" s="67"/>
      <c r="G627" s="67"/>
      <c r="H627" s="67"/>
      <c r="I627" s="67"/>
      <c r="J627" s="67"/>
      <c r="K627" s="67"/>
      <c r="L627" s="67"/>
      <c r="M627" s="67"/>
      <c r="N627" s="67"/>
    </row>
    <row r="628">
      <c r="C628" s="67"/>
      <c r="D628" s="67"/>
      <c r="E628" s="67"/>
      <c r="F628" s="67"/>
      <c r="G628" s="67"/>
      <c r="H628" s="67"/>
      <c r="I628" s="67"/>
      <c r="J628" s="67"/>
      <c r="K628" s="67"/>
      <c r="L628" s="67"/>
      <c r="M628" s="67"/>
      <c r="N628" s="67"/>
    </row>
    <row r="629">
      <c r="C629" s="67"/>
      <c r="D629" s="67"/>
      <c r="E629" s="67"/>
      <c r="F629" s="67"/>
      <c r="G629" s="67"/>
      <c r="H629" s="67"/>
      <c r="I629" s="67"/>
      <c r="J629" s="67"/>
      <c r="K629" s="67"/>
      <c r="L629" s="67"/>
      <c r="M629" s="67"/>
      <c r="N629" s="67"/>
    </row>
    <row r="630">
      <c r="C630" s="67"/>
      <c r="D630" s="67"/>
      <c r="E630" s="67"/>
      <c r="F630" s="67"/>
      <c r="G630" s="67"/>
      <c r="H630" s="67"/>
      <c r="I630" s="67"/>
      <c r="J630" s="67"/>
      <c r="K630" s="67"/>
      <c r="L630" s="67"/>
      <c r="M630" s="67"/>
      <c r="N630" s="67"/>
    </row>
    <row r="631">
      <c r="C631" s="67"/>
      <c r="D631" s="67"/>
      <c r="E631" s="67"/>
      <c r="F631" s="67"/>
      <c r="G631" s="67"/>
      <c r="H631" s="67"/>
      <c r="I631" s="67"/>
      <c r="J631" s="67"/>
      <c r="K631" s="67"/>
      <c r="L631" s="67"/>
      <c r="M631" s="67"/>
      <c r="N631" s="67"/>
    </row>
    <row r="632">
      <c r="C632" s="67"/>
      <c r="D632" s="67"/>
      <c r="E632" s="67"/>
      <c r="F632" s="67"/>
      <c r="G632" s="67"/>
      <c r="H632" s="67"/>
      <c r="I632" s="67"/>
      <c r="J632" s="67"/>
      <c r="K632" s="67"/>
      <c r="L632" s="67"/>
      <c r="M632" s="67"/>
      <c r="N632" s="67"/>
    </row>
    <row r="633">
      <c r="C633" s="67"/>
      <c r="D633" s="67"/>
      <c r="E633" s="67"/>
      <c r="F633" s="67"/>
      <c r="G633" s="67"/>
      <c r="H633" s="67"/>
      <c r="I633" s="67"/>
      <c r="J633" s="67"/>
      <c r="K633" s="67"/>
      <c r="L633" s="67"/>
      <c r="M633" s="67"/>
      <c r="N633" s="67"/>
    </row>
    <row r="634">
      <c r="C634" s="67"/>
      <c r="D634" s="67"/>
      <c r="E634" s="67"/>
      <c r="F634" s="67"/>
      <c r="G634" s="67"/>
      <c r="H634" s="67"/>
      <c r="I634" s="67"/>
      <c r="J634" s="67"/>
      <c r="K634" s="67"/>
      <c r="L634" s="67"/>
      <c r="M634" s="67"/>
      <c r="N634" s="67"/>
    </row>
    <row r="635">
      <c r="C635" s="67"/>
      <c r="D635" s="67"/>
      <c r="E635" s="67"/>
      <c r="F635" s="67"/>
      <c r="G635" s="67"/>
      <c r="H635" s="67"/>
      <c r="I635" s="67"/>
      <c r="J635" s="67"/>
      <c r="K635" s="67"/>
      <c r="L635" s="67"/>
      <c r="M635" s="67"/>
      <c r="N635" s="67"/>
    </row>
    <row r="636">
      <c r="C636" s="67"/>
      <c r="D636" s="67"/>
      <c r="E636" s="67"/>
      <c r="F636" s="67"/>
      <c r="G636" s="67"/>
      <c r="H636" s="67"/>
      <c r="I636" s="67"/>
      <c r="J636" s="67"/>
      <c r="K636" s="67"/>
      <c r="L636" s="67"/>
      <c r="M636" s="67"/>
      <c r="N636" s="67"/>
    </row>
    <row r="637">
      <c r="C637" s="67"/>
      <c r="D637" s="67"/>
      <c r="E637" s="67"/>
      <c r="F637" s="67"/>
      <c r="G637" s="67"/>
      <c r="H637" s="67"/>
      <c r="I637" s="67"/>
      <c r="J637" s="67"/>
      <c r="K637" s="67"/>
      <c r="L637" s="67"/>
      <c r="M637" s="67"/>
      <c r="N637" s="67"/>
    </row>
    <row r="638">
      <c r="C638" s="67"/>
      <c r="D638" s="67"/>
      <c r="E638" s="67"/>
      <c r="F638" s="67"/>
      <c r="G638" s="67"/>
      <c r="H638" s="67"/>
      <c r="I638" s="67"/>
      <c r="J638" s="67"/>
      <c r="K638" s="67"/>
      <c r="L638" s="67"/>
      <c r="M638" s="67"/>
      <c r="N638" s="67"/>
    </row>
    <row r="639">
      <c r="C639" s="67"/>
      <c r="D639" s="67"/>
      <c r="E639" s="67"/>
      <c r="F639" s="67"/>
      <c r="G639" s="67"/>
      <c r="H639" s="67"/>
      <c r="I639" s="67"/>
      <c r="J639" s="67"/>
      <c r="K639" s="67"/>
      <c r="L639" s="67"/>
      <c r="M639" s="67"/>
      <c r="N639" s="67"/>
    </row>
    <row r="640">
      <c r="C640" s="67"/>
      <c r="D640" s="67"/>
      <c r="E640" s="67"/>
      <c r="F640" s="67"/>
      <c r="G640" s="67"/>
      <c r="H640" s="67"/>
      <c r="I640" s="67"/>
      <c r="J640" s="67"/>
      <c r="K640" s="67"/>
      <c r="L640" s="67"/>
      <c r="M640" s="67"/>
      <c r="N640" s="67"/>
    </row>
    <row r="641">
      <c r="C641" s="67"/>
      <c r="D641" s="67"/>
      <c r="E641" s="67"/>
      <c r="F641" s="67"/>
      <c r="G641" s="67"/>
      <c r="H641" s="67"/>
      <c r="I641" s="67"/>
      <c r="J641" s="67"/>
      <c r="K641" s="67"/>
      <c r="L641" s="67"/>
      <c r="M641" s="67"/>
      <c r="N641" s="67"/>
    </row>
    <row r="642">
      <c r="C642" s="67"/>
      <c r="D642" s="67"/>
      <c r="E642" s="67"/>
      <c r="F642" s="67"/>
      <c r="G642" s="67"/>
      <c r="H642" s="67"/>
      <c r="I642" s="67"/>
      <c r="J642" s="67"/>
      <c r="K642" s="67"/>
      <c r="L642" s="67"/>
      <c r="M642" s="67"/>
      <c r="N642" s="67"/>
    </row>
    <row r="643">
      <c r="C643" s="67"/>
      <c r="D643" s="67"/>
      <c r="E643" s="67"/>
      <c r="F643" s="67"/>
      <c r="G643" s="67"/>
      <c r="H643" s="67"/>
      <c r="I643" s="67"/>
      <c r="J643" s="67"/>
      <c r="K643" s="67"/>
      <c r="L643" s="67"/>
      <c r="M643" s="67"/>
      <c r="N643" s="67"/>
    </row>
    <row r="644">
      <c r="C644" s="67"/>
      <c r="D644" s="67"/>
      <c r="E644" s="67"/>
      <c r="F644" s="67"/>
      <c r="G644" s="67"/>
      <c r="H644" s="67"/>
      <c r="I644" s="67"/>
      <c r="J644" s="67"/>
      <c r="K644" s="67"/>
      <c r="L644" s="67"/>
      <c r="M644" s="67"/>
      <c r="N644" s="67"/>
    </row>
    <row r="645">
      <c r="C645" s="67"/>
      <c r="D645" s="67"/>
      <c r="E645" s="67"/>
      <c r="F645" s="67"/>
      <c r="G645" s="67"/>
      <c r="H645" s="67"/>
      <c r="I645" s="67"/>
      <c r="J645" s="67"/>
      <c r="K645" s="67"/>
      <c r="L645" s="67"/>
      <c r="M645" s="67"/>
      <c r="N645" s="67"/>
    </row>
    <row r="646">
      <c r="C646" s="67"/>
      <c r="D646" s="67"/>
      <c r="E646" s="67"/>
      <c r="F646" s="67"/>
      <c r="G646" s="67"/>
      <c r="H646" s="67"/>
      <c r="I646" s="67"/>
      <c r="J646" s="67"/>
      <c r="K646" s="67"/>
      <c r="L646" s="67"/>
      <c r="M646" s="67"/>
      <c r="N646" s="67"/>
    </row>
    <row r="647">
      <c r="C647" s="67"/>
      <c r="D647" s="67"/>
      <c r="E647" s="67"/>
      <c r="F647" s="67"/>
      <c r="G647" s="67"/>
      <c r="H647" s="67"/>
      <c r="I647" s="67"/>
      <c r="J647" s="67"/>
      <c r="K647" s="67"/>
      <c r="L647" s="67"/>
      <c r="M647" s="67"/>
      <c r="N647" s="67"/>
    </row>
    <row r="648">
      <c r="C648" s="67"/>
      <c r="D648" s="67"/>
      <c r="E648" s="67"/>
      <c r="F648" s="67"/>
      <c r="G648" s="67"/>
      <c r="H648" s="67"/>
      <c r="I648" s="67"/>
      <c r="J648" s="67"/>
      <c r="K648" s="67"/>
      <c r="L648" s="67"/>
      <c r="M648" s="67"/>
      <c r="N648" s="67"/>
    </row>
    <row r="649">
      <c r="C649" s="67"/>
      <c r="D649" s="67"/>
      <c r="E649" s="67"/>
      <c r="F649" s="67"/>
      <c r="G649" s="67"/>
      <c r="H649" s="67"/>
      <c r="I649" s="67"/>
      <c r="J649" s="67"/>
      <c r="K649" s="67"/>
      <c r="L649" s="67"/>
      <c r="M649" s="67"/>
      <c r="N649" s="67"/>
    </row>
    <row r="650">
      <c r="C650" s="67"/>
      <c r="D650" s="67"/>
      <c r="E650" s="67"/>
      <c r="F650" s="67"/>
      <c r="G650" s="67"/>
      <c r="H650" s="67"/>
      <c r="I650" s="67"/>
      <c r="J650" s="67"/>
      <c r="K650" s="67"/>
      <c r="L650" s="67"/>
      <c r="M650" s="67"/>
      <c r="N650" s="67"/>
    </row>
    <row r="651">
      <c r="C651" s="67"/>
      <c r="D651" s="67"/>
      <c r="E651" s="67"/>
      <c r="F651" s="67"/>
      <c r="G651" s="67"/>
      <c r="H651" s="67"/>
      <c r="I651" s="67"/>
      <c r="J651" s="67"/>
      <c r="K651" s="67"/>
      <c r="L651" s="67"/>
      <c r="M651" s="67"/>
      <c r="N651" s="67"/>
    </row>
    <row r="652">
      <c r="C652" s="67"/>
      <c r="D652" s="67"/>
      <c r="E652" s="67"/>
      <c r="F652" s="67"/>
      <c r="G652" s="67"/>
      <c r="H652" s="67"/>
      <c r="I652" s="67"/>
      <c r="J652" s="67"/>
      <c r="K652" s="67"/>
      <c r="L652" s="67"/>
      <c r="M652" s="67"/>
      <c r="N652" s="67"/>
    </row>
    <row r="653">
      <c r="C653" s="67"/>
      <c r="D653" s="67"/>
      <c r="E653" s="67"/>
      <c r="F653" s="67"/>
      <c r="G653" s="67"/>
      <c r="H653" s="67"/>
      <c r="I653" s="67"/>
      <c r="J653" s="67"/>
      <c r="K653" s="67"/>
      <c r="L653" s="67"/>
      <c r="M653" s="67"/>
      <c r="N653" s="67"/>
    </row>
    <row r="654">
      <c r="C654" s="67"/>
      <c r="D654" s="67"/>
      <c r="E654" s="67"/>
      <c r="F654" s="67"/>
      <c r="G654" s="67"/>
      <c r="H654" s="67"/>
      <c r="I654" s="67"/>
      <c r="J654" s="67"/>
      <c r="K654" s="67"/>
      <c r="L654" s="67"/>
      <c r="M654" s="67"/>
      <c r="N654" s="67"/>
    </row>
    <row r="655">
      <c r="C655" s="67"/>
      <c r="D655" s="67"/>
      <c r="E655" s="67"/>
      <c r="F655" s="67"/>
      <c r="G655" s="67"/>
      <c r="H655" s="67"/>
      <c r="I655" s="67"/>
      <c r="J655" s="67"/>
      <c r="K655" s="67"/>
      <c r="L655" s="67"/>
      <c r="M655" s="67"/>
      <c r="N655" s="67"/>
    </row>
    <row r="656">
      <c r="C656" s="67"/>
      <c r="D656" s="67"/>
      <c r="E656" s="67"/>
      <c r="F656" s="67"/>
      <c r="G656" s="67"/>
      <c r="H656" s="67"/>
      <c r="I656" s="67"/>
      <c r="J656" s="67"/>
      <c r="K656" s="67"/>
      <c r="L656" s="67"/>
      <c r="M656" s="67"/>
      <c r="N656" s="67"/>
    </row>
    <row r="657">
      <c r="C657" s="67"/>
      <c r="D657" s="67"/>
      <c r="E657" s="67"/>
      <c r="F657" s="67"/>
      <c r="G657" s="67"/>
      <c r="H657" s="67"/>
      <c r="I657" s="67"/>
      <c r="J657" s="67"/>
      <c r="K657" s="67"/>
      <c r="L657" s="67"/>
      <c r="M657" s="67"/>
      <c r="N657" s="67"/>
    </row>
    <row r="658">
      <c r="C658" s="67"/>
      <c r="D658" s="67"/>
      <c r="E658" s="67"/>
      <c r="F658" s="67"/>
      <c r="G658" s="67"/>
      <c r="H658" s="67"/>
      <c r="I658" s="67"/>
      <c r="J658" s="67"/>
      <c r="K658" s="67"/>
      <c r="L658" s="67"/>
      <c r="M658" s="67"/>
      <c r="N658" s="67"/>
    </row>
    <row r="659">
      <c r="C659" s="67"/>
      <c r="D659" s="67"/>
      <c r="E659" s="67"/>
      <c r="F659" s="67"/>
      <c r="G659" s="67"/>
      <c r="H659" s="67"/>
      <c r="I659" s="67"/>
      <c r="J659" s="67"/>
      <c r="K659" s="67"/>
      <c r="L659" s="67"/>
      <c r="M659" s="67"/>
      <c r="N659" s="67"/>
    </row>
    <row r="660">
      <c r="C660" s="67"/>
      <c r="D660" s="67"/>
      <c r="E660" s="67"/>
      <c r="F660" s="67"/>
      <c r="G660" s="67"/>
      <c r="H660" s="67"/>
      <c r="I660" s="67"/>
      <c r="J660" s="67"/>
      <c r="K660" s="67"/>
      <c r="L660" s="67"/>
      <c r="M660" s="67"/>
      <c r="N660" s="67"/>
    </row>
    <row r="661">
      <c r="C661" s="67"/>
      <c r="D661" s="67"/>
      <c r="E661" s="67"/>
      <c r="F661" s="67"/>
      <c r="G661" s="67"/>
      <c r="H661" s="67"/>
      <c r="I661" s="67"/>
      <c r="J661" s="67"/>
      <c r="K661" s="67"/>
      <c r="L661" s="67"/>
      <c r="M661" s="67"/>
      <c r="N661" s="67"/>
    </row>
    <row r="662">
      <c r="C662" s="67"/>
      <c r="D662" s="67"/>
      <c r="E662" s="67"/>
      <c r="F662" s="67"/>
      <c r="G662" s="67"/>
      <c r="H662" s="67"/>
      <c r="I662" s="67"/>
      <c r="J662" s="67"/>
      <c r="K662" s="67"/>
      <c r="L662" s="67"/>
      <c r="M662" s="67"/>
      <c r="N662" s="67"/>
    </row>
    <row r="663">
      <c r="C663" s="67"/>
      <c r="D663" s="67"/>
      <c r="E663" s="67"/>
      <c r="F663" s="67"/>
      <c r="G663" s="67"/>
      <c r="H663" s="67"/>
      <c r="I663" s="67"/>
      <c r="J663" s="67"/>
      <c r="K663" s="67"/>
      <c r="L663" s="67"/>
      <c r="M663" s="67"/>
      <c r="N663" s="67"/>
    </row>
    <row r="664">
      <c r="C664" s="67"/>
      <c r="D664" s="67"/>
      <c r="E664" s="67"/>
      <c r="F664" s="67"/>
      <c r="G664" s="67"/>
      <c r="H664" s="67"/>
      <c r="I664" s="67"/>
      <c r="J664" s="67"/>
      <c r="K664" s="67"/>
      <c r="L664" s="67"/>
      <c r="M664" s="67"/>
      <c r="N664" s="67"/>
    </row>
    <row r="665">
      <c r="C665" s="67"/>
      <c r="D665" s="67"/>
      <c r="E665" s="67"/>
      <c r="F665" s="67"/>
      <c r="G665" s="67"/>
      <c r="H665" s="67"/>
      <c r="I665" s="67"/>
      <c r="J665" s="67"/>
      <c r="K665" s="67"/>
      <c r="L665" s="67"/>
      <c r="M665" s="67"/>
      <c r="N665" s="67"/>
    </row>
    <row r="666">
      <c r="C666" s="67"/>
      <c r="D666" s="67"/>
      <c r="E666" s="67"/>
      <c r="F666" s="67"/>
      <c r="G666" s="67"/>
      <c r="H666" s="67"/>
      <c r="I666" s="67"/>
      <c r="J666" s="67"/>
      <c r="K666" s="67"/>
      <c r="L666" s="67"/>
      <c r="M666" s="67"/>
      <c r="N666" s="67"/>
    </row>
    <row r="667">
      <c r="C667" s="67"/>
      <c r="D667" s="67"/>
      <c r="E667" s="67"/>
      <c r="F667" s="67"/>
      <c r="G667" s="67"/>
      <c r="H667" s="67"/>
      <c r="I667" s="67"/>
      <c r="J667" s="67"/>
      <c r="K667" s="67"/>
      <c r="L667" s="67"/>
      <c r="M667" s="67"/>
      <c r="N667" s="67"/>
    </row>
    <row r="668">
      <c r="C668" s="67"/>
      <c r="D668" s="67"/>
      <c r="E668" s="67"/>
      <c r="F668" s="67"/>
      <c r="G668" s="67"/>
      <c r="H668" s="67"/>
      <c r="I668" s="67"/>
      <c r="J668" s="67"/>
      <c r="K668" s="67"/>
      <c r="L668" s="67"/>
      <c r="M668" s="67"/>
      <c r="N668" s="67"/>
    </row>
    <row r="669">
      <c r="C669" s="67"/>
      <c r="D669" s="67"/>
      <c r="E669" s="67"/>
      <c r="F669" s="67"/>
      <c r="G669" s="67"/>
      <c r="H669" s="67"/>
      <c r="I669" s="67"/>
      <c r="J669" s="67"/>
      <c r="K669" s="67"/>
      <c r="L669" s="67"/>
      <c r="M669" s="67"/>
      <c r="N669" s="67"/>
    </row>
    <row r="670">
      <c r="C670" s="67"/>
      <c r="D670" s="67"/>
      <c r="E670" s="67"/>
      <c r="F670" s="67"/>
      <c r="G670" s="67"/>
      <c r="H670" s="67"/>
      <c r="I670" s="67"/>
      <c r="J670" s="67"/>
      <c r="K670" s="67"/>
      <c r="L670" s="67"/>
      <c r="M670" s="67"/>
      <c r="N670" s="67"/>
    </row>
    <row r="671">
      <c r="C671" s="67"/>
      <c r="D671" s="67"/>
      <c r="E671" s="67"/>
      <c r="F671" s="67"/>
      <c r="G671" s="67"/>
      <c r="H671" s="67"/>
      <c r="I671" s="67"/>
      <c r="J671" s="67"/>
      <c r="K671" s="67"/>
      <c r="L671" s="67"/>
      <c r="M671" s="67"/>
      <c r="N671" s="67"/>
    </row>
    <row r="672">
      <c r="C672" s="67"/>
      <c r="D672" s="67"/>
      <c r="E672" s="67"/>
      <c r="F672" s="67"/>
      <c r="G672" s="67"/>
      <c r="H672" s="67"/>
      <c r="I672" s="67"/>
      <c r="J672" s="67"/>
      <c r="K672" s="67"/>
      <c r="L672" s="67"/>
      <c r="M672" s="67"/>
      <c r="N672" s="67"/>
    </row>
    <row r="673">
      <c r="C673" s="67"/>
      <c r="D673" s="67"/>
      <c r="E673" s="67"/>
      <c r="F673" s="67"/>
      <c r="G673" s="67"/>
      <c r="H673" s="67"/>
      <c r="I673" s="67"/>
      <c r="J673" s="67"/>
      <c r="K673" s="67"/>
      <c r="L673" s="67"/>
      <c r="M673" s="67"/>
      <c r="N673" s="67"/>
    </row>
    <row r="674">
      <c r="C674" s="67"/>
      <c r="D674" s="67"/>
      <c r="E674" s="67"/>
      <c r="F674" s="67"/>
      <c r="G674" s="67"/>
      <c r="H674" s="67"/>
      <c r="I674" s="67"/>
      <c r="J674" s="67"/>
      <c r="K674" s="67"/>
      <c r="L674" s="67"/>
      <c r="M674" s="67"/>
      <c r="N674" s="67"/>
    </row>
    <row r="675">
      <c r="C675" s="67"/>
      <c r="D675" s="67"/>
      <c r="E675" s="67"/>
      <c r="F675" s="67"/>
      <c r="G675" s="67"/>
      <c r="H675" s="67"/>
      <c r="I675" s="67"/>
      <c r="J675" s="67"/>
      <c r="K675" s="67"/>
      <c r="L675" s="67"/>
      <c r="M675" s="67"/>
      <c r="N675" s="67"/>
    </row>
    <row r="676">
      <c r="C676" s="67"/>
      <c r="D676" s="67"/>
      <c r="E676" s="67"/>
      <c r="F676" s="67"/>
      <c r="G676" s="67"/>
      <c r="H676" s="67"/>
      <c r="I676" s="67"/>
      <c r="J676" s="67"/>
      <c r="K676" s="67"/>
      <c r="L676" s="67"/>
      <c r="M676" s="67"/>
      <c r="N676" s="67"/>
    </row>
    <row r="677">
      <c r="C677" s="67"/>
      <c r="D677" s="67"/>
      <c r="E677" s="67"/>
      <c r="F677" s="67"/>
      <c r="G677" s="67"/>
      <c r="H677" s="67"/>
      <c r="I677" s="67"/>
      <c r="J677" s="67"/>
      <c r="K677" s="67"/>
      <c r="L677" s="67"/>
      <c r="M677" s="67"/>
      <c r="N677" s="67"/>
    </row>
    <row r="678">
      <c r="C678" s="67"/>
      <c r="D678" s="67"/>
      <c r="E678" s="67"/>
      <c r="F678" s="67"/>
      <c r="G678" s="67"/>
      <c r="H678" s="67"/>
      <c r="I678" s="67"/>
      <c r="J678" s="67"/>
      <c r="K678" s="67"/>
      <c r="L678" s="67"/>
      <c r="M678" s="67"/>
      <c r="N678" s="67"/>
    </row>
    <row r="679">
      <c r="C679" s="67"/>
      <c r="D679" s="67"/>
      <c r="E679" s="67"/>
      <c r="F679" s="67"/>
      <c r="G679" s="67"/>
      <c r="H679" s="67"/>
      <c r="I679" s="67"/>
      <c r="J679" s="67"/>
      <c r="K679" s="67"/>
      <c r="L679" s="67"/>
      <c r="M679" s="67"/>
      <c r="N679" s="67"/>
    </row>
    <row r="680">
      <c r="C680" s="67"/>
      <c r="D680" s="67"/>
      <c r="E680" s="67"/>
      <c r="F680" s="67"/>
      <c r="G680" s="67"/>
      <c r="H680" s="67"/>
      <c r="I680" s="67"/>
      <c r="J680" s="67"/>
      <c r="K680" s="67"/>
      <c r="L680" s="67"/>
      <c r="M680" s="67"/>
      <c r="N680" s="67"/>
    </row>
    <row r="681">
      <c r="C681" s="67"/>
      <c r="D681" s="67"/>
      <c r="E681" s="67"/>
      <c r="F681" s="67"/>
      <c r="G681" s="67"/>
      <c r="H681" s="67"/>
      <c r="I681" s="67"/>
      <c r="J681" s="67"/>
      <c r="K681" s="67"/>
      <c r="L681" s="67"/>
      <c r="M681" s="67"/>
      <c r="N681" s="67"/>
    </row>
    <row r="682">
      <c r="C682" s="67"/>
      <c r="D682" s="67"/>
      <c r="E682" s="67"/>
      <c r="F682" s="67"/>
      <c r="G682" s="67"/>
      <c r="H682" s="67"/>
      <c r="I682" s="67"/>
      <c r="J682" s="67"/>
      <c r="K682" s="67"/>
      <c r="L682" s="67"/>
      <c r="M682" s="67"/>
      <c r="N682" s="67"/>
    </row>
    <row r="683">
      <c r="C683" s="67"/>
      <c r="D683" s="67"/>
      <c r="E683" s="67"/>
      <c r="F683" s="67"/>
      <c r="G683" s="67"/>
      <c r="H683" s="67"/>
      <c r="I683" s="67"/>
      <c r="J683" s="67"/>
      <c r="K683" s="67"/>
      <c r="L683" s="67"/>
      <c r="M683" s="67"/>
      <c r="N683" s="67"/>
    </row>
    <row r="684">
      <c r="C684" s="67"/>
      <c r="D684" s="67"/>
      <c r="E684" s="67"/>
      <c r="F684" s="67"/>
      <c r="G684" s="67"/>
      <c r="H684" s="67"/>
      <c r="I684" s="67"/>
      <c r="J684" s="67"/>
      <c r="K684" s="67"/>
      <c r="L684" s="67"/>
      <c r="M684" s="67"/>
      <c r="N684" s="67"/>
    </row>
    <row r="685">
      <c r="C685" s="67"/>
      <c r="D685" s="67"/>
      <c r="E685" s="67"/>
      <c r="F685" s="67"/>
      <c r="G685" s="67"/>
      <c r="H685" s="67"/>
      <c r="I685" s="67"/>
      <c r="J685" s="67"/>
      <c r="K685" s="67"/>
      <c r="L685" s="67"/>
      <c r="M685" s="67"/>
      <c r="N685" s="67"/>
    </row>
    <row r="686">
      <c r="C686" s="67"/>
      <c r="D686" s="67"/>
      <c r="E686" s="67"/>
      <c r="F686" s="67"/>
      <c r="G686" s="67"/>
      <c r="H686" s="67"/>
      <c r="I686" s="67"/>
      <c r="J686" s="67"/>
      <c r="K686" s="67"/>
      <c r="L686" s="67"/>
      <c r="M686" s="67"/>
      <c r="N686" s="67"/>
    </row>
    <row r="687">
      <c r="C687" s="67"/>
      <c r="D687" s="67"/>
      <c r="E687" s="67"/>
      <c r="F687" s="67"/>
      <c r="G687" s="67"/>
      <c r="H687" s="67"/>
      <c r="I687" s="67"/>
      <c r="J687" s="67"/>
      <c r="K687" s="67"/>
      <c r="L687" s="67"/>
      <c r="M687" s="67"/>
      <c r="N687" s="67"/>
    </row>
    <row r="688">
      <c r="C688" s="67"/>
      <c r="D688" s="67"/>
      <c r="E688" s="67"/>
      <c r="F688" s="67"/>
      <c r="G688" s="67"/>
      <c r="H688" s="67"/>
      <c r="I688" s="67"/>
      <c r="J688" s="67"/>
      <c r="K688" s="67"/>
      <c r="L688" s="67"/>
      <c r="M688" s="67"/>
      <c r="N688" s="67"/>
    </row>
    <row r="689">
      <c r="C689" s="67"/>
      <c r="D689" s="67"/>
      <c r="E689" s="67"/>
      <c r="F689" s="67"/>
      <c r="G689" s="67"/>
      <c r="H689" s="67"/>
      <c r="I689" s="67"/>
      <c r="J689" s="67"/>
      <c r="K689" s="67"/>
      <c r="L689" s="67"/>
      <c r="M689" s="67"/>
      <c r="N689" s="67"/>
    </row>
    <row r="690">
      <c r="C690" s="67"/>
      <c r="D690" s="67"/>
      <c r="E690" s="67"/>
      <c r="F690" s="67"/>
      <c r="G690" s="67"/>
      <c r="H690" s="67"/>
      <c r="I690" s="67"/>
      <c r="J690" s="67"/>
      <c r="K690" s="67"/>
      <c r="L690" s="67"/>
      <c r="M690" s="67"/>
      <c r="N690" s="67"/>
    </row>
    <row r="691">
      <c r="C691" s="67"/>
      <c r="D691" s="67"/>
      <c r="E691" s="67"/>
      <c r="F691" s="67"/>
      <c r="G691" s="67"/>
      <c r="H691" s="67"/>
      <c r="I691" s="67"/>
      <c r="J691" s="67"/>
      <c r="K691" s="67"/>
      <c r="L691" s="67"/>
      <c r="M691" s="67"/>
      <c r="N691" s="67"/>
    </row>
    <row r="692">
      <c r="C692" s="67"/>
      <c r="D692" s="67"/>
      <c r="E692" s="67"/>
      <c r="F692" s="67"/>
      <c r="G692" s="67"/>
      <c r="H692" s="67"/>
      <c r="I692" s="67"/>
      <c r="J692" s="67"/>
      <c r="K692" s="67"/>
      <c r="L692" s="67"/>
      <c r="M692" s="67"/>
      <c r="N692" s="67"/>
    </row>
    <row r="693">
      <c r="C693" s="67"/>
      <c r="D693" s="67"/>
      <c r="E693" s="67"/>
      <c r="F693" s="67"/>
      <c r="G693" s="67"/>
      <c r="H693" s="67"/>
      <c r="I693" s="67"/>
      <c r="J693" s="67"/>
      <c r="K693" s="67"/>
      <c r="L693" s="67"/>
      <c r="M693" s="67"/>
      <c r="N693" s="67"/>
    </row>
    <row r="694">
      <c r="C694" s="67"/>
      <c r="D694" s="67"/>
      <c r="E694" s="67"/>
      <c r="F694" s="67"/>
      <c r="G694" s="67"/>
      <c r="H694" s="67"/>
      <c r="I694" s="67"/>
      <c r="J694" s="67"/>
      <c r="K694" s="67"/>
      <c r="L694" s="67"/>
      <c r="M694" s="67"/>
      <c r="N694" s="67"/>
    </row>
    <row r="695">
      <c r="C695" s="67"/>
      <c r="D695" s="67"/>
      <c r="E695" s="67"/>
      <c r="F695" s="67"/>
      <c r="G695" s="67"/>
      <c r="H695" s="67"/>
      <c r="I695" s="67"/>
      <c r="J695" s="67"/>
      <c r="K695" s="67"/>
      <c r="L695" s="67"/>
      <c r="M695" s="67"/>
      <c r="N695" s="67"/>
    </row>
    <row r="696">
      <c r="C696" s="67"/>
      <c r="D696" s="67"/>
      <c r="E696" s="67"/>
      <c r="F696" s="67"/>
      <c r="G696" s="67"/>
      <c r="H696" s="67"/>
      <c r="I696" s="67"/>
      <c r="J696" s="67"/>
      <c r="K696" s="67"/>
      <c r="L696" s="67"/>
      <c r="M696" s="67"/>
      <c r="N696" s="67"/>
    </row>
    <row r="697">
      <c r="C697" s="67"/>
      <c r="D697" s="67"/>
      <c r="E697" s="67"/>
      <c r="F697" s="67"/>
      <c r="G697" s="67"/>
      <c r="H697" s="67"/>
      <c r="I697" s="67"/>
      <c r="J697" s="67"/>
      <c r="K697" s="67"/>
      <c r="L697" s="67"/>
      <c r="M697" s="67"/>
      <c r="N697" s="67"/>
    </row>
    <row r="698">
      <c r="C698" s="67"/>
      <c r="D698" s="67"/>
      <c r="E698" s="67"/>
      <c r="F698" s="67"/>
      <c r="G698" s="67"/>
      <c r="H698" s="67"/>
      <c r="I698" s="67"/>
      <c r="J698" s="67"/>
      <c r="K698" s="67"/>
      <c r="L698" s="67"/>
      <c r="M698" s="67"/>
      <c r="N698" s="67"/>
    </row>
    <row r="699">
      <c r="C699" s="67"/>
      <c r="D699" s="67"/>
      <c r="E699" s="67"/>
      <c r="F699" s="67"/>
      <c r="G699" s="67"/>
      <c r="H699" s="67"/>
      <c r="I699" s="67"/>
      <c r="J699" s="67"/>
      <c r="K699" s="67"/>
      <c r="L699" s="67"/>
      <c r="M699" s="67"/>
      <c r="N699" s="67"/>
    </row>
    <row r="700">
      <c r="C700" s="67"/>
      <c r="D700" s="67"/>
      <c r="E700" s="67"/>
      <c r="F700" s="67"/>
      <c r="G700" s="67"/>
      <c r="H700" s="67"/>
      <c r="I700" s="67"/>
      <c r="J700" s="67"/>
      <c r="K700" s="67"/>
      <c r="L700" s="67"/>
      <c r="M700" s="67"/>
      <c r="N700" s="67"/>
    </row>
    <row r="701">
      <c r="C701" s="67"/>
      <c r="D701" s="67"/>
      <c r="E701" s="67"/>
      <c r="F701" s="67"/>
      <c r="G701" s="67"/>
      <c r="H701" s="67"/>
      <c r="I701" s="67"/>
      <c r="J701" s="67"/>
      <c r="K701" s="67"/>
      <c r="L701" s="67"/>
      <c r="M701" s="67"/>
      <c r="N701" s="67"/>
    </row>
    <row r="702">
      <c r="C702" s="67"/>
      <c r="D702" s="67"/>
      <c r="E702" s="67"/>
      <c r="F702" s="67"/>
      <c r="G702" s="67"/>
      <c r="H702" s="67"/>
      <c r="I702" s="67"/>
      <c r="J702" s="67"/>
      <c r="K702" s="67"/>
      <c r="L702" s="67"/>
      <c r="M702" s="67"/>
      <c r="N702" s="67"/>
    </row>
    <row r="703">
      <c r="C703" s="67"/>
      <c r="D703" s="67"/>
      <c r="E703" s="67"/>
      <c r="F703" s="67"/>
      <c r="G703" s="67"/>
      <c r="H703" s="67"/>
      <c r="I703" s="67"/>
      <c r="J703" s="67"/>
      <c r="K703" s="67"/>
      <c r="L703" s="67"/>
      <c r="M703" s="67"/>
      <c r="N703" s="67"/>
    </row>
    <row r="704">
      <c r="C704" s="67"/>
      <c r="D704" s="67"/>
      <c r="E704" s="67"/>
      <c r="F704" s="67"/>
      <c r="G704" s="67"/>
      <c r="H704" s="67"/>
      <c r="I704" s="67"/>
      <c r="J704" s="67"/>
      <c r="K704" s="67"/>
      <c r="L704" s="67"/>
      <c r="M704" s="67"/>
      <c r="N704" s="67"/>
    </row>
    <row r="705">
      <c r="C705" s="67"/>
      <c r="D705" s="67"/>
      <c r="E705" s="67"/>
      <c r="F705" s="67"/>
      <c r="G705" s="67"/>
      <c r="H705" s="67"/>
      <c r="I705" s="67"/>
      <c r="J705" s="67"/>
      <c r="K705" s="67"/>
      <c r="L705" s="67"/>
      <c r="M705" s="67"/>
      <c r="N705" s="67"/>
    </row>
    <row r="706">
      <c r="C706" s="67"/>
      <c r="D706" s="67"/>
      <c r="E706" s="67"/>
      <c r="F706" s="67"/>
      <c r="G706" s="67"/>
      <c r="H706" s="67"/>
      <c r="I706" s="67"/>
      <c r="J706" s="67"/>
      <c r="K706" s="67"/>
      <c r="L706" s="67"/>
      <c r="M706" s="67"/>
      <c r="N706" s="67"/>
    </row>
    <row r="707">
      <c r="C707" s="67"/>
      <c r="D707" s="67"/>
      <c r="E707" s="67"/>
      <c r="F707" s="67"/>
      <c r="G707" s="67"/>
      <c r="H707" s="67"/>
      <c r="I707" s="67"/>
      <c r="J707" s="67"/>
      <c r="K707" s="67"/>
      <c r="L707" s="67"/>
      <c r="M707" s="67"/>
      <c r="N707" s="67"/>
    </row>
    <row r="708">
      <c r="C708" s="67"/>
      <c r="D708" s="67"/>
      <c r="E708" s="67"/>
      <c r="F708" s="67"/>
      <c r="G708" s="67"/>
      <c r="H708" s="67"/>
      <c r="I708" s="67"/>
      <c r="J708" s="67"/>
      <c r="K708" s="67"/>
      <c r="L708" s="67"/>
      <c r="M708" s="67"/>
      <c r="N708" s="67"/>
    </row>
    <row r="709">
      <c r="C709" s="67"/>
      <c r="D709" s="67"/>
      <c r="E709" s="67"/>
      <c r="F709" s="67"/>
      <c r="G709" s="67"/>
      <c r="H709" s="67"/>
      <c r="I709" s="67"/>
      <c r="J709" s="67"/>
      <c r="K709" s="67"/>
      <c r="L709" s="67"/>
      <c r="M709" s="67"/>
      <c r="N709" s="67"/>
    </row>
    <row r="710">
      <c r="C710" s="67"/>
      <c r="D710" s="67"/>
      <c r="E710" s="67"/>
      <c r="F710" s="67"/>
      <c r="G710" s="67"/>
      <c r="H710" s="67"/>
      <c r="I710" s="67"/>
      <c r="J710" s="67"/>
      <c r="K710" s="67"/>
      <c r="L710" s="67"/>
      <c r="M710" s="67"/>
      <c r="N710" s="67"/>
    </row>
    <row r="711">
      <c r="C711" s="67"/>
      <c r="D711" s="67"/>
      <c r="E711" s="67"/>
      <c r="F711" s="67"/>
      <c r="G711" s="67"/>
      <c r="H711" s="67"/>
      <c r="I711" s="67"/>
      <c r="J711" s="67"/>
      <c r="K711" s="67"/>
      <c r="L711" s="67"/>
      <c r="M711" s="67"/>
      <c r="N711" s="67"/>
    </row>
    <row r="712">
      <c r="C712" s="67"/>
      <c r="D712" s="67"/>
      <c r="E712" s="67"/>
      <c r="F712" s="67"/>
      <c r="G712" s="67"/>
      <c r="H712" s="67"/>
      <c r="I712" s="67"/>
      <c r="J712" s="67"/>
      <c r="K712" s="67"/>
      <c r="L712" s="67"/>
      <c r="M712" s="67"/>
      <c r="N712" s="67"/>
    </row>
    <row r="713">
      <c r="C713" s="67"/>
      <c r="D713" s="67"/>
      <c r="E713" s="67"/>
      <c r="F713" s="67"/>
      <c r="G713" s="67"/>
      <c r="H713" s="67"/>
      <c r="I713" s="67"/>
      <c r="J713" s="67"/>
      <c r="K713" s="67"/>
      <c r="L713" s="67"/>
      <c r="M713" s="67"/>
      <c r="N713" s="67"/>
    </row>
    <row r="714">
      <c r="C714" s="67"/>
      <c r="D714" s="67"/>
      <c r="E714" s="67"/>
      <c r="F714" s="67"/>
      <c r="G714" s="67"/>
      <c r="H714" s="67"/>
      <c r="I714" s="67"/>
      <c r="J714" s="67"/>
      <c r="K714" s="67"/>
      <c r="L714" s="67"/>
      <c r="M714" s="67"/>
      <c r="N714" s="67"/>
    </row>
    <row r="715">
      <c r="C715" s="67"/>
      <c r="D715" s="67"/>
      <c r="E715" s="67"/>
      <c r="F715" s="67"/>
      <c r="G715" s="67"/>
      <c r="H715" s="67"/>
      <c r="I715" s="67"/>
      <c r="J715" s="67"/>
      <c r="K715" s="67"/>
      <c r="L715" s="67"/>
      <c r="M715" s="67"/>
      <c r="N715" s="67"/>
    </row>
    <row r="716">
      <c r="C716" s="67"/>
      <c r="D716" s="67"/>
      <c r="E716" s="67"/>
      <c r="F716" s="67"/>
      <c r="G716" s="67"/>
      <c r="H716" s="67"/>
      <c r="I716" s="67"/>
      <c r="J716" s="67"/>
      <c r="K716" s="67"/>
      <c r="L716" s="67"/>
      <c r="M716" s="67"/>
      <c r="N716" s="67"/>
    </row>
    <row r="717">
      <c r="C717" s="67"/>
      <c r="D717" s="67"/>
      <c r="E717" s="67"/>
      <c r="F717" s="67"/>
      <c r="G717" s="67"/>
      <c r="H717" s="67"/>
      <c r="I717" s="67"/>
      <c r="J717" s="67"/>
      <c r="K717" s="67"/>
      <c r="L717" s="67"/>
      <c r="M717" s="67"/>
      <c r="N717" s="67"/>
    </row>
    <row r="718">
      <c r="C718" s="67"/>
      <c r="D718" s="67"/>
      <c r="E718" s="67"/>
      <c r="F718" s="67"/>
      <c r="G718" s="67"/>
      <c r="H718" s="67"/>
      <c r="I718" s="67"/>
      <c r="J718" s="67"/>
      <c r="K718" s="67"/>
      <c r="L718" s="67"/>
      <c r="M718" s="67"/>
      <c r="N718" s="67"/>
    </row>
    <row r="719">
      <c r="C719" s="67"/>
      <c r="D719" s="67"/>
      <c r="E719" s="67"/>
      <c r="F719" s="67"/>
      <c r="G719" s="67"/>
      <c r="H719" s="67"/>
      <c r="I719" s="67"/>
      <c r="J719" s="67"/>
      <c r="K719" s="67"/>
      <c r="L719" s="67"/>
      <c r="M719" s="67"/>
      <c r="N719" s="67"/>
    </row>
    <row r="720">
      <c r="C720" s="67"/>
      <c r="D720" s="67"/>
      <c r="E720" s="67"/>
      <c r="F720" s="67"/>
      <c r="G720" s="67"/>
      <c r="H720" s="67"/>
      <c r="I720" s="67"/>
      <c r="J720" s="67"/>
      <c r="K720" s="67"/>
      <c r="L720" s="67"/>
      <c r="M720" s="67"/>
      <c r="N720" s="67"/>
    </row>
    <row r="721">
      <c r="C721" s="67"/>
      <c r="D721" s="67"/>
      <c r="E721" s="67"/>
      <c r="F721" s="67"/>
      <c r="G721" s="67"/>
      <c r="H721" s="67"/>
      <c r="I721" s="67"/>
      <c r="J721" s="67"/>
      <c r="K721" s="67"/>
      <c r="L721" s="67"/>
      <c r="M721" s="67"/>
      <c r="N721" s="67"/>
    </row>
    <row r="722">
      <c r="C722" s="67"/>
      <c r="D722" s="67"/>
      <c r="E722" s="67"/>
      <c r="F722" s="67"/>
      <c r="G722" s="67"/>
      <c r="H722" s="67"/>
      <c r="I722" s="67"/>
      <c r="J722" s="67"/>
      <c r="K722" s="67"/>
      <c r="L722" s="67"/>
      <c r="M722" s="67"/>
      <c r="N722" s="67"/>
    </row>
    <row r="723">
      <c r="C723" s="67"/>
      <c r="D723" s="67"/>
      <c r="E723" s="67"/>
      <c r="F723" s="67"/>
      <c r="G723" s="67"/>
      <c r="H723" s="67"/>
      <c r="I723" s="67"/>
      <c r="J723" s="67"/>
      <c r="K723" s="67"/>
      <c r="L723" s="67"/>
      <c r="M723" s="67"/>
      <c r="N723" s="67"/>
    </row>
    <row r="724">
      <c r="C724" s="67"/>
      <c r="D724" s="67"/>
      <c r="E724" s="67"/>
      <c r="F724" s="67"/>
      <c r="G724" s="67"/>
      <c r="H724" s="67"/>
      <c r="I724" s="67"/>
      <c r="J724" s="67"/>
      <c r="K724" s="67"/>
      <c r="L724" s="67"/>
      <c r="M724" s="67"/>
      <c r="N724" s="67"/>
    </row>
    <row r="725">
      <c r="C725" s="67"/>
      <c r="D725" s="67"/>
      <c r="E725" s="67"/>
      <c r="F725" s="67"/>
      <c r="G725" s="67"/>
      <c r="H725" s="67"/>
      <c r="I725" s="67"/>
      <c r="J725" s="67"/>
      <c r="K725" s="67"/>
      <c r="L725" s="67"/>
      <c r="M725" s="67"/>
      <c r="N725" s="67"/>
    </row>
    <row r="726">
      <c r="C726" s="67"/>
      <c r="D726" s="67"/>
      <c r="E726" s="67"/>
      <c r="F726" s="67"/>
      <c r="G726" s="67"/>
      <c r="H726" s="67"/>
      <c r="I726" s="67"/>
      <c r="J726" s="67"/>
      <c r="K726" s="67"/>
      <c r="L726" s="67"/>
      <c r="M726" s="67"/>
      <c r="N726" s="67"/>
    </row>
    <row r="727">
      <c r="C727" s="67"/>
      <c r="D727" s="67"/>
      <c r="E727" s="67"/>
      <c r="F727" s="67"/>
      <c r="G727" s="67"/>
      <c r="H727" s="67"/>
      <c r="I727" s="67"/>
      <c r="J727" s="67"/>
      <c r="K727" s="67"/>
      <c r="L727" s="67"/>
      <c r="M727" s="67"/>
      <c r="N727" s="67"/>
    </row>
    <row r="728">
      <c r="C728" s="67"/>
      <c r="D728" s="67"/>
      <c r="E728" s="67"/>
      <c r="F728" s="67"/>
      <c r="G728" s="67"/>
      <c r="H728" s="67"/>
      <c r="I728" s="67"/>
      <c r="J728" s="67"/>
      <c r="K728" s="67"/>
      <c r="L728" s="67"/>
      <c r="M728" s="67"/>
      <c r="N728" s="67"/>
    </row>
    <row r="729">
      <c r="C729" s="67"/>
      <c r="D729" s="67"/>
      <c r="E729" s="67"/>
      <c r="F729" s="67"/>
      <c r="G729" s="67"/>
      <c r="H729" s="67"/>
      <c r="I729" s="67"/>
      <c r="J729" s="67"/>
      <c r="K729" s="67"/>
      <c r="L729" s="67"/>
      <c r="M729" s="67"/>
      <c r="N729" s="67"/>
    </row>
    <row r="730">
      <c r="C730" s="67"/>
      <c r="D730" s="67"/>
      <c r="E730" s="67"/>
      <c r="F730" s="67"/>
      <c r="G730" s="67"/>
      <c r="H730" s="67"/>
      <c r="I730" s="67"/>
      <c r="J730" s="67"/>
      <c r="K730" s="67"/>
      <c r="L730" s="67"/>
      <c r="M730" s="67"/>
      <c r="N730" s="67"/>
    </row>
    <row r="731">
      <c r="C731" s="67"/>
      <c r="D731" s="67"/>
      <c r="E731" s="67"/>
      <c r="F731" s="67"/>
      <c r="G731" s="67"/>
      <c r="H731" s="67"/>
      <c r="I731" s="67"/>
      <c r="J731" s="67"/>
      <c r="K731" s="67"/>
      <c r="L731" s="67"/>
      <c r="M731" s="67"/>
      <c r="N731" s="67"/>
    </row>
    <row r="732">
      <c r="C732" s="67"/>
      <c r="D732" s="67"/>
      <c r="E732" s="67"/>
      <c r="F732" s="67"/>
      <c r="G732" s="67"/>
      <c r="H732" s="67"/>
      <c r="I732" s="67"/>
      <c r="J732" s="67"/>
      <c r="K732" s="67"/>
      <c r="L732" s="67"/>
      <c r="M732" s="67"/>
      <c r="N732" s="67"/>
    </row>
    <row r="733">
      <c r="C733" s="67"/>
      <c r="D733" s="67"/>
      <c r="E733" s="67"/>
      <c r="F733" s="67"/>
      <c r="G733" s="67"/>
      <c r="H733" s="67"/>
      <c r="I733" s="67"/>
      <c r="J733" s="67"/>
      <c r="K733" s="67"/>
      <c r="L733" s="67"/>
      <c r="M733" s="67"/>
      <c r="N733" s="67"/>
    </row>
    <row r="734">
      <c r="C734" s="67"/>
      <c r="D734" s="67"/>
      <c r="E734" s="67"/>
      <c r="F734" s="67"/>
      <c r="G734" s="67"/>
      <c r="H734" s="67"/>
      <c r="I734" s="67"/>
      <c r="J734" s="67"/>
      <c r="K734" s="67"/>
      <c r="L734" s="67"/>
      <c r="M734" s="67"/>
      <c r="N734" s="67"/>
    </row>
    <row r="735">
      <c r="C735" s="67"/>
      <c r="D735" s="67"/>
      <c r="E735" s="67"/>
      <c r="F735" s="67"/>
      <c r="G735" s="67"/>
      <c r="H735" s="67"/>
      <c r="I735" s="67"/>
      <c r="J735" s="67"/>
      <c r="K735" s="67"/>
      <c r="L735" s="67"/>
      <c r="M735" s="67"/>
      <c r="N735" s="67"/>
    </row>
    <row r="736">
      <c r="C736" s="67"/>
      <c r="D736" s="67"/>
      <c r="E736" s="67"/>
      <c r="F736" s="67"/>
      <c r="G736" s="67"/>
      <c r="H736" s="67"/>
      <c r="I736" s="67"/>
      <c r="J736" s="67"/>
      <c r="K736" s="67"/>
      <c r="L736" s="67"/>
      <c r="M736" s="67"/>
      <c r="N736" s="67"/>
    </row>
    <row r="737">
      <c r="C737" s="67"/>
      <c r="D737" s="67"/>
      <c r="E737" s="67"/>
      <c r="F737" s="67"/>
      <c r="G737" s="67"/>
      <c r="H737" s="67"/>
      <c r="I737" s="67"/>
      <c r="J737" s="67"/>
      <c r="K737" s="67"/>
      <c r="L737" s="67"/>
      <c r="M737" s="67"/>
      <c r="N737" s="67"/>
    </row>
    <row r="738">
      <c r="C738" s="67"/>
      <c r="D738" s="67"/>
      <c r="E738" s="67"/>
      <c r="F738" s="67"/>
      <c r="G738" s="67"/>
      <c r="H738" s="67"/>
      <c r="I738" s="67"/>
      <c r="J738" s="67"/>
      <c r="K738" s="67"/>
      <c r="L738" s="67"/>
      <c r="M738" s="67"/>
      <c r="N738" s="67"/>
    </row>
    <row r="739">
      <c r="C739" s="67"/>
      <c r="D739" s="67"/>
      <c r="E739" s="67"/>
      <c r="F739" s="67"/>
      <c r="G739" s="67"/>
      <c r="H739" s="67"/>
      <c r="I739" s="67"/>
      <c r="J739" s="67"/>
      <c r="K739" s="67"/>
      <c r="L739" s="67"/>
      <c r="M739" s="67"/>
      <c r="N739" s="67"/>
    </row>
    <row r="740">
      <c r="C740" s="67"/>
      <c r="D740" s="67"/>
      <c r="E740" s="67"/>
      <c r="F740" s="67"/>
      <c r="G740" s="67"/>
      <c r="H740" s="67"/>
      <c r="I740" s="67"/>
      <c r="J740" s="67"/>
      <c r="K740" s="67"/>
      <c r="L740" s="67"/>
      <c r="M740" s="67"/>
      <c r="N740" s="67"/>
    </row>
    <row r="741">
      <c r="C741" s="67"/>
      <c r="D741" s="67"/>
      <c r="E741" s="67"/>
      <c r="F741" s="67"/>
      <c r="G741" s="67"/>
      <c r="H741" s="67"/>
      <c r="I741" s="67"/>
      <c r="J741" s="67"/>
      <c r="K741" s="67"/>
      <c r="L741" s="67"/>
      <c r="M741" s="67"/>
      <c r="N741" s="67"/>
    </row>
    <row r="742">
      <c r="C742" s="67"/>
      <c r="D742" s="67"/>
      <c r="E742" s="67"/>
      <c r="F742" s="67"/>
      <c r="G742" s="67"/>
      <c r="H742" s="67"/>
      <c r="I742" s="67"/>
      <c r="J742" s="67"/>
      <c r="K742" s="67"/>
      <c r="L742" s="67"/>
      <c r="M742" s="67"/>
      <c r="N742" s="67"/>
    </row>
    <row r="743">
      <c r="C743" s="67"/>
      <c r="D743" s="67"/>
      <c r="E743" s="67"/>
      <c r="F743" s="67"/>
      <c r="G743" s="67"/>
      <c r="H743" s="67"/>
      <c r="I743" s="67"/>
      <c r="J743" s="67"/>
      <c r="K743" s="67"/>
      <c r="L743" s="67"/>
      <c r="M743" s="67"/>
      <c r="N743" s="67"/>
    </row>
    <row r="744">
      <c r="C744" s="67"/>
      <c r="D744" s="67"/>
      <c r="E744" s="67"/>
      <c r="F744" s="67"/>
      <c r="G744" s="67"/>
      <c r="H744" s="67"/>
      <c r="I744" s="67"/>
      <c r="J744" s="67"/>
      <c r="K744" s="67"/>
      <c r="L744" s="67"/>
      <c r="M744" s="67"/>
      <c r="N744" s="67"/>
    </row>
    <row r="745">
      <c r="C745" s="67"/>
      <c r="D745" s="67"/>
      <c r="E745" s="67"/>
      <c r="F745" s="67"/>
      <c r="G745" s="67"/>
      <c r="H745" s="67"/>
      <c r="I745" s="67"/>
      <c r="J745" s="67"/>
      <c r="K745" s="67"/>
      <c r="L745" s="67"/>
      <c r="M745" s="67"/>
      <c r="N745" s="67"/>
    </row>
    <row r="746">
      <c r="C746" s="67"/>
      <c r="D746" s="67"/>
      <c r="E746" s="67"/>
      <c r="F746" s="67"/>
      <c r="G746" s="67"/>
      <c r="H746" s="67"/>
      <c r="I746" s="67"/>
      <c r="J746" s="67"/>
      <c r="K746" s="67"/>
      <c r="L746" s="67"/>
      <c r="M746" s="67"/>
      <c r="N746" s="67"/>
    </row>
    <row r="747">
      <c r="C747" s="67"/>
      <c r="D747" s="67"/>
      <c r="E747" s="67"/>
      <c r="F747" s="67"/>
      <c r="G747" s="67"/>
      <c r="H747" s="67"/>
      <c r="I747" s="67"/>
      <c r="J747" s="67"/>
      <c r="K747" s="67"/>
      <c r="L747" s="67"/>
      <c r="M747" s="67"/>
      <c r="N747" s="67"/>
    </row>
    <row r="748">
      <c r="C748" s="67"/>
      <c r="D748" s="67"/>
      <c r="E748" s="67"/>
      <c r="F748" s="67"/>
      <c r="G748" s="67"/>
      <c r="H748" s="67"/>
      <c r="I748" s="67"/>
      <c r="J748" s="67"/>
      <c r="K748" s="67"/>
      <c r="L748" s="67"/>
      <c r="M748" s="67"/>
      <c r="N748" s="67"/>
    </row>
    <row r="749">
      <c r="C749" s="67"/>
      <c r="D749" s="67"/>
      <c r="E749" s="67"/>
      <c r="F749" s="67"/>
      <c r="G749" s="67"/>
      <c r="H749" s="67"/>
      <c r="I749" s="67"/>
      <c r="J749" s="67"/>
      <c r="K749" s="67"/>
      <c r="L749" s="67"/>
      <c r="M749" s="67"/>
      <c r="N749" s="67"/>
    </row>
    <row r="750">
      <c r="C750" s="67"/>
      <c r="D750" s="67"/>
      <c r="E750" s="67"/>
      <c r="F750" s="67"/>
      <c r="G750" s="67"/>
      <c r="H750" s="67"/>
      <c r="I750" s="67"/>
      <c r="J750" s="67"/>
      <c r="K750" s="67"/>
      <c r="L750" s="67"/>
      <c r="M750" s="67"/>
      <c r="N750" s="67"/>
    </row>
    <row r="751">
      <c r="C751" s="67"/>
      <c r="D751" s="67"/>
      <c r="E751" s="67"/>
      <c r="F751" s="67"/>
      <c r="G751" s="67"/>
      <c r="H751" s="67"/>
      <c r="I751" s="67"/>
      <c r="J751" s="67"/>
      <c r="K751" s="67"/>
      <c r="L751" s="67"/>
      <c r="M751" s="67"/>
      <c r="N751" s="67"/>
    </row>
    <row r="752">
      <c r="C752" s="67"/>
      <c r="D752" s="67"/>
      <c r="E752" s="67"/>
      <c r="F752" s="67"/>
      <c r="G752" s="67"/>
      <c r="H752" s="67"/>
      <c r="I752" s="67"/>
      <c r="J752" s="67"/>
      <c r="K752" s="67"/>
      <c r="L752" s="67"/>
      <c r="M752" s="67"/>
      <c r="N752" s="67"/>
    </row>
    <row r="753">
      <c r="C753" s="67"/>
      <c r="D753" s="67"/>
      <c r="E753" s="67"/>
      <c r="F753" s="67"/>
      <c r="G753" s="67"/>
      <c r="H753" s="67"/>
      <c r="I753" s="67"/>
      <c r="J753" s="67"/>
      <c r="K753" s="67"/>
      <c r="L753" s="67"/>
      <c r="M753" s="67"/>
      <c r="N753" s="67"/>
    </row>
    <row r="754">
      <c r="C754" s="67"/>
      <c r="D754" s="67"/>
      <c r="E754" s="67"/>
      <c r="F754" s="67"/>
      <c r="G754" s="67"/>
      <c r="H754" s="67"/>
      <c r="I754" s="67"/>
      <c r="J754" s="67"/>
      <c r="K754" s="67"/>
      <c r="L754" s="67"/>
      <c r="M754" s="67"/>
      <c r="N754" s="67"/>
    </row>
    <row r="755">
      <c r="C755" s="67"/>
      <c r="D755" s="67"/>
      <c r="E755" s="67"/>
      <c r="F755" s="67"/>
      <c r="G755" s="67"/>
      <c r="H755" s="67"/>
      <c r="I755" s="67"/>
      <c r="J755" s="67"/>
      <c r="K755" s="67"/>
      <c r="L755" s="67"/>
      <c r="M755" s="67"/>
      <c r="N755" s="67"/>
    </row>
    <row r="756">
      <c r="C756" s="67"/>
      <c r="D756" s="67"/>
      <c r="E756" s="67"/>
      <c r="F756" s="67"/>
      <c r="G756" s="67"/>
      <c r="H756" s="67"/>
      <c r="I756" s="67"/>
      <c r="J756" s="67"/>
      <c r="K756" s="67"/>
      <c r="L756" s="67"/>
      <c r="M756" s="67"/>
      <c r="N756" s="67"/>
    </row>
    <row r="757">
      <c r="C757" s="67"/>
      <c r="D757" s="67"/>
      <c r="E757" s="67"/>
      <c r="F757" s="67"/>
      <c r="G757" s="67"/>
      <c r="H757" s="67"/>
      <c r="I757" s="67"/>
      <c r="J757" s="67"/>
      <c r="K757" s="67"/>
      <c r="L757" s="67"/>
      <c r="M757" s="67"/>
      <c r="N757" s="67"/>
    </row>
    <row r="758">
      <c r="C758" s="67"/>
      <c r="D758" s="67"/>
      <c r="E758" s="67"/>
      <c r="F758" s="67"/>
      <c r="G758" s="67"/>
      <c r="H758" s="67"/>
      <c r="I758" s="67"/>
      <c r="J758" s="67"/>
      <c r="K758" s="67"/>
      <c r="L758" s="67"/>
      <c r="M758" s="67"/>
      <c r="N758" s="67"/>
    </row>
    <row r="759">
      <c r="C759" s="67"/>
      <c r="D759" s="67"/>
      <c r="E759" s="67"/>
      <c r="F759" s="67"/>
      <c r="G759" s="67"/>
      <c r="H759" s="67"/>
      <c r="I759" s="67"/>
      <c r="J759" s="67"/>
      <c r="K759" s="67"/>
      <c r="L759" s="67"/>
      <c r="M759" s="67"/>
      <c r="N759" s="67"/>
    </row>
    <row r="760">
      <c r="C760" s="67"/>
      <c r="D760" s="67"/>
      <c r="E760" s="67"/>
      <c r="F760" s="67"/>
      <c r="G760" s="67"/>
      <c r="H760" s="67"/>
      <c r="I760" s="67"/>
      <c r="J760" s="67"/>
      <c r="K760" s="67"/>
      <c r="L760" s="67"/>
      <c r="M760" s="67"/>
      <c r="N760" s="67"/>
    </row>
    <row r="761">
      <c r="C761" s="67"/>
      <c r="D761" s="67"/>
      <c r="E761" s="67"/>
      <c r="F761" s="67"/>
      <c r="G761" s="67"/>
      <c r="H761" s="67"/>
      <c r="I761" s="67"/>
      <c r="J761" s="67"/>
      <c r="K761" s="67"/>
      <c r="L761" s="67"/>
      <c r="M761" s="67"/>
      <c r="N761" s="67"/>
    </row>
    <row r="762">
      <c r="C762" s="67"/>
      <c r="D762" s="67"/>
      <c r="E762" s="67"/>
      <c r="F762" s="67"/>
      <c r="G762" s="67"/>
      <c r="H762" s="67"/>
      <c r="I762" s="67"/>
      <c r="J762" s="67"/>
      <c r="K762" s="67"/>
      <c r="L762" s="67"/>
      <c r="M762" s="67"/>
      <c r="N762" s="67"/>
    </row>
    <row r="763">
      <c r="C763" s="67"/>
      <c r="D763" s="67"/>
      <c r="E763" s="67"/>
      <c r="F763" s="67"/>
      <c r="G763" s="67"/>
      <c r="H763" s="67"/>
      <c r="I763" s="67"/>
      <c r="J763" s="67"/>
      <c r="K763" s="67"/>
      <c r="L763" s="67"/>
      <c r="M763" s="67"/>
      <c r="N763" s="67"/>
    </row>
    <row r="764">
      <c r="C764" s="67"/>
      <c r="D764" s="67"/>
      <c r="E764" s="67"/>
      <c r="F764" s="67"/>
      <c r="G764" s="67"/>
      <c r="H764" s="67"/>
      <c r="I764" s="67"/>
      <c r="J764" s="67"/>
      <c r="K764" s="67"/>
      <c r="L764" s="67"/>
      <c r="M764" s="67"/>
      <c r="N764" s="67"/>
    </row>
    <row r="765">
      <c r="C765" s="67"/>
      <c r="D765" s="67"/>
      <c r="E765" s="67"/>
      <c r="F765" s="67"/>
      <c r="G765" s="67"/>
      <c r="H765" s="67"/>
      <c r="I765" s="67"/>
      <c r="J765" s="67"/>
      <c r="K765" s="67"/>
      <c r="L765" s="67"/>
      <c r="M765" s="67"/>
      <c r="N765" s="67"/>
    </row>
    <row r="766">
      <c r="C766" s="67"/>
      <c r="D766" s="67"/>
      <c r="E766" s="67"/>
      <c r="F766" s="67"/>
      <c r="G766" s="67"/>
      <c r="H766" s="67"/>
      <c r="I766" s="67"/>
      <c r="J766" s="67"/>
      <c r="K766" s="67"/>
      <c r="L766" s="67"/>
      <c r="M766" s="67"/>
      <c r="N766" s="67"/>
    </row>
    <row r="767">
      <c r="C767" s="67"/>
      <c r="D767" s="67"/>
      <c r="E767" s="67"/>
      <c r="F767" s="67"/>
      <c r="G767" s="67"/>
      <c r="H767" s="67"/>
      <c r="I767" s="67"/>
      <c r="J767" s="67"/>
      <c r="K767" s="67"/>
      <c r="L767" s="67"/>
      <c r="M767" s="67"/>
      <c r="N767" s="67"/>
    </row>
    <row r="768">
      <c r="C768" s="67"/>
      <c r="D768" s="67"/>
      <c r="E768" s="67"/>
      <c r="F768" s="67"/>
      <c r="G768" s="67"/>
      <c r="H768" s="67"/>
      <c r="I768" s="67"/>
      <c r="J768" s="67"/>
      <c r="K768" s="67"/>
      <c r="L768" s="67"/>
      <c r="M768" s="67"/>
      <c r="N768" s="67"/>
    </row>
    <row r="769">
      <c r="C769" s="67"/>
      <c r="D769" s="67"/>
      <c r="E769" s="67"/>
      <c r="F769" s="67"/>
      <c r="G769" s="67"/>
      <c r="H769" s="67"/>
      <c r="I769" s="67"/>
      <c r="J769" s="67"/>
      <c r="K769" s="67"/>
      <c r="L769" s="67"/>
      <c r="M769" s="67"/>
      <c r="N769" s="67"/>
    </row>
    <row r="770">
      <c r="C770" s="67"/>
      <c r="D770" s="67"/>
      <c r="E770" s="67"/>
      <c r="F770" s="67"/>
      <c r="G770" s="67"/>
      <c r="H770" s="67"/>
      <c r="I770" s="67"/>
      <c r="J770" s="67"/>
      <c r="K770" s="67"/>
      <c r="L770" s="67"/>
      <c r="M770" s="67"/>
      <c r="N770" s="67"/>
    </row>
    <row r="771">
      <c r="C771" s="67"/>
      <c r="D771" s="67"/>
      <c r="E771" s="67"/>
      <c r="F771" s="67"/>
      <c r="G771" s="67"/>
      <c r="H771" s="67"/>
      <c r="I771" s="67"/>
      <c r="J771" s="67"/>
      <c r="K771" s="67"/>
      <c r="L771" s="67"/>
      <c r="M771" s="67"/>
      <c r="N771" s="67"/>
    </row>
    <row r="772">
      <c r="C772" s="67"/>
      <c r="D772" s="67"/>
      <c r="E772" s="67"/>
      <c r="F772" s="67"/>
      <c r="G772" s="67"/>
      <c r="H772" s="67"/>
      <c r="I772" s="67"/>
      <c r="J772" s="67"/>
      <c r="K772" s="67"/>
      <c r="L772" s="67"/>
      <c r="M772" s="67"/>
      <c r="N772" s="67"/>
    </row>
    <row r="773">
      <c r="C773" s="67"/>
      <c r="D773" s="67"/>
      <c r="E773" s="67"/>
      <c r="F773" s="67"/>
      <c r="G773" s="67"/>
      <c r="H773" s="67"/>
      <c r="I773" s="67"/>
      <c r="J773" s="67"/>
      <c r="K773" s="67"/>
      <c r="L773" s="67"/>
      <c r="M773" s="67"/>
      <c r="N773" s="67"/>
    </row>
    <row r="774">
      <c r="C774" s="67"/>
      <c r="D774" s="67"/>
      <c r="E774" s="67"/>
      <c r="F774" s="67"/>
      <c r="G774" s="67"/>
      <c r="H774" s="67"/>
      <c r="I774" s="67"/>
      <c r="J774" s="67"/>
      <c r="K774" s="67"/>
      <c r="L774" s="67"/>
      <c r="M774" s="67"/>
      <c r="N774" s="67"/>
    </row>
    <row r="775">
      <c r="C775" s="67"/>
      <c r="D775" s="67"/>
      <c r="E775" s="67"/>
      <c r="F775" s="67"/>
      <c r="G775" s="67"/>
      <c r="H775" s="67"/>
      <c r="I775" s="67"/>
      <c r="J775" s="67"/>
      <c r="K775" s="67"/>
      <c r="L775" s="67"/>
      <c r="M775" s="67"/>
      <c r="N775" s="67"/>
    </row>
    <row r="776">
      <c r="C776" s="67"/>
      <c r="D776" s="67"/>
      <c r="E776" s="67"/>
      <c r="F776" s="67"/>
      <c r="G776" s="67"/>
      <c r="H776" s="67"/>
      <c r="I776" s="67"/>
      <c r="J776" s="67"/>
      <c r="K776" s="67"/>
      <c r="L776" s="67"/>
      <c r="M776" s="67"/>
      <c r="N776" s="67"/>
    </row>
    <row r="777">
      <c r="C777" s="67"/>
      <c r="D777" s="67"/>
      <c r="E777" s="67"/>
      <c r="F777" s="67"/>
      <c r="G777" s="67"/>
      <c r="H777" s="67"/>
      <c r="I777" s="67"/>
      <c r="J777" s="67"/>
      <c r="K777" s="67"/>
      <c r="L777" s="67"/>
      <c r="M777" s="67"/>
      <c r="N777" s="67"/>
    </row>
    <row r="778">
      <c r="C778" s="67"/>
      <c r="D778" s="67"/>
      <c r="E778" s="67"/>
      <c r="F778" s="67"/>
      <c r="G778" s="67"/>
      <c r="H778" s="67"/>
      <c r="I778" s="67"/>
      <c r="J778" s="67"/>
      <c r="K778" s="67"/>
      <c r="L778" s="67"/>
      <c r="M778" s="67"/>
      <c r="N778" s="67"/>
    </row>
    <row r="779">
      <c r="C779" s="67"/>
      <c r="D779" s="67"/>
      <c r="E779" s="67"/>
      <c r="F779" s="67"/>
      <c r="G779" s="67"/>
      <c r="H779" s="67"/>
      <c r="I779" s="67"/>
      <c r="J779" s="67"/>
      <c r="K779" s="67"/>
      <c r="L779" s="67"/>
      <c r="M779" s="67"/>
      <c r="N779" s="67"/>
    </row>
    <row r="780">
      <c r="C780" s="67"/>
      <c r="D780" s="67"/>
      <c r="E780" s="67"/>
      <c r="F780" s="67"/>
      <c r="G780" s="67"/>
      <c r="H780" s="67"/>
      <c r="I780" s="67"/>
      <c r="J780" s="67"/>
      <c r="K780" s="67"/>
      <c r="L780" s="67"/>
      <c r="M780" s="67"/>
      <c r="N780" s="67"/>
    </row>
    <row r="781">
      <c r="C781" s="67"/>
      <c r="D781" s="67"/>
      <c r="E781" s="67"/>
      <c r="F781" s="67"/>
      <c r="G781" s="67"/>
      <c r="H781" s="67"/>
      <c r="I781" s="67"/>
      <c r="J781" s="67"/>
      <c r="K781" s="67"/>
      <c r="L781" s="67"/>
      <c r="M781" s="67"/>
      <c r="N781" s="67"/>
    </row>
    <row r="782">
      <c r="C782" s="67"/>
      <c r="D782" s="67"/>
      <c r="E782" s="67"/>
      <c r="F782" s="67"/>
      <c r="G782" s="67"/>
      <c r="H782" s="67"/>
      <c r="I782" s="67"/>
      <c r="J782" s="67"/>
      <c r="K782" s="67"/>
      <c r="L782" s="67"/>
      <c r="M782" s="67"/>
      <c r="N782" s="67"/>
    </row>
    <row r="783">
      <c r="C783" s="67"/>
      <c r="D783" s="67"/>
      <c r="E783" s="67"/>
      <c r="F783" s="67"/>
      <c r="G783" s="67"/>
      <c r="H783" s="67"/>
      <c r="I783" s="67"/>
      <c r="J783" s="67"/>
      <c r="K783" s="67"/>
      <c r="L783" s="67"/>
      <c r="M783" s="67"/>
      <c r="N783" s="67"/>
    </row>
    <row r="784">
      <c r="C784" s="67"/>
      <c r="D784" s="67"/>
      <c r="E784" s="67"/>
      <c r="F784" s="67"/>
      <c r="G784" s="67"/>
      <c r="H784" s="67"/>
      <c r="I784" s="67"/>
      <c r="J784" s="67"/>
      <c r="K784" s="67"/>
      <c r="L784" s="67"/>
      <c r="M784" s="67"/>
      <c r="N784" s="67"/>
    </row>
    <row r="785">
      <c r="C785" s="67"/>
      <c r="D785" s="67"/>
      <c r="E785" s="67"/>
      <c r="F785" s="67"/>
      <c r="G785" s="67"/>
      <c r="H785" s="67"/>
      <c r="I785" s="67"/>
      <c r="J785" s="67"/>
      <c r="K785" s="67"/>
      <c r="L785" s="67"/>
      <c r="M785" s="67"/>
      <c r="N785" s="67"/>
    </row>
    <row r="786">
      <c r="C786" s="67"/>
      <c r="D786" s="67"/>
      <c r="E786" s="67"/>
      <c r="F786" s="67"/>
      <c r="G786" s="67"/>
      <c r="H786" s="67"/>
      <c r="I786" s="67"/>
      <c r="J786" s="67"/>
      <c r="K786" s="67"/>
      <c r="L786" s="67"/>
      <c r="M786" s="67"/>
      <c r="N786" s="67"/>
    </row>
    <row r="787">
      <c r="C787" s="67"/>
      <c r="D787" s="67"/>
      <c r="E787" s="67"/>
      <c r="F787" s="67"/>
      <c r="G787" s="67"/>
      <c r="H787" s="67"/>
      <c r="I787" s="67"/>
      <c r="J787" s="67"/>
      <c r="K787" s="67"/>
      <c r="L787" s="67"/>
      <c r="M787" s="67"/>
      <c r="N787" s="67"/>
    </row>
    <row r="788">
      <c r="C788" s="67"/>
      <c r="D788" s="67"/>
      <c r="E788" s="67"/>
      <c r="F788" s="67"/>
      <c r="G788" s="67"/>
      <c r="H788" s="67"/>
      <c r="I788" s="67"/>
      <c r="J788" s="67"/>
      <c r="K788" s="67"/>
      <c r="L788" s="67"/>
      <c r="M788" s="67"/>
      <c r="N788" s="67"/>
    </row>
    <row r="789">
      <c r="C789" s="67"/>
      <c r="D789" s="67"/>
      <c r="E789" s="67"/>
      <c r="F789" s="67"/>
      <c r="G789" s="67"/>
      <c r="H789" s="67"/>
      <c r="I789" s="67"/>
      <c r="J789" s="67"/>
      <c r="K789" s="67"/>
      <c r="L789" s="67"/>
      <c r="M789" s="67"/>
      <c r="N789" s="67"/>
    </row>
    <row r="790">
      <c r="C790" s="67"/>
      <c r="D790" s="67"/>
      <c r="E790" s="67"/>
      <c r="F790" s="67"/>
      <c r="G790" s="67"/>
      <c r="H790" s="67"/>
      <c r="I790" s="67"/>
      <c r="J790" s="67"/>
      <c r="K790" s="67"/>
      <c r="L790" s="67"/>
      <c r="M790" s="67"/>
      <c r="N790" s="67"/>
    </row>
    <row r="791">
      <c r="C791" s="67"/>
      <c r="D791" s="67"/>
      <c r="E791" s="67"/>
      <c r="F791" s="67"/>
      <c r="G791" s="67"/>
      <c r="H791" s="67"/>
      <c r="I791" s="67"/>
      <c r="J791" s="67"/>
      <c r="K791" s="67"/>
      <c r="L791" s="67"/>
      <c r="M791" s="67"/>
      <c r="N791" s="67"/>
    </row>
    <row r="792">
      <c r="C792" s="67"/>
      <c r="D792" s="67"/>
      <c r="E792" s="67"/>
      <c r="F792" s="67"/>
      <c r="G792" s="67"/>
      <c r="H792" s="67"/>
      <c r="I792" s="67"/>
      <c r="J792" s="67"/>
      <c r="K792" s="67"/>
      <c r="L792" s="67"/>
      <c r="M792" s="67"/>
      <c r="N792" s="67"/>
    </row>
    <row r="793">
      <c r="C793" s="67"/>
      <c r="D793" s="67"/>
      <c r="E793" s="67"/>
      <c r="F793" s="67"/>
      <c r="G793" s="67"/>
      <c r="H793" s="67"/>
      <c r="I793" s="67"/>
      <c r="J793" s="67"/>
      <c r="K793" s="67"/>
      <c r="L793" s="67"/>
      <c r="M793" s="67"/>
      <c r="N793" s="67"/>
    </row>
    <row r="794">
      <c r="C794" s="67"/>
      <c r="D794" s="67"/>
      <c r="E794" s="67"/>
      <c r="F794" s="67"/>
      <c r="G794" s="67"/>
      <c r="H794" s="67"/>
      <c r="I794" s="67"/>
      <c r="J794" s="67"/>
      <c r="K794" s="67"/>
      <c r="L794" s="67"/>
      <c r="M794" s="67"/>
      <c r="N794" s="67"/>
    </row>
    <row r="795">
      <c r="C795" s="67"/>
      <c r="D795" s="67"/>
      <c r="E795" s="67"/>
      <c r="F795" s="67"/>
      <c r="G795" s="67"/>
      <c r="H795" s="67"/>
      <c r="I795" s="67"/>
      <c r="J795" s="67"/>
      <c r="K795" s="67"/>
      <c r="L795" s="67"/>
      <c r="M795" s="67"/>
      <c r="N795" s="67"/>
    </row>
    <row r="796">
      <c r="C796" s="67"/>
      <c r="D796" s="67"/>
      <c r="E796" s="67"/>
      <c r="F796" s="67"/>
      <c r="G796" s="67"/>
      <c r="H796" s="67"/>
      <c r="I796" s="67"/>
      <c r="J796" s="67"/>
      <c r="K796" s="67"/>
      <c r="L796" s="67"/>
      <c r="M796" s="67"/>
      <c r="N796" s="67"/>
    </row>
    <row r="797">
      <c r="C797" s="67"/>
      <c r="D797" s="67"/>
      <c r="E797" s="67"/>
      <c r="F797" s="67"/>
      <c r="G797" s="67"/>
      <c r="H797" s="67"/>
      <c r="I797" s="67"/>
      <c r="J797" s="67"/>
      <c r="K797" s="67"/>
      <c r="L797" s="67"/>
      <c r="M797" s="67"/>
      <c r="N797" s="67"/>
    </row>
    <row r="798">
      <c r="C798" s="67"/>
      <c r="D798" s="67"/>
      <c r="E798" s="67"/>
      <c r="F798" s="67"/>
      <c r="G798" s="67"/>
      <c r="H798" s="67"/>
      <c r="I798" s="67"/>
      <c r="J798" s="67"/>
      <c r="K798" s="67"/>
      <c r="L798" s="67"/>
      <c r="M798" s="67"/>
      <c r="N798" s="67"/>
    </row>
    <row r="799">
      <c r="C799" s="67"/>
      <c r="D799" s="67"/>
      <c r="E799" s="67"/>
      <c r="F799" s="67"/>
      <c r="G799" s="67"/>
      <c r="H799" s="67"/>
      <c r="I799" s="67"/>
      <c r="J799" s="67"/>
      <c r="K799" s="67"/>
      <c r="L799" s="67"/>
      <c r="M799" s="67"/>
      <c r="N799" s="67"/>
    </row>
    <row r="800">
      <c r="C800" s="67"/>
      <c r="D800" s="67"/>
      <c r="E800" s="67"/>
      <c r="F800" s="67"/>
      <c r="G800" s="67"/>
      <c r="H800" s="67"/>
      <c r="I800" s="67"/>
      <c r="J800" s="67"/>
      <c r="K800" s="67"/>
      <c r="L800" s="67"/>
      <c r="M800" s="67"/>
      <c r="N800" s="67"/>
    </row>
    <row r="801">
      <c r="C801" s="67"/>
      <c r="D801" s="67"/>
      <c r="E801" s="67"/>
      <c r="F801" s="67"/>
      <c r="G801" s="67"/>
      <c r="H801" s="67"/>
      <c r="I801" s="67"/>
      <c r="J801" s="67"/>
      <c r="K801" s="67"/>
      <c r="L801" s="67"/>
      <c r="M801" s="67"/>
      <c r="N801" s="67"/>
    </row>
    <row r="802">
      <c r="C802" s="67"/>
      <c r="D802" s="67"/>
      <c r="E802" s="67"/>
      <c r="F802" s="67"/>
      <c r="G802" s="67"/>
      <c r="H802" s="67"/>
      <c r="I802" s="67"/>
      <c r="J802" s="67"/>
      <c r="K802" s="67"/>
      <c r="L802" s="67"/>
      <c r="M802" s="67"/>
      <c r="N802" s="67"/>
    </row>
    <row r="803">
      <c r="C803" s="67"/>
      <c r="D803" s="67"/>
      <c r="E803" s="67"/>
      <c r="F803" s="67"/>
      <c r="G803" s="67"/>
      <c r="H803" s="67"/>
      <c r="I803" s="67"/>
      <c r="J803" s="67"/>
      <c r="K803" s="67"/>
      <c r="L803" s="67"/>
      <c r="M803" s="67"/>
      <c r="N803" s="67"/>
    </row>
    <row r="804">
      <c r="C804" s="67"/>
      <c r="D804" s="67"/>
      <c r="E804" s="67"/>
      <c r="F804" s="67"/>
      <c r="G804" s="67"/>
      <c r="H804" s="67"/>
      <c r="I804" s="67"/>
      <c r="J804" s="67"/>
      <c r="K804" s="67"/>
      <c r="L804" s="67"/>
      <c r="M804" s="67"/>
      <c r="N804" s="67"/>
    </row>
    <row r="805">
      <c r="C805" s="67"/>
      <c r="D805" s="67"/>
      <c r="E805" s="67"/>
      <c r="F805" s="67"/>
      <c r="G805" s="67"/>
      <c r="H805" s="67"/>
      <c r="I805" s="67"/>
      <c r="J805" s="67"/>
      <c r="K805" s="67"/>
      <c r="L805" s="67"/>
      <c r="M805" s="67"/>
      <c r="N805" s="67"/>
    </row>
    <row r="806">
      <c r="C806" s="67"/>
      <c r="D806" s="67"/>
      <c r="E806" s="67"/>
      <c r="F806" s="67"/>
      <c r="G806" s="67"/>
      <c r="H806" s="67"/>
      <c r="I806" s="67"/>
      <c r="J806" s="67"/>
      <c r="K806" s="67"/>
      <c r="L806" s="67"/>
      <c r="M806" s="67"/>
      <c r="N806" s="67"/>
    </row>
    <row r="807">
      <c r="C807" s="67"/>
      <c r="D807" s="67"/>
      <c r="E807" s="67"/>
      <c r="F807" s="67"/>
      <c r="G807" s="67"/>
      <c r="H807" s="67"/>
      <c r="I807" s="67"/>
      <c r="J807" s="67"/>
      <c r="K807" s="67"/>
      <c r="L807" s="67"/>
      <c r="M807" s="67"/>
      <c r="N807" s="67"/>
    </row>
    <row r="808">
      <c r="C808" s="67"/>
      <c r="D808" s="67"/>
      <c r="E808" s="67"/>
      <c r="F808" s="67"/>
      <c r="G808" s="67"/>
      <c r="H808" s="67"/>
      <c r="I808" s="67"/>
      <c r="J808" s="67"/>
      <c r="K808" s="67"/>
      <c r="L808" s="67"/>
      <c r="M808" s="67"/>
      <c r="N808" s="67"/>
    </row>
    <row r="809">
      <c r="C809" s="67"/>
      <c r="D809" s="67"/>
      <c r="E809" s="67"/>
      <c r="F809" s="67"/>
      <c r="G809" s="67"/>
      <c r="H809" s="67"/>
      <c r="I809" s="67"/>
      <c r="J809" s="67"/>
      <c r="K809" s="67"/>
      <c r="L809" s="67"/>
      <c r="M809" s="67"/>
      <c r="N809" s="67"/>
    </row>
    <row r="810">
      <c r="C810" s="67"/>
      <c r="D810" s="67"/>
      <c r="E810" s="67"/>
      <c r="F810" s="67"/>
      <c r="G810" s="67"/>
      <c r="H810" s="67"/>
      <c r="I810" s="67"/>
      <c r="J810" s="67"/>
      <c r="K810" s="67"/>
      <c r="L810" s="67"/>
      <c r="M810" s="67"/>
      <c r="N810" s="67"/>
    </row>
    <row r="811">
      <c r="C811" s="67"/>
      <c r="D811" s="67"/>
      <c r="E811" s="67"/>
      <c r="F811" s="67"/>
      <c r="G811" s="67"/>
      <c r="H811" s="67"/>
      <c r="I811" s="67"/>
      <c r="J811" s="67"/>
      <c r="K811" s="67"/>
      <c r="L811" s="67"/>
      <c r="M811" s="67"/>
      <c r="N811" s="67"/>
    </row>
    <row r="812">
      <c r="C812" s="67"/>
      <c r="D812" s="67"/>
      <c r="E812" s="67"/>
      <c r="F812" s="67"/>
      <c r="G812" s="67"/>
      <c r="H812" s="67"/>
      <c r="I812" s="67"/>
      <c r="J812" s="67"/>
      <c r="K812" s="67"/>
      <c r="L812" s="67"/>
      <c r="M812" s="67"/>
      <c r="N812" s="67"/>
    </row>
    <row r="813">
      <c r="C813" s="67"/>
      <c r="D813" s="67"/>
      <c r="E813" s="67"/>
      <c r="F813" s="67"/>
      <c r="G813" s="67"/>
      <c r="H813" s="67"/>
      <c r="I813" s="67"/>
      <c r="J813" s="67"/>
      <c r="K813" s="67"/>
      <c r="L813" s="67"/>
      <c r="M813" s="67"/>
      <c r="N813" s="67"/>
    </row>
    <row r="814">
      <c r="C814" s="67"/>
      <c r="D814" s="67"/>
      <c r="E814" s="67"/>
      <c r="F814" s="67"/>
      <c r="G814" s="67"/>
      <c r="H814" s="67"/>
      <c r="I814" s="67"/>
      <c r="J814" s="67"/>
      <c r="K814" s="67"/>
      <c r="L814" s="67"/>
      <c r="M814" s="67"/>
      <c r="N814" s="67"/>
    </row>
    <row r="815">
      <c r="C815" s="67"/>
      <c r="D815" s="67"/>
      <c r="E815" s="67"/>
      <c r="F815" s="67"/>
      <c r="G815" s="67"/>
      <c r="H815" s="67"/>
      <c r="I815" s="67"/>
      <c r="J815" s="67"/>
      <c r="K815" s="67"/>
      <c r="L815" s="67"/>
      <c r="M815" s="67"/>
      <c r="N815" s="67"/>
    </row>
    <row r="816">
      <c r="C816" s="67"/>
      <c r="D816" s="67"/>
      <c r="E816" s="67"/>
      <c r="F816" s="67"/>
      <c r="G816" s="67"/>
      <c r="H816" s="67"/>
      <c r="I816" s="67"/>
      <c r="J816" s="67"/>
      <c r="K816" s="67"/>
      <c r="L816" s="67"/>
      <c r="M816" s="67"/>
      <c r="N816" s="67"/>
    </row>
    <row r="817">
      <c r="C817" s="67"/>
      <c r="D817" s="67"/>
      <c r="E817" s="67"/>
      <c r="F817" s="67"/>
      <c r="G817" s="67"/>
      <c r="H817" s="67"/>
      <c r="I817" s="67"/>
      <c r="J817" s="67"/>
      <c r="K817" s="67"/>
      <c r="L817" s="67"/>
      <c r="M817" s="67"/>
      <c r="N817" s="67"/>
    </row>
    <row r="818">
      <c r="C818" s="67"/>
      <c r="D818" s="67"/>
      <c r="E818" s="67"/>
      <c r="F818" s="67"/>
      <c r="G818" s="67"/>
      <c r="H818" s="67"/>
      <c r="I818" s="67"/>
      <c r="J818" s="67"/>
      <c r="K818" s="67"/>
      <c r="L818" s="67"/>
      <c r="M818" s="67"/>
      <c r="N818" s="67"/>
    </row>
    <row r="819">
      <c r="C819" s="67"/>
      <c r="D819" s="67"/>
      <c r="E819" s="67"/>
      <c r="F819" s="67"/>
      <c r="G819" s="67"/>
      <c r="H819" s="67"/>
      <c r="I819" s="67"/>
      <c r="J819" s="67"/>
      <c r="K819" s="67"/>
      <c r="L819" s="67"/>
      <c r="M819" s="67"/>
      <c r="N819" s="67"/>
    </row>
    <row r="820">
      <c r="C820" s="67"/>
      <c r="D820" s="67"/>
      <c r="E820" s="67"/>
      <c r="F820" s="67"/>
      <c r="G820" s="67"/>
      <c r="H820" s="67"/>
      <c r="I820" s="67"/>
      <c r="J820" s="67"/>
      <c r="K820" s="67"/>
      <c r="L820" s="67"/>
      <c r="M820" s="67"/>
      <c r="N820" s="67"/>
    </row>
    <row r="821">
      <c r="C821" s="67"/>
      <c r="D821" s="67"/>
      <c r="E821" s="67"/>
      <c r="F821" s="67"/>
      <c r="G821" s="67"/>
      <c r="H821" s="67"/>
      <c r="I821" s="67"/>
      <c r="J821" s="67"/>
      <c r="K821" s="67"/>
      <c r="L821" s="67"/>
      <c r="M821" s="67"/>
      <c r="N821" s="67"/>
    </row>
    <row r="822">
      <c r="C822" s="67"/>
      <c r="D822" s="67"/>
      <c r="E822" s="67"/>
      <c r="F822" s="67"/>
      <c r="G822" s="67"/>
      <c r="H822" s="67"/>
      <c r="I822" s="67"/>
      <c r="J822" s="67"/>
      <c r="K822" s="67"/>
      <c r="L822" s="67"/>
      <c r="M822" s="67"/>
      <c r="N822" s="67"/>
    </row>
    <row r="823">
      <c r="C823" s="67"/>
      <c r="D823" s="67"/>
      <c r="E823" s="67"/>
      <c r="F823" s="67"/>
      <c r="G823" s="67"/>
      <c r="H823" s="67"/>
      <c r="I823" s="67"/>
      <c r="J823" s="67"/>
      <c r="K823" s="67"/>
      <c r="L823" s="67"/>
      <c r="M823" s="67"/>
      <c r="N823" s="67"/>
    </row>
    <row r="824">
      <c r="C824" s="67"/>
      <c r="D824" s="67"/>
      <c r="E824" s="67"/>
      <c r="F824" s="67"/>
      <c r="G824" s="67"/>
      <c r="H824" s="67"/>
      <c r="I824" s="67"/>
      <c r="J824" s="67"/>
      <c r="K824" s="67"/>
      <c r="L824" s="67"/>
      <c r="M824" s="67"/>
      <c r="N824" s="67"/>
    </row>
    <row r="825">
      <c r="C825" s="67"/>
      <c r="D825" s="67"/>
      <c r="E825" s="67"/>
      <c r="F825" s="67"/>
      <c r="G825" s="67"/>
      <c r="H825" s="67"/>
      <c r="I825" s="67"/>
      <c r="J825" s="67"/>
      <c r="K825" s="67"/>
      <c r="L825" s="67"/>
      <c r="M825" s="67"/>
      <c r="N825" s="67"/>
    </row>
    <row r="826">
      <c r="C826" s="67"/>
      <c r="D826" s="67"/>
      <c r="E826" s="67"/>
      <c r="F826" s="67"/>
      <c r="G826" s="67"/>
      <c r="H826" s="67"/>
      <c r="I826" s="67"/>
      <c r="J826" s="67"/>
      <c r="K826" s="67"/>
      <c r="L826" s="67"/>
      <c r="M826" s="67"/>
      <c r="N826" s="67"/>
    </row>
    <row r="827">
      <c r="C827" s="67"/>
      <c r="D827" s="67"/>
      <c r="E827" s="67"/>
      <c r="F827" s="67"/>
      <c r="G827" s="67"/>
      <c r="H827" s="67"/>
      <c r="I827" s="67"/>
      <c r="J827" s="67"/>
      <c r="K827" s="67"/>
      <c r="L827" s="67"/>
      <c r="M827" s="67"/>
      <c r="N827" s="67"/>
    </row>
    <row r="828">
      <c r="C828" s="67"/>
      <c r="D828" s="67"/>
      <c r="E828" s="67"/>
      <c r="F828" s="67"/>
      <c r="G828" s="67"/>
      <c r="H828" s="67"/>
      <c r="I828" s="67"/>
      <c r="J828" s="67"/>
      <c r="K828" s="67"/>
      <c r="L828" s="67"/>
      <c r="M828" s="67"/>
      <c r="N828" s="67"/>
    </row>
    <row r="829">
      <c r="C829" s="67"/>
      <c r="D829" s="67"/>
      <c r="E829" s="67"/>
      <c r="F829" s="67"/>
      <c r="G829" s="67"/>
      <c r="H829" s="67"/>
      <c r="I829" s="67"/>
      <c r="J829" s="67"/>
      <c r="K829" s="67"/>
      <c r="L829" s="67"/>
      <c r="M829" s="67"/>
      <c r="N829" s="67"/>
    </row>
    <row r="830">
      <c r="C830" s="67"/>
      <c r="D830" s="67"/>
      <c r="E830" s="67"/>
      <c r="F830" s="67"/>
      <c r="G830" s="67"/>
      <c r="H830" s="67"/>
      <c r="I830" s="67"/>
      <c r="J830" s="67"/>
      <c r="K830" s="67"/>
      <c r="L830" s="67"/>
      <c r="M830" s="67"/>
      <c r="N830" s="67"/>
    </row>
    <row r="831">
      <c r="C831" s="67"/>
      <c r="D831" s="67"/>
      <c r="E831" s="67"/>
      <c r="F831" s="67"/>
      <c r="G831" s="67"/>
      <c r="H831" s="67"/>
      <c r="I831" s="67"/>
      <c r="J831" s="67"/>
      <c r="K831" s="67"/>
      <c r="L831" s="67"/>
      <c r="M831" s="67"/>
      <c r="N831" s="67"/>
    </row>
    <row r="832">
      <c r="C832" s="67"/>
      <c r="D832" s="67"/>
      <c r="E832" s="67"/>
      <c r="F832" s="67"/>
      <c r="G832" s="67"/>
      <c r="H832" s="67"/>
      <c r="I832" s="67"/>
      <c r="J832" s="67"/>
      <c r="K832" s="67"/>
      <c r="L832" s="67"/>
      <c r="M832" s="67"/>
      <c r="N832" s="67"/>
    </row>
    <row r="833">
      <c r="C833" s="67"/>
      <c r="D833" s="67"/>
      <c r="E833" s="67"/>
      <c r="F833" s="67"/>
      <c r="G833" s="67"/>
      <c r="H833" s="67"/>
      <c r="I833" s="67"/>
      <c r="J833" s="67"/>
      <c r="K833" s="67"/>
      <c r="L833" s="67"/>
      <c r="M833" s="67"/>
      <c r="N833" s="67"/>
    </row>
    <row r="834">
      <c r="C834" s="67"/>
      <c r="D834" s="67"/>
      <c r="E834" s="67"/>
      <c r="F834" s="67"/>
      <c r="G834" s="67"/>
      <c r="H834" s="67"/>
      <c r="I834" s="67"/>
      <c r="J834" s="67"/>
      <c r="K834" s="67"/>
      <c r="L834" s="67"/>
      <c r="M834" s="67"/>
      <c r="N834" s="67"/>
    </row>
    <row r="835">
      <c r="C835" s="67"/>
      <c r="D835" s="67"/>
      <c r="E835" s="67"/>
      <c r="F835" s="67"/>
      <c r="G835" s="67"/>
      <c r="H835" s="67"/>
      <c r="I835" s="67"/>
      <c r="J835" s="67"/>
      <c r="K835" s="67"/>
      <c r="L835" s="67"/>
      <c r="M835" s="67"/>
      <c r="N835" s="67"/>
    </row>
    <row r="836">
      <c r="C836" s="67"/>
      <c r="D836" s="67"/>
      <c r="E836" s="67"/>
      <c r="F836" s="67"/>
      <c r="G836" s="67"/>
      <c r="H836" s="67"/>
      <c r="I836" s="67"/>
      <c r="J836" s="67"/>
      <c r="K836" s="67"/>
      <c r="L836" s="67"/>
      <c r="M836" s="67"/>
      <c r="N836" s="67"/>
    </row>
    <row r="837">
      <c r="C837" s="67"/>
      <c r="D837" s="67"/>
      <c r="E837" s="67"/>
      <c r="F837" s="67"/>
      <c r="G837" s="67"/>
      <c r="H837" s="67"/>
      <c r="I837" s="67"/>
      <c r="J837" s="67"/>
      <c r="K837" s="67"/>
      <c r="L837" s="67"/>
      <c r="M837" s="67"/>
      <c r="N837" s="67"/>
    </row>
    <row r="838">
      <c r="C838" s="67"/>
      <c r="D838" s="67"/>
      <c r="E838" s="67"/>
      <c r="F838" s="67"/>
      <c r="G838" s="67"/>
      <c r="H838" s="67"/>
      <c r="I838" s="67"/>
      <c r="J838" s="67"/>
      <c r="K838" s="67"/>
      <c r="L838" s="67"/>
      <c r="M838" s="67"/>
      <c r="N838" s="67"/>
    </row>
    <row r="839">
      <c r="C839" s="67"/>
      <c r="D839" s="67"/>
      <c r="E839" s="67"/>
      <c r="F839" s="67"/>
      <c r="G839" s="67"/>
      <c r="H839" s="67"/>
      <c r="I839" s="67"/>
      <c r="J839" s="67"/>
      <c r="K839" s="67"/>
      <c r="L839" s="67"/>
      <c r="M839" s="67"/>
      <c r="N839" s="67"/>
    </row>
    <row r="840">
      <c r="C840" s="67"/>
      <c r="D840" s="67"/>
      <c r="E840" s="67"/>
      <c r="F840" s="67"/>
      <c r="G840" s="67"/>
      <c r="H840" s="67"/>
      <c r="I840" s="67"/>
      <c r="J840" s="67"/>
      <c r="K840" s="67"/>
      <c r="L840" s="67"/>
      <c r="M840" s="67"/>
      <c r="N840" s="67"/>
    </row>
    <row r="841">
      <c r="C841" s="67"/>
      <c r="D841" s="67"/>
      <c r="E841" s="67"/>
      <c r="F841" s="67"/>
      <c r="G841" s="67"/>
      <c r="H841" s="67"/>
      <c r="I841" s="67"/>
      <c r="J841" s="67"/>
      <c r="K841" s="67"/>
      <c r="L841" s="67"/>
      <c r="M841" s="67"/>
      <c r="N841" s="67"/>
    </row>
    <row r="842">
      <c r="C842" s="67"/>
      <c r="D842" s="67"/>
      <c r="E842" s="67"/>
      <c r="F842" s="67"/>
      <c r="G842" s="67"/>
      <c r="H842" s="67"/>
      <c r="I842" s="67"/>
      <c r="J842" s="67"/>
      <c r="K842" s="67"/>
      <c r="L842" s="67"/>
      <c r="M842" s="67"/>
      <c r="N842" s="67"/>
    </row>
    <row r="843">
      <c r="C843" s="67"/>
      <c r="D843" s="67"/>
      <c r="E843" s="67"/>
      <c r="F843" s="67"/>
      <c r="G843" s="67"/>
      <c r="H843" s="67"/>
      <c r="I843" s="67"/>
      <c r="J843" s="67"/>
      <c r="K843" s="67"/>
      <c r="L843" s="67"/>
      <c r="M843" s="67"/>
      <c r="N843" s="67"/>
    </row>
    <row r="844">
      <c r="C844" s="67"/>
      <c r="D844" s="67"/>
      <c r="E844" s="67"/>
      <c r="F844" s="67"/>
      <c r="G844" s="67"/>
      <c r="H844" s="67"/>
      <c r="I844" s="67"/>
      <c r="J844" s="67"/>
      <c r="K844" s="67"/>
      <c r="L844" s="67"/>
      <c r="M844" s="67"/>
      <c r="N844" s="67"/>
    </row>
    <row r="845">
      <c r="C845" s="67"/>
      <c r="D845" s="67"/>
      <c r="E845" s="67"/>
      <c r="F845" s="67"/>
      <c r="G845" s="67"/>
      <c r="H845" s="67"/>
      <c r="I845" s="67"/>
      <c r="J845" s="67"/>
      <c r="K845" s="67"/>
      <c r="L845" s="67"/>
      <c r="M845" s="67"/>
      <c r="N845" s="67"/>
    </row>
    <row r="846">
      <c r="C846" s="67"/>
      <c r="D846" s="67"/>
      <c r="E846" s="67"/>
      <c r="F846" s="67"/>
      <c r="G846" s="67"/>
      <c r="H846" s="67"/>
      <c r="I846" s="67"/>
      <c r="J846" s="67"/>
      <c r="K846" s="67"/>
      <c r="L846" s="67"/>
      <c r="M846" s="67"/>
      <c r="N846" s="67"/>
    </row>
    <row r="847">
      <c r="C847" s="67"/>
      <c r="D847" s="67"/>
      <c r="E847" s="67"/>
      <c r="F847" s="67"/>
      <c r="G847" s="67"/>
      <c r="H847" s="67"/>
      <c r="I847" s="67"/>
      <c r="J847" s="67"/>
      <c r="K847" s="67"/>
      <c r="L847" s="67"/>
      <c r="M847" s="67"/>
      <c r="N847" s="67"/>
    </row>
    <row r="848">
      <c r="C848" s="67"/>
      <c r="D848" s="67"/>
      <c r="E848" s="67"/>
      <c r="F848" s="67"/>
      <c r="G848" s="67"/>
      <c r="H848" s="67"/>
      <c r="I848" s="67"/>
      <c r="J848" s="67"/>
      <c r="K848" s="67"/>
      <c r="L848" s="67"/>
      <c r="M848" s="67"/>
      <c r="N848" s="67"/>
    </row>
    <row r="849">
      <c r="C849" s="67"/>
      <c r="D849" s="67"/>
      <c r="E849" s="67"/>
      <c r="F849" s="67"/>
      <c r="G849" s="67"/>
      <c r="H849" s="67"/>
      <c r="I849" s="67"/>
      <c r="J849" s="67"/>
      <c r="K849" s="67"/>
      <c r="L849" s="67"/>
      <c r="M849" s="67"/>
      <c r="N849" s="67"/>
    </row>
    <row r="850">
      <c r="C850" s="67"/>
      <c r="D850" s="67"/>
      <c r="E850" s="67"/>
      <c r="F850" s="67"/>
      <c r="G850" s="67"/>
      <c r="H850" s="67"/>
      <c r="I850" s="67"/>
      <c r="J850" s="67"/>
      <c r="K850" s="67"/>
      <c r="L850" s="67"/>
      <c r="M850" s="67"/>
      <c r="N850" s="67"/>
    </row>
    <row r="851">
      <c r="C851" s="67"/>
      <c r="D851" s="67"/>
      <c r="E851" s="67"/>
      <c r="F851" s="67"/>
      <c r="G851" s="67"/>
      <c r="H851" s="67"/>
      <c r="I851" s="67"/>
      <c r="J851" s="67"/>
      <c r="K851" s="67"/>
      <c r="L851" s="67"/>
      <c r="M851" s="67"/>
      <c r="N851" s="67"/>
    </row>
    <row r="852">
      <c r="C852" s="67"/>
      <c r="D852" s="67"/>
      <c r="E852" s="67"/>
      <c r="F852" s="67"/>
      <c r="G852" s="67"/>
      <c r="H852" s="67"/>
      <c r="I852" s="67"/>
      <c r="J852" s="67"/>
      <c r="K852" s="67"/>
      <c r="L852" s="67"/>
      <c r="M852" s="67"/>
      <c r="N852" s="67"/>
    </row>
    <row r="853">
      <c r="C853" s="67"/>
      <c r="D853" s="67"/>
      <c r="E853" s="67"/>
      <c r="F853" s="67"/>
      <c r="G853" s="67"/>
      <c r="H853" s="67"/>
      <c r="I853" s="67"/>
      <c r="J853" s="67"/>
      <c r="K853" s="67"/>
      <c r="L853" s="67"/>
      <c r="M853" s="67"/>
      <c r="N853" s="67"/>
    </row>
    <row r="854">
      <c r="C854" s="67"/>
      <c r="D854" s="67"/>
      <c r="E854" s="67"/>
      <c r="F854" s="67"/>
      <c r="G854" s="67"/>
      <c r="H854" s="67"/>
      <c r="I854" s="67"/>
      <c r="J854" s="67"/>
      <c r="K854" s="67"/>
      <c r="L854" s="67"/>
      <c r="M854" s="67"/>
      <c r="N854" s="67"/>
    </row>
    <row r="855">
      <c r="C855" s="67"/>
      <c r="D855" s="67"/>
      <c r="E855" s="67"/>
      <c r="F855" s="67"/>
      <c r="G855" s="67"/>
      <c r="H855" s="67"/>
      <c r="I855" s="67"/>
      <c r="J855" s="67"/>
      <c r="K855" s="67"/>
      <c r="L855" s="67"/>
      <c r="M855" s="67"/>
      <c r="N855" s="67"/>
    </row>
    <row r="856">
      <c r="C856" s="67"/>
      <c r="D856" s="67"/>
      <c r="E856" s="67"/>
      <c r="F856" s="67"/>
      <c r="G856" s="67"/>
      <c r="H856" s="67"/>
      <c r="I856" s="67"/>
      <c r="J856" s="67"/>
      <c r="K856" s="67"/>
      <c r="L856" s="67"/>
      <c r="M856" s="67"/>
      <c r="N856" s="67"/>
    </row>
    <row r="857">
      <c r="C857" s="67"/>
      <c r="D857" s="67"/>
      <c r="E857" s="67"/>
      <c r="F857" s="67"/>
      <c r="G857" s="67"/>
      <c r="H857" s="67"/>
      <c r="I857" s="67"/>
      <c r="J857" s="67"/>
      <c r="K857" s="67"/>
      <c r="L857" s="67"/>
      <c r="M857" s="67"/>
      <c r="N857" s="67"/>
    </row>
    <row r="858">
      <c r="C858" s="67"/>
      <c r="D858" s="67"/>
      <c r="E858" s="67"/>
      <c r="F858" s="67"/>
      <c r="G858" s="67"/>
      <c r="H858" s="67"/>
      <c r="I858" s="67"/>
      <c r="J858" s="67"/>
      <c r="K858" s="67"/>
      <c r="L858" s="67"/>
      <c r="M858" s="67"/>
      <c r="N858" s="67"/>
    </row>
    <row r="859">
      <c r="C859" s="67"/>
      <c r="D859" s="67"/>
      <c r="E859" s="67"/>
      <c r="F859" s="67"/>
      <c r="G859" s="67"/>
      <c r="H859" s="67"/>
      <c r="I859" s="67"/>
      <c r="J859" s="67"/>
      <c r="K859" s="67"/>
      <c r="L859" s="67"/>
      <c r="M859" s="67"/>
      <c r="N859" s="67"/>
    </row>
    <row r="860">
      <c r="C860" s="67"/>
      <c r="D860" s="67"/>
      <c r="E860" s="67"/>
      <c r="F860" s="67"/>
      <c r="G860" s="67"/>
      <c r="H860" s="67"/>
      <c r="I860" s="67"/>
      <c r="J860" s="67"/>
      <c r="K860" s="67"/>
      <c r="L860" s="67"/>
      <c r="M860" s="67"/>
      <c r="N860" s="67"/>
    </row>
    <row r="861">
      <c r="C861" s="67"/>
      <c r="D861" s="67"/>
      <c r="E861" s="67"/>
      <c r="F861" s="67"/>
      <c r="G861" s="67"/>
      <c r="H861" s="67"/>
      <c r="I861" s="67"/>
      <c r="J861" s="67"/>
      <c r="K861" s="67"/>
      <c r="L861" s="67"/>
      <c r="M861" s="67"/>
      <c r="N861" s="67"/>
    </row>
    <row r="862">
      <c r="C862" s="67"/>
      <c r="D862" s="67"/>
      <c r="E862" s="67"/>
      <c r="F862" s="67"/>
      <c r="G862" s="67"/>
      <c r="H862" s="67"/>
      <c r="I862" s="67"/>
      <c r="J862" s="67"/>
      <c r="K862" s="67"/>
      <c r="L862" s="67"/>
      <c r="M862" s="67"/>
      <c r="N862" s="67"/>
    </row>
    <row r="863">
      <c r="C863" s="67"/>
      <c r="D863" s="67"/>
      <c r="E863" s="67"/>
      <c r="F863" s="67"/>
      <c r="G863" s="67"/>
      <c r="H863" s="67"/>
      <c r="I863" s="67"/>
      <c r="J863" s="67"/>
      <c r="K863" s="67"/>
      <c r="L863" s="67"/>
      <c r="M863" s="67"/>
      <c r="N863" s="67"/>
    </row>
    <row r="864">
      <c r="C864" s="67"/>
      <c r="D864" s="67"/>
      <c r="E864" s="67"/>
      <c r="F864" s="67"/>
      <c r="G864" s="67"/>
      <c r="H864" s="67"/>
      <c r="I864" s="67"/>
      <c r="J864" s="67"/>
      <c r="K864" s="67"/>
      <c r="L864" s="67"/>
      <c r="M864" s="67"/>
      <c r="N864" s="67"/>
    </row>
    <row r="865">
      <c r="C865" s="67"/>
      <c r="D865" s="67"/>
      <c r="E865" s="67"/>
      <c r="F865" s="67"/>
      <c r="G865" s="67"/>
      <c r="H865" s="67"/>
      <c r="I865" s="67"/>
      <c r="J865" s="67"/>
      <c r="K865" s="67"/>
      <c r="L865" s="67"/>
      <c r="M865" s="67"/>
      <c r="N865" s="67"/>
    </row>
    <row r="866">
      <c r="C866" s="67"/>
      <c r="D866" s="67"/>
      <c r="E866" s="67"/>
      <c r="F866" s="67"/>
      <c r="G866" s="67"/>
      <c r="H866" s="67"/>
      <c r="I866" s="67"/>
      <c r="J866" s="67"/>
      <c r="K866" s="67"/>
      <c r="L866" s="67"/>
      <c r="M866" s="67"/>
      <c r="N866" s="67"/>
    </row>
    <row r="867">
      <c r="C867" s="67"/>
      <c r="D867" s="67"/>
      <c r="E867" s="67"/>
      <c r="F867" s="67"/>
      <c r="G867" s="67"/>
      <c r="H867" s="67"/>
      <c r="I867" s="67"/>
      <c r="J867" s="67"/>
      <c r="K867" s="67"/>
      <c r="L867" s="67"/>
      <c r="M867" s="67"/>
      <c r="N867" s="67"/>
    </row>
    <row r="868">
      <c r="C868" s="67"/>
      <c r="D868" s="67"/>
      <c r="E868" s="67"/>
      <c r="F868" s="67"/>
      <c r="G868" s="67"/>
      <c r="H868" s="67"/>
      <c r="I868" s="67"/>
      <c r="J868" s="67"/>
      <c r="K868" s="67"/>
      <c r="L868" s="67"/>
      <c r="M868" s="67"/>
      <c r="N868" s="67"/>
    </row>
    <row r="869">
      <c r="C869" s="67"/>
      <c r="D869" s="67"/>
      <c r="E869" s="67"/>
      <c r="F869" s="67"/>
      <c r="G869" s="67"/>
      <c r="H869" s="67"/>
      <c r="I869" s="67"/>
      <c r="J869" s="67"/>
      <c r="K869" s="67"/>
      <c r="L869" s="67"/>
      <c r="M869" s="67"/>
      <c r="N869" s="67"/>
    </row>
    <row r="870">
      <c r="C870" s="67"/>
      <c r="D870" s="67"/>
      <c r="E870" s="67"/>
      <c r="F870" s="67"/>
      <c r="G870" s="67"/>
      <c r="H870" s="67"/>
      <c r="I870" s="67"/>
      <c r="J870" s="67"/>
      <c r="K870" s="67"/>
      <c r="L870" s="67"/>
      <c r="M870" s="67"/>
      <c r="N870" s="67"/>
    </row>
    <row r="871">
      <c r="C871" s="67"/>
      <c r="D871" s="67"/>
      <c r="E871" s="67"/>
      <c r="F871" s="67"/>
      <c r="G871" s="67"/>
      <c r="H871" s="67"/>
      <c r="I871" s="67"/>
      <c r="J871" s="67"/>
      <c r="K871" s="67"/>
      <c r="L871" s="67"/>
      <c r="M871" s="67"/>
      <c r="N871" s="67"/>
    </row>
    <row r="872">
      <c r="C872" s="67"/>
      <c r="D872" s="67"/>
      <c r="E872" s="67"/>
      <c r="F872" s="67"/>
      <c r="G872" s="67"/>
      <c r="H872" s="67"/>
      <c r="I872" s="67"/>
      <c r="J872" s="67"/>
      <c r="K872" s="67"/>
      <c r="L872" s="67"/>
      <c r="M872" s="67"/>
      <c r="N872" s="67"/>
    </row>
    <row r="873">
      <c r="C873" s="67"/>
      <c r="D873" s="67"/>
      <c r="E873" s="67"/>
      <c r="F873" s="67"/>
      <c r="G873" s="67"/>
      <c r="H873" s="67"/>
      <c r="I873" s="67"/>
      <c r="J873" s="67"/>
      <c r="K873" s="67"/>
      <c r="L873" s="67"/>
      <c r="M873" s="67"/>
      <c r="N873" s="67"/>
    </row>
    <row r="874">
      <c r="C874" s="67"/>
      <c r="D874" s="67"/>
      <c r="E874" s="67"/>
      <c r="F874" s="67"/>
      <c r="G874" s="67"/>
      <c r="H874" s="67"/>
      <c r="I874" s="67"/>
      <c r="J874" s="67"/>
      <c r="K874" s="67"/>
      <c r="L874" s="67"/>
      <c r="M874" s="67"/>
      <c r="N874" s="67"/>
    </row>
    <row r="875">
      <c r="C875" s="67"/>
      <c r="D875" s="67"/>
      <c r="E875" s="67"/>
      <c r="F875" s="67"/>
      <c r="G875" s="67"/>
      <c r="H875" s="67"/>
      <c r="I875" s="67"/>
      <c r="J875" s="67"/>
      <c r="K875" s="67"/>
      <c r="L875" s="67"/>
      <c r="M875" s="67"/>
      <c r="N875" s="67"/>
    </row>
    <row r="876">
      <c r="C876" s="67"/>
      <c r="D876" s="67"/>
      <c r="E876" s="67"/>
      <c r="F876" s="67"/>
      <c r="G876" s="67"/>
      <c r="H876" s="67"/>
      <c r="I876" s="67"/>
      <c r="J876" s="67"/>
      <c r="K876" s="67"/>
      <c r="L876" s="67"/>
      <c r="M876" s="67"/>
      <c r="N876" s="67"/>
    </row>
    <row r="877">
      <c r="C877" s="67"/>
      <c r="D877" s="67"/>
      <c r="E877" s="67"/>
      <c r="F877" s="67"/>
      <c r="G877" s="67"/>
      <c r="H877" s="67"/>
      <c r="I877" s="67"/>
      <c r="J877" s="67"/>
      <c r="K877" s="67"/>
      <c r="L877" s="67"/>
      <c r="M877" s="67"/>
      <c r="N877" s="67"/>
    </row>
    <row r="878">
      <c r="C878" s="67"/>
      <c r="D878" s="67"/>
      <c r="E878" s="67"/>
      <c r="F878" s="67"/>
      <c r="G878" s="67"/>
      <c r="H878" s="67"/>
      <c r="I878" s="67"/>
      <c r="J878" s="67"/>
      <c r="K878" s="67"/>
      <c r="L878" s="67"/>
      <c r="M878" s="67"/>
      <c r="N878" s="67"/>
    </row>
    <row r="879">
      <c r="C879" s="67"/>
      <c r="D879" s="67"/>
      <c r="E879" s="67"/>
      <c r="F879" s="67"/>
      <c r="G879" s="67"/>
      <c r="H879" s="67"/>
      <c r="I879" s="67"/>
      <c r="J879" s="67"/>
      <c r="K879" s="67"/>
      <c r="L879" s="67"/>
      <c r="M879" s="67"/>
      <c r="N879" s="67"/>
    </row>
    <row r="880">
      <c r="C880" s="67"/>
      <c r="D880" s="67"/>
      <c r="E880" s="67"/>
      <c r="F880" s="67"/>
      <c r="G880" s="67"/>
      <c r="H880" s="67"/>
      <c r="I880" s="67"/>
      <c r="J880" s="67"/>
      <c r="K880" s="67"/>
      <c r="L880" s="67"/>
      <c r="M880" s="67"/>
      <c r="N880" s="67"/>
    </row>
    <row r="881">
      <c r="C881" s="67"/>
      <c r="D881" s="67"/>
      <c r="E881" s="67"/>
      <c r="F881" s="67"/>
      <c r="G881" s="67"/>
      <c r="H881" s="67"/>
      <c r="I881" s="67"/>
      <c r="J881" s="67"/>
      <c r="K881" s="67"/>
      <c r="L881" s="67"/>
      <c r="M881" s="67"/>
      <c r="N881" s="67"/>
    </row>
    <row r="882">
      <c r="C882" s="67"/>
      <c r="D882" s="67"/>
      <c r="E882" s="67"/>
      <c r="F882" s="67"/>
      <c r="G882" s="67"/>
      <c r="H882" s="67"/>
      <c r="I882" s="67"/>
      <c r="J882" s="67"/>
      <c r="K882" s="67"/>
      <c r="L882" s="67"/>
      <c r="M882" s="67"/>
      <c r="N882" s="67"/>
    </row>
    <row r="883">
      <c r="C883" s="67"/>
      <c r="D883" s="67"/>
      <c r="E883" s="67"/>
      <c r="F883" s="67"/>
      <c r="G883" s="67"/>
      <c r="H883" s="67"/>
      <c r="I883" s="67"/>
      <c r="J883" s="67"/>
      <c r="K883" s="67"/>
      <c r="L883" s="67"/>
      <c r="M883" s="67"/>
      <c r="N883" s="67"/>
    </row>
    <row r="884">
      <c r="C884" s="67"/>
      <c r="D884" s="67"/>
      <c r="E884" s="67"/>
      <c r="F884" s="67"/>
      <c r="G884" s="67"/>
      <c r="H884" s="67"/>
      <c r="I884" s="67"/>
      <c r="J884" s="67"/>
      <c r="K884" s="67"/>
      <c r="L884" s="67"/>
      <c r="M884" s="67"/>
      <c r="N884" s="67"/>
    </row>
    <row r="885">
      <c r="C885" s="67"/>
      <c r="D885" s="67"/>
      <c r="E885" s="67"/>
      <c r="F885" s="67"/>
      <c r="G885" s="67"/>
      <c r="H885" s="67"/>
      <c r="I885" s="67"/>
      <c r="J885" s="67"/>
      <c r="K885" s="67"/>
      <c r="L885" s="67"/>
      <c r="M885" s="67"/>
      <c r="N885" s="67"/>
    </row>
    <row r="886">
      <c r="C886" s="67"/>
      <c r="D886" s="67"/>
      <c r="E886" s="67"/>
      <c r="F886" s="67"/>
      <c r="G886" s="67"/>
      <c r="H886" s="67"/>
      <c r="I886" s="67"/>
      <c r="J886" s="67"/>
      <c r="K886" s="67"/>
      <c r="L886" s="67"/>
      <c r="M886" s="67"/>
      <c r="N886" s="67"/>
    </row>
    <row r="887">
      <c r="C887" s="67"/>
      <c r="D887" s="67"/>
      <c r="E887" s="67"/>
      <c r="F887" s="67"/>
      <c r="G887" s="67"/>
      <c r="H887" s="67"/>
      <c r="I887" s="67"/>
      <c r="J887" s="67"/>
      <c r="K887" s="67"/>
      <c r="L887" s="67"/>
      <c r="M887" s="67"/>
      <c r="N887" s="67"/>
    </row>
    <row r="888">
      <c r="C888" s="67"/>
      <c r="D888" s="67"/>
      <c r="E888" s="67"/>
      <c r="F888" s="67"/>
      <c r="G888" s="67"/>
      <c r="H888" s="67"/>
      <c r="I888" s="67"/>
      <c r="J888" s="67"/>
      <c r="K888" s="67"/>
      <c r="L888" s="67"/>
      <c r="M888" s="67"/>
      <c r="N888" s="67"/>
    </row>
    <row r="889">
      <c r="C889" s="67"/>
      <c r="D889" s="67"/>
      <c r="E889" s="67"/>
      <c r="F889" s="67"/>
      <c r="G889" s="67"/>
      <c r="H889" s="67"/>
      <c r="I889" s="67"/>
      <c r="J889" s="67"/>
      <c r="K889" s="67"/>
      <c r="L889" s="67"/>
      <c r="M889" s="67"/>
      <c r="N889" s="67"/>
    </row>
    <row r="890">
      <c r="C890" s="67"/>
      <c r="D890" s="67"/>
      <c r="E890" s="67"/>
      <c r="F890" s="67"/>
      <c r="G890" s="67"/>
      <c r="H890" s="67"/>
      <c r="I890" s="67"/>
      <c r="J890" s="67"/>
      <c r="K890" s="67"/>
      <c r="L890" s="67"/>
      <c r="M890" s="67"/>
      <c r="N890" s="67"/>
    </row>
    <row r="891">
      <c r="C891" s="67"/>
      <c r="D891" s="67"/>
      <c r="E891" s="67"/>
      <c r="F891" s="67"/>
      <c r="G891" s="67"/>
      <c r="H891" s="67"/>
      <c r="I891" s="67"/>
      <c r="J891" s="67"/>
      <c r="K891" s="67"/>
      <c r="L891" s="67"/>
      <c r="M891" s="67"/>
      <c r="N891" s="67"/>
    </row>
    <row r="892">
      <c r="C892" s="67"/>
      <c r="D892" s="67"/>
      <c r="E892" s="67"/>
      <c r="F892" s="67"/>
      <c r="G892" s="67"/>
      <c r="H892" s="67"/>
      <c r="I892" s="67"/>
      <c r="J892" s="67"/>
      <c r="K892" s="67"/>
      <c r="L892" s="67"/>
      <c r="M892" s="67"/>
      <c r="N892" s="67"/>
    </row>
    <row r="893">
      <c r="C893" s="67"/>
      <c r="D893" s="67"/>
      <c r="E893" s="67"/>
      <c r="F893" s="67"/>
      <c r="G893" s="67"/>
      <c r="H893" s="67"/>
      <c r="I893" s="67"/>
      <c r="J893" s="67"/>
      <c r="K893" s="67"/>
      <c r="L893" s="67"/>
      <c r="M893" s="67"/>
      <c r="N893" s="67"/>
    </row>
    <row r="894">
      <c r="C894" s="67"/>
      <c r="D894" s="67"/>
      <c r="E894" s="67"/>
      <c r="F894" s="67"/>
      <c r="G894" s="67"/>
      <c r="H894" s="67"/>
      <c r="I894" s="67"/>
      <c r="J894" s="67"/>
      <c r="K894" s="67"/>
      <c r="L894" s="67"/>
      <c r="M894" s="67"/>
      <c r="N894" s="67"/>
    </row>
    <row r="895">
      <c r="C895" s="67"/>
      <c r="D895" s="67"/>
      <c r="E895" s="67"/>
      <c r="F895" s="67"/>
      <c r="G895" s="67"/>
      <c r="H895" s="67"/>
      <c r="I895" s="67"/>
      <c r="J895" s="67"/>
      <c r="K895" s="67"/>
      <c r="L895" s="67"/>
      <c r="M895" s="67"/>
      <c r="N895" s="67"/>
    </row>
    <row r="896">
      <c r="C896" s="67"/>
      <c r="D896" s="67"/>
      <c r="E896" s="67"/>
      <c r="F896" s="67"/>
      <c r="G896" s="67"/>
      <c r="H896" s="67"/>
      <c r="I896" s="67"/>
      <c r="J896" s="67"/>
      <c r="K896" s="67"/>
      <c r="L896" s="67"/>
      <c r="M896" s="67"/>
      <c r="N896" s="67"/>
    </row>
    <row r="897">
      <c r="C897" s="67"/>
      <c r="D897" s="67"/>
      <c r="E897" s="67"/>
      <c r="F897" s="67"/>
      <c r="G897" s="67"/>
      <c r="H897" s="67"/>
      <c r="I897" s="67"/>
      <c r="J897" s="67"/>
      <c r="K897" s="67"/>
      <c r="L897" s="67"/>
      <c r="M897" s="67"/>
      <c r="N897" s="67"/>
    </row>
    <row r="898">
      <c r="C898" s="67"/>
      <c r="D898" s="67"/>
      <c r="E898" s="67"/>
      <c r="F898" s="67"/>
      <c r="G898" s="67"/>
      <c r="H898" s="67"/>
      <c r="I898" s="67"/>
      <c r="J898" s="67"/>
      <c r="K898" s="67"/>
      <c r="L898" s="67"/>
      <c r="M898" s="67"/>
      <c r="N898" s="67"/>
    </row>
    <row r="899">
      <c r="C899" s="67"/>
      <c r="D899" s="67"/>
      <c r="E899" s="67"/>
      <c r="F899" s="67"/>
      <c r="G899" s="67"/>
      <c r="H899" s="67"/>
      <c r="I899" s="67"/>
      <c r="J899" s="67"/>
      <c r="K899" s="67"/>
      <c r="L899" s="67"/>
      <c r="M899" s="67"/>
      <c r="N899" s="67"/>
    </row>
    <row r="900">
      <c r="C900" s="67"/>
      <c r="D900" s="67"/>
      <c r="E900" s="67"/>
      <c r="F900" s="67"/>
      <c r="G900" s="67"/>
      <c r="H900" s="67"/>
      <c r="I900" s="67"/>
      <c r="J900" s="67"/>
      <c r="K900" s="67"/>
      <c r="L900" s="67"/>
      <c r="M900" s="67"/>
      <c r="N900" s="67"/>
    </row>
    <row r="901">
      <c r="C901" s="67"/>
      <c r="D901" s="67"/>
      <c r="E901" s="67"/>
      <c r="F901" s="67"/>
      <c r="G901" s="67"/>
      <c r="H901" s="67"/>
      <c r="I901" s="67"/>
      <c r="J901" s="67"/>
      <c r="K901" s="67"/>
      <c r="L901" s="67"/>
      <c r="M901" s="67"/>
      <c r="N901" s="67"/>
    </row>
    <row r="902">
      <c r="C902" s="67"/>
      <c r="D902" s="67"/>
      <c r="E902" s="67"/>
      <c r="F902" s="67"/>
      <c r="G902" s="67"/>
      <c r="H902" s="67"/>
      <c r="I902" s="67"/>
      <c r="J902" s="67"/>
      <c r="K902" s="67"/>
      <c r="L902" s="67"/>
      <c r="M902" s="67"/>
      <c r="N902" s="67"/>
    </row>
    <row r="903">
      <c r="C903" s="67"/>
      <c r="D903" s="67"/>
      <c r="E903" s="67"/>
      <c r="F903" s="67"/>
      <c r="G903" s="67"/>
      <c r="H903" s="67"/>
      <c r="I903" s="67"/>
      <c r="J903" s="67"/>
      <c r="K903" s="67"/>
      <c r="L903" s="67"/>
      <c r="M903" s="67"/>
      <c r="N903" s="67"/>
    </row>
    <row r="904">
      <c r="C904" s="67"/>
      <c r="D904" s="67"/>
      <c r="E904" s="67"/>
      <c r="F904" s="67"/>
      <c r="G904" s="67"/>
      <c r="H904" s="67"/>
      <c r="I904" s="67"/>
      <c r="J904" s="67"/>
      <c r="K904" s="67"/>
      <c r="L904" s="67"/>
      <c r="M904" s="67"/>
      <c r="N904" s="67"/>
    </row>
    <row r="905">
      <c r="C905" s="67"/>
      <c r="D905" s="67"/>
      <c r="E905" s="67"/>
      <c r="F905" s="67"/>
      <c r="G905" s="67"/>
      <c r="H905" s="67"/>
      <c r="I905" s="67"/>
      <c r="J905" s="67"/>
      <c r="K905" s="67"/>
      <c r="L905" s="67"/>
      <c r="M905" s="67"/>
      <c r="N905" s="67"/>
    </row>
    <row r="906">
      <c r="C906" s="67"/>
      <c r="D906" s="67"/>
      <c r="E906" s="67"/>
      <c r="F906" s="67"/>
      <c r="G906" s="67"/>
      <c r="H906" s="67"/>
      <c r="I906" s="67"/>
      <c r="J906" s="67"/>
      <c r="K906" s="67"/>
      <c r="L906" s="67"/>
      <c r="M906" s="67"/>
      <c r="N906" s="67"/>
    </row>
    <row r="907">
      <c r="C907" s="67"/>
      <c r="D907" s="67"/>
      <c r="E907" s="67"/>
      <c r="F907" s="67"/>
      <c r="G907" s="67"/>
      <c r="H907" s="67"/>
      <c r="I907" s="67"/>
      <c r="J907" s="67"/>
      <c r="K907" s="67"/>
      <c r="L907" s="67"/>
      <c r="M907" s="67"/>
      <c r="N907" s="67"/>
    </row>
    <row r="908">
      <c r="C908" s="67"/>
      <c r="D908" s="67"/>
      <c r="E908" s="67"/>
      <c r="F908" s="67"/>
      <c r="G908" s="67"/>
      <c r="H908" s="67"/>
      <c r="I908" s="67"/>
      <c r="J908" s="67"/>
      <c r="K908" s="67"/>
      <c r="L908" s="67"/>
      <c r="M908" s="67"/>
      <c r="N908" s="67"/>
    </row>
    <row r="909">
      <c r="C909" s="67"/>
      <c r="D909" s="67"/>
      <c r="E909" s="67"/>
      <c r="F909" s="67"/>
      <c r="G909" s="67"/>
      <c r="H909" s="67"/>
      <c r="I909" s="67"/>
      <c r="J909" s="67"/>
      <c r="K909" s="67"/>
      <c r="L909" s="67"/>
      <c r="M909" s="67"/>
      <c r="N909" s="67"/>
    </row>
    <row r="910">
      <c r="C910" s="67"/>
      <c r="D910" s="67"/>
      <c r="E910" s="67"/>
      <c r="F910" s="67"/>
      <c r="G910" s="67"/>
      <c r="H910" s="67"/>
      <c r="I910" s="67"/>
      <c r="J910" s="67"/>
      <c r="K910" s="67"/>
      <c r="L910" s="67"/>
      <c r="M910" s="67"/>
      <c r="N910" s="67"/>
    </row>
    <row r="911">
      <c r="C911" s="67"/>
      <c r="D911" s="67"/>
      <c r="E911" s="67"/>
      <c r="F911" s="67"/>
      <c r="G911" s="67"/>
      <c r="H911" s="67"/>
      <c r="I911" s="67"/>
      <c r="J911" s="67"/>
      <c r="K911" s="67"/>
      <c r="L911" s="67"/>
      <c r="M911" s="67"/>
      <c r="N911" s="67"/>
    </row>
    <row r="912">
      <c r="C912" s="67"/>
      <c r="D912" s="67"/>
      <c r="E912" s="67"/>
      <c r="F912" s="67"/>
      <c r="G912" s="67"/>
      <c r="H912" s="67"/>
      <c r="I912" s="67"/>
      <c r="J912" s="67"/>
      <c r="K912" s="67"/>
      <c r="L912" s="67"/>
      <c r="M912" s="67"/>
      <c r="N912" s="67"/>
    </row>
    <row r="913">
      <c r="C913" s="67"/>
      <c r="D913" s="67"/>
      <c r="E913" s="67"/>
      <c r="F913" s="67"/>
      <c r="G913" s="67"/>
      <c r="H913" s="67"/>
      <c r="I913" s="67"/>
      <c r="J913" s="67"/>
      <c r="K913" s="67"/>
      <c r="L913" s="67"/>
      <c r="M913" s="67"/>
      <c r="N913" s="67"/>
    </row>
    <row r="914">
      <c r="C914" s="67"/>
      <c r="D914" s="67"/>
      <c r="E914" s="67"/>
      <c r="F914" s="67"/>
      <c r="G914" s="67"/>
      <c r="H914" s="67"/>
      <c r="I914" s="67"/>
      <c r="J914" s="67"/>
      <c r="K914" s="67"/>
      <c r="L914" s="67"/>
      <c r="M914" s="67"/>
      <c r="N914" s="67"/>
    </row>
    <row r="915">
      <c r="C915" s="67"/>
      <c r="D915" s="67"/>
      <c r="E915" s="67"/>
      <c r="F915" s="67"/>
      <c r="G915" s="67"/>
      <c r="H915" s="67"/>
      <c r="I915" s="67"/>
      <c r="J915" s="67"/>
      <c r="K915" s="67"/>
      <c r="L915" s="67"/>
      <c r="M915" s="67"/>
      <c r="N915" s="67"/>
    </row>
    <row r="916">
      <c r="C916" s="67"/>
      <c r="D916" s="67"/>
      <c r="E916" s="67"/>
      <c r="F916" s="67"/>
      <c r="G916" s="67"/>
      <c r="H916" s="67"/>
      <c r="I916" s="67"/>
      <c r="J916" s="67"/>
      <c r="K916" s="67"/>
      <c r="L916" s="67"/>
      <c r="M916" s="67"/>
      <c r="N916" s="67"/>
    </row>
    <row r="917">
      <c r="C917" s="67"/>
      <c r="D917" s="67"/>
      <c r="E917" s="67"/>
      <c r="F917" s="67"/>
      <c r="G917" s="67"/>
      <c r="H917" s="67"/>
      <c r="I917" s="67"/>
      <c r="J917" s="67"/>
      <c r="K917" s="67"/>
      <c r="L917" s="67"/>
      <c r="M917" s="67"/>
      <c r="N917" s="67"/>
    </row>
    <row r="918">
      <c r="C918" s="67"/>
      <c r="D918" s="67"/>
      <c r="E918" s="67"/>
      <c r="F918" s="67"/>
      <c r="G918" s="67"/>
      <c r="H918" s="67"/>
      <c r="I918" s="67"/>
      <c r="J918" s="67"/>
      <c r="K918" s="67"/>
      <c r="L918" s="67"/>
      <c r="M918" s="67"/>
      <c r="N918" s="67"/>
    </row>
    <row r="919">
      <c r="C919" s="67"/>
      <c r="D919" s="67"/>
      <c r="E919" s="67"/>
      <c r="F919" s="67"/>
      <c r="G919" s="67"/>
      <c r="H919" s="67"/>
      <c r="I919" s="67"/>
      <c r="J919" s="67"/>
      <c r="K919" s="67"/>
      <c r="L919" s="67"/>
      <c r="M919" s="67"/>
      <c r="N919" s="67"/>
    </row>
    <row r="920">
      <c r="C920" s="67"/>
      <c r="D920" s="67"/>
      <c r="E920" s="67"/>
      <c r="F920" s="67"/>
      <c r="G920" s="67"/>
      <c r="H920" s="67"/>
      <c r="I920" s="67"/>
      <c r="J920" s="67"/>
      <c r="K920" s="67"/>
      <c r="L920" s="67"/>
      <c r="M920" s="67"/>
      <c r="N920" s="67"/>
    </row>
    <row r="921">
      <c r="C921" s="67"/>
      <c r="D921" s="67"/>
      <c r="E921" s="67"/>
      <c r="F921" s="67"/>
      <c r="G921" s="67"/>
      <c r="H921" s="67"/>
      <c r="I921" s="67"/>
      <c r="J921" s="67"/>
      <c r="K921" s="67"/>
      <c r="L921" s="67"/>
      <c r="M921" s="67"/>
      <c r="N921" s="67"/>
    </row>
    <row r="922">
      <c r="C922" s="67"/>
      <c r="D922" s="67"/>
      <c r="E922" s="67"/>
      <c r="F922" s="67"/>
      <c r="G922" s="67"/>
      <c r="H922" s="67"/>
      <c r="I922" s="67"/>
      <c r="J922" s="67"/>
      <c r="K922" s="67"/>
      <c r="L922" s="67"/>
      <c r="M922" s="67"/>
      <c r="N922" s="67"/>
    </row>
    <row r="923">
      <c r="C923" s="67"/>
      <c r="D923" s="67"/>
      <c r="E923" s="67"/>
      <c r="F923" s="67"/>
      <c r="G923" s="67"/>
      <c r="H923" s="67"/>
      <c r="I923" s="67"/>
      <c r="J923" s="67"/>
      <c r="K923" s="67"/>
      <c r="L923" s="67"/>
      <c r="M923" s="67"/>
      <c r="N923" s="67"/>
    </row>
    <row r="924">
      <c r="C924" s="67"/>
      <c r="D924" s="67"/>
      <c r="E924" s="67"/>
      <c r="F924" s="67"/>
      <c r="G924" s="67"/>
      <c r="H924" s="67"/>
      <c r="I924" s="67"/>
      <c r="J924" s="67"/>
      <c r="K924" s="67"/>
      <c r="L924" s="67"/>
      <c r="M924" s="67"/>
      <c r="N924" s="67"/>
    </row>
    <row r="925">
      <c r="C925" s="67"/>
      <c r="D925" s="67"/>
      <c r="E925" s="67"/>
      <c r="F925" s="67"/>
      <c r="G925" s="67"/>
      <c r="H925" s="67"/>
      <c r="I925" s="67"/>
      <c r="J925" s="67"/>
      <c r="K925" s="67"/>
      <c r="L925" s="67"/>
      <c r="M925" s="67"/>
      <c r="N925" s="67"/>
    </row>
    <row r="926">
      <c r="C926" s="67"/>
      <c r="D926" s="67"/>
      <c r="E926" s="67"/>
      <c r="F926" s="67"/>
      <c r="G926" s="67"/>
      <c r="H926" s="67"/>
      <c r="I926" s="67"/>
      <c r="J926" s="67"/>
      <c r="K926" s="67"/>
      <c r="L926" s="67"/>
      <c r="M926" s="67"/>
      <c r="N926" s="67"/>
    </row>
    <row r="927">
      <c r="C927" s="67"/>
      <c r="D927" s="67"/>
      <c r="E927" s="67"/>
      <c r="F927" s="67"/>
      <c r="G927" s="67"/>
      <c r="H927" s="67"/>
      <c r="I927" s="67"/>
      <c r="J927" s="67"/>
      <c r="K927" s="67"/>
      <c r="L927" s="67"/>
      <c r="M927" s="67"/>
      <c r="N927" s="67"/>
    </row>
    <row r="928">
      <c r="C928" s="67"/>
      <c r="D928" s="67"/>
      <c r="E928" s="67"/>
      <c r="F928" s="67"/>
      <c r="G928" s="67"/>
      <c r="H928" s="67"/>
      <c r="I928" s="67"/>
      <c r="J928" s="67"/>
      <c r="K928" s="67"/>
      <c r="L928" s="67"/>
      <c r="M928" s="67"/>
      <c r="N928" s="67"/>
    </row>
    <row r="929">
      <c r="C929" s="67"/>
      <c r="D929" s="67"/>
      <c r="E929" s="67"/>
      <c r="F929" s="67"/>
      <c r="G929" s="67"/>
      <c r="H929" s="67"/>
      <c r="I929" s="67"/>
      <c r="J929" s="67"/>
      <c r="K929" s="67"/>
      <c r="L929" s="67"/>
      <c r="M929" s="67"/>
      <c r="N929" s="67"/>
    </row>
    <row r="930">
      <c r="C930" s="67"/>
      <c r="D930" s="67"/>
      <c r="E930" s="67"/>
      <c r="F930" s="67"/>
      <c r="G930" s="67"/>
      <c r="H930" s="67"/>
      <c r="I930" s="67"/>
      <c r="J930" s="67"/>
      <c r="K930" s="67"/>
      <c r="L930" s="67"/>
      <c r="M930" s="67"/>
      <c r="N930" s="67"/>
    </row>
    <row r="931">
      <c r="C931" s="67"/>
      <c r="D931" s="67"/>
      <c r="E931" s="67"/>
      <c r="F931" s="67"/>
      <c r="G931" s="67"/>
      <c r="H931" s="67"/>
      <c r="I931" s="67"/>
      <c r="J931" s="67"/>
      <c r="K931" s="67"/>
      <c r="L931" s="67"/>
      <c r="M931" s="67"/>
      <c r="N931" s="67"/>
    </row>
    <row r="932">
      <c r="C932" s="67"/>
      <c r="D932" s="67"/>
      <c r="E932" s="67"/>
      <c r="F932" s="67"/>
      <c r="G932" s="67"/>
      <c r="H932" s="67"/>
      <c r="I932" s="67"/>
      <c r="J932" s="67"/>
      <c r="K932" s="67"/>
      <c r="L932" s="67"/>
      <c r="M932" s="67"/>
      <c r="N932" s="67"/>
    </row>
    <row r="933">
      <c r="C933" s="67"/>
      <c r="D933" s="67"/>
      <c r="E933" s="67"/>
      <c r="F933" s="67"/>
      <c r="G933" s="67"/>
      <c r="H933" s="67"/>
      <c r="I933" s="67"/>
      <c r="J933" s="67"/>
      <c r="K933" s="67"/>
      <c r="L933" s="67"/>
      <c r="M933" s="67"/>
      <c r="N933" s="67"/>
    </row>
    <row r="934">
      <c r="C934" s="67"/>
      <c r="D934" s="67"/>
      <c r="E934" s="67"/>
      <c r="F934" s="67"/>
      <c r="G934" s="67"/>
      <c r="H934" s="67"/>
      <c r="I934" s="67"/>
      <c r="J934" s="67"/>
      <c r="K934" s="67"/>
      <c r="L934" s="67"/>
      <c r="M934" s="67"/>
      <c r="N934" s="67"/>
    </row>
    <row r="935">
      <c r="C935" s="67"/>
      <c r="D935" s="67"/>
      <c r="E935" s="67"/>
      <c r="F935" s="67"/>
      <c r="G935" s="67"/>
      <c r="H935" s="67"/>
      <c r="I935" s="67"/>
      <c r="J935" s="67"/>
      <c r="K935" s="67"/>
      <c r="L935" s="67"/>
      <c r="M935" s="67"/>
      <c r="N935" s="67"/>
    </row>
    <row r="936">
      <c r="C936" s="67"/>
      <c r="D936" s="67"/>
      <c r="E936" s="67"/>
      <c r="F936" s="67"/>
      <c r="G936" s="67"/>
      <c r="H936" s="67"/>
      <c r="I936" s="67"/>
      <c r="J936" s="67"/>
      <c r="K936" s="67"/>
      <c r="L936" s="67"/>
      <c r="M936" s="67"/>
      <c r="N936" s="67"/>
    </row>
    <row r="937">
      <c r="C937" s="67"/>
      <c r="D937" s="67"/>
      <c r="E937" s="67"/>
      <c r="F937" s="67"/>
      <c r="G937" s="67"/>
      <c r="H937" s="67"/>
      <c r="I937" s="67"/>
      <c r="J937" s="67"/>
      <c r="K937" s="67"/>
      <c r="L937" s="67"/>
      <c r="M937" s="67"/>
      <c r="N937" s="67"/>
    </row>
    <row r="938">
      <c r="C938" s="67"/>
      <c r="D938" s="67"/>
      <c r="E938" s="67"/>
      <c r="F938" s="67"/>
      <c r="G938" s="67"/>
      <c r="H938" s="67"/>
      <c r="I938" s="67"/>
      <c r="J938" s="67"/>
      <c r="K938" s="67"/>
      <c r="L938" s="67"/>
      <c r="M938" s="67"/>
      <c r="N938" s="67"/>
    </row>
    <row r="939">
      <c r="C939" s="67"/>
      <c r="D939" s="67"/>
      <c r="E939" s="67"/>
      <c r="F939" s="67"/>
      <c r="G939" s="67"/>
      <c r="H939" s="67"/>
      <c r="I939" s="67"/>
      <c r="J939" s="67"/>
      <c r="K939" s="67"/>
      <c r="L939" s="67"/>
      <c r="M939" s="67"/>
      <c r="N939" s="67"/>
    </row>
    <row r="940">
      <c r="C940" s="67"/>
      <c r="D940" s="67"/>
      <c r="E940" s="67"/>
      <c r="F940" s="67"/>
      <c r="G940" s="67"/>
      <c r="H940" s="67"/>
      <c r="I940" s="67"/>
      <c r="J940" s="67"/>
      <c r="K940" s="67"/>
      <c r="L940" s="67"/>
      <c r="M940" s="67"/>
      <c r="N940" s="67"/>
    </row>
    <row r="941">
      <c r="C941" s="67"/>
      <c r="D941" s="67"/>
      <c r="E941" s="67"/>
      <c r="F941" s="67"/>
      <c r="G941" s="67"/>
      <c r="H941" s="67"/>
      <c r="I941" s="67"/>
      <c r="J941" s="67"/>
      <c r="K941" s="67"/>
      <c r="L941" s="67"/>
      <c r="M941" s="67"/>
      <c r="N941" s="67"/>
    </row>
    <row r="942">
      <c r="C942" s="67"/>
      <c r="D942" s="67"/>
      <c r="E942" s="67"/>
      <c r="F942" s="67"/>
      <c r="G942" s="67"/>
      <c r="H942" s="67"/>
      <c r="I942" s="67"/>
      <c r="J942" s="67"/>
      <c r="K942" s="67"/>
      <c r="L942" s="67"/>
      <c r="M942" s="67"/>
      <c r="N942" s="67"/>
    </row>
    <row r="943">
      <c r="C943" s="67"/>
      <c r="D943" s="67"/>
      <c r="E943" s="67"/>
      <c r="F943" s="67"/>
      <c r="G943" s="67"/>
      <c r="H943" s="67"/>
      <c r="I943" s="67"/>
      <c r="J943" s="67"/>
      <c r="K943" s="67"/>
      <c r="L943" s="67"/>
      <c r="M943" s="67"/>
      <c r="N943" s="67"/>
    </row>
    <row r="944">
      <c r="C944" s="67"/>
      <c r="D944" s="67"/>
      <c r="E944" s="67"/>
      <c r="F944" s="67"/>
      <c r="G944" s="67"/>
      <c r="H944" s="67"/>
      <c r="I944" s="67"/>
      <c r="J944" s="67"/>
      <c r="K944" s="67"/>
      <c r="L944" s="67"/>
      <c r="M944" s="67"/>
      <c r="N944" s="67"/>
    </row>
    <row r="945">
      <c r="C945" s="67"/>
      <c r="D945" s="67"/>
      <c r="E945" s="67"/>
      <c r="F945" s="67"/>
      <c r="G945" s="67"/>
      <c r="H945" s="67"/>
      <c r="I945" s="67"/>
      <c r="J945" s="67"/>
      <c r="K945" s="67"/>
      <c r="L945" s="67"/>
      <c r="M945" s="67"/>
      <c r="N945" s="67"/>
    </row>
    <row r="946">
      <c r="C946" s="67"/>
      <c r="D946" s="67"/>
      <c r="E946" s="67"/>
      <c r="F946" s="67"/>
      <c r="G946" s="67"/>
      <c r="H946" s="67"/>
      <c r="I946" s="67"/>
      <c r="J946" s="67"/>
      <c r="K946" s="67"/>
      <c r="L946" s="67"/>
      <c r="M946" s="67"/>
      <c r="N946" s="67"/>
    </row>
    <row r="947">
      <c r="C947" s="67"/>
      <c r="D947" s="67"/>
      <c r="E947" s="67"/>
      <c r="F947" s="67"/>
      <c r="G947" s="67"/>
      <c r="H947" s="67"/>
      <c r="I947" s="67"/>
      <c r="J947" s="67"/>
      <c r="K947" s="67"/>
      <c r="L947" s="67"/>
      <c r="M947" s="67"/>
      <c r="N947" s="67"/>
    </row>
    <row r="948">
      <c r="C948" s="67"/>
      <c r="D948" s="67"/>
      <c r="E948" s="67"/>
      <c r="F948" s="67"/>
      <c r="G948" s="67"/>
      <c r="H948" s="67"/>
      <c r="I948" s="67"/>
      <c r="J948" s="67"/>
      <c r="K948" s="67"/>
      <c r="L948" s="67"/>
      <c r="M948" s="67"/>
      <c r="N948" s="67"/>
    </row>
    <row r="949">
      <c r="C949" s="67"/>
      <c r="D949" s="67"/>
      <c r="E949" s="67"/>
      <c r="F949" s="67"/>
      <c r="G949" s="67"/>
      <c r="H949" s="67"/>
      <c r="I949" s="67"/>
      <c r="J949" s="67"/>
      <c r="K949" s="67"/>
      <c r="L949" s="67"/>
      <c r="M949" s="67"/>
      <c r="N949" s="67"/>
    </row>
    <row r="950">
      <c r="C950" s="67"/>
      <c r="D950" s="67"/>
      <c r="E950" s="67"/>
      <c r="F950" s="67"/>
      <c r="G950" s="67"/>
      <c r="H950" s="67"/>
      <c r="I950" s="67"/>
      <c r="J950" s="67"/>
      <c r="K950" s="67"/>
      <c r="L950" s="67"/>
      <c r="M950" s="67"/>
      <c r="N950" s="67"/>
    </row>
    <row r="951">
      <c r="C951" s="67"/>
      <c r="D951" s="67"/>
      <c r="E951" s="67"/>
      <c r="F951" s="67"/>
      <c r="G951" s="67"/>
      <c r="H951" s="67"/>
      <c r="I951" s="67"/>
      <c r="J951" s="67"/>
      <c r="K951" s="67"/>
      <c r="L951" s="67"/>
      <c r="M951" s="67"/>
      <c r="N951" s="67"/>
    </row>
    <row r="952">
      <c r="C952" s="67"/>
      <c r="D952" s="67"/>
      <c r="E952" s="67"/>
      <c r="F952" s="67"/>
      <c r="G952" s="67"/>
      <c r="H952" s="67"/>
      <c r="I952" s="67"/>
      <c r="J952" s="67"/>
      <c r="K952" s="67"/>
      <c r="L952" s="67"/>
      <c r="M952" s="67"/>
      <c r="N952" s="67"/>
    </row>
    <row r="953">
      <c r="C953" s="67"/>
      <c r="D953" s="67"/>
      <c r="E953" s="67"/>
      <c r="F953" s="67"/>
      <c r="G953" s="67"/>
      <c r="H953" s="67"/>
      <c r="I953" s="67"/>
      <c r="J953" s="67"/>
      <c r="K953" s="67"/>
      <c r="L953" s="67"/>
      <c r="M953" s="67"/>
      <c r="N953" s="67"/>
    </row>
    <row r="954">
      <c r="C954" s="67"/>
      <c r="D954" s="67"/>
      <c r="E954" s="67"/>
      <c r="F954" s="67"/>
      <c r="G954" s="67"/>
      <c r="H954" s="67"/>
      <c r="I954" s="67"/>
      <c r="J954" s="67"/>
      <c r="K954" s="67"/>
      <c r="L954" s="67"/>
      <c r="M954" s="67"/>
      <c r="N954" s="67"/>
    </row>
    <row r="955">
      <c r="C955" s="67"/>
      <c r="D955" s="67"/>
      <c r="E955" s="67"/>
      <c r="F955" s="67"/>
      <c r="G955" s="67"/>
      <c r="H955" s="67"/>
      <c r="I955" s="67"/>
      <c r="J955" s="67"/>
      <c r="K955" s="67"/>
      <c r="L955" s="67"/>
      <c r="M955" s="67"/>
      <c r="N955" s="67"/>
    </row>
    <row r="956">
      <c r="C956" s="67"/>
      <c r="D956" s="67"/>
      <c r="E956" s="67"/>
      <c r="F956" s="67"/>
      <c r="G956" s="67"/>
      <c r="H956" s="67"/>
      <c r="I956" s="67"/>
      <c r="J956" s="67"/>
      <c r="K956" s="67"/>
      <c r="L956" s="67"/>
      <c r="M956" s="67"/>
      <c r="N956" s="67"/>
    </row>
    <row r="957">
      <c r="C957" s="67"/>
      <c r="D957" s="67"/>
      <c r="E957" s="67"/>
      <c r="F957" s="67"/>
      <c r="G957" s="67"/>
      <c r="H957" s="67"/>
      <c r="I957" s="67"/>
      <c r="J957" s="67"/>
      <c r="K957" s="67"/>
      <c r="L957" s="67"/>
      <c r="M957" s="67"/>
      <c r="N957" s="67"/>
    </row>
    <row r="958">
      <c r="C958" s="67"/>
      <c r="D958" s="67"/>
      <c r="E958" s="67"/>
      <c r="F958" s="67"/>
      <c r="G958" s="67"/>
      <c r="H958" s="67"/>
      <c r="I958" s="67"/>
      <c r="J958" s="67"/>
      <c r="K958" s="67"/>
      <c r="L958" s="67"/>
      <c r="M958" s="67"/>
      <c r="N958" s="67"/>
    </row>
    <row r="959">
      <c r="C959" s="67"/>
      <c r="D959" s="67"/>
      <c r="E959" s="67"/>
      <c r="F959" s="67"/>
      <c r="G959" s="67"/>
      <c r="H959" s="67"/>
      <c r="I959" s="67"/>
      <c r="J959" s="67"/>
      <c r="K959" s="67"/>
      <c r="L959" s="67"/>
      <c r="M959" s="67"/>
      <c r="N959" s="67"/>
    </row>
    <row r="960">
      <c r="C960" s="67"/>
      <c r="D960" s="67"/>
      <c r="E960" s="67"/>
      <c r="F960" s="67"/>
      <c r="G960" s="67"/>
      <c r="H960" s="67"/>
      <c r="I960" s="67"/>
      <c r="J960" s="67"/>
      <c r="K960" s="67"/>
      <c r="L960" s="67"/>
      <c r="M960" s="67"/>
      <c r="N960" s="67"/>
    </row>
    <row r="961">
      <c r="C961" s="67"/>
      <c r="D961" s="67"/>
      <c r="E961" s="67"/>
      <c r="F961" s="67"/>
      <c r="G961" s="67"/>
      <c r="H961" s="67"/>
      <c r="I961" s="67"/>
      <c r="J961" s="67"/>
      <c r="K961" s="67"/>
      <c r="L961" s="67"/>
      <c r="M961" s="67"/>
      <c r="N961" s="67"/>
    </row>
    <row r="962">
      <c r="C962" s="67"/>
      <c r="D962" s="67"/>
      <c r="E962" s="67"/>
      <c r="F962" s="67"/>
      <c r="G962" s="67"/>
      <c r="H962" s="67"/>
      <c r="I962" s="67"/>
      <c r="J962" s="67"/>
      <c r="K962" s="67"/>
      <c r="L962" s="67"/>
      <c r="M962" s="67"/>
      <c r="N962" s="67"/>
    </row>
    <row r="963">
      <c r="C963" s="67"/>
      <c r="D963" s="67"/>
      <c r="E963" s="67"/>
      <c r="F963" s="67"/>
      <c r="G963" s="67"/>
      <c r="H963" s="67"/>
      <c r="I963" s="67"/>
      <c r="J963" s="67"/>
      <c r="K963" s="67"/>
      <c r="L963" s="67"/>
      <c r="M963" s="67"/>
      <c r="N963" s="67"/>
    </row>
    <row r="964">
      <c r="C964" s="67"/>
      <c r="D964" s="67"/>
      <c r="E964" s="67"/>
      <c r="F964" s="67"/>
      <c r="G964" s="67"/>
      <c r="H964" s="67"/>
      <c r="I964" s="67"/>
      <c r="J964" s="67"/>
      <c r="K964" s="67"/>
      <c r="L964" s="67"/>
      <c r="M964" s="67"/>
      <c r="N964" s="67"/>
    </row>
    <row r="965">
      <c r="C965" s="67"/>
      <c r="D965" s="67"/>
      <c r="E965" s="67"/>
      <c r="F965" s="67"/>
      <c r="G965" s="67"/>
      <c r="H965" s="67"/>
      <c r="I965" s="67"/>
      <c r="J965" s="67"/>
      <c r="K965" s="67"/>
      <c r="L965" s="67"/>
      <c r="M965" s="67"/>
      <c r="N965" s="67"/>
    </row>
    <row r="966">
      <c r="C966" s="67"/>
      <c r="D966" s="67"/>
      <c r="E966" s="67"/>
      <c r="F966" s="67"/>
      <c r="G966" s="67"/>
      <c r="H966" s="67"/>
      <c r="I966" s="67"/>
      <c r="J966" s="67"/>
      <c r="K966" s="67"/>
      <c r="L966" s="67"/>
      <c r="M966" s="67"/>
      <c r="N966" s="67"/>
    </row>
    <row r="967">
      <c r="C967" s="67"/>
      <c r="D967" s="67"/>
      <c r="E967" s="67"/>
      <c r="F967" s="67"/>
      <c r="G967" s="67"/>
      <c r="H967" s="67"/>
      <c r="I967" s="67"/>
      <c r="J967" s="67"/>
      <c r="K967" s="67"/>
      <c r="L967" s="67"/>
      <c r="M967" s="67"/>
      <c r="N967" s="67"/>
    </row>
    <row r="968">
      <c r="C968" s="67"/>
      <c r="D968" s="67"/>
      <c r="E968" s="67"/>
      <c r="F968" s="67"/>
      <c r="G968" s="67"/>
      <c r="H968" s="67"/>
      <c r="I968" s="67"/>
      <c r="J968" s="67"/>
      <c r="K968" s="67"/>
      <c r="L968" s="67"/>
      <c r="M968" s="67"/>
      <c r="N968" s="67"/>
    </row>
    <row r="969">
      <c r="C969" s="67"/>
      <c r="D969" s="67"/>
      <c r="E969" s="67"/>
      <c r="F969" s="67"/>
      <c r="G969" s="67"/>
      <c r="H969" s="67"/>
      <c r="I969" s="67"/>
      <c r="J969" s="67"/>
      <c r="K969" s="67"/>
      <c r="L969" s="67"/>
      <c r="M969" s="67"/>
      <c r="N969" s="67"/>
    </row>
    <row r="970">
      <c r="C970" s="67"/>
      <c r="D970" s="67"/>
      <c r="E970" s="67"/>
      <c r="F970" s="67"/>
      <c r="G970" s="67"/>
      <c r="H970" s="67"/>
      <c r="I970" s="67"/>
      <c r="J970" s="67"/>
      <c r="K970" s="67"/>
      <c r="L970" s="67"/>
      <c r="M970" s="67"/>
      <c r="N970" s="67"/>
    </row>
    <row r="971">
      <c r="C971" s="67"/>
      <c r="D971" s="67"/>
      <c r="E971" s="67"/>
      <c r="F971" s="67"/>
      <c r="G971" s="67"/>
      <c r="H971" s="67"/>
      <c r="I971" s="67"/>
      <c r="J971" s="67"/>
      <c r="K971" s="67"/>
      <c r="L971" s="67"/>
      <c r="M971" s="67"/>
      <c r="N971" s="67"/>
    </row>
    <row r="972">
      <c r="C972" s="67"/>
      <c r="D972" s="67"/>
      <c r="E972" s="67"/>
      <c r="F972" s="67"/>
      <c r="G972" s="67"/>
      <c r="H972" s="67"/>
      <c r="I972" s="67"/>
      <c r="J972" s="67"/>
      <c r="K972" s="67"/>
      <c r="L972" s="67"/>
      <c r="M972" s="67"/>
      <c r="N972" s="67"/>
    </row>
    <row r="973">
      <c r="C973" s="67"/>
      <c r="D973" s="67"/>
      <c r="E973" s="67"/>
      <c r="F973" s="67"/>
      <c r="G973" s="67"/>
      <c r="H973" s="67"/>
      <c r="I973" s="67"/>
      <c r="J973" s="67"/>
      <c r="K973" s="67"/>
      <c r="L973" s="67"/>
      <c r="M973" s="67"/>
      <c r="N973" s="67"/>
    </row>
    <row r="974">
      <c r="C974" s="67"/>
      <c r="D974" s="67"/>
      <c r="E974" s="67"/>
      <c r="F974" s="67"/>
      <c r="G974" s="67"/>
      <c r="H974" s="67"/>
      <c r="I974" s="67"/>
      <c r="J974" s="67"/>
      <c r="K974" s="67"/>
      <c r="L974" s="67"/>
      <c r="M974" s="67"/>
      <c r="N974" s="67"/>
    </row>
    <row r="975">
      <c r="C975" s="67"/>
      <c r="D975" s="67"/>
      <c r="E975" s="67"/>
      <c r="F975" s="67"/>
      <c r="G975" s="67"/>
      <c r="H975" s="67"/>
      <c r="I975" s="67"/>
      <c r="J975" s="67"/>
      <c r="K975" s="67"/>
      <c r="L975" s="67"/>
      <c r="M975" s="67"/>
      <c r="N975" s="67"/>
    </row>
    <row r="976">
      <c r="C976" s="67"/>
      <c r="D976" s="67"/>
      <c r="E976" s="67"/>
      <c r="F976" s="67"/>
      <c r="G976" s="67"/>
      <c r="H976" s="67"/>
      <c r="I976" s="67"/>
      <c r="J976" s="67"/>
      <c r="K976" s="67"/>
      <c r="L976" s="67"/>
      <c r="M976" s="67"/>
      <c r="N976" s="67"/>
    </row>
    <row r="977">
      <c r="C977" s="67"/>
      <c r="D977" s="67"/>
      <c r="E977" s="67"/>
      <c r="F977" s="67"/>
      <c r="G977" s="67"/>
      <c r="H977" s="67"/>
      <c r="I977" s="67"/>
      <c r="J977" s="67"/>
      <c r="K977" s="67"/>
      <c r="L977" s="67"/>
      <c r="M977" s="67"/>
      <c r="N977" s="67"/>
    </row>
    <row r="978">
      <c r="C978" s="67"/>
      <c r="D978" s="67"/>
      <c r="E978" s="67"/>
      <c r="F978" s="67"/>
      <c r="G978" s="67"/>
      <c r="H978" s="67"/>
      <c r="I978" s="67"/>
      <c r="J978" s="67"/>
      <c r="K978" s="67"/>
      <c r="L978" s="67"/>
      <c r="M978" s="67"/>
      <c r="N978" s="67"/>
    </row>
    <row r="979">
      <c r="C979" s="67"/>
      <c r="D979" s="67"/>
      <c r="E979" s="67"/>
      <c r="F979" s="67"/>
      <c r="G979" s="67"/>
      <c r="H979" s="67"/>
      <c r="I979" s="67"/>
      <c r="J979" s="67"/>
      <c r="K979" s="67"/>
      <c r="L979" s="67"/>
      <c r="M979" s="67"/>
      <c r="N979" s="67"/>
    </row>
    <row r="980">
      <c r="C980" s="67"/>
      <c r="D980" s="67"/>
      <c r="E980" s="67"/>
      <c r="F980" s="67"/>
      <c r="G980" s="67"/>
      <c r="H980" s="67"/>
      <c r="I980" s="67"/>
      <c r="J980" s="67"/>
      <c r="K980" s="67"/>
      <c r="L980" s="67"/>
      <c r="M980" s="67"/>
      <c r="N980" s="67"/>
    </row>
    <row r="981">
      <c r="C981" s="67"/>
      <c r="D981" s="67"/>
      <c r="E981" s="67"/>
      <c r="F981" s="67"/>
      <c r="G981" s="67"/>
      <c r="H981" s="67"/>
      <c r="I981" s="67"/>
      <c r="J981" s="67"/>
      <c r="K981" s="67"/>
      <c r="L981" s="67"/>
      <c r="M981" s="67"/>
      <c r="N981" s="67"/>
    </row>
    <row r="982">
      <c r="C982" s="67"/>
      <c r="D982" s="67"/>
      <c r="E982" s="67"/>
      <c r="F982" s="67"/>
      <c r="G982" s="67"/>
      <c r="H982" s="67"/>
      <c r="I982" s="67"/>
      <c r="J982" s="67"/>
      <c r="K982" s="67"/>
      <c r="L982" s="67"/>
      <c r="M982" s="67"/>
      <c r="N982" s="67"/>
    </row>
    <row r="983">
      <c r="C983" s="67"/>
      <c r="D983" s="67"/>
      <c r="E983" s="67"/>
      <c r="F983" s="67"/>
      <c r="G983" s="67"/>
      <c r="H983" s="67"/>
      <c r="I983" s="67"/>
      <c r="J983" s="67"/>
      <c r="K983" s="67"/>
      <c r="L983" s="67"/>
      <c r="M983" s="67"/>
      <c r="N983" s="67"/>
    </row>
    <row r="984">
      <c r="C984" s="67"/>
      <c r="D984" s="67"/>
      <c r="E984" s="67"/>
      <c r="F984" s="67"/>
      <c r="G984" s="67"/>
      <c r="H984" s="67"/>
      <c r="I984" s="67"/>
      <c r="J984" s="67"/>
      <c r="K984" s="67"/>
      <c r="L984" s="67"/>
      <c r="M984" s="67"/>
      <c r="N984" s="67"/>
    </row>
    <row r="985">
      <c r="C985" s="67"/>
      <c r="D985" s="67"/>
      <c r="E985" s="67"/>
      <c r="F985" s="67"/>
      <c r="G985" s="67"/>
      <c r="H985" s="67"/>
      <c r="I985" s="67"/>
      <c r="J985" s="67"/>
      <c r="K985" s="67"/>
      <c r="L985" s="67"/>
      <c r="M985" s="67"/>
      <c r="N985" s="67"/>
    </row>
    <row r="986">
      <c r="C986" s="67"/>
      <c r="D986" s="67"/>
      <c r="E986" s="67"/>
      <c r="F986" s="67"/>
      <c r="G986" s="67"/>
      <c r="H986" s="67"/>
      <c r="I986" s="67"/>
      <c r="J986" s="67"/>
      <c r="K986" s="67"/>
      <c r="L986" s="67"/>
      <c r="M986" s="67"/>
      <c r="N986" s="67"/>
    </row>
    <row r="987">
      <c r="C987" s="67"/>
      <c r="D987" s="67"/>
      <c r="E987" s="67"/>
      <c r="F987" s="67"/>
      <c r="G987" s="67"/>
      <c r="H987" s="67"/>
      <c r="I987" s="67"/>
      <c r="J987" s="67"/>
      <c r="K987" s="67"/>
      <c r="L987" s="67"/>
      <c r="M987" s="67"/>
      <c r="N987" s="67"/>
    </row>
    <row r="988">
      <c r="C988" s="67"/>
      <c r="D988" s="67"/>
      <c r="E988" s="67"/>
      <c r="F988" s="67"/>
      <c r="G988" s="67"/>
      <c r="H988" s="67"/>
      <c r="I988" s="67"/>
      <c r="J988" s="67"/>
      <c r="K988" s="67"/>
      <c r="L988" s="67"/>
      <c r="M988" s="67"/>
      <c r="N988" s="67"/>
    </row>
    <row r="989">
      <c r="C989" s="67"/>
      <c r="D989" s="67"/>
      <c r="E989" s="67"/>
      <c r="F989" s="67"/>
      <c r="G989" s="67"/>
      <c r="H989" s="67"/>
      <c r="I989" s="67"/>
      <c r="J989" s="67"/>
      <c r="K989" s="67"/>
      <c r="L989" s="67"/>
      <c r="M989" s="67"/>
      <c r="N989" s="67"/>
    </row>
    <row r="990">
      <c r="C990" s="67"/>
      <c r="D990" s="67"/>
      <c r="E990" s="67"/>
      <c r="F990" s="67"/>
      <c r="G990" s="67"/>
      <c r="H990" s="67"/>
      <c r="I990" s="67"/>
      <c r="J990" s="67"/>
      <c r="K990" s="67"/>
      <c r="L990" s="67"/>
      <c r="M990" s="67"/>
      <c r="N990" s="67"/>
    </row>
    <row r="991">
      <c r="C991" s="67"/>
      <c r="D991" s="67"/>
      <c r="E991" s="67"/>
      <c r="F991" s="67"/>
      <c r="G991" s="67"/>
      <c r="H991" s="67"/>
      <c r="I991" s="67"/>
      <c r="J991" s="67"/>
      <c r="K991" s="67"/>
      <c r="L991" s="67"/>
      <c r="M991" s="67"/>
      <c r="N991" s="67"/>
    </row>
    <row r="992">
      <c r="C992" s="67"/>
      <c r="D992" s="67"/>
      <c r="E992" s="67"/>
      <c r="F992" s="67"/>
      <c r="G992" s="67"/>
      <c r="H992" s="67"/>
      <c r="I992" s="67"/>
      <c r="J992" s="67"/>
      <c r="K992" s="67"/>
      <c r="L992" s="67"/>
      <c r="M992" s="67"/>
      <c r="N992" s="67"/>
    </row>
    <row r="993">
      <c r="C993" s="67"/>
      <c r="D993" s="67"/>
      <c r="E993" s="67"/>
      <c r="F993" s="67"/>
      <c r="G993" s="67"/>
      <c r="H993" s="67"/>
      <c r="I993" s="67"/>
      <c r="J993" s="67"/>
      <c r="K993" s="67"/>
      <c r="L993" s="67"/>
      <c r="M993" s="67"/>
      <c r="N993" s="67"/>
    </row>
    <row r="994">
      <c r="C994" s="67"/>
      <c r="D994" s="67"/>
      <c r="E994" s="67"/>
      <c r="F994" s="67"/>
      <c r="G994" s="67"/>
      <c r="H994" s="67"/>
      <c r="I994" s="67"/>
      <c r="J994" s="67"/>
      <c r="K994" s="67"/>
      <c r="L994" s="67"/>
      <c r="M994" s="67"/>
      <c r="N994" s="67"/>
    </row>
    <row r="995">
      <c r="C995" s="67"/>
      <c r="D995" s="67"/>
      <c r="E995" s="67"/>
      <c r="F995" s="67"/>
      <c r="G995" s="67"/>
      <c r="H995" s="67"/>
      <c r="I995" s="67"/>
      <c r="J995" s="67"/>
      <c r="K995" s="67"/>
      <c r="L995" s="67"/>
      <c r="M995" s="67"/>
      <c r="N995" s="67"/>
    </row>
    <row r="996">
      <c r="C996" s="67"/>
      <c r="D996" s="67"/>
      <c r="E996" s="67"/>
      <c r="F996" s="67"/>
      <c r="G996" s="67"/>
      <c r="H996" s="67"/>
      <c r="I996" s="67"/>
      <c r="J996" s="67"/>
      <c r="K996" s="67"/>
      <c r="L996" s="67"/>
      <c r="M996" s="67"/>
      <c r="N996" s="67"/>
    </row>
    <row r="997">
      <c r="C997" s="67"/>
      <c r="D997" s="67"/>
      <c r="E997" s="67"/>
      <c r="F997" s="67"/>
      <c r="G997" s="67"/>
      <c r="H997" s="67"/>
      <c r="I997" s="67"/>
      <c r="J997" s="67"/>
      <c r="K997" s="67"/>
      <c r="L997" s="67"/>
      <c r="M997" s="67"/>
      <c r="N997" s="67"/>
    </row>
    <row r="998">
      <c r="C998" s="67"/>
      <c r="D998" s="67"/>
      <c r="E998" s="67"/>
      <c r="F998" s="67"/>
      <c r="G998" s="67"/>
      <c r="H998" s="67"/>
      <c r="I998" s="67"/>
      <c r="J998" s="67"/>
      <c r="K998" s="67"/>
      <c r="L998" s="67"/>
      <c r="M998" s="67"/>
      <c r="N998" s="67"/>
    </row>
    <row r="999">
      <c r="C999" s="67"/>
      <c r="D999" s="67"/>
      <c r="E999" s="67"/>
      <c r="F999" s="67"/>
      <c r="G999" s="67"/>
      <c r="H999" s="67"/>
      <c r="I999" s="67"/>
      <c r="J999" s="67"/>
      <c r="K999" s="67"/>
      <c r="L999" s="67"/>
      <c r="M999" s="67"/>
      <c r="N999" s="67"/>
    </row>
    <row r="1000">
      <c r="C1000" s="67"/>
      <c r="D1000" s="67"/>
      <c r="E1000" s="67"/>
      <c r="F1000" s="67"/>
      <c r="G1000" s="67"/>
      <c r="H1000" s="67"/>
      <c r="I1000" s="67"/>
      <c r="J1000" s="67"/>
      <c r="K1000" s="67"/>
      <c r="L1000" s="67"/>
      <c r="M1000" s="67"/>
      <c r="N1000" s="67"/>
    </row>
    <row r="1001">
      <c r="C1001" s="67"/>
      <c r="D1001" s="67"/>
      <c r="E1001" s="67"/>
      <c r="F1001" s="67"/>
      <c r="G1001" s="67"/>
      <c r="H1001" s="67"/>
      <c r="I1001" s="67"/>
      <c r="J1001" s="67"/>
      <c r="K1001" s="67"/>
      <c r="L1001" s="67"/>
      <c r="M1001" s="67"/>
      <c r="N1001" s="67"/>
    </row>
    <row r="1002">
      <c r="C1002" s="67"/>
      <c r="D1002" s="67"/>
      <c r="E1002" s="67"/>
      <c r="F1002" s="67"/>
      <c r="G1002" s="67"/>
      <c r="H1002" s="67"/>
      <c r="I1002" s="67"/>
      <c r="J1002" s="67"/>
      <c r="K1002" s="67"/>
      <c r="L1002" s="67"/>
      <c r="M1002" s="67"/>
      <c r="N1002" s="67"/>
    </row>
    <row r="1003">
      <c r="C1003" s="67"/>
      <c r="D1003" s="67"/>
      <c r="E1003" s="67"/>
      <c r="F1003" s="67"/>
      <c r="G1003" s="67"/>
      <c r="H1003" s="67"/>
      <c r="I1003" s="67"/>
      <c r="J1003" s="67"/>
      <c r="K1003" s="67"/>
      <c r="L1003" s="67"/>
      <c r="M1003" s="67"/>
      <c r="N1003" s="67"/>
    </row>
    <row r="1004">
      <c r="C1004" s="67"/>
      <c r="D1004" s="67"/>
      <c r="E1004" s="67"/>
      <c r="F1004" s="67"/>
      <c r="G1004" s="67"/>
      <c r="H1004" s="67"/>
      <c r="I1004" s="67"/>
      <c r="J1004" s="67"/>
      <c r="K1004" s="67"/>
      <c r="L1004" s="67"/>
      <c r="M1004" s="67"/>
      <c r="N1004" s="67"/>
    </row>
    <row r="1005">
      <c r="C1005" s="67"/>
      <c r="D1005" s="67"/>
      <c r="E1005" s="67"/>
      <c r="F1005" s="67"/>
      <c r="G1005" s="67"/>
      <c r="H1005" s="67"/>
      <c r="I1005" s="67"/>
      <c r="J1005" s="67"/>
      <c r="K1005" s="67"/>
      <c r="L1005" s="67"/>
      <c r="M1005" s="67"/>
      <c r="N1005" s="67"/>
    </row>
    <row r="1006">
      <c r="C1006" s="67"/>
      <c r="D1006" s="67"/>
      <c r="E1006" s="67"/>
      <c r="F1006" s="67"/>
      <c r="G1006" s="67"/>
      <c r="H1006" s="67"/>
      <c r="I1006" s="67"/>
      <c r="J1006" s="67"/>
      <c r="K1006" s="67"/>
      <c r="L1006" s="67"/>
      <c r="M1006" s="67"/>
      <c r="N1006" s="67"/>
    </row>
    <row r="1007">
      <c r="C1007" s="67"/>
      <c r="D1007" s="67"/>
      <c r="E1007" s="67"/>
      <c r="F1007" s="67"/>
      <c r="G1007" s="67"/>
      <c r="H1007" s="67"/>
      <c r="I1007" s="67"/>
      <c r="J1007" s="67"/>
      <c r="K1007" s="67"/>
      <c r="L1007" s="67"/>
      <c r="M1007" s="67"/>
      <c r="N1007" s="67"/>
    </row>
    <row r="1008">
      <c r="C1008" s="67"/>
      <c r="D1008" s="67"/>
      <c r="E1008" s="67"/>
      <c r="F1008" s="67"/>
      <c r="G1008" s="67"/>
      <c r="H1008" s="67"/>
      <c r="I1008" s="67"/>
      <c r="J1008" s="67"/>
      <c r="K1008" s="67"/>
      <c r="L1008" s="67"/>
      <c r="M1008" s="67"/>
      <c r="N1008" s="67"/>
    </row>
    <row r="1009">
      <c r="C1009" s="67"/>
      <c r="D1009" s="67"/>
      <c r="E1009" s="67"/>
      <c r="F1009" s="67"/>
      <c r="G1009" s="67"/>
      <c r="H1009" s="67"/>
      <c r="I1009" s="67"/>
      <c r="J1009" s="67"/>
      <c r="K1009" s="67"/>
      <c r="L1009" s="67"/>
      <c r="M1009" s="67"/>
      <c r="N1009" s="67"/>
    </row>
    <row r="1010">
      <c r="C1010" s="67"/>
      <c r="D1010" s="67"/>
      <c r="E1010" s="67"/>
      <c r="F1010" s="67"/>
      <c r="G1010" s="67"/>
      <c r="H1010" s="67"/>
      <c r="I1010" s="67"/>
      <c r="J1010" s="67"/>
      <c r="K1010" s="67"/>
      <c r="L1010" s="67"/>
      <c r="M1010" s="67"/>
      <c r="N1010" s="67"/>
    </row>
    <row r="1011">
      <c r="C1011" s="67"/>
      <c r="D1011" s="67"/>
      <c r="E1011" s="67"/>
      <c r="F1011" s="67"/>
      <c r="G1011" s="67"/>
      <c r="H1011" s="67"/>
      <c r="I1011" s="67"/>
      <c r="J1011" s="67"/>
      <c r="K1011" s="67"/>
      <c r="L1011" s="67"/>
      <c r="M1011" s="67"/>
      <c r="N1011" s="67"/>
    </row>
    <row r="1012">
      <c r="C1012" s="67"/>
      <c r="D1012" s="67"/>
      <c r="E1012" s="67"/>
      <c r="F1012" s="67"/>
      <c r="G1012" s="67"/>
      <c r="H1012" s="67"/>
      <c r="I1012" s="67"/>
      <c r="J1012" s="67"/>
      <c r="K1012" s="67"/>
      <c r="L1012" s="67"/>
      <c r="M1012" s="67"/>
      <c r="N1012" s="67"/>
    </row>
    <row r="1013">
      <c r="C1013" s="67"/>
      <c r="D1013" s="67"/>
      <c r="E1013" s="67"/>
      <c r="F1013" s="67"/>
      <c r="G1013" s="67"/>
      <c r="H1013" s="67"/>
      <c r="I1013" s="67"/>
      <c r="J1013" s="67"/>
      <c r="K1013" s="67"/>
      <c r="L1013" s="67"/>
      <c r="M1013" s="67"/>
      <c r="N1013" s="67"/>
    </row>
    <row r="1014">
      <c r="C1014" s="67"/>
      <c r="D1014" s="67"/>
      <c r="E1014" s="67"/>
      <c r="F1014" s="67"/>
      <c r="G1014" s="67"/>
      <c r="H1014" s="67"/>
      <c r="I1014" s="67"/>
      <c r="J1014" s="67"/>
      <c r="K1014" s="67"/>
      <c r="L1014" s="67"/>
      <c r="M1014" s="67"/>
      <c r="N1014" s="67"/>
    </row>
  </sheetData>
  <mergeCells count="42">
    <mergeCell ref="A1:C1"/>
    <mergeCell ref="A3:A6"/>
    <mergeCell ref="B3:B4"/>
    <mergeCell ref="B5:B6"/>
    <mergeCell ref="A7:A10"/>
    <mergeCell ref="B7:B8"/>
    <mergeCell ref="A11:A14"/>
    <mergeCell ref="B13:B14"/>
    <mergeCell ref="B23:B24"/>
    <mergeCell ref="B25:B26"/>
    <mergeCell ref="B27:B28"/>
    <mergeCell ref="B29:B30"/>
    <mergeCell ref="A15:A32"/>
    <mergeCell ref="A33:A42"/>
    <mergeCell ref="A43:A48"/>
    <mergeCell ref="A49:A54"/>
    <mergeCell ref="A55:A69"/>
    <mergeCell ref="B9:B10"/>
    <mergeCell ref="B11:B12"/>
    <mergeCell ref="B15:B16"/>
    <mergeCell ref="B17:B18"/>
    <mergeCell ref="B19:B20"/>
    <mergeCell ref="B21:B22"/>
    <mergeCell ref="B31:B32"/>
    <mergeCell ref="B33:B34"/>
    <mergeCell ref="B35:B36"/>
    <mergeCell ref="B37:B38"/>
    <mergeCell ref="B39:B40"/>
    <mergeCell ref="B41:B42"/>
    <mergeCell ref="B43:B44"/>
    <mergeCell ref="B45:B46"/>
    <mergeCell ref="B63:B64"/>
    <mergeCell ref="B65:B66"/>
    <mergeCell ref="B67:B68"/>
    <mergeCell ref="B72:B73"/>
    <mergeCell ref="B47:B48"/>
    <mergeCell ref="B49:B50"/>
    <mergeCell ref="B51:B52"/>
    <mergeCell ref="B55:B56"/>
    <mergeCell ref="B57:B58"/>
    <mergeCell ref="B59:B60"/>
    <mergeCell ref="B61:B6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7.5"/>
  </cols>
  <sheetData>
    <row r="1">
      <c r="A1" s="101" t="s">
        <v>51</v>
      </c>
      <c r="B1" s="102" t="s">
        <v>52</v>
      </c>
      <c r="C1" s="102" t="s">
        <v>53</v>
      </c>
      <c r="D1" s="103" t="s">
        <v>54</v>
      </c>
      <c r="E1" s="103" t="s">
        <v>55</v>
      </c>
      <c r="F1" s="103" t="s">
        <v>56</v>
      </c>
      <c r="G1" s="104" t="s">
        <v>57</v>
      </c>
      <c r="H1" s="103" t="s">
        <v>58</v>
      </c>
      <c r="I1" s="103" t="s">
        <v>59</v>
      </c>
      <c r="J1" s="103" t="s">
        <v>60</v>
      </c>
      <c r="K1" s="103" t="s">
        <v>61</v>
      </c>
      <c r="L1" s="103" t="s">
        <v>62</v>
      </c>
      <c r="M1" s="103" t="s">
        <v>63</v>
      </c>
      <c r="N1" s="9"/>
      <c r="O1" s="9"/>
      <c r="P1" s="9"/>
      <c r="Q1" s="9"/>
      <c r="R1" s="9"/>
      <c r="S1" s="9"/>
      <c r="T1" s="9"/>
      <c r="U1" s="9"/>
      <c r="V1" s="9"/>
      <c r="W1" s="9"/>
      <c r="X1" s="9"/>
      <c r="Y1" s="9"/>
      <c r="Z1" s="9"/>
    </row>
    <row r="2" ht="66.75" customHeight="1">
      <c r="A2" s="105" t="s">
        <v>903</v>
      </c>
      <c r="B2" s="106" t="s">
        <v>904</v>
      </c>
      <c r="C2" s="107" t="s">
        <v>905</v>
      </c>
      <c r="D2" s="105" t="s">
        <v>906</v>
      </c>
      <c r="E2" s="105" t="s">
        <v>907</v>
      </c>
      <c r="F2" s="105" t="s">
        <v>908</v>
      </c>
      <c r="G2" s="105" t="s">
        <v>909</v>
      </c>
      <c r="H2" s="105" t="s">
        <v>910</v>
      </c>
      <c r="I2" s="105" t="s">
        <v>911</v>
      </c>
      <c r="J2" s="105" t="s">
        <v>912</v>
      </c>
      <c r="K2" s="105" t="s">
        <v>913</v>
      </c>
      <c r="L2" s="105" t="s">
        <v>914</v>
      </c>
      <c r="M2" s="105" t="s">
        <v>915</v>
      </c>
      <c r="N2" s="108"/>
      <c r="O2" s="108"/>
      <c r="P2" s="108"/>
      <c r="Q2" s="108"/>
      <c r="R2" s="108"/>
      <c r="S2" s="108"/>
      <c r="T2" s="108"/>
      <c r="U2" s="108"/>
      <c r="V2" s="108"/>
      <c r="W2" s="108"/>
      <c r="X2" s="108"/>
      <c r="Y2" s="108"/>
      <c r="Z2" s="108"/>
    </row>
    <row r="3">
      <c r="A3" s="105" t="s">
        <v>916</v>
      </c>
      <c r="B3" s="68" t="s">
        <v>917</v>
      </c>
      <c r="C3" s="107" t="s">
        <v>918</v>
      </c>
      <c r="D3" s="105" t="s">
        <v>919</v>
      </c>
      <c r="E3" s="105" t="s">
        <v>920</v>
      </c>
      <c r="F3" s="105" t="s">
        <v>921</v>
      </c>
      <c r="G3" s="105" t="s">
        <v>922</v>
      </c>
      <c r="H3" s="105" t="s">
        <v>923</v>
      </c>
      <c r="I3" s="105" t="s">
        <v>924</v>
      </c>
      <c r="J3" s="105" t="s">
        <v>925</v>
      </c>
      <c r="K3" s="105" t="s">
        <v>926</v>
      </c>
      <c r="L3" s="105" t="s">
        <v>927</v>
      </c>
      <c r="M3" s="105" t="s">
        <v>928</v>
      </c>
      <c r="N3" s="108"/>
      <c r="O3" s="108"/>
      <c r="P3" s="108"/>
      <c r="Q3" s="108"/>
      <c r="R3" s="108"/>
      <c r="S3" s="108"/>
      <c r="T3" s="108"/>
      <c r="U3" s="108"/>
      <c r="V3" s="108"/>
      <c r="W3" s="108"/>
      <c r="X3" s="108"/>
      <c r="Y3" s="108"/>
      <c r="Z3" s="108"/>
    </row>
    <row r="4">
      <c r="A4" s="105" t="s">
        <v>916</v>
      </c>
      <c r="B4" s="68" t="s">
        <v>929</v>
      </c>
      <c r="C4" s="105" t="s">
        <v>930</v>
      </c>
      <c r="D4" s="105" t="s">
        <v>931</v>
      </c>
      <c r="E4" s="105" t="s">
        <v>932</v>
      </c>
      <c r="F4" s="105" t="s">
        <v>933</v>
      </c>
      <c r="G4" s="105" t="s">
        <v>934</v>
      </c>
      <c r="H4" s="105" t="s">
        <v>935</v>
      </c>
      <c r="I4" s="105" t="s">
        <v>936</v>
      </c>
      <c r="J4" s="105" t="s">
        <v>937</v>
      </c>
      <c r="K4" s="105" t="s">
        <v>938</v>
      </c>
      <c r="L4" s="105" t="s">
        <v>939</v>
      </c>
      <c r="M4" s="105" t="s">
        <v>940</v>
      </c>
      <c r="N4" s="108"/>
      <c r="O4" s="108"/>
      <c r="P4" s="108"/>
      <c r="Q4" s="108"/>
      <c r="R4" s="108"/>
      <c r="S4" s="108"/>
      <c r="T4" s="108"/>
      <c r="U4" s="108"/>
      <c r="V4" s="108"/>
      <c r="W4" s="108"/>
      <c r="X4" s="108"/>
      <c r="Y4" s="108"/>
      <c r="Z4" s="108"/>
    </row>
    <row r="5">
      <c r="A5" s="105" t="s">
        <v>916</v>
      </c>
      <c r="B5" s="68" t="s">
        <v>941</v>
      </c>
      <c r="C5" s="105" t="s">
        <v>942</v>
      </c>
      <c r="D5" s="105" t="s">
        <v>943</v>
      </c>
      <c r="E5" s="105" t="s">
        <v>944</v>
      </c>
      <c r="F5" s="105" t="s">
        <v>945</v>
      </c>
      <c r="G5" s="105" t="s">
        <v>946</v>
      </c>
      <c r="H5" s="105" t="s">
        <v>947</v>
      </c>
      <c r="I5" s="105" t="s">
        <v>948</v>
      </c>
      <c r="J5" s="105" t="s">
        <v>949</v>
      </c>
      <c r="K5" s="105" t="s">
        <v>950</v>
      </c>
      <c r="L5" s="105" t="s">
        <v>951</v>
      </c>
      <c r="M5" s="105" t="s">
        <v>952</v>
      </c>
      <c r="N5" s="108"/>
      <c r="O5" s="108"/>
      <c r="P5" s="108"/>
      <c r="Q5" s="108"/>
      <c r="R5" s="108"/>
      <c r="S5" s="108"/>
      <c r="T5" s="108"/>
      <c r="U5" s="108"/>
      <c r="V5" s="108"/>
      <c r="W5" s="108"/>
      <c r="X5" s="108"/>
      <c r="Y5" s="108"/>
      <c r="Z5" s="108"/>
    </row>
    <row r="6">
      <c r="A6" s="105" t="s">
        <v>953</v>
      </c>
      <c r="B6" s="68" t="s">
        <v>954</v>
      </c>
      <c r="C6" s="105" t="s">
        <v>955</v>
      </c>
      <c r="D6" s="108"/>
      <c r="E6" s="108"/>
      <c r="F6" s="108"/>
      <c r="G6" s="105" t="s">
        <v>956</v>
      </c>
      <c r="H6" s="108"/>
      <c r="I6" s="108"/>
      <c r="J6" s="108"/>
      <c r="K6" s="108"/>
      <c r="L6" s="108"/>
      <c r="M6" s="108"/>
      <c r="N6" s="108"/>
      <c r="O6" s="108"/>
      <c r="P6" s="108"/>
      <c r="Q6" s="108"/>
      <c r="R6" s="108"/>
      <c r="S6" s="108"/>
      <c r="T6" s="108"/>
      <c r="U6" s="108"/>
      <c r="V6" s="108"/>
      <c r="W6" s="108"/>
      <c r="X6" s="108"/>
      <c r="Y6" s="108"/>
      <c r="Z6" s="10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2" max="2" width="18.13"/>
    <col customWidth="1" min="3" max="3" width="16.0"/>
    <col customWidth="1" min="4" max="4" width="15.38"/>
    <col customWidth="1" min="5" max="5" width="53.38"/>
  </cols>
  <sheetData>
    <row r="1">
      <c r="A1" s="109" t="s">
        <v>957</v>
      </c>
      <c r="B1" s="110"/>
      <c r="C1" s="110"/>
      <c r="D1" s="110"/>
      <c r="E1" s="111"/>
    </row>
    <row r="2">
      <c r="A2" s="112" t="s">
        <v>958</v>
      </c>
      <c r="B2" s="113"/>
      <c r="C2" s="113"/>
      <c r="D2" s="113"/>
      <c r="E2" s="114"/>
    </row>
    <row r="3">
      <c r="A3" s="115"/>
      <c r="E3" s="116"/>
    </row>
    <row r="4">
      <c r="A4" s="115"/>
      <c r="E4" s="116"/>
    </row>
    <row r="5">
      <c r="A5" s="117"/>
      <c r="B5" s="118"/>
      <c r="C5" s="118"/>
      <c r="D5" s="118"/>
      <c r="E5" s="119"/>
    </row>
    <row r="6">
      <c r="A6" s="120" t="s">
        <v>959</v>
      </c>
      <c r="B6" s="120" t="s">
        <v>960</v>
      </c>
      <c r="C6" s="121" t="s">
        <v>961</v>
      </c>
      <c r="D6" s="122"/>
      <c r="E6" s="123"/>
      <c r="G6" s="124"/>
      <c r="H6" s="124"/>
    </row>
    <row r="7">
      <c r="A7" s="125" t="s">
        <v>962</v>
      </c>
      <c r="B7" s="126" t="s">
        <v>963</v>
      </c>
      <c r="C7" s="127" t="s">
        <v>964</v>
      </c>
      <c r="D7" s="122"/>
      <c r="E7" s="123"/>
      <c r="G7" s="124"/>
      <c r="H7" s="124"/>
    </row>
    <row r="8">
      <c r="A8" s="128"/>
      <c r="B8" s="129" t="s">
        <v>965</v>
      </c>
      <c r="C8" s="127" t="s">
        <v>966</v>
      </c>
      <c r="D8" s="122"/>
      <c r="E8" s="123"/>
      <c r="G8" s="124"/>
      <c r="H8" s="124"/>
    </row>
    <row r="9">
      <c r="A9" s="130" t="s">
        <v>4</v>
      </c>
      <c r="B9" s="131" t="s">
        <v>4</v>
      </c>
      <c r="C9" s="132" t="s">
        <v>967</v>
      </c>
      <c r="D9" s="118"/>
      <c r="E9" s="119"/>
    </row>
    <row r="10">
      <c r="A10" s="125" t="s">
        <v>968</v>
      </c>
      <c r="B10" s="131" t="s">
        <v>969</v>
      </c>
      <c r="C10" s="132" t="s">
        <v>970</v>
      </c>
      <c r="D10" s="118"/>
      <c r="E10" s="119"/>
    </row>
    <row r="11">
      <c r="A11" s="133"/>
      <c r="B11" s="131" t="s">
        <v>971</v>
      </c>
      <c r="C11" s="132" t="s">
        <v>972</v>
      </c>
      <c r="D11" s="118"/>
      <c r="E11" s="119"/>
    </row>
    <row r="12">
      <c r="A12" s="133"/>
      <c r="B12" s="131" t="s">
        <v>973</v>
      </c>
      <c r="C12" s="132" t="s">
        <v>974</v>
      </c>
      <c r="D12" s="118"/>
      <c r="E12" s="119"/>
    </row>
    <row r="13">
      <c r="A13" s="128"/>
      <c r="B13" s="131" t="s">
        <v>975</v>
      </c>
      <c r="C13" s="132" t="s">
        <v>976</v>
      </c>
      <c r="D13" s="118"/>
      <c r="E13" s="119"/>
    </row>
    <row r="14">
      <c r="A14" s="125" t="s">
        <v>977</v>
      </c>
      <c r="B14" s="134" t="s">
        <v>978</v>
      </c>
      <c r="C14" s="135" t="s">
        <v>979</v>
      </c>
      <c r="E14" s="116"/>
    </row>
    <row r="15">
      <c r="A15" s="133"/>
      <c r="B15" s="119"/>
      <c r="C15" s="117"/>
      <c r="D15" s="118"/>
      <c r="E15" s="119"/>
    </row>
    <row r="16">
      <c r="A16" s="128"/>
      <c r="B16" s="131" t="s">
        <v>980</v>
      </c>
      <c r="C16" s="132" t="s">
        <v>981</v>
      </c>
      <c r="D16" s="118"/>
      <c r="E16" s="119"/>
    </row>
    <row r="17">
      <c r="A17" s="136" t="s">
        <v>982</v>
      </c>
      <c r="B17" s="137" t="s">
        <v>983</v>
      </c>
      <c r="C17" s="138"/>
    </row>
    <row r="18">
      <c r="A18" s="139" t="s">
        <v>984</v>
      </c>
      <c r="B18" s="110"/>
      <c r="C18" s="110"/>
      <c r="D18" s="110"/>
      <c r="E18" s="111"/>
      <c r="G18" s="14" t="s">
        <v>985</v>
      </c>
    </row>
    <row r="19">
      <c r="A19" s="140" t="s">
        <v>986</v>
      </c>
      <c r="B19" s="113"/>
      <c r="C19" s="113"/>
      <c r="D19" s="113"/>
      <c r="E19" s="114"/>
      <c r="G19" s="14" t="s">
        <v>987</v>
      </c>
    </row>
    <row r="20" ht="48.0" customHeight="1">
      <c r="A20" s="117"/>
      <c r="B20" s="118"/>
      <c r="C20" s="118"/>
      <c r="D20" s="118"/>
      <c r="E20" s="119"/>
      <c r="G20" s="14" t="s">
        <v>988</v>
      </c>
    </row>
    <row r="21">
      <c r="A21" s="120" t="s">
        <v>959</v>
      </c>
      <c r="B21" s="120" t="s">
        <v>960</v>
      </c>
      <c r="C21" s="121" t="s">
        <v>961</v>
      </c>
      <c r="D21" s="122"/>
      <c r="E21" s="123"/>
    </row>
    <row r="22">
      <c r="A22" s="125" t="s">
        <v>968</v>
      </c>
      <c r="B22" s="131" t="s">
        <v>969</v>
      </c>
      <c r="C22" s="132" t="s">
        <v>989</v>
      </c>
      <c r="D22" s="118"/>
      <c r="E22" s="119"/>
      <c r="L22" s="14"/>
    </row>
    <row r="23">
      <c r="A23" s="133"/>
      <c r="B23" s="131" t="s">
        <v>971</v>
      </c>
      <c r="C23" s="132" t="s">
        <v>990</v>
      </c>
      <c r="D23" s="118"/>
      <c r="E23" s="119"/>
    </row>
    <row r="24">
      <c r="A24" s="133"/>
      <c r="B24" s="131" t="s">
        <v>973</v>
      </c>
      <c r="C24" s="132" t="s">
        <v>991</v>
      </c>
      <c r="D24" s="118"/>
      <c r="E24" s="119"/>
    </row>
    <row r="25">
      <c r="A25" s="128"/>
      <c r="B25" s="131" t="s">
        <v>975</v>
      </c>
      <c r="C25" s="132" t="s">
        <v>992</v>
      </c>
      <c r="D25" s="118"/>
      <c r="E25" s="119"/>
      <c r="J25" s="14" t="s">
        <v>993</v>
      </c>
    </row>
    <row r="26">
      <c r="A26" s="141"/>
      <c r="B26" s="141"/>
      <c r="C26" s="142"/>
      <c r="D26" s="142"/>
      <c r="E26" s="142"/>
    </row>
    <row r="27">
      <c r="A27" s="139" t="s">
        <v>994</v>
      </c>
      <c r="B27" s="110"/>
      <c r="C27" s="110"/>
      <c r="D27" s="110"/>
      <c r="E27" s="111"/>
    </row>
    <row r="28">
      <c r="A28" s="120" t="s">
        <v>959</v>
      </c>
      <c r="B28" s="120" t="s">
        <v>960</v>
      </c>
      <c r="C28" s="121" t="s">
        <v>961</v>
      </c>
      <c r="D28" s="122"/>
      <c r="E28" s="123"/>
    </row>
    <row r="29">
      <c r="A29" s="125" t="s">
        <v>994</v>
      </c>
      <c r="B29" s="143" t="s">
        <v>995</v>
      </c>
      <c r="C29" s="144" t="s">
        <v>996</v>
      </c>
      <c r="D29" s="122"/>
      <c r="E29" s="123"/>
    </row>
    <row r="30">
      <c r="A30" s="128"/>
      <c r="B30" s="143" t="s">
        <v>997</v>
      </c>
      <c r="C30" s="144" t="s">
        <v>996</v>
      </c>
      <c r="D30" s="122"/>
      <c r="E30" s="123"/>
    </row>
    <row r="31">
      <c r="A31" s="141"/>
      <c r="B31" s="141"/>
      <c r="C31" s="142"/>
      <c r="D31" s="142"/>
      <c r="E31" s="142"/>
    </row>
    <row r="32">
      <c r="A32" s="139" t="s">
        <v>998</v>
      </c>
      <c r="B32" s="110"/>
      <c r="C32" s="110"/>
      <c r="D32" s="110"/>
      <c r="E32" s="111"/>
    </row>
    <row r="33">
      <c r="A33" s="120" t="s">
        <v>959</v>
      </c>
      <c r="B33" s="120" t="s">
        <v>960</v>
      </c>
      <c r="C33" s="121" t="s">
        <v>999</v>
      </c>
      <c r="D33" s="122"/>
      <c r="E33" s="123"/>
    </row>
    <row r="34">
      <c r="A34" s="143" t="s">
        <v>1000</v>
      </c>
      <c r="B34" s="143" t="s">
        <v>1001</v>
      </c>
      <c r="C34" s="144" t="s">
        <v>996</v>
      </c>
      <c r="D34" s="122"/>
      <c r="E34" s="123"/>
    </row>
    <row r="35">
      <c r="A35" s="141"/>
      <c r="B35" s="141"/>
      <c r="C35" s="142"/>
      <c r="D35" s="142"/>
      <c r="E35" s="142"/>
    </row>
    <row r="36">
      <c r="A36" s="141"/>
      <c r="B36" s="141"/>
      <c r="C36" s="142"/>
      <c r="D36" s="142"/>
      <c r="E36" s="142"/>
    </row>
    <row r="37">
      <c r="A37" s="141"/>
      <c r="B37" s="141"/>
      <c r="C37" s="142"/>
      <c r="D37" s="142"/>
      <c r="E37" s="142"/>
    </row>
  </sheetData>
  <mergeCells count="32">
    <mergeCell ref="C9:E9"/>
    <mergeCell ref="C10:E10"/>
    <mergeCell ref="A10:A13"/>
    <mergeCell ref="A14:A16"/>
    <mergeCell ref="B14:B15"/>
    <mergeCell ref="A22:A25"/>
    <mergeCell ref="A1:E1"/>
    <mergeCell ref="A2:E5"/>
    <mergeCell ref="C6:E6"/>
    <mergeCell ref="A7:A8"/>
    <mergeCell ref="C7:E7"/>
    <mergeCell ref="C8:E8"/>
    <mergeCell ref="C13:E13"/>
    <mergeCell ref="C11:E11"/>
    <mergeCell ref="C12:E12"/>
    <mergeCell ref="C14:E15"/>
    <mergeCell ref="C16:E16"/>
    <mergeCell ref="A18:E18"/>
    <mergeCell ref="A19:E20"/>
    <mergeCell ref="C21:E21"/>
    <mergeCell ref="C29:E29"/>
    <mergeCell ref="C30:E30"/>
    <mergeCell ref="A32:E32"/>
    <mergeCell ref="C33:E33"/>
    <mergeCell ref="C34:E34"/>
    <mergeCell ref="C22:E22"/>
    <mergeCell ref="C23:E23"/>
    <mergeCell ref="C24:E24"/>
    <mergeCell ref="C25:E25"/>
    <mergeCell ref="A27:E27"/>
    <mergeCell ref="C28:E28"/>
    <mergeCell ref="A29:A30"/>
  </mergeCells>
  <hyperlinks>
    <hyperlink r:id="rId1" ref="B17"/>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2" max="2" width="35.5"/>
    <col customWidth="1" min="3" max="3" width="54.13"/>
    <col customWidth="1" min="4" max="4" width="39.5"/>
    <col customWidth="1" min="5" max="5" width="31.38"/>
    <col customWidth="1" min="6" max="6" width="37.38"/>
    <col customWidth="1" min="7" max="11" width="36.38"/>
  </cols>
  <sheetData>
    <row r="1">
      <c r="A1" s="145" t="str">
        <f>IFERROR(__xludf.DUMMYFUNCTION("IMPORTRANGE(""https://docs.google.com/spreadsheets/d/1hnDXdyVS4aonZPp7X5xvrh_3tDY3h-VQ3eDvhBz5-ws/edit#gid=1347130232"",""汇总-长what's new!A1:z100"")"),"")</f>
        <v/>
      </c>
      <c r="B1" s="145" t="str">
        <f>IFERROR(__xludf.DUMMYFUNCTION("""COMPUTED_VALUE"""),"CN")</f>
        <v>CN</v>
      </c>
      <c r="C1" s="145" t="str">
        <f>IFERROR(__xludf.DUMMYFUNCTION("""COMPUTED_VALUE"""),"EN")</f>
        <v>EN</v>
      </c>
      <c r="D1" s="145" t="str">
        <f>IFERROR(__xludf.DUMMYFUNCTION("""COMPUTED_VALUE"""),"FR")</f>
        <v>FR</v>
      </c>
      <c r="E1" s="145" t="str">
        <f>IFERROR(__xludf.DUMMYFUNCTION("""COMPUTED_VALUE"""),"DE")</f>
        <v>DE</v>
      </c>
      <c r="F1" s="145" t="str">
        <f>IFERROR(__xludf.DUMMYFUNCTION("""COMPUTED_VALUE"""),"PO")</f>
        <v>PO</v>
      </c>
      <c r="G1" s="146" t="str">
        <f>IFERROR(__xludf.DUMMYFUNCTION("""COMPUTED_VALUE"""),"ZH")</f>
        <v>ZH</v>
      </c>
      <c r="H1" s="146" t="str">
        <f>IFERROR(__xludf.DUMMYFUNCTION("""COMPUTED_VALUE"""),"ID")</f>
        <v>ID</v>
      </c>
      <c r="I1" s="146" t="str">
        <f>IFERROR(__xludf.DUMMYFUNCTION("""COMPUTED_VALUE"""),"TH")</f>
        <v>TH</v>
      </c>
      <c r="J1" s="146" t="str">
        <f>IFERROR(__xludf.DUMMYFUNCTION("""COMPUTED_VALUE"""),"SP")</f>
        <v>SP</v>
      </c>
      <c r="K1" s="146" t="str">
        <f>IFERROR(__xludf.DUMMYFUNCTION("""COMPUTED_VALUE"""),"RU")</f>
        <v>RU</v>
      </c>
      <c r="L1" s="146" t="str">
        <f>IFERROR(__xludf.DUMMYFUNCTION("""COMPUTED_VALUE"""),"TR")</f>
        <v>TR</v>
      </c>
      <c r="M1" s="146" t="str">
        <f>IFERROR(__xludf.DUMMYFUNCTION("""COMPUTED_VALUE"""),"VI")</f>
        <v>VI</v>
      </c>
      <c r="N1" s="146" t="str">
        <f>IFERROR(__xludf.DUMMYFUNCTION("""COMPUTED_VALUE"""),"it")</f>
        <v>it</v>
      </c>
      <c r="O1" s="147" t="str">
        <f>IFERROR(__xludf.DUMMYFUNCTION("""COMPUTED_VALUE"""),"pl")</f>
        <v>pl</v>
      </c>
      <c r="P1" s="147" t="str">
        <f>IFERROR(__xludf.DUMMYFUNCTION("""COMPUTED_VALUE"""),"ar")</f>
        <v>ar</v>
      </c>
      <c r="Q1" s="148" t="str">
        <f>IFERROR(__xludf.DUMMYFUNCTION("""COMPUTED_VALUE"""),"JP")</f>
        <v>JP</v>
      </c>
      <c r="R1" s="148" t="str">
        <f>IFERROR(__xludf.DUMMYFUNCTION("""COMPUTED_VALUE"""),"KR")</f>
        <v>KR</v>
      </c>
      <c r="S1" s="148"/>
      <c r="T1" s="148"/>
      <c r="U1" s="148"/>
      <c r="V1" s="148"/>
      <c r="W1" s="148"/>
      <c r="X1" s="148"/>
      <c r="Y1" s="148"/>
      <c r="Z1" s="148"/>
    </row>
    <row r="2" ht="53.25" customHeight="1">
      <c r="A2" s="149" t="str">
        <f>IFERROR(__xludf.DUMMYFUNCTION("""COMPUTED_VALUE"""),"0.22.0")</f>
        <v>0.22.0</v>
      </c>
      <c r="B2" s="13"/>
      <c r="C2" s="13" t="str">
        <f>IFERROR(__xludf.DUMMYFUNCTION("""COMPUTED_VALUE"""),"- New function: Events Calendar. Get all event information at a glance! Find out event times and reward details by checking the Events Calendar.
- New quest system: added all-new Chapter Quest system.
- Gorilla History adjustment: adjusted the order and q"&amp;"uest requirements for certain stages of ""Gorilla History."" Certain quests in ""Gorilla History"" will no longer expire; even after a stage ends, you may still receive rewards if quests are completed.
- Building adjustment: Banana Spectrometer's fog expl"&amp;"oration function has been transferred to the Intel Station. You must now complete quests to upgrade the Banana Spectrometer, whose appearance will change as it upgrades.
- New player guide update: all-new opening animation and new player's guide. Find the"&amp;" Gene Bank in the fog and solve the mutation crisis! Also beware of attacks from rival Clans!
- Monster adjustment: adjusted unlock times and spawn locations for various levels of Mutants and Gigantopithecus. Gigantopithecus level tiers, difficulties, and"&amp;" reward items have also been adjusted. 
- Daily Quest adjustment: adjusted certain quest and Action Chest rewards.
- Clan interface adjustment: added Clan Change Rules in the Clan interface.
- Planet Buff adjustment: adjusted cooldown time for Planet Buff"&amp;"s.
- Optimizations: optimized search experience for resource points and Gigantos; targets are now more easily searchable. Optimized English descriptions for certain Fighter skill names. Optimized a large number of graphic effects within the game.")</f>
        <v>- New function: Events Calendar. Get all event information at a glance! Find out event times and reward details by checking the Events Calendar.
- New quest system: added all-new Chapter Quest system.
- Gorilla History adjustment: adjusted the order and quest requirements for certain stages of "Gorilla History." Certain quests in "Gorilla History" will no longer expire; even after a stage ends, you may still receive rewards if quests are completed.
- Building adjustment: Banana Spectrometer's fog exploration function has been transferred to the Intel Station. You must now complete quests to upgrade the Banana Spectrometer, whose appearance will change as it upgrades.
- New player guide update: all-new opening animation and new player's guide. Find the Gene Bank in the fog and solve the mutation crisis! Also beware of attacks from rival Clans!
- Monster adjustment: adjusted unlock times and spawn locations for various levels of Mutants and Gigantopithecus. Gigantopithecus level tiers, difficulties, and reward items have also been adjusted. 
- Daily Quest adjustment: adjusted certain quest and Action Chest rewards.
- Clan interface adjustment: added Clan Change Rules in the Clan interface.
- Planet Buff adjustment: adjusted cooldown time for Planet Buffs.
- Optimizations: optimized search experience for resource points and Gigantos; targets are now more easily searchable. Optimized English descriptions for certain Fighter skill names. Optimized a large number of graphic effects within the game.</v>
      </c>
      <c r="D2" s="13" t="str">
        <f>IFERROR(__xludf.DUMMYFUNCTION("""COMPUTED_VALUE"""),"- Nouveau calendrier pour tout connaître des évènements en un seul coup d'œil! Vous y trouverez les dates des évènements ainsi que toutes les informations concernant les récompenses.
- Nouveau chapitrage des quêtes.
- Modification des quêtes du gorille : "&amp;"certaines quêtes du gorille n’expireront plus, même lorsque vous passerez à l'étape suivante. Vous pourrez donc toujours accomplir ces quêtes et obtenir les récompenses correspondantes.
- Modification de bâtiments : la fonction d'exploration de brume est "&amp;"désormais accessible via le centre de renseignement et non plus le spectromètre banane. Pour améliorer le spectromètre, vous devez maintenant accomplir des quêtes. Son apparence dépend désormais de son niveau.
- Nouvelle introduction avec des animations i"&amp;"nédites et un nouveau guide du joueur débutant. Trouvez la banque génétique pour protéger les singes contre les mutations! Préparez-vous à affronter les clans adverses!
- Modification des mutants : le temps et les lieux d'apparition des mutants et du Giga"&amp;"nto ont été ajustés. Le niveau de difficulté ainsi que les récompenses du Giganto ont également été optimisés.
- Modification de certaines quêtes quotidiennes et des coffres de récompenses.
- Interface de clan : les règles de changement de clan sont désor"&amp;"mais accessibles sur l'interface de clan.
- Le temps de récupération du boost planétaire a été optimisé.
- Le système de recherche de ressources et du Giganto a été optimisé, avec des cibles plus faciles à trouver ; les descriptions des combattants ont ét"&amp;"é mises à jour ; de nombreux effets visuels ont été améliorés.
")</f>
        <v>- Nouveau calendrier pour tout connaître des évènements en un seul coup d'œil! Vous y trouverez les dates des évènements ainsi que toutes les informations concernant les récompenses.
- Nouveau chapitrage des quêtes.
- Modification des quêtes du gorille : certaines quêtes du gorille n’expireront plus, même lorsque vous passerez à l'étape suivante. Vous pourrez donc toujours accomplir ces quêtes et obtenir les récompenses correspondantes.
- Modification de bâtiments : la fonction d'exploration de brume est désormais accessible via le centre de renseignement et non plus le spectromètre banane. Pour améliorer le spectromètre, vous devez maintenant accomplir des quêtes. Son apparence dépend désormais de son niveau.
- Nouvelle introduction avec des animations inédites et un nouveau guide du joueur débutant. Trouvez la banque génétique pour protéger les singes contre les mutations! Préparez-vous à affronter les clans adverses!
- Modification des mutants : le temps et les lieux d'apparition des mutants et du Giganto ont été ajustés. Le niveau de difficulté ainsi que les récompenses du Giganto ont également été optimisés.
- Modification de certaines quêtes quotidiennes et des coffres de récompenses.
- Interface de clan : les règles de changement de clan sont désormais accessibles sur l'interface de clan.
- Le temps de récupération du boost planétaire a été optimisé.
- Le système de recherche de ressources et du Giganto a été optimisé, avec des cibles plus faciles à trouver ; les descriptions des combattants ont été mises à jour ; de nombreux effets visuels ont été améliorés.
</v>
      </c>
      <c r="E2" s="13" t="str">
        <f>IFERROR(__xludf.DUMMYFUNCTION("""COMPUTED_VALUE"""),"- Neue Funktion: Event-Kalender. Erhalte alle Event-Informationen auf einen Blick! Finde Event-Zeiten und Details zu Belohnungen, indem du im Event-Kalender nachschaust.
 - Neues Quest-System: Ein komplett neues Kapitel-Quest-System wurde hinzugefügt.
 - "&amp;"Anpassung der Gorilla-Geschichte: Die Reihenfolge und Quest-Anforderungen für bestimmte Stufen der ""Gorilla-Geschichte"" wurden angepasst. Bestimmte Quests der ""Gorilla-Geschichte"" laufen nicht mehr ab; auch nach dem Ende einer Stufe kann man noch Belo"&amp;"hnungen für abgeschlossene Quests erhalten.
 - Anpassung der Gebäude: Die Nebel-Erkundungsfunktion des Bananen-Spektrometers wurde auf das Späherlager übertragen. Du musst nun Quests abschließen, um das Bananen-Spektrometer aufzuwerten, dessen Aussehen si"&amp;"ch mit der Aufwertung ändert.
 - Update des Spieler-Guides: Komplett neue Startanimation und neuer Spieler-Guide. Finde die Genbank im Nebel und löse die Mutationskrise! Nimm dich außerdem vor den Angriffen rivalisierender Horden in Acht!
 - Monsteranpass"&amp;"ung: Angepasste Freischaltzeiten und Spawn-Orte für verschiedene Level von Mutanten und Gigantopithecus. Außerdem wurden die Level-Bereiche, Schwierigkeiten und Belohnungen beim Kampf gegen den Gigantopithecus angepasst. 
 - Anpassung der täglichen Quests"&amp;": Bestimmte Belohnungen für Quests und Aktionstruhen wurden angepasst.
 - Anpassung des Horden-Interfaces: Dem Interface wurden die Regeln für den Wechsel der Horde hinzugefügt.
 - Anpassung der Planeten-Buffs: Die Abklingzeit für Planeten-Buffs wurde ang"&amp;"epasst.
 - Optimierungen: Optimierte Suche für Ressourcenpunkte und Gigantos; Ziele sind nun leichter zu finden. Optimierte englische Beschreibungen für bestimmte Namen von Fähigkeiten von Kämpfern. Zahlreiche grafische Effekte im Spiel wurden optimiert.")</f>
        <v>- Neue Funktion: Event-Kalender. Erhalte alle Event-Informationen auf einen Blick! Finde Event-Zeiten und Details zu Belohnungen, indem du im Event-Kalender nachschaust.
 - Neues Quest-System: Ein komplett neues Kapitel-Quest-System wurde hinzugefügt.
 - Anpassung der Gorilla-Geschichte: Die Reihenfolge und Quest-Anforderungen für bestimmte Stufen der "Gorilla-Geschichte" wurden angepasst. Bestimmte Quests der "Gorilla-Geschichte" laufen nicht mehr ab; auch nach dem Ende einer Stufe kann man noch Belohnungen für abgeschlossene Quests erhalten.
 - Anpassung der Gebäude: Die Nebel-Erkundungsfunktion des Bananen-Spektrometers wurde auf das Späherlager übertragen. Du musst nun Quests abschließen, um das Bananen-Spektrometer aufzuwerten, dessen Aussehen sich mit der Aufwertung ändert.
 - Update des Spieler-Guides: Komplett neue Startanimation und neuer Spieler-Guide. Finde die Genbank im Nebel und löse die Mutationskrise! Nimm dich außerdem vor den Angriffen rivalisierender Horden in Acht!
 - Monsteranpassung: Angepasste Freischaltzeiten und Spawn-Orte für verschiedene Level von Mutanten und Gigantopithecus. Außerdem wurden die Level-Bereiche, Schwierigkeiten und Belohnungen beim Kampf gegen den Gigantopithecus angepasst. 
 - Anpassung der täglichen Quests: Bestimmte Belohnungen für Quests und Aktionstruhen wurden angepasst.
 - Anpassung des Horden-Interfaces: Dem Interface wurden die Regeln für den Wechsel der Horde hinzugefügt.
 - Anpassung der Planeten-Buffs: Die Abklingzeit für Planeten-Buffs wurde angepasst.
 - Optimierungen: Optimierte Suche für Ressourcenpunkte und Gigantos; Ziele sind nun leichter zu finden. Optimierte englische Beschreibungen für bestimmte Namen von Fähigkeiten von Kämpfern. Zahlreiche grafische Effekte im Spiel wurden optimiert.</v>
      </c>
      <c r="F2" s="34" t="str">
        <f>IFERROR(__xludf.DUMMYFUNCTION("""COMPUTED_VALUE"""),"- Nova função: Calendário de Eventos. Todas as informações sobre eventos num só lugar! Encontre informações sobre eventos e recompensas no Calendários de Eventos.
 - Novo sistema de missões: novíssimo sistema de missões do capítulo.
 - História do Gorila:"&amp;" ajustes em alguns requerimentos e na ordem de missões para determinadas fases da ""História do Gorila"". Algumas missões não expirarão mais, mesmo depois do fim da fase. Assim, você ainda receberá as recompensas ao concluí-las.
 - Construção: A função de"&amp;" exploração na névoa do Espectrômetro Banana foi transferida para o Posto de Vigilância. Agora você precisará concluir missões para melhorar o Espectrômetro Banana e sua aparência se alterará com as melhorias.
 - Atualização no guia de novos jogadores: no"&amp;"víssima animação de abertura e novo guia de jogador. Encontre o banco de genes na névoa e resolva a crise de mutações! E tome cuidado com ataques de clãs rivais!
 - Monstros: ajustes no tempo de liberação e localização para mutantes e Gigantopitecos de vá"&amp;"rios níveis. Níveis, dificuldade e recompensas de Gigantopitecos também foram atualizados. 
 - Missões diárias: ajustes de determinadas missões e recompensas para baús de ação.
 - Ajustes na interface do clã: adição de regras para mudança de clã e na inte"&amp;"rface.
 - Ajustes nos buff do Planeta: atualização no tempo de reativação dos buffs do Planeta.
 - Melhorias: busca aprimorada para pontos de recursos e Gigantos. É mais fácil encontrar os alvos. Melhores descrições de nomes de habilidade de Combatentes. "&amp;"Otimização de um grande número de efeitos gráficos do jogo.")</f>
        <v>- Nova função: Calendário de Eventos. Todas as informações sobre eventos num só lugar! Encontre informações sobre eventos e recompensas no Calendários de Eventos.
 - Novo sistema de missões: novíssimo sistema de missões do capítulo.
 - História do Gorila: ajustes em alguns requerimentos e na ordem de missões para determinadas fases da "História do Gorila". Algumas missões não expirarão mais, mesmo depois do fim da fase. Assim, você ainda receberá as recompensas ao concluí-las.
 - Construção: A função de exploração na névoa do Espectrômetro Banana foi transferida para o Posto de Vigilância. Agora você precisará concluir missões para melhorar o Espectrômetro Banana e sua aparência se alterará com as melhorias.
 - Atualização no guia de novos jogadores: novíssima animação de abertura e novo guia de jogador. Encontre o banco de genes na névoa e resolva a crise de mutações! E tome cuidado com ataques de clãs rivais!
 - Monstros: ajustes no tempo de liberação e localização para mutantes e Gigantopitecos de vários níveis. Níveis, dificuldade e recompensas de Gigantopitecos também foram atualizados. 
 - Missões diárias: ajustes de determinadas missões e recompensas para baús de ação.
 - Ajustes na interface do clã: adição de regras para mudança de clã e na interface.
 - Ajustes nos buff do Planeta: atualização no tempo de reativação dos buffs do Planeta.
 - Melhorias: busca aprimorada para pontos de recursos e Gigantos. É mais fácil encontrar os alvos. Melhores descrições de nomes de habilidade de Combatentes. Otimização de um grande número de efeitos gráficos do jogo.</v>
      </c>
      <c r="G2" s="34" t="str">
        <f>IFERROR(__xludf.DUMMYFUNCTION("""COMPUTED_VALUE"""),"- 全新功能：活動日歷。一眼盡覽所有活動資訊！查看活動日歷，了解活動時間及獎勵詳情。
 - 任務系統更新：加入了全新的章節任務系統。
 - 巨猩歷史調整：調整了「巨猩歷史」某些階段的順序及條件。 「巨猩歷史」中的某些任務不會再有時限。即使階段結束，只要完成任務，玩家仍可獲得獎勵。
 - 建築調整：香蕉光譜儀的迷霧探索功能已轉移至情報站。玩家現在必須完成任務，才能升級香蕉光譜儀。建築外型會隨著等級提升而改變。
 - 新手指引更新：全新的開場動畫及新手指引。在迷霧中尋找基因庫，解決異變危機！還要小心敵對氏族的"&amp;"攻擊！
 - 怪物調整：調整了各級變種猴子及巨猿的開放時間及出現地點，以及巨猿的等級、難度與獎勵道具。
 - 每日任務調整：調整了某些任務及行動寶箱獎勵。
 - 氏族介面調整：在氏族介面中加入了氏族更換規則。
 - 星球強化效果調整：調整了星球強化效果的冷卻時間。
 - 內容改善：改善了資源點及巨猿的搜索流程，搜索目標變得更加容易。改善了某些英雄技能英文名稱。改善了遊戲中的大量畫面效果。")</f>
        <v>- 全新功能：活動日歷。一眼盡覽所有活動資訊！查看活動日歷，了解活動時間及獎勵詳情。
 - 任務系統更新：加入了全新的章節任務系統。
 - 巨猩歷史調整：調整了「巨猩歷史」某些階段的順序及條件。 「巨猩歷史」中的某些任務不會再有時限。即使階段結束，只要完成任務，玩家仍可獲得獎勵。
 - 建築調整：香蕉光譜儀的迷霧探索功能已轉移至情報站。玩家現在必須完成任務，才能升級香蕉光譜儀。建築外型會隨著等級提升而改變。
 - 新手指引更新：全新的開場動畫及新手指引。在迷霧中尋找基因庫，解決異變危機！還要小心敵對氏族的攻擊！
 - 怪物調整：調整了各級變種猴子及巨猿的開放時間及出現地點，以及巨猿的等級、難度與獎勵道具。
 - 每日任務調整：調整了某些任務及行動寶箱獎勵。
 - 氏族介面調整：在氏族介面中加入了氏族更換規則。
 - 星球強化效果調整：調整了星球強化效果的冷卻時間。
 - 內容改善：改善了資源點及巨猿的搜索流程，搜索目標變得更加容易。改善了某些英雄技能英文名稱。改善了遊戲中的大量畫面效果。</v>
      </c>
      <c r="H2" s="34" t="str">
        <f>IFERROR(__xludf.DUMMYFUNCTION("""COMPUTED_VALUE"""),"- Fungsi baru: Kalender Acara. Dapatkan semua informasi acara dengan cepat! Ketahui rincian waktu dan hadiah acara dengan melihat Kalender Acara.
 - Sistem tantangan baru: menambahkan sistem Tantangan Babak Baru.
 - Penyesuaian Kisah Gorila: menyesuaikan "&amp;"urutan dan persyaratan tantangan untuk tahap tertentu di ""Kisah Gorila."" Tantangan tertentu di ""Kisah Gorila"" tidak akan kedaluwarsa lagi; meski tahap sudah berakhir, kamu masih bisa menerima hadiah jika tantangan terselesaikan.
 - Penyesuaian banguna"&amp;"n: Fungsi penjelajah kabut pada Spektrometer Pisang sudah dipindahkan ke Stasiun Intel. Sekarang kamu harus mengelesaikan tantangan untuk meng-upgrade Spektrometer Pisang, yang tampilannya akan berubah saat ditingkatkan
 - Update panduan pemain baru: anim"&amp;"asi pembuka baru dan panduan pemain baru. Temukan Bank Gen dalam kabut dan pecahkan masalah krisis mutasi! tetapi hati-hati dengan serangan dari Klan lawan!
 - Penyesuaian monster: menyesuaikan waktu untuk membuka serta lokasi kemunculan berbagai level Mu"&amp;"tan dan Gigantopithecus. Tingkatan, kesulitan, dan item hadiah Gigantopithecus juga disesuaikan. 
 - Penyesuaian Tantangan Harian: menyesuaikan tantangan dan hadiah Peti Aksi tertentu.
 - Penyesuaian interface Klan: menambahkan Aturan Perubahan Klan di In"&amp;"terface Klan.
 - Penyesuaian Keunggulan Planet: menyesuaikan waktu pendinginan untuk Keunggulan Planet.
 - Optimalisasi: mengoptimalkan pengalaman pencarian untuk poin sumber daya dan Giganto; kini target lebih mudah dicari. Pengoptimalan deskripsi bahasa"&amp;" Inggris untuk nama keahlian Petarung tertentu. Penyesuaian berbagai efek grafis dalam game.")</f>
        <v>- Fungsi baru: Kalender Acara. Dapatkan semua informasi acara dengan cepat! Ketahui rincian waktu dan hadiah acara dengan melihat Kalender Acara.
 - Sistem tantangan baru: menambahkan sistem Tantangan Babak Baru.
 - Penyesuaian Kisah Gorila: menyesuaikan urutan dan persyaratan tantangan untuk tahap tertentu di "Kisah Gorila." Tantangan tertentu di "Kisah Gorila" tidak akan kedaluwarsa lagi; meski tahap sudah berakhir, kamu masih bisa menerima hadiah jika tantangan terselesaikan.
 - Penyesuaian bangunan: Fungsi penjelajah kabut pada Spektrometer Pisang sudah dipindahkan ke Stasiun Intel. Sekarang kamu harus mengelesaikan tantangan untuk meng-upgrade Spektrometer Pisang, yang tampilannya akan berubah saat ditingkatkan
 - Update panduan pemain baru: animasi pembuka baru dan panduan pemain baru. Temukan Bank Gen dalam kabut dan pecahkan masalah krisis mutasi! tetapi hati-hati dengan serangan dari Klan lawan!
 - Penyesuaian monster: menyesuaikan waktu untuk membuka serta lokasi kemunculan berbagai level Mutan dan Gigantopithecus. Tingkatan, kesulitan, dan item hadiah Gigantopithecus juga disesuaikan. 
 - Penyesuaian Tantangan Harian: menyesuaikan tantangan dan hadiah Peti Aksi tertentu.
 - Penyesuaian interface Klan: menambahkan Aturan Perubahan Klan di Interface Klan.
 - Penyesuaian Keunggulan Planet: menyesuaikan waktu pendinginan untuk Keunggulan Planet.
 - Optimalisasi: mengoptimalkan pengalaman pencarian untuk poin sumber daya dan Giganto; kini target lebih mudah dicari. Pengoptimalan deskripsi bahasa Inggris untuk nama keahlian Petarung tertentu. Penyesuaian berbagai efek grafis dalam game.</v>
      </c>
      <c r="I2" s="34" t="str">
        <f>IFERROR(__xludf.DUMMYFUNCTION("""COMPUTED_VALUE"""),"- ฟังก์ชั่นใหม่: ปปฏิทินกิจกรรม ที่คุณสามารถดูข้อมูลกิจกรรมทั้งหมดได้ในพริบตา! คุณสามารถดูปฏิทินกิจกรรมเพื่อตรวจสอบเวลากิจกรรมและรายละเอียดรางวัลได้
 - ระบบเควสใหม่: เพิ่มระบบเควสต์บทใหม่ทั้งหมด
 - การปรับประวัติศาสตร์กอริลลา: ปรับคำสั่งและข้อกำหนดในด่าน "&amp;"""ประวัติศาสตร์กอริลล่า"" บางด่าน เควสต์บางเควสต์ใน ""ประวัติศาสตร์กอริลลา"" จะไม่มีการหมดอายุอีกต่อไป โดยแม้ว่าด่านจะจบลงแล้วก็ตาม คุณก็ยังอาจได้รับรางวัลหากทำเควสต์ได้เสร็จสิ้น
 - การปรับอาคาร: โอนฟังก์ชั่นการสำรวจหมอกของเครื่องตรวจสเปกตรัมกล้วยไปไว้ที่"&amp;"สถานีข่าวกรอง ในตอนนี้ คุณต้องทำเควสต์ให้สำเร็จเพื่ออัปเกรดเครื่องตรวจสเปกตรัมกล้วย ซึ่งรูปลักษณ์จะเปลี่ยนไปเมื่อมีการอัปเกรด
 - อัปเดตคำแนะนำผู้เล่นใหม่: แอนิเมชั่นการเปิดเรื่องใหม่ทั้งหมดและคู่มือผู้เล่นใหม่ รีบหาค้นหาธนาคารยีนในม่านหมอกแล้วแก้ไขวิกฤตกา"&amp;"รกลายพันธุ์โดยด่วน! ระวังการโจมตีจากเผ่าคู่แข่งด้วยล่ะ!
 - การปรับมอนสเตอร์: ปรับเวลาปลดล็อกและการเกิดมิวแตนต์และกิกันโตพิเธคัสในเลเวลต่าง ๆ รวมถึงการปรับระดับชั้นเลเวลของกิกันโตพิเธคัส ระดับความยาก และรางวัล
 - การปรับเควสต์ประจำวัน: ปรับเปลี่ยนเควสต์บาง"&amp;"เควสต์และรางวัลหีบแอ๊กชั่น
 - การปรับอินเตอร์เฟสเผ่า: เพิ่มกฎการเปลี่ยนเผ่าลงในอินเตอร์เฟสเผ่า
 - การปรับบัฟฟ์ดาวเคราะห์: ปรับเวลาคูลดาวน์ของบัฟฟ์ดาวเคราะห์
 - การปรับปรุง: ปรับประสบการณ์การค้นหาจุดทรัพยากรและกิกันโต ในตอนนี้ คุณสามารถค้นหาเป้าหมายได้ง่าย"&amp;"ขึ้น ปรับคำอธิบายภาษาอังกฤษให้เหมาะกับชื่อทักษะของนักสู้ และปรับแต่งเอฟเฟกต์กราฟิกในเกมอีกหลายจุด")</f>
        <v>- ฟังก์ชั่นใหม่: ปปฏิทินกิจกรรม ที่คุณสามารถดูข้อมูลกิจกรรมทั้งหมดได้ในพริบตา! คุณสามารถดูปฏิทินกิจกรรมเพื่อตรวจสอบเวลากิจกรรมและรายละเอียดรางวัลได้
 - ระบบเควสใหม่: เพิ่มระบบเควสต์บทใหม่ทั้งหมด
 - การปรับประวัติศาสตร์กอริลลา: ปรับคำสั่งและข้อกำหนดในด่าน "ประวัติศาสตร์กอริลล่า" บางด่าน เควสต์บางเควสต์ใน "ประวัติศาสตร์กอริลลา" จะไม่มีการหมดอายุอีกต่อไป โดยแม้ว่าด่านจะจบลงแล้วก็ตาม คุณก็ยังอาจได้รับรางวัลหากทำเควสต์ได้เสร็จสิ้น
 - การปรับอาคาร: โอนฟังก์ชั่นการสำรวจหมอกของเครื่องตรวจสเปกตรัมกล้วยไปไว้ที่สถานีข่าวกรอง ในตอนนี้ คุณต้องทำเควสต์ให้สำเร็จเพื่ออัปเกรดเครื่องตรวจสเปกตรัมกล้วย ซึ่งรูปลักษณ์จะเปลี่ยนไปเมื่อมีการอัปเกรด
 - อัปเดตคำแนะนำผู้เล่นใหม่: แอนิเมชั่นการเปิดเรื่องใหม่ทั้งหมดและคู่มือผู้เล่นใหม่ รีบหาค้นหาธนาคารยีนในม่านหมอกแล้วแก้ไขวิกฤตการกลายพันธุ์โดยด่วน! ระวังการโจมตีจากเผ่าคู่แข่งด้วยล่ะ!
 - การปรับมอนสเตอร์: ปรับเวลาปลดล็อกและการเกิดมิวแตนต์และกิกันโตพิเธคัสในเลเวลต่าง ๆ รวมถึงการปรับระดับชั้นเลเวลของกิกันโตพิเธคัส ระดับความยาก และรางวัล
 - การปรับเควสต์ประจำวัน: ปรับเปลี่ยนเควสต์บางเควสต์และรางวัลหีบแอ๊กชั่น
 - การปรับอินเตอร์เฟสเผ่า: เพิ่มกฎการเปลี่ยนเผ่าลงในอินเตอร์เฟสเผ่า
 - การปรับบัฟฟ์ดาวเคราะห์: ปรับเวลาคูลดาวน์ของบัฟฟ์ดาวเคราะห์
 - การปรับปรุง: ปรับประสบการณ์การค้นหาจุดทรัพยากรและกิกันโต ในตอนนี้ คุณสามารถค้นหาเป้าหมายได้ง่ายขึ้น ปรับคำอธิบายภาษาอังกฤษให้เหมาะกับชื่อทักษะของนักสู้ และปรับแต่งเอฟเฟกต์กราฟิกในเกมอีกหลายจุด</v>
      </c>
      <c r="J2" s="34" t="str">
        <f>IFERROR(__xludf.DUMMYFUNCTION("""COMPUTED_VALUE"""),"- Nueva función: Calendario de Eventos. ¡Obtén toda la información del evento de un vistazo! Encuentra los tiempos de los eventos y los detalles de las recompensas revisando el Calendario de Eventos. 
 - Nuevo sistema de misiones: Se agrego un totalmente "&amp;"nuevo sistema de Misiones por Capitulo. 
 - Ajuste a la Historia de Gorila: Se ajustó el orden y los requerimientos para ciertas etapas de la “Historia de Gorila”. Algunas misiones en la “Historia de Gorila” ya no expirarán; después de que la etapa termin"&amp;"e todavía podrás obtener recompensas si las misiones son completadas.
 - Ajuste a los edificios: La exploración de niebla del Espectrómetro de Banana ha sido transferida a la Estación de Inteligencia. Ahora deberás de completar misiones para mejorar el Es"&amp;"pectrómetro de Banana cuya apariencia cambiará conforme vas actualizándolo. 
 - Nueva actualización de la guía del jugador: Totalmente nueva animación de apertura y nueva guía del jugador. ¡Encuentra el Banco de Genes en la niebla y resuelve la crisis de "&amp;"mutación! Además, ¡ten cuidado con los ataques de los Clanes Rivales!
 - Ajuste de los Monstruos: Se ajustaron los tiempos de desbloqueo y aparición de diversos niveles de Mutantes y del Gigantopithecus.
 También se han ajustado los grados en los niveles,"&amp;" la dificultad y los artículos de recompensa. 
 - Ajuste en las Misiones Diarias: Se ajustaron algunas misiones y recompensas por el Cofre de Acción. 
 - Ajuste en la interface del Clan: Se agregó un Cambio de Reglas del Clan en la interface del Clan. 
 -"&amp;" Ajuste en la Mejora Planetaria: Se ajusto el tiempo de espera para las Mejoras Planetarias. 
 - Optimizaciones: Se optimizó la experiencia de búsqueda para los puntos de recursos y los Gigantos; los objetivos ahora son más fáciles de buscar. Se optimizar"&amp;"on las descripciones en inglés para algunos nombres de las habilidades de los Luchadores. Se optimizó un gran numero de efectos gráficos dentro del juego.")</f>
        <v>- Nueva función: Calendario de Eventos. ¡Obtén toda la información del evento de un vistazo! Encuentra los tiempos de los eventos y los detalles de las recompensas revisando el Calendario de Eventos. 
 - Nuevo sistema de misiones: Se agrego un totalmente nuevo sistema de Misiones por Capitulo. 
 - Ajuste a la Historia de Gorila: Se ajustó el orden y los requerimientos para ciertas etapas de la “Historia de Gorila”. Algunas misiones en la “Historia de Gorila” ya no expirarán; después de que la etapa termine todavía podrás obtener recompensas si las misiones son completadas.
 - Ajuste a los edificios: La exploración de niebla del Espectrómetro de Banana ha sido transferida a la Estación de Inteligencia. Ahora deberás de completar misiones para mejorar el Espectrómetro de Banana cuya apariencia cambiará conforme vas actualizándolo. 
 - Nueva actualización de la guía del jugador: Totalmente nueva animación de apertura y nueva guía del jugador. ¡Encuentra el Banco de Genes en la niebla y resuelve la crisis de mutación! Además, ¡ten cuidado con los ataques de los Clanes Rivales!
 - Ajuste de los Monstruos: Se ajustaron los tiempos de desbloqueo y aparición de diversos niveles de Mutantes y del Gigantopithecus.
 También se han ajustado los grados en los niveles, la dificultad y los artículos de recompensa. 
 - Ajuste en las Misiones Diarias: Se ajustaron algunas misiones y recompensas por el Cofre de Acción. 
 - Ajuste en la interface del Clan: Se agregó un Cambio de Reglas del Clan en la interface del Clan. 
 - Ajuste en la Mejora Planetaria: Se ajusto el tiempo de espera para las Mejoras Planetarias. 
 - Optimizaciones: Se optimizó la experiencia de búsqueda para los puntos de recursos y los Gigantos; los objetivos ahora son más fáciles de buscar. Se optimizaron las descripciones en inglés para algunos nombres de las habilidades de los Luchadores. Se optimizó un gran numero de efectos gráficos dentro del juego.</v>
      </c>
      <c r="K2" s="34" t="str">
        <f>IFERROR(__xludf.DUMMYFUNCTION("""COMPUTED_VALUE"""),"- Новая функция: календарь событий. Быстрый обзор всей информации о событиях! Заглянув в календарь событий, вы можете узнать время их проведения и подробности о наградах.
 - Новая система заданий: добавлена полностью новая система заданий по главам.
 - Из"&amp;"менения в «Истории гориллы»: изменен порядок и требования в заданиях для определенных этапов «Истории гориллы». Некоторые задания в «Истории гориллы» больше не будут пропадать, и даже после окончания этапа вы сможете получать за них награды, если выполнит"&amp;"е их.
 - Изменения в постройках: функция исследования тумана перенесена из бананового спектрометра в разведстанцию. Теперь для улучшения бананового спектрометра вы должны выполнять задания, а его внешний вид с улучшениями будет меняться.
 - Обновление рук"&amp;"оводства для новичков: полностью новый открывающий ролик и руководство для новых игроков. Найдите генный банк в тумане и предотвратите катастрофу с мутациями — но остерегайтесь атак соперничающих кланов!
 - Настройка монстров: настроено время разблокировк"&amp;"и и места появления для мутантов различного уровня и гигантопитека. Также настроены ранги сложности гигантопитека и предметы в награду. 
 - Настройка ежедневных заданий: скорректированы некоторые награды за задания и награды сундука действия.
 - Настройка"&amp;" интерфейса клана: в клановый интерфейс добавлены правила смены клана.
 - Настройка глобального усиления: скорректировано время восстановления глобальных усилений.
 - Оптимизации: оптимизирован поиск ресурсных точек и Гиганто; искать цели теперь будет лег"&amp;"че. Оптимизированы описания для определенных навыков героев. Оптимизировано большое количество игровых графических эффектов.")</f>
        <v>- Новая функция: календарь событий. Быстрый обзор всей информации о событиях! Заглянув в календарь событий, вы можете узнать время их проведения и подробности о наградах.
 - Новая система заданий: добавлена полностью новая система заданий по главам.
 - Изменения в «Истории гориллы»: изменен порядок и требования в заданиях для определенных этапов «Истории гориллы». Некоторые задания в «Истории гориллы» больше не будут пропадать, и даже после окончания этапа вы сможете получать за них награды, если выполните их.
 - Изменения в постройках: функция исследования тумана перенесена из бананового спектрометра в разведстанцию. Теперь для улучшения бананового спектрометра вы должны выполнять задания, а его внешний вид с улучшениями будет меняться.
 - Обновление руководства для новичков: полностью новый открывающий ролик и руководство для новых игроков. Найдите генный банк в тумане и предотвратите катастрофу с мутациями — но остерегайтесь атак соперничающих кланов!
 - Настройка монстров: настроено время разблокировки и места появления для мутантов различного уровня и гигантопитека. Также настроены ранги сложности гигантопитека и предметы в награду. 
 - Настройка ежедневных заданий: скорректированы некоторые награды за задания и награды сундука действия.
 - Настройка интерфейса клана: в клановый интерфейс добавлены правила смены клана.
 - Настройка глобального усиления: скорректировано время восстановления глобальных усилений.
 - Оптимизации: оптимизирован поиск ресурсных точек и Гиганто; искать цели теперь будет легче. Оптимизированы описания для определенных навыков героев. Оптимизировано большое количество игровых графических эффектов.</v>
      </c>
      <c r="L2" s="34" t="str">
        <f>IFERROR(__xludf.DUMMYFUNCTION("""COMPUTED_VALUE"""),"- Yeni işlev: Etkinlik Takvimi. Tüm etkinlik bilgilerini anında gör! Etkinlik Takviminden etkinlik zamanlarını ve ödül detaylarını öğren.
 - Yeni macera sistemi: eklenen tümü yeni Bölüm Macerası sistemi.
 - Goril Geçmişi düzenlemesi: belirli “Goril Geçmiş"&amp;"i” aşamalarının sırası ve gereklilikleri düzenlendi. Belirli “Goril Geçmişi” maceraları artık ortadan kalkmayacak; bir aşama sona erdikten sonra bile, maceralar tamamlandığında ödül alabilirsiniz.
 - Bina düzenlemesi: Muz Spektrometresinin sis keşif işlev"&amp;"i İstihbarat İstasyonuna aktarıldı. Yükseltildikçe görünümü değişecek olan Muz Spektrometresini yükseltmek için maceraları tamamlamalısın.
 - Yeni oyuncu kılavuzu güncellemesi: tümü yeni açılış animasyonu ve yeni oyuncu kılavuzu. Gen Bankasını siste bul v"&amp;"e mutasyon krizini çöz! Rakip Klanların saldırılarına da dikkat et!
 - Canavar düzenlemesi: farklı Mutant seviyeleri ve Gigantopithecus için düzenlenen kilit açma zamanları ve ortaya çıkma konumları. Gigantopithecus seviye kademeleri, zorluklar ve ödül eş"&amp;"yaları da düzenlendi. 
 - Günlük Macera düzenlemesi: düzenlenen belirli maceralar ve Eylem Sandığı ödülleri.
 - Klan arayüzü düzenlemesi: Klan arayüzüne eklenen Klan Değişimi Kuralları.
 - Gezegen Güçlendirici düzenlemesi: Gezegen Güçlendiricileri için dü"&amp;"zenlenen bekleme zamanı.
 - Optimizasyonlar: kaynak noktaları ve Giganto’lar için optimize edilmiş arama deneyimi; artık hedefler daha kolay aranabiliyor. Belirli Savaşçı becerisi isimleri için optimize edilmiş İngilizce tanımlar. Oyunda optimize edilmiş "&amp;"çok sayıda grafik efekti.")</f>
        <v>- Yeni işlev: Etkinlik Takvimi. Tüm etkinlik bilgilerini anında gör! Etkinlik Takviminden etkinlik zamanlarını ve ödül detaylarını öğren.
 - Yeni macera sistemi: eklenen tümü yeni Bölüm Macerası sistemi.
 - Goril Geçmişi düzenlemesi: belirli “Goril Geçmişi” aşamalarının sırası ve gereklilikleri düzenlendi. Belirli “Goril Geçmişi” maceraları artık ortadan kalkmayacak; bir aşama sona erdikten sonra bile, maceralar tamamlandığında ödül alabilirsiniz.
 - Bina düzenlemesi: Muz Spektrometresinin sis keşif işlevi İstihbarat İstasyonuna aktarıldı. Yükseltildikçe görünümü değişecek olan Muz Spektrometresini yükseltmek için maceraları tamamlamalısın.
 - Yeni oyuncu kılavuzu güncellemesi: tümü yeni açılış animasyonu ve yeni oyuncu kılavuzu. Gen Bankasını siste bul ve mutasyon krizini çöz! Rakip Klanların saldırılarına da dikkat et!
 - Canavar düzenlemesi: farklı Mutant seviyeleri ve Gigantopithecus için düzenlenen kilit açma zamanları ve ortaya çıkma konumları. Gigantopithecus seviye kademeleri, zorluklar ve ödül eşyaları da düzenlendi. 
 - Günlük Macera düzenlemesi: düzenlenen belirli maceralar ve Eylem Sandığı ödülleri.
 - Klan arayüzü düzenlemesi: Klan arayüzüne eklenen Klan Değişimi Kuralları.
 - Gezegen Güçlendirici düzenlemesi: Gezegen Güçlendiricileri için düzenlenen bekleme zamanı.
 - Optimizasyonlar: kaynak noktaları ve Giganto’lar için optimize edilmiş arama deneyimi; artık hedefler daha kolay aranabiliyor. Belirli Savaşçı becerisi isimleri için optimize edilmiş İngilizce tanımlar. Oyunda optimize edilmiş çok sayıda grafik efekti.</v>
      </c>
      <c r="M2" s="34" t="str">
        <f>IFERROR(__xludf.DUMMYFUNCTION("""COMPUTED_VALUE"""),"- Chức năng mới: Lịch Sự Kiện. Xem nhanh tất cả thông tin sự kiện! Tìm hiểu thời gian sự kiện và chi tiết phần thưởng bằng cách kiểm tra Lịch Sự Kiện.
 - Hệ thống nhiệm vụ mới: đã bổ sung hệ thống Nhiệm Vụ Chương hoàn toàn mới.
 - Điều chỉnh Lịch Sử Khỉ Đ"&amp;"ột: điều chỉnh thứ tự và yêu cầu nhiệm vụ cho một số giai đoạn nhất định của ""Lịch Sử Khỉ Đột."" Một số nhiệm vụ cụ thể trong ""Lịch Sử Khỉ Đột"" sẽ hết hiệu lực; ngay cả sau khi giai đoạn đã kết thúc, bạn vẫn có thể nhận được phần thưởng nếu hoàn thành "&amp;"nhiệm vụ.
 - Điều chỉnh công trình: Chức năng khám phá sương mù của Máy Đo Bức Xạ Chuối đã được chuyển sang cho Trạm Tình Báo. Bây giờ bạn cần phải hoàn thành các nhiệm vụ để nâng cấp Máy Đo Bức Xạ Chuối, và ngoại hình của công trình này sẽ thay đổi khi đ"&amp;"ược nâng cấp.
 - Cập nhật hướng dẫn người chơi mới: Đoạn phim mở truyện hoàn toàn mới và các chỉ dẫn người chơi mới. Tìm Ngân Hàng Gen khi không có phương hướng nào và giải quyết khủng hoảng đột biến! Nhớ đề phòng các Bộ Lạc đối thủ nữa nhé!
 - Điều chỉnh"&amp;" quái vật: điều chỉnh thời gian mở khóa và địa điểm xuất hiện cho các cấp độ khác nhau của Vượn Đột Biến và Vượn Khổng Lồ. Các bậc cấp độ, độ khó và phần thưởng của Vượn Khổng Lồ cũng đã được điều chỉnh. 
 - Điều chỉnh Nhiệm Vụ Hàng Ngày: điều chỉnh một s"&amp;"ố nhiệm vụ cụ thể và phần thưởng Rương Hành Động.
 - Điều chỉnh giao diện Bộ Lạc: đã thêm Quy tắc Thay Đổi Bộ Lạc vào trong giao diện Bộ Lạc.
 - Điều chỉnh Hiệu Ứng Có Lợi Hành Tinh: điều chỉnh thời gian hồi chiêu cho các Hiệu Ứng Có Lợi Hành Tinh.
 - Tối"&amp;" ưu hóa: đã tối ưu hóa trải nghiệm tìm kiếm cho các điểm tài nguyên và Vượn Khổng Lồ; hiện tại có thể dễ tìm kiếm mục tiêu hơn. Tối ưu hóa mô tả tiếng Anh đối với một số tên kỹ năng Chiến Binh nhất định. Tối ưu hóa khá nhiều các hiệu ứng đồ họa trong trò "&amp;"chơi.")</f>
        <v>- Chức năng mới: Lịch Sự Kiện. Xem nhanh tất cả thông tin sự kiện! Tìm hiểu thời gian sự kiện và chi tiết phần thưởng bằng cách kiểm tra Lịch Sự Kiện.
 - Hệ thống nhiệm vụ mới: đã bổ sung hệ thống Nhiệm Vụ Chương hoàn toàn mới.
 - Điều chỉnh Lịch Sử Khỉ Đột: điều chỉnh thứ tự và yêu cầu nhiệm vụ cho một số giai đoạn nhất định của "Lịch Sử Khỉ Đột." Một số nhiệm vụ cụ thể trong "Lịch Sử Khỉ Đột" sẽ hết hiệu lực; ngay cả sau khi giai đoạn đã kết thúc, bạn vẫn có thể nhận được phần thưởng nếu hoàn thành nhiệm vụ.
 - Điều chỉnh công trình: Chức năng khám phá sương mù của Máy Đo Bức Xạ Chuối đã được chuyển sang cho Trạm Tình Báo. Bây giờ bạn cần phải hoàn thành các nhiệm vụ để nâng cấp Máy Đo Bức Xạ Chuối, và ngoại hình của công trình này sẽ thay đổi khi được nâng cấp.
 - Cập nhật hướng dẫn người chơi mới: Đoạn phim mở truyện hoàn toàn mới và các chỉ dẫn người chơi mới. Tìm Ngân Hàng Gen khi không có phương hướng nào và giải quyết khủng hoảng đột biến! Nhớ đề phòng các Bộ Lạc đối thủ nữa nhé!
 - Điều chỉnh quái vật: điều chỉnh thời gian mở khóa và địa điểm xuất hiện cho các cấp độ khác nhau của Vượn Đột Biến và Vượn Khổng Lồ. Các bậc cấp độ, độ khó và phần thưởng của Vượn Khổng Lồ cũng đã được điều chỉnh. 
 - Điều chỉnh Nhiệm Vụ Hàng Ngày: điều chỉnh một số nhiệm vụ cụ thể và phần thưởng Rương Hành Động.
 - Điều chỉnh giao diện Bộ Lạc: đã thêm Quy tắc Thay Đổi Bộ Lạc vào trong giao diện Bộ Lạc.
 - Điều chỉnh Hiệu Ứng Có Lợi Hành Tinh: điều chỉnh thời gian hồi chiêu cho các Hiệu Ứng Có Lợi Hành Tinh.
 - Tối ưu hóa: đã tối ưu hóa trải nghiệm tìm kiếm cho các điểm tài nguyên và Vượn Khổng Lồ; hiện tại có thể dễ tìm kiếm mục tiêu hơn. Tối ưu hóa mô tả tiếng Anh đối với một số tên kỹ năng Chiến Binh nhất định. Tối ưu hóa khá nhiều các hiệu ứng đồ họa trong trò chơi.</v>
      </c>
      <c r="N2" s="34"/>
      <c r="O2" s="148"/>
      <c r="P2" s="148"/>
      <c r="Q2" s="148"/>
      <c r="R2" s="148"/>
      <c r="S2" s="148"/>
      <c r="T2" s="148"/>
      <c r="U2" s="148"/>
      <c r="V2" s="148"/>
      <c r="W2" s="148"/>
      <c r="X2" s="148"/>
      <c r="Y2" s="148"/>
      <c r="Z2" s="148"/>
    </row>
    <row r="3" ht="71.25" customHeight="1">
      <c r="A3" s="149" t="str">
        <f>IFERROR(__xludf.DUMMYFUNCTION("""COMPUTED_VALUE"""),"0.23.0")</f>
        <v>0.23.0</v>
      </c>
      <c r="B3" s="13" t="str">
        <f>IFERROR(__xludf.DUMMYFUNCTION("""COMPUTED_VALUE"""),"- 新增玩法：部落精英系统，为你的氏族竭尽全力，获取军功赢取丰富奖励！
- 新增活动：情人节活动即将开启：参与活动，赢取节日限定装饰和其他丰富奖励！
- 新增斗士：战争大师彼得，战功卓著的全能射击手；太空医师强尼，沉默神秘的医疗领袖；他们可以通过部落精英、决战卫星之巅获取。
- 新增收藏品常规探测：展览馆常规探测开启、完成任务，赢取常规探测雷达，寻找人类遗留的收藏品。
- 新增斗士攻击机制：斗士们现在可以重击击杀敌人了。
- 新增章节任务剧情：全新章节剧情任务，赶快率领你的部队寻找基因宝库吧！
- 氏族押"&amp;"运优化：现在进行刷新，镖车品质不会降低了，同时优化了押运奖励。
- 氏族议院优化：增加了新种类的废墟：补给站，同时新增了氏族官员工资。减少了氏族官职数量。
- 英雄天赋优化：重置了斗士天赋系统，斗士的天赋抉择将变得更加有趣味性。降低了高等级英雄的带兵数量，平衡了玩家的游戏体验。
- 最强猴子表现优化：优化了活动界面，让这场比赛更值得参与了！您不仅能够看到历史的最强猴子排名，拿到优秀名次还有机会获得荣誉展示机会！
- 异种蛮猴优化：调整了奖励发放逻辑，现在每次击败异种蛮猴都可以获得对应的奖励了。
- 行军速"&amp;"度优化：适度减慢了部队行军速度和野怪行军速度，让整体行军更合理了。
- 传送功能优化：补充了能量说明、传送说明，现在使用传送功能时，可以获得更明确的反馈。
- 界面表现优化：优化了玩家信息、排行榜、帮派、斗士、氏族官员、邮件、聊天的界面显示效果，优化了决战卫星之巅、氏族押运、部队战斗的界面表现等细节。
- 电池科技优化：电池科技的兵种攻击节点扩展到了35级，同时增加了对应的支线任务。
- 旗帜消耗优化：调整了消耗的资源。
- 帮派科技优化：修改了白猴克星、全速前进的效果。
- 关卡占领奖励优化：重新调整了"&amp;"关卡的首占奖励。
- 火箭科技优化：删除了原火箭科技遗留的增益，同时移除了火箭科技相关的道具。
- 部落战斗力优化：我们将只记录近期上线的玩家的总战斗力。
- 采集点优化：优化了采集点的逻辑和资源分布，优化了帮派采集点的机制。
- 玩家信息优化：新增点赞功能，自定义头像功能。")</f>
        <v>- 新增玩法：部落精英系统，为你的氏族竭尽全力，获取军功赢取丰富奖励！
- 新增活动：情人节活动即将开启：参与活动，赢取节日限定装饰和其他丰富奖励！
- 新增斗士：战争大师彼得，战功卓著的全能射击手；太空医师强尼，沉默神秘的医疗领袖；他们可以通过部落精英、决战卫星之巅获取。
- 新增收藏品常规探测：展览馆常规探测开启、完成任务，赢取常规探测雷达，寻找人类遗留的收藏品。
- 新增斗士攻击机制：斗士们现在可以重击击杀敌人了。
- 新增章节任务剧情：全新章节剧情任务，赶快率领你的部队寻找基因宝库吧！
- 氏族押运优化：现在进行刷新，镖车品质不会降低了，同时优化了押运奖励。
- 氏族议院优化：增加了新种类的废墟：补给站，同时新增了氏族官员工资。减少了氏族官职数量。
- 英雄天赋优化：重置了斗士天赋系统，斗士的天赋抉择将变得更加有趣味性。降低了高等级英雄的带兵数量，平衡了玩家的游戏体验。
- 最强猴子表现优化：优化了活动界面，让这场比赛更值得参与了！您不仅能够看到历史的最强猴子排名，拿到优秀名次还有机会获得荣誉展示机会！
- 异种蛮猴优化：调整了奖励发放逻辑，现在每次击败异种蛮猴都可以获得对应的奖励了。
- 行军速度优化：适度减慢了部队行军速度和野怪行军速度，让整体行军更合理了。
- 传送功能优化：补充了能量说明、传送说明，现在使用传送功能时，可以获得更明确的反馈。
- 界面表现优化：优化了玩家信息、排行榜、帮派、斗士、氏族官员、邮件、聊天的界面显示效果，优化了决战卫星之巅、氏族押运、部队战斗的界面表现等细节。
- 电池科技优化：电池科技的兵种攻击节点扩展到了35级，同时增加了对应的支线任务。
- 旗帜消耗优化：调整了消耗的资源。
- 帮派科技优化：修改了白猴克星、全速前进的效果。
- 关卡占领奖励优化：重新调整了关卡的首占奖励。
- 火箭科技优化：删除了原火箭科技遗留的增益，同时移除了火箭科技相关的道具。
- 部落战斗力优化：我们将只记录近期上线的玩家的总战斗力。
- 采集点优化：优化了采集点的逻辑和资源分布，优化了帮派采集点的机制。
- 玩家信息优化：新增点赞功能，自定义头像功能。</v>
      </c>
      <c r="C3" s="13" t="str">
        <f>IFERROR(__xludf.DUMMYFUNCTION("""COMPUTED_VALUE"""),"- New feature: Clan Honors. Fight for your Clan, win rewards!
- New event: win special decorations &amp; rewards in Valentine's Day events!
- New Fighters: Bono Boom, Shooter with amazing combat skills; Sergeant Buzz, a mysterious doctor. Get them in Clan Hon"&amp;"ors or Astral Coliseum.
- New chapter quest stories - lead your troops to find the Gene Bank!
- New Normal Detection added for Relic Detection: complete quests to get the Normal Scan Detector and find relics left behind by humans.
- New Fighter attack mec"&amp;"hanism: Fighters can now use normal attacks to defeat the enemy.Reduced the Troop Capacity of high-level Fighters in order to balance the overall gaming experience for players.
- New chapter quest stories: all-new stories for chapter quests. Lead your tro"&amp;"ops to find the Gene Bank!
- Clan Convoy optimization: Convoy quality will no longer decrease when refreshing, also optimized convoy rewards.
- Clan Parliament optimization: added new Ruin type - Supply Terminals. Also increased Clan Elite compensation.Re"&amp;"duced the number of Clan Elites.
- Fighter Talent optimization: reset the Fighter Talent system and made selecting talents more interesting.Reduced the Troop Capacity of high-level Fighters in order to balance the overall gaming experience for players.
- "&amp;"Ultimate Monkey optimization: optimized event interface - you can now see historical rankings and win honor by displaying high rankings you've received.
- Mutant Monkeys optimization: adjusted the mechanism behind rewards, now defeating Mutants will offer"&amp;" matching rewards.
- March speed optimization: slightly decreased the march speed for troops and monsters to make marching more logical.
- Teleport optimization: added detailed explanations for Energy and teleporting, made using the teleport function more"&amp;" transparent.
- Interface optimization: optimized displays for Player Info, Rankings, Gangs, Fighters, Clan Elites, Mail, and Chat. Also optimized display details for Astral Coliseum, Clan Convoy, Troop battle interfaces.
- Battery Technologies optimizati"&amp;"on: Troop Attack for certain Battery technologies have been expanded to level 35, also added corresponding sub-quests.
- Distributor cost optimization: adjusted the resources consumed for Distributors.
- Gang Research optimization: Changed the effects of "&amp;"Mutant's Bane and Full Speed Ahead.
- Monkey Pass rewards optimization: adjusted the first-occupation reward for Monkey Passes.
- Rocket technology optimization: cleared buffs and related items left over from old Rocket technologies.
- Gang Power optimiza"&amp;"tion: only recently active player's Power will be calculated for Gang Power.
- Resource points optimization: optimized the logic and distribution of resource points as well as the function's operating mechanism.
- Player Info optimization: added new ""Lik"&amp;"e"" function and custom avatar function.
")</f>
        <v>- New feature: Clan Honors. Fight for your Clan, win rewards!
- New event: win special decorations &amp; rewards in Valentine's Day events!
- New Fighters: Bono Boom, Shooter with amazing combat skills; Sergeant Buzz, a mysterious doctor. Get them in Clan Honors or Astral Coliseum.
- New chapter quest stories - lead your troops to find the Gene Bank!
- New Normal Detection added for Relic Detection: complete quests to get the Normal Scan Detector and find relics left behind by humans.
- New Fighter attack mechanism: Fighters can now use normal attacks to defeat the enemy.Reduced the Troop Capacity of high-level Fighters in order to balance the overall gaming experience for players.
- New chapter quest stories: all-new stories for chapter quests. Lead your troops to find the Gene Bank!
- Clan Convoy optimization: Convoy quality will no longer decrease when refreshing, also optimized convoy rewards.
- Clan Parliament optimization: added new Ruin type - Supply Terminals. Also increased Clan Elite compensation.Reduced the number of Clan Elites.
- Fighter Talent optimization: reset the Fighter Talent system and made selecting talents more interesting.Reduced the Troop Capacity of high-level Fighters in order to balance the overall gaming experience for players.
- Ultimate Monkey optimization: optimized event interface - you can now see historical rankings and win honor by displaying high rankings you've received.
- Mutant Monkeys optimization: adjusted the mechanism behind rewards, now defeating Mutants will offer matching rewards.
- March speed optimization: slightly decreased the march speed for troops and monsters to make marching more logical.
- Teleport optimization: added detailed explanations for Energy and teleporting, made using the teleport function more transparent.
- Interface optimization: optimized displays for Player Info, Rankings, Gangs, Fighters, Clan Elites, Mail, and Chat. Also optimized display details for Astral Coliseum, Clan Convoy, Troop battle interfaces.
- Battery Technologies optimization: Troop Attack for certain Battery technologies have been expanded to level 35, also added corresponding sub-quests.
- Distributor cost optimization: adjusted the resources consumed for Distributors.
- Gang Research optimization: Changed the effects of Mutant's Bane and Full Speed Ahead.
- Monkey Pass rewards optimization: adjusted the first-occupation reward for Monkey Passes.
- Rocket technology optimization: cleared buffs and related items left over from old Rocket technologies.
- Gang Power optimization: only recently active player's Power will be calculated for Gang Power.
- Resource points optimization: optimized the logic and distribution of resource points as well as the function's operating mechanism.
- Player Info optimization: added new "Like" function and custom avatar function.
</v>
      </c>
      <c r="D3" s="13" t="str">
        <f>IFERROR(__xludf.DUMMYFUNCTION("""COMPUTED_VALUE"""),"- Nouvelle fonctionnalité: avec les distinctions de clan, combattez pour votre clan et gagnez des récompenses!
- Nouvel évènement de la Saint-Valentin: remportez des récompenses et décors spéciaux! 
- Nouveaux combattants: obtenez Bono Boom, un tireur trè"&amp;"s doué au combat, et Sergent Buzz, un étrange docteur, grâce aux distinctions de clan et au Colisée astral.
- Nouveau chapitre: envoyez vos troupes à la recherche de la banque génétique!
- Nouveau balayage normal pour le détecteur de reliques: accomplisse"&amp;"z des quêtes pour améliorer votre détecteur, afin de trouver des reliques humaines.
- Nouveau mécanisme d'attaque des combattants: ils peuvent maintenant utiliser des attaques de base pour éliminer leurs ennemis.
- Nouvelle quête: un chapitre consacré à l"&amp;"a recherche de la banque génétique!
- Optimisation des convois de clan: leur qualité ne peut plus diminuer lors de l'actualisation; les récompenses associées sont également optimisées.
- Optimisation du parlement de clan: ajout d'un type de ruines (les te"&amp;"rminaux d'approvisionnement); augmentation des compensations pour l'élite du clan.Réduit le nombre d'Elite de clan.
- Optimisation des talents des combattants: remise à plat du système pour rendre la sélection des talents plus intéressante.Réduit le nombr"&amp;"e d'Elite de clan.
- Optimisation de l'interface du singe ultime: vous pouvez maintenant consulter l'historique du classement et afficher vos titres ou hauts rangs déjà reçus.
- Optimisation des mutants: modification du système d'attribution des récompens"&amp;"es pour une meilleure correspondance avec les mutants éliminés.
- Optimisation de la vitesse de déplacement: légère diminution pour les troupes et les mutants, afin d'améliorer la cohérence.
- Optimisation de la téléportation: ajout d'explications sur l'u"&amp;"tilisation d'énergie, pour plus de transparence.
- Optimisation des interfaces: infos du joueur, classements, gangs, combattants, élites du clan, messagerie et chat. Affichage optimisé pour le Colisée astral, les convois de clan et les combats de troupes."&amp;"
- Optimisation des technologies de batteries: dans certains cas, augmentation de l'attaque des troupes au niv.35, et ajout de nouvelles quêtes intermédiaires.
- Optimisation des coûts du distributeur: modification des quantités de ressources consommées.
"&amp;"- Optimisation modification des effets de Fléau des mutants et En avant toute.
- Optimisation des récompenses liées aux barrages: modification des récompenses de première occupation.
- Optimisation des technologies de fusée: suppression des boosts et autr"&amp;"es bonus issus d'anciennes technologies.
- Optimisation de la puissance des gangs: seule la puissance des joueurs récemment actifs est prise en compte dans le calcul.
- Optimisation des points de ressources: amélioration de la logique de répartition ainsi"&amp;" que du fonctionnement du système.
- Optimisation des infos de joueur: ajout d'une fonction ""Liker"" et personnalisation de l'avatar.
")</f>
        <v>- Nouvelle fonctionnalité: avec les distinctions de clan, combattez pour votre clan et gagnez des récompenses!
- Nouvel évènement de la Saint-Valentin: remportez des récompenses et décors spéciaux! 
- Nouveaux combattants: obtenez Bono Boom, un tireur très doué au combat, et Sergent Buzz, un étrange docteur, grâce aux distinctions de clan et au Colisée astral.
- Nouveau chapitre: envoyez vos troupes à la recherche de la banque génétique!
- Nouveau balayage normal pour le détecteur de reliques: accomplissez des quêtes pour améliorer votre détecteur, afin de trouver des reliques humaines.
- Nouveau mécanisme d'attaque des combattants: ils peuvent maintenant utiliser des attaques de base pour éliminer leurs ennemis.
- Nouvelle quête: un chapitre consacré à la recherche de la banque génétique!
- Optimisation des convois de clan: leur qualité ne peut plus diminuer lors de l'actualisation; les récompenses associées sont également optimisées.
- Optimisation du parlement de clan: ajout d'un type de ruines (les terminaux d'approvisionnement); augmentation des compensations pour l'élite du clan.Réduit le nombre d'Elite de clan.
- Optimisation des talents des combattants: remise à plat du système pour rendre la sélection des talents plus intéressante.Réduit le nombre d'Elite de clan.
- Optimisation de l'interface du singe ultime: vous pouvez maintenant consulter l'historique du classement et afficher vos titres ou hauts rangs déjà reçus.
- Optimisation des mutants: modification du système d'attribution des récompenses pour une meilleure correspondance avec les mutants éliminés.
- Optimisation de la vitesse de déplacement: légère diminution pour les troupes et les mutants, afin d'améliorer la cohérence.
- Optimisation de la téléportation: ajout d'explications sur l'utilisation d'énergie, pour plus de transparence.
- Optimisation des interfaces: infos du joueur, classements, gangs, combattants, élites du clan, messagerie et chat. Affichage optimisé pour le Colisée astral, les convois de clan et les combats de troupes.
- Optimisation des technologies de batteries: dans certains cas, augmentation de l'attaque des troupes au niv.35, et ajout de nouvelles quêtes intermédiaires.
- Optimisation des coûts du distributeur: modification des quantités de ressources consommées.
- Optimisation modification des effets de Fléau des mutants et En avant toute.
- Optimisation des récompenses liées aux barrages: modification des récompenses de première occupation.
- Optimisation des technologies de fusée: suppression des boosts et autres bonus issus d'anciennes technologies.
- Optimisation de la puissance des gangs: seule la puissance des joueurs récemment actifs est prise en compte dans le calcul.
- Optimisation des points de ressources: amélioration de la logique de répartition ainsi que du fonctionnement du système.
- Optimisation des infos de joueur: ajout d'une fonction "Liker" et personnalisation de l'avatar.
</v>
      </c>
      <c r="E3" s="13" t="str">
        <f>IFERROR(__xludf.DUMMYFUNCTION("""COMPUTED_VALUE"""),"- Neues Feature: Horden-Ehre. Kämpfe für deine Horde und erhalte Belohnungen!
 - Neues Event: Gewinne spezielle Dekorationen &amp; Belohnungen in Valentinstags-Events!
 - Neue Kämpfer: Bono Boom, Schütze mit erstaunlichen Kampffähigkeiten; Sergeant Buzz, ein "&amp;"mysteriöser Arzt. Erhalte sie über Horden-Ehre oder im Astral-Kolosseum.
 - Neue Kapitel-Quest-Geschichten - führe deine Truppen auf der Suche nach der Genbank!
 - Neue Normal-Ortung für Relikt-Ortung hinzugefügt: Schließe Quests ab, um den Normalen Ortun"&amp;"gs-Scanner zu erhalten und Relikte zu finden, die von den Menschen zurückgelassen wurden.
 - Neuer Angriffsmechanismus für Kämpfer: Kämpfer können nun normale Angriffe einsetzen, um den Feind zu besiegen.
 - Neue Kapitel-Quest-Geschichten: Völlig neue Ges"&amp;"chichten für Kapitel-Quests. Führe deine Truppen auf der Suche nach der Genbank!
 - Optimierung der Horden-Konvois: Die Qualität der Konvois wird beim Aktualisieren nicht mehr reduziert, außerdem wurden die Belohnungen für Konvois optimiert.
 - Optimierun"&amp;"g des Hordenparlaments: Es wurde ein neuer Ruinentyp hinzugefügt - Versorgungsterminals. Außerdem wurde die Entlohnung der Horden-Elite erhöht.Die Anzahl der Hordeneliten wurde reduziert.
 - Optimierung der Kämpfertalente: Das Kämpfertalentsystem wurde zu"&amp;"rückgesetzt und die Auswahl der Talente interessanter gestaltet.
 - Optimierung des Ultimativen Affen: Das Event-Interface wurde optimiert - man kann nun historische Platzierungen sehen und Ehre erlangen, indem man hohe Platzierungen anzeigt, die man erre"&amp;"icht hat.
 - Optimierung der Mutanten: Die Mechanik hinter den Belohnungen wurde angepasst, das Besiegen von Mutanten bietet nun passende Belohnungen.
 - Optimierung der Marschgeschwindigkeit: Die Marschgeschwindigkeit für Truppen und Monster wurde leicht"&amp;" reduziert, um das Marschieren logischer zu gestalten.
 - Teleportationsoptimierung: Detaillierte Erklärungen für Energie und Teleportation wurden hinzugefügt, um die Nutzung der Teleportationsfunktion transparenter zu machen.
 - Interface-Optimierung: Op"&amp;"timierte Anzeigen für Spielerinformationen, Platzierungen, Clans, Kämpfer, Horden-Elite, Mail und Chat. Außerdem wurden die Anzeigen für das Astral-Kolosseum, Horden-Konvois und das Truppen-Kampf-Interface optimiert.
 - Optimierung der Batterie-Technologi"&amp;"en: Truppenangriff für bestimmte Batterie-Technologien wurden auf Level 35 erweitert, außerdem wurden entsprechende Sub-Quests hinzugefügt.
 - Optimierung der Kosten für Verteiler: Die Ressourcen, die für Verteiler verbraucht werden, wurden angepasst.
 - "&amp;"Optimierung der Clan-Forschung: Außerdem wurden die Effekte von ""Fluch des Mutanten"" und ""Volle Fahrt voraus"" geändert.
 - Optimierung der Belohnungen für Affentore: Die Belohnung für die Erstbesetzung von Affentoren wurde angepasst.
 - Optimierung de"&amp;"r Raketentechnologie: Buffs und zugehörige Items, die von alten Raketentechnologien übrig geblieben sind, wurden entfernt.
 - Optimierung der Clan-Stärke: Für die Berechnung der Clan-Stärke wird nur noch die Stärke der zuletzt aktiven Spielers berücksicht"&amp;"igt.
 - Optimierung der Ressourcenpunkte: Die Logik und Verteilung der Ressourcenpunkte sowie deren Funktionsmechanismus wurden optimiert.
 - Optimierung der Spielerinfo: Neue ""Gefällt mir""-Funktion und benutzerdefinierte Avatar-Funktion wurden hinzugef"&amp;"ügt.")</f>
        <v>- Neues Feature: Horden-Ehre. Kämpfe für deine Horde und erhalte Belohnungen!
 - Neues Event: Gewinne spezielle Dekorationen &amp; Belohnungen in Valentinstags-Events!
 - Neue Kämpfer: Bono Boom, Schütze mit erstaunlichen Kampffähigkeiten; Sergeant Buzz, ein mysteriöser Arzt. Erhalte sie über Horden-Ehre oder im Astral-Kolosseum.
 - Neue Kapitel-Quest-Geschichten - führe deine Truppen auf der Suche nach der Genbank!
 - Neue Normal-Ortung für Relikt-Ortung hinzugefügt: Schließe Quests ab, um den Normalen Ortungs-Scanner zu erhalten und Relikte zu finden, die von den Menschen zurückgelassen wurden.
 - Neuer Angriffsmechanismus für Kämpfer: Kämpfer können nun normale Angriffe einsetzen, um den Feind zu besiegen.
 - Neue Kapitel-Quest-Geschichten: Völlig neue Geschichten für Kapitel-Quests. Führe deine Truppen auf der Suche nach der Genbank!
 - Optimierung der Horden-Konvois: Die Qualität der Konvois wird beim Aktualisieren nicht mehr reduziert, außerdem wurden die Belohnungen für Konvois optimiert.
 - Optimierung des Hordenparlaments: Es wurde ein neuer Ruinentyp hinzugefügt - Versorgungsterminals. Außerdem wurde die Entlohnung der Horden-Elite erhöht.Die Anzahl der Hordeneliten wurde reduziert.
 - Optimierung der Kämpfertalente: Das Kämpfertalentsystem wurde zurückgesetzt und die Auswahl der Talente interessanter gestaltet.
 - Optimierung des Ultimativen Affen: Das Event-Interface wurde optimiert - man kann nun historische Platzierungen sehen und Ehre erlangen, indem man hohe Platzierungen anzeigt, die man erreicht hat.
 - Optimierung der Mutanten: Die Mechanik hinter den Belohnungen wurde angepasst, das Besiegen von Mutanten bietet nun passende Belohnungen.
 - Optimierung der Marschgeschwindigkeit: Die Marschgeschwindigkeit für Truppen und Monster wurde leicht reduziert, um das Marschieren logischer zu gestalten.
 - Teleportationsoptimierung: Detaillierte Erklärungen für Energie und Teleportation wurden hinzugefügt, um die Nutzung der Teleportationsfunktion transparenter zu machen.
 - Interface-Optimierung: Optimierte Anzeigen für Spielerinformationen, Platzierungen, Clans, Kämpfer, Horden-Elite, Mail und Chat. Außerdem wurden die Anzeigen für das Astral-Kolosseum, Horden-Konvois und das Truppen-Kampf-Interface optimiert.
 - Optimierung der Batterie-Technologien: Truppenangriff für bestimmte Batterie-Technologien wurden auf Level 35 erweitert, außerdem wurden entsprechende Sub-Quests hinzugefügt.
 - Optimierung der Kosten für Verteiler: Die Ressourcen, die für Verteiler verbraucht werden, wurden angepasst.
 - Optimierung der Clan-Forschung: Außerdem wurden die Effekte von "Fluch des Mutanten" und "Volle Fahrt voraus" geändert.
 - Optimierung der Belohnungen für Affentore: Die Belohnung für die Erstbesetzung von Affentoren wurde angepasst.
 - Optimierung der Raketentechnologie: Buffs und zugehörige Items, die von alten Raketentechnologien übrig geblieben sind, wurden entfernt.
 - Optimierung der Clan-Stärke: Für die Berechnung der Clan-Stärke wird nur noch die Stärke der zuletzt aktiven Spielers berücksichtigt.
 - Optimierung der Ressourcenpunkte: Die Logik und Verteilung der Ressourcenpunkte sowie deren Funktionsmechanismus wurden optimiert.
 - Optimierung der Spielerinfo: Neue "Gefällt mir"-Funktion und benutzerdefinierte Avatar-Funktion wurden hinzugefügt.</v>
      </c>
      <c r="F3" s="34" t="str">
        <f>IFERROR(__xludf.DUMMYFUNCTION("""COMPUTED_VALUE"""),"- Novidade: Honras do Clã Lute pelo seu clã e ganhe recompensas!
 - Novo evento: ganhe decorações especiais e recompensas nos eventos de dia dos namorados!
 - Novos combatentes: Bono Bomba, um atirador com habilidades de combate de alto nível e Sargento B"&amp;"uzz, um médico misterioso. Obtenha-os nas Honras do Clã ou no Coliseu Astral!
 - Novas missões da história do capítulo - lidere suas tropas e encontre o banco de genes!
 - Nova detecção normal adicionada à detecção de relíquias: conclua as missões e ganhe"&amp;" a sonda normal e, com ela, encontre as relíquias deixadas pela humanidade.
 - Nova mecânica de ataque: combatentes podem agora usar ataques normais para derrotar o inimigo.
 - Novas histórias para as missões de capítulo: novíssimas histórias para as miss"&amp;"ões de capítulo Lidere suas tropas e encontre o banco de genes!
 - Melhoria no comboio de clã: a qualidade dos comboios não piorará na renovação. As recompensas de comboio também foram melhoradas.
 - Melhoria no parlamento do clã: novo tipo de ruína adici"&amp;"onado - Terminais de abastecimento A compensação da Elite do clã também foi aumentada.Reduzido o número de Elites do Clã.
 - Melhorias de talento: redefina o sistema de talentos do combatente e organize-os de uma maneira mais interessante.
 - Melhorias no"&amp;" Macaco Supremo: interface de evento melhorada - agora é possível ver o histórico de classificações e ganhar honra ao mostrar as mais altas que você já recebeu.
 - Melhorias nos símios mutantes: melhora na mecânica de recompensas. Derrotar mutantes dispon"&amp;"ibilizará as recompensas correspondentes.
 - Melhoria na velocidade de deslocamento: pequenos ajustes na velocidade de marcha para tropas e monstros.
 - Melhorias de teletransporte: explicações detalhadas sobre o uso da energia e funcionamento do teletran"&amp;"sporte, tornando-os mais compreensíveis.
 - Melhorias na interface: visuais melhorados para informações do jogador, classificações, gangues, combatentes, elite do clã, caixa de entrada e chat. Além disso, visuais melhorados para o Coliseu Astral, comboio "&amp;"do clã e nas interfaces de batalha das tropas.
 - Melhoria nas tecnologias de pilhas: o ataque de tropas a determinadas tecnologias de pilhas foram expandidas para o nível 35, além de missões secundárias correspondentes.
 - Melhorias no custo do distribui"&amp;"dor: ajustes nos custos de recursos consumidos por distribuidores.
 - Melhoria na pesquisa da gangue: Mudança nos efeitos de ""A maldição mutante"" e ""A toda velocidade"". 
 - Melhoria nas recompensas de passes: ajustes na recompensa de passes ao fazer a"&amp;" primeira ocupação.
 - Melhorias nas tecnologias de foguete: redefinição de auxílios e itens relacionados remanescentes de antigas tecnologias de foguetes.
 - Melhorias no poder das gangues: o poder da gangue agora levará em conta o poder de jogadores ati"&amp;"vos.
 - Melhorias nos pontos de recursos: foram melhoradas a lógica e a distribuição de pontos de recursos, além das mecânicas de operação.
 - Melhoria na seção de informações do jogador: as funções ""Curtir"" e avatar personalizado foram adicionadas.")</f>
        <v>- Novidade: Honras do Clã Lute pelo seu clã e ganhe recompensas!
 - Novo evento: ganhe decorações especiais e recompensas nos eventos de dia dos namorados!
 - Novos combatentes: Bono Bomba, um atirador com habilidades de combate de alto nível e Sargento Buzz, um médico misterioso. Obtenha-os nas Honras do Clã ou no Coliseu Astral!
 - Novas missões da história do capítulo - lidere suas tropas e encontre o banco de genes!
 - Nova detecção normal adicionada à detecção de relíquias: conclua as missões e ganhe a sonda normal e, com ela, encontre as relíquias deixadas pela humanidade.
 - Nova mecânica de ataque: combatentes podem agora usar ataques normais para derrotar o inimigo.
 - Novas histórias para as missões de capítulo: novíssimas histórias para as missões de capítulo Lidere suas tropas e encontre o banco de genes!
 - Melhoria no comboio de clã: a qualidade dos comboios não piorará na renovação. As recompensas de comboio também foram melhoradas.
 - Melhoria no parlamento do clã: novo tipo de ruína adicionado - Terminais de abastecimento A compensação da Elite do clã também foi aumentada.Reduzido o número de Elites do Clã.
 - Melhorias de talento: redefina o sistema de talentos do combatente e organize-os de uma maneira mais interessante.
 - Melhorias no Macaco Supremo: interface de evento melhorada - agora é possível ver o histórico de classificações e ganhar honra ao mostrar as mais altas que você já recebeu.
 - Melhorias nos símios mutantes: melhora na mecânica de recompensas. Derrotar mutantes disponibilizará as recompensas correspondentes.
 - Melhoria na velocidade de deslocamento: pequenos ajustes na velocidade de marcha para tropas e monstros.
 - Melhorias de teletransporte: explicações detalhadas sobre o uso da energia e funcionamento do teletransporte, tornando-os mais compreensíveis.
 - Melhorias na interface: visuais melhorados para informações do jogador, classificações, gangues, combatentes, elite do clã, caixa de entrada e chat. Além disso, visuais melhorados para o Coliseu Astral, comboio do clã e nas interfaces de batalha das tropas.
 - Melhoria nas tecnologias de pilhas: o ataque de tropas a determinadas tecnologias de pilhas foram expandidas para o nível 35, além de missões secundárias correspondentes.
 - Melhorias no custo do distribuidor: ajustes nos custos de recursos consumidos por distribuidores.
 - Melhoria na pesquisa da gangue: Mudança nos efeitos de "A maldição mutante" e "A toda velocidade". 
 - Melhoria nas recompensas de passes: ajustes na recompensa de passes ao fazer a primeira ocupação.
 - Melhorias nas tecnologias de foguete: redefinição de auxílios e itens relacionados remanescentes de antigas tecnologias de foguetes.
 - Melhorias no poder das gangues: o poder da gangue agora levará em conta o poder de jogadores ativos.
 - Melhorias nos pontos de recursos: foram melhoradas a lógica e a distribuição de pontos de recursos, além das mecânicas de operação.
 - Melhoria na seção de informações do jogador: as funções "Curtir" e avatar personalizado foram adicionadas.</v>
      </c>
      <c r="G3" s="34" t="str">
        <f>IFERROR(__xludf.DUMMYFUNCTION("""COMPUTED_VALUE"""),"- 新增玩法：軍功系統，為你的氏族竭盡全力，獲取軍功贏取豐富獎勵！
- 新增活動：情人節活動即將開啟：參與活動，贏取節日限定裝飾和其他豐富獎勵！
- 新增鬥士：戰爭大師彼得，戰功卓著的全能射擊手；太空醫師強尼，沉默神秘的醫療領袖；可以通過軍功系統、決戰衛星之巔獲得他們。
- 新增收藏品常規探測：展覽館常規探測開啟、完成任務，贏取常規探測雷達，尋找人類遺留的收藏品。
- 新增鬥士攻擊機制：鬥士們現在可以用普通攻擊來擊殺敵人了。
- 新增章節任務劇情：全新章節劇情任務，趕快率領你的部隊來尋找基因寶庫吧！
- "&amp;"氏族押運優化：現在進行刷新，鏢車品質不會降低了，同時優化了押運獎勵。
- 氏族議院優化：增加了新的廢墟種類：補給站，同時新增了氏族官員工資。
- 英雄天賦優化：重置了鬥士天賦系統，鬥士的天賦抉擇將變得更加有趣。
- 最強猴子表現優化：優化了活動界面，這場比賽更值得參與了！您不僅能夠看到最強猴子歷史排名，拿到優秀名次後還將獲得展示榮譽的機會！
- 異種蠻猴優化：調整了獎勵發放邏輯，現在每次擊敗異種蠻猴都可以獲得對應的獎勵了。
- 行軍速度優化：適度減慢了部隊行軍速度和野怪行軍速度，整體行軍更合理了。
- 傳"&amp;"送功能優化：補充了能量說明、傳送說明，現在使用傳送功能時，可以獲得更明確的反饋。
- 界面表現優化：優化了玩家信息、排行榜、幫派、鬥士、氏族官員、郵件、聊天的界面顯示效果，優化了決戰衛星之巔、氏族押運、部隊戰鬥的界面表現等細節。
- 電池科技優化：電池科技的兵種攻擊節點擴展到了35級，同時增加了對應的支線任務。
- 旗幟消耗優化：調整了消耗的資源。
- 幫派科技優化：修改了白猴剋星、全速前進的效果。
- 關卡佔領獎勵優化：重新調整了關卡的首佔獎勵。
- 火箭科技優化：刪除了原火箭科技遺留的增益，同時移除了"&amp;"火箭科技相關的道具。
- 部落戰鬥力優化：我們將只記錄近期上線的玩家的總戰鬥力。
- 採集點優化：優化了採集點的邏輯和資源分佈，優化了幫派採集點的機制。
- 玩家信息優化：新增點贊功能，自定義頭像功能。")</f>
        <v>- 新增玩法：軍功系統，為你的氏族竭盡全力，獲取軍功贏取豐富獎勵！
- 新增活動：情人節活動即將開啟：參與活動，贏取節日限定裝飾和其他豐富獎勵！
- 新增鬥士：戰爭大師彼得，戰功卓著的全能射擊手；太空醫師強尼，沉默神秘的醫療領袖；可以通過軍功系統、決戰衛星之巔獲得他們。
- 新增收藏品常規探測：展覽館常規探測開啟、完成任務，贏取常規探測雷達，尋找人類遺留的收藏品。
- 新增鬥士攻擊機制：鬥士們現在可以用普通攻擊來擊殺敵人了。
- 新增章節任務劇情：全新章節劇情任務，趕快率領你的部隊來尋找基因寶庫吧！
- 氏族押運優化：現在進行刷新，鏢車品質不會降低了，同時優化了押運獎勵。
- 氏族議院優化：增加了新的廢墟種類：補給站，同時新增了氏族官員工資。
- 英雄天賦優化：重置了鬥士天賦系統，鬥士的天賦抉擇將變得更加有趣。
- 最強猴子表現優化：優化了活動界面，這場比賽更值得參與了！您不僅能夠看到最強猴子歷史排名，拿到優秀名次後還將獲得展示榮譽的機會！
- 異種蠻猴優化：調整了獎勵發放邏輯，現在每次擊敗異種蠻猴都可以獲得對應的獎勵了。
- 行軍速度優化：適度減慢了部隊行軍速度和野怪行軍速度，整體行軍更合理了。
- 傳送功能優化：補充了能量說明、傳送說明，現在使用傳送功能時，可以獲得更明確的反饋。
- 界面表現優化：優化了玩家信息、排行榜、幫派、鬥士、氏族官員、郵件、聊天的界面顯示效果，優化了決戰衛星之巔、氏族押運、部隊戰鬥的界面表現等細節。
- 電池科技優化：電池科技的兵種攻擊節點擴展到了35級，同時增加了對應的支線任務。
- 旗幟消耗優化：調整了消耗的資源。
- 幫派科技優化：修改了白猴剋星、全速前進的效果。
- 關卡佔領獎勵優化：重新調整了關卡的首佔獎勵。
- 火箭科技優化：刪除了原火箭科技遺留的增益，同時移除了火箭科技相關的道具。
- 部落戰鬥力優化：我們將只記錄近期上線的玩家的總戰鬥力。
- 採集點優化：優化了採集點的邏輯和資源分佈，優化了幫派採集點的機制。
- 玩家信息優化：新增點贊功能，自定義頭像功能。</v>
      </c>
      <c r="H3" s="34" t="str">
        <f>IFERROR(__xludf.DUMMYFUNCTION("""COMPUTED_VALUE"""),"- Fitur baru: Kehormatan Klan. Bertarung untuk Klanmu, dapatkan hadiah!
 - Acara baru: menangkan dekorasi &amp; hadiah spesial di acara Hari Kasih Sayang!
 - Pejuang Baru: Bono Boom, Penembak dengan keterampilan bertarung luar biasa; Sersan Buzz, dokter miste"&amp;"rius. Dapatkan mereka di Kehormatan Klan atau Koloseum Astral.
 - Babak kisah pencarian baru - pimpin pasukanmu untuk menemukan Bank Gen!
 - Pendeteksi Normal Baru ditambahkan untuk Mendeteksi Pusaka: selesaikan pencarian untuk mendapatkan Detektor Pemind"&amp;"ai Normal dan temukan pusaka yang ditinggalkan manusia.
 - Mekanisme serangan Pejuang baru: Pejuang kini dapat menggunakan serangan normal untuk mengalahkan musuh.
 - Babak kisah pencarian baru: kisah baru untuk babak pencarian. Pimpin pasukan Anda untuk "&amp;"menemukan Bank Gen!
 - Pengoptimalan Konvoi Klan: Kualitas Konvoi tidak akan dikurangi lagi melakukan refresh, hadiah konvoi juga dioptimalkan.
 - Pengoptimalan Parlemen Klan: menambahkan jenis Reruntuhan baru - Terminal Pasokan. Serta peningkatan kompens"&amp;"asi Elite Klan.Mengurangi jumlah Klan Elite
 - Pengoptimalan Bakat Pejuang: mereset sistem Bakat Pejuang dan membuat pemilihan bakat menjadi lebih menarik.
 - Pengoptimalan Kera Terkuat: antarmuka acara yang dioptimalkan - kini kamu bisa melihat riwayat p"&amp;"eringkat dan dihormati karena peringkat tinggi yang kamu dapatkan.
 - Pengoptimalan Kera Mutan: menyesuaikan mekanisme di balik hadiah, kemenangan melawan Mutan akan memberikan hadiah yang sesuai.
 - Pengoptimalan kecepatan berbaris: kecepatan berbaris pa"&amp;"sukan dan monster sedikit dikurangi untuk membuat perjalanan menjadi lebih logis.
 - Pengoptimalan teleportasi: menambahkan penjelasan Energi dan teleportasi yang mendetail, sehingga penggunaan fungsi teleportasi menjadi lebih transparan.
 - Pengoptimalan"&amp;" antarmuka: tampilan Info Pemain, Peringkat, Geng, Pejuang, Elite Klan, Pesan, dan Obrolan yang dioptimalkan. Serta detail tampilan Koloseum Astral, Konvoi Klan, antarmuka pertarungan Pasukan yang dioptimalkan.
 - Pengoptimalan Teknologi Baterai: Serangan"&amp;" Pasukan untuk teknologi Baterai tertentu telah ditingkatkan hingga level 35, serta penambahan subtantangan yang sesuai.
 - Pengoptimalan biaya distributor: penyesuaian sumber daya yang digunakan untuk Distributor.
 - Pengoptimalan Penelitian Geng: menamb"&amp;"ahkan teknologi baru untuk jumlah Distributor dan keunggulan pertahanan Distributor, serta pergantian efek dari Kutukan Mutan dan Bergerak Dengan Kecepatan Penuh.
 - Pengoptimalan hadiah Wilayah Kera: menyesuaikan hadiah tugas pertama dari Wilayah Kera.
 "&amp;"- Pengoptimalan teknologi Roket: menghapus keunggulan dan sisa item dari teknologi Roket lama.
 - Pengoptimalan Kekuatan Geng: hanya Kekuatan pemain aktif terbaru yang akan dihitung untuk Kekuatan Geng.
 - Pengoptimalan poin sumber daya: logika dan distri"&amp;"busi poin sumber daya serta mekanisme operasi fungsi yang dioptimalkan.
 - Pengoptimalan Info Pemain: fungsi ""Suka"" dan fungsi avatar kustom baru yang ditambahkan.")</f>
        <v>- Fitur baru: Kehormatan Klan. Bertarung untuk Klanmu, dapatkan hadiah!
 - Acara baru: menangkan dekorasi &amp; hadiah spesial di acara Hari Kasih Sayang!
 - Pejuang Baru: Bono Boom, Penembak dengan keterampilan bertarung luar biasa; Sersan Buzz, dokter misterius. Dapatkan mereka di Kehormatan Klan atau Koloseum Astral.
 - Babak kisah pencarian baru - pimpin pasukanmu untuk menemukan Bank Gen!
 - Pendeteksi Normal Baru ditambahkan untuk Mendeteksi Pusaka: selesaikan pencarian untuk mendapatkan Detektor Pemindai Normal dan temukan pusaka yang ditinggalkan manusia.
 - Mekanisme serangan Pejuang baru: Pejuang kini dapat menggunakan serangan normal untuk mengalahkan musuh.
 - Babak kisah pencarian baru: kisah baru untuk babak pencarian. Pimpin pasukan Anda untuk menemukan Bank Gen!
 - Pengoptimalan Konvoi Klan: Kualitas Konvoi tidak akan dikurangi lagi melakukan refresh, hadiah konvoi juga dioptimalkan.
 - Pengoptimalan Parlemen Klan: menambahkan jenis Reruntuhan baru - Terminal Pasokan. Serta peningkatan kompensasi Elite Klan.Mengurangi jumlah Klan Elite
 - Pengoptimalan Bakat Pejuang: mereset sistem Bakat Pejuang dan membuat pemilihan bakat menjadi lebih menarik.
 - Pengoptimalan Kera Terkuat: antarmuka acara yang dioptimalkan - kini kamu bisa melihat riwayat peringkat dan dihormati karena peringkat tinggi yang kamu dapatkan.
 - Pengoptimalan Kera Mutan: menyesuaikan mekanisme di balik hadiah, kemenangan melawan Mutan akan memberikan hadiah yang sesuai.
 - Pengoptimalan kecepatan berbaris: kecepatan berbaris pasukan dan monster sedikit dikurangi untuk membuat perjalanan menjadi lebih logis.
 - Pengoptimalan teleportasi: menambahkan penjelasan Energi dan teleportasi yang mendetail, sehingga penggunaan fungsi teleportasi menjadi lebih transparan.
 - Pengoptimalan antarmuka: tampilan Info Pemain, Peringkat, Geng, Pejuang, Elite Klan, Pesan, dan Obrolan yang dioptimalkan. Serta detail tampilan Koloseum Astral, Konvoi Klan, antarmuka pertarungan Pasukan yang dioptimalkan.
 - Pengoptimalan Teknologi Baterai: Serangan Pasukan untuk teknologi Baterai tertentu telah ditingkatkan hingga level 35, serta penambahan subtantangan yang sesuai.
 - Pengoptimalan biaya distributor: penyesuaian sumber daya yang digunakan untuk Distributor.
 - Pengoptimalan Penelitian Geng: menambahkan teknologi baru untuk jumlah Distributor dan keunggulan pertahanan Distributor, serta pergantian efek dari Kutukan Mutan dan Bergerak Dengan Kecepatan Penuh.
 - Pengoptimalan hadiah Wilayah Kera: menyesuaikan hadiah tugas pertama dari Wilayah Kera.
 - Pengoptimalan teknologi Roket: menghapus keunggulan dan sisa item dari teknologi Roket lama.
 - Pengoptimalan Kekuatan Geng: hanya Kekuatan pemain aktif terbaru yang akan dihitung untuk Kekuatan Geng.
 - Pengoptimalan poin sumber daya: logika dan distribusi poin sumber daya serta mekanisme operasi fungsi yang dioptimalkan.
 - Pengoptimalan Info Pemain: fungsi "Suka" dan fungsi avatar kustom baru yang ditambahkan.</v>
      </c>
      <c r="I3" s="34" t="str">
        <f>IFERROR(__xludf.DUMMYFUNCTION("""COMPUTED_VALUE"""),"- คุณสมบัติใหม่: เกียรติยศของเผ่า ต่อสู้เพื่อเผ่าของคุณแล้วรับรางวัล!
 - กิจกรรมใหม่: รับรางวัลอุปกรณ์ตกแต่งและรางวัลพิเศษในกิจกรรมวันวาเลนไทน์!
 - นักสู้ใหม่: โบโน่บูม ชูตเตอร์ผู้มีทักษะการต่อสู้สุดเฉียบ และจ่าบัซซ์ คุณหมอผู้ลึกลับ รับทั้งคู่ได้จากรางวัล"&amp;"เกียรติยศของเผ่าหรือโคลีเซียมดวงดาว!
 - เรื่องราวเควสต์บทใหม่: นำกองทหารของคุณออกค้นหาธนาคารยีน!
 - เครื่องสแกนตรวจจับแบบปกติใหม่สำหรับการตรวจจับวัตถุโบราณ: ทำเควสต์ให้สำเร็จเพื่อรับเครื่องสแกนตรวจจับแบบปกติแล้วออกค้นหาวัตถุโบราณที่มนุษยชาติได้ทิ้งเอาไว้ใ"&amp;"ห้
 - กลไกการโจมตีของนักสู้แบบใหม่: ในขณะนี้ นักสู้สามารถใช้การโจมตีแบบปกติเพื่อปราบศัตรูได้แล้ว
 - เรื่องราวเควสต์บทใหม่: เรื่องราวของเควสต์แต่ละบทแบบใหม่ทั้งหมด นำกองทหารของคุณออกค้นหาธนาคารยีน!
 - เพิ่มประสิทธิภาพคอนวอยของกองทหาร: เมื่อรีเฟรช คุณภาพของ"&amp;"คอนวอยจะไม่ลดลงอีกต่อไปและรางวัลของคอนวอยจะเหมาะสมยิ่งขึ้น
 - เพิ่มประสิทธิภาพรัฐสภาเผ่า: เพิ่มประเภทซากปรักหักพังใหม่ในนาม ศูนย์สเบียง และเพิ่มค่าตอบแทนให้ผู้นำเผ่าด้วย
 - เพิ่มประสิทธิภาพความสามารถนักสู้: รีเซ็ตระบบความสามารถของนักสู้และทำให้การเลือกควา"&amp;"มสามารถน่าสนใจยิ่งขึ้น
 - เพิ่มประสิทธิภาพลิงตัวสุดท้าย: ปรับอินเตอร์เฟสเหตุการณ์ให้เหมาะสมยิ่งขึ้น โดยในขณะนี้ คุณสามารถดูประวัติอันดับและเกียรติยศการชนะได้โดยการแสดงอันดับสูงที่คุณได้รับ
 - เพิ่มประสิทธิภาพลิงมิวแตนต์: ปรับกลไกเบื้องหลังรางวัลให้เหมาะสม"&amp;" โดยในขณะนี้ การปราบเหล่ามิวแตนต์จะได้รางวัลที่มีความเหมาะสมยิ่งขึ้น
 - เพิ่มประสิทธิภาพความเร็วการเดินทัพ: ลดความเร็วในการเดินทัพของกองทหารและมอนสเตอร์ลงเล็กน้อยเพื่อให้การเดินทัพสมเหตุผลยิ่งขึ้น
 - เพิ่มประสิทธิภาพเทเลพอร์ต: เพิ่มคำอธิบายพลังงานและการเท"&amp;"เลพอร์ตโดยละเอียด ที่ช่วยให้การใช้งานฟังก์ชันเทเลพอร์ตมีความชัดเจนยิ่งขึ้น
 - เพิ่มประสิทธิภาพอินเตอร์เฟส: ปรับการแสดงผลข้อมูลผู้เล่น อันดับ แก๊ง นักสู้ ผู้นำเผ่า เมล และแชทให้เหมาะสมยิ่งขึ้น อีกทั้งยังปรับรายละเอียดการแสดงผลของอินเตอร์เฟสของโคลีเซียมดวงจ"&amp;"ิต คอนวอยของเผ่า และการต่อสู้ของกองทหารให้เหมาะสมยิ่งขึ้น
 - เพิ่มประสิทธิภาพเทคโนโลยีแบตเตอรี่: เพิ่มพลังโจมตีของกองทหารในเทคโนโลยีแบตเตอรี่บางเทคโนโลยีขึ้นเป็นเลเวล 35 และเพิ่มเควสต์ย่อยที่เกี่ยวข้องด้วย
 - เพิ่มประสิทธิภาพต้นทุนหอกระจายแร่: ปรับทรัพยาก"&amp;"รที่ใช้สำหรับหอกระจายแร่
 - เพิ่มประสิทธิภาพการวิจัยของแก๊ง: รวมถึงเปลี่ยนผลของสารพิษของมิวแตนต์และการเร่งความเร็วเดินหน้าเต็มกำลัง
 - เพิ่มประสิทธิภาพของรางวัลมังกี้พาส: ปรับรางวัลการครอบครองครั้งแรกของมังกี้พาส
 - เพิ่มประสิทธิภาพเทคโนโลยีจรวด: ล้างบัฟฟ"&amp;"์และไอเทมที่เกี่ยวข้องที่หลงเหลือจากเทคโนโลยีจรวดเก่า
 - เพิ่มประสิทธิภาพพลังของแก๊ง: ระบบจะนำเฉพาะพลังของผู้เล่นที่มีการเคลื่อนไหวล่าสุดเท่านั้นมาใช้ในการคำนวณพลังของแก๊ง
 - เพิ่มประสิทธิภาพแหล่งทรัพยากร: ปรับตรรกะและการกระจายตัวของแหล่งทรัพยากรรวมถึงกลไ"&amp;"กการทำงานของฟังก์ชันให้เหมาะสมยิ่งขึ้น
 - เพิ่มประสิทธิภาพข้อมูลผู้เล่น: เพิ่มฟังก์ชั่นใหม่ ""ไลก์"" และฟังก์ชั่นรูปอวาตาร์แบบกำหนดเอง")</f>
        <v>- คุณสมบัติใหม่: เกียรติยศของเผ่า ต่อสู้เพื่อเผ่าของคุณแล้วรับรางวัล!
 - กิจกรรมใหม่: รับรางวัลอุปกรณ์ตกแต่งและรางวัลพิเศษในกิจกรรมวันวาเลนไทน์!
 - นักสู้ใหม่: โบโน่บูม ชูตเตอร์ผู้มีทักษะการต่อสู้สุดเฉียบ และจ่าบัซซ์ คุณหมอผู้ลึกลับ รับทั้งคู่ได้จากรางวัลเกียรติยศของเผ่าหรือโคลีเซียมดวงดาว!
 - เรื่องราวเควสต์บทใหม่: นำกองทหารของคุณออกค้นหาธนาคารยีน!
 - เครื่องสแกนตรวจจับแบบปกติใหม่สำหรับการตรวจจับวัตถุโบราณ: ทำเควสต์ให้สำเร็จเพื่อรับเครื่องสแกนตรวจจับแบบปกติแล้วออกค้นหาวัตถุโบราณที่มนุษยชาติได้ทิ้งเอาไว้ให้
 - กลไกการโจมตีของนักสู้แบบใหม่: ในขณะนี้ นักสู้สามารถใช้การโจมตีแบบปกติเพื่อปราบศัตรูได้แล้ว
 - เรื่องราวเควสต์บทใหม่: เรื่องราวของเควสต์แต่ละบทแบบใหม่ทั้งหมด นำกองทหารของคุณออกค้นหาธนาคารยีน!
 - เพิ่มประสิทธิภาพคอนวอยของกองทหาร: เมื่อรีเฟรช คุณภาพของคอนวอยจะไม่ลดลงอีกต่อไปและรางวัลของคอนวอยจะเหมาะสมยิ่งขึ้น
 - เพิ่มประสิทธิภาพรัฐสภาเผ่า: เพิ่มประเภทซากปรักหักพังใหม่ในนาม ศูนย์สเบียง และเพิ่มค่าตอบแทนให้ผู้นำเผ่าด้วย
 - เพิ่มประสิทธิภาพความสามารถนักสู้: รีเซ็ตระบบความสามารถของนักสู้และทำให้การเลือกความสามารถน่าสนใจยิ่งขึ้น
 - เพิ่มประสิทธิภาพลิงตัวสุดท้าย: ปรับอินเตอร์เฟสเหตุการณ์ให้เหมาะสมยิ่งขึ้น โดยในขณะนี้ คุณสามารถดูประวัติอันดับและเกียรติยศการชนะได้โดยการแสดงอันดับสูงที่คุณได้รับ
 - เพิ่มประสิทธิภาพลิงมิวแตนต์: ปรับกลไกเบื้องหลังรางวัลให้เหมาะสม โดยในขณะนี้ การปราบเหล่ามิวแตนต์จะได้รางวัลที่มีความเหมาะสมยิ่งขึ้น
 - เพิ่มประสิทธิภาพความเร็วการเดินทัพ: ลดความเร็วในการเดินทัพของกองทหารและมอนสเตอร์ลงเล็กน้อยเพื่อให้การเดินทัพสมเหตุผลยิ่งขึ้น
 - เพิ่มประสิทธิภาพเทเลพอร์ต: เพิ่มคำอธิบายพลังงานและการเทเลพอร์ตโดยละเอียด ที่ช่วยให้การใช้งานฟังก์ชันเทเลพอร์ตมีความชัดเจนยิ่งขึ้น
 - เพิ่มประสิทธิภาพอินเตอร์เฟส: ปรับการแสดงผลข้อมูลผู้เล่น อันดับ แก๊ง นักสู้ ผู้นำเผ่า เมล และแชทให้เหมาะสมยิ่งขึ้น อีกทั้งยังปรับรายละเอียดการแสดงผลของอินเตอร์เฟสของโคลีเซียมดวงจิต คอนวอยของเผ่า และการต่อสู้ของกองทหารให้เหมาะสมยิ่งขึ้น
 - เพิ่มประสิทธิภาพเทคโนโลยีแบตเตอรี่: เพิ่มพลังโจมตีของกองทหารในเทคโนโลยีแบตเตอรี่บางเทคโนโลยีขึ้นเป็นเลเวล 35 และเพิ่มเควสต์ย่อยที่เกี่ยวข้องด้วย
 - เพิ่มประสิทธิภาพต้นทุนหอกระจายแร่: ปรับทรัพยากรที่ใช้สำหรับหอกระจายแร่
 - เพิ่มประสิทธิภาพการวิจัยของแก๊ง: รวมถึงเปลี่ยนผลของสารพิษของมิวแตนต์และการเร่งความเร็วเดินหน้าเต็มกำลัง
 - เพิ่มประสิทธิภาพของรางวัลมังกี้พาส: ปรับรางวัลการครอบครองครั้งแรกของมังกี้พาส
 - เพิ่มประสิทธิภาพเทคโนโลยีจรวด: ล้างบัฟฟ์และไอเทมที่เกี่ยวข้องที่หลงเหลือจากเทคโนโลยีจรวดเก่า
 - เพิ่มประสิทธิภาพพลังของแก๊ง: ระบบจะนำเฉพาะพลังของผู้เล่นที่มีการเคลื่อนไหวล่าสุดเท่านั้นมาใช้ในการคำนวณพลังของแก๊ง
 - เพิ่มประสิทธิภาพแหล่งทรัพยากร: ปรับตรรกะและการกระจายตัวของแหล่งทรัพยากรรวมถึงกลไกการทำงานของฟังก์ชันให้เหมาะสมยิ่งขึ้น
 - เพิ่มประสิทธิภาพข้อมูลผู้เล่น: เพิ่มฟังก์ชั่นใหม่ "ไลก์" และฟังก์ชั่นรูปอวาตาร์แบบกำหนดเอง</v>
      </c>
      <c r="J3" s="34" t="str">
        <f>IFERROR(__xludf.DUMMYFUNCTION("""COMPUTED_VALUE"""),"- Nuevas Características: Honores de Clan, Lucha por tu Clan, ¡gana recompensas!
- Nuevo Evento: Gana decoraciones especiales y recompensas en los eventos de Día de San Valentín. 
- Nuevos Luchadores: Bono Boom, un Tirador con increíbles habilidades de co"&amp;"mbate; Sargento Buzz, un doctor misterioso. Obtenlos en Honores de Clan o el Coliseo Astral.
- Nuevas Historias de Misiones de Capítulo: ¡Liderea tus tropas para encontrar el Banco de Genes!
- Nueva Detección Normal agregado para para Detección de Reliqui"&amp;"as: Completa misiones para obtener el Escáner Detector Normal y encuentra reliquias dejadas por los humanos.
- Nuevo mecanismo de ataque para nuevo Luchador: Los Luchadores pueden usar ahora ataques normales para derrotar al enemigo. 
- Nuevas Historias d"&amp;"e Misiones de Capítulo: Totalmente nuevas historias con misiones de capitulo. ¡Liderea tus tropas para encontrar el Gen de Bancos!
- Optimización del Convoy de Clan: La calidad del Convoy ya no se reducirá al actualizar, también se optimizaron las recompe"&amp;"nsas de convoy. 
- Optimización de Parlamento del Clan: se agrego un nuevo tipo de Ruina - Terminales de Suministros. También se incremento la compensación del Élite de Clan. Se redujo el número de Élites del Clan
- Optimización del Talento del Luchador: "&amp;"se reinició el sistema de Talentos de Luchador para hacer la selección de talentos más interesante. 
- Optimización del Mono Supremo: se optimizó la interfase del evento - ahora puedes ver clasificaciones históricas y ganar honor desplegando las altas cla"&amp;"sificaciones que has recibido.
- Optimización de los Monos Mutantes: Se ajusto el mecanismo relacionado con las recompensas, ahora al derrotar Mutantes se te ofrecerán recompensas por la partida.
- Optimización de velocidad de marcha: Se redujo levemente "&amp;"la velocidad de marcha para las tropas y los monstruos para hacer la marcha más lógica. 
- Optimización del teletransporte: se agregaron explicaciones detalladas para el funcionamiento de la Energía y el teletransporte, haciendo que la función de teletran"&amp;"sporte sea ahora más transparente. 
- Optimización de la interface: Pantallas optimizadas para Información del Jugador, Clasificaciones, Bandas, Luchadores, Élites del Clan, Correo y Chat. También se optimizaron los detalles con información del Coliseo, C"&amp;"onvoy del Clan, interfaces de batalla de las Tropas. 
- Optimización de Tecnologías de Batería: El Ataque de las Tropas para algunas tecnologías de Batería ha sido expandida a nivel 35, también se han agregado las correspondientes sub misiones. 
- Optimiz"&amp;"ación del costo de distribuidor: Se ajustaron los recursos consumidos por los Distribuidores. 
- Optimización en la Investigación de la Banda: también se cambiaron los efectos para el Bane Mutante y para A Toda Velocidad.
- Optimización de las recompensas"&amp;" del Paso del Mono: Ajuste de la recompensa por primera ocupación para los Pasos del Mono. 
- Optimización de la tecnología de cohete: Se eliminaron mejoras y artículos relaciones remanentes de las tecnologías antiguas de Cohete.
- Optimización de Poder d"&amp;"e la Banda: Solamente el Poder activo del jugador será calculado para el Poder de la Banda. 
- Optimización de los puntos de recurso: Se optimizó la lógica y la distribución de los puntos de recursos, así como el mecanismo operativo de su función. 
- Opti"&amp;"mización de la Información de jugador: Se agrego una nueva función de “Me gusta” y una función de personalizar avatar.")</f>
        <v>- Nuevas Características: Honores de Clan, Lucha por tu Clan, ¡gana recompensas!
- Nuevo Evento: Gana decoraciones especiales y recompensas en los eventos de Día de San Valentín. 
- Nuevos Luchadores: Bono Boom, un Tirador con increíbles habilidades de combate; Sargento Buzz, un doctor misterioso. Obtenlos en Honores de Clan o el Coliseo Astral.
- Nuevas Historias de Misiones de Capítulo: ¡Liderea tus tropas para encontrar el Banco de Genes!
- Nueva Detección Normal agregado para para Detección de Reliquias: Completa misiones para obtener el Escáner Detector Normal y encuentra reliquias dejadas por los humanos.
- Nuevo mecanismo de ataque para nuevo Luchador: Los Luchadores pueden usar ahora ataques normales para derrotar al enemigo. 
- Nuevas Historias de Misiones de Capítulo: Totalmente nuevas historias con misiones de capitulo. ¡Liderea tus tropas para encontrar el Gen de Bancos!
- Optimización del Convoy de Clan: La calidad del Convoy ya no se reducirá al actualizar, también se optimizaron las recompensas de convoy. 
- Optimización de Parlamento del Clan: se agrego un nuevo tipo de Ruina - Terminales de Suministros. También se incremento la compensación del Élite de Clan. Se redujo el número de Élites del Clan
- Optimización del Talento del Luchador: se reinició el sistema de Talentos de Luchador para hacer la selección de talentos más interesante. 
- Optimización del Mono Supremo: se optimizó la interfase del evento - ahora puedes ver clasificaciones históricas y ganar honor desplegando las altas clasificaciones que has recibido.
- Optimización de los Monos Mutantes: Se ajusto el mecanismo relacionado con las recompensas, ahora al derrotar Mutantes se te ofrecerán recompensas por la partida.
- Optimización de velocidad de marcha: Se redujo levemente la velocidad de marcha para las tropas y los monstruos para hacer la marcha más lógica. 
- Optimización del teletransporte: se agregaron explicaciones detalladas para el funcionamiento de la Energía y el teletransporte, haciendo que la función de teletransporte sea ahora más transparente. 
- Optimización de la interface: Pantallas optimizadas para Información del Jugador, Clasificaciones, Bandas, Luchadores, Élites del Clan, Correo y Chat. También se optimizaron los detalles con información del Coliseo, Convoy del Clan, interfaces de batalla de las Tropas. 
- Optimización de Tecnologías de Batería: El Ataque de las Tropas para algunas tecnologías de Batería ha sido expandida a nivel 35, también se han agregado las correspondientes sub misiones. 
- Optimización del costo de distribuidor: Se ajustaron los recursos consumidos por los Distribuidores. 
- Optimización en la Investigación de la Banda: también se cambiaron los efectos para el Bane Mutante y para A Toda Velocidad.
- Optimización de las recompensas del Paso del Mono: Ajuste de la recompensa por primera ocupación para los Pasos del Mono. 
- Optimización de la tecnología de cohete: Se eliminaron mejoras y artículos relaciones remanentes de las tecnologías antiguas de Cohete.
- Optimización de Poder de la Banda: Solamente el Poder activo del jugador será calculado para el Poder de la Banda. 
- Optimización de los puntos de recurso: Se optimizó la lógica y la distribución de los puntos de recursos, así como el mecanismo operativo de su función. 
- Optimización de la Información de jugador: Se agrego una nueva función de “Me gusta” y una función de personalizar avatar.</v>
      </c>
      <c r="K3" s="34" t="str">
        <f>IFERROR(__xludf.DUMMYFUNCTION("""COMPUTED_VALUE"""),"- Новые возможности: «Честь клана». Сражайтесь за свой клан и выигрывайте награды!
- Новое событие: выигрывайте особые украшения и призы в мероприятиях на День святого Валентина!
- Новые бойцы: Боно Бум, стрелок и отличный воин, и сержант Базз — таинствен"&amp;"ный доктор! Их можно получить за «Честь клана» или в Астральном Колизее!
- Истории заданий новой главы: ведите свои войска вперед и найдите генный банк!
- Добавлена новая возможность использовать обычное сканирование реликвий: проходите задания, чтобы пол"&amp;"учить обычный детектор и сканировать реликвии, оставленные человечеством.
- Новый механизм атаки героев: герои могут использовать обычные атаки, чтобы победить врагов.
- Истории заданий новой главы: новые истории для заданий главы. Ведите свои войска впер"&amp;"ед и найдите генный банк!
- Оптимизация караванов кланов: качество каравана больше не снижается после обновления; также оптимизированы награды.
- Оптимизация парламента клана: добавлен новый тип руин — терминалы снабжения. Также повышена компенсация для э"&amp;"литы клана.Снижено число элиты клана
- Оптимизация талантов героев: мы сбросили систему талантов героев и сделали выбор талантов интереснее.
- Оптимизация «Великой обезьяны»: оптимизирован интерфейс события — теперь вы можете видеть исторические рейтинги "&amp;"и заслуживать честь, показывая полученный вами высокий рейтинг.
- Оптимизация обезьян-мутантов: настроен механизм наград — теперь победа над мутантами приносит соответствующие награды.
- Оптимизация скорости марша: скорость марша для войск и монстров слег"&amp;"ка снижена, чтобы марши были более логичными.
- Оптимизация телепортаций: добавлено детальное объяснение системы энергии и телепортации, чтобы функция телепортации стала понятнее.
- Оптимизация интерфейса: оптимизировано отображение сведений об игроке, ре"&amp;"йтинга, банд, героев, элиты клана, почты и чата. Также оптимизировано отображение интерфейса Астрального Колизея, каравана клана и сражений войск.
- Оптимизация технологий батареек: атака войск для определенных технологий батареек расширена до уровня 35, "&amp;"также добавлены соответствующие подзадания.
- Оптимизация стоимости распределителей: скорректирован расход ресурсов на распределители.
- Оптимизация исследований банды: также поменялись эффекты технологий «Бич мутантов» и «Полный вперед».
- Оптимизация на"&amp;"град обезьяньих проходов: настроена награда за первую оккупацию обезьяньего прохода.
- Оптимизация ракетных технологий: очищены усиления и элементы, оставшиеся от старых ракетных технологий.
- Оптимизация мощи банды: в мощи банды учитываются только те игр"&amp;"оки, которые были активны недавно.
- Оптимизация точек ресурсов: оптимизирована логика и распределение точек ресурсов и механизм работы функции.
- Оптимизация сведений об игроке: добавлена новая функция «лайков» и функция настройки аватара.")</f>
        <v>- Новые возможности: «Честь клана». Сражайтесь за свой клан и выигрывайте награды!
- Новое событие: выигрывайте особые украшения и призы в мероприятиях на День святого Валентина!
- Новые бойцы: Боно Бум, стрелок и отличный воин, и сержант Базз — таинственный доктор! Их можно получить за «Честь клана» или в Астральном Колизее!
- Истории заданий новой главы: ведите свои войска вперед и найдите генный банк!
- Добавлена новая возможность использовать обычное сканирование реликвий: проходите задания, чтобы получить обычный детектор и сканировать реликвии, оставленные человечеством.
- Новый механизм атаки героев: герои могут использовать обычные атаки, чтобы победить врагов.
- Истории заданий новой главы: новые истории для заданий главы. Ведите свои войска вперед и найдите генный банк!
- Оптимизация караванов кланов: качество каравана больше не снижается после обновления; также оптимизированы награды.
- Оптимизация парламента клана: добавлен новый тип руин — терминалы снабжения. Также повышена компенсация для элиты клана.Снижено число элиты клана
- Оптимизация талантов героев: мы сбросили систему талантов героев и сделали выбор талантов интереснее.
- Оптимизация «Великой обезьяны»: оптимизирован интерфейс события — теперь вы можете видеть исторические рейтинги и заслуживать честь, показывая полученный вами высокий рейтинг.
- Оптимизация обезьян-мутантов: настроен механизм наград — теперь победа над мутантами приносит соответствующие награды.
- Оптимизация скорости марша: скорость марша для войск и монстров слегка снижена, чтобы марши были более логичными.
- Оптимизация телепортаций: добавлено детальное объяснение системы энергии и телепортации, чтобы функция телепортации стала понятнее.
- Оптимизация интерфейса: оптимизировано отображение сведений об игроке, рейтинга, банд, героев, элиты клана, почты и чата. Также оптимизировано отображение интерфейса Астрального Колизея, каравана клана и сражений войск.
- Оптимизация технологий батареек: атака войск для определенных технологий батареек расширена до уровня 35, также добавлены соответствующие подзадания.
- Оптимизация стоимости распределителей: скорректирован расход ресурсов на распределители.
- Оптимизация исследований банды: также поменялись эффекты технологий «Бич мутантов» и «Полный вперед».
- Оптимизация наград обезьяньих проходов: настроена награда за первую оккупацию обезьяньего прохода.
- Оптимизация ракетных технологий: очищены усиления и элементы, оставшиеся от старых ракетных технологий.
- Оптимизация мощи банды: в мощи банды учитываются только те игроки, которые были активны недавно.
- Оптимизация точек ресурсов: оптимизирована логика и распределение точек ресурсов и механизм работы функции.
- Оптимизация сведений об игроке: добавлена новая функция «лайков» и функция настройки аватара.</v>
      </c>
      <c r="L3" s="34" t="str">
        <f>IFERROR(__xludf.DUMMYFUNCTION("""COMPUTED_VALUE"""),"- Yeni özellik: Klan Onuru. Klanın için savaş, ödüller kazan!
 - Yeni etkinlik: Sevgililer Günü etkinliklerinden özel süslemeler/ödüller kazan!
 - Yeni Savaşçılar: Bono Boom, müthiş savaş becerileri olan Nişancı; Çavuş Buzz, gizemli bir doktor. Onları Kla"&amp;"n Onuruna veya Yıldız Kolezyumuna dâhil et.
 - Yeni bölüm macerası hikâyeleri; Gen Bankasını bulurken birliklerine önderlik et!
 - Kalıntı Tespiti için Yeni Normal Tespit eklendi: Normal Tarama Dedektörünü almak için maceraları tamamla ve insanların bırak"&amp;"tığı kalıntıları bul.
 - Yeni Savaşçı saldırı mekanizması: Savaşçılar düşmanı yenmek için artık normal saldırıları kullanabilir.
 - Yeni bölüm macerası hikâyeleri: bölüm maceraları için tamamı yeni hikâyeler. Gen Bankasını bulurken birliklerine önderlik e"&amp;"t!
 - Klan Konvoyu optimizasyonu: Artık konvoy kalitesi yenileme sırasında azalmıyor, ayrıca optimize konvoy ödülleri.
 - Klan Parlamentosu optimizasyonu: eklenen yeni Harabe türü; Tedarik Terminalleri. Ayrıca artırılmış Klan Eliti telafisi.Klan Elitlerin"&amp;"in sayısı azaltıldı.
 - Savaşçı Yeteneği optimizasyonu: Savaşçı Yeteneği sistemi sıfırlandı, yetenek seçimi ilginçleştirildi.
 - En Üstün Maymun optimizasyonu: optimize etkinlik arayüzü; artık aldığın yüksek sıralamaları görüntüleyerek geçmiş sıralamaları"&amp;" görebilir ve onur kazanabilirsin.
 - Mutant Maymunlar optimizasyonu: ödül mekanizması düzenlendi, artık Mutantları yenmek ilgili ödüller getiriyor.
 - Sefer hızı optimizasyonu: sefere çıkmayı daha mantıklı kılmak için birlik ve canavar sefer hızı biraz a"&amp;"zaldı.
 - Işınlanma optimizasyonu: Enerji ve ışınlanma için detaylı açıklamalar eklendi, ışınlanma işlevini kullanmak daha şeffaf hâle geldi.
 - Arayüz optimizasyonu: Oyuncu Bilgisi, Sıralamalar, Çeteler, Savaşçılar, Klan Elitleri, Posta ve Sohbet için op"&amp;"timize görüntüler. Yıldız Kolezyumu, Klan Konvoyu, Birlik savaşa arayüzleri için optimize görüntü detayları.
 - Batarya Teknolojileri optimizasyonu: Belirli Batarya teknolojileri için Birlik Saldırısı 35. seviyeye genişletildi, ilgili alt maceralar eklend"&amp;"i.
 - Distribütör maliyet optimizasyonu: Distribütörler için tüketilen kaynaklar düzenlendi.
 - Çete Araştırma optimizasyonu: Mutantın Kötülüğü ve Tam Hız İleri etkileri değiştirildi.
 - Maymun Geçidi ödülleri optimizasyonu: Maymun Geçitleri ilk işgal ödü"&amp;"lü düzenlendi.
 - Roket teknolojisi optimizasyonu: eski Roket teknolojilerinden kalan güçlendiriciler ve ilgili eşyalar kaldırıldı.
 - Çete Gücü optimizasyonu: sadece yakın zamanda etkin olan oyuncunun Gücü Çete Gücüne eklenmek için hesaplanır.
 - Kaynak "&amp;"noktası optimizasyonu: kaynak noktalarının mantığı ve dağıtımı ile işlevin çalışma mekanizması optimize edildi.
 - Oyuncu Bilgisi optimizasyonu: yeni “Beğen” işlevi ve özel avatar işlevi eklendi.")</f>
        <v>- Yeni özellik: Klan Onuru. Klanın için savaş, ödüller kazan!
 - Yeni etkinlik: Sevgililer Günü etkinliklerinden özel süslemeler/ödüller kazan!
 - Yeni Savaşçılar: Bono Boom, müthiş savaş becerileri olan Nişancı; Çavuş Buzz, gizemli bir doktor. Onları Klan Onuruna veya Yıldız Kolezyumuna dâhil et.
 - Yeni bölüm macerası hikâyeleri; Gen Bankasını bulurken birliklerine önderlik et!
 - Kalıntı Tespiti için Yeni Normal Tespit eklendi: Normal Tarama Dedektörünü almak için maceraları tamamla ve insanların bıraktığı kalıntıları bul.
 - Yeni Savaşçı saldırı mekanizması: Savaşçılar düşmanı yenmek için artık normal saldırıları kullanabilir.
 - Yeni bölüm macerası hikâyeleri: bölüm maceraları için tamamı yeni hikâyeler. Gen Bankasını bulurken birliklerine önderlik et!
 - Klan Konvoyu optimizasyonu: Artık konvoy kalitesi yenileme sırasında azalmıyor, ayrıca optimize konvoy ödülleri.
 - Klan Parlamentosu optimizasyonu: eklenen yeni Harabe türü; Tedarik Terminalleri. Ayrıca artırılmış Klan Eliti telafisi.Klan Elitlerinin sayısı azaltıldı.
 - Savaşçı Yeteneği optimizasyonu: Savaşçı Yeteneği sistemi sıfırlandı, yetenek seçimi ilginçleştirildi.
 - En Üstün Maymun optimizasyonu: optimize etkinlik arayüzü; artık aldığın yüksek sıralamaları görüntüleyerek geçmiş sıralamaları görebilir ve onur kazanabilirsin.
 - Mutant Maymunlar optimizasyonu: ödül mekanizması düzenlendi, artık Mutantları yenmek ilgili ödüller getiriyor.
 - Sefer hızı optimizasyonu: sefere çıkmayı daha mantıklı kılmak için birlik ve canavar sefer hızı biraz azaldı.
 - Işınlanma optimizasyonu: Enerji ve ışınlanma için detaylı açıklamalar eklendi, ışınlanma işlevini kullanmak daha şeffaf hâle geldi.
 - Arayüz optimizasyonu: Oyuncu Bilgisi, Sıralamalar, Çeteler, Savaşçılar, Klan Elitleri, Posta ve Sohbet için optimize görüntüler. Yıldız Kolezyumu, Klan Konvoyu, Birlik savaşa arayüzleri için optimize görüntü detayları.
 - Batarya Teknolojileri optimizasyonu: Belirli Batarya teknolojileri için Birlik Saldırısı 35. seviyeye genişletildi, ilgili alt maceralar eklendi.
 - Distribütör maliyet optimizasyonu: Distribütörler için tüketilen kaynaklar düzenlendi.
 - Çete Araştırma optimizasyonu: Mutantın Kötülüğü ve Tam Hız İleri etkileri değiştirildi.
 - Maymun Geçidi ödülleri optimizasyonu: Maymun Geçitleri ilk işgal ödülü düzenlendi.
 - Roket teknolojisi optimizasyonu: eski Roket teknolojilerinden kalan güçlendiriciler ve ilgili eşyalar kaldırıldı.
 - Çete Gücü optimizasyonu: sadece yakın zamanda etkin olan oyuncunun Gücü Çete Gücüne eklenmek için hesaplanır.
 - Kaynak noktası optimizasyonu: kaynak noktalarının mantığı ve dağıtımı ile işlevin çalışma mekanizması optimize edildi.
 - Oyuncu Bilgisi optimizasyonu: yeni “Beğen” işlevi ve özel avatar işlevi eklendi.</v>
      </c>
      <c r="M3" s="34" t="str">
        <f>IFERROR(__xludf.DUMMYFUNCTION("""COMPUTED_VALUE"""),"- Tính Năng Mới: Vinh Dự Bộ Lạc. Hãy chiến đấu vì Bộ Lạc của bạn, và giành phần thưởng!
 - Sự Kiện Mới: chiến thắng vật phẩm trang trí &amp; phần thưởng đặc biệt trong các sự kiện Lễ Tình Nhân!
 - Chiến Binh Mới: Bono Boom, một Xạ Thủ với kỹ năng chiến đấu tu"&amp;"yệt vời; Trung Sĩ Buzz, một bác sĩ bí ẩn. Nhận tại Vinh Dự Bộ Lạc hoặc Đại Đấu Trường Thiên Thể.
 - Cốt truyện nhiệm vụ chương mới - dẫn dắt binh lính đi tìm Ngân Hàng Gen!
 - Thêm Máy Quét Thăm Dò Thường trong Thăm Dò Di Tích: hoàn thành các nhiệm vụ để "&amp;"nhận Máy Quét Thăm Dò Thường và tìm các di tích do loài người để lại.
 - Cơ chế tấn công Chiến Binh mới: Các Chiến Binh giờ đây có thể sử dụng các đòn tấn công thông thường để đánh bại kẻ thù.
 - Cốt truyện nhiệm vụ chương mới: cốt truyện hoàn toàn mới dà"&amp;"nh cho nhiệm vụ chương. Hãy dẫn dắt binh lính đi tìm Ngân Hàng Gen!
 - Tối ưu hóa Xe Chuyên Chở Bộ Lạc: Chất lượng xe chuyên chở sẽ không bị giảm khi làm mới, phần thưởng chuyên chở cũng được tối ưu hóa.
 - Tối ưu hóa Nghị Viện Bộ Lạc: thêm loại Tàn Tích "&amp;"mới - Nhà Ga Vật Tư. Đồng thời cũng tăng bồi thường cho Tinh Anh Bộ Lạc.
 - Tối ưu hóa tài năng Chiến Binh: thiết lập lại hệ thống tài năng Chiến Binh và khiến quá trình lựa chọn tài năng trở nên thú vị hơn.
 - Tối ưu hóa Khỉ Tối Thượng: tối ưu hóa giao d"&amp;"iện sự kiện - giờ đây bạn có thể xem bảng xếp hạng lịch sử và giành được vinh dự bằng cách hiển thị những thứ hạng cao mà bạn đã nhận được.
 - Tối ưu hóa Khỉ Đột Biến: điều chỉnh cơ chế thưởng, hiện tại nếu đánh bại được Khỉ Đột Biến sẽ nhận được phần thư"&amp;"ởng phù hợp.
 - Tối ưu hóa tốc độ hành quân: giảm bớt tốc độ hành quân của binh lính và quái vật để thời gian hành quân hợp lý hơn.
 - Tối ưu hóa dịch chuyển: thêm giải thích chi tiết về Năng Lượng và dịch chuyển, khiến sử dụng chức năng dịch chuyển trở n"&amp;"ên minh bạch hơn.
 - Tối ưu hóa giao diện: tối ưu hóa hiển thị cho Thông Tin Người Chơi, Bảng Xếp Hạng, Bang Hội, Chiến Binh, Tinh Anh Bộ Lạc, Thư và Trò chuyện. Đồng thời tối ưu hóa hiển thị chi tiết cho các giao diện Đại Đấu Trường Thiên Thể, Xe Chuyên "&amp;"Chở Bộ Lạc, Chiến Đội.
 - Tối ưu hóa Công nghệ Pin: Lực công binh lính đối với một số công nghệ Pin nhất định được mở rộng lên cấp 35, các nhiệm vụ phụ tương ứng cũng được bổ sung.
 - Tối ưu hóa chi phí cho Trạm Phân Phối: điều chỉnh các nguồn lực được ti"&amp;"êu thụ cho Trạm Phân Phối.
 - Tối ưu hóa Nghiên Cứu Bang Hội: đồng thời thay đổi hiệu ứng của Tai Ương Đột Biến và Tốc Độ Đỉnh Cao.
 - Tối ưu hóa thưởng Cửa Ải Khỉ: điều chỉnh phần thưởng chiếm đóng lần đầu cho Cửa Ải Khỉ.
 - Tối ưu hóa công nghệ Hỏa Tiễn"&amp;": xóa các hiệu ứng có lợi và các vật phẩm liên quan còn sót lại từ công nghệ Hỏa Tiễn cũ.
 - Tối ưu hóa Chiến Lực Bang Hội: chỉ Sức mạnh của người chơi mới hoạt động gần đây mới được tính vào Chiến Lực Bang Hội.
 - Tối ưu hóa điểm tài nguyên: tối ưu hóa l"&amp;"ogic và phân phối điểm tài nguyên cũng như cơ chế hoạt động của chức năng này.
 - Tối ưu hóa Thông Tin Người Chơi: thêm chức năng ""Like"" mới và chức năng tùy chỉnh ảnh đại diện.")</f>
        <v>- Tính Năng Mới: Vinh Dự Bộ Lạc. Hãy chiến đấu vì Bộ Lạc của bạn, và giành phần thưởng!
 - Sự Kiện Mới: chiến thắng vật phẩm trang trí &amp; phần thưởng đặc biệt trong các sự kiện Lễ Tình Nhân!
 - Chiến Binh Mới: Bono Boom, một Xạ Thủ với kỹ năng chiến đấu tuyệt vời; Trung Sĩ Buzz, một bác sĩ bí ẩn. Nhận tại Vinh Dự Bộ Lạc hoặc Đại Đấu Trường Thiên Thể.
 - Cốt truyện nhiệm vụ chương mới - dẫn dắt binh lính đi tìm Ngân Hàng Gen!
 - Thêm Máy Quét Thăm Dò Thường trong Thăm Dò Di Tích: hoàn thành các nhiệm vụ để nhận Máy Quét Thăm Dò Thường và tìm các di tích do loài người để lại.
 - Cơ chế tấn công Chiến Binh mới: Các Chiến Binh giờ đây có thể sử dụng các đòn tấn công thông thường để đánh bại kẻ thù.
 - Cốt truyện nhiệm vụ chương mới: cốt truyện hoàn toàn mới dành cho nhiệm vụ chương. Hãy dẫn dắt binh lính đi tìm Ngân Hàng Gen!
 - Tối ưu hóa Xe Chuyên Chở Bộ Lạc: Chất lượng xe chuyên chở sẽ không bị giảm khi làm mới, phần thưởng chuyên chở cũng được tối ưu hóa.
 - Tối ưu hóa Nghị Viện Bộ Lạc: thêm loại Tàn Tích mới - Nhà Ga Vật Tư. Đồng thời cũng tăng bồi thường cho Tinh Anh Bộ Lạc.
 - Tối ưu hóa tài năng Chiến Binh: thiết lập lại hệ thống tài năng Chiến Binh và khiến quá trình lựa chọn tài năng trở nên thú vị hơn.
 - Tối ưu hóa Khỉ Tối Thượng: tối ưu hóa giao diện sự kiện - giờ đây bạn có thể xem bảng xếp hạng lịch sử và giành được vinh dự bằng cách hiển thị những thứ hạng cao mà bạn đã nhận được.
 - Tối ưu hóa Khỉ Đột Biến: điều chỉnh cơ chế thưởng, hiện tại nếu đánh bại được Khỉ Đột Biến sẽ nhận được phần thưởng phù hợp.
 - Tối ưu hóa tốc độ hành quân: giảm bớt tốc độ hành quân của binh lính và quái vật để thời gian hành quân hợp lý hơn.
 - Tối ưu hóa dịch chuyển: thêm giải thích chi tiết về Năng Lượng và dịch chuyển, khiến sử dụng chức năng dịch chuyển trở nên minh bạch hơn.
 - Tối ưu hóa giao diện: tối ưu hóa hiển thị cho Thông Tin Người Chơi, Bảng Xếp Hạng, Bang Hội, Chiến Binh, Tinh Anh Bộ Lạc, Thư và Trò chuyện. Đồng thời tối ưu hóa hiển thị chi tiết cho các giao diện Đại Đấu Trường Thiên Thể, Xe Chuyên Chở Bộ Lạc, Chiến Đội.
 - Tối ưu hóa Công nghệ Pin: Lực công binh lính đối với một số công nghệ Pin nhất định được mở rộng lên cấp 35, các nhiệm vụ phụ tương ứng cũng được bổ sung.
 - Tối ưu hóa chi phí cho Trạm Phân Phối: điều chỉnh các nguồn lực được tiêu thụ cho Trạm Phân Phối.
 - Tối ưu hóa Nghiên Cứu Bang Hội: đồng thời thay đổi hiệu ứng của Tai Ương Đột Biến và Tốc Độ Đỉnh Cao.
 - Tối ưu hóa thưởng Cửa Ải Khỉ: điều chỉnh phần thưởng chiếm đóng lần đầu cho Cửa Ải Khỉ.
 - Tối ưu hóa công nghệ Hỏa Tiễn: xóa các hiệu ứng có lợi và các vật phẩm liên quan còn sót lại từ công nghệ Hỏa Tiễn cũ.
 - Tối ưu hóa Chiến Lực Bang Hội: chỉ Sức mạnh của người chơi mới hoạt động gần đây mới được tính vào Chiến Lực Bang Hội.
 - Tối ưu hóa điểm tài nguyên: tối ưu hóa logic và phân phối điểm tài nguyên cũng như cơ chế hoạt động của chức năng này.
 - Tối ưu hóa Thông Tin Người Chơi: thêm chức năng "Like" mới và chức năng tùy chỉnh ảnh đại diện.</v>
      </c>
      <c r="N3" s="34"/>
      <c r="O3" s="148"/>
      <c r="P3" s="148"/>
      <c r="Q3" s="148"/>
      <c r="R3" s="148"/>
      <c r="S3" s="148"/>
      <c r="T3" s="148"/>
      <c r="U3" s="148"/>
      <c r="V3" s="148"/>
      <c r="W3" s="148"/>
      <c r="X3" s="148"/>
      <c r="Y3" s="148"/>
      <c r="Z3" s="148"/>
    </row>
    <row r="4">
      <c r="A4" s="149" t="str">
        <f>IFERROR(__xludf.DUMMYFUNCTION("""COMPUTED_VALUE"""),"0.25.0")</f>
        <v>0.25.0</v>
      </c>
      <c r="B4" s="13" t="str">
        <f>IFERROR(__xludf.DUMMYFUNCTION("""COMPUTED_VALUE"""),"- 新增荣誉勋章系统：通过军功系统和氏族官职获得勋章，以后会陆续推出更多选择。可以在个人信息中查看和装备勋章。
- 新增展览品免费探测次数：新增展览品高级探测每期活动首次探测免费及可用CD进行探测一定次数，同时展览馆建筑提示优化，你可以更快找到想要的功能了。
- 押镖难度优化：降低主城15级前的押镖难度，同时调整对应产出和难度匹配。
- 每日任务优化：每日任务中增加征途捐献。
- 野蛮猴刷新优化：优化大地图中自然刷新的野蛮猴的规则，根据服务器进度刷新出对应等级范围的野蛮猴。
- 联盟科技优化：新增了15个"&amp;"节点的联盟科技，效果是增加旗帜数量，减少建旗资源消耗和联盟建筑战斗增益。
- 军功系统优化：每日军功宝箱新增领取次数，野蛮之地任务可以击杀巨猿完成了。
- 部队战斗优化：调整了部队战斗中的伤害系数。
- 帮派集结功能优化：当集结目标为巨猿、柯兹摩、变异猴首领时，可选集结时间改为2分钟、5分钟、10分钟、30分钟，并且当集结容量满时，队伍会直接出发，无需等待集结时间结束。
- 界面表现优化：优化了帮派界面的体验，优化了英雄界面的体验，每日特惠和订阅卡界面优化，最强猴子活动界面优化。")</f>
        <v>- 新增荣誉勋章系统：通过军功系统和氏族官职获得勋章，以后会陆续推出更多选择。可以在个人信息中查看和装备勋章。
- 新增展览品免费探测次数：新增展览品高级探测每期活动首次探测免费及可用CD进行探测一定次数，同时展览馆建筑提示优化，你可以更快找到想要的功能了。
- 押镖难度优化：降低主城15级前的押镖难度，同时调整对应产出和难度匹配。
- 每日任务优化：每日任务中增加征途捐献。
- 野蛮猴刷新优化：优化大地图中自然刷新的野蛮猴的规则，根据服务器进度刷新出对应等级范围的野蛮猴。
- 联盟科技优化：新增了15个节点的联盟科技，效果是增加旗帜数量，减少建旗资源消耗和联盟建筑战斗增益。
- 军功系统优化：每日军功宝箱新增领取次数，野蛮之地任务可以击杀巨猿完成了。
- 部队战斗优化：调整了部队战斗中的伤害系数。
- 帮派集结功能优化：当集结目标为巨猿、柯兹摩、变异猴首领时，可选集结时间改为2分钟、5分钟、10分钟、30分钟，并且当集结容量满时，队伍会直接出发，无需等待集结时间结束。
- 界面表现优化：优化了帮派界面的体验，优化了英雄界面的体验，每日特惠和订阅卡界面优化，最强猴子活动界面优化。</v>
      </c>
      <c r="C4" s="13" t="str">
        <f>IFERROR(__xludf.DUMMYFUNCTION("""COMPUTED_VALUE"""),"- New Honor Badge system added: get Badges via Clan Honors or Clan Elite titles. More options will be rolled out gradually. See or equip Badges on the Player Info page.
- Added free detections for Relics: new Advanced Relic Detection added; the first dete"&amp;"ction of each event period is free and CDs may be used for a certain number of additional detections. Optimized Wonder Emporium building tips so you can find desired functions more easily.
- Convoy difficulty optimized: reduced the difficulty of Convoys f"&amp;"or players at City Hall Lv. 15 and below. The corresponding rewards have also been adjusted to match the difficulty change.
- Daily quests optimized: Expedition Donation added to daily quests.
- Mutant respawning optimized: optimized the rules governing M"&amp;"utant respawning on the map. Mutants of a corresponding range of levels will be generated based on server progress.
- Gang Research optimized: added 15 levels of Gang Research with the effect of increasing the number of Distributors, reducing resources co"&amp;"nsumed in building Distributors, and adding Gang building battle buffs.
- Clan Honors optimized: added claim opportunities for daily Clan Honors chests. Brutal Land quests may now be completed by defeating Gigantos.
- Troop combat optimized: adjusted the "&amp;"damage factor of troops in battle.
- Gang rally function optimized: when a rally's target is Giganto, Cosmo, or Mutant Alpha, rally time options have been changed to 2 minutes, 5 minutes, 10 minutes, and 30 minutes. When rally capacity is reached, troops "&amp;"will depart immediately rather than having to wait for the rally time to elapse.
- Interface display optimized: optimized the Gang, Fighter, Daily Limited Pack, and Subscription Cards interfaces. Also optimized the Ultimate Monkey event interface.")</f>
        <v>- New Honor Badge system added: get Badges via Clan Honors or Clan Elite titles. More options will be rolled out gradually. See or equip Badges on the Player Info page.
- Added free detections for Relics: new Advanced Relic Detection added; the first detection of each event period is free and CDs may be used for a certain number of additional detections. Optimized Wonder Emporium building tips so you can find desired functions more easily.
- Convoy difficulty optimized: reduced the difficulty of Convoys for players at City Hall Lv. 15 and below. The corresponding rewards have also been adjusted to match the difficulty change.
- Daily quests optimized: Expedition Donation added to daily quests.
- Mutant respawning optimized: optimized the rules governing Mutant respawning on the map. Mutants of a corresponding range of levels will be generated based on server progress.
- Gang Research optimized: added 15 levels of Gang Research with the effect of increasing the number of Distributors, reducing resources consumed in building Distributors, and adding Gang building battle buffs.
- Clan Honors optimized: added claim opportunities for daily Clan Honors chests. Brutal Land quests may now be completed by defeating Gigantos.
- Troop combat optimized: adjusted the damage factor of troops in battle.
- Gang rally function optimized: when a rally's target is Giganto, Cosmo, or Mutant Alpha, rally time options have been changed to 2 minutes, 5 minutes, 10 minutes, and 30 minutes. When rally capacity is reached, troops will depart immediately rather than having to wait for the rally time to elapse.
- Interface display optimized: optimized the Gang, Fighter, Daily Limited Pack, and Subscription Cards interfaces. Also optimized the Ultimate Monkey event interface.</v>
      </c>
      <c r="D4" s="13" t="str">
        <f>IFERROR(__xludf.DUMMYFUNCTION("""COMPUTED_VALUE"""),"- Ajout d'un nouveau système de badge d'honneur : obtenez des badges grâce à votre honneur de clan ou votre titre d'élite de clan. De nouvelles options seront ajoutées au fil du temps. Pour voir ou équiper vos badges, rendez-vous sur la page ""Infos joueu"&amp;"r"".
- Nouvelle détection de reliques : vous pouvez désormais effectuer des détections de reliques avancées. La première détection d'un évènement est offerte ! Et vous avez la possibilité d'en acheter un certain nombre contre des CD. Nous avons également "&amp;"amélioré les astuces de la halle aux merveilles, pour vous faciliter la compréhension de toutes ces fonctionnalités.
- Le système de convoi a été simplifié pour les joueurs dont l'hôtel de ville est de niveau 15 ou moins. Le montant des récompenses a égal"&amp;"ement été ajusté.
- Les quêtes quotidiennes ont été optimisées avec l'ajout des dons d'expédition.
- Le système de réapparition des mutants a été amélioré. Désormais, les mutants d'une même plage de niveaux vont réapparaître en fonction de la progression "&amp;"du serveur.
- 15 nouveaux niveaux de recherches de gang ont été ajoutés, augmentant ainsi le nombre de distributeurs et réduisant le nombre de ressources nécessaires à leur construction, avec de nouveaux boosts de combat de bâtiments de gang.
- Les coffre"&amp;"s d'honneur du clan peuvent maintenant être récupérés quotidiennement. Les quêtes de Barbare-Land peuvent désormais s'accomplir en éliminant des gigantos.
- Optimisation des combats : le facteur de dégâts des troupes en combat a été ajusté.
- Optimisation"&amp;" du système de raid : lorsque la cible d'un raid est un giganto, Cosmo, ou un mutant alpha, les options de durée du raid sont désormais de 2, 5, 10 ou 30 minutes. Lorsque la capacité du raid est atteinte, les troupes se mettent immédiatement en marche et "&amp;"n'attendent plus la fin du temps imparti.
- Optimisation des interfaces de gang, de combattants, des packs quotidiens limités, d'abonnements aux cartes hebdos ainsi que l'interface de l'évènement du Singe Ultime.")</f>
        <v>- Ajout d'un nouveau système de badge d'honneur : obtenez des badges grâce à votre honneur de clan ou votre titre d'élite de clan. De nouvelles options seront ajoutées au fil du temps. Pour voir ou équiper vos badges, rendez-vous sur la page "Infos joueur".
- Nouvelle détection de reliques : vous pouvez désormais effectuer des détections de reliques avancées. La première détection d'un évènement est offerte ! Et vous avez la possibilité d'en acheter un certain nombre contre des CD. Nous avons également amélioré les astuces de la halle aux merveilles, pour vous faciliter la compréhension de toutes ces fonctionnalités.
- Le système de convoi a été simplifié pour les joueurs dont l'hôtel de ville est de niveau 15 ou moins. Le montant des récompenses a également été ajusté.
- Les quêtes quotidiennes ont été optimisées avec l'ajout des dons d'expédition.
- Le système de réapparition des mutants a été amélioré. Désormais, les mutants d'une même plage de niveaux vont réapparaître en fonction de la progression du serveur.
- 15 nouveaux niveaux de recherches de gang ont été ajoutés, augmentant ainsi le nombre de distributeurs et réduisant le nombre de ressources nécessaires à leur construction, avec de nouveaux boosts de combat de bâtiments de gang.
- Les coffres d'honneur du clan peuvent maintenant être récupérés quotidiennement. Les quêtes de Barbare-Land peuvent désormais s'accomplir en éliminant des gigantos.
- Optimisation des combats : le facteur de dégâts des troupes en combat a été ajusté.
- Optimisation du système de raid : lorsque la cible d'un raid est un giganto, Cosmo, ou un mutant alpha, les options de durée du raid sont désormais de 2, 5, 10 ou 30 minutes. Lorsque la capacité du raid est atteinte, les troupes se mettent immédiatement en marche et n'attendent plus la fin du temps imparti.
- Optimisation des interfaces de gang, de combattants, des packs quotidiens limités, d'abonnements aux cartes hebdos ainsi que l'interface de l'évènement du Singe Ultime.</v>
      </c>
      <c r="E4" s="13" t="str">
        <f>IFERROR(__xludf.DUMMYFUNCTION("""COMPUTED_VALUE"""),"- Es wurde ein neues Ehrenabzeichen-System hinzugefügt: Erhalte Abzeichen über Horden-Ehre oder Hordenelite-Titel. Weitere Optionen werden nach und nach hinzugefügt. Du kannst die Abzeichen auf der Spielerinfo-Seite betrachten und ausrüsten.
 - Es wurden "&amp;"kostenlose Ortungen für Relikte hinzugefügt: die neue Erweiterte Relikt-Ortung wurde hinzugefügt; die erste Ortung jeder Event-Periode ist kostenlos und CDs können für eine bestimmte Anzahl von weiteren Ortungen verwendet werden. Optimierte Gebäude-Tipps "&amp;"für den Wunderladen, damit du die gewünschten Funktionen leichter finden kannst.
 - Die Konvoi-Schwierigkeit wurde optimiert: Der Schwierigkeitsgrad der Konvois wurde für Spieler mit Rathaus Lv.15 und darunter reduziert. Außerdem wurden die entsprechenden"&amp;" Belohnungen an die Schwierigkeitsänderung angepasst.
 - Tägliche Quests wurden optimiert: Expeditionsspende wurde zu den täglichen Quests hinzugefügt.
 - Mutanten-Respawning optimiert: Die Regeln für das Respawning von Mutanten auf der Karte wurden optim"&amp;"iert. Mutanten eines entsprechenden Levels werden nun basierend auf dem Serverfortschritt generiert.
 - Clan-Forschung wurde optimiert: Es wurden 15 Level der Clan-Forschung hinzugefügt, die die Anzahl der Verteiler erhöhen, den Ressourcenverbrauch beim B"&amp;"auen von Verteilern reduzieren und Buffs für Clan-Gebäude hinzufügen.
 - Horden-Ehre wurde optimiert: Beanspruchungsmöglichkeiten für tägliche Horden-Ehre-Truhen wurden hinzugefügt. ""Brutales Land""-Quests können jetzt durch das Besiegen von Gigantos abg"&amp;"eschlossen werden.
 - Truppenkampf wurde optimiert: Der Schadensfaktor von Truppen im Kampf wurde angepasst.
 - Clan-Sammelangriff wurde optimiert: wenn das Ziel eines Sammelangriffs Giganto, Cosmo oder ein Alpha-Mutant ist, wurden die Zeitoptionen für de"&amp;"n Sammelangriff auf 2 Minuten, 5 Minuten, 10 Minuten und 30 Minuten geändert. Wenn die Sammelangriffskapazität erreicht ist, werden die Truppen sofort losziehen, anstatt auf den Ablauf der Zeit zu warten.
 - Verbesserung der Interfaces: Die Interfaces für"&amp;" Clans, Kämpfer, täglich limitierte Pakete und Abo-Karten wurden optimiert. Außerdem wurde das Event-Interface des Ultimativen Affen optimiert.")</f>
        <v>- Es wurde ein neues Ehrenabzeichen-System hinzugefügt: Erhalte Abzeichen über Horden-Ehre oder Hordenelite-Titel. Weitere Optionen werden nach und nach hinzugefügt. Du kannst die Abzeichen auf der Spielerinfo-Seite betrachten und ausrüsten.
 - Es wurden kostenlose Ortungen für Relikte hinzugefügt: die neue Erweiterte Relikt-Ortung wurde hinzugefügt; die erste Ortung jeder Event-Periode ist kostenlos und CDs können für eine bestimmte Anzahl von weiteren Ortungen verwendet werden. Optimierte Gebäude-Tipps für den Wunderladen, damit du die gewünschten Funktionen leichter finden kannst.
 - Die Konvoi-Schwierigkeit wurde optimiert: Der Schwierigkeitsgrad der Konvois wurde für Spieler mit Rathaus Lv.15 und darunter reduziert. Außerdem wurden die entsprechenden Belohnungen an die Schwierigkeitsänderung angepasst.
 - Tägliche Quests wurden optimiert: Expeditionsspende wurde zu den täglichen Quests hinzugefügt.
 - Mutanten-Respawning optimiert: Die Regeln für das Respawning von Mutanten auf der Karte wurden optimiert. Mutanten eines entsprechenden Levels werden nun basierend auf dem Serverfortschritt generiert.
 - Clan-Forschung wurde optimiert: Es wurden 15 Level der Clan-Forschung hinzugefügt, die die Anzahl der Verteiler erhöhen, den Ressourcenverbrauch beim Bauen von Verteilern reduzieren und Buffs für Clan-Gebäude hinzufügen.
 - Horden-Ehre wurde optimiert: Beanspruchungsmöglichkeiten für tägliche Horden-Ehre-Truhen wurden hinzugefügt. "Brutales Land"-Quests können jetzt durch das Besiegen von Gigantos abgeschlossen werden.
 - Truppenkampf wurde optimiert: Der Schadensfaktor von Truppen im Kampf wurde angepasst.
 - Clan-Sammelangriff wurde optimiert: wenn das Ziel eines Sammelangriffs Giganto, Cosmo oder ein Alpha-Mutant ist, wurden die Zeitoptionen für den Sammelangriff auf 2 Minuten, 5 Minuten, 10 Minuten und 30 Minuten geändert. Wenn die Sammelangriffskapazität erreicht ist, werden die Truppen sofort losziehen, anstatt auf den Ablauf der Zeit zu warten.
 - Verbesserung der Interfaces: Die Interfaces für Clans, Kämpfer, täglich limitierte Pakete und Abo-Karten wurden optimiert. Außerdem wurde das Event-Interface des Ultimativen Affen optimiert.</v>
      </c>
      <c r="F4" s="34" t="str">
        <f>IFERROR(__xludf.DUMMYFUNCTION("""COMPUTED_VALUE"""),"- Nova marca de honra adicionada: consiga marcas por meio das Honras do Clã ou títulos da Elite do Clã. Mais opções serão lançadas ao longo do tempo. Veja ou equipe as marcas na página de informações do jogador.
 - Detecções gratuitas adicionadas para rel"&amp;"íquias: adicionada uma nova detecção de relíquias avançada. A primeira detecção de cada período de evento será gratuita e os CDs poderão ser usados para um determinado número de detecções adicionais. As dicas de construção do Empório Maravilha foram melho"&amp;"radas de modo que você possa compreender as funções mais facilmente.
 - Melhoria na dificuldade de comboios: a dificuldade de comboios para jogadores que tenham a Prefeitura no nível 15 ou menor. As recompensas correspondentes também foram ajustadas para "&amp;"refletir a mudança de dificuldade.
 - Melhorias nas missões diárias: ""Doação para Expedições"" foi adicionada às missões diárias.
 - Melhoria no renascimento de mutantes: as regras de renascimento de mutantes no mapa foram melhoradas. Mutantes de determi"&amp;"nados níveis serão gerados ao longo do progresso do servidor.
 - Melhoria na pesquisa da gangue: foram adicionados 15 níveis na pesquisa da gangue com um efeito que aumenta o número de Distribuidores. Isso reduzirá o consumo de recursos ao construir Distr"&amp;"ibuidores e adicionará auxílios de batalha para as estruturas da gangue.
 - Melhoria nas Honras do Clã: agora é possível resgatar baús de Honras do Clã diariamente. Missões da Terra Brutal podem ser concluídas ao derrotar o Gigantos.
 - Melhoria no combat"&amp;"e das tropas: melhoria no fator de dano das tropas em batalha.
 - Função de incursão de gangue melhorada: as opções de tempo de incursão foram alteradas para 2, 5, 10 e 30 minutos, caso o alvo da incursão seja Gigantos, Cosmo ou o Mutante Alfa. Ao atingir"&amp;" a capacidade de tropas, elas partirão imediatamente e não ficarão esperando até que o tempo de incursão termine.
 - Melhoria na exibição da interface: as interfaces da gangue, combatente, pacote limitado diário e cartões de assinatura foram melhoradas. A"&amp;" interface do evento Macaco Supremo também foi aprimorada.")</f>
        <v>- Nova marca de honra adicionada: consiga marcas por meio das Honras do Clã ou títulos da Elite do Clã. Mais opções serão lançadas ao longo do tempo. Veja ou equipe as marcas na página de informações do jogador.
 - Detecções gratuitas adicionadas para relíquias: adicionada uma nova detecção de relíquias avançada. A primeira detecção de cada período de evento será gratuita e os CDs poderão ser usados para um determinado número de detecções adicionais. As dicas de construção do Empório Maravilha foram melhoradas de modo que você possa compreender as funções mais facilmente.
 - Melhoria na dificuldade de comboios: a dificuldade de comboios para jogadores que tenham a Prefeitura no nível 15 ou menor. As recompensas correspondentes também foram ajustadas para refletir a mudança de dificuldade.
 - Melhorias nas missões diárias: "Doação para Expedições" foi adicionada às missões diárias.
 - Melhoria no renascimento de mutantes: as regras de renascimento de mutantes no mapa foram melhoradas. Mutantes de determinados níveis serão gerados ao longo do progresso do servidor.
 - Melhoria na pesquisa da gangue: foram adicionados 15 níveis na pesquisa da gangue com um efeito que aumenta o número de Distribuidores. Isso reduzirá o consumo de recursos ao construir Distribuidores e adicionará auxílios de batalha para as estruturas da gangue.
 - Melhoria nas Honras do Clã: agora é possível resgatar baús de Honras do Clã diariamente. Missões da Terra Brutal podem ser concluídas ao derrotar o Gigantos.
 - Melhoria no combate das tropas: melhoria no fator de dano das tropas em batalha.
 - Função de incursão de gangue melhorada: as opções de tempo de incursão foram alteradas para 2, 5, 10 e 30 minutos, caso o alvo da incursão seja Gigantos, Cosmo ou o Mutante Alfa. Ao atingir a capacidade de tropas, elas partirão imediatamente e não ficarão esperando até que o tempo de incursão termine.
 - Melhoria na exibição da interface: as interfaces da gangue, combatente, pacote limitado diário e cartões de assinatura foram melhoradas. A interface do evento Macaco Supremo também foi aprimorada.</v>
      </c>
      <c r="G4" s="34" t="str">
        <f>IFERROR(__xludf.DUMMYFUNCTION("""COMPUTED_VALUE"""),"- 新增榮譽勳章系統：通過軍功系統和氏族官職獲得勳章，以後會陸續推出更多選擇。可以在個人信息中查看和裝備勳章。
- 新增展覽品免費探測次數：新增展覽品高級探測每期活動首次探測免費及可用CD進行探測一定次數，同時展覽館建築提示優化，你可以更快找到想要的功能了。
- 押鏢難度優化：降低主城15級前的押鏢難度，同時調整對應產出和難度匹配。
- 每日任務優化：每日任務中增加征途捐獻。
- 野蠻猴刷新優化：優化大地圖中自然刷新的野蠻猴的規則，根據服務器進度刷新出對應等級範圍的野蠻猴。
- 聯盟科技優化：新增了15個"&amp;"節點的聯盟科技，效果是增加旗幟數量，減少建旗資源消耗和聯盟建築戰鬥增益。
- 軍功系統優化：每日軍功寶箱新增領取次數，野蠻之地任務可以擊殺巨猿完成了。
- 部隊戰鬥優化：調整了部隊戰鬥中的傷害係數。
- 幫派集結功能優化：當集結目標為巨猿、柯茲摩、變異猴首領時，可選集結時間改為2分鐘、5分鐘、10分鐘、30分鐘，並且當集結容量滿時，隊伍會直接出發，無需等待集結時間結束。
- 界面表現優化：優化了幫派界面的體驗，優化了英雄界面的體驗，每日特惠和訂閱卡界面優化，最強猴子活動界面優化。")</f>
        <v>- 新增榮譽勳章系統：通過軍功系統和氏族官職獲得勳章，以後會陸續推出更多選擇。可以在個人信息中查看和裝備勳章。
- 新增展覽品免費探測次數：新增展覽品高級探測每期活動首次探測免費及可用CD進行探測一定次數，同時展覽館建築提示優化，你可以更快找到想要的功能了。
- 押鏢難度優化：降低主城15級前的押鏢難度，同時調整對應產出和難度匹配。
- 每日任務優化：每日任務中增加征途捐獻。
- 野蠻猴刷新優化：優化大地圖中自然刷新的野蠻猴的規則，根據服務器進度刷新出對應等級範圍的野蠻猴。
- 聯盟科技優化：新增了15個節點的聯盟科技，效果是增加旗幟數量，減少建旗資源消耗和聯盟建築戰鬥增益。
- 軍功系統優化：每日軍功寶箱新增領取次數，野蠻之地任務可以擊殺巨猿完成了。
- 部隊戰鬥優化：調整了部隊戰鬥中的傷害係數。
- 幫派集結功能優化：當集結目標為巨猿、柯茲摩、變異猴首領時，可選集結時間改為2分鐘、5分鐘、10分鐘、30分鐘，並且當集結容量滿時，隊伍會直接出發，無需等待集結時間結束。
- 界面表現優化：優化了幫派界面的體驗，優化了英雄界面的體驗，每日特惠和訂閱卡界面優化，最強猴子活動界面優化。</v>
      </c>
      <c r="H4" s="34" t="str">
        <f>IFERROR(__xludf.DUMMYFUNCTION("""COMPUTED_VALUE"""),"- Penambahan Lencana Kehormatan Baru: dapatkan Lencana melalui Kehormatan Klan atau jabatan Elit Klan. Opsi lainnya akan diluncurkan secara bertahap. Lihat atau pasang Lencana di halaman Info Pemain.
 - Penambahan Deteksi Pusaka gratis: penambahan Deteksi"&amp;" Pusaka Lanjutan baru; deteksi pertama pada setiap periode acara gratis dan CD dapat digunakan untuk sejumlah deteksi tambahan tertentu. Pengoptimalan tips bangunan Emporium Megah sehingga kamu bisa menemukan fungsi yang diinginkan dengan lebih mudah.
 - "&amp;"Pengoptimalan tingkat kesulitan Konvoi: Penurunan tingkat kesulitan Konvoi untuk pemain dengan Balai Kota Lv. 15 ke bawah. Hadiah terkait juga telah disesuaikan agar sesuai dengan perubahan tingkat kesulitan.
 - Pengoptimalan tantangan harian: Donasi Eksp"&amp;"edisi ditambahkan ke tantangan harian.
 - Pengoptimalan waktu kemunculan kembali Mutan: pengoptimalan aturan yang mengatur waktu kemunculan kembali Mutan pada peta. Mutan dengan sejumlah level terkait akan dimunculkan berdasarkan progres server.
 - Pengop"&amp;"timalan Penelitian Geng: penambahan 15 level Penelitian Geng dengan efek peningkatan jumlah Distributor, penurunan sumber daya yang dipakai untuk membangun Distributor, dan penambahan buff pertempuran bangunan Geng.
 - Pengoptimalan Kehormatan Klan: penam"&amp;"bahan peluang klaim untuk peti Kehormatan Klan harian. Tantangan Tanah Brutal kini dapat diselesaikan dengan mengalahkan Giganto.
 - Pengoptimalan pertempuran pasukan: penyesuaian faktor kerusakan pasukan dalam pertempuran.
 - Pengoptimalan fungsi reli Ge"&amp;"ng: bila target reli adalah Giganto, Cosmo, atau Raja Kera Mutan, opsi waktu reli telah diubah menjadi 2 menit, 5 menit, 10 menit, dan 30 menit. Saat kapasitas reli tercapai, pasukan akan langsung berangkat, tidak menunggu waktu reli selesai.
 - Pengoptim"&amp;"alan tampilan antarmuka: peningkatan antarmuka Geng, Pejuang, Paket Terbatas Harian, dan Kartu Langganan. Antarmuka acara Kera Terkuat juga dioptimalkan.C8")</f>
        <v>- Penambahan Lencana Kehormatan Baru: dapatkan Lencana melalui Kehormatan Klan atau jabatan Elit Klan. Opsi lainnya akan diluncurkan secara bertahap. Lihat atau pasang Lencana di halaman Info Pemain.
 - Penambahan Deteksi Pusaka gratis: penambahan Deteksi Pusaka Lanjutan baru; deteksi pertama pada setiap periode acara gratis dan CD dapat digunakan untuk sejumlah deteksi tambahan tertentu. Pengoptimalan tips bangunan Emporium Megah sehingga kamu bisa menemukan fungsi yang diinginkan dengan lebih mudah.
 - Pengoptimalan tingkat kesulitan Konvoi: Penurunan tingkat kesulitan Konvoi untuk pemain dengan Balai Kota Lv. 15 ke bawah. Hadiah terkait juga telah disesuaikan agar sesuai dengan perubahan tingkat kesulitan.
 - Pengoptimalan tantangan harian: Donasi Ekspedisi ditambahkan ke tantangan harian.
 - Pengoptimalan waktu kemunculan kembali Mutan: pengoptimalan aturan yang mengatur waktu kemunculan kembali Mutan pada peta. Mutan dengan sejumlah level terkait akan dimunculkan berdasarkan progres server.
 - Pengoptimalan Penelitian Geng: penambahan 15 level Penelitian Geng dengan efek peningkatan jumlah Distributor, penurunan sumber daya yang dipakai untuk membangun Distributor, dan penambahan buff pertempuran bangunan Geng.
 - Pengoptimalan Kehormatan Klan: penambahan peluang klaim untuk peti Kehormatan Klan harian. Tantangan Tanah Brutal kini dapat diselesaikan dengan mengalahkan Giganto.
 - Pengoptimalan pertempuran pasukan: penyesuaian faktor kerusakan pasukan dalam pertempuran.
 - Pengoptimalan fungsi reli Geng: bila target reli adalah Giganto, Cosmo, atau Raja Kera Mutan, opsi waktu reli telah diubah menjadi 2 menit, 5 menit, 10 menit, dan 30 menit. Saat kapasitas reli tercapai, pasukan akan langsung berangkat, tidak menunggu waktu reli selesai.
 - Pengoptimalan tampilan antarmuka: peningkatan antarmuka Geng, Pejuang, Paket Terbatas Harian, dan Kartu Langganan. Antarmuka acara Kera Terkuat juga dioptimalkan.C8</v>
      </c>
      <c r="I4" s="34" t="str">
        <f>IFERROR(__xludf.DUMMYFUNCTION("""COMPUTED_VALUE"""),"- เพิ่มระบบป้ายตราเกียรติยศใหม่: คุณสามารถรับป้ายตราได้จากเกียรติยศของเผ่าหรือตำแหน่งในชนชั้นสูงของเผ่า โดยระบบจะทยอยเปิดตัวตัวเลือกเพิ่มเติมให้เป็นระยะ คุณสามารถดูหรือใส่ป้ายตราได้จากหน้าข้อมูลผู้เล่น
 - เพิ่มการตรวจจับวัตถุโบราณฟรี: เพิ่มระบบการตรวจจับว"&amp;"ัตถุโบราณขั้นสูงใหม่ คุณสามารถทำการตรวจจับครั้งแรกของแต่ละช่วงเวลาของกิจกรรมได้ฟรี หรือสามารถใช้ซีดีสำหรับการตรวจจับเพิ่มเติมในจำนวนหนึ่ง ๆ ได้ และยังปรับปรุงเคล็ดลับการสร้างอาคารวันเดอร์ เอมโพเรี่ยมเพื่อให้คุณสามารถค้นหาฟังก์ชันที่ต้องการได้ง่ายขึ้น
 - ป"&amp;"รับปรุงจุดทรัพยากรแก๊ง: ปรับปรุงรูปลักษณ์ของจุดทรัพยากรแก๊ง เพื่อให้คุณสามารถเห็นสถานะของจุดทรัพยากรได้โดยตรงจากแผนที่ และคุณยังสามารถค้นหาจุดทรัพยากรแก๊งที่คูลดาวน์เสร็จแล้วโดยใช้ฟังก์ชันค้นหาได้
 - ปรับปรุงระดับความยากของรถคอนวอย: ลดความยากของขบวนรถคอนว"&amp;"อยสำหรับผู้เล่นที่มีศาลากลางเลเวล 15 และต่ำกว่านั้น และระบบยังปรับปรุงรางวัลที่เกี่ยวข้องให้เข้ากับระดับความยากที่เปลี่ยนแปลงไป
 - ปรับปรุงเควสต์ประจำวัน: เพิ่มการบริจาคเพื่อการเดินทางลงในเควสต์ประจำวัน
 - ปรับปรุงการเกิดใหม่ของเหล่ามิวแตนต์: ปรับปรุงกฎที"&amp;"่ควบคุมการเกิดใหม่ของเหล่ามิวแตนต์บนแผนที่ เหล่ามิวแตนต์ของช่วงเลเวลที่สอดคล้องกันจะเกิดขึ้นโดยอิงจากความคืบหน้าของเซิร์ฟเวอร์
 - ปรับปรุงการวิจัยแก๊ง: เพิ่มเลเวลของการวิจัยแก๊ง 15 เลเวลพร้อมเอฟเฟกต์การเพิ่มจำนวนหอกระจายแร่ การลดทรัพยากรที่ใช้ในการสร้างหอ"&amp;"กระจายแร่ และเพิ่มบัฟฟ์การต่อสู้ของอาคารแก๊ง
 - ปรับปรุงเกียรติยศของเผ่า: เพิ่มโอกาสในการรับหีบเกียรติยศประจำวันของเผ่า โดยในขณะนี้ คุณสามารถทำเควสต์ดินแดนป่าเถื่อนให้สำเร็จได้โดยการปราบฝูงกิกันโต
 - ปรับปรุงการต่อสู้ของกองทหาร: ปรับปัจจัยความเสียหายของกอ"&amp;"งทหารในการต่อสู้
 - ปรับปรุงฟังก์ชั่นการเดินทัพแก๊ง: เมื่อเป้าหมายในการเดินทัพคือฝูงกิกันโต คอสโม หรือมิวแตนต์อัลฟ่า ตัวเลือกเวลาในการเดินทัพจะเปลี่ยนเป็น 2 นาที, 5 นาที, 10 นาที และ 30 นาที โดยเมื่อใช้จำนวนการเดินทัพครบแล้ว กองทหารจะออกเดินทางทันทีแทนที่"&amp;"จะต้องรอให้เวลาการเดินทัพผ่านไป
 - ปรับปรุงการแสดงผลของอินเตอร์เฟส: ปรับปรุงอินเตอร์เฟสของแก๊ง นักสู้ แพ็กจำนวนจำกัดประจำวัน และบัตรสมัครสมาชิก อีกทั้งยังปรับปรุงอินเตอร์เฟสกิจกรรมลิงที่แข็งแกร่งที่สุดด้วย")</f>
        <v>- เพิ่มระบบป้ายตราเกียรติยศใหม่: คุณสามารถรับป้ายตราได้จากเกียรติยศของเผ่าหรือตำแหน่งในชนชั้นสูงของเผ่า โดยระบบจะทยอยเปิดตัวตัวเลือกเพิ่มเติมให้เป็นระยะ คุณสามารถดูหรือใส่ป้ายตราได้จากหน้าข้อมูลผู้เล่น
 - เพิ่มการตรวจจับวัตถุโบราณฟรี: เพิ่มระบบการตรวจจับวัตถุโบราณขั้นสูงใหม่ คุณสามารถทำการตรวจจับครั้งแรกของแต่ละช่วงเวลาของกิจกรรมได้ฟรี หรือสามารถใช้ซีดีสำหรับการตรวจจับเพิ่มเติมในจำนวนหนึ่ง ๆ ได้ และยังปรับปรุงเคล็ดลับการสร้างอาคารวันเดอร์ เอมโพเรี่ยมเพื่อให้คุณสามารถค้นหาฟังก์ชันที่ต้องการได้ง่ายขึ้น
 - ปรับปรุงจุดทรัพยากรแก๊ง: ปรับปรุงรูปลักษณ์ของจุดทรัพยากรแก๊ง เพื่อให้คุณสามารถเห็นสถานะของจุดทรัพยากรได้โดยตรงจากแผนที่ และคุณยังสามารถค้นหาจุดทรัพยากรแก๊งที่คูลดาวน์เสร็จแล้วโดยใช้ฟังก์ชันค้นหาได้
 - ปรับปรุงระดับความยากของรถคอนวอย: ลดความยากของขบวนรถคอนวอยสำหรับผู้เล่นที่มีศาลากลางเลเวล 15 และต่ำกว่านั้น และระบบยังปรับปรุงรางวัลที่เกี่ยวข้องให้เข้ากับระดับความยากที่เปลี่ยนแปลงไป
 - ปรับปรุงเควสต์ประจำวัน: เพิ่มการบริจาคเพื่อการเดินทางลงในเควสต์ประจำวัน
 - ปรับปรุงการเกิดใหม่ของเหล่ามิวแตนต์: ปรับปรุงกฎที่ควบคุมการเกิดใหม่ของเหล่ามิวแตนต์บนแผนที่ เหล่ามิวแตนต์ของช่วงเลเวลที่สอดคล้องกันจะเกิดขึ้นโดยอิงจากความคืบหน้าของเซิร์ฟเวอร์
 - ปรับปรุงการวิจัยแก๊ง: เพิ่มเลเวลของการวิจัยแก๊ง 15 เลเวลพร้อมเอฟเฟกต์การเพิ่มจำนวนหอกระจายแร่ การลดทรัพยากรที่ใช้ในการสร้างหอกระจายแร่ และเพิ่มบัฟฟ์การต่อสู้ของอาคารแก๊ง
 - ปรับปรุงเกียรติยศของเผ่า: เพิ่มโอกาสในการรับหีบเกียรติยศประจำวันของเผ่า โดยในขณะนี้ คุณสามารถทำเควสต์ดินแดนป่าเถื่อนให้สำเร็จได้โดยการปราบฝูงกิกันโต
 - ปรับปรุงการต่อสู้ของกองทหาร: ปรับปัจจัยความเสียหายของกองทหารในการต่อสู้
 - ปรับปรุงฟังก์ชั่นการเดินทัพแก๊ง: เมื่อเป้าหมายในการเดินทัพคือฝูงกิกันโต คอสโม หรือมิวแตนต์อัลฟ่า ตัวเลือกเวลาในการเดินทัพจะเปลี่ยนเป็น 2 นาที, 5 นาที, 10 นาที และ 30 นาที โดยเมื่อใช้จำนวนการเดินทัพครบแล้ว กองทหารจะออกเดินทางทันทีแทนที่จะต้องรอให้เวลาการเดินทัพผ่านไป
 - ปรับปรุงการแสดงผลของอินเตอร์เฟส: ปรับปรุงอินเตอร์เฟสของแก๊ง นักสู้ แพ็กจำนวนจำกัดประจำวัน และบัตรสมัครสมาชิก อีกทั้งยังปรับปรุงอินเตอร์เฟสกิจกรรมลิงที่แข็งแกร่งที่สุดด้วย</v>
      </c>
      <c r="J4" s="34" t="str">
        <f>IFERROR(__xludf.DUMMYFUNCTION("""COMPUTED_VALUE"""),"- Nuevo sistema de Insignias de Honor agregado: obtén insignias mediante los títulos de Honores del Clan o de Élite del Clan. Más opciones serán lanzadas gradualmente. Equipa Insignias o ve a la Pagina de Información del jugador.
- Se agregaron deteccione"&amp;"s gratis para las Reliquias: Se agrego la nueva Detección Avanzada de Reliquias; la primera detección en cada periodo del evento es gratis y los CD pueden ser usados para un numero determinado de detecciones adicionales. Optimización en Consejos de constr"&amp;"ucción para el Emporio de las Maravillas para que puedas encontrar las funciones deseadas más fácilmente. 
 - Puntos de recursos de la Banda optimizados: se optimizó la apariencia de los puntos de recursos de la Banda para que puedas ver su estado directa"&amp;"mente desde el mapa; también puedes encontrar puntos de recursos de la Banda cuyos tiempos de espera han terminado usando la función de búsqueda. 
 - Optimización de la dificultad de convoy: se redujo la dificultad de los Convoyes para los jugadores cuyo "&amp;"Ayuntamiento sea nivel 15 o inferior. Las recompensas correspondientes también han sido ajustadas para coincidir con el cambio de dificultad. 
 - Misiones diarias optimizadas: Donación a la Expedición agregada a las misiones diarias. 
 - Reaparición de lo"&amp;"s Mutantes optimizada: Se optimizaron las reglas que rigen la reaparición de Mutantes en el mapa. Los Mutantes con un nivel correspondiente a los niveles serán generados de acuerdo con el progreso del servidor. 
 - Investigación de la Banda optimizada: Se"&amp;" agregaron 15 niveles de Investigación de la Banda con efecto de incrementar el número de Distribuidores, reduciendo los recursos consumidos en la construcción de Distribuidores y agregando las mejoras de construcción de batalla de la Banda. 
 - Optimizac"&amp;"ión de Honores del Clan: Se agregaron oportunidades para reclamar cofres diarios de Honores del Clan. Las misiones de la Tierra Brutal ahora pueden completarse derrotando Gigantopithecus. 
 - Optimización de combate de las tropas: se ajusto el factor de d"&amp;"año de las tropas cuando el blanco de la incursión es un Gigantopithecus, Cosmo o el Mutante Alfa, las opciones de tiempo para la incursión han sido cambiadas a 2 minutos, 5 minutos, 10 minutos y 30 minutos. Cuando la capacidad de la incursión es alcanzad"&amp;"a, las tropas saldrán inmediatamente en vez de tener que esperar a que el tiempo de la incursión termine. 
 - Optimización en el despliegue de la interface: se optimizaron las interfaces para la Banda, Paquete Limitado Diario y las Tarjetas de Suscripción"&amp;". También se optimizó la interface del evento de Mono Supremo.")</f>
        <v>- Nuevo sistema de Insignias de Honor agregado: obtén insignias mediante los títulos de Honores del Clan o de Élite del Clan. Más opciones serán lanzadas gradualmente. Equipa Insignias o ve a la Pagina de Información del jugador.
- Se agregaron detecciones gratis para las Reliquias: Se agrego la nueva Detección Avanzada de Reliquias; la primera detección en cada periodo del evento es gratis y los CD pueden ser usados para un numero determinado de detecciones adicionales. Optimización en Consejos de construcción para el Emporio de las Maravillas para que puedas encontrar las funciones deseadas más fácilmente. 
 - Puntos de recursos de la Banda optimizados: se optimizó la apariencia de los puntos de recursos de la Banda para que puedas ver su estado directamente desde el mapa; también puedes encontrar puntos de recursos de la Banda cuyos tiempos de espera han terminado usando la función de búsqueda. 
 - Optimización de la dificultad de convoy: se redujo la dificultad de los Convoyes para los jugadores cuyo Ayuntamiento sea nivel 15 o inferior. Las recompensas correspondientes también han sido ajustadas para coincidir con el cambio de dificultad. 
 - Misiones diarias optimizadas: Donación a la Expedición agregada a las misiones diarias. 
 - Reaparición de los Mutantes optimizada: Se optimizaron las reglas que rigen la reaparición de Mutantes en el mapa. Los Mutantes con un nivel correspondiente a los niveles serán generados de acuerdo con el progreso del servidor. 
 - Investigación de la Banda optimizada: Se agregaron 15 niveles de Investigación de la Banda con efecto de incrementar el número de Distribuidores, reduciendo los recursos consumidos en la construcción de Distribuidores y agregando las mejoras de construcción de batalla de la Banda. 
 - Optimización de Honores del Clan: Se agregaron oportunidades para reclamar cofres diarios de Honores del Clan. Las misiones de la Tierra Brutal ahora pueden completarse derrotando Gigantopithecus. 
 - Optimización de combate de las tropas: se ajusto el factor de daño de las tropas cuando el blanco de la incursión es un Gigantopithecus, Cosmo o el Mutante Alfa, las opciones de tiempo para la incursión han sido cambiadas a 2 minutos, 5 minutos, 10 minutos y 30 minutos. Cuando la capacidad de la incursión es alcanzada, las tropas saldrán inmediatamente en vez de tener que esperar a que el tiempo de la incursión termine. 
 - Optimización en el despliegue de la interface: se optimizaron las interfaces para la Banda, Paquete Limitado Diario y las Tarjetas de Suscripción. También se optimizó la interface del evento de Mono Supremo.</v>
      </c>
      <c r="K4" s="34" t="str">
        <f>IFERROR(__xludf.DUMMYFUNCTION("""COMPUTED_VALUE"""),"- Добавлена новая система значков чести: получайте значки, набирая честь клана или получая титулы элиты клана. Со временем мы добавим больше значков. Просмотреть и применить значки можно на странице информации об игроке.
- Добавлено бесплатное сканировани"&amp;"е и новое продвинутое сканирование реликвий: первое сканирование в каждом периоде будет бесплатным, а дополнительно сканировать можно будет за CD. Оптимизированы подсказки в зале чудес, чтобы вам легче было найти желаемые функции.
- Оптимизированы точки р"&amp;"есурсов банды: оптимизировано появление точек ресурсов банды, и вы сможете видеть их статус непосредственно на карте. Кроме того, с помощью функции поиска вы сможете найти точки ресурсов банды, у которых закончилось восстановление.
- Оптимизирована сложно"&amp;"сть караванов: уменьшена сложность караванов для игроков с городским советом до 15 уровня включительно. Награды также скорректированы в соответствии с изменением сложности.
- Оптимизированы ежедневные задания: в ежедневные задания добавлено пожертвование "&amp;"на экспедицию.
- Оптимизировано возрождение мутантов: оптимизированы правила возрождения мутантов на карте. Мутанты соответствующего диапазона уровней будут генерироваться на основе прогресса сервера.
- Оптимизированы исследования банды: добавлены 15 уров"&amp;"ней исследований банды с целью увеличения числа распределителей, уменьшения расходов ресурсов на постройку распределителей и добавления боевых усилений для банды.
- Оптимизирована система чести клана: добавлена возможность ежедневно получать ящики чести к"&amp;"лана. Теперь задания «Жестокая земля» можно выполнять, побеждая Гиганто.
- Оптимизированы сражения войск: скорректирован коэффициент урона войск в бою.
- Оптимизирована функция похода банды: когда целью похода является Гиганто, Космо или альфа-мутант, вар"&amp;"ианты времени сбора похода стали составлять 2 минуты, 5 минут, 10 минут и 30 минут. При достижении максимума числа войск в походе поход будет отправляться немедленно, не дожидаясь окончания времени сбора.
- Оптимизирован интерфейс: оптимизированы разделы "&amp;"банды, героя, дневных ограниченных наборов и карт подписки. Также оптимизирован интерфейс события «Великая обезьяна».")</f>
        <v>- Добавлена новая система значков чести: получайте значки, набирая честь клана или получая титулы элиты клана. Со временем мы добавим больше значков. Просмотреть и применить значки можно на странице информации об игроке.
- Добавлено бесплатное сканирование и новое продвинутое сканирование реликвий: первое сканирование в каждом периоде будет бесплатным, а дополнительно сканировать можно будет за CD. Оптимизированы подсказки в зале чудес, чтобы вам легче было найти желаемые функции.
- Оптимизированы точки ресурсов банды: оптимизировано появление точек ресурсов банды, и вы сможете видеть их статус непосредственно на карте. Кроме того, с помощью функции поиска вы сможете найти точки ресурсов банды, у которых закончилось восстановление.
- Оптимизирована сложность караванов: уменьшена сложность караванов для игроков с городским советом до 15 уровня включительно. Награды также скорректированы в соответствии с изменением сложности.
- Оптимизированы ежедневные задания: в ежедневные задания добавлено пожертвование на экспедицию.
- Оптимизировано возрождение мутантов: оптимизированы правила возрождения мутантов на карте. Мутанты соответствующего диапазона уровней будут генерироваться на основе прогресса сервера.
- Оптимизированы исследования банды: добавлены 15 уровней исследований банды с целью увеличения числа распределителей, уменьшения расходов ресурсов на постройку распределителей и добавления боевых усилений для банды.
- Оптимизирована система чести клана: добавлена возможность ежедневно получать ящики чести клана. Теперь задания «Жестокая земля» можно выполнять, побеждая Гиганто.
- Оптимизированы сражения войск: скорректирован коэффициент урона войск в бою.
- Оптимизирована функция похода банды: когда целью похода является Гиганто, Космо или альфа-мутант, варианты времени сбора похода стали составлять 2 минуты, 5 минут, 10 минут и 30 минут. При достижении максимума числа войск в походе поход будет отправляться немедленно, не дожидаясь окончания времени сбора.
- Оптимизирован интерфейс: оптимизированы разделы банды, героя, дневных ограниченных наборов и карт подписки. Также оптимизирован интерфейс события «Великая обезьяна».</v>
      </c>
      <c r="L4" s="34" t="str">
        <f>IFERROR(__xludf.DUMMYFUNCTION("""COMPUTED_VALUE"""),"- Yeni Onur Rozeti sistemi eklendi: Klan Onuru veya Klan Eliti unvanlarıyla Rozetler al. Kademeli olarak daha fazla seçenek sunulacak. Rozetleri Oyuncu Bilgisi sayfasından gör veya kullan.
 - Kalıntılar için ücretsiz tespitler eklendi: yeni İleri Seviye K"&amp;"alıntı Tespiti eklendi; her etkinlik döneminin ilk tespiti ücretsiz ve CD’ler de belirli sayıda ilave tespit için kullanılabilirler. İstediğin işlevleri daha kolay bulabilmen için, optimize edilmiş Harikalar Dükkânı binası ipuçları.
 - Çete kaynak noktala"&amp;"rı optimize edildi: durumlarını doprudan haritadan görebilmen için Çete kaynak noktalarının görünüşü optimize edildi; bekleme süresi sona eren Çete kaynak noktalarını da arama işlevi ile bulabilirsin.
 - Konvoy zorluğu optimize edildi: Meclisi 15. Sv. ve "&amp;"altındaki oyuncular için Konvoyların zorluğu azaltıldı. İlgili ödüller de zorluk değişikliğine uygun olması için düzenlendi.
 - Günlük Maceralar optimize edildi: Gezi Bağışı günlük maceralara eklendi.
 - Mutantların yeniden canlanması optimize edildi: har"&amp;"itadaki Mutantların yeniden canlanmasına ilişkin kurallar optimize edildi. İlgili seviyelerdeki Mutantlar sunucu ilerlemesine göre oluşturulacak.
 - Çete Araştırması optimize edildi:Distribütör sayısını artıran, bina Distribütörlerinde tüketilen kaynaklar"&amp;"ı azaltan ve Çete binasına savaş güçlendiricileri ekleyen 15 seviyelik Çete Araştırması eklendi.
 - Klan Onuru optimize edildi: günlük Klan Onuru sandıkları için alma fırsatları eklendi. Zorlu Toprak maceraları artık Giganto’ları yenerek tamamlanabilir.
 "&amp;"- Birlik savaşı optimize edildi: birliklerin savaştaki hasar faktörü düzenlendi.
 - Çete toplu saldırı işlevi optimize edildi: bir toplu saldırı Giganto’yu, Cosmo’yu ya da Mutant Alfa’yı hedef alırsa, toplu saldırı zamanı seçenekleri 2 dakika, 5 dakika, 1"&amp;"0 dakika ve 30 dakika olarak değiştirildi. Toplu saldırı kapasitesine ulaşıldığında, birlikler toplu saldırı süresinin bitmesine beklemeden hemen ayrılırlar.
 - Arayüz görüntüsü optimize edildi: Çete, Savaşçı, Günlük Sınırlı Paket ve Abonelik Kartları ara"&amp;"yüzleri optimize edildi. En Üstün Maymun etkinliği arayüzü de optimize edildi.")</f>
        <v>- Yeni Onur Rozeti sistemi eklendi: Klan Onuru veya Klan Eliti unvanlarıyla Rozetler al. Kademeli olarak daha fazla seçenek sunulacak. Rozetleri Oyuncu Bilgisi sayfasından gör veya kullan.
 - Kalıntılar için ücretsiz tespitler eklendi: yeni İleri Seviye Kalıntı Tespiti eklendi; her etkinlik döneminin ilk tespiti ücretsiz ve CD’ler de belirli sayıda ilave tespit için kullanılabilirler. İstediğin işlevleri daha kolay bulabilmen için, optimize edilmiş Harikalar Dükkânı binası ipuçları.
 - Çete kaynak noktaları optimize edildi: durumlarını doprudan haritadan görebilmen için Çete kaynak noktalarının görünüşü optimize edildi; bekleme süresi sona eren Çete kaynak noktalarını da arama işlevi ile bulabilirsin.
 - Konvoy zorluğu optimize edildi: Meclisi 15. Sv. ve altındaki oyuncular için Konvoyların zorluğu azaltıldı. İlgili ödüller de zorluk değişikliğine uygun olması için düzenlendi.
 - Günlük Maceralar optimize edildi: Gezi Bağışı günlük maceralara eklendi.
 - Mutantların yeniden canlanması optimize edildi: haritadaki Mutantların yeniden canlanmasına ilişkin kurallar optimize edildi. İlgili seviyelerdeki Mutantlar sunucu ilerlemesine göre oluşturulacak.
 - Çete Araştırması optimize edildi:Distribütör sayısını artıran, bina Distribütörlerinde tüketilen kaynakları azaltan ve Çete binasına savaş güçlendiricileri ekleyen 15 seviyelik Çete Araştırması eklendi.
 - Klan Onuru optimize edildi: günlük Klan Onuru sandıkları için alma fırsatları eklendi. Zorlu Toprak maceraları artık Giganto’ları yenerek tamamlanabilir.
 - Birlik savaşı optimize edildi: birliklerin savaştaki hasar faktörü düzenlendi.
 - Çete toplu saldırı işlevi optimize edildi: bir toplu saldırı Giganto’yu, Cosmo’yu ya da Mutant Alfa’yı hedef alırsa, toplu saldırı zamanı seçenekleri 2 dakika, 5 dakika, 10 dakika ve 30 dakika olarak değiştirildi. Toplu saldırı kapasitesine ulaşıldığında, birlikler toplu saldırı süresinin bitmesine beklemeden hemen ayrılırlar.
 - Arayüz görüntüsü optimize edildi: Çete, Savaşçı, Günlük Sınırlı Paket ve Abonelik Kartları arayüzleri optimize edildi. En Üstün Maymun etkinliği arayüzü de optimize edildi.</v>
      </c>
      <c r="M4" s="34" t="str">
        <f>IFERROR(__xludf.DUMMYFUNCTION("""COMPUTED_VALUE"""),"- Bổ sung hệ thống Phù Hiệu Vinh Dự mới: nhận Phù Hiệu thông qua các danh hiệu Vinh Dự Bộ Lạc hoặc Tinh Anh Bộ Lạc. Chúng tôi sẽ dần triển khai nhiều tùy chọn khác. Xem hoặc trang bị Phù Hiệu trên trang Thông Tin Người Chơi.
 - Thêm tính năng thăm dò Di T"&amp;"ích miễn phí: bổ sung thêm Thăm Dò Di Tích Nâng Cao mới; lần thăm dò đầu tiên trong từng khoảng thời gian sự kiện sẽ được miễn phí và có thể dùng CD để có thêm số lượt thăm dò nhất định. Tối ưu hóa các hướng dẫn của công trình Trung Tâm Thương Mại Kỳ Thú "&amp;"để bạn có thể tìm thấy các chức năng mong muốn dễ dàng hơn.
 - Tối ưu hóa các điểm tài nguyên Bang Hội: tối ưu hóa sự xuất hiện của các điểm tài nguyên Bang Hội để bạn có thể trực tiếp nhìn thấy trạng thái của chúng từ bản đồ; bạn cũng có thể tìm thấy các"&amp;" điểm tài nguyên Bang Hội đã kết thúc thời gian hồi phục bằng cách sử dụng chức năng tìm kiếm.
 - Tối ưu hóa độ khó Xe Chuyên Chở: giảm độ khó của Xe Chuyên Chở cho người chơi có Tòa Thị Chính Cấp 15 trở xuống. Các phần thưởng tương ứng cũng đã được điều "&amp;"chỉnh để phù hợp với sự thay đổi độ khó trên.
 - Tối ưu hóa nhiệm vụ hàng ngày: Thêm Cống Hiến Viễn Chinh vào nhiệm vụ hàng ngày.
 - Tối ưu hóa khả năng xuất hiện của Khỉ Đột Biến: tối ưu hóa các quy tắc quản lý sự xuất hiện của Khỉ Đột Biến trên bản đồ. "&amp;"Khỉ Đột Biến thuộc một loạt các cấp độ tương ứng sẽ được tạo ra dựa trên tiến trình của máy chủ.
 - Tối ưu hóa Nghiên Cứu Bang Hội: thêm 15 cấp độ Nghiên Cứu Bang Hội với hiệu ứng tăng số lượng Trạm Phân Phối, giảm tài nguyên tiêu hao trong quá trình xây "&amp;"dựng Trạm Phân Phối, đồng thời bổ sung thêm hiệu ứng có lợi khi chiến đấu trong các công trình Bang Hội.
 - Tối ưu hóa Vinh Dự Bộ Lạc: thêm cơ hội nhận rương Vinh Dự Bộ Lạc hàng ngày. Giờ bạn có thể hoàn thành nhiệm vụ Vùng Đất Hoang Dã bằng cách đánh bại"&amp;" Vượn Khổng Lồ.
 - Tối ưu hóa chiến đấu của binh lính: điều chỉnh hệ số sát thương của binh lính trong trận chiến.
 - Tối ưu hóa chức năng tập hợp Bang Hội: khi mục tiêu của tập hợp là Vượn Khổng Lồ, Cosmo hoặc Khỉ Đột Biến Đầu Đàn, các tùy chọn thời gian"&amp;" tập hợp được thay đổi thành 2 phút, 5 phút, 10 phút và 30 phút. Khi đạt đến sức chứa tập hợp, binh lính sẽ xuất phát ngay lập tức thay vì phải đợi thời gian tập hợp kết thúc.
 - Tối ưu hóa giao diện hiển thị: tối ưu hóa các giao diện Bang Hội, Chiến Binh"&amp;", Gói Giới Hạn Hàng Ngày và Thẻ Đăng Ký. Giao diện sự kiện Chúa Khỉ Tối Thượng cũng được tối ưu hóa.")</f>
        <v>- Bổ sung hệ thống Phù Hiệu Vinh Dự mới: nhận Phù Hiệu thông qua các danh hiệu Vinh Dự Bộ Lạc hoặc Tinh Anh Bộ Lạc. Chúng tôi sẽ dần triển khai nhiều tùy chọn khác. Xem hoặc trang bị Phù Hiệu trên trang Thông Tin Người Chơi.
 - Thêm tính năng thăm dò Di Tích miễn phí: bổ sung thêm Thăm Dò Di Tích Nâng Cao mới; lần thăm dò đầu tiên trong từng khoảng thời gian sự kiện sẽ được miễn phí và có thể dùng CD để có thêm số lượt thăm dò nhất định. Tối ưu hóa các hướng dẫn của công trình Trung Tâm Thương Mại Kỳ Thú để bạn có thể tìm thấy các chức năng mong muốn dễ dàng hơn.
 - Tối ưu hóa các điểm tài nguyên Bang Hội: tối ưu hóa sự xuất hiện của các điểm tài nguyên Bang Hội để bạn có thể trực tiếp nhìn thấy trạng thái của chúng từ bản đồ; bạn cũng có thể tìm thấy các điểm tài nguyên Bang Hội đã kết thúc thời gian hồi phục bằng cách sử dụng chức năng tìm kiếm.
 - Tối ưu hóa độ khó Xe Chuyên Chở: giảm độ khó của Xe Chuyên Chở cho người chơi có Tòa Thị Chính Cấp 15 trở xuống. Các phần thưởng tương ứng cũng đã được điều chỉnh để phù hợp với sự thay đổi độ khó trên.
 - Tối ưu hóa nhiệm vụ hàng ngày: Thêm Cống Hiến Viễn Chinh vào nhiệm vụ hàng ngày.
 - Tối ưu hóa khả năng xuất hiện của Khỉ Đột Biến: tối ưu hóa các quy tắc quản lý sự xuất hiện của Khỉ Đột Biến trên bản đồ. Khỉ Đột Biến thuộc một loạt các cấp độ tương ứng sẽ được tạo ra dựa trên tiến trình của máy chủ.
 - Tối ưu hóa Nghiên Cứu Bang Hội: thêm 15 cấp độ Nghiên Cứu Bang Hội với hiệu ứng tăng số lượng Trạm Phân Phối, giảm tài nguyên tiêu hao trong quá trình xây dựng Trạm Phân Phối, đồng thời bổ sung thêm hiệu ứng có lợi khi chiến đấu trong các công trình Bang Hội.
 - Tối ưu hóa Vinh Dự Bộ Lạc: thêm cơ hội nhận rương Vinh Dự Bộ Lạc hàng ngày. Giờ bạn có thể hoàn thành nhiệm vụ Vùng Đất Hoang Dã bằng cách đánh bại Vượn Khổng Lồ.
 - Tối ưu hóa chiến đấu của binh lính: điều chỉnh hệ số sát thương của binh lính trong trận chiến.
 - Tối ưu hóa chức năng tập hợp Bang Hội: khi mục tiêu của tập hợp là Vượn Khổng Lồ, Cosmo hoặc Khỉ Đột Biến Đầu Đàn, các tùy chọn thời gian tập hợp được thay đổi thành 2 phút, 5 phút, 10 phút và 30 phút. Khi đạt đến sức chứa tập hợp, binh lính sẽ xuất phát ngay lập tức thay vì phải đợi thời gian tập hợp kết thúc.
 - Tối ưu hóa giao diện hiển thị: tối ưu hóa các giao diện Bang Hội, Chiến Binh, Gói Giới Hạn Hàng Ngày và Thẻ Đăng Ký. Giao diện sự kiện Chúa Khỉ Tối Thượng cũng được tối ưu hóa.</v>
      </c>
      <c r="N4" s="34"/>
      <c r="O4" s="148"/>
      <c r="P4" s="148"/>
      <c r="Q4" s="148"/>
      <c r="R4" s="148"/>
      <c r="S4" s="148"/>
      <c r="T4" s="148"/>
      <c r="U4" s="148"/>
      <c r="V4" s="148"/>
      <c r="W4" s="148"/>
      <c r="X4" s="148"/>
      <c r="Y4" s="148"/>
      <c r="Z4" s="148"/>
    </row>
    <row r="5">
      <c r="A5" s="149" t="str">
        <f>IFERROR(__xludf.DUMMYFUNCTION("""COMPUTED_VALUE"""),"0.26.0")</f>
        <v>0.26.0</v>
      </c>
      <c r="B5" s="150" t="str">
        <f>IFERROR(__xludf.DUMMYFUNCTION("""COMPUTED_VALUE"""),"- 新增帮派运动会：运动会即将开启，加入帮派，携手盟友完成任务冲击冠军，赢取丰富奖励！
- 新增复活节派对：复活节派对即将开启，参与活动，赢取节日限定装饰和其他丰富奖励！
- 新增帮派争锋：争分夺秒参与帮派任务，跻身最速排行，赢取帮派荣誉奖励！
- 新增讨伐霍格博士：你可以使用系统提供的兵力，加上自己拥有的英雄，在大地图行军前验证英雄实力，理解英雄和兵种搭配。
- 新增斗士：荒野浪子戴维斯，幽默不羁的战斗飙车族，可通过最强猴子获取。
- 新增客服入口：你可以点击城内带气泡的小猴子与客服取得联系。
- 新增"&amp;"原始时间显示：8级以上的主城可以显示训练、城建、研究和医疗所需的原始时间了。
- 界面表现优化：优化了英雄天赋、斗士主界面以及幸运奖盘界面，优化了失效联盟矿的展示，优化了公共建筑消息推送。战斗中攻击增加震屏效果。添加了英雄出征音效。优化了一些已有英雄的特效和攻击效果。
- 搜索和编队功能优化：优化了玩家搜索的交互体验，简化与补充了编队行军功能，优化了行军推荐英雄与部队，使默认的推荐更加合理了。
- 军功系统优化：军功系统中增加了侦查任务，并降低了军功任务完成的难度。
- 决战卫星之巅优化：新增了历史战绩查"&amp;"询功能，之后开启的每次战场战绩将可从活动界面入口处查询，并优化了建筑占领时间。
- 氏族界面优化：氏族界面全新升级，更换了氏族系统全部场景。
- 斗士展示界面优化：斗士展示界面更换新版场景。
- 太空里程碑优化：入口添加倒计时，提示当前阶段剩余时间。
- 建筑奖励优化：调整了部分氏族建筑和人类遗迹的氏族首次占领奖励。
- 建筑加成优化：调整了主城内部分建筑加成。
- 联盟采集点优化：优化了联盟采集点的外观，可以直观地从地图上看出联盟采集的状态。使用搜索功能，能找到冷却结束的联盟采集点。
- 人类遗迹优化："&amp;"增强了部分人类遗迹的增益效果，同时优化了人类遗迹相关说明及界面交互，但是相同类型的人类遗迹提供的增益效果不能叠加了。
- 酒馆奖励优化：优化了酒馆七日登录的奖励。")</f>
        <v>- 新增帮派运动会：运动会即将开启，加入帮派，携手盟友完成任务冲击冠军，赢取丰富奖励！
- 新增复活节派对：复活节派对即将开启，参与活动，赢取节日限定装饰和其他丰富奖励！
- 新增帮派争锋：争分夺秒参与帮派任务，跻身最速排行，赢取帮派荣誉奖励！
- 新增讨伐霍格博士：你可以使用系统提供的兵力，加上自己拥有的英雄，在大地图行军前验证英雄实力，理解英雄和兵种搭配。
- 新增斗士：荒野浪子戴维斯，幽默不羁的战斗飙车族，可通过最强猴子获取。
- 新增客服入口：你可以点击城内带气泡的小猴子与客服取得联系。
- 新增原始时间显示：8级以上的主城可以显示训练、城建、研究和医疗所需的原始时间了。
- 界面表现优化：优化了英雄天赋、斗士主界面以及幸运奖盘界面，优化了失效联盟矿的展示，优化了公共建筑消息推送。战斗中攻击增加震屏效果。添加了英雄出征音效。优化了一些已有英雄的特效和攻击效果。
- 搜索和编队功能优化：优化了玩家搜索的交互体验，简化与补充了编队行军功能，优化了行军推荐英雄与部队，使默认的推荐更加合理了。
- 军功系统优化：军功系统中增加了侦查任务，并降低了军功任务完成的难度。
- 决战卫星之巅优化：新增了历史战绩查询功能，之后开启的每次战场战绩将可从活动界面入口处查询，并优化了建筑占领时间。
- 氏族界面优化：氏族界面全新升级，更换了氏族系统全部场景。
- 斗士展示界面优化：斗士展示界面更换新版场景。
- 太空里程碑优化：入口添加倒计时，提示当前阶段剩余时间。
- 建筑奖励优化：调整了部分氏族建筑和人类遗迹的氏族首次占领奖励。
- 建筑加成优化：调整了主城内部分建筑加成。
- 联盟采集点优化：优化了联盟采集点的外观，可以直观地从地图上看出联盟采集的状态。使用搜索功能，能找到冷却结束的联盟采集点。
- 人类遗迹优化：增强了部分人类遗迹的增益效果，同时优化了人类遗迹相关说明及界面交互，但是相同类型的人类遗迹提供的增益效果不能叠加了。
- 酒馆奖励优化：优化了酒馆七日登录的奖励。</v>
      </c>
      <c r="C5" s="150" t="str">
        <f>IFERROR(__xludf.DUMMYFUNCTION("""COMPUTED_VALUE"""),"- New Gang Games event: the Gang Games are starting soon. Join a Gang and collaborate with members to complete quests. Win the championship to get amazing rewards!
- New Easter Party event: the Easter Party is about to begin. Participate in the event to w"&amp;"in limited-edition holiday decorations and other great rewards!
- New Gang Race event: it's a race against time! Help your Gang rank among the fastest to complete their quests and win amazing Gang rewards!
- New Attack on Dr. Hogg event: use your Fighters"&amp;" with troops provided by the system to better understand Fighter strengths and their optimal pairings with unit types.
- New Fighter: Wildland Drifter, D-Generate Dave, a wild Pilot with a sense of humor. Can be obtained via Ultimate Monkey.
- New custome"&amp;"r support access: tap the little monkey with the bubble in your City to connect with customer support.
- New original time display: City Halls at Lv. 8 and above will now display the original time needed for training, building, research, and healing.
- In"&amp;"terface optimization: optimized Wheel of Fortune, Fighters' main and Talent interfaces; optimized display of expired Gang resource points and public building notifications; added vibrate effect for attacks in battle; added sound effects for Fighters going"&amp;" into battle; optimized certain existing Fighter special effects and attack effects.
- Search and creating troops optimization: optimized the interactive experience of player search; simplified and supplemented the creating Troops formations function. Opt"&amp;"imized Fighter and unit recommendations to make the default suggestions more reasonable.
- Clan Honors optimization: added scout quests and reduced the difficulty of Clan Honors quests.
- Astral Coliseum optimization: added Battle Record search function s"&amp;"o that battle results of each event period going forward can be found in the event interface portal. Also optimized building occupation time.
- Clan interface optimization: Clan interface given a complete upgrade, and all scenes in the Clan system have be"&amp;"en changed.
- Fighter display interface optimization: new scenes updated for Fighter character displays.
- Space Milestone optimization: countdown timer added to the building, showing time remaining for the current stage.
- Building rewards optimization: "&amp;"adjusted Clans' first occupation rewards for certain Ruins and Clan buildings.
- Building boosts optimization: adjusted the building boost for certain City buildings.
- Gang resource spots optimization: optimized the appearance of Gang resource spots so t"&amp;"hat their statuses can be seen directly from the map. Use the search function to find Gang resource spots at the end of their cooldown.
- Ruins optimization: enhanced the buffs of certain Ruins and optimized Ruin-related descriptions and interface interac"&amp;"tion. At the same time, buffs provided by the same type of Ruin can no longer be stacked.
- Tavern rewards optimization: optimized the weekly login rewards in the Tavern.")</f>
        <v>- New Gang Games event: the Gang Games are starting soon. Join a Gang and collaborate with members to complete quests. Win the championship to get amazing rewards!
- New Easter Party event: the Easter Party is about to begin. Participate in the event to win limited-edition holiday decorations and other great rewards!
- New Gang Race event: it's a race against time! Help your Gang rank among the fastest to complete their quests and win amazing Gang rewards!
- New Attack on Dr. Hogg event: use your Fighters with troops provided by the system to better understand Fighter strengths and their optimal pairings with unit types.
- New Fighter: Wildland Drifter, D-Generate Dave, a wild Pilot with a sense of humor. Can be obtained via Ultimate Monkey.
- New customer support access: tap the little monkey with the bubble in your City to connect with customer support.
- New original time display: City Halls at Lv. 8 and above will now display the original time needed for training, building, research, and healing.
- Interface optimization: optimized Wheel of Fortune, Fighters' main and Talent interfaces; optimized display of expired Gang resource points and public building notifications; added vibrate effect for attacks in battle; added sound effects for Fighters going into battle; optimized certain existing Fighter special effects and attack effects.
- Search and creating troops optimization: optimized the interactive experience of player search; simplified and supplemented the creating Troops formations function. Optimized Fighter and unit recommendations to make the default suggestions more reasonable.
- Clan Honors optimization: added scout quests and reduced the difficulty of Clan Honors quests.
- Astral Coliseum optimization: added Battle Record search function so that battle results of each event period going forward can be found in the event interface portal. Also optimized building occupation time.
- Clan interface optimization: Clan interface given a complete upgrade, and all scenes in the Clan system have been changed.
- Fighter display interface optimization: new scenes updated for Fighter character displays.
- Space Milestone optimization: countdown timer added to the building, showing time remaining for the current stage.
- Building rewards optimization: adjusted Clans' first occupation rewards for certain Ruins and Clan buildings.
- Building boosts optimization: adjusted the building boost for certain City buildings.
- Gang resource spots optimization: optimized the appearance of Gang resource spots so that their statuses can be seen directly from the map. Use the search function to find Gang resource spots at the end of their cooldown.
- Ruins optimization: enhanced the buffs of certain Ruins and optimized Ruin-related descriptions and interface interaction. At the same time, buffs provided by the same type of Ruin can no longer be stacked.
- Tavern rewards optimization: optimized the weekly login rewards in the Tavern.</v>
      </c>
      <c r="D5" s="150" t="str">
        <f>IFERROR(__xludf.DUMMYFUNCTION("""COMPUTED_VALUE"""),"- Nouvel évènement: les jeux de gang ouvrent bientôt. Rejoignez un gang et coopérez avec les autres membres pour accomplir des quêtes. Remportez le championnat pour obtenir des récompenses géniales!
- Nouvel évènement: la fête de Pâques s’apprête à commen"&amp;"cer. Participez à l’évènement pour gagner des décors thématiques en édition limitée et d’autres récompenses géniales!
- Nouvel évènement : la course des gangs est prête pour un nouveau départ! Aidez votre gang à faire partie des plus rapides à accomplir s"&amp;"es quêtes, afin d’empocher des récompenses prodigieuses!
- Nouvel évènement: dans l’attaque de Dr. Hogg, utilisez vos combattants pour mener des troupes fournies par le système, afin de mieux comprendre ses forces et les synergies possibles selon les type"&amp;"s d’unités.
- Nouveau combattant: Dave D-Généré, le routard des terres sauvages, un pilote fou avec beaucoup d’humour. S’obtient via le Singe ultime.
- Nouvel accès au service client: dans votre ville, appuyez sur le petit singe avec une bulle pour contac"&amp;"ter le service client.
- Nouvel affichage des durées: l’hôtel de ville niv.8 et plus indique désormais le temps d’origine nécessaire pour l’entraînement, la construction et le soin.
- Optimisation de l’interface: la roue la fortune, les interfaces de gest"&amp;"ion des combattants et de leurs talents; affichage de l’épuisement des points de ressources et autres notifications liées aux bâtiments publics; ajout des vibrations lors des attaques; ajout de bruitages pour l’entrée en bataille des combattants; optimisa"&amp;"tion de certains effets spéciaux et d’attaques de combattants existants.
- Optimisation de la recherche et de la création des troupes: recherche de joueurs plus ergonomique; simplification et ajouts d’options pour la formation des troupes; recommandations"&amp;" pour les combattants et les unités afin d’améliorer les formations par défaut.
- Optimisation des honneurs de clan: ajout de quêtes d’espionnage et réduction de la difficulté des quêtes liées aux honneurs de clan.
- Optimisation du colisée astral: ajout "&amp;"de la recherche de records de combat à l’interface de l’évènement, afin de faciliter la consultation des résultats pour chaque occurrence de l’évènement; optimisation du temps d’occupation des bâtiments.
- Optimisation de l’interface du clan: nouvelle erg"&amp;"onomie complète et changement de toutes les scènes apparaissant dans le système de gestion du clan.
- Optimisation de l’interface d’affichage des combattants: nouvelles scènes de présentation des personnages.
- Optimisation des évènements de l’espace: ajo"&amp;"ut d’un compte à rebours sur le bâtiment, indiquant le temps restant pour l’étape en cours.
- Optimisation des récompenses liées aux bâtiments: modification des récompenses de 1re occupation pour certaines ruines et certains bâtiments de clan.
- Optimisat"&amp;"ion des boosts de bâtiments: modification du boost lié à certains bâtiments de la ville.
- Optimisation des points de ressources du gang: nouvelle apparence des points de ressources du gang afin que leur statut soit visible directement sur la carte. Utili"&amp;"sez la fonction de recherche pour trouver les points de ressources à la fin de leur période de récupération.
- Optimisation des ruines: amélioration des boosts liés à certaines ruines et optimisation des descriptions et de l’ergonomie. Par ailleurs, les b"&amp;"oosts conférés par les ruines de même type ne sont plus cumulables.
- Optimisation des récompenses de la taverne: modification des récompenses de connexion hebdomadaires distribuées dans la taverne.
")</f>
        <v>- Nouvel évènement: les jeux de gang ouvrent bientôt. Rejoignez un gang et coopérez avec les autres membres pour accomplir des quêtes. Remportez le championnat pour obtenir des récompenses géniales!
- Nouvel évènement: la fête de Pâques s’apprête à commencer. Participez à l’évènement pour gagner des décors thématiques en édition limitée et d’autres récompenses géniales!
- Nouvel évènement : la course des gangs est prête pour un nouveau départ! Aidez votre gang à faire partie des plus rapides à accomplir ses quêtes, afin d’empocher des récompenses prodigieuses!
- Nouvel évènement: dans l’attaque de Dr. Hogg, utilisez vos combattants pour mener des troupes fournies par le système, afin de mieux comprendre ses forces et les synergies possibles selon les types d’unités.
- Nouveau combattant: Dave D-Généré, le routard des terres sauvages, un pilote fou avec beaucoup d’humour. S’obtient via le Singe ultime.
- Nouvel accès au service client: dans votre ville, appuyez sur le petit singe avec une bulle pour contacter le service client.
- Nouvel affichage des durées: l’hôtel de ville niv.8 et plus indique désormais le temps d’origine nécessaire pour l’entraînement, la construction et le soin.
- Optimisation de l’interface: la roue la fortune, les interfaces de gestion des combattants et de leurs talents; affichage de l’épuisement des points de ressources et autres notifications liées aux bâtiments publics; ajout des vibrations lors des attaques; ajout de bruitages pour l’entrée en bataille des combattants; optimisation de certains effets spéciaux et d’attaques de combattants existants.
- Optimisation de la recherche et de la création des troupes: recherche de joueurs plus ergonomique; simplification et ajouts d’options pour la formation des troupes; recommandations pour les combattants et les unités afin d’améliorer les formations par défaut.
- Optimisation des honneurs de clan: ajout de quêtes d’espionnage et réduction de la difficulté des quêtes liées aux honneurs de clan.
- Optimisation du colisée astral: ajout de la recherche de records de combat à l’interface de l’évènement, afin de faciliter la consultation des résultats pour chaque occurrence de l’évènement; optimisation du temps d’occupation des bâtiments.
- Optimisation de l’interface du clan: nouvelle ergonomie complète et changement de toutes les scènes apparaissant dans le système de gestion du clan.
- Optimisation de l’interface d’affichage des combattants: nouvelles scènes de présentation des personnages.
- Optimisation des évènements de l’espace: ajout d’un compte à rebours sur le bâtiment, indiquant le temps restant pour l’étape en cours.
- Optimisation des récompenses liées aux bâtiments: modification des récompenses de 1re occupation pour certaines ruines et certains bâtiments de clan.
- Optimisation des boosts de bâtiments: modification du boost lié à certains bâtiments de la ville.
- Optimisation des points de ressources du gang: nouvelle apparence des points de ressources du gang afin que leur statut soit visible directement sur la carte. Utilisez la fonction de recherche pour trouver les points de ressources à la fin de leur période de récupération.
- Optimisation des ruines: amélioration des boosts liés à certaines ruines et optimisation des descriptions et de l’ergonomie. Par ailleurs, les boosts conférés par les ruines de même type ne sont plus cumulables.
- Optimisation des récompenses de la taverne: modification des récompenses de connexion hebdomadaires distribuées dans la taverne.
</v>
      </c>
      <c r="E5" s="13" t="str">
        <f>IFERROR(__xludf.DUMMYFUNCTION("""COMPUTED_VALUE"""),"- Neues Event für Clans: Die Clan-Spiele starten bald. Tritt einem Clan bei und erfülle gemeinsam mit den Mitgliedern Quests. Gewinne die Meisterschaft, um tolle Belohnungen zu erhalten!
 - Neues Osterparty-Event: die Osterparty beginnt bald. Nimm an dem "&amp;"Event teil, um Festtagsdekorationen in limitierter Auflage und andere tolle Belohnungen zu erhalten!
 - Neues Clan-Rennen-Event: Ein Rennen gegen die Zeit! Hilf deinem Clan dabei, sich unter den Schnellsten bei der Erfüllung der Quests zu platzieren und t"&amp;"olle Clan-Belohnungen zu erhalten!
 - Neues Event ""Angriff auf Dr. Hogg"": Setze deine Kämpfer mit den vom System bereitgestellten Truppen ein, um die Stärken der Kämpfer und ihre optimalen Kombinationen mit den Einheitentypen besser zu verstehen.
 - Neu"&amp;"e Kämpfer: Wildnis-Abenteurer, D-Generate Dave, ein wilder Pilot mit einem Sinn für Humor. Kann über den Ultimativen Affen erhalten werden.
 - Neuer Zugang zum Kundensupport: Tippe auf den kleinen Affen mit der Sprechblase in deiner Stadt, um dich mit dem"&amp;" Kundensupport zu verbinden.
 - Neue Originalzeit-Anzeige: Rathäuser ab Lv.8 zeigen nun die Originalzeit an, die für Ausbildung, Gebäude, Forschung und Heilung benötigt wird.
 - Interface-Optimierung: Glücksrad, Haupt- und Talent-Interface der Kämpfer wur"&amp;"den optimiert; die Anzeige der abgelaufenen Clan-Ressourcenquelle und der Benachrichtigungen für öffentliche Gebäude wurde optimiert; ein Vibrationseffekt für Angriffe im Kampf wurde hinzugefügt; Soundeffekte für Kämpfer, die in den Kampf ziehen, wurden h"&amp;"inzugefügt; bestimmte bestehende Kämpfer-Spezialeffekte und Angriffseffekte wurden optimiert.
 - Optimierung der Suche und des Erstellens von Truppen: Optimierung der interaktiven Nutzererfahrung bei der Spielersuche; Vereinfachung und Ergänzung der Funkt"&amp;"ion zum Erstellen von Truppenformationen. Optimierung der Kämpfer- und Einheitenempfehlungen, um die Standardvorschläge verständlicher zu machen.
 - Optimierung der Horde-Ehre: Aufklärer-Quests wurden hinzugefügt und der Schwierigkeitsgrad der Horden-Ehre"&amp;"-Quests wurde reduziert.
 - Astral-Kolosseum-Optimierung: Suchfunktion für Kampfaufzeichnungen hinzugefügt, so dass die Kampfergebnisse jeder Event-Periode künftig im Event-Interface-Portal gefunden werden können. Außerdem wurde die Zeit für die Gebäudebe"&amp;"setzung optimiert.
 - Optimierung des Horden-Interfaces: Das Horden-Interface wurde komplett überarbeitet und alle Szenen im Horden-System wurden geändert.
 - Optimierung des Kämpfer-Interfaces: Neue Szenen für die Kämpfer-Charakteranzeigen wurden hinzuge"&amp;"fügt.
 - Optimierung der Weltraum-Meilensteine: Countdown-Timer zum Gebäude hinzugefügt, der die verbleibende Zeit für die aktuelle Stufe anzeigt.
 - Optimierung der Gebäudebelohnungen: Die Belohnungen für die erste Besetzung von Horden für bestimmte Ruin"&amp;"en und Hordengebäude wurden angepasst.
 - Optimierung der Gebäude-Boosts: Der Gebäude-Boost für bestimmte Stadtgebäude wurde angepasst.
 - Optimierung der Clan-Ressourcenquellen: Das Aussehen der Clan-Ressourcenquellen wurde optimiert, so dass deren Statu"&amp;"s direkt auf der Karte zu sehen ist. Nutze die Suchfunktion, um Clan-Ressourcenquellen am Ende ihrer Abklingzeit zu finden.
 - Ruinen-Optimierung: Die Buffs bestimmter Ruinen wurden verbessert und ruinenbezogene Beschreibungen und Interface-Interaktionen "&amp;"wurden optimiert. Gleichzeitig können Buffs, die von der gleichen Art von Ruine bereitgestellt werden, nicht mehr gestapelt werden.
 - Optimierung der Belohnungen in der Taverne: Die wöchentlichen Login-Belohnungen in der Taverne wurden optimiert.")</f>
        <v>- Neues Event für Clans: Die Clan-Spiele starten bald. Tritt einem Clan bei und erfülle gemeinsam mit den Mitgliedern Quests. Gewinne die Meisterschaft, um tolle Belohnungen zu erhalten!
 - Neues Osterparty-Event: die Osterparty beginnt bald. Nimm an dem Event teil, um Festtagsdekorationen in limitierter Auflage und andere tolle Belohnungen zu erhalten!
 - Neues Clan-Rennen-Event: Ein Rennen gegen die Zeit! Hilf deinem Clan dabei, sich unter den Schnellsten bei der Erfüllung der Quests zu platzieren und tolle Clan-Belohnungen zu erhalten!
 - Neues Event "Angriff auf Dr. Hogg": Setze deine Kämpfer mit den vom System bereitgestellten Truppen ein, um die Stärken der Kämpfer und ihre optimalen Kombinationen mit den Einheitentypen besser zu verstehen.
 - Neue Kämpfer: Wildnis-Abenteurer, D-Generate Dave, ein wilder Pilot mit einem Sinn für Humor. Kann über den Ultimativen Affen erhalten werden.
 - Neuer Zugang zum Kundensupport: Tippe auf den kleinen Affen mit der Sprechblase in deiner Stadt, um dich mit dem Kundensupport zu verbinden.
 - Neue Originalzeit-Anzeige: Rathäuser ab Lv.8 zeigen nun die Originalzeit an, die für Ausbildung, Gebäude, Forschung und Heilung benötigt wird.
 - Interface-Optimierung: Glücksrad, Haupt- und Talent-Interface der Kämpfer wurden optimiert; die Anzeige der abgelaufenen Clan-Ressourcenquelle und der Benachrichtigungen für öffentliche Gebäude wurde optimiert; ein Vibrationseffekt für Angriffe im Kampf wurde hinzugefügt; Soundeffekte für Kämpfer, die in den Kampf ziehen, wurden hinzugefügt; bestimmte bestehende Kämpfer-Spezialeffekte und Angriffseffekte wurden optimiert.
 - Optimierung der Suche und des Erstellens von Truppen: Optimierung der interaktiven Nutzererfahrung bei der Spielersuche; Vereinfachung und Ergänzung der Funktion zum Erstellen von Truppenformationen. Optimierung der Kämpfer- und Einheitenempfehlungen, um die Standardvorschläge verständlicher zu machen.
 - Optimierung der Horde-Ehre: Aufklärer-Quests wurden hinzugefügt und der Schwierigkeitsgrad der Horden-Ehre-Quests wurde reduziert.
 - Astral-Kolosseum-Optimierung: Suchfunktion für Kampfaufzeichnungen hinzugefügt, so dass die Kampfergebnisse jeder Event-Periode künftig im Event-Interface-Portal gefunden werden können. Außerdem wurde die Zeit für die Gebäudebesetzung optimiert.
 - Optimierung des Horden-Interfaces: Das Horden-Interface wurde komplett überarbeitet und alle Szenen im Horden-System wurden geändert.
 - Optimierung des Kämpfer-Interfaces: Neue Szenen für die Kämpfer-Charakteranzeigen wurden hinzugefügt.
 - Optimierung der Weltraum-Meilensteine: Countdown-Timer zum Gebäude hinzugefügt, der die verbleibende Zeit für die aktuelle Stufe anzeigt.
 - Optimierung der Gebäudebelohnungen: Die Belohnungen für die erste Besetzung von Horden für bestimmte Ruinen und Hordengebäude wurden angepasst.
 - Optimierung der Gebäude-Boosts: Der Gebäude-Boost für bestimmte Stadtgebäude wurde angepasst.
 - Optimierung der Clan-Ressourcenquellen: Das Aussehen der Clan-Ressourcenquellen wurde optimiert, so dass deren Status direkt auf der Karte zu sehen ist. Nutze die Suchfunktion, um Clan-Ressourcenquellen am Ende ihrer Abklingzeit zu finden.
 - Ruinen-Optimierung: Die Buffs bestimmter Ruinen wurden verbessert und ruinenbezogene Beschreibungen und Interface-Interaktionen wurden optimiert. Gleichzeitig können Buffs, die von der gleichen Art von Ruine bereitgestellt werden, nicht mehr gestapelt werden.
 - Optimierung der Belohnungen in der Taverne: Die wöchentlichen Login-Belohnungen in der Taverne wurden optimiert.</v>
      </c>
      <c r="F5" s="13" t="str">
        <f>IFERROR(__xludf.DUMMYFUNCTION("""COMPUTED_VALUE"""),"- Novo evento de jogos da gangue: os jogos da gangue começarão em breve. Faça parte de uma gangue e colabore com os membros para concluir missões. Vença o campeonato para ganhar recompensas incríveis!
 - Novo evento de festa de Páscoa: a festa de Páscoa c"&amp;"omeçara em breve. Participe do evento para ganhar edições limitadas de decorações, além de outras grandes recompensas!
 - Novo evento de corrida de gangues: é uma corrida contra o tempo! Ajude sua gangue a se classificar entre as mais rápidas ao concluir "&amp;"missões e ganhar incríveis recompensas de gangue!
 - Novo evento de ataque a Dr. Hogg: use seus combatentes com as tropas fornecidas pelo sistema para entender melhor as forças do combatente e as melhores combinações com os tipos de unidades.
 - Novo comb"&amp;"atente: Andarilho, Dave Degenerado, um piloto selvagem e com senso de humor. Pode ser obtido por meio do Macaco Supremo.
 - Novo acesso ao suporte ao cliente: toque no macaquinho com o balão na sua cidade para falar com o suporte ao cliente.
 - Nova exibi"&amp;"ção de tempo de origem: as prefeituras no nível 8 ou acima agora mostrarão o tempo de origem necessário para treinar, construir, pesquisar e curar.
 - Melhoria da interface: foram melhoradas as interfaces de roda da fortuna, de combatente e de talentos. M"&amp;"elhoria na exibição de pontos de recursos da gangue que expiraram e nas notificações de estruturas. Foi adicionado um efeito de vibração para ataques em batalha. Além disso, foram adicionados efeitos sonoros para os combatentes a caminho da batalha. Algun"&amp;"s efeitos especiais e de ataque de determinados combatentes atuais foram melhorados.
 - Melhoria na busca e criação de tropas: a experiência interativa de busca de jogadores foi melhorada. Além disso, a função de formação de tropas foi simplificada e comp"&amp;"lementada. Melhoria nas recomendações de unidades e combatentes a fim de aprimorar as sugestões padrão.
 - Melhoria nas honras do clã: foram adicionadas missões de espionagem e a dificuldade das missões de honras do clã foi facilitada.
 - Melhoria do Coli"&amp;"seu Astral: foi adicionada uma função de busca por recordes de batalha de modo que os resultados de batalha de cada período de evento possa ser encontrado no portal da interface dos eventos. O tempo de ocupação de estruturas também foi melhorado.
 - Melho"&amp;"ria na interface do clã: a interface do clã recebeu uma atualização completa. Todas as telas no sistema do clã foram alteradas.
 - Melhoria na interface de exibição dos combatentes: novas telas foram atualizadas para a exibição de combatentes.
 - Melhoria"&amp;"s nos marcos espaciais: foi adicionado um contador regressivo na estrutura, além da exibição do tempo restante para a fase atual.
 - Melhoria nas recompensas de estruturas: as recompensas pela primeira ocupação do clã a certas ruínas e estruturas do clã f"&amp;"oram melhoradas.
 - Melhoria nos bônus de construção: o bônus de construção para determinadas estruturas da cidade foi ajustado.
 - Melhoria nos pontos de recursos da gangue: a aparência dos pontos de recursos da gangue foi melhorada. Desse modo, será pos"&amp;"sível ver o estado desses pontos diretamente no mapa. Use a função de pesquisa para encontrar pontos de recursos da gangue que estejam no fim do seu tempo de recarga.
 - Melhoria nas ruínas: os auxílios de determinadas ruínas foram melhorados, além da mel"&amp;"horia das descrições e da interação de interface. Do mesmo modo, os auxílios fornecidos pelo mesmo tipo de ruína não terão mais efeito cumulativo.
 - Melhoria nas recompensas da taverna: as recompensas de login diário na taverna foram melhoradas.")</f>
        <v>- Novo evento de jogos da gangue: os jogos da gangue começarão em breve. Faça parte de uma gangue e colabore com os membros para concluir missões. Vença o campeonato para ganhar recompensas incríveis!
 - Novo evento de festa de Páscoa: a festa de Páscoa começara em breve. Participe do evento para ganhar edições limitadas de decorações, além de outras grandes recompensas!
 - Novo evento de corrida de gangues: é uma corrida contra o tempo! Ajude sua gangue a se classificar entre as mais rápidas ao concluir missões e ganhar incríveis recompensas de gangue!
 - Novo evento de ataque a Dr. Hogg: use seus combatentes com as tropas fornecidas pelo sistema para entender melhor as forças do combatente e as melhores combinações com os tipos de unidades.
 - Novo combatente: Andarilho, Dave Degenerado, um piloto selvagem e com senso de humor. Pode ser obtido por meio do Macaco Supremo.
 - Novo acesso ao suporte ao cliente: toque no macaquinho com o balão na sua cidade para falar com o suporte ao cliente.
 - Nova exibição de tempo de origem: as prefeituras no nível 8 ou acima agora mostrarão o tempo de origem necessário para treinar, construir, pesquisar e curar.
 - Melhoria da interface: foram melhoradas as interfaces de roda da fortuna, de combatente e de talentos. Melhoria na exibição de pontos de recursos da gangue que expiraram e nas notificações de estruturas. Foi adicionado um efeito de vibração para ataques em batalha. Além disso, foram adicionados efeitos sonoros para os combatentes a caminho da batalha. Alguns efeitos especiais e de ataque de determinados combatentes atuais foram melhorados.
 - Melhoria na busca e criação de tropas: a experiência interativa de busca de jogadores foi melhorada. Além disso, a função de formação de tropas foi simplificada e complementada. Melhoria nas recomendações de unidades e combatentes a fim de aprimorar as sugestões padrão.
 - Melhoria nas honras do clã: foram adicionadas missões de espionagem e a dificuldade das missões de honras do clã foi facilitada.
 - Melhoria do Coliseu Astral: foi adicionada uma função de busca por recordes de batalha de modo que os resultados de batalha de cada período de evento possa ser encontrado no portal da interface dos eventos. O tempo de ocupação de estruturas também foi melhorado.
 - Melhoria na interface do clã: a interface do clã recebeu uma atualização completa. Todas as telas no sistema do clã foram alteradas.
 - Melhoria na interface de exibição dos combatentes: novas telas foram atualizadas para a exibição de combatentes.
 - Melhorias nos marcos espaciais: foi adicionado um contador regressivo na estrutura, além da exibição do tempo restante para a fase atual.
 - Melhoria nas recompensas de estruturas: as recompensas pela primeira ocupação do clã a certas ruínas e estruturas do clã foram melhoradas.
 - Melhoria nos bônus de construção: o bônus de construção para determinadas estruturas da cidade foi ajustado.
 - Melhoria nos pontos de recursos da gangue: a aparência dos pontos de recursos da gangue foi melhorada. Desse modo, será possível ver o estado desses pontos diretamente no mapa. Use a função de pesquisa para encontrar pontos de recursos da gangue que estejam no fim do seu tempo de recarga.
 - Melhoria nas ruínas: os auxílios de determinadas ruínas foram melhorados, além da melhoria das descrições e da interação de interface. Do mesmo modo, os auxílios fornecidos pelo mesmo tipo de ruína não terão mais efeito cumulativo.
 - Melhoria nas recompensas da taverna: as recompensas de login diário na taverna foram melhoradas.</v>
      </c>
      <c r="G5" s="34" t="str">
        <f>IFERROR(__xludf.DUMMYFUNCTION("""COMPUTED_VALUE"""),"- 新增幫派運動會：運動會即將開啟，加入幫派，攜手盟友完成任務衝擊冠軍，贏取豐富獎勵！
- 新增復活節派對：復活節派對即將開啟，參與活動，贏取節日限定裝飾和其他豐富獎勵！
- 新增幫派爭鋒：爭分奪秒參與幫派任務，躋身最速排行，贏取幫派榮譽獎勵！
- 新增討伐霍格博士：你可以使用系統提供的兵力，加上自己擁有的英雄，在大地圖行軍前驗證英雄實力，理解英雄和兵種搭配。
- 新增鬥士：荒野浪子戴維斯，幽默不羈的戰鬥飆車族，可通過最強猴子獲取。
- 新增客服入口：你可以點擊城內帶氣泡的小猴子與客服取得聯繫。
- 新增"&amp;"原始時間顯示：8級以上的主城可以顯示訓練、城建、研究和醫療所需的原始時間了。
- 界面表現優化：優化了英雄天賦、鬥士主界面以及幸運獎盤界面，優化了失效聯盟礦的展示，優化了公共建築消息推送。戰鬥中攻擊增加震屏效果。添加了英雄出征音效。優化了一些已有英雄的特效和攻擊效果。
- 搜索和編隊功能優化：優化了玩家搜索的交互體驗，簡化與補充了編隊行軍功能，優化了行軍推薦英雄與部隊，使默認的推薦更加合理了。
- 軍功系統優化：軍功系統中增加了偵查任務，並降低了軍功任務完成的難度。
- 決戰衛星之巔優化：新增了歷史戰績查"&amp;"詢功能，之後開啟的每次戰場戰績將可從活動界面入口處查詢，並優化了建築佔領時間。
- 氏族界面優化：氏族界面全新升級，更換了氏族系統全部場景。
- 鬥士展示界面優化：鬥士展示界面更換新版場景。
- 太空里程碑優化：入口添加倒計時，提示當前階段剩餘時間。
- 建築獎勵優化：調整了部分氏族建築和人類遺蹟的氏族首次佔領獎勵。
- 建築加成優化：調整了主城內部分建築加成。
- 聯盟採集點優化：優化了聯盟採集點的外觀，可以直觀地從地圖上看出聯盟採集的狀態。使用搜索功能，能找到冷卻結束的聯盟採集點。
- 人類遺跡優化："&amp;"增強了部分人類遺蹟的增益效果，同時優化了人類遺跡相關說明及界面交互，但是相同類型的人類遺跡提供的增益效果不能疊加了。
- 酒館獎勵優化：優化了酒館七日登錄的獎勵。")</f>
        <v>- 新增幫派運動會：運動會即將開啟，加入幫派，攜手盟友完成任務衝擊冠軍，贏取豐富獎勵！
- 新增復活節派對：復活節派對即將開啟，參與活動，贏取節日限定裝飾和其他豐富獎勵！
- 新增幫派爭鋒：爭分奪秒參與幫派任務，躋身最速排行，贏取幫派榮譽獎勵！
- 新增討伐霍格博士：你可以使用系統提供的兵力，加上自己擁有的英雄，在大地圖行軍前驗證英雄實力，理解英雄和兵種搭配。
- 新增鬥士：荒野浪子戴維斯，幽默不羈的戰鬥飆車族，可通過最強猴子獲取。
- 新增客服入口：你可以點擊城內帶氣泡的小猴子與客服取得聯繫。
- 新增原始時間顯示：8級以上的主城可以顯示訓練、城建、研究和醫療所需的原始時間了。
- 界面表現優化：優化了英雄天賦、鬥士主界面以及幸運獎盤界面，優化了失效聯盟礦的展示，優化了公共建築消息推送。戰鬥中攻擊增加震屏效果。添加了英雄出征音效。優化了一些已有英雄的特效和攻擊效果。
- 搜索和編隊功能優化：優化了玩家搜索的交互體驗，簡化與補充了編隊行軍功能，優化了行軍推薦英雄與部隊，使默認的推薦更加合理了。
- 軍功系統優化：軍功系統中增加了偵查任務，並降低了軍功任務完成的難度。
- 決戰衛星之巔優化：新增了歷史戰績查詢功能，之後開啟的每次戰場戰績將可從活動界面入口處查詢，並優化了建築佔領時間。
- 氏族界面優化：氏族界面全新升級，更換了氏族系統全部場景。
- 鬥士展示界面優化：鬥士展示界面更換新版場景。
- 太空里程碑優化：入口添加倒計時，提示當前階段剩餘時間。
- 建築獎勵優化：調整了部分氏族建築和人類遺蹟的氏族首次佔領獎勵。
- 建築加成優化：調整了主城內部分建築加成。
- 聯盟採集點優化：優化了聯盟採集點的外觀，可以直觀地從地圖上看出聯盟採集的狀態。使用搜索功能，能找到冷卻結束的聯盟採集點。
- 人類遺跡優化：增強了部分人類遺蹟的增益效果，同時優化了人類遺跡相關說明及界面交互，但是相同類型的人類遺跡提供的增益效果不能疊加了。
- 酒館獎勵優化：優化了酒館七日登錄的獎勵。</v>
      </c>
      <c r="H5" s="34" t="str">
        <f>IFERROR(__xludf.DUMMYFUNCTION("""COMPUTED_VALUE"""),"- Acara Permainan Geng Baru: Permainan Geng akan segera dimulai. Bergabunglah dengan Geng dan bekerja sama dengan anggota untuk menyelesaikan misi. Menangkan kejuaraan untuk mendapatkan hadiah luar biasa!
 - Acara Pesta Paskah baru: Pesta Paskah akan sege"&amp;"ra dimulai. Berpartisipasilah dalam acara tersebut untuk memenangkan dekorasi liburan edisi terbatas dan hadiah menarik lainnya!
 - Acara Balapan Geng Baru: berpacu dengan waktu! Bantu peringkat Gengmu di antara yang tercepat untuk menyelesaikan misi mere"&amp;"ka dan menangkan hadiah Geng yang luar biasa!
 - Acara Serangan terhadap Dr. Hogg baru: gunakan Pejuangmu dengan pasukan yang disediakan oleh sistem untuk lebih memahami kekuatan Pejuang dan pasangan optimal dengan jenis unit.
 - Pejuang Baru: Wildland Dr"&amp;"ifter, D-Generate Dave, Pilot liar yang lucu. Dapat diperoleh melalui Kera Terbaik.
 - Akses dukungan pelanggan baru: ketuk kera kecil dengan gelembung di Kotamu untuk tersambung dengan dukungan pelanggan.
 - Tampilan waktu asli baru: Balai Kota di Lv. 8 "&amp;"dan di atasnya sekarang akan menampilkan waktu asli yang dibutuhkan untuk pelatihan, pembangunan, penelitian, dan penyembuhan.
 - Pengoptimalan antarmuka: pengoptimalan Roda Keberuntungan, antarmuka utama dan Talenta Pejuang; tampilan optimal dari poin su"&amp;"mber daya Gengyang kadaluwarsa dan pemberitahuan bangunan publik; penambahan efek getar untuk serangan dalam pertempuran; penambahan efek suara untuk Pejuang yang akan berperang; pengoptimalan efek khusus dan efek serangan Pejuang tertentu.
 - Cari dan bu"&amp;"at pengoptimalan pasukan: mengoptimalkan pengalaman interaktif pencarian pemain; memudahkan dan melengkapi fungsi formasi Pasukan pembuatan. Pengoptimalan Pejuang dan rekomendasi unit untuk membuat saran default lebih masuk akal.
 - Pengoptimalan Kehormat"&amp;"an Klan: menambahkan misi pengintai dan mengurangi kesulitan misi Kehormatan Klan.
 - Pengoptimalan Koloseum Astral: menambahkan fungsi pencarian Rekor Pertarungan sehingga hasil pertempuran dari setiap periode acara yang akan datang dapat ditemukan di po"&amp;"rtal antarmuka acara. Juga mengoptimalkan waktu pendudukan bangunan.
 - Pengoptimalan antarmuka klan: Antarmuka klan diberi peningkatan lengkap, dan semua adegan di sistem Klan telah diubah.
 - Pengoptimalan antarmuka tampilan Pejuang: adegan baru diperba"&amp;"rui untuk tampilan karakter Pejuang.
 - Pengoptimalan Tonggak Luar Angkasa: penghitung waktu mundur ditambahkan ke bangunan, menunjukkan waktu yang tersisa untuk tahap saat ini.
 - Pengoptimalan hadiah bangunan: hadiah pendudukan pertama Klan yang disesua"&amp;"ikan untuk Reruntuhan dan bangunan Klan tertentu.
 - Pengoptimalan peningkatan bangunan: menyesuaikan peningkatan bangunan untuk bangunan Kota tertentu.
 - Pengoptimalan tempat sumber daya Geng: mengoptimalkan tampilan tempat sumber daya Geng sehingga sta"&amp;"tusnya dapat dilihat langsung dari peta. Gunakan fungsi pencarian untuk menemukan tempat sumber daya Geng di akhir pendinginannya.
 - Pengoptimalan Reruntuhan: meningkatkan keunggulan dari Reruntuhan tertentu serta mengoptimalkan deskripsi dan interaksi a"&amp;"ntarmuka terkait Reruntuhan. Di saat bersamaan, keunggulan yang diberikan oleh jenis Reruntuhan yang sama tidak dapat lagi ditumpuk.
 - Pengoptimalan hadiah Kedai: mengoptimalkan hadiah login mingguan di Kedai.")</f>
        <v>- Acara Permainan Geng Baru: Permainan Geng akan segera dimulai. Bergabunglah dengan Geng dan bekerja sama dengan anggota untuk menyelesaikan misi. Menangkan kejuaraan untuk mendapatkan hadiah luar biasa!
 - Acara Pesta Paskah baru: Pesta Paskah akan segera dimulai. Berpartisipasilah dalam acara tersebut untuk memenangkan dekorasi liburan edisi terbatas dan hadiah menarik lainnya!
 - Acara Balapan Geng Baru: berpacu dengan waktu! Bantu peringkat Gengmu di antara yang tercepat untuk menyelesaikan misi mereka dan menangkan hadiah Geng yang luar biasa!
 - Acara Serangan terhadap Dr. Hogg baru: gunakan Pejuangmu dengan pasukan yang disediakan oleh sistem untuk lebih memahami kekuatan Pejuang dan pasangan optimal dengan jenis unit.
 - Pejuang Baru: Wildland Drifter, D-Generate Dave, Pilot liar yang lucu. Dapat diperoleh melalui Kera Terbaik.
 - Akses dukungan pelanggan baru: ketuk kera kecil dengan gelembung di Kotamu untuk tersambung dengan dukungan pelanggan.
 - Tampilan waktu asli baru: Balai Kota di Lv. 8 dan di atasnya sekarang akan menampilkan waktu asli yang dibutuhkan untuk pelatihan, pembangunan, penelitian, dan penyembuhan.
 - Pengoptimalan antarmuka: pengoptimalan Roda Keberuntungan, antarmuka utama dan Talenta Pejuang; tampilan optimal dari poin sumber daya Gengyang kadaluwarsa dan pemberitahuan bangunan publik; penambahan efek getar untuk serangan dalam pertempuran; penambahan efek suara untuk Pejuang yang akan berperang; pengoptimalan efek khusus dan efek serangan Pejuang tertentu.
 - Cari dan buat pengoptimalan pasukan: mengoptimalkan pengalaman interaktif pencarian pemain; memudahkan dan melengkapi fungsi formasi Pasukan pembuatan. Pengoptimalan Pejuang dan rekomendasi unit untuk membuat saran default lebih masuk akal.
 - Pengoptimalan Kehormatan Klan: menambahkan misi pengintai dan mengurangi kesulitan misi Kehormatan Klan.
 - Pengoptimalan Koloseum Astral: menambahkan fungsi pencarian Rekor Pertarungan sehingga hasil pertempuran dari setiap periode acara yang akan datang dapat ditemukan di portal antarmuka acara. Juga mengoptimalkan waktu pendudukan bangunan.
 - Pengoptimalan antarmuka klan: Antarmuka klan diberi peningkatan lengkap, dan semua adegan di sistem Klan telah diubah.
 - Pengoptimalan antarmuka tampilan Pejuang: adegan baru diperbarui untuk tampilan karakter Pejuang.
 - Pengoptimalan Tonggak Luar Angkasa: penghitung waktu mundur ditambahkan ke bangunan, menunjukkan waktu yang tersisa untuk tahap saat ini.
 - Pengoptimalan hadiah bangunan: hadiah pendudukan pertama Klan yang disesuaikan untuk Reruntuhan dan bangunan Klan tertentu.
 - Pengoptimalan peningkatan bangunan: menyesuaikan peningkatan bangunan untuk bangunan Kota tertentu.
 - Pengoptimalan tempat sumber daya Geng: mengoptimalkan tampilan tempat sumber daya Geng sehingga statusnya dapat dilihat langsung dari peta. Gunakan fungsi pencarian untuk menemukan tempat sumber daya Geng di akhir pendinginannya.
 - Pengoptimalan Reruntuhan: meningkatkan keunggulan dari Reruntuhan tertentu serta mengoptimalkan deskripsi dan interaksi antarmuka terkait Reruntuhan. Di saat bersamaan, keunggulan yang diberikan oleh jenis Reruntuhan yang sama tidak dapat lagi ditumpuk.
 - Pengoptimalan hadiah Kedai: mengoptimalkan hadiah login mingguan di Kedai.</v>
      </c>
      <c r="I5" s="34" t="str">
        <f>IFERROR(__xludf.DUMMYFUNCTION("""COMPUTED_VALUE"""),"- กิจกรรมเกมแก๊งใหม่: เกมแก๊งกำลังจะเริ่มต้นขึ้นในอีกไม่นานแล้ว รีบเข้าร่วมแก๊งและร่วมมือกับสมาชิกเพื่อทำภารกิจให้สำเร็จ จากนั้นคว้าแชมป์เพื่อรับรางวัลสุดอเมซิ่ง!
 - งานปาร์ตี้อีสเตอร์ใหม่: ปาร์ตี้อีสเตอร์กำลังจะเริ่มขึ้นแล้ว เข้าร่วมกิจกรรมเพื่อรับอุปกรณ"&amp;"์ตกแต่งวันหยุดเทศกาลรุ่นลิมิเต็ดอิดิชั่นและรางวัลชั้นเยี่ยมอีกมากมาย!
 - กิจกรรมการแข่งขันระหว่างแก๊งใหม่: ครั้งนี้คือการแข่งกับเวลา! ช่วยให้แก๊งของคุณติดอันดับหนึ่งในผู้ที่ทำภารกิจให้สำเร็จได้เร็วที่สุดแล้วรับรางวัลแก๊งสุดคูล!
 - กิจกรรมโจมตีดร. ฮ็อกก์ให"&amp;"ม่: ใช้นักสู้ของคุณและกองทหารที่ระบบจัดเตรียมไว้ให้ เพื่ออ่านจุดแข็งของนักสู้ให้เข้ากับการจับคู่หน่วยทหารที่เหมาะสม
 - นักสู้คนใหม่: เดฟ ไปเรื่อย ฉายานักพเนจรแดนเถื่อน นักบินสุดเถื่อนผู้เปี่ยมด้วยอารมณ์ขัน คุณสามารถรับได้จากกิจกรรมลิงตัวสุดท้าย
 - การเข้า"&amp;"ถึงการสนับสนุนลูกค้าแบบใหม่: แตะที่เจ้าลิงตัวน้อยที่มีฟองสบู่ในเมืองของคุณ เพื่อติดต่อกับฝ่ายสนับสนุนลูกค้า
 - การแสดงเวลาดั้งเดิมใหม่: ศาลากลางที่มีเลเวล 8 ขึ้นไปจะแสดงเวลาเดิมที่จำเป็นสำหรับการฝึกฝน การก่อสร้าง การวิจัย และการรักษา
 - การปรับปรุงอินเตอร"&amp;"์เฟซ: ปรับปรุงวงล้อแห่งโชค, อินเตอร์เฟสหลัก และความสามารถของนักสู้ เพิ่มประสิทธิภาพการแสดงจุดทรัพยากรแก๊งที่หมดอายุและการแจ้งเตือนสิ่งปลูกสร้างสาธารณะ เพิ่มเอฟเฟกต์การสั่นของการโจมตีในการต่อสู้ เพิ่มเอฟเฟกต์เสียงของนักสู้ที่จะเข้าสู่สนามรบ ปรับเอฟเฟกต์พิเ"&amp;"ศษและเอฟเฟกต์การโจมตีของนักสู้ที่มีอยู่ให้เหมาะสม
 - ปรับปรุงการค้นหาและการสร้างกองทหาร: ปรับประสบการณ์การโต้ตอบในการค้นหาผู้เล่น โดยทำให้เรียบง่ายยิ่งขึ้นและเพิ่มฟังก์ชันการสร้างรูปแบบกองกำลัง ปรับปรุงนักสู้และคำแนะนำกองทหารที่เหมาะสมเพื่อให้คำแนะนำเริ่ม"&amp;"ต้นมีความสมเหตุสมผลมากขึ้น
 - การปรับปรุงเกียรติยศของกองทัพ: เพิ่มเควสต์การสอดแนมและลดความยากของเควสต์เกียรติยศกองทัพลง
 - การปรับปรุงโคลีเซียมดวงดาว: เพิ่มฟังก์ชั่นการค้นหาบันทึกการต่อสู้ เพื่อให้สามารถดูผลการต่อสู้ของแต่ละช่วงเวลากิจกรรมนับจากนี้ได้จากพ"&amp;"อร์ทัลอินเตอร์เฟสของกิจกรรม รวมถึงปรับปรุงเวลาในการครอบครองสิ่งปลูกสร้างด้วย
 - การปรับปรุงอินเตอร์เฟสของเผ่า: อินเตอร์เฟสของเผ่าที่ได้รับการอัปเกรดอย่างสมบูรณ์และการเปลี่ยนแปลงฉากทั้งหมดในระบบเผ่า
 - การปรับปรุงอินเตอร์เฟสการแสดงผลของนักสู้: การอัปเดตฉาก"&amp;"ในการแสดงตัวละครนักสู้ใหม่
 - การปรับปรุงเหตุการณ์สำคัญแห่งอวกาศ: เพิ่มเวลานับถอยหลังของสิ่งปลูกสร้าง แสดงเวลาที่เหลืออยู่ของด่านปัจจุบัน
 - การปรับปรุงสิ่งปลูกสร้าง: ปรับรางวัลการครอบครองครั้งแรกของกองทหารในซากปรักหักพังและสิ่งปลูกสร้างของกองทัพ
 - การปร"&amp;"ับปรุงบูสต์สิ่งปลูกสร้าง: ปรับบูสต์สิ่งปลูกสร้างของสิ่งปลูกสร้างในเมืองบางแห่ง
 - การปรับปรุงจุดทรัพยากรแก๊ง: ปรับรูปลักษณ์ของจุดทรัพยากรแก๊งให้เหมาะสมเพื่อให้สามารถมองเห็นสถานะของจุดนั้น ๆ จากแผนที่ได้โดยตรง ใช้ฟังก์ชันค้นหาเพื่อค้นหาจุดทรัพยากรแก๊งเมื่อ"&amp;"สิ้นสุดคูลดาวน์
 - การปรับปรุงซากปรักหักพัง: ปรับปรุงบัฟฟ์ของซากปรักหักพังบางแห่ง รวมถึงคำอธิบายที่เกี่ยวข้องกับซากปรักหักพังและการโต้ตอบกับอินเตอร์เฟส อีกทั้งบัฟฟ์ที่ได้รับจากซากปรักหักพังประเภทเดียวกันจะไม่สามารถสะสมผลได้อีกต่อไป
 - การปรับปรุงรางวัลของ"&amp;"โรงแรม: ปรับปรุงรางวัลการเข้าสู่ระบบประจำสัปดาห์ในโรงแรม")</f>
        <v>- กิจกรรมเกมแก๊งใหม่: เกมแก๊งกำลังจะเริ่มต้นขึ้นในอีกไม่นานแล้ว รีบเข้าร่วมแก๊งและร่วมมือกับสมาชิกเพื่อทำภารกิจให้สำเร็จ จากนั้นคว้าแชมป์เพื่อรับรางวัลสุดอเมซิ่ง!
 - งานปาร์ตี้อีสเตอร์ใหม่: ปาร์ตี้อีสเตอร์กำลังจะเริ่มขึ้นแล้ว เข้าร่วมกิจกรรมเพื่อรับอุปกรณ์ตกแต่งวันหยุดเทศกาลรุ่นลิมิเต็ดอิดิชั่นและรางวัลชั้นเยี่ยมอีกมากมาย!
 - กิจกรรมการแข่งขันระหว่างแก๊งใหม่: ครั้งนี้คือการแข่งกับเวลา! ช่วยให้แก๊งของคุณติดอันดับหนึ่งในผู้ที่ทำภารกิจให้สำเร็จได้เร็วที่สุดแล้วรับรางวัลแก๊งสุดคูล!
 - กิจกรรมโจมตีดร. ฮ็อกก์ใหม่: ใช้นักสู้ของคุณและกองทหารที่ระบบจัดเตรียมไว้ให้ เพื่ออ่านจุดแข็งของนักสู้ให้เข้ากับการจับคู่หน่วยทหารที่เหมาะสม
 - นักสู้คนใหม่: เดฟ ไปเรื่อย ฉายานักพเนจรแดนเถื่อน นักบินสุดเถื่อนผู้เปี่ยมด้วยอารมณ์ขัน คุณสามารถรับได้จากกิจกรรมลิงตัวสุดท้าย
 - การเข้าถึงการสนับสนุนลูกค้าแบบใหม่: แตะที่เจ้าลิงตัวน้อยที่มีฟองสบู่ในเมืองของคุณ เพื่อติดต่อกับฝ่ายสนับสนุนลูกค้า
 - การแสดงเวลาดั้งเดิมใหม่: ศาลากลางที่มีเลเวล 8 ขึ้นไปจะแสดงเวลาเดิมที่จำเป็นสำหรับการฝึกฝน การก่อสร้าง การวิจัย และการรักษา
 - การปรับปรุงอินเตอร์เฟซ: ปรับปรุงวงล้อแห่งโชค, อินเตอร์เฟสหลัก และความสามารถของนักสู้ เพิ่มประสิทธิภาพการแสดงจุดทรัพยากรแก๊งที่หมดอายุและการแจ้งเตือนสิ่งปลูกสร้างสาธารณะ เพิ่มเอฟเฟกต์การสั่นของการโจมตีในการต่อสู้ เพิ่มเอฟเฟกต์เสียงของนักสู้ที่จะเข้าสู่สนามรบ ปรับเอฟเฟกต์พิเศษและเอฟเฟกต์การโจมตีของนักสู้ที่มีอยู่ให้เหมาะสม
 - ปรับปรุงการค้นหาและการสร้างกองทหาร: ปรับประสบการณ์การโต้ตอบในการค้นหาผู้เล่น โดยทำให้เรียบง่ายยิ่งขึ้นและเพิ่มฟังก์ชันการสร้างรูปแบบกองกำลัง ปรับปรุงนักสู้และคำแนะนำกองทหารที่เหมาะสมเพื่อให้คำแนะนำเริ่มต้นมีความสมเหตุสมผลมากขึ้น
 - การปรับปรุงเกียรติยศของกองทัพ: เพิ่มเควสต์การสอดแนมและลดความยากของเควสต์เกียรติยศกองทัพลง
 - การปรับปรุงโคลีเซียมดวงดาว: เพิ่มฟังก์ชั่นการค้นหาบันทึกการต่อสู้ เพื่อให้สามารถดูผลการต่อสู้ของแต่ละช่วงเวลากิจกรรมนับจากนี้ได้จากพอร์ทัลอินเตอร์เฟสของกิจกรรม รวมถึงปรับปรุงเวลาในการครอบครองสิ่งปลูกสร้างด้วย
 - การปรับปรุงอินเตอร์เฟสของเผ่า: อินเตอร์เฟสของเผ่าที่ได้รับการอัปเกรดอย่างสมบูรณ์และการเปลี่ยนแปลงฉากทั้งหมดในระบบเผ่า
 - การปรับปรุงอินเตอร์เฟสการแสดงผลของนักสู้: การอัปเดตฉากในการแสดงตัวละครนักสู้ใหม่
 - การปรับปรุงเหตุการณ์สำคัญแห่งอวกาศ: เพิ่มเวลานับถอยหลังของสิ่งปลูกสร้าง แสดงเวลาที่เหลืออยู่ของด่านปัจจุบัน
 - การปรับปรุงสิ่งปลูกสร้าง: ปรับรางวัลการครอบครองครั้งแรกของกองทหารในซากปรักหักพังและสิ่งปลูกสร้างของกองทัพ
 - การปรับปรุงบูสต์สิ่งปลูกสร้าง: ปรับบูสต์สิ่งปลูกสร้างของสิ่งปลูกสร้างในเมืองบางแห่ง
 - การปรับปรุงจุดทรัพยากรแก๊ง: ปรับรูปลักษณ์ของจุดทรัพยากรแก๊งให้เหมาะสมเพื่อให้สามารถมองเห็นสถานะของจุดนั้น ๆ จากแผนที่ได้โดยตรง ใช้ฟังก์ชันค้นหาเพื่อค้นหาจุดทรัพยากรแก๊งเมื่อสิ้นสุดคูลดาวน์
 - การปรับปรุงซากปรักหักพัง: ปรับปรุงบัฟฟ์ของซากปรักหักพังบางแห่ง รวมถึงคำอธิบายที่เกี่ยวข้องกับซากปรักหักพังและการโต้ตอบกับอินเตอร์เฟส อีกทั้งบัฟฟ์ที่ได้รับจากซากปรักหักพังประเภทเดียวกันจะไม่สามารถสะสมผลได้อีกต่อไป
 - การปรับปรุงรางวัลของโรงแรม: ปรับปรุงรางวัลการเข้าสู่ระบบประจำสัปดาห์ในโรงแรม</v>
      </c>
      <c r="J5" s="34" t="str">
        <f>IFERROR(__xludf.DUMMYFUNCTION("""COMPUTED_VALUE"""),"- Nuevo evento de Juegos de la Banda: Los Juegos de la Banda comenzarán pronto. Únete a una Banda y colabora con los miembros para completar misiones. ¡Gana el campeonato para obtener increíbles recompensas!
 - Nuevo evento de Fiesta de Pascua: La Fiesta "&amp;"de Pascua está por comenzar. ¡Participa en el evento para ganar las decoraciones limitadas de las fiestas y otras increíbles recompensas!
 - Nuevo evento de Carrera de la Banda: ¡Es una carrera contra el tiempo! Ayuda a tu Banda a clasificarse entre las m"&amp;"ás rápidas en completar sus misiones y gana increíbles recompensas de Banda. 
 - Nuevo evento Ataque contra el Dr. Hogg: usa a tus Luchadores con tropas suministradas por el sistema para entender mejor las Fortalezas del luchador y sus emparejamientos ópt"&amp;"imos con los tipos de unidades. 
 - Nuevo Luchador: Vagabundo de las Tierras Salvajes: D-Generado Dave, un piloto salvaje con un gran sentido del humor. Puede ser obtenido mediante el Mono Supremo. 
 - Nuevo acceso a soporte al cliente: Toca en el pequeño"&amp;" mono con una burbuja en tu Ciudad para conectarte con soporte al cliente. 
 - Nuevo desplegado del tiempo original: En los Ayuntamientos de Nivel 8 y superior ahora se desplegará el tiempo original requerido para entrenamiento, construcción, investigació"&amp;"n y curación.
 - Optimización de la interface: Se optimizo Rueda de la Fortuna las interfaces principales del Luchador y de Talento; se optimizó el desplegado de los puntos de recursos de la Banda expirados y las notificaciones de los edificios públicos; "&amp;"se agregaron efectos de vibración para los ataques en batalla; se agregaron efectos de sonido a los Luchadores que entran en batalla; se optimizaron algunos efectos especiales para Luchadores existentes que entran en batalla y efectos de ataque. 
 - Optim"&amp;"ización de búsqueda y creación de tropas: Se optimizó la experiencia interactiva para la búsqueda de jugador; se simplifico y complementó la función de crear formaciones de Tropas. Se optimizaron las recomendaciones de unidad y de Luchador para que las re"&amp;"comendaciones por defecto sean más razonables.
 - Optimización de los Honores de Clan: se agregaron misiones de exploraciones y se redujo la dificultad de las misiones de Honores del Clan. 
 - Optimización del Coliseo Astral: se agregó la función de búsqu"&amp;"eda de Registros de Batalla para que los resultados de batalla para cada periodo de evento en el futuro puedan ser encontrados en la interface del portal del evento. También se optimizó el tiempo de ocupación de edificio. 
 - Optimización de la interface "&amp;"del Clan: La interface del Clan recibió una mejora completa y todas las escenas en el sistema de Clan han sido cambiadas. 
 - Optimización de interface de despliegue del Luchador: Se actualizaron nuevas escenas para el desplegado del personaje del Luchado"&amp;"r. 
 - Optimización de Logros del Espacio: Se le agrego una cuenta regresiva al edificio que muestra el tiempo restante para la siguiente etapa. 
 - Optimización de las recompensas de construcción: Se ajustaron las recompensas por primera ocupación del Cl"&amp;"an para algunos edificios de Ruinas y de Clan. 
 - Optimización de potenciadores de construcción: Se ajustaron los potenciadores de construcción para ciertos edificios de la Ciudad. 
 - Optimización de los puntos de recursos de la Banda: Se optimizó la ap"&amp;"ariencia de los puntos de recursos de la Banda para que su estado pueda ser visto directamente en el mapa. Usa la función de búsqueda para encontrar puntos de recursos de la Banda al final de su cuenta regresiva. 
 - Optimización de las Ruinas: Se perfecc"&amp;"ionaron las mejoras de ciertas Ruinas y se optimizaron las descripciones relacionadas con las Ruinas y su interacción con la interface. Al mismo tiempo las mejoras que ofrecen el mismo tipo Ruina ahora no pueden ser apiladas. 
 - Optimización de las recom"&amp;"pensas de Taberna: Se optimizaron las recompensas por accesos semanales en la Taberna.")</f>
        <v>- Nuevo evento de Juegos de la Banda: Los Juegos de la Banda comenzarán pronto. Únete a una Banda y colabora con los miembros para completar misiones. ¡Gana el campeonato para obtener increíbles recompensas!
 - Nuevo evento de Fiesta de Pascua: La Fiesta de Pascua está por comenzar. ¡Participa en el evento para ganar las decoraciones limitadas de las fiestas y otras increíbles recompensas!
 - Nuevo evento de Carrera de la Banda: ¡Es una carrera contra el tiempo! Ayuda a tu Banda a clasificarse entre las más rápidas en completar sus misiones y gana increíbles recompensas de Banda. 
 - Nuevo evento Ataque contra el Dr. Hogg: usa a tus Luchadores con tropas suministradas por el sistema para entender mejor las Fortalezas del luchador y sus emparejamientos óptimos con los tipos de unidades. 
 - Nuevo Luchador: Vagabundo de las Tierras Salvajes: D-Generado Dave, un piloto salvaje con un gran sentido del humor. Puede ser obtenido mediante el Mono Supremo. 
 - Nuevo acceso a soporte al cliente: Toca en el pequeño mono con una burbuja en tu Ciudad para conectarte con soporte al cliente. 
 - Nuevo desplegado del tiempo original: En los Ayuntamientos de Nivel 8 y superior ahora se desplegará el tiempo original requerido para entrenamiento, construcción, investigación y curación.
 - Optimización de la interface: Se optimizo Rueda de la Fortuna las interfaces principales del Luchador y de Talento; se optimizó el desplegado de los puntos de recursos de la Banda expirados y las notificaciones de los edificios públicos; se agregaron efectos de vibración para los ataques en batalla; se agregaron efectos de sonido a los Luchadores que entran en batalla; se optimizaron algunos efectos especiales para Luchadores existentes que entran en batalla y efectos de ataque. 
 - Optimización de búsqueda y creación de tropas: Se optimizó la experiencia interactiva para la búsqueda de jugador; se simplifico y complementó la función de crear formaciones de Tropas. Se optimizaron las recomendaciones de unidad y de Luchador para que las recomendaciones por defecto sean más razonables.
 - Optimización de los Honores de Clan: se agregaron misiones de exploraciones y se redujo la dificultad de las misiones de Honores del Clan. 
 - Optimización del Coliseo Astral: se agregó la función de búsqueda de Registros de Batalla para que los resultados de batalla para cada periodo de evento en el futuro puedan ser encontrados en la interface del portal del evento. También se optimizó el tiempo de ocupación de edificio. 
 - Optimización de la interface del Clan: La interface del Clan recibió una mejora completa y todas las escenas en el sistema de Clan han sido cambiadas. 
 - Optimización de interface de despliegue del Luchador: Se actualizaron nuevas escenas para el desplegado del personaje del Luchador. 
 - Optimización de Logros del Espacio: Se le agrego una cuenta regresiva al edificio que muestra el tiempo restante para la siguiente etapa. 
 - Optimización de las recompensas de construcción: Se ajustaron las recompensas por primera ocupación del Clan para algunos edificios de Ruinas y de Clan. 
 - Optimización de potenciadores de construcción: Se ajustaron los potenciadores de construcción para ciertos edificios de la Ciudad. 
 - Optimización de los puntos de recursos de la Banda: Se optimizó la apariencia de los puntos de recursos de la Banda para que su estado pueda ser visto directamente en el mapa. Usa la función de búsqueda para encontrar puntos de recursos de la Banda al final de su cuenta regresiva. 
 - Optimización de las Ruinas: Se perfeccionaron las mejoras de ciertas Ruinas y se optimizaron las descripciones relacionadas con las Ruinas y su interacción con la interface. Al mismo tiempo las mejoras que ofrecen el mismo tipo Ruina ahora no pueden ser apiladas. 
 - Optimización de las recompensas de Taberna: Se optimizaron las recompensas por accesos semanales en la Taberna.</v>
      </c>
      <c r="K5" s="34" t="str">
        <f>IFERROR(__xludf.DUMMYFUNCTION("""COMPUTED_VALUE"""),"- Новое событие: «Состязания банд». Скоро начнутся состязания банд — присоединяйтесь к банде и выполняйте задания вместе с остальными участниками. Займите первое место и получите потрясающие награды!
- Новое событие: «Пасхальная вечеринка». Пасхальная веч"&amp;"еринка вот-вот начнется! Участвуйте в событии, чтобы выиграть праздничные украшения ограниченной серии и другие отличные награды.
- Новое событие: «Гонка банд». Это гонка на время! Помогите банде занять свое место среди самых быстрых, выполняйте задания и"&amp;" выигрывайте замечательные награды банды!
- Новое событие: «Атака на доктора Хогга». Используйте своих героев с войсками, предоставленными системой, чтобы лучше понять сильные стороны героев и их сочетание с различными типами войск.
- Новый герой: бродяга"&amp;" диких земель Д-генерат Дейв. Это гонщик-сорвиголова с убойным чувством юмора. Его можно получить в событии «Великая обезьяна».
- Новый способ обращения в службу поддержки: нажмите на маленькую обезьянку в облачке на экране города, чтобы связаться со служ"&amp;"бой поддержки.
- Новое отображение изначального времени: теперь с городским советом ур. 8 и выше вы сможете посмотреть изначальное время, необходимое для обучения, строительства, исследований и лечения.
- Оптимизация интерфейса: оптимизировано «Колесо фор"&amp;"туны», основной интерфейс героя и интерфейс талантов; оптимизировано отображение иссякших точек ресурсов банды и уведомлений об общественных зданиях; добавлен эффект вибрации для атак в сражении; добавлены звуковые эффекты для идущих в бой героев; оптимиз"&amp;"ированы некоторые из спецэффектов героев и эффектов атаки.
- Оптимизация поиска и создания войск: оптимизирован интерактивный поиск игроков; упрощена и дополнена функция создания отрядов из войск. Оптимизированы рекомендации по героям и бойцам, чтобы пред"&amp;"ложения по умолчанию стали более разумными.
- Оптимизация чести клана: добавлены задания разведчиков и уменьшена сложность заданий чести клана.
- Оптимизация Астрального Колизея: добавлена функция поиска записей сражений, так что теперь в интерфейсе событ"&amp;"ия вы сможете находить результаты всех сражений, которые будут проводиться. Также оптимизировано время оккупации зданий.
- Оптимизация интерфейса клана: интерфейс клана полностью обновлен, переработаны все экраны системы кланов.
- Оптимизация интерфейса г"&amp;"ероев: обновлены экраны для отображения персонажей героев.
- Оптимизация космических рубежей: в здании теперь есть таймер обратного отсчета, показывающий оставшееся до конца этапа время.
- Оптимизация наград построек: скорректированы награды клана за перв"&amp;"ую оккупацию определенных руин и построек клана.
- Оптимизация усилений построек: скорректированы усиления для определенных построек в городе.
- Оптимизация точек ресурсов банды: оптимизирован внешний вид точек ресурсов банды, чтобы их статус был виден не"&amp;"посредственно с карты. Используйте функцию поиска, чтобы находить точки ресурсов банды, у которых заканчивается восстановление.
- Оптимизация руин: оптимизированы бонусы определенных руин, а также относящиеся к руинам описания и взаимодействия в интерфейс"&amp;"е. Кроме того, теперь бонусы от руин одного типа не складываются.
- Оптимизация наград таверны: оптимизированы награды в таверне за еженедельный заход в игру.")</f>
        <v>- Новое событие: «Состязания банд». Скоро начнутся состязания банд — присоединяйтесь к банде и выполняйте задания вместе с остальными участниками. Займите первое место и получите потрясающие награды!
- Новое событие: «Пасхальная вечеринка». Пасхальная вечеринка вот-вот начнется! Участвуйте в событии, чтобы выиграть праздничные украшения ограниченной серии и другие отличные награды.
- Новое событие: «Гонка банд». Это гонка на время! Помогите банде занять свое место среди самых быстрых, выполняйте задания и выигрывайте замечательные награды банды!
- Новое событие: «Атака на доктора Хогга». Используйте своих героев с войсками, предоставленными системой, чтобы лучше понять сильные стороны героев и их сочетание с различными типами войск.
- Новый герой: бродяга диких земель Д-генерат Дейв. Это гонщик-сорвиголова с убойным чувством юмора. Его можно получить в событии «Великая обезьяна».
- Новый способ обращения в службу поддержки: нажмите на маленькую обезьянку в облачке на экране города, чтобы связаться со службой поддержки.
- Новое отображение изначального времени: теперь с городским советом ур. 8 и выше вы сможете посмотреть изначальное время, необходимое для обучения, строительства, исследований и лечения.
- Оптимизация интерфейса: оптимизировано «Колесо фортуны», основной интерфейс героя и интерфейс талантов; оптимизировано отображение иссякших точек ресурсов банды и уведомлений об общественных зданиях; добавлен эффект вибрации для атак в сражении; добавлены звуковые эффекты для идущих в бой героев; оптимизированы некоторые из спецэффектов героев и эффектов атаки.
- Оптимизация поиска и создания войск: оптимизирован интерактивный поиск игроков; упрощена и дополнена функция создания отрядов из войск. Оптимизированы рекомендации по героям и бойцам, чтобы предложения по умолчанию стали более разумными.
- Оптимизация чести клана: добавлены задания разведчиков и уменьшена сложность заданий чести клана.
- Оптимизация Астрального Колизея: добавлена функция поиска записей сражений, так что теперь в интерфейсе события вы сможете находить результаты всех сражений, которые будут проводиться. Также оптимизировано время оккупации зданий.
- Оптимизация интерфейса клана: интерфейс клана полностью обновлен, переработаны все экраны системы кланов.
- Оптимизация интерфейса героев: обновлены экраны для отображения персонажей героев.
- Оптимизация космических рубежей: в здании теперь есть таймер обратного отсчета, показывающий оставшееся до конца этапа время.
- Оптимизация наград построек: скорректированы награды клана за первую оккупацию определенных руин и построек клана.
- Оптимизация усилений построек: скорректированы усиления для определенных построек в городе.
- Оптимизация точек ресурсов банды: оптимизирован внешний вид точек ресурсов банды, чтобы их статус был виден непосредственно с карты. Используйте функцию поиска, чтобы находить точки ресурсов банды, у которых заканчивается восстановление.
- Оптимизация руин: оптимизированы бонусы определенных руин, а также относящиеся к руинам описания и взаимодействия в интерфейсе. Кроме того, теперь бонусы от руин одного типа не складываются.
- Оптимизация наград таверны: оптимизированы награды в таверне за еженедельный заход в игру.</v>
      </c>
      <c r="L5" s="34" t="str">
        <f>IFERROR(__xludf.DUMMYFUNCTION("""COMPUTED_VALUE"""),"- Yeni Çete Oyunları etkinliği: Çete Oyunları yakında başlıyor. Bir Çeteye katıl ve üyelerle iş birliği yaparak maceraları tamamla. Şampiyonayı kazanarak harika ödüller al!
 - Yeni Paskalya Partisi etkinliği: Paskalya Partisi başlamak üzere. Etkinliğe kat"&amp;"ılarak sınırlı sayıdaki tatil süslemelerini ve diğer harika ödülleri kazan!
 - Yeni Çete Yarışı etkinliği: zamana karşı bir yarış! Maceralarını en hızlı tamamlayanlar arasına girmesi konusunda Çetene yardım et ve harika Çete ödülleri kazan!
 - Yeni Dr. Ho"&amp;"gg’a Saldırı etkinliği: Savaşçı güçleri ve birlik türleriyle olan optimum eşlemeleri daha iyi anlamak için Savaşçılarını sistemin sunduğu birliklerle birlikte kullan.
 - Yeni Savaşçı: Çorak Arazi Serserisi, Dejenere Dave, mizah duygusu yüksek vahşi bir Pi"&amp;"lot. En Üstün maymun aracılığıyla elde edilebilir.
 - Yeni müşteri destek erişimi: Müşteri desteğine bağlanmak için Şehrindeki konuşma balonlu minik maymuna dokun.
 - Yeni orijinal süre göstergesi: 8. Sv. ve üstü Meclisler artık eğitim, inşaat, araştırma "&amp;"ve iyileştirme için ihtiyaç duyulan orijinal süreleri gösterecek.
 - Arayüz optimizasyonu: optimize edilmiş Çarkıfelek, Savaşçıların ana ve Yetenek arayüzleri; tükenen Çete kaynak noktalarının ve kamu binası bildirimlerinin optimize edilmiş görüntüsü; sav"&amp;"aşlardaki saldırıları için eklenen titreşim etkisi; savaşa giden Savaşçılar için eklenen ses efektleri; optimize edilmiş belirli mevcut Savaşçı özel efektleri ve saldırı efektleri.
 - Arama ve birlik oluşturma optimizasyonu: etkileşimli oyuncu arama deney"&amp;"imi optimize edildi; Birlik formasyonları oluşturma işlevi basitleştirildi ve desteklendi. Varsayılan tavsiyeleri daha makul kılmak adına Savaşçı ve birim tavsiyeleri optimize edildi.
 - Klan Onuru optimizasyonu: gözcü maceraları eklendi ve Klan Onuru mac"&amp;"eralarının zorluğu azaltıldı.
 - Yıldız Kolezyumu optimizasyonu: devam eden her bir etkinlik döneminin savaş sonuçlarının etkinlik arayüzü portalında bulunabilmesi için eklenen Savaş Kaydı arama işlevi. Bina işgal süresi de optimize edildi.
 - Klan arayüz"&amp;"ü optimizasyonu: Klan arayüzü tamamen güncellendi ve Klan sistemindeki tüm ekranlar değiştirildi.
 - Savaşçı görüntüleme arayüzü optimizasyonu: Savaşçı karakter gösterimi için yeni sahnedeler güncellendi.
 - Uzay Dönüm Noktası optimizasyonu: binaya mevcut"&amp;" aşama için kalan zamanı gösteren geri sayım sayacı eklendi.
 - Bina ödülleri optimizasyonu: belirli Harabeler ve Klan binaları için düzenlenmiş Klanların ilk işgal ödülleri.
 - Bina güçlendiricisi optimizasyonu: belirli Şehir binaları için bina güçlendir"&amp;"icisi düzenlendi.
 - Çete kaynak noktaları opyimizasyonu: durumlarının direkt haritadan görülebilmesi için Çete kaynak noktalarının görünümü optimize edildi. Bekleme sürelerinin sonunda Çete kaynak noktalarını bulabilmek için arama işlevini kullan.
 - Har"&amp;"abelerin optimizasyonu: belirli Harabelerin güçlendiricileri artırıldı ve Harabeyle ilgili açıklama ve arayüz etkileşimleri optimize edildi. Aynı zamanda, aynı tür Harabenin sağladığı güçlendiriciler artık üst üste eklenemiyor.
 - Taverna ödülleri optimiz"&amp;"asyonu: Tavernadaki haftalık giriş ödülleri optimize edildi.")</f>
        <v>- Yeni Çete Oyunları etkinliği: Çete Oyunları yakında başlıyor. Bir Çeteye katıl ve üyelerle iş birliği yaparak maceraları tamamla. Şampiyonayı kazanarak harika ödüller al!
 - Yeni Paskalya Partisi etkinliği: Paskalya Partisi başlamak üzere. Etkinliğe katılarak sınırlı sayıdaki tatil süslemelerini ve diğer harika ödülleri kazan!
 - Yeni Çete Yarışı etkinliği: zamana karşı bir yarış! Maceralarını en hızlı tamamlayanlar arasına girmesi konusunda Çetene yardım et ve harika Çete ödülleri kazan!
 - Yeni Dr. Hogg’a Saldırı etkinliği: Savaşçı güçleri ve birlik türleriyle olan optimum eşlemeleri daha iyi anlamak için Savaşçılarını sistemin sunduğu birliklerle birlikte kullan.
 - Yeni Savaşçı: Çorak Arazi Serserisi, Dejenere Dave, mizah duygusu yüksek vahşi bir Pilot. En Üstün maymun aracılığıyla elde edilebilir.
 - Yeni müşteri destek erişimi: Müşteri desteğine bağlanmak için Şehrindeki konuşma balonlu minik maymuna dokun.
 - Yeni orijinal süre göstergesi: 8. Sv. ve üstü Meclisler artık eğitim, inşaat, araştırma ve iyileştirme için ihtiyaç duyulan orijinal süreleri gösterecek.
 - Arayüz optimizasyonu: optimize edilmiş Çarkıfelek, Savaşçıların ana ve Yetenek arayüzleri; tükenen Çete kaynak noktalarının ve kamu binası bildirimlerinin optimize edilmiş görüntüsü; savaşlardaki saldırıları için eklenen titreşim etkisi; savaşa giden Savaşçılar için eklenen ses efektleri; optimize edilmiş belirli mevcut Savaşçı özel efektleri ve saldırı efektleri.
 - Arama ve birlik oluşturma optimizasyonu: etkileşimli oyuncu arama deneyimi optimize edildi; Birlik formasyonları oluşturma işlevi basitleştirildi ve desteklendi. Varsayılan tavsiyeleri daha makul kılmak adına Savaşçı ve birim tavsiyeleri optimize edildi.
 - Klan Onuru optimizasyonu: gözcü maceraları eklendi ve Klan Onuru maceralarının zorluğu azaltıldı.
 - Yıldız Kolezyumu optimizasyonu: devam eden her bir etkinlik döneminin savaş sonuçlarının etkinlik arayüzü portalında bulunabilmesi için eklenen Savaş Kaydı arama işlevi. Bina işgal süresi de optimize edildi.
 - Klan arayüzü optimizasyonu: Klan arayüzü tamamen güncellendi ve Klan sistemindeki tüm ekranlar değiştirildi.
 - Savaşçı görüntüleme arayüzü optimizasyonu: Savaşçı karakter gösterimi için yeni sahnedeler güncellendi.
 - Uzay Dönüm Noktası optimizasyonu: binaya mevcut aşama için kalan zamanı gösteren geri sayım sayacı eklendi.
 - Bina ödülleri optimizasyonu: belirli Harabeler ve Klan binaları için düzenlenmiş Klanların ilk işgal ödülleri.
 - Bina güçlendiricisi optimizasyonu: belirli Şehir binaları için bina güçlendiricisi düzenlendi.
 - Çete kaynak noktaları opyimizasyonu: durumlarının direkt haritadan görülebilmesi için Çete kaynak noktalarının görünümü optimize edildi. Bekleme sürelerinin sonunda Çete kaynak noktalarını bulabilmek için arama işlevini kullan.
 - Harabelerin optimizasyonu: belirli Harabelerin güçlendiricileri artırıldı ve Harabeyle ilgili açıklama ve arayüz etkileşimleri optimize edildi. Aynı zamanda, aynı tür Harabenin sağladığı güçlendiriciler artık üst üste eklenemiyor.
 - Taverna ödülleri optimizasyonu: Tavernadaki haftalık giriş ödülleri optimize edildi.</v>
      </c>
      <c r="M5" s="34" t="str">
        <f>IFERROR(__xludf.DUMMYFUNCTION("""COMPUTED_VALUE"""),"- Sự kiện Trò Chơi Bang Hội mới: Trò Chơi Bang Hội sẽ sớm bắt đầu. Gia nhập Bang Hội và hợp tác với các thành viên khác để hoàn thành nhiệm vụ. Giành chức vô địch để nhận những phần thưởng cực khủng!
 - Sự kiện Tiệc Phục Sinh mới: Tiệc Phục Sinh sẽ sớm bắ"&amp;"t đầu. Tham gia sự kiện để chiến thắng vật phẩm trang trí kỳ nghỉ phiên bản giới hạn và những phần thưởng giá trị khác!
 - Sự kiện Cuộc Đua Bang Hội mới: cùng chạy đua với thời gian! Giúp Bang Hội của bạn đạt được một trong những thứ hạng nhanh nhất về th"&amp;"ời gian hoàn thành nhiệm vụ và giành lấy những phần thưởng giá trị cho Bang Hội!
 - Sự kiện Tấn Công Tiến Sĩ Hogg mới: sử dụng Chiến Binh của bản thân cùng với binh lính được hệ thống cung cấp để hiểu rõ hơn về sức mạnh của Chiến Binh và phương thức hợp t"&amp;"ác tối ưu giữa các Chiến Binh với các loại đơn vị binh lính.
 - Chiến Binh mới: Kẻ Lang Bạt, Dave-Hạng-D, một Phi công hoang dã có khiếu hài hước. Có thể nhận được thông qua Khỉ Tối Thượng.
 - Truy cập hỗ trợ khách hàng mới: chạm vào chú khỉ nhỏ có bong b"&amp;"óng trong Thành Phố của bạn để kết nối với bộ phận hỗ trợ khách hàng.
 - Hiển thị thời gian ban đầu mới: Hiện tại, Tòa Thị Chính đạt Cấp 8 trở lên sẽ hiển thị thời gian cần thiết ban đầu cho các hoạt động huấn luyện, xây dựng, nghiên cứu và chữa trị.
 - T"&amp;"ối ưu hóa giao diện: tối ưu hóa Vòng Quay May Mắn, giao diện chính của Chiến Binh và giao diện Tài Năng; tối ưu hóa thông báo hiển thị các điểm tài nguyên Bang Hội và công trình công cộng đã hết hạn; thêm hiệu ứng rung cho các đợt tấn công trong lúc chiến"&amp;" đấu; thêm hiệu ứng âm thanh khi Chiến Binh ra trận; tối ưu hóa một số hiệu ứng đặc biệt và hiệu ứng tấn công của Chiến Binh hiện tại.
 - Tối ưu hóa tìm kiếm và tạo binh lính: tối ưu hóa trải nghiệm tương tác khi tìm kiếm người chơi; đơn giản hóa và bổ su"&amp;"ng chức năng tạo đội hình Binh lính. Tối ưu hóa Chiến Binh và đề xuất đơn vị, giúp các đề xuất mặc định trở nên hợp lý hơn.
 - Tối ưu hóa Vinh Dự Bộ Lạc: thêm các nhiệm vụ trinh sát và giảm độ khó của các nhiệm vụ Vinh Dự Bộ Lạc.
 - Tối ưu hóa Đại Đấu Trư"&amp;"ờng Thiên Thể: thêm chức năng tìm kiếm Thành Tích Trận Chiến để có thể tìm kết quả trận chiến của mỗi giai đoạn sự kiện trong cổng giao diện sự kiện, tính từ thời điểm này. Đồng thời tối ưu hóa thời gian chiếm đóng công trình.
 - Tối ưu hóa giao diện Bộ L"&amp;"ạc: Giao diện Bộ Lạc được nâng cấp hoàn chỉnh và thay đổi tất cả các khung cảnh trong hệ thống Bộ Lạc.
 - Tối ưu hóa giao diện hiển thị Chiến Binh: cập nhật khung cảnh cho giao diện hiển thị Chiến Binh.
 - Tối ưu hóa Cột Mốc Không Gian: bổ sung bộ đếm ngư"&amp;"ợc cho công trình, hiển thị thời gian còn lại của giai đoạn hiện tại.
 - Tối ưu hóa phần thưởng xây dựng: điều chỉnh Phần thưởng Chiếm đóng Đầu tiên của Bộ Lạc đối với một số công trình Di Tích và Bộ Lạc nhất định.
 - Tối ưu hóa tăng cường xây dựng: điều "&amp;"chỉnh tăng cường xây dựng cho các công trình Thành Phố nhất định.
 - Tối ưu hóa các điểm tài nguyên Bang Hội: tối ưu hóa sự xuất hiện của các điểm tài nguyên Bang Hội, giúp nhìn thấy trạng thái của các điểm này trực tiếp từ bản đồ. Sử dụng chức năng tìm k"&amp;"iếm để tìm các điểm tài nguyên Bang Hội vào lúc kết thúc thời gian hồi phục.
 - Tối ưu hóa Di Tích: cường hóa các hiệu ứng có lợi của các Di Tích nhất định và tối ưu hóa các mô tả và tương tác giao diện liên quan đến Di Tích. Đồng thời, không thể tích lũy"&amp;" các hiệu ứng có lợi được cung cấp từ cùng một loại Di Tích được nữa.
 - Tối ưu hóa phần thưởng Tửu Quán: tối ưu hóa phần thưởng đăng nhập hàng tuần trong Tửu Quán.")</f>
        <v>- Sự kiện Trò Chơi Bang Hội mới: Trò Chơi Bang Hội sẽ sớm bắt đầu. Gia nhập Bang Hội và hợp tác với các thành viên khác để hoàn thành nhiệm vụ. Giành chức vô địch để nhận những phần thưởng cực khủng!
 - Sự kiện Tiệc Phục Sinh mới: Tiệc Phục Sinh sẽ sớm bắt đầu. Tham gia sự kiện để chiến thắng vật phẩm trang trí kỳ nghỉ phiên bản giới hạn và những phần thưởng giá trị khác!
 - Sự kiện Cuộc Đua Bang Hội mới: cùng chạy đua với thời gian! Giúp Bang Hội của bạn đạt được một trong những thứ hạng nhanh nhất về thời gian hoàn thành nhiệm vụ và giành lấy những phần thưởng giá trị cho Bang Hội!
 - Sự kiện Tấn Công Tiến Sĩ Hogg mới: sử dụng Chiến Binh của bản thân cùng với binh lính được hệ thống cung cấp để hiểu rõ hơn về sức mạnh của Chiến Binh và phương thức hợp tác tối ưu giữa các Chiến Binh với các loại đơn vị binh lính.
 - Chiến Binh mới: Kẻ Lang Bạt, Dave-Hạng-D, một Phi công hoang dã có khiếu hài hước. Có thể nhận được thông qua Khỉ Tối Thượng.
 - Truy cập hỗ trợ khách hàng mới: chạm vào chú khỉ nhỏ có bong bóng trong Thành Phố của bạn để kết nối với bộ phận hỗ trợ khách hàng.
 - Hiển thị thời gian ban đầu mới: Hiện tại, Tòa Thị Chính đạt Cấp 8 trở lên sẽ hiển thị thời gian cần thiết ban đầu cho các hoạt động huấn luyện, xây dựng, nghiên cứu và chữa trị.
 - Tối ưu hóa giao diện: tối ưu hóa Vòng Quay May Mắn, giao diện chính của Chiến Binh và giao diện Tài Năng; tối ưu hóa thông báo hiển thị các điểm tài nguyên Bang Hội và công trình công cộng đã hết hạn; thêm hiệu ứng rung cho các đợt tấn công trong lúc chiến đấu; thêm hiệu ứng âm thanh khi Chiến Binh ra trận; tối ưu hóa một số hiệu ứng đặc biệt và hiệu ứng tấn công của Chiến Binh hiện tại.
 - Tối ưu hóa tìm kiếm và tạo binh lính: tối ưu hóa trải nghiệm tương tác khi tìm kiếm người chơi; đơn giản hóa và bổ sung chức năng tạo đội hình Binh lính. Tối ưu hóa Chiến Binh và đề xuất đơn vị, giúp các đề xuất mặc định trở nên hợp lý hơn.
 - Tối ưu hóa Vinh Dự Bộ Lạc: thêm các nhiệm vụ trinh sát và giảm độ khó của các nhiệm vụ Vinh Dự Bộ Lạc.
 - Tối ưu hóa Đại Đấu Trường Thiên Thể: thêm chức năng tìm kiếm Thành Tích Trận Chiến để có thể tìm kết quả trận chiến của mỗi giai đoạn sự kiện trong cổng giao diện sự kiện, tính từ thời điểm này. Đồng thời tối ưu hóa thời gian chiếm đóng công trình.
 - Tối ưu hóa giao diện Bộ Lạc: Giao diện Bộ Lạc được nâng cấp hoàn chỉnh và thay đổi tất cả các khung cảnh trong hệ thống Bộ Lạc.
 - Tối ưu hóa giao diện hiển thị Chiến Binh: cập nhật khung cảnh cho giao diện hiển thị Chiến Binh.
 - Tối ưu hóa Cột Mốc Không Gian: bổ sung bộ đếm ngược cho công trình, hiển thị thời gian còn lại của giai đoạn hiện tại.
 - Tối ưu hóa phần thưởng xây dựng: điều chỉnh Phần thưởng Chiếm đóng Đầu tiên của Bộ Lạc đối với một số công trình Di Tích và Bộ Lạc nhất định.
 - Tối ưu hóa tăng cường xây dựng: điều chỉnh tăng cường xây dựng cho các công trình Thành Phố nhất định.
 - Tối ưu hóa các điểm tài nguyên Bang Hội: tối ưu hóa sự xuất hiện của các điểm tài nguyên Bang Hội, giúp nhìn thấy trạng thái của các điểm này trực tiếp từ bản đồ. Sử dụng chức năng tìm kiếm để tìm các điểm tài nguyên Bang Hội vào lúc kết thúc thời gian hồi phục.
 - Tối ưu hóa Di Tích: cường hóa các hiệu ứng có lợi của các Di Tích nhất định và tối ưu hóa các mô tả và tương tác giao diện liên quan đến Di Tích. Đồng thời, không thể tích lũy các hiệu ứng có lợi được cung cấp từ cùng một loại Di Tích được nữa.
 - Tối ưu hóa phần thưởng Tửu Quán: tối ưu hóa phần thưởng đăng nhập hàng tuần trong Tửu Quán.</v>
      </c>
      <c r="N5" s="34"/>
      <c r="O5" s="148"/>
      <c r="P5" s="148"/>
      <c r="Q5" s="148"/>
      <c r="R5" s="148"/>
      <c r="S5" s="148"/>
      <c r="T5" s="148"/>
      <c r="U5" s="148"/>
      <c r="V5" s="148"/>
      <c r="W5" s="148"/>
      <c r="X5" s="148"/>
      <c r="Y5" s="148"/>
      <c r="Z5" s="148"/>
    </row>
    <row r="6">
      <c r="A6" s="149" t="str">
        <f>IFERROR(__xludf.DUMMYFUNCTION("""COMPUTED_VALUE"""),"0.26.5")</f>
        <v>0.26.5</v>
      </c>
      <c r="B6" s="13" t="str">
        <f>IFERROR(__xludf.DUMMYFUNCTION("""COMPUTED_VALUE"""),"-新增活动：全能竞技场，猴子们可以通过挑战其他玩家获得排名并赢得奖励。
-帮派运动会活动优化：优化了任务图标，优化了领取积分奖励的展示，优化了排行信息展示，优化了界面体验，新增跨服排行。
-讨伐霍格博士活动优化：玩家可用CD购买战斗次数，优化了战斗血条表现，优化了出战阵容保存功能。
-行军编队优化：优化了战斗结果预判文本颜色；优化了行军界面的部队数量、负重及行动力显示；优化了玩家预设编队不满足条件时的推荐调整与文本提示。
-道具使用优化：新增一键使用加速，一键使用资源道具，一键使用经验道具功能。
-道具投"&amp;"放优化：帮派礼物新增行动力药剂，日常任务宝箱新增行动力药剂，提升了击败巨猿的奖励。
-基地产出优化：调整了30级基地玩家产出。
-界面表现优化：帮派总部增加气泡，英雄出征添加音效，优化道具排列顺序。
-英雄技能调整：布鲁斯的技能“复仇”调整为普通攻击后，有10%的概率在下1回合提升部队防御、部队生命；麦克的技能“人枪合一”中的提升部队攻击改为提升部队生命；马斯通的技能“攻城大师”调整为普通攻击后，有20%的概率提升全部队攻击和全部队防御，持续2回合；攻击敌方城市或公共建筑时，此概率为50%；肖恩的技能“困"&amp;"兽之斗”中的提升攻击改为提升防御。")</f>
        <v>-新增活动：全能竞技场，猴子们可以通过挑战其他玩家获得排名并赢得奖励。
-帮派运动会活动优化：优化了任务图标，优化了领取积分奖励的展示，优化了排行信息展示，优化了界面体验，新增跨服排行。
-讨伐霍格博士活动优化：玩家可用CD购买战斗次数，优化了战斗血条表现，优化了出战阵容保存功能。
-行军编队优化：优化了战斗结果预判文本颜色；优化了行军界面的部队数量、负重及行动力显示；优化了玩家预设编队不满足条件时的推荐调整与文本提示。
-道具使用优化：新增一键使用加速，一键使用资源道具，一键使用经验道具功能。
-道具投放优化：帮派礼物新增行动力药剂，日常任务宝箱新增行动力药剂，提升了击败巨猿的奖励。
-基地产出优化：调整了30级基地玩家产出。
-界面表现优化：帮派总部增加气泡，英雄出征添加音效，优化道具排列顺序。
-英雄技能调整：布鲁斯的技能“复仇”调整为普通攻击后，有10%的概率在下1回合提升部队防御、部队生命；麦克的技能“人枪合一”中的提升部队攻击改为提升部队生命；马斯通的技能“攻城大师”调整为普通攻击后，有20%的概率提升全部队攻击和全部队防御，持续2回合；攻击敌方城市或公共建筑时，此概率为50%；肖恩的技能“困兽之斗”中的提升攻击改为提升防御。</v>
      </c>
      <c r="C6" s="13" t="str">
        <f>IFERROR(__xludf.DUMMYFUNCTION("""COMPUTED_VALUE"""),"- New event: Primate Brawl; players can challenge one another to earn rankings and get rewards.
- Gang Games optimized: optimized the quest icon, display for claiming points rewards, ranking info display, and the interface; added cross-server rankings.
- "&amp;"Attack on Dr. Hogg optimized: players may now use CDs to purchase attacks; optimized health bar display; optimized the troop configuration save function.
- Troop configuration optimized: optimized the color of battle prediction texts; optimized troop numb"&amp;"ers, capacity, and AP displays; optimized the recommended adjustments and tips for when player's default configuration does not meet requirements.
- Item use optimized: added Auto Use function for speedups, resource items, and Exp items.
- Item drops opti"&amp;"mized: added Action Points Recharge items to Gang Gifts and daily quest chests; upgraded rewards for defeating Gigantos.
- City production optimized: adjusted production output for players at City Hall Lv. 30.
- Interface optimized: bubble display added t"&amp;"o Gang Headquarters; added sound effects for Fighters going into battle; optimized the order of items displayed.
- Fighter skill adjustments: Bruce's skill ""Lethal Force"" adjusted to: after releasing a normal attack, there's a 10% chance for troops unde"&amp;"r this Fighter to gain increased defense and increased health for the next 1 second; for Mike's skill ""Gun Maniac,"" increased troop attack was changed to increased troop health; Mastodonte's skill ""Art of Demolition"" adjusted to: after releasing a nor"&amp;"mal attack, there's a 20% chance to increase troop attack, and troop defense for 2 seconds; when attacking cities or public buildings, this chance is 50%; for Duke Sean's skill ""Steel Bite,"" increased attack was changed to increased defense.")</f>
        <v>- New event: Primate Brawl; players can challenge one another to earn rankings and get rewards.
- Gang Games optimized: optimized the quest icon, display for claiming points rewards, ranking info display, and the interface; added cross-server rankings.
- Attack on Dr. Hogg optimized: players may now use CDs to purchase attacks; optimized health bar display; optimized the troop configuration save function.
- Troop configuration optimized: optimized the color of battle prediction texts; optimized troop numbers, capacity, and AP displays; optimized the recommended adjustments and tips for when player's default configuration does not meet requirements.
- Item use optimized: added Auto Use function for speedups, resource items, and Exp items.
- Item drops optimized: added Action Points Recharge items to Gang Gifts and daily quest chests; upgraded rewards for defeating Gigantos.
- City production optimized: adjusted production output for players at City Hall Lv. 30.
- Interface optimized: bubble display added to Gang Headquarters; added sound effects for Fighters going into battle; optimized the order of items displayed.
- Fighter skill adjustments: Bruce's skill "Lethal Force" adjusted to: after releasing a normal attack, there's a 10% chance for troops under this Fighter to gain increased defense and increased health for the next 1 second; for Mike's skill "Gun Maniac," increased troop attack was changed to increased troop health; Mastodonte's skill "Art of Demolition" adjusted to: after releasing a normal attack, there's a 20% chance to increase troop attack, and troop defense for 2 seconds; when attacking cities or public buildings, this chance is 50%; for Duke Sean's skill "Steel Bite," increased attack was changed to increased defense.</v>
      </c>
      <c r="D6" s="13" t="str">
        <f>IFERROR(__xludf.DUMMYFUNCTION("""COMPUTED_VALUE"""),"- Nouvel évènement: dans la Baston des primates, affrontez les autres joueurs pour être le meilleur au classement et obtenir des récompenses.
- Optimisation des Jeux de gangs, notamment nouvel icône des quêtes, affichage pour récupérer les récompenses lié"&amp;"es au score, affichage du classement; ajout de classements inter-serveurs.
- Optimisation de l'Attaque du Dr. Hogg: vous pouvez désormais utiliser des CD pour acheter des attaques; affichage amélioré de la barre de santé; amélioration de la sauvegarde de "&amp;"la configuration des troupes.
- Amélioration de la configuration des troupes: couleurs des textes des prédictions du combat; affichage optimisé de la capacité, des effectifs et des points d'action; optimisation des modifications conseillées et des astuces"&amp;" quand la configuration par défaut est insuffisante.
- Optimisation de l'utilisation d'objets: ajout de l'utilisation automatique d'objets d'accélération, de ressources et d'expérience.
- Optimisation des gains d'objets: les cadeaux du gang et les coffres"&amp;" de quêtes quotidiennes contiennent désormais des objets de recharge de points d'action; amélioration des récompenses pour l'élimination de Gigantos.
- Optimisation de la production pour les villes de niv.30.
- Optimisation de l'interface: bulles d'affich"&amp;"age ajouté au QG; ajout de bruitages lorsque les combattants vont au combat; ordre d'affichage des objets.
- Modification des compétences des combattants: ""Force létale"" (Bruce) devient: après une attaque de base, les troupes commandées ont 10% de chanc"&amp;"e de bénéficier d'une amélioration de leur défense et de leur santé pendant 1s; pour ""Accro aux flingues"" (Mike), l'amélioration de l'attaque des troupes devient une amélioration de leur santé; ""Art de démolition"" (Mastodonte) devient: après une attaq"&amp;"ue de base, les troupes ont 20% de chance de bénéficier d'une amélioration de leur attaque et de leur défense pendant 2s; lors de l'attaque de villes ou de bâtiments publics, cette chance est de 50%; pour ""Morsure d'acier"" (Duke Sean), l'amélioration de"&amp;" l'attaque devient une amélioration de la défense.")</f>
        <v>- Nouvel évènement: dans la Baston des primates, affrontez les autres joueurs pour être le meilleur au classement et obtenir des récompenses.
- Optimisation des Jeux de gangs, notamment nouvel icône des quêtes, affichage pour récupérer les récompenses liées au score, affichage du classement; ajout de classements inter-serveurs.
- Optimisation de l'Attaque du Dr. Hogg: vous pouvez désormais utiliser des CD pour acheter des attaques; affichage amélioré de la barre de santé; amélioration de la sauvegarde de la configuration des troupes.
- Amélioration de la configuration des troupes: couleurs des textes des prédictions du combat; affichage optimisé de la capacité, des effectifs et des points d'action; optimisation des modifications conseillées et des astuces quand la configuration par défaut est insuffisante.
- Optimisation de l'utilisation d'objets: ajout de l'utilisation automatique d'objets d'accélération, de ressources et d'expérience.
- Optimisation des gains d'objets: les cadeaux du gang et les coffres de quêtes quotidiennes contiennent désormais des objets de recharge de points d'action; amélioration des récompenses pour l'élimination de Gigantos.
- Optimisation de la production pour les villes de niv.30.
- Optimisation de l'interface: bulles d'affichage ajouté au QG; ajout de bruitages lorsque les combattants vont au combat; ordre d'affichage des objets.
- Modification des compétences des combattants: "Force létale" (Bruce) devient: après une attaque de base, les troupes commandées ont 10% de chance de bénéficier d'une amélioration de leur défense et de leur santé pendant 1s; pour "Accro aux flingues" (Mike), l'amélioration de l'attaque des troupes devient une amélioration de leur santé; "Art de démolition" (Mastodonte) devient: après une attaque de base, les troupes ont 20% de chance de bénéficier d'une amélioration de leur attaque et de leur défense pendant 2s; lors de l'attaque de villes ou de bâtiments publics, cette chance est de 50%; pour "Morsure d'acier" (Duke Sean), l'amélioration de l'attaque devient une amélioration de la défense.</v>
      </c>
      <c r="E6" s="13" t="str">
        <f>IFERROR(__xludf.DUMMYFUNCTION("""COMPUTED_VALUE"""),"- Neues Event: Primatenkrawall. Spieler können sich gegenseitig herausfordern, um Platzierungen zu erreichen und Belohnungen zu erhalten.
 - Clan-Spiele optimiert: Das Quest-Symbol, die Anzeige für das Beanspruchen von Punkte-Belohnungen, die Anzeige der "&amp;"Ranglisten-Infos und das Interface wurden optimiert; serverübergreifende Platzierungen wurden hinzugefügt.
 - Angriff auf Dr. Hogg optimiert: Spieler können jetzt CDs verwenden, um Angriffe zu kaufen; Anzeige des Gesundheitsbalkens optimiert; Speicherfunk"&amp;"tion der Truppenkonfiguration optimiert.
 - Truppenkonfiguration optimiert: die Farbe der Kampfvorhersagetexte wurde optimiert; die Anzeige von Truppenzahl, Truppenkapazität und AP wurde optimiert; die empfohlenen Anpassungen und Tipps für den Fall, dass "&amp;"die Standardkonfiguration des Spielers nicht den Anforderungen entspricht, wurden optimiert.
 - Item-Verwendung optimiert: Automatisch verwenden-Funktion für Beschleuniger, Ressourcen-Items und XP-Items hinzugefügt.
 - Item-Drops optimiert: Clan-Geschenke"&amp;"n und täglichen Quest-Truhen wurden Aktionspunkte-Auflade-Items hinzugefügt; Belohnungen für das Besiegen von Gigantos wurden aufgewertet.
 - Stadtproduktion optimiert: Produktionsleistung für Spieler mit Rathaus Lv. 30 angepasst.
 - Interface optimiert: "&amp;"Blasenanzeige für Clan-Hauptquartiere hinzugefügt; Soundeffekte für Kämpfer, die in den Kampf ziehen, hinzugefügt; Reihenfolge der angezeigten Items optimiert.
 - Anpassungen der Kämpfer-Fähigkeiten: Bruces Fähigkeit ""Tödliche Kraft"" wurde angepasst: na"&amp;"ch Auslösen eines normalen Angriffs besteht für Truppen unter diesem Kämpfer eine 10%ige Chance, für die nächste 1 Sekunde erhöhte Verteidigung und erhöhte Gesundheit zu erhalten; für Mikes Fähigkeit ""Schießwütig"" wurde erhöhter Truppenangriff in erhöht"&amp;"e Truppengesundheit geändert; Mastodontes Fähigkeit ""Kunst der Zerstörung"" wurde geändert zu: nach dem Auslösen eines normalen Angriffs besteht eine Chance von 20%, den Truppenangriff und die Truppenverteidigung für 2 Sekunden zu erhöhen; beim Angreifen"&amp;" von Städten oder öffentlichen Gebäuden beträgt diese Chance 50%; für Duke Seans Fähigkeit ""Stahlbiss"" wurde erhöhter Angriff in erhöhte Verteidigung geändert.")</f>
        <v>- Neues Event: Primatenkrawall. Spieler können sich gegenseitig herausfordern, um Platzierungen zu erreichen und Belohnungen zu erhalten.
 - Clan-Spiele optimiert: Das Quest-Symbol, die Anzeige für das Beanspruchen von Punkte-Belohnungen, die Anzeige der Ranglisten-Infos und das Interface wurden optimiert; serverübergreifende Platzierungen wurden hinzugefügt.
 - Angriff auf Dr. Hogg optimiert: Spieler können jetzt CDs verwenden, um Angriffe zu kaufen; Anzeige des Gesundheitsbalkens optimiert; Speicherfunktion der Truppenkonfiguration optimiert.
 - Truppenkonfiguration optimiert: die Farbe der Kampfvorhersagetexte wurde optimiert; die Anzeige von Truppenzahl, Truppenkapazität und AP wurde optimiert; die empfohlenen Anpassungen und Tipps für den Fall, dass die Standardkonfiguration des Spielers nicht den Anforderungen entspricht, wurden optimiert.
 - Item-Verwendung optimiert: Automatisch verwenden-Funktion für Beschleuniger, Ressourcen-Items und XP-Items hinzugefügt.
 - Item-Drops optimiert: Clan-Geschenken und täglichen Quest-Truhen wurden Aktionspunkte-Auflade-Items hinzugefügt; Belohnungen für das Besiegen von Gigantos wurden aufgewertet.
 - Stadtproduktion optimiert: Produktionsleistung für Spieler mit Rathaus Lv. 30 angepasst.
 - Interface optimiert: Blasenanzeige für Clan-Hauptquartiere hinzugefügt; Soundeffekte für Kämpfer, die in den Kampf ziehen, hinzugefügt; Reihenfolge der angezeigten Items optimiert.
 - Anpassungen der Kämpfer-Fähigkeiten: Bruces Fähigkeit "Tödliche Kraft" wurde angepasst: nach Auslösen eines normalen Angriffs besteht für Truppen unter diesem Kämpfer eine 10%ige Chance, für die nächste 1 Sekunde erhöhte Verteidigung und erhöhte Gesundheit zu erhalten; für Mikes Fähigkeit "Schießwütig" wurde erhöhter Truppenangriff in erhöhte Truppengesundheit geändert; Mastodontes Fähigkeit "Kunst der Zerstörung" wurde geändert zu: nach dem Auslösen eines normalen Angriffs besteht eine Chance von 20%, den Truppenangriff und die Truppenverteidigung für 2 Sekunden zu erhöhen; beim Angreifen von Städten oder öffentlichen Gebäuden beträgt diese Chance 50%; für Duke Seans Fähigkeit "Stahlbiss" wurde erhöhter Angriff in erhöhte Verteidigung geändert.</v>
      </c>
      <c r="F6" s="13" t="str">
        <f>IFERROR(__xludf.DUMMYFUNCTION("""COMPUTED_VALUE"""),"- Novo evento: Briga Primata, jogadores podem competir um com o outro para ganhar recompensas e melhorar a classificação.
 - Melhoria nos jogos da gangue: melhorias no ícone de missões, na exibição para resgatar recompensas, na exibição de informações de "&amp;"classificação, além das classificações globais que foram adicionadas.
 - Melhoria no ataque ao Dr. Hogg: os jogadores agora podem usar CDs para comprar ataques. Houve melhorias na barra de vida e na função que salva a configuração das tropas.
 - Melhoria "&amp;"na configuração das tropas: as cores dos textos de previsão em batalhas foram aprimorados, assim como o número, capacidade e AP das tropas. Melhorias nos ajustes recomendados e nas sugestões para quando a configuração padrão do jogador não atende aos requ"&amp;"isitos.
 - Melhoria no uso de itens: adicionada a função de uso automático para aceleradores, itens de recursos e de experiência.
 - Melhorias para obter itens: foram adicionados itens de recarga de pontos de ação aos presentes da gangue e missões diárias"&amp;". As recompensas ao derrotar o Gigantos foram melhoradas.
 - Melhorias na produção da cidade: o rendimento de produção foi ajustado para jogadores com uma prefeitura de Nv. 30.
 - Melhorias na interface: foi adicionado o balão de exibição para a sede da g"&amp;"angue, assim como efeitos sonoros para quando combatentes vão para a batalha. Melhoria na ordem dos itens exibidos.
 - Ajustes em habilidades de combatentes: a habilidade ""Força Letal"" de Bruce foi ajustada. No uso de um ataque normal, há uma chance de "&amp;"as tropas sob o comando desse combatente ganharem defesa e vida adicionais pelo próximo segundo. No caso da habilidade ""Maníaco das Armas"", do Mike, agora ganha-se vida adicional e não ataque. A habilidade ""Arte da Demolição"", do Mastodonte, foi ajust"&amp;"ada para que, no uso de um ataque normal, haja uma chance de 20% de aumentar o ataque das tropas. Esta chance é de 50%. Para a habilidade ""Mordida de Aço"", de Duke, agora a defesa é aumentada no lugar do ataque.")</f>
        <v>- Novo evento: Briga Primata, jogadores podem competir um com o outro para ganhar recompensas e melhorar a classificação.
 - Melhoria nos jogos da gangue: melhorias no ícone de missões, na exibição para resgatar recompensas, na exibição de informações de classificação, além das classificações globais que foram adicionadas.
 - Melhoria no ataque ao Dr. Hogg: os jogadores agora podem usar CDs para comprar ataques. Houve melhorias na barra de vida e na função que salva a configuração das tropas.
 - Melhoria na configuração das tropas: as cores dos textos de previsão em batalhas foram aprimorados, assim como o número, capacidade e AP das tropas. Melhorias nos ajustes recomendados e nas sugestões para quando a configuração padrão do jogador não atende aos requisitos.
 - Melhoria no uso de itens: adicionada a função de uso automático para aceleradores, itens de recursos e de experiência.
 - Melhorias para obter itens: foram adicionados itens de recarga de pontos de ação aos presentes da gangue e missões diárias. As recompensas ao derrotar o Gigantos foram melhoradas.
 - Melhorias na produção da cidade: o rendimento de produção foi ajustado para jogadores com uma prefeitura de Nv. 30.
 - Melhorias na interface: foi adicionado o balão de exibição para a sede da gangue, assim como efeitos sonoros para quando combatentes vão para a batalha. Melhoria na ordem dos itens exibidos.
 - Ajustes em habilidades de combatentes: a habilidade "Força Letal" de Bruce foi ajustada. No uso de um ataque normal, há uma chance de as tropas sob o comando desse combatente ganharem defesa e vida adicionais pelo próximo segundo. No caso da habilidade "Maníaco das Armas", do Mike, agora ganha-se vida adicional e não ataque. A habilidade "Arte da Demolição", do Mastodonte, foi ajustada para que, no uso de um ataque normal, haja uma chance de 20% de aumentar o ataque das tropas. Esta chance é de 50%. Para a habilidade "Mordida de Aço", de Duke, agora a defesa é aumentada no lugar do ataque.</v>
      </c>
      <c r="G6" s="34" t="str">
        <f>IFERROR(__xludf.DUMMYFUNCTION("""COMPUTED_VALUE"""),"-新增活動：全能競技場，猴子們可以通過挑戰其他玩家獲得排名並贏得獎勵。
-幫派運動會活動優化：優化了任務圖標，優化了領取積分獎勵的展示，優化了排行信息展示，優化了界面體驗，新增跨服排行。
-討伐霍格博士活動優化：玩家可用CD購買戰鬥次數，優化了戰鬥血條表現，優化了出戰陣容保存功能。
-行軍編隊優化：優化了戰鬥結果預判文本顏色；優化了行軍界面的部隊數量、負重及行動力顯示；優化了玩家預設編隊不滿足條件時的推薦調整與文本提示。
-道具使用優化：新增一鍵使用加速，一鍵使用資源道具，一鍵使用經驗道具功能。
-道具投"&amp;"放優化：幫派禮物新增行動力藥劑，日常任務寶箱新增行動力藥劑，提升了擊敗巨猿的獎勵。
-基地產出優化：調整了30級基地玩家產出。
-界面表現優化：幫派總部增加氣泡，英雄出征添加音效，優化道具排列順序。
-英雄技能調整：布魯斯的技能“復仇”調整為普通攻擊後，有10%的概率在下1回合提升部隊防禦、部隊生命；麥克的技能“人槍合一”中的提升部隊攻擊改為提升部隊生命；馬斯通的技能“攻城大師”調整為普通攻擊後，有20%的概率提升全部隊攻擊和全部隊防禦，持續2回合；攻擊敵方城市或公共建築時，此概率為50% ；肖恩的技能“"&amp;"困獸之鬥”中的提升攻擊改為提升防禦。")</f>
        <v>-新增活動：全能競技場，猴子們可以通過挑戰其他玩家獲得排名並贏得獎勵。
-幫派運動會活動優化：優化了任務圖標，優化了領取積分獎勵的展示，優化了排行信息展示，優化了界面體驗，新增跨服排行。
-討伐霍格博士活動優化：玩家可用CD購買戰鬥次數，優化了戰鬥血條表現，優化了出戰陣容保存功能。
-行軍編隊優化：優化了戰鬥結果預判文本顏色；優化了行軍界面的部隊數量、負重及行動力顯示；優化了玩家預設編隊不滿足條件時的推薦調整與文本提示。
-道具使用優化：新增一鍵使用加速，一鍵使用資源道具，一鍵使用經驗道具功能。
-道具投放優化：幫派禮物新增行動力藥劑，日常任務寶箱新增行動力藥劑，提升了擊敗巨猿的獎勵。
-基地產出優化：調整了30級基地玩家產出。
-界面表現優化：幫派總部增加氣泡，英雄出征添加音效，優化道具排列順序。
-英雄技能調整：布魯斯的技能“復仇”調整為普通攻擊後，有10%的概率在下1回合提升部隊防禦、部隊生命；麥克的技能“人槍合一”中的提升部隊攻擊改為提升部隊生命；馬斯通的技能“攻城大師”調整為普通攻擊後，有20%的概率提升全部隊攻擊和全部隊防禦，持續2回合；攻擊敵方城市或公共建築時，此概率為50% ；肖恩的技能“困獸之鬥”中的提升攻擊改為提升防禦。</v>
      </c>
      <c r="H6" s="34" t="str">
        <f>IFERROR(__xludf.DUMMYFUNCTION("""COMPUTED_VALUE"""),"-Acara baru: Perkelahian Primata; pemain bisa menantang satu sama lain untuk meraih peringkat dan mendapatkan hadiah.
 - Pengoptimalan Permainan Geng: pengoptimalan ikon pencarian, tampilan untuk mengklaim hadiah poin, tampilan info peringkat, dan antarmu"&amp;"ka; penambahan peringkat lintas server.
 - Pengoptimalan Serangan terhadap Dr. Hogg: sekarang pemain bisa menggunakan CD untuk membeli serangan; pengoptimalan bilah kesehatan; pengoptimalan fungsi penyimpanan konfigurasi pasukan.
 - Pengoptimalan konfigur"&amp;"asi pasukan: pengoptimalan warna teks prediksi pertarungan; pengoptimalan jumlah pasukan, kapasitas, dan tampilan AP; pengoptimalan penyesuaian dan tip yang disarankan saat konfigurasi default pemain tidak memenuhi persyaratan.
 - Pengoptimalan penggunaan"&amp;" item: penambahan fungsi Penggunaan Otomatis untuk perccepatan, item sumber daya item, dan item Exp.
 - Pengoptimalan item yang dijatuhkan: penambahan item Isi Ulang Poin Aksi ke Hadiah Geng dan peti misi harian; peningkatan hadiah setelah mengalahkan Gig"&amp;"antos.
 - Pengoptimalan produksi kota: penyesuaian hasil produksi untuk pemain di Balai Kota Lv. 30.
 - Pengoptimalan Antarmuka: tampilan gelembung ditambahkan ke Markas Besar Geng; menambahkan efek suara untuk Pejuang yang akan berperang; pengoptimalan u"&amp;"rutan item yang ditampilkan.
 - Penyesuaian keahlian Pejuang: keahlian Bruce ""Kekuatan Mematikan"" disesuaikan menjadi: setelah melepaskan serangan normal, ada peluang 10% bagi pasukan di bawah pimpinan Pejuang ini untuk mendapatkan peningkatan pertahana"&amp;"n dan peningkatan kesehatan selama 1 detik berikutnya; untuk keahlianl Mike ""Maniak Senjata"", peningkatan serangan pasukan diubah menjadi peningkatan kesehatan pasukan; keahlian Mastodonte ""Seni Penghancuran"" disesuaikan menjadi: setelah melepaskan se"&amp;"rangan normal, ada peluang 20% untuk meningkatkan serangan pasukan dan pertahanan pasukan selama 2 detik; saat menyerang kota atau bangunan publik, peluangnya adalah 50%; untuk keahlianl Duke Sean ""Gigitan Baja"", peningkatan serangan diubah menjadi peni"&amp;"ngkatan pertahanan"".")</f>
        <v>-Acara baru: Perkelahian Primata; pemain bisa menantang satu sama lain untuk meraih peringkat dan mendapatkan hadiah.
 - Pengoptimalan Permainan Geng: pengoptimalan ikon pencarian, tampilan untuk mengklaim hadiah poin, tampilan info peringkat, dan antarmuka; penambahan peringkat lintas server.
 - Pengoptimalan Serangan terhadap Dr. Hogg: sekarang pemain bisa menggunakan CD untuk membeli serangan; pengoptimalan bilah kesehatan; pengoptimalan fungsi penyimpanan konfigurasi pasukan.
 - Pengoptimalan konfigurasi pasukan: pengoptimalan warna teks prediksi pertarungan; pengoptimalan jumlah pasukan, kapasitas, dan tampilan AP; pengoptimalan penyesuaian dan tip yang disarankan saat konfigurasi default pemain tidak memenuhi persyaratan.
 - Pengoptimalan penggunaan item: penambahan fungsi Penggunaan Otomatis untuk perccepatan, item sumber daya item, dan item Exp.
 - Pengoptimalan item yang dijatuhkan: penambahan item Isi Ulang Poin Aksi ke Hadiah Geng dan peti misi harian; peningkatan hadiah setelah mengalahkan Gigantos.
 - Pengoptimalan produksi kota: penyesuaian hasil produksi untuk pemain di Balai Kota Lv. 30.
 - Pengoptimalan Antarmuka: tampilan gelembung ditambahkan ke Markas Besar Geng; menambahkan efek suara untuk Pejuang yang akan berperang; pengoptimalan urutan item yang ditampilkan.
 - Penyesuaian keahlian Pejuang: keahlian Bruce "Kekuatan Mematikan" disesuaikan menjadi: setelah melepaskan serangan normal, ada peluang 10% bagi pasukan di bawah pimpinan Pejuang ini untuk mendapatkan peningkatan pertahanan dan peningkatan kesehatan selama 1 detik berikutnya; untuk keahlianl Mike "Maniak Senjata", peningkatan serangan pasukan diubah menjadi peningkatan kesehatan pasukan; keahlian Mastodonte "Seni Penghancuran" disesuaikan menjadi: setelah melepaskan serangan normal, ada peluang 20% untuk meningkatkan serangan pasukan dan pertahanan pasukan selama 2 detik; saat menyerang kota atau bangunan publik, peluangnya adalah 50%; untuk keahlianl Duke Sean "Gigitan Baja", peningkatan serangan diubah menjadi peningkatan pertahanan".</v>
      </c>
      <c r="I6" s="34" t="str">
        <f>IFERROR(__xludf.DUMMYFUNCTION("""COMPUTED_VALUE"""),"- กิจกรรมใหม่: การวิวาทของเหล่าวานร ผู้เล่นสามารถท้าทายกันและกันเพื่อไต่อันดับและรับรางวัลได้
 - ปรับเกมของแก๊งให้เหมาะสม: ปรับแต่งไอคอนของเควสต์, การแสดงผลเพื่อรับรางวัลประจำคะแนน, การแสดงข้อมูลอันดับ และอินเตอร์เฟส รวมถึงเพิ่มการจัดอันดับข้ามเซิร์ฟเวอร์"&amp;"
 - ปรับกิจกรรมการโจมตี ดร.ฮ็อกก์: ในตอนนี้ ผู้เล่นสามารถใช้ซีดีเพื่อซื้อการโจมตีได้แล้ว ปรับการแสดงแถบพลังชีวิต ปรับฟังก์ชั่นการบันทึกการกำหนดค่ากองทหาร
 - ปรับการกำหนดค่ากองทหาร: ปรับสีข้อความทำนายการต่อสู้ การแสดงจำนวน ขนาด และ AP ของกองทหาร ปรับการปรั"&amp;"บแต่งที่แนะนำรวมถึงเคล็ดลับเมื่อการกำหนดค่าเริ่มต้นของผู้เล่นไม่เป็นไปตามข้อกำหนด
 - ปรับการใช้ไอเทม: เพิ่มฟังก์ชั่นการใช้งานการเร่งความเร็ว ไอเทมทรัพยากร และไอเทม Exp โดยอัตโนมัติ
 - ปรับการแจกไอเทม: เพิ่มไอเทมเติมแต้มดำเนินการลงในของขวัญของแก๊งและหีบเคว"&amp;"สต์ประจำวัน รวมถึงการอัปเกรดรางวัลสำหรับการปราบกิกันโต
 - ปรับการผลิตในเมือง: ปรับปรุงผลผลิตของผู้เล่นที่มีศาลากลาง เลเวล 30
 - ปรับปรุงอินเตอร์เฟส: เพิ่มการแสดงกรอบข้อความในสำนักงานใหญ่ของแก๊ง เพิ่มเอฟเฟกต์เสียงสำหรับนักสู้ที่จะเข้าสู่การต่อสู้ ปรับลำดับ"&amp;"การแสดงไอเทม
 - ปรับทักษะนักสู้: ทักษะของบรูซ ""แรงพิฆาต"" ใหม่เป็น: หลังการโจมตีปกติ จะมีโอกาส 10% ที่กองทหารที่มีนักสู้ผู้นี้เป็นผู้นำจะได้รับพลังป้องกันและพลังชีวิตเพิ่มขึ้นใน 1 วินาทีถัดไป สำหรับทักษะ ""ลิงคลั่งปืน"" ของไมค์จะเปลี่ยนการเพิ่มพลังโจมตีเ"&amp;"ป็นการเพิ่มพลังชีวิตแทน ส่วนทักษะ ""ศิลปะแห่งการทำลาย"" ของมาสโตรดอนเต้จะถูกปรับดังนี้: หลังการโจมตีปกติ จะมีโอกาส 20% ที่กองทหารจะได้พลังโจมตีและพลังป้องกันเพิ่มขึ้นเป็นเวลา 2 วินาที แต่เมื่อโจมตีเมืองหรืออาคารสาธารณะ โอกาสจะเพิ่มเป็น 50% และสำหรับทักษะ "&amp;"""เขี้ยวเงิน"" ของฌอณ ดุ๊ก จะเปลี่ยนการเพิ่มพลังโจมตีเป็นการเพิ่มพลังป้องกันแทน")</f>
        <v>- กิจกรรมใหม่: การวิวาทของเหล่าวานร ผู้เล่นสามารถท้าทายกันและกันเพื่อไต่อันดับและรับรางวัลได้
 - ปรับเกมของแก๊งให้เหมาะสม: ปรับแต่งไอคอนของเควสต์, การแสดงผลเพื่อรับรางวัลประจำคะแนน, การแสดงข้อมูลอันดับ และอินเตอร์เฟส รวมถึงเพิ่มการจัดอันดับข้ามเซิร์ฟเวอร์
 - ปรับกิจกรรมการโจมตี ดร.ฮ็อกก์: ในตอนนี้ ผู้เล่นสามารถใช้ซีดีเพื่อซื้อการโจมตีได้แล้ว ปรับการแสดงแถบพลังชีวิต ปรับฟังก์ชั่นการบันทึกการกำหนดค่ากองทหาร
 - ปรับการกำหนดค่ากองทหาร: ปรับสีข้อความทำนายการต่อสู้ การแสดงจำนวน ขนาด และ AP ของกองทหาร ปรับการปรับแต่งที่แนะนำรวมถึงเคล็ดลับเมื่อการกำหนดค่าเริ่มต้นของผู้เล่นไม่เป็นไปตามข้อกำหนด
 - ปรับการใช้ไอเทม: เพิ่มฟังก์ชั่นการใช้งานการเร่งความเร็ว ไอเทมทรัพยากร และไอเทม Exp โดยอัตโนมัติ
 - ปรับการแจกไอเทม: เพิ่มไอเทมเติมแต้มดำเนินการลงในของขวัญของแก๊งและหีบเควสต์ประจำวัน รวมถึงการอัปเกรดรางวัลสำหรับการปราบกิกันโต
 - ปรับการผลิตในเมือง: ปรับปรุงผลผลิตของผู้เล่นที่มีศาลากลาง เลเวล 30
 - ปรับปรุงอินเตอร์เฟส: เพิ่มการแสดงกรอบข้อความในสำนักงานใหญ่ของแก๊ง เพิ่มเอฟเฟกต์เสียงสำหรับนักสู้ที่จะเข้าสู่การต่อสู้ ปรับลำดับการแสดงไอเทม
 - ปรับทักษะนักสู้: ทักษะของบรูซ "แรงพิฆาต" ใหม่เป็น: หลังการโจมตีปกติ จะมีโอกาส 10% ที่กองทหารที่มีนักสู้ผู้นี้เป็นผู้นำจะได้รับพลังป้องกันและพลังชีวิตเพิ่มขึ้นใน 1 วินาทีถัดไป สำหรับทักษะ "ลิงคลั่งปืน" ของไมค์จะเปลี่ยนการเพิ่มพลังโจมตีเป็นการเพิ่มพลังชีวิตแทน ส่วนทักษะ "ศิลปะแห่งการทำลาย" ของมาสโตรดอนเต้จะถูกปรับดังนี้: หลังการโจมตีปกติ จะมีโอกาส 20% ที่กองทหารจะได้พลังโจมตีและพลังป้องกันเพิ่มขึ้นเป็นเวลา 2 วินาที แต่เมื่อโจมตีเมืองหรืออาคารสาธารณะ โอกาสจะเพิ่มเป็น 50% และสำหรับทักษะ "เขี้ยวเงิน" ของฌอณ ดุ๊ก จะเปลี่ยนการเพิ่มพลังโจมตีเป็นการเพิ่มพลังป้องกันแทน</v>
      </c>
      <c r="J6" s="34" t="str">
        <f>IFERROR(__xludf.DUMMYFUNCTION("""COMPUTED_VALUE"""),"- Nuevo evento: Pelea de Primates; los jugadores pueden retarse entre sí y obtener recompensas. 
- Juegos de la Banda optimizado: se optimizó el icono de misión, la visualización para reclamar recompensas de puntos, la visualización de la información de c"&amp;"lasificación y la interfase; se agregaron las clasificaciones entre servidores. 
- Se optimizo el Ataque contra Dr. Hogg: los jugadores ahora pueden usar CD para comprar ataques; se optimizó la visualización de la barra de salud; se optimizó la función de"&amp;" guardar la configuración de tropas. 
- Configuración de tropas optimizada: se optimizó el color de los textos de predicción de la batalla; se optimizaron los números de tropas, capacidad y visualización de los PA; se optimizaron los ajustes recomendados "&amp;"y consejos para cuando la configuración por defecto del jugador no cumple con los requerimientos. 
- Se optimizó el uso de artículos: se agregó la función de Auto Usar para los aceleradores, artículos de recursos y de Exp. 
- Se optimizó la aparición de a"&amp;"rtículos: se agregaron artículos de Recarga de Puntos de acción a los Regalos de la Banda y los cofres diarios de misión; se mejoraron las recompensas por derrotar a los Gigantopithecus. 
- Optimización la producción de la Ciudad: Se ajustó la producción "&amp;"para los jugadores con un Ayuntamiento Nivel 30. 
- Interface optimizada: Visualización de burbuja agregada al Cuartel General de la Banda; se agregaron efectos de sonido para los Luchadores que entran en batalla; se optimizó el orden de visualización de "&amp;"los artículos. 
- Ajuste en la habilidad de Luchadores: La habilidad de Bruce: “Fuerza Letal” se ajustó a: después de realizar un ataque normal, hay un 10% de oportunidad de que las tropas bajo el mando de este Luchador obtengan un incremento en defensa y"&amp;" un incremento en salud durante el siguiente 1 segundo; para la habilidad de Mike: “Maniático de las Armas”, se cambió el incremento en el ataque de las tropas hacía un incremento en la salud de las tropas; la habilidad del Mastodonte: “Arte de la Demolic"&amp;"ión” se ajustó a: después de realizar un ataque normal, hay un 20% de posibilidad de incremento en el ataque de las tropas y en la defensa de las tropas por 2 segundos: esta oportunidad es del 50% al atacar ciudades o edificios públicos; para la habilidad"&amp;" de Duke Sean: “Mordedura de acero”, el incremento de ataque fue cambiado a un incremento en la defensa.")</f>
        <v>- Nuevo evento: Pelea de Primates; los jugadores pueden retarse entre sí y obtener recompensas. 
- Juegos de la Banda optimizado: se optimizó el icono de misión, la visualización para reclamar recompensas de puntos, la visualización de la información de clasificación y la interfase; se agregaron las clasificaciones entre servidores. 
- Se optimizo el Ataque contra Dr. Hogg: los jugadores ahora pueden usar CD para comprar ataques; se optimizó la visualización de la barra de salud; se optimizó la función de guardar la configuración de tropas. 
- Configuración de tropas optimizada: se optimizó el color de los textos de predicción de la batalla; se optimizaron los números de tropas, capacidad y visualización de los PA; se optimizaron los ajustes recomendados y consejos para cuando la configuración por defecto del jugador no cumple con los requerimientos. 
- Se optimizó el uso de artículos: se agregó la función de Auto Usar para los aceleradores, artículos de recursos y de Exp. 
- Se optimizó la aparición de artículos: se agregaron artículos de Recarga de Puntos de acción a los Regalos de la Banda y los cofres diarios de misión; se mejoraron las recompensas por derrotar a los Gigantopithecus. 
- Optimización la producción de la Ciudad: Se ajustó la producción para los jugadores con un Ayuntamiento Nivel 30. 
- Interface optimizada: Visualización de burbuja agregada al Cuartel General de la Banda; se agregaron efectos de sonido para los Luchadores que entran en batalla; se optimizó el orden de visualización de los artículos. 
- Ajuste en la habilidad de Luchadores: La habilidad de Bruce: “Fuerza Letal” se ajustó a: después de realizar un ataque normal, hay un 10% de oportunidad de que las tropas bajo el mando de este Luchador obtengan un incremento en defensa y un incremento en salud durante el siguiente 1 segundo; para la habilidad de Mike: “Maniático de las Armas”, se cambió el incremento en el ataque de las tropas hacía un incremento en la salud de las tropas; la habilidad del Mastodonte: “Arte de la Demolición” se ajustó a: después de realizar un ataque normal, hay un 20% de posibilidad de incremento en el ataque de las tropas y en la defensa de las tropas por 2 segundos: esta oportunidad es del 50% al atacar ciudades o edificios públicos; para la habilidad de Duke Sean: “Mordedura de acero”, el incremento de ataque fue cambiado a un incremento en la defensa.</v>
      </c>
      <c r="K6" s="34" t="str">
        <f>IFERROR(__xludf.DUMMYFUNCTION("""COMPUTED_VALUE"""),"— Новое событие: «Потасовка приматов». Игроки могут соревноваться друг с другом, чтобы зарабатывать рейтинг и получать награды.
— Оптимизация события «Состязания банд»: оптимизированы значок заданий, отображение страницы получения наград за очки, отображе"&amp;"ние информации о рейтинге и интерфейс; добавлен кросс-серверный рейтинг.
— Оптимизация события «Атака на доктора Хогга»: теперь игроки могут использовать CD для покупки атак; оптимизировано отображение шкалы здоровья; оптимизирована функция сохранения кон"&amp;"фигурации войск.
— Оптимизирована конфигурация войск: оптимизирован цвет текста прогнозируемых боев; оптимизирована численность войск, максимальное число войск и отображение очков действия; оптимизированы рекомендуемые настройки и подсказки для ситуаций, "&amp;"когда стандартная конфигурация игрока не соответствует требованиям.
— Оптимизировано использование предметов: добавлена ​​функция автоиспользования для ускорений, ресурсов и предметов опыта.
— Оптимизировано выпадение предметов: в подарки банды и сундуки "&amp;"ежедневных заданий добавлены предметы для получения очков действия; улучшены награды за победу над Гиганто.
— Оптимизировано производство в городе: скорректирован объем добычи для игроков с городским советом ур. 30.
— Оптимизирован интерфейс: добавлено от"&amp;"ображение данных в виде пузырей для центра банды; добавлены звуковые эффекты для героев, идущих в бой; оптимизирован порядок отображения предметов.
— Корректировка навыков героев: теперь навык Брюса «Смертельная сила» состоит в следующем: после проведения"&amp;" обычной атаки войска под командованием героя с вероятностью 10% получают усиленную защиту и улучшенное здоровье на 1 сек. Для навыка Майка «Оружейный маньяк» повышение атаки войск сменилось на повышение здоровья войск. Навык Мастодонте «Искусство разруше"&amp;"ния» теперь заключается в следующем: после проведения обычной атаки есть 20%-й шанс увеличить атаку войск и защиту войск на 2 секунды; при атаке городов или общественных зданий этот шанс составляет 50%. Для навыка Герцога Шона «Стальной укус» повышение ат"&amp;"аки сменилось на усиленную защиту.")</f>
        <v>— Новое событие: «Потасовка приматов». Игроки могут соревноваться друг с другом, чтобы зарабатывать рейтинг и получать награды.
— Оптимизация события «Состязания банд»: оптимизированы значок заданий, отображение страницы получения наград за очки, отображение информации о рейтинге и интерфейс; добавлен кросс-серверный рейтинг.
— Оптимизация события «Атака на доктора Хогга»: теперь игроки могут использовать CD для покупки атак; оптимизировано отображение шкалы здоровья; оптимизирована функция сохранения конфигурации войск.
— Оптимизирована конфигурация войск: оптимизирован цвет текста прогнозируемых боев; оптимизирована численность войск, максимальное число войск и отображение очков действия; оптимизированы рекомендуемые настройки и подсказки для ситуаций, когда стандартная конфигурация игрока не соответствует требованиям.
— Оптимизировано использование предметов: добавлена ​​функция автоиспользования для ускорений, ресурсов и предметов опыта.
— Оптимизировано выпадение предметов: в подарки банды и сундуки ежедневных заданий добавлены предметы для получения очков действия; улучшены награды за победу над Гиганто.
— Оптимизировано производство в городе: скорректирован объем добычи для игроков с городским советом ур. 30.
— Оптимизирован интерфейс: добавлено отображение данных в виде пузырей для центра банды; добавлены звуковые эффекты для героев, идущих в бой; оптимизирован порядок отображения предметов.
— Корректировка навыков героев: теперь навык Брюса «Смертельная сила» состоит в следующем: после проведения обычной атаки войска под командованием героя с вероятностью 10% получают усиленную защиту и улучшенное здоровье на 1 сек. Для навыка Майка «Оружейный маньяк» повышение атаки войск сменилось на повышение здоровья войск. Навык Мастодонте «Искусство разрушения» теперь заключается в следующем: после проведения обычной атаки есть 20%-й шанс увеличить атаку войск и защиту войск на 2 секунды; при атаке городов или общественных зданий этот шанс составляет 50%. Для навыка Герцога Шона «Стальной укус» повышение атаки сменилось на усиленную защиту.</v>
      </c>
      <c r="L6" s="34" t="str">
        <f>IFERROR(__xludf.DUMMYFUNCTION("""COMPUTED_VALUE"""),"‘- Yeni etkinlik: Primat Kavgası; oyuncular sıralamalar kazanmak ve ödüller almak için birbirlerine meydan okuyabilirler.
 - Çete Oyunları optimize edildi: macera simgesi, puan ödüllerinı alma görüntüsü, sıralama bilgisi görüntüsü ve arayüz optimize edild"&amp;"i; sunucular arası sıralamalar eklendi.
 - Dr. Hogg’a Saldırı optimize edildi: oyuncular artık saldırı satın alırken CD kullanabilecekler; sağlık çubuğu görüntüsü optimize edildi; birlik yapılandırma kaydetme işlevi optimize edildi.
 - Birlik yapılandırma"&amp;"sı optimize edildi: savaş tahmin metinlerinin rengi optimize edildi; birlik sayıları, kapasitesi ve AP görüntüleri optimize edildi; önerilen düzenlemeler ve oyuncuların varsayılan yapılandırmasının gereklilikleri karşılamadığı durumlara yönelik ipuçları o"&amp;"ptimize edildi.
 - Eşya kullanımı optimize edildi: Oto. Kullanma işlevi hızlandırıcılara, kaynak eşyalarına ve Den. eşyalarına eklendi.
 - Eşya düşmeleri optimize edildi: Çete Hediyelerine ve günlük macera sandıklarına Eylem Puanı Yeniden Yükleme eşyaları"&amp;" eklendi; Giganto yenme ödülleri yükseltildi.
 - Şehir üretimi optimize edildi: 30. Sv. Meclisi olan oyuncuların üretim çıkışı düzenlendi. 
 - Arayüz optimize edildi: Çete Genel Merkezine balon görünümü eklendi; savaşa giden Savaşçılar için ses efektleri "&amp;"eklendi; görüntülenen eşyaların sırası optimize edildi.
 - Savaşçı becerisi düzenlemeleri: Bruce’un “Ölümcül Güç” becerisi, normal saldırı kullanılması sonrasında bu Savaşçıya bağlı birliklerin sonraki 1 saniye için artırılmış savunma ve artırılmış sağlık"&amp;" kazanmasına yönelik %10 şans olacak şekilde düzenlendi; Mike’ın “Tabanca Delisi” becerisinde artırılmış birlik saldırısı artırılmış birlik sağlığına çevrildi; Mastodonte’nin “Yıkım Sanatı” becerisi, normal saldırı kullanılması sonrasında 2 saniye için bi"&amp;"rlik saldırısını ve birlik savunmasını artırmaya yönelik %20 şans olacak şekilde düzenlendi; şehirlere ve kamu binalarına saldırırken bu şans %50’dir; Duke Sean’in “Çelik Isırık” becerisinde artırılmış saldırı artırılmış savunmaya çevrildi.")</f>
        <v>‘- Yeni etkinlik: Primat Kavgası; oyuncular sıralamalar kazanmak ve ödüller almak için birbirlerine meydan okuyabilirler.
 - Çete Oyunları optimize edildi: macera simgesi, puan ödüllerinı alma görüntüsü, sıralama bilgisi görüntüsü ve arayüz optimize edildi; sunucular arası sıralamalar eklendi.
 - Dr. Hogg’a Saldırı optimize edildi: oyuncular artık saldırı satın alırken CD kullanabilecekler; sağlık çubuğu görüntüsü optimize edildi; birlik yapılandırma kaydetme işlevi optimize edildi.
 - Birlik yapılandırması optimize edildi: savaş tahmin metinlerinin rengi optimize edildi; birlik sayıları, kapasitesi ve AP görüntüleri optimize edildi; önerilen düzenlemeler ve oyuncuların varsayılan yapılandırmasının gereklilikleri karşılamadığı durumlara yönelik ipuçları optimize edildi.
 - Eşya kullanımı optimize edildi: Oto. Kullanma işlevi hızlandırıcılara, kaynak eşyalarına ve Den. eşyalarına eklendi.
 - Eşya düşmeleri optimize edildi: Çete Hediyelerine ve günlük macera sandıklarına Eylem Puanı Yeniden Yükleme eşyaları eklendi; Giganto yenme ödülleri yükseltildi.
 - Şehir üretimi optimize edildi: 30. Sv. Meclisi olan oyuncuların üretim çıkışı düzenlendi. 
 - Arayüz optimize edildi: Çete Genel Merkezine balon görünümü eklendi; savaşa giden Savaşçılar için ses efektleri eklendi; görüntülenen eşyaların sırası optimize edildi.
 - Savaşçı becerisi düzenlemeleri: Bruce’un “Ölümcül Güç” becerisi, normal saldırı kullanılması sonrasında bu Savaşçıya bağlı birliklerin sonraki 1 saniye için artırılmış savunma ve artırılmış sağlık kazanmasına yönelik %10 şans olacak şekilde düzenlendi; Mike’ın “Tabanca Delisi” becerisinde artırılmış birlik saldırısı artırılmış birlik sağlığına çevrildi; Mastodonte’nin “Yıkım Sanatı” becerisi, normal saldırı kullanılması sonrasında 2 saniye için birlik saldırısını ve birlik savunmasını artırmaya yönelik %20 şans olacak şekilde düzenlendi; şehirlere ve kamu binalarına saldırırken bu şans %50’dir; Duke Sean’in “Çelik Isırık” becerisinde artırılmış saldırı artırılmış savunmaya çevrildi.</v>
      </c>
      <c r="M6" s="34" t="str">
        <f>IFERROR(__xludf.DUMMYFUNCTION("""COMPUTED_VALUE"""),"- Sự kiện mới: Đấu Trường Toàn Năng; người chơi có thể thách thức những người chơi khác để tăng hạng và kiếm phần thưởng.
 - Tối ưu hóa các hoạt động bang hội: tối ưu hóa icon nhiệm vụ, hiển thị nhận điểm thưởng, hiển thị thông tin xếp hạng và giao diện; "&amp;"và thêm xếp hạng liên máy chủ.
 - Tối ưu hóa Tấn Công Tiến Sĩ Hogg: người chơi có thể dùng CD để mua số lần tấn công; tối ưu thanh HP; tối ưu chức năng lưu thiết lập binh lính.
 - Tối ưu hóa thiết lập binh lính: tối ưu màu chữ dự đoán chiến đấu; tối ưu hi"&amp;"ển thị số lượng, năng lực và AP binh lính; tối ưu một số điều chỉnh và mẹo vặt khi thiết lập mặc định của người chơi không đạt yêu cầu.
 - Tối ưu hóa sử dụng vật phẩm: thêm chức năng Dùng Tự Động cho các vật phẩm Tăng tốc, Tài nguyên và EXP.
 - Tối ưu hóa"&amp;" rơi vật phẩm: Thêm vật phẩm Nạp Điểm Hành Động vào Quà Bang Hội và rương nhiệm vụ ngày, nâng cấp phần thưởng đánh bại Vượn Khổng Lồ.
 - Tối ưu hóa sản xuất thành phố: điều chỉnh sản lượng cho người chơi có Tòa Thị chính Cấp 30.
 - Tối ưu hóa giao diện: t"&amp;"hêm hiển thị bong bóng ở Trụ Sở Chính Bang Hội; thêm hiệu ứng âm thanh cho Chiến Binh khi tham chiến; tối ưu hóa trật tự hiển thị vật phẩm.
 - Điều chỉnh kỹ năng Chiến Binh: Kỹ năng “Lực Lượng Chết Người” của Bruce được điều chỉnh thành: sau khi ra đòn tấ"&amp;"n công thường, có 10% cơ hội giúp binh lính dưới quyền Chiến Binh này tăng phòng thủ và HP ở 1 giây sau; đối với kỹ năng “Súng Điên” của Mike: tăng lực công binh lính được chuyển thành tăng HP binh lính; đối với kỹ năng “Nghệ Thuật Phá Hủy” của Mastodonte"&amp;": sau khi ra đòn tấn công thường, có 20% cơ hội tăng lực công và phòng thủ của binh lính trong 2 giây; khi tấn công thành phố hoặc các công trình công cộng, tỉ lệ này là 50%; đối với kỹ năng “Vết Cắn Sắt Thép” của Duke: tăng lực công chuyển thành tăng phò"&amp;"ng thủ.")</f>
        <v>- Sự kiện mới: Đấu Trường Toàn Năng; người chơi có thể thách thức những người chơi khác để tăng hạng và kiếm phần thưởng.
 - Tối ưu hóa các hoạt động bang hội: tối ưu hóa icon nhiệm vụ, hiển thị nhận điểm thưởng, hiển thị thông tin xếp hạng và giao diện; và thêm xếp hạng liên máy chủ.
 - Tối ưu hóa Tấn Công Tiến Sĩ Hogg: người chơi có thể dùng CD để mua số lần tấn công; tối ưu thanh HP; tối ưu chức năng lưu thiết lập binh lính.
 - Tối ưu hóa thiết lập binh lính: tối ưu màu chữ dự đoán chiến đấu; tối ưu hiển thị số lượng, năng lực và AP binh lính; tối ưu một số điều chỉnh và mẹo vặt khi thiết lập mặc định của người chơi không đạt yêu cầu.
 - Tối ưu hóa sử dụng vật phẩm: thêm chức năng Dùng Tự Động cho các vật phẩm Tăng tốc, Tài nguyên và EXP.
 - Tối ưu hóa rơi vật phẩm: Thêm vật phẩm Nạp Điểm Hành Động vào Quà Bang Hội và rương nhiệm vụ ngày, nâng cấp phần thưởng đánh bại Vượn Khổng Lồ.
 - Tối ưu hóa sản xuất thành phố: điều chỉnh sản lượng cho người chơi có Tòa Thị chính Cấp 30.
 - Tối ưu hóa giao diện: thêm hiển thị bong bóng ở Trụ Sở Chính Bang Hội; thêm hiệu ứng âm thanh cho Chiến Binh khi tham chiến; tối ưu hóa trật tự hiển thị vật phẩm.
 - Điều chỉnh kỹ năng Chiến Binh: Kỹ năng “Lực Lượng Chết Người” của Bruce được điều chỉnh thành: sau khi ra đòn tấn công thường, có 10% cơ hội giúp binh lính dưới quyền Chiến Binh này tăng phòng thủ và HP ở 1 giây sau; đối với kỹ năng “Súng Điên” của Mike: tăng lực công binh lính được chuyển thành tăng HP binh lính; đối với kỹ năng “Nghệ Thuật Phá Hủy” của Mastodonte: sau khi ra đòn tấn công thường, có 20% cơ hội tăng lực công và phòng thủ của binh lính trong 2 giây; khi tấn công thành phố hoặc các công trình công cộng, tỉ lệ này là 50%; đối với kỹ năng “Vết Cắn Sắt Thép” của Duke: tăng lực công chuyển thành tăng phòng thủ.</v>
      </c>
      <c r="N6" s="34"/>
      <c r="O6" s="148"/>
      <c r="P6" s="148"/>
      <c r="Q6" s="148"/>
      <c r="R6" s="148"/>
      <c r="S6" s="148"/>
      <c r="T6" s="148"/>
      <c r="U6" s="148"/>
      <c r="V6" s="148"/>
      <c r="W6" s="148"/>
      <c r="X6" s="148"/>
      <c r="Y6" s="148"/>
      <c r="Z6" s="148"/>
    </row>
    <row r="7">
      <c r="A7" s="149" t="str">
        <f>IFERROR(__xludf.DUMMYFUNCTION("""COMPUTED_VALUE"""),"0.27.0")</f>
        <v>0.27.0</v>
      </c>
      <c r="B7" s="13" t="str">
        <f>IFERROR(__xludf.DUMMYFUNCTION("""COMPUTED_VALUE"""),"-新增活动：银河战争。千人竞技，跨服对战，全新地图，丰厚奖励！和不同服务器的玩家正面切磋，奋力杀敌，为自己的军团赢得荣耀和奖励吧！
-新增活动：发射准备。银河战争即将到来，击败变异猴夺回火箭，提升实力，不仅能为你的服务器在银河战争中获取地利先机，同时还能获得丰厚个人奖励哦！
-新增斗士：爆破戏法师乔伊，怪诞疯狂的攻城领袖，可以在银河战争中获得。
-礼包优化：新增占领关卡解锁全新礼包，助力战力提升；新增英雄经验周卡，斗士经验天天领！
-活动优化：挑战变异巨猿以及挑战变异猴活动新增训练任务。
-头像展示优化："&amp;"优化了玩家头像在地图上的显示，优化了在排行榜上玩家头像框的展示。
-狂飙拉力赛优化：优化了活动界面，调整了任务数值，新增了每周任务。
-每日任务优化：对部分任务进行调整，增加全能竞技场任务。
-数值优化：优化了对抗变异猴首领的体验；优化了帮派科技数值；优化了电子科技数值。")</f>
        <v>-新增活动：银河战争。千人竞技，跨服对战，全新地图，丰厚奖励！和不同服务器的玩家正面切磋，奋力杀敌，为自己的军团赢得荣耀和奖励吧！
-新增活动：发射准备。银河战争即将到来，击败变异猴夺回火箭，提升实力，不仅能为你的服务器在银河战争中获取地利先机，同时还能获得丰厚个人奖励哦！
-新增斗士：爆破戏法师乔伊，怪诞疯狂的攻城领袖，可以在银河战争中获得。
-礼包优化：新增占领关卡解锁全新礼包，助力战力提升；新增英雄经验周卡，斗士经验天天领！
-活动优化：挑战变异巨猿以及挑战变异猴活动新增训练任务。
-头像展示优化：优化了玩家头像在地图上的显示，优化了在排行榜上玩家头像框的展示。
-狂飙拉力赛优化：优化了活动界面，调整了任务数值，新增了每周任务。
-每日任务优化：对部分任务进行调整，增加全能竞技场任务。
-数值优化：优化了对抗变异猴首领的体验；优化了帮派科技数值；优化了电子科技数值。</v>
      </c>
      <c r="C7" s="13" t="str">
        <f>IFERROR(__xludf.DUMMYFUNCTION("""COMPUTED_VALUE"""),"- New event: Planet Wars. Thousands compete in cross-server battles. Brand new map and amazing rewards! Go head-to-head with players from other servers, defeat the enemy, and win glory and rewards for your Army!
- New event: Prepare to Launch. Planet Wars"&amp;" is starting soon, defeat Mutants to take back the rocket and increase your strength. This will not only give your server an advantage in the Planet Wars but also give you tons of great individual rewards!
- New Fighter: Joey Jester, the Dynamite Genie. A"&amp;" mad Wall Breaker leader that you can obtain in the Planet Wars event.
- Pack optimizations: now you can unlock new packs by occupying Monkey Passes; new Fighter EXP Weekly Card, get Fighter EXP daily!
- Event optimizations: training quests added to the C"&amp;"hallenge Giganto and Challenge Mutant Monkeys events.
- Avatar display optimizations: optimized the display of player avatars on the map; optimized the display of player avatar frames on ranking lists.
- Cyclone Rally optimizations: optimized the event in"&amp;"terface, adjusted quest stats, added weekly quests.
- Daily quests optimizations: adjusted certain quests, and added Primate Brawl quests.
- Stat optimizations: optimized user experience when fighting Mutant Alphas; optimized the stats for Gang Technology"&amp;" and Electronic Technology.")</f>
        <v>- New event: Planet Wars. Thousands compete in cross-server battles. Brand new map and amazing rewards! Go head-to-head with players from other servers, defeat the enemy, and win glory and rewards for your Army!
- New event: Prepare to Launch. Planet Wars is starting soon, defeat Mutants to take back the rocket and increase your strength. This will not only give your server an advantage in the Planet Wars but also give you tons of great individual rewards!
- New Fighter: Joey Jester, the Dynamite Genie. A mad Wall Breaker leader that you can obtain in the Planet Wars event.
- Pack optimizations: now you can unlock new packs by occupying Monkey Passes; new Fighter EXP Weekly Card, get Fighter EXP daily!
- Event optimizations: training quests added to the Challenge Giganto and Challenge Mutant Monkeys events.
- Avatar display optimizations: optimized the display of player avatars on the map; optimized the display of player avatar frames on ranking lists.
- Cyclone Rally optimizations: optimized the event interface, adjusted quest stats, added weekly quests.
- Daily quests optimizations: adjusted certain quests, and added Primate Brawl quests.
- Stat optimizations: optimized user experience when fighting Mutant Alphas; optimized the stats for Gang Technology and Electronic Technology.</v>
      </c>
      <c r="D7" s="13" t="str">
        <f>IFERROR(__xludf.DUMMYFUNCTION("""COMPUTED_VALUE"""),"- Nouvel évènement: la Guerre planétaire. Une compétition rassemblant plusieurs milliers de joueurs issus de tous les serveurs, sur une carte inédite, avec des récompenses incroyables! Affrontez des joueurs d’autres serveurs, éliminez vos ennemis et parte"&amp;"z à la conquête de la gloire et des récompenses pour votre armée!
- Nouvel évènement: Préparation au lancement. La Guerre planétaire approche; éliminez des mutants pour récupérer la fusée et augmenter votre puissance. Ainsi, vous prendrez l’avantage dans "&amp;"la Guerre planétaire, en plus de recevoir des tonnes de récompenses individuelles!
- Nouveau combattant: Joey le bouffon, génie de la dynamite. Un chef casse-murailles déjanté, à débloquer dans l’évènement Guerre planétaire.
- Optimisation des packs: de n"&amp;"ouveaux packs sont à débloquer par l’occupation des barrages; avec la nouvelle carte hebdo d’EXP combattant, boostez chaque jour vos héros!
- Optimisation des évènements: ajout de missions d’entraînement dans les évènements Défi du giganto et Défi des mut"&amp;"ants.
- Optimisation de l’affichage des avatars de joueurs sur la carte et de leurs cadres dans les classements.
- Optimisation du Rallye du cyclone: amélioration de l’interface de l’évènement et des statistiques de mission, et ajout de quêtes hebdomadair"&amp;"es.
- Optimisation des quêtes quotidiennes: réglage de certaines quêtes et ajout des quêtes Baston des primates.
- Optimisation des statistiques: amélioration de l’expérience utilisateur lors des combats contre les mutants alpha; réglage des statistiques "&amp;"de la recherche du gang et de la recherche électronique.")</f>
        <v>- Nouvel évènement: la Guerre planétaire. Une compétition rassemblant plusieurs milliers de joueurs issus de tous les serveurs, sur une carte inédite, avec des récompenses incroyables! Affrontez des joueurs d’autres serveurs, éliminez vos ennemis et partez à la conquête de la gloire et des récompenses pour votre armée!
- Nouvel évènement: Préparation au lancement. La Guerre planétaire approche; éliminez des mutants pour récupérer la fusée et augmenter votre puissance. Ainsi, vous prendrez l’avantage dans la Guerre planétaire, en plus de recevoir des tonnes de récompenses individuelles!
- Nouveau combattant: Joey le bouffon, génie de la dynamite. Un chef casse-murailles déjanté, à débloquer dans l’évènement Guerre planétaire.
- Optimisation des packs: de nouveaux packs sont à débloquer par l’occupation des barrages; avec la nouvelle carte hebdo d’EXP combattant, boostez chaque jour vos héros!
- Optimisation des évènements: ajout de missions d’entraînement dans les évènements Défi du giganto et Défi des mutants.
- Optimisation de l’affichage des avatars de joueurs sur la carte et de leurs cadres dans les classements.
- Optimisation du Rallye du cyclone: amélioration de l’interface de l’évènement et des statistiques de mission, et ajout de quêtes hebdomadaires.
- Optimisation des quêtes quotidiennes: réglage de certaines quêtes et ajout des quêtes Baston des primates.
- Optimisation des statistiques: amélioration de l’expérience utilisateur lors des combats contre les mutants alpha; réglage des statistiques de la recherche du gang et de la recherche électronique.</v>
      </c>
      <c r="E7" s="13" t="str">
        <f>IFERROR(__xludf.DUMMYFUNCTION("""COMPUTED_VALUE"""),"- Neues Event: Planetenkriege. Tausende treten in serverübergreifenden Schlachten gegeneinander an. Brandneue Karte und tolle Belohnungen! Tritt gegen Spieler von anderen Servern an, besiege deine Feinde und erringe Ruhm und Belohnungen für deine Armee!
 "&amp;"- Neues Event: Startvorbereitungen. Die Planetenkriege beginnen bald. Besiege die Mutanten, um die Rakete zurückzuerobern und stärker zu werden. Dies wird deinem Server nicht nur einen Vorteil in den Planetenkriegen verschaffen, sondern dir außerdem eine "&amp;"Menge toller individueller Belohnungen einbringen!
 - Neuer Kämpfer: Joey Jester, der Dynamit-Clown. Ein verrückter Mauerbrecher-Anführer, den du beim Planetenkriege-Event erhalten kannst.
 - Paket-Optimierungen: Du kannst jetzt neue Pakete freischalten, "&amp;"indem du Affentore besetzt; neue Kämpfer-EP-Wochenkarte, erhalte täglich Kämpfer-EP!
 - Event-Optimierungen: Trainingsquests zu den Events ""Fordere den Gigantopithecus heraus"" und ""Fordere Mutanten heraus"" hinzugefügt.
 - Optimierungen der Avatardarst"&amp;"ellung: Optimierung der Anzeige von Spieleravataren auf der Karte; Optimierung der Anzeige von Spieleravatarrahmen auf Ranglisten.
 - Optimierungen des Zyklon-Rennens: Optimierung des Event-Interfaces, Anpassung der Quest-Werte, Hinzufügung von wöchentlic"&amp;"hen Quests.
 - Optimierungen bei den täglichen Quests: bestimmte Quests wurden angepasst und Quests für den Primatenkrawall hinzugefügt.
 - Balance-Optimierungen: optimierte Benutzererfahrung beim Kampf gegen Alpha-Mutanten; Optimierung der Werte von Clan"&amp;"-Technologie und Elektronische Technologie.")</f>
        <v>- Neues Event: Planetenkriege. Tausende treten in serverübergreifenden Schlachten gegeneinander an. Brandneue Karte und tolle Belohnungen! Tritt gegen Spieler von anderen Servern an, besiege deine Feinde und erringe Ruhm und Belohnungen für deine Armee!
 - Neues Event: Startvorbereitungen. Die Planetenkriege beginnen bald. Besiege die Mutanten, um die Rakete zurückzuerobern und stärker zu werden. Dies wird deinem Server nicht nur einen Vorteil in den Planetenkriegen verschaffen, sondern dir außerdem eine Menge toller individueller Belohnungen einbringen!
 - Neuer Kämpfer: Joey Jester, der Dynamit-Clown. Ein verrückter Mauerbrecher-Anführer, den du beim Planetenkriege-Event erhalten kannst.
 - Paket-Optimierungen: Du kannst jetzt neue Pakete freischalten, indem du Affentore besetzt; neue Kämpfer-EP-Wochenkarte, erhalte täglich Kämpfer-EP!
 - Event-Optimierungen: Trainingsquests zu den Events "Fordere den Gigantopithecus heraus" und "Fordere Mutanten heraus" hinzugefügt.
 - Optimierungen der Avatardarstellung: Optimierung der Anzeige von Spieleravataren auf der Karte; Optimierung der Anzeige von Spieleravatarrahmen auf Ranglisten.
 - Optimierungen des Zyklon-Rennens: Optimierung des Event-Interfaces, Anpassung der Quest-Werte, Hinzufügung von wöchentlichen Quests.
 - Optimierungen bei den täglichen Quests: bestimmte Quests wurden angepasst und Quests für den Primatenkrawall hinzugefügt.
 - Balance-Optimierungen: optimierte Benutzererfahrung beim Kampf gegen Alpha-Mutanten; Optimierung der Werte von Clan-Technologie und Elektronische Technologie.</v>
      </c>
      <c r="F7" s="13" t="str">
        <f>IFERROR(__xludf.DUMMYFUNCTION("""COMPUTED_VALUE"""),"- Novo evento: Guerra Interplanetária. Milhares competem em batalhas entre servidores. Novíssimos mapas e recompensas incríveis! Fique cara a cara com jogadores de outros servidores, derrote o inimigo e ganhe glória e recompensas para o seu exército!
 - N"&amp;"ovo evento: Prepare-se para o lançamento. Guerra Planetária começara em breve: derrote mutantes para recuperar o foguete e aumente sua força. Fazer isso não dará ao seu servidor somente uma vantagem na Guerra Interplanetária, mas também proporcionará gran"&amp;"des recompensas individuais!
 - Novo combatente: João Bobo, o Gênio Dinamite. Um líder quebra-muros maluco que pode ser obtido no evento Guerra Interplanetária.
 - Melhorias de pacotes: agora é possível desbloquear novos pacotes ao ocupar passes. Novo car"&amp;"tão semanal de EXP de combatente, obtenha EXP de combatente diariamente!
 - Melhorias em eventos: missões de treinamento adicionadas aos eventos ""Desafio Giganto"" e ""Desafio Símios Mutantes"".
 - Melhorias na exibição do avatar: a exibição do avatar de"&amp;" jogador foi melhorada no mapa, assim como as molduras de avatar de personagens nas classificações.
 - Melhoras na Incursão Ciclone: interface de evento melhorada, ajustes nos atributos e missões semanais foram adicionadas.
 - Melhorias nas missões diária"&amp;"s: ajustes em algumas missões e foram adicionadas missões de ""Briga Primata"".
 - Melhoria de atributos: ajustes na experiência de usuário ao enfrentar mutantes alfas, ajustes de atributos para tecnologia de gangue e tecnologia eletrônica.")</f>
        <v>- Novo evento: Guerra Interplanetária. Milhares competem em batalhas entre servidores. Novíssimos mapas e recompensas incríveis! Fique cara a cara com jogadores de outros servidores, derrote o inimigo e ganhe glória e recompensas para o seu exército!
 - Novo evento: Prepare-se para o lançamento. Guerra Planetária começara em breve: derrote mutantes para recuperar o foguete e aumente sua força. Fazer isso não dará ao seu servidor somente uma vantagem na Guerra Interplanetária, mas também proporcionará grandes recompensas individuais!
 - Novo combatente: João Bobo, o Gênio Dinamite. Um líder quebra-muros maluco que pode ser obtido no evento Guerra Interplanetária.
 - Melhorias de pacotes: agora é possível desbloquear novos pacotes ao ocupar passes. Novo cartão semanal de EXP de combatente, obtenha EXP de combatente diariamente!
 - Melhorias em eventos: missões de treinamento adicionadas aos eventos "Desafio Giganto" e "Desafio Símios Mutantes".
 - Melhorias na exibição do avatar: a exibição do avatar de jogador foi melhorada no mapa, assim como as molduras de avatar de personagens nas classificações.
 - Melhoras na Incursão Ciclone: interface de evento melhorada, ajustes nos atributos e missões semanais foram adicionadas.
 - Melhorias nas missões diárias: ajustes em algumas missões e foram adicionadas missões de "Briga Primata".
 - Melhoria de atributos: ajustes na experiência de usuário ao enfrentar mutantes alfas, ajustes de atributos para tecnologia de gangue e tecnologia eletrônica.</v>
      </c>
      <c r="G7" s="34" t="str">
        <f>IFERROR(__xludf.DUMMYFUNCTION("""COMPUTED_VALUE"""),"-新增活动：银河战争。千人竞技，跨服对战，全新地图，丰厚奖励！和不同服务器的玩家正面切磋，奋力杀敌，为自己的军团赢得荣耀和奖励吧！
-新增活动：发射准备。银河战争即将到来，击败变异猴夺回火箭，提升实力，不仅能为你的服务器在银河战争中获取地利先机，同时还能获得丰厚个人奖励哦！
-新增斗士：爆破戏法师乔伊，怪诞疯狂的攻城领袖，可以在银河战争中获得。
-礼包优化：新增占领关卡解锁全新礼包，助力战力提升；新增英雄经验周卡，斗士经验天天领！
-活动优化：挑战变异巨猿以及挑战变异猴活动新增训练任务。
-头像展示优化："&amp;"优化了玩家头像在地图上的显示，优化了在排行榜上玩家头像框的展示。
-狂飙拉力赛优化：优化了活动界面，调整了任务数值，新增了每周任务。
-每日任务优化：对部分任务进行调整，增加全能竞技场任务。
-数值优化：优化了对抗变异猴首领的体验；优化了帮派科技数值；优化了电子科技数值。")</f>
        <v>-新增活动：银河战争。千人竞技，跨服对战，全新地图，丰厚奖励！和不同服务器的玩家正面切磋，奋力杀敌，为自己的军团赢得荣耀和奖励吧！
-新增活动：发射准备。银河战争即将到来，击败变异猴夺回火箭，提升实力，不仅能为你的服务器在银河战争中获取地利先机，同时还能获得丰厚个人奖励哦！
-新增斗士：爆破戏法师乔伊，怪诞疯狂的攻城领袖，可以在银河战争中获得。
-礼包优化：新增占领关卡解锁全新礼包，助力战力提升；新增英雄经验周卡，斗士经验天天领！
-活动优化：挑战变异巨猿以及挑战变异猴活动新增训练任务。
-头像展示优化：优化了玩家头像在地图上的显示，优化了在排行榜上玩家头像框的展示。
-狂飙拉力赛优化：优化了活动界面，调整了任务数值，新增了每周任务。
-每日任务优化：对部分任务进行调整，增加全能竞技场任务。
-数值优化：优化了对抗变异猴首领的体验；优化了帮派科技数值；优化了电子科技数值。</v>
      </c>
      <c r="H7" s="34" t="str">
        <f>IFERROR(__xludf.DUMMYFUNCTION("""COMPUTED_VALUE"""),"- Acara baru: Perang Planet. Ribuan orang bersaing dalam pertempuran lintas-server. Peta baru dan hadiah luar biasa! Bertarung langsung dengan pemain dari server lain, kalahkan musuh, dan menangkan kejayaan dan hadiah untuk Pasukanmu!
 - Acara baru: Bersi"&amp;"ap untuk Meluncurkan. Perang Planet akan segera dimulai, kalahkan Mutan untuk mengambil kembali roket dan meningkatkan kekuatanmu. Acara ini tidak hanya akan memberi servermu keuntungan di Perang Planet, tetapi juga memberikan banyak hadiah individu yang "&amp;"luar biasa!
 - Pejuang Baru: Joey Jester, sang Jin Dinamit. Pemimpin Pembobol Tembok gila yang bisa kamu dapatkan di acara Perang Planet.
 - Pengoptimalan paket: sekarang kamu bisa membuka paket baru dengan menduduki Wilayah Kera; Kartu Mingguan EXP Pejua"&amp;"ng baru, dapatkan EXP Pejuang setiap hari!
 - Pengoptimalan acara: misi pelatihan ditambahkan ke acara Tantang Giganto dan Tantang Kera Mutan.
 - Pengoptimalan tampilan Avatar: mengoptimalkan tampilan avatar pemain di peta; mengoptimalkan tampilan bingkai"&amp;" avatar pemain pada daftar peringkat.
 - Pengoptimalan Reli Topan: mengoptimalkan antarmuka acara, menyesuaikan statistik misi, menambahkan misi mingguan.
 - Pengoptimalan misi harian: menyesuaikan misi tertentu, dan menambahkan misi Pertarungan Primata.
"&amp;" - Pengoptimalan stat: mengoptimalkan pengalaman pengguna saat melawan Raja Kera Mutan; mengoptimalkan statistik untuk Teknologi Geng dan Teknologi Elektronik.")</f>
        <v>- Acara baru: Perang Planet. Ribuan orang bersaing dalam pertempuran lintas-server. Peta baru dan hadiah luar biasa! Bertarung langsung dengan pemain dari server lain, kalahkan musuh, dan menangkan kejayaan dan hadiah untuk Pasukanmu!
 - Acara baru: Bersiap untuk Meluncurkan. Perang Planet akan segera dimulai, kalahkan Mutan untuk mengambil kembali roket dan meningkatkan kekuatanmu. Acara ini tidak hanya akan memberi servermu keuntungan di Perang Planet, tetapi juga memberikan banyak hadiah individu yang luar biasa!
 - Pejuang Baru: Joey Jester, sang Jin Dinamit. Pemimpin Pembobol Tembok gila yang bisa kamu dapatkan di acara Perang Planet.
 - Pengoptimalan paket: sekarang kamu bisa membuka paket baru dengan menduduki Wilayah Kera; Kartu Mingguan EXP Pejuang baru, dapatkan EXP Pejuang setiap hari!
 - Pengoptimalan acara: misi pelatihan ditambahkan ke acara Tantang Giganto dan Tantang Kera Mutan.
 - Pengoptimalan tampilan Avatar: mengoptimalkan tampilan avatar pemain di peta; mengoptimalkan tampilan bingkai avatar pemain pada daftar peringkat.
 - Pengoptimalan Reli Topan: mengoptimalkan antarmuka acara, menyesuaikan statistik misi, menambahkan misi mingguan.
 - Pengoptimalan misi harian: menyesuaikan misi tertentu, dan menambahkan misi Pertarungan Primata.
 - Pengoptimalan stat: mengoptimalkan pengalaman pengguna saat melawan Raja Kera Mutan; mengoptimalkan statistik untuk Teknologi Geng dan Teknologi Elektronik.</v>
      </c>
      <c r="I7" s="34" t="str">
        <f>IFERROR(__xludf.DUMMYFUNCTION("""COMPUTED_VALUE"""),"- กิจกรรมใหม่: สงครามดาวเคราะห์ กิจกรรมที่ผู้เล่นนับพันจะมาแข่งขันในการต่อสู้ข้ามเซิร์ฟเวอร์ บนแผนที่ใหม่ล่าสุด และรางวัลสุดอะเมซิ่ง! ออกไปประลองกับผู้เล่นจากเซิร์ฟเวอร์อื่น เอาชนะศัตรู และรับรางวัลเกียรติยศรวมถึงสารพันรางวัลสำหรับกองทัพของคุณ!
 - กิจกรรม"&amp;"ใหม่: เตรียมตัวบุก สงครามดาวเคราะห์กำลังจะเริ่มในไม่ช้า ปราบเหล่ามิวแตนต์เพื่อแย่งชิงจรวดกลับมาแล้วเพิ่มความแข็งแกร่งของคุณ ซึ่งไม่เพียงแต่จะทำให้เซิร์ฟเวอร์ของคุณได้เปรียบในสงครามดาวเคราะห์ แต่ยังมอบรางวัลมากมายให้กับคุณอีกด้วย!
 - นักสู้คนใหม่: โจอี้ เจ"&amp;"สเตอร์ ฉายาปีศาจไดนาไมต์ ผู้นำของเหล่าวอลล์เบรกเกอร์ที่บ้าคลั่งที่คุณสามารถรับได้จากกิจกรรมสงครามดาวเคราะห์
 - การปรับปรุงแพ็ก: ในตอนนี้ คุณสามารถปลดล็อกแพ็กใหม่ได้ด้วยการครอบครองมังกี้พาสแห่งใหม่ นั่นคือบัตรค่าประสบการณ์นักสู้รายสัปดาห์ ที่นักสู้ของคุณสา"&amp;"มารถได้ค่าประสบการณ์ทุกวัน!
 - การปรับปรุงกิจกรรม: เพิ่มเควสต์การฝึกอบรมในกิจกรรมท้าทายกิกันโต และการท้าทายเหล่าลิงมิวแตนต์
 - การปรับปรุงการแสดงรูปอวตาร์: ปรับการแสดงอวตาร์ของผู้เล่นบนแผนที่ให้ดีขึ้น ปรับการแสดงกรอบรูปอวาตาร์ของผู้เล่นในรายการอันดับให้ดี"&amp;"ยิ่งขึ้น
 - การปรับปรุงไซโคลนแรลลี่: ปรับอินเทอร์เฟซของกิจกรรมให้ดีขึ้น, ปรับสถิติของภารกิจ, เพิ่มเควสต์รายสัปดาห์
 - การปรับปรุงเควสต์รายวัน: ปรับเควสต์บางเควสต์ และเพิ่มเควสต์การวิวาทของเหล่าวานร
 - การปรับปรุงค่าพลัง: ปรับประสบการณ์ผู้ใช้เมื่อต่อสู้กับ"&amp;"มิวแตนต์อัลฟ่า ปรับค่าพลังของเทคโนโลยีแก๊งและเทคโนโลยีอิเล็กทรอนิกส์ให้ดียิ่งขึ้น")</f>
        <v>- กิจกรรมใหม่: สงครามดาวเคราะห์ กิจกรรมที่ผู้เล่นนับพันจะมาแข่งขันในการต่อสู้ข้ามเซิร์ฟเวอร์ บนแผนที่ใหม่ล่าสุด และรางวัลสุดอะเมซิ่ง! ออกไปประลองกับผู้เล่นจากเซิร์ฟเวอร์อื่น เอาชนะศัตรู และรับรางวัลเกียรติยศรวมถึงสารพันรางวัลสำหรับกองทัพของคุณ!
 - กิจกรรมใหม่: เตรียมตัวบุก สงครามดาวเคราะห์กำลังจะเริ่มในไม่ช้า ปราบเหล่ามิวแตนต์เพื่อแย่งชิงจรวดกลับมาแล้วเพิ่มความแข็งแกร่งของคุณ ซึ่งไม่เพียงแต่จะทำให้เซิร์ฟเวอร์ของคุณได้เปรียบในสงครามดาวเคราะห์ แต่ยังมอบรางวัลมากมายให้กับคุณอีกด้วย!
 - นักสู้คนใหม่: โจอี้ เจสเตอร์ ฉายาปีศาจไดนาไมต์ ผู้นำของเหล่าวอลล์เบรกเกอร์ที่บ้าคลั่งที่คุณสามารถรับได้จากกิจกรรมสงครามดาวเคราะห์
 - การปรับปรุงแพ็ก: ในตอนนี้ คุณสามารถปลดล็อกแพ็กใหม่ได้ด้วยการครอบครองมังกี้พาสแห่งใหม่ นั่นคือบัตรค่าประสบการณ์นักสู้รายสัปดาห์ ที่นักสู้ของคุณสามารถได้ค่าประสบการณ์ทุกวัน!
 - การปรับปรุงกิจกรรม: เพิ่มเควสต์การฝึกอบรมในกิจกรรมท้าทายกิกันโต และการท้าทายเหล่าลิงมิวแตนต์
 - การปรับปรุงการแสดงรูปอวตาร์: ปรับการแสดงอวตาร์ของผู้เล่นบนแผนที่ให้ดีขึ้น ปรับการแสดงกรอบรูปอวาตาร์ของผู้เล่นในรายการอันดับให้ดียิ่งขึ้น
 - การปรับปรุงไซโคลนแรลลี่: ปรับอินเทอร์เฟซของกิจกรรมให้ดีขึ้น, ปรับสถิติของภารกิจ, เพิ่มเควสต์รายสัปดาห์
 - การปรับปรุงเควสต์รายวัน: ปรับเควสต์บางเควสต์ และเพิ่มเควสต์การวิวาทของเหล่าวานร
 - การปรับปรุงค่าพลัง: ปรับประสบการณ์ผู้ใช้เมื่อต่อสู้กับมิวแตนต์อัลฟ่า ปรับค่าพลังของเทคโนโลยีแก๊งและเทคโนโลยีอิเล็กทรอนิกส์ให้ดียิ่งขึ้น</v>
      </c>
      <c r="J7" s="34" t="str">
        <f>IFERROR(__xludf.DUMMYFUNCTION("""COMPUTED_VALUE"""),"- Nuevo evento: Guerras Planetarias. Miles compiten en las batallas entre servidores. ¡Un mapa completamente nuevo e increíbles recompensas! Enfréntate frente a frente con jugadores de otros servidores, derrota al enemigo y, ¡gana gloria y recompensas par"&amp;"a tu Ejército!
 - Nuevo evento: Prepárate para el Lanzamiento. Las Guerras Planetarias comenzarán pronto, derrota a los Mutantes para recuperar el cohete y aumentar tu fuerza. Esto no solamente dará a tu servidor una ventaja en las Guerras Planetarias, si"&amp;"no, además, ¡te proporcionará miles de increíbles recompensas individuales!
 - Nuevo Luchador: Joey el Bromista, el Genio de la Dinamita. Un desquiciado líder Rompe Paredes que puedes obtener en el evento de las Guerras Planetarias.
 - Optimizaciones de P"&amp;"aquetes: ahora puedes desbloquear nuevos paquetes ocupando los Pasos de Mono; ¡nueva tarjeta semanal de EXP de Luchador, obtén EXP de luchador diaria!
 - Optimizaciones de evento: misiones de entrenamiento han sido agregadas al Reto Gigantopithecus y a lo"&amp;"s eventos de Reto a los Monos Mutantes. 
 - Optimizaciones de visualización del Avatar: se optimizaron las visualizaciones de los avatares del jugador en el mapa; se optimizó la visualización de los marcos de avatar en las listas de clasificación. 
 - Opt"&amp;"imizaciones del Rally del Ciclón: Se optimizó la interface del evento, se ajustaron las estadísticas de misiones, se agregaron misiones semanales. 
 - Optimizaciones a las Misiones Diarias: Se ajustaron ciertas misiones y se agregaron las misiones de Luch"&amp;"a Primate.
 - Optimizaciones de Estadísticas: Se optimizó la experiencia del usuario al luchar con los Mutantes Alfas; se optimizaron las estadísticas para la Tecnología de la Banda y la Tecnología Electrónica.")</f>
        <v>- Nuevo evento: Guerras Planetarias. Miles compiten en las batallas entre servidores. ¡Un mapa completamente nuevo e increíbles recompensas! Enfréntate frente a frente con jugadores de otros servidores, derrota al enemigo y, ¡gana gloria y recompensas para tu Ejército!
 - Nuevo evento: Prepárate para el Lanzamiento. Las Guerras Planetarias comenzarán pronto, derrota a los Mutantes para recuperar el cohete y aumentar tu fuerza. Esto no solamente dará a tu servidor una ventaja en las Guerras Planetarias, sino, además, ¡te proporcionará miles de increíbles recompensas individuales!
 - Nuevo Luchador: Joey el Bromista, el Genio de la Dinamita. Un desquiciado líder Rompe Paredes que puedes obtener en el evento de las Guerras Planetarias.
 - Optimizaciones de Paquetes: ahora puedes desbloquear nuevos paquetes ocupando los Pasos de Mono; ¡nueva tarjeta semanal de EXP de Luchador, obtén EXP de luchador diaria!
 - Optimizaciones de evento: misiones de entrenamiento han sido agregadas al Reto Gigantopithecus y a los eventos de Reto a los Monos Mutantes. 
 - Optimizaciones de visualización del Avatar: se optimizaron las visualizaciones de los avatares del jugador en el mapa; se optimizó la visualización de los marcos de avatar en las listas de clasificación. 
 - Optimizaciones del Rally del Ciclón: Se optimizó la interface del evento, se ajustaron las estadísticas de misiones, se agregaron misiones semanales. 
 - Optimizaciones a las Misiones Diarias: Se ajustaron ciertas misiones y se agregaron las misiones de Lucha Primate.
 - Optimizaciones de Estadísticas: Se optimizó la experiencia del usuario al luchar con los Mutantes Alfas; se optimizaron las estadísticas para la Tecnología de la Banda y la Tecnología Electrónica.</v>
      </c>
      <c r="K7" s="34" t="str">
        <f>IFERROR(__xludf.DUMMYFUNCTION("""COMPUTED_VALUE"""),"- Новое событие: Планетарные войны. Тысячи соперников соревнуются в межсерверных битвах. Совершенно новая карта и потрясающие награды! Сразитесь с игроками с других серверов, победите врага, завоюйте славу и награды для своей армии! 
 - Новое событие: Под"&amp;"готовка к запуску. Скоро начнутся Планетарные войны — победите мутантов, чтобы вернуть ракету и увеличить свою мощь. Это не только даст вашему серверу преимущество в Планетарных войнах, но и вам самим принесет множество отличных индивидуальных наград! 
 -"&amp;" Новый герой: Шут Джоуи, Взрывной гений. Безумный предводитель стеноломов, которого можно получить в Планетарных войнах.
 - Оптимизация наборов: теперь вы можете открыть новые наборы, заняв обезьяньи проходы, а новая недельная карта опыта героя позволяет "&amp;"получать опыт героя каждый день!
 - Оптимизация событий: в события «Вызов Гиганто» и «Вызов обезьянам-мутантам» добавлены задания по обучению.
 - Оптимизация отображения аватаров: оптимизировано отображение аватаров игроков на карте; оптимизировано отобра"&amp;"жение рамок аватаров игроков в списках рейтингов. 
 - Оптимизация Ураганных гонок: оптимизирован интерфейс события, скорректированы параметры заданий, добавлены еженедельные задания.
 - Оптимизация ежедневных заданий: скорректированы некоторые задания, до"&amp;"бавлены задания Потасовки приматов.
 - Оптимизация параметров: оптимизированы параметры при сражении с альфа-мутантами; оптимизированы параметры для технологий банды и электронной технологии.")</f>
        <v>- Новое событие: Планетарные войны. Тысячи соперников соревнуются в межсерверных битвах. Совершенно новая карта и потрясающие награды! Сразитесь с игроками с других серверов, победите врага, завоюйте славу и награды для своей армии! 
 - Новое событие: Подготовка к запуску. Скоро начнутся Планетарные войны — победите мутантов, чтобы вернуть ракету и увеличить свою мощь. Это не только даст вашему серверу преимущество в Планетарных войнах, но и вам самим принесет множество отличных индивидуальных наград! 
 - Новый герой: Шут Джоуи, Взрывной гений. Безумный предводитель стеноломов, которого можно получить в Планетарных войнах.
 - Оптимизация наборов: теперь вы можете открыть новые наборы, заняв обезьяньи проходы, а новая недельная карта опыта героя позволяет получать опыт героя каждый день!
 - Оптимизация событий: в события «Вызов Гиганто» и «Вызов обезьянам-мутантам» добавлены задания по обучению.
 - Оптимизация отображения аватаров: оптимизировано отображение аватаров игроков на карте; оптимизировано отображение рамок аватаров игроков в списках рейтингов. 
 - Оптимизация Ураганных гонок: оптимизирован интерфейс события, скорректированы параметры заданий, добавлены еженедельные задания.
 - Оптимизация ежедневных заданий: скорректированы некоторые задания, добавлены задания Потасовки приматов.
 - Оптимизация параметров: оптимизированы параметры при сражении с альфа-мутантами; оптимизированы параметры для технологий банды и электронной технологии.</v>
      </c>
      <c r="L7" s="34" t="str">
        <f>IFERROR(__xludf.DUMMYFUNCTION("""COMPUTED_VALUE"""),"- Yeni etkinlik: Gezegen Savaşları. Binlerce kişi sunucular arası savaşlarda mücadele ediyor. Yepyeni bir harita ve muhteşem ödüller! Diğer sunuculardaki oyuncularla kafa kafaya çarpış, düşmanı yen, Orduna görkem ve ödüller getir!
 - Yeni etkinlik: Fırlat"&amp;"maya Hazır Ol. Gezegen Savaşları yakında başlıyor, roketi geri almak ve gücünü artırmak için Mutantları yen. Bu sadece sunucuna Gezegen Savaşlarında avantaj sağlamakla kalmayacak, aynı zamanda sana özel tonlarca harika ödül getirecek!
 - Yeni Savaşçı: Joe"&amp;"y Jester, Dinamit Cini. Gezegen Savaşlarında elde edebileceği deli bir Duvar Kırıcı lideri.
 - Paket optimizasyonları: artık Maymun Geçitlerini işgal ederek yeni paketlerin kilidini açabilirsin; yeni Savaşçı DEN Haftalık Kart, her gün Savaşçı DEN kazan!
 "&amp;"- Etkinlik optimizasyonları: Giganto Meydan Okuması ve Mutant Maymunlar Meydan Okuması etkinliklerine eğitim maceraları eklendi.
 - Avatar görüntüleme optimizasyonları: oyuncuların haritadaki görüntüsü optimize edildi; sıralama listelerindeki oyuncu avata"&amp;"r çerçevelerinin görüntüsü optimize edildi.
 - Tufan Toplu Saldırısı optimizasyonları: etkinlik arayüzü optimize edildi, macera istatistikleri düzenlendi, haftalık maceralar eklendi.
 - Günlük macera optimizasyonları: belirli maceralar düzenlendi ve Prima"&amp;"t Kavgası maceraları eklendi.
 - Özellik optimizasyonları: Mutant Alfalarla savaşırken oyuncu deneyimi optimize edildi; Çete Teknolojisi ve Elektronik Teknoloji özellikleri optimize edildi.")</f>
        <v>- Yeni etkinlik: Gezegen Savaşları. Binlerce kişi sunucular arası savaşlarda mücadele ediyor. Yepyeni bir harita ve muhteşem ödüller! Diğer sunuculardaki oyuncularla kafa kafaya çarpış, düşmanı yen, Orduna görkem ve ödüller getir!
 - Yeni etkinlik: Fırlatmaya Hazır Ol. Gezegen Savaşları yakında başlıyor, roketi geri almak ve gücünü artırmak için Mutantları yen. Bu sadece sunucuna Gezegen Savaşlarında avantaj sağlamakla kalmayacak, aynı zamanda sana özel tonlarca harika ödül getirecek!
 - Yeni Savaşçı: Joey Jester, Dinamit Cini. Gezegen Savaşlarında elde edebileceği deli bir Duvar Kırıcı lideri.
 - Paket optimizasyonları: artık Maymun Geçitlerini işgal ederek yeni paketlerin kilidini açabilirsin; yeni Savaşçı DEN Haftalık Kart, her gün Savaşçı DEN kazan!
 - Etkinlik optimizasyonları: Giganto Meydan Okuması ve Mutant Maymunlar Meydan Okuması etkinliklerine eğitim maceraları eklendi.
 - Avatar görüntüleme optimizasyonları: oyuncuların haritadaki görüntüsü optimize edildi; sıralama listelerindeki oyuncu avatar çerçevelerinin görüntüsü optimize edildi.
 - Tufan Toplu Saldırısı optimizasyonları: etkinlik arayüzü optimize edildi, macera istatistikleri düzenlendi, haftalık maceralar eklendi.
 - Günlük macera optimizasyonları: belirli maceralar düzenlendi ve Primat Kavgası maceraları eklendi.
 - Özellik optimizasyonları: Mutant Alfalarla savaşırken oyuncu deneyimi optimize edildi; Çete Teknolojisi ve Elektronik Teknoloji özellikleri optimize edildi.</v>
      </c>
      <c r="M7" s="34" t="str">
        <f>IFERROR(__xludf.DUMMYFUNCTION("""COMPUTED_VALUE"""),"- Sự kiện mới: Chiến Tranh Hành Tinh. Hàng ngàn người cạnh tranh trong các trận chiến trên nhiều máy chủ. Bản đồ hoàn toàn mới và những phần thưởng tuyệt vời! Đối đầu với những người chơi từ các máy chủ khác, đánh bại kẻ thù, giành vinh quang và phần thưở"&amp;"ng cho Quân Đội của bạn!
 - Sự kiện mới: Chuẩn Bị Phóng. Chiến Tranh Hành Tinh sắp bắt đầu, hãy đánh bại Khỉ Đột Biến để lấy lại hỏa tiễn và tăng sức mạnh của bạn. Việc này sẽ không chỉ mang lại lợi thế cho máy chủ của bạn trong Chiến Tranh Hành Tinh mà c"&amp;"òn mang đến cho bạn rất nhiều phần thưởng cá nhân tuyệt vời!
 - Chiến Binh mới: Joey Jester, Thần Thuốc Nổ. Một thủ lĩnh Lính Phá Thành điên cuồng mà bạn có thể nhận được trong sự kiện Chiến Tranh Hành Tinh.
 - Tối ưu hóa gói: bây giờ bạn có thể mở khóa c"&amp;"ác gói mới bằng cách chiếm đóng Cửa Ải Khỉ; Thẻ EXP Chiến Binh mới hàng tuần, nhận EXP Chiến Binh hàng ngày!
 - Tối ưu hóa sự kiện: các nhiệm vụ huấn luyện được thêm vào các sự kiện Thách Thức Vượn Khổng Lồ và Thách Thức Khỉ Đột Biến.
 - Tối ưu hóa hiển t"&amp;"hị ảnh đại diện: tối ưu hóa hiển thị ảnh đại diện của người chơi trên bản đồ; tối ưu hóa hiển thị khung ảnh đại diện của người chơi trên danh sách xếp hạng.
 - Tối ưu hóa Tập Hợp Lốc Xoáy: tối ưu hóa giao diện sự kiện, điều chỉnh chỉ số nhiệm vụ, thêm nhi"&amp;"ệm vụ hàng tuần.
 - Tối ưu hóa nhiệm vụ hàng ngày: điều chỉnh một số nhiệm vụ nhất định và thêm nhiệm vụ Linh Trưởng Brawl.
 - Tối ưu hóa thống kê: tối ưu hóa trải nghiệm người dùng khi chiến đấu với Khỉ Đầu Đàn; tối ưu hóa số liệu thống kê cho Công Nghệ "&amp;"Bang Hội và Công Nghệ Điện Tử.")</f>
        <v>- Sự kiện mới: Chiến Tranh Hành Tinh. Hàng ngàn người cạnh tranh trong các trận chiến trên nhiều máy chủ. Bản đồ hoàn toàn mới và những phần thưởng tuyệt vời! Đối đầu với những người chơi từ các máy chủ khác, đánh bại kẻ thù, giành vinh quang và phần thưởng cho Quân Đội của bạn!
 - Sự kiện mới: Chuẩn Bị Phóng. Chiến Tranh Hành Tinh sắp bắt đầu, hãy đánh bại Khỉ Đột Biến để lấy lại hỏa tiễn và tăng sức mạnh của bạn. Việc này sẽ không chỉ mang lại lợi thế cho máy chủ của bạn trong Chiến Tranh Hành Tinh mà còn mang đến cho bạn rất nhiều phần thưởng cá nhân tuyệt vời!
 - Chiến Binh mới: Joey Jester, Thần Thuốc Nổ. Một thủ lĩnh Lính Phá Thành điên cuồng mà bạn có thể nhận được trong sự kiện Chiến Tranh Hành Tinh.
 - Tối ưu hóa gói: bây giờ bạn có thể mở khóa các gói mới bằng cách chiếm đóng Cửa Ải Khỉ; Thẻ EXP Chiến Binh mới hàng tuần, nhận EXP Chiến Binh hàng ngày!
 - Tối ưu hóa sự kiện: các nhiệm vụ huấn luyện được thêm vào các sự kiện Thách Thức Vượn Khổng Lồ và Thách Thức Khỉ Đột Biến.
 - Tối ưu hóa hiển thị ảnh đại diện: tối ưu hóa hiển thị ảnh đại diện của người chơi trên bản đồ; tối ưu hóa hiển thị khung ảnh đại diện của người chơi trên danh sách xếp hạng.
 - Tối ưu hóa Tập Hợp Lốc Xoáy: tối ưu hóa giao diện sự kiện, điều chỉnh chỉ số nhiệm vụ, thêm nhiệm vụ hàng tuần.
 - Tối ưu hóa nhiệm vụ hàng ngày: điều chỉnh một số nhiệm vụ nhất định và thêm nhiệm vụ Linh Trưởng Brawl.
 - Tối ưu hóa thống kê: tối ưu hóa trải nghiệm người dùng khi chiến đấu với Khỉ Đầu Đàn; tối ưu hóa số liệu thống kê cho Công Nghệ Bang Hội và Công Nghệ Điện Tử.</v>
      </c>
      <c r="N7" s="34"/>
      <c r="O7" s="148"/>
      <c r="P7" s="148"/>
      <c r="Q7" s="148"/>
      <c r="R7" s="148"/>
      <c r="S7" s="148"/>
      <c r="T7" s="148"/>
      <c r="U7" s="148"/>
      <c r="V7" s="148"/>
      <c r="W7" s="148"/>
      <c r="X7" s="148"/>
      <c r="Y7" s="148"/>
      <c r="Z7" s="148"/>
    </row>
    <row r="8">
      <c r="A8" s="149" t="str">
        <f>IFERROR(__xludf.DUMMYFUNCTION("""COMPUTED_VALUE"""),"0.28.0")</f>
        <v>0.28.0</v>
      </c>
      <c r="B8" s="13" t="str">
        <f>IFERROR(__xludf.DUMMYFUNCTION("""COMPUTED_VALUE"""),"-新手指引流程更新：全新开场动画和新手流程，重新讲述你和你的战士们加入氏族的史诗故事！
-新增功能：自动加入集结功能，现在你可以激活功能，自动参与盟友的集结队伍了。
-新增斗士：地狱魔厨雷米，痴迷烹饪的采集大师！荒野镖客盖文，除暴安良的火枪女侠！以上斗士皆可通过擂台抽奖获得。
-新增活动：霍格博士的复仇，你即将迎来霍格博士与战争机器的挑战，联合氏族伙伴，战胜他们即可获得丰厚奖励！
-军功系统优化：新增军功排行榜，优化了军功任务。
-成长基金优化：成长基金全新升级！发展主城即可领取丰厚奖励！
-礼包优化：奥"&amp;"斯卡礼包全新升级，购买即享三日丰厚奖励，助力奥斯卡成长升星！
-每日特惠优化：新增奖励斗士自选系统，你可以在每日特惠中选择你想要获得的斗士了！
-界面表现优化：优化了帮派邀请、帮派领土、帮派集结、军功系统、大地图战斗的界面体验。")</f>
        <v>-新手指引流程更新：全新开场动画和新手流程，重新讲述你和你的战士们加入氏族的史诗故事！
-新增功能：自动加入集结功能，现在你可以激活功能，自动参与盟友的集结队伍了。
-新增斗士：地狱魔厨雷米，痴迷烹饪的采集大师！荒野镖客盖文，除暴安良的火枪女侠！以上斗士皆可通过擂台抽奖获得。
-新增活动：霍格博士的复仇，你即将迎来霍格博士与战争机器的挑战，联合氏族伙伴，战胜他们即可获得丰厚奖励！
-军功系统优化：新增军功排行榜，优化了军功任务。
-成长基金优化：成长基金全新升级！发展主城即可领取丰厚奖励！
-礼包优化：奥斯卡礼包全新升级，购买即享三日丰厚奖励，助力奥斯卡成长升星！
-每日特惠优化：新增奖励斗士自选系统，你可以在每日特惠中选择你想要获得的斗士了！
-界面表现优化：优化了帮派邀请、帮派领土、帮派集结、军功系统、大地图战斗的界面体验。</v>
      </c>
      <c r="C8" s="13" t="str">
        <f>IFERROR(__xludf.DUMMYFUNCTION("""COMPUTED_VALUE"""),"- Beginner tutorial updated: brand new opening animation and tutorial guide. Reimagines the epic story of you and your Fighters joining the Clan!
- New feature: Auto Join rallies. Activate the feature to automatically join Gang members' rallies.
- New Fig"&amp;"hters: Remy, the Chef from Hell - a master gatherer obsessed with cooking. Genesis, The Good, the Bad, and the Beautiful - a quick-shooting heroine fighting for peace. Get them in the Arena!
- New event: Dr. Hogg's Revenge. Prepare to be challenged by Dr."&amp;" Hogg and the war machines. Defeat them by working with your Clan members and win amazing rewards!
- Clan Honors optimized: added Honor Rankings, optimized Honor Quests.
- Development Funds optimized: Development Fund upgraded! Develop your city to get gr"&amp;"eat rewards!
- Pack optimized: Legendary Oscar pack upgraded! Purchase to get three days of amazing rewards and help Oscar star up!
- Daily Limited Pack optimized: Fighter selection added. Now you can choose the Fighter you want from the Daily Limited Pac"&amp;"k!
- Interface displays optimized: optimized the interface displays for Gang Invitation, Gang Territory, Gang Rallies, Clan Honors, and battles on the map.")</f>
        <v>- Beginner tutorial updated: brand new opening animation and tutorial guide. Reimagines the epic story of you and your Fighters joining the Clan!
- New feature: Auto Join rallies. Activate the feature to automatically join Gang members' rallies.
- New Fighters: Remy, the Chef from Hell - a master gatherer obsessed with cooking. Genesis, The Good, the Bad, and the Beautiful - a quick-shooting heroine fighting for peace. Get them in the Arena!
- New event: Dr. Hogg's Revenge. Prepare to be challenged by Dr. Hogg and the war machines. Defeat them by working with your Clan members and win amazing rewards!
- Clan Honors optimized: added Honor Rankings, optimized Honor Quests.
- Development Funds optimized: Development Fund upgraded! Develop your city to get great rewards!
- Pack optimized: Legendary Oscar pack upgraded! Purchase to get three days of amazing rewards and help Oscar star up!
- Daily Limited Pack optimized: Fighter selection added. Now you can choose the Fighter you want from the Daily Limited Pack!
- Interface displays optimized: optimized the interface displays for Gang Invitation, Gang Territory, Gang Rallies, Clan Honors, and battles on the map.</v>
      </c>
      <c r="D8" s="13" t="str">
        <f>IFERROR(__xludf.DUMMYFUNCTION("""COMPUTED_VALUE"""),"- Nouveau tutoriel pour les débutants avec de nouvelles animations et un nouveau guide. Il retrace l'histoire de votre arrivée et celle de vos combattants dans le clan! 
- Nouvelle fonctionnalité: Participation automatique aux raids. Activez-la pour rejoi"&amp;"ndre automatiquement les raids alliés.
- De nouveaux combattants: Rémy, le cauchemar en cuisine, un maître de la collecte passionné de gastronomie. Génésis, La bonne, la brute et la belle, une justicière as de la gâchette. Obtenez-les dans l'arène!
- Nouv"&amp;"el évènement: la Revanche du Dr. Hogg. Eliminez les terribles machines de guerre du docteur avec l'aide des membres de votre clan pour gagner d'incroyables récompenses!
- Optimisation des honneurs de clan: nouveaux classements d'honneur et amélioration de"&amp;"s quêtes d'honneur.
- Optimisation des fonds de développement: amélioration des fonds de développement, améliorez votre ville pour obtenir des récompenses!
- Optimisation du pack légendaire d'Oscar: 3 jours de récompenses incroyables pour faire le plein d"&amp;"’étoiles pour Oscar!
- Optimisation des packs quotidiens limités: vous pouvez désormais choisir le combattant désiré dans les packs quotidiens limités!
- Optimisation de l'interface: amélioration de l'affichage des invitations, territoires et raids de gan"&amp;"g, des honneurs de clan et des combats sur la carte.")</f>
        <v>- Nouveau tutoriel pour les débutants avec de nouvelles animations et un nouveau guide. Il retrace l'histoire de votre arrivée et celle de vos combattants dans le clan! 
- Nouvelle fonctionnalité: Participation automatique aux raids. Activez-la pour rejoindre automatiquement les raids alliés.
- De nouveaux combattants: Rémy, le cauchemar en cuisine, un maître de la collecte passionné de gastronomie. Génésis, La bonne, la brute et la belle, une justicière as de la gâchette. Obtenez-les dans l'arène!
- Nouvel évènement: la Revanche du Dr. Hogg. Eliminez les terribles machines de guerre du docteur avec l'aide des membres de votre clan pour gagner d'incroyables récompenses!
- Optimisation des honneurs de clan: nouveaux classements d'honneur et amélioration des quêtes d'honneur.
- Optimisation des fonds de développement: amélioration des fonds de développement, améliorez votre ville pour obtenir des récompenses!
- Optimisation du pack légendaire d'Oscar: 3 jours de récompenses incroyables pour faire le plein d’étoiles pour Oscar!
- Optimisation des packs quotidiens limités: vous pouvez désormais choisir le combattant désiré dans les packs quotidiens limités!
- Optimisation de l'interface: amélioration de l'affichage des invitations, territoires et raids de gang, des honneurs de clan et des combats sur la carte.</v>
      </c>
      <c r="E8" s="13" t="str">
        <f>IFERROR(__xludf.DUMMYFUNCTION("""COMPUTED_VALUE"""),"- Einsteiger-Tutorial aktualisiert: Neue Eröffnungsanimation und Einsteiger-Guide. Erzählt die epische Geschichte von dir und deinen Kämpfern beim Eintritt in die Horden neu!
 - Neues Feature: Automatisches Beitreten bei Sammelangriffen. Aktiviere das Fea"&amp;"ture, um automatisch den Sammelangriffen deiner Clan-Mitglieder beizutreten.
 - Neue Kämpfer: Remy, der Koch aus der Hölle - ein Meistersammler, der vom Kochen besessen ist. Genesis, Die Gute, die Schlechte und die Schöne - eine schnell schießende Heldin,"&amp;" die für den Frieden kämpft. Erhalte sie in der Arena!
 - Neues Event: Dr. Hoggs Rache. Bereite dich darauf vor, von Dr. Hogg und den Kriegsmaschinen herausgefordert zu werden. Besiege sie, indem du mit deinen Horden-Mitgliedern zusammenarbeitest und gewi"&amp;"nne tolle Belohnungen!
 - Horden-Ehre optimiert: Ehrenranglisten hinzugefügt, Ehrenquests optimiert.
 - Entwicklungsfonds optimiert: Entwicklungsfonds aufgewertet! Entwickle deine Stadt, um tolle Belohnungen zu erhalten!
 - Pakete optimiert: Legendäres Os"&amp;"car-Paket aufgewertet! Kaufe es, um drei Tage lang tolle Belohnungen zu erhalten und hilf Oscar beim Aufstieg!
 - Tägliches limitiertes Paket optimiert: Kämpfer-Auswahl hinzugefügt. Jetzt kannst du den gewünschten Kämpfer aus dem Paket auswählen!
 - Optim"&amp;"ierung der folgenden Interfaces: Clan-Einladung, Clan-Territorium, Clan-Sammelangriffe, Horden-Ehren und Kämpfe auf der Karte.")</f>
        <v>- Einsteiger-Tutorial aktualisiert: Neue Eröffnungsanimation und Einsteiger-Guide. Erzählt die epische Geschichte von dir und deinen Kämpfern beim Eintritt in die Horden neu!
 - Neues Feature: Automatisches Beitreten bei Sammelangriffen. Aktiviere das Feature, um automatisch den Sammelangriffen deiner Clan-Mitglieder beizutreten.
 - Neue Kämpfer: Remy, der Koch aus der Hölle - ein Meistersammler, der vom Kochen besessen ist. Genesis, Die Gute, die Schlechte und die Schöne - eine schnell schießende Heldin, die für den Frieden kämpft. Erhalte sie in der Arena!
 - Neues Event: Dr. Hoggs Rache. Bereite dich darauf vor, von Dr. Hogg und den Kriegsmaschinen herausgefordert zu werden. Besiege sie, indem du mit deinen Horden-Mitgliedern zusammenarbeitest und gewinne tolle Belohnungen!
 - Horden-Ehre optimiert: Ehrenranglisten hinzugefügt, Ehrenquests optimiert.
 - Entwicklungsfonds optimiert: Entwicklungsfonds aufgewertet! Entwickle deine Stadt, um tolle Belohnungen zu erhalten!
 - Pakete optimiert: Legendäres Oscar-Paket aufgewertet! Kaufe es, um drei Tage lang tolle Belohnungen zu erhalten und hilf Oscar beim Aufstieg!
 - Tägliches limitiertes Paket optimiert: Kämpfer-Auswahl hinzugefügt. Jetzt kannst du den gewünschten Kämpfer aus dem Paket auswählen!
 - Optimierung der folgenden Interfaces: Clan-Einladung, Clan-Territorium, Clan-Sammelangriffe, Horden-Ehren und Kämpfe auf der Karte.</v>
      </c>
      <c r="F8" s="13" t="str">
        <f>IFERROR(__xludf.DUMMYFUNCTION("""COMPUTED_VALUE"""),"- Tutorial para iniciantes atualizado: nova animação de abertura e guia-tutorial. Uma reimaginação da história épica em que você e seus combatentes entram para o Clã!
 - Novo recurso: entrar automaticamente em incursões. Ative a função para entrar automat"&amp;"icamente nas incursões de membros da gangue.
 - Novos combatentes: Remy, o chefe do inferno - um coletor obcecado pela arte de cozinhar. Gênesis, a boa, a má e a bela - uma heroína rápida que luta pela paz Obtenha-os na Arena!
 - Novo evento: Vingança de "&amp;"Dr. Hogg. Prepare-se para ser desafiado pelo Dr. Hogg e as máquinas de guerra. Derrote-os junto do seu clã para ganhar recompensas incríveis!
 - Melhorias nas honras do clã: classificação de honra adicionada, missões de honra otimizadas.
 - Melhoria no fu"&amp;"ndo de desenvolvimento: atualização no fundo de desenvolvimento! Desenvolva sua cidade para obter grandes recompensas!
 - Pacote melhorado: melhoria no pacote Oscar Lendário! Compre para obter três dias de recompensas incríveis e ajudar Oscar a brilhar!
 "&amp;"- Melhoria no Pacote Diário Limitado: foi adicionada a seleção de combatente. Agora é possível escolher o combatente que você deseja no Pacote Limitado Diário!
 - Melhorias na exibição de interfaces: otimização na exibição de convites da gangue, territóri"&amp;"o da gangue, incursões da gangue, honras do clã e batalhas no mapa.")</f>
        <v>- Tutorial para iniciantes atualizado: nova animação de abertura e guia-tutorial. Uma reimaginação da história épica em que você e seus combatentes entram para o Clã!
 - Novo recurso: entrar automaticamente em incursões. Ative a função para entrar automaticamente nas incursões de membros da gangue.
 - Novos combatentes: Remy, o chefe do inferno - um coletor obcecado pela arte de cozinhar. Gênesis, a boa, a má e a bela - uma heroína rápida que luta pela paz Obtenha-os na Arena!
 - Novo evento: Vingança de Dr. Hogg. Prepare-se para ser desafiado pelo Dr. Hogg e as máquinas de guerra. Derrote-os junto do seu clã para ganhar recompensas incríveis!
 - Melhorias nas honras do clã: classificação de honra adicionada, missões de honra otimizadas.
 - Melhoria no fundo de desenvolvimento: atualização no fundo de desenvolvimento! Desenvolva sua cidade para obter grandes recompensas!
 - Pacote melhorado: melhoria no pacote Oscar Lendário! Compre para obter três dias de recompensas incríveis e ajudar Oscar a brilhar!
 - Melhoria no Pacote Diário Limitado: foi adicionada a seleção de combatente. Agora é possível escolher o combatente que você deseja no Pacote Limitado Diário!
 - Melhorias na exibição de interfaces: otimização na exibição de convites da gangue, território da gangue, incursões da gangue, honras do clã e batalhas no mapa.</v>
      </c>
      <c r="G8" s="13" t="str">
        <f>IFERROR(__xludf.DUMMYFUNCTION("""COMPUTED_VALUE"""),"-新手指引流程更新：全新开场动画和新手流程，重新讲述你和你的战士们加入氏族的史诗故事！
-新增功能：自动加入集结功能，现在你可以激活功能，自动参与盟友的集结队伍了。
-新增斗士：地狱魔厨雷米，痴迷烹饪的采集大师！荒野镖客盖文，除暴安良的火枪女侠！以上斗士皆可通过擂台抽奖获得。
-新增活动：霍格博士的复仇，你即将迎来霍格博士与战争机器的挑战，联合氏族伙伴，战胜他们即可获得丰厚奖励！
-军功系统优化：新增军功排行榜，优化了军功任务。
-成长基金优化：成长基金全新升级！发展主城即可领取丰厚奖励！
-礼包优化：奥"&amp;"斯卡礼包全新升级，购买即享三日丰厚奖励，助力奥斯卡成长升星！
-每日特惠优化：新增奖励斗士自选系统，你可以在每日特惠中选择你想要获得的斗士了！
-界面表现优化：优化了帮派邀请、帮派领土、帮派集结、军功系统、大地图战斗的界面体验。")</f>
        <v>-新手指引流程更新：全新开场动画和新手流程，重新讲述你和你的战士们加入氏族的史诗故事！
-新增功能：自动加入集结功能，现在你可以激活功能，自动参与盟友的集结队伍了。
-新增斗士：地狱魔厨雷米，痴迷烹饪的采集大师！荒野镖客盖文，除暴安良的火枪女侠！以上斗士皆可通过擂台抽奖获得。
-新增活动：霍格博士的复仇，你即将迎来霍格博士与战争机器的挑战，联合氏族伙伴，战胜他们即可获得丰厚奖励！
-军功系统优化：新增军功排行榜，优化了军功任务。
-成长基金优化：成长基金全新升级！发展主城即可领取丰厚奖励！
-礼包优化：奥斯卡礼包全新升级，购买即享三日丰厚奖励，助力奥斯卡成长升星！
-每日特惠优化：新增奖励斗士自选系统，你可以在每日特惠中选择你想要获得的斗士了！
-界面表现优化：优化了帮派邀请、帮派领土、帮派集结、军功系统、大地图战斗的界面体验。</v>
      </c>
      <c r="H8" s="13" t="str">
        <f>IFERROR(__xludf.DUMMYFUNCTION("""COMPUTED_VALUE"""),"- Tutorial pemula diperbarui: animasi pembuka baru dan panduan tutorial. Bayangkan kembali kisah epikmu dan Pejuang yang bergabung dengan Klan!
 - Fitur baru: Gabung Otomatis reli. Aktifkan fitur untuk secara otomatis bergabung dengan reli anggota Geng.
 "&amp;"- Pejuang Baru: Remy, Koki dari Neraka, master pengumpul yang terobsesi dengan memasak. Genesis, Kebaikan, Keburukan, dan Keindahan, pahlawan wanita penembak cepat yang berjuang untuk perdamaian. Dapatkan mereka di Arena!
 - Acara baru: Pembalasan Dr. Hog"&amp;"g. Bersiaplah untuk ditantang oleh Dr. Hogg dan mesin perang. Kalahkan mereka dengan bekerja sama bersama anggota Klanmu dan menangkan hadiah luar biasa!
 - Kehormatan Klan dioptimalkan: Peringkat Kehormatan ditambahkan, Misi Kehormatan dioptimalkan.
 - D"&amp;"ana Pengembangan dioptimalkan: Dana Pengembangan ditingkatkan! Kembangkan kotamu untuk mendapatkan hadiah besar!
 - Paket dioptimalkan: Paket Oscar Legendaris ditingkatkan! Beli untuk mendapatkan hadiah luar biasa selama tiga hari dan bantu meningkatkan b"&amp;"intang Oscar!
 - Paket Terbatas Harian dioptimalkan: Pilihan Pejuang ditambahkan. Sekarang kamu bisa memilih Pejuang yang diinginkan dari Paket Terbatas Harian!
 - Tampilan antarmuka dioptimalkan: tampilan antarmuka untuk Undangan Geng dioptimalkan, Wilay"&amp;"ah Geng, Reli Geng, Kehormatan Klan, dan pertempuran di peta.")</f>
        <v>- Tutorial pemula diperbarui: animasi pembuka baru dan panduan tutorial. Bayangkan kembali kisah epikmu dan Pejuang yang bergabung dengan Klan!
 - Fitur baru: Gabung Otomatis reli. Aktifkan fitur untuk secara otomatis bergabung dengan reli anggota Geng.
 - Pejuang Baru: Remy, Koki dari Neraka, master pengumpul yang terobsesi dengan memasak. Genesis, Kebaikan, Keburukan, dan Keindahan, pahlawan wanita penembak cepat yang berjuang untuk perdamaian. Dapatkan mereka di Arena!
 - Acara baru: Pembalasan Dr. Hogg. Bersiaplah untuk ditantang oleh Dr. Hogg dan mesin perang. Kalahkan mereka dengan bekerja sama bersama anggota Klanmu dan menangkan hadiah luar biasa!
 - Kehormatan Klan dioptimalkan: Peringkat Kehormatan ditambahkan, Misi Kehormatan dioptimalkan.
 - Dana Pengembangan dioptimalkan: Dana Pengembangan ditingkatkan! Kembangkan kotamu untuk mendapatkan hadiah besar!
 - Paket dioptimalkan: Paket Oscar Legendaris ditingkatkan! Beli untuk mendapatkan hadiah luar biasa selama tiga hari dan bantu meningkatkan bintang Oscar!
 - Paket Terbatas Harian dioptimalkan: Pilihan Pejuang ditambahkan. Sekarang kamu bisa memilih Pejuang yang diinginkan dari Paket Terbatas Harian!
 - Tampilan antarmuka dioptimalkan: tampilan antarmuka untuk Undangan Geng dioptimalkan, Wilayah Geng, Reli Geng, Kehormatan Klan, dan pertempuran di peta.</v>
      </c>
      <c r="I8" s="13" t="str">
        <f>IFERROR(__xludf.DUMMYFUNCTION("""COMPUTED_VALUE"""),"- อัปเดตบทแนะนำสำหรับผู้เริ่มต้น: แอนิเมชั่นเปิดเกมและคู่มือแนะนำแบบใหม่ จำลองเรื่องราวมหากาพย์การเข้าร่วมเผ่าของคุณและนักสู้ของคุณ!
 - คุณสมบัติใหม่: การเข้าร่วมการยกทัพอัตโนมัติ เปิดใช้งานคุณสมบัติเพื่อเข้าร่วมการยกทัพของสมาชิกแก๊งโดยอัตโนมัติ
 - นักสู้"&amp;"ตัวใหม่: ""เรมี่ เชฟจากนรก"" - นักเก็บรวบรวมทรัพยากรตัวยงที่หลงใหลในการทำอาหาร ""เจเนซิส ความดี ความเลว และความงดงาม"" - ฮีโร่หญิงปืนไวที่ต่อสู้เพื่อสันติภาพ เตรียมตัวไปรับพวกเขาจากที่สนามต่อสู้ได้เลย!
 - กิจกรรมใหม่: การแก้แค้นของ ดร.ฮ็อกก์ เตรียมรับการท"&amp;"้าทายจาก ดร.ฮ็อกก์และเหล่าเครื่องจักรสงคราม ร่วมแรงกับสมาชิกเผ่าของคุณเพื่อปราบพวกเขาแล้วรับรางวัลสุดอะเมซิ่ง!
 - ปรับปรุงเกียรติยศของเผ่า: เพิ่มอันดับเกียรติยศและปรับปรุงเควสต์เกียรติยศให้ดีขึ้น
 - ปรับปรุงกองทุนเพื่อการพัฒนา: กองทุนเพื่อการพัฒนาอัปเกรดใ"&amp;"ห้ดีกว่าเดิมแล้ว! รีบพัฒนาเมืองของคุณเพื่อรับรางวัลมากมาย!
 - ปรับปรุงแพ็ก: อัปเกรดแพ็กออสการ์ในตำนานแล้ว! รีบซื้อเพื่อรับรางวัลสุดวิเศษสามวันและช่วยออสการ์อัปดาวให้เขาเจ๋งยิ่งกว่าใคร!
 - ปรับปรุงแพ็กจำนวนจำกัดรายวัน: เพิ่มการเลือกนักสู้ ในตอนนี้ คุณสามาร"&amp;"ถเลือกนักสู้ที่คุณต้องการจากแพ็กจำนวนจำกัดรายวันได้แล้ว!
 - ปรับปรุงการแสดงอินเตอร์เฟซ: ปรับปรุงการแสดงอินเตอร์เฟซสำหรับการเชิญแก๊ง, อาณาเขตแก๊ง, การยกทัพแก๊ง, เกียรติยศของเผ่า และการต่อสู้บนแผนที่")</f>
        <v>- อัปเดตบทแนะนำสำหรับผู้เริ่มต้น: แอนิเมชั่นเปิดเกมและคู่มือแนะนำแบบใหม่ จำลองเรื่องราวมหากาพย์การเข้าร่วมเผ่าของคุณและนักสู้ของคุณ!
 - คุณสมบัติใหม่: การเข้าร่วมการยกทัพอัตโนมัติ เปิดใช้งานคุณสมบัติเพื่อเข้าร่วมการยกทัพของสมาชิกแก๊งโดยอัตโนมัติ
 - นักสู้ตัวใหม่: "เรมี่ เชฟจากนรก" - นักเก็บรวบรวมทรัพยากรตัวยงที่หลงใหลในการทำอาหาร "เจเนซิส ความดี ความเลว และความงดงาม" - ฮีโร่หญิงปืนไวที่ต่อสู้เพื่อสันติภาพ เตรียมตัวไปรับพวกเขาจากที่สนามต่อสู้ได้เลย!
 - กิจกรรมใหม่: การแก้แค้นของ ดร.ฮ็อกก์ เตรียมรับการท้าทายจาก ดร.ฮ็อกก์และเหล่าเครื่องจักรสงคราม ร่วมแรงกับสมาชิกเผ่าของคุณเพื่อปราบพวกเขาแล้วรับรางวัลสุดอะเมซิ่ง!
 - ปรับปรุงเกียรติยศของเผ่า: เพิ่มอันดับเกียรติยศและปรับปรุงเควสต์เกียรติยศให้ดีขึ้น
 - ปรับปรุงกองทุนเพื่อการพัฒนา: กองทุนเพื่อการพัฒนาอัปเกรดให้ดีกว่าเดิมแล้ว! รีบพัฒนาเมืองของคุณเพื่อรับรางวัลมากมาย!
 - ปรับปรุงแพ็ก: อัปเกรดแพ็กออสการ์ในตำนานแล้ว! รีบซื้อเพื่อรับรางวัลสุดวิเศษสามวันและช่วยออสการ์อัปดาวให้เขาเจ๋งยิ่งกว่าใคร!
 - ปรับปรุงแพ็กจำนวนจำกัดรายวัน: เพิ่มการเลือกนักสู้ ในตอนนี้ คุณสามารถเลือกนักสู้ที่คุณต้องการจากแพ็กจำนวนจำกัดรายวันได้แล้ว!
 - ปรับปรุงการแสดงอินเตอร์เฟซ: ปรับปรุงการแสดงอินเตอร์เฟซสำหรับการเชิญแก๊ง, อาณาเขตแก๊ง, การยกทัพแก๊ง, เกียรติยศของเผ่า และการต่อสู้บนแผนที่</v>
      </c>
      <c r="J8" s="13" t="str">
        <f>IFERROR(__xludf.DUMMYFUNCTION("""COMPUTED_VALUE"""),"- Tutorial de principiante actualizado: Animaciones de apertura completamente nuevas y guía de tutorial. ¡Reimagina la historia épica de ti y tus Luchadores uniéndose al Clan!
 - Nueva característica: Auto Unir a las incursiones. Activa la característica "&amp;"para unirse automáticamente a las incursiones de los miembros de la Banda. 
 - Nuevos Luchadores: Remy, el Cocinero del Infierno - un recolector maestro obsesionado con la cocina. Génesis, La Buena, la Mala y la Hermosa - una heroína de tipo rápido luchad"&amp;"ora por la paz. ¡Obtenlos en la Arena!
 - Nuevo evento: La Venganza del Dr. Hogg. Prepárate a enfrentarte al Dr. Hogg y sus maquinas de guerra. ¡Derrótalos trabajando junto con los miembros de tu clan y gana increíbles recompensas!
 - Honores del Clan opt"&amp;"imizados: Se agregaron Clasificaciones de Honor, se optimizaron las Misiones de Honor.
 - Optimización de los Fondos de Desarrollo: Mejora de los Fondos de Desarrollo. ¡Desarrolla tu ciudad para obtener enormes recompensas!
 - Optimización de Paquete: ¡Pa"&amp;"quete Legendario de Oscar mejorado! Cómpralo para obtener tres días de increíbles recompensas y ayuda a aumentar las estrellas de Oscar.
 - Optimización de Paquete Limitado Diario: Selección de Luchador agregada. ¡Ahora puedes elegir el Luchador que quier"&amp;"es del Paquete Limitado Diario!
 - Optimización de las interfases de visualización: Se optimizaron las interfaces de visualización para las Invitaciones de Banda, Territorio de Banda, Incursiones de la Banda, Honores del Clan y batallas en el mapa.")</f>
        <v>- Tutorial de principiante actualizado: Animaciones de apertura completamente nuevas y guía de tutorial. ¡Reimagina la historia épica de ti y tus Luchadores uniéndose al Clan!
 - Nueva característica: Auto Unir a las incursiones. Activa la característica para unirse automáticamente a las incursiones de los miembros de la Banda. 
 - Nuevos Luchadores: Remy, el Cocinero del Infierno - un recolector maestro obsesionado con la cocina. Génesis, La Buena, la Mala y la Hermosa - una heroína de tipo rápido luchadora por la paz. ¡Obtenlos en la Arena!
 - Nuevo evento: La Venganza del Dr. Hogg. Prepárate a enfrentarte al Dr. Hogg y sus maquinas de guerra. ¡Derrótalos trabajando junto con los miembros de tu clan y gana increíbles recompensas!
 - Honores del Clan optimizados: Se agregaron Clasificaciones de Honor, se optimizaron las Misiones de Honor.
 - Optimización de los Fondos de Desarrollo: Mejora de los Fondos de Desarrollo. ¡Desarrolla tu ciudad para obtener enormes recompensas!
 - Optimización de Paquete: ¡Paquete Legendario de Oscar mejorado! Cómpralo para obtener tres días de increíbles recompensas y ayuda a aumentar las estrellas de Oscar.
 - Optimización de Paquete Limitado Diario: Selección de Luchador agregada. ¡Ahora puedes elegir el Luchador que quieres del Paquete Limitado Diario!
 - Optimización de las interfases de visualización: Se optimizaron las interfaces de visualización para las Invitaciones de Banda, Territorio de Banda, Incursiones de la Banda, Honores del Clan y batallas en el mapa.</v>
      </c>
      <c r="K8" s="13" t="str">
        <f>IFERROR(__xludf.DUMMYFUNCTION("""COMPUTED_VALUE"""),"- Обновленное обучение для новичков: совершенно новая открывающая анимация и обучающее руководство. Оригинальная эпическая история о том, как вы и ваши бойцы вступаете в клан! 
- Новая функция: автоматическое присоединение к походам. Активируйте эту функц"&amp;"ию, чтобы автоматически присоединяться к походам членов банды.
- Новые герои: Реми, шеф-повар из ада — искусный сборщик, одержимый кулинарией. Генезис, хорошая, плохая и прекрасная — стремительно стреляющая героиня, которая сражается за мир. Получите их н"&amp;"а арене! 
- Новое событие: месть доктора Хогга. Приготовьтесь к схватке с доктором Хоггом и его военными машинами. Победите их, действуя совместно с членами клана, и получите потрясающие награды! 
- Оптимизирована честь клана: добавлен рейтинг чести, опти"&amp;"мизированы задания чести.
- Оптимизирован фонд развития: фонд развития улучшен! Развивайте свой город и получайте отличные награды! 
- Оптимизация набора: обновлен набор «Легендарный Оскар»! Купите набор, чтобы в течение трех дней получать классные наград"&amp;"ы и помочь Оскару набрать звезды! 
- Оптимизирован дневной ограниченный набор: добавлен выбор героя. Теперь из дневного ограниченного набора вы можете выбрать героя! 
- Оптимизирован интерфейс: оптимизирован интерфейс отображения приглашений в банду, терр"&amp;"итории банды, походов банды, чести клана и сражений на карте.")</f>
        <v>- Обновленное обучение для новичков: совершенно новая открывающая анимация и обучающее руководство. Оригинальная эпическая история о том, как вы и ваши бойцы вступаете в клан! 
- Новая функция: автоматическое присоединение к походам. Активируйте эту функцию, чтобы автоматически присоединяться к походам членов банды.
- Новые герои: Реми, шеф-повар из ада — искусный сборщик, одержимый кулинарией. Генезис, хорошая, плохая и прекрасная — стремительно стреляющая героиня, которая сражается за мир. Получите их на арене! 
- Новое событие: месть доктора Хогга. Приготовьтесь к схватке с доктором Хоггом и его военными машинами. Победите их, действуя совместно с членами клана, и получите потрясающие награды! 
- Оптимизирована честь клана: добавлен рейтинг чести, оптимизированы задания чести.
- Оптимизирован фонд развития: фонд развития улучшен! Развивайте свой город и получайте отличные награды! 
- Оптимизация набора: обновлен набор «Легендарный Оскар»! Купите набор, чтобы в течение трех дней получать классные награды и помочь Оскару набрать звезды! 
- Оптимизирован дневной ограниченный набор: добавлен выбор героя. Теперь из дневного ограниченного набора вы можете выбрать героя! 
- Оптимизирован интерфейс: оптимизирован интерфейс отображения приглашений в банду, территории банды, походов банды, чести клана и сражений на карте.</v>
      </c>
      <c r="L8" s="34" t="str">
        <f>IFERROR(__xludf.DUMMYFUNCTION("""COMPUTED_VALUE"""),"- Yeni başlayan öğretici güncellemesi: yepyeni açılış animasyonu ve öğretici kılavuzu. Savaşçılarınla birlikte Klana katılmanın destansı hikâyesini yeniden tasvir ediyor!
 - Yeni özellik: Toplu saldırılara Otomatik Katılım. Çete üyelerinin toplu saldırıla"&amp;"rına otomatik olarak katılmak için özelliği etkinleştir.
 - Yeni Savaşçılar: Remy, Cehennemden Gelen Aşçı; yemek yapma meraklısı usta bir toplayıcı. Genesis, İyi, Kötü, Güzel; barış için savaşan seri atıcı bir kadın kahraman. Onları Arena’ya çıkar!
 - Yen"&amp;"i etkinlik: Dr. Hogg’un İntikamı. Dr. Hogg ve savaş makinelerinin meydan okumasına hazır ol. Klan üyelerinde birlikte çalışarak onları yen ve muhteşem ödüller kazan!
 - Klan Onuru optimize edildi: eklenen Onur Sıralamaları, optimize edilen Onur Maceraları"&amp;".
 - Geliştirme Fonları optimize edildi: - Geliştirme Fonu yükseltildi! Şehrini geliştir ve harika ödüller al!
 - Paket optimize edildi: Efsanevi Oscar paketi yükseltildi! Üç günlük muhteşem ödüller almak için satın al ve Oscar’ın yıldızlarını yükselt!
 -"&amp;" Günlük Sınırlı Paket optimize edildi: Savaşçı seçimi eklendi. Artık istediğin Savaşçıyı Günlük Sınırlı Paketten seçebilirsin!
 - Arayüz görünümleri optimize edildi: Çete Davetiyesi, Çete Bölgesi, Çete Toplu Saldırıları, Klan Onuru ve haritadaki savaşları"&amp;"n arayüz görünümleri optimize edildi.")</f>
        <v>- Yeni başlayan öğretici güncellemesi: yepyeni açılış animasyonu ve öğretici kılavuzu. Savaşçılarınla birlikte Klana katılmanın destansı hikâyesini yeniden tasvir ediyor!
 - Yeni özellik: Toplu saldırılara Otomatik Katılım. Çete üyelerinin toplu saldırılarına otomatik olarak katılmak için özelliği etkinleştir.
 - Yeni Savaşçılar: Remy, Cehennemden Gelen Aşçı; yemek yapma meraklısı usta bir toplayıcı. Genesis, İyi, Kötü, Güzel; barış için savaşan seri atıcı bir kadın kahraman. Onları Arena’ya çıkar!
 - Yeni etkinlik: Dr. Hogg’un İntikamı. Dr. Hogg ve savaş makinelerinin meydan okumasına hazır ol. Klan üyelerinde birlikte çalışarak onları yen ve muhteşem ödüller kazan!
 - Klan Onuru optimize edildi: eklenen Onur Sıralamaları, optimize edilen Onur Maceraları.
 - Geliştirme Fonları optimize edildi: - Geliştirme Fonu yükseltildi! Şehrini geliştir ve harika ödüller al!
 - Paket optimize edildi: Efsanevi Oscar paketi yükseltildi! Üç günlük muhteşem ödüller almak için satın al ve Oscar’ın yıldızlarını yükselt!
 - Günlük Sınırlı Paket optimize edildi: Savaşçı seçimi eklendi. Artık istediğin Savaşçıyı Günlük Sınırlı Paketten seçebilirsin!
 - Arayüz görünümleri optimize edildi: Çete Davetiyesi, Çete Bölgesi, Çete Toplu Saldırıları, Klan Onuru ve haritadaki savaşların arayüz görünümleri optimize edildi.</v>
      </c>
      <c r="M8" s="34" t="str">
        <f>IFERROR(__xludf.DUMMYFUNCTION("""COMPUTED_VALUE"""),"- Đã cập nhật hướng dẫn cho người mới: hoạt ảnh mở đầu và hướng dẫn hoàn toàn mới. Tưởng tượng lại câu chuyện sử thi của bạn và những Chiến Binh tham gia Bộ Lạc!
 - Tính năng mới: Tự động tham gia tập hợp. Kích hoạt tính năng để tự động tham gia tập hợp c"&amp;"ủa các thành viên Bang Hội.
 - Chiến Binh mới: Remy, Đầu Bếp Từ Địa Ngục - một bậc thầy thu thập bị ám ảnh với việc nấu nướng. Genesis, cái Tốt, cái Xấu và cái Đẹp - một nữ anh hùng bắn nhanh chiến đấu vì hòa bình. Hãy nhận họ ở Đấu Trường!
 - Sự kiện mới"&amp;": Trận Phục Thù của Tiến Sĩ Hogg. Chuẩn bị để được Tiến Sĩ Hogg cùng các cỗ máy chiến tranh thách thức. Hãy đánh bại chúng bằng cách hợp tác với các thành viên Bộ Lạc và giành những phần thưởng thú vị!
 - Tối ưu Vinh Dự Bộ Lạc: đã thêm Thứ Hạng Vinh Dự, đ"&amp;"ã tối ưu Nhiệm Vụ Vinh Dự.
 - Tối ưu Quỹ Phát Triển: Quỹ Phát Triển đã được nâng cấp! Phát triển thành phố của bạn để nhận những phần thưởng lớn!
 - Tối ưu gói: Gói Oscar Huyền Thoại đã được nâng cấp! Mua để nhận 3 ngày quà thú vị và hỗ trợ nâng sao Oscar"&amp;"!
 - Tối ưu Gói Giới Hạn Hàng Ngày: Đã thêm tính năng Lựa Chọn Chiến Binh. Bây giờ bạn có thể chọn Chiến Binh mà bạn muốn từ Gói Giới Hạn Hàng Ngày!
 - Tối ưu giao diện hiển thị: đã tối ưu giao diện hiển thị của Lời Mời Bang Hội, Lãnh Thổ Bộ Lạc, Tập Hợp "&amp;"Bang Hội, Vinh Dự Bộ Lạc, và các trận chiến trên bản đồ.")</f>
        <v>- Đã cập nhật hướng dẫn cho người mới: hoạt ảnh mở đầu và hướng dẫn hoàn toàn mới. Tưởng tượng lại câu chuyện sử thi của bạn và những Chiến Binh tham gia Bộ Lạc!
 - Tính năng mới: Tự động tham gia tập hợp. Kích hoạt tính năng để tự động tham gia tập hợp của các thành viên Bang Hội.
 - Chiến Binh mới: Remy, Đầu Bếp Từ Địa Ngục - một bậc thầy thu thập bị ám ảnh với việc nấu nướng. Genesis, cái Tốt, cái Xấu và cái Đẹp - một nữ anh hùng bắn nhanh chiến đấu vì hòa bình. Hãy nhận họ ở Đấu Trường!
 - Sự kiện mới: Trận Phục Thù của Tiến Sĩ Hogg. Chuẩn bị để được Tiến Sĩ Hogg cùng các cỗ máy chiến tranh thách thức. Hãy đánh bại chúng bằng cách hợp tác với các thành viên Bộ Lạc và giành những phần thưởng thú vị!
 - Tối ưu Vinh Dự Bộ Lạc: đã thêm Thứ Hạng Vinh Dự, đã tối ưu Nhiệm Vụ Vinh Dự.
 - Tối ưu Quỹ Phát Triển: Quỹ Phát Triển đã được nâng cấp! Phát triển thành phố của bạn để nhận những phần thưởng lớn!
 - Tối ưu gói: Gói Oscar Huyền Thoại đã được nâng cấp! Mua để nhận 3 ngày quà thú vị và hỗ trợ nâng sao Oscar!
 - Tối ưu Gói Giới Hạn Hàng Ngày: Đã thêm tính năng Lựa Chọn Chiến Binh. Bây giờ bạn có thể chọn Chiến Binh mà bạn muốn từ Gói Giới Hạn Hàng Ngày!
 - Tối ưu giao diện hiển thị: đã tối ưu giao diện hiển thị của Lời Mời Bang Hội, Lãnh Thổ Bộ Lạc, Tập Hợp Bang Hội, Vinh Dự Bộ Lạc, và các trận chiến trên bản đồ.</v>
      </c>
      <c r="N8" s="34"/>
      <c r="O8" s="148"/>
      <c r="P8" s="148"/>
      <c r="Q8" s="148"/>
      <c r="R8" s="148"/>
      <c r="S8" s="148"/>
      <c r="T8" s="148"/>
      <c r="U8" s="148"/>
      <c r="V8" s="148"/>
      <c r="W8" s="148"/>
      <c r="X8" s="148"/>
      <c r="Y8" s="148"/>
      <c r="Z8" s="148"/>
    </row>
    <row r="9">
      <c r="A9" s="149" t="str">
        <f>IFERROR(__xludf.DUMMYFUNCTION("""COMPUTED_VALUE"""),"0.29.0")</f>
        <v>0.29.0</v>
      </c>
      <c r="B9" s="151" t="str">
        <f>IFERROR(__xludf.DUMMYFUNCTION("""COMPUTED_VALUE"""),"-新增斗士：铸造大师邓普斯，可以化钢铁为神器的传奇匠师！通过擂台抽奖获得。
-新增活动-霍格博士的复仇：你即将迎来霍格博士与战争机器的挑战，联合氏族伙伴，战胜他们即可获得丰厚奖励！
-新增活动-帮派崛起：建设帮派，占领建筑、你将与你的帮派共同冲击最强帮派！
-新增功能：荣誉币兑换商店，变废为宝，将你不需要的道具换成荣誉币！
-新增转盘月卡：限时好礼，尝试手气，领取终极折扣！
-VIP系统升级：VIP系统全新升级，更优秀的权益，更丰厚的奖励在等着你！
-界面表现优化：优化了里程碑、月卡、擂台、限时礼包的界面"&amp;"体验。")</f>
        <v>-新增斗士：铸造大师邓普斯，可以化钢铁为神器的传奇匠师！通过擂台抽奖获得。
-新增活动-霍格博士的复仇：你即将迎来霍格博士与战争机器的挑战，联合氏族伙伴，战胜他们即可获得丰厚奖励！
-新增活动-帮派崛起：建设帮派，占领建筑、你将与你的帮派共同冲击最强帮派！
-新增功能：荣誉币兑换商店，变废为宝，将你不需要的道具换成荣誉币！
-新增转盘月卡：限时好礼，尝试手气，领取终极折扣！
-VIP系统升级：VIP系统全新升级，更优秀的权益，更丰厚的奖励在等着你！
-界面表现优化：优化了里程碑、月卡、擂台、限时礼包的界面体验。</v>
      </c>
      <c r="C9" s="151" t="str">
        <f>IFERROR(__xludf.DUMMYFUNCTION("""COMPUTED_VALUE"""),"- New Fighter: Master Blacksmith, Dempsey, who can turn iron into great weapons! Get him from the Arena.
- New event: Dr. Hogg's Revenge. Get ready for a challenge from Dr. Hogg and his war machines! Rally Clan members to defeat them and win great rewards"&amp;"!
- New event: Rise of Gangs. Develop your Gang, occupy buildings and become the most powerful Gang!
- New feature: Honor Coin Exchange. Turn trash into treasures! Exchange unwanted items for Honor Coins!
- New Monthly Card roulette: Limited time only. Tr"&amp;"y your luck and get the ultimate discount!
- VIP system upgraded: A brand new VIP system. Better benefits and greater rewards await you!
- Interface optimized: Optimized Space Milestone, Monthly Card, Arena, and Daily Limited Pack interfaces.")</f>
        <v>- New Fighter: Master Blacksmith, Dempsey, who can turn iron into great weapons! Get him from the Arena.
- New event: Dr. Hogg's Revenge. Get ready for a challenge from Dr. Hogg and his war machines! Rally Clan members to defeat them and win great rewards!
- New event: Rise of Gangs. Develop your Gang, occupy buildings and become the most powerful Gang!
- New feature: Honor Coin Exchange. Turn trash into treasures! Exchange unwanted items for Honor Coins!
- New Monthly Card roulette: Limited time only. Try your luck and get the ultimate discount!
- VIP system upgraded: A brand new VIP system. Better benefits and greater rewards await you!
- Interface optimized: Optimized Space Milestone, Monthly Card, Arena, and Daily Limited Pack interfaces.</v>
      </c>
      <c r="D9" s="13" t="str">
        <f>IFERROR(__xludf.DUMMYFUNCTION("""COMPUTED_VALUE"""),"- Nouveau combattant: Dempsey, le maître forgeron, qui bat le fer pour fabriquer des armes géniales! A obtenir dans l'arène.
- Nouvel évènement: La Revanche du Dr Hogg. Préparez-vous à affronter le Dr Hogg et ses machines de guerre! Participez à des raids"&amp;" pour l'affronter aux côtés de votre clan, et remportez des récompenses fantastiques!
- Nouvel évènement: L'ascension des gangs. Occupez des bâtiments et développez votre gang afin qu'il devienne le plus puissant!
- Nouvelle fonctionnalité: Echange de piè"&amp;"ces d'honneur. Transformez vos déchets en trésors! Echangez les objets dont vous ne voulez pas contre des pièces d'honneur!
- Nouvelle roulette mensuelle: disponibilité limitée. Tentez votre chance et obtenez des réductions monstres!
- Amélioration du sys"&amp;"tème VIP: de meilleurs avantages et récompenses vous attendent!
- Optimisation de l'interface pour les évènements de l'espace, les abonnements, l'arène et les packs quotidiens limités.")</f>
        <v>- Nouveau combattant: Dempsey, le maître forgeron, qui bat le fer pour fabriquer des armes géniales! A obtenir dans l'arène.
- Nouvel évènement: La Revanche du Dr Hogg. Préparez-vous à affronter le Dr Hogg et ses machines de guerre! Participez à des raids pour l'affronter aux côtés de votre clan, et remportez des récompenses fantastiques!
- Nouvel évènement: L'ascension des gangs. Occupez des bâtiments et développez votre gang afin qu'il devienne le plus puissant!
- Nouvelle fonctionnalité: Echange de pièces d'honneur. Transformez vos déchets en trésors! Echangez les objets dont vous ne voulez pas contre des pièces d'honneur!
- Nouvelle roulette mensuelle: disponibilité limitée. Tentez votre chance et obtenez des réductions monstres!
- Amélioration du système VIP: de meilleurs avantages et récompenses vous attendent!
- Optimisation de l'interface pour les évènements de l'espace, les abonnements, l'arène et les packs quotidiens limités.</v>
      </c>
      <c r="E9" s="13" t="str">
        <f>IFERROR(__xludf.DUMMYFUNCTION("""COMPUTED_VALUE"""),"- Neuer Kämpfer: Schmiedemeister Dempsey, der Eisen in großartige Waffen verwandeln kann! Hol ihn dir in der Arena.
 - Neues Event: Dr. Hoggs Rache. Mach dich bereit für die Herausforderung durch Dr. Hogg und seine Kriegsmaschinen! Versammle die Mitgliede"&amp;"r der Horde, um sie zu besiegen und tolle Belohnungen zu erhalten!
 - Neues Event: Aufstieg der Clans. Entwickle deinen Clan, besetze Gebäude und werde der mächtigste Clan!
 - Neues Feature: Ehrenmünzen-Tausch. Verwandle Müll in Schätze! Tausche ungewollt"&amp;"e Items gegen Ehrenmünzen ein!
 - Neues monatliches Kartenroulette: Nur für begrenzte Zeit. Versuche dein Glück und erhalte den ultimativen Rabatt!
 - VIP-System verbessert: Ein brandneues VIP-System. Bessere Vorteile und größere Belohnungen erwarten dich"&amp;"!
 - Interface-Optimierung: Optimierte Interfaces für Weltraum-Meilenstein, Monatskarten, Arena- und tägliche limitierte Pakete.")</f>
        <v>- Neuer Kämpfer: Schmiedemeister Dempsey, der Eisen in großartige Waffen verwandeln kann! Hol ihn dir in der Arena.
 - Neues Event: Dr. Hoggs Rache. Mach dich bereit für die Herausforderung durch Dr. Hogg und seine Kriegsmaschinen! Versammle die Mitglieder der Horde, um sie zu besiegen und tolle Belohnungen zu erhalten!
 - Neues Event: Aufstieg der Clans. Entwickle deinen Clan, besetze Gebäude und werde der mächtigste Clan!
 - Neues Feature: Ehrenmünzen-Tausch. Verwandle Müll in Schätze! Tausche ungewollte Items gegen Ehrenmünzen ein!
 - Neues monatliches Kartenroulette: Nur für begrenzte Zeit. Versuche dein Glück und erhalte den ultimativen Rabatt!
 - VIP-System verbessert: Ein brandneues VIP-System. Bessere Vorteile und größere Belohnungen erwarten dich!
 - Interface-Optimierung: Optimierte Interfaces für Weltraum-Meilenstein, Monatskarten, Arena- und tägliche limitierte Pakete.</v>
      </c>
      <c r="F9" s="13" t="str">
        <f>IFERROR(__xludf.DUMMYFUNCTION("""COMPUTED_VALUE"""),"- Novo combatente: o Mestre Ferreiro, Dempsey, capaz de transformar ferro em grandes armas! Obtenha-o na Arena.
 - Novo evento: Vingança de Dr. Hogg. Prepare-se para ser desafiado pelo Dr. Hogg e suas máquinas de guerra. Faça incursões com os membros do c"&amp;"lã para derrotá-los e ganhar grandes recompensas!
 - Novo evento: Ascensão das Gangues. Desenvolva sua gangue, ocupe estruturas e torne-se a gangue mais poderosa!
 - Novo recurso: Troca de moedas de honra. Transforme bugigangas em tesouros! Troque itens q"&amp;"ue não quer mais por moedas de honra!
 - Nova roleta do cartão mensal: por tempo limitado. Tente sua sorte e obtenha um desconto excepcional!
 - Melhoria no sistema VIP: um novo sistema VIP. Benefícios e recompensas valiosas esperam você!
 - Melhorias da "&amp;"interface: interfaces otimizadas de marcos espaciais, cartão mensal, arena e pacote limitado diário.")</f>
        <v>- Novo combatente: o Mestre Ferreiro, Dempsey, capaz de transformar ferro em grandes armas! Obtenha-o na Arena.
 - Novo evento: Vingança de Dr. Hogg. Prepare-se para ser desafiado pelo Dr. Hogg e suas máquinas de guerra. Faça incursões com os membros do clã para derrotá-los e ganhar grandes recompensas!
 - Novo evento: Ascensão das Gangues. Desenvolva sua gangue, ocupe estruturas e torne-se a gangue mais poderosa!
 - Novo recurso: Troca de moedas de honra. Transforme bugigangas em tesouros! Troque itens que não quer mais por moedas de honra!
 - Nova roleta do cartão mensal: por tempo limitado. Tente sua sorte e obtenha um desconto excepcional!
 - Melhoria no sistema VIP: um novo sistema VIP. Benefícios e recompensas valiosas esperam você!
 - Melhorias da interface: interfaces otimizadas de marcos espaciais, cartão mensal, arena e pacote limitado diário.</v>
      </c>
      <c r="G9" s="151" t="str">
        <f>IFERROR(__xludf.DUMMYFUNCTION("""COMPUTED_VALUE"""),"-新增鬥士：鑄造大師鄧普斯，可以化鋼鐵為神器的傳奇匠師！通過擂台抽獎獲得。
-新增活動-霍格博士的複仇：你即將迎來霍格博士與戰爭機器的挑戰，聯合氏族夥伴，戰勝他們即可獲得豐厚獎勵！
-新增活動-幫派崛起：建設幫派，佔領建築、你將與你的幫派共同衝擊最強幫派！
-新增功能：榮譽幣兌換商店，變廢為寶，將你不需要的道具換成榮譽幣！
-新增轉盤月卡：限時好禮，嘗試手氣，領取終極折扣！
-VIP系統升級：VIP系統全新升級，更優秀的權益，更豐厚的獎勵在等著你！
-界面表現優化：優化了里程碑、月卡、擂台、限時禮包的界面"&amp;"體驗。 ")</f>
        <v>-新增鬥士：鑄造大師鄧普斯，可以化鋼鐵為神器的傳奇匠師！通過擂台抽獎獲得。
-新增活動-霍格博士的複仇：你即將迎來霍格博士與戰爭機器的挑戰，聯合氏族夥伴，戰勝他們即可獲得豐厚獎勵！
-新增活動-幫派崛起：建設幫派，佔領建築、你將與你的幫派共同衝擊最強幫派！
-新增功能：榮譽幣兌換商店，變廢為寶，將你不需要的道具換成榮譽幣！
-新增轉盤月卡：限時好禮，嘗試手氣，領取終極折扣！
-VIP系統升級：VIP系統全新升級，更優秀的權益，更豐厚的獎勵在等著你！
-界面表現優化：優化了里程碑、月卡、擂台、限時禮包的界面體驗。 </v>
      </c>
      <c r="H9" s="151" t="str">
        <f>IFERROR(__xludf.DUMMYFUNCTION("""COMPUTED_VALUE"""),"- Pejuang Baru: Master Pandai Besi, Dempsey, yang bisa mengubah besi menjadi senjata hebat! Dapatkan Dempsey dari Arena.
 - Acara baru: Pembalasan Dr. Hogg. Bersiap untuk tantangan dari Dr. Hogg dan mesin perangnya! Kumpulkan anggota Klan untuk mengalahka"&amp;"nnya dan menangkan hadiah besar!
 - Acara baru: Bangkitnya Geng. Kembangkan Gengmu, duduki bangunan, dan jadilah Geng paling kuat!
 - Fitur baru: Pertukaran Koin Kehormatan. Ubah sampah menjadi harta karun! Tukarkan item yang tidak diinginkan dengan Koin "&amp;"Kehormatan!
 - Rolet Kartu Bulanan Baru: Hanya waktu terbatas. Coba keberuntunganmu dan dapatkan diskon tertinggi!
 - Sistem VIP yang ditingkatkan: Sistem VIP baru. Manfaat yang lebih baik dan hadiah yang lebih besar menantimu!
 - Antarmuka yang Dioptimal"&amp;"kan: Tonggak Luar Angkasa yang Dioptimalkan, Kartu Bulanan, Arena, dan antarmuka Paket Terbatas Harian.")</f>
        <v>- Pejuang Baru: Master Pandai Besi, Dempsey, yang bisa mengubah besi menjadi senjata hebat! Dapatkan Dempsey dari Arena.
 - Acara baru: Pembalasan Dr. Hogg. Bersiap untuk tantangan dari Dr. Hogg dan mesin perangnya! Kumpulkan anggota Klan untuk mengalahkannya dan menangkan hadiah besar!
 - Acara baru: Bangkitnya Geng. Kembangkan Gengmu, duduki bangunan, dan jadilah Geng paling kuat!
 - Fitur baru: Pertukaran Koin Kehormatan. Ubah sampah menjadi harta karun! Tukarkan item yang tidak diinginkan dengan Koin Kehormatan!
 - Rolet Kartu Bulanan Baru: Hanya waktu terbatas. Coba keberuntunganmu dan dapatkan diskon tertinggi!
 - Sistem VIP yang ditingkatkan: Sistem VIP baru. Manfaat yang lebih baik dan hadiah yang lebih besar menantimu!
 - Antarmuka yang Dioptimalkan: Tonggak Luar Angkasa yang Dioptimalkan, Kartu Bulanan, Arena, dan antarmuka Paket Terbatas Harian.</v>
      </c>
      <c r="I9" s="151" t="str">
        <f>IFERROR(__xludf.DUMMYFUNCTION("""COMPUTED_VALUE"""),"- นักสู้ตัวใหม่: เดมป์ซีย์ ปรมาจารย์ช่างตีเหล็ก ผู้สามารถเปลี่ยนเหล็กเป็นอาวุธชั้นยอดได้! คุณสามารถไปรับตัวเขาออกมาได้ที่สนามต่อสู้
 - กิจกรรมใหม่: การแก้แค้นของดร.ฮ็อกก์ เตรียมตัวให้พร้อมสำหรับความท้าทายจากดร.ฮ็อกก์และเครื่องจักรสงครามของเขา! ยกทัพสมาชิก"&amp;"เผ่าเพื่อปราบพวกเขาแล้วรับรางวัลใหญ่!
 - กิจกรรมใหม่: การถือกำเนิดของแก๊ง พัฒนาแก๊งของคุณ ครอบครองสิ่งปลูกสร้าง แล้วก้าวขึ้นสู่ตำแหน่งแก๊งที่ทรงพลังที่สุด!
 - คุณสมบัติใหม่: การแลกเปลี่ยนเหรียญเกียรติยศ เปลี่ยนขยะให้เป็นสมบัติ! แลกเปลี่ยนไอเทมที่ไม่ต้องกา"&amp;"รเป็นเหรียญเกียรติยศสิ!
 - รูเล็ตบัตรรายเดือนใหม่: มีให้เล่นในเวลาจำกัดเท่านั้น ลองเสี่ยงโชคของคุณแล้วรับส่วนลดสูงสุด!
 - อัปเกรดระบบวีไอพี: ระบบวีไอพีใหม่ล่าสุด สิทธิประโยชน์ที่ดีกว่าและผลตอบแทนที่มากกว่ารอคุณอยู่!
 - ปรับอินเทอร์เฟซให้เหมาะสม: ปรับปรุงเ"&amp;"หตุการณ์สำคัญในอวกาศ, บัตรรายเดือน, สนามต่อสู้ และอินเทอร์เฟซแพ็กจำนวนจำกัดประจำวัน")</f>
        <v>- นักสู้ตัวใหม่: เดมป์ซีย์ ปรมาจารย์ช่างตีเหล็ก ผู้สามารถเปลี่ยนเหล็กเป็นอาวุธชั้นยอดได้! คุณสามารถไปรับตัวเขาออกมาได้ที่สนามต่อสู้
 - กิจกรรมใหม่: การแก้แค้นของดร.ฮ็อกก์ เตรียมตัวให้พร้อมสำหรับความท้าทายจากดร.ฮ็อกก์และเครื่องจักรสงครามของเขา! ยกทัพสมาชิกเผ่าเพื่อปราบพวกเขาแล้วรับรางวัลใหญ่!
 - กิจกรรมใหม่: การถือกำเนิดของแก๊ง พัฒนาแก๊งของคุณ ครอบครองสิ่งปลูกสร้าง แล้วก้าวขึ้นสู่ตำแหน่งแก๊งที่ทรงพลังที่สุด!
 - คุณสมบัติใหม่: การแลกเปลี่ยนเหรียญเกียรติยศ เปลี่ยนขยะให้เป็นสมบัติ! แลกเปลี่ยนไอเทมที่ไม่ต้องการเป็นเหรียญเกียรติยศสิ!
 - รูเล็ตบัตรรายเดือนใหม่: มีให้เล่นในเวลาจำกัดเท่านั้น ลองเสี่ยงโชคของคุณแล้วรับส่วนลดสูงสุด!
 - อัปเกรดระบบวีไอพี: ระบบวีไอพีใหม่ล่าสุด สิทธิประโยชน์ที่ดีกว่าและผลตอบแทนที่มากกว่ารอคุณอยู่!
 - ปรับอินเทอร์เฟซให้เหมาะสม: ปรับปรุงเหตุการณ์สำคัญในอวกาศ, บัตรรายเดือน, สนามต่อสู้ และอินเทอร์เฟซแพ็กจำนวนจำกัดประจำวัน</v>
      </c>
      <c r="J9" s="151" t="str">
        <f>IFERROR(__xludf.DUMMYFUNCTION("""COMPUTED_VALUE"""),"- Nuevo Luchador: Maestro Herrero, Dempsey, ¡Qué puede convertir el hierro en armas increíbles! Obtenlo en la arena.
 - Nuevo evento: La Venganza del Dr. Hogg. ¡Prepárate para un reto del Dr. Hogg y sus máquinas de guerra! Incursiona con los miembros del "&amp;"Clan para derrotarlos y ganar increíbles recompensas.
 - Nuevo evento: El Ascenso de las Bandas. Desarrolla a tu Banda, ocupa edificios y, ¡conviértete en la Banda más poderosa! 
 - Nueva característica: Intercambio de Moneda de Honor. ¡Convierte la basur"&amp;"a en tesoros! Intercambias artículos no deseados por Monedas de Honor.
 - Nueva Tarjeta Mensual de ruleta: Por tiempo limitado. ¡Prueba tu suerte y obtén el descuento supremo!
 - Sistema VIP mejorado: Un totalmente nuevo sistema VIP. ¡Te esperan mejores b"&amp;"eneficios e increíbles recompensas!
 - Interface optimizada: Logro del Espacio Optimizado, Tarjeta Mensual, Arena e interfaces de Paquete Limitado Diario.")</f>
        <v>- Nuevo Luchador: Maestro Herrero, Dempsey, ¡Qué puede convertir el hierro en armas increíbles! Obtenlo en la arena.
 - Nuevo evento: La Venganza del Dr. Hogg. ¡Prepárate para un reto del Dr. Hogg y sus máquinas de guerra! Incursiona con los miembros del Clan para derrotarlos y ganar increíbles recompensas.
 - Nuevo evento: El Ascenso de las Bandas. Desarrolla a tu Banda, ocupa edificios y, ¡conviértete en la Banda más poderosa! 
 - Nueva característica: Intercambio de Moneda de Honor. ¡Convierte la basura en tesoros! Intercambias artículos no deseados por Monedas de Honor.
 - Nueva Tarjeta Mensual de ruleta: Por tiempo limitado. ¡Prueba tu suerte y obtén el descuento supremo!
 - Sistema VIP mejorado: Un totalmente nuevo sistema VIP. ¡Te esperan mejores beneficios e increíbles recompensas!
 - Interface optimizada: Logro del Espacio Optimizado, Tarjeta Mensual, Arena e interfaces de Paquete Limitado Diario.</v>
      </c>
      <c r="K9" s="151" t="str">
        <f>IFERROR(__xludf.DUMMYFUNCTION("""COMPUTED_VALUE"""),"— Новый герой: мастер-кузнец Демпси, который может превращать железо в отличное оружие! Получите его на Арене.
— Новое событие: «Месть доктора Хогга». Приготовьтесь сразиться с доктором Хоггом и его военными машинами! Созовите в поход членов клана, чтобы "&amp;"одержать победу и получить ценные награды!
— Новое событие: «Восхождение банд». Развивайте свою банду, захватывайте здания и станьте самой могущественной группировкой!
— Новая функция: обмен монет чести. Превращайте мусор в сокровища! Обменивайте ненужные"&amp;" предметы на монеты чести!
— Новая рулетка месячной карты: только на ограниченное время. Испытайте удачу и получите максимальную скидку!
— Обновлена система VIP: совершенно новая система VIP. Вас ждут максимальные преимущества и большие награды!
— Оптимиз"&amp;"ация интерфейса: оптимизирован интерфейс космических рубежей, месячной карты, арены и дневных ограниченных наборов.")</f>
        <v>— Новый герой: мастер-кузнец Демпси, который может превращать железо в отличное оружие! Получите его на Арене.
— Новое событие: «Месть доктора Хогга». Приготовьтесь сразиться с доктором Хоггом и его военными машинами! Созовите в поход членов клана, чтобы одержать победу и получить ценные награды!
— Новое событие: «Восхождение банд». Развивайте свою банду, захватывайте здания и станьте самой могущественной группировкой!
— Новая функция: обмен монет чести. Превращайте мусор в сокровища! Обменивайте ненужные предметы на монеты чести!
— Новая рулетка месячной карты: только на ограниченное время. Испытайте удачу и получите максимальную скидку!
— Обновлена система VIP: совершенно новая система VIP. Вас ждут максимальные преимущества и большие награды!
— Оптимизация интерфейса: оптимизирован интерфейс космических рубежей, месячной карты, арены и дневных ограниченных наборов.</v>
      </c>
      <c r="L9" s="34" t="str">
        <f>IFERROR(__xludf.DUMMYFUNCTION("""COMPUTED_VALUE"""),"- Yeni Savaşçı: Demirden harika silahlar üreten Demirci Ustası Dempsey! Onu Arenadan al.
 - Yeni etkinlik: Dr. Hogg’un İntikamı. Dr. Hogg ve savaş makinelerinden gelen meydan okumaya hazır ol! Onları yenmek ve harika ödüller kazanmak için Çete üyeleriyle "&amp;"toplu saldırı gerçekleştir!
 - Yeni etkinlik: Çetelerin Yükselişi. Çeteni geliştir, binaları işgal et ve en güçlü Çete sen ol!
 - Yeni özellik: Onur Parası Takası. Çöpten hazineler yarat! İstenmeyen eşyaları Onur Paralarıyla takas et!
 - Yeni Aylık Kart r"&amp;"uleti: Sadece tek seferlik. Şansını dene ve müthiş bir indirim al!
 - VIP sistemi yükseltildi: Yepyeni bir VIP sistemi. Daha iyi avantajlar ve daha büyük ödüller seni bekliyor!
 - Arayüz optimize edildi: Uzay Dönüm Noktası, Aylık Kart, Arena ve Günlük Sın"&amp;"ırlı Paket arayüzleri optimize edildi.")</f>
        <v>- Yeni Savaşçı: Demirden harika silahlar üreten Demirci Ustası Dempsey! Onu Arenadan al.
 - Yeni etkinlik: Dr. Hogg’un İntikamı. Dr. Hogg ve savaş makinelerinden gelen meydan okumaya hazır ol! Onları yenmek ve harika ödüller kazanmak için Çete üyeleriyle toplu saldırı gerçekleştir!
 - Yeni etkinlik: Çetelerin Yükselişi. Çeteni geliştir, binaları işgal et ve en güçlü Çete sen ol!
 - Yeni özellik: Onur Parası Takası. Çöpten hazineler yarat! İstenmeyen eşyaları Onur Paralarıyla takas et!
 - Yeni Aylık Kart ruleti: Sadece tek seferlik. Şansını dene ve müthiş bir indirim al!
 - VIP sistemi yükseltildi: Yepyeni bir VIP sistemi. Daha iyi avantajlar ve daha büyük ödüller seni bekliyor!
 - Arayüz optimize edildi: Uzay Dönüm Noktası, Aylık Kart, Arena ve Günlük Sınırlı Paket arayüzleri optimize edildi.</v>
      </c>
      <c r="M9" s="34" t="str">
        <f>IFERROR(__xludf.DUMMYFUNCTION("""COMPUTED_VALUE"""),"- Chiến Binh mới: Thợ Rèn Bậc Thầy, Dempsey, người có thể biến sắt vụn thành những vũ khí tuyệt vời! Nhận anh ta trong Đấu Trường.
 - Sự kiện mới: Trận Phục Thù của Tiến Sĩ Hogg. Sẵn sàng đối phó với thử thách từ Tiến Sĩ Hogg và các cỗ máy chiến tranh của"&amp;" anh ta. Hãy tập hợp các thành viên Bộ Lạc để đánh bại chúng và giành những phần thưởng lớn!
 - Sự kiện mới: Bang Hội Trỗi Dậy. Phát triển Bang Hội của bạn, chiếm đóng các công trình và trở thành Bang Hội quyền lực nhất!
 - Tính năng mới: Trao Đổi Xu Danh"&amp;" Dự. Biến rác thải thành kho báu! Hãy trao đổi những vật phẩm mà bạn không còn thích nữa để lấy Xu Danh Dự!
 - Roulette Thẻ Tháng Mới: Chỉ trong thời gian giới hạn. Hãy thử vận may và nhận ưu đã siêu khủng!
 - Đã nâng cấp hệ thống VIP: Một hệ thống VIP mớ"&amp;"i. Những quyền lợi tốt hơn và phần thưởng lớn hơn đang chờ bạn!
 - Tối ưu hóa giao diện: Đã tối ưu giao diện Cột Mốc Không Gian, Thẻ Tháng, Đấu Trường, và Gói Giới Hạn Hàng Ngày.")</f>
        <v>- Chiến Binh mới: Thợ Rèn Bậc Thầy, Dempsey, người có thể biến sắt vụn thành những vũ khí tuyệt vời! Nhận anh ta trong Đấu Trường.
 - Sự kiện mới: Trận Phục Thù của Tiến Sĩ Hogg. Sẵn sàng đối phó với thử thách từ Tiến Sĩ Hogg và các cỗ máy chiến tranh của anh ta. Hãy tập hợp các thành viên Bộ Lạc để đánh bại chúng và giành những phần thưởng lớn!
 - Sự kiện mới: Bang Hội Trỗi Dậy. Phát triển Bang Hội của bạn, chiếm đóng các công trình và trở thành Bang Hội quyền lực nhất!
 - Tính năng mới: Trao Đổi Xu Danh Dự. Biến rác thải thành kho báu! Hãy trao đổi những vật phẩm mà bạn không còn thích nữa để lấy Xu Danh Dự!
 - Roulette Thẻ Tháng Mới: Chỉ trong thời gian giới hạn. Hãy thử vận may và nhận ưu đã siêu khủng!
 - Đã nâng cấp hệ thống VIP: Một hệ thống VIP mới. Những quyền lợi tốt hơn và phần thưởng lớn hơn đang chờ bạn!
 - Tối ưu hóa giao diện: Đã tối ưu giao diện Cột Mốc Không Gian, Thẻ Tháng, Đấu Trường, và Gói Giới Hạn Hàng Ngày.</v>
      </c>
      <c r="N9" s="34"/>
      <c r="O9" s="148"/>
      <c r="P9" s="148"/>
      <c r="Q9" s="148"/>
      <c r="R9" s="148"/>
      <c r="S9" s="148"/>
      <c r="T9" s="148"/>
      <c r="U9" s="148"/>
      <c r="V9" s="148"/>
      <c r="W9" s="148"/>
      <c r="X9" s="148"/>
      <c r="Y9" s="148"/>
      <c r="Z9" s="148"/>
    </row>
    <row r="10">
      <c r="A10" s="149" t="str">
        <f>IFERROR(__xludf.DUMMYFUNCTION("""COMPUTED_VALUE"""),"0.30.0")</f>
        <v>0.30.0</v>
      </c>
      <c r="B10" s="151" t="str">
        <f>IFERROR(__xludf.DUMMYFUNCTION("""COMPUTED_VALUE"""),"-新增玩法-科林的探索：通过神秘新伙伴科林的帮助，探索地图完成多种任务并获得丰富奖励吧！除此之外，还能收集特殊碎片，解锁人类离开地球前的珍贵资料！
-新增玩法-边境夺宝：传闻边境地带埋藏着人类留下的重要物资，各大氏族纷纷为此备战。驱逐盘踞在那里的变异猴群，摆脱外族敌人，将无比丰富的资源带回自己的氏族吧！
-邮件和战报功能优化：优化了邮件和战报内容及界面表现形式；
-帮派运动会优化：加入升降级联赛制度、优化排行榜界面展示；
-任务体验优化：调整了章节任务的顺序和内容，优化了表现效果和引导、增加更丰富的剧情、"&amp;"调整了奖励，并且增加了新的章节内容；优化了主线和支线任务，对内容的顺序和奖励进行调整，使得任务体验更流畅；
-银河战争优化：优化了界面、通知和引导；
-超值回馈优化：优化了超值回馈礼包界面；
-礼包优化：购买月卡、基地发展基金、唱片补给后可获得联盟宝箱；")</f>
        <v>-新增玩法-科林的探索：通过神秘新伙伴科林的帮助，探索地图完成多种任务并获得丰富奖励吧！除此之外，还能收集特殊碎片，解锁人类离开地球前的珍贵资料！
-新增玩法-边境夺宝：传闻边境地带埋藏着人类留下的重要物资，各大氏族纷纷为此备战。驱逐盘踞在那里的变异猴群，摆脱外族敌人，将无比丰富的资源带回自己的氏族吧！
-邮件和战报功能优化：优化了邮件和战报内容及界面表现形式；
-帮派运动会优化：加入升降级联赛制度、优化排行榜界面展示；
-任务体验优化：调整了章节任务的顺序和内容，优化了表现效果和引导、增加更丰富的剧情、调整了奖励，并且增加了新的章节内容；优化了主线和支线任务，对内容的顺序和奖励进行调整，使得任务体验更流畅；
-银河战争优化：优化了界面、通知和引导；
-超值回馈优化：优化了超值回馈礼包界面；
-礼包优化：购买月卡、基地发展基金、唱片补给后可获得联盟宝箱；</v>
      </c>
      <c r="C10" s="151" t="str">
        <f>IFERROR(__xludf.DUMMYFUNCTION("""COMPUTED_VALUE"""),"- New gameplay: Colin's Exploration. Explore the map with the help of the mysterious new friend, Colin, and get great rewards! You can also collect special fragments used to unlock precious data left behind by humans.
- New gameplay: Border Raids. Rumor h"&amp;"as that humans left behind precious supplies hidden in the border regions and every Clan is preparing to take these for their own. Fend off the Mutants and enemy Clans in these regions and bring back the riches for your Clan!
- Mail and Battle Reports opt"&amp;"imized: optimized Mail and Battle Report content and interface.
- Gang Games optimized: added tier system with promotions/demotions; optimized the ranking interface display.
- Quests optimized: adjusted the order and contents of chapter quests; optimized "&amp;"display effects and tutorial; added richer storylines; adjusted rewards; added new chapter content; optimized main and sub-quests and adjusted their order and rewards to improve the flow of quests.
- Planet Wars optimized: optimized the interface, notific"&amp;"ations, and tutorials.
- Super Rebate optimized: optimized interface for the Super Rebate pack
- Packs optimized: get Gang chests from purchases of Monthly Cards, City Development Funds, and CD Supply Packs.")</f>
        <v>- New gameplay: Colin's Exploration. Explore the map with the help of the mysterious new friend, Colin, and get great rewards! You can also collect special fragments used to unlock precious data left behind by humans.
- New gameplay: Border Raids. Rumor has that humans left behind precious supplies hidden in the border regions and every Clan is preparing to take these for their own. Fend off the Mutants and enemy Clans in these regions and bring back the riches for your Clan!
- Mail and Battle Reports optimized: optimized Mail and Battle Report content and interface.
- Gang Games optimized: added tier system with promotions/demotions; optimized the ranking interface display.
- Quests optimized: adjusted the order and contents of chapter quests; optimized display effects and tutorial; added richer storylines; adjusted rewards; added new chapter content; optimized main and sub-quests and adjusted their order and rewards to improve the flow of quests.
- Planet Wars optimized: optimized the interface, notifications, and tutorials.
- Super Rebate optimized: optimized interface for the Super Rebate pack
- Packs optimized: get Gang chests from purchases of Monthly Cards, City Development Funds, and CD Supply Packs.</v>
      </c>
      <c r="D10" s="151" t="str">
        <f>IFERROR(__xludf.DUMMYFUNCTION("""COMPUTED_VALUE"""),"- Nouveau gameplay: L'exploration de Colin. Explorez la carte avec l'aide d'un nouvel ami mystérieux, Colin, pour obtenir des récompenses géniales! Vous pouvez également récupérer des fragments spéciaux pour débloquer des données abandonnées par les humai"&amp;"ns.
- Nouveau gameplay: Les raids frontaliers. On dit que des humains ont abandonné de précieuses ressources dans les régions frontalières. Tous les clans se préparent pour mettre la main dessus. Repoussez les mutants et les clans ennemis afin de vous emp"&amp;"arer de ces trésors!
- Messages et rapports de batailles: optimisation de l'affichage et de l'interface.
- Jeux de gangs: ajout d'un système de paliers avec promotion et rétrogradation; optimisation de l'affichage des classements.
- Quêtes: modification d"&amp;"e l'ordre et des contenus des chapitres; optimisation des effets d'affichage et du tutoriel; ajout d'éléments narratifs; modification des récompenses; ajout de contenu aux chapitres; optimisation des quêtes principales et secondaires (modification de l'or"&amp;"dre et des récompenses) afin d'améliorer le déroulement.
- Guerre planétaire: optimisation de l'interface, des notifications et du tutoriel.
- Optimisation de l'interface du pack Super réduc
- Optimisation des packs: obtenez des coffres de gang en achetan"&amp;"t des cartes mensuelles, des fonds de développement de la ville et des packs de CD.")</f>
        <v>- Nouveau gameplay: L'exploration de Colin. Explorez la carte avec l'aide d'un nouvel ami mystérieux, Colin, pour obtenir des récompenses géniales! Vous pouvez également récupérer des fragments spéciaux pour débloquer des données abandonnées par les humains.
- Nouveau gameplay: Les raids frontaliers. On dit que des humains ont abandonné de précieuses ressources dans les régions frontalières. Tous les clans se préparent pour mettre la main dessus. Repoussez les mutants et les clans ennemis afin de vous emparer de ces trésors!
- Messages et rapports de batailles: optimisation de l'affichage et de l'interface.
- Jeux de gangs: ajout d'un système de paliers avec promotion et rétrogradation; optimisation de l'affichage des classements.
- Quêtes: modification de l'ordre et des contenus des chapitres; optimisation des effets d'affichage et du tutoriel; ajout d'éléments narratifs; modification des récompenses; ajout de contenu aux chapitres; optimisation des quêtes principales et secondaires (modification de l'ordre et des récompenses) afin d'améliorer le déroulement.
- Guerre planétaire: optimisation de l'interface, des notifications et du tutoriel.
- Optimisation de l'interface du pack Super réduc
- Optimisation des packs: obtenez des coffres de gang en achetant des cartes mensuelles, des fonds de développement de la ville et des packs de CD.</v>
      </c>
      <c r="E10" s="151" t="str">
        <f>IFERROR(__xludf.DUMMYFUNCTION("""COMPUTED_VALUE"""),"- Neues Gameplay: Colins Erkundungen. Erkunde die Karte mit der Hilfe eines mysteriösen neuen Freunds, Colin, und hol dir tolle Belohnungen! Du kannst auch spezielle Fragmente sammeln, mit denen du von den Menschen hinterlassene, wertvolle Daten freischal"&amp;"ten kannst.
- Neues Gameplay: Grenzüberfälle. Es gibt Gerüchte, dass die Menschen wertvolle Schätze zurückgelassen haben, die in den Grenzregionen versteckt sind. Jetzt bereitet sich jede Horde darauf vor die Schätze zu bergen. Kämpfe gegen Mutanten und f"&amp;"eindliche Horden, um die Reichtürmer für deine Horde in Besitz zu nehmen!
- Mail und Kampfberichte optimiert: Content und Interface für Mail und Kampfberichte wurden optimiert.
- Clan-Spiele optimiert: Stufensystem mit Auf-/abstieg hinzugefügt; Ranglisten"&amp;"-Anzeige optimiert.
- Quests optimiert: Reihenfolge und Inhalte der Kapitel-Quests angepasst; Anzeigeeffekte und Tutorial optimiert; Storylines ausgebaut; Belohnungen angepasst; neuen Kapitel-Content hinzugefügt; Haupt- und Sub-Quests optimiert und Reihen"&amp;"folge und Belohnungen angepasst, um ihren Ablauf zu verbessern.
- Planetenkriege optimiert: Interface, Benachrichtigungen und Tutorials optimiert.
- Superrabatt optimiert: Interface für Superrabatt-Paket optimiert.
- Pakete optimiert: Du erhältst jetzt Ho"&amp;"rden-Truhen aus dem Kauf von Monatskarten, Stadtentwicklungsfond und CD-Vorratspackungen.")</f>
        <v>- Neues Gameplay: Colins Erkundungen. Erkunde die Karte mit der Hilfe eines mysteriösen neuen Freunds, Colin, und hol dir tolle Belohnungen! Du kannst auch spezielle Fragmente sammeln, mit denen du von den Menschen hinterlassene, wertvolle Daten freischalten kannst.
- Neues Gameplay: Grenzüberfälle. Es gibt Gerüchte, dass die Menschen wertvolle Schätze zurückgelassen haben, die in den Grenzregionen versteckt sind. Jetzt bereitet sich jede Horde darauf vor die Schätze zu bergen. Kämpfe gegen Mutanten und feindliche Horden, um die Reichtürmer für deine Horde in Besitz zu nehmen!
- Mail und Kampfberichte optimiert: Content und Interface für Mail und Kampfberichte wurden optimiert.
- Clan-Spiele optimiert: Stufensystem mit Auf-/abstieg hinzugefügt; Ranglisten-Anzeige optimiert.
- Quests optimiert: Reihenfolge und Inhalte der Kapitel-Quests angepasst; Anzeigeeffekte und Tutorial optimiert; Storylines ausgebaut; Belohnungen angepasst; neuen Kapitel-Content hinzugefügt; Haupt- und Sub-Quests optimiert und Reihenfolge und Belohnungen angepasst, um ihren Ablauf zu verbessern.
- Planetenkriege optimiert: Interface, Benachrichtigungen und Tutorials optimiert.
- Superrabatt optimiert: Interface für Superrabatt-Paket optimiert.
- Pakete optimiert: Du erhältst jetzt Horden-Truhen aus dem Kauf von Monatskarten, Stadtentwicklungsfond und CD-Vorratspackungen.</v>
      </c>
      <c r="F10" s="151" t="str">
        <f>IFERROR(__xludf.DUMMYFUNCTION("""COMPUTED_VALUE"""),"- Novo modo de jogo: Exploração de Colin. Explore o mapa com a ajuda de um novo amigo misterioso, Colin, e ganhe recompensas incríveis. Também é possível coletar fragmentos especiais para desbloquear os dados preciosos que foram deixados pelos humanos.
- "&amp;"Novo modo de jogo: Raides de Fronteira. Há um rumor de que os humanos deixaram suprimentos preciosos para trás escondidos nas regiões de fronteira. Cada clã está se preparando para saqueá-los. Afaste os mutantes e os clãs inimigos destas regiões e leve as"&amp;" riquezas ao seu clã!
- Melhorias nos relatórios de batalha e mensagens: o conteúdo e a interface das mensagens e do relatório de batalha foram melhorados.
- Otimização dos jogos da gangue: foi adicionado o sistema de ranques com promoções/rebaixamentos; "&amp;"melhoria na interface de exibição de classificação.
- Melhorias em missões: ajuste na ordem e conteúdo das missões do capítulo; melhorias nos efeitos visuais e tutorial; foram adicionadas histórias mais ricas; ajustes nas recompensas; novo conteúdo de cap"&amp;"ítulo adicionado; melhorias nas missões principais e secundárias e ajustes referentes à ordem e às recompensas delas, a fim de melhorar o decorrer das missões.
- Guerra Interplanetária melhorada: melhorias na interface, notificações, tutoriais.
- Melhoria"&amp;" no Super Desconto: interface do pacote Super Desconto otimizado
- Pacotes otimizados: obtenha baús de gangue ao comprar cartões mensais, fundos de desenvolvimento da cidade e pacotes de suprimentos de CDs.")</f>
        <v>- Novo modo de jogo: Exploração de Colin. Explore o mapa com a ajuda de um novo amigo misterioso, Colin, e ganhe recompensas incríveis. Também é possível coletar fragmentos especiais para desbloquear os dados preciosos que foram deixados pelos humanos.
- Novo modo de jogo: Raides de Fronteira. Há um rumor de que os humanos deixaram suprimentos preciosos para trás escondidos nas regiões de fronteira. Cada clã está se preparando para saqueá-los. Afaste os mutantes e os clãs inimigos destas regiões e leve as riquezas ao seu clã!
- Melhorias nos relatórios de batalha e mensagens: o conteúdo e a interface das mensagens e do relatório de batalha foram melhorados.
- Otimização dos jogos da gangue: foi adicionado o sistema de ranques com promoções/rebaixamentos; melhoria na interface de exibição de classificação.
- Melhorias em missões: ajuste na ordem e conteúdo das missões do capítulo; melhorias nos efeitos visuais e tutorial; foram adicionadas histórias mais ricas; ajustes nas recompensas; novo conteúdo de capítulo adicionado; melhorias nas missões principais e secundárias e ajustes referentes à ordem e às recompensas delas, a fim de melhorar o decorrer das missões.
- Guerra Interplanetária melhorada: melhorias na interface, notificações, tutoriais.
- Melhoria no Super Desconto: interface do pacote Super Desconto otimizado
- Pacotes otimizados: obtenha baús de gangue ao comprar cartões mensais, fundos de desenvolvimento da cidade e pacotes de suprimentos de CDs.</v>
      </c>
      <c r="G10" s="151" t="str">
        <f>IFERROR(__xludf.DUMMYFUNCTION("""COMPUTED_VALUE"""),"-新增玩法-科林的探索：通過神秘新夥伴科林的幫助，探索地圖完成多種任務並獲得豐富獎勵吧！除此之外，還能收集特殊碎片，解鎖人類離開地球前的珍貴資料！
-新增玩法-邊境奪寶：傳聞邊境地帶埋藏著人類留下的重要物資，各大氏族紛紛為此備戰。驅逐盤踞在那裡的變異猴群，擺脫外族敵人，將無比豐富的資源帶回自己的氏族吧！
-郵件和戰報功能優化：優化了郵件和戰報內容及界面表現形式；
-幫派運動會優化：加入升降級聯賽制度、優化排行榜界面展示；
-任務體驗優化：調整了章節任務的順序和內容，優化了表現效果和引導、增加更豐富的劇情、"&amp;"調整了獎勵，並且增加了新的章節內容；優化了主線和支線任務，對內容的順序和獎勵進行調整，使得任務體驗更流暢；
-銀河戰爭優化：優化了界面、通知和引導；
-超值回饋優化：優化了超值回饋禮包界面；
-禮包優化：購買月卡、基地發展基金、唱片補給後可獲得聯盟寶箱；")</f>
        <v>-新增玩法-科林的探索：通過神秘新夥伴科林的幫助，探索地圖完成多種任務並獲得豐富獎勵吧！除此之外，還能收集特殊碎片，解鎖人類離開地球前的珍貴資料！
-新增玩法-邊境奪寶：傳聞邊境地帶埋藏著人類留下的重要物資，各大氏族紛紛為此備戰。驅逐盤踞在那裡的變異猴群，擺脫外族敵人，將無比豐富的資源帶回自己的氏族吧！
-郵件和戰報功能優化：優化了郵件和戰報內容及界面表現形式；
-幫派運動會優化：加入升降級聯賽制度、優化排行榜界面展示；
-任務體驗優化：調整了章節任務的順序和內容，優化了表現效果和引導、增加更豐富的劇情、調整了獎勵，並且增加了新的章節內容；優化了主線和支線任務，對內容的順序和獎勵進行調整，使得任務體驗更流暢；
-銀河戰爭優化：優化了界面、通知和引導；
-超值回饋優化：優化了超值回饋禮包界面；
-禮包優化：購買月卡、基地發展基金、唱片補給後可獲得聯盟寶箱；</v>
      </c>
      <c r="H10" s="151" t="str">
        <f>IFERROR(__xludf.DUMMYFUNCTION("""COMPUTED_VALUE"""),"- Gameplay baru: Penjelajahan Colin. Jelajahi peta dengan bantuan teman baru yang misterius, Colin, dan dapatkan hadiah besar! Kamu juga bisa mengumpulkan fragmen khusus yang digunakan untuk membuka data berharga yang ditinggalkan oleh manusia.
- Gameplay"&amp;" baru: Serangan Perbatasan. Rumor mengatakan bahwa manusia meninggalkan persediaan berharga yang tersembunyi di wilayah perbatasan dan setiap Klan bersiap untuk mengambilnya sendiri. Hancurkan Mutan serta Klan musuh di wilayah ini dan bawa kembali kekayaa"&amp;"n untuk Klanmu!
- Pengoptimalan Email dan Laporan Pertempuran: mengoptimalkan konten serta antarmuka Email dan Laporan Pertempuran.
- Pengoptimalan Game Geng: menambahkan sistem tingkat dengan promosi/penurunan; mengoptimalkan tampilan antarmuka peringkat"&amp;".
- Pengoptimalan Misi: menyesuaikan urutan dan konten misi babak; mengoptimalkan efek tampilan dan tutorial; menambahkan alur cerita yang lebih kaya; menyesuaikan hadiah; menambahkan konten babak baru; mengoptimalkan misi utama dan sampingan serta menyes"&amp;"uaikan urutan dan hadiahnya untuk meningkatkan misi.
- Pengoptimalan Perang Planet: mengoptimalkan antarmuka, notifikasi, dan tutorial.
- Potongan Harga Super dioptimalkan: mengoptimalkan antarmuka untuk paket Potongan Harga Super
- Pengoptimalan Paket: d"&amp;"apatkan peti Geng dari pembelian Kartu Bulanan, Dana Pengembangan Kota, dan Paket Persediaan CD.")</f>
        <v>- Gameplay baru: Penjelajahan Colin. Jelajahi peta dengan bantuan teman baru yang misterius, Colin, dan dapatkan hadiah besar! Kamu juga bisa mengumpulkan fragmen khusus yang digunakan untuk membuka data berharga yang ditinggalkan oleh manusia.
- Gameplay baru: Serangan Perbatasan. Rumor mengatakan bahwa manusia meninggalkan persediaan berharga yang tersembunyi di wilayah perbatasan dan setiap Klan bersiap untuk mengambilnya sendiri. Hancurkan Mutan serta Klan musuh di wilayah ini dan bawa kembali kekayaan untuk Klanmu!
- Pengoptimalan Email dan Laporan Pertempuran: mengoptimalkan konten serta antarmuka Email dan Laporan Pertempuran.
- Pengoptimalan Game Geng: menambahkan sistem tingkat dengan promosi/penurunan; mengoptimalkan tampilan antarmuka peringkat.
- Pengoptimalan Misi: menyesuaikan urutan dan konten misi babak; mengoptimalkan efek tampilan dan tutorial; menambahkan alur cerita yang lebih kaya; menyesuaikan hadiah; menambahkan konten babak baru; mengoptimalkan misi utama dan sampingan serta menyesuaikan urutan dan hadiahnya untuk meningkatkan misi.
- Pengoptimalan Perang Planet: mengoptimalkan antarmuka, notifikasi, dan tutorial.
- Potongan Harga Super dioptimalkan: mengoptimalkan antarmuka untuk paket Potongan Harga Super
- Pengoptimalan Paket: dapatkan peti Geng dari pembelian Kartu Bulanan, Dana Pengembangan Kota, dan Paket Persediaan CD.</v>
      </c>
      <c r="I10" s="151" t="str">
        <f>IFERROR(__xludf.DUMMYFUNCTION("""COMPUTED_VALUE"""),"- รูปแบบการเล่นใหม่: การสำรวจของโคลิน สำรวจแผนที่ด้วยความช่วยเหลือจากโคลิน เพื่อนใหม่ผู้ลึกลับแล้วรับของรางวัลมากมาย! อีกทั้งคุณยังสามารถรวบรวมชิ้นส่วนพิเศษที่ใช้เพื่อปลดล็อกข้อมูลอันล้ำค่าที่มนุษย์ทิ้งไว้ได้อีกด้วย
- รูปแบบการเล่นใหม่: การจู่โจมที่ชายแดน"&amp;" มีข่าวลือว่ามนุษย์ได้ทิ้งเสบียงล้ำค่าไว้ที่แถบชายแดน และทุกเผ่าก็เตรียมที่จะนำเสบียงเหล่านี้ไปเป็นของตนเอง จัดการพวกมิวแตนต์และเผ่าศัตรูในภูมิภาคเหล่านี้ให้ราบ แล้วนำความมั่งคั่งกลับมาสู่เผ่าของคุณ!
- ปรับปรุงจดหมายและรายงานการต่อสู้: ปรับปรุงเนื้อหาของจ"&amp;"ดหมายและรายงานการต่อสู้ รวมถึงอินเทอร์เฟซ
- ปรับปรุงเกมแก๊ง: เพิ่มระบบระดับการเพิ่ม/ลดขั้น, ปรับการแสดงอินเทอร์เฟซอันดับให้เหมาะสม
- ปรับปรุงเควสต์: ปรับลำดับและเนื้อหาของเควสต์ประจำบท, ปรับเอฟเฟกต์การแสดงผลและบทช่วยสอน เพิ่มเส้นเนื้อเรื่องให้เข้มข้นขึ้น "&amp;"ปรับปรุงรางวัล, เพิ่มเนื้อหาบทใหม่ ปรับปรุงเควสต์หลักและย่อย รวมถึงปรับลำดับและรางวัลเพื่อเพิ่มความไหลลื่นของเควสต์
- ปรับสงครามดาวเคราะห์: ปรับอินเทอร์เฟซ การแจ้งเตือน และบทช่วยสอนให้เหมาะสม
- ปรับปรุงเงินคืนสุดพิเศษ: ปรับอินเทอร์เฟซของแพ็กเงินคืนสุดพิเศ"&amp;"ษ
- ปรับปรุงแพ็ก: รับหีบแก๊งจากการซื้อบัตรรายเดือน กองทุนพัฒนาเมือง และแพ็กเสบียงซีดี")</f>
        <v>- รูปแบบการเล่นใหม่: การสำรวจของโคลิน สำรวจแผนที่ด้วยความช่วยเหลือจากโคลิน เพื่อนใหม่ผู้ลึกลับแล้วรับของรางวัลมากมาย! อีกทั้งคุณยังสามารถรวบรวมชิ้นส่วนพิเศษที่ใช้เพื่อปลดล็อกข้อมูลอันล้ำค่าที่มนุษย์ทิ้งไว้ได้อีกด้วย
- รูปแบบการเล่นใหม่: การจู่โจมที่ชายแดน มีข่าวลือว่ามนุษย์ได้ทิ้งเสบียงล้ำค่าไว้ที่แถบชายแดน และทุกเผ่าก็เตรียมที่จะนำเสบียงเหล่านี้ไปเป็นของตนเอง จัดการพวกมิวแตนต์และเผ่าศัตรูในภูมิภาคเหล่านี้ให้ราบ แล้วนำความมั่งคั่งกลับมาสู่เผ่าของคุณ!
- ปรับปรุงจดหมายและรายงานการต่อสู้: ปรับปรุงเนื้อหาของจดหมายและรายงานการต่อสู้ รวมถึงอินเทอร์เฟซ
- ปรับปรุงเกมแก๊ง: เพิ่มระบบระดับการเพิ่ม/ลดขั้น, ปรับการแสดงอินเทอร์เฟซอันดับให้เหมาะสม
- ปรับปรุงเควสต์: ปรับลำดับและเนื้อหาของเควสต์ประจำบท, ปรับเอฟเฟกต์การแสดงผลและบทช่วยสอน เพิ่มเส้นเนื้อเรื่องให้เข้มข้นขึ้น ปรับปรุงรางวัล, เพิ่มเนื้อหาบทใหม่ ปรับปรุงเควสต์หลักและย่อย รวมถึงปรับลำดับและรางวัลเพื่อเพิ่มความไหลลื่นของเควสต์
- ปรับสงครามดาวเคราะห์: ปรับอินเทอร์เฟซ การแจ้งเตือน และบทช่วยสอนให้เหมาะสม
- ปรับปรุงเงินคืนสุดพิเศษ: ปรับอินเทอร์เฟซของแพ็กเงินคืนสุดพิเศษ
- ปรับปรุงแพ็ก: รับหีบแก๊งจากการซื้อบัตรรายเดือน กองทุนพัฒนาเมือง และแพ็กเสบียงซีดี</v>
      </c>
      <c r="J10" s="151" t="str">
        <f>IFERROR(__xludf.DUMMYFUNCTION("""COMPUTED_VALUE"""),"- Nueva forma de juego: Exploración de Colin. Explora el mapa con la ayuda de tu nuevo amigo misterioso, Colin, y, ¡obtén increíbles recompensas! También puedes recolectar fragmentos especiales que se usan para desbloquear valiosos datos dejados por los h"&amp;"umanos.
- Nueva forma de juego: Incursiones Fronterizas. Existe un rumor de que los humanos dejaron atrás valiosos suministros escondidos en las regiones fronterizas y cada Clan se está preparando para hacerlos propios. Enfrenta a los Mutantes y los Clane"&amp;"s enemigos en estas regiones y, ¡trae de vuelta las riquezas para tu Clan!
- Optimización del Correo y los Reportes de Batalla: Se optimizó el contenido y la interface del Correo y los Reportes de Batalla.
- Optimización de los Juegos de Banda: Se agrego "&amp;"un sistema de niveles con promociones/demociones; se optimizó la visualización de la interface de clasificación. 
- Misiones optimizadas: Se ajusto el orden y contenidos de las misiones por capítulo; se optimizaron los efectos de visualización y el tutori"&amp;"al; se agregaron historias más ricas; ajuste de recompensas; se agrego nuevo contenido a los capítulos; optimización de las misiones principales y sub misiones y se ajustó su orden y recompensas para mejorar el flujo de las misiones. 
- Optimización de la"&amp;"s Guerras Planetarias; se optimizó la interface, notificaciones y tutoriales.
- Optimización de Super Descuentos: Se optimizó la interface para el paquete de Super Descuento
- Paquetes optimizados: obtén cofres de Banda de las compras de Tarjetas Mensuale"&amp;"s, Fondos de Desarrollo de Ciudad y Paquetes de Suministro de CD.")</f>
        <v>- Nueva forma de juego: Exploración de Colin. Explora el mapa con la ayuda de tu nuevo amigo misterioso, Colin, y, ¡obtén increíbles recompensas! También puedes recolectar fragmentos especiales que se usan para desbloquear valiosos datos dejados por los humanos.
- Nueva forma de juego: Incursiones Fronterizas. Existe un rumor de que los humanos dejaron atrás valiosos suministros escondidos en las regiones fronterizas y cada Clan se está preparando para hacerlos propios. Enfrenta a los Mutantes y los Clanes enemigos en estas regiones y, ¡trae de vuelta las riquezas para tu Clan!
- Optimización del Correo y los Reportes de Batalla: Se optimizó el contenido y la interface del Correo y los Reportes de Batalla.
- Optimización de los Juegos de Banda: Se agrego un sistema de niveles con promociones/demociones; se optimizó la visualización de la interface de clasificación. 
- Misiones optimizadas: Se ajusto el orden y contenidos de las misiones por capítulo; se optimizaron los efectos de visualización y el tutorial; se agregaron historias más ricas; ajuste de recompensas; se agrego nuevo contenido a los capítulos; optimización de las misiones principales y sub misiones y se ajustó su orden y recompensas para mejorar el flujo de las misiones. 
- Optimización de las Guerras Planetarias; se optimizó la interface, notificaciones y tutoriales.
- Optimización de Super Descuentos: Se optimizó la interface para el paquete de Super Descuento
- Paquetes optimizados: obtén cofres de Banda de las compras de Tarjetas Mensuales, Fondos de Desarrollo de Ciudad y Paquetes de Suministro de CD.</v>
      </c>
      <c r="K10" s="151" t="str">
        <f>IFERROR(__xludf.DUMMYFUNCTION("""COMPUTED_VALUE"""),"- Новый элемент игры: «Исследование Колина». Исследуйте карту с помощью загадочного нового друга Колина и получайте отличные награды! Также вы сможете собирать особые фрагменты для разблокировки ценных данных, оставленных людьми.
- Новый элемент игры: пог"&amp;"раничные рейды. Ходят слухи, что в пограничных районах спрятаны оставленные людьми ценные запасы. Теперь каждый клан готовится забрать их себе! Сражайтесь с мутантами и вражескими кланами в этих регионах и добудьте богатства для своего клана.
- Оптимизиро"&amp;"ваны почта и отчеты о битвах: оптимизированы содержание и интерфейс почты и отчетов о битвах.
- Оптимизированы «Состязания банд»: добавлена система рангов с повышениями и понижениями; оптимизирован интерфейс рейтинга.
- Оптимизированы задания: скорректиро"&amp;"ван порядок и содержание заданий в главах; оптимизированы эффекты отображения и обучение; добавлены увлекательные сюжетные линии; скорректированы награды; добавлен новый контент в главах; оптимизированы основные и дополнительные задания, их порядок и нагр"&amp;"ады для плавного движения по заданиям. 
- Оптимизированы «Планетарные войны»: оптимизированы уведомления, интерфейс и обучение.
- Оптимизировано супервозмещение: оптимизирован интерфейс для набора супервозмещения.
- Оптимизированы наборы: получайте ящики "&amp;"банды при покупке месячных карт, фондов развития города и наборов снабжения CD.")</f>
        <v>- Новый элемент игры: «Исследование Колина». Исследуйте карту с помощью загадочного нового друга Колина и получайте отличные награды! Также вы сможете собирать особые фрагменты для разблокировки ценных данных, оставленных людьми.
- Новый элемент игры: пограничные рейды. Ходят слухи, что в пограничных районах спрятаны оставленные людьми ценные запасы. Теперь каждый клан готовится забрать их себе! Сражайтесь с мутантами и вражескими кланами в этих регионах и добудьте богатства для своего клана.
- Оптимизированы почта и отчеты о битвах: оптимизированы содержание и интерфейс почты и отчетов о битвах.
- Оптимизированы «Состязания банд»: добавлена система рангов с повышениями и понижениями; оптимизирован интерфейс рейтинга.
- Оптимизированы задания: скорректирован порядок и содержание заданий в главах; оптимизированы эффекты отображения и обучение; добавлены увлекательные сюжетные линии; скорректированы награды; добавлен новый контент в главах; оптимизированы основные и дополнительные задания, их порядок и награды для плавного движения по заданиям. 
- Оптимизированы «Планетарные войны»: оптимизированы уведомления, интерфейс и обучение.
- Оптимизировано супервозмещение: оптимизирован интерфейс для набора супервозмещения.
- Оптимизированы наборы: получайте ящики банды при покупке месячных карт, фондов развития города и наборов снабжения CD.</v>
      </c>
      <c r="L10" s="34" t="str">
        <f>IFERROR(__xludf.DUMMYFUNCTION("""COMPUTED_VALUE"""),"- Yeni oynanış: Colin’in Keşfi. Gizemli yeni arkadaş Colin’in yardımıyla haritayı keşfet ve harika ödüller al! Ayrıca insanlar tarafından geride bırakılan kıymetli verilerin kilidini açmak için kullanılan özel parçaları da toplayabilirsin.
- Yeni oynanış:"&amp;" Sınır Akınları. Söylentiye göre, insanlar sınır bölgelerinde saklanan kıymetli tedarikleri geride bıraktı ve her Klan bunları kendileri için almaya hazırlanıyor. Bu bölgelerdeki Mutantları ve düşman Klanları savuştur ve zenginlikleri Klanına geri getir!
"&amp;"- Posta ve Savaş Raporları optimize edildi: Posta ve Savaş Raporu içeriği ve arayüzü optimize edildi.
- Çete Oyunları optimize edildi: kademe yükseltmelerini/düşürmelerini içeren kademe sistemi eklendi; sıralama arayüzü görünümü optimize edildi.
- Maceral"&amp;"ar optimize edildi: bölüm görevlerinin sırası ve içeriği düzenlendi; görünüm efektleri ve öğretici optimize edildi; daha zengin hikâyeler eklendi; ödüller düzenlendi; yeni bölüm içerikleri eklendi; ana ve alt maceralar optimize edildi ve maceraların akışı"&amp;"nı geliştirmek için sıralar ve ödüller düzenlendi. 
- Gezegen Savaşları optimize edildi: arayüz, bildirimler ve öğreticiler optimize edildi.
- Süper İade optimize edildi: Süper İade paketi için arayüz optimize edildi:
- Paketler optimize edildi: Aylık Kar"&amp;"tlar, Şehir Geliştirme Fonları ve CD Tedarik Paketleri satın alımlarından Çete sandıkları elde et.")</f>
        <v>- Yeni oynanış: Colin’in Keşfi. Gizemli yeni arkadaş Colin’in yardımıyla haritayı keşfet ve harika ödüller al! Ayrıca insanlar tarafından geride bırakılan kıymetli verilerin kilidini açmak için kullanılan özel parçaları da toplayabilirsin.
- Yeni oynanış: Sınır Akınları. Söylentiye göre, insanlar sınır bölgelerinde saklanan kıymetli tedarikleri geride bıraktı ve her Klan bunları kendileri için almaya hazırlanıyor. Bu bölgelerdeki Mutantları ve düşman Klanları savuştur ve zenginlikleri Klanına geri getir!
- Posta ve Savaş Raporları optimize edildi: Posta ve Savaş Raporu içeriği ve arayüzü optimize edildi.
- Çete Oyunları optimize edildi: kademe yükseltmelerini/düşürmelerini içeren kademe sistemi eklendi; sıralama arayüzü görünümü optimize edildi.
- Maceralar optimize edildi: bölüm görevlerinin sırası ve içeriği düzenlendi; görünüm efektleri ve öğretici optimize edildi; daha zengin hikâyeler eklendi; ödüller düzenlendi; yeni bölüm içerikleri eklendi; ana ve alt maceralar optimize edildi ve maceraların akışını geliştirmek için sıralar ve ödüller düzenlendi. 
- Gezegen Savaşları optimize edildi: arayüz, bildirimler ve öğreticiler optimize edildi.
- Süper İade optimize edildi: Süper İade paketi için arayüz optimize edildi:
- Paketler optimize edildi: Aylık Kartlar, Şehir Geliştirme Fonları ve CD Tedarik Paketleri satın alımlarından Çete sandıkları elde et.</v>
      </c>
      <c r="M10" s="34" t="str">
        <f>IFERROR(__xludf.DUMMYFUNCTION("""COMPUTED_VALUE"""),"- Lối chơi mới Khám Phá Của Colin. Khám phá bản đồ với sự trợ giúp của người bạn bí ẩn mới, Colin, và nhận những phần thưởng hấp dẫn! Bạn cũng có thể thu thập các mảnh đặc biệt được sử dụng để mở khóa dữ liệu quý giá mà loài người để lại.
- Lối chơi mới Đ"&amp;"ột Kích Biên Giới. Có tin đồn rằng loài người đã bỏ lại những vật tư quý giá được cất giấu ở các vùng biên giới và các Bộ Lạc đang chuẩn bị đoạt lấy những vật tư này cho riêng mình. Hãy chống lại lũ Khỉ Đột Biến và các Bộ Lạc thù địch trong những khu vực "&amp;"đó và mang về sự giàu có cho Bộ Lạc của bạn!
- Đã tối ưu Thư và Báo Cáo Trận Chiến: đã tối ưu hóa nội dung và giao diện của Thư và Báo Cáo Trận Chiến.
- Đã tối ưu Trò Chơi Bang Hội: đã thêm hệ thống bậc với các quy tắc nâng hạng/hạ hạng; đã tối ưu hóa gia"&amp;"o diện hiển thị xếp hạng.
- Đã tối ưu Nhiệm Vụ: đã điều chỉnh thứ tự và nội dung các nhiệm vụ chương; tối ưu hướng dẫn và hiệu ứng hiển thị; thêm cốt truyện phong phú hơn; điều chỉnh phần thưởng; thêm nội dung chương mới; tối ưu nhiệm vụ chính và nhiệm vụ"&amp;" phụ và điều chỉnh thứ tự cũng như phần thưởng để cải thiện luồng nhiệm vụ.
- Đã tối ưu Chiến Tranh Hành Tinh: tối ưu hóa giao diện, thông báo, và hướng dẫn.
- Đã tối ưu Siêu Giảm Giá: tối ưu hóa giao diện cho gói Siêu Giảm Giá
- Đã tối ưu Gói: nhận các r"&amp;"ương Bang Hội khi mua Thẻ Tháng, Quỹ Nâng Cấp Thành Phố, và Gói Cung Cấp CD.")</f>
        <v>- Lối chơi mới Khám Phá Của Colin. Khám phá bản đồ với sự trợ giúp của người bạn bí ẩn mới, Colin, và nhận những phần thưởng hấp dẫn! Bạn cũng có thể thu thập các mảnh đặc biệt được sử dụng để mở khóa dữ liệu quý giá mà loài người để lại.
- Lối chơi mới Đột Kích Biên Giới. Có tin đồn rằng loài người đã bỏ lại những vật tư quý giá được cất giấu ở các vùng biên giới và các Bộ Lạc đang chuẩn bị đoạt lấy những vật tư này cho riêng mình. Hãy chống lại lũ Khỉ Đột Biến và các Bộ Lạc thù địch trong những khu vực đó và mang về sự giàu có cho Bộ Lạc của bạn!
- Đã tối ưu Thư và Báo Cáo Trận Chiến: đã tối ưu hóa nội dung và giao diện của Thư và Báo Cáo Trận Chiến.
- Đã tối ưu Trò Chơi Bang Hội: đã thêm hệ thống bậc với các quy tắc nâng hạng/hạ hạng; đã tối ưu hóa giao diện hiển thị xếp hạng.
- Đã tối ưu Nhiệm Vụ: đã điều chỉnh thứ tự và nội dung các nhiệm vụ chương; tối ưu hướng dẫn và hiệu ứng hiển thị; thêm cốt truyện phong phú hơn; điều chỉnh phần thưởng; thêm nội dung chương mới; tối ưu nhiệm vụ chính và nhiệm vụ phụ và điều chỉnh thứ tự cũng như phần thưởng để cải thiện luồng nhiệm vụ.
- Đã tối ưu Chiến Tranh Hành Tinh: tối ưu hóa giao diện, thông báo, và hướng dẫn.
- Đã tối ưu Siêu Giảm Giá: tối ưu hóa giao diện cho gói Siêu Giảm Giá
- Đã tối ưu Gói: nhận các rương Bang Hội khi mua Thẻ Tháng, Quỹ Nâng Cấp Thành Phố, và Gói Cung Cấp CD.</v>
      </c>
      <c r="N10" s="34"/>
      <c r="O10" s="148"/>
      <c r="P10" s="148"/>
      <c r="Q10" s="148"/>
      <c r="R10" s="148"/>
      <c r="S10" s="148"/>
      <c r="T10" s="148"/>
      <c r="U10" s="148"/>
      <c r="V10" s="148"/>
      <c r="W10" s="148"/>
      <c r="X10" s="148"/>
      <c r="Y10" s="148"/>
      <c r="Z10" s="148"/>
    </row>
    <row r="11">
      <c r="A11" s="149" t="str">
        <f>IFERROR(__xludf.DUMMYFUNCTION("""COMPUTED_VALUE"""),"0.31.0")</f>
        <v>0.31.0</v>
      </c>
      <c r="B11" s="151" t="str">
        <f>IFERROR(__xludf.DUMMYFUNCTION("""COMPUTED_VALUE"""),"-新增玩法：艾文寻宝记。艾文率领的侦察猴小队受命前往遗迹搜寻宝物，却遭遇了预料之外的难题！还请指挥官运用智慧，帮他们解开困住彼此的绳索吧！
-新增新人专享礼包：新人专属福利！丰富道具超值价格天天有！
-新增电子科技永久加速功能及电子芯片礼包：永久减少电子科技研究时间！
-霍格博士的复仇优化：优化了界面展示，新增了个人历史最高伤害成就奖励；
-科林的探索优化：优化了界面展示，优化了刷怪位置，新增了探索任务类型，从2级开始将有概率刷出探索类任务；
-全能竞技场优化：新增了活动结束后排行展示；
-自动集结功能优"&amp;"化：调整了使用条件，玩家需要主城达到十八级及以上或提升vip等级才能使用此功能；
-决战卫星之巅优化：优化了界面表现、优化了传送规则与条件、优化了建筑效果与名称；
-边境夺宝优化：优化了活动界面说明与展示，优化了争夺边境避难所时进度条效果；
-第二建造队列优化：优化了第二建造队列工人表现、优化了第二建造队列礼包界面；
-地图表现优化：优化了人类遗迹建筑的外观以及对应的图标，调整了行军线的颜色，使其更加醒目；
-斗士技能优化：优化了斗士的技能描述，明确了斗士技能的打击范围和目标数量，并且在斗士释放技能时，会"&amp;"显示出打击范围的预警圈效果；
-展览馆优化：全面提升了收藏品属性，优化了展览馆收藏品展示界面表现，优化了收藏品探测界面表现；
-界面表现优化：优化了大地图长按弹窗，优化了人类遗迹弹窗，优化了英雄升星完成后的表现，优化了基因培养皿界面，优化了狂飙拉力赛冠军车手礼包图标；")</f>
        <v>-新增玩法：艾文寻宝记。艾文率领的侦察猴小队受命前往遗迹搜寻宝物，却遭遇了预料之外的难题！还请指挥官运用智慧，帮他们解开困住彼此的绳索吧！
-新增新人专享礼包：新人专属福利！丰富道具超值价格天天有！
-新增电子科技永久加速功能及电子芯片礼包：永久减少电子科技研究时间！
-霍格博士的复仇优化：优化了界面展示，新增了个人历史最高伤害成就奖励；
-科林的探索优化：优化了界面展示，优化了刷怪位置，新增了探索任务类型，从2级开始将有概率刷出探索类任务；
-全能竞技场优化：新增了活动结束后排行展示；
-自动集结功能优化：调整了使用条件，玩家需要主城达到十八级及以上或提升vip等级才能使用此功能；
-决战卫星之巅优化：优化了界面表现、优化了传送规则与条件、优化了建筑效果与名称；
-边境夺宝优化：优化了活动界面说明与展示，优化了争夺边境避难所时进度条效果；
-第二建造队列优化：优化了第二建造队列工人表现、优化了第二建造队列礼包界面；
-地图表现优化：优化了人类遗迹建筑的外观以及对应的图标，调整了行军线的颜色，使其更加醒目；
-斗士技能优化：优化了斗士的技能描述，明确了斗士技能的打击范围和目标数量，并且在斗士释放技能时，会显示出打击范围的预警圈效果；
-展览馆优化：全面提升了收藏品属性，优化了展览馆收藏品展示界面表现，优化了收藏品探测界面表现；
-界面表现优化：优化了大地图长按弹窗，优化了人类遗迹弹窗，优化了英雄升星完成后的表现，优化了基因培养皿界面，优化了狂飙拉力赛冠军车手礼包图标；</v>
      </c>
      <c r="C11" s="151" t="str">
        <f>IFERROR(__xludf.DUMMYFUNCTION("""COMPUTED_VALUE"""),"- New gameplay: Alvin's Treasure Hunt. Alvin will lead other scouts to hunt for treasures among the ruins. But they've run into a problem! Use your mind to help them detangle from the ropes!
- New pack: added a beginner-exclusive pack. Exclusive bonus for"&amp;" new players! Get great items at a great value every day!
- New pack: added new Chip packs. Purchase the pack to permanently reduce Electronic Technology research time!
- Dr. Hogg's Revenge optimized: optimized interface display; added personal highest da"&amp;"mage dealt rewards.
- Colin's Exploration optimized: optimized interface display and monster spawning locations; added exploration-type quests, which can appear after Lv. 2.
- Primate Brawl optimized: added a ranking display after the event ends.
- Auto r"&amp;"ally optimized: modified the requirements for use, players' City Hall must reach Lv. 18 or upgrade their VIP level to use this function.
- Astral Coliseum optimized: optimized the interface display, teleport rules and requirements, and building effects an"&amp;"d names.
- Border Raids optimized: optimized the descriptions and display of the event interface as well as the progress effects when fighting over Border Shelters.
- 2nd building queue optimized: optimized the builder display and pack interface of the 2n"&amp;"d building queue.
- Map displays optimized: optimized ruins' building appearance and corresponding icons; modified the color of march routes so that they're more visible.
- Fighter skills optimized: optimized Fighter skill descriptions, clarifying a Fight"&amp;"er skill's attack range and the number of targets; added a circle effect to the attack range when a Fighter releases a skill.
- Wonder Emporium optimized: enhanced Relic attributes overall; optimized the interface for displaying Relics in the Emporium; op"&amp;"timized Relic detection interface.
- Interface display optimized: optimized the long-press pop-up window on the large map, human ruins pop-up window, the display of Fighters after starring up, Gene Incubator interface, and the icon for Cyclone Rally's Cha"&amp;"mpion Racer pack.")</f>
        <v>- New gameplay: Alvin's Treasure Hunt. Alvin will lead other scouts to hunt for treasures among the ruins. But they've run into a problem! Use your mind to help them detangle from the ropes!
- New pack: added a beginner-exclusive pack. Exclusive bonus for new players! Get great items at a great value every day!
- New pack: added new Chip packs. Purchase the pack to permanently reduce Electronic Technology research time!
- Dr. Hogg's Revenge optimized: optimized interface display; added personal highest damage dealt rewards.
- Colin's Exploration optimized: optimized interface display and monster spawning locations; added exploration-type quests, which can appear after Lv. 2.
- Primate Brawl optimized: added a ranking display after the event ends.
- Auto rally optimized: modified the requirements for use, players' City Hall must reach Lv. 18 or upgrade their VIP level to use this function.
- Astral Coliseum optimized: optimized the interface display, teleport rules and requirements, and building effects and names.
- Border Raids optimized: optimized the descriptions and display of the event interface as well as the progress effects when fighting over Border Shelters.
- 2nd building queue optimized: optimized the builder display and pack interface of the 2nd building queue.
- Map displays optimized: optimized ruins' building appearance and corresponding icons; modified the color of march routes so that they're more visible.
- Fighter skills optimized: optimized Fighter skill descriptions, clarifying a Fighter skill's attack range and the number of targets; added a circle effect to the attack range when a Fighter releases a skill.
- Wonder Emporium optimized: enhanced Relic attributes overall; optimized the interface for displaying Relics in the Emporium; optimized Relic detection interface.
- Interface display optimized: optimized the long-press pop-up window on the large map, human ruins pop-up window, the display of Fighters after starring up, Gene Incubator interface, and the icon for Cyclone Rally's Champion Racer pack.</v>
      </c>
      <c r="D11" s="151" t="str">
        <f>IFERROR(__xludf.DUMMYFUNCTION("""COMPUTED_VALUE"""),"- New gameplay: Alvin's Treasure Hunt. Alvin will lead other scouts to hunt for treasures among the ruins. But they've run into a problem! Use your mind to help them detangle from the ropes!
- New pack: added a beginner-exclusive pack. Exclusive bonus for"&amp;" new players! Get great items at a great value every day!
- New pack: added new Chip packs. Purchase the pack to permanently reduce Electronic Technology research time!
- Dr. Hogg's Revenge optimized: optimized interface display; added personal highest da"&amp;"mage dealt rewards.
- Colin's Exploration optimized: optimized interface display and monster spawning locations; added exploration-type quests, which can appear after Lv. 2.
- Primate Brawl optimized: added a ranking display after the event ends.
- Auto r"&amp;"ally optimized: modified the requirements for use, players' City Hall must reach Lv. 18 or upgrade their VIP level to use this function.
- Astral Coliseum optimized: optimized the interface display, teleport rules and requirements, and building effects an"&amp;"d names.
- Border Raids optimized: optimized the descriptions and display of the event interface as well as the progress effects when fighting over Border Shelters.
- 2nd building queue optimized: optimized the builder display and pack interface of the 2n"&amp;"d building queue.
- Map displays optimized: optimized ruins' building appearance and corresponding icons; modified the color of march routes so that they're more visible.
- Fighter skills optimized: optimized Fighter skill descriptions, clarifying a Fight"&amp;"er skill's attack range and the number of targets; added a circle effect to the attack range when a Fighter releases a skill.
- Wonder Emporium optimized: enhanced Relic attributes overall; optimized the interface for displaying Relics in the Emporium; op"&amp;"timized Relic detection interface.
- Interface display optimized: optimized the long-press pop-up window on the large map, human ruins pop-up window, the display of Fighters after starring up, Gene Incubator interface, and the icon for Cyclone Rally's Cha"&amp;"mpion Racer pack.")</f>
        <v>- New gameplay: Alvin's Treasure Hunt. Alvin will lead other scouts to hunt for treasures among the ruins. But they've run into a problem! Use your mind to help them detangle from the ropes!
- New pack: added a beginner-exclusive pack. Exclusive bonus for new players! Get great items at a great value every day!
- New pack: added new Chip packs. Purchase the pack to permanently reduce Electronic Technology research time!
- Dr. Hogg's Revenge optimized: optimized interface display; added personal highest damage dealt rewards.
- Colin's Exploration optimized: optimized interface display and monster spawning locations; added exploration-type quests, which can appear after Lv. 2.
- Primate Brawl optimized: added a ranking display after the event ends.
- Auto rally optimized: modified the requirements for use, players' City Hall must reach Lv. 18 or upgrade their VIP level to use this function.
- Astral Coliseum optimized: optimized the interface display, teleport rules and requirements, and building effects and names.
- Border Raids optimized: optimized the descriptions and display of the event interface as well as the progress effects when fighting over Border Shelters.
- 2nd building queue optimized: optimized the builder display and pack interface of the 2nd building queue.
- Map displays optimized: optimized ruins' building appearance and corresponding icons; modified the color of march routes so that they're more visible.
- Fighter skills optimized: optimized Fighter skill descriptions, clarifying a Fighter skill's attack range and the number of targets; added a circle effect to the attack range when a Fighter releases a skill.
- Wonder Emporium optimized: enhanced Relic attributes overall; optimized the interface for displaying Relics in the Emporium; optimized Relic detection interface.
- Interface display optimized: optimized the long-press pop-up window on the large map, human ruins pop-up window, the display of Fighters after starring up, Gene Incubator interface, and the icon for Cyclone Rally's Champion Racer pack.</v>
      </c>
      <c r="E11" s="152" t="str">
        <f>IFERROR(__xludf.DUMMYFUNCTION("""COMPUTED_VALUE"""),"- Neues Gameplay: Alvins Schatzsuche. Alvin wird andere Kundschafter anführen, um in den Ruinen nach Schätzen zu suchen. Aber sie sind auf ein Problem gestoßen! Nutze deinen Verstand, um ihnen zu helfen, sich aus den Seilen zu befreien!
 - Neues Paket: Es"&amp;" wurde ein spezielles Paket für Einsteiger hinzugefügt. Exklusiver Bonus für neue Spieler! Erhalte jeden Tag tolle Items zu einem tollen Preis!
 - Neues Paket: Es wurden neue Chip-Pakete hinzugefügt. Kaufe das Paket, um die Forschungszeit der Elektronisch"&amp;"en Technologie dauerhaft zu reduzieren!
 - Dr. Hoggs Rache optimiert: Optimierte Interface-Anzeige; persönliche Belohnungen für den höchsten verursachten Schaden hinzugefügt.
 - Colins Erkundung optimiert: Interface-Anzeige und Monster-Spawning-Orte optim"&amp;"iert; Quests vom Typ Erkundung hinzugefügt, die ab Lv. 2 erscheinen können.
 - Primatenkrawall optimiert: Ranglistenanzeige nach Ende des Events hinzugefügt.
 - Sammelangriff optimiert: Die Voraussetzungen für die Nutzung wurden geändert, das Rathaus des "&amp;"Spielers muss Lv.18 erreichen oder sein VIP-Level muss aufgewertet werden, um diese Funktion nutzen zu können.
 - Astral-Kolosseum optimiert: Optimierung der Interface-Anzeige, der Teleportationsregeln und -anforderungen sowie der Gebäudeeffekte und -name"&amp;"n.
 - Grenzüberfälle optimiert: Die Beschreibungen und die Anzeige des Event-Interfaces sowie die Fortschrittseffekte beim Kampf um Grenz-Unterschlüpfe wurden optimiert.
 - Bauwarteschlange optimiert: Die Anzeige und das Paket-Interface der 2. Bauwartesch"&amp;"lange wurden optimiert.
 - Optimierung der Kartendarstellung: Optimierung des Aussehens der Gebäude von Ruinen und der dazugehörigen Symbole; Anpassung der Farbe von Marschrouten, damit diese besser sichtbar sind.
 - Kämpfer-Fähigkeiten optimiert: Beschre"&amp;"ibungen von Kämpfer-Fähigkeiten optimiert, um die Angriffsreichweite und die Anzahl der Ziele einer Kämpfer-Fähigkeit zu verdeutlichen; einen Kreiseffekt zur Angriffsreichweite hinzugefügt, wenn ein Kämpfer eine Fähigkeit auslöst.
 - Wunderladen optimiert"&amp;": Die Relikt-Attribute wurden insgesamt verbessert; das Interface für die Anzeige von Relikten im Wunderladen wurde optimiert; das Interface für die Ortung von Relikten wurde optimiert.
 - Interface-Anzeige optimiert: Das Pop-up-Fenster bei langem Drücken"&amp;" auf der großen Karte, das Pop-up-Fenster für menschliche Ruinen, die Anzeige von Kämpfern nach dem Sternenaufstieg, das Interface für den Gen-Inkubator und das Symbol für das Zyklon-Rennen-Paket ""Renn-Champion"" wurden optimiert.")</f>
        <v>- Neues Gameplay: Alvins Schatzsuche. Alvin wird andere Kundschafter anführen, um in den Ruinen nach Schätzen zu suchen. Aber sie sind auf ein Problem gestoßen! Nutze deinen Verstand, um ihnen zu helfen, sich aus den Seilen zu befreien!
 - Neues Paket: Es wurde ein spezielles Paket für Einsteiger hinzugefügt. Exklusiver Bonus für neue Spieler! Erhalte jeden Tag tolle Items zu einem tollen Preis!
 - Neues Paket: Es wurden neue Chip-Pakete hinzugefügt. Kaufe das Paket, um die Forschungszeit der Elektronischen Technologie dauerhaft zu reduzieren!
 - Dr. Hoggs Rache optimiert: Optimierte Interface-Anzeige; persönliche Belohnungen für den höchsten verursachten Schaden hinzugefügt.
 - Colins Erkundung optimiert: Interface-Anzeige und Monster-Spawning-Orte optimiert; Quests vom Typ Erkundung hinzugefügt, die ab Lv. 2 erscheinen können.
 - Primatenkrawall optimiert: Ranglistenanzeige nach Ende des Events hinzugefügt.
 - Sammelangriff optimiert: Die Voraussetzungen für die Nutzung wurden geändert, das Rathaus des Spielers muss Lv.18 erreichen oder sein VIP-Level muss aufgewertet werden, um diese Funktion nutzen zu können.
 - Astral-Kolosseum optimiert: Optimierung der Interface-Anzeige, der Teleportationsregeln und -anforderungen sowie der Gebäudeeffekte und -namen.
 - Grenzüberfälle optimiert: Die Beschreibungen und die Anzeige des Event-Interfaces sowie die Fortschrittseffekte beim Kampf um Grenz-Unterschlüpfe wurden optimiert.
 - Bauwarteschlange optimiert: Die Anzeige und das Paket-Interface der 2. Bauwarteschlange wurden optimiert.
 - Optimierung der Kartendarstellung: Optimierung des Aussehens der Gebäude von Ruinen und der dazugehörigen Symbole; Anpassung der Farbe von Marschrouten, damit diese besser sichtbar sind.
 - Kämpfer-Fähigkeiten optimiert: Beschreibungen von Kämpfer-Fähigkeiten optimiert, um die Angriffsreichweite und die Anzahl der Ziele einer Kämpfer-Fähigkeit zu verdeutlichen; einen Kreiseffekt zur Angriffsreichweite hinzugefügt, wenn ein Kämpfer eine Fähigkeit auslöst.
 - Wunderladen optimiert: Die Relikt-Attribute wurden insgesamt verbessert; das Interface für die Anzeige von Relikten im Wunderladen wurde optimiert; das Interface für die Ortung von Relikten wurde optimiert.
 - Interface-Anzeige optimiert: Das Pop-up-Fenster bei langem Drücken auf der großen Karte, das Pop-up-Fenster für menschliche Ruinen, die Anzeige von Kämpfern nach dem Sternenaufstieg, das Interface für den Gen-Inkubator und das Symbol für das Zyklon-Rennen-Paket "Renn-Champion" wurden optimiert.</v>
      </c>
      <c r="F11" s="152" t="str">
        <f>IFERROR(__xludf.DUMMYFUNCTION("""COMPUTED_VALUE"""),"- Novo modo de jogo: Caça ao Tesouro de Alvin. Alvin liderará outros batedores para caçar tesouros em ruínas. Mas eles encontrarão um problema! Use a cabeça para ajudá-los a desenrolar as cordas!
 - Novo pacote: pacote exclusivo para iniciantes adicionado"&amp;". Bônus exclusivo para novos jogadores! Obtenha bons itens de alto valor diariamente!
 - Novo pacote: adicionados novos pacotes de Chips. Compre o pacote para reduzir permanentemente o tempo de pesquisa em Tecnologia Eletrônica.
 - Vingança de Dr. Hogg ot"&amp;"imizada: melhoria na exibição da interface, adição de recompensas para o maior dano causado individual.
 - Exploração de Colin melhorada: locais de surgimento de monstros e exibições de interface melhorados; adição de missões de exploração, que podem apar"&amp;"ecer após o Nv. 2.
 - Briga Primata melhorada: adicionada a exibição de classificação ao final do evento.
 - Incursão automática melhorada: modificação nos requerimentos de uso. A prefeitura dos jogadores precisará chegar ao Nv. 18 ou o nível VIP precisar"&amp;"á ser melhorado para usar a função.
 - Melhoria no Coliseu Astral: otimização na exibição da interface, requisitos e regras do teletransporte, melhoria nos nomes e efeitos de estruturas.
 - Melhorias em Raides de Fronteira: otimização nas descrições e exi"&amp;"bição na interface do evento, assim como nos efeitos de progresso ao lutar por abrigos de fronteira.
 - 2ª fila de construção melhorada: exibição de construtor melhorada, assim como a interface de pacotes da 2º fila de construção.
 - Exibições de mapa mel"&amp;"horadas: otimização na aparição de estruturas de ruínas e ícones correspondentes; modificação da cor das rotas de marchas para que fiquem mais visíveis.
 - Otimização das habilidades de combatente: melhores descrições de habilidades de combatentes, explic"&amp;"ando melhor o alcance de ataque da habilidade do combatente e o número de alvos; adicionado um efeito em círculo no alcance do ataque quando um combatente usa uma habilidade.
 - Empório Maravilha melhorado: melhoria geral nos atributos de relíquias; melho"&amp;"ria na interface que mostra as relíquias no empório; melhoria na interface de detecção de relíquias.
 - Melhorias visuais na interface: otimização da janela pop-up no mapa maior, janela pop-up de ruínas humanas, exibição de combatentes após subirem de nív"&amp;"el de estrela, interface da incubadora de genes e ícone para o pacote de Piloto Campeão da Incursão Ciclone.")</f>
        <v>- Novo modo de jogo: Caça ao Tesouro de Alvin. Alvin liderará outros batedores para caçar tesouros em ruínas. Mas eles encontrarão um problema! Use a cabeça para ajudá-los a desenrolar as cordas!
 - Novo pacote: pacote exclusivo para iniciantes adicionado. Bônus exclusivo para novos jogadores! Obtenha bons itens de alto valor diariamente!
 - Novo pacote: adicionados novos pacotes de Chips. Compre o pacote para reduzir permanentemente o tempo de pesquisa em Tecnologia Eletrônica.
 - Vingança de Dr. Hogg otimizada: melhoria na exibição da interface, adição de recompensas para o maior dano causado individual.
 - Exploração de Colin melhorada: locais de surgimento de monstros e exibições de interface melhorados; adição de missões de exploração, que podem aparecer após o Nv. 2.
 - Briga Primata melhorada: adicionada a exibição de classificação ao final do evento.
 - Incursão automática melhorada: modificação nos requerimentos de uso. A prefeitura dos jogadores precisará chegar ao Nv. 18 ou o nível VIP precisará ser melhorado para usar a função.
 - Melhoria no Coliseu Astral: otimização na exibição da interface, requisitos e regras do teletransporte, melhoria nos nomes e efeitos de estruturas.
 - Melhorias em Raides de Fronteira: otimização nas descrições e exibição na interface do evento, assim como nos efeitos de progresso ao lutar por abrigos de fronteira.
 - 2ª fila de construção melhorada: exibição de construtor melhorada, assim como a interface de pacotes da 2º fila de construção.
 - Exibições de mapa melhoradas: otimização na aparição de estruturas de ruínas e ícones correspondentes; modificação da cor das rotas de marchas para que fiquem mais visíveis.
 - Otimização das habilidades de combatente: melhores descrições de habilidades de combatentes, explicando melhor o alcance de ataque da habilidade do combatente e o número de alvos; adicionado um efeito em círculo no alcance do ataque quando um combatente usa uma habilidade.
 - Empório Maravilha melhorado: melhoria geral nos atributos de relíquias; melhoria na interface que mostra as relíquias no empório; melhoria na interface de detecção de relíquias.
 - Melhorias visuais na interface: otimização da janela pop-up no mapa maior, janela pop-up de ruínas humanas, exibição de combatentes após subirem de nível de estrela, interface da incubadora de genes e ícone para o pacote de Piloto Campeão da Incursão Ciclone.</v>
      </c>
      <c r="G11" s="151" t="str">
        <f>IFERROR(__xludf.DUMMYFUNCTION("""COMPUTED_VALUE"""),"-新增玩法：艾文尋寶記。艾文率領的偵察猴小隊受命前往遺跡搜尋寶物，卻遭遇了預料之外的難題！還請指揮官運用智慧，幫他們解開困住彼此的繩索吧！
-新增新人專享禮包：新人專屬福利！豐富道具超值價格天天有！
-新增電子科技永久加速功能及電子芯片禮包：永久減少電子科技研究時間！
-霍格博士的複仇優化：優化了界面展示，新增了個人歷史最高傷害成就獎勵；
-科林的探索優化：優化了界面展示，優化了刷怪位置，新增了探索任務類型，從2級開始將有概率刷出探索類任務；
-全能競技場優化：新增了活動結束後排行展示；
-自動集結功能優"&amp;"化：調整了使用條件，玩家需要主城達到十八級及以上或提升vip等級才能使用此功能；
-決戰衛星之巔優化：優化了界面表現、優化了傳送規則與條件、優化了建築效果與名稱；
-邊境奪寶優化：優化了活動界面說明與展示，優化了爭奪邊境避難所時進度條效果；
-第二建造隊列優化：優化了第二建造隊列工人表現、優化了第二建造隊列禮包界面；
-地圖表現優化：優化了人類遺跡建築的外觀以及對應的圖標，調整了行軍線的顏色，使其更加醒目；
-鬥士技能優化：優化了鬥士的技能描述，明確了鬥士技能的打擊範圍和目標數量，並且在斗士釋放技能時，會"&amp;"顯示出打擊範圍的預警圈效果；
-展覽館優化：全面提升了收藏品屬性，優化了展覽館收藏品展示界面表現，優化了收藏品探測界面表現；
-界面表現優化：優化了大地圖長按彈窗，優化了人類遺跡彈窗，優化了英雄升星完成後的表現，優化了基因培養皿界面，優化了狂飆拉力賽冠軍車手禮包圖標；")</f>
        <v>-新增玩法：艾文尋寶記。艾文率領的偵察猴小隊受命前往遺跡搜尋寶物，卻遭遇了預料之外的難題！還請指揮官運用智慧，幫他們解開困住彼此的繩索吧！
-新增新人專享禮包：新人專屬福利！豐富道具超值價格天天有！
-新增電子科技永久加速功能及電子芯片禮包：永久減少電子科技研究時間！
-霍格博士的複仇優化：優化了界面展示，新增了個人歷史最高傷害成就獎勵；
-科林的探索優化：優化了界面展示，優化了刷怪位置，新增了探索任務類型，從2級開始將有概率刷出探索類任務；
-全能競技場優化：新增了活動結束後排行展示；
-自動集結功能優化：調整了使用條件，玩家需要主城達到十八級及以上或提升vip等級才能使用此功能；
-決戰衛星之巔優化：優化了界面表現、優化了傳送規則與條件、優化了建築效果與名稱；
-邊境奪寶優化：優化了活動界面說明與展示，優化了爭奪邊境避難所時進度條效果；
-第二建造隊列優化：優化了第二建造隊列工人表現、優化了第二建造隊列禮包界面；
-地圖表現優化：優化了人類遺跡建築的外觀以及對應的圖標，調整了行軍線的顏色，使其更加醒目；
-鬥士技能優化：優化了鬥士的技能描述，明確了鬥士技能的打擊範圍和目標數量，並且在斗士釋放技能時，會顯示出打擊範圍的預警圈效果；
-展覽館優化：全面提升了收藏品屬性，優化了展覽館收藏品展示界面表現，優化了收藏品探測界面表現；
-界面表現優化：優化了大地圖長按彈窗，優化了人類遺跡彈窗，優化了英雄升星完成後的表現，優化了基因培養皿界面，優化了狂飆拉力賽冠軍車手禮包圖標；</v>
      </c>
      <c r="H11" s="152" t="str">
        <f>IFERROR(__xludf.DUMMYFUNCTION("""COMPUTED_VALUE"""),"- Gameplay baru: Perburuan Harta Karun Alvin. Alvin membutuhkan pengintai untuk berburu harta karun di antara reruntuhan. Tetapi, mereka menghadapi masalah! Gunakan pikiranmu utnuk membantu mereka lepas dari tali!
 - Paket baru: menambahkan paket eksklusi"&amp;"f pemula. Bonus eksklusif untuk pemain baru! Dapatkan item luar biasa dengan nilai luar biasa setiap hari!
 - Paket baru: menambahkan paket Chip baru. Beli paket untuk mengurangi waktu penelitian Teknologi Elektronik secara permanen!
 - Pengoptimalan: Pem"&amp;"balasan Dr. Hogg: mengoptimalkan tampilan antarmuka; menambahkan hadiah kerusakan tertinggi yang diakibatkan individu.
 - Pengoptimalan Penjelajahan Colin: mengoptimalkan tampilan antarmuka dan lokasi kemunculan monster; menambahkan misi jenis penjelajaha"&amp;"n, yang bisa muncul setelah Lv. 2.
 - Pengoptimalan Perkelahian Primata: menambahkan tampilan peringkat setelah acara berakhir.
 - Pengoptimalan reli otomatis: mengubah persyaratan penggunaan, Balai Kota pemain harus mencapai Lv. 18 atau tingkatkan level "&amp;"VIP untuk menggunakan fungsi ini.
 - Pengoptimalan Koloseum Astral: mengoptimalkan tampilan antarmuka, aturan dan persyaratan teleportasi, serta efek dan nama bangunan.
 - Pengoptimalan Serangan Perbatasan: mengoptimalkan deskripsi dan tampilan antarmuka "&amp;"acara serta efek kemajuan saat memperebutkan Penampungan Perbatasan.
 - Pengoptimalan antrean bangunan ke-2: mengoptimalkan tampilan pembangun dan antarmuka paket dari antrean bangunan ke-2.
 - Pengoptimalan tampilan peta: mengoptimalkan tampilan bangunan"&amp;" reruntuhan dan ikon yang sesuai; mengubah warna rute berbaris sehingga lebih terlihat.
 - Pengoptimalan keahlian Pejuang: mengoptimalkan deskripsi keahlian Pejuang, memperjelas jangkauan serangan keahlian Pejuang dan jumlah target; menambahkan efek lingk"&amp;"aran ke jangkauan serangan saat Pejuang melepaskan keahlianl.
 - Pengoptimalan Emporium Megah: meningkatkan atribut Relik secara keseluruhan; mengoptimalkan antarmuka untuk menampilkan Relik di Emporium; mengoptimalkan antarmuka deteksi Relik.
 - Pengopti"&amp;"malan tampilan antarmuka: mengoptimalkan jendela pop-up yang ditekan lama di peta besar, jendela pop-up reruntuhan manusia, tampilan Pejuang setelah kenaikan bintang, antarmuka Inkubator Gen, dan ikon untuk paket Balap Juara Reli Topan.")</f>
        <v>- Gameplay baru: Perburuan Harta Karun Alvin. Alvin membutuhkan pengintai untuk berburu harta karun di antara reruntuhan. Tetapi, mereka menghadapi masalah! Gunakan pikiranmu utnuk membantu mereka lepas dari tali!
 - Paket baru: menambahkan paket eksklusif pemula. Bonus eksklusif untuk pemain baru! Dapatkan item luar biasa dengan nilai luar biasa setiap hari!
 - Paket baru: menambahkan paket Chip baru. Beli paket untuk mengurangi waktu penelitian Teknologi Elektronik secara permanen!
 - Pengoptimalan: Pembalasan Dr. Hogg: mengoptimalkan tampilan antarmuka; menambahkan hadiah kerusakan tertinggi yang diakibatkan individu.
 - Pengoptimalan Penjelajahan Colin: mengoptimalkan tampilan antarmuka dan lokasi kemunculan monster; menambahkan misi jenis penjelajahan, yang bisa muncul setelah Lv. 2.
 - Pengoptimalan Perkelahian Primata: menambahkan tampilan peringkat setelah acara berakhir.
 - Pengoptimalan reli otomatis: mengubah persyaratan penggunaan, Balai Kota pemain harus mencapai Lv. 18 atau tingkatkan level VIP untuk menggunakan fungsi ini.
 - Pengoptimalan Koloseum Astral: mengoptimalkan tampilan antarmuka, aturan dan persyaratan teleportasi, serta efek dan nama bangunan.
 - Pengoptimalan Serangan Perbatasan: mengoptimalkan deskripsi dan tampilan antarmuka acara serta efek kemajuan saat memperebutkan Penampungan Perbatasan.
 - Pengoptimalan antrean bangunan ke-2: mengoptimalkan tampilan pembangun dan antarmuka paket dari antrean bangunan ke-2.
 - Pengoptimalan tampilan peta: mengoptimalkan tampilan bangunan reruntuhan dan ikon yang sesuai; mengubah warna rute berbaris sehingga lebih terlihat.
 - Pengoptimalan keahlian Pejuang: mengoptimalkan deskripsi keahlian Pejuang, memperjelas jangkauan serangan keahlian Pejuang dan jumlah target; menambahkan efek lingkaran ke jangkauan serangan saat Pejuang melepaskan keahlianl.
 - Pengoptimalan Emporium Megah: meningkatkan atribut Relik secara keseluruhan; mengoptimalkan antarmuka untuk menampilkan Relik di Emporium; mengoptimalkan antarmuka deteksi Relik.
 - Pengoptimalan tampilan antarmuka: mengoptimalkan jendela pop-up yang ditekan lama di peta besar, jendela pop-up reruntuhan manusia, tampilan Pejuang setelah kenaikan bintang, antarmuka Inkubator Gen, dan ikon untuk paket Balap Juara Reli Topan.</v>
      </c>
      <c r="I11" s="151" t="str">
        <f>IFERROR(__xludf.DUMMYFUNCTION("""COMPUTED_VALUE"""),"- รูปแบบการเล่นใหม่: ล่าสมบัติของอัลวิน อัลวินจะนำหน่วยสอดแนมคนอื่น ๆ ออกล่าขุมทรัพย์ท่ามกลางซากปรักหักพัง แต่พวกเขาต้องเจอปัญหาเข้าเต็ม ๆ! ใช้ปัญญาสุดเฉียบของคุณเพื่อช่วยพวกเขาแกะตัวเองออกมาจากเชือกให้ได้!
 - แพ็กใหม่: เพิ่มแพ็กพิเศษเฉพาะสำหรับผู้เริ่มต้"&amp;"น โบนัสพิเศษสำหรับผู้เล่นใหม่! รับไอเทมสุดเจ๋งในราคาสุดคุ้มได้ทุกวัน!
 - แพ็กใหม่: เพิ่มแพ็กชิปใหม่ ซื้อแพ็กเพื่อลดเวลาในการวิจัยเทคโนโลยีอิเล็กทรอนิกส์แบบถาวร!
 - ปรับปรุงการแก้แค้นของ ดร.ฮ็อกก์: ปรับการแสดงอินเทอร์เฟส, เพิ่มรางวัลในการสร้างแดเมจสูงสุดส่"&amp;"วนบุคคล
 - ปรับปรุงการสำรวจของโคลิน: ปรับการแสดงผลอินเทอร์เฟสและสถานที่กำเนิดมอนสเตอร์, เพิ่มเควสต์ประเภทการสำรวจที่ปรากฏให้เล่นหลังจากเลเวล 2
 - ปรับการวิวาทของเหล่าวานร: เพิ่มการแสดงอันดับหลังจากสิ้นสุดกิจกรรม
 - ปรับการยกทัพอัตโนมัติ: แก้ไขข้อกำหนดในกา"&amp;"รใช้งาน ศาลากลางของผู้เล่นต้องมีเลเวล 18 หรืออัปเกรดเลเวล VIP เพื่อใช้ฟังก์ชันนี้
 - ปรับโคลีเซียมดวงดาว: ปรับการแสดงอินเทอร์เฟซ กฎและข้อกำหนดในการเทเลพอร์ต รวมถึงเอฟเฟกต์สิ่งปลูกสร้างและชื่อ
 - ปรับการจู่โจมที่ชายแดน: ปรับปรุงคำอธิบายและการแสดงผลอินเทอร์"&amp;"เฟสเหตุการณ์ตลอดจนเอฟเฟกต์ความคืบหน้าเมื่อต่อสู้กันที่ที่พักริมชายแดน
 - ปรับคิวสิ่งปลูกสร้างที่ 2: ปรับการแสดงผลช่างก่อสร้างและอินเทอร์เฟซแพ็กของคิวสิ่งปลูกสร้างที่ 2
 - ปรับปรุงการแสดงแผนที่: ปรับรูปลักษณ์ของซากปรักหักพังและไอคอนที่เกี่ยวข้อง, เปลี่ยนสี"&amp;"ของเส้นทางเดินทัพเพื่อให้มองเห็นได้ชัดเจนขึ้น
 - ปรับทักษะของนักสู้: ปรับปรุงคำอธิบายทักษะของนักสู้, แสดงระยะการโจมตีและจำนวนเป้าหมายของทักษะนักสู้, เพิ่มเอฟเฟกต์เส้นวงเพื่แสดงระยะการโจมตีเมื่อนักสู้ใช้ทักษะ
 - ปรับวันเดอร์เอ็มโพเรียม: ปรับปรุงคุณสมบัติโด"&amp;"ยรวมของวัตถุโบราณ, ปรับอินเทอร์เฟสสำหรับการจัดแสดงวัตถุโบราณในเอ็มโพเรียม, ปรับอินเทอร์เฟสการตรวจจับวัตถุโบราณ
 - ปรับการแสดงอินเทอร์เฟส: ปรับปรุงหน้าต่างป๊อปอัปแบบกดค้างบนแผนที่ขนาดใหญ่, หน้าต่างป๊อปของอัปซากปรักหักพังของมนุษย์, การแสดงนักสู้หลังจากเพิ่ม"&amp;"ดาว, อินเทอร์เฟสเครื่องเพาะยีน และไอคอนสำหรับแพ็กแชมป์เปี้ยนการแข่งขันแรลลี่ไซโคลน")</f>
        <v>- รูปแบบการเล่นใหม่: ล่าสมบัติของอัลวิน อัลวินจะนำหน่วยสอดแนมคนอื่น ๆ ออกล่าขุมทรัพย์ท่ามกลางซากปรักหักพัง แต่พวกเขาต้องเจอปัญหาเข้าเต็ม ๆ! ใช้ปัญญาสุดเฉียบของคุณเพื่อช่วยพวกเขาแกะตัวเองออกมาจากเชือกให้ได้!
 - แพ็กใหม่: เพิ่มแพ็กพิเศษเฉพาะสำหรับผู้เริ่มต้น โบนัสพิเศษสำหรับผู้เล่นใหม่! รับไอเทมสุดเจ๋งในราคาสุดคุ้มได้ทุกวัน!
 - แพ็กใหม่: เพิ่มแพ็กชิปใหม่ ซื้อแพ็กเพื่อลดเวลาในการวิจัยเทคโนโลยีอิเล็กทรอนิกส์แบบถาวร!
 - ปรับปรุงการแก้แค้นของ ดร.ฮ็อกก์: ปรับการแสดงอินเทอร์เฟส, เพิ่มรางวัลในการสร้างแดเมจสูงสุดส่วนบุคคล
 - ปรับปรุงการสำรวจของโคลิน: ปรับการแสดงผลอินเทอร์เฟสและสถานที่กำเนิดมอนสเตอร์, เพิ่มเควสต์ประเภทการสำรวจที่ปรากฏให้เล่นหลังจากเลเวล 2
 - ปรับการวิวาทของเหล่าวานร: เพิ่มการแสดงอันดับหลังจากสิ้นสุดกิจกรรม
 - ปรับการยกทัพอัตโนมัติ: แก้ไขข้อกำหนดในการใช้งาน ศาลากลางของผู้เล่นต้องมีเลเวล 18 หรืออัปเกรดเลเวล VIP เพื่อใช้ฟังก์ชันนี้
 - ปรับโคลีเซียมดวงดาว: ปรับการแสดงอินเทอร์เฟซ กฎและข้อกำหนดในการเทเลพอร์ต รวมถึงเอฟเฟกต์สิ่งปลูกสร้างและชื่อ
 - ปรับการจู่โจมที่ชายแดน: ปรับปรุงคำอธิบายและการแสดงผลอินเทอร์เฟสเหตุการณ์ตลอดจนเอฟเฟกต์ความคืบหน้าเมื่อต่อสู้กันที่ที่พักริมชายแดน
 - ปรับคิวสิ่งปลูกสร้างที่ 2: ปรับการแสดงผลช่างก่อสร้างและอินเทอร์เฟซแพ็กของคิวสิ่งปลูกสร้างที่ 2
 - ปรับปรุงการแสดงแผนที่: ปรับรูปลักษณ์ของซากปรักหักพังและไอคอนที่เกี่ยวข้อง, เปลี่ยนสีของเส้นทางเดินทัพเพื่อให้มองเห็นได้ชัดเจนขึ้น
 - ปรับทักษะของนักสู้: ปรับปรุงคำอธิบายทักษะของนักสู้, แสดงระยะการโจมตีและจำนวนเป้าหมายของทักษะนักสู้, เพิ่มเอฟเฟกต์เส้นวงเพื่แสดงระยะการโจมตีเมื่อนักสู้ใช้ทักษะ
 - ปรับวันเดอร์เอ็มโพเรียม: ปรับปรุงคุณสมบัติโดยรวมของวัตถุโบราณ, ปรับอินเทอร์เฟสสำหรับการจัดแสดงวัตถุโบราณในเอ็มโพเรียม, ปรับอินเทอร์เฟสการตรวจจับวัตถุโบราณ
 - ปรับการแสดงอินเทอร์เฟส: ปรับปรุงหน้าต่างป๊อปอัปแบบกดค้างบนแผนที่ขนาดใหญ่, หน้าต่างป๊อปของอัปซากปรักหักพังของมนุษย์, การแสดงนักสู้หลังจากเพิ่มดาว, อินเทอร์เฟสเครื่องเพาะยีน และไอคอนสำหรับแพ็กแชมป์เปี้ยนการแข่งขันแรลลี่ไซโคลน</v>
      </c>
      <c r="J11" s="152" t="str">
        <f>IFERROR(__xludf.DUMMYFUNCTION("""COMPUTED_VALUE"""),"- Nueva forma de juego: Búsqueda del Tesoro de Alvin. Alvin lidereara a otros exploradores en la búsqueda de tesoros entre las ruinas. ¡Pero se han topado con un problema! ¡Usa tu mente para ayudarles a desenredarse de las cuerdas!
 - Nuevo paquete: Se ag"&amp;"regó un nuevo paquete exclusivo para novatos. ¡Bono exclusivo para los nuevos jugadores! ¡Obtén artículos increíbles con increíbles ofertas todos los días!
 - Nuevo paquete: Nuevos paquetes de Chips agregado. ¡Compra el paquete para reducir permanentement"&amp;"e el tiempo de investigación de la Tecnología Electrónica!
 - Venganza del Dr. Hogg optimizada: Optimización de la interface de visualización; se agregaron recompensas por el daño personal más alto ejercido.
 - Optimización de la Exploración de Colin: Opt"&amp;"imización de la interface de visualización y las ubicaciones de aparición de monstruos; se agregaron misiones de tipo exploración que aparecerán después del Nvl. 2.
 - Lucha de Primates optimizada: Visualización de la clasificación agregada después de que"&amp;" el evento termine. 
 - Auto congregación optimizada: Se modificaron los requerimientos para su uso, el Ayuntamiento de los jugadores deberá de alcanzar el Nvl. 18 o mejorarse a nivel VIP para usar esta función. 
 - Coliseo Astral optimizado: Optimización"&amp;" de la interface de visualización, reglas de teletransporte y requerimientos; además de efectos de construcción y nombres. 
 - Incursiones Fronterizas optimizadas: Se optimizaron las descripciones y visualización de la interface del evento, así como los e"&amp;"fectos del progreso cuando se lucha por los Refugios Fronterizos.
 - 2a. fila de construcción optimizada: Se optimizó la visualización del constructor y la interface de paquetes para la 2a. fila de construcción. 
 - Visualizaciones del mapa optimizadas: S"&amp;"e optimizó la apariencia de construcción de las ruinas y sus iconos correspondientes; se modificó el color de las rutas de marcha para que sea más visibles. 
 - Habilidades de Luchador Optimizadas: Descripciones de la habilidad de Luchador optimizadas, cl"&amp;"asificación del rango de ataque de la habilidad de Luchador y el numero de objetivos; se agregó un efecto de circulo al rango de ataque cuando un Luchador libera una habilidad. 
 - Emporio de las Maravillas optimizado: Mejora general en los atributos de l"&amp;"as Reliquias; optimización de la interface para desplegar Reliquias en el Emporio; optimización de la interfase de detección de Reliquias.
 - Visualización de interface optimizada: Se optimizo la ventana emergente cuando se pulsa prolongadamente en el map"&amp;"a grande, ventana emergente de ruinas humanas, la visualización de los Luchadores cuando aumentan sus estrellas, interface del Incubador de Genes y el icono del paquete del Campeón Corredor del Rally del Ciclón.")</f>
        <v>- Nueva forma de juego: Búsqueda del Tesoro de Alvin. Alvin lidereara a otros exploradores en la búsqueda de tesoros entre las ruinas. ¡Pero se han topado con un problema! ¡Usa tu mente para ayudarles a desenredarse de las cuerdas!
 - Nuevo paquete: Se agregó un nuevo paquete exclusivo para novatos. ¡Bono exclusivo para los nuevos jugadores! ¡Obtén artículos increíbles con increíbles ofertas todos los días!
 - Nuevo paquete: Nuevos paquetes de Chips agregado. ¡Compra el paquete para reducir permanentemente el tiempo de investigación de la Tecnología Electrónica!
 - Venganza del Dr. Hogg optimizada: Optimización de la interface de visualización; se agregaron recompensas por el daño personal más alto ejercido.
 - Optimización de la Exploración de Colin: Optimización de la interface de visualización y las ubicaciones de aparición de monstruos; se agregaron misiones de tipo exploración que aparecerán después del Nvl. 2.
 - Lucha de Primates optimizada: Visualización de la clasificación agregada después de que el evento termine. 
 - Auto congregación optimizada: Se modificaron los requerimientos para su uso, el Ayuntamiento de los jugadores deberá de alcanzar el Nvl. 18 o mejorarse a nivel VIP para usar esta función. 
 - Coliseo Astral optimizado: Optimización de la interface de visualización, reglas de teletransporte y requerimientos; además de efectos de construcción y nombres. 
 - Incursiones Fronterizas optimizadas: Se optimizaron las descripciones y visualización de la interface del evento, así como los efectos del progreso cuando se lucha por los Refugios Fronterizos.
 - 2a. fila de construcción optimizada: Se optimizó la visualización del constructor y la interface de paquetes para la 2a. fila de construcción. 
 - Visualizaciones del mapa optimizadas: Se optimizó la apariencia de construcción de las ruinas y sus iconos correspondientes; se modificó el color de las rutas de marcha para que sea más visibles. 
 - Habilidades de Luchador Optimizadas: Descripciones de la habilidad de Luchador optimizadas, clasificación del rango de ataque de la habilidad de Luchador y el numero de objetivos; se agregó un efecto de circulo al rango de ataque cuando un Luchador libera una habilidad. 
 - Emporio de las Maravillas optimizado: Mejora general en los atributos de las Reliquias; optimización de la interface para desplegar Reliquias en el Emporio; optimización de la interfase de detección de Reliquias.
 - Visualización de interface optimizada: Se optimizo la ventana emergente cuando se pulsa prolongadamente en el mapa grande, ventana emergente de ruinas humanas, la visualización de los Luchadores cuando aumentan sus estrellas, interface del Incubador de Genes y el icono del paquete del Campeón Corredor del Rally del Ciclón.</v>
      </c>
      <c r="K11" s="151" t="str">
        <f>IFERROR(__xludf.DUMMYFUNCTION("""COMPUTED_VALUE"""),"- Новый игровой процесс: Охота за сокровищами Альвина. Альвин ведет других разведчиков на поиски сокровищ среди руин. Но они столкнулись с проблемой! Пошевелите мозгами и помогите им выпутаться из веревок!
- Новый набор: добавлен эксклюзивный набор для но"&amp;"вичков. Уникальный бонус для новых игроков! Получайте отличные предметы по выгодной цене каждый день!
- Новый набор: добавлены новые наборы чипов. Приобретите этот набор, чтобы навсегда сократить время исследования электронных технологий!
- Оптимизирована"&amp;" «Месть доктора Хогга»: оптимизировано отображение интерфейса; добавлены персональные награды за наибольший нанесенный урон.
- Оптимизированы «Исследования Колина»: оптимизировано отображение интерфейса и места появления монстров; добавлены задания исслед"&amp;"овательского типа, которые могут появиться после ур. 2.
- Оптимизирована «Потасовка приматов»: добавлено отображение рейтинга после окончания события.
- Оптимизирована функция автоприсоединения к походам: изменены требования к использованию — чтобы воспол"&amp;"ьзоваться этой функцией, игрок должен улучшить городской совет до ур. 18 или повысить свой VIP-уровень.
- Оптимизирован Астральный Колизей: оптимизировано отображение интерфейса, правила и требования для телепортации, а также эффекты и названия зданий.
- "&amp;"Оптимизированы пограничные рейды: оптимизированы описания и отображение интерфейса события, а также эффекты от прогресса при сражении за пограничные убежища.
- Оптимизирована вторая очередь строительства: оптимизировано отображение строителей и интерфейс "&amp;"наборов второй очереди строительства.
- Оптимизировано отображение карты: оптимизирован внешний вид руин и соответствующие значки; изменен цвет маршрутов маршей, чтобы они были более заметны.
- Оптимизированы навыки героев: оптимизированы описания навыков"&amp;" героев, уточнен радиус поражения навыков героев и количество целей; добавлен эффект круга к области поражения, когда герой использует навык.
- Оптимизация Зала чудес: улучшены показатели реликвий в целом; оптимизирован интерфейс отображения реликвий в За"&amp;"ле чудес; оптимизирован интерфейс сканирования реликвий.
- Оптимизация отображения интерфейса: оптимизировано всплывающее при долгом нажатии на большой карте окно, всплывающее окно человеческих руин, отображение героев после повышения звездного уровня, ин"&amp;"терфейс генного инкубатора и значок набора «Гонщик-чемпион» Ураганных гонок.")</f>
        <v>- Новый игровой процесс: Охота за сокровищами Альвина. Альвин ведет других разведчиков на поиски сокровищ среди руин. Но они столкнулись с проблемой! Пошевелите мозгами и помогите им выпутаться из веревок!
- Новый набор: добавлен эксклюзивный набор для новичков. Уникальный бонус для новых игроков! Получайте отличные предметы по выгодной цене каждый день!
- Новый набор: добавлены новые наборы чипов. Приобретите этот набор, чтобы навсегда сократить время исследования электронных технологий!
- Оптимизирована «Месть доктора Хогга»: оптимизировано отображение интерфейса; добавлены персональные награды за наибольший нанесенный урон.
- Оптимизированы «Исследования Колина»: оптимизировано отображение интерфейса и места появления монстров; добавлены задания исследовательского типа, которые могут появиться после ур. 2.
- Оптимизирована «Потасовка приматов»: добавлено отображение рейтинга после окончания события.
- Оптимизирована функция автоприсоединения к походам: изменены требования к использованию — чтобы воспользоваться этой функцией, игрок должен улучшить городской совет до ур. 18 или повысить свой VIP-уровень.
- Оптимизирован Астральный Колизей: оптимизировано отображение интерфейса, правила и требования для телепортации, а также эффекты и названия зданий.
- Оптимизированы пограничные рейды: оптимизированы описания и отображение интерфейса события, а также эффекты от прогресса при сражении за пограничные убежища.
- Оптимизирована вторая очередь строительства: оптимизировано отображение строителей и интерфейс наборов второй очереди строительства.
- Оптимизировано отображение карты: оптимизирован внешний вид руин и соответствующие значки; изменен цвет маршрутов маршей, чтобы они были более заметны.
- Оптимизированы навыки героев: оптимизированы описания навыков героев, уточнен радиус поражения навыков героев и количество целей; добавлен эффект круга к области поражения, когда герой использует навык.
- Оптимизация Зала чудес: улучшены показатели реликвий в целом; оптимизирован интерфейс отображения реликвий в Зале чудес; оптимизирован интерфейс сканирования реликвий.
- Оптимизация отображения интерфейса: оптимизировано всплывающее при долгом нажатии на большой карте окно, всплывающее окно человеческих руин, отображение героев после повышения звездного уровня, интерфейс генного инкубатора и значок набора «Гонщик-чемпион» Ураганных гонок.</v>
      </c>
      <c r="L11" s="153" t="str">
        <f>IFERROR(__xludf.DUMMYFUNCTION("""COMPUTED_VALUE"""),"- Yeni oynanış: Alvin’in Hazine Avı. Alvin, diğer gözcülere harabeler arasında hazine bulmaları için yol gösterecek. Ancak bir sorunla karşılaştılar! İplerden kurtulmalarına yardımcı olmak için aklını kullan!
 - Yeni paket: yeni başlayanlara özel bir pake"&amp;"t eklendi. Yeni oyuncular için özel bonus! Her gün harika bir fiyata harika eşyalar al!
 - Yeni paket: yeni Çip paketleri eklendi. Elektronik Teknoloji araştırma süresini kalıcı olarak azaltmak için paket satın al!
 - Dr. Hogg’un İntikamı optimize edildi:"&amp;" arayüz görünümü optimize edildi; kişisel olarak verilen en yüksek hasar ödülleri eklendi.
 - Colin’in Keşfi optimize edildi: arayüz görünümü ve canavarların ortaya çıkma yerleri optimize edildi; 2. Sv.’den sonra ortaya çıkabilecek keşif türünde maceralar"&amp;" eklendi. 
 - Primat Kavgası optimize edildi: etkinlik sona erdikten sonra bir sıralama görünümü eklendi.
 - Otomatik toplu saldırı optimize edildi: kullanım gereklilikleri düzenlendi, bu işlevi kullanmak için oyuncuların Meclisi 18. Sv.’ye ulaşmalı veya "&amp;"VIP seviyeleri yükseltilmeli.
 - Yıldız Kolezyumu optimize edildi: arayüz görünümü, ışınlanma kural ve gereklilikleri ile bina etkileri ve adları optimize edildi.
 - Sınır Akınları optimize edildi: etkinlik arayüzünün açıklamaları ve görünümü ile Sınır Ba"&amp;"rınakları için savaşırken ilerleme etkileri optimize edildi.
 - 2. inşaat sırası optimize edildi: 2. inşaat sırasının inşaatçı görünümü ve paket arayüzü optimize edildi.
 - Harita görünümleri optimize edildi: harabelerin bina görünümü ve ilgili simgeler o"&amp;"ptimize edildi; daha görünür olmaları için sefer rotalarının rengi değiştirildi.
 - Savaşçı becerileri optimize edildi: bir Savaşçı becerisinin saldırı menzilini ve hedef sayısını netleştiren Savaşçı beceri açıklamaları optimize edildi; Bir Savaşçı bir be"&amp;"ceri kullandığında saldırı menziline bir halka efekti eklendi.
 - Harikalar Dükkânı optimize edildi: Kalıntı nitelikleri genel olarak artırıldı; Dükkândaki Kalıntıları gösteren arayüz optimize edildi; Kalıntı tespit arayüzü optimize edildi.
 - Arayüz görü"&amp;"nümü optimize edildi: büyük haritada uzun basınca açılan pencere, insan harabeleri açılır penceresi, yıldız yükselmesinden sonraki Savaşçı görünümü, Gen Kuluçka Makinesi arayüzü ve Tufan Toplu Saldırısının Şampiyon Yarışçı paketi simgesi optimize edildi.")</f>
        <v>- Yeni oynanış: Alvin’in Hazine Avı. Alvin, diğer gözcülere harabeler arasında hazine bulmaları için yol gösterecek. Ancak bir sorunla karşılaştılar! İplerden kurtulmalarına yardımcı olmak için aklını kullan!
 - Yeni paket: yeni başlayanlara özel bir paket eklendi. Yeni oyuncular için özel bonus! Her gün harika bir fiyata harika eşyalar al!
 - Yeni paket: yeni Çip paketleri eklendi. Elektronik Teknoloji araştırma süresini kalıcı olarak azaltmak için paket satın al!
 - Dr. Hogg’un İntikamı optimize edildi: arayüz görünümü optimize edildi; kişisel olarak verilen en yüksek hasar ödülleri eklendi.
 - Colin’in Keşfi optimize edildi: arayüz görünümü ve canavarların ortaya çıkma yerleri optimize edildi; 2. Sv.’den sonra ortaya çıkabilecek keşif türünde maceralar eklendi. 
 - Primat Kavgası optimize edildi: etkinlik sona erdikten sonra bir sıralama görünümü eklendi.
 - Otomatik toplu saldırı optimize edildi: kullanım gereklilikleri düzenlendi, bu işlevi kullanmak için oyuncuların Meclisi 18. Sv.’ye ulaşmalı veya VIP seviyeleri yükseltilmeli.
 - Yıldız Kolezyumu optimize edildi: arayüz görünümü, ışınlanma kural ve gereklilikleri ile bina etkileri ve adları optimize edildi.
 - Sınır Akınları optimize edildi: etkinlik arayüzünün açıklamaları ve görünümü ile Sınır Barınakları için savaşırken ilerleme etkileri optimize edildi.
 - 2. inşaat sırası optimize edildi: 2. inşaat sırasının inşaatçı görünümü ve paket arayüzü optimize edildi.
 - Harita görünümleri optimize edildi: harabelerin bina görünümü ve ilgili simgeler optimize edildi; daha görünür olmaları için sefer rotalarının rengi değiştirildi.
 - Savaşçı becerileri optimize edildi: bir Savaşçı becerisinin saldırı menzilini ve hedef sayısını netleştiren Savaşçı beceri açıklamaları optimize edildi; Bir Savaşçı bir beceri kullandığında saldırı menziline bir halka efekti eklendi.
 - Harikalar Dükkânı optimize edildi: Kalıntı nitelikleri genel olarak artırıldı; Dükkândaki Kalıntıları gösteren arayüz optimize edildi; Kalıntı tespit arayüzü optimize edildi.
 - Arayüz görünümü optimize edildi: büyük haritada uzun basınca açılan pencere, insan harabeleri açılır penceresi, yıldız yükselmesinden sonraki Savaşçı görünümü, Gen Kuluçka Makinesi arayüzü ve Tufan Toplu Saldırısının Şampiyon Yarışçı paketi simgesi optimize edildi.</v>
      </c>
      <c r="M11" s="153" t="str">
        <f>IFERROR(__xludf.DUMMYFUNCTION("""COMPUTED_VALUE"""),"- Lối chơi mới: Săn Kho Báu của Alvin. Alvin sẽ dẫn dắt các trinh sát khác đi săn kho báu trong các tàn tích. Nhưng họ đã gặp rắc rối! Hãy sử dụng trí tuệ của bạn để giúp họ gỡ dây thừng bị rối!
 - Gói mới: thêm gói độc quyền tân thủ. Thưởng độc quyền cho"&amp;" những người chơi mới! Nhận những vật phẩm giá trị lớn mỗi ngày!
 - Gói mới: thêm gói Chip mới. Mua gói để giảm vĩnh viễn thời gian nghiên cứu Công Nghệ Điện Tử!
 - Tối ưu Trận Phục Thù của Tiến Sĩ Hogg: tối ưu hiển thị giao diện; thêm thưởng gây sát thươ"&amp;"ng cao nhất cho cá nhân.
 - Tối ưu Khám Phá Của Colin: tối ưu hiển thị giao diện và vị trí sinh sản quái vật; thêm các nhiệm vụ loại khám phá có thể xuất hiện sau Cấp 2.
 - Tối ưu Linh Trưởng Brawl: thêm hiển thị xếp hạng sau khi sự kiện kết thúc.
 - Tối "&amp;"ưu tập hợp tự động: điều chỉnh các yêu cầu để được sử dụng, Tòa Thị Chính của người chơi phải đạt Cấp 18 hoặc nâng cấp VIP của họ để sử dụng chức năng này.
 - Tối ưu Đại Đấu Trường Thiên Thể: tối ưu hiển thị giao diện, các yêu cầu và quy tắc dịch chuyển, "&amp;"tên và hiệu ứng công trình.
 - Tối ưu Đột Kích Biên Giới: tối ưu mô tả và hiển thị giao diện sự kiện cũng như hiệu ứng tiến trình khi chiến đấu ở Nơi Trú Ẩn Biên Giới.
 - Tối ưu hàng chờ xây dựng thứ 2: tối ưu hiển thị thợ xây và gói giao diện hàng chờ xâ"&amp;"y dựng thứ 2.
 - Tối ưu hiển thị bản đồ: tối ưu ngoại hình công trình của tàn tích và icon tương ứng; điều chỉnh màu của các tuyến đường hành quân để hiển thị rõ hơn.
 - Tối ưu kỹ năng Chiến Binh: tối ưu mô tả kỹ năng Chiến Binh, làm rõ phạm vi tấn công c"&amp;"ủa kỹ năng Chiến Binh và số lượng mục tiêu; thêm hiệu ứng vòng tròn vào phạm vi tấn công khi Chiến Binh thi triển một kỹ năng.
 - Tối ưu Trung Tâm Thương Mại Kỳ Thú: tăng cường tổng quan thuộc tính Di Tích; tối ưu giao diện hiển thị Di Tích trong Trung Tâ"&amp;"m Thương Mại; tối ưu giao diện thăm dò Di Tích.
 - Tối ưu hiển thị giao diện: tối ưu cửa sổ bật lên nhấn và giữ trên bản đồ lớn, cửa sổ bật lên tàn tích của loài người, hiển thị Chiến Binh sau khi đóng vai chính, giao diện Tháp Nuôi Dưỡng Gen, và icon cho"&amp;" gói Tay Đua Vô Địch của Tập Hợp Lốc Xoáy.")</f>
        <v>- Lối chơi mới: Săn Kho Báu của Alvin. Alvin sẽ dẫn dắt các trinh sát khác đi săn kho báu trong các tàn tích. Nhưng họ đã gặp rắc rối! Hãy sử dụng trí tuệ của bạn để giúp họ gỡ dây thừng bị rối!
 - Gói mới: thêm gói độc quyền tân thủ. Thưởng độc quyền cho những người chơi mới! Nhận những vật phẩm giá trị lớn mỗi ngày!
 - Gói mới: thêm gói Chip mới. Mua gói để giảm vĩnh viễn thời gian nghiên cứu Công Nghệ Điện Tử!
 - Tối ưu Trận Phục Thù của Tiến Sĩ Hogg: tối ưu hiển thị giao diện; thêm thưởng gây sát thương cao nhất cho cá nhân.
 - Tối ưu Khám Phá Của Colin: tối ưu hiển thị giao diện và vị trí sinh sản quái vật; thêm các nhiệm vụ loại khám phá có thể xuất hiện sau Cấp 2.
 - Tối ưu Linh Trưởng Brawl: thêm hiển thị xếp hạng sau khi sự kiện kết thúc.
 - Tối ưu tập hợp tự động: điều chỉnh các yêu cầu để được sử dụng, Tòa Thị Chính của người chơi phải đạt Cấp 18 hoặc nâng cấp VIP của họ để sử dụng chức năng này.
 - Tối ưu Đại Đấu Trường Thiên Thể: tối ưu hiển thị giao diện, các yêu cầu và quy tắc dịch chuyển, tên và hiệu ứng công trình.
 - Tối ưu Đột Kích Biên Giới: tối ưu mô tả và hiển thị giao diện sự kiện cũng như hiệu ứng tiến trình khi chiến đấu ở Nơi Trú Ẩn Biên Giới.
 - Tối ưu hàng chờ xây dựng thứ 2: tối ưu hiển thị thợ xây và gói giao diện hàng chờ xây dựng thứ 2.
 - Tối ưu hiển thị bản đồ: tối ưu ngoại hình công trình của tàn tích và icon tương ứng; điều chỉnh màu của các tuyến đường hành quân để hiển thị rõ hơn.
 - Tối ưu kỹ năng Chiến Binh: tối ưu mô tả kỹ năng Chiến Binh, làm rõ phạm vi tấn công của kỹ năng Chiến Binh và số lượng mục tiêu; thêm hiệu ứng vòng tròn vào phạm vi tấn công khi Chiến Binh thi triển một kỹ năng.
 - Tối ưu Trung Tâm Thương Mại Kỳ Thú: tăng cường tổng quan thuộc tính Di Tích; tối ưu giao diện hiển thị Di Tích trong Trung Tâm Thương Mại; tối ưu giao diện thăm dò Di Tích.
 - Tối ưu hiển thị giao diện: tối ưu cửa sổ bật lên nhấn và giữ trên bản đồ lớn, cửa sổ bật lên tàn tích của loài người, hiển thị Chiến Binh sau khi đóng vai chính, giao diện Tháp Nuôi Dưỡng Gen, và icon cho gói Tay Đua Vô Địch của Tập Hợp Lốc Xoáy.</v>
      </c>
      <c r="N11" s="34"/>
      <c r="O11" s="148"/>
      <c r="P11" s="148"/>
      <c r="Q11" s="148"/>
      <c r="R11" s="148"/>
      <c r="S11" s="148"/>
      <c r="T11" s="148"/>
      <c r="U11" s="148"/>
      <c r="V11" s="148"/>
      <c r="W11" s="148"/>
      <c r="X11" s="148"/>
      <c r="Y11" s="148"/>
      <c r="Z11" s="148"/>
    </row>
    <row r="12">
      <c r="A12" s="149" t="str">
        <f>IFERROR(__xludf.DUMMYFUNCTION("""COMPUTED_VALUE"""),"0.32.0")</f>
        <v>0.32.0</v>
      </c>
      <c r="B12" s="13" t="str">
        <f>IFERROR(__xludf.DUMMYFUNCTION("""COMPUTED_VALUE"""),"-新增建筑商店街：整合了各种商店的入口，包含秘密商店、普通商店、VIP商店、军功商店、氏族商店以及银河商店，同时移除神秘商店建筑。
-新增快速帮助和集结入口：现在你可以更快地参与集结，帮助你的盟友了；
-新增部分功能弹窗：现在你可以更加直观地看到基地升级的变化、解锁新兵种的信息以及香蕉光谱仪带来的收益了；
-新增CD投资玩法：通过CD投资计划，获得高额收益，快来成为金融大亨吧！
-新增押运基金玩法：完成押运即可获得积分，以解锁对应奖励！
-新增活动-斗士成长：活动期间培养指定斗士完成任务即可领取丰厚奖励！"&amp;"
-新增活动-泳池派对：猴子们纷纷参与泳池派对，上演夏日狂欢，更有丰厚奖励等你获取！
-新增活动-猴子收藏家：完成对应任务，精美收藏品带回家！
-新增特惠自助礼包：礼包内容你来定，各种组合随心搭配！
-增加主城空间：随着等级提升，城市将有更多的空间来摆放建筑和装饰；
-章节任务调整：对部分章节任务的内容进行了调整，优化了视觉表现；
-酒馆系统优化：决斗赛入口移至酒馆，优化酒馆内场景展示，增加部分交互效果；
-科林的探索优化：新增收集图鉴，调整了任务个数、怪物难度和奖励，优化了界面表现；
-界面引导优化：补"&amp;"充修改了部分引导内容，帮助您更快理解相关玩法；
-界面表现优化：优化“城市大发展”和“科研大提升”表现，优化“边境夺宝”界面，优化了战斗时伤害数值显示和英雄技能范围特效，优化“集结出击”和“领地巡防”界面表现，调整了军情按钮位置，优化了“霍格博士的复仇”界面表现；")</f>
        <v>-新增建筑商店街：整合了各种商店的入口，包含秘密商店、普通商店、VIP商店、军功商店、氏族商店以及银河商店，同时移除神秘商店建筑。
-新增快速帮助和集结入口：现在你可以更快地参与集结，帮助你的盟友了；
-新增部分功能弹窗：现在你可以更加直观地看到基地升级的变化、解锁新兵种的信息以及香蕉光谱仪带来的收益了；
-新增CD投资玩法：通过CD投资计划，获得高额收益，快来成为金融大亨吧！
-新增押运基金玩法：完成押运即可获得积分，以解锁对应奖励！
-新增活动-斗士成长：活动期间培养指定斗士完成任务即可领取丰厚奖励！
-新增活动-泳池派对：猴子们纷纷参与泳池派对，上演夏日狂欢，更有丰厚奖励等你获取！
-新增活动-猴子收藏家：完成对应任务，精美收藏品带回家！
-新增特惠自助礼包：礼包内容你来定，各种组合随心搭配！
-增加主城空间：随着等级提升，城市将有更多的空间来摆放建筑和装饰；
-章节任务调整：对部分章节任务的内容进行了调整，优化了视觉表现；
-酒馆系统优化：决斗赛入口移至酒馆，优化酒馆内场景展示，增加部分交互效果；
-科林的探索优化：新增收集图鉴，调整了任务个数、怪物难度和奖励，优化了界面表现；
-界面引导优化：补充修改了部分引导内容，帮助您更快理解相关玩法；
-界面表现优化：优化“城市大发展”和“科研大提升”表现，优化“边境夺宝”界面，优化了战斗时伤害数值显示和英雄技能范围特效，优化“集结出击”和“领地巡防”界面表现，调整了军情按钮位置，优化了“霍格博士的复仇”界面表现；</v>
      </c>
      <c r="C12" s="13" t="str">
        <f>IFERROR(__xludf.DUMMYFUNCTION("""COMPUTED_VALUE"""),"- New building, Shop Street: integrated access to various shops including Secret Shop, Regular Shop, VIP Shop, Clan Honors Shop, Clan Shop, and Planetary Shop; removed the Secret Shop building.
- Added Quick Help and Rally access icon: now you can join ra"&amp;"llies or help your Gangmates more quickly!
- Added pop-up windows for certain features: now you can see more clearly the changes brought by City upgrades, info on unlocking new troop types, and gains from the Banana Spectrometer.
- New CD Investment gamep"&amp;"lay: Invest CDs in a Financial Plan and earn high returns. Ready to become a financial tycoon?
- New Convoy Fund gameplay: complete Convoys to earn points and unlock corresponding rewards!
- New event, Fighter Growth: complete quests by developing designa"&amp;"ted Fighters during the event to earn amazing rewards!
- New event, Pool Party: everyone showed up to the pool party! Join the summer jubilee and earn great rewards!
- New event, Primate Collector: complete quests to take home super cool Relics!
- Added S"&amp;"pecial Offer Custom Pack: choose your own rewards, combine and mix as you like!
- City Size expanded: as you level up, the City will have more space to place buildings and decorations.
- Chapter quests adjusted: changed the contents of certain chapter que"&amp;"sts, optimized visual effects.
- Tavern optimized: access to the Arena moved to Tavern; optimized Tavern's interior scene, increased interactive effects.
- Colin's Exploration optimized: added Categories, changed the number of quests, neutral unit difficu"&amp;"lty level, and rewards; optimized interface.
- Tutorial optimized: added to or changed certain tutorial elements to help you understand related gameplays faster.
- Interface optimized: optimized ''Develop City'' and ''Improve Research,'' ''Border Raids,''"&amp;" damage value display during battle, Fighter skill range special effects, ''Rally Showdown'' and ''Territory Patrol'' interfaces, and ''Dr. Hogg's Revenge'' interface; also changed the location of the Alerts button.")</f>
        <v>- New building, Shop Street: integrated access to various shops including Secret Shop, Regular Shop, VIP Shop, Clan Honors Shop, Clan Shop, and Planetary Shop; removed the Secret Shop building.
- Added Quick Help and Rally access icon: now you can join rallies or help your Gangmates more quickly!
- Added pop-up windows for certain features: now you can see more clearly the changes brought by City upgrades, info on unlocking new troop types, and gains from the Banana Spectrometer.
- New CD Investment gameplay: Invest CDs in a Financial Plan and earn high returns. Ready to become a financial tycoon?
- New Convoy Fund gameplay: complete Convoys to earn points and unlock corresponding rewards!
- New event, Fighter Growth: complete quests by developing designated Fighters during the event to earn amazing rewards!
- New event, Pool Party: everyone showed up to the pool party! Join the summer jubilee and earn great rewards!
- New event, Primate Collector: complete quests to take home super cool Relics!
- Added Special Offer Custom Pack: choose your own rewards, combine and mix as you like!
- City Size expanded: as you level up, the City will have more space to place buildings and decorations.
- Chapter quests adjusted: changed the contents of certain chapter quests, optimized visual effects.
- Tavern optimized: access to the Arena moved to Tavern; optimized Tavern's interior scene, increased interactive effects.
- Colin's Exploration optimized: added Categories, changed the number of quests, neutral unit difficulty level, and rewards; optimized interface.
- Tutorial optimized: added to or changed certain tutorial elements to help you understand related gameplays faster.
- Interface optimized: optimized ''Develop City'' and ''Improve Research,'' ''Border Raids,'' damage value display during battle, Fighter skill range special effects, ''Rally Showdown'' and ''Territory Patrol'' interfaces, and ''Dr. Hogg's Revenge'' interface; also changed the location of the Alerts button.</v>
      </c>
      <c r="D12" s="154" t="str">
        <f>IFERROR(__xludf.DUMMYFUNCTION("""COMPUTED_VALUE"""),"- Nouveau bâtiment: la rue commerçante. Accédez à de nombreuses boutiques telles que les boutiques secrète, VIP, clanique, ordinaire et planétaire. Retrait du bâtiment boutique secrète. 
- Ajout d’icônes d’accès à l’aide rapide et aux raids. Vous pouvez d"&amp;"ésormais rejoindre les raids et aider vos alliés plus rapidement. 
- Nouvelles fenêtres pop-up pour certaines fonctionnalités. Vous pouvez désormais voir en un coup d'œil les changements apportés par l'amélioration de votre ville, les infos sur le débloca"&amp;"ge de nouveaux types de troupes et les bénéfices liés au spectromètre banane. 
- Nouveau gameplay 'Investissement en CD': investissez des CD dans un plan financier pour faire un maximum de bénéfices. Prêt à devenir un magnat de la finance? 
- Nouveau game"&amp;"play 'Fonds de convoi': acheminez des convois pour gagner des points et débloquer des récompenses! 
- Nouvel évènement: 'Développement du combattant'. Pendant l'évènement, accomplissez des quêtes en améliorant le combattant désigné pour gagner des points "&amp;"et des récompenses! 
- Nouvel évènement: 'Pool party'. Tout le monde est venu pour la Pool party! Participez à la fête estivale et gagnez de magnifiques récompenses! 
- Nouvel évènement: 'Collecteur primate'. Accomplissez des quêtes et rentrez les bras ch"&amp;"argés de reliques ultra cools! 
- Nouvelle offre spéciale pack personnalisé: choisissez vous-même vos récompenses, mélangez et combinez comme il vous plaît! 
- Agrandissement de la ville: plus vous montez en niveaux et plus votre ville s'agrandit pour acc"&amp;"ueillir de nouveaux bâtiments et décorations. 
- Optimisation des quêtes de chapitre: modification de certains contenus; optimisation des effets visuels. 
- Optimisation de la taverne: l'accès à l'arène se fait désormais dans la taverne; optimisation de l"&amp;"'intérieur de la taverne; amélioration des effets interactifs. 
- Optimisation de l'exploration de Colin: nouvelles catégories; modification du nombre de quêtes, du niveau de difficulté des unités neutres et des récompenses; optimisation de l'interface. 
"&amp;"- Optimisation du tutoriel: ajout et modification de certains éléments pour faciliter la compréhension du gameplay. 
- Optimisation de l'interface: optimisation de 'Développement de ville' et 'Amélioration de la recherche'; les dégâts des 'raids frontalie"&amp;"rs' sont désormais affiché durant le combat, optimisation des interfaces de 'Patrouille de zone', 'Affrontement en raid' et 'La revanche du Dr Hogg'; déplacement du bouton des alertes. ")</f>
        <v>- Nouveau bâtiment: la rue commerçante. Accédez à de nombreuses boutiques telles que les boutiques secrète, VIP, clanique, ordinaire et planétaire. Retrait du bâtiment boutique secrète. 
- Ajout d’icônes d’accès à l’aide rapide et aux raids. Vous pouvez désormais rejoindre les raids et aider vos alliés plus rapidement. 
- Nouvelles fenêtres pop-up pour certaines fonctionnalités. Vous pouvez désormais voir en un coup d'œil les changements apportés par l'amélioration de votre ville, les infos sur le déblocage de nouveaux types de troupes et les bénéfices liés au spectromètre banane. 
- Nouveau gameplay 'Investissement en CD': investissez des CD dans un plan financier pour faire un maximum de bénéfices. Prêt à devenir un magnat de la finance? 
- Nouveau gameplay 'Fonds de convoi': acheminez des convois pour gagner des points et débloquer des récompenses! 
- Nouvel évènement: 'Développement du combattant'. Pendant l'évènement, accomplissez des quêtes en améliorant le combattant désigné pour gagner des points et des récompenses! 
- Nouvel évènement: 'Pool party'. Tout le monde est venu pour la Pool party! Participez à la fête estivale et gagnez de magnifiques récompenses! 
- Nouvel évènement: 'Collecteur primate'. Accomplissez des quêtes et rentrez les bras chargés de reliques ultra cools! 
- Nouvelle offre spéciale pack personnalisé: choisissez vous-même vos récompenses, mélangez et combinez comme il vous plaît! 
- Agrandissement de la ville: plus vous montez en niveaux et plus votre ville s'agrandit pour accueillir de nouveaux bâtiments et décorations. 
- Optimisation des quêtes de chapitre: modification de certains contenus; optimisation des effets visuels. 
- Optimisation de la taverne: l'accès à l'arène se fait désormais dans la taverne; optimisation de l'intérieur de la taverne; amélioration des effets interactifs. 
- Optimisation de l'exploration de Colin: nouvelles catégories; modification du nombre de quêtes, du niveau de difficulté des unités neutres et des récompenses; optimisation de l'interface. 
- Optimisation du tutoriel: ajout et modification de certains éléments pour faciliter la compréhension du gameplay. 
- Optimisation de l'interface: optimisation de 'Développement de ville' et 'Amélioration de la recherche'; les dégâts des 'raids frontaliers' sont désormais affiché durant le combat, optimisation des interfaces de 'Patrouille de zone', 'Affrontement en raid' et 'La revanche du Dr Hogg'; déplacement du bouton des alertes. </v>
      </c>
      <c r="E12" s="154" t="str">
        <f>IFERROR(__xludf.DUMMYFUNCTION("""COMPUTED_VALUE"""),"- Neues Gebäude, die Ladenstraße: Zugriff an einem Ort auf verschiedene Läden wie den Geheimladen, den regulären Shop, den VIP-Shop, den Horden-Ehre-Shop, den Hordenshop und den Planeten-Shop. Der Geheimladen als Gebäude wurde entfernt.
 - Symbole für den"&amp;" Schnellzugriff auf Hilfe und Sammelangriffe hinzugefügt: Jetzt kannst du schneller Sammelangriffen beitreten und deinen Clanmitgliedern helfen!
 - Pop-up-Fenster für bestimmte Funktionen hinzugefügt: Jetzt siehst du Änderungen, die ein Stadtausbau mit si"&amp;"ch bringt, Informationen zum Freischalten von Truppen-Typen und Gewinne durch das Bananen-Spektrometer deutlicher.
 - Neue Spielfunktion, CD-Investition: Investiere CDs in einen Finanzplan und hol dir hohe Rendite. Bist du bereit, ein Finanzmagnat zu werd"&amp;"en?
 - Neue Spielfunktion, Konvoi-Fonds: Schließe Konvois ab, um dir Punkte zu verdienen und entsprechende Belohnungen freizuschalten!
 - Neues Event, Kämpferwachstum: Schließe Quests ab, indem du bestimmte Kämpfer während des Events entwickelst, und hol "&amp;"dir tolle Belohnungen!
 - Neues Event, die Pool-Party: Alle kommen zur Pool-Party! Mach mit bei diesem Sommerfest und verdiene dir fabelhafte Belohnungen!
 - Neues Event, Primatensammler: Schließe Quests ab, um fantastische Relikte abzusahnen!
 - Sonder-S"&amp;"pezialpaket hinzugefügt: Wähle deine Belohnungen und kombiniere sie nach Lust und Laune!
 - Stadtgröße erweitert: Wenn du im Level aufsteigst, hat deine Stadt mehr Platz für Gebäude und Dekorationen.
 - Kapitel-Quests angepasst: Die Inhalte bestimmter Kap"&amp;"itel-Quests wurden geändert und die Grafikeffekte optimiert.
 - Taverne optimiert: Zugriff auf die Arena wurde in die Taverne verlegt, das Innendekor optimiert und mehr interaktive Effekte hinzugefügt.
 - Colins Erkundung optimiert: Kategorien wurden hinz"&amp;"ugefügt; die Anzahl Quests, Schwierigkeitsstufe normaler Einheiten und Belohnungen wurden geändert; die Benutzeroberfläche wurde optimiert.
 - Tutorial optimiert: Bestimmte Elemente wurden hinzugefügt oder geändert, um die entsprechenden Spielfunktionen v"&amp;"erständlicher zu gestalten.
 - Benutzeroberfläche optimiert: Die Oberflächen für „Stadt entwickeln“, „Forschung verbessern“, Grenzüberfälle, die Anzeige von Schadenswerten im Kampf, die Spezialeffekte der Reichweite von Kämpferfähigkeiten, „Sammelangriffs"&amp;"-Showdown“, „Gebietspatrouille“ und „Dr. Hoggs Rache“ wurden verbessert. Die Schaltfläche „Warnungen“ wurde anders platziert.")</f>
        <v>- Neues Gebäude, die Ladenstraße: Zugriff an einem Ort auf verschiedene Läden wie den Geheimladen, den regulären Shop, den VIP-Shop, den Horden-Ehre-Shop, den Hordenshop und den Planeten-Shop. Der Geheimladen als Gebäude wurde entfernt.
 - Symbole für den Schnellzugriff auf Hilfe und Sammelangriffe hinzugefügt: Jetzt kannst du schneller Sammelangriffen beitreten und deinen Clanmitgliedern helfen!
 - Pop-up-Fenster für bestimmte Funktionen hinzugefügt: Jetzt siehst du Änderungen, die ein Stadtausbau mit sich bringt, Informationen zum Freischalten von Truppen-Typen und Gewinne durch das Bananen-Spektrometer deutlicher.
 - Neue Spielfunktion, CD-Investition: Investiere CDs in einen Finanzplan und hol dir hohe Rendite. Bist du bereit, ein Finanzmagnat zu werden?
 - Neue Spielfunktion, Konvoi-Fonds: Schließe Konvois ab, um dir Punkte zu verdienen und entsprechende Belohnungen freizuschalten!
 - Neues Event, Kämpferwachstum: Schließe Quests ab, indem du bestimmte Kämpfer während des Events entwickelst, und hol dir tolle Belohnungen!
 - Neues Event, die Pool-Party: Alle kommen zur Pool-Party! Mach mit bei diesem Sommerfest und verdiene dir fabelhafte Belohnungen!
 - Neues Event, Primatensammler: Schließe Quests ab, um fantastische Relikte abzusahnen!
 - Sonder-Spezialpaket hinzugefügt: Wähle deine Belohnungen und kombiniere sie nach Lust und Laune!
 - Stadtgröße erweitert: Wenn du im Level aufsteigst, hat deine Stadt mehr Platz für Gebäude und Dekorationen.
 - Kapitel-Quests angepasst: Die Inhalte bestimmter Kapitel-Quests wurden geändert und die Grafikeffekte optimiert.
 - Taverne optimiert: Zugriff auf die Arena wurde in die Taverne verlegt, das Innendekor optimiert und mehr interaktive Effekte hinzugefügt.
 - Colins Erkundung optimiert: Kategorien wurden hinzugefügt; die Anzahl Quests, Schwierigkeitsstufe normaler Einheiten und Belohnungen wurden geändert; die Benutzeroberfläche wurde optimiert.
 - Tutorial optimiert: Bestimmte Elemente wurden hinzugefügt oder geändert, um die entsprechenden Spielfunktionen verständlicher zu gestalten.
 - Benutzeroberfläche optimiert: Die Oberflächen für „Stadt entwickeln“, „Forschung verbessern“, Grenzüberfälle, die Anzeige von Schadenswerten im Kampf, die Spezialeffekte der Reichweite von Kämpferfähigkeiten, „Sammelangriffs-Showdown“, „Gebietspatrouille“ und „Dr. Hoggs Rache“ wurden verbessert. Die Schaltfläche „Warnungen“ wurde anders platziert.</v>
      </c>
      <c r="F12" s="154" t="str">
        <f>IFERROR(__xludf.DUMMYFUNCTION("""COMPUTED_VALUE"""),"- Nova estrutura, Loja de Rua: acesso integrado a várias lojas, incluindo loja secreta, loja normal, loja VIP, loja de honras do clã, loja do clã e loja planetária; a estrutura da loja secreta foi removida.
 - Adição dos ícones de ajuda rápida e de acesso"&amp;" a incursões: agora é possível entrar em incursões ou ajudar seus parceiros de gangue mais rapidamente.
 - Foram adicionadas janelas pop-up para determinados recursos: agora é possível ver mais claramente as mudanças de melhorias na cidade, informações so"&amp;"bre desbloqueio de novos tipos de tropa e ganhos do espectrômetro banana.
 - Novo modo 'Investimento de CDs': invista CDs num plano financeiro e tenha alto retorno. Tudo pronto para se tornar um magnata financeiro?
 - Novo modo 'Fundo de Comboio': conclua"&amp;" comboios para ganhar pontos e desbloquear as recompensas correspondentes!
 - Novo evento, Evolução do Combatente: conclua as missões para desenvolver determinados combatentes durante o evento e ganhe recompensas incríveis!
 - Novo evento, Festa da Piscin"&amp;"a: parece que todos vieram para a festa da piscina! Participe do jubileu de verão e ganhe grandes recompensas!
 - Novo evento, Coletor Primata: conclua as missões e leve relíquias superlegais para casa!
 - Adicionado o Pacote de Oferta Especial Customizad"&amp;"o: escolha suas próprias recompensas, combine e misture-as como quiser!
 - Expansão do tamanho da cidade: à medida que você sobe de nível, a cidade ganhará mais espaço no qual você poderá construir estruturas e decorações.
 - Ajustes nas missões de capítu"&amp;"lo: alteração do conteúdo de determinadas missões de capítulo, melhorias em efeitos visuais.
 - Taverna melhorada: acesso à arena deslocado para a taverna; melhoria no interior da taverna, assim como nos efeitos interativos.
 - Melhoria de Exploração de C"&amp;"olin: foram adicionados categorias, mudança no número de missões, nível de dificuldade de unidades neutras e melhorias da interface.
 - Melhoria no tutorial: adições e mudanças em determinados elementos do tutorial para ajudar na compreensão mais rápida d"&amp;"os modos de jogo.
 - Melhorias nas seguintes interfaces: 'Desenvolver Cidade' e 'Melhorar Pesquisa', 'Raides de Fronteira', exibição de valor de dano durante a batalha, efeitos especiais do alcance de habilidades de combatente, 'Confronto de Incursões', '"&amp;"Patrulha Territorial', 'Vingança de Dr. Hogg', localização de botões de alerta.")</f>
        <v>- Nova estrutura, Loja de Rua: acesso integrado a várias lojas, incluindo loja secreta, loja normal, loja VIP, loja de honras do clã, loja do clã e loja planetária; a estrutura da loja secreta foi removida.
 - Adição dos ícones de ajuda rápida e de acesso a incursões: agora é possível entrar em incursões ou ajudar seus parceiros de gangue mais rapidamente.
 - Foram adicionadas janelas pop-up para determinados recursos: agora é possível ver mais claramente as mudanças de melhorias na cidade, informações sobre desbloqueio de novos tipos de tropa e ganhos do espectrômetro banana.
 - Novo modo 'Investimento de CDs': invista CDs num plano financeiro e tenha alto retorno. Tudo pronto para se tornar um magnata financeiro?
 - Novo modo 'Fundo de Comboio': conclua comboios para ganhar pontos e desbloquear as recompensas correspondentes!
 - Novo evento, Evolução do Combatente: conclua as missões para desenvolver determinados combatentes durante o evento e ganhe recompensas incríveis!
 - Novo evento, Festa da Piscina: parece que todos vieram para a festa da piscina! Participe do jubileu de verão e ganhe grandes recompensas!
 - Novo evento, Coletor Primata: conclua as missões e leve relíquias superlegais para casa!
 - Adicionado o Pacote de Oferta Especial Customizado: escolha suas próprias recompensas, combine e misture-as como quiser!
 - Expansão do tamanho da cidade: à medida que você sobe de nível, a cidade ganhará mais espaço no qual você poderá construir estruturas e decorações.
 - Ajustes nas missões de capítulo: alteração do conteúdo de determinadas missões de capítulo, melhorias em efeitos visuais.
 - Taverna melhorada: acesso à arena deslocado para a taverna; melhoria no interior da taverna, assim como nos efeitos interativos.
 - Melhoria de Exploração de Colin: foram adicionados categorias, mudança no número de missões, nível de dificuldade de unidades neutras e melhorias da interface.
 - Melhoria no tutorial: adições e mudanças em determinados elementos do tutorial para ajudar na compreensão mais rápida dos modos de jogo.
 - Melhorias nas seguintes interfaces: 'Desenvolver Cidade' e 'Melhorar Pesquisa', 'Raides de Fronteira', exibição de valor de dano durante a batalha, efeitos especiais do alcance de habilidades de combatente, 'Confronto de Incursões', 'Patrulha Territorial', 'Vingança de Dr. Hogg', localização de botões de alerta.</v>
      </c>
      <c r="G12" s="13" t="str">
        <f>IFERROR(__xludf.DUMMYFUNCTION("""COMPUTED_VALUE"""),"-新增建筑商店街：整合了各种商店的入口，包含秘密商店、普通商店、VIP商店、军功商店、氏族商店以及银河商店，同时移除神秘商店建筑。
-新增快速帮助和集结入口：现在你可以更快地参与集结，帮助你的盟友了；
-新增部分功能弹窗：现在你可以更加直观地看到基地升级的变化、解锁新兵种的信息以及香蕉光谱仪带来的收益了；
-新增CD投资玩法：通过CD投资计划，获得高额收益，快来成为金融大亨吧！
-新增押运基金玩法：完成押运即可获得积分，以解锁对应奖励！
-新增活动-斗士成长：活动期间培养指定斗士完成任务即可领取丰厚奖励！"&amp;"
-新增活动-泳池派对：猴子们纷纷参与泳池派对，上演夏日狂欢，更有丰厚奖励等你获取！
-新增活动-猴子收藏家：完成对应任务，精美收藏品带回家！
-新增特惠自助礼包：礼包内容你来定，各种组合随心搭配！
-增加主城空间：随着等级提升，城市将有更多的空间来摆放建筑和装饰；
-章节任务调整：对部分章节任务的内容进行了调整，优化了视觉表现；
-酒馆系统优化：决斗赛入口移至酒馆，优化酒馆内场景展示，增加部分交互效果；
-科林的探索优化：新增收集图鉴，调整了任务个数、怪物难度和奖励，优化了界面表现；
-界面引导优化：补"&amp;"充修改了部分引导内容，帮助您更快理解相关玩法；
-界面表现优化：优化“城市大发展”和“科研大提升”表现，优化“边境夺宝”界面，优化了战斗时伤害数值显示和英雄技能范围特效，优化“集结出击”和“领地巡防”界面表现，调整了军情按钮位置，优化了“霍格博士的复仇”界面表现；")</f>
        <v>-新增建筑商店街：整合了各种商店的入口，包含秘密商店、普通商店、VIP商店、军功商店、氏族商店以及银河商店，同时移除神秘商店建筑。
-新增快速帮助和集结入口：现在你可以更快地参与集结，帮助你的盟友了；
-新增部分功能弹窗：现在你可以更加直观地看到基地升级的变化、解锁新兵种的信息以及香蕉光谱仪带来的收益了；
-新增CD投资玩法：通过CD投资计划，获得高额收益，快来成为金融大亨吧！
-新增押运基金玩法：完成押运即可获得积分，以解锁对应奖励！
-新增活动-斗士成长：活动期间培养指定斗士完成任务即可领取丰厚奖励！
-新增活动-泳池派对：猴子们纷纷参与泳池派对，上演夏日狂欢，更有丰厚奖励等你获取！
-新增活动-猴子收藏家：完成对应任务，精美收藏品带回家！
-新增特惠自助礼包：礼包内容你来定，各种组合随心搭配！
-增加主城空间：随着等级提升，城市将有更多的空间来摆放建筑和装饰；
-章节任务调整：对部分章节任务的内容进行了调整，优化了视觉表现；
-酒馆系统优化：决斗赛入口移至酒馆，优化酒馆内场景展示，增加部分交互效果；
-科林的探索优化：新增收集图鉴，调整了任务个数、怪物难度和奖励，优化了界面表现；
-界面引导优化：补充修改了部分引导内容，帮助您更快理解相关玩法；
-界面表现优化：优化“城市大发展”和“科研大提升”表现，优化“边境夺宝”界面，优化了战斗时伤害数值显示和英雄技能范围特效，优化“集结出击”和“领地巡防”界面表现，调整了军情按钮位置，优化了“霍格博士的复仇”界面表现；</v>
      </c>
      <c r="H12" s="154" t="str">
        <f>IFERROR(__xludf.DUMMYFUNCTION("""COMPUTED_VALUE"""),"- Bangunan baru, Jalan Toko: akses terintegrasi ke berbagai toko termasuk Toko Rahasia, Toko Reguler, Toko VIP, Toko Kehormatan Klan, Toko Klan, dan Toko Planet; menghapus bangunan Toko Rahasia.
- Menambahkan ikon akses Bantuan Cepat dan Reli: sekarang ka"&amp;"mu bisa bergabung dengan reli atau membantu Teman Gengmu lebih cepat!
- Menambahkan jendela pop-up untuk fitur tertentu: sekarang kamu bisa melihat lebih jelas perubahan yang dihadirkan oleh peningkatan Kota, info tentang membuka jenis pasukan baru, dan k"&amp;"euntungan dari Spektrometer Pisang.
- Gameplay Investasi CD Baru: Investasikan CD dalam Rencana Keuangan dan dapatkan pengembalian tinggi. Siap menjadi raja keuangan?
- Gameplay Dana Konvoi Baru: selesaikan Konvoi untuk mendapatkan poin dan membuka hadiah"&amp;" yang sesuai!
- Acara baru, Pertumbuhan Pejuang: selesaikan misi dengan mengembangkan Pejuang yang ditunjuk selama acara untuk mendapatkan hadiah luar biasa!
- Acara baru, Pesta Kolam Renang: semua orang datang ke pesta kolam renang! Bergabunglah dengan p"&amp;"erayaan musim panas dan dapatkan hadiah besar!
- Acara baru, Kolektor Primata: selesaikan misi untuk membawa pulang Relik yang sangat keren!
- Menambahkan Paket Khusus Penawaran Khusus: pilih hadiahmu sendiri, gabung dan campurkan sesukamu!
 - Ukuran Kota"&amp;" diperluas: saat kamu naik level, Kota akan memiliki lebih banyak ruang untuk menempatkan bangunan dan dekorasi.
- Misi babak disesuaikan: mengubah konten misi babak tertentu, mengoptimalkan efek visual.
- Kedai dioptimalkan: akses ke Arena dipindahkan ke"&amp;" Kedai; pengoptimalan adegan interior Kedai, peningkatan efek interaktif.
- Penjelajahan Colin dioptimalkan: menambahkan Kategori, mengubah jumlah misi, tingkat kesulitan unit netral, dan hadiah; mengoptimalkan antarmuka.
- Tutorial dioptimalkan: menambah"&amp;"kan atau mengubah elemen tutorial tertentu untuk membantumu memahami gameplay terkait lebih cepat.
- Antarmuka dioptimalkan: pengoptimalan 'Kembangkan Kota' dan 'Tingkatkan Penelitian', 'Serangan Perbatasan', tampilan nilai kerusakan selama pertempuran, e"&amp;"fek khusus rentang keahlian Pejuang, antarmuka 'Pertarungan Reli', dan 'Patroli Wilayah', dan antarmuka 'Pembalasan Dr. Hogg'; juga perubahan lokasi tombol Peringatan'.")</f>
        <v>- Bangunan baru, Jalan Toko: akses terintegrasi ke berbagai toko termasuk Toko Rahasia, Toko Reguler, Toko VIP, Toko Kehormatan Klan, Toko Klan, dan Toko Planet; menghapus bangunan Toko Rahasia.
- Menambahkan ikon akses Bantuan Cepat dan Reli: sekarang kamu bisa bergabung dengan reli atau membantu Teman Gengmu lebih cepat!
- Menambahkan jendela pop-up untuk fitur tertentu: sekarang kamu bisa melihat lebih jelas perubahan yang dihadirkan oleh peningkatan Kota, info tentang membuka jenis pasukan baru, dan keuntungan dari Spektrometer Pisang.
- Gameplay Investasi CD Baru: Investasikan CD dalam Rencana Keuangan dan dapatkan pengembalian tinggi. Siap menjadi raja keuangan?
- Gameplay Dana Konvoi Baru: selesaikan Konvoi untuk mendapatkan poin dan membuka hadiah yang sesuai!
- Acara baru, Pertumbuhan Pejuang: selesaikan misi dengan mengembangkan Pejuang yang ditunjuk selama acara untuk mendapatkan hadiah luar biasa!
- Acara baru, Pesta Kolam Renang: semua orang datang ke pesta kolam renang! Bergabunglah dengan perayaan musim panas dan dapatkan hadiah besar!
- Acara baru, Kolektor Primata: selesaikan misi untuk membawa pulang Relik yang sangat keren!
- Menambahkan Paket Khusus Penawaran Khusus: pilih hadiahmu sendiri, gabung dan campurkan sesukamu!
 - Ukuran Kota diperluas: saat kamu naik level, Kota akan memiliki lebih banyak ruang untuk menempatkan bangunan dan dekorasi.
- Misi babak disesuaikan: mengubah konten misi babak tertentu, mengoptimalkan efek visual.
- Kedai dioptimalkan: akses ke Arena dipindahkan ke Kedai; pengoptimalan adegan interior Kedai, peningkatan efek interaktif.
- Penjelajahan Colin dioptimalkan: menambahkan Kategori, mengubah jumlah misi, tingkat kesulitan unit netral, dan hadiah; mengoptimalkan antarmuka.
- Tutorial dioptimalkan: menambahkan atau mengubah elemen tutorial tertentu untuk membantumu memahami gameplay terkait lebih cepat.
- Antarmuka dioptimalkan: pengoptimalan 'Kembangkan Kota' dan 'Tingkatkan Penelitian', 'Serangan Perbatasan', tampilan nilai kerusakan selama pertempuran, efek khusus rentang keahlian Pejuang, antarmuka 'Pertarungan Reli', dan 'Patroli Wilayah', dan antarmuka 'Pembalasan Dr. Hogg'; juga perubahan lokasi tombol Peringatan'.</v>
      </c>
      <c r="I12" s="13" t="str">
        <f>IFERROR(__xludf.DUMMYFUNCTION("""COMPUTED_VALUE"""),"- สิ่งปลูกสร้างใหม่ ถนนร้านค้า: ศูนย์รวมร้านค้าต่าง ๆ ทั้งร้านลับ ร้านทั่วไป ร้านวีไอพี ร้านเกียรติยศเผ่า ร้านประจำเผ่า และร้านดาวเคราะห์ โดยนำตัวอาคารของร้านลับออกไป
 - เพิ่มไอคอนช่วยเหลือด่วนและไอคอนการยกทัพ: ในตอนนี้ คุณสามารถเข้าร่วมการยกทัพหรือช่วยเห"&amp;"ลือเพื่อนร่วมแก๊งของคุณได้เร็วขึ้น!
 - เพิ่มหน้าต่างป๊อปอัปสำหรับบางคุณสมบัติ: ในตอนนี้ คุณสามารถเห็นการเปลี่ยนแปลงที่เกิดจากการอัปเกรดเมืองได้ชัดเจนยิ่งขึ้น ข้อมูลเกี่ยวกับการปลดล็อกประเภทกองทหารใหม่ และประโยชน์ที่ได้รับจากเครื่องตรวจสเปคตรัมกล้วย
 - รูป"&amp;"แบบการเล่นใหม่ การลงทุนซีดี: ลงทุนซีดีในแผนการเงินและรับผลตอบแทนระดับสูง คุณพร้อมที่จะเป็นผู้ประกอบการทางการเงินแล้วหรือยัง
 - รูปแบบการเล่นใหม่ กองทุนคอนวอย: ส่งคอนวอยให้สำเร็จ เพื่อรับคะแนนและปลดล็อกรางวัลตามลำดับ!
 - กิจกรรมใหม่ การเติบโตของนักสู้: ทำเ"&amp;"ควสต์ให้สำเร็จ โดยพัฒนานักสู้ที่กำหนดในระหว่างกิจกรรมเพื่อรับรางวัลสุดพิเศษ!
 - กิจกรรมใหม่ ปาร์ตี้ริมสระน้ำ: ทุกคนมารวมตัวกันที่งานปาร์ตี้ริมสระน้ำ! เข้าร่วมงานสุดมันส์แห่งฤดูร้อนและรับรางวัลมากมาย!
 - กิจกรรมใหม่ วานรนักสะสม: ทำเควสต์ให้สำเร็จเพื่อนำวัต"&amp;"ถุโบราณสุดเจ๋งกลับบ้าน!
 - เพิ่มข้อเสนอพิเศษ แพ็กแบบกำหนดเอง: เลือกรางวัลของคุณเอง รวมและผสมไอเทมได้ตามที่คุณต้องการ!
 - ขยายขนาดเมือง: เมื่อเลเวลของคุณสูงขึ้น เมืองจะมีพื้นที่มากขึ้นสำหรับวางสิ่งปลูกสร้างและอุปกรณ์ตกแต่งต่าง ๆ
 - ปรับปรุงเควสต์ประจำบท: เ"&amp;"ปลี่ยนเนื้อหาเควสต์บางบท ปรับเอฟเฟกต์ภาพให้ดีขึ้น
 - ปรับโรงแรม: เปลี่ยนทางเข้าสนามต่อสู้ไปเข้าทางโรมแรม ปรับฉากภายในโรงแรมให้เหมาะสม เพิ่มเอฟเฟกต์แบบโต้ตอบ
 - ปรับปรุงการสำรวจของโคลิน: เพิ่มหมวดหมู่, เปลี่ยนจำนวนเควสต์, ระดับความยากของศัตรูส่วนกลาง และรา"&amp;"งวัล รวมถึงปรับอินเทอร์เฟซให้ดีขึ้น
 - ปรับบทแนะนำ: เพิ่มหรือเปลี่ยนองค์ประกอบการแนะนำบางส่วน เพื่อช่วยให้คุณเข้าใจการเล่นเกมได้เร็วขึ้น
 - ปรับอินเทอร์เฟซให้ดีขึ้น: ปรับปรุงการ 'พัฒนาเมือง' และ 'ปรับปรุงการวิจัย', 'การโจมตีที่ชายแดน', การแสดงค่าแดเมจระหว"&amp;"่างการต่อสู้, เอฟเฟกต์พิเศษแสดงระยะโจมตีของทักษะนักสู้, อินเทอร์เฟซ 'ยกทัพปิดล้อม' และ 'การลาดตระเวนอาณาเขต' รวมถึง 'การแก้แค้นของ ดร.ฮ็อกก์” และเปลี่ยนตำแหน่งของปุ่มแจ้งเตือน")</f>
        <v>- สิ่งปลูกสร้างใหม่ ถนนร้านค้า: ศูนย์รวมร้านค้าต่าง ๆ ทั้งร้านลับ ร้านทั่วไป ร้านวีไอพี ร้านเกียรติยศเผ่า ร้านประจำเผ่า และร้านดาวเคราะห์ โดยนำตัวอาคารของร้านลับออกไป
 - เพิ่มไอคอนช่วยเหลือด่วนและไอคอนการยกทัพ: ในตอนนี้ คุณสามารถเข้าร่วมการยกทัพหรือช่วยเหลือเพื่อนร่วมแก๊งของคุณได้เร็วขึ้น!
 - เพิ่มหน้าต่างป๊อปอัปสำหรับบางคุณสมบัติ: ในตอนนี้ คุณสามารถเห็นการเปลี่ยนแปลงที่เกิดจากการอัปเกรดเมืองได้ชัดเจนยิ่งขึ้น ข้อมูลเกี่ยวกับการปลดล็อกประเภทกองทหารใหม่ และประโยชน์ที่ได้รับจากเครื่องตรวจสเปคตรัมกล้วย
 - รูปแบบการเล่นใหม่ การลงทุนซีดี: ลงทุนซีดีในแผนการเงินและรับผลตอบแทนระดับสูง คุณพร้อมที่จะเป็นผู้ประกอบการทางการเงินแล้วหรือยัง
 - รูปแบบการเล่นใหม่ กองทุนคอนวอย: ส่งคอนวอยให้สำเร็จ เพื่อรับคะแนนและปลดล็อกรางวัลตามลำดับ!
 - กิจกรรมใหม่ การเติบโตของนักสู้: ทำเควสต์ให้สำเร็จ โดยพัฒนานักสู้ที่กำหนดในระหว่างกิจกรรมเพื่อรับรางวัลสุดพิเศษ!
 - กิจกรรมใหม่ ปาร์ตี้ริมสระน้ำ: ทุกคนมารวมตัวกันที่งานปาร์ตี้ริมสระน้ำ! เข้าร่วมงานสุดมันส์แห่งฤดูร้อนและรับรางวัลมากมาย!
 - กิจกรรมใหม่ วานรนักสะสม: ทำเควสต์ให้สำเร็จเพื่อนำวัตถุโบราณสุดเจ๋งกลับบ้าน!
 - เพิ่มข้อเสนอพิเศษ แพ็กแบบกำหนดเอง: เลือกรางวัลของคุณเอง รวมและผสมไอเทมได้ตามที่คุณต้องการ!
 - ขยายขนาดเมือง: เมื่อเลเวลของคุณสูงขึ้น เมืองจะมีพื้นที่มากขึ้นสำหรับวางสิ่งปลูกสร้างและอุปกรณ์ตกแต่งต่าง ๆ
 - ปรับปรุงเควสต์ประจำบท: เปลี่ยนเนื้อหาเควสต์บางบท ปรับเอฟเฟกต์ภาพให้ดีขึ้น
 - ปรับโรงแรม: เปลี่ยนทางเข้าสนามต่อสู้ไปเข้าทางโรมแรม ปรับฉากภายในโรงแรมให้เหมาะสม เพิ่มเอฟเฟกต์แบบโต้ตอบ
 - ปรับปรุงการสำรวจของโคลิน: เพิ่มหมวดหมู่, เปลี่ยนจำนวนเควสต์, ระดับความยากของศัตรูส่วนกลาง และรางวัล รวมถึงปรับอินเทอร์เฟซให้ดีขึ้น
 - ปรับบทแนะนำ: เพิ่มหรือเปลี่ยนองค์ประกอบการแนะนำบางส่วน เพื่อช่วยให้คุณเข้าใจการเล่นเกมได้เร็วขึ้น
 - ปรับอินเทอร์เฟซให้ดีขึ้น: ปรับปรุงการ 'พัฒนาเมือง' และ 'ปรับปรุงการวิจัย', 'การโจมตีที่ชายแดน', การแสดงค่าแดเมจระหว่างการต่อสู้, เอฟเฟกต์พิเศษแสดงระยะโจมตีของทักษะนักสู้, อินเทอร์เฟซ 'ยกทัพปิดล้อม' และ 'การลาดตระเวนอาณาเขต' รวมถึง 'การแก้แค้นของ ดร.ฮ็อกก์” และเปลี่ยนตำแหน่งของปุ่มแจ้งเตือน</v>
      </c>
      <c r="J12" s="154" t="str">
        <f>IFERROR(__xludf.DUMMYFUNCTION("""COMPUTED_VALUE"""),"- Nuevo edificio, Calle de Tiendas: acceso integrado a diversas tiendas incluyendo la Tienda Secreta, Tienda Normal, Tienda VIP, Tienda de Honores del Clan, Tienda del Clan y Tienda Planetaria; se eliminó el edificio de la Tienda Secreta. 
 - Se agregó Ay"&amp;"uda Rápida y el icono de acceso a la Incursión: ¡Ahora puedes unirte a las incursiones o ayudar a tus Compañeros de Banda más rápido!
 - Se agregaron ventanas emergentes para algunas características: ahora puedes ver más claramente los cambios que traen l"&amp;"as mejoras de Ciudad, información sobre como desbloquear nuevos tipos de tropas y ganancias del Espectrómetro de Banana. 
 - Nueva forma de juego: Inversión en CD: Invierte CD en un Plan Financiero y gana altos rendimientos. ¿Estás listo para convertirte "&amp;"en un magnate financiero?
 - Nueva forma de juego: Fondo de Convoy: ¡Completa Convoyes para ganar puntos y desbloquear las recompensas correspondientes!
 - Nuevo evento: Crecimiento del Luchador: ¡Completa misiones desarrollando a los Luchadores designado"&amp;"s durante el evento para ganar increíbles recompensas!
 - Nuevo evento: Fiesta en la Piscina: ¡Todos llegaron a la Fiesta en la Piscina! Únete al jubileo de verano y gana increíbles recompensas.
 - Nuevo Evento: Recolector Primate: ¡Completa misiones para"&amp;" llevarte a casa super geniales Reliquias!
 - Se agregó Paquete Personalizado de Oferta Especial: ¡Escoge tus propias recompensas, combina y mezcla como tú quieras!
 - Tamaño de la Ciudad expandido: Mientras asciendes de nivel, la Ciudad tendrá más espaci"&amp;"o para colocar edificios y decoraciones. 
 - Ajuste de las misiones de Capítulo: Cambios en los contenidos de algunas misiones de capítulo, optimización de los efectos visuales. 
 - Taberna optimizada: El acceso a la Arena se movió a la Taberna; se optimi"&amp;"zó la escena interior de la Taberna, aumento en los efectos interactivos. 
 - Optimización de la exploración de Colin: Se agregaron Categorías, cambio el número de misiones, el nivel de dificultad de las unidades neutrales y recompensas; optimización de l"&amp;"a interface. 
 - Tutorial optimizado: Se agregaron o cambiaron algunos elementos del tutorial para ayudarte a entender más rápido formas de juego relacionadas. 
 - Optimización de interface: Optimización de “Desarrollar Ciudad” y “Mejorar Investigación”, "&amp;"“Incursiones Fronterizas”, visualización del valor del daño durante la batalla, efectos especiales del rango de habilidad del Luchador, interfaces de “Enfrentamiento en la Incursión” y “Patrulla Territorial” y la interface de la “Venganza del Dr. Hogg”; t"&amp;"ambién se cambió la ubicación de botón de Alertas.")</f>
        <v>- Nuevo edificio, Calle de Tiendas: acceso integrado a diversas tiendas incluyendo la Tienda Secreta, Tienda Normal, Tienda VIP, Tienda de Honores del Clan, Tienda del Clan y Tienda Planetaria; se eliminó el edificio de la Tienda Secreta. 
 - Se agregó Ayuda Rápida y el icono de acceso a la Incursión: ¡Ahora puedes unirte a las incursiones o ayudar a tus Compañeros de Banda más rápido!
 - Se agregaron ventanas emergentes para algunas características: ahora puedes ver más claramente los cambios que traen las mejoras de Ciudad, información sobre como desbloquear nuevos tipos de tropas y ganancias del Espectrómetro de Banana. 
 - Nueva forma de juego: Inversión en CD: Invierte CD en un Plan Financiero y gana altos rendimientos. ¿Estás listo para convertirte en un magnate financiero?
 - Nueva forma de juego: Fondo de Convoy: ¡Completa Convoyes para ganar puntos y desbloquear las recompensas correspondientes!
 - Nuevo evento: Crecimiento del Luchador: ¡Completa misiones desarrollando a los Luchadores designados durante el evento para ganar increíbles recompensas!
 - Nuevo evento: Fiesta en la Piscina: ¡Todos llegaron a la Fiesta en la Piscina! Únete al jubileo de verano y gana increíbles recompensas.
 - Nuevo Evento: Recolector Primate: ¡Completa misiones para llevarte a casa super geniales Reliquias!
 - Se agregó Paquete Personalizado de Oferta Especial: ¡Escoge tus propias recompensas, combina y mezcla como tú quieras!
 - Tamaño de la Ciudad expandido: Mientras asciendes de nivel, la Ciudad tendrá más espacio para colocar edificios y decoraciones. 
 - Ajuste de las misiones de Capítulo: Cambios en los contenidos de algunas misiones de capítulo, optimización de los efectos visuales. 
 - Taberna optimizada: El acceso a la Arena se movió a la Taberna; se optimizó la escena interior de la Taberna, aumento en los efectos interactivos. 
 - Optimización de la exploración de Colin: Se agregaron Categorías, cambio el número de misiones, el nivel de dificultad de las unidades neutrales y recompensas; optimización de la interface. 
 - Tutorial optimizado: Se agregaron o cambiaron algunos elementos del tutorial para ayudarte a entender más rápido formas de juego relacionadas. 
 - Optimización de interface: Optimización de “Desarrollar Ciudad” y “Mejorar Investigación”, “Incursiones Fronterizas”, visualización del valor del daño durante la batalla, efectos especiales del rango de habilidad del Luchador, interfaces de “Enfrentamiento en la Incursión” y “Patrulla Territorial” y la interface de la “Venganza del Dr. Hogg”; también se cambió la ubicación de botón de Alertas.</v>
      </c>
      <c r="K12" s="154" t="str">
        <f>IFERROR(__xludf.DUMMYFUNCTION("""COMPUTED_VALUE"""),"- Новая постройка: торговая улица. В ней собран доступ к различным магазинам: секретному магазину, обычному магазину, магазину VIP, магазину чести клана, магазину клана и магазину планеты. Здание секретного магазина удалено.
- Добавлены значки быстрой пом"&amp;"ощи и доступа к походам: теперь вы можете быстрее присоединиться к походу или помочь товарищам по банде!
- Добавлены всплывающие окна для некоторых функций: теперь вы можете наглядно увидеть изменения, вызванные улучшением города, сведения об открытии нов"&amp;"ых типов войск и доходы от бананового спектрометра.
- Новый игровой процесс: инвестиции CD. Инвестируйте CD в финансовый план и получайте высокую прибыль. Готовы стать финансовым воротилой?
- Новый игровой процесс: средства каравана. Завершайте караваны, "&amp;"чтобы заработать очки и открыть соответствующие награды!
- Новое событие «Рост героев». Выполняйте задания, развивая указанных героев во время события, чтобы получить удивительные награды!
- Новое событие «Вечеринка в бассейне». На эту вечеринку приглашаю"&amp;"тся все! Присоединяйтесь к летнему празднику и получите отличные награды!
- Новое событие «Примат-коллекционер». Выполните задания, чтобы получить суперкрутые реликвии!
- Добавлено особое предложение: персональный набор. Выбирайте свои собственные награды"&amp;" — сочетайте и смешивайте их, как вам нравится!
- Расширение города: по мере повышения уровня в городе будет становиться больше места для размещения зданий и украшений.
- Скорректированы задания глав: изменено содержание некоторых заданий глав, оптимизиро"&amp;"ваны визуальные эффекты.
- Оптимизирована таверна: доступ на арену перенесен в таверну; оптимизирован интерьер таверны, добавлены интерактивные эффекты.
- Оптимизированы «Исследования Колина»: добавлены категории, изменено количество заданий, уровень слож"&amp;"ности нейтральных отрядов и награды; оптимизирован интерфейс.
- Оптимизировано обучение: добавлены или изменены определенные элементы обучения, чтобы помочь вам быстрее разобраться в соответствующих игровых процессах.
- Оптимизация интерфейса: оптимизиров"&amp;"аны интерфейсы «Развивайте город», «Исследуйте» и «Пограничные рейды», улучшено отображение величины урона во время боя и эффекты радиуса действия навыков героя; улучшены интерфейсы сражений в походе и патруля территории, а также интерфейс «Мести доктора "&amp;"Хогга»; изменено расположение кнопки «Тревога».")</f>
        <v>- Новая постройка: торговая улица. В ней собран доступ к различным магазинам: секретному магазину, обычному магазину, магазину VIP, магазину чести клана, магазину клана и магазину планеты. Здание секретного магазина удалено.
- Добавлены значки быстрой помощи и доступа к походам: теперь вы можете быстрее присоединиться к походу или помочь товарищам по банде!
- Добавлены всплывающие окна для некоторых функций: теперь вы можете наглядно увидеть изменения, вызванные улучшением города, сведения об открытии новых типов войск и доходы от бананового спектрометра.
- Новый игровой процесс: инвестиции CD. Инвестируйте CD в финансовый план и получайте высокую прибыль. Готовы стать финансовым воротилой?
- Новый игровой процесс: средства каравана. Завершайте караваны, чтобы заработать очки и открыть соответствующие награды!
- Новое событие «Рост героев». Выполняйте задания, развивая указанных героев во время события, чтобы получить удивительные награды!
- Новое событие «Вечеринка в бассейне». На эту вечеринку приглашаются все! Присоединяйтесь к летнему празднику и получите отличные награды!
- Новое событие «Примат-коллекционер». Выполните задания, чтобы получить суперкрутые реликвии!
- Добавлено особое предложение: персональный набор. Выбирайте свои собственные награды — сочетайте и смешивайте их, как вам нравится!
- Расширение города: по мере повышения уровня в городе будет становиться больше места для размещения зданий и украшений.
- Скорректированы задания глав: изменено содержание некоторых заданий глав, оптимизированы визуальные эффекты.
- Оптимизирована таверна: доступ на арену перенесен в таверну; оптимизирован интерьер таверны, добавлены интерактивные эффекты.
- Оптимизированы «Исследования Колина»: добавлены категории, изменено количество заданий, уровень сложности нейтральных отрядов и награды; оптимизирован интерфейс.
- Оптимизировано обучение: добавлены или изменены определенные элементы обучения, чтобы помочь вам быстрее разобраться в соответствующих игровых процессах.
- Оптимизация интерфейса: оптимизированы интерфейсы «Развивайте город», «Исследуйте» и «Пограничные рейды», улучшено отображение величины урона во время боя и эффекты радиуса действия навыков героя; улучшены интерфейсы сражений в походе и патруля территории, а также интерфейс «Мести доктора Хогга»; изменено расположение кнопки «Тревога».</v>
      </c>
      <c r="L12" s="154" t="str">
        <f>IFERROR(__xludf.DUMMYFUNCTION("""COMPUTED_VALUE"""),"- Yeni bina, Mağaza Sokağı: Gizli Mağaza, Sıradan Mağaza, VIP Mağaza, Klan Onuru Mağazası, Klan Mağazası ve Gezegen Mağazası da dâhil olmak üzere çeşitli mağazalara entegre erişim; Gizli Mağaza binası kaldırdı.
 - Hızlı Yardım ve Toplu Saldırı erişim simg"&amp;"esi eklendi: artık toplu saldırılara daha hızlı katılabilir veya Çete arkadaşlarına daha hızlı yardım edebilirsin!
 - Belirli özellikler için açılır pencereler eklendi: artık Şehir yükseltmelerinin getirdiği değişiklikleri, yeni birim türlerinin kilidini "&amp;"açmayla ilgili bilgileri ve Muz Spektrometresinden elde edilen kazanımları daha net görebilirsin.
 - Yeni CD Yatırımı oynanışı: CD yatırımını bir Finansal Plan dâhilinde yap ve yüksek getiri elde et. Bir finans kralı olmaya hazır mısın?
 - Yeni Konvoy Fon"&amp;"u oynanışı: Puan kazanmak ve karşılık gelen ödüllerin kilidini açmak için Konvoyları tamamla!
 - Yeni etkinlik, Savaşçı Büyümesi: muhteşem ödüller kazanmak için etkinlik sırasında belirlenmiş Savaşçılar geliştirerek maceraları tamamla!
 - Yeni etkinlik, H"&amp;"avuz Partisi: herkes havuz partisine geldi! Yaz jübilesine katıl ve harika ödüller kazan!
 - Yeni etkinlik, Primat Toplayıcı: süper havalı Kalıntıları eve götürmek için maceraları tamamla!
 - Özel Teklif Özel Paketi Eklendi: kendi ödüllerini seç, istediği"&amp;"n gibi birleştir ve karıştır!
 - Şehir Ebadı genişletildi: Seviye atladıkça Şehirde bina ve dekorasyon yerleştirmek için daha fazla alan olur.
 - Bölüm maceraları düzenlendi: belirli bölüm maceralarının içeriği değiştirildi, görsel efektler optimize edild"&amp;"i.
 - Taverna optimize edildi: Arenaya erişim Tavernaya taşındı; Tavernanın iç mekânı optimize edildi, etkileşimli efektler artırıldı.
 - Colin’in Keşfi optimize edildi: Kategoriler eklendi, macera sayısı, tarafsız birim zorluk seviyesi ve ödüller değişti"&amp;"rildi; arayüz optimize edildi.
 - Öğretici optimize edildi: ilgili oynanışları daha hızlı anlamana yardımcı olmak için belirli eğitim elementleri eklendi veya değiştirildi.
 - Arayüz optimize edildi: “Şehri Geliştir” ve “Araştırmayı İyileştir”, “Sınır Akı"&amp;"nları”, savaş sırasında hasar değeri görüntüleme, Savaşçı beceri aralığı özel efektleri, “Toplu Saldırı Resti” ve “Bölge Devriyesi” arayüzleri ile “Dr. Hogg’un İntikamı” arayüzü optimize edildi; ayrıca Uyarılar düğmesinin yeri de değiştirildi.")</f>
        <v>- Yeni bina, Mağaza Sokağı: Gizli Mağaza, Sıradan Mağaza, VIP Mağaza, Klan Onuru Mağazası, Klan Mağazası ve Gezegen Mağazası da dâhil olmak üzere çeşitli mağazalara entegre erişim; Gizli Mağaza binası kaldırdı.
 - Hızlı Yardım ve Toplu Saldırı erişim simgesi eklendi: artık toplu saldırılara daha hızlı katılabilir veya Çete arkadaşlarına daha hızlı yardım edebilirsin!
 - Belirli özellikler için açılır pencereler eklendi: artık Şehir yükseltmelerinin getirdiği değişiklikleri, yeni birim türlerinin kilidini açmayla ilgili bilgileri ve Muz Spektrometresinden elde edilen kazanımları daha net görebilirsin.
 - Yeni CD Yatırımı oynanışı: CD yatırımını bir Finansal Plan dâhilinde yap ve yüksek getiri elde et. Bir finans kralı olmaya hazır mısın?
 - Yeni Konvoy Fonu oynanışı: Puan kazanmak ve karşılık gelen ödüllerin kilidini açmak için Konvoyları tamamla!
 - Yeni etkinlik, Savaşçı Büyümesi: muhteşem ödüller kazanmak için etkinlik sırasında belirlenmiş Savaşçılar geliştirerek maceraları tamamla!
 - Yeni etkinlik, Havuz Partisi: herkes havuz partisine geldi! Yaz jübilesine katıl ve harika ödüller kazan!
 - Yeni etkinlik, Primat Toplayıcı: süper havalı Kalıntıları eve götürmek için maceraları tamamla!
 - Özel Teklif Özel Paketi Eklendi: kendi ödüllerini seç, istediğin gibi birleştir ve karıştır!
 - Şehir Ebadı genişletildi: Seviye atladıkça Şehirde bina ve dekorasyon yerleştirmek için daha fazla alan olur.
 - Bölüm maceraları düzenlendi: belirli bölüm maceralarının içeriği değiştirildi, görsel efektler optimize edildi.
 - Taverna optimize edildi: Arenaya erişim Tavernaya taşındı; Tavernanın iç mekânı optimize edildi, etkileşimli efektler artırıldı.
 - Colin’in Keşfi optimize edildi: Kategoriler eklendi, macera sayısı, tarafsız birim zorluk seviyesi ve ödüller değiştirildi; arayüz optimize edildi.
 - Öğretici optimize edildi: ilgili oynanışları daha hızlı anlamana yardımcı olmak için belirli eğitim elementleri eklendi veya değiştirildi.
 - Arayüz optimize edildi: “Şehri Geliştir” ve “Araştırmayı İyileştir”, “Sınır Akınları”, savaş sırasında hasar değeri görüntüleme, Savaşçı beceri aralığı özel efektleri, “Toplu Saldırı Resti” ve “Bölge Devriyesi” arayüzleri ile “Dr. Hogg’un İntikamı” arayüzü optimize edildi; ayrıca Uyarılar düğmesinin yeri de değiştirildi.</v>
      </c>
      <c r="M12" s="154" t="str">
        <f>IFERROR(__xludf.DUMMYFUNCTION("""COMPUTED_VALUE"""),"- Tòa nhà mới, Phố Cửa Hàng: tích hợp quyền truy cập vào các cửa hàng khác nhau bao gồm Cửa Hàng Bí Mật, Cửa Hàng Thường, Cửa Hàng VIP, Cửa Hàng Vinh Dự Bộ Lạc, Cửa Hàng Bộ Lạc và Cửa Hàng Hành Tinh; đã dỡ bỏ tòa nhà Cửa Hàng Bí Mật.
 - Đã thêm biểu tượng"&amp;" truy cập Tập Hợp và Hỗ Trợ Nhanh: bây giờ bạn có thể tham gia tập hợp hoặc hỗ trợ các thành viên Bang Hội nhanh chóng hơn!
 - Đã thêm cửa sổ bật lên cho một số tính năng nhất định: bây giờ bạn có thể xem các thay đổi từ cập nhật Thành Phố, thông tin mở k"&amp;"hóa các loại binh lính mới, và vật phẩm nhận được từ Máy Đo Bức Xạ Chuối rõ ràng hơn.
 - Lối chơi đầu tư CD mới: Đầu tư CD vào Kế Hoạch Tài Chính và kiếm lợi nhuận cao. Sẵn sàng trở thành trùm tài chính chưa?
 - Lối chơi Quỹ Phát Triển Xe Chuyên Chở mới: "&amp;"hoàn thành Xe Chuyên Chở để kiếm điểm và mở khóa các phần thưởng tương ứng!
 - Sự kiện mới, Phát Triển Chiến Binh: hoàn thành các nhiệm vụ bằng cách phát triển các Chiến Binh được chỉ định trong sự kiện để kiếm những phần thưởng thú vị!
 - Sự kiện mới, Bữ"&amp;"a Tiệc Hồ Bơi: mọi người trình diễn ở bữa tiệc hồ bơi! Tham gia quậy tưng bừng mùa hè và nhận những phần thưởng lớn!
 - Sự kiện mới, Linh Trưởng Thu Thập: hoàn thành các nhiệm vụ để đem những Di Tích siêu ngầu về nhà!
 - Thêm Gói tùy chỉnh ưu đãi đặc biệt"&amp;": chọn phần thưởng cho riêng mình, kết hợp và trộn lẫn theo ý thích!
 - Mở rộng Quy mô thành phố: khi bạn thăng cấp, Thành Phố sẽ có nhiều không gian hơn để đặt các công trình và đồ trang trí.
 - Điều chỉnh các nhiệm vụ chương: đã thay đổi nội dung của mộ"&amp;"t số nhiệm vụ chương và tối ưu hóa hiệu ứng hiển thị.
 - Tối ưu hóa tửu quán: truy cập vào Đấu Trường đã được chuyển tới Tửu Quán; đã tối ưu cảnh quan bên trong Tửu Quán và tăng hiệu ứng tương tác.
 - Tối ưu hóa Khám Phá Của Colin: đã thêm các Hạng mục, t"&amp;"hay đổi số lượng nhiệm vụ, cấp độ khó của các đơn vị trung lập, và phần thưởng; tối ưu giao diện.
 - Tối ưu hóa hướng dẫn: đã thêm hoặc thay đổi một số yếu tố hướng dẫn để giúp bạn hiểu lối chơi liên quan nhanh hơn.
 - Tối ưu hóa giao diện: đã tối ưu hóa "&amp;"“Phát Triển Thành Phố” và “Cải Thiện Nghiên Cứu”, “Đột Kích Biên Giới”, hiển thị sát thương trong trận chiến, các hiệu ứng đặc biệt về phạm vi kỹ năng của Chiến Binh, giao diện “Đại Chiến Tập Hợp” và “Tuần Tra Lãnh Thổ”, và giao diện “Trận Phục Thù của Ti"&amp;"ến Sĩ Hogg”; cũng thay đổi vị trí của nút Cảnh báo.")</f>
        <v>- Tòa nhà mới, Phố Cửa Hàng: tích hợp quyền truy cập vào các cửa hàng khác nhau bao gồm Cửa Hàng Bí Mật, Cửa Hàng Thường, Cửa Hàng VIP, Cửa Hàng Vinh Dự Bộ Lạc, Cửa Hàng Bộ Lạc và Cửa Hàng Hành Tinh; đã dỡ bỏ tòa nhà Cửa Hàng Bí Mật.
 - Đã thêm biểu tượng truy cập Tập Hợp và Hỗ Trợ Nhanh: bây giờ bạn có thể tham gia tập hợp hoặc hỗ trợ các thành viên Bang Hội nhanh chóng hơn!
 - Đã thêm cửa sổ bật lên cho một số tính năng nhất định: bây giờ bạn có thể xem các thay đổi từ cập nhật Thành Phố, thông tin mở khóa các loại binh lính mới, và vật phẩm nhận được từ Máy Đo Bức Xạ Chuối rõ ràng hơn.
 - Lối chơi đầu tư CD mới: Đầu tư CD vào Kế Hoạch Tài Chính và kiếm lợi nhuận cao. Sẵn sàng trở thành trùm tài chính chưa?
 - Lối chơi Quỹ Phát Triển Xe Chuyên Chở mới: hoàn thành Xe Chuyên Chở để kiếm điểm và mở khóa các phần thưởng tương ứng!
 - Sự kiện mới, Phát Triển Chiến Binh: hoàn thành các nhiệm vụ bằng cách phát triển các Chiến Binh được chỉ định trong sự kiện để kiếm những phần thưởng thú vị!
 - Sự kiện mới, Bữa Tiệc Hồ Bơi: mọi người trình diễn ở bữa tiệc hồ bơi! Tham gia quậy tưng bừng mùa hè và nhận những phần thưởng lớn!
 - Sự kiện mới, Linh Trưởng Thu Thập: hoàn thành các nhiệm vụ để đem những Di Tích siêu ngầu về nhà!
 - Thêm Gói tùy chỉnh ưu đãi đặc biệt: chọn phần thưởng cho riêng mình, kết hợp và trộn lẫn theo ý thích!
 - Mở rộng Quy mô thành phố: khi bạn thăng cấp, Thành Phố sẽ có nhiều không gian hơn để đặt các công trình và đồ trang trí.
 - Điều chỉnh các nhiệm vụ chương: đã thay đổi nội dung của một số nhiệm vụ chương và tối ưu hóa hiệu ứng hiển thị.
 - Tối ưu hóa tửu quán: truy cập vào Đấu Trường đã được chuyển tới Tửu Quán; đã tối ưu cảnh quan bên trong Tửu Quán và tăng hiệu ứng tương tác.
 - Tối ưu hóa Khám Phá Của Colin: đã thêm các Hạng mục, thay đổi số lượng nhiệm vụ, cấp độ khó của các đơn vị trung lập, và phần thưởng; tối ưu giao diện.
 - Tối ưu hóa hướng dẫn: đã thêm hoặc thay đổi một số yếu tố hướng dẫn để giúp bạn hiểu lối chơi liên quan nhanh hơn.
 - Tối ưu hóa giao diện: đã tối ưu hóa “Phát Triển Thành Phố” và “Cải Thiện Nghiên Cứu”, “Đột Kích Biên Giới”, hiển thị sát thương trong trận chiến, các hiệu ứng đặc biệt về phạm vi kỹ năng của Chiến Binh, giao diện “Đại Chiến Tập Hợp” và “Tuần Tra Lãnh Thổ”, và giao diện “Trận Phục Thù của Tiến Sĩ Hogg”; cũng thay đổi vị trí của nút Cảnh báo.</v>
      </c>
      <c r="N12" s="34"/>
      <c r="O12" s="148"/>
      <c r="P12" s="148"/>
      <c r="Q12" s="148"/>
      <c r="R12" s="148"/>
      <c r="S12" s="148"/>
      <c r="T12" s="148"/>
      <c r="U12" s="148"/>
      <c r="V12" s="148"/>
      <c r="W12" s="148"/>
      <c r="X12" s="148"/>
      <c r="Y12" s="148"/>
      <c r="Z12" s="148"/>
    </row>
    <row r="13">
      <c r="A13" s="149" t="str">
        <f>IFERROR(__xludf.DUMMYFUNCTION("""COMPUTED_VALUE"""),"0.33.0")</f>
        <v>0.33.0</v>
      </c>
      <c r="B13" s="13" t="str">
        <f>IFERROR(__xludf.DUMMYFUNCTION("""COMPUTED_VALUE"""),"-新增军备系统：现在你可以让你的士兵们带上军备，战力将会更加强大；
-太空争霸优化：丰富了太空争霸的玩法流程，使每个人都能为氏族的火箭发射事业做出贡献，同时添加了更多丰厚奖励；
-新增斗士：英姿飒爽的女飞侠，有“荒城魅影”之称的达西。比快，她永不服输！通过“达西的7日考核”和“擂台”获得。
-寻宝记优化：新增了更多的关卡；
-科林的探索优化：优化了探索任务的条件，新增了收集图鉴；
-狂飙拉力赛优化：新增了头像框自选功能；
-界面表现优化：优化了道具使用界面、氏族押运界面、主城升级界面、战力变化提示的表现效"&amp;"果；
-界面引导优化：补充了部分引导内容，帮助您更快理解相关玩法；")</f>
        <v>-新增军备系统：现在你可以让你的士兵们带上军备，战力将会更加强大；
-太空争霸优化：丰富了太空争霸的玩法流程，使每个人都能为氏族的火箭发射事业做出贡献，同时添加了更多丰厚奖励；
-新增斗士：英姿飒爽的女飞侠，有“荒城魅影”之称的达西。比快，她永不服输！通过“达西的7日考核”和“擂台”获得。
-寻宝记优化：新增了更多的关卡；
-科林的探索优化：优化了探索任务的条件，新增了收集图鉴；
-狂飙拉力赛优化：新增了头像框自选功能；
-界面表现优化：优化了道具使用界面、氏族押运界面、主城升级界面、战力变化提示的表现效果；
-界面引导优化：补充了部分引导内容，帮助您更快理解相关玩法；</v>
      </c>
      <c r="C13" s="13" t="str">
        <f>IFERROR(__xludf.DUMMYFUNCTION("""COMPUTED_VALUE"""),"- New Gear system: equip your troops with Gears to make them more powerful.
- Supremacy Competition optimized: enriched the gameplay flow so that every player can contribute to the Clan's Rocket launching; more rewards added.
- New Fighter: a heroin thief"&amp;" known as the Phantom of Wildtown - Darcy. Speed is her middle name! Get her via the 7-Day Evaluation of Darcy or the Arena.
- Treasure Hunt optimized: new levels added.
- Colin's Exploration optimized: optimized quest requirements, added Categories.
- Cy"&amp;"clone Rally optimized: you may now select an avatar frame.
- Interface optimizations: optimized performances of the item use interface, Clan Convoy interface, City Hall upgrade interface, and power change tip.
- Tutorial optimized: added to or changed cer"&amp;"tain tutorial elements to help you understand related gameplays faster.")</f>
        <v>- New Gear system: equip your troops with Gears to make them more powerful.
- Supremacy Competition optimized: enriched the gameplay flow so that every player can contribute to the Clan's Rocket launching; more rewards added.
- New Fighter: a heroin thief known as the Phantom of Wildtown - Darcy. Speed is her middle name! Get her via the 7-Day Evaluation of Darcy or the Arena.
- Treasure Hunt optimized: new levels added.
- Colin's Exploration optimized: optimized quest requirements, added Categories.
- Cyclone Rally optimized: you may now select an avatar frame.
- Interface optimizations: optimized performances of the item use interface, Clan Convoy interface, City Hall upgrade interface, and power change tip.
- Tutorial optimized: added to or changed certain tutorial elements to help you understand related gameplays faster.</v>
      </c>
      <c r="D13" s="154" t="str">
        <f>IFERROR(__xludf.DUMMYFUNCTION("""COMPUTED_VALUE"""),"- Nouveau système d’équipements: équipez vos troupes d’armes pour augmenter leur puissance.
- Optimisation de la Course à la suprématie: un gameplay plus fluide, permettant à chaque joueur de contribuer au lancement de la fusée du clan; ajout de récompens"&amp;"es.
- Nouvelle combattante: Darcy, une voleuse surnommée le fantôme de Bandibourg. Cette héroïne est ultra rapide! Obtenez-la grâce aux 7 jours de test de Darcy ou dans l’arène.
- Optimisation de la Chasse aux trésors: ajout de niveaux.
- Optimisation des"&amp;" conditions de réussite des quêtes et ajout de catégories dans l’Exploration de Colin.
- Optimisation du Rallye du cyclone: vous pouvez désormais choisir un cadre d’avatar.
- Optimisations des performances du menu d’utilisation des objets, de l’interface "&amp;"des convois de clan, de l’amélioration de l’hôtel de ville, et des conseils pour les changements de pouvoirs.
- Optimisation du tutoriel: ajout ou modification de certaines informations pour vous aider à comprendre plus rapidement le gameplay.
")</f>
        <v>- Nouveau système d’équipements: équipez vos troupes d’armes pour augmenter leur puissance.
- Optimisation de la Course à la suprématie: un gameplay plus fluide, permettant à chaque joueur de contribuer au lancement de la fusée du clan; ajout de récompenses.
- Nouvelle combattante: Darcy, une voleuse surnommée le fantôme de Bandibourg. Cette héroïne est ultra rapide! Obtenez-la grâce aux 7 jours de test de Darcy ou dans l’arène.
- Optimisation de la Chasse aux trésors: ajout de niveaux.
- Optimisation des conditions de réussite des quêtes et ajout de catégories dans l’Exploration de Colin.
- Optimisation du Rallye du cyclone: vous pouvez désormais choisir un cadre d’avatar.
- Optimisations des performances du menu d’utilisation des objets, de l’interface des convois de clan, de l’amélioration de l’hôtel de ville, et des conseils pour les changements de pouvoirs.
- Optimisation du tutoriel: ajout ou modification de certaines informations pour vous aider à comprendre plus rapidement le gameplay.
</v>
      </c>
      <c r="E13" s="154" t="str">
        <f>IFERROR(__xludf.DUMMYFUNCTION("""COMPUTED_VALUE"""),"- Neues Ausrüstungssystem: Rüste deine Truppen mit Ausrüstung aus, um sie stärker zu machen.
 - Vorherrschaft-Wettbewerb optimiert: der Spieleablauf wurde verbessert, so dass jeder Spieler zum Raketenstart der Horde beitragen kann; mehr Belohnungen hinzug"&amp;"efügt.
 - Neuer Kämpfer: eine heldenhafte Diebin, bekannt als das Phantom von Wildtown - Darcy. Geschwindigkeit ist ihr zweiter Vorname! Du erhältst sie über die 7-tägige Bewertungsphase von Darcy oder in der Arena.
 - Schatzsuche optimiert: neue Level hi"&amp;"nzugefügt.
 - Colins Erkundung optimiert: Quest-Anforderungen optimiert, Kategorien hinzugefügt.
 - Zyklon-Rennen optimiert: Du kannst jetzt einen Avatarrahmen auswählen.
 - Interface-Optimierungen: Optimierte Leistung des Interfaces zur Verwendung von Ge"&amp;"genständen, des Interfaces für Horden-Konvois, des Interfaces zum Aufwerten des Rathauses und des Stärkeänderungstipps.
 - Optimierung des Tutorials: Bestimmte Tutorial-Elemente wurden hinzugefügt oder angepasst, damit du die damit verbundenen Spielelemen"&amp;"te schneller verstehen kannst.")</f>
        <v>- Neues Ausrüstungssystem: Rüste deine Truppen mit Ausrüstung aus, um sie stärker zu machen.
 - Vorherrschaft-Wettbewerb optimiert: der Spieleablauf wurde verbessert, so dass jeder Spieler zum Raketenstart der Horde beitragen kann; mehr Belohnungen hinzugefügt.
 - Neuer Kämpfer: eine heldenhafte Diebin, bekannt als das Phantom von Wildtown - Darcy. Geschwindigkeit ist ihr zweiter Vorname! Du erhältst sie über die 7-tägige Bewertungsphase von Darcy oder in der Arena.
 - Schatzsuche optimiert: neue Level hinzugefügt.
 - Colins Erkundung optimiert: Quest-Anforderungen optimiert, Kategorien hinzugefügt.
 - Zyklon-Rennen optimiert: Du kannst jetzt einen Avatarrahmen auswählen.
 - Interface-Optimierungen: Optimierte Leistung des Interfaces zur Verwendung von Gegenständen, des Interfaces für Horden-Konvois, des Interfaces zum Aufwerten des Rathauses und des Stärkeänderungstipps.
 - Optimierung des Tutorials: Bestimmte Tutorial-Elemente wurden hinzugefügt oder angepasst, damit du die damit verbundenen Spielelemente schneller verstehen kannst.</v>
      </c>
      <c r="F13" s="154" t="str">
        <f>IFERROR(__xludf.DUMMYFUNCTION("""COMPUTED_VALUE"""),"- Novo sistema de equipamentos: prepare suas tropas com equipamentos para torná-las mais poderosas.
 - Melhoria em Competição pela Supremacia: ritmo de jogo melhorado, de modo que cada jogador possa contribuir no lançamento do foguete do clã, além de mais"&amp;" recompensas adicionadas.
 - Nova combatente: a heroína e ladra conhecida como ""Fantasma da Cidade Selvagem"", Darcy. Seu sobrenome é velocidade! Obtenha-a por meio da avaliação de 7 dias de Darcy ou na arena.
 - Melhoria em Caça ao Tesouro: novos níveis"&amp;" adicionados.
 - Exploração de Colin otimizada: melhoria nos requisitos da missão, categorias adicionadas.
 - Melhoria em Incursão Ciclone: agora é possível escolher uma moldura de avatar.
 - Melhorias de Interface: melhorias do desempenho da interface de"&amp;" itens, interfaces de comboios do clã e de melhoria da prefeitura, além de dicas de mudança de poder.
 - Melhoria no tutorial: adições e mudanças em determinados elementos do tutorial para ajudar na compreensão mais rápida dos modos de jogo.")</f>
        <v>- Novo sistema de equipamentos: prepare suas tropas com equipamentos para torná-las mais poderosas.
 - Melhoria em Competição pela Supremacia: ritmo de jogo melhorado, de modo que cada jogador possa contribuir no lançamento do foguete do clã, além de mais recompensas adicionadas.
 - Nova combatente: a heroína e ladra conhecida como "Fantasma da Cidade Selvagem", Darcy. Seu sobrenome é velocidade! Obtenha-a por meio da avaliação de 7 dias de Darcy ou na arena.
 - Melhoria em Caça ao Tesouro: novos níveis adicionados.
 - Exploração de Colin otimizada: melhoria nos requisitos da missão, categorias adicionadas.
 - Melhoria em Incursão Ciclone: agora é possível escolher uma moldura de avatar.
 - Melhorias de Interface: melhorias do desempenho da interface de itens, interfaces de comboios do clã e de melhoria da prefeitura, além de dicas de mudança de poder.
 - Melhoria no tutorial: adições e mudanças em determinados elementos do tutorial para ajudar na compreensão mais rápida dos modos de jogo.</v>
      </c>
      <c r="G13" s="13" t="str">
        <f>IFERROR(__xludf.DUMMYFUNCTION("""COMPUTED_VALUE"""),"-新增軍備系統：現在你可以讓你的士兵們帶上軍備，戰力將會更加強大；
-太空爭霸優化：豐富了太空爭霸的玩法流程，使每個人都能為氏族的火箭發射事業做出貢獻，同時添加了更多豐厚獎勵；
-新增鬥士：英姿颯爽的女飛俠，有“荒城魅影”之稱的達西。比快，她永不服輸！通過“達西的7日考核”和“擂台”獲得。
-尋寶記優化：新增了更多的關卡；
-科林的探索優化：優化了探索任務的條件，新增了收集圖鑑；
-狂飆拉力賽優化：新增了頭像框自選功能；
-界面表現優化：優化了道具使用界面、氏族押運界面、主城升級界面、戰力變化提示的表現效"&amp;"果；
-界面引導優化：補充了部分引導內容，幫助您更快理解相關玩法；")</f>
        <v>-新增軍備系統：現在你可以讓你的士兵們帶上軍備，戰力將會更加強大；
-太空爭霸優化：豐富了太空爭霸的玩法流程，使每個人都能為氏族的火箭發射事業做出貢獻，同時添加了更多豐厚獎勵；
-新增鬥士：英姿颯爽的女飛俠，有“荒城魅影”之稱的達西。比快，她永不服輸！通過“達西的7日考核”和“擂台”獲得。
-尋寶記優化：新增了更多的關卡；
-科林的探索優化：優化了探索任務的條件，新增了收集圖鑑；
-狂飆拉力賽優化：新增了頭像框自選功能；
-界面表現優化：優化了道具使用界面、氏族押運界面、主城升級界面、戰力變化提示的表現效果；
-界面引導優化：補充了部分引導內容，幫助您更快理解相關玩法；</v>
      </c>
      <c r="H13" s="154" t="str">
        <f>IFERROR(__xludf.DUMMYFUNCTION("""COMPUTED_VALUE"""),"- Sistem Perlengkapan Baru: lengkapi pasukanmu dengan Perlengkapan untuk membuatnya lebih kuat.
 - Mengoptimalkan Kompetisi Supremasi: memperkaya alur gameplay sehingga setiap pemain bisa berkontribusi pada peluncuran Roket Klan; menambahkan lebih banyak "&amp;"hadiah.
 -Pejuang Baru: pahlawan wanita pencuri yang dikenal sebagai Phantom of Wildtown-Darcy. Kecepatan adalah nama tengahnya! Dapatkan Darcy melalui Evaluasi 7 Hari Darcy atau Arena.
 - Mengoptimalkan Perburuan Harta Karun: level baru ditambahkan.
 - M"&amp;"engoptimalkan Penjelajahan Colin: mengoptimalkan persyaratan misi, menambahkan Kategori.
 - Mengoptimalkan Reli Topan: Kamu sekarang bisa memilih bingkai avatar.
 - Pengoptimalan antarmuka: mengoptimalkan performa antarmuka penggunaan item, antarmuka Konv"&amp;"oi Klan, antarmuka peningkatan Balai Kota, dan tip perubahan kekuatan.
 - Mengoptimalkan tutorial: menambahkan atau mengubah elemen tutorial tertentu untuk membantumu memahami gameplay terkait lebih cepat.")</f>
        <v>- Sistem Perlengkapan Baru: lengkapi pasukanmu dengan Perlengkapan untuk membuatnya lebih kuat.
 - Mengoptimalkan Kompetisi Supremasi: memperkaya alur gameplay sehingga setiap pemain bisa berkontribusi pada peluncuran Roket Klan; menambahkan lebih banyak hadiah.
 -Pejuang Baru: pahlawan wanita pencuri yang dikenal sebagai Phantom of Wildtown-Darcy. Kecepatan adalah nama tengahnya! Dapatkan Darcy melalui Evaluasi 7 Hari Darcy atau Arena.
 - Mengoptimalkan Perburuan Harta Karun: level baru ditambahkan.
 - Mengoptimalkan Penjelajahan Colin: mengoptimalkan persyaratan misi, menambahkan Kategori.
 - Mengoptimalkan Reli Topan: Kamu sekarang bisa memilih bingkai avatar.
 - Pengoptimalan antarmuka: mengoptimalkan performa antarmuka penggunaan item, antarmuka Konvoi Klan, antarmuka peningkatan Balai Kota, dan tip perubahan kekuatan.
 - Mengoptimalkan tutorial: menambahkan atau mengubah elemen tutorial tertentu untuk membantumu memahami gameplay terkait lebih cepat.</v>
      </c>
      <c r="I13" s="13" t="str">
        <f>IFERROR(__xludf.DUMMYFUNCTION("""COMPUTED_VALUE"""),"- ระบบอุปกรณ์ใหม่: สวมใส่อุปกรณ์ให้กองทหารของคุณเพื่อให้มีพลังมากขึ้น
 - ปรับปรุงการแข่งขันเพื่อชิงอำนาจ: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วีรสตรีจอมโจรที่รู้จักกัน"&amp;"ในชื่อดาร์ซี่ เงามืดแห่งไวลด์ทาวน์ ที่เธอมีชื่อกลางว่าเร็วจัด ๆ! คุณสามารถได้ตัวเธอมาจากการผ่านการประเมิน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
 - ปรั"&amp;"บปรุงไซโคลนแรลลี่: คุณสามารถเลือกกรอบรูปอวาตาร์ได้แล้ว
 - การปรับปรุงอินเตอร์เฟซ: ปรับปรุงอินเตอร์เฟซการใช้ไอเท็ม อินเตอร์เฟซรถคอนวอยของเผ่า อินเตอร์เฟซการอัปเกรดศาลากลาง และเคล็ดลับการเปลี่ยนพลังงาน
 - ปรับปรุงบทแนะนำ: เพิ่มหรือเปลี่ยนองค์ประกอบการสอนบาง"&amp;"ส่วน เพื่อช่วยให้คุณสามารถเข้าใจการเล่นเกมได้เร็วขึ้น")</f>
        <v>- ระบบอุปกรณ์ใหม่: สวมใส่อุปกรณ์ให้กองทหารของคุณเพื่อให้มีพลังมากขึ้น
 - ปรับปรุงการแข่งขันเพื่อชิงอำนาจ: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วีรสตรีจอมโจรที่รู้จักกันในชื่อดาร์ซี่ เงามืดแห่งไวลด์ทาวน์ ที่เธอมีชื่อกลางว่าเร็วจัด ๆ! คุณสามารถได้ตัวเธอมาจากการผ่านการประเมิน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
 - ปรับปรุงไซโคลนแรลลี่: คุณสามารถเลือกกรอบรูปอวาตาร์ได้แล้ว
 - การปรับปรุงอินเตอร์เฟซ: ปรับปรุงอินเตอร์เฟซการใช้ไอเท็ม อินเตอร์เฟซรถคอนวอยของเผ่า อินเตอร์เฟซการอัปเกรดศาลากลาง และเคล็ดลับการเปลี่ยนพลังงาน
 - ปรับปรุงบทแนะนำ: เพิ่มหรือเปลี่ยนองค์ประกอบการสอนบางส่วน เพื่อช่วยให้คุณสามารถเข้าใจการเล่นเกมได้เร็วขึ้น</v>
      </c>
      <c r="J13" s="154" t="str">
        <f>IFERROR(__xludf.DUMMYFUNCTION("""COMPUTED_VALUE"""),"- Nuevo Sistema de Equipo: Equipa a tus tropas con Equipos para hacerlas más poderosas.
 - Optimización de la Competencia por la Supremacía: Se enriqueció el flujo del juego para que cada jugador pueda contribuir al lanzamiento del Cohete del Clan; se agr"&amp;"egaron más recompensas. 
 - Nuevo Luchador: Darcy - Una ladrona heroína conocida como el Fantasma del Pueblo Salvaje. ¡la velocidad es su apellido! Consíguela mediante la Evaluación de Darcy de 7 días o en la Arena. 
 - Optimización de Cacería del Tesoro:"&amp;" Se agregaron nuevos niveles.
 - Optimización de la Exploración de Colin: Optimización de los requerimientos de misión, se agregaron Categorías.
 - Optimización del Rally del Ciclón: Ahora puedes seleccionar un marco de avatar. 
 - Optimizaciones de inter"&amp;"fase: Optimizaciones de desempeño en la interfase de uso de artículos, interfase de Convoy del Clan, mejora en la interfase del Ayuntamiento y consejos para cambios de poder. 
 - Optimización de Tutorial: Se agregaron o cambiaron algunos elementos del tut"&amp;"orial para ayudarte a entender formas de juego relacionadas más rápido.")</f>
        <v>- Nuevo Sistema de Equipo: Equipa a tus tropas con Equipos para hacerlas más poderosas.
 - Optimización de la Competencia por la Supremacía: Se enriqueció el flujo del juego para que cada jugador pueda contribuir al lanzamiento del Cohete del Clan; se agregaron más recompensas. 
 - Nuevo Luchador: Darcy - Una ladrona heroína conocida como el Fantasma del Pueblo Salvaje. ¡la velocidad es su apellido! Consíguela mediante la Evaluación de Darcy de 7 días o en la Arena. 
 - Optimización de Cacería del Tesoro: Se agregaron nuevos niveles.
 - Optimización de la Exploración de Colin: Optimización de los requerimientos de misión, se agregaron Categorías.
 - Optimización del Rally del Ciclón: Ahora puedes seleccionar un marco de avatar. 
 - Optimizaciones de interfase: Optimizaciones de desempeño en la interfase de uso de artículos, interfase de Convoy del Clan, mejora en la interfase del Ayuntamiento y consejos para cambios de poder. 
 - Optimización de Tutorial: Se agregaron o cambiaron algunos elementos del tutorial para ayudarte a entender formas de juego relacionadas más rápido.</v>
      </c>
      <c r="K13" s="154" t="str">
        <f>IFERROR(__xludf.DUMMYFUNCTION("""COMPUTED_VALUE"""),"-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каждый игрок мог внести свой вклад в запуск ракеты клана; добавлено больше наград"&amp;".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 сокровищами: добавлены новые уровни.
- Оптимизированы «Исследования Колина»: усо"&amp;"вершенствованы требования к заданиям, добавлены категории.
- Оптимизированы «Ураганные гонки»: теперь вы можете выбрать рамку аватара.
- Оптимизирован интерфейс: повышено быстродействие интерфейса использования предметов, интерфейса каравана клана, интерф"&amp;"ейса улучшения городского совета и подсказок об изменении мощи.
- Оптимизировано обучение: определенные элементы обучения добавлены или изменены, чтобы помочь вам быстрее разобраться в соответствующих игровых процессах.")</f>
        <v>-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каждый игрок мог внести свой вклад в запуск ракеты клана; добавлено больше наград.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 сокровищами: добавлены новые уровни.
- Оптимизированы «Исследования Колина»: усовершенствованы требования к заданиям, добавлены категории.
- Оптимизированы «Ураганные гонки»: теперь вы можете выбрать рамку аватара.
- Оптимизирован интерфейс: повышено быстродействие интерфейса использования предметов, интерфейса каравана клана, интерфейса улучшения городского совета и подсказок об изменении мощи.
- Оптимизировано обучение: определенные элементы обучения добавлены или изменены, чтобы помочь вам быстрее разобраться в соответствующих игровых процессах.</v>
      </c>
      <c r="L13" s="154" t="str">
        <f>IFERROR(__xludf.DUMMYFUNCTION("""COMPUTED_VALUE"""),"- Yeni Aksesuar sistemi: birliklerini güçlendirmek için onları Aksesuarlarla donat.
 - Üstünlük Müsabakası optimize edildi: her oyuncunun Klanın Roket fırlatmasına katkıda bulunabilmesi için oynanış zenginleştirildi; daha fazla ödül eklendi.
 - Yeni Savaş"&amp;"çı: Wildtown’ın Hayaleti - Darcy olarak bilinen kahraman bir hırsız. Hız onun göbek adı! Onu Darcy’nin 7 Günlük Değerlendirmesinden veya Arenadan elde et.
 - Hazine Avı optimize edildi: yeni seviyeler eklendi.
 - Colin’in Keşfi optimize edildi: görev gere"&amp;"ksinimleri optimize edildi, Kategoriler eklendi.
 - Tufan Toplu Saldırısı optimize edildi: artık bir avatar çerçevesi seçebilirsin.
 - Arayüz optimizasyonları: eşya kullanım arayüzü, Klan Konvoyu arayüzü, Meclis yükseltme arayüzü ve güç değişikliği ipucu "&amp;"performansları optimize edildi.
 - Öğretici optimize edildi: ilgili oynanışları daha hızlı anlamana yardımcı olmak için belirli öğretici elementleri eklendi veya değiştirildi.")</f>
        <v>- Yeni Aksesuar sistemi: birliklerini güçlendirmek için onları Aksesuarlarla donat.
 - Üstünlük Müsabakası optimize edildi: her oyuncunun Klanın Roket fırlatmasına katkıda bulunabilmesi için oynanış zenginleştirildi; daha fazla ödül eklendi.
 - Yeni Savaşçı: Wildtown’ın Hayaleti - Darcy olarak bilinen kahraman bir hırsız. Hız onun göbek adı! Onu Darcy’nin 7 Günlük Değerlendirmesinden veya Arenadan elde et.
 - Hazine Avı optimize edildi: yeni seviyeler eklendi.
 - Colin’in Keşfi optimize edildi: görev gereksinimleri optimize edildi, Kategoriler eklendi.
 - Tufan Toplu Saldırısı optimize edildi: artık bir avatar çerçevesi seçebilirsin.
 - Arayüz optimizasyonları: eşya kullanım arayüzü, Klan Konvoyu arayüzü, Meclis yükseltme arayüzü ve güç değişikliği ipucu performansları optimize edildi.
 - Öğretici optimize edildi: ilgili oynanışları daha hızlı anlamana yardımcı olmak için belirli öğretici elementleri eklendi veya değiştirildi.</v>
      </c>
      <c r="M13" s="154" t="str">
        <f>IFERROR(__xludf.DUMMYFUNCTION("""COMPUTED_VALUE"""),"- Hệ thống Trang Bị mới: trang bị cho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-"&amp;" Chiến Binh mới: nữ cướp anh hùng nổi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ưu"&amp;" các yêu cầu nhiệm vụ, đã thêm các Hạng Mục.
 - Đã tối ưu Tập Hợp Lốc Xoáy: hiện bạn có thể chọn một khung ảnh đại diện.
 - Đã tối ưu giao diện: đã tối ưu hiệu suất của giao diện sử dụng vật phẩm, giao diện Xe Chuyên Chở Bộ Lạc, giao diện nâng cấp Tòa Thị"&amp;" Chính, và mẹo thay đổi chiến lực.
 - Đã tối ưu hướng dẫn: đã thêm hoặc thay đổi một số yếu tố hướng dẫn để giúp bạn hiểu lối chơi liên quan nhanh hơn.")</f>
        <v>- Hệ thống Trang Bị mới: trang bị cho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 Chiến Binh mới: nữ cướp anh hùng nổi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 các yêu cầu nhiệm vụ, đã thêm các Hạng Mục.
 - Đã tối ưu Tập Hợp Lốc Xoáy: hiện bạn có thể chọn một khung ảnh đại diện.
 - Đã tối ưu giao diện: đã tối ưu hiệu suất của giao diện sử dụng vật phẩm, giao diện Xe Chuyên Chở Bộ Lạc, giao diện nâng cấp Tòa Thị Chính, và mẹo thay đổi chiến lực.
 - Đã tối ưu hướng dẫn: đã thêm hoặc thay đổi một số yếu tố hướng dẫn để giúp bạn hiểu lối chơi liên quan nhanh hơn.</v>
      </c>
      <c r="N13" s="13"/>
      <c r="O13" s="148"/>
      <c r="P13" s="148"/>
      <c r="Q13" s="148"/>
      <c r="R13" s="148"/>
      <c r="S13" s="148"/>
      <c r="T13" s="148"/>
      <c r="U13" s="148"/>
      <c r="V13" s="148"/>
      <c r="W13" s="148"/>
      <c r="X13" s="148"/>
      <c r="Y13" s="148"/>
      <c r="Z13" s="148"/>
    </row>
    <row r="14">
      <c r="A14" s="149" t="str">
        <f>IFERROR(__xludf.DUMMYFUNCTION("""COMPUTED_VALUE"""),"0.33.5")</f>
        <v>0.33.5</v>
      </c>
      <c r="B14" s="151" t="str">
        <f>IFERROR(__xludf.DUMMYFUNCTION("""COMPUTED_VALUE"""),"-新增万圣节狂欢：万圣节系列活动惊喜上线，参与活动赢取香蕉糖和南瓜灯，即有机会兑换节日专属主城内装饰物，以及其他丰富奖励！
具体活动包括：
1.万圣奇妙屋：用香蕉糖和南瓜灯换取礼物的奇妙小屋；
2.香蕉糖的诱惑：不给糖就捣蛋，每天领取美味香蕉糖；
3.助力狂欢：加速生产建造，获得专属南瓜灯；
4.万圣守望者：日常采集与狩猎，为节日保驾护航；")</f>
        <v>-新增万圣节狂欢：万圣节系列活动惊喜上线，参与活动赢取香蕉糖和南瓜灯，即有机会兑换节日专属主城内装饰物，以及其他丰富奖励！
具体活动包括：
1.万圣奇妙屋：用香蕉糖和南瓜灯换取礼物的奇妙小屋；
2.香蕉糖的诱惑：不给糖就捣蛋，每天领取美味香蕉糖；
3.助力狂欢：加速生产建造，获得专属南瓜灯；
4.万圣守望者：日常采集与狩猎，为节日保驾护航；</v>
      </c>
      <c r="C14" s="151" t="str">
        <f>IFERROR(__xludf.DUMMYFUNCTION("""COMPUTED_VALUE"""),"- New Halloween Bash: Halloween events are now online! Participate to win Banana Candies and Pumpkin Lanterns, and exchange them for amazing rewards! There's also a chance to get the exclusive holiday city skin!
Events:
1. Halloween Funhouse: a house of "&amp;"wonders where you can exchange Banana Candies and Pumpkin Lanterns for gifts.
2. We Want Banana Candy: trick or treat! Collect sweet Banana Candies every day!
3. Bash Rev Up: speed up training, research, and building to get exclusive Pumpkin Lanterns.
4. "&amp;"Halloween Watchman: participate in daily gathering and hunting to safeguard the holiday!")</f>
        <v>- New Halloween Bash: Halloween events are now online! Participate to win Banana Candies and Pumpkin Lanterns, and exchange them for amazing rewards! There's also a chance to get the exclusive holiday city skin!
Events:
1. Halloween Funhouse: a house of wonders where you can exchange Banana Candies and Pumpkin Lanterns for gifts.
2. We Want Banana Candy: trick or treat! Collect sweet Banana Candies every day!
3. Bash Rev Up: speed up training, research, and building to get exclusive Pumpkin Lanterns.
4. Halloween Watchman: participate in daily gathering and hunting to safeguard the holiday!</v>
      </c>
      <c r="D14" s="151" t="str">
        <f>IFERROR(__xludf.DUMMYFUNCTION("""COMPUTED_VALUE"""),"- Nouvelle Fête d'Halloween: les évènements d'Halloween sont en ligne! Participez pour gagner des bonbons banane et des lanternes citrouilles, à échanger contre des récompenses incroyables! Vous pouvez également tenter de gagner un skin de ville Halloween"&amp;" exclusif!
Evènements:
1. Maison d'Halloween: une maison aux merveilles où vous pouvez échanger des bonbons banane et des lanternes citrouilles contre des cadeaux.
2. On veut des bonbons banane: des bonbons ou un sort! Obtenez des bonbons banane tous les"&amp;" jours!
3. Emulation festive: accélérez l'entraînement, la recherche et la construction pour obtenir des lanternes citrouilles exclusives.
4. Vigile d'Halloween: participez chaque jour à des collectes et des parties de chasse pour sauver la fête!")</f>
        <v>- Nouvelle Fête d'Halloween: les évènements d'Halloween sont en ligne! Participez pour gagner des bonbons banane et des lanternes citrouilles, à échanger contre des récompenses incroyables! Vous pouvez également tenter de gagner un skin de ville Halloween exclusif!
Evènements:
1. Maison d'Halloween: une maison aux merveilles où vous pouvez échanger des bonbons banane et des lanternes citrouilles contre des cadeaux.
2. On veut des bonbons banane: des bonbons ou un sort! Obtenez des bonbons banane tous les jours!
3. Emulation festive: accélérez l'entraînement, la recherche et la construction pour obtenir des lanternes citrouilles exclusives.
4. Vigile d'Halloween: participez chaque jour à des collectes et des parties de chasse pour sauver la fête!</v>
      </c>
      <c r="E14" s="151" t="str">
        <f>IFERROR(__xludf.DUMMYFUNCTION("""COMPUTED_VALUE"""),"- Neue Halloween-Party: Die Halloween Events sind jetzt online! Nimm teil, um Bananen-Bonbons und Kürbislaternen zu gewinnen, und tausche sie gegen tolle Belohnungen ein! Außerdem gibt es die Chance, den exklusiven Festtags-Stadt-Skin zu erhalten!
 Even"&amp;"ts:
 1. Halloween-Spaßhaus: ein Haus der Wunder, in dem du Bananen-Bonbons und Kürbislaternen gegen Geschenke eintauschen kannst.
 2. Wir wollen Bananen-Bonbons: Süßes oder Saures! Sammle jeden Tag süße Bananen-Bonbons!
 3. Schnelle Party: Beschleunige di"&amp;"e Ausbildung, die Forschung und das Bauen, um exklusive Kürbislaternen zu erhalten.
 4. Halloween-Wächter: Nimm am täglichen Sammeln und Jagen teil, um den Feiertag zu beschützen!")</f>
        <v>- Neue Halloween-Party: Die Halloween Events sind jetzt online! Nimm teil, um Bananen-Bonbons und Kürbislaternen zu gewinnen, und tausche sie gegen tolle Belohnungen ein! Außerdem gibt es die Chance, den exklusiven Festtags-Stadt-Skin zu erhalten!
 Events:
 1. Halloween-Spaßhaus: ein Haus der Wunder, in dem du Bananen-Bonbons und Kürbislaternen gegen Geschenke eintauschen kannst.
 2. Wir wollen Bananen-Bonbons: Süßes oder Saures! Sammle jeden Tag süße Bananen-Bonbons!
 3. Schnelle Party: Beschleunige die Ausbildung, die Forschung und das Bauen, um exklusive Kürbislaternen zu erhalten.
 4. Halloween-Wächter: Nimm am täglichen Sammeln und Jagen teil, um den Feiertag zu beschützen!</v>
      </c>
      <c r="F14" s="151" t="str">
        <f>IFERROR(__xludf.DUMMYFUNCTION("""COMPUTED_VALUE"""),"- Nova Festa de Halloween: Os eventos de Halloween começam agora! Participe para ganhar doces de banana e lanternas de abóbora e troque-os por recompensas incríveis! Há também uma chance de se obter uma skin de cidade exclusiva do evento!
 Eventos:
 1. "&amp;"Parque de Diversões de Halloween: uma casa de maravilhas na qual você pode trocar doces de banana e lanternas de abóbora por presentes.
 2. Queremos Doce de Banana: doçuras ou travessuras! Colete doces de banana diariamente!
 3. Festa Acelerada: acelere o"&amp;" treinamento, a pesquisa e a construção para obter lanternas de abóbora.
 4. Vigia de Halloween: participe de reuniões e caçadas diárias, proteja este dia especial!")</f>
        <v>- Nova Festa de Halloween: Os eventos de Halloween começam agora! Participe para ganhar doces de banana e lanternas de abóbora e troque-os por recompensas incríveis! Há também uma chance de se obter uma skin de cidade exclusiva do evento!
 Eventos:
 1. Parque de Diversões de Halloween: uma casa de maravilhas na qual você pode trocar doces de banana e lanternas de abóbora por presentes.
 2. Queremos Doce de Banana: doçuras ou travessuras! Colete doces de banana diariamente!
 3. Festa Acelerada: acelere o treinamento, a pesquisa e a construção para obter lanternas de abóbora.
 4. Vigia de Halloween: participe de reuniões e caçadas diárias, proteja este dia especial!</v>
      </c>
      <c r="G14" s="151" t="str">
        <f>IFERROR(__xludf.DUMMYFUNCTION("""COMPUTED_VALUE"""),"-新增萬聖節狂歡：萬聖節系列活動驚喜上線，參與活動贏取香蕉糖和南瓜燈，即有機會兌換節日專屬主城內裝飾物，以及其他豐富獎勵！
具體活動包括：
1.萬聖奇妙屋：用香蕉糖和南瓜燈換取禮物的奇妙小屋；
2.香蕉糖的誘惑：不給糖就搗蛋，每天領取美味香蕉糖；
3.助力狂歡：加速生產建造，獲得專屬南瓜燈；
4.萬聖守望者：日常采集與狩獵，為節日保駕護航；")</f>
        <v>-新增萬聖節狂歡：萬聖節系列活動驚喜上線，參與活動贏取香蕉糖和南瓜燈，即有機會兌換節日專屬主城內裝飾物，以及其他豐富獎勵！
具體活動包括：
1.萬聖奇妙屋：用香蕉糖和南瓜燈換取禮物的奇妙小屋；
2.香蕉糖的誘惑：不給糖就搗蛋，每天領取美味香蕉糖；
3.助力狂歡：加速生產建造，獲得專屬南瓜燈；
4.萬聖守望者：日常采集與狩獵，為節日保駕護航；</v>
      </c>
      <c r="H14" s="151" t="str">
        <f>IFERROR(__xludf.DUMMYFUNCTION("""COMPUTED_VALUE"""),"- Pesta Halloween Baru: acara Halloween kini online! Ikuti untuk memenangkan Permen Pisang dan Lentera Labu yang dapat ditukar dengan hadiah menarik! Dapatkan juga peluang untuk memperoleh skin kota liburan eksklusif!
 Acara:
 1. Rumah Halloween: di rum"&amp;"ah ajaib ini kamu bisa menukarkan Permen Pisang dan Lentera Labu dengan beragam hadiah.
 2. Beri Kami Permen Pisang: beri permen atau kami jahili! Kumpulkan Permen Pisang yang manis setiap hari!
 3. Pesta Peningkatan: percepat pelatihan, riset, dan pemban"&amp;"gunan untuk menddapatkan Lentera Labu eksklusif.
 4. Penjaga Halloween: kumpulkan dan berburu setiap hari agar liburanmu makin seru!")</f>
        <v>- Pesta Halloween Baru: acara Halloween kini online! Ikuti untuk memenangkan Permen Pisang dan Lentera Labu yang dapat ditukar dengan hadiah menarik! Dapatkan juga peluang untuk memperoleh skin kota liburan eksklusif!
 Acara:
 1. Rumah Halloween: di rumah ajaib ini kamu bisa menukarkan Permen Pisang dan Lentera Labu dengan beragam hadiah.
 2. Beri Kami Permen Pisang: beri permen atau kami jahili! Kumpulkan Permen Pisang yang manis setiap hari!
 3. Pesta Peningkatan: percepat pelatihan, riset, dan pembangunan untuk menddapatkan Lentera Labu eksklusif.
 4. Penjaga Halloween: kumpulkan dan berburu setiap hari agar liburanmu makin seru!</v>
      </c>
      <c r="I14" s="151" t="str">
        <f>IFERROR(__xludf.DUMMYFUNCTION("""COMPUTED_VALUE"""),"- กิจกรรมใหม่ ฮาโลวีนมาแล้ว: กิจกรรมฮาโลวีนออนไลน์แล้ว! ร่วมลุ้นรับลูกอมรสกล้วยและตะเกียงฟักทอง แล้วนำไปแลกของรางวัลสุดวิเศษ! แถมยังมีโอกาสได้รับสกินเมืองวันเทศกาลสุดพิเศษอีกด้วย!
 กิจกรรม:
 1. บ้านฮาโลวีนแสนสนุก: บ้านแห่งความมหัศจรรย์ที่คุณสามารถแลกลูก"&amp;"อมรสกล้วยและตะเกียงฟักทองเป็นของขวัญได้
 2. เราจะเอาลูกอมรสกล้วย: ทริกออทรีต! เก็บลูกอมรสกล้วยแสนหอมหวานทุกวัน!
 3. เร่งเพื่อรับ: เร่งการฝึกฝน วิจัย และก่อสร้างให้เร็วขึ้นเพื่อรับตะเกียงฟักทองสุดพิเศษ
 4. ยามรักษาการณ์ฮาโลวีน: เข้าร่วมในการรวบรวมและการล่า"&amp;"ทุกวันเพื่อปกป้องวันหยุด!")</f>
        <v>- กิจกรรมใหม่ ฮาโลวีนมาแล้ว: กิจกรรมฮาโลวีนออนไลน์แล้ว! ร่วมลุ้นรับลูกอมรสกล้วยและตะเกียงฟักทอง แล้วนำไปแลกของรางวัลสุดวิเศษ! แถมยังมีโอกาสได้รับสกินเมืองวันเทศกาลสุดพิเศษอีกด้วย!
 กิจกรรม:
 1. บ้านฮาโลวีนแสนสนุก: บ้านแห่งความมหัศจรรย์ที่คุณสามารถแลกลูกอมรสกล้วยและตะเกียงฟักทองเป็นของขวัญได้
 2. เราจะเอาลูกอมรสกล้วย: ทริกออทรีต! เก็บลูกอมรสกล้วยแสนหอมหวานทุกวัน!
 3. เร่งเพื่อรับ: เร่งการฝึกฝน วิจัย และก่อสร้างให้เร็วขึ้นเพื่อรับตะเกียงฟักทองสุดพิเศษ
 4. ยามรักษาการณ์ฮาโลวีน: เข้าร่วมในการรวบรวมและการล่าทุกวันเพื่อปกป้องวันหยุด!</v>
      </c>
      <c r="J14" s="151" t="str">
        <f>IFERROR(__xludf.DUMMYFUNCTION("""COMPUTED_VALUE"""),"- Nueva Fiesta de Halloween: ¡Los eventos de Halloween están ahora en línea! Participa para ganar Dulces de Banana y Linternas de Calabaza e intercambiarlas por increíbles recompensas. ¡También tendrás la posibilidad de obtener una textura de ciudad exclu"&amp;"siva de la fiesta!
 Eventos:
 1. Casa de Diversiones de Halloween: Una casa de maravillas donde podrás intercambiar Dulces de Banana y Linternas de Calabaza por regalos. 
 2. Queremos Dulce de Banana: ¡Truco o trato! ¡Obtén ricos Dulces de Banana Diaria"&amp;"mente!
 3. Fiesta Acelerada: ¡Acelera el entrenamiento, la investigación y la construcción para obtener exclusivas Linternas de Calabaza!
 4. Guardian de Halloween: ¡Participa en las reuniones y cacerías diarias para salvaguardar la fiesta!")</f>
        <v>- Nueva Fiesta de Halloween: ¡Los eventos de Halloween están ahora en línea! Participa para ganar Dulces de Banana y Linternas de Calabaza e intercambiarlas por increíbles recompensas. ¡También tendrás la posibilidad de obtener una textura de ciudad exclusiva de la fiesta!
 Eventos:
 1. Casa de Diversiones de Halloween: Una casa de maravillas donde podrás intercambiar Dulces de Banana y Linternas de Calabaza por regalos. 
 2. Queremos Dulce de Banana: ¡Truco o trato! ¡Obtén ricos Dulces de Banana Diariamente!
 3. Fiesta Acelerada: ¡Acelera el entrenamiento, la investigación y la construcción para obtener exclusivas Linternas de Calabaza!
 4. Guardian de Halloween: ¡Participa en las reuniones y cacerías diarias para salvaguardar la fiesta!</v>
      </c>
      <c r="K14" s="151" t="str">
        <f>IFERROR(__xludf.DUMMYFUNCTION("""COMPUTED_VALUE"""),"- Новая «Хэллоуинская кутерьма»: события Хэллоуина уже в игре! Участвуйте в них, чтобы выиграть банановые конфеты и тыквенные фонари и обменять их на удивительные награды! Кроме того, у вас есть шанс получить эксклюзивный праздничный облик города!
Событи"&amp;"я:
1. Дом веселья на Хэллоуин: дом чудес, где банановые конфеты и тыквенные фонари можно обменять на подарки.
2. Мы хотим банановые конфеты: шалость или сладость! Каждый день собирайте сладкие банановые конфеты!
3. Ускорение кутерьмы: ускорьте обучение, и"&amp;"сследования и строительство, чтобы получить эксклюзивные тыквенные фонари.
4. Хэллоуинский страж: участвуйте в ежедневном сборе и охоте, чтобы защитить праздник!")</f>
        <v>- Новая «Хэллоуинская кутерьма»: события Хэллоуина уже в игре! Участвуйте в них, чтобы выиграть банановые конфеты и тыквенные фонари и обменять их на удивительные награды! Кроме того, у вас есть шанс получить эксклюзивный праздничный облик города!
События:
1. Дом веселья на Хэллоуин: дом чудес, где банановые конфеты и тыквенные фонари можно обменять на подарки.
2. Мы хотим банановые конфеты: шалость или сладость! Каждый день собирайте сладкие банановые конфеты!
3. Ускорение кутерьмы: ускорьте обучение, исследования и строительство, чтобы получить эксклюзивные тыквенные фонари.
4. Хэллоуинский страж: участвуйте в ежедневном сборе и охоте, чтобы защитить праздник!</v>
      </c>
      <c r="L14" s="151" t="str">
        <f>IFERROR(__xludf.DUMMYFUNCTION("""COMPUTED_VALUE"""),"- Yeni Cadılar Bayramı Eğlencesi Cadılar Bayramı etkinlikleri artık çevrim içi! Muzlu Şekerler ve Bal Kabağı Fenerleri kazanmak için katıl ve onları harika ödüllerle takas et! Ayrıca özel tatil şehri görünümünü elde etme şansı da var!
 Etkinlikler:
 1. "&amp;"Cadılar Bayramı Eğlence Evi: Muzlu Şekerleri ve Bal Kabağı Fenerlerini hediyelerle takas edebileceğin bir harikalar evi.
 2. Muzlu Şeker İstiyoruz: şeker mi şaka mı! Tatlı Muzlu Şekerleri her gün topla!
 3. Eğlenceyi Artır: özel Bal Kabağı Fenerleri almak"&amp;" için eğitimi, araştırmayı ve inşaatı hızlandır.
 4. Cadılar Bayramı Bekçisi: tatili korumak için günlük toplamalara ve avlara katıl!")</f>
        <v>- Yeni Cadılar Bayramı Eğlencesi Cadılar Bayramı etkinlikleri artık çevrim içi! Muzlu Şekerler ve Bal Kabağı Fenerleri kazanmak için katıl ve onları harika ödüllerle takas et! Ayrıca özel tatil şehri görünümünü elde etme şansı da var!
 Etkinlikler:
 1. Cadılar Bayramı Eğlence Evi: Muzlu Şekerleri ve Bal Kabağı Fenerlerini hediyelerle takas edebileceğin bir harikalar evi.
 2. Muzlu Şeker İstiyoruz: şeker mi şaka mı! Tatlı Muzlu Şekerleri her gün topla!
 3. Eğlenceyi Artır: özel Bal Kabağı Fenerleri almak için eğitimi, araştırmayı ve inşaatı hızlandır.
 4. Cadılar Bayramı Bekçisi: tatili korumak için günlük toplamalara ve avlara katıl!</v>
      </c>
      <c r="M14" s="151" t="str">
        <f>IFERROR(__xludf.DUMMYFUNCTION("""COMPUTED_VALUE"""),"- Bữa tiệc Halloween mới: Sự kiện Halloween hiện đã có trực tuyến! Hãy tham gia để giành Kẹo Chuối và Đèn Bí Ngô, rồi trao đổi chúng để lấy những phần thưởng hấp dẫn! Ngoài ra cũng có cơ hội nhận được giao diện thành phố kỳ nghỉ độc quyền!
 Sự kiện:
 1."&amp;" Nhà vui chơi Halloween: ngôi nhà của những điều kỳ diệu, nơi bạn có trao đổi Kẹo Chuối và Đèn Bí Ngô để lấy quà.
 2. Chúng cháu muốn Kẹo Chuối: kẹo hay ghẹo! Hãy thu thập Kẹo Chuối ngọt ngào mỗi ngày!
 3. Tăng tốc tiệc tùng: tăng tốc huấn luyện, nghiên c"&amp;"ứu, và xây dựng để nhận Đèn Bí Ngô độc quyền.
 4. Lính canh Halloween: tham gia thu thập và săn bắn hàng ngày để bảo vệ kỳ nghỉ!")</f>
        <v>- Bữa tiệc Halloween mới: Sự kiện Halloween hiện đã có trực tuyến! Hãy tham gia để giành Kẹo Chuối và Đèn Bí Ngô, rồi trao đổi chúng để lấy những phần thưởng hấp dẫn! Ngoài ra cũng có cơ hội nhận được giao diện thành phố kỳ nghỉ độc quyền!
 Sự kiện:
 1. Nhà vui chơi Halloween: ngôi nhà của những điều kỳ diệu, nơi bạn có trao đổi Kẹo Chuối và Đèn Bí Ngô để lấy quà.
 2. Chúng cháu muốn Kẹo Chuối: kẹo hay ghẹo! Hãy thu thập Kẹo Chuối ngọt ngào mỗi ngày!
 3. Tăng tốc tiệc tùng: tăng tốc huấn luyện, nghiên cứu, và xây dựng để nhận Đèn Bí Ngô độc quyền.
 4. Lính canh Halloween: tham gia thu thập và săn bắn hàng ngày để bảo vệ kỳ nghỉ!</v>
      </c>
      <c r="N14" s="151"/>
      <c r="O14" s="148"/>
      <c r="P14" s="148"/>
      <c r="Q14" s="148"/>
      <c r="R14" s="148"/>
      <c r="S14" s="148"/>
      <c r="T14" s="148"/>
      <c r="U14" s="148"/>
      <c r="V14" s="148"/>
      <c r="W14" s="148"/>
      <c r="X14" s="148"/>
      <c r="Y14" s="148"/>
      <c r="Z14" s="148"/>
    </row>
    <row r="15">
      <c r="A15" s="149" t="str">
        <f>IFERROR(__xludf.DUMMYFUNCTION("""COMPUTED_VALUE"""),"0.34.0")</f>
        <v>0.34.0</v>
      </c>
      <c r="B15" s="13" t="str">
        <f>IFERROR(__xludf.DUMMYFUNCTION("""COMPUTED_VALUE"""),"-新增绝地试炼：全新关卡挑战玩法，带上你最优秀的斗士，施展你的智慧，并赢得丰厚回报！
-新增斗士：风靡猿猴音乐界的明星葛列格，可通过绝地试炼玩法获得；精悍无畏的雇佣兵猎手伦恩，没有人能忘记他那令人战栗的弩箭！伦恩可通过擂台获得。
-任务优化：新增了绝地试炼相关章节任务；新增了一些主线任务；新增了科林探索和艾文寻宝记玩法相关的支线任务。
-战损提醒优化：增加了部队有重伤、死亡风险的提示，帮助新猴子更快熟悉游戏规则。
-排名活动表现优化：优化了部分排名活动的表现。
-野外战斗优化：优化了野外战斗的操作体验，并"&amp;"优化了部分表现。
-道具使用界面优化：增加了部分道具的获取途径。
-“变异猴首领的威胁”活动优化：更名为“改造猴的威胁”，霍格博士组建了比变异猴更具威胁的的改造猴大军，一起击退他们吧！活动优化了奖励领取方式，并调整了攻击怪物的方式。
-新人专享活动优化：活动界面新增每日免费礼物。
-特惠自助礼包优化：新增了可选道具，并优化了界面表现。
-泳池派对活动优化：参与活动即可获得幸运值，累计获得足够的幸运值后，必得泳池派对皮肤！
-VIP商店优化：新增部队扩容道具。")</f>
        <v>-新增绝地试炼：全新关卡挑战玩法，带上你最优秀的斗士，施展你的智慧，并赢得丰厚回报！
-新增斗士：风靡猿猴音乐界的明星葛列格，可通过绝地试炼玩法获得；精悍无畏的雇佣兵猎手伦恩，没有人能忘记他那令人战栗的弩箭！伦恩可通过擂台获得。
-任务优化：新增了绝地试炼相关章节任务；新增了一些主线任务；新增了科林探索和艾文寻宝记玩法相关的支线任务。
-战损提醒优化：增加了部队有重伤、死亡风险的提示，帮助新猴子更快熟悉游戏规则。
-排名活动表现优化：优化了部分排名活动的表现。
-野外战斗优化：优化了野外战斗的操作体验，并优化了部分表现。
-道具使用界面优化：增加了部分道具的获取途径。
-“变异猴首领的威胁”活动优化：更名为“改造猴的威胁”，霍格博士组建了比变异猴更具威胁的的改造猴大军，一起击退他们吧！活动优化了奖励领取方式，并调整了攻击怪物的方式。
-新人专享活动优化：活动界面新增每日免费礼物。
-特惠自助礼包优化：新增了可选道具，并优化了界面表现。
-泳池派对活动优化：参与活动即可获得幸运值，累计获得足够的幸运值后，必得泳池派对皮肤！
-VIP商店优化：新增部队扩容道具。</v>
      </c>
      <c r="C15" s="152" t="str">
        <f>IFERROR(__xludf.DUMMYFUNCTION("""COMPUTED_VALUE"""),"- New Impasse Trials: new level-clearing gameplay. Bring your best Fighters, use smart strategy, and win amazing rewards!
- New Fighter: superstar of the ape music world, Greg. Get him in Impasse Trials; fearless mercenary, Len. All who face his deadly cr"&amp;"ossbow will tremble in fear. Get him in the Arena.
- Quests optimized: added chapter quests related to Impasse Trials; added some main quests; added sub-quests related to Colin's Exploration and Alvin's Treasure Hunt.
- Battle loss tips optimized: added a"&amp;"lerts when there's a risk for troops to be seriously wounded or lost; helps familiarize new players with game rules.
- Ranking events displays optimized: optimized displays for certain ranking events.
- Map battles optimized: optimized the operational exp"&amp;"erience of battles on the map and certain related displays.
- Using items interface optimized: added the methods of obtaining certain items.
- ""Threat of the Alpha"" event optimized: renamed as ""Threat of the Modified Monkeys."" Dr. Hogg assembled an ar"&amp;"my of modified monkeys even more dangerous than Mutants. Get ready to defeat them! How rewards are claimed in the event have also been optimized, and the way to attack monsters has been adjusted.
- Beginner-exclusive events optimized: daily free gift adde"&amp;"d to events interface.
- Special Offer Custom Pack optimized: added new items to choose from and optimized interface display.
- Pool Party optimized: participate in the event to earn Lucky Points. Accumulate enough Lucky Points to get the Pool Party skin!"&amp;"
- VIP Shop optimized: added a new item for troop capacity expansion.")</f>
        <v>- New Impasse Trials: new level-clearing gameplay. Bring your best Fighters, use smart strategy, and win amazing rewards!
- New Fighter: superstar of the ape music world, Greg. Get him in Impasse Trials; fearless mercenary, Len. All who face his deadly crossbow will tremble in fear. Get him in the Arena.
- Quests optimized: added chapter quests related to Impasse Trials; added some main quests; added sub-quests related to Colin's Exploration and Alvin's Treasure Hunt.
- Battle loss tips optimized: added alerts when there's a risk for troops to be seriously wounded or lost; helps familiarize new players with game rules.
- Ranking events displays optimized: optimized displays for certain ranking events.
- Map battles optimized: optimized the operational experience of battles on the map and certain related displays.
- Using items interface optimized: added the methods of obtaining certain items.
- "Threat of the Alpha" event optimized: renamed as "Threat of the Modified Monkeys." Dr. Hogg assembled an army of modified monkeys even more dangerous than Mutants. Get ready to defeat them! How rewards are claimed in the event have also been optimized, and the way to attack monsters has been adjusted.
- Beginner-exclusive events optimized: daily free gift added to events interface.
- Special Offer Custom Pack optimized: added new items to choose from and optimized interface display.
- Pool Party optimized: participate in the event to earn Lucky Points. Accumulate enough Lucky Points to get the Pool Party skin!
- VIP Shop optimized: added a new item for troop capacity expansion.</v>
      </c>
      <c r="D15" s="13" t="str">
        <f>IFERROR(__xludf.DUMMYFUNCTION("""COMPUTED_VALUE"""),"- Epreuves de l’Impasse: un nouveau gameplay à niveaux évolutifs. Exploitez vos meilleurs combattants, mettez au point votre stratégie, et gagnez des récompenses incroyables!
 - Nouveaux combattants: Greg, la super star de la musique primate. A obtenir da"&amp;"ns les Epreuves de l’Impasse. Len, le mercenaire intrépide. Ceux qui tombent sur sa redoutable arbalète tremblent de peur. A obtenir dans l’Arène.
 - Optimisation des quêtes: ajout de quêtes de chapitre liées aux Epreuves de l’Impasse; ajout de plusieurs "&amp;"quêtes principales; ajout de quêtes secondaires liées à l’Exploration de Colin et à la Chasse aux trésors d’Alvin.
 - Optimisation des conseils pour éviter les défaites: ajout d’alertes en cas de risque de pertes ou de blessures graves des troupes; explic"&amp;"ations pour aider les nouveaux joueurs à comprendre les règles du jeu.
 - Optimisation de l’affichage des classements de certains évènements.
 - Combats sur la carte: optimisation de l’expérience et de l’affichage de certains éléments liés aux combats sur"&amp;" la carte.
 - Utilisation des objets: ajout d’informations sur l’obtention de certains objets.
 - L’évènement ""La Menace de l’alpha"" devient ""La Menace des primates expérimentaux"". Le Dr Hogg lève une armée de singes modifiés, encore plus dangereux qu"&amp;"e les mutants. Préparez-vous à les éliminer! La façon de récupérer les récompenses de l’évènement a également été améliorée, ainsi que la manière d’attaquer les monstres.
 - Evènements réservés aux débutants: un cadeau offert chaque jour sur l’interface d"&amp;"es évènements.
 - Pack personnalisé offre spéciale: ajout d’objets à sélectionner et optimisation de l’interface.
 - Pool party: participez à l’évènement pour gagner des points de chance, à cumuler afin d’obtenir le skin piscine.
 - Boutique VIP: ajout d’"&amp;"un nouvel objet pour augmenter la capacité des troupes.")</f>
        <v>- Epreuves de l’Impasse: un nouveau gameplay à niveaux évolutifs. Exploitez vos meilleurs combattants, mettez au point votre stratégie, et gagnez des récompenses incroyables!
 - Nouveaux combattants: Greg, la super star de la musique primate. A obtenir dans les Epreuves de l’Impasse. Len, le mercenaire intrépide. Ceux qui tombent sur sa redoutable arbalète tremblent de peur. A obtenir dans l’Arène.
 - Optimisation des quêtes: ajout de quêtes de chapitre liées aux Epreuves de l’Impasse; ajout de plusieurs quêtes principales; ajout de quêtes secondaires liées à l’Exploration de Colin et à la Chasse aux trésors d’Alvin.
 - Optimisation des conseils pour éviter les défaites: ajout d’alertes en cas de risque de pertes ou de blessures graves des troupes; explications pour aider les nouveaux joueurs à comprendre les règles du jeu.
 - Optimisation de l’affichage des classements de certains évènements.
 - Combats sur la carte: optimisation de l’expérience et de l’affichage de certains éléments liés aux combats sur la carte.
 - Utilisation des objets: ajout d’informations sur l’obtention de certains objets.
 - L’évènement "La Menace de l’alpha" devient "La Menace des primates expérimentaux". Le Dr Hogg lève une armée de singes modifiés, encore plus dangereux que les mutants. Préparez-vous à les éliminer! La façon de récupérer les récompenses de l’évènement a également été améliorée, ainsi que la manière d’attaquer les monstres.
 - Evènements réservés aux débutants: un cadeau offert chaque jour sur l’interface des évènements.
 - Pack personnalisé offre spéciale: ajout d’objets à sélectionner et optimisation de l’interface.
 - Pool party: participez à l’évènement pour gagner des points de chance, à cumuler afin d’obtenir le skin piscine.
 - Boutique VIP: ajout d’un nouvel objet pour augmenter la capacité des troupes.</v>
      </c>
      <c r="E15" s="151" t="str">
        <f>IFERROR(__xludf.DUMMYFUNCTION("""COMPUTED_VALUE"""),"- Neue Sackgassen-Prüfungen: neues Level-Clearing-Gameplay. Bring deine besten Kämpfer mit, nutze eine clevere Strategie und gewinne tolle Belohnungen!
 - Neuer Kämpfer: der Superstar der Affenmusikwelt, Greg. Erhältlich über die Sackgassen-Prüfungen. Der"&amp;" furchtlose Söldner Len: Alle, die seine tödliche Armbrust erblicken, erzittern vor Angst. In der Arena erhältlich.
 - Quest-Optimierungen: Kapitel-Quests zu den Sackgassen-Prüfungen hinzugefügt; einige Haupt-Quests hinzugefügt; Sub-Quests zu Colins Erkun"&amp;"dung und Alvins Schatzsuche hinzugefügt.
 - Tipps zu Kampfverlusten optimiert: Warnungen hinzugefügt, wenn die Gefahr besteht, dass Truppen schwer verwundet werden oder verloren gehen. Dies hilft neuen Spielern, sich mit dem Spiel vertraut zu machen.
 - O"&amp;"ptimierte Anzeige von Ranglisten-Events: Die Anzeigen für bestimmte Ranglisten-Events wurden optimiert.
 - Kämpfe auf der Karte optimiert: Die Darstellung von Kämpfen auf der Karte und bestimmte damit verbundene Anzeigen wurden optimiert.
 - Interface für"&amp;" die Verwendung von Gegenständen optimiert: Die Methoden zum Erhalten bestimmter Gegenstände wurden hinzugefügt.
 - Das Event ""Die Alpha-Mutant-Bedrohung"" wurde und in ""Bedrohung durch modifizierte Affen"" umbenannt. Dr. Hogg hat eine Armee von modifiz"&amp;"ierten Affen aufgebaut, die noch gefährlicher sind als Mutanten. Machen dich bereit, sie zu besiegen! Außerdem wurde die Art und Weise, wie Belohnungen in diesem Event eingefordert werden können, optimiert und die Art und Weise, wie Monster angegriffen we"&amp;"rden können, wurde angepasst.
 - Einsteiger-exklusive Events optimiert: Tägliches Gratisgeschenk zum Event-Interface hinzugefügt.
 - Optimierung der individuellen Angebotspakete: Es wurden neue Gegenstände zur Auswahl hinzugefügt und die Anzeige im Interf"&amp;"ace optimiert.
 - Pool-Party optimiert: Nimm an dem Event teil, um Glückspunkte zu verdienen. Sammle genug Glückspunkte, um den Poolparty-Skin zu erhalten!
 - VIP-Shop optimiert: Ein neuer Gegenstand zur Vergrößerung der Truppenkapazität wurde hinzugefügt"&amp;".")</f>
        <v>- Neue Sackgassen-Prüfungen: neues Level-Clearing-Gameplay. Bring deine besten Kämpfer mit, nutze eine clevere Strategie und gewinne tolle Belohnungen!
 - Neuer Kämpfer: der Superstar der Affenmusikwelt, Greg. Erhältlich über die Sackgassen-Prüfungen. Der furchtlose Söldner Len: Alle, die seine tödliche Armbrust erblicken, erzittern vor Angst. In der Arena erhältlich.
 - Quest-Optimierungen: Kapitel-Quests zu den Sackgassen-Prüfungen hinzugefügt; einige Haupt-Quests hinzugefügt; Sub-Quests zu Colins Erkundung und Alvins Schatzsuche hinzugefügt.
 - Tipps zu Kampfverlusten optimiert: Warnungen hinzugefügt, wenn die Gefahr besteht, dass Truppen schwer verwundet werden oder verloren gehen. Dies hilft neuen Spielern, sich mit dem Spiel vertraut zu machen.
 - Optimierte Anzeige von Ranglisten-Events: Die Anzeigen für bestimmte Ranglisten-Events wurden optimiert.
 - Kämpfe auf der Karte optimiert: Die Darstellung von Kämpfen auf der Karte und bestimmte damit verbundene Anzeigen wurden optimiert.
 - Interface für die Verwendung von Gegenständen optimiert: Die Methoden zum Erhalten bestimmter Gegenstände wurden hinzugefügt.
 - Das Event "Die Alpha-Mutant-Bedrohung" wurde und in "Bedrohung durch modifizierte Affen" umbenannt. Dr. Hogg hat eine Armee von modifizierten Affen aufgebaut, die noch gefährlicher sind als Mutanten. Machen dich bereit, sie zu besiegen! Außerdem wurde die Art und Weise, wie Belohnungen in diesem Event eingefordert werden können, optimiert und die Art und Weise, wie Monster angegriffen werden können, wurde angepasst.
 - Einsteiger-exklusive Events optimiert: Tägliches Gratisgeschenk zum Event-Interface hinzugefügt.
 - Optimierung der individuellen Angebotspakete: Es wurden neue Gegenstände zur Auswahl hinzugefügt und die Anzeige im Interface optimiert.
 - Pool-Party optimiert: Nimm an dem Event teil, um Glückspunkte zu verdienen. Sammle genug Glückspunkte, um den Poolparty-Skin zu erhalten!
 - VIP-Shop optimiert: Ein neuer Gegenstand zur Vergrößerung der Truppenkapazität wurde hinzugefügt.</v>
      </c>
      <c r="F15" s="151" t="str">
        <f>IFERROR(__xludf.DUMMYFUNCTION("""COMPUTED_VALUE"""),"- Novos Desafio de Impasse: novo modo de jogo para concluir níveis. Traga seus melhores combatentes, use uma estratégia inteligente e ganhe recompensas incríveis!
 - Novo combatente: o astro do mundo da música símia, Greg. Obtenha-o nos Desafios de Impass"&amp;"e; o destemido mercenário, Len. Todos que encaram sua besta mortal tremerão de medo. Obtenha-o na arena.
 - Missões melhoradas: adicionadas missões de capítulo relacionadas aos Desafios de Impasse; adição de algumas missões principais; missões secundárias"&amp;" relacionadas à Exploração de Colin e Caça ao Tesouro de Alvin.
 - Dicas relacionadas a perdas em batalha foram melhoradas: foram adicionados alertas para quando há risco de as tropas serem gravemente feridas ou perdidas; isso ajudará novos jogadores a co"&amp;"nhecerem as regras do jogo.
 - Melhorias nas exibições dos eventos de classificação: ajustes nas exibições de determinados eventos de classificação.
 - Melhoria das batalhas no mapa: a experiência operacional das batalhas no mapa e determinadas exibições "&amp;"relacionadas foram aprimoradas.
 - O uso de itens na interface foi melhorado: foram adicionados métodos de obter determinados itens.
 - O evento ""Ameaça do Mutante Alfa"" foi ajustado: renomeado para ""Ameaça dos Macacos Modificados"". Dr. Hogg reuniu um"&amp;" exército de macacos modificados que são ainda mais perigosos que os mutantes. Prepare-se e os derrote! O modo como recompensas são resgatadas no evento também foi melhorado, assim como a forma de atacar monstros.
 - Os eventos únicos para novatos foram m"&amp;"elhorados: presentes grátis diários foram adicionados à interface de evento.
 - Pacote de Oferta Especial Customizada melhorada: foram adicionados novos itens que você pode escolher, e a exibição da interface foi aprimorada.
 - Festa da Piscina melhorada:"&amp;" participe do evento para ganhar pontos da sorte. Acumule pontos da sorte suficientes para obter a skin da Festa da Piscina!
 - Melhorias na Loja VIP: adicionado um novo item para a expansão da capacidade da tropa.")</f>
        <v>- Novos Desafio de Impasse: novo modo de jogo para concluir níveis. Traga seus melhores combatentes, use uma estratégia inteligente e ganhe recompensas incríveis!
 - Novo combatente: o astro do mundo da música símia, Greg. Obtenha-o nos Desafios de Impasse; o destemido mercenário, Len. Todos que encaram sua besta mortal tremerão de medo. Obtenha-o na arena.
 - Missões melhoradas: adicionadas missões de capítulo relacionadas aos Desafios de Impasse; adição de algumas missões principais; missões secundárias relacionadas à Exploração de Colin e Caça ao Tesouro de Alvin.
 - Dicas relacionadas a perdas em batalha foram melhoradas: foram adicionados alertas para quando há risco de as tropas serem gravemente feridas ou perdidas; isso ajudará novos jogadores a conhecerem as regras do jogo.
 - Melhorias nas exibições dos eventos de classificação: ajustes nas exibições de determinados eventos de classificação.
 - Melhoria das batalhas no mapa: a experiência operacional das batalhas no mapa e determinadas exibições relacionadas foram aprimoradas.
 - O uso de itens na interface foi melhorado: foram adicionados métodos de obter determinados itens.
 - O evento "Ameaça do Mutante Alfa" foi ajustado: renomeado para "Ameaça dos Macacos Modificados". Dr. Hogg reuniu um exército de macacos modificados que são ainda mais perigosos que os mutantes. Prepare-se e os derrote! O modo como recompensas são resgatadas no evento também foi melhorado, assim como a forma de atacar monstros.
 - Os eventos únicos para novatos foram melhorados: presentes grátis diários foram adicionados à interface de evento.
 - Pacote de Oferta Especial Customizada melhorada: foram adicionados novos itens que você pode escolher, e a exibição da interface foi aprimorada.
 - Festa da Piscina melhorada: participe do evento para ganhar pontos da sorte. Acumule pontos da sorte suficientes para obter a skin da Festa da Piscina!
 - Melhorias na Loja VIP: adicionado um novo item para a expansão da capacidade da tropa.</v>
      </c>
      <c r="G15" s="151" t="str">
        <f>IFERROR(__xludf.DUMMYFUNCTION("""COMPUTED_VALUE"""),"-新增絕地試煉：全新關卡挑戰玩法，帶上你最優秀的鬥士，施展你的智慧，並贏得豐厚回報！
-新增鬥士：風靡猿猴音樂界的明星葛列格，可通過絕地試煉玩法獲得；精悍無畏的雇傭兵獵手倫恩，沒有人能忘記他那令人戰栗的弩箭！倫恩可通過擂臺獲得。
-任務優化：新增了絕地試煉相關章節任務；新增了一些主線任務；新增了科林探索和艾文尋寶記玩法相關的支線任務。
-戰損提醒優化：增加了部隊有重傷、死亡風險的提示，幫助新猴子更快熟悉遊戲規則。
-排名活動表現優化：優化了部分排名活動的表現。
-野外戰鬥優化：優化了野外戰鬥的操"&amp;"作體驗，並優化了部分表現。
-道具使用界面優化：增加了部分道具的獲取途徑。
-「變異猴首領的威脅」活動優化：更名為「改造猴的威脅」，霍格博士組建了比變異猴更具威脅的的改造猴大軍，一起擊退他們吧！活動優化了獎勵領取方式，並調整了攻擊怪物的方式。
-新人專享活動優化：活動界面新增每日免費禮物。
-特惠自助禮包優化：新增了可選道具，並優化了界面表現。
-泳池派對活動優化：參與活動即可獲得幸運值，累計獲得足夠的幸運值後，必得泳池派對皮膚！
-VIP商店優化：新增部隊擴容道具。")</f>
        <v>-新增絕地試煉：全新關卡挑戰玩法，帶上你最優秀的鬥士，施展你的智慧，並贏得豐厚回報！
-新增鬥士：風靡猿猴音樂界的明星葛列格，可通過絕地試煉玩法獲得；精悍無畏的雇傭兵獵手倫恩，沒有人能忘記他那令人戰栗的弩箭！倫恩可通過擂臺獲得。
-任務優化：新增了絕地試煉相關章節任務；新增了一些主線任務；新增了科林探索和艾文尋寶記玩法相關的支線任務。
-戰損提醒優化：增加了部隊有重傷、死亡風險的提示，幫助新猴子更快熟悉遊戲規則。
-排名活動表現優化：優化了部分排名活動的表現。
-野外戰鬥優化：優化了野外戰鬥的操作體驗，並優化了部分表現。
-道具使用界面優化：增加了部分道具的獲取途徑。
-「變異猴首領的威脅」活動優化：更名為「改造猴的威脅」，霍格博士組建了比變異猴更具威脅的的改造猴大軍，一起擊退他們吧！活動優化了獎勵領取方式，並調整了攻擊怪物的方式。
-新人專享活動優化：活動界面新增每日免費禮物。
-特惠自助禮包優化：新增了可選道具，並優化了界面表現。
-泳池派對活動優化：參與活動即可獲得幸運值，累計獲得足夠的幸運值後，必得泳池派對皮膚！
-VIP商店優化：新增部隊擴容道具。</v>
      </c>
      <c r="H15" s="151" t="str">
        <f>IFERROR(__xludf.DUMMYFUNCTION("""COMPUTED_VALUE"""),"- Uji Coba Jalan Buntu Baru: gameplay pembersihan level baru. Bawa Pejuang terbaikmu, gunakan strategi cerdas, dan menangkan hadiah menarik!
 - Pejuang Baru: superstar dunia musik kera, Greg. Dapatkan Greg di Uji Coba Jalan Buntu; prajurit bayaran tanpa r"&amp;"asa takut, Len. Siapa pun yang menghadapi busur silangnya akan gemetar dalam rasa takut. Dapatkan Len di Arena.
 - Tantangan dioptimalkan: menambahkan tantangan babak terkait dengan Penjelajahan Colin dan Perburuan Harta Alvin.
 - Tips kekalahan pertempur"&amp;"an dioptimalkan: menambahkan peringatan saat adanya risiko pasukan yang terluka serius atau kalah; membantu memperkenalkan pemain baru dengan aturan permainan.
 - Tampilan acara peringkat dioptimalkan: mengoptimalkan tampilan untuk acara peringkat tertent"&amp;"u.
 - Pertempuran peta dioptimalkan: mengoptimalkan pengalaman operasional pertempuran di peta dan tampilan terkait lainnya.
 - Antarmuka penggunaan item dioptimalkan: menambahkan metode cara pemerolehan item tertentu.
 - Acara ""Ancaman Alfa"" dioptimalk"&amp;"an: berganti nama menjadi ""Ancaman Kera yang Dimodifikasi"". Dr. Hogg mengerahkan prajurit kera yang dimodifikasi yang lebih berbahaya dari Mutan. Bersiaplah untuk mengalahkannya! Cara mengambil hadiah dalam game juga telah dioptimalkan, dan cara menyera"&amp;"ng monster telah disesuaikan.
 - Acara eksklusif pemula dioptimalkan: hadiah gratis harian ditambahkan ke antarmuka acara.
 - Paket Kustom Penawaran Khusus: menambahkan item baru untuk dipilih dan mengoptimalkan tampilan antarmuka.
 - Pesta Kolam Renang d"&amp;"ioptimalkan: berpartisipasi dalam acara untuk mendapatkan Poin Keberuntungan. Kumpulkan cukup Poin Keberuntungan untuk mendapatkan skin Pesta Kolam Renang!
 - Toko VIP dioptimalkan : menambahkan item baru untuk perluasan kapasitas pasukan.")</f>
        <v>- Uji Coba Jalan Buntu Baru: gameplay pembersihan level baru. Bawa Pejuang terbaikmu, gunakan strategi cerdas, dan menangkan hadiah menarik!
 - Pejuang Baru: superstar dunia musik kera, Greg. Dapatkan Greg di Uji Coba Jalan Buntu; prajurit bayaran tanpa rasa takut, Len. Siapa pun yang menghadapi busur silangnya akan gemetar dalam rasa takut. Dapatkan Len di Arena.
 - Tantangan dioptimalkan: menambahkan tantangan babak terkait dengan Penjelajahan Colin dan Perburuan Harta Alvin.
 - Tips kekalahan pertempuran dioptimalkan: menambahkan peringatan saat adanya risiko pasukan yang terluka serius atau kalah; membantu memperkenalkan pemain baru dengan aturan permainan.
 - Tampilan acara peringkat dioptimalkan: mengoptimalkan tampilan untuk acara peringkat tertentu.
 - Pertempuran peta dioptimalkan: mengoptimalkan pengalaman operasional pertempuran di peta dan tampilan terkait lainnya.
 - Antarmuka penggunaan item dioptimalkan: menambahkan metode cara pemerolehan item tertentu.
 - Acara "Ancaman Alfa" dioptimalkan: berganti nama menjadi "Ancaman Kera yang Dimodifikasi". Dr. Hogg mengerahkan prajurit kera yang dimodifikasi yang lebih berbahaya dari Mutan. Bersiaplah untuk mengalahkannya! Cara mengambil hadiah dalam game juga telah dioptimalkan, dan cara menyerang monster telah disesuaikan.
 - Acara eksklusif pemula dioptimalkan: hadiah gratis harian ditambahkan ke antarmuka acara.
 - Paket Kustom Penawaran Khusus: menambahkan item baru untuk dipilih dan mengoptimalkan tampilan antarmuka.
 - Pesta Kolam Renang dioptimalkan: berpartisipasi dalam acara untuk mendapatkan Poin Keberuntungan. Kumpulkan cukup Poin Keberuntungan untuk mendapatkan skin Pesta Kolam Renang!
 - Toko VIP dioptimalkan : menambahkan item baru untuk perluasan kapasitas pasukan.</v>
      </c>
      <c r="I15" s="151" t="str">
        <f>IFERROR(__xludf.DUMMYFUNCTION("""COMPUTED_VALUE"""),"- การทดสอบ ณ ทางตันใหม่: การเล่นเกมเคลียร์ด่านใหม่ นำนักสู้ที่เก่งที่สุดของคุณเข้าต่อสู้ ใช้กลยุทธ์อันชาญฉลาด แล้วรับรางวัลสุดวิเศษ!
 - นักสู้ตัวใหม่: ซูเปอร์สตาร์แห่งโลกดนตรีของเหล่าวานร เกร็ก รับเขาได้ในการทดสอบ ณ ทางตัน; ทหารรับจ้างผู้กล้าหาญ เลน ทุกคน"&amp;"ที่เผชิญหน้ากับหน้าไม้สุดแสนอันตรายของเขาจะต้องสั่นสะท้านด้วยความกลัว คุณสามารถรับเขาได้ที่สนามต่อสู้
 - ปรับปรุงเควสต์: เพิ่มเควสต์บทที่เกี่ยวข้องกับการทดสอบ ณ ทางตัน; เพิ่มเควสต์หลัก; เพิ่มเควสต์ย่อยที่เกี่ยวข้องกับการสำรวจของโคลิน และการล่าสมบัติของอัล"&amp;"วิน
 - ปรับปรุงเคล็ดลับการพ่ายแพ้การต่อสู้: เพิ่มการแจ้งเตือน เมื่อมีความเสี่ยงที่กองทหารจะได้รับบาดเจ็บสาหัสหรือพ่ายแพ้ ช่วยให้ผู้เล่นใหม่คุ้นเคยกับกฎของเกมได้ง่ายขึ้น
 - ปรับปรุงการแสดงกิจกรรมการจัดอันดับ: ปรับปรุงการแสดงผลของกิจกรรมการจัดอันดับบางส่วน
"&amp;" - ปรับปรุงการต่อสู้บนแผนที่: ปรับปรุงประสบการณ์การสั่งการการต่อสู้บนแผนที่และการแสดงผลที่เกี่ยวข้อง
 - ปรับปรุงอินเตอร์เฟซไอเทม: เพิ่มวิธีการได้รับไอเทมบางชนิด
 - ปรับปรุงกิจกรรม ""ภัยคุกคามของอัลฟ่า"": เปลี่ยนชื่อเป็น ""ภัยคุกคามจากฝูงลิงดัดแปลง"" ดร. ฮ"&amp;"็อกก์รวบรวมกองทัพลิงดัดแปลงที่อันตรายยิ่งกว่าพวกมิวแตนต์มา เตรียมตัวให้พร้อมที่จะปราบพวกนั้นให้ราบ! ปรับปรุงวิธีรับรางวัลในกิจกรรมและวิธีการโจมตีมอนสเตอร์
 - ปรับปรุงกิจกรรมพิเศษเฉพาะสำหรับผู้เริ่มต้น: เพิ่มของขวัญฟรีทุกวันในอินเตอร์เฟซกิจกรรม
 - ปรับปรุง"&amp;"แพ็กข้อเสนอพิเศษแบบเลือกเอง: เพิ่มไอเทมใหม่ให้เลือกและปรับปรุงการแสดงผลอินเตอร์เฟซ
 - ปรับปรุงกิจกรรมปาร์ตี้ริมสระน้ำ: เข้าร่วมกิจกรรมเพื่อรับคะแนนนำโชค สะสมคะแนนนำโชคให้เพียงพอเพื่อรับสกินปาร์ตี้ริมสระน้ำ!
 - ปรับปรุงร้านค้า VIP: เพิ่มไอเทมใหม่สำหรับการข"&amp;"ยายขนาดกองทหาร")</f>
        <v>- การทดสอบ ณ ทางตันใหม่: การเล่นเกมเคลียร์ด่านใหม่ นำนักสู้ที่เก่งที่สุดของคุณเข้าต่อสู้ ใช้กลยุทธ์อันชาญฉลาด แล้วรับรางวัลสุดวิเศษ!
 - นักสู้ตัวใหม่: ซูเปอร์สตาร์แห่งโลกดนตรีของเหล่าวานร เกร็ก รับเขาได้ในการทดสอบ ณ ทางตัน; ทหารรับจ้างผู้กล้าหาญ เลน ทุกคนที่เผชิญหน้ากับหน้าไม้สุดแสนอันตรายของเขาจะต้องสั่นสะท้านด้วยความกลัว คุณสามารถรับเขาได้ที่สนามต่อสู้
 - ปรับปรุงเควสต์: เพิ่มเควสต์บทที่เกี่ยวข้องกับการทดสอบ ณ ทางตัน; เพิ่มเควสต์หลัก; เพิ่มเควสต์ย่อยที่เกี่ยวข้องกับการสำรวจของโคลิน และการล่าสมบัติของอัลวิน
 - ปรับปรุงเคล็ดลับการพ่ายแพ้การต่อสู้: เพิ่มการแจ้งเตือน เมื่อมีความเสี่ยงที่กองทหารจะได้รับบาดเจ็บสาหัสหรือพ่ายแพ้ ช่วยให้ผู้เล่นใหม่คุ้นเคยกับกฎของเกมได้ง่ายขึ้น
 - ปรับปรุงการแสดงกิจกรรมการจัดอันดับ: ปรับปรุงการแสดงผลของกิจกรรมการจัดอันดับบางส่วน
 - ปรับปรุงการต่อสู้บนแผนที่: ปรับปรุงประสบการณ์การสั่งการการต่อสู้บนแผนที่และการแสดงผลที่เกี่ยวข้อง
 - ปรับปรุงอินเตอร์เฟซไอเทม: เพิ่มวิธีการได้รับไอเทมบางชนิด
 - ปรับปรุงกิจกรรม "ภัยคุกคามของอัลฟ่า": เปลี่ยนชื่อเป็น "ภัยคุกคามจากฝูงลิงดัดแปลง" ดร. ฮ็อกก์รวบรวมกองทัพลิงดัดแปลงที่อันตรายยิ่งกว่าพวกมิวแตนต์มา เตรียมตัวให้พร้อมที่จะปราบพวกนั้นให้ราบ! ปรับปรุงวิธีรับรางวัลในกิจกรรมและวิธีการโจมตีมอนสเตอร์
 - ปรับปรุงกิจกรรมพิเศษเฉพาะสำหรับผู้เริ่มต้น: เพิ่มของขวัญฟรีทุกวันในอินเตอร์เฟซกิจกรรม
 - ปรับปรุงแพ็กข้อเสนอพิเศษแบบเลือกเอง: เพิ่มไอเทมใหม่ให้เลือกและปรับปรุงการแสดงผลอินเตอร์เฟซ
 - ปรับปรุงกิจกรรมปาร์ตี้ริมสระน้ำ: เข้าร่วมกิจกรรมเพื่อรับคะแนนนำโชค สะสมคะแนนนำโชคให้เพียงพอเพื่อรับสกินปาร์ตี้ริมสระน้ำ!
 - ปรับปรุงร้านค้า VIP: เพิ่มไอเทมใหม่สำหรับการขยายขนาดกองทหาร</v>
      </c>
      <c r="J15" s="151" t="str">
        <f>IFERROR(__xludf.DUMMYFUNCTION("""COMPUTED_VALUE"""),"- Nuevas Pruebas de Impasse: Nueva jugabilidad de superar el nivel. ¡Trae a tus mejores Luchadores, usa una estrategia inteligente y gana increíbles recompensas!
 - Nuevo Luchador: Greg, la superestrella del mundo de la música de los simios, obtenlo en la"&amp;"s Pruebas de Impasse. Len, el mercenario intrépido, todos los que se enfrenten a su mortífera ballesta temblarán de miedo, consíguelo en la Arena.
 - Misiones optimizadas: Misiones de capítulo añadidas relacionadas con las Pruebas de Impasse; se agregaron"&amp;" algunas misiones principales; se agregaron misiones secundarias relacionadas con la Exploración de Colin y la Búsqueda del Tesoro de Alvin.
 - Consejos de pérdida de batalla optimizados: Alertas adicionales cuando existe el riesgo de que las tropas resul"&amp;"ten severamente heridas o se pierdan; ayuda a familiarizar a los nuevos jugadores con las reglas del juego.
 - Visualizaciones de eventos de clasificación optimizadas: Pantallas optimizadas para ciertos eventos de clasificación.
 - Mapa de batallas optimi"&amp;"zado: Se optimizó la experiencia operativa de las batallas en el mapa y ciertas visualizaciones relacionadas.
 - Uso de la interfaz de artículos optimizada: Se agregaron los métodos para obtener ciertos elementos.
 - Evento ""La Amenaza de Alfa"" optimiza"&amp;"do: renombrado como ""La Amenaza de los Monos Modificados"". El Dr. Hogg reunió un ejército de monos modificados incluso más peligrosos que los Mutantes. ¡Prepárate para derrotarlos! También se ha optimizado la forma en que se reclaman las recompensas en "&amp;"el evento y se ha ajustado la forma de atacar a los monstruos.
 - Optimización de los eventos exclusivos para Principiantes: Regalo diario gratuito agregado a la interfaz de eventos.
 - Paquete Personalizado de Oferta Especial optimizado: Se agregaron nue"&amp;"vos elementos a elegir y una pantalla de interfaz optimizada.
 - Fiesta en la Piscina optimizada: participa en el evento para ganar Puntos de la Suerte. ¡Acumula suficientes Puntos de la Suerte para conseguir la textura de Fiesta en la Piscina!
 - Tienda "&amp;"VIP optimizada: se agregó un nuevo elemento para la expansión de la capacidad de las tropas.")</f>
        <v>- Nuevas Pruebas de Impasse: Nueva jugabilidad de superar el nivel. ¡Trae a tus mejores Luchadores, usa una estrategia inteligente y gana increíbles recompensas!
 - Nuevo Luchador: Greg, la superestrella del mundo de la música de los simios, obtenlo en las Pruebas de Impasse. Len, el mercenario intrépido, todos los que se enfrenten a su mortífera ballesta temblarán de miedo, consíguelo en la Arena.
 - Misiones optimizadas: Misiones de capítulo añadidas relacionadas con las Pruebas de Impasse; se agregaron algunas misiones principales; se agregaron misiones secundarias relacionadas con la Exploración de Colin y la Búsqueda del Tesoro de Alvin.
 - Consejos de pérdida de batalla optimizados: Alertas adicionales cuando existe el riesgo de que las tropas resulten severamente heridas o se pierdan; ayuda a familiarizar a los nuevos jugadores con las reglas del juego.
 - Visualizaciones de eventos de clasificación optimizadas: Pantallas optimizadas para ciertos eventos de clasificación.
 - Mapa de batallas optimizado: Se optimizó la experiencia operativa de las batallas en el mapa y ciertas visualizaciones relacionadas.
 - Uso de la interfaz de artículos optimizada: Se agregaron los métodos para obtener ciertos elementos.
 - Evento "La Amenaza de Alfa" optimizado: renombrado como "La Amenaza de los Monos Modificados". El Dr. Hogg reunió un ejército de monos modificados incluso más peligrosos que los Mutantes. ¡Prepárate para derrotarlos! También se ha optimizado la forma en que se reclaman las recompensas en el evento y se ha ajustado la forma de atacar a los monstruos.
 - Optimización de los eventos exclusivos para Principiantes: Regalo diario gratuito agregado a la interfaz de eventos.
 - Paquete Personalizado de Oferta Especial optimizado: Se agregaron nuevos elementos a elegir y una pantalla de interfaz optimizada.
 - Fiesta en la Piscina optimizada: participa en el evento para ganar Puntos de la Suerte. ¡Acumula suficientes Puntos de la Suerte para conseguir la textura de Fiesta en la Piscina!
 - Tienda VIP optimizada: se agregó un nuevo elemento para la expansión de la capacidad de las tropas.</v>
      </c>
      <c r="K15" s="151" t="str">
        <f>IFERROR(__xludf.DUMMYFUNCTION("""COMPUTED_VALUE"""),"- Новые «Испытания Тупика»: игровой процесс с прохождением уровней. Возьмите с собой лучших героев, используйте умную стратегию и выиграйте удивительные награды!
- Новые герои: Первый — Грег, суперзвезда музыкального мира обезьян. Его можно получить в «Ис"&amp;"пытаниях Тупика». Второй — бесстрашный наемник Лен. Все, кто столкнется с его смертоносным арбалетом, будут дрожать от страха. Его можно получить на арене.
- Оптимизированы задания: добавлены задания глав, связанные с «Испытанием Тупика»; добавлены основн"&amp;"ые задания; добавлены дополнительные задания, связанные с «Исследованиями Колина» и «Охотой за сокровищами Альвина».
- Оптимизированы подсказки о потерях в сражениях: добавлены предупреждения о риске серьезных ранений или потерь войск; это помогает ознако"&amp;"мить новых игроков с правилами игры.
- Оптимизировано отображение рейтинговых событий: оптимизировано отображение определенных рейтинговых событий.
- Оптимизированы сражения на карте: оптимизирована работа сражений на карте и некоторые связанные с ними от"&amp;"ображения.
- Оптимизирован интерфейс использования предметов: добавлены методы получения определенных предметов.
- Оптимизировано событие «Угроза альфа-мутанта»: событие переименовано в «Угрозу измененных обезьян». Доктор Хогг собрал армию измененных обез"&amp;"ьян, которые еще опаснее, чем мутанты. Приготовьтесь победить их! Также оптимизированы способы получения наград в событии, а способ нападения на монстров скорректирован.
- Оптимизированы эксклюзивные события для новичков: в интерфейс событий добавлен ежед"&amp;"невный бесплатный подарок.
- Оптимизировано особое предложение — персональный набор: добавлены новые элементы на выбор и оптимизировано отображение интерфейса.
- Оптимизирована «Вечеринка в бассейне»: участвуйте в событии, чтобы заработать очки удачи. Нак"&amp;"опите достаточно очков удачи, чтобы получить облик «Вечеринка в бассейне»!
- Оптимизирован VIP-магазин: добавлен новый предмет для увеличения  макс. численности войск.")</f>
        <v>- Новые «Испытания Тупика»: игровой процесс с прохождением уровней. Возьмите с собой лучших героев, используйте умную стратегию и выиграйте удивительные награды!
- Новые герои: Первый — Грег, суперзвезда музыкального мира обезьян. Его можно получить в «Испытаниях Тупика». Второй — бесстрашный наемник Лен. Все, кто столкнется с его смертоносным арбалетом, будут дрожать от страха. Его можно получить на арене.
- Оптимизированы задания: добавлены задания глав, связанные с «Испытанием Тупика»; добавлены основные задания; добавлены дополнительные задания, связанные с «Исследованиями Колина» и «Охотой за сокровищами Альвина».
- Оптимизированы подсказки о потерях в сражениях: добавлены предупреждения о риске серьезных ранений или потерь войск; это помогает ознакомить новых игроков с правилами игры.
- Оптимизировано отображение рейтинговых событий: оптимизировано отображение определенных рейтинговых событий.
- Оптимизированы сражения на карте: оптимизирована работа сражений на карте и некоторые связанные с ними отображения.
- Оптимизирован интерфейс использования предметов: добавлены методы получения определенных предметов.
- Оптимизировано событие «Угроза альфа-мутанта»: событие переименовано в «Угрозу измененных обезьян». Доктор Хогг собрал армию измененных обезьян, которые еще опаснее, чем мутанты. Приготовьтесь победить их! Также оптимизированы способы получения наград в событии, а способ нападения на монстров скорректирован.
- Оптимизированы эксклюзивные события для новичков: в интерфейс событий добавлен ежедневный бесплатный подарок.
- Оптимизировано особое предложение — персональный набор: добавлены новые элементы на выбор и оптимизировано отображение интерфейса.
- Оптимизирована «Вечеринка в бассейне»: участвуйте в событии, чтобы заработать очки удачи. Накопите достаточно очков удачи, чтобы получить облик «Вечеринка в бассейне»!
- Оптимизирован VIP-магазин: добавлен новый предмет для увеличения  макс. численности войск.</v>
      </c>
      <c r="L15" s="151" t="str">
        <f>IFERROR(__xludf.DUMMYFUNCTION("""COMPUTED_VALUE"""),"- Yeni Çıkmaz Durum Denemeleri: yeni seviye geçme oynanışı. En iyi Savaşçılarını getir, akıllı bir strateji kullan ve harika ödüller kazan!
 - Yeni Savaşçı: maymun müzik dünyasının süperstarı Greg. Onu Çıkmaz Durum Denemelerinde al; korkusuz paralı asker "&amp;"Len. Ölümcül arbaletine bakan herkes korkudan titrer. Onu Arenada al.
 - Maceralar optimize edildi: Çıkmaz Durum Denemeleri ile ilgili bölüm maceraları eklendi; bazı ana maceralar eklendi; Colin’in Keşfi ve Alvin’in Hazine Avı ile ilgili alt maceralar ekl"&amp;"endi.
 - Savaş kaybı ipuçları optimize edildi: birliklerin ciddi şekilde yaralanması veya kaybolması riski olduğunda uyarılar eklendi; yeni oyuncuları oyun kurallarıyla tanıştırmaya yardımcı olur.
 - Sıralama etkinlikleri görünümleri optimize edildi: beli"&amp;"rli sıralama etkinlikleri için görünümler optimize edildi.
 - Harita savaşları optimize edildi: haritadaki ve belirli ilgili görünümlerdeki savaşların operasyonel deneyimi optimize edildi.
 - Eşya kullanma arayüzü optimize edildi: belirli eşyaları elde et"&amp;"me yöntemleri eklendi.
 - “Alfa Tehdidi” etkinliği optimize edildi: “Değiştirilmiş Maymunların Tehdidi” olarak yeniden adlandırıldı. Dr. Hogg, Mutantlardan bile daha tehlikeli olan değiştirilmiş maymunlardan oluşan bir ordu kurdu. Onları yenmeye hazır ol!"&amp;" Etkinlikte ödüllerin nasıl kazanılacağı da optimize edildi ve canavarlara saldırmanın yolu düzenlendi.
 - Yeni başlayanlara özel etkinlikler optimize edildi: etkinlikler arayüzüne günlük ücretsiz hediye eklendi.
 - Özel Teklif Özel Paket optimize edildi:"&amp;" seçilebilecek yeni eşyalar eklendi ve arayüz ekranı optimize edildi.
 - Havuz Partisi optimize edildi: Şanslı Puan kazanmak için etkinliğe katıl. Havuz Partisi görünümünü elde etmek için yeterince Şanslı Puan biriktir!
 - VIP Mağazası optimize edildi: bi"&amp;"rlik kapasitesini genişletmek için yeni bir eşya eklendi.")</f>
        <v>- Yeni Çıkmaz Durum Denemeleri: yeni seviye geçme oynanışı. En iyi Savaşçılarını getir, akıllı bir strateji kullan ve harika ödüller kazan!
 - Yeni Savaşçı: maymun müzik dünyasının süperstarı Greg. Onu Çıkmaz Durum Denemelerinde al; korkusuz paralı asker Len. Ölümcül arbaletine bakan herkes korkudan titrer. Onu Arenada al.
 - Maceralar optimize edildi: Çıkmaz Durum Denemeleri ile ilgili bölüm maceraları eklendi; bazı ana maceralar eklendi; Colin’in Keşfi ve Alvin’in Hazine Avı ile ilgili alt maceralar eklendi.
 - Savaş kaybı ipuçları optimize edildi: birliklerin ciddi şekilde yaralanması veya kaybolması riski olduğunda uyarılar eklendi; yeni oyuncuları oyun kurallarıyla tanıştırmaya yardımcı olur.
 - Sıralama etkinlikleri görünümleri optimize edildi: belirli sıralama etkinlikleri için görünümler optimize edildi.
 - Harita savaşları optimize edildi: haritadaki ve belirli ilgili görünümlerdeki savaşların operasyonel deneyimi optimize edildi.
 - Eşya kullanma arayüzü optimize edildi: belirli eşyaları elde etme yöntemleri eklendi.
 - “Alfa Tehdidi” etkinliği optimize edildi: “Değiştirilmiş Maymunların Tehdidi” olarak yeniden adlandırıldı. Dr. Hogg, Mutantlardan bile daha tehlikeli olan değiştirilmiş maymunlardan oluşan bir ordu kurdu. Onları yenmeye hazır ol! Etkinlikte ödüllerin nasıl kazanılacağı da optimize edildi ve canavarlara saldırmanın yolu düzenlendi.
 - Yeni başlayanlara özel etkinlikler optimize edildi: etkinlikler arayüzüne günlük ücretsiz hediye eklendi.
 - Özel Teklif Özel Paket optimize edildi: seçilebilecek yeni eşyalar eklendi ve arayüz ekranı optimize edildi.
 - Havuz Partisi optimize edildi: Şanslı Puan kazanmak için etkinliğe katıl. Havuz Partisi görünümünü elde etmek için yeterince Şanslı Puan biriktir!
 - VIP Mağazası optimize edildi: birlik kapasitesini genişletmek için yeni bir eşya eklendi.</v>
      </c>
      <c r="M15" s="151" t="str">
        <f>IFERROR(__xludf.DUMMYFUNCTION("""COMPUTED_VALUE"""),"- Thí Luyện Tuyệt Địa mới: lối chơi hoàn thành cấp mới. Hãy đem theo những Chiến Binh giỏi nhất, sử dụng chiến lược thông minh, và giành những phần thưởng hấp dẫn!
 - Chiến Binh mới: siêu sao của thế giới ca nhạc khỉ, Greg. Nhận anh ấy trong Thí Luyện Tuy"&amp;"ệt Địa; lính đánh thuê không biết sợ là gì, Len. Tất cả những người gặp phải cây nỏ chết người của anh ấy đều run sợ. Nhận anh ấy trong Đấu Trường.
 - Tối ưu hóa nhiệm vụ: đã thêm nhiệm vụ chương liên quan đến Thí Luyện Tuyệt Địa; thêm một số nhiệm vụ chí"&amp;"nh; thêm nhiệm vụ phụ liên quan đến Khám Phá Của Colin và Săn Kho Báu Của Alvin.
 - Tối ưu mẹo thiệt hại trận chiến: đã thêm các cảnh báo khi có rủi ro khiến binh lính bị trọng thương hoặc thiệt mạng; hỗ trợ người chơi mới làm quen với quy tắc của trò chơ"&amp;"i.
 - Tối ưu hiển thị sự kiện xếp hạng: tối ưu giao diện hiển thị các sự kiện xếp hạng nhất định.
 - Tối ưu trận chiến bản đồ: tối ưu trải nghiệm vận hành các trận chiến trên bản đồ và những giao diện hiển thị liên quan.
 - Tối ưu giao diện sử dụng vật ph"&amp;"ẩm: thêm các phương thức nhận vật phẩm.
 - Tối ưu sự kiện “Sự Đe Dọa Của Vượn Đầu Đàn”: đổi tên thành “Sự De Dọa Của Khỉ Biến Đổi”. Tiến Sĩ Hogg đã thành lập nên một đội quân khỉ biến đổi thậm chí còn nguy hiểm hơn cả khỉ đột biến. Hãy sẵn sàng đánh bại c"&amp;"húng! Ngoài ra còn tối ưu cách nhận thưởng trong sự kiện và điều chỉnh cách tấn công quái vật.
 - Tối ưu sự kiện độc quyền Tân Thủ: đã thêm quà tặng miễn phí hàng ngày vào giao diện sự kiện.
 - Tối ưu Gói Tùy Chỉnh Ưu Đãi đặc biệt: đã thêm các vật phẩm mớ"&amp;"i để lựa chọn và tối ưu giao diện hiển thị.
 - Tối ưu Bữa Tiệc Hồ Bơi: tham gia sự kiện để kiếm Xu May Mắn. Tích lũy đủ Xu May Mắn để nhận giao diện Bữa Tiệc Hồ Bơi!
 - Tối ưu Cửa Hàng VIP: đã thêm một vật phẩm mới để mở rộng sức chứa binh lính.")</f>
        <v>- Thí Luyện Tuyệt Địa mới: lối chơi hoàn thành cấp mới. Hãy đem theo những Chiến Binh giỏi nhất, sử dụng chiến lược thông minh, và giành những phần thưởng hấp dẫn!
 - Chiến Binh mới: siêu sao của thế giới ca nhạc khỉ, Greg. Nhận anh ấy trong Thí Luyện Tuyệt Địa; lính đánh thuê không biết sợ là gì, Len. Tất cả những người gặp phải cây nỏ chết người của anh ấy đều run sợ. Nhận anh ấy trong Đấu Trường.
 - Tối ưu hóa nhiệm vụ: đã thêm nhiệm vụ chương liên quan đến Thí Luyện Tuyệt Địa; thêm một số nhiệm vụ chính; thêm nhiệm vụ phụ liên quan đến Khám Phá Của Colin và Săn Kho Báu Của Alvin.
 - Tối ưu mẹo thiệt hại trận chiến: đã thêm các cảnh báo khi có rủi ro khiến binh lính bị trọng thương hoặc thiệt mạng; hỗ trợ người chơi mới làm quen với quy tắc của trò chơi.
 - Tối ưu hiển thị sự kiện xếp hạng: tối ưu giao diện hiển thị các sự kiện xếp hạng nhất định.
 - Tối ưu trận chiến bản đồ: tối ưu trải nghiệm vận hành các trận chiến trên bản đồ và những giao diện hiển thị liên quan.
 - Tối ưu giao diện sử dụng vật phẩm: thêm các phương thức nhận vật phẩm.
 - Tối ưu sự kiện “Sự Đe Dọa Của Vượn Đầu Đàn”: đổi tên thành “Sự De Dọa Của Khỉ Biến Đổi”. Tiến Sĩ Hogg đã thành lập nên một đội quân khỉ biến đổi thậm chí còn nguy hiểm hơn cả khỉ đột biến. Hãy sẵn sàng đánh bại chúng! Ngoài ra còn tối ưu cách nhận thưởng trong sự kiện và điều chỉnh cách tấn công quái vật.
 - Tối ưu sự kiện độc quyền Tân Thủ: đã thêm quà tặng miễn phí hàng ngày vào giao diện sự kiện.
 - Tối ưu Gói Tùy Chỉnh Ưu Đãi đặc biệt: đã thêm các vật phẩm mới để lựa chọn và tối ưu giao diện hiển thị.
 - Tối ưu Bữa Tiệc Hồ Bơi: tham gia sự kiện để kiếm Xu May Mắn. Tích lũy đủ Xu May Mắn để nhận giao diện Bữa Tiệc Hồ Bơi!
 - Tối ưu Cửa Hàng VIP: đã thêm một vật phẩm mới để mở rộng sức chứa binh lính.</v>
      </c>
      <c r="N15" s="13"/>
      <c r="O15" s="155"/>
      <c r="P15" s="155"/>
      <c r="Q15" s="155"/>
      <c r="R15" s="155"/>
      <c r="S15" s="155"/>
      <c r="T15" s="155"/>
      <c r="U15" s="155"/>
      <c r="V15" s="155"/>
      <c r="W15" s="155"/>
      <c r="X15" s="155"/>
      <c r="Y15" s="155"/>
      <c r="Z15" s="155"/>
      <c r="AA15" s="155"/>
      <c r="AB15" s="155"/>
      <c r="AC15" s="155"/>
    </row>
    <row r="16">
      <c r="A16" s="149" t="str">
        <f>IFERROR(__xludf.DUMMYFUNCTION("""COMPUTED_VALUE"""),"0.35.0")</f>
        <v>0.35.0</v>
      </c>
      <c r="B16" s="151" t="str">
        <f>IFERROR(__xludf.DUMMYFUNCTION("""COMPUTED_VALUE"""),"-调整氏族规则：最初的猩球将不存在氏族，指挥官也不需要在游戏之初进行选择。某帮派成功占领氏族总部后，可以创建氏族，其他帮派在经过氏族领袖审核后可以加入氏族。同氏族玩家通常情况下不能互相攻击，但可以攻击同氏族内不同帮派所占领的人类遗迹。
-地图调整：修改了地图最外围设计，取消了六大氏族之间的分隔，现在，最外围为连通状态，玩家初始时可以任意传送。调整了人类遗迹的种类和数量，以及对应奖励。现在部分人类遗迹仅提供帮派占领奖励，另一部分仅提供遗迹收入和帮派增益，氏族总部和发射台将提供特殊权益。移除了修建铁轨和手动驾"&amp;"驶火车的功能。现在火车在太空争霸开启时才会出现。修改传送能量消耗，配合新玩法和新地图调整了猩球纪元的内容和节奏。
-火车竞赛：根据战力匹配盟友和敌军，参与攻击或守卫火车，击败敌方部队将获得超值奖励！
-绝地试炼关卡新增：上新了更多的关卡挑战玩法，调整了部分关卡的强度和奖励！带上你最优秀的斗士，施展你的智慧，并赢得丰厚回报！
-新增斗士：沉默的天才修理工拉姆斯，奇思妙想的防御大师，可以通过最强猴子获得；充满个性与热情的荒野浪子戴维斯，可以通过幸运奖盘获得；
-中立单位调整：提高了中立单位的强度，战斗失败将会"&amp;"返还部分行动力！
-艾文寻宝记优化：界面变得更加清晰！你可以快速定位到自己的关卡，通关变得更加流畅顺滑！
-电力冲刺活动上线：消耗电池，进行更多的电子科技研究即可获得超值的奖励！
-至高回馈活动上线：消耗镭射唱片竟然还能获得丰厚奖励！赶紧来参与！
-最强猴子跨服上线：最强猴子将会进行跨服竞赛！比赛将变得更刺激了！
-幸运奖盘活动优化：新增了十连抽，加快了极速抽奖的速度，活动体验更佳！
-感恩厨房限时开启：积极参与活动，筹备感恩宴会的食材，即可赢取感恩节限定装饰！
-军功系统：调整了军功系统的开启时间和玩法"&amp;"入口，优化了军功任务的完成条件
")</f>
        <v>-调整氏族规则：最初的猩球将不存在氏族，指挥官也不需要在游戏之初进行选择。某帮派成功占领氏族总部后，可以创建氏族，其他帮派在经过氏族领袖审核后可以加入氏族。同氏族玩家通常情况下不能互相攻击，但可以攻击同氏族内不同帮派所占领的人类遗迹。
-地图调整：修改了地图最外围设计，取消了六大氏族之间的分隔，现在，最外围为连通状态，玩家初始时可以任意传送。调整了人类遗迹的种类和数量，以及对应奖励。现在部分人类遗迹仅提供帮派占领奖励，另一部分仅提供遗迹收入和帮派增益，氏族总部和发射台将提供特殊权益。移除了修建铁轨和手动驾驶火车的功能。现在火车在太空争霸开启时才会出现。修改传送能量消耗，配合新玩法和新地图调整了猩球纪元的内容和节奏。
-火车竞赛：根据战力匹配盟友和敌军，参与攻击或守卫火车，击败敌方部队将获得超值奖励！
-绝地试炼关卡新增：上新了更多的关卡挑战玩法，调整了部分关卡的强度和奖励！带上你最优秀的斗士，施展你的智慧，并赢得丰厚回报！
-新增斗士：沉默的天才修理工拉姆斯，奇思妙想的防御大师，可以通过最强猴子获得；充满个性与热情的荒野浪子戴维斯，可以通过幸运奖盘获得；
-中立单位调整：提高了中立单位的强度，战斗失败将会返还部分行动力！
-艾文寻宝记优化：界面变得更加清晰！你可以快速定位到自己的关卡，通关变得更加流畅顺滑！
-电力冲刺活动上线：消耗电池，进行更多的电子科技研究即可获得超值的奖励！
-至高回馈活动上线：消耗镭射唱片竟然还能获得丰厚奖励！赶紧来参与！
-最强猴子跨服上线：最强猴子将会进行跨服竞赛！比赛将变得更刺激了！
-幸运奖盘活动优化：新增了十连抽，加快了极速抽奖的速度，活动体验更佳！
-感恩厨房限时开启：积极参与活动，筹备感恩宴会的食材，即可赢取感恩节限定装饰！
-军功系统：调整了军功系统的开启时间和玩法入口，优化了军功任务的完成条件
</v>
      </c>
      <c r="C16" s="151" t="str">
        <f>IFERROR(__xludf.DUMMYFUNCTION("""COMPUTED_VALUE"""),"- Clan system changes: there will be no Clans on the planet initially and players will not need to choose a Clan when first starting the game. When a Gang successfully occupies a Clan Headquarters, it may create a Clan. Other Gangs can then join the Clan "&amp;"after being approved by the Clan leader. Under normal circumstances, players of the same Clan cannot attack one another but they may attack ruins occupied by other Gangs of the same Clan.
- Map adjustment: design of the map's outermost perimeter has been "&amp;"changed and the division between the six Clans removed. The perimeter is now entirely open and, initially, players can teleport freely. The types and quantities of ruins, as well as their associated rewards, have been modified. Now, certain ruins only pro"&amp;"vide Gang occupation rewards, and others only provide ruin income and Gang boosts. Clan Headquarters and the Launchpad provide special benefits. Removed the ability to build tracks and drive the train manually. Now, trains will only appear during the Supr"&amp;"emacy Competition. Changed the amount of energy consumed by teleports, and adjusted the content and pace of Planet Milestone according to the new gameplay and map.
- Great Train Race: get matched with allies and enemies according to Power. Help attack or "&amp;"defend a train, defeat enemy troops, and win super-value rewards!
- New Impasse Trial levels: added more level-clearing features and adjusted the difficulty and rewards for certain levels. Bring your best Fighters, use smart strategy, and win amazing rewa"&amp;"rds!
- New Fighters: A quiet genius tinkerer, the inventive master of defense, Rams. Get him from Ultimate Monkey. A wildland drifter full of heart and passion, D-Generate Dave. Get him from the Wheel of Fortune.
- Neutral unit adjustments: increased the "&amp;"difficulty of neutral units. Now you'll get some AP back after losing a battle!
- Alvin's Treasure Hunt optimized: the interface has been made straightforward so you can locate your level quickly and clear it more smoothly.
- Electric Hustle event now ava"&amp;"ilable: use batteries for more Electronic Technology research and get great rewards!
- Top Rebate event now available: spend CDs to get amazing rewards! Don't miss out on this great deal!
- Cross-server Ultimate Monkey now available: Cross-server battles "&amp;"added to Ultimate Monkey! The competition gets intense!
- Wheel of Fortune optimized: added new 10x spin feature and made quick spin faster for a better event experience.
- Thanksgiving Kitchen now open for a limited time: participate in the event by gath"&amp;"ering ingredients for the Thanksgiving feast and win holiday-exclusive decorations!
- Honor system: changed the opening time of the Honor system as well as its access icon. Optimized completion requirements for Honor quests.")</f>
        <v>- Clan system changes: there will be no Clans on the planet initially and players will not need to choose a Clan when first starting the game. When a Gang successfully occupies a Clan Headquarters, it may create a Clan. Other Gangs can then join the Clan after being approved by the Clan leader. Under normal circumstances, players of the same Clan cannot attack one another but they may attack ruins occupied by other Gangs of the same Clan.
- Map adjustment: design of the map's outermost perimeter has been changed and the division between the six Clans removed. The perimeter is now entirely open and, initially, players can teleport freely. The types and quantities of ruins, as well as their associated rewards, have been modified. Now, certain ruins only provide Gang occupation rewards, and others only provide ruin income and Gang boosts. Clan Headquarters and the Launchpad provide special benefits. Removed the ability to build tracks and drive the train manually. Now, trains will only appear during the Supremacy Competition. Changed the amount of energy consumed by teleports, and adjusted the content and pace of Planet Milestone according to the new gameplay and map.
- Great Train Race: get matched with allies and enemies according to Power. Help attack or defend a train, defeat enemy troops, and win super-value rewards!
- New Impasse Trial levels: added more level-clearing features and adjusted the difficulty and rewards for certain levels. Bring your best Fighters, use smart strategy, and win amazing rewards!
- New Fighters: A quiet genius tinkerer, the inventive master of defense, Rams. Get him from Ultimate Monkey. A wildland drifter full of heart and passion, D-Generate Dave. Get him from the Wheel of Fortune.
- Neutral unit adjustments: increased the difficulty of neutral units. Now you'll get some AP back after losing a battle!
- Alvin's Treasure Hunt optimized: the interface has been made straightforward so you can locate your level quickly and clear it more smoothly.
- Electric Hustle event now available: use batteries for more Electronic Technology research and get great rewards!
- Top Rebate event now available: spend CDs to get amazing rewards! Don't miss out on this great deal!
- Cross-server Ultimate Monkey now available: Cross-server battles added to Ultimate Monkey! The competition gets intense!
- Wheel of Fortune optimized: added new 10x spin feature and made quick spin faster for a better event experience.
- Thanksgiving Kitchen now open for a limited time: participate in the event by gathering ingredients for the Thanksgiving feast and win holiday-exclusive decorations!
- Honor system: changed the opening time of the Honor system as well as its access icon. Optimized completion requirements for Honor quests.</v>
      </c>
      <c r="D16" s="151" t="str">
        <f>IFERROR(__xludf.DUMMYFUNCTION("""COMPUTED_VALUE"""),"- Modification du système de clan: Les clans n’existeront plus sur la planète en début de partie, et les joueurs n’auront pas besoin d’en choisir un. Une fois qu’un gang occupe un QG de clan, il peut créer un clan. Les autres gangs peuvent alors l’intégre"&amp;"r, sous réserve d’approbation par le chef du clan. Dans les circonstances normales, les joueurs d’un même clan ne peuvent pas s’attaquer, mais ils peuvent attaquer les ruines occupées par les autres gangs du même clan.
- Modification de la carte: Le desig"&amp;"n des zones extérieures de la carte a été modifié, et la division entre les six clans a été supprimée. Toute la carte est désormais accessible et les joueurs peuvent se téléporter librement en début de partie. Le type et le nombre de ruines, ainsi que les"&amp;" récompenses associées, ont été modifiés. A présent, l’occupation de certaines ruines procurera uniquement des récompenses d’occupation, tandis que d’autres ruines feront bénéficier le gang de boosts et de revenus. La possibilité de construire des rails e"&amp;"t de conduire manuellement le train a été supprimée. Désormais, les trains n’apparaîtront que dans la Course à la suprématie. En adéquation avec la nouvelle carte et son gameplay, la quantité d’énergie pour se téléporter a été modifiée, ainsi que le conte"&amp;"nu et le rythme des Evènements planétaires.
- La Grande course de train: Mesurez votre puissance à celle de vos alliés et ennemis. Participez à l'attaque ou à la défense d'un train, éliminez les troupes ennemies et remportez de précieuses récompenses!
- N"&amp;"ouveaux niveaux dans les Epreuves de l'impasse: De nouveaux défis ont été ajoutés et la difficulté de certains niveaux a été ajustée, ainsi que les récompenses associées. Venez avec vos meilleurs combattants, affinez votre stratégie et gagnez des récompen"&amp;"ses incroyables!
- Nouveaux combattants: Rams, un génie bricoleur discret et maître des inventions défensives (déblocable dans le Singe ultime). Dave D-Généré, un routard des terres sauvages et un passionné au grand cœur (déblocable dans la Roue de la for"&amp;"tune).
- Augmentation de la difficulté des unités neutres. Désormais, vous récupérez des points d'action après une défaite!
- Optimisation de la Chasse aux trésors d'Alvin: L'interface est plus claire, de façon à identifier facilement votre niveau et prog"&amp;"resser avec plus de fluidité.
- Lancement de l'Agitation électrique: Utilisez des batteries pour faire progresser la technologie électronique et obtenir des récompenses formidables!
- Lancement de l'évènement Super réduc: Dépensez des CD pour obtenir d'in"&amp;"croyables récompenses! Ne ratez pas cette opération exceptionnelle!
- Lancement du Singe ultime, tous serveurs confondus: Le Singe ultime comprend désormais des combats entre les serveurs, ce qui va intensifier la compétition!
- Optimisation de la Roue de"&amp;" la fortune: Ajout de la fonction 10x et accélération de la rotation rapide pour une expérience améliorée.
- Ouverture de la Cuisine de Thanksgiving pour une période limitée: Participez à l'évènement en collectant des ingrédients pour le festin de Thanksg"&amp;"iving et remportez des décors sur le thème de cette fête!
- Système d'honneur: Modification de l'horaire d'ouverture du système d'honneur, ainsi que du bouton d'accès. Les conditions de réussite des quêtes d'honneur ont été optimisées.")</f>
        <v>- Modification du système de clan: Les clans n’existeront plus sur la planète en début de partie, et les joueurs n’auront pas besoin d’en choisir un. Une fois qu’un gang occupe un QG de clan, il peut créer un clan. Les autres gangs peuvent alors l’intégrer, sous réserve d’approbation par le chef du clan. Dans les circonstances normales, les joueurs d’un même clan ne peuvent pas s’attaquer, mais ils peuvent attaquer les ruines occupées par les autres gangs du même clan.
- Modification de la carte: Le design des zones extérieures de la carte a été modifié, et la division entre les six clans a été supprimée. Toute la carte est désormais accessible et les joueurs peuvent se téléporter librement en début de partie. Le type et le nombre de ruines, ainsi que les récompenses associées, ont été modifiés. A présent, l’occupation de certaines ruines procurera uniquement des récompenses d’occupation, tandis que d’autres ruines feront bénéficier le gang de boosts et de revenus. La possibilité de construire des rails et de conduire manuellement le train a été supprimée. Désormais, les trains n’apparaîtront que dans la Course à la suprématie. En adéquation avec la nouvelle carte et son gameplay, la quantité d’énergie pour se téléporter a été modifiée, ainsi que le contenu et le rythme des Evènements planétaires.
- La Grande course de train: Mesurez votre puissance à celle de vos alliés et ennemis. Participez à l'attaque ou à la défense d'un train, éliminez les troupes ennemies et remportez de précieuses récompenses!
- Nouveaux niveaux dans les Epreuves de l'impasse: De nouveaux défis ont été ajoutés et la difficulté de certains niveaux a été ajustée, ainsi que les récompenses associées. Venez avec vos meilleurs combattants, affinez votre stratégie et gagnez des récompenses incroyables!
- Nouveaux combattants: Rams, un génie bricoleur discret et maître des inventions défensives (déblocable dans le Singe ultime). Dave D-Généré, un routard des terres sauvages et un passionné au grand cœur (déblocable dans la Roue de la fortune).
- Augmentation de la difficulté des unités neutres. Désormais, vous récupérez des points d'action après une défaite!
- Optimisation de la Chasse aux trésors d'Alvin: L'interface est plus claire, de façon à identifier facilement votre niveau et progresser avec plus de fluidité.
- Lancement de l'Agitation électrique: Utilisez des batteries pour faire progresser la technologie électronique et obtenir des récompenses formidables!
- Lancement de l'évènement Super réduc: Dépensez des CD pour obtenir d'incroyables récompenses! Ne ratez pas cette opération exceptionnelle!
- Lancement du Singe ultime, tous serveurs confondus: Le Singe ultime comprend désormais des combats entre les serveurs, ce qui va intensifier la compétition!
- Optimisation de la Roue de la fortune: Ajout de la fonction 10x et accélération de la rotation rapide pour une expérience améliorée.
- Ouverture de la Cuisine de Thanksgiving pour une période limitée: Participez à l'évènement en collectant des ingrédients pour le festin de Thanksgiving et remportez des décors sur le thème de cette fête!
- Système d'honneur: Modification de l'horaire d'ouverture du système d'honneur, ainsi que du bouton d'accès. Les conditions de réussite des quêtes d'honneur ont été optimisées.</v>
      </c>
      <c r="E16" s="151" t="str">
        <f>IFERROR(__xludf.DUMMYFUNCTION("""COMPUTED_VALUE"""),"- Änderungen am Hordensystem: Zu Beginn des Spiels wird es keine Horden auf dem Planeten geben und die Spieler müssen sich nicht für eine Horde entscheiden, wenn sie das Spiel zum ersten Mal starten. Wenn ein Clan erfolgreich ein Hordenhauptquartier beset"&amp;"zt, kann er eine Horde gründen. Andere Clans können der Horde dann nach Genehmigung durch den Hordenanführer beitreten. Unter normalen Umständen können sich Spieler derselben Horde nicht gegenseitig angreifen, aber sie können Ruinen angreifen, die von and"&amp;"eren Clans derselben Horde besetzt sind.
 - Kartenanpassungen: Das Design der äußersten Begrenzung der Karte wurde geändert und die Aufteilung zwischen den sechs Horden wurde aufgehoben. Das Gebiet ist nun vollständig geöffnet und die Spieler können sich "&amp;"anfangs frei teleportieren. Die Arten und Mengen der Ruinen sowie die damit verbundenen Belohnungen wurden geändert. Bestimmte Ruinen bieten jetzt nur noch Belohnungen für Clan-Besetzungen, während andere nur noch Ruinen-Einkommen und Clan-Boosts bieten. "&amp;"Das Hordenhauptquartier und die Startrampe bieten besondere Vorteile. Die Möglichkeit, Gleise zu bauen und den Zug manuell zu fahren, wurde entfernt. Züge erscheinen jetzt nur noch während des Vorherrschaft-Wettbewerbs. Die Menge der durch Teleportationen"&amp;" verbrauchten Energie wurde geändert und der Inhalt und das Tempo des Planeten-Meilensteins wurden an das neue Gameplay und die neue Karte angepasst.
 - Großes Zugrennen: Deine Verbündeten und Feinde werden abhängig von ihrer Stärke ausgewählt. Hilf dabei"&amp;", einen Zug anzugreifen oder zu verteidigen, besiege feindliche Truppen und gewinne besonders wertvolle Belohnungen!
 - Neue Sackgassen-Prüfungs-Level: Es wurden weitere Funktionen zum Absolvieren von Leveln hinzugefügt und der Schwierigkeitsgrad und die "&amp;"Belohnungen für bestimmte Level wurden angepasst. Bringe deine besten Kämpfer mit, nutze eine clevere Strategie und erhalte tolle Belohnungen!
 - Neue Kämpfer: Ein stiller genialer Tüftler, der erfinderische Meister der Verteidigung, Rams. Erhalte ihn bei"&amp;"m Ultimativen Affen. Ein wilder Wanderer voller Herz und Leidenschaft, D-Generate Dave. Erhalte ihn vom Glücksrad.
 - Anpassung der neutralen Einheiten: Die Schwierigkeit der neutralen Einheiten wurde erhöht. Jetzt erhältst du nach einem verlorenen Kampf "&amp;"einige AP zurück!
 - Alvins Schatzsuche optimiert: Das Interface wurde übersichtlicher gestaltet, damit du dein Level schneller findest und es leichter abschließen kannst.
 - Das Event ""Eklektischer Eifer"" ist jetzt verfügbar: Benutze Batterien für mehr"&amp;" Forschung im Bereich Elektronische Technologie und erhalte tolle Belohnungen!
 - Das Event ""Top-Rabatt"" ist jetzt verfügbar: Gib CDs aus, um tolle Belohnungen zu erhalten! Lass dir dieses tolle Angebot nicht entgehen!
 - Serverübergreifender Ultimative"&amp;"r Affe jetzt verfügbar: Ultimativer Affe um serverübergreifende Kämpfe erweitert! Der Wettbewerb erhält eine neue Intensität!
 - Glücksrad optimiert: Neue 10-fache Drehung und schnellere Drehung für ein besseres Event-Erlebnis.
 - Die Thanksgiving-Küche i"&amp;"st jetzt für eine begrenzte Zeit geöffnet: Nimm an dem Event teil, indem du Zutaten für das Thanksgiving-Festmahl sammelst und exklusive Feiertagsdekorationen gewinnst!
 - Ehrensystem: Die Öffnungszeit des Ehrensystems sowie sein Zugangssymbol wurden geän"&amp;"dert. Die Anforderungen für den Abschluss von Ehrenquests wurden optimiert.")</f>
        <v>- Änderungen am Hordensystem: Zu Beginn des Spiels wird es keine Horden auf dem Planeten geben und die Spieler müssen sich nicht für eine Horde entscheiden, wenn sie das Spiel zum ersten Mal starten. Wenn ein Clan erfolgreich ein Hordenhauptquartier besetzt, kann er eine Horde gründen. Andere Clans können der Horde dann nach Genehmigung durch den Hordenanführer beitreten. Unter normalen Umständen können sich Spieler derselben Horde nicht gegenseitig angreifen, aber sie können Ruinen angreifen, die von anderen Clans derselben Horde besetzt sind.
 - Kartenanpassungen: Das Design der äußersten Begrenzung der Karte wurde geändert und die Aufteilung zwischen den sechs Horden wurde aufgehoben. Das Gebiet ist nun vollständig geöffnet und die Spieler können sich anfangs frei teleportieren. Die Arten und Mengen der Ruinen sowie die damit verbundenen Belohnungen wurden geändert. Bestimmte Ruinen bieten jetzt nur noch Belohnungen für Clan-Besetzungen, während andere nur noch Ruinen-Einkommen und Clan-Boosts bieten. Das Hordenhauptquartier und die Startrampe bieten besondere Vorteile. Die Möglichkeit, Gleise zu bauen und den Zug manuell zu fahren, wurde entfernt. Züge erscheinen jetzt nur noch während des Vorherrschaft-Wettbewerbs. Die Menge der durch Teleportationen verbrauchten Energie wurde geändert und der Inhalt und das Tempo des Planeten-Meilensteins wurden an das neue Gameplay und die neue Karte angepasst.
 - Großes Zugrennen: Deine Verbündeten und Feinde werden abhängig von ihrer Stärke ausgewählt. Hilf dabei, einen Zug anzugreifen oder zu verteidigen, besiege feindliche Truppen und gewinne besonders wertvolle Belohnungen!
 - Neue Sackgassen-Prüfungs-Level: Es wurden weitere Funktionen zum Absolvieren von Leveln hinzugefügt und der Schwierigkeitsgrad und die Belohnungen für bestimmte Level wurden angepasst. Bringe deine besten Kämpfer mit, nutze eine clevere Strategie und erhalte tolle Belohnungen!
 - Neue Kämpfer: Ein stiller genialer Tüftler, der erfinderische Meister der Verteidigung, Rams. Erhalte ihn beim Ultimativen Affen. Ein wilder Wanderer voller Herz und Leidenschaft, D-Generate Dave. Erhalte ihn vom Glücksrad.
 - Anpassung der neutralen Einheiten: Die Schwierigkeit der neutralen Einheiten wurde erhöht. Jetzt erhältst du nach einem verlorenen Kampf einige AP zurück!
 - Alvins Schatzsuche optimiert: Das Interface wurde übersichtlicher gestaltet, damit du dein Level schneller findest und es leichter abschließen kannst.
 - Das Event "Eklektischer Eifer" ist jetzt verfügbar: Benutze Batterien für mehr Forschung im Bereich Elektronische Technologie und erhalte tolle Belohnungen!
 - Das Event "Top-Rabatt" ist jetzt verfügbar: Gib CDs aus, um tolle Belohnungen zu erhalten! Lass dir dieses tolle Angebot nicht entgehen!
 - Serverübergreifender Ultimativer Affe jetzt verfügbar: Ultimativer Affe um serverübergreifende Kämpfe erweitert! Der Wettbewerb erhält eine neue Intensität!
 - Glücksrad optimiert: Neue 10-fache Drehung und schnellere Drehung für ein besseres Event-Erlebnis.
 - Die Thanksgiving-Küche ist jetzt für eine begrenzte Zeit geöffnet: Nimm an dem Event teil, indem du Zutaten für das Thanksgiving-Festmahl sammelst und exklusive Feiertagsdekorationen gewinnst!
 - Ehrensystem: Die Öffnungszeit des Ehrensystems sowie sein Zugangssymbol wurden geändert. Die Anforderungen für den Abschluss von Ehrenquests wurden optimiert.</v>
      </c>
      <c r="F16" s="151" t="str">
        <f>IFERROR(__xludf.DUMMYFUNCTION("""COMPUTED_VALUE"""),"- Mudanças no sistema de clã: não haverá clãs no planeta inicialmente e os jogadores não precisarão escolher um clã ao começar o jogo pela primeira vez. Quando a gangue ocupa com sucesso a sede do clã, isso pode criar um clã. Outras gangues podem particip"&amp;"ar do clã assim que forem aprovadas. Em circunstâncias normais, os jogadores do mesmo clã não podem atacar um ao outro, mas é possível atacar ruínas ocupadas por outras gangues do mesmo clã.
 - Ajustes no mapa: o design do perímetro externo do mapa foi al"&amp;"terado e a divisão entre os seis clãs foi removida. O perímetro é totalmente aberto agora e, num primeiro momento, os jogadores poderão se teletransportar livremente. Os tipos e quantidades de ruínas, assim como as recompensas correspondentes, foram modif"&amp;"icadas. Agora, determinadas ruínas apenas fornecem recompensas de ocupação de gangue e outras fornecem apenas lucros de ruínas e bônus de gangue. A sede do clã e a base de lançamento fornecem benefícios especiais. Removidos os recursos de construir trilho"&amp;"s e controlar o trem manualmente. Agora, os trens só aparecem durante a Competição pela Supremacia. Alteração na quantidade de energia consumida por teletransportes e ajuste no conteúdo e ritmo do Marco Planetário com base no gameplay e mapas novos.
 - Gr"&amp;"ande Corrida dos Trens: combinação entre aliados e inimigos agora são feitas pelo poder. Ajude a atacar ou defender um trem, derrote tropas inimigas e ganhe recompensas valiosas!
 - Novos níveis de Desafio de Impasse: adicionados mais recursos de conclusã"&amp;"o de níveis. Recompensas e dificuldade foram ajustadas para determinados níveis. Traga seus melhores combatentes, use uma estratégia inteligente e ganhe recompensas incríveis!
 - Novos combatentes: um gênio e inventor que não fala muito, o criativo mestre"&amp;" das defesas, Rams. Obtenha-o em Macaco Supremo. Um forasteiro das terras ermas com um coração enorme e paixão pelo que faz, Dave Degenerado. Obtenha-o na roda da fortuna.
 - Ajuste nas unidades neutras: aumento na dificuldade das unidades neutras. Agora "&amp;"você poderá recuperar parte do AP após perder uma batalha!
 - Melhoria de Caça ao Tesouro de Alvin: a interface ficou agora mais direta de modo que você possa ver o seu nível rapidamente e concluí-lo sem problemas.
 - O evento Corrida Eletrônica está disp"&amp;"onível agora: use pilhas para obter mais pesquisa em Tecnologia eletrônica e ganhe grandes recompensas!
 - Evento de grandes reembolsos disponível: gaste CDs e obtenha recompensas incríveis! Não perca esta grande chance!
 - Macaco Supremo entre servidores"&amp;" disponível agora: batalhas entre servidores foram adicionadas em Macaco Supremo! A competição fica intensa!
 - Melhorias em Roda da Fortuna: adicionado um recurso de giro x10 e o giro rápido ficou ainda mais rápido de modo a melhorar a experiência dentro"&amp;" do evento.
 - Cozinha de Ação de Graças está aberta por tempo limitado: participe do evento coletando ingrediente para o banquete de Ação de Graças e ganhe decorações exclusivas!
 - Sistema de honra: alterações no horário de abertura do sistema de honra "&amp;"e no item de acesso respectivo. Melhoria nos requisitos de conclusão para missões de honra.")</f>
        <v>- Mudanças no sistema de clã: não haverá clãs no planeta inicialmente e os jogadores não precisarão escolher um clã ao começar o jogo pela primeira vez. Quando a gangue ocupa com sucesso a sede do clã, isso pode criar um clã. Outras gangues podem participar do clã assim que forem aprovadas. Em circunstâncias normais, os jogadores do mesmo clã não podem atacar um ao outro, mas é possível atacar ruínas ocupadas por outras gangues do mesmo clã.
 - Ajustes no mapa: o design do perímetro externo do mapa foi alterado e a divisão entre os seis clãs foi removida. O perímetro é totalmente aberto agora e, num primeiro momento, os jogadores poderão se teletransportar livremente. Os tipos e quantidades de ruínas, assim como as recompensas correspondentes, foram modificadas. Agora, determinadas ruínas apenas fornecem recompensas de ocupação de gangue e outras fornecem apenas lucros de ruínas e bônus de gangue. A sede do clã e a base de lançamento fornecem benefícios especiais. Removidos os recursos de construir trilhos e controlar o trem manualmente. Agora, os trens só aparecem durante a Competição pela Supremacia. Alteração na quantidade de energia consumida por teletransportes e ajuste no conteúdo e ritmo do Marco Planetário com base no gameplay e mapas novos.
 - Grande Corrida dos Trens: combinação entre aliados e inimigos agora são feitas pelo poder. Ajude a atacar ou defender um trem, derrote tropas inimigas e ganhe recompensas valiosas!
 - Novos níveis de Desafio de Impasse: adicionados mais recursos de conclusão de níveis. Recompensas e dificuldade foram ajustadas para determinados níveis. Traga seus melhores combatentes, use uma estratégia inteligente e ganhe recompensas incríveis!
 - Novos combatentes: um gênio e inventor que não fala muito, o criativo mestre das defesas, Rams. Obtenha-o em Macaco Supremo. Um forasteiro das terras ermas com um coração enorme e paixão pelo que faz, Dave Degenerado. Obtenha-o na roda da fortuna.
 - Ajuste nas unidades neutras: aumento na dificuldade das unidades neutras. Agora você poderá recuperar parte do AP após perder uma batalha!
 - Melhoria de Caça ao Tesouro de Alvin: a interface ficou agora mais direta de modo que você possa ver o seu nível rapidamente e concluí-lo sem problemas.
 - O evento Corrida Eletrônica está disponível agora: use pilhas para obter mais pesquisa em Tecnologia eletrônica e ganhe grandes recompensas!
 - Evento de grandes reembolsos disponível: gaste CDs e obtenha recompensas incríveis! Não perca esta grande chance!
 - Macaco Supremo entre servidores disponível agora: batalhas entre servidores foram adicionadas em Macaco Supremo! A competição fica intensa!
 - Melhorias em Roda da Fortuna: adicionado um recurso de giro x10 e o giro rápido ficou ainda mais rápido de modo a melhorar a experiência dentro do evento.
 - Cozinha de Ação de Graças está aberta por tempo limitado: participe do evento coletando ingrediente para o banquete de Ação de Graças e ganhe decorações exclusivas!
 - Sistema de honra: alterações no horário de abertura do sistema de honra e no item de acesso respectivo. Melhoria nos requisitos de conclusão para missões de honra.</v>
      </c>
      <c r="G16" s="151" t="str">
        <f>IFERROR(__xludf.DUMMYFUNCTION("""COMPUTED_VALUE"""),"-調整氏族規則：最初的猩球將不存在氏族，指揮官也不需要在遊戲之初進行選擇。某幫派成功占領氏族總部後，可以創建氏族，其他幫派在經過氏族領袖審核後可以加入氏族。同氏族玩家通常情況下不能互相攻擊，但可以攻擊同氏族內不同幫派所占領的人類遺跡。
-地圖調整：修改了地圖最外圍設計，取消了六大氏族之間的分隔，現在，最外圍為連通狀態，玩家初始時可以任意傳送。調整了人類遺跡的種類和數量，以及對應獎勵。現在部分人類遺跡僅提供幫派占領獎勵，另一部分僅提供遺跡收入和幫派增益，氏族總部和發射臺將提供特殊權益。移除了修建鐵軌和手動駕"&amp;"駛火車的功能。現在火車在太空爭霸開啟時才會出現。修改傳送能量消耗，配合新玩法和新地圖調整了猩球紀元的內容和節奏。
-火車競賽：根據戰力匹配盟友和敵軍，參與攻擊或守衛火車，擊敗敵方部隊將獲得超值獎勵！
-絕地試煉關卡新增：上新了更多的關卡挑戰玩法，調整了部分關卡的強度和獎勵！帶上你最優秀的鬥士，施展你的智慧，並贏得豐厚回報！
-新增鬥士：沈默的天才修理工拉姆斯，奇思妙想的防禦大師，可以通過最強猴子獲得；充滿個性與熱情的荒野浪子戴維斯，可以通過幸運獎盤獲得；
-中立單位調整：提高了中立單位的強度，戰鬥失敗將會"&amp;"返還部分行動力！
-艾文尋寶記優化：界面變得更加清晰！你可以快速定位到自己的關卡，通關變得更加流暢順滑！
-電力沖刺活動上線：消耗電池，進行更多的電子科技研究即可獲得超值的獎勵！
-至高回饋活動上線：消耗鐳射唱片竟然還能獲得豐厚獎勵！趕緊來參與！
-最強猴子跨服上線：最強猴子將會進行跨服競賽！比賽將變得更刺激了！
-幸運獎盤活動優化：新增了十連抽，加快了極速抽獎的速度，活動體驗更佳！
-感恩廚房限時開啟：積極參與活動，籌備感恩宴會的食材，即可贏取感恩節限定裝飾！
-軍功系統：調整了軍功系統的開啟時間和玩法"&amp;"入口，優化了軍功任務的完成條件")</f>
        <v>-調整氏族規則：最初的猩球將不存在氏族，指揮官也不需要在遊戲之初進行選擇。某幫派成功占領氏族總部後，可以創建氏族，其他幫派在經過氏族領袖審核後可以加入氏族。同氏族玩家通常情況下不能互相攻擊，但可以攻擊同氏族內不同幫派所占領的人類遺跡。
-地圖調整：修改了地圖最外圍設計，取消了六大氏族之間的分隔，現在，最外圍為連通狀態，玩家初始時可以任意傳送。調整了人類遺跡的種類和數量，以及對應獎勵。現在部分人類遺跡僅提供幫派占領獎勵，另一部分僅提供遺跡收入和幫派增益，氏族總部和發射臺將提供特殊權益。移除了修建鐵軌和手動駕駛火車的功能。現在火車在太空爭霸開啟時才會出現。修改傳送能量消耗，配合新玩法和新地圖調整了猩球紀元的內容和節奏。
-火車競賽：根據戰力匹配盟友和敵軍，參與攻擊或守衛火車，擊敗敵方部隊將獲得超值獎勵！
-絕地試煉關卡新增：上新了更多的關卡挑戰玩法，調整了部分關卡的強度和獎勵！帶上你最優秀的鬥士，施展你的智慧，並贏得豐厚回報！
-新增鬥士：沈默的天才修理工拉姆斯，奇思妙想的防禦大師，可以通過最強猴子獲得；充滿個性與熱情的荒野浪子戴維斯，可以通過幸運獎盤獲得；
-中立單位調整：提高了中立單位的強度，戰鬥失敗將會返還部分行動力！
-艾文尋寶記優化：界面變得更加清晰！你可以快速定位到自己的關卡，通關變得更加流暢順滑！
-電力沖刺活動上線：消耗電池，進行更多的電子科技研究即可獲得超值的獎勵！
-至高回饋活動上線：消耗鐳射唱片竟然還能獲得豐厚獎勵！趕緊來參與！
-最強猴子跨服上線：最強猴子將會進行跨服競賽！比賽將變得更刺激了！
-幸運獎盤活動優化：新增了十連抽，加快了極速抽獎的速度，活動體驗更佳！
-感恩廚房限時開啟：積極參與活動，籌備感恩宴會的食材，即可贏取感恩節限定裝飾！
-軍功系統：調整了軍功系統的開啟時間和玩法入口，優化了軍功任務的完成條件</v>
      </c>
      <c r="H16" s="13" t="str">
        <f>IFERROR(__xludf.DUMMYFUNCTION("""COMPUTED_VALUE"""),"- Perubahan sistem Klan: awalnya tidak akan ada Klan di planet ini dan pemain tidak perlu memilih Klan saat pertama kali memulai game. Saat Geng berhasil menempati Markas Klan, Geng dapat membuat Klan. Geng lain kemudian bisa bergabung dengan Klan setelah"&amp;" disetujui oleh pemimpin Klan. Dalam keadaan normal, pemain dari Klan yang sama tidak bisa menyerang satu sama lain tetapi mereka dapat menyerang reruntuhan yang diduduki oleh Geng lain dari Klan yang sama.
 - Penyesuaian peta: desain perimeter terluar pe"&amp;"ta telah diubah dan divisi antara enam Klan dihapus. Perimeter sekarang sepenuhnya terbuka dan, pada awalnya, pemain bisa berteleportasi dengan bebas. Jenis dan jumlah reruntuhan, serta hadiah yang terkait, telah diubah. Sekarang, reruntuhan tertentu hany"&amp;"a memberikan imbalan pendudukan Geng, dan reruntuhan lainnya hanya memberikan pendapatan reruntuhan dan peningkatan Geng. Markas Besar Klan dan Landasan Luncur memberikan manfaat khusus. Kemampuan untuk membangun trek dan mengemudikan kereta secara manual"&amp;" dihapus. Sekarang, kereta hanya akan muncul selama Kompetisi Supremasi. Mengubah jumlah energi yang dikonsumsi oleh teleportasi, serta menyesuaikan konten dan kecepatan Planet Milestone sesuai dengan gameplay dan peta baru.
 - Balap Kereta Hebat: cocokka"&amp;"n dengan sekutu dan musuh menurut Kekuatan. Bantu serang atau pertahankan kereta, kalahkan pasukan musuh, dan menangkan hadiah bernilai super!
 - Tingkat Percobaan Kebuntuan Baru: menambahkan lebih banyak fitur pembersihan tingkat dan menyesuaikan kesulit"&amp;"an dan hadiah untuk tingkat tertentu. Bawa Pejuang terbaikmu gunakan strategi cerdas, dan menangkan hadiah luar biasa!
 - Pejuang Baru: Tukang reparasi jenius yang pendiam, ahli pertahanan yang inventif, Rams. Dapatkan dia dari Kera Terkuat. Gelandangan l"&amp;"iar yang penuh dengan semangat dan gairah, D-Generate Dave. Dapatkan dia dari Roda Keberuntungan.
 - Penyesuaian unit netral: meningkatkan kesulitan unit netral. Sekarang kamu akan mendapatkan beberapa AP kembali setelah kalah dalam pertempuran!
 - Perbur"&amp;"uan Harta Karun Alvin dioptimalkan: antarmuka telah dibuat sederhana sehingga kamu bisa menemukan levelmu dengan cepat dan menghapusnya dengan lebih lancar.
 - Acara Listrik Cepat sekarang tersedia: gunakan baterai untuk penelitian Teknologi Elektronik la"&amp;"innya dan dapatkan hadiah menarik!
 - Acara Diskon Teratas sekarang tersedia: Gunakan CD untuk mendapatkan hadiah luar biasa! Jangan lewatkan penawaran hebat ini!
 - Kera Terkuat Lintas Server sekarang tersedia: Pertempuran lintas-server ditambahkan ke Ke"&amp;"ra Terkuat! Persaingan semakin ketat!
 - Roda Keberuntungan dioptimalkan: menambahkan fitur putaran 10x baru dan membuat putaran cepat lebih cepat untuk pengalaman acara yang lebih baik.
 - Dapur Thanksgiving sekarang dibuka untuk waktu terbatas: berparti"&amp;"sipasi dalam acara dengan mengumpulkan bahan untuk pesta Thanksgiving dan menangkan dekorasi eksklusif liburan!
 - Sistem Kehormatan: mengubah waktu pembukaan sistem Kehormatan serta ikon aksesnya. Persyaratan penyelesaian yang dioptimalkan untuk misi Keh"&amp;"ormatan.")</f>
        <v>- Perubahan sistem Klan: awalnya tidak akan ada Klan di planet ini dan pemain tidak perlu memilih Klan saat pertama kali memulai game. Saat Geng berhasil menempati Markas Klan, Geng dapat membuat Klan. Geng lain kemudian bisa bergabung dengan Klan setelah disetujui oleh pemimpin Klan. Dalam keadaan normal, pemain dari Klan yang sama tidak bisa menyerang satu sama lain tetapi mereka dapat menyerang reruntuhan yang diduduki oleh Geng lain dari Klan yang sama.
 - Penyesuaian peta: desain perimeter terluar peta telah diubah dan divisi antara enam Klan dihapus. Perimeter sekarang sepenuhnya terbuka dan, pada awalnya, pemain bisa berteleportasi dengan bebas. Jenis dan jumlah reruntuhan, serta hadiah yang terkait, telah diubah. Sekarang, reruntuhan tertentu hanya memberikan imbalan pendudukan Geng, dan reruntuhan lainnya hanya memberikan pendapatan reruntuhan dan peningkatan Geng. Markas Besar Klan dan Landasan Luncur memberikan manfaat khusus. Kemampuan untuk membangun trek dan mengemudikan kereta secara manual dihapus. Sekarang, kereta hanya akan muncul selama Kompetisi Supremasi. Mengubah jumlah energi yang dikonsumsi oleh teleportasi, serta menyesuaikan konten dan kecepatan Planet Milestone sesuai dengan gameplay dan peta baru.
 - Balap Kereta Hebat: cocokkan dengan sekutu dan musuh menurut Kekuatan. Bantu serang atau pertahankan kereta, kalahkan pasukan musuh, dan menangkan hadiah bernilai super!
 - Tingkat Percobaan Kebuntuan Baru: menambahkan lebih banyak fitur pembersihan tingkat dan menyesuaikan kesulitan dan hadiah untuk tingkat tertentu. Bawa Pejuang terbaikmu gunakan strategi cerdas, dan menangkan hadiah luar biasa!
 - Pejuang Baru: Tukang reparasi jenius yang pendiam, ahli pertahanan yang inventif, Rams. Dapatkan dia dari Kera Terkuat. Gelandangan liar yang penuh dengan semangat dan gairah, D-Generate Dave. Dapatkan dia dari Roda Keberuntungan.
 - Penyesuaian unit netral: meningkatkan kesulitan unit netral. Sekarang kamu akan mendapatkan beberapa AP kembali setelah kalah dalam pertempuran!
 - Perburuan Harta Karun Alvin dioptimalkan: antarmuka telah dibuat sederhana sehingga kamu bisa menemukan levelmu dengan cepat dan menghapusnya dengan lebih lancar.
 - Acara Listrik Cepat sekarang tersedia: gunakan baterai untuk penelitian Teknologi Elektronik lainnya dan dapatkan hadiah menarik!
 - Acara Diskon Teratas sekarang tersedia: Gunakan CD untuk mendapatkan hadiah luar biasa! Jangan lewatkan penawaran hebat ini!
 - Kera Terkuat Lintas Server sekarang tersedia: Pertempuran lintas-server ditambahkan ke Kera Terkuat! Persaingan semakin ketat!
 - Roda Keberuntungan dioptimalkan: menambahkan fitur putaran 10x baru dan membuat putaran cepat lebih cepat untuk pengalaman acara yang lebih baik.
 - Dapur Thanksgiving sekarang dibuka untuk waktu terbatas: berpartisipasi dalam acara dengan mengumpulkan bahan untuk pesta Thanksgiving dan menangkan dekorasi eksklusif liburan!
 - Sistem Kehormatan: mengubah waktu pembukaan sistem Kehormatan serta ikon aksesnya. Persyaratan penyelesaian yang dioptimalkan untuk misi Kehormatan.</v>
      </c>
      <c r="I16" s="151" t="str">
        <f>IFERROR(__xludf.DUMMYFUNCTION("""COMPUTED_VALUE"""),"- การเปลี่ยนแปลงระบบเผ่า: ในตอนแรก จะไม่มีเผ่าใดอยู่บนโลก ซึ่งผู้เล่นจะไม่จำเป็นต้องเลือกเผ่าเมื่อเริ่มเกมในครั้งแรก แต่เมื่อแก๊งเข้าครอบครองสำนักงานใหญ่ของเผ่าได้สำเร็จ ก็จะสามารถสร้างเผ่าได้ จากนั้นแก๊งอื่นก็จะสามารถเข้าร่วมเผ่าได้เมื่อได้รับการอนุมัติจ"&amp;"ากหัวหน้าเผ่า ภายใต้สถานการณ์ปกติ ผู้เล่นในเผ่าเดียวกันจะไม่สามารถโจมตีกันเองได้ แต่อาจโจมตีซากปรักหักพังที่แก๊งอื่นในเผ่าเดียวกันครอบครองอยู่ได้
 - การปรับแผนที่: เปลี่ยนการออกแบบขอบนอกสุดของแผนที่และเส้นแบ่งระหว่างหกเผ่าออก ซึ่งจะเป็นการเปิดพื้นที่ทั้งห"&amp;"มด ซึ่งในช่วงต้น ผู้เล่นสามารถเทเลพอร์ตได้อย่างอิสระ แก้ไขประเภทและจำนวนของซากปรักหักพัง รวมถึงรางวัลที่เกี่ยวข้อง ตอนนี้ซากปรักหักพังบางแห่งจะให้แค่รางวัลสำหรับการยึดครองของแก๊งเท่านั้น ส่วนในบางแห่งจะให้เฉพาะรายได้จากซากปรักหักพังและบูสต์แก๊ง ในขณะที่สำ"&amp;"นักงานใหญ่และฐานยิงจรวดของเผ่าจะมอบสิทธิประโยชน์พิเศษให้ นำความสามารถในการสร้างรางและขับรถไฟด้วยตนเองออก โดยในปัจจุบัน รถไฟจะปรากฏในระหว่างการแข่งขันเพื่อชิงอำนาจเท่านั้น เปลี่ยนจำนวนพลังงานที่ใช้ในการเทเลพอร์ต รวมถึงปรับเนื้อหาและความเร็วของเหตุการณ์สำคั"&amp;"ญของอวกาศตามรูปแบบการเล่นและแผนที่ใหม่
 - การแข่งขันรถไฟครั้งยิ่งใหญ่: จับคู่กับพันธมิตรและศัตรูตามค่าพลังของคุณ ช่วยกันโจมตีหรือปกป้องรถไฟ เอาชนะกองทหารศัตรู และรับรางวัลมูลค่ามหาศาล!
 - เลเวลใหม่ของการทดสอบ ณ ทางตัน: เพิ่มคุณสมบัติการเคลียร์เลเวลเพิ่มเต"&amp;"ิม รวมถึงปรับความยากและรางวัลในบางเลเวล นำนักสู้ที่เก่งที่สุดของคุณมาใช้ ใช้กลยุทธ์อันชาญฉลาด แล้วรับรางวัลสุดวิเศษ!
 - นักสู้ตัวใหม่: แรม คนจรจัดอัจฉริยะผู้เงียบขรึมที่เชี่ยวชาญด้านการป้องกันตัว รับตัวเขาได้จากกิจกรรมลิงที่แข็งแกร่งที่สุด, เดฟ ไปเรื่อย น"&amp;"ักผจญภัยในดินแดนรกร้างที่เปี่ยมไปด้วยหัวใจและความหลงใหล รับตัวเขาได้จากวงล้อแห่งโชคชะตา
 - ปรับศัตรูส่วนกลาง: เพิ่มความยากของศัตรูส่วนกลาง ซึ่งในตอนนี้ คุณจะได้รับ AP กลับมาหลังจากแพ้การต่อสู้ด้วย!
 - ปรับการล่าสมบัติของอัลวิน: ออกแบบอินเทอร์เฟซให้ใช้งานง"&amp;"่าย คุณจึงสามารถค้นหาเลเวลของคุณได้อย่างรวดเร็วและเคลียร์ได้อย่างราบรื่นยิ่งขึ้น
 - กิจกรรมกระตุ้นด้วยไฟฟ้าพร้อมให้เล่นแล้ว: ใช้แบตเตอรี่เพื่อเพิ่มการวิจัยเทคโนโลยีอิเล็กทรอนิกส์ แล้วรับรางวัลมากมาย!
 - กิจกรรมเงินคืนยอดนิยมพร้อมให้เล่นแล้ว: ใช้ซีดีเพื่อร"&amp;"ับรางวัลสุดพิเศษ! อย่าพลาดข้อเสนอสุดพิเศษนี้ไปเสียล่ะ!
 - กิจกรรมลิงที่แข็งแกร่งที่สุดข้ามเซิร์ฟเวอร์พร้อมให้เล่นแล้ว: เพิ่มการต่อสู้ข้ามเซิร์ฟเวอร์ในกิจกรรมลิงที่แข็งแกร่งที่สุด! การแข่งขันยิ่งเข้มข้นกว่าที่เคย!
 - ปรับวงล้อแห่งโชคชะตา: เพิ่มคุณสมบัติใหม"&amp;"่ การหมุน 10 ครั้ง และทำให้การหมุนดด่วนเร็วยิ่งขึ้นเพื่อประสบการณ์กิจกรรมที่ดียิ่งขึ้น
 - ครัววันขอบคุณพระเจ้าจะเปิดให้เล่นในช่วงเวลาจำกัด: เข้าร่วมกิจกรรมโดยการเก็บรวบรวมส่วนผสมสำหรับงานฉลองวันขอบคุณพระเจ้า แล้วรับรางวัลอุปกรณ์ตกแต่งพิเศษเฉพาะช่วงเทศกาลว"&amp;"ันหยุด!
 - ระบบเกียรติยศ: เปลี่ยนเวลาเปิดของระบบเกียรติยศ รวมถึงไอคอนการเข้าใช้งาน ปรับปรุงข้อกำหนดการเคลียร์เควสต์เกียรติยศ")</f>
        <v>- การเปลี่ยนแปลงระบบเผ่า: ในตอนแรก จะไม่มีเผ่าใดอยู่บนโลก ซึ่งผู้เล่นจะไม่จำเป็นต้องเลือกเผ่าเมื่อเริ่มเกมในครั้งแรก แต่เมื่อแก๊งเข้าครอบครองสำนักงานใหญ่ของเผ่าได้สำเร็จ ก็จะสามารถสร้างเผ่าได้ จากนั้นแก๊งอื่นก็จะสามารถเข้าร่วมเผ่าได้เมื่อได้รับการอนุมัติจากหัวหน้าเผ่า ภายใต้สถานการณ์ปกติ ผู้เล่นในเผ่าเดียวกันจะไม่สามารถโจมตีกันเองได้ แต่อาจโจมตีซากปรักหักพังที่แก๊งอื่นในเผ่าเดียวกันครอบครองอยู่ได้
 - การปรับแผนที่: เปลี่ยนการออกแบบขอบนอกสุดของแผนที่และเส้นแบ่งระหว่างหกเผ่าออก ซึ่งจะเป็นการเปิดพื้นที่ทั้งหมด ซึ่งในช่วงต้น ผู้เล่นสามารถเทเลพอร์ตได้อย่างอิสระ แก้ไขประเภทและจำนวนของซากปรักหักพัง รวมถึงรางวัลที่เกี่ยวข้อง ตอนนี้ซากปรักหักพังบางแห่งจะให้แค่รางวัลสำหรับการยึดครองของแก๊งเท่านั้น ส่วนในบางแห่งจะให้เฉพาะรายได้จากซากปรักหักพังและบูสต์แก๊ง ในขณะที่สำนักงานใหญ่และฐานยิงจรวดของเผ่าจะมอบสิทธิประโยชน์พิเศษให้ นำความสามารถในการสร้างรางและขับรถไฟด้วยตนเองออก โดยในปัจจุบัน รถไฟจะปรากฏในระหว่างการแข่งขันเพื่อชิงอำนาจเท่านั้น เปลี่ยนจำนวนพลังงานที่ใช้ในการเทเลพอร์ต รวมถึงปรับเนื้อหาและความเร็วของเหตุการณ์สำคัญของอวกาศตามรูปแบบการเล่นและแผนที่ใหม่
 - การแข่งขันรถไฟครั้งยิ่งใหญ่: จับคู่กับพันธมิตรและศัตรูตามค่าพลังของคุณ ช่วยกันโจมตีหรือปกป้องรถไฟ เอาชนะกองทหารศัตรู และรับรางวัลมูลค่ามหาศาล!
 - เลเวลใหม่ของการทดสอบ ณ ทางตัน: เพิ่มคุณสมบัติการเคลียร์เลเวลเพิ่มเติม รวมถึงปรับความยากและรางวัลในบางเลเวล นำนักสู้ที่เก่งที่สุดของคุณมาใช้ ใช้กลยุทธ์อันชาญฉลาด แล้วรับรางวัลสุดวิเศษ!
 - นักสู้ตัวใหม่: แรม คนจรจัดอัจฉริยะผู้เงียบขรึมที่เชี่ยวชาญด้านการป้องกันตัว รับตัวเขาได้จากกิจกรรมลิงที่แข็งแกร่งที่สุด, เดฟ ไปเรื่อย นักผจญภัยในดินแดนรกร้างที่เปี่ยมไปด้วยหัวใจและความหลงใหล รับตัวเขาได้จากวงล้อแห่งโชคชะตา
 - ปรับศัตรูส่วนกลาง: เพิ่มความยากของศัตรูส่วนกลาง ซึ่งในตอนนี้ คุณจะได้รับ AP กลับมาหลังจากแพ้การต่อสู้ด้วย!
 - ปรับการล่าสมบัติของอัลวิน: ออกแบบอินเทอร์เฟซให้ใช้งานง่าย คุณจึงสามารถค้นหาเลเวลของคุณได้อย่างรวดเร็วและเคลียร์ได้อย่างราบรื่นยิ่งขึ้น
 - กิจกรรมกระตุ้นด้วยไฟฟ้าพร้อมให้เล่นแล้ว: ใช้แบตเตอรี่เพื่อเพิ่มการวิจัยเทคโนโลยีอิเล็กทรอนิกส์ แล้วรับรางวัลมากมาย!
 - กิจกรรมเงินคืนยอดนิยมพร้อมให้เล่นแล้ว: ใช้ซีดีเพื่อรับรางวัลสุดพิเศษ! อย่าพลาดข้อเสนอสุดพิเศษนี้ไปเสียล่ะ!
 - กิจกรรมลิงที่แข็งแกร่งที่สุดข้ามเซิร์ฟเวอร์พร้อมให้เล่นแล้ว: เพิ่มการต่อสู้ข้ามเซิร์ฟเวอร์ในกิจกรรมลิงที่แข็งแกร่งที่สุด! การแข่งขันยิ่งเข้มข้นกว่าที่เคย!
 - ปรับวงล้อแห่งโชคชะตา: เพิ่มคุณสมบัติใหม่ การหมุน 10 ครั้ง และทำให้การหมุนดด่วนเร็วยิ่งขึ้นเพื่อประสบการณ์กิจกรรมที่ดียิ่งขึ้น
 - ครัววันขอบคุณพระเจ้าจะเปิดให้เล่นในช่วงเวลาจำกัด: เข้าร่วมกิจกรรมโดยการเก็บรวบรวมส่วนผสมสำหรับงานฉลองวันขอบคุณพระเจ้า แล้วรับรางวัลอุปกรณ์ตกแต่งพิเศษเฉพาะช่วงเทศกาลวันหยุด!
 - ระบบเกียรติยศ: เปลี่ยนเวลาเปิดของระบบเกียรติยศ รวมถึงไอคอนการเข้าใช้งาน ปรับปรุงข้อกำหนดการเคลียร์เควสต์เกียรติยศ</v>
      </c>
      <c r="J16" s="151" t="str">
        <f>IFERROR(__xludf.DUMMYFUNCTION("""COMPUTED_VALUE"""),"- Cambios en el sistema de Clanes: Inicialmente no habrá Clanes en el planeta y los jugadores no necesitarán elegir un Clan al comenzar el juego por primera vez. Cuando una Banda ocupa con éxito el Cuartel General de un Clan, puede crear un Clan. Otras Ba"&amp;"ndas pueden unirse al Clan después de ser aprobadas por el líder del Clan. En circunstancias normales, los jugadores del mismo Clan no pueden atacarse entre sí, pero pueden atacar ruinas ocupadas por otras Bandas del mismo Clan.
 - Ajuste del mapa: Se cam"&amp;"bió el diseño del perímetro exterior del mapa y se eliminó la división entre los seis Clanes. El perímetro ahora está completamente abierto e, inicialmente, los jugadores pueden teletransportarse libremente. Se modificaron los tipos y cantidades de ruinas"&amp;", así como sus recompensas asociadas. Ahora, ciertas ruinas solo brindan recompensas por ocupación a las Bandas, y otras solo brindan ingresos por ruina y potenciadores de Banda. El Cuartel General del Clan y la Plataforma de Lanzamiento proporcionan bene"&amp;"ficios especiales. Se eliminó la capacidad de construir vías y conducir el tren manualmente. Ahora, los trenes solo aparecerán durante la Competencia por la Supremacía. Se modificó la cantidad de energía consumida por los teletransportes y se ajustó el co"&amp;"ntenido y el ritmo los Logros Planetarios de acuerdo con la nueva forma de juego y el mapa.
 - Gran Carrera del Tren: Empareja con los aliados y enemigos según el Poder. ¡Ayuda a atacar o defender un tren, derrota a las tropas enemigas y gana recompensas "&amp;"de gran valor!
 - Nuevos niveles de las Pruebas de Impasse: Se agregaron más funciones de superar niveles y se ajustó la dificultad y las recompensas para ciertos niveles. ¡Trae a tus mejores Luchadores, usa una estrategia inteligente y gana increíbles re"&amp;"compensas!
 - Nuevos Luchadores: Un calmado genio inventor, el ingenioso maestro de la defensa, Rams. Consíguelo en el Mono Supremo. Un vagabundo salvaje lleno de corazón y pasión, D-Generado Dave. Obtenlo mediante la Rueda de la Fortuna.
 - Ajustes en la"&amp;"s unidades neutrales: Aumento en la dificultad de las unidades neutrales. ¡Ahora recuperarás algo de PA después de perder una batalla!
 - Optimización de la Cacería del Tesoro de Alvin: Se simplificó la interfaz para que puedas localizar tu nivel más rápi"&amp;"damente y superarlo con mayor facilidad.
 - El evento Ajetreo Eléctrico ya está disponible: ¡Usa baterías para investigar más sobre Tecnología Electrónica y obtén grandes recompensas!
 - El evento de Mejores Descuentos ya está disponible: ¡gasta CD para o"&amp;"btener recompensas increíbles! ¡No te pierdas esta gran oferta!
 - Mono Supremo entre servidores está disponible ahora: ¡se añadieron batallas entre servidores a Mono Supremo! ¡La competencia se vuelve intensa!
 - Rueda de la Fortuna optimizada: se agregó"&amp;" una nueva función de giro 10x y se aceleró el giro rápido para una mejor experiencia en el evento.
 - La Cocina de Acción de Gracias está abierta ahora por tiempo limitado: ¡Participa en el evento reuniendo ingredientes para el festín de Acción de Gracia"&amp;"s y gane decoraciones exclusivas de las fiestas!
 - Sistema de Honor: Cambios en la hora de apertura del sistema de Honor, así como su icono de acceso. Se optimizaron los requerimientos para completar las misiones de Honor.")</f>
        <v>- Cambios en el sistema de Clanes: Inicialmente no habrá Clanes en el planeta y los jugadores no necesitarán elegir un Clan al comenzar el juego por primera vez. Cuando una Banda ocupa con éxito el Cuartel General de un Clan, puede crear un Clan. Otras Bandas pueden unirse al Clan después de ser aprobadas por el líder del Clan. En circunstancias normales, los jugadores del mismo Clan no pueden atacarse entre sí, pero pueden atacar ruinas ocupadas por otras Bandas del mismo Clan.
 - Ajuste del mapa: Se cambió el diseño del perímetro exterior del mapa y se eliminó la división entre los seis Clanes. El perímetro ahora está completamente abierto e, inicialmente, los jugadores pueden teletransportarse libremente. Se modificaron los tipos y cantidades de ruinas, así como sus recompensas asociadas. Ahora, ciertas ruinas solo brindan recompensas por ocupación a las Bandas, y otras solo brindan ingresos por ruina y potenciadores de Banda. El Cuartel General del Clan y la Plataforma de Lanzamiento proporcionan beneficios especiales. Se eliminó la capacidad de construir vías y conducir el tren manualmente. Ahora, los trenes solo aparecerán durante la Competencia por la Supremacía. Se modificó la cantidad de energía consumida por los teletransportes y se ajustó el contenido y el ritmo los Logros Planetarios de acuerdo con la nueva forma de juego y el mapa.
 - Gran Carrera del Tren: Empareja con los aliados y enemigos según el Poder. ¡Ayuda a atacar o defender un tren, derrota a las tropas enemigas y gana recompensas de gran valor!
 - Nuevos niveles de las Pruebas de Impasse: Se agregaron más funciones de superar niveles y se ajustó la dificultad y las recompensas para ciertos niveles. ¡Trae a tus mejores Luchadores, usa una estrategia inteligente y gana increíbles recompensas!
 - Nuevos Luchadores: Un calmado genio inventor, el ingenioso maestro de la defensa, Rams. Consíguelo en el Mono Supremo. Un vagabundo salvaje lleno de corazón y pasión, D-Generado Dave. Obtenlo mediante la Rueda de la Fortuna.
 - Ajustes en las unidades neutrales: Aumento en la dificultad de las unidades neutrales. ¡Ahora recuperarás algo de PA después de perder una batalla!
 - Optimización de la Cacería del Tesoro de Alvin: Se simplificó la interfaz para que puedas localizar tu nivel más rápidamente y superarlo con mayor facilidad.
 - El evento Ajetreo Eléctrico ya está disponible: ¡Usa baterías para investigar más sobre Tecnología Electrónica y obtén grandes recompensas!
 - El evento de Mejores Descuentos ya está disponible: ¡gasta CD para obtener recompensas increíbles! ¡No te pierdas esta gran oferta!
 - Mono Supremo entre servidores está disponible ahora: ¡se añadieron batallas entre servidores a Mono Supremo! ¡La competencia se vuelve intensa!
 - Rueda de la Fortuna optimizada: se agregó una nueva función de giro 10x y se aceleró el giro rápido para una mejor experiencia en el evento.
 - La Cocina de Acción de Gracias está abierta ahora por tiempo limitado: ¡Participa en el evento reuniendo ingredientes para el festín de Acción de Gracias y gane decoraciones exclusivas de las fiestas!
 - Sistema de Honor: Cambios en la hora de apertura del sistema de Honor, así como su icono de acceso. Se optimizaron los requerimientos para completar las misiones de Honor.</v>
      </c>
      <c r="K16" s="151" t="str">
        <f>IFERROR(__xludf.DUMMYFUNCTION("""COMPUTED_VALUE"""),"- Изменения в системе кланов: изначально на планете не будет кланов, и игрокам не нужно будет выбирать клан в начале игры. Когда банда успешно занимает базу клана, она может создать клан. Другие банды могут присоединиться к клану после одобрения вождем кл"&amp;"ана. В обычных условиях игроки из одного клана не могут нападать друг на друга, но они могут атаковать руины, занятые другими бандами из того же клана.
- Корректировка карты: изменен дизайн внешнего периметра карты и убрано разделение между территориями ш"&amp;"ести кланов. Периметр теперь полностью открыт, и поначалу игроки могут свободно телепортироваться. Изменены типы и количество руин, а также связанные с ними награды. Теперь некоторые руины приносят банде награды только за оккупацию, а другие дают только д"&amp;"оход от руин и усиления для банды. База клана и стартплощадка дают особые преимущества. Убрана возможность строить пути и управлять поездом вручную. Теперь поезда будут появляться только во время состязаний за превосходство. Изменены затраты энергии на те"&amp;"лепорты, а также скорректировано содержание и темп «Планетарного рубежа» в соответствии с новым игровым процессом и картой.
- Большие гонки на поездах: союзники и враги для вас подбираются в соответствии с мощью. Помогайте атаковать или защищать поезд, по"&amp;"беждайте вражеские войска и получайте ценные награды!
- Новые уровни «Испытаний Тупика»: добавлены новые возможности прохождения уровней и скорректированы сложность и награды для некоторых уровней. Возьмите с собой лучших героев, используйте умную стратег"&amp;"ию и выиграйте удивительные награды!
- Новые герои: Молчаливый гениальный механик, изобретательный мастер обороны Рэмс. Получите его в событии «Великая обезьяна». Бродяга из диких земель с горячим страстным сердцем — Д-генерат Дейв. Получите его из Колеса"&amp;" фортуны.
- Корректировка нейтральных отрядов: увеличена сложность нейтральных отрядов. Теперь после проигранной битвы вы сможете вернуть часть ОД!
- Оптимизирована «Охота за сокровищами Альвина»: интерфейс стал более понятным, чтобы вы могли быстро и эфф"&amp;"ективно найти и пройти свой уровень.
- Доступно событие «Электрическая суета»: используйте батарейки для исследования электронных технологий и получайте отличные награды!
- Доступна акция «Максимальное возмещение»: тратьте CD, чтобы получить потрясающее в"&amp;"озмещение! Не упустите это выгодное предложение!
- Доступно межсерверное событие «Великая обезьяна»: в «Великую обезьяну» добавлены межсерверные сражения! Соревнование становится напряженным.
- Оптимизировано Колесо фортуны: добавлена новая функция десяти"&amp;" вращений и ускорено быстрое вращение, чтобы у вас оставались наилучшие впечатления от игры.
- На ограниченное время открыта кухня Дня благодарения: участвуйте в мероприятии, собирая ингредиенты для пира на День благодарения, и выигрывайте эксклюзивные пр"&amp;"аздничные украшения!
- Система чести: изменено время открытия системы чести, а также значок доступа к ней. Оптимизированы требования к завершению заданий чести.")</f>
        <v>- Изменения в системе кланов: изначально на планете не будет кланов, и игрокам не нужно будет выбирать клан в начале игры. Когда банда успешно занимает базу клана, она может создать клан. Другие банды могут присоединиться к клану после одобрения вождем клана. В обычных условиях игроки из одного клана не могут нападать друг на друга, но они могут атаковать руины, занятые другими бандами из того же клана.
- Корректировка карты: изменен дизайн внешнего периметра карты и убрано разделение между территориями шести кланов. Периметр теперь полностью открыт, и поначалу игроки могут свободно телепортироваться. Изменены типы и количество руин, а также связанные с ними награды. Теперь некоторые руины приносят банде награды только за оккупацию, а другие дают только доход от руин и усиления для банды. База клана и стартплощадка дают особые преимущества. Убрана возможность строить пути и управлять поездом вручную. Теперь поезда будут появляться только во время состязаний за превосходство. Изменены затраты энергии на телепорты, а также скорректировано содержание и темп «Планетарного рубежа» в соответствии с новым игровым процессом и картой.
- Большие гонки на поездах: союзники и враги для вас подбираются в соответствии с мощью. Помогайте атаковать или защищать поезд, побеждайте вражеские войска и получайте ценные награды!
- Новые уровни «Испытаний Тупика»: добавлены новые возможности прохождения уровней и скорректированы сложность и награды для некоторых уровней. Возьмите с собой лучших героев, используйте умную стратегию и выиграйте удивительные награды!
- Новые герои: Молчаливый гениальный механик, изобретательный мастер обороны Рэмс. Получите его в событии «Великая обезьяна». Бродяга из диких земель с горячим страстным сердцем — Д-генерат Дейв. Получите его из Колеса фортуны.
- Корректировка нейтральных отрядов: увеличена сложность нейтральных отрядов. Теперь после проигранной битвы вы сможете вернуть часть ОД!
- Оптимизирована «Охота за сокровищами Альвина»: интерфейс стал более понятным, чтобы вы могли быстро и эффективно найти и пройти свой уровень.
- Доступно событие «Электрическая суета»: используйте батарейки для исследования электронных технологий и получайте отличные награды!
- Доступна акция «Максимальное возмещение»: тратьте CD, чтобы получить потрясающее возмещение! Не упустите это выгодное предложение!
- Доступно межсерверное событие «Великая обезьяна»: в «Великую обезьяну» добавлены межсерверные сражения! Соревнование становится напряженным.
- Оптимизировано Колесо фортуны: добавлена новая функция десяти вращений и ускорено быстрое вращение, чтобы у вас оставались наилучшие впечатления от игры.
- На ограниченное время открыта кухня Дня благодарения: участвуйте в мероприятии, собирая ингредиенты для пира на День благодарения, и выигрывайте эксклюзивные праздничные украшения!
- Система чести: изменено время открытия системы чести, а также значок доступа к ней. Оптимизированы требования к завершению заданий чести.</v>
      </c>
      <c r="L16" s="151" t="str">
        <f>IFERROR(__xludf.DUMMYFUNCTION("""COMPUTED_VALUE"""),"- Klan sistemi değişiklikleri: başlangıçta gezegende Klan olmayacak ve oyuncular oyuna ilk başladıklarında bir Klan seçmeleri gerekmeyecek. Bir Çete bir Klan Karargâhını başarıyla işgal ettiğinde bir Klan oluşturabilir. Diğer Çeteler Klan lideri tarafında"&amp;"n onaylandıktan sonra Klana katılabilir. Normal şartlar altında aynı Klanın oyuncuları birbirlerine saldıramazlar ancak aynı Klanın diğer Çetelerinin işgal ettiği harabelere saldırabilirler.
 - Harita düzenlemesi: haritanın en dış çevresinin tasarımı deği"&amp;"ştirildi ve altı Klan arasındaki bölünme kaldırıldı. Çevre artık tamamen açık ve başlangıçta oyuncular özgürce ışınlanabiliyor. Harabelerin türleri ve miktarları ile ilgili ödüller değiştirildi. Artık, bazı harabeler yalnızca Çete işgali ödülleri sağlarke"&amp;"n, diğerleri yalnızca harabe geliri ve Çete güçlendirmeleri sağlıyor. Klan Karargâhı ve Fırlatma Rampası özel avantajlar sağlar. Ray inşa etme ve treni manuel olarak sürme yeteneği kaldırıldı. Artık trenler sadece Üstünlük Müsabakası sırasında görünecek. "&amp;"Işınlanmalar tarafından tüketilen enerji miktarı değiştirildi, yeni oyun ve haritaya göre Gezegen Dönüm Noktası içeriği ve hızı ayarlandı.
 - Büyük Tren Yarışı: Güce bağlı olarak müttefik ve düşmanlarla eşleş. Bir trene saldırmaya veya treni savunmaya yar"&amp;"dım et, düşman birliklerini yen ve süper değerli ödüller kazan!
 - Yeni Çıkmaz Durum Denemeleri seviyeleri: daha fazla seviye temizleme özelliği eklendi ve belirli seviyeler için zorluk ve ödüller ayarlandı. En iyi Savaşçılarını getir, akıllı bir strateji"&amp;" kullan ve harika ödüller kazan!
 - Yeni Savaşçılar: Sessiz ve dâhi bir tamirci, yaratıcı bir savunma ustası, Rams. Onu En Üstün Maymun etkinliğinden al. Yürekli ve tutkulu bir çorak arazi serserisi, Dejenere Dave. Onu Çarkıfelek etkinliğinden al.
 - Tara"&amp;"fsız birim düzenlemeleri: tarafsız birimlerin zorluğu artırıldı. Artık bir savaşı kaybettikten sonra biraz AP alırsın!
 - Alvin’in Hazine Avı optimize edildi: arayüz, seviyeni hızlı bir şekilde bulabilmen ve daha sorunsuz bir şekilde temizleyebilmen için "&amp;"sadeleştirildi.
 - Elektrikli Telaş etkinliği artık kullanılabiliyor: daha fazla Elektronik Teknolojisi araştırması için bataryaları kullan ve harika ödüller kazan!
 - Zirve İade etkinliği artık kullanılabiliyor: harika ödüller almak için CD’leri harca! B"&amp;"u harika fırsatı kaçırma!
 - Sunucular arası En Üstün Maymun artık kullanılabiliyor: En Üstün Maymuna sunucular arası savaşlar eklendi! Müsabaka kızışıyor!
 - Çarkıfelek optimize edildi: daha iyi bir etkinlik deneyimi için yeni x10 çevirme özelliği eklend"&amp;"i ve hızlı çevirme daha hızlandırıldı.
 - Şükran Günü Mutfağı artık sınırlı bir süre için açık: Şükran Günü ziyafeti için malzemeleri toplayarak etkinliğe katıl ve tatile özel dekorasyonlar kazan!
 - Onur sistemi: Onur sisteminin açılış saati ve erişim si"&amp;"mgesi değiştirildi. Onur maceraraları için tamamlama gereklilikleri optimize edildi.")</f>
        <v>- Klan sistemi değişiklikleri: başlangıçta gezegende Klan olmayacak ve oyuncular oyuna ilk başladıklarında bir Klan seçmeleri gerekmeyecek. Bir Çete bir Klan Karargâhını başarıyla işgal ettiğinde bir Klan oluşturabilir. Diğer Çeteler Klan lideri tarafından onaylandıktan sonra Klana katılabilir. Normal şartlar altında aynı Klanın oyuncuları birbirlerine saldıramazlar ancak aynı Klanın diğer Çetelerinin işgal ettiği harabelere saldırabilirler.
 - Harita düzenlemesi: haritanın en dış çevresinin tasarımı değiştirildi ve altı Klan arasındaki bölünme kaldırıldı. Çevre artık tamamen açık ve başlangıçta oyuncular özgürce ışınlanabiliyor. Harabelerin türleri ve miktarları ile ilgili ödüller değiştirildi. Artık, bazı harabeler yalnızca Çete işgali ödülleri sağlarken, diğerleri yalnızca harabe geliri ve Çete güçlendirmeleri sağlıyor. Klan Karargâhı ve Fırlatma Rampası özel avantajlar sağlar. Ray inşa etme ve treni manuel olarak sürme yeteneği kaldırıldı. Artık trenler sadece Üstünlük Müsabakası sırasında görünecek. Işınlanmalar tarafından tüketilen enerji miktarı değiştirildi, yeni oyun ve haritaya göre Gezegen Dönüm Noktası içeriği ve hızı ayarlandı.
 - Büyük Tren Yarışı: Güce bağlı olarak müttefik ve düşmanlarla eşleş. Bir trene saldırmaya veya treni savunmaya yardım et, düşman birliklerini yen ve süper değerli ödüller kazan!
 - Yeni Çıkmaz Durum Denemeleri seviyeleri: daha fazla seviye temizleme özelliği eklendi ve belirli seviyeler için zorluk ve ödüller ayarlandı. En iyi Savaşçılarını getir, akıllı bir strateji kullan ve harika ödüller kazan!
 - Yeni Savaşçılar: Sessiz ve dâhi bir tamirci, yaratıcı bir savunma ustası, Rams. Onu En Üstün Maymun etkinliğinden al. Yürekli ve tutkulu bir çorak arazi serserisi, Dejenere Dave. Onu Çarkıfelek etkinliğinden al.
 - Tarafsız birim düzenlemeleri: tarafsız birimlerin zorluğu artırıldı. Artık bir savaşı kaybettikten sonra biraz AP alırsın!
 - Alvin’in Hazine Avı optimize edildi: arayüz, seviyeni hızlı bir şekilde bulabilmen ve daha sorunsuz bir şekilde temizleyebilmen için sadeleştirildi.
 - Elektrikli Telaş etkinliği artık kullanılabiliyor: daha fazla Elektronik Teknolojisi araştırması için bataryaları kullan ve harika ödüller kazan!
 - Zirve İade etkinliği artık kullanılabiliyor: harika ödüller almak için CD’leri harca! Bu harika fırsatı kaçırma!
 - Sunucular arası En Üstün Maymun artık kullanılabiliyor: En Üstün Maymuna sunucular arası savaşlar eklendi! Müsabaka kızışıyor!
 - Çarkıfelek optimize edildi: daha iyi bir etkinlik deneyimi için yeni x10 çevirme özelliği eklendi ve hızlı çevirme daha hızlandırıldı.
 - Şükran Günü Mutfağı artık sınırlı bir süre için açık: Şükran Günü ziyafeti için malzemeleri toplayarak etkinliğe katıl ve tatile özel dekorasyonlar kazan!
 - Onur sistemi: Onur sisteminin açılış saati ve erişim simgesi değiştirildi. Onur maceraraları için tamamlama gereklilikleri optimize edildi.</v>
      </c>
      <c r="M16" s="151" t="str">
        <f>IFERROR(__xludf.DUMMYFUNCTION("""COMPUTED_VALUE"""),"- Thay đổi hệ thống Bộ Lạc: ban đầu sẽ không có Bộ Lạc nào trên hành tinh, người chơi không cần chọn một Bộ Lạc khi chơi game lần đầu tiên. Khi một Bang Hội chiếm đóng thành công một Trụ Sở Chính Bộ Lạc, họ có thể tạo Bộ Lạc. Những Bang Hội khác có thể th"&amp;"am gia Bộ Lạc sau khi được thủ lĩnh Bộ Lạc phê duyệt. Trong những hoàn cảnh bình thường, người chơi trong cùng Bộ Lạc không thể tấn công nhau nhưng có thể tấn công các tàn tích mà các Bang Hội khác trong cùng Bộ Lạc đã chiếm đóng.
 - Điều chỉnh Bản Đồ: th"&amp;"ay đổi thiết kế chu vi vòng ngoài bản đồ và xóa bỏ ranh giới phân chia giữa sáu Bộ Lạc. Vành đai hiện đã được mở hoàn toàn, người chơi có thể tự do dịch chuyển. Loại và số lượng tàn tích cũng như thưởng tương ứng của chúng cũng được điều chỉnh. Hiện tại, "&amp;"một số tàn tích cung cấp thưởng chiếm đóng Bang Hội, và số khác chỉ cung cấp thu nhập tàn tích và buff Bang Hội. Trụ Sở Chính Bang Hội và Bệ Phóng cung cấp các lợi ích đặc biệt. Tự xóa khả năng xây đường ray và lái xe lửa. Hiện tại, xe lửa chỉ xuất hiện t"&amp;"rong Tranh Hùng Bá Chủ. Đã thay đổi số lượng năng lượng tiêu thụ vào việc dịch chuyển, điều chỉnh nội dung và tiến độ Cột Mốc Hành Tinh theo lối chơi và bản đồ mới.
 - Đường Đua Xe Lửa Lớn: ghép cặp đồng minh và kẻ thù theo Chiến Lực. Hỗ trợ tấn công hoặc"&amp;" phòng thủ xe lửa, đánh bại lính địch, và giành những phần thưởng siêu giá trị!
 - Cấp Thí Luyện Tuyệt Địa mới: đã thêm các tính năng hoàn thành cấp và điều chỉnh độ khó cùng các phần thưởng cho một số cấp nhất định. Hãy đem theo những Chiến Binh giỏi nhấ"&amp;"t, sử dụng chiến lược thông minh, và giành những phần thưởng hấp dẫn!
 - Chiến Binh mới: Một người mày mò thiên tài trầm lặng, bậc thầy sáng chế phòng thủ, Rams. Nhận cậu ấy trong Chúa Khỉ Tối Cao. Một kẻ lang bạt đầy tình yêu và đam mê, Dave-Hạng-D. Nhận"&amp;" anh ta trong Bánh Xe May Mắn.
 - Điều chỉnh các đơn vị trung lập: tăng độ khó của các đơn vị trung lập. Giờ bạn có thể nhận lại điểm hành động sau khi thua trận!
 - Tối ưu Săn Kho Báu của Alvin: giao diện đã được làm đơn giản để bạn có thể nhanh chóng xá"&amp;"c định cấp của mình và hoàn thành trơn tru hơn.
 - Sự kiện Công Nghệ Điện Tử hiện đã có: dùng pin để nghiên cứu thêm Công Nghệ Điện Tử và nhận thưởng lớn!
 - Sự kiện Giảm Giá Hàng Đầu hiện đã có: dùng CD để nhận những phần thưởng hấp dẫn! Đừng bỏ lỡ ưu đã"&amp;"i tuyệt vời này nhé!
 - Chúa Khỉ Tối Cao liên máy chủ đã có: các trận chiến liên máy chủ đã được thêm vào Chúa Khỉ Tối Cao! Cạnh tranh gay gắt hơn!
 - Tối ưu Bánh Xe May Mắn: đã thêm tính năng x10 lượt quay và điều chỉnh tốc độ quay nhanh hơn để có trải n"&amp;"ghiệm sự kiện tốt hơn.
 - Phòng Bếp Lễ Tạ Ơn hiện đã mở trong một khoảng thời gian ngắn: tham gia sự kiện bằng cách thu thập nguyên liệu cho bữa tiệc Lễ Tạ Ơn và giành những món đồ trang trí lễ hội độc quyền!
 - Hệ thống Vinh Dự: thay đổi thời gian mở hệ "&amp;"thống Vinh Dự cũng như icon truy cập. Tối ưu hóa các yêu cầu hoàn thành nhiệm vụ Vinh Dự.")</f>
        <v>- Thay đổi hệ thống Bộ Lạc: ban đầu sẽ không có Bộ Lạc nào trên hành tinh, người chơi không cần chọn một Bộ Lạc khi chơi game lần đầu tiên. Khi một Bang Hội chiếm đóng thành công một Trụ Sở Chính Bộ Lạc, họ có thể tạo Bộ Lạc. Những Bang Hội khác có thể tham gia Bộ Lạc sau khi được thủ lĩnh Bộ Lạc phê duyệt. Trong những hoàn cảnh bình thường, người chơi trong cùng Bộ Lạc không thể tấn công nhau nhưng có thể tấn công các tàn tích mà các Bang Hội khác trong cùng Bộ Lạc đã chiếm đóng.
 - Điều chỉnh Bản Đồ: thay đổi thiết kế chu vi vòng ngoài bản đồ và xóa bỏ ranh giới phân chia giữa sáu Bộ Lạc. Vành đai hiện đã được mở hoàn toàn, người chơi có thể tự do dịch chuyển. Loại và số lượng tàn tích cũng như thưởng tương ứng của chúng cũng được điều chỉnh. Hiện tại, một số tàn tích cung cấp thưởng chiếm đóng Bang Hội, và số khác chỉ cung cấp thu nhập tàn tích và buff Bang Hội. Trụ Sở Chính Bang Hội và Bệ Phóng cung cấp các lợi ích đặc biệt. Tự xóa khả năng xây đường ray và lái xe lửa. Hiện tại, xe lửa chỉ xuất hiện trong Tranh Hùng Bá Chủ. Đã thay đổi số lượng năng lượng tiêu thụ vào việc dịch chuyển, điều chỉnh nội dung và tiến độ Cột Mốc Hành Tinh theo lối chơi và bản đồ mới.
 - Đường Đua Xe Lửa Lớn: ghép cặp đồng minh và kẻ thù theo Chiến Lực. Hỗ trợ tấn công hoặc phòng thủ xe lửa, đánh bại lính địch, và giành những phần thưởng siêu giá trị!
 - Cấp Thí Luyện Tuyệt Địa mới: đã thêm các tính năng hoàn thành cấp và điều chỉnh độ khó cùng các phần thưởng cho một số cấp nhất định. Hãy đem theo những Chiến Binh giỏi nhất, sử dụng chiến lược thông minh, và giành những phần thưởng hấp dẫn!
 - Chiến Binh mới: Một người mày mò thiên tài trầm lặng, bậc thầy sáng chế phòng thủ, Rams. Nhận cậu ấy trong Chúa Khỉ Tối Cao. Một kẻ lang bạt đầy tình yêu và đam mê, Dave-Hạng-D. Nhận anh ta trong Bánh Xe May Mắn.
 - Điều chỉnh các đơn vị trung lập: tăng độ khó của các đơn vị trung lập. Giờ bạn có thể nhận lại điểm hành động sau khi thua trận!
 - Tối ưu Săn Kho Báu của Alvin: giao diện đã được làm đơn giản để bạn có thể nhanh chóng xác định cấp của mình và hoàn thành trơn tru hơn.
 - Sự kiện Công Nghệ Điện Tử hiện đã có: dùng pin để nghiên cứu thêm Công Nghệ Điện Tử và nhận thưởng lớn!
 - Sự kiện Giảm Giá Hàng Đầu hiện đã có: dùng CD để nhận những phần thưởng hấp dẫn! Đừng bỏ lỡ ưu đãi tuyệt vời này nhé!
 - Chúa Khỉ Tối Cao liên máy chủ đã có: các trận chiến liên máy chủ đã được thêm vào Chúa Khỉ Tối Cao! Cạnh tranh gay gắt hơn!
 - Tối ưu Bánh Xe May Mắn: đã thêm tính năng x10 lượt quay và điều chỉnh tốc độ quay nhanh hơn để có trải nghiệm sự kiện tốt hơn.
 - Phòng Bếp Lễ Tạ Ơn hiện đã mở trong một khoảng thời gian ngắn: tham gia sự kiện bằng cách thu thập nguyên liệu cho bữa tiệc Lễ Tạ Ơn và giành những món đồ trang trí lễ hội độc quyền!
 - Hệ thống Vinh Dự: thay đổi thời gian mở hệ thống Vinh Dự cũng như icon truy cập. Tối ưu hóa các yêu cầu hoàn thành nhiệm vụ Vinh Dự.</v>
      </c>
      <c r="N16" s="151"/>
      <c r="O16" s="148"/>
      <c r="P16" s="148"/>
      <c r="Q16" s="148"/>
      <c r="R16" s="148"/>
      <c r="S16" s="148"/>
      <c r="T16" s="148"/>
      <c r="U16" s="148"/>
      <c r="V16" s="148"/>
      <c r="W16" s="148"/>
      <c r="X16" s="148"/>
      <c r="Y16" s="148"/>
      <c r="Z16" s="148"/>
    </row>
    <row r="17">
      <c r="A17" s="149" t="str">
        <f>IFERROR(__xludf.DUMMYFUNCTION("""COMPUTED_VALUE"""),"0.35.5")</f>
        <v>0.35.5</v>
      </c>
      <c r="B17" s="151" t="str">
        <f>IFERROR(__xludf.DUMMYFUNCTION("""COMPUTED_VALUE"""),"-惊喜圣诞夜上线：消耗圣诞袜进行抽奖，有机会获得圣诞限定基地皮肤！更有机会一次性获得巨额圣诞袜！
-圣诞晚会上线：积极参与活动获得圣诞铃，装饰圣诞树，有机会获得圣诞节限定装饰及超多好礼！")</f>
        <v>-惊喜圣诞夜上线：消耗圣诞袜进行抽奖，有机会获得圣诞限定基地皮肤！更有机会一次性获得巨额圣诞袜！
-圣诞晚会上线：积极参与活动获得圣诞铃，装饰圣诞树，有机会获得圣诞节限定装饰及超多好礼！</v>
      </c>
      <c r="C17" s="151" t="str">
        <f>IFERROR(__xludf.DUMMYFUNCTION("""COMPUTED_VALUE"""),"- Yuletide Surprise now online: draw prizes using Christmas Stockings for a chance to get the Christmas limited-edition city skin! There's also a chance you'll get a massive amount of Stockings all at once!
- Christmas Jubilee now online: participate in t"&amp;"he event to earn Christmas Bells and deck out the Christmas Tree, and you'll get a chance to win Christmas limited-edition decorations and tons of great rewards!")</f>
        <v>- Yuletide Surprise now online: draw prizes using Christmas Stockings for a chance to get the Christmas limited-edition city skin! There's also a chance you'll get a massive amount of Stockings all at once!
- Christmas Jubilee now online: participate in the event to earn Christmas Bells and deck out the Christmas Tree, and you'll get a chance to win Christmas limited-edition decorations and tons of great rewards!</v>
      </c>
      <c r="D17" s="151" t="str">
        <f>IFERROR(__xludf.DUMMYFUNCTION("""COMPUTED_VALUE"""),"- Surprise de Noël disponible: utilisez des chaussettes de Noël pour tirer au sort un skin de ville en édition limitée! Vous aurez aussi la possibilité de gagner des tonnes de chaussettes d’un coup!
- Fête de Noël disponible: participez à l’évènement pour"&amp;" obtenir des cloches de Noël et décorer le sapin. Vous aurez la possibilité de gagner des décors de Noël exclusifs et des tas de récompenses géniales!")</f>
        <v>- Surprise de Noël disponible: utilisez des chaussettes de Noël pour tirer au sort un skin de ville en édition limitée! Vous aurez aussi la possibilité de gagner des tonnes de chaussettes d’un coup!
- Fête de Noël disponible: participez à l’évènement pour obtenir des cloches de Noël et décorer le sapin. Vous aurez la possibilité de gagner des décors de Noël exclusifs et des tas de récompenses géniales!</v>
      </c>
      <c r="E17" s="151" t="str">
        <f>IFERROR(__xludf.DUMMYFUNCTION("""COMPUTED_VALUE"""),"- Weihnachtsüberraschung jetzt online: Verlosung von Weihnachtsstrümpfen, um die Chance zu erhalten, den limitierten Weihnachts-Stadt-Skin zu erhalten! Außerdem besteht die Chance, dass du eine riesige Menge an Strümpfen auf einmal erhältst!
- Weihnachtsf"&amp;"reude jetzt online: Nimm an dem Event teil, um dir Weihnachtsglocken zu verdienen und den Weihnachtsbaum zu schmücken, und du erhältst die Chance, limitierte Weihnachtsdekorationen und jede Menge tolle Belohnungen zu erhalten!")</f>
        <v>- Weihnachtsüberraschung jetzt online: Verlosung von Weihnachtsstrümpfen, um die Chance zu erhalten, den limitierten Weihnachts-Stadt-Skin zu erhalten! Außerdem besteht die Chance, dass du eine riesige Menge an Strümpfen auf einmal erhältst!
- Weihnachtsfreude jetzt online: Nimm an dem Event teil, um dir Weihnachtsglocken zu verdienen und den Weihnachtsbaum zu schmücken, und du erhältst die Chance, limitierte Weihnachtsdekorationen und jede Menge tolle Belohnungen zu erhalten!</v>
      </c>
      <c r="F17" s="151" t="str">
        <f>IFERROR(__xludf.DUMMYFUNCTION("""COMPUTED_VALUE"""),"- Surpresa de Natal disponível agora: sorteie prêmios com as Meias de Natal e tenha uma chance de obter uma skin de cidade exclusiva de Natal! Há também uma chance de obter uma quantidade massiva de meias de uma vez!
- O Jubileu de Natal chegou: participe"&amp;" no evento para ganhar Sinos de Natal e decore a Árvore de Natal para ganhar uma chance de obter as decorações de tempo limitado e muitas recompensas!")</f>
        <v>- Surpresa de Natal disponível agora: sorteie prêmios com as Meias de Natal e tenha uma chance de obter uma skin de cidade exclusiva de Natal! Há também uma chance de obter uma quantidade massiva de meias de uma vez!
- O Jubileu de Natal chegou: participe no evento para ganhar Sinos de Natal e decore a Árvore de Natal para ganhar uma chance de obter as decorações de tempo limitado e muitas recompensas!</v>
      </c>
      <c r="G17" s="151" t="str">
        <f>IFERROR(__xludf.DUMMYFUNCTION("""COMPUTED_VALUE"""),"-驚喜聖誕夜上線：消耗聖誕襪進行抽獎，有機會獲得聖誕限定基地皮膚！更有機會一次性獲得巨額聖誕襪！
-聖誕晚會上線：積極參與活動獲得聖誕鈴，裝飾聖誕樹，有機會獲得聖誕節限定裝飾及超多好禮！")</f>
        <v>-驚喜聖誕夜上線：消耗聖誕襪進行抽獎，有機會獲得聖誕限定基地皮膚！更有機會一次性獲得巨額聖誕襪！
-聖誕晚會上線：積極參與活動獲得聖誕鈴，裝飾聖誕樹，有機會獲得聖誕節限定裝飾及超多好禮！</v>
      </c>
      <c r="H17" s="151" t="str">
        <f>IFERROR(__xludf.DUMMYFUNCTION("""COMPUTED_VALUE"""),"- Kejutan Yuletide sekarang online: undi hadiah menggunakan Stoking Natal untuk kesempatan mendapatkan skin kota edisi terbatas Natal! Ada juga kesempatan mendapatkan Stoking dalam jumlah besar sekaligus!
- Yubileum Natal sekarang online: berpartisipasi d"&amp;"alam acara untuk mendapatkan Lonceng Natal dan menghias Pohon Natal, dan kamu akan mendapatkan kesempatan memenangkan dekorasi Natal edisi terbatas dan banyak hadiah menarik!")</f>
        <v>- Kejutan Yuletide sekarang online: undi hadiah menggunakan Stoking Natal untuk kesempatan mendapatkan skin kota edisi terbatas Natal! Ada juga kesempatan mendapatkan Stoking dalam jumlah besar sekaligus!
- Yubileum Natal sekarang online: berpartisipasi dalam acara untuk mendapatkan Lonceng Natal dan menghias Pohon Natal, dan kamu akan mendapatkan kesempatan memenangkan dekorasi Natal edisi terbatas dan banyak hadiah menarik!</v>
      </c>
      <c r="I17" s="151" t="str">
        <f>IFERROR(__xludf.DUMMYFUNCTION("""COMPUTED_VALUE"""),"- เซอร์ไพรส์แห่งเทศกาลคริสต์มาสออนไลน์แล้ว: ใช้ถุงเท้าคริสต์มาสจับรางวัลแล้วลุ้นรับสกินเมืองรุ่นคริสต์มาสจำนวนจำกัด! ลุคุณยังมีโอกาสได้รับถุงเท้าจำนวนมากในคราวเดียวอีกด้วย!
- งานฉลองครบรอบคริสต์มาสออนไลน์แล้ว: เข้าร่วมกิจกรรมเพื่อรับระฆังคริสต์มาสสำหรับนำ"&amp;"ไปประดับต้นคริสต์มาส และคุณยังมีโอกาสได้รับรางวัลอุปกรณ์ตกแต่งวันคริสต์มาสรุ่นจำนวนจำกัดและของรางวัลอีกมากมาย!")</f>
        <v>- เซอร์ไพรส์แห่งเทศกาลคริสต์มาสออนไลน์แล้ว: ใช้ถุงเท้าคริสต์มาสจับรางวัลแล้วลุ้นรับสกินเมืองรุ่นคริสต์มาสจำนวนจำกัด! ลุคุณยังมีโอกาสได้รับถุงเท้าจำนวนมากในคราวเดียวอีกด้วย!
- งานฉลองครบรอบคริสต์มาสออนไลน์แล้ว: เข้าร่วมกิจกรรมเพื่อรับระฆังคริสต์มาสสำหรับนำไปประดับต้นคริสต์มาส และคุณยังมีโอกาสได้รับรางวัลอุปกรณ์ตกแต่งวันคริสต์มาสรุ่นจำนวนจำกัดและของรางวัลอีกมากมาย!</v>
      </c>
      <c r="J17" s="151" t="str">
        <f>IFERROR(__xludf.DUMMYFUNCTION("""COMPUTED_VALUE"""),"- Sorpresa Navideña ahora en línea: ¡obtén premios con las Medias Navideñas para tener la oportunidad de obtener el aspecto de la ciudad de Navidad de edición limitada! ¡También existe la posibilidad de que obtengas una gran cantidad de Medias todas junta"&amp;"s de una sola vez!
- Jubileo de Navidad ahora en línea: Participa en el evento para ganar Campanas de Navidad y decorar el Árbol de Navidad, ¡y tendrás la oportunidad de ganar decoraciones navideñas de edición limitada y montones de fantásticas recompensa"&amp;"s!")</f>
        <v>- Sorpresa Navideña ahora en línea: ¡obtén premios con las Medias Navideñas para tener la oportunidad de obtener el aspecto de la ciudad de Navidad de edición limitada! ¡También existe la posibilidad de que obtengas una gran cantidad de Medias todas juntas de una sola vez!
- Jubileo de Navidad ahora en línea: Participa en el evento para ganar Campanas de Navidad y decorar el Árbol de Navidad, ¡y tendrás la oportunidad de ganar decoraciones navideñas de edición limitada y montones de fantásticas recompensas!</v>
      </c>
      <c r="K17" s="151" t="str">
        <f>IFERROR(__xludf.DUMMYFUNCTION("""COMPUTED_VALUE"""),"- Началось событие «Новогодний сюрприз»: выигрывайте призы, используя рождественские носки, и у вас будет шанс заполучить коллекционный рождественский облик для города или огромное количество рождественских носков!
- Началось событие «Рождественская вечер"&amp;"инка»: участвуйте в событии, чтобы заработать рождественские колокольчики и украсить елку, и у вас будет шанс выиграть коллекционные рождественские украшения и множество отличных наград! ")</f>
        <v>- Началось событие «Новогодний сюрприз»: выигрывайте призы, используя рождественские носки, и у вас будет шанс заполучить коллекционный рождественский облик для города или огромное количество рождественских носков!
- Началось событие «Рождественская вечеринка»: участвуйте в событии, чтобы заработать рождественские колокольчики и украсить елку, и у вас будет шанс выиграть коллекционные рождественские украшения и множество отличных наград! </v>
      </c>
      <c r="L17" s="151" t="str">
        <f>IFERROR(__xludf.DUMMYFUNCTION("""COMPUTED_VALUE"""),"- Noel Zamanı Sürprizi artık çevrim içi: sınırlı sayıdaki Yılbaşı şehir görünümünü elde etme şansı için Yılbaşı Çoraplarını kullanarak ödüller kazan! Aynı anda büyük miktarda Çorap elde etme şansın da var!
- Yılbaşı Sevinci artık çevrim içi: Yılbaşı Çanla"&amp;"rı kazanmak ve Yılbaşı Ağacını süslemek için etkinliğe katıl ve sınırlı sayıda Yılbaşı süsü ve tonlarca harika ödül kazanma şansını yakala!")</f>
        <v>- Noel Zamanı Sürprizi artık çevrim içi: sınırlı sayıdaki Yılbaşı şehir görünümünü elde etme şansı için Yılbaşı Çoraplarını kullanarak ödüller kazan! Aynı anda büyük miktarda Çorap elde etme şansın da var!
- Yılbaşı Sevinci artık çevrim içi: Yılbaşı Çanları kazanmak ve Yılbaşı Ağacını süslemek için etkinliğe katıl ve sınırlı sayıda Yılbaşı süsü ve tonlarca harika ödül kazanma şansını yakala!</v>
      </c>
      <c r="M17" s="151" t="str">
        <f>IFERROR(__xludf.DUMMYFUNCTION("""COMPUTED_VALUE"""),"- Hiện đã có Bất Ngờ Yuletide trực tuyến: rút thăm trúng thưởng bằng Vớ Giáng Sinh để có cơ hội nhận ngoại trang thành phố Giáng Sinh phiên bản giới hạn! Ngoài ra, còn có cơ hội nhận được một số lượng lớn Vớ cùng lúc!
- Hiện đã có Năm Thánh Giáng Sinh trự"&amp;"c tuyến: tham gia sự kiện để kiếm Chuông Giáng Sinh và đồ trang trí Cây thông Noel, bạn cũng sẽ có cơ hội nhận được các món đồ trang trí Giáng Sinh phiên bản giới hạn cùng hàng tấn phần thưởng hấp dẫn khác!")</f>
        <v>- Hiện đã có Bất Ngờ Yuletide trực tuyến: rút thăm trúng thưởng bằng Vớ Giáng Sinh để có cơ hội nhận ngoại trang thành phố Giáng Sinh phiên bản giới hạn! Ngoài ra, còn có cơ hội nhận được một số lượng lớn Vớ cùng lúc!
- Hiện đã có Năm Thánh Giáng Sinh trực tuyến: tham gia sự kiện để kiếm Chuông Giáng Sinh và đồ trang trí Cây thông Noel, bạn cũng sẽ có cơ hội nhận được các món đồ trang trí Giáng Sinh phiên bản giới hạn cùng hàng tấn phần thưởng hấp dẫn khác!</v>
      </c>
      <c r="N17" s="151"/>
      <c r="O17" s="148"/>
      <c r="P17" s="148"/>
      <c r="Q17" s="148"/>
      <c r="R17" s="148"/>
      <c r="S17" s="148"/>
      <c r="T17" s="148"/>
      <c r="U17" s="148"/>
      <c r="V17" s="148"/>
      <c r="W17" s="148"/>
      <c r="X17" s="148"/>
      <c r="Y17" s="148"/>
      <c r="Z17" s="148"/>
    </row>
    <row r="18">
      <c r="A18" s="149" t="str">
        <f>IFERROR(__xludf.DUMMYFUNCTION("""COMPUTED_VALUE"""),"0.36.0")</f>
        <v>0.36.0</v>
      </c>
      <c r="B18" s="151" t="str">
        <f>IFERROR(__xludf.DUMMYFUNCTION("""COMPUTED_VALUE"""),"-前期体验调整：我们制作了全新游戏前期玩法，玩家可以在城内采集资源，清理变异猴巢穴，拯救被围困的猿族士兵，从而一步步收复被变异猴占领的区域，在危机四伏的末日世界建立一个安全、强大的基地。
-新增折扣特惠礼包：每天礼包内容不同！超值特惠限时购！
-霍格博士的复仇优化：挑战场地由大地图转移到了竞技场界面，简化了挑战方式，新增擂台入口。
-新人专享礼包优化：累计购买新人专享礼包达到一定数量能获得额外奖励！
-帮助和集结优化：玩家在氏族内请求帮助时，将会把请求发给同氏族所有玩家，点击帮助也会同样帮助氏族内所有玩家"&amp;"；玩家发起集结后，同氏族所有玩家都能收到通知，且可以加入集结，自动集结功能同样生效。同氏族玩家也可以互相驻守基地、帮派建筑及占领的中立建筑。若希望出让帮派占领的中立建筑，帮派魁首可以在对应建筑的增援界面选择放弃该建筑。")</f>
        <v>-前期体验调整：我们制作了全新游戏前期玩法，玩家可以在城内采集资源，清理变异猴巢穴，拯救被围困的猿族士兵，从而一步步收复被变异猴占领的区域，在危机四伏的末日世界建立一个安全、强大的基地。
-新增折扣特惠礼包：每天礼包内容不同！超值特惠限时购！
-霍格博士的复仇优化：挑战场地由大地图转移到了竞技场界面，简化了挑战方式，新增擂台入口。
-新人专享礼包优化：累计购买新人专享礼包达到一定数量能获得额外奖励！
-帮助和集结优化：玩家在氏族内请求帮助时，将会把请求发给同氏族所有玩家，点击帮助也会同样帮助氏族内所有玩家；玩家发起集结后，同氏族所有玩家都能收到通知，且可以加入集结，自动集结功能同样生效。同氏族玩家也可以互相驻守基地、帮派建筑及占领的中立建筑。若希望出让帮派占领的中立建筑，帮派魁首可以在对应建筑的增援界面选择放弃该建筑。</v>
      </c>
      <c r="C18" s="152" t="str">
        <f>IFERROR(__xludf.DUMMYFUNCTION("""COMPUTED_VALUE"""),"- Early game experience adjustments: all-new early stages gameplay where players can gather resources in the city, clear mutant lairs, rescue trapped ape troops, and gradually recover areas taken over by mutants to build a safe and powerful base in a dang"&amp;"erous, post-apocalyptic world.
- New Discount Offer packs: pack content changes daily! Super-value offers available for a limited time only!
- Dr. Hogg's Revenge optimized: event battlefield changed from the map to the Primate Brawl interface. Simplified "&amp;"challenge methods and added access from the Arena.
- Beginner-exclusive pack optimized: get bonus rewards when you've purchased a certain number of beginner-exclusive packs!
- Help and rally optimized: when you request help from the clan, the request will"&amp;" be sent to all players in the clan. Tapping ""Help"" will likewise help all players in the clan. When you launch a rally, all clan members will receive notification and can join the rally; the auto-rally function also applies. Players of the same clan ca"&amp;"n help defend one another's cities, gang buildings, and occupied neutral buildings. If a gang wishes to give up a neutral building it occupies, its leader can choose the ""abandon"" option in the building's reinforcement interface.")</f>
        <v>- Early game experience adjustments: all-new early stages gameplay where players can gather resources in the city, clear mutant lairs, rescue trapped ape troops, and gradually recover areas taken over by mutants to build a safe and powerful base in a dangerous, post-apocalyptic world.
- New Discount Offer packs: pack content changes daily! Super-value offers available for a limited time only!
- Dr. Hogg's Revenge optimized: event battlefield changed from the map to the Primate Brawl interface. Simplified challenge methods and added access from the Arena.
- Beginner-exclusive pack optimized: get bonus rewards when you've purchased a certain number of beginner-exclusive packs!
- Help and rally optimized: when you request help from the clan, the request will be sent to all players in the clan. Tapping "Help" will likewise help all players in the clan. When you launch a rally, all clan members will receive notification and can join the rally; the auto-rally function also applies. Players of the same clan can help defend one another's cities, gang buildings, and occupied neutral buildings. If a gang wishes to give up a neutral building it occupies, its leader can choose the "abandon" option in the building's reinforcement interface.</v>
      </c>
      <c r="D18" s="154" t="str">
        <f>IFERROR(__xludf.DUMMYFUNCTION("""COMPUTED_VALUE"""),"- Modification du début de partie: de nouvelles étapes lors desquelles les joueurs collectent des ressources dans la ville, attaquent des repaires de mutants, sauvent des troupes piégées, et gagnent progressivement des territoires contrôlés par les mutant"&amp;"s. Ils sécurisent et bâtissent ainsi une base puissante dans un dangereux monde post-apocalyptique.
- Nouvelles offres spéciales: le contenu des packs change chaque jour. Des super réductions disponibles pour une durée limitée!
- Optimisation de la Revanc"&amp;"he du Dr Hogg: la carte de l’évènement est remplacée par l’interface de la Baston des primates. Jouabilité des défis simplifiée et ajout d’un accès depuis l’arène.
- Optimisation des packs réservés aux débutants: obtenez des récompenses bonus en achetant "&amp;"un certain nombre de ces packs!
- Optimisation de l’aide et des raids: lorsque vous sollicitez l’aide du clan, la demande est envoyée à tous les membres. De la même façon, le bouton ""Aider"" permet d’aider tous les membres du clan. Lorsque vous lancez un"&amp;" raid, tous les membres du clan reçoivent une invitation à y participer (la fonction de participation automatique s’applique). Les joueurs d’un même clan peuvent s’entraider pour défendre une ville, les bâtiments du gang et les bâtiments neutres occupés. "&amp;"Si un gang souhaite abandonner un bâtiment neutre qu’il occupe, son chef peut sélectionner l’option ""Abandonner"" dans l’interface des renforts du bâtiment.
")</f>
        <v>- Modification du début de partie: de nouvelles étapes lors desquelles les joueurs collectent des ressources dans la ville, attaquent des repaires de mutants, sauvent des troupes piégées, et gagnent progressivement des territoires contrôlés par les mutants. Ils sécurisent et bâtissent ainsi une base puissante dans un dangereux monde post-apocalyptique.
- Nouvelles offres spéciales: le contenu des packs change chaque jour. Des super réductions disponibles pour une durée limitée!
- Optimisation de la Revanche du Dr Hogg: la carte de l’évènement est remplacée par l’interface de la Baston des primates. Jouabilité des défis simplifiée et ajout d’un accès depuis l’arène.
- Optimisation des packs réservés aux débutants: obtenez des récompenses bonus en achetant un certain nombre de ces packs!
- Optimisation de l’aide et des raids: lorsque vous sollicitez l’aide du clan, la demande est envoyée à tous les membres. De la même façon, le bouton "Aider" permet d’aider tous les membres du clan. Lorsque vous lancez un raid, tous les membres du clan reçoivent une invitation à y participer (la fonction de participation automatique s’applique). Les joueurs d’un même clan peuvent s’entraider pour défendre une ville, les bâtiments du gang et les bâtiments neutres occupés. Si un gang souhaite abandonner un bâtiment neutre qu’il occupe, son chef peut sélectionner l’option "Abandonner" dans l’interface des renforts du bâtiment.
</v>
      </c>
      <c r="E18" s="154" t="str">
        <f>IFERROR(__xludf.DUMMYFUNCTION("""COMPUTED_VALUE"""),"- Anpassungen der Spielerfahrung zu Beginn des Spiels: völlig neues Gameplay für die frühen Stufen, in denen die Spieler Ressourcen in der Stadt sammeln, Mutantenverstecke räumen, gefangene Truppen retten und nach und nach von Mutanten übernommene Gebiete"&amp;" zurückerobern können, um in einer gefährlichen, postapokalyptischen Welt eine sichere und starke Basis zu errichten.
- Neue Pakete mit Rabattangeboten: Der Inhalt der Pakete ändert sich täglich! Nur für eine begrenzte Zeit gibt es besonders günstige Ange"&amp;"bote!
- Dr. Hoggs Rache wurde optimiert: Das Event-Schlachtfeld wurde von der Karte auf das Primatenkrawall-Interface umgestellt. Vereinfachte Herausforderungsmethoden und zusätzlicher Zugang von der Arena aus.
- Optimierung der einsteigerexklusiven Paket"&amp;"e: Du erhältst Bonusbelohnungen, wenn du eine bestimmte Anzahl an einsteigerexklusiven Paketen gekauft hast!
- Hilfe und Sammelangriff wurden optimiert: Wenn du die Horde um Hilfe bittest, wird die Anfrage an alle Spieler der Horde gesendet. Wenn du auf "&amp;"""Hilfe"" tippst, wird ebenfalls allen Spielern in der Horde geholfen. Wenn du einen Sammelangriff startest, erhalten alle Hordenmitglieder eine Benachrichtigung und können sich dem Sammelangriff anschließen; außerdem gilt die Funktion ""Auto-Sammelangrif"&amp;"f"". Spieler derselben Horde können sich gegenseitig helfen, ihre Städte, Clan-Gebäude und besetzte neutrale Gebäude zu verteidigen. Wenn ein Clan ein von ihm besetztes neutrales Gebäude aufgeben möchte, kann sein Anführer die Option ""Aufgeben"" im Verst"&amp;"ärkungsinterface des Gebäudes auswählen.")</f>
        <v>- Anpassungen der Spielerfahrung zu Beginn des Spiels: völlig neues Gameplay für die frühen Stufen, in denen die Spieler Ressourcen in der Stadt sammeln, Mutantenverstecke räumen, gefangene Truppen retten und nach und nach von Mutanten übernommene Gebiete zurückerobern können, um in einer gefährlichen, postapokalyptischen Welt eine sichere und starke Basis zu errichten.
- Neue Pakete mit Rabattangeboten: Der Inhalt der Pakete ändert sich täglich! Nur für eine begrenzte Zeit gibt es besonders günstige Angebote!
- Dr. Hoggs Rache wurde optimiert: Das Event-Schlachtfeld wurde von der Karte auf das Primatenkrawall-Interface umgestellt. Vereinfachte Herausforderungsmethoden und zusätzlicher Zugang von der Arena aus.
- Optimierung der einsteigerexklusiven Pakete: Du erhältst Bonusbelohnungen, wenn du eine bestimmte Anzahl an einsteigerexklusiven Paketen gekauft hast!
- Hilfe und Sammelangriff wurden optimiert: Wenn du die Horde um Hilfe bittest, wird die Anfrage an alle Spieler der Horde gesendet. Wenn du auf "Hilfe" tippst, wird ebenfalls allen Spielern in der Horde geholfen. Wenn du einen Sammelangriff startest, erhalten alle Hordenmitglieder eine Benachrichtigung und können sich dem Sammelangriff anschließen; außerdem gilt die Funktion "Auto-Sammelangriff". Spieler derselben Horde können sich gegenseitig helfen, ihre Städte, Clan-Gebäude und besetzte neutrale Gebäude zu verteidigen. Wenn ein Clan ein von ihm besetztes neutrales Gebäude aufgeben möchte, kann sein Anführer die Option "Aufgeben" im Verstärkungsinterface des Gebäudes auswählen.</v>
      </c>
      <c r="F18" s="154" t="str">
        <f>IFERROR(__xludf.DUMMYFUNCTION("""COMPUTED_VALUE"""),"- Ajustes na experiência ao começar no jogo: fases iniciais completamente novas, nas quais os jogadores podem coletar recursos na cidade, remover tocas mutantes, resgatar tropas de macacos encurraladas e recuperar gradualmente as áreas tomadas por mutante"&amp;"s, sendo possível construir uma base poderosa num mundo pós-apocalíptico.
- Novos pacotes de oferta de desconto: o conteúdo muda todo dia! Ofertas de pacotes especiais disponíveis por tempo limitado!
- Vingança de Dr. Hogg melhorada: campo de batalha do e"&amp;"vento modificado do mapa da interface de Briga Primata. Métodos de desafio simplificados e acesso adicionados na arena.
- Melhoria nos pacotes exclusivos de iniciantes: obtenha recompensas extras ao comprar um determinado número de pacotes para iniciantes"&amp;"!
- Ajuda e incursões melhoradas: ao solicitar ajuda do clã, a solicitação será enviadas a todos os jogadores do clã. Tocar em ""Ajuda"" também avisará todos os jogadores do clã. Ao começar uma incursão, todos os membros do clã receberão uma notificação e"&amp;" poderão participar. Isso também se aplica à função de incursão automática. Jogadores do mesmo clã podem ajudar na defesa de cidades, estruturas da gangue e estruturas neutras ocupadas de outros. Se uma gangue quiser desistir de uma estrutura neutra ocupa"&amp;"da, o líder da gangue pode escolher a opção ""abandonar"" na interface de reforços da estrutura.")</f>
        <v>- Ajustes na experiência ao começar no jogo: fases iniciais completamente novas, nas quais os jogadores podem coletar recursos na cidade, remover tocas mutantes, resgatar tropas de macacos encurraladas e recuperar gradualmente as áreas tomadas por mutantes, sendo possível construir uma base poderosa num mundo pós-apocalíptico.
- Novos pacotes de oferta de desconto: o conteúdo muda todo dia! Ofertas de pacotes especiais disponíveis por tempo limitado!
- Vingança de Dr. Hogg melhorada: campo de batalha do evento modificado do mapa da interface de Briga Primata. Métodos de desafio simplificados e acesso adicionados na arena.
- Melhoria nos pacotes exclusivos de iniciantes: obtenha recompensas extras ao comprar um determinado número de pacotes para iniciantes!
- Ajuda e incursões melhoradas: ao solicitar ajuda do clã, a solicitação será enviadas a todos os jogadores do clã. Tocar em "Ajuda" também avisará todos os jogadores do clã. Ao começar uma incursão, todos os membros do clã receberão uma notificação e poderão participar. Isso também se aplica à função de incursão automática. Jogadores do mesmo clã podem ajudar na defesa de cidades, estruturas da gangue e estruturas neutras ocupadas de outros. Se uma gangue quiser desistir de uma estrutura neutra ocupada, o líder da gangue pode escolher a opção "abandonar" na interface de reforços da estrutura.</v>
      </c>
      <c r="G18" s="151" t="str">
        <f>IFERROR(__xludf.DUMMYFUNCTION("""COMPUTED_VALUE"""),"-前期體驗調整：我們製作了全新遊戲前期玩法，玩家可以在城內採集資源，清理變異猴巢穴，拯救被圍困的猿族士兵，從而一步步收復被變異猴佔領的區域，在危機四伏的末日世界建立一個安全、強大的基地。
-新增折扣特惠禮包：每天禮包內容不同！超值特惠限時購！
-霍格博士的複仇優化：挑戰場地由大地圖轉移到了競技場界面，簡化了挑戰方式，新增擂台入口。
-新人專享禮包優化：累計購買新人專享禮包達到一定數量能獲得額外獎勵！
-幫助和集結優化：玩家在氏族內請求幫助時，將會把請求發給同氏族所有玩家，點擊幫助也會同樣幫助氏族內所有玩家"&amp;"；玩家發起集結後，同氏族所有玩家都能收到通知，且可以加入集結，自動集結功能同樣生效。同氏族玩家也可以互相駐守基地、幫派建築及佔領的中立建築。若希望出讓幫派佔領的中立建築，幫派魁首可以在對應建築的增援界面選擇放棄該建築。 ")</f>
        <v>-前期體驗調整：我們製作了全新遊戲前期玩法，玩家可以在城內採集資源，清理變異猴巢穴，拯救被圍困的猿族士兵，從而一步步收復被變異猴佔領的區域，在危機四伏的末日世界建立一個安全、強大的基地。
-新增折扣特惠禮包：每天禮包內容不同！超值特惠限時購！
-霍格博士的複仇優化：挑戰場地由大地圖轉移到了競技場界面，簡化了挑戰方式，新增擂台入口。
-新人專享禮包優化：累計購買新人專享禮包達到一定數量能獲得額外獎勵！
-幫助和集結優化：玩家在氏族內請求幫助時，將會把請求發給同氏族所有玩家，點擊幫助也會同樣幫助氏族內所有玩家；玩家發起集結後，同氏族所有玩家都能收到通知，且可以加入集結，自動集結功能同樣生效。同氏族玩家也可以互相駐守基地、幫派建築及佔領的中立建築。若希望出讓幫派佔領的中立建築，幫派魁首可以在對應建築的增援界面選擇放棄該建築。 </v>
      </c>
      <c r="H18" s="154" t="str">
        <f>IFERROR(__xludf.DUMMYFUNCTION("""COMPUTED_VALUE"""),"- Penyesuaian pengalaman game awal: gameplay tahap awal baru tempat pemain bisa mengumpulkan sumber daya di kota, membersihkan sarang mutan, menyelamatkan pasukan kera yang terjebak, dan secara bertahap memulihkan area yang diambil alih oleh mutan untuk m"&amp;"embangun pangkalan yang aman dan kuat di tempat yang berbahaya, yakni dunia pasca-apokaliptik.
- Paket Penawaran Diskon Baru: konten paket berubah setiap hari! Penawaran bernilai super hanya tersedia untuk waktu terbatas!
- Pembalasan Dr. Hogg dioptimalka"&amp;"n: medan perang acara berubah dari peta ke antarmuka Perkelahian Primata. Penyederhanaan metode tantangan dan akses tambahan dari Arena.
- Paket eksklusif pemula dioptimalkan: dapatkan hadiah bonus saat membeli sejumlah paket eksklusif pemula!
- Bantuan d"&amp;"an reli dioptimalkan: saat meminta bantuan dari klan, permintaan akan dikirim ke semua pemain di klan. Mengetuk ""Bantu"" juga akan membantu semua pemain di klan. Saat meluncurkan reli, semua anggota klan akan menerima pemberitahuan dan dapat bergabung de"&amp;"ngan reli; fungsi reli otomatis juga berlaku. Pemain dari klan yang sama bisa saling membantu mempertahankan kota, bangunan geng, dan bangunan netral yang diduduki. Jika geng ingin menyerahkan bangunan netral yang didudukinya, pemimpinnya bisa memilih ops"&amp;"i ""tinggalkan"" di antarmuka bala bantuan bangunan tersebut.")</f>
        <v>- Penyesuaian pengalaman game awal: gameplay tahap awal baru tempat pemain bisa mengumpulkan sumber daya di kota, membersihkan sarang mutan, menyelamatkan pasukan kera yang terjebak, dan secara bertahap memulihkan area yang diambil alih oleh mutan untuk membangun pangkalan yang aman dan kuat di tempat yang berbahaya, yakni dunia pasca-apokaliptik.
- Paket Penawaran Diskon Baru: konten paket berubah setiap hari! Penawaran bernilai super hanya tersedia untuk waktu terbatas!
- Pembalasan Dr. Hogg dioptimalkan: medan perang acara berubah dari peta ke antarmuka Perkelahian Primata. Penyederhanaan metode tantangan dan akses tambahan dari Arena.
- Paket eksklusif pemula dioptimalkan: dapatkan hadiah bonus saat membeli sejumlah paket eksklusif pemula!
- Bantuan dan reli dioptimalkan: saat meminta bantuan dari klan, permintaan akan dikirim ke semua pemain di klan. Mengetuk "Bantu" juga akan membantu semua pemain di klan. Saat meluncurkan reli, semua anggota klan akan menerima pemberitahuan dan dapat bergabung dengan reli; fungsi reli otomatis juga berlaku. Pemain dari klan yang sama bisa saling membantu mempertahankan kota, bangunan geng, dan bangunan netral yang diduduki. Jika geng ingin menyerahkan bangunan netral yang didudukinya, pemimpinnya bisa memilih opsi "tinggalkan" di antarmuka bala bantuan bangunan tersebut.</v>
      </c>
      <c r="I18" s="151" t="str">
        <f>IFERROR(__xludf.DUMMYFUNCTION("""COMPUTED_VALUE"""),"- การปรับประสบการณ์ช่วงต้นเกม: รูปแบบการเล่นในช่วงเริ่มต้นแบบใหม่ทั้งหมด ที่ผู้เล่นสามารถรวบรวมทรัพยากรในเมือง เคลียร์รังมิวแตนต์ ช่วยเหลือกองทหารลิงที่ถูกล้อมอยู่ และค่อย ๆ ทวงคืนพื้นที่ที่พวกมิวแตนต์ยึดครองอยู่เพื่อสร้างฐานที่ปลอดภัยและทรงพลังในโลกหลังเ"&amp;"หตุการณ์วิบัติที่แสนอันตราย
- แพ็กข้อเสนอส่วนลดใหม่: ไอเทมแพ็กจะเปลี่ยนแปลงไปทุกวัน! ข้อเสนอสุดคุ้มในช่วงเวลาจำกัดเท่านั้น!
- ปรับปรุงกิจกรรมการแก้แค้นของ ดร.ฮ็อกก์: สนามรบของกิจกรรมเปลี่ยนจากบนแผนที่เป็นอินเทอร์เฟซการวิวาทของเหล่าวานร ทำให้การท้าทายง่ายข"&amp;"ึ้นและเพิ่มการเข้าใช้งานจากสนามต่อสู้
- ปรับปรุงแพ็กสำหรับผู้เริ่มต้นเท่านั้น: รับรางวัลโบนัสเมื่อคุณซื้อแพ็กพิเศษสำหรับผู้เริ่มต้นครบจำนวนที่กำหนด!
- ปรับปรุงความช่วยเหลือและการยกทัพ: เมื่อคุณขอความช่วยเหลือจากเผ่า คำขอจะถูกส่งไปที่ผู้เล่นทุกคนในเผ่า โดย"&amp;"การแตะ ""ช่วยเหลือ"" จะเป็นการช่วยเหลือผู้เล่นทุกคนในเผ่าด้วยเช่นกัน เมื่อคุณเริ่มการยกทัพ สมาชิกเผ่าทุกคนจะได้รับการแจ้งเตือนและสามารถเข้าร่วมการยกทัพได้ และยังสามารถใช้ฟังก์ชันชุมนุมอัตโนมัติได้ด้วย โดยผู้เล่นในเผ่าเดียวกันสามารถช่วยปกป้องเมืองของกันและ"&amp;"กัน สิ่งปลูกสร้างของเผ่า และสิ่งปลูกสร้างส่วนกลางได้ หากแก๊งประสงค์จะละสิ่งปลูกสร้างส่วนกลางที่ตนครอบครองอยู่ หัวหน้าแก๊งสามารถเลือกตัวเลือก ""ละทิ้ง"" ในอินเทอร์เฟซการเสริมความแข็งแกร่งของสิ่งปลูกสร้างได้")</f>
        <v>- การปรับประสบการณ์ช่วงต้นเกม: รูปแบบการเล่นในช่วงเริ่มต้นแบบใหม่ทั้งหมด ที่ผู้เล่นสามารถรวบรวมทรัพยากรในเมือง เคลียร์รังมิวแตนต์ ช่วยเหลือกองทหารลิงที่ถูกล้อมอยู่ และค่อย ๆ ทวงคืนพื้นที่ที่พวกมิวแตนต์ยึดครองอยู่เพื่อสร้างฐานที่ปลอดภัยและทรงพลังในโลกหลังเหตุการณ์วิบัติที่แสนอันตราย
- แพ็กข้อเสนอส่วนลดใหม่: ไอเทมแพ็กจะเปลี่ยนแปลงไปทุกวัน! ข้อเสนอสุดคุ้มในช่วงเวลาจำกัดเท่านั้น!
- ปรับปรุงกิจกรรมการแก้แค้นของ ดร.ฮ็อกก์: สนามรบของกิจกรรมเปลี่ยนจากบนแผนที่เป็นอินเทอร์เฟซการวิวาทของเหล่าวานร ทำให้การท้าทายง่ายขึ้นและเพิ่มการเข้าใช้งานจากสนามต่อสู้
- ปรับปรุงแพ็กสำหรับผู้เริ่มต้นเท่านั้น: รับรางวัลโบนัสเมื่อคุณซื้อแพ็กพิเศษสำหรับผู้เริ่มต้นครบจำนวนที่กำหนด!
- ปรับปรุงความช่วยเหลือและการยกทัพ: เมื่อคุณขอความช่วยเหลือจากเผ่า คำขอจะถูกส่งไปที่ผู้เล่นทุกคนในเผ่า โดยการแตะ "ช่วยเหลือ" จะเป็นการช่วยเหลือผู้เล่นทุกคนในเผ่าด้วยเช่นกัน เมื่อคุณเริ่มการยกทัพ สมาชิกเผ่าทุกคนจะได้รับการแจ้งเตือนและสามารถเข้าร่วมการยกทัพได้ และยังสามารถใช้ฟังก์ชันชุมนุมอัตโนมัติได้ด้วย โดยผู้เล่นในเผ่าเดียวกันสามารถช่วยปกป้องเมืองของกันและกัน สิ่งปลูกสร้างของเผ่า และสิ่งปลูกสร้างส่วนกลางได้ หากแก๊งประสงค์จะละสิ่งปลูกสร้างส่วนกลางที่ตนครอบครองอยู่ หัวหน้าแก๊งสามารถเลือกตัวเลือก "ละทิ้ง" ในอินเทอร์เฟซการเสริมความแข็งแกร่งของสิ่งปลูกสร้างได้</v>
      </c>
      <c r="J18" s="154" t="str">
        <f>IFERROR(__xludf.DUMMYFUNCTION("""COMPUTED_VALUE"""),"- Ajustes iniciales de la experiencia del juego: Toda la jugabilidad en las etapas iniciales en donde los jugadores pueden recolectar recursos en la ciudad, eliminar guaridas mutantes, rescatar tropas de simios atrapados y recuperar gradualmente áreas tom"&amp;"adas por mutantes para construir una base segura y poderosa en un peligroso mundo postapocalíptico.
- Nuevos paquetes de Ofertas de Descuento: ¡El contenido del paquete cambia a diario! ¡Ofertas de gran valor disponibles solo por tiempo limitado!
- Vengan"&amp;"za del Dr. Hogg optimizada: El campo de batalla del evento cambió del mapa a la interfaz de Lucha de Primates. Los métodos en los retos han sido simplificados y se agregó acceso desde la Arena.
- Paquete exclusivo para principiantes optimizado: Obtén reco"&amp;"mpensas como bono cuando hayas comprado una cierta cantidad de paquetes exclusivos para principiantes.
- Ayuda y congregación optimizadas: Cuando solicitas ayuda al clan, la solicitud se enviará a todos los jugadores del clan. Tocar en ""Ayuda"" también, "&amp;"de la misma manera, ayudará a todos los jugadores del clan. Cuando inicias una congregación, todos los miembros del clan recibirán una notificación y podrán unirse a la congregación; también se aplica la función de auto congregar. Los jugadores del mismo "&amp;"clan pueden ayudar a defender las ciudades de los otros, los edificios de las bandas y los edificios neutrales ocupados por los demás. Si una banda desea abandonar un edificio neutral que ocupa, su líder puede elegir la opción de ""abandonar"" en la inter"&amp;"faz de refuerzos del edificio.")</f>
        <v>- Ajustes iniciales de la experiencia del juego: Toda la jugabilidad en las etapas iniciales en donde los jugadores pueden recolectar recursos en la ciudad, eliminar guaridas mutantes, rescatar tropas de simios atrapados y recuperar gradualmente áreas tomadas por mutantes para construir una base segura y poderosa en un peligroso mundo postapocalíptico.
- Nuevos paquetes de Ofertas de Descuento: ¡El contenido del paquete cambia a diario! ¡Ofertas de gran valor disponibles solo por tiempo limitado!
- Venganza del Dr. Hogg optimizada: El campo de batalla del evento cambió del mapa a la interfaz de Lucha de Primates. Los métodos en los retos han sido simplificados y se agregó acceso desde la Arena.
- Paquete exclusivo para principiantes optimizado: Obtén recompensas como bono cuando hayas comprado una cierta cantidad de paquetes exclusivos para principiantes.
- Ayuda y congregación optimizadas: Cuando solicitas ayuda al clan, la solicitud se enviará a todos los jugadores del clan. Tocar en "Ayuda" también, de la misma manera, ayudará a todos los jugadores del clan. Cuando inicias una congregación, todos los miembros del clan recibirán una notificación y podrán unirse a la congregación; también se aplica la función de auto congregar. Los jugadores del mismo clan pueden ayudar a defender las ciudades de los otros, los edificios de las bandas y los edificios neutrales ocupados por los demás. Si una banda desea abandonar un edificio neutral que ocupa, su líder puede elegir la opción de "abandonar" en la interfaz de refuerzos del edificio.</v>
      </c>
      <c r="K18" s="154" t="str">
        <f>IFERROR(__xludf.DUMMYFUNCTION("""COMPUTED_VALUE"""),"- Корректировка начала игры: совершенно новый игровой процесс на ранних этапах. Теперь игроки смогут собирать ресурсы в городе, зачищать логова мутантов, спасать попавшие в ловушку обезьяньи войска и постепенно отбивать захваченные мутантами территории, ч"&amp;"тобы построить безопасную и мощную базу в опасном постапокалиптическом мире.
- Новые наборы со скидкой: содержимое наборов меняется ежедневно! Супервыгодные предложения доступны только в течение ограниченного времени! 
- Оптимизировано событие «Месть докт"&amp;"ора Хогга»: поле боя события изменено с карты на интерфейс «Потасовки приматов». Упрощены способы начать испытание и добавлен доступ с арены.
-  Оптимизированы эксклюзивные наборы для новичков: получите бонусные награды, купив определенное количество экск"&amp;"люзивных наборов для новичков!
- Оптимизированы походы и помощь: когда вы просите помощи у клана, запрос отправляется всем игрокам в клане. Таким же образом, когда вы нажимаете «Помощь», то помогаете всем игрокам в клане. Когда вы организуете поход, все ч"&amp;"лены клана получат уведомление и смогут присоединиться к походу; функция автопохода также действует. Игроки из одного клана могут помогать друг другу защищать города, строения банд и занятые нейтральные строения. Если банда хочет отказаться от занятого не"&amp;"йтрального строения, ее главарь может выбрать опцию «Бросить» в интерфейсе подкреплений для строения.")</f>
        <v>- Корректировка начала игры: совершенно новый игровой процесс на ранних этапах. Теперь игроки смогут собирать ресурсы в городе, зачищать логова мутантов, спасать попавшие в ловушку обезьяньи войска и постепенно отбивать захваченные мутантами территории, чтобы построить безопасную и мощную базу в опасном постапокалиптическом мире.
- Новые наборы со скидкой: содержимое наборов меняется ежедневно! Супервыгодные предложения доступны только в течение ограниченного времени! 
- Оптимизировано событие «Месть доктора Хогга»: поле боя события изменено с карты на интерфейс «Потасовки приматов». Упрощены способы начать испытание и добавлен доступ с арены.
-  Оптимизированы эксклюзивные наборы для новичков: получите бонусные награды, купив определенное количество эксклюзивных наборов для новичков!
- Оптимизированы походы и помощь: когда вы просите помощи у клана, запрос отправляется всем игрокам в клане. Таким же образом, когда вы нажимаете «Помощь», то помогаете всем игрокам в клане. Когда вы организуете поход, все члены клана получат уведомление и смогут присоединиться к походу; функция автопохода также действует. Игроки из одного клана могут помогать друг другу защищать города, строения банд и занятые нейтральные строения. Если банда хочет отказаться от занятого нейтрального строения, ее главарь может выбрать опцию «Бросить» в интерфейсе подкреплений для строения.</v>
      </c>
      <c r="L18" s="154" t="str">
        <f>IFERROR(__xludf.DUMMYFUNCTION("""COMPUTED_VALUE"""),"- Oyunun başlarındaki deneyim düzenlemeleri: Oyuncuların şehirdeki kaynakları toplayabilecekleri, mutant inlerini temizleyebilecekleri, mahsur kalmış maymun birliklerini kurtarabilecekleri ve mutantlar tarafından ele geçirilen alanları yavaş yavaş kurtara"&amp;"rak tehlikeli, kıyamet sonrası bir dünyada güvenli ve güçlü bir üs inşa edebilecekleri yepyeni ilk aşama oynanışı.
- Yeni İndirim Teklifi paketleri: paket içeriği günlük olarak değişir! Süper değerli teklifler sadece sınırlı bir süre için geçerli!
- Dr. H"&amp;"ogg’un İntikamı optimize edildi: etkinlik savaş meydanı haritadan Primat Kavgası arayüzüne alındı. Meydan okuma yöntemleri basitleştirildi ve Arenadan erişim eklendi.
- Yeni başlayanlara özel paket optimize edildi: yeni başlayanlara özel belirli sayıda pa"&amp;"ket satın aldığında bonus ödüller kazan!
- Yardım ve toplu saldırı optimize edildi: klandan yardım talep ettiğinde talep klandaki tüm oyunculara gönderilecek. “Yardım”a dokunmak da aynı şekilde klandaki tüm oyunculara yardım sağlar. Bir toplu saldırı başl"&amp;"attığında tüm klan üyeleri bildirim alır ve toplu saldırıya katılabilir; otomatik toplu saldırı işlevi de mevcuttur. Aynı klanın oyuncuları birbirlerinin şehirlerini, çete binalarını ve işgal edilmiş tarafsız binaları savunmaya yardımcı olabilir. Bir çete"&amp;" işgal ettiği tarafsız bir binadan vazgeçmek isterse, lideri binanın güçlendirme arayüzünde “terk et” seçeneğini seçebilir.")</f>
        <v>- Oyunun başlarındaki deneyim düzenlemeleri: Oyuncuların şehirdeki kaynakları toplayabilecekleri, mutant inlerini temizleyebilecekleri, mahsur kalmış maymun birliklerini kurtarabilecekleri ve mutantlar tarafından ele geçirilen alanları yavaş yavaş kurtararak tehlikeli, kıyamet sonrası bir dünyada güvenli ve güçlü bir üs inşa edebilecekleri yepyeni ilk aşama oynanışı.
- Yeni İndirim Teklifi paketleri: paket içeriği günlük olarak değişir! Süper değerli teklifler sadece sınırlı bir süre için geçerli!
- Dr. Hogg’un İntikamı optimize edildi: etkinlik savaş meydanı haritadan Primat Kavgası arayüzüne alındı. Meydan okuma yöntemleri basitleştirildi ve Arenadan erişim eklendi.
- Yeni başlayanlara özel paket optimize edildi: yeni başlayanlara özel belirli sayıda paket satın aldığında bonus ödüller kazan!
- Yardım ve toplu saldırı optimize edildi: klandan yardım talep ettiğinde talep klandaki tüm oyunculara gönderilecek. “Yardım”a dokunmak da aynı şekilde klandaki tüm oyunculara yardım sağlar. Bir toplu saldırı başlattığında tüm klan üyeleri bildirim alır ve toplu saldırıya katılabilir; otomatik toplu saldırı işlevi de mevcuttur. Aynı klanın oyuncuları birbirlerinin şehirlerini, çete binalarını ve işgal edilmiş tarafsız binaları savunmaya yardımcı olabilir. Bir çete işgal ettiği tarafsız bir binadan vazgeçmek isterse, lideri binanın güçlendirme arayüzünde “terk et” seçeneğini seçebilir.</v>
      </c>
      <c r="M18" s="154" t="str">
        <f>IFERROR(__xludf.DUMMYFUNCTION("""COMPUTED_VALUE"""),"- Điều chỉnh trải nghiệm đầu game: lối chơi giai đoạn đầu hoàn toàn mới nơi người chơi có thể thu thập tài nguyên trong thành phố, dọn dẹp các hang ổ đột biến, giải cứu các binh lính đang bị mắc kẹt, và dần dần khôi phục các khu vực bị lũ khỉ đột biến chi"&amp;"ếm đóng để xây dựng một căn cứ an toàn và vững mạnh trong một thế giới hậu tận thế đầy hiểm nguy.
- Gói ưu đãi giảm giá mới: nội dung gói thay đổi mỗi ngày! Những ưu đãi siêu giá trị chỉ có trong thời gian giới hạn!
- Tối ưu Trận Phục Thù của Tiến Sĩ Hogg"&amp;": chiến trường sự kiện thay đổi từ bản đồ sang giao diện Linh Trưởng Brawl. Tinh giản phương pháp khiêu chiến và thêm quyền truy cập từ Đấu Trường.
- Tối ưu gói Độc Quyền Tân Thủ: nhận thêm thưởng khi mua một số lượng gói độc quyền tân thủ nhất định!
- Tố"&amp;"i ưu hỗ trợ và tập hợp: khi bạn yêu cầu hỗ trợ từ bộ lạc, yêu cầu sẽ được gửi tới toàn thể người chơi trong bộ lạc. Nhấn vào “Trợ Giúp” cũng sẽ giúp tất cả người chơi trong bộ lạc. Khi bạn phát động tập hợp, tất cả thành viên bộ lạc sẽ nhận được thông báo"&amp;" và có thể tham gia tập hợp; cũng có thể áp dụng tính năng tự động tập hợp. Những người chơi trong cùng bộ lạc có thể hỗ trợ phòng thủ các thành phố, công trình bang hội của người chơi khác cũng như chiếm đóng các công trình trung lập. Nếu một bang hội mu"&amp;"ốn từ bỏ một công trình trung lập mà mình đang chiếm đóng, thủ lĩnh bang hội đó có thể chọn “từ bỏ” trong giao diện viện trợ của công trình.")</f>
        <v>- Điều chỉnh trải nghiệm đầu game: lối chơi giai đoạn đầu hoàn toàn mới nơi người chơi có thể thu thập tài nguyên trong thành phố, dọn dẹp các hang ổ đột biến, giải cứu các binh lính đang bị mắc kẹt, và dần dần khôi phục các khu vực bị lũ khỉ đột biến chiếm đóng để xây dựng một căn cứ an toàn và vững mạnh trong một thế giới hậu tận thế đầy hiểm nguy.
- Gói ưu đãi giảm giá mới: nội dung gói thay đổi mỗi ngày! Những ưu đãi siêu giá trị chỉ có trong thời gian giới hạn!
- Tối ưu Trận Phục Thù của Tiến Sĩ Hogg: chiến trường sự kiện thay đổi từ bản đồ sang giao diện Linh Trưởng Brawl. Tinh giản phương pháp khiêu chiến và thêm quyền truy cập từ Đấu Trường.
- Tối ưu gói Độc Quyền Tân Thủ: nhận thêm thưởng khi mua một số lượng gói độc quyền tân thủ nhất định!
- Tối ưu hỗ trợ và tập hợp: khi bạn yêu cầu hỗ trợ từ bộ lạc, yêu cầu sẽ được gửi tới toàn thể người chơi trong bộ lạc. Nhấn vào “Trợ Giúp” cũng sẽ giúp tất cả người chơi trong bộ lạc. Khi bạn phát động tập hợp, tất cả thành viên bộ lạc sẽ nhận được thông báo và có thể tham gia tập hợp; cũng có thể áp dụng tính năng tự động tập hợp. Những người chơi trong cùng bộ lạc có thể hỗ trợ phòng thủ các thành phố, công trình bang hội của người chơi khác cũng như chiếm đóng các công trình trung lập. Nếu một bang hội muốn từ bỏ một công trình trung lập mà mình đang chiếm đóng, thủ lĩnh bang hội đó có thể chọn “từ bỏ” trong giao diện viện trợ của công trình.</v>
      </c>
      <c r="N18" s="151"/>
      <c r="O18" s="148"/>
      <c r="P18" s="148"/>
      <c r="Q18" s="148"/>
      <c r="R18" s="148"/>
      <c r="S18" s="148"/>
      <c r="T18" s="148"/>
      <c r="U18" s="148"/>
      <c r="V18" s="148"/>
      <c r="W18" s="148"/>
      <c r="X18" s="148"/>
      <c r="Y18" s="148"/>
      <c r="Z18" s="148"/>
    </row>
    <row r="19">
      <c r="A19" s="149" t="str">
        <f>IFERROR(__xludf.DUMMYFUNCTION("""COMPUTED_VALUE"""),"0.37.0")</f>
        <v>0.37.0</v>
      </c>
      <c r="B19" s="152" t="str">
        <f>IFERROR(__xludf.DUMMYFUNCTION("""COMPUTED_VALUE"""),"-新增堡垒对决玩法：发挥你的实力，占领所有敌方建筑，赢得胜利吧！
-新增斗士：活跃在格斗擂台的热血女拳手菲奥娜！
-新增活动一飞冲天、钢铁雄师：完成指定任务，即可赢得丰厚奖励！
-新增光谱芯片礼包：现在你将可以直接在超值礼包中购买更多的光谱芯片，来让你的阅兵场更快升级；
-火车竞赛优化：优化了部分显示逻辑，合并了众多的战斗报告；
-邮件系统优化：优化了众多邮件的图标和背景的显示；
-为香蕉干杯活动优化：全新的活动界面，完成任务赢取奖励，更有达西和洛朗的奖牌等你带走！")</f>
        <v>-新增堡垒对决玩法：发挥你的实力，占领所有敌方建筑，赢得胜利吧！
-新增斗士：活跃在格斗擂台的热血女拳手菲奥娜！
-新增活动一飞冲天、钢铁雄师：完成指定任务，即可赢得丰厚奖励！
-新增光谱芯片礼包：现在你将可以直接在超值礼包中购买更多的光谱芯片，来让你的阅兵场更快升级；
-火车竞赛优化：优化了部分显示逻辑，合并了众多的战斗报告；
-邮件系统优化：优化了众多邮件的图标和背景的显示；
-为香蕉干杯活动优化：全新的活动界面，完成任务赢取奖励，更有达西和洛朗的奖牌等你带走！</v>
      </c>
      <c r="C19" s="152" t="str">
        <f>IFERROR(__xludf.DUMMYFUNCTION("""COMPUTED_VALUE"""),"- New gameplay, Fortress Takeover: use your strengths to capture all enemy buildings and win!
- New Fighter: Fiona, a fiery female fighter active in the arena!
- New events, Feat of Strength, Mighty Squad: complete designated quests and win great rewards!"&amp;"
- New Spectrum Chip pack: purchase Spectrum Chips in Value Packs and upgrade your Parade Grounds faster!
- Great Train Race improved: optimized displays and combined the battle reports.
- Mail system improved: optimized various icons and background displ"&amp;"ays.
- Praise the Banans improved: now with a new event interface; complete quests to win rewards, including Darcy and Laurent medals!")</f>
        <v>- New gameplay, Fortress Takeover: use your strengths to capture all enemy buildings and win!
- New Fighter: Fiona, a fiery female fighter active in the arena!
- New events, Feat of Strength, Mighty Squad: complete designated quests and win great rewards!
- New Spectrum Chip pack: purchase Spectrum Chips in Value Packs and upgrade your Parade Grounds faster!
- Great Train Race improved: optimized displays and combined the battle reports.
- Mail system improved: optimized various icons and background displays.
- Praise the Banans improved: now with a new event interface; complete quests to win rewards, including Darcy and Laurent medals!</v>
      </c>
      <c r="D19" s="152" t="str">
        <f>IFERROR(__xludf.DUMMYFUNCTION("""COMPUTED_VALUE"""),"- Nouveau gameplay: dans Invasion de forteresse, déployez votre puissance pour capturer tous les bâtiments ennemis!
- Nouvelle combattante: la féroce Fiona, championne de l'arène!
- Nouveaux évènements: Preuve de force et Equipe surpuissante. Accomplissez"&amp;" les quêtes correspondantes pour gagner des récompenses géniales!
- Nouveau pack puce de place d'armes: achetez ce pack avantageux pour améliorer rapidement votre place d'armes!
- Amélioration de la Grande course de trains: affichage optimisé et fusion de"&amp;"s rapports de combats.
- Amélioration de la messagerie: icônes et arrière-plans optimisés.
- Amélioration de Louée soit la banane: nouvelle interface; accomplissez les quêtes pour gagner des récompenses, notamment des médailles de Darcy et Laurent!")</f>
        <v>- Nouveau gameplay: dans Invasion de forteresse, déployez votre puissance pour capturer tous les bâtiments ennemis!
- Nouvelle combattante: la féroce Fiona, championne de l'arène!
- Nouveaux évènements: Preuve de force et Equipe surpuissante. Accomplissez les quêtes correspondantes pour gagner des récompenses géniales!
- Nouveau pack puce de place d'armes: achetez ce pack avantageux pour améliorer rapidement votre place d'armes!
- Amélioration de la Grande course de trains: affichage optimisé et fusion des rapports de combats.
- Amélioration de la messagerie: icônes et arrière-plans optimisés.
- Amélioration de Louée soit la banane: nouvelle interface; accomplissez les quêtes pour gagner des récompenses, notamment des médailles de Darcy et Laurent!</v>
      </c>
      <c r="E19" s="154" t="str">
        <f>IFERROR(__xludf.DUMMYFUNCTION("""COMPUTED_VALUE"""),"- Neues Gameplay, Festungsübernahme: Nutze deine Stärken, um alle Gebäude des Feindes zu erobern und den Sieg zu erringen!
 - Neuer Kämpfer: Fiona, eine wilde Kämpferin, die in der Arena aktiv ist!
 - Neue Events: Zeichen der Stärke, Mächtige Gruppe: Erfü"&amp;"lle bestimmte Quests und gewinne tolle Belohnungen!
 - Neues Spektrumssplitter-Paket: Kaufe Spektrumssplitter in Vorteilspackungen und werte deinen Paradeplatz schneller auf!
 - Großes Zugrennen verbessert: optimierte Anzeigen und zusammengeführte Kampfbe"&amp;"richte.
 - Mail-System verbessert: Verschiedene Symbole und Hintergrundanzeigen wurden optimiert.
 - Gelobt seien die Bananen verbessert: jetzt mit neuem Event-Interface; schließe Quests ab, um Belohnungen zu erhalten, darunter Darcy- und Laurent-Orden!")</f>
        <v>- Neues Gameplay, Festungsübernahme: Nutze deine Stärken, um alle Gebäude des Feindes zu erobern und den Sieg zu erringen!
 - Neuer Kämpfer: Fiona, eine wilde Kämpferin, die in der Arena aktiv ist!
 - Neue Events: Zeichen der Stärke, Mächtige Gruppe: Erfülle bestimmte Quests und gewinne tolle Belohnungen!
 - Neues Spektrumssplitter-Paket: Kaufe Spektrumssplitter in Vorteilspackungen und werte deinen Paradeplatz schneller auf!
 - Großes Zugrennen verbessert: optimierte Anzeigen und zusammengeführte Kampfberichte.
 - Mail-System verbessert: Verschiedene Symbole und Hintergrundanzeigen wurden optimiert.
 - Gelobt seien die Bananen verbessert: jetzt mit neuem Event-Interface; schließe Quests ab, um Belohnungen zu erhalten, darunter Darcy- und Laurent-Orden!</v>
      </c>
      <c r="F19" s="154" t="str">
        <f>IFERROR(__xludf.DUMMYFUNCTION("""COMPUTED_VALUE"""),"- Novo modo de jogo, Conquista da Fortaleza: use suas forças para capturar todas as estruturas inimigas e vencer!
 - Nova combatente: Fiona, uma feroz lutadora ativa na arena!
 - Novos eventos, Feito de Força, Esquadrão Poderoso: conclua as missões design"&amp;"adas e ganhe grandes recompensas!
 - Novo pacote de chips de espectro: compre chips de espectro e pacotes e melhore sua praça de armas rapidamente!
 - Grande Corrida dos Trens melhorada: otimização nas exibições e combinação de relatórios de batalha.
 - S"&amp;"istema de mensagens melhorado: melhoria em vários ícones e exibições de plano de fundo.
 - Evento ""Louvadas Sejam as Bananas"" melhorado: agora com nova interface de evento. Conclua as missões para ganhar recompensas, incluindo as medalhas de Darcy e Lau"&amp;"rent!")</f>
        <v>- Novo modo de jogo, Conquista da Fortaleza: use suas forças para capturar todas as estruturas inimigas e vencer!
 - Nova combatente: Fiona, uma feroz lutadora ativa na arena!
 - Novos eventos, Feito de Força, Esquadrão Poderoso: conclua as missões designadas e ganhe grandes recompensas!
 - Novo pacote de chips de espectro: compre chips de espectro e pacotes e melhore sua praça de armas rapidamente!
 - Grande Corrida dos Trens melhorada: otimização nas exibições e combinação de relatórios de batalha.
 - Sistema de mensagens melhorado: melhoria em vários ícones e exibições de plano de fundo.
 - Evento "Louvadas Sejam as Bananas" melhorado: agora com nova interface de evento. Conclua as missões para ganhar recompensas, incluindo as medalhas de Darcy e Laurent!</v>
      </c>
      <c r="G19" s="151" t="str">
        <f>IFERROR(__xludf.DUMMYFUNCTION("""COMPUTED_VALUE"""),"-新增堡壘對決玩法：發揮你的實力，占領所有敵方建築，贏得勝利吧！
-新增鬥士：活躍在格鬥擂臺的熱血女拳手菲奧娜！
-新增活動一飛沖天、鋼鐵雄師：完成指定任務，即可贏得豐厚獎勵！
-新增光譜芯片禮包：現在你將可以直接在超值禮包中購買更多的光譜芯片，來讓你的閱兵場更快升級；
-火車競賽優化：優化了部分顯示邏輯，合並了眾多的戰鬥報告；
-郵件系統優化：優化了眾多郵件的圖標和背景的顯示；
-為香蕉幹杯活動優化：全新的活動界面，完成任務贏取獎勵，更有達西和洛朗的獎牌等你帶走！")</f>
        <v>-新增堡壘對決玩法：發揮你的實力，占領所有敵方建築，贏得勝利吧！
-新增鬥士：活躍在格鬥擂臺的熱血女拳手菲奧娜！
-新增活動一飛沖天、鋼鐵雄師：完成指定任務，即可贏得豐厚獎勵！
-新增光譜芯片禮包：現在你將可以直接在超值禮包中購買更多的光譜芯片，來讓你的閱兵場更快升級；
-火車競賽優化：優化了部分顯示邏輯，合並了眾多的戰鬥報告；
-郵件系統優化：優化了眾多郵件的圖標和背景的顯示；
-為香蕉幹杯活動優化：全新的活動界面，完成任務贏取獎勵，更有達西和洛朗的獎牌等你帶走！</v>
      </c>
      <c r="H19" s="154" t="str">
        <f>IFERROR(__xludf.DUMMYFUNCTION("""COMPUTED_VALUE"""),"- Gameplay baru, Pengambilalihan Benteng: gunakan kekuatanmu untuk menempati semua bangunan musuh dan menang!
 - Pejuang Baru: Fiona, pejuang wanita berapi-api yang aktif di arena!
 - Acara baru, Pencapaian Kekuatan, Pasukan Kuat: selesaikan misi yang dit"&amp;"entukan dan menangkan hadiah besar!
 - Paket Chip Spektrum Baru: beli Chip Spektrum dalam Paket Nilai dan tingkatkan Tempat Parademu lebih cepat!
 - Perlombaan Kereta Hebat ditingkatkan:mengoptimalkan tampilan dan menggabungkan laporan pertempuran.
 - Sis"&amp;"tem email ditingkatkan: mengoptimalkan berbagai ikon dan tampilan latar belakang.
 - Pemujian Pisang ditingkatkan: sekarang dengan antarmuka acara baru; selesaikan misi untuk memenangkan hadiah, termasuk medali Darcy dan Laurent!")</f>
        <v>- Gameplay baru, Pengambilalihan Benteng: gunakan kekuatanmu untuk menempati semua bangunan musuh dan menang!
 - Pejuang Baru: Fiona, pejuang wanita berapi-api yang aktif di arena!
 - Acara baru, Pencapaian Kekuatan, Pasukan Kuat: selesaikan misi yang ditentukan dan menangkan hadiah besar!
 - Paket Chip Spektrum Baru: beli Chip Spektrum dalam Paket Nilai dan tingkatkan Tempat Parademu lebih cepat!
 - Perlombaan Kereta Hebat ditingkatkan:mengoptimalkan tampilan dan menggabungkan laporan pertempuran.
 - Sistem email ditingkatkan: mengoptimalkan berbagai ikon dan tampilan latar belakang.
 - Pemujian Pisang ditingkatkan: sekarang dengan antarmuka acara baru; selesaikan misi untuk memenangkan hadiah, termasuk medali Darcy dan Laurent!</v>
      </c>
      <c r="I19" s="154" t="str">
        <f>IFERROR(__xludf.DUMMYFUNCTION("""COMPUTED_VALUE"""),"- รูปแบบการเล่นใหม่ การยึดป้อมปราการ: ใช้จุดแข็งของคุณเพื่อยึดสิ่งปลูกสร้างของศัตรูทั้งหมดแล้วคว้าชัยชนะ!
 - นักสู้ใหม่: ฟิโอน่า นักสู้สาวไฟแรงผู้แสนคึกคักในสนามประลอง!
 - กิจกรรมใหม่ พลังแห่งความแข็งแกร่ง และทีมอันทรงพลัง: ทำภารกิจที่กำหนดให้สำเร็จเพื่อร"&amp;"ับรางวัลมากมาย!
 - แพ็กชิปเครื่องตรวจสเปคตรัมใหม่: ซื้อชิปเครื่องตรวจสเปคตรัมในแพ็กสุดคุ้ม เพื่อการอัปเกรดลานเดินทัพของคุณได้อย่างรวดเร็วขึ้น!
 - ปรับปรุงการแข่งขันรถไฟครั้งยิ่งใหญ่: ปรับปรุงการแสดงผลและรายงานการต่อสู้จะเป็นแบบรายงานผสม
 - ปรับปรุงระบบเมล"&amp;": ปรับไอคอนและการแสดงพื้นหลังต่าง ๆ
 - ปรับปรุงกิจกรรมกล้วยจงเจริญ: ปรับใช้อินเทอร์เฟซกิจกรรมใหม่ในปัจจุบัน ทำภารกิจให้สำเร็จเพื่อรับรางวัล รวมถึงเหรียญตราของดาร์ซี่และโลรองต์!")</f>
        <v>- รูปแบบการเล่นใหม่ การยึดป้อมปราการ: ใช้จุดแข็งของคุณเพื่อยึดสิ่งปลูกสร้างของศัตรูทั้งหมดแล้วคว้าชัยชนะ!
 - นักสู้ใหม่: ฟิโอน่า นักสู้สาวไฟแรงผู้แสนคึกคักในสนามประลอง!
 - กิจกรรมใหม่ พลังแห่งความแข็งแกร่ง และทีมอันทรงพลัง: ทำภารกิจที่กำหนดให้สำเร็จเพื่อรับรางวัลมากมาย!
 - แพ็กชิปเครื่องตรวจสเปคตรัมใหม่: ซื้อชิปเครื่องตรวจสเปคตรัมในแพ็กสุดคุ้ม เพื่อการอัปเกรดลานเดินทัพของคุณได้อย่างรวดเร็วขึ้น!
 - ปรับปรุงการแข่งขันรถไฟครั้งยิ่งใหญ่: ปรับปรุงการแสดงผลและรายงานการต่อสู้จะเป็นแบบรายงานผสม
 - ปรับปรุงระบบเมล: ปรับไอคอนและการแสดงพื้นหลังต่าง ๆ
 - ปรับปรุงกิจกรรมกล้วยจงเจริญ: ปรับใช้อินเทอร์เฟซกิจกรรมใหม่ในปัจจุบัน ทำภารกิจให้สำเร็จเพื่อรับรางวัล รวมถึงเหรียญตราของดาร์ซี่และโลรองต์!</v>
      </c>
      <c r="J19" s="154" t="str">
        <f>IFERROR(__xludf.DUMMYFUNCTION("""COMPUTED_VALUE"""),"- Nueva forma de juego, Toma de la Fortaleza: ¡usa tu fuerza para capturar todos los edificios enemigos y ganar!
 - Nueva Luchadora: ¡Fiona, una fiera luchadora que está activa en la arena!
 - Nuevos eventos: Hazaña de Fortaleza, Escuadrón Poderoso: ¡comp"&amp;"leta las misiones designadas y gana increíbles recompensas!
 - Nuevo paquete de chip Espectrales: ¡Compra los Chips Espectrales en los Paquetes de Oferta y actualiza tu Plaza de Armas más rápido!
 - Gran Carrera del Tren mejorada: visualizaciones optimiza"&amp;"das y se combinaron los reportes de batalla.
 - Sistema de Correo mejorado: Optimización de varios iconos y pantallas de fondo.
 - Alabadas sean las Bananas mejorado: ahora con una nueva interfaz de evento; ¡Completa misiones para ganar recompensas, inclu"&amp;"idas las medallas de Darcy y Laurent!")</f>
        <v>- Nueva forma de juego, Toma de la Fortaleza: ¡usa tu fuerza para capturar todos los edificios enemigos y ganar!
 - Nueva Luchadora: ¡Fiona, una fiera luchadora que está activa en la arena!
 - Nuevos eventos: Hazaña de Fortaleza, Escuadrón Poderoso: ¡completa las misiones designadas y gana increíbles recompensas!
 - Nuevo paquete de chip Espectrales: ¡Compra los Chips Espectrales en los Paquetes de Oferta y actualiza tu Plaza de Armas más rápido!
 - Gran Carrera del Tren mejorada: visualizaciones optimizadas y se combinaron los reportes de batalla.
 - Sistema de Correo mejorado: Optimización de varios iconos y pantallas de fondo.
 - Alabadas sean las Bananas mejorado: ahora con una nueva interfaz de evento; ¡Completa misiones para ganar recompensas, incluidas las medallas de Darcy y Laurent!</v>
      </c>
      <c r="K19" s="154" t="str">
        <f>IFERROR(__xludf.DUMMYFUNCTION("""COMPUTED_VALUE"""),"- Новый игровой процесс «Захват крепости»: используйте свои силы, чтобы захватить все вражеские здания и победить!
- Новый герой: Фиона — яростная воительница на арене!
- Новые события «Выдающаяся сила» и «Могучий отряд»: выполняйте задания и получайте бо"&amp;"льшие награды!
- Новый набор спектральных чипов: покупайте спектральные чипы в выгодных наборах и быстрее улучшайте парадный плац!
- Улучшены «Большие гонки на поездах»: оптимизировано отображение и объединены отчеты о сражениях.
- Улучшена почтовая систе"&amp;"ма: оптимизированы различные значки и фоновые изображения.
- Улучшено событие «Хвала бананам»: обновлен интерфейс события; выполняйте задания и получайте награды, включая медали Дарси и Лорана!")</f>
        <v>- Новый игровой процесс «Захват крепости»: используйте свои силы, чтобы захватить все вражеские здания и победить!
- Новый герой: Фиона — яростная воительница на арене!
- Новые события «Выдающаяся сила» и «Могучий отряд»: выполняйте задания и получайте большие награды!
- Новый набор спектральных чипов: покупайте спектральные чипы в выгодных наборах и быстрее улучшайте парадный плац!
- Улучшены «Большие гонки на поездах»: оптимизировано отображение и объединены отчеты о сражениях.
- Улучшена почтовая система: оптимизированы различные значки и фоновые изображения.
- Улучшено событие «Хвала бананам»: обновлен интерфейс события; выполняйте задания и получайте награды, включая медали Дарси и Лорана!</v>
      </c>
      <c r="L19" s="154" t="str">
        <f>IFERROR(__xludf.DUMMYFUNCTION("""COMPUTED_VALUE"""),"- Yeni oynanış, Kaleyi Ele Geçirme: güçlerini kullanarak tüm düşman binalarını ele geçir ve kazan!
 - Yeni Savaşçı: Fiona, arenada çılgın atan kadın bir dövüşçü!
 - Yeni etkinlikler, Güç Gösterisi, Kudretli Ekip: belirlenen maceraları tamamla ve harika öd"&amp;"üller kazan!
 - Yeni Spektrum Çip paketi: Değer Paketlerinde Spektrum Çipleri satın al ve Geçit Töreni Yerlerini daha hızlı yükselt!
 - Büyük Tren Yarışı geliştirildi: görüntüler optimize edildi ve savaş raporları bir araya getirildi.
 - Posta sistemi gel"&amp;"iştirildi: çeşitli simgeler ve arka plan görüntüleri optimize edildi.
 - Muzlara Övgü geliştirildi: artık yeni bir etkinlik arayüzüyle; ödüller kazanmak için Darcy ve Laurent madalyaları da dâhil maceraları tamamla!")</f>
        <v>- Yeni oynanış, Kaleyi Ele Geçirme: güçlerini kullanarak tüm düşman binalarını ele geçir ve kazan!
 - Yeni Savaşçı: Fiona, arenada çılgın atan kadın bir dövüşçü!
 - Yeni etkinlikler, Güç Gösterisi, Kudretli Ekip: belirlenen maceraları tamamla ve harika ödüller kazan!
 - Yeni Spektrum Çip paketi: Değer Paketlerinde Spektrum Çipleri satın al ve Geçit Töreni Yerlerini daha hızlı yükselt!
 - Büyük Tren Yarışı geliştirildi: görüntüler optimize edildi ve savaş raporları bir araya getirildi.
 - Posta sistemi geliştirildi: çeşitli simgeler ve arka plan görüntüleri optimize edildi.
 - Muzlara Övgü geliştirildi: artık yeni bir etkinlik arayüzüyle; ödüller kazanmak için Darcy ve Laurent madalyaları da dâhil maceraları tamamla!</v>
      </c>
      <c r="M19" s="154" t="str">
        <f>IFERROR(__xludf.DUMMYFUNCTION("""COMPUTED_VALUE"""),"- Lối chơi mới, Tiếp Quản Pháo Đài: sử dụng sức mạnh của bạn để chiếm tất cả các công trình địch và giành chiến thắng!
 - Chiến Binh mới: Fiona, một nữ chiến binh kiên cường trên đấu trường!
 - Sự kiện mới, Nước Lặng Chảy Sâu, Biệt Đội Dũng Mãnh: hoàn thà"&amp;"nh các nhiệm vụ được chỉ định và giành những phần thưởng lớn!
 - Gói Chip Quang Phổ mới: mua Chip Quang Phổ trong Gói Giá Trị và nâng cấp Sân Diễu Hành của bạn nhanh hơn!
 - Cải thiện Đường Đua Xe Lửa Lớn: tối ưu hóa hiển thị và kết hợp các báo cáo trận c"&amp;"hiến.
 - Cải thiện hệ thống mail: tối ưu hóa nhiều icon đa dạng và nền hiển thị.
 - Cải thiện Xin Ca Ngợi Chuối: hiện có giao diện sự kiện mới; hoàn thành các nhiệm vụ để giành thưởng, bao gồm huy hiệu Darcy và Laurent!")</f>
        <v>- Lối chơi mới, Tiếp Quản Pháo Đài: sử dụng sức mạnh của bạn để chiếm tất cả các công trình địch và giành chiến thắng!
 - Chiến Binh mới: Fiona, một nữ chiến binh kiên cường trên đấu trường!
 - Sự kiện mới, Nước Lặng Chảy Sâu, Biệt Đội Dũng Mãnh: hoàn thành các nhiệm vụ được chỉ định và giành những phần thưởng lớn!
 - Gói Chip Quang Phổ mới: mua Chip Quang Phổ trong Gói Giá Trị và nâng cấp Sân Diễu Hành của bạn nhanh hơn!
 - Cải thiện Đường Đua Xe Lửa Lớn: tối ưu hóa hiển thị và kết hợp các báo cáo trận chiến.
 - Cải thiện hệ thống mail: tối ưu hóa nhiều icon đa dạng và nền hiển thị.
 - Cải thiện Xin Ca Ngợi Chuối: hiện có giao diện sự kiện mới; hoàn thành các nhiệm vụ để giành thưởng, bao gồm huy hiệu Darcy và Laurent!</v>
      </c>
      <c r="N19" s="151"/>
      <c r="O19" s="148"/>
      <c r="P19" s="148"/>
      <c r="Q19" s="148"/>
      <c r="R19" s="148"/>
      <c r="S19" s="148"/>
      <c r="T19" s="148"/>
      <c r="U19" s="148"/>
      <c r="V19" s="148"/>
      <c r="W19" s="148"/>
      <c r="X19" s="148"/>
      <c r="Y19" s="148"/>
      <c r="Z19" s="148"/>
    </row>
    <row r="20">
      <c r="A20" s="149" t="str">
        <f>IFERROR(__xludf.DUMMYFUNCTION("""COMPUTED_VALUE"""),"0.38.0")</f>
        <v>0.38.0</v>
      </c>
      <c r="B20" s="152" t="str">
        <f>IFERROR(__xludf.DUMMYFUNCTION("""COMPUTED_VALUE"""),"-新增斗士：边荒守卫亚历克西斯，孔武有力的蛮猴英雄，可通过擂台获取；
-银河战争优化：修改了“银河战争”的参赛单位，修改为每个氏族为一个参与者。玩家将与同氏族的盟友共同征战异星，来自同一猩球不同氏族的玩家可能会分开甚至成为对手；
-最强猴子活动新增传送功能：最强猴子杀敌活动期间通过传送炮台即可飞往其他猩球，击败其他猩球敌人，即可获取丰厚积分奖励；
-新增铭牌系统：专属铭牌装饰，彰显猴子们的个性；
-新增情猿节活动：情猿节即将开启，参与活动赢取节日限定装饰以及更多丰富奖励；
-新增帮派宝藏：帮派成员们一起完"&amp;"成宝藏进度，赢取丰厚宝藏奖励；
-新增狙击强盗猿活动：击退来袭的强盗猿，赢取丰厚奖励；
-霍格博士的复仇优化：调整为必须加入氏族才能参与活动，同时服务器排行榜调整为氏族排行榜；部队派遣优化；
-科林的探索优化：现在猴子们可以一键领取探索奖励了；
-决战卫星之巅优化：优化了决战卫星之巅的匹配机制以及奖励；
-界面表现优化：优化了展览品探测的购买界面；优化了极限狩猎的界面表现，优化了绝地试炼的扫荡界面，优化了击败变异猴的活动奖励邮件界面")</f>
        <v>-新增斗士：边荒守卫亚历克西斯，孔武有力的蛮猴英雄，可通过擂台获取；
-银河战争优化：修改了“银河战争”的参赛单位，修改为每个氏族为一个参与者。玩家将与同氏族的盟友共同征战异星，来自同一猩球不同氏族的玩家可能会分开甚至成为对手；
-最强猴子活动新增传送功能：最强猴子杀敌活动期间通过传送炮台即可飞往其他猩球，击败其他猩球敌人，即可获取丰厚积分奖励；
-新增铭牌系统：专属铭牌装饰，彰显猴子们的个性；
-新增情猿节活动：情猿节即将开启，参与活动赢取节日限定装饰以及更多丰富奖励；
-新增帮派宝藏：帮派成员们一起完成宝藏进度，赢取丰厚宝藏奖励；
-新增狙击强盗猿活动：击退来袭的强盗猿，赢取丰厚奖励；
-霍格博士的复仇优化：调整为必须加入氏族才能参与活动，同时服务器排行榜调整为氏族排行榜；部队派遣优化；
-科林的探索优化：现在猴子们可以一键领取探索奖励了；
-决战卫星之巅优化：优化了决战卫星之巅的匹配机制以及奖励；
-界面表现优化：优化了展览品探测的购买界面；优化了极限狩猎的界面表现，优化了绝地试炼的扫荡界面，优化了击败变异猴的活动奖励邮件界面</v>
      </c>
      <c r="C20" s="13" t="str">
        <f>IFERROR(__xludf.DUMMYFUNCTION("""COMPUTED_VALUE"""),"- New Fighter: Guard of the Frontier, Alexis. A strong hero of the barbarian tribes. Get him in the Arena.
- Planet Wars optimized: Changed the unit of participation so that each Clan counts as one participant. Players will fight alongside their allies fr"&amp;"om the same Clan. Players from different Clans of the same planet may be divided and become opponents.
- Teleport function added in Ultimate Monkey: During the battle stage of the event, players can travel to other planets via the Teleport Cannon, defeat "&amp;"enemies on these planets, and earn rewards.
- New nameplate feature: Customize your character with exclusive nameplate decorations.
- Valentine's Day events starting soon: Participate to win exclusive holiday decorations and other great rewards.
- New Gan"&amp;"g Treasures: Advance treasure progress with other Gang members to earn amazing rewards.
- New event, Shoot the Bandit: Shoot and defeat incoming Bandit Jets to earn rewards.
- Dr. Hogg's Revenge optimized: You must now join a Clan to participate in the ev"&amp;"ent; server rankings are now by Clan; troop dispatching optimized.
- Colin's Exploration optimized: You can now claim all exploration rewards with one tap.
- Astral Coliseum optimized: Improved event’s matching mechanism and rewards.
- Interface displays "&amp;"optimized: Improved Relic Detection's purchasing page, Extreme Hunting's interface performance, Impasse Trials' raid page, and the reward mail interface for defeating mutants.")</f>
        <v>- New Fighter: Guard of the Frontier, Alexis. A strong hero of the barbarian tribes. Get him in the Arena.
- Planet Wars optimized: Changed the unit of participation so that each Clan counts as one participant. Players will fight alongside their allies from the same Clan. Players from different Clans of the same planet may be divided and become opponents.
- Teleport function added in Ultimate Monkey: During the battle stage of the event, players can travel to other planets via the Teleport Cannon, defeat enemies on these planets, and earn rewards.
- New nameplate feature: Customize your character with exclusive nameplate decorations.
- Valentine's Day events starting soon: Participate to win exclusive holiday decorations and other great rewards.
- New Gang Treasures: Advance treasure progress with other Gang members to earn amazing rewards.
- New event, Shoot the Bandit: Shoot and defeat incoming Bandit Jets to earn rewards.
- Dr. Hogg's Revenge optimized: You must now join a Clan to participate in the event; server rankings are now by Clan; troop dispatching optimized.
- Colin's Exploration optimized: You can now claim all exploration rewards with one tap.
- Astral Coliseum optimized: Improved event’s matching mechanism and rewards.
- Interface displays optimized: Improved Relic Detection's purchasing page, Extreme Hunting's interface performance, Impasse Trials' raid page, and the reward mail interface for defeating mutants.</v>
      </c>
      <c r="D20" s="151" t="str">
        <f>IFERROR(__xludf.DUMMYFUNCTION("""COMPUTED_VALUE"""),"- Nouveau combattant: Alexis le garde-frontière, héros des tribus barbares. Obtenez-le dans l'arène.
- Optimisation de la Guerre planétaire: chaque clan compte désormais comme un seul participant. Les joueurs combattront aux côtés des membres de leur clan"&amp;". Les joueurs d'une même planète mais de clans différents pourront être adversaires. 
- Téléportation ajoutée dans le Singe ultime: durant la phase de bataille de l'évènement, les joueurs pourront voyager sur d'autres planètes via le canon téléporteur, af"&amp;"fronter leurs ennemis et obtenir des récompenses.
- Plaque nominative: personnalisez votre avatar grâce aux nouvelles plaques décoratives.
- Nouvel évènement Saint-Valentin: participez pour obtenir des décorations thématiques exclusives et d'incroyables r"&amp;"écompenses.
- Nouveaux trésors de gang: faites progresser le trésor avec les membres du gang pour obtenir d'incroyables récompenses.
- Nouvel évènement Abattez le vaisseau: tirez sur les vaisseaux pirates pour obtenir des récompenses.
- Optimisation de la"&amp;" Revanche du Dr Hogg: il faut désormais être membre d'un clan pour participer. Les classements du serveur sont désormais établis par clan. Optimisation de la répartition des troupes.
- Optimisation de l'Exploration de Colin: récupérez toutes les récompens"&amp;"es de l'exploration en un seul clic. 
- Optimisation du Colisée astral: amélioration du mécanisme de mise en relation et des récompenses.
- Optimisation de la page d'achat des détections de reliques, des performances de l'interface de la Chasse extrême, d"&amp;"e la page des raids des Epreuves de l'impasse et de l'interface des récompenses envoyées via messagerie après des combats contre les mutants.")</f>
        <v>- Nouveau combattant: Alexis le garde-frontière, héros des tribus barbares. Obtenez-le dans l'arène.
- Optimisation de la Guerre planétaire: chaque clan compte désormais comme un seul participant. Les joueurs combattront aux côtés des membres de leur clan. Les joueurs d'une même planète mais de clans différents pourront être adversaires. 
- Téléportation ajoutée dans le Singe ultime: durant la phase de bataille de l'évènement, les joueurs pourront voyager sur d'autres planètes via le canon téléporteur, affronter leurs ennemis et obtenir des récompenses.
- Plaque nominative: personnalisez votre avatar grâce aux nouvelles plaques décoratives.
- Nouvel évènement Saint-Valentin: participez pour obtenir des décorations thématiques exclusives et d'incroyables récompenses.
- Nouveaux trésors de gang: faites progresser le trésor avec les membres du gang pour obtenir d'incroyables récompenses.
- Nouvel évènement Abattez le vaisseau: tirez sur les vaisseaux pirates pour obtenir des récompenses.
- Optimisation de la Revanche du Dr Hogg: il faut désormais être membre d'un clan pour participer. Les classements du serveur sont désormais établis par clan. Optimisation de la répartition des troupes.
- Optimisation de l'Exploration de Colin: récupérez toutes les récompenses de l'exploration en un seul clic. 
- Optimisation du Colisée astral: amélioration du mécanisme de mise en relation et des récompenses.
- Optimisation de la page d'achat des détections de reliques, des performances de l'interface de la Chasse extrême, de la page des raids des Epreuves de l'impasse et de l'interface des récompenses envoyées via messagerie après des combats contre les mutants.</v>
      </c>
      <c r="E20" s="13" t="str">
        <f>IFERROR(__xludf.DUMMYFUNCTION("""COMPUTED_VALUE"""),"- Neuer Kämpfer: Wächter der Grenze, Alexis. Ein starker Held der barbarischen Stämme. Erhalte ihn in der Arena.
 - Planetenkriege optimiert: Die Teilnahmeeinheiten wurden geändert, so dass jede Horde als ein Teilnehmer zählt. Die Spieler kämpfen an der S"&amp;"eite ihrer Verbündeten aus derselben Horde. Spieler aus verschiedenen Horden desselben Planeten können aufgeteilt werden und zu Gegnern werden.
 - Teleportationsfunktion in Ultimativer Affe hinzugefügt: Während der Kampfstufe des Events können die Spieler"&amp;" mit der Teleportationskanone zu anderen Planeten reisen, Feinde auf diesen Planeten besiegen und Belohnungen verdienen.
 - Neues Namensschild-Feature: Passe deinen Charakter mit exklusiven Namensschildern an.
 - Bald starten die Valentinstag-Events: Nimm"&amp;" teil, um exklusive Festtagsdekorationen und andere tolle Belohnungen zu gewinnen.
 - Neue Clan-Schätze: Erziele mit anderen Clan-Mitgliedern Schatzfortschritte, um tolle Belohnungen zu erhalten.
 - Neues Event, Schieße auf den Banditen: Schieße auf ankom"&amp;"mende Banditen-Jets und besiege sie, um Belohnungen zu verdienen.
 - Dr. Hoggs Rache optimiert: Du musst jetzt einer Horde beitreten, um an dem Event teilnehmen zu können; die Server-Ranglisten werden jetzt nach Horden sortiert; die Truppenzuteilung wurde"&amp;" optimiert.
 - Colins Erkundung optimiert: Du kannst jetzt alle Belohnungen für die Erkundung mit einem Fingertipp einfordern.
 - Astral-Kolosseum optimiert: Der Matching-Mechanismus des Events und die Belohnungen wurden verbessert.
 - Interface-Anzeigen "&amp;"optimiert: Die Kaufseite der Relikt-Ortung, die Interface-Performance bei Extrem-Jagd, die Schlachtzugsseite der Sackgassen-Prüfungen und das Interface der Belohnungs-Mails für besiegte Mutanten wurden verbessert.")</f>
        <v>- Neuer Kämpfer: Wächter der Grenze, Alexis. Ein starker Held der barbarischen Stämme. Erhalte ihn in der Arena.
 - Planetenkriege optimiert: Die Teilnahmeeinheiten wurden geändert, so dass jede Horde als ein Teilnehmer zählt. Die Spieler kämpfen an der Seite ihrer Verbündeten aus derselben Horde. Spieler aus verschiedenen Horden desselben Planeten können aufgeteilt werden und zu Gegnern werden.
 - Teleportationsfunktion in Ultimativer Affe hinzugefügt: Während der Kampfstufe des Events können die Spieler mit der Teleportationskanone zu anderen Planeten reisen, Feinde auf diesen Planeten besiegen und Belohnungen verdienen.
 - Neues Namensschild-Feature: Passe deinen Charakter mit exklusiven Namensschildern an.
 - Bald starten die Valentinstag-Events: Nimm teil, um exklusive Festtagsdekorationen und andere tolle Belohnungen zu gewinnen.
 - Neue Clan-Schätze: Erziele mit anderen Clan-Mitgliedern Schatzfortschritte, um tolle Belohnungen zu erhalten.
 - Neues Event, Schieße auf den Banditen: Schieße auf ankommende Banditen-Jets und besiege sie, um Belohnungen zu verdienen.
 - Dr. Hoggs Rache optimiert: Du musst jetzt einer Horde beitreten, um an dem Event teilnehmen zu können; die Server-Ranglisten werden jetzt nach Horden sortiert; die Truppenzuteilung wurde optimiert.
 - Colins Erkundung optimiert: Du kannst jetzt alle Belohnungen für die Erkundung mit einem Fingertipp einfordern.
 - Astral-Kolosseum optimiert: Der Matching-Mechanismus des Events und die Belohnungen wurden verbessert.
 - Interface-Anzeigen optimiert: Die Kaufseite der Relikt-Ortung, die Interface-Performance bei Extrem-Jagd, die Schlachtzugsseite der Sackgassen-Prüfungen und das Interface der Belohnungs-Mails für besiegte Mutanten wurden verbessert.</v>
      </c>
      <c r="F20" s="13" t="str">
        <f>IFERROR(__xludf.DUMMYFUNCTION("""COMPUTED_VALUE"""),"- Novo Combatente: Guarda da Fronteira, Alexis. Um herói forte das tribos bárbaras. Obtenha-o na arena.
 - Guerra Interplanetária otimizada: alteração da unidade de participação de modo que cada clã conte como um participante. Jogadores lutarão ao lado de"&amp;" seus aliados do mesmo clã. Jogadores de diferentes clãs do mesmo planeta podem ser divididos para se tornarem oponentes.
 - Função de teletransporte adicionada ao Macaco Supremo: durante a batalha do evento, os jogadores poderão viajar a outros planetas "&amp;"por meio do Canhão de Teletransporte, derrotar inimigos nesses planetas e ganhar recompensas.
 - Novo recurso de tabuleta: customize seu personagem com decorações de tabuleta exclusivas.
 - Eventos de Dia dos Namorados começando em breve: participe para g"&amp;"anhar decorações exclusivas e grandes recompensas.
 - Novos Tesouros da gangue: avance o progresso do tesouro com outros membros da gangue e ganhe recompensas incríveis.
 - Novo evento ""Acerte os Bandidos"": atire e derrote o jato dos bandidos para ganha"&amp;"r recompensas.
 - Vingança do Dr. Hogg melhorada: agora é preciso participar de um clã para participar do evento; classificações de servidor são feitas agora por clã; melhoria ao enviar tropas.
 - Melhoria em Exploração de Colin: agora é possível resgatar"&amp;" todas as recompensas de exploração com um só toque.
 - Coliseu Astral melhorado: melhoria no sistema de combinação e recompensas do evento.
 - Melhoria na interface visual: melhoria na página de compras de detecção de relíquias, desempenho da interface d"&amp;"e Caça Extrema, página de Desafios de Impasse e interface de mensagens de recompensa ao derrotar mutantes.")</f>
        <v>- Novo Combatente: Guarda da Fronteira, Alexis. Um herói forte das tribos bárbaras. Obtenha-o na arena.
 - Guerra Interplanetária otimizada: alteração da unidade de participação de modo que cada clã conte como um participante. Jogadores lutarão ao lado de seus aliados do mesmo clã. Jogadores de diferentes clãs do mesmo planeta podem ser divididos para se tornarem oponentes.
 - Função de teletransporte adicionada ao Macaco Supremo: durante a batalha do evento, os jogadores poderão viajar a outros planetas por meio do Canhão de Teletransporte, derrotar inimigos nesses planetas e ganhar recompensas.
 - Novo recurso de tabuleta: customize seu personagem com decorações de tabuleta exclusivas.
 - Eventos de Dia dos Namorados começando em breve: participe para ganhar decorações exclusivas e grandes recompensas.
 - Novos Tesouros da gangue: avance o progresso do tesouro com outros membros da gangue e ganhe recompensas incríveis.
 - Novo evento "Acerte os Bandidos": atire e derrote o jato dos bandidos para ganhar recompensas.
 - Vingança do Dr. Hogg melhorada: agora é preciso participar de um clã para participar do evento; classificações de servidor são feitas agora por clã; melhoria ao enviar tropas.
 - Melhoria em Exploração de Colin: agora é possível resgatar todas as recompensas de exploração com um só toque.
 - Coliseu Astral melhorado: melhoria no sistema de combinação e recompensas do evento.
 - Melhoria na interface visual: melhoria na página de compras de detecção de relíquias, desempenho da interface de Caça Extrema, página de Desafios de Impasse e interface de mensagens de recompensa ao derrotar mutantes.</v>
      </c>
      <c r="G20" s="13" t="str">
        <f>IFERROR(__xludf.DUMMYFUNCTION("""COMPUTED_VALUE"""),"-新增鬥士：邊荒守衛亞歷克西斯，孔武有力的蠻猴英雄，可通過擂臺獲取；
-銀河戰爭優化：修改了“銀河戰爭”的參賽單位，修改爲每個氏族爲一個參與者。玩家將與同氏族的盟友共同征戰異星，來自同一猩球不同氏族的玩家可能會分開甚至成爲對手；
-最強猴子活動新增傳送功能：最強猴子殺敵活動期間通過傳送炮臺即可飛往其他猩球，擊敗其他猩球敵人，即可獲取豐厚積分獎勵；
-新增銘牌系統：專屬銘牌裝飾，彰顯猴子們的個性；
-新增情猿節活動：情猿節即將開啓，參與活動贏取節日限定裝飾以及更多豐富獎勵；
-新增幫派寶藏：幫派成員們一起完"&amp;"成寶藏進度，贏取豐厚寶藏獎勵；
-新增狙擊強盜猿活動：擊退來襲的強盜猿，贏取豐厚獎勵；
-霍格博士的復仇優化：調整爲必須加入氏族才能參與活動，同時服務器排行榜調整爲氏族排行榜；部隊派遣優化；
-科林的探索優化：現在猴子們可以一鍵領取探索獎勵了；
-決戰衛星之巔優化：優化了決戰衛星之巔的匹配機制以及獎勵；
-界面表現優化：優化了展覽品探測的購買界面；優化了極限狩獵的界面表現，優化了絕地試煉的掃蕩界面，優化了擊敗變異猴的活動獎勵郵件界面")</f>
        <v>-新增鬥士：邊荒守衛亞歷克西斯，孔武有力的蠻猴英雄，可通過擂臺獲取；
-銀河戰爭優化：修改了“銀河戰爭”的參賽單位，修改爲每個氏族爲一個參與者。玩家將與同氏族的盟友共同征戰異星，來自同一猩球不同氏族的玩家可能會分開甚至成爲對手；
-最強猴子活動新增傳送功能：最強猴子殺敵活動期間通過傳送炮臺即可飛往其他猩球，擊敗其他猩球敵人，即可獲取豐厚積分獎勵；
-新增銘牌系統：專屬銘牌裝飾，彰顯猴子們的個性；
-新增情猿節活動：情猿節即將開啓，參與活動贏取節日限定裝飾以及更多豐富獎勵；
-新增幫派寶藏：幫派成員們一起完成寶藏進度，贏取豐厚寶藏獎勵；
-新增狙擊強盜猿活動：擊退來襲的強盜猿，贏取豐厚獎勵；
-霍格博士的復仇優化：調整爲必須加入氏族才能參與活動，同時服務器排行榜調整爲氏族排行榜；部隊派遣優化；
-科林的探索優化：現在猴子們可以一鍵領取探索獎勵了；
-決戰衛星之巔優化：優化了決戰衛星之巔的匹配機制以及獎勵；
-界面表現優化：優化了展覽品探測的購買界面；優化了極限狩獵的界面表現，優化了絕地試煉的掃蕩界面，優化了擊敗變異猴的活動獎勵郵件界面</v>
      </c>
      <c r="H20" s="13" t="str">
        <f>IFERROR(__xludf.DUMMYFUNCTION("""COMPUTED_VALUE"""),"- Pejuang Baru: Penjaga Perbatasan, Alexis. Pahlawan kuat dari suku barbar. Bawa dia ke Arena.
 - Perang Planet dioptimalkan: Mengubah unit partisipasi sehingga setiap Klan dihitung sebagai satu peserta. Pemain akan bertarung bersama sekutu mereka dari Kl"&amp;"an yang sama. Pemain dari Klan berbeda dari planet yang sama bisa dibagi dan menjadi lawan.
 - Fungsi Teleportasi ditambahkan dalam Kera Terkuat: Selama tahap pertempuran acara berlangsung, pemain bisa melakukan perjalanan ke planet lain melalui Meriam Te"&amp;"leportasi, mengalahkan musuh di planet ini, dan mendapatkan hadiah.
 - Fitur papan nama baru: Sesuaikan karaktermu dengan dekorasi papan nama eksklusif.
 - Acara Hari Kasih Sayang segera dimulai: Berpartisipasi untuk memenangkan dekorasi liburan eksklusif"&amp;" dan hadiah menarik lainnya.
 - Harta Karun Geng Baru: Tingkatkan kemajuan harta karun dengan anggota Geng lain untuk mendapatkan hadiah luar biasa.
 - Acara baru, Tembak Bandit: Tembak dan kalahkan serbuan Jet Bandit untuk mendapatkan hadiah.
 - Pembalas"&amp;"an Dr. Hogg dioptimalkan: Kamu sekarang harus bergabung dengan Klan untuk berpartisipasi dalam acara; peringkat server sekarang berdasarkan Klan; pengiriman pasukan dioptimalkan.
 - Penjelajahan Colin dioptimalkan: Sekarang kamu bisa mengklaim semua hadia"&amp;"h penjelajahan dengan satu ketukan.
 - Koloseum Astral dioptimalkan: Mekanisme dan hadiah pencocokan acara ditingkatkan.
 - Tampilan antarmuka dioptimalkan: Halaman pembelian Deteksi Relik ditingkatkan, performa antarmuka Perburuan Ekstrem, halaman serang"&amp;"an Uji Coba Kebuntuan, dan antarmuka email hadiah untuk mengalahkan mutan.")</f>
        <v>- Pejuang Baru: Penjaga Perbatasan, Alexis. Pahlawan kuat dari suku barbar. Bawa dia ke Arena.
 - Perang Planet dioptimalkan: Mengubah unit partisipasi sehingga setiap Klan dihitung sebagai satu peserta. Pemain akan bertarung bersama sekutu mereka dari Klan yang sama. Pemain dari Klan berbeda dari planet yang sama bisa dibagi dan menjadi lawan.
 - Fungsi Teleportasi ditambahkan dalam Kera Terkuat: Selama tahap pertempuran acara berlangsung, pemain bisa melakukan perjalanan ke planet lain melalui Meriam Teleportasi, mengalahkan musuh di planet ini, dan mendapatkan hadiah.
 - Fitur papan nama baru: Sesuaikan karaktermu dengan dekorasi papan nama eksklusif.
 - Acara Hari Kasih Sayang segera dimulai: Berpartisipasi untuk memenangkan dekorasi liburan eksklusif dan hadiah menarik lainnya.
 - Harta Karun Geng Baru: Tingkatkan kemajuan harta karun dengan anggota Geng lain untuk mendapatkan hadiah luar biasa.
 - Acara baru, Tembak Bandit: Tembak dan kalahkan serbuan Jet Bandit untuk mendapatkan hadiah.
 - Pembalasan Dr. Hogg dioptimalkan: Kamu sekarang harus bergabung dengan Klan untuk berpartisipasi dalam acara; peringkat server sekarang berdasarkan Klan; pengiriman pasukan dioptimalkan.
 - Penjelajahan Colin dioptimalkan: Sekarang kamu bisa mengklaim semua hadiah penjelajahan dengan satu ketukan.
 - Koloseum Astral dioptimalkan: Mekanisme dan hadiah pencocokan acara ditingkatkan.
 - Tampilan antarmuka dioptimalkan: Halaman pembelian Deteksi Relik ditingkatkan, performa antarmuka Perburuan Ekstrem, halaman serangan Uji Coba Kebuntuan, dan antarmuka email hadiah untuk mengalahkan mutan.</v>
      </c>
      <c r="I20" s="13" t="str">
        <f>IFERROR(__xludf.DUMMYFUNCTION("""COMPUTED_VALUE"""),"- นักสู้ตัวใหม่: อเล็กซิส ผู้พิทักษ์ชายแดน ฮีโร่สุดแกร่งของชนเผ่าคนเถื่อน คุณสามารถรับเขาได้ที่สนามต่อสู้
 - ปรับปรุงสงครามดาวเคราะห์: เปลี่ยนหน่วยของการเข้าร่วมเพื่อระบบนับแต่ละเผ่าที่เข้าร่วมเป็นแค่ผู้เข้าร่วมหนึ่งคน ผู้เล่นจะต่อสู้เคียงข้างพันธมิตรจากเ"&amp;"ผ่าเดียวกัน ผู้เล่นจากหลาย ๆ เผ่าบนดาวดวงเดียวกันอาจถูกแยกออกจากกัน แล้วกลายเป็นคู่ต่อสู้กันเองได้
 - เพิ่มฟังก์ชันเทเลพอร์ตในกิจกรรมลิงที่แข็งแกร่งที่สุด: ในระหว่างด่านการต่อสู้ของกิจกรรม ผู้เล่นสามารถเดินทางไปที่ดาวเคราะห์ดวงอื่นผ่านปืนใหญ่เทเลพอร์ตได้ "&amp;"ให้กำจัดศัตรูบนดาวเคราะห์เหล่านี้เพื่อรับรางวัล
 - คุณสมบัติป้ายชื่อใหม่: ปรับแต่งตัวละครของคุณด้วยป้ายชื่อตกแต่งสุดพิเศษ
 - กิจกรรมวันวาเลนไทน์กำลังจะเริ่มขึ้นเร็ว ๆ นี้: ร่วมลุ้นรับอุปกรณ์ตกแต่งวันหยุดสุดพิเศษและรางวัลใหญ่อื่น ๆ
 - สมบัติแก๊งใหม่: เติมแ"&amp;"ถบความก้าวหน้าของสมบัติร่วมกับสมาชิกแก๊งคนอื่น ๆ เพื่อรับรางวัลสุดพิเศษ
 - กิจกรรมใหม่ ยิงจอมโจร: ยิงและกำจัดเครื่องบินเจ็ตจอมโจรที่บินเข้ามาเพื่อรับรางวัล
 - ปรับปรุงกิจกรรมการแก้แค้นของ ดร. ฮ็อกก์: ในตอนนี้ คุณต้องเข้าร่วมเผ่าเพื่อเข้าร่วมในกิจกรรม และใ"&amp;"นตอนนี้ การจัดอันดับเซิร์ฟเวอร์จะดูจากเผ่า; ปรับปรุงการส่งกองทหารออกไป
 - ปรับปรุงการสำรวจของโคลิน: ตอนนี้คุณสามารถรับรางวัลการสำรวจทั้งหมดได้ด้วยการแตะเพียงครั้งเดียว
 - ปรับปรุงโคลีเซียมดวงดาว: ปรับปรุงกลไกการจับคู่และรางวัลของกิจกรรม
 - ปรับปรุงหน้าจออ"&amp;"ินเทอร์เฟซ: ปรับปรุงหน้าการซื้อของการตรวจจับวัตถุโบราณ, ประสิทธิภาพของอินเทอร์เฟซของการล่าสัตว์ขั้นสุด, หน้าการโจมตีของการทดสอบ ณ ทางตัน และอินเทอร์เฟซอีเมลรางวัลสำหรับการปราบพวกมิวแตนต์")</f>
        <v>- นักสู้ตัวใหม่: อเล็กซิส ผู้พิทักษ์ชายแดน ฮีโร่สุดแกร่งของชนเผ่าคนเถื่อน คุณสามารถรับเขาได้ที่สนามต่อสู้
 - ปรับปรุงสงครามดาวเคราะห์: เปลี่ยนหน่วยของการเข้าร่วมเพื่อระบบนับแต่ละเผ่าที่เข้าร่วมเป็นแค่ผู้เข้าร่วมหนึ่งคน ผู้เล่นจะต่อสู้เคียงข้างพันธมิตรจากเผ่าเดียวกัน ผู้เล่นจากหลาย ๆ เผ่าบนดาวดวงเดียวกันอาจถูกแยกออกจากกัน แล้วกลายเป็นคู่ต่อสู้กันเองได้
 - เพิ่มฟังก์ชันเทเลพอร์ตในกิจกรรมลิงที่แข็งแกร่งที่สุด: ในระหว่างด่านการต่อสู้ของกิจกรรม ผู้เล่นสามารถเดินทางไปที่ดาวเคราะห์ดวงอื่นผ่านปืนใหญ่เทเลพอร์ตได้ ให้กำจัดศัตรูบนดาวเคราะห์เหล่านี้เพื่อรับรางวัล
 - คุณสมบัติป้ายชื่อใหม่: ปรับแต่งตัวละครของคุณด้วยป้ายชื่อตกแต่งสุดพิเศษ
 - กิจกรรมวันวาเลนไทน์กำลังจะเริ่มขึ้นเร็ว ๆ นี้: ร่วมลุ้นรับอุปกรณ์ตกแต่งวันหยุดสุดพิเศษและรางวัลใหญ่อื่น ๆ
 - สมบัติแก๊งใหม่: เติมแถบความก้าวหน้าของสมบัติร่วมกับสมาชิกแก๊งคนอื่น ๆ เพื่อรับรางวัลสุดพิเศษ
 - กิจกรรมใหม่ ยิงจอมโจร: ยิงและกำจัดเครื่องบินเจ็ตจอมโจรที่บินเข้ามาเพื่อรับรางวัล
 - ปรับปรุงกิจกรรมการแก้แค้นของ ดร. ฮ็อกก์: ในตอนนี้ คุณต้องเข้าร่วมเผ่าเพื่อเข้าร่วมในกิจกรรม และในตอนนี้ การจัดอันดับเซิร์ฟเวอร์จะดูจากเผ่า; ปรับปรุงการส่งกองทหารออกไป
 - ปรับปรุงการสำรวจของโคลิน: ตอนนี้คุณสามารถรับรางวัลการสำรวจทั้งหมดได้ด้วยการแตะเพียงครั้งเดียว
 - ปรับปรุงโคลีเซียมดวงดาว: ปรับปรุงกลไกการจับคู่และรางวัลของกิจกรรม
 - ปรับปรุงหน้าจออินเทอร์เฟซ: ปรับปรุงหน้าการซื้อของการตรวจจับวัตถุโบราณ, ประสิทธิภาพของอินเทอร์เฟซของการล่าสัตว์ขั้นสุด, หน้าการโจมตีของการทดสอบ ณ ทางตัน และอินเทอร์เฟซอีเมลรางวัลสำหรับการปราบพวกมิวแตนต์</v>
      </c>
      <c r="J20" s="13" t="str">
        <f>IFERROR(__xludf.DUMMYFUNCTION("""COMPUTED_VALUE"""),"- Nuevo Luchador: Alexis, Guardia de la Frontera. Un poderoso héroe de las tribus bárbaras. Consíguelo en la Arena.
 - Guerras Planetarias optimizadas: Cambio en la unidad de participación para que cada Clan cuente como un participante. Los jugadores luch"&amp;"arán junto a sus aliados del mismo Clan. Los jugadores de diferentes Clanes del mismo planeta pueden dividirse y convertirse en oponentes.
 - Función de teletransporte agregada al Mono Supremo: Durante la etapa de batalla del evento, los jugadores pueden "&amp;"viajar a otros planetas mediante el Cañón de Teletransporte, derrotar enemigos en esos planetas y ganar recompensas.
 - Nueva función de placa: Personaliza tu personaje con decoraciones exclusivas de placa.
 - Los eventos del Día de San Valentín comenzará"&amp;"n pronto: Participa para ganar decoraciones festivas exclusivas y otras grandes recompensas.
 - Nuevos Tesoros de la Banda: Avanza en el progreso del tesoro con otros miembros de la Banda para ganar increíbles recompensas.
 - Nuevo evento, Dispara al Band"&amp;"ido: Dispara y derrota a los Jets Bandido entrantes para ganar recompensas.
 - Venganza del Dr. Hogg optimizada: Ahora debes unirte a un Clan para participar en el evento; las clasificaciones de los servidores ahora son por Clan; envío de tropas optimizad"&amp;"o.
 - Exploración de Colin optimizada: Ahora puedes reclamar todas las recompensas de exploración con un solo toque.
 - Coliseo Astral optimizado: Mecanismo de recompensas y emparejamiento de eventos mejorado.
 - Pantallas de interfaz optimizadas: Mejoras"&amp;" en la página de compra de Detección de Reliquias, rendimiento de la interfaz de Cacería Extrema, página de incursiones de las Pruebas de Impasse y la interfaz de correo de recompensa por derrotar mutantes.")</f>
        <v>- Nuevo Luchador: Alexis, Guardia de la Frontera. Un poderoso héroe de las tribus bárbaras. Consíguelo en la Arena.
 - Guerras Planetarias optimizadas: Cambio en la unidad de participación para que cada Clan cuente como un participante. Los jugadores lucharán junto a sus aliados del mismo Clan. Los jugadores de diferentes Clanes del mismo planeta pueden dividirse y convertirse en oponentes.
 - Función de teletransporte agregada al Mono Supremo: Durante la etapa de batalla del evento, los jugadores pueden viajar a otros planetas mediante el Cañón de Teletransporte, derrotar enemigos en esos planetas y ganar recompensas.
 - Nueva función de placa: Personaliza tu personaje con decoraciones exclusivas de placa.
 - Los eventos del Día de San Valentín comenzarán pronto: Participa para ganar decoraciones festivas exclusivas y otras grandes recompensas.
 - Nuevos Tesoros de la Banda: Avanza en el progreso del tesoro con otros miembros de la Banda para ganar increíbles recompensas.
 - Nuevo evento, Dispara al Bandido: Dispara y derrota a los Jets Bandido entrantes para ganar recompensas.
 - Venganza del Dr. Hogg optimizada: Ahora debes unirte a un Clan para participar en el evento; las clasificaciones de los servidores ahora son por Clan; envío de tropas optimizado.
 - Exploración de Colin optimizada: Ahora puedes reclamar todas las recompensas de exploración con un solo toque.
 - Coliseo Astral optimizado: Mecanismo de recompensas y emparejamiento de eventos mejorado.
 - Pantallas de interfaz optimizadas: Mejoras en la página de compra de Detección de Reliquias, rendimiento de la interfaz de Cacería Extrema, página de incursiones de las Pruebas de Impasse y la interfaz de correo de recompensa por derrotar mutantes.</v>
      </c>
      <c r="K20" s="13" t="str">
        <f>IFERROR(__xludf.DUMMYFUNCTION("""COMPUTED_VALUE"""),"- Новый герой: пограничный страж Алексис. Могучий воитель из племени варваров. Получите его на Арене.
- Оптимизированы «Планетарные войны»: изменена система подсчета участников — теперь каждый клан считается за одного участника. Игроки будут сражаться вме"&amp;"сте со своими союзниками из одного клана. Игроки из разных кланов с одной планеты могут разделиться и стать противниками.
- Добавлена функция телепортации в «Великой обезьяне»: во время стадии сражений этого события игроки могут перемещаться на другие пла"&amp;"неты с помощью пушки телепортации, побеждать врагов на этих планетах и получать награды.
- Новая функция именных табличек: выделите своего персонажа из толпы с помощью эксклюзивных именных табличек.
- Скоро начнутся события в честь Дня святого Валентина: "&amp;"участвуйте в них, чтобы выиграть эксклюзивные праздничные украшения и другие замечательные награды.
- Новые сокровища банды: повышайте прогресс сокровищ вместе с другими членами банды, чтобы заработать отличные награды.
- Новое событие «Сбейте бандита»: с"&amp;"треляйте и побеждайте появляющиеся бандитские самолеты, чтобы получить награды.
- Оптимизирована «Месть доктора Хогга»: теперь для участия в событии необходимо вступить в клан; рейтинг сервера теперь рассчитывается для кланов; оптимизирована отправка войс"&amp;"к.
- Оптимизированы «Исследования Колина»: теперь вы можете получить все награды за исследования одним касанием.
- Оптимизирован «Астральный Колизей»: улучшены механизм подбора соперников и награды события.
- Оптимизировано отображение интерфейса: улучшен"&amp;"ы страница сканирования реликвий, работа интерфейса «Экстремальной охоты», страница рейда «Испытаний Тупика», а также интерфейс почты для получения наград за победу над мутантами.")</f>
        <v>- Новый герой: пограничный страж Алексис. Могучий воитель из племени варваров. Получите его на Арене.
- Оптимизированы «Планетарные войны»: изменена система подсчета участников — теперь каждый клан считается за одного участника. Игроки будут сражаться вместе со своими союзниками из одного клана. Игроки из разных кланов с одной планеты могут разделиться и стать противниками.
- Добавлена функция телепортации в «Великой обезьяне»: во время стадии сражений этого события игроки могут перемещаться на другие планеты с помощью пушки телепортации, побеждать врагов на этих планетах и получать награды.
- Новая функция именных табличек: выделите своего персонажа из толпы с помощью эксклюзивных именных табличек.
- Скоро начнутся события в честь Дня святого Валентина: участвуйте в них, чтобы выиграть эксклюзивные праздничные украшения и другие замечательные награды.
- Новые сокровища банды: повышайте прогресс сокровищ вместе с другими членами банды, чтобы заработать отличные награды.
- Новое событие «Сбейте бандита»: стреляйте и побеждайте появляющиеся бандитские самолеты, чтобы получить награды.
- Оптимизирована «Месть доктора Хогга»: теперь для участия в событии необходимо вступить в клан; рейтинг сервера теперь рассчитывается для кланов; оптимизирована отправка войск.
- Оптимизированы «Исследования Колина»: теперь вы можете получить все награды за исследования одним касанием.
- Оптимизирован «Астральный Колизей»: улучшены механизм подбора соперников и награды события.
- Оптимизировано отображение интерфейса: улучшены страница сканирования реликвий, работа интерфейса «Экстремальной охоты», страница рейда «Испытаний Тупика», а также интерфейс почты для получения наград за победу над мутантами.</v>
      </c>
      <c r="L20" s="13" t="str">
        <f>IFERROR(__xludf.DUMMYFUNCTION("""COMPUTED_VALUE"""),"- Yeni Savaşçı: Sınır Muhafızı Alexis. Barbar kabilelerden güçlü bir kahraman. Onu Arenadan al.
 - Gezegen Savaşları optimize edildi: Her bir Klanın bir katılımcı olarak değerlendirilmesi için katılım birimi değiştirildi. Oyuncular aynı Klandaki müttefikl"&amp;"eriyle birlikte savaşacak. Aynı gezegenin farklı Klanlarından oyuncular ayrılıp birbirine rakip olabilirler.
 - Işınlanma işlevi En Üstün Maymuna eklendi: Etkinliğin savaş aşamasında, oyuncular Işınlanma Topuyla başka gezegenlere gidebilir, bu gezegenlerd"&amp;"eki düşmanları yenebilir ve ödüller kazanabilirler.
 - Yeni tabela özelliği: Özel tabela dekorasyonlarıyla karakterini özelleştir.
 - Sevgililer Günü etkinlikleri yakında başlıyor: Özel tatil süslemelerini ve diğer harika ödülleri kazanmak için katıl.
 - "&amp;"Yeni Çete Hazineleri: Muhteşem ödüller kazanmak için diğer Çete üyeleriyle hazine ilerlemesini hızlandır.
 - Yeni etkinlik, Haydutu Vur: Ödüller kazanmak için, gelen Haydut Jetlerini vurarak yen.
 - Dr. Hogg’un İntikamı optimize edildi: Etkinliğe katılmak"&amp;" için artık bir Klana katılmalısın; sunucu sıralamaları artık Klana göre yapılıyor; birlik gönderme optimize edildi.
 - Colin’in Keşfi optimize edildi: Artık tüm keşif ödüllerini tek dokunuşla alabilirsin.
 - Yıldız Kolezyumu optimize edildi: Etkinliğin e"&amp;"şleştirme mekanizması ve ödülleri geliştirildi.
 - Arayüz görünümleri optimize edildi: Kalıntı Tespitinin satın alma sayfası, Ekstrem Avlanmanın arayüz performansı, Çıkmaz Durum Denemelerinin baskın sayfası ve mutantları yenmeye ilişkin ödül postası arayü"&amp;"zü geliştirildi.")</f>
        <v>- Yeni Savaşçı: Sınır Muhafızı Alexis. Barbar kabilelerden güçlü bir kahraman. Onu Arenadan al.
 - Gezegen Savaşları optimize edildi: Her bir Klanın bir katılımcı olarak değerlendirilmesi için katılım birimi değiştirildi. Oyuncular aynı Klandaki müttefikleriyle birlikte savaşacak. Aynı gezegenin farklı Klanlarından oyuncular ayrılıp birbirine rakip olabilirler.
 - Işınlanma işlevi En Üstün Maymuna eklendi: Etkinliğin savaş aşamasında, oyuncular Işınlanma Topuyla başka gezegenlere gidebilir, bu gezegenlerdeki düşmanları yenebilir ve ödüller kazanabilirler.
 - Yeni tabela özelliği: Özel tabela dekorasyonlarıyla karakterini özelleştir.
 - Sevgililer Günü etkinlikleri yakında başlıyor: Özel tatil süslemelerini ve diğer harika ödülleri kazanmak için katıl.
 - Yeni Çete Hazineleri: Muhteşem ödüller kazanmak için diğer Çete üyeleriyle hazine ilerlemesini hızlandır.
 - Yeni etkinlik, Haydutu Vur: Ödüller kazanmak için, gelen Haydut Jetlerini vurarak yen.
 - Dr. Hogg’un İntikamı optimize edildi: Etkinliğe katılmak için artık bir Klana katılmalısın; sunucu sıralamaları artık Klana göre yapılıyor; birlik gönderme optimize edildi.
 - Colin’in Keşfi optimize edildi: Artık tüm keşif ödüllerini tek dokunuşla alabilirsin.
 - Yıldız Kolezyumu optimize edildi: Etkinliğin eşleştirme mekanizması ve ödülleri geliştirildi.
 - Arayüz görünümleri optimize edildi: Kalıntı Tespitinin satın alma sayfası, Ekstrem Avlanmanın arayüz performansı, Çıkmaz Durum Denemelerinin baskın sayfası ve mutantları yenmeye ilişkin ödül postası arayüzü geliştirildi.</v>
      </c>
      <c r="M20" s="13" t="str">
        <f>IFERROR(__xludf.DUMMYFUNCTION("""COMPUTED_VALUE"""),"- Chiến Binh mới: Vệ Binh Biên Giới, Alexis. Một anh hùng dũng mãnh của các bộ tộc hoang dã. Nhận anh ấy trong Đấu Trường.
 - Tối ưu hóa Chiến Tranh Hành Tinh: Đã thay đổi đơn vị tham gia để mỗi Bộ Lạc được tính là một người tham gia. Người chơi sẽ chiến "&amp;"đấu bên cạnh đồng minh trong cùng Bộ Lạc của họ. Người chơi từ các Bộ Lạc khác trong cùng hành tinh có thể được tách ra và trở thành đối thủ của nhau.
 - Thêm tính năng dịch chuyển trong Chúa Khỉ Tối Cao: Trong thời gian chiến đấu của sự kiện, người chơi "&amp;"có thể du hành tới các hành tinh khác bằng Pháo Dịch Chuyển, đánh bại kẻ địch trên các hành tinh khác và kiếm thưởng.
 - Tính năng thẻ tên mới: Tùy chỉnh nhân vật của bạn bằng những món đồ trang trí thẻ tên độc quyền.
 - Sự kiện Lễ Tình Nhân sẽ sớm bắt đầ"&amp;"u: Tham gia để giành được vật phẩm trang trí kỳ nghỉ độc quyền và những phần thưởng giá trị khác.
 - Kho Báu Bang Hội mới: Đột phá tiến trình kho báu cùng các thành viên Bang Hội để kiếm những phần thưởng thú vị.
 - Sự kiện mới, Diệt Cướp: Bắn hạ Máy Bay "&amp;"Băng Cướp để kiếm thưởng.
 - Tối ưu hóa Trận Phục Thù của Tiến Sĩ Hogg: Bạn phải gia nhập Bộ Lạc để tham gia sự kiện này; thứ hạng máy chủ hiện được xếp hạng theo Bộ Lạc; tối ưu điều động lính.
 - Tối ưu hóa Khám Phá Của Colin: Bạn có thể nhận tất cả thưở"&amp;"ng trang trí trong một lần nhấp chuột.
 - Tối ưu hóa Đại Đấu Trường Thiên Thể: Đã cải thiện cơ chế ghép cặp sự kiện và thưởng.
 - Tối ưu hóa giao diện hiển thị: Đã cải thiện trang mua Thăm Dò Di Tích, hiệu suất giao diện Săn Bắt Cùng Cực, trang đột kích T"&amp;"hí Luyện Tuyệt Địa, và giao diện mail thưởng đánh bại khỉ đột biến.")</f>
        <v>- Chiến Binh mới: Vệ Binh Biên Giới, Alexis. Một anh hùng dũng mãnh của các bộ tộc hoang dã. Nhận anh ấy trong Đấu Trường.
 - Tối ưu hóa Chiến Tranh Hành Tinh: Đã thay đổi đơn vị tham gia để mỗi Bộ Lạc được tính là một người tham gia. Người chơi sẽ chiến đấu bên cạnh đồng minh trong cùng Bộ Lạc của họ. Người chơi từ các Bộ Lạc khác trong cùng hành tinh có thể được tách ra và trở thành đối thủ của nhau.
 - Thêm tính năng dịch chuyển trong Chúa Khỉ Tối Cao: Trong thời gian chiến đấu của sự kiện, người chơi có thể du hành tới các hành tinh khác bằng Pháo Dịch Chuyển, đánh bại kẻ địch trên các hành tinh khác và kiếm thưởng.
 - Tính năng thẻ tên mới: Tùy chỉnh nhân vật của bạn bằng những món đồ trang trí thẻ tên độc quyền.
 - Sự kiện Lễ Tình Nhân sẽ sớm bắt đầu: Tham gia để giành được vật phẩm trang trí kỳ nghỉ độc quyền và những phần thưởng giá trị khác.
 - Kho Báu Bang Hội mới: Đột phá tiến trình kho báu cùng các thành viên Bang Hội để kiếm những phần thưởng thú vị.
 - Sự kiện mới, Diệt Cướp: Bắn hạ Máy Bay Băng Cướp để kiếm thưởng.
 - Tối ưu hóa Trận Phục Thù của Tiến Sĩ Hogg: Bạn phải gia nhập Bộ Lạc để tham gia sự kiện này; thứ hạng máy chủ hiện được xếp hạng theo Bộ Lạc; tối ưu điều động lính.
 - Tối ưu hóa Khám Phá Của Colin: Bạn có thể nhận tất cả thưởng trang trí trong một lần nhấp chuột.
 - Tối ưu hóa Đại Đấu Trường Thiên Thể: Đã cải thiện cơ chế ghép cặp sự kiện và thưởng.
 - Tối ưu hóa giao diện hiển thị: Đã cải thiện trang mua Thăm Dò Di Tích, hiệu suất giao diện Săn Bắt Cùng Cực, trang đột kích Thí Luyện Tuyệt Địa, và giao diện mail thưởng đánh bại khỉ đột biến.</v>
      </c>
      <c r="N20" s="13"/>
      <c r="O20" s="148"/>
      <c r="P20" s="148"/>
      <c r="Q20" s="148"/>
      <c r="R20" s="148"/>
      <c r="S20" s="148"/>
      <c r="T20" s="148"/>
      <c r="U20" s="148"/>
      <c r="V20" s="148"/>
      <c r="W20" s="148"/>
      <c r="X20" s="148"/>
      <c r="Y20" s="148"/>
      <c r="Z20" s="148"/>
    </row>
    <row r="21">
      <c r="A21" s="149" t="str">
        <f>IFERROR(__xludf.DUMMYFUNCTION("""COMPUTED_VALUE"""),"0.39.0")</f>
        <v>0.39.0</v>
      </c>
      <c r="B21" s="151" t="str">
        <f>IFERROR(__xludf.DUMMYFUNCTION("""COMPUTED_VALUE"""),"-新增异星争霸玩法：带上你最强的斗士，去其他猩球争夺发射台吧；
-酒吧优化：酒吧迎来了全面的装修升级，原擂台功能也加入了酒吧；
-新增斗士天赋突破功能：突破斗士成长极限，提升斗士更多实力；
-新增每日发展报告功能：帮助指挥官更好地衡量城市发展水平；
-新增斗士：传奇特工克拉克兄弟；
-堡垒对决玩法优化：增加了解救幸存者剧情，新增了堡垒对决的关卡，斗士主动技能修改为可选择目标释放；
-前期剧情优化：增加了新的演出；
-活动页签分类优化：更清晰地展示不同类型的活动；
-卫星战场优化：优化了战场内建筑信息的显示"&amp;"；
-新增收藏品存档功能：基地25级后，指挥官可预存收藏品组合，以应对各种情况；
-荣誉币商店新增回收道具：普通、稀有收藏品升星道具，达西、伦恩、亚历克西斯的奖牌，电池资源。")</f>
        <v>-新增异星争霸玩法：带上你最强的斗士，去其他猩球争夺发射台吧；
-酒吧优化：酒吧迎来了全面的装修升级，原擂台功能也加入了酒吧；
-新增斗士天赋突破功能：突破斗士成长极限，提升斗士更多实力；
-新增每日发展报告功能：帮助指挥官更好地衡量城市发展水平；
-新增斗士：传奇特工克拉克兄弟；
-堡垒对决玩法优化：增加了解救幸存者剧情，新增了堡垒对决的关卡，斗士主动技能修改为可选择目标释放；
-前期剧情优化：增加了新的演出；
-活动页签分类优化：更清晰地展示不同类型的活动；
-卫星战场优化：优化了战场内建筑信息的显示；
-新增收藏品存档功能：基地25级后，指挥官可预存收藏品组合，以应对各种情况；
-荣誉币商店新增回收道具：普通、稀有收藏品升星道具，达西、伦恩、亚历克西斯的奖牌，电池资源。</v>
      </c>
      <c r="C21" s="152" t="str">
        <f>IFERROR(__xludf.DUMMYFUNCTION("""COMPUTED_VALUE"""),"- New Galactic Supremacy gameplay: Bring your best Fighter and go capture launchpads on other planets!
- Tavern optimized: Full renovation and upgrade to the Tavern! The Arena's original function is now incorporated into the Tavern.
- New Fighter Talent L"&amp;"eap feature: Break through the restrictions on Fighter growth and allow them to get even stronger.
- New daily Development Report: New function to help you better gauge development in the city.
- New Fighter: Ace Spies, the Clark Brothers.
- Fortress Take"&amp;"over optimized: Added new storyline on rescuing survivors; added new levels; Fighter active skills modified so you can now select the target.
- Early storylines optimized: Added new performances.
- Event tab categories optimized: Now displays different ty"&amp;"pes of events more clearly.
- Astral Coliseum optimized: Improved building info display in the battleground.
- New Relic Display Set feature: Once your City Hall reaches Lv. 25, you can save different Relic combinations to help you deal with different sit"&amp;"uations more efficiently.
- New items you can exchange/turn in added in the Honor Coin Shop: Basic and Rare Star Stones, Darcy, Len, and Alexis Medals, Batteries.")</f>
        <v>- New Galactic Supremacy gameplay: Bring your best Fighter and go capture launchpads on other planets!
- Tavern optimized: Full renovation and upgrade to the Tavern! The Arena's original function is now incorporated into the Tavern.
- New Fighter Talent Leap feature: Break through the restrictions on Fighter growth and allow them to get even stronger.
- New daily Development Report: New function to help you better gauge development in the city.
- New Fighter: Ace Spies, the Clark Brothers.
- Fortress Takeover optimized: Added new storyline on rescuing survivors; added new levels; Fighter active skills modified so you can now select the target.
- Early storylines optimized: Added new performances.
- Event tab categories optimized: Now displays different types of events more clearly.
- Astral Coliseum optimized: Improved building info display in the battleground.
- New Relic Display Set feature: Once your City Hall reaches Lv. 25, you can save different Relic combinations to help you deal with different situations more efficiently.
- New items you can exchange/turn in added in the Honor Coin Shop: Basic and Rare Star Stones, Darcy, Len, and Alexis Medals, Batteries.</v>
      </c>
      <c r="D21" s="151" t="str">
        <f>IFERROR(__xludf.DUMMYFUNCTION("""COMPUTED_VALUE"""),"- Nouveau gameplay pour la Suprématie galactique: envolez-vous sur d'autres planètes avec votre meilleur combattant pour capturer des pas de tir!
- Optimisation de la taverne, entièrement rénovée et améliorée! L'ancien gameplay de l'arène est maintenant i"&amp;"ntégré à la taverne.
- Nouvelle fonctionnalité impulsion de talents: améliorez vos combattants sans restrictions!
- Nouveau rapport quotidien de développement: visualisez plus facilement le développement de votre ville.
- Nouveau combattant: les frères Cl"&amp;"ark, espions d'élite.
- Optimisation d'Invasion de forteresse: nouvelle intrigue de sauvetage des survivants; ajout de niveaux; modification des compétences de talent des combattants pour vous permettre de sélectionner la cible.
- Modification du scénario"&amp;" d'introduction: ajout de nouvelles performances.
- Optimisation de l'onglet des évènements: les différents types d'évènements sont plus facilement identifiables.
- Optimisation du Colisée astral: les informations du bâtiment sont plus facilement visibles"&amp;" sur le champ de bataille.
- Stand de relique: lorsque votre hôtel de ville atteint le niv. 25, vous pouvez enregistrer des ensembles de reliques pour obtenir différents bonus.
- Nouveaux objets à échanger dans la boutique de pièces d'honneur: pierres d'é"&amp;"toiles rares ou standards, médailles de Darcy, Len et Alexis, batteries.")</f>
        <v>- Nouveau gameplay pour la Suprématie galactique: envolez-vous sur d'autres planètes avec votre meilleur combattant pour capturer des pas de tir!
- Optimisation de la taverne, entièrement rénovée et améliorée! L'ancien gameplay de l'arène est maintenant intégré à la taverne.
- Nouvelle fonctionnalité impulsion de talents: améliorez vos combattants sans restrictions!
- Nouveau rapport quotidien de développement: visualisez plus facilement le développement de votre ville.
- Nouveau combattant: les frères Clark, espions d'élite.
- Optimisation d'Invasion de forteresse: nouvelle intrigue de sauvetage des survivants; ajout de niveaux; modification des compétences de talent des combattants pour vous permettre de sélectionner la cible.
- Modification du scénario d'introduction: ajout de nouvelles performances.
- Optimisation de l'onglet des évènements: les différents types d'évènements sont plus facilement identifiables.
- Optimisation du Colisée astral: les informations du bâtiment sont plus facilement visibles sur le champ de bataille.
- Stand de relique: lorsque votre hôtel de ville atteint le niv. 25, vous pouvez enregistrer des ensembles de reliques pour obtenir différents bonus.
- Nouveaux objets à échanger dans la boutique de pièces d'honneur: pierres d'étoiles rares ou standards, médailles de Darcy, Len et Alexis, batteries.</v>
      </c>
      <c r="E21" s="151" t="str">
        <f>IFERROR(__xludf.DUMMYFUNCTION("""COMPUTED_VALUE"""),"- Neues Gameplay ""Vorherrschaft in der Galaxis"": Bring deinen besten Kämpfer mit und erobere Startrampen auf anderen Planeten!
 - Optimierung der Taverne: Vollständige Renovierung und Aufwertung der Taverne! Die ursprüngliche Funktion der Arena ist jetz"&amp;"t in die Taverne integriert.
 - Neues Feature ""Talentsprung"" für Kämpfer: Durchbreche die Beschränkungen für das Wachstum von Kämpfern und erlaube ihnen, noch stärker zu werden.
 - Neuer täglicher Entwicklungsbericht: Eine neue Funktion, mit der du die "&amp;"Entwicklung in der Stadt besser einschätzen kannst.
 - Neue Kämpfer: Die Spionage-Asse, die Clark-Brüder.
 - Festungsübernahme optimiert: Neue Storyline zur Rettung von Überlebenden hinzugefügt; neue Level hinzugefügt; aktive Fähigkeiten des Kämpfers ange"&amp;"passt, sodass du jetzt das Ziel auswählen kannst.
 - Frühe Storylines optimiert: Neue Ereignisse hinzugefügt.
 - Die Kategorien der Event-Registerkarte wurden optimiert: Die verschiedenen Arten von Events werden jetzt deutlicher angezeigt.
 - Optimierung "&amp;"des Astral-Kolosseums: Verbesserte Anzeige von Gebäude-Infos auf dem Schlachtfeld.
 - Neue Funktion Relikt-Display-Sätze: Sobald dein Rathaus Lv.25 erreicht hat, kannst du verschiedene Relikt-Kombinationen speichern, um verschiedene Situationen effiziente"&amp;"r zu meistern.
 - Neue Gegenstände, die du im Ehrenmünzen-Shop eintauschen/umtauschen kannst: Einfache und seltene Sternsteine, Orden von Darcy, Len und Alexis, Batterien.")</f>
        <v>- Neues Gameplay "Vorherrschaft in der Galaxis": Bring deinen besten Kämpfer mit und erobere Startrampen auf anderen Planeten!
 - Optimierung der Taverne: Vollständige Renovierung und Aufwertung der Taverne! Die ursprüngliche Funktion der Arena ist jetzt in die Taverne integriert.
 - Neues Feature "Talentsprung" für Kämpfer: Durchbreche die Beschränkungen für das Wachstum von Kämpfern und erlaube ihnen, noch stärker zu werden.
 - Neuer täglicher Entwicklungsbericht: Eine neue Funktion, mit der du die Entwicklung in der Stadt besser einschätzen kannst.
 - Neue Kämpfer: Die Spionage-Asse, die Clark-Brüder.
 - Festungsübernahme optimiert: Neue Storyline zur Rettung von Überlebenden hinzugefügt; neue Level hinzugefügt; aktive Fähigkeiten des Kämpfers angepasst, sodass du jetzt das Ziel auswählen kannst.
 - Frühe Storylines optimiert: Neue Ereignisse hinzugefügt.
 - Die Kategorien der Event-Registerkarte wurden optimiert: Die verschiedenen Arten von Events werden jetzt deutlicher angezeigt.
 - Optimierung des Astral-Kolosseums: Verbesserte Anzeige von Gebäude-Infos auf dem Schlachtfeld.
 - Neue Funktion Relikt-Display-Sätze: Sobald dein Rathaus Lv.25 erreicht hat, kannst du verschiedene Relikt-Kombinationen speichern, um verschiedene Situationen effizienter zu meistern.
 - Neue Gegenstände, die du im Ehrenmünzen-Shop eintauschen/umtauschen kannst: Einfache und seltene Sternsteine, Orden von Darcy, Len und Alexis, Batterien.</v>
      </c>
      <c r="F21" s="151" t="str">
        <f>IFERROR(__xludf.DUMMYFUNCTION("""COMPUTED_VALUE"""),"- Novo modo ""Supremacia Galáctica"": traga seu melhor combatente e capture bases de lançamento em outros planetas!
 - Melhoria na taverna: renovação e melhoria completas na taverna! A função original da arena foi incorporada à taverna.
 - Nova funcionali"&amp;"dade ""Salto de Talento de Combatente"": ultrapasse as restrições da evolução do combatente, permitindo que ele se torne mais forte.
 - Novo relatório de desenvolvimento diário: nova funcionalidade que ajudará você entender melhor o desenvolvimento da cid"&amp;"ade.
 - Novo combatente: os espiões de elite, os Irmãos Clark.
 - Conquista da Fortaleza otimizada: adicionada uma nova história no resgate de sobreviventes; novas fases; habilidades ativas de combatente modificadas para que você possa escolher o alvo.
 -"&amp;" Histórias mais antigas melhoradas: adicionadas novas performances.
 - Melhoria das categorias na aba de evento: diferentes tipos de eventos são mostrados mais claramente.
 - Melhoria no Coliseu Astral: exibição de informação de estrutura melhorada no cam"&amp;"po de batalha.
 - Nova funcionalidade de exibição de relíquias: quando sua prefeitura chega ao Nv. 25, você pode salvar combinações de relíquias para ajudar a lidar com diferentes situações mais eficientemente.
 - Adicionados novos itens que você pode tro"&amp;"car/alterar na loja de moedas de honra: pedras estelares raras e básicas, medalhas de Darcy, Len e Alexis, pilhas.")</f>
        <v>- Novo modo "Supremacia Galáctica": traga seu melhor combatente e capture bases de lançamento em outros planetas!
 - Melhoria na taverna: renovação e melhoria completas na taverna! A função original da arena foi incorporada à taverna.
 - Nova funcionalidade "Salto de Talento de Combatente": ultrapasse as restrições da evolução do combatente, permitindo que ele se torne mais forte.
 - Novo relatório de desenvolvimento diário: nova funcionalidade que ajudará você entender melhor o desenvolvimento da cidade.
 - Novo combatente: os espiões de elite, os Irmãos Clark.
 - Conquista da Fortaleza otimizada: adicionada uma nova história no resgate de sobreviventes; novas fases; habilidades ativas de combatente modificadas para que você possa escolher o alvo.
 - Histórias mais antigas melhoradas: adicionadas novas performances.
 - Melhoria das categorias na aba de evento: diferentes tipos de eventos são mostrados mais claramente.
 - Melhoria no Coliseu Astral: exibição de informação de estrutura melhorada no campo de batalha.
 - Nova funcionalidade de exibição de relíquias: quando sua prefeitura chega ao Nv. 25, você pode salvar combinações de relíquias para ajudar a lidar com diferentes situações mais eficientemente.
 - Adicionados novos itens que você pode trocar/alterar na loja de moedas de honra: pedras estelares raras e básicas, medalhas de Darcy, Len e Alexis, pilhas.</v>
      </c>
      <c r="G21" s="151" t="str">
        <f>IFERROR(__xludf.DUMMYFUNCTION("""COMPUTED_VALUE"""),"-新增異星爭霸玩法：帶上你最強的鬥士，去其他猩球爭奪發射臺吧；
-酒吧優化：酒吧迎來了全面的裝修升級，原擂臺功能也加入了酒吧；
-新增鬥士天賦突破功能：突破鬥士成長極限，提升鬥士更多實力；
-新增每日發展報告功能：幫助指揮官更好地衡量城市發展水平；
-新增鬥士：傳奇特工克拉克兄弟；
-堡壘對決玩法優化：增加了解救幸存者劇情，新增了堡壘對決的關卡，鬥士主動技能修改為可選擇目標釋放；
-前期劇情優化：增加了新的演出；
-活動頁簽分類優化：更清晰地展示不同類型的活動；
-衛星戰場優化：優化了戰場內建築信息的顯示"&amp;"；
-新增收藏品存檔功能：基地25級後，指揮官可預存收藏品組合，以應對各種情況；
-榮譽幣商店新增回收道具：普通、稀有收藏品升星道具，達西、倫恩、亞歷克西斯的獎牌，電池資源。")</f>
        <v>-新增異星爭霸玩法：帶上你最強的鬥士，去其他猩球爭奪發射臺吧；
-酒吧優化：酒吧迎來了全面的裝修升級，原擂臺功能也加入了酒吧；
-新增鬥士天賦突破功能：突破鬥士成長極限，提升鬥士更多實力；
-新增每日發展報告功能：幫助指揮官更好地衡量城市發展水平；
-新增鬥士：傳奇特工克拉克兄弟；
-堡壘對決玩法優化：增加了解救幸存者劇情，新增了堡壘對決的關卡，鬥士主動技能修改為可選擇目標釋放；
-前期劇情優化：增加了新的演出；
-活動頁簽分類優化：更清晰地展示不同類型的活動；
-衛星戰場優化：優化了戰場內建築信息的顯示；
-新增收藏品存檔功能：基地25級後，指揮官可預存收藏品組合，以應對各種情況；
-榮譽幣商店新增回收道具：普通、稀有收藏品升星道具，達西、倫恩、亞歷克西斯的獎牌，電池資源。</v>
      </c>
      <c r="H21" s="151" t="str">
        <f>IFERROR(__xludf.DUMMYFUNCTION("""COMPUTED_VALUE"""),"- Gameplay Supremasi Galaksi baru: Bawa Pejuang terbaikmu dan kuasai landasan luncur planet lain!
 - Kedai dioptimalkan: Renovasi penuh dan tingkatkan ke Kedai! Fungsi semula Arena sekarang digabungkan dengan Kedai.
 - Fitur Lompatan Bakat Pejuang baru: M"&amp;"enerobos batas pertumbuhan Pejuang dan menjadikan mereka lebih kuat.
 - Laporan Perkembangan harian baru: Fungsi baru untuk membantumu mengukur perkembangan di kota secara lebih baik.
 - Pejuang Baru: Mata-Mata Ulung, Clark Bersaudara.
 - Ambil Alih Bente"&amp;"ng dioptimalkan: Menambahkan alur cerita baru pada penyelematan penyintas; menambahkan level baru; Skill aktif Pejuang dimodifikasi agar kamu bisa memilih target.
 - Alur cerita awal dioptimalkan: Menambahkan performa baru.
 - Kategori tabel acara dioptim"&amp;"alkan: Sekarang menampilkan tipe acara berbeda secara lebih jelas.
 - Koloseum Astral dioptimalkan: memperbaiki tampilan informasi bangunan di medan perang.
 - Fitur Rangkaian Tampilan Pusaka baru: Setelah Balai Kota mencapai Lv. 25, kamu bisa menyimpan k"&amp;"ombinasi Pusaka berbeda untuk membantumu dalam mengatasi situasi berbeda secara lebih efisien.
 - Tambahan item baru yang bisa kamu tukar/serahkan di Toko Koin Kehormatan: Batu Bintang Dasar dan Langka, Medali Darcy, Len, Alexis, dan Baterai.")</f>
        <v>- Gameplay Supremasi Galaksi baru: Bawa Pejuang terbaikmu dan kuasai landasan luncur planet lain!
 - Kedai dioptimalkan: Renovasi penuh dan tingkatkan ke Kedai! Fungsi semula Arena sekarang digabungkan dengan Kedai.
 - Fitur Lompatan Bakat Pejuang baru: Menerobos batas pertumbuhan Pejuang dan menjadikan mereka lebih kuat.
 - Laporan Perkembangan harian baru: Fungsi baru untuk membantumu mengukur perkembangan di kota secara lebih baik.
 - Pejuang Baru: Mata-Mata Ulung, Clark Bersaudara.
 - Ambil Alih Benteng dioptimalkan: Menambahkan alur cerita baru pada penyelematan penyintas; menambahkan level baru; Skill aktif Pejuang dimodifikasi agar kamu bisa memilih target.
 - Alur cerita awal dioptimalkan: Menambahkan performa baru.
 - Kategori tabel acara dioptimalkan: Sekarang menampilkan tipe acara berbeda secara lebih jelas.
 - Koloseum Astral dioptimalkan: memperbaiki tampilan informasi bangunan di medan perang.
 - Fitur Rangkaian Tampilan Pusaka baru: Setelah Balai Kota mencapai Lv. 25, kamu bisa menyimpan kombinasi Pusaka berbeda untuk membantumu dalam mengatasi situasi berbeda secara lebih efisien.
 - Tambahan item baru yang bisa kamu tukar/serahkan di Toko Koin Kehormatan: Batu Bintang Dasar dan Langka, Medali Darcy, Len, Alexis, dan Baterai.</v>
      </c>
      <c r="I21" s="151" t="str">
        <f>IFERROR(__xludf.DUMMYFUNCTION("""COMPUTED_VALUE"""),"- กิจกรรมความเป็นหนึ่งในกาแล็กซี่ใหม่: พานักสู้ที่ดีที่สุดของคุณเพื่อไปยึดฐานปล่อยจรวดบนดาวเคราะห์ดวงอื่น!
 - ปรับปรุงโรงแรม: ปรับปรุงโรงแรมและอัปเกรดใหม่ทั้งหมด! ฟังก์ชันดั้งเดิมของสนามต่อสู้จะถูกรวมเข้าไว้ในโรงแรมแล้ว
 - คุณสมบัติใหม่ของนักสู้ การก้าวกร"&amp;"ะโดดความสามารถ: ฝ่าข้อจำกัดในการเติบโตของนักสู้และทำให้พวกเขาแข็งแกร่งขึ้น
 - รายงานการพัฒนารายวันแบบใหม่: ฟังก์ชั่นใหม่เพื่อช่วยให้คุณวัดการพัฒนาในเมืองได้ดียิ่งขึ้น
 - นักสู้ตัวใหม่: พี่น้องคลาร์ก สายลับมือหนึ่ง
 - ปรับปรุงการยึดป้อมปราการ: เพิ่มเนื้อเร"&amp;"ื่องใหม่ในการช่วยเหลือผู้รอดชีวิต, เพิ่มระดับใหม่, ปรับเปลี่ยนทักษะทางตรงของนักสู้เพื่อให้คุณสามารถเลือกเป้าหมายได้
 - ปรับปรุงเนื้อเรื่องช่วงแรก: เพิ่มการแสดงใหม่
 - ปรับหมวดหมู่แท็บกิจกรรม: ในตอนนี้ การแสดงกิจกรรมประเภทต่าง ๆ จะเห็นได้ชัดเจนยิ่งขึ้น
 - "&amp;"ปรับปรุงโคลีเซียมดวงดาว: ปรับปรุงการแสดงข้อมูลสิ่งปลูกสร้างในสนามรบ
 - คุณสมบัติใหม่ การจัดแสดงชุดวัตถุโบราณ: เมื่อศาลากลางของคุณถึงเลเวล 25 คุณสามารถบันทึกชุดการผสมวัตถุโบราณต่างๆ เพื่อช่วยให้คุณจัดการกับสถานการณ์ต่าง ๆ ได้อย่างมีประสิทธิภาพมากขึ้น
 - ไอ"&amp;"เทมใหม่ที่คุณสามารถแลกเปลี่ยน/เปลี่ยนได้ที่ร้านเหรียญเกียรติยศ: หินรูปดาวแบบพื้นฐานและแบบหายาก, เหรียญตราของดาร์ซี่ เลน และอเล็กซิส, แบตเตอรี่")</f>
        <v>- กิจกรรมความเป็นหนึ่งในกาแล็กซี่ใหม่: พานักสู้ที่ดีที่สุดของคุณเพื่อไปยึดฐานปล่อยจรวดบนดาวเคราะห์ดวงอื่น!
 - ปรับปรุงโรงแรม: ปรับปรุงโรงแรมและอัปเกรดใหม่ทั้งหมด! ฟังก์ชันดั้งเดิมของสนามต่อสู้จะถูกรวมเข้าไว้ในโรงแรมแล้ว
 - คุณสมบัติใหม่ของนักสู้ การก้าวกระโดดความสามารถ: ฝ่าข้อจำกัดในการเติบโตของนักสู้และทำให้พวกเขาแข็งแกร่งขึ้น
 - รายงานการพัฒนารายวันแบบใหม่: ฟังก์ชั่นใหม่เพื่อช่วยให้คุณวัดการพัฒนาในเมืองได้ดียิ่งขึ้น
 - นักสู้ตัวใหม่: พี่น้องคลาร์ก สายลับมือหนึ่ง
 - ปรับปรุงการยึดป้อมปราการ: เพิ่มเนื้อเรื่องใหม่ในการช่วยเหลือผู้รอดชีวิต, เพิ่มระดับใหม่, ปรับเปลี่ยนทักษะทางตรงของนักสู้เพื่อให้คุณสามารถเลือกเป้าหมายได้
 - ปรับปรุงเนื้อเรื่องช่วงแรก: เพิ่มการแสดงใหม่
 - ปรับหมวดหมู่แท็บกิจกรรม: ในตอนนี้ การแสดงกิจกรรมประเภทต่าง ๆ จะเห็นได้ชัดเจนยิ่งขึ้น
 - ปรับปรุงโคลีเซียมดวงดาว: ปรับปรุงการแสดงข้อมูลสิ่งปลูกสร้างในสนามรบ
 - คุณสมบัติใหม่ การจัดแสดงชุดวัตถุโบราณ: เมื่อศาลากลางของคุณถึงเลเวล 25 คุณสามารถบันทึกชุดการผสมวัตถุโบราณต่างๆ เพื่อช่วยให้คุณจัดการกับสถานการณ์ต่าง ๆ ได้อย่างมีประสิทธิภาพมากขึ้น
 - ไอเทมใหม่ที่คุณสามารถแลกเปลี่ยน/เปลี่ยนได้ที่ร้านเหรียญเกียรติยศ: หินรูปดาวแบบพื้นฐานและแบบหายาก, เหรียญตราของดาร์ซี่ เลน และอเล็กซิส, แบตเตอรี่</v>
      </c>
      <c r="J21" s="151" t="str">
        <f>IFERROR(__xludf.DUMMYFUNCTION("""COMPUTED_VALUE"""),"- Nueva jugabilidad en Supremacía Galáctica: ¡Trae a tu mejor Luchador y lánzate a capturar Plataformas de Lanzamiento en otros planetas!
 - Taberna optimizada: ¡Renovación completa y mejora de la Taberna! La función original de la Arena ahora será incorp"&amp;"orada a la Taberna.
 - Nueva función de Ascenso de Talento para el Luchador: Rompe con las restricciones para el crecimiento de los Luchadores y permite que se vuelvan aún más fuertes.
 - Nuevo Informe de Desarrollo diario: Esta nueva función te ayudará a"&amp;" medir mejor el desarrollo de la ciudad.
 - Nuevo luchador: Espías Expertos, los hermanos Clark.
 - Toma de la Fortaleza optimizada: Se agregó una nueva historia relacionada con el rescate de sobrevivientes; nuevos niveles añadidos; Habilidades activas de"&amp;" Luchador modificadas para que ahora puedas seleccionar el objetivo.
 - Primeras historias optimizadas: Se agregaron nuevas actuaciones.
 - Categorías dentro de las pestañas de eventos optimizadas: Ahora se despliegan diversos tipos de eventos con mayor c"&amp;"laridad.
 - Coliseo Astral optimizado: Pantalla de información de construcción mejorada en el campo de batalla.
 - Nueva función de Conjunto de Exhibición de Reliquias: Una vez que tu Ayuntamiento alcanza el Nvl. 25, puedes guardar diferentes combinacione"&amp;"s de Reliquias para ayudarte a enfrentar diferentes situaciones de una manera más eficiente.
 - Se agregaron nuevos artículos que puedes intercambiar/canjear en la Tienda de Monedas de Honor: Piedras Estelares Básicas y Raras, medallas de Darcy, Len y Ale"&amp;"xis, Baterías.")</f>
        <v>- Nueva jugabilidad en Supremacía Galáctica: ¡Trae a tu mejor Luchador y lánzate a capturar Plataformas de Lanzamiento en otros planetas!
 - Taberna optimizada: ¡Renovación completa y mejora de la Taberna! La función original de la Arena ahora será incorporada a la Taberna.
 - Nueva función de Ascenso de Talento para el Luchador: Rompe con las restricciones para el crecimiento de los Luchadores y permite que se vuelvan aún más fuertes.
 - Nuevo Informe de Desarrollo diario: Esta nueva función te ayudará a medir mejor el desarrollo de la ciudad.
 - Nuevo luchador: Espías Expertos, los hermanos Clark.
 - Toma de la Fortaleza optimizada: Se agregó una nueva historia relacionada con el rescate de sobrevivientes; nuevos niveles añadidos; Habilidades activas de Luchador modificadas para que ahora puedas seleccionar el objetivo.
 - Primeras historias optimizadas: Se agregaron nuevas actuaciones.
 - Categorías dentro de las pestañas de eventos optimizadas: Ahora se despliegan diversos tipos de eventos con mayor claridad.
 - Coliseo Astral optimizado: Pantalla de información de construcción mejorada en el campo de batalla.
 - Nueva función de Conjunto de Exhibición de Reliquias: Una vez que tu Ayuntamiento alcanza el Nvl. 25, puedes guardar diferentes combinaciones de Reliquias para ayudarte a enfrentar diferentes situaciones de una manera más eficiente.
 - Se agregaron nuevos artículos que puedes intercambiar/canjear en la Tienda de Monedas de Honor: Piedras Estelares Básicas y Raras, medallas de Darcy, Len y Alexis, Baterías.</v>
      </c>
      <c r="K21" s="151" t="str">
        <f>IFERROR(__xludf.DUMMYFUNCTION("""COMPUTED_VALUE"""),"- Новый игровой процесс: «Галактическое превосходство». Берите лучшего героя и отправляйтесь захватывать стартплощадки на других планетах!
- Оптимизация таверны: полная реконструкция и улучшение таверны! В таверну перенесена изначальная функция арены.
- Н"&amp;"овая возможность: скачок таланта героя. Преодолейте ограничения на развитие героев и позвольте им стать еще сильнее.
- Новый ежедневный отчет о развитии: новая функция, которая поможет вам лучше оценить развитие города.
- Новый герой: Братья Кларк, асы шп"&amp;"ионажа.
- Оптимизирован «Захват крепости»: добавлена новая сюжетная линия о спасении выживших; добавлены новые уровни; изменены активные навыки героев, так что вы можете выбирать цели.
- Оптимизированы сюжетные линии в ранней игре: добавлены новые выступл"&amp;"ения.
- Оптимизированы категории вкладки событий: теперь различные типы событий показаны более четко.
- Оптимизирован «Астральный Колизей»: улучшено отображение сведений о здании на поле боя.
- Новая функция комплектов реликвий для выставки: когда ваш гор"&amp;"одской совет достигнет 25-го уровня, вы сможете сохранять различные комбинации реликвий, помогающие эффективнее справляться с разными ситуациями.
- Добавлены новые предметы для обмена в магазине монет чести: базовые и редкие звездные камни, медали Дарси, "&amp;"Лена и Алексиса, батарейки.")</f>
        <v>- Новый игровой процесс: «Галактическое превосходство». Берите лучшего героя и отправляйтесь захватывать стартплощадки на других планетах!
- Оптимизация таверны: полная реконструкция и улучшение таверны! В таверну перенесена изначальная функция арены.
- Новая возможность: скачок таланта героя. Преодолейте ограничения на развитие героев и позвольте им стать еще сильнее.
- Новый ежедневный отчет о развитии: новая функция, которая поможет вам лучше оценить развитие города.
- Новый герой: Братья Кларк, асы шпионажа.
- Оптимизирован «Захват крепости»: добавлена новая сюжетная линия о спасении выживших; добавлены новые уровни; изменены активные навыки героев, так что вы можете выбирать цели.
- Оптимизированы сюжетные линии в ранней игре: добавлены новые выступления.
- Оптимизированы категории вкладки событий: теперь различные типы событий показаны более четко.
- Оптимизирован «Астральный Колизей»: улучшено отображение сведений о здании на поле боя.
- Новая функция комплектов реликвий для выставки: когда ваш городской совет достигнет 25-го уровня, вы сможете сохранять различные комбинации реликвий, помогающие эффективнее справляться с разными ситуациями.
- Добавлены новые предметы для обмена в магазине монет чести: базовые и редкие звездные камни, медали Дарси, Лена и Алексиса, батарейки.</v>
      </c>
      <c r="L21" s="151" t="str">
        <f>IFERROR(__xludf.DUMMYFUNCTION("""COMPUTED_VALUE"""),"- Yeni Galaktik Üstünlük oynanışı: En iyi Savaşçını getir ve diğer gezegenlerdeki fırlatma rampalarını ele geçir!
 - Taverna optimize edildi: Tavernada kapsamlı yenileme ve yükseltme! Arenanın esas işlevi şimdi Taverna kapsamına dâhil edildi.
 - Yeni Sava"&amp;"şçı Yetenek Sıçraması özelliği: Savaşçı büyümesine ilişkin kısıtlamaları aş ve daha da güçlenmelerini sağla.
 - Yeni günlük Gelişim Raporu: Şehirdeki gelişimi daha iyi ölçmeni sağlayacak yeni işlev.
 - Yeni Savaşçı: Süper Casuslar, Clark Kardeşler.
 - Kal"&amp;"eyi Ele Geçirme optimize edildi: Hayatta kalanları kurtarmaya yönelik yeni hikâye eklendi; yeni seviyeler eklendi; Savaşçı Aktif becerileri değiştirildi, artık hedefi seçebileceksin.
 - İlk dönemlerin hikâyesi optimize edildi: Yeni performanslar eklendi.
"&amp;" - Etkinlik sekmesi kategorileri optimize edildi: Farklı etkinlik türleri artık daha net şekilde görülüyor.
 - Yıldız Kolezyumu optimize edildi: Savaş meydanındaki bina bilgi ekranı iyileştirildi.
 - Yeni Kalıntı Görüntüleme Seti özelliği: Meclisin 25. Sv"&amp;".’ye ulaştığında farklı durumlarla daha etkili şekilde baş edebilmen için farklı Kalıntı bileşimlerini kaydedebilirsin.
 - Takas edebileceğin/teslim edebileceğin yeni eşyalar Onur Parası Mağazasına eklendi: Temel ve Nadir Yıldız Taşları, Darcy, Len ve Ale"&amp;"xis Madalyaları, Bataryalar.")</f>
        <v>- Yeni Galaktik Üstünlük oynanışı: En iyi Savaşçını getir ve diğer gezegenlerdeki fırlatma rampalarını ele geçir!
 - Taverna optimize edildi: Tavernada kapsamlı yenileme ve yükseltme! Arenanın esas işlevi şimdi Taverna kapsamına dâhil edildi.
 - Yeni Savaşçı Yetenek Sıçraması özelliği: Savaşçı büyümesine ilişkin kısıtlamaları aş ve daha da güçlenmelerini sağla.
 - Yeni günlük Gelişim Raporu: Şehirdeki gelişimi daha iyi ölçmeni sağlayacak yeni işlev.
 - Yeni Savaşçı: Süper Casuslar, Clark Kardeşler.
 - Kaleyi Ele Geçirme optimize edildi: Hayatta kalanları kurtarmaya yönelik yeni hikâye eklendi; yeni seviyeler eklendi; Savaşçı Aktif becerileri değiştirildi, artık hedefi seçebileceksin.
 - İlk dönemlerin hikâyesi optimize edildi: Yeni performanslar eklendi.
 - Etkinlik sekmesi kategorileri optimize edildi: Farklı etkinlik türleri artık daha net şekilde görülüyor.
 - Yıldız Kolezyumu optimize edildi: Savaş meydanındaki bina bilgi ekranı iyileştirildi.
 - Yeni Kalıntı Görüntüleme Seti özelliği: Meclisin 25. Sv.’ye ulaştığında farklı durumlarla daha etkili şekilde baş edebilmen için farklı Kalıntı bileşimlerini kaydedebilirsin.
 - Takas edebileceğin/teslim edebileceğin yeni eşyalar Onur Parası Mağazasına eklendi: Temel ve Nadir Yıldız Taşları, Darcy, Len ve Alexis Madalyaları, Bataryalar.</v>
      </c>
      <c r="M21" s="151" t="str">
        <f>IFERROR(__xludf.DUMMYFUNCTION("""COMPUTED_VALUE"""),"- Lối chơi Bá Chủ Ngân Hà mới: Mang lại cho bạn Chiến Binh giỏi nhất và đi chiếm bệ phóng trên những hành tinh khác!
 - Tối ưu Tửu Quán: Cải tiến toàn bộ và nâng cấp lên Tửu Quán! Chức năng ban đầu của Đấu Trường hiện đã được tích hợp vào Tửu Quán.
 - Tín"&amp;"h năng Tài Năng Nhảy Vọt của Chiến Binh mới: Phá vỡ các hạn chế về sự phát triển của Chiến Binh và cho phép họ mạnh hơn.
 - Báo Cáo Phát Triển hàng ngày mới: Chức năng mới để hỗ trợ bạn đo lường sự phát triển trong thành phố tốt hơn.
 - Chiến Binh mới: An"&amp;"h Em Nhà Clark - Gián Điệp Chủ Bài.
 - Tối ưu Tiếp Quản Pháo Đài: Thêm cốt truyện mới về giải cứu những người sống sót; thêm các cấp mới; chỉnh sửa các kỹ năng chủ động của Chiến Binh để bạn có thể chọn mục tiêu.
 - Tối ưu cốt truyện giai đoạn đầu: Thêm h"&amp;"iệu suất mới.
 - Tối ưu danh mục thẻ sự kiện: Hiện đã hiển thị các loại sự kiện khác nhau một cách rõ ràng hơn.
 - Tối ưu Đại Đấu Trường Thiên Thể: Cải thiện giao diện hiển thị thông tin công trình trên chiến trường.
 - Tính năng Bộ Hiển Thị Di Tích mới: "&amp;"Khi Tòa Thị Chính của bạn đạt Cấp 25, bạn có thể lưu trữ các mảnh kết hợp Di Tích khác nhau để giúp bạn giải quyết các tình huống khác nhau một cách hiệu quả hơn.
 - Vật phẩm mới mà bạn có thể trao đổi/thêm vào Cửa Hàng Xu Danh Dự: Đá Sao Hiếm và Cơ Bản, "&amp;"Darcy, Len, và Huy Hiệu Alexis, Pin.")</f>
        <v>- Lối chơi Bá Chủ Ngân Hà mới: Mang lại cho bạn Chiến Binh giỏi nhất và đi chiếm bệ phóng trên những hành tinh khác!
 - Tối ưu Tửu Quán: Cải tiến toàn bộ và nâng cấp lên Tửu Quán! Chức năng ban đầu của Đấu Trường hiện đã được tích hợp vào Tửu Quán.
 - Tính năng Tài Năng Nhảy Vọt của Chiến Binh mới: Phá vỡ các hạn chế về sự phát triển của Chiến Binh và cho phép họ mạnh hơn.
 - Báo Cáo Phát Triển hàng ngày mới: Chức năng mới để hỗ trợ bạn đo lường sự phát triển trong thành phố tốt hơn.
 - Chiến Binh mới: Anh Em Nhà Clark - Gián Điệp Chủ Bài.
 - Tối ưu Tiếp Quản Pháo Đài: Thêm cốt truyện mới về giải cứu những người sống sót; thêm các cấp mới; chỉnh sửa các kỹ năng chủ động của Chiến Binh để bạn có thể chọn mục tiêu.
 - Tối ưu cốt truyện giai đoạn đầu: Thêm hiệu suất mới.
 - Tối ưu danh mục thẻ sự kiện: Hiện đã hiển thị các loại sự kiện khác nhau một cách rõ ràng hơn.
 - Tối ưu Đại Đấu Trường Thiên Thể: Cải thiện giao diện hiển thị thông tin công trình trên chiến trường.
 - Tính năng Bộ Hiển Thị Di Tích mới: Khi Tòa Thị Chính của bạn đạt Cấp 25, bạn có thể lưu trữ các mảnh kết hợp Di Tích khác nhau để giúp bạn giải quyết các tình huống khác nhau một cách hiệu quả hơn.
 - Vật phẩm mới mà bạn có thể trao đổi/thêm vào Cửa Hàng Xu Danh Dự: Đá Sao Hiếm và Cơ Bản, Darcy, Len, và Huy Hiệu Alexis, Pin.</v>
      </c>
      <c r="N21" s="151"/>
      <c r="O21" s="83"/>
      <c r="P21" s="83"/>
      <c r="Q21" s="148"/>
      <c r="R21" s="148"/>
      <c r="S21" s="148"/>
      <c r="T21" s="148"/>
      <c r="U21" s="148"/>
      <c r="V21" s="148"/>
      <c r="W21" s="148"/>
      <c r="X21" s="148"/>
      <c r="Y21" s="148"/>
      <c r="Z21" s="148"/>
    </row>
    <row r="22">
      <c r="A22" s="149" t="str">
        <f>IFERROR(__xludf.DUMMYFUNCTION("""COMPUTED_VALUE"""),"0.40.0")</f>
        <v>0.40.0</v>
      </c>
      <c r="B22" s="44" t="str">
        <f>IFERROR(__xludf.DUMMYFUNCTION("""COMPUTED_VALUE"""),"-新增斗士“战装“系统：推出了斗士可以佩戴的战斗装备及其制造系统。战装在提供额外的属性增益同时，还会生成强大的战装技能；
-新增玩法“重装出击”：打败试炼战场中的敌人，获得打造特殊战装的图纸和材料！
-决战卫星之巅新增“邀请赛”：八个顶尖帮派跨服争锋！谁能夺冠拭目以待！
-新增“齐心扬名”活动：和帮派成员使用统一前缀后缀，凝聚一心，打响帮派名号！
-新增“彩蛋节派对“系列活动：彩蛋节派对即将开启！参与活动赢取节日限定装饰以及更多丰富奖励；
-VIP系统优化：VIP16和17级现已开放！升级VIP等级，尊享"&amp;"更多特权，领取更多奖励；
-最强猴子优化：最强猴子排行榜奖牌新增自选英雄功能；
-聊天系统优化：优化了红点显示，以及聊天界面文字输入体验；
-火车竞赛优化：优化了火车竞赛的场景，战斗场景更加立体；
-阅兵场优化：优化了阅兵场内部队动画；
-行军优化：在野外部队新增一键多选功能。优化了斗士界面和行军界面的行军容量显示逻辑；")</f>
        <v>-新增斗士“战装“系统：推出了斗士可以佩戴的战斗装备及其制造系统。战装在提供额外的属性增益同时，还会生成强大的战装技能；
-新增玩法“重装出击”：打败试炼战场中的敌人，获得打造特殊战装的图纸和材料！
-决战卫星之巅新增“邀请赛”：八个顶尖帮派跨服争锋！谁能夺冠拭目以待！
-新增“齐心扬名”活动：和帮派成员使用统一前缀后缀，凝聚一心，打响帮派名号！
-新增“彩蛋节派对“系列活动：彩蛋节派对即将开启！参与活动赢取节日限定装饰以及更多丰富奖励；
-VIP系统优化：VIP16和17级现已开放！升级VIP等级，尊享更多特权，领取更多奖励；
-最强猴子优化：最强猴子排行榜奖牌新增自选英雄功能；
-聊天系统优化：优化了红点显示，以及聊天界面文字输入体验；
-火车竞赛优化：优化了火车竞赛的场景，战斗场景更加立体；
-阅兵场优化：优化了阅兵场内部队动画；
-行军优化：在野外部队新增一键多选功能。优化了斗士界面和行军界面的行军容量显示逻辑；</v>
      </c>
      <c r="C22" s="156" t="str">
        <f>IFERROR(__xludf.DUMMYFUNCTION("""COMPUTED_VALUE"""),"- New ""equipment"" system for Fighters: Introducing battle equipment that can be worn by Fighters and how to make them. Equipment provides extra boosts as well as powerful skills.
- New gameplay, ""Loaded Strike"": Defeat enemies in the training ground a"&amp;"nd get blueprints and materials to make equipments!
- New ""Invitational"" tournament for Astral Coliseum: 8 top Gangs will participate in the cross-server competition. Who will be crowned champion?
- New ""Shared Renown"" event: Use the exclusive Gang pr"&amp;"efix and suffix and work with other members to make a name for your Gang!
- New ""Lucky Eggstravaganza"" event series: The Lucky Eggstravaganza starts soon! Participate to win special-edition decorations and other amazing rewards.
- VIP system optimized: "&amp;"VIP16 and VIP17 now open. Upgrade your VIP level to enjoy more special privileges and rewards.
- Ultimate Monkey optimized: You can now get the Medals of a Fighter of your choice as ranking rewards.
- Chat optimized: Improved the display of red dots and t"&amp;"ext input in the chat interface.
- Great Train Race optimized: Improved settings and scenes, and made battle scenes more 3-D.
- Parade Grounds optimized: Improved troop animations.
- Marching optimized: New multi-select function added for troops on the ma"&amp;"p. Optimized march capacity displays on the FIghter and march interfaces.")</f>
        <v>- New "equipment" system for Fighters: Introducing battle equipment that can be worn by Fighters and how to make them. Equipment provides extra boosts as well as powerful skills.
- New gameplay, "Loaded Strike": Defeat enemies in the training ground and get blueprints and materials to make equipments!
- New "Invitational" tournament for Astral Coliseum: 8 top Gangs will participate in the cross-server competition. Who will be crowned champion?
- New "Shared Renown" event: Use the exclusive Gang prefix and suffix and work with other members to make a name for your Gang!
- New "Lucky Eggstravaganza" event series: The Lucky Eggstravaganza starts soon! Participate to win special-edition decorations and other amazing rewards.
- VIP system optimized: VIP16 and VIP17 now open. Upgrade your VIP level to enjoy more special privileges and rewards.
- Ultimate Monkey optimized: You can now get the Medals of a Fighter of your choice as ranking rewards.
- Chat optimized: Improved the display of red dots and text input in the chat interface.
- Great Train Race optimized: Improved settings and scenes, and made battle scenes more 3-D.
- Parade Grounds optimized: Improved troop animations.
- Marching optimized: New multi-select function added for troops on the map. Optimized march capacity displays on the FIghter and march interfaces.</v>
      </c>
      <c r="D22" s="44" t="str">
        <f>IFERROR(__xludf.DUMMYFUNCTION("""COMPUTED_VALUE"""),"- Nouveau système ""d'équipement"" pour les combattants: découvrez comment fabriquer de l'équipement militaire, que les combattants peuvent porter pour bénéficier de bonus supplémentaires et de puissantes compétences. Les équipements procurent des bonus s"&amp;"upplémentaires et de puissantes compétences.
- Nouveau gameplay de ""la Frappe Chargée"": éliminez des ennemis sur le terrain d'entraînement pour obtenir les plans et matériaux nécessaires à la fabrication d'équipement!
- Nouveau ""Cercle"" pour le Colisé"&amp;"e astral: les 8 meilleurs gangs prennent part à un tournoi interserveurs. Qui sera le grand champion?
- Nouvel évènement ""Renommée partagée"": portez fièrement le préfixe et le suffixe de votre gang, et collaborez avec les autres membres pour faire grand"&amp;"ir sa renommée.
- Nouvel évènement ""Festi-Pâques"": c'est bientôt le Festi-Pâques! Participez pour gagner des décors en édition spéciale et de nombreuses récompenses.
- Système VIP optimisé: création des niveaux VIP16 et VIP17. Augmentez votre niveau VIP"&amp;" pour profiter d'encore plus de privilèges spéciaux et de récompenses.
- Singe ultime optimisé: vous pouvez désormais obtenir les médailles du combattant de votre choix en récompense de classement.
- Chat optimisé: l'affichage des points rouges et l'inter"&amp;"face de saisie de texte ont été optimisés.
- Grande course de trains optimisée: paramètres et scènes améliorés; ajout de scènes de batailles en 3D.
- Amélioration des animations des troupes sur la place d'armes.
- Déplacements optimisés: nouvelle fonction"&amp;" multisélection des troupes sur la carte. Optimisation de l'affichage de la capacité sur l'interface des combattants et des déplacements.")</f>
        <v>- Nouveau système "d'équipement" pour les combattants: découvrez comment fabriquer de l'équipement militaire, que les combattants peuvent porter pour bénéficier de bonus supplémentaires et de puissantes compétences. Les équipements procurent des bonus supplémentaires et de puissantes compétences.
- Nouveau gameplay de "la Frappe Chargée": éliminez des ennemis sur le terrain d'entraînement pour obtenir les plans et matériaux nécessaires à la fabrication d'équipement!
- Nouveau "Cercle" pour le Colisée astral: les 8 meilleurs gangs prennent part à un tournoi interserveurs. Qui sera le grand champion?
- Nouvel évènement "Renommée partagée": portez fièrement le préfixe et le suffixe de votre gang, et collaborez avec les autres membres pour faire grandir sa renommée.
- Nouvel évènement "Festi-Pâques": c'est bientôt le Festi-Pâques! Participez pour gagner des décors en édition spéciale et de nombreuses récompenses.
- Système VIP optimisé: création des niveaux VIP16 et VIP17. Augmentez votre niveau VIP pour profiter d'encore plus de privilèges spéciaux et de récompenses.
- Singe ultime optimisé: vous pouvez désormais obtenir les médailles du combattant de votre choix en récompense de classement.
- Chat optimisé: l'affichage des points rouges et l'interface de saisie de texte ont été optimisés.
- Grande course de trains optimisée: paramètres et scènes améliorés; ajout de scènes de batailles en 3D.
- Amélioration des animations des troupes sur la place d'armes.
- Déplacements optimisés: nouvelle fonction multisélection des troupes sur la carte. Optimisation de l'affichage de la capacité sur l'interface des combattants et des déplacements.</v>
      </c>
      <c r="E22" s="44" t="str">
        <f>IFERROR(__xludf.DUMMYFUNCTION("""COMPUTED_VALUE"""),"- Neues ""Ausrüstungs""-System für Kämpfer: Einführung und Herstellung von Kampfausrüstung, die von Kämpfern getragen werden kann. Die Ausrüstungen bieten zusätzliche Verstärkungen und mächtige Fähigkeiten.
 - Neues Gameplay, ""Geladener Schlag"": Besiege"&amp;" deine Feinde auf dem Übungsplatz und erhalte Blaupausen und Materialien, um Ausrüstungen herzustellen!
 - Neues ""Einladungsturnier"" im Astral-Kolosseum: Die 8 besten Clans nehmen an dem serverübergreifenden Wettbewerb teil. Wer wird zum Champion gekrön"&amp;"t?
 - Neues ""Geteilter Ruhm""-Event: Verwende den exklusiven Clan-Präfix und -Suffix und arbeite mit anderen Clan-Mitgliedern zusammen, um deinem Clan einen Namen zu machen!
 - Neue ""Glücksei-Spektakel"" -Eventreihe: Das Glücksei-Spektakel beginnt bald!"&amp;" Nimm teil und gewinne spezielle Dekorationen und andere tolle Belohnungen.
 - VIP-System optimiert: VIP16 und VIP17 sind jetzt verfügbar. Werte dein VIP-Level auf, um mehr besondere Privilegien und Belohnungen zu erhalten.
 - Ultimativer Affe optimiert: "&amp;"Du kannst jetzt die Kämpfer-Orden deiner Wahl als Ranglistenbelohnung erhalten.
 - Chat optimiert: Die Anzeige der roten Punkte und die Texteingabe im Chat-Interface wurden verbessert.
 - Großes Zugrennen optimiert: Die Einstellungen und Szenen wurden ver"&amp;"bessert und die Kampfszenen sind jetzt dreidimensionaler.
 - Paradeplatz wurde optimiert: Die Animationen der Truppen wurden verbessert.
 - Marschieren wurde optimiert: Neue Mehrfachauswahlfunktion für Truppen auf der Karte hinzugefügt. Optimierte Marschk"&amp;"apazitätsanzeigen in den Kämpfer- und Marsch-Interfaces.")</f>
        <v>- Neues "Ausrüstungs"-System für Kämpfer: Einführung und Herstellung von Kampfausrüstung, die von Kämpfern getragen werden kann. Die Ausrüstungen bieten zusätzliche Verstärkungen und mächtige Fähigkeiten.
 - Neues Gameplay, "Geladener Schlag": Besiege deine Feinde auf dem Übungsplatz und erhalte Blaupausen und Materialien, um Ausrüstungen herzustellen!
 - Neues "Einladungsturnier" im Astral-Kolosseum: Die 8 besten Clans nehmen an dem serverübergreifenden Wettbewerb teil. Wer wird zum Champion gekrönt?
 - Neues "Geteilter Ruhm"-Event: Verwende den exklusiven Clan-Präfix und -Suffix und arbeite mit anderen Clan-Mitgliedern zusammen, um deinem Clan einen Namen zu machen!
 - Neue "Glücksei-Spektakel" -Eventreihe: Das Glücksei-Spektakel beginnt bald! Nimm teil und gewinne spezielle Dekorationen und andere tolle Belohnungen.
 - VIP-System optimiert: VIP16 und VIP17 sind jetzt verfügbar. Werte dein VIP-Level auf, um mehr besondere Privilegien und Belohnungen zu erhalten.
 - Ultimativer Affe optimiert: Du kannst jetzt die Kämpfer-Orden deiner Wahl als Ranglistenbelohnung erhalten.
 - Chat optimiert: Die Anzeige der roten Punkte und die Texteingabe im Chat-Interface wurden verbessert.
 - Großes Zugrennen optimiert: Die Einstellungen und Szenen wurden verbessert und die Kampfszenen sind jetzt dreidimensionaler.
 - Paradeplatz wurde optimiert: Die Animationen der Truppen wurden verbessert.
 - Marschieren wurde optimiert: Neue Mehrfachauswahlfunktion für Truppen auf der Karte hinzugefügt. Optimierte Marschkapazitätsanzeigen in den Kämpfer- und Marsch-Interfaces.</v>
      </c>
      <c r="F22" s="44" t="str">
        <f>IFERROR(__xludf.DUMMYFUNCTION("""COMPUTED_VALUE"""),"- Novo sistema de ""equipamentos"" para combatentes: apresentando equipamentos de batalha que podem ser usados pelos combatentes e como criá-lo. Os equipamentos fornecem bônus extras, assim como habilidades poderosas.
 - Novo modo ""Ataque Carregado"": de"&amp;"rrote inimigos na área de exercício e obtenha diagramas e materiais para fazer equipamentos!
 - Novo torneio ""para convidados"" no Coliseu Astral: as 8 melhores gangues participam de uma competição entre servidores. Quem será o campeão coroado?
 - Novo e"&amp;"vento ""Renome Compartilhado"": use os prefixos e sufixos da gangue para trabalhar com outros membros e ter seu nome reconhecido na gangue!
 - Nova série de eventos ""Caça aos Ovos da Sorte"": A Caça aos Ovos da Sorte começa em breve! Participe para ganha"&amp;"r decorações de edição limitada e outras recompensas incríveis.
 - Sistema VIP otimizado: VIP16 e VIP17 estão abertos agora. Melhore seu nível VIP e aproveite mais recompensas e privilégios especiais.
 - Melhoria no Macaco Supremo: obtenha agora medalhas "&amp;"de um combatente à sua escolha como recompensa de classificação.
 - Melhoria no chat: melhoria na exibição de pontos vermelhos e entrada de texto na interface de chat.
 - Melhoria da Grande Corrida dos Trens: melhorias nos cenários e ambientes, mais detal"&amp;"hes 3D nas cenas de batalha.
 - Otimização na Praça de Armas: melhoria nas animações das tropas.
 - Marchas otimizadas: nova função com várias opções adicionada para as tropas no mapa. Melhoria nas exibições de capacidade de marcha para combatentes e inte"&amp;"rface relacionadas.")</f>
        <v>- Novo sistema de "equipamentos" para combatentes: apresentando equipamentos de batalha que podem ser usados pelos combatentes e como criá-lo. Os equipamentos fornecem bônus extras, assim como habilidades poderosas.
 - Novo modo "Ataque Carregado": derrote inimigos na área de exercício e obtenha diagramas e materiais para fazer equipamentos!
 - Novo torneio "para convidados" no Coliseu Astral: as 8 melhores gangues participam de uma competição entre servidores. Quem será o campeão coroado?
 - Novo evento "Renome Compartilhado": use os prefixos e sufixos da gangue para trabalhar com outros membros e ter seu nome reconhecido na gangue!
 - Nova série de eventos "Caça aos Ovos da Sorte": A Caça aos Ovos da Sorte começa em breve! Participe para ganhar decorações de edição limitada e outras recompensas incríveis.
 - Sistema VIP otimizado: VIP16 e VIP17 estão abertos agora. Melhore seu nível VIP e aproveite mais recompensas e privilégios especiais.
 - Melhoria no Macaco Supremo: obtenha agora medalhas de um combatente à sua escolha como recompensa de classificação.
 - Melhoria no chat: melhoria na exibição de pontos vermelhos e entrada de texto na interface de chat.
 - Melhoria da Grande Corrida dos Trens: melhorias nos cenários e ambientes, mais detalhes 3D nas cenas de batalha.
 - Otimização na Praça de Armas: melhoria nas animações das tropas.
 - Marchas otimizadas: nova função com várias opções adicionada para as tropas no mapa. Melhoria nas exibições de capacidade de marcha para combatentes e interface relacionadas.</v>
      </c>
      <c r="G22" s="64" t="str">
        <f>IFERROR(__xludf.DUMMYFUNCTION("""COMPUTED_VALUE"""),"-新增鬥士“戰裝“系統：推出了鬥士可以佩戴的戰鬥裝備及其製造系統。戰裝在提供額外的屬性增益同時，還會生成強大的戰裝技能；
-新增玩法“重裝出擊”：打敗試煉戰場中的敵人，獲得打造特殊戰裝的圖紙和材料！
-決戰衛星之巔新增“邀請賽”：八個頂尖幫派跨服爭鋒！誰能奪冠拭目以待！
-新增“齊心揚名”活動：和幫派成員使用統一前綴後綴，凝聚一心，打響幫派名號！
-新增“彩蛋節派對“系列活動：彩蛋節派對即將開啟！參與活動贏取節日限定裝飾以及更多豐富獎勵；
-VIP系統優化：VIP16和17級現已開放！升級VIP等級，尊享"&amp;"更多特權，領取更多獎勵；
-最強猴子優化：最強猴子排行榜獎牌新增自選英雄功能；
-聊天系統優化：優化了紅點顯示，以及聊天界面文字輸入體驗；
-火車競賽優化：優化了火車競賽的場景，戰斗場景更加立體；
-閱兵場優化：優化了閱兵場內部隊動畫；
-行軍優化：在野外部隊新增一鍵多選功能。優化了鬥士界面和行軍界面的行軍容量顯示邏輯；")</f>
        <v>-新增鬥士“戰裝“系統：推出了鬥士可以佩戴的戰鬥裝備及其製造系統。戰裝在提供額外的屬性增益同時，還會生成強大的戰裝技能；
-新增玩法“重裝出擊”：打敗試煉戰場中的敵人，獲得打造特殊戰裝的圖紙和材料！
-決戰衛星之巔新增“邀請賽”：八個頂尖幫派跨服爭鋒！誰能奪冠拭目以待！
-新增“齊心揚名”活動：和幫派成員使用統一前綴後綴，凝聚一心，打響幫派名號！
-新增“彩蛋節派對“系列活動：彩蛋節派對即將開啟！參與活動贏取節日限定裝飾以及更多豐富獎勵；
-VIP系統優化：VIP16和17級現已開放！升級VIP等級，尊享更多特權，領取更多獎勵；
-最強猴子優化：最強猴子排行榜獎牌新增自選英雄功能；
-聊天系統優化：優化了紅點顯示，以及聊天界面文字輸入體驗；
-火車競賽優化：優化了火車競賽的場景，戰斗場景更加立體；
-閱兵場優化：優化了閱兵場內部隊動畫；
-行軍優化：在野外部隊新增一鍵多選功能。優化了鬥士界面和行軍界面的行軍容量顯示邏輯；</v>
      </c>
      <c r="H22" s="44" t="str">
        <f>IFERROR(__xludf.DUMMYFUNCTION("""COMPUTED_VALUE"""),"- Sistem ""peralatan"" baru untuk Pejuang: memperkenalkan peralatan pertarungan yang bisa digunakan oleh Pejuang serta cara menggunakannya. Peralatan memberikan boost tambahan serta skill kuat.
 - Gameplay baru, ""Serangan Penuh"": Kalahkan musuh di medan"&amp;" pelatihan serta dapatkan cetak biru dan material untuk membuat peralatan!
 - Turnamen ""Undangan"" baru untuk Koloseum Astral: 8 Geng teratas akan berpartisipasi di kompetisi lintas server. Siapa yang akan dinobatkan sebagai juara?
 - Acara ""Ketenaran B"&amp;"ersama"" baru: Gunakan awalan eksklusif geng dan bekerja sama dengan anggota lain untuk membuat Gengmu terkenal!
 - Seri acara ""Eggstravaganza Keberuntungan"" baru: Eggstravagansa Keberuntungan segera dimulai! Ikut serta untuk memenangkan dekorasi edisi "&amp;"spesial dan hadiah menarik lainnya.
 - Pengoptimalan sistem VIP: VIP16 dan VIP17 kini dibuka. Tingkatkan level VIP-mu dan nikmati hak istimewa dan hadiah yang lebih spesial.
 - Pengoptimalan Kera Terhebat: Kamu sekarang bisa mendapatkan Medali dari Pejuan"&amp;"g pilihanmu sebagai hadiah peringkat.
 - Pengoptimalan Obrolan: Memperbaiki tampilan titik merah dan input teks di antarmuka obrolan.
 - Pengoptimalan Balapan Kereta Hebat: Memperbaiki pengaturan dan adegan, membuat adegan pertarungan terlihat seperti 3D."&amp;"
 - Pengoptimalan Lapangan Parade: memperbaiki animasi pasukan.
 - Pengoptimalan Barisan: Fungsi pilih banyak baru ditambahkan untuk pasukan di peta. Mengoptimalkan tampilan kapasitas di Pejuang dan antarmuka berbaris.")</f>
        <v>- Sistem "peralatan" baru untuk Pejuang: memperkenalkan peralatan pertarungan yang bisa digunakan oleh Pejuang serta cara menggunakannya. Peralatan memberikan boost tambahan serta skill kuat.
 - Gameplay baru, "Serangan Penuh": Kalahkan musuh di medan pelatihan serta dapatkan cetak biru dan material untuk membuat peralatan!
 - Turnamen "Undangan" baru untuk Koloseum Astral: 8 Geng teratas akan berpartisipasi di kompetisi lintas server. Siapa yang akan dinobatkan sebagai juara?
 - Acara "Ketenaran Bersama" baru: Gunakan awalan eksklusif geng dan bekerja sama dengan anggota lain untuk membuat Gengmu terkenal!
 - Seri acara "Eggstravaganza Keberuntungan" baru: Eggstravagansa Keberuntungan segera dimulai! Ikut serta untuk memenangkan dekorasi edisi spesial dan hadiah menarik lainnya.
 - Pengoptimalan sistem VIP: VIP16 dan VIP17 kini dibuka. Tingkatkan level VIP-mu dan nikmati hak istimewa dan hadiah yang lebih spesial.
 - Pengoptimalan Kera Terhebat: Kamu sekarang bisa mendapatkan Medali dari Pejuang pilihanmu sebagai hadiah peringkat.
 - Pengoptimalan Obrolan: Memperbaiki tampilan titik merah dan input teks di antarmuka obrolan.
 - Pengoptimalan Balapan Kereta Hebat: Memperbaiki pengaturan dan adegan, membuat adegan pertarungan terlihat seperti 3D.
 - Pengoptimalan Lapangan Parade: memperbaiki animasi pasukan.
 - Pengoptimalan Barisan: Fungsi pilih banyak baru ditambahkan untuk pasukan di peta. Mengoptimalkan tampilan kapasitas di Pejuang dan antarmuka berbaris.</v>
      </c>
      <c r="I22" s="44" t="str">
        <f>IFERROR(__xludf.DUMMYFUNCTION("""COMPUTED_VALUE"""),"- ระบบ ""อุปกรณ์"" ใหม่ของนักสู้: เปิดตัวอุปกรณ์การต่อสู้และวิธีสร้าง โดยอุปกรณ์จะให้บูสต์พิเศษและทักษะอันทรงพลัง
 - รูปแบบการเล่นใหม่ ""กระหน่ำโจมตี"": กำจัดศัตรูในสนามฝึก แล้วรับพิมพ์เขียวและวัสดุเพื่อสร้างอุปกรณ์!
 - การแข่งขันใหม่ ""การเชิญเข้าร่วม"" "&amp;"โคลีเซียมดวงดาว: แก๊งอันดับท็อปทั้ง 8 จะเข้าร่วมการแข่งขันข้ามเซิร์ฟเวอร์ครั้งนี้ ใครจะได้ครองตำแหน่งแชมป์เปี้ยนกันนะ?
 - กิจกรรมใหม่ ""ร่วมประกาศชื่อเสียง"": ใช้คำนำหน้าและคำต่อท้ายพิเศษเฉพาะของแก๊ง แล้วทำงานร่วมกับสมาชิกคนอื่น ๆ เพื่อสร้างชื่อเสียงให้กั"&amp;"บแก๊งของคุณ!
 - ซีรีส์กิจกรรม ""ไข่นำโชคสุดอัศจรรย์"" ใหม่: กิจกรรมไข่นำโชคสุดอัศจรรย์กำลังจะเริ่มขึ้นเร็ว ๆ นี้! ร่วมลุ้นรับอุปกรณ์ตกแต่งรุ่นพิเศษและรางวัลสุดเจ๋งอื่น ๆ
 - ปรับปรุงระบบ VIP: VIP16 และ VIP17 เปิดให้อัปกันแล้ว อัปเกรดระดับ VIP ของคุณเพื่อเพ"&amp;"ลิดเพลินกับสิทธิพิเศษและรางวัลมากมาย
 - ปรับปรุงกิจกรรมลิงที่แข็งแกร่งที่สุด: ในตอนนี้ คุณสามารถรับเหรียญของนักสู้ที่คุณเลือกเป็นรางวัลประจำอันดับได้แล้ว
 - ปรับปรุงการแชท: ปรับปรุงการแสดงจุดสีแดงและการป้อนข้อความในอินเทอร์เฟซการแชท
 - ปรับปรุงการแข่งขันร"&amp;"ถไฟครั้งยิ่งใหญ่: ปรับปรุงการตั้งค่าและฉาก รวมถึงทำให้ฉากการต่อสู้ดูเป็น 3 มิติมากขึ้น
 - ปรับปรุงลานเดินทัพ: ปรับปรุงแอนิเมชั่นกองทหาร
 - ปรับปรุงการเดินทัพ: เพิ่มฟังก์ชั่นใหม่ การเลือกกองทหารหลายกองบนแผนที่ ปรับปรุงความสามารถในการเดินทัพบนอินเทอร์เฟซนัก"&amp;"สู้และการเดินทัพ")</f>
        <v>- ระบบ "อุปกรณ์" ใหม่ของนักสู้: เปิดตัวอุปกรณ์การต่อสู้และวิธีสร้าง โดยอุปกรณ์จะให้บูสต์พิเศษและทักษะอันทรงพลัง
 - รูปแบบการเล่นใหม่ "กระหน่ำโจมตี": กำจัดศัตรูในสนามฝึก แล้วรับพิมพ์เขียวและวัสดุเพื่อสร้างอุปกรณ์!
 - การแข่งขันใหม่ "การเชิญเข้าร่วม" โคลีเซียมดวงดาว: แก๊งอันดับท็อปทั้ง 8 จะเข้าร่วมการแข่งขันข้ามเซิร์ฟเวอร์ครั้งนี้ ใครจะได้ครองตำแหน่งแชมป์เปี้ยนกันนะ?
 - กิจกรรมใหม่ "ร่วมประกาศชื่อเสียง": ใช้คำนำหน้าและคำต่อท้ายพิเศษเฉพาะของแก๊ง แล้วทำงานร่วมกับสมาชิกคนอื่น ๆ เพื่อสร้างชื่อเสียงให้กับแก๊งของคุณ!
 - ซีรีส์กิจกรรม "ไข่นำโชคสุดอัศจรรย์" ใหม่: กิจกรรมไข่นำโชคสุดอัศจรรย์กำลังจะเริ่มขึ้นเร็ว ๆ นี้! ร่วมลุ้นรับอุปกรณ์ตกแต่งรุ่นพิเศษและรางวัลสุดเจ๋งอื่น ๆ
 - ปรับปรุงระบบ VIP: VIP16 และ VIP17 เปิดให้อัปกันแล้ว อัปเกรดระดับ VIP ของคุณเพื่อเพลิดเพลินกับสิทธิพิเศษและรางวัลมากมาย
 - ปรับปรุงกิจกรรมลิงที่แข็งแกร่งที่สุด: ในตอนนี้ คุณสามารถรับเหรียญของนักสู้ที่คุณเลือกเป็นรางวัลประจำอันดับได้แล้ว
 - ปรับปรุงการแชท: ปรับปรุงการแสดงจุดสีแดงและการป้อนข้อความในอินเทอร์เฟซการแชท
 - ปรับปรุงการแข่งขันรถไฟครั้งยิ่งใหญ่: ปรับปรุงการตั้งค่าและฉาก รวมถึงทำให้ฉากการต่อสู้ดูเป็น 3 มิติมากขึ้น
 - ปรับปรุงลานเดินทัพ: ปรับปรุงแอนิเมชั่นกองทหาร
 - ปรับปรุงการเดินทัพ: เพิ่มฟังก์ชั่นใหม่ การเลือกกองทหารหลายกองบนแผนที่ ปรับปรุงความสามารถในการเดินทัพบนอินเทอร์เฟซนักสู้และการเดินทัพ</v>
      </c>
      <c r="J22" s="44" t="str">
        <f>IFERROR(__xludf.DUMMYFUNCTION("""COMPUTED_VALUE"""),"- Nuevo sistema de ""equipo"" para Luchadores: Estamos presentando los equipos de batalla que pueden ser utilizados por los Luchadores y cómo fabricarlos. El equipo proporciona potenciadores adicionales, así como poderosas habilidades.
 - Nueva jugabilida"&amp;"d ""Golpe Cargado"": ¡Derrota a los enemigos en el campo de entrenamiento y obtén planos y materiales para fabricar equipos!
 - Nuevo torneo ""Invitacional"" para el Coliseo Astral: Las 8 mejores Bandas participarán en la competencia entre servidores. ¿Qu"&amp;"ién se coronará como campeón?
 - Nuevo evento de ""Renombre compartido"": ¡Use el prefijo y el sufijo exclusivos de la Banda y trabaja con los otros miembros para crear un nombre para tu Banda!
 - Nueva serie de eventos del ""Espectáculo de los Huevos de "&amp;"la Suerte"": ¡El Espectáculo de los Huevos de la Suerte comenzará pronto! Participa para ganar decoraciones de edición especial y otras increíbles recompensas.
 - Sistema VIP optimizado: Se abren ahora el VIP16 y el VIP17. Mejora tu nivel como VIP para di"&amp;"sfrutar de más privilegios y recompensas especiales.
 - Mono Supremo optimizado: Ahora puedes obtener las Medallas de Luchador de tu elección como recompensas de clasificación.
 - Chat optimizado: Se mejoró la visualización de los puntos rojos y la entrad"&amp;"a de texto en la interfaz de chat.
 - Gran Carrera de Trenes optimizada: Ajustes y escenas mejoradas y las escenas de batalla ahora son más tridimensionales.
 - Plaza de Armas optimizada: Animaciones de las tropas mejoradas.
 - Marcha optimizada: Nueva fu"&amp;"nción de selección múltiple agregada para las tropas en el mapa. Las visualizaciones de capacidad de marcha han sido optimizadas para las interfaces de Luchador y de marcha.")</f>
        <v>- Nuevo sistema de "equipo" para Luchadores: Estamos presentando los equipos de batalla que pueden ser utilizados por los Luchadores y cómo fabricarlos. El equipo proporciona potenciadores adicionales, así como poderosas habilidades.
 - Nueva jugabilidad "Golpe Cargado": ¡Derrota a los enemigos en el campo de entrenamiento y obtén planos y materiales para fabricar equipos!
 - Nuevo torneo "Invitacional" para el Coliseo Astral: Las 8 mejores Bandas participarán en la competencia entre servidores. ¿Quién se coronará como campeón?
 - Nuevo evento de "Renombre compartido": ¡Use el prefijo y el sufijo exclusivos de la Banda y trabaja con los otros miembros para crear un nombre para tu Banda!
 - Nueva serie de eventos del "Espectáculo de los Huevos de la Suerte": ¡El Espectáculo de los Huevos de la Suerte comenzará pronto! Participa para ganar decoraciones de edición especial y otras increíbles recompensas.
 - Sistema VIP optimizado: Se abren ahora el VIP16 y el VIP17. Mejora tu nivel como VIP para disfrutar de más privilegios y recompensas especiales.
 - Mono Supremo optimizado: Ahora puedes obtener las Medallas de Luchador de tu elección como recompensas de clasificación.
 - Chat optimizado: Se mejoró la visualización de los puntos rojos y la entrada de texto en la interfaz de chat.
 - Gran Carrera de Trenes optimizada: Ajustes y escenas mejoradas y las escenas de batalla ahora son más tridimensionales.
 - Plaza de Armas optimizada: Animaciones de las tropas mejoradas.
 - Marcha optimizada: Nueva función de selección múltiple agregada para las tropas en el mapa. Las visualizaciones de capacidad de marcha han sido optimizadas para las interfaces de Luchador y de marcha.</v>
      </c>
      <c r="K22" s="44" t="str">
        <f>IFERROR(__xludf.DUMMYFUNCTION("""COMPUTED_VALUE"""),"- Новая система «снаряжения» для героев: представляем боевое снаряжение, которое могут носить герои, и способы его изготовить. Снаряжение дает дополнительные усиления, а также мощные навыки.
- Новый способ игры «Заряженный удар»: побеждайте врагов на трен"&amp;"ировочной площадке и получайте чертежи и материалы для изготовления снаряжения!
- Новый «Закрытый турнир в Астральном Колизее»: 8 лучших банд примут участие в межсерверном состязании. Кто же станет чемпионом? 
- Новое событие «Общая известность»: использу"&amp;"йте эксклюзивный префикс и суффикс банды и прославьте свою банду вместе с другими участниками! 
- Новая серия событий «Феерия счастливых яиц»: феерия счастливых яиц скоро начнется! Участвуйте в ней, чтобы выиграть особый декор и другие удивительные наград"&amp;"ы.
- Оптимизирована система VIP: открыты новые уровни VIP16 и VIP17. Повышайте свой уровень VIP, чтобы получить больше особых привилегий и наград.
- Оптимизировано событие «Великая обезьяна»: теперь в награду за рейтинг вы можете получить медали героя по "&amp;"своему выбору.
- Оптимизирован чат: улучшено отображение красных точек и ввод текста в интерфейсе чата.
- Оптимизированы «Большие гонки на поездах»: улучшены настройки и сцены, а сцены сражений стали более трехмерными.
- Оптимизирован парадный плац: улучш"&amp;"ена анимация войск.
- Оптимизированы марши: добавлена новая функция группового выбора для войск на карте. Оптимизировано отображение вместимости марша на экранах героя и марша.")</f>
        <v>- Новая система «снаряжения» для героев: представляем боевое снаряжение, которое могут носить герои, и способы его изготовить. Снаряжение дает дополнительные усиления, а также мощные навыки.
- Новый способ игры «Заряженный удар»: побеждайте врагов на тренировочной площадке и получайте чертежи и материалы для изготовления снаряжения!
- Новый «Закрытый турнир в Астральном Колизее»: 8 лучших банд примут участие в межсерверном состязании. Кто же станет чемпионом? 
- Новое событие «Общая известность»: используйте эксклюзивный префикс и суффикс банды и прославьте свою банду вместе с другими участниками! 
- Новая серия событий «Феерия счастливых яиц»: феерия счастливых яиц скоро начнется! Участвуйте в ней, чтобы выиграть особый декор и другие удивительные награды.
- Оптимизирована система VIP: открыты новые уровни VIP16 и VIP17. Повышайте свой уровень VIP, чтобы получить больше особых привилегий и наград.
- Оптимизировано событие «Великая обезьяна»: теперь в награду за рейтинг вы можете получить медали героя по своему выбору.
- Оптимизирован чат: улучшено отображение красных точек и ввод текста в интерфейсе чата.
- Оптимизированы «Большие гонки на поездах»: улучшены настройки и сцены, а сцены сражений стали более трехмерными.
- Оптимизирован парадный плац: улучшена анимация войск.
- Оптимизированы марши: добавлена новая функция группового выбора для войск на карте. Оптимизировано отображение вместимости марша на экранах героя и марша.</v>
      </c>
      <c r="L22" s="44" t="str">
        <f>IFERROR(__xludf.DUMMYFUNCTION("""COMPUTED_VALUE"""),"- Savaşçılar için yeni “ekipman” sistemi: Savaşçılar tarafından giyilebilecek savaş ekipmanlarının tanıtılması ve yapılma şekilleri. Ekipman ekstra güçlendirmelerin yanı sıra güçlü beceriler sağlar.
 - Yeni oynanış “Yüklü Vuruş”: Eğitim alanında düşmanlar"&amp;"ı yen ve ekipman elde etmek için planlar ve malzemeler al!
 - Yeni “Davetli” Yıldız Kolezyumu Etkinliği: En iyi 8 Çete, sunucular arası yarışmaya katılacak. Kim şampiyon ilan edilecek?
 - Yeni “Paylaşılan Ünlü” etkinliği: Özel Çete ön ekini ve son ekini k"&amp;"ullan ve Çeten için bir isim almak için diğer üyelerle birlikte çalış!
 - Yeni “Şanslı Çılgınlık” etkinlik serisi: Şanslı Çılgınlık çok yakında başlıyor! Özel sürüm dekorasyonları ve diğer harika ödülleri kazanmak için katıl.
 - VIP sistemi optimize edild"&amp;"i: VIP16 ve VIP17 şimdi açık. Daha fazla özel ayrıcalık ve ödülün keyfini çıkarmak için VIP seviyeni yükselt.
 - En Üstün Maymun optimize edildi: Artık sıralama ödülleri olarak seçtiğin bir Savaşçının Madalyalarını alabilirsin.
 - Sohbet optimize edildi: "&amp;"Sohbet arayüzünde kırmızı noktaların ve metin girişinin görüntüsü iyileştirildi.
 - Büyük Tren Yarışı optimize edildi: Ayarlar ve sahneler iyileştirildi ve savaş sahneleri daha 3 boyutlu hâle getirildi.
 - Geçit Töreni Yeri optimize edildi: Birlik animasy"&amp;"onları geliştirildi.
 - Sefere çıkmak optimize edildi: Haritadaki birlikler için yeni çoklu seçim işlevi eklendi. Savaşçı ve sefer arayüzlerinde sefer kapasitesi görünümleri optimize edildi.")</f>
        <v>- Savaşçılar için yeni “ekipman” sistemi: Savaşçılar tarafından giyilebilecek savaş ekipmanlarının tanıtılması ve yapılma şekilleri. Ekipman ekstra güçlendirmelerin yanı sıra güçlü beceriler sağlar.
 - Yeni oynanış “Yüklü Vuruş”: Eğitim alanında düşmanları yen ve ekipman elde etmek için planlar ve malzemeler al!
 - Yeni “Davetli” Yıldız Kolezyumu Etkinliği: En iyi 8 Çete, sunucular arası yarışmaya katılacak. Kim şampiyon ilan edilecek?
 - Yeni “Paylaşılan Ünlü” etkinliği: Özel Çete ön ekini ve son ekini kullan ve Çeten için bir isim almak için diğer üyelerle birlikte çalış!
 - Yeni “Şanslı Çılgınlık” etkinlik serisi: Şanslı Çılgınlık çok yakında başlıyor! Özel sürüm dekorasyonları ve diğer harika ödülleri kazanmak için katıl.
 - VIP sistemi optimize edildi: VIP16 ve VIP17 şimdi açık. Daha fazla özel ayrıcalık ve ödülün keyfini çıkarmak için VIP seviyeni yükselt.
 - En Üstün Maymun optimize edildi: Artık sıralama ödülleri olarak seçtiğin bir Savaşçının Madalyalarını alabilirsin.
 - Sohbet optimize edildi: Sohbet arayüzünde kırmızı noktaların ve metin girişinin görüntüsü iyileştirildi.
 - Büyük Tren Yarışı optimize edildi: Ayarlar ve sahneler iyileştirildi ve savaş sahneleri daha 3 boyutlu hâle getirildi.
 - Geçit Töreni Yeri optimize edildi: Birlik animasyonları geliştirildi.
 - Sefere çıkmak optimize edildi: Haritadaki birlikler için yeni çoklu seçim işlevi eklendi. Savaşçı ve sefer arayüzlerinde sefer kapasitesi görünümleri optimize edildi.</v>
      </c>
      <c r="M22" s="44" t="str">
        <f>IFERROR(__xludf.DUMMYFUNCTION("""COMPUTED_VALUE"""),"- Hệ thống ""trang bị"" mới cho Chiến Binh: Giới thiệu trang bị chiến đấu mà các Chiến Binh có thể mang cũng như cách chế tạo trang bị. Trang bị cung cấp thêm các hiệu ứng có lợi cũng như những kỹ năng mạnh.
 - Lối chơi mới, ""Tấn Công Đã Tải"": Đánh bại "&amp;"kẻ địch trong vòng huấn luyện và nhận bản vẽ cùng các nguyên liệu để tạo trang bị!
 - Giải đấu ""Lời Mời"" mới trong Đại Đấu Trường Thiên Thể: 8 Bang Hội hàng đầu sẽ tham gia cuộc chiến liên máy chủ. Ai sẽ là nhà vô địch?
 - Sự kiện mới ""Danh Tiếng Chung"&amp;""": Sử dụng các tiền tố và hậu tố đặc biệt của Bang Hội và hợp tác với các thành viên khác để tạo danh tiếng cho Bang Hội của bạn!
 - Chuỗi sự kiện ""Tiệc Trứng May Mắn"" mới: Tiệc Trứng May Mắn sẽ sớm bắt đầu! Tham gia để chiến thắng vật phẩm trang trí p"&amp;"hiên bản đặc biệt và những phần thưởng giá trị khác.
 - Đã tối ưu hóa hệ thống VIP: VIP16 và VIP17 hiện đã mở. Nâng cấp cấp VIP của bạn để tận hưởng nhiều đặc quyền và phần thưởng đặc biệt.
 - Tối ưu hóa Chúa Khỉ Tối Cao: Hiện bạn có thể nhận Huy Hiệu của"&amp;" một Chiến Binh mà bạn thích làm thưởng thứ hạng.
 - Tối ưu hóa chat: Cải thiện việc hiển thị những dấu chấm đỏ và văn bản đầu vào trong giao diện trò chuyện.
 - Tối ưu hóa Đường Đua Xe Lửa Lớn: Cải thiện cài đặt và cảnh quan, cải thiện cảnh quan chiến đấ"&amp;"u 3D hơn.
 - Tối ưu hóa Sân Diễu Hành: Cải thiện hoạt ảnh binh lính.
 - Tối ưu hóa hành quân: Thêm chức năng đa lựa chọn mới cho binh lính trên bản đồ. Tối ưu hóa hiển thị sức chứa hành quân trên giao diện Chiến Binh và hành quân.")</f>
        <v>- Hệ thống "trang bị" mới cho Chiến Binh: Giới thiệu trang bị chiến đấu mà các Chiến Binh có thể mang cũng như cách chế tạo trang bị. Trang bị cung cấp thêm các hiệu ứng có lợi cũng như những kỹ năng mạnh.
 - Lối chơi mới, "Tấn Công Đã Tải": Đánh bại kẻ địch trong vòng huấn luyện và nhận bản vẽ cùng các nguyên liệu để tạo trang bị!
 - Giải đấu "Lời Mời" mới trong Đại Đấu Trường Thiên Thể: 8 Bang Hội hàng đầu sẽ tham gia cuộc chiến liên máy chủ. Ai sẽ là nhà vô địch?
 - Sự kiện mới "Danh Tiếng Chung": Sử dụng các tiền tố và hậu tố đặc biệt của Bang Hội và hợp tác với các thành viên khác để tạo danh tiếng cho Bang Hội của bạn!
 - Chuỗi sự kiện "Tiệc Trứng May Mắn" mới: Tiệc Trứng May Mắn sẽ sớm bắt đầu! Tham gia để chiến thắng vật phẩm trang trí phiên bản đặc biệt và những phần thưởng giá trị khác.
 - Đã tối ưu hóa hệ thống VIP: VIP16 và VIP17 hiện đã mở. Nâng cấp cấp VIP của bạn để tận hưởng nhiều đặc quyền và phần thưởng đặc biệt.
 - Tối ưu hóa Chúa Khỉ Tối Cao: Hiện bạn có thể nhận Huy Hiệu của một Chiến Binh mà bạn thích làm thưởng thứ hạng.
 - Tối ưu hóa chat: Cải thiện việc hiển thị những dấu chấm đỏ và văn bản đầu vào trong giao diện trò chuyện.
 - Tối ưu hóa Đường Đua Xe Lửa Lớn: Cải thiện cài đặt và cảnh quan, cải thiện cảnh quan chiến đấu 3D hơn.
 - Tối ưu hóa Sân Diễu Hành: Cải thiện hoạt ảnh binh lính.
 - Tối ưu hóa hành quân: Thêm chức năng đa lựa chọn mới cho binh lính trên bản đồ. Tối ưu hóa hiển thị sức chứa hành quân trên giao diện Chiến Binh và hành quân.</v>
      </c>
      <c r="N22" s="151"/>
      <c r="O22" s="148"/>
      <c r="P22" s="148"/>
      <c r="Q22" s="148"/>
      <c r="R22" s="148"/>
      <c r="S22" s="148"/>
      <c r="T22" s="148"/>
      <c r="U22" s="148"/>
      <c r="V22" s="148"/>
      <c r="W22" s="148"/>
      <c r="X22" s="148"/>
      <c r="Y22" s="148"/>
      <c r="Z22" s="148"/>
    </row>
    <row r="23">
      <c r="A23" s="149" t="str">
        <f>IFERROR(__xludf.DUMMYFUNCTION("""COMPUTED_VALUE"""),"0.41.0")</f>
        <v>0.41.0</v>
      </c>
      <c r="B23" s="44" t="str">
        <f>IFERROR(__xludf.DUMMYFUNCTION("""COMPUTED_VALUE"""),"-新增斗士：彩虹骑士-蒂芙尼，幸运眷顾的小富婆，嫉恶如仇的暴力彩虹。参与最强猴子即可获得；
-新增行军特效系统：带上酷炫的特效行军出征，成为最靓丽的一猿！
-新增军备外显特效：提升军备武装等级，为士兵们解锁更亮眼的特效！
-前期调整：新增了大资源点和保险箱玩法，堡垒对决和关键剧情节点新增了震动反馈；
-科林的探索调整：任务刷新规则调整为每6小时添加一次新任务，当日未完成的任务将在UTC0点移除；
-帮派系统优化：新增帮派等级、帮派繁荣度等功能，优化了帮派系统中部分功能的显示逻辑；
-讨伐霍格博士优化：活动"&amp;"入口移至擂台、增加伤害成就奖励，快来与全新的霍格博士战斗吧！
-城市护盾优化：移除了使用能量开启护盾的方式，调整为使用全新的护盾道具开启；
-头像框界面优化：优化了头像框界面的部分显示效果；
-飞艇击落战活动优化：宇宙强盗猿发起了新的一波攻击，现在与其交战即可获得战装材料等奖励！
-活动入口优化：优化了活动入口的表现效果；
-重装出击优化：优化了重装出击玩法中的部分显示和操作逻辑。")</f>
        <v>-新增斗士：彩虹骑士-蒂芙尼，幸运眷顾的小富婆，嫉恶如仇的暴力彩虹。参与最强猴子即可获得；
-新增行军特效系统：带上酷炫的特效行军出征，成为最靓丽的一猿！
-新增军备外显特效：提升军备武装等级，为士兵们解锁更亮眼的特效！
-前期调整：新增了大资源点和保险箱玩法，堡垒对决和关键剧情节点新增了震动反馈；
-科林的探索调整：任务刷新规则调整为每6小时添加一次新任务，当日未完成的任务将在UTC0点移除；
-帮派系统优化：新增帮派等级、帮派繁荣度等功能，优化了帮派系统中部分功能的显示逻辑；
-讨伐霍格博士优化：活动入口移至擂台、增加伤害成就奖励，快来与全新的霍格博士战斗吧！
-城市护盾优化：移除了使用能量开启护盾的方式，调整为使用全新的护盾道具开启；
-头像框界面优化：优化了头像框界面的部分显示效果；
-飞艇击落战活动优化：宇宙强盗猿发起了新的一波攻击，现在与其交战即可获得战装材料等奖励！
-活动入口优化：优化了活动入口的表现效果；
-重装出击优化：优化了重装出击玩法中的部分显示和操作逻辑。</v>
      </c>
      <c r="C23" s="44" t="str">
        <f>IFERROR(__xludf.DUMMYFUNCTION("""COMPUTED_VALUE"""),"- New Fighter: Rainbow Rider, Tiffany. The girl with luck and wealth on her side. A righteous and fierce rider! Get her through Ultimate Monkey.
- New march special effect feature: Give your marching troops cool and eye-catching special effects!
- New Gea"&amp;"r visual effects: Upgrade Gears and Weapons to give your troops more striking visual effects!
- Early game adjustments: Added large resource spots and the ""safe"" gameplay. Added vibrate alerts for Fortress Takeover and key plot points.
- Colin's Explora"&amp;"tion changes: When Colin reaches Lv. 7, new quests will be added every 8 hours. Unfinished quests of the day will be cleared at 0 UTC.
- Monkey Pass changes: Added 6 Lv. 2 Monkey Passes to help ore Gang enter and fight in the map center.
- Gang system opt"&amp;"imized: Added Gang Level and Prosperity features; optimized Gang function displays.
- Attack on Dr. Hogg optimized: Event access is now through the Arena. Increased damage rewards. Participate in the new and improved event now!
- City Shield optimized: Ci"&amp;"ty Shields are no longer activated using Energy but by using new shield items.
- Avatar frame interface optimized: Improved the display of avatar frame interface.
- Airship Shootdown optimized: Bandits launched a new attack! Fight them now to win equipmen"&amp;"t materials and other rewards!
- Event access optimized: Improved event access display effects.
- Loaded Strike optimized: Improved displays and operations in the event.")</f>
        <v>- New Fighter: Rainbow Rider, Tiffany. The girl with luck and wealth on her side. A righteous and fierce rider! Get her through Ultimate Monkey.
- New march special effect feature: Give your marching troops cool and eye-catching special effects!
- New Gear visual effects: Upgrade Gears and Weapons to give your troops more striking visual effects!
- Early game adjustments: Added large resource spots and the "safe" gameplay. Added vibrate alerts for Fortress Takeover and key plot points.
- Colin's Exploration changes: When Colin reaches Lv. 7, new quests will be added every 8 hours. Unfinished quests of the day will be cleared at 0 UTC.
- Monkey Pass changes: Added 6 Lv. 2 Monkey Passes to help ore Gang enter and fight in the map center.
- Gang system optimized: Added Gang Level and Prosperity features; optimized Gang function displays.
- Attack on Dr. Hogg optimized: Event access is now through the Arena. Increased damage rewards. Participate in the new and improved event now!
- City Shield optimized: City Shields are no longer activated using Energy but by using new shield items.
- Avatar frame interface optimized: Improved the display of avatar frame interface.
- Airship Shootdown optimized: Bandits launched a new attack! Fight them now to win equipment materials and other rewards!
- Event access optimized: Improved event access display effects.
- Loaded Strike optimized: Improved displays and operations in the event.</v>
      </c>
      <c r="D23" s="44" t="str">
        <f>IFERROR(__xludf.DUMMYFUNCTION("""COMPUTED_VALUE"""),"- Nouvelle combattante: Tiffany, la motarde irisée. Une fille qui a la chance de son côté. Une motarde droite dans ses bottes. A obtenir dans le Singe ultime.
- Nouveaux effets spéciaux pour les déplacements: donnez un coup de fouet visuel à vos troupes e"&amp;"n déplacement!
- Nouveaux effets visuels pour l'équipement: améliorez l'équipement et les armes de vos troupes pour booster leur apparence!
- Ajustement du début de jeu: ajout de gros points de ressources et d’une progression ""sans danger"". Ajout de vib"&amp;"rations d’alerte pour l’Invasion de forteresse et les étapes importantes du scénario.
- Modification de l’Exploration de Colin: quand Colin atteint le niv.7, de nouvelles quêtes sont disponibles toutes les 8h. Les quêtes non terminées dans la journée sont"&amp;" annulées à 00:00 TU.
- Modification des barrages: ajout de 6 barrages de niv.2 pour que davantage de gangs s’affrontent au centre de la carte.
- Optimisation du système des gangs: ajout des niveaux du gang et du système de prospérité; optimisation de l’a"&amp;"ffichage des fonctions liées aux gangs.
- Optimisation de l’Attaque du Dr Hogg: accès à l’évènement désormais via l’arène; augmentation des récompenses liées aux dégâts; participez dès maintenant à la nouvelle version de cet évènement!
- Optimisation du b"&amp;"ouclier de la ville: il ne peut plus être activé avec de l’énergie, mais avec des ressources dédiées.
- Optimisation de l’interface d’affichage des cadres d’avatar.
- Optimisation d’Abattez le dirigeable: les bandits lancent une nouvelle attaque! Affronte"&amp;"z-les dès maintenant pour gagner des matériaux pour votre équipement, ainsi que d’autres récompenses!
- Optimisation de l’accès aux évènements, avec de nouveaux effets visuels.
- Optimisation de la Frappe chargée: affichage et fonctionnement dans l’évènem"&amp;"ent.")</f>
        <v>- Nouvelle combattante: Tiffany, la motarde irisée. Une fille qui a la chance de son côté. Une motarde droite dans ses bottes. A obtenir dans le Singe ultime.
- Nouveaux effets spéciaux pour les déplacements: donnez un coup de fouet visuel à vos troupes en déplacement!
- Nouveaux effets visuels pour l'équipement: améliorez l'équipement et les armes de vos troupes pour booster leur apparence!
- Ajustement du début de jeu: ajout de gros points de ressources et d’une progression "sans danger". Ajout de vibrations d’alerte pour l’Invasion de forteresse et les étapes importantes du scénario.
- Modification de l’Exploration de Colin: quand Colin atteint le niv.7, de nouvelles quêtes sont disponibles toutes les 8h. Les quêtes non terminées dans la journée sont annulées à 00:00 TU.
- Modification des barrages: ajout de 6 barrages de niv.2 pour que davantage de gangs s’affrontent au centre de la carte.
- Optimisation du système des gangs: ajout des niveaux du gang et du système de prospérité; optimisation de l’affichage des fonctions liées aux gangs.
- Optimisation de l’Attaque du Dr Hogg: accès à l’évènement désormais via l’arène; augmentation des récompenses liées aux dégâts; participez dès maintenant à la nouvelle version de cet évènement!
- Optimisation du bouclier de la ville: il ne peut plus être activé avec de l’énergie, mais avec des ressources dédiées.
- Optimisation de l’interface d’affichage des cadres d’avatar.
- Optimisation d’Abattez le dirigeable: les bandits lancent une nouvelle attaque! Affrontez-les dès maintenant pour gagner des matériaux pour votre équipement, ainsi que d’autres récompenses!
- Optimisation de l’accès aux évènements, avec de nouveaux effets visuels.
- Optimisation de la Frappe chargée: affichage et fonctionnement dans l’évènement.</v>
      </c>
      <c r="E23" s="44" t="str">
        <f>IFERROR(__xludf.DUMMYFUNCTION("""COMPUTED_VALUE"""),"- Neue Kämpferin: Regenbogenreiterin Tiffany. Ein Mädchen mit Glück und Reichtum auf ihrer Seite. Eine rechtschaffene und kämpferische Reiterin! Du kannst sie durch den Ultimativen Affen erhalten.
- Neue Marsch-Spezialeffekt-Funktion: Verleihe deinen mars"&amp;"chierenden Truppen coole und aufsehenerregende Spezialeffekte!
- Neue visuelle Effekte für die Ausrüstung: Werte Ausrüstungen und Waffen auf, um deinen Truppen auffälligere visuelle Effekte zu verleihen!
- Anpassungen für die Anfangsphase des Spiels: Groß"&amp;"e Ressourcenquellen und ""sicheres"" Gameplay wurden hinzugefügt. Vibrationsalarme für die Übernahme der Festung und wichtige Ereignisse wurden hinzugefügt.
- Colins Erkundung wurde geändert: Wenn Colin Lv.7 erreicht, werden alle 8 Stunden neue Quests hin"&amp;"zugefügt. Unerledigte tägliche Quests werden um 0:00 Uhr UTC gelöscht.
- Affentor-Änderungen: Es wurden 6 Affentore (Lv.2) hinzugefügt, mit denen dein Clan das Zentrum der Karte betreten und dort kämpfen kann.
- Clan-System optimiert: Clan-Level und Wohls"&amp;"tand wurden hinzugefügt; die Anzeige der Clan-Funktionen wurde optimiert.
 - Angriff auf Dr. Hogg optimiert: Der Zugang zum Event erfolgt jetzt über die Arena. Die Schadens-Belohnungen wurden erhöht. Nimm jetzt an dem neuen und verbesserten Event teil!
 -"&amp;" Stadtschild optimiert: Stadtschilde werden nicht mehr mit Energie aktiviert, sondern mit neuen Schildgegenständen.
 - Avatarrahmen-Interface optimiert: Die Anzeige des Avatarrahmen-Interfaces wurde verbessert.
 - Luftschiff-Abschuss optimiert: Banditen h"&amp;"aben einen neuen Angriff gestartet! Bekämpfe sie jetzt, um Ausrüstungsmaterialien und andere Belohnungen zu erhalten!
 - Event-Zugang optimiert: Die Anzeigeeffekte beim Event-Zugang wurden verbessert.
 - Geladener Schlag optimiert: Verbesserte Anzeigen un"&amp;"d Abläufe im Event.")</f>
        <v>- Neue Kämpferin: Regenbogenreiterin Tiffany. Ein Mädchen mit Glück und Reichtum auf ihrer Seite. Eine rechtschaffene und kämpferische Reiterin! Du kannst sie durch den Ultimativen Affen erhalten.
- Neue Marsch-Spezialeffekt-Funktion: Verleihe deinen marschierenden Truppen coole und aufsehenerregende Spezialeffekte!
- Neue visuelle Effekte für die Ausrüstung: Werte Ausrüstungen und Waffen auf, um deinen Truppen auffälligere visuelle Effekte zu verleihen!
- Anpassungen für die Anfangsphase des Spiels: Große Ressourcenquellen und "sicheres" Gameplay wurden hinzugefügt. Vibrationsalarme für die Übernahme der Festung und wichtige Ereignisse wurden hinzugefügt.
- Colins Erkundung wurde geändert: Wenn Colin Lv.7 erreicht, werden alle 8 Stunden neue Quests hinzugefügt. Unerledigte tägliche Quests werden um 0:00 Uhr UTC gelöscht.
- Affentor-Änderungen: Es wurden 6 Affentore (Lv.2) hinzugefügt, mit denen dein Clan das Zentrum der Karte betreten und dort kämpfen kann.
- Clan-System optimiert: Clan-Level und Wohlstand wurden hinzugefügt; die Anzeige der Clan-Funktionen wurde optimiert.
 - Angriff auf Dr. Hogg optimiert: Der Zugang zum Event erfolgt jetzt über die Arena. Die Schadens-Belohnungen wurden erhöht. Nimm jetzt an dem neuen und verbesserten Event teil!
 - Stadtschild optimiert: Stadtschilde werden nicht mehr mit Energie aktiviert, sondern mit neuen Schildgegenständen.
 - Avatarrahmen-Interface optimiert: Die Anzeige des Avatarrahmen-Interfaces wurde verbessert.
 - Luftschiff-Abschuss optimiert: Banditen haben einen neuen Angriff gestartet! Bekämpfe sie jetzt, um Ausrüstungsmaterialien und andere Belohnungen zu erhalten!
 - Event-Zugang optimiert: Die Anzeigeeffekte beim Event-Zugang wurden verbessert.
 - Geladener Schlag optimiert: Verbesserte Anzeigen und Abläufe im Event.</v>
      </c>
      <c r="F23" s="64" t="str">
        <f>IFERROR(__xludf.DUMMYFUNCTION("""COMPUTED_VALUE"""),"- Nova combatente: Tiffany, Motoqueira Arco-íris A garota com a sorte e a riqueza ao seu lado. Uma motoqueira feroz e justa! Obtenha-a em Macaco Supremo.
- Novos efeitos especiais de marcha: conceda às suas tropas em marcha um efeito especial estiloso!
- "&amp;"Novos efeitos visuais de equipamento: melhore equipamentos e armas para dar às suas tropas efeitos visuais mais chamativos!
- Ajustes no começo do jogo: adição de grandes pontos de recursos e jogabilidade ""segura"". Foram adicionados alertas de vibração "&amp;"em Conquista da Fortaleza e em pontos importantes da trama.
- Mudanças em Exploração de Colin: quando Colin chega ao Nv. 7, novas missões são adicionadas a cada 8 horas. Missões não concluídas do dia serão redefinidas em 0 UTC.
- Mudanças do Passe: adicio"&amp;"nados 6 Passes Nv. 2 para ajudar nossa gangue a entrar e lutar no centro no mapa. 
- Sistema de gangues otimizado: nível de gangue e prosperidade adicionados; melhoria nas exibições referentes a gangues.
- Ataque a Dr. Hogg melhorado: acesso ao evento aco"&amp;"ntece agora por meio da arena. Mais recompensas de dano. Participe do novo evento melhorado agora!
- Escudo da cidade melhorado: escudos da cidade não são mais ativados usando energia, mas sim com novos itens de escudo.
- Interface de moldura de avatar ot"&amp;"imizada: melhoria na exibição de molduras e avatar.
- Melhoria em Ataque do Dirigível: bandidos começaram um novo ataque! Lute contra eles agora e ganhe materiais de equipamento e outras recompensas!
- Melhoria no acesso a eventos: melhoria nos efeitos de"&amp;" exibição ao acessar eventos.
- Melhoria em Ataque Carregado: otimizações de exibição e operações no evento.")</f>
        <v>- Nova combatente: Tiffany, Motoqueira Arco-íris A garota com a sorte e a riqueza ao seu lado. Uma motoqueira feroz e justa! Obtenha-a em Macaco Supremo.
- Novos efeitos especiais de marcha: conceda às suas tropas em marcha um efeito especial estiloso!
- Novos efeitos visuais de equipamento: melhore equipamentos e armas para dar às suas tropas efeitos visuais mais chamativos!
- Ajustes no começo do jogo: adição de grandes pontos de recursos e jogabilidade "segura". Foram adicionados alertas de vibração em Conquista da Fortaleza e em pontos importantes da trama.
- Mudanças em Exploração de Colin: quando Colin chega ao Nv. 7, novas missões são adicionadas a cada 8 horas. Missões não concluídas do dia serão redefinidas em 0 UTC.
- Mudanças do Passe: adicionados 6 Passes Nv. 2 para ajudar nossa gangue a entrar e lutar no centro no mapa. 
- Sistema de gangues otimizado: nível de gangue e prosperidade adicionados; melhoria nas exibições referentes a gangues.
- Ataque a Dr. Hogg melhorado: acesso ao evento acontece agora por meio da arena. Mais recompensas de dano. Participe do novo evento melhorado agora!
- Escudo da cidade melhorado: escudos da cidade não são mais ativados usando energia, mas sim com novos itens de escudo.
- Interface de moldura de avatar otimizada: melhoria na exibição de molduras e avatar.
- Melhoria em Ataque do Dirigível: bandidos começaram um novo ataque! Lute contra eles agora e ganhe materiais de equipamento e outras recompensas!
- Melhoria no acesso a eventos: melhoria nos efeitos de exibição ao acessar eventos.
- Melhoria em Ataque Carregado: otimizações de exibição e operações no evento.</v>
      </c>
      <c r="G23" s="64" t="str">
        <f>IFERROR(__xludf.DUMMYFUNCTION("""COMPUTED_VALUE"""),"-新增鬥士：彩虹騎士-蒂芙尼，幸運眷顧的小富婆，嫉惡如仇的暴力彩虹。參與最強猴子即可獲得；
-新增行軍特效系統：帶上酷炫的特效行軍出征，成為最靚麗的一猿！
-新增軍備外顯特效：提升軍備武裝等級，為士兵們解鎖更亮眼的特效！
-前期調整：新增了大資源點和保險箱玩法，堡壘對決和關鍵劇情節點新增了震動反饋；
-科林的探索調整：任務刷新規則調整為每6小時添加一次新任務，當日未完成的任務將在UTC0點移除；
-幫派系統優化：新增幫派等級、幫派繁榮度等功能，優化了幫派系統中部分功能的顯示邏輯；
-討伐霍格博士優化：活動"&amp;"入口移至擂臺、增加傷害成就獎勵，快來與全新的霍格博士戰鬥吧！
-城市護盾優化：移除了使用能量開啟護盾的方式，調整為使用全新的護盾道具開啟；
-頭像框界面優化：優化了頭像框界面的部分顯示效果；
-飛艇擊落戰活動優化：宇宙強盜猿發起了新的一波攻擊，現在與其交戰即可獲得戰裝材料等獎勵！
-活動入口優化：優化了活動入口的表現效果；
-重裝出擊優化：優化了重裝出擊玩法中的部分顯示和操作邏輯。")</f>
        <v>-新增鬥士：彩虹騎士-蒂芙尼，幸運眷顧的小富婆，嫉惡如仇的暴力彩虹。參與最強猴子即可獲得；
-新增行軍特效系統：帶上酷炫的特效行軍出征，成為最靚麗的一猿！
-新增軍備外顯特效：提升軍備武裝等級，為士兵們解鎖更亮眼的特效！
-前期調整：新增了大資源點和保險箱玩法，堡壘對決和關鍵劇情節點新增了震動反饋；
-科林的探索調整：任務刷新規則調整為每6小時添加一次新任務，當日未完成的任務將在UTC0點移除；
-幫派系統優化：新增幫派等級、幫派繁榮度等功能，優化了幫派系統中部分功能的顯示邏輯；
-討伐霍格博士優化：活動入口移至擂臺、增加傷害成就獎勵，快來與全新的霍格博士戰鬥吧！
-城市護盾優化：移除了使用能量開啟護盾的方式，調整為使用全新的護盾道具開啟；
-頭像框界面優化：優化了頭像框界面的部分顯示效果；
-飛艇擊落戰活動優化：宇宙強盜猿發起了新的一波攻擊，現在與其交戰即可獲得戰裝材料等獎勵！
-活動入口優化：優化了活動入口的表現效果；
-重裝出擊優化：優化了重裝出擊玩法中的部分顯示和操作邏輯。</v>
      </c>
      <c r="H23" s="64" t="str">
        <f>IFERROR(__xludf.DUMMYFUNCTION("""COMPUTED_VALUE"""),"- Pejuang Baru: Pengendara Pelangi, Tiffany. Gadis dengan keberuntungan dan kekayaan dipihaknya. Pengendara baik hati dan berani! Didapatkan melalui Kera Terhebat.
- Fitur efek khusus berbaris baru: Memberikan efek khusus yang keren dan menarik ke pasukan"&amp;"mu yang berbaris!
- Efek visual Peralatan baru: Tingkatkan Peralatan dan Senjata untuk memberikan pasukanmu efek visual yang lebih mangagumkan!
- Penyesuaian awal game: Menambahkan spot sumber daya besar serta gameplay ""aman"". Menambahkan peringatan get"&amp;"ar untuk Pengambilalihan Benteng dan titik plot utama.
- Penjelajahan Colin berubah: Saat Colin mencapai Lv. 7, tantangan baru akan ditambahkan setiap 8 jam. Tantangan harian yang tidak selesai akan dibersihkan pada 0 UTC.
- Wilayah Kera berubah: Menambah"&amp;"kan 6 Wilayah Kera Lv. 2 untuk membantu lebih banyak Geng agar bisa masuk dan bertarung di pusat peta.
- Sistem Geng dioptimalkan: Menambahkan fitur Level dan Kemakmuran Geng; tampilan fungsi Geng dioptimalkan.
- Penyerangan Dr. Hogg dioptimalkan: Akses a"&amp;"cara kini melalui Arena. Meningkatkan hadiah kerusakan. Berpartisipasilah dalam acara yang baru dan dioptimalkan sekarang juga!
- Perisai Kota dioptimalkan: Perisai Kota tidak lagi diaktifkan menggunakan Energi tetapi dengan item perisai baru.
- Antarmuka"&amp;" bingkai avatar dioptimalkan: Meningkatkan tampilan antarmuka bingkai avatar.
- Penembakan Kapal Udara dioptimalkan: Bandit meluncurkan serangan baru! Lawan mereka sekarang juga untuk memenangkan material perlengkapan dan hadiah lainnya!
- Akses Acara dio"&amp;"ptimalkan: Meningkatkan efek tampilan akses acara.
- Pukulan Berisi dioptimalkan: Meningkatkan tampilan dan operasi di acara.")</f>
        <v>- Pejuang Baru: Pengendara Pelangi, Tiffany. Gadis dengan keberuntungan dan kekayaan dipihaknya. Pengendara baik hati dan berani! Didapatkan melalui Kera Terhebat.
- Fitur efek khusus berbaris baru: Memberikan efek khusus yang keren dan menarik ke pasukanmu yang berbaris!
- Efek visual Peralatan baru: Tingkatkan Peralatan dan Senjata untuk memberikan pasukanmu efek visual yang lebih mangagumkan!
- Penyesuaian awal game: Menambahkan spot sumber daya besar serta gameplay "aman". Menambahkan peringatan getar untuk Pengambilalihan Benteng dan titik plot utama.
- Penjelajahan Colin berubah: Saat Colin mencapai Lv. 7, tantangan baru akan ditambahkan setiap 8 jam. Tantangan harian yang tidak selesai akan dibersihkan pada 0 UTC.
- Wilayah Kera berubah: Menambahkan 6 Wilayah Kera Lv. 2 untuk membantu lebih banyak Geng agar bisa masuk dan bertarung di pusat peta.
- Sistem Geng dioptimalkan: Menambahkan fitur Level dan Kemakmuran Geng; tampilan fungsi Geng dioptimalkan.
- Penyerangan Dr. Hogg dioptimalkan: Akses acara kini melalui Arena. Meningkatkan hadiah kerusakan. Berpartisipasilah dalam acara yang baru dan dioptimalkan sekarang juga!
- Perisai Kota dioptimalkan: Perisai Kota tidak lagi diaktifkan menggunakan Energi tetapi dengan item perisai baru.
- Antarmuka bingkai avatar dioptimalkan: Meningkatkan tampilan antarmuka bingkai avatar.
- Penembakan Kapal Udara dioptimalkan: Bandit meluncurkan serangan baru! Lawan mereka sekarang juga untuk memenangkan material perlengkapan dan hadiah lainnya!
- Akses Acara dioptimalkan: Meningkatkan efek tampilan akses acara.
- Pukulan Berisi dioptimalkan: Meningkatkan tampilan dan operasi di acara.</v>
      </c>
      <c r="I23" s="64" t="str">
        <f>IFERROR(__xludf.DUMMYFUNCTION("""COMPUTED_VALUE"""),"- นักสู้ตัวใหม่: ทิฟฟานี่ นักบิดสายรุ้ง หญิงสาวผู้ที่โชคและความมั่งคั่งเข้าข้างเธอเสมอ นักบิดผู้เที่ยงธรรมแต่สุดโหด! รับเธอได้จากกิจกรรมลิงที่แข็งแกร่งที่สุด
 - เอฟเฟกต์การเดินทัพพิเศษ: มอบเอฟเฟกต์พิเศษสุดคูลให้กับกองกำลังของคุณ!
 - ภาพเอฟเฟกต์อุปกรณ์ใหม่"&amp;": อัปเกรดอุปกรณ์และอาวุธ เพื่อให้กองทหารของคุณมีภาพเอฟเฟกต์ที่โดดเด่นยิ่งขึ้น!
 - การปรับในช่วงต้นเกม: เพิ่มจุดทรัพยากรขนาดใหญ่และรูปแบบการเล่นที่ ""ปลอดภัย"" เพิ่มการเตือนแบบสั่นสำหรับการยึดป้อมปราการและช่วงเนื้อเรื่องสำคัญ
 - การเปลี่ยนแปลงการสำรวจของคอ"&amp;"ลิน: เมื่อโคลินถึงเลเวล 7 ระบบจะเพิ่มเควสต์ใหม่ทุก ๆ 8 ชั่วโมง โดยเควสต์ที่ยังทำไม่สำเร็จของวันนั้นจะถูกเคลียร์ออกไปในเวลา 0 UTC
 - การเปลี่ยนแปลงในมังกี้พาส: เพิ่มพาสเลเวล 2 อีก 6 พาส เพื่อช่วยแก๊งในการต่อสู้ในศูนย์กลางแผนที่
 - ปรับระบบแก๊ง: เพิ่มคุณสมบ"&amp;"ัติระดับแก๊งและความเจริญรุ่งเรือง; ปรับปรุงการแสดงฟังก์ชั่นแก๊ง
 - ปรับปรุงการโจมตี ดร.ฮ็อกก์: คุณสามารถเข้าเล่นกิจกรรมผ่านสนามต่อสู้ได้แล้ว เพิ่มรางวัลการสร้างแดเมจ เข้าร่วมกิจกรรมแบบปรับปรุงใหม่ได้ทันที!
 - ปรับปรุงเกราะป้องกันเมือง: การใช้เกราะป้องกันเ"&amp;"มืองไม่ต้องใช้พลังงานอีกต่อไป แต่จะใช้ไอเทมเกราะใหม่แทน
 - ปรับอินเทอร์เฟซกรอบรูปอวาตาร์: ปรับปรุงการแสดงอินเทอร์เฟซกรอบรูปอวาตาร์
 - ปรับปรุงกิจกรรมยิงเรือเหาะ: จอมโจรเปิดตัวการโจมตีใหม่! ต่อสู้กับพวกเขาทันทีเพื่อรับรางวัลวัสดุอุปกรณ์และรางวัลอื่น ๆ!
 - "&amp;"ปรับปรุงการเข้าร่วมกิจกรรม: ปรับปรุงเอฟเฟกต์หน้าจอการเข้าร่วมกิจกรรม
 - ปรับปรุงกิจกรรมกระหน่ำโจมตี: ปรับปรุงการแสดงผลและการดำเนินการในกิจกรรม")</f>
        <v>- นักสู้ตัวใหม่: ทิฟฟานี่ นักบิดสายรุ้ง หญิงสาวผู้ที่โชคและความมั่งคั่งเข้าข้างเธอเสมอ นักบิดผู้เที่ยงธรรมแต่สุดโหด! รับเธอได้จากกิจกรรมลิงที่แข็งแกร่งที่สุด
 - เอฟเฟกต์การเดินทัพพิเศษ: มอบเอฟเฟกต์พิเศษสุดคูลให้กับกองกำลังของคุณ!
 - ภาพเอฟเฟกต์อุปกรณ์ใหม่: อัปเกรดอุปกรณ์และอาวุธ เพื่อให้กองทหารของคุณมีภาพเอฟเฟกต์ที่โดดเด่นยิ่งขึ้น!
 - การปรับในช่วงต้นเกม: เพิ่มจุดทรัพยากรขนาดใหญ่และรูปแบบการเล่นที่ "ปลอดภัย" เพิ่มการเตือนแบบสั่นสำหรับการยึดป้อมปราการและช่วงเนื้อเรื่องสำคัญ
 - การเปลี่ยนแปลงการสำรวจของคอลิน: เมื่อโคลินถึงเลเวล 7 ระบบจะเพิ่มเควสต์ใหม่ทุก ๆ 8 ชั่วโมง โดยเควสต์ที่ยังทำไม่สำเร็จของวันนั้นจะถูกเคลียร์ออกไปในเวลา 0 UTC
 - การเปลี่ยนแปลงในมังกี้พาส: เพิ่มพาสเลเวล 2 อีก 6 พาส เพื่อช่วยแก๊งในการต่อสู้ในศูนย์กลางแผนที่
 - ปรับระบบแก๊ง: เพิ่มคุณสมบัติระดับแก๊งและความเจริญรุ่งเรือง; ปรับปรุงการแสดงฟังก์ชั่นแก๊ง
 - ปรับปรุงการโจมตี ดร.ฮ็อกก์: คุณสามารถเข้าเล่นกิจกรรมผ่านสนามต่อสู้ได้แล้ว เพิ่มรางวัลการสร้างแดเมจ เข้าร่วมกิจกรรมแบบปรับปรุงใหม่ได้ทันที!
 - ปรับปรุงเกราะป้องกันเมือง: การใช้เกราะป้องกันเมืองไม่ต้องใช้พลังงานอีกต่อไป แต่จะใช้ไอเทมเกราะใหม่แทน
 - ปรับอินเทอร์เฟซกรอบรูปอวาตาร์: ปรับปรุงการแสดงอินเทอร์เฟซกรอบรูปอวาตาร์
 - ปรับปรุงกิจกรรมยิงเรือเหาะ: จอมโจรเปิดตัวการโจมตีใหม่! ต่อสู้กับพวกเขาทันทีเพื่อรับรางวัลวัสดุอุปกรณ์และรางวัลอื่น ๆ!
 - ปรับปรุงการเข้าร่วมกิจกรรม: ปรับปรุงเอฟเฟกต์หน้าจอการเข้าร่วมกิจกรรม
 - ปรับปรุงกิจกรรมกระหน่ำโจมตี: ปรับปรุงการแสดงผลและการดำเนินการในกิจกรรม</v>
      </c>
      <c r="J23" s="64" t="str">
        <f>IFERROR(__xludf.DUMMYFUNCTION("""COMPUTED_VALUE"""),"- Nuevo luchador: Jinete del arcoíris, Tiffany. La chica con suerte y riqueza de su lado. ¡Un jinete justo y feroz! Consíguela a través del Mono Supremo.
- Nueva función de efectos especiales de marcha: ¡Dales a tus tropas efectos especiales geniales y vi"&amp;"stosos!
- Nuevos efectos visuales de los Equipos: ¡Mejora los Equipos y las Armas para dar a tus tropas efectos visuales más llamativos!
- Ajustes iniciales del juego: Se agregaron grandes puntos de recursos y el modo de juego ""seguro"". Se agregaron ale"&amp;"rtas de vibración para Toma de la Fortaleza y puntos clave dentro de la trama.
- Cambios en la Exploración de Colin: Cuando Colin alcanza el Nvl. 7, se agregarán nuevas misiones cada 8 horas. Las misiones del día sin terminar se eliminarán a las 0 UTC.
- "&amp;"Cambios en el Paso de Mono: Se agregaron 6 Pases de Mono de Nvl. 2 para ayudar a la Banda a poder entrar y luchar en el centro del mapa.
- Sistema de Bandas optimizado: Se agregaron funciones de nivel de Banda y Prosperidad; visualización de funciones de "&amp;"la Banda optimizadas.
- Optimización del Ataque al Dr. Hogg: El acceso al evento ahora es a través de la Arena. Aumento de las recompensas por daños. ¡Participa ahora en el evento nuevo y mejorado!
- Escudo de Ciudad optimizado: los Escudos de Ciudad ya n"&amp;"o se activan con Energía, sino mediante el uso de nuevos artículos de escudo.
- Interfaz de marco de avatar optimizada: Se mejoró la visualización de la interfaz del marco de avatar.
- Derribo de la Aeronave optimizado: ¡Los bandidos lanzaron un nuevo ata"&amp;"que! ¡Lucha contra ellos ahora para ganar materiales de equipo y otras recompensas!
- Acceso a eventos optimizado: Mejora en la visualización de efectos de acceso.
- Optimización de Golpe Cargado: Mejoras en la visualización y operaciones en el evento.")</f>
        <v>- Nuevo luchador: Jinete del arcoíris, Tiffany. La chica con suerte y riqueza de su lado. ¡Un jinete justo y feroz! Consíguela a través del Mono Supremo.
- Nueva función de efectos especiales de marcha: ¡Dales a tus tropas efectos especiales geniales y vistosos!
- Nuevos efectos visuales de los Equipos: ¡Mejora los Equipos y las Armas para dar a tus tropas efectos visuales más llamativos!
- Ajustes iniciales del juego: Se agregaron grandes puntos de recursos y el modo de juego "seguro". Se agregaron alertas de vibración para Toma de la Fortaleza y puntos clave dentro de la trama.
- Cambios en la Exploración de Colin: Cuando Colin alcanza el Nvl. 7, se agregarán nuevas misiones cada 8 horas. Las misiones del día sin terminar se eliminarán a las 0 UTC.
- Cambios en el Paso de Mono: Se agregaron 6 Pases de Mono de Nvl. 2 para ayudar a la Banda a poder entrar y luchar en el centro del mapa.
- Sistema de Bandas optimizado: Se agregaron funciones de nivel de Banda y Prosperidad; visualización de funciones de la Banda optimizadas.
- Optimización del Ataque al Dr. Hogg: El acceso al evento ahora es a través de la Arena. Aumento de las recompensas por daños. ¡Participa ahora en el evento nuevo y mejorado!
- Escudo de Ciudad optimizado: los Escudos de Ciudad ya no se activan con Energía, sino mediante el uso de nuevos artículos de escudo.
- Interfaz de marco de avatar optimizada: Se mejoró la visualización de la interfaz del marco de avatar.
- Derribo de la Aeronave optimizado: ¡Los bandidos lanzaron un nuevo ataque! ¡Lucha contra ellos ahora para ganar materiales de equipo y otras recompensas!
- Acceso a eventos optimizado: Mejora en la visualización de efectos de acceso.
- Optimización de Golpe Cargado: Mejoras en la visualización y operaciones en el evento.</v>
      </c>
      <c r="K23" s="44" t="str">
        <f>IFERROR(__xludf.DUMMYFUNCTION("""COMPUTED_VALUE"""),"- Новый герой: Тиффани, Радужная всадница. Это девушка, на стороне которой удача и богатство. Благородная и свирепая всадница! Получите ее в «Великой обезьяне».
- Новая функция спецэффектов марша: украсьте свои войска на марше крутыми и броскими спецэффек"&amp;"тами! 
- Новые графические эффекты снаряжения: улучшайте снаряжение и оружие, чтобы придать своим войскам более яркие графические эффекты! 
- Корректировки для ранней игры: добавлены богатые точки ресурсов и возможности «безопасной» игры. Добавлены оповещ"&amp;"ения вибрацией для «Захвата крепости» и ключевых сюжетных моментов.
- Изменения в «Исследованиях Колина»: когда Колин достигает 7-го уровня, новые задания будут добавляться каждые 8 часов. Задания дня, которые вы не выполнили, будут удаляться в 00:00 UTC."&amp;"
- Изменения в обезьяньих проходах: добавлено 6 обезьяньих проходов 2-го уровня, чтобы у большего числа банд была возможность попасть к центру карты для сражений.
- Оптимизирована система банд: добавлены функции уровней и процветания банды; оптимизировано"&amp;" отображение функций банды.
- Оптимизирована «Атака на доктора Хогга»: перейти к событию теперь можно через Арену. Увеличены награды за нанесенный урон. Участвуйте в новом и улучшенном событии прямо сейчас! 
- Оптимизированы щиты города: теперь щиты город"&amp;"а активируются не за энергию, а с помощью новых предметов щита.
- Оптимизирован интерфейс рамки аватара: улучшено отображение интерфейса рамки аватара.
- Оптимизировано событие «Сбить дирижабль»: бандиты начали новую атаку! Сражайтесь с ними, чтобы выигра"&amp;"ть материалы для снаряжения и другие награды.
- Оптимизирован доступ к событиям: улучшены визуальные эффекты доступа к событиям.
- Оптимизирован «Заряженный удар»: улучшено отображение и действия в событии.")</f>
        <v>- Новый герой: Тиффани, Радужная всадница. Это девушка, на стороне которой удача и богатство. Благородная и свирепая всадница! Получите ее в «Великой обезьяне».
- Новая функция спецэффектов марша: украсьте свои войска на марше крутыми и броскими спецэффектами! 
- Новые графические эффекты снаряжения: улучшайте снаряжение и оружие, чтобы придать своим войскам более яркие графические эффекты! 
- Корректировки для ранней игры: добавлены богатые точки ресурсов и возможности «безопасной» игры. Добавлены оповещения вибрацией для «Захвата крепости» и ключевых сюжетных моментов.
- Изменения в «Исследованиях Колина»: когда Колин достигает 7-го уровня, новые задания будут добавляться каждые 8 часов. Задания дня, которые вы не выполнили, будут удаляться в 00:00 UTC.
- Изменения в обезьяньих проходах: добавлено 6 обезьяньих проходов 2-го уровня, чтобы у большего числа банд была возможность попасть к центру карты для сражений.
- Оптимизирована система банд: добавлены функции уровней и процветания банды; оптимизировано отображение функций банды.
- Оптимизирована «Атака на доктора Хогга»: перейти к событию теперь можно через Арену. Увеличены награды за нанесенный урон. Участвуйте в новом и улучшенном событии прямо сейчас! 
- Оптимизированы щиты города: теперь щиты города активируются не за энергию, а с помощью новых предметов щита.
- Оптимизирован интерфейс рамки аватара: улучшено отображение интерфейса рамки аватара.
- Оптимизировано событие «Сбить дирижабль»: бандиты начали новую атаку! Сражайтесь с ними, чтобы выиграть материалы для снаряжения и другие награды.
- Оптимизирован доступ к событиям: улучшены визуальные эффекты доступа к событиям.
- Оптимизирован «Заряженный удар»: улучшено отображение и действия в событии.</v>
      </c>
      <c r="L23" s="44" t="str">
        <f>IFERROR(__xludf.DUMMYFUNCTION("""COMPUTED_VALUE"""),"- Yeni Savaşçı: Gökkuşağı Binicisi Tiffany. Şans ve zenginliğin her zaman yanında olduğu kız. İyi ve ateşli bir binici! En Üstün Maymunla onu al.
- Seferlerde yeni özel efekt özelliği: Seferdeki birliklerine havalı ve göz alıcı özel efektler ver!
- Yeni A"&amp;"ksesuar görsel efektleri: Birliklerine daha çarpıcı görsel efektler vermek için Aksesuarları ve Silahları yükselt!
- Oyun başlarındaki düzenlemeler: Büyük kaynak noktaları ve “güvenli” oynanış eklendi. Kaleyi Ele Geçirme ve kilit hikâye noktaları için tit"&amp;"reşimli uyarılar eklendi.
- Colin’in Keşfi değişiklikleri: Colin 7. Sv’ye ulaştığında, her 8 saatte bir yeni maceralar eklenir. Günün bitmemiş maceraları 00.00’da (UTC) silinir.
- Maymun Geçidi değişiklikleri: Çetemizin harita merkezine girip savaşmasına "&amp;"yardımcı olmak için 6 adet 2. Sv. Maymun Geçişi eklendi.
- Çete sistemi optimize edildi: Çete Seviyesi ve Refah özellikleri eklendi; Çete işlevi görüntüleri optimize edildi.
- Dr. Hogg’a saldırı optimize edildi: Etkinlik erişimi artık Arena aracılığıyla. "&amp;"Hasar ödülleri artırıldı. Yeni ve geliştirilmiş etkinliğe şimdi katıl!
- Şehir Kalkanı optimize edildi: Şehir Kalkanları artık Enerji kullanılarak değil, yeni kalkan eşyaları kullanılarak etkinleştiriliyor.
- Avatar çerçevesi arayüzü optimize edildi: Avat"&amp;"ar çerçevesi arayüzünün görüntüsü iyileştirildi.
- Zeplin Vurma optimize edildi: Haydutlar yeni bir saldırı başlattı! Ekipman materyalleri ve diğer ödülleri kazanmak için şimdi onlarla savaş!
- Etkinlik erişimi optimize edildi: Etkinlik erişimi görüntü ef"&amp;"ektleri iyileştirildi.
- Yüklü Vuruş optimize edildi: Etkinlikteki görüntüler ve operasyonlar iyileştirildi.")</f>
        <v>- Yeni Savaşçı: Gökkuşağı Binicisi Tiffany. Şans ve zenginliğin her zaman yanında olduğu kız. İyi ve ateşli bir binici! En Üstün Maymunla onu al.
- Seferlerde yeni özel efekt özelliği: Seferdeki birliklerine havalı ve göz alıcı özel efektler ver!
- Yeni Aksesuar görsel efektleri: Birliklerine daha çarpıcı görsel efektler vermek için Aksesuarları ve Silahları yükselt!
- Oyun başlarındaki düzenlemeler: Büyük kaynak noktaları ve “güvenli” oynanış eklendi. Kaleyi Ele Geçirme ve kilit hikâye noktaları için titreşimli uyarılar eklendi.
- Colin’in Keşfi değişiklikleri: Colin 7. Sv’ye ulaştığında, her 8 saatte bir yeni maceralar eklenir. Günün bitmemiş maceraları 00.00’da (UTC) silinir.
- Maymun Geçidi değişiklikleri: Çetemizin harita merkezine girip savaşmasına yardımcı olmak için 6 adet 2. Sv. Maymun Geçişi eklendi.
- Çete sistemi optimize edildi: Çete Seviyesi ve Refah özellikleri eklendi; Çete işlevi görüntüleri optimize edildi.
- Dr. Hogg’a saldırı optimize edildi: Etkinlik erişimi artık Arena aracılığıyla. Hasar ödülleri artırıldı. Yeni ve geliştirilmiş etkinliğe şimdi katıl!
- Şehir Kalkanı optimize edildi: Şehir Kalkanları artık Enerji kullanılarak değil, yeni kalkan eşyaları kullanılarak etkinleştiriliyor.
- Avatar çerçevesi arayüzü optimize edildi: Avatar çerçevesi arayüzünün görüntüsü iyileştirildi.
- Zeplin Vurma optimize edildi: Haydutlar yeni bir saldırı başlattı! Ekipman materyalleri ve diğer ödülleri kazanmak için şimdi onlarla savaş!
- Etkinlik erişimi optimize edildi: Etkinlik erişimi görüntü efektleri iyileştirildi.
- Yüklü Vuruş optimize edildi: Etkinlikteki görüntüler ve operasyonlar iyileştirildi.</v>
      </c>
      <c r="M23" s="64" t="str">
        <f>IFERROR(__xludf.DUMMYFUNCTION("""COMPUTED_VALUE"""),"- Chiến Binh mới: Tay Đua Cầu Vồng, Tiffany. Một cô gái may mắn và giàu có. Một tay đua chính trực và quyết liệt! Nhận cô ấy thông qua Chúa Khỉ Tối Cao.
- Tính năng hiệu ứng hành quân đặc biệt mới: Mang lại cho binh lính của bạn các hiệu ứng đặc biệt bắt "&amp;"mắt và cool ngầu!
- Hiệu ứng hình ảnh trang bị mới: Nâng cấp Trang Bị và Vũ Khí để mang lại cho binh lính của bạn thêm nhiều hiệu ứng hình ảnh nổi bật!
- Điều chỉnh lối chơi giai đoạn đầu: Thêm các điểm tài nguyên lớn và lối chơi ""an toàn"". Thêm các cản"&amp;"h báo rung trong Tiếp Quản Pháo Đài và các điểm cốt truyện chính.
- Thay đổi Khám Phá Của Colin: Khi Colin đạt Cấp 7, các nhiệm vụ mới sẽ được thêm vào mỗi 8 giờ. Những nhiệm vụ chưa hoàn thành trong ngày sẽ bị xóa lúc 0 UTC.
- Thay đổi Cửa Ải Khỉ: Đã thê"&amp;"m 6 Cửa Ải Khỉ Cấp 2 để hỗ trợ Bang Hội vào và chiến đấu trong trung tâm bản đồ.
- Tối ưu hóa hệ thống Bang Hội: Đã thêm các tính năng Thịnh Vượng và Cấp Bang Hội; đã tối ưu hóa hiển thị tính năng Bang Hội.
- Tối ưu hóa Tấn công Tiến Sĩ Hogg: Hiện có thể "&amp;"truy cập vào sự kiện qua Đấu Trường. Tăng thưởng sát thương. Hãy tham gia các sự kiện mới được cải tiến ngay nào!
- Tối ưu hóa Khiên Chắn Thành Phố: Khiên Chắn Thành Phố hiện không còn được kích hoạt bằng Năng Lượng nữa mà được kích hoạt bằng các vật phẩm"&amp;" khiên mới.
- Tối ưu hóa giao diện khung ảnh đại diện: Đã cải thiện giao diện hiển thị khung ảnh đại diện.
- Tối ưu hóa Bắn Hạ Tàu Bay: Các băng cướp đã khởi xướng một đợt tấn công mới! Hãy chiến đấu với chúng ngay để giành những nguyên liệu trang bị cùng"&amp;" những phần thưởng khác!
- Tối ưu hóa truy cập vào sự kiện: Đã cải thiện các hiệu ứng hiển trị truy cập vào sự kiện.
- Tối ưu hóa Tấn Công Đã Tải: Đã cải thiện giao diện và thao tác trong sự kiện.")</f>
        <v>- Chiến Binh mới: Tay Đua Cầu Vồng, Tiffany. Một cô gái may mắn và giàu có. Một tay đua chính trực và quyết liệt! Nhận cô ấy thông qua Chúa Khỉ Tối Cao.
- Tính năng hiệu ứng hành quân đặc biệt mới: Mang lại cho binh lính của bạn các hiệu ứng đặc biệt bắt mắt và cool ngầu!
- Hiệu ứng hình ảnh trang bị mới: Nâng cấp Trang Bị và Vũ Khí để mang lại cho binh lính của bạn thêm nhiều hiệu ứng hình ảnh nổi bật!
- Điều chỉnh lối chơi giai đoạn đầu: Thêm các điểm tài nguyên lớn và lối chơi "an toàn". Thêm các cảnh báo rung trong Tiếp Quản Pháo Đài và các điểm cốt truyện chính.
- Thay đổi Khám Phá Của Colin: Khi Colin đạt Cấp 7, các nhiệm vụ mới sẽ được thêm vào mỗi 8 giờ. Những nhiệm vụ chưa hoàn thành trong ngày sẽ bị xóa lúc 0 UTC.
- Thay đổi Cửa Ải Khỉ: Đã thêm 6 Cửa Ải Khỉ Cấp 2 để hỗ trợ Bang Hội vào và chiến đấu trong trung tâm bản đồ.
- Tối ưu hóa hệ thống Bang Hội: Đã thêm các tính năng Thịnh Vượng và Cấp Bang Hội; đã tối ưu hóa hiển thị tính năng Bang Hội.
- Tối ưu hóa Tấn công Tiến Sĩ Hogg: Hiện có thể truy cập vào sự kiện qua Đấu Trường. Tăng thưởng sát thương. Hãy tham gia các sự kiện mới được cải tiến ngay nào!
- Tối ưu hóa Khiên Chắn Thành Phố: Khiên Chắn Thành Phố hiện không còn được kích hoạt bằng Năng Lượng nữa mà được kích hoạt bằng các vật phẩm khiên mới.
- Tối ưu hóa giao diện khung ảnh đại diện: Đã cải thiện giao diện hiển thị khung ảnh đại diện.
- Tối ưu hóa Bắn Hạ Tàu Bay: Các băng cướp đã khởi xướng một đợt tấn công mới! Hãy chiến đấu với chúng ngay để giành những nguyên liệu trang bị cùng những phần thưởng khác!
- Tối ưu hóa truy cập vào sự kiện: Đã cải thiện các hiệu ứng hiển trị truy cập vào sự kiện.
- Tối ưu hóa Tấn Công Đã Tải: Đã cải thiện giao diện và thao tác trong sự kiện.</v>
      </c>
      <c r="N23" s="64"/>
      <c r="O23" s="148"/>
      <c r="P23" s="148"/>
      <c r="Q23" s="148"/>
      <c r="R23" s="148"/>
      <c r="S23" s="148"/>
      <c r="T23" s="148"/>
      <c r="U23" s="148"/>
      <c r="V23" s="148"/>
      <c r="W23" s="148"/>
      <c r="X23" s="148"/>
      <c r="Y23" s="148"/>
      <c r="Z23" s="148"/>
    </row>
    <row r="24">
      <c r="A24" s="149" t="str">
        <f>IFERROR(__xludf.DUMMYFUNCTION("""COMPUTED_VALUE"""),"0.42.0")</f>
        <v>0.42.0</v>
      </c>
      <c r="B24" s="152" t="str">
        <f>IFERROR(__xludf.DUMMYFUNCTION("""COMPUTED_VALUE"""),"-新增玩法：新的银河战争即将来临，前往探索火神星，在熔岩星球体验全新地图、争夺丰厚奖励！和不同服务器的玩家正面切磋，奋力杀敌，为自己的军团赢得无上的荣耀吧！
-新增斗士：狂兽-巴泽尔，钢筋铁骨，宛如巨兽的生化战士，需要超强的能量盔甲才能控制体内狂暴的力量。可通过最强猴子获取。
-新增活动：幼猴节活动即将开启：参与活动，赢取节日限定装饰和其他丰富奖励！
-新增酒吧会员卡：激活会员卡并持续升级就能获取诸多超值权益，机不可失，快快参与吧!
-堡垒对决玩法优化：新增了堡垒对决的变异首领关卡以及对应的剧情引导；新增"&amp;"小猪存钱罐功能，玩家通过关卡可累计镭射唱片，砸开后即可获取。
-绝地试炼玩法优化：优化部分章节的出怪时长；优化战前准备的操作和策略分数显示；新增了一键释放怪物按钮，优化了战时体验。
-酒吧签到优化：全新签到好礼活动升级上线，奖励更加丰厚，快来签到参与吧！
-神秘商店优化：神秘商店新增限时礼盒，享受专属定制高返利，千万别错过！
-联盟科技优化：联盟科技新增主动技能，研发到一定阶段解锁。
-基因科研优化：新增推荐科技显示，优化指挥官科研路径；新增基因相关增益。
-集结优化：参与帮派、中立建筑集结的时候队长和管"&amp;"理者可以选择限制加入的兵种；参与玩家对战集结的时候队长可以选择限制加入的兵种。
-界面及体验优化：优化了邮件显示逻辑；道具使用方面新增自动使用加速选项及多余道具返还")</f>
        <v>-新增玩法：新的银河战争即将来临，前往探索火神星，在熔岩星球体验全新地图、争夺丰厚奖励！和不同服务器的玩家正面切磋，奋力杀敌，为自己的军团赢得无上的荣耀吧！
-新增斗士：狂兽-巴泽尔，钢筋铁骨，宛如巨兽的生化战士，需要超强的能量盔甲才能控制体内狂暴的力量。可通过最强猴子获取。
-新增活动：幼猴节活动即将开启：参与活动，赢取节日限定装饰和其他丰富奖励！
-新增酒吧会员卡：激活会员卡并持续升级就能获取诸多超值权益，机不可失，快快参与吧!
-堡垒对决玩法优化：新增了堡垒对决的变异首领关卡以及对应的剧情引导；新增小猪存钱罐功能，玩家通过关卡可累计镭射唱片，砸开后即可获取。
-绝地试炼玩法优化：优化部分章节的出怪时长；优化战前准备的操作和策略分数显示；新增了一键释放怪物按钮，优化了战时体验。
-酒吧签到优化：全新签到好礼活动升级上线，奖励更加丰厚，快来签到参与吧！
-神秘商店优化：神秘商店新增限时礼盒，享受专属定制高返利，千万别错过！
-联盟科技优化：联盟科技新增主动技能，研发到一定阶段解锁。
-基因科研优化：新增推荐科技显示，优化指挥官科研路径；新增基因相关增益。
-集结优化：参与帮派、中立建筑集结的时候队长和管理者可以选择限制加入的兵种；参与玩家对战集结的时候队长可以选择限制加入的兵种。
-界面及体验优化：优化了邮件显示逻辑；道具使用方面新增自动使用加速选项及多余道具返还</v>
      </c>
      <c r="C24" s="13" t="str">
        <f>IFERROR(__xludf.DUMMYFUNCTION("""COMPUTED_VALUE"""),"- New gameplays: New Planet War coming soon! Explore Fire Star, experience new maps, and win amazing rewards on this planet of lava! Battle players from different servers, defeat enemies, and win glory for your army!
- New Fighter: Bazell the Beast. A bio"&amp;"-modified warrior with a body of steel; he needs a special suit of armor to contain the mad strength inside him! Get him through Ultimate Monkey.
- New events: Baby Monkeys' Day events start soon. Participate to win special-edition decorations and other r"&amp;"ewards!
- New feature, Tavern membership: Activate to upgrade membership levels and win valuable benefits. Don't miss this awesome opportunity!
- Fortress Takeover optimized: Added a Mutant Leader level and relevant storyline tutorial; added a Piggy Bank "&amp;"feature where players can ""save"" CDs from cleared levels and break the Piggy Bank to get them back.
- Impasse Trials improved: Optimized monster spawning time in some chapters; improved operations for pre-battle preparations and the display of your winn"&amp;"ing chance; added a ""release all"" monsters button; improved user experience during combat.
- Tavern Sign-In optimized: New and improved sign-in activity with better rewards! Sign in to participate now!
- Secret Shop optimized: Added a new, limited-time "&amp;"offer with high, customized rebates! Don't miss the exclusive deal!
- Gang Research improved: Gang Research now has active skills. Upgrade research to a certain level to unlock them!
- Gene Research improved: Interface now shows recommended research to he"&amp;"lp you navigate the feature; added gene-related buffs.
- Rallies optimized: For Gang and neutral building-related rallies, the rally leader and managers may now request specific unit types that can join the rally; for PvP rallies, the rally leader may set"&amp;" the requested unit types.
- Interface and user experience improvements: Optimized mail/message displays; added options for auto-using speedups and returning excess speedup time as items.")</f>
        <v>- New gameplays: New Planet War coming soon! Explore Fire Star, experience new maps, and win amazing rewards on this planet of lava! Battle players from different servers, defeat enemies, and win glory for your army!
- New Fighter: Bazell the Beast. A bio-modified warrior with a body of steel; he needs a special suit of armor to contain the mad strength inside him! Get him through Ultimate Monkey.
- New events: Baby Monkeys' Day events start soon. Participate to win special-edition decorations and other rewards!
- New feature, Tavern membership: Activate to upgrade membership levels and win valuable benefits. Don't miss this awesome opportunity!
- Fortress Takeover optimized: Added a Mutant Leader level and relevant storyline tutorial; added a Piggy Bank feature where players can "save" CDs from cleared levels and break the Piggy Bank to get them back.
- Impasse Trials improved: Optimized monster spawning time in some chapters; improved operations for pre-battle preparations and the display of your winning chance; added a "release all" monsters button; improved user experience during combat.
- Tavern Sign-In optimized: New and improved sign-in activity with better rewards! Sign in to participate now!
- Secret Shop optimized: Added a new, limited-time offer with high, customized rebates! Don't miss the exclusive deal!
- Gang Research improved: Gang Research now has active skills. Upgrade research to a certain level to unlock them!
- Gene Research improved: Interface now shows recommended research to help you navigate the feature; added gene-related buffs.
- Rallies optimized: For Gang and neutral building-related rallies, the rally leader and managers may now request specific unit types that can join the rally; for PvP rallies, the rally leader may set the requested unit types.
- Interface and user experience improvements: Optimized mail/message displays; added options for auto-using speedups and returning excess speedup time as items.</v>
      </c>
      <c r="D24" s="13" t="str">
        <f>IFERROR(__xludf.DUMMYFUNCTION("""COMPUTED_VALUE"""),"- Nouveaux gameplays: bientôt une nouvelle guerre planétaire! Explorez l’Etoile de feu, découvrez de nouvelles cartes, et gagnez d’incroyables récompenses sur cette planète volcanique! Affrontez des joueurs de différents serveurs, éliminez vos ennemis et "&amp;"apportez la gloire à votre armée!
- Nouveau combattant: Bazell la bête, un guerrier génétiquement modifié. Son armure d’acier lui permet de contenir son incroyable puissance! Obtenez-le dans le Singe ultime.
- Bientôt les nouveaux évènements de la Journée"&amp;" de l’enfance. Participez pour gagner des décors exclusifs et d’autres récompenses!
- Nouveauté: adhérez à la taverne et améliorez votre niveau d’adhésion pour obtenir des avantages précieux. A ne manquer sous aucun prétexte!
- Optimisation de l’Invasion "&amp;"de forteresse: ajout du niveau du chef mutant et un tutoriel au scénario adapté; ajout d’une tirelire pour économiser et retrouver les CD issus des niveaux terminés.
- Amélioration des Epreuves de l’impasse: optimisation du moment d’apparition des monstre"&amp;"s dans certains chapitres; amélioration du fonctionnement de la préparation au combat et de l’affichage des chances de victoire; ajout d’un bouton ""Tout lâcher"" pour les monstres; amélioration de l’expérience utilisateur pendant les combats.
- Optimisat"&amp;"ion de la connexion à la taverne: nouvelle activité améliorée de connexion, avec de meilleures récompenses! Connectez-vous pour participer dès maintenant!
- Optimisation de la boutique secrète: ajout d’une offre limitée avec de fortes réductions personnal"&amp;"isées! A ne manquer sous aucun prétexte!
- Amélioration de la recherche du gang, avec l’ajout de compétences actives. Faites avancer la recherche jusqu’à un certain palier pour les débloquer!
- Amélioration de la recherche génétique: l’interface montre de"&amp;"s recommandations pour mieux naviguer dans la fonctionnalité; ajout de boosts liés à la génétique.
- Optimisation des raids: dans les raids sur des bâtiments neutres ou de gang, l’organisateur du raid et les décideurs peuvent demander aux participants des"&amp;" types d’unités spécifiques; dans les raids contre d’autres joueurs, l’organisateur peut définir les types d’unités souhaitées.
- Amélioration de l’interface et de l’expérience utilisateur: interface de la messagerie; ajout d’options pour utiliser automat"&amp;"iquement des accélérateurs et restitution du temps en excès.")</f>
        <v>- Nouveaux gameplays: bientôt une nouvelle guerre planétaire! Explorez l’Etoile de feu, découvrez de nouvelles cartes, et gagnez d’incroyables récompenses sur cette planète volcanique! Affrontez des joueurs de différents serveurs, éliminez vos ennemis et apportez la gloire à votre armée!
- Nouveau combattant: Bazell la bête, un guerrier génétiquement modifié. Son armure d’acier lui permet de contenir son incroyable puissance! Obtenez-le dans le Singe ultime.
- Bientôt les nouveaux évènements de la Journée de l’enfance. Participez pour gagner des décors exclusifs et d’autres récompenses!
- Nouveauté: adhérez à la taverne et améliorez votre niveau d’adhésion pour obtenir des avantages précieux. A ne manquer sous aucun prétexte!
- Optimisation de l’Invasion de forteresse: ajout du niveau du chef mutant et un tutoriel au scénario adapté; ajout d’une tirelire pour économiser et retrouver les CD issus des niveaux terminés.
- Amélioration des Epreuves de l’impasse: optimisation du moment d’apparition des monstres dans certains chapitres; amélioration du fonctionnement de la préparation au combat et de l’affichage des chances de victoire; ajout d’un bouton "Tout lâcher" pour les monstres; amélioration de l’expérience utilisateur pendant les combats.
- Optimisation de la connexion à la taverne: nouvelle activité améliorée de connexion, avec de meilleures récompenses! Connectez-vous pour participer dès maintenant!
- Optimisation de la boutique secrète: ajout d’une offre limitée avec de fortes réductions personnalisées! A ne manquer sous aucun prétexte!
- Amélioration de la recherche du gang, avec l’ajout de compétences actives. Faites avancer la recherche jusqu’à un certain palier pour les débloquer!
- Amélioration de la recherche génétique: l’interface montre des recommandations pour mieux naviguer dans la fonctionnalité; ajout de boosts liés à la génétique.
- Optimisation des raids: dans les raids sur des bâtiments neutres ou de gang, l’organisateur du raid et les décideurs peuvent demander aux participants des types d’unités spécifiques; dans les raids contre d’autres joueurs, l’organisateur peut définir les types d’unités souhaitées.
- Amélioration de l’interface et de l’expérience utilisateur: interface de la messagerie; ajout d’options pour utiliser automatiquement des accélérateurs et restitution du temps en excès.</v>
      </c>
      <c r="E24" s="64" t="str">
        <f>IFERROR(__xludf.DUMMYFUNCTION("""COMPUTED_VALUE"""),"- Neues Gameplay: Neuer Planetenkrieg in Kürze!! Erkunde Feuerstern, erlebe neue Karten und hold dir tolle Belohnungen auf diesem Lavaplaneten! Kämpfe gegen Spieler von anderen Servern, besiege Feinde und erlange Ruhm für deine Armee!
 - Neuer Kämpfer: Ba"&amp;"zell die Bestie. Ein bio-modifizierter Kämpfer mit einem Körper aus Stahl, der einen speziellen Anzug benötigt, um seine Stärke unter Kontrolle zu halten! Hol ihn dir bei Ultimativer Affe.
 - Neue Events: Der Kindertag beginnt in Kürze. Nimm teil, um spez"&amp;"ielle Dekorationen und andere Belohnungen zu erhalten!
 - Neues Feature Tavernen-Mitgliedschaft: Aktiviere sie, um deinen Mitgliedslevel zu verbessern und wertvolle Vorteile zu erhalten. Lass die diese fantastische Gelegenheit nicht entgehen!
 - Festungsü"&amp;"bernahme optimiert: Mutantenanführer-Level und relevantes Storyline-Tutorial hinzugefügt. Außerdem würde ein Sparschein-Feature integriert, mit dem Spieler CDs von erfüllten Leveln ""sparen"" und später zurückholen können.
 - Sackgassen-Prüfungen verbesse"&amp;"rt: Monster-Spawn-Zeiten in einigen Kapiteln optimiert; verbesserter Ablauf für Vorbereitungen vor der Schlacht und Anzeige der Gewinnchance; Schaltfläche zum Freigeben aller Monster hinzugefügt; Benutzererlebnis während der Schlacht verbessert.
 - Tavern"&amp;"en-Anmeldung optimiert: Neue und verbesserte Anmelde-Aktivität mit besseren Belohnungen! Melde dich an, um jetzt teilzunehmen!
 - Geheim-Laden optimiert: Neues, zeitlich begrenztes Angebot mit hohen, angepassten Rabatten hinzugefügt! Lass dir dieses exklu"&amp;"sive Angebot nicht entgehen!
 - Clan-Forschung verbessert: Clan-Forschung hat jetzt aktive Fähigkeiten. Verbessere die Forschung auf einen bestimmten Level, um sie freizuschalten!
 - Gen-Forschung verbessert: Interface zeigt jetzt empfohlene Forschung zur"&amp;" besseren Navigation des Features; Gen-bezogene Buffs hinzugefügt.
 - Sammelangriffe optimiert: Für Sammelangriffe auf Clan und neutrale Gebäude können Sammelangriff-Anführer und -Manager jetzt bestimmte Einheiten anfordern; für PvP-Sammelangriffe kann de"&amp;"r Sammelangriff-Anführer die erbetenen Einheitenarten festlegen.
 - Interface- und Benutzererlebnis-Verbesserungen: Mail-/Nachrichtenanzeige optimiert; Optionen für automatische Nutzung von Beschleunigern und Umwandlung von überschüssigen Beschleunigern i"&amp;"n Gegenstände hinzugefügt.")</f>
        <v>- Neues Gameplay: Neuer Planetenkrieg in Kürze!! Erkunde Feuerstern, erlebe neue Karten und hold dir tolle Belohnungen auf diesem Lavaplaneten! Kämpfe gegen Spieler von anderen Servern, besiege Feinde und erlange Ruhm für deine Armee!
 - Neuer Kämpfer: Bazell die Bestie. Ein bio-modifizierter Kämpfer mit einem Körper aus Stahl, der einen speziellen Anzug benötigt, um seine Stärke unter Kontrolle zu halten! Hol ihn dir bei Ultimativer Affe.
 - Neue Events: Der Kindertag beginnt in Kürze. Nimm teil, um spezielle Dekorationen und andere Belohnungen zu erhalten!
 - Neues Feature Tavernen-Mitgliedschaft: Aktiviere sie, um deinen Mitgliedslevel zu verbessern und wertvolle Vorteile zu erhalten. Lass die diese fantastische Gelegenheit nicht entgehen!
 - Festungsübernahme optimiert: Mutantenanführer-Level und relevantes Storyline-Tutorial hinzugefügt. Außerdem würde ein Sparschein-Feature integriert, mit dem Spieler CDs von erfüllten Leveln "sparen" und später zurückholen können.
 - Sackgassen-Prüfungen verbessert: Monster-Spawn-Zeiten in einigen Kapiteln optimiert; verbesserter Ablauf für Vorbereitungen vor der Schlacht und Anzeige der Gewinnchance; Schaltfläche zum Freigeben aller Monster hinzugefügt; Benutzererlebnis während der Schlacht verbessert.
 - Tavernen-Anmeldung optimiert: Neue und verbesserte Anmelde-Aktivität mit besseren Belohnungen! Melde dich an, um jetzt teilzunehmen!
 - Geheim-Laden optimiert: Neues, zeitlich begrenztes Angebot mit hohen, angepassten Rabatten hinzugefügt! Lass dir dieses exklusive Angebot nicht entgehen!
 - Clan-Forschung verbessert: Clan-Forschung hat jetzt aktive Fähigkeiten. Verbessere die Forschung auf einen bestimmten Level, um sie freizuschalten!
 - Gen-Forschung verbessert: Interface zeigt jetzt empfohlene Forschung zur besseren Navigation des Features; Gen-bezogene Buffs hinzugefügt.
 - Sammelangriffe optimiert: Für Sammelangriffe auf Clan und neutrale Gebäude können Sammelangriff-Anführer und -Manager jetzt bestimmte Einheiten anfordern; für PvP-Sammelangriffe kann der Sammelangriff-Anführer die erbetenen Einheitenarten festlegen.
 - Interface- und Benutzererlebnis-Verbesserungen: Mail-/Nachrichtenanzeige optimiert; Optionen für automatische Nutzung von Beschleunigern und Umwandlung von überschüssigen Beschleunigern in Gegenstände hinzugefügt.</v>
      </c>
      <c r="F24" s="64" t="str">
        <f>IFERROR(__xludf.DUMMYFUNCTION("""COMPUTED_VALUE"""),"- Novos modos de jogo: Nova Guerra Interplanetária em breve! Explore a Estrela de Fogo, vivencie novos mapas e ganhe recompensas neste planeta de lava! Enfrente jogadores em servidores diferentes, derrote inimigos e obtenha a glória para seu exército!
 - "&amp;"Novo combatente: Bazell, a Fera. Um guerreiro biomodificado com um corpo de aço. Ele precisa de uma armadura especial para conter a força insana dentro dele! Obtenha-o por meio do Macaco Supremo.
 - Novos eventos: eventos de Dia das Crianças começam em br"&amp;"eve. Participe para ganhar decorações de edição especial e outras recompensas!
 - Novo recurso, membro da taverna: ative a melhoria dos níveis de membro e ganhe benefício valiosos. Não perca esta oportunidade incrível!
 - Conquista da Fortaleza melhorada:"&amp;" adicionado um nível de líder mutante e tutorial com o enredo relevante. Adição do Cofrinho, no qual os jogadores economizam CDs ganhos dos níveis finalizados. Depois eles quebram o Cofrinho para obtê-los novamente.
 - Melhoria em Desafios de Impasse: mel"&amp;"horia no tempo de surgimento de monstros em alguns capítulos; operações melhoradas durante as preparações de batalha e na exibição da chance de vitória. Adição do botão ""liberar todos"" os monstros e melhor experiência de combate.
 - Login da taverna oti"&amp;"mizado: atividade de login melhorada e com boas recompensas! Faça login para participar agora!
 - Loja secreta otimizada: adicionada uma nova oferta de tempo limitado com descontos customizados! Não perca esta oferta exclusiva!
 - Pesquisa da gangue melho"&amp;"rada: a pesquisa da gangue agora tem habilidades ativas. Melhore a pesquisa a um determinado nível para desbloquear!
 - Melhoria na pesquisa genética: a interface agora mostra pesquisas recomendadas para ajudar você a navegar. Auxílios relacionados a gene"&amp;"s adicionados.
 - Incursões otimizadas: para incursões de gangue e de estruturas neutras, o líder e gerenciadores da incursão agora podem solicitar tipos específicos de unidades que podem participar dela. Para incursões PvP, o líder precisa definir os tip"&amp;"os de unidades solicitadas.
 - Melhorias de interface e experiência do usuário: otimizadas as exibições de mensagem/caixa de mensagens; adicionadas opções para usar aceleradores automaticamente e devolução de excedente de tempo como itens.")</f>
        <v>- Novos modos de jogo: Nova Guerra Interplanetária em breve! Explore a Estrela de Fogo, vivencie novos mapas e ganhe recompensas neste planeta de lava! Enfrente jogadores em servidores diferentes, derrote inimigos e obtenha a glória para seu exército!
 - Novo combatente: Bazell, a Fera. Um guerreiro biomodificado com um corpo de aço. Ele precisa de uma armadura especial para conter a força insana dentro dele! Obtenha-o por meio do Macaco Supremo.
 - Novos eventos: eventos de Dia das Crianças começam em breve. Participe para ganhar decorações de edição especial e outras recompensas!
 - Novo recurso, membro da taverna: ative a melhoria dos níveis de membro e ganhe benefício valiosos. Não perca esta oportunidade incrível!
 - Conquista da Fortaleza melhorada: adicionado um nível de líder mutante e tutorial com o enredo relevante. Adição do Cofrinho, no qual os jogadores economizam CDs ganhos dos níveis finalizados. Depois eles quebram o Cofrinho para obtê-los novamente.
 - Melhoria em Desafios de Impasse: melhoria no tempo de surgimento de monstros em alguns capítulos; operações melhoradas durante as preparações de batalha e na exibição da chance de vitória. Adição do botão "liberar todos" os monstros e melhor experiência de combate.
 - Login da taverna otimizado: atividade de login melhorada e com boas recompensas! Faça login para participar agora!
 - Loja secreta otimizada: adicionada uma nova oferta de tempo limitado com descontos customizados! Não perca esta oferta exclusiva!
 - Pesquisa da gangue melhorada: a pesquisa da gangue agora tem habilidades ativas. Melhore a pesquisa a um determinado nível para desbloquear!
 - Melhoria na pesquisa genética: a interface agora mostra pesquisas recomendadas para ajudar você a navegar. Auxílios relacionados a genes adicionados.
 - Incursões otimizadas: para incursões de gangue e de estruturas neutras, o líder e gerenciadores da incursão agora podem solicitar tipos específicos de unidades que podem participar dela. Para incursões PvP, o líder precisa definir os tipos de unidades solicitadas.
 - Melhorias de interface e experiência do usuário: otimizadas as exibições de mensagem/caixa de mensagens; adicionadas opções para usar aceleradores automaticamente e devolução de excedente de tempo como itens.</v>
      </c>
      <c r="G24" s="64" t="str">
        <f>IFERROR(__xludf.DUMMYFUNCTION("""COMPUTED_VALUE"""),"-新增玩法：新的銀河戰爭即將來臨，前往探索火神星，在熔巖星球體驗全新地圖、爭奪豐厚獎勵！和不同服務器的玩家正面切磋，奮力殺敵，為自己的軍團贏得無上的榮耀吧！
-新增鬥士：狂獸-巴澤爾，鋼筋鐵骨，宛如巨獸的生化戰士，需要超強的能量盔甲才能控製體內狂暴的力量。可通過最強猴子獲取。
-新增活動：幼猴節活動即將開啟：參與活動，贏取節日限定裝飾和其他豐富獎勵！
-新增酒吧會員卡：激活會員卡並持續升級就能獲取諸多超值權益，機不可失，快快參與吧!
-堡壘對決玩法優化：新增了堡壘對決的變異首領關卡以及對應的劇情引導；新增"&amp;"小豬存錢罐功能，玩家通過關卡可累計鐳射唱片，砸開後即可獲取。
-絕地試煉玩法優化：優化部分章節的出怪時長；優化戰前準備的操作和策略分數顯示；新增了一鍵釋放怪物按鈕，優化了戰時體驗。
-酒吧簽到優化：全新簽到好禮活動升級上線，獎勵更加豐厚，快來簽到參與吧！
-神秘商店優化：神秘商店新增限時禮盒，享受專屬定製高返利，千萬別錯過！
-聯盟科技優化：聯盟科技新增主動技能，研發到一定階段解鎖。
-基因科研優化：新增推薦科技顯示，優化指揮官科研路徑；新增基因相關增益。
-集結優化：參與幫派、中立建築集結的時候隊長和管"&amp;"理者可以選擇限製加入的兵種；參與玩家對戰集結的時候隊長可以選擇限製加入的兵種。
-界面及體驗優化：優化了郵件顯示邏輯；道具使用方面新增自動使用加速選項及多余道具返還")</f>
        <v>-新增玩法：新的銀河戰爭即將來臨，前往探索火神星，在熔巖星球體驗全新地圖、爭奪豐厚獎勵！和不同服務器的玩家正面切磋，奮力殺敵，為自己的軍團贏得無上的榮耀吧！
-新增鬥士：狂獸-巴澤爾，鋼筋鐵骨，宛如巨獸的生化戰士，需要超強的能量盔甲才能控製體內狂暴的力量。可通過最強猴子獲取。
-新增活動：幼猴節活動即將開啟：參與活動，贏取節日限定裝飾和其他豐富獎勵！
-新增酒吧會員卡：激活會員卡並持續升級就能獲取諸多超值權益，機不可失，快快參與吧!
-堡壘對決玩法優化：新增了堡壘對決的變異首領關卡以及對應的劇情引導；新增小豬存錢罐功能，玩家通過關卡可累計鐳射唱片，砸開後即可獲取。
-絕地試煉玩法優化：優化部分章節的出怪時長；優化戰前準備的操作和策略分數顯示；新增了一鍵釋放怪物按鈕，優化了戰時體驗。
-酒吧簽到優化：全新簽到好禮活動升級上線，獎勵更加豐厚，快來簽到參與吧！
-神秘商店優化：神秘商店新增限時禮盒，享受專屬定製高返利，千萬別錯過！
-聯盟科技優化：聯盟科技新增主動技能，研發到一定階段解鎖。
-基因科研優化：新增推薦科技顯示，優化指揮官科研路徑；新增基因相關增益。
-集結優化：參與幫派、中立建築集結的時候隊長和管理者可以選擇限製加入的兵種；參與玩家對戰集結的時候隊長可以選擇限製加入的兵種。
-界面及體驗優化：優化了郵件顯示邏輯；道具使用方面新增自動使用加速選項及多余道具返還</v>
      </c>
      <c r="H24" s="64" t="str">
        <f>IFERROR(__xludf.DUMMYFUNCTION("""COMPUTED_VALUE"""),"- Gameplay baru: Perang Planet baru segera tiba! Jelajahi Bintang Api, nikmati peta baru, dan menangkan hadiah menarik di planet lava ini! Bertarung dengan pemain dari server yang berbeda, kalahkan musuh, dan menangkan kejayaan untuk pasukanmu!
 - Pejuang"&amp;" Baru: Bazell si Binatang Buas. Petarung yang dimodifikasi secara biologis dengan badan baja; dia memerlukan baju zirah khusus untuk menahan kekuatan besarnya! Dapatkan melalui Kera Terhebat.
 - Acara baru: Acara Hari anak segera dimulai. Ikut serta untuk"&amp;" memenangkan dekorasi edisi khusus dan hadiah lainnya!
 - Fitur baru, keanggotaan Kedai: Aktifkan untuk meningkatkan level keanggotaan dan menangkan keuntungan berharga. Jangan lewatkan kesempatan ini!
 - Mengoptimalkan Mengambil Benteng: Menambahkan leve"&amp;"l Pemimpin Mutan dan tutorial alur cerita yang relevan; menambahkan fitur Celengan tempat pemain bisa ""menabung"" CD dari level yang diselesaikan dan memecahkan Celengan untuk mendapatkannya kembali.
 - Meningkatkan Jalan Buntu: Mengoptimalkan waktu spaw"&amp;"n monster di beberapa babak; meningkatkan operasi untuk persiapan prapertarungan dan tampilan peluang menang; menambahkan tombol ""lepas semua""; meningkatkan pengalaman pengguna selama pertarungan.
 - Mengoptimalkan Sign In Kedai: kegiatan sign in baru y"&amp;"ang ditingkatkan dengan hadiah yang lebih baik! Sign in untuk ikut serta sekarang juga!
 - Mengoptimalkan Toko Rahasia: Menambahkan tawaran waktu terbatas baru dengan potongan harga tinggi yang disesuaikan! Jangan lewatkan tawaran ekslusif ini!
 - Meningk"&amp;"atkan Penelitian Geng: Penelitian Geng kini memiliki skill aktif. Tingkatkan penelitian ke level tertentu untuk membukanya!
 - Meningkatkan Penelitian Gen: Antarmuka kini menampilkan penelitian yang direkomendasikan untuk membantumu melalui fitur; menamba"&amp;"hkan buff yang berhubungan dengan gen.
 - Mengoptimalkan reli: Untuk reli Geng dan yang berhubungan dengan bangunan netral; pemimpin dan manajer reli bisa meminta jenis unit spesifik yang bisa bergabung ke reli; untuk reli PvP, pemimpin reli bisa mengatur"&amp;" jenis unit yang diminta.
 - Peningkatan antarmuka dan pengalaman pengguna: Mengoptimalkan email/tampilan pesan; menambahkan opsi untuk menggunakan percepatan secara otomatis dan mengembalikan item percepatan berlebih sebagai item.")</f>
        <v>- Gameplay baru: Perang Planet baru segera tiba! Jelajahi Bintang Api, nikmati peta baru, dan menangkan hadiah menarik di planet lava ini! Bertarung dengan pemain dari server yang berbeda, kalahkan musuh, dan menangkan kejayaan untuk pasukanmu!
 - Pejuang Baru: Bazell si Binatang Buas. Petarung yang dimodifikasi secara biologis dengan badan baja; dia memerlukan baju zirah khusus untuk menahan kekuatan besarnya! Dapatkan melalui Kera Terhebat.
 - Acara baru: Acara Hari anak segera dimulai. Ikut serta untuk memenangkan dekorasi edisi khusus dan hadiah lainnya!
 - Fitur baru, keanggotaan Kedai: Aktifkan untuk meningkatkan level keanggotaan dan menangkan keuntungan berharga. Jangan lewatkan kesempatan ini!
 - Mengoptimalkan Mengambil Benteng: Menambahkan level Pemimpin Mutan dan tutorial alur cerita yang relevan; menambahkan fitur Celengan tempat pemain bisa "menabung" CD dari level yang diselesaikan dan memecahkan Celengan untuk mendapatkannya kembali.
 - Meningkatkan Jalan Buntu: Mengoptimalkan waktu spawn monster di beberapa babak; meningkatkan operasi untuk persiapan prapertarungan dan tampilan peluang menang; menambahkan tombol "lepas semua"; meningkatkan pengalaman pengguna selama pertarungan.
 - Mengoptimalkan Sign In Kedai: kegiatan sign in baru yang ditingkatkan dengan hadiah yang lebih baik! Sign in untuk ikut serta sekarang juga!
 - Mengoptimalkan Toko Rahasia: Menambahkan tawaran waktu terbatas baru dengan potongan harga tinggi yang disesuaikan! Jangan lewatkan tawaran ekslusif ini!
 - Meningkatkan Penelitian Geng: Penelitian Geng kini memiliki skill aktif. Tingkatkan penelitian ke level tertentu untuk membukanya!
 - Meningkatkan Penelitian Gen: Antarmuka kini menampilkan penelitian yang direkomendasikan untuk membantumu melalui fitur; menambahkan buff yang berhubungan dengan gen.
 - Mengoptimalkan reli: Untuk reli Geng dan yang berhubungan dengan bangunan netral; pemimpin dan manajer reli bisa meminta jenis unit spesifik yang bisa bergabung ke reli; untuk reli PvP, pemimpin reli bisa mengatur jenis unit yang diminta.
 - Peningkatan antarmuka dan pengalaman pengguna: Mengoptimalkan email/tampilan pesan; menambahkan opsi untuk menggunakan percepatan secara otomatis dan mengembalikan item percepatan berlebih sebagai item.</v>
      </c>
      <c r="I24" s="64" t="str">
        <f>IFERROR(__xludf.DUMMYFUNCTION("""COMPUTED_VALUE"""),"- รูปแบบการเล่นใหม่: สงครามดาวเคราะห์ครั้งใหม่จะเปิดให้เล่นเร็ว ๆ นี้! สำรวจดาวเพลิงเพื่อสัมผัสประสบการณ์แผนที่ใหม่และรับรางวัลสุดวิเศษบนดาวแห่งลาวาดวงนี้! ต่อสู้กับผู้เล่นจากเซิร์ฟเวอร์ต่าง ๆ เอาชนะศัตรู แล้วสร้างเกียรติแก่กองทัพของคุณ!
 - นักสู้ตัวใหม่:"&amp;" อสูรบาเซลล์ นักรบดัดแปลงชีวภาพที่มีร่างกายเป็นโลหะ เขาจำเป็นต้องมีชุดเกราะพิเศษเพื่อกักความแข็งแกร่งที่สุดแสนบ้าคลั่งในตัวเขาเอาไว้! รับตัวเขาได้จากกิจกรรมลิงที่แข็งแกร่งที่สุด
 - กิจกรรมใหม่: กิจกรรมวันเด็กจะเริ่มต้นเร็ว ๆ นี้ ร่วมลุ้นรับอุปกรณ์ตกแต่งรุ"&amp;"่นพิเศษและรางวัลอื่น ๆ!
 - คุณสมบัติใหม่ การเป็นสมาชิกโรงแรม: เปิดใช้งานเพื่ออัปเกรดระดับสมาชิกและรับสิทธืประโยชน์สุดคุ้ม อย่าพลาดโอกาสครั้งยอดเยี่ยมครั้งนี้!
 - ปรับปรุงการยึดป้อมปราการ: เพิ่มเลเวลของหัวหน้ามิวแตนต์และบทแนะนำของเนื้อเรื่องที่เกี่ยวข้อง เ"&amp;"พิ่มคุณสมบัติกระปุกออมสินที่ผู้เล่นสามารถ ""ออม"" ซีดีจากด่านที่เคลียร์เอาไว้ แล้วทุบกระปุกออมสินเพื่อรับคืน
 - ปรับรุงการทดสอบ ณ ทางตัน: ปรับปรุงเวลาการเกิดมอนสเตอร์ในบางบท; การปรับปรุงการทำงานของการเตรียมตัวก่อนการต่อสู้และการแสดงโอกาสในการชนะของคุณ; เพ"&amp;"ิ่มปุ่ม ""ปล่อยมอนสเตอร์ทั้งหมด""; ปรับปรุงประสบการณ์ผู้ใช้ระหว่างการต่อสู้
 - ปรับปรุงการลงชื่อเข้าใช้โรงแรม: กิจกรรมการลงชื่อเข้าใช้ใหม่ที่ปรับปรุงให้ดีขึ้นพร้อมรางวัลที่ดีกว่า! ลงชื่อเข้าใช้เพื่อเข้าร่วมทันที!
 - ปรุบปรุงร้านค้าลับ: เพิ่มข้อเสนอใหม่ที่"&amp;"มีเวลาจำกัดพร้อมส่วนลดมากมาย อีกทั้งเลือกรูปแบบที่ต้องการเองได้! อย่าพลาดดีลสุดพิเศษเชียวล่ะ!
 - ปรับปรุงการวิจัยของแก๊ง: ในตอนนี้ การวิจัยของแก๊งจะมีทักษะทางตรงด้วย อัปเกรดการวิจัยให้ได้เลเวลที่กำหนดเพื่อปลดล็อก!
 - ปรับปรุงการวิจัยยีน: ในตอนนี้ อินเทอร์"&amp;"เฟซแสดงการวิจัยที่แนะนำเพื่อช่วยคุณใช้งานคุณสมบัติ เพิ่มบัฟที่เกี่ยวข้องกับยีน
 - ปรับปรุงการยกทัพ: สำหรับการยกทัพแก๊งและการยกทัพที่เกี่ยวข้องกับสิ่งปลูกสร้างส่วนกลาง ผู้นำและผู้จัดการการยกทัพสามารถขอประเภทหน่วยทหารเฉพาะที่ต้องการให้เข้าร่วมการยกทัพได้ สำ"&amp;"หรับการยกทัพแบบ PvP ผู้นำการยกทัพสามารถกำหนดประเภทหน่วยทหารที่ขอให้เข้าร่วมได้
 - ปรับปรุงอินเทอร์เฟซและประสบการณ์ผู้ใช้: ปรับปรุงการแสดงเมล/ข้อความ, เพิ่มตัวเลือกในการใช้ไอเทมเร่งความเร็วโดยอัตโนมัติ และการคืนการเร่งเวลาส่วนเกินเป็นไอเทม")</f>
        <v>- รูปแบบการเล่นใหม่: สงครามดาวเคราะห์ครั้งใหม่จะเปิดให้เล่นเร็ว ๆ นี้! สำรวจดาวเพลิงเพื่อสัมผัสประสบการณ์แผนที่ใหม่และรับรางวัลสุดวิเศษบนดาวแห่งลาวาดวงนี้! ต่อสู้กับผู้เล่นจากเซิร์ฟเวอร์ต่าง ๆ เอาชนะศัตรู แล้วสร้างเกียรติแก่กองทัพของคุณ!
 - นักสู้ตัวใหม่: อสูรบาเซลล์ นักรบดัดแปลงชีวภาพที่มีร่างกายเป็นโลหะ เขาจำเป็นต้องมีชุดเกราะพิเศษเพื่อกักความแข็งแกร่งที่สุดแสนบ้าคลั่งในตัวเขาเอาไว้! รับตัวเขาได้จากกิจกรรมลิงที่แข็งแกร่งที่สุด
 - กิจกรรมใหม่: กิจกรรมวันเด็กจะเริ่มต้นเร็ว ๆ นี้ ร่วมลุ้นรับอุปกรณ์ตกแต่งรุ่นพิเศษและรางวัลอื่น ๆ!
 - คุณสมบัติใหม่ การเป็นสมาชิกโรงแรม: เปิดใช้งานเพื่ออัปเกรดระดับสมาชิกและรับสิทธืประโยชน์สุดคุ้ม อย่าพลาดโอกาสครั้งยอดเยี่ยมครั้งนี้!
 - ปรับปรุงการยึดป้อมปราการ: เพิ่มเลเวลของหัวหน้ามิวแตนต์และบทแนะนำของเนื้อเรื่องที่เกี่ยวข้อง เพิ่มคุณสมบัติกระปุกออมสินที่ผู้เล่นสามารถ "ออม" ซีดีจากด่านที่เคลียร์เอาไว้ แล้วทุบกระปุกออมสินเพื่อรับคืน
 - ปรับรุงการทดสอบ ณ ทางตัน: ปรับปรุงเวลาการเกิดมอนสเตอร์ในบางบท; การปรับปรุงการทำงานของการเตรียมตัวก่อนการต่อสู้และการแสดงโอกาสในการชนะของคุณ; เพิ่มปุ่ม "ปล่อยมอนสเตอร์ทั้งหมด"; ปรับปรุงประสบการณ์ผู้ใช้ระหว่างการต่อสู้
 - ปรับปรุงการลงชื่อเข้าใช้โรงแรม: กิจกรรมการลงชื่อเข้าใช้ใหม่ที่ปรับปรุงให้ดีขึ้นพร้อมรางวัลที่ดีกว่า! ลงชื่อเข้าใช้เพื่อเข้าร่วมทันที!
 - ปรุบปรุงร้านค้าลับ: เพิ่มข้อเสนอใหม่ที่มีเวลาจำกัดพร้อมส่วนลดมากมาย อีกทั้งเลือกรูปแบบที่ต้องการเองได้! อย่าพลาดดีลสุดพิเศษเชียวล่ะ!
 - ปรับปรุงการวิจัยของแก๊ง: ในตอนนี้ การวิจัยของแก๊งจะมีทักษะทางตรงด้วย อัปเกรดการวิจัยให้ได้เลเวลที่กำหนดเพื่อปลดล็อก!
 - ปรับปรุงการวิจัยยีน: ในตอนนี้ อินเทอร์เฟซแสดงการวิจัยที่แนะนำเพื่อช่วยคุณใช้งานคุณสมบัติ เพิ่มบัฟที่เกี่ยวข้องกับยีน
 - ปรับปรุงการยกทัพ: สำหรับการยกทัพแก๊งและการยกทัพที่เกี่ยวข้องกับสิ่งปลูกสร้างส่วนกลาง ผู้นำและผู้จัดการการยกทัพสามารถขอประเภทหน่วยทหารเฉพาะที่ต้องการให้เข้าร่วมการยกทัพได้ สำหรับการยกทัพแบบ PvP ผู้นำการยกทัพสามารถกำหนดประเภทหน่วยทหารที่ขอให้เข้าร่วมได้
 - ปรับปรุงอินเทอร์เฟซและประสบการณ์ผู้ใช้: ปรับปรุงการแสดงเมล/ข้อความ, เพิ่มตัวเลือกในการใช้ไอเทมเร่งความเร็วโดยอัตโนมัติ และการคืนการเร่งเวลาส่วนเกินเป็นไอเทม</v>
      </c>
      <c r="J24" s="64" t="str">
        <f>IFERROR(__xludf.DUMMYFUNCTION("""COMPUTED_VALUE"""),"- Nuevos modos de juego: ¡Nueva Guerra Planetaria próximamente! ¡Explora la Estrella de Fuego, experimenta nuevos mapas y gana increíbles recompensas en este planeta de lava! ¡Lucha contra jugadores de diferentes servidores, derrota a los enemigos y alcan"&amp;"za la gloria para tu ejército!
 - Nuevo Luchador: Bazell la Bestia. Un guerrero bio modificado con un cuerpo de acero; ¡Necesita de una armadura especial para logar contener toda la desquiciada fuerza que se encuentra dentro de él! Consíguelo a través del"&amp;" Mono Supremo.
 - Nuevos eventos: Los eventos del Día del Niño comenzarán pronto. ¡Participa para ganar decoraciones de edición especial y otras recompensas!
 - Nueva función: Membresía de la Taberna: Actívala para mejorar los niveles de membresía y ganar"&amp;" valiosos beneficios. ¡No te pierdas esta increíble oportunidad!
 - Toma de la Fortaleza optimizado: Se agregó un nivel de Líder Mutante y un tutorial relacionado de la historia; se agregó la función de Alcancía en donde los jugadores pueden ""guardar"" C"&amp;"D de los niveles superados y romper la Alcancía para recuperarlos.
 - Pruebas de Impasse mejoradas: Los tiempos de aparición de monstruos han sido optimizados para algunos capítulos; operaciones mejoradas para los preparativos previos a la batalla y la vi"&amp;"sualización de su oportunidad de ganar; se agregó un botón de ""liberar todos"" los monstruos; experiencia del usuario mejorada durante el combate.
 - Inicio de sesión de taberna optimizado: ¡Actividades de inicio de sesión nuevas y mejoradas con mejores "&amp;"recompensas! ¡Inicia sesión para participar ahora!
 - Tienda Secreta optimizada: ¡Se agregó una nueva oferta por tiempo limitado con grandes y personalizados descuentos! ¡No te pierdas de esta oferta exclusiva!
 - Investigación de la Banda mejorada: La In"&amp;"vestigación de la Banda ahora tiene habilidades activas. ¡Mejora la investigación a un determinado nivel para desbloquearlas!
 - Investigación Genética mejorada: La interfaz ahora muestra la investigación recomendada para ayudarte a navegar por la función"&amp;". Se agregaron nuevas mejoras relacionadas con genes.
 - Congregaciones optimizadas: Ahora, para las congregaciones de Banda y aquellas relacionadas con los edificios neutrales, el líder de la congregación y los administradores pueden solicitar tipos de u"&amp;"nidades específicas para unirse a la congregación; para las congregaciones de JvJ, el líder de la congregación puede establecer los tipos de unidades solicitados.
 - Mejoras en la interfaz y la experiencia del usuario: Optimización de las pantallas para c"&amp;"orreo/mensajes; se agregaron opciones para el uso automático de aceleradores y devolver el exceso de tiempo de los aceleradores en forma de artículos.")</f>
        <v>- Nuevos modos de juego: ¡Nueva Guerra Planetaria próximamente! ¡Explora la Estrella de Fuego, experimenta nuevos mapas y gana increíbles recompensas en este planeta de lava! ¡Lucha contra jugadores de diferentes servidores, derrota a los enemigos y alcanza la gloria para tu ejército!
 - Nuevo Luchador: Bazell la Bestia. Un guerrero bio modificado con un cuerpo de acero; ¡Necesita de una armadura especial para logar contener toda la desquiciada fuerza que se encuentra dentro de él! Consíguelo a través del Mono Supremo.
 - Nuevos eventos: Los eventos del Día del Niño comenzarán pronto. ¡Participa para ganar decoraciones de edición especial y otras recompensas!
 - Nueva función: Membresía de la Taberna: Actívala para mejorar los niveles de membresía y ganar valiosos beneficios. ¡No te pierdas esta increíble oportunidad!
 - Toma de la Fortaleza optimizado: Se agregó un nivel de Líder Mutante y un tutorial relacionado de la historia; se agregó la función de Alcancía en donde los jugadores pueden "guardar" CD de los niveles superados y romper la Alcancía para recuperarlos.
 - Pruebas de Impasse mejoradas: Los tiempos de aparición de monstruos han sido optimizados para algunos capítulos; operaciones mejoradas para los preparativos previos a la batalla y la visualización de su oportunidad de ganar; se agregó un botón de "liberar todos" los monstruos; experiencia del usuario mejorada durante el combate.
 - Inicio de sesión de taberna optimizado: ¡Actividades de inicio de sesión nuevas y mejoradas con mejores recompensas! ¡Inicia sesión para participar ahora!
 - Tienda Secreta optimizada: ¡Se agregó una nueva oferta por tiempo limitado con grandes y personalizados descuentos! ¡No te pierdas de esta oferta exclusiva!
 - Investigación de la Banda mejorada: La Investigación de la Banda ahora tiene habilidades activas. ¡Mejora la investigación a un determinado nivel para desbloquearlas!
 - Investigación Genética mejorada: La interfaz ahora muestra la investigación recomendada para ayudarte a navegar por la función. Se agregaron nuevas mejoras relacionadas con genes.
 - Congregaciones optimizadas: Ahora, para las congregaciones de Banda y aquellas relacionadas con los edificios neutrales, el líder de la congregación y los administradores pueden solicitar tipos de unidades específicas para unirse a la congregación; para las congregaciones de JvJ, el líder de la congregación puede establecer los tipos de unidades solicitados.
 - Mejoras en la interfaz y la experiencia del usuario: Optimización de las pantallas para correo/mensajes; se agregaron opciones para el uso automático de aceleradores y devolver el exceso de tiempo de los aceleradores en forma de artículos.</v>
      </c>
      <c r="K24" s="64" t="str">
        <f>IFERROR(__xludf.DUMMYFUNCTION("""COMPUTED_VALUE"""),"- Новый игровой процесс: скоро начнется новая планетарная война! Исследуйте Огненную Звезду, играйте на новых картах и получайте удивительные награды на покрытой лавой планете! Сражайтесь с игроками с разных серверов, побеждайте врагов и завоюйте славу дл"&amp;"я своей армии! 
- Новый герой: Базель по прозвищу Зверь. Биомодифицированный воин со стальным телом, которому нужны специальные доспехи, чтобы сдерживать безумную силу внутри! Получите его в «Великой обезьяне».
- Новые события: скоро начнутся события, пос"&amp;"вященные Дню защиты детей. Участвуйте, чтобы выиграть особые украшения и другие награды! 
- Новая функция: членство в таверне. Активируйте, чтобы повысить уровень членства и получить ценные преимущества. Не упустите эту потрясающую возможность! 
- Оптимиз"&amp;"ирована функция «Захват крепости»: добавлен уровень с вождем мутантов и соответствующее сюжетное руководство; добавлена функция копилки, чтобы игроки могли «сохранять» CD с пройденных уровней и разбить копилку, чтобы получить их обратно.
- Улучшены «Испыт"&amp;"ания Тупика»: оптимизировано время появления монстров в некоторых главах; улучшен процесс подготовки к бою и отображение шанса на победу; добавлена кнопка «Выпустить всех» для монстров; улучшено удобство для игрока во время боя.
- Оптимизирован вход в тав"&amp;"ерну: новое и улучшенное событие с наградами за вход! Заходите в игру, чтобы принять в нем участие! 
- Оптимизирован секретный магазин: добавлено новое ограниченное по времени предложение с большими индивидуальными скидками! Не упустите выгодную сделку! 
"&amp;"- Улучшены исследования банд: в исследованиях банд теперь есть активные навыки. Повысьте уровень исследований до определенного уровня, чтобы открыть их! 
- Улучшены генетические исследования: теперь в интерфейсе показываются рекомендуемые исследования, чт"&amp;"обы помочь вам сориентироваться; также добавлены связанные с генами бонусы.
- Оптимизированы походы: теперь для походов банд и походов, связанных с нейтральными зданиями, предводитель и офицеры похода могут запрашивать конкретные типы войск, которые могут"&amp;" присоединиться к походу. Для походов PvP предводитель может устанавливать запрос на конкретные типы войск.
- Улучшения интерфейса и удобства для игроков: оптимизировано отображение почты и сообщений; добавлены возможности автоматического использования ус"&amp;"корений и возврата избыточного времени ускорения в виде предметов.")</f>
        <v>- Новый игровой процесс: скоро начнется новая планетарная война! Исследуйте Огненную Звезду, играйте на новых картах и получайте удивительные награды на покрытой лавой планете! Сражайтесь с игроками с разных серверов, побеждайте врагов и завоюйте славу для своей армии! 
- Новый герой: Базель по прозвищу Зверь. Биомодифицированный воин со стальным телом, которому нужны специальные доспехи, чтобы сдерживать безумную силу внутри! Получите его в «Великой обезьяне».
- Новые события: скоро начнутся события, посвященные Дню защиты детей. Участвуйте, чтобы выиграть особые украшения и другие награды! 
- Новая функция: членство в таверне. Активируйте, чтобы повысить уровень членства и получить ценные преимущества. Не упустите эту потрясающую возможность! 
- Оптимизирована функция «Захват крепости»: добавлен уровень с вождем мутантов и соответствующее сюжетное руководство; добавлена функция копилки, чтобы игроки могли «сохранять» CD с пройденных уровней и разбить копилку, чтобы получить их обратно.
- Улучшены «Испытания Тупика»: оптимизировано время появления монстров в некоторых главах; улучшен процесс подготовки к бою и отображение шанса на победу; добавлена кнопка «Выпустить всех» для монстров; улучшено удобство для игрока во время боя.
- Оптимизирован вход в таверну: новое и улучшенное событие с наградами за вход! Заходите в игру, чтобы принять в нем участие! 
- Оптимизирован секретный магазин: добавлено новое ограниченное по времени предложение с большими индивидуальными скидками! Не упустите выгодную сделку! 
- Улучшены исследования банд: в исследованиях банд теперь есть активные навыки. Повысьте уровень исследований до определенного уровня, чтобы открыть их! 
- Улучшены генетические исследования: теперь в интерфейсе показываются рекомендуемые исследования, чтобы помочь вам сориентироваться; также добавлены связанные с генами бонусы.
- Оптимизированы походы: теперь для походов банд и походов, связанных с нейтральными зданиями, предводитель и офицеры похода могут запрашивать конкретные типы войск, которые могут присоединиться к походу. Для походов PvP предводитель может устанавливать запрос на конкретные типы войск.
- Улучшения интерфейса и удобства для игроков: оптимизировано отображение почты и сообщений; добавлены возможности автоматического использования ускорений и возврата избыточного времени ускорения в виде предметов.</v>
      </c>
      <c r="L24" s="44" t="str">
        <f>IFERROR(__xludf.DUMMYFUNCTION("""COMPUTED_VALUE"""),"- Yeni oynanışlar: Yeni Gezegen Savaşı yakında geliyor! Ateş Yıldızı'nı keşfet, yeni haritaların tadını çıkar ve bu lav gezegeninde harika ödüller kazan! Farklı sunuculardan oyuncularla savaş, düşmanları yen ve ordunun şanını yürüt!
 - Yeni Savaşçı: Canav"&amp;"ar Bazell. Çelikten vücuduyla biyolojisi değiştirilmiş bir savaşçı. İçindeki çılgın gücü zapt edebilmek için özel bir zırha ihtiyaç duyuyor! En Üstün Maymun'dan elde et.
 - Yeni etkinlikler: Dünya Çocuk Günü etkinliği yakında başlıyor. Özel sürüm dekorlar"&amp;" ve diğer ödülleri kazanmak için etkinliğe katıl!
 - Yeni Taverna üyeliği özelliği: Üyeliğinin seviyesini geliştirmek ve değerli ödüller kazanmak için etkinleştir. Bu harika fırsatı kaçırma!
 - Kaleyi Ele Geçirme optimize edildi: Yeni bir Mutant Lideri se"&amp;"viyesi ve seviyeyle ilgili hikâyeli öğretici eklendi. Oyuncuların tamamladıkları seviyelerdeki CD'lerini biriktirebildiği ve geri almak için Kumbarayı kırabildiği bir Kumbara özelliği eklendi.
 - Çıkmaz Durum Denemeleri iyileştirildi: Bazı bölümlerdeki ca"&amp;"navar doğma süreleri optimize edildi. Savaş öncesi hazırlıklar için operasyonlar ve kazanma şansının görüntülenmesi geliştirildi. Canavarlar için ""tümünü çağır"" düğmesi eklendi. Savaş sırasında kullanıcı deneyimi geliştirildi.
 - Taverna Girişi optimize"&amp;" edildi: Daha iyi ödüllerle yeni ve geliştirilmiş giriş etkinliği! Hemen katılmak için giriş yap!
 - Gizli Mağaza Optimize edildi: Yüksek, özelleştirilmiş iadelerle sınırlı süreli yeni bir teklif eklendi! Özel fırsatı kaçırma!
 - Çete Araştırması geliştir"&amp;"ildi: Çete Araştırmasında artık aktif beceriler var. Kilitlerini açmak için araştırmayı belirli bir seviyeye yükselt!
 - Gen Araştırması geliştirildi: Özelliği daha kolay kullanman için arayüz artık önerilen araştırmaları gösteriyor. Gene bağlı güçlendirm"&amp;"eler eklendi.
 - Toplu Saldırılar optimize edildi: Çete ve tarafsız binalarla ilgili toplu saldırılar için toplu saldırı lideri ve yöneticiler artık toplu saldırıya katılması için belli birim türlerini isteyebilir. PvP toplu saldırıları için toplu saldırı"&amp;" lideri istenen birim türlerini ayarlayabilir.
 - Arayüz ve kullanıcı deneyimi geliştirmeleri: Posta/mesaj görünümleri optimize edildi. Hızlandırıcıların otomatik olarak kullanılması ve fazladan kullanılanların eşya olarak geri verilmesi ayarları eklendi.")</f>
        <v>- Yeni oynanışlar: Yeni Gezegen Savaşı yakında geliyor! Ateş Yıldızı'nı keşfet, yeni haritaların tadını çıkar ve bu lav gezegeninde harika ödüller kazan! Farklı sunuculardan oyuncularla savaş, düşmanları yen ve ordunun şanını yürüt!
 - Yeni Savaşçı: Canavar Bazell. Çelikten vücuduyla biyolojisi değiştirilmiş bir savaşçı. İçindeki çılgın gücü zapt edebilmek için özel bir zırha ihtiyaç duyuyor! En Üstün Maymun'dan elde et.
 - Yeni etkinlikler: Dünya Çocuk Günü etkinliği yakında başlıyor. Özel sürüm dekorlar ve diğer ödülleri kazanmak için etkinliğe katıl!
 - Yeni Taverna üyeliği özelliği: Üyeliğinin seviyesini geliştirmek ve değerli ödüller kazanmak için etkinleştir. Bu harika fırsatı kaçırma!
 - Kaleyi Ele Geçirme optimize edildi: Yeni bir Mutant Lideri seviyesi ve seviyeyle ilgili hikâyeli öğretici eklendi. Oyuncuların tamamladıkları seviyelerdeki CD'lerini biriktirebildiği ve geri almak için Kumbarayı kırabildiği bir Kumbara özelliği eklendi.
 - Çıkmaz Durum Denemeleri iyileştirildi: Bazı bölümlerdeki canavar doğma süreleri optimize edildi. Savaş öncesi hazırlıklar için operasyonlar ve kazanma şansının görüntülenmesi geliştirildi. Canavarlar için "tümünü çağır" düğmesi eklendi. Savaş sırasında kullanıcı deneyimi geliştirildi.
 - Taverna Girişi optimize edildi: Daha iyi ödüllerle yeni ve geliştirilmiş giriş etkinliği! Hemen katılmak için giriş yap!
 - Gizli Mağaza Optimize edildi: Yüksek, özelleştirilmiş iadelerle sınırlı süreli yeni bir teklif eklendi! Özel fırsatı kaçırma!
 - Çete Araştırması geliştirildi: Çete Araştırmasında artık aktif beceriler var. Kilitlerini açmak için araştırmayı belirli bir seviyeye yükselt!
 - Gen Araştırması geliştirildi: Özelliği daha kolay kullanman için arayüz artık önerilen araştırmaları gösteriyor. Gene bağlı güçlendirmeler eklendi.
 - Toplu Saldırılar optimize edildi: Çete ve tarafsız binalarla ilgili toplu saldırılar için toplu saldırı lideri ve yöneticiler artık toplu saldırıya katılması için belli birim türlerini isteyebilir. PvP toplu saldırıları için toplu saldırı lideri istenen birim türlerini ayarlayabilir.
 - Arayüz ve kullanıcı deneyimi geliştirmeleri: Posta/mesaj görünümleri optimize edildi. Hızlandırıcıların otomatik olarak kullanılması ve fazladan kullanılanların eşya olarak geri verilmesi ayarları eklendi.</v>
      </c>
      <c r="M24" s="64" t="str">
        <f>IFERROR(__xludf.DUMMYFUNCTION("""COMPUTED_VALUE"""),"- Lối chơi mới: Chiến Tranh Hành Tinh sẽ mở sớm! Hãy cùng khám phá Sao Hỏa, trải nghiệm bản đồ mới và giành những phần thưởng thú vị trên hành tinh dung nham này nhé! Những người tham chiến đến từ các máy chủ khác nhau, đánh bại kẻ địch và giành vinh quan"&amp;"g cho quân đội của mình!
 - Chiến Binh mới: Quái Vật Bazell. Chiến binh được điều chỉnh gen sinh học với một thân thể thép; anh ấy cần một bộ giáp đặc biệt để chứa sức mạnh điên loạn trong mình! Nhận anh ấy thông qua Chúa Khỉ Tối Cao.
 - Sự kiện mới: Sự k"&amp;"iện Ngày Quốc Tế Thiếu Nhi sẽ sớm bắt đầu. Tham gia để chiến thắng vật phẩm trang trí phiên bản đặc biệt và những phần thưởng khác!
 - Tính năng mới, thẻ thành viên Tửu Quán: Kích hoạt để nâng cấp thẻ thành viên và giành được những quyền lợi đáng giá. Đừn"&amp;"g bỏ lỡ cơ hội tuyệt vời này nhé!
 - Tối ưu hóa Tiếp Quản Pháo Đài: Đã thêm một cấp Thủ Lĩnh Đột Biến và các hướng dẫn cốt truyện liên quan; đã thêm tính năng Heo Đất để người chơi ""cất giữ"" CD từ các cấp đã hoàn thành và đập Heo để nhận lại.
 - Cải thi"&amp;"ện Thí Luyện Tuyệt Địa: Tối ưu hóa thời điểm xuất hiện quái vật ở một vài chương; cải thiện thao thác chuẩn bị chiến đấu và giao diện hiển thị cơ hội chiến thắng; thêm nút ""giải phóng tất cả"" quái vật; cải thiện trải nghiệm người dùng trong suốt trận ch"&amp;"iến.
 - Tối ưu hóa đăng nhập Tửu Quán: Hoạt động đăng nhập mới được cải thiện cùng nhiều phần thưởng hấp dẫn hơn! Hãy đăng nhập để tham gia ngay nào!
 - Tối ưu hóa Cửa Hàng Bí Mật: Thêm ưu đãi giới hạn thời gian mới cùng những khoản hoàn lại cao và có thể"&amp;" tùy chỉnh! Đừng bỏ lỡ ưu đãi độc quyền này nhé!
 - Cải thiện Nghiên Cứu Bang Hội: Nghiên Cứu Bang Hội hiện đã có kỹ năng chủ động. Nâng cấp nghiên cứu lên một cấp nhất định để mở khóa!
 - Cải thiện Nghiên Cứu Gen: Hiện tại giao diện sẽ hiển thị những ngh"&amp;"iên cứu được đề xuất để hỗ trợ bạn điều hướng tính năng; đã thêm các phép bổ trợ liên quan đến gen.
 - Tối ưu hóa tập hợp: Đối với các tập hợp liên quan đến công trình trung lập và Bang Hội, thủ lĩnh và những người quản lý tập hợp hiện có thể chỉ định nhữ"&amp;"ng loại đơn vị thể tham gia tập hợp; đối với các tập hợp PvP, thủ lĩnh tập hợp có thể thiết lập loại đơn vị được yêu cầu.
 - Cải thiện giao diện và trải nghiệm người dùng: Tối ưu hóa giao diện hiển thị tin nhắn/thư; thêm các lựa chọn tự động sử dụng các v"&amp;"ật phẩm tăng tốc và hoàn lại thời gian tăng tốc còn thừa dưới dạng vật phẩm.")</f>
        <v>- Lối chơi mới: Chiến Tranh Hành Tinh sẽ mở sớm! Hãy cùng khám phá Sao Hỏa, trải nghiệm bản đồ mới và giành những phần thưởng thú vị trên hành tinh dung nham này nhé! Những người tham chiến đến từ các máy chủ khác nhau, đánh bại kẻ địch và giành vinh quang cho quân đội của mình!
 - Chiến Binh mới: Quái Vật Bazell. Chiến binh được điều chỉnh gen sinh học với một thân thể thép; anh ấy cần một bộ giáp đặc biệt để chứa sức mạnh điên loạn trong mình! Nhận anh ấy thông qua Chúa Khỉ Tối Cao.
 - Sự kiện mới: Sự kiện Ngày Quốc Tế Thiếu Nhi sẽ sớm bắt đầu. Tham gia để chiến thắng vật phẩm trang trí phiên bản đặc biệt và những phần thưởng khác!
 - Tính năng mới, thẻ thành viên Tửu Quán: Kích hoạt để nâng cấp thẻ thành viên và giành được những quyền lợi đáng giá. Đừng bỏ lỡ cơ hội tuyệt vời này nhé!
 - Tối ưu hóa Tiếp Quản Pháo Đài: Đã thêm một cấp Thủ Lĩnh Đột Biến và các hướng dẫn cốt truyện liên quan; đã thêm tính năng Heo Đất để người chơi "cất giữ" CD từ các cấp đã hoàn thành và đập Heo để nhận lại.
 - Cải thiện Thí Luyện Tuyệt Địa: Tối ưu hóa thời điểm xuất hiện quái vật ở một vài chương; cải thiện thao thác chuẩn bị chiến đấu và giao diện hiển thị cơ hội chiến thắng; thêm nút "giải phóng tất cả" quái vật; cải thiện trải nghiệm người dùng trong suốt trận chiến.
 - Tối ưu hóa đăng nhập Tửu Quán: Hoạt động đăng nhập mới được cải thiện cùng nhiều phần thưởng hấp dẫn hơn! Hãy đăng nhập để tham gia ngay nào!
 - Tối ưu hóa Cửa Hàng Bí Mật: Thêm ưu đãi giới hạn thời gian mới cùng những khoản hoàn lại cao và có thể tùy chỉnh! Đừng bỏ lỡ ưu đãi độc quyền này nhé!
 - Cải thiện Nghiên Cứu Bang Hội: Nghiên Cứu Bang Hội hiện đã có kỹ năng chủ động. Nâng cấp nghiên cứu lên một cấp nhất định để mở khóa!
 - Cải thiện Nghiên Cứu Gen: Hiện tại giao diện sẽ hiển thị những nghiên cứu được đề xuất để hỗ trợ bạn điều hướng tính năng; đã thêm các phép bổ trợ liên quan đến gen.
 - Tối ưu hóa tập hợp: Đối với các tập hợp liên quan đến công trình trung lập và Bang Hội, thủ lĩnh và những người quản lý tập hợp hiện có thể chỉ định những loại đơn vị thể tham gia tập hợp; đối với các tập hợp PvP, thủ lĩnh tập hợp có thể thiết lập loại đơn vị được yêu cầu.
 - Cải thiện giao diện và trải nghiệm người dùng: Tối ưu hóa giao diện hiển thị tin nhắn/thư; thêm các lựa chọn tự động sử dụng các vật phẩm tăng tốc và hoàn lại thời gian tăng tốc còn thừa dưới dạng vật phẩm.</v>
      </c>
      <c r="N24" s="64"/>
      <c r="O24" s="148"/>
      <c r="P24" s="148"/>
      <c r="Q24" s="148"/>
      <c r="R24" s="148"/>
      <c r="S24" s="148"/>
      <c r="T24" s="148"/>
      <c r="U24" s="148"/>
      <c r="V24" s="148"/>
      <c r="W24" s="148"/>
      <c r="X24" s="148"/>
      <c r="Y24" s="148"/>
      <c r="Z24" s="148"/>
    </row>
    <row r="25">
      <c r="A25" s="149" t="str">
        <f>IFERROR(__xludf.DUMMYFUNCTION("""COMPUTED_VALUE"""),"0.43.0")</f>
        <v>0.43.0</v>
      </c>
      <c r="B25" s="13" t="str">
        <f>IFERROR(__xludf.DUMMYFUNCTION("""COMPUTED_VALUE"""),"-新增玩法：火车争霸即将到来！前往战场，和不同服务器的玩家进行合作与竞争，与敌人的火车比拼速度，赢得丰厚奖励！
-新增斗士：复仇之箭-卡瑞娜，优雅矜持的赏金猎人，箭无虚发的女箭手，充满了致命的诱惑。可通过最强猴子获取。
-新增节日活动：沙滩热舞节活动即将开启：参与活动，赢取节日限定装饰和其他丰富奖励！
-新增玩家回归活动：回归猩球，重返故土或开启新的征程均有丰厚奖励！
-新增新玩家邀请活动：一呼百应，召集你的朋友们加入猿族，冲刺终极大奖！
-堡垒对决玩法优化：新增了钢材堆、据点，丰富堡垒玩法体验，并提升了"&amp;"关卡数量。
-重装出击玩法优化：优化了boss的血量显示，增加了战装试验品升级功能，优化了战装试验品的外观。
-新增采集点：新增高级采集点，采集完成后有概率获得军备零件箱、军备图纸等丰富奖励！
-帮派系统优化：新增帮派玩法展示和帮派日志，优化帮派发展功能，助力帮派登上猩球之巅！
-界面及体验优化：优化了部队配置界面、斗士选择界面、通知提示、齐心扬名活动流程、游戏内HUD的显示和体验。")</f>
        <v>-新增玩法：火车争霸即将到来！前往战场，和不同服务器的玩家进行合作与竞争，与敌人的火车比拼速度，赢得丰厚奖励！
-新增斗士：复仇之箭-卡瑞娜，优雅矜持的赏金猎人，箭无虚发的女箭手，充满了致命的诱惑。可通过最强猴子获取。
-新增节日活动：沙滩热舞节活动即将开启：参与活动，赢取节日限定装饰和其他丰富奖励！
-新增玩家回归活动：回归猩球，重返故土或开启新的征程均有丰厚奖励！
-新增新玩家邀请活动：一呼百应，召集你的朋友们加入猿族，冲刺终极大奖！
-堡垒对决玩法优化：新增了钢材堆、据点，丰富堡垒玩法体验，并提升了关卡数量。
-重装出击玩法优化：优化了boss的血量显示，增加了战装试验品升级功能，优化了战装试验品的外观。
-新增采集点：新增高级采集点，采集完成后有概率获得军备零件箱、军备图纸等丰富奖励！
-帮派系统优化：新增帮派玩法展示和帮派日志，优化帮派发展功能，助力帮派登上猩球之巅！
-界面及体验优化：优化了部队配置界面、斗士选择界面、通知提示、齐心扬名活动流程、游戏内HUD的显示和体验。</v>
      </c>
      <c r="C25" s="13" t="str">
        <f>IFERROR(__xludf.DUMMYFUNCTION("""COMPUTED_VALUE"""),"- New gameplay: Train Rush coming soon! Head to the battleground to collaborate and compete with players from different servers. Move your side's train faster to get amazing rewards!
- New Fighters: Carina, the Vengeful Arrow. An elegant bounty hunter who"&amp;" exudes a fatal charm and an archer whose arrows never miss. Get her from Ultimate Monkey.
- New special event: Beach Dance Party starts soon! Participate to win limited-edition decorations and other rewards.
- New event for returning players: Return to t"&amp;"he world of apes, and get rewards whether you choose to go back to your original planet or start a new voyage!
- New event to invite new players: Monkey of Influence. Gather your friends to join apekind and try for the grand prize!
- Fortress Takeover imp"&amp;"rovements: Added Iron Piles and strongholds to enrich the gameplay; also added more levels.
- Loaded Strike improvements: Optimized display of the boss's health; added upgrades for Equipment Testers and improved their appearance.
- New resource spots: Add"&amp;"ed advanced resource spots. Deplete these for a chance to get Gear Materials Box, Gear Blueprints, and other rewards.
- Gang system improvements: Added displays of Gang gameplays and a Gang log; optimized development functions to help your Gang dominate t"&amp;"he planet!
- Interface and user experience improvements: Optimized the troop configuration page, Fighter selection page, notification and tips, Shared Renown's event process, and in-game icons.")</f>
        <v>- New gameplay: Train Rush coming soon! Head to the battleground to collaborate and compete with players from different servers. Move your side's train faster to get amazing rewards!
- New Fighters: Carina, the Vengeful Arrow. An elegant bounty hunter who exudes a fatal charm and an archer whose arrows never miss. Get her from Ultimate Monkey.
- New special event: Beach Dance Party starts soon! Participate to win limited-edition decorations and other rewards.
- New event for returning players: Return to the world of apes, and get rewards whether you choose to go back to your original planet or start a new voyage!
- New event to invite new players: Monkey of Influence. Gather your friends to join apekind and try for the grand prize!
- Fortress Takeover improvements: Added Iron Piles and strongholds to enrich the gameplay; also added more levels.
- Loaded Strike improvements: Optimized display of the boss's health; added upgrades for Equipment Testers and improved their appearance.
- New resource spots: Added advanced resource spots. Deplete these for a chance to get Gear Materials Box, Gear Blueprints, and other rewards.
- Gang system improvements: Added displays of Gang gameplays and a Gang log; optimized development functions to help your Gang dominate the planet!
- Interface and user experience improvements: Optimized the troop configuration page, Fighter selection page, notification and tips, Shared Renown's event process, and in-game icons.</v>
      </c>
      <c r="D25" s="13" t="str">
        <f>IFERROR(__xludf.DUMMYFUNCTION("""COMPUTED_VALUE"""),"- Nouveau gameplay: bientôt la Course de trains! Foncez dans la bataille pour vous mesurer à des joueurs d’autres serveurs! Coopérez avec vos alliés pour faire accélérer votre train et gagner des récompenses géniales!
- Nouvelle combattante: Carina, l’arc"&amp;"hère vengeresse. Une élégante chasseuse de primes, dont les flèches ne ratent jamais leur cible. A obtenir dans le Singe ultime.
- Nouvel évènement spécial: la Beach Party va bientôt commencer! Participez pour gagner des décors en édition limitée et d’aut"&amp;"res récompenses.
- Nouvel évènement pour les joueurs qui reviennent: à votre retour dans le monde des primates, obtenez des récompenses pour retourner sur votre planète d’origine ou pour commencer un nouveau voyage!
- Nouvel évènement d’invitation: le Sin"&amp;"ge d’influence. Invitez vos amis et tentez de gagner le grand prix!
- Amélioration de l’Invasion de forteresse: ajout de tas de ferraille et d’avant-postes pour étoffer le gameplay; niveaux supplémentaires.
- Amélioration de la Frappe chargée: optimisatio"&amp;"n de l’affichage de la santé du boss; ajout d’améliorations pour les prototypes et optimisation de leur apparence.
- Ajout de points de ressources avancés: épuisez-les pour tenter d’obtenir des caisses de matériaux, des plans d’équipement et d’autres réco"&amp;"mpenses.
- Amélioration du système des gangs: ajout d’un journal et d’un affichage des modes de jeu du gang; optimisation des fonctions de développement pour aider votre gang à dominer la planète!
- Amélioration de l’interface et de l’expérience utilisate"&amp;"ur: page de configuration des troupes, page de sélection des combattants, conseils et notifications, étapes de l’évènement Renommée partagée, et icônes dans le jeu.
")</f>
        <v>- Nouveau gameplay: bientôt la Course de trains! Foncez dans la bataille pour vous mesurer à des joueurs d’autres serveurs! Coopérez avec vos alliés pour faire accélérer votre train et gagner des récompenses géniales!
- Nouvelle combattante: Carina, l’archère vengeresse. Une élégante chasseuse de primes, dont les flèches ne ratent jamais leur cible. A obtenir dans le Singe ultime.
- Nouvel évènement spécial: la Beach Party va bientôt commencer! Participez pour gagner des décors en édition limitée et d’autres récompenses.
- Nouvel évènement pour les joueurs qui reviennent: à votre retour dans le monde des primates, obtenez des récompenses pour retourner sur votre planète d’origine ou pour commencer un nouveau voyage!
- Nouvel évènement d’invitation: le Singe d’influence. Invitez vos amis et tentez de gagner le grand prix!
- Amélioration de l’Invasion de forteresse: ajout de tas de ferraille et d’avant-postes pour étoffer le gameplay; niveaux supplémentaires.
- Amélioration de la Frappe chargée: optimisation de l’affichage de la santé du boss; ajout d’améliorations pour les prototypes et optimisation de leur apparence.
- Ajout de points de ressources avancés: épuisez-les pour tenter d’obtenir des caisses de matériaux, des plans d’équipement et d’autres récompenses.
- Amélioration du système des gangs: ajout d’un journal et d’un affichage des modes de jeu du gang; optimisation des fonctions de développement pour aider votre gang à dominer la planète!
- Amélioration de l’interface et de l’expérience utilisateur: page de configuration des troupes, page de sélection des combattants, conseils et notifications, étapes de l’évènement Renommée partagée, et icônes dans le jeu.
</v>
      </c>
      <c r="E25" s="13" t="str">
        <f>IFERROR(__xludf.DUMMYFUNCTION("""COMPUTED_VALUE"""),"- Neues Gameplay: Zug-Rennen kommt bald! Begib dich auf das Schlachtfeld, um mit Spielern von anderen Servern zusammenzuarbeiten oder gegen sie anzutreten. Bewege den Zug deiner Seite schneller, um tolle Belohnungen zu erhalten!
 - Neue Kämpferin: Carina,"&amp;" der Pfeil der Rache. Sie ist eine elegante Kopfgeldjägerin, die einen tödlichen Charme ausstrahlt, und eine Bogenschützin, deren Pfeile nie verfehlen. Erhalte sie bei Ultimativer Affe.
 - Neues spezielles Event: Die Strand-Tanzparty beginnt bald! Nimm te"&amp;"il, um limitierte Dekorationen und andere Belohnungen zu gewinnen.
 - Neues Event für zurückkehrende Spieler: Kehre in die Welt der Affen zurück und erhalte Belohnungen, egal ob du dich entscheidest, zu deinem ursprünglichen Planeten zurückzukehren oder e"&amp;"ine neue Reise zu beginnen!
 - Neues Event, um neue Spieler einzuladen: Affe mit Einfluss. Versammle deine Freunde, um dich den Affen anzuschließen und um den Hauptpreis zu kämpfen!
 - Verbesserungen bei der Festungsübernahme: Eisenhaufen und Festungen wu"&amp;"rden hinzugefügt, um das Gameplay zu bereichern; außerdem wurden weitere Level hinzugefügt.
 - Verbesserungen bei Geladener Schlag: Die Anzeige der Gesundheit des Endgegners wurde optimiert; es wurden Upgrades für Ausrüstungstester hinzugefügt und ihr Aus"&amp;"sehen verbessert.
 - Neue Ressourcenquellen: Es wurden fortgeschrittene Ressourcenquellen hinzugefügt. Wenn du diese aufbrauchst, erhältst du die Chance, Ausrüstungsmaterialien, Ausrüstungs-Baupläne und andere Belohnungen zu erhalten.
 - Verbesserungen am"&amp;" Clan-System: Anzeige von Clan-Spielen und ein Clan-Logbuch wurden hinzugefügt; die Entwicklungsfunktionen wurden optimiert, um deinem Clan zu helfen, den Planeten zu beherrschen!
 - Verbesserungen der Benutzeroberflächen und der Benutzerfreundlichkeit: D"&amp;"ie Seite zur Truppenkonfiguration, die Seite zur Auswahl der Kämpfer, die Benachrichtigungen und Tipps, der Event-Prozess von Geteilter Ruhm und einige In-Game-Symbole wurden optimiert.")</f>
        <v>- Neues Gameplay: Zug-Rennen kommt bald! Begib dich auf das Schlachtfeld, um mit Spielern von anderen Servern zusammenzuarbeiten oder gegen sie anzutreten. Bewege den Zug deiner Seite schneller, um tolle Belohnungen zu erhalten!
 - Neue Kämpferin: Carina, der Pfeil der Rache. Sie ist eine elegante Kopfgeldjägerin, die einen tödlichen Charme ausstrahlt, und eine Bogenschützin, deren Pfeile nie verfehlen. Erhalte sie bei Ultimativer Affe.
 - Neues spezielles Event: Die Strand-Tanzparty beginnt bald! Nimm teil, um limitierte Dekorationen und andere Belohnungen zu gewinnen.
 - Neues Event für zurückkehrende Spieler: Kehre in die Welt der Affen zurück und erhalte Belohnungen, egal ob du dich entscheidest, zu deinem ursprünglichen Planeten zurückzukehren oder eine neue Reise zu beginnen!
 - Neues Event, um neue Spieler einzuladen: Affe mit Einfluss. Versammle deine Freunde, um dich den Affen anzuschließen und um den Hauptpreis zu kämpfen!
 - Verbesserungen bei der Festungsübernahme: Eisenhaufen und Festungen wurden hinzugefügt, um das Gameplay zu bereichern; außerdem wurden weitere Level hinzugefügt.
 - Verbesserungen bei Geladener Schlag: Die Anzeige der Gesundheit des Endgegners wurde optimiert; es wurden Upgrades für Ausrüstungstester hinzugefügt und ihr Aussehen verbessert.
 - Neue Ressourcenquellen: Es wurden fortgeschrittene Ressourcenquellen hinzugefügt. Wenn du diese aufbrauchst, erhältst du die Chance, Ausrüstungsmaterialien, Ausrüstungs-Baupläne und andere Belohnungen zu erhalten.
 - Verbesserungen am Clan-System: Anzeige von Clan-Spielen und ein Clan-Logbuch wurden hinzugefügt; die Entwicklungsfunktionen wurden optimiert, um deinem Clan zu helfen, den Planeten zu beherrschen!
 - Verbesserungen der Benutzeroberflächen und der Benutzerfreundlichkeit: Die Seite zur Truppenkonfiguration, die Seite zur Auswahl der Kämpfer, die Benachrichtigungen und Tipps, der Event-Prozess von Geteilter Ruhm und einige In-Game-Symbole wurden optimiert.</v>
      </c>
      <c r="F25" s="13" t="str">
        <f>IFERROR(__xludf.DUMMYFUNCTION("""COMPUTED_VALUE"""),"- Novo modo de jogo: ""Corrida do Trem"" chega em breve! Vá ao campo de batalha para colaborar e competir com os jogadores de servidores diferentes. Acelere mais o seu trem e ganhe recompensas incríveis!
 - Novos combatentes: Carina, a Flecha Vingativa. U"&amp;"ma caçadora de recompensas elegante que tem um charme fatal, uma arqueira cujas flechas nunca erram o alvo. Obtenha-a em Macaco Supremo.
 - Novo evento especial: ""Festa de Dança da Praia"" começa em breve! Participe para ganhar decorações de tempo limita"&amp;"do e outras recompensas.
 - Novo evento para jogadores retornantes: volte ao mundo dos macacos e obtenha recompensas ao escolher entre voltar ao planeta original ou começar uma nova viagem!
 - Novo evento para convidar novos jogadores: ""Macaco de Influên"&amp;"cia"". Reúna seus amigos para se juntar aos macacos e concorrer a um grande prêmio!
 - Melhorias em Conquista da Fortaleza: adicionadas pilhas de ferro e fortes para aprimorar o modo de jogo; mais níveis adicionados.
 - Melhorias em Ataque Carregado: melh"&amp;"oria na exibição da vida do chefe, adição de melhorias para testadores de equipamento e visual aprimorado.
 - Novos pontos de recursos: foram adicionados novos pontos de recursos avançados. Esgote-os para concorrer a Caixas de Materiais de Equipamento, Ca"&amp;"ixas de Diagramas e outras recompensas.
 - Melhorias no sistema de gangue: foram adicionados exibições para os modos de jogo e um registro da gangue; melhoria nas funções de desenvolvimento para ajudar sua gangue a dominar o planeta!
 - Melhorias na exper"&amp;"iência de usuário e interface: melhoria na página de configuração da tropa, página de seleção de combatente, dicas e notificações, processo do evento ""Reputação Compartilhada"" e ícones dentro do jogo.")</f>
        <v>- Novo modo de jogo: "Corrida do Trem" chega em breve! Vá ao campo de batalha para colaborar e competir com os jogadores de servidores diferentes. Acelere mais o seu trem e ganhe recompensas incríveis!
 - Novos combatentes: Carina, a Flecha Vingativa. Uma caçadora de recompensas elegante que tem um charme fatal, uma arqueira cujas flechas nunca erram o alvo. Obtenha-a em Macaco Supremo.
 - Novo evento especial: "Festa de Dança da Praia" começa em breve! Participe para ganhar decorações de tempo limitado e outras recompensas.
 - Novo evento para jogadores retornantes: volte ao mundo dos macacos e obtenha recompensas ao escolher entre voltar ao planeta original ou começar uma nova viagem!
 - Novo evento para convidar novos jogadores: "Macaco de Influência". Reúna seus amigos para se juntar aos macacos e concorrer a um grande prêmio!
 - Melhorias em Conquista da Fortaleza: adicionadas pilhas de ferro e fortes para aprimorar o modo de jogo; mais níveis adicionados.
 - Melhorias em Ataque Carregado: melhoria na exibição da vida do chefe, adição de melhorias para testadores de equipamento e visual aprimorado.
 - Novos pontos de recursos: foram adicionados novos pontos de recursos avançados. Esgote-os para concorrer a Caixas de Materiais de Equipamento, Caixas de Diagramas e outras recompensas.
 - Melhorias no sistema de gangue: foram adicionados exibições para os modos de jogo e um registro da gangue; melhoria nas funções de desenvolvimento para ajudar sua gangue a dominar o planeta!
 - Melhorias na experiência de usuário e interface: melhoria na página de configuração da tropa, página de seleção de combatente, dicas e notificações, processo do evento "Reputação Compartilhada" e ícones dentro do jogo.</v>
      </c>
      <c r="G25" s="13" t="str">
        <f>IFERROR(__xludf.DUMMYFUNCTION("""COMPUTED_VALUE"""),"-新增玩法：火車爭霸即將到來！前往戰場，和不同服務器的玩家進行合作與競爭，與敵人的火車比拼速度，贏得豐厚獎勵！
-新增鬥士：復仇之箭-卡瑞娜，優雅矜持的賞金獵人，箭無虛發的女箭手，充滿了致命的誘惑。可通過最強猴子獲取。
-新增節日活動：沙灘熱舞節活動即將開啓：參與活動，贏取節日限定裝飾和其他豐富獎勵！
-新增玩家迴歸活動：迴歸猩球，重返故土或開啓新的征程均有豐厚獎勵！
-新增新玩家邀請活動：一呼百應，召集你的朋友們加入猿族，衝刺終極大獎！
-堡壘對決玩法優化：新增了鋼材堆、據點，豐富堡壘玩法體驗，並提升了"&amp;"關卡數量。
-重裝出擊玩法優化：優化了boss的血量顯示，增加了戰裝試驗品升級功能，優化了戰裝試驗品的外觀。
-新增採集點：新增高級採集點，採集完成後有概率獲得軍備零件箱、軍備圖紙等豐富獎勵！
-幫派系統優化：新增幫派玩法展示和幫派日誌，優化幫派發展功能，助力幫派登上猩球之巔！
-界面及體驗優化：優化了部隊配置界面、鬥士選擇界面、通知提示、齊心揚名活動流程、遊戲內HUD的顯示和體驗。")</f>
        <v>-新增玩法：火車爭霸即將到來！前往戰場，和不同服務器的玩家進行合作與競爭，與敵人的火車比拼速度，贏得豐厚獎勵！
-新增鬥士：復仇之箭-卡瑞娜，優雅矜持的賞金獵人，箭無虛發的女箭手，充滿了致命的誘惑。可通過最強猴子獲取。
-新增節日活動：沙灘熱舞節活動即將開啓：參與活動，贏取節日限定裝飾和其他豐富獎勵！
-新增玩家迴歸活動：迴歸猩球，重返故土或開啓新的征程均有豐厚獎勵！
-新增新玩家邀請活動：一呼百應，召集你的朋友們加入猿族，衝刺終極大獎！
-堡壘對決玩法優化：新增了鋼材堆、據點，豐富堡壘玩法體驗，並提升了關卡數量。
-重裝出擊玩法優化：優化了boss的血量顯示，增加了戰裝試驗品升級功能，優化了戰裝試驗品的外觀。
-新增採集點：新增高級採集點，採集完成後有概率獲得軍備零件箱、軍備圖紙等豐富獎勵！
-幫派系統優化：新增幫派玩法展示和幫派日誌，優化幫派發展功能，助力幫派登上猩球之巔！
-界面及體驗優化：優化了部隊配置界面、鬥士選擇界面、通知提示、齊心揚名活動流程、遊戲內HUD的顯示和體驗。</v>
      </c>
      <c r="H25" s="13" t="str">
        <f>IFERROR(__xludf.DUMMYFUNCTION("""COMPUTED_VALUE"""),"- Gameplay baru: Hegemoni Kereta segera hadir! Pergi ke medan perang, bekerja sama dan bersaing dengan pemain dari server lain, balap kereta dengan musuh, lalu menangkan hadiah mewah!
- Pejuang baru: Panah Pembalasan - Karina, bounty hunter yang elegan da"&amp;"n pendiam, pemanah jitu, memancarkan godaan yang fatal. Dapat diperoleh dari Kera Yang Tangguh.
- Acara liburan baru: Acara Festival Tarian Pantai segera dimulai. Partisipasi dalam acara dan menangkan kostum terbatas dan hadiah lainnya!
- Acara Pemain Kem"&amp;"bali baru: Kembali ke Planet Kera, kembali ke homeland atau mulai perjalanan baru, semuanya berhadiah!
- Acara Undang Pemain baru: Panggilan Bantuan, Panggil teman untuk bergabung dengan Klan Kera, dapatkan hadiah istimewa!
- Optimalisasi gameplay Penaklu"&amp;"kan Benteng: Penambahan Tumpukan Baja dan Stronghold, memperkaya pengalaman gameplay Benteng, juga meningkatkan jumlah Wilayah Kera.
- Optimalisasi gameplay Serangan Terisi: Optimalisasi tampilan HP Boss, penambahan fitur peningkatan item trial perlengkap"&amp;"an, optimalisasi tampilan item trial perlengkapan.
- Titik Pengumpulan baru: Penambahan Titik Pengumpulan Tinggi baru, berkesempatan mendapatkan hadiah seperti Kotak Material Senjata, cetak biru senjata dan hadiah lainnya setelah selesai mengumpulkan.
- O"&amp;"ptimalisasi fitur Geng: Penambahan tampilan gameplay Geng dan Log Geng, optimalisasi fitur pengembangan Geng, membantu Geng mencapai puncak Planet Kera!
- Optimalisasi halaman dan pengalaman: Optimalisasi halaman konfigurasi pasukan, halaman pemilihan Pej"&amp;"uang, tampilan notifikasi, proses acara Ketenaran Bersama, dan tampilan serta pengalaman HUD dalam game.")</f>
        <v>- Gameplay baru: Hegemoni Kereta segera hadir! Pergi ke medan perang, bekerja sama dan bersaing dengan pemain dari server lain, balap kereta dengan musuh, lalu menangkan hadiah mewah!
- Pejuang baru: Panah Pembalasan - Karina, bounty hunter yang elegan dan pendiam, pemanah jitu, memancarkan godaan yang fatal. Dapat diperoleh dari Kera Yang Tangguh.
- Acara liburan baru: Acara Festival Tarian Pantai segera dimulai. Partisipasi dalam acara dan menangkan kostum terbatas dan hadiah lainnya!
- Acara Pemain Kembali baru: Kembali ke Planet Kera, kembali ke homeland atau mulai perjalanan baru, semuanya berhadiah!
- Acara Undang Pemain baru: Panggilan Bantuan, Panggil teman untuk bergabung dengan Klan Kera, dapatkan hadiah istimewa!
- Optimalisasi gameplay Penaklukan Benteng: Penambahan Tumpukan Baja dan Stronghold, memperkaya pengalaman gameplay Benteng, juga meningkatkan jumlah Wilayah Kera.
- Optimalisasi gameplay Serangan Terisi: Optimalisasi tampilan HP Boss, penambahan fitur peningkatan item trial perlengkapan, optimalisasi tampilan item trial perlengkapan.
- Titik Pengumpulan baru: Penambahan Titik Pengumpulan Tinggi baru, berkesempatan mendapatkan hadiah seperti Kotak Material Senjata, cetak biru senjata dan hadiah lainnya setelah selesai mengumpulkan.
- Optimalisasi fitur Geng: Penambahan tampilan gameplay Geng dan Log Geng, optimalisasi fitur pengembangan Geng, membantu Geng mencapai puncak Planet Kera!
- Optimalisasi halaman dan pengalaman: Optimalisasi halaman konfigurasi pasukan, halaman pemilihan Pejuang, tampilan notifikasi, proses acara Ketenaran Bersama, dan tampilan serta pengalaman HUD dalam game.</v>
      </c>
      <c r="I25" s="13" t="str">
        <f>IFERROR(__xludf.DUMMYFUNCTION("""COMPUTED_VALUE"""),"- รูปแบบการเล่นเกมใหม่: การแข่งรถไฟกำลังจะมาแล้วในเร็วๆ นี้! มุ่งหน้าสู่สนามรบเพื่อร่วมมือกันแข่งขันกับผู้เล่นจากต่างเซิร์ฟเวอร์ ซิ่งรถไฟฝ่ายคุณให้เร็วกว่าเพื่อรับรางวัลอันน่าทึ่ง!
 - นักสู้คนใหม่: ศรอาฆาต แครินา นักล่าค่าหัวผู้สง่างามและแสนทรงเสน่ห์ การย"&amp;"ิงธนูของเธอไม่เคยพลาดเป้า รับเธอได้จากสุดยอดลิง!
 - กิจกรรมพิเศษใหม่: ปาร์ตี้ระบำชายหาด เร็วๆ นี้! เข้าร่วมเพื่อรับของตกแต่งรุ่นลิมิเต็ดและรางวัลอื่นๆ
 - กิจกรรมใหม่สำหรับผู้เล่นที่กลับมา: หวนคืนสู่โลกแห่งวานร และรับรางวัลไม่ว่าคุณจะเลือกกลับไปยังดาวเคราะ"&amp;"ห์ดั้งเดิมหรือเริ่มการเดินทางครั้งใหม่!
 - กิจกรรมใหม่เพื่อเชิญผู้เล่นใหม่: ลิงผู้มีอิทธิพล รวบรวมเพื่อนๆ มาเข้าร่วมเผ่าพันธุ์วานรเพื่อลุ้นรับรางวัลใหญ่!
 - ปรับปรุงการยึดครองป้อมปราการ: เพิ่มกองเหล็กและฐานทัพเพื่อปรับปรุงรูปแบบการเล่นเกม และเพิ่มเลเวลต่า"&amp;"งๆ ขึ้น
 - การปรับปรุงการโจมตีเต็มรูปแบบ: ปรับปรุงการแสดงพลังชีวิตของบอส เพิ่มการอัปเกรดต่างๆ สำหรับเครื่องทดสอบอุปกรณ์ และปรับปรุงรูปลักษณ์ของพวกมัน
 - ตำแหน่งทรัพยากรใหม่: เพิ่มตำแหน่งทรัพยากรขั้นสูง เก็บให้หมดเพื่อลุ้นรับกล่องวัสดุอาวุธ, พิมพ์เขียวอาวุ"&amp;"ธ และรางวัลอื่นๆ
 - การปรับปรุงระบบแก๊ง: เพิ่มการแสดงการเล่นเกมของแก๊งและบันทึกแก๊ง ปรับปรุงคุณสมบัติการพัฒนาเพื่อช่วยให้แก๊งของคุณครองดาวเคราะห์!
 - ปรับปรุงอินเตอร์เฟซและประสบการณ์ผู้ใช้งาน: ปรับปรุงหน้ากำหนดค่ากองทหาร, หน้าการเลือกนักสู้, เคล็ดลับและกา"&amp;"รแจ้งเตือน, ความคืบหน้ากิจกรรมของชื่อเสียงที่แบ่งปัน และไอคอนในเกม")</f>
        <v>- รูปแบบการเล่นเกมใหม่: การแข่งรถไฟกำลังจะมาแล้วในเร็วๆ นี้! มุ่งหน้าสู่สนามรบเพื่อร่วมมือกันแข่งขันกับผู้เล่นจากต่างเซิร์ฟเวอร์ ซิ่งรถไฟฝ่ายคุณให้เร็วกว่าเพื่อรับรางวัลอันน่าทึ่ง!
 - นักสู้คนใหม่: ศรอาฆาต แครินา นักล่าค่าหัวผู้สง่างามและแสนทรงเสน่ห์ การยิงธนูของเธอไม่เคยพลาดเป้า รับเธอได้จากสุดยอดลิง!
 - กิจกรรมพิเศษใหม่: ปาร์ตี้ระบำชายหาด เร็วๆ นี้! เข้าร่วมเพื่อรับของตกแต่งรุ่นลิมิเต็ดและรางวัลอื่นๆ
 - กิจกรรมใหม่สำหรับผู้เล่นที่กลับมา: หวนคืนสู่โลกแห่งวานร และรับรางวัลไม่ว่าคุณจะเลือกกลับไปยังดาวเคราะห์ดั้งเดิมหรือเริ่มการเดินทางครั้งใหม่!
 - กิจกรรมใหม่เพื่อเชิญผู้เล่นใหม่: ลิงผู้มีอิทธิพล รวบรวมเพื่อนๆ มาเข้าร่วมเผ่าพันธุ์วานรเพื่อลุ้นรับรางวัลใหญ่!
 - ปรับปรุงการยึดครองป้อมปราการ: เพิ่มกองเหล็กและฐานทัพเพื่อปรับปรุงรูปแบบการเล่นเกม และเพิ่มเลเวลต่างๆ ขึ้น
 - การปรับปรุงการโจมตีเต็มรูปแบบ: ปรับปรุงการแสดงพลังชีวิตของบอส เพิ่มการอัปเกรดต่างๆ สำหรับเครื่องทดสอบอุปกรณ์ และปรับปรุงรูปลักษณ์ของพวกมัน
 - ตำแหน่งทรัพยากรใหม่: เพิ่มตำแหน่งทรัพยากรขั้นสูง เก็บให้หมดเพื่อลุ้นรับกล่องวัสดุอาวุธ, พิมพ์เขียวอาวุธ และรางวัลอื่นๆ
 - การปรับปรุงระบบแก๊ง: เพิ่มการแสดงการเล่นเกมของแก๊งและบันทึกแก๊ง ปรับปรุงคุณสมบัติการพัฒนาเพื่อช่วยให้แก๊งของคุณครองดาวเคราะห์!
 - ปรับปรุงอินเตอร์เฟซและประสบการณ์ผู้ใช้งาน: ปรับปรุงหน้ากำหนดค่ากองทหาร, หน้าการเลือกนักสู้, เคล็ดลับและการแจ้งเตือน, ความคืบหน้ากิจกรรมของชื่อเสียงที่แบ่งปัน และไอคอนในเกม</v>
      </c>
      <c r="J25" s="13" t="str">
        <f>IFERROR(__xludf.DUMMYFUNCTION("""COMPUTED_VALUE"""),"- Nueva jugabilidad: Fiebre del Tren próximamente. Dirígete al campo de batalla para colaborar y competir con jugadores de diferentes servidores. ¡Mueve el tren de tu lado más rápido para obtener increíbles recompensas!
 - Nuevas Luchadoras: Carina, la Fl"&amp;"echa Vengativa. Una elegante cazarrecompensas que emana un encanto fatal y es una arquera cuyas flechas nunca fallan. Consíguela en el Mono Supremo.
 - Nuevo evento especial: ¡La Fiesta de Baile en la Playa comenzará pronto! Participa para ganar decoracio"&amp;"nes de edición limitada y otras recompensas.
 - Nuevo evento para jugadores que regresan: ¡Regresa al mundo de los simios y obtén recompensas ya sea que elijas regresar a tu planeta original o comenzar un nuevo viaje!
 - Nuevo evento para invitar a nuevos"&amp;" jugadores: Mono con Influencia. ¡Reúne a tus amigos para unirse a los simios y tratar de ganar el gran premio!
 - Mejoras en la Toma de la Fortaleza: se agregaron Pilas de Hierro y fuertes para enriquecer el juego; también se agregaron más niveles.
 - Me"&amp;"joras en Golpe Cargado: Visualización optimizada de la salud del jefe; se agregaron actualizaciones para los Probadores de Equipos y se mejoró su apariencia.
 - Nuevos puntos de recursos: Se agregaron puntos de recursos avanzados. Consúmelos para tener la"&amp;" oportunidad de obtener Cajas de Materiales de Equipo, Planos de Equipos y otras recompensas.
 - Mejoras en el sistema de Bandas: Se agregaron visualizaciones a los juegos de la Banda y al registro de la Banda; ¡funciones de desarrollo optimizadas para ay"&amp;"udar a tu Banda a dominar el planeta!
 - Mejoras en la interfaz y la experiencia del usuario: Se optimizaron la página de configuración de tropas, la página de selección de Luchadores, las notificaciones y los consejos, el proceso de eventos de Renombre C"&amp;"ompartido y los iconos dentro del juego.")</f>
        <v>- Nueva jugabilidad: Fiebre del Tren próximamente. Dirígete al campo de batalla para colaborar y competir con jugadores de diferentes servidores. ¡Mueve el tren de tu lado más rápido para obtener increíbles recompensas!
 - Nuevas Luchadoras: Carina, la Flecha Vengativa. Una elegante cazarrecompensas que emana un encanto fatal y es una arquera cuyas flechas nunca fallan. Consíguela en el Mono Supremo.
 - Nuevo evento especial: ¡La Fiesta de Baile en la Playa comenzará pronto! Participa para ganar decoraciones de edición limitada y otras recompensas.
 - Nuevo evento para jugadores que regresan: ¡Regresa al mundo de los simios y obtén recompensas ya sea que elijas regresar a tu planeta original o comenzar un nuevo viaje!
 - Nuevo evento para invitar a nuevos jugadores: Mono con Influencia. ¡Reúne a tus amigos para unirse a los simios y tratar de ganar el gran premio!
 - Mejoras en la Toma de la Fortaleza: se agregaron Pilas de Hierro y fuertes para enriquecer el juego; también se agregaron más niveles.
 - Mejoras en Golpe Cargado: Visualización optimizada de la salud del jefe; se agregaron actualizaciones para los Probadores de Equipos y se mejoró su apariencia.
 - Nuevos puntos de recursos: Se agregaron puntos de recursos avanzados. Consúmelos para tener la oportunidad de obtener Cajas de Materiales de Equipo, Planos de Equipos y otras recompensas.
 - Mejoras en el sistema de Bandas: Se agregaron visualizaciones a los juegos de la Banda y al registro de la Banda; ¡funciones de desarrollo optimizadas para ayudar a tu Banda a dominar el planeta!
 - Mejoras en la interfaz y la experiencia del usuario: Se optimizaron la página de configuración de tropas, la página de selección de Luchadores, las notificaciones y los consejos, el proceso de eventos de Renombre Compartido y los iconos dentro del juego.</v>
      </c>
      <c r="K25" s="13" t="str">
        <f>IFERROR(__xludf.DUMMYFUNCTION("""COMPUTED_VALUE"""),"- Новый игровой процесс: скоро выходят «Гонки поездов»! Отправляйтесь на поле битвы, чтобы сотрудничать и соревноваться с игроками с разных серверов. Продвигайте поезд своей команды быстрее, чтобы получить потрясающие награды!
- Новые герои: Карина, Стрел"&amp;"а Мести. Элегантная охотница за головами, излучающая роковое обаяние, и лучница, чьи стрелы всегда поражают цель. Получите ее в «Великой обезьяне».
- Новое особое событие: скоро начнется «Пляжная танцевальная вечеринка». Участвуйте в ней, чтобы выиграть э"&amp;"ксклюзивные украшения и другие награды.
- Новое событие для возвращающихся игроков: вернитесь в мир обезьян и получите награды независимо от того, отправитесь ли вы на свою родную планету или начнете новое путешествие!
- Новое событие для приглашения новы"&amp;"х игроков: «Влиятельная обезьяна». Пригласите друзей присоединиться к приматам и попробуйте получить главный приз!
- Улучшения «Захвата крепости»: добавлены груды железа и бастионы, чтобы сделать игровой процесс более увлекательным; также добавлено больше"&amp;" уровней.
- Улучшения «Заряженного удара»: оптимизировано отображение здоровья босса; модернизированы пробники снаряжения и улучшен их внешний вид.
- Новые точки ресурсов: добавлены расширенные точки ресурсов. Исчерпайте их — и вы сможете получить ящик с "&amp;"материалами для снаряжения, чертежи снаряжения и другие награды.
- Улучшения системы банды: добавлено отображение геймплея банды и журнала банды; оптимизированы функции развития, которые помогут вашей банде доминировать на планете!
- Улучшения интерфейса "&amp;"и впечатлений пользователя: оптимизированы страница конфигурации войск, страница выбора героев, уведомления и подсказки, процесс события «Общая известность» и внутриигровые значки.")</f>
        <v>- Новый игровой процесс: скоро выходят «Гонки поездов»! Отправляйтесь на поле битвы, чтобы сотрудничать и соревноваться с игроками с разных серверов. Продвигайте поезд своей команды быстрее, чтобы получить потрясающие награды!
- Новые герои: Карина, Стрела Мести. Элегантная охотница за головами, излучающая роковое обаяние, и лучница, чьи стрелы всегда поражают цель. Получите ее в «Великой обезьяне».
- Новое особое событие: скоро начнется «Пляжная танцевальная вечеринка». Участвуйте в ней, чтобы выиграть эксклюзивные украшения и другие награды.
- Новое событие для возвращающихся игроков: вернитесь в мир обезьян и получите награды независимо от того, отправитесь ли вы на свою родную планету или начнете новое путешествие!
- Новое событие для приглашения новых игроков: «Влиятельная обезьяна». Пригласите друзей присоединиться к приматам и попробуйте получить главный приз!
- Улучшения «Захвата крепости»: добавлены груды железа и бастионы, чтобы сделать игровой процесс более увлекательным; также добавлено больше уровней.
- Улучшения «Заряженного удара»: оптимизировано отображение здоровья босса; модернизированы пробники снаряжения и улучшен их внешний вид.
- Новые точки ресурсов: добавлены расширенные точки ресурсов. Исчерпайте их — и вы сможете получить ящик с материалами для снаряжения, чертежи снаряжения и другие награды.
- Улучшения системы банды: добавлено отображение геймплея банды и журнала банды; оптимизированы функции развития, которые помогут вашей банде доминировать на планете!
- Улучшения интерфейса и впечатлений пользователя: оптимизированы страница конфигурации войск, страница выбора героев, уведомления и подсказки, процесс события «Общая известность» и внутриигровые значки.</v>
      </c>
      <c r="L25" s="13" t="str">
        <f>IFERROR(__xludf.DUMMYFUNCTION("""COMPUTED_VALUE"""),"Yeni oynanış: Trene Hücum yakında geliyor! Savaş alanına girerek farklı sunuculardaki oyuncularla iş birliği yap ve yarış. Harika ödüller almak için takımının trenini daha hızlı hareket ettir!
 - Yeni Savaşçı: İntikam Oku Carina. Ölümcül cazibe sahibi zar"&amp;"if bir ödül avcısı ve her zaman hedefi vuran bir okçu. Carina'yı En Üstün Maymun'dan alabilirsin.
 - Yeni özel etkinlik: Sahil Dans Partisi yakında başlıyor! Sınırlı sayıdaki dekorasyonları ve diğer ödülleri kazanmak için etkinliğe katıl.
 - Dönüş yapan o"&amp;"yuncular için yeni etkinlik: Maymunların dünyasına dönüş yap, asıl gezegenine dönmek veya yeni bir yolculuğa başlamak arasında seçimini yap ve ödül kazan!
 - Yeni oyuncuları davet etmek için yeni etkinlik: Etkileyici Maymun. Maymun ırkına katılmaları için"&amp;" arkadaşlarını topla ve büyük ödülün peşine düş!
 - Kaleyi Ele Geçirme geliştirmeleri: Oynanışı zenginleştirmek adına daha fazla sığınak ve Demir Yığınlarına ek olarak daha fazla seviye de eklendi.
 - Yüklü Vuruş geliştirmeleri: Patron canının görüntülenm"&amp;"esi optimize edildi; Ekipman Deneyiciler ve görünümleri geliştirildi.
 - Yeni kaynak noktaları: Gelişmiş kaynak noktaları eklendi. Aksesuar Materyal Kutusu, Aksesuar Planları ve diğer ödülleri kazanma şansı için bu kaynak noktalarını tüket.
 - Çete sistem"&amp;"i geliştirmeleri: Çete oynanışlarının görünümleri ve Çete günlüğü eklendi. Çetenin gezegende üstünlük kurmasına yardım edebilmen için gelişim işlevleri optimize edildi!
 - Arayüz ve kullanıcı deneyimi geliştirmeleri: Birlik yapılandırma sayfası, Savaşçı s"&amp;"eçim sayfası, bildirimler ve ipuçları, Paylaşılan Ünlü etkinliği ilerlemesi ve oyun içi simgeler optimize edildi.")</f>
        <v>Yeni oynanış: Trene Hücum yakında geliyor! Savaş alanına girerek farklı sunuculardaki oyuncularla iş birliği yap ve yarış. Harika ödüller almak için takımının trenini daha hızlı hareket ettir!
 - Yeni Savaşçı: İntikam Oku Carina. Ölümcül cazibe sahibi zarif bir ödül avcısı ve her zaman hedefi vuran bir okçu. Carina'yı En Üstün Maymun'dan alabilirsin.
 - Yeni özel etkinlik: Sahil Dans Partisi yakında başlıyor! Sınırlı sayıdaki dekorasyonları ve diğer ödülleri kazanmak için etkinliğe katıl.
 - Dönüş yapan oyuncular için yeni etkinlik: Maymunların dünyasına dönüş yap, asıl gezegenine dönmek veya yeni bir yolculuğa başlamak arasında seçimini yap ve ödül kazan!
 - Yeni oyuncuları davet etmek için yeni etkinlik: Etkileyici Maymun. Maymun ırkına katılmaları için arkadaşlarını topla ve büyük ödülün peşine düş!
 - Kaleyi Ele Geçirme geliştirmeleri: Oynanışı zenginleştirmek adına daha fazla sığınak ve Demir Yığınlarına ek olarak daha fazla seviye de eklendi.
 - Yüklü Vuruş geliştirmeleri: Patron canının görüntülenmesi optimize edildi; Ekipman Deneyiciler ve görünümleri geliştirildi.
 - Yeni kaynak noktaları: Gelişmiş kaynak noktaları eklendi. Aksesuar Materyal Kutusu, Aksesuar Planları ve diğer ödülleri kazanma şansı için bu kaynak noktalarını tüket.
 - Çete sistemi geliştirmeleri: Çete oynanışlarının görünümleri ve Çete günlüğü eklendi. Çetenin gezegende üstünlük kurmasına yardım edebilmen için gelişim işlevleri optimize edildi!
 - Arayüz ve kullanıcı deneyimi geliştirmeleri: Birlik yapılandırma sayfası, Savaşçı seçim sayfası, bildirimler ve ipuçları, Paylaşılan Ünlü etkinliği ilerlemesi ve oyun içi simgeler optimize edildi.</v>
      </c>
      <c r="M25" s="13" t="str">
        <f>IFERROR(__xludf.DUMMYFUNCTION("""COMPUTED_VALUE"""),"- Lối Chơi Mới: Xe Lửa Tranh Bá sắp diễn ra! Đến chiến trường, hợp tác và cạnh tranh với người chơi của các server khác nhau, ganh đua tốc độ với Xe Lửa của kẻ địch, giành được phần thưởng phong phú!
- Chiến Binh Mới: Mũi Tên Báo Thù - Carina, một thợ săn"&amp;" tiền thưởng tao nhã thận trọng, một nữ cung thủ bách phát bách trúng, toả ra sự cám dỗ chết người. Có thể nhận được thông qua Chúa Khỉ Tối Cao.
- Sự Kiện Mới: Sự kiện Vũ Điệu Bãi Biển sắp bắt đầu: Tham gia sự kiện, giành được trang trí giới hạn ngày lễ v"&amp;"à phần thưởng phong phú khác!
- Sự Kiện Người Chơi Quay Lại: Quay lại Hành Tinh Khỉ, trở về quê hương hoặc mở ra hành trình mới đều có phần thưởng phong phú!
- Sự Kiện Mời Người Chơi Mới: Chung Tay Góp Sức, triệu tập bạn bè cùng gia nhập Tộc Khỉ, tăng tốc"&amp;" giành phần thưởng cuối cùng cực lớn!
- Tối Ưu Lối Chơi Tiếp Quản Pháo Đài: Thêm Đống Thép, Cứ Điểm, trải nghiệm lối chơi Pháo Đài phong phú, đồng thời nâng cao số lượng cửa ải.
- Tối Ưu Lối Chơi Tấn Công Đã Tải: Tối ưu hiển thị HP của Boss, thêm tính năn"&amp;"g nâng cấp trang bị thử nghiệm, tối ưu bề ngoài trang bị thử nghiệm.
- Thêm Điểm Tài Nguyên: Thêm Điểm Tài Nguyên cao cấp, sau khi thu thập xong có tỷ lệ nhận được các phần thưởng phong phú như Hộp Nguyên Liệu Vũ Khí, Bản Vẽ Vũ Khí!
- Tối Ưu Hệ Thống Bang"&amp;" Hội: Thêm Hiển Thị Lối Chơi Bang Hội và Nhật Ký Bang Hội, tối ưu tính năng Phát Triển Bang Hội, giúp cho Bang Hội leo lên Đỉnh Cao Hành Tinh Khỉ!
- Tối Ưu Trải Nghiệm và Giao Diện: Tối ưu giao diện Thiết Lập Binh Lính, giao diện Lựa Chọn Chiến Binh, Nhắc"&amp;" Nhở Thông Báo, quy trình sự kiện Danh Tiếng Chung, hiển thị và trải nghiệm của HUD trong game.")</f>
        <v>- Lối Chơi Mới: Xe Lửa Tranh Bá sắp diễn ra! Đến chiến trường, hợp tác và cạnh tranh với người chơi của các server khác nhau, ganh đua tốc độ với Xe Lửa của kẻ địch, giành được phần thưởng phong phú!
- Chiến Binh Mới: Mũi Tên Báo Thù - Carina, một thợ săn tiền thưởng tao nhã thận trọng, một nữ cung thủ bách phát bách trúng, toả ra sự cám dỗ chết người. Có thể nhận được thông qua Chúa Khỉ Tối Cao.
- Sự Kiện Mới: Sự kiện Vũ Điệu Bãi Biển sắp bắt đầu: Tham gia sự kiện, giành được trang trí giới hạn ngày lễ và phần thưởng phong phú khác!
- Sự Kiện Người Chơi Quay Lại: Quay lại Hành Tinh Khỉ, trở về quê hương hoặc mở ra hành trình mới đều có phần thưởng phong phú!
- Sự Kiện Mời Người Chơi Mới: Chung Tay Góp Sức, triệu tập bạn bè cùng gia nhập Tộc Khỉ, tăng tốc giành phần thưởng cuối cùng cực lớn!
- Tối Ưu Lối Chơi Tiếp Quản Pháo Đài: Thêm Đống Thép, Cứ Điểm, trải nghiệm lối chơi Pháo Đài phong phú, đồng thời nâng cao số lượng cửa ải.
- Tối Ưu Lối Chơi Tấn Công Đã Tải: Tối ưu hiển thị HP của Boss, thêm tính năng nâng cấp trang bị thử nghiệm, tối ưu bề ngoài trang bị thử nghiệm.
- Thêm Điểm Tài Nguyên: Thêm Điểm Tài Nguyên cao cấp, sau khi thu thập xong có tỷ lệ nhận được các phần thưởng phong phú như Hộp Nguyên Liệu Vũ Khí, Bản Vẽ Vũ Khí!
- Tối Ưu Hệ Thống Bang Hội: Thêm Hiển Thị Lối Chơi Bang Hội và Nhật Ký Bang Hội, tối ưu tính năng Phát Triển Bang Hội, giúp cho Bang Hội leo lên Đỉnh Cao Hành Tinh Khỉ!
- Tối Ưu Trải Nghiệm và Giao Diện: Tối ưu giao diện Thiết Lập Binh Lính, giao diện Lựa Chọn Chiến Binh, Nhắc Nhở Thông Báo, quy trình sự kiện Danh Tiếng Chung, hiển thị và trải nghiệm của HUD trong game.</v>
      </c>
      <c r="N25" s="13"/>
      <c r="O25" s="148"/>
      <c r="P25" s="148"/>
      <c r="Q25" s="148"/>
      <c r="R25" s="148"/>
      <c r="S25" s="148"/>
      <c r="T25" s="148"/>
      <c r="U25" s="148"/>
      <c r="V25" s="148"/>
      <c r="W25" s="148"/>
      <c r="X25" s="148"/>
      <c r="Y25" s="148"/>
      <c r="Z25" s="148"/>
    </row>
    <row r="26">
      <c r="A26" s="149" t="str">
        <f>IFERROR(__xludf.DUMMYFUNCTION("""COMPUTED_VALUE"""),"0.45.0")</f>
        <v>0.45.0</v>
      </c>
      <c r="B26" s="13" t="str">
        <f>IFERROR(__xludf.DUMMYFUNCTION("""COMPUTED_VALUE"""),"-新增活动：周初好礼活动即将开启。                                                                                
-联盟礼包优化：新增匿名购买礼包选项。                                                                                
-联盟主界面优化：添加了退出联盟按钮。                                      "&amp;"                                          
-大地图探索优化：新增迷雾解锁排行榜以及全图解锁百分比。新增迷雾解锁任务。                                                                                 
-斗士装备优化：增强了装备的基础属性和装备技能参数，装备技能由固定等级调整为可随等级升级。                                                "&amp;"                                
-竞技场优化：新增斗士装备增益BUFF。                                                                                                                                                            
-氏族界面优化：新增解散氏族功能，在氏族总部界面上新增氏族管理入口。           "&amp;"                                                                     
-新增功能：新增客服助手入口、新增基地战斗力排行榜。新增单个章节任务进度和HUD显示。增加了堡垒对决关卡数量。新增火车竞赛历史战绩。绝地试炼新增跳过功能，新增葛列格召唤进度。强化了区域目标表现。新增科林的探索剩余任务价值提示。                                                                        "&amp;"        
-界面优化：优化了堡垒对决中、飞艇击落战、斗士装备、弹窗效果、活动积分跑马灯、每日特惠礼包、城建列表信息、迷雾探索等的界面表现。")</f>
        <v>-新增活动：周初好礼活动即将开启。                                                                                
-联盟礼包优化：新增匿名购买礼包选项。                                                                                
-联盟主界面优化：添加了退出联盟按钮。                                                                                
-大地图探索优化：新增迷雾解锁排行榜以及全图解锁百分比。新增迷雾解锁任务。                                                                                 
-斗士装备优化：增强了装备的基础属性和装备技能参数，装备技能由固定等级调整为可随等级升级。                                                                                
-竞技场优化：新增斗士装备增益BUFF。                                                                                                                                                            
-氏族界面优化：新增解散氏族功能，在氏族总部界面上新增氏族管理入口。                                                                                
-新增功能：新增客服助手入口、新增基地战斗力排行榜。新增单个章节任务进度和HUD显示。增加了堡垒对决关卡数量。新增火车竞赛历史战绩。绝地试炼新增跳过功能，新增葛列格召唤进度。强化了区域目标表现。新增科林的探索剩余任务价值提示。                                                                                
-界面优化：优化了堡垒对决中、飞艇击落战、斗士装备、弹窗效果、活动积分跑马灯、每日特惠礼包、城建列表信息、迷雾探索等的界面表现。</v>
      </c>
      <c r="C26" s="13" t="str">
        <f>IFERROR(__xludf.DUMMYFUNCTION("""COMPUTED_VALUE"""),"- New event: Early Week Gifts coming soon.
- Gang packs optimized: added an option to purchase packs anonymously.
- Gang interface optimized: added a button to leave the Gang.
- Map exploration improved: added a leaderboard for fog cleared (unlocked), per"&amp;"centage of the map cleared, and fog-unlocking quests.
- Fighter equipment improved: enhanced equipment's basic attributes and skill stats; equipment skills are no longer at a fixed level but can be upgraded along with the equipment.
- Primate Brawl improv"&amp;"ed: added Fighter equipment buffs.
- Clan interface optimized: added a function to disband the Clan and access to manage it via the Clan Headquarters page.
- New functions: Game Assistant access; city power ranking; quest progress by chapter and HUD displ"&amp;"ay; added new levels to Fortress Takeover; added battle records in Great Train Race; added skip function in Impasse Trials; added progress for summoning Greg. Also enhanced display of targets in various areas. Added a tip showing the value of remaining qu"&amp;"ests in Colin's Exploration.
- Interface optimizations: improved interface designs for Fortress Takeover, Airship Shootdown, Fighter equipments, pop-up windows, event score ticker, daily limited packs, city construction lists, fog exploration, and more.")</f>
        <v>- New event: Early Week Gifts coming soon.
- Gang packs optimized: added an option to purchase packs anonymously.
- Gang interface optimized: added a button to leave the Gang.
- Map exploration improved: added a leaderboard for fog cleared (unlocked), percentage of the map cleared, and fog-unlocking quests.
- Fighter equipment improved: enhanced equipment's basic attributes and skill stats; equipment skills are no longer at a fixed level but can be upgraded along with the equipment.
- Primate Brawl improved: added Fighter equipment buffs.
- Clan interface optimized: added a function to disband the Clan and access to manage it via the Clan Headquarters page.
- New functions: Game Assistant access; city power ranking; quest progress by chapter and HUD display; added new levels to Fortress Takeover; added battle records in Great Train Race; added skip function in Impasse Trials; added progress for summoning Greg. Also enhanced display of targets in various areas. Added a tip showing the value of remaining quests in Colin's Exploration.
- Interface optimizations: improved interface designs for Fortress Takeover, Airship Shootdown, Fighter equipments, pop-up windows, event score ticker, daily limited packs, city construction lists, fog exploration, and more.</v>
      </c>
      <c r="D26" s="13" t="str">
        <f>IFERROR(__xludf.DUMMYFUNCTION("""COMPUTED_VALUE"""),"- Optimisation des packs de gang: ajout d’une option pour acheter des packs de façon anonyme.
- Optimisation de l’interface du gang: ajout d’un bouton pour quitter le gang.
- Amélioration de l’exploration de la carte: ajout d’un classement pour la quantit"&amp;"é de brume dissipée et pour le pourcentage de la carte exploré, ainsi que de quêtes liées à la dissipation de la brume.
- Amélioration de l’équipement des combattants: attributs de base et statistiques des compétences; les compétences liées à l’équipement"&amp;" ne sont plus d’un niveau fixe, mais peuvent être améliorées avec l’équipement.
- Amélioration de la Baston des primates: ajout de boosts liés à l’équipement des combattants.
- Optimisation de l’interface des clans: ajout d’une fonction pour dissoudre le "&amp;"clan et accéder à sa gestion à partir de la page du GQ de clan.
- Nouvelles fonctions: accès à l’assistant du jeu; classement de la puissance de la ville; progression dans les quêtes par chapitre et affichage dans l’interface; nouveaux niveaux dans l’Inva"&amp;"sion de forteresse; historique des batailles dans la Grande course de trains; fonction pour passer les Epreuves de l’impasse; ajout d’une progression pour faire apparaître Greg; ajout d’une indication sur le nombre de quêtes restantes dans l’Exploration d"&amp;"e Colin.
- Optimisation de l’interface: amélioration de l’interface de l’Invasion de forteresse, d’Abattez le dirigeable; fenêtres pop-up; fil d’actu des scores; packs quotidiens limités; listes de construction de la ville; exploration de la brume.")</f>
        <v>- Optimisation des packs de gang: ajout d’une option pour acheter des packs de façon anonyme.
- Optimisation de l’interface du gang: ajout d’un bouton pour quitter le gang.
- Amélioration de l’exploration de la carte: ajout d’un classement pour la quantité de brume dissipée et pour le pourcentage de la carte exploré, ainsi que de quêtes liées à la dissipation de la brume.
- Amélioration de l’équipement des combattants: attributs de base et statistiques des compétences; les compétences liées à l’équipement ne sont plus d’un niveau fixe, mais peuvent être améliorées avec l’équipement.
- Amélioration de la Baston des primates: ajout de boosts liés à l’équipement des combattants.
- Optimisation de l’interface des clans: ajout d’une fonction pour dissoudre le clan et accéder à sa gestion à partir de la page du GQ de clan.
- Nouvelles fonctions: accès à l’assistant du jeu; classement de la puissance de la ville; progression dans les quêtes par chapitre et affichage dans l’interface; nouveaux niveaux dans l’Invasion de forteresse; historique des batailles dans la Grande course de trains; fonction pour passer les Epreuves de l’impasse; ajout d’une progression pour faire apparaître Greg; ajout d’une indication sur le nombre de quêtes restantes dans l’Exploration de Colin.
- Optimisation de l’interface: amélioration de l’interface de l’Invasion de forteresse, d’Abattez le dirigeable; fenêtres pop-up; fil d’actu des scores; packs quotidiens limités; listes de construction de la ville; exploration de la brume.</v>
      </c>
      <c r="E26" s="13" t="str">
        <f>IFERROR(__xludf.DUMMYFUNCTION("""COMPUTED_VALUE""")," - Neues Event: Wochenanfang-Geschenke in Kürze.
 - Clan-Pakete optimiert: Es gibt jetzt die Möglichkeit, Pakete anonym zu kaufen.
 - Clan-Interface optimiert: Es gibt jetzt einen Button, um den Clan zu verlassen.
 - Die Erkundung der Karte wurde optimier"&amp;"t: Es gibt jetzt eine Rangliste für freigespielten Nebel, den Prozentsatz der freigespielten Karte und Quests zum Freischalten des Nebels.
 - Kämpfer-Ausrüstung optimiert: Die grundlegenden Attribute und Fähigkeiten der Ausrüstung wurden verbessert. die A"&amp;"usrüstungsfähigkeiten sind nicht mehr auf ein bestimmtes Level festgelegt, sondern können zusammen mit der Ausrüstung aufgewertet werden.
 - Primatenkrawall optimiert: Buffs für die Ausrüstung von Kämpfern hinzugefügt.
 - Horden-Interface optimiert: Es wu"&amp;"rde eine Funktion hinzugefügt, mit der du die Horde auflösen und über die Seite des Hordenhauptquartiers verwalten kannst.
 - Neue Funktionen: Zugriff auf den Spielassistenten. Stadt-Stärke-Rangliste. Quest-Fortschritt nach Kapitel und HUD-Anzeige. neue L"&amp;"evel bei Festungsübernahme hinzugefügt. Schlachtdaten bei Großes Zugrennen hinzugefügt. Funktion zum Überspringen bei Sackgassen-Prüfungen hinzugefügt. Fortschritt beim Herbeirufen von Greg hinzugefügt. Außerdem wurde die Anzeige von Zielen in verschieden"&amp;"en Bereichen verbessert. In Colins Erkundung wurde ein Tipp hinzugefügt, der den Wert der verbleibenden Quests anzeigt.
 - Interface-Optimierungen: Verbesserte Interface-Designs für Festungsübernahme, Luftschiff-Abschuss, Kämpfer-Ausrüstung, Pop-Up-Fenste"&amp;"r, Event-Punkteticker, täglich limitierte Pakete, Stadtbaulisten, Nebel-Erkundung und mehr. ")</f>
        <v> - Neues Event: Wochenanfang-Geschenke in Kürze.
 - Clan-Pakete optimiert: Es gibt jetzt die Möglichkeit, Pakete anonym zu kaufen.
 - Clan-Interface optimiert: Es gibt jetzt einen Button, um den Clan zu verlassen.
 - Die Erkundung der Karte wurde optimiert: Es gibt jetzt eine Rangliste für freigespielten Nebel, den Prozentsatz der freigespielten Karte und Quests zum Freischalten des Nebels.
 - Kämpfer-Ausrüstung optimiert: Die grundlegenden Attribute und Fähigkeiten der Ausrüstung wurden verbessert. die Ausrüstungsfähigkeiten sind nicht mehr auf ein bestimmtes Level festgelegt, sondern können zusammen mit der Ausrüstung aufgewertet werden.
 - Primatenkrawall optimiert: Buffs für die Ausrüstung von Kämpfern hinzugefügt.
 - Horden-Interface optimiert: Es wurde eine Funktion hinzugefügt, mit der du die Horde auflösen und über die Seite des Hordenhauptquartiers verwalten kannst.
 - Neue Funktionen: Zugriff auf den Spielassistenten. Stadt-Stärke-Rangliste. Quest-Fortschritt nach Kapitel und HUD-Anzeige. neue Level bei Festungsübernahme hinzugefügt. Schlachtdaten bei Großes Zugrennen hinzugefügt. Funktion zum Überspringen bei Sackgassen-Prüfungen hinzugefügt. Fortschritt beim Herbeirufen von Greg hinzugefügt. Außerdem wurde die Anzeige von Zielen in verschiedenen Bereichen verbessert. In Colins Erkundung wurde ein Tipp hinzugefügt, der den Wert der verbleibenden Quests anzeigt.
 - Interface-Optimierungen: Verbesserte Interface-Designs für Festungsübernahme, Luftschiff-Abschuss, Kämpfer-Ausrüstung, Pop-Up-Fenster, Event-Punkteticker, täglich limitierte Pakete, Stadtbaulisten, Nebel-Erkundung und mehr. </v>
      </c>
      <c r="F26" s="13" t="str">
        <f>IFERROR(__xludf.DUMMYFUNCTION("""COMPUTED_VALUE""")," - Novo evento: ""Presentes de Começo de Semana"" em breve.
 - Pacotes de gangue otimizados: adicionada a opção de comprar pacotes anonimamente.
 - Interface de gangue otimizada: adicionado um botão para sair da gangue.
 - Exploração do mapa melhorada: ad"&amp;"icionado um placar para névoa explorada (desbloqueada), porcentagem do mapa concluído e missões de desbloqueio de névoa.
 - Melhoria no equipamento de combatente: atributos básicos e atributos de habilidade de equipamento melhorados; habilidades de equipa"&amp;"mento não tem mais um nível fixo e podem ser melhoradas junto do equipamento.
 - Melhoria em Briga Primata: adição de auxílios de equipamento de combatente.
 - Melhoria na interface do clã: adicionada uma função para dispersar o clã e acessar o gerenciame"&amp;"nto dele por meio da página ""Sede do Clã"".
 - Novas funcionalidades: acesso ao Assistente de Jogo; classificação de poder da cidade; progresso de missão por capítulo e exibição na HUD; adicionados novos níveis em ""Conquista da Fortaleza""; adicionados "&amp;"registros de batalha em ""Grande Corrida do Trem""; função ""pular"" adicionada em ""Desafios de Impasse""; adicionado o progresso para invocar Greg. Também houve uma melhoria na exibição de alvos em várias áreas. Adicionada uma dica que mostra o valor de"&amp;" missões restantes em ""Exploração de Colin"".
 - Otimização de interface: melhoria nos designs de interface para Conquista da Fortaleza, Ataque no Dirigível, equipamentos de combatente, janelas pop-up, ticker de pontuação de evento, pacotes limitados diá"&amp;"rios, listas de construção de cidade, exploração da névoa e mais. ")</f>
        <v> - Novo evento: "Presentes de Começo de Semana" em breve.
 - Pacotes de gangue otimizados: adicionada a opção de comprar pacotes anonimamente.
 - Interface de gangue otimizada: adicionado um botão para sair da gangue.
 - Exploração do mapa melhorada: adicionado um placar para névoa explorada (desbloqueada), porcentagem do mapa concluído e missões de desbloqueio de névoa.
 - Melhoria no equipamento de combatente: atributos básicos e atributos de habilidade de equipamento melhorados; habilidades de equipamento não tem mais um nível fixo e podem ser melhoradas junto do equipamento.
 - Melhoria em Briga Primata: adição de auxílios de equipamento de combatente.
 - Melhoria na interface do clã: adicionada uma função para dispersar o clã e acessar o gerenciamento dele por meio da página "Sede do Clã".
 - Novas funcionalidades: acesso ao Assistente de Jogo; classificação de poder da cidade; progresso de missão por capítulo e exibição na HUD; adicionados novos níveis em "Conquista da Fortaleza"; adicionados registros de batalha em "Grande Corrida do Trem"; função "pular" adicionada em "Desafios de Impasse"; adicionado o progresso para invocar Greg. Também houve uma melhoria na exibição de alvos em várias áreas. Adicionada uma dica que mostra o valor de missões restantes em "Exploração de Colin".
 - Otimização de interface: melhoria nos designs de interface para Conquista da Fortaleza, Ataque no Dirigível, equipamentos de combatente, janelas pop-up, ticker de pontuação de evento, pacotes limitados diários, listas de construção de cidade, exploração da névoa e mais. </v>
      </c>
      <c r="G26" s="13" t="str">
        <f>IFERROR(__xludf.DUMMYFUNCTION("""COMPUTED_VALUE"""),"-新增活動：周初好禮活動即將開啟。                                                                                
-聯盟禮包優化：新增匿名購買禮包選項。                                                                                
-聯盟主界面優化：添加了退出聯盟按鈕。                                      "&amp;"                                          
-大地圖探索優化：新增迷霧解鎖排行榜以及全圖解鎖百分比。新增迷霧解鎖任務。                                                                                
-鬥士裝備優化：增強了裝備的基礎屬性和裝備技能參數，裝備技能由固定等級調整為可隨等級升級。                                                 "&amp;"                               
-競技場優化：新增鬥士裝備增益BUFF。                                                                                                                                                            
-氏族界面優化：新增解散氏族功能，在氏族總部界面上新增氏族管理入口。            "&amp;"                                                                    
-新增功能：新增客服助手入口、新增基地戰鬥力排行榜。新增單個章節任務進度和HUD顯示。增加了堡壘對決關卡數量。新增火車競賽歷史戰績。絕地試煉新增跳過功能，新增葛列格召喚進度。強化了區域目標表現。新增科林的探索剩余任務價值提示。                                                                         "&amp;"       
-界面優化：優化了堡壘對決中、飛艇擊落戰、鬥士裝備、彈窗效果、活動積分跑馬燈、每日特惠禮包、城建列表信息、迷霧探索等的界面表現。      ")</f>
        <v>-新增活動：周初好禮活動即將開啟。                                                                                
-聯盟禮包優化：新增匿名購買禮包選項。                                                                                
-聯盟主界面優化：添加了退出聯盟按鈕。                                                                                
-大地圖探索優化：新增迷霧解鎖排行榜以及全圖解鎖百分比。新增迷霧解鎖任務。                                                                                
-鬥士裝備優化：增強了裝備的基礎屬性和裝備技能參數，裝備技能由固定等級調整為可隨等級升級。                                                                                
-競技場優化：新增鬥士裝備增益BUFF。                                                                                                                                                            
-氏族界面優化：新增解散氏族功能，在氏族總部界面上新增氏族管理入口。                                                                                
-新增功能：新增客服助手入口、新增基地戰鬥力排行榜。新增單個章節任務進度和HUD顯示。增加了堡壘對決關卡數量。新增火車競賽歷史戰績。絕地試煉新增跳過功能，新增葛列格召喚進度。強化了區域目標表現。新增科林的探索剩余任務價值提示。                                                                                
-界面優化：優化了堡壘對決中、飛艇擊落戰、鬥士裝備、彈窗效果、活動積分跑馬燈、每日特惠禮包、城建列表信息、迷霧探索等的界面表現。      </v>
      </c>
      <c r="H26" s="13" t="str">
        <f>IFERROR(__xludf.DUMMYFUNCTION("""COMPUTED_VALUE"""),"- Acara baru: Acara Hadiah Awal Minggu segera dimulai. 
- Optimalisasi Paket Geng: Penambahan opsi Beli Pake Anonimus. 
- Optimalisasi halaman Geng: Penambahan tombol untuk keluar dari Geng. 
- Optimalisasi eksplorasi peta: Penambahan Peringkat pembukaan "&amp;"kabut dan persentase pembukaan peta. Penambahan misi pembukaan kabut. 
- Optimalisasi perlengkapan Pejuang: Peningkatan atribut dasar dan parameter keahlian dari perlengkapan, dan keahlian perlengkapan telah disesuaikan dari level tetap menjadi level yang"&amp;" dapat ditingkatkan. 
- Optimalisasi Arena: Penambahan Buff untuk perlengkapan Pejuang. 
- Optimalisasi halaman Klan: Penambahan fitur pembubaran Klan, juga entri Manajemen Klan di halaman Basis Klan. 
- Fitur baru: Penambahan entri Asisten Layanan Pelang"&amp;"gan, penambahan Peringkat Kekuatan Balai Kota. Penambahan tampilan HUD dan progress misi bab. Penambahan jumlah stage Penaklukan Benteng. Penambahan rekor pertarungan Balap Kereta Hebat. Penambahan fitur skip Uji Coba Kebuntuan, penambahan progress Pemang"&amp;"gilan Greg. Peningkatan performa target wilayah. Penambahan tampilan nilai sisa misi Penjelajahan Colin. 
- Optimalisasi halaman: Optimalisasi kinerja halaman Penaklukan Benteng, Penembakan Kapal Udara, Perlengkapan Pejuang, Efek Pop-Up, Lampion Poin Acar"&amp;"a, Paket Penawaran Harian, Informasi Daftar Konstruksi, Eksplorasi Kabut, dll. ")</f>
        <v>- Acara baru: Acara Hadiah Awal Minggu segera dimulai. 
- Optimalisasi Paket Geng: Penambahan opsi Beli Pake Anonimus. 
- Optimalisasi halaman Geng: Penambahan tombol untuk keluar dari Geng. 
- Optimalisasi eksplorasi peta: Penambahan Peringkat pembukaan kabut dan persentase pembukaan peta. Penambahan misi pembukaan kabut. 
- Optimalisasi perlengkapan Pejuang: Peningkatan atribut dasar dan parameter keahlian dari perlengkapan, dan keahlian perlengkapan telah disesuaikan dari level tetap menjadi level yang dapat ditingkatkan. 
- Optimalisasi Arena: Penambahan Buff untuk perlengkapan Pejuang. 
- Optimalisasi halaman Klan: Penambahan fitur pembubaran Klan, juga entri Manajemen Klan di halaman Basis Klan. 
- Fitur baru: Penambahan entri Asisten Layanan Pelanggan, penambahan Peringkat Kekuatan Balai Kota. Penambahan tampilan HUD dan progress misi bab. Penambahan jumlah stage Penaklukan Benteng. Penambahan rekor pertarungan Balap Kereta Hebat. Penambahan fitur skip Uji Coba Kebuntuan, penambahan progress Pemanggilan Greg. Peningkatan performa target wilayah. Penambahan tampilan nilai sisa misi Penjelajahan Colin. 
- Optimalisasi halaman: Optimalisasi kinerja halaman Penaklukan Benteng, Penembakan Kapal Udara, Perlengkapan Pejuang, Efek Pop-Up, Lampion Poin Acara, Paket Penawaran Harian, Informasi Daftar Konstruksi, Eksplorasi Kabut, dll. </v>
      </c>
      <c r="I26" s="13" t="str">
        <f>IFERROR(__xludf.DUMMYFUNCTION("""COMPUTED_VALUE""")," - กิจกรรมใหม่: ของขวัญต้นสัปดาห์กำลังจะมาในเร็วๆ นี้
 - ปรับปรุงแพ็กแก๊ง: เพิ่มตัวเลือกการซื้อแพ็กแบบไม่ระบุชื่อ
 - ปรับปรุงอินเทอร์เฟซแก๊ง: เพิ่มปุ่มออกจากแก๊ง
 - ปรับปรุงการสำรวจแผนที่: เพิ่มกระดานผู้นำสำหรับการขจัดหมอก (ปลดล็อกแล้ว), เปอร์เซ็นต์การเคล"&amp;"ียร์แผนที่ และภารกิจปลดล็อกหมอก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แต่จะสามารถอัปเกรดไปพร้อมกับอุปกรณ์ได้
 - ปรับปรุงวานรวิวาท: เพิ่มบัฟอุปกรณ์นักสู้
 - ปรับปรุงอินเตอร์เ"&amp;"ฟซเผ่า: เพิ่มฟังก์ชันในการยุบเผ่าและการเข้าถึงเพื่อการจัดการผ่านทางหน้าสำนักงานใหญ่ของเผ่า
 - ฟังก์ชันใหม่: การเข้าถึงผู้ช่วยเหลือของเกม, อันดับพลังเมือง, ความคืบหน้าภารกิจตามบทและการแสดงผลบนหน้าจอ; เพิ่มการยึดป้อมปราการเลเวลใหม่, เพิ่มสถิติการต่อสู้ในการ"&amp;"แข่งขันรถไฟครั้งใหญ่, เพิ่มฟังก์ชันการข้ามในการทดสอบ ณ ทางตัน; เพิ่มความคืบหน้าของการอัญเชิญเกร็ก นอกจากนี้ยังเสริมการแสดงเป้าหมายในพื้นที่ต่าง ๆ อีกด้วย
 เพิ่มเคล็ดลับที่แสดงมูลค่าของภารกิจที่เหลือในการสำรวจของโคลิน
 - การปรับปรุงอินเทอร์เฟซ: ปรับปรุงการ"&amp;"ออกแบบอินเทอร์เฟซของการยึดป้อมปราการ, การยิงเรือเหาะ, อุปกรณ์นักสู้, หน้าต่างป็อปอัป, ตัวแสดงคะแนนกิจกรรม, แพ็กจำกัดรายวัน, รายการการก่อสร้างเมือง, การสำรวจหมอก และอื่นๆ อีกมากมาย")</f>
        <v> - กิจกรรมใหม่: ของขวัญต้นสัปดาห์กำลังจะมาในเร็วๆ นี้
 - ปรับปรุงแพ็กแก๊ง: เพิ่มตัวเลือกการซื้อแพ็กแบบไม่ระบุชื่อ
 - ปรับปรุงอินเทอร์เฟซแก๊ง: เพิ่มปุ่มออกจากแก๊ง
 - ปรับปรุงการสำรวจแผนที่: เพิ่มกระดานผู้นำสำหรับการขจัดหมอก (ปลดล็อกแล้ว), เปอร์เซ็นต์การเคลียร์แผนที่ และภารกิจปลดล็อกหมอก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แต่จะสามารถอัปเกรดไปพร้อมกับอุปกรณ์ได้
 - ปรับปรุงวานรวิวาท: เพิ่มบัฟอุปกรณ์นักสู้
 - ปรับปรุงอินเตอร์เฟซเผ่า: เพิ่มฟังก์ชันในการยุบเผ่าและการเข้าถึงเพื่อการจัดการผ่านทางหน้าสำนักงานใหญ่ของเผ่า
 - ฟังก์ชันใหม่: การเข้าถึงผู้ช่วยเหลือของเกม, อันดับพลังเมือง, ความคืบหน้าภารกิจตามบทและการแสดงผลบนหน้าจอ; เพิ่มการยึดป้อมปราการเลเวลใหม่, เพิ่มสถิติการต่อสู้ในการแข่งขันรถไฟครั้งใหญ่, เพิ่มฟังก์ชันการข้ามในการทดสอบ ณ ทางตัน; เพิ่มความคืบหน้าของการอัญเชิญเกร็ก นอกจากนี้ยังเสริมการแสดงเป้าหมายในพื้นที่ต่าง ๆ อีกด้วย
 เพิ่มเคล็ดลับที่แสดงมูลค่าของภารกิจที่เหลือในการสำรวจของโคลิน
 - การปรับปรุงอินเทอร์เฟซ: ปรับปรุงการออกแบบอินเทอร์เฟซของการยึดป้อมปราการ, การยิงเรือเหาะ, อุปกรณ์นักสู้, หน้าต่างป็อปอัป, ตัวแสดงคะแนนกิจกรรม, แพ็กจำกัดรายวัน, รายการการก่อสร้างเมือง, การสำรวจหมอก และอื่นๆ อีกมากมาย</v>
      </c>
      <c r="J26" s="13" t="str">
        <f>IFERROR(__xludf.DUMMYFUNCTION("""COMPUTED_VALUE""")," - Nuevo evento: Muy pronto llegarán los Regalos de Inicio de Semana.
 - Paquetes de Banda optimizados: Se agregó una opción para comprar paquetes de forma anónima.
 - Interfaz de Bandas optimizada: Se agregó un botón para abandonar la Banda.
 - Exploraci"&amp;"ón del mapa mejorada: Se agregó una tabla de clasificación por la niebla despejada (desbloqueada), el porcentaje del mapa despejado y las misiones de desbloqueo de la niebla.
 - Mejoras en el equipo de Luchador: Mejora en los atributos básicos y estadísti"&amp;"cas de habilidad del equipo; las habilidades del equipo ya no tendrán un nivel fijo, sino que se pueden mejorar junto con el equipo.
 - Lucha de Primates mejorada: Se agregaron mejoras de equipo de Luchador.
 - Interfaz de Clan optimizada: Se agregó una f"&amp;"unción para desbandar al Clan y acceder a su administración a través de la página del Cuartel General del Clan.
 - Nuevas funciones: Acceso al Asistente de Juego; clasificación de poder de la ciudad; progreso de las misiones por capítulo y de la pantalla "&amp;"HUD; se agregaron nuevos niveles a la Toma de la Fortaleza; se agregaron registros de batalla a la Gran Carrera del Tren; función de saltar agregada a las Pruebas de Impasse; se agregó el progreso para convocar a Greg. También se mejoró la visualización d"&amp;"e objetivos en varias áreas. Se agregó un consejo que muestra el valor de las misiones restantes en la Exploración de Colin.
 - Optimizaciones de la interfaz: Mejoras en el diseño de interface para Toma de la Fortaleza, Derribo de la Aeronave, equipos de "&amp;"Luchador, ventanas emergentes, marcador de puntuación de eventos, paquetes limitados diarios, listas de construcción de ciudades, exploración de la niebla y más. ")</f>
        <v> - Nuevo evento: Muy pronto llegarán los Regalos de Inicio de Semana.
 - Paquetes de Banda optimizados: Se agregó una opción para comprar paquetes de forma anónima.
 - Interfaz de Bandas optimizada: Se agregó un botón para abandonar la Banda.
 - Exploración del mapa mejorada: Se agregó una tabla de clasificación por la niebla despejada (desbloqueada), el porcentaje del mapa despejado y las misiones de desbloqueo de la niebla.
 - Mejoras en el equipo de Luchador: Mejora en los atributos básicos y estadísticas de habilidad del equipo; las habilidades del equipo ya no tendrán un nivel fijo, sino que se pueden mejorar junto con el equipo.
 - Lucha de Primates mejorada: Se agregaron mejoras de equipo de Luchador.
 - Interfaz de Clan optimizada: Se agregó una función para desbandar al Clan y acceder a su administración a través de la página del Cuartel General del Clan.
 - Nuevas funciones: Acceso al Asistente de Juego; clasificación de poder de la ciudad; progreso de las misiones por capítulo y de la pantalla HUD; se agregaron nuevos niveles a la Toma de la Fortaleza; se agregaron registros de batalla a la Gran Carrera del Tren; función de saltar agregada a las Pruebas de Impasse; se agregó el progreso para convocar a Greg. También se mejoró la visualización de objetivos en varias áreas. Se agregó un consejo que muestra el valor de las misiones restantes en la Exploración de Colin.
 - Optimizaciones de la interfaz: Mejoras en el diseño de interface para Toma de la Fortaleza, Derribo de la Aeronave, equipos de Luchador, ventanas emergentes, marcador de puntuación de eventos, paquetes limitados diarios, listas de construcción de ciudades, exploración de la niebla y más. </v>
      </c>
      <c r="K26" s="13" t="str">
        <f>IFERROR(__xludf.DUMMYFUNCTION("""COMPUTED_VALUE"""),"- Новое событие: скоро в игре «Подарки в начале недели».
- Оптимизированы наборы для банды: добавлена возможность анонимной покупки наборов.
- Оптимизирован интерфейс банды: добавлена кнопка для выхода из банды.
- Улучшено исследование карты: добавлены та"&amp;"блица лидеров по развеянному туману (открытой карте), процент расчищенной карты и задания, убирающие туман. 
- Улучшено снаряжение героев: улучшены базовые атрибуты снаряжения и показатели навыков. У навыков снаряжения больше нет фиксированного уровня, он"&amp;"и улучшаются вместе со снаряжением.
- Улучшена «Потасовка приматов»: добавлены усиления снаряжения героев.
- Оптимизирован интерфейс клана: добавлена функция роспуска клана и доступ к управлению кланом через экран базы клана.
- Новые функции: доступ к игр"&amp;"овому помощнику, рейтинг силы города, прогресс выполнения заданий по главам и отображение дисплея. Добавлены новые уровни в «Захвате крепости», добавлены записи боев в «Больших гонках на поездах», добавлена функция пропуска в «Испытаниях Тупика», добавлен"&amp;" прогресс для призыва Грега. Улучшено отображение целей в различных областях. Добавлена подсказка, показывающая ценность оставшихся заданий в «Исследованиях Колина».
- Оптимизация интерфейса: улучшен дизайн интерфейса для «Захвата крепости», события «Сбит"&amp;"ь дирижабль», снаряжения героев, всплывающих окон, бегущей строки результатов событий, ежедневных ограниченных наборов, списков постройки городов, исследований тумана и многого другого. ")</f>
        <v>- Новое событие: скоро в игре «Подарки в начале недели».
- Оптимизированы наборы для банды: добавлена возможность анонимной покупки наборов.
- Оптимизирован интерфейс банды: добавлена кнопка для выхода из банды.
- Улучшено исследование карты: добавлены таблица лидеров по развеянному туману (открытой карте), процент расчищенной карты и задания, убирающие туман. 
- Улучшено снаряжение героев: улучшены базовые атрибуты снаряжения и показатели навыков. У навыков снаряжения больше нет фиксированного уровня, они улучшаются вместе со снаряжением.
- Улучшена «Потасовка приматов»: добавлены усиления снаряжения героев.
- Оптимизирован интерфейс клана: добавлена функция роспуска клана и доступ к управлению кланом через экран базы клана.
- Новые функции: доступ к игровому помощнику, рейтинг силы города, прогресс выполнения заданий по главам и отображение дисплея. Добавлены новые уровни в «Захвате крепости», добавлены записи боев в «Больших гонках на поездах», добавлена функция пропуска в «Испытаниях Тупика», добавлен прогресс для призыва Грега. Улучшено отображение целей в различных областях. Добавлена подсказка, показывающая ценность оставшихся заданий в «Исследованиях Колина».
- Оптимизация интерфейса: улучшен дизайн интерфейса для «Захвата крепости», события «Сбить дирижабль», снаряжения героев, всплывающих окон, бегущей строки результатов событий, ежедневных ограниченных наборов, списков постройки городов, исследований тумана и многого другого. </v>
      </c>
      <c r="L26" s="13" t="str">
        <f>IFERROR(__xludf.DUMMYFUNCTION("""COMPUTED_VALUE""")," - Yeni etkinlik: Hafta Başı Hediyeleri yakında geliyor.
 - Çete paketleri optimize edildi: Anonim olarak paket alma seçeneği eklendi.
 - Çete arayüzü optimize edildi: Çeteden ayrılma düğmesi eklendi.
 - Harita keşfi geliştirildi: Sis dağıtma (kilidini aç"&amp;"ma) liderlik tablosu, harita açma yüzdesi ve sisin kilidi açan görevler eklendi.
 - Savaşçı ekipmanı geliştirildi: Ekipmanın temel nitelikleri ve beceri özellikleri geliştirildi; ekipman becerilerinin artık sabit bir seviyesi olmayacak, beceriler ekipmanl"&amp;"a birlikte yükseltilebilecek.
 - Primat Kavgası geliştirildi: Savaşçı ekipman güçlendirmeleri eklendi.
 - Klan arayüzü optimize edildi: Klan Genel Merkezi sayfasına Klanı dağıtma ve Klanı yönetme özelliği eklendi.
 - Yeni özellikler: Oyun Yardımcısına eri"&amp;"şim; şehir güç sıralaması; bölüme göre görev ilerleme durumu ve HUD görünümü; Kaleyi Ele Geçirme için yeni seviyeler; Büyük Tren Yarışı için savaş kayıtları; Çıkmaz Durum Denemelerini atlama özelliği; Greg'i çağırma ilerleme durumu. Pek çok bölgede hedefl"&amp;"erin görüntüsü geliştirildi. Colin'in Keşfinde kalan görevlerin değerini gösteren bir ipucu eklendi.
 - Arayüz optimizasyonları: Kaleyi Ele Geçirme, Zeplin Vurma, Savaşçı ekipmanları, açılır pencereler, etkinlik skoru takibi, günlük sınırlı paketler, şehi"&amp;"r inşa listesi, sis keşfi ve daha fazlası için geliştirilmiş arayüz tasarımları. ")</f>
        <v> - Yeni etkinlik: Hafta Başı Hediyeleri yakında geliyor.
 - Çete paketleri optimize edildi: Anonim olarak paket alma seçeneği eklendi.
 - Çete arayüzü optimize edildi: Çeteden ayrılma düğmesi eklendi.
 - Harita keşfi geliştirildi: Sis dağıtma (kilidini açma) liderlik tablosu, harita açma yüzdesi ve sisin kilidi açan görevler eklendi.
 - Savaşçı ekipmanı geliştirildi: Ekipmanın temel nitelikleri ve beceri özellikleri geliştirildi; ekipman becerilerinin artık sabit bir seviyesi olmayacak, beceriler ekipmanla birlikte yükseltilebilecek.
 - Primat Kavgası geliştirildi: Savaşçı ekipman güçlendirmeleri eklendi.
 - Klan arayüzü optimize edildi: Klan Genel Merkezi sayfasına Klanı dağıtma ve Klanı yönetme özelliği eklendi.
 - Yeni özellikler: Oyun Yardımcısına erişim; şehir güç sıralaması; bölüme göre görev ilerleme durumu ve HUD görünümü; Kaleyi Ele Geçirme için yeni seviyeler; Büyük Tren Yarışı için savaş kayıtları; Çıkmaz Durum Denemelerini atlama özelliği; Greg'i çağırma ilerleme durumu. Pek çok bölgede hedeflerin görüntüsü geliştirildi. Colin'in Keşfinde kalan görevlerin değerini gösteren bir ipucu eklendi.
 - Arayüz optimizasyonları: Kaleyi Ele Geçirme, Zeplin Vurma, Savaşçı ekipmanları, açılır pencereler, etkinlik skoru takibi, günlük sınırlı paketler, şehir inşa listesi, sis keşfi ve daha fazlası için geliştirilmiş arayüz tasarımları. </v>
      </c>
      <c r="M26" s="13" t="str">
        <f>IFERROR(__xludf.DUMMYFUNCTION("""COMPUTED_VALUE"""),"- Sự Kiện Mới: Sự kiện Quà Đầu Tuần sắp mở. 
- Tối ưu Gói Quà Liên Minh: Thêm tuỳ chọn mua gói quà ẩn danh 
- Tối ưu giao diện chính của Liên Minh: Thêm nút Rời Khỏi Liên Minh. 
- Tối ưu khám phá bản đồ: Thêm bảng xếp hạng mở khóa sương mù cùng tỷ lệ phần"&amp;" trăm mở khóa toàn bản đồ. Thêm nhiệm vụ mở khoá sương mù. 
- Tối ưu trang bị Chiến Binh: Tăng cường thuộc tính cơ bản của trang bị và tham số kỹ năng trang bị, kỹ năng trang bị được điều chỉnh từ cấp cố định thành có thể nâng theo cấp. 
- Tối ưu Đấu Trườ"&amp;"ng: Thêm BUFF trang bị Chiến Binh. 
- Tối ưu giao diện Bộ Lạc: Thêm tính năng giải tán Bộ Lạc, thêm Lối vào Quản Lý Bộ Lạc trên giao diện Trụ Sở Chính Bộ Lạc. 
- Tính năng mới: Thêm Lối vào Hỗ Trợ Khách Hàng, thêm BXH Chiến Lực Thành Phố Thêm tiến độ nhiệ"&amp;"m vụ từng giai đoạn và hiển thị HUD. Thêm số lượng Ải Tiếp Quản Pháo Đài. Thêm Thành Tích Trận Chiến Đường Đua Xe Lửa. Thí Luyện Tuyệt Địa thêm tính năng Bỏ Qua, thêm tiến độ triệu hồi Greg. Cường hoá thể hiện mục tiêu khu vực. Thêm nhắc nhở giá trị phần "&amp;"thưởng nhiệm vụ Khám Phá Của Colin còn lại. 
- Tối ưu giao diện: Tối ưu các giao diện Tiếp Quản Pháo Đài, Bắn Hạ Tàu Bay, Trang Bị Chiến Binh, Hiệu ứng cửa sổ bật lên, điểm sự kiện Đèn Nhấp Nháy, Gói Ưu Đãi Hàng Ngày, thông tin danh sách xây dựng, Khám Ph"&amp;"á Sương Mù. ")</f>
        <v>- Sự Kiện Mới: Sự kiện Quà Đầu Tuần sắp mở. 
- Tối ưu Gói Quà Liên Minh: Thêm tuỳ chọn mua gói quà ẩn danh 
- Tối ưu giao diện chính của Liên Minh: Thêm nút Rời Khỏi Liên Minh. 
- Tối ưu khám phá bản đồ: Thêm bảng xếp hạng mở khóa sương mù cùng tỷ lệ phần trăm mở khóa toàn bản đồ. Thêm nhiệm vụ mở khoá sương mù. 
- Tối ưu trang bị Chiến Binh: Tăng cường thuộc tính cơ bản của trang bị và tham số kỹ năng trang bị, kỹ năng trang bị được điều chỉnh từ cấp cố định thành có thể nâng theo cấp. 
- Tối ưu Đấu Trường: Thêm BUFF trang bị Chiến Binh. 
- Tối ưu giao diện Bộ Lạc: Thêm tính năng giải tán Bộ Lạc, thêm Lối vào Quản Lý Bộ Lạc trên giao diện Trụ Sở Chính Bộ Lạc. 
- Tính năng mới: Thêm Lối vào Hỗ Trợ Khách Hàng, thêm BXH Chiến Lực Thành Phố Thêm tiến độ nhiệm vụ từng giai đoạn và hiển thị HUD. Thêm số lượng Ải Tiếp Quản Pháo Đài. Thêm Thành Tích Trận Chiến Đường Đua Xe Lửa. Thí Luyện Tuyệt Địa thêm tính năng Bỏ Qua, thêm tiến độ triệu hồi Greg. Cường hoá thể hiện mục tiêu khu vực. Thêm nhắc nhở giá trị phần thưởng nhiệm vụ Khám Phá Của Colin còn lại. 
- Tối ưu giao diện: Tối ưu các giao diện Tiếp Quản Pháo Đài, Bắn Hạ Tàu Bay, Trang Bị Chiến Binh, Hiệu ứng cửa sổ bật lên, điểm sự kiện Đèn Nhấp Nháy, Gói Ưu Đãi Hàng Ngày, thông tin danh sách xây dựng, Khám Phá Sương Mù. </v>
      </c>
      <c r="N26" s="13"/>
      <c r="O26" s="105"/>
      <c r="P26" s="105"/>
      <c r="Q26" s="148"/>
      <c r="R26" s="148"/>
      <c r="S26" s="148"/>
      <c r="T26" s="148"/>
      <c r="U26" s="148"/>
      <c r="V26" s="148"/>
      <c r="W26" s="148"/>
      <c r="X26" s="148"/>
      <c r="Y26" s="148"/>
      <c r="Z26" s="148"/>
    </row>
    <row r="27">
      <c r="A27" s="149" t="str">
        <f>IFERROR(__xludf.DUMMYFUNCTION("""COMPUTED_VALUE"""),"0.45.5")</f>
        <v>0.45.5</v>
      </c>
      <c r="B27" s="13" t="str">
        <f>IFERROR(__xludf.DUMMYFUNCTION("""COMPUTED_VALUE"""),"-斗士装备优化：增强了装备的基础属性和装备技能参数，装备技能由固定等级调整为可随等级升级。
-对主城建筑（含皮肤）进行了3D化迭代。")</f>
        <v>-斗士装备优化：增强了装备的基础属性和装备技能参数，装备技能由固定等级调整为可随等级升级。
-对主城建筑（含皮肤）进行了3D化迭代。</v>
      </c>
      <c r="C27" s="13" t="str">
        <f>IFERROR(__xludf.DUMMYFUNCTION("""COMPUTED_VALUE"""),"- Fighter equipment improved: enhanced equipment's basic attributes and skill stats; equipment skills are no longer at a fixed level but can be upgraded along with the equipment.
- Also completed the 3D modeling iteration of city buildings (including City"&amp;" Hall skins).")</f>
        <v>- Fighter equipment improved: enhanced equipment's basic attributes and skill stats; equipment skills are no longer at a fixed level but can be upgraded along with the equipment.
- Also completed the 3D modeling iteration of city buildings (including City Hall skins).</v>
      </c>
      <c r="D27" s="157" t="str">
        <f>IFERROR(__xludf.DUMMYFUNCTION("""COMPUTED_VALUE"""),"- Amélioration de la Baston des primates: ajout de boosts liés à l’équipement des combattants.
- Modélisation 3D des bâtiments de la ville (notamment les skins de l’hôtel de ville).")</f>
        <v>- Amélioration de la Baston des primates: ajout de boosts liés à l’équipement des combattants.
- Modélisation 3D des bâtiments de la ville (notamment les skins de l’hôtel de ville).</v>
      </c>
      <c r="E27" s="13" t="str">
        <f>IFERROR(__xludf.DUMMYFUNCTION("""COMPUTED_VALUE""")," - Kämpfer-Ausrüstung optimiert: Die grundlegenden Attribute und Fähigkeiten der Ausrüstung wurden verbessert. die Ausrüstungsfähigkeiten sind nicht mehr auf ein bestimmtes Level festgelegt, sondern können zusammen mit der Ausrüstung aufgewertet werden.
-"&amp;" Außerdem wurde die 3D-Modellierung der Gebäude in der Stadt abgeschlossen (einschließlich Rathaus-Skins).")</f>
        <v> - Kämpfer-Ausrüstung optimiert: Die grundlegenden Attribute und Fähigkeiten der Ausrüstung wurden verbessert. die Ausrüstungsfähigkeiten sind nicht mehr auf ein bestimmtes Level festgelegt, sondern können zusammen mit der Ausrüstung aufgewertet werden.
- Außerdem wurde die 3D-Modellierung der Gebäude in der Stadt abgeschlossen (einschließlich Rathaus-Skins).</v>
      </c>
      <c r="F27" s="13" t="str">
        <f>IFERROR(__xludf.DUMMYFUNCTION("""COMPUTED_VALUE""")," - Melhoria no equipamento de combatente: atributos básicos e atributos de habilidade de equipamento melhorados; habilidades de equipamento não tem mais um nível fixo e podem ser melhoradas junto do equipamento.
 - Além disso, foi concluída a iteração de "&amp;"modelagem 3D de estruturas da cidade (incluindo skins de prefeitura).")</f>
        <v> - Melhoria no equipamento de combatente: atributos básicos e atributos de habilidade de equipamento melhorados; habilidades de equipamento não tem mais um nível fixo e podem ser melhoradas junto do equipamento.
 - Além disso, foi concluída a iteração de modelagem 3D de estruturas da cidade (incluindo skins de prefeitura).</v>
      </c>
      <c r="G27" s="13" t="str">
        <f>IFERROR(__xludf.DUMMYFUNCTION("""COMPUTED_VALUE"""),"-鬥士裝備優化：增強了裝備的基礎屬性和裝備技能參數，裝備技能由固定等級調整為可隨等級升級。
-對主城建築（含皮膚）進行了3D化叠代。")</f>
        <v>-鬥士裝備優化：增強了裝備的基礎屬性和裝備技能參數，裝備技能由固定等級調整為可隨等級升級。
-對主城建築（含皮膚）進行了3D化叠代。</v>
      </c>
      <c r="H27" s="13" t="str">
        <f>IFERROR(__xludf.DUMMYFUNCTION("""COMPUTED_VALUE"""),"- Optimalisasi perlengkapan Pejuang: Peningkatan atribut dasar dan parameter keahlian dari perlengkapan, dan keahlian perlengkapan telah disesuaikan dari level tetap menjadi level yang dapat ditingkatkan. 
- Iterasi 3D untuk bangunan kota (termasuk skin).")</f>
        <v>- Optimalisasi perlengkapan Pejuang: Peningkatan atribut dasar dan parameter keahlian dari perlengkapan, dan keahlian perlengkapan telah disesuaikan dari level tetap menjadi level yang dapat ditingkatkan. 
- Iterasi 3D untuk bangunan kota (termasuk skin).</v>
      </c>
      <c r="I27" s="13" t="str">
        <f>IFERROR(__xludf.DUMMYFUNCTION("""COMPUTED_VALUE"""),"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แต่จะสามารถอัปเกรดไปพร้อมกับอุปกรณ์ได้
- นอกจากนี้ยังทำซ้ำแบบจำลอง 3 มิติของสิ่งปลูกสร้างในเมืองเสร็จสิ้นแล้วด้วย (รวมถึงสกินศาลากลาง)")</f>
        <v>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แต่จะสามารถอัปเกรดไปพร้อมกับอุปกรณ์ได้
- นอกจากนี้ยังทำซ้ำแบบจำลอง 3 มิติของสิ่งปลูกสร้างในเมืองเสร็จสิ้นแล้วด้วย (รวมถึงสกินศาลากลาง)</v>
      </c>
      <c r="J27" s="13" t="str">
        <f>IFERROR(__xludf.DUMMYFUNCTION("""COMPUTED_VALUE""")," - Mejoras en el equipo de Luchador: Mejora en los atributos básicos y estadísticas de habilidad del equipo; las habilidades del equipo ya no tendrán un nivel fijo, sino que se pueden mejorar junto con el equipo.
- También se completó la iteración de mode"&amp;"lado 3D de los edificios de la ciudad (incluidas las texturas para el Ayuntamiento).")</f>
        <v> - Mejoras en el equipo de Luchador: Mejora en los atributos básicos y estadísticas de habilidad del equipo; las habilidades del equipo ya no tendrán un nivel fijo, sino que se pueden mejorar junto con el equipo.
- También se completó la iteración de modelado 3D de los edificios de la ciudad (incluidas las texturas para el Ayuntamiento).</v>
      </c>
      <c r="K27" s="13" t="str">
        <f>IFERROR(__xludf.DUMMYFUNCTION("""COMPUTED_VALUE"""),"- Улучшено снаряжение героев: улучшены базовые атрибуты снаряжения и показатели навыков. У навыков снаряжения больше нет фиксированного уровня, они улучшаются вместе со снаряжением.
- Также завершен этап 3D-моделирования городских зданий (включая облики г"&amp;"ородского совета).")</f>
        <v>- Улучшено снаряжение героев: улучшены базовые атрибуты снаряжения и показатели навыков. У навыков снаряжения больше нет фиксированного уровня, они улучшаются вместе со снаряжением.
- Также завершен этап 3D-моделирования городских зданий (включая облики городского совета).</v>
      </c>
      <c r="L27" s="13" t="str">
        <f>IFERROR(__xludf.DUMMYFUNCTION("""COMPUTED_VALUE""")," - Savaşçı ekipmanı geliştirildi: Ekipmanın temel nitelikleri ve beceri özellikleri geliştirildi; ekipman becerilerinin artık sabit bir seviyesi olmayacak, beceriler ekipmanla birlikte yükseltilebilecek.
- Ayrıca şehir binalarının üç boyutlu versiyonların"&amp;"ın modellemesi (Meclis görünümleri dahil) tamamlandı.")</f>
        <v> - Savaşçı ekipmanı geliştirildi: Ekipmanın temel nitelikleri ve beceri özellikleri geliştirildi; ekipman becerilerinin artık sabit bir seviyesi olmayacak, beceriler ekipmanla birlikte yükseltilebilecek.
- Ayrıca şehir binalarının üç boyutlu versiyonlarının modellemesi (Meclis görünümleri dahil) tamamlandı.</v>
      </c>
      <c r="M27" s="13" t="str">
        <f>IFERROR(__xludf.DUMMYFUNCTION("""COMPUTED_VALUE"""),"- Tối ưu trang bị Chiến Binh: Tăng cường thuộc tính cơ bản của trang bị và tham số kỹ năng trang bị, kỹ năng trang bị được điều chỉnh từ cấp cố định thành có thể nâng theo cấp. 
- Đối với Công Trình Thành Phố (gồm cả giao diện) tiến hành thay thế 3D.")</f>
        <v>- Tối ưu trang bị Chiến Binh: Tăng cường thuộc tính cơ bản của trang bị và tham số kỹ năng trang bị, kỹ năng trang bị được điều chỉnh từ cấp cố định thành có thể nâng theo cấp. 
- Đối với Công Trình Thành Phố (gồm cả giao diện) tiến hành thay thế 3D.</v>
      </c>
      <c r="N27" s="13"/>
      <c r="O27" s="148"/>
      <c r="P27" s="148"/>
      <c r="Q27" s="148"/>
      <c r="R27" s="148"/>
      <c r="S27" s="148"/>
      <c r="T27" s="148"/>
      <c r="U27" s="148"/>
      <c r="V27" s="148"/>
      <c r="W27" s="148"/>
      <c r="X27" s="148"/>
      <c r="Y27" s="148"/>
      <c r="Z27" s="148"/>
    </row>
    <row r="28">
      <c r="A28" s="149" t="str">
        <f>IFERROR(__xludf.DUMMYFUNCTION("""COMPUTED_VALUE"""),"0.45.10")</f>
        <v>0.45.10</v>
      </c>
      <c r="B28" s="13" t="str">
        <f>IFERROR(__xludf.DUMMYFUNCTION("""COMPUTED_VALUE"""),"-新增节日活动：遗迹探索活动即将开启，参与活动，赢取节日限定装饰和其他丰富奖励。")</f>
        <v>-新增节日活动：遗迹探索活动即将开启，参与活动，赢取节日限定装饰和其他丰富奖励。</v>
      </c>
      <c r="C28" s="13" t="str">
        <f>IFERROR(__xludf.DUMMYFUNCTION("""COMPUTED_VALUE"""),"- New special occasion event: Ruin Excavation coming soon! Participate to win a limited-edition decoration and other amazing rewards!")</f>
        <v>- New special occasion event: Ruin Excavation coming soon! Participate to win a limited-edition decoration and other amazing rewards!</v>
      </c>
      <c r="D28" s="13" t="str">
        <f>IFERROR(__xludf.DUMMYFUNCTION("""COMPUTED_VALUE"""),"- Nouvel évènement à venir: les Cadeaux du début de semaine.")</f>
        <v>- Nouvel évènement à venir: les Cadeaux du début de semaine.</v>
      </c>
      <c r="E28" s="13" t="str">
        <f>IFERROR(__xludf.DUMMYFUNCTION("""COMPUTED_VALUE"""),"- Neues besonderes Event: ""Ruinenausgrabung"" kommt bald! Nimm teil und gewinne eine limitierte Dekoration und andere tolle Belohnungen!")</f>
        <v>- Neues besonderes Event: "Ruinenausgrabung" kommt bald! Nimm teil und gewinne eine limitierte Dekoration und andere tolle Belohnungen!</v>
      </c>
      <c r="F28" s="13" t="str">
        <f>IFERROR(__xludf.DUMMYFUNCTION("""COMPUTED_VALUE""")," - Novo evento especial: Escavação de Ruínas chega em breve! Participe para ganhar decorações de edição limitada e outras recompensas incríveis!")</f>
        <v> - Novo evento especial: Escavação de Ruínas chega em breve! Participe para ganhar decorações de edição limitada e outras recompensas incríveis!</v>
      </c>
      <c r="G28" s="13" t="str">
        <f>IFERROR(__xludf.DUMMYFUNCTION("""COMPUTED_VALUE"""),"-新增節日活動：遺跡探索活動即將開啟，參與活動，贏取節日限定裝飾和其他豐富獎勵。")</f>
        <v>-新增節日活動：遺跡探索活動即將開啟，參與活動，贏取節日限定裝飾和其他豐富獎勵。</v>
      </c>
      <c r="H28" s="13" t="str">
        <f>IFERROR(__xludf.DUMMYFUNCTION("""COMPUTED_VALUE"""),"- Acara Liburan baru: Acara Eksplorasi Reruntuhan segera dimulai, partisipasi acara dan menangkan dekorasi terbatas serta hadiah mewah lainnya.")</f>
        <v>- Acara Liburan baru: Acara Eksplorasi Reruntuhan segera dimulai, partisipasi acara dan menangkan dekorasi terbatas serta hadiah mewah lainnya.</v>
      </c>
      <c r="I28" s="13" t="str">
        <f>IFERROR(__xludf.DUMMYFUNCTION("""COMPUTED_VALUE"""),"- กิจกรรมโอกาสพิเศษใหม่: การขุดค้นซากปรักหักพังกำลังจะมาในเร็ว ๆ นี้! เข้าร่วมเพื่อรับอุปกรณ์ตกแต่งรุ่นพิเศษและรางวัลอันน่าทึ่งอื่นๆ อีกมากมาย!")</f>
        <v>- กิจกรรมโอกาสพิเศษใหม่: การขุดค้นซากปรักหักพังกำลังจะมาในเร็ว ๆ นี้! เข้าร่วมเพื่อรับอุปกรณ์ตกแต่งรุ่นพิเศษและรางวัลอันน่าทึ่งอื่นๆ อีกมากมาย!</v>
      </c>
      <c r="J28" s="13" t="str">
        <f>IFERROR(__xludf.DUMMYFUNCTION("""COMPUTED_VALUE"""),"- Nuevo evento de ocasión especial: ¡Excavación de Ruinas próximamente! ¡Participa para ganar una decoración de edición limitada y otras increíbles recompensas!")</f>
        <v>- Nuevo evento de ocasión especial: ¡Excavación de Ruinas próximamente! ¡Participa para ganar una decoración de edición limitada y otras increíbles recompensas!</v>
      </c>
      <c r="K28" s="13" t="str">
        <f>IFERROR(__xludf.DUMMYFUNCTION("""COMPUTED_VALUE"""),"- Новое событие по особому случаю: скоро в игре «Раскопки руин»! Участвуйте в событии, чтобы выиграть украшения ограниченного выпуска и другие удивительные награды!")</f>
        <v>- Новое событие по особому случаю: скоро в игре «Раскопки руин»! Участвуйте в событии, чтобы выиграть украшения ограниченного выпуска и другие удивительные награды!</v>
      </c>
      <c r="L28" s="13" t="str">
        <f>IFERROR(__xludf.DUMMYFUNCTION("""COMPUTED_VALUE"""),"- Yeni özel etkinlik: Harabe Kazısı yakında geliyor! Sen de katıl, sınırlı sayıda dekorasyon ödülü ve diğer harika ödüller senin olsun!")</f>
        <v>- Yeni özel etkinlik: Harabe Kazısı yakında geliyor! Sen de katıl, sınırlı sayıda dekorasyon ödülü ve diğer harika ödüller senin olsun!</v>
      </c>
      <c r="M28" s="13" t="str">
        <f>IFERROR(__xludf.DUMMYFUNCTION("""COMPUTED_VALUE"""),"- Sự Kiện Ngày Lễ Mới: Sự kiện Thám Hiểm Tàn Tích sắp mở, tham gia sự kiện, giành được vật phẩm trang trí &amp; phần thưởng đặc biệt trong các sự kiện ngày lễ. ")</f>
        <v>- Sự Kiện Ngày Lễ Mới: Sự kiện Thám Hiểm Tàn Tích sắp mở, tham gia sự kiện, giành được vật phẩm trang trí &amp; phần thưởng đặc biệt trong các sự kiện ngày lễ. </v>
      </c>
      <c r="N28" s="13"/>
      <c r="O28" s="148"/>
      <c r="P28" s="148"/>
      <c r="Q28" s="148"/>
      <c r="R28" s="148"/>
      <c r="S28" s="148"/>
      <c r="T28" s="148"/>
      <c r="U28" s="148"/>
      <c r="V28" s="148"/>
      <c r="W28" s="148"/>
      <c r="X28" s="148"/>
      <c r="Y28" s="148"/>
      <c r="Z28" s="148"/>
    </row>
    <row r="29" ht="91.5" customHeight="1">
      <c r="A29" s="149" t="str">
        <f>IFERROR(__xludf.DUMMYFUNCTION("""COMPUTED_VALUE"""),"0.46.0")</f>
        <v>0.46.0</v>
      </c>
      <c r="B29" s="158" t="str">
        <f>IFERROR(__xludf.DUMMYFUNCTION("""COMPUTED_VALUE"""),"-新增玩法：围剿变异猴即将来临！与你的朋友们组队，协力消灭变异猴群！
-新增好友系统：您可以将关系好的猴子加为好友，并和他们保持联系和互动！
-新增斗士：灵魂收割者—肯，一个脚踩高跷、身披长袍，浑身散发着神秘气息的荒野猴。
-新增建筑：战装车间，可以更方便地制造和管理您的战装。
-决战卫星之巅优化：每个联盟可以组织多只队伍参加竞赛了！
-帮派优化：新增帮派等级以及对应的奖励。
-斗士天赋突破优化：部分斗士在天赋突破后可获得对应斗士雕像，斗士雕像可提供优秀的buff。
-展览馆新增功能：提升你的展台等级并获"&amp;"取可观的每日收益吧！
-界面及体验优化：酒馆交互优化、邮件领取体验优化等。")</f>
        <v>-新增玩法：围剿变异猴即将来临！与你的朋友们组队，协力消灭变异猴群！
-新增好友系统：您可以将关系好的猴子加为好友，并和他们保持联系和互动！
-新增斗士：灵魂收割者—肯，一个脚踩高跷、身披长袍，浑身散发着神秘气息的荒野猴。
-新增建筑：战装车间，可以更方便地制造和管理您的战装。
-决战卫星之巅优化：每个联盟可以组织多只队伍参加竞赛了！
-帮派优化：新增帮派等级以及对应的奖励。
-斗士天赋突破优化：部分斗士在天赋突破后可获得对应斗士雕像，斗士雕像可提供优秀的buff。
-展览馆新增功能：提升你的展台等级并获取可观的每日收益吧！
-界面及体验优化：酒馆交互优化、邮件领取体验优化等。</v>
      </c>
      <c r="C29" s="158" t="str">
        <f>IFERROR(__xludf.DUMMYFUNCTION("""COMPUTED_VALUE"""),"- New gameplay: Operation Mutants coming soon! Team up with your friends and work together to defeat the Mutants!
- New friends feature: Add players as your friends. Interact and stay in touch!
- New Fighter: Ken, the Reaper of Souls. A mysterious wildl"&amp;"and monkey who walks on stilts and wears dark robes.
- New building: Equipment Factory. Makes producing and managing your equipment much more convenient!
- Astral Coliseum optimized: Now each Gang can have multiple teams participate in the competition!
"&amp;"
- Gangs optimized: Added levels and corresponding rewards to Gangs.
- Fighter Talent Leap optimized: Some Fighters now get a statue of themself when they complete a Talent Leap. These statues provide excellent boosts.
- New function in Wonder Emporium:"&amp;" Upgrade your display booths and get income rewards every day.
- Interface and user experience improvements: Optimized interaction design for the Tavern, receiving messages, etc.")</f>
        <v>- New gameplay: Operation Mutants coming soon! Team up with your friends and work together to defeat the Mutants!
- New friends feature: Add players as your friends. Interact and stay in touch!
- New Fighter: Ken, the Reaper of Souls. A mysterious wildland monkey who walks on stilts and wears dark robes.
- New building: Equipment Factory. Makes producing and managing your equipment much more convenient!
- Astral Coliseum optimized: Now each Gang can have multiple teams participate in the competition!
- Gangs optimized: Added levels and corresponding rewards to Gangs.
- Fighter Talent Leap optimized: Some Fighters now get a statue of themself when they complete a Talent Leap. These statues provide excellent boosts.
- New function in Wonder Emporium: Upgrade your display booths and get income rewards every day.
- Interface and user experience improvements: Optimized interaction design for the Tavern, receiving messages, etc.</v>
      </c>
      <c r="D29" s="159" t="str">
        <f>IFERROR(__xludf.DUMMYFUNCTION("""COMPUTED_VALUE"""),"- Nouveau gameplay: l'Opération mutants arrive bientôt! Réunissez vos amis pour venir ensemble à bout des mutants!
- Nouvelle fonctionnalité ""amis"": ajoutez des joueurs à votre liste d'amis. Vous pouvez interagir et rester en contact!
- Nouveau combatta"&amp;"nt: Ken, faucheur d'âmes. Un mystérieux singe des marais qui se déplace sur des échasses et porte une longue robe noire.
- Nouveau bâtiment: l'usine d'équipements. Produire et gérer votre équipement est maintenant un jeu d'enfant!
- Optimisation du Colisé"&amp;"e astral: plusieurs équipes d'un même gang peuvent désormais participer!
- Optimisation des gangs: plus de niveaux et de récompenses pour les gangs.
- Optimisation de l'impulsion de talent: certains combattants obtiennent une statue à leur effigie après a"&amp;"voir terminé une impulsion de talent. Ces statues octroient des bonus puissants.
- Nouvelle fonctionnalité dans la halle aux merveilles: améliorez vos stands et obtenez des revenus quotidiens.
- Optimisation de l'interface et de l'expérience utilisateur: "&amp;"nouveaux designs pour les interactions dans la taverne, la messagerie, etc.")</f>
        <v>- Nouveau gameplay: l'Opération mutants arrive bientôt! Réunissez vos amis pour venir ensemble à bout des mutants!
- Nouvelle fonctionnalité "amis": ajoutez des joueurs à votre liste d'amis. Vous pouvez interagir et rester en contact!
- Nouveau combattant: Ken, faucheur d'âmes. Un mystérieux singe des marais qui se déplace sur des échasses et porte une longue robe noire.
- Nouveau bâtiment: l'usine d'équipements. Produire et gérer votre équipement est maintenant un jeu d'enfant!
- Optimisation du Colisée astral: plusieurs équipes d'un même gang peuvent désormais participer!
- Optimisation des gangs: plus de niveaux et de récompenses pour les gangs.
- Optimisation de l'impulsion de talent: certains combattants obtiennent une statue à leur effigie après avoir terminé une impulsion de talent. Ces statues octroient des bonus puissants.
- Nouvelle fonctionnalité dans la halle aux merveilles: améliorez vos stands et obtenez des revenus quotidiens.
- Optimisation de l'interface et de l'expérience utilisateur: nouveaux designs pour les interactions dans la taverne, la messagerie, etc.</v>
      </c>
      <c r="E29" s="44" t="str">
        <f>IFERROR(__xludf.DUMMYFUNCTION("""COMPUTED_VALUE"""),"- Neues Gameplay: Operation Mutanten kommt bald! Schließe dich mit deinen Freunden zusammen, um die Mutanten zu besiegen!
 - Neue Freundschaftsfunktion: Füge Spieler als deine Freunde hinzu. Interagiere und bleibe in Kontakt!
 - Neuer Kämpfer: Ken, der Se"&amp;"nsenmann der Seelen. Ein geheimnisvoller Affe aus der Wildnis, der auf Stelzen geht und dunkle Gewänder trägt.
 - Neues Gebäude: Ausrüstungsfabrik. Erleichtert die Herstellung und Verwaltung deiner Ausrüstung!
 - Astral-Kolosseum optimiert: Jeder Clan kan"&amp;"n jetzt mehrere Teams am Wettstreit teilnehmen lassen!
 - Clans optimiert: Den Clans wurden Level und entsprechende Belohnungen hinzugefügt.
 - Kämpfer-Talentsprünge optimiert: Einige Kämpfer erhalten jetzt eine Statue von sich selbst, wenn sie einen Tale"&amp;"ntsprung erfolgreich abschließen. Diese Statuen bieten hervorragende Boosts.
 - Neue Funktion im Wunderladen: Werte deine Ausstellungsstände auf und erhalte jeden Tag Belohnungen.
 - Verbesserungen der Benutzeroberfläche und des Benutzererlebnisses: Optim"&amp;"iertes Interaktionsdesign für die Taverne, den Empfang von Nachrichten usw.")</f>
        <v>- Neues Gameplay: Operation Mutanten kommt bald! Schließe dich mit deinen Freunden zusammen, um die Mutanten zu besiegen!
 - Neue Freundschaftsfunktion: Füge Spieler als deine Freunde hinzu. Interagiere und bleibe in Kontakt!
 - Neuer Kämpfer: Ken, der Sensenmann der Seelen. Ein geheimnisvoller Affe aus der Wildnis, der auf Stelzen geht und dunkle Gewänder trägt.
 - Neues Gebäude: Ausrüstungsfabrik. Erleichtert die Herstellung und Verwaltung deiner Ausrüstung!
 - Astral-Kolosseum optimiert: Jeder Clan kann jetzt mehrere Teams am Wettstreit teilnehmen lassen!
 - Clans optimiert: Den Clans wurden Level und entsprechende Belohnungen hinzugefügt.
 - Kämpfer-Talentsprünge optimiert: Einige Kämpfer erhalten jetzt eine Statue von sich selbst, wenn sie einen Talentsprung erfolgreich abschließen. Diese Statuen bieten hervorragende Boosts.
 - Neue Funktion im Wunderladen: Werte deine Ausstellungsstände auf und erhalte jeden Tag Belohnungen.
 - Verbesserungen der Benutzeroberfläche und des Benutzererlebnisses: Optimiertes Interaktionsdesign für die Taverne, den Empfang von Nachrichten usw.</v>
      </c>
      <c r="F29" s="159" t="str">
        <f>IFERROR(__xludf.DUMMYFUNCTION("""COMPUTED_VALUE"""),"- Novo modo de jogo: Operação Mutantes chega em breve! Una-se a seus amigos e trabalhem juntos para derrotar mutantes!
 - Novo recurso de amigos: adicione jogadores como seus amigos. Interaja e mantenha contato!
 - Novo combatente: Ken, o Ceifador de Alma"&amp;"s. Um macaco misterioso que perambula usando pernas-de-pau e veste togas negras.
 - Nova estrutura: Fábrica de Equipamentos. Melhora o gerenciamento e produção dos seus equipamentos!
 - Coliseu Astral otimizado: agora cada gangue pode ter vários times par"&amp;"ticipando da competição!
 - Melhoria nas gangues: adicionados níveis e recompensas para gangues.
 - Otimização em ""Avanço de Talento"" de combatente: alguns dos combatentes agora obtém uma estátua de si mesmos quando concluem o avanço de talento. Essas e"&amp;"státuas fornecem bônus excelentes.
 - Nova funcionalidade no Empório Maravilha: melhore seus estandes expositórios e obtenha recompensas de lucro diariamente.
 - Melhorias de experiência de usuário e interface: melhoria no design de interação na taverna, "&amp;"recebimento de mensagens, etc.")</f>
        <v>- Novo modo de jogo: Operação Mutantes chega em breve! Una-se a seus amigos e trabalhem juntos para derrotar mutantes!
 - Novo recurso de amigos: adicione jogadores como seus amigos. Interaja e mantenha contato!
 - Novo combatente: Ken, o Ceifador de Almas. Um macaco misterioso que perambula usando pernas-de-pau e veste togas negras.
 - Nova estrutura: Fábrica de Equipamentos. Melhora o gerenciamento e produção dos seus equipamentos!
 - Coliseu Astral otimizado: agora cada gangue pode ter vários times participando da competição!
 - Melhoria nas gangues: adicionados níveis e recompensas para gangues.
 - Otimização em "Avanço de Talento" de combatente: alguns dos combatentes agora obtém uma estátua de si mesmos quando concluem o avanço de talento. Essas estátuas fornecem bônus excelentes.
 - Nova funcionalidade no Empório Maravilha: melhore seus estandes expositórios e obtenha recompensas de lucro diariamente.
 - Melhorias de experiência de usuário e interface: melhoria no design de interação na taverna, recebimento de mensagens, etc.</v>
      </c>
      <c r="G29" s="159" t="str">
        <f>IFERROR(__xludf.DUMMYFUNCTION("""COMPUTED_VALUE"""),"-新增玩法：圍剿變異猴即將來臨！與你的朋友們組隊，協力消滅變異猴群！
-新增好友繫統：您可以將關繫好的猴子加爲好友，並和他們保持聯繫和互動！
-新增鬥士：靈魂收割者—肯，一個腳踩高蹺、身披長袍，渾身散髮着神秘氣息的荒野猴。
-新增建築：戰裝車間，可以更方便地製造和管理您的戰裝。
-決戰衛星之巔優化：每個聯盟可以組織多隻隊伍參加競賽了！
-幫派優化：新增幫派等級以及對應的獎勵。
-鬥士天賦突破優化：部分鬥士在天賦突破後可獲得對應鬥士雕像，鬥士雕像可提供優秀的buff。
-展覽館新增功能：提昇你"&amp;"的展颱等級並獲取可觀的每日收益吧！
-界麵及體驗優化：酒館交互優化、郵件領取體驗優化等。")</f>
        <v>-新增玩法：圍剿變異猴即將來臨！與你的朋友們組隊，協力消滅變異猴群！
-新增好友繫統：您可以將關繫好的猴子加爲好友，並和他們保持聯繫和互動！
-新增鬥士：靈魂收割者—肯，一個腳踩高蹺、身披長袍，渾身散髮着神秘氣息的荒野猴。
-新增建築：戰裝車間，可以更方便地製造和管理您的戰裝。
-決戰衛星之巔優化：每個聯盟可以組織多隻隊伍參加競賽了！
-幫派優化：新增幫派等級以及對應的獎勵。
-鬥士天賦突破優化：部分鬥士在天賦突破後可獲得對應鬥士雕像，鬥士雕像可提供優秀的buff。
-展覽館新增功能：提昇你的展颱等級並獲取可觀的每日收益吧！
-界麵及體驗優化：酒館交互優化、郵件領取體驗優化等。</v>
      </c>
      <c r="H29" s="13" t="str">
        <f>IFERROR(__xludf.DUMMYFUNCTION("""COMPUTED_VALUE"""),"-Gameplay baru: Pengepungan Kera Mutan akan segera hadir! Buatlah grup bersama sobatmu, bekerja sama untuk basmi Kera Mutan!
- Menambahkan sistem teman: Anda dapat tambah Kera yang akrab jadi teman, untuk berinteraksi dan pererat hubungan!
- Penambahan Pe"&amp;"juang: Pencabut Nyawa—Ken, Kera Liar dengan pijak kaki tinggi dan jubah, memancarkan aura misterius.
- Penambahan Bangunan: Pabrik Perlengkapan, mempermudah produksi dan pengelolaan perlengkapan Anda.
-Optimasi Koloseum Astral: Setiap aliansi dapat organi"&amp;"sir beberapa tim untuk ikut dalam kompetisi!
-Optimasi Geng: penambahan Level Geng dan hadiah yang sesuai.
-Optimasi Lompatan Bakat pejuang: beberapa pejuang bisa mendapatkan Patung Pejuang yang sesuai setelah Lompatan Bakat, yang dapat memberikan buff ya"&amp;"ng sangat unggul.
-Penambahan Fitur di Emporium Megah: tingkatkan level stand Anda untuk raih Pendapatan harian yang oke!
-Optimasi antarmuka dan pengalaman: pengoptimalan interaksi kedai, pengoptimalan pengalaman penerimaan surat, dll.")</f>
        <v>-Gameplay baru: Pengepungan Kera Mutan akan segera hadir! Buatlah grup bersama sobatmu, bekerja sama untuk basmi Kera Mutan!
- Menambahkan sistem teman: Anda dapat tambah Kera yang akrab jadi teman, untuk berinteraksi dan pererat hubungan!
- Penambahan Pejuang: Pencabut Nyawa—Ken, Kera Liar dengan pijak kaki tinggi dan jubah, memancarkan aura misterius.
- Penambahan Bangunan: Pabrik Perlengkapan, mempermudah produksi dan pengelolaan perlengkapan Anda.
-Optimasi Koloseum Astral: Setiap aliansi dapat organisir beberapa tim untuk ikut dalam kompetisi!
-Optimasi Geng: penambahan Level Geng dan hadiah yang sesuai.
-Optimasi Lompatan Bakat pejuang: beberapa pejuang bisa mendapatkan Patung Pejuang yang sesuai setelah Lompatan Bakat, yang dapat memberikan buff yang sangat unggul.
-Penambahan Fitur di Emporium Megah: tingkatkan level stand Anda untuk raih Pendapatan harian yang oke!
-Optimasi antarmuka dan pengalaman: pengoptimalan interaksi kedai, pengoptimalan pengalaman penerimaan surat, dll.</v>
      </c>
      <c r="I29" s="63" t="str">
        <f>IFERROR(__xludf.DUMMYFUNCTION("""COMPUTED_VALUE"""),"- เกมเพลย์ใหม่: ปฏิบัติการตัวกลายพันธุ์ใกล้มาถึงแล้ว! จัดทีมกับเพื่อนของคุณและร่วมมือกันเอาชนะพวกกลายพันธุ์!
 - ฟีเจอร์เพื่อนใหม่ๆ: เพิ่มผู้เล่นเป็นเพื่อนกับคุณ พูดคุยติดต่อกันได้ตลอด!
 - นักสู้ตัวใหม่: เคน ยมทูตล่าวิญญาณ ลิงแดนเถื่อนลึกลับที่เดินบนไม้ต่อ"&amp;"ขาและสวมผ้าคลุมสีดำมืด
 - สิ่งก่อสร้างใหม่: โรงงานอุปกรณ์ ทำให้การสร้างและจัดการอุปกรณ์ของคุณเป็นเรื่องสะดวกขึ้นกว่าที่เคย!
 - ปรับแก้ไขแอสทรัลโคลิเซียม: ตอนนี้แต่ละแก๊งสามารถส่งหลายทีมเข้าร่วมการแข่งขันได้แล้ว!
 - ปรับแก้ไขเกี่ยวกับแก๊ง: เพิ่มเลเวลและของ"&amp;"รางวัลที่กำหนดให้กับแก๊ง
 - ปรับแก้ไขการข้ามทักษะนักสู้: ตอนนี้นักสู้บางคนจะมีรูปปั้นของตัวเองแล้วเมื่อสำเร็จการข้ามทักษะได้ รูปปั้นเหล่านี้ยังให้สุดยอดบูสต์อีกด้วย
 - ฟังก์ชันใหม่ในวันเดอร์เอมโพเรียม: อัปเกรดบูธจัดแสดงของคุณและเข้ามารับรางวัลรายได้ของแต่"&amp;"ละวัน
 - ปรับปรุงอินเทอร์เฟซและประสบการณ์ผู้ใช้: ปรับแก้ไขการออกแบบส่วนโต้ตอบในโรงเหล้า การรับข้อความ ฯลฯ")</f>
        <v>- เกมเพลย์ใหม่: ปฏิบัติการตัวกลายพันธุ์ใกล้มาถึงแล้ว! จัดทีมกับเพื่อนของคุณและร่วมมือกันเอาชนะพวกกลายพันธุ์!
 - ฟีเจอร์เพื่อนใหม่ๆ: เพิ่มผู้เล่นเป็นเพื่อนกับคุณ พูดคุยติดต่อกันได้ตลอด!
 - นักสู้ตัวใหม่: เคน ยมทูตล่าวิญญาณ ลิงแดนเถื่อนลึกลับที่เดินบนไม้ต่อขาและสวมผ้าคลุมสีดำมืด
 - สิ่งก่อสร้างใหม่: โรงงานอุปกรณ์ ทำให้การสร้างและจัดการอุปกรณ์ของคุณเป็นเรื่องสะดวกขึ้นกว่าที่เคย!
 - ปรับแก้ไขแอสทรัลโคลิเซียม: ตอนนี้แต่ละแก๊งสามารถส่งหลายทีมเข้าร่วมการแข่งขันได้แล้ว!
 - ปรับแก้ไขเกี่ยวกับแก๊ง: เพิ่มเลเวลและของรางวัลที่กำหนดให้กับแก๊ง
 - ปรับแก้ไขการข้ามทักษะนักสู้: ตอนนี้นักสู้บางคนจะมีรูปปั้นของตัวเองแล้วเมื่อสำเร็จการข้ามทักษะได้ รูปปั้นเหล่านี้ยังให้สุดยอดบูสต์อีกด้วย
 - ฟังก์ชันใหม่ในวันเดอร์เอมโพเรียม: อัปเกรดบูธจัดแสดงของคุณและเข้ามารับรางวัลรายได้ของแต่ละวัน
 - ปรับปรุงอินเทอร์เฟซและประสบการณ์ผู้ใช้: ปรับแก้ไขการออกแบบส่วนโต้ตอบในโรงเหล้า การรับข้อความ ฯลฯ</v>
      </c>
      <c r="J29" s="159" t="str">
        <f>IFERROR(__xludf.DUMMYFUNCTION("""COMPUTED_VALUE"""),"- Nueva jugabilidad: ¡Próximamente llegará la Operación Mutantes! ¡Haz equipo con tus amigos y trabajen en conjunto para derrotar a los Mutantes!
 - Nueva función de amigos: Agrega jugadores como tus amigos. ¡Interactúa y mantente en contacto!
 - Nuevo lu"&amp;"chador: Ken, el Segador de Almas. Un misterioso mono salvaje que camina sobre zancos y viste túnicas oscuras.
 - Edificio nuevo: Fábrica de Equipos. ¡Hace que producir y administrar tu equipo sea mucho más conveniente!
 - Coliseo Astral optimizado: ¡Ahora"&amp;" cada Banda puede tener múltiples equipos participando en la competencia!
 - Bandas optimizadas: Niveles agregados y recompensas correspondientes a las Bandas.
 - Optimización del Ascenso de Talento del Luchador: Algunos luchadores ahora obtienen una esta"&amp;"tua de sí mismos cuando completan un Ascenso de talento. Estas estatuas proporcionan excelentes potenciadores.
 - Nueva función en el Emporio de las Maravillas: Actualiza tus estantes de exhibición y obtén recompensas de ingresos todos los días.
 - Mejora"&amp;"s en la interfaz y experiencia de usuario: Diseño de interacción optimizado para la Taberna, recepción de mensajes, etc.")</f>
        <v>- Nueva jugabilidad: ¡Próximamente llegará la Operación Mutantes! ¡Haz equipo con tus amigos y trabajen en conjunto para derrotar a los Mutantes!
 - Nueva función de amigos: Agrega jugadores como tus amigos. ¡Interactúa y mantente en contacto!
 - Nuevo luchador: Ken, el Segador de Almas. Un misterioso mono salvaje que camina sobre zancos y viste túnicas oscuras.
 - Edificio nuevo: Fábrica de Equipos. ¡Hace que producir y administrar tu equipo sea mucho más conveniente!
 - Coliseo Astral optimizado: ¡Ahora cada Banda puede tener múltiples equipos participando en la competencia!
 - Bandas optimizadas: Niveles agregados y recompensas correspondientes a las Bandas.
 - Optimización del Ascenso de Talento del Luchador: Algunos luchadores ahora obtienen una estatua de sí mismos cuando completan un Ascenso de talento. Estas estatuas proporcionan excelentes potenciadores.
 - Nueva función en el Emporio de las Maravillas: Actualiza tus estantes de exhibición y obtén recompensas de ingresos todos los días.
 - Mejoras en la interfaz y experiencia de usuario: Diseño de interacción optimizado para la Taberna, recepción de mensajes, etc.</v>
      </c>
      <c r="K29" s="159" t="str">
        <f>IFERROR(__xludf.DUMMYFUNCTION("""COMPUTED_VALUE"""),"- Новый игровой процесс: скоро начнется операция «Мутанты»! Объединитесь с друзьями и вместе победите мутантов! 
- Новая функция друзей: добавляйте игроков в друзья, общайтесь и оставайтесь на связи! 
- Новый герой: Кен, Жнец Душ. Таинственный примат из д"&amp;"иких земель, который ходит на ходулях и носит темные одеяния.
- Новое здание: фабрика снаряжения. Теперь производить свое снаряжение и управлять им станет намного удобнее! 
- Оптимизирован Астральный Колизей: теперь у каждой банды может быть несколько ком"&amp;"анд, участвующих в состязании! 
- Оптимизированы банды: добавлены уровни и соответствующие награды для банд.
- Оптимизирован скачок таланта героя: теперь некоторые герои, завершив скачок таланта, получают в награду свои статуэтки. Эти статуэтки дают отлич"&amp;"ные усиления.
- Новая функция в Зале чудес: улучшайте стенды и получайте награды за доход каждый день.
- Улучшения интерфейса и удобства для игроков: оптимизирован дизайн взаимодействий в таверне, получения сообщений и т. д.")</f>
        <v>- Новый игровой процесс: скоро начнется операция «Мутанты»! Объединитесь с друзьями и вместе победите мутантов! 
- Новая функция друзей: добавляйте игроков в друзья, общайтесь и оставайтесь на связи! 
- Новый герой: Кен, Жнец Душ. Таинственный примат из диких земель, который ходит на ходулях и носит темные одеяния.
- Новое здание: фабрика снаряжения. Теперь производить свое снаряжение и управлять им станет намного удобнее! 
- Оптимизирован Астральный Колизей: теперь у каждой банды может быть несколько команд, участвующих в состязании! 
- Оптимизированы банды: добавлены уровни и соответствующие награды для банд.
- Оптимизирован скачок таланта героя: теперь некоторые герои, завершив скачок таланта, получают в награду свои статуэтки. Эти статуэтки дают отличные усиления.
- Новая функция в Зале чудес: улучшайте стенды и получайте награды за доход каждый день.
- Улучшения интерфейса и удобства для игроков: оптимизирован дизайн взаимодействий в таверне, получения сообщений и т. д.</v>
      </c>
      <c r="L29" s="44" t="str">
        <f>IFERROR(__xludf.DUMMYFUNCTION("""COMPUTED_VALUE"""),"- Yeni oynanış: Mutant Operasyonları yakında geliyor! Arkadaşlarınla takım olup birlikte çalışarak Mutantları yen!
 - Yeni arkadaş özelliği: Oyuncuları arkadaş olarak ekle. Onlarla etkileşime gir ve iletişimde kal!
 - Yeni Savaşçı: Ölüm Meleği Ken. Ayaklı"&amp;"klarla yürüyen ve kara bir cüppe giyen gizemli bir çorak toprak maymunu.
 - Yeni bina: Ekipman Fabrikası. Ekipmanını üretmek ve yönetmek artık çok daha kolay!
 - Yıldız Kolezyumu optimize edildi: Artık müsabakaya her Çeteden birden fazla takım katılabilir"&amp;"!
 - Çeteler optimize edildi: Çetelere seviyeler ve ilgili ödüller eklendi.
 - Savaşçı Yetenek Sıçraması optimize edildi: Artık bazı Savaşçılar Yetenek Sıçramasını tamamladıktan sonra kendi heykellerini elde eder. Bu heykeller muhteşem güçlendirmeler veri"&amp;"r.
 - Harikalar Dükkânının yeni işlevi: Vitrinini yükselt ve her gün gelir ödülü kazan.
 - Arayüz ve kullanıcı deneyimi geliştirmeleri: Taverna, mesaj alma vb. için etkileşim tasarımı optimize edildi.")</f>
        <v>- Yeni oynanış: Mutant Operasyonları yakında geliyor! Arkadaşlarınla takım olup birlikte çalışarak Mutantları yen!
 - Yeni arkadaş özelliği: Oyuncuları arkadaş olarak ekle. Onlarla etkileşime gir ve iletişimde kal!
 - Yeni Savaşçı: Ölüm Meleği Ken. Ayaklıklarla yürüyen ve kara bir cüppe giyen gizemli bir çorak toprak maymunu.
 - Yeni bina: Ekipman Fabrikası. Ekipmanını üretmek ve yönetmek artık çok daha kolay!
 - Yıldız Kolezyumu optimize edildi: Artık müsabakaya her Çeteden birden fazla takım katılabilir!
 - Çeteler optimize edildi: Çetelere seviyeler ve ilgili ödüller eklendi.
 - Savaşçı Yetenek Sıçraması optimize edildi: Artık bazı Savaşçılar Yetenek Sıçramasını tamamladıktan sonra kendi heykellerini elde eder. Bu heykeller muhteşem güçlendirmeler verir.
 - Harikalar Dükkânının yeni işlevi: Vitrinini yükselt ve her gün gelir ödülü kazan.
 - Arayüz ve kullanıcı deneyimi geliştirmeleri: Taverna, mesaj alma vb. için etkileşim tasarımı optimize edildi.</v>
      </c>
      <c r="M29" s="159" t="str">
        <f>IFERROR(__xludf.DUMMYFUNCTION("""COMPUTED_VALUE"""),"- Lối chơi mới: Vây Quét Khỉ Đột Biến sắp ra mắt! Tổ đội với những người bạn của bạn, hợp lực tiêu diệt Khỉ Đột Biến! 
- Hệ thống bạn bè mới: Bạn có thể thêm những chiến hữu khỉ làm bạn bè, đồng thời giữ liên lạc và tương tác với họ! 
- Chiến Binh mới: Kẻ"&amp;" Kết Liễu Linh Hồn - Ken, một con khỉ hoang dã chân đi cà kheo, người mặc áo dài, toàn thân phát ra mùi hương thần bí. 
- Công Trình mới: Nhà Máy Trang Bị, có thể tiện lợi chế tạo và quản lý trang bị của bạn hơn. 
- Tối ưu hoá Đại Đấu Trường Thiên Thể: Mỗ"&amp;"i một Liên Minh có thể tổ chức nhiều đội tham gia thi đấu! 
- Tối ưu hoá Bang Hội: Thêm cấp độ Bang Hội cùng với phần thưởng tương ứng. 
- Tối ưu hoá Kỹ Năng Vượt của Chiến Binh: Một số Chiến Binh sau khi Kỹ Năng Vượt sẽ nhận được Tượng Chiến Binh tương ứ"&amp;"ng, Tượng Chiến Binh có thể cung cấp buff xuất sắc. 
- Chức năng mới Trung Tâm Thương Mại Kỳ Thú: Tăng cấp Gian Hàng của bạn và nhận được thu nhập hàng ngày khả quan! 
- Tối Ưu Trải Nghiệm và Giao Diện: Tối ưu hoá tương tác Tửu Quán, trải nghiệm nhận thư,"&amp;"...")</f>
        <v>- Lối chơi mới: Vây Quét Khỉ Đột Biến sắp ra mắt! Tổ đội với những người bạn của bạn, hợp lực tiêu diệt Khỉ Đột Biến! 
- Hệ thống bạn bè mới: Bạn có thể thêm những chiến hữu khỉ làm bạn bè, đồng thời giữ liên lạc và tương tác với họ! 
- Chiến Binh mới: Kẻ Kết Liễu Linh Hồn - Ken, một con khỉ hoang dã chân đi cà kheo, người mặc áo dài, toàn thân phát ra mùi hương thần bí. 
- Công Trình mới: Nhà Máy Trang Bị, có thể tiện lợi chế tạo và quản lý trang bị của bạn hơn. 
- Tối ưu hoá Đại Đấu Trường Thiên Thể: Mỗi một Liên Minh có thể tổ chức nhiều đội tham gia thi đấu! 
- Tối ưu hoá Bang Hội: Thêm cấp độ Bang Hội cùng với phần thưởng tương ứng. 
- Tối ưu hoá Kỹ Năng Vượt của Chiến Binh: Một số Chiến Binh sau khi Kỹ Năng Vượt sẽ nhận được Tượng Chiến Binh tương ứng, Tượng Chiến Binh có thể cung cấp buff xuất sắc. 
- Chức năng mới Trung Tâm Thương Mại Kỳ Thú: Tăng cấp Gian Hàng của bạn và nhận được thu nhập hàng ngày khả quan! 
- Tối Ưu Trải Nghiệm và Giao Diện: Tối ưu hoá tương tác Tửu Quán, trải nghiệm nhận thư,...</v>
      </c>
      <c r="N29" s="159"/>
      <c r="O29" s="148"/>
      <c r="P29" s="148"/>
      <c r="Q29" s="148"/>
      <c r="R29" s="148"/>
      <c r="S29" s="148"/>
      <c r="T29" s="148"/>
      <c r="U29" s="148"/>
      <c r="V29" s="148"/>
      <c r="W29" s="148"/>
      <c r="X29" s="148"/>
      <c r="Y29" s="148"/>
      <c r="Z29" s="148"/>
    </row>
    <row r="30" ht="91.5" customHeight="1">
      <c r="A30" s="149" t="str">
        <f>IFERROR(__xludf.DUMMYFUNCTION("""COMPUTED_VALUE"""),"0.47.0")</f>
        <v>0.47.0</v>
      </c>
      <c r="B30" s="158" t="str">
        <f>IFERROR(__xludf.DUMMYFUNCTION("""COMPUTED_VALUE"""),"-新增斗士：埃尔默，飙车族传说斗士，守护城市的勇敢骑士！
-新增功能：外显展览馆当前正在生效的收藏品存档、银河战争和原服聊天室同时使用功能、斗士战装批量打造、分解功能、城市美观度功能、活动开启提示功能、押运手动升级等级功能。                                                                           
-新增成就奖励：新增斗士成就奖励，进入每个斗士界面即可点击查看。
-绝地试炼新增：新增绝地试炼专属斗士奖牌和斗士经验投放。
-堡垒对决"&amp;"新增：新增堡垒对决‘海岛’地图 。 
-银河战争新增：威力加强版剧本，为每个兵种添加了对应的特殊兵种技能，其中射击手和攻城车可以开启远程模式进行战斗 。     
-新增节日活动：惊喜狂欢夜活动即将开启：参与活动，赢取节日限定装饰和其他丰富奖励！
-新增活动：惊喜藏品屋活动即将开启：参与活动，抽取传说收藏品！   
-重装出击优化：优化了强化时的UI表现，更新了全新的战装玩法机制，新增玩法内的挑战任务 。
-信息页面优化：新增玩家信息页面的自己所在服务器的信息、新增太空争霸中拦路巨猿积分受到军备加成，增加"&amp;"更多战斗信息显示。                                                              
-军备系统优化：调整了军备解锁条件，新增猩球纪元解锁条件。
-界面及体验优化：优化了帮派推荐、阅兵场、组队表现、气泡的显示、城内的布局功能、排行榜显示规则、大地图迷雾探索玩法、驻防斗士的筛选逻辑、火车争霸、火车竞赛的相关表现和体验、对大地图进行了3D化。")</f>
        <v>-新增斗士：埃尔默，飙车族传说斗士，守护城市的勇敢骑士！
-新增功能：外显展览馆当前正在生效的收藏品存档、银河战争和原服聊天室同时使用功能、斗士战装批量打造、分解功能、城市美观度功能、活动开启提示功能、押运手动升级等级功能。                                                                           
-新增成就奖励：新增斗士成就奖励，进入每个斗士界面即可点击查看。
-绝地试炼新增：新增绝地试炼专属斗士奖牌和斗士经验投放。
-堡垒对决新增：新增堡垒对决‘海岛’地图 。 
-银河战争新增：威力加强版剧本，为每个兵种添加了对应的特殊兵种技能，其中射击手和攻城车可以开启远程模式进行战斗 。     
-新增节日活动：惊喜狂欢夜活动即将开启：参与活动，赢取节日限定装饰和其他丰富奖励！
-新增活动：惊喜藏品屋活动即将开启：参与活动，抽取传说收藏品！   
-重装出击优化：优化了强化时的UI表现，更新了全新的战装玩法机制，新增玩法内的挑战任务 。
-信息页面优化：新增玩家信息页面的自己所在服务器的信息、新增太空争霸中拦路巨猿积分受到军备加成，增加更多战斗信息显示。                                                              
-军备系统优化：调整了军备解锁条件，新增猩球纪元解锁条件。
-界面及体验优化：优化了帮派推荐、阅兵场、组队表现、气泡的显示、城内的布局功能、排行榜显示规则、大地图迷雾探索玩法、驻防斗士的筛选逻辑、火车争霸、火车竞赛的相关表现和体验、对大地图进行了3D化。</v>
      </c>
      <c r="C30" s="158" t="str">
        <f>IFERROR(__xludf.DUMMYFUNCTION("""COMPUTED_VALUE"""),"-New Fighter: Elmo, Legendary Pilot Fighter, a brave rider and guardian of the city!
-New features: Displays saving of currently active Relics in the Wonder Emporium; Planet Wars and original server chat can now be used simultaneously; added Fighter equip"&amp;"ment batch assembly and disassembly; city appearance function; added event alerts; manual upgrade of Convoys.
-New Achievement rewards: New Fighter Achievement rewards; go to individual Fighter pages to view.
-Impasse Trials: Added Impasse Trials-exclusiv"&amp;"e Fighter Medals and EXP rewards.
-Fortress Takeover: Added a new ""island"" map.
-Planet Wars: New Power Enhance Mode where each unit type is given special skills, including long-range attacks for Shooters and Wall Breakers.
-New holiday events: Carnival"&amp;" of Surprises starts soon. Participate to win festival decorations and other rewards!
-New events: Surprise Relic Vault starts soon. Participate to win Legendary Relics!
-Loaded Strike optimized: Improved the UI display for enhancements; updated new equip"&amp;"ment play mechanisms; added new challenge quests.
-Info interface optimization: Added players' server information to their personal info page; added weapon set boost info for Roadblock Giganto scoring in Space Supremacy; added more battle info.
-Gear syst"&amp;"em optimized: Changed the unlocking requirements, and added Planet Milestone-related conditions.
-Interface and user experience improvements: Optimized displays and experience related to Gang recommendation, Parade Grounds, teaming up, chat bubbles, city "&amp;"layout, leaderboard display, fog exploration on the map, selection logic of garrison Fighters, Train Rush, and Great Train Race. Made the large map more 3D.")</f>
        <v>-New Fighter: Elmo, Legendary Pilot Fighter, a brave rider and guardian of the city!
-New features: Displays saving of currently active Relics in the Wonder Emporium; Planet Wars and original server chat can now be used simultaneously; added Fighter equipment batch assembly and disassembly; city appearance function; added event alerts; manual upgrade of Convoys.
-New Achievement rewards: New Fighter Achievement rewards; go to individual Fighter pages to view.
-Impasse Trials: Added Impasse Trials-exclusive Fighter Medals and EXP rewards.
-Fortress Takeover: Added a new "island" map.
-Planet Wars: New Power Enhance Mode where each unit type is given special skills, including long-range attacks for Shooters and Wall Breakers.
-New holiday events: Carnival of Surprises starts soon. Participate to win festival decorations and other rewards!
-New events: Surprise Relic Vault starts soon. Participate to win Legendary Relics!
-Loaded Strike optimized: Improved the UI display for enhancements; updated new equipment play mechanisms; added new challenge quests.
-Info interface optimization: Added players' server information to their personal info page; added weapon set boost info for Roadblock Giganto scoring in Space Supremacy; added more battle info.
-Gear system optimized: Changed the unlocking requirements, and added Planet Milestone-related conditions.
-Interface and user experience improvements: Optimized displays and experience related to Gang recommendation, Parade Grounds, teaming up, chat bubbles, city layout, leaderboard display, fog exploration on the map, selection logic of garrison Fighters, Train Rush, and Great Train Race. Made the large map more 3D.</v>
      </c>
      <c r="D30" s="160" t="str">
        <f>IFERROR(__xludf.DUMMYFUNCTION("""COMPUTED_VALUE"""),"-Nouveau combattant: Elmo, le combattant légendaire, pilote courageux et défenseur de la ville!
-Nouvelles fonctionnalités: affichage des reliques actives dans la Halle aux merveilles; chats de la guerre planétaire et du serveur d'origine utilisables simu"&amp;"ltanément; ajout d'une fonction de montage et démontage en lot de l'équipement des combattants; gestion de l'apparence de la ville; ajout d'alertes pour les évènements; amélioration manuelle des convois.
-Nouvelles récompenses pour les prouesses liées aux"&amp;" nouveaux combattants; visibles à la page dédiée aux combattants.
-Epreuves de l'impasse: ajout de médailles de combattants et d'expérience comme récompenses exclusives pour certaines épreuves.
-Invasion de forteresse: ajout d'une carte ""île"".
-Guerre p"&amp;"lanétaire: nouveau mode surpuissance, dans lequel les unités obtiennent des compétences selon leur type, notamment des attaques à distance pour les tireurs et les casse-murailles.
-Nouvel évènement saisonnier: début prochain du Carnaval des surprises; par"&amp;"ticipez pour gagner des décorations thématiques et d'autres récompenses!
-Nouvel évènement: ouverture prochaine de la salle aux reliques surprises; participez pour obtenir des reliques légendaires!
-Optimisation de la Frappe chargée: interface de gestion "&amp;"des améliorations; nouvelles mécaniques de jeu liées à l'équipement; nouveaux défis.
-Optimisation de l'affichage des informations: informations sur le serveur des joueurs ajoutées à leur page personnelle; ajout d'informations sur les boosts liés aux ense"&amp;"mbles d'armes pour les scores au barrage giganto dans la Suprématie spatiale; ajout d'informations sur les combats.
-Optimisation du système lié au matériel: modification des conditions de déblocage et ajout de conditions liées aux évènements planétaires."&amp;"
-Amélioration de l'interface et de l'expérience utilisateur: optimisation de l'affichage et de l'expérience des recommandations du gang, de la place d'armes, de la constitution d'équipes, des bulles de chat, de l'agencement des villes, des classements, d"&amp;"e l'exploration de la brume sur la carte, de la logique de sélection des combattants en garnison, de la Course de trains et de la Grande course de trains, et ajout d'éléments en 3D dans la carte d'ensemble.")</f>
        <v>-Nouveau combattant: Elmo, le combattant légendaire, pilote courageux et défenseur de la ville!
-Nouvelles fonctionnalités: affichage des reliques actives dans la Halle aux merveilles; chats de la guerre planétaire et du serveur d'origine utilisables simultanément; ajout d'une fonction de montage et démontage en lot de l'équipement des combattants; gestion de l'apparence de la ville; ajout d'alertes pour les évènements; amélioration manuelle des convois.
-Nouvelles récompenses pour les prouesses liées aux nouveaux combattants; visibles à la page dédiée aux combattants.
-Epreuves de l'impasse: ajout de médailles de combattants et d'expérience comme récompenses exclusives pour certaines épreuves.
-Invasion de forteresse: ajout d'une carte "île".
-Guerre planétaire: nouveau mode surpuissance, dans lequel les unités obtiennent des compétences selon leur type, notamment des attaques à distance pour les tireurs et les casse-murailles.
-Nouvel évènement saisonnier: début prochain du Carnaval des surprises; participez pour gagner des décorations thématiques et d'autres récompenses!
-Nouvel évènement: ouverture prochaine de la salle aux reliques surprises; participez pour obtenir des reliques légendaires!
-Optimisation de la Frappe chargée: interface de gestion des améliorations; nouvelles mécaniques de jeu liées à l'équipement; nouveaux défis.
-Optimisation de l'affichage des informations: informations sur le serveur des joueurs ajoutées à leur page personnelle; ajout d'informations sur les boosts liés aux ensembles d'armes pour les scores au barrage giganto dans la Suprématie spatiale; ajout d'informations sur les combats.
-Optimisation du système lié au matériel: modification des conditions de déblocage et ajout de conditions liées aux évènements planétaires.
-Amélioration de l'interface et de l'expérience utilisateur: optimisation de l'affichage et de l'expérience des recommandations du gang, de la place d'armes, de la constitution d'équipes, des bulles de chat, de l'agencement des villes, des classements, de l'exploration de la brume sur la carte, de la logique de sélection des combattants en garnison, de la Course de trains et de la Grande course de trains, et ajout d'éléments en 3D dans la carte d'ensemble.</v>
      </c>
      <c r="E30" s="44" t="str">
        <f>IFERROR(__xludf.DUMMYFUNCTION("""COMPUTED_VALUE"""),"-Neuer Kämpfer: Elmo, legendärer Pilotenkämpfer, mutiger Fahrer und Wächter der Stadt!
-Neue Features: Anzeige der aktuell aktiven Relikte im Wunderladen; Planetenkriege und Original-Server-Chat können jetzt gleichzeitig benutzt werden, Zusammenfügen und "&amp;"Zerlegen von Kämpfer-Equipment hinzugefügt; Funktion für Stadterscheinung; Event-Hinweise hinzugefügt; manuelle Upgrades von Konvois.
-Neue Belohnungen für Erfolge: Neue Belohnungen für Kämpfer-Erfolge; Du kannst sie dir auf der Seite der einzelnen Kämpfe"&amp;"r ansehen.
-Sackgassen-Prüfungen: Exklusive Heldenorden und EP-Belohnungen für Sackgassen-Prüfungen hinzugefügt.
-Festungsübernahme: Neue Insel-Karte hinzugefügt.
-Planetenkriege: Neuer Stärke-Verbesserungsmodus in dem jeden einheitentyp spezielle Fähigke"&amp;"iten hat, darunter Langstreckenangriffe für Schützen und Mauerbrecher.
-Neue Feiertag-Events: Überraschungskarneval beginnt in Kürze. Nimm teil, um Festival-Dekorationen und andere Belohnungen zu erhalten! 
-Neue Events: Überraschungs-Reliktetresor beginn"&amp;"t in Kürze. Nimm teil, um legendäre Relikte zu gewinnen!
-Geladener Schlag optimiert: UI-Anzeige für Verbesserungen optimiert; Spielmechanismen aktualisiert; neue Herausforderungs-Quests hinzugefügt.
-Info-Interface optimiert: Serverinformationen für pers"&amp;"önliche Info-Seite des Spielers hinzugefügt; Info für Waffenset-Boosts für Straßensperren-Giganto-Punkte in Weltraum-Vorherrschaft hinzugefügt; mehr Schlachtinfos hinzugefügt.
-Ausrüstungssystem optimiert: Freischaltbedingungen geändert und Planeten-Meile"&amp;"nstein-bezogene Bedingungen hinzugefügt.
-Interface- und Benutzererlebnis-Verbesserungen: Optimierung von Anzeige und Erlebnis für Clan-Empfehlungen, Paradeplatz, Teambildung, Chat-Blasen, Stadtlayout, Ranglisten, Nebelerkundung auf der Karte, Auswahllogi"&amp;"k der Garnisonskämpfer, ""Großes Zugrennen"" und ""Zug-Rennen"". Große Karte ist jetzt dreidimensionaler.")</f>
        <v>-Neuer Kämpfer: Elmo, legendärer Pilotenkämpfer, mutiger Fahrer und Wächter der Stadt!
-Neue Features: Anzeige der aktuell aktiven Relikte im Wunderladen; Planetenkriege und Original-Server-Chat können jetzt gleichzeitig benutzt werden, Zusammenfügen und Zerlegen von Kämpfer-Equipment hinzugefügt; Funktion für Stadterscheinung; Event-Hinweise hinzugefügt; manuelle Upgrades von Konvois.
-Neue Belohnungen für Erfolge: Neue Belohnungen für Kämpfer-Erfolge; Du kannst sie dir auf der Seite der einzelnen Kämpfer ansehen.
-Sackgassen-Prüfungen: Exklusive Heldenorden und EP-Belohnungen für Sackgassen-Prüfungen hinzugefügt.
-Festungsübernahme: Neue Insel-Karte hinzugefügt.
-Planetenkriege: Neuer Stärke-Verbesserungsmodus in dem jeden einheitentyp spezielle Fähigkeiten hat, darunter Langstreckenangriffe für Schützen und Mauerbrecher.
-Neue Feiertag-Events: Überraschungskarneval beginnt in Kürze. Nimm teil, um Festival-Dekorationen und andere Belohnungen zu erhalten! 
-Neue Events: Überraschungs-Reliktetresor beginnt in Kürze. Nimm teil, um legendäre Relikte zu gewinnen!
-Geladener Schlag optimiert: UI-Anzeige für Verbesserungen optimiert; Spielmechanismen aktualisiert; neue Herausforderungs-Quests hinzugefügt.
-Info-Interface optimiert: Serverinformationen für persönliche Info-Seite des Spielers hinzugefügt; Info für Waffenset-Boosts für Straßensperren-Giganto-Punkte in Weltraum-Vorherrschaft hinzugefügt; mehr Schlachtinfos hinzugefügt.
-Ausrüstungssystem optimiert: Freischaltbedingungen geändert und Planeten-Meilenstein-bezogene Bedingungen hinzugefügt.
-Interface- und Benutzererlebnis-Verbesserungen: Optimierung von Anzeige und Erlebnis für Clan-Empfehlungen, Paradeplatz, Teambildung, Chat-Blasen, Stadtlayout, Ranglisten, Nebelerkundung auf der Karte, Auswahllogik der Garnisonskämpfer, "Großes Zugrennen" und "Zug-Rennen". Große Karte ist jetzt dreidimensionaler.</v>
      </c>
      <c r="F30" s="159" t="str">
        <f>IFERROR(__xludf.DUMMYFUNCTION("""COMPUTED_VALUE"""),"-Novo combatente: Elmo, o lendário combatente piloto, um corajoso guardião da cidade!
-Novas funcionalidades: salvamento de exibições das relíquias atualmente ativas no Empório Maravilha; chat do servidor de origem e de Guerra Interplanetária podem ser us"&amp;"ados simultaneamente agora; adicionadas montagem e desmontagem em lote para equipamentos de combatente; função de aparência da cidade; alertas de eventos adicionados; melhoria manual de comboios.
-Novas recompensas de conquistas: novas recompensas de conq"&amp;"uista de combatente; confira as páginas de combatente individuais para visualizar.
-Desafios de Impasse: adicionadas recompensas de EXP e de medalhas de combatente exclusivas dos Desafios de Impasse.
-Conquista da Fortaleza: novo mapa de ""ilha"" adiciona"&amp;"do.
-Guerra Interplanetária: novo Modo de Poder Aumentado, no qual cada tipo de unidade tem habilidades especiais, incluindo ataques de longo alcance para atiradores e quebra-muros.
-Novos eventos especiais: Carnaval das Surpresas começa em breve. Partici"&amp;"pe para ganhar decorações e outras recompensas!
-Novos eventos: Cofre de Relíquias Surpresa começa em breve. Participe para ganhar relíquias lendárias!
-Ataque Carregado melhorado: melhoria na exibição da IU para aprimoramentos; atualização nos novos meca"&amp;"nismos de equipamento; adição de novas missões de desafio.
-Otimização na interface de informações: adicionadas as informações do servidor dos jogadores às suas respectivas páginas de informação; novas informações sobre os bônus de conjunto de armas na po"&amp;"ntuação para ""Giganto Tranca-Rua"" em ""Supremacia Espacial""; mais informações de batalha adicionadas.
-Sistema de equipamentos otimizado: mudanças nos requisitos de desbloqueios e adição de condições relacionados aos marcos planetários.
-Melhorias na i"&amp;"nterface e experiência de usuário: melhoria nas telas de exibição e uso das recomendações da gangue; praça de armas, times, balões de chat, layout da cidade, exibição de placares, exploração de névoa no mapa, escolha lógica de combatentes de guarnição, Co"&amp;"rrida do Trem e Grande Corrida dos Trens. O mapa maior ficou ainda mais 3D.")</f>
        <v>-Novo combatente: Elmo, o lendário combatente piloto, um corajoso guardião da cidade!
-Novas funcionalidades: salvamento de exibições das relíquias atualmente ativas no Empório Maravilha; chat do servidor de origem e de Guerra Interplanetária podem ser usados simultaneamente agora; adicionadas montagem e desmontagem em lote para equipamentos de combatente; função de aparência da cidade; alertas de eventos adicionados; melhoria manual de comboios.
-Novas recompensas de conquistas: novas recompensas de conquista de combatente; confira as páginas de combatente individuais para visualizar.
-Desafios de Impasse: adicionadas recompensas de EXP e de medalhas de combatente exclusivas dos Desafios de Impasse.
-Conquista da Fortaleza: novo mapa de "ilha" adicionado.
-Guerra Interplanetária: novo Modo de Poder Aumentado, no qual cada tipo de unidade tem habilidades especiais, incluindo ataques de longo alcance para atiradores e quebra-muros.
-Novos eventos especiais: Carnaval das Surpresas começa em breve. Participe para ganhar decorações e outras recompensas!
-Novos eventos: Cofre de Relíquias Surpresa começa em breve. Participe para ganhar relíquias lendárias!
-Ataque Carregado melhorado: melhoria na exibição da IU para aprimoramentos; atualização nos novos mecanismos de equipamento; adição de novas missões de desafio.
-Otimização na interface de informações: adicionadas as informações do servidor dos jogadores às suas respectivas páginas de informação; novas informações sobre os bônus de conjunto de armas na pontuação para "Giganto Tranca-Rua" em "Supremacia Espacial"; mais informações de batalha adicionadas.
-Sistema de equipamentos otimizado: mudanças nos requisitos de desbloqueios e adição de condições relacionados aos marcos planetários.
-Melhorias na interface e experiência de usuário: melhoria nas telas de exibição e uso das recomendações da gangue; praça de armas, times, balões de chat, layout da cidade, exibição de placares, exploração de névoa no mapa, escolha lógica de combatentes de guarnição, Corrida do Trem e Grande Corrida dos Trens. O mapa maior ficou ainda mais 3D.</v>
      </c>
      <c r="G30" s="159" t="str">
        <f>IFERROR(__xludf.DUMMYFUNCTION("""COMPUTED_VALUE"""),"-新增鬥士：埃爾默，飆車族傳說鬥士，守護城市的勇敢騎士！
-新增功能：外顯展覽館當前正在生效的收藏品存檔、銀河戰爭和原服聊天室同時使用功能、鬥士戰裝批量打造、分解功能、城市美觀度功能、活動開啟提示功能、押運手動升級等級功能。                                                                           
-新增成就獎勵：新增鬥士成就獎勵，進入每個鬥士界面即可點擊查看。
-絕地試煉新增：新增絕地試煉專屬鬥士獎牌和鬥士經驗投放。
-堡壘對決"&amp;"新增：新增堡壘對決『海島』地圖 。 
-銀河戰爭新增：威力加強版劇本，為每個兵種添加了對應的特殊兵種技能，其中射擊手和攻城車可以開啟遠程模式進行戰鬥 。     
-新增節日活動：驚喜狂歡夜活動即將開啟：參與活動，贏取節日限定裝飾和其他豐富獎勵！
-新增活動：驚喜藏品屋活動即將開啟：參與活動，抽取傳說收藏品！   
-重裝出擊優化：優化了強化時的UI表現，更新了全新的戰裝玩法機製，新增玩法內的挑戰任務 。
-信息頁面優化：新增玩家信息頁面的自己所在服務器的信息、新增太空爭霸中攔路巨猿積分受到軍備加成，增加"&amp;"更多戰鬥信息顯示。                                                              
-軍備系統優化：調整了軍備解鎖條件，新增猩球紀元解鎖條件。
-界面及體驗優化：優化了幫派推薦、閱兵場、組隊表現、氣泡的顯示、城內的布局功能、排行榜顯示規則、大地圖迷霧探索玩法、駐防鬥士的篩選邏輯、火車爭霸、火車競賽的相關表現和體驗、對大地圖進行了3D化。")</f>
        <v>-新增鬥士：埃爾默，飆車族傳說鬥士，守護城市的勇敢騎士！
-新增功能：外顯展覽館當前正在生效的收藏品存檔、銀河戰爭和原服聊天室同時使用功能、鬥士戰裝批量打造、分解功能、城市美觀度功能、活動開啟提示功能、押運手動升級等級功能。                                                                           
-新增成就獎勵：新增鬥士成就獎勵，進入每個鬥士界面即可點擊查看。
-絕地試煉新增：新增絕地試煉專屬鬥士獎牌和鬥士經驗投放。
-堡壘對決新增：新增堡壘對決『海島』地圖 。 
-銀河戰爭新增：威力加強版劇本，為每個兵種添加了對應的特殊兵種技能，其中射擊手和攻城車可以開啟遠程模式進行戰鬥 。     
-新增節日活動：驚喜狂歡夜活動即將開啟：參與活動，贏取節日限定裝飾和其他豐富獎勵！
-新增活動：驚喜藏品屋活動即將開啟：參與活動，抽取傳說收藏品！   
-重裝出擊優化：優化了強化時的UI表現，更新了全新的戰裝玩法機製，新增玩法內的挑戰任務 。
-信息頁面優化：新增玩家信息頁面的自己所在服務器的信息、新增太空爭霸中攔路巨猿積分受到軍備加成，增加更多戰鬥信息顯示。                                                              
-軍備系統優化：調整了軍備解鎖條件，新增猩球紀元解鎖條件。
-界面及體驗優化：優化了幫派推薦、閱兵場、組隊表現、氣泡的顯示、城內的布局功能、排行榜顯示規則、大地圖迷霧探索玩法、駐防鬥士的篩選邏輯、火車爭霸、火車競賽的相關表現和體驗、對大地圖進行了3D化。</v>
      </c>
      <c r="H30" s="13" t="str">
        <f>IFERROR(__xludf.DUMMYFUNCTION("""COMPUTED_VALUE"""),"-Pejuang baru: Elmo, pejuang legendaris Pilot, pengendara pemberani yang menjaga kota! 
-Fitur baru: Simpan Pusaka yang saat ini berlaku di Emporium Megah, Fitur penggunaan bersamaan Perang Planet dan Ruang Obrolan server awal, Merakit dalam jumlah banyak"&amp;" Perlengkapan Pejuang, Fitur Bongkar, Fitur Keindahan Kota, Fitur Tips Mulai Event, Fitur Peningkatan Level Konvoi Manual 
-Hadiah Pencapaian Baru: Hadiah Pencapaian Pejuang baru, klik untuk lihat di antarmuka setiap Pejuang. 
-Uji Coba Jalan Buntu Baru: "&amp;"Mengeluarkan Medali Pejuang Eksklusif Uji Coba Jalan Buntu dan EXP Pejuang baru 
-Penaklukan Benteng Baru: Peta Penaklukan Benteng ""Pulau"" baru 
-Perang Planet Baru: Skrip versi Power-up, Menambahkan keahlian Pasukan khusus yang sesuai untuk setiap Pasu"&amp;"kan, di antaranya Penembak dan Pembobol Tembok dapat menggunakan mode jarak jauh untuk bertarung 
-Event Liburan baru: Event Eksplorasi Reruntuhan segera dimulai, partisipasi Event dan menangkan dekorasi terbatas serta hadiah mewah lainnya! 
-Event Baru: "&amp;"Event Rumah Pusaka Kejutan akan dibuka: Partisipasi dalam Event untuk mendapatkan Pusaka Emas! 
-Pengoptimalan Serangan Terisi: Mengoptimalkan kinerja UI selama peningkatan, memperbarui mekanisme gameplay perlengkapan baru, misi tantangan baru dalam gamep"&amp;"lay 
-Pengoptimalan Halaman Informasi: Informasi server tempat Anda berada di halaman informasi pemain baru, Poin Penghalang Jalan Giganto di Kompetisi Utama mendapat bonus Senjata baru, lebih banyak informasi pertempuran akan ditampilkan 
-Pengoptimalan "&amp;"Sistem Senjata: Menyesuaikan kondisi buka Senjata, kondisi buka Riwayat Gorila baru 
-Pengoptimalan antarmuka dan pengalaman: Mengoptimalkan Rekomendasi Geng, Tempat Parade, Performa Tim, Tampilan Gelembung, Fitur Peletakan dalam kota, Tampilan Aturan Per"&amp;"ingkat, Gameplay Jelajahi Kabut di Peta, Filter Pejuang Garnisun, Hegemoni Kereta, Performa dan Pengalaman terkait Balap Kereta Hebat, Peta menjadi 3D")</f>
        <v>-Pejuang baru: Elmo, pejuang legendaris Pilot, pengendara pemberani yang menjaga kota! 
-Fitur baru: Simpan Pusaka yang saat ini berlaku di Emporium Megah, Fitur penggunaan bersamaan Perang Planet dan Ruang Obrolan server awal, Merakit dalam jumlah banyak Perlengkapan Pejuang, Fitur Bongkar, Fitur Keindahan Kota, Fitur Tips Mulai Event, Fitur Peningkatan Level Konvoi Manual 
-Hadiah Pencapaian Baru: Hadiah Pencapaian Pejuang baru, klik untuk lihat di antarmuka setiap Pejuang. 
-Uji Coba Jalan Buntu Baru: Mengeluarkan Medali Pejuang Eksklusif Uji Coba Jalan Buntu dan EXP Pejuang baru 
-Penaklukan Benteng Baru: Peta Penaklukan Benteng "Pulau" baru 
-Perang Planet Baru: Skrip versi Power-up, Menambahkan keahlian Pasukan khusus yang sesuai untuk setiap Pasukan, di antaranya Penembak dan Pembobol Tembok dapat menggunakan mode jarak jauh untuk bertarung 
-Event Liburan baru: Event Eksplorasi Reruntuhan segera dimulai, partisipasi Event dan menangkan dekorasi terbatas serta hadiah mewah lainnya! 
-Event Baru: Event Rumah Pusaka Kejutan akan dibuka: Partisipasi dalam Event untuk mendapatkan Pusaka Emas! 
-Pengoptimalan Serangan Terisi: Mengoptimalkan kinerja UI selama peningkatan, memperbarui mekanisme gameplay perlengkapan baru, misi tantangan baru dalam gameplay 
-Pengoptimalan Halaman Informasi: Informasi server tempat Anda berada di halaman informasi pemain baru, Poin Penghalang Jalan Giganto di Kompetisi Utama mendapat bonus Senjata baru, lebih banyak informasi pertempuran akan ditampilkan 
-Pengoptimalan Sistem Senjata: Menyesuaikan kondisi buka Senjata, kondisi buka Riwayat Gorila baru 
-Pengoptimalan antarmuka dan pengalaman: Mengoptimalkan Rekomendasi Geng, Tempat Parade, Performa Tim, Tampilan Gelembung, Fitur Peletakan dalam kota, Tampilan Aturan Peringkat, Gameplay Jelajahi Kabut di Peta, Filter Pejuang Garnisun, Hegemoni Kereta, Performa dan Pengalaman terkait Balap Kereta Hebat, Peta menjadi 3D</v>
      </c>
      <c r="I30" s="63" t="str">
        <f>IFERROR(__xludf.DUMMYFUNCTION("""COMPUTED_VALUE"""),"-นักสู้ตัวใหม่: เอลโม นักสู้พลขับระดับตำนาน นักซิ่งผู้กล้าและผู้พิทักษ์ประจำเมือง!
-ฟีเจอร์ใหม่: แสดงการบันทึกวัตถุโบราณที่ใช้งานอยู่ปัจจุบันในวันเดอร์เอ็มโพเรียม ตอนนี้สามารถใช้เซิร์ฟเวอร์สงครามดวงดาวและเซิร์ฟเวอร์เดิมได้พร้อมกันแล้ว เพิ่มการประกอบและถอด"&amp;"ประกอบอุปกรณ์นักสู้จำนวนมากพร้อมกัน ฟังก์ชันปรับรูปลักษณ์เมือง เพิ่มการแจ้งเตือนกิจกรรม การอัปเกรดคอนวอยด้วยตนเอง
-รางวัลความสำเร็จใหม่: รางวัลความสำเร็จนักสู้ใหม่: ไปดูได้ที่หน้าของนักสู้แต่ละตัว
-บททดสอบผ่านด่านทางตัน: เพิ่มรางวัล EXP และเหรียญตรานักสู้"&amp;"สุดพิเศษสำหรับบททดสอบผ่านด่านทางตัน
-ยึดป้อมปราการ: เพิ่มแผนที่ “เกาะ” เข้ามาใหม่
-สงครามดวงดาว: โหมดเพิ่มพลังใหม่ที่ยูนิตแต่ละประเภทจะได้รับสกิลพิเศษ รวมถึงการโจมตีระยะไกลสำหรับพลยิงและวอลล์เบรกเกอร์
-กิจกรรมวันหยุดใหม่: คาร์นิวัลสุดเซอร์ไพรส์จะเริ่มขึ้น"&amp;"เร็วๆ นี้ เข้าร่วมเพื่อรับของตกแต่งเทศกาลและรางวัลอื่นๆ มากมาย!
-กิจกรรมใหม่: คลังวัตถุโบราณสุดเซอร์ไพรส์จะเริ่มขึ้นเร็วๆ นี้ เข้าร่วมเพื่อรับวัตถุโบราณระดับตำนาน!
-ปรับแก้ไขสำหรับจู่โจมจัดเต็ม: ปรับปรุงการแสดง UI สำหรับการเสริมพลัง อัปเดตกลไกการเล่นของอุ"&amp;"ปกรณ์สวมใส่ใหม่ เพิ่มภารกิจท้าทายใหม่ๆ
-ปรับแก้ไขอินเทอร์เฟซข้อมูล: เพิ่มข้อมูลเซิร์ฟเวอร์ของผู้เล่นลงในหน้าข้อมูลส่วนตัว เพิ่มข้อมูลบูสต์เซ็ตอาวุธสำหรับการนับคะแนนกิกันโต้ขวางทางใน ชิงความเป็นใหญ่ในอวกาศ เพิ่มข้อมูลการต่อสู้มากขึ้น
-ปรับแก้ไขระบบอุปกรณ์:"&amp;" เปลี่ยนข้อกำหนดในการปลดล็อก และเพิ่มเงื่อนไขที่เกี่ยวข้องกับหมุดหมายดวงดาว
-ปรับปรุงอินเทอร์เฟซและประสบการณ์ผู้ใช้: ปรับแก้ไขการแสดงผลและประสบการณ์ใช้งานในส่วนของการแนะนำแก๊ง ลานเดินทัพ การจัดทีม แชทบับเบิล ผังเมือง การแสดงกระดานจัดอันดับ การสำรวจหมอกบนแ"&amp;"ผนที่ ลอจิกการเลือกนักสู้ที่เฝ้ายาม รถไฟด่วน และการแข่งขันรถไฟครั้งใหญ่ ทำให้แผนที่ใหญ่ดูเป็น 3D มากขึ้น")</f>
        <v>-นักสู้ตัวใหม่: เอลโม นักสู้พลขับระดับตำนาน นักซิ่งผู้กล้าและผู้พิทักษ์ประจำเมือง!
-ฟีเจอร์ใหม่: แสดงการบันทึกวัตถุโบราณที่ใช้งานอยู่ปัจจุบันในวันเดอร์เอ็มโพเรียม ตอนนี้สามารถใช้เซิร์ฟเวอร์สงครามดวงดาวและเซิร์ฟเวอร์เดิมได้พร้อมกันแล้ว เพิ่มการประกอบและถอดประกอบอุปกรณ์นักสู้จำนวนมากพร้อมกัน ฟังก์ชันปรับรูปลักษณ์เมือง เพิ่มการแจ้งเตือนกิจกรรม การอัปเกรดคอนวอยด้วยตนเอง
-รางวัลความสำเร็จใหม่: รางวัลความสำเร็จนักสู้ใหม่: ไปดูได้ที่หน้าของนักสู้แต่ละตัว
-บททดสอบผ่านด่านทางตัน: เพิ่มรางวัล EXP และเหรียญตรานักสู้สุดพิเศษสำหรับบททดสอบผ่านด่านทางตัน
-ยึดป้อมปราการ: เพิ่มแผนที่ “เกาะ” เข้ามาใหม่
-สงครามดวงดาว: โหมดเพิ่มพลังใหม่ที่ยูนิตแต่ละประเภทจะได้รับสกิลพิเศษ รวมถึงการโจมตีระยะไกลสำหรับพลยิงและวอลล์เบรกเกอร์
-กิจกรรมวันหยุดใหม่: คาร์นิวัลสุดเซอร์ไพรส์จะเริ่มขึ้นเร็วๆ นี้ เข้าร่วมเพื่อรับของตกแต่งเทศกาลและรางวัลอื่นๆ มากมาย!
-กิจกรรมใหม่: คลังวัตถุโบราณสุดเซอร์ไพรส์จะเริ่มขึ้นเร็วๆ นี้ เข้าร่วมเพื่อรับวัตถุโบราณระดับตำนาน!
-ปรับแก้ไขสำหรับจู่โจมจัดเต็ม: ปรับปรุงการแสดง UI สำหรับการเสริมพลัง อัปเดตกลไกการเล่นของอุปกรณ์สวมใส่ใหม่ เพิ่มภารกิจท้าทายใหม่ๆ
-ปรับแก้ไขอินเทอร์เฟซข้อมูล: เพิ่มข้อมูลเซิร์ฟเวอร์ของผู้เล่นลงในหน้าข้อมูลส่วนตัว เพิ่มข้อมูลบูสต์เซ็ตอาวุธสำหรับการนับคะแนนกิกันโต้ขวางทางใน ชิงความเป็นใหญ่ในอวกาศ เพิ่มข้อมูลการต่อสู้มากขึ้น
-ปรับแก้ไขระบบอุปกรณ์: เปลี่ยนข้อกำหนดในการปลดล็อก และเพิ่มเงื่อนไขที่เกี่ยวข้องกับหมุดหมายดวงดาว
-ปรับปรุงอินเทอร์เฟซและประสบการณ์ผู้ใช้: ปรับแก้ไขการแสดงผลและประสบการณ์ใช้งานในส่วนของการแนะนำแก๊ง ลานเดินทัพ การจัดทีม แชทบับเบิล ผังเมือง การแสดงกระดานจัดอันดับ การสำรวจหมอกบนแผนที่ ลอจิกการเลือกนักสู้ที่เฝ้ายาม รถไฟด่วน และการแข่งขันรถไฟครั้งใหญ่ ทำให้แผนที่ใหญ่ดูเป็น 3D มากขึ้น</v>
      </c>
      <c r="J30" s="159" t="str">
        <f>IFERROR(__xludf.DUMMYFUNCTION("""COMPUTED_VALUE"""),"-Nuevo Luchador: Elmo, Piloto de Combate Legendario, ¡un valiente aviador y guardián de la ciudad!
-Nuevas características: Ahora se puede usar simultáneamente el desplegado de como se muestran las Reliquias activas en el Emporio de las Maravillas; Guerra"&amp;"s Planetarias y el chat del servidor original; se agregó el ensamble y desensamble por lotes de los equipos del Luchador; función de apariencia de la ciudad; se agregaron alertas de eventos; actualización manual de Convoyes.
-Nuevas Recompensas por logros"&amp;": Recompensas de nuevos logros de Luchador; ve a las páginas individuales del Luchador para poder verlas.
-Pruebas de Impasse: Se agregaron recompensas de Medallas de Luchador y de EXP exclusivas para las Pruebas de Impasse.
-Toma de la Fortaleza: Se agre"&amp;"gó un nuevo mapa de ""isla"".
-Guerras Planetarias: Nuevo Modo de Mejora de Poder en donde cada tipo de unidad recibe habilidades especiales, incluidos ataques de largo alcance para los Tiradores y Rompemuros.
-Nuevos eventos festivos: El Carnaval de las "&amp;"Sorpresas comenzará pronto. ¡Participa para ganar adornos festivos y otras recompensas!
-Nuevos Eventos: La Bóveda Sorpresa de Reliquias comenzará pronto. ¡Participa para ganar Reliquias Legendarias!
-Optimización de Golpe Cargado: Mejora en la visualizac"&amp;"ión de la interfaz de usuario para mejoras; actualización en los nuevos mecanismos de juego para los equipos; se agregaron nuevas misiones de desafío.
-Optimización de la interfaz de información: Se agregó la información del servidor de los jugadores a su"&amp;" página de información personal; se agregó información para el potenciador del conjunto de armas para la puntuación del Gigantopithecus en Barricada dentro de la Supremacía del Espacio; se agregó más información de batalla.
-Sistema de Equipos optimizado:"&amp;" Cambio en los requisitos de desbloqueo y se agregaron condiciones relacionadas con los Logros Planetarios.
-Mejoras en la interfaz y la experiencia del usuario: Pantallas optimizadas y experiencia relacionada con las recomendaciones de la Banda, Plaza de"&amp;" Armas, formación de equipos, burbujas de chat, diseño de la ciudad, visualización de la tabla de clasificación, exploración de niebla en el mapa, lógica de selección de los Luchadores en guarnición, Fiebre del Tren y Gran Carrera del Tren. El mapa grande"&amp;" se hizo ahora más 3D.")</f>
        <v>-Nuevo Luchador: Elmo, Piloto de Combate Legendario, ¡un valiente aviador y guardián de la ciudad!
-Nuevas características: Ahora se puede usar simultáneamente el desplegado de como se muestran las Reliquias activas en el Emporio de las Maravillas; Guerras Planetarias y el chat del servidor original; se agregó el ensamble y desensamble por lotes de los equipos del Luchador; función de apariencia de la ciudad; se agregaron alertas de eventos; actualización manual de Convoyes.
-Nuevas Recompensas por logros: Recompensas de nuevos logros de Luchador; ve a las páginas individuales del Luchador para poder verlas.
-Pruebas de Impasse: Se agregaron recompensas de Medallas de Luchador y de EXP exclusivas para las Pruebas de Impasse.
-Toma de la Fortaleza: Se agregó un nuevo mapa de "isla".
-Guerras Planetarias: Nuevo Modo de Mejora de Poder en donde cada tipo de unidad recibe habilidades especiales, incluidos ataques de largo alcance para los Tiradores y Rompemuros.
-Nuevos eventos festivos: El Carnaval de las Sorpresas comenzará pronto. ¡Participa para ganar adornos festivos y otras recompensas!
-Nuevos Eventos: La Bóveda Sorpresa de Reliquias comenzará pronto. ¡Participa para ganar Reliquias Legendarias!
-Optimización de Golpe Cargado: Mejora en la visualización de la interfaz de usuario para mejoras; actualización en los nuevos mecanismos de juego para los equipos; se agregaron nuevas misiones de desafío.
-Optimización de la interfaz de información: Se agregó la información del servidor de los jugadores a su página de información personal; se agregó información para el potenciador del conjunto de armas para la puntuación del Gigantopithecus en Barricada dentro de la Supremacía del Espacio; se agregó más información de batalla.
-Sistema de Equipos optimizado: Cambio en los requisitos de desbloqueo y se agregaron condiciones relacionadas con los Logros Planetarios.
-Mejoras en la interfaz y la experiencia del usuario: Pantallas optimizadas y experiencia relacionada con las recomendaciones de la Banda, Plaza de Armas, formación de equipos, burbujas de chat, diseño de la ciudad, visualización de la tabla de clasificación, exploración de niebla en el mapa, lógica de selección de los Luchadores en guarnición, Fiebre del Tren y Gran Carrera del Tren. El mapa grande se hizo ahora más 3D.</v>
      </c>
      <c r="K30" s="159" t="str">
        <f>IFERROR(__xludf.DUMMYFUNCTION("""COMPUTED_VALUE"""),"-Новый боец: Элмо, легендарный герой-гонщик, отважный ездок и страж города!
-Новые функции: отображение сохранения активных реликвий в Зале Чудес. «Планетарные войны» и чат исходного сервера теперь можно использовать одновременно. Добавлена ​​пакетная сбо"&amp;"рка и разборка снаряжения героев. Функция внешнего вида города. Добавлены оповещения о событиях. Ручное улучшение караванов.
-Новые награды за достижения: новые награды за достижения героев. Перейдите на индивидуальные страницы героев для просмотра.
-«Исп"&amp;"ытания Тупика»: добавлены эксклюзивные медали героев и награды за опыт.
-«Захват крепости»: добавлена ​​новая «островная» карта.
-«Планетарные войны»: новый режим повышения мощности, в котором каждому типу войск даются особые навыки, включая дальнобойные "&amp;"атаки для стрелков и стеноломов.
-Новые праздничные события: скоро начнется «Карнавал сюрпризов». Участвуйте в нем, чтобы выиграть праздничные украшения и другие награды!
-Новые события: скоро начнется «Хранилище неожиданных реликвий». Участвуйте в нем, ч"&amp;"тобы выиграть легендарные реликвии!
-Оптимизация «Заряженного удара»: улучшено отображение пользовательского интерфейса для расширения функциональности. Обновлены игровые механизмы, связанные со снаряжением. Добавлены новые задания испытаний.
-Оптимизация"&amp;" информационного интерфейса: добавлена ​​информация о серверах игроков на их личную страницу. Добавлена ​​информация об усилении набора оружия для подсчета очков в «Блокпосте Гиганто» в «Космическом превосходстве». Добавлено больше информации о битве.
-Оп"&amp;"тимизирована система снаряжения: изменены требования разблокировки и добавлены условия, связанные с «Планетарным рубежом».
-Улучшения интерфейса и пользовательского опыта: усовершенствованы отображение и впечатления, связанные с рекомендацией банды, парад"&amp;"ным плацем, объединением в команду, чатом, макетом города, таблицей лидеров, исследованием тумана на карте, логикой выбора бойцов гарнизона, «Натиском поездов» и «Большими гонками на поездах». Большая карта стала более трехмерной.")</f>
        <v>-Новый боец: Элмо, легендарный герой-гонщик, отважный ездок и страж города!
-Новые функции: отображение сохранения активных реликвий в Зале Чудес. «Планетарные войны» и чат исходного сервера теперь можно использовать одновременно. Добавлена ​​пакетная сборка и разборка снаряжения героев. Функция внешнего вида города. Добавлены оповещения о событиях. Ручное улучшение караванов.
-Новые награды за достижения: новые награды за достижения героев. Перейдите на индивидуальные страницы героев для просмотра.
-«Испытания Тупика»: добавлены эксклюзивные медали героев и награды за опыт.
-«Захват крепости»: добавлена ​​новая «островная» карта.
-«Планетарные войны»: новый режим повышения мощности, в котором каждому типу войск даются особые навыки, включая дальнобойные атаки для стрелков и стеноломов.
-Новые праздничные события: скоро начнется «Карнавал сюрпризов». Участвуйте в нем, чтобы выиграть праздничные украшения и другие награды!
-Новые события: скоро начнется «Хранилище неожиданных реликвий». Участвуйте в нем, чтобы выиграть легендарные реликвии!
-Оптимизация «Заряженного удара»: улучшено отображение пользовательского интерфейса для расширения функциональности. Обновлены игровые механизмы, связанные со снаряжением. Добавлены новые задания испытаний.
-Оптимизация информационного интерфейса: добавлена ​​информация о серверах игроков на их личную страницу. Добавлена ​​информация об усилении набора оружия для подсчета очков в «Блокпосте Гиганто» в «Космическом превосходстве». Добавлено больше информации о битве.
-Оптимизирована система снаряжения: изменены требования разблокировки и добавлены условия, связанные с «Планетарным рубежом».
-Улучшения интерфейса и пользовательского опыта: усовершенствованы отображение и впечатления, связанные с рекомендацией банды, парадным плацем, объединением в команду, чатом, макетом города, таблицей лидеров, исследованием тумана на карте, логикой выбора бойцов гарнизона, «Натиском поездов» и «Большими гонками на поездах». Большая карта стала более трехмерной.</v>
      </c>
      <c r="L30" s="44" t="str">
        <f>IFERROR(__xludf.DUMMYFUNCTION("""COMPUTED_VALUE"""),"-Yeni Savaşçı: Elmo, Efsanevi Pilot Savaşçısı, cesur bir binici ve şehrin koruyucusu!
-Yeni özellikler: Harikalar Dükkânı'nda bulunan aktif Kalıntıların kayıtlarını gösterir; Gezegen Savaşları ve orijinal sunucu sohbeti artık aynı anda kullanabilir; Savaş"&amp;"çı ekipmanını toplu birleştirme ve demonte etme özelliği eklendi; şehir görünümü işlevi; etkinlik alarmları eklendi; Konvoylar manuel olarak yükseltilebilecek.
-Yeni Başarı ödülleri: Yeni Savaşçı Başarı ödülleri; incelemek için Savaşçıların kendi sayfalar"&amp;"ına git.
-Çıkmaz Durum Denemeleri: Çıkmaz Durum Denemelerine özel Savaşçı Madalyaları ve DEN ödülleri eklendi. Kaleyi Ele Geçirme: Yeni bir ""ada"" haritası eklendi.
-Gezegen Savaşları: Her birim türüne Nişancılar ve Duvar Kırıcılar için uzun menzilli sal"&amp;"dırılar dâhil olmak üzere özel becerilerin verildiği Yeni Güç Geliştirme Modu.
-Yeni tatil etkinlikleri: Sürpriz Şenliği yakında başlıyor. Festival dekorasyonlarını ve diğer ödülleri kazanmak için katıl!
-Yeni etkinlikler: Sürpriz Kalıntı Mahzeni yakında "&amp;"başlıyor. Efsanevi Kalıntılar kazanmak için katıl!
-Yüklü Vuruş optimizasyonu: Geliştirmeler için kullanıcı arayüzü iyileştirildi; güncellenmiş yeni ekipmanların oynanış mekanizmaları; yeni meydan okuma görevleri eklendi.
-Bilgi arayüzü optimizasyonu: Oyu"&amp;"ncuların sunucu bilgileri, kişisel bilgi sayfalarına eklendi; Uzay Üstünlüğü etkinliğinde Bariyer Gigantosu puanı almak için silah seti güçlendirmesi eklendi; daha fazla savaş bilgisi eklendi.
-Aksesuar sistemi optimizasyonu: Kilit açma gereklilikleri değ"&amp;"iştirildi ve Gezegen Dönüm Noktasıyla ilgili koşullar eklendi.
-Arayüz ve kullanı deneyimi iyileştirmeleri: Çete önerisi, Geçit Töreni Yeri, ekip kurma, sohbet baloncukları, şehir düzeni, liderlik panosu, haritada sis keşfi, garnizon Savaşçıları, Trene Hü"&amp;"cum ve Büyük Tren Yarışı seçim mantığıyla ilgili deneyim ve görünümler optimize edildi. Büyük harita daha fazla 3D yapıldı.")</f>
        <v>-Yeni Savaşçı: Elmo, Efsanevi Pilot Savaşçısı, cesur bir binici ve şehrin koruyucusu!
-Yeni özellikler: Harikalar Dükkânı'nda bulunan aktif Kalıntıların kayıtlarını gösterir; Gezegen Savaşları ve orijinal sunucu sohbeti artık aynı anda kullanabilir; Savaşçı ekipmanını toplu birleştirme ve demonte etme özelliği eklendi; şehir görünümü işlevi; etkinlik alarmları eklendi; Konvoylar manuel olarak yükseltilebilecek.
-Yeni Başarı ödülleri: Yeni Savaşçı Başarı ödülleri; incelemek için Savaşçıların kendi sayfalarına git.
-Çıkmaz Durum Denemeleri: Çıkmaz Durum Denemelerine özel Savaşçı Madalyaları ve DEN ödülleri eklendi. Kaleyi Ele Geçirme: Yeni bir "ada" haritası eklendi.
-Gezegen Savaşları: Her birim türüne Nişancılar ve Duvar Kırıcılar için uzun menzilli saldırılar dâhil olmak üzere özel becerilerin verildiği Yeni Güç Geliştirme Modu.
-Yeni tatil etkinlikleri: Sürpriz Şenliği yakında başlıyor. Festival dekorasyonlarını ve diğer ödülleri kazanmak için katıl!
-Yeni etkinlikler: Sürpriz Kalıntı Mahzeni yakında başlıyor. Efsanevi Kalıntılar kazanmak için katıl!
-Yüklü Vuruş optimizasyonu: Geliştirmeler için kullanıcı arayüzü iyileştirildi; güncellenmiş yeni ekipmanların oynanış mekanizmaları; yeni meydan okuma görevleri eklendi.
-Bilgi arayüzü optimizasyonu: Oyuncuların sunucu bilgileri, kişisel bilgi sayfalarına eklendi; Uzay Üstünlüğü etkinliğinde Bariyer Gigantosu puanı almak için silah seti güçlendirmesi eklendi; daha fazla savaş bilgisi eklendi.
-Aksesuar sistemi optimizasyonu: Kilit açma gereklilikleri değiştirildi ve Gezegen Dönüm Noktasıyla ilgili koşullar eklendi.
-Arayüz ve kullanı deneyimi iyileştirmeleri: Çete önerisi, Geçit Töreni Yeri, ekip kurma, sohbet baloncukları, şehir düzeni, liderlik panosu, haritada sis keşfi, garnizon Savaşçıları, Trene Hücum ve Büyük Tren Yarışı seçim mantığıyla ilgili deneyim ve görünümler optimize edildi. Büyük harita daha fazla 3D yapıldı.</v>
      </c>
      <c r="M30" s="159" t="str">
        <f>IFERROR(__xludf.DUMMYFUNCTION("""COMPUTED_VALUE"""),"-Chiến Binh Mới: Elmo, Chiến Binh Huyền Thoại Phi Công, kỵ sĩ dũng cảm bảo vệ Thành Phố! 
-Tính năng mới: Giao diện Trung Tâm Thương Mại Kỳ Thú hiện tại đang có hiệu lực thu thập Di Tích, Chiến Tranh Hành Tinh và phòng chat server ban đầu cùng lúc sử dụng"&amp;" tính năng, lắp ráp số lượng lớn Trang Bị Chiến Binh, tính năng tháo rời, tính năng độ mỹ quan Thành Phố, tính năng nhắc nhở bắt đầu sự kiện, tính năng thủ công nâng cấp Hộ Tống
-Phần thưởng Thành Tựu mới: Thêm phần thưởng Thành Tựu Chiến Binh, vào mỗi gi"&amp;"ao diện Chiến Binh sẽ có thể nhấn để xem. 
-Thêm mới Thí Luyện Tuyệt Địa: Thêm Huy Hiệu Chiến Binh độc quyền Thí Luyện Tuyệt Địa và cung cấp EXP Chiến Binh
-Thêm mới Tiếp Quản Pháo Đài: Thêm bản đồ Tiếp Quản Pháo Đài “Hải Đảo”
-Thêm mới Chiến Tranh Hành T"&amp;"inh: Kịch bản tăng sức mạnh, thêm một kỹ năng Binh Chủng đặc biệt tương ứng cho mỗi một binh chủng, trong đó Xạ Thủ và Lính Phá Thành có thể bật chế độ tầm xa tiến hành chiến đấu
-Sự kiện Ngày Lễ mới: Sự kiện Đêm Lễ Hội Bất Ngờ sắp bắt đầu: Tham gia sự ki"&amp;"ện, giành được vật phẩm trang trí &amp; phần thưởng đặc biệt trong các sự kiện ngày lễ! 
-Sự kiện mới: Sự kiện Phòng Sưu Tập Bất Ngờ sắp bắt đầu: Tham gia sự kiện, giành được Di Tích huyền thoại! 
Tối ưu hoá Tấn Công Đã Tải: Tối ưu hóa UI thể hiện khi cường h"&amp;"oá, cập nhật cơ chế lối chơi trang bị hoàn toàn mới, thêm các nhiệm vụ thử thách trong nội dung lối chơi
-Tối ưu hoá giao diện thông tin: Giao diện thông tin người chơi hiển thị thêm thông tin server của bản thân, thêm tăng cường Vũ Khí nhận được từ điểm "&amp;"Rào Cản Vượn Khổng Lồ trong Tranh Hùng Bá Chủ, thêm nhiều thông tin chiến đấu
-Tối ưu hoá hệ thống Vũ Khí: Điều chỉnh điều kiện mở khoá Vũ Khí, thêm điều kiện mở khoá Kỷ Nguyên Hành Tinh
-Tối ưu hoá trải nghiệm và giao diện: Đã tối ưu Đề Xuất Bang Hội, Sâ"&amp;"n Diễu Hành, Thể Hiện Tổ Đội, Hiển Thị Bong Bóng, tính năng Bố Cục trong Thành Phố, quy tắc hiển thị BXH, lối chơi Khám Phá Sương Mù bản đồ lớn, logic sàng lọc Chiến Binh phòng thủ, thể hiện và trải nghiệm liên quan đến Xe Lửa Tranh Bá, Đường Đua Xe Lửa L"&amp;"ớn, tiến hành 3D hoá đối với bản đồ lớn.")</f>
        <v>-Chiến Binh Mới: Elmo, Chiến Binh Huyền Thoại Phi Công, kỵ sĩ dũng cảm bảo vệ Thành Phố! 
-Tính năng mới: Giao diện Trung Tâm Thương Mại Kỳ Thú hiện tại đang có hiệu lực thu thập Di Tích, Chiến Tranh Hành Tinh và phòng chat server ban đầu cùng lúc sử dụng tính năng, lắp ráp số lượng lớn Trang Bị Chiến Binh, tính năng tháo rời, tính năng độ mỹ quan Thành Phố, tính năng nhắc nhở bắt đầu sự kiện, tính năng thủ công nâng cấp Hộ Tống
-Phần thưởng Thành Tựu mới: Thêm phần thưởng Thành Tựu Chiến Binh, vào mỗi giao diện Chiến Binh sẽ có thể nhấn để xem. 
-Thêm mới Thí Luyện Tuyệt Địa: Thêm Huy Hiệu Chiến Binh độc quyền Thí Luyện Tuyệt Địa và cung cấp EXP Chiến Binh
-Thêm mới Tiếp Quản Pháo Đài: Thêm bản đồ Tiếp Quản Pháo Đài “Hải Đảo”
-Thêm mới Chiến Tranh Hành Tinh: Kịch bản tăng sức mạnh, thêm một kỹ năng Binh Chủng đặc biệt tương ứng cho mỗi một binh chủng, trong đó Xạ Thủ và Lính Phá Thành có thể bật chế độ tầm xa tiến hành chiến đấu
-Sự kiện Ngày Lễ mới: Sự kiện Đêm Lễ Hội Bất Ngờ sắp bắt đầu: Tham gia sự kiện, giành được vật phẩm trang trí &amp; phần thưởng đặc biệt trong các sự kiện ngày lễ! 
-Sự kiện mới: Sự kiện Phòng Sưu Tập Bất Ngờ sắp bắt đầu: Tham gia sự kiện, giành được Di Tích huyền thoại! 
Tối ưu hoá Tấn Công Đã Tải: Tối ưu hóa UI thể hiện khi cường hoá, cập nhật cơ chế lối chơi trang bị hoàn toàn mới, thêm các nhiệm vụ thử thách trong nội dung lối chơi
-Tối ưu hoá giao diện thông tin: Giao diện thông tin người chơi hiển thị thêm thông tin server của bản thân, thêm tăng cường Vũ Khí nhận được từ điểm Rào Cản Vượn Khổng Lồ trong Tranh Hùng Bá Chủ, thêm nhiều thông tin chiến đấu
-Tối ưu hoá hệ thống Vũ Khí: Điều chỉnh điều kiện mở khoá Vũ Khí, thêm điều kiện mở khoá Kỷ Nguyên Hành Tinh
-Tối ưu hoá trải nghiệm và giao diện: Đã tối ưu Đề Xuất Bang Hội, Sân Diễu Hành, Thể Hiện Tổ Đội, Hiển Thị Bong Bóng, tính năng Bố Cục trong Thành Phố, quy tắc hiển thị BXH, lối chơi Khám Phá Sương Mù bản đồ lớn, logic sàng lọc Chiến Binh phòng thủ, thể hiện và trải nghiệm liên quan đến Xe Lửa Tranh Bá, Đường Đua Xe Lửa Lớn, tiến hành 3D hoá đối với bản đồ lớn.</v>
      </c>
      <c r="N30" s="159"/>
      <c r="O30" s="148"/>
      <c r="P30" s="148"/>
      <c r="Q30" s="148"/>
      <c r="R30" s="148"/>
      <c r="S30" s="148"/>
      <c r="T30" s="148"/>
      <c r="U30" s="148"/>
      <c r="V30" s="148"/>
      <c r="W30" s="148"/>
      <c r="X30" s="148"/>
      <c r="Y30" s="148"/>
      <c r="Z30" s="148"/>
    </row>
    <row r="31">
      <c r="A31" s="161" t="str">
        <f>IFERROR(__xludf.DUMMYFUNCTION("""COMPUTED_VALUE"""),"0.48.0")</f>
        <v>0.48.0</v>
      </c>
      <c r="B31" s="162" t="str">
        <f>IFERROR(__xludf.DUMMYFUNCTION("""COMPUTED_VALUE"""),"-新增斗士：荒野机械师-奥德里奇，在荒野中行侠仗义的强大战士！可通过最强猴子获取。
-新增功能：部队托管。可以从作战中心进入，将自己的部队托管给同氏族或同帮派的好友控制。
-新增功能：讨伐霍格博士活动中新增限时玩法，现在可以强化收藏品，对霍格博士造成更高伤害了！
-新增节日活动：“丰收盛宴”活动即将开启，参与活动，赢取节日限定主城皮肤和其他丰富奖励！
-狂飙拉力赛优化：新增典藏补给站、拉力赛专属增益等新鲜内容。更长的赛季周期，更多的活动奖励，超多惊喜，助你一猴当先！
-围剿变异猴优化：新增了排行榜，优化了"&amp;"界面显示和体验，挑战过程中切到后台或离线将不再退出副本。
-新增功能：新增一套射击手属性的斗士战装。“堡垒对决”玩法新增矿洞场景和图鉴功能，关卡数量增加300关。游戏新增了一批橙色斗士雕像。增加了霸主“猩球印记”相关头衔的聊天展示。增加了在霍格博士与竞技场中点击部队头像编辑功能。
-界面及体验优化：优化了飞艇击落战、决战卫星之巅、排行榜、集结界面、占领建筑提示、猩球纪元、艾文寻宝记、帮派邀请弹窗、斗士形象展示界面、快速使用资源等功能的体验和界面表现。")</f>
        <v>-新增斗士：荒野机械师-奥德里奇，在荒野中行侠仗义的强大战士！可通过最强猴子获取。
-新增功能：部队托管。可以从作战中心进入，将自己的部队托管给同氏族或同帮派的好友控制。
-新增功能：讨伐霍格博士活动中新增限时玩法，现在可以强化收藏品，对霍格博士造成更高伤害了！
-新增节日活动：“丰收盛宴”活动即将开启，参与活动，赢取节日限定主城皮肤和其他丰富奖励！
-狂飙拉力赛优化：新增典藏补给站、拉力赛专属增益等新鲜内容。更长的赛季周期，更多的活动奖励，超多惊喜，助你一猴当先！
-围剿变异猴优化：新增了排行榜，优化了界面显示和体验，挑战过程中切到后台或离线将不再退出副本。
-新增功能：新增一套射击手属性的斗士战装。“堡垒对决”玩法新增矿洞场景和图鉴功能，关卡数量增加300关。游戏新增了一批橙色斗士雕像。增加了霸主“猩球印记”相关头衔的聊天展示。增加了在霍格博士与竞技场中点击部队头像编辑功能。
-界面及体验优化：优化了飞艇击落战、决战卫星之巅、排行榜、集结界面、占领建筑提示、猩球纪元、艾文寻宝记、帮派邀请弹窗、斗士形象展示界面、快速使用资源等功能的体验和界面表现。</v>
      </c>
      <c r="C31" s="12" t="str">
        <f>IFERROR(__xludf.DUMMYFUNCTION("""COMPUTED_VALUE"""),"- New Fighter: Wildland Mechanic, Aldrich, a mighty warrior who fights for justice! Get him from Ultimate Monkey.
- New feature: Delegate troops. Delegate troops to friends in your Clan or Gang and allow them to use these units. Access this feature from t"&amp;"he Command Center.
- New feature: Time limit mode added to Attack on Dr. Hogg. You can now enhance Relics and deal more damage to the boss!
- New special event: ""Harvest Feast"" starts soon! Participate to win special-edition city skin and other rewards!"&amp;"
- Cyclone Rally optimized: Added new features including Supreme Supply Stations, exclusive boosts, and more! Get ahead with a longer event season and more rewards!
- Operation Mutants optimized: Leaderboard added; improved the interface display and exper"&amp;"ience; now you won't exit the gameplay when you log out or have the app running in the background.
- New features: New set of Fighter equipment with Hitter stats added. For ""Fortress Takeover,"" added a new guide feature and cave scenes, and expanded lev"&amp;"els to 300. Legendary Fighter statues added to the game. Added chat icons of the ""Seal of Supremacy"" titles distributed by the Overlord. You can now tap the troop avatar to edit formations in Dr. Hogg and Primate Brawl.
- Interface and user experience o"&amp;"ptimizations: Improved the interface displays and functional experience of various features including Airship Shootdown, Astral Coliseum, leaderboards, rally interface, tip for occupied buildings, Planet Milestone, Alvin's Treasure Hunt, Gang invite pop-u"&amp;"p window, Fighter display page, auto-using resources, and more.")</f>
        <v>- New Fighter: Wildland Mechanic, Aldrich, a mighty warrior who fights for justice! Get him from Ultimate Monkey.
- New feature: Delegate troops. Delegate troops to friends in your Clan or Gang and allow them to use these units. Access this feature from the Command Center.
- New feature: Time limit mode added to Attack on Dr. Hogg. You can now enhance Relics and deal more damage to the boss!
- New special event: "Harvest Feast" starts soon! Participate to win special-edition city skin and other rewards!
- Cyclone Rally optimized: Added new features including Supreme Supply Stations, exclusive boosts, and more! Get ahead with a longer event season and more rewards!
- Operation Mutants optimized: Leaderboard added; improved the interface display and experience; now you won't exit the gameplay when you log out or have the app running in the background.
- New features: New set of Fighter equipment with Hitter stats added. For "Fortress Takeover," added a new guide feature and cave scenes, and expanded levels to 300. Legendary Fighter statues added to the game. Added chat icons of the "Seal of Supremacy" titles distributed by the Overlord. You can now tap the troop avatar to edit formations in Dr. Hogg and Primate Brawl.
- Interface and user experience optimizations: Improved the interface displays and functional experience of various features including Airship Shootdown, Astral Coliseum, leaderboards, rally interface, tip for occupied buildings, Planet Milestone, Alvin's Treasure Hunt, Gang invite pop-up window, Fighter display page, auto-using resources, and more.</v>
      </c>
      <c r="D31" s="163" t="str">
        <f>IFERROR(__xludf.DUMMYFUNCTION("""COMPUTED_VALUE"""),"- Nouveau combattant: Aldrich, le mécano des terres sauvages et puissant justicier! Obtenez-le dans le Singe ultime.
- Nouvelle fonctionnalité: délégation de troupes. Déléguez des troupes à vos alliés du clan ou du gang. Ces derniers pourront utiliser vos"&amp;" unités. Rendez-vous dans le centre de commandement pour accéder à cette fonctionnalité.
- Nouvelle fonctionnalité: mode durée limitée ajouté à l'Attaque du Dr Hogg. Vous pouvez désormais améliorer vos reliques et infliger plus de dégâts au boss!
- Nouvel"&amp;" évènement spécial: le ""Festin des récoltes"" va bientôt démarrer! Prenez part aux festivités pour gagner un skin de ville exclusif et d'autres récompenses!
- Optimisation du Rallye du cyclone: ajout de nouvelles stations d'appro ultimes, de bonus exclus"&amp;"ifs et plus encore! L'évènement dure maintenant plus longtemps pour vous permettre d'obtenir encore plus de récompenses!
- Optimisation de l'Opération mutants: nouveau classement. Amélioration de l'interface et de l'expérience joueu. Désormais, vous ne qu"&amp;"ittez plus l'évènement lorsque vous vous déconnectez ou que vous mettez l'application en arrière-plan.
- Nouvelles fonctionnalités: ajout d'un nouvel ensemble d'équipement pour combattant avec des statistiques destinées aux bastonneurs. Ajout d'un guide e"&amp;"t de scènes dans la grotte, et augmentation des niveaux jusqu'à 300 dans ""l'Invasion de forteresse"". Ajout de statues de combattants légendaires. Ajout d'icônes de chat liées aux ""badges de suprématie"" distribués par le Souverain. Dans Dr Hogg et la B"&amp;"aston des primates, vous pouvez désormais cliquer sur l'avatar des troupes pour modifier leur formation.
- Optimisation de l'interface et de l'expérience utilisateur: amélioration de l’interface d’Abattez le dirigeable, du Colisée Astral, des classements,"&amp;" de l'interface des raids, des astuces pour les bâtiments occupés, des évènements planétaires, de la Chasse aux trésors d'Alvin, des fenêtres pop-up d'invitation de gang, de la page des combattants, de l'utilisation automatique de ressources, et plus enco"&amp;"re.")</f>
        <v>- Nouveau combattant: Aldrich, le mécano des terres sauvages et puissant justicier! Obtenez-le dans le Singe ultime.
- Nouvelle fonctionnalité: délégation de troupes. Déléguez des troupes à vos alliés du clan ou du gang. Ces derniers pourront utiliser vos unités. Rendez-vous dans le centre de commandement pour accéder à cette fonctionnalité.
- Nouvelle fonctionnalité: mode durée limitée ajouté à l'Attaque du Dr Hogg. Vous pouvez désormais améliorer vos reliques et infliger plus de dégâts au boss!
- Nouvel évènement spécial: le "Festin des récoltes" va bientôt démarrer! Prenez part aux festivités pour gagner un skin de ville exclusif et d'autres récompenses!
- Optimisation du Rallye du cyclone: ajout de nouvelles stations d'appro ultimes, de bonus exclusifs et plus encore! L'évènement dure maintenant plus longtemps pour vous permettre d'obtenir encore plus de récompenses!
- Optimisation de l'Opération mutants: nouveau classement. Amélioration de l'interface et de l'expérience joueu. Désormais, vous ne quittez plus l'évènement lorsque vous vous déconnectez ou que vous mettez l'application en arrière-plan.
- Nouvelles fonctionnalités: ajout d'un nouvel ensemble d'équipement pour combattant avec des statistiques destinées aux bastonneurs. Ajout d'un guide et de scènes dans la grotte, et augmentation des niveaux jusqu'à 300 dans "l'Invasion de forteresse". Ajout de statues de combattants légendaires. Ajout d'icônes de chat liées aux "badges de suprématie" distribués par le Souverain. Dans Dr Hogg et la Baston des primates, vous pouvez désormais cliquer sur l'avatar des troupes pour modifier leur formation.
- Optimisation de l'interface et de l'expérience utilisateur: amélioration de l’interface d’Abattez le dirigeable, du Colisée Astral, des classements, de l'interface des raids, des astuces pour les bâtiments occupés, des évènements planétaires, de la Chasse aux trésors d'Alvin, des fenêtres pop-up d'invitation de gang, de la page des combattants, de l'utilisation automatique de ressources, et plus encore.</v>
      </c>
      <c r="E31" s="12" t="str">
        <f>IFERROR(__xludf.DUMMYFUNCTION("""COMPUTED_VALUE"""),"- Neuer Kämpfer: Der Wildnis-Mechaniker Aldrich, ein mächtiger Kämpfer, der für die Gerechtigkeit kämpft! Erhalte ihn bei Ultimativer Affe.
 - Neue Funktion: Truppen delegieren. Delegiere Truppen an Freunde in deinem Clan oder deiner Horde und erlaube ihn"&amp;"en, diese Einheiten zu benutzen. Du erreichst diese Funktion über das Kommandozentrum.
 - Neue Funktion: Zeitlimit-Modus für den Angriff auf Dr. Hogg hinzugefügt. Du kannst jetzt Relikte verbessern und dem Boss mehr Schaden verursachen!
 - Neues spezielle"&amp;"s Event: Das ""Ernte-Festmahl"" beginnt bald! Nimm teil und gewinne eine Spezialedition Stadt-Skin und andere Belohnungen!
 - Das Zyklon-Rennen wurde optimiert: Neue Features wie Überragende Versorgungsstationen, exklusive Boosts und mehr! Mit einer länge"&amp;"ren Event-Saison und mehr Belohnungen bist du ganz vorne mit dabei!
 - Operation Mutanten wurde optimiert: Eine Rangliste wurde hinzugefügt; Interface und Spielerlebnis wurden optimiert; jetzt wird das Spiel nicht mehr beendet, wenn du dich ausloggst oder"&amp;" die App im Hintergrund laufen lässt.
 - Neue Funktionen: Neues Ausrüstungsset für Kämpfer mit Schläger-Statistiken hinzugefügt. Für ""Festungsübernahme"" wurden eine Anleitung und Höhlenszenen hinzugefügt und die Anzahl der Level auf 300 erhöht. Legendär"&amp;"e Kämpfer-Statuen wurden dem Spiel hinzugefügt. Chat-Symbole für die ""Vorherrschaft-Siegel""-Titel, die vom Overlord verteilt werden, wurden hinzugefügt. Du kannst jetzt auf den Truppen-Avatar tippen, um Formationen bei Dr. Hogg und Primatenkrawall zu be"&amp;"arbeiten.
 - Optimierungen des Interfaces und der Benutzerfreundlichkeit: Die Interface-Anzeigen und die Funktionsweise verschiedener Funktionen wurden optimiert, darunter Luftschiff-Abschuss, Astral-Kolosseum, Ranglisten, Sammelangriff-Interface, Tipps f"&amp;"ür besetzte Gebäude, Planeten-Meilenstein, Alvins Schatzsuche, Clan-Einladungs-Pop-Ups, Kämpfer-Anzeigeseite, automatische Nutzung von Ressourcen und mehr.")</f>
        <v>- Neuer Kämpfer: Der Wildnis-Mechaniker Aldrich, ein mächtiger Kämpfer, der für die Gerechtigkeit kämpft! Erhalte ihn bei Ultimativer Affe.
 - Neue Funktion: Truppen delegieren. Delegiere Truppen an Freunde in deinem Clan oder deiner Horde und erlaube ihnen, diese Einheiten zu benutzen. Du erreichst diese Funktion über das Kommandozentrum.
 - Neue Funktion: Zeitlimit-Modus für den Angriff auf Dr. Hogg hinzugefügt. Du kannst jetzt Relikte verbessern und dem Boss mehr Schaden verursachen!
 - Neues spezielles Event: Das "Ernte-Festmahl" beginnt bald! Nimm teil und gewinne eine Spezialedition Stadt-Skin und andere Belohnungen!
 - Das Zyklon-Rennen wurde optimiert: Neue Features wie Überragende Versorgungsstationen, exklusive Boosts und mehr! Mit einer längeren Event-Saison und mehr Belohnungen bist du ganz vorne mit dabei!
 - Operation Mutanten wurde optimiert: Eine Rangliste wurde hinzugefügt; Interface und Spielerlebnis wurden optimiert; jetzt wird das Spiel nicht mehr beendet, wenn du dich ausloggst oder die App im Hintergrund laufen lässt.
 - Neue Funktionen: Neues Ausrüstungsset für Kämpfer mit Schläger-Statistiken hinzugefügt. Für "Festungsübernahme" wurden eine Anleitung und Höhlenszenen hinzugefügt und die Anzahl der Level auf 300 erhöht. Legendäre Kämpfer-Statuen wurden dem Spiel hinzugefügt. Chat-Symbole für die "Vorherrschaft-Siegel"-Titel, die vom Overlord verteilt werden, wurden hinzugefügt. Du kannst jetzt auf den Truppen-Avatar tippen, um Formationen bei Dr. Hogg und Primatenkrawall zu bearbeiten.
 - Optimierungen des Interfaces und der Benutzerfreundlichkeit: Die Interface-Anzeigen und die Funktionsweise verschiedener Funktionen wurden optimiert, darunter Luftschiff-Abschuss, Astral-Kolosseum, Ranglisten, Sammelangriff-Interface, Tipps für besetzte Gebäude, Planeten-Meilenstein, Alvins Schatzsuche, Clan-Einladungs-Pop-Ups, Kämpfer-Anzeigeseite, automatische Nutzung von Ressourcen und mehr.</v>
      </c>
      <c r="F31" s="12" t="str">
        <f>IFERROR(__xludf.DUMMYFUNCTION("""COMPUTED_VALUE"""),"- Novo combatente: Mecânico da Terra Selvagem, Aldrich, um poderoso guerreiro que luta por justiça! Obtenha-o em Macaco Supremo.
- Novo recurso: Delegar tropas. Delegue tropas a amigos do seu clã ou gangue e permita que usem essas unidades. Acesse o recur"&amp;"so no Centro de Comando.
- Novo recurso: modo de limite de tempo adicionado em Ataque a Dr. Hogg. Agora você pode melhorar relíquias e causar mais dano no chefe!
- Novo evento especial: ""Banquete da Colheita"" começa em breve! Participe para ganhar uma e"&amp;"dição especial de uma skin de cidade e outras recompensas!
- Incursão Ciclone otimizada: novos recursos adicionados, Estações de Suprimentos Supremos, bônus exclusivos e mais! Saia na frente de uma temporada de eventos mais longa com mais recompensas!
- O"&amp;"peração Mutantes otimizada: adição do placar, melhoria na exibição e experiência na interface. Agora você não sai mais do modo quando sair do jogo ou o app estiver em segundo plano.
- Novos recursos: novo conjunto de equipamentos de combatente com atribut"&amp;"os de golpeador adicionados. Em ""Conquista da Fortaleza"" foram adicionados um novo guia e cenas de caverna, além da expansão dos níveis até o 300. Estátuas de combatentes lendários foram adicionadas. Adicionados ícones de chat em títulos do ""Selo da Su"&amp;"premacia"" distribuídos ao Soberano. Agora você pode tocar no avatar da tropa para editar formações em Dr. Hogg e Briga Primata.
- Otimizações na experiência de usuário e interfaces: melhoria na exibição de interfaces e experiência de uso de vários recurs"&amp;"os, incluindo Ataque do Dirigível, Coliseu Astral, placares, interface de incursões, dicas para estruturas ocupadas, Marco Planetário, Caça ao Tesouro de Alvin, janela de pop-up de convite de gangue, página de exibição do combatente, uso automático de rec"&amp;"ursos e mais.")</f>
        <v>- Novo combatente: Mecânico da Terra Selvagem, Aldrich, um poderoso guerreiro que luta por justiça! Obtenha-o em Macaco Supremo.
- Novo recurso: Delegar tropas. Delegue tropas a amigos do seu clã ou gangue e permita que usem essas unidades. Acesse o recurso no Centro de Comando.
- Novo recurso: modo de limite de tempo adicionado em Ataque a Dr. Hogg. Agora você pode melhorar relíquias e causar mais dano no chefe!
- Novo evento especial: "Banquete da Colheita" começa em breve! Participe para ganhar uma edição especial de uma skin de cidade e outras recompensas!
- Incursão Ciclone otimizada: novos recursos adicionados, Estações de Suprimentos Supremos, bônus exclusivos e mais! Saia na frente de uma temporada de eventos mais longa com mais recompensas!
- Operação Mutantes otimizada: adição do placar, melhoria na exibição e experiência na interface. Agora você não sai mais do modo quando sair do jogo ou o app estiver em segundo plano.
- Novos recursos: novo conjunto de equipamentos de combatente com atributos de golpeador adicionados. Em "Conquista da Fortaleza" foram adicionados um novo guia e cenas de caverna, além da expansão dos níveis até o 300. Estátuas de combatentes lendários foram adicionadas. Adicionados ícones de chat em títulos do "Selo da Supremacia" distribuídos ao Soberano. Agora você pode tocar no avatar da tropa para editar formações em Dr. Hogg e Briga Primata.
- Otimizações na experiência de usuário e interfaces: melhoria na exibição de interfaces e experiência de uso de vários recursos, incluindo Ataque do Dirigível, Coliseu Astral, placares, interface de incursões, dicas para estruturas ocupadas, Marco Planetário, Caça ao Tesouro de Alvin, janela de pop-up de convite de gangue, página de exibição do combatente, uso automático de recursos e mais.</v>
      </c>
      <c r="G31" s="12" t="str">
        <f>IFERROR(__xludf.DUMMYFUNCTION("""COMPUTED_VALUE"""),"-新增鬥士：荒野機械師-奧德里奇，在荒野中行俠仗義的強大戰士！可通過最強猴子獲取。
-新增功能：部隊託管。可以從作戰中心進入，將自己的部隊託管給同氏族或同幫派的好友控制。
-新增功能：討伐霍格博士活動中新增限時玩法，現在可以強化收藏品，對霍格博士造成更高傷害了！
-新增節日活動：“豐收盛宴”活動即將開啟，參與活動，贏取節日限定主城皮膚和其他豐富獎勵！
-狂飆拉力賽優化：新增典藏補給站、拉力賽專屬增益等新鮮內容。更長的賽季週期，更多的活動獎勵，超多驚喜，助你一猴當先！
-圍剿變異猴優化：新增了排行榜，優化了"&amp;"界面顯示和體驗，挑戰過程中切到後台或離線將不再退出副本。
-新增功能：新增一套射擊手屬性的鬥士戰裝。 “堡壘對決”玩法新增礦洞場景和圖鑑功能，關卡數量增加300關。遊戲新增了一批橙色鬥士雕像。增加了霸主“猩球印記”相關頭銜的聊天展示。增加了在霍格博士與競技場中點擊部隊頭像編輯功能。
-界面及體驗優化：優化了飛艇擊落戰、決戰衛星之巔、排行榜、集結界面、佔領建築提示、猩球紀元、艾文尋寶記、幫派邀請彈窗、鬥士形象展示界面、快速使用資源等功能的體驗和界面表現。 ")</f>
        <v>-新增鬥士：荒野機械師-奧德里奇，在荒野中行俠仗義的強大戰士！可通過最強猴子獲取。
-新增功能：部隊託管。可以從作戰中心進入，將自己的部隊託管給同氏族或同幫派的好友控制。
-新增功能：討伐霍格博士活動中新增限時玩法，現在可以強化收藏品，對霍格博士造成更高傷害了！
-新增節日活動：“豐收盛宴”活動即將開啟，參與活動，贏取節日限定主城皮膚和其他豐富獎勵！
-狂飆拉力賽優化：新增典藏補給站、拉力賽專屬增益等新鮮內容。更長的賽季週期，更多的活動獎勵，超多驚喜，助你一猴當先！
-圍剿變異猴優化：新增了排行榜，優化了界面顯示和體驗，挑戰過程中切到後台或離線將不再退出副本。
-新增功能：新增一套射擊手屬性的鬥士戰裝。 “堡壘對決”玩法新增礦洞場景和圖鑑功能，關卡數量增加300關。遊戲新增了一批橙色鬥士雕像。增加了霸主“猩球印記”相關頭銜的聊天展示。增加了在霍格博士與競技場中點擊部隊頭像編輯功能。
-界面及體驗優化：優化了飛艇擊落戰、決戰衛星之巔、排行榜、集結界面、佔領建築提示、猩球紀元、艾文尋寶記、幫派邀請彈窗、鬥士形象展示界面、快速使用資源等功能的體驗和界面表現。 </v>
      </c>
      <c r="H31" s="12" t="str">
        <f>IFERROR(__xludf.DUMMYFUNCTION("""COMPUTED_VALUE"""),"- Pejuang baru: Mekanik Liar - Aldrige, seorang prajurit perkasa di padang gurun! Dapat diperoleh dari Kera Yang Tangguh.
- Fitur baru: Auto Pasukan Bisa masuk lewat pusat komando, pasukan bisa diserahkan untuk dikendalikan teman dari Klan atau Geng yang "&amp;"sama.
- Fitur baru: Tambahan game terbatas di event Serangan terhadap Dr. Hogg, sekaran bisa tingkatkan pusaka, damage pada Dr. Hogg semakin kuat!
- Event Liburan baru: Event “Pesta Panen” segera dimulai, partisipasi Event dan menangkan Skin Kota terbatas"&amp;" serta hadiah mewah lainnya!
- Peningkatan Reli Topan: Terminal Pasokan Klasik baru, keunggulan baru khusus Reli. Periode musim yang lebih panjang, lebih banyak hadiah event, lebih banyak kejutan. Semoga beruntung!
- Peningkatan Pengepungan Kera Mutan: Ta"&amp;"mbahan Peringkat, meningkatkan tampilan dan pengalaman. Ubah ke sistem atau offline selama tantangan tidak akan keluar dungeon.
- Fitur baru: Tambahan perlengkapan Pejuang khusus Penembak. Tambahan fitur skenario tambang dan relik “Penaklukan Benteng”, wi"&amp;"layah kera bertambah 300 stage. Game menambah sejumlah Patung Pejuang oranye. Menambah Gelar dan obrolan “Tanda Utama” Maharaja Menambah fitur edit avatar pasukan di duel dengan Dr. Hogg.
- Peningkatan tampilan dan pengalaman: Meningkatkan Penembakan Kapa"&amp;"l Udara, Koloseum Astral, peringkat, tampilan ikuti reli, tips menduduki bangunan, Riwayat Gorila, Perburuan Harta Karun Alvin, jendela undangan Geng, tampilan menunjukkan Pejuang, tampilan dan pengalaman fitur memakai cepat material.")</f>
        <v>- Pejuang baru: Mekanik Liar - Aldrige, seorang prajurit perkasa di padang gurun! Dapat diperoleh dari Kera Yang Tangguh.
- Fitur baru: Auto Pasukan Bisa masuk lewat pusat komando, pasukan bisa diserahkan untuk dikendalikan teman dari Klan atau Geng yang sama.
- Fitur baru: Tambahan game terbatas di event Serangan terhadap Dr. Hogg, sekaran bisa tingkatkan pusaka, damage pada Dr. Hogg semakin kuat!
- Event Liburan baru: Event “Pesta Panen” segera dimulai, partisipasi Event dan menangkan Skin Kota terbatas serta hadiah mewah lainnya!
- Peningkatan Reli Topan: Terminal Pasokan Klasik baru, keunggulan baru khusus Reli. Periode musim yang lebih panjang, lebih banyak hadiah event, lebih banyak kejutan. Semoga beruntung!
- Peningkatan Pengepungan Kera Mutan: Tambahan Peringkat, meningkatkan tampilan dan pengalaman. Ubah ke sistem atau offline selama tantangan tidak akan keluar dungeon.
- Fitur baru: Tambahan perlengkapan Pejuang khusus Penembak. Tambahan fitur skenario tambang dan relik “Penaklukan Benteng”, wilayah kera bertambah 300 stage. Game menambah sejumlah Patung Pejuang oranye. Menambah Gelar dan obrolan “Tanda Utama” Maharaja Menambah fitur edit avatar pasukan di duel dengan Dr. Hogg.
- Peningkatan tampilan dan pengalaman: Meningkatkan Penembakan Kapal Udara, Koloseum Astral, peringkat, tampilan ikuti reli, tips menduduki bangunan, Riwayat Gorila, Perburuan Harta Karun Alvin, jendela undangan Geng, tampilan menunjukkan Pejuang, tampilan dan pengalaman fitur memakai cepat material.</v>
      </c>
      <c r="I31" s="12" t="str">
        <f>IFERROR(__xludf.DUMMYFUNCTION("""COMPUTED_VALUE"""),"- นักสู้ตัวใหม่: อัลดริค ช่างกลแดนเถื่อน นักรบผู้กล้าที่ต่อสู้เพื่อความยุติธรรม! รับได้จากลิงอัลติเมท
 - ฟีเจอร์ใหม่: มอบหมายกองทหาร มอบหมายกองทหารให้กับเพื่อนในแคลนหรือแก๊งของคุณเพื่อให้พวกเขาสามารถใช้ยูนิตเหล่านี้ได้ เข้าใช้งานฟีเจอร์นี้ได้จากศูนย์บัญชา"&amp;"การ
 - ฟีเจอร์ใหม่: เพิ่มโหมดจำกัดเวลาในการโจมตี ดร.ฮ็อกก์ ตอนนี้คุณสามารถเสริมพลังรีลิคและทำความเสียหายใส่บอสได้แรงขึ้นแล้ว!
 - กิจกรรมพิเศษใหม่: “งานเลี้ยงเก็บเกี่ยว” ใกล้จะเริ่มขึ้นแล้ว! เข้าร่วมชิงสกินเมืองรุ่นพิเศษและของรางวัลอื่นๆ!
 - ปรับระบบไซโคลน"&amp;"แรลลี่: เพิ่มฟีเจอร์ใหม่ๆ รวมถึงสถานีเสบียงสุพรีม บูสต์สุดพิเศษ และอีกมากมาย! ก้าวไปให้ไกลด้วยฤดูกาลกิจกรรมที่นานขึ้นและของรางวัลมากขึ้น!
 - ปรับระบบปฏิบัติการตัวกลายพันธุ์: เพิ่มระบบกระดานผู้นำ ปรับปรุงการแสดงและใช้งานอินเทอร์เฟซ ตอนนี้คุณจะไม่ออกจากเกมเ"&amp;"พลย์เมื่อคุณล็อกเอาท์หรือมีแอปที่รันอยู่เบื้องหลังแล้ว
 - ฟีเจอร์ใหม่: เพิ่มอุปกรณ์นักสู้ชุดใหม่ที่เพิ่มค่าสถานะให้กับฮิตเตอร์ “ยึดป้อมปราการ” จะเพิ่มฟีเจอร์คำแนะนำใหม่และฉากถ้ำ รวมถึงเพิ่มเลเวลถึง 300 เพิ่มรูปปั้นนักสู้ระดับตำนานเข้ามาในเกม เพิ่มไอคอนแชท"&amp;"ของฉายา “ตราประทับแห่งความเป็นใหญ่” ที่แจกให้โดยโอเวอร์ลอร์ด ตอนนี้คุณสามารถแตะที่อวาตาร์ของกองทหารเพื่อแก้ไขการจัดทัพใน ดร.ฮ็อกก์และวิวาทวานรได้แล้ว
 - ปรับระบบอินเทอร์เฟซและประสบการณ์ผู้ใช้: ปรับการแสดงอินเทอร์เฟซและประสบการณ์ใช้งานฟังก์ชันในฟีเจอร์ต่าง"&amp;"ๆ รวมถึงการยิงเรือเหาะ, แอสทรัลโคลิเซียม, กระดานผู้นำ, อินเทอร์เฟซแรลลี่, คำแนะนำอาคารที่ยอดครอง, หมุดหมายดวงดาว, กิจกรรมล่าสมบัติของอัลวิน, หน้าต่างป็อปอัพเชิญเข้าแก๊ง, หน้าแสดงนักสู้, การใช้ทรัพยากรอัตโนมัติ และอีกมากมาย")</f>
        <v>- นักสู้ตัวใหม่: อัลดริค ช่างกลแดนเถื่อน นักรบผู้กล้าที่ต่อสู้เพื่อความยุติธรรม! รับได้จากลิงอัลติเมท
 - ฟีเจอร์ใหม่: มอบหมายกองทหาร มอบหมายกองทหารให้กับเพื่อนในแคลนหรือแก๊งของคุณเพื่อให้พวกเขาสามารถใช้ยูนิตเหล่านี้ได้ เข้าใช้งานฟีเจอร์นี้ได้จากศูนย์บัญชาการ
 - ฟีเจอร์ใหม่: เพิ่มโหมดจำกัดเวลาในการโจมตี ดร.ฮ็อกก์ ตอนนี้คุณสามารถเสริมพลังรีลิคและทำความเสียหายใส่บอสได้แรงขึ้นแล้ว!
 - กิจกรรมพิเศษใหม่: “งานเลี้ยงเก็บเกี่ยว” ใกล้จะเริ่มขึ้นแล้ว! เข้าร่วมชิงสกินเมืองรุ่นพิเศษและของรางวัลอื่นๆ!
 - ปรับระบบไซโคลนแรลลี่: เพิ่มฟีเจอร์ใหม่ๆ รวมถึงสถานีเสบียงสุพรีม บูสต์สุดพิเศษ และอีกมากมาย! ก้าวไปให้ไกลด้วยฤดูกาลกิจกรรมที่นานขึ้นและของรางวัลมากขึ้น!
 - ปรับระบบปฏิบัติการตัวกลายพันธุ์: เพิ่มระบบกระดานผู้นำ ปรับปรุงการแสดงและใช้งานอินเทอร์เฟซ ตอนนี้คุณจะไม่ออกจากเกมเพลย์เมื่อคุณล็อกเอาท์หรือมีแอปที่รันอยู่เบื้องหลังแล้ว
 - ฟีเจอร์ใหม่: เพิ่มอุปกรณ์นักสู้ชุดใหม่ที่เพิ่มค่าสถานะให้กับฮิตเตอร์ “ยึดป้อมปราการ” จะเพิ่มฟีเจอร์คำแนะนำใหม่และฉากถ้ำ รวมถึงเพิ่มเลเวลถึง 300 เพิ่มรูปปั้นนักสู้ระดับตำนานเข้ามาในเกม เพิ่มไอคอนแชทของฉายา “ตราประทับแห่งความเป็นใหญ่” ที่แจกให้โดยโอเวอร์ลอร์ด ตอนนี้คุณสามารถแตะที่อวาตาร์ของกองทหารเพื่อแก้ไขการจัดทัพใน ดร.ฮ็อกก์และวิวาทวานรได้แล้ว
 - ปรับระบบอินเทอร์เฟซและประสบการณ์ผู้ใช้: ปรับการแสดงอินเทอร์เฟซและประสบการณ์ใช้งานฟังก์ชันในฟีเจอร์ต่างๆ รวมถึงการยิงเรือเหาะ, แอสทรัลโคลิเซียม, กระดานผู้นำ, อินเทอร์เฟซแรลลี่, คำแนะนำอาคารที่ยอดครอง, หมุดหมายดวงดาว, กิจกรรมล่าสมบัติของอัลวิน, หน้าต่างป็อปอัพเชิญเข้าแก๊ง, หน้าแสดงนักสู้, การใช้ทรัพยากรอัตโนมัติ และอีกมากมาย</v>
      </c>
      <c r="J31" s="12" t="str">
        <f>IFERROR(__xludf.DUMMYFUNCTION("""COMPUTED_VALUE"""),"- Nuevo Luchador: Aldrich, Mecánico de las Tierras Salvajes, ¡un poderoso guerrero que lucha por la justicia! Consíguelo en el Mono Supremo.
- Nueva función: Delegar tropas. Delega tropas a amigos en tu Clan o Banda y permíteles usar estas unidades. Acced"&amp;"e a esta función desde el Centro de Comando.
- Nueva función: Modo de límite de tiempo agregado al Ataque al Dr. Hogg. ¡Ahora puedes mejorar las Reliquias y ejercer más daño al jefe!
- Nuevo evento especial: ¡La ""Fiesta de la Cosecha"" comenzará pronto! "&amp;"¡Participa para ganar un aspecto de ciudad de edición especial y otras recompensas!
- Rally del Ciclón optimizado: ¡Se agregaron nuevas características que incluyen la Estación de Suministros Suprema, potenciadores exclusivos y más! ¡Avanza con una tempor"&amp;"ada de eventos más larga y con más recompensas!
- Operación Mutantes optimizada: Tabla de Posiciones añadida; se mejoró la visualización y la experiencia de la interfaz; ahora no saldrás del juego cuando cierres sesión o tengas la aplicación ejecutándose "&amp;"en segundo plano.
- Nuevas características: Nuevo conjunto de equipo de Luchador con estadísticas del Golpeador añadidas. Para la ""Toma de la Fortaleza"", se agregó una nueva función de guía y escenarios de cuevas además se expandieron los niveles a 300."&amp;" Se agregaron estatuas de Luchadores Legendarios al juego. Se agregaron íconos de chat de los títulos del ""Sello de Supremacía"" distribuidos por el Líder Supremo. Ahora puedes tocar en el avatar de la tropa para editar formaciones en el Dr. Hogg y Lucha"&amp;" de Primates.
- Optimizaciones de la interfaz y la experiencia del usuario: Se mejoraron las pantallas de la interfaz y la experiencia funcional de varias funciones, incluyendo Derribo de la Aeronave, Coliseo Astral, tablas de posiciones, interfaz del ral"&amp;"ly, consejos para los edificios ocupados, Logros Planetarios, Cacería del Tesoro de Alvin, ventana emergente de invitación de la Banda, página de despliegue del Luchador, uso automático de recursos y más.")</f>
        <v>- Nuevo Luchador: Aldrich, Mecánico de las Tierras Salvajes, ¡un poderoso guerrero que lucha por la justicia! Consíguelo en el Mono Supremo.
- Nueva función: Delegar tropas. Delega tropas a amigos en tu Clan o Banda y permíteles usar estas unidades. Accede a esta función desde el Centro de Comando.
- Nueva función: Modo de límite de tiempo agregado al Ataque al Dr. Hogg. ¡Ahora puedes mejorar las Reliquias y ejercer más daño al jefe!
- Nuevo evento especial: ¡La "Fiesta de la Cosecha" comenzará pronto! ¡Participa para ganar un aspecto de ciudad de edición especial y otras recompensas!
- Rally del Ciclón optimizado: ¡Se agregaron nuevas características que incluyen la Estación de Suministros Suprema, potenciadores exclusivos y más! ¡Avanza con una temporada de eventos más larga y con más recompensas!
- Operación Mutantes optimizada: Tabla de Posiciones añadida; se mejoró la visualización y la experiencia de la interfaz; ahora no saldrás del juego cuando cierres sesión o tengas la aplicación ejecutándose en segundo plano.
- Nuevas características: Nuevo conjunto de equipo de Luchador con estadísticas del Golpeador añadidas. Para la "Toma de la Fortaleza", se agregó una nueva función de guía y escenarios de cuevas además se expandieron los niveles a 300. Se agregaron estatuas de Luchadores Legendarios al juego. Se agregaron íconos de chat de los títulos del "Sello de Supremacía" distribuidos por el Líder Supremo. Ahora puedes tocar en el avatar de la tropa para editar formaciones en el Dr. Hogg y Lucha de Primates.
- Optimizaciones de la interfaz y la experiencia del usuario: Se mejoraron las pantallas de la interfaz y la experiencia funcional de varias funciones, incluyendo Derribo de la Aeronave, Coliseo Astral, tablas de posiciones, interfaz del rally, consejos para los edificios ocupados, Logros Planetarios, Cacería del Tesoro de Alvin, ventana emergente de invitación de la Banda, página de despliegue del Luchador, uso automático de recursos y más.</v>
      </c>
      <c r="K31" s="12" t="str">
        <f>IFERROR(__xludf.DUMMYFUNCTION("""COMPUTED_VALUE"""),"-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своего клана или банды, чтобы разрешить им использ"&amp;"овать эти отряды. Эта функция доступна через командный центр.
- Новая функция: к режиму «Атака на доктора Хогга» добавлен лимит времени. Теперь вы можете усиливать реликвии и наносить больше урона боссу!
- Новое особое событие: скоро начнется праздник уро"&amp;"жая! Участвуйте, чтобы выиграть уникальный облик города и другие награды!
- Оптимизация «Ураганных гонок»: добавлены новые функции, такие как превосходные станции снабжения, эксклюзивные усиления и так далее! Вырывайтесь вперед в продленном по времени сез"&amp;"оне и заработайте больше наград!
- Оптимизация «Операции „Мутанты”»: добавлена таблица лидеров; улучшены отображение и работа интерфейса; теперь ваше участие не прерывается, когда вы выходите из игры или оставляете ее в фоновом режиме.
- Новые функции: до"&amp;"бавлен новый комплект снаряжения героя с показателями для громил. Для режима «Захват крепости» добавлена функция руководства, сцены в пещере, а количество уровней увеличено до 300. В игру добавлены статуи легендарных героев. В чат добавлены значки для тит"&amp;"улов «Печать превосходства», которые распределяет Владыка. Вы можете нажать на значок войска, чтобы поменять построение в режимах «Доктор Хогг» и «Потасовка приматов».
- Оптимизация интерфейса и работы игры: улучшено отображение интерфейса и общая функцио"&amp;"нальность таких элементов игры, как «Сбить дирижабль», Астральный Колизей, таблицы лидеров, интерфейс походов, подсказки для оккупированных построек, «Планетарный рубеж», «Охота за сокровищами Альвина», всплывающее окно приглашения в банду, страница отобр"&amp;"ажения героя, автоматическое использование ресурсов и так далее.")</f>
        <v>-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своего клана или банды, чтобы разрешить им использовать эти отряды. Эта функция доступна через командный центр.
- Новая функция: к режиму «Атака на доктора Хогга» добавлен лимит времени. Теперь вы можете усиливать реликвии и наносить больше урона боссу!
- Новое особое событие: скоро начнется праздник урожая! Участвуйте, чтобы выиграть уникальный облик города и другие награды!
- Оптимизация «Ураганных гонок»: добавлены новые функции, такие как превосходные станции снабжения, эксклюзивные усиления и так далее! Вырывайтесь вперед в продленном по времени сезоне и заработайте больше наград!
- Оптимизация «Операции „Мутанты”»: добавлена таблица лидеров; улучшены отображение и работа интерфейса; теперь ваше участие не прерывается, когда вы выходите из игры или оставляете ее в фоновом режиме.
- Новые функции: добавлен новый комплект снаряжения героя с показателями для громил. Для режима «Захват крепости» добавлена функция руководства, сцены в пещере, а количество уровней увеличено до 300. В игру добавлены статуи легендарных героев. В чат добавлены значки для титулов «Печать превосходства», которые распределяет Владыка. Вы можете нажать на значок войска, чтобы поменять построение в режимах «Доктор Хогг» и «Потасовка приматов».
- Оптимизация интерфейса и работы игры: улучшено отображение интерфейса и общая функциональность таких элементов игры, как «Сбить дирижабль», Астральный Колизей, таблицы лидеров, интерфейс походов, подсказки для оккупированных построек, «Планетарный рубеж», «Охота за сокровищами Альвина», всплывающее окно приглашения в банду, страница отображения героя, автоматическое использование ресурсов и так далее.</v>
      </c>
      <c r="L31" s="12" t="str">
        <f>IFERROR(__xludf.DUMMYFUNCTION("""COMPUTED_VALUE"""),"- Yeni Savaşçı: Çorak Toprakların Teknisyeni Aldrich. Adalet için savaşan kudretli bir savaşçı! Bu savaşçıyı En Üstün Maymun'dan edinebilirsin.
- Yeni özellik: Birlik görevlendirme. Klanındaki veya Çetendeki arkadaşların için birliklerini görevlendir ve b"&amp;"u birimleri kullanabilmelerini sağla. Bu özelliğe Komuta Merkezinden ulaşabilirsin.
- Yeni özellik: Dr. Hogg'a Saldırı etkinliğine süre sınırlı mod eklendi. Artık Kalıntıları geliştirebilir ve Dr. Hogg'a daha fazla hasar verebilirsin!
- Yeni özel etkinlik"&amp;": ""Hasat Şöleni"" yakında başlıyor! Özel şehir görünümünü ve diğer ödülleri kazanmak için etkinliğe katıl!
- Tufan Toplu Saldırısı optimize edildi: Üstün Tedarik İstasyonları, özel güçlendirmeler ve daha fazlasını içeren yeni özellikler eklendi! Daha uzu"&amp;"n bir etkinlik sezonu ve daha fazla ödüllerle öne geç!
- Mutant Operasyonu optimize edildi: Liderlik tablosu eklendi, arayüz görünümü ve deneyimi geliştirildi. Artık uygulamadan çıktığında veya uygulamayı arka planda çalıştırdığında oyundan çıkmayacaksın."&amp;"
- Yeni özellikler: Vurucu özelliklerini içeren yeni bir Savaşçı ekipman seti eklendi. ""Kaleyi Ele Geçirme"" için yeni bir kılavuz özelliği ve mağara sahneleri eklendi, ayrıca seviyeler 300 olarak artırıldı. Oyuna Efsanevi Savaşçı heykelleri eklendi. Büy"&amp;"ük Lordun dağıttığı ""Üstünlük Mührü"" unvanlarının sohbet simgeleri eklendi. Artık Dr. Hogg ve Primat Kavgasında birlik avatarına dokunarak formasyonları düzenleyebilirsin.
- Arayüz ve kullanıcı deneyimi optimizasyonları: Arayüz görünümleri ve Zeplin Vur"&amp;"ma, Yıldız Kolezyumu, liderlik tabloları, toplu saldırı arayüzü, işgal edilen bina ipuçları, Gezegen Dönüm Noktası, Alvin'in Hazine Avı, Çete daveti açılır penceresi, Savaşçı görüntüleme sayfası, kaynakları otomatik kullanma gibi birçok özelliğin işlevsel"&amp;" deneyimi geliştirildi.")</f>
        <v>- Yeni Savaşçı: Çorak Toprakların Teknisyeni Aldrich. Adalet için savaşan kudretli bir savaşçı! Bu savaşçıyı En Üstün Maymun'dan edinebilirsin.
- Yeni özellik: Birlik görevlendirme. Klanındaki veya Çetendeki arkadaşların için birliklerini görevlendir ve bu birimleri kullanabilmelerini sağla. Bu özelliğe Komuta Merkezinden ulaşabilirsin.
- Yeni özellik: Dr. Hogg'a Saldırı etkinliğine süre sınırlı mod eklendi. Artık Kalıntıları geliştirebilir ve Dr. Hogg'a daha fazla hasar verebilirsin!
- Yeni özel etkinlik: "Hasat Şöleni" yakında başlıyor! Özel şehir görünümünü ve diğer ödülleri kazanmak için etkinliğe katıl!
- Tufan Toplu Saldırısı optimize edildi: Üstün Tedarik İstasyonları, özel güçlendirmeler ve daha fazlasını içeren yeni özellikler eklendi! Daha uzun bir etkinlik sezonu ve daha fazla ödüllerle öne geç!
- Mutant Operasyonu optimize edildi: Liderlik tablosu eklendi, arayüz görünümü ve deneyimi geliştirildi. Artık uygulamadan çıktığında veya uygulamayı arka planda çalıştırdığında oyundan çıkmayacaksın.
- Yeni özellikler: Vurucu özelliklerini içeren yeni bir Savaşçı ekipman seti eklendi. "Kaleyi Ele Geçirme" için yeni bir kılavuz özelliği ve mağara sahneleri eklendi, ayrıca seviyeler 300 olarak artırıldı. Oyuna Efsanevi Savaşçı heykelleri eklendi. Büyük Lordun dağıttığı "Üstünlük Mührü" unvanlarının sohbet simgeleri eklendi. Artık Dr. Hogg ve Primat Kavgasında birlik avatarına dokunarak formasyonları düzenleyebilirsin.
- Arayüz ve kullanıcı deneyimi optimizasyonları: Arayüz görünümleri ve Zeplin Vurma, Yıldız Kolezyumu, liderlik tabloları, toplu saldırı arayüzü, işgal edilen bina ipuçları, Gezegen Dönüm Noktası, Alvin'in Hazine Avı, Çete daveti açılır penceresi, Savaşçı görüntüleme sayfası, kaynakları otomatik kullanma gibi birçok özelliğin işlevsel deneyimi geliştirildi.</v>
      </c>
      <c r="M31" s="12" t="str">
        <f>IFERROR(__xludf.DUMMYFUNCTION("""COMPUTED_VALUE"""),"- Chiến Binh Mới: Kỹ Sư Máy Hoang Dã - Aldrich, Chiến binh dũng mãnh hành hiệp trượng nghĩa trong vùng hoang dã! Có thể nhận được thông qua Chúa Khỉ Tối Cao. 
- Tính năng mới: Uỷ thác quản lý. Có thể vào từ Trung Tâm Chỉ Huy, đem binh lính của bản thân uỷ"&amp;" thác cho bạn bè cùng Bộ Lạc/Bang Hội điều khiển. 
- Tính năng mới: Thêm lối chơi giới hạn thời gian trong hoạt động Tấn Công Tiến Sĩ Hogg, hiện tại có thể cường hoá Di Tích, gây ra sát thương cao hơn cho Tiến Sĩ Hogg! 
- Sự Kiện Ngày Lễ Mới: Sự kiện “Tiệ"&amp;"c Thu Hoạch” sắp mở, tham gia sự kiện, giành được Trang Phục Toà Thị Chính và phần thưởng đặc biệt trong các sự kiện ngày lễ! 
- Tối ưu Tập Hợp Lốc Xoáy: Thêm các nội dung mới mẻ như Trạm Cung Ứng Cổ Điển, Tăng Cường Đặc Biệt của Tập Hợp. Thời gian mùa gi"&amp;"ải dài hơn, phần thưởng sự kiện nhiều hơn, rất nhiều, rất nhiều bất ngờ, giúp bạn vươn lên dẫn đầu! 
- Tối ưu Vây Quét Khỉ Đột Biến: Thêm Bảng Xếp Hạng, tối ưu giao diện hiển thị và trải nghiệm, chuyển sang chế độ nền hoặc offline trong quá trình khiêu ch"&amp;"iến sẽ không thoát khỏi phụ bản nữa. 
- Tính năng mới: Thêm một bộ trang bị Chiến Binh thuộc tính Xạ Thủ. Lối chơi “Tiếp Quản Pháo Đài” thêm cảnh Hầm Mỏ và tính năng Sổ Tay, số lượng Cửa Ải tăng thêm 300 ải. Game đã thêm một lô Tượng Chiến Binh Vàng. Thêm"&amp;" Chat hiển thị tiêu đề liên quan đến Lãnh Chúa ""Con Dấu Bá Chủ"". Thêm tính năng chỉnh sửa ảnh đại diện khi nhấn vào binh lính trong Tiến Sĩ Hogg và Đấu Trường. 
- Tối ưu giao diện và trải nghiệm: Tối ưu trải nghiệm và giao diện của các tính năng như Bắn"&amp;" Hạ Tàu Bay, Đại Đấu Trường Thiên Thể, Bảng Xếp Hạng, giao diện Tập Hợp, nhắc chiếm đóng Công Trình, Lịch Sử Khỉ Đột, Săn Kho Báu của Alvin, cửa sổ bật lên khi mời Bang Hội, giao diện hiển thị hình tượng Chiến Binh, dùng nhanh tài nguyên.")</f>
        <v>- Chiến Binh Mới: Kỹ Sư Máy Hoang Dã - Aldrich, Chiến binh dũng mãnh hành hiệp trượng nghĩa trong vùng hoang dã! Có thể nhận được thông qua Chúa Khỉ Tối Cao. 
- Tính năng mới: Uỷ thác quản lý. Có thể vào từ Trung Tâm Chỉ Huy, đem binh lính của bản thân uỷ thác cho bạn bè cùng Bộ Lạc/Bang Hội điều khiển. 
- Tính năng mới: Thêm lối chơi giới hạn thời gian trong hoạt động Tấn Công Tiến Sĩ Hogg, hiện tại có thể cường hoá Di Tích, gây ra sát thương cao hơn cho Tiến Sĩ Hogg! 
- Sự Kiện Ngày Lễ Mới: Sự kiện “Tiệc Thu Hoạch” sắp mở, tham gia sự kiện, giành được Trang Phục Toà Thị Chính và phần thưởng đặc biệt trong các sự kiện ngày lễ! 
- Tối ưu Tập Hợp Lốc Xoáy: Thêm các nội dung mới mẻ như Trạm Cung Ứng Cổ Điển, Tăng Cường Đặc Biệt của Tập Hợp. Thời gian mùa giải dài hơn, phần thưởng sự kiện nhiều hơn, rất nhiều, rất nhiều bất ngờ, giúp bạn vươn lên dẫn đầu! 
- Tối ưu Vây Quét Khỉ Đột Biến: Thêm Bảng Xếp Hạng, tối ưu giao diện hiển thị và trải nghiệm, chuyển sang chế độ nền hoặc offline trong quá trình khiêu chiến sẽ không thoát khỏi phụ bản nữa. 
- Tính năng mới: Thêm một bộ trang bị Chiến Binh thuộc tính Xạ Thủ. Lối chơi “Tiếp Quản Pháo Đài” thêm cảnh Hầm Mỏ và tính năng Sổ Tay, số lượng Cửa Ải tăng thêm 300 ải. Game đã thêm một lô Tượng Chiến Binh Vàng. Thêm Chat hiển thị tiêu đề liên quan đến Lãnh Chúa "Con Dấu Bá Chủ". Thêm tính năng chỉnh sửa ảnh đại diện khi nhấn vào binh lính trong Tiến Sĩ Hogg và Đấu Trường. 
- Tối ưu giao diện và trải nghiệm: Tối ưu trải nghiệm và giao diện của các tính năng như Bắn Hạ Tàu Bay, Đại Đấu Trường Thiên Thể, Bảng Xếp Hạng, giao diện Tập Hợp, nhắc chiếm đóng Công Trình, Lịch Sử Khỉ Đột, Săn Kho Báu của Alvin, cửa sổ bật lên khi mời Bang Hội, giao diện hiển thị hình tượng Chiến Binh, dùng nhanh tài nguyên.</v>
      </c>
      <c r="N31" s="13" t="str">
        <f>IFERROR(__xludf.DUMMYFUNCTION("""COMPUTED_VALUE"""),"- Nuovo Combattente: il meccanico delle Terre selvagge, Aldrich, un potente guerriero che combatte per la giustizia! Puoi ottenerlo da Scimmia suprema.
- Nuova funzione: delega delle truppe. Puoi delegare le truppe agli amici nel tuo Clan o nella tua Gang"&amp;", consentendo loro di usare queste unità. Puoi accedere alla funzione dal Centro di comando.
- Nuova funzione: modalità Limite di tempo aggiunta all'Attacco al dottor Hogg. Ora puoi potenziare le Reliquie e infliggere più danni al boss!
- Nuovo evento spe"&amp;"ciale: ""Banchetto del raccolto"" inizierà a breve! Partecipa per vincere l'aspetto della città a edizione speciale e altre ricompense!
- Ottimizzazione del Rally del ciclone: aggiunte nuove funzioni tra cui Stazioni di rifornimento supreme, bonus esclusi"&amp;"vi e altro ancora! Velocizza la tua ascesa con una stagione più lunga e più ricompense!
- Ottimizzazione di Operazione Mutanti: aggiunta la classifica; migliorata l'interfaccia e l'esperienza utente; ora non uscirai più dal gioco quando ti disconnetti o q"&amp;"uando l'app è in esecuzione in background.
- Nuove funzioni: nuovo set di equipaggiamento dei Combattenti con attributi per Picchiatori. In ""Conquista di fortezze"", aggiunte scene di grotta e una nuova funzione guida, ampliati i livelli fino a 300. Aggi"&amp;"unte statue dei Combattenti leggendari al gioco. Aggiunte icone della chat dei titoli di ""Sigillo di egemonia"" distribuiti dal Signore supremo. Ora puoi toccare l'avatar delle truppe per modificare le formazioni in Dottor Hogg e Rissa dei primati.
- Ott"&amp;"imizzazioni all'interfaccia e all'esperienza utente: migliorata l'interfaccia e l'esperienza di utilizzo di varie funzioni tra cui Caduta dell'aeronave, Colosseo astrale, classifiche, Ciclone, suggerimenti per edifici occupati, Pietra miliare mondiale, Ca"&amp;"ccia ai tesori di Alvin, finestra popup di invito della Gang, pagina dei Combattenti, utilizzo automatico di risorse e altro ancora.")</f>
        <v>- Nuovo Combattente: il meccanico delle Terre selvagge, Aldrich, un potente guerriero che combatte per la giustizia! Puoi ottenerlo da Scimmia suprema.
- Nuova funzione: delega delle truppe. Puoi delegare le truppe agli amici nel tuo Clan o nella tua Gang, consentendo loro di usare queste unità. Puoi accedere alla funzione dal Centro di comando.
- Nuova funzione: modalità Limite di tempo aggiunta all'Attacco al dottor Hogg. Ora puoi potenziare le Reliquie e infliggere più danni al boss!
- Nuovo evento speciale: "Banchetto del raccolto" inizierà a breve! Partecipa per vincere l'aspetto della città a edizione speciale e altre ricompense!
- Ottimizzazione del Rally del ciclone: aggiunte nuove funzioni tra cui Stazioni di rifornimento supreme, bonus esclusivi e altro ancora! Velocizza la tua ascesa con una stagione più lunga e più ricompense!
- Ottimizzazione di Operazione Mutanti: aggiunta la classifica; migliorata l'interfaccia e l'esperienza utente; ora non uscirai più dal gioco quando ti disconnetti o quando l'app è in esecuzione in background.
- Nuove funzioni: nuovo set di equipaggiamento dei Combattenti con attributi per Picchiatori. In "Conquista di fortezze", aggiunte scene di grotta e una nuova funzione guida, ampliati i livelli fino a 300. Aggiunte statue dei Combattenti leggendari al gioco. Aggiunte icone della chat dei titoli di "Sigillo di egemonia" distribuiti dal Signore supremo. Ora puoi toccare l'avatar delle truppe per modificare le formazioni in Dottor Hogg e Rissa dei primati.
- Ottimizzazioni all'interfaccia e all'esperienza utente: migliorata l'interfaccia e l'esperienza di utilizzo di varie funzioni tra cui Caduta dell'aeronave, Colosseo astrale, classifiche, Ciclone, suggerimenti per edifici occupati, Pietra miliare mondiale, Caccia ai tesori di Alvin, finestra popup di invito della Gang, pagina dei Combattenti, utilizzo automatico di risorse e altro ancora.</v>
      </c>
      <c r="O31" s="164" t="str">
        <f>IFERROR(__xludf.DUMMYFUNCTION("""COMPUTED_VALUE"""),"- Nowy Wojownik: Aldrich, Mechanik z Pustkowi: potężny wojownik, który walczy o sprawiedliwość! Można go zdobyć w wydarzeniu Ubermałpa.
- Nowa funkcja: przekazywanie oddziałów. Przekaż oddziały znajomym w Klanie lub Gangu i pozwól im na wykorzystywanie ty"&amp;"ch jednostek. Dostęp do tej funkcji jest możliwy z poziomu Centrum dowodzenia.
- Nowa funkcja: do Ataku na doktora Hogga dodano tryb z limitem czasu. Można teraz ulepszać Relikty i atakować bossa z większą siłą rażenia!
- Nowe wydarzenie specjalne: już ni"&amp;"edługo zaczyna się „Uczta z okazji zbiorów”! Weź udział, aby zdobyć specjalną edycję skórki Miasta i inne nagrody!
- Zoptymalizowano Rajd Cyklonu: dodano nowe funkcje, w tym Zaawansowane stacje zaopatrzenia, ekskluzywne wzmocnienia i nie tylko! Zyskaj prz"&amp;"ewagę w dłuższym sezonie wydarzenia i zdobądź więcej nagród!
- Zoptymalizowano Operację Mutanty: Dodano Tablicę wyników; udoskonalono elementy interfejsu i korzystanie z nich; teraz po wylogowaniu lub pozostawieniu aplikacji uruchomionej w tle nie opuścis"&amp;"z trybu gry.
- Nowe funkcje: nowy zestaw wyposażenia Wojownika z dodanymi parametrami Łupaczy. W wyzwaniu „Przejęcie fortecy” dodano nową funkcję przewodnika oraz sceny z jaskinią, a także zwiększono liczbę poziomów do 300. Dodano do gry pomniki Legendarn"&amp;"ych Wojowników. Dodano ikony czatu dla tytułów „Pieczęć władzy” przyznawanych przez Władcę. Można teraz dotknąć awatara oddziału, aby edytować formacje w wydarzeniach z Dr. Hoggiem i w Bijatyce naczelnych.
- Optymalizacja interfejsu i obsługi przez użytko"&amp;"wnika: udoskonalono elementy interfejsu oraz korzystanie z różnych elementów, takich jak m.in. Zestrzelenie statku powietrznego, Gwiezdne koloseum, tablice wyników, interfejs rajdu, podpowiedź dotycząca zajętych budynków, Kamień milowy planety, Poszukiwan"&amp;"ie skarbów Alvina, okno z zaproszeniem do Gangu, strona Wojownika, automatyczne wykorzystywanie zasobów i nie tylko.")</f>
        <v>- Nowy Wojownik: Aldrich, Mechanik z Pustkowi: potężny wojownik, który walczy o sprawiedliwość! Można go zdobyć w wydarzeniu Ubermałpa.
- Nowa funkcja: przekazywanie oddziałów. Przekaż oddziały znajomym w Klanie lub Gangu i pozwól im na wykorzystywanie tych jednostek. Dostęp do tej funkcji jest możliwy z poziomu Centrum dowodzenia.
- Nowa funkcja: do Ataku na doktora Hogga dodano tryb z limitem czasu. Można teraz ulepszać Relikty i atakować bossa z większą siłą rażenia!
- Nowe wydarzenie specjalne: już niedługo zaczyna się „Uczta z okazji zbiorów”! Weź udział, aby zdobyć specjalną edycję skórki Miasta i inne nagrody!
- Zoptymalizowano Rajd Cyklonu: dodano nowe funkcje, w tym Zaawansowane stacje zaopatrzenia, ekskluzywne wzmocnienia i nie tylko! Zyskaj przewagę w dłuższym sezonie wydarzenia i zdobądź więcej nagród!
- Zoptymalizowano Operację Mutanty: Dodano Tablicę wyników; udoskonalono elementy interfejsu i korzystanie z nich; teraz po wylogowaniu lub pozostawieniu aplikacji uruchomionej w tle nie opuścisz trybu gry.
- Nowe funkcje: nowy zestaw wyposażenia Wojownika z dodanymi parametrami Łupaczy. W wyzwaniu „Przejęcie fortecy” dodano nową funkcję przewodnika oraz sceny z jaskinią, a także zwiększono liczbę poziomów do 300. Dodano do gry pomniki Legendarnych Wojowników. Dodano ikony czatu dla tytułów „Pieczęć władzy” przyznawanych przez Władcę. Można teraz dotknąć awatara oddziału, aby edytować formacje w wydarzeniach z Dr. Hoggiem i w Bijatyce naczelnych.
- Optymalizacja interfejsu i obsługi przez użytkownika: udoskonalono elementy interfejsu oraz korzystanie z różnych elementów, takich jak m.in. Zestrzelenie statku powietrznego, Gwiezdne koloseum, tablice wyników, interfejs rajdu, podpowiedź dotycząca zajętych budynków, Kamień milowy planety, Poszukiwanie skarbów Alvina, okno z zaproszeniem do Gangu, strona Wojownika, automatyczne wykorzystywanie zasobów i nie tylko.</v>
      </c>
      <c r="P31" s="5" t="str">
        <f>IFERROR(__xludf.DUMMYFUNCTION("""COMPUTED_VALUE"""),"- المقاتل الجديد: ميكانيكي البراري، ألدريتش، محارب جبار يقاتل من أجل العدالة! احصل عليه من القرد الخارق.
- ميزة جديدة: تفويض القوات. قم بتفويض القوات إلى الأصدقاء في عشيرتك أو عصابتك واسمح لهم باستخدام هذه الوحدات. يمكن الوصول إلى هذه الميزة من مركز القيا"&amp;"دة.
- ميزة جديدة: تمت إضافة وضع الحد الزمني إلى الهجوم على الدكتور هوغ. يمكنك الآن تحسين المقتنيات وإلحاق المزيد من الضرر بالرئيس!
- حدث خاص جديد: ""عيد الحصاد"" سيبدأ قريبًا! شارك لتربح زينة المدينة ذو الإصدار الخاص وغيرها من المكافآت الأخرى!
- تحسين حشد"&amp;" الإعصار: تمت إضافة ميزات جديدة بما في ذلك محطات الإمدادات الفائقة وتعزيزات حصرية والمزيد! انطلق في موسم أحداث أطول ومزيد من المكافآت!
- تم تحسين عملية المسوخ: تم إضافة التصنيفات؛ تحسين عرض الواجهة والخبرة؛ الآن لن تخرج من اللعب عند تسجيل الخروج أو تشغيل "&amp;"التطبيق في الخلفية.
- ميزات جديدة: مجموعة جديدة من المعدات المقاتلة مع إضافة إحصائيات الضارب. بالنسبة لـ ""الاستيلاء على الحصن""، تمت إضافة ميزة دليل جديدة ومشاهد الكهوف، وتم توسيع المستويات إلى 300. تمت إضافة تماثيل المقاتل الأسطوري إلى اللعبة. تمت إضافة"&amp;" رموز الدردشة لألقاب ""ختم السيادة"" التي وزعها القائد الأعلى. يمكنك الآن النقر على الصورة الرمزية للقوات لتعديل التشكيلات في دكتور هوغ و حلبة الهيمنة.
- تحسينات الواجهة وتجربة المستخدم: تم تحسين عروض الواجهة والتجربة الوظيفية للعديد من الميزات بما في ذلك"&amp;" إسقاط المنطاد ومدرج النجوم والتصنيفات وواجهة الحشد والنصائح للمباني المحتلة وكوكب الإنجاز والبحث عن كنز ألفين والنافذة المنبثقة لدعوة العصابة وصفحة عرض المقاتل واستخدام الموارد تلقائيًا والمزيد.")</f>
        <v>- المقاتل الجديد: ميكانيكي البراري، ألدريتش، محارب جبار يقاتل من أجل العدالة! احصل عليه من القرد الخارق.
- ميزة جديدة: تفويض القوات. قم بتفويض القوات إلى الأصدقاء في عشيرتك أو عصابتك واسمح لهم باستخدام هذه الوحدات. يمكن الوصول إلى هذه الميزة من مركز القيادة.
- ميزة جديدة: تمت إضافة وضع الحد الزمني إلى الهجوم على الدكتور هوغ. يمكنك الآن تحسين المقتنيات وإلحاق المزيد من الضرر بالرئيس!
- حدث خاص جديد: "عيد الحصاد" سيبدأ قريبًا! شارك لتربح زينة المدينة ذو الإصدار الخاص وغيرها من المكافآت الأخرى!
- تحسين حشد الإعصار: تمت إضافة ميزات جديدة بما في ذلك محطات الإمدادات الفائقة وتعزيزات حصرية والمزيد! انطلق في موسم أحداث أطول ومزيد من المكافآت!
- تم تحسين عملية المسوخ: تم إضافة التصنيفات؛ تحسين عرض الواجهة والخبرة؛ الآن لن تخرج من اللعب عند تسجيل الخروج أو تشغيل التطبيق في الخلفية.
- ميزات جديدة: مجموعة جديدة من المعدات المقاتلة مع إضافة إحصائيات الضارب. بالنسبة لـ "الاستيلاء على الحصن"، تمت إضافة ميزة دليل جديدة ومشاهد الكهوف، وتم توسيع المستويات إلى 300. تمت إضافة تماثيل المقاتل الأسطوري إلى اللعبة. تمت إضافة رموز الدردشة لألقاب "ختم السيادة" التي وزعها القائد الأعلى. يمكنك الآن النقر على الصورة الرمزية للقوات لتعديل التشكيلات في دكتور هوغ و حلبة الهيمنة.
- تحسينات الواجهة وتجربة المستخدم: تم تحسين عروض الواجهة والتجربة الوظيفية للعديد من الميزات بما في ذلك إسقاط المنطاد ومدرج النجوم والتصنيفات وواجهة الحشد والنصائح للمباني المحتلة وكوكب الإنجاز والبحث عن كنز ألفين والنافذة المنبثقة لدعوة العصابة وصفحة عرض المقاتل واستخدام الموارد تلقائيًا والمزيد.</v>
      </c>
      <c r="Q31" s="5"/>
      <c r="R31" s="5"/>
      <c r="S31" s="5"/>
      <c r="T31" s="5"/>
      <c r="U31" s="5"/>
      <c r="V31" s="5"/>
      <c r="W31" s="5"/>
      <c r="X31" s="5"/>
      <c r="Y31" s="5"/>
      <c r="Z31" s="5"/>
      <c r="AA31" s="5"/>
      <c r="AB31" s="5"/>
      <c r="AC31" s="5"/>
    </row>
    <row r="32">
      <c r="A32" s="165" t="str">
        <f>IFERROR(__xludf.DUMMYFUNCTION("""COMPUTED_VALUE"""),"0.49.0")</f>
        <v>0.49.0</v>
      </c>
      <c r="B32" s="166" t="str">
        <f>IFERROR(__xludf.DUMMYFUNCTION("""COMPUTED_VALUE"""),"-新增斗士：霹雳狂焰-索尔，暴躁好战的雇佣兵，比变异猴更可怕的，是索尔的超级火力！可通过最强猴子获取。
-新增遗迹建筑：为地图上可占领的人类遗迹建筑增加了附属据点，驻扎在据点中可增加遗迹建筑的增益效果。
-新增帮派建筑：机械站与威慑炮塔，机械站可为配送站提供防守增益，威慑炮塔由配送站升级而成，可远程攻击目标。
-新增收藏品：三组传说级收藏品“影像时代”，“荒野狩猎”，“神奇工具”开启探测收藏。
-新增冬日节活动：
-冬日惊喜：赢取节日限定主城皮肤、节日限定装饰和其它丰富奖励。
-冬日晚会：收集铃铛提升奖励"&amp;"等级，有机会获取全新行军皮肤“冬日奇缘”。
-保卫冬日节：狩猎冰雪巨猿，守卫冬日安宁。
-新增活动：成长之路，跟随任务一路成长，获得丰厚奖励。
-展览馆扩建：新增三个收藏品展台，可以展览出更多收藏品。
-重装出击改版：升级为战装试炼场，所有玩家将开启新的挑战。
-惊喜藏品屋优化：现可通过藏品屋直接获取三星传说收藏品，还有海量升星石等你来拿。
-托管功能优化：最大可托管时间调整为12小时，托管选项调整。
-帮派旗帜优化：旗帜设置界面表现更新，增加多种帮派旗帜形状和图案，配送站模型也得到了更新。
-押运功能优"&amp;"化：押运部队可以提前撤回，撤回后无法获得运输或护卫奖励，也不消耗奖励次数。
-科林的探索优化：攻城任务调整为随机出现，科林升级不再需要完成攻城任务。
-界面及体验优化：“战装分解、火车竞赛/争霸战绩展示、科林的探索、银河战争香蕉星蓝图任务、道具获取途径指引”等功能界面优化。
")</f>
        <v>-新增斗士：霹雳狂焰-索尔，暴躁好战的雇佣兵，比变异猴更可怕的，是索尔的超级火力！可通过最强猴子获取。
-新增遗迹建筑：为地图上可占领的人类遗迹建筑增加了附属据点，驻扎在据点中可增加遗迹建筑的增益效果。
-新增帮派建筑：机械站与威慑炮塔，机械站可为配送站提供防守增益，威慑炮塔由配送站升级而成，可远程攻击目标。
-新增收藏品：三组传说级收藏品“影像时代”，“荒野狩猎”，“神奇工具”开启探测收藏。
-新增冬日节活动：
-冬日惊喜：赢取节日限定主城皮肤、节日限定装饰和其它丰富奖励。
-冬日晚会：收集铃铛提升奖励等级，有机会获取全新行军皮肤“冬日奇缘”。
-保卫冬日节：狩猎冰雪巨猿，守卫冬日安宁。
-新增活动：成长之路，跟随任务一路成长，获得丰厚奖励。
-展览馆扩建：新增三个收藏品展台，可以展览出更多收藏品。
-重装出击改版：升级为战装试炼场，所有玩家将开启新的挑战。
-惊喜藏品屋优化：现可通过藏品屋直接获取三星传说收藏品，还有海量升星石等你来拿。
-托管功能优化：最大可托管时间调整为12小时，托管选项调整。
-帮派旗帜优化：旗帜设置界面表现更新，增加多种帮派旗帜形状和图案，配送站模型也得到了更新。
-押运功能优化：押运部队可以提前撤回，撤回后无法获得运输或护卫奖励，也不消耗奖励次数。
-科林的探索优化：攻城任务调整为随机出现，科林升级不再需要完成攻城任务。
-界面及体验优化：“战装分解、火车竞赛/争霸战绩展示、科林的探索、银河战争香蕉星蓝图任务、道具获取途径指引”等功能界面优化。
</v>
      </c>
      <c r="C32" s="68" t="str">
        <f>IFERROR(__xludf.DUMMYFUNCTION("""COMPUTED_VALUE"""),"- New Fighter: Thor, the Flames of Thunder, a combative mercenary whose firepower is more fearsome than any mutant! Get him through Ultimate Monkey.
- New ruin buildings: Occupiable ruins on the map now have attached outpost buildings. Garrison these outp"&amp;"osts enhance ruin boosts.
- New Gang buildings: Service Station and Super Turret. Service Stations provide Distributors with defense boosts; Super Turrets are upgraded from Distributors and are capable of long-range attacks.
- New Relics: 3 new Legendary "&amp;"Relic sets: Age of Images, Hunting in the Wild, and Amazing Tools. Get them now through detections!
- New Winter's Fest events:
- Winter Delight: Win special holiday skin and decorations and other great rewards.
- Winter Festival: Collect Lucky Bells and "&amp;"upgrade rewards for a chance to get the new march effect, ""Winter Magic.""
- Winter's Guardian: Hunt the ice Giganto and guard the peace this winter!
- New event: Road to Growth. Complete quests to develop and win rewards!
- Wonder Emporium expanded: Add"&amp;"ed 3 new booths so you display more Relics!
- Loaded Strike revamped: Upgraded into Equipment Test Site. Take on new challenges now!
- Surprise Relic Vault improved: You can now get 3-star Legendary Relics from the vault, and tons of Star Stones to boot!
"&amp;"- Delegation feature optimized: The max duration for a delegation is now 12 hours; adjusted delegation uses.
- Gang flags improved: Upgraded flag configuration page, added new patterns and shapes; upgraded Distributor model.
- Convoys optimized: You can n"&amp;"ow recall troops before the Convoy is completed. You won't receive any convoy or escort rewards but you won't lose any reward chances.
- Colin's Exploration improved: siege quests now appear randomly and are no longer required to upgrade Colin.
- Interfac"&amp;"e and user experience improvements: Optimized equipment disassembly, Great Train Race/Train Rush battle report display, Colin's Exploration, Planet Wars (Banana World) Interstellar Program quests, directions to getting more items, and other interfaces.")</f>
        <v>- New Fighter: Thor, the Flames of Thunder, a combative mercenary whose firepower is more fearsome than any mutant! Get him through Ultimate Monkey.
- New ruin buildings: Occupiable ruins on the map now have attached outpost buildings. Garrison these outposts enhance ruin boosts.
- New Gang buildings: Service Station and Super Turret. Service Stations provide Distributors with defense boosts; Super Turrets are upgraded from Distributors and are capable of long-range attacks.
- New Relics: 3 new Legendary Relic sets: Age of Images, Hunting in the Wild, and Amazing Tools. Get them now through detections!
- New Winter's Fest events:
- Winter Delight: Win special holiday skin and decorations and other great rewards.
- Winter Festival: Collect Lucky Bells and upgrade rewards for a chance to get the new march effect, "Winter Magic."
- Winter's Guardian: Hunt the ice Giganto and guard the peace this winter!
- New event: Road to Growth. Complete quests to develop and win rewards!
- Wonder Emporium expanded: Added 3 new booths so you display more Relics!
- Loaded Strike revamped: Upgraded into Equipment Test Site. Take on new challenges now!
- Surprise Relic Vault improved: You can now get 3-star Legendary Relics from the vault, and tons of Star Stones to boot!
- Delegation feature optimized: The max duration for a delegation is now 12 hours; adjusted delegation uses.
- Gang flags improved: Upgraded flag configuration page, added new patterns and shapes; upgraded Distributor model.
- Convoys optimized: You can now recall troops before the Convoy is completed. You won't receive any convoy or escort rewards but you won't lose any reward chances.
- Colin's Exploration improved: siege quests now appear randomly and are no longer required to upgrade Colin.
- Interface and user experience improvements: Optimized equipment disassembly, Great Train Race/Train Rush battle report display, Colin's Exploration, Planet Wars (Banana World) Interstellar Program quests, directions to getting more items, and other interfaces.</v>
      </c>
      <c r="D32" s="148" t="str">
        <f>IFERROR(__xludf.DUMMYFUNCTION("""COMPUTED_VALUE"""),"- Nouveau combattant: Thor, les flammes du tonnerre. Un mercenaire bagarreur craint par tous les mutants! Obtenez-le via le Singe ultime.
- Nouveaux bâtiments: des avant-postes sont rattachés aux ruines pouvant être occupées. Placez-y des troupes en garni"&amp;"son pour obtenir un boost.
- Nouveaux bâtiments de gang: les stations-service procurent un boost défensif aux distributeurs; les super tourelles sont obtenues en améliorant les distributeurs et peuvent tirer à longue distance.
- 3 nouveaux ensembles de re"&amp;"liques légendaires: Ere des images, Chasse sauvage et Incroyables outils. Obtenez-les via les détections.
- Nouveaux évènements hivernaux:
- Joie hivernale: gagnez des skins exclusifs aux fêtes et d'autres récompenses incroyables.
- Festival d'hiver: coll"&amp;"ectez des carillons porte-bonheur et améliorez vos récompenses pour tenter d'obtenir le nouvel effet de déplacement ""Magie de l'hiver"".
- Gardien de l'hiver: chassez le gigantos des glaces pour maintenir la paix hivernale!
- Nouvel évènement: Route de l"&amp;"a croissance. Accomplissez des quêtes pour vous améliorer et obtenir des récompenses!
- Agrandissement de la halle aux merveilles: 3 stands supplémentaires pour exposer encore plus de reliques!
- Modification de la Frappe chargée: amélioration en site de "&amp;"test d'équipement. En route pour de nouveaux défis!
- Optimisation de la salle aux reliques surprises: vous pouvez désormais obtenir des reliques légendaires à 3 étoiles dans la salle et des tas de pierres d'étoiles!
- Optimisation des délégations: durée "&amp;"maximale des délégations maintenant à 12h; utilisation optimisée.
- Amélioration des bannières du gang: optimisation de l'interface, ajout de nouveaux motifs et amélioration du modèle du distributeur.
- Optimisation des convois: les troupes peuvent mainte"&amp;"nant être rapatriées avant la fin du convoi. Vous ne gagnerez aucune récompense d'escorte ou de convoi mais ne perdrez aucune chance d'obtenir une récompense.
- Optimisation de l'Exploration de Colin: les quêtes de siège apparaissent maintenant aléatoirem"&amp;"ent et ne nécessitent plus d'avoir amélioré Colin.
- Optimisation de l'interface et de l'expérience utilisateur: optimisation du démontage d'équipement, de l'affichage du rapport de bataille de La grande course de train/La course de train, de l'Exploratio"&amp;"n de Colin, des quêtes du programme interstellaire des Guerres planétaires (sur la Planète-Banane), des indications pour obtenir plus d'objets, et d'autres interfaces.")</f>
        <v>- Nouveau combattant: Thor, les flammes du tonnerre. Un mercenaire bagarreur craint par tous les mutants! Obtenez-le via le Singe ultime.
- Nouveaux bâtiments: des avant-postes sont rattachés aux ruines pouvant être occupées. Placez-y des troupes en garnison pour obtenir un boost.
- Nouveaux bâtiments de gang: les stations-service procurent un boost défensif aux distributeurs; les super tourelles sont obtenues en améliorant les distributeurs et peuvent tirer à longue distance.
- 3 nouveaux ensembles de reliques légendaires: Ere des images, Chasse sauvage et Incroyables outils. Obtenez-les via les détections.
- Nouveaux évènements hivernaux:
- Joie hivernale: gagnez des skins exclusifs aux fêtes et d'autres récompenses incroyables.
- Festival d'hiver: collectez des carillons porte-bonheur et améliorez vos récompenses pour tenter d'obtenir le nouvel effet de déplacement "Magie de l'hiver".
- Gardien de l'hiver: chassez le gigantos des glaces pour maintenir la paix hivernale!
- Nouvel évènement: Route de la croissance. Accomplissez des quêtes pour vous améliorer et obtenir des récompenses!
- Agrandissement de la halle aux merveilles: 3 stands supplémentaires pour exposer encore plus de reliques!
- Modification de la Frappe chargée: amélioration en site de test d'équipement. En route pour de nouveaux défis!
- Optimisation de la salle aux reliques surprises: vous pouvez désormais obtenir des reliques légendaires à 3 étoiles dans la salle et des tas de pierres d'étoiles!
- Optimisation des délégations: durée maximale des délégations maintenant à 12h; utilisation optimisée.
- Amélioration des bannières du gang: optimisation de l'interface, ajout de nouveaux motifs et amélioration du modèle du distributeur.
- Optimisation des convois: les troupes peuvent maintenant être rapatriées avant la fin du convoi. Vous ne gagnerez aucune récompense d'escorte ou de convoi mais ne perdrez aucune chance d'obtenir une récompense.
- Optimisation de l'Exploration de Colin: les quêtes de siège apparaissent maintenant aléatoirement et ne nécessitent plus d'avoir amélioré Colin.
- Optimisation de l'interface et de l'expérience utilisateur: optimisation du démontage d'équipement, de l'affichage du rapport de bataille de La grande course de train/La course de train, de l'Exploration de Colin, des quêtes du programme interstellaire des Guerres planétaires (sur la Planète-Banane), des indications pour obtenir plus d'objets, et d'autres interfaces.</v>
      </c>
      <c r="E32" s="148" t="str">
        <f>IFERROR(__xludf.DUMMYFUNCTION("""COMPUTED_VALUE"""),"-Neuer Kämpfer: A21, die Donnerflamme, ein kämpferischer Söldner, dessen Feuerkraft furchterregender ist als jeder Mutierte! Erhalte ihn durch Ultimativer Affe.
 - Neue Ruinenbauten: Besetzbare Ruinen auf der Karte haben jetzt angebrachte Außenpostenbaute"&amp;"n. Garnisonen dieser Außenposten verbessern Ruinen-Boosts.
 - Neue Gang-Gebäude: Service-Station und Super-Turm. Service-Stationen bieten Distributoren Verteidigungs-Boosts; Super-Türme werden von Distributoren verbessert und sind in der Lage, Langstrecke"&amp;"nangriffe durchzuführen.
 - Neue Relikte: 3 neue legendäre Relikt-Sets: Ära der Bilder, Jagd in freier Wildbahn und Erstaunliche Werkzeuge. Erhalte sie jetzt durch Detektionen!
 - Neue Winterfest-Events:
 - Winterfreude: Gewinne spezielle Feiertags-Skins,"&amp;" Dekorationen und andere großartige Belohnungen.
 - Winterfestival: Sammle Glücksglocken und verbessere Belohnungen, um den neuen Marscheffekt """" Wintermagie""""zu erhalten.
 - Wächter des Winters: Jage den Eis-Giganto und bewahre den Frieden in diesem "&amp;"Winter!
 - Neues Event: Weg zum Wachstum. Schließe Missionen ab, um dich weiterzuentwickeln und Belohnungen zu gewinnen!
 - Wunderladen erweitert: 3 neue Stände hinzugefügt, damit mehr Relikte angezeigt werden!
 - Geladener Schlag überarbeitet: In das Aus"&amp;"rüstungs-Testgelände integriert. Nimm jetzt neue Herausforderungen an!
 - Überraschungsrelikt-Tresor verbessert: Du kannst jetzt legendäre 3-Sterne-Relikte aus dem Tresor und jede Menge Sternensteine erhalten!
 - Optimierung der Delegationsfunktion: Die m"&amp;"aximale Dauer für eine Delegation beträgt jetzt 12 Stunden; Delegationsverwendungen angepasst.
 - Gang-Flaggen verbessert: Flaggen-Konfigurationsseite verbessert, neue Muster und Formen hinzugefügt; Distributor-Modell verbessert.
 - Konvois optimiert: Du "&amp;"kannst jetzt Truppen zurückrufen, bevor der Konvoi abgeschlossen ist. Du erhältst keine Konvoi- oder Begleitbelohnungen, aber du verlierst auch keine Belohnungs-Chancen.
 - Colins Erkundung wurde verbessert: Belagerungsmissionen erscheinen jetzt zufällig "&amp;"und sind nicht mehr erforderlich, um Colin zu verbessern.
 - Verbesserung der Benutzeroberfläche und der Benutzererfahrung, folgendes wurde optimiert: Demontage der Ausrüstung, Anzeige des Kampfberichts für Großes Zugrennen/Zug-Rennen, Colins Erkundung, P"&amp;"lanetenkriege (Bananenwelt), Quests für Interstellares Programm, Anweisungen, um mehr Gegenstände zu erhalten und andere Menüs.")</f>
        <v>-Neuer Kämpfer: A21, die Donnerflamme, ein kämpferischer Söldner, dessen Feuerkraft furchterregender ist als jeder Mutierte! Erhalte ihn durch Ultimativer Affe.
 - Neue Ruinenbauten: Besetzbare Ruinen auf der Karte haben jetzt angebrachte Außenpostenbauten. Garnisonen dieser Außenposten verbessern Ruinen-Boosts.
 - Neue Gang-Gebäude: Service-Station und Super-Turm. Service-Stationen bieten Distributoren Verteidigungs-Boosts; Super-Türme werden von Distributoren verbessert und sind in der Lage, Langstreckenangriffe durchzuführen.
 - Neue Relikte: 3 neue legendäre Relikt-Sets: Ära der Bilder, Jagd in freier Wildbahn und Erstaunliche Werkzeuge. Erhalte sie jetzt durch Detektionen!
 - Neue Winterfest-Events:
 - Winterfreude: Gewinne spezielle Feiertags-Skins, Dekorationen und andere großartige Belohnungen.
 - Winterfestival: Sammle Glücksglocken und verbessere Belohnungen, um den neuen Marscheffekt "" Wintermagie""zu erhalten.
 - Wächter des Winters: Jage den Eis-Giganto und bewahre den Frieden in diesem Winter!
 - Neues Event: Weg zum Wachstum. Schließe Missionen ab, um dich weiterzuentwickeln und Belohnungen zu gewinnen!
 - Wunderladen erweitert: 3 neue Stände hinzugefügt, damit mehr Relikte angezeigt werden!
 - Geladener Schlag überarbeitet: In das Ausrüstungs-Testgelände integriert. Nimm jetzt neue Herausforderungen an!
 - Überraschungsrelikt-Tresor verbessert: Du kannst jetzt legendäre 3-Sterne-Relikte aus dem Tresor und jede Menge Sternensteine erhalten!
 - Optimierung der Delegationsfunktion: Die maximale Dauer für eine Delegation beträgt jetzt 12 Stunden; Delegationsverwendungen angepasst.
 - Gang-Flaggen verbessert: Flaggen-Konfigurationsseite verbessert, neue Muster und Formen hinzugefügt; Distributor-Modell verbessert.
 - Konvois optimiert: Du kannst jetzt Truppen zurückrufen, bevor der Konvoi abgeschlossen ist. Du erhältst keine Konvoi- oder Begleitbelohnungen, aber du verlierst auch keine Belohnungs-Chancen.
 - Colins Erkundung wurde verbessert: Belagerungsmissionen erscheinen jetzt zufällig und sind nicht mehr erforderlich, um Colin zu verbessern.
 - Verbesserung der Benutzeroberfläche und der Benutzererfahrung, folgendes wurde optimiert: Demontage der Ausrüstung, Anzeige des Kampfberichts für Großes Zugrennen/Zug-Rennen, Colins Erkundung, Planetenkriege (Bananenwelt), Quests für Interstellares Programm, Anweisungen, um mehr Gegenstände zu erhalten und andere Menüs.</v>
      </c>
      <c r="F32" s="148" t="str">
        <f>IFERROR(__xludf.DUMMYFUNCTION("""COMPUTED_VALUE"""),"- Novo combatente: Thor, Chamas do Trovão, um mercenário belicoso e cujo poder de fogo é mais aterrorizante que qualquer mutante! Obtenha-o através do Macaco Supremo.
- Novas ruínas de estruturas: ruínas ocupáveis no mapa agora tem Postos Avançados anexa"&amp;"dos. Guarnecer esses postos avançados melhoram os bônus da ruína.
- Novas estruturas de gangue: Posto de Manutenção e Super Torre. Postos de manutenção oferecem Distribuidores com bônus de defesa. Super Torres são melhorias de Distribuidores e lançam ata"&amp;"que de longa distância.
- Novas relíquias: 3 novos conjuntos de relíquias lendárias, sendo eles; Era de Imagens, Caçando nos Ermos e Ferramentas Incríveis. Obtenha-os através de detecções!
- Novo evento, Festival de Inverno:
- Encanto Invernal: Ganhe s"&amp;"kin especial de festividades, decorações e outras recompensas fantásticas.
- Festival de Inverno: Colete Sinos da Sorte e melhore recompensas por uma chance de conseguir novos efeitos de marcha, ""Magia do Inverno.""
- Guardião Invernal: cace o giganto "&amp;"de gelo e defenda a paz nesse inverno!
- Novo evento: O caminho para o crescimento. Complete missões para se desenvolver e ganhar recompensas!
- Empório Maravilha expandido: 3 novos estandes adicionados para se exibir mais relíquias!
- Ataque Carregado"&amp;" reformulado: alterado para Local de Teste de Equipamentos. Enfrente novos desafios!
- Cofre de Relíquias Surpresa melhorado: agora você pode conseguir relíquias lendárias de 3 estrelas no cofre, além de muitas pedras estelares!
- Recurso de delegação o"&amp;"timizado: a duração máxima para uma delegação agora é de 12 horas, além de usos de delegações serem ajustados.
- Bandeiras de gangue melhoradas: Melhoria na página de configuração de bandeira, novos padrões e formas adicionados, além do aprimoramento do "&amp;"modelo de Distribuidor.
- Comboios otimizados: você agora pode chamar as tropas de volta antes que o Comboio termine. Você não receberá nenhuma recompensa por comboio ou escolta, mas não perderá nenhuma chance de recompensa.
- Exploração de Colin melhor"&amp;"ada: missões de cerco agora aparecem aleatoriamente, sem necessidade de se aprimorar Colin.
- Interface e melhorias na experiência do usuário: desmonte de equipamentos otimizado, exibição de resultados de batalha da grande corrida dos trens/corrida do tr"&amp;"em, exploração de Colin, guerras interplanetárias (Mundo Banana), missões do programa interestelar, direções para obter mais itens e outras interfaces.")</f>
        <v>- Novo combatente: Thor, Chamas do Trovão, um mercenário belicoso e cujo poder de fogo é mais aterrorizante que qualquer mutante! Obtenha-o através do Macaco Supremo.
- Novas ruínas de estruturas: ruínas ocupáveis no mapa agora tem Postos Avançados anexados. Guarnecer esses postos avançados melhoram os bônus da ruína.
- Novas estruturas de gangue: Posto de Manutenção e Super Torre. Postos de manutenção oferecem Distribuidores com bônus de defesa. Super Torres são melhorias de Distribuidores e lançam ataque de longa distância.
- Novas relíquias: 3 novos conjuntos de relíquias lendárias, sendo eles; Era de Imagens, Caçando nos Ermos e Ferramentas Incríveis. Obtenha-os através de detecções!
- Novo evento, Festival de Inverno:
- Encanto Invernal: Ganhe skin especial de festividades, decorações e outras recompensas fantásticas.
- Festival de Inverno: Colete Sinos da Sorte e melhore recompensas por uma chance de conseguir novos efeitos de marcha, "Magia do Inverno."
- Guardião Invernal: cace o giganto de gelo e defenda a paz nesse inverno!
- Novo evento: O caminho para o crescimento. Complete missões para se desenvolver e ganhar recompensas!
- Empório Maravilha expandido: 3 novos estandes adicionados para se exibir mais relíquias!
- Ataque Carregado reformulado: alterado para Local de Teste de Equipamentos. Enfrente novos desafios!
- Cofre de Relíquias Surpresa melhorado: agora você pode conseguir relíquias lendárias de 3 estrelas no cofre, além de muitas pedras estelares!
- Recurso de delegação otimizado: a duração máxima para uma delegação agora é de 12 horas, além de usos de delegações serem ajustados.
- Bandeiras de gangue melhoradas: Melhoria na página de configuração de bandeira, novos padrões e formas adicionados, além do aprimoramento do modelo de Distribuidor.
- Comboios otimizados: você agora pode chamar as tropas de volta antes que o Comboio termine. Você não receberá nenhuma recompensa por comboio ou escolta, mas não perderá nenhuma chance de recompensa.
- Exploração de Colin melhorada: missões de cerco agora aparecem aleatoriamente, sem necessidade de se aprimorar Colin.
- Interface e melhorias na experiência do usuário: desmonte de equipamentos otimizado, exibição de resultados de batalha da grande corrida dos trens/corrida do trem, exploração de Colin, guerras interplanetárias (Mundo Banana), missões do programa interestelar, direções para obter mais itens e outras interfaces.</v>
      </c>
      <c r="G32" s="148" t="str">
        <f>IFERROR(__xludf.DUMMYFUNCTION("""COMPUTED_VALUE"""),"-新增鬥士：霹靂狂焰-索爾，暴躁好戰的僱傭兵，比變異猴更可怕的，是索爾的超級火力！可通過最強猴子獲取。
-新增遺蹟建築：爲地圖上可佔領的人類遺蹟建築增加了附屬據點，駐紮在據點中可增加遺蹟建築的增益效果。
-新增幫派建築：機械站與威懾炮塔，機械站可爲配送站提供防守增益，威懾炮塔由配送站升級而成，可遠程攻擊目標。
-新增收藏品：三組傳說級收藏品“影像時代”，“荒野狩獵”，“神奇工具”開啓探測收藏。
-新增冬日節活動：
-冬日驚喜：贏取節日限定主城皮膚、節日限定裝飾和其它豐富獎勵。
-冬日晚會：收集鈴鐺提升獎勵"&amp;"等級，有機會獲取全新行軍皮膚“冬日奇緣”。
-保衛冬日節：狩獵冰雪巨猿，守衛冬日安寧。
-新增活動：成長之路，跟隨任務一路成長，獲得豐厚獎勵。
-展覽館擴建：新增三個收藏品展臺，可以展覽出更多收藏品。
-重裝出擊改版：升級爲戰裝試煉場，所有玩家將開啓新的挑戰。
-驚喜藏品屋優化：現可通過藏品屋直接獲取三星傳說收藏品，還有海量升星石等你來拿。
-託管功能優化：最大可託管時間調整爲12小時，託管選項調整。
-幫派旗幟優化：旗幟設置界面表現更新，增加多種幫派旗幟形狀和圖案，配送站模型也得到了更新。
-押運功能優"&amp;"化：押運部隊可以提前撤回，撤回後無法獲得運輸或護衛獎勵，也不消耗獎勵次數。
-科林的探索優化：攻城任務調整爲隨機出現，科林升級不再需要完成攻城任務。
-界面及體驗優化：“戰裝分解、火車競賽/爭霸戰績展示、科林的探索、銀河戰爭香蕉星藍圖任務、道具獲取途徑指引”等功能界面優化。")</f>
        <v>-新增鬥士：霹靂狂焰-索爾，暴躁好戰的僱傭兵，比變異猴更可怕的，是索爾的超級火力！可通過最強猴子獲取。
-新增遺蹟建築：爲地圖上可佔領的人類遺蹟建築增加了附屬據點，駐紮在據點中可增加遺蹟建築的增益效果。
-新增幫派建築：機械站與威懾炮塔，機械站可爲配送站提供防守增益，威懾炮塔由配送站升級而成，可遠程攻擊目標。
-新增收藏品：三組傳說級收藏品“影像時代”，“荒野狩獵”，“神奇工具”開啓探測收藏。
-新增冬日節活動：
-冬日驚喜：贏取節日限定主城皮膚、節日限定裝飾和其它豐富獎勵。
-冬日晚會：收集鈴鐺提升獎勵等級，有機會獲取全新行軍皮膚“冬日奇緣”。
-保衛冬日節：狩獵冰雪巨猿，守衛冬日安寧。
-新增活動：成長之路，跟隨任務一路成長，獲得豐厚獎勵。
-展覽館擴建：新增三個收藏品展臺，可以展覽出更多收藏品。
-重裝出擊改版：升級爲戰裝試煉場，所有玩家將開啓新的挑戰。
-驚喜藏品屋優化：現可通過藏品屋直接獲取三星傳說收藏品，還有海量升星石等你來拿。
-託管功能優化：最大可託管時間調整爲12小時，託管選項調整。
-幫派旗幟優化：旗幟設置界面表現更新，增加多種幫派旗幟形狀和圖案，配送站模型也得到了更新。
-押運功能優化：押運部隊可以提前撤回，撤回後無法獲得運輸或護衛獎勵，也不消耗獎勵次數。
-科林的探索優化：攻城任務調整爲隨機出現，科林升級不再需要完成攻城任務。
-界面及體驗優化：“戰裝分解、火車競賽/爭霸戰績展示、科林的探索、銀河戰爭香蕉星藍圖任務、道具獲取途徑指引”等功能界面優化。</v>
      </c>
      <c r="H32" s="148" t="str">
        <f>IFERROR(__xludf.DUMMYFUNCTION("""COMPUTED_VALUE"""),"- Pejuang Baru: Api Petir - Thor, tentara bayaran yang kejam dan mahir berperang. Hal yang lebih mengerikan dari Kera Mutan adalah kekuatan Thor! Bisa didapat dari Kera yang Tangguh
- Bangunan Reruntuhan Baru: Menambah Pos Terdepan terkait untuk bangunan "&amp;"reruntuhan manusia yang bisa diduduki di peta. Menempatkan di Pos Terdepan bisa menambah efek keunggulan bangunan reruntuhan.
- Bangunan Geng Baru: Stasiun Mekanik dan Menara Penghalang. Stasiun Mekanik bisa memberikan keunggulan pertahanan Distributor. M"&amp;"enara Penghalang dibuat dari meningkatkan Distributor, bisa menyerang musuh jarak jauh.
- Pusaka Baru: Tiga set Pusaka Legendaris “Era Gambar”, “Pemburuan Liar” dan “Alat Ajaib” membuka pendeteksian pusaka.
- Event Baru Festival Musim Dingin
- Kejutan Mus"&amp;"im Dingin: Menangkan Skin kota terbatas festival, dekorasi terbatas festival dan berbagai hadiah lainnya.
- Festival Musim Dingin: Kumpulkan lonceng untuk meningkatkan level hadiah, ada peluang mendapatkan Skin Berbaris baru “Asmara Musim Dingin”.
- Perta"&amp;"hanan Musim Dingin: Memburu Ice Giganto, menjaga keamanan musim dingin.
- Event Baru: Jalan Pertumbuhan. Bertumbuh seiring misi, dapatkan hadiah berlimpah.
- Perluas Emperion Megah: Menambah 3 Stand Pusaka, bisa memajang lebih banyak pusaka.
- Peningkatan"&amp;" Serangan Terisi: Ditingkatkan menjadi Arena Trial Perlengkapan, semua pemain akan memulai tantangan baru.
- Peningkatan Rumah Pusaka Kejutan: Sekarang bisa langsung mendapatkan Pusaka Emas lewat Rumah Pusaka, juga ada banyak Batu Bintang menantimu.
- Pen"&amp;"ingkatan Fitur Auto: Maks Auto hingga 12 jam, bisa diatur di Auto.
- Peningkatan Bendera Geng: Pembaruan tampilan pengaturan Bendera, menambah banyak bentuk dan pola Bendera Geng. Model Distributor juga diperbarui.
- Peningkatan Fitur Konvoi Klan: Pasukan"&amp;" Pengawalan bisa ditarik lebih dulu, hadiah kawal dan konvoi tidak bisa didapatkan setelah ditarik, juga tidak memakai kesempatan hadiah.
- Peningkatan Penjelajahan Colin: Menyesuaikan misi pengepungan menjadi muncul acak. Meningkatkan Colin tidak perlu m"&amp;"enyelesaikan misi pengepungan.
- Peningkatan Tampilan dan Pengalaman: Peningkatan tampilan fitur “Bongkar Perlengkapan, tampilan Balap Kereta Hebat / Rekor Kompetisi, Penjelajahan Colin, Misi Program Dunia Pisang Perang Planet, Panduan mendapatkan item”.")</f>
        <v>- Pejuang Baru: Api Petir - Thor, tentara bayaran yang kejam dan mahir berperang. Hal yang lebih mengerikan dari Kera Mutan adalah kekuatan Thor! Bisa didapat dari Kera yang Tangguh
- Bangunan Reruntuhan Baru: Menambah Pos Terdepan terkait untuk bangunan reruntuhan manusia yang bisa diduduki di peta. Menempatkan di Pos Terdepan bisa menambah efek keunggulan bangunan reruntuhan.
- Bangunan Geng Baru: Stasiun Mekanik dan Menara Penghalang. Stasiun Mekanik bisa memberikan keunggulan pertahanan Distributor. Menara Penghalang dibuat dari meningkatkan Distributor, bisa menyerang musuh jarak jauh.
- Pusaka Baru: Tiga set Pusaka Legendaris “Era Gambar”, “Pemburuan Liar” dan “Alat Ajaib” membuka pendeteksian pusaka.
- Event Baru Festival Musim Dingin
- Kejutan Musim Dingin: Menangkan Skin kota terbatas festival, dekorasi terbatas festival dan berbagai hadiah lainnya.
- Festival Musim Dingin: Kumpulkan lonceng untuk meningkatkan level hadiah, ada peluang mendapatkan Skin Berbaris baru “Asmara Musim Dingin”.
- Pertahanan Musim Dingin: Memburu Ice Giganto, menjaga keamanan musim dingin.
- Event Baru: Jalan Pertumbuhan. Bertumbuh seiring misi, dapatkan hadiah berlimpah.
- Perluas Emperion Megah: Menambah 3 Stand Pusaka, bisa memajang lebih banyak pusaka.
- Peningkatan Serangan Terisi: Ditingkatkan menjadi Arena Trial Perlengkapan, semua pemain akan memulai tantangan baru.
- Peningkatan Rumah Pusaka Kejutan: Sekarang bisa langsung mendapatkan Pusaka Emas lewat Rumah Pusaka, juga ada banyak Batu Bintang menantimu.
- Peningkatan Fitur Auto: Maks Auto hingga 12 jam, bisa diatur di Auto.
- Peningkatan Bendera Geng: Pembaruan tampilan pengaturan Bendera, menambah banyak bentuk dan pola Bendera Geng. Model Distributor juga diperbarui.
- Peningkatan Fitur Konvoi Klan: Pasukan Pengawalan bisa ditarik lebih dulu, hadiah kawal dan konvoi tidak bisa didapatkan setelah ditarik, juga tidak memakai kesempatan hadiah.
- Peningkatan Penjelajahan Colin: Menyesuaikan misi pengepungan menjadi muncul acak. Meningkatkan Colin tidak perlu menyelesaikan misi pengepungan.
- Peningkatan Tampilan dan Pengalaman: Peningkatan tampilan fitur “Bongkar Perlengkapan, tampilan Balap Kereta Hebat / Rekor Kompetisi, Penjelajahan Colin, Misi Program Dunia Pisang Perang Planet, Panduan mendapatkan item”.</v>
      </c>
      <c r="I32" s="148" t="str">
        <f>IFERROR(__xludf.DUMMYFUNCTION("""COMPUTED_VALUE"""),"-เพิ่มนักสู้ใหม่: เปลวไฟสายฟ้า-ธอร์ ทหารรับจ้างผู้เกรี้ยวกราดและชอบการต่อสู้ ที่น่ากลัวยิ่งกว่าพวกมิวแตนต์ คือ พลังโจมตีขั้นสุดยอดของธอร์นั่นแหละ! ได้รับจากลิงขั้นเทพ
-เพิ่มสิ่งปลูกสร้างซากปรักหักพังใหม่: เพิ่มด่านของสิ่งปลูกสร้างซากปรักหักพังของมนุษย์ที่"&amp;"สามารถยึดครองได้บนแผนที่ หากประจำการอยู่ในด่านจะสามารถเพิ่มผลบัฟของสิ่งปลูกสร้างซากปรักหักพักได้
-เพิ่มสิ่งปลูกสร้างแก๊งค์ใหม่: สถานีจักรกลและป้อมปืนยิ่งใหญ่ สถานีจักรกลสามารถให้บัฟป้องกันกับสถานีขนส่ง ป้อมปืนยิ่งใหญ่ สามารถอัปเกรดขึ้นมาจากสถานีขนส่ง สามา"&amp;"รถโจมตีเป้าหมายที่อยู่ระยะไกลได้
-เพิ่มวัตถุโบราณใหม่: วัตถุโบราณระดับตำนาน 3 ชุด ""ยุคสมัยโฮโลแกรม"", ""การล่าในป่า"" และ ""เครื่องมือมหัศจรรย์"" เริ่มเปิดให้สำรวจและสะสมแล้ว
-เตรียมพบกับกิจกรรมฤดูหนาว:
-เซอร์ไพรส์แห่งฤดูหนาว: ลุ้นรับสกินเมืองหลักลิมิเต็"&amp;"ด, ของตกแต่งลิมิเต็ดของเทศกาล และรางวัลอื่น ๆ อีกมากมาย
-ดินเนอร์ฤดูหนาว: รวบรวมกระดิ่งอัปเกรดเลเวลรางวัล มีโอกาสรับสกินเดินทัพใหม่ ""ฤดูหนาวร้อนรัก""
-คุ้มครองฤดูหนาว: ไล่ล่ากิกันโต คุ้มครองความสงบสุขของฤดูหนาว!
-เพิ่มกิจกรรมใหม่: เส้นทางแห่งการเติบโต พั"&amp;"ฒนาไปพร้อมกับการทำภารกิจ รับรางวัลได้มากมาย
-ขยายเอ็มโพเรียม: เพิ่มบูธวัตถุโบราณอีก 3 แห่ง สามารถจัดแสดงวัตถุโบราณเพิ่มเติมได้
-กระหน่ำโจมตีรุ่นอัปเกรด: อัปเกรดเป็นสนามทดสอบอุปกรณ์ ผู้เล่นทั้งหมดจะได้เปิดการท้าทายใหม่
-ปรับปรุงคลังวัตถุโบราณสุดเซอร์ไพรส์:"&amp;" ตอนนี้สามารถรับวัตถุโบราณตำนาน 3 ดาวได้โดยตรงจากคลังวัตถุโบราณ อีกทั้งยังมีหินดวงดาวมากมายรอคุณมารับ
-ปรับปรุงฟังก์ชันมอบหมาย: เวลามอบหมายสูงสุดถูกปรับเป็น 12 ชั่วโมง ปรับตัวเลือกของการมอบหมาย
-ปรับปรุงโลโก้ของแก๊งค์: อัปเดตการแสดงผลหน้าต่างการตั้งค่าโลโ"&amp;"ก้ เพิ่มลักษณะโลโก้และภาพแก๊งค์ที่หลากหลายมากยิ่งขึ้น โมเดลสถานีขนส่งก็มีการอัปเดตด้วย
-ปรับปรุงฟังก์ชันคอนวอย: กองทัพรถคอนวอยสามารถถอนกลับล่วงหน้าได้ หลังถอนแล้วจะไม่สามารถรับรางวัลขนส่งหรือคุ้มกัน และไม่ใช้จำนวนครั้งรางวัล
-ปรับปรุงการสำรวจของโคลิน: เคว"&amp;"สต์ปิดล้อมถูกปรับการสุ่มปรากฏ การอัปเกรดโคลินจะไม่จำเป็นต้องเคลียร์เควสต์ปิดล้อมอีกต่อไป
-ปรับปรุงหน้าต่างและประสบการณ์การใช้งาน: ปรับปรุงหน้าต่างฟังก์ชัน ""ถอดประกอบอุปกรณ์, การแข่งขันสุดยอดรถไฟ/แสดงผลการต่อสู้แข่งขันชิงอำนาจ, การสำรวจของโคลิน, เควสต์โปร"&amp;"แกรมบานาน่าเวิลด์ของสงครามดาวเคราะห์, แนะนำช่องทางรับไอเทม"" และอื่น ๆ")</f>
        <v>-เพิ่มนักสู้ใหม่: เปลวไฟสายฟ้า-ธอร์ ทหารรับจ้างผู้เกรี้ยวกราดและชอบการต่อสู้ ที่น่ากลัวยิ่งกว่าพวกมิวแตนต์ คือ พลังโจมตีขั้นสุดยอดของธอร์นั่นแหละ! ได้รับจากลิงขั้นเทพ
-เพิ่มสิ่งปลูกสร้างซากปรักหักพังใหม่: เพิ่มด่านของสิ่งปลูกสร้างซากปรักหักพังของมนุษย์ที่สามารถยึดครองได้บนแผนที่ หากประจำการอยู่ในด่านจะสามารถเพิ่มผลบัฟของสิ่งปลูกสร้างซากปรักหักพักได้
-เพิ่มสิ่งปลูกสร้างแก๊งค์ใหม่: สถานีจักรกลและป้อมปืนยิ่งใหญ่ สถานีจักรกลสามารถให้บัฟป้องกันกับสถานีขนส่ง ป้อมปืนยิ่งใหญ่ สามารถอัปเกรดขึ้นมาจากสถานีขนส่ง สามารถโจมตีเป้าหมายที่อยู่ระยะไกลได้
-เพิ่มวัตถุโบราณใหม่: วัตถุโบราณระดับตำนาน 3 ชุด "ยุคสมัยโฮโลแกรม", "การล่าในป่า" และ "เครื่องมือมหัศจรรย์" เริ่มเปิดให้สำรวจและสะสมแล้ว
-เตรียมพบกับกิจกรรมฤดูหนาว:
-เซอร์ไพรส์แห่งฤดูหนาว: ลุ้นรับสกินเมืองหลักลิมิเต็ด, ของตกแต่งลิมิเต็ดของเทศกาล และรางวัลอื่น ๆ อีกมากมาย
-ดินเนอร์ฤดูหนาว: รวบรวมกระดิ่งอัปเกรดเลเวลรางวัล มีโอกาสรับสกินเดินทัพใหม่ "ฤดูหนาวร้อนรัก"
-คุ้มครองฤดูหนาว: ไล่ล่ากิกันโต คุ้มครองความสงบสุขของฤดูหนาว!
-เพิ่มกิจกรรมใหม่: เส้นทางแห่งการเติบโต พัฒนาไปพร้อมกับการทำภารกิจ รับรางวัลได้มากมาย
-ขยายเอ็มโพเรียม: เพิ่มบูธวัตถุโบราณอีก 3 แห่ง สามารถจัดแสดงวัตถุโบราณเพิ่มเติมได้
-กระหน่ำโจมตีรุ่นอัปเกรด: อัปเกรดเป็นสนามทดสอบอุปกรณ์ ผู้เล่นทั้งหมดจะได้เปิดการท้าทายใหม่
-ปรับปรุงคลังวัตถุโบราณสุดเซอร์ไพรส์: ตอนนี้สามารถรับวัตถุโบราณตำนาน 3 ดาวได้โดยตรงจากคลังวัตถุโบราณ อีกทั้งยังมีหินดวงดาวมากมายรอคุณมารับ
-ปรับปรุงฟังก์ชันมอบหมาย: เวลามอบหมายสูงสุดถูกปรับเป็น 12 ชั่วโมง ปรับตัวเลือกของการมอบหมาย
-ปรับปรุงโลโก้ของแก๊งค์: อัปเดตการแสดงผลหน้าต่างการตั้งค่าโลโก้ เพิ่มลักษณะโลโก้และภาพแก๊งค์ที่หลากหลายมากยิ่งขึ้น โมเดลสถานีขนส่งก็มีการอัปเดตด้วย
-ปรับปรุงฟังก์ชันคอนวอย: กองทัพรถคอนวอยสามารถถอนกลับล่วงหน้าได้ หลังถอนแล้วจะไม่สามารถรับรางวัลขนส่งหรือคุ้มกัน และไม่ใช้จำนวนครั้งรางวัล
-ปรับปรุงการสำรวจของโคลิน: เควสต์ปิดล้อมถูกปรับการสุ่มปรากฏ การอัปเกรดโคลินจะไม่จำเป็นต้องเคลียร์เควสต์ปิดล้อมอีกต่อไป
-ปรับปรุงหน้าต่างและประสบการณ์การใช้งาน: ปรับปรุงหน้าต่างฟังก์ชัน "ถอดประกอบอุปกรณ์, การแข่งขันสุดยอดรถไฟ/แสดงผลการต่อสู้แข่งขันชิงอำนาจ, การสำรวจของโคลิน, เควสต์โปรแกรมบานาน่าเวิลด์ของสงครามดาวเคราะห์, แนะนำช่องทางรับไอเทม" และอื่น ๆ</v>
      </c>
      <c r="J32" s="148" t="str">
        <f>IFERROR(__xludf.DUMMYFUNCTION("""COMPUTED_VALUE"""),"- Nuevo luchador: Thor, Llamas del Trueno, un mercenario belicoso con una potencia de fuego más temible que la de cualquier mutante. Obtenlo a través de Mono Supremo.
- Nuevos edificios en ruinas: Las ruinas ocupables en el mapa ahora tienen edificios de "&amp;"Puesto de avanzada. Guarnecer estos puestos mejora los potenciadores de ruinas.
- Nuevos edificios de Banda: Estación de servicio y Supertorreta. Las estaciones de servicio les otorgan a los Distribuidores potenciadores de defensa. Las Supertorretas se me"&amp;"joran a través de los Distribuidores y pueden realizar ataques de largo alcance.
- Nuevas reliquias: 3 nuevos sets de Reliquias Legendarias: Era de las imágenes, Caza salvaje y Herramientas increíbles. Obtenlas por medio de detecciones.
- Nuevos eventos d"&amp;"el Festival invernal:
- Delicia invernal: Gana texturas y decoraciones especiales por las fiestas y otras recompensas geniales.
- Festival invernal: Recolecta Campanas de la suerte y mejora recompensas para tener la oportunidad de obtener el nuevo efecto "&amp;"de marcha: “Magia invernal”.
- Guardián invernal: Caza al Gigantopithecus de hielo y mantén la paz este invierno.
- Nuevo evento: Camino al desarrollo. ¡Completa misiones para desarrollarte y ganar recompensas!
- Expansión del Emporio de maravillas: Se ag"&amp;"regaron 3 nuevas exhibiciones para mostrar más Reliquias.
- Renovación de Golpe cargado: Se mejoró a Sitio de pruebas de equipo. ¡Completa los desafíos nuevos!
- Bóveda de reliquias sorpresa mejorada: ¡Ahora puedes obtener Reliquias legendarias de 3 estre"&amp;"llas y muchas Piedras estelares en la bóveda!
- Función de delegación optimizada: La duración máx. de las delegaciones ahora es de 12 hs. Se ajustaron los usos de la delegación.
- Banderas de Bandas mejoradas: Se mejoró la página de configuración de bande"&amp;"ras. Se agregaron nuevos patrones y formas. Se actualizó el modelo de Distribuidor,
- Optimización de convoyes: Ahora puedes retirar las tropas antes de completar el convoy. No recibirás recompensas por convoy o escolta, pero no perderás oportunidades de "&amp;"recompensa.
- Exploración de Colin mejorada: las misiones de asedio ahora aparecen de forma aleatoria y ya no se requieren para mejorar a Colin.
- Mejoras de interfaz y experiencia de usuario: Se optimizó el desensamble de equipos, la visualización de inf"&amp;"ormes de batalla de Gran carrera del tren/Carrera del tren, la Exploración de Colin, Guerras planetarias (Mundo banana), misiones del Programa interestelar, directivas para obtener más artículos y otras interfaces.
")</f>
        <v>- Nuevo luchador: Thor, Llamas del Trueno, un mercenario belicoso con una potencia de fuego más temible que la de cualquier mutante. Obtenlo a través de Mono Supremo.
- Nuevos edificios en ruinas: Las ruinas ocupables en el mapa ahora tienen edificios de Puesto de avanzada. Guarnecer estos puestos mejora los potenciadores de ruinas.
- Nuevos edificios de Banda: Estación de servicio y Supertorreta. Las estaciones de servicio les otorgan a los Distribuidores potenciadores de defensa. Las Supertorretas se mejoran a través de los Distribuidores y pueden realizar ataques de largo alcance.
- Nuevas reliquias: 3 nuevos sets de Reliquias Legendarias: Era de las imágenes, Caza salvaje y Herramientas increíbles. Obtenlas por medio de detecciones.
- Nuevos eventos del Festival invernal:
- Delicia invernal: Gana texturas y decoraciones especiales por las fiestas y otras recompensas geniales.
- Festival invernal: Recolecta Campanas de la suerte y mejora recompensas para tener la oportunidad de obtener el nuevo efecto de marcha: “Magia invernal”.
- Guardián invernal: Caza al Gigantopithecus de hielo y mantén la paz este invierno.
- Nuevo evento: Camino al desarrollo. ¡Completa misiones para desarrollarte y ganar recompensas!
- Expansión del Emporio de maravillas: Se agregaron 3 nuevas exhibiciones para mostrar más Reliquias.
- Renovación de Golpe cargado: Se mejoró a Sitio de pruebas de equipo. ¡Completa los desafíos nuevos!
- Bóveda de reliquias sorpresa mejorada: ¡Ahora puedes obtener Reliquias legendarias de 3 estrellas y muchas Piedras estelares en la bóveda!
- Función de delegación optimizada: La duración máx. de las delegaciones ahora es de 12 hs. Se ajustaron los usos de la delegación.
- Banderas de Bandas mejoradas: Se mejoró la página de configuración de banderas. Se agregaron nuevos patrones y formas. Se actualizó el modelo de Distribuidor,
- Optimización de convoyes: Ahora puedes retirar las tropas antes de completar el convoy. No recibirás recompensas por convoy o escolta, pero no perderás oportunidades de recompensa.
- Exploración de Colin mejorada: las misiones de asedio ahora aparecen de forma aleatoria y ya no se requieren para mejorar a Colin.
- Mejoras de interfaz y experiencia de usuario: Se optimizó el desensamble de equipos, la visualización de informes de batalla de Gran carrera del tren/Carrera del tren, la Exploración de Colin, Guerras planetarias (Mundo banana), misiones del Programa interestelar, directivas para obtener más artículos y otras interfaces.
</v>
      </c>
      <c r="K32" s="148" t="str">
        <f>IFERROR(__xludf.DUMMYFUNCTION("""COMPUTED_VALUE"""),"- Новый герой: Тор, Грозовое Пламя. Боевитый наемник, огневой мощью намного превосходящий любого мутанта! Получите его в «Великой обезьяне».
- Новые постройки в руинах: к руинам на карте, которые можно захватить, теперь пристроены аванпосты. Если отправит"&amp;"ь в эти аванпосты гарнизон, усиления руин увеличиваются.
- Новые здания банды: ремонтная станция и супертурель. Ремонтные станции дают распределителям усиления защиты. Супертурели строятся из распределителей и способны атаковать с дальнего расстояния.
- Н"&amp;"овые реликвии: 3 новых набора легендарных реликвий: «Эпоха образов», «Охота в диких землях» и «Невероятные инструменты». Получите их при помощи сканирования прямо сейчас! 
- Новые события Праздника зимы:
- Зимняя радость: выиграйте особый праздничный обли"&amp;"к, украшения и другие замечательные награды.
- Зимний фестиваль: собирайте счастливые колокольчики и награды за улучшения, и у вас будет шанс получить новый эффект марша «Зимнее волшебство».
- Хранитель зимы: охотьтесь на ледяного Гиганто и защищайте мир "&amp;"этой зимой! 
- Новое событие: «Дорога к росту». Выполняйте задания, чтобы развиваться и выигрывать награды! 
- Расширен Зал чудес: добавлено 3 новых стенда, чтобы вы могли выставить больше реликвий! 
- Обновлен «Заряженный удар»: событие улучшено до «Поли"&amp;"гона для снаряжения». Проходите новые испытания! 
- Улучшено хранилище неожиданных реликвий: теперь вы можете получить из хранилища легендарные реликвии с тремя звездами, а в придачу множество звездных камней! 
- Функция передачи оптимизирована: максималь"&amp;"ное время передачи теперь составляет 12 часов; скорректировано использование переданных войск.
- Улучшены флаги банд: улучшена страница настройки флага, добавлены новые узоры и формы; улучшена модель распределителя.
- Оптимизированы караваны: теперь вы мо"&amp;"жете отозвать войска до завершения каравана. Вы не получите награды за караван и сопровождение, но и не потеряете шанс получить награду.
- Улучшены «Исследования Колина»: осадные задания теперь появляются случайным образом и больше не требуются для улучше"&amp;"ния Колина.
- Улучшения интерфейса и удобства для игроков: оптимизирована разборка снаряжения, отображение отчетов о сражениях в «Больших гонках на поездах» и «Натиске поездов», «Исследования Колина», Планетарные войны (Банановый мир), задания «Межзвездно"&amp;"й программы», подсказки для получения новых предметов и другие элементы интерфейса.")</f>
        <v>- Новый герой: Тор, Грозовое Пламя. Боевитый наемник, огневой мощью намного превосходящий любого мутанта! Получите его в «Великой обезьяне».
- Новые постройки в руинах: к руинам на карте, которые можно захватить, теперь пристроены аванпосты. Если отправить в эти аванпосты гарнизон, усиления руин увеличиваются.
- Новые здания банды: ремонтная станция и супертурель. Ремонтные станции дают распределителям усиления защиты. Супертурели строятся из распределителей и способны атаковать с дальнего расстояния.
- Новые реликвии: 3 новых набора легендарных реликвий: «Эпоха образов», «Охота в диких землях» и «Невероятные инструменты». Получите их при помощи сканирования прямо сейчас! 
- Новые события Праздника зимы:
- Зимняя радость: выиграйте особый праздничный облик, украшения и другие замечательные награды.
- Зимний фестиваль: собирайте счастливые колокольчики и награды за улучшения, и у вас будет шанс получить новый эффект марша «Зимнее волшебство».
- Хранитель зимы: охотьтесь на ледяного Гиганто и защищайте мир этой зимой! 
- Новое событие: «Дорога к росту». Выполняйте задания, чтобы развиваться и выигрывать награды! 
- Расширен Зал чудес: добавлено 3 новых стенда, чтобы вы могли выставить больше реликвий! 
- Обновлен «Заряженный удар»: событие улучшено до «Полигона для снаряжения». Проходите новые испытания! 
- Улучшено хранилище неожиданных реликвий: теперь вы можете получить из хранилища легендарные реликвии с тремя звездами, а в придачу множество звездных камней! 
- Функция передачи оптимизирована: максимальное время передачи теперь составляет 12 часов; скорректировано использование переданных войск.
- Улучшены флаги банд: улучшена страница настройки флага, добавлены новые узоры и формы; улучшена модель распределителя.
- Оптимизированы караваны: теперь вы можете отозвать войска до завершения каравана. Вы не получите награды за караван и сопровождение, но и не потеряете шанс получить награду.
- Улучшены «Исследования Колина»: осадные задания теперь появляются случайным образом и больше не требуются для улучшения Колина.
- Улучшения интерфейса и удобства для игроков: оптимизирована разборка снаряжения, отображение отчетов о сражениях в «Больших гонках на поездах» и «Натиске поездов», «Исследования Колина», Планетарные войны (Банановый мир), задания «Межзвездной программы», подсказки для получения новых предметов и другие элементы интерфейса.</v>
      </c>
      <c r="L32" s="148" t="str">
        <f>IFERROR(__xludf.DUMMYFUNCTION("""COMPUTED_VALUE"""),"- Yeni Savaşçı: Yıldırım Alevleri ""Thor"". Ateş gücüyle diğer tüm mutantlardan daha korkutucu olan, savaşçı bir paralı asker! En Üstün Maymun üzerinden alınabilir.
 - Yeni harabe binaları: Haritada işgal edilebilir harabelerin artık ek karakol binaları v"&amp;"ar. Harabe güçlendirmelerini artırmak için bu binalara birlik yerleştir.
 - Yeni Çete binaları: Servis İstasyonu ve Süper Taret. Servis İstasyonları, Distribütörlere savunma güçlendirmesi sağlar. Süper Taretler ise Distribütörlerin yükseltilmesiyle oluşur"&amp;" ve yüksek menzilli saldırılar yapabilirler.
 - Yeni Kalıntılar: 3 yeni Efsanevi Kalıntı seti: Görsel Çağ, Vahşi Doğada Avcılık ve Harika Aletler. Hemen tespit ederek elde et!
 - Yeni Kış Festivali etkinlikleri:
 - Kış Sürprizi: Özel bayram görünümü, deko"&amp;"rasyonlar ve diğer harika ödülleri al.
 - Kış Festivali: Yeni sefer etkisi ""Kış Büyüsü""nü almak için Şanslı Çan toplayıp ödülleri yükselt.
 - Kış Muhafızı: Buz Gigantosunu avla ve bu kış huzuru sen koru!
 - Yeni Etkinlik: Büyümeye Giden Yol. Görevleri t"&amp;"amamlayarak geliş ve ödüller kazan!
 - Harikalar Dükkânı genişletildi: Eklenen 3 yeni vitrinle artık daha fazla kalıntı sergileyebilirsin!
 - Yüklü Vuruş yenilendi: Ekipman Deneme Sahasına yükseltildi. Hemen yeni meydan okumalara başla!
 - Süpriz Kalıntı "&amp;"Mahzeni geliştirildi: Artık mahzenden 3 yıldızlı Efsanevi Kalıntılar elde edebilirsin. Bolca Yıldız Taşı da cabası!
 - Görevlendirme özelliği optimize edildi: Maks. görevlendirme süresi artık 12 saat. Görevlendirme kullanımı düzenlendi.
 - Çete bayrakları"&amp;" geliştirildi: Daha iyi bir bayrak düzenleme sayfası. Yeni desenler ve şekiller eklendi. Distribütör modeli geliştirildi.
 - Konvoylar optimize edildi: Artık konvoy tamamlanmadan önce birlikleri geri çağırabilirsin. Birlikleri geri çağırdığında konvoy vey"&amp;"a eşlik etme ödülleri almazsın ama ödül şansını da kaybetmezsin.
 - Colin'in Keşfi geliştirildi: Kuşatma maceraları artık rastgele ortaya çıkacak ve Colin'i yükseltmek için gerekli olmayacak.
 - Arayüz ve oyun deneyimi geliştirmeleri: Ekipman demonte etme"&amp;", Büyük Tren Yarışı/Trene Hücum savaş raporu, Colin'in Keşfi, Gezegen Savaşları (Muz Dünyası) Yıldızlararası Programı görevleri, daha fazla eşya almanın yolları ve diğer arayüzler geliştirildi.")</f>
        <v>- Yeni Savaşçı: Yıldırım Alevleri "Thor". Ateş gücüyle diğer tüm mutantlardan daha korkutucu olan, savaşçı bir paralı asker! En Üstün Maymun üzerinden alınabilir.
 - Yeni harabe binaları: Haritada işgal edilebilir harabelerin artık ek karakol binaları var. Harabe güçlendirmelerini artırmak için bu binalara birlik yerleştir.
 - Yeni Çete binaları: Servis İstasyonu ve Süper Taret. Servis İstasyonları, Distribütörlere savunma güçlendirmesi sağlar. Süper Taretler ise Distribütörlerin yükseltilmesiyle oluşur ve yüksek menzilli saldırılar yapabilirler.
 - Yeni Kalıntılar: 3 yeni Efsanevi Kalıntı seti: Görsel Çağ, Vahşi Doğada Avcılık ve Harika Aletler. Hemen tespit ederek elde et!
 - Yeni Kış Festivali etkinlikleri:
 - Kış Sürprizi: Özel bayram görünümü, dekorasyonlar ve diğer harika ödülleri al.
 - Kış Festivali: Yeni sefer etkisi "Kış Büyüsü"nü almak için Şanslı Çan toplayıp ödülleri yükselt.
 - Kış Muhafızı: Buz Gigantosunu avla ve bu kış huzuru sen koru!
 - Yeni Etkinlik: Büyümeye Giden Yol. Görevleri tamamlayarak geliş ve ödüller kazan!
 - Harikalar Dükkânı genişletildi: Eklenen 3 yeni vitrinle artık daha fazla kalıntı sergileyebilirsin!
 - Yüklü Vuruş yenilendi: Ekipman Deneme Sahasına yükseltildi. Hemen yeni meydan okumalara başla!
 - Süpriz Kalıntı Mahzeni geliştirildi: Artık mahzenden 3 yıldızlı Efsanevi Kalıntılar elde edebilirsin. Bolca Yıldız Taşı da cabası!
 - Görevlendirme özelliği optimize edildi: Maks. görevlendirme süresi artık 12 saat. Görevlendirme kullanımı düzenlendi.
 - Çete bayrakları geliştirildi: Daha iyi bir bayrak düzenleme sayfası. Yeni desenler ve şekiller eklendi. Distribütör modeli geliştirildi.
 - Konvoylar optimize edildi: Artık konvoy tamamlanmadan önce birlikleri geri çağırabilirsin. Birlikleri geri çağırdığında konvoy veya eşlik etme ödülleri almazsın ama ödül şansını da kaybetmezsin.
 - Colin'in Keşfi geliştirildi: Kuşatma maceraları artık rastgele ortaya çıkacak ve Colin'i yükseltmek için gerekli olmayacak.
 - Arayüz ve oyun deneyimi geliştirmeleri: Ekipman demonte etme, Büyük Tren Yarışı/Trene Hücum savaş raporu, Colin'in Keşfi, Gezegen Savaşları (Muz Dünyası) Yıldızlararası Programı görevleri, daha fazla eşya almanın yolları ve diğer arayüzler geliştirildi.</v>
      </c>
      <c r="M32" s="148" t="str">
        <f>IFERROR(__xludf.DUMMYFUNCTION("""COMPUTED_VALUE"""),"- Chiến Binh Mới: Lửa Sét Điên Cuồng - Sol, lính đánh thuê nóng nảy hiếu chiếu, đáng sợ hơn cả Khỉ Đột Biến, là sức mạnh lửa siêu cấp của Sol! Nhận được qua Chúa Khỉ Tối Cao.
- Thêm Công Trình Tàn Tích: Thêm Cứ Điểm thuộc về Công Trình Tàn Tích Loài Người"&amp;" có thể chiếm đóng cho bản đồ, đóng quân ở Cứ Điểm có thể tăng thêm hiệu ứng có lợi của Công Trình Tàn Tích.
- Thêm Công Trình Bang Hội: Trạm Cơ Giới và Tháp Pháo Uy Hiếp, Trạm Cơ Giới có thể cung cấp hiệu ứng có lợi phòng thủ cho Trạm Phân Phối, Tháp Phá"&amp;"o Uy Hiếp là Trạm Phân Phối nâng cấp mà thành, có thể tấn công tầm xa mục tiêu.
- Thêm Di Tích: 3 nhóm Di Tích cấp Huyền Thoại “Thời Đại Hình Bóng”, “Săn Bắn Hoang Dã”, “Công Cụ Thần Kỳ” mở thăm dò Di Tích.
- Thêm sự kiện Lễ Hội Mùa Đông:
- Bất Ngờ Mùa Đô"&amp;"ng: Giành được Trang Phục Toà Thị Chính, vật phẩm trang trí và phần thưởng đặc biệt trong các sự kiện ngày lễ.
- Bữa Tiệc Mùa Đông: Thu thập Chuông nâng cấp phần thưởng, có cơ hội nhận được “Duyên Phận Mùa Đông” giao diện hành quân hoàn toàn mới.
- Bảo Vệ"&amp;" Lễ Hội Mùa Đông: Săn bắn Vượn Khổng Lồ Băng Tuyết, bảo vệ mùa đông bình yên!
- Sự Kiện Mới: Con Đường Phát Triển, theo các nhiệm vụ để phát triển và nhận được phần thưởng phong phú.
- Mở rộng Trung Tâm Thương Mại Kỳ Thú: Thêm 3 Gian Hàng Di Tích, có thể "&amp;"trưng bày thêm nhiều Di Tích.
- Bản sửa đổi Tấn Công Đã Tải: Nâng cấp thành Thí Luyện Trang Bị, tất cả người chơi sẽ bắt đầu Khiêu Chiến mới.
- Tối ưu Phòng Sưu Tập Bất Ngờ: Bây giờ có thể trực tiếp nhận được Di Tích Huyền Thoại 3 sao qua Phòng Sưu Tập, v"&amp;"à cả lượng lớn Đá Sao đang chờ bạn đến lấy.
- Tối ưu tính năng Uỷ Thác: Thời gian có thể uỷ thác tối đa điều chỉnh thành 12 giờ, điều chỉnh tuỳ chọn uỷ thác.
- Tối ưu Logo Bang Hội: Cập nhật thể hiện của giao diện cài đặt logo, thêm nhiều hình dạng và mẫu"&amp;" logo Bang Hội, mô hình Trạm Phân Phối cũng được cập nhật.
- Tối ưu tính năng Hộ Tống: Binh lính hộ tống có thể rút lui trước thời hạn, sau khi rút lui không thể nhận được phần thưởng vận chuyển hoặc bảo vệ, cũng không tiêu hao số lần phần thưởng.
- Tối ư"&amp;"u Khám Phá Của Colin: Nhiệm vụ phá thành điều chỉnh thành xuất hiện ngẫu nhiên, nâng cấp Colin không cần hoàn thành nhiệm vụ phá thành nữa.
- Tối ưu giao diện và trải nghiệm: Tối ưu giao diện các tính năng như “Hiển thị kết quả Tháo Rời Trang Bị, Đường Đu"&amp;"a Xe Lửa/Tranh Hùng Bá Chủ, Khám Phá Của Colin, nhiệm vụ Chương Trình Liên Sao Thế Giới Chuối Chiến Tranh Hành Tinh, chỉ dẫn cách nhận được đạo cụ”.")</f>
        <v>- Chiến Binh Mới: Lửa Sét Điên Cuồng - Sol, lính đánh thuê nóng nảy hiếu chiếu, đáng sợ hơn cả Khỉ Đột Biến, là sức mạnh lửa siêu cấp của Sol! Nhận được qua Chúa Khỉ Tối Cao.
- Thêm Công Trình Tàn Tích: Thêm Cứ Điểm thuộc về Công Trình Tàn Tích Loài Người có thể chiếm đóng cho bản đồ, đóng quân ở Cứ Điểm có thể tăng thêm hiệu ứng có lợi của Công Trình Tàn Tích.
- Thêm Công Trình Bang Hội: Trạm Cơ Giới và Tháp Pháo Uy Hiếp, Trạm Cơ Giới có thể cung cấp hiệu ứng có lợi phòng thủ cho Trạm Phân Phối, Tháp Pháo Uy Hiếp là Trạm Phân Phối nâng cấp mà thành, có thể tấn công tầm xa mục tiêu.
- Thêm Di Tích: 3 nhóm Di Tích cấp Huyền Thoại “Thời Đại Hình Bóng”, “Săn Bắn Hoang Dã”, “Công Cụ Thần Kỳ” mở thăm dò Di Tích.
- Thêm sự kiện Lễ Hội Mùa Đông:
- Bất Ngờ Mùa Đông: Giành được Trang Phục Toà Thị Chính, vật phẩm trang trí và phần thưởng đặc biệt trong các sự kiện ngày lễ.
- Bữa Tiệc Mùa Đông: Thu thập Chuông nâng cấp phần thưởng, có cơ hội nhận được “Duyên Phận Mùa Đông” giao diện hành quân hoàn toàn mới.
- Bảo Vệ Lễ Hội Mùa Đông: Săn bắn Vượn Khổng Lồ Băng Tuyết, bảo vệ mùa đông bình yên!
- Sự Kiện Mới: Con Đường Phát Triển, theo các nhiệm vụ để phát triển và nhận được phần thưởng phong phú.
- Mở rộng Trung Tâm Thương Mại Kỳ Thú: Thêm 3 Gian Hàng Di Tích, có thể trưng bày thêm nhiều Di Tích.
- Bản sửa đổi Tấn Công Đã Tải: Nâng cấp thành Thí Luyện Trang Bị, tất cả người chơi sẽ bắt đầu Khiêu Chiến mới.
- Tối ưu Phòng Sưu Tập Bất Ngờ: Bây giờ có thể trực tiếp nhận được Di Tích Huyền Thoại 3 sao qua Phòng Sưu Tập, và cả lượng lớn Đá Sao đang chờ bạn đến lấy.
- Tối ưu tính năng Uỷ Thác: Thời gian có thể uỷ thác tối đa điều chỉnh thành 12 giờ, điều chỉnh tuỳ chọn uỷ thác.
- Tối ưu Logo Bang Hội: Cập nhật thể hiện của giao diện cài đặt logo, thêm nhiều hình dạng và mẫu logo Bang Hội, mô hình Trạm Phân Phối cũng được cập nhật.
- Tối ưu tính năng Hộ Tống: Binh lính hộ tống có thể rút lui trước thời hạn, sau khi rút lui không thể nhận được phần thưởng vận chuyển hoặc bảo vệ, cũng không tiêu hao số lần phần thưởng.
- Tối ưu Khám Phá Của Colin: Nhiệm vụ phá thành điều chỉnh thành xuất hiện ngẫu nhiên, nâng cấp Colin không cần hoàn thành nhiệm vụ phá thành nữa.
- Tối ưu giao diện và trải nghiệm: Tối ưu giao diện các tính năng như “Hiển thị kết quả Tháo Rời Trang Bị, Đường Đua Xe Lửa/Tranh Hùng Bá Chủ, Khám Phá Của Colin, nhiệm vụ Chương Trình Liên Sao Thế Giới Chuối Chiến Tranh Hành Tinh, chỉ dẫn cách nhận được đạo cụ”.</v>
      </c>
      <c r="N32" s="105" t="str">
        <f>IFERROR(__xludf.DUMMYFUNCTION("""COMPUTED_VALUE"""),"- Nuovo Combattente: Thor, le Fiamme del tuono, un mercenario combattivo la cui potenza di fuoco è più terrificante di qualsiasi Mutante! Ottienilo tramite Scimmia suprema.
- Nuovi edifici dei Ruderi: i Ruderi occupabili sulla mappa ora hanno edifici di a"&amp;"vamposto annessi. Presidia questi avamposti per aumentare i bonus dei Ruderi.
- Nuovi edifici della Gang: Stazione di servizio e Super torretta. Le Stazioni di servizio forniscono bonus difesa ai Distributori; le Super torrette sono potenziate dai Distrib"&amp;"utori e possono attaccare a lungo raggio.
- Nuove Reliquie: 3 nuovi set di Reliquie leggendarie (Era delle immagini, Caccia in natura e Strumenti fantastici). Ottienili tramite i rilevamenti!
- Nuovi eventi della Festa d'inverno:
- Gioia invernale: vinci "&amp;"un aspetto festivo speciale, decorazioni e altre grandi ricompense.
- Festa d'inverno: raccogli le Campanelle fortunate e potenzia le ricompense per avere la possibilità di ottenere il nuovo effetto di marcia ""Magia d'inverno"".
- Guardiano d'inverno: ca"&amp;"ccia i Gigagorilla di ghiaccio e proteggi la pace di questo inverno!
- Nuovo evento: Percorso di crescita. Completa le missioni per migliorare e vincere ricompense!
- Ampliamento dell'Emporio delle meraviglie: aggiunta di 3 nuovi stand per esporre più Rel"&amp;"iquie!
- Rilancio di Colpo caricato: aggiornato in Area di prova equipaggiamento. Affronta subito le nuove sfide!
- Miglioramento della Sala delle Reliquie sorpresa: ora puoi ottenere Reliquie leggendarie a 3 stelle dalla sala e tonnellate di Pietre stell"&amp;"ari!
- Ottimizzazione della funzione di delega: adesso la durata massima di una delega è di 12 ore; modificati gli usi della delega.
- Miglioramento delle bandiere delle Gang: pagina di configurazione della bandiera migliorata, con aggiunta di nuovi motiv"&amp;"i e forme; modello del Distributore aggiornato.
- Ottimizzazione dei convogli: ora puoi richiamare le truppe prima del completamento del convoglio. Non riceverai alcuna ricompensa di scorta o di convoglio, ma non perderai alcun tentativo di ottenere ricom"&amp;"pense.
- Miglioramento dell'Esplorazione di Colin: le missioni di assedio ora appaiono in modo casuale e non dovrai più potenziare Colin.
- Miglioramenti all'interfaccia e all'esperienza utente: ottimizzati smontaggio di equipaggiamento, visualizzazione d"&amp;"el rapporto di battaglia in Grande gara dei treni/Corsa dei treni, Esplorazione di Colin, missioni del Programma interstellare in Guerre planetarie (Pianeta Banana), indicazioni per ottenere altri oggetti e altre interfacce.")</f>
        <v>- Nuovo Combattente: Thor, le Fiamme del tuono, un mercenario combattivo la cui potenza di fuoco è più terrificante di qualsiasi Mutante! Ottienilo tramite Scimmia suprema.
- Nuovi edifici dei Ruderi: i Ruderi occupabili sulla mappa ora hanno edifici di avamposto annessi. Presidia questi avamposti per aumentare i bonus dei Ruderi.
- Nuovi edifici della Gang: Stazione di servizio e Super torretta. Le Stazioni di servizio forniscono bonus difesa ai Distributori; le Super torrette sono potenziate dai Distributori e possono attaccare a lungo raggio.
- Nuove Reliquie: 3 nuovi set di Reliquie leggendarie (Era delle immagini, Caccia in natura e Strumenti fantastici). Ottienili tramite i rilevamenti!
- Nuovi eventi della Festa d'inverno:
- Gioia invernale: vinci un aspetto festivo speciale, decorazioni e altre grandi ricompense.
- Festa d'inverno: raccogli le Campanelle fortunate e potenzia le ricompense per avere la possibilità di ottenere il nuovo effetto di marcia "Magia d'inverno".
- Guardiano d'inverno: caccia i Gigagorilla di ghiaccio e proteggi la pace di questo inverno!
- Nuovo evento: Percorso di crescita. Completa le missioni per migliorare e vincere ricompense!
- Ampliamento dell'Emporio delle meraviglie: aggiunta di 3 nuovi stand per esporre più Reliquie!
- Rilancio di Colpo caricato: aggiornato in Area di prova equipaggiamento. Affronta subito le nuove sfide!
- Miglioramento della Sala delle Reliquie sorpresa: ora puoi ottenere Reliquie leggendarie a 3 stelle dalla sala e tonnellate di Pietre stellari!
- Ottimizzazione della funzione di delega: adesso la durata massima di una delega è di 12 ore; modificati gli usi della delega.
- Miglioramento delle bandiere delle Gang: pagina di configurazione della bandiera migliorata, con aggiunta di nuovi motivi e forme; modello del Distributore aggiornato.
- Ottimizzazione dei convogli: ora puoi richiamare le truppe prima del completamento del convoglio. Non riceverai alcuna ricompensa di scorta o di convoglio, ma non perderai alcun tentativo di ottenere ricompense.
- Miglioramento dell'Esplorazione di Colin: le missioni di assedio ora appaiono in modo casuale e non dovrai più potenziare Colin.
- Miglioramenti all'interfaccia e all'esperienza utente: ottimizzati smontaggio di equipaggiamento, visualizzazione del rapporto di battaglia in Grande gara dei treni/Corsa dei treni, Esplorazione di Colin, missioni del Programma interstellare in Guerre planetarie (Pianeta Banana), indicazioni per ottenere altri oggetti e altre interfacce.</v>
      </c>
      <c r="O32" s="148" t="str">
        <f>IFERROR(__xludf.DUMMYFUNCTION("""COMPUTED_VALUE"""),"- Nowy Wojownik: Thor, Płomienie gromu, waleczny najemnik, którego siła ognia budzi większy strach niż jakikolwiek mutant! Można go zdobyć w wydarzeniu Ubermałpa.
- Nowe budynki ruin: Ruiny do zajęcia na mapie teraz mają dołączone budynki posterunków. Zaj"&amp;"mij te posterunki, aby zwiększyć wzmocnienia z Ruin.
- Nowe budynki Gangu: Stacja serwisowa i Super wieżyczka. Stacje serwisowe zapewniają Dystrybutorom wzmocnienia do obrony; Super wieżyczki są zmodernizowanymi Dystrybutorami, które mogą prowadzić ataki "&amp;"dalekiego zasięgu.
- Nowe Relikty: 3 nowe zestawy Legendarnych Reliktów: Era obrazkowa, Polowanie w dziczy oraz Niesamowite narzędzia. Zdobądź je za pomocą Detektora!
- Nowe, zimowe wydarzenia:
- Zimowe pyszności Zdobądź specjalną świąteczną skórkę i deko"&amp;"racje, a także inne wspaniałe nagrody.
- Zimowy festiwal: Zbieraj Szczęśliwe dzwonki i ulepszaj nagrody, aby otrzymać szansę zdobycia nowego efektu marszu: „Zimowa magia”.
- Zimowy strażnik Tej zimy zapoluj na lodową Gigamałpę i stań na straży pokoju!
- N"&amp;"owe wydarzenie: Droga rozwoju. Wykonuj zadania, aby rozwijać się i zdobywać nagrody!
- Skład cudów został rozbudowany: Dodano 3 nowe postumenty, aby móc prezentować więcej Reliktów!
- Udoskonalono Naładowane uderzenie: Zmodernizowano do Poligonu doświadcz"&amp;"alnego. Podejmuj nowe wyzwania już teraz!
- Udoskonalono Niespodziankowy schron z Reliktem: Teraz w schronie można zdobyć 3-gwiazdkowe Legendarne Relikty oraz do tego masę Kamieni gwiezdnych!
- Zoptymalizowano funkcję Delegacji: Maksymalny czas trwania de"&amp;"legacji wynosi teraz 12 godzin; poprawiono wykorzystanie delegacji.
- Poprawiono flagi Gangów: Udoskonalono stronę konfiguracji flagi, dodano nowe wzory i kształty; zaktualizowano model Dystrybutora.
- Zoptymalizowano Konwoje: Teraz można odwołać oddziały"&amp;" przed zakończeniem Konwoju. Nie otrzymasz żadnych nagród za konwój ani eskortę, ale też nie stracisz szansy na nagrodę.
- Poprawiono Eksplorację Colina: zadania z oblężeniem teraz pojawiają się losowo i nie są już wymagane, aby zwiększyć poziom Colina.
-"&amp;" Poprawiono interfejs i wrażenia dla użytkownika: Zoptymalizowano demontaż wyposażenia, wyświetlanie raportu z bitwy w w Wielkim wyścigu pociągów/Pędzie pociągu, Eksplorację Colina, zadania z Programu międzygwiezdnego w Wojnach planet (Bananowy świat), ws"&amp;"kazówki do uzyskania większej liczby przedmiotów i inne interfejsy.")</f>
        <v>- Nowy Wojownik: Thor, Płomienie gromu, waleczny najemnik, którego siła ognia budzi większy strach niż jakikolwiek mutant! Można go zdobyć w wydarzeniu Ubermałpa.
- Nowe budynki ruin: Ruiny do zajęcia na mapie teraz mają dołączone budynki posterunków. Zajmij te posterunki, aby zwiększyć wzmocnienia z Ruin.
- Nowe budynki Gangu: Stacja serwisowa i Super wieżyczka. Stacje serwisowe zapewniają Dystrybutorom wzmocnienia do obrony; Super wieżyczki są zmodernizowanymi Dystrybutorami, które mogą prowadzić ataki dalekiego zasięgu.
- Nowe Relikty: 3 nowe zestawy Legendarnych Reliktów: Era obrazkowa, Polowanie w dziczy oraz Niesamowite narzędzia. Zdobądź je za pomocą Detektora!
- Nowe, zimowe wydarzenia:
- Zimowe pyszności Zdobądź specjalną świąteczną skórkę i dekoracje, a także inne wspaniałe nagrody.
- Zimowy festiwal: Zbieraj Szczęśliwe dzwonki i ulepszaj nagrody, aby otrzymać szansę zdobycia nowego efektu marszu: „Zimowa magia”.
- Zimowy strażnik Tej zimy zapoluj na lodową Gigamałpę i stań na straży pokoju!
- Nowe wydarzenie: Droga rozwoju. Wykonuj zadania, aby rozwijać się i zdobywać nagrody!
- Skład cudów został rozbudowany: Dodano 3 nowe postumenty, aby móc prezentować więcej Reliktów!
- Udoskonalono Naładowane uderzenie: Zmodernizowano do Poligonu doświadczalnego. Podejmuj nowe wyzwania już teraz!
- Udoskonalono Niespodziankowy schron z Reliktem: Teraz w schronie można zdobyć 3-gwiazdkowe Legendarne Relikty oraz do tego masę Kamieni gwiezdnych!
- Zoptymalizowano funkcję Delegacji: Maksymalny czas trwania delegacji wynosi teraz 12 godzin; poprawiono wykorzystanie delegacji.
- Poprawiono flagi Gangów: Udoskonalono stronę konfiguracji flagi, dodano nowe wzory i kształty; zaktualizowano model Dystrybutora.
- Zoptymalizowano Konwoje: Teraz można odwołać oddziały przed zakończeniem Konwoju. Nie otrzymasz żadnych nagród za konwój ani eskortę, ale też nie stracisz szansy na nagrodę.
- Poprawiono Eksplorację Colina: zadania z oblężeniem teraz pojawiają się losowo i nie są już wymagane, aby zwiększyć poziom Colina.
- Poprawiono interfejs i wrażenia dla użytkownika: Zoptymalizowano demontaż wyposażenia, wyświetlanie raportu z bitwy w w Wielkim wyścigu pociągów/Pędzie pociągu, Eksplorację Colina, zadania z Programu międzygwiezdnego w Wojnach planet (Bananowy świat), wskazówki do uzyskania większej liczby przedmiotów i inne interfejsy.</v>
      </c>
      <c r="P32" s="148" t="str">
        <f>IFERROR(__xludf.DUMMYFUNCTION("""COMPUTED_VALUE"""),"- مقاتل جديد: ثور، لهيب الرعد، مرتزق مقاتل قوته النارية مخيفة أكثر من أي مسخ! احصل عليه من خلال القرد الخارق.
- مباني أنقاض جديدة: أنقاض قابلة للإحتلال على الخريطة تضم الآن مباني استيطانية ملحقة. قم بحراسة هذه المستوطنات لتعزيز الأنقاض.
- مباني العصابة ال"&amp;"جديدة: محطة الخدمة والبرج الخارق. محطات الخدمة ستوفر تعزيزات دفاعية لمحطات التوزيع؛ يمكن ترقية الأبراج الخارقة من محطات التوزيع وهي قادرة على شن هجمات بعيدة المدى.
- مقتنيات جديدة: 3 مجموعات مقتنيات أسطورية جديدة: عصر الصور، والصيد في البرية، وأدوات مذهلة"&amp;". احصل عليهم الآن من خلال الاكتشافات!
- أحداث مهرجان الشتاء الجديدة:
- مفاجآت الشتاء: اربح مظهرًا خاصًا للعطلات والزينات وغيرها من المكافآت الرائعة.
- مهرجان الشتاء: اجمع أجراس الحظ وقم بترقية المكافآت للحصول على فرصة للحصول على تأثير المسيرة الجديد، ""سح"&amp;"ر الشتاء"".
- حارس الشتاء: قم باصطياد القرد العملاق الجليدي واحرس السلام هذا الشتاء!
- حدث جديد: الطريق إلى التطوير. أكمل المهام للتطوير ولتربح المكافآت!
- تم توسيع معرض العجائب: تم إضافة 3 أكشاك جديدة لعرض المزيد من المقتنيات!
- تم تجديد الغارة المشحونة:"&amp;" تم ترقيتها إلى موقع اختبار المعدات. واجه تحديات جديدة الآن!
- تم تحسين قبو مفاجآت المقتنيات: يمكنك الآن الحصول على مقتنيات أسطورية فئة 3 نجوم من القبو، وأطنان من أحجار النجوم في انتظارك!
- تم تحسين ميزة التفويض: أقصى مدة للتفويض أصبحت الآن 12 ساعة؛ وتم ت"&amp;"عديل خيارات التفويض.
- تم تحسين أعلام العصابة: تم ترقية صفحة تكوين العلم وإضافة أنماط وأشكال جديدة؛ وتم ترقية نموذج محطة التوزيع.
- تم تحسين القوافل: يمكنك الآن استدعاء القوات قبل اكتمال القافلة. لن تتلقى أي قافلة أو جوائز مرافقة لكنك لن تخسر أي فرص للجوا"&amp;"ئز.
- تم تحسين استكشاف كولن: ستظهر مهام الحصار الآن بشكل عشوائي ولم تعد مطلوبة لترقية كولن.
- تحسينات على الواجهة وتجربة المستخدم: تم تعديل تفكيك المعدات، وعرض تقرير معركة سباق القطار العظيم  / القطار المندفع، واستكشاف كولن، ومهام مخطط النجوم وحروب الكوكب"&amp;" (عالم الموز)، والتوجيهات للحصول على المزيد من العناصر، والواجهات الأخرى.")</f>
        <v>- مقاتل جديد: ثور، لهيب الرعد، مرتزق مقاتل قوته النارية مخيفة أكثر من أي مسخ! احصل عليه من خلال القرد الخارق.
- مباني أنقاض جديدة: أنقاض قابلة للإحتلال على الخريطة تضم الآن مباني استيطانية ملحقة. قم بحراسة هذه المستوطنات لتعزيز الأنقاض.
- مباني العصابة الجديدة: محطة الخدمة والبرج الخارق. محطات الخدمة ستوفر تعزيزات دفاعية لمحطات التوزيع؛ يمكن ترقية الأبراج الخارقة من محطات التوزيع وهي قادرة على شن هجمات بعيدة المدى.
- مقتنيات جديدة: 3 مجموعات مقتنيات أسطورية جديدة: عصر الصور، والصيد في البرية، وأدوات مذهلة. احصل عليهم الآن من خلال الاكتشافات!
- أحداث مهرجان الشتاء الجديدة:
- مفاجآت الشتاء: اربح مظهرًا خاصًا للعطلات والزينات وغيرها من المكافآت الرائعة.
- مهرجان الشتاء: اجمع أجراس الحظ وقم بترقية المكافآت للحصول على فرصة للحصول على تأثير المسيرة الجديد، "سحر الشتاء".
- حارس الشتاء: قم باصطياد القرد العملاق الجليدي واحرس السلام هذا الشتاء!
- حدث جديد: الطريق إلى التطوير. أكمل المهام للتطوير ولتربح المكافآت!
- تم توسيع معرض العجائب: تم إضافة 3 أكشاك جديدة لعرض المزيد من المقتنيات!
- تم تجديد الغارة المشحونة: تم ترقيتها إلى موقع اختبار المعدات. واجه تحديات جديدة الآن!
- تم تحسين قبو مفاجآت المقتنيات: يمكنك الآن الحصول على مقتنيات أسطورية فئة 3 نجوم من القبو، وأطنان من أحجار النجوم في انتظارك!
- تم تحسين ميزة التفويض: أقصى مدة للتفويض أصبحت الآن 12 ساعة؛ وتم تعديل خيارات التفويض.
- تم تحسين أعلام العصابة: تم ترقية صفحة تكوين العلم وإضافة أنماط وأشكال جديدة؛ وتم ترقية نموذج محطة التوزيع.
- تم تحسين القوافل: يمكنك الآن استدعاء القوات قبل اكتمال القافلة. لن تتلقى أي قافلة أو جوائز مرافقة لكنك لن تخسر أي فرص للجوائز.
- تم تحسين استكشاف كولن: ستظهر مهام الحصار الآن بشكل عشوائي ولم تعد مطلوبة لترقية كولن.
- تحسينات على الواجهة وتجربة المستخدم: تم تعديل تفكيك المعدات، وعرض تقرير معركة سباق القطار العظيم  / القطار المندفع، واستكشاف كولن، ومهام مخطط النجوم وحروب الكوكب (عالم الموز)، والتوجيهات للحصول على المزيد من العناصر، والواجهات الأخرى.</v>
      </c>
      <c r="Q32" s="148"/>
      <c r="R32" s="148"/>
      <c r="S32" s="148"/>
      <c r="T32" s="148"/>
      <c r="U32" s="148"/>
      <c r="V32" s="148"/>
      <c r="W32" s="148"/>
      <c r="X32" s="148"/>
      <c r="Y32" s="148"/>
      <c r="Z32" s="148"/>
    </row>
    <row r="33">
      <c r="A33" s="165"/>
      <c r="B33" s="148" t="str">
        <f>IFERROR(__xludf.DUMMYFUNCTION("""COMPUTED_VALUE"""),"-火车竞赛/火车争霸调整：休养生息期间将会关闭。（这条仅在国服发布，注意）")</f>
        <v>-火车竞赛/火车争霸调整：休养生息期间将会关闭。（这条仅在国服发布，注意）</v>
      </c>
      <c r="C33" s="105"/>
      <c r="D33" s="148"/>
      <c r="E33" s="148"/>
      <c r="F33" s="148"/>
      <c r="G33" s="148"/>
      <c r="H33" s="148"/>
      <c r="I33" s="148"/>
      <c r="J33" s="148"/>
      <c r="K33" s="148"/>
      <c r="L33" s="148"/>
      <c r="M33" s="148"/>
      <c r="N33" s="108"/>
      <c r="O33" s="148"/>
      <c r="P33" s="148"/>
      <c r="Q33" s="148"/>
      <c r="R33" s="148"/>
      <c r="S33" s="148"/>
      <c r="T33" s="148"/>
      <c r="U33" s="148"/>
      <c r="V33" s="148"/>
      <c r="W33" s="148"/>
      <c r="X33" s="148"/>
      <c r="Y33" s="148"/>
      <c r="Z33" s="148"/>
    </row>
    <row r="34">
      <c r="A34" s="167" t="str">
        <f>IFERROR(__xludf.DUMMYFUNCTION("""COMPUTED_VALUE"""),"0.50.0")</f>
        <v>0.50.0</v>
      </c>
      <c r="B34" s="148" t="str">
        <f>IFERROR(__xludf.DUMMYFUNCTION("""COMPUTED_VALUE"""),"-新增斗士： 荒野领主-德里克，一位众望所归、不负使命的荒野猴领袖！首个擅长率领攻城车作战的斗士，带来全新的战斗体验。
-新增斗士雕像：菲奥娜，巴泽尔，戴维斯，克拉克兄弟的雕像已经打造完毕，通过达成斗士双天赋解锁！
-新增堡垒竞速活动：在活动期间，和其他猴子匹配对决，用最快的时间占领堡垒吧！
-新增部队巡逻功能：现在您可以派遣部队自动攻击巡逻路线上的中立单位或敌方部队了！
-新增猩球纪元弹窗：您可以更加清晰地掌握世界发展的每一个关键节点！
-新增军功战令通行证：完成任务可获得通行证经验，并同时可提高军衔，"&amp;"优化了军功任务的类型。
-新增秘境探险活动：您可以在秘境骰子的指引下前进，获得纳米材料、战装图纸等豪华奖励！
-新增春节系列活动：
-爆竹声声：参与活动，点燃新春鞭炮，赢取春节限定主城皮肤和其他丰富奖励！
-锦鲤送福：活动期间，每日可绘制福运灯笼，活动最后一日有机会被选中成为幸运锦鲤，获得超幸运大奖!
-舞狮盛典：提升活动等级，有机会获取全新行军皮肤-瑞气祥云!
-年兽围猎：年兽又出来作乱了，攻击年兽可以获得积分奖励！
-迎春访友：活动期间，拜访好友的城市或者邀请好友拜访自己的城市，可以获得丰厚奖励！
-"&amp;"红包功能：获得红包道具后可以选择聊天频道发放红包给频道玩家！
-地下探宝优化：新增了30个关卡和藏有传说斗士奖牌的矿石；降低了当前关卡难度；开放了聊天和排行榜功能，并优化了部分界面交互与表现。
-城市编辑功能优化：新增官方推荐、点赞排行榜以及批量操作功能，优化部分操作体验。
-拦路巨猿优化：新增帮派排行榜，新增集结准备流程，优化了操作和策略体验。
-围剿变异猴优化：新增BOSS变异呼啸者，重置了挑战难度，优化了战斗节奏和增益选择的类型。
-艾文寻宝记优化：优化了部分关卡体验；移除了展览馆建筑上的入口按钮。"&amp;"
-新增斗士搭配推荐：现在您可以前往游戏助手查看斗士搭配排行榜，也可点击斗士攻略查看搭配专属推荐。
-折扣特惠优化：新增了周礼包，优化了界面表现效果。
-界面及体验优化：优化了好友界面、排行榜、大地图中高视角下的界面表现；增加了地图箭头功能，优化了战装自动分解的选项设置和地图搜索功能的体验。")</f>
        <v>-新增斗士： 荒野领主-德里克，一位众望所归、不负使命的荒野猴领袖！首个擅长率领攻城车作战的斗士，带来全新的战斗体验。
-新增斗士雕像：菲奥娜，巴泽尔，戴维斯，克拉克兄弟的雕像已经打造完毕，通过达成斗士双天赋解锁！
-新增堡垒竞速活动：在活动期间，和其他猴子匹配对决，用最快的时间占领堡垒吧！
-新增部队巡逻功能：现在您可以派遣部队自动攻击巡逻路线上的中立单位或敌方部队了！
-新增猩球纪元弹窗：您可以更加清晰地掌握世界发展的每一个关键节点！
-新增军功战令通行证：完成任务可获得通行证经验，并同时可提高军衔，优化了军功任务的类型。
-新增秘境探险活动：您可以在秘境骰子的指引下前进，获得纳米材料、战装图纸等豪华奖励！
-新增春节系列活动：
-爆竹声声：参与活动，点燃新春鞭炮，赢取春节限定主城皮肤和其他丰富奖励！
-锦鲤送福：活动期间，每日可绘制福运灯笼，活动最后一日有机会被选中成为幸运锦鲤，获得超幸运大奖!
-舞狮盛典：提升活动等级，有机会获取全新行军皮肤-瑞气祥云!
-年兽围猎：年兽又出来作乱了，攻击年兽可以获得积分奖励！
-迎春访友：活动期间，拜访好友的城市或者邀请好友拜访自己的城市，可以获得丰厚奖励！
-红包功能：获得红包道具后可以选择聊天频道发放红包给频道玩家！
-地下探宝优化：新增了30个关卡和藏有传说斗士奖牌的矿石；降低了当前关卡难度；开放了聊天和排行榜功能，并优化了部分界面交互与表现。
-城市编辑功能优化：新增官方推荐、点赞排行榜以及批量操作功能，优化部分操作体验。
-拦路巨猿优化：新增帮派排行榜，新增集结准备流程，优化了操作和策略体验。
-围剿变异猴优化：新增BOSS变异呼啸者，重置了挑战难度，优化了战斗节奏和增益选择的类型。
-艾文寻宝记优化：优化了部分关卡体验；移除了展览馆建筑上的入口按钮。
-新增斗士搭配推荐：现在您可以前往游戏助手查看斗士搭配排行榜，也可点击斗士攻略查看搭配专属推荐。
-折扣特惠优化：新增了周礼包，优化了界面表现效果。
-界面及体验优化：优化了好友界面、排行榜、大地图中高视角下的界面表现；增加了地图箭头功能，优化了战装自动分解的选项设置和地图搜索功能的体验。</v>
      </c>
      <c r="C34" s="168" t="str">
        <f>IFERROR(__xludf.DUMMYFUNCTION("""COMPUTED_VALUE"""),"- New Fighter: Wildland Baron, Derick, a popular leader of the Wild Monkeys who lives up to his reputation! This first fighter who excels at leading Wall Breakers will bring an all-new experience.
 - New Fighter Statues: The statues for Fiona, Bazell, D-G"&amp;"enerate Dave, and The Clark Brothers are completed! Earn their double talents to unlock them!
 - New Fortress Race Event: Duel other monkeys during the event and strive to conquer the fortress as fast as possible!
 - New Patrol Feature: You can now send f"&amp;"orces to automatically attack neutral units or enemies along the path they patrol!
 - New Gorilla History Pop-up: It's now easier than ever to learn about the development of each key node.
 - New Honor Battle Pass: Complete quests to rank up your Pass and"&amp;" your military rank. We've also improved honor quests.
 - New Mystic Exploration Event: Use Mystic Dice to advance and earn nanomaterial and blueprints!
 - New Lunar New Year Events:
 - Firecrackers Abound: Take part in the event and set off firecrackers "&amp;"to earn an exclusive New Year city hall skill and other great rewards!
 - Lucky Koi: Draw Luck Lanterns every day during the event for a chance to be selected as the Lucky Koi on the event's last day and earn the BIG PRIZE!
 - Lion Dance: Raise your event"&amp;" level for a chance to earn the new march effect: Auspicious Clouds!
 - Hunt the Year Beast: The Year Beast is back stirring up trouble again. Beat it back and earn rewards!
 - Spring Greetings: Visit your friends' city or invite them to yours during the "&amp;"event to earn handsome rewards!
 - Red Envelopes: You can share Red Envelopes you get with other players in the chat!
 - Treasure Dig Improvements: We've added 30 stages and legendary fighter medals as rewards; reduced the difficulty of current stages; ad"&amp;"ded the chat and rank features and improved the interaction of some menus.
 - Improved City Editor: We've added recommendations, a like leaderboard, a batch operation feature, and improved some actions.
 - Roadblock Giganto Improvements: We've added a new"&amp;" gang leaderboard, a rally preparation procedure, and improved actions and strategies.
 - Operation Mutants Improvements: We've added a new boss, the Mutant Howler, revamped the difficulty, and improved combat pacing and buff selections.
 - Alvin's Treasu"&amp;"re Hunt Improvements: We've improved the experience of some stages and removed the entry button above the Wonder Emporium.
 - Discount Special Improvements: Added a new weekly pack and improved some menus.
 - Menu Improvements: We've improved the Friends "&amp;"and Leaderboard menus as well as the map. We've also added arrows to the map, and improved the options available for the automatic disassembly of equipment and map searches.")</f>
        <v>- New Fighter: Wildland Baron, Derick, a popular leader of the Wild Monkeys who lives up to his reputation! This first fighter who excels at leading Wall Breakers will bring an all-new experience.
 - New Fighter Statues: The statues for Fiona, Bazell, D-Generate Dave, and The Clark Brothers are completed! Earn their double talents to unlock them!
 - New Fortress Race Event: Duel other monkeys during the event and strive to conquer the fortress as fast as possible!
 - New Patrol Feature: You can now send forces to automatically attack neutral units or enemies along the path they patrol!
 - New Gorilla History Pop-up: It's now easier than ever to learn about the development of each key node.
 - New Honor Battle Pass: Complete quests to rank up your Pass and your military rank. We've also improved honor quests.
 - New Mystic Exploration Event: Use Mystic Dice to advance and earn nanomaterial and blueprints!
 - New Lunar New Year Events:
 - Firecrackers Abound: Take part in the event and set off firecrackers to earn an exclusive New Year city hall skill and other great rewards!
 - Lucky Koi: Draw Luck Lanterns every day during the event for a chance to be selected as the Lucky Koi on the event's last day and earn the BIG PRIZE!
 - Lion Dance: Raise your event level for a chance to earn the new march effect: Auspicious Clouds!
 - Hunt the Year Beast: The Year Beast is back stirring up trouble again. Beat it back and earn rewards!
 - Spring Greetings: Visit your friends' city or invite them to yours during the event to earn handsome rewards!
 - Red Envelopes: You can share Red Envelopes you get with other players in the chat!
 - Treasure Dig Improvements: We've added 30 stages and legendary fighter medals as rewards; reduced the difficulty of current stages; added the chat and rank features and improved the interaction of some menus.
 - Improved City Editor: We've added recommendations, a like leaderboard, a batch operation feature, and improved some actions.
 - Roadblock Giganto Improvements: We've added a new gang leaderboard, a rally preparation procedure, and improved actions and strategies.
 - Operation Mutants Improvements: We've added a new boss, the Mutant Howler, revamped the difficulty, and improved combat pacing and buff selections.
 - Alvin's Treasure Hunt Improvements: We've improved the experience of some stages and removed the entry button above the Wonder Emporium.
 - Discount Special Improvements: Added a new weekly pack and improved some menus.
 - Menu Improvements: We've improved the Friends and Leaderboard menus as well as the map. We've also added arrows to the map, and improved the options available for the automatic disassembly of equipment and map searches.</v>
      </c>
      <c r="D34" s="168" t="str">
        <f>IFERROR(__xludf.DUMMYFUNCTION("""COMPUTED_VALUE"""),"- Nouveau combattant: Derrick, chef des Terres sauvages à la hauteur de sa réputation! Vivez une nouvelle expérience de jeu grâce à ce combattant spécialisé dans les casse-murailles.
- Nouvelles statues de combattants: les statues de Fiona, Bazell, Dave D"&amp;"-Généré et des frères Clark sont terminées! Débloquez leurs doubles talents pour les déverrouiller!
- Course aux forteresses: affrontez les autres singes dans ce nouvel évènement pour prendre le contrôle de la forteresse le plus vite possible!
- Nouvelle "&amp;"fonctionnalité: envoyez des unités en patrouille pour attaquer les unités neutres ou les ennemis sur leur chemin.
- Affichage de la Campagne du gorille: découvrez en toute simplicité les évènements clés de l’histoire.
- Nouveau pass de bataille d'honneur:"&amp;" accomplissez des quêtes pour avancer dans votre pass et augmenter votre score militaire. Les quêtes d'honneur ont été optimisées.
- Exploration mystique: utilisez des dés mystiques pour avancer et gagner des nanomatériaux et des plans.
- Nouveaux évèneme"&amp;"nts du Nouvel an lunaire:
- Feux d'artifice: participez à l'évènement en allumant des feux d'artifice pour obtenir un skin du Nouvel an lunaire pour l'hôtel de ville et bien d'autres récompenses!
- Koï porte-bonheur: tous les jours, dessiner une lanterne "&amp;"pour avoir une chance d'être sélectionné pour le grand JACKPOT du dernier jour de l'évènement.
- Danse du lion: franchissez les niveaux de l’évènement pour tenter d'obtenir l'effet de déplacement Nuages favorables.
-Chasse à la Bête de l'année: la Bête de"&amp;" l'année est de retour pour mettre la pagaille. Affrontez-la pour obtenir des récompenses!
- Salutations printanières: visitez les villes de vos amis et invitez-les chez vous pendant l'évènement pour obtenir d'incroyables récompenses!
- Enveloppes rouges:"&amp;" partagez-les avec les autres joueurs du chat!
- Trésors enfouis: ajout de 30 niveaux et de médailles de combattants légendaires comme récompenses; réduction de la difficulté des niveaux existants; ajout du chat et des fonctionnalités de rang; optimisatio"&amp;"n de certains menus.
- Editeur de ville: ajout de recommandations, d'un classement de ""j'aime"", d'une fonctionnalité en lot; amélioration de certaines actions.
- Barrage giganto: ajout du nouveau boss, l'alouate mutant; optimisation de la difficulté; op"&amp;"timisation du rythme des combats et de la sélection des boosts.
- Chasse aux trésors d'Alvin: optimisation de l'expérience de jeu sur certaines étapes; suppression du bouton d'accès au-dessus de la Halle aux merveilles.
- Réductions spéciales: nouveau pac"&amp;"k hebdomadaire et optimisation de certains menus.
- Menus: optimisation de la liste d'amis, du panneau d'affichage et de la carte, avec l'ajout de flèches. Optimisation des options disponibles pour le déséquipement automatique et les recherches sur la car"&amp;"te.")</f>
        <v>- Nouveau combattant: Derrick, chef des Terres sauvages à la hauteur de sa réputation! Vivez une nouvelle expérience de jeu grâce à ce combattant spécialisé dans les casse-murailles.
- Nouvelles statues de combattants: les statues de Fiona, Bazell, Dave D-Généré et des frères Clark sont terminées! Débloquez leurs doubles talents pour les déverrouiller!
- Course aux forteresses: affrontez les autres singes dans ce nouvel évènement pour prendre le contrôle de la forteresse le plus vite possible!
- Nouvelle fonctionnalité: envoyez des unités en patrouille pour attaquer les unités neutres ou les ennemis sur leur chemin.
- Affichage de la Campagne du gorille: découvrez en toute simplicité les évènements clés de l’histoire.
- Nouveau pass de bataille d'honneur: accomplissez des quêtes pour avancer dans votre pass et augmenter votre score militaire. Les quêtes d'honneur ont été optimisées.
- Exploration mystique: utilisez des dés mystiques pour avancer et gagner des nanomatériaux et des plans.
- Nouveaux évènements du Nouvel an lunaire:
- Feux d'artifice: participez à l'évènement en allumant des feux d'artifice pour obtenir un skin du Nouvel an lunaire pour l'hôtel de ville et bien d'autres récompenses!
- Koï porte-bonheur: tous les jours, dessiner une lanterne pour avoir une chance d'être sélectionné pour le grand JACKPOT du dernier jour de l'évènement.
- Danse du lion: franchissez les niveaux de l’évènement pour tenter d'obtenir l'effet de déplacement Nuages favorables.
-Chasse à la Bête de l'année: la Bête de l'année est de retour pour mettre la pagaille. Affrontez-la pour obtenir des récompenses!
- Salutations printanières: visitez les villes de vos amis et invitez-les chez vous pendant l'évènement pour obtenir d'incroyables récompenses!
- Enveloppes rouges: partagez-les avec les autres joueurs du chat!
- Trésors enfouis: ajout de 30 niveaux et de médailles de combattants légendaires comme récompenses; réduction de la difficulté des niveaux existants; ajout du chat et des fonctionnalités de rang; optimisation de certains menus.
- Editeur de ville: ajout de recommandations, d'un classement de "j'aime", d'une fonctionnalité en lot; amélioration de certaines actions.
- Barrage giganto: ajout du nouveau boss, l'alouate mutant; optimisation de la difficulté; optimisation du rythme des combats et de la sélection des boosts.
- Chasse aux trésors d'Alvin: optimisation de l'expérience de jeu sur certaines étapes; suppression du bouton d'accès au-dessus de la Halle aux merveilles.
- Réductions spéciales: nouveau pack hebdomadaire et optimisation de certains menus.
- Menus: optimisation de la liste d'amis, du panneau d'affichage et de la carte, avec l'ajout de flèches. Optimisation des options disponibles pour le déséquipement automatique et les recherches sur la carte.</v>
      </c>
      <c r="E34" s="148" t="str">
        <f>IFERROR(__xludf.DUMMYFUNCTION("""COMPUTED_VALUE"""),"- Neuer Kämpfer: Der Wildnisbaron Derick, ein beliebter Anführer der wilden Affen, der seinem Ruf alle Ehre macht! Dieser erste Kämpfer, der sich durch das Anführen von Mauerbrechern auszeichnet, bietet eine ganz neue Erfahrung.
 - Neue Kämpferstatuen: Di"&amp;"e Statuen für Fiona, Bazell, D-Generate Dave und die Clark-Brüder sind fertig! Verdiene ihre Doppelbegabung, um sie freizuschalten!
 - Neues Festungsrennen-Event: Duelliere dich während des Events mit anderen Affen und versuche, die Festung so schnell wie"&amp;" möglich zu erobern!
 - Neue Patrouillenfunktion: Du kannst jetzt Truppen aussenden, die automatisch neutrale Einheiten oder Feinde entlang des Pfades angreifen, auf dem sie patrouillieren!
 - Neues Gorillageschichte-Pop-up: Jetzt kannst du einfacher denn"&amp;" je mehr über die Entwicklung der einzelnen Knotenpunkte erfahren.
 - Neuer Ehren-Kampfpass: Erledige Quests, um deine Bestehquote und deinen militärischen Rang zu erhöhen. Wir haben auch die Ehren-Quests verbessert.
 - Neues „Sagenhaftes Erlebnis“-Event:"&amp;" Verwende mystische Würfel, um voranzukommen und Nanomaterial und Pläne zu verdienen!
 - Neue Mondjahr-Events:
 - Feuerwerkskörper im Überfluss: Nimm am Event teil und zünde Feuerwerkskörper, um eine exklusive Neujahrs-Stadthallen-Fähigkeit und andere tol"&amp;"le Belohnungen zu erhalten!
 - Glücks-Koi: Ziehe während des Events jeden Tag Glückslaternen, um die Chance zu haben, am letzten Tag der Veranstaltung als Glücks-Koi ausgewählt zu werden und den HAUPTREIS zu gewinnen!
 - Löwentanz: Erhöhe dein Event-Level"&amp;" und erhalte die Chance auf den neuen Marscheffekt: Verheißungsvolle Wolken!
 - Jage die Jahresbestie: Die Jahresbestie ist zurück und sorgt wieder für Ärger. Besiege sie und verdiene dir Belohnungen!
 - Frühlingsgrüße: Besuche die Stadt deiner Freunde od"&amp;"er lade sie während des Events in deine ein, um tolle Belohnungen zu verdienen!
 - Rote Umschläge: Du kannst deine roten Umschläge mit anderen Spielern im Chat teilen!
 - Verbesserte Schatzsuche: Wir haben 30 Stufen und legendäre Kämpfermedaillen als Belo"&amp;"hnungen hinzugefügt, den Schwierigkeitsgrad der aktuellen Stufen reduziert, Chat- und Rangfunktionen hinzugefügt und die Interaktion einiger Menüs verbessert.
 - Verbesserter Stadt-Editor: Wir haben Empfehlungen, eine Like-Rangliste und eine Stapelverarbe"&amp;"itungsfunktion hinzugefügt und einige Aktionen verbessert.
 - Verbesserter Straßensperren-Gigantos: Wir haben eine neue Clan-Rangliste, eine Rallye-Vorbereitung und verbesserte Aktionen und Strategien hinzugefügt.
 - Verbesserte Operation Mutanten: Wir ha"&amp;"ben einen neuen Boss, den Mutantenheuler, hinzugefügt, den Schwierigkeitsgrad überarbeitet und das Kampftempo sowie die Buff-Auswahl verbessert.
 - Verbesserungen bei Alvins Schatzsuche: Wir haben die Erfahrung einiger Stufen verbessert und die Eintrittss"&amp;"chaltfläche über dem Wunderladen entfernt.
 - Verbesserte Rabatt-Specials: Wir haben ein neues Wochenpaket hinzugefügt und einige Menüs verbessert.
 - Verbesserte Menüs: Wir haben die Menüs „Freunde“ und „Rangliste“ sowie die Karte verbessert. Außerdem ha"&amp;"ben wir Pfeile zur Karte hinzugefügt und die Optionen für den automatischen Abbau von Ausrüstung sowie die Kartensuche verbessert.")</f>
        <v>- Neuer Kämpfer: Der Wildnisbaron Derick, ein beliebter Anführer der wilden Affen, der seinem Ruf alle Ehre macht! Dieser erste Kämpfer, der sich durch das Anführen von Mauerbrechern auszeichnet, bietet eine ganz neue Erfahrung.
 - Neue Kämpferstatuen: Die Statuen für Fiona, Bazell, D-Generate Dave und die Clark-Brüder sind fertig! Verdiene ihre Doppelbegabung, um sie freizuschalten!
 - Neues Festungsrennen-Event: Duelliere dich während des Events mit anderen Affen und versuche, die Festung so schnell wie möglich zu erobern!
 - Neue Patrouillenfunktion: Du kannst jetzt Truppen aussenden, die automatisch neutrale Einheiten oder Feinde entlang des Pfades angreifen, auf dem sie patrouillieren!
 - Neues Gorillageschichte-Pop-up: Jetzt kannst du einfacher denn je mehr über die Entwicklung der einzelnen Knotenpunkte erfahren.
 - Neuer Ehren-Kampfpass: Erledige Quests, um deine Bestehquote und deinen militärischen Rang zu erhöhen. Wir haben auch die Ehren-Quests verbessert.
 - Neues „Sagenhaftes Erlebnis“-Event: Verwende mystische Würfel, um voranzukommen und Nanomaterial und Pläne zu verdienen!
 - Neue Mondjahr-Events:
 - Feuerwerkskörper im Überfluss: Nimm am Event teil und zünde Feuerwerkskörper, um eine exklusive Neujahrs-Stadthallen-Fähigkeit und andere tolle Belohnungen zu erhalten!
 - Glücks-Koi: Ziehe während des Events jeden Tag Glückslaternen, um die Chance zu haben, am letzten Tag der Veranstaltung als Glücks-Koi ausgewählt zu werden und den HAUPTREIS zu gewinnen!
 - Löwentanz: Erhöhe dein Event-Level und erhalte die Chance auf den neuen Marscheffekt: Verheißungsvolle Wolken!
 - Jage die Jahresbestie: Die Jahresbestie ist zurück und sorgt wieder für Ärger. Besiege sie und verdiene dir Belohnungen!
 - Frühlingsgrüße: Besuche die Stadt deiner Freunde oder lade sie während des Events in deine ein, um tolle Belohnungen zu verdienen!
 - Rote Umschläge: Du kannst deine roten Umschläge mit anderen Spielern im Chat teilen!
 - Verbesserte Schatzsuche: Wir haben 30 Stufen und legendäre Kämpfermedaillen als Belohnungen hinzugefügt, den Schwierigkeitsgrad der aktuellen Stufen reduziert, Chat- und Rangfunktionen hinzugefügt und die Interaktion einiger Menüs verbessert.
 - Verbesserter Stadt-Editor: Wir haben Empfehlungen, eine Like-Rangliste und eine Stapelverarbeitungsfunktion hinzugefügt und einige Aktionen verbessert.
 - Verbesserter Straßensperren-Gigantos: Wir haben eine neue Clan-Rangliste, eine Rallye-Vorbereitung und verbesserte Aktionen und Strategien hinzugefügt.
 - Verbesserte Operation Mutanten: Wir haben einen neuen Boss, den Mutantenheuler, hinzugefügt, den Schwierigkeitsgrad überarbeitet und das Kampftempo sowie die Buff-Auswahl verbessert.
 - Verbesserungen bei Alvins Schatzsuche: Wir haben die Erfahrung einiger Stufen verbessert und die Eintrittsschaltfläche über dem Wunderladen entfernt.
 - Verbesserte Rabatt-Specials: Wir haben ein neues Wochenpaket hinzugefügt und einige Menüs verbessert.
 - Verbesserte Menüs: Wir haben die Menüs „Freunde“ und „Rangliste“ sowie die Karte verbessert. Außerdem haben wir Pfeile zur Karte hinzugefügt und die Optionen für den automatischen Abbau von Ausrüstung sowie die Kartensuche verbessert.</v>
      </c>
      <c r="F34" s="148" t="str">
        <f>IFERROR(__xludf.DUMMYFUNCTION("""COMPUTED_VALUE"""),"- Novo combatente: Derick, Barão das Terras Selvagens, um líder popular dos Macacos Selvagens que faz jus à reputação! Esse primeiro combatente se destaca na liderança de Quebra-Muros e proporcionará uma experiência completamente nova.
 - Nova estátua de "&amp;"lutador: As estátuas de Fiona, Bazell, Dave Degenerado e dos Irmãos Clark foram concluídas! Ganhe os talentos duplos deles para desbloqueá-las!
 - Novo evento Corrida de Fortaleza: Duele contra outros macacos durante o evento e lute para conquistar a fort"&amp;"aleza o mais rápido possível!
 - Novo recurso de patrulha: Agora você pode enviar forças para atacar automaticamente unidades neutras ou inimigos na sua rota de patrulha!
 - Nova janela da História do Gorila: Agora ficou mais fácil do que nunca aprender s"&amp;"obre o desenvolvimento de cada nodo chave.
 - Novo Passe de Batalha da Honra: Complete missões para subir o seu nível no passe e sua patente militar. Nós também melhoramos as missões de honra.
 - Novo evento de Exploração Mística: Use Dados Místicos para "&amp;"avançar e ganhar nanomateriais e diagramas!
 - Novos eventos do ano novo lunar:
 - Fogos de artifício aos montes: Participe do evento e dispare fogos de artifício para ganhar uma habilidade exclusiva do ano novo para a prefeitura, além de outras recompens"&amp;"as!
 - Carpa da Sorte: Sorteie Lanternas da Sorte todos os dias durante o evento para ter uma chance de se tornar a Carpa da Sorte do último dia do evento e ganhar o PRÊMIO PRINCIPAL!
 - Dança do Leão: Suba o seu nível no evento para ter uma chance de gan"&amp;"har o novo efeito de marcha, Nuvens Auspiciosas!
 - Cace a Fera Anual: A Fera Anual está causando problemas novamente. Derrote-a e ganhe recompensas!
 - Saudações da primavera: Visite a cidade dos seus amigos ou convide-os para visitar a sua durante o eve"&amp;"nto e ganhe recompensas fantásticas!
 - Envelopes vermelhos: Você pode compartilhar Envelopes Vermelhos com outros jogadores na janela de conversa!
 - Melhorias na Escavação de Tesouro: Nós adicionamos 30 estágios, além de medalhas de combatentes lendária"&amp;"s como recompensas; reduzimos a dificuldades dos estágios atuais; adicionamos funções de conversa e classificação, além de melhorarmos alguns menus interativos.
 - Editor de cidade melhorado: Nós adicionamos recomendações, placar de classificação, função "&amp;"de operações em conjunto e otimizamos algumas interações.
 - Melhorias no Giganto Tranca-Rua: Nós adicionamos um novo placar de gangues, um procedimento para preparação de incursões e melhoramos algumas ações e estratégias.
 - Melhorias na Operação Mutant"&amp;"es: Nós adicionamos um novo chefe, o Bugio Mutante, reformulamos a dificuldade e melhoramos o ritmo de combate e a seleção de bônus.
 - Melhorias na Caça ao Tesouro do Alvin: Nós melhoramos a experiência de alguns estágios e removemos o botão de inscrição"&amp;" sobre o Empório Maravilha.
 - Melhorias no desconto especial: Adicionamos um novo pacote semanal e melhoramos alguns menus.
 - Melhorias no menu: Nós melhoramos os menus Amigos e Placar de Classificação, além do mapa em si. Nós também adicionamos flechas"&amp;" ao mapa e melhoramos as opções disponíveis para o desmonte automático de equipamentos e buscas pelo mapa.")</f>
        <v>- Novo combatente: Derick, Barão das Terras Selvagens, um líder popular dos Macacos Selvagens que faz jus à reputação! Esse primeiro combatente se destaca na liderança de Quebra-Muros e proporcionará uma experiência completamente nova.
 - Nova estátua de lutador: As estátuas de Fiona, Bazell, Dave Degenerado e dos Irmãos Clark foram concluídas! Ganhe os talentos duplos deles para desbloqueá-las!
 - Novo evento Corrida de Fortaleza: Duele contra outros macacos durante o evento e lute para conquistar a fortaleza o mais rápido possível!
 - Novo recurso de patrulha: Agora você pode enviar forças para atacar automaticamente unidades neutras ou inimigos na sua rota de patrulha!
 - Nova janela da História do Gorila: Agora ficou mais fácil do que nunca aprender sobre o desenvolvimento de cada nodo chave.
 - Novo Passe de Batalha da Honra: Complete missões para subir o seu nível no passe e sua patente militar. Nós também melhoramos as missões de honra.
 - Novo evento de Exploração Mística: Use Dados Místicos para avançar e ganhar nanomateriais e diagramas!
 - Novos eventos do ano novo lunar:
 - Fogos de artifício aos montes: Participe do evento e dispare fogos de artifício para ganhar uma habilidade exclusiva do ano novo para a prefeitura, além de outras recompensas!
 - Carpa da Sorte: Sorteie Lanternas da Sorte todos os dias durante o evento para ter uma chance de se tornar a Carpa da Sorte do último dia do evento e ganhar o PRÊMIO PRINCIPAL!
 - Dança do Leão: Suba o seu nível no evento para ter uma chance de ganhar o novo efeito de marcha, Nuvens Auspiciosas!
 - Cace a Fera Anual: A Fera Anual está causando problemas novamente. Derrote-a e ganhe recompensas!
 - Saudações da primavera: Visite a cidade dos seus amigos ou convide-os para visitar a sua durante o evento e ganhe recompensas fantásticas!
 - Envelopes vermelhos: Você pode compartilhar Envelopes Vermelhos com outros jogadores na janela de conversa!
 - Melhorias na Escavação de Tesouro: Nós adicionamos 30 estágios, além de medalhas de combatentes lendárias como recompensas; reduzimos a dificuldades dos estágios atuais; adicionamos funções de conversa e classificação, além de melhorarmos alguns menus interativos.
 - Editor de cidade melhorado: Nós adicionamos recomendações, placar de classificação, função de operações em conjunto e otimizamos algumas interações.
 - Melhorias no Giganto Tranca-Rua: Nós adicionamos um novo placar de gangues, um procedimento para preparação de incursões e melhoramos algumas ações e estratégias.
 - Melhorias na Operação Mutantes: Nós adicionamos um novo chefe, o Bugio Mutante, reformulamos a dificuldade e melhoramos o ritmo de combate e a seleção de bônus.
 - Melhorias na Caça ao Tesouro do Alvin: Nós melhoramos a experiência de alguns estágios e removemos o botão de inscrição sobre o Empório Maravilha.
 - Melhorias no desconto especial: Adicionamos um novo pacote semanal e melhoramos alguns menus.
 - Melhorias no menu: Nós melhoramos os menus Amigos e Placar de Classificação, além do mapa em si. Nós também adicionamos flechas ao mapa e melhoramos as opções disponíveis para o desmonte automático de equipamentos e buscas pelo mapa.</v>
      </c>
      <c r="G34" s="148" t="str">
        <f>IFERROR(__xludf.DUMMYFUNCTION("""COMPUTED_VALUE"""),"-新增鬥士： 荒野領主-德裏克，一位眾望所歸、不負使命的荒野猴領袖！首個擅長率領攻城車作戰的鬥士，帶來全新的戰鬥體驗。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
-新增部隊巡邏功能：現在您可以派遣部隊自動攻擊巡邏路線上的中立單位或敵方部隊了！
-新增猩球紀元彈窗：您可以更加清晰地掌握世界發展的每一個關鍵節點！
-新增軍功戰令通行證：完成任務可獲得通行證經驗，並同時可提高軍銜，"&amp;"優化了軍功任務的類型。
-新增秘境探險活動：您可以在秘境骰子的指引下前進，獲得納米材料、戰裝圖紙等豪華獎勵！
-新增春節系列活動：
-爆竹聲聲：參與活動，點燃新春鞭炮，贏取春節限定主城皮膚和其他豐富獎勵！
-錦鯉送福：活動期間，每日可繪製福運燈籠，活動最後一日有機會被選中成為幸運錦鯉，獲得超幸運大獎!
-舞獅盛典：提升活動等級，有機會獲取全新行軍皮膚-瑞氣祥雲!
-年獸圍獵：年獸又出來作亂了，攻擊年獸可以獲得積分獎勵！
-迎春訪友：活動期間，拜訪好友的城市或者邀請好友拜訪自己的城市，可以獲得豐厚獎勵！
-"&amp;"紅包功能：獲得紅包道具後可以選擇聊天頻道發放紅包給頻道玩家！
-地下探寶優化：新增了30個關卡和藏有傳說鬥士獎牌的礦石；降低了當前關卡難度；開放了聊天和排行榜功能，並優化了部分界面交互與表現。
-城市編輯功能優化：新增官方推薦、點贊排行榜以及批量操作功能，優化部分操作體驗。
-攔路巨猿優化：新增幫派排行榜，新增集結準備流程，優化了操作和策略體驗。
-圍剿變異猴優化：新增BOSS變異呼嘯者，重置了挑戰難度，優化了戰鬥節奏和增益選擇的類型。
-艾文尋寶記優化：優化了部分關卡體驗；移除了展覽館建築上的入口按鈕。"&amp;"
-折扣特惠優化：新增了周禮包，優化了界面表現效果。
-界面及體驗優化：優化了好友界面、排行榜、大地圖中高視角下的界面表現；增加了地圖箭頭功能，優化了戰裝自動分解的選項設置和地圖搜索功能的體驗。")</f>
        <v>-新增鬥士： 荒野領主-德裏克，一位眾望所歸、不負使命的荒野猴領袖！首個擅長率領攻城車作戰的鬥士，帶來全新的戰鬥體驗。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
-新增部隊巡邏功能：現在您可以派遣部隊自動攻擊巡邏路線上的中立單位或敵方部隊了！
-新增猩球紀元彈窗：您可以更加清晰地掌握世界發展的每一個關鍵節點！
-新增軍功戰令通行證：完成任務可獲得通行證經驗，並同時可提高軍銜，優化了軍功任務的類型。
-新增秘境探險活動：您可以在秘境骰子的指引下前進，獲得納米材料、戰裝圖紙等豪華獎勵！
-新增春節系列活動：
-爆竹聲聲：參與活動，點燃新春鞭炮，贏取春節限定主城皮膚和其他豐富獎勵！
-錦鯉送福：活動期間，每日可繪製福運燈籠，活動最後一日有機會被選中成為幸運錦鯉，獲得超幸運大獎!
-舞獅盛典：提升活動等級，有機會獲取全新行軍皮膚-瑞氣祥雲!
-年獸圍獵：年獸又出來作亂了，攻擊年獸可以獲得積分獎勵！
-迎春訪友：活動期間，拜訪好友的城市或者邀請好友拜訪自己的城市，可以獲得豐厚獎勵！
-紅包功能：獲得紅包道具後可以選擇聊天頻道發放紅包給頻道玩家！
-地下探寶優化：新增了30個關卡和藏有傳說鬥士獎牌的礦石；降低了當前關卡難度；開放了聊天和排行榜功能，並優化了部分界面交互與表現。
-城市編輯功能優化：新增官方推薦、點贊排行榜以及批量操作功能，優化部分操作體驗。
-攔路巨猿優化：新增幫派排行榜，新增集結準備流程，優化了操作和策略體驗。
-圍剿變異猴優化：新增BOSS變異呼嘯者，重置了挑戰難度，優化了戰鬥節奏和增益選擇的類型。
-艾文尋寶記優化：優化了部分關卡體驗；移除了展覽館建築上的入口按鈕。
-折扣特惠優化：新增了周禮包，優化了界面表現效果。
-界面及體驗優化：優化了好友界面、排行榜、大地圖中高視角下的界面表現；增加了地圖箭頭功能，優化了戰裝自動分解的選項設置和地圖搜索功能的體驗。</v>
      </c>
      <c r="H34" s="148" t="str">
        <f>IFERROR(__xludf.DUMMYFUNCTION("""COMPUTED_VALUE"""),"- Menambah Pejuang: Tuan Tanah Gurun - Derrick, pemimpin Kera Liar yang menjadi harapan semua orang dan menepati tanggung jawab sendiri! Pejuang pertama yang ahli dalam memimpin Pembobol Tembok untuk bertarung, memberi pencobaan baru dalam pertarungan.
- "&amp;"Menambah Patung Pejuang: Patung Fiona, Bazell, D-Generate Dave, Clark Bersaudara sudah selesai dibuat. Bisa dibuka setelah mencapai Bakat Ganda Pejuang!
- Menambah Event Lomba Benteng: Selama Event, duel dengan kera lain, Duduki Benteng dalam waktu tercep"&amp;"at!
- Menambah fitur Pasukan Patroli: Sekarang Anda bisa mengutus pasukan untuk otomatis serang Unit Netral atau pasukan musuh di rute patroli!
- Menambah tampilan pop-up Riwayat Gorila: Anda bisa mengetahui dengan jelas mengenai setiap tahap penting peng"&amp;"embangan dunia!
- Menambah Tiket Akses Kehormatan Perintah: Selesaikan misi bisa mendapat EXP Tiket Akses dan meningkatkan Military Rank, optimalisasi jenis misi Kehormatan.
- Menambah Event Penjelajahan Realm: Anda bisa melangkah berdasarkan arahan Dadu "&amp;"Realm, menapat material nano, cetak biru perlengkapan dan hadiah mewah lainnya!
- Menambah Event Seri Imlek:
- Suara Petasan: Ikut Event, nyalakan petasan imlek, menangkan skin kota terbatas Imlek dan banyak hadiah lainnya!
- Berkah Ikan Koi: Selama Event"&amp;", bisa membuat Lentera Hoki setiap hari. Di hari terakhir Event, berpeluang dipilih menjadi Ikan Koi Hoki, mendapat hadiah Jackpot!
- Pesta Barongsai: Tingkatkan level Event, berpeluang mendapat skin berbaris terbaru - Awan Hoki!
- Berburu Nian: Nian munc"&amp;"ul lagi untuk membuat kekacauan, serang Nian bisa mendapat hadiah poin!
- Sambut Imlek: Selama Event, kunjungi kota teman atau undang teman untuk kunjungi kota sendiri bisa mendapat banyak hadiah!
- Fitur Angpau: Setelah mendapat item Angpau, bisa memilih"&amp;" kirim Angpau ke pemain via channel obrolan!
- Optimalisasi Gali Harta: Menambah 30 Wilayah Kera dan Bijih yang menyembunyikan Medali Pejuang legendaris; Menurunkan kesulitan Wilayah Kera; Membuka fitur obrolan dan Peringkat, mengoptimalkan interaksi dan "&amp;"performa sebagian tampilan.
- Optimalisasi fitur Edit Kota: Menambah fitur rekomendasi official, suka Peringkat dan tindakan massal, optimalisasi sebagian pencobaan tindakan.
- Optimalisasi Penghalang Jalan Giganto: Menambah Peringkat Geng, menambah prose"&amp;"s persiapan Reli, optimalisasi pencobaan tindakan dan strategi.
- Optimalisasi Pengepungan Kera Mutan: Menambah Bos Peneriak Mutan, reset tingkat kesulitan tantangan, optimalisasi proses pertarungan dan jenis pemilihan Keunggulan.
- Optimalisasi Perburuan"&amp;" Harta Karun Alvin: Optimalisasi sebagian pencobaan Wilayah Kera; Menghapus tombol entri di bangunan Emporium Megah.
- Optimalisasi Diskon Spesial: Menambah Paket Mingguan, optimalisasi efek performa tampilan.
- Optimalisasi tampilan dan pencobaan: Optima"&amp;"lisasi tampilan teman, Peringkat, performa tampilan peta besar dari sudut tinggi; Menambah fitur tanda panah pada peta, optimalisasi pengaturan opsi Bongkar Otomatis Perlengkapan dan pencobaan fitur eksplorasi peta.")</f>
        <v>- Menambah Pejuang: Tuan Tanah Gurun - Derrick, pemimpin Kera Liar yang menjadi harapan semua orang dan menepati tanggung jawab sendiri! Pejuang pertama yang ahli dalam memimpin Pembobol Tembok untuk bertarung, memberi pencobaan baru dalam pertarungan.
- Menambah Patung Pejuang: Patung Fiona, Bazell, D-Generate Dave, Clark Bersaudara sudah selesai dibuat. Bisa dibuka setelah mencapai Bakat Ganda Pejuang!
- Menambah Event Lomba Benteng: Selama Event, duel dengan kera lain, Duduki Benteng dalam waktu tercepat!
- Menambah fitur Pasukan Patroli: Sekarang Anda bisa mengutus pasukan untuk otomatis serang Unit Netral atau pasukan musuh di rute patroli!
- Menambah tampilan pop-up Riwayat Gorila: Anda bisa mengetahui dengan jelas mengenai setiap tahap penting pengembangan dunia!
- Menambah Tiket Akses Kehormatan Perintah: Selesaikan misi bisa mendapat EXP Tiket Akses dan meningkatkan Military Rank, optimalisasi jenis misi Kehormatan.
- Menambah Event Penjelajahan Realm: Anda bisa melangkah berdasarkan arahan Dadu Realm, menapat material nano, cetak biru perlengkapan dan hadiah mewah lainnya!
- Menambah Event Seri Imlek:
- Suara Petasan: Ikut Event, nyalakan petasan imlek, menangkan skin kota terbatas Imlek dan banyak hadiah lainnya!
- Berkah Ikan Koi: Selama Event, bisa membuat Lentera Hoki setiap hari. Di hari terakhir Event, berpeluang dipilih menjadi Ikan Koi Hoki, mendapat hadiah Jackpot!
- Pesta Barongsai: Tingkatkan level Event, berpeluang mendapat skin berbaris terbaru - Awan Hoki!
- Berburu Nian: Nian muncul lagi untuk membuat kekacauan, serang Nian bisa mendapat hadiah poin!
- Sambut Imlek: Selama Event, kunjungi kota teman atau undang teman untuk kunjungi kota sendiri bisa mendapat banyak hadiah!
- Fitur Angpau: Setelah mendapat item Angpau, bisa memilih kirim Angpau ke pemain via channel obrolan!
- Optimalisasi Gali Harta: Menambah 30 Wilayah Kera dan Bijih yang menyembunyikan Medali Pejuang legendaris; Menurunkan kesulitan Wilayah Kera; Membuka fitur obrolan dan Peringkat, mengoptimalkan interaksi dan performa sebagian tampilan.
- Optimalisasi fitur Edit Kota: Menambah fitur rekomendasi official, suka Peringkat dan tindakan massal, optimalisasi sebagian pencobaan tindakan.
- Optimalisasi Penghalang Jalan Giganto: Menambah Peringkat Geng, menambah proses persiapan Reli, optimalisasi pencobaan tindakan dan strategi.
- Optimalisasi Pengepungan Kera Mutan: Menambah Bos Peneriak Mutan, reset tingkat kesulitan tantangan, optimalisasi proses pertarungan dan jenis pemilihan Keunggulan.
- Optimalisasi Perburuan Harta Karun Alvin: Optimalisasi sebagian pencobaan Wilayah Kera; Menghapus tombol entri di bangunan Emporium Megah.
- Optimalisasi Diskon Spesial: Menambah Paket Mingguan, optimalisasi efek performa tampilan.
- Optimalisasi tampilan dan pencobaan: Optimalisasi tampilan teman, Peringkat, performa tampilan peta besar dari sudut tinggi; Menambah fitur tanda panah pada peta, optimalisasi pengaturan opsi Bongkar Otomatis Perlengkapan dan pencobaan fitur eksplorasi peta.</v>
      </c>
      <c r="I34" s="148" t="str">
        <f>IFERROR(__xludf.DUMMYFUNCTION("""COMPUTED_VALUE"""),"- นักสู้ใหม่ : ท่านลอร์ดแดนเถื่อน-เดอร์ริก ผู้นำลิงเถื่อนที่ทุกคนรอคอย กลับมาปฏิบัติภารกิจอีกครั้ง! นักสู้คนแรกที่ชำนาญการนำวอลล์เบรกเกอร์ไปต่อสู้ ทำให้ทุกท่านได้สัมผัสกับการต่อสู้แบบใหม่!
-รูปปั้นนักสู้ใหม่ : รูปปั้นของฟีโอน่า, บาเซลล์, เดฟ, พี่น้องคลาร์"&amp;"กได้สร้างเสร็จสิ้นแล้ว ปลดล็อกเมื่อบรรลุความสามารถคู่ของนักสู้!
- กิจกรรมค่ายแข่งความเร็วใหม่ : ช่วงกิจกรรม แรนดอมแข่งขันกับลิงตัวอื่น ยึดครองป้อมปราการให้เร็วที่สุด!
- ฟังก์ชั่นกองลาดตระเวน : ขณะนี้ คุณสามารถส่งกองไปโจมตีส่วนกลางขนาดใหญ่หรือกองศัตรูอัตโน"&amp;"มัติได้แล้ว!
- หน้าต่างประวัติกอริลลาใหม่ : คุณสามารถควบคุมทุกหัวใจสำคัญของการพัฒนาโลกได้!
- บัตรผ่านเกียรติยศคำสั่งใหม่ : หลังเคลียร์เควส จะได้รับประสบการณ์บัตรผ่าน ขณะเดียวกัน สามารถเลื่อนยศและปรับปรุงประเภทของเควสเกียรติยศ
- กิจกรรมผจญภัยในมิติใหม่ : ค"&amp;"ุณสามารถเดินหน้าภายใต้การชี้นำของลูกเต๋าผจญภัยได้ ทำให้ได้รับวัสดุนาโน, พิมพ์เขียวอุปกรณ์ และรางวัลสุดหรูอีกมากมาย!
- กิจกรรมตรุษจีนใหม่ : 
- เสียงประทัดฉลอง : ร่วมกิจกรรม จุดประทัดตรุษจีน ลุ้นรับสกินพิเศษของศาลากลางและรางวัลอื่นๆ อีกมากมาย!
- ปลาคาร์ฟส่ง"&amp;"สุข : ช่วงกิจกรรมสามารถวาดโคมดวงเฮงได้ทุกวัน ในวันสุดท้ายของกิจกรรมยังมีโอกาสถูกเลือกเป็นปลาคาร์ฟโชคดี ได้รับรางวัลใหญ่อีกด้วย!
- เชิดสิงโตฉลอง : เมื่ออัปเกรดเลเวลของกิจกรรม จะมีโอกาสได้รับสกินเดินทัพใหม่ล่าสุด - เมฆแห่งความโชคดี!
- ล่าอสูรตรุษจีน : อสูรต"&amp;"รุษจีนมาปรากฏตัว สร้างความวุ่นวายอีกแล้ว ไปโจทตีพวกมันเพื่อรับคะแนนกันเถอะ!
-เยือนเพื่อนฉลองตรุษจีน : ช่วงกิจกรรมไปเยือนเมืงอของเพื่อนหรือเชิญเพื่อนมาเยือนเมืองของตัวเอง ก็จะได้รับรางวัลมากมาย!
- ฟังก์ชั่นอั่งเปา : หลังได้รับอั่งเปา สามารถเลือกช่องแชทเพื่"&amp;"อแจกอั่งเปาได้!
- ปรับปรุงล่าสมบัติใต้ดิน : เพิ่ม 30 ด่านใหม่และเหรียญตรานักสู้ระดับตำนาน ; ลดระดับของด่านปัจจุบัน ; เปิดฟังก์ชั่นแชทและอันดับ พร้อมปรับปรุงการโต้ตอบและการแสดงในหน้าบางส่วน
- ปรับปรุงฟังก์ชั่นตัวแก้ไขเมือง : เพิ่มฟังก์ชั่นที่ทีมงานแนะนำ, อ"&amp;"ันดับและการทำรายการเพื่มเติม พร้อมปรับปรุงการใช้งานให้สะดวกมากกว่า
- ปรับปรุงกิกันโต้ขวางทาง : เพิ่มอันดับแก๊งค์, เพิ่มขั้นตอนเตรียมยกทัพ และปรับปรุงการใช้งานพร้อมกลยุทธ์
- ปรับปรุงปฏิบัติการตัวกลายพันธุ์ : เพิ่มบอสใหม่ - ผู้กรีดร้องกลายพันธุ์, รีเซ็ตระดั"&amp;"บการท้าทายและปรับปรุงจังหวัการต่อสู้และประเภทบูสต์ที่เลือก
- ปรับปรุงล่าสมบัติของอัลวิน : อรรถรสของบางด่าน ; ลบปุ่มทางเข้าบนวันเดอร์เอ็มโพเรี่ยม
- ปรับปรุงส่วนลดพิเศษ : เพิ่มแพ็กรายสัปดาห์แลพปรับปรุงการแสดงผลในหน้าต่าง
- ปรับปรุงหน้าต่างและอรรถรสการเล่นเก"&amp;"ม : ปรับปรุงหน้าระบบเพื่อน, อันดับ, มุมมองจากด้านบนในแผนที่ใหญ่ ; เพิ่มฟังก์ชั่นลูกศรในแผนที่ และปรับปรุงการตั้งค่าตัวเลือกการถอดชิ้นส่วนอุปกรณ์อัตโนมัติและการค้นหาแผนที่")</f>
        <v>- นักสู้ใหม่ : ท่านลอร์ดแดนเถื่อน-เดอร์ริก ผู้นำลิงเถื่อนที่ทุกคนรอคอย กลับมาปฏิบัติภารกิจอีกครั้ง! นักสู้คนแรกที่ชำนาญการนำวอลล์เบรกเกอร์ไปต่อสู้ ทำให้ทุกท่านได้สัมผัสกับการต่อสู้แบบใหม่!
-รูปปั้นนักสู้ใหม่ : รูปปั้นของฟีโอน่า, บาเซลล์, เดฟ, พี่น้องคลาร์กได้สร้างเสร็จสิ้นแล้ว ปลดล็อกเมื่อบรรลุความสามารถคู่ของนักสู้!
- กิจกรรมค่ายแข่งความเร็วใหม่ : ช่วงกิจกรรม แรนดอมแข่งขันกับลิงตัวอื่น ยึดครองป้อมปราการให้เร็วที่สุด!
- ฟังก์ชั่นกองลาดตระเวน : ขณะนี้ คุณสามารถส่งกองไปโจมตีส่วนกลางขนาดใหญ่หรือกองศัตรูอัตโนมัติได้แล้ว!
- หน้าต่างประวัติกอริลลาใหม่ : คุณสามารถควบคุมทุกหัวใจสำคัญของการพัฒนาโลกได้!
- บัตรผ่านเกียรติยศคำสั่งใหม่ : หลังเคลียร์เควส จะได้รับประสบการณ์บัตรผ่าน ขณะเดียวกัน สามารถเลื่อนยศและปรับปรุงประเภทของเควสเกียรติยศ
- กิจกรรมผจญภัยในมิติใหม่ : คุณสามารถเดินหน้าภายใต้การชี้นำของลูกเต๋าผจญภัยได้ ทำให้ได้รับวัสดุนาโน, พิมพ์เขียวอุปกรณ์ และรางวัลสุดหรูอีกมากมาย!
- กิจกรรมตรุษจีนใหม่ : 
- เสียงประทัดฉลอง : ร่วมกิจกรรม จุดประทัดตรุษจีน ลุ้นรับสกินพิเศษของศาลากลางและรางวัลอื่นๆ อีกมากมาย!
- ปลาคาร์ฟส่งสุข : ช่วงกิจกรรมสามารถวาดโคมดวงเฮงได้ทุกวัน ในวันสุดท้ายของกิจกรรมยังมีโอกาสถูกเลือกเป็นปลาคาร์ฟโชคดี ได้รับรางวัลใหญ่อีกด้วย!
- เชิดสิงโตฉลอง : เมื่ออัปเกรดเลเวลของกิจกรรม จะมีโอกาสได้รับสกินเดินทัพใหม่ล่าสุด - เมฆแห่งความโชคดี!
- ล่าอสูรตรุษจีน : อสูรตรุษจีนมาปรากฏตัว สร้างความวุ่นวายอีกแล้ว ไปโจทตีพวกมันเพื่อรับคะแนนกันเถอะ!
-เยือนเพื่อนฉลองตรุษจีน : ช่วงกิจกรรมไปเยือนเมืงอของเพื่อนหรือเชิญเพื่อนมาเยือนเมืองของตัวเอง ก็จะได้รับรางวัลมากมาย!
- ฟังก์ชั่นอั่งเปา : หลังได้รับอั่งเปา สามารถเลือกช่องแชทเพื่อแจกอั่งเปาได้!
- ปรับปรุงล่าสมบัติใต้ดิน : เพิ่ม 30 ด่านใหม่และเหรียญตรานักสู้ระดับตำนาน ; ลดระดับของด่านปัจจุบัน ; เปิดฟังก์ชั่นแชทและอันดับ พร้อมปรับปรุงการโต้ตอบและการแสดงในหน้าบางส่วน
- ปรับปรุงฟังก์ชั่นตัวแก้ไขเมือง : เพิ่มฟังก์ชั่นที่ทีมงานแนะนำ, อันดับและการทำรายการเพื่มเติม พร้อมปรับปรุงการใช้งานให้สะดวกมากกว่า
- ปรับปรุงกิกันโต้ขวางทาง : เพิ่มอันดับแก๊งค์, เพิ่มขั้นตอนเตรียมยกทัพ และปรับปรุงการใช้งานพร้อมกลยุทธ์
- ปรับปรุงปฏิบัติการตัวกลายพันธุ์ : เพิ่มบอสใหม่ - ผู้กรีดร้องกลายพันธุ์, รีเซ็ตระดับการท้าทายและปรับปรุงจังหวัการต่อสู้และประเภทบูสต์ที่เลือก
- ปรับปรุงล่าสมบัติของอัลวิน : อรรถรสของบางด่าน ; ลบปุ่มทางเข้าบนวันเดอร์เอ็มโพเรี่ยม
- ปรับปรุงส่วนลดพิเศษ : เพิ่มแพ็กรายสัปดาห์แลพปรับปรุงการแสดงผลในหน้าต่าง
- ปรับปรุงหน้าต่างและอรรถรสการเล่นเกม : ปรับปรุงหน้าระบบเพื่อน, อันดับ, มุมมองจากด้านบนในแผนที่ใหญ่ ; เพิ่มฟังก์ชั่นลูกศรในแผนที่ และปรับปรุงการตั้งค่าตัวเลือกการถอดชิ้นส่วนอุปกรณ์อัตโนมัติและการค้นหาแผนที่</v>
      </c>
      <c r="J34" s="168" t="str">
        <f>IFERROR(__xludf.DUMMYFUNCTION("""COMPUTED_VALUE"""),"- Nuevo Luchador: Derick, Barón las Tierras Salvajes, es un líder popular de los Monos Salvajes que hace honor a su reputación. Este Luchador que se destaca por su liderazgo de los Rompemuros ofrecerá una experiencia totalmente novedosa.
 - Nuevas estatua"&amp;"s de Luchadores: Se completaron las estatuas de Fiona, Bazell, D-Generado Dave y los Hermanos Clark. Obtén sus talentos dobles para desbloquearlos.
 - Nuevo evento Carrera a la Fortaleza: Enfréntate a otros monos durante el evento y conquista la fortaleza"&amp;" lo más rápido posible.
 - Nueva función de patrulla: Ahora puedes enviar fuerzas para que ataquen de forma automática a unidades neutrales o enemigos que encuentren en el camino que patrullan.
 - Nueva ventana emergente sobre la historia de los gorilas: "&amp;"Ahora es más fácil que nunca aprender sobre el desarrollo de cada nodo clave.
 - Nuevo Pase de Batalla de Honor: Completa misiones para mejorar tu pase y tu rango militar. También hemos mejorado las misiones de Honor.
 - Nuevo evento Exploración Mística: "&amp;"Usa Dados Místicos para avanzar y obtener nanomateriales y planos.
 - Nuevos eventos de Año Nuevo Lunar:
 - Abundancia de Petardos: Participa en el evento y enciende petardos para obtener una textura exclusiva de Año nuevo para el Ayuntamiento, así como o"&amp;"tras grandes recompensas.
 - Koi de la Suerte: Dibuja linternas de la suerte cada día durante el evento para tener posibilidades de que te elijan como el Koi de la Suerte el último día del evento y ganar el PREMIO MAYOR.
 - Danza del León: Aumenta tu nive"&amp;"l de evento para tener posibilidades de obtener un nuevo efecto de marcha: Nubes Auspiciosas.
 - Caza de la Bestia del Año: La Bestia del Año regresó y está creando problemas. ¡Derrótala y obtén recompensas!
 - Festejos de Primavera: Visita las ciudades d"&amp;"e tus amigos o invítalos a visitar la tuya durante el evento para obtener muchas recompensas.
 - Sobres Rojos: Puedes compartir los Sobres Rojos que obtengas con otros jugadores en el chat.
 - Mejoras al Desentierro de Tesoros: Hemos agregado 30 etapas y "&amp;"Medallas de Luchador legendarias como recompensa, hemos reducido la dificultad de las etapas actuales, hemos agregado las funciones de chat y clasificación, y hemos mejorado la interacción de algunos menús.
 - Editor de ciudad mejorado: Hemos agregado rec"&amp;"omendaciones, una tabla de clasificación de gustos y algunas acciones mejoradas.
 - Mejoras a Gigantopithecus en Barricada: Hemos agregado una nueva tabla de clasificación de Bandas, un procedimiento de preparación de congregaciones, y acciones y estrateg"&amp;"ias mejoradas.
 - Mejoras a Operación Mutantes: Hemos agregado un nuevo jefe, el Aullador Mutante, hemos renovado la dificultad y hemos mejorado el ritmo de combate y la selección de mejoras.
 - Mejoras a la Búsqueda del Tesoro de Alvin: Hemos mejorado la"&amp;" experiencia de algunas etapas y eliminado el botón de entrada que había sobre el Emporio de las Maravillas.
 - Mejoras al Descuento Especial: Hemos agregado un nuevo paquete semanal y hemos mejorado algunos menús.
 - Mejoras al menú: Hemos mejorado los m"&amp;"enús de amigos y tablas de clasificación, así como el mapa. También hemos agregado flechas al mapa y hemos mejorado las opciones disponibles para el desensamble automático de equipo y búsquedas en el mapa.")</f>
        <v>- Nuevo Luchador: Derick, Barón las Tierras Salvajes, es un líder popular de los Monos Salvajes que hace honor a su reputación. Este Luchador que se destaca por su liderazgo de los Rompemuros ofrecerá una experiencia totalmente novedosa.
 - Nuevas estatuas de Luchadores: Se completaron las estatuas de Fiona, Bazell, D-Generado Dave y los Hermanos Clark. Obtén sus talentos dobles para desbloquearlos.
 - Nuevo evento Carrera a la Fortaleza: Enfréntate a otros monos durante el evento y conquista la fortaleza lo más rápido posible.
 - Nueva función de patrulla: Ahora puedes enviar fuerzas para que ataquen de forma automática a unidades neutrales o enemigos que encuentren en el camino que patrullan.
 - Nueva ventana emergente sobre la historia de los gorilas: Ahora es más fácil que nunca aprender sobre el desarrollo de cada nodo clave.
 - Nuevo Pase de Batalla de Honor: Completa misiones para mejorar tu pase y tu rango militar. También hemos mejorado las misiones de Honor.
 - Nuevo evento Exploración Mística: Usa Dados Místicos para avanzar y obtener nanomateriales y planos.
 - Nuevos eventos de Año Nuevo Lunar:
 - Abundancia de Petardos: Participa en el evento y enciende petardos para obtener una textura exclusiva de Año nuevo para el Ayuntamiento, así como otras grandes recompensas.
 - Koi de la Suerte: Dibuja linternas de la suerte cada día durante el evento para tener posibilidades de que te elijan como el Koi de la Suerte el último día del evento y ganar el PREMIO MAYOR.
 - Danza del León: Aumenta tu nivel de evento para tener posibilidades de obtener un nuevo efecto de marcha: Nubes Auspiciosas.
 - Caza de la Bestia del Año: La Bestia del Año regresó y está creando problemas. ¡Derrótala y obtén recompensas!
 - Festejos de Primavera: Visita las ciudades de tus amigos o invítalos a visitar la tuya durante el evento para obtener muchas recompensas.
 - Sobres Rojos: Puedes compartir los Sobres Rojos que obtengas con otros jugadores en el chat.
 - Mejoras al Desentierro de Tesoros: Hemos agregado 30 etapas y Medallas de Luchador legendarias como recompensa, hemos reducido la dificultad de las etapas actuales, hemos agregado las funciones de chat y clasificación, y hemos mejorado la interacción de algunos menús.
 - Editor de ciudad mejorado: Hemos agregado recomendaciones, una tabla de clasificación de gustos y algunas acciones mejoradas.
 - Mejoras a Gigantopithecus en Barricada: Hemos agregado una nueva tabla de clasificación de Bandas, un procedimiento de preparación de congregaciones, y acciones y estrategias mejoradas.
 - Mejoras a Operación Mutantes: Hemos agregado un nuevo jefe, el Aullador Mutante, hemos renovado la dificultad y hemos mejorado el ritmo de combate y la selección de mejoras.
 - Mejoras a la Búsqueda del Tesoro de Alvin: Hemos mejorado la experiencia de algunas etapas y eliminado el botón de entrada que había sobre el Emporio de las Maravillas.
 - Mejoras al Descuento Especial: Hemos agregado un nuevo paquete semanal y hemos mejorado algunos menús.
 - Mejoras al menú: Hemos mejorado los menús de amigos y tablas de clasificación, así como el mapa. También hemos agregado flechas al mapa y hemos mejorado las opciones disponibles para el desensamble automático de equipo y búsquedas en el mapa.</v>
      </c>
      <c r="K34" s="148" t="str">
        <f>IFERROR(__xludf.DUMMYFUNCTION("""COMPUTED_VALUE"""),"– Новый герой: барон из диких земель Дерек, знаменитый вождь диких обезьян, который оправдывает свою репутацию! Это первый герой, который лучше всего командует стеноломами, и с ним вы получите совершенно новые впечатления от игры.
– Новые статуи героев: г"&amp;"отовы статуи Фионы, Базеля, Д-генерата Дэйва и братьев Кларк! Получите двойные таланты героев, чтобы открыть статуи! 
– Новое событие «Гонки крепости»: состязайтесь с другими обезьянами и постарайтесь захватить крепость как можно быстрее! 
– Новая функция"&amp;": патрули. Теперь вы можете отправлять войска, чтобы они автоматически атаковали нейтральные отряды или врагов на пути их патруля! 
– Новое всплывающее окно «Истории гориллы»: теперь узнать о развитии каждого ключевого узла стало еще проще.
– Новый боевой"&amp;" пропуск чести: выполняйте задания, чтобы повысить уровень пропуска и свое воинское звание. Мы также улучшили задания чести.
– Новое событие «Таинственное исследование»: используйте волшебные кубики, чтобы двигаться вперед и зарабатывать наноматериалы и ч"&amp;"ертежи! 
– Новые события Лунного Нового года:
– Изобилие фейерверков: участвуйте в событии и зажигайте фейерверки, чтобы получить эксклюзивный новогодний облик городского совета и другие награды! 
– Счастливый карп кои: вытягивайте счастливые фонарики каж"&amp;"дый день во время события, чтобы получить шанс в последний день события стать счастливым карпом кои и получить БОЛЬШОЙ ПРИЗ! 
– Танец льва: повышайте уровень события, чтобы получить новый эффект марша: «Облака удачи»! 
– Охота на зверя года: зверь года сн"&amp;"ова сеет смуту! Победите его и получите награды. 
– Весенние приветствия: посещайте города друзей или пригласите их в свой город во время события, чтобы заработать щедрые награды! 
– Красные конверты: вы можете делиться полученными красными конвертами с д"&amp;"ругими игроками в чате! 
– Улучшения «Поиска кладов»: мы добавили 30 этапов и легендарные медали героев в качестве наград; снизили сложность текущих этапов; добавили функции чата и рейтинга и улучшили работу с некоторыми меню. 
– Улучшенный редактор город"&amp;"а: добавлены рекомендации, таблица лидеров по лайкам, функция массовых операций, а также улучшены некоторые действия. 
– Улучшения «Блокпоста Гиганто»: добавлена новая таблица лидеров банд, функция подготовки к походам, улучшены действия и стратегические "&amp;"возможности.
– Улучшена «Операция „Мутанты”»: мы добавили нового босса, мутанта-ревуна, переработали сложность и улучшили темп боя и выбор усилений.
– Улучшения «Охоты за сокровищами Альвина»: мы улучшили работу некоторых этапов и убрали кнопку входа над "&amp;"Залом чудес. 
– Улучшения особых скидок: добавлен новый еженедельный набор и улучшены некоторые меню.
– Улучшения меню: улучшены меню друзей и таблицы лидеров, а также карта. Мы добавили на карту стрелки и улучшили возможности автоматической разборки снар"&amp;"яжения и поиска на карте.")</f>
        <v>– Новый герой: барон из диких земель Дерек, знаменитый вождь диких обезьян, который оправдывает свою репутацию! Это первый герой, который лучше всего командует стеноломами, и с ним вы получите совершенно новые впечатления от игры.
– Новые статуи героев: готовы статуи Фионы, Базеля, Д-генерата Дэйва и братьев Кларк! Получите двойные таланты героев, чтобы открыть статуи! 
– Новое событие «Гонки крепости»: состязайтесь с другими обезьянами и постарайтесь захватить крепость как можно быстрее! 
– Новая функция: патрули. Теперь вы можете отправлять войска, чтобы они автоматически атаковали нейтральные отряды или врагов на пути их патруля! 
– Новое всплывающее окно «Истории гориллы»: теперь узнать о развитии каждого ключевого узла стало еще проще.
– Новый боевой пропуск чести: выполняйте задания, чтобы повысить уровень пропуска и свое воинское звание. Мы также улучшили задания чести.
– Новое событие «Таинственное исследование»: используйте волшебные кубики, чтобы двигаться вперед и зарабатывать наноматериалы и чертежи! 
– Новые события Лунного Нового года:
– Изобилие фейерверков: участвуйте в событии и зажигайте фейерверки, чтобы получить эксклюзивный новогодний облик городского совета и другие награды! 
– Счастливый карп кои: вытягивайте счастливые фонарики каждый день во время события, чтобы получить шанс в последний день события стать счастливым карпом кои и получить БОЛЬШОЙ ПРИЗ! 
– Танец льва: повышайте уровень события, чтобы получить новый эффект марша: «Облака удачи»! 
– Охота на зверя года: зверь года снова сеет смуту! Победите его и получите награды. 
– Весенние приветствия: посещайте города друзей или пригласите их в свой город во время события, чтобы заработать щедрые награды! 
– Красные конверты: вы можете делиться полученными красными конвертами с другими игроками в чате! 
– Улучшения «Поиска кладов»: мы добавили 30 этапов и легендарные медали героев в качестве наград; снизили сложность текущих этапов; добавили функции чата и рейтинга и улучшили работу с некоторыми меню. 
– Улучшенный редактор города: добавлены рекомендации, таблица лидеров по лайкам, функция массовых операций, а также улучшены некоторые действия. 
– Улучшения «Блокпоста Гиганто»: добавлена новая таблица лидеров банд, функция подготовки к походам, улучшены действия и стратегические возможности.
– Улучшена «Операция „Мутанты”»: мы добавили нового босса, мутанта-ревуна, переработали сложность и улучшили темп боя и выбор усилений.
– Улучшения «Охоты за сокровищами Альвина»: мы улучшили работу некоторых этапов и убрали кнопку входа над Залом чудес. 
– Улучшения особых скидок: добавлен новый еженедельный набор и улучшены некоторые меню.
– Улучшения меню: улучшены меню друзей и таблицы лидеров, а также карта. Мы добавили на карту стрелки и улучшили возможности автоматической разборки снаряжения и поиска на карте.</v>
      </c>
      <c r="L34" s="148" t="str">
        <f>IFERROR(__xludf.DUMMYFUNCTION("""COMPUTED_VALUE"""),"- Yeni Savaşçı: Vahşi Maymunların ünlü lideri, Çorak Toprakların Efendisi Derick! Duvar Kırıcılara liderlik etmekte usta olan ilk savaşçı olarak oyunculara yepyeni bir deneyim sunacak.
- Yeni Savaşçı Heykelleri: Fiona, Bazell, Dejenere Dave ve Clark Karde"&amp;"şlerin heykelleri tamamlandı! Savaşçıların çift yeteneklerini elde ederek heykellerin kilidini açabilirsin!
- Yeni Kale Yarışı Etkinliği: Etkinlik sırasında kaleyi olabildiğince kısa sürede ele geçirme yarışında diğer maymunlarla mücadele et!
- Yeni Devri"&amp;"ye Özelliği: Artık kuvvetlerini rota üzerindeki tarafsız birimlere veya düşman birliklerine otomatik olarak saldırmak üzere devriyeye gönderebilirsin!
- Yeni Goril Geçmişi Açılır Penceresi: Kilit noktaların gelişimini öğrenmek artık hiç olmadığı kadar kol"&amp;"ay!
- Yeni Onur Savaş Bileti: Görevleri tamamlayarak Biletinin seviyesini ve askerî rütbeni artırabilirsin. Onur görevleri de artık geliştirildi.
- Yeni Mistik Keşif Etkinliği: Mistik Zarları kullanarak ilerleyip nanomateryal ve plan kazan!
-Yeni Ay Yılın"&amp;"da Yeni Etkinlikler:
- Havai Fişek Gösterisi: Etkinliğe katıl, havai fişek fırlatarak Yeni Yıla özel meclis becerisini ve diğer muhteşem ödülleri kap!
- Şanslı Koi: Etkinlik boyunca her gün Şanslı Fenerler çizerek etkinliğin son gününde Şanslı Koi seçilme"&amp;" ve BÜYÜK ÖDÜLÜ alma şansını yakala.
- Aslan Dansı: Etkinlik seviyeni yükselterek ""Uğurlu Bulutlar"" adlı yeni sefer etkisini kazanma şansı elde et!
- Yıl Canavarını Avla: Yıl Canavarı yine ortalığı karıştırmaya başladı. Canavarı yenerek ödülleri kap!
- "&amp;"Bahar Selamı: Etkinlik boyunca arkadaşlarının şehirlerini ziyaret ederek veya onları şehrine davet ederek harika ödüller al!
- Kırmızı Zarflar: Aldığın Kırmızı Zarfları sohbette diğer oyuncularla paylaşabilirsin!
- Hazine Kazısı Geliştirmeleri: 30 yeni aş"&amp;"ama ve ödül olarak efsanevi savaşçı madalyaları eklendi, mevcut aşamaların zorluğu düşürüldü, sohbet ve sıralama özellikleri eklendi, bazı menülerin kullanımı kolaylaştırıldı.
- Şehir Düzenleyici Geliştirmeleri: Öneriler, beğeni liderlik tablosu, toplu iş"&amp;"lem özelliği eklendi ve birtakım eylemler geliştirildi.
- Bariyer Gigantosu Geliştirmeleri: Yeni bir çete liderlik tablosu ve toplu saldırı hazırlık prosedürü eklendi, eylemler ve stratejiler geliştirildi.
- Mutant Operasyonu Geliştirmeleri: Uluyan Mutant"&amp;" adlı yeni bir düşman eklendi, zorluk düzeyi değiştirildi, çatışma hızı ve güçlendirici seçenekleri geliştirildi.
- Alvin'in Hazine Avı Geliştirmeleri: Bazı aşamaların sunduğu deneyim daha iyi hâle getirildi, Harikalar Dükkânının üzerindeki giriş düğmesi "&amp;"kaldırıldı.
- Özel İndirim Geliştirmeleri: Yeni bir haftalık paket eklendi ve bazı menüler geliştirildi.
- Menü Geliştirmeleri: Arkadaşlar menüsü, Liderlik Tablosu menüsü ve harita geliştirildi. Ayrıca haritaya oklar eklendi, ekipmanı otomatik demonte etm"&amp;"e seçenekleri ve haritada arama yapma seçeneği geliştirildi.
")</f>
        <v>- Yeni Savaşçı: Vahşi Maymunların ünlü lideri, Çorak Toprakların Efendisi Derick! Duvar Kırıcılara liderlik etmekte usta olan ilk savaşçı olarak oyunculara yepyeni bir deneyim sunacak.
- Yeni Savaşçı Heykelleri: Fiona, Bazell, Dejenere Dave ve Clark Kardeşlerin heykelleri tamamlandı! Savaşçıların çift yeteneklerini elde ederek heykellerin kilidini açabilirsin!
- Yeni Kale Yarışı Etkinliği: Etkinlik sırasında kaleyi olabildiğince kısa sürede ele geçirme yarışında diğer maymunlarla mücadele et!
- Yeni Devriye Özelliği: Artık kuvvetlerini rota üzerindeki tarafsız birimlere veya düşman birliklerine otomatik olarak saldırmak üzere devriyeye gönderebilirsin!
- Yeni Goril Geçmişi Açılır Penceresi: Kilit noktaların gelişimini öğrenmek artık hiç olmadığı kadar kolay!
- Yeni Onur Savaş Bileti: Görevleri tamamlayarak Biletinin seviyesini ve askerî rütbeni artırabilirsin. Onur görevleri de artık geliştirildi.
- Yeni Mistik Keşif Etkinliği: Mistik Zarları kullanarak ilerleyip nanomateryal ve plan kazan!
-Yeni Ay Yılında Yeni Etkinlikler:
- Havai Fişek Gösterisi: Etkinliğe katıl, havai fişek fırlatarak Yeni Yıla özel meclis becerisini ve diğer muhteşem ödülleri kap!
- Şanslı Koi: Etkinlik boyunca her gün Şanslı Fenerler çizerek etkinliğin son gününde Şanslı Koi seçilme ve BÜYÜK ÖDÜLÜ alma şansını yakala.
- Aslan Dansı: Etkinlik seviyeni yükselterek "Uğurlu Bulutlar" adlı yeni sefer etkisini kazanma şansı elde et!
- Yıl Canavarını Avla: Yıl Canavarı yine ortalığı karıştırmaya başladı. Canavarı yenerek ödülleri kap!
- Bahar Selamı: Etkinlik boyunca arkadaşlarının şehirlerini ziyaret ederek veya onları şehrine davet ederek harika ödüller al!
- Kırmızı Zarflar: Aldığın Kırmızı Zarfları sohbette diğer oyuncularla paylaşabilirsin!
- Hazine Kazısı Geliştirmeleri: 30 yeni aşama ve ödül olarak efsanevi savaşçı madalyaları eklendi, mevcut aşamaların zorluğu düşürüldü, sohbet ve sıralama özellikleri eklendi, bazı menülerin kullanımı kolaylaştırıldı.
- Şehir Düzenleyici Geliştirmeleri: Öneriler, beğeni liderlik tablosu, toplu işlem özelliği eklendi ve birtakım eylemler geliştirildi.
- Bariyer Gigantosu Geliştirmeleri: Yeni bir çete liderlik tablosu ve toplu saldırı hazırlık prosedürü eklendi, eylemler ve stratejiler geliştirildi.
- Mutant Operasyonu Geliştirmeleri: Uluyan Mutant adlı yeni bir düşman eklendi, zorluk düzeyi değiştirildi, çatışma hızı ve güçlendirici seçenekleri geliştirildi.
- Alvin'in Hazine Avı Geliştirmeleri: Bazı aşamaların sunduğu deneyim daha iyi hâle getirildi, Harikalar Dükkânının üzerindeki giriş düğmesi kaldırıldı.
- Özel İndirim Geliştirmeleri: Yeni bir haftalık paket eklendi ve bazı menüler geliştirildi.
- Menü Geliştirmeleri: Arkadaşlar menüsü, Liderlik Tablosu menüsü ve harita geliştirildi. Ayrıca haritaya oklar eklendi, ekipmanı otomatik demonte etme seçenekleri ve haritada arama yapma seçeneği geliştirildi.
</v>
      </c>
      <c r="M34" s="148" t="str">
        <f>IFERROR(__xludf.DUMMYFUNCTION("""COMPUTED_VALUE"""),"- Chiến Binh mới: Chúa Tể Hoang Dã - Derrick, thủ lĩnh của bầy khỉ hoang dã được mọi người mong đợi và không phụ sứ mệnh! Chiến Binh đầu tiên sở trường dẫn đầu Lính Phá Thành chiến đấu, mang lại trải nghiệm chiến đấu hoàn toàn mới. 
- Tượng Chiến Binh mới"&amp;": Tượng Thần của Fiona, Bazell, Dave-Hạng-D, Anh Em Nhà Clark đã chế tạo xong, thông qua đạt đến Chiến Binh 2 Kỹ Năng để mở khóa! 
- Sự kiện Cuộc Đua Pháo Đài mới: Trong thời gian sự kiện, ghép cặp chiến đấu với những chiến binh khỉ khác, dùng thời gian n"&amp;"hanh nhất chiếm đóng Pháo Đài đi! 
- Thêm tính năng quân đội tuần tra: Hiện tại bạn có thể phái binh lính tự động tấn công đơn vị trung lập hoặc binh lính phe địch trên đường tuần tra! 
- Thêm cửa sổ bật lên của Lịch Sử Khỉ Đột: Bạn có thể nắm bắt rõ ràng"&amp;" hơn mọi điểm mấu chốt trong quá trình phát triển của thế giới! 
- Thêm Thẻ Thông Hành Chiến Lệnh Vinh Dự: Hoàn thành nhiệm vụ có thể nhận được EXP Thẻ Thông Hành, và đồng thời nâng cao Huy Hiệu, tối ưu hóa loại Nhiệm Vụ Vinh Dự. 
- Thêm sự kiện Thám Hiểm"&amp;" Bí Cảnh: Bạn có thể tiến về phía trước dưới sự chỉ dẫn của Xúc Xắc Bí Cảnh, nhận được những phần thưởng xa xỉ như nguyên liệu nano, Bản Vẽ Trang Bị! 
- Thêm sự kiện chuỗi Tết: 
- Tiếng Pháo: Tham gia sự kiện, đốt pháo năm mới, giành được trang phục tòa t"&amp;"hị chính giới hạn Tết và các phần thưởng phong phú khác! 
- Cá Koi Chúc Phúc: Trong thời gian sự kiện, hàng ngày có thể vẽ Đèn Lồng Phúc Vận, ngày cuối cùng sự kiện có cơ hội được chọn trở thành Cá Koi May Mắn, nhận được thưởng lớn siêu may mắn!
- Lễ Hội "&amp;"Múa Lân: Nâng cao cấp độ sự kiện, có cơ hội nhận được giao diện hành quân - Mây Ngũ Sắc hoàn toàn mới!
- Vây Bắt Niên Thú: Niên Thú lại xuất hiện làm loạn, tấn công Niên Thú có thể nhận được phần thưởng điểm! 
- Đón Xuân Thăm Bạn: Trong thời gian sự kiện,"&amp;" ghé thăm thành phố của bạn bè hoặc mời bạn bè ghé thăm thành phố của bản thân, có thể nhận được phần thưởng phong phú! 
- Tính năng Lì Xì: Sau khi nhận được vật phẩm Lì Xì có thể chọn kênh chat để phát Lì Xì cho người chơi trong kênh! 
- Tối ưu hóa Tìm K"&amp;"ho Báu Dưới Đất: Thêm 30 Cửa Ải và Quặng của Huy Hiệu Chiến Binh Huyền Thoại; Giảm bớt độ khó Cửa Ải hiện tại; Mở tính năng Chat và Bảng Xếp Hạng, và tối ưu hóa một số tương tác giao diện và thể hiện. 
- Tối ưu hóa tính năng Chỉnh Sửa Thành Phố: Thêm Chín"&amp;"h Thức Đề Cử, Bảng Xếp Hạng Thích cùng với tính năng thao tác hàng loạt, tối ưu hóa một số trải nghiệm thao tác. 
- Tối ưu hóa Rào Cản Vượn Khổng Lồ: Thêm Bảng Xếp Hạng Bang Hội, thêm quy trình chuẩn bị tập hợp, tối ưu hóa thao tác và trải nghiệm chiến lư"&amp;"ợc. 
- Tối ưu hóa Vây Quét Khỉ Đột Biến: Thêm Boss Kẻ Gào Thét Đột Biến, đặt lại độ khó khiêu chiến, tối ưu hóa nhịp độ chiến đấu và loại hiệu ứng có lợi có thể lựa chọn. 
- Tối ưu hóa Săn Kho Báu của Alvin: Tối ưu hóa một số trải nghiệm Cửa Ải; Xóa nút v"&amp;"ào trên Trung Tâm Thương Mại Kỳ Thú. 
- Tối ưu hóa Ưu Đãi Giảm Giá: Thêm Gói Tuần, tối ưu hóa hiệu quả giao diện. 
- Tối ưu hóa giao diện và trải nghiệm: Tối ưu hóa giao diện Bạn Bè, Bảng Xếp Hạng, giao diện góc nhìn cao thể hiện trong bản đồ lớn; Thêm tí"&amp;"nh năng mũi tên bản đồ, tối ưu hóa cài đặt tùy chọn cho tự động tháo rời trang bị và trải nghiệm tính năng tìm kiếm bản đồ.")</f>
        <v>- Chiến Binh mới: Chúa Tể Hoang Dã - Derrick, thủ lĩnh của bầy khỉ hoang dã được mọi người mong đợi và không phụ sứ mệnh! Chiến Binh đầu tiên sở trường dẫn đầu Lính Phá Thành chiến đấu, mang lại trải nghiệm chiến đấu hoàn toàn mới. 
- Tượng Chiến Binh mới: Tượng Thần của Fiona, Bazell, Dave-Hạng-D, Anh Em Nhà Clark đã chế tạo xong, thông qua đạt đến Chiến Binh 2 Kỹ Năng để mở khóa! 
- Sự kiện Cuộc Đua Pháo Đài mới: Trong thời gian sự kiện, ghép cặp chiến đấu với những chiến binh khỉ khác, dùng thời gian nhanh nhất chiếm đóng Pháo Đài đi! 
- Thêm tính năng quân đội tuần tra: Hiện tại bạn có thể phái binh lính tự động tấn công đơn vị trung lập hoặc binh lính phe địch trên đường tuần tra! 
- Thêm cửa sổ bật lên của Lịch Sử Khỉ Đột: Bạn có thể nắm bắt rõ ràng hơn mọi điểm mấu chốt trong quá trình phát triển của thế giới! 
- Thêm Thẻ Thông Hành Chiến Lệnh Vinh Dự: Hoàn thành nhiệm vụ có thể nhận được EXP Thẻ Thông Hành, và đồng thời nâng cao Huy Hiệu, tối ưu hóa loại Nhiệm Vụ Vinh Dự. 
- Thêm sự kiện Thám Hiểm Bí Cảnh: Bạn có thể tiến về phía trước dưới sự chỉ dẫn của Xúc Xắc Bí Cảnh, nhận được những phần thưởng xa xỉ như nguyên liệu nano, Bản Vẽ Trang Bị! 
- Thêm sự kiện chuỗi Tết: 
- Tiếng Pháo: Tham gia sự kiện, đốt pháo năm mới, giành được trang phục tòa thị chính giới hạn Tết và các phần thưởng phong phú khác! 
- Cá Koi Chúc Phúc: Trong thời gian sự kiện, hàng ngày có thể vẽ Đèn Lồng Phúc Vận, ngày cuối cùng sự kiện có cơ hội được chọn trở thành Cá Koi May Mắn, nhận được thưởng lớn siêu may mắn!
- Lễ Hội Múa Lân: Nâng cao cấp độ sự kiện, có cơ hội nhận được giao diện hành quân - Mây Ngũ Sắc hoàn toàn mới!
- Vây Bắt Niên Thú: Niên Thú lại xuất hiện làm loạn, tấn công Niên Thú có thể nhận được phần thưởng điểm! 
- Đón Xuân Thăm Bạn: Trong thời gian sự kiện, ghé thăm thành phố của bạn bè hoặc mời bạn bè ghé thăm thành phố của bản thân, có thể nhận được phần thưởng phong phú! 
- Tính năng Lì Xì: Sau khi nhận được vật phẩm Lì Xì có thể chọn kênh chat để phát Lì Xì cho người chơi trong kênh! 
- Tối ưu hóa Tìm Kho Báu Dưới Đất: Thêm 30 Cửa Ải và Quặng của Huy Hiệu Chiến Binh Huyền Thoại; Giảm bớt độ khó Cửa Ải hiện tại; Mở tính năng Chat và Bảng Xếp Hạng, và tối ưu hóa một số tương tác giao diện và thể hiện. 
- Tối ưu hóa tính năng Chỉnh Sửa Thành Phố: Thêm Chính Thức Đề Cử, Bảng Xếp Hạng Thích cùng với tính năng thao tác hàng loạt, tối ưu hóa một số trải nghiệm thao tác. 
- Tối ưu hóa Rào Cản Vượn Khổng Lồ: Thêm Bảng Xếp Hạng Bang Hội, thêm quy trình chuẩn bị tập hợp, tối ưu hóa thao tác và trải nghiệm chiến lược. 
- Tối ưu hóa Vây Quét Khỉ Đột Biến: Thêm Boss Kẻ Gào Thét Đột Biến, đặt lại độ khó khiêu chiến, tối ưu hóa nhịp độ chiến đấu và loại hiệu ứng có lợi có thể lựa chọn. 
- Tối ưu hóa Săn Kho Báu của Alvin: Tối ưu hóa một số trải nghiệm Cửa Ải; Xóa nút vào trên Trung Tâm Thương Mại Kỳ Thú. 
- Tối ưu hóa Ưu Đãi Giảm Giá: Thêm Gói Tuần, tối ưu hóa hiệu quả giao diện. 
- Tối ưu hóa giao diện và trải nghiệm: Tối ưu hóa giao diện Bạn Bè, Bảng Xếp Hạng, giao diện góc nhìn cao thể hiện trong bản đồ lớn; Thêm tính năng mũi tên bản đồ, tối ưu hóa cài đặt tùy chọn cho tự động tháo rời trang bị và trải nghiệm tính năng tìm kiếm bản đồ.</v>
      </c>
      <c r="N34" s="108" t="str">
        <f>IFERROR(__xludf.DUMMYFUNCTION("""COMPUTED_VALUE"""),"- Nuovo Combattente: il Barone delle Terre selvagge, Derrick, un noto leader delle Scimmie selvagge che sarà all'altezza della sua reputazione! È il primo Combattente che eccelle nella guida degli Infrangimura e ti garantirà nuove esperienze di gioco!
- N"&amp;"uove statue dei Combattenti: le statue di Fiona, Bazell, Dave lo Scellerato e i Fratelli Clark sono state completate! Ottieni il doppio dei loro Talenti per sbloccarle!
- Nuovo evento Gara della fortezza: sfida altre scimmie durante l'evento per conquista"&amp;"re la fortezza il più velocemente possibile!
- Nuova funzione di ronda: ora puoi inviare forze ad attaccare automaticamente le unità neutrali o i nemici lungo il percorso della tua ronda!
- Nuovo popup della Storia dei gorilla: ora è ancora più semplice a"&amp;"pprendere gli sviluppi di ogni momento chiave.
- Nuovo Pass battaglia dell'Onore: completa le missioni per far salire di livello il tuo Pass e il tuo grado militare. Abbiamo anche migliorato le missioni Onore.
- Nuovo evento Esplorazione mistica: usa il D"&amp;"ado mistico per avanzare e ottenere Nanomateriale e Progetti!
- Nuovi eventi per il nuovo anno lunare:
- Scroscio di petardi: partecipa all'evento e accendi i Petardi per ottenere l'aspetto esclusivo del Municipio dell'Anno nuovo e altre fantastiche ricom"&amp;"pense!
- Koi fortunato: estrai Lanterne della fortuna ogni giorno durante l'evento per una possibilità di venire selezionato come Koi fortunato l'ultimo giorno dell'evento e ottenere il GRAN PREMIO!
- Danza del leone: fai salire il livello dell'evento per"&amp;" una possibilità di ottenere il nuovo effetto di marcia Nuvole propizie!
- Caccia alla Bestia dell'anno: la Bestia dell'anno è tornata a seminare il caos. Sconfiggila e ottieni le ricompense!
- Auguri di primavera: visita le città dei tuoi amici o invital"&amp;"i da te durante l'evento per ottenere strepitose ricompense!
- Buste rosse: condividi le Buste rosse che ottieni con altri giocatori nella chat!
- Miglioramenti allo Scavo di tesori: abbiamo aggiunto 30 fasi e medaglie di Combattenti leggendari come ricom"&amp;"pensa; abbiamo ridotto la difficoltà delle fasi correnti, aggiunto funzioni di chat e grado e migliorato l'interazione in alcuni menu.
- Miglioramenti dell'Editor della città: abbiamo aggiunto raccomandazioni, una classifica dei Mi piace, una funzione di "&amp;"operazioni in batch e migliorato alcune azioni.
- Miglioramenti ai Gigagorilla ostruttori: abbiamo aggiunto una nuova classifica delle Gang, una procedura di preparazione alle adunate e migliorato azioni e strategie.
- Miglioramenti a Operazione Mutanti: "&amp;"abbiamo aggiunto un nuovo Boss, l'Urlatore Mutante, modificato la difficoltà e migliorato il ritmo di battaglia e le selezioni di benefici.
- Miglioramenti alla Caccia ai tesori di Alvin: abbiamo migliorato l'esperienza di gioco di alcuni livelli e rimoss"&amp;"o il pulsante di accesso sopra l'Emporio delle meraviglie.
- Miglioramenti allo Sconto speciale: abbiamo aggiunto un nuovo pacchetto settimanale e migliorato alcuni menu.
- Miglioramenti ai menu: abbiamo ottimizzato i menu Amici e Classifica, oltre alla m"&amp;"appa. Inoltre, abbiamo aggiunto frecce alla mappa e migliorato le opzioni disponibili per lo smontaggio automatico di equipaggiamento e la ricerca sulla mappa.")</f>
        <v>- Nuovo Combattente: il Barone delle Terre selvagge, Derrick, un noto leader delle Scimmie selvagge che sarà all'altezza della sua reputazione! È il primo Combattente che eccelle nella guida degli Infrangimura e ti garantirà nuove esperienze di gioco!
- Nuove statue dei Combattenti: le statue di Fiona, Bazell, Dave lo Scellerato e i Fratelli Clark sono state completate! Ottieni il doppio dei loro Talenti per sbloccarle!
- Nuovo evento Gara della fortezza: sfida altre scimmie durante l'evento per conquistare la fortezza il più velocemente possibile!
- Nuova funzione di ronda: ora puoi inviare forze ad attaccare automaticamente le unità neutrali o i nemici lungo il percorso della tua ronda!
- Nuovo popup della Storia dei gorilla: ora è ancora più semplice apprendere gli sviluppi di ogni momento chiave.
- Nuovo Pass battaglia dell'Onore: completa le missioni per far salire di livello il tuo Pass e il tuo grado militare. Abbiamo anche migliorato le missioni Onore.
- Nuovo evento Esplorazione mistica: usa il Dado mistico per avanzare e ottenere Nanomateriale e Progetti!
- Nuovi eventi per il nuovo anno lunare:
- Scroscio di petardi: partecipa all'evento e accendi i Petardi per ottenere l'aspetto esclusivo del Municipio dell'Anno nuovo e altre fantastiche ricompense!
- Koi fortunato: estrai Lanterne della fortuna ogni giorno durante l'evento per una possibilità di venire selezionato come Koi fortunato l'ultimo giorno dell'evento e ottenere il GRAN PREMIO!
- Danza del leone: fai salire il livello dell'evento per una possibilità di ottenere il nuovo effetto di marcia Nuvole propizie!
- Caccia alla Bestia dell'anno: la Bestia dell'anno è tornata a seminare il caos. Sconfiggila e ottieni le ricompense!
- Auguri di primavera: visita le città dei tuoi amici o invitali da te durante l'evento per ottenere strepitose ricompense!
- Buste rosse: condividi le Buste rosse che ottieni con altri giocatori nella chat!
- Miglioramenti allo Scavo di tesori: abbiamo aggiunto 30 fasi e medaglie di Combattenti leggendari come ricompensa; abbiamo ridotto la difficoltà delle fasi correnti, aggiunto funzioni di chat e grado e migliorato l'interazione in alcuni menu.
- Miglioramenti dell'Editor della città: abbiamo aggiunto raccomandazioni, una classifica dei Mi piace, una funzione di operazioni in batch e migliorato alcune azioni.
- Miglioramenti ai Gigagorilla ostruttori: abbiamo aggiunto una nuova classifica delle Gang, una procedura di preparazione alle adunate e migliorato azioni e strategie.
- Miglioramenti a Operazione Mutanti: abbiamo aggiunto un nuovo Boss, l'Urlatore Mutante, modificato la difficoltà e migliorato il ritmo di battaglia e le selezioni di benefici.
- Miglioramenti alla Caccia ai tesori di Alvin: abbiamo migliorato l'esperienza di gioco di alcuni livelli e rimosso il pulsante di accesso sopra l'Emporio delle meraviglie.
- Miglioramenti allo Sconto speciale: abbiamo aggiunto un nuovo pacchetto settimanale e migliorato alcuni menu.
- Miglioramenti ai menu: abbiamo ottimizzato i menu Amici e Classifica, oltre alla mappa. Inoltre, abbiamo aggiunto frecce alla mappa e migliorato le opzioni disponibili per lo smontaggio automatico di equipaggiamento e la ricerca sulla mappa.</v>
      </c>
      <c r="O34" s="168" t="str">
        <f>IFERROR(__xludf.DUMMYFUNCTION("""COMPUTED_VALUE"""),"- Nowy Wojownik: Derick, baron z Dzikiej Krainy i popularny przywódca dzikich małp, w pełni zasługuje na swą reputację! To pierwszy wojownik wprawiony w prowadzeniu Burzycieli, wprowadza zupełnie nową jakość gry.
 - Nowe Pomniki Wojowników: Fiona, Bazyli,"&amp;" Dave D-Generat i Bracia Clark mają już ukończone pomniki! Zdobądź ich podwójne umiejętności talentów, aby ich odblokować!
 - Nowy Wyścig Fortecy: stań do wyścigu z innymi małpami, starając się zdobyć fortecę, zanim zrobią to inni!
 - Nowa funkcja patrolu"&amp;": możesz teraz wysyłać oddziały, które będą automatycznie atakować wrogie i neutralne jednostki napotkane na trasie patrolu!
 - Nowe okno podręczne z Historią Goryli: teraz można o wiele łatwiej poznać historię rozwoju każdego z kluczowych węzłów.
 - Nowa"&amp;" honorowa przepustka bojowa: wykonuj zadania, aby podnosić poziom swojej przepustki i swoją rangę wojskową. Ulepszyliśmy też zadania honorowe.
 - Nowe wydarzenie Mistyczna Eksploracja: używaj Mistycznych kostek, aby posuwać się naprzód i zdobywać nanomate"&amp;"riały i plany techniczne!
 - Nowe wydarzenia na nowy rok księżycowy:
 - Petardy: weź udział w tym wydarzeniu i odpalaj petardy, aby zdobyć wyjątkową skórkę noworocznego ratusza i inne cenne nagrody!
 - Loteria Koi: codziennie losuj latarnie, by mieć szans"&amp;"ę zdobycia tytułu Koi i NAGRODY GŁÓWNEJ w ostatnim dniu loterii!
 - Lwi taniec: podnieś poziom wydarzenia, aby móc zdobyć nowy efekt działający w trakcie marszu: Pomyślne wiatry!
 - Polowanie na Bestię Noworoczną: Bestia Noworoczna wróciła i znowu szaleje"&amp;". Pokonaj ją, by zdobyć nagrody!
 - Wiosenne pozdrowienia: odwiedź miasto znajomych lub zaproś ich do siebie w trakcie wydarzenia, aby zdobyć wspaniałe nagrody!
 - Czerwone koperty: otrzymane czerwone koperty możesz przekazywać innym graczom w oknie czatu"&amp;"!
 - Ulepszenia w Poszukiwaniu skarbów: dodano 30 etapów i legendarne medale wojownika jako nagrody, obniżono poziom trudności obecnych etapów, dodano funkcje czatu i rangi oraz ulepszono sposób działania niektórych menu.
 - Ulepszony edytor miast: dodano"&amp;" rekomendacje, tablicę wyników, funkcję jednoczesnego (grupowego) wykonywania wielu operacji i ulepszono niektóre działania.
 - Ulepszenia blokady drogowej Gigamałpy: dodano nową tablicę wyników gangów i procedurę przygotowań do zgrupowania oraz ulepszono"&amp;" pewne działania i strategie.
 - Ulepszenia Operacji Mutanty: dodano nowego bossa, Mutanta wyjca, zmodyfikowano poziom trudności i ulepszono wybór tempa walki i wzmocnień.
 - Ulepszenia w Poszukiwaniu skarbów Alvina: poprawiono wygodę obsługi pewnych etap"&amp;"ów i usunięto przycisk wejścia nad Składem cudów.
 - Ulepszenia w Ofercie rabatowej: dodano pakiet tygodniowy i ulepszono niektóre menu.
 - Poprawki w menu: ulepszono menu Znajomi i Tablica wyników oraz mapę. Dodano też strzałki na mapie i ulepszono dostę"&amp;"pne opcje automatycznego demontażu sprzętu i wyszukiwania na mapie.")</f>
        <v>- Nowy Wojownik: Derick, baron z Dzikiej Krainy i popularny przywódca dzikich małp, w pełni zasługuje na swą reputację! To pierwszy wojownik wprawiony w prowadzeniu Burzycieli, wprowadza zupełnie nową jakość gry.
 - Nowe Pomniki Wojowników: Fiona, Bazyli, Dave D-Generat i Bracia Clark mają już ukończone pomniki! Zdobądź ich podwójne umiejętności talentów, aby ich odblokować!
 - Nowy Wyścig Fortecy: stań do wyścigu z innymi małpami, starając się zdobyć fortecę, zanim zrobią to inni!
 - Nowa funkcja patrolu: możesz teraz wysyłać oddziały, które będą automatycznie atakować wrogie i neutralne jednostki napotkane na trasie patrolu!
 - Nowe okno podręczne z Historią Goryli: teraz można o wiele łatwiej poznać historię rozwoju każdego z kluczowych węzłów.
 - Nowa honorowa przepustka bojowa: wykonuj zadania, aby podnosić poziom swojej przepustki i swoją rangę wojskową. Ulepszyliśmy też zadania honorowe.
 - Nowe wydarzenie Mistyczna Eksploracja: używaj Mistycznych kostek, aby posuwać się naprzód i zdobywać nanomateriały i plany techniczne!
 - Nowe wydarzenia na nowy rok księżycowy:
 - Petardy: weź udział w tym wydarzeniu i odpalaj petardy, aby zdobyć wyjątkową skórkę noworocznego ratusza i inne cenne nagrody!
 - Loteria Koi: codziennie losuj latarnie, by mieć szansę zdobycia tytułu Koi i NAGRODY GŁÓWNEJ w ostatnim dniu loterii!
 - Lwi taniec: podnieś poziom wydarzenia, aby móc zdobyć nowy efekt działający w trakcie marszu: Pomyślne wiatry!
 - Polowanie na Bestię Noworoczną: Bestia Noworoczna wróciła i znowu szaleje. Pokonaj ją, by zdobyć nagrody!
 - Wiosenne pozdrowienia: odwiedź miasto znajomych lub zaproś ich do siebie w trakcie wydarzenia, aby zdobyć wspaniałe nagrody!
 - Czerwone koperty: otrzymane czerwone koperty możesz przekazywać innym graczom w oknie czatu!
 - Ulepszenia w Poszukiwaniu skarbów: dodano 30 etapów i legendarne medale wojownika jako nagrody, obniżono poziom trudności obecnych etapów, dodano funkcje czatu i rangi oraz ulepszono sposób działania niektórych menu.
 - Ulepszony edytor miast: dodano rekomendacje, tablicę wyników, funkcję jednoczesnego (grupowego) wykonywania wielu operacji i ulepszono niektóre działania.
 - Ulepszenia blokady drogowej Gigamałpy: dodano nową tablicę wyników gangów i procedurę przygotowań do zgrupowania oraz ulepszono pewne działania i strategie.
 - Ulepszenia Operacji Mutanty: dodano nowego bossa, Mutanta wyjca, zmodyfikowano poziom trudności i ulepszono wybór tempa walki i wzmocnień.
 - Ulepszenia w Poszukiwaniu skarbów Alvina: poprawiono wygodę obsługi pewnych etapów i usunięto przycisk wejścia nad Składem cudów.
 - Ulepszenia w Ofercie rabatowej: dodano pakiet tygodniowy i ulepszono niektóre menu.
 - Poprawki w menu: ulepszono menu Znajomi i Tablica wyników oraz mapę. Dodano też strzałki na mapie i ulepszono dostępne opcje automatycznego demontażu sprzętu i wyszukiwania na mapie.</v>
      </c>
      <c r="P34" s="148" t="str">
        <f>IFERROR(__xludf.DUMMYFUNCTION("""COMPUTED_VALUE"""),"- مقاتل جديد: بارون الأرض البرية، ديريك، زعيم شعبي للقرود البرية الذي يرقى إلى مستوى سمعته! هذا المقاتل الأول الذي يتفوق في قيادة كسارات الجدران سيجلب معه تجربة قتالية جديدة تمامًا.
  - تماثيل مقاتل جديدة: تم الانتهاء من تماثيل فيونا وبازيل والمولد ديف وا"&amp;"لأخوان كلارك! اكسب مواهبهم المزدوجة لفتحهم!
  - حدث سباق الحصن الجديد: قم بمبارزة القرود الأخرى خلال الحدث واسعى لغزو الحصن بأسرع ما يمكن!
  - ميزة الدورية جديدة: يمكنك الآن إرسال قوات لمهاجمة الوحدات المحايدة أو الأعداء تلقائيًا على طول المسار الذي يقومو"&amp;"ن بدورياتهم!
  - نافذة جديدة لتاريخ الغوريلا: أصبح الآن من السهل أكثر من أي وقت مضى التعرف على تطور كل عقدة رئيسية.
  - تصريح معركة شرف جديدة: أكمل المهام لترفع التصريح الخاص بك ورتبتك العسكرية. لقد قمنا أيضًا بتحسين مهام الشرف.
  - حدث الاستكشاف الغامض ج"&amp;"ديد: استخدم النرد الغامض للتقدم وكسب المخططات والمواد النانوية!
  - أحداث السنة القمرية الجديدة:
  - زخر المفرقعات النارية: شارك في الحدث وأطلق المفرقعات النارية لكسب مهارة حصرية في قاعة المدينة للعام الجديد ومكافآت رائعة أخرى!
  - سعيد الحظ كوي: اسحب فوا"&amp;"نيس الحظ كل يوم خلال الحدث للحصول على فرصة أن يتم اختيار سعيد الحظ كوي في اليوم الأخير من الحدث والفوز بالجائزة الكبرى!
  - رقصة الأسد: ارفع مستوى الحدث الخاص بك للحصول على فرصة لكسب تأثير المسيرة الجديد: السحب السعيدة!
  - اصطياد وحش السنة: عاد وحش السنة"&amp;" مجددًا ليثير المتاعب مرة أخرى. اهزمه واكسب المكافآت!
  - تحيات الربيع: قم بزيارة مدينة أصدقائك أو ادعهم إلى مدينتك أثناء الحدث لكسب مكافآت رائعة!
  - المغلفات الحمراء: يمكنك مشاركة المغلفات الحمراء التي تحصل عليها مع لاعبين آخرين في الدردشة!
  - تحسينات "&amp;"حفر الكنوز: لقد أضفنا 30 مرحلة وميدالية أسطورية للمقاتلين كمكافآت؛ تم تقليل صعوبة المراحل الحالية؛ وإضافة ميزات الدردشة والتصنيف وتحسين التفاعل بين بعض القوائم.
  - تم تحسين تعديل المدينة: لقد أضفنا توصيات، مثل لوحة التصنيفات، وميزة التشغيل دفعة واحدة، وت"&amp;"حسين بعض الإجراءات.
  - تحسينات القرد العملاق حاجز الطريق: لقد أضفنا لوحة تصنيفات جديدة للعصابة، وإجراء التحضير للحشد، وتحسين الإجراءات والاستراتيجيات.
  - تحسينات عملية المسوخ: لقد أضفنا زعيمًا جديدًا، هو مسخ العواء، وقمنا بتجديد الصعوبة، وتحسين سرعة الق"&amp;"تال والتحديدات القوية.
  - تحسينات البحث عن كنز ألفين الخاصة: لقد قمنا بتحسين تجربة بعض المراحل وإزالة زر الدخول فوق معرض العجائب.
  - تحسينات الخصم الخاص: تمت إضافة باقة أسبوعية جديدة وتحسين بعض القوائم.
  - تحسينات القائمة: لقد قمنا بتحسين قوائم الأصدقا"&amp;"ء ولوحة التصنيفات بالإضافة إلى الخريطة. لقد أضفنا أيضًا أسهمًا إلى الخريطة، وقمنا بتحسين الخيارات المتاحة للتفكيك التلقائي للمعدات وعمليات البحث على الخريطة.")</f>
        <v>- مقاتل جديد: بارون الأرض البرية، ديريك، زعيم شعبي للقرود البرية الذي يرقى إلى مستوى سمعته! هذا المقاتل الأول الذي يتفوق في قيادة كسارات الجدران سيجلب معه تجربة قتالية جديدة تمامًا.
  - تماثيل مقاتل جديدة: تم الانتهاء من تماثيل فيونا وبازيل والمولد ديف والأخوان كلارك! اكسب مواهبهم المزدوجة لفتحهم!
  - حدث سباق الحصن الجديد: قم بمبارزة القرود الأخرى خلال الحدث واسعى لغزو الحصن بأسرع ما يمكن!
  - ميزة الدورية جديدة: يمكنك الآن إرسال قوات لمهاجمة الوحدات المحايدة أو الأعداء تلقائيًا على طول المسار الذي يقومون بدورياتهم!
  - نافذة جديدة لتاريخ الغوريلا: أصبح الآن من السهل أكثر من أي وقت مضى التعرف على تطور كل عقدة رئيسية.
  - تصريح معركة شرف جديدة: أكمل المهام لترفع التصريح الخاص بك ورتبتك العسكرية. لقد قمنا أيضًا بتحسين مهام الشرف.
  - حدث الاستكشاف الغامض جديد: استخدم النرد الغامض للتقدم وكسب المخططات والمواد النانوية!
  - أحداث السنة القمرية الجديدة:
  - زخر المفرقعات النارية: شارك في الحدث وأطلق المفرقعات النارية لكسب مهارة حصرية في قاعة المدينة للعام الجديد ومكافآت رائعة أخرى!
  - سعيد الحظ كوي: اسحب فوانيس الحظ كل يوم خلال الحدث للحصول على فرصة أن يتم اختيار سعيد الحظ كوي في اليوم الأخير من الحدث والفوز بالجائزة الكبرى!
  - رقصة الأسد: ارفع مستوى الحدث الخاص بك للحصول على فرصة لكسب تأثير المسيرة الجديد: السحب السعيدة!
  - اصطياد وحش السنة: عاد وحش السنة مجددًا ليثير المتاعب مرة أخرى. اهزمه واكسب المكافآت!
  - تحيات الربيع: قم بزيارة مدينة أصدقائك أو ادعهم إلى مدينتك أثناء الحدث لكسب مكافآت رائعة!
  - المغلفات الحمراء: يمكنك مشاركة المغلفات الحمراء التي تحصل عليها مع لاعبين آخرين في الدردشة!
  - تحسينات حفر الكنوز: لقد أضفنا 30 مرحلة وميدالية أسطورية للمقاتلين كمكافآت؛ تم تقليل صعوبة المراحل الحالية؛ وإضافة ميزات الدردشة والتصنيف وتحسين التفاعل بين بعض القوائم.
  - تم تحسين تعديل المدينة: لقد أضفنا توصيات، مثل لوحة التصنيفات، وميزة التشغيل دفعة واحدة، وتحسين بعض الإجراءات.
  - تحسينات القرد العملاق حاجز الطريق: لقد أضفنا لوحة تصنيفات جديدة للعصابة، وإجراء التحضير للحشد، وتحسين الإجراءات والاستراتيجيات.
  - تحسينات عملية المسوخ: لقد أضفنا زعيمًا جديدًا، هو مسخ العواء، وقمنا بتجديد الصعوبة، وتحسين سرعة القتال والتحديدات القوية.
  - تحسينات البحث عن كنز ألفين الخاصة: لقد قمنا بتحسين تجربة بعض المراحل وإزالة زر الدخول فوق معرض العجائب.
  - تحسينات الخصم الخاص: تمت إضافة باقة أسبوعية جديدة وتحسين بعض القوائم.
  - تحسينات القائمة: لقد قمنا بتحسين قوائم الأصدقاء ولوحة التصنيفات بالإضافة إلى الخريطة. لقد أضفنا أيضًا أسهمًا إلى الخريطة، وقمنا بتحسين الخيارات المتاحة للتفكيك التلقائي للمعدات وعمليات البحث على الخريطة.</v>
      </c>
      <c r="Q34" s="148"/>
      <c r="R34" s="148"/>
      <c r="S34" s="148"/>
      <c r="T34" s="148"/>
      <c r="U34" s="148"/>
      <c r="V34" s="148"/>
      <c r="W34" s="148"/>
      <c r="X34" s="148"/>
      <c r="Y34" s="148"/>
      <c r="Z34" s="148"/>
    </row>
    <row r="35">
      <c r="A35" s="167" t="str">
        <f>IFERROR(__xludf.DUMMYFUNCTION("""COMPUTED_VALUE"""),"0.51.0")</f>
        <v>0.51.0</v>
      </c>
      <c r="B35" s="148" t="str">
        <f>IFERROR(__xludf.DUMMYFUNCTION("""COMPUTED_VALUE"""),"-新增斗士：爆裂飞车-卡尔，爱香蕉，也爱挑战极限的赛车手！香蕉战车带给卡尔强力的范围伤害！ 
-新增攻城掠地玩法： 新的帮派活动玩法，在废弃军事基地中，猿族帮派相互攻伐，收集战略积分、争夺罗兰宝藏！ 
-新增城市防卫玩法：游戏初期新玩法，合理布置军队与障碍物，阻止敌人入侵城市吧！ 
-新增战装重铸功能：重铸心仪战装的附加属性，可以锁定属性进行重铸；
-新增材料提取：可以从废弃的战装、图纸和材料中提取出[纳米材料]！ 
-新增战装锁定功能：避免对重要战装误操作造成损失。 
-新增空闲队列提示功能：玩家在有队"&amp;"列空闲时会收到提示，点击可以进入队列总览。 
-新增斗士天赋存档功能和一键使用推荐天赋功能。 
-地下探宝优化：新增英雄驻扎功能，新增，40个关卡，优化地下探宝补给商店界面，新增稀有地铁科研礼包、研究试剂礼包。 
-战装试炼场优化：新增微型铸造炉，填充铸造炉可在通关后获得额外奖励！ 
-银河战争玩法优化：遗迹建筑增加据点；调整银河战争中的基因培养皿功能，现在可以通过置换作用直接获取基因或者香蕉皮！同时对基因科技的部分节点效果进行替换，以匹配全新的基因置换功能。 
-堡垒对决优化：新增50个关卡，并优化了随"&amp;"机据点相关表现。 
-绝地试炼优化：优化了战斗结算表现。 
-战报增益显示优化：战报中可查看增益来源；重要养成线分为独立页签，可以单独对比。 
-英雄战装优化：穿戴使用优化，并增加战装仓库功能。")</f>
        <v>-新增斗士：爆裂飞车-卡尔，爱香蕉，也爱挑战极限的赛车手！香蕉战车带给卡尔强力的范围伤害！ 
-新增攻城掠地玩法： 新的帮派活动玩法，在废弃军事基地中，猿族帮派相互攻伐，收集战略积分、争夺罗兰宝藏！ 
-新增城市防卫玩法：游戏初期新玩法，合理布置军队与障碍物，阻止敌人入侵城市吧！ 
-新增战装重铸功能：重铸心仪战装的附加属性，可以锁定属性进行重铸；
-新增材料提取：可以从废弃的战装、图纸和材料中提取出[纳米材料]！ 
-新增战装锁定功能：避免对重要战装误操作造成损失。 
-新增空闲队列提示功能：玩家在有队列空闲时会收到提示，点击可以进入队列总览。 
-新增斗士天赋存档功能和一键使用推荐天赋功能。 
-地下探宝优化：新增英雄驻扎功能，新增，40个关卡，优化地下探宝补给商店界面，新增稀有地铁科研礼包、研究试剂礼包。 
-战装试炼场优化：新增微型铸造炉，填充铸造炉可在通关后获得额外奖励！ 
-银河战争玩法优化：遗迹建筑增加据点；调整银河战争中的基因培养皿功能，现在可以通过置换作用直接获取基因或者香蕉皮！同时对基因科技的部分节点效果进行替换，以匹配全新的基因置换功能。 
-堡垒对决优化：新增50个关卡，并优化了随机据点相关表现。 
-绝地试炼优化：优化了战斗结算表现。 
-战报增益显示优化：战报中可查看增益来源；重要养成线分为独立页签，可以单独对比。 
-英雄战装优化：穿戴使用优化，并增加战装仓库功能。</v>
      </c>
      <c r="C35" s="168" t="str">
        <f>IFERROR(__xludf.DUMMYFUNCTION("""COMPUTED_VALUE"""),"- New Fighter: Dynamo Speedster, Cal. He loves bananas and challenging other racers! His Banana car gives him high-damaging AoE attacks!
- Siege &amp; Plunder Mode: A new Gang event where rivaling gangs fight within an abandoned military base to earn points a"&amp;"nd claim Roland's treasures!
- City Defense Mode: A new early-game mode where you set up defenses and obstacles to prevent the enemy from invading what is yours!
- Equipment Reforging: Reforge the added attributes on your favorite equipment and lock the a"&amp;"ttributes you want to keep!
- Material Extraction: Extract [Nanomaterial] from the equipment, blueprints and materials you've not used for!
- Equipment Locking: Lock your best equipment so as to not part ways with them without meaning to!
- Idle Queue Pro"&amp;"mpt: You'll now receive notifications when you have an idle queue!
- You can now save talent setups and use recommended ones with a single tap.
- Treasure Dig Improvements: You can now add heroes to garrison; 40 new levels; Improved the supply store menu;"&amp;" added Rare Subway Research and Research Emulsion packs.
- Equipment Test Site Improvements: Added a new Mini Furnace you can fill up to earn extra rewards after a level!
- Planet Wars Improvements: Added outposts to ruin buildings; adjusted the Gene Incu"&amp;"bator, enabling you to get genes and banana peels through Gene Trades; replaced the effects of some gene research nodes; added the ability to replace genes;
- Fortress Takeover Improvements: Added 50 new levels; improved how random outposts are shown.
- I"&amp;"mpasse Trials Improvements: Optimized the battle results screen.
- Improvements to Buffs in Reports: You can now check where a buff comes from in a report; main training routes are shown in a separate tab for easier comparison.
- Hero Equipment Improvemen"&amp;"ts: Improved on how to equip and use equipment; added the ability to store equipment.")</f>
        <v>- New Fighter: Dynamo Speedster, Cal. He loves bananas and challenging other racers! His Banana car gives him high-damaging AoE attacks!
- Siege &amp; Plunder Mode: A new Gang event where rivaling gangs fight within an abandoned military base to earn points and claim Roland's treasures!
- City Defense Mode: A new early-game mode where you set up defenses and obstacles to prevent the enemy from invading what is yours!
- Equipment Reforging: Reforge the added attributes on your favorite equipment and lock the attributes you want to keep!
- Material Extraction: Extract [Nanomaterial] from the equipment, blueprints and materials you've not used for!
- Equipment Locking: Lock your best equipment so as to not part ways with them without meaning to!
- Idle Queue Prompt: You'll now receive notifications when you have an idle queue!
- You can now save talent setups and use recommended ones with a single tap.
- Treasure Dig Improvements: You can now add heroes to garrison; 40 new levels; Improved the supply store menu; added Rare Subway Research and Research Emulsion packs.
- Equipment Test Site Improvements: Added a new Mini Furnace you can fill up to earn extra rewards after a level!
- Planet Wars Improvements: Added outposts to ruin buildings; adjusted the Gene Incubator, enabling you to get genes and banana peels through Gene Trades; replaced the effects of some gene research nodes; added the ability to replace genes;
- Fortress Takeover Improvements: Added 50 new levels; improved how random outposts are shown.
- Impasse Trials Improvements: Optimized the battle results screen.
- Improvements to Buffs in Reports: You can now check where a buff comes from in a report; main training routes are shown in a separate tab for easier comparison.
- Hero Equipment Improvements: Improved on how to equip and use equipment; added the ability to store equipment.</v>
      </c>
      <c r="D35" s="168" t="str">
        <f>IFERROR(__xludf.DUMMYFUNCTION("""COMPUTED_VALUE"""),"- Nouveau combattant: Cal le pilote de course accro aux bananes et aux courses automobiles. Sa voiture-banane inflige de gros dégâts de zone!
- Mode Siège et pillage: un nouvel évènement pendant lequel les gangs s'affrontent dans une base militaire abando"&amp;"nnée pour obtenir des points et mettre la main sur les trésors de Roland.
- Mode Défense de la ville: un nouveau mode en début de jeu pendant lequel vous devrez empêcher les ennemis d'envahir votre ville en y bâtissant des défenses.
- Reforgeage: modifiez"&amp;" et verrouillez les attributs de votre équipement favori.
- Extraction de matériaux: extrayez des nanomatériaux des équipements, plans et autres matériaux que vous n'utilisez pas!
- Verrouillage d'équipement: verrouillez votre équipement afin d'être sûr d"&amp;"e ne pas le perdre par mégarde.
- Alerte file d'attente: vous recevrez une notification dès qu'une file d'attente sera disponible!
- Possibilité d'enregistrer des configurations de talents et d'utiliser facilement des recommandations.
- Trésors enfouis: p"&amp;"ossibilité d'ajouter des héros en garnison; 40 nouveaux niveaux; amélioration du menu de la boutique d'appro; ajout de la recherche de métro rare et de packs d'émulsions pour la recherche.
- Optimisation du site de test d'équipement: ajout d'un mini-fourn"&amp;"eau à remplir pour obtenir des récompenses à la fin d'un niveau!
- Guerre planétaire: ajout d'avant-postes aux bâtiments en ruines; possibilité d'obtenir des gènes et des peaux de bananes via les échanges génétiques dans l'incubateur; modification des eff"&amp;"ets de certaines recherches génétiques; possibilité de remplacer les gènes.
- Invasion de forteresse: 50 nouveaux niveaux; optimisation de l'apparition aléatoire des avant-postes.
- Epreuves de l'impasse: optimisation de l'affichage des résultats.
- Optim"&amp;"isation de l'affichage des boosts dans les rapports: possibilité d'afficher l'origine des boosts; affichage des formations dans un onglet différent pour faciliter la comparaison.
- Equipement de héros: optimisation de l'utilisation de l'équipement; possib"&amp;"ilité de stocker l'équipement.")</f>
        <v>- Nouveau combattant: Cal le pilote de course accro aux bananes et aux courses automobiles. Sa voiture-banane inflige de gros dégâts de zone!
- Mode Siège et pillage: un nouvel évènement pendant lequel les gangs s'affrontent dans une base militaire abandonnée pour obtenir des points et mettre la main sur les trésors de Roland.
- Mode Défense de la ville: un nouveau mode en début de jeu pendant lequel vous devrez empêcher les ennemis d'envahir votre ville en y bâtissant des défenses.
- Reforgeage: modifiez et verrouillez les attributs de votre équipement favori.
- Extraction de matériaux: extrayez des nanomatériaux des équipements, plans et autres matériaux que vous n'utilisez pas!
- Verrouillage d'équipement: verrouillez votre équipement afin d'être sûr de ne pas le perdre par mégarde.
- Alerte file d'attente: vous recevrez une notification dès qu'une file d'attente sera disponible!
- Possibilité d'enregistrer des configurations de talents et d'utiliser facilement des recommandations.
- Trésors enfouis: possibilité d'ajouter des héros en garnison; 40 nouveaux niveaux; amélioration du menu de la boutique d'appro; ajout de la recherche de métro rare et de packs d'émulsions pour la recherche.
- Optimisation du site de test d'équipement: ajout d'un mini-fourneau à remplir pour obtenir des récompenses à la fin d'un niveau!
- Guerre planétaire: ajout d'avant-postes aux bâtiments en ruines; possibilité d'obtenir des gènes et des peaux de bananes via les échanges génétiques dans l'incubateur; modification des effets de certaines recherches génétiques; possibilité de remplacer les gènes.
- Invasion de forteresse: 50 nouveaux niveaux; optimisation de l'apparition aléatoire des avant-postes.
- Epreuves de l'impasse: optimisation de l'affichage des résultats.
- Optimisation de l'affichage des boosts dans les rapports: possibilité d'afficher l'origine des boosts; affichage des formations dans un onglet différent pour faciliter la comparaison.
- Equipement de héros: optimisation de l'utilisation de l'équipement; possibilité de stocker l'équipement.</v>
      </c>
      <c r="E35" s="168" t="str">
        <f>IFERROR(__xludf.DUMMYFUNCTION("""COMPUTED_VALUE""")," - Neuer Fighter: Explosive Speedster, Cal. Er liebt Bananen und fordert andere Rennfahrer heraus! Sein Bananenauto führt zu hochschädlichen AoE-Angriffen!
 - Neuer Belagerungs-Plünderungsmodus: Ein neues Gang-Event, bei dem rivalisierende Banden innerhal"&amp;"b einer verlassenen Militärbasis kämpfen, um Punkte zu verdienen und Rolands Schätze einzufordern!
 - Neuer Stadtverteidigungsmodus: Ein neuer Frühspielmodus, in dem du Verteidigung und Hindernisse einrichtest, um zu verhindern, dass der Feind in das eind"&amp;"ringt, was dir gehört!
 - Ausrüstung umschmieden: Schmiede die zusätzlichen Attribute deiner Lieblingsausrüstung um und sperre die Attribute, die du behalten willst!
 - Materialextraktion: Extrahiere [Nanomaterial] aus Ausrüstung, Blaupausen und Materiali"&amp;"en, für die du keine Verwendung hast!
 - Ausrüstung sperren: Schließe deine beste Ausrüstung ab, damit du sie nicht ungewollt aus der Hand gibst!
 - Eingabeaufforderung für ungenutzte Warteschlangen: Du erhältst jetzt Benachrichtigungen, wenn du untätige "&amp;"Bauarbeiter hast!
 - Du kannst jetzt Talent-Setups speichern und empfohlene Setups mit einem einzigen Tippen verwenden.
 - Verbesserungen in der Schatzgräberei: Man kann jetzt Helden zur Garnison hinzufügen; 40 neue Levels; Verbessertes Vorratslager-Menü;"&amp;" Seltene U-Bahn-Forschung und Forschungsemulsions-Packs hinzugefügt.
 - Verbesserungen am Ausrüstungstestgelände: Es wurde ein neuer Mikroofen hinzugefügt, den du füllen kannst, um nach einem Level zusätzliche Belohnungen zu erhalten!
 - Planet Wars Verbe"&amp;"sserungen: Hinzufügen von Außenposten, um Gebäude zu zerstören; Anpassung des Gen-Inkubators, um Gene und Bananenschalen durch Ortswechsel zu erhalten; Ersetzen der Effekte einiger Genforschungsknoten; Hinzufügen der Möglichkeit, Gene zu ersetzen;
 - Verb"&amp;"esserungen bei der Festungsübernahme: Hinzufügen von 50 neuen Levels; Verbesserung der Anzeige von zufälligen Außenposten.
 - Verbesserungen bei Sackgassen-Prüfungen: verbesserter Bildschirm mit den Kampfergebnissen.
 - Verbesserungen bei Buffs in Bericht"&amp;"en: Du kannst jetzt in einem Bericht überprüfen, woher ein Buff kommt; die Haupttrainingsrouten werden in einer separaten Registerkarte angezeigt, um den Vergleich zu erleichtern.
 - Verbesserungen an der Heldenausrüstung: Verbessertes Ausrüsten und Benut"&amp;"zen von Ausrüstung; die Möglichkeit, Ausrüstung zu lagern, wurde hinzugefügt.")</f>
        <v> - Neuer Fighter: Explosive Speedster, Cal. Er liebt Bananen und fordert andere Rennfahrer heraus! Sein Bananenauto führt zu hochschädlichen AoE-Angriffen!
 - Neuer Belagerungs-Plünderungsmodus: Ein neues Gang-Event, bei dem rivalisierende Banden innerhalb einer verlassenen Militärbasis kämpfen, um Punkte zu verdienen und Rolands Schätze einzufordern!
 - Neuer Stadtverteidigungsmodus: Ein neuer Frühspielmodus, in dem du Verteidigung und Hindernisse einrichtest, um zu verhindern, dass der Feind in das eindringt, was dir gehört!
 - Ausrüstung umschmieden: Schmiede die zusätzlichen Attribute deiner Lieblingsausrüstung um und sperre die Attribute, die du behalten willst!
 - Materialextraktion: Extrahiere [Nanomaterial] aus Ausrüstung, Blaupausen und Materialien, für die du keine Verwendung hast!
 - Ausrüstung sperren: Schließe deine beste Ausrüstung ab, damit du sie nicht ungewollt aus der Hand gibst!
 - Eingabeaufforderung für ungenutzte Warteschlangen: Du erhältst jetzt Benachrichtigungen, wenn du untätige Bauarbeiter hast!
 - Du kannst jetzt Talent-Setups speichern und empfohlene Setups mit einem einzigen Tippen verwenden.
 - Verbesserungen in der Schatzgräberei: Man kann jetzt Helden zur Garnison hinzufügen; 40 neue Levels; Verbessertes Vorratslager-Menü; Seltene U-Bahn-Forschung und Forschungsemulsions-Packs hinzugefügt.
 - Verbesserungen am Ausrüstungstestgelände: Es wurde ein neuer Mikroofen hinzugefügt, den du füllen kannst, um nach einem Level zusätzliche Belohnungen zu erhalten!
 - Planet Wars Verbesserungen: Hinzufügen von Außenposten, um Gebäude zu zerstören; Anpassung des Gen-Inkubators, um Gene und Bananenschalen durch Ortswechsel zu erhalten; Ersetzen der Effekte einiger Genforschungsknoten; Hinzufügen der Möglichkeit, Gene zu ersetzen;
 - Verbesserungen bei der Festungsübernahme: Hinzufügen von 50 neuen Levels; Verbesserung der Anzeige von zufälligen Außenposten.
 - Verbesserungen bei Sackgassen-Prüfungen: verbesserter Bildschirm mit den Kampfergebnissen.
 - Verbesserungen bei Buffs in Berichten: Du kannst jetzt in einem Bericht überprüfen, woher ein Buff kommt; die Haupttrainingsrouten werden in einer separaten Registerkarte angezeigt, um den Vergleich zu erleichtern.
 - Verbesserungen an der Heldenausrüstung: Verbessertes Ausrüsten und Benutzen von Ausrüstung; die Möglichkeit, Ausrüstung zu lagern, wurde hinzugefügt.</v>
      </c>
      <c r="F35" s="168" t="str">
        <f>IFERROR(__xludf.DUMMYFUNCTION("""COMPUTED_VALUE"""),"- Novo combatente: Cal, o velocista dinâmico. Ele adora bananas e desafiar outros corredores! Usa o carro em forma de banana para causar poderosos danos de área!
- Novo modo de Cerco e Pilhagem: Um novo evento onde gangues rivais lutam em uma base militar"&amp;" abandonada para obter pontos e reivindicar os tesouros de Roland!
- Novo modo de Defesa da Cidade: Um novo modo do começo do jogo onde você monta defesas e obstáculos para impedir que o inimigo invada seu território!
- Reforja de equipamentos: Reforje os"&amp;" atributos adicionados no seu equipamento predileto e trave os atributos que desejar manter!
- Extração de materiais: Extraia [Nanomaterial] de equipamentos, diagramas e materiais que não têm mais utilidade!
- Travamento de equipamento: Trave seus melhore"&amp;"s equipamentos para não perdê-los por acidente!
- Mensagem de fila ociosa: Você receberá notificações quando tiver construtores ociosos!
- Agora você pode salvar configurações de talento e usar as recomendadas com apenas um toque.
- Melhorias na Escavação"&amp;" de Tesouro: Adição de heróis à guarnição, 40 novos níveis, melhoria no menu da loja de suprimentos, adição de pesquisa rara do metrô e pacotes de emulsão de pesquisa.
- Melhorias no Local de Teste de Equipamentos: Adição de uma nova minifornalha que pode"&amp;" ser abastecida em troca de recompensas extras após determinado nível!
- Melhorias nas Guerras Interplanetárias: Adição de postos avançados às estruturas, ajuste na incubadora de genes, possibilidade de obtenção de genes e cascas de banana ao se alterar a"&amp;" localização, substituição dos efeitos de alguns nodos de pesquisa genética, adição da habilidade de substituir genes.
- Melhorias na Conquista da Fortaleza: Adição de 50 novos níveis, melhoria na exibição de postos avançados aleatórios.
- Melhorias nos D"&amp;"esafios de Impasse: Melhorias na tela de resultados de batalha.
- Melhorias nos relatórios de auxílios: Agora você pode verificar no relatório de onde vieram os auxílios, e as rotas de treinamento são exibidas em uma aba separada para facilitar a comparaç"&amp;"ão.
- Melhorias nos equipamentos do herói: Melhoria em como equipar e usar equipamentos, adição da habilidade de armazenar equipamentos.")</f>
        <v>- Novo combatente: Cal, o velocista dinâmico. Ele adora bananas e desafiar outros corredores! Usa o carro em forma de banana para causar poderosos danos de área!
- Novo modo de Cerco e Pilhagem: Um novo evento onde gangues rivais lutam em uma base militar abandonada para obter pontos e reivindicar os tesouros de Roland!
- Novo modo de Defesa da Cidade: Um novo modo do começo do jogo onde você monta defesas e obstáculos para impedir que o inimigo invada seu território!
- Reforja de equipamentos: Reforje os atributos adicionados no seu equipamento predileto e trave os atributos que desejar manter!
- Extração de materiais: Extraia [Nanomaterial] de equipamentos, diagramas e materiais que não têm mais utilidade!
- Travamento de equipamento: Trave seus melhores equipamentos para não perdê-los por acidente!
- Mensagem de fila ociosa: Você receberá notificações quando tiver construtores ociosos!
- Agora você pode salvar configurações de talento e usar as recomendadas com apenas um toque.
- Melhorias na Escavação de Tesouro: Adição de heróis à guarnição, 40 novos níveis, melhoria no menu da loja de suprimentos, adição de pesquisa rara do metrô e pacotes de emulsão de pesquisa.
- Melhorias no Local de Teste de Equipamentos: Adição de uma nova minifornalha que pode ser abastecida em troca de recompensas extras após determinado nível!
- Melhorias nas Guerras Interplanetárias: Adição de postos avançados às estruturas, ajuste na incubadora de genes, possibilidade de obtenção de genes e cascas de banana ao se alterar a localização, substituição dos efeitos de alguns nodos de pesquisa genética, adição da habilidade de substituir genes.
- Melhorias na Conquista da Fortaleza: Adição de 50 novos níveis, melhoria na exibição de postos avançados aleatórios.
- Melhorias nos Desafios de Impasse: Melhorias na tela de resultados de batalha.
- Melhorias nos relatórios de auxílios: Agora você pode verificar no relatório de onde vieram os auxílios, e as rotas de treinamento são exibidas em uma aba separada para facilitar a comparação.
- Melhorias nos equipamentos do herói: Melhoria em como equipar e usar equipamentos, adição da habilidade de armazenar equipamentos.</v>
      </c>
      <c r="G35" s="168" t="str">
        <f>IFERROR(__xludf.DUMMYFUNCTION("""COMPUTED_VALUE"""),"-新增鬥士：爆裂飛車-卡爾，愛香蕉，也愛挑戰極限的賽車手！香蕉戰車帶給卡爾強力的範圍傷害！
-新增攻城掠地玩法： 新的幫派活動玩法，在廢棄軍事基地中，猿族幫派相互攻伐，收集戰略積分、爭奪羅蘭寶藏！
-新增城市防衛玩法：遊戲初期新玩法，合理佈置軍隊與障礙物，阻止敵人入侵城市吧！
-新增戰裝重鑄功能：重鑄心儀戰裝的附加屬性，可以鎖定屬性進行重鑄；
-新增材料提取：可以從廢棄的戰裝、圖紙和材料中提取出[納米材料]！
-新增戰裝鎖定功能：避免對重要戰裝誤操作造成損失。
-新增空閒隊列提示功能：玩家在有隊列空閒時會"&amp;"收到提示，點擊可以進入隊列總覽。
-新增鬥士天賦存檔功能和一鍵使用推薦天賦功能。
-地下探寶優化：新增英雄駐紮功能，新增，40個關卡，優化地下探寶補給商店界面，新增稀有地鐵科研禮包、研究試劑禮包。
-戰裝試煉場優化：新增微型鑄造爐，填充鑄造爐可在通關後獲得額外獎勵！
-銀河戰爭玩法優化：遺跡建築增加據點；調整銀河戰爭中的基因培養皿功能，現在可以通過置換作用直接獲取基因或者香蕉皮！同時對基因科技的部分節點效果進行替換，以匹配全新的基因置換功能。
-堡壘對決優化：新增50個關卡，並優化了隨機據點相關表現。
-"&amp;"絕地試煉優化：優化了戰鬥結算表現。
-戰報增益顯示優化：戰報中可查看增益來源；重要養成線分為獨立頁簽，可以單獨對比。
-英雄戰裝優化：穿戴使用優化，並增加戰裝倉庫功能。")</f>
        <v>-新增鬥士：爆裂飛車-卡爾，愛香蕉，也愛挑戰極限的賽車手！香蕉戰車帶給卡爾強力的範圍傷害！
-新增攻城掠地玩法： 新的幫派活動玩法，在廢棄軍事基地中，猿族幫派相互攻伐，收集戰略積分、爭奪羅蘭寶藏！
-新增城市防衛玩法：遊戲初期新玩法，合理佈置軍隊與障礙物，阻止敵人入侵城市吧！
-新增戰裝重鑄功能：重鑄心儀戰裝的附加屬性，可以鎖定屬性進行重鑄；
-新增材料提取：可以從廢棄的戰裝、圖紙和材料中提取出[納米材料]！
-新增戰裝鎖定功能：避免對重要戰裝誤操作造成損失。
-新增空閒隊列提示功能：玩家在有隊列空閒時會收到提示，點擊可以進入隊列總覽。
-新增鬥士天賦存檔功能和一鍵使用推薦天賦功能。
-地下探寶優化：新增英雄駐紮功能，新增，40個關卡，優化地下探寶補給商店界面，新增稀有地鐵科研禮包、研究試劑禮包。
-戰裝試煉場優化：新增微型鑄造爐，填充鑄造爐可在通關後獲得額外獎勵！
-銀河戰爭玩法優化：遺跡建築增加據點；調整銀河戰爭中的基因培養皿功能，現在可以通過置換作用直接獲取基因或者香蕉皮！同時對基因科技的部分節點效果進行替換，以匹配全新的基因置換功能。
-堡壘對決優化：新增50個關卡，並優化了隨機據點相關表現。
-絕地試煉優化：優化了戰鬥結算表現。
-戰報增益顯示優化：戰報中可查看增益來源；重要養成線分為獨立頁簽，可以單獨對比。
-英雄戰裝優化：穿戴使用優化，並增加戰裝倉庫功能。</v>
      </c>
      <c r="H35" s="168" t="str">
        <f>IFERROR(__xludf.DUMMYFUNCTION("""COMPUTED_VALUE"""),"- Pejuang Baru: Dinamo Kencang - Cal, pembalap yang suka pisang dan menantang limit! Kendaraan Pisang memberikan Cal Damage AoE yang kuat! 
- Baru! Pengepungan Kota: Event geng baru, Geng Kera saling bertarung di dalam balai kota militer terbengkalai, kum"&amp;"pulkan poin strategi dan rebut harta Roland! 
- Baru! Penjagaan Balai Kota: Mode baru game dasar. Atur prajurit dan penghalang, cegah musuh menyerang kota! 
- Baru! Fitur Tempa Ulang Perlengkapan: Tempa ulang atribut tambahan perlengkapan yang diinginkan,"&amp;" bisa mengunci atribut saat tempa ulang;
- Baru! Ekstrak Material: Ekstrak [Material Nano] dari perlengkapan terbengkalai, cetak biru dan material! 
- Baru! Fitur kunci perlengkapan: Menghindari kerugian karena salah memproses perlengkapan penting. 
- Bar"&amp;"u! Fitur tips barisan kosong: Tips muncul saat ada barisan yang kosong, tekan untuk memasuki preview barisan. 
- Menambah fitur menyimpan bakat pejuang dan pakai rekomendasi bakat dengan 1 klik. 
- Optimalisasi Gali Harta: Menambah fitur menempatkan pahla"&amp;"wan dan 40 wilayah kera. Optimalisasi tampilan toko suplai Gali Harta, menambah paket penelitian kereta bawah tanah langka, paket Reagen Penelitian. 
- Optimalisasi Arena Trial Perlengkapan: Menambah Tungku Kecil, mengisi tungku bisa mendapatkan hadiah ta"&amp;"mbahan setelah lolos! 
- Optimalisasi Perang Planet: Menambah Pos bangunan Reruntuhan. Menyesuaikan fitur Inkubator Gen dalam Perang Planet, sekarang bisa langsung mendapatkan Gen atau Kulit Pisang lewat ganti fungsi! Bersamaan mengubah efek titik bagian "&amp;"Penelitian Gen, memasangkan fitur ganti gen yang baru. 
- Peningkatan Penaklukan Benteng: 50 Wilayah kera dan meningkatkan tampilan terkait Pos Terdepan acak. 
- Peningkatan Uji Coba Jalan Buntu: Meningkatkan tampilan perhitungan pertempuran. 
- Optimalis"&amp;"asi tampilan keunggulan laporan: Bisa melihat sumber keunggulan di dalam laporan. Pengembangan penting dijadikan tab mandiri, bisa dibandingkan sendiri. 
- Peningkatan Perlengkapan Pahlawan: Peningkatan saat dipakai dan menambah fitur Gudang.")</f>
        <v>- Pejuang Baru: Dinamo Kencang - Cal, pembalap yang suka pisang dan menantang limit! Kendaraan Pisang memberikan Cal Damage AoE yang kuat! 
- Baru! Pengepungan Kota: Event geng baru, Geng Kera saling bertarung di dalam balai kota militer terbengkalai, kumpulkan poin strategi dan rebut harta Roland! 
- Baru! Penjagaan Balai Kota: Mode baru game dasar. Atur prajurit dan penghalang, cegah musuh menyerang kota! 
- Baru! Fitur Tempa Ulang Perlengkapan: Tempa ulang atribut tambahan perlengkapan yang diinginkan, bisa mengunci atribut saat tempa ulang;
- Baru! Ekstrak Material: Ekstrak [Material Nano] dari perlengkapan terbengkalai, cetak biru dan material! 
- Baru! Fitur kunci perlengkapan: Menghindari kerugian karena salah memproses perlengkapan penting. 
- Baru! Fitur tips barisan kosong: Tips muncul saat ada barisan yang kosong, tekan untuk memasuki preview barisan. 
- Menambah fitur menyimpan bakat pejuang dan pakai rekomendasi bakat dengan 1 klik. 
- Optimalisasi Gali Harta: Menambah fitur menempatkan pahlawan dan 40 wilayah kera. Optimalisasi tampilan toko suplai Gali Harta, menambah paket penelitian kereta bawah tanah langka, paket Reagen Penelitian. 
- Optimalisasi Arena Trial Perlengkapan: Menambah Tungku Kecil, mengisi tungku bisa mendapatkan hadiah tambahan setelah lolos! 
- Optimalisasi Perang Planet: Menambah Pos bangunan Reruntuhan. Menyesuaikan fitur Inkubator Gen dalam Perang Planet, sekarang bisa langsung mendapatkan Gen atau Kulit Pisang lewat ganti fungsi! Bersamaan mengubah efek titik bagian Penelitian Gen, memasangkan fitur ganti gen yang baru. 
- Peningkatan Penaklukan Benteng: 50 Wilayah kera dan meningkatkan tampilan terkait Pos Terdepan acak. 
- Peningkatan Uji Coba Jalan Buntu: Meningkatkan tampilan perhitungan pertempuran. 
- Optimalisasi tampilan keunggulan laporan: Bisa melihat sumber keunggulan di dalam laporan. Pengembangan penting dijadikan tab mandiri, bisa dibandingkan sendiri. 
- Peningkatan Perlengkapan Pahlawan: Peningkatan saat dipakai dan menambah fitur Gudang.</v>
      </c>
      <c r="I35" s="168" t="str">
        <f>IFERROR(__xludf.DUMMYFUNCTION("""COMPUTED_VALUE"""),"- นักสู้ใหม่ : รถเหาะระเบิด-แคล นักแข่งรถที่ชอบกินกล้วยและชอบความท้าทาย! รถรบกล้วยทำให้แคลดาเมจในวงกว้างได้มหาศาล!
- เกมเพลย์ใหม่บุกยึดเมือง : กิจกรรมแก๊งค์ใหม่ เป็นการโจมตีระหว่างแก๊งค์ลิงในฐานการทหารร้าง เพื่อชิงขุมทรัพย์ของโรแลนด์!
- เกมเพลย์ปกป้องเมือ"&amp;"งใหม่ : เกมเพลย์ใหม่ในช่วงแรกของเกม จัดกองทัพและสิ่งกีดขวางให้เหมาะสม เพื่อขัดขวางการบุกรุกเมืองของศัตรูกันเลย!
- ฟังก์ชั่นขึ้นรูปอุปกรณ์ : ขึ้นรูปคุณสมบัติเพิ่มเติมของอุปกรณ์ที่คุณชอบ และยังสามารถล็อกคุณสมบัติได้อีกด้วย
- สกัดวัสดุ : สามารถนำอุปกรณ์ที่ไม"&amp;"่ได้ใช้, พิมพ์เขียวและวัสดุมาสกัดเป็น [วัสดุนาโน] ได้! 
- ฟังก์ชั่นล็อกอุปกรณ์ : หลีกเลี่ยงการสูญเสียอุปกรณ์ที่สำคัญเนื่องจากการทำรายการผิด
- ฟังก์ชั่นแจ้งคิวว่างใหม่ : เมื่อผู้เล่นมีคิวว่าง จะได้รับข้อความแจ้ง เมื่อแตะข้อความ จะเปิดหน้าภาพรวมคิว
- ฟังก์ช"&amp;"ั่นบันทึกความสามารถของนักสู้และใช้ความสามารถที่แนะนำทั้งหมด
- ปรับปรุงล่าสมบัติใต้ดิน : เพิ่มฟังก์ชั่นฮีโร่ประจำการ, ด่านใหม่ 40 ด่าน, ปรับปรุงหน้าร้านซัพพลายสมบัติใต้ดิน, เพิ่มแพ็กวิจัยรถไฟใต้ดินหายาก, แพ็กยาทดลองการวิจัย
- ปรับปรุงสนามทดสอบอุปกรณ์ : เพิ"&amp;"่มเตาหล่อขนาดเล็ก หลังเพิ่มเตาหล่อขนาดเล็ก จะได้รับรางวัลโบนัสหลังผ่านด่าน!,
- ปรับปรุงเกมเพลย์สงครามดาวเคราะห์ : เพิ่มด่านใหม่ในซากปรักหักพัง ; ปรับฟังก์ชั่นเครื่องเพาะยีนในสงครามดาวเคราะห์ สามารถรับยีนหรือเปลือกกล้วยจากฟังก์ชั่นแลกเปลี่ยนยีนได้เลย! ขณะเ"&amp;"ดียวกัน ยังเปลี่ยนผลลัพธ์บางจุดของเทคโนโลยียีน เพื่อให้แมตช์กับฟังก์ชั่นแลกเปลี่ยนยีนใหม่ล่าสุดด้วย
- ปรับปรุงการยึดป้อมปราการ : เพิ่มด่านใหม่ 50 ด่านและปรับปรุงการแสดงผลเกี่ยวกับด่านสุ่ม 
- ปรับปรุงบททดสอบผ่านด่านทางตัน : ปรับปรุงการสรุปผลการต่อสู้
- ปรั"&amp;"บปรุงการแสดงผลของบูสต์ในรายงานการต่อสู้ : สามารถเช็คดูที่มาของบูสต์ได้ในรายงานการต่อสู้ ; ส่วนการพัฒนาที่สำคัญจะแยกออกมา สามารถแยกออกมาเปรียบเทียบได้
- ปรับปรุงอุปกรณ์ของฮีโร่ : ปรับปรุงการใช้และติดตั้งและเพิ่มฟังก์ชั่นโกดังอุปกรณ์")</f>
        <v>- นักสู้ใหม่ : รถเหาะระเบิด-แคล นักแข่งรถที่ชอบกินกล้วยและชอบความท้าทาย! รถรบกล้วยทำให้แคลดาเมจในวงกว้างได้มหาศาล!
- เกมเพลย์ใหม่บุกยึดเมือง : กิจกรรมแก๊งค์ใหม่ เป็นการโจมตีระหว่างแก๊งค์ลิงในฐานการทหารร้าง เพื่อชิงขุมทรัพย์ของโรแลนด์!
- เกมเพลย์ปกป้องเมืองใหม่ : เกมเพลย์ใหม่ในช่วงแรกของเกม จัดกองทัพและสิ่งกีดขวางให้เหมาะสม เพื่อขัดขวางการบุกรุกเมืองของศัตรูกันเลย!
- ฟังก์ชั่นขึ้นรูปอุปกรณ์ : ขึ้นรูปคุณสมบัติเพิ่มเติมของอุปกรณ์ที่คุณชอบ และยังสามารถล็อกคุณสมบัติได้อีกด้วย
- สกัดวัสดุ : สามารถนำอุปกรณ์ที่ไม่ได้ใช้, พิมพ์เขียวและวัสดุมาสกัดเป็น [วัสดุนาโน] ได้! 
- ฟังก์ชั่นล็อกอุปกรณ์ : หลีกเลี่ยงการสูญเสียอุปกรณ์ที่สำคัญเนื่องจากการทำรายการผิด
- ฟังก์ชั่นแจ้งคิวว่างใหม่ : เมื่อผู้เล่นมีคิวว่าง จะได้รับข้อความแจ้ง เมื่อแตะข้อความ จะเปิดหน้าภาพรวมคิว
- ฟังก์ชั่นบันทึกความสามารถของนักสู้และใช้ความสามารถที่แนะนำทั้งหมด
- ปรับปรุงล่าสมบัติใต้ดิน : เพิ่มฟังก์ชั่นฮีโร่ประจำการ, ด่านใหม่ 40 ด่าน, ปรับปรุงหน้าร้านซัพพลายสมบัติใต้ดิน, เพิ่มแพ็กวิจัยรถไฟใต้ดินหายาก, แพ็กยาทดลองการวิจัย
- ปรับปรุงสนามทดสอบอุปกรณ์ : เพิ่มเตาหล่อขนาดเล็ก หลังเพิ่มเตาหล่อขนาดเล็ก จะได้รับรางวัลโบนัสหลังผ่านด่าน!,
- ปรับปรุงเกมเพลย์สงครามดาวเคราะห์ : เพิ่มด่านใหม่ในซากปรักหักพัง ; ปรับฟังก์ชั่นเครื่องเพาะยีนในสงครามดาวเคราะห์ สามารถรับยีนหรือเปลือกกล้วยจากฟังก์ชั่นแลกเปลี่ยนยีนได้เลย! ขณะเดียวกัน ยังเปลี่ยนผลลัพธ์บางจุดของเทคโนโลยียีน เพื่อให้แมตช์กับฟังก์ชั่นแลกเปลี่ยนยีนใหม่ล่าสุดด้วย
- ปรับปรุงการยึดป้อมปราการ : เพิ่มด่านใหม่ 50 ด่านและปรับปรุงการแสดงผลเกี่ยวกับด่านสุ่ม 
- ปรับปรุงบททดสอบผ่านด่านทางตัน : ปรับปรุงการสรุปผลการต่อสู้
- ปรับปรุงการแสดงผลของบูสต์ในรายงานการต่อสู้ : สามารถเช็คดูที่มาของบูสต์ได้ในรายงานการต่อสู้ ; ส่วนการพัฒนาที่สำคัญจะแยกออกมา สามารถแยกออกมาเปรียบเทียบได้
- ปรับปรุงอุปกรณ์ของฮีโร่ : ปรับปรุงการใช้และติดตั้งและเพิ่มฟังก์ชั่นโกดังอุปกรณ์</v>
      </c>
      <c r="J35" s="168" t="str">
        <f>IFERROR(__xludf.DUMMYFUNCTION("""COMPUTED_VALUE"""),"- Luchador nuevo: Dínamo veloz, Cal. ¡Adora las bananas y desafiar a otros corredores! Su automóvil de banana le permite propinar ataques de AdE que infligen mucho daño.
- Modo Asedio y Saqueo:¡Un evento nuevo en el que bandas rivales luchan en una base m"&amp;"ilitar abandonada con el objetivo de ganar puntos y hacerse con los tesoros de Roland!
- Modo Defensa de ciudad: ¡Un modo de juego reciente en el que estableces defensas y obstáculos para evitar que el enemigo invada lo que es tuyo! 
- Reforjar equipo: ¡V"&amp;"uelve a forjar los atributos agregados en tu equipamiento favorito y bloquea aquellos que quieras mantener!
- Extracción de material: ¡Extrae [Nanomateriales] del equipo, planos y materiales a los que no les has dado uso!
- Bloqueo de equipo: ¡Bloquea tu "&amp;"mejor equipo para evitar separarte de él sin querer!
- Aviso de cola libre: ¡Ahora recibirás una notificación cuando haya una cola disponible!
- Ahora puedes guardar ajustes de talentos y usar recomendaciones con un simple toque.
- Mejoras en la excavació"&amp;"n de tesoros: Ahora puedes agregar héroes a la guarnición; 40 niveles nuevos; mejoramos el menú de la tienda de suministros; agregamos paquetes de emulsiones de investigación y de investigación de subterráneos raros.
- Mejoras en el sitio de testeo de equ"&amp;"ipo: ¡Agregamos una nueva minicaldera que puedes llenar para conseguir recompensas adicionales después de superar un nivel!
- Mejoras en las guerras planetarias: Agregamos puestos de control a los edificios en ruinas; ajustamos el incubador de genes para "&amp;"que puedas conseguir genes y cáscaras de banana mediante el intercambio de genes; reemplazamos los efectos de algunos nodos de investigación de genes; agregamos la habilidad de reemplazar genes;
- Mejoras en las tomas de fortalezas: agregamos 50 niveles n"&amp;"uevos; ahora los puestos de control aleatorios se muestran de mejor manera.
- Mejoras en las Pruebas de Impasse: Se optimizó  la pantalla de resultados de batalla.
- Perfeccionamiento de las mejoras en informes: Ahora puedes ver dónde se origina una mejor"&amp;"a en un informe; las rutas de entrenamiento principales se muestran en una pestaña separada para poder comparar mejor.
- Mejoras en el equipo del héroe: Se mejoró la forma de equipar y usar equipamiento, y agregamos la habilidad para poder almacenarlo.")</f>
        <v>- Luchador nuevo: Dínamo veloz, Cal. ¡Adora las bananas y desafiar a otros corredores! Su automóvil de banana le permite propinar ataques de AdE que infligen mucho daño.
- Modo Asedio y Saqueo:¡Un evento nuevo en el que bandas rivales luchan en una base militar abandonada con el objetivo de ganar puntos y hacerse con los tesoros de Roland!
- Modo Defensa de ciudad: ¡Un modo de juego reciente en el que estableces defensas y obstáculos para evitar que el enemigo invada lo que es tuyo! 
- Reforjar equipo: ¡Vuelve a forjar los atributos agregados en tu equipamiento favorito y bloquea aquellos que quieras mantener!
- Extracción de material: ¡Extrae [Nanomateriales] del equipo, planos y materiales a los que no les has dado uso!
- Bloqueo de equipo: ¡Bloquea tu mejor equipo para evitar separarte de él sin querer!
- Aviso de cola libre: ¡Ahora recibirás una notificación cuando haya una cola disponible!
- Ahora puedes guardar ajustes de talentos y usar recomendaciones con un simple toque.
- Mejoras en la excavación de tesoros: Ahora puedes agregar héroes a la guarnición; 40 niveles nuevos; mejoramos el menú de la tienda de suministros; agregamos paquetes de emulsiones de investigación y de investigación de subterráneos raros.
- Mejoras en el sitio de testeo de equipo: ¡Agregamos una nueva minicaldera que puedes llenar para conseguir recompensas adicionales después de superar un nivel!
- Mejoras en las guerras planetarias: Agregamos puestos de control a los edificios en ruinas; ajustamos el incubador de genes para que puedas conseguir genes y cáscaras de banana mediante el intercambio de genes; reemplazamos los efectos de algunos nodos de investigación de genes; agregamos la habilidad de reemplazar genes;
- Mejoras en las tomas de fortalezas: agregamos 50 niveles nuevos; ahora los puestos de control aleatorios se muestran de mejor manera.
- Mejoras en las Pruebas de Impasse: Se optimizó  la pantalla de resultados de batalla.
- Perfeccionamiento de las mejoras en informes: Ahora puedes ver dónde se origina una mejora en un informe; las rutas de entrenamiento principales se muestran en una pestaña separada para poder comparar mejor.
- Mejoras en el equipo del héroe: Se mejoró la forma de equipar y usar equipamiento, y agregamos la habilidad para poder almacenarlo.</v>
      </c>
      <c r="K35" s="168" t="str">
        <f>IFERROR(__xludf.DUMMYFUNCTION("""COMPUTED_VALUE"""),"– Новый герой: скоростной гонщик Кэл. Он любит бананы и состязаться с другими гонщиками! Его бананомобиль позволяет ему проводить разрушительные атаки по области!
– Режим «Осада и грабеж»: новое событие для банд, в котором соперничающие банды сражаются на"&amp;" территории заброшенной военной базы, зарабатывают очки и захватывают сокровища Роланда!
– Режим «Оборона города»: новый режим для ранних стадий игры, в котором вы устанавливаете оборонительные сооружения и препятствия, чтобы не дать врагу захватить вашу "&amp;"собственность!
– Перековка снаряжения: перековка позволяет поменять добавленные показатели на вашем любимом снаряжении и заблокировать показатели, которые вы хотите сохранить!
– Добыча материалов: добывайте [наноматериалы] из снаряжения, чертежей и матери"&amp;"алов, которыми вы не пользуетесь!
– Блокировка снаряжения: заблокируйте свое лучшее снаряжение, и вы точно не лишитесь его по неосторожности!
– Уведомления о простое: теперь вы будете получать уведомления, когда у вас есть свободная очередь для действий!
"&amp;"– Теперь вы можете сохранять настройки талантов и применять рекомендуемые таланты одним нажатием.
– Улучшения в «Поиске кладов»: теперь вы можете добавлять героев в гарнизон; 40 новых уровней; улучшено меню магазина припасов; добавлены наборы «Редкие иссл"&amp;"едования подземки» и «Эмульсия исследования».
– Улучшения «Полигона для снаряжения»: добавлена новая мини-печь, которую можно заполнить и получить дополнительные награды после уровня!
– Улучшения «Планетарных войн»: к постройкам в руинах добавлены аванпос"&amp;"ты; скорректированы параметры генного инкубатора, позволяющего получать гены и банановую кожуру путем торговли генами; заменены эффекты некоторых узлов исследований генов; добавлена возможность замены генов.
– Улучшения «Захвата крепости»: добавлено 50 но"&amp;"вых уровней; улучшено отображение случайных аванпостов.
– Улучшения «Испытаний Тупика»: оптимизирован экран результатов боя.
– Улучшения для усилений в отчетах: теперь в отчете можно посмотреть, откуда берется усиление; основные пути для обучения отобража"&amp;"ются в отдельной вкладке для удобства сравнения.
– Улучшения снаряжения героев: повышено удобство применения и использования снаряжения; добавлена возможность хранить снаряжение.")</f>
        <v>– Новый герой: скоростной гонщик Кэл. Он любит бананы и состязаться с другими гонщиками! Его бананомобиль позволяет ему проводить разрушительные атаки по области!
– Режим «Осада и грабеж»: новое событие для банд, в котором соперничающие банды сражаются на территории заброшенной военной базы, зарабатывают очки и захватывают сокровища Роланда!
– Режим «Оборона города»: новый режим для ранних стадий игры, в котором вы устанавливаете оборонительные сооружения и препятствия, чтобы не дать врагу захватить вашу собственность!
– Перековка снаряжения: перековка позволяет поменять добавленные показатели на вашем любимом снаряжении и заблокировать показатели, которые вы хотите сохранить!
– Добыча материалов: добывайте [наноматериалы] из снаряжения, чертежей и материалов, которыми вы не пользуетесь!
– Блокировка снаряжения: заблокируйте свое лучшее снаряжение, и вы точно не лишитесь его по неосторожности!
– Уведомления о простое: теперь вы будете получать уведомления, когда у вас есть свободная очередь для действий!
– Теперь вы можете сохранять настройки талантов и применять рекомендуемые таланты одним нажатием.
– Улучшения в «Поиске кладов»: теперь вы можете добавлять героев в гарнизон; 40 новых уровней; улучшено меню магазина припасов; добавлены наборы «Редкие исследования подземки» и «Эмульсия исследования».
– Улучшения «Полигона для снаряжения»: добавлена новая мини-печь, которую можно заполнить и получить дополнительные награды после уровня!
– Улучшения «Планетарных войн»: к постройкам в руинах добавлены аванпосты; скорректированы параметры генного инкубатора, позволяющего получать гены и банановую кожуру путем торговли генами; заменены эффекты некоторых узлов исследований генов; добавлена возможность замены генов.
– Улучшения «Захвата крепости»: добавлено 50 новых уровней; улучшено отображение случайных аванпостов.
– Улучшения «Испытаний Тупика»: оптимизирован экран результатов боя.
– Улучшения для усилений в отчетах: теперь в отчете можно посмотреть, откуда берется усиление; основные пути для обучения отображаются в отдельной вкладке для удобства сравнения.
– Улучшения снаряжения героев: повышено удобство применения и использования снаряжения; добавлена возможность хранить снаряжение.</v>
      </c>
      <c r="L35" s="168" t="str">
        <f>IFERROR(__xludf.DUMMYFUNCTION("""COMPUTED_VALUE"""),"- Yeni Savaşçı: Hız Tutkunu Cal. Kendisi muza ve diğer yarışçılara meydan okumaya bayılır! Muz arabasıyla yüksek Etki Alanı Hasarı verir!
- Yeni Kuşatma ve Yağma Modu: Rakip çetelerin puan toplayıp Roland'ın hazinelerini ele geçirmek için terk edilmiş bir"&amp;" askeri üste savaştığı yeni bir Çete etkinliği!
- Yeni Şehir Savunma Modu: Düşmanların senin bölgeni işgal etmesini engellemek için savunmaya geçip engeller kurduğun bir oyun başlangıcı modu!
- Ekipmanları Yeniden İşleme: Ekipmanlarına eklenen nitelikleri"&amp;" yeniden işle ve tutmak istediğin nitelikleri kilitle!
- Materyal Ayrıştırma: Kullanmadığın ekipmanları, planları ve materyalleri ayrıştırarak Nanomateryal elde et!
- Ekipman Kilitleme: Yanlışlıkla en sevdiğin ekipmanları kaybetmemek için kilitle!
- Boş S"&amp;"ıra Uyarıları: Artık boşta bir inşaatçın olduğunda bildirim alacaksın!
- Artık tek bir dokunuşla yetenek ayarlarını kaydedebilir ve önerilen ayarları kullanabilirsin.
- Hazine Kazısı Geliştirmeleri: Artık kahramanları konuşlandırabilirsin. Ayrıca 40 yeni "&amp;"seviye, geliştirilmiş tedarik mağazası menüsü, Nadir Metro Araştırması ve Araştırma Çözeltisi paketleri mevcut.
- Ekipman Deneme Sahası Geliştirmeleri: Seviye tamamlandıktan sonra içini doldurup fazladan ödül alabileceğin bir Küçük Fırın eklendi!
- Gezege"&amp;"n Savaşı Geliştirmeleri: Harabe binalarına karakollar eklendi, Gen Kuluçka Makinesi konum değiştirerek gen ve muz kabuğu almanı sağlayacak şekilde değiştirildi, bazı gen araştırma nodlarının etkileri değiştirildi, gen değiştirme özelliği eklendi.
- Kaleyi"&amp;" Ele Geçirme Geliştirmeleri: 50 yeni seviye eklendi, rastgele karakolların gösterim şekli geliştirildi.
- Çıkmaz Durum Denemeleri Geliştirmeleri: Savaş sonuç ekranı geliştirildi.
- Raporlarda Güçlendirme Geliştirmeleri: Artık raporlarda güçlendirmelerin n"&amp;"ereden geldiğini kontrol edebilirsin. Ayrıca ana eğitim yolları daha iyi anlaşılması için artık ayrı bir sekmede gösterilecek.
- Kahraman Ekipmanı Geliştirmeleri: Ekipmanları kuşanma ve kullanma geliştirildi, eşya depolama özelliği eklendi.")</f>
        <v>- Yeni Savaşçı: Hız Tutkunu Cal. Kendisi muza ve diğer yarışçılara meydan okumaya bayılır! Muz arabasıyla yüksek Etki Alanı Hasarı verir!
- Yeni Kuşatma ve Yağma Modu: Rakip çetelerin puan toplayıp Roland'ın hazinelerini ele geçirmek için terk edilmiş bir askeri üste savaştığı yeni bir Çete etkinliği!
- Yeni Şehir Savunma Modu: Düşmanların senin bölgeni işgal etmesini engellemek için savunmaya geçip engeller kurduğun bir oyun başlangıcı modu!
- Ekipmanları Yeniden İşleme: Ekipmanlarına eklenen nitelikleri yeniden işle ve tutmak istediğin nitelikleri kilitle!
- Materyal Ayrıştırma: Kullanmadığın ekipmanları, planları ve materyalleri ayrıştırarak Nanomateryal elde et!
- Ekipman Kilitleme: Yanlışlıkla en sevdiğin ekipmanları kaybetmemek için kilitle!
- Boş Sıra Uyarıları: Artık boşta bir inşaatçın olduğunda bildirim alacaksın!
- Artık tek bir dokunuşla yetenek ayarlarını kaydedebilir ve önerilen ayarları kullanabilirsin.
- Hazine Kazısı Geliştirmeleri: Artık kahramanları konuşlandırabilirsin. Ayrıca 40 yeni seviye, geliştirilmiş tedarik mağazası menüsü, Nadir Metro Araştırması ve Araştırma Çözeltisi paketleri mevcut.
- Ekipman Deneme Sahası Geliştirmeleri: Seviye tamamlandıktan sonra içini doldurup fazladan ödül alabileceğin bir Küçük Fırın eklendi!
- Gezegen Savaşı Geliştirmeleri: Harabe binalarına karakollar eklendi, Gen Kuluçka Makinesi konum değiştirerek gen ve muz kabuğu almanı sağlayacak şekilde değiştirildi, bazı gen araştırma nodlarının etkileri değiştirildi, gen değiştirme özelliği eklendi.
- Kaleyi Ele Geçirme Geliştirmeleri: 50 yeni seviye eklendi, rastgele karakolların gösterim şekli geliştirildi.
- Çıkmaz Durum Denemeleri Geliştirmeleri: Savaş sonuç ekranı geliştirildi.
- Raporlarda Güçlendirme Geliştirmeleri: Artık raporlarda güçlendirmelerin nereden geldiğini kontrol edebilirsin. Ayrıca ana eğitim yolları daha iyi anlaşılması için artık ayrı bir sekmede gösterilecek.
- Kahraman Ekipmanı Geliştirmeleri: Ekipmanları kuşanma ve kullanma geliştirildi, eşya depolama özelliği eklendi.</v>
      </c>
      <c r="M35" s="168" t="str">
        <f>IFERROR(__xludf.DUMMYFUNCTION("""COMPUTED_VALUE"""),"- Chiến Binh mới: Tốc Độ Bùng Nổ - Cal, tay đua yêu thích chuối, yêu thích thách thức giới hạn! Chiến Xa Chuối mang lại cho Cal sát thương diện rộng mạnh mẽ! 
- Lối chơi mới Công Thành Đoạt Đất: Lối chơi sự kiện Bang Hội mới, ở trong căn cứ quân sự bỏ hoa"&amp;"ng, các Bang Hội Tộc Vượn tấn công lẫn nhau, thu thập Điểm Chiến Lược, tranh đoạt Kho Báu của Roland! 
- Lối chơi Bảo Vệ Thành Phố mới: Lối chơi mới giai đoạn đầu game, hợp lý bố cục quân đội và chướng ngại vật, ngăn cản kẻ địch xâm lược thành phố nào! 
-"&amp;" Thêm tính năng Đúc Lại Trang Bị: Đúc lại thuộc tính thêm vào trang bị yêu thích, có thể khóa thuộc tính thực hiện đúc lại;
- Thêm Chiết Xuất Nguyên Liệu: Có thể từ Trang Bị, Bản Vẽ và Nguyên Liệu bỏ đi chiết xuất ra [Nguyên liệu nano]! 
- Thêm tính năng "&amp;"Khóa Trang Bị: Tránh tổn thất do thao tác nhầm Trang Bị quan trọng. 
- Thêm tính năng hiển thị hàng đợi rảnh rỗi: Người chơi khi có hàng đợi rảnh rỗi sẽ nhận được nhắc nhở, nhấn vào có thể vào Tổng Quan Hàng Đợi. 
- Thêm tính năng lưu trữ Tài Năng Chiến B"&amp;"inh và tính năng Dùng Tự Động Tài Năng Đề Xuất. 
- Tối ưu hóa Tìm Kho Báu Dưới Đất: Thêm tính năng Anh Hùng Đóng Quân, thêm 40 Cửa Ải, tối ưu hóa Cửa Hàng Viện Trợ Tìm Kho Báu Dưới Đất, thêm Gói Quà Nghiên Cứu Tàu Điện Ngầm Hiếm, Gói Quà Thuốc Thử Nghiên "&amp;"Cứu. 
- Tối ưu hóa Thí Luyện Trang Bị: Thêm Lò Đúc Mini, bổ sung Lò Đúc có thể nhận thêm phần thưởng sau khi vượt ải! 
- Tối ưu hóa lối chơi Chiến Tranh Hành Tinh: Cứ Điểm thêm Công Trình Tàn Tích; Điều chỉnh tính năng Tháp Nuôi Dưỡng Gen trong Chiến Tran"&amp;"h Hành Tinh, hiện tại có thể thông qua Thay Thế Gen trực tiếp nhận được Gen hoặc Vỏ Chuối! Đồng thời tiến hành thay thế đối với một số hiệu quả điểm Nghiên Cứu Gen của Nghiên Cứu Gen, để kết hợp tính năng Thay Thế Gen hoàn toàn mới. 
- Tối ưu hóa Tiếp Quả"&amp;"n Pháo Đài: Thêm 50 Cửa Ải, và tối ưu hóa thể hiện liên quan đến Cứ Điểm ngẫu nhiên. 
- Tối ưu hóa Thí Luyện Tuyệt Địa: Tối ưu thể hiện tổng kết chiến đấu. 
- Tối ưu hóa Hiệu Ứng Có Lợi Chiến Báo: Trong Chiến Báo có thể xem nguồn Hiệu Ứng Có Lợi; Dòng Bồi"&amp;" Dưỡng quan trọng chia thành trang độc lập, có thể so sánh riêng. 
- Tối ưu hóa Trang Bị Anh Hùng: Tối ưu sử dụng mặc, và thêm tính năng Nhà Kho Trang Bị.")</f>
        <v>- Chiến Binh mới: Tốc Độ Bùng Nổ - Cal, tay đua yêu thích chuối, yêu thích thách thức giới hạn! Chiến Xa Chuối mang lại cho Cal sát thương diện rộng mạnh mẽ! 
- Lối chơi mới Công Thành Đoạt Đất: Lối chơi sự kiện Bang Hội mới, ở trong căn cứ quân sự bỏ hoang, các Bang Hội Tộc Vượn tấn công lẫn nhau, thu thập Điểm Chiến Lược, tranh đoạt Kho Báu của Roland! 
- Lối chơi Bảo Vệ Thành Phố mới: Lối chơi mới giai đoạn đầu game, hợp lý bố cục quân đội và chướng ngại vật, ngăn cản kẻ địch xâm lược thành phố nào! 
- Thêm tính năng Đúc Lại Trang Bị: Đúc lại thuộc tính thêm vào trang bị yêu thích, có thể khóa thuộc tính thực hiện đúc lại;
- Thêm Chiết Xuất Nguyên Liệu: Có thể từ Trang Bị, Bản Vẽ và Nguyên Liệu bỏ đi chiết xuất ra [Nguyên liệu nano]! 
- Thêm tính năng Khóa Trang Bị: Tránh tổn thất do thao tác nhầm Trang Bị quan trọng. 
- Thêm tính năng hiển thị hàng đợi rảnh rỗi: Người chơi khi có hàng đợi rảnh rỗi sẽ nhận được nhắc nhở, nhấn vào có thể vào Tổng Quan Hàng Đợi. 
- Thêm tính năng lưu trữ Tài Năng Chiến Binh và tính năng Dùng Tự Động Tài Năng Đề Xuất. 
- Tối ưu hóa Tìm Kho Báu Dưới Đất: Thêm tính năng Anh Hùng Đóng Quân, thêm 40 Cửa Ải, tối ưu hóa Cửa Hàng Viện Trợ Tìm Kho Báu Dưới Đất, thêm Gói Quà Nghiên Cứu Tàu Điện Ngầm Hiếm, Gói Quà Thuốc Thử Nghiên Cứu. 
- Tối ưu hóa Thí Luyện Trang Bị: Thêm Lò Đúc Mini, bổ sung Lò Đúc có thể nhận thêm phần thưởng sau khi vượt ải! 
- Tối ưu hóa lối chơi Chiến Tranh Hành Tinh: Cứ Điểm thêm Công Trình Tàn Tích; Điều chỉnh tính năng Tháp Nuôi Dưỡng Gen trong Chiến Tranh Hành Tinh, hiện tại có thể thông qua Thay Thế Gen trực tiếp nhận được Gen hoặc Vỏ Chuối! Đồng thời tiến hành thay thế đối với một số hiệu quả điểm Nghiên Cứu Gen của Nghiên Cứu Gen, để kết hợp tính năng Thay Thế Gen hoàn toàn mới. 
- Tối ưu hóa Tiếp Quản Pháo Đài: Thêm 50 Cửa Ải, và tối ưu hóa thể hiện liên quan đến Cứ Điểm ngẫu nhiên. 
- Tối ưu hóa Thí Luyện Tuyệt Địa: Tối ưu thể hiện tổng kết chiến đấu. 
- Tối ưu hóa Hiệu Ứng Có Lợi Chiến Báo: Trong Chiến Báo có thể xem nguồn Hiệu Ứng Có Lợi; Dòng Bồi Dưỡng quan trọng chia thành trang độc lập, có thể so sánh riêng. 
- Tối ưu hóa Trang Bị Anh Hùng: Tối ưu sử dụng mặc, và thêm tính năng Nhà Kho Trang Bị.</v>
      </c>
      <c r="N35" s="169" t="str">
        <f>IFERROR(__xludf.DUMMYFUNCTION("""COMPUTED_VALUE"""),"- Nuovo Combattente: il Velocista scoppiettante, Cal. Adora le banane e sfidare altri piloti! La sua auto a banana gli conferisce attacchi AdE che infliggono ingenti danni!
- Nuova modalità Assedi e saccheggi: un nuovo evento per le Gang in cui Gang rival"&amp;"i combattono all'interno di una base militare abbandonata per ottenere punti e rivendicare il tesoro di Roland!
- Nuova modalità Difesa della città: una nuova modalità nelle prime fasi del gioco in cui configuri difese e ostacoli per impedire al nemico di"&amp;" invadere la tua città!
- Riforgiatura dell'equipaggiamento: riforgia gli attributi aggiunti del tuo equipaggiamento preferito e blocca gli attributi che vuoi mantenere!
- Estrazione di materiale: estrai [Nanomateriale] da equipaggiamento, Progetti e mate"&amp;"riali che non usi!
- Blocco di equipaggiamento: blocca il tuo equipaggiamento migliore per non perderlo per errore!
- Avviso di coda inattiva: ora riceverai notifiche quando i tuoi costruttori battono la fiacca!
- Ora puoi salvare le configurazioni di Tal"&amp;"enti e usare quelli consigliati con un solo tocco.
- Miglioramenti allo Scavo di tesori: ora puoi aggiungere eroi ai presidi; 40 nuovi livelli; menu del Negozio di scorte migliorato; aggiunta dei pacchetti Ricerca metro rara e Emulsione di ricerca.
- Migl"&amp;"ioramenti all'Area di prova equipaggiamento: aggiunta una Microfornace che puoi riempire per ottenere ricompense aggiuntive.
- Miglioramenti a Guerre planetarie: aggiunta di avamposti agli edifici dei Ruderi; Incubatore genetico modificato che consente di"&amp;" ottenere geni e Bucce di banana modificando il luogo; sostituiti gli effetti di alcuni nodi di ricerca genetica; aggiunta la capacità di sostituire geni.
- Miglioramenti alla Conquista di fortezze: aggiunti 50 nuovi livelli; migliorata la modalità di vis"&amp;"ualizzazione degli avamposti casuali.
- Miglioramenti alle Prove dell'Impasse: migliorata la schermata dei risultati della battaglia.
- Miglioramenti ai benefici in Rapporti: ora puoi verificare l'origine di un beneficio in un rapporto; i percorsi di adde"&amp;"stramento principali sono mostrati in una scheda separata per un confronto più semplice.
- Miglioramenti all'equipaggiamento degli eroi: ottimizzata la modalità di equipaggiamento e utilizzo; aggiunta la capacità di immagazzinare l'equipaggiamento.")</f>
        <v>- Nuovo Combattente: il Velocista scoppiettante, Cal. Adora le banane e sfidare altri piloti! La sua auto a banana gli conferisce attacchi AdE che infliggono ingenti danni!
- Nuova modalità Assedi e saccheggi: un nuovo evento per le Gang in cui Gang rivali combattono all'interno di una base militare abbandonata per ottenere punti e rivendicare il tesoro di Roland!
- Nuova modalità Difesa della città: una nuova modalità nelle prime fasi del gioco in cui configuri difese e ostacoli per impedire al nemico di invadere la tua città!
- Riforgiatura dell'equipaggiamento: riforgia gli attributi aggiunti del tuo equipaggiamento preferito e blocca gli attributi che vuoi mantenere!
- Estrazione di materiale: estrai [Nanomateriale] da equipaggiamento, Progetti e materiali che non usi!
- Blocco di equipaggiamento: blocca il tuo equipaggiamento migliore per non perderlo per errore!
- Avviso di coda inattiva: ora riceverai notifiche quando i tuoi costruttori battono la fiacca!
- Ora puoi salvare le configurazioni di Talenti e usare quelli consigliati con un solo tocco.
- Miglioramenti allo Scavo di tesori: ora puoi aggiungere eroi ai presidi; 40 nuovi livelli; menu del Negozio di scorte migliorato; aggiunta dei pacchetti Ricerca metro rara e Emulsione di ricerca.
- Miglioramenti all'Area di prova equipaggiamento: aggiunta una Microfornace che puoi riempire per ottenere ricompense aggiuntive.
- Miglioramenti a Guerre planetarie: aggiunta di avamposti agli edifici dei Ruderi; Incubatore genetico modificato che consente di ottenere geni e Bucce di banana modificando il luogo; sostituiti gli effetti di alcuni nodi di ricerca genetica; aggiunta la capacità di sostituire geni.
- Miglioramenti alla Conquista di fortezze: aggiunti 50 nuovi livelli; migliorata la modalità di visualizzazione degli avamposti casuali.
- Miglioramenti alle Prove dell'Impasse: migliorata la schermata dei risultati della battaglia.
- Miglioramenti ai benefici in Rapporti: ora puoi verificare l'origine di un beneficio in un rapporto; i percorsi di addestramento principali sono mostrati in una scheda separata per un confronto più semplice.
- Miglioramenti all'equipaggiamento degli eroi: ottimizzata la modalità di equipaggiamento e utilizzo; aggiunta la capacità di immagazzinare l'equipaggiamento.</v>
      </c>
      <c r="O35" s="168" t="str">
        <f>IFERROR(__xludf.DUMMYFUNCTION("""COMPUTED_VALUE"""),"- Nowy Wojownik: Niepowstrzymany wyścigowiec – Cal. Uwielbia banany i rywalizację z innymi zawodnikami! Jego Bananowóz zapewnia ataki obszarowe o dużej sile rażenia!
- Tryb Oblegaj i plądruj: Nowe wydarzenie dla Gangów, w którym Gangi rywalizują ze sobą w"&amp;" opuszczonej bazie wojskowej, aby zdobywać punkty i szukać skarbów Rolanda!
- Tryb Obrona miasta: Nowy tryb na wczesnym etapie rozgrywki, w którym ustawiasz obronę i przeszkody, aby uniemożliwić wrogowi inwazję na swój teren!
- Przekuwanie wyposażenia: Pr"&amp;"zekuwaj dodane atrybuty ulubionego wyposażenia i blokuj atrybuty, które chcesz zachować!
- Ekstrakcja materiałów: Dokonuj ekstrakcji [Nanomateriału], planów i materiałów z wyposażenia, które nie jest ci potrzebne!
- Blokowanie wyposażenia: Zablokuj najlep"&amp;"sze wyposażenie, tak aby go przypadkowo nie stracić!
- Przypomnienie o kolejce bezczynności: Teraz będziesz otrzymywać powiadomienia, gdy dojdzie do bezczynności w kolejce!
- Możesz teraz zapisywać konfiguracje talentów oraz stosować rekomendowane konfigu"&amp;"racje za jednym dotknięciem.
- Udoskonalenia w Zakopanych skarbach: Można teraz dodawać bohaterów do garnizonu; 40 nowych poziomów; udoskonalono menu sklepu z zaopatrzeniem; dodano Rzadkie badanie metra i pakiety Emulsji badawczej.
- Udoskonalenia Poligon"&amp;"u doświadczalnego: Dodano nowy Mini piec, który można wypełnić, aby otrzymać dodatkowe nagrody po przejściu poziomu!
- Udoskonalenia Wojen planet: Dodano posterunki do budynków ruin; dostosowano Inkubator genowy, aby umożliwić otrzymywanie genów i skórek "&amp;"bananów przez Handel genami; zastąpiono efekty niektórych węzłów badań genetycznych; dodano możliwość wymiany genów;
- Udoskonalenia Przejęcia fortecy: Dodano 50 nowych poziomów; udoskonalono wyświetlanie losowych posterunków.
- Udoskonalenia w Próbach im"&amp;"pasu: Zoptymalizowano ekran wyników bitwy.
- Udoskonalenia Wzmocnień w raportach: Teraz można sprawdzać w raporcie, skąd pochodzi Wzmocnienie; główne ścieżki szkoleniowe są teraz wyświetlane w osobnej karcie, aby umożliwić łatwiejsze porównywanie.
- Udosk"&amp;"onalenia Wyposażenia bohatera: Udoskonalono sposób zakładania i używania wyposażenia; dodano możliwość przechowywania wyposażenia.")</f>
        <v>- Nowy Wojownik: Niepowstrzymany wyścigowiec – Cal. Uwielbia banany i rywalizację z innymi zawodnikami! Jego Bananowóz zapewnia ataki obszarowe o dużej sile rażenia!
- Tryb Oblegaj i plądruj: Nowe wydarzenie dla Gangów, w którym Gangi rywalizują ze sobą w opuszczonej bazie wojskowej, aby zdobywać punkty i szukać skarbów Rolanda!
- Tryb Obrona miasta: Nowy tryb na wczesnym etapie rozgrywki, w którym ustawiasz obronę i przeszkody, aby uniemożliwić wrogowi inwazję na swój teren!
- Przekuwanie wyposażenia: Przekuwaj dodane atrybuty ulubionego wyposażenia i blokuj atrybuty, które chcesz zachować!
- Ekstrakcja materiałów: Dokonuj ekstrakcji [Nanomateriału], planów i materiałów z wyposażenia, które nie jest ci potrzebne!
- Blokowanie wyposażenia: Zablokuj najlepsze wyposażenie, tak aby go przypadkowo nie stracić!
- Przypomnienie o kolejce bezczynności: Teraz będziesz otrzymywać powiadomienia, gdy dojdzie do bezczynności w kolejce!
- Możesz teraz zapisywać konfiguracje talentów oraz stosować rekomendowane konfiguracje za jednym dotknięciem.
- Udoskonalenia w Zakopanych skarbach: Można teraz dodawać bohaterów do garnizonu; 40 nowych poziomów; udoskonalono menu sklepu z zaopatrzeniem; dodano Rzadkie badanie metra i pakiety Emulsji badawczej.
- Udoskonalenia Poligonu doświadczalnego: Dodano nowy Mini piec, który można wypełnić, aby otrzymać dodatkowe nagrody po przejściu poziomu!
- Udoskonalenia Wojen planet: Dodano posterunki do budynków ruin; dostosowano Inkubator genowy, aby umożliwić otrzymywanie genów i skórek bananów przez Handel genami; zastąpiono efekty niektórych węzłów badań genetycznych; dodano możliwość wymiany genów;
- Udoskonalenia Przejęcia fortecy: Dodano 50 nowych poziomów; udoskonalono wyświetlanie losowych posterunków.
- Udoskonalenia w Próbach impasu: Zoptymalizowano ekran wyników bitwy.
- Udoskonalenia Wzmocnień w raportach: Teraz można sprawdzać w raporcie, skąd pochodzi Wzmocnienie; główne ścieżki szkoleniowe są teraz wyświetlane w osobnej karcie, aby umożliwić łatwiejsze porównywanie.
- Udoskonalenia Wyposażenia bohatera: Udoskonalono sposób zakładania i używania wyposażenia; dodano możliwość przechowywania wyposażenia.</v>
      </c>
      <c r="P35" s="168" t="str">
        <f>IFERROR(__xludf.DUMMYFUNCTION("""COMPUTED_VALUE"""),"- مقاتل جديد: سرعة الانفجار، كال. يحب الموز ويتحدى المتسابقين الآخرين! سيارته الموزة تمنحه هجمات نطاق شديدة الضرر!
- وضع الحصار والنهب: حدث عصابة جديد حيث تقاتل العصابات المتنافسة داخل قاعدة عسكرية مهجورة لكسب النقاط وربح كنوز رولاند!
- وضع دفاع المدينة: "&amp;"وضع جديد للعبة المبكرة حيث تقوم بإعداد الدفاعات والعقبات لمنع العدو من غزو ما هو لك!
- إعادة صياغة المعدات: أعد صياغة التعزيزات المضافة على معداتك المفضلة وأغلق التعزيزات التي تريد الاحتفاظ بها!
- استخراج المواد: استخرج [المواد النانوية] من المعدات والمخط"&amp;"طات والمواد التي لم تستخدمها!
- قفل المعدات: اقفل أفضل معداتك حتى لا تفقدها دون قصد!
- تذكير طابور الانتظار الخامل: ستتلقى الآن إشعارات عندما يكون لديك طابور انتظار خامل!
- يمكنك الآن حفظ إعدادات المواهب واستخدام الإعدادات الموصى بها بنقرة واحدة.
- تحسينا"&amp;"ت حفر الكنوز: يمكنك الآن إضافة أبطال إلى الحراسة؛ 40 مستوى جديد؛ تم تحسين قائمة متجر الإمدادات؛ تم إضافة أبحاث مترو أنفاق النادرة وباقات الكاشف البحثي.
- تحسينات موقع اختبار المعدات: تم إضافة فرن صغير جديد يمكنك تعبئته لكسب مكافآت إضافية بعد المستوى!
- تح"&amp;"سينات حروب الكوكب: تم إضافة حصون لتدمير المباني؛ تم تعديل حاضنة الجينات، مما يتيح لك الحصول على الجينات وقشور الموز من خلال تجارة الجينات؛ استبدال تأثيرات بعض عقد بحث الجينات؛ تم إضافة القدرة على استبدال الجينات؛
- تحسينات الاستيلاء على الحصن: تم إضافة 50"&amp;" مستوى جديدًا؛ تم تحسين طريقة عرض الحصون العشوائية.
- تحسينات زنزانة الطريق المسدود: تم تحسين شاشة نتائج المعركة.
- تحسينات على التعزيزات في التقارير: يمكنك الآن التحقق من مصدر التعزيزات في التقرير؛ سيتم عرض طرق التدريب الرئيسية في علامة تبويب منفصلة لتسه"&amp;"يل المقارنة.
- تحسينات معدات البطل: تم تحسين كيفية تجهيز المعدات واستخدامها؛ تم إضافة القدرة على تخزين المعدات.")</f>
        <v>- مقاتل جديد: سرعة الانفجار، كال. يحب الموز ويتحدى المتسابقين الآخرين! سيارته الموزة تمنحه هجمات نطاق شديدة الضرر!
- وضع الحصار والنهب: حدث عصابة جديد حيث تقاتل العصابات المتنافسة داخل قاعدة عسكرية مهجورة لكسب النقاط وربح كنوز رولاند!
- وضع دفاع المدينة: وضع جديد للعبة المبكرة حيث تقوم بإعداد الدفاعات والعقبات لمنع العدو من غزو ما هو لك!
- إعادة صياغة المعدات: أعد صياغة التعزيزات المضافة على معداتك المفضلة وأغلق التعزيزات التي تريد الاحتفاظ بها!
- استخراج المواد: استخرج [المواد النانوية] من المعدات والمخططات والمواد التي لم تستخدمها!
- قفل المعدات: اقفل أفضل معداتك حتى لا تفقدها دون قصد!
- تذكير طابور الانتظار الخامل: ستتلقى الآن إشعارات عندما يكون لديك طابور انتظار خامل!
- يمكنك الآن حفظ إعدادات المواهب واستخدام الإعدادات الموصى بها بنقرة واحدة.
- تحسينات حفر الكنوز: يمكنك الآن إضافة أبطال إلى الحراسة؛ 40 مستوى جديد؛ تم تحسين قائمة متجر الإمدادات؛ تم إضافة أبحاث مترو أنفاق النادرة وباقات الكاشف البحثي.
- تحسينات موقع اختبار المعدات: تم إضافة فرن صغير جديد يمكنك تعبئته لكسب مكافآت إضافية بعد المستوى!
- تحسينات حروب الكوكب: تم إضافة حصون لتدمير المباني؛ تم تعديل حاضنة الجينات، مما يتيح لك الحصول على الجينات وقشور الموز من خلال تجارة الجينات؛ استبدال تأثيرات بعض عقد بحث الجينات؛ تم إضافة القدرة على استبدال الجينات؛
- تحسينات الاستيلاء على الحصن: تم إضافة 50 مستوى جديدًا؛ تم تحسين طريقة عرض الحصون العشوائية.
- تحسينات زنزانة الطريق المسدود: تم تحسين شاشة نتائج المعركة.
- تحسينات على التعزيزات في التقارير: يمكنك الآن التحقق من مصدر التعزيزات في التقرير؛ سيتم عرض طرق التدريب الرئيسية في علامة تبويب منفصلة لتسهيل المقارنة.
- تحسينات معدات البطل: تم تحسين كيفية تجهيز المعدات واستخدامها؛ تم إضافة القدرة على تخزين المعدات.</v>
      </c>
      <c r="Q35" s="148"/>
      <c r="R35" s="148"/>
      <c r="S35" s="148"/>
      <c r="T35" s="148"/>
      <c r="U35" s="148"/>
      <c r="V35" s="148"/>
      <c r="W35" s="148"/>
      <c r="X35" s="148"/>
      <c r="Y35" s="148"/>
      <c r="Z35" s="148"/>
    </row>
    <row r="36">
      <c r="A36" s="167" t="str">
        <f>IFERROR(__xludf.DUMMYFUNCTION("""COMPUTED_VALUE"""),"0.51.5.0")</f>
        <v>0.51.5.0</v>
      </c>
      <c r="B36" s="148" t="str">
        <f>IFERROR(__xludf.DUMMYFUNCTION("""COMPUTED_VALUE"""),"-新增科技节活动：
-遗迹探索：探索科学遗迹，赢取限定豪华主城皮肤和其它丰富奖励！
-能源大飞跃：提升活动等级，有机会获取全新行军皮肤“科技光辉”!
-进击的巨猿：科技节期间，霍格博士控制的毁灭巨猿四处作乱，攻击它可以获得累计积分奖励！
-新增语言:增加阿拉伯语")</f>
        <v>-新增科技节活动：
-遗迹探索：探索科学遗迹，赢取限定豪华主城皮肤和其它丰富奖励！
-能源大飞跃：提升活动等级，有机会获取全新行军皮肤“科技光辉”!
-进击的巨猿：科技节期间，霍格博士控制的毁灭巨猿四处作乱，攻击它可以获得累计积分奖励！
-新增语言:增加阿拉伯语</v>
      </c>
      <c r="C36" s="148" t="str">
        <f>IFERROR(__xludf.DUMMYFUNCTION("""COMPUTED_VALUE"""),"-New Technology Festival event:
-Ruin Excavation: Explore scientific ruins and win limited deluxe main city skins and other rich rewards!
-Energy Breakthrough: Increase event level and have a chance to get the new marching skinSplendor of Technology!
-Gig"&amp;"anto Assault: During the Technology Festival, Dr. Hogg's controlled destructive Gigantos are causing chaos everywhere. Attacking them can earn cumulative points rewards!
-New Language: Added Arabic.")</f>
        <v>-New Technology Festival event:
-Ruin Excavation: Explore scientific ruins and win limited deluxe main city skins and other rich rewards!
-Energy Breakthrough: Increase event level and have a chance to get the new marching skinSplendor of Technology!
-Giganto Assault: During the Technology Festival, Dr. Hogg's controlled destructive Gigantos are causing chaos everywhere. Attacking them can earn cumulative points rewards!
-New Language: Added Arabic.</v>
      </c>
      <c r="D36" s="148" t="str">
        <f>IFERROR(__xludf.DUMMYFUNCTION("""COMPUTED_VALUE"""),"-Évènement du Festival de la Nouvelle Technologie:
-Excavation de ruines: Explorez des ruines scientifiques et gagnez des skins de ville principale de luxe limités et d'autres récompenses riches!
-Saut d'énergie: Augmentez le niveau de l'évènement et ayez"&amp;" une chance d'obtenir le nouveau skin de marche ""Majesté de la Technologie""!
-Attaque des Gigantos: Pendant le Festival de la Technologie, les Gigantos destructeurs contrôlés par le Dr. Hogg causent le chaos partout. Les attaquer peut rapporter des réco"&amp;"mpenses de points cumulatifs!
-Nouvelle langue: Ajout de l'arabe.")</f>
        <v>-Évènement du Festival de la Nouvelle Technologie:
-Excavation de ruines: Explorez des ruines scientifiques et gagnez des skins de ville principale de luxe limités et d'autres récompenses riches!
-Saut d'énergie: Augmentez le niveau de l'évènement et ayez une chance d'obtenir le nouveau skin de marche "Majesté de la Technologie"!
-Attaque des Gigantos: Pendant le Festival de la Technologie, les Gigantos destructeurs contrôlés par le Dr. Hogg causent le chaos partout. Les attaquer peut rapporter des récompenses de points cumulatifs!
-Nouvelle langue: Ajout de l'arabe.</v>
      </c>
      <c r="E36" s="148" t="str">
        <f>IFERROR(__xludf.DUMMYFUNCTION("""COMPUTED_VALUE"""),"-Neues Technologie-Festival-Event:
-Ruinen-Grabung: Erforsche wissenschaftliche Ruinen und gewinne limitierte Deluxe-Hauptstadt-Skins und andere reiche Belohnungen!
-Energie-Sprung: Erhöhe das Event-Level und habe die Chance, den neuen Marsch-Skin ""Legat"&amp;" der Technologie"" zu erhalten!
-Angriff der Gigantos: Während des Technologie-Festivals verursachen Dr. Hoggs kontrollierte zerstörerische Gigantos überall Chaos. Der Angriff auf sie kann kumulative Punktebelohnungen verdienen!
-Neue Sprache: Arabisch hi"&amp;"nzugefügt.")</f>
        <v>-Neues Technologie-Festival-Event:
-Ruinen-Grabung: Erforsche wissenschaftliche Ruinen und gewinne limitierte Deluxe-Hauptstadt-Skins und andere reiche Belohnungen!
-Energie-Sprung: Erhöhe das Event-Level und habe die Chance, den neuen Marsch-Skin "Legat der Technologie" zu erhalten!
-Angriff der Gigantos: Während des Technologie-Festivals verursachen Dr. Hoggs kontrollierte zerstörerische Gigantos überall Chaos. Der Angriff auf sie kann kumulative Punktebelohnungen verdienen!
-Neue Sprache: Arabisch hinzugefügt.</v>
      </c>
      <c r="F36" s="148" t="str">
        <f>IFERROR(__xludf.DUMMYFUNCTION("""COMPUTED_VALUE"""),"Evento do Festival de Nova Tecnologia:
Escavação de Ruínas: Explore ruínas científicas e ganhe skins de cidade principal de luxo limitadas e outras recompensas valiosas!
Salto de Energia: Aumente o nível do evento e tenha a chance de obter a nova skin de "&amp;"marcha ""Esplendor da Tecnologia""!
Ataque dos Gigantos: Durante o Festival de Tecnologia, os Gigantos destrutivos controlados pelo Dr. Hogg estão causando caos em todos os lugares. Atacá-los pode render recompensas de pontos cumulativos!
Novo Idioma: Adi"&amp;"cionado o árabe.")</f>
        <v>Evento do Festival de Nova Tecnologia:
Escavação de Ruínas: Explore ruínas científicas e ganhe skins de cidade principal de luxo limitadas e outras recompensas valiosas!
Salto de Energia: Aumente o nível do evento e tenha a chance de obter a nova skin de marcha "Esplendor da Tecnologia"!
Ataque dos Gigantos: Durante o Festival de Tecnologia, os Gigantos destrutivos controlados pelo Dr. Hogg estão causando caos em todos os lugares. Atacá-los pode render recompensas de pontos cumulativos!
Novo Idioma: Adicionado o árabe.</v>
      </c>
      <c r="G36" s="148" t="str">
        <f>IFERROR(__xludf.DUMMYFUNCTION("""COMPUTED_VALUE"""),"-新增科技節活動：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-新增語言:增加阿拉伯語")</f>
        <v>-新增科技節活動：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-新增語言:增加阿拉伯語</v>
      </c>
      <c r="H36" s="148" t="str">
        <f>IFERROR(__xludf.DUMMYFUNCTION("""COMPUTED_VALUE"""),"- Acara Teknologi Baru:
- Eksplorasi Reruntuhan: Jelajahi reruntuhan ilmiah dan menangkan Skin Istana Kota Mewah terbatas dan hadiah lainnya!
- Lompatan Besar Energi: Tingkatkan level acara dan dapatkan Skin Berbaris baru ""Splendor Teknologi""!
- Seranga"&amp;"n Gigantos: Selama acara Teknologi, Gigantos kehancuran yang dikendalikan oleh Dr. Hogg menyerang di mana-mana. Seranglah mereka untuk mendapatkan hadiah poin kumulatif!
- Bahasa baru: Menambahkan bahasa Arab.")</f>
        <v>- Acara Teknologi Baru:
- Eksplorasi Reruntuhan: Jelajahi reruntuhan ilmiah dan menangkan Skin Istana Kota Mewah terbatas dan hadiah lainnya!
- Lompatan Besar Energi: Tingkatkan level acara dan dapatkan Skin Berbaris baru "Splendor Teknologi"!
- Serangan Gigantos: Selama acara Teknologi, Gigantos kehancuran yang dikendalikan oleh Dr. Hogg menyerang di mana-mana. Seranglah mereka untuk mendapatkan hadiah poin kumulatif!
- Bahasa baru: Menambahkan bahasa Arab.</v>
      </c>
      <c r="I36" s="148" t="str">
        <f>IFERROR(__xludf.DUMMYFUNCTION("""COMPUTED_VALUE"""),"- เพิ่มกิจกรรมเทคโนโลยีใหม่:
- การขุดสำรวจซากโบราณ: สำรวจซากโบราณวิทยาศาสตร์เพื่อรับสกินหลักเมืองหรูหราและรางวัลอื่น ๆ ที่หลากหลาย!
- กระโดดสู่อนาคตของพลังงาน: เพิ่มระดับกิจกรรมและมีโอกาสรับสกินเดินทัพใหม่ ""Splendor""!
- ก้าวไกลสู่กิจกรรมกำเนิดวานร: ในช่"&amp;"วงเทศกาลเทคโนโลยีนี้ มหาเศรษฐีที่ควบคุมโดยดร.ฮ็อกก์กำลังทำลายทั่วไป การโจมตีมันจะได้รับรางวัลคะแนนสะสม!
- เพิ่มภาษาอาหรับ")</f>
        <v>- เพิ่มกิจกรรมเทคโนโลยีใหม่:
- การขุดสำรวจซากโบราณ: สำรวจซากโบราณวิทยาศาสตร์เพื่อรับสกินหลักเมืองหรูหราและรางวัลอื่น ๆ ที่หลากหลาย!
- กระโดดสู่อนาคตของพลังงาน: เพิ่มระดับกิจกรรมและมีโอกาสรับสกินเดินทัพใหม่ "Splendor"!
- ก้าวไกลสู่กิจกรรมกำเนิดวานร: ในช่วงเทศกาลเทคโนโลยีนี้ มหาเศรษฐีที่ควบคุมโดยดร.ฮ็อกก์กำลังทำลายทั่วไป การโจมตีมันจะได้รับรางวัลคะแนนสะสม!
- เพิ่มภาษาอาหรับ</v>
      </c>
      <c r="J36" s="148" t="str">
        <f>IFERROR(__xludf.DUMMYFUNCTION("""COMPUTED_VALUE"""),"Evento del Festival de Nueva Tecnología:
Excavación de Ruinas: ¡Explora las ruinas científicas y gana pieles de ciudad principales de lujo limitadas y otras recompensas valiosas!
Salto de Energía: ¡Aumenta el nivel del evento y tienes la oportunidad de ob"&amp;"tener la nueva piel de marcha ""Esplendor de la Tecnología""!
Ataque de los Gigantos: Durante el Festival de Tecnología, los Gigantos destructivos controlados por el Dr. Hogg están causando caos en todas partes. ¡Atacarlos puede ganar recompensas de punto"&amp;"s acumulativos!
Nuevo Idioma: Se agregó el árabe.")</f>
        <v>Evento del Festival de Nueva Tecnología:
Excavación de Ruinas: ¡Explora las ruinas científicas y gana pieles de ciudad principales de lujo limitadas y otras recompensas valiosas!
Salto de Energía: ¡Aumenta el nivel del evento y tienes la oportunidad de obtener la nueva piel de marcha "Esplendor de la Tecnología"!
Ataque de los Gigantos: Durante el Festival de Tecnología, los Gigantos destructivos controlados por el Dr. Hogg están causando caos en todas partes. ¡Atacarlos puede ganar recompensas de puntos acumulativos!
Nuevo Idioma: Se agregó el árabe.</v>
      </c>
      <c r="K36" s="148" t="str">
        <f>IFERROR(__xludf.DUMMYFUNCTION("""COMPUTED_VALUE"""),"Событие «Фестиваль новых технологий»:
-Раскопки руин: Исследуйте научные руины и выиграйте ограниченные роскошные скины для главного города и другие богатые награды!
-Энергетический прыжок: Повышайте уровень события и получайте шанс получить новый маршевы"&amp;"й скин «Великий вождь технологий»!
-Атака Гиганто: Во время Фестиваля технологий контролируемые доктором Хоггом разрушительные Гиганто вызывают хаос повсюду. Атакуя их, можно заработать кумулятивные очки наград!
-Новый язык: Добавлен арабский.")</f>
        <v>Событие «Фестиваль новых технологий»:
-Раскопки руин: Исследуйте научные руины и выиграйте ограниченные роскошные скины для главного города и другие богатые награды!
-Энергетический прыжок: Повышайте уровень события и получайте шанс получить новый маршевый скин «Великий вождь технологий»!
-Атака Гиганто: Во время Фестиваля технологий контролируемые доктором Хоггом разрушительные Гиганто вызывают хаос повсюду. Атакуя их, можно заработать кумулятивные очки наград!
-Новый язык: Добавлен арабский.</v>
      </c>
      <c r="L36" s="148" t="str">
        <f>IFERROR(__xludf.DUMMYFUNCTION("""COMPUTED_VALUE"""),"-Yeni Teknoloji Festivali etkinliği:
-Harabe Kazısı: Bilimsel harabeleri keşfet ve sınırlı sayıda lüks ana şehir görünümü ve diğer zengin ödülleri kazan!
-Enerji Sıçraması: Etkinlik seviyesini artır ve yeni yürüyüş görünümü ""Görkemli Teknoloji""yi kazanm"&amp;"a şansı yakala!
-Gigantoların Saldırısı: Teknoloji Festivali sırasında, Dr. Hogg'un kontrolündeki yıkıcı Gigantolar her yerde kaos yaratıyor. Onları saldırarak birikimli puan ödülleri kazanabilirsin!
-Yeni Dil: Arapça eklendi.")</f>
        <v>-Yeni Teknoloji Festivali etkinliği:
-Harabe Kazısı: Bilimsel harabeleri keşfet ve sınırlı sayıda lüks ana şehir görünümü ve diğer zengin ödülleri kazan!
-Enerji Sıçraması: Etkinlik seviyesini artır ve yeni yürüyüş görünümü "Görkemli Teknoloji"yi kazanma şansı yakala!
-Gigantoların Saldırısı: Teknoloji Festivali sırasında, Dr. Hogg'un kontrolündeki yıkıcı Gigantolar her yerde kaos yaratıyor. Onları saldırarak birikimli puan ödülleri kazanabilirsin!
-Yeni Dil: Arapça eklendi.</v>
      </c>
      <c r="M36" s="148" t="str">
        <f>IFERROR(__xludf.DUMMYFUNCTION("""COMPUTED_VALUE"""),"-Thêm sự kiện Công Nghệ:
- Tìm Kiếm Tàn Tích: Khám phá tàn tích khoa học, giành được Màu Hỏa Tiễn giới hạn cho Thành Chính và nhiều phần thưởng phong phú khác!
- Bước Nhảy Công Nghệ: Nâng cấp cấp độ sự kiện, có cơ hội nhận được Giao Diện Sảnh Hỏa Tiễn mới"&amp;" cho hành quân!
- Vượn Khổng Lồ Tấn Công: Trong sự kiện Công Nghệ, Vượn Khổng Lồ tàn phá do Tiến Sĩ Hogg kiểm soát, tấn công chúng để nhận được phần thưởng tích lũy điểm!
- Thêm Ngôn Ngữ: Thêm Tiếng Ả Rập.")</f>
        <v>-Thêm sự kiện Công Nghệ:
- Tìm Kiếm Tàn Tích: Khám phá tàn tích khoa học, giành được Màu Hỏa Tiễn giới hạn cho Thành Chính và nhiều phần thưởng phong phú khác!
- Bước Nhảy Công Nghệ: Nâng cấp cấp độ sự kiện, có cơ hội nhận được Giao Diện Sảnh Hỏa Tiễn mới cho hành quân!
- Vượn Khổng Lồ Tấn Công: Trong sự kiện Công Nghệ, Vượn Khổng Lồ tàn phá do Tiến Sĩ Hogg kiểm soát, tấn công chúng để nhận được phần thưởng tích lũy điểm!
- Thêm Ngôn Ngữ: Thêm Tiếng Ả Rập.</v>
      </c>
      <c r="N36" s="108" t="str">
        <f>IFERROR(__xludf.DUMMYFUNCTION("""COMPUTED_VALUE"""),"Evento del Festival della Nuova Tecnologia:
Scavo dei Ruderi: Esplora i ruderi scientifici e vinci skin deluxe limitate per la città principale e altre ricche ricompense!
Salto energetico: Aumenta il livello dell'evento e hai la possibilità di ottenere la"&amp;" nuova skin marciante ""Splendore della Tecnologia""!
Attacco dei Gigagorilla: Durante il Festival della Tecnologia, i distruttivi Gigagorilla controllati dal Dottor Hogg stanno causando il caos ovunque. Attaccarli può guadagnare punti cumulativi di ricom"&amp;"pensa!
Nuova lingua: Aggiunto l'arabo.")</f>
        <v>Evento del Festival della Nuova Tecnologia:
Scavo dei Ruderi: Esplora i ruderi scientifici e vinci skin deluxe limitate per la città principale e altre ricche ricompense!
Salto energetico: Aumenta il livello dell'evento e hai la possibilità di ottenere la nuova skin marciante "Splendore della Tecnologia"!
Attacco dei Gigagorilla: Durante il Festival della Tecnologia, i distruttivi Gigagorilla controllati dal Dottor Hogg stanno causando il caos ovunque. Attaccarli può guadagnare punti cumulativi di ricompensa!
Nuova lingua: Aggiunto l'arabo.</v>
      </c>
      <c r="O36" s="148" t="str">
        <f>IFERROR(__xludf.DUMMYFUNCTION("""COMPUTED_VALUE"""),"- Nowe wydarzenie technologiczne:
- Wykopaliska: Odkrywaj naukowe ruiny i zdobywaj limitowane skórki dla swojego miasta oraz inne bogate nagrody!
- Wielki skok energetyczny: Zwiększ poziom wydarzenia i zdobądź nową skórkę marszu ""Splendor""!
- Atak gi"&amp;"gantycznych małp: Podczas wydarzenia technologicznego, dr Hogg kontroluje gigantyczne małpy, które atakują na każdym kroku. Atakuj je, aby zdobyć nagrody punktowe!
- Nowy język: Dodano język arabski!")</f>
        <v>- Nowe wydarzenie technologiczne:
- Wykopaliska: Odkrywaj naukowe ruiny i zdobywaj limitowane skórki dla swojego miasta oraz inne bogate nagrody!
- Wielki skok energetyczny: Zwiększ poziom wydarzenia i zdobądź nową skórkę marszu "Splendor"!
- Atak gigantycznych małp: Podczas wydarzenia technologicznego, dr Hogg kontroluje gigantyczne małpy, które atakują na każdym kroku. Atakuj je, aby zdobyć nagrody punktowe!
- Nowy język: Dodano język arabski!</v>
      </c>
      <c r="P36" s="148" t="str">
        <f>IFERROR(__xludf.DUMMYFUNCTION("""COMPUTED_VALUE"""),"""حدث مهرجان التكنولوجيا الجديد:
- حفر الأنقاض: استكشف الأنقاض العلمية واربح الجلود الرئيسية المحدودة الفاخرة للمدينة ومكافآت غنية أخرى!
- قفزة الطاقة: زيادة مستوى الحدث وفرصة للحصول على جلد المسير الجديد """"الفخامة التكنولوجية""""!
- هجوم القرود العم"&amp;"لاقة: خلال مهرجان التكنولوجيا، تسبب القرود العملاقة المدمرة المسيطر عليها من قبل الدكتور هوغ في الفوضى في كل مكان. يمكن الحصول على مكافآت نقاط تراكمية عند مهاجمتهم!
- لغة جديدة: تمت إضافة اللغة العربية.""")</f>
        <v>"حدث مهرجان التكنولوجيا الجديد:
- حفر الأنقاض: استكشف الأنقاض العلمية واربح الجلود الرئيسية المحدودة الفاخرة للمدينة ومكافآت غنية أخرى!
- قفزة الطاقة: زيادة مستوى الحدث وفرصة للحصول على جلد المسير الجديد ""الفخامة التكنولوجية""!
- هجوم القرود العملاقة: خلال مهرجان التكنولوجيا، تسبب القرود العملاقة المدمرة المسيطر عليها من قبل الدكتور هوغ في الفوضى في كل مكان. يمكن الحصول على مكافآت نقاط تراكمية عند مهاجمتهم!
- لغة جديدة: تمت إضافة اللغة العربية."</v>
      </c>
      <c r="Q36" s="148"/>
      <c r="R36" s="148"/>
      <c r="S36" s="148"/>
      <c r="T36" s="148"/>
      <c r="U36" s="148"/>
      <c r="V36" s="148"/>
      <c r="W36" s="148"/>
      <c r="X36" s="148"/>
      <c r="Y36" s="148"/>
      <c r="Z36" s="148"/>
    </row>
    <row r="37">
      <c r="A37" s="167" t="str">
        <f>IFERROR(__xludf.DUMMYFUNCTION("""COMPUTED_VALUE"""),"0.52.0")</f>
        <v>0.52.0</v>
      </c>
      <c r="B37" s="148" t="str">
        <f>IFERROR(__xludf.DUMMYFUNCTION("""COMPUTED_VALUE"""),"-新增斗士：远航水手-哈迪，为了神秘宝藏，乘风破浪的水手！可通过“最强猴子”获取。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-新增军备远征玩法：玩家可提升军备实力，连续闯关，获得远征奖励
-新增复活节活动：
彩蛋有礼：敲击幸运彩蛋，赢取限定豪华主城皮肤和其它丰富奖励！
彩蛋节派对：收集魔术棒，赢取惊喜奖励！提升活动等级，有机会获取全新行军皮肤“炫彩悦动”!
进击的"&amp;"巨猿：复活节期间，霍格博士控制的毁灭巨猿四处作乱，攻击它可以获得累计积分奖励！
红包功能：红包活动限时返场，获得红包道具后可以选择聊天频道发放红包给频道内的玩家！
-新增斗士转换功能：在新服务器开服前15天，玩家可以免费在自身同品质的斗士之间进行经验和星级的交换
-新增酒馆英雄自选功能：在一定数量的豪华宴会抽取后，酒馆开启英雄自选功能，玩家可在奖池自由选择想抽取的英雄
-新增精英竞技场玩法：为全能竞技场进行了全新升级，分路挑战，迷雾遮挡，是硬实力还是绝佳的头脑？等你来挑战！(游戏进行到一定阶段后替代全能竞"&amp;"技场）
-堡垒对决玩法升级：新增火箭发射器，增加了50关火箭发射器关卡，图鉴更新了火箭发射器相关内容
-好友系统功能升级：增加了实力对比和相互对战的功能，优化了好友系统的显示
-惊喜藏品屋优化：全新收藏品加入藏品屋，同时新增自选功能，可自行选择想要的收藏品系列
-银河战争优化：优化了选择落点的机制，前三名的军团拥有一次更换落点的机会")</f>
        <v>-新增斗士：远航水手-哈迪，为了神秘宝藏，乘风破浪的水手！可通过“最强猴子”获取。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-新增军备远征玩法：玩家可提升军备实力，连续闯关，获得远征奖励
-新增复活节活动：
彩蛋有礼：敲击幸运彩蛋，赢取限定豪华主城皮肤和其它丰富奖励！
彩蛋节派对：收集魔术棒，赢取惊喜奖励！提升活动等级，有机会获取全新行军皮肤“炫彩悦动”!
进击的巨猿：复活节期间，霍格博士控制的毁灭巨猿四处作乱，攻击它可以获得累计积分奖励！
红包功能：红包活动限时返场，获得红包道具后可以选择聊天频道发放红包给频道内的玩家！
-新增斗士转换功能：在新服务器开服前15天，玩家可以免费在自身同品质的斗士之间进行经验和星级的交换
-新增酒馆英雄自选功能：在一定数量的豪华宴会抽取后，酒馆开启英雄自选功能，玩家可在奖池自由选择想抽取的英雄
-新增精英竞技场玩法：为全能竞技场进行了全新升级，分路挑战，迷雾遮挡，是硬实力还是绝佳的头脑？等你来挑战！(游戏进行到一定阶段后替代全能竞技场）
-堡垒对决玩法升级：新增火箭发射器，增加了50关火箭发射器关卡，图鉴更新了火箭发射器相关内容
-好友系统功能升级：增加了实力对比和相互对战的功能，优化了好友系统的显示
-惊喜藏品屋优化：全新收藏品加入藏品屋，同时新增自选功能，可自行选择想要的收藏品系列
-银河战争优化：优化了选择落点的机制，前三名的军团拥有一次更换落点的机会</v>
      </c>
      <c r="C37" s="148" t="str">
        <f>IFERROR(__xludf.DUMMYFUNCTION("""COMPUTED_VALUE"""),"- New Fighter: Seafarer Hardy - A sailor who braves the waves in search of mysterious treasures! Obtainable through the ""Ultimate Monkey"" event.
- New Relics: Introducing 5 new sets of relics - Bluff &amp; Bluster, Gleaming Gold, Ace Sportsmen, Trend &amp; Fash"&amp;"ion, and Health Checkup. Obtainable through the ""Surprise Relic Vault"" event.
- New Fortress Looter gameplay: Match with other players and compete for resources through strategic battles.
- New Gear Expedition gameplay: Players can enhance their militar"&amp;"y strength, challenge consecutive stages, and earn expedition rewards.
- New Easter Event:
Lucky Egg Surprise: Crack lucky eggs to win exclusive deluxe base skins and other rich rewards!
Lucky Egg Party: Collect Magic Wands and win surprise rewards! Level"&amp;" up in the event for a chance to get the new march skin ""Color Melody""!
Giganto Assault: During Easter, Dr. Hogg's Doom Giganto is causing chaos everywhere. Attack it to earn cumulative points rewards!
Red Envelope Feature: The Red Envelope event is bac"&amp;"k for a limited time! Obtain Red Envelope items and choose a chat channel to send them to players in the channel!
- New Fighter Swap feature: For the first 15 days after a new server opens, players can freely swap experience and star levels between Fighte"&amp;"rs of the same quality.
- New Tavern Hero Selection feature: After a certain number of Deluxe Banquets, the Tavern will unlock the Hero Selection feature, allowing players to freely choose the Hero they want to draw from the pool.
- New Champion Brawl gam"&amp;"eplay: A brand new upgrade for the Balanced Brawl, featuring lane challenges and fog cover. Will it be raw power or brilliant strategy? It's up to you to take on the challenge! (Replaces Balanced Brawl after reaching a certain stage in the game)
- Fortres"&amp;"s Takeover gameplay upgrade: Added Rocket Launcher, with 50 new Rocket Launcher levels and updated the gallery with Rocket Launcher-related content.
- Friend System feature upgrade: Added strength comparison and mutual battle features, optimized the displ"&amp;"ay of the Friend System.
- Surprise Relic Vault Optimization: New Relics have been added to the Relic Vault, along with a new ""Choose Your Own"" feature, allowing you to select the Relic series you want.
- Planet Wars Optimization: Improved the mechanism"&amp;" for selecting landing points, with the top three Armies having the opportunity to change their landing point once.")</f>
        <v>- New Fighter: Seafarer Hardy - A sailor who braves the waves in search of mysterious treasures! Obtainable through the "Ultimate Monkey" event.
- New Relics: Introducing 5 new sets of relics - Bluff &amp; Bluster, Gleaming Gold, Ace Sportsmen, Trend &amp; Fashion, and Health Checkup. Obtainable through the "Surprise Relic Vault" event.
- New Fortress Looter gameplay: Match with other players and compete for resources through strategic battles.
- New Gear Expedition gameplay: Players can enhance their military strength, challenge consecutive stages, and earn expedition rewards.
- New Easter Event:
Lucky Egg Surprise: Crack lucky eggs to win exclusive deluxe base skins and other rich rewards!
Lucky Egg Party: Collect Magic Wands and win surprise rewards! Level up in the event for a chance to get the new march skin "Color Melody"!
Giganto Assault: During Easter, Dr. Hogg's Doom Giganto is causing chaos everywhere. Attack it to earn cumulative points rewards!
Red Envelope Feature: The Red Envelope event is back for a limited time! Obtain Red Envelope items and choose a chat channel to send them to players in the channel!
- New Fighter Swap feature: For the first 15 days after a new server opens, players can freely swap experience and star levels between Fighters of the same quality.
- New Tavern Hero Selection feature: After a certain number of Deluxe Banquets, the Tavern will unlock the Hero Selection feature, allowing players to freely choose the Hero they want to draw from the pool.
- New Champion Brawl gameplay: A brand new upgrade for the Balanced Brawl, featuring lane challenges and fog cover. Will it be raw power or brilliant strategy? It's up to you to take on the challenge! (Replaces Balanced Brawl after reaching a certain stage in the game)
- Fortress Takeover gameplay upgrade: Added Rocket Launcher, with 50 new Rocket Launcher levels and updated the gallery with Rocket Launcher-related content.
- Friend System feature upgrade: Added strength comparison and mutual battle features, optimized the display of the Friend System.
- Surprise Relic Vault Optimization: New Relics have been added to the Relic Vault, along with a new "Choose Your Own" feature, allowing you to select the Relic series you want.
- Planet Wars Optimization: Improved the mechanism for selecting landing points, with the top three Armies having the opportunity to change their landing point once.</v>
      </c>
      <c r="D37" s="148" t="str">
        <f>IFERROR(__xludf.DUMMYFUNCTION("""COMPUTED_VALUE"""),"Nouveau combattant ajouté : le marin au long cours - Hardy, un marin qui brave les tempêtes pour trouver des trésors mystérieux ! Disponible via l'événement ""Singe ultime"".
Nouvelles reliques: Présentation de 5 nouveaux ensembles de reliques - Fanfaronn"&amp;"ade, Dorures, Athlétisme, Mode et Santé. Obtenez-les lors de l'événement ""Coffre-fort de reliques surprise"".
Nouveau gameplay de pillage de forteresse : affrontez d'autres joueurs et rivalisez pour les ressources lors de batailles stratégiques.
Nouveau "&amp;"gameplay d'expédition de matériel : Les joueurs peuvent renforcer leur puissance militaire, affronter des étapes consécutives et gagner des récompenses d'expédition.
Nouvel évènement de Pâques:
Œuf-chance surprise: Brisez les œufs-surprises pour gagner de"&amp;"s skins de base deluxe exclusifs et d'autres récompenses riches!
Fête des œufs-surprises: Obtenez des baguettes magiques et gagnez des récompenses surprises! Améliorez votre niveau pendant l'évènement pour tenter de gagner la nouvelle apparence de marche "&amp;"""Mélodie colorée""!
Assaut de Giganto: Pendant Pâques, le giganto maudit du Dr Hogg sème le chaos partout. Attaquez-le pour gagner des points cumulatifs et des récompenses!
Fonctionnalité de l'enveloppe rouge: L'événement de l'enveloppe rouge est de reto"&amp;"ur pour une durée limitée! Obtenez des objets d'enveloppe rouge et choisissez un canal de discussion pour les envoyer aux joueurs du canal!
Nouvelle fonctionnalité d'échange de combattants : Pendant les 15 premiers jours après l'ouverture d'un nouveau ser"&amp;"veur, les joueurs peuvent échanger librement l'expérience et les niveaux d'étoiles entre des combattants de même qualité.
Nouvelle fonctionnalité de sélection de héros à la taverne : Après un certain nombre de banquets deluxe, la taverne débloquera la fon"&amp;"ctionnalité de sélection de héros, permettant aux joueurs de choisir librement le héros qu'ils veulent tirer de la piscine.
Nouveau gameplay du Choc des champions : une mise à niveau toute neuve pour la Baston Polyvalente, avec des défis de rangée et une "&amp;"couverture de brouillard. Sera-ce la puissance brute ou la stratégie brillante qui l'emportera ? C'est à vous de relever le défi ! (Remplace la Baston Polyvalente après avoir atteint un certain stade dans le jeu)
Mise à niveau du gameplay de la prise de f"&amp;"orteresse : Ajout du lance-roquettes, avec 50 nouveaux niveaux de lance-roquettes et mise à jour de la galerie avec du contenu lié au lance-roquettes.
Mise à jour de la fonctionnalité du système d'amis: ajout de la comparaison de force et des fonctionnali"&amp;"tés de bataille mutuelle, optimisation de l'affichage du système d'amis.
Optimisation de la salle aux reliques surprises : de nouvelles reliques ont été ajoutées à la salle, ainsi qu'une nouvelle fonctionnalité ""Choisissez votre série"", vous permettant "&amp;"de sélectionner la série de reliques que vous souhaitez.
Optimisation de Guerre planétaire : Amélioration du mécanisme de sélection des points d'atterrissage, les trois meilleures armées ont désormais la possibilité de changer leur point d'atterrissage un"&amp;"e fois.")</f>
        <v>Nouveau combattant ajouté : le marin au long cours - Hardy, un marin qui brave les tempêtes pour trouver des trésors mystérieux ! Disponible via l'événement "Singe ultime".
Nouvelles reliques: Présentation de 5 nouveaux ensembles de reliques - Fanfaronnade, Dorures, Athlétisme, Mode et Santé. Obtenez-les lors de l'événement "Coffre-fort de reliques surprise".
Nouveau gameplay de pillage de forteresse : affrontez d'autres joueurs et rivalisez pour les ressources lors de batailles stratégiques.
Nouveau gameplay d'expédition de matériel : Les joueurs peuvent renforcer leur puissance militaire, affronter des étapes consécutives et gagner des récompenses d'expédition.
Nouvel évènement de Pâques:
Œuf-chance surprise: Brisez les œufs-surprises pour gagner des skins de base deluxe exclusifs et d'autres récompenses riches!
Fête des œufs-surprises: Obtenez des baguettes magiques et gagnez des récompenses surprises! Améliorez votre niveau pendant l'évènement pour tenter de gagner la nouvelle apparence de marche "Mélodie colorée"!
Assaut de Giganto: Pendant Pâques, le giganto maudit du Dr Hogg sème le chaos partout. Attaquez-le pour gagner des points cumulatifs et des récompenses!
Fonctionnalité de l'enveloppe rouge: L'événement de l'enveloppe rouge est de retour pour une durée limitée! Obtenez des objets d'enveloppe rouge et choisissez un canal de discussion pour les envoyer aux joueurs du canal!
Nouvelle fonctionnalité d'échange de combattants : Pendant les 15 premiers jours après l'ouverture d'un nouveau serveur, les joueurs peuvent échanger librement l'expérience et les niveaux d'étoiles entre des combattants de même qualité.
Nouvelle fonctionnalité de sélection de héros à la taverne : Après un certain nombre de banquets deluxe, la taverne débloquera la fonctionnalité de sélection de héros, permettant aux joueurs de choisir librement le héros qu'ils veulent tirer de la piscine.
Nouveau gameplay du Choc des champions : une mise à niveau toute neuve pour la Baston Polyvalente, avec des défis de rangée et une couverture de brouillard. Sera-ce la puissance brute ou la stratégie brillante qui l'emportera ? C'est à vous de relever le défi ! (Remplace la Baston Polyvalente après avoir atteint un certain stade dans le jeu)
Mise à niveau du gameplay de la prise de forteresse : Ajout du lance-roquettes, avec 50 nouveaux niveaux de lance-roquettes et mise à jour de la galerie avec du contenu lié au lance-roquettes.
Mise à jour de la fonctionnalité du système d'amis: ajout de la comparaison de force et des fonctionnalités de bataille mutuelle, optimisation de l'affichage du système d'amis.
Optimisation de la salle aux reliques surprises : de nouvelles reliques ont été ajoutées à la salle, ainsi qu'une nouvelle fonctionnalité "Choisissez votre série", vous permettant de sélectionner la série de reliques que vous souhaitez.
Optimisation de Guerre planétaire : Amélioration du mécanisme de sélection des points d'atterrissage, les trois meilleures armées ont désormais la possibilité de changer leur point d'atterrissage une fois.</v>
      </c>
      <c r="E37" s="148" t="str">
        <f>IFERROR(__xludf.DUMMYFUNCTION("""COMPUTED_VALUE"""),"Neuer Kämpfer: Der Seefahrer Hardy, ein Seemann, der für geheimnisvolle Schätze über die Wellen reitet! Kann durch ""Ultimativer Affe"" erhalten werden.
Neue Relikte: Einführung von 5 neuen Relikt-Sets - Bluff &amp; Bluster, Glänzendes Gold, Top Sportsmänner,"&amp;" Trend &amp; Mode und Gesundheitscheck. Erhältlich durch das Ereignis ""Überraschungs-Relikt-Tresor"".
Neues Fortress Looter Gameplay: Trete gegen andere Spieler an und kämpfe durch strategische Schlachten um Ressourcen.
Neues Ausrüstungs-Expeditions-Gameplay"&amp;": Spieler können ihre militärische Stärke verbessern, aufeinanderfolgende Stufen herausfordern und Expedition-Belohnungen verdienen.
Neues Oster-Event:
Glücksei-Überraschung: Knacke Glückseier, um exklusive Deluxe-Basis-Skins und andere reiche Belohnungen"&amp;" zu gewinnen!
Glücksei-Party: Sammle Zauberstäbe und gewinne Überraschungsbelohnungen! Erhöhe dein Level im Event und erhalte eine Chance auf die neue Marschhaut ""Farbmelodie""!
Giganto-Angriff: Während Ostern sorgt Dr. Hoggs Unheils-Giganto überall für "&amp;"Chaos. Greife ihn an, um kumulative Punktebelohnungen zu verdienen!
Roter-Umschlag-Funktion: Das Roter-Umschlag-Event ist für begrenzte Zeit zurück! Erhalte Roter-Umschlag-Items und wähle einen Chat-Kanal, um sie an Spieler im Kanal zu senden!
Neue Kämpfe"&amp;"r-Tauschfunktion: In den ersten 15 Tagen nach der Eröffnung eines neuen Servers können Spieler Erfahrung und Sternenlevel frei zwischen Kämpfern derselben Qualität tauschen.
Neues Feature zur Heldenwahl in der Taverne: Nach einer bestimmten Anzahl von Del"&amp;"uxe-Festmahlen wird das Feature zur Heldenwahl freigeschaltet, das es den Spielern ermöglicht, frei den Helden auszuwählen, den sie aus dem Pool ziehen möchten.
Neues Champion-Schlägerei-Gameplay: Ein brandneues Upgrade für den Allmächtigen Krawall mit He"&amp;"rausforderungen in den einzelnen Bahnen und Nebelbedeckung. Wird es rohe Kraft oder brillante Strategie sein? Es liegt an dir, die Herausforderung anzunehmen! (Ersetzt den Allmächtigen Krawall nach Erreichen eines bestimmten Spielstadiums)
Festungseroberu"&amp;"ng Gameplay-Upgrade: Hinzufügen des Raketenwerfers mit 50 neuen Raketenwerfer-Leveln und Aktualisierung der Galerie mit Raketenwerfer-bezogenem Inhalt.
Freundesystem-Feature-Upgrade: Hinzufügen von Stärkevergleichs- und gegenseitigen Kampffunktionen, Opti"&amp;"mierung der Anzeige des Freundesystems.
Überraschungsrelikt-Tresor-Optimierung: Neue Relikte wurden dem Relikt-Tresor hinzugefügt, zusammen mit einer neuen Funktion ""Wähle dein eigenes"", die es dir ermöglicht, die Relikt-Serie auszuwählen, die du möchte"&amp;"st.
Planet Wars-Optimierung: Verbesserte Mechanismen zur Auswahl von Landepunkten, wobei die Top-3-Armeen die Möglichkeit haben, ihren Landepunkt einmal zu ändern.")</f>
        <v>Neuer Kämpfer: Der Seefahrer Hardy, ein Seemann, der für geheimnisvolle Schätze über die Wellen reitet! Kann durch "Ultimativer Affe" erhalten werden.
Neue Relikte: Einführung von 5 neuen Relikt-Sets - Bluff &amp; Bluster, Glänzendes Gold, Top Sportsmänner, Trend &amp; Mode und Gesundheitscheck. Erhältlich durch das Ereignis "Überraschungs-Relikt-Tresor".
Neues Fortress Looter Gameplay: Trete gegen andere Spieler an und kämpfe durch strategische Schlachten um Ressourcen.
Neues Ausrüstungs-Expeditions-Gameplay: Spieler können ihre militärische Stärke verbessern, aufeinanderfolgende Stufen herausfordern und Expedition-Belohnungen verdienen.
Neues Oster-Event:
Glücksei-Überraschung: Knacke Glückseier, um exklusive Deluxe-Basis-Skins und andere reiche Belohnungen zu gewinnen!
Glücksei-Party: Sammle Zauberstäbe und gewinne Überraschungsbelohnungen! Erhöhe dein Level im Event und erhalte eine Chance auf die neue Marschhaut "Farbmelodie"!
Giganto-Angriff: Während Ostern sorgt Dr. Hoggs Unheils-Giganto überall für Chaos. Greife ihn an, um kumulative Punktebelohnungen zu verdienen!
Roter-Umschlag-Funktion: Das Roter-Umschlag-Event ist für begrenzte Zeit zurück! Erhalte Roter-Umschlag-Items und wähle einen Chat-Kanal, um sie an Spieler im Kanal zu senden!
Neue Kämpfer-Tauschfunktion: In den ersten 15 Tagen nach der Eröffnung eines neuen Servers können Spieler Erfahrung und Sternenlevel frei zwischen Kämpfern derselben Qualität tauschen.
Neues Feature zur Heldenwahl in der Taverne: Nach einer bestimmten Anzahl von Deluxe-Festmahlen wird das Feature zur Heldenwahl freigeschaltet, das es den Spielern ermöglicht, frei den Helden auszuwählen, den sie aus dem Pool ziehen möchten.
Neues Champion-Schlägerei-Gameplay: Ein brandneues Upgrade für den Allmächtigen Krawall mit Herausforderungen in den einzelnen Bahnen und Nebelbedeckung. Wird es rohe Kraft oder brillante Strategie sein? Es liegt an dir, die Herausforderung anzunehmen! (Ersetzt den Allmächtigen Krawall nach Erreichen eines bestimmten Spielstadiums)
Festungseroberung Gameplay-Upgrade: Hinzufügen des Raketenwerfers mit 50 neuen Raketenwerfer-Leveln und Aktualisierung der Galerie mit Raketenwerfer-bezogenem Inhalt.
Freundesystem-Feature-Upgrade: Hinzufügen von Stärkevergleichs- und gegenseitigen Kampffunktionen, Optimierung der Anzeige des Freundesystems.
Überraschungsrelikt-Tresor-Optimierung: Neue Relikte wurden dem Relikt-Tresor hinzugefügt, zusammen mit einer neuen Funktion "Wähle dein eigenes", die es dir ermöglicht, die Relikt-Serie auszuwählen, die du möchtest.
Planet Wars-Optimierung: Verbesserte Mechanismen zur Auswahl von Landepunkten, wobei die Top-3-Armeen die Möglichkeit haben, ihren Landepunkt einmal zu ändern.</v>
      </c>
      <c r="F37" s="148" t="str">
        <f>IFERROR(__xludf.DUMMYFUNCTION("""COMPUTED_VALUE"""),"Novo lutador adicionado: O Marinheiro Aventureiro - Hardy, um marinheiro destemido que navega pelos mares em busca de tesouros misteriosos! Pode ser obtido através do ""Macaco Supremo"".
Novas Relíquias: Apresentando 5 novos conjuntos de relíquias - Blefe"&amp;" e bravata, Ouro reluzente, Estrelas desportistas, Tendência e moda e Exame médico. Obtidas através do evento ""Cofre de Relíquias Surpresa"".
Novo jogo Conquista da Fortaleza: Combine com outros jogadores e compita por recursos através de batalhas estrat"&amp;"égicas.
Novo jogo de expedição de equipamentos: os jogadores podem aumentar sua força militar, desafiar estágios consecutivos e ganhar recompensas de expedição.
Novo evento de Páscoa:
Surpresa do Ovo da Sorte: Quebre ovos da sorte para ganhar skins exclus"&amp;"ivas de base deluxe e outras recompensas valiosas!
Festa do Ovo da Sorte: Colete Varinhas Mágicas e ganhe recompensas surpresas! Suba de nível no evento para ter a chance de obter a nova skin de marcha ""Melodia Colorida""!
Assalto do Giganto: Durante a P"&amp;"áscoa, o Giganto da Perdição do Dr. Hogg está causando caos por toda parte. Ataque-o para ganhar recompensas de pontos acumulativos!
Recurso do Envelope Vermelho: O evento do Envelope Vermelho está de volta por tempo limitado! Obtenha itens do Envelope Ve"&amp;"rmelho e escolha um canal de bate-papo para enviá-los aos jogadores no canal!
Nova funcionalidade de Troca de Combatentes: Nos primeiros 15 dias após a abertura de um novo servidor, os jogadores podem trocar livremente experiência e níveis de estrela entr"&amp;"e combatentes da mesma qualidade.
Nova funcionalidade de seleção de heróis da taverna: Após um certo número de Banquetes Deluxe, a taverna desbloqueará a funcionalidade de seleção de heróis, permitindo que os jogadores escolham livremente o herói que dese"&amp;"jam obter do pool.
Novo jogo Briga de Campeões: Uma atualização totalmente nova para a Briga Todo-poderoso, com desafios de rota e cobertura de neblina. Será que é poder bruto ou estratégia brilhante? Depende de você aceitar o desafio! (Substitui a Briga "&amp;"Todo-poderoso após atingir uma certa fase no jogo)")</f>
        <v>Novo lutador adicionado: O Marinheiro Aventureiro - Hardy, um marinheiro destemido que navega pelos mares em busca de tesouros misteriosos! Pode ser obtido através do "Macaco Supremo".
Novas Relíquias: Apresentando 5 novos conjuntos de relíquias - Blefe e bravata, Ouro reluzente, Estrelas desportistas, Tendência e moda e Exame médico. Obtidas através do evento "Cofre de Relíquias Surpresa".
Novo jogo Conquista da Fortaleza: Combine com outros jogadores e compita por recursos através de batalhas estratégicas.
Novo jogo de expedição de equipamentos: os jogadores podem aumentar sua força militar, desafiar estágios consecutivos e ganhar recompensas de expedição.
Novo evento de Páscoa:
Surpresa do Ovo da Sorte: Quebre ovos da sorte para ganhar skins exclusivas de base deluxe e outras recompensas valiosas!
Festa do Ovo da Sorte: Colete Varinhas Mágicas e ganhe recompensas surpresas! Suba de nível no evento para ter a chance de obter a nova skin de marcha "Melodia Colorida"!
Assalto do Giganto: Durante a Páscoa, o Giganto da Perdição do Dr. Hogg está causando caos por toda parte. Ataque-o para ganhar recompensas de pontos acumulativos!
Recurso do Envelope Vermelho: O evento do Envelope Vermelho está de volta por tempo limitado! Obtenha itens do Envelope Vermelho e escolha um canal de bate-papo para enviá-los aos jogadores no canal!
Nova funcionalidade de Troca de Combatentes: Nos primeiros 15 dias após a abertura de um novo servidor, os jogadores podem trocar livremente experiência e níveis de estrela entre combatentes da mesma qualidade.
Nova funcionalidade de seleção de heróis da taverna: Após um certo número de Banquetes Deluxe, a taverna desbloqueará a funcionalidade de seleção de heróis, permitindo que os jogadores escolham livremente o herói que desejam obter do pool.
Novo jogo Briga de Campeões: Uma atualização totalmente nova para a Briga Todo-poderoso, com desafios de rota e cobertura de neblina. Será que é poder bruto ou estratégia brilhante? Depende de você aceitar o desafio! (Substitui a Briga Todo-poderoso após atingir uma certa fase no jogo)</v>
      </c>
      <c r="G37" s="148" t="str">
        <f>IFERROR(__xludf.DUMMYFUNCTION("""COMPUTED_VALUE"""),"-新增鬥士：遠航水手-哈迪，爲了神祕寶藏，乘風破浪的水手！可通過「最強猴子」獲取。
-新增收藏品：新增【耀武揚威】、【金光燦燦】、【運動先鋒】、【摩登潮流】、【健康檢查】共5套收藏品，可通過「驚喜藏品屋」獲取。
-新增堡壘掠奪玩法：配對其他玩家作戰，通過策略爭奪資源
新增軍備遠征玩法：玩家可提升軍備實力，連續闖關，獲得遠征獎勵。
-新增復活節活動：
彩蛋有禮：敲擊幸運彩蛋，贏取限定豪華主城皮膚和其他豐富獎勵！
彩蛋節派對：收集魔術棒，贏取驚喜獎勵！提升活動等級，有機會獲取全新行軍皮膚「炫彩悅動」！
進擊的"&amp;"巨猿：復活節期間，霍格博士控制的毀滅巨猿四處作亂，攻擊它可以獲得累計積分獎勵！
紅包功能：紅包活動限時返場，取得紅包道具後可以選擇聊天頻道發放紅包給頻道內的玩家！
新增鬥士轉換功能：在新伺服器開服前15天，玩家可以免費在自身同品質的鬥士之間進行經驗和星級的交換。
-新增酒館英雄自選功能：在一定數量的豪華宴會抽取後，酒館開啟英雄自選功能，玩家可在獎池自由選擇想抽取的英雄。
-新增精英競技場玩法：為全能競技場進行了全新升級，分路挑戰，迷霧遮擋，是硬實力還是絕佳的頭腦？等你來挑戰！(遊戲進行到一定階段後替代全能"&amp;"競技場）
-堡壘對決玩法升級：新增火箭發射器，增加了50關火箭發射器關卡，圖鑒更新了火箭發射器相關內容。
-好友系統功能升級：增加了實力對比和相互對戰的功能，優化了好友系統的顯示
-驚喜藏品屋優化：全新收藏品加入藏品屋，同時新增自選功能，可自行選擇想要的收藏品系列。
-銀河戰爭優化：優化了選擇落點的機制，前三名的軍團擁有一次更換落點的機會")</f>
        <v>-新增鬥士：遠航水手-哈迪，爲了神祕寶藏，乘風破浪的水手！可通過「最強猴子」獲取。
-新增收藏品：新增【耀武揚威】、【金光燦燦】、【運動先鋒】、【摩登潮流】、【健康檢查】共5套收藏品，可通過「驚喜藏品屋」獲取。
-新增堡壘掠奪玩法：配對其他玩家作戰，通過策略爭奪資源
新增軍備遠征玩法：玩家可提升軍備實力，連續闖關，獲得遠征獎勵。
-新增復活節活動：
彩蛋有禮：敲擊幸運彩蛋，贏取限定豪華主城皮膚和其他豐富獎勵！
彩蛋節派對：收集魔術棒，贏取驚喜獎勵！提升活動等級，有機會獲取全新行軍皮膚「炫彩悅動」！
進擊的巨猿：復活節期間，霍格博士控制的毀滅巨猿四處作亂，攻擊它可以獲得累計積分獎勵！
紅包功能：紅包活動限時返場，取得紅包道具後可以選擇聊天頻道發放紅包給頻道內的玩家！
新增鬥士轉換功能：在新伺服器開服前15天，玩家可以免費在自身同品質的鬥士之間進行經驗和星級的交換。
-新增酒館英雄自選功能：在一定數量的豪華宴會抽取後，酒館開啟英雄自選功能，玩家可在獎池自由選擇想抽取的英雄。
-新增精英競技場玩法：為全能競技場進行了全新升級，分路挑戰，迷霧遮擋，是硬實力還是絕佳的頭腦？等你來挑戰！(遊戲進行到一定階段後替代全能競技場）
-堡壘對決玩法升級：新增火箭發射器，增加了50關火箭發射器關卡，圖鑒更新了火箭發射器相關內容。
-好友系統功能升級：增加了實力對比和相互對戰的功能，優化了好友系統的顯示
-驚喜藏品屋優化：全新收藏品加入藏品屋，同時新增自選功能，可自行選擇想要的收藏品系列。
-銀河戰爭優化：優化了選擇落點的機制，前三名的軍團擁有一次更換落點的機會</v>
      </c>
      <c r="H37" s="148" t="str">
        <f>IFERROR(__xludf.DUMMYFUNCTION("""COMPUTED_VALUE"""),"- Pejuang baru: Pelaut Penjelajah Hardy, mengarungi ombak, menjadi pelaut demi harta karun misterius! Dapat diperoleh melalui ""Kera Terkuat"".
- Pusaka Baru: Tambahkan koleksi Anda dengan Pusaka Baru seperti ""Pamer Keahlian"", ""Emas Bersinar"", ""Pelop"&amp;"or Olahraga"", ""Fashion Trendi"", dan ""Pemeriksaan Kesehatan"". Kumpulkan semua Pusaka ini melalui ""RUMAH PUSAKA KEJUTAN"".
-Tambahkan gameplay Penjarahan Benteng: Pertandingan dengan pemain lain, rebut sumber daya dengan strategi.
-Tambahkan fitur bar"&amp;"u Ekspedisi Peralatan: Pemain bisa meningkatkan kekuatan peralatan, melewati level secara berturut-turut, dan mendapatkan hadiah Ekspedisi.
- Acara Paskah baru ditambahkan:
EASTER EGG BERHADIAH: Pecahkan Telur Keberuntungan dan menangkan Skin Kota mewah y"&amp;"ang terbatas dan hadiah luar biasa lainnya!
Pesta Telur Keberuntungan: Kumpulkan Tongkat Sihir dan menangkan hadiah kejutan! Naikkan level event dan dapatkan kesempatan untuk mendapatkan skin baru ""Warna Cemerlang"" untuk berbaris!
Kera Penyerang: Selama"&amp;" Paskah, Kera Destruktif yang dikendalikan oleh Dr. Hogg mengamuk di mana-mana. Menyerangnya akan memberikan hadiah poin yang terakumulasi!
Fungsi Angpau: Event Angpau kembali terbatas, setelah mendapatkan Item Angpau, kamu bisa memilih untuk mengirim Ang"&amp;"pau di Obrolan ke pemain lain di dalamnya!
Fitur baru: Ubah Pejuang. Selama 15 hari sebelum server baru dibuka, pemain bisa menukar level bintang dan level pejuang secara gratis di antara pejuang kualitas yang sama.
-Tambahkan fitur pilihan pahlawan di Ke"&amp;"dai: Setelah menarik sejumlah hadiah di Jamuan Istimewa, Kedai akan membuka fitur pilihan pahlawan, pemain bisa memilih pahlawan yang ingin diambil dari hadiah.
-Tambahkan fitur baru Perkelahian Elite: Upgrade baru untuk Perkelahian Primata, tantangan di "&amp;"jalur, kabut menyelimuti, apakah kamu memiliki kekuatan fisik atau kecerdasan yang luar biasa? Tantang dirimu sendiri! (Akan menggantikan Perkelahian Primata setelah mencapai tahap tertentu dalam permainan)
Peningkatan Gameplay Penaklukan Benteng: Menamba"&amp;"hkan Peluncur Roket, menambahkan 50 wilayah kera Peluncur Roket, dan memperbarui konten terkait Peluncur Roket di buku gambar.
-Peningkatan fitur sistem teman: Menambahkan fitur perbandingan pejuang dan pertempuran saling melawan, serta memperbarui tampil"&amp;"an sistem teman.
Optimasi Toko Ajaib: Pusaka baru ditambahkan ke Toko Ajaib, dan fitur pilihan sendiri ditambahkan sehingga kamu bisa memilih seri Pusaka yang kamu inginkan.
Perbaikan Perang Planet: Mekanisme pemilihan lokasi awal telah ditingkatkan. Tiga"&amp;" Pasukan teratas dapat mengubah lokasi awal mereka sekali.")</f>
        <v>- Pejuang baru: Pelaut Penjelajah Hardy, mengarungi ombak, menjadi pelaut demi harta karun misterius! Dapat diperoleh melalui "Kera Terkuat".
- Pusaka Baru: Tambahkan koleksi Anda dengan Pusaka Baru seperti "Pamer Keahlian", "Emas Bersinar", "Pelopor Olahraga", "Fashion Trendi", dan "Pemeriksaan Kesehatan". Kumpulkan semua Pusaka ini melalui "RUMAH PUSAKA KEJUTAN".
-Tambahkan gameplay Penjarahan Benteng: Pertandingan dengan pemain lain, rebut sumber daya dengan strategi.
-Tambahkan fitur baru Ekspedisi Peralatan: Pemain bisa meningkatkan kekuatan peralatan, melewati level secara berturut-turut, dan mendapatkan hadiah Ekspedisi.
- Acara Paskah baru ditambahkan:
EASTER EGG BERHADIAH: Pecahkan Telur Keberuntungan dan menangkan Skin Kota mewah yang terbatas dan hadiah luar biasa lainnya!
Pesta Telur Keberuntungan: Kumpulkan Tongkat Sihir dan menangkan hadiah kejutan! Naikkan level event dan dapatkan kesempatan untuk mendapatkan skin baru "Warna Cemerlang" untuk berbaris!
Kera Penyerang: Selama Paskah, Kera Destruktif yang dikendalikan oleh Dr. Hogg mengamuk di mana-mana. Menyerangnya akan memberikan hadiah poin yang terakumulasi!
Fungsi Angpau: Event Angpau kembali terbatas, setelah mendapatkan Item Angpau, kamu bisa memilih untuk mengirim Angpau di Obrolan ke pemain lain di dalamnya!
Fitur baru: Ubah Pejuang. Selama 15 hari sebelum server baru dibuka, pemain bisa menukar level bintang dan level pejuang secara gratis di antara pejuang kualitas yang sama.
-Tambahkan fitur pilihan pahlawan di Kedai: Setelah menarik sejumlah hadiah di Jamuan Istimewa, Kedai akan membuka fitur pilihan pahlawan, pemain bisa memilih pahlawan yang ingin diambil dari hadiah.
-Tambahkan fitur baru Perkelahian Elite: Upgrade baru untuk Perkelahian Primata, tantangan di jalur, kabut menyelimuti, apakah kamu memiliki kekuatan fisik atau kecerdasan yang luar biasa? Tantang dirimu sendiri! (Akan menggantikan Perkelahian Primata setelah mencapai tahap tertentu dalam permainan)
Peningkatan Gameplay Penaklukan Benteng: Menambahkan Peluncur Roket, menambahkan 50 wilayah kera Peluncur Roket, dan memperbarui konten terkait Peluncur Roket di buku gambar.
-Peningkatan fitur sistem teman: Menambahkan fitur perbandingan pejuang dan pertempuran saling melawan, serta memperbarui tampilan sistem teman.
Optimasi Toko Ajaib: Pusaka baru ditambahkan ke Toko Ajaib, dan fitur pilihan sendiri ditambahkan sehingga kamu bisa memilih seri Pusaka yang kamu inginkan.
Perbaikan Perang Planet: Mekanisme pemilihan lokasi awal telah ditingkatkan. Tiga Pasukan teratas dapat mengubah lokasi awal mereka sekali.</v>
      </c>
      <c r="I37" s="148" t="str">
        <f>IFERROR(__xludf.DUMMYFUNCTION("""COMPUTED_VALUE"""),"เพิ่มนักสู้: นักเดินเรือฮาร์ดี้ เพื่อสมบัติลึกลับ กะลาสีผจญภัยทุกรูปแบบเพื่อขุมทรัพย์ปริศนา! สามารถรับได้ผ่านกิจกรรม ""ลิงที่แข็งแกร่งที่สุด""
เพิ่มวัตถุโบราณใหม่: เพิ่ม【ขี้โม้โอ้อวด】、【ทองอร่าม】、【สายออกำลังกาย】、【แฟชั่นนิสต้า】、【เช็คสุขภาพ】ทั้งหมด 5 ชุด สาม"&amp;"ารถรับได้จาก【คลังวัตถุโบราณสุดเซอร์ไพรส์】
เพิ่มเกมเพลย์ปล้นป้อมปราการใหม่: จับคู่กับผู้เล่นอื่นเพื่อต่อสู้และแข่งขันกันด้วยกันในการใช้กลยุทธ์เพื่อปล้นทรัพยากร
เพิ่มเติมการเล่นเกมสำรวจอาวุธใหม่: ผู้เล่นสามารถเสริมความแข็งแกร่งของอาวุธ ผ่านด่านต่อเนื่อง เพื"&amp;"่อรับรางวัลการสำรวจ
เพิ่มกิจกรรมเทศกาลอีสเตอร์ใหม่:
ไข่อีสเตอร์ลุ้นรางวัล: ตอกไข่นำโชคเพื่อรับรางวัลหนังสือผิวหลักที่จำกัดและรางวัลอื่นๆอีกมากมาย!
ไข่นำโชคสุดอัศจรรย์: รวบรวมไม้กายสิทธิ์เพื่อลุ้นรับรางวัลสุดเซอร์ไพรส์! อัปเกรดเลเวลกิจกรรมและมีโอกาสรับสกิน"&amp;"การเดินทัพใหม่ ""สีสันแห่งความสุข""!
กิกันโตที่จู่โจม: ในช่วงเทศกาลอีสเตอร์ ดร.ฮ็อกก์ควบคุมดูมกิกันโตที่ทำร้ายทั่วไป การโจมตีมันจะได้รับรางวัลคะแนนสะสม!
ฟังก์ชั่น แจกแบบฟ้าผ่า กิจกรรมแจกแบบฟ้าผ่าจำกัดเวลากลับมาอีกครั้ง หลังจากได้รับไอเท็มแบบฟ้าผ่าแล้ว คุณ"&amp;"สามารถเลือกแชทในช่องทางแชทแล้วส่งแบบฟ้าผ่าให้กับผู้เล่นในช่องทางนั้นๆได้!
เพิ่มฟังก์ชั่นการเปลี่ยนนักสู้ใหม่: ในช่วง 15 วันก่อนเปิดเซิร์ฟเวอร์ใหม่ ผู้เล่นสามารถเปลี่ยนแลกประสบการณ์และดาวระหว่างนักสู้ในระดับเดียวกันของตนเองได้โดยไม่เสียค่าใช้จ่าย
เพิ่มฟังก"&amp;"์ชั่นการเลือกฮีโร่ในโรงแรมใหม่: เมื่อคุณได้รับจำนวนดีลักซ์ที่กำหนดแล้ว โรงแรมจะเปิดใช้งานฟังก์ชั่นการเลือกฮีโร่ ผู้เล่นสามารถเลือกฮีโร่ที่ต้องการจาก Prize Pool ได้อย่างอิสระ
เพิ่มเกมวิวาทอีลีตใหม่: อัปเกรดการวิวาททรงพลังเพื่อความท้าทายที่สูงขึ้น มีเส้นทาง"&amp;"ที่แตกต่างกัน หมอกปกคลุม คุณจะใช้พลังหรือความคิดเยอะขนาดไหน? มาท้าทายกันเถอะ! (เมื่อเกมเล่นไปถึงขั้นตอนที่กำหนดแล้ว จะแทนที่การวิวาทของทุกคน)
การอัปเกรดวิธีเล่นเกมยึดป้อมปราการ: เพิ่มเครื่องยิงจรวด, เพิ่มด่านปล่อยจรวด 50 ด่าน, อัพเดทคู่มือเกี่ยวกับเครื่อง"&amp;"ยิงจรวด
การอัพเกรดฟังก์ชั่นระบบเพื่อน: เพิ่มฟังก์ชั่นเทียบความสามารถและการต่อสู้กันระหว่างเพื่อน, ปรับปรุงการแสดงผลของระบบเพื่อน
คลังวัตถุโบราณสุดเซอร์ไพรส์ถูกปรับปรุง: มีวัตถุโบราณใหม่เข้าร่วมคลังวัตถุโบราณสุดเซอร์ไพรส์และเพิ่มฟังก์ชั่นการเลือกเอง คุณสาม"&amp;"ารถเลือกชุดวัตถุโบราณที่ต้องการได้เอง
การปรับปรุงสงครามดาวเคราะห์: ปรับปรุงกลไกการเลือกจุดลงจอด กองทัพ 3 อันดับแรกจะมีโอกาสเปลี่ยนจุดลงจอดได้หนึ่งครั้ง")</f>
        <v>เพิ่มนักสู้: นักเดินเรือฮาร์ดี้ เพื่อสมบัติลึกลับ กะลาสีผจญภัยทุกรูปแบบเพื่อขุมทรัพย์ปริศนา! สามารถรับได้ผ่านกิจกรรม "ลิงที่แข็งแกร่งที่สุด"
เพิ่มวัตถุโบราณใหม่: เพิ่ม【ขี้โม้โอ้อวด】、【ทองอร่าม】、【สายออกำลังกาย】、【แฟชั่นนิสต้า】、【เช็คสุขภาพ】ทั้งหมด 5 ชุด สามารถรับได้จาก【คลังวัตถุโบราณสุดเซอร์ไพรส์】
เพิ่มเกมเพลย์ปล้นป้อมปราการใหม่: จับคู่กับผู้เล่นอื่นเพื่อต่อสู้และแข่งขันกันด้วยกันในการใช้กลยุทธ์เพื่อปล้นทรัพยากร
เพิ่มเติมการเล่นเกมสำรวจอาวุธใหม่: ผู้เล่นสามารถเสริมความแข็งแกร่งของอาวุธ ผ่านด่านต่อเนื่อง เพื่อรับรางวัลการสำรวจ
เพิ่มกิจกรรมเทศกาลอีสเตอร์ใหม่:
ไข่อีสเตอร์ลุ้นรางวัล: ตอกไข่นำโชคเพื่อรับรางวัลหนังสือผิวหลักที่จำกัดและรางวัลอื่นๆอีกมากมาย!
ไข่นำโชคสุดอัศจรรย์: รวบรวมไม้กายสิทธิ์เพื่อลุ้นรับรางวัลสุดเซอร์ไพรส์! อัปเกรดเลเวลกิจกรรมและมีโอกาสรับสกินการเดินทัพใหม่ "สีสันแห่งความสุข"!
กิกันโตที่จู่โจม: ในช่วงเทศกาลอีสเตอร์ ดร.ฮ็อกก์ควบคุมดูมกิกันโตที่ทำร้ายทั่วไป การโจมตีมันจะได้รับรางวัลคะแนนสะสม!
ฟังก์ชั่น แจกแบบฟ้าผ่า กิจกรรมแจกแบบฟ้าผ่าจำกัดเวลากลับมาอีกครั้ง หลังจากได้รับไอเท็มแบบฟ้าผ่าแล้ว คุณสามารถเลือกแชทในช่องทางแชทแล้วส่งแบบฟ้าผ่าให้กับผู้เล่นในช่องทางนั้นๆได้!
เพิ่มฟังก์ชั่นการเปลี่ยนนักสู้ใหม่: ในช่วง 15 วันก่อนเปิดเซิร์ฟเวอร์ใหม่ ผู้เล่นสามารถเปลี่ยนแลกประสบการณ์และดาวระหว่างนักสู้ในระดับเดียวกันของตนเองได้โดยไม่เสียค่าใช้จ่าย
เพิ่มฟังก์ชั่นการเลือกฮีโร่ในโรงแรมใหม่: เมื่อคุณได้รับจำนวนดีลักซ์ที่กำหนดแล้ว โรงแรมจะเปิดใช้งานฟังก์ชั่นการเลือกฮีโร่ ผู้เล่นสามารถเลือกฮีโร่ที่ต้องการจาก Prize Pool ได้อย่างอิสระ
เพิ่มเกมวิวาทอีลีตใหม่: อัปเกรดการวิวาททรงพลังเพื่อความท้าทายที่สูงขึ้น มีเส้นทางที่แตกต่างกัน หมอกปกคลุม คุณจะใช้พลังหรือความคิดเยอะขนาดไหน? มาท้าทายกันเถอะ! (เมื่อเกมเล่นไปถึงขั้นตอนที่กำหนดแล้ว จะแทนที่การวิวาทของทุกคน)
การอัปเกรดวิธีเล่นเกมยึดป้อมปราการ: เพิ่มเครื่องยิงจรวด, เพิ่มด่านปล่อยจรวด 50 ด่าน, อัพเดทคู่มือเกี่ยวกับเครื่องยิงจรวด
การอัพเกรดฟังก์ชั่นระบบเพื่อน: เพิ่มฟังก์ชั่นเทียบความสามารถและการต่อสู้กันระหว่างเพื่อน, ปรับปรุงการแสดงผลของระบบเพื่อน
คลังวัตถุโบราณสุดเซอร์ไพรส์ถูกปรับปรุง: มีวัตถุโบราณใหม่เข้าร่วมคลังวัตถุโบราณสุดเซอร์ไพรส์และเพิ่มฟังก์ชั่นการเลือกเอง คุณสามารถเลือกชุดวัตถุโบราณที่ต้องการได้เอง
การปรับปรุงสงครามดาวเคราะห์: ปรับปรุงกลไกการเลือกจุดลงจอด กองทัพ 3 อันดับแรกจะมีโอกาสเปลี่ยนจุดลงจอดได้หนึ่งครั้ง</v>
      </c>
      <c r="J37" s="148" t="str">
        <f>IFERROR(__xludf.DUMMYFUNCTION("""COMPUTED_VALUE"""),"Nuevo luchador: Navegante Hardy, ¡un marinero que surca los mares en busca de tesoros misteriosos! ¡Puede ser obtenido a través de ""Mono Supremo""!
Nuevas Reliquias: Presentamos 5 nuevos conjuntos de reliquias - Engaño y bravuconería, Oro reluciente, Dep"&amp;"ortistas estrella, Moda y tendencia, y Control de salud. Obténlas a través del evento ""Bóveda de Reliquias Sorpresa"".
Nuevo juego de Toma de la Fortaleza: ¡Emparejate con otros jugadores y compite por recursos a través de batallas estratégicas!
Nuevo ju"&amp;"ego de expedición de equipo: Los jugadores pueden mejorar su fuerza militar, desafiar etapas consecutivas y ganar recompensas de expedición.
Nuevo evento de Pascua:
Sorpresa de huevos de la suerte: ¡Rompe los Huevos de la Suerte para ganar exclusivas skin"&amp;"s de base de lujo y otras recompensas valiosas!
Fiesta de huevos de la suerte: ¡Recolecta varitas mágicas y gana recompensas sorpresa! ¡Sube de nivel en el evento para tener la oportunidad de obtener la nueva piel de marcha ""Melodía de color""!
Asalto de"&amp;"l Gigantón: Durante la Pascua, el Gigantón Ruin del Dr. Hogg está causando caos en todas partes. ¡Atácalo para ganar puntos acumulativos y recompensas!
Función de Sobre Rojo: ¡El evento de Sobre Rojo ha vuelto por tiempo limitado! ¡Obtén objetos de Sobre "&amp;"Rojo y elige un canal de chat para enviarlos a los jugadores en el canal!
Nueva función de intercambio de Luchadores: Durante los primeros 15 días después de que se abra un nuevo servidor, los jugadores pueden intercambiar libremente la experiencia y los "&amp;"niveles de estrella entre Luchadores de la misma calidad.
Nueva función de Selección de Héroe de la Taberna: Después de un cierto número de Banquetes de Lujo, la Taberna desbloqueará la función de Selección de Héroe, permitiendo a los jugadores elegir lib"&amp;"remente el Héroe que desean obtener del grupo.
Nuevo juego de Pelea de Campeones: Una nueva actualización para la Pelea Todopoderosa, con desafíos de carril y cobertura de niebla. ¿Será el poder bruto o la estrategia brillante? ¡Depende de ti aceptar el d"&amp;"esafío! (Reemplaza a la Pelea Todopoderosa después de alcanzar cierto nivel en el juego)
Actualización de juego de Toma de Fortaleza: Se ha agregado el Lanzacohetes, con 50 nuevos niveles de Lanzacohetes y se ha actualizado la galería con contenido relaci"&amp;"onado con el Lanzacohetes.
Actualización de la función del Sistema de Amigos: se agregó la comparación de fuerza y las características de batalla mutua, se optimizó la visualización del Sistema de Amigos.
Optimización de la Bóveda de Reliquias Sorpresa: S"&amp;"e han agregado nuevas Reliquias a la Bóveda de Reliquias, junto con una nueva función ""Elige la tuya"", que te permite seleccionar la serie de Reliquias que deseas.
Optimización de Guerras Planetarias: Se mejoró el mecanismo para seleccionar puntos de at"&amp;"errizaje, permitiendo que los primeros tres Ejércitos tengan la oportunidad de cambiar su punto de aterrizaje una vez.")</f>
        <v>Nuevo luchador: Navegante Hardy, ¡un marinero que surca los mares en busca de tesoros misteriosos! ¡Puede ser obtenido a través de "Mono Supremo"!
Nuevas Reliquias: Presentamos 5 nuevos conjuntos de reliquias - Engaño y bravuconería, Oro reluciente, Deportistas estrella, Moda y tendencia, y Control de salud. Obténlas a través del evento "Bóveda de Reliquias Sorpresa".
Nuevo juego de Toma de la Fortaleza: ¡Emparejate con otros jugadores y compite por recursos a través de batallas estratégicas!
Nuevo juego de expedición de equipo: Los jugadores pueden mejorar su fuerza militar, desafiar etapas consecutivas y ganar recompensas de expedición.
Nuevo evento de Pascua:
Sorpresa de huevos de la suerte: ¡Rompe los Huevos de la Suerte para ganar exclusivas skins de base de lujo y otras recompensas valiosas!
Fiesta de huevos de la suerte: ¡Recolecta varitas mágicas y gana recompensas sorpresa! ¡Sube de nivel en el evento para tener la oportunidad de obtener la nueva piel de marcha "Melodía de color"!
Asalto del Gigantón: Durante la Pascua, el Gigantón Ruin del Dr. Hogg está causando caos en todas partes. ¡Atácalo para ganar puntos acumulativos y recompensas!
Función de Sobre Rojo: ¡El evento de Sobre Rojo ha vuelto por tiempo limitado! ¡Obtén objetos de Sobre Rojo y elige un canal de chat para enviarlos a los jugadores en el canal!
Nueva función de intercambio de Luchadores: Durante los primeros 15 días después de que se abra un nuevo servidor, los jugadores pueden intercambiar libremente la experiencia y los niveles de estrella entre Luchadores de la misma calidad.
Nueva función de Selección de Héroe de la Taberna: Después de un cierto número de Banquetes de Lujo, la Taberna desbloqueará la función de Selección de Héroe, permitiendo a los jugadores elegir libremente el Héroe que desean obtener del grupo.
Nuevo juego de Pelea de Campeones: Una nueva actualización para la Pelea Todopoderosa, con desafíos de carril y cobertura de niebla. ¿Será el poder bruto o la estrategia brillante? ¡Depende de ti aceptar el desafío! (Reemplaza a la Pelea Todopoderosa después de alcanzar cierto nivel en el juego)
Actualización de juego de Toma de Fortaleza: Se ha agregado el Lanzacohetes, con 50 nuevos niveles de Lanzacohetes y se ha actualizado la galería con contenido relacionado con el Lanzacohetes.
Actualización de la función del Sistema de Amigos: se agregó la comparación de fuerza y las características de batalla mutua, se optimizó la visualización del Sistema de Amigos.
Optimización de la Bóveda de Reliquias Sorpresa: Se han agregado nuevas Reliquias a la Bóveda de Reliquias, junto con una nueva función "Elige la tuya", que te permite seleccionar la serie de Reliquias que deseas.
Optimización de Guerras Planetarias: Se mejoró el mecanismo para seleccionar puntos de aterrizaje, permitiendo que los primeros tres Ejércitos tengan la oportunidad de cambiar su punto de aterrizaje una vez.</v>
      </c>
      <c r="K37" s="148" t="str">
        <f>IFERROR(__xludf.DUMMYFUNCTION("""COMPUTED_VALUE"""),"Новый боец: мореход Харди - путешественник, плавающий по ветру и волнам в поисках таинственных сокровищ! Можно получить через ""Великую обезьяну"".
Новые реликвии: представляем 5 новых наборов реликвий - Блеф и бравада, Сверкающее золото, Топовые спортсме"&amp;"ны, Тренды и мода и Проверка здоровья. Можно получить в рамках события ""Секретный сейф с реликвиями"".
Новый геймплей «Лутер крепости»: Соперничайте с другими игроками и сражайтесь за ресурсы в стратегических битвах.
Новый игровой процесс экспедиции с но"&amp;"вым снаряжением: Игроки могут улучшать свою военную мощь, пройти несколько этапов и получить награды экспедиции.
Новое пасхальное событие:
Счастливое яйцо с сюрпризом: Разбивайте счастливые яйца, чтобы выиграть эксклюзивные элитные базовые скины и другие "&amp;"богатые награды!
Вечеринка Счастливых Яиц: Собирайте Волшебные Палочки и получайте неожиданные награды! Повышайте уровень во время события, чтобы получить шанс получить новую скин-марш ""Мелодия Цвета""!
Атака Гиганто: Во время Пасхи Гибельный Гиганто док"&amp;"тора Хогга вызывает хаос повсюду. Атакуйте его, чтобы заработать кумулятивные очки и награды!
Функция Красного Конверта: Событие Красного Конверта вернулось на ограниченное время! Получайте предметы Красного Конверта и выбирайте канал чата, чтобы отправля"&amp;"ть их игрокам в канале!
Новая функция обмена героями: в течение первых 15 дней после открытия нового сервера игроки могут свободно обмениваться опытом и уровнями звезд между героями одного качества.
Новая функция выбора героя в таверне: после определенног"&amp;"о количества роскошных пиров таверна откроет функцию выбора героя, позволяя игрокам свободно выбирать героя, которого они хотят получить из пула.
Новый геймплей «Потасовки чемпионов»: совершенно новое улучшение «Универсальной потасовки», включающее вызовы"&amp;" на полосах и покрытие туманом. Будете использовать силу или гениальную стратегию? Выбор за вами! (Заменяет «Универсальную потасовку» после достижения определенного уровня в игре)
Улучшение игрового процесса ""Захват крепости"": добавлен Ракетомет с 50 но"&amp;"выми уровнями и обновленной галереей, связанной с Ракетометом.
Обновление функции Системы Друзей: добавлено сравнение сил и возможность взаимных битв, оптимизировано отображение Системы Друзей.
Оптимизация хранилища реликвий с сюрпризом: добавлены новые р"&amp;"еликвии в хранилище, а также новая функция ""Выберите свою серию"", позволяющая выбрать нужную серию реликвий.
Оптимизация «Планетарных войн»: улучшен механизм выбора точек высадки, три лучшие армии имеют возможность поменять свою точку высадки один раз.")</f>
        <v>Новый боец: мореход Харди - путешественник, плавающий по ветру и волнам в поисках таинственных сокровищ! Можно получить через "Великую обезьяну".
Новые реликвии: представляем 5 новых наборов реликвий - Блеф и бравада, Сверкающее золото, Топовые спортсмены, Тренды и мода и Проверка здоровья. Можно получить в рамках события "Секретный сейф с реликвиями".
Новый геймплей «Лутер крепости»: Соперничайте с другими игроками и сражайтесь за ресурсы в стратегических битвах.
Новый игровой процесс экспедиции с новым снаряжением: Игроки могут улучшать свою военную мощь, пройти несколько этапов и получить награды экспедиции.
Новое пасхальное событие:
Счастливое яйцо с сюрпризом: Разбивайте счастливые яйца, чтобы выиграть эксклюзивные элитные базовые скины и другие богатые награды!
Вечеринка Счастливых Яиц: Собирайте Волшебные Палочки и получайте неожиданные награды! Повышайте уровень во время события, чтобы получить шанс получить новую скин-марш "Мелодия Цвета"!
Атака Гиганто: Во время Пасхи Гибельный Гиганто доктора Хогга вызывает хаос повсюду. Атакуйте его, чтобы заработать кумулятивные очки и награды!
Функция Красного Конверта: Событие Красного Конверта вернулось на ограниченное время! Получайте предметы Красного Конверта и выбирайте канал чата, чтобы отправлять их игрокам в канале!
Новая функция обмена героями: в течение первых 15 дней после открытия нового сервера игроки могут свободно обмениваться опытом и уровнями звезд между героями одного качества.
Новая функция выбора героя в таверне: после определенного количества роскошных пиров таверна откроет функцию выбора героя, позволяя игрокам свободно выбирать героя, которого они хотят получить из пула.
Новый геймплей «Потасовки чемпионов»: совершенно новое улучшение «Универсальной потасовки», включающее вызовы на полосах и покрытие туманом. Будете использовать силу или гениальную стратегию? Выбор за вами! (Заменяет «Универсальную потасовку» после достижения определенного уровня в игре)
Улучшение игрового процесса "Захват крепости": добавлен Ракетомет с 50 новыми уровнями и обновленной галереей, связанной с Ракетометом.
Обновление функции Системы Друзей: добавлено сравнение сил и возможность взаимных битв, оптимизировано отображение Системы Друзей.
Оптимизация хранилища реликвий с сюрпризом: добавлены новые реликвии в хранилище, а также новая функция "Выберите свою серию", позволяющая выбрать нужную серию реликвий.
Оптимизация «Планетарных войн»: улучшен механизм выбора точек высадки, три лучшие армии имеют возможность поменять свою точку высадки один раз.</v>
      </c>
      <c r="L37" s="148" t="str">
        <f>IFERROR(__xludf.DUMMYFUNCTION("""COMPUTED_VALUE"""),"Yeni savaşçı: Uzak Denizci Hardy - Gizemli hazineler için rüzgarı kıran bir denizci! ""En Üstün Maymun"" ile elde edilebilir.
Yeni Kalıntılar: Bluff &amp; Bluster, Parıldayan Altın, Usta Sporcular, Trend ve Moda ve Sağlık Kontrolü olmak üzere 5 yeni kalıntı s"&amp;"eti tanıtıldı. ""Sürpriz Kalıntı Tresoru"" etkinliği aracılığıyla elde edilebilir.
Yeni Kaleyi Ele Geçirme oyunu: Diğer oyuncularla eşleş ve stratejik savaşlarla kaynaklar için yarış.
Yeni Aksesuar Gezi oyunu: Oyuncular askeri güçlerini artırabilir, ardış"&amp;"ık aşamalara meydan okuyabilir ve Gezi ödülleri kazanabilirler.
Yeni Paskalya Etkinliği:
Şanslı Yumurta Sürprizi: Şanslı yumurtaları kırarak özel delüks üs derileri ve diğer zengin ödüller kazanın!
Şanslı Yumurta Partisi: Sihirli Asaları topla ve sürpriz "&amp;"ödüller kazan! Etkinlikte seviyeni yükselt ve yeni yürüyüş derisi ""Renklerin Ezgisi""ni kazanma şansı yakala!
Giganto Saldırısı: Paskalya sırasında Dr. Hogg'un Kıyamet Gigantosu her yerde kaos yaratıyor. Kumulatif puan ödülleri kazanmak için saldırın!
Kı"&amp;"rmızı Zarf Özelliği: Kırmızı Zarf etkinliği sınırlı bir süre için geri döndü! Kırmızı Zarf öğeleri edinin ve bunları kanalda bulunan oyunculara göndermek için bir sohbet kanalı seçin!
Yeni Savaşçı Takas özelliği: Yeni bir sunucu açıldıktan sonraki ilk 15 "&amp;"gün boyunca, oyuncular aynı kalitedeki Savaşçılar arasında deneyim ve yıldız seviyelerini özgürce değiştirebilirler.
Yeni Taverna Kahraman Seçimi özelliği: Belirli bir sayıda Delüks Ziyafetin ardından, Taverna Kahraman Seçimi özelliği kilidini açacak ve o"&amp;"yuncuların havuzdan çekmek istedikleri Kahramanı özgürce seçmelerine izin verecektir.
Yeni Şampiyonlar Kavgası oyunu: Koridor meydan okumaları ve sis örtüsü içeren Kudretli Kavga için yepyeni bir yükseltme. Ham güç mü yoksa parlak strateji mi? Meydana çık"&amp;"mak sana kalmış! (Belirli bir aşamaya ulaştıktan sonra Kudretli Kavga'yı değiştirir)
Kale İşgal oyunu yükseltildi: Roket Fırlatıcısı eklendi, 50 yeni Roket Fırlatıcı seviyesi ve Roket Fırlatıcı ile ilgili içerik galerisi güncellendi.
Arkadaş Sistemi özell"&amp;"ik yükseltmesi: Güç karşılaştırması ve karşılıklı savaş özellikleri eklendi, Arkadaş Sistemi'nin görüntüsü optimize edildi.
Sürpriz Kalıntı Mahzeni Optimizasyonu: Yeni Kalıntılar Kalıntı Mahzenine eklendi ve istediğin Kalıntı serisini seçmeni sağlayan yen"&amp;"i bir ""Kendin Seç"" özelliği eklendi.
Gezegen Savaşları Optimizasyonu: İniş noktalarını seçme mekanizması iyileştirildi, ilk üç Ordu bir kez iniş noktalarını değiştirme fırsatına sahip olacak.
Kale Yarışı Optimizasyonu: Etkinlik hızı ve ilgili ödüller iy"&amp;"ileştirildi.
Hızlandırma Süresi Görüntüleme Optimizasyonu: Araştırma Hızlandırıcı ve İnşaat Hızlandırıcı sürelerinin görüntülenmesi eklendi, böylece bina yükseltme ve araştırma arayüzlerinde kalan hızlandırma süresini görüntüleyebilirsiniz.
Çete Distribüt"&amp;"örü Optimizasyonu: Çete Distribütörü'nün kaldırılma işlemi için uyarıyı iyileştirildi ve Distribütör tarafından tüketilen kaynakların açıklaması eklendi.
Rally Özelliği Optimizasyonu: Otomatik toplu saldırı artık takıma katılmak istediğiniz hedef canavarı"&amp;"n minimum seviyesini seçmenize olanak tanır; toplu saldırı savaş arayüzüne bir kural açıklaması eklenmiştir.
Konvoy Oyun İyileştirmesi: Konvoylar artık aynı klandaki farklı çetelerin oyuncularının taşıma araçlarını eşlik edebilir.")</f>
        <v>Yeni savaşçı: Uzak Denizci Hardy - Gizemli hazineler için rüzgarı kıran bir denizci! "En Üstün Maymun" ile elde edilebilir.
Yeni Kalıntılar: Bluff &amp; Bluster, Parıldayan Altın, Usta Sporcular, Trend ve Moda ve Sağlık Kontrolü olmak üzere 5 yeni kalıntı seti tanıtıldı. "Sürpriz Kalıntı Tresoru" etkinliği aracılığıyla elde edilebilir.
Yeni Kaleyi Ele Geçirme oyunu: Diğer oyuncularla eşleş ve stratejik savaşlarla kaynaklar için yarış.
Yeni Aksesuar Gezi oyunu: Oyuncular askeri güçlerini artırabilir, ardışık aşamalara meydan okuyabilir ve Gezi ödülleri kazanabilirler.
Yeni Paskalya Etkinliği:
Şanslı Yumurta Sürprizi: Şanslı yumurtaları kırarak özel delüks üs derileri ve diğer zengin ödüller kazanın!
Şanslı Yumurta Partisi: Sihirli Asaları topla ve sürpriz ödüller kazan! Etkinlikte seviyeni yükselt ve yeni yürüyüş derisi "Renklerin Ezgisi"ni kazanma şansı yakala!
Giganto Saldırısı: Paskalya sırasında Dr. Hogg'un Kıyamet Gigantosu her yerde kaos yaratıyor. Kumulatif puan ödülleri kazanmak için saldırın!
Kırmızı Zarf Özelliği: Kırmızı Zarf etkinliği sınırlı bir süre için geri döndü! Kırmızı Zarf öğeleri edinin ve bunları kanalda bulunan oyunculara göndermek için bir sohbet kanalı seçin!
Yeni Savaşçı Takas özelliği: Yeni bir sunucu açıldıktan sonraki ilk 15 gün boyunca, oyuncular aynı kalitedeki Savaşçılar arasında deneyim ve yıldız seviyelerini özgürce değiştirebilirler.
Yeni Taverna Kahraman Seçimi özelliği: Belirli bir sayıda Delüks Ziyafetin ardından, Taverna Kahraman Seçimi özelliği kilidini açacak ve oyuncuların havuzdan çekmek istedikleri Kahramanı özgürce seçmelerine izin verecektir.
Yeni Şampiyonlar Kavgası oyunu: Koridor meydan okumaları ve sis örtüsü içeren Kudretli Kavga için yepyeni bir yükseltme. Ham güç mü yoksa parlak strateji mi? Meydana çıkmak sana kalmış! (Belirli bir aşamaya ulaştıktan sonra Kudretli Kavga'yı değiştirir)
Kale İşgal oyunu yükseltildi: Roket Fırlatıcısı eklendi, 50 yeni Roket Fırlatıcı seviyesi ve Roket Fırlatıcı ile ilgili içerik galerisi güncellendi.
Arkadaş Sistemi özellik yükseltmesi: Güç karşılaştırması ve karşılıklı savaş özellikleri eklendi, Arkadaş Sistemi'nin görüntüsü optimize edildi.
Sürpriz Kalıntı Mahzeni Optimizasyonu: Yeni Kalıntılar Kalıntı Mahzenine eklendi ve istediğin Kalıntı serisini seçmeni sağlayan yeni bir "Kendin Seç" özelliği eklendi.
Gezegen Savaşları Optimizasyonu: İniş noktalarını seçme mekanizması iyileştirildi, ilk üç Ordu bir kez iniş noktalarını değiştirme fırsatına sahip olacak.
Kale Yarışı Optimizasyonu: Etkinlik hızı ve ilgili ödüller iyileştirildi.
Hızlandırma Süresi Görüntüleme Optimizasyonu: Araştırma Hızlandırıcı ve İnşaat Hızlandırıcı sürelerinin görüntülenmesi eklendi, böylece bina yükseltme ve araştırma arayüzlerinde kalan hızlandırma süresini görüntüleyebilirsiniz.
Çete Distribütörü Optimizasyonu: Çete Distribütörü'nün kaldırılma işlemi için uyarıyı iyileştirildi ve Distribütör tarafından tüketilen kaynakların açıklaması eklendi.
Rally Özelliği Optimizasyonu: Otomatik toplu saldırı artık takıma katılmak istediğiniz hedef canavarın minimum seviyesini seçmenize olanak tanır; toplu saldırı savaş arayüzüne bir kural açıklaması eklenmiştir.
Konvoy Oyun İyileştirmesi: Konvoylar artık aynı klandaki farklı çetelerin oyuncularının taşıma araçlarını eşlik edebilir.</v>
      </c>
      <c r="M37" s="148" t="str">
        <f>IFERROR(__xludf.DUMMYFUNCTION("""COMPUTED_VALUE"""),"-MỚI: Chiến Binh Thủy Thủ Viễn Hành - Hardy, Những thủy thủ vì kho báu bí ẩn mà đạp gió rẽ sóng! Có thể nhận được thông qua ""Chúa Khỉ Tối Cao"".
Thêm vào bộ sưu tập: Thêm 5 bộ sưu tập mới gồm 【Diễu Võ Dương Oai】, 【Ánh Vàng】, 【Tiên Phong Thể Thao】, 【Trào "&amp;"Lưu Hiện Đại】, và 【Kiểm Tra Sức Khỏe】. Các bộ sưu tập này có thể được thu thập thông qua phòng sưu tập bất ngờ.
- Thêm chế độ chơi Cướp Bóc Pháo Đài mới: Tìm đối thủ và chiến đấu với nhau, cạnh tranh tài nguyên bằng chiến thuật.
-Thêm trò chơi Viễn Chinh "&amp;"Vũ Khí mới: Người chơi có thể nâng cao sức mạnh vũ khí, liên tục vượt qua các cửa ải để nhận được phần thưởng Viễn Chinh.
-MỚI: Sự kiện Mừng Lễ Phục Sinh mới:
Trứng Phục Sinh Có Quà: Đập Trứng May Mắn và giành được Giới hạn Tòa Thị Chính và những phần thư"&amp;"ởng phong phú khác!
Tiệc Trứng May Mắn: Thu thập Đũa Phép, giành được phần thưởng bất ngờ! Nâng cấp cấp độ sự kiện, có cơ hội nhận được trang phục mới ""Vui Tươi Màu Sắc"" cho hành quân!
VƯỢN KHỔNG LỒ TẤN CÔNG: Trong kỳ Lễ Phục Sinh, Vượn Khổng Lồ Phá Hoạ"&amp;"i do Tiến Sĩ Hogg kiểm soát đang gây rối khắp nơi. Tấn công nó sẽ nhận được phần thưởng tích luỹ điểm!
Chức năng Hồng Bao: Sự kiện Hồng Bao giới hạn thời gian trở lại, sau khi nhận được vật phẩm Hồng Bao, bạn có thể chọn kênh trò chuyện và gửi Hồng Bao ch"&amp;"o các người chơi trong kênh đó!
- Chức năng Thay Đổi Chiến Binh mới: Trong 15 ngày đầu tiên của máy chủ mới, người chơi có thể miễn phí thay đổi kinh nghiệm và cấp sao giữa các Chiến Binh cùng phẩm chất của mình.
-Mở tính năng lựa chọn anh hùng tại Tửu Qu"&amp;"án: Sau khi rút một số lượng nhất định ở Bữa Tiệc Sang Trọng, Tửu Quán sẽ mở tính năng lựa chọn anh hùng, người chơi có thể tự do chọn anh hùng muốn rút trong Giải Thưởng.
Thêm trò chơi Đấu Trường Tinh Anh mới: Nâng cấp Toàn Năng Brawl với thử thách theo "&amp;"đường, sương mù che phủ. Sức mạnh thực sự hay trí tuệ tuyệt vời? Hãy đến thử thách! (Sau một giai đoạn nhất định trong trò chơi, sẽ thay thế Đấu Trường Toàn Năng)
-Tiếp quản pháo đài trò chơi nâng cấp: Thêm bệ phóng hỏa tiễn, tăng thêm 50 cửa ải khỉ của b"&amp;"ệ phóng hỏa tiễn, cập nhật thông tin liên quan đến bệ phóng hỏa tiễn trong sổ tay.
-Hệ thống bạn bè được nâng cấp: Thêm chức năng so sánh sức mạnh và chiến đấu với nhau, tối ưu hóa hiển thị của hệ thống bạn bè.
PHÒNG SƯU TẬP BẤT NGỜ được cải tiến: Thêm cá"&amp;"c Di Tích mới vào Phòng Sưu Tập và thêm tính năng Tự Chọn, cho phép bạn chọn các bộ Di Tích mà bạn muốn.
Chiến Tranh Hành Tinh được cải tiến: Cơ chế chọn điểm đáp xuất đã được cải tiến, ba quân đoàn đứng đầu sẽ có cơ hội thay đổi điểm đáp xuất một lần.")</f>
        <v>-MỚI: Chiến Binh Thủy Thủ Viễn Hành - Hardy, Những thủy thủ vì kho báu bí ẩn mà đạp gió rẽ sóng! Có thể nhận được thông qua "Chúa Khỉ Tối Cao".
Thêm vào bộ sưu tập: Thêm 5 bộ sưu tập mới gồm 【Diễu Võ Dương Oai】, 【Ánh Vàng】, 【Tiên Phong Thể Thao】, 【Trào Lưu Hiện Đại】, và 【Kiểm Tra Sức Khỏe】. Các bộ sưu tập này có thể được thu thập thông qua phòng sưu tập bất ngờ.
- Thêm chế độ chơi Cướp Bóc Pháo Đài mới: Tìm đối thủ và chiến đấu với nhau, cạnh tranh tài nguyên bằng chiến thuật.
-Thêm trò chơi Viễn Chinh Vũ Khí mới: Người chơi có thể nâng cao sức mạnh vũ khí, liên tục vượt qua các cửa ải để nhận được phần thưởng Viễn Chinh.
-MỚI: Sự kiện Mừng Lễ Phục Sinh mới:
Trứng Phục Sinh Có Quà: Đập Trứng May Mắn và giành được Giới hạn Tòa Thị Chính và những phần thưởng phong phú khác!
Tiệc Trứng May Mắn: Thu thập Đũa Phép, giành được phần thưởng bất ngờ! Nâng cấp cấp độ sự kiện, có cơ hội nhận được trang phục mới "Vui Tươi Màu Sắc" cho hành quân!
VƯỢN KHỔNG LỒ TẤN CÔNG: Trong kỳ Lễ Phục Sinh, Vượn Khổng Lồ Phá Hoại do Tiến Sĩ Hogg kiểm soát đang gây rối khắp nơi. Tấn công nó sẽ nhận được phần thưởng tích luỹ điểm!
Chức năng Hồng Bao: Sự kiện Hồng Bao giới hạn thời gian trở lại, sau khi nhận được vật phẩm Hồng Bao, bạn có thể chọn kênh trò chuyện và gửi Hồng Bao cho các người chơi trong kênh đó!
- Chức năng Thay Đổi Chiến Binh mới: Trong 15 ngày đầu tiên của máy chủ mới, người chơi có thể miễn phí thay đổi kinh nghiệm và cấp sao giữa các Chiến Binh cùng phẩm chất của mình.
-Mở tính năng lựa chọn anh hùng tại Tửu Quán: Sau khi rút một số lượng nhất định ở Bữa Tiệc Sang Trọng, Tửu Quán sẽ mở tính năng lựa chọn anh hùng, người chơi có thể tự do chọn anh hùng muốn rút trong Giải Thưởng.
Thêm trò chơi Đấu Trường Tinh Anh mới: Nâng cấp Toàn Năng Brawl với thử thách theo đường, sương mù che phủ. Sức mạnh thực sự hay trí tuệ tuyệt vời? Hãy đến thử thách! (Sau một giai đoạn nhất định trong trò chơi, sẽ thay thế Đấu Trường Toàn Năng)
-Tiếp quản pháo đài trò chơi nâng cấp: Thêm bệ phóng hỏa tiễn, tăng thêm 50 cửa ải khỉ của bệ phóng hỏa tiễn, cập nhật thông tin liên quan đến bệ phóng hỏa tiễn trong sổ tay.
-Hệ thống bạn bè được nâng cấp: Thêm chức năng so sánh sức mạnh và chiến đấu với nhau, tối ưu hóa hiển thị của hệ thống bạn bè.
PHÒNG SƯU TẬP BẤT NGỜ được cải tiến: Thêm các Di Tích mới vào Phòng Sưu Tập và thêm tính năng Tự Chọn, cho phép bạn chọn các bộ Di Tích mà bạn muốn.
Chiến Tranh Hành Tinh được cải tiến: Cơ chế chọn điểm đáp xuất đã được cải tiến, ba quân đoàn đứng đầu sẽ có cơ hội thay đổi điểm đáp xuất một lần.</v>
      </c>
      <c r="N37" s="108" t="str">
        <f>IFERROR(__xludf.DUMMYFUNCTION("""COMPUTED_VALUE"""),"Nuovo combattente: il navigante Hardy, un marinaio che attraversa gli oceani alla ricerca di tesori! Può essere ottenuto tramite ""Scimmia suprema"".
Nuove Reliquie: presentiamo 5 nuovi set di reliquie - Spavalderia e intimidazioni, Oro scintillante, Camp"&amp;"ioni di sport, Moda e tendenze e Controllo medico. Ottenibili tramite l'evento ""Cofanetto sorpresa delle Reliquie"".
Nuova modalità di gioco Fortress Saccheggiatore: Abbina con altri giocatori e competi per le risorse attraverso battaglie strategiche.
Nu"&amp;"ova modalità di gioco Spedizione Attrezzatura: i giocatori possono potenziare la loro forza militare, affrontare livelli consecutivi e ottenere ricompense di spedizione.
Nuovo evento di Pasqua:
Sorpresa dell'uovo fortunato: Rompi le uova fortunate per vin"&amp;"cere esclusive skin di base deluxe e altre ricche ricompense!
Festa delle uova fortunate: Raccogli le Bacchette magiche e vinci ricompense sorpresa! Salendo di livello nell'evento, avrai la possibilità di ottenere la nuova skin per la marcia ""Melodia a c"&amp;"olori""!
Assalto del Gigagorilla: Durante la Pasqua, il Gigagorilla maledetto del dottor Hogg sta causando il caos ovunque. Attaccalo per ottenere ricompense cumulative di punti!
Funzione Busta rossa: L'evento Busta rossa è tornato per un periodo limitato"&amp;"! Ottieni oggetti della Busta rossa e scegli un canale di chat per inviarli ai giocatori nel canale!
Nuova funzione di scambio Combattenti: Per i primi 15 giorni dopo l'apertura di un nuovo server, i giocatori possono scambiare liberamente esperienza e li"&amp;"velli stelle tra Combattenti della stessa qualità.
Nuova funzione Selezione Eroe della Taverna: Dopo un certo numero di Banchetti deluxe, la Taverna sblocca la funzione Selezione Eroe, che consente ai giocatori di scegliere liberamente l'Eroe che desidera"&amp;"no estrarre dal pool.
Nuovo gameplay Rissa dei campioni: Un nuovo aggiornamento per la Rissa equilibrata, con sfide di corsia e copertura di nebbia. Sarà potenza pura o brillante strategia? Sta a te accettare la sfida! (Sostituisce la Rissa equilibrata do"&amp;"po aver raggiunto una certa fase nel gioco)
Aggiornamento del gameplay di Fortress Takeover: Aggiunto Lanciarazzi, con 50 nuovi livelli di Lanciarazzi e aggiornata la galleria con contenuti correlati al Lanciarazzi.
Aggiornamento della funzione del sistem"&amp;"a Amico: Aggiunta la funzione di confronto della forza e delle battaglie reciproche, ottimizzata la visualizzazione del sistema Amico.
Ottimizzazione della Sala delle Reliquie Sorpresa: Sono state aggiunte nuove Reliquie alla Sala delle Reliquie, insieme "&amp;"a una nuova funzione ""Scegli la tua"" che ti consente di selezionare la serie di Reliquie che desideri.
Ottimizzazione Guerre planetarie: migliorato il meccanismo per la selezione dei punti di atterraggio, con i primi tre Eserciti che hanno l'opportunità"&amp;" di cambiare il loro punto di atterraggio una volta.")</f>
        <v>Nuovo combattente: il navigante Hardy, un marinaio che attraversa gli oceani alla ricerca di tesori! Può essere ottenuto tramite "Scimmia suprema".
Nuove Reliquie: presentiamo 5 nuovi set di reliquie - Spavalderia e intimidazioni, Oro scintillante, Campioni di sport, Moda e tendenze e Controllo medico. Ottenibili tramite l'evento "Cofanetto sorpresa delle Reliquie".
Nuova modalità di gioco Fortress Saccheggiatore: Abbina con altri giocatori e competi per le risorse attraverso battaglie strategiche.
Nuova modalità di gioco Spedizione Attrezzatura: i giocatori possono potenziare la loro forza militare, affrontare livelli consecutivi e ottenere ricompense di spedizione.
Nuovo evento di Pasqua:
Sorpresa dell'uovo fortunato: Rompi le uova fortunate per vincere esclusive skin di base deluxe e altre ricche ricompense!
Festa delle uova fortunate: Raccogli le Bacchette magiche e vinci ricompense sorpresa! Salendo di livello nell'evento, avrai la possibilità di ottenere la nuova skin per la marcia "Melodia a colori"!
Assalto del Gigagorilla: Durante la Pasqua, il Gigagorilla maledetto del dottor Hogg sta causando il caos ovunque. Attaccalo per ottenere ricompense cumulative di punti!
Funzione Busta rossa: L'evento Busta rossa è tornato per un periodo limitato! Ottieni oggetti della Busta rossa e scegli un canale di chat per inviarli ai giocatori nel canale!
Nuova funzione di scambio Combattenti: Per i primi 15 giorni dopo l'apertura di un nuovo server, i giocatori possono scambiare liberamente esperienza e livelli stelle tra Combattenti della stessa qualità.
Nuova funzione Selezione Eroe della Taverna: Dopo un certo numero di Banchetti deluxe, la Taverna sblocca la funzione Selezione Eroe, che consente ai giocatori di scegliere liberamente l'Eroe che desiderano estrarre dal pool.
Nuovo gameplay Rissa dei campioni: Un nuovo aggiornamento per la Rissa equilibrata, con sfide di corsia e copertura di nebbia. Sarà potenza pura o brillante strategia? Sta a te accettare la sfida! (Sostituisce la Rissa equilibrata dopo aver raggiunto una certa fase nel gioco)
Aggiornamento del gameplay di Fortress Takeover: Aggiunto Lanciarazzi, con 50 nuovi livelli di Lanciarazzi e aggiornata la galleria con contenuti correlati al Lanciarazzi.
Aggiornamento della funzione del sistema Amico: Aggiunta la funzione di confronto della forza e delle battaglie reciproche, ottimizzata la visualizzazione del sistema Amico.
Ottimizzazione della Sala delle Reliquie Sorpresa: Sono state aggiunte nuove Reliquie alla Sala delle Reliquie, insieme a una nuova funzione "Scegli la tua" che ti consente di selezionare la serie di Reliquie che desideri.
Ottimizzazione Guerre planetarie: migliorato il meccanismo per la selezione dei punti di atterraggio, con i primi tre Eserciti che hanno l'opportunità di cambiare il loro punto di atterraggio una volta.</v>
      </c>
      <c r="O37" s="148" t="str">
        <f>IFERROR(__xludf.DUMMYFUNCTION("""COMPUTED_VALUE"""),"Nowy wojownik: Żeglarz-Hardy, morski podróżnik, który przemierza oceany w poszukiwaniu tajemniczych skarbów! Można go zdobyć poprzez zdobycie tytułu ""Ubermałpy"".
Nowe Relikty: Przedstawiamy 5 nowych zestawów reliktów - Insygnia siły, Złoto co się świeci"&amp;", Sport wyczynowy, Moda i trendy oraz Służba zdrowia. Można je zdobyć podczas wydarzenia ""Niespodziankowa Skarbnica Reliktów"".
Nowa rozgrywka Fortress Looter: Dopasuj się do innych graczy i rywalizuj o zasoby poprzez strategiczne bitwy.
Nowa rozgrywka E"&amp;"kspedycji Wyposażenia: Gracze mogą zwiększać swoją siłę militarną, podejmować kolejne etapy wyzwania i zdobywać nagrody ekspedycyjne.
Nowe wydarzenie wielkanocne:
Niespodzianka ze Szczęśliwymi jajami: Rozbijaj Szczęśliwe jaja, aby wygrać ekskluzywne skórk"&amp;"i bazy i inne bogate nagrody!
Zabawa ze szczęśliwymi jajami: Zbieraj Magiczne różdżki i wygrywaj niespodziankowe nagrody! Zdobywaj poziomy podczas wydarzenia, aby mieć szansę na zdobycie nowej skórki na marsz ""Kolorowa melodia""!
Atak Gigamałpy: Podczas "&amp;"Wielkanocy, Gigamałpa zniszczenia doktora Hogga powoduje chaos wszędzie. Atakuj, aby zdobyć nagrody za punkty kumulacyjne!
Funkcja Czerwonej Koperty: Wydarzenie Czerwonej Koperty powraca na krótki czas! Zdobądź przedmioty z Czerwonej Koperty i wybierz kan"&amp;"ał czatu, aby je wysłać do graczy w kanale!
Nowa funkcja Zamiany Wojowników: W ciągu pierwszych 15 dni po otwarciu nowego serwera gracze mogą swobodnie wymieniać doświadczenie i poziomy gwiazdek między Wojownikami tej samej jakości.
Nowa funkcja wyboru bo"&amp;"hatera w Tawernie: Po pewnej liczbie Ekskluzywnych bankietów, Tawerna odblokuje funkcję wyboru bohatera, umożliwiając graczom swobodne wybieranie bohatera, którego chcą wylosować z puli.
Nowa rozgrywka Bijatyka Mistrzów: zupełnie nowa wersja Bijatyki Zrów"&amp;"noważonej, z wyzwaniami na drodze i zasłoną mgły. Czy to będzie surowa siła czy genialna strategia? To zależy od Ciebie, aby podjąć wyzwanie! (Zastępuje Bijatykę Zrównoważoną po osiągnięciu określonego etapu w grze)
Ulepszenie rozgrywki Przejęcie Twierdzy"&amp;": Dodano Wyrzutnię rakiet, 50 nowych poziomów Wyrzutni rakiet oraz zaktualizowano galerię związanych z Wyrzutnią rakiet treści.
Ulepszenie funkcji Systemu Znajomych: Dodano porównanie siły i funkcje wzajemnej walki, zoptymalizowano wyświetlanie Systemu Zn"&amp;"ajomych.
Optymalizacja Skrzyni z Niespodziankowymi Reliktami: Dodano nowe Relikty do Skrzyni z Reliktami, wraz z nową funkcją ""Wybierz swoje"", która pozwala wybrać serię Reliktów, którą chcesz.
Optymalizacja Wojen Planet: Ulepszono mechanizm wyboru punk"&amp;"tów lądowania, gdzie najlepsze trzy Armie mają możliwość zmiany swojego punktu lądowania raz.")</f>
        <v>Nowy wojownik: Żeglarz-Hardy, morski podróżnik, który przemierza oceany w poszukiwaniu tajemniczych skarbów! Można go zdobyć poprzez zdobycie tytułu "Ubermałpy".
Nowe Relikty: Przedstawiamy 5 nowych zestawów reliktów - Insygnia siły, Złoto co się świeci, Sport wyczynowy, Moda i trendy oraz Służba zdrowia. Można je zdobyć podczas wydarzenia "Niespodziankowa Skarbnica Reliktów".
Nowa rozgrywka Fortress Looter: Dopasuj się do innych graczy i rywalizuj o zasoby poprzez strategiczne bitwy.
Nowa rozgrywka Ekspedycji Wyposażenia: Gracze mogą zwiększać swoją siłę militarną, podejmować kolejne etapy wyzwania i zdobywać nagrody ekspedycyjne.
Nowe wydarzenie wielkanocne:
Niespodzianka ze Szczęśliwymi jajami: Rozbijaj Szczęśliwe jaja, aby wygrać ekskluzywne skórki bazy i inne bogate nagrody!
Zabawa ze szczęśliwymi jajami: Zbieraj Magiczne różdżki i wygrywaj niespodziankowe nagrody! Zdobywaj poziomy podczas wydarzenia, aby mieć szansę na zdobycie nowej skórki na marsz "Kolorowa melodia"!
Atak Gigamałpy: Podczas Wielkanocy, Gigamałpa zniszczenia doktora Hogga powoduje chaos wszędzie. Atakuj, aby zdobyć nagrody za punkty kumulacyjne!
Funkcja Czerwonej Koperty: Wydarzenie Czerwonej Koperty powraca na krótki czas! Zdobądź przedmioty z Czerwonej Koperty i wybierz kanał czatu, aby je wysłać do graczy w kanale!
Nowa funkcja Zamiany Wojowników: W ciągu pierwszych 15 dni po otwarciu nowego serwera gracze mogą swobodnie wymieniać doświadczenie i poziomy gwiazdek między Wojownikami tej samej jakości.
Nowa funkcja wyboru bohatera w Tawernie: Po pewnej liczbie Ekskluzywnych bankietów, Tawerna odblokuje funkcję wyboru bohatera, umożliwiając graczom swobodne wybieranie bohatera, którego chcą wylosować z puli.
Nowa rozgrywka Bijatyka Mistrzów: zupełnie nowa wersja Bijatyki Zrównoważonej, z wyzwaniami na drodze i zasłoną mgły. Czy to będzie surowa siła czy genialna strategia? To zależy od Ciebie, aby podjąć wyzwanie! (Zastępuje Bijatykę Zrównoważoną po osiągnięciu określonego etapu w grze)
Ulepszenie rozgrywki Przejęcie Twierdzy: Dodano Wyrzutnię rakiet, 50 nowych poziomów Wyrzutni rakiet oraz zaktualizowano galerię związanych z Wyrzutnią rakiet treści.
Ulepszenie funkcji Systemu Znajomych: Dodano porównanie siły i funkcje wzajemnej walki, zoptymalizowano wyświetlanie Systemu Znajomych.
Optymalizacja Skrzyni z Niespodziankowymi Reliktami: Dodano nowe Relikty do Skrzyni z Reliktami, wraz z nową funkcją "Wybierz swoje", która pozwala wybrać serię Reliktów, którą chcesz.
Optymalizacja Wojen Planet: Ulepszono mechanizm wyboru punktów lądowania, gdzie najlepsze trzy Armie mają możliwość zmiany swojego punktu lądowania raz.</v>
      </c>
      <c r="P37" s="148" t="str">
        <f>IFERROR(__xludf.DUMMYFUNCTION("""COMPUTED_VALUE"""),"- إضافة مقاتل جديد: بحار الرحلات البعيدة - هادي، البحار الذي يبحث عن الكنوز الغامضة ويتحدى الأمواج! يمكن الحصول عليه من خلال ""القرد الخارق"".
المقتنيات الجديدة: تقديم 5 مجموعات جديدة من المقتنيات - خدعة واختيال، بريق الذهب، رائد في الرياضة، الاتجاه والمو"&amp;"ضة، وفحص الصحة. يمكن الحصول عليها من خلال حدث ""خزانة المقتنيات المفاجئة"".
لعبة نهب الحصون الجديدة: تواجه لاعبين آخرين وتنافس على الموارد من خلال معارك استراتيجية.
لعبة الرحلة الجديدة للعتاد: يمكن للاعبين تعزيز قوتهم العسكرية، وتحدي المراحل المتتالية، وك"&amp;"سب مكافآت الرحلة الاستكشافية.
حدث عيد الفصح الجديد:
مفاجآت بيض الحظ: اكسر بيض الحظ للفوز بأغلفة قواعد فاخرة حصرية ومكافآت غنية أخرى!
حفلة بيض الحظ: اجمع العصي السحرية واربح مكافآت مفاجئة! ارتقِ في المستوى خلال الحدث للحصول على فرصة للحصول على جلد المسيرة "&amp;"الجديد ""اللحن الملون""!
هجوم القرد العملاق: خلال عيد الفصح، يسبب القرد العملاق المدمر للدكتور هوغ الفوضى في كل مكان. هاجمه لتحصل على مكافآت نقاط تراكمية!
ميزة الظرف الأحمر: حدث الظرف الأحمر عاد مرة أخرى لفترة محدودة! احصل على عناصر الظرف الأحمر واختر قنا"&amp;"ة الدردشة لإرسالها إلى اللاعبين في القناة!
ميزة تبادل المقاتل الجديد: خلال الـ 15 يومًا الأولى بعد افتتاح خادم جديد، يمكن للاعبين تبادل مستويات الخبرة والنجوم بحرية بين المقاتلين من نفس النوعية.")</f>
        <v>- إضافة مقاتل جديد: بحار الرحلات البعيدة - هادي، البحار الذي يبحث عن الكنوز الغامضة ويتحدى الأمواج! يمكن الحصول عليه من خلال "القرد الخارق".
المقتنيات الجديدة: تقديم 5 مجموعات جديدة من المقتنيات - خدعة واختيال، بريق الذهب، رائد في الرياضة، الاتجاه والموضة، وفحص الصحة. يمكن الحصول عليها من خلال حدث "خزانة المقتنيات المفاجئة".
لعبة نهب الحصون الجديدة: تواجه لاعبين آخرين وتنافس على الموارد من خلال معارك استراتيجية.
لعبة الرحلة الجديدة للعتاد: يمكن للاعبين تعزيز قوتهم العسكرية، وتحدي المراحل المتتالية، وكسب مكافآت الرحلة الاستكشافية.
حدث عيد الفصح الجديد:
مفاجآت بيض الحظ: اكسر بيض الحظ للفوز بأغلفة قواعد فاخرة حصرية ومكافآت غنية أخرى!
حفلة بيض الحظ: اجمع العصي السحرية واربح مكافآت مفاجئة! ارتقِ في المستوى خلال الحدث للحصول على فرصة للحصول على جلد المسيرة الجديد "اللحن الملون"!
هجوم القرد العملاق: خلال عيد الفصح، يسبب القرد العملاق المدمر للدكتور هوغ الفوضى في كل مكان. هاجمه لتحصل على مكافآت نقاط تراكمية!
ميزة الظرف الأحمر: حدث الظرف الأحمر عاد مرة أخرى لفترة محدودة! احصل على عناصر الظرف الأحمر واختر قناة الدردشة لإرسالها إلى اللاعبين في القناة!
ميزة تبادل المقاتل الجديد: خلال الـ 15 يومًا الأولى بعد افتتاح خادم جديد، يمكن للاعبين تبادل مستويات الخبرة والنجوم بحرية بين المقاتلين من نفس النوعية.</v>
      </c>
      <c r="Q37" s="148"/>
      <c r="R37" s="148"/>
      <c r="S37" s="148"/>
      <c r="T37" s="148"/>
      <c r="U37" s="148"/>
      <c r="V37" s="148"/>
      <c r="W37" s="148"/>
      <c r="X37" s="148"/>
      <c r="Y37" s="148"/>
      <c r="Z37" s="148"/>
    </row>
    <row r="38">
      <c r="A38" s="167" t="str">
        <f>IFERROR(__xludf.DUMMYFUNCTION("""COMPUTED_VALUE"""),"0.52.0 短版")</f>
        <v>0.52.0 短版</v>
      </c>
      <c r="B38" s="148" t="str">
        <f>IFERROR(__xludf.DUMMYFUNCTION("""COMPUTED_VALUE"""),"-新增斗士：远航水手-哈迪，为了神秘宝藏，乘风破浪的水手！可通过“最强猴子”获取。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-新增军备远征玩法：玩家可提升军备实力，连续闯关，获得远征奖励
-新增复活节活动：
彩蛋有礼：敲击幸运彩蛋，赢取限定豪华主城皮肤和其它丰富奖励！
彩蛋节派对：收集魔术棒，赢取惊喜奖励！提升活动等级，有机会获取全新行军皮肤“炫彩悦动”!
进击的"&amp;"巨猿：复活节期间，霍格博士控制的毁灭巨猿四处作乱，攻击它可以获得累计积分奖励！
红包功能：红包活动限时返场，获得红包道具后可以选择聊天频道发放红包给频道内的玩家！
-新增斗士转换功能：在新服务器开服前15天，玩家可以免费在自身同品质的斗士之间进行经验和星级的交换
-新增酒馆英雄自选功能：在一定数量的豪华宴会抽取后，酒馆开启英雄自选功能，玩家可在奖池自由选择想抽取的英雄
-新增精英竞技场玩法：为全能竞技场进行了全新升级，分路挑战，迷雾遮挡，是硬实力还是绝佳的头脑？等你来挑战！(游戏进行到一定阶段后替代全能竞"&amp;"技场）
-堡垒对决玩法升级：新增火箭发射器，增加了50关火箭发射器关卡，图鉴更新了火箭发射器相关内容
-好友系统功能升级：增加了实力对比和相互对战的功能，优化了好友系统的显示
-惊喜藏品屋优化：全新收藏品加入藏品屋，同时新增自选功能，可自行选择想要的收藏品系列
-银河战争优化：优化了选择落点的机制，前三名的军团拥有一次更换落点的机会")</f>
        <v>-新增斗士：远航水手-哈迪，为了神秘宝藏，乘风破浪的水手！可通过“最强猴子”获取。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-新增军备远征玩法：玩家可提升军备实力，连续闯关，获得远征奖励
-新增复活节活动：
彩蛋有礼：敲击幸运彩蛋，赢取限定豪华主城皮肤和其它丰富奖励！
彩蛋节派对：收集魔术棒，赢取惊喜奖励！提升活动等级，有机会获取全新行军皮肤“炫彩悦动”!
进击的巨猿：复活节期间，霍格博士控制的毁灭巨猿四处作乱，攻击它可以获得累计积分奖励！
红包功能：红包活动限时返场，获得红包道具后可以选择聊天频道发放红包给频道内的玩家！
-新增斗士转换功能：在新服务器开服前15天，玩家可以免费在自身同品质的斗士之间进行经验和星级的交换
-新增酒馆英雄自选功能：在一定数量的豪华宴会抽取后，酒馆开启英雄自选功能，玩家可在奖池自由选择想抽取的英雄
-新增精英竞技场玩法：为全能竞技场进行了全新升级，分路挑战，迷雾遮挡，是硬实力还是绝佳的头脑？等你来挑战！(游戏进行到一定阶段后替代全能竞技场）
-堡垒对决玩法升级：新增火箭发射器，增加了50关火箭发射器关卡，图鉴更新了火箭发射器相关内容
-好友系统功能升级：增加了实力对比和相互对战的功能，优化了好友系统的显示
-惊喜藏品屋优化：全新收藏品加入藏品屋，同时新增自选功能，可自行选择想要的收藏品系列
-银河战争优化：优化了选择落点的机制，前三名的军团拥有一次更换落点的机会</v>
      </c>
      <c r="C38" s="148" t="str">
        <f>IFERROR(__xludf.DUMMYFUNCTION("""COMPUTED_VALUE"""),"- New Fighter: Seafarer Hardy - A sailor who braves the waves in search of mysterious treasures! Obtainable through the ""Ultimate Monkey"" event.
- New Relics: Introducing 5 new sets of relics - Bluff &amp; Bluster, Gleaming Gold, Ace Sportsmen, Trend &amp; Fash"&amp;"ion, and Health Checkup. Obtainable through the ""Surprise Relic Vault"" event.
- New Fortress Looter gameplay: Match with other players and compete for resources through strategic battles.
- New Gear Expedition gameplay: Players can enhance their militar"&amp;"y strength, challenge consecutive stages, and earn expedition rewards.
- New Easter Event:
Lucky Egg Surprise: Crack lucky eggs to win exclusive deluxe base skins and other rich rewards!
Lucky Egg Party: Collect Magic Wands and win surprise rewards! Level"&amp;" up in the event for a chance to get the new march skin ""Color Melody""!
Giganto Assault: During Easter, Dr. Hogg's Doom Giganto is causing chaos everywhere. Attack it to earn cumulative points rewards!
Red Envelope Feature: The Red Envelope event is bac"&amp;"k for a limited time! Obtain Red Envelope items and choose a chat channel to send them to players in the channel!
- New Fighter Swap feature: For the first 15 days after a new server opens, players can freely swap experience and star levels between Fighte"&amp;"rs of the same quality.
- New Tavern Hero Selection feature: After a certain number of Deluxe Banquets, the Tavern will unlock the Hero Selection feature, allowing players to freely choose the Hero they want to draw from the pool.
- New Champion Brawl gam"&amp;"eplay: A brand new upgrade for the Balanced Brawl, featuring lane challenges and fog cover. Will it be raw power or brilliant strategy? It's up to you to take on the challenge! (Replaces Balanced Brawl after reaching a certain stage in the game)
- Fortres"&amp;"s Takeover gameplay upgrade: Added Rocket Launcher, with 50 new Rocket Launcher levels and updated the gallery with Rocket Launcher-related content.
- Friend System feature upgrade: Added strength comparison and mutual battle features, optimized the displ"&amp;"ay of the Friend System.
- Surprise Relic Vault Optimization: New Relics have been added to the Relic Vault, along with a new ""Choose Your Own"" feature, allowing you to select the Relic series you want.
- Planet Wars Optimization: Improved the mechanism"&amp;" for selecting landing points, with the top three Armies having the opportunity to change their landing point once.")</f>
        <v>- New Fighter: Seafarer Hardy - A sailor who braves the waves in search of mysterious treasures! Obtainable through the "Ultimate Monkey" event.
- New Relics: Introducing 5 new sets of relics - Bluff &amp; Bluster, Gleaming Gold, Ace Sportsmen, Trend &amp; Fashion, and Health Checkup. Obtainable through the "Surprise Relic Vault" event.
- New Fortress Looter gameplay: Match with other players and compete for resources through strategic battles.
- New Gear Expedition gameplay: Players can enhance their military strength, challenge consecutive stages, and earn expedition rewards.
- New Easter Event:
Lucky Egg Surprise: Crack lucky eggs to win exclusive deluxe base skins and other rich rewards!
Lucky Egg Party: Collect Magic Wands and win surprise rewards! Level up in the event for a chance to get the new march skin "Color Melody"!
Giganto Assault: During Easter, Dr. Hogg's Doom Giganto is causing chaos everywhere. Attack it to earn cumulative points rewards!
Red Envelope Feature: The Red Envelope event is back for a limited time! Obtain Red Envelope items and choose a chat channel to send them to players in the channel!
- New Fighter Swap feature: For the first 15 days after a new server opens, players can freely swap experience and star levels between Fighters of the same quality.
- New Tavern Hero Selection feature: After a certain number of Deluxe Banquets, the Tavern will unlock the Hero Selection feature, allowing players to freely choose the Hero they want to draw from the pool.
- New Champion Brawl gameplay: A brand new upgrade for the Balanced Brawl, featuring lane challenges and fog cover. Will it be raw power or brilliant strategy? It's up to you to take on the challenge! (Replaces Balanced Brawl after reaching a certain stage in the game)
- Fortress Takeover gameplay upgrade: Added Rocket Launcher, with 50 new Rocket Launcher levels and updated the gallery with Rocket Launcher-related content.
- Friend System feature upgrade: Added strength comparison and mutual battle features, optimized the display of the Friend System.
- Surprise Relic Vault Optimization: New Relics have been added to the Relic Vault, along with a new "Choose Your Own" feature, allowing you to select the Relic series you want.
- Planet Wars Optimization: Improved the mechanism for selecting landing points, with the top three Armies having the opportunity to change their landing point once.</v>
      </c>
      <c r="D38" s="148" t="str">
        <f>IFERROR(__xludf.DUMMYFUNCTION("""COMPUTED_VALUE"""),"- Nouveau combattant: Hardy le marin - Un marin qui brave les vagues à la recherche de trésors mystérieux! Obtenez-le lors de l'événement ""Singe ultime"".\n- Nouvelles reliques: Présentation de 5 nouveaux ensembles de reliques - Fanfaronnade, Dorures, At"&amp;"hlétisme, Mode et Santé. Obtenez-les lors de l'événement ""Coffre aux reliques surprise"".\n- Nouveau gameplay de pillage de forteresse: Affrontez d'autres joueurs et rivalisez pour les ressources lors de batailles stratégiques.\n- Nouveau gameplay d'expé"&amp;"dition d'équipement: Les joueurs peuvent renforcer leur puissance militaire, défier des étapes consécutives et gagner des récompenses d'expédition.\n- Nouvel événement de Pâques:\nSurprise d'œuf chanceux: Cassez des œufs chanceux pour gagner des skins de "&amp;"base deluxe exclusifs et d'autres récompenses riches!\nFête d'œuf chanceux: Collectez des baguettes magiques et gagnez des récompenses surprises! Montez de niveau lors de l'événement pour avoir une chance d'obtenir le nouveau skin de marche ""Mélodie colo"&amp;"rée""!\nAssaut de Giganto: Pendant Pâques, le Giganto maudit du Dr. Hogg cause le chaos partout. Attaquez-le pour gagner des récompenses de points cumulatifs!\nFonctionnalité d'enveloppe rouge: L'événement d'enveloppe rouge est de retour pour une durée li"&amp;"mitée! Obtenez des objets d'enveloppe rouge et choisissez un canal de discussion pour les envoyer aux joueurs du canal!\n- Nouvelle fonctionnalité d'échange de combattant: Pendant les 15 premiers jours après l'ouverture d'un nouveau serveur, les joueurs p"&amp;"euvent échanger librement l'expérience et les niveaux d'étoiles entre les combattants de même qualité.\n- Nouvelle fonctionnalité de sélection de héros de taverne: Après un certain nombre de festins deluxe, la taverne débloquera la fonctionnalité de sélec"&amp;"tion de héros, permettant aux joueurs de choisir librement le héros qu'ils veulent tirer de la piscine.\n- Nouveau gameplay de choc des champions: Une toute nouvelle mise à niveau pour la baston polyvalente, avec des défis de voie et de brouillard. Sera-c"&amp;"e la puissance brute ou la stratégie brillante? C'est à vous de relever le défi! (Remplace la baston polyvalente après")</f>
        <v>- Nouveau combattant: Hardy le marin - Un marin qui brave les vagues à la recherche de trésors mystérieux! Obtenez-le lors de l'événement "Singe ultime".\n- Nouvelles reliques: Présentation de 5 nouveaux ensembles de reliques - Fanfaronnade, Dorures, Athlétisme, Mode et Santé. Obtenez-les lors de l'événement "Coffre aux reliques surprise".\n- Nouveau gameplay de pillage de forteresse: Affrontez d'autres joueurs et rivalisez pour les ressources lors de batailles stratégiques.\n- Nouveau gameplay d'expédition d'équipement: Les joueurs peuvent renforcer leur puissance militaire, défier des étapes consécutives et gagner des récompenses d'expédition.\n- Nouvel événement de Pâques:\nSurprise d'œuf chanceux: Cassez des œufs chanceux pour gagner des skins de base deluxe exclusifs et d'autres récompenses riches!\nFête d'œuf chanceux: Collectez des baguettes magiques et gagnez des récompenses surprises! Montez de niveau lors de l'événement pour avoir une chance d'obtenir le nouveau skin de marche "Mélodie colorée"!\nAssaut de Giganto: Pendant Pâques, le Giganto maudit du Dr. Hogg cause le chaos partout. Attaquez-le pour gagner des récompenses de points cumulatifs!\nFonctionnalité d'enveloppe rouge: L'événement d'enveloppe rouge est de retour pour une durée limitée! Obtenez des objets d'enveloppe rouge et choisissez un canal de discussion pour les envoyer aux joueurs du canal!\n- Nouvelle fonctionnalité d'échange de combattant: Pendant les 15 premiers jours après l'ouverture d'un nouveau serveur, les joueurs peuvent échanger librement l'expérience et les niveaux d'étoiles entre les combattants de même qualité.\n- Nouvelle fonctionnalité de sélection de héros de taverne: Après un certain nombre de festins deluxe, la taverne débloquera la fonctionnalité de sélection de héros, permettant aux joueurs de choisir librement le héros qu'ils veulent tirer de la piscine.\n- Nouveau gameplay de choc des champions: Une toute nouvelle mise à niveau pour la baston polyvalente, avec des défis de voie et de brouillard. Sera-ce la puissance brute ou la stratégie brillante? C'est à vous de relever le défi! (Remplace la baston polyvalente après</v>
      </c>
      <c r="E38" s="148" t="str">
        <f>IFERROR(__xludf.DUMMYFUNCTION("""COMPUTED_VALUE"""),"- Neuer Kämpfer: Seefahrer Hardy - Ein Seemann, der sich auf die Suche nach mysteriösen Schätzen auf hoher See begibt! Erhältlich im ""Ultimativer Affe""-Event.\n- Neue Relikte: Einführung von 5 neuen Relikt-Sets - Bluff &amp; Bluster, Glänzendes Gold, Top Sp"&amp;"ortsmänner, Trend &amp; Mode und Gesundheitscheck. Erhältlich im ""Überraschungs-Relikt-Tresor""-Event.\n- Neues Festungsplünderer-Gameplay: Trete gegen andere Spieler an und kämpfe strategisch um Ressourcen.\n- Neues Ausrüstungs-Expeditions-Gameplay: Spieler"&amp;" können ihre militärische Stärke verbessern, aufeinanderfolgende Stufen herausfordern und Expedition-Belohnungen verdienen.\n- Neues Oster-Event:\nGlücksei-Überraschung: Knacke Glückseier, um exklusive Deluxe-Basis-Skins und andere reiche Belohnungen zu g"&amp;"ewinnen!\nGlücksei-Party: Sammle Zauberstäbe und gewinne Überraschungsbelohnungen! Steige im Event-Level auf, um eine Chance auf den neuen Marsch-Skin ""Farbmelodie"" zu erhalten!\nGiganto-Angriff: Während Ostern sorgt Dr. Hoggs Unheils-Giganto überall fü"&amp;"r Chaos. Greife ihn an, um kumulative Punktebelohnungen zu erhalten!\nRote Umschlag-Funktion: Das Rote-Umschlag-Event ist für begrenzte Zeit zurück! Erhalte Rote-Umschlag-Items und wähle einen Chat-Kanal, um sie an Spieler im Kanal zu senden!\n- Neues Käm"&amp;"pfer-Tausch-Feature: In den ersten 15 Tagen nach der Eröffnung eines neuen Servers können Spieler frei Erfahrung und Stern-Level zwischen Kämpfern derselben Qualität tauschen.\n- Neues Tavernen-Helden-Auswahl-Feature: Nach einer bestimmten Anzahl von Delu"&amp;"xe-Festmahle wird die Taverne das Helden-Auswahl-Feature freischalten, das es Spielern ermöglicht, den Helden frei aus dem Pool auszuwählen.\n- Neues Champion-Schlägerei-Gameplay: Ein brandneues Upgrade für die Allmächtige Schlägerei, mit Lane-Herausforde"&amp;"rungen und Nebelbedeckung. Wird es rohe Kraft oder brillante Strategie sein? Es liegt an dir, die Herausforderung anzunehmen! (Ersetzt die Allmächtige Schlägerei nach Erreichen eines bestimmten")</f>
        <v>- Neuer Kämpfer: Seefahrer Hardy - Ein Seemann, der sich auf die Suche nach mysteriösen Schätzen auf hoher See begibt! Erhältlich im "Ultimativer Affe"-Event.\n- Neue Relikte: Einführung von 5 neuen Relikt-Sets - Bluff &amp; Bluster, Glänzendes Gold, Top Sportsmänner, Trend &amp; Mode und Gesundheitscheck. Erhältlich im "Überraschungs-Relikt-Tresor"-Event.\n- Neues Festungsplünderer-Gameplay: Trete gegen andere Spieler an und kämpfe strategisch um Ressourcen.\n- Neues Ausrüstungs-Expeditions-Gameplay: Spieler können ihre militärische Stärke verbessern, aufeinanderfolgende Stufen herausfordern und Expedition-Belohnungen verdienen.\n- Neues Oster-Event:\nGlücksei-Überraschung: Knacke Glückseier, um exklusive Deluxe-Basis-Skins und andere reiche Belohnungen zu gewinnen!\nGlücksei-Party: Sammle Zauberstäbe und gewinne Überraschungsbelohnungen! Steige im Event-Level auf, um eine Chance auf den neuen Marsch-Skin "Farbmelodie" zu erhalten!\nGiganto-Angriff: Während Ostern sorgt Dr. Hoggs Unheils-Giganto überall für Chaos. Greife ihn an, um kumulative Punktebelohnungen zu erhalten!\nRote Umschlag-Funktion: Das Rote-Umschlag-Event ist für begrenzte Zeit zurück! Erhalte Rote-Umschlag-Items und wähle einen Chat-Kanal, um sie an Spieler im Kanal zu senden!\n- Neues Kämpfer-Tausch-Feature: In den ersten 15 Tagen nach der Eröffnung eines neuen Servers können Spieler frei Erfahrung und Stern-Level zwischen Kämpfern derselben Qualität tauschen.\n- Neues Tavernen-Helden-Auswahl-Feature: Nach einer bestimmten Anzahl von Deluxe-Festmahle wird die Taverne das Helden-Auswahl-Feature freischalten, das es Spielern ermöglicht, den Helden frei aus dem Pool auszuwählen.\n- Neues Champion-Schlägerei-Gameplay: Ein brandneues Upgrade für die Allmächtige Schlägerei, mit Lane-Herausforderungen und Nebelbedeckung. Wird es rohe Kraft oder brillante Strategie sein? Es liegt an dir, die Herausforderung anzunehmen! (Ersetzt die Allmächtige Schlägerei nach Erreichen eines bestimmten</v>
      </c>
      <c r="F38" s="148" t="str">
        <f>IFERROR(__xludf.DUMMYFUNCTION("""COMPUTED_VALUE"""),"- Novo Combatente: Marinheiro Hardy - Um marinheiro que enfrenta as ondas em busca de tesouros misteriosos! Obtido através do evento ""Macaco Supremo"".\n- Novas Relíquias: Apresentando 5 novos conjuntos de relíquias - Blefe e Bravata, Ouro Reluzente, Est"&amp;"relas Desportistas, Tendência e Moda e Exame Médico. Obtido através do evento ""Baú de Relíquias Surpresa"".\n- Novo jogo de Fortaleza: Combine com outros jogadores e compita por recursos através de batalhas estratégicas.\n- Novo jogo de Expedição de Equi"&amp;"pamentos: Os jogadores podem aumentar sua força militar, desafiar estágios consecutivos e ganhar recompensas de expedição.\n- Novo Evento de Páscoa:\nSurpresa do Ovo da Sorte: Quebre ovos da sorte para ganhar skins exclusivas de base deluxe e outras recom"&amp;"pensas ricas!\nFesta do Ovo da Sorte: Colete Varinhas Mágicas e ganhe recompensas surpresa! Suba de nível no evento para ter a chance de obter a nova skin de marcha ""Melodia Colorida""!\nInvestida do Giganto: Durante a Páscoa, o Giganto da Perdição do Dr"&amp;". Hogg está causando caos em todos os lugares. Ataque-o para ganhar recompensas de pontos cumulativos!\nRecurso do Envelope Vermelho: O evento do Envelope Vermelho está de volta por tempo limitado! Obtenha itens de Envelope Vermelho e escolha um canal de "&amp;"bate-papo para enviá-los aos jogadores no canal!\n- Novo recurso de Troca de Combatente: Nos primeiros 15 dias após a abertura de um novo servidor, os jogadores podem trocar livremente experiência e níveis de estrela entre Combatentes da mesma qualidade.\"&amp;"n- Novo recurso de Seleção de Herói da Taverna: Após um certo número de Banquetes Deluxe, a Taverna desbloqueará o recurso de Seleção de Herói, permitindo que os jogadores escolham livremente o Herói que desejam sortear do pool.\n- Novo jogo de Briga de C"&amp;"ampeões: Uma nova atualização para a Briga Equilibrada, apresentando desafios de faixa e cobertura de neblina. Será poder bruto ou estratégia brilhante? Depende de você aceitar o desafio! (Substitui a Briga Equilibrada após atingir um certo estágio no jog"&amp;"o)\n- Atualização")</f>
        <v>- Novo Combatente: Marinheiro Hardy - Um marinheiro que enfrenta as ondas em busca de tesouros misteriosos! Obtido através do evento "Macaco Supremo".\n- Novas Relíquias: Apresentando 5 novos conjuntos de relíquias - Blefe e Bravata, Ouro Reluzente, Estrelas Desportistas, Tendência e Moda e Exame Médico. Obtido através do evento "Baú de Relíquias Surpresa".\n- Novo jogo de Fortaleza: Combine com outros jogadores e compita por recursos através de batalhas estratégicas.\n- Novo jogo de Expedição de Equipamentos: Os jogadores podem aumentar sua força militar, desafiar estágios consecutivos e ganhar recompensas de expedição.\n- Novo Evento de Páscoa:\nSurpresa do Ovo da Sorte: Quebre ovos da sorte para ganhar skins exclusivas de base deluxe e outras recompensas ricas!\nFesta do Ovo da Sorte: Colete Varinhas Mágicas e ganhe recompensas surpresa! Suba de nível no evento para ter a chance de obter a nova skin de marcha "Melodia Colorida"!\nInvestida do Giganto: Durante a Páscoa, o Giganto da Perdição do Dr. Hogg está causando caos em todos os lugares. Ataque-o para ganhar recompensas de pontos cumulativos!\nRecurso do Envelope Vermelho: O evento do Envelope Vermelho está de volta por tempo limitado! Obtenha itens de Envelope Vermelho e escolha um canal de bate-papo para enviá-los aos jogadores no canal!\n- Novo recurso de Troca de Combatente: Nos primeiros 15 dias após a abertura de um novo servidor, os jogadores podem trocar livremente experiência e níveis de estrela entre Combatentes da mesma qualidade.\n- Novo recurso de Seleção de Herói da Taverna: Após um certo número de Banquetes Deluxe, a Taverna desbloqueará o recurso de Seleção de Herói, permitindo que os jogadores escolham livremente o Herói que desejam sortear do pool.\n- Novo jogo de Briga de Campeões: Uma nova atualização para a Briga Equilibrada, apresentando desafios de faixa e cobertura de neblina. Será poder bruto ou estratégia brilhante? Depende de você aceitar o desafio! (Substitui a Briga Equilibrada após atingir um certo estágio no jogo)\n- Atualização</v>
      </c>
      <c r="G38" s="148" t="str">
        <f>IFERROR(__xludf.DUMMYFUNCTION("""COMPUTED_VALUE"""),"-新增斗士：远航水手-哈迪，为了神秘宝藏，乘风破浪的水手！可通过“最强猴子”获取。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-新增军备远征玩法：玩家可提升军备实力，连续闯关，获得远征奖励
-新增复活节活动：
彩蛋有礼：敲击幸运彩蛋，赢取限定豪华主城皮肤和其它丰富奖励！
彩蛋节派对：收集魔术棒，赢取惊喜奖励！提升活动等级，有机会获取全新行军皮肤“炫彩悦动”!
进击的"&amp;"巨猿：复活节期间，霍格博士控制的毁灭巨猿四处作乱，攻击它可以获得累计积分奖励！
红包功能：红包活动限时返场，获得红包道具后可以选择聊天频道发放红包给频道内的玩家！
-新增斗士转换功能：在新服务器开服前15天，玩家可以免费在自身同品质的斗士之间进行经验和星级的交换
-新增酒馆英雄自选功能：在一定数量的豪华宴会抽取后，酒馆开启英雄自选功能，玩家可在奖池自由选择想抽取的英雄
-新增精英竞技场玩法：为全能竞技场进行了全新升级，分路挑战，迷雾遮挡，是硬实力还是绝佳的头脑？等你来挑战！(游戏进行到一定阶段后替代全能竞"&amp;"技场）
-堡垒对决玩法升级：新增火箭发射器，增加了50关火箭发射器关卡，图鉴更新了火箭发射器相关内容
-好友系统功能升级：增加了实力对比和相互对战的功能，优化了好友系统的显示
-惊喜藏品屋优化：全新收藏品加入藏品屋，同时新增自选功能，可自行选择想要的收藏品系列
-银河战争优化：优化了选择落点的机制，前三名的军团拥有一次更换落点的机会")</f>
        <v>-新增斗士：远航水手-哈迪，为了神秘宝藏，乘风破浪的水手！可通过“最强猴子”获取。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-新增军备远征玩法：玩家可提升军备实力，连续闯关，获得远征奖励
-新增复活节活动：
彩蛋有礼：敲击幸运彩蛋，赢取限定豪华主城皮肤和其它丰富奖励！
彩蛋节派对：收集魔术棒，赢取惊喜奖励！提升活动等级，有机会获取全新行军皮肤“炫彩悦动”!
进击的巨猿：复活节期间，霍格博士控制的毁灭巨猿四处作乱，攻击它可以获得累计积分奖励！
红包功能：红包活动限时返场，获得红包道具后可以选择聊天频道发放红包给频道内的玩家！
-新增斗士转换功能：在新服务器开服前15天，玩家可以免费在自身同品质的斗士之间进行经验和星级的交换
-新增酒馆英雄自选功能：在一定数量的豪华宴会抽取后，酒馆开启英雄自选功能，玩家可在奖池自由选择想抽取的英雄
-新增精英竞技场玩法：为全能竞技场进行了全新升级，分路挑战，迷雾遮挡，是硬实力还是绝佳的头脑？等你来挑战！(游戏进行到一定阶段后替代全能竞技场）
-堡垒对决玩法升级：新增火箭发射器，增加了50关火箭发射器关卡，图鉴更新了火箭发射器相关内容
-好友系统功能升级：增加了实力对比和相互对战的功能，优化了好友系统的显示
-惊喜藏品屋优化：全新收藏品加入藏品屋，同时新增自选功能，可自行选择想要的收藏品系列
-银河战争优化：优化了选择落点的机制，前三名的军团拥有一次更换落点的机会</v>
      </c>
      <c r="H38" s="148" t="str">
        <f>IFERROR(__xludf.DUMMYFUNCTION("""COMPUTED_VALUE"""),"- Pejuang baru ditambahkan: Pelaut Penjelajah Hardy, mengarungi ombak, menjadi pelaut demi harta karun misterius! Dapat diperoleh melalui ""Kera Yang Tangguh"".\n- Koleksi baru ditambahkan: ""Pamer Keahlian"", ""Emas Bersinar"", ""Pelopor Olahraga"", ""Fa"&amp;"shion Trendi"", ""Pemeriksaan Kesehatan"", total 5 set koleksi, dapat diperoleh melalui ""Rumah Pusaka Kejutan"".\n- Mode baru ""Penjarahan Benteng"" ditambahkan: Bertarung dengan pemain lain, bersaing untuk mendapatkan sumber daya dengan strategi.\n- Mod"&amp;"e baru ""Perbekalan Ekspedisi"" ditambahkan: Pemain dapat meningkatkan kekuatan perbekalan militer, melewati level secara berurutan, dan mendapatkan hadiah ekspedisi.\n- Event Paskah baru ditambahkan:\nHadiah Telur Paskah: Ketuk telur keberuntungan, dapat"&amp;"kan skin Kota yang mewah dan hadiah lainnya yang terbatas! \nPesta Telur Paskah: Kumpulkan tongkat sihir, dapatkan hadiah kejutan! Tingkatkan level event, dapatkan skin ""Warna Cemerlang"" untuk berbaris!\nKera Penyerang: Selama Paskah, Kera Destruktif ya"&amp;"ng dikendalikan oleh Dr. Hogg menyerang di mana-mana, menyerangnya akan memberikan hadiah poin yang terakumulasi!\nFungsi Angpau: Event Angpau kembali untuk waktu terbatas, setelah mendapatkan item Angpau, dapat memilih saluran obrolan untuk memberikan An"&amp;"gpau kepada pemain di dalam saluran tersebut!\n- Fungsi Ubah Pejuang baru ditambahkan: Dalam 15 hari sebelum server baru dibuka, pemain dapat menukar pengalaman dan bintang secara gratis antara pejuang dengan kualitas yang sama.\n- Fungsi Pilihan Sendiri "&amp;"Pahlawan di Kedai baru ditambahkan: Setelah melakukan sejumlah undian di Kedai, pemain dapat memilih sendiri pahlawan yang ingin diambil dari hadiah.\n- Mode Perkelahian Elite baru ditambahkan: Perkelahian Primata telah ditingkatkan, tantangan jalan berca"&amp;"bang, kabut menyelimuti, apakah kekuatan fisik atau kecerdasan yang lebih penting? Tantang dirimu sendiri!\n- Peningkatan mode Penaklukan Benteng: Peluncur Roket baru ditambahkan, menambah")</f>
        <v>- Pejuang baru ditambahkan: Pelaut Penjelajah Hardy, mengarungi ombak, menjadi pelaut demi harta karun misterius! Dapat diperoleh melalui "Kera Yang Tangguh".\n- Koleksi baru ditambahkan: "Pamer Keahlian", "Emas Bersinar", "Pelopor Olahraga", "Fashion Trendi", "Pemeriksaan Kesehatan", total 5 set koleksi, dapat diperoleh melalui "Rumah Pusaka Kejutan".\n- Mode baru "Penjarahan Benteng" ditambahkan: Bertarung dengan pemain lain, bersaing untuk mendapatkan sumber daya dengan strategi.\n- Mode baru "Perbekalan Ekspedisi" ditambahkan: Pemain dapat meningkatkan kekuatan perbekalan militer, melewati level secara berurutan, dan mendapatkan hadiah ekspedisi.\n- Event Paskah baru ditambahkan:\nHadiah Telur Paskah: Ketuk telur keberuntungan, dapatkan skin Kota yang mewah dan hadiah lainnya yang terbatas! \nPesta Telur Paskah: Kumpulkan tongkat sihir, dapatkan hadiah kejutan! Tingkatkan level event, dapatkan skin "Warna Cemerlang" untuk berbaris!\nKera Penyerang: Selama Paskah, Kera Destruktif yang dikendalikan oleh Dr. Hogg menyerang di mana-mana, menyerangnya akan memberikan hadiah poin yang terakumulasi!\nFungsi Angpau: Event Angpau kembali untuk waktu terbatas, setelah mendapatkan item Angpau, dapat memilih saluran obrolan untuk memberikan Angpau kepada pemain di dalam saluran tersebut!\n- Fungsi Ubah Pejuang baru ditambahkan: Dalam 15 hari sebelum server baru dibuka, pemain dapat menukar pengalaman dan bintang secara gratis antara pejuang dengan kualitas yang sama.\n- Fungsi Pilihan Sendiri Pahlawan di Kedai baru ditambahkan: Setelah melakukan sejumlah undian di Kedai, pemain dapat memilih sendiri pahlawan yang ingin diambil dari hadiah.\n- Mode Perkelahian Elite baru ditambahkan: Perkelahian Primata telah ditingkatkan, tantangan jalan bercabang, kabut menyelimuti, apakah kekuatan fisik atau kecerdasan yang lebih penting? Tantang dirimu sendiri!\n- Peningkatan mode Penaklukan Benteng: Peluncur Roket baru ditambahkan, menambah</v>
      </c>
      <c r="I38" s="148" t="str">
        <f>IFERROR(__xludf.DUMMYFUNCTION("""COMPUTED_VALUE"""),"- เพิ่มนักสู้: นักเดินเรือฮาร์ดี้ - ผจญภัยเพื่อสมบัติลึกลับ! สามารถรับได้จาก ""ลิงขั้นเทพ""\n- เพิ่มรายการโปรด: เพิ่ม 【ขี้โม้โอ้อวด】、【ทองอร่าม】、【สายออกำลังกาย】、【แฟชั่นนิสต้า】、【เช็คสุขภาพ】 รวม 5 ชุดรายการโปรด สามารถรับได้จาก ""คลังวัตถุโบราณสุดเซอร์ไพรส์"""&amp;"\n- เพิ่มการเล่นเกมปล้นป้อมปราการ: จับคู่กับผู้เล่นอื่นๆ เพื่อแข่งขันเพื่อเอาชนะทรัพยากรด้วยกลยุทธ์\n- เพิ่มการเล่นเกมสำรวจอาวุธ: ผู้เล่นสามารถเพิ่มพลังอาวุธ ผ่านการผ่านด่านต่อเนื่อง เพื่อรับรางวัลการสำรวจ\n- เพิ่มกิจกรรมวันอีสเตอร์:\nไข่นำโชคสุดอัศจรรย์:"&amp;" กดไข่โชคดี เพื่อรับสกินเมืองหลักหรูหราและรางวัลอื่นๆ ที่จำกัดจำนวน!\nปาร์ตี้ไข่อีสเตอร์: รวบรวมไม้กายสิทธิ์ ลุ้นรับรางวัลเซอร์ไพรส์! เพิ่มระดับกิจกรรม")</f>
        <v>- เพิ่มนักสู้: นักเดินเรือฮาร์ดี้ - ผจญภัยเพื่อสมบัติลึกลับ! สามารถรับได้จาก "ลิงขั้นเทพ"\n- เพิ่มรายการโปรด: เพิ่ม 【ขี้โม้โอ้อวด】、【ทองอร่าม】、【สายออกำลังกาย】、【แฟชั่นนิสต้า】、【เช็คสุขภาพ】 รวม 5 ชุดรายการโปรด สามารถรับได้จาก "คลังวัตถุโบราณสุดเซอร์ไพรส์"\n- เพิ่มการเล่นเกมปล้นป้อมปราการ: จับคู่กับผู้เล่นอื่นๆ เพื่อแข่งขันเพื่อเอาชนะทรัพยากรด้วยกลยุทธ์\n- เพิ่มการเล่นเกมสำรวจอาวุธ: ผู้เล่นสามารถเพิ่มพลังอาวุธ ผ่านการผ่านด่านต่อเนื่อง เพื่อรับรางวัลการสำรวจ\n- เพิ่มกิจกรรมวันอีสเตอร์:\nไข่นำโชคสุดอัศจรรย์: กดไข่โชคดี เพื่อรับสกินเมืองหลักหรูหราและรางวัลอื่นๆ ที่จำกัดจำนวน!\nปาร์ตี้ไข่อีสเตอร์: รวบรวมไม้กายสิทธิ์ ลุ้นรับรางวัลเซอร์ไพรส์! เพิ่มระดับกิจกรรม</v>
      </c>
      <c r="J38" s="148" t="str">
        <f>IFERROR(__xludf.DUMMYFUNCTION("""COMPUTED_VALUE"""),"- Nuevo Luchador: Hardy el Marinero - ¡Un marinero que desafía las olas en busca de tesoros misteriosos! Se puede obtener a través del evento ""Mono Supremo"".\n- Nuevas Reliquias: Presentamos 5 nuevos conjuntos de reliquias - Engaño y bravuconería, Oro r"&amp;"eluciente, Deportistas estrella, Moda y tendencia, y Control de salud. Se pueden obtener a través del evento ""Cofre de Reliquias Sorpresa"".\n- Nuevo juego de saqueo de fortalezas: Combina con otros jugadores y compite por recursos a través de batallas e"&amp;"stratégicas.\n- Nuevo juego de expedición de equipos: Los jugadores pueden mejorar su fuerza militar, desafiar etapas consecutivas y ganar recompensas de expedición.\n- Nuevo evento de Pascua:\nSorpresa de Huevo de la Suerte: ¡Rompe huevos de la suerte pa"&amp;"ra ganar exclusivas pieles de base de lujo y otras ricas recompensas!\nFiesta de Huevo de la Suerte: ¡Recoge Varitas Mágicas y gana recompensas sorpresa! ¡Sube de nivel en el evento para tener la oportunidad de obtener la nueva piel de marcha ""Melodía de"&amp;" Color""!\nAsalto de Gigantón: Durante la Pascua, el Gigantón Ruin del Dr. Hogg está causando caos en todas partes. ¡Atácalo para ganar recompensas de puntos acumulativos!\nFunción de Sobre Rojo: ¡El evento de Sobre Rojo está de vuelta por tiempo limitado"&amp;"! ¡Obtén artículos de Sobre Rojo y elige un canal de chat para enviarlos a jugadores en el canal!\n- Nueva función de Intercambio de Luchadores: Durante los primeros 15 días después de que se abra un nuevo servidor, los jugadores pueden intercambiar libre"&amp;"mente experiencia y niveles de estrella entre Luchadores de la misma calidad.\n- Nueva función de Selección de Héroe de Taberna: Después de cierto número de Banquetes de Lujo, la Taberna desbloqueará la función de Selección de Héroe, permitiendo a los jug"&amp;"adores elegir libremente el Héroe que quieren sacar del grupo.\n- Nuevo juego de Pelea de Campeones: Una nueva actualización para la Pelea Todopoderosa, con desafíos de carril y cobertura de niebla. ¿Será poder bruto o estrategia brillante? ¡Depende de ti"&amp;" aceptar el desafío! (Reemplaza la Pelea Todopoderosa después")</f>
        <v>- Nuevo Luchador: Hardy el Marinero - ¡Un marinero que desafía las olas en busca de tesoros misteriosos! Se puede obtener a través del evento "Mono Supremo".\n- Nuevas Reliquias: Presentamos 5 nuevos conjuntos de reliquias - Engaño y bravuconería, Oro reluciente, Deportistas estrella, Moda y tendencia, y Control de salud. Se pueden obtener a través del evento "Cofre de Reliquias Sorpresa".\n- Nuevo juego de saqueo de fortalezas: Combina con otros jugadores y compite por recursos a través de batallas estratégicas.\n- Nuevo juego de expedición de equipos: Los jugadores pueden mejorar su fuerza militar, desafiar etapas consecutivas y ganar recompensas de expedición.\n- Nuevo evento de Pascua:\nSorpresa de Huevo de la Suerte: ¡Rompe huevos de la suerte para ganar exclusivas pieles de base de lujo y otras ricas recompensas!\nFiesta de Huevo de la Suerte: ¡Recoge Varitas Mágicas y gana recompensas sorpresa! ¡Sube de nivel en el evento para tener la oportunidad de obtener la nueva piel de marcha "Melodía de Color"!\nAsalto de Gigantón: Durante la Pascua, el Gigantón Ruin del Dr. Hogg está causando caos en todas partes. ¡Atácalo para ganar recompensas de puntos acumulativos!\nFunción de Sobre Rojo: ¡El evento de Sobre Rojo está de vuelta por tiempo limitado! ¡Obtén artículos de Sobre Rojo y elige un canal de chat para enviarlos a jugadores en el canal!\n- Nueva función de Intercambio de Luchadores: Durante los primeros 15 días después de que se abra un nuevo servidor, los jugadores pueden intercambiar libremente experiencia y niveles de estrella entre Luchadores de la misma calidad.\n- Nueva función de Selección de Héroe de Taberna: Después de cierto número de Banquetes de Lujo, la Taberna desbloqueará la función de Selección de Héroe, permitiendo a los jugadores elegir libremente el Héroe que quieren sacar del grupo.\n- Nuevo juego de Pelea de Campeones: Una nueva actualización para la Pelea Todopoderosa, con desafíos de carril y cobertura de niebla. ¿Será poder bruto o estrategia brillante? ¡Depende de ti aceptar el desafío! (Reemplaza la Pelea Todopoderosa después</v>
      </c>
      <c r="K38" s="148" t="str">
        <f>IFERROR(__xludf.DUMMYFUNCTION("""COMPUTED_VALUE"""),"Новый герой: Морской Крепыш - Моряк, который смело покоряет волны в поисках таинственных сокровищ! Получаемый в рамках события ""Ultimate Monkey"".\nНовые реликвии: Представляем 5 новых наборов реликвий - Блеф и Бравада, Сверкающее Золото, Топовые Спортсм"&amp;"ены, Тренды и Мода, и Проверка Здоровья. Получаемые в рамках события ""Surprise Relic Vault"".\nНовый геймплей ""Осада Крепости"": Соперничайте с другими игроками и сражайтесь за ресурсы в стратегических битвах.\nНовый геймплей ""Экспедиция Снаряжения"": "&amp;"Игроки могут усилить свою военную мощь, пройти несколько этапов и получить награды за экспедицию.\nНовое событие ""Пасха"":\nСюрприз из Счастливого Яйца: Взломайте счастливые яйца, чтобы выиграть эксклюзивные скины базы и другие богатые награды!\nВечеринк"&amp;"а Счастливых Яиц: Собирайте Волшебные Палочки и выигрывайте сюрпризные награды! Пройдите уровни в событии, чтобы получить шанс получить новый скин ""Мелодия Цвета""!\nНатиск Гиганто: Во время Пасхи Гибельный Гиганто доктора Хогга вызывает хаос повсюду. Ат"&amp;"акуйте его, чтобы получить кумулятивные очки наград!\nФункция Обмена Героями: В течение первых 15 дней после открытия нового сервера игроки могут свободно обмениваться опытом и уровнями звезд между героями одинакового качества")</f>
        <v>Новый герой: Морской Крепыш - Моряк, который смело покоряет волны в поисках таинственных сокровищ! Получаемый в рамках события "Ultimate Monkey".\nНовые реликвии: Представляем 5 новых наборов реликвий - Блеф и Бравада, Сверкающее Золото, Топовые Спортсмены, Тренды и Мода, и Проверка Здоровья. Получаемые в рамках события "Surprise Relic Vault".\nНовый геймплей "Осада Крепости": Соперничайте с другими игроками и сражайтесь за ресурсы в стратегических битвах.\nНовый геймплей "Экспедиция Снаряжения": Игроки могут усилить свою военную мощь, пройти несколько этапов и получить награды за экспедицию.\nНовое событие "Пасха":\nСюрприз из Счастливого Яйца: Взломайте счастливые яйца, чтобы выиграть эксклюзивные скины базы и другие богатые награды!\nВечеринка Счастливых Яиц: Собирайте Волшебные Палочки и выигрывайте сюрпризные награды! Пройдите уровни в событии, чтобы получить шанс получить новый скин "Мелодия Цвета"!\nНатиск Гиганто: Во время Пасхи Гибельный Гиганто доктора Хогга вызывает хаос повсюду. Атакуйте его, чтобы получить кумулятивные очки наград!\nФункция Обмена Героями: В течение первых 15 дней после открытия нового сервера игроки могут свободно обмениваться опытом и уровнями звезд между героями одинакового качества</v>
      </c>
      <c r="L38" s="148" t="str">
        <f>IFERROR(__xludf.DUMMYFUNCTION("""COMPUTED_VALUE"""),"Yeni Savaşçı: Denizci Hardy - Gizemli hazineleri aramak için dalgaları cesurca aşan bir denizci! ""En Üstün Maymun"" etkinliği aracılığıyla elde edilebilir.\nYeni Kalıntılar: Bluff &amp; Bluster, Parıldayan Altın, Usta Sporcular, Trend ve Moda ve Sağlık Kontr"&amp;"olü olmak üzere 5 yeni kalıntı seti tanıtıldı. ""Sürpriz Kalıntı Kasa"" etkinliği aracılığıyla elde edilebilir.\nYeni Kale Yağmacı oyunu: Diğer oyuncularla eşleşin ve stratejik savaşlarla kaynaklar için yarışın.\nYeni Ekipman Keşif oyunu: Oyuncular askeri"&amp;" güçlerini geliştirebilir, ardışık aşamalara meydan okuyabilir ve keşif ödülleri kazanabilirler.\nYeni Paskalya Etkinliği:\nŞanslı Yumurta Sürprizi: Şanslı yumurtaları kırarak özel deluxe üs derileri ve diğer zengin ödüller kazanın!\nŞanslı Yumurta Partis"&amp;"i: Sihirli Asaları toplayın ve sürpriz ödüller kazanın! Etkinlikte seviye atlayarak yeni yürüyüş derisi ""Renklerin Ezgisi"" şansını yakalayın!\nGiganto Saldırısı: Paskalya sırasında, Dr. Hogg'un Kıyamet Gigantosu her yerde kaos yaratıyor. Kumulatif puan "&amp;"ödülleri kazanmak için saldırın!\nKırmızı Zarf Özelliği: Kırmızı Zarf etkinliği sınırlı bir süre için geri döndü! Kırmızı Zarf öğeleri edinin ve oyunculara göndermek için bir sohbet kanalı seçin!\nYeni Savaşçı Değiştirme özelliği: Yeni bir sunucu açıldıkt"&amp;"an sonraki ilk 15 gün boyunca, oyuncular aynı kalitedeki Savaşçılar arasında deneyim ve yıldız seviyelerini özgürce değiştirebilirler.\nYeni Taverna Kahraman Seçimi")</f>
        <v>Yeni Savaşçı: Denizci Hardy - Gizemli hazineleri aramak için dalgaları cesurca aşan bir denizci! "En Üstün Maymun" etkinliği aracılığıyla elde edilebilir.\nYeni Kalıntılar: Bluff &amp; Bluster, Parıldayan Altın, Usta Sporcular, Trend ve Moda ve Sağlık Kontrolü olmak üzere 5 yeni kalıntı seti tanıtıldı. "Sürpriz Kalıntı Kasa" etkinliği aracılığıyla elde edilebilir.\nYeni Kale Yağmacı oyunu: Diğer oyuncularla eşleşin ve stratejik savaşlarla kaynaklar için yarışın.\nYeni Ekipman Keşif oyunu: Oyuncular askeri güçlerini geliştirebilir, ardışık aşamalara meydan okuyabilir ve keşif ödülleri kazanabilirler.\nYeni Paskalya Etkinliği:\nŞanslı Yumurta Sürprizi: Şanslı yumurtaları kırarak özel deluxe üs derileri ve diğer zengin ödüller kazanın!\nŞanslı Yumurta Partisi: Sihirli Asaları toplayın ve sürpriz ödüller kazanın! Etkinlikte seviye atlayarak yeni yürüyüş derisi "Renklerin Ezgisi" şansını yakalayın!\nGiganto Saldırısı: Paskalya sırasında, Dr. Hogg'un Kıyamet Gigantosu her yerde kaos yaratıyor. Kumulatif puan ödülleri kazanmak için saldırın!\nKırmızı Zarf Özelliği: Kırmızı Zarf etkinliği sınırlı bir süre için geri döndü! Kırmızı Zarf öğeleri edinin ve oyunculara göndermek için bir sohbet kanalı seçin!\nYeni Savaşçı Değiştirme özelliği: Yeni bir sunucu açıldıktan sonraki ilk 15 gün boyunca, oyuncular aynı kalitedeki Savaşçılar arasında deneyim ve yıldız seviyelerini özgürce değiştirebilirler.\nYeni Taverna Kahraman Seçimi</v>
      </c>
      <c r="M38" s="148" t="str">
        <f>IFERROR(__xludf.DUMMYFUNCTION("""COMPUTED_VALUE"""),"- Thêm chiến binh mới: Thủy thủ viễn hành - Hardy, những thủy thủ vì kho báu bí ẩn mà đạp gió rẽ sóng! Có thể nhận được thông qua ""Chúa khỉ tối cao"".\n- Thêm Từ Di Tích mới: Thêm bộ Từ Di Tích 【Diễu Võ Dương Oai】, 【Ánh Vàng】, 【Tiên Phong Thể Thao】, 【Trà"&amp;"o Lưu Hiện Đại】, 【Kiểm Tra Sức Khỏe】tổng cộng 5 bộ Từ Di Tích, có thể nhận được thông qua ""Phòng sưu tập bất ngờ"".\n- Thêm chế độ chơi Cướp Bóc Pháo Đài: Ghép đôi với người chơi khác để đấu tranh, chiến đấu để tranh giành tài nguyên bằng chiến lược.\n- "&amp;"Thêm chế độ chơi Viễn Chinh Vũ Khí: Người chơi có thể nâng cao sức mạnh vũ khí, liên tiếp vượt qua các cửa ải, nhận được phần thưởng viễn chinh.\n- Thêm hoạt động Phục Sinh Lễ Phục Sinh:\nTrứng phục sinh có quà: Đập trứng may mắn, giành được giới hạn bộ t"&amp;"rang trí Tòa Thị Chính và nhiều phần thưởng phong phú khác!\nTiệc trứng may mắn: Thu thập Đũa Phép, giành được phần thưởng bất ngờ! Nâng cấp cấp độ hoạt động, có cơ hội nhận được trang phục mới ""Vui tươi màu sắc""!\nVườn khỉ khổng lồ tấn công: Trong thời"&amp;" gian Phục Sinh Lễ Phục Sinh, vườn khỉ khổng lồ do Tiến Sĩ Hogg kiểm soát đang gây rối khắp nơi, tấn công nó để nhận được phần thưởng tích lũy điểm!\nChức năng Lì Xì: Hoạt đ")</f>
        <v>- Thêm chiến binh mới: Thủy thủ viễn hành - Hardy, những thủy thủ vì kho báu bí ẩn mà đạp gió rẽ sóng! Có thể nhận được thông qua "Chúa khỉ tối cao".\n- Thêm Từ Di Tích mới: Thêm bộ Từ Di Tích 【Diễu Võ Dương Oai】, 【Ánh Vàng】, 【Tiên Phong Thể Thao】, 【Trào Lưu Hiện Đại】, 【Kiểm Tra Sức Khỏe】tổng cộng 5 bộ Từ Di Tích, có thể nhận được thông qua "Phòng sưu tập bất ngờ".\n- Thêm chế độ chơi Cướp Bóc Pháo Đài: Ghép đôi với người chơi khác để đấu tranh, chiến đấu để tranh giành tài nguyên bằng chiến lược.\n- Thêm chế độ chơi Viễn Chinh Vũ Khí: Người chơi có thể nâng cao sức mạnh vũ khí, liên tiếp vượt qua các cửa ải, nhận được phần thưởng viễn chinh.\n- Thêm hoạt động Phục Sinh Lễ Phục Sinh:\nTrứng phục sinh có quà: Đập trứng may mắn, giành được giới hạn bộ trang trí Tòa Thị Chính và nhiều phần thưởng phong phú khác!\nTiệc trứng may mắn: Thu thập Đũa Phép, giành được phần thưởng bất ngờ! Nâng cấp cấp độ hoạt động, có cơ hội nhận được trang phục mới "Vui tươi màu sắc"!\nVườn khỉ khổng lồ tấn công: Trong thời gian Phục Sinh Lễ Phục Sinh, vườn khỉ khổng lồ do Tiến Sĩ Hogg kiểm soát đang gây rối khắp nơi, tấn công nó để nhận được phần thưởng tích lũy điểm!\nChức năng Lì Xì: Hoạt đ</v>
      </c>
      <c r="N38" s="108" t="str">
        <f>IFERROR(__xludf.DUMMYFUNCTION("""COMPUTED_VALUE"""),"- Nuovo Combattente: Seafarer Hardy - Un marinaio che sfida le onde alla ricerca di tesori misteriosi! Ottenibile attraverso l'evento ""Scimmia suprema"".\n- Nuove Reliquie: Presentiamo 5 nuovi set di reliquie - Spavalderia e intimidazioni, Oro scintillan"&amp;"te, Campioni di sport, Moda e tendenze e Controllo medico. Ottenibile attraverso l'evento ""Cassa delle reliquie a sorpresa"".\n- Nuova modalità di gioco ""Fortezza Looter"": Abbinati ad altri giocatori e competi per le risorse attraverso battaglie strate"&amp;"giche.\n- Nuova modalità di gioco ""Spedizione di equipaggiamento"": I giocatori possono potenziare la loro forza militare, sfidare livelli consecutivi e guadagnare ricompense di spedizione.\n- Nuovo evento di Pasqua:\nSorpresa dell'uovo fortunato: Rompi "&amp;"le uova fortunate per vincere esclusive skin di base deluxe e altre ricche ricompense!\nFesta dell'uovo fortunato: Raccogli Bacchette magiche e vinci ricompense a sorpresa! Salendo di livello nell'evento avrai la possibilità di ottenere la nuova skin di m"&amp;"arcia ""Melodia a colori""!\nAssalto di Gigagorilla: Durante la Pasqua, il Gigagorilla maledetto del Dottor Hogg sta causando il caos ovunque. Attaccalo per guadagnare punti cumulativi di ricompensa!\nFunzione della busta rossa: L'evento della busta rossa"&amp;" è tornato per un periodo limitato! Ottieni oggetti della busta rossa e scegli un canale di chat per inviarli ai giocatori nel canale!\n- Nuova funzione di scambio Combattenti: Per i primi 15 giorni dopo l'apertura di un nuovo server, i giocatori possono "&amp;"scambiare liberamente esperienza e livelli stelle tra Combattenti della stessa qualità.\n- Nuova funzione di selezione dell'eroe della taverna: Dopo un certo numero di Banchetti deluxe, la Taverna sblocca la funzione di selezione dell'eroe, consentendo ai"&amp;" giocatori di scegliere liberamente l'eroe che vogliono estrarre dal pool.\n- Nuova modalità di gioco ""Rissa dei campioni"": Un nuovo aggiornamento per la Rissa equilibrata, con sfide di corsia e copertura di nebbia. Sarà la potenza grezza o la brillante"&amp;" strategia? Sta a te aff")</f>
        <v>- Nuovo Combattente: Seafarer Hardy - Un marinaio che sfida le onde alla ricerca di tesori misteriosi! Ottenibile attraverso l'evento "Scimmia suprema".\n- Nuove Reliquie: Presentiamo 5 nuovi set di reliquie - Spavalderia e intimidazioni, Oro scintillante, Campioni di sport, Moda e tendenze e Controllo medico. Ottenibile attraverso l'evento "Cassa delle reliquie a sorpresa".\n- Nuova modalità di gioco "Fortezza Looter": Abbinati ad altri giocatori e competi per le risorse attraverso battaglie strategiche.\n- Nuova modalità di gioco "Spedizione di equipaggiamento": I giocatori possono potenziare la loro forza militare, sfidare livelli consecutivi e guadagnare ricompense di spedizione.\n- Nuovo evento di Pasqua:\nSorpresa dell'uovo fortunato: Rompi le uova fortunate per vincere esclusive skin di base deluxe e altre ricche ricompense!\nFesta dell'uovo fortunato: Raccogli Bacchette magiche e vinci ricompense a sorpresa! Salendo di livello nell'evento avrai la possibilità di ottenere la nuova skin di marcia "Melodia a colori"!\nAssalto di Gigagorilla: Durante la Pasqua, il Gigagorilla maledetto del Dottor Hogg sta causando il caos ovunque. Attaccalo per guadagnare punti cumulativi di ricompensa!\nFunzione della busta rossa: L'evento della busta rossa è tornato per un periodo limitato! Ottieni oggetti della busta rossa e scegli un canale di chat per inviarli ai giocatori nel canale!\n- Nuova funzione di scambio Combattenti: Per i primi 15 giorni dopo l'apertura di un nuovo server, i giocatori possono scambiare liberamente esperienza e livelli stelle tra Combattenti della stessa qualità.\n- Nuova funzione di selezione dell'eroe della taverna: Dopo un certo numero di Banchetti deluxe, la Taverna sblocca la funzione di selezione dell'eroe, consentendo ai giocatori di scegliere liberamente l'eroe che vogliono estrarre dal pool.\n- Nuova modalità di gioco "Rissa dei campioni": Un nuovo aggiornamento per la Rissa equilibrata, con sfide di corsia e copertura di nebbia. Sarà la potenza grezza o la brillante strategia? Sta a te aff</v>
      </c>
      <c r="O38" s="148" t="str">
        <f>IFERROR(__xludf.DUMMYFUNCTION("""COMPUTED_VALUE"""),"Nowy Wojownik: Morski Hardy - Żeglarz, który przemierza fale w poszukiwaniu tajemniczych skarbów! Możliwy do zdobycia podczas wydarzenia ""Ubermałpy"".\nNowe Relikty: Przedstawiamy 5 nowych zestawów Reliktów - Insygnia siły, Złoto co się świeci, Sport wyc"&amp;"zynowy, Moda i trendy oraz Służba zdrowia. Możliwe do zdobycia podczas wydarzenia ""Niespodziewana Skarbnica Reliktów"".\nNowa rozgrywka ""Grabieżca Twierdzy"": Dopasuj się do innych graczy i rywalizuj o zasoby poprzez strategiczne bitwy.\nNowa rozgrywka "&amp;"""Ekspedycja Wyposażenia"": Gracze mogą wzmocnić swoją siłę militarną, wyzwać kolejne etapy i zdobyć nagrody za ekspedycję.\nNowe wydarzenie wielkanocne:\nNiespodzianka z Szczęśliwym Jajkiem: Otwórz szczęśliwe jajka, aby zdobyć ekskluzywne skórki bazy i i"&amp;"nne bogate nagrody!\nImpreza ze Szczęśliwym Jajkiem: Zbieraj Magiczne Różdżki i zdobywaj niespodziewane nagrody! Awansuj w wydarzeniu, aby mieć szansę zdobyć nową skórkę marszu ""Kolorowa Melodia""!\nAtak Gigamałpy: Podczas Wielkanocy, Gigamałpa zniszczen"&amp;"ia Dr. Hogga powoduje chaos wszędzie. Zaatakuj ją, aby zdobyć nagrody za punkty kumulacyjne!\nFunkcja Czerwonej Koperty: Wydarzenie Czerwona Koperta wraca na ograniczony czas! Zdobądź przedmioty Czerwonej Koperty i wybierz kanał czatu, aby je wysłać do gr"&amp;"aczy w kanale!\nNowa funkcja Zamiany Wojowników: Przez pierwsze 15 dni po otwarciu nowego serwera, gracze mogą swobodnie wymieniać doświadczenie i poziomy gwiazdek między Wojownikami tej samej jakości.\nNowa funkcja Wyboru Bohatera w Tawernie: Po pewnej l"&amp;"iczbie Ekskluzywnych Bank")</f>
        <v>Nowy Wojownik: Morski Hardy - Żeglarz, który przemierza fale w poszukiwaniu tajemniczych skarbów! Możliwy do zdobycia podczas wydarzenia "Ubermałpy".\nNowe Relikty: Przedstawiamy 5 nowych zestawów Reliktów - Insygnia siły, Złoto co się świeci, Sport wyczynowy, Moda i trendy oraz Służba zdrowia. Możliwe do zdobycia podczas wydarzenia "Niespodziewana Skarbnica Reliktów".\nNowa rozgrywka "Grabieżca Twierdzy": Dopasuj się do innych graczy i rywalizuj o zasoby poprzez strategiczne bitwy.\nNowa rozgrywka "Ekspedycja Wyposażenia": Gracze mogą wzmocnić swoją siłę militarną, wyzwać kolejne etapy i zdobyć nagrody za ekspedycję.\nNowe wydarzenie wielkanocne:\nNiespodzianka z Szczęśliwym Jajkiem: Otwórz szczęśliwe jajka, aby zdobyć ekskluzywne skórki bazy i inne bogate nagrody!\nImpreza ze Szczęśliwym Jajkiem: Zbieraj Magiczne Różdżki i zdobywaj niespodziewane nagrody! Awansuj w wydarzeniu, aby mieć szansę zdobyć nową skórkę marszu "Kolorowa Melodia"!\nAtak Gigamałpy: Podczas Wielkanocy, Gigamałpa zniszczenia Dr. Hogga powoduje chaos wszędzie. Zaatakuj ją, aby zdobyć nagrody za punkty kumulacyjne!\nFunkcja Czerwonej Koperty: Wydarzenie Czerwona Koperta wraca na ograniczony czas! Zdobądź przedmioty Czerwonej Koperty i wybierz kanał czatu, aby je wysłać do graczy w kanale!\nNowa funkcja Zamiany Wojowników: Przez pierwsze 15 dni po otwarciu nowego serwera, gracze mogą swobodnie wymieniać doświadczenie i poziomy gwiazdek między Wojownikami tej samej jakości.\nNowa funkcja Wyboru Bohatera w Tawernie: Po pewnej liczbie Ekskluzywnych Bank</v>
      </c>
      <c r="P38" s="148" t="str">
        <f>IFERROR(__xludf.DUMMYFUNCTION("""COMPUTED_VALUE"""),"المقاتل الجديد: Seafarer Hardy - بحار يتحدى الأمواج بحثًا عن كنوز غامضة! يمكن الحصول عليه من خلال حدث ""Ultimate Monkey"".\n- المقتنيات الجديدة: تقدم 5 مجموعات جديدة من المقتنيات - Bluff &amp; Bluster و Gleaming Gold و Ace Sportsmen و Trend &amp; Fashion و Health"&amp;" Checkup. يمكن الحصول عليها من خلال حدث ""Surprise Relic Vault"".\n- لعبة جديدة لنهب الحصون: تطابق مع لاعبين آخرين وتنافس على الموارد من خلال المعارك الاستراتيجية.\n- لعبة جديدة لاستكشاف العتاد: يمكن للاعبين تعزيز قوتهم العسكرية وتحدي المراحل المتتالية وك"&amp;"سب مكافآت الاستكشاف.\n- حدث عيد الفصح الجديد:\nمفاجأة بيض الحظ: اكسر بيض الحظ للفوز بالأساس الحصري للبيض الفاخر ومكافآت غنية أخرى!\nحفلة بيض الحظ: اجمع عصي السحر واربح مكافآت مفاجئة! ارتقِ في الحدث لفرصة الحصول على بشرة المسيرة الجديدة ""Color Melody""!\n"&amp;"هجوم Giganto: خلال عيد الفصح ، يسبب Doom Giganto لـ Dr. Hogg الفوضى في كل مكان. هاجمه لتكسب مكافآت نقاط تراكمية!\nميزة الظرف الأحمر: حدث الظرف الأحمر عاد لفترة محدودة! احصل على عناصر الظرف الأحمر واختر قناة ال")</f>
        <v>المقاتل الجديد: Seafarer Hardy - بحار يتحدى الأمواج بحثًا عن كنوز غامضة! يمكن الحصول عليه من خلال حدث "Ultimate Monkey".\n- المقتنيات الجديدة: تقدم 5 مجموعات جديدة من المقتنيات - Bluff &amp; Bluster و Gleaming Gold و Ace Sportsmen و Trend &amp; Fashion و Health Checkup. يمكن الحصول عليها من خلال حدث "Surprise Relic Vault".\n- لعبة جديدة لنهب الحصون: تطابق مع لاعبين آخرين وتنافس على الموارد من خلال المعارك الاستراتيجية.\n- لعبة جديدة لاستكشاف العتاد: يمكن للاعبين تعزيز قوتهم العسكرية وتحدي المراحل المتتالية وكسب مكافآت الاستكشاف.\n- حدث عيد الفصح الجديد:\nمفاجأة بيض الحظ: اكسر بيض الحظ للفوز بالأساس الحصري للبيض الفاخر ومكافآت غنية أخرى!\nحفلة بيض الحظ: اجمع عصي السحر واربح مكافآت مفاجئة! ارتقِ في الحدث لفرصة الحصول على بشرة المسيرة الجديدة "Color Melody"!\nهجوم Giganto: خلال عيد الفصح ، يسبب Doom Giganto لـ Dr. Hogg الفوضى في كل مكان. هاجمه لتكسب مكافآت نقاط تراكمية!\nميزة الظرف الأحمر: حدث الظرف الأحمر عاد لفترة محدودة! احصل على عناصر الظرف الأحمر واختر قناة ال</v>
      </c>
      <c r="Q38" s="148"/>
      <c r="R38" s="148"/>
      <c r="S38" s="148"/>
      <c r="T38" s="148"/>
      <c r="U38" s="148"/>
      <c r="V38" s="148"/>
      <c r="W38" s="148"/>
      <c r="X38" s="148"/>
      <c r="Y38" s="148"/>
      <c r="Z38" s="148"/>
    </row>
    <row r="39">
      <c r="A39" s="165" t="str">
        <f>IFERROR(__xludf.DUMMYFUNCTION("""COMPUTED_VALUE"""),"0.52.5")</f>
        <v>0.52.5</v>
      </c>
      <c r="B39" s="148" t="str">
        <f>IFERROR(__xludf.DUMMYFUNCTION("""COMPUTED_VALUE"""),"-新增拓荒节活动：
-机械秘宝：使用纪念扳手，赢取限定豪华主城皮肤和其它丰富奖励！
-拓荒行动：完成任务，点亮任务牌，轻松获取限定节日装饰！
-装饰升级：通过参与拓荒节活动，获取新增限定装饰及其它丰厚奖励！
-掘地求胜：收集钻头，领取拓荒节奖励！
-巨猿入侵：新增限时伤害翻倍增益和帮派奖励；为了捍卫猿族的劳动果实而战！
-地下探宝限时玩法：拓荒掘金
在拓荒掘金中开采矿石，可以获得德里克的奖牌、传说基因药水等丰厚奖励，积分靠前的玩家还将获得额外的排行奖励！
此外还有全新机制等待您的探索：
-激光采矿枪：开启"&amp;"随机箱时有概率获得。此武器可以提升工人的挖掘范围，拖拽至任意工人身上即可生效！
-炸弹生成器：开启随机箱时有概率获得。挖掘它可以生成炸弹！
-变异猴入侵：在活动中，变异猴会不定时入侵，击败它们可以获得研究试剂！")</f>
        <v>-新增拓荒节活动：
-机械秘宝：使用纪念扳手，赢取限定豪华主城皮肤和其它丰富奖励！
-拓荒行动：完成任务，点亮任务牌，轻松获取限定节日装饰！
-装饰升级：通过参与拓荒节活动，获取新增限定装饰及其它丰厚奖励！
-掘地求胜：收集钻头，领取拓荒节奖励！
-巨猿入侵：新增限时伤害翻倍增益和帮派奖励；为了捍卫猿族的劳动果实而战！
-地下探宝限时玩法：拓荒掘金
在拓荒掘金中开采矿石，可以获得德里克的奖牌、传说基因药水等丰厚奖励，积分靠前的玩家还将获得额外的排行奖励！
此外还有全新机制等待您的探索：
-激光采矿枪：开启随机箱时有概率获得。此武器可以提升工人的挖掘范围，拖拽至任意工人身上即可生效！
-炸弹生成器：开启随机箱时有概率获得。挖掘它可以生成炸弹！
-变异猴入侵：在活动中，变异猴会不定时入侵，击败它们可以获得研究试剂！</v>
      </c>
      <c r="C39" s="148" t="str">
        <f>IFERROR(__xludf.DUMMYFUNCTION("""COMPUTED_VALUE"""),"-New Pioneer Festival Event:
-Mecha Trove: Use the Commemorative Wrench to win limited deluxe Base skins and other rich rewards!
-Operation Pioneer: Complete tasks, light up task cards, and easily obtain limited festival decorations!
-Decoration Upgrade: "&amp;"By participating in the Pioneer Festival Event, you can get new limited decorations and other rich rewards!
-Dig for Victory: Collect drills and win Pioneer Festival rewards!
-Giganto Invasion: New limited-time damage boost and gang rewards; fight to prot"&amp;"ect the fruits of our labor!
-Limited-time gameplay: Dig for Gold in the Underground
In Dig for Gold, mining ores can earn you Derrick's medals, Legendary Gene Potions, and other rich rewards. Players with high scores will also receive additional ranking "&amp;"rewards!
In addition, there are new mechanisms waiting for you to explore:
-Laser Mining Gun: There is a probability of obtaining it when opening random boxes. This weapon can increase the mining range of workers. Drag it onto any worker to activate it!
-"&amp;"Bomb Generator: There is a probability of obtaining it when opening random boxes. Digging it up can generate bombs!
-Mutant Invasion: During the event, Mutants will invade at irregular intervals. Defeating them can earn you Research Emulsion!")</f>
        <v>-New Pioneer Festival Event:
-Mecha Trove: Use the Commemorative Wrench to win limited deluxe Base skins and other rich rewards!
-Operation Pioneer: Complete tasks, light up task cards, and easily obtain limited festival decorations!
-Decoration Upgrade: By participating in the Pioneer Festival Event, you can get new limited decorations and other rich rewards!
-Dig for Victory: Collect drills and win Pioneer Festival rewards!
-Giganto Invasion: New limited-time damage boost and gang rewards; fight to protect the fruits of our labor!
-Limited-time gameplay: Dig for Gold in the Underground
In Dig for Gold, mining ores can earn you Derrick's medals, Legendary Gene Potions, and other rich rewards. Players with high scores will also receive additional ranking rewards!
In addition, there are new mechanisms waiting for you to explore:
-Laser Mining Gun: There is a probability of obtaining it when opening random boxes. This weapon can increase the mining range of workers. Drag it onto any worker to activate it!
-Bomb Generator: There is a probability of obtaining it when opening random boxes. Digging it up can generate bombs!
-Mutant Invasion: During the event, Mutants will invade at irregular intervals. Defeating them can earn you Research Emulsion!</v>
      </c>
      <c r="D39" s="148" t="str">
        <f>IFERROR(__xludf.DUMMYFUNCTION("""COMPUTED_VALUE"""),"-Nouvel événement Pioneer Festival :
-TRÉSOR MÉCHA: Utilisez la Clé commémorative pour gagner des skins de Base de luxe limités et d'autres récompenses riches !
-Opération Pioneer : Complétez les tâches, allumez les cartes de tâches et obtenez facilement "&amp;"des décorations de festival limitées !
-Amélioration des décors : En participant à l'événement Pioneer Festival, vous pouvez obtenir de nouvelles décorations limitées et d'autres récompenses riches !
-Creuser pour la Victoire : Collectez des foreuses et g"&amp;"agnez des récompenses du Pioneer Festival !
-Invasion Giganto : Nouveau bonus de dégâts limité dans le temps et récompenses de gang ; combattez pour protéger les fruits de notre travail !
-Gameplay limité dans le temps : Creuser pour de l'Or dans le Sous-"&amp;"terre
Dans Creuser pour de l'Or, l'extraction de minerais peut vous faire gagner des médailles de Derrick, des Potions Génétiques Légendaires et d'autres récompenses riches. Les joueurs ayant des scores élevés recevront également des récompenses supplémen"&amp;"taires de classement !
De plus, il y a de nouveaux mécanismes qui vous attendent pour les explorer :
-Pistolet de minage laser : Il y a une probabilité de l'obtenir en ouvrant des boîtes aléatoires. Cette arme peut augmenter la portée d'extraction des tra"&amp;"vailleurs. Faites-le glisser sur n'importe quel travailleur pour l'activer !
-Générateur de bombes : Il y a une probabilité de l'obtenir en ouvrant des boîtes aléatoires. Le creuser peut générer des bombes !
-Invasion Mutante : Pendant l'événement, les Mu"&amp;"tants envahiront à intervalles irréguliers. Les vaincre peut vous faire gagner de l'Emulsion de Recherche !")</f>
        <v>-Nouvel événement Pioneer Festival :
-TRÉSOR MÉCHA: Utilisez la Clé commémorative pour gagner des skins de Base de luxe limités et d'autres récompenses riches !
-Opération Pioneer : Complétez les tâches, allumez les cartes de tâches et obtenez facilement des décorations de festival limitées !
-Amélioration des décors : En participant à l'événement Pioneer Festival, vous pouvez obtenir de nouvelles décorations limitées et d'autres récompenses riches !
-Creuser pour la Victoire : Collectez des foreuses et gagnez des récompenses du Pioneer Festival !
-Invasion Giganto : Nouveau bonus de dégâts limité dans le temps et récompenses de gang ; combattez pour protéger les fruits de notre travail !
-Gameplay limité dans le temps : Creuser pour de l'Or dans le Sous-terre
Dans Creuser pour de l'Or, l'extraction de minerais peut vous faire gagner des médailles de Derrick, des Potions Génétiques Légendaires et d'autres récompenses riches. Les joueurs ayant des scores élevés recevront également des récompenses supplémentaires de classement !
De plus, il y a de nouveaux mécanismes qui vous attendent pour les explorer :
-Pistolet de minage laser : Il y a une probabilité de l'obtenir en ouvrant des boîtes aléatoires. Cette arme peut augmenter la portée d'extraction des travailleurs. Faites-le glisser sur n'importe quel travailleur pour l'activer !
-Générateur de bombes : Il y a une probabilité de l'obtenir en ouvrant des boîtes aléatoires. Le creuser peut générer des bombes !
-Invasion Mutante : Pendant l'événement, les Mutants envahiront à intervalles irréguliers. Les vaincre peut vous faire gagner de l'Emulsion de Recherche !</v>
      </c>
      <c r="E39" s="148" t="str">
        <f>IFERROR(__xludf.DUMMYFUNCTION("""COMPUTED_VALUE"""),"-Neues Pioneer Festival Event:
-Mecha-Schatzkiste: Verwenden Sie den Gedenkschlüssel, um limitierte Deluxe-Basis-Skins und andere wertvolle Belohnungen zu gewinnen!
-Operation Pionier: Aufgaben erfüllen, Aufgabenkarten aufleuchten lassen und einfach limit"&amp;"ierte Festivaldekorationen erhalten!
-Dekoration Aufwerten: Durch die Teilnahme am Pioneer Festival Event können Sie neue limitierte Dekorationen und andere wertvolle Belohnungen erhalten!
-Grabe nach Sieg: Sammle Bohrer und gewinne Pioneer Festival Beloh"&amp;"nungen!
-Giganto Invasion: Neue zeitlich begrenzte Schadensverstärkung und Bandenbelohnungen; kämpfen, um die Früchte unserer Arbeit zu schützen!
-Zeitlich begrenztes Gameplay: Grabe nach Gold im Unterirdischen
Beim Graben nach Gold können Sie durch das A"&amp;"bbauen von Erzen Derricks Medaillen, legendäre Gentränke und andere wertvolle Belohnungen verdienen. Spieler mit hohen Punktzahlen erhalten auch zusätzliche Ranglistenbelohnungen!
Außerdem gibt es neue Mechanismen, die darauf warten, von Ihnen erkundet zu"&amp;" werden:
-Laser-Bergbaupistole: Es besteht eine Wahrscheinlichkeit, sie beim Öffnen von zufälligen Kisten zu erhalten. Diese Waffe kann die Abbau-Reichweite von Arbeitern erhöhen. Ziehen Sie es auf einen beliebigen Arbeiter, um es zu aktivieren!
-Bombenge"&amp;"nerator: Es besteht eine Wahrscheinlichkeit, ihn beim Öffnen von zufälligen Kisten zu erhalten. Wenn man ihn ausgräbt, kann er Bomben erzeugen!
-Mutanteninvasion: Während des Events werden Mutanten in unregelmäßigen Abständen einfallen. Wenn man sie besie"&amp;"gt, kann man Forschungsemulsion verdienen!")</f>
        <v>-Neues Pioneer Festival Event:
-Mecha-Schatzkiste: Verwenden Sie den Gedenkschlüssel, um limitierte Deluxe-Basis-Skins und andere wertvolle Belohnungen zu gewinnen!
-Operation Pionier: Aufgaben erfüllen, Aufgabenkarten aufleuchten lassen und einfach limitierte Festivaldekorationen erhalten!
-Dekoration Aufwerten: Durch die Teilnahme am Pioneer Festival Event können Sie neue limitierte Dekorationen und andere wertvolle Belohnungen erhalten!
-Grabe nach Sieg: Sammle Bohrer und gewinne Pioneer Festival Belohnungen!
-Giganto Invasion: Neue zeitlich begrenzte Schadensverstärkung und Bandenbelohnungen; kämpfen, um die Früchte unserer Arbeit zu schützen!
-Zeitlich begrenztes Gameplay: Grabe nach Gold im Unterirdischen
Beim Graben nach Gold können Sie durch das Abbauen von Erzen Derricks Medaillen, legendäre Gentränke und andere wertvolle Belohnungen verdienen. Spieler mit hohen Punktzahlen erhalten auch zusätzliche Ranglistenbelohnungen!
Außerdem gibt es neue Mechanismen, die darauf warten, von Ihnen erkundet zu werden:
-Laser-Bergbaupistole: Es besteht eine Wahrscheinlichkeit, sie beim Öffnen von zufälligen Kisten zu erhalten. Diese Waffe kann die Abbau-Reichweite von Arbeitern erhöhen. Ziehen Sie es auf einen beliebigen Arbeiter, um es zu aktivieren!
-Bombengenerator: Es besteht eine Wahrscheinlichkeit, ihn beim Öffnen von zufälligen Kisten zu erhalten. Wenn man ihn ausgräbt, kann er Bomben erzeugen!
-Mutanteninvasion: Während des Events werden Mutanten in unregelmäßigen Abständen einfallen. Wenn man sie besiegt, kann man Forschungsemulsion verdienen!</v>
      </c>
      <c r="F39" s="148" t="str">
        <f>IFERROR(__xludf.DUMMYFUNCTION("""COMPUTED_VALUE"""),"- Novo Evento do Festival Pioneiro:
- Tesouro Mecha: Use a Chave Comemorativa para ganhar skins de luxo limitadas para a Base e outras recompensas valiosas!
- Operação Pioneira: Complete tarefas, acenda cartões de tarefa e obtenha facilmente decorações de"&amp;" festival limitadas!
- Melhoria de Decoração: Ao participar do Evento do Festival Pioneiro, você pode obter novas decorações limitadas e outras recompensas valiosas!
- Cavar pela Vitória: Colete brocas e ganhe recompensas do Festival Pioneiro!
- Invasão G"&amp;"iganto: Novo aumento de dano por tempo limitado e recompensas de gangue; lute para proteger os frutos do nosso trabalho!
- Jogabilidade por tempo limitado: Cavar por Ouro no Subterrâneo
Ao cavar por Ouro, a mineração de minérios pode render medalhas de De"&amp;"rrick, Poções de genes Lendárias e outras recompensas valiosas. Jogadores com pontuações altas também receberão recompensas adicionais de classificação!
Além disso, há novos mecanismos esperando por você para explorar:
- Laser Mining Gun: Há uma probabili"&amp;"dade de obtê-lo ao abrir caixas aleatórias. Esta arma pode aumentar o alcance de mineração dos trabalhadores. Arraste-o para qualquer trabalhador para ativá-lo!
- Gerador de Bombas: Há uma probabilidade de obtê-lo ao abrir caixas aleatórias. Cavar pode ge"&amp;"rar bombas!
- Invasão Mutante: Durante o evento, os Mutantes invadirão em intervalos irregulares. Derrotá-los pode render Emulsão de Pesquisa!")</f>
        <v>- Novo Evento do Festival Pioneiro:
- Tesouro Mecha: Use a Chave Comemorativa para ganhar skins de luxo limitadas para a Base e outras recompensas valiosas!
- Operação Pioneira: Complete tarefas, acenda cartões de tarefa e obtenha facilmente decorações de festival limitadas!
- Melhoria de Decoração: Ao participar do Evento do Festival Pioneiro, você pode obter novas decorações limitadas e outras recompensas valiosas!
- Cavar pela Vitória: Colete brocas e ganhe recompensas do Festival Pioneiro!
- Invasão Giganto: Novo aumento de dano por tempo limitado e recompensas de gangue; lute para proteger os frutos do nosso trabalho!
- Jogabilidade por tempo limitado: Cavar por Ouro no Subterrâneo
Ao cavar por Ouro, a mineração de minérios pode render medalhas de Derrick, Poções de genes Lendárias e outras recompensas valiosas. Jogadores com pontuações altas também receberão recompensas adicionais de classificação!
Além disso, há novos mecanismos esperando por você para explorar:
- Laser Mining Gun: Há uma probabilidade de obtê-lo ao abrir caixas aleatórias. Esta arma pode aumentar o alcance de mineração dos trabalhadores. Arraste-o para qualquer trabalhador para ativá-lo!
- Gerador de Bombas: Há uma probabilidade de obtê-lo ao abrir caixas aleatórias. Cavar pode gerar bombas!
- Invasão Mutante: Durante o evento, os Mutantes invadirão em intervalos irregulares. Derrotá-los pode render Emulsão de Pesquisa!</v>
      </c>
      <c r="G39" s="148" t="str">
        <f>IFERROR(__xludf.DUMMYFUNCTION("""COMPUTED_VALUE"""),"-新增拓荒節活動：
-機械秘寶：使用紀念扳手，贏取限定豪華主城皮膚和其它豐富獎勵！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-巨猿入侵：新增限時傷害翻倍增益和幫派獎勵；為了捍衛猿族的勞動果實而戰！
-地下探寶限時玩法：拓荒掘金
在拓荒掘金中開採礦石，可以獲得德里克的獎牌、傳說基因藥水等豐厚獎勵，積分靠前的玩家還將獲得額外的排行獎勵！
此外還有全新機制等待您的探索：
-激光采礦槍：開啟"&amp;"隨機箱時有概率獲得。此武器可以提升工人的挖掘範圍，拖拽至任意工人身上即可生效！
-炸彈生成器：開啟隨機箱時有概率獲得。挖掘它可以生成炸彈！
-變異猴入侵：在活動中，變異猴會不定時入侵，擊敗它們可以獲得研究試劑！ ")</f>
        <v>-新增拓荒節活動：
-機械秘寶：使用紀念扳手，贏取限定豪華主城皮膚和其它豐富獎勵！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-巨猿入侵：新增限時傷害翻倍增益和幫派獎勵；為了捍衛猿族的勞動果實而戰！
-地下探寶限時玩法：拓荒掘金
在拓荒掘金中開採礦石，可以獲得德里克的獎牌、傳說基因藥水等豐厚獎勵，積分靠前的玩家還將獲得額外的排行獎勵！
此外還有全新機制等待您的探索：
-激光采礦槍：開啟隨機箱時有概率獲得。此武器可以提升工人的挖掘範圍，拖拽至任意工人身上即可生效！
-炸彈生成器：開啟隨機箱時有概率獲得。挖掘它可以生成炸彈！
-變異猴入侵：在活動中，變異猴會不定時入侵，擊敗它們可以獲得研究試劑！ </v>
      </c>
      <c r="H39" s="148" t="str">
        <f>IFERROR(__xludf.DUMMYFUNCTION("""COMPUTED_VALUE"""),"-Event Festival Pioneer Baru:
-Mekanik Harta Karun: Gunakan Kunci Ingatan untuk memenangkan kulit Kota mewah terbatas dan hadiah kaya lainnya!
-Operasi Pioneer: Selesaikan tugas, nyalakan kartu tugas, dan dengan mudah dapatkan dekorasi festival terbatas!
"&amp;"-Tingkatkan Dekorasi: Dengan berpartisipasi dalam Event Festival Pioneer, Anda bisa mendapatkan dekorasi terbatas baru dan hadiah kaya lainnya!
-Gali untuk Kemenangan: Kumpulkan bor dan menangkan hadiah Festival Pioneer!
-Invasi Giganto: Peningkatan kerus"&amp;"akan terbatas baru dan hadiah geng; berjuang untuk melindungi buah dari jerih payah kita!
-Gameplay terbatas waktu: Membuka Penambangan Emas di Bawah Tanah
Dalam Membuka Penambangan Emas, menambang bijih dapat membuat Anda mendapatkan medali Derrick, Ramu"&amp;"an Gen Legendaris, dan hadiah kaya lainnya. Pemain dengan skor tinggi juga akan menerima hadiah peringkat tambahan!
Selain itu, ada mekanisme baru yang menunggu Anda untuk menjelajahi:
-Senapan Penambangan Laser: Ada kemungkinan mendapatkannya saat membuk"&amp;"a kotak acak. Senjata ini dapat meningkatkan jangkauan penambangan pekerja. Seret ke pekerja mana saja untuk mengaktifkannya!
-Generator Bom: Ada kemungkinan mendapatkannya saat membuka kotak acak. Menggali itu bisa menghasilkan bom!
-Invasi Mutan: Selama"&amp;" acara, Mutan akan menyerang pada interval yang tidak teratur. Mengalahkan mereka dapat membuat Anda mendapatkan Reagen Penelitian!")</f>
        <v>-Event Festival Pioneer Baru:
-Mekanik Harta Karun: Gunakan Kunci Ingatan untuk memenangkan kulit Kota mewah terbatas dan hadiah kaya lainnya!
-Operasi Pioneer: Selesaikan tugas, nyalakan kartu tugas, dan dengan mudah dapatkan dekorasi festival terbatas!
-Tingkatkan Dekorasi: Dengan berpartisipasi dalam Event Festival Pioneer, Anda bisa mendapatkan dekorasi terbatas baru dan hadiah kaya lainnya!
-Gali untuk Kemenangan: Kumpulkan bor dan menangkan hadiah Festival Pioneer!
-Invasi Giganto: Peningkatan kerusakan terbatas baru dan hadiah geng; berjuang untuk melindungi buah dari jerih payah kita!
-Gameplay terbatas waktu: Membuka Penambangan Emas di Bawah Tanah
Dalam Membuka Penambangan Emas, menambang bijih dapat membuat Anda mendapatkan medali Derrick, Ramuan Gen Legendaris, dan hadiah kaya lainnya. Pemain dengan skor tinggi juga akan menerima hadiah peringkat tambahan!
Selain itu, ada mekanisme baru yang menunggu Anda untuk menjelajahi:
-Senapan Penambangan Laser: Ada kemungkinan mendapatkannya saat membuka kotak acak. Senjata ini dapat meningkatkan jangkauan penambangan pekerja. Seret ke pekerja mana saja untuk mengaktifkannya!
-Generator Bom: Ada kemungkinan mendapatkannya saat membuka kotak acak. Menggali itu bisa menghasilkan bom!
-Invasi Mutan: Selama acara, Mutan akan menyerang pada interval yang tidak teratur. Mengalahkan mereka dapat membuat Anda mendapatkan Reagen Penelitian!</v>
      </c>
      <c r="I39" s="148" t="str">
        <f>IFERROR(__xludf.DUMMYFUNCTION("""COMPUTED_VALUE"""),"-เหตุการณ์เทศกาลนักบุกเบิกใหม่:
-เครื่องจักรสมบัติลับ: ใช้คีมที่ระลึกเพื่อชนะสกินฐานหรูจำกัดและรางวัลอื่น ๆ ที่อุดมสมบูรณ์!
-การดำเนินงานผู้บุกเบิก: ทำงานเสร็จสิ้น สว่างขึ้นบัตรงาน และง่ายต่อการรับของตกแต่งเทศกาลจำกัด!
-การอัปเกรดของตกแต่ง: โดยการเข้าร่วม"&amp;"ในเทศกาลนักบุกเบิก คุณสามารถรับของตกแต่งจำกัดใหม่และรางวัลอื่น ๆ ที่อุดมสมบูรณ์!
-ขุดเพื่อชัยชนะ: สะสมเครื่องเจาะและชนะรางวัลเทศกาลนักบุกเบิก!
-การบุกครั้งใหม่ของกิกันโต: การเพิ่มความเสียหายในเวลาจำกัดและรางวัลแก๊ง; ต่อสู้เพื่อปกป้องผลผลิตของเรา!
-เกมเพลย"&amp;"์เวลาจำกัด: ขุดเจาะและหาทองใน Underground
ในการขุดเจาะและหาทอง การทำเหมืองแร่สามารถทำให้คุณได้รับเหรียญของเดอร์ริก, น้ำยายีนตำนาน และรางวัลอื่น ๆ ที่อุดมสมบูรณ์ ผู้เล่นที่มี")</f>
        <v>-เหตุการณ์เทศกาลนักบุกเบิกใหม่:
-เครื่องจักรสมบัติลับ: ใช้คีมที่ระลึกเพื่อชนะสกินฐานหรูจำกัดและรางวัลอื่น ๆ ที่อุดมสมบูรณ์!
-การดำเนินงานผู้บุกเบิก: ทำงานเสร็จสิ้น สว่างขึ้นบัตรงาน และง่ายต่อการรับของตกแต่งเทศกาลจำกัด!
-การอัปเกรดของตกแต่ง: โดยการเข้าร่วมในเทศกาลนักบุกเบิก คุณสามารถรับของตกแต่งจำกัดใหม่และรางวัลอื่น ๆ ที่อุดมสมบูรณ์!
-ขุดเพื่อชัยชนะ: สะสมเครื่องเจาะและชนะรางวัลเทศกาลนักบุกเบิก!
-การบุกครั้งใหม่ของกิกันโต: การเพิ่มความเสียหายในเวลาจำกัดและรางวัลแก๊ง; ต่อสู้เพื่อปกป้องผลผลิตของเรา!
-เกมเพลย์เวลาจำกัด: ขุดเจาะและหาทองใน Underground
ในการขุดเจาะและหาทอง การทำเหมืองแร่สามารถทำให้คุณได้รับเหรียญของเดอร์ริก, น้ำยายีนตำนาน และรางวัลอื่น ๆ ที่อุดมสมบูรณ์ ผู้เล่นที่มี</v>
      </c>
      <c r="J39" s="148" t="str">
        <f>IFERROR(__xludf.DUMMYFUNCTION("""COMPUTED_VALUE"""),"-Nuevo evento del Festival Pionero:
-TESORO MECÁNICO: ¡Usa la Llave Conmemorativa para ganar pieles de Base de lujo limitadas y otras ricas recompensas!
-Operación Pionera: ¡Completa tareas, ilumina tarjetas de tareas y obtén fácilmente decoraciones de fe"&amp;"stival limitadas!
-Decoración Mejorada: Al participar en el evento del Festival Pionero, ¡puedes obtener nuevas decoraciones limitadas y otras ricas recompensas!
-Cavar para la Victoria: ¡Recolecta taladros y gana recompensas del Festival Pionero!
-Invasi"&amp;"ón Giganto: Nuevo impulso de daño por tiempo limitado y recompensas de pandillas; ¡lucha para proteger los frutos de nuestro trabajo!
-Juego por tiempo limitado: Cavar en busca de Oro en el Underground
En Cavar en busca de Oro, la extracción de minerales "&amp;"puede hacerte ganar medallas de Derrick, Pociones de Genes Legendarios y otras ricas recompensas. ¡Los jugadores con puntuaciones altas también recibirán recompensas adicionales por clasificación!
Además, hay nuevos mecanismos esperando que los explores:
"&amp;"-Pistola de Minería Láser: Hay una probabilidad de obtenerla al abrir cajas aleatorias. Esta arma puede aumentar el rango de minería de los trabajadores. ¡Arrástrala sobre cualquier trabajador para activarla!
-Generador de Bombas: Hay una probabilidad de "&amp;"obtenerlo al abrir cajas aleatorias. ¡Cavarlo puede generar bombas!
-Invasión Mutante: Durante el evento, los Mutantes invadirán en intervalos irregulares. ¡Derrotarlos puede hacerte ganar Emulsiones de Investigación!")</f>
        <v>-Nuevo evento del Festival Pionero:
-TESORO MECÁNICO: ¡Usa la Llave Conmemorativa para ganar pieles de Base de lujo limitadas y otras ricas recompensas!
-Operación Pionera: ¡Completa tareas, ilumina tarjetas de tareas y obtén fácilmente decoraciones de festival limitadas!
-Decoración Mejorada: Al participar en el evento del Festival Pionero, ¡puedes obtener nuevas decoraciones limitadas y otras ricas recompensas!
-Cavar para la Victoria: ¡Recolecta taladros y gana recompensas del Festival Pionero!
-Invasión Giganto: Nuevo impulso de daño por tiempo limitado y recompensas de pandillas; ¡lucha para proteger los frutos de nuestro trabajo!
-Juego por tiempo limitado: Cavar en busca de Oro en el Underground
En Cavar en busca de Oro, la extracción de minerales puede hacerte ganar medallas de Derrick, Pociones de Genes Legendarios y otras ricas recompensas. ¡Los jugadores con puntuaciones altas también recibirán recompensas adicionales por clasificación!
Además, hay nuevos mecanismos esperando que los explores:
-Pistola de Minería Láser: Hay una probabilidad de obtenerla al abrir cajas aleatorias. Esta arma puede aumentar el rango de minería de los trabajadores. ¡Arrástrala sobre cualquier trabajador para activarla!
-Generador de Bombas: Hay una probabilidad de obtenerlo al abrir cajas aleatorias. ¡Cavarlo puede generar bombas!
-Invasión Mutante: Durante el evento, los Mutantes invadirán en intervalos irregulares. ¡Derrotarlos puede hacerte ganar Emulsiones de Investigación!</v>
      </c>
      <c r="K39" s="148" t="str">
        <f>IFERROR(__xludf.DUMMYFUNCTION("""COMPUTED_VALUE"""),"-Новый событие Pioneer Festival:
-Меха-сокровищница: Используйте памятный гаечный ключ, чтобы выиграть ограниченные роскошные скины базы и другие богатые награды!
-Операция Пионер: Завершите задания, зажгите карточки заданий и легко получите ограниченные "&amp;"праздничные украшения!
-Улучшение украшений: Участвуя в событии Pioneer Festival, вы можете получить новые ограниченные украшения и другие богатые награды!
-Копать за победу: Соберите дрели и выиграйте награды Pioneer Festival!
-Вторжение Гиганто: Новый о"&amp;"граниченный временной урон и бандитские награды; сражайтесь, чтобы защитить плоды нашего труда!
-Ограниченное время игры: Копать за Золотом в Подземелье
В Копать за Золотом, добыча руды может принести вам медали Деррека, Легендарные Генные эликсиры и друг"&amp;"ие богатые награды. Игроки с высокими баллами также получат дополнительные награды за рейтинг!
Кроме того, есть новые механизмы, которые ждут вас, чтобы исследовать:
-Лазерная горная пушка: Есть вероятность получения при открытии случайных коробок. Это ор"&amp;"ужие может увеличить диапазон добычи рабочих. Перетащите его на любого рабочего, чтобы активировать его!
-Генератор бомб: Есть вероятность получения при открытии случайных коробок. Рыть его может генерировать бомбы!
-Вторжение мутантов: Во время события м"&amp;"утанты будут вторгаться с нерегулярными интервал")</f>
        <v>-Новый событие Pioneer Festival:
-Меха-сокровищница: Используйте памятный гаечный ключ, чтобы выиграть ограниченные роскошные скины базы и другие богатые награды!
-Операция Пионер: Завершите задания, зажгите карточки заданий и легко получите ограниченные праздничные украшения!
-Улучшение украшений: Участвуя в событии Pioneer Festival, вы можете получить новые ограниченные украшения и другие богатые награды!
-Копать за победу: Соберите дрели и выиграйте награды Pioneer Festival!
-Вторжение Гиганто: Новый ограниченный временной урон и бандитские награды; сражайтесь, чтобы защитить плоды нашего труда!
-Ограниченное время игры: Копать за Золотом в Подземелье
В Копать за Золотом, добыча руды может принести вам медали Деррека, Легендарные Генные эликсиры и другие богатые награды. Игроки с высокими баллами также получат дополнительные награды за рейтинг!
Кроме того, есть новые механизмы, которые ждут вас, чтобы исследовать:
-Лазерная горная пушка: Есть вероятность получения при открытии случайных коробок. Это оружие может увеличить диапазон добычи рабочих. Перетащите его на любого рабочего, чтобы активировать его!
-Генератор бомб: Есть вероятность получения при открытии случайных коробок. Рыть его может генерировать бомбы!
-Вторжение мутантов: Во время события мутанты будут вторгаться с нерегулярными интервал</v>
      </c>
      <c r="L39" s="148" t="str">
        <f>IFERROR(__xludf.DUMMYFUNCTION("""COMPUTED_VALUE"""),"-Yeni Pioneer Festival Etkinliği:
-Mecha Sandığı: Anma Anahtarı ile sınırlı deluxe Üs kaplamaları ve diğer zengin ödüller kazanın!
-Operasyon Pioneer: Görevleri tamamlayın, görev kartlarını aydınlatın ve sınırlı festival dekorasyonlarını kolayca elde edin"&amp;"!
-Dekorasyon Yükseltme: Pioneer Festival Etkinliğine katılarak yeni sınırlı dekorasyonlar ve diğer zengin ödüller elde edebilirsiniz!
-Zafer için Kazma: Matkapları toplayın ve Pioneer Festival ödüllerini kazanın!
-Giganto İstilası: Yeni sınırlı süreli ha"&amp;"sar artışı ve çete ödülleri; emeğimizin meyvelerini korumak için savaşın!
-Sınırlı süreli oyun: Yer altında Altın ara
Altın ara oyununda, maden cevherlerini çıkararak Derrick'in madalyalarını, Efsanevi Gen İksirlerini ve diğer zengin ödüller kazanabilirsi"&amp;"niz. Yüksek puanlı oyuncular ayrıca ek sıralama ödülleri de alacak!
Ayrıca, keşfetmeniz için yeni mekanizmalar da bulunmaktadır:
-Lazer Madencilik Silahı: Rastgele kutuları açarken elde etme olasılığı vardır. Bu silah, işçilerin madencilik menzilini artır"&amp;"abilir. Bunu etkinleştirmek için herhangi bir işçinin üzerine sürükleyin!
-Bomba Üreteci: Rastgele kutuları açarken elde etme olasılığı vardır. Kazarak bombalar üretebilir!
-Mutant İstilası: Etkinlik sırasında, Mutantlar düzensiz aralıklarla istila edecek"&amp;". Onları yenmek, Araştırma Çözeltisi kazandırabilir!")</f>
        <v>-Yeni Pioneer Festival Etkinliği:
-Mecha Sandığı: Anma Anahtarı ile sınırlı deluxe Üs kaplamaları ve diğer zengin ödüller kazanın!
-Operasyon Pioneer: Görevleri tamamlayın, görev kartlarını aydınlatın ve sınırlı festival dekorasyonlarını kolayca elde edin!
-Dekorasyon Yükseltme: Pioneer Festival Etkinliğine katılarak yeni sınırlı dekorasyonlar ve diğer zengin ödüller elde edebilirsiniz!
-Zafer için Kazma: Matkapları toplayın ve Pioneer Festival ödüllerini kazanın!
-Giganto İstilası: Yeni sınırlı süreli hasar artışı ve çete ödülleri; emeğimizin meyvelerini korumak için savaşın!
-Sınırlı süreli oyun: Yer altında Altın ara
Altın ara oyununda, maden cevherlerini çıkararak Derrick'in madalyalarını, Efsanevi Gen İksirlerini ve diğer zengin ödüller kazanabilirsiniz. Yüksek puanlı oyuncular ayrıca ek sıralama ödülleri de alacak!
Ayrıca, keşfetmeniz için yeni mekanizmalar da bulunmaktadır:
-Lazer Madencilik Silahı: Rastgele kutuları açarken elde etme olasılığı vardır. Bu silah, işçilerin madencilik menzilini artırabilir. Bunu etkinleştirmek için herhangi bir işçinin üzerine sürükleyin!
-Bomba Üreteci: Rastgele kutuları açarken elde etme olasılığı vardır. Kazarak bombalar üretebilir!
-Mutant İstilası: Etkinlik sırasında, Mutantlar düzensiz aralıklarla istila edecek. Onları yenmek, Araştırma Çözeltisi kazandırabilir!</v>
      </c>
      <c r="M39" s="148" t="str">
        <f>IFERROR(__xludf.DUMMYFUNCTION("""COMPUTED_VALUE"""),"-Mới Sự kiện Lễ hội Tiên phong:
-Cơ khí Bảo vật: Sử dụng Cờ lê kỷ niệm để giành chiến thắng các mẫu da Tòa Thị Chính sang trọng giới hạn và những phần thưởng giá trị khác!
-Hoạt động Tiên phong: Hoàn thành nhiệm vụ, thắp sáng thẻ nhiệm vụ và dễ dàng nhận "&amp;"được các vật phẩm trang trí lễ hội giới hạn!
-Nâng cấp Trang Trí: Bằng cách tham gia vào Sự kiện Lễ hội Tiên phong, bạn có thể nhận được các vật phẩm trang trí mới giới hạn và những phần thưởng giá trị khác!
-Đào Bom Chiến Thắng: Thu thập khoan và giành p"&amp;"hần thưởng Lễ hội Tiên phong!
-Xâm lược Giganto: Tăng sát thương giới hạn thời gian và phần thưởng băng nhóm; chiến đấu để bảo vệ thành quả lao động của chúng ta!
-Lối chơi giới hạn thời gian: Khai hoang đào vàng ở Dưới đất
Trong Khai hoang đào vàng, khai"&amp;" thác quặng có thể giúp bạn kiếm được huy chương của Derrick, Thuốc Gen Huyền Thoại và những phần thưởng giá trị khác. Người chơi có điểm số cao cũng sẽ nhận được phần thưởng xếp hạng bổ sung!
Ngoài ra, còn có những cơ chế mới đang chờ bạn khám phá:
-Súng"&amp;" Khoan Laser: Có xác suất nhận được khi mở hộp ngẫu nhiên. Vũ khí này có thể tăng phạm vi khai thác của công nhân. Kéo nó lên bất kỳ công nhân nào để kích hoạt!
-Máy phát Bom: Có xác suất nhận được khi mở hộp ngẫu nhiên. Đào Bom nó có thể tạo ra bom")</f>
        <v>-Mới Sự kiện Lễ hội Tiên phong:
-Cơ khí Bảo vật: Sử dụng Cờ lê kỷ niệm để giành chiến thắng các mẫu da Tòa Thị Chính sang trọng giới hạn và những phần thưởng giá trị khác!
-Hoạt động Tiên phong: Hoàn thành nhiệm vụ, thắp sáng thẻ nhiệm vụ và dễ dàng nhận được các vật phẩm trang trí lễ hội giới hạn!
-Nâng cấp Trang Trí: Bằng cách tham gia vào Sự kiện Lễ hội Tiên phong, bạn có thể nhận được các vật phẩm trang trí mới giới hạn và những phần thưởng giá trị khác!
-Đào Bom Chiến Thắng: Thu thập khoan và giành phần thưởng Lễ hội Tiên phong!
-Xâm lược Giganto: Tăng sát thương giới hạn thời gian và phần thưởng băng nhóm; chiến đấu để bảo vệ thành quả lao động của chúng ta!
-Lối chơi giới hạn thời gian: Khai hoang đào vàng ở Dưới đất
Trong Khai hoang đào vàng, khai thác quặng có thể giúp bạn kiếm được huy chương của Derrick, Thuốc Gen Huyền Thoại và những phần thưởng giá trị khác. Người chơi có điểm số cao cũng sẽ nhận được phần thưởng xếp hạng bổ sung!
Ngoài ra, còn có những cơ chế mới đang chờ bạn khám phá:
-Súng Khoan Laser: Có xác suất nhận được khi mở hộp ngẫu nhiên. Vũ khí này có thể tăng phạm vi khai thác của công nhân. Kéo nó lên bất kỳ công nhân nào để kích hoạt!
-Máy phát Bom: Có xác suất nhận được khi mở hộp ngẫu nhiên. Đào Bom nó có thể tạo ra bom</v>
      </c>
      <c r="N39" s="108" t="str">
        <f>IFERROR(__xludf.DUMMYFUNCTION("""COMPUTED_VALUE"""),"-Nuovo evento Pioneer Festival:
-TESORO MECCANICO: Usa la Chiave commemorativa per vincere skin di Base deluxe limitate e altre ricche ricompense!
-Operazione Pioneer: Completa le missioni, illumina le carte delle missioni e ottieni facilmente decorazioni"&amp;" del festival limitate!
-Decoraz. Potenzia: Partecipando all'evento Pioneer Festival, puoi ottenere nuove decorazioni limitate e altre ricche ricompense!
-Scava per la Vittoria: Raccogli trapani e vinci premi del Pioneer Festival!
-Invasione Gigagorilla: "&amp;"Nuovo potenziamento del danno a tempo limitato e ricompense di gang; combatti per proteggere i frutti del nostro lavoro!
-Gameplay a tempo limitato: Scava per l'Oro nel Sotto terra
Nel Scava per l'Oro, estrarre minerali può farti guadagnare le medaglie di"&amp;" Derrick, Pozioni geniche Leggendarie e altre ricche ricompense. I giocatori con punteggi alti riceveranno anche premi aggiuntivi in classifica!
Inoltre, ci sono nuovi meccanismi in attesa che tu li esplori:
-Pistola da Minatore Laser: C'è una probabilità"&amp;" di ottenerla quando si aprono caselle casuali. Quest'arma può aumentare il raggio di estrazione dei lavoratori. Trascinala su qualsiasi lavoratore per attivarla!
-Generatore di Bombe: C'è una probabilità di ottenerlo quando si aprono caselle casuali. Sca"&amp;"vandolo può generare bombe!
-Invasione Mutante: Durante l'evento, i Mutanti invaderanno a intervalli irregolari. Sconfiggerli può farti guadagnare Emulsione di ricerca!")</f>
        <v>-Nuovo evento Pioneer Festival:
-TESORO MECCANICO: Usa la Chiave commemorativa per vincere skin di Base deluxe limitate e altre ricche ricompense!
-Operazione Pioneer: Completa le missioni, illumina le carte delle missioni e ottieni facilmente decorazioni del festival limitate!
-Decoraz. Potenzia: Partecipando all'evento Pioneer Festival, puoi ottenere nuove decorazioni limitate e altre ricche ricompense!
-Scava per la Vittoria: Raccogli trapani e vinci premi del Pioneer Festival!
-Invasione Gigagorilla: Nuovo potenziamento del danno a tempo limitato e ricompense di gang; combatti per proteggere i frutti del nostro lavoro!
-Gameplay a tempo limitato: Scava per l'Oro nel Sotto terra
Nel Scava per l'Oro, estrarre minerali può farti guadagnare le medaglie di Derrick, Pozioni geniche Leggendarie e altre ricche ricompense. I giocatori con punteggi alti riceveranno anche premi aggiuntivi in classifica!
Inoltre, ci sono nuovi meccanismi in attesa che tu li esplori:
-Pistola da Minatore Laser: C'è una probabilità di ottenerla quando si aprono caselle casuali. Quest'arma può aumentare il raggio di estrazione dei lavoratori. Trascinala su qualsiasi lavoratore per attivarla!
-Generatore di Bombe: C'è una probabilità di ottenerlo quando si aprono caselle casuali. Scavandolo può generare bombe!
-Invasione Mutante: Durante l'evento, i Mutanti invaderanno a intervalli irregolari. Sconfiggerli può farti guadagnare Emulsione di ricerca!</v>
      </c>
      <c r="O39" s="148" t="str">
        <f>IFERROR(__xludf.DUMMYFUNCTION("""COMPUTED_VALUE"""),"-Nowe wydarzenie Pioneer Festival:
-SKARB MECHA: Użyj pamiątkowego klucza, aby wygrać limitowane luksusowe skórki bazy i inne bogate nagrody!
-Operacja Pioneer: Wykonuj zadania, rozświetlaj karty zadaniami i łatwo zdobądź limitowane dekoracje festiwalowe!"&amp;"
-Modernizacja dekoracji: Biorąc udział w wydarzeniu Pioneer Festival, możesz zdobyć nowe limitowane dekoracje i inne bogate nagrody!
-Kop dla zwycięstwa: Zbieraj wiertła i wygrywaj nagrody Pioneer Festival!
-Inwazja Gigamałpy: Nowe, limitowane w czasie w"&amp;"zmocnienie obrażeń i nagrody dla gangu; walcz, aby chronić owoce naszej pracy!
-Gameplay limitowany czasowo: Kop w poszukiwaniu złota w Podziemiach
W Kopaniu dla Złota, wydobycie rud może przynieść Ci medale Derricka, Legendarny Eliksiry genowe i inne bog"&amp;"ate nagrody. Gracze z wysokimi wynikami otrzymają również dodatkowe nagrody rankingowe!
Ponadto czekają na Ciebie nowe mechanizmy do odkrycia:
-Laserowy karabin górniczy: Istnieje prawdopodobieństwo uzyskania go przy otwieraniu losowych skrzynek. Ta broń "&amp;"może zwiększyć zasięg wydobycia pracowników. Przeciągnij go na dowolnego pracownika, aby go aktywować!
-Generator bomb: Istnieje prawdopodobieństwo uzyskania go przy otwieraniu losowych skrzynek. Wykopując go, można generować bomby!
-Inwazja Mutantów: Pod"&amp;"czas wydarzenia Mutanci będą atakować w nieregularnych odstępach czasu. Pokonując ich, można zdobyć Emulsję badawczą!")</f>
        <v>-Nowe wydarzenie Pioneer Festival:
-SKARB MECHA: Użyj pamiątkowego klucza, aby wygrać limitowane luksusowe skórki bazy i inne bogate nagrody!
-Operacja Pioneer: Wykonuj zadania, rozświetlaj karty zadaniami i łatwo zdobądź limitowane dekoracje festiwalowe!
-Modernizacja dekoracji: Biorąc udział w wydarzeniu Pioneer Festival, możesz zdobyć nowe limitowane dekoracje i inne bogate nagrody!
-Kop dla zwycięstwa: Zbieraj wiertła i wygrywaj nagrody Pioneer Festival!
-Inwazja Gigamałpy: Nowe, limitowane w czasie wzmocnienie obrażeń i nagrody dla gangu; walcz, aby chronić owoce naszej pracy!
-Gameplay limitowany czasowo: Kop w poszukiwaniu złota w Podziemiach
W Kopaniu dla Złota, wydobycie rud może przynieść Ci medale Derricka, Legendarny Eliksiry genowe i inne bogate nagrody. Gracze z wysokimi wynikami otrzymają również dodatkowe nagrody rankingowe!
Ponadto czekają na Ciebie nowe mechanizmy do odkrycia:
-Laserowy karabin górniczy: Istnieje prawdopodobieństwo uzyskania go przy otwieraniu losowych skrzynek. Ta broń może zwiększyć zasięg wydobycia pracowników. Przeciągnij go na dowolnego pracownika, aby go aktywować!
-Generator bomb: Istnieje prawdopodobieństwo uzyskania go przy otwieraniu losowych skrzynek. Wykopując go, można generować bomby!
-Inwazja Mutantów: Podczas wydarzenia Mutanci będą atakować w nieregularnych odstępach czasu. Pokonując ich, można zdobyć Emulsję badawczą!</v>
      </c>
      <c r="P39" s="148" t="str">
        <f>IFERROR(__xludf.DUMMYFUNCTION("""COMPUTED_VALUE"""),"- حدث مهرجان الرائد الجديد:
- ميكا تروف: استخدم مفتاح الذكرى للفوز بقشور القاعدة الفاخرة المحدودة والمكافآت الغنية الأخرى!
- عملية الرائد: أكمل المهام وأضئ بطاقات المهام واحصل بسهولة على زينة المهرجان المحدودة!
- ترقية الزينة: من خلال المشاركة في حدث مهرج"&amp;"ان الرائد، يمكنك الحصول على زينة جديدة محدودة ومكافآت غنية أخرى!
- حفر من أجل النصر: اجمع الحفارات واربح مكافآت مهرجان الرائد!
- غزو القرد العملاق: زيادة الضرر المحدودة الجديدة ومكافآت العصابة؛ قاتل لحماية ثمار عملنا!
- لعب محدود الوقت: حفر للذهب في تحت ا"&amp;"لأرض
في حفر للذهب، يمكن أن يجني تعدين الخامات لك ميداليات ديريك وجرعات الجينات الأسطورية والمكافآت الغنية الأخرى. سيتلقى اللاعبون ذوو النتائج العالية أيضًا مكافآت تصنيف إضافية!
بالإضافة إلى ذلك، هناك آليات جديدة تنتظرك لاستكشافها:
- بندقية التعدين بالليزر"&amp;": هناك احتمالية الحصول عليها عند فتح صناديق عشوائية. يمكن لهذا السلاح زيادة نطاق ت")</f>
        <v>- حدث مهرجان الرائد الجديد:
- ميكا تروف: استخدم مفتاح الذكرى للفوز بقشور القاعدة الفاخرة المحدودة والمكافآت الغنية الأخرى!
- عملية الرائد: أكمل المهام وأضئ بطاقات المهام واحصل بسهولة على زينة المهرجان المحدودة!
- ترقية الزينة: من خلال المشاركة في حدث مهرجان الرائد، يمكنك الحصول على زينة جديدة محدودة ومكافآت غنية أخرى!
- حفر من أجل النصر: اجمع الحفارات واربح مكافآت مهرجان الرائد!
- غزو القرد العملاق: زيادة الضرر المحدودة الجديدة ومكافآت العصابة؛ قاتل لحماية ثمار عملنا!
- لعب محدود الوقت: حفر للذهب في تحت الأرض
في حفر للذهب، يمكن أن يجني تعدين الخامات لك ميداليات ديريك وجرعات الجينات الأسطورية والمكافآت الغنية الأخرى. سيتلقى اللاعبون ذوو النتائج العالية أيضًا مكافآت تصنيف إضافية!
بالإضافة إلى ذلك، هناك آليات جديدة تنتظرك لاستكشافها:
- بندقية التعدين بالليزر: هناك احتمالية الحصول عليها عند فتح صناديق عشوائية. يمكن لهذا السلاح زيادة نطاق ت</v>
      </c>
      <c r="Q39" s="148"/>
      <c r="R39" s="148"/>
      <c r="S39" s="148"/>
      <c r="T39" s="148"/>
      <c r="U39" s="148"/>
      <c r="V39" s="148"/>
      <c r="W39" s="148"/>
      <c r="X39" s="148"/>
      <c r="Y39" s="148"/>
      <c r="Z39" s="148"/>
    </row>
    <row r="40">
      <c r="A40" s="167" t="str">
        <f>IFERROR(__xludf.DUMMYFUNCTION("""COMPUTED_VALUE"""),"0.53.0")</f>
        <v>0.53.0</v>
      </c>
      <c r="B40" s="148" t="str">
        <f>IFERROR(__xludf.DUMMYFUNCTION("""COMPUTED_VALUE"""),"-新增斗士：荒野守护者雷蒙德，攻防兼备，火力全开，让所有猿猴敬畏的荒野守护者来了！
-堡垒对决新增怪物炮弹狂猿、入侵暴徒；新增建筑物疗愈塔；新增技能生命轮转、钢铁防线。
-新增活动“航天夺魁”：帮派全员参与，争夺限量配送站外观！
-新增“电能强化”功能，可在电子科技中通过消耗电池开启。
-发射准备活动优化：优化了活动的界面展示和部分任务积分奖励。
-收藏品成就系统优化：提升收藏品战力，可领取更多奖励。
-战装试炼场优化：增加了每周期可领取的铁质发条道具，并且优化了Boss宝箱的奖励显示。-斗士系统优化：新"&amp;"增斗士排序和筛选的功能。
-行军系统优化：新增行军目的地跳转功能。
-空闲队列优化：优化了不同队列的状态展示以及操作逻辑，现在可以更方便地管理队列了！
-投资计划优化：新增每日收益预览。
-黑色氏族美术表现优化：大地图黑色氏族领土分界线、行军线颜色更加明显。
-聊天组优化：多人聊天组优化，新增“添加或删除成员”功能。
-帮派科技优化：优化多种科研状态的表现。
-军备远征优化：增加军备远征相关红点提示、预告，优化BOSS关卡奖励展示。-挑战界面优化：全新挑战界面，表现力提升！同时增加了奖励和玩法进度的展示。"&amp;"
-堡垒竞夺优化：优化堡垒竞夺次数消耗逻辑，气泡提示的显示逻辑。
-战装优化：优化了战装相关界面跳转逻辑、界面表现。
-帮派运动会优化：新增了冠军旗帜奖励，添加了传说段位中的积分奖励。
-地下探宝活动优化：活动结束后可以查看排行榜，优化了玩法规则显示。")</f>
        <v>-新增斗士：荒野守护者雷蒙德，攻防兼备，火力全开，让所有猿猴敬畏的荒野守护者来了！
-堡垒对决新增怪物炮弹狂猿、入侵暴徒；新增建筑物疗愈塔；新增技能生命轮转、钢铁防线。
-新增活动“航天夺魁”：帮派全员参与，争夺限量配送站外观！
-新增“电能强化”功能，可在电子科技中通过消耗电池开启。
-发射准备活动优化：优化了活动的界面展示和部分任务积分奖励。
-收藏品成就系统优化：提升收藏品战力，可领取更多奖励。
-战装试炼场优化：增加了每周期可领取的铁质发条道具，并且优化了Boss宝箱的奖励显示。-斗士系统优化：新增斗士排序和筛选的功能。
-行军系统优化：新增行军目的地跳转功能。
-空闲队列优化：优化了不同队列的状态展示以及操作逻辑，现在可以更方便地管理队列了！
-投资计划优化：新增每日收益预览。
-黑色氏族美术表现优化：大地图黑色氏族领土分界线、行军线颜色更加明显。
-聊天组优化：多人聊天组优化，新增“添加或删除成员”功能。
-帮派科技优化：优化多种科研状态的表现。
-军备远征优化：增加军备远征相关红点提示、预告，优化BOSS关卡奖励展示。-挑战界面优化：全新挑战界面，表现力提升！同时增加了奖励和玩法进度的展示。
-堡垒竞夺优化：优化堡垒竞夺次数消耗逻辑，气泡提示的显示逻辑。
-战装优化：优化了战装相关界面跳转逻辑、界面表现。
-帮派运动会优化：新增了冠军旗帜奖励，添加了传说段位中的积分奖励。
-地下探宝活动优化：活动结束后可以查看排行榜，优化了玩法规则显示。</v>
      </c>
      <c r="C40" s="148" t="str">
        <f>IFERROR(__xludf.DUMMYFUNCTION("""COMPUTED_VALUE"""),"- New Fighter: Wildland Protector, Raymond. A master of both attack and defense, unequal in firepower! This is the mighty wildland protector revered by all!
- New in Fortress Takeover: new monsters, Cannonball Mutant, Bandit Invader; new building, Healing"&amp;" Tower; new skills, Cycle of Life, Line of Defense.
- New event ""Space Race"": calling all Gang members! Work together to win the limited-edition Distributor skin!
- New ""Electron Enhancer"" function: use batteries to unlock it in Electronic Technologie"&amp;"s.
- Prepare to Launch event improved: optimized interface display and some quest rewards.
- Relic Achievement system optimized: power up Relics to get more rewards!
- Equipment Test Site improved: you can now collect more Steel Keys each period; improved"&amp;" the display of rewards in boss chests.- Fighter feature optimized: added sorting and filtering functions.
- Marches optimized: you can now jump to the march destination.
- Available queues optimized: improved the status display and action logic of variou"&amp;"s queues, you can now manage them more easily!
- Financial Plan improved: added a daily earnings preview.
- Razorteeth Hunters' art design optimized: colors of territory lines and march lines are more clearly displayed on the map.
- Chat rooms optimized: "&amp;"new ""add or remove members"" function added to chat rooms.
- Gang Research optimized: improved the performance of various technologies.
- Gear Expedition improved: added badge notification and previews; improved display of boss stage rewards.- Challenge "&amp;"interface optimized: an all-new interface with improved performance! Added displays for rewards and play progress.
- Fortress Looter improved: optimized the logic behind using challenge chances and display of tip bubbles.
- Equipment optimized: improved t"&amp;"he ""go to"" actions and interface displays of equipment-related pages.
- Gang Games improved: added a distributor skin reward for the champion; enhanced scoring rewards for the Legendary tier.
- Treasure Dig optimized: you can now view leaderboards after"&amp;" the event ends; improved display of play rules.")</f>
        <v>- New Fighter: Wildland Protector, Raymond. A master of both attack and defense, unequal in firepower! This is the mighty wildland protector revered by all!
- New in Fortress Takeover: new monsters, Cannonball Mutant, Bandit Invader; new building, Healing Tower; new skills, Cycle of Life, Line of Defense.
- New event "Space Race": calling all Gang members! Work together to win the limited-edition Distributor skin!
- New "Electron Enhancer" function: use batteries to unlock it in Electronic Technologies.
- Prepare to Launch event improved: optimized interface display and some quest rewards.
- Relic Achievement system optimized: power up Relics to get more rewards!
- Equipment Test Site improved: you can now collect more Steel Keys each period; improved the display of rewards in boss chests.- Fighter feature optimized: added sorting and filtering functions.
- Marches optimized: you can now jump to the march destination.
- Available queues optimized: improved the status display and action logic of various queues, you can now manage them more easily!
- Financial Plan improved: added a daily earnings preview.
- Razorteeth Hunters' art design optimized: colors of territory lines and march lines are more clearly displayed on the map.
- Chat rooms optimized: new "add or remove members" function added to chat rooms.
- Gang Research optimized: improved the performance of various technologies.
- Gear Expedition improved: added badge notification and previews; improved display of boss stage rewards.- Challenge interface optimized: an all-new interface with improved performance! Added displays for rewards and play progress.
- Fortress Looter improved: optimized the logic behind using challenge chances and display of tip bubbles.
- Equipment optimized: improved the "go to" actions and interface displays of equipment-related pages.
- Gang Games improved: added a distributor skin reward for the champion; enhanced scoring rewards for the Legendary tier.
- Treasure Dig optimized: you can now view leaderboards after the event ends; improved display of play rules.</v>
      </c>
      <c r="D40" s="148" t="str">
        <f>IFERROR(__xludf.DUMMYFUNCTION("""COMPUTED_VALUE"""),"- Nouveau Combattant : Protecteur des Terres sauvages, Raymond. Un maître de l'attaque et de la défense, inégalé en puissance de feu ! Voici le puissant protecteur des terres sauvages, vénéré par tous !
- Nouveautés dans l'Invasion de Forteresse : nouveau"&amp;"x monstres, Boulet de canon mutant, Bandit Envahisseur ; nouveau bâtiment, Tour de Soin ; nouvelles compétences, Cycle de Vie, Ligne de Défense.
- Nouvel événement ""Course à l'Espace"" : appel à tous les membres du Gang ! Travaillez ensemble pour gagner "&amp;"la peau de Distributeur en édition limitée !
- Nouvelle fonction ""Amplificateur d'Électrons"" : utilisez des batteries pour la débloquer dans les Technologies Électroniques.
- Amélioration de l'événement Préparez-vous à lancer : affichage de l'interface "&amp;"optimisé et certaines récompenses de quête.
- Système d'exploit des Reliques optimisé : renforcez les Reliques pour obtenir plus de récompenses !
- Site de Test d'Équipement amélioré : vous pouvez désormais collecter plus de Clés en acier à chaque période"&amp;" ; amélioration de l'affichage des récompenses dans les coffres de boss.- Optimisation de la fonctionnalité Combattant : ajout de fonctions de tri et de filtrage.
- Optimisation des marches : vous pouvez désormais sauter à la destination de la marche.
- O"&amp;"ptimisation des files d'attente disponibles : amélioration de l'affichage du statut et de la logique d'action de diverses files d'attente, vous pouvez désormais les gérer plus facilement !
- Amélioration du Plan financier : ajout d'un aperçu des gains quo"&amp;"tidiens.
- Optimisation de la conception artistique des Traqueurs Sabreurs : les couleurs des lignes de territoire et des lignes de marche sont plus clairement affichées sur la carte.
- Optimisation des salles de chat : nouvelle fonction ""ajouter ou supp"&amp;"rimer des membres"" ajoutée aux salles de chat.
- Optimisation de la Recherche de clan : amélioration des performances de diverses technologies.
- Amélioration de l'Expédition d'Équipement : ajout de notifications de badge et d'aperçus ; amélioration de l"&amp;"'affichage des récompenses de l'étape du boss.- Interface de défi optimisée : une toute nouvelle interface avec une performance améliorée ! Ajout d'affichages pour les récompenses et la progression de jeu.
- Pillage de forteresse amélioré : optimisation d"&amp;"e la logique derrière l'utilisation des chances de défi et l'affichage des bulles d'astuces.
- Équipement optimisé : amélioration des actions ""aller à"" et des affichages d'interface des pages liées à l'équipement.
- Jeux de gang améliorés : ajout d'une "&amp;"récompense de skin de distributeur pour le champion ; amélioration des récompenses de score pour le palier légendaire.
- Trésors enfouis optimisés : vous pouvez maintenant consulter les classements après la fin de l'évènement ; amélioration de l'affichage"&amp;" des règles de jeu.")</f>
        <v>- Nouveau Combattant : Protecteur des Terres sauvages, Raymond. Un maître de l'attaque et de la défense, inégalé en puissance de feu ! Voici le puissant protecteur des terres sauvages, vénéré par tous !
- Nouveautés dans l'Invasion de Forteresse : nouveaux monstres, Boulet de canon mutant, Bandit Envahisseur ; nouveau bâtiment, Tour de Soin ; nouvelles compétences, Cycle de Vie, Ligne de Défense.
- Nouvel événement "Course à l'Espace" : appel à tous les membres du Gang ! Travaillez ensemble pour gagner la peau de Distributeur en édition limitée !
- Nouvelle fonction "Amplificateur d'Électrons" : utilisez des batteries pour la débloquer dans les Technologies Électroniques.
- Amélioration de l'événement Préparez-vous à lancer : affichage de l'interface optimisé et certaines récompenses de quête.
- Système d'exploit des Reliques optimisé : renforcez les Reliques pour obtenir plus de récompenses !
- Site de Test d'Équipement amélioré : vous pouvez désormais collecter plus de Clés en acier à chaque période ; amélioration de l'affichage des récompenses dans les coffres de boss.- Optimisation de la fonctionnalité Combattant : ajout de fonctions de tri et de filtrage.
- Optimisation des marches : vous pouvez désormais sauter à la destination de la marche.
- Optimisation des files d'attente disponibles : amélioration de l'affichage du statut et de la logique d'action de diverses files d'attente, vous pouvez désormais les gérer plus facilement !
- Amélioration du Plan financier : ajout d'un aperçu des gains quotidiens.
- Optimisation de la conception artistique des Traqueurs Sabreurs : les couleurs des lignes de territoire et des lignes de marche sont plus clairement affichées sur la carte.
- Optimisation des salles de chat : nouvelle fonction "ajouter ou supprimer des membres" ajoutée aux salles de chat.
- Optimisation de la Recherche de clan : amélioration des performances de diverses technologies.
- Amélioration de l'Expédition d'Équipement : ajout de notifications de badge et d'aperçus ; amélioration de l'affichage des récompenses de l'étape du boss.- Interface de défi optimisée : une toute nouvelle interface avec une performance améliorée ! Ajout d'affichages pour les récompenses et la progression de jeu.
- Pillage de forteresse amélioré : optimisation de la logique derrière l'utilisation des chances de défi et l'affichage des bulles d'astuces.
- Équipement optimisé : amélioration des actions "aller à" et des affichages d'interface des pages liées à l'équipement.
- Jeux de gang améliorés : ajout d'une récompense de skin de distributeur pour le champion ; amélioration des récompenses de score pour le palier légendaire.
- Trésors enfouis optimisés : vous pouvez maintenant consulter les classements après la fin de l'évènement ; amélioration de l'affichage des règles de jeu.</v>
      </c>
      <c r="E40" s="148" t="str">
        <f>IFERROR(__xludf.DUMMYFUNCTION("""COMPUTED_VALUE"""),"- Neuer Kämpfer: Wildland-Beschützer, Raymond. Ein Meister sowohl im Angriff als auch in der Verteidigung, unübertroffen in Feuerkraft! Das ist der mächtige Wildland-Beschützer, der von allen verehrt wird!
- Neu bei Festungsübernahme: neue Monster, Kanone"&amp;"nkugel-Mutant, Bandit Invasor; neues Gebäude, Heilturm; neue Fähigkeiten, Lebenszyklus, Verteidigungslinie.
- Neues Event ""Wettlauf ins All"": Ruft alle Clan-Mitglieder! Arbeitet zusammen, um die limitierte Verteiler-Skin zu gewinnen!
- Neue ""Elektron-V"&amp;"erbesserer"" Funktion: Benutze Batterien, um es in Elektronischen Technologien freizuschalten.
- Startvorbereitung-Event verbessert: optimierte Anzeige der Benutzeroberfläche und einige Quest-Belohnungen.
- Relikt-Erfolgssystem optimiert: Verbessere Relik"&amp;"te, um mehr Belohnungen zu erhalten!
- Ausrüstungs-Testgelände verbessert: Du kannst jetzt mehr Stahlschlüssel pro Zeitraum sammeln; verbesserte Anzeige von Belohnungen in Boss-Truhen.- Kämpferfunktion optimiert: Sortier- und Filterfunktionen hinzugefügt."&amp;"
- Märsche optimiert: Sie können jetzt zum Marschziel springen.
- Verfügbare Warteschlangen optimiert: Verbesserte Statusanzeige und Aktionslogik verschiedener Warteschlangen, Sie können sie jetzt leichter verwalten!
- Finanzplan verbessert: Tägliche Gewi"&amp;"nnvorschau hinzugefügt.
- Kunst-Design der Geifernden Totemjäger optimiert: Farben von Territoriumslinien und Marschlinien werden auf der Karte deutlicher angezeigt.
- Chaträume optimiert: Neue Funktion ""Mitglieder hinzufügen oder entfernen"" zu Chaträum"&amp;"en hinzugefügt.
- Clan-Forschung optimiert: Leistung verschiedener Technologien verbessert.
- Ausrüstungsexpedition verbessert: Abzeichenbenachrichtigung und Vorschauen hinzugefügt; verbesserte Anzeige von Boss-Stufen-Belohnungen.- Herausforderungs-Interf"&amp;"ace optimiert: eine komplett neue Benutzeroberfläche mit verbesserter Leistung! Hinzugefügte Anzeigen für Belohnungen und Spiel-Fortschritt.
- Festungs-Plünderer verbessert: optimierte die Logik hinter der Nutzung von Herausforderungs-Chancen und der Anze"&amp;"ige von Tipp-Blasen.
- Ausrüstung optimiert: verbesserte die ""gehe zu"" Aktionen und Benutzeroberflächen-Anzeigen von ausrüstungsbezogenen Seiten.
- Clan-Spiele verbessert: hinzugefügt eines Verteiler-Skin-Belohnung für den Champion; verbesserte Punkte-B"&amp;"elohnungen für die Legendäre Stufe.
- Schatzsuche optimiert: Du kannst nun Ranglisten nach dem Ende des Events einsehen; verbesserte Anzeige der Spielregeln.")</f>
        <v>- Neuer Kämpfer: Wildland-Beschützer, Raymond. Ein Meister sowohl im Angriff als auch in der Verteidigung, unübertroffen in Feuerkraft! Das ist der mächtige Wildland-Beschützer, der von allen verehrt wird!
- Neu bei Festungsübernahme: neue Monster, Kanonenkugel-Mutant, Bandit Invasor; neues Gebäude, Heilturm; neue Fähigkeiten, Lebenszyklus, Verteidigungslinie.
- Neues Event "Wettlauf ins All": Ruft alle Clan-Mitglieder! Arbeitet zusammen, um die limitierte Verteiler-Skin zu gewinnen!
- Neue "Elektron-Verbesserer" Funktion: Benutze Batterien, um es in Elektronischen Technologien freizuschalten.
- Startvorbereitung-Event verbessert: optimierte Anzeige der Benutzeroberfläche und einige Quest-Belohnungen.
- Relikt-Erfolgssystem optimiert: Verbessere Relikte, um mehr Belohnungen zu erhalten!
- Ausrüstungs-Testgelände verbessert: Du kannst jetzt mehr Stahlschlüssel pro Zeitraum sammeln; verbesserte Anzeige von Belohnungen in Boss-Truhen.- Kämpferfunktion optimiert: Sortier- und Filterfunktionen hinzugefügt.
- Märsche optimiert: Sie können jetzt zum Marschziel springen.
- Verfügbare Warteschlangen optimiert: Verbesserte Statusanzeige und Aktionslogik verschiedener Warteschlangen, Sie können sie jetzt leichter verwalten!
- Finanzplan verbessert: Tägliche Gewinnvorschau hinzugefügt.
- Kunst-Design der Geifernden Totemjäger optimiert: Farben von Territoriumslinien und Marschlinien werden auf der Karte deutlicher angezeigt.
- Chaträume optimiert: Neue Funktion "Mitglieder hinzufügen oder entfernen" zu Chaträumen hinzugefügt.
- Clan-Forschung optimiert: Leistung verschiedener Technologien verbessert.
- Ausrüstungsexpedition verbessert: Abzeichenbenachrichtigung und Vorschauen hinzugefügt; verbesserte Anzeige von Boss-Stufen-Belohnungen.- Herausforderungs-Interface optimiert: eine komplett neue Benutzeroberfläche mit verbesserter Leistung! Hinzugefügte Anzeigen für Belohnungen und Spiel-Fortschritt.
- Festungs-Plünderer verbessert: optimierte die Logik hinter der Nutzung von Herausforderungs-Chancen und der Anzeige von Tipp-Blasen.
- Ausrüstung optimiert: verbesserte die "gehe zu" Aktionen und Benutzeroberflächen-Anzeigen von ausrüstungsbezogenen Seiten.
- Clan-Spiele verbessert: hinzugefügt eines Verteiler-Skin-Belohnung für den Champion; verbesserte Punkte-Belohnungen für die Legendäre Stufe.
- Schatzsuche optimiert: Du kannst nun Ranglisten nach dem Ende des Events einsehen; verbesserte Anzeige der Spielregeln.</v>
      </c>
      <c r="F40" s="148" t="str">
        <f>IFERROR(__xludf.DUMMYFUNCTION("""COMPUTED_VALUE"""),"- Novo Combatente: Protetor das Terras Selvagens, Raymond. Um mestre tanto no ataque quanto na defesa, incomparável em poder de fogo! Este é o poderoso protetor das terras selvagens reverenciado por todos!
- Novidades na Conquista da Fortaleza: novos mons"&amp;"tros, Bola de Canhão Mutante, Bandido Invasor; novo edifício, Torre de Cura; novas habilidades, Ciclo da Vida, Linha de Defesa.
- Novo evento ""Corrida Espacial"": chamando todos os membros da Gangue! Trabalhem juntos para ganhar a skin de Distribuidor de"&amp;" edição limitada!
- Nova função ""Intensificador de Elétrons"": use pilhas para desbloqueá-la nas Tecnologias Eletrônicas.
- Evento Prepare-se para Lançar melhorado: exibição de interface otimizada e algumas recompensas de missão.
- Sistema de Conquista d"&amp;"e Relíquias otimizado: aumente o poder das relíquias para obter mais recompensas!
- Local de Teste de Equipamento melhorado: agora você pode coletar mais Chaves de Aço a cada período; melhorou a exibição de recompensas nos baús do chefe.- Otimização de re"&amp;"cursos do Combatente: adicionadas funções de classificação e filtragem.
- Marchas otimizadas: agora você pode pular para o destino da marcha.
- Filas disponíveis otimizadas: melhorada a exibição de status e lógica de ação de várias filas, agora você pode "&amp;"gerenciá-las com mais facilidade!
- Plano Financeiro aprimorado: adicionada uma pré-visualização dos ganhos diários.
- Design de arte dos Caçadores Dentesserra otimizado: as cores das linhas de território e das linhas de marcha são exibidas de forma mais "&amp;"clara no mapa.
- Salas de bate-papo otimizadas: nova função ""adicionar ou remover membros"" adicionada às salas de bate-papo.
- Pesquisa da gangue otimizada: melhorou o desempenho de várias tecnologias.
- Expedição de Equipamento aprimorada: adicionada n"&amp;"otificação de emblema e pré-visualizações; melhorada a exibição das recompensas da fase do chefe.- Otimização da interface do desafio: uma nova interface com desempenho aprimorado! Adicionadas exibições de recompensas e progresso do jogo.
- Saque de Forta"&amp;"lezas melhorado: otimizada a lógica por trás do uso de chances de desafio e exibição de dicas em balões.
- Equipamento otimizado: melhoradas as ações de ""ir para"" e exibições de interface das páginas relacionadas ao equipamento.
- Jogos de Gangue melhor"&amp;"ados: adicionada uma recompensa de skin de distribuidor para o campeão; recompensas de pontuação aprimoradas para o nível Lendário.
- Escavação de Tesouros otimizada: agora você pode visualizar as tabelas de classificação após o término do evento; exibiçã"&amp;"o aprimorada das regras do jogo.")</f>
        <v>- Novo Combatente: Protetor das Terras Selvagens, Raymond. Um mestre tanto no ataque quanto na defesa, incomparável em poder de fogo! Este é o poderoso protetor das terras selvagens reverenciado por todos!
- Novidades na Conquista da Fortaleza: novos monstros, Bola de Canhão Mutante, Bandido Invasor; novo edifício, Torre de Cura; novas habilidades, Ciclo da Vida, Linha de Defesa.
- Novo evento "Corrida Espacial": chamando todos os membros da Gangue! Trabalhem juntos para ganhar a skin de Distribuidor de edição limitada!
- Nova função "Intensificador de Elétrons": use pilhas para desbloqueá-la nas Tecnologias Eletrônicas.
- Evento Prepare-se para Lançar melhorado: exibição de interface otimizada e algumas recompensas de missão.
- Sistema de Conquista de Relíquias otimizado: aumente o poder das relíquias para obter mais recompensas!
- Local de Teste de Equipamento melhorado: agora você pode coletar mais Chaves de Aço a cada período; melhorou a exibição de recompensas nos baús do chefe.- Otimização de recursos do Combatente: adicionadas funções de classificação e filtragem.
- Marchas otimizadas: agora você pode pular para o destino da marcha.
- Filas disponíveis otimizadas: melhorada a exibição de status e lógica de ação de várias filas, agora você pode gerenciá-las com mais facilidade!
- Plano Financeiro aprimorado: adicionada uma pré-visualização dos ganhos diários.
- Design de arte dos Caçadores Dentesserra otimizado: as cores das linhas de território e das linhas de marcha são exibidas de forma mais clara no mapa.
- Salas de bate-papo otimizadas: nova função "adicionar ou remover membros" adicionada às salas de bate-papo.
- Pesquisa da gangue otimizada: melhorou o desempenho de várias tecnologias.
- Expedição de Equipamento aprimorada: adicionada notificação de emblema e pré-visualizações; melhorada a exibição das recompensas da fase do chefe.- Otimização da interface do desafio: uma nova interface com desempenho aprimorado! Adicionadas exibições de recompensas e progresso do jogo.
- Saque de Fortalezas melhorado: otimizada a lógica por trás do uso de chances de desafio e exibição de dicas em balões.
- Equipamento otimizado: melhoradas as ações de "ir para" e exibições de interface das páginas relacionadas ao equipamento.
- Jogos de Gangue melhorados: adicionada uma recompensa de skin de distribuidor para o campeão; recompensas de pontuação aprimoradas para o nível Lendário.
- Escavação de Tesouros otimizada: agora você pode visualizar as tabelas de classificação após o término do evento; exibição aprimorada das regras do jogo.</v>
      </c>
      <c r="G40" s="148" t="str">
        <f>IFERROR(__xludf.DUMMYFUNCTION("""COMPUTED_VALUE"""),"-新增鬥士：荒野守護者雷蒙德，攻防兼備，火力全開，讓所有猿猴敬畏的荒野守護者來了！
-堡壘對決新增怪物砲彈狂猿、入侵暴徒；新增建築物療愈塔；新增技能生命輪轉、鋼鐵防線。
-新增活動“航天奪魁”：幫派全員參與，爭奪限量配送站外觀！
-新增“電能強化”功能，可在電子科技中通過消耗電池開啟。
-發射準備活動優化：優化了活動的界面展示和部分任務積分獎勵。
-收藏品成就係統優化：提升收藏品戰力，可領取更多獎勵。
-戰裝試煉場優化：增加了每週期可領取的鐵質發條道具，並且優化了Boss寶箱的獎勵顯示。 -鬥士系統優化："&amp;"新增鬥士排序和篩選的功能。
-行軍系統優化：新增行軍目的地跳轉功能。
-空閒隊列優化：優化了不同隊列的狀態展示以及操作邏輯，現在可以更方便地管理隊列了！
-投資計劃優化：新增每日收益預覽。
-黑色氏族美術表現優化：大地圖黑色氏族領土分界線、行軍線顏色更加明顯。
-聊天組優化：多人聊天組優化，新增“添加或刪除成員”功能。
-幫派科技優化：優化多種科研狀態的表現。
-軍備遠征優化：增加軍備遠征相關紅點提示、預告，優化BOSS關卡獎勵展示。 -挑戰界面優化：全新挑戰界面，表現力提升！同時增加了獎勵和玩法進度的展"&amp;"示。
-堡壘競奪優化：優化堡壘競奪次數消耗邏輯，氣泡提示的顯示邏輯。
-戰裝優化：優化了戰裝相關界面跳轉邏輯、界面表現。
-幫派運動會優化：新增了冠軍旗幟獎勵，添加了傳說段位中的積分獎勵。
-地下探寶活動優化：活動結束後可以查看排行榜，優化了玩法規則顯示。 ")</f>
        <v>-新增鬥士：荒野守護者雷蒙德，攻防兼備，火力全開，讓所有猿猴敬畏的荒野守護者來了！
-堡壘對決新增怪物砲彈狂猿、入侵暴徒；新增建築物療愈塔；新增技能生命輪轉、鋼鐵防線。
-新增活動“航天奪魁”：幫派全員參與，爭奪限量配送站外觀！
-新增“電能強化”功能，可在電子科技中通過消耗電池開啟。
-發射準備活動優化：優化了活動的界面展示和部分任務積分獎勵。
-收藏品成就係統優化：提升收藏品戰力，可領取更多獎勵。
-戰裝試煉場優化：增加了每週期可領取的鐵質發條道具，並且優化了Boss寶箱的獎勵顯示。 -鬥士系統優化：新增鬥士排序和篩選的功能。
-行軍系統優化：新增行軍目的地跳轉功能。
-空閒隊列優化：優化了不同隊列的狀態展示以及操作邏輯，現在可以更方便地管理隊列了！
-投資計劃優化：新增每日收益預覽。
-黑色氏族美術表現優化：大地圖黑色氏族領土分界線、行軍線顏色更加明顯。
-聊天組優化：多人聊天組優化，新增“添加或刪除成員”功能。
-幫派科技優化：優化多種科研狀態的表現。
-軍備遠征優化：增加軍備遠征相關紅點提示、預告，優化BOSS關卡獎勵展示。 -挑戰界面優化：全新挑戰界面，表現力提升！同時增加了獎勵和玩法進度的展示。
-堡壘競奪優化：優化堡壘競奪次數消耗邏輯，氣泡提示的顯示邏輯。
-戰裝優化：優化了戰裝相關界面跳轉邏輯、界面表現。
-幫派運動會優化：新增了冠軍旗幟獎勵，添加了傳說段位中的積分獎勵。
-地下探寶活動優化：活動結束後可以查看排行榜，優化了玩法規則顯示。 </v>
      </c>
      <c r="H40" s="148" t="str">
        <f>IFERROR(__xludf.DUMMYFUNCTION("""COMPUTED_VALUE"""),"- Pejuang Baru: Pelindung Alam Liar, Raymond. Seorang ahli dalam serangan dan pertahanan, tak tertandingi dalam kekuatan tembakan! Inilah pelindung alam liar yang perkasa yang dihormati oleh semua orang!
- Baru dalam Penaklukan Benteng: monster baru, Bola"&amp;" Meriam Mutan, Bandit Penyerbu; bangunan baru, Menara Penyembuhan; keterampilan baru, Siklus Kehidupan, Pertahanan Prajurit.
- Acara baru ""Balap Luar Angkasa"": Semua anggota ikut serta! Rebut tampilan Distributor terbatas!
- Fungsi baru ""Perkuat Elektr"&amp;"on"": gunakan baterai untuk membukanya di Teknologi Elektronik.
- Persiapan untuk acara Peluncuran ditingkatkan: tampilan antarmuka yang dioptimalkan dan beberapa hadiah tantangan.
- Sistem Pencapaian Relik dioptimalkan: tingkatkan Relik untuk mendapatkan"&amp;" lebih banyak hadiah!
- Arena Trial Perlengkapan ditingkatkan: Anda sekarang dapat mengumpulkan lebih banyak Kunci Besi setiap periode; meningkatkan tampilan hadiah dalam peti bos.- Fitur Pejuang dioptimalkan: menambahkan fungsi pengurutan dan penyaringan"&amp;".
- Berbaris dioptimalkan: sekarang Anda dapat melompat ke tujuan berbaris.
- Antrean tersedia dioptimalkan: meningkatkan tampilan status dan logika aksi dari berbagai antrean, sekarang Anda dapat mengelolanya lebih mudah!
- Rencana Keuangan ditingkatkan:"&amp;" menambahkan pratinjau penghasilan harian.
- Desain seni Pemburu Bergigi Tajam dioptimalkan: warna garis wilayah dan garis berbaris lebih jelas ditampilkan di peta.
- Ruang obrolan dioptimalkan: fungsi baru ""tambahkan atau hapus anggota"" ditambahkan ke "&amp;"ruang obrolan.
- Penelitian Geng dioptimalkan: meningkatkan kinerja berbagai teknologi.
- Ekspedisi Perlengkapan ditingkatkan: menambahkan notifikasi lencana dan pratinjau; meningkatkan tampilan hadiah tahap bos.- Antarmuka tantangan dioptimalkan: antarmu"&amp;"ka baru yang ditingkatkan performanya! Menambahkan tampilan untuk hadiah dan kemajuan bermain.
- Penjarahan Benteng ditingkatkan: mengoptimalkan logika penggunaan kesempatan tantangan dan tampilan gelembung tip.
- Perlengkapan dioptimalkan: meningkatkan t"&amp;"indakan ""buka"" dan tampilan antarmuka halaman terkait perlengkapan.
- Permainan Geng ditingkatkan: menambahkan hadiah kulit distributor untuk juara; meningkatkan hadiah skor untuk tingkat Legendaris.
- Gali Harta dioptimalkan: sekarang Anda dapat meliha"&amp;"t papan peringkat setelah acara berakhir; meningkatkan tampilan aturan bermain.")</f>
        <v>- Pejuang Baru: Pelindung Alam Liar, Raymond. Seorang ahli dalam serangan dan pertahanan, tak tertandingi dalam kekuatan tembakan! Inilah pelindung alam liar yang perkasa yang dihormati oleh semua orang!
- Baru dalam Penaklukan Benteng: monster baru, Bola Meriam Mutan, Bandit Penyerbu; bangunan baru, Menara Penyembuhan; keterampilan baru, Siklus Kehidupan, Pertahanan Prajurit.
- Acara baru "Balap Luar Angkasa": Semua anggota ikut serta! Rebut tampilan Distributor terbatas!
- Fungsi baru "Perkuat Elektron": gunakan baterai untuk membukanya di Teknologi Elektronik.
- Persiapan untuk acara Peluncuran ditingkatkan: tampilan antarmuka yang dioptimalkan dan beberapa hadiah tantangan.
- Sistem Pencapaian Relik dioptimalkan: tingkatkan Relik untuk mendapatkan lebih banyak hadiah!
- Arena Trial Perlengkapan ditingkatkan: Anda sekarang dapat mengumpulkan lebih banyak Kunci Besi setiap periode; meningkatkan tampilan hadiah dalam peti bos.- Fitur Pejuang dioptimalkan: menambahkan fungsi pengurutan dan penyaringan.
- Berbaris dioptimalkan: sekarang Anda dapat melompat ke tujuan berbaris.
- Antrean tersedia dioptimalkan: meningkatkan tampilan status dan logika aksi dari berbagai antrean, sekarang Anda dapat mengelolanya lebih mudah!
- Rencana Keuangan ditingkatkan: menambahkan pratinjau penghasilan harian.
- Desain seni Pemburu Bergigi Tajam dioptimalkan: warna garis wilayah dan garis berbaris lebih jelas ditampilkan di peta.
- Ruang obrolan dioptimalkan: fungsi baru "tambahkan atau hapus anggota" ditambahkan ke ruang obrolan.
- Penelitian Geng dioptimalkan: meningkatkan kinerja berbagai teknologi.
- Ekspedisi Perlengkapan ditingkatkan: menambahkan notifikasi lencana dan pratinjau; meningkatkan tampilan hadiah tahap bos.- Antarmuka tantangan dioptimalkan: antarmuka baru yang ditingkatkan performanya! Menambahkan tampilan untuk hadiah dan kemajuan bermain.
- Penjarahan Benteng ditingkatkan: mengoptimalkan logika penggunaan kesempatan tantangan dan tampilan gelembung tip.
- Perlengkapan dioptimalkan: meningkatkan tindakan "buka" dan tampilan antarmuka halaman terkait perlengkapan.
- Permainan Geng ditingkatkan: menambahkan hadiah kulit distributor untuk juara; meningkatkan hadiah skor untuk tingkat Legendaris.
- Gali Harta dioptimalkan: sekarang Anda dapat melihat papan peringkat setelah acara berakhir; meningkatkan tampilan aturan bermain.</v>
      </c>
      <c r="I40" s="148" t="str">
        <f>IFERROR(__xludf.DUMMYFUNCTION("""COMPUTED_VALUE"""),"- นักสู้ตัวใหม่: ผู้พิทักษ์แดนเถื่อน, เรย์มอนด์ ผู้เชี่ยวชาญทั้งในการโจมตีและป้องกัน ไม่มีใครเทียบได้ในพลังกระสุน! นี่คือผู้พิทักษ์แดนเถื่อนที่ทรงพลังและได้รับความเคารพจากทุกคน!
- ใหม่ในการยึดป้อมปราการ: มอนสเตอร์ใหม่, ลูกกระสุนปืนใหญ่มิวแตนต์, แบนดิตผู้ร"&amp;"ุกราน; อาคารใหม่, หอรักษา; ทักษะใหม่, วงจรชีวิต, แนวป้องกัน
- กิจกรรมใหม่ ""การประชิดชิงอวกาศ"": เข้าร่วมทุกคน! แข่งขันเพื่อคว้าสกินหอกระจายแร่จำนวนจำกัด!
- ฟังก์ชัน ""ตัวเสริมอิเลคตรอน"" ใหม่: ใช้แบตเตอรี่เพื่อปลดล็อกในเทคโนโลยีอิเล็กทรอนิกส์
- กิจกรรมเต"&amp;"รียมเปิดตัวที่ปรับปรุง: ปรับปรุงการแสดงผลของอินเตอร์เฟซและรางวัลเควสบางอย่าง
- ระบบความสำเร็จของวัตถุโบราณถูกปรับปรุง: เพิ่มพลังวัตถุโบราณเพื่อรับรางวัลมากขึ้น!
- สนามทดสอบอุปกรณ์ที่ปรับปรุง: คุณสามารถเก็บกุญแจเหล็กเพิ่มเติมในแต่ละรอบ; ปรับปรุงการแสดงผลขอ"&amp;"งรางวัลในกล่องบอส""- คุณสมบัตินักสู้ถูกปรับปรุง: เพิ่มฟังก์ชันเรียงลำดับและกรอง
- การเดินทัพถูกปรับปรุง: คุณสามารถกระโดดไปยังปลายทางของการเดินทัพ
- คิวที่พร้อมใช้งานถูกปรับปรุง: ปรับปรุงการแสดงสถานะและตรรกะการกระทำของคิวต่าง ๆ คุณสามารถจัดการได้ง่ายขึ้น!
"&amp;"- แผนการเงินถูกปรับปรุง: เพิ่มตัวอย่างรายได้ประจำวัน
- ออกแบบศิลปะของนักล่าฟันมีดโกนถูกปรับปรุง: สีของเส้นเขตและเส้นการเดินทัพแสดงบนแผนที่ชัดเจนขึ้น
- ห้องแชทถูกปรับปรุง: เพิ่มฟังก์ชัน ""เพิ่มหรือนำสมาชิกออก"" ในห้องแชท
- การวิจัยแก๊งค์ถูกปรับปรุง: ปรับปร"&amp;"ุงประสิทธิภาพของเทคโนโลยีต่าง ๆ
- การสำรวจอาวุธถูกปรับปรุง: เพิ่มการแจ้งเตือนแบดจ์และตัวอย่าง; ปรับปรุงการแสดงผลของรางวัลด่านบอส- การปรับปรุงอินเตอร์เฟซการท้าทาย: อินเตอร์เฟซใหม่ทั้งหมดพร้อมประสิทธิภาพที่ปรับปรุงแล้ว! เพิ่มการแสดงผลสำหรับรางวัลและความคืบห"&amp;"น้าในการเล่น.
- ปรับปรุง ปล้นป้อมปราการ: ปรับปรุงตรรกะในการใช้โอกาสท้าทายและการแสดงของฟองเคล็ดลับ.
- ปรับปรุงอุปกรณ์: ปรับปรุงการกระทำ ""ไปที่"" และการแสดงผลของอินเตอร์เฟซในหน้าที่เกี่ยวข้องกับอุปกรณ์.
- ปรับปรุงเกมแก๊ง: เพิ่มรางวัลสกินผู้แจกแจงสำหรับแชมป"&amp;"์; เพิ่มคะแนนรางวัลสำหรับระดับตำนาน.
- ปรับปรุงล่าสมบัติใต้ดิน: คุณสามารถดูอันดับหลังจากที่กิจกรรมจบแล้ว; ปรับปรุงการแสดงผลของกติกาการเล่น.")</f>
        <v>- นักสู้ตัวใหม่: ผู้พิทักษ์แดนเถื่อน, เรย์มอนด์ ผู้เชี่ยวชาญทั้งในการโจมตีและป้องกัน ไม่มีใครเทียบได้ในพลังกระสุน! นี่คือผู้พิทักษ์แดนเถื่อนที่ทรงพลังและได้รับความเคารพจากทุกคน!
- ใหม่ในการยึดป้อมปราการ: มอนสเตอร์ใหม่, ลูกกระสุนปืนใหญ่มิวแตนต์, แบนดิตผู้รุกราน; อาคารใหม่, หอรักษา; ทักษะใหม่, วงจรชีวิต, แนวป้องกัน
- กิจกรรมใหม่ "การประชิดชิงอวกาศ": เข้าร่วมทุกคน! แข่งขันเพื่อคว้าสกินหอกระจายแร่จำนวนจำกัด!
- ฟังก์ชัน "ตัวเสริมอิเลคตรอน" ใหม่: ใช้แบตเตอรี่เพื่อปลดล็อกในเทคโนโลยีอิเล็กทรอนิกส์
- กิจกรรมเตรียมเปิดตัวที่ปรับปรุง: ปรับปรุงการแสดงผลของอินเตอร์เฟซและรางวัลเควสบางอย่าง
- ระบบความสำเร็จของวัตถุโบราณถูกปรับปรุง: เพิ่มพลังวัตถุโบราณเพื่อรับรางวัลมากขึ้น!
- สนามทดสอบอุปกรณ์ที่ปรับปรุง: คุณสามารถเก็บกุญแจเหล็กเพิ่มเติมในแต่ละรอบ; ปรับปรุงการแสดงผลของรางวัลในกล่องบอส"- คุณสมบัตินักสู้ถูกปรับปรุง: เพิ่มฟังก์ชันเรียงลำดับและกรอง
- การเดินทัพถูกปรับปรุง: คุณสามารถกระโดดไปยังปลายทางของการเดินทัพ
- คิวที่พร้อมใช้งานถูกปรับปรุง: ปรับปรุงการแสดงสถานะและตรรกะการกระทำของคิวต่าง ๆ คุณสามารถจัดการได้ง่ายขึ้น!
- แผนการเงินถูกปรับปรุง: เพิ่มตัวอย่างรายได้ประจำวัน
- ออกแบบศิลปะของนักล่าฟันมีดโกนถูกปรับปรุง: สีของเส้นเขตและเส้นการเดินทัพแสดงบนแผนที่ชัดเจนขึ้น
- ห้องแชทถูกปรับปรุง: เพิ่มฟังก์ชัน "เพิ่มหรือนำสมาชิกออก" ในห้องแชท
- การวิจัยแก๊งค์ถูกปรับปรุง: ปรับปรุงประสิทธิภาพของเทคโนโลยีต่าง ๆ
- การสำรวจอาวุธถูกปรับปรุง: เพิ่มการแจ้งเตือนแบดจ์และตัวอย่าง; ปรับปรุงการแสดงผลของรางวัลด่านบอส- การปรับปรุงอินเตอร์เฟซการท้าทาย: อินเตอร์เฟซใหม่ทั้งหมดพร้อมประสิทธิภาพที่ปรับปรุงแล้ว! เพิ่มการแสดงผลสำหรับรางวัลและความคืบหน้าในการเล่น.
- ปรับปรุง ปล้นป้อมปราการ: ปรับปรุงตรรกะในการใช้โอกาสท้าทายและการแสดงของฟองเคล็ดลับ.
- ปรับปรุงอุปกรณ์: ปรับปรุงการกระทำ "ไปที่" และการแสดงผลของอินเตอร์เฟซในหน้าที่เกี่ยวข้องกับอุปกรณ์.
- ปรับปรุงเกมแก๊ง: เพิ่มรางวัลสกินผู้แจกแจงสำหรับแชมป์; เพิ่มคะแนนรางวัลสำหรับระดับตำนาน.
- ปรับปรุงล่าสมบัติใต้ดิน: คุณสามารถดูอันดับหลังจากที่กิจกรรมจบแล้ว; ปรับปรุงการแสดงผลของกติกาการเล่น.</v>
      </c>
      <c r="J40" s="148" t="str">
        <f>IFERROR(__xludf.DUMMYFUNCTION("""COMPUTED_VALUE"""),"- Nuevo Luchador: Protector de Tierras Salvajes, Raymond. ¡Un maestro tanto en ataque como en defensa, inigualable en potencia de fuego! ¡Este es el poderoso protector de las tierras salvajes venerado por todos!
- Novedades en la Toma de la Fortaleza: nue"&amp;"vos monstruos, Bola de Cañón Mutante, Bandido Invasor; nuevo edificio, Torre de Curación; nuevas habilidades, Ciclo de la Vida, Línea de Defensa.
- Nuevo evento ""Carrera Espacial"": ¡llamando a todos los miembros de la Banda! ¡Trabajen juntos para ganar "&amp;"la apariencia de Distribuidor de edición limitada!
- Nueva función ""Potenciador de Electrones"": utiliza baterías para desbloquearla en Tecnologías Electrónicas.
- Evento Prepararse para el Lanzamiento mejorado: visualización de la interfaz optimizada y "&amp;"algunas recompensas de misiones.
- Sistema de Logros de Reliquias optimizado: ¡aumenta el poder de las Reliquias para obtener más recompensas!
- Sitio de Prueba de Equipos mejorado: ahora puedes recolectar más Llaves de Acero en cada período; mejorada la "&amp;"visualización de recompensas en los cofres de jefes.- Optimización de la función de Luchador: se agregaron funciones de clasificación y filtrado.
- Marchas optimizadas: ahora puedes saltar al destino de la marcha.
- Colas disponibles optimizadas: se mejor"&amp;"ó la visualización del estado y la lógica de acción de varias colas, ¡ahora puedes administrarlas más fácilmente!
- Plan financiero mejorado: se agregó una vista previa de las ganancias diarias.
- Diseño artístico de Cazadores de Navaja optimizado: los co"&amp;"lores de las líneas de territorio y las líneas de marcha se muestran más claramente en el mapa.
- Salas de chat optimizadas: nueva función de ""agregar o eliminar miembros"" agregada a las salas de chat.
- Investigación de Banda optimizada: se mejoró el r"&amp;"endimiento de varias tecnologías.
- Expedición de Equipos mejorada: se agregaron notificaciones de insignias y vistas previas; se mejoró la visualización de las recompensas de la etapa del jefe.- Interfaz de desafío optimizada: ¡una interfaz completamente"&amp;" nueva con un rendimiento mejorado! Se agregaron pantallas para recompensas y progreso del juego.
- Saqueador de la Fortaleza mejorado: optimizada la lógica detrás del uso de oportunidades de desafío y la visualización de burbujas de consejos.
- Equipo op"&amp;"timizado: mejoradas las acciones de ""ir a"" y las visualizaciones de interfaz de las páginas relacionadas con el equipo.
- Juegos de Banda mejorados: se agregó una recompensa de apariencia de distribuidor para el campeón; recompensas de puntuación mejora"&amp;"das para el nivel Legendario.
- Excavación del Tesoro optimizada: ahora puedes ver las clasificaciones después de que finalice el evento; visualización mejorada de las reglas del juego.")</f>
        <v>- Nuevo Luchador: Protector de Tierras Salvajes, Raymond. ¡Un maestro tanto en ataque como en defensa, inigualable en potencia de fuego! ¡Este es el poderoso protector de las tierras salvajes venerado por todos!
- Novedades en la Toma de la Fortaleza: nuevos monstruos, Bola de Cañón Mutante, Bandido Invasor; nuevo edificio, Torre de Curación; nuevas habilidades, Ciclo de la Vida, Línea de Defensa.
- Nuevo evento "Carrera Espacial": ¡llamando a todos los miembros de la Banda! ¡Trabajen juntos para ganar la apariencia de Distribuidor de edición limitada!
- Nueva función "Potenciador de Electrones": utiliza baterías para desbloquearla en Tecnologías Electrónicas.
- Evento Prepararse para el Lanzamiento mejorado: visualización de la interfaz optimizada y algunas recompensas de misiones.
- Sistema de Logros de Reliquias optimizado: ¡aumenta el poder de las Reliquias para obtener más recompensas!
- Sitio de Prueba de Equipos mejorado: ahora puedes recolectar más Llaves de Acero en cada período; mejorada la visualización de recompensas en los cofres de jefes.- Optimización de la función de Luchador: se agregaron funciones de clasificación y filtrado.
- Marchas optimizadas: ahora puedes saltar al destino de la marcha.
- Colas disponibles optimizadas: se mejoró la visualización del estado y la lógica de acción de varias colas, ¡ahora puedes administrarlas más fácilmente!
- Plan financiero mejorado: se agregó una vista previa de las ganancias diarias.
- Diseño artístico de Cazadores de Navaja optimizado: los colores de las líneas de territorio y las líneas de marcha se muestran más claramente en el mapa.
- Salas de chat optimizadas: nueva función de "agregar o eliminar miembros" agregada a las salas de chat.
- Investigación de Banda optimizada: se mejoró el rendimiento de varias tecnologías.
- Expedición de Equipos mejorada: se agregaron notificaciones de insignias y vistas previas; se mejoró la visualización de las recompensas de la etapa del jefe.- Interfaz de desafío optimizada: ¡una interfaz completamente nueva con un rendimiento mejorado! Se agregaron pantallas para recompensas y progreso del juego.
- Saqueador de la Fortaleza mejorado: optimizada la lógica detrás del uso de oportunidades de desafío y la visualización de burbujas de consejos.
- Equipo optimizado: mejoradas las acciones de "ir a" y las visualizaciones de interfaz de las páginas relacionadas con el equipo.
- Juegos de Banda mejorados: se agregó una recompensa de apariencia de distribuidor para el campeón; recompensas de puntuación mejoradas para el nivel Legendario.
- Excavación del Tesoro optimizada: ahora puedes ver las clasificaciones después de que finalice el evento; visualización mejorada de las reglas del juego.</v>
      </c>
      <c r="K40" s="148" t="str">
        <f>IFERROR(__xludf.DUMMYFUNCTION("""COMPUTED_VALUE"""),"- Новый герой: Защитник диких земель, Раймонд. Мастер как атаки, так и защиты, непревзойденный в огневой мощи! Это могучий защитник диких земель, которого почитают все!
- Новинки в Захвате крепости: новые монстры, Мутант-пушечное ядро, Бандит Захватчик; н"&amp;"овое здание, Башня Исцеления; новые навыки, Цикл Жизни, Линия Обороны.
- Новое событие ""Космическая гонка"": всем членам банды! Работайте вместе, чтобы выиграть ограниченную версию скина Распределителя!
- Новая функция ""Текущий Усилитель"": используйте "&amp;"батарейки для ее разблокировки в разделе Электронные Технологии.
- Событие ""Подготовка к запуску"" улучшено: оптимизировано отображение интерфейса и некоторые награды за задания.
- Система достижений Реликвий оптимизирована: усилите Реликвии, чтобы получ"&amp;"ить больше наград!
- Полигон для снаряжения улучшен: теперь вы можете собирать больше стальных ключей за каждый период; улучшено отображение наград в сундуках боссов.- Оптимизация функций бойца: добавлены функции сортировки и фильтрации.
- Оптимизация мар"&amp;"шей: теперь вы можете перейти к месту назначения марша.
- Оптимизация доступных очередей: улучшено отображение статуса и логика действий различных очередей, теперь вы можете управлять ими проще!
- Улучшение финансового плана: добавлен предварительный прос"&amp;"мотр ежедневного дохода.
- Оптимизация художественного оформления Острозубых Охотников: цвета линий территорий и маршрутов маршей более четко отображаются на карте.
- Оптимизация чат-комнат: добавлена новая функция ""добавить или удалить участников"" в ча"&amp;"т-комнатах.
- Оптимизация исследований банды: улучшена производительность различных технологий.
- Улучшение экспедиции снаряжения: добавлены значки уведомлений и предпросмотров; улучшено отображение наград за этапы боссов.- Оптимизированный интерфейс вызо"&amp;"ва: совершенно новый интерфейс с улучшенной производительностью! Добавлены отображения наград и прогресса игры.
- Улучшенный грабитель крепости: оптимизирована логика использования возможностей вызова и отображения подсказок.
- Оптимизация снаряжения: улу"&amp;"чшены действия ""перейти к"" и отображение интерфейса на страницах, связанных с снаряжением.
- Улучшение игр банды: добавлена награда в виде скина распределителя для чемпиона; улучшены награды за очки в легендарном ранге.
- Оптимизация поиска кладов: тепе"&amp;"рь вы можете просматривать таблицы лидеров после окончания события; улучшено отображение правил игры.")</f>
        <v>- Новый герой: Защитник диких земель, Раймонд. Мастер как атаки, так и защиты, непревзойденный в огневой мощи! Это могучий защитник диких земель, которого почитают все!
- Новинки в Захвате крепости: новые монстры, Мутант-пушечное ядро, Бандит Захватчик; новое здание, Башня Исцеления; новые навыки, Цикл Жизни, Линия Обороны.
- Новое событие "Космическая гонка": всем членам банды! Работайте вместе, чтобы выиграть ограниченную версию скина Распределителя!
- Новая функция "Текущий Усилитель": используйте батарейки для ее разблокировки в разделе Электронные Технологии.
- Событие "Подготовка к запуску" улучшено: оптимизировано отображение интерфейса и некоторые награды за задания.
- Система достижений Реликвий оптимизирована: усилите Реликвии, чтобы получить больше наград!
- Полигон для снаряжения улучшен: теперь вы можете собирать больше стальных ключей за каждый период; улучшено отображение наград в сундуках боссов.- Оптимизация функций бойца: добавлены функции сортировки и фильтрации.
- Оптимизация маршей: теперь вы можете перейти к месту назначения марша.
- Оптимизация доступных очередей: улучшено отображение статуса и логика действий различных очередей, теперь вы можете управлять ими проще!
- Улучшение финансового плана: добавлен предварительный просмотр ежедневного дохода.
- Оптимизация художественного оформления Острозубых Охотников: цвета линий территорий и маршрутов маршей более четко отображаются на карте.
- Оптимизация чат-комнат: добавлена новая функция "добавить или удалить участников" в чат-комнатах.
- Оптимизация исследований банды: улучшена производительность различных технологий.
- Улучшение экспедиции снаряжения: добавлены значки уведомлений и предпросмотров; улучшено отображение наград за этапы боссов.- Оптимизированный интерфейс вызова: совершенно новый интерфейс с улучшенной производительностью! Добавлены отображения наград и прогресса игры.
- Улучшенный грабитель крепости: оптимизирована логика использования возможностей вызова и отображения подсказок.
- Оптимизация снаряжения: улучшены действия "перейти к" и отображение интерфейса на страницах, связанных с снаряжением.
- Улучшение игр банды: добавлена награда в виде скина распределителя для чемпиона; улучшены награды за очки в легендарном ранге.
- Оптимизация поиска кладов: теперь вы можете просматривать таблицы лидеров после окончания события; улучшено отображение правил игры.</v>
      </c>
      <c r="L40" s="148" t="str">
        <f>IFERROR(__xludf.DUMMYFUNCTION("""COMPUTED_VALUE"""),"- Yeni Savaşçı: Çorak Arazi Koruyucusu, Raymond. Hem saldırıda hem de savunmada ustalaşmış, ateş gücünde eşsiz! İşte tümü tarafından saygı gören güçlü çorak arazi koruyucusu!
- Kaleyi Ele Geçirme'de yenilikler: yeni canavarlar, Top Mermisi Mutant, Haydut "&amp;"İstilacı; yeni bina, İyileştirme Kulesi; yeni beceriler, Yaşam Döngüsü, Savunma Hattı.
- Yeni etkinlik ""Uzay Yarışı"": tüm Çete üyelerine çağrı! Sınırlı sayıda Distribütör görünümünü kazanmak için birlikte çalışın!
- Yeni ""Elektron Geliştirici"" özelliğ"&amp;"i: Elektronik Teknolojilerde bataryaları kullanarak kilidini açın.
- Fırlatmaya Hazırlan etkinliği geliştirildi: optimize edilmiş arayüz görüntüsü ve bazı görev ödülleri.
- Kalıntı Başarı sistemi optimize edildi: Kalıntıları güçlendirerek daha fazla ödül "&amp;"elde edin!
- Ekipman Deneme Sahası geliştirildi: şimdi her dönem daha fazla Çelik Anahtar toplayabilirsiniz; patron sandıklarındaki ödüllerin görüntüsü geliştirildi.- Savaşçı özelliği optimize edildi: sıralama ve filtreleme işlevleri eklendi.
- Seferler o"&amp;"ptimize edildi: şimdi sefer hedefine atlayabilirsiniz.
- Kullanılabilir sıralar optimize edildi: çeşitli sıraların durum gösterimini ve eylem mantığını geliştirildi, şimdi onları daha kolay yönetebilirsiniz!
- Finansal Plan geliştirildi: günlük kazanç öni"&amp;"zlemesi eklendi.
- Jilet Dişli Avcılar'ın sanat tasarımı optimize edildi: bölge çizgilerinin ve sefer çizgilerinin renkleri haritada daha net görüntüleniyor.
- Sohbet odaları optimize edildi: sohbet odalarına yeni ""üye ekleme veya çıkarma"" işlevi eklend"&amp;"i.
- Çete Araştırması optimize edildi: çeşitli teknolojilerin performansı geliştirildi.
- Aksesuar Gezisi geliştirildi: rozet bildirimi ve önizlemeler eklendi; patron aşaması ödüllerinin görüntülenmesi geliştirildi.- Meydan Okuma arayüzü optimize edildi: "&amp;"İyileştirilmiş performanslı yepyeni bir arayüz! Ödüller ve oyun ilerlemesi için ekranlar eklendi.
- Kale Yağmacısı geliştirildi: Meydan okuma şanslarını kullanma ve ipucu baloncuklarının görüntülenmesi arkasındaki mantık optimize edildi.
- Ekipman optimiz"&amp;"e edildi: Ekipmanla ilgili sayfaların ""git"" eylemleri ve arayüz gösterimleri geliştirildi.
- Çete Oyunları geliştirildi: Şampiyon için distribütör görünümü ödülü eklendi; Efsanevi kademe için puanlama ödülleri güçlendirildi.
- Hazine Kazısı optimize edi"&amp;"ldi: Etkinlik sona erdikten sonra liderlik tablolarını şimdi görüntüleyebilirsiniz; oyun kurallarının görüntülenmesi geliştirildi.")</f>
        <v>- Yeni Savaşçı: Çorak Arazi Koruyucusu, Raymond. Hem saldırıda hem de savunmada ustalaşmış, ateş gücünde eşsiz! İşte tümü tarafından saygı gören güçlü çorak arazi koruyucusu!
- Kaleyi Ele Geçirme'de yenilikler: yeni canavarlar, Top Mermisi Mutant, Haydut İstilacı; yeni bina, İyileştirme Kulesi; yeni beceriler, Yaşam Döngüsü, Savunma Hattı.
- Yeni etkinlik "Uzay Yarışı": tüm Çete üyelerine çağrı! Sınırlı sayıda Distribütör görünümünü kazanmak için birlikte çalışın!
- Yeni "Elektron Geliştirici" özelliği: Elektronik Teknolojilerde bataryaları kullanarak kilidini açın.
- Fırlatmaya Hazırlan etkinliği geliştirildi: optimize edilmiş arayüz görüntüsü ve bazı görev ödülleri.
- Kalıntı Başarı sistemi optimize edildi: Kalıntıları güçlendirerek daha fazla ödül elde edin!
- Ekipman Deneme Sahası geliştirildi: şimdi her dönem daha fazla Çelik Anahtar toplayabilirsiniz; patron sandıklarındaki ödüllerin görüntüsü geliştirildi.- Savaşçı özelliği optimize edildi: sıralama ve filtreleme işlevleri eklendi.
- Seferler optimize edildi: şimdi sefer hedefine atlayabilirsiniz.
- Kullanılabilir sıralar optimize edildi: çeşitli sıraların durum gösterimini ve eylem mantığını geliştirildi, şimdi onları daha kolay yönetebilirsiniz!
- Finansal Plan geliştirildi: günlük kazanç önizlemesi eklendi.
- Jilet Dişli Avcılar'ın sanat tasarımı optimize edildi: bölge çizgilerinin ve sefer çizgilerinin renkleri haritada daha net görüntüleniyor.
- Sohbet odaları optimize edildi: sohbet odalarına yeni "üye ekleme veya çıkarma" işlevi eklendi.
- Çete Araştırması optimize edildi: çeşitli teknolojilerin performansı geliştirildi.
- Aksesuar Gezisi geliştirildi: rozet bildirimi ve önizlemeler eklendi; patron aşaması ödüllerinin görüntülenmesi geliştirildi.- Meydan Okuma arayüzü optimize edildi: İyileştirilmiş performanslı yepyeni bir arayüz! Ödüller ve oyun ilerlemesi için ekranlar eklendi.
- Kale Yağmacısı geliştirildi: Meydan okuma şanslarını kullanma ve ipucu baloncuklarının görüntülenmesi arkasındaki mantık optimize edildi.
- Ekipman optimize edildi: Ekipmanla ilgili sayfaların "git" eylemleri ve arayüz gösterimleri geliştirildi.
- Çete Oyunları geliştirildi: Şampiyon için distribütör görünümü ödülü eklendi; Efsanevi kademe için puanlama ödülleri güçlendirildi.
- Hazine Kazısı optimize edildi: Etkinlik sona erdikten sonra liderlik tablolarını şimdi görüntüleyebilirsiniz; oyun kurallarının görüntülenmesi geliştirildi.</v>
      </c>
      <c r="M40" s="148" t="str">
        <f>IFERROR(__xludf.DUMMYFUNCTION("""COMPUTED_VALUE"""),"- Chiến Binh Mới: Bảo Hộ Viên Hoang Dã, Raymond. Một bậc thầy về cả tấn công và phòng thủ, không ai sánh kịp về sức mạnh hỏa lực! Đây chính là người bảo hộ vùng hoang dã hùng mạnh được tôn kính bởi tất cả!
- Mới trong Tiếp Quản Pháo Đài: quái vật mới, Quả"&amp;" Bóng Đột Biến Súng Thần Công, Kẻ Cướp Xâm Lược; công trình mới, Tháp Hồi Phục; kỹ năng mới, Chu kỳ Cuộc sống, Đường Phòng Thủ.
- Sự kiện mới ""Cuộc Đua Không Gian"": kêu gọi tất cả thành viên Bang Hội! Hợp tác để giành chiến thắng giao diện trạm phân phố"&amp;"i giới hạn!
- Chức năng mới ""Nâng Cấp Hiện Tại"": sử dụng pin để mở khóa trong Công Nghệ Điện Tử.
- Sự kiện Chuẩn bị Khởi động được cải tiến: hiển thị giao diện tối ưu hóa và một số phần thưởng nhiệm vụ.
- Hệ thống Thành tựu Di Tích được tối ưu hóa: nâng"&amp;" cấp Di Tích để nhận được nhiều phần thưởng hơn!
- Thí Luyện Trang Bị được cải tiến: bạn có thể thu thập nhiều Dây Cót Bằng Sắt hơn mỗi giai đoạn; cải tiến hiển thị phần thưởng trong rương của boss.- Tính năng Chiến Binh được tối ưu hóa: thêm chức năng sắ"&amp;"p xếp và lọc.
- Hành quân được tối ưu hóa: bạn có thể nhảy đến điểm đến của hành quân.
- Hàng chờ có sẵn được tối ưu hóa: cải thiện hiển thị trạng thái và logic hành động của các hàng chờ khác nhau, bạn có thể quản lý chúng dễ dàng hơn!
- Kế hoạch tài chí"&amp;"nh được cải thiện: thêm tính năng xem trước thu nhập hàng ngày.
- Thiết kế nghệ thuật của Thợ Săn Răng Sắc được tối ưu hóa: màu sắc của đường ranh giới lãnh thổ và đường hành quân được hiển thị rõ ràng hơn trên bản đồ.
- Phòng trò chuyện được tối ưu hóa: "&amp;"chức năng mới ""thêm hoặc xóa thành viên"" được thêm vào phòng trò chuyện.
- Nghiên Cứu Bang Hội được tối ưu hóa: cải thiện hiệu suất của các công nghệ khác nhau.
- Viễn Chinh Vũ Khí được cải thiện: thêm thông báo huy hiệu và xem trước; cải thiện hiển thị"&amp;" phần thưởng giai đoạn boss.- Tối ưu hóa giao diện Thử thách: giao diện hoàn toàn mới với hiệu suất cải thiện! Thêm hiển thị phần thưởng và tiến trình chơi.
- Cải tiến Cướp Bóc Pháo Đài: tối ưu hóa logic sử dụng cơ hội thách thức và hiển thị bong bóng mẹo"&amp;".
- Tối ưu hóa Trang bị: cải thiện các hành động ""đi đến"" và hiển thị giao diện của các trang liên quan đến trang bị.
- Cải tiến Trò Chơi Bang Hội: thêm phần thưởng da phân phối cho nhà vô địch; tăng cường phần thưởng điểm cho Bậc Huyền Thoại.
- Tối ưu "&amp;"hóa Tìm Kho Báu Dưới Đất: giờ đây bạn có thể xem bảng xếp hạng sau khi sự kiện kết thúc; cải thiện hiển thị quy tắc chơi.")</f>
        <v>- Chiến Binh Mới: Bảo Hộ Viên Hoang Dã, Raymond. Một bậc thầy về cả tấn công và phòng thủ, không ai sánh kịp về sức mạnh hỏa lực! Đây chính là người bảo hộ vùng hoang dã hùng mạnh được tôn kính bởi tất cả!
- Mới trong Tiếp Quản Pháo Đài: quái vật mới, Quả Bóng Đột Biến Súng Thần Công, Kẻ Cướp Xâm Lược; công trình mới, Tháp Hồi Phục; kỹ năng mới, Chu kỳ Cuộc sống, Đường Phòng Thủ.
- Sự kiện mới "Cuộc Đua Không Gian": kêu gọi tất cả thành viên Bang Hội! Hợp tác để giành chiến thắng giao diện trạm phân phối giới hạn!
- Chức năng mới "Nâng Cấp Hiện Tại": sử dụng pin để mở khóa trong Công Nghệ Điện Tử.
- Sự kiện Chuẩn bị Khởi động được cải tiến: hiển thị giao diện tối ưu hóa và một số phần thưởng nhiệm vụ.
- Hệ thống Thành tựu Di Tích được tối ưu hóa: nâng cấp Di Tích để nhận được nhiều phần thưởng hơn!
- Thí Luyện Trang Bị được cải tiến: bạn có thể thu thập nhiều Dây Cót Bằng Sắt hơn mỗi giai đoạn; cải tiến hiển thị phần thưởng trong rương của boss.- Tính năng Chiến Binh được tối ưu hóa: thêm chức năng sắp xếp và lọc.
- Hành quân được tối ưu hóa: bạn có thể nhảy đến điểm đến của hành quân.
- Hàng chờ có sẵn được tối ưu hóa: cải thiện hiển thị trạng thái và logic hành động của các hàng chờ khác nhau, bạn có thể quản lý chúng dễ dàng hơn!
- Kế hoạch tài chính được cải thiện: thêm tính năng xem trước thu nhập hàng ngày.
- Thiết kế nghệ thuật của Thợ Săn Răng Sắc được tối ưu hóa: màu sắc của đường ranh giới lãnh thổ và đường hành quân được hiển thị rõ ràng hơn trên bản đồ.
- Phòng trò chuyện được tối ưu hóa: chức năng mới "thêm hoặc xóa thành viên" được thêm vào phòng trò chuyện.
- Nghiên Cứu Bang Hội được tối ưu hóa: cải thiện hiệu suất của các công nghệ khác nhau.
- Viễn Chinh Vũ Khí được cải thiện: thêm thông báo huy hiệu và xem trước; cải thiện hiển thị phần thưởng giai đoạn boss.- Tối ưu hóa giao diện Thử thách: giao diện hoàn toàn mới với hiệu suất cải thiện! Thêm hiển thị phần thưởng và tiến trình chơi.
- Cải tiến Cướp Bóc Pháo Đài: tối ưu hóa logic sử dụng cơ hội thách thức và hiển thị bong bóng mẹo.
- Tối ưu hóa Trang bị: cải thiện các hành động "đi đến" và hiển thị giao diện của các trang liên quan đến trang bị.
- Cải tiến Trò Chơi Bang Hội: thêm phần thưởng da phân phối cho nhà vô địch; tăng cường phần thưởng điểm cho Bậc Huyền Thoại.
- Tối ưu hóa Tìm Kho Báu Dưới Đất: giờ đây bạn có thể xem bảng xếp hạng sau khi sự kiện kết thúc; cải thiện hiển thị quy tắc chơi.</v>
      </c>
      <c r="N40" s="108" t="str">
        <f>IFERROR(__xludf.DUMMYFUNCTION("""COMPUTED_VALUE"""),"- Nuovo Combattente: Protettore delle Terre Selvagge, Raymond. Un maestro sia nell'attacco che nella difesa, ineguagliabile in potenza di fuoco! Questo è il possente protettore delle Terre selvagge riverito da tutti!
- Novità in Fortress Takeover: nuovi m"&amp;"ostri, Palla di Cannone Mutante, Bandito Invasore; nuova costruzione, Torre di Cura; nuove abilità, Ciclo della Vita, Linea di Difesa.
- Nuovo evento ""Gara Spaziale"": chiamando tutti i membri della Gang! Lavorate insieme per vincere la skin del Distribu"&amp;"tore in edizione limitata!
- Nuova funzione ""Potenziatore di Elettroni"": usa le batterie per sbloccarla nelle Tecnologie Elettroniche.
- Evento Preparazione al Lancio migliorato: interfaccia ottimizzata e alcune ricompense delle missioni.
- Sistema di R"&amp;"ealizzazione Reliquie ottimizzato: potenzia le Reliquie per ottenere più ricompense!
- Area di Prova Equipaggiamento migliorata: ora è possibile raccogliere più Chiavi d'Acciaio per ogni periodo; migliorata la visualizzazione delle ricompense nei forzieri"&amp;" dei boss.- Ottimizzazione funzionalità Combattente: aggiunte funzioni di ordinamento e filtraggio.
- Marce ottimizzate: ora è possibile saltare alla destinazione della marcia.
- Code disponibili ottimizzate: migliorata la visualizzazione dello stato e la"&amp;" logica delle azioni di varie code, ora puoi gestirle più facilmente!
- Piano finanziario migliorato: aggiunta un'anteprima dei guadagni giornalieri.
- Ottimizzazione del design artistico dei Cacciatori Taglienti: i colori delle linee di territorio e dell"&amp;"e linee di marcia sono visualizzati più chiaramente sulla mappa.
- Stanze di chat ottimizzate: nuova funzione ""aggiungi o rimuovi membri"" aggiunta alle stanze di chat.
- Ricerca della Gang ottimizzata: migliorata l'efficacia di varie tecnologie.
- Spedi"&amp;"zione per l'attrezzatura migliorata: aggiunta notifica badge e anteprime; migliorata la visualizzazione delle ricompense della fase del boss.- Ottimizzazione dell'interfaccia di sfida: una nuova interfaccia con prestazioni migliorate! Aggiunte visualizzaz"&amp;"ioni per ricompense e avanzamento del gioco.
- Saccheggiatore di Fortezze migliorato: ottimizzata la logica di utilizzo delle possibilità di sfida e la visualizzazione delle bolle di suggerimento.
- Equipaggiamento ottimizzato: migliorate le azioni ""vai "&amp;"a"" e le visualizzazioni dell'interfaccia delle pagine relative all'equipaggiamento.
- Giochi delle Gang migliorati: aggiunta una skin del distributore come ricompensa per il campione; potenziamento delle ricompense di punteggio per la classe Leggendaria."&amp;"
- Scavo di Tesori ottimizzato: ora è possibile visualizzare le classifiche dopo la fine dell'evento; migliorata la visualizzazione delle regole di gioco.")</f>
        <v>- Nuovo Combattente: Protettore delle Terre Selvagge, Raymond. Un maestro sia nell'attacco che nella difesa, ineguagliabile in potenza di fuoco! Questo è il possente protettore delle Terre selvagge riverito da tutti!
- Novità in Fortress Takeover: nuovi mostri, Palla di Cannone Mutante, Bandito Invasore; nuova costruzione, Torre di Cura; nuove abilità, Ciclo della Vita, Linea di Difesa.
- Nuovo evento "Gara Spaziale": chiamando tutti i membri della Gang! Lavorate insieme per vincere la skin del Distributore in edizione limitata!
- Nuova funzione "Potenziatore di Elettroni": usa le batterie per sbloccarla nelle Tecnologie Elettroniche.
- Evento Preparazione al Lancio migliorato: interfaccia ottimizzata e alcune ricompense delle missioni.
- Sistema di Realizzazione Reliquie ottimizzato: potenzia le Reliquie per ottenere più ricompense!
- Area di Prova Equipaggiamento migliorata: ora è possibile raccogliere più Chiavi d'Acciaio per ogni periodo; migliorata la visualizzazione delle ricompense nei forzieri dei boss.- Ottimizzazione funzionalità Combattente: aggiunte funzioni di ordinamento e filtraggio.
- Marce ottimizzate: ora è possibile saltare alla destinazione della marcia.
- Code disponibili ottimizzate: migliorata la visualizzazione dello stato e la logica delle azioni di varie code, ora puoi gestirle più facilmente!
- Piano finanziario migliorato: aggiunta un'anteprima dei guadagni giornalieri.
- Ottimizzazione del design artistico dei Cacciatori Taglienti: i colori delle linee di territorio e delle linee di marcia sono visualizzati più chiaramente sulla mappa.
- Stanze di chat ottimizzate: nuova funzione "aggiungi o rimuovi membri" aggiunta alle stanze di chat.
- Ricerca della Gang ottimizzata: migliorata l'efficacia di varie tecnologie.
- Spedizione per l'attrezzatura migliorata: aggiunta notifica badge e anteprime; migliorata la visualizzazione delle ricompense della fase del boss.- Ottimizzazione dell'interfaccia di sfida: una nuova interfaccia con prestazioni migliorate! Aggiunte visualizzazioni per ricompense e avanzamento del gioco.
- Saccheggiatore di Fortezze migliorato: ottimizzata la logica di utilizzo delle possibilità di sfida e la visualizzazione delle bolle di suggerimento.
- Equipaggiamento ottimizzato: migliorate le azioni "vai a" e le visualizzazioni dell'interfaccia delle pagine relative all'equipaggiamento.
- Giochi delle Gang migliorati: aggiunta una skin del distributore come ricompensa per il campione; potenziamento delle ricompense di punteggio per la classe Leggendaria.
- Scavo di Tesori ottimizzato: ora è possibile visualizzare le classifiche dopo la fine dell'evento; migliorata la visualizzazione delle regole di gioco.</v>
      </c>
      <c r="O40" s="148" t="str">
        <f>IFERROR(__xludf.DUMMYFUNCTION("""COMPUTED_VALUE"""),"- Nowy Wojownik: Obrońca Dzikich Krain, Raymond. Mistrz zarówno ataku, jak i obrony, niezrównany w sile ognia! To potężny obrońca Dzikich Krain, czczony przez wszystkich!
- Nowości w Przejęciu Fortecy: nowe potwory, Kula Armatnia Mutant, Bandyta Najeźdźca"&amp;"; nowy budynek, Wieża Uzdrowienia; nowe umiejętności, Cykl życia, Linia obrony.
- Nowe wydarzenie ""Kosmiczny Wyścig"": wezwanie dla wszystkich członków Gangu! Pracujcie razem, aby zdobyć limitowaną edycję skórki Dystrybutora!
- Nowa funkcja ""Wzmacniacz "&amp;"BieŻący"": użyj baterii, aby odblokować ją w Technologiach Elektronicznych.
- Ulepszono wydarzenie Przygotuj się do startu: zoptymalizowano wyświetlanie interfejsu i niektóre nagrody za zadania.
- Zoptymalizowano system Osiągnięć Reliktów: zwiększ siłę Re"&amp;"liktów, aby zdobyć więcej nagród!
- Ulepszono Tester Wyposażenia: teraz możesz zbierać więcej Stalowych Kluczy w każdym okresie; ulepszono wyświetlanie nagród w skrzyniach bossów.- Optymalizacja funkcji Wojownika: dodano funkcje sortowania i filtrowania.
"&amp;"- Optymalizacja marszów: teraz możesz skakać do miejsca docelowego marszu.
- Optymalizacja dostępnych kolejek: ulepszono wyświetlanie statusu i logikę działania różnych kolejek, teraz możesz je łatwiej zarządzać!
- Ulepszenie Planu Finansowego: dodano pod"&amp;"gląd dziennych zarobków.
- Optymalizacja projektu artystycznego Szablozębnych Łowców: kolory linii terytorialnych i marszowych są wyraźniej wyświetlane na mapie.
- Optymalizacja pokojów czatowych: dodano nową funkcję ""dodawania lub usuwania członków"" w "&amp;"pokojach czatowych.
- Optymalizacja Badań Gangu: ulepszono wydajność różnych technologii.
- Ulepszenie Ekspedycji po Wyposażenie: dodano powiadomienia o odznakach i podglądy; ulepszono wyświetlanie nagród za etap bossa.- Optymalizacja interfejsu Wyzwań: c"&amp;"ałkowicie nowy interfejs z poprawioną wydajnością! Dodano wyświetlanie nagród i postępów w grze.
- Ulepszenie Grabieżcy Fortecy: zoptymalizowano logikę korzystania z szans na wyzwanie i wyświetlanie dymków z wskazówkami.
- Optymalizacja wyposażenia: uleps"&amp;"zono akcje ""przejdź do"" oraz wyświetlanie interfejsów na stronach związanych z wyposażeniem.
- Ulepszenie Igrzysk Gangów: dodano nagrodę w postaci skórki dla dystrybutora dla mistrza; zwiększono nagrody punktowe dla poziomu Legendarnego.
- Optymalizacja"&amp;" Poszukiwania Skarbów: teraz można przeglądać tabele wyników po zakończeniu wydarzenia; ulepszono wyświetlanie zasad gry.")</f>
        <v>- Nowy Wojownik: Obrońca Dzikich Krain, Raymond. Mistrz zarówno ataku, jak i obrony, niezrównany w sile ognia! To potężny obrońca Dzikich Krain, czczony przez wszystkich!
- Nowości w Przejęciu Fortecy: nowe potwory, Kula Armatnia Mutant, Bandyta Najeźdźca; nowy budynek, Wieża Uzdrowienia; nowe umiejętności, Cykl życia, Linia obrony.
- Nowe wydarzenie "Kosmiczny Wyścig": wezwanie dla wszystkich członków Gangu! Pracujcie razem, aby zdobyć limitowaną edycję skórki Dystrybutora!
- Nowa funkcja "Wzmacniacz BieŻący": użyj baterii, aby odblokować ją w Technologiach Elektronicznych.
- Ulepszono wydarzenie Przygotuj się do startu: zoptymalizowano wyświetlanie interfejsu i niektóre nagrody za zadania.
- Zoptymalizowano system Osiągnięć Reliktów: zwiększ siłę Reliktów, aby zdobyć więcej nagród!
- Ulepszono Tester Wyposażenia: teraz możesz zbierać więcej Stalowych Kluczy w każdym okresie; ulepszono wyświetlanie nagród w skrzyniach bossów.- Optymalizacja funkcji Wojownika: dodano funkcje sortowania i filtrowania.
- Optymalizacja marszów: teraz możesz skakać do miejsca docelowego marszu.
- Optymalizacja dostępnych kolejek: ulepszono wyświetlanie statusu i logikę działania różnych kolejek, teraz możesz je łatwiej zarządzać!
- Ulepszenie Planu Finansowego: dodano podgląd dziennych zarobków.
- Optymalizacja projektu artystycznego Szablozębnych Łowców: kolory linii terytorialnych i marszowych są wyraźniej wyświetlane na mapie.
- Optymalizacja pokojów czatowych: dodano nową funkcję "dodawania lub usuwania członków" w pokojach czatowych.
- Optymalizacja Badań Gangu: ulepszono wydajność różnych technologii.
- Ulepszenie Ekspedycji po Wyposażenie: dodano powiadomienia o odznakach i podglądy; ulepszono wyświetlanie nagród za etap bossa.- Optymalizacja interfejsu Wyzwań: całkowicie nowy interfejs z poprawioną wydajnością! Dodano wyświetlanie nagród i postępów w grze.
- Ulepszenie Grabieżcy Fortecy: zoptymalizowano logikę korzystania z szans na wyzwanie i wyświetlanie dymków z wskazówkami.
- Optymalizacja wyposażenia: ulepszono akcje "przejdź do" oraz wyświetlanie interfejsów na stronach związanych z wyposażeniem.
- Ulepszenie Igrzysk Gangów: dodano nagrodę w postaci skórki dla dystrybutora dla mistrza; zwiększono nagrody punktowe dla poziomu Legendarnego.
- Optymalizacja Poszukiwania Skarbów: teraz można przeglądać tabele wyników po zakończeniu wydarzenia; ulepszono wyświetlanie zasad gry.</v>
      </c>
      <c r="P40" s="148" t="str">
        <f>IFERROR(__xludf.DUMMYFUNCTION("""COMPUTED_VALUE"""),"- مقاتل جديد: حامي الأراضي البرية، ريموند. سيد الهجوم والدفاع، لا مثيل له في قوة النيران! هذا هو حامي الأراضي البرية العظيم الذي يبجله الجميع!
- جديد في الاستيلاء على الحصن: وحوش جديدة، كرة مدفع المسوخ، بانديت المقتحم؛ مبنى جديد، برج الشفاء؛ مهارات جديدة،"&amp;" دورة الحياة، خط الدفاع.
- حدث جديد ""سباق الفضاء"": نداء لجميع أعضاء العصابة! اعملوا معًا للفوز بجلد محطة التوزيع الإصدار المحدود!
- وظيفة ""معزز الإلكترون"" الجديدة: استخدم البطاريات لفتحها في التقنيات الإلكترونية.
- تحسين حدث التحضير للإطلاق: تم تحسين "&amp;"عرض واجهة المستخدم وبعض جوائز المهمة.
- تم تحسين نظام إنجاز المقتنيات: قم بتعزيز المقتنيات للحصول على المزيد من المكافآت!
- تحسين موقع اختبار المعدات: يمكنك الآن جمع المزيد من مفاتيح الص- تم تحسين ميزة المقاتل: تمت إضافة وظائف الترتيب والتصفية.
- تم تحسين"&amp;" المسيرات: يمكنك الآن القفز إلى وجهة المسيرة.
- تم تحسين طوابير المتاحة: تحسين عرض الحالة ومنطق الإجراءات لمختلف الطوابير، يمكنك الآن إدارتها بسهولة أكبر!
- تم تحسين الخطة المالية: تمت إضافة معاينة للأرباح اليومية.
- تم تحسين تصميم فني لصيادون الافتراس: أ"&amp;"لوان خطوط الإقليم وخطوط المسيرة معروضة بوضوح أكبر على الخريطة.
- تم تحسين غرف الدردشة: تمت إضافة وظيفة ""إضافة أو إزالة أعضاء"" إلى غرف الدردشة.
- تم تحسين أبحاث العصابة: تحسين أداء مختلف التقنيات.
- تم تحسين الرحلة الاستكشافية للعتاد: تمت إضافة إشعارات ا"&amp;"لشارة والمعاينات؛ تحسين عرض مكافآت مرحلة الزعيم.- تم تحسين واجهة التحدي: واجهة جديدة كلياً مع أداء محسّن! تمت إضافة عروض للمكافآت وتقدم اللعب.
- تم تحسين نهب الحصن: تم تحسين المنطق وراء استخدام فرص التحدي وعرض فقاعات التلميح.
- تم تحسين المعدات: تم تحسين "&amp;"إجراءات ""الانتقال إلى"" وعروض واجهة المستخدم لصفحات المعدات ذات الصلة.
- تم تحسين ألعاب العصابة: تمت إضافة مكافأة جلد موزع للبطل؛ تم تعزيز مكافآت التسجيل للفئة الأسطورية.
- تم تحسين حفر الكنز: يمكنك الآن عرض قوائم المتصدرين بعد انتهاء الحدث؛ تم تحسين عرض"&amp;" قواعد اللعب.")</f>
        <v>- مقاتل جديد: حامي الأراضي البرية، ريموند. سيد الهجوم والدفاع، لا مثيل له في قوة النيران! هذا هو حامي الأراضي البرية العظيم الذي يبجله الجميع!
- جديد في الاستيلاء على الحصن: وحوش جديدة، كرة مدفع المسوخ، بانديت المقتحم؛ مبنى جديد، برج الشفاء؛ مهارات جديدة، دورة الحياة، خط الدفاع.
- حدث جديد "سباق الفضاء": نداء لجميع أعضاء العصابة! اعملوا معًا للفوز بجلد محطة التوزيع الإصدار المحدود!
- وظيفة "معزز الإلكترون" الجديدة: استخدم البطاريات لفتحها في التقنيات الإلكترونية.
- تحسين حدث التحضير للإطلاق: تم تحسين عرض واجهة المستخدم وبعض جوائز المهمة.
- تم تحسين نظام إنجاز المقتنيات: قم بتعزيز المقتنيات للحصول على المزيد من المكافآت!
- تحسين موقع اختبار المعدات: يمكنك الآن جمع المزيد من مفاتيح الص- تم تحسين ميزة المقاتل: تمت إضافة وظائف الترتيب والتصفية.
- تم تحسين المسيرات: يمكنك الآن القفز إلى وجهة المسيرة.
- تم تحسين طوابير المتاحة: تحسين عرض الحالة ومنطق الإجراءات لمختلف الطوابير، يمكنك الآن إدارتها بسهولة أكبر!
- تم تحسين الخطة المالية: تمت إضافة معاينة للأرباح اليومية.
- تم تحسين تصميم فني لصيادون الافتراس: ألوان خطوط الإقليم وخطوط المسيرة معروضة بوضوح أكبر على الخريطة.
- تم تحسين غرف الدردشة: تمت إضافة وظيفة "إضافة أو إزالة أعضاء" إلى غرف الدردشة.
- تم تحسين أبحاث العصابة: تحسين أداء مختلف التقنيات.
- تم تحسين الرحلة الاستكشافية للعتاد: تمت إضافة إشعارات الشارة والمعاينات؛ تحسين عرض مكافآت مرحلة الزعيم.- تم تحسين واجهة التحدي: واجهة جديدة كلياً مع أداء محسّن! تمت إضافة عروض للمكافآت وتقدم اللعب.
- تم تحسين نهب الحصن: تم تحسين المنطق وراء استخدام فرص التحدي وعرض فقاعات التلميح.
- تم تحسين المعدات: تم تحسين إجراءات "الانتقال إلى" وعروض واجهة المستخدم لصفحات المعدات ذات الصلة.
- تم تحسين ألعاب العصابة: تمت إضافة مكافأة جلد موزع للبطل؛ تم تعزيز مكافآت التسجيل للفئة الأسطورية.
- تم تحسين حفر الكنز: يمكنك الآن عرض قوائم المتصدرين بعد انتهاء الحدث؛ تم تحسين عرض قواعد اللعب.</v>
      </c>
      <c r="Q40" s="148"/>
      <c r="R40" s="148"/>
      <c r="S40" s="148"/>
      <c r="T40" s="148"/>
      <c r="U40" s="148"/>
      <c r="V40" s="148"/>
      <c r="W40" s="148"/>
      <c r="X40" s="148"/>
      <c r="Y40" s="148"/>
      <c r="Z40" s="148"/>
    </row>
    <row r="41">
      <c r="A41" s="167" t="str">
        <f>IFERROR(__xludf.DUMMYFUNCTION("""COMPUTED_VALUE"""),"0.53.5")</f>
        <v>0.53.5</v>
      </c>
      <c r="B41" s="148" t="str">
        <f>IFERROR(__xludf.DUMMYFUNCTION("""COMPUTED_VALUE"""),"-新增机甲系统：强力机甲猛兽，为战斗增添震撼感受，获取机甲让部队如虎添翼！
-新增机甲系统活动：“机甲回响”，连续签到，领取稀有机甲芯片！")</f>
        <v>-新增机甲系统：强力机甲猛兽，为战斗增添震撼感受，获取机甲让部队如虎添翼！
-新增机甲系统活动：“机甲回响”，连续签到，领取稀有机甲芯片！</v>
      </c>
      <c r="C41" s="148" t="str">
        <f>IFERROR(__xludf.DUMMYFUNCTION("""COMPUTED_VALUE"""),"- New Mech feature: powerful mech giants that make battles more thrilling! Get mechs now to give your troops a boost!
- New mech event: ""Mech Reverb."" Sign in on consecutive days and win rare Mech Chips!")</f>
        <v>- New Mech feature: powerful mech giants that make battles more thrilling! Get mechs now to give your troops a boost!
- New mech event: "Mech Reverb." Sign in on consecutive days and win rare Mech Chips!</v>
      </c>
      <c r="D41" s="148" t="str">
        <f>IFERROR(__xludf.DUMMYFUNCTION("""COMPUTED_VALUE"""),"- Nouvelle fonctionnalité Mech : de puissants géants mécha qui rendent les batailles plus palpitantes ! Obtenez des méchas maintenant pour renforcer vos troupes !
- Nouvel événement mécha : ""Résonance Mécha"". Connectez-vous pendant plusieurs jours consé"&amp;"cutifs et gagnez des Puces Mécha rares !")</f>
        <v>- Nouvelle fonctionnalité Mech : de puissants géants mécha qui rendent les batailles plus palpitantes ! Obtenez des méchas maintenant pour renforcer vos troupes !
- Nouvel événement mécha : "Résonance Mécha". Connectez-vous pendant plusieurs jours consécutifs et gagnez des Puces Mécha rares !</v>
      </c>
      <c r="E41" s="148" t="str">
        <f>IFERROR(__xludf.DUMMYFUNCTION("""COMPUTED_VALUE"""),"- Neues Mech-Feature: Mächtige Mech-Riesen, die Schlachten noch spannender machen! Hol dir jetzt Mechs, um deine Truppen zu verstärken!
- Neues Mech-Event: ""Mech-Nachhall"". Melde dich an aufeinanderfolgenden Tagen an und gewinne seltene Mech-Chips!")</f>
        <v>- Neues Mech-Feature: Mächtige Mech-Riesen, die Schlachten noch spannender machen! Hol dir jetzt Mechs, um deine Truppen zu verstärken!
- Neues Mech-Event: "Mech-Nachhall". Melde dich an aufeinanderfolgenden Tagen an und gewinne seltene Mech-Chips!</v>
      </c>
      <c r="F41" s="148" t="str">
        <f>IFERROR(__xludf.DUMMYFUNCTION("""COMPUTED_VALUE"""),"- Nova funcionalidade Mech: poderosos gigantes mecânicos que tornam as batalhas mais emocionantes! Obtenha mechs agora para dar um impulso às suas tropas!
- Novo evento mech: ""Ressonância Mech"". Faça login em dias consecutivos e ganhe raras Fichas Mech!")</f>
        <v>- Nova funcionalidade Mech: poderosos gigantes mecânicos que tornam as batalhas mais emocionantes! Obtenha mechs agora para dar um impulso às suas tropas!
- Novo evento mech: "Ressonância Mech". Faça login em dias consecutivos e ganhe raras Fichas Mech!</v>
      </c>
      <c r="G41" s="148" t="str">
        <f>IFERROR(__xludf.DUMMYFUNCTION("""COMPUTED_VALUE"""),"-新增機甲系統：強力機甲猛獸，為戰鬥增添震撼感受，獲取機甲讓部隊如虎添翼！
-新增機甲系統活動：“機甲迴響”，連續簽到，領取稀有機甲芯片！")</f>
        <v>-新增機甲系統：強力機甲猛獸，為戰鬥增添震撼感受，獲取機甲讓部隊如虎添翼！
-新增機甲系統活動：“機甲迴響”，連續簽到，領取稀有機甲芯片！</v>
      </c>
      <c r="H41" s="148" t="str">
        <f>IFERROR(__xludf.DUMMYFUNCTION("""COMPUTED_VALUE"""),"- Fitur Mech baru: raksasa mech yang kuat membuat pertempuran lebih mendebarkan! Dapatkan mekanik sekarang untuk memberi pasukan Anda dorongan!
- Acara mech baru: ""Mekanik Gema."" Daftar masuk pada hari-hari berturut-turut dan menangkan Chip Mech langka!")</f>
        <v>- Fitur Mech baru: raksasa mech yang kuat membuat pertempuran lebih mendebarkan! Dapatkan mekanik sekarang untuk memberi pasukan Anda dorongan!
- Acara mech baru: "Mekanik Gema." Daftar masuk pada hari-hari berturut-turut dan menangkan Chip Mech langka!</v>
      </c>
      <c r="I41" s="148" t="str">
        <f>IFERROR(__xludf.DUMMYFUNCTION("""COMPUTED_VALUE"""),"- คุณสมบัติเมคใหม่: ยักษ์เมคที่ทรงพลังทำให้การต่อสู้น่าสนใจยิ่งขึ้น! รับเมคตอนนี้เพื่อเพิ่มพลังให้กองทหารของคุณ!
- กิจกรรมเมคใหม่: ""เมคเสียงสะท้อน"" ลงชื่อเข้าใช้ในวันติดต่อกันและชนะแผ่นชิปเมคหายาก!")</f>
        <v>- คุณสมบัติเมคใหม่: ยักษ์เมคที่ทรงพลังทำให้การต่อสู้น่าสนใจยิ่งขึ้น! รับเมคตอนนี้เพื่อเพิ่มพลังให้กองทหารของคุณ!
- กิจกรรมเมคใหม่: "เมคเสียงสะท้อน" ลงชื่อเข้าใช้ในวันติดต่อกันและชนะแผ่นชิปเมคหายาก!</v>
      </c>
      <c r="J41" s="148" t="str">
        <f>IFERROR(__xludf.DUMMYFUNCTION("""COMPUTED_VALUE"""),"- Nueva función de Mech: ¡gigantes mechas poderosos que hacen las batallas más emocionantes! ¡Consigue mechas ahora para dar un impulso a tus tropas!
- Nuevo evento de mechas: ""Reverberación de Meca"". ¡Inicia sesión en días consecutivos y gana valiosos "&amp;"Chips de Meca!")</f>
        <v>- Nueva función de Mech: ¡gigantes mechas poderosos que hacen las batallas más emocionantes! ¡Consigue mechas ahora para dar un impulso a tus tropas!
- Nuevo evento de mechas: "Reverberación de Meca". ¡Inicia sesión en días consecutivos y gana valiosos Chips de Meca!</v>
      </c>
      <c r="K41" s="148" t="str">
        <f>IFERROR(__xludf.DUMMYFUNCTION("""COMPUTED_VALUE"""),"- Новая функция Меха: мощные механические гиганты, делающие битвы еще более захватывающими! Получите мехов сейчас, чтобы усилить свои войска!
- Новое механическое событие: ""Меха Ревербератор"". Войдите в игру подряд несколько дней и выиграйте редкие меха"&amp;"нические чипы!")</f>
        <v>- Новая функция Меха: мощные механические гиганты, делающие битвы еще более захватывающими! Получите мехов сейчас, чтобы усилить свои войска!
- Новое механическое событие: "Меха Ревербератор". Войдите в игру подряд несколько дней и выиграйте редкие механические чипы!</v>
      </c>
      <c r="L41" s="148" t="str">
        <f>IFERROR(__xludf.DUMMYFUNCTION("""COMPUTED_VALUE"""),"- Yeni Meka özelliği: savaşları daha heyecanlı hale getiren güçlü meka devleri! Şimdi meka'ları edinin ve birliklerinize güç katın!
- Yeni meka etkinliği: ""Meka Yankı."" Ardışık günlerde oturum açın ve nadir Meka Çipleri kazanın!")</f>
        <v>- Yeni Meka özelliği: savaşları daha heyecanlı hale getiren güçlü meka devleri! Şimdi meka'ları edinin ve birliklerinize güç katın!
- Yeni meka etkinliği: "Meka Yankı." Ardışık günlerde oturum açın ve nadir Meka Çipleri kazanın!</v>
      </c>
      <c r="M41" s="148" t="str">
        <f>IFERROR(__xludf.DUMMYFUNCTION("""COMPUTED_VALUE"""),"- Tính năng Mech mới: những người khổng lồ cơ giới mạnh mẽ khiến trận đấu trở nên hấp dẫn hơn! Nhận Mech ngay để tăng cường cho quân đội của bạn!
- Sự kiện Mech mới: ""Cơ khí hồi vang."" Đăng nhập liên tục và giành được Chip Mech hiếm!")</f>
        <v>- Tính năng Mech mới: những người khổng lồ cơ giới mạnh mẽ khiến trận đấu trở nên hấp dẫn hơn! Nhận Mech ngay để tăng cường cho quân đội của bạn!
- Sự kiện Mech mới: "Cơ khí hồi vang." Đăng nhập liên tục và giành được Chip Mech hiếm!</v>
      </c>
      <c r="N41" s="108" t="str">
        <f>IFERROR(__xludf.DUMMYFUNCTION("""COMPUTED_VALUE"""),"- Nuova funzione Mech: potenti giganti meccanici che rendono le battaglie più emozionanti! Ottieni Mech ora per dare un impulso alle tue truppe!
- Nuovo evento mech: ""Mech Reverb"". Accedi in giorni consecutivi e vinci rari Chip Mech!")</f>
        <v>- Nuova funzione Mech: potenti giganti meccanici che rendono le battaglie più emozionanti! Ottieni Mech ora per dare un impulso alle tue truppe!
- Nuovo evento mech: "Mech Reverb". Accedi in giorni consecutivi e vinci rari Chip Mech!</v>
      </c>
      <c r="O41" s="148" t="str">
        <f>IFERROR(__xludf.DUMMYFUNCTION("""COMPUTED_VALUE"""),"- Nowa funkcja Mech: potężne giganty mechów, które sprawiają, że bitwy są bardziej ekscytujące! Zdobądź mechów teraz, aby wzmocnić swoje oddziały!
- Nowe wydarzenie mech: ""Echo Mecha"". Zaloguj się przez kolejne dni i wygraj rzadkie Czipy Mecha!")</f>
        <v>- Nowa funkcja Mech: potężne giganty mechów, które sprawiają, że bitwy są bardziej ekscytujące! Zdobądź mechów teraz, aby wzmocnić swoje oddziały!
- Nowe wydarzenie mech: "Echo Mecha". Zaloguj się przez kolejne dni i wygraj rzadkie Czipy Mecha!</v>
      </c>
      <c r="P41" s="148" t="str">
        <f>IFERROR(__xludf.DUMMYFUNCTION("""COMPUTED_VALUE"""),"- حدث الميكا الجديد: ""آلية الصدى"". قم بتسجيل الدخول في أيام متتالية واربح رقائق الميكا النادرة!
- ميزة الميكا الجديدة: عمالقة الميكا القوية التي تجعل المعارك أكثر إثارة! احصل على الميكا الآن لتعزيز قواتك!")</f>
        <v>- حدث الميكا الجديد: "آلية الصدى". قم بتسجيل الدخول في أيام متتالية واربح رقائق الميكا النادرة!
- ميزة الميكا الجديدة: عمالقة الميكا القوية التي تجعل المعارك أكثر إثارة! احصل على الميكا الآن لتعزيز قواتك!</v>
      </c>
      <c r="Q41" s="148"/>
      <c r="R41" s="148"/>
      <c r="S41" s="148"/>
      <c r="T41" s="148"/>
      <c r="U41" s="148"/>
      <c r="V41" s="148"/>
      <c r="W41" s="148"/>
      <c r="X41" s="148"/>
      <c r="Y41" s="148"/>
      <c r="Z41" s="148"/>
    </row>
    <row r="42">
      <c r="A42" s="167" t="str">
        <f>IFERROR(__xludf.DUMMYFUNCTION("""COMPUTED_VALUE"""),"0.54.0")</f>
        <v>0.54.0</v>
      </c>
      <c r="B42" s="148" t="str">
        <f>IFERROR(__xludf.DUMMYFUNCTION("""COMPUTED_VALUE"""),"-银河战争：增加了全新的银河战争剧本-珊瑚星。
-新增斗士：伞影猎手-塔西娅，杰出的机械师，正义的保护伞！可通过银河战争获取。
-新增传说品质金刚机甲：强大的攻城造物，身型伟岸，力大无穷，可通过完成金刚机甲的激活任务获得。
-新增香蕉大战玩法：完成章节任务第16章时，解锁全新玩法：香蕉大战！您将在对局中与多位敌人展开竞技，夺取更多香蕉KO敌人，率先冲上领奖台，获取大量奖励吧！
全新道具机制：在游戏对局当中，您可以拾取道具来辅助竞技。
-新增堡垒对决50关：堡垒对决新增50个全新关卡，欢迎指挥官挑战！
-新"&amp;"增图鉴系统：游戏中玩家获得主城皮肤、行军特效、雕像都可以在图鉴系统中激活额外的全局属性。
-新增龙舟节活动：
绿野寻粽：划船寻找粽子，有机会赢取限定豪华主城皮肤和其它丰富奖励！
龙舟竞渡：收集龙舟鼓，领取节日奖品，升级还可获得限定装饰！
欢乐粽动员：收集食材，和好友互换，集齐后可制作美味的粽子赢取奖励！
好运成双：龙舟节活动期间，购买【超值礼包】有机会获得双倍奖励返还！
-绝地试炼优化：优化关卡奖励显示和关卡内布局，新增葛列格吉他雕像奖励。
-机甲系统优化：优化了机甲系统技能进阶功能的预告和开放，以及其他"&amp;"的系统表现。
-精英竞技场优化：优化了挑战体验，只有在当期活动最后4小时，对排名前100的指挥官做出冷却时间限制。
-战装车间优化:整合英雄战装制造、升级、重铸、分解提取功能到战装车间界面；制造界面增加橙色品质打造自选技能，分解提取界面增加装备降级返还材料功能。")</f>
        <v>-银河战争：增加了全新的银河战争剧本-珊瑚星。
-新增斗士：伞影猎手-塔西娅，杰出的机械师，正义的保护伞！可通过银河战争获取。
-新增传说品质金刚机甲：强大的攻城造物，身型伟岸，力大无穷，可通过完成金刚机甲的激活任务获得。
-新增香蕉大战玩法：完成章节任务第16章时，解锁全新玩法：香蕉大战！您将在对局中与多位敌人展开竞技，夺取更多香蕉KO敌人，率先冲上领奖台，获取大量奖励吧！
全新道具机制：在游戏对局当中，您可以拾取道具来辅助竞技。
-新增堡垒对决50关：堡垒对决新增50个全新关卡，欢迎指挥官挑战！
-新增图鉴系统：游戏中玩家获得主城皮肤、行军特效、雕像都可以在图鉴系统中激活额外的全局属性。
-新增龙舟节活动：
绿野寻粽：划船寻找粽子，有机会赢取限定豪华主城皮肤和其它丰富奖励！
龙舟竞渡：收集龙舟鼓，领取节日奖品，升级还可获得限定装饰！
欢乐粽动员：收集食材，和好友互换，集齐后可制作美味的粽子赢取奖励！
好运成双：龙舟节活动期间，购买【超值礼包】有机会获得双倍奖励返还！
-绝地试炼优化：优化关卡奖励显示和关卡内布局，新增葛列格吉他雕像奖励。
-机甲系统优化：优化了机甲系统技能进阶功能的预告和开放，以及其他的系统表现。
-精英竞技场优化：优化了挑战体验，只有在当期活动最后4小时，对排名前100的指挥官做出冷却时间限制。
-战装车间优化:整合英雄战装制造、升级、重铸、分解提取功能到战装车间界面；制造界面增加橙色品质打造自选技能，分解提取界面增加装备降级返还材料功能。</v>
      </c>
      <c r="C42" s="148" t="str">
        <f>IFERROR(__xludf.DUMMYFUNCTION("""COMPUTED_VALUE"""),"- Planet Wars: new story - Coral Star.
- New Fighter: Shade Hunter, Tassia, the master mechanic and protector of justice! Get her from Planet Wars.
- New Legendary Mech - Primatus: a super powerful, massive siege machine with unparalleled strength. Comple"&amp;"te the required activation quests to get it.
- Banana Fight is here! Unlock the mini-game after completing chapter 16 quests and fight against multiple opponents. Grab more bananas to knock out your opponents and be the first to the podium to get tons of "&amp;"rewards! New item feature: pick up items to help you in the game.
- 50 New Fortress Takeover levels: take on 50 new levels!
- New ""gallery"" system: activate the City Hall skins, march effects, and statues you get in the gallery to get additional, game-w"&amp;"ide stat bonuses.
- New Dragon Boat event:
The Dumpling Hunt: row the boat and find dumplings for a chance to get an exclusive City Hall skin and other rewards!
Dragon Boat Race: collect Boat Drums to get special prizes. Upgrade to get limited decorations"&amp;"!
Happy Dumpling Bake: collect and trade ingredients with your friends! Get all the ingredients to make a dumpling and win rewards!
Lucky Double: Purchase [Value Packs] during Dragon Boat Fest for a chance to get double the rewards!
- Impasse Trials optim"&amp;"ized: improved reward display and layout in each level. Added Greg's guitar statue as a reward.
- Mech feature optimized: improved the preview and unlocking of mech skill upgrades and other performance improvements.
- Champion Brawl optimized: improved ch"&amp;"allenge experience; cooldown is only imposed on the top 100 players in the last 4 hours of the current event.
- Equipment Factory optimized: integrated equipment assembly, upgrade, recast, and disassembly functions into the Equipment Factory; new Legendar"&amp;"y-quality assembly skill options in the assembly interface; you can now downgrade equipments and get back materials in the disassembly interface.")</f>
        <v>- Planet Wars: new story - Coral Star.
- New Fighter: Shade Hunter, Tassia, the master mechanic and protector of justice! Get her from Planet Wars.
- New Legendary Mech - Primatus: a super powerful, massive siege machine with unparalleled strength. Complete the required activation quests to get it.
- Banana Fight is here! Unlock the mini-game after completing chapter 16 quests and fight against multiple opponents. Grab more bananas to knock out your opponents and be the first to the podium to get tons of rewards! New item feature: pick up items to help you in the game.
- 50 New Fortress Takeover levels: take on 50 new levels!
- New "gallery" system: activate the City Hall skins, march effects, and statues you get in the gallery to get additional, game-wide stat bonuses.
- New Dragon Boat event:
The Dumpling Hunt: row the boat and find dumplings for a chance to get an exclusive City Hall skin and other rewards!
Dragon Boat Race: collect Boat Drums to get special prizes. Upgrade to get limited decorations!
Happy Dumpling Bake: collect and trade ingredients with your friends! Get all the ingredients to make a dumpling and win rewards!
Lucky Double: Purchase [Value Packs] during Dragon Boat Fest for a chance to get double the rewards!
- Impasse Trials optimized: improved reward display and layout in each level. Added Greg's guitar statue as a reward.
- Mech feature optimized: improved the preview and unlocking of mech skill upgrades and other performance improvements.
- Champion Brawl optimized: improved challenge experience; cooldown is only imposed on the top 100 players in the last 4 hours of the current event.
- Equipment Factory optimized: integrated equipment assembly, upgrade, recast, and disassembly functions into the Equipment Factory; new Legendary-quality assembly skill options in the assembly interface; you can now downgrade equipments and get back materials in the disassembly interface.</v>
      </c>
      <c r="D42" s="148" t="str">
        <f>IFERROR(__xludf.DUMMYFUNCTION("""COMPUTED_VALUE"""),"- Guerre Planétaire : nouvelle histoire - Étoile de Corail.
- Nouveau Combattant : Chasseur d'Ombre, Tassia, la maître mécanicienne et protectrice de la justice ! Obtenez-la dans la Guerre Planétaire.
- Nouveau Mécha Légendaire - Primatus : une machine de"&amp;" siège super puissante et massive avec une force inégalée. Terminez les quêtes d'activation requises pour l'obtenir.
- La Bataille des Bananes est là ! Débloquez le mini-jeu après avoir terminé les quêtes du chapitre 16 et affrontez plusieurs adversaires."&amp;" Attrapez plus de bananes pour éliminer vos adversaires et soyez le premier sur le podium pour obtenir des tonnes de récompenses ! Nouvelle fonctionnalité d'objet : ramassez des objets pour vous aider dans le jeu.- 50 nouveaux niveaux d'Invasion de forter"&amp;"esses : relevez le défi des 50 nouveaux niveaux !
- Nouveau système ""galerie"" : activez les skins de l'Hôtel de Ville, les effets de marche et les statues que vous obtenez dans la galerie pour bénéficier de bonus de statistiques supplémentaires dans tou"&amp;"t le jeu.
- Nouvel événement Bateau-Dragon :
La Chasse aux Boulettes : ramez sur le bateau et trouvez des boulettes pour avoir une chance d'obtenir un skin exclusif de l'Hôtel de Ville et d'autres récompenses !
Course de Bateau-Dragon : collectez des Tamb"&amp;"ours de bateau pour obtenir des prix spéciaux. Améliorez pour obtenir des décorations limitées !
Joyeuse Confection de Boulettes : collectez et échangez des ingrédients avec vos amis ! Obtenez tous les ingrédients pour confectionner une boulette et gagnez"&amp;" des récompenses !
Double Chanceux : Achetez des Packs Économiques pendant le Festival du Bateau-Dragon pour tenter d'obtenir le double des récompenses !- Les Épreuves de l'Impasse ont été optimisées : amélioration de l'affichage des récompenses et de la "&amp;"disposition de chaque niveau. Ajout de la statue de la guitare de Greg en récompense.
- La fonctionnalité Mécha a été optimisée : amélioration de l'aperçu et du déblocage des améliorations de compétences de mécha et autres améliorations de performance.
- "&amp;"La Baston des Champions a été optimisée : amélioration de l'expérience de défi ; le temps de récupération n'est imposé qu'aux 100 meilleurs joueurs lors des 4 dernières heures de l'événement en cours.
- L'Usine d'équipement a été optimisée : intégration d"&amp;"es fonctions d'assemblage, de mise à niveau, de refonte et de désassemblage des équipements dans l'Usine d'équipement ; nouvelles options de compétences d'assemblage de qualité Légendaire dans l'interface d'assemblage ; vous pouvez maintenant rétrograder "&amp;"les équipements et récupérer les matériaux dans l'interface de désassemblage.")</f>
        <v>- Guerre Planétaire : nouvelle histoire - Étoile de Corail.
- Nouveau Combattant : Chasseur d'Ombre, Tassia, la maître mécanicienne et protectrice de la justice ! Obtenez-la dans la Guerre Planétaire.
- Nouveau Mécha Légendaire - Primatus : une machine de siège super puissante et massive avec une force inégalée. Terminez les quêtes d'activation requises pour l'obtenir.
- La Bataille des Bananes est là ! Débloquez le mini-jeu après avoir terminé les quêtes du chapitre 16 et affrontez plusieurs adversaires. Attrapez plus de bananes pour éliminer vos adversaires et soyez le premier sur le podium pour obtenir des tonnes de récompenses ! Nouvelle fonctionnalité d'objet : ramassez des objets pour vous aider dans le jeu.- 50 nouveaux niveaux d'Invasion de forteresses : relevez le défi des 50 nouveaux niveaux !
- Nouveau système "galerie" : activez les skins de l'Hôtel de Ville, les effets de marche et les statues que vous obtenez dans la galerie pour bénéficier de bonus de statistiques supplémentaires dans tout le jeu.
- Nouvel événement Bateau-Dragon :
La Chasse aux Boulettes : ramez sur le bateau et trouvez des boulettes pour avoir une chance d'obtenir un skin exclusif de l'Hôtel de Ville et d'autres récompenses !
Course de Bateau-Dragon : collectez des Tambours de bateau pour obtenir des prix spéciaux. Améliorez pour obtenir des décorations limitées !
Joyeuse Confection de Boulettes : collectez et échangez des ingrédients avec vos amis ! Obtenez tous les ingrédients pour confectionner une boulette et gagnez des récompenses !
Double Chanceux : Achetez des Packs Économiques pendant le Festival du Bateau-Dragon pour tenter d'obtenir le double des récompenses !- Les Épreuves de l'Impasse ont été optimisées : amélioration de l'affichage des récompenses et de la disposition de chaque niveau. Ajout de la statue de la guitare de Greg en récompense.
- La fonctionnalité Mécha a été optimisée : amélioration de l'aperçu et du déblocage des améliorations de compétences de mécha et autres améliorations de performance.
- La Baston des Champions a été optimisée : amélioration de l'expérience de défi ; le temps de récupération n'est imposé qu'aux 100 meilleurs joueurs lors des 4 dernières heures de l'événement en cours.
- L'Usine d'équipement a été optimisée : intégration des fonctions d'assemblage, de mise à niveau, de refonte et de désassemblage des équipements dans l'Usine d'équipement ; nouvelles options de compétences d'assemblage de qualité Légendaire dans l'interface d'assemblage ; vous pouvez maintenant rétrograder les équipements et récupérer les matériaux dans l'interface de désassemblage.</v>
      </c>
      <c r="E42" s="148" t="str">
        <f>IFERROR(__xludf.DUMMYFUNCTION("""COMPUTED_VALUE"""),"- Galaxienkriege: Neues Szenario hinzugefügt - Korallenstern.
- Neuer Kämpfer: Schattenjäger - Tassia, herausragende Mechanikerin und Beschützerin der Gerechtigkeit! Erhältlich durch die Galaxienkriege.
- Neuer legendärer King Kong Mech: Mächtige Belageru"&amp;"ngswaffe, gewaltige Statur und enorme Kraft. Erhältlich durch Abschluss der Aktivierungsmissionen für den King Kong Mech.
- Neue Bananenkampf-Spielweise: Schließe die Missionen von Kapitel 16 ab und schalte die neue Spielweise ""Bananenkampf"" frei! Tritt"&amp;" gegen mehrere Gegner an, sammle mehr Bananen, um sie auszuschalten, und erreiche als Erster das Siegertreppchen, um viele Belohnungen zu erhalten!
- Neuer Item-Mechanismus: Sammle während des Spiels Items, um im Wettkampf zu helfen.- 50 Neue Festungsüber"&amp;"nahme-Level: Stelle dich 50 neuen Leveln!
- Neues ""Galerie""-System: Aktiviere die Rathaus-Skins, Marscheffekte und Statuen, die du in der Galerie erhältst, um zusätzliche, spielweite Stat-Boni zu erhalten.
- Neues Drachenboot-Event:
Die Knödeljagd: Rude"&amp;"r das Boot und finde Knödel, um die Chance auf einen exklusiven Rathaus-Skin und andere Belohnungen zu erhalten!
Drachenbootrennen: Sammle Boots-Trommeln, um besondere Preise zu erhalten. Verbessere dich, um limitierte Dekorationen zu erhalten!
Fröhliches"&amp;" Knödelbacken: Sammle und tausche Zutaten mit deinen Freunden! Beschaffe alle Zutaten, um einen Knödel zu machen und Belohnungen zu gewinnen!
Glückliches Doppel: Kaufe während des Drachenbootfestes [Vorteilspacks], um die Chance zu haben, doppelte Belohnu"&amp;"ngen zu erhalten!- Sackgassen-Prüfungen optimiert: Verbesserte Belohnungsanzeige und Layout in jedem Level. Gregs Gitarrenstatue als Belohnung hinzugefügt.
- Mech-Funktion optimiert: Verbesserte Vorschau und Freischaltung von Mech-Fähigkeits-Upgrades und "&amp;"andere Leistungsverbesserungen.
- Champion Krawall optimiert: Verbesserte Herausforderungserfahrung; Abklingzeit wird nur für die Top 100 Spieler in den letzten 4 Stunden des aktuellen Events verhängt.
- Ausrüstungsfabrik optimiert: Integrierte Ausrüstung"&amp;"smontage, Upgrade, Umguss und Demontagefunktionen in die Ausrüstungsfabrik; neue legendäre Montagefähigkeitsoptionen in der Montageschnittstelle; Sie können nun Ausrüstungen herabstufen und Materialien in der Demontageschnittstelle zurückerhalten.")</f>
        <v>- Galaxienkriege: Neues Szenario hinzugefügt - Korallenstern.
- Neuer Kämpfer: Schattenjäger - Tassia, herausragende Mechanikerin und Beschützerin der Gerechtigkeit! Erhältlich durch die Galaxienkriege.
- Neuer legendärer King Kong Mech: Mächtige Belagerungswaffe, gewaltige Statur und enorme Kraft. Erhältlich durch Abschluss der Aktivierungsmissionen für den King Kong Mech.
- Neue Bananenkampf-Spielweise: Schließe die Missionen von Kapitel 16 ab und schalte die neue Spielweise "Bananenkampf" frei! Tritt gegen mehrere Gegner an, sammle mehr Bananen, um sie auszuschalten, und erreiche als Erster das Siegertreppchen, um viele Belohnungen zu erhalten!
- Neuer Item-Mechanismus: Sammle während des Spiels Items, um im Wettkampf zu helfen.- 50 Neue Festungsübernahme-Level: Stelle dich 50 neuen Leveln!
- Neues "Galerie"-System: Aktiviere die Rathaus-Skins, Marscheffekte und Statuen, die du in der Galerie erhältst, um zusätzliche, spielweite Stat-Boni zu erhalten.
- Neues Drachenboot-Event:
Die Knödeljagd: Ruder das Boot und finde Knödel, um die Chance auf einen exklusiven Rathaus-Skin und andere Belohnungen zu erhalten!
Drachenbootrennen: Sammle Boots-Trommeln, um besondere Preise zu erhalten. Verbessere dich, um limitierte Dekorationen zu erhalten!
Fröhliches Knödelbacken: Sammle und tausche Zutaten mit deinen Freunden! Beschaffe alle Zutaten, um einen Knödel zu machen und Belohnungen zu gewinnen!
Glückliches Doppel: Kaufe während des Drachenbootfestes [Vorteilspacks], um die Chance zu haben, doppelte Belohnungen zu erhalten!- Sackgassen-Prüfungen optimiert: Verbesserte Belohnungsanzeige und Layout in jedem Level. Gregs Gitarrenstatue als Belohnung hinzugefügt.
- Mech-Funktion optimiert: Verbesserte Vorschau und Freischaltung von Mech-Fähigkeits-Upgrades und andere Leistungsverbesserungen.
- Champion Krawall optimiert: Verbesserte Herausforderungserfahrung; Abklingzeit wird nur für die Top 100 Spieler in den letzten 4 Stunden des aktuellen Events verhängt.
- Ausrüstungsfabrik optimiert: Integrierte Ausrüstungsmontage, Upgrade, Umguss und Demontagefunktionen in die Ausrüstungsfabrik; neue legendäre Montagefähigkeitsoptionen in der Montageschnittstelle; Sie können nun Ausrüstungen herabstufen und Materialien in der Demontageschnittstelle zurückerhalten.</v>
      </c>
      <c r="F42" s="148" t="str">
        <f>IFERROR(__xludf.DUMMYFUNCTION("""COMPUTED_VALUE"""),"- Guerras Interplanetárias: nova história - Estrela Coral.
- Nova Combatente: Caçadora Sombria, Tassia, a mestre mecânica e protetora da justiça! Adquira-a nas Guerras Interplanetárias.
- Novo Meca Lendário - Primatus: uma máquina de cerco super poderosa "&amp;"e massiva com força incomparável. Complete as missões de ativação necessárias para obtê-lo.
- Batalha das Bananas chegou! Desbloqueie o mini-jogo após completar as missões do capítulo 16 e lute contra vários oponentes. Pegue mais bananas para nocautear se"&amp;"us adversários e seja o primeiro no pódio para ganhar muitas recompensas! Nova funcionalidade de item: pegue itens para ajudá-lo no jogo.- 50 novos níveis de Conquista de Fortaleza: enfrente 50 novos níveis!
- Novo sistema de ""galeria"": ative as skins d"&amp;"a Prefeitura, efeitos de marcha e estátuas que você obtém na galeria para obter bônus adicionais de estatísticas em todo o jogo.
- Novo evento do Barco do Dragão:
A Caça aos Bolinhos: reme o barco e encontre bolinhos para ter a chance de ganhar uma skin e"&amp;"xclusiva da Prefeitura e outras recompensas!
Corrida do Barco do Dragão: colete Tambores de Barco para obter prêmios especiais. Melhore para obter decorações limitadas!
Festa do Bolinho Feliz: colete e troque ingredientes com seus amigos! Consiga todos os"&amp;" ingredientes para fazer um bolinho e ganhe recompensas!
Sorte Dupla: Compre [Pacotes Promocionais] durante o Festival do Barco do Dragão para ter a chance de ganhar o dobro das recompensas!- Desafios de Impasse otimizados: melhoria na exibição de recompe"&amp;"nsas e layout em cada nível. Adicionada a estátua da guitarra do Greg como recompensa.
- Recurso Mech otimizado: melhorias na pré-visualização e desbloqueio de melhorias de habilidades do mech e outras melhorias de desempenho.
- Briga de Campeões otimizad"&amp;"a: melhorias na experiência de desafio; o tempo de recarga é aplicado apenas aos 100 melhores jogadores nas últimas 4 horas do evento atual.
- Fábrica de Equipamentos otimizada: integração das funções de montagem, atualização, refusão e desmontagem de equ"&amp;"ipamentos na Fábrica de Equipamentos; novas opções de habilidades de montagem de qualidade Lendária na interface de montagem; agora é possível rebaixar equipamentos e recuperar materiais na interface de desmontagem.")</f>
        <v>- Guerras Interplanetárias: nova história - Estrela Coral.
- Nova Combatente: Caçadora Sombria, Tassia, a mestre mecânica e protetora da justiça! Adquira-a nas Guerras Interplanetárias.
- Novo Meca Lendário - Primatus: uma máquina de cerco super poderosa e massiva com força incomparável. Complete as missões de ativação necessárias para obtê-lo.
- Batalha das Bananas chegou! Desbloqueie o mini-jogo após completar as missões do capítulo 16 e lute contra vários oponentes. Pegue mais bananas para nocautear seus adversários e seja o primeiro no pódio para ganhar muitas recompensas! Nova funcionalidade de item: pegue itens para ajudá-lo no jogo.- 50 novos níveis de Conquista de Fortaleza: enfrente 50 novos níveis!
- Novo sistema de "galeria": ative as skins da Prefeitura, efeitos de marcha e estátuas que você obtém na galeria para obter bônus adicionais de estatísticas em todo o jogo.
- Novo evento do Barco do Dragão:
A Caça aos Bolinhos: reme o barco e encontre bolinhos para ter a chance de ganhar uma skin exclusiva da Prefeitura e outras recompensas!
Corrida do Barco do Dragão: colete Tambores de Barco para obter prêmios especiais. Melhore para obter decorações limitadas!
Festa do Bolinho Feliz: colete e troque ingredientes com seus amigos! Consiga todos os ingredientes para fazer um bolinho e ganhe recompensas!
Sorte Dupla: Compre [Pacotes Promocionais] durante o Festival do Barco do Dragão para ter a chance de ganhar o dobro das recompensas!- Desafios de Impasse otimizados: melhoria na exibição de recompensas e layout em cada nível. Adicionada a estátua da guitarra do Greg como recompensa.
- Recurso Mech otimizado: melhorias na pré-visualização e desbloqueio de melhorias de habilidades do mech e outras melhorias de desempenho.
- Briga de Campeões otimizada: melhorias na experiência de desafio; o tempo de recarga é aplicado apenas aos 100 melhores jogadores nas últimas 4 horas do evento atual.
- Fábrica de Equipamentos otimizada: integração das funções de montagem, atualização, refusão e desmontagem de equipamentos na Fábrica de Equipamentos; novas opções de habilidades de montagem de qualidade Lendária na interface de montagem; agora é possível rebaixar equipamentos e recuperar materiais na interface de desmontagem.</v>
      </c>
      <c r="G42" s="148" t="str">
        <f>IFERROR(__xludf.DUMMYFUNCTION("""COMPUTED_VALUE"""),"-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全新道具機制：在遊戲對局當中，您可以拾取道具來輔助競技。-新增堡壘對決50關：堡壘對決新增50個全新關卡，歡迎指揮官挑戰！"&amp;"
-新增圖鑒系統：遊戲中玩家獲得主城皮膚、行軍特效、雕像都可以在圖鑒系統中激活額外的全局屬性。
-新增龍舟節活動：
綠野尋粽：划船尋找粽子，有機會贏取限定豪華主城皮膚和其它豐富獎勵！
龍舟競渡：收集龍舟鼓，領取節日獎品，升級還可獲得限定裝飾！
歡樂粽動員：收集食材，和好友互換，集齊後可製作美味的粽子贏取獎勵！
好運成雙：龍舟節活動期間，購買【優惠組合】有機會獲得雙倍獎勵返還！-絕地試煉優化：優化關卡獎勵顯示和關卡內佈局，新增葛列格吉他雕像獎勵。
-機甲系統優化：優化了機甲系統技能進階功能的預告和開放，以及"&amp;"其他的系統表現。
-精英競技場優化：優化了挑戰體驗，只有在當期活動最後4小時，對排名前100的指揮官做出冷卻時間限制。
-戰裝車間優化：整合英雄戰裝製造、升級、重鑄、分解提取功能到戰裝車間界面；製造界面增加橙色品質自選技能打造，分解提取界面增加裝備降級返還材料功能。")</f>
        <v>-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全新道具機制：在遊戲對局當中，您可以拾取道具來輔助競技。-新增堡壘對決50關：堡壘對決新增50個全新關卡，歡迎指揮官挑戰！
-新增圖鑒系統：遊戲中玩家獲得主城皮膚、行軍特效、雕像都可以在圖鑒系統中激活額外的全局屬性。
-新增龍舟節活動：
綠野尋粽：划船尋找粽子，有機會贏取限定豪華主城皮膚和其它豐富獎勵！
龍舟競渡：收集龍舟鼓，領取節日獎品，升級還可獲得限定裝飾！
歡樂粽動員：收集食材，和好友互換，集齊後可製作美味的粽子贏取獎勵！
好運成雙：龍舟節活動期間，購買【優惠組合】有機會獲得雙倍獎勵返還！-絕地試煉優化：優化關卡獎勵顯示和關卡內佈局，新增葛列格吉他雕像獎勵。
-機甲系統優化：優化了機甲系統技能進階功能的預告和開放，以及其他的系統表現。
-精英競技場優化：優化了挑戰體驗，只有在當期活動最後4小時，對排名前100的指揮官做出冷卻時間限制。
-戰裝車間優化：整合英雄戰裝製造、升級、重鑄、分解提取功能到戰裝車間界面；製造界面增加橙色品質自選技能打造，分解提取界面增加裝備降級返還材料功能。</v>
      </c>
      <c r="H42" s="148" t="str">
        <f>IFERROR(__xludf.DUMMYFUNCTION("""COMPUTED_VALUE"""),"- Perang Galaksi: menambahkan skenario baru Perang Galaksi - Bintang Karang.
- Pejuang Baru: Umbra Hunter - Tassia, mekanik yang luar biasa, pelindung keadilan! Dapat diperoleh melalui Perang Galaksi.
- Mekanik Legendaris Baru: King Kong, senjata pengepun"&amp;"gan yang kuat, berukuran besar, dan kekuatan tak terbatas. Dapatkan dengan menyelesaikan misi aktivasi King Kong.
- Permainan Baru: Perang Pisang: Setelah menyelesaikan misi Babak 16, buka permainan baru: Perang Pisang! Anda akan bersaing dengan beberapa "&amp;"lawan dalam pertandingan, rebut lebih banyak pisang untuk mengalahkan musuh, dan jadilah yang pertama mencapai podium untuk mendapatkan banyak hadiah! Mekanisme item baru: Anda dapat mengambil item untuk membantu Anda dalam pertandingan.- 50 Level Baru Pe"&amp;"naklukan Benteng: hadapi 50 level baru!
- Sistem ""galeri"" baru: aktifkan skin Balai Kota, efek berbaris, dan patung yang Anda dapatkan di galeri untuk mendapatkan bonus statistik tambahan di seluruh game.
- Event Perahu Naga baru:
Pencarian Bakcang: day"&amp;"ung perahu dan temukan bakcang untuk kesempatan mendapatkan skin Balai Kota eksklusif dan hadiah lainnya!
Lomba Perahu Naga: kumpulkan Drum Perahu untuk mendapatkan hadiah khusus. Tingkatkan untuk mendapatkan dekorasi terbatas!
Pembuatan Bakcang Bahagia: "&amp;"kumpulkan dan tukar bahan dengan teman-teman Anda! Dapatkan semua bahan untuk membuat bakcang dan menangkan hadiah!
Lucky Double: Beli [Paket Murah] selama Festival Perahu Naga untuk kesempatan mendapatkan dua kali lipat hadiah!- Uji Coba Jalan Buntu diop"&amp;"timalkan: peningkatan tampilan hadiah dan tata letak di setiap level. Menambahkan patung gitar Greg sebagai hadiah.
- Fitur Mech dioptimalkan: peningkatan pratinjau dan pembukaan kunci peningkatan keahlian mech dan peningkatan kinerja lainnya.
- Duel Juar"&amp;"a dioptimalkan: peningkatan pengalaman tantangan; pendinginan hanya diberlakukan pada 100 pemain teratas dalam 4 jam terakhir dari acara saat ini.
- Pabrik Peralatan dioptimalkan: mengintegrasikan fungsi perakitan, peningkatan, pengecoran ulang, dan pembo"&amp;"ngkaran peralatan ke dalam Pabrik Peralatan; opsi keahlian perakitan kualitas Legendaris baru dalam antarmuka perakitan; sekarang kamu dapat menurunkan tingkat peralatan dan mendapatkan kembali material di antarmuka pembongkaran.")</f>
        <v>- Perang Galaksi: menambahkan skenario baru Perang Galaksi - Bintang Karang.
- Pejuang Baru: Umbra Hunter - Tassia, mekanik yang luar biasa, pelindung keadilan! Dapat diperoleh melalui Perang Galaksi.
- Mekanik Legendaris Baru: King Kong, senjata pengepungan yang kuat, berukuran besar, dan kekuatan tak terbatas. Dapatkan dengan menyelesaikan misi aktivasi King Kong.
- Permainan Baru: Perang Pisang: Setelah menyelesaikan misi Babak 16, buka permainan baru: Perang Pisang! Anda akan bersaing dengan beberapa lawan dalam pertandingan, rebut lebih banyak pisang untuk mengalahkan musuh, dan jadilah yang pertama mencapai podium untuk mendapatkan banyak hadiah! Mekanisme item baru: Anda dapat mengambil item untuk membantu Anda dalam pertandingan.- 50 Level Baru Penaklukan Benteng: hadapi 50 level baru!
- Sistem "galeri" baru: aktifkan skin Balai Kota, efek berbaris, dan patung yang Anda dapatkan di galeri untuk mendapatkan bonus statistik tambahan di seluruh game.
- Event Perahu Naga baru:
Pencarian Bakcang: dayung perahu dan temukan bakcang untuk kesempatan mendapatkan skin Balai Kota eksklusif dan hadiah lainnya!
Lomba Perahu Naga: kumpulkan Drum Perahu untuk mendapatkan hadiah khusus. Tingkatkan untuk mendapatkan dekorasi terbatas!
Pembuatan Bakcang Bahagia: kumpulkan dan tukar bahan dengan teman-teman Anda! Dapatkan semua bahan untuk membuat bakcang dan menangkan hadiah!
Lucky Double: Beli [Paket Murah] selama Festival Perahu Naga untuk kesempatan mendapatkan dua kali lipat hadiah!- Uji Coba Jalan Buntu dioptimalkan: peningkatan tampilan hadiah dan tata letak di setiap level. Menambahkan patung gitar Greg sebagai hadiah.
- Fitur Mech dioptimalkan: peningkatan pratinjau dan pembukaan kunci peningkatan keahlian mech dan peningkatan kinerja lainnya.
- Duel Juara dioptimalkan: peningkatan pengalaman tantangan; pendinginan hanya diberlakukan pada 100 pemain teratas dalam 4 jam terakhir dari acara saat ini.
- Pabrik Peralatan dioptimalkan: mengintegrasikan fungsi perakitan, peningkatan, pengecoran ulang, dan pembongkaran peralatan ke dalam Pabrik Peralatan; opsi keahlian perakitan kualitas Legendaris baru dalam antarmuka perakitan; sekarang kamu dapat menurunkan tingkat peralatan dan mendapatkan kembali material di antarmuka pembongkaran.</v>
      </c>
      <c r="I42" s="148" t="str">
        <f>IFERROR(__xludf.DUMMYFUNCTION("""COMPUTED_VALUE"""),"- สงครามดาวเคราะห์: เพิ่มบทใหม่ของสงครามดาวเคราะห์ - ดาวปะการัง
- นักสู้ใหม่: ฮันเตอร์เงา - ทาสเซีย, ช่างเครื่องกลยอดเยี่ยม, ผู้ปกป้องความยุติธรรม! สามารถรับได้จากสงครามดาวเคราะห์
- เมคตำนานคุณภาพใหม่: สร้างเครื่องป้อมยักษ์ที่มีพลังที่ยิ่งใหญ่และแข็งแกร่ง"&amp;", สามารถรับได้จากการทำภารกิจเปิดใช้งานเมค
- เพิ่มเกมเพลย์ Banana Fight: เมื่อเสร็จภารกิจบทที่ 16, ปลดล็อกเกมเพลย์ใหม่: Banana Fight! คุณจะแข่งขันกับศัตรูหลายคนในเกม, ชิงกล้วยเพื่อทำให้ศัตรู KO, แข่งขันเพื่อขึ้นเวทีรับรางวัลมากมาย! 
กลไกไอเทมใหม่: ในเกม, ค"&amp;"ุณสามารถเก็บไอเทมเพื่อช่วยเสริมการแข่งขัน- 50 ระดับการครอบครองป้อมใหม่: ต่อสู้ใน 50 ระดับใหม่!
- ระบบ ""แกลเลอรี"" ใหม่: เปิดใช้งานสกินศาลากลาง, ผลของการเดินทัพ, และรูปปั้นที่คุณได้รับในแกลเลอรีเพื่อรับโบนัสสถิติเพิ่มเติมในเกม
- กิจกรรมเรือมังกรใหม่:
การล"&amp;"่าข้าวเหนียวห่อใบตอง: พายเรือและค้นหาข้าวเหนียวห่อใบตองเพื่อโอกาสได้รับสกินศาลากลางพิเศษและรางวัลอื่น ๆ!
การแข่งขันเรือมังกร: เก็บกลองเรือมังกรเพื่อรับรางวัลพิเศษ อัปเกรดเพื่อรับการตกแต่งจำกัด!
การอบข้าวเหนียวห่อใบตองมีความสุข: เก็บและแลกเปลี่ยนส่วนผสมกับ"&amp;"เพื่อนของคุณ! รับส่วนผสมทั้งหมดเพื่อทำข้าวเหนียวห่อใบตองและชนะรางวัล!
โชคดีสองเท่า: ซื้อ [แพ็คคุ้มค่า] ในช่วงงานเทศกาลเรือมังกรเพื่อโอกาสได้รับรางวัลสองเท่า!- การทดสอบที่ทางตันได้รับการปรับปรุง: ปรับปรุงการแสดงผลรางวัลและการวางเลเวลในแต่ละระดับ ได้เพิ่มรู"&amp;"ปปั้นกีตาร์ของ Greg เป็นรางวัล
- คุณสมบัติเมคได้รับการปรับปรุง: ปรับปรุงการดูตัวอย่างและปลดล็อกการอัปเกรดสกิลเมคและปรับปรุงประสิทธิภาพอื่น ๆ
- วิวาทแชมป์ได้รับการปรับปรุง: ปรับปรุงประสบการณ์การท้าทาย; เวลาคูลดาวน์จะถูกใช้เฉพาะกับผู้เล่น 100 อันดับแรกใน 4 "&amp;"ชั่วโมงสุดท้ายของกิจกรรมครั้งนี้
- โรงงานอุปกรณ์ได้รับการปรับปรุง: รวมฟังก์ชันการประกอบอุปกรณ์, อัปเกรด, หล่อใหม่, และการแยกอุปกรณ์เข้าสู่โรงงานอุปกรณ์; ตัวเลือกสกิลการประกอบคุณภาพตำนานใหม่ในหน้าต่างการประกอบ; คุณสามารถลดเกรดอุปกรณ์และรับวัสดุคืนในหน้าต่า"&amp;"งการแยกอุปกรณ์")</f>
        <v>- สงครามดาวเคราะห์: เพิ่มบทใหม่ของสงครามดาวเคราะห์ - ดาวปะการัง
- นักสู้ใหม่: ฮันเตอร์เงา - ทาสเซีย, ช่างเครื่องกลยอดเยี่ยม, ผู้ปกป้องความยุติธรรม! สามารถรับได้จากสงครามดาวเคราะห์
- เมคตำนานคุณภาพใหม่: สร้างเครื่องป้อมยักษ์ที่มีพลังที่ยิ่งใหญ่และแข็งแกร่ง, สามารถรับได้จากการทำภารกิจเปิดใช้งานเมค
- เพิ่มเกมเพลย์ Banana Fight: เมื่อเสร็จภารกิจบทที่ 16, ปลดล็อกเกมเพลย์ใหม่: Banana Fight! คุณจะแข่งขันกับศัตรูหลายคนในเกม, ชิงกล้วยเพื่อทำให้ศัตรู KO, แข่งขันเพื่อขึ้นเวทีรับรางวัลมากมาย! 
กลไกไอเทมใหม่: ในเกม, คุณสามารถเก็บไอเทมเพื่อช่วยเสริมการแข่งขัน- 50 ระดับการครอบครองป้อมใหม่: ต่อสู้ใน 50 ระดับใหม่!
- ระบบ "แกลเลอรี" ใหม่: เปิดใช้งานสกินศาลากลาง, ผลของการเดินทัพ, และรูปปั้นที่คุณได้รับในแกลเลอรีเพื่อรับโบนัสสถิติเพิ่มเติมในเกม
- กิจกรรมเรือมังกรใหม่:
การล่าข้าวเหนียวห่อใบตอง: พายเรือและค้นหาข้าวเหนียวห่อใบตองเพื่อโอกาสได้รับสกินศาลากลางพิเศษและรางวัลอื่น ๆ!
การแข่งขันเรือมังกร: เก็บกลองเรือมังกรเพื่อรับรางวัลพิเศษ อัปเกรดเพื่อรับการตกแต่งจำกัด!
การอบข้าวเหนียวห่อใบตองมีความสุข: เก็บและแลกเปลี่ยนส่วนผสมกับเพื่อนของคุณ! รับส่วนผสมทั้งหมดเพื่อทำข้าวเหนียวห่อใบตองและชนะรางวัล!
โชคดีสองเท่า: ซื้อ [แพ็คคุ้มค่า] ในช่วงงานเทศกาลเรือมังกรเพื่อโอกาสได้รับรางวัลสองเท่า!- การทดสอบที่ทางตันได้รับการปรับปรุง: ปรับปรุงการแสดงผลรางวัลและการวางเลเวลในแต่ละระดับ ได้เพิ่มรูปปั้นกีตาร์ของ Greg เป็นรางวัล
- คุณสมบัติเมคได้รับการปรับปรุง: ปรับปรุงการดูตัวอย่างและปลดล็อกการอัปเกรดสกิลเมคและปรับปรุงประสิทธิภาพอื่น ๆ
- วิวาทแชมป์ได้รับการปรับปรุง: ปรับปรุงประสบการณ์การท้าทาย; เวลาคูลดาวน์จะถูกใช้เฉพาะกับผู้เล่น 100 อันดับแรกใน 4 ชั่วโมงสุดท้ายของกิจกรรมครั้งนี้
- โรงงานอุปกรณ์ได้รับการปรับปรุง: รวมฟังก์ชันการประกอบอุปกรณ์, อัปเกรด, หล่อใหม่, และการแยกอุปกรณ์เข้าสู่โรงงานอุปกรณ์; ตัวเลือกสกิลการประกอบคุณภาพตำนานใหม่ในหน้าต่างการประกอบ; คุณสามารถลดเกรดอุปกรณ์และรับวัสดุคืนในหน้าต่างการแยกอุปกรณ์</v>
      </c>
      <c r="J42" s="148" t="str">
        <f>IFERROR(__xludf.DUMMYFUNCTION("""COMPUTED_VALUE"""),"- Guerras Planetarias: nueva historia - Estrella de Coral.
- Nuevo Luchador: Cazadora de Sombras, Tassia, la maestra mecánica y protectora de la justicia. Obténla en las Guerras Planetarias.
- Nuevo Meca Legendario - Primatus: una máquina de asedio súper "&amp;"poderosa y masiva con una fuerza sin igual. Completa las misiones de activación requeridas para obtenerlo.
- ¡Llega la Pelea de Bananas! Desbloquea el minijuego después de completar las misiones del capítulo 16 y lucha contra múltiples oponentes. ¡Agarra "&amp;"más bananas para noquear a tus oponentes y sé el primero en el podio para obtener montones de recompensas! Nueva función de objetos: recoge objetos para ayudarte en el juego.- 50 nuevos niveles de Toma de la Fortaleza: ¡enfréntate a 50 nuevos niveles!
- N"&amp;"uevo sistema de ""galería"": activa las apariencias del Ayuntamiento, los efectos de marcha y las estatuas que obtienes en la galería para obtener bonificaciones adicionales en todo el juego.
- Nuevo evento del Barco Dragón:
La Búsqueda de Dumplings: ¡rem"&amp;"ar el barco y encontrar dumplings para tener la oportunidad de obtener una apariencia exclusiva del Ayuntamiento y otras recompensas!
Carrera de Barco Dragón: recolecta Tambores de Barco para obtener premios especiales. ¡Mejora para obtener decoraciones l"&amp;"imitadas!
Feliz Horneado de Dumplings: ¡recolecta e intercambia ingredientes con tus amigos! Consigue todos los ingredientes para hacer un dumpling y gana recompensas.
Doble Afortunado: Compra [Paquetes de Valor] durante el Festival del Barco Dragón para "&amp;"tener la oportunidad de obtener el doble de recompensas.- Pruebas de Impasse optimizadas: se mejoró la visualización y el diseño de las recompensas en cada nivel. Se agregó la estatua de la guitarra de Greg como recompensa.
- Función de Mech optimizada: s"&amp;"e mejoró la vista previa y el desbloqueo de las mejoras de habilidades de Mech y otras mejoras de rendimiento.
- Pelea de Campeones optimizada: se mejoró la experiencia de desafío; el tiempo de espera solo se aplica a los 100 mejores jugadores en las últi"&amp;"mas 4 horas del evento actual.
- Fábrica de Equipos optimizada: se integraron las funciones de ensamblaje, mejora, refundición y desmontaje de equipos en la Fábrica de Equipos; se agregaron nuevas opciones de habilidades de ensamblaje de calidad Legendari"&amp;"o en la interfaz de ensamblaje; ahora puedes degradar equipos y recuperar materiales en la interfaz de desmontaje.")</f>
        <v>- Guerras Planetarias: nueva historia - Estrella de Coral.
- Nuevo Luchador: Cazadora de Sombras, Tassia, la maestra mecánica y protectora de la justicia. Obténla en las Guerras Planetarias.
- Nuevo Meca Legendario - Primatus: una máquina de asedio súper poderosa y masiva con una fuerza sin igual. Completa las misiones de activación requeridas para obtenerlo.
- ¡Llega la Pelea de Bananas! Desbloquea el minijuego después de completar las misiones del capítulo 16 y lucha contra múltiples oponentes. ¡Agarra más bananas para noquear a tus oponentes y sé el primero en el podio para obtener montones de recompensas! Nueva función de objetos: recoge objetos para ayudarte en el juego.- 50 nuevos niveles de Toma de la Fortaleza: ¡enfréntate a 50 nuevos niveles!
- Nuevo sistema de "galería": activa las apariencias del Ayuntamiento, los efectos de marcha y las estatuas que obtienes en la galería para obtener bonificaciones adicionales en todo el juego.
- Nuevo evento del Barco Dragón:
La Búsqueda de Dumplings: ¡remar el barco y encontrar dumplings para tener la oportunidad de obtener una apariencia exclusiva del Ayuntamiento y otras recompensas!
Carrera de Barco Dragón: recolecta Tambores de Barco para obtener premios especiales. ¡Mejora para obtener decoraciones limitadas!
Feliz Horneado de Dumplings: ¡recolecta e intercambia ingredientes con tus amigos! Consigue todos los ingredientes para hacer un dumpling y gana recompensas.
Doble Afortunado: Compra [Paquetes de Valor] durante el Festival del Barco Dragón para tener la oportunidad de obtener el doble de recompensas.- Pruebas de Impasse optimizadas: se mejoró la visualización y el diseño de las recompensas en cada nivel. Se agregó la estatua de la guitarra de Greg como recompensa.
- Función de Mech optimizada: se mejoró la vista previa y el desbloqueo de las mejoras de habilidades de Mech y otras mejoras de rendimiento.
- Pelea de Campeones optimizada: se mejoró la experiencia de desafío; el tiempo de espera solo se aplica a los 100 mejores jugadores en las últimas 4 horas del evento actual.
- Fábrica de Equipos optimizada: se integraron las funciones de ensamblaje, mejora, refundición y desmontaje de equipos en la Fábrica de Equipos; se agregaron nuevas opciones de habilidades de ensamblaje de calidad Legendario en la interfaz de ensamblaje; ahora puedes degradar equipos y recuperar materiales en la interfaz de desmontaje.</v>
      </c>
      <c r="K42" s="148" t="str">
        <f>IFERROR(__xludf.DUMMYFUNCTION("""COMPUTED_VALUE"""),"- Планетарные войны: новая история - Коралловая Звезда.
- Новый герой: Теневой Охотник, Тассия, мастер-механик и защитник справедливости! Получите ее из Планетарных войн.
- Новый легендарный мех - Приматус: сверхмощная, массивная осадная машина с непревзо"&amp;"йденной силой. Завершите необходимые задания по активации, чтобы получить его.
- Битва Бананов здесь! Разблокируйте мини-игру после выполнения заданий главы 16 и сражайтесь против нескольких противников. Собирайте больше бананов, чтобы выбить своих соперн"&amp;"иков и первым добраться до пьедестала, чтобы получить массу наград! Новая функция предметов: подбирайте предметы, чтобы помочь вам в игре.- 50 новых уровней захвата крепости: пройдите 50 новых уровней!
- Новая система ""галерея"": активируйте скины Ратуши"&amp;", эффекты марша и статуи, которые вы получаете в галерее, чтобы получить дополнительные бонусы ко всем показателям игры.
- Новое событие Драконьей лодки:
Охота на пельмени: гребите на лодке и ищите пельмени, чтобы получить шанс выиграть эксклюзивный скин "&amp;"Ратуши и другие награды!
Гонка драконьих лодок: собирайте Барабаны для лодки, чтобы получить специальные призы. Улучшайте, чтобы получить ограниченные украшения!
Веселая выпечка пельменей: собирайте и обменивайтесь ингредиентами с друзьями! Соберите все и"&amp;"нгредиенты, чтобы сделать пельмень и выиграть награды!
Удачное удвоение: Покупайте [Выгодные наборы] во время Фестиваля драконьих лодок, чтобы получить шанс удвоить награды!- Оптимизация Испытаний Тупика: улучшено отображение наград и расположение на кажд"&amp;"ом уровне. В качестве награды добавлена статуя гитары Грега.
- Оптимизация функции Меха: улучшен предпросмотр и разблокировка улучшений навыков меха и другие улучшения производительности.
- Оптимизация Потасовки Чемпионов: улучшен опыт вызова; перезарядка"&amp;" налагается только на топ-100 игроков в последние 4 часа текущего события.
- Оптимизация Фабрики Снаряжения: интеграция функций сборки, улучшения, переливки и разборки оборудования в Фабрику Снаряжения; новые варианты навыков сборки легендарного качества "&amp;"в интерфейсе сборки; теперь вы можете понизить уровень снаряжения и вернуть материалы в интерфейсе разборки.")</f>
        <v>- Планетарные войны: новая история - Коралловая Звезда.
- Новый герой: Теневой Охотник, Тассия, мастер-механик и защитник справедливости! Получите ее из Планетарных войн.
- Новый легендарный мех - Приматус: сверхмощная, массивная осадная машина с непревзойденной силой. Завершите необходимые задания по активации, чтобы получить его.
- Битва Бананов здесь! Разблокируйте мини-игру после выполнения заданий главы 16 и сражайтесь против нескольких противников. Собирайте больше бананов, чтобы выбить своих соперников и первым добраться до пьедестала, чтобы получить массу наград! Новая функция предметов: подбирайте предметы, чтобы помочь вам в игре.- 50 новых уровней захвата крепости: пройдите 50 новых уровней!
- Новая система "галерея": активируйте скины Ратуши, эффекты марша и статуи, которые вы получаете в галерее, чтобы получить дополнительные бонусы ко всем показателям игры.
- Новое событие Драконьей лодки:
Охота на пельмени: гребите на лодке и ищите пельмени, чтобы получить шанс выиграть эксклюзивный скин Ратуши и другие награды!
Гонка драконьих лодок: собирайте Барабаны для лодки, чтобы получить специальные призы. Улучшайте, чтобы получить ограниченные украшения!
Веселая выпечка пельменей: собирайте и обменивайтесь ингредиентами с друзьями! Соберите все ингредиенты, чтобы сделать пельмень и выиграть награды!
Удачное удвоение: Покупайте [Выгодные наборы] во время Фестиваля драконьих лодок, чтобы получить шанс удвоить награды!- Оптимизация Испытаний Тупика: улучшено отображение наград и расположение на каждом уровне. В качестве награды добавлена статуя гитары Грега.
- Оптимизация функции Меха: улучшен предпросмотр и разблокировка улучшений навыков меха и другие улучшения производительности.
- Оптимизация Потасовки Чемпионов: улучшен опыт вызова; перезарядка налагается только на топ-100 игроков в последние 4 часа текущего события.
- Оптимизация Фабрики Снаряжения: интеграция функций сборки, улучшения, переливки и разборки оборудования в Фабрику Снаряжения; новые варианты навыков сборки легендарного качества в интерфейсе сборки; теперь вы можете понизить уровень снаряжения и вернуть материалы в интерфейсе разборки.</v>
      </c>
      <c r="L42" s="148" t="str">
        <f>IFERROR(__xludf.DUMMYFUNCTION("""COMPUTED_VALUE"""),"- Gezegen Savaşları: yeni hikaye - Mercan Yıldızı.
- Yeni Savaşçı: Gölge Avcısı, Tassia, adaletin koruyucusu ve ustalık mekanik! Onu Gezegen Savaşları'ndan alın.
- Yeni Efsanevi Meka - Primatus: eşsiz güce sahip, süper güçlü ve devasa bir kuşatma makinesi"&amp;". Onu elde etmek için gerekli etkinleştirme görevlerini tamamlayın.
- Muz Savaşı burada! Bölüm 16 görevlerini tamamladıktan sonra mini oyunu açın ve birden fazla rakibe karşı savaşın. Daha fazla muz kaparak rakiplerinizi devre dışı bırakın ve ödüller için"&amp;" ilk sıraya yerleşin! Yeni eşya özelliği: oyun sırasında size yardımcı olacak eşyaları toplayın.- 50 Yeni Kale Savaşı seviyeleri: 50 yeni seviye ekleniyor, komutanlar meydan okumaya hoş geldiniz!
- Yeni koleksiyon sistemi: Oyuncuların elde ettiği ana şehi"&amp;"r skinleri, hareket efektleri ve heykeller, koleksiyon sistemine ekstra genel özellikler olarak eklenebilir.
- Yeni Ejderha Teknesi Festivali etkinliği:
Yeşil Alanlarda Dumpling Arayışı: Tekneyle dumpling arayın ve sınırlı süreli lüks ana şehir skin'i ve "&amp;"diğer zengin ödüller kazanma şansı elde edin!
Ejderha Teknesi Yarışı: Ejderha teknesi davulları toplayarak festival ödülleri kazanın ve sınırlı süreli dekorasyonlar elde etmek için yükseltin!
Neşeli Dumpling Hazırlığı: Malzemeleri toplayın, arkadaşlarınız"&amp;"la takas edin ve tüm malzemeleri topladıktan sonra lezzetli dumpling yaparak ödül kazanın!
İyi Şanslar İkili Olarak: Ejderha Teknesi Festivali sırasında,【Değer Paketleri】satın alarak iki kat ödül kazanma şansı elde edin!- Çıkmaz Durum Denemeleri optimize "&amp;"edildi: her seviyede ödül gösterimi ve düzeni geliştirildi. Ödül olarak Greg'in gitar heykeli eklendi.
- Meka özelliği optimize edildi: meka beceri yükseltmelerinin ön izlemesi ve kilidini açma ve diğer performans iyileştirmeleri geliştirildi.
- Şampiyon "&amp;"Kavgası optimize edildi: meydan okuma deneyimi geliştirildi; bekleme süresi yalnızca şu anki etkinliğin son 4 saatinde ilk 100 oyuncuya uygulanır.
- Ekipman Fabrikası optimize edildi: ekipman montajı, yükseltme, yeniden döküm ve sökme işlemlerini Ekipman "&amp;"Fabrikasına entegre edildi; montaj arayüzünde yeni Efsanevi kalitede montaj beceri seçenekleri; şimdi ekipmanları düşürme ve sökme arayüzünde malzemeleri geri alma özelliği mevcut.")</f>
        <v>- Gezegen Savaşları: yeni hikaye - Mercan Yıldızı.
- Yeni Savaşçı: Gölge Avcısı, Tassia, adaletin koruyucusu ve ustalık mekanik! Onu Gezegen Savaşları'ndan alın.
- Yeni Efsanevi Meka - Primatus: eşsiz güce sahip, süper güçlü ve devasa bir kuşatma makinesi. Onu elde etmek için gerekli etkinleştirme görevlerini tamamlayın.
- Muz Savaşı burada! Bölüm 16 görevlerini tamamladıktan sonra mini oyunu açın ve birden fazla rakibe karşı savaşın. Daha fazla muz kaparak rakiplerinizi devre dışı bırakın ve ödüller için ilk sıraya yerleşin! Yeni eşya özelliği: oyun sırasında size yardımcı olacak eşyaları toplayın.- 50 Yeni Kale Savaşı seviyeleri: 50 yeni seviye ekleniyor, komutanlar meydan okumaya hoş geldiniz!
- Yeni koleksiyon sistemi: Oyuncuların elde ettiği ana şehir skinleri, hareket efektleri ve heykeller, koleksiyon sistemine ekstra genel özellikler olarak eklenebilir.
- Yeni Ejderha Teknesi Festivali etkinliği:
Yeşil Alanlarda Dumpling Arayışı: Tekneyle dumpling arayın ve sınırlı süreli lüks ana şehir skin'i ve diğer zengin ödüller kazanma şansı elde edin!
Ejderha Teknesi Yarışı: Ejderha teknesi davulları toplayarak festival ödülleri kazanın ve sınırlı süreli dekorasyonlar elde etmek için yükseltin!
Neşeli Dumpling Hazırlığı: Malzemeleri toplayın, arkadaşlarınızla takas edin ve tüm malzemeleri topladıktan sonra lezzetli dumpling yaparak ödül kazanın!
İyi Şanslar İkili Olarak: Ejderha Teknesi Festivali sırasında,【Değer Paketleri】satın alarak iki kat ödül kazanma şansı elde edin!- Çıkmaz Durum Denemeleri optimize edildi: her seviyede ödül gösterimi ve düzeni geliştirildi. Ödül olarak Greg'in gitar heykeli eklendi.
- Meka özelliği optimize edildi: meka beceri yükseltmelerinin ön izlemesi ve kilidini açma ve diğer performans iyileştirmeleri geliştirildi.
- Şampiyon Kavgası optimize edildi: meydan okuma deneyimi geliştirildi; bekleme süresi yalnızca şu anki etkinliğin son 4 saatinde ilk 100 oyuncuya uygulanır.
- Ekipman Fabrikası optimize edildi: ekipman montajı, yükseltme, yeniden döküm ve sökme işlemlerini Ekipman Fabrikasına entegre edildi; montaj arayüzünde yeni Efsanevi kalitede montaj beceri seçenekleri; şimdi ekipmanları düşürme ve sökme arayüzünde malzemeleri geri alma özelliği mevcut.</v>
      </c>
      <c r="M42" s="148" t="str">
        <f>IFERROR(__xludf.DUMMYFUNCTION("""COMPUTED_VALUE"""),"- Chiến Tranh Hành Tinh: thêm kịch bản Chiến Tranh Hành Tinh mới - Sao San Hô.
- Chiến Binh mới: Umbra Hunter - Tassia, cơ khí gia xuất sắc, bảo vệ công lý! Có thể nhận được từ Chiến Tranh Hành Tinh.
- Cơ Khí Huyền Thoại mới: Primatus - vũ khí bao vây mạn"&amp;"h mẽ, hình dáng uy nghi, sức mạnh to lớn, có thể nhận được bằng cách hoàn thành nhiệm vụ kích hoạt của Primatus.
- Thêm trò chơi Banana Fight: sau khi hoàn thành nhiệm vụ chương 16, mở khóa trò chơi mới: Banana Fight! Bạn sẽ cạnh tranh với nhiều kẻ thù tr"&amp;"ong trận đấu, giành lấy nhiều chuối hơn để đánh bại đối thủ, vượt lên đầu tiên trên bục nhận thưởng và nhận được nhiều phần thưởng! 
Cơ chế vật phẩm mới: trong trận đấu, bạn có thể nhặt vật phẩm để hỗ trợ cạnh tranh.- 50 cấp độ Chinh Phục Pháo Đài mới: th"&amp;"ử sức với 50 cấp độ mới!
- Hệ thống ""bộ sưu tập"" mới: kích hoạt các skin Tòa Thị Chính, hiệu ứng hành quân và tượng mà bạn nhận được trong bộ sưu tập để nhận thêm các điểm thưởng thống kê trên toàn trò chơi.
- Sự kiện Thuyền Rồng mới:
Cuộc săn bánh chưn"&amp;"g: chèo thuyền và tìm bánh chưng để có cơ hội nhận được skin Tòa Thị Chính độc quyền và các phần thưởng khác!
Cuộc đua thuyền rồng: thu thập Trống Thuyền để nhận những giải thưởng đặc biệt. Nâng cấp để nhận đồ trang trí giới hạn!
Lễ hội nướng bánh chưng v"&amp;"ui vẻ: thu thập và trao đổi nguyên liệu với bạn bè! Nhận đủ nguyên liệu để làm một chiếc bánh chưng và giành phần thưởng!
Gấp đôi may mắn: Mua [Gói Giá Trị] trong Lễ Hội Đua Thuyền Rồng để có cơ hội nhận gấp đôi phần thưởng!- Thí Luyện Tuyệt Địa được tối "&amp;"ưu hóa: cải thiện hiển thị phần thưởng và bố cục ở mỗi cấp độ. Thêm Tượng Guitar của Greg làm phần thưởng.
- Tính năng Cơ khí được tối ưu hóa: cải thiện xem trước và mở khóa nâng cấp kỹ năng Cơ khí và các cải tiến hiệu suất khác.
- Brawl của Nhà vô địch đ"&amp;"ược tối ưu hóa: cải thiện trải nghiệm khiêu chiến; thời gian hồi chỉ áp dụng cho 100 người chơi hàng đầu trong 4 giờ cuối của sự kiện hiện tại.
- Nhà máy Trang bị được tối ưu hóa: tích hợp chức năng lắp ráp, nâng cấp, tái chế và tháo rời trang bị vào Nhà "&amp;"máy Trang bị; tùy chọn kỹ năng lắp ráp chất lượng Huyền thoại mới trong giao diện lắp ráp; bạn có thể hạ cấp trang bị và lấy lại nguyên liệu trong giao diện tháo rời.")</f>
        <v>- Chiến Tranh Hành Tinh: thêm kịch bản Chiến Tranh Hành Tinh mới - Sao San Hô.
- Chiến Binh mới: Umbra Hunter - Tassia, cơ khí gia xuất sắc, bảo vệ công lý! Có thể nhận được từ Chiến Tranh Hành Tinh.
- Cơ Khí Huyền Thoại mới: Primatus - vũ khí bao vây mạnh mẽ, hình dáng uy nghi, sức mạnh to lớn, có thể nhận được bằng cách hoàn thành nhiệm vụ kích hoạt của Primatus.
- Thêm trò chơi Banana Fight: sau khi hoàn thành nhiệm vụ chương 16, mở khóa trò chơi mới: Banana Fight! Bạn sẽ cạnh tranh với nhiều kẻ thù trong trận đấu, giành lấy nhiều chuối hơn để đánh bại đối thủ, vượt lên đầu tiên trên bục nhận thưởng và nhận được nhiều phần thưởng! 
Cơ chế vật phẩm mới: trong trận đấu, bạn có thể nhặt vật phẩm để hỗ trợ cạnh tranh.- 50 cấp độ Chinh Phục Pháo Đài mới: thử sức với 50 cấp độ mới!
- Hệ thống "bộ sưu tập" mới: kích hoạt các skin Tòa Thị Chính, hiệu ứng hành quân và tượng mà bạn nhận được trong bộ sưu tập để nhận thêm các điểm thưởng thống kê trên toàn trò chơi.
- Sự kiện Thuyền Rồng mới:
Cuộc săn bánh chưng: chèo thuyền và tìm bánh chưng để có cơ hội nhận được skin Tòa Thị Chính độc quyền và các phần thưởng khác!
Cuộc đua thuyền rồng: thu thập Trống Thuyền để nhận những giải thưởng đặc biệt. Nâng cấp để nhận đồ trang trí giới hạn!
Lễ hội nướng bánh chưng vui vẻ: thu thập và trao đổi nguyên liệu với bạn bè! Nhận đủ nguyên liệu để làm một chiếc bánh chưng và giành phần thưởng!
Gấp đôi may mắn: Mua [Gói Giá Trị] trong Lễ Hội Đua Thuyền Rồng để có cơ hội nhận gấp đôi phần thưởng!- Thí Luyện Tuyệt Địa được tối ưu hóa: cải thiện hiển thị phần thưởng và bố cục ở mỗi cấp độ. Thêm Tượng Guitar của Greg làm phần thưởng.
- Tính năng Cơ khí được tối ưu hóa: cải thiện xem trước và mở khóa nâng cấp kỹ năng Cơ khí và các cải tiến hiệu suất khác.
- Brawl của Nhà vô địch được tối ưu hóa: cải thiện trải nghiệm khiêu chiến; thời gian hồi chỉ áp dụng cho 100 người chơi hàng đầu trong 4 giờ cuối của sự kiện hiện tại.
- Nhà máy Trang bị được tối ưu hóa: tích hợp chức năng lắp ráp, nâng cấp, tái chế và tháo rời trang bị vào Nhà máy Trang bị; tùy chọn kỹ năng lắp ráp chất lượng Huyền thoại mới trong giao diện lắp ráp; bạn có thể hạ cấp trang bị và lấy lại nguyên liệu trong giao diện tháo rời.</v>
      </c>
      <c r="N42" s="108" t="str">
        <f>IFERROR(__xludf.DUMMYFUNCTION("""COMPUTED_VALUE"""),"- Guerre Planetarie: nuova storia - Stella di Corallo.
- Nuovo Combattente: Shade Hunter, Tassia, la maestra meccanica e protettrice della giustizia! Ottienila dalle Guerre Planetarie.
- Nuovo Mech Leggendario - Primatus: una macchina d'assedio super pote"&amp;"nte e massiccia con una forza senza pari. Completa le missioni di attivazione richieste per ottenerlo.
- Banana Fight è arrivato! Sblocca il mini-gioco dopo aver completato le missioni del capitolo 16 e combatti contro più avversari. Afferra più banane pe"&amp;"r mettere KO i tuoi avversari e essere il primo sul podio per ottenere tantissime ricompense! Nuova funzionalità degli oggetti: raccogli oggetti per aiutarti nel gioco.- 50 Nuovi livelli di Conquista della Fortezza: affronta 50 nuovi livelli!
- Nuovo sist"&amp;"ema ""galleria"": attiva le skin del Municipio, gli effetti di marcia e le statue che ottieni nella galleria per ottenere ulteriori bonus di statistiche in tutto il gioco.
- Nuovo evento Barca del Drago:
La Caccia ai Ravioli: rema sulla barca e trova i ra"&amp;"violi per avere la possibilità di ottenere una skin esclusiva del Municipio e altre ricompense!
Gara della Barca del Drago: raccogli Tamburi da Barca per ottenere premi speciali. Potenzia per ottenere decorazioni limitate!
Festa del Raviolo Felice: raccog"&amp;"li e scambia ingredienti con i tuoi amici! Ottieni tutti gli ingredienti per preparare un raviolo e vinci premi!
Doppia Fortuna: Acquista [Pacchetti Valore] durante la Festa della Barca del Drago per avere la possibilità di ottenere il doppio delle ricomp"&amp;"ense!- Prove dell'Impasse ottimizzate: migliorata la visualizzazione delle ricompense e il layout di ogni livello. Aggiunta la statua della chitarra di Greg come ricompensa.
- Funzionalità Mech ottimizzata: migliorate l'anteprima e lo sblocco degli aggior"&amp;"namenti delle abilità del mech e altre migliorie delle prestazioni.
- Rissa dei Campioni ottimizzata: migliorata l'esperienza di sfida; il tempo di ricarica viene imposto solo ai primi 100 giocatori nelle ultime 4 ore dell'evento attuale.
- Fabbrica di at"&amp;"trezzature ottimizzata: integrate le funzioni di assemblaggio, potenziamento, rifusione e smontaggio delle attrezzature nella Fabbrica di attrezzature; nuove opzioni di abilità di assemblaggio di qualità Leggendaria nell'interfaccia di assemblaggio; ora è"&amp;" possibile declassare le attrezzature e recuperare i materiali nell'interfaccia di smontaggio.")</f>
        <v>- Guerre Planetarie: nuova storia - Stella di Corallo.
- Nuovo Combattente: Shade Hunter, Tassia, la maestra meccanica e protettrice della giustizia! Ottienila dalle Guerre Planetarie.
- Nuovo Mech Leggendario - Primatus: una macchina d'assedio super potente e massiccia con una forza senza pari. Completa le missioni di attivazione richieste per ottenerlo.
- Banana Fight è arrivato! Sblocca il mini-gioco dopo aver completato le missioni del capitolo 16 e combatti contro più avversari. Afferra più banane per mettere KO i tuoi avversari e essere il primo sul podio per ottenere tantissime ricompense! Nuova funzionalità degli oggetti: raccogli oggetti per aiutarti nel gioco.- 50 Nuovi livelli di Conquista della Fortezza: affronta 50 nuovi livelli!
- Nuovo sistema "galleria": attiva le skin del Municipio, gli effetti di marcia e le statue che ottieni nella galleria per ottenere ulteriori bonus di statistiche in tutto il gioco.
- Nuovo evento Barca del Drago:
La Caccia ai Ravioli: rema sulla barca e trova i ravioli per avere la possibilità di ottenere una skin esclusiva del Municipio e altre ricompense!
Gara della Barca del Drago: raccogli Tamburi da Barca per ottenere premi speciali. Potenzia per ottenere decorazioni limitate!
Festa del Raviolo Felice: raccogli e scambia ingredienti con i tuoi amici! Ottieni tutti gli ingredienti per preparare un raviolo e vinci premi!
Doppia Fortuna: Acquista [Pacchetti Valore] durante la Festa della Barca del Drago per avere la possibilità di ottenere il doppio delle ricompense!- Prove dell'Impasse ottimizzate: migliorata la visualizzazione delle ricompense e il layout di ogni livello. Aggiunta la statua della chitarra di Greg come ricompensa.
- Funzionalità Mech ottimizzata: migliorate l'anteprima e lo sblocco degli aggiornamenti delle abilità del mech e altre migliorie delle prestazioni.
- Rissa dei Campioni ottimizzata: migliorata l'esperienza di sfida; il tempo di ricarica viene imposto solo ai primi 100 giocatori nelle ultime 4 ore dell'evento attuale.
- Fabbrica di attrezzature ottimizzata: integrate le funzioni di assemblaggio, potenziamento, rifusione e smontaggio delle attrezzature nella Fabbrica di attrezzature; nuove opzioni di abilità di assemblaggio di qualità Leggendaria nell'interfaccia di assemblaggio; ora è possibile declassare le attrezzature e recuperare i materiali nell'interfaccia di smontaggio.</v>
      </c>
      <c r="O42" s="148" t="str">
        <f>IFERROR(__xludf.DUMMYFUNCTION("""COMPUTED_VALUE"""),"- Wojny Galaktyczne: dodano nowy scenariusz Wojen Galaktycznych - Gwiazda Koralowa.
- Nowy Wojownik: Łowca Cieni - Tassia, wybitna mechanik, parasol sprawiedliwości! Można zdobyć poprzez Wojny Galaktyczne.
- Nowy Legendarny Mech: potężna machina oblężnicz"&amp;"a o imponującej posturze i nieograniczonej sile. Można zdobyć, wykonując zadania aktywacyjne dla tego mecha.
- Nowa rozgrywka Bananowa Bitwa: po ukończeniu zadań z 16. rozdziału, odblokuj nową rozgrywkę: Bananowa Bitwa! Będziesz rywalizować z wieloma prze"&amp;"ciwnikami, zdobywając więcej bananów, aby pokonać wrogów i jako pierwszy stanąć na podium, zdobywając mnóstwo nagród!
Nowy mechanizm przedmiotów: podczas gry możesz zbierać przedmioty, które pomogą Ci w rywalizacji.- 50 nowych poziomów zdobywania twierdzy"&amp;": przygotuj się na 50 całkowicie nowych poziomów, którym będą musieli stawić czoła dowódcy!
- Nowy system ""galerii"": aktywuj skórki Ratusza, efekty marszu i pomniki zdobyte w grze w systemie galerii, aby uzyskać dodatkowe bonusy statystyk na całym świec"&amp;"ie.
- Nowe wydarzenie związane z Festiwalem Smoczych Łodzi:
Poszukiwanie pierożków na zielonych łąkach: wiosłuj łodzią i szukaj pierożków, aby mieć szansę zdobyć ekskluzywną, luksusową skórkę Ratusza i inne bogate nagrody!
Wyścig Smoczych Łodzi: zbieraj b"&amp;"ębny smoczych łodzi, aby otrzymać nagrody festiwalowe, a ulepszając, zdobędziesz limitowane dekoracje!
Wesołe przygotowywanie pierożków: zbieraj składniki, wymieniaj się nimi ze znajomymi, a po zebraniu wszystkich, przygotuj pyszne pierożki i zdobądź nagr"&amp;"ody!
Podwójne szczęście: podczas Festiwalu Smoczych Łodzi, kupując 【Pakiety Wartościowe】, masz szansę otrzymać podwójne nagrody!- Optymalizacja Próby Impasu: ulepszono wyświetlanie nagród i układ na każdym poziomie. Dodano statuę gitary Grega jako nagrodę"&amp;".
- Optymalizacja funkcji Mecha: ulepszono podgląd i odblokowywanie ulepszeń umiejętności mecha oraz inne usprawnienia wydajności.
- Optymalizacja Bójki Mistrzów: ulepszono doświadczenie z wyzwaniami; czas oczekiwania dotyczy tylko 100 najlepszych graczy "&amp;"w ostatnich 4 godzinach bieżącego wydarzenia.
- Optymalizacja Fabryki Wyposażenia: zintegrowano funkcje montażu, ulepszania, przetapiania i demontażu wyposażenia w Fabryce Wyposażenia; nowe opcje umiejętności montażu o jakości Legendarny w interfejsie mon"&amp;"tażu; teraz można obniżać poziom wyposażenia i odzyskiwać materiały w interfejsie demontażu.")</f>
        <v>- Wojny Galaktyczne: dodano nowy scenariusz Wojen Galaktycznych - Gwiazda Koralowa.
- Nowy Wojownik: Łowca Cieni - Tassia, wybitna mechanik, parasol sprawiedliwości! Można zdobyć poprzez Wojny Galaktyczne.
- Nowy Legendarny Mech: potężna machina oblężnicza o imponującej posturze i nieograniczonej sile. Można zdobyć, wykonując zadania aktywacyjne dla tego mecha.
- Nowa rozgrywka Bananowa Bitwa: po ukończeniu zadań z 16. rozdziału, odblokuj nową rozgrywkę: Bananowa Bitwa! Będziesz rywalizować z wieloma przeciwnikami, zdobywając więcej bananów, aby pokonać wrogów i jako pierwszy stanąć na podium, zdobywając mnóstwo nagród!
Nowy mechanizm przedmiotów: podczas gry możesz zbierać przedmioty, które pomogą Ci w rywalizacji.- 50 nowych poziomów zdobywania twierdzy: przygotuj się na 50 całkowicie nowych poziomów, którym będą musieli stawić czoła dowódcy!
- Nowy system "galerii": aktywuj skórki Ratusza, efekty marszu i pomniki zdobyte w grze w systemie galerii, aby uzyskać dodatkowe bonusy statystyk na całym świecie.
- Nowe wydarzenie związane z Festiwalem Smoczych Łodzi:
Poszukiwanie pierożków na zielonych łąkach: wiosłuj łodzią i szukaj pierożków, aby mieć szansę zdobyć ekskluzywną, luksusową skórkę Ratusza i inne bogate nagrody!
Wyścig Smoczych Łodzi: zbieraj bębny smoczych łodzi, aby otrzymać nagrody festiwalowe, a ulepszając, zdobędziesz limitowane dekoracje!
Wesołe przygotowywanie pierożków: zbieraj składniki, wymieniaj się nimi ze znajomymi, a po zebraniu wszystkich, przygotuj pyszne pierożki i zdobądź nagrody!
Podwójne szczęście: podczas Festiwalu Smoczych Łodzi, kupując 【Pakiety Wartościowe】, masz szansę otrzymać podwójne nagrody!- Optymalizacja Próby Impasu: ulepszono wyświetlanie nagród i układ na każdym poziomie. Dodano statuę gitary Grega jako nagrodę.
- Optymalizacja funkcji Mecha: ulepszono podgląd i odblokowywanie ulepszeń umiejętności mecha oraz inne usprawnienia wydajności.
- Optymalizacja Bójki Mistrzów: ulepszono doświadczenie z wyzwaniami; czas oczekiwania dotyczy tylko 100 najlepszych graczy w ostatnich 4 godzinach bieżącego wydarzenia.
- Optymalizacja Fabryki Wyposażenia: zintegrowano funkcje montażu, ulepszania, przetapiania i demontażu wyposażenia w Fabryce Wyposażenia; nowe opcje umiejętności montażu o jakości Legendarny w interfejsie montażu; teraz można obniżać poziom wyposażenia i odzyskiwać materiały w interfejsie demontażu.</v>
      </c>
      <c r="P42" s="148" t="str">
        <f>IFERROR(__xludf.DUMMYFUNCTION("""COMPUTED_VALUE"""),"- حروب المجرة: سيناريو جديد لحروب المجرة - نجمة المرجان.
- مقاتل جديد: صياد الظل - تاسيا، ميكانيكي متميز وحامي العدالة! يمكن الحصول عليها من خلال حروب المجرة.
- ميكا أسطوري جديد: آلة حصار عملاقة وقوية بقوة لا حدود لها، يمكن الحصول عليها من خلال إكمال مهام"&amp;" تفعيل ميكا الأسطوري.
- طريقة لعب جديدة: معركة الموز: بعد إكمال مهام الفصل 16، ستفتح طريقة لعب جديدة: معركة الموز! ستتنافس مع عدة خصوم في المباراة، اجمع المزيد من الموز لضرب الأعداء وتصدر المنصة للحصول على العديد من المكافآت! آلية جديدة للعناصر: يمكنك جمع"&amp;" العناصر أثناء المباراة لمساعدتك في التنافس.- 50 مستوى جديد لاقتحام القلعة: خوض 50 مستوى جديد!
- نظام ""المعرض"" الجديد: قم بتفعيل سكنات قاعة المدينة وتأثيرات المسير والتماثيل التي تحصل عليها في المعرض للحصول على مكافآت إضافية للعبة.
- حدث قارب التنين الج"&amp;"ديد:
صيد الكعك: اجذب القارب وابحث عن الكعك لفرصة الحصول على سكن حصري لقاعة المدينة ومكافآت أخرى!
سباق قارب التنين: اجمع طبول القوارب للحصول على جوائز خاصة. قم بالترقية للحصول على زينة محدودة!
خبز الكعك السعيد: اجمع المكونات وتبادلها مع أصدقائك! احصل على ج"&amp;"ميع المكونات لصنع كعكة واربح المكافآت!
المكافأة المضاعفة السعيدة: اشترِ [باقات القيمة] أثناء مهرجان قارب التنين لفرصة الحصول على مكافآت مضاعفة!- تم تحسين زنزانة الطريق المسدود: تحسين عرض المكافآت والتصميم في كل مستوى. تمت إضافة تمثال غيتار غريغ كمكافأة.
-"&amp;" تم تحسين ميزة الميكا: تحسين معاينة وفتح ترقيات مهارات الميكا وتحسينات أداء أخرى.
- تم تحسين الحلبة البطولية: تحسين تجربة التحدي؛ يتم فرض فترة الهدوء فقط على أفضل 100 لاعب في آخر 4 ساعات من الحدث الحالي.
- تم تحسين مصنع المعدات: دمج تجميع المعدات والترقية"&amp;" وإعادة الصب ووظائف التفكيك في مصنع المعدات؛ خيارات مهارة التجميع الجديدة ذات الجودة الأسطورية في واجهة التجميع؛ يمكنك الآن تخفيض تصنيف المعدات واستعادة المواد في واجهة التفكيك.")</f>
        <v>- حروب المجرة: سيناريو جديد لحروب المجرة - نجمة المرجان.
- مقاتل جديد: صياد الظل - تاسيا، ميكانيكي متميز وحامي العدالة! يمكن الحصول عليها من خلال حروب المجرة.
- ميكا أسطوري جديد: آلة حصار عملاقة وقوية بقوة لا حدود لها، يمكن الحصول عليها من خلال إكمال مهام تفعيل ميكا الأسطوري.
- طريقة لعب جديدة: معركة الموز: بعد إكمال مهام الفصل 16، ستفتح طريقة لعب جديدة: معركة الموز! ستتنافس مع عدة خصوم في المباراة، اجمع المزيد من الموز لضرب الأعداء وتصدر المنصة للحصول على العديد من المكافآت! آلية جديدة للعناصر: يمكنك جمع العناصر أثناء المباراة لمساعدتك في التنافس.- 50 مستوى جديد لاقتحام القلعة: خوض 50 مستوى جديد!
- نظام "المعرض" الجديد: قم بتفعيل سكنات قاعة المدينة وتأثيرات المسير والتماثيل التي تحصل عليها في المعرض للحصول على مكافآت إضافية للعبة.
- حدث قارب التنين الجديد:
صيد الكعك: اجذب القارب وابحث عن الكعك لفرصة الحصول على سكن حصري لقاعة المدينة ومكافآت أخرى!
سباق قارب التنين: اجمع طبول القوارب للحصول على جوائز خاصة. قم بالترقية للحصول على زينة محدودة!
خبز الكعك السعيد: اجمع المكونات وتبادلها مع أصدقائك! احصل على جميع المكونات لصنع كعكة واربح المكافآت!
المكافأة المضاعفة السعيدة: اشترِ [باقات القيمة] أثناء مهرجان قارب التنين لفرصة الحصول على مكافآت مضاعفة!- تم تحسين زنزانة الطريق المسدود: تحسين عرض المكافآت والتصميم في كل مستوى. تمت إضافة تمثال غيتار غريغ كمكافأة.
- تم تحسين ميزة الميكا: تحسين معاينة وفتح ترقيات مهارات الميكا وتحسينات أداء أخرى.
- تم تحسين الحلبة البطولية: تحسين تجربة التحدي؛ يتم فرض فترة الهدوء فقط على أفضل 100 لاعب في آخر 4 ساعات من الحدث الحالي.
- تم تحسين مصنع المعدات: دمج تجميع المعدات والترقية وإعادة الصب ووظائف التفكيك في مصنع المعدات؛ خيارات مهارة التجميع الجديدة ذات الجودة الأسطورية في واجهة التجميع؛ يمكنك الآن تخفيض تصنيف المعدات واستعادة المواد في واجهة التفكيك.</v>
      </c>
      <c r="Q42" s="148"/>
      <c r="R42" s="148"/>
      <c r="S42" s="148"/>
      <c r="T42" s="148"/>
      <c r="U42" s="148"/>
      <c r="V42" s="148"/>
      <c r="W42" s="148"/>
      <c r="X42" s="148"/>
      <c r="Y42" s="148"/>
      <c r="Z42" s="148"/>
    </row>
    <row r="43">
      <c r="A43" s="167" t="str">
        <f>IFERROR(__xludf.DUMMYFUNCTION("""COMPUTED_VALUE"""),"0.55.0")</f>
        <v>0.55.0</v>
      </c>
      <c r="B43" s="148" t="str">
        <f>IFERROR(__xludf.DUMMYFUNCTION("""COMPUTED_VALUE"""),"-新增斗士：空战神童-博伊斯，制霸空中战场的神童，胖萌飞行员来袭！
-新增三套战装：缔造者套装、霸者套装和狩猎者套装，分别对应突击手、打击手和射击手使用；可通过[秘境探险]获取。
-新增四个战装技能：“嘲讽之力”、“爆破时刻”、“寒霜飓风”和“疾风加护”，可通过三套新战装获得。
-新增战装预设功能:通过此功能，可快速切换装备方案！
-新增机甲远征玩法:使用机甲挑战远征关卡，验证实力的同时获取大量奖励！
-新增三座斗士雕像：乔伊、葛列格、肯，可以通过解锁相应斗士双天赋获得雕像。
-新增霸主移交功能：现在霸主"&amp;"玩家可以将霸主权限转移至同帮派玩家，并可选择是否上线时提示全服玩家。
-新增沙滩节活动：
夏日畅饮：炎炎夏日，一起畅享清凉，有机会赢取限定豪华主城皮肤和其它丰富奖励！
沙滩之星：收集沙滩摇铃，挥动沙滩摇铃助力沙滩之星，可以获得丰厚奖励！
狂欢舞动：完成所有任务即可获得沙滩节装饰物！
舞动助力：积极加入沙滩热舞，获得丰厚奖励！
变异猴试炼：派出部队挑战变异巨猿，战胜越强大的变异巨猿，可获得越多的奖励！
-新增氏族采集：现在银河纪元光复行动阶段完结后，可以采集同氏族的帮派资源点。
-新增地下探宝战斗模式：射击"&amp;"玩法全新上线。坚守防线，摧毁来袭的变异猴，奖励会随着杀敌数不断升级！
-新增香蕉大战关卡：新增关卡玩法内容，不同的通关体验，不同的游戏乐趣！
-配送站升级：解锁兵种技能后可为配送站建造更多类型的附属建筑。
-机甲系统优化：机甲进阶技能现在可以同时培养，切换只需要消耗一些光碟！
-行军队列优化：现在可以通过行军队列右侧的状态栏查看斗士、机甲的存活状态了。
-城墙驻防：增加了驻防斗士锁定功能，在派兵时，如选择了驻防斗士，会弹出提示。
-遗迹驻防怪物：调整了怪物AI，使玩家攻击怪物时的操作得到简化。")</f>
        <v>-新增斗士：空战神童-博伊斯，制霸空中战场的神童，胖萌飞行员来袭！
-新增三套战装：缔造者套装、霸者套装和狩猎者套装，分别对应突击手、打击手和射击手使用；可通过[秘境探险]获取。
-新增四个战装技能：“嘲讽之力”、“爆破时刻”、“寒霜飓风”和“疾风加护”，可通过三套新战装获得。
-新增战装预设功能:通过此功能，可快速切换装备方案！
-新增机甲远征玩法:使用机甲挑战远征关卡，验证实力的同时获取大量奖励！
-新增三座斗士雕像：乔伊、葛列格、肯，可以通过解锁相应斗士双天赋获得雕像。
-新增霸主移交功能：现在霸主玩家可以将霸主权限转移至同帮派玩家，并可选择是否上线时提示全服玩家。
-新增沙滩节活动：
夏日畅饮：炎炎夏日，一起畅享清凉，有机会赢取限定豪华主城皮肤和其它丰富奖励！
沙滩之星：收集沙滩摇铃，挥动沙滩摇铃助力沙滩之星，可以获得丰厚奖励！
狂欢舞动：完成所有任务即可获得沙滩节装饰物！
舞动助力：积极加入沙滩热舞，获得丰厚奖励！
变异猴试炼：派出部队挑战变异巨猿，战胜越强大的变异巨猿，可获得越多的奖励！
-新增氏族采集：现在银河纪元光复行动阶段完结后，可以采集同氏族的帮派资源点。
-新增地下探宝战斗模式：射击玩法全新上线。坚守防线，摧毁来袭的变异猴，奖励会随着杀敌数不断升级！
-新增香蕉大战关卡：新增关卡玩法内容，不同的通关体验，不同的游戏乐趣！
-配送站升级：解锁兵种技能后可为配送站建造更多类型的附属建筑。
-机甲系统优化：机甲进阶技能现在可以同时培养，切换只需要消耗一些光碟！
-行军队列优化：现在可以通过行军队列右侧的状态栏查看斗士、机甲的存活状态了。
-城墙驻防：增加了驻防斗士锁定功能，在派兵时，如选择了驻防斗士，会弹出提示。
-遗迹驻防怪物：调整了怪物AI，使玩家攻击怪物时的操作得到简化。</v>
      </c>
      <c r="C43" s="148" t="str">
        <f>IFERROR(__xludf.DUMMYFUNCTION("""COMPUTED_VALUE"""),"- New Fighter: Whiz of the Sky - Boyce! A whiz of the air, champion of dogfights! The roly-poly pilot has landed! 
- Three new equipment sets: Creator, Vanquisher, and Hunter, for Pilots, Hitters, and Shooters, respectively. Get them from ""Wonderland Adv"&amp;"enture."" 
- Four new equipment skills: “Power of the Taunt,"" ""Blast Hour,"" ""Frost &amp; Ice,"" and ""Wind at Your Back."" Get them with the three new equipment sets. 
- New equipment preset function: switch between equipment configurations more easily! 
"&amp;"- New mech expedition play: use mechs to take on expedition levels. Prove your strength and get tons of rewards! 
- Three new Fighter statues: Joey Jester, Greg, and Ken. Unlock the Fighter's dual talents to get the statue. 
- New function: Overlord posit"&amp;"ion transfer. The Overlord can now transfer privileges to a Gangmate and select whether to show an all-server reminder when they go online. 
- New beach season events: Free Flowing Summer: Enjoy ice-cold drinks on a hot summer day, and get a chance to win"&amp;" a deluxe, limited-edition City Hall skin and other rewards! Beach Superstar: Shake the Tambourines, be the star of the beach, and win rewards! Dance Mania: Join the dance party and get rewards! Mutant Trials: Send troops to challenge Gigantos. The strong"&amp;"er the Gigantos you defeat, the more prizes you get! 
- New Clan gathering: Starting from the end of Planetary History's Operation Rally stage, Gangs of the same Clan will be able to gather from one another's resource spots. 
- New battle mode added to Tr"&amp;"easure Dig: The new shooter mode is here! Hold your defenses and take down incoming mutants! Get better rewards the more enemies you defeat! 
- New Banana Fight level: New level, new gameplay, more fun! Experience a different way of leveling up. 
- Distri"&amp;"butors upgraded: Unlock unit skills to build more types of subsidiary buildings for Distributors. 
- Mech feature optimized: You can now develop both advanced skills at the same time! Switching between the two requires only a few CDs! 
- March queues opti"&amp;"mized: You can now see the Fighter and Mech's conditions in the status panel to the right of the march queue. 
- Garrisoning Defense Walls: You can now assign specific Defense Fighters for garrison; you'll receive a pop-up reminder if the selected Fighter"&amp;" is included in a march queue. 
- Ruin NPCs: Modified NPC's AI algorithm and simplified the actions needed to attack them.")</f>
        <v>- New Fighter: Whiz of the Sky - Boyce! A whiz of the air, champion of dogfights! The roly-poly pilot has landed! 
- Three new equipment sets: Creator, Vanquisher, and Hunter, for Pilots, Hitters, and Shooters, respectively. Get them from "Wonderland Adventure." 
- Four new equipment skills: “Power of the Taunt," "Blast Hour," "Frost &amp; Ice," and "Wind at Your Back." Get them with the three new equipment sets. 
- New equipment preset function: switch between equipment configurations more easily! 
- New mech expedition play: use mechs to take on expedition levels. Prove your strength and get tons of rewards! 
- Three new Fighter statues: Joey Jester, Greg, and Ken. Unlock the Fighter's dual talents to get the statue. 
- New function: Overlord position transfer. The Overlord can now transfer privileges to a Gangmate and select whether to show an all-server reminder when they go online. 
- New beach season events: Free Flowing Summer: Enjoy ice-cold drinks on a hot summer day, and get a chance to win a deluxe, limited-edition City Hall skin and other rewards! Beach Superstar: Shake the Tambourines, be the star of the beach, and win rewards! Dance Mania: Join the dance party and get rewards! Mutant Trials: Send troops to challenge Gigantos. The stronger the Gigantos you defeat, the more prizes you get! 
- New Clan gathering: Starting from the end of Planetary History's Operation Rally stage, Gangs of the same Clan will be able to gather from one another's resource spots. 
- New battle mode added to Treasure Dig: The new shooter mode is here! Hold your defenses and take down incoming mutants! Get better rewards the more enemies you defeat! 
- New Banana Fight level: New level, new gameplay, more fun! Experience a different way of leveling up. 
- Distributors upgraded: Unlock unit skills to build more types of subsidiary buildings for Distributors. 
- Mech feature optimized: You can now develop both advanced skills at the same time! Switching between the two requires only a few CDs! 
- March queues optimized: You can now see the Fighter and Mech's conditions in the status panel to the right of the march queue. 
- Garrisoning Defense Walls: You can now assign specific Defense Fighters for garrison; you'll receive a pop-up reminder if the selected Fighter is included in a march queue. 
- Ruin NPCs: Modified NPC's AI algorithm and simplified the actions needed to attack them.</v>
      </c>
      <c r="D43" s="148" t="str">
        <f>IFERROR(__xludf.DUMMYFUNCTION("""COMPUTED_VALUE"""),"- Nouveau combattant: As de l'air - Boyce! As de l'air, champion des combats aériens! Le pilote rondouillard a atterri!
- Trois nouveaux ensembles d'équipement: Créateur, Vanquisher et Chasseur, respectivement pour les Pilotes, les Bastonneurs et les Tire"&amp;"urs. Obtenez-les à partir de ""Merveilleuse aventure"".
- Quatre nouvelles compétences d'équipement: ""Pouvoir de la Provocation"", ""Heure de l'Explosion"", ""Gel &amp; Glace"" et ""Vent dans le Dos"". Obtenez-les avec les trois nouveaux ensembles d'équipeme"&amp;"nt.
- Nouvelle fonction de préréglage d'équipement: changez plus facilement entre les configurations d'équipement!
- Nouveau jeu d'expédition de mécha: utilisez des méchas pour affronter les niveaux d'expédition. Prouvez votre force et obtenez des tonnes "&amp;"de récompenses!
- Trois nouvelles statues de combattants: Joey Jester, Greg et Ken. Débloquez les doubles talents du combattant pour obtenir la statue.
- Nouvelle fonction: Transfert de position de Souverain. Le Souverain peut désormais transférer les pri"&amp;"vilèges à un membre du Gang et choisir de montrer un rappel à tous les serveurs lorsqu'ils se connectent.
- Nouveaux événements de saison de plage:
Été en libre circulation: Profitez de boissons glacées par une chaude journée d'été et tentez de gagner une"&amp;" peau de l'Hôtel de Ville de luxe en édition limitée et d'autres récompenses!
Star des Plages: Secouez les Tambourins, soyez la star de la plage et gagnez des récompenses!
Mania de la Danse: Rejoignez la fête de la danse et obtenez des récompenses!
Épreuv"&amp;"es Mutantes: Envoyez des troupes pour défier les Gigantos. Plus les Gigantos que vous battez sont forts, plus vous obtenez de prix!
- Nouveau rassemblement de Clan: À partir de la fin de l'étape Opération Rally de l'Histoire Planétaire, les Gangs du même "&amp;"Clan pourront collecter des points de ressources des autres.
- Nouveau mode de combat ajouté à la Chasse au Trésor: Le nouveau mode de tir est là! Tenez vos défenses et éliminez les mutants attaquants! Les récompenses augmentent avec le nombre d'ennemis q"&amp;"ue vous éliminez!
- Nouveau niveau de Guerre des Bananes: Nouveau niveau, nouveau gameplay, plus de plaisir! Découvrez une nouvelle façon de progresser.
- Amélioration des Distributeurs: Après avoir débloqué les compétences des unités, vous pouvez constru"&amp;"ire plus de types de bâtiments annexes pour les Distributeurs.
- Optimisation du système Mécha: Vous pouvez maintenant développer simultanément les deux compétences avancées du Mécha, le changement ne nécessite que quelques CD!
- Optimisation des files de"&amp;" marche: Vous pouvez maintenant voir l'état de survie du Combattant et du Mécha dans le panneau d'état à droite de la file de marche.
- Garnison des Murs de Défense: Ajout de la fonction de verrouillage du Combattant en garnison, une notification apparaît"&amp;"ra si vous choisissez un Combattant en garnison lors de l'envoi de troupes.
- Monstres de la Garnison des Ruines: L'IA des monstres a été ajustée pour simplifier les actions des joueurs lors de l'attaque des monstres.")</f>
        <v>- Nouveau combattant: As de l'air - Boyce! As de l'air, champion des combats aériens! Le pilote rondouillard a atterri!
- Trois nouveaux ensembles d'équipement: Créateur, Vanquisher et Chasseur, respectivement pour les Pilotes, les Bastonneurs et les Tireurs. Obtenez-les à partir de "Merveilleuse aventure".
- Quatre nouvelles compétences d'équipement: "Pouvoir de la Provocation", "Heure de l'Explosion", "Gel &amp; Glace" et "Vent dans le Dos". Obtenez-les avec les trois nouveaux ensembles d'équipement.
- Nouvelle fonction de préréglage d'équipement: changez plus facilement entre les configurations d'équipement!
- Nouveau jeu d'expédition de mécha: utilisez des méchas pour affronter les niveaux d'expédition. Prouvez votre force et obtenez des tonnes de récompenses!
- Trois nouvelles statues de combattants: Joey Jester, Greg et Ken. Débloquez les doubles talents du combattant pour obtenir la statue.
- Nouvelle fonction: Transfert de position de Souverain. Le Souverain peut désormais transférer les privilèges à un membre du Gang et choisir de montrer un rappel à tous les serveurs lorsqu'ils se connectent.
- Nouveaux événements de saison de plage:
Été en libre circulation: Profitez de boissons glacées par une chaude journée d'été et tentez de gagner une peau de l'Hôtel de Ville de luxe en édition limitée et d'autres récompenses!
Star des Plages: Secouez les Tambourins, soyez la star de la plage et gagnez des récompenses!
Mania de la Danse: Rejoignez la fête de la danse et obtenez des récompenses!
Épreuves Mutantes: Envoyez des troupes pour défier les Gigantos. Plus les Gigantos que vous battez sont forts, plus vous obtenez de prix!
- Nouveau rassemblement de Clan: À partir de la fin de l'étape Opération Rally de l'Histoire Planétaire, les Gangs du même Clan pourront collecter des points de ressources des autres.
- Nouveau mode de combat ajouté à la Chasse au Trésor: Le nouveau mode de tir est là! Tenez vos défenses et éliminez les mutants attaquants! Les récompenses augmentent avec le nombre d'ennemis que vous éliminez!
- Nouveau niveau de Guerre des Bananes: Nouveau niveau, nouveau gameplay, plus de plaisir! Découvrez une nouvelle façon de progresser.
- Amélioration des Distributeurs: Après avoir débloqué les compétences des unités, vous pouvez construire plus de types de bâtiments annexes pour les Distributeurs.
- Optimisation du système Mécha: Vous pouvez maintenant développer simultanément les deux compétences avancées du Mécha, le changement ne nécessite que quelques CD!
- Optimisation des files de marche: Vous pouvez maintenant voir l'état de survie du Combattant et du Mécha dans le panneau d'état à droite de la file de marche.
- Garnison des Murs de Défense: Ajout de la fonction de verrouillage du Combattant en garnison, une notification apparaîtra si vous choisissez un Combattant en garnison lors de l'envoi de troupes.
- Monstres de la Garnison des Ruines: L'IA des monstres a été ajustée pour simplifier les actions des joueurs lors de l'attaque des monstres.</v>
      </c>
      <c r="E43" s="148" t="str">
        <f>IFERROR(__xludf.DUMMYFUNCTION("""COMPUTED_VALUE"""),"- Neuer Kämpfer: Wunderkind des Himmels - Boyce! Ein Wunderkind der Lüfte, Champion der Luftkämpfe! Der rundliche Pilot ist gelandet!
- Drei neue Ausrüstungssets: Schöpfer, Bezwinger und Jäger, jeweils für Piloten, Schläger und Schützen. Holen Sie sie sic"&amp;"h vom ""Wunderland-Abenteuer"".
- Vier neue Ausrüstungsfähigkeiten: ""Macht des Spotts"", ""Explosionsstunde"", ""Frost &amp; Eis"" und ""Wind im Rücken"". Erhalte sie mit den drei neuen Ausrüstungssets.
- Neue Ausrüstungsvoreinstellungsfunktion: Wechseln Sie"&amp;" einfacher zwischen Ausrüstungskonfigurationen!
- Neues Mech-Expeditionsspiel: Verwenden Sie Mechs, um Expeditionsebenen zu bewältigen. Beweise deine Stärke und erhalte jede Menge Belohnungen!
- Drei neue Kämpferstatuen: Joey Jester, Greg und Ken. Schalte"&amp;" die doppelten Talente des Kämpfers frei, um die Statue zu bekommen.
- Neue Funktion: Übertragung der Overlord-Position. Der Overlord kann nun Privilegien an einen Gangmitglied übertragen und auswählen, ob eine Erinnerung für alle Server angezeigt werden "&amp;"soll, wenn sie online gehen.
- Neue Strand-Events der Saison:
Frei fließender Sommer: Genieße eiskalte Getränke an einem heißen Sommertag und habe die Chance, eine luxuriöse, limitierte Rathaus-Skin und andere Belohnungen zu gewinnen!
Strand-Superstar: Sc"&amp;"hüttle die Tamburine, sei der Star des Strandes und gewinne Belohnungen!
Tanzwut: Nimm an der Tanzparty teil und erhalte Belohnungen!
Mutantenprüfungen: Schicke Truppen, um Gigantos herauszufordern. Je stärker die Gigantos, die du besiegst, desto mehr Pre"&amp;"ise erhältst du!
- Neues Clan-Treffen: Ab dem Ende der Operation Sammelangriff in der Planetaren Geschichte können Gangs desselben Clans Ressourcenstellen voneinander sammeln.
- Neuer Kampfmodus zum Schatzgraben hinzugefügt: Der neue Shooter-Modus ist da!"&amp;" Halte deine Verteidigungen und besiege die herannahenden Mutanten! Erhalte bessere Belohnungen, je mehr Feinde du besiegst!
- Neues Bananenkampf-Level: Neues Level, neues Gameplay, mehr Spaß! Erlebe eine andere Art des Levelaufstiegs.
- Verteiler aufgewe"&amp;"rtet: Schalte Einheitenfähigkeiten frei, um mehr Arten von Nebengebäuden für Verteiler zu bauen.
- Mech-Funktion optimiert: Du kannst jetzt gleichzeitig beide fortgeschrittenen Fähigkeiten entwickeln! Das Umschalten zwischen den beiden erfordert nur wenig"&amp;"e CDs!
- Marschwarteschlangen optimiert: Du kannst jetzt die Bedingungen des Kämpfers und des Mechs im Statuspanel rechts von der Marschwarteschlange sehen.
- Besatzung von Verteidigungsmauern: Du kannst jetzt spezifische Verteidigungskämpfer zur Besatzun"&amp;"g zuweisen; du erhältst eine Pop-up-Erinnerung, wenn der ausgewählte Kämpfer in einer Marschwarteschlange enthalten ist.
- Ruinen-NPCs: Der KI-Algorithmus der NPCs wurde modifiziert und die Aktionen, die zum Angriff auf sie erforderlich sind, wurden verei"&amp;"nfacht.")</f>
        <v>- Neuer Kämpfer: Wunderkind des Himmels - Boyce! Ein Wunderkind der Lüfte, Champion der Luftkämpfe! Der rundliche Pilot ist gelandet!
- Drei neue Ausrüstungssets: Schöpfer, Bezwinger und Jäger, jeweils für Piloten, Schläger und Schützen. Holen Sie sie sich vom "Wunderland-Abenteuer".
- Vier neue Ausrüstungsfähigkeiten: "Macht des Spotts", "Explosionsstunde", "Frost &amp; Eis" und "Wind im Rücken". Erhalte sie mit den drei neuen Ausrüstungssets.
- Neue Ausrüstungsvoreinstellungsfunktion: Wechseln Sie einfacher zwischen Ausrüstungskonfigurationen!
- Neues Mech-Expeditionsspiel: Verwenden Sie Mechs, um Expeditionsebenen zu bewältigen. Beweise deine Stärke und erhalte jede Menge Belohnungen!
- Drei neue Kämpferstatuen: Joey Jester, Greg und Ken. Schalte die doppelten Talente des Kämpfers frei, um die Statue zu bekommen.
- Neue Funktion: Übertragung der Overlord-Position. Der Overlord kann nun Privilegien an einen Gangmitglied übertragen und auswählen, ob eine Erinnerung für alle Server angezeigt werden soll, wenn sie online gehen.
- Neue Strand-Events der Saison:
Frei fließender Sommer: Genieße eiskalte Getränke an einem heißen Sommertag und habe die Chance, eine luxuriöse, limitierte Rathaus-Skin und andere Belohnungen zu gewinnen!
Strand-Superstar: Schüttle die Tamburine, sei der Star des Strandes und gewinne Belohnungen!
Tanzwut: Nimm an der Tanzparty teil und erhalte Belohnungen!
Mutantenprüfungen: Schicke Truppen, um Gigantos herauszufordern. Je stärker die Gigantos, die du besiegst, desto mehr Preise erhältst du!
- Neues Clan-Treffen: Ab dem Ende der Operation Sammelangriff in der Planetaren Geschichte können Gangs desselben Clans Ressourcenstellen voneinander sammeln.
- Neuer Kampfmodus zum Schatzgraben hinzugefügt: Der neue Shooter-Modus ist da! Halte deine Verteidigungen und besiege die herannahenden Mutanten! Erhalte bessere Belohnungen, je mehr Feinde du besiegst!
- Neues Bananenkampf-Level: Neues Level, neues Gameplay, mehr Spaß! Erlebe eine andere Art des Levelaufstiegs.
- Verteiler aufgewertet: Schalte Einheitenfähigkeiten frei, um mehr Arten von Nebengebäuden für Verteiler zu bauen.
- Mech-Funktion optimiert: Du kannst jetzt gleichzeitig beide fortgeschrittenen Fähigkeiten entwickeln! Das Umschalten zwischen den beiden erfordert nur wenige CDs!
- Marschwarteschlangen optimiert: Du kannst jetzt die Bedingungen des Kämpfers und des Mechs im Statuspanel rechts von der Marschwarteschlange sehen.
- Besatzung von Verteidigungsmauern: Du kannst jetzt spezifische Verteidigungskämpfer zur Besatzung zuweisen; du erhältst eine Pop-up-Erinnerung, wenn der ausgewählte Kämpfer in einer Marschwarteschlange enthalten ist.
- Ruinen-NPCs: Der KI-Algorithmus der NPCs wurde modifiziert und die Aktionen, die zum Angriff auf sie erforderlich sind, wurden vereinfacht.</v>
      </c>
      <c r="F43" s="148" t="str">
        <f>IFERROR(__xludf.DUMMYFUNCTION("""COMPUTED_VALUE"""),"- Novo Combatente: Prodígio do Céu - Boyce! Um prodígio do ar, campeão de combates aéreos! O piloto roliço pousou!
- Três novos conjuntos de equipamentos: Criador, Conquistador e Caçador, para Pilotos, Golpeadores e Atiradores, respectivamente. Obtenha-os"&amp;" na ""Aventura no Reino das Maravilhas"".
- Quatro novas habilidades de equipamento: ""Poder da Provocação"", ""Hora da Explosão"", ""Gelo &amp; Neve"" e ""Vento às Suas Costas"". Obtenha-os com os três novos conjuntos de equipamentos.
- Nova função de predef"&amp;"inição de equipamento: alterne entre as configurações de equipamento com mais facilidade!
- Nova jogabilidade de expedição de mechs: use mechs para enfrentar níveis de expedição. Prove sua força e obtenha toneladas de recompensas!
- Três novas estátuas de"&amp;" combatentes: Joey Jester, Greg e Ken. Desbloqueie os talentos duplos do Combatente para obter a estátua.
- Nova função: transferência de posição de Soberano. O Soberano agora pode transferir privilégios para um membro da Gangue e selecionar se deseja mos"&amp;"trar um lembrete para todo o servidor quando eles estiverem online.
- Novos eventos da temporada de praia:
Verão Livre: Desfrute de bebidas geladas em um dia quente de verão e tenha a chance de ganhar uma pele de Prefeitura de edição limitada de luxo e ou"&amp;"tras recompensas!
Estrela da Praia: Agite os Pandeiros, seja a estrela da praia e ganhe recompensas!
Mania de Dança: Participe da festa de dança e ganhe recompensas!
Provas Mutantes: Envie tropas para desafiar os Gigantos. Quanto mais forte o Giganto que "&amp;"você derrotar, mais prêmios você ganha!
- Nova reunião de Clã: A partir do final da fase de Incursão da História Planetária, Gangues do mesmo Clã poderão se reunir nos pontos de recursos uns dos outros.
- Novo modo de batalha adicionado à Escavação de Tes"&amp;"ouro: O novo modo de atirador está aqui! Defenda-se e derrube os mutantes que se aproximam! Ganhe melhores recompensas quanto mais inimigos você derrotar!
- Novo nível de Luta de Banana: Novo nível, nova jogabilidade, mais diversão! Experimente uma maneir"&amp;"a diferente de evoluir.
- Distribuidores aprimorados: Desbloqueie habilidades de unidade para construir mais tipos de edifícios subsidiários para Distribuidores.
- Recurso Mech otimizado: Agora você pode desenvolver as duas habilidades avançadas ao mesmo "&amp;"tempo! Alternar entre as duas requer apenas alguns CDs!
- Filas de marcha otimizadas: Agora você pode ver as condições do Combatente e do Mech no painel de status à direita da fila de marcha.
- Guarnecendo Muralhas de Defesa: Agora você pode atribuir Comb"&amp;"atentes de Defesa específicos para guarnecer; você receberá um lembrete pop-up se o Combatente selecionado estiver incluído em uma fila de marcha.
- NPCs de Ruína: Algoritmo de IA do NPC modificado e simplificado as ações necessárias para atacá-los.")</f>
        <v>- Novo Combatente: Prodígio do Céu - Boyce! Um prodígio do ar, campeão de combates aéreos! O piloto roliço pousou!
- Três novos conjuntos de equipamentos: Criador, Conquistador e Caçador, para Pilotos, Golpeadores e Atiradores, respectivamente. Obtenha-os na "Aventura no Reino das Maravilhas".
- Quatro novas habilidades de equipamento: "Poder da Provocação", "Hora da Explosão", "Gelo &amp; Neve" e "Vento às Suas Costas". Obtenha-os com os três novos conjuntos de equipamentos.
- Nova função de predefinição de equipamento: alterne entre as configurações de equipamento com mais facilidade!
- Nova jogabilidade de expedição de mechs: use mechs para enfrentar níveis de expedição. Prove sua força e obtenha toneladas de recompensas!
- Três novas estátuas de combatentes: Joey Jester, Greg e Ken. Desbloqueie os talentos duplos do Combatente para obter a estátua.
- Nova função: transferência de posição de Soberano. O Soberano agora pode transferir privilégios para um membro da Gangue e selecionar se deseja mostrar um lembrete para todo o servidor quando eles estiverem online.
- Novos eventos da temporada de praia:
Verão Livre: Desfrute de bebidas geladas em um dia quente de verão e tenha a chance de ganhar uma pele de Prefeitura de edição limitada de luxo e outras recompensas!
Estrela da Praia: Agite os Pandeiros, seja a estrela da praia e ganhe recompensas!
Mania de Dança: Participe da festa de dança e ganhe recompensas!
Provas Mutantes: Envie tropas para desafiar os Gigantos. Quanto mais forte o Giganto que você derrotar, mais prêmios você ganha!
- Nova reunião de Clã: A partir do final da fase de Incursão da História Planetária, Gangues do mesmo Clã poderão se reunir nos pontos de recursos uns dos outros.
- Novo modo de batalha adicionado à Escavação de Tesouro: O novo modo de atirador está aqui! Defenda-se e derrube os mutantes que se aproximam! Ganhe melhores recompensas quanto mais inimigos você derrotar!
- Novo nível de Luta de Banana: Novo nível, nova jogabilidade, mais diversão! Experimente uma maneira diferente de evoluir.
- Distribuidores aprimorados: Desbloqueie habilidades de unidade para construir mais tipos de edifícios subsidiários para Distribuidores.
- Recurso Mech otimizado: Agora você pode desenvolver as duas habilidades avançadas ao mesmo tempo! Alternar entre as duas requer apenas alguns CDs!
- Filas de marcha otimizadas: Agora você pode ver as condições do Combatente e do Mech no painel de status à direita da fila de marcha.
- Guarnecendo Muralhas de Defesa: Agora você pode atribuir Combatentes de Defesa específicos para guarnecer; você receberá um lembrete pop-up se o Combatente selecionado estiver incluído em uma fila de marcha.
- NPCs de Ruína: Algoritmo de IA do NPC modificado e simplificado as ações necessárias para atacá-los.</v>
      </c>
      <c r="G43" s="148" t="str">
        <f>IFERROR(__xludf.DUMMYFUNCTION("""COMPUTED_VALUE"""),"-新增鬥士：空戰神童-博伊斯，制霸空中戰場的神童，胖萌飛行員來襲！
-新增三套戰裝：締造者套裝、霸者套裝和狩獵者套裝，分別對應突擊手、打擊手和射擊手使用；可通過[祕境探險]獲取。
-新增四個戰裝技能：“嘲諷之力”、“爆破時刻”、“寒霜颶風”和“疾風加護”，可通過三套新戰裝獲得。
-新增戰裝預設功能:通過此功能，可快速切換裝備方案！
-新增機甲遠征玩法:使用機甲挑戰遠征關卡，驗證實力的同時獲取大量獎勵！
-新增三座鬥士雕像：喬伊、葛列格、肯，可以通過解鎖相應鬥士雙天賦獲得雕像。
-新增霸主移交功能：現在霸主"&amp;"玩家可以將霸主權限轉移至同幫派玩家，並可選擇是否上線時提示全服玩家。
-新增沙灘節活動：
夏日暢飲：炎炎夏日，一起暢享清涼，有機會贏取限定豪華主城皮膚和其它豐富獎勵！
沙灘之星：收集沙灘搖鈴，揮動沙灘搖鈴助力沙灘之星，可以獲得豐厚獎勵！
狂歡舞動：完成所有任務即可獲得沙灘節裝飾物！
舞動助力：積極加入沙灘熱舞，獲得豐厚獎勵！
變異猴試煉：派出部隊挑戰變異巨猿，戰勝越強大的變異巨猿，可獲得越多的獎勵！
-新增氏族採集：現在銀河紀元光復行動階段完結後，可以採集同氏族的幫派資源點。
-新增地下探寶戰鬥模式：射擊"&amp;"玩法全新上線。堅守防線，摧毀來襲的變異猴，獎勵會隨著殺敵數不斷升級！
-新增香蕉大戰關卡：新增關卡玩法內容，不同的通關體驗，不同的遊戲樂趣！
-配送站升級：解鎖兵種技能後可為配送站建造更多類型的附屬建築。
-機甲系統優化：機甲進階技能現在可以同時培養，切換只需要消耗一些光碟！
-行軍隊列優化：現在可以通過行軍隊列右側的狀態欄查看鬥士、機甲的存活狀態了。
-城牆駐防：增加了駐防鬥士鎖定功能，在派兵時，如選擇了駐防鬥士，會彈出提示。
-遺跡駐防怪物：調整了怪物AI，使玩家攻擊怪物時的操作得到簡化。 ")</f>
        <v>-新增鬥士：空戰神童-博伊斯，制霸空中戰場的神童，胖萌飛行員來襲！
-新增三套戰裝：締造者套裝、霸者套裝和狩獵者套裝，分別對應突擊手、打擊手和射擊手使用；可通過[祕境探險]獲取。
-新增四個戰裝技能：“嘲諷之力”、“爆破時刻”、“寒霜颶風”和“疾風加護”，可通過三套新戰裝獲得。
-新增戰裝預設功能:通過此功能，可快速切換裝備方案！
-新增機甲遠征玩法:使用機甲挑戰遠征關卡，驗證實力的同時獲取大量獎勵！
-新增三座鬥士雕像：喬伊、葛列格、肯，可以通過解鎖相應鬥士雙天賦獲得雕像。
-新增霸主移交功能：現在霸主玩家可以將霸主權限轉移至同幫派玩家，並可選擇是否上線時提示全服玩家。
-新增沙灘節活動：
夏日暢飲：炎炎夏日，一起暢享清涼，有機會贏取限定豪華主城皮膚和其它豐富獎勵！
沙灘之星：收集沙灘搖鈴，揮動沙灘搖鈴助力沙灘之星，可以獲得豐厚獎勵！
狂歡舞動：完成所有任務即可獲得沙灘節裝飾物！
舞動助力：積極加入沙灘熱舞，獲得豐厚獎勵！
變異猴試煉：派出部隊挑戰變異巨猿，戰勝越強大的變異巨猿，可獲得越多的獎勵！
-新增氏族採集：現在銀河紀元光復行動階段完結後，可以採集同氏族的幫派資源點。
-新增地下探寶戰鬥模式：射擊玩法全新上線。堅守防線，摧毀來襲的變異猴，獎勵會隨著殺敵數不斷升級！
-新增香蕉大戰關卡：新增關卡玩法內容，不同的通關體驗，不同的遊戲樂趣！
-配送站升級：解鎖兵種技能後可為配送站建造更多類型的附屬建築。
-機甲系統優化：機甲進階技能現在可以同時培養，切換只需要消耗一些光碟！
-行軍隊列優化：現在可以通過行軍隊列右側的狀態欄查看鬥士、機甲的存活狀態了。
-城牆駐防：增加了駐防鬥士鎖定功能，在派兵時，如選擇了駐防鬥士，會彈出提示。
-遺跡駐防怪物：調整了怪物AI，使玩家攻擊怪物時的操作得到簡化。 </v>
      </c>
      <c r="H43" s="148" t="str">
        <f>IFERROR(__xludf.DUMMYFUNCTION("""COMPUTED_VALUE"""),"-Pejuang Baru: Ahli Langit - Boyce! Ahli udara, juara pertarungan udara! Pilot gemuk telah mendarat!
-Tiga set perlengkapan baru: Creator, Vanquisher, dan Hunter, untuk Pilot, Pemukul, dan Penembak, masing-masing. Dapatkan mereka dari ""Petualangan Wonder"&amp;"land.""
-Empat skill perlengkapan baru: ""Kekuatan Ejekan,"" ""Jam Ledakan,"" ""Es &amp; Salju,"" dan ""Angin di Punggungmu."" Dapatkan mereka dengan tiga set perlengkapan baru.
-Fungsi preset perlengkapan baru: beralih antara konfigurasi perlengkapan lebih m"&amp;"udah!
-Permainan ekspedisi mech baru: gunakan mech untuk mengambil level ekspedisi. Buktikan kekuatanmu dan dapatkan banyak hadiah!
-Tiga patung Pejuang baru: Joey Jester, Greg, dan Ken. Buka bakat ganda Pejuang untuk mendapatkan patung.
-Fungsi baru: tra"&amp;"nsfer posisi Overlord. Overlord sekarang dapat mentransfer hak istimewa ke anggota Geng dan memilih apakah akan menunjukkan pengingat server semua saat mereka online.
-Acara musim pantai baru:
Musim Panas yang Mengalir Bebas: Nikmati minuman dingin di har"&amp;"i musim panas yang panas, dan dapatkan kesempatan untuk memenangkan kulit Balai Kota edisi terbatas mewah dan hadiah lainnya!
Bintang Pantai: Goyangkan Tambourine, jadilah bintang pantai, dan menangkan hadiah!
Mania Menari: Bergabunglah dengan pesta dansa"&amp;" dan dapatkan hadiah!
Uji Coba Mutan: Kirim pasukan untuk menantang Gigantos. Semakin kuat Gigantos yang kamu kalahkan, semakin banyak hadiah yang kamu dapatkan!
-Pertemuan Klan baru: Mulai dari akhir tahap Operasi Reli Sejarah Planet, Geng dari Klan yang"&amp;" sama akan dapat berkumpul dari titik sumber daya satu sama lain.
-Mode pertempuran baru ditambahkan ke Gali Harta: Mode penembak baru ada di sini! Pertahankan pertahanan Anda dan kalahkan mutan yang datang! Dapatkan hadiah yang lebih baik semakin banyak "&amp;"musuh yang Anda kalahkan!
-Level Pertarungan Pisang baru: Level baru, gameplay baru, lebih menyenangkan! Rasakan cara yang berbeda untuk naik level.
-Distributor ditingkatkan: Buka keahlian unit untuk membangun lebih banyak jenis bangunan anak perusahaan "&amp;"untuk Distributor.
-Fitur Mekanik dioptimalkan: Anda sekarang dapat mengembangkan kedua keahlian lanjutan secara bersamaan! Beralih antara keduanya hanya membutuhkan beberapa CD!
-Antrean Barisan dioptimalkan: Anda sekarang dapat melihat kondisi Pejuang d"&amp;"an Mekanik di panel status di sebelah kanan antrean barisan.
-Menempatkan Tembok Pertahanan: Anda sekarang dapat menugaskan Pejuang Pertahanan tertentu untuk penempatan; Anda akan menerima pengingat pop-up jika Pejuang yang dipilih termasuk dalam antrean "&amp;"barisan.
-NPC Puing: Modifikasi algoritma AI NPC dan menyederhanakan tindakan yang diperlukan untuk menyerang mereka.")</f>
        <v>-Pejuang Baru: Ahli Langit - Boyce! Ahli udara, juara pertarungan udara! Pilot gemuk telah mendarat!
-Tiga set perlengkapan baru: Creator, Vanquisher, dan Hunter, untuk Pilot, Pemukul, dan Penembak, masing-masing. Dapatkan mereka dari "Petualangan Wonderland."
-Empat skill perlengkapan baru: "Kekuatan Ejekan," "Jam Ledakan," "Es &amp; Salju," dan "Angin di Punggungmu." Dapatkan mereka dengan tiga set perlengkapan baru.
-Fungsi preset perlengkapan baru: beralih antara konfigurasi perlengkapan lebih mudah!
-Permainan ekspedisi mech baru: gunakan mech untuk mengambil level ekspedisi. Buktikan kekuatanmu dan dapatkan banyak hadiah!
-Tiga patung Pejuang baru: Joey Jester, Greg, dan Ken. Buka bakat ganda Pejuang untuk mendapatkan patung.
-Fungsi baru: transfer posisi Overlord. Overlord sekarang dapat mentransfer hak istimewa ke anggota Geng dan memilih apakah akan menunjukkan pengingat server semua saat mereka online.
-Acara musim pantai baru:
Musim Panas yang Mengalir Bebas: Nikmati minuman dingin di hari musim panas yang panas, dan dapatkan kesempatan untuk memenangkan kulit Balai Kota edisi terbatas mewah dan hadiah lainnya!
Bintang Pantai: Goyangkan Tambourine, jadilah bintang pantai, dan menangkan hadiah!
Mania Menari: Bergabunglah dengan pesta dansa dan dapatkan hadiah!
Uji Coba Mutan: Kirim pasukan untuk menantang Gigantos. Semakin kuat Gigantos yang kamu kalahkan, semakin banyak hadiah yang kamu dapatkan!
-Pertemuan Klan baru: Mulai dari akhir tahap Operasi Reli Sejarah Planet, Geng dari Klan yang sama akan dapat berkumpul dari titik sumber daya satu sama lain.
-Mode pertempuran baru ditambahkan ke Gali Harta: Mode penembak baru ada di sini! Pertahankan pertahanan Anda dan kalahkan mutan yang datang! Dapatkan hadiah yang lebih baik semakin banyak musuh yang Anda kalahkan!
-Level Pertarungan Pisang baru: Level baru, gameplay baru, lebih menyenangkan! Rasakan cara yang berbeda untuk naik level.
-Distributor ditingkatkan: Buka keahlian unit untuk membangun lebih banyak jenis bangunan anak perusahaan untuk Distributor.
-Fitur Mekanik dioptimalkan: Anda sekarang dapat mengembangkan kedua keahlian lanjutan secara bersamaan! Beralih antara keduanya hanya membutuhkan beberapa CD!
-Antrean Barisan dioptimalkan: Anda sekarang dapat melihat kondisi Pejuang dan Mekanik di panel status di sebelah kanan antrean barisan.
-Menempatkan Tembok Pertahanan: Anda sekarang dapat menugaskan Pejuang Pertahanan tertentu untuk penempatan; Anda akan menerima pengingat pop-up jika Pejuang yang dipilih termasuk dalam antrean barisan.
-NPC Puing: Modifikasi algoritma AI NPC dan menyederhanakan tindakan yang diperlukan untuk menyerang mereka.</v>
      </c>
      <c r="I43" s="148" t="str">
        <f>IFERROR(__xludf.DUMMYFUNCTION("""COMPUTED_VALUE"""),"- นักสู้ใหม่: ผู้เชี่ยวชาญแห่งท้องฟ้า - บอยซ์! ผู้เชี่ยวชาญแห่งท้องฟ้า แชมป์แห่งการต่อสู้ในอากาศ! นักบินรอลลี่ที่อ้วนกลมได้ลงจอดแล้ว!
- ชุดอุปกรณ์ใหม่สามชุด: สร้างสรรค์, ผู้ทำลาย, และนักล่า, สำหรับนักบิน, ฮิตเตอร์, และชูตเตอร์ ตามลำดับ รับได้จาก ""ผจญภัยใ"&amp;"นมิติ""
- สกิลอุปกรณ์ใหม่สี่อย่าง: ""พลังของการดุดัน"", ""ชั่วโมงระเบิด"", ""ฟรอสต์และน้ำแข็ง"", และ ""ลมที่หลังของคุณ"" รับได้ด้วยชุดอุปกรณ์ใหม่สามชุด
- ฟังก์ชันตั้งค่าล่วงหน้าอุปกรณ์ใหม่: สลับระหว่างการกำหนดค่าอุปกรณ์ได้ง่ายขึ้น!
- การเล่นการสำรวจเมคใหม"&amp;"่: ใช้เมคเพื่อทำภารกิจสำรวจ พิสูจน์ความแข็งแกร่งของคุณและรับรางวัลมากมาย!
- รูปปั้นนักสู้ใหม่สามตัว: โจอี้เจสเตอร์, เกร็ก, และเคน ปลดล็อกความสามารถคู่ของนักสู้เพื่อรับรูปปั้น
- ฟังก์ชันใหม่: การโอนตำแหน่งผู้มีอำนาจ ผู้มีอำนาจสามารถโอนสิทธิพิเศษให้กับสมาชิ"&amp;"กแก๊งค์และเลือกว่าจะแสดงการแจ้งเตือนทั้งเซิร์ฟเวอร์เมื่อพวกเขาออนไลน์หรือไม่
- กิจกรรมฤดูร้อนที่ชายหาดใหม่:
ฤดูร้อนที่ไหลลื่น: สนุกกับเครื่องดื่มเย็นสบายในวันร้อน และมีโอกาสได้รับสกินศาลากลางเมืองรุ่นพิเศษจำนวนจำกัดและรางวัลอื่นๆ!
ซูเปอร์สตาร์ริมหาด: เขย่"&amp;"าแทมโบรีน, เป็นดาวของชายหาด, และชนะรางวัล!
ความคลั่งไคล้เต้น: เข้าร่วมปาร์ตี้เต้นและรับรางวัล!
การทดสอบมิวแทนต์: ส่งกองทหารไปท้าทายกิกันโต ยิ่งคุณทำลายกิกันโตที่แข็งแกร่งยิ่งได้รางวัลมากขึ้น!
- การรวมตัวของฝูงใหม่: เริ่มต้นจากสิ้นสุดของด่านการระดมพลในประว"&amp;"ัติดาวเคราะห์, แก๊งค์ที่อยู่ในฝูงเดียวกันจะสามารถรวบรวมทรัพยากรจากจุดทรัพยากรของกันและกันได้.
- โหมดการต่อสู้ใหม่เพิ่มในการขุดสมบัติ: โหมดยิงใหม่มาแล้ว! รักษาการป้องกันของคุณและสังหารมิวแตนด์ที่กำลังเข้ามา! รับรางวัลที่ดีขึ้นยิ่งคุณสังหารศัตรูมากขึ้น!
- ร"&amp;"ะดับ Banana Fight ใหม่: ระดับใหม่, การเล่นเกมใหม่, สนุกมากขึ้น! สัมผัสวิธีการเลื่อนระดับที่แตกต่าง.
- ผู้จัดจำหน่ายได้รับการอัปเกรด: ปลดล็อกทักษะหน่วยเพื่อสร้างสิ่งก่อสร้างย่อยประเภทเพิ่มเติมสำหรับผู้จัดจำหน่าย.
- คุณสมบัติ Mech ได้รับการปรับปรุง: คุณสามา"&amp;"รถพัฒนาทักษะขั้นสูงทั้งสองในเวลาเดียวกัน! การสลับระหว่างสองอย่างเพียงต้องการซีดีเพียงไม่กี่แผ่น!
- คิวการเดินทัพได้รับการปรับปรุง: คุณสามารถดูสภาพของนักสู้และ Mech ในแผงสถานะที่อยู่ทางขวาของคิวการเดินทัพ.
- การประจำการณ์กำแพงป้องกัน: คุณสามารถกำหนดนักสู้ป"&amp;"้องกันเฉพาะเพื่อประจำการ; คุณจะได้รับการแจ้งเตือนที่ขึ้นถ้านักสู้ที่เลือกได้รวมอยู่ในคิวการเดินทัพ.
- แก้ไข NPC ของซากปรักษา: ปรับเปลี่ยนอัลกอริทึม AI ของ NPC และทำให้การกระทำที่จำเป็นในการโจมตีพวกเขาเรียบง่ายขึ้น.")</f>
        <v>- นักสู้ใหม่: ผู้เชี่ยวชาญแห่งท้องฟ้า - บอยซ์! ผู้เชี่ยวชาญแห่งท้องฟ้า แชมป์แห่งการต่อสู้ในอากาศ! นักบินรอลลี่ที่อ้วนกลมได้ลงจอดแล้ว!
- ชุดอุปกรณ์ใหม่สามชุด: สร้างสรรค์, ผู้ทำลาย, และนักล่า, สำหรับนักบิน, ฮิตเตอร์, และชูตเตอร์ ตามลำดับ รับได้จาก "ผจญภัยในมิติ"
- สกิลอุปกรณ์ใหม่สี่อย่าง: "พลังของการดุดัน", "ชั่วโมงระเบิด", "ฟรอสต์และน้ำแข็ง", และ "ลมที่หลังของคุณ" รับได้ด้วยชุดอุปกรณ์ใหม่สามชุด
- ฟังก์ชันตั้งค่าล่วงหน้าอุปกรณ์ใหม่: สลับระหว่างการกำหนดค่าอุปกรณ์ได้ง่ายขึ้น!
- การเล่นการสำรวจเมคใหม่: ใช้เมคเพื่อทำภารกิจสำรวจ พิสูจน์ความแข็งแกร่งของคุณและรับรางวัลมากมาย!
- รูปปั้นนักสู้ใหม่สามตัว: โจอี้เจสเตอร์, เกร็ก, และเคน ปลดล็อกความสามารถคู่ของนักสู้เพื่อรับรูปปั้น
- ฟังก์ชันใหม่: การโอนตำแหน่งผู้มีอำนาจ ผู้มีอำนาจสามารถโอนสิทธิพิเศษให้กับสมาชิกแก๊งค์และเลือกว่าจะแสดงการแจ้งเตือนทั้งเซิร์ฟเวอร์เมื่อพวกเขาออนไลน์หรือไม่
- กิจกรรมฤดูร้อนที่ชายหาดใหม่:
ฤดูร้อนที่ไหลลื่น: สนุกกับเครื่องดื่มเย็นสบายในวันร้อน และมีโอกาสได้รับสกินศาลากลางเมืองรุ่นพิเศษจำนวนจำกัดและรางวัลอื่นๆ!
ซูเปอร์สตาร์ริมหาด: เขย่าแทมโบรีน, เป็นดาวของชายหาด, และชนะรางวัล!
ความคลั่งไคล้เต้น: เข้าร่วมปาร์ตี้เต้นและรับรางวัล!
การทดสอบมิวแทนต์: ส่งกองทหารไปท้าทายกิกันโต ยิ่งคุณทำลายกิกันโตที่แข็งแกร่งยิ่งได้รางวัลมากขึ้น!
- การรวมตัวของฝูงใหม่: เริ่มต้นจากสิ้นสุดของด่านการระดมพลในประวัติดาวเคราะห์, แก๊งค์ที่อยู่ในฝูงเดียวกันจะสามารถรวบรวมทรัพยากรจากจุดทรัพยากรของกันและกันได้.
- โหมดการต่อสู้ใหม่เพิ่มในการขุดสมบัติ: โหมดยิงใหม่มาแล้ว! รักษาการป้องกันของคุณและสังหารมิวแตนด์ที่กำลังเข้ามา! รับรางวัลที่ดีขึ้นยิ่งคุณสังหารศัตรูมากขึ้น!
- ระดับ Banana Fight ใหม่: ระดับใหม่, การเล่นเกมใหม่, สนุกมากขึ้น! สัมผัสวิธีการเลื่อนระดับที่แตกต่าง.
- ผู้จัดจำหน่ายได้รับการอัปเกรด: ปลดล็อกทักษะหน่วยเพื่อสร้างสิ่งก่อสร้างย่อยประเภทเพิ่มเติมสำหรับผู้จัดจำหน่าย.
- คุณสมบัติ Mech ได้รับการปรับปรุง: คุณสามารถพัฒนาทักษะขั้นสูงทั้งสองในเวลาเดียวกัน! การสลับระหว่างสองอย่างเพียงต้องการซีดีเพียงไม่กี่แผ่น!
- คิวการเดินทัพได้รับการปรับปรุง: คุณสามารถดูสภาพของนักสู้และ Mech ในแผงสถานะที่อยู่ทางขวาของคิวการเดินทัพ.
- การประจำการณ์กำแพงป้องกัน: คุณสามารถกำหนดนักสู้ป้องกันเฉพาะเพื่อประจำการ; คุณจะได้รับการแจ้งเตือนที่ขึ้นถ้านักสู้ที่เลือกได้รวมอยู่ในคิวการเดินทัพ.
- แก้ไข NPC ของซากปรักษา: ปรับเปลี่ยนอัลกอริทึม AI ของ NPC และทำให้การกระทำที่จำเป็นในการโจมตีพวกเขาเรียบง่ายขึ้น.</v>
      </c>
      <c r="J43" s="148" t="str">
        <f>IFERROR(__xludf.DUMMYFUNCTION("""COMPUTED_VALUE"""),"- Nuevo Luchador: Prodigio del Cielo - Boyce! ¡Prodigio del aire, campeón de las batallas aéreas! ¡El piloto rechoncho ha aterrizado!
- Tres nuevos conjuntos de equipo: Creador, Vencedor y Cazador, para Pilotos, Golpeadores y Tiradores, respectivamente. C"&amp;"onsíguelos en ""Aventura en la Tierra de las Maravillas"".
- Cuatro nuevas habilidades de equipo: ""Poder de la Provocación"", ""Hora de la Explosión"", ""Hielo y Escarcha"" y ""Viento a tu Espalda"". Consíguelos con los tres nuevos conjuntos de equipo.
-"&amp;" Nueva función de preajuste de equipo: ¡cambia entre configuraciones de equipo más fácilmente!
- Nueva jugabilidad de expedición de mechs: usa mechs para enfrentarte a niveles de expedición. ¡Demuestra tu fuerza y obtén toneladas de recompensas!
- Tres nu"&amp;"evas estatuas de Luchadores: Joey Jester, Greg y Ken. Desbloquea los talentos duales del Luchador para obtener la estatua.
- Nueva función: transferencia de posición de Jefe Supremo. El Jefe Supremo ahora puede transferir privilegios a un miembro de la Ba"&amp;"nda y seleccionar si mostrar un recordatorio a todo el servidor cuando se conecten en línea.
- Nuevos eventos de temporada de playa:
Verano Fluido: Disfruta de bebidas heladas en un caluroso día de verano y obtén la oportunidad de ganar una piel de Ayunta"&amp;"miento de edición limitada de lujo y otras recompensas!
SUPERESTRELLA DE LA PLAYA: Agita las Panderetas, sé la estrella de la playa y gana recompensas!
Manía de Baile: ¡Únete a la fiesta de baile y obtén recompensas!
Pruebas Mutantes: Envía tropas para de"&amp;"safiar a Gigantos. Cuanto más fuerte sea el Giganto que derrotes, más premios obtendrás!
- Nueva reunión del Clan: A partir del final de la etapa de Congregación de la Historia Planetaria, las Bandas del mismo Clan podrán reunirse en los puntos de recurso"&amp;"s de los demás.
- Nuevo modo de batalla añadido a Excavación del Tesoro: ¡Aquí está el nuevo modo de disparo! ¡Defiende tus posiciones y derrota a los mutantes que se acercan! ¡Obtén mejores recompensas cuanto más enemigos derrotes!
- Nuevo nivel de Lucha"&amp;" de Bananas: ¡Nuevo nivel, nueva forma de juego, más diversión! Experimenta una forma diferente de subir de nivel.
- Distribuidores mejorados: Desbloquea habilidades de unidad para construir más tipos de edificios subsidiarios para los Distribuidores.
- C"&amp;"aracterística de Mech optimizada: ¡Ahora puedes desarrollar ambas habilidades avanzadas al mismo tiempo! ¡Cambiar entre las dos solo requiere unos pocos CD!
- Colas de marcha optimizadas: Ahora puedes ver las condiciones del Luchador y del Mech en el pane"&amp;"l de estado a la derecha de la cola de marcha.
- Guarnición de Muros de Defensa: Ahora puedes asignar Luchadores de Defensa específicos para la guarnición; recibirás un recordatorio emergente si el Luchador seleccionado está incluido en una cola de marcha"&amp;".
- NPCs de Ruinas: Se ha modificado el algoritmo de IA de los NPCs y se han simplificado las acciones necesarias para atacarlos.")</f>
        <v>- Nuevo Luchador: Prodigio del Cielo - Boyce! ¡Prodigio del aire, campeón de las batallas aéreas! ¡El piloto rechoncho ha aterrizado!
- Tres nuevos conjuntos de equipo: Creador, Vencedor y Cazador, para Pilotos, Golpeadores y Tiradores, respectivamente. Consíguelos en "Aventura en la Tierra de las Maravillas".
- Cuatro nuevas habilidades de equipo: "Poder de la Provocación", "Hora de la Explosión", "Hielo y Escarcha" y "Viento a tu Espalda". Consíguelos con los tres nuevos conjuntos de equipo.
- Nueva función de preajuste de equipo: ¡cambia entre configuraciones de equipo más fácilmente!
- Nueva jugabilidad de expedición de mechs: usa mechs para enfrentarte a niveles de expedición. ¡Demuestra tu fuerza y obtén toneladas de recompensas!
- Tres nuevas estatuas de Luchadores: Joey Jester, Greg y Ken. Desbloquea los talentos duales del Luchador para obtener la estatua.
- Nueva función: transferencia de posición de Jefe Supremo. El Jefe Supremo ahora puede transferir privilegios a un miembro de la Banda y seleccionar si mostrar un recordatorio a todo el servidor cuando se conecten en línea.
- Nuevos eventos de temporada de playa:
Verano Fluido: Disfruta de bebidas heladas en un caluroso día de verano y obtén la oportunidad de ganar una piel de Ayuntamiento de edición limitada de lujo y otras recompensas!
SUPERESTRELLA DE LA PLAYA: Agita las Panderetas, sé la estrella de la playa y gana recompensas!
Manía de Baile: ¡Únete a la fiesta de baile y obtén recompensas!
Pruebas Mutantes: Envía tropas para desafiar a Gigantos. Cuanto más fuerte sea el Giganto que derrotes, más premios obtendrás!
- Nueva reunión del Clan: A partir del final de la etapa de Congregación de la Historia Planetaria, las Bandas del mismo Clan podrán reunirse en los puntos de recursos de los demás.
- Nuevo modo de batalla añadido a Excavación del Tesoro: ¡Aquí está el nuevo modo de disparo! ¡Defiende tus posiciones y derrota a los mutantes que se acercan! ¡Obtén mejores recompensas cuanto más enemigos derrotes!
- Nuevo nivel de Lucha de Bananas: ¡Nuevo nivel, nueva forma de juego, más diversión! Experimenta una forma diferente de subir de nivel.
- Distribuidores mejorados: Desbloquea habilidades de unidad para construir más tipos de edificios subsidiarios para los Distribuidores.
- Característica de Mech optimizada: ¡Ahora puedes desarrollar ambas habilidades avanzadas al mismo tiempo! ¡Cambiar entre las dos solo requiere unos pocos CD!
- Colas de marcha optimizadas: Ahora puedes ver las condiciones del Luchador y del Mech en el panel de estado a la derecha de la cola de marcha.
- Guarnición de Muros de Defensa: Ahora puedes asignar Luchadores de Defensa específicos para la guarnición; recibirás un recordatorio emergente si el Luchador seleccionado está incluido en una cola de marcha.
- NPCs de Ruinas: Se ha modificado el algoritmo de IA de los NPCs y se han simplificado las acciones necesarias para atacarlos.</v>
      </c>
      <c r="K43" s="148" t="str">
        <f>IFERROR(__xludf.DUMMYFUNCTION("""COMPUTED_VALUE"""),"- Новый герой: Вундеркинд небес - Бойс! Вундеркинд небес, чемпион воздушных боев! Пухлый гонщик приземлился!
- Три новых комплекта снаряжения: Создатель, Победитель и Охотник, для Гонщиков, Громил и Стрелков соответственно. Получите их в ""Приключении в с"&amp;"тране чудес.""
- Четыре новых навыка снаряжения: ""Сила насмешки"", ""Час взрыва"", ""Мороз и лед"" и ""Ветер в спину"". Получите их с тремя новыми комплектами снаряжения.
- Новая функция предустановки снаряжения: переключайтесь между конфигурациями снаря"&amp;"жения проще!
- Новый режим экспедиции мехов: используйте мехов, чтобы принять уровни экспедиции. Докажите свою силу и получите массу наград!
- Три новые статуи героев: Джоуи Шутник, Грег и Кен. Разблокируйте двойные таланты героя, чтобы получить статую.
-"&amp;" Новая функция: передача позиции Владыки. Владыка теперь может передать привилегии члену банды и выбрать, показывать ли напоминание всему серверу, когда они входят в сеть.
- Новые события пляжного сезона:
Свободное лето: Наслаждайтесь ледяными напитками в"&amp;" жаркий летний день и получите шанс выиграть роскошную, ограниченную версию скина Городского совета и другие награды!
Звезда пляжа: Трясите бубен, станьте звездой пляжа и выиграйте награды!
Мания танцев: Присоединяйтесь к танцевальной вечеринке и получайт"&amp;"е награды!
Испытания мутантов: Отправляйте войска, чтобы бросить вызов Гигантопитекам. Чем сильнее Гигантопитек, которого вы победите, тем больше призов вы получите!
- Новый сбор клана: начиная с конца этапа Операции Похода в Истории планеты, банды одного"&amp;" и того же клана смогут собираться на ресурсных точках друг друга.
- В Поиск сокровищ добавлен новый режим боя: здесь новый режим стрелка! Держите оборону и уничтожайте приближающихся мутантов! Получайте лучшие награды, чем больше врагов вы победите!
- Но"&amp;"вый уровень Банановой битвы: новый уровень, новый геймплей, больше веселья! Попробуйте другой способ повышения уровня.
- Распределители обновлены: разблокируйте навыки отряда, чтобы построить больше типов вспомогательных зданий для распределителей.
- Опти"&amp;"мизирована функция Меха: теперь вы можете одновременно развивать оба продвинутых навыка! Переключение между двумя требует всего несколько CD!
- Оптимизированы очереди марша: теперь вы можете видеть условия бойца и меха в панели статуса справа от очереди м"&amp;"арша.
- Гарнизонирование защитных стен: теперь вы можете назначить определенных бойцов обороны для гарнизона; вы получите всплывающее напоминание, если выбранный боец включен в очередь марша.
- Разрушенные NPC: модифицированный алгоритм ИИ NPC и упрощенны"&amp;"е действия, необходимые для атаки на них.")</f>
        <v>- Новый герой: Вундеркинд небес - Бойс! Вундеркинд небес, чемпион воздушных боев! Пухлый гонщик приземлился!
- Три новых комплекта снаряжения: Создатель, Победитель и Охотник, для Гонщиков, Громил и Стрелков соответственно. Получите их в "Приключении в стране чудес."
- Четыре новых навыка снаряжения: "Сила насмешки", "Час взрыва", "Мороз и лед" и "Ветер в спину". Получите их с тремя новыми комплектами снаряжения.
- Новая функция предустановки снаряжения: переключайтесь между конфигурациями снаряжения проще!
- Новый режим экспедиции мехов: используйте мехов, чтобы принять уровни экспедиции. Докажите свою силу и получите массу наград!
- Три новые статуи героев: Джоуи Шутник, Грег и Кен. Разблокируйте двойные таланты героя, чтобы получить статую.
- Новая функция: передача позиции Владыки. Владыка теперь может передать привилегии члену банды и выбрать, показывать ли напоминание всему серверу, когда они входят в сеть.
- Новые события пляжного сезона:
Свободное лето: Наслаждайтесь ледяными напитками в жаркий летний день и получите шанс выиграть роскошную, ограниченную версию скина Городского совета и другие награды!
Звезда пляжа: Трясите бубен, станьте звездой пляжа и выиграйте награды!
Мания танцев: Присоединяйтесь к танцевальной вечеринке и получайте награды!
Испытания мутантов: Отправляйте войска, чтобы бросить вызов Гигантопитекам. Чем сильнее Гигантопитек, которого вы победите, тем больше призов вы получите!
- Новый сбор клана: начиная с конца этапа Операции Похода в Истории планеты, банды одного и того же клана смогут собираться на ресурсных точках друг друга.
- В Поиск сокровищ добавлен новый режим боя: здесь новый режим стрелка! Держите оборону и уничтожайте приближающихся мутантов! Получайте лучшие награды, чем больше врагов вы победите!
- Новый уровень Банановой битвы: новый уровень, новый геймплей, больше веселья! Попробуйте другой способ повышения уровня.
- Распределители обновлены: разблокируйте навыки отряда, чтобы построить больше типов вспомогательных зданий для распределителей.
- Оптимизирована функция Меха: теперь вы можете одновременно развивать оба продвинутых навыка! Переключение между двумя требует всего несколько CD!
- Оптимизированы очереди марша: теперь вы можете видеть условия бойца и меха в панели статуса справа от очереди марша.
- Гарнизонирование защитных стен: теперь вы можете назначить определенных бойцов обороны для гарнизона; вы получите всплывающее напоминание, если выбранный боец включен в очередь марша.
- Разрушенные NPC: модифицированный алгоритм ИИ NPC и упрощенные действия, необходимые для атаки на них.</v>
      </c>
      <c r="L43" s="148" t="str">
        <f>IFERROR(__xludf.DUMMYFUNCTION("""COMPUTED_VALUE"""),"- Yeni Savaşçı: Gökyüzünün Dehası - Boyce! Hava dehası, hava savaşlarının şampiyonu! Yuvarlak pilot iniş yaptı!
- Üç yeni ekipman seti: Yaratıcı, Yenilmez ve Avcı, sırasıyla Pilotlar, Vurucular ve Nişancılar için. Onları ""Harikalar Diyarı Macerası""ndan "&amp;"alın.
- Dört yeni ekipman becerisi: ""Alayın Gücü,"" ""Patlama Saati,"" ""Buz &amp; Kar,"" ve ""Sırtınızda Rüzgar."" Bu üç yeni ekipman setiyle onları alın.
- Yeni ekipman önceden ayarlanmış plan fonksiyonu: ekipman konfigürasyonları arasında daha kolay geçiş"&amp;" yapın!
- Yeni meka seferi oyunu: mekaları kullanarak sefer seviyelerine meydan okuyun. Gücünüzü kanıtlayın ve tonlarca ödül kazanın!
- Üç yeni Savaşçı heykeli: Joey Jester, Greg ve Ken. Savaşçının çift yeteneklerinin kilidini açın ve heykeli alın.
- Yeni"&amp;" fonksiyon: Büyük Lord pozisyon transferi. Büyük Lord artık ayrıcalıkları bir Çete üyesine aktarabilir ve çevrim içi olduklarında tüm sunucuya bir hatırlatma gösterip göstermeme seçeneğini seçebilir.
- Yeni plaj sezonu etkinlikleri:
Bol Bol Yaz: Sıcak bir"&amp;" yaz gününde buz gibi içeceklerin tadını çıkarın ve lüks, sınırlı sayıda Şehir Meclisi derisi ve diğer ödülleri kazanma şansı elde edin!
Sahilin Yıldızı: Tefleri sallayın, plajın yıldızı olun ve ödüller kazanın!
Karnaval Dansı: Dans partisine katılın ve ö"&amp;"düller kazanın!
Mutant Denemeleri: Birliklerinizi Gigantos'a meydan okumak için gönderin. Yendikçe daha güçlü Gigantos, daha fazla ödül alırsınız!
- Yeni Klan toplanması: Gezegen Tarihi'nin Operasyon Toplu Saldırı aşamasının sonundan itibaren, aynı Klan'ı"&amp;"n Çeteleri birbirlerinin kaynak noktalarından toplanabilecek.
- Hazine Kazısına yeni savaş modu eklendi: Yeni atıcı modu burada! Savunmalarınızı koruyun ve gelen mutantları indirin! Daha fazla düşman yendikçe daha iyi ödüller alın!
- Yeni Muz Savaşı seviy"&amp;"esi: Yeni seviye, yeni oynanış, daha fazla eğlence! Seviye atlamak için farklı bir yol deneyimleyin.
- Distribütörler yükseltildi: Birim becerilerinin kilidini açın ve Distribütörler için daha fazla türde yan bina inşa edin.
- Meka özelliği optimize edild"&amp;"i: Artık her iki ileri beceriyi aynı anda geliştirebilirsiniz! İkisi arasında geçiş yapmak sadece birkaç CD gerektirir!
- Sefer sıraları optimize edildi: Artık sefer sırasının sağında bulunan durum panelinde Savaşçı ve Meka'nın koşullarını görebilirsiniz."&amp;"
- Savunma Duvarlarını Konuşlandırma: Artık belirli Savunma Savaşçılarını garnizona atayabilirsiniz; seçilen Savaşçı bir sefer sırasına dahilse bir açılır hatırlatıcı alırsınız.
- Harabe NPC'leri: Modifiye edilmiş NPC'nin AI algoritması ve onlara saldırma"&amp;"k için gereken eylemler basitleştirildi.")</f>
        <v>- Yeni Savaşçı: Gökyüzünün Dehası - Boyce! Hava dehası, hava savaşlarının şampiyonu! Yuvarlak pilot iniş yaptı!
- Üç yeni ekipman seti: Yaratıcı, Yenilmez ve Avcı, sırasıyla Pilotlar, Vurucular ve Nişancılar için. Onları "Harikalar Diyarı Macerası"ndan alın.
- Dört yeni ekipman becerisi: "Alayın Gücü," "Patlama Saati," "Buz &amp; Kar," ve "Sırtınızda Rüzgar." Bu üç yeni ekipman setiyle onları alın.
- Yeni ekipman önceden ayarlanmış plan fonksiyonu: ekipman konfigürasyonları arasında daha kolay geçiş yapın!
- Yeni meka seferi oyunu: mekaları kullanarak sefer seviyelerine meydan okuyun. Gücünüzü kanıtlayın ve tonlarca ödül kazanın!
- Üç yeni Savaşçı heykeli: Joey Jester, Greg ve Ken. Savaşçının çift yeteneklerinin kilidini açın ve heykeli alın.
- Yeni fonksiyon: Büyük Lord pozisyon transferi. Büyük Lord artık ayrıcalıkları bir Çete üyesine aktarabilir ve çevrim içi olduklarında tüm sunucuya bir hatırlatma gösterip göstermeme seçeneğini seçebilir.
- Yeni plaj sezonu etkinlikleri:
Bol Bol Yaz: Sıcak bir yaz gününde buz gibi içeceklerin tadını çıkarın ve lüks, sınırlı sayıda Şehir Meclisi derisi ve diğer ödülleri kazanma şansı elde edin!
Sahilin Yıldızı: Tefleri sallayın, plajın yıldızı olun ve ödüller kazanın!
Karnaval Dansı: Dans partisine katılın ve ödüller kazanın!
Mutant Denemeleri: Birliklerinizi Gigantos'a meydan okumak için gönderin. Yendikçe daha güçlü Gigantos, daha fazla ödül alırsınız!
- Yeni Klan toplanması: Gezegen Tarihi'nin Operasyon Toplu Saldırı aşamasının sonundan itibaren, aynı Klan'ın Çeteleri birbirlerinin kaynak noktalarından toplanabilecek.
- Hazine Kazısına yeni savaş modu eklendi: Yeni atıcı modu burada! Savunmalarınızı koruyun ve gelen mutantları indirin! Daha fazla düşman yendikçe daha iyi ödüller alın!
- Yeni Muz Savaşı seviyesi: Yeni seviye, yeni oynanış, daha fazla eğlence! Seviye atlamak için farklı bir yol deneyimleyin.
- Distribütörler yükseltildi: Birim becerilerinin kilidini açın ve Distribütörler için daha fazla türde yan bina inşa edin.
- Meka özelliği optimize edildi: Artık her iki ileri beceriyi aynı anda geliştirebilirsiniz! İkisi arasında geçiş yapmak sadece birkaç CD gerektirir!
- Sefer sıraları optimize edildi: Artık sefer sırasının sağında bulunan durum panelinde Savaşçı ve Meka'nın koşullarını görebilirsiniz.
- Savunma Duvarlarını Konuşlandırma: Artık belirli Savunma Savaşçılarını garnizona atayabilirsiniz; seçilen Savaşçı bir sefer sırasına dahilse bir açılır hatırlatıcı alırsınız.
- Harabe NPC'leri: Modifiye edilmiş NPC'nin AI algoritması ve onlara saldırmak için gereken eylemler basitleştirildi.</v>
      </c>
      <c r="M43" s="148" t="str">
        <f>IFERROR(__xludf.DUMMYFUNCTION("""COMPUTED_VALUE"""),"- Chiến Binh mới: Thần đồng của bầu trời - Boyce! Thần đồng của bầu trời, nhà vô địch của các trận chiến không kích! Phi công mập mạp đã hạ cánh!
- Ba bộ trang bị mới: Creator, Vanquisher và Hunter, dành cho Phi Công, Lính Tấn Công và Xạ Thủ, tương ứng. N"&amp;"hận chúng từ ""Thám Hiểm Bí Cảnh.""
- Bốn kỹ năng trang bị mới: ""Sức mạnh của lời chế giễu"", ""Giờ Phát Nổ"", ""Băng &amp; Lửa"" và ""Gió Ở Phía Sau Lưng Bạn"". Nhận chúng với ba bộ trang bị mới.
- Chức năng cài đặt trước trang bị mới: chuyển đổi giữa các c"&amp;"ấu hình trang bị dễ dàng hơn!
- Chơi thám hiểm mech mới: sử dụng mech để đối mặt với các cấp độ thám hiểm. Chứng minh sức mạnh của bạn và nhận được hàng tấn phần thưởng!
- Ba tượng Chiến Binh mới: Joey Jester, Greg và Ken. Mở khóa tài năng kép của Chiến B"&amp;"inh để nhận tượng.
- Chức năng mới: Chuyển quyền Bá Chủ. Bá Chủ giờ đây có thể chuyển quyền lợi cho một thành viên Bang Hội và chọn có hiển thị nhắc nhở cho tất cả máy chủ khi họ trực tuyến hay không.
- Sự kiện mùa hè mới trên bãi biển:
Mùa Hè Trôi Chảy T"&amp;"ự Do: Thưởng thức đồ uống lạnh giữa ngày hè nóng bỏng, và có cơ hội giành được da Tòa Thị Chính phiên bản deluxe, giới hạn và các phần thưởng khác!
Ngôi Sao Bãi Biển: Lắc Lục Lạc, trở thành ngôi sao của bãi biển và giành phần thưởng!
Điên Cuồng Nhảy Múa: "&amp;"Tham gia vào bữa tiệc nhảy và nhận phần thưởng!
Thí Luyện Mutant: Gửi binh lính để thách thức Gigantos. Gigantos mạnh mẽ hơn bạn đánh bại, bạn nhận được nhiều giải thưởng hơn!
- Tập hợp Bộ lạc mới: Bắt đầu từ giai đoạn cuối của Lịch Sử Hành Tinh trong Hoạ"&amp;"t động Tập hợp, các Bang Hội cùng Bộ lạc sẽ có thể tập hợp từ các điểm tài nguyên của nhau.
- Thêm chế độ chiến đấu mới vào Đào Kho Báu: Chế độ bắn tỉa mới đã đến! Giữ vững phòng thủ và tiêu diệt những con Khỉ Đột Biến đang tấn công! Nhận được nhiều phần "&amp;"thưởng hơn khi bạn đánh bại nhiều kẻ thù!
- Cấp độ Chiến Đấu Chuối mới: Cấp độ mới, trò chơi mới, vui hơn! Trải nghiệm một cách lên cấp độ khác.
- Nâng cấp Trạm Phân Phối: Mở khóa kỹ năng đơn vị để xây dựng thêm nhiều loại công trình phụ cho Trạm Phân Phố"&amp;"i.
- Tính năng Cơ khí được tối ưu hóa: Bây giờ bạn có thể phát triển cả hai kỹ năng cao cấp cùng một lúc! Chuyển đổi giữa hai kỹ năng chỉ cần một vài CD!
- Tối ưu hóa hàng chờ hành quân: Bây giờ bạn có thể xem điều kiện của Chiến Binh và Cơ khí trong bảng"&amp;" trạng thái ở bên phải hàng chờ hành quân.
- Đóng quân Tường phòng thủ: Bây giờ bạn có thể chỉ định cụ thể Chiến Binh Phòng Thủ để đóng quân; bạn sẽ nhận được lời nhắc pop-up nếu Chiến Binh được chọn được bao gồm trong hàng chờ hành quân.
- NPC phế tích: "&amp;"Đã chỉnh sửa thuật toán AI của NPC và đơn giản hóa các hành động cần thiết để tấn công chúng.")</f>
        <v>- Chiến Binh mới: Thần đồng của bầu trời - Boyce! Thần đồng của bầu trời, nhà vô địch của các trận chiến không kích! Phi công mập mạp đã hạ cánh!
- Ba bộ trang bị mới: Creator, Vanquisher và Hunter, dành cho Phi Công, Lính Tấn Công và Xạ Thủ, tương ứng. Nhận chúng từ "Thám Hiểm Bí Cảnh."
- Bốn kỹ năng trang bị mới: "Sức mạnh của lời chế giễu", "Giờ Phát Nổ", "Băng &amp; Lửa" và "Gió Ở Phía Sau Lưng Bạn". Nhận chúng với ba bộ trang bị mới.
- Chức năng cài đặt trước trang bị mới: chuyển đổi giữa các cấu hình trang bị dễ dàng hơn!
- Chơi thám hiểm mech mới: sử dụng mech để đối mặt với các cấp độ thám hiểm. Chứng minh sức mạnh của bạn và nhận được hàng tấn phần thưởng!
- Ba tượng Chiến Binh mới: Joey Jester, Greg và Ken. Mở khóa tài năng kép của Chiến Binh để nhận tượng.
- Chức năng mới: Chuyển quyền Bá Chủ. Bá Chủ giờ đây có thể chuyển quyền lợi cho một thành viên Bang Hội và chọn có hiển thị nhắc nhở cho tất cả máy chủ khi họ trực tuyến hay không.
- Sự kiện mùa hè mới trên bãi biển:
Mùa Hè Trôi Chảy Tự Do: Thưởng thức đồ uống lạnh giữa ngày hè nóng bỏng, và có cơ hội giành được da Tòa Thị Chính phiên bản deluxe, giới hạn và các phần thưởng khác!
Ngôi Sao Bãi Biển: Lắc Lục Lạc, trở thành ngôi sao của bãi biển và giành phần thưởng!
Điên Cuồng Nhảy Múa: Tham gia vào bữa tiệc nhảy và nhận phần thưởng!
Thí Luyện Mutant: Gửi binh lính để thách thức Gigantos. Gigantos mạnh mẽ hơn bạn đánh bại, bạn nhận được nhiều giải thưởng hơn!
- Tập hợp Bộ lạc mới: Bắt đầu từ giai đoạn cuối của Lịch Sử Hành Tinh trong Hoạt động Tập hợp, các Bang Hội cùng Bộ lạc sẽ có thể tập hợp từ các điểm tài nguyên của nhau.
- Thêm chế độ chiến đấu mới vào Đào Kho Báu: Chế độ bắn tỉa mới đã đến! Giữ vững phòng thủ và tiêu diệt những con Khỉ Đột Biến đang tấn công! Nhận được nhiều phần thưởng hơn khi bạn đánh bại nhiều kẻ thù!
- Cấp độ Chiến Đấu Chuối mới: Cấp độ mới, trò chơi mới, vui hơn! Trải nghiệm một cách lên cấp độ khác.
- Nâng cấp Trạm Phân Phối: Mở khóa kỹ năng đơn vị để xây dựng thêm nhiều loại công trình phụ cho Trạm Phân Phối.
- Tính năng Cơ khí được tối ưu hóa: Bây giờ bạn có thể phát triển cả hai kỹ năng cao cấp cùng một lúc! Chuyển đổi giữa hai kỹ năng chỉ cần một vài CD!
- Tối ưu hóa hàng chờ hành quân: Bây giờ bạn có thể xem điều kiện của Chiến Binh và Cơ khí trong bảng trạng thái ở bên phải hàng chờ hành quân.
- Đóng quân Tường phòng thủ: Bây giờ bạn có thể chỉ định cụ thể Chiến Binh Phòng Thủ để đóng quân; bạn sẽ nhận được lời nhắc pop-up nếu Chiến Binh được chọn được bao gồm trong hàng chờ hành quân.
- NPC phế tích: Đã chỉnh sửa thuật toán AI của NPC và đơn giản hóa các hành động cần thiết để tấn công chúng.</v>
      </c>
      <c r="N43" s="108" t="str">
        <f>IFERROR(__xludf.DUMMYFUNCTION("""COMPUTED_VALUE"""),"- Nuovo Combattente: Prodigio del Cielo - Boyce! Un prodigio dell'aria, campione dei duelli aerei! Il pilota rotondetto è atterrato!
- Tre nuovi set di equipaggiamento: Creatore, Conquistatore e Cacciatore, rispettivamente per Piloti, Picchiatori e Cecchi"&amp;"ni. Ottienili da ""Avventura nel Paese incantato.""
- Quattro nuove abilità di equipaggiamento: ""Potere della Derisione"", ""Ora dell'Esplosione"", ""Gelo &amp; Ghiaccio"" e ""Vento alle Spalle"". Ottienile con i tre nuovi set di equipaggiamento.
- Nuova fun"&amp;"zione preimpostata di equipaggiamento: passa più facilmente tra le configurazioni di equipaggiamento!
- Nuovo gioco di spedizione mech: usa i mech per affrontare i livelli di spedizione. Dimostra la tua forza e ottieni tonnellate di ricompense!
- Tre nuov"&amp;"e statue di Combattenti: Joey Jester, Greg e Ken. Sblocca i doppi talenti del Combattente per ottenere la statua.
- Nuova funzione: trasferimento della posizione di Sign. supremo. Il Sign. supremo può ora trasferire i privilegi a un membro della Gang e sc"&amp;"egliere se mostrare un promemoria a tutto il server quando si connettono.
- Nuovi eventi stagionali sulla spiaggia:
ESTATE LIBERA E FLUIDA: Goditi bevande ghiacciate in una calda giornata estiva e ottieni la possibilità di vincere una lussuosa skin per il"&amp;" Municipio in edizione limitata e altre ricompense!
STAR DELLA SPIAGGIA: Scuoti i Tamburelli, diventa la star della spiaggia e vinci ricompense!
Festa di Ballo Frenetica: Partecipa alla festa di ballo e ottieni ricompense!
Sfide Mutanti: Invia truppe per "&amp;"sfidare i Gigagorilla. Più forti sono i Gigagorilla che sconfiggi, più premi ottieni!
- Nuova raccolta del Clan: Ora, al termine della fase dell'Operazione di Recupero della Storia Galattica, è possibile raccogliere i punti risorsa delle gang dello stesso"&amp;" clan.
- Nuova modalità di battaglia aggiunta a Scavo del Tesoro: La nuova modalità di tiro è qui! Difendi le tue linee e distruggi gli scimmioni mutanti in arrivo, le ricompense aumenteranno con il numero di nemici uccisi!
- Nuovo livello di Banana Fight"&amp;": Nuovo livello, nuovo gameplay, più divertimento! Prova un'esperienza di completamento diversa e più divertimento di gioco!
- Aggiornamento della Stazione di Distribuzione: Dopo aver sbloccato le abilità delle unità, è possibile costruire più tipi di edi"&amp;"fici ausiliari per la Stazione di Distribuzione.
- Ottimizzazione del sistema Mech: Ora è possibile sviluppare contemporaneamente entrambe le abilità avanzate del Mech, e il cambio richiede solo alcuni CD!
- Ottimizzazione delle code di marcia: Ora è poss"&amp;"ibile controllare lo stato di sopravvivenza dei combattenti e dei Mech attraverso la barra di stato a destra della coda di marcia.
- Difesa delle mura della città: È stata aggiunta la funzione di blocco del combattente di guarnigione, e se si sceglie il c"&amp;"ombattente di guarnigione durante la spedizione, apparirà un promemoria.
- Mostri di guarnigione delle rovine: L'IA del mostro è stata regolata per semplificare le operazioni dei giocatori quando attaccano i mostri.")</f>
        <v>- Nuovo Combattente: Prodigio del Cielo - Boyce! Un prodigio dell'aria, campione dei duelli aerei! Il pilota rotondetto è atterrato!
- Tre nuovi set di equipaggiamento: Creatore, Conquistatore e Cacciatore, rispettivamente per Piloti, Picchiatori e Cecchini. Ottienili da "Avventura nel Paese incantato."
- Quattro nuove abilità di equipaggiamento: "Potere della Derisione", "Ora dell'Esplosione", "Gelo &amp; Ghiaccio" e "Vento alle Spalle". Ottienile con i tre nuovi set di equipaggiamento.
- Nuova funzione preimpostata di equipaggiamento: passa più facilmente tra le configurazioni di equipaggiamento!
- Nuovo gioco di spedizione mech: usa i mech per affrontare i livelli di spedizione. Dimostra la tua forza e ottieni tonnellate di ricompense!
- Tre nuove statue di Combattenti: Joey Jester, Greg e Ken. Sblocca i doppi talenti del Combattente per ottenere la statua.
- Nuova funzione: trasferimento della posizione di Sign. supremo. Il Sign. supremo può ora trasferire i privilegi a un membro della Gang e scegliere se mostrare un promemoria a tutto il server quando si connettono.
- Nuovi eventi stagionali sulla spiaggia:
ESTATE LIBERA E FLUIDA: Goditi bevande ghiacciate in una calda giornata estiva e ottieni la possibilità di vincere una lussuosa skin per il Municipio in edizione limitata e altre ricompense!
STAR DELLA SPIAGGIA: Scuoti i Tamburelli, diventa la star della spiaggia e vinci ricompense!
Festa di Ballo Frenetica: Partecipa alla festa di ballo e ottieni ricompense!
Sfide Mutanti: Invia truppe per sfidare i Gigagorilla. Più forti sono i Gigagorilla che sconfiggi, più premi ottieni!
- Nuova raccolta del Clan: Ora, al termine della fase dell'Operazione di Recupero della Storia Galattica, è possibile raccogliere i punti risorsa delle gang dello stesso clan.
- Nuova modalità di battaglia aggiunta a Scavo del Tesoro: La nuova modalità di tiro è qui! Difendi le tue linee e distruggi gli scimmioni mutanti in arrivo, le ricompense aumenteranno con il numero di nemici uccisi!
- Nuovo livello di Banana Fight: Nuovo livello, nuovo gameplay, più divertimento! Prova un'esperienza di completamento diversa e più divertimento di gioco!
- Aggiornamento della Stazione di Distribuzione: Dopo aver sbloccato le abilità delle unità, è possibile costruire più tipi di edifici ausiliari per la Stazione di Distribuzione.
- Ottimizzazione del sistema Mech: Ora è possibile sviluppare contemporaneamente entrambe le abilità avanzate del Mech, e il cambio richiede solo alcuni CD!
- Ottimizzazione delle code di marcia: Ora è possibile controllare lo stato di sopravvivenza dei combattenti e dei Mech attraverso la barra di stato a destra della coda di marcia.
- Difesa delle mura della città: È stata aggiunta la funzione di blocco del combattente di guarnigione, e se si sceglie il combattente di guarnigione durante la spedizione, apparirà un promemoria.
- Mostri di guarnigione delle rovine: L'IA del mostro è stata regolata per semplificare le operazioni dei giocatori quando attaccano i mostri.</v>
      </c>
      <c r="O43" s="148" t="str">
        <f>IFERROR(__xludf.DUMMYFUNCTION("""COMPUTED_VALUE"""),"- Nowy Wojownik: Geniusz Nieba - Boyce! Geniusz panujący na polu powietrznej bitwy, uroczy, pulchny pilot nadchodzi!
- Trzy nowe zestawy wyposażenia: Twórca, Zwycięzca i Łowca, odpowiednio dla Pilotów, Łupaczy i Strzelców. Zdobądź je z ""Przygody w Kraini"&amp;"e Cudów"".
- Cztery nowe umiejętności wyposażenia: ""Siła Prowokacji"", ""Godzina Wybuchu"", ""Mróz i Lód"" oraz ""Wiatr za Twoimi Plecami"". Zdobądź je z trzema nowymi zestawami wyposażenia.
- Nowa funkcja ustawień wstępnych wyposażenia: łatwiejsze przeł"&amp;"ączanie konfiguracji wyposażenia!
- Nowa gra ekspedycji mechów: używaj mechów do pokonania poziomów ekspedycji. Udowodnij swoją siłę i zdobądź mnóstwo nagród!
- Trzy nowe pomniki Wojowników: Joey Jester, Greg i Ken. Odblokuj podwójne talenty Wojownika, ab"&amp;"y zdobyć pomnik.
- Nowa funkcja: Przeniesienie pozycji Władcy. Władca może teraz przenosić uprawnienia do członka Gangu i wybierać, czy pokazać przypomnienie dla całego serwera, kiedy są online.
- Nowe wydarzenia sezonu plażowego:
LETNIE PICIE: Ciesz się "&amp;"zimnymi napojami w gorący letni dzień i zdobądź szansę na wygranie luksusowej, limitowanej skórki Ratusza i innych nagród!
PLAŻOWA SUPERGWIAZDA: Potrząśnij tamburynami, bądź gwiazdą plaży i zdobądź nagrody!
Szaleństwo Tańca: Dołącz do imprezy tanecznej i "&amp;"zdobądź nagrody!
Próby Mutantów: Wyślij oddziały, aby stawić czoła Gigamałpom. Im silniejsze Gigamałpy pokonasz, tym więcej nagród zdobędziesz!
- Nowe zgromadzenie Klanu: Począwszy od końca etapu Operacji Rajd w Historii Planety, Gangi z tego samego Klanu"&amp;" będą mogły gromadzić się na miejscach zasobów innych członków.
- Nowy tryb walki dodany do Zakopanych Skarbów: Nowy tryb strzelca jest już tutaj! Utrzymaj swoje obrony i pokonaj nadchodzące mutanty! Im więcej wrogów pokonasz, tym lepsze nagrody otrzymasz"&amp;"!
- Nowy poziom Banana Fight: Nowy poziom, nowa rozgrywka, więcej zabawy! Doświadcz inny sposób zdobywania poziomów.
- Dystrybutorzy ulepszeni: Odblokuj umiejętności jednostek, aby budować więcej typów budynków pomocniczych dla Dystrybutorów.
- Optymaliza"&amp;"cja funkcji Mecha: Teraz możesz rozwijać obie zaawansowane umiejętności jednocześnie! Przełączanie między nimi wymaga tylko kilku CD!
- Optymalizacja kolejek marszu: Teraz możesz zobaczyć warunki Wojownika i Mecha w panelu statusu po prawej stronie kolejk"&amp;"i marszu.
- Garnizonowanie Murów Obronnych: Teraz możesz przypisać konkretnych Obronnych Wojowników do garnizonu; otrzymasz przypomnienie w formie pop-upu, jeśli wybrany Wojownik jest uwzględniony w kolejce marszu.
- Ruiny NPC: Zmodyfikowano algorytm AI N"&amp;"PC i uproszczono działania potrzebne do ataku na nich.")</f>
        <v>- Nowy Wojownik: Geniusz Nieba - Boyce! Geniusz panujący na polu powietrznej bitwy, uroczy, pulchny pilot nadchodzi!
- Trzy nowe zestawy wyposażenia: Twórca, Zwycięzca i Łowca, odpowiednio dla Pilotów, Łupaczy i Strzelców. Zdobądź je z "Przygody w Krainie Cudów".
- Cztery nowe umiejętności wyposażenia: "Siła Prowokacji", "Godzina Wybuchu", "Mróz i Lód" oraz "Wiatr za Twoimi Plecami". Zdobądź je z trzema nowymi zestawami wyposażenia.
- Nowa funkcja ustawień wstępnych wyposażenia: łatwiejsze przełączanie konfiguracji wyposażenia!
- Nowa gra ekspedycji mechów: używaj mechów do pokonania poziomów ekspedycji. Udowodnij swoją siłę i zdobądź mnóstwo nagród!
- Trzy nowe pomniki Wojowników: Joey Jester, Greg i Ken. Odblokuj podwójne talenty Wojownika, aby zdobyć pomnik.
- Nowa funkcja: Przeniesienie pozycji Władcy. Władca może teraz przenosić uprawnienia do członka Gangu i wybierać, czy pokazać przypomnienie dla całego serwera, kiedy są online.
- Nowe wydarzenia sezonu plażowego:
LETNIE PICIE: Ciesz się zimnymi napojami w gorący letni dzień i zdobądź szansę na wygranie luksusowej, limitowanej skórki Ratusza i innych nagród!
PLAŻOWA SUPERGWIAZDA: Potrząśnij tamburynami, bądź gwiazdą plaży i zdobądź nagrody!
Szaleństwo Tańca: Dołącz do imprezy tanecznej i zdobądź nagrody!
Próby Mutantów: Wyślij oddziały, aby stawić czoła Gigamałpom. Im silniejsze Gigamałpy pokonasz, tym więcej nagród zdobędziesz!
- Nowe zgromadzenie Klanu: Począwszy od końca etapu Operacji Rajd w Historii Planety, Gangi z tego samego Klanu będą mogły gromadzić się na miejscach zasobów innych członków.
- Nowy tryb walki dodany do Zakopanych Skarbów: Nowy tryb strzelca jest już tutaj! Utrzymaj swoje obrony i pokonaj nadchodzące mutanty! Im więcej wrogów pokonasz, tym lepsze nagrody otrzymasz!
- Nowy poziom Banana Fight: Nowy poziom, nowa rozgrywka, więcej zabawy! Doświadcz inny sposób zdobywania poziomów.
- Dystrybutorzy ulepszeni: Odblokuj umiejętności jednostek, aby budować więcej typów budynków pomocniczych dla Dystrybutorów.
- Optymalizacja funkcji Mecha: Teraz możesz rozwijać obie zaawansowane umiejętności jednocześnie! Przełączanie między nimi wymaga tylko kilku CD!
- Optymalizacja kolejek marszu: Teraz możesz zobaczyć warunki Wojownika i Mecha w panelu statusu po prawej stronie kolejki marszu.
- Garnizonowanie Murów Obronnych: Teraz możesz przypisać konkretnych Obronnych Wojowników do garnizonu; otrzymasz przypomnienie w formie pop-upu, jeśli wybrany Wojownik jest uwzględniony w kolejce marszu.
- Ruiny NPC: Zmodyfikowano algorytm AI NPC i uproszczono działania potrzebne do ataku na nich.</v>
      </c>
      <c r="P43" s="148" t="str">
        <f>IFERROR(__xludf.DUMMYFUNCTION("""COMPUTED_VALUE"""),"- مقاتل جديد: عبقري السماء - بويس! عبقري الجو، بطل المعارك الجوية! هبط الطيار الدائري الجسم!
- ثلاث مجموعات معدات جديدة: الخالق، الفاتح، والصياد، للطيارين، الضاربين، والرماة، على التوالي. احصل عليهم من ""مغامرة بلاد العجائب"".
- أربع مهارات معدات جديدة: "&amp;"""قوة الاستفزاز""، ""ساعة الانفجار""، ""الصقيع والجليد""، و""الرياح في ظهرك"". احصل عليهم مع المجموعات الثلاث للمعدات الجديدة.
- وظيفة معدات مسبقة جديدة: التبديل بين تكوينات المعدات بسهولة أكبر!
- لعب بعثة الميكا الجديدة: استخدم الميكا لمواجهة مستويات الب"&amp;"عثة. أثبت قوتك واحصل على الكثير من المكافآت!
- ثلاث تماثيل مقاتل جديدة: جوي جيستر، جريج، وكين. افتح مواهب المقاتل المزدوجة للحصول على التمثال.
- وظيفة جديدة: نقل موقع الحاكم. يمكن للحاكم الآن نقل الامتيازات إلى عضو في العصابة وتحديد ما إذا كان يريد إظهار "&amp;"تذكير لجميع الخوادم عندما يكون متصلاً بالإنترنت.
- أحداث موسم الشاطئ الجديدة:
الصيف الجاري مجانا: استمتع بالمشروبات الباردة في يوم صيفي حار، واحصل على فرصة للفوز بجلد قاعة المدينة الفاخرة والمحدودة الإصدار والمكافآت الأخرى!
نجم الشاطئ: هز الدفوف، كن نجم ا"&amp;"لشاطئ، واكسب المكافآت!
جنون الرقص: انضم إلى حفلة الرقص واحصل على المكافآت!
تجارب المتحولين: أرسل القوات لتحدي القرد العملاق. كلما كان القرد العملاق الذي تهزمه أقوى، كلما كانت الجوائز التي تحصل عليها أكثر!
- تجمع عشيرة جديد: بدءًا من نهاية مرحلة تجمع عملية"&amp;" التاريخ الكوكبي، ستتمكن العصابات من نفس العشيرة من التجمع من بقع الموارد الخاصة ببعضها البعض.
- تمت إضافة وضع معركة جديد إلى حفر الكنز: وضع الرامي الجديد هنا! احتفظ بدفاعاتك وأسقط الطفرات الواردة! احصل على مكافآت أفضل كلما هزمت أعداء أكثر!
- مستوى معركة "&amp;"الموز الجديد: مستوى جديد، طريقة لعب جديدة، المزيد من المرح! تجربة طريقة مختلفة للترقية.
- تمت ترقية الموزعين: فتح مهارات الوحدة لبناء المزيد من أنواع المباني الفرعية للموزعين.
- تم تحسين ميزة Mech: يمكنك الآن تطوير كلا المهارتين المتقدمتين في نفس الوقت! ا"&amp;"لتبديل بين الاثنين يتطلب فقط بضعة أقراص CD!
- تم تحسين طوابير المسيرة: يمكنك الآن رؤية حالة المقاتل و Mech في لوحة الحالة إلى يمين طابور المسيرة.
- حراسة جدران الدفاع: يمكنك الآن تعيين مقاتلي الدفاع المحددين للحراسة؛ ستتلقى تذكيرًا منبثقًا إذا تم تضمين ال"&amp;"مقاتل المحدد في طابور المسيرة.
- أنقاض الشخصيات غير القابلة للعب: تم تعديل خوارزمية الذكاء الاصطناعي للشخصيات غير القابلة للعب وتبسيط الإجراءات المطلوبة لمهاجمتهم.")</f>
        <v>- مقاتل جديد: عبقري السماء - بويس! عبقري الجو، بطل المعارك الجوية! هبط الطيار الدائري الجسم!
- ثلاث مجموعات معدات جديدة: الخالق، الفاتح، والصياد، للطيارين، الضاربين، والرماة، على التوالي. احصل عليهم من "مغامرة بلاد العجائب".
- أربع مهارات معدات جديدة: "قوة الاستفزاز"، "ساعة الانفجار"، "الصقيع والجليد"، و"الرياح في ظهرك". احصل عليهم مع المجموعات الثلاث للمعدات الجديدة.
- وظيفة معدات مسبقة جديدة: التبديل بين تكوينات المعدات بسهولة أكبر!
- لعب بعثة الميكا الجديدة: استخدم الميكا لمواجهة مستويات البعثة. أثبت قوتك واحصل على الكثير من المكافآت!
- ثلاث تماثيل مقاتل جديدة: جوي جيستر، جريج، وكين. افتح مواهب المقاتل المزدوجة للحصول على التمثال.
- وظيفة جديدة: نقل موقع الحاكم. يمكن للحاكم الآن نقل الامتيازات إلى عضو في العصابة وتحديد ما إذا كان يريد إظهار تذكير لجميع الخوادم عندما يكون متصلاً بالإنترنت.
- أحداث موسم الشاطئ الجديدة:
الصيف الجاري مجانا: استمتع بالمشروبات الباردة في يوم صيفي حار، واحصل على فرصة للفوز بجلد قاعة المدينة الفاخرة والمحدودة الإصدار والمكافآت الأخرى!
نجم الشاطئ: هز الدفوف، كن نجم الشاطئ، واكسب المكافآت!
جنون الرقص: انضم إلى حفلة الرقص واحصل على المكافآت!
تجارب المتحولين: أرسل القوات لتحدي القرد العملاق. كلما كان القرد العملاق الذي تهزمه أقوى، كلما كانت الجوائز التي تحصل عليها أكثر!
- تجمع عشيرة جديد: بدءًا من نهاية مرحلة تجمع عملية التاريخ الكوكبي، ستتمكن العصابات من نفس العشيرة من التجمع من بقع الموارد الخاصة ببعضها البعض.
- تمت إضافة وضع معركة جديد إلى حفر الكنز: وضع الرامي الجديد هنا! احتفظ بدفاعاتك وأسقط الطفرات الواردة! احصل على مكافآت أفضل كلما هزمت أعداء أكثر!
- مستوى معركة الموز الجديد: مستوى جديد، طريقة لعب جديدة، المزيد من المرح! تجربة طريقة مختلفة للترقية.
- تمت ترقية الموزعين: فتح مهارات الوحدة لبناء المزيد من أنواع المباني الفرعية للموزعين.
- تم تحسين ميزة Mech: يمكنك الآن تطوير كلا المهارتين المتقدمتين في نفس الوقت! التبديل بين الاثنين يتطلب فقط بضعة أقراص CD!
- تم تحسين طوابير المسيرة: يمكنك الآن رؤية حالة المقاتل و Mech في لوحة الحالة إلى يمين طابور المسيرة.
- حراسة جدران الدفاع: يمكنك الآن تعيين مقاتلي الدفاع المحددين للحراسة؛ ستتلقى تذكيرًا منبثقًا إذا تم تضمين المقاتل المحدد في طابور المسيرة.
- أنقاض الشخصيات غير القابلة للعب: تم تعديل خوارزمية الذكاء الاصطناعي للشخصيات غير القابلة للعب وتبسيط الإجراءات المطلوبة لمهاجمتهم.</v>
      </c>
      <c r="Q43" s="148"/>
      <c r="R43" s="148"/>
      <c r="S43" s="148"/>
      <c r="T43" s="148"/>
      <c r="U43" s="148"/>
      <c r="V43" s="148"/>
      <c r="W43" s="148"/>
      <c r="X43" s="148"/>
      <c r="Y43" s="148"/>
      <c r="Z43" s="148"/>
    </row>
    <row r="44">
      <c r="A44" s="167" t="str">
        <f>IFERROR(__xludf.DUMMYFUNCTION("""COMPUTED_VALUE"""),"0.56.0")</f>
        <v>0.56.0</v>
      </c>
      <c r="B44" s="148" t="str">
        <f>IFERROR(__xludf.DUMMYFUNCTION("""COMPUTED_VALUE"""),"--新增斗士：狂锯甜心-桃乐丝，集甜美外表与暴力于一身的电锯少女！
--新增斗士：酿造大师-万斯，猩球传奇酿造师与你干杯，激发你的豪迈情怀！
--新增收藏品：攻城车套装-无所遁形（包含追踪炮，磁力护盾，车载定位仪）。
--新增战场：决战卫星之巅-机甲风暴，全新版本的战场体验，即将到来！
--新增中立生物：猩球上的野怪部队增加了新的战斗单位！
--新增地下探宝关卡：现已拓展至110关。
--新增帮派主线任务：帮助管理者规划帮派发展方向，达成后帮派全体成员可获得丰厚奖励。
--新增语言：韩语现已成为猩球可使用"&amp;"语言。
--新增战区排行榜：知己知彼，百战百胜，每日点赞还能获得奖励！
--新增地下探宝基金：参与地下探宝可获得丰厚的奖励！
--新增周年庆活动：盛大的猿族周年庆已经开启，让我们享受庆典，获取丰厚的奖励！
欢乐游园会：收集周年纪念币，在游园会中庆祝周年盛典，即有机会获取限定周年城市外观！
周年派对：收集周年礼花，使用礼花庆祝周年庆典，获取丰厚奖励！
签到有礼：周年大回馈，签到即可获取周年限定斗士万斯！
甜品盛宴：周年蛋糕DIY，收集蛋糕材料，完成蛋糕制作，即可获得周年限定装饰！
超级幸运星：狂欢抽奖，寻找"&amp;"周年最幸运的你，参与即可获取丰厚奖励！
矿藏秘宝：全新地下探宝活动关卡，参与可获得丰厚的奖励！
--围剿变异猴优化：围剿变异猴新增助战功能，快带上好友的助战部队，一起围剿吧！
--聊天优化：聊天增加回复功能，帮派聊天频道新增帮派指令页签。
--机甲优化：机甲可以正常加入集结、城市增援、关卡等建筑。
--重伤治疗优化：优化重伤兵结算回城的时间，重伤士兵将会在战斗过程中每10回合被送回主城进行治疗。
--其他界面展示及操作功能优化。")</f>
        <v>--新增斗士：狂锯甜心-桃乐丝，集甜美外表与暴力于一身的电锯少女！
--新增斗士：酿造大师-万斯，猩球传奇酿造师与你干杯，激发你的豪迈情怀！
--新增收藏品：攻城车套装-无所遁形（包含追踪炮，磁力护盾，车载定位仪）。
--新增战场：决战卫星之巅-机甲风暴，全新版本的战场体验，即将到来！
--新增中立生物：猩球上的野怪部队增加了新的战斗单位！
--新增地下探宝关卡：现已拓展至110关。
--新增帮派主线任务：帮助管理者规划帮派发展方向，达成后帮派全体成员可获得丰厚奖励。
--新增语言：韩语现已成为猩球可使用语言。
--新增战区排行榜：知己知彼，百战百胜，每日点赞还能获得奖励！
--新增地下探宝基金：参与地下探宝可获得丰厚的奖励！
--新增周年庆活动：盛大的猿族周年庆已经开启，让我们享受庆典，获取丰厚的奖励！
欢乐游园会：收集周年纪念币，在游园会中庆祝周年盛典，即有机会获取限定周年城市外观！
周年派对：收集周年礼花，使用礼花庆祝周年庆典，获取丰厚奖励！
签到有礼：周年大回馈，签到即可获取周年限定斗士万斯！
甜品盛宴：周年蛋糕DIY，收集蛋糕材料，完成蛋糕制作，即可获得周年限定装饰！
超级幸运星：狂欢抽奖，寻找周年最幸运的你，参与即可获取丰厚奖励！
矿藏秘宝：全新地下探宝活动关卡，参与可获得丰厚的奖励！
--围剿变异猴优化：围剿变异猴新增助战功能，快带上好友的助战部队，一起围剿吧！
--聊天优化：聊天增加回复功能，帮派聊天频道新增帮派指令页签。
--机甲优化：机甲可以正常加入集结、城市增援、关卡等建筑。
--重伤治疗优化：优化重伤兵结算回城的时间，重伤士兵将会在战斗过程中每10回合被送回主城进行治疗。
--其他界面展示及操作功能优化。</v>
      </c>
      <c r="C44" s="148" t="str">
        <f>IFERROR(__xludf.DUMMYFUNCTION("""COMPUTED_VALUE"""),"- New Fighter: Chainsaw Sweetheart, Doris. Sweet on the outside, savage on the inside - it's chainsaw girl!
- New Fighter: Brewmaster, Vance. Cheers! From the most legendary brewmaster on the planet. Ready to spirit up?
- New Relic: Wall Breaker set - Now"&amp;"here to Hide (includes Homing Cannon, Mag Shield, and Onboard Locator).
- New battlefield: Astral Coliseum - Mech Rising. Get ready for a brand-new battle experience!
- New NPC: new types of mutant troops!
- Treasure Dig now has 110 levels!
- New Gang que"&amp;"sts: main quests that help Gang admins plan development; all members receive rewards when quests are completed.
- New language: Korean is now available on ape planets!
- New Zone Leaderboard: know your enemies and like your friends! Like daily to get rewa"&amp;"rds!
- New Treasure Dig fund: participate in Treasure Dig to get amazing rewards!
- New anniversary events: the grand anniversary event has begun! Celebrate with us and get tons of rewards!
FUN FAIR: Collect anniversary coins and celebrate in the Garden P"&amp;"arty for a chance to get the special anniversary City Hall skin!
ANNIVERSARY PARTY: Collect anniversary fireworks and use them for the celebration to get rewards!
Anniversary Rebate: We're celebrating with a giveaway! Simply sign in to get the special ann"&amp;"iversary Fighter, Vance!
Dessert Course: Create your own anniversary cake! Collect cake ingredients to make the cake and get the special anniversary decoration!
Super Lucky Star: Try your luck and draw prizes! Will fortune smile upon you? Participate to g"&amp;"et rewards and find out!
Hidden Treasures: new Treasure Dig level. Play to get rewards!
- Operation Mutants optimized: added new assist function. Use a friend's assist troops to help you beat the mutants!
- Chat optimized: added reply function; directive "&amp;"tab added to Gang chatroom.
- Mechs optimized: mechs can now join rallies, city reinforcements, and buildings like Monkey Passes.
- Improved healing interval for seriously wounded troops: they are now sent back to the city for healing after every 10 round"&amp;"s of battle.
- Other interface display and operating improvements.")</f>
        <v>- New Fighter: Chainsaw Sweetheart, Doris. Sweet on the outside, savage on the inside - it's chainsaw girl!
- New Fighter: Brewmaster, Vance. Cheers! From the most legendary brewmaster on the planet. Ready to spirit up?
- New Relic: Wall Breaker set - Nowhere to Hide (includes Homing Cannon, Mag Shield, and Onboard Locator).
- New battlefield: Astral Coliseum - Mech Rising. Get ready for a brand-new battle experience!
- New NPC: new types of mutant troops!
- Treasure Dig now has 110 levels!
- New Gang quests: main quests that help Gang admins plan development; all members receive rewards when quests are completed.
- New language: Korean is now available on ape planets!
- New Zone Leaderboard: know your enemies and like your friends! Like daily to get rewards!
- New Treasure Dig fund: participate in Treasure Dig to get amazing rewards!
- New anniversary events: the grand anniversary event has begun! Celebrate with us and get tons of rewards!
FUN FAIR: Collect anniversary coins and celebrate in the Garden Party for a chance to get the special anniversary City Hall skin!
ANNIVERSARY PARTY: Collect anniversary fireworks and use them for the celebration to get rewards!
Anniversary Rebate: We're celebrating with a giveaway! Simply sign in to get the special anniversary Fighter, Vance!
Dessert Course: Create your own anniversary cake! Collect cake ingredients to make the cake and get the special anniversary decoration!
Super Lucky Star: Try your luck and draw prizes! Will fortune smile upon you? Participate to get rewards and find out!
Hidden Treasures: new Treasure Dig level. Play to get rewards!
- Operation Mutants optimized: added new assist function. Use a friend's assist troops to help you beat the mutants!
- Chat optimized: added reply function; directive tab added to Gang chatroom.
- Mechs optimized: mechs can now join rallies, city reinforcements, and buildings like Monkey Passes.
- Improved healing interval for seriously wounded troops: they are now sent back to the city for healing after every 10 rounds of battle.
- Other interface display and operating improvements.</v>
      </c>
      <c r="D44" s="148" t="str">
        <f>IFERROR(__xludf.DUMMYFUNCTION("""COMPUTED_VALUE"""),"- Nouveau combattant : Douceur à la tronçonneuse, Doris. Douce à l'extérieur, sauvage à l'intérieur - c'est la fille à la tronçonneuse!
- Nouveau combattant : Maître brasseur, Vance. Santé! Du brasseur le plus légendaire de la planète. Prêt à vous enivrer"&amp;"?
- Nouvelle Relique : Ensemble Brise-Mur - Nulle part où se cacher (comprend le Canon à guidage, le Bouclier Mag et le Localisateur embarqué).
- Nouveau champ de bataille : Colisée astral - Mécha en ascension. Préparez-vous pour une toute nouvelle expéri"&amp;"ence de combat!
- Nouveau PNJ : nouveaux types de troupes de mutants!
- La fouille au trésor compte désormais 110 niveaux!
- Nouvelles quêtes de gang : quêtes principales qui aident les administrateurs de gang à planifier le développement ; tous les membr"&amp;"es reçoivent des récompenses lorsque les quêtes sont terminées.
- Nouvelle langue : le coréen est maintenant disponible sur les planètes des singes!
- Nouveau classement de la zone : connaissez vos ennemis et aimez vos amis! Aimez quotidiennement pour obt"&amp;"enir des récompenses!
- Nouveau fonds de fouille au trésor : participez à la fouille au trésor pour obtenir des récompenses incroyables!
- Nouveaux événements d'anniversaire : le grand événement d'anniversaire a commencé! Célébrez avec nous et obtenez des"&amp;" tonnes de récompenses!
Fête de jardin : Collectez des pièces d'anniversaire et célébrez dans la fête de jardin pour avoir une chance d'obtenir la peau spéciale de l'hôtel de ville d'anniversaire!
Fête d'anniversaire : Collectez des feux d'artifice d'anni"&amp;"versaire et utilisez-les pour la célébration pour obtenir des récompenses!
Réduction d'anniversaire : Nous célébrons avec un cadeau! Il suffit de se connecter pour obtenir le combattant spécial d'anniversaire, Vance!
Cours de dessert : Créez votre propre "&amp;"gâteau d'anniversaire! Collectez les ingrédients du gâteau pour faire le gâteau et obtenir la décoration spéciale d'anniversaire!
Super étoile chanceuse : Tentez votre chance et tirez des prix! La fortune vous sourira-t-elle? Participez pour obtenir des r"&amp;"écompenses et découvrez!
Trésors cachés : nouveau niveau de fouille au trésor. Jouez pour obtenir des récompenses!
- Opération mutants optimisée : ajout d'une nouvelle fonction d'assistance. Utilisez les troupes d'assistance d'un ami pour vous aider à bat"&amp;"tre les mutants!
- Chat optimisé : ajout de la fonction de réponse ; onglet de directive ajouté au salon de discussion du gang.
- Méchas optimisés : les méchas peuvent désormais rejoindre les raids, les renforts de la ville et les constructions comme les "&amp;"barrages de singes.
- Amélioration de l'intervalle de guérison pour les troupes gravement blessées : elles sont désormais renvoyées à la ville pour être soignées après chaque 10 tours de combat.
- Autres améliorations de l'affichage de l'interface et du f"&amp;"onctionnement.")</f>
        <v>- Nouveau combattant : Douceur à la tronçonneuse, Doris. Douce à l'extérieur, sauvage à l'intérieur - c'est la fille à la tronçonneuse!
- Nouveau combattant : Maître brasseur, Vance. Santé! Du brasseur le plus légendaire de la planète. Prêt à vous enivrer?
- Nouvelle Relique : Ensemble Brise-Mur - Nulle part où se cacher (comprend le Canon à guidage, le Bouclier Mag et le Localisateur embarqué).
- Nouveau champ de bataille : Colisée astral - Mécha en ascension. Préparez-vous pour une toute nouvelle expérience de combat!
- Nouveau PNJ : nouveaux types de troupes de mutants!
- La fouille au trésor compte désormais 110 niveaux!
- Nouvelles quêtes de gang : quêtes principales qui aident les administrateurs de gang à planifier le développement ; tous les membres reçoivent des récompenses lorsque les quêtes sont terminées.
- Nouvelle langue : le coréen est maintenant disponible sur les planètes des singes!
- Nouveau classement de la zone : connaissez vos ennemis et aimez vos amis! Aimez quotidiennement pour obtenir des récompenses!
- Nouveau fonds de fouille au trésor : participez à la fouille au trésor pour obtenir des récompenses incroyables!
- Nouveaux événements d'anniversaire : le grand événement d'anniversaire a commencé! Célébrez avec nous et obtenez des tonnes de récompenses!
Fête de jardin : Collectez des pièces d'anniversaire et célébrez dans la fête de jardin pour avoir une chance d'obtenir la peau spéciale de l'hôtel de ville d'anniversaire!
Fête d'anniversaire : Collectez des feux d'artifice d'anniversaire et utilisez-les pour la célébration pour obtenir des récompenses!
Réduction d'anniversaire : Nous célébrons avec un cadeau! Il suffit de se connecter pour obtenir le combattant spécial d'anniversaire, Vance!
Cours de dessert : Créez votre propre gâteau d'anniversaire! Collectez les ingrédients du gâteau pour faire le gâteau et obtenir la décoration spéciale d'anniversaire!
Super étoile chanceuse : Tentez votre chance et tirez des prix! La fortune vous sourira-t-elle? Participez pour obtenir des récompenses et découvrez!
Trésors cachés : nouveau niveau de fouille au trésor. Jouez pour obtenir des récompenses!
- Opération mutants optimisée : ajout d'une nouvelle fonction d'assistance. Utilisez les troupes d'assistance d'un ami pour vous aider à battre les mutants!
- Chat optimisé : ajout de la fonction de réponse ; onglet de directive ajouté au salon de discussion du gang.
- Méchas optimisés : les méchas peuvent désormais rejoindre les raids, les renforts de la ville et les constructions comme les barrages de singes.
- Amélioration de l'intervalle de guérison pour les troupes gravement blessées : elles sont désormais renvoyées à la ville pour être soignées après chaque 10 tours de combat.
- Autres améliorations de l'affichage de l'interface et du fonctionnement.</v>
      </c>
      <c r="E44" s="148" t="str">
        <f>IFERROR(__xludf.DUMMYFUNCTION("""COMPUTED_VALUE"""),"- Neuer Kämpfer: Kettensägen-Schätzchen, Doris. Süß von außen, wild von innen - es ist das Kettensägenmädchen!
- Neuer Kämpfer: Braumeister, Vance. Prost! Vom legendärsten Braumeister des Planeten. Bereit, um in Stimmung zu kommen?
- Neues Relikt: Wall Br"&amp;"eaker Set - Nirgendwo zu verstecken (beinhaltet Homing-Kanone, Mag Shield und Onboard-Locator).
- Neues Schlachtfeld: Astral-Kolosseum - Mech-Aufstieg. Mach dich bereit für ein brandneues Kampferlebnis!
- Neuer NPC: neue Arten von Mutanten-Truppen!
- Scha"&amp;"tzsuche hat jetzt 110 Level!
- Neue Clan-Aufgaben: Hauptaufgaben, die Clan-Admins bei der Planung der Entwicklung helfen; alle Mitglieder erhalten Belohnungen, wenn die Aufgaben abgeschlossen sind.
- Neue Sprache: Koreanisch ist jetzt auf Affenplaneten ve"&amp;"rfügbar!
- Neue Zonen-Bestenliste: Kenne deine Feinde und mag deine Freunde! Täglich liken, um Belohnungen zu erhalten!
- Neuer Schatzsuchfonds: Nimm an der Schatzsuche teil, um tolle Belohnungen zu erhalten!
- Neue Jubiläumsevents: Das große Jubiläumseve"&amp;"nt hat begonnen! Feiere mit uns und erhalte tonnenweise Belohnungen!
Gartenparty: Sammle Jubiläumsmünzen und feiere auf der Gartenparty, um die Chance zu haben, die spezielle Jubiläums-Rathaus-Skin zu bekommen!
Jubiläumsfeier: Sammle Jubiläumsfeuerwerk un"&amp;"d verwende sie für die Feier, um Belohnungen zu erhalten!
Jubiläumsrabatt: Wir feiern mit einem Giveaway! Einfach anmelden, um den speziellen Jubiläums-Kämpfer, Vance, zu bekommen!
Dessertkurs: Erstelle deinen eigenen Jubiläumskuchen! Sammle Kuchen-Zutate"&amp;"n, um den Kuchen zu machen und die spezielle Jubiläumsdekoration zu bekommen!
Super Glücklicher Stern: Versuche dein Glück und ziehe Preise! Wird das Glück dir lächeln? Nimm teil, um Belohnungen zu erhalten und es herauszufinden!
Verborgene Schätze: neues"&amp;" Schatzsuch-Level. Spiele, um Belohnungen zu erhalten!
- Operation Mutanten optimiert: neue Hilfsfunktion hinzugefügt. Verwende die Hilfstruppen eines Freundes, um dir zu helfen, die Mutanten zu besiegen!
- Chat optimiert: Antwortfunktion hinzugefügt; Dir"&amp;"ektiven-Tab zum Clan-Chatraum hinzugefügt.
- Mechs optimiert: Mechs können jetzt an S-Angriffen, Stadtsverstärkungen und Gebäuden wie Wachtor teilnehmen.
- Verbessertes Heilungsintervall für schwer verwundete Truppen: Sie werden jetzt nach jeder 10. Kampf"&amp;"runde zur Heilung in die Stadt zurückgeschickt.
- Andere Verbesserungen der Anzeige und Bedienung der Benutzeroberfläche.")</f>
        <v>- Neuer Kämpfer: Kettensägen-Schätzchen, Doris. Süß von außen, wild von innen - es ist das Kettensägenmädchen!
- Neuer Kämpfer: Braumeister, Vance. Prost! Vom legendärsten Braumeister des Planeten. Bereit, um in Stimmung zu kommen?
- Neues Relikt: Wall Breaker Set - Nirgendwo zu verstecken (beinhaltet Homing-Kanone, Mag Shield und Onboard-Locator).
- Neues Schlachtfeld: Astral-Kolosseum - Mech-Aufstieg. Mach dich bereit für ein brandneues Kampferlebnis!
- Neuer NPC: neue Arten von Mutanten-Truppen!
- Schatzsuche hat jetzt 110 Level!
- Neue Clan-Aufgaben: Hauptaufgaben, die Clan-Admins bei der Planung der Entwicklung helfen; alle Mitglieder erhalten Belohnungen, wenn die Aufgaben abgeschlossen sind.
- Neue Sprache: Koreanisch ist jetzt auf Affenplaneten verfügbar!
- Neue Zonen-Bestenliste: Kenne deine Feinde und mag deine Freunde! Täglich liken, um Belohnungen zu erhalten!
- Neuer Schatzsuchfonds: Nimm an der Schatzsuche teil, um tolle Belohnungen zu erhalten!
- Neue Jubiläumsevents: Das große Jubiläumsevent hat begonnen! Feiere mit uns und erhalte tonnenweise Belohnungen!
Gartenparty: Sammle Jubiläumsmünzen und feiere auf der Gartenparty, um die Chance zu haben, die spezielle Jubiläums-Rathaus-Skin zu bekommen!
Jubiläumsfeier: Sammle Jubiläumsfeuerwerk und verwende sie für die Feier, um Belohnungen zu erhalten!
Jubiläumsrabatt: Wir feiern mit einem Giveaway! Einfach anmelden, um den speziellen Jubiläums-Kämpfer, Vance, zu bekommen!
Dessertkurs: Erstelle deinen eigenen Jubiläumskuchen! Sammle Kuchen-Zutaten, um den Kuchen zu machen und die spezielle Jubiläumsdekoration zu bekommen!
Super Glücklicher Stern: Versuche dein Glück und ziehe Preise! Wird das Glück dir lächeln? Nimm teil, um Belohnungen zu erhalten und es herauszufinden!
Verborgene Schätze: neues Schatzsuch-Level. Spiele, um Belohnungen zu erhalten!
- Operation Mutanten optimiert: neue Hilfsfunktion hinzugefügt. Verwende die Hilfstruppen eines Freundes, um dir zu helfen, die Mutanten zu besiegen!
- Chat optimiert: Antwortfunktion hinzugefügt; Direktiven-Tab zum Clan-Chatraum hinzugefügt.
- Mechs optimiert: Mechs können jetzt an S-Angriffen, Stadtsverstärkungen und Gebäuden wie Wachtor teilnehmen.
- Verbessertes Heilungsintervall für schwer verwundete Truppen: Sie werden jetzt nach jeder 10. Kampfrunde zur Heilung in die Stadt zurückgeschickt.
- Andere Verbesserungen der Anzeige und Bedienung der Benutzeroberfläche.</v>
      </c>
      <c r="F44" s="148" t="str">
        <f>IFERROR(__xludf.DUMMYFUNCTION("""COMPUTED_VALUE"""),"- Novo Combatente: Doce Motosserra, Doris. Doce por fora, selvagem por dentro - é a garota motosserra!
- Novo Combatente: Mestre Cervejeiro, Vance. Saúde! Do mais lendário mestre cervejeiro do planeta. Pronto para animar?
- Nova Relíquia: Conjunto Quebra-"&amp;"Muros - Sem Lugar para se Esconder (inclui Canhão Teleguiado, Escudo Mag e Localizador a Bordo).
- Novo campo de batalha: Coliseu Astral - Ascensão do Mech. Prepare-se para uma experiência de batalha totalmente nova!
- Novo NPC: novos tipos de tropas muta"&amp;"ntes!
- A Busca ao Tesouro agora tem 110 níveis!
- Novas missões da gangue: missões principais que ajudam os administradores da gangue a planejar o desenvolvimento; todos os membros recebem recompensas quando as missões são concluídas.
- Novo idioma: o co"&amp;"reano agora está disponível nos planetas dos símios!
- Nova Classificação da Zona: conheça seus inimigos e curta seus amigos! Curta diariamente para obter recompensas!
- Novo fundo da Busca ao Tesouro: participe da Busca ao Tesouro para obter recompensas "&amp;"incríveis!
- Novos eventos de aniversário: o grande evento de aniversário começou! Comemore conosco e ganhe toneladas de recompensas!
Festa no Jardim: Colete moedas de aniversário e comemore na Festa no Jardim para ter a chance de obter a skin especial de"&amp;" aniversário da Prefeitura!
Festa de Aniversário: Colete fogos de artifício de aniversário e use-os para a comemoração e obtenha recompensas!
Desconto de Aniversário: Estamos comemorando com um brinde! Basta fazer login para obter o Combatente especial de"&amp;" aniversário, Vance!
Curso de Sobremesa: Crie seu próprio bolo de aniversário! Colete ingredientes para o bolo e faça o bolo e obtenha a decoração especial de aniversário!
Super Estrela da Sorte: Tente a sua sorte e ganhe prêmios! A fortuna sorrirá para v"&amp;"ocê? Participe para obter recompensas e descubra!
Tesouros Escondidos: novo nível de Busca ao Tesouro. Jogue para obter recompensas!
- Operação Mutantes otimizada: adicionada nova função de assistência. Use as tropas de assistência de um amigo para ajudá-"&amp;"lo a vencer os mutantes!
- Bate-papo otimizado: adicionada função de resposta; aba de diretiva adicionada à sala de bate-papo da gangue.
- Mechs otimizados: mechs agora podem participar de incursões, reforços da cidade e construções como Passe dos Símios."&amp;"
- Intervalo de cura melhorado para tropas gravemente feridas: agora elas são enviadas de volta à cidade para cura após cada 10 rodadas de batalha.
- Outras melhorias na exibição da interface e operações.")</f>
        <v>- Novo Combatente: Doce Motosserra, Doris. Doce por fora, selvagem por dentro - é a garota motosserra!
- Novo Combatente: Mestre Cervejeiro, Vance. Saúde! Do mais lendário mestre cervejeiro do planeta. Pronto para animar?
- Nova Relíquia: Conjunto Quebra-Muros - Sem Lugar para se Esconder (inclui Canhão Teleguiado, Escudo Mag e Localizador a Bordo).
- Novo campo de batalha: Coliseu Astral - Ascensão do Mech. Prepare-se para uma experiência de batalha totalmente nova!
- Novo NPC: novos tipos de tropas mutantes!
- A Busca ao Tesouro agora tem 110 níveis!
- Novas missões da gangue: missões principais que ajudam os administradores da gangue a planejar o desenvolvimento; todos os membros recebem recompensas quando as missões são concluídas.
- Novo idioma: o coreano agora está disponível nos planetas dos símios!
- Nova Classificação da Zona: conheça seus inimigos e curta seus amigos! Curta diariamente para obter recompensas!
- Novo fundo da Busca ao Tesouro: participe da Busca ao Tesouro para obter recompensas incríveis!
- Novos eventos de aniversário: o grande evento de aniversário começou! Comemore conosco e ganhe toneladas de recompensas!
Festa no Jardim: Colete moedas de aniversário e comemore na Festa no Jardim para ter a chance de obter a skin especial de aniversário da Prefeitura!
Festa de Aniversário: Colete fogos de artifício de aniversário e use-os para a comemoração e obtenha recompensas!
Desconto de Aniversário: Estamos comemorando com um brinde! Basta fazer login para obter o Combatente especial de aniversário, Vance!
Curso de Sobremesa: Crie seu próprio bolo de aniversário! Colete ingredientes para o bolo e faça o bolo e obtenha a decoração especial de aniversário!
Super Estrela da Sorte: Tente a sua sorte e ganhe prêmios! A fortuna sorrirá para você? Participe para obter recompensas e descubra!
Tesouros Escondidos: novo nível de Busca ao Tesouro. Jogue para obter recompensas!
- Operação Mutantes otimizada: adicionada nova função de assistência. Use as tropas de assistência de um amigo para ajudá-lo a vencer os mutantes!
- Bate-papo otimizado: adicionada função de resposta; aba de diretiva adicionada à sala de bate-papo da gangue.
- Mechs otimizados: mechs agora podem participar de incursões, reforços da cidade e construções como Passe dos Símios.
- Intervalo de cura melhorado para tropas gravemente feridas: agora elas são enviadas de volta à cidade para cura após cada 10 rodadas de batalha.
- Outras melhorias na exibição da interface e operações.</v>
      </c>
      <c r="G44" s="148" t="str">
        <f>IFERROR(__xludf.DUMMYFUNCTION("""COMPUTED_VALUE"""),"--新增鬥士：狂鋸甜心-桃樂絲，集甜美外表與暴力於一身的電鋸少女！
--新增鬥士：釀造大師-萬斯，猩球傳奇釀造師與你乾杯，激發你的豪邁情懷！
--新增收藏品：攻城車套裝-無所遁形（包含追蹤炮，磁力護盾，車載定位儀）。
--新增戰場：決戰衛星之巔-機甲風暴，全新版本的戰場體驗，即將到來！
--新增中立生物：猩球上的野怪部隊增加了新的戰鬥單位！
--新增地下探寶關卡：現已拓展至110關。
--新增幫派主線任務：幫助管理者規劃幫派發展方向，達成後幫派全體成員可獲得豐厚獎勵。
--新增語言：韓語現已成為猩球可使用"&amp;"語言。
--新增戰區排行榜：知己知彼，百戰百勝，每日點讚還能獲得獎勵！
--新增地下探寶基金：參與地下探寶可獲得豐厚的獎勵！
--新增周年慶活動：盛大的猿族周年慶已經開啟，讓我們享受慶典，獲取豐厚的獎勵！
歡樂遊園會：收集周年紀念幣，在遊園會中慶祝周年盛典，即有機會獲取限定周年城市外觀！
周年派對：收集周年禮花，使用禮花慶祝周年慶典，獲取豐厚獎勵！
簽到有禮：周年大回饋，簽到即可獲取周年限定鬥士萬斯！
甜品盛宴：周年蛋糕DIY，收集蛋糕材料，完成蛋糕製作，即可獲得周年限定裝飾！
超級幸運星：狂歡抽獎，尋找"&amp;"周年最幸運的你，參與即可獲取豐厚獎勵！
礦藏秘寶：全新地下探寶活動關卡，參與可獲得豐厚的獎勵！
--圍剿變異猴優化：圍剿變異猴新增助戰功能，快帶上好友的助戰部隊，一起圍剿吧！
--聊天優化：聊天增加回復功能，幫派聊天頻道新增幫派指令頁簽。
--機甲優化：機甲可以正常加入集結、城市增援、關卡等建築。
--重傷治療優化：優化重傷兵結算回城的時間，重傷士兵將會在戰鬥過程中每10回合被送回主城進行治療。
--其他界面展示及操作功能優化。")</f>
        <v>--新增鬥士：狂鋸甜心-桃樂絲，集甜美外表與暴力於一身的電鋸少女！
--新增鬥士：釀造大師-萬斯，猩球傳奇釀造師與你乾杯，激發你的豪邁情懷！
--新增收藏品：攻城車套裝-無所遁形（包含追蹤炮，磁力護盾，車載定位儀）。
--新增戰場：決戰衛星之巔-機甲風暴，全新版本的戰場體驗，即將到來！
--新增中立生物：猩球上的野怪部隊增加了新的戰鬥單位！
--新增地下探寶關卡：現已拓展至110關。
--新增幫派主線任務：幫助管理者規劃幫派發展方向，達成後幫派全體成員可獲得豐厚獎勵。
--新增語言：韓語現已成為猩球可使用語言。
--新增戰區排行榜：知己知彼，百戰百勝，每日點讚還能獲得獎勵！
--新增地下探寶基金：參與地下探寶可獲得豐厚的獎勵！
--新增周年慶活動：盛大的猿族周年慶已經開啟，讓我們享受慶典，獲取豐厚的獎勵！
歡樂遊園會：收集周年紀念幣，在遊園會中慶祝周年盛典，即有機會獲取限定周年城市外觀！
周年派對：收集周年禮花，使用禮花慶祝周年慶典，獲取豐厚獎勵！
簽到有禮：周年大回饋，簽到即可獲取周年限定鬥士萬斯！
甜品盛宴：周年蛋糕DIY，收集蛋糕材料，完成蛋糕製作，即可獲得周年限定裝飾！
超級幸運星：狂歡抽獎，尋找周年最幸運的你，參與即可獲取豐厚獎勵！
礦藏秘寶：全新地下探寶活動關卡，參與可獲得豐厚的獎勵！
--圍剿變異猴優化：圍剿變異猴新增助戰功能，快帶上好友的助戰部隊，一起圍剿吧！
--聊天優化：聊天增加回復功能，幫派聊天頻道新增幫派指令頁簽。
--機甲優化：機甲可以正常加入集結、城市增援、關卡等建築。
--重傷治療優化：優化重傷兵結算回城的時間，重傷士兵將會在戰鬥過程中每10回合被送回主城進行治療。
--其他界面展示及操作功能優化。</v>
      </c>
      <c r="H44" s="148" t="str">
        <f>IFERROR(__xludf.DUMMYFUNCTION("""COMPUTED_VALUE"""),"- Pejuang Baru: Chainsaw Sweetheart, Doris. Manis di luar, ganas di dalam - dia adalah gadis gergaji rantai!
- Pejuang Baru: Brewmaster, Vance. Bersulang! Dari ahli pembuat bir paling legendaris di planet ini. Siap untuk semangat naik?
- Pusaka Baru: Set "&amp;"Wall Breaker - Tak Ada Tempat untuk Bersembunyi (termasuk Meriam Homing, Mag Shield, dan Onboard Locator).
- Medan Perang Baru: Koloseum Astral - Mekanik Bangkit. Siapkan diri untuk pengalaman pertempuran yang baru!
- NPC Baru: jenis baru pasukan kera mut"&amp;"an!
- Penggalian Harta Karun kini memiliki 110 level!
- Tantangan Geng baru: tantangan utama yang membantu admin Geng merencanakan pengembangan; semua anggota menerima hadiah ketika tantangan selesai.
- Bahasa Baru: Bahasa Korea kini tersedia di planet ke"&amp;"ra!
- Peringkat Zona Baru: kenali musuhmu dan sukai temanmu! Suka setiap hari untuk mendapatkan hadiah!
- Dana Penggalian Harta Karun Baru: berpartisipasi dalam Penggalian Harta Karun untuk mendapatkan hadiah yang menakjubkan!
- Event ulang tahun baru: ev"&amp;"ent ulang tahun besar telah dimulai! Rayakan bersama kami dan dapatkan banyak hadiah!
Pesta Kebun: Kumpulkan koin ulang tahun dan rayakan di Pesta Kebun untuk kesempatan mendapatkan skin Balai Kota ulang tahun khusus!
Pesta Ulang Tahun: Kumpulkan kembang "&amp;"api ulang tahun dan gunakan mereka untuk perayaan untuk mendapatkan hadiah!
Potongan Harga Ulang Tahun: Kami merayakan dengan hadiah! Cukup masuk untuk mendapatkan Pejuang ulang tahun khusus, Vance!
Kursus Dessert: Buat kue ulang tahunmu sendiri! Kumpulka"&amp;"n bahan kue untuk membuat kue dan dapatkan dekorasi ulang tahun khusus!
Super Lucky Star: Coba keberuntunganmu dan tarik hadiah! Apakah keberuntungan akan tersenyum padamu? Berpartisipasi untuk mendapatkan hadiah dan cari tahu!
Harta Karun Tersembunyi: le"&amp;"vel Penggalian Harta Karun baru. Main untuk mendapatkan hadiah!
- Pengepungan Kera Mutan dioptimalkan: ditambahkan fungsi bantuan baru. Gunakan pasukan bantuan teman untuk membantu Anda mengalahkan kera mutan!
- Obrolan dioptimalkan: ditambahkan fungsi ba"&amp;"las; tab direktif ditambahkan ke ruang obrolan Geng.
- Mekanik dioptimalkan: mekanik sekarang dapat bergabung dalam reli, bala bantuan kota, dan bangunan seperti Wilayah Kera.
- Meningkatkan interval penyembuhan untuk pasukan yang terluka parah: mereka se"&amp;"karang dikirim kembali ke kota untuk penyembuhan setelah setiap 10 ronde pertempuran.
- Perbaikan tampilan antarmuka dan operasi lainnya.")</f>
        <v>- Pejuang Baru: Chainsaw Sweetheart, Doris. Manis di luar, ganas di dalam - dia adalah gadis gergaji rantai!
- Pejuang Baru: Brewmaster, Vance. Bersulang! Dari ahli pembuat bir paling legendaris di planet ini. Siap untuk semangat naik?
- Pusaka Baru: Set Wall Breaker - Tak Ada Tempat untuk Bersembunyi (termasuk Meriam Homing, Mag Shield, dan Onboard Locator).
- Medan Perang Baru: Koloseum Astral - Mekanik Bangkit. Siapkan diri untuk pengalaman pertempuran yang baru!
- NPC Baru: jenis baru pasukan kera mutan!
- Penggalian Harta Karun kini memiliki 110 level!
- Tantangan Geng baru: tantangan utama yang membantu admin Geng merencanakan pengembangan; semua anggota menerima hadiah ketika tantangan selesai.
- Bahasa Baru: Bahasa Korea kini tersedia di planet kera!
- Peringkat Zona Baru: kenali musuhmu dan sukai temanmu! Suka setiap hari untuk mendapatkan hadiah!
- Dana Penggalian Harta Karun Baru: berpartisipasi dalam Penggalian Harta Karun untuk mendapatkan hadiah yang menakjubkan!
- Event ulang tahun baru: event ulang tahun besar telah dimulai! Rayakan bersama kami dan dapatkan banyak hadiah!
Pesta Kebun: Kumpulkan koin ulang tahun dan rayakan di Pesta Kebun untuk kesempatan mendapatkan skin Balai Kota ulang tahun khusus!
Pesta Ulang Tahun: Kumpulkan kembang api ulang tahun dan gunakan mereka untuk perayaan untuk mendapatkan hadiah!
Potongan Harga Ulang Tahun: Kami merayakan dengan hadiah! Cukup masuk untuk mendapatkan Pejuang ulang tahun khusus, Vance!
Kursus Dessert: Buat kue ulang tahunmu sendiri! Kumpulkan bahan kue untuk membuat kue dan dapatkan dekorasi ulang tahun khusus!
Super Lucky Star: Coba keberuntunganmu dan tarik hadiah! Apakah keberuntungan akan tersenyum padamu? Berpartisipasi untuk mendapatkan hadiah dan cari tahu!
Harta Karun Tersembunyi: level Penggalian Harta Karun baru. Main untuk mendapatkan hadiah!
- Pengepungan Kera Mutan dioptimalkan: ditambahkan fungsi bantuan baru. Gunakan pasukan bantuan teman untuk membantu Anda mengalahkan kera mutan!
- Obrolan dioptimalkan: ditambahkan fungsi balas; tab direktif ditambahkan ke ruang obrolan Geng.
- Mekanik dioptimalkan: mekanik sekarang dapat bergabung dalam reli, bala bantuan kota, dan bangunan seperti Wilayah Kera.
- Meningkatkan interval penyembuhan untuk pasukan yang terluka parah: mereka sekarang dikirim kembali ke kota untuk penyembuhan setelah setiap 10 ronde pertempuran.
- Perbaikan tampilan antarmuka dan operasi lainnya.</v>
      </c>
      <c r="I44" s="148" t="str">
        <f>IFERROR(__xludf.DUMMYFUNCTION("""COMPUTED_VALUE"""),"- นักสู้ตัวใหม่: ดอริส, สาวเลื่อยโซ่ที่หวานน่ารักด้านนอก, ดุด่านใน - นี่คือสาวเลื่อยโซ่!
- นักสู้ตัวใหม่: แวนซ์, ผู้ชำนาญการทำเบียร์. ไชโย! จากผู้ชำนาญการทำเบียร์ที่ยิ่งใหญ่ที่สุดในโลก พร้อมที่จะเติมพลังใจหรือยัง?
- วัตถุโบราณชิ้นใหม่: ชุด วอลล์เบรกเกอร์ "&amp;"- ไม่มีที่ซ่อนตัว (รวมถึง ปืนใหญ่ลำจรจัด, โล่แม่เหล็ก, และ ตัวค้นหาบนเรือ).
- สนามรบใหม่: โคลีเซียมดวงดาว - เมคกำลังคืนชีพ. เตรียมตัวให้พร้อมสำหรับประสบการณ์การต่อสู้ที่แสนใหม่!
- NPC ใหม่: ประเภทใหม่ของกองทหารตัวกลายพันธุ์!
- การขุดสมบัติตอนนี้มีเลเวลถึง"&amp;" 110 เลเวล!
- เควสต์แก๊งค์ใหม่: เควสต์หลักที่ช่วยให้ผู้ดูแลแก๊งค์วางแผนการพัฒนา; สมาชิกทั้งหมดได้รับรางวัลเมื่อเควสต์เสร็จสิ้น.
- ภาษาใหม่: ภาษาเกาหลีตอนนี้มีให้บริการแล้วในโลกของอภินิหาร!
- กระดานผู้นำโซนใหม่: รู้จักศัตรูของคุณและชอบเพื่อนของคุณ! กดชอบทุ"&amp;"กวันเพื่อรับรางวัล!
- กองทุนการขุดสมบัติใหม่: เข้าร่วมการขุดสมบัติเพื่อรับรางวัลที่น่าทึ่ง!
- กิจกรรมครบรอบปีใหม่: กิจกรรมครบรอบปีที่ยิ่งใหญ่ได้เริ่มขึ้นแล้ว! ฉลองกับเราและรับรางวัลมากมาย!
งานสนุกสนาน: เก็บเหรียญครบรอบปีและฉลองใน งานสนุกสนาน เพื่อมีโอกาสไ"&amp;"ด้รับสกินศาลากลางเมืองครบรอบปีพิเศษ!
ฉลองครบรอบปี: เก็บพลุครบรอบปีและใช้พวกมันในการฉลองเพื่อรับรางวัล!
เช็คอินมีรางวัล: เราฉลองด้วยการแจกของขวัญ! เพียงเข้าสู่ระบบเพื่อรับนักสู้ครบรอบปีพิเศษ, แวนซ์!
คอร์สของหวาน: สร้างเค้กครบรอบปีของคุณเอง! เก็บส่วนผสมเค้ก"&amp;"เพื่อทำเค้กและรับการตกแต่งครบรอบปีพิเศษ!
ดาวโชคดีสุดยอด: ลองเสี่ยงโชคและวาดรางวัล! โชคจะยิ้มให้กับคุณหรือไม่? เข้าร่วมเพื่อรับรางวัลและค้นหา!
สมบัติที่ซ่อนอยู่: เลเวลการขุดสมบัติใหม่. เล่นเพื่อรับรางวัล!
- ปรับปรุงปฏิบัติการตัวกลายพันธุ์: เพิ่มฟังก์ชันช่ว"&amp;"ยเหลือใหม่. ใช้กองทหารช่วยเหลือของเพื่อนเพื่อช่วยคุณทำลายตัวกลายพันธุ์!
- ปรับปรุงแชท: เพิ่มฟังก์ชันตอบกลับ; เพิ่มแท็บคำสั่งไปยังห้องแชทของแก๊งค์.
- ปรับปรุงเมค: เมคตอนนี้สามารถเข้าร่วมการยกทัพ, การเสริมกำลังเมือง, และสิ่งก่อสร้างเช่น มังกี้พาส.
- ปรับปรุ"&amp;"งช่วงเวลาการรักษาบาดเจ็บสาหัส: พวกเขาตอนนี้ถูกส่งกลับไปยังเมืองเพื่อรักษาหลังจากทุก 10 รอบการต่อสู้.
- ปรับปรุงการแสดงผลและการดำเนินการของอินเทอร์เฟซอื่นๆ.")</f>
        <v>- นักสู้ตัวใหม่: ดอริส, สาวเลื่อยโซ่ที่หวานน่ารักด้านนอก, ดุด่านใน - นี่คือสาวเลื่อยโซ่!
- นักสู้ตัวใหม่: แวนซ์, ผู้ชำนาญการทำเบียร์. ไชโย! จากผู้ชำนาญการทำเบียร์ที่ยิ่งใหญ่ที่สุดในโลก พร้อมที่จะเติมพลังใจหรือยัง?
- วัตถุโบราณชิ้นใหม่: ชุด วอลล์เบรกเกอร์ - ไม่มีที่ซ่อนตัว (รวมถึง ปืนใหญ่ลำจรจัด, โล่แม่เหล็ก, และ ตัวค้นหาบนเรือ).
- สนามรบใหม่: โคลีเซียมดวงดาว - เมคกำลังคืนชีพ. เตรียมตัวให้พร้อมสำหรับประสบการณ์การต่อสู้ที่แสนใหม่!
- NPC ใหม่: ประเภทใหม่ของกองทหารตัวกลายพันธุ์!
- การขุดสมบัติตอนนี้มีเลเวลถึง 110 เลเวล!
- เควสต์แก๊งค์ใหม่: เควสต์หลักที่ช่วยให้ผู้ดูแลแก๊งค์วางแผนการพัฒนา; สมาชิกทั้งหมดได้รับรางวัลเมื่อเควสต์เสร็จสิ้น.
- ภาษาใหม่: ภาษาเกาหลีตอนนี้มีให้บริการแล้วในโลกของอภินิหาร!
- กระดานผู้นำโซนใหม่: รู้จักศัตรูของคุณและชอบเพื่อนของคุณ! กดชอบทุกวันเพื่อรับรางวัล!
- กองทุนการขุดสมบัติใหม่: เข้าร่วมการขุดสมบัติเพื่อรับรางวัลที่น่าทึ่ง!
- กิจกรรมครบรอบปีใหม่: กิจกรรมครบรอบปีที่ยิ่งใหญ่ได้เริ่มขึ้นแล้ว! ฉลองกับเราและรับรางวัลมากมาย!
งานสนุกสนาน: เก็บเหรียญครบรอบปีและฉลองใน งานสนุกสนาน เพื่อมีโอกาสได้รับสกินศาลากลางเมืองครบรอบปีพิเศษ!
ฉลองครบรอบปี: เก็บพลุครบรอบปีและใช้พวกมันในการฉลองเพื่อรับรางวัล!
เช็คอินมีรางวัล: เราฉลองด้วยการแจกของขวัญ! เพียงเข้าสู่ระบบเพื่อรับนักสู้ครบรอบปีพิเศษ, แวนซ์!
คอร์สของหวาน: สร้างเค้กครบรอบปีของคุณเอง! เก็บส่วนผสมเค้กเพื่อทำเค้กและรับการตกแต่งครบรอบปีพิเศษ!
ดาวโชคดีสุดยอด: ลองเสี่ยงโชคและวาดรางวัล! โชคจะยิ้มให้กับคุณหรือไม่? เข้าร่วมเพื่อรับรางวัลและค้นหา!
สมบัติที่ซ่อนอยู่: เลเวลการขุดสมบัติใหม่. เล่นเพื่อรับรางวัล!
- ปรับปรุงปฏิบัติการตัวกลายพันธุ์: เพิ่มฟังก์ชันช่วยเหลือใหม่. ใช้กองทหารช่วยเหลือของเพื่อนเพื่อช่วยคุณทำลายตัวกลายพันธุ์!
- ปรับปรุงแชท: เพิ่มฟังก์ชันตอบกลับ; เพิ่มแท็บคำสั่งไปยังห้องแชทของแก๊งค์.
- ปรับปรุงเมค: เมคตอนนี้สามารถเข้าร่วมการยกทัพ, การเสริมกำลังเมือง, และสิ่งก่อสร้างเช่น มังกี้พาส.
- ปรับปรุงช่วงเวลาการรักษาบาดเจ็บสาหัส: พวกเขาตอนนี้ถูกส่งกลับไปยังเมืองเพื่อรักษาหลังจากทุก 10 รอบการต่อสู้.
- ปรับปรุงการแสดงผลและการดำเนินการของอินเทอร์เฟซอื่นๆ.</v>
      </c>
      <c r="J44" s="148" t="str">
        <f>IFERROR(__xludf.DUMMYFUNCTION("""COMPUTED_VALUE"""),"- Nuevo Luchador: Dulzura de Motosierra, Doris. Dulce por fuera, salvaje por dentro - ¡es la chica de la motosierra!
- Nuevo Luchador: Maestro Cervecero, Vance. ¡Brindis! Del maestro cervecero más legendario del planeta. ¿Listo para animarte?
- Nueva Reli"&amp;"quia: Conjunto Rompe Muros - No hay dónde esconderse (incluye Cañón de Guiado, Escudo Mag, y Localizador a Bordo).
- Nuevo campo de batalla: Coliseo Astral - Ascenso del Meca. ¡Prepárate para una experiencia de batalla completamente nueva!
- Nuevo NPC: ¡n"&amp;"uevos tipos de tropas mutantes!
- La Búsqueda de Tesoros ahora tiene 110 niveles!
- Nuevas misiones de Banda: misiones principales que ayudan a los administradores de la Banda a planificar el desarrollo; todos los miembros reciben recompensas cuando se co"&amp;"mpletan las misiones.
- Nuevo idioma: ¡El coreano ya está disponible en los planetas de los simios!
- Nueva Tabla de Clasificación de la Zona: ¡conoce a tus enemigos y aprecia a tus amigos! ¡Dale ""me gusta"" diariamente para obtener recompensas!
- Nuevo "&amp;"fondo de Búsqueda de Tesoros: ¡participa en la Búsqueda de Tesoros para obtener increíbles recompensas!
- Nuevos eventos de aniversario: ¡ha comenzado el gran evento de aniversario! ¡Celebra con nosotros y obtén toneladas de recompensas!
Fiesta en el Jard"&amp;"ín: Recoge monedas de aniversario y celebra en la Fiesta del Jardín para tener la oportunidad de obtener la piel especial del Ayuntamiento de aniversario!
Fiesta de Aniversario: ¡Recolecta fuegos artificiales de aniversario y úsalos para la celebración y "&amp;"obtener recompensas!
Descuento de Aniversario: ¡Estamos celebrando con un regalo! Simplemente inicia sesión para obtener el luchador especial de aniversario, Vance!
Curso de Postre: ¡Crea tu propio pastel de aniversario! Recoge los ingredientes del pastel"&amp;" para hacer el pastel y obtener la decoración especial de aniversario!
Super Estrella de la Suerte: ¡Prueba tu suerte y gana premios! ¿Te sonreirá la fortuna? ¡Participa para obtener recompensas y descúbrelo!
Tesoros Ocultos: nuevo nivel de Búsqueda de Te"&amp;"soros. ¡Juega para obtener recompensas!
- Operación Mutantes optimizada: se añadió nueva función de asistencia. ¡Usa las tropas de asistencia de un amigo para ayudarte a vencer a los mutantes!
- Chat optimizado: se añadió la función de respuesta; se añadi"&amp;"ó la pestaña de directiva a la sala de chat de la Banda.
- Mecas optimizados: los mecas ahora pueden unirse a las reuniones, refuerzos de la ciudad, y edificios como los Pasos de Mono.
- Mejorado el intervalo de curación para las tropas seriamente heridas"&amp;": ahora son enviadas de vuelta a la ciudad para curarse después de cada 10 rondas de batalla.
- Otras mejoras en la visualización de la interfaz y en la operación.")</f>
        <v>- Nuevo Luchador: Dulzura de Motosierra, Doris. Dulce por fuera, salvaje por dentro - ¡es la chica de la motosierra!
- Nuevo Luchador: Maestro Cervecero, Vance. ¡Brindis! Del maestro cervecero más legendario del planeta. ¿Listo para animarte?
- Nueva Reliquia: Conjunto Rompe Muros - No hay dónde esconderse (incluye Cañón de Guiado, Escudo Mag, y Localizador a Bordo).
- Nuevo campo de batalla: Coliseo Astral - Ascenso del Meca. ¡Prepárate para una experiencia de batalla completamente nueva!
- Nuevo NPC: ¡nuevos tipos de tropas mutantes!
- La Búsqueda de Tesoros ahora tiene 110 niveles!
- Nuevas misiones de Banda: misiones principales que ayudan a los administradores de la Banda a planificar el desarrollo; todos los miembros reciben recompensas cuando se completan las misiones.
- Nuevo idioma: ¡El coreano ya está disponible en los planetas de los simios!
- Nueva Tabla de Clasificación de la Zona: ¡conoce a tus enemigos y aprecia a tus amigos! ¡Dale "me gusta" diariamente para obtener recompensas!
- Nuevo fondo de Búsqueda de Tesoros: ¡participa en la Búsqueda de Tesoros para obtener increíbles recompensas!
- Nuevos eventos de aniversario: ¡ha comenzado el gran evento de aniversario! ¡Celebra con nosotros y obtén toneladas de recompensas!
Fiesta en el Jardín: Recoge monedas de aniversario y celebra en la Fiesta del Jardín para tener la oportunidad de obtener la piel especial del Ayuntamiento de aniversario!
Fiesta de Aniversario: ¡Recolecta fuegos artificiales de aniversario y úsalos para la celebración y obtener recompensas!
Descuento de Aniversario: ¡Estamos celebrando con un regalo! Simplemente inicia sesión para obtener el luchador especial de aniversario, Vance!
Curso de Postre: ¡Crea tu propio pastel de aniversario! Recoge los ingredientes del pastel para hacer el pastel y obtener la decoración especial de aniversario!
Super Estrella de la Suerte: ¡Prueba tu suerte y gana premios! ¿Te sonreirá la fortuna? ¡Participa para obtener recompensas y descúbrelo!
Tesoros Ocultos: nuevo nivel de Búsqueda de Tesoros. ¡Juega para obtener recompensas!
- Operación Mutantes optimizada: se añadió nueva función de asistencia. ¡Usa las tropas de asistencia de un amigo para ayudarte a vencer a los mutantes!
- Chat optimizado: se añadió la función de respuesta; se añadió la pestaña de directiva a la sala de chat de la Banda.
- Mecas optimizados: los mecas ahora pueden unirse a las reuniones, refuerzos de la ciudad, y edificios como los Pasos de Mono.
- Mejorado el intervalo de curación para las tropas seriamente heridas: ahora son enviadas de vuelta a la ciudad para curarse después de cada 10 rondas de batalla.
- Otras mejoras en la visualización de la interfaz y en la operación.</v>
      </c>
      <c r="K44" s="148" t="str">
        <f>IFERROR(__xludf.DUMMYFUNCTION("""COMPUTED_VALUE"""),"- Новый герой: Сладкая сердцем, Дорис. Сладкая снаружи, свирепая внутри - это девушка с бензопилой!
- Новый герой: Пивовар, Вэнс. Твое здоровье! От самого легендарного пивовара на планете. Готов поднять бокал?
- Новая реликвия: Набор ""Прорыв стены"" - Не"&amp;"где прятаться (включает в себя самонаводящуюся пушку, магнитный щит и бортовой локатор).
- Новое поле боя: Астральный Колизей - Восстание Мехов. Подготовьтесь к совершенно новому боевому опыту!
- Новый NPC: новые типы мутантских войск!
- Теперь в поисках "&amp;"сокровищ доступно 110 уровней!
- Новые задания банды: основные задания, которые помогают администраторам банды планировать развитие; все участники получают награды при выполнении заданий.
- Новый язык: корейский теперь доступен на планетах обезьян!
- Нова"&amp;"я таблица лидеров зоны: знай своих врагов и нравься своим друзьям! Нравься ежедневно, чтобы получать награды!
- Новый фонд поиска сокровищ: участвуйте в поиске сокровищ, чтобы получить удивительные награды!
- Новые юбилейные события: началось грандиозное "&amp;"юбилейное событие! Празднуйте вместе с нами и получите тонны наград!
Садовая вечеринка: Собирайте юбилейные монеты и празднуйте на садовой вечеринке, чтобы получить шанс получить специальную юбилейную кожу Городского совета!
Юбилейная кутерьма: Собирайте "&amp;"юбилейные фейерверки и используйте их для празднования, чтобы получить награды!
Юбилейное возмещение: Мы празднуем с раздачей подарков! Просто войдите, чтобы получить специального юбилейного героя, Вэнса!
Десертный курс: Создайте свой собственный юбилейны"&amp;"й торт! Собирайте ингредиенты для торта, чтобы сделать торт и получить специальное юбилейное украшение!
Супер везунчик: Испытайте удачу и выиграйте призы! Улыбнется ли вам удача? Участвуйте, чтобы получить награды и узнайте!
Скрытые сокровища: новый урове"&amp;"нь поиска сокровищ. Играйте, чтобы получить награды!
- Операция «Мутанты» оптимизирована: добавлена новая функция помощи. Используйте войска помощи друга, чтобы помочь вам победить мутантов!
- Чат оптимизирован: добавлена функция ответа; в комнату чата ба"&amp;"нды добавлена вкладка директив.
- Мехи оптимизированы: теперь мехи могут присоединяться к походам, усилению города и постройкам, таким как Пропускные пункты.
- Улучшен интервал лечения тяжело раненых войск: теперь они отправляются обратно в город для лече"&amp;"ния после каждых 10 раундов боя.
- Другие улучшения интерфейса и операционные улучшения.")</f>
        <v>- Новый герой: Сладкая сердцем, Дорис. Сладкая снаружи, свирепая внутри - это девушка с бензопилой!
- Новый герой: Пивовар, Вэнс. Твое здоровье! От самого легендарного пивовара на планете. Готов поднять бокал?
- Новая реликвия: Набор "Прорыв стены" - Негде прятаться (включает в себя самонаводящуюся пушку, магнитный щит и бортовой локатор).
- Новое поле боя: Астральный Колизей - Восстание Мехов. Подготовьтесь к совершенно новому боевому опыту!
- Новый NPC: новые типы мутантских войск!
- Теперь в поисках сокровищ доступно 110 уровней!
- Новые задания банды: основные задания, которые помогают администраторам банды планировать развитие; все участники получают награды при выполнении заданий.
- Новый язык: корейский теперь доступен на планетах обезьян!
- Новая таблица лидеров зоны: знай своих врагов и нравься своим друзьям! Нравься ежедневно, чтобы получать награды!
- Новый фонд поиска сокровищ: участвуйте в поиске сокровищ, чтобы получить удивительные награды!
- Новые юбилейные события: началось грандиозное юбилейное событие! Празднуйте вместе с нами и получите тонны наград!
Садовая вечеринка: Собирайте юбилейные монеты и празднуйте на садовой вечеринке, чтобы получить шанс получить специальную юбилейную кожу Городского совета!
Юбилейная кутерьма: Собирайте юбилейные фейерверки и используйте их для празднования, чтобы получить награды!
Юбилейное возмещение: Мы празднуем с раздачей подарков! Просто войдите, чтобы получить специального юбилейного героя, Вэнса!
Десертный курс: Создайте свой собственный юбилейный торт! Собирайте ингредиенты для торта, чтобы сделать торт и получить специальное юбилейное украшение!
Супер везунчик: Испытайте удачу и выиграйте призы! Улыбнется ли вам удача? Участвуйте, чтобы получить награды и узнайте!
Скрытые сокровища: новый уровень поиска сокровищ. Играйте, чтобы получить награды!
- Операция «Мутанты» оптимизирована: добавлена новая функция помощи. Используйте войска помощи друга, чтобы помочь вам победить мутантов!
- Чат оптимизирован: добавлена функция ответа; в комнату чата банды добавлена вкладка директив.
- Мехи оптимизированы: теперь мехи могут присоединяться к походам, усилению города и постройкам, таким как Пропускные пункты.
- Улучшен интервал лечения тяжело раненых войск: теперь они отправляются обратно в город для лечения после каждых 10 раундов боя.
- Другие улучшения интерфейса и операционные улучшения.</v>
      </c>
      <c r="L44" s="148" t="str">
        <f>IFERROR(__xludf.DUMMYFUNCTION("""COMPUTED_VALUE"""),"- Yeni Savaşçı: Elektrikli Testere Sevgilisi, Doris. Dışı tatlı, içi vahşi - işte elektrikli testere kız!
- Yeni Savaşçı: Bira Ustası, Vance. Şerefe! Gezegendeki en efsanevi bira ustasından. Ruhunu canlandırmaya hazır mısın?
- Yeni Kalıntı: Duvar Kırıcı s"&amp;"eti - Saklanacak Yer Yok (Homing Cannon, Mag Shield ve Onboard Locator dahil).
- Yeni savaş alanı: Yıldız Kolezyumu - Meka Yükselişi. Yepyeni bir savaş deneyimine hazır olun!
- Yeni NPC: yeni tür mutant birlikler!
- Hazine Kazısı artık 110 seviyeye sahip!"&amp;"
- Yeni Çete maceraları: Çete yöneticilerinin gelişimi planlamasına yardımcı olan ana maceralar; maceralar tamamlandığında tüm üyeler ödül alır.
- Yeni dil: Korece artık maymun gezegenlerinde kullanılabilir!
- Yeni Bölge Liderlik Tablosu: düşmanlarınızı b"&amp;"ilin ve arkadaşlarınızı beğenin! Her gün beğenin ve ödüller alın!
- Yeni Hazine Kazısı fonu: Hazine Kazısına katılın ve harika ödüller alın!
- Yeni yıldönümü etkinlikleri: büyük yıldönümü etkinliği başladı! Bizimle kutlayın ve tonlarca ödül alın!
Bahçe Pa"&amp;"rtisi: Yıldönümü paralarını toplayın ve özel yıldönümü Şehir Meclisi derisini almak için Bahçe Partisinde kutlayın!
Yıldönümü Şenliği: Yıldönümü havai fişeklerini toplayın ve ödül almak için kutlamada kullanın!
Yıldönümü İadesi: Bir hediyeyle kutluyoruz! "&amp;"Sadece oturum açın ve özel yıldönümü Savaşçısı, Vance'i alın!
Tatlı Kursu: Kendi yıldönümü pastanızı oluşturun! Pastayı yapmak ve özel yıldönümü dekorasyonunu almak için pasta malzemelerini toplayın!
Süper Şanslı Yıldız: Şansınızı deneyin ve ödüller çizin"&amp;"! Talih sizin üzerinizde mi gülümseyecek? Katılın, ödüller alın ve öğrenin!
Gizli Hazineler: yeni Hazine Kazısı seviyesi. Oynayın ve ödüller alın!
- Mutant Operasyonu optimize edildi: yeni yardım işlevi eklendi. Mutantları yenmenize yardımcı olmak için bi"&amp;"r arkadaşınızın yardım birliklerini kullanın!
- Sohbet optimize edildi: cevap işlevi eklendi; yönerge sekmesi Çete sohbet odasına eklendi.
- Mekalar optimize edildi: mekalar artık toplu saldırılara, şehir takviyelerine ve Geçit gibi binalara katılabilir.
"&amp;"- Ciddi şekilde yaralanan birliklerin iyileşme aralığı iyileştirildi: şimdi her 10 savaş turundan sonra şehre iyileşmek üzere geri gönderiliyorlar.
- Diğer arayüz gösterimi ve işletim iyileştirmeleri.")</f>
        <v>- Yeni Savaşçı: Elektrikli Testere Sevgilisi, Doris. Dışı tatlı, içi vahşi - işte elektrikli testere kız!
- Yeni Savaşçı: Bira Ustası, Vance. Şerefe! Gezegendeki en efsanevi bira ustasından. Ruhunu canlandırmaya hazır mısın?
- Yeni Kalıntı: Duvar Kırıcı seti - Saklanacak Yer Yok (Homing Cannon, Mag Shield ve Onboard Locator dahil).
- Yeni savaş alanı: Yıldız Kolezyumu - Meka Yükselişi. Yepyeni bir savaş deneyimine hazır olun!
- Yeni NPC: yeni tür mutant birlikler!
- Hazine Kazısı artık 110 seviyeye sahip!
- Yeni Çete maceraları: Çete yöneticilerinin gelişimi planlamasına yardımcı olan ana maceralar; maceralar tamamlandığında tüm üyeler ödül alır.
- Yeni dil: Korece artık maymun gezegenlerinde kullanılabilir!
- Yeni Bölge Liderlik Tablosu: düşmanlarınızı bilin ve arkadaşlarınızı beğenin! Her gün beğenin ve ödüller alın!
- Yeni Hazine Kazısı fonu: Hazine Kazısına katılın ve harika ödüller alın!
- Yeni yıldönümü etkinlikleri: büyük yıldönümü etkinliği başladı! Bizimle kutlayın ve tonlarca ödül alın!
Bahçe Partisi: Yıldönümü paralarını toplayın ve özel yıldönümü Şehir Meclisi derisini almak için Bahçe Partisinde kutlayın!
Yıldönümü Şenliği: Yıldönümü havai fişeklerini toplayın ve ödül almak için kutlamada kullanın!
Yıldönümü İadesi: Bir hediyeyle kutluyoruz! Sadece oturum açın ve özel yıldönümü Savaşçısı, Vance'i alın!
Tatlı Kursu: Kendi yıldönümü pastanızı oluşturun! Pastayı yapmak ve özel yıldönümü dekorasyonunu almak için pasta malzemelerini toplayın!
Süper Şanslı Yıldız: Şansınızı deneyin ve ödüller çizin! Talih sizin üzerinizde mi gülümseyecek? Katılın, ödüller alın ve öğrenin!
Gizli Hazineler: yeni Hazine Kazısı seviyesi. Oynayın ve ödüller alın!
- Mutant Operasyonu optimize edildi: yeni yardım işlevi eklendi. Mutantları yenmenize yardımcı olmak için bir arkadaşınızın yardım birliklerini kullanın!
- Sohbet optimize edildi: cevap işlevi eklendi; yönerge sekmesi Çete sohbet odasına eklendi.
- Mekalar optimize edildi: mekalar artık toplu saldırılara, şehir takviyelerine ve Geçit gibi binalara katılabilir.
- Ciddi şekilde yaralanan birliklerin iyileşme aralığı iyileştirildi: şimdi her 10 savaş turundan sonra şehre iyileşmek üzere geri gönderiliyorlar.
- Diğer arayüz gösterimi ve işletim iyileştirmeleri.</v>
      </c>
      <c r="M44" s="148" t="str">
        <f>IFERROR(__xludf.DUMMYFUNCTION("""COMPUTED_VALUE"""),"- Chiến Binh Mới: Ngọt Ngào Điện Cưa, Doris. Ngọt ngào bên ngoài, dữ dội bên trong - đó là cô gái điện cưa!
- Chiến Binh Mới: Thầy Pha Chế, Vance. Chúc mừng! Từ thầy pha chế huyền thoại nhất trên hành tinh. Sẵn sàng để lên tinh thần chưa?
- Di Tích Mới: B"&amp;"ộ Phá Bức Tường - Không Nơi Nào Để Trốn (bao gồm Pháo Công Nghệ Cao, Mag Shield, và Onboard Locator).
- Chiến Trường Mới: Đại Đấu Trường Thiên Thể - Cơ Khí Trỗi Dậy. Hãy chuẩn bị cho một trải nghiệm chiến đấu hoàn toàn mới!
- NPC Mới: các loại binh lính đ"&amp;"ột biến mới!
- Kho Báu Đào giờ đây có 110 cấp!
- Nhiệm vụ Bang Hội mới: nhiệm vụ chính giúp quản trị viên Bang Hội lên kế hoạch phát triển; tất cả thành viên nhận phần thưởng khi hoàn thành nhiệm vụ.
- Ngôn ngữ mới: tiếng Hàn giờ đây đã có sẵn trên các hà"&amp;"nh tinh khỉ!
- Bảng Xếp Hạng Khu Vực Mới: biết kẻ thù của bạn và thích bạn bè của bạn! Thích hàng ngày để nhận thưởng!
- Quỹ Kho Báu Đào mới: tham gia Kho Báu Đào để nhận những phần thưởng tuyệt vời!
- Sự kiện kỷ niệm mới: sự kiện kỷ niệm hoành tráng đã b"&amp;"ắt đầu! Hãy cùng chúng tôi kỷ niệm và nhận hàng loạt phần thưởng!
Bữa Tiệc Vườn: Thu thập đồng xu kỷ niệm và tổ chức bữa tiệc tại Vườn để có cơ hội nhận được skin Tòa Thị Chính kỷ niệm đặc biệt!
Bữa Tiệc Kỷ Niệm: Thu thập pháo hoa kỷ niệm và sử dụng chúng"&amp;" để tổ chức bữa tiệc và nhận phần thưởng!
Giảm Giá Kỷ Niệm: Chúng tôi đang tổ chức một cuộc tặng quà để kỷ niệm! Chỉ cần đăng nhập để nhận được Chiến Binh kỷ niệm đặc biệt, Vance!
Khóa Học Tráng Miệng: Tạo bánh kỷ niệm của riêng bạn! Thu thập nguyên liệu "&amp;"bánh để làm bánh và nhận được trang trí kỷ niệm đặc biệt!
Siêu Sao May Mắn: Thử vận may và rút thưởng! Liệu may mắn có mỉm cười với bạn? Tham gia để nhận thưởng và tìm hiểu!
Kho Báu Bí Ẩn: cấp Kho Báu Đào mới. Chơi để nhận thưởng!
- Vây Quét Khỉ Đột Biến "&amp;"được tối ưu hóa: thêm chức năng hỗ trợ mới. Sử dụng binh lính hỗ trợ của bạn bè để giúp bạn đánh bại khỉ đột biến!
- Chat được tối ưu hóa: thêm chức năng trả lời; thêm tab chỉ thị vào phòng chat Bang Hội.
- Cơ Khí được tối ưu hóa: cơ khí giờ đây có thể th"&amp;"am gia tập hợp, viện binh thành phố, và các công trình như Cửa Ải Khỉ.
- Cải thiện khoảng thời gian chữa trị cho binh lính bị trọng thương: họ giờ đây được gửi trở lại thành phố để chữa trị sau mỗi 10 vòng chiến đấu.
- Cải tiến khác về hiển thị giao diện "&amp;"và hoạt động.")</f>
        <v>- Chiến Binh Mới: Ngọt Ngào Điện Cưa, Doris. Ngọt ngào bên ngoài, dữ dội bên trong - đó là cô gái điện cưa!
- Chiến Binh Mới: Thầy Pha Chế, Vance. Chúc mừng! Từ thầy pha chế huyền thoại nhất trên hành tinh. Sẵn sàng để lên tinh thần chưa?
- Di Tích Mới: Bộ Phá Bức Tường - Không Nơi Nào Để Trốn (bao gồm Pháo Công Nghệ Cao, Mag Shield, và Onboard Locator).
- Chiến Trường Mới: Đại Đấu Trường Thiên Thể - Cơ Khí Trỗi Dậy. Hãy chuẩn bị cho một trải nghiệm chiến đấu hoàn toàn mới!
- NPC Mới: các loại binh lính đột biến mới!
- Kho Báu Đào giờ đây có 110 cấp!
- Nhiệm vụ Bang Hội mới: nhiệm vụ chính giúp quản trị viên Bang Hội lên kế hoạch phát triển; tất cả thành viên nhận phần thưởng khi hoàn thành nhiệm vụ.
- Ngôn ngữ mới: tiếng Hàn giờ đây đã có sẵn trên các hành tinh khỉ!
- Bảng Xếp Hạng Khu Vực Mới: biết kẻ thù của bạn và thích bạn bè của bạn! Thích hàng ngày để nhận thưởng!
- Quỹ Kho Báu Đào mới: tham gia Kho Báu Đào để nhận những phần thưởng tuyệt vời!
- Sự kiện kỷ niệm mới: sự kiện kỷ niệm hoành tráng đã bắt đầu! Hãy cùng chúng tôi kỷ niệm và nhận hàng loạt phần thưởng!
Bữa Tiệc Vườn: Thu thập đồng xu kỷ niệm và tổ chức bữa tiệc tại Vườn để có cơ hội nhận được skin Tòa Thị Chính kỷ niệm đặc biệt!
Bữa Tiệc Kỷ Niệm: Thu thập pháo hoa kỷ niệm và sử dụng chúng để tổ chức bữa tiệc và nhận phần thưởng!
Giảm Giá Kỷ Niệm: Chúng tôi đang tổ chức một cuộc tặng quà để kỷ niệm! Chỉ cần đăng nhập để nhận được Chiến Binh kỷ niệm đặc biệt, Vance!
Khóa Học Tráng Miệng: Tạo bánh kỷ niệm của riêng bạn! Thu thập nguyên liệu bánh để làm bánh và nhận được trang trí kỷ niệm đặc biệt!
Siêu Sao May Mắn: Thử vận may và rút thưởng! Liệu may mắn có mỉm cười với bạn? Tham gia để nhận thưởng và tìm hiểu!
Kho Báu Bí Ẩn: cấp Kho Báu Đào mới. Chơi để nhận thưởng!
- Vây Quét Khỉ Đột Biến được tối ưu hóa: thêm chức năng hỗ trợ mới. Sử dụng binh lính hỗ trợ của bạn bè để giúp bạn đánh bại khỉ đột biến!
- Chat được tối ưu hóa: thêm chức năng trả lời; thêm tab chỉ thị vào phòng chat Bang Hội.
- Cơ Khí được tối ưu hóa: cơ khí giờ đây có thể tham gia tập hợp, viện binh thành phố, và các công trình như Cửa Ải Khỉ.
- Cải thiện khoảng thời gian chữa trị cho binh lính bị trọng thương: họ giờ đây được gửi trở lại thành phố để chữa trị sau mỗi 10 vòng chiến đấu.
- Cải tiến khác về hiển thị giao diện và hoạt động.</v>
      </c>
      <c r="N44" s="108" t="str">
        <f>IFERROR(__xludf.DUMMYFUNCTION("""COMPUTED_VALUE"""),"- Nuovo Combattente: Dolcezza Motosega, Doris. Dolce all'esterno, selvaggia all'interno - è la ragazza della motosega!
- Nuovo Combattente: Mastro Birraio, Vance. Salute! Dal più leggendario mastro birraio del pianeta. Pronto a rinvigorirti?
- Nuova Reliq"&amp;"uia: Set Distruttore di Muri - Nessun Posto Dove Nascondersi (include Cannone a Ricerca, Scudo Mag, e Localizzatore di Bordo).
- Nuovo campo di battaglia: Colosseo Astrale - Mech in Ascesa. Preparati per una nuovissima esperienza di battaglia!
- Nuovo NPC"&amp;": nuovi tipi di truppe mutanti!
- Scavo del Tesoro ora ha 110 livelli!
- Nuove missioni Gang: missioni principali che aiutano gli amministratori della Gang a pianificare lo sviluppo; tutti i membri ricevono ricompense quando le missioni sono completate.
-"&amp;" Nuova lingua: il coreano è ora disponibile sui pianeti scimmia!
- Nuova Classifica della Zona: conosci i tuoi nemici e apprezza i tuoi amici! Metti mi piace ogni giorno per ottenere ricompense!
- Nuovo fondo Scavo del Tesoro: partecipa allo Scavo del Tes"&amp;"oro per ottenere ricompense incredibili!
- Nuovi eventi di anniversario: è iniziato il grande evento di anniversario! Festeggia con noi e ottieni tonnellate di ricompense!
Festa in Giardino: Raccogli monete di anniversario e festeggia nella Festa in Giard"&amp;"ino per avere la possibilità di ottenere la speciale skin del Municipio dell'anniversario!
Festa dell'Anniversario: Raccogli fuochi d'artificio di anniversario e usali per la celebrazione per ottenere ricompense!
Rimborso Anniversario: Stiamo festeggiando"&amp;" con un giveaway! Basta accedere per ottenere il speciale Combattente dell'anniversario, Vance!
Corso di Dolci: Crea la tua torta di anniversario! Raccogli gli ingredienti della torta per farla e ottieni la speciale decorazione dell'anniversario!
Super St"&amp;"ella Fortunata: Sfida la sorte e vinci premi! La fortuna ti sorriderà? Partecipa per ottenere ricompense e scoprirlo!
Tesori Nascosti: nuovo livello di Scavo del Tesoro. Gioca per ottenere ricompense!
- Operazione Mutanti ottimizzata: aggiunta nuova funzi"&amp;"one di assistenza. Usa le truppe di assistenza di un amico per aiutarti a battere i mutanti!
- Chat ottimizzata: aggiunta funzione di risposta; tab direttiva aggiunto alla chat room della Gang.
- Mech ottimizzati: i mech possono ora unirsi alle adunate, a"&amp;"i rinforzi della città e agli edifici come i Valichi Scimmia.
- Migliorato l'intervallo di guarigione per le truppe gravemente ferite: ora vengono rispedite in città per la guarigione dopo ogni 10 round di battaglia.
- Altri miglioramenti dell'interfaccia"&amp;" di visualizzazione e dell'operatività.")</f>
        <v>- Nuovo Combattente: Dolcezza Motosega, Doris. Dolce all'esterno, selvaggia all'interno - è la ragazza della motosega!
- Nuovo Combattente: Mastro Birraio, Vance. Salute! Dal più leggendario mastro birraio del pianeta. Pronto a rinvigorirti?
- Nuova Reliquia: Set Distruttore di Muri - Nessun Posto Dove Nascondersi (include Cannone a Ricerca, Scudo Mag, e Localizzatore di Bordo).
- Nuovo campo di battaglia: Colosseo Astrale - Mech in Ascesa. Preparati per una nuovissima esperienza di battaglia!
- Nuovo NPC: nuovi tipi di truppe mutanti!
- Scavo del Tesoro ora ha 110 livelli!
- Nuove missioni Gang: missioni principali che aiutano gli amministratori della Gang a pianificare lo sviluppo; tutti i membri ricevono ricompense quando le missioni sono completate.
- Nuova lingua: il coreano è ora disponibile sui pianeti scimmia!
- Nuova Classifica della Zona: conosci i tuoi nemici e apprezza i tuoi amici! Metti mi piace ogni giorno per ottenere ricompense!
- Nuovo fondo Scavo del Tesoro: partecipa allo Scavo del Tesoro per ottenere ricompense incredibili!
- Nuovi eventi di anniversario: è iniziato il grande evento di anniversario! Festeggia con noi e ottieni tonnellate di ricompense!
Festa in Giardino: Raccogli monete di anniversario e festeggia nella Festa in Giardino per avere la possibilità di ottenere la speciale skin del Municipio dell'anniversario!
Festa dell'Anniversario: Raccogli fuochi d'artificio di anniversario e usali per la celebrazione per ottenere ricompense!
Rimborso Anniversario: Stiamo festeggiando con un giveaway! Basta accedere per ottenere il speciale Combattente dell'anniversario, Vance!
Corso di Dolci: Crea la tua torta di anniversario! Raccogli gli ingredienti della torta per farla e ottieni la speciale decorazione dell'anniversario!
Super Stella Fortunata: Sfida la sorte e vinci premi! La fortuna ti sorriderà? Partecipa per ottenere ricompense e scoprirlo!
Tesori Nascosti: nuovo livello di Scavo del Tesoro. Gioca per ottenere ricompense!
- Operazione Mutanti ottimizzata: aggiunta nuova funzione di assistenza. Usa le truppe di assistenza di un amico per aiutarti a battere i mutanti!
- Chat ottimizzata: aggiunta funzione di risposta; tab direttiva aggiunto alla chat room della Gang.
- Mech ottimizzati: i mech possono ora unirsi alle adunate, ai rinforzi della città e agli edifici come i Valichi Scimmia.
- Migliorato l'intervallo di guarigione per le truppe gravemente ferite: ora vengono rispedite in città per la guarigione dopo ogni 10 round di battaglia.
- Altri miglioramenti dell'interfaccia di visualizzazione e dell'operatività.</v>
      </c>
      <c r="O44" s="148" t="str">
        <f>IFERROR(__xludf.DUMMYFUNCTION("""COMPUTED_VALUE"""),"- Nowy Wojownik: Słodka Piłkarka, Doris. Słodka na zewnątrz, dzika w środku - to dziewczyna z piłą łańcuchową!
- Nowy Wojownik: Mistrz Warzenia, Vance. Na zdrowie! Od najbardziej legendarnego mistrza warzenia na planecie. Gotowy na ducha?
- Nowe Relikt: Z"&amp;"estaw Przełamywacz Ścian - Nigdzie się nie schowasz (zawiera Działo Samonaprowadzające, Mag Shield i Lokator Pokładowy).
- Nowe pole bitwy: Gwiezdne Koloseum - Mech Wstaje. Przygotuj się na zupełnie nowe doświadczenie bitewne!
- Nowy NPC: nowe typy mutant"&amp;"ów!
- Skarb Kopania ma teraz 110 poziomów!
- Nowe zadania Gangu: główne zadania, które pomagają administratorom Gangu planować rozwój; wszyscy członkowie otrzymują nagrody, gdy zadania są zakończone.
- Nowy język: koreański jest teraz dostępny na planetac"&amp;"h małp!
- Nowa Tablica Wyników Strefy: poznaj swoich wrogów i polub swoich przyjaciół! Polub codziennie, aby otrzymać nagrody!
- Nowy fundusz Skarbu Kopania: weź udział w Skarbie Kopania, aby otrzymać niesamowite nagrody!
- Nowe wydarzenia rocznicowe: roz"&amp;"poczęło się wielkie wydarzenie rocznicowe! Świętuj z nami i zdobądź mnóstwo nagród!
Impreza w Ogrodzie: Zbieraj monety rocznicowe i świętuj na Imprezie w Ogrodzie, aby mieć szansę zdobyć specjalną skórę Ratusza na rocznicę!
Impreza Rocznicowa: Zbieraj faj"&amp;"erwerki rocznicowe i używaj ich do świętowania, aby zdobyć nagrody!
Rabat Rocznicowy: Świętujemy z rozdaniem prezentów! Po prostu zaloguj się, aby otrzymać specjalnego rocznicowego Wojownika, Vance'a!
Deser: Stwórz własne ciasto rocznicowe! Zbieraj składn"&amp;"iki na ciasto, aby je zrobić i zdobyć specjalną dekorację rocznicową!
Super Szczęśliwa Gwiazda: Spróbuj szczęścia i wylosuj nagrody! Czy fortuna się do ciebie uśmiechnie? Weź udział, aby zdobyć nagrody i przekonaj się!
Ukryte Skarby: nowy poziom Skarbu Ko"&amp;"pania. Graj, aby zdobyć nagrody!
- Operacja Mutanty zoptymalizowana: dodano nową funkcję asysty. Użyj oddziałów asystujących przyjaciela, aby pomóc Ci pokonać mutanty!
- Czat zoptymalizowany: dodano funkcję odpowiedzi; dodano zakładkę dyrektyw do czatroom"&amp;"u Gangu.
- Mechy zoptymalizowane: mechy mogą teraz dołączać do rajdów, posiłków miasta i budynków takich jak Małpia Brama.
- Poprawiono interwał leczenia poważnie rannych jednostek: teraz są one wysyłane z powrotem do miasta na leczenie po każdych 10 rund"&amp;"ach bitwy.
- Inne ulepszenia wyświetlania interfejsu i obsługi.")</f>
        <v>- Nowy Wojownik: Słodka Piłkarka, Doris. Słodka na zewnątrz, dzika w środku - to dziewczyna z piłą łańcuchową!
- Nowy Wojownik: Mistrz Warzenia, Vance. Na zdrowie! Od najbardziej legendarnego mistrza warzenia na planecie. Gotowy na ducha?
- Nowe Relikt: Zestaw Przełamywacz Ścian - Nigdzie się nie schowasz (zawiera Działo Samonaprowadzające, Mag Shield i Lokator Pokładowy).
- Nowe pole bitwy: Gwiezdne Koloseum - Mech Wstaje. Przygotuj się na zupełnie nowe doświadczenie bitewne!
- Nowy NPC: nowe typy mutantów!
- Skarb Kopania ma teraz 110 poziomów!
- Nowe zadania Gangu: główne zadania, które pomagają administratorom Gangu planować rozwój; wszyscy członkowie otrzymują nagrody, gdy zadania są zakończone.
- Nowy język: koreański jest teraz dostępny na planetach małp!
- Nowa Tablica Wyników Strefy: poznaj swoich wrogów i polub swoich przyjaciół! Polub codziennie, aby otrzymać nagrody!
- Nowy fundusz Skarbu Kopania: weź udział w Skarbie Kopania, aby otrzymać niesamowite nagrody!
- Nowe wydarzenia rocznicowe: rozpoczęło się wielkie wydarzenie rocznicowe! Świętuj z nami i zdobądź mnóstwo nagród!
Impreza w Ogrodzie: Zbieraj monety rocznicowe i świętuj na Imprezie w Ogrodzie, aby mieć szansę zdobyć specjalną skórę Ratusza na rocznicę!
Impreza Rocznicowa: Zbieraj fajerwerki rocznicowe i używaj ich do świętowania, aby zdobyć nagrody!
Rabat Rocznicowy: Świętujemy z rozdaniem prezentów! Po prostu zaloguj się, aby otrzymać specjalnego rocznicowego Wojownika, Vance'a!
Deser: Stwórz własne ciasto rocznicowe! Zbieraj składniki na ciasto, aby je zrobić i zdobyć specjalną dekorację rocznicową!
Super Szczęśliwa Gwiazda: Spróbuj szczęścia i wylosuj nagrody! Czy fortuna się do ciebie uśmiechnie? Weź udział, aby zdobyć nagrody i przekonaj się!
Ukryte Skarby: nowy poziom Skarbu Kopania. Graj, aby zdobyć nagrody!
- Operacja Mutanty zoptymalizowana: dodano nową funkcję asysty. Użyj oddziałów asystujących przyjaciela, aby pomóc Ci pokonać mutanty!
- Czat zoptymalizowany: dodano funkcję odpowiedzi; dodano zakładkę dyrektyw do czatroomu Gangu.
- Mechy zoptymalizowane: mechy mogą teraz dołączać do rajdów, posiłków miasta i budynków takich jak Małpia Brama.
- Poprawiono interwał leczenia poważnie rannych jednostek: teraz są one wysyłane z powrotem do miasta na leczenie po każdych 10 rundach bitwy.
- Inne ulepszenia wyświetlania interfejsu i obsługi.</v>
      </c>
      <c r="P44" s="148" t="str">
        <f>IFERROR(__xludf.DUMMYFUNCTION("""COMPUTED_VALUE"""),"- مقاتل جديد: الحبيبة بالمنشار، دوريس. حلوة من الخارج، متوحشة من الداخل - إنها فتاة المنشار!
- مقاتل جديد: سيد الخمر، فانس. هتافات! من أسطوري سيد الخمر على الكوكب. هل أنت جاهز للروح؟
- مقتنيات جديدة: مجموعة كسارة الجدران - لا مكان للإختباء (تتضمن المدفعية"&amp;" الموجهة، الدرع المغناطيسي، والمحدد على متن السفينة).
- ساحة المعركة الجديدة: مدرج النجوم - صعود الميكا. استعد لتجربة معركة جديدة تمامًا!
- NPC جديد: أنواع جديدة من وحدات القرود المسخ!
- حفر الكنز الآن لديه 110 مستويات!
- مهام العصابة الجديدة: المهام الرئ"&amp;"يسية التي تساعد مدراء العصابة على التخطيط للتطوير؛ جميع الأعضاء يتلقون المكافآت عند إكمال المهام.
- اللغة الجديدة: الكورية متاحة الآن على كواكب القردة!
- لوحة تصنيف المنطقة الجديدة: اعرف أعدائك وأعجب بأصدقائك! أعجب يوميًا للحصول على المكافآت!
- صندوق حفر "&amp;"الكنز الجديد: شارك في حفر الكنز للحصول على مكافآت مدهشة!
- أحداث الذكرى السنوية الجديدة: بدأ الحدث الكبير للذكرى السنوية! احتفل معنا واحصل على الكثير من المكافآت!
حفلة الحديقة: اجمع القطع النقدية للذكرى السنوية واحتفل في حفلة الحديقة للحصول على فرصة للحصو"&amp;"ل على جلد قاعة المدينة الخاص بالذكرى السنوية!
كرنفال الذكرى السنوية: اجمع الألعاب النارية للذكرى السنوية واستخدمها للاحتفال للحصول على المكافآت!
خصم الذكرى السنوية: نحن نحتفل بالهدايا! ببساطة قم بتسجيل الدخول للحصول على المقاتل الخاص بالذكرى السنوية، فانس"&amp;"!
دورة الحلوى: أنشئ كعكة الذكرى السنوية الخاصة بك! اجمع مكونات الكعكة لصنع الكعكة واحصل على الزينة الخاصة بالذكرى السنوية!
النجم السعيد الحظ العظيم: جرب حظك وارسم الجوائز! هل ستبتسم الحظ لك؟ شارك للحصول على المكافآت واكتشف!
كنوز مخفية: مستوى حفر الكنز الج"&amp;"ديد. العب للحصول على المكافآت!
- تم تحسين صواميل التشغيل: تمت إضافة وظيفة المساعدة الجديدة. استخدم وحدات المساعدة لصديقك لمساعدتك على هزيمة القرود المسخ!
- تم تحسين الدردشة: تمت إضافة وظيفة الرد؛ تمت إضافة علامة التوجيه إلى غرفة دردشة العصابة.
- تم تحسين "&amp;"الميكا: يمكن الآن للميكا الانضمام إلى الحشود، تعزيزات المدينة، والمباني مثل ممرات القردة.
- تحسين فترة الشفاء للقوات المصابة بجروح خطيرة: يتم الآن إرسالهم مرة أخرى إلى المدينة للشفاء بعد كل 10 جولات من المعركة.
- تحسينات أخرى في عرض الواجهة والتشغيل.")</f>
        <v>- مقاتل جديد: الحبيبة بالمنشار، دوريس. حلوة من الخارج، متوحشة من الداخل - إنها فتاة المنشار!
- مقاتل جديد: سيد الخمر، فانس. هتافات! من أسطوري سيد الخمر على الكوكب. هل أنت جاهز للروح؟
- مقتنيات جديدة: مجموعة كسارة الجدران - لا مكان للإختباء (تتضمن المدفعية الموجهة، الدرع المغناطيسي، والمحدد على متن السفينة).
- ساحة المعركة الجديدة: مدرج النجوم - صعود الميكا. استعد لتجربة معركة جديدة تمامًا!
- NPC جديد: أنواع جديدة من وحدات القرود المسخ!
- حفر الكنز الآن لديه 110 مستويات!
- مهام العصابة الجديدة: المهام الرئيسية التي تساعد مدراء العصابة على التخطيط للتطوير؛ جميع الأعضاء يتلقون المكافآت عند إكمال المهام.
- اللغة الجديدة: الكورية متاحة الآن على كواكب القردة!
- لوحة تصنيف المنطقة الجديدة: اعرف أعدائك وأعجب بأصدقائك! أعجب يوميًا للحصول على المكافآت!
- صندوق حفر الكنز الجديد: شارك في حفر الكنز للحصول على مكافآت مدهشة!
- أحداث الذكرى السنوية الجديدة: بدأ الحدث الكبير للذكرى السنوية! احتفل معنا واحصل على الكثير من المكافآت!
حفلة الحديقة: اجمع القطع النقدية للذكرى السنوية واحتفل في حفلة الحديقة للحصول على فرصة للحصول على جلد قاعة المدينة الخاص بالذكرى السنوية!
كرنفال الذكرى السنوية: اجمع الألعاب النارية للذكرى السنوية واستخدمها للاحتفال للحصول على المكافآت!
خصم الذكرى السنوية: نحن نحتفل بالهدايا! ببساطة قم بتسجيل الدخول للحصول على المقاتل الخاص بالذكرى السنوية، فانس!
دورة الحلوى: أنشئ كعكة الذكرى السنوية الخاصة بك! اجمع مكونات الكعكة لصنع الكعكة واحصل على الزينة الخاصة بالذكرى السنوية!
النجم السعيد الحظ العظيم: جرب حظك وارسم الجوائز! هل ستبتسم الحظ لك؟ شارك للحصول على المكافآت واكتشف!
كنوز مخفية: مستوى حفر الكنز الجديد. العب للحصول على المكافآت!
- تم تحسين صواميل التشغيل: تمت إضافة وظيفة المساعدة الجديدة. استخدم وحدات المساعدة لصديقك لمساعدتك على هزيمة القرود المسخ!
- تم تحسين الدردشة: تمت إضافة وظيفة الرد؛ تمت إضافة علامة التوجيه إلى غرفة دردشة العصابة.
- تم تحسين الميكا: يمكن الآن للميكا الانضمام إلى الحشود، تعزيزات المدينة، والمباني مثل ممرات القردة.
- تحسين فترة الشفاء للقوات المصابة بجروح خطيرة: يتم الآن إرسالهم مرة أخرى إلى المدينة للشفاء بعد كل 10 جولات من المعركة.
- تحسينات أخرى في عرض الواجهة والتشغيل.</v>
      </c>
      <c r="Q44" s="148" t="str">
        <f>IFERROR(__xludf.DUMMYFUNCTION("""COMPUTED_VALUE"""),"- 新しいファイター：チェーンソーの恋人、ドリス。外見は甘いが、内面は野蛮 - それがチェーンソーの少女だ！
- 新しいファイター：酿造师、ヴァンス。乾杯！この星で最も伝説的な酿造师から。スピリットアップの準備はできていますか？
- 新たなレリック：ウォールブレーカーセット - 隠れる場所なし（ホーミングキャノン、マグシールド、オンボードロケーターを含む）。
- 新しい戦場：アストラルコロシアム - メカライジング。全く新しい戦闘体験に備えてください！
- 新しいNPC：新しいタイプの変異エイプ部隊！
-"&amp;" 地底の宝探しは現在110レベルになりました！
- 新しいギルドクエスト：ギルドの管理者が開発を計画するためのメインクエスト。クエストが完了すると、全てのメンバーが報酬を受け取ります。
- 新しい言語：韓国語がエイププラネットで利用可能になりました！
- 新しいゾーンリーダーボード：敵を知り、友達を好きになりましょう！毎日「いいね」をして報酬を獲得しましょう！
- 新しい地底の宝探し基金：地底の宝探しに参加して素晴らしい報酬を獲得しましょう！
- 新しい記念日イベント：壮大な記念日イベントが始まりました！"&amp;"私たちと一緒に祝い、たくさんの報酬を獲得しましょう！
ガーデンパーティー：記念日コインを集めてガーデンパーティーで祝い、特別な記念日の基地のスキンを獲得するチャンスを得ましょう！
周年記念パーティー：記念日の花火を集めて祝い、報酬を獲得しましょう！
記念日リベート：私たちはプレゼントで祝います！特別な記念日のファイター、ヴァンスを獲得するためには、単にサインインするだけです！
デザートコース：自分だけの記念日のケーキを作りましょう！ケーキの材料を集めてケーキを作り、特別な記念日の装飾を獲得しましょう！
ス"&amp;"ーパーラッキースター：あなたの運を試して賞品を引き出しましょう！運命があなたに微笑むでしょうか？参加して報酬を獲得し、確認しましょう！
隠された宝物：新しい地底の宝探しレベル。報酬を獲得するためにプレイしましょう！
- 変異エイプ殲滅作戦の最適化：新しいアシスト機能を追加。友達の援軍部隊を使用して変異エイプを倒すのを助けます！
- チャットの最適化：返信機能を追加；ギルドチャットルームに指示タブを追加。
- メカの最適化：メカは現在、集結、都市の援軍、ステージのような建築物に参加できます。
- 重傷を負っ"&amp;"た部隊の治療間隔の改善：彼らは現在、戦闘の各10ラウンド後に都市に送り返されて治療されます。
- その他のインターフェース表示と操作の改善。")</f>
        <v>- 新しいファイター：チェーンソーの恋人、ドリス。外見は甘いが、内面は野蛮 - それがチェーンソーの少女だ！
- 新しいファイター：酿造师、ヴァンス。乾杯！この星で最も伝説的な酿造师から。スピリットアップの準備はできていますか？
- 新たなレリック：ウォールブレーカーセット - 隠れる場所なし（ホーミングキャノン、マグシールド、オンボードロケーターを含む）。
- 新しい戦場：アストラルコロシアム - メカライジング。全く新しい戦闘体験に備えてください！
- 新しいNPC：新しいタイプの変異エイプ部隊！
- 地底の宝探しは現在110レベルになりました！
- 新しいギルドクエスト：ギルドの管理者が開発を計画するためのメインクエスト。クエストが完了すると、全てのメンバーが報酬を受け取ります。
- 新しい言語：韓国語がエイププラネットで利用可能になりました！
- 新しいゾーンリーダーボード：敵を知り、友達を好きになりましょう！毎日「いいね」をして報酬を獲得しましょう！
- 新しい地底の宝探し基金：地底の宝探しに参加して素晴らしい報酬を獲得しましょう！
- 新しい記念日イベント：壮大な記念日イベントが始まりました！私たちと一緒に祝い、たくさんの報酬を獲得しましょう！
ガーデンパーティー：記念日コインを集めてガーデンパーティーで祝い、特別な記念日の基地のスキンを獲得するチャンスを得ましょう！
周年記念パーティー：記念日の花火を集めて祝い、報酬を獲得しましょう！
記念日リベート：私たちはプレゼントで祝います！特別な記念日のファイター、ヴァンスを獲得するためには、単にサインインするだけです！
デザートコース：自分だけの記念日のケーキを作りましょう！ケーキの材料を集めてケーキを作り、特別な記念日の装飾を獲得しましょう！
スーパーラッキースター：あなたの運を試して賞品を引き出しましょう！運命があなたに微笑むでしょうか？参加して報酬を獲得し、確認しましょう！
隠された宝物：新しい地底の宝探しレベル。報酬を獲得するためにプレイしましょう！
- 変異エイプ殲滅作戦の最適化：新しいアシスト機能を追加。友達の援軍部隊を使用して変異エイプを倒すのを助けます！
- チャットの最適化：返信機能を追加；ギルドチャットルームに指示タブを追加。
- メカの最適化：メカは現在、集結、都市の援軍、ステージのような建築物に参加できます。
- 重傷を負った部隊の治療間隔の改善：彼らは現在、戦闘の各10ラウンド後に都市に送り返されて治療されます。
- その他のインターフェース表示と操作の改善。</v>
      </c>
      <c r="R44" s="148" t="str">
        <f>IFERROR(__xludf.DUMMYFUNCTION("""COMPUTED_VALUE"""),"- 새로운 전사: 체인소 달콤한 사랑, 도리스. 외부는 달콤하고 내부는 사나운 - 체인소 소녀입니다!
- 새로운 전사: 양조장인, 밴스. 건배! 행성에서 가장 전설적인 양조장인으로부터. 기운을 불태우기 위해 준비되셨나요?
- 새로운 유물: 벽 부수기 세트 - 숨을 곳 없음 (유도 캐넌포, 마그 보호막, 온보드 로케이터 포함).
- 새로운 전장: 별의 사투 - 메카 라이징. 새로운 전투 경험을 위해 준비하십시오!
- 새로운 NPC: 새로운 유형의 변이 유"&amp;"닛들!
- 지하 보물찾기는 이제 110 레벨까지 있습니다!
- 새로운 무리 임무: 무리 관리자들이 개발을 계획하는데 도움이 되는 주요 퀘스트; 모든 회원들은 임무가 완료될 때 보상을 받습니다.
- 새로운 언어: 이제 원숭이 행성에서 한국어를 사용할 수 있습니다!
- 새로운 구역 리더보드: 적들을 알아보고 친구들을 좋아하세요! 매일 좋아요를 눌러 보상을 받으세요!
- 새로운 지하 보물찾기 기금: 지하 보물찾기에 참여하여 놀라운 보상을 받으세요!
- 새로운"&amp;" 기념일 이벤트: 웅장한 기념일 이벤트가 시작되었습니다! 우리와 함께 축하하고 수많은 보상을 받으세요!
정원 파티: 기념주화를 수집하고 정원 파티에서 축하하면 특별한 기념일 기지 스킨을 얻을 기회가 있습니다!
기념일 축제: 기념일 불꽃놀이를 수집하고 축하를 위해 사용하면 보상을 받을 수 있습니다!
기념일 환급: 우리는 선물을 준비하며 축하하고 있습니다! 단순히 로그인하여 특별한 기념일 전사, 밴스를 받으세요!
디저트 코스: 자신만의 기념일 케이크를 만드"&amp;"세요! 케이크 재료를 수집하여 케이크를 만들고 특별한 기념일 장식을 받으세요!
슈퍼 행운의 별: 운을 시험해보고 상품을 뽑으세요! 운명이 당신에게 미소를 지을까요? 참여하여 보상을 받고 알아보세요!
숨겨진 보물들: 새로운 지하 보물찾기 레벨. 보상을 받기 위해 플레이하세요!
- 변이 원숭이 토벌 최적화: 새로운 지원 기능 추가. 친구의 지원 부대를 사용하여 변이 원숭이를 물리치세요!
- 채팅 최적화: 답장 기능 추가; 갱 채팅방에 지시 탭 추가.
- 메"&amp;"카 최적화: 메카는 이제 집결, 도시 지원, 패스와 같은 건물에 참여할 수 있습니다.
- 중상 유닛의 치료 간격 개선: 이제 그들은 전투의 모든 10 라운드 후에 치료를 위해 도시로 돌아갑니다.
- 기타 인터페이스 디스플레이 및 운영 개선.")</f>
        <v>- 새로운 전사: 체인소 달콤한 사랑, 도리스. 외부는 달콤하고 내부는 사나운 - 체인소 소녀입니다!
- 새로운 전사: 양조장인, 밴스. 건배! 행성에서 가장 전설적인 양조장인으로부터. 기운을 불태우기 위해 준비되셨나요?
- 새로운 유물: 벽 부수기 세트 - 숨을 곳 없음 (유도 캐넌포, 마그 보호막, 온보드 로케이터 포함).
- 새로운 전장: 별의 사투 - 메카 라이징. 새로운 전투 경험을 위해 준비하십시오!
- 새로운 NPC: 새로운 유형의 변이 유닛들!
- 지하 보물찾기는 이제 110 레벨까지 있습니다!
- 새로운 무리 임무: 무리 관리자들이 개발을 계획하는데 도움이 되는 주요 퀘스트; 모든 회원들은 임무가 완료될 때 보상을 받습니다.
- 새로운 언어: 이제 원숭이 행성에서 한국어를 사용할 수 있습니다!
- 새로운 구역 리더보드: 적들을 알아보고 친구들을 좋아하세요! 매일 좋아요를 눌러 보상을 받으세요!
- 새로운 지하 보물찾기 기금: 지하 보물찾기에 참여하여 놀라운 보상을 받으세요!
- 새로운 기념일 이벤트: 웅장한 기념일 이벤트가 시작되었습니다! 우리와 함께 축하하고 수많은 보상을 받으세요!
정원 파티: 기념주화를 수집하고 정원 파티에서 축하하면 특별한 기념일 기지 스킨을 얻을 기회가 있습니다!
기념일 축제: 기념일 불꽃놀이를 수집하고 축하를 위해 사용하면 보상을 받을 수 있습니다!
기념일 환급: 우리는 선물을 준비하며 축하하고 있습니다! 단순히 로그인하여 특별한 기념일 전사, 밴스를 받으세요!
디저트 코스: 자신만의 기념일 케이크를 만드세요! 케이크 재료를 수집하여 케이크를 만들고 특별한 기념일 장식을 받으세요!
슈퍼 행운의 별: 운을 시험해보고 상품을 뽑으세요! 운명이 당신에게 미소를 지을까요? 참여하여 보상을 받고 알아보세요!
숨겨진 보물들: 새로운 지하 보물찾기 레벨. 보상을 받기 위해 플레이하세요!
- 변이 원숭이 토벌 최적화: 새로운 지원 기능 추가. 친구의 지원 부대를 사용하여 변이 원숭이를 물리치세요!
- 채팅 최적화: 답장 기능 추가; 갱 채팅방에 지시 탭 추가.
- 메카 최적화: 메카는 이제 집결, 도시 지원, 패스와 같은 건물에 참여할 수 있습니다.
- 중상 유닛의 치료 간격 개선: 이제 그들은 전투의 모든 10 라운드 후에 치료를 위해 도시로 돌아갑니다.
- 기타 인터페이스 디스플레이 및 운영 개선.</v>
      </c>
      <c r="S44" s="148"/>
      <c r="T44" s="148"/>
      <c r="U44" s="148"/>
      <c r="V44" s="148"/>
      <c r="W44" s="148"/>
      <c r="X44" s="148"/>
      <c r="Y44" s="148"/>
      <c r="Z44" s="148"/>
    </row>
    <row r="45">
      <c r="A45" s="167" t="str">
        <f>IFERROR(__xludf.DUMMYFUNCTION("""COMPUTED_VALUE"""),"0.57.0")</f>
        <v>0.57.0</v>
      </c>
      <c r="B45" s="148" t="str">
        <f>IFERROR(__xludf.DUMMYFUNCTION("""COMPUTED_VALUE"""),"--新增兵种：全新兵种来袭！新增VI级兵种（钢甲战骑、撼地者、裂空者、永恒能量战车）；
--新增建筑等级上限：基地、研究所、仓库、兵营，均可在服务器达到一定时间后，升级至35级；
--新增全新建筑等级、科技、VI级兵种等相关任务；
--新增破城炮手-菲利克斯，沉迷科研的狂热分子，引燃香蕉风暴的火药专家！
--新增矿友系统：在地下探宝达到一定进度后，可以拜访矿友的地铁，矿友可以互相协作，共同加快挖掘进度。
--新增机甲玩法：现在指挥官可以在火车争霸、围剿变异猴、精英竞技场、全能竞技场、好友托管功能中使用机甲"&amp;"；
--新增好友亲密度增益，增加拜访功能；
--新增帮派投票邮件：帮派官员可以通过邮件让成员们开始投票表决；
--新增8级采集点：8级采集点采空后可以获得额外新猩胶囊奖励；
--新增绝地试炼奖励：新增章节11-极限突破，新增奖励新猩胶囊；
--新增科技成就：进行更多科研，获取更多科研成就奖励！
--新增拓荒掘金矿洞等级：根据活动排名可以进入不同等级的矿洞，矿洞等级越高，奖励越丰厚；
--新增香蕉大战关卡：新增了60个新的关卡；
--新增堡垒对决关卡：新增了50个新的关卡；
--新增3个雕像：蒂芙尼、卡瑞娜"&amp;"、德里克的天赋雕像；
--新增登月节活动：
太空漫游：使用月球通行证，获取陨石碎片，即可获取丰厚奖励！
月球矿坑：全新地下探宝活动关卡，参与可获得丰厚的奖励！
--银河战争优化：优化了火神星和珊瑚星的特别交战区的开启提示表现；
--军备远征优化：远征派兵界面改版，显示玩家军备养成信息；
--深海试炼优化：优化了珊瑚星深海试炼的道具消耗、状态提示表现；
--行军队列优化：行军队列和侦察队列上限分开计算；
--大地图遗迹优化：处于保护期的据点可进行升级，获得额外的氏族增益；
--战报优化：战报中增加阵亡详情。")</f>
        <v>--新增兵种：全新兵种来袭！新增VI级兵种（钢甲战骑、撼地者、裂空者、永恒能量战车）；
--新增建筑等级上限：基地、研究所、仓库、兵营，均可在服务器达到一定时间后，升级至35级；
--新增全新建筑等级、科技、VI级兵种等相关任务；
--新增破城炮手-菲利克斯，沉迷科研的狂热分子，引燃香蕉风暴的火药专家！
--新增矿友系统：在地下探宝达到一定进度后，可以拜访矿友的地铁，矿友可以互相协作，共同加快挖掘进度。
--新增机甲玩法：现在指挥官可以在火车争霸、围剿变异猴、精英竞技场、全能竞技场、好友托管功能中使用机甲；
--新增好友亲密度增益，增加拜访功能；
--新增帮派投票邮件：帮派官员可以通过邮件让成员们开始投票表决；
--新增8级采集点：8级采集点采空后可以获得额外新猩胶囊奖励；
--新增绝地试炼奖励：新增章节11-极限突破，新增奖励新猩胶囊；
--新增科技成就：进行更多科研，获取更多科研成就奖励！
--新增拓荒掘金矿洞等级：根据活动排名可以进入不同等级的矿洞，矿洞等级越高，奖励越丰厚；
--新增香蕉大战关卡：新增了60个新的关卡；
--新增堡垒对决关卡：新增了50个新的关卡；
--新增3个雕像：蒂芙尼、卡瑞娜、德里克的天赋雕像；
--新增登月节活动：
太空漫游：使用月球通行证，获取陨石碎片，即可获取丰厚奖励！
月球矿坑：全新地下探宝活动关卡，参与可获得丰厚的奖励！
--银河战争优化：优化了火神星和珊瑚星的特别交战区的开启提示表现；
--军备远征优化：远征派兵界面改版，显示玩家军备养成信息；
--深海试炼优化：优化了珊瑚星深海试炼的道具消耗、状态提示表现；
--行军队列优化：行军队列和侦察队列上限分开计算；
--大地图遗迹优化：处于保护期的据点可进行升级，获得额外的氏族增益；
--战报优化：战报中增加阵亡详情。</v>
      </c>
      <c r="C45" s="148" t="str">
        <f>IFERROR(__xludf.DUMMYFUNCTION("""COMPUTED_VALUE"""),"- New unit types: new VI units (Steelriders, Earthshakers, Skyrenders, Infinity Tanks).
- Building level cap raised: the level cap for City Hall, Research Lab, Warehouse, Camps, was raised to Lv. 35 once the server has been open for a certain time.
- New "&amp;"building level, research, and VI units-related quests.
- New Fighter: Felix, the Siege Gunner. A research fanatic and explosives expert igniting a banana blaze!
- New mine buddies feature: reach certain levels in Treasure Dig to start visiting buddies’ mi"&amp;"nes. Buddies work together to speed up one another's digs.
- New mech gameplay: you can now use mechs in Train Rush, Operation Mutants, Champion Brawl, Primate Brawl, and delegated troops.
- New familiarity bonus with visits.
- New Gang polls: Officials m"&amp;"ay send messages to have members vote on different polls.
- New Lv. 8 resource spots: deplete these spots to get bonus Nu-Ape Capsules.
- New Impasse Trial rewards: added chapter 11 - Innovation with added Nu-Ape Capsule rewards.
- New research achievemen"&amp;"ts: complete more research to get achievement rewards.
- New ""Dig for Gold"" mines: enter mines of various levels based on your event ranking. The higher the mine's level, the better its rewards.
- 60 new Banana Fight levels.
- 50 new Fortress Takeover l"&amp;"evels.
- 3 new statues: Tiffany, Carina, and Derrick's talent statues.
- Moon Landing Festival events:
Space Odyssey: Use Lunar Passes and earn Meteor Fragments to get rewards!
Lunar Craters: a new level in Treasure Dig. Play to get amazing rewards!
- Pla"&amp;"net Wars optimized: improved the tip shown when special zones open on Fire and Coral Stars.
- Gear Expedition optimized: updated troop configuration page to show gear progress.
- Trench Trials optimized: improved tips shown when using items for Trench Tir"&amp;"als on Coral Star and item status.
- March queues optimized: march and scout queues now have independent caps.
- Map ruins optimized: buildings in their protection period may be updated for extra Clan boosts.
- Battle reports optimized: troop loss details"&amp;" added to battle reports.")</f>
        <v>- New unit types: new VI units (Steelriders, Earthshakers, Skyrenders, Infinity Tanks).
- Building level cap raised: the level cap for City Hall, Research Lab, Warehouse, Camps, was raised to Lv. 35 once the server has been open for a certain time.
- New building level, research, and VI units-related quests.
- New Fighter: Felix, the Siege Gunner. A research fanatic and explosives expert igniting a banana blaze!
- New mine buddies feature: reach certain levels in Treasure Dig to start visiting buddies’ mines. Buddies work together to speed up one another's digs.
- New mech gameplay: you can now use mechs in Train Rush, Operation Mutants, Champion Brawl, Primate Brawl, and delegated troops.
- New familiarity bonus with visits.
- New Gang polls: Officials may send messages to have members vote on different polls.
- New Lv. 8 resource spots: deplete these spots to get bonus Nu-Ape Capsules.
- New Impasse Trial rewards: added chapter 11 - Innovation with added Nu-Ape Capsule rewards.
- New research achievements: complete more research to get achievement rewards.
- New "Dig for Gold" mines: enter mines of various levels based on your event ranking. The higher the mine's level, the better its rewards.
- 60 new Banana Fight levels.
- 50 new Fortress Takeover levels.
- 3 new statues: Tiffany, Carina, and Derrick's talent statues.
- Moon Landing Festival events:
Space Odyssey: Use Lunar Passes and earn Meteor Fragments to get rewards!
Lunar Craters: a new level in Treasure Dig. Play to get amazing rewards!
- Planet Wars optimized: improved the tip shown when special zones open on Fire and Coral Stars.
- Gear Expedition optimized: updated troop configuration page to show gear progress.
- Trench Trials optimized: improved tips shown when using items for Trench Tirals on Coral Star and item status.
- March queues optimized: march and scout queues now have independent caps.
- Map ruins optimized: buildings in their protection period may be updated for extra Clan boosts.
- Battle reports optimized: troop loss details added to battle reports.</v>
      </c>
      <c r="D45" s="148" t="str">
        <f>IFERROR(__xludf.DUMMYFUNCTION("""COMPUTED_VALUE"""),"- Nouveaux types d'unités : nouvelles unités VI (Aciermotards, Secoueurs de Terre, Célestes, Réservoirs Infinis)- Limite du niveau de bâtiment augmentée : la limite de niveau pour l'Hôtel de ville, le Labo de recherche, l'Entrepôt, les Camps, a été augmen"&amp;"tée à Lv. 35 une fois que le serveur a été ouvert pendant un certain temps.
- Nouvelles quêtes liées au niveau de bâtiment, à la recherche et aux unités VI.
- Nouveau combattant : Felix, le Canonnier de siège. Un fanatique de la recherche et expert en exp"&amp;"losifs allumant une banane flamboyante!
- Nouvelle fonctionnalité de copains de mine : atteignez certains niveaux dans Creuser pour de l'Or pour commencer à visiter les mines des copains. Les copains travaillent ensemble pour accélérer les fouilles des un"&amp;"s et des autres.
- Nouveau gameplay de mécha : vous pouvez maintenant utiliser des méchas dans Course de trains, Opération mutants, Choc des champions, Baston des primates, et les troupes déléguées.
- Nouveau bonus de familiarité avec les visites.
- Nouve"&amp;"aux sondages de gang : Les officiels peuvent envoyer des messages pour que les membres votent sur différents sondages.
- Nouveaux spots de ressources Lv. 8 : épuisez ces spots pour obtenir des capsules de bonus Nu-Ape.
- Nouvelles récompenses d'essai d'im"&amp;"passe : ajouté le chapitre 11 - Innovation avec des récompenses de capsules Nu-Ape ajoutées.
- Nouveaux exploits de recherche : complétez plus de recherches pour obtenir des récompenses d'exploit.
- Nouvelles mines ""Creuser pour de l'Or"" : entrez dans d"&amp;"es mines de différents niveaux en fonction de votre classement d'événement. Plus le niveau de la mine est élevé, meilleures sont ses récompenses.
- 60 nouveaux niveaux de Banana Fight.
- 50 nouveaux niveaux d'Invasion de forteresse.
- 3 nouvelles statues "&amp;": les statues de talent de Tiffany, Carina et Derrick.
- Événements du Festival d'atterrissage sur la lune :
Odyssée spatiale : Utilisez des passes lunaires et gagnez des fragments de météorites pour obtenir des récompenses!
Cratères lunaires : un nouveau"&amp;" niveau dans Creuser pour de l'Or. Jouez pour obtenir des récompenses incroyables!
- Guerre planétaire optimisée : amélioration de l'astuce affichée lorsque les zones spéciales s'ouvrent sur Fire et Coral Stars.
- Expédition d'équipement optimisée : mise "&amp;"à jour de la page de configuration des troupes pour montrer la progression de l'équipement.
- Essais des Tranchées optimisés : amélioration des astuces affichées lors de l'utilisation d'objets pour les Essais des Tranchées sur Coral Star et le statut de l"&amp;"'objet.
- Bataillons optimisés : les bataillons et les files d'espionnage ont maintenant des limites indépendantes.
- Ruines de la carte optimisées : les bâtiments en période de protection peuvent être mis à jour pour des boosts de clan supplémentaires.
-"&amp;" Rapports de bataille optimisés : détails de la perte de troupes ajoutés aux rapports de bataille.")</f>
        <v>- Nouveaux types d'unités : nouvelles unités VI (Aciermotards, Secoueurs de Terre, Célestes, Réservoirs Infinis)- Limite du niveau de bâtiment augmentée : la limite de niveau pour l'Hôtel de ville, le Labo de recherche, l'Entrepôt, les Camps, a été augmentée à Lv. 35 une fois que le serveur a été ouvert pendant un certain temps.
- Nouvelles quêtes liées au niveau de bâtiment, à la recherche et aux unités VI.
- Nouveau combattant : Felix, le Canonnier de siège. Un fanatique de la recherche et expert en explosifs allumant une banane flamboyante!
- Nouvelle fonctionnalité de copains de mine : atteignez certains niveaux dans Creuser pour de l'Or pour commencer à visiter les mines des copains. Les copains travaillent ensemble pour accélérer les fouilles des uns et des autres.
- Nouveau gameplay de mécha : vous pouvez maintenant utiliser des méchas dans Course de trains, Opération mutants, Choc des champions, Baston des primates, et les troupes déléguées.
- Nouveau bonus de familiarité avec les visites.
- Nouveaux sondages de gang : Les officiels peuvent envoyer des messages pour que les membres votent sur différents sondages.
- Nouveaux spots de ressources Lv. 8 : épuisez ces spots pour obtenir des capsules de bonus Nu-Ape.
- Nouvelles récompenses d'essai d'impasse : ajouté le chapitre 11 - Innovation avec des récompenses de capsules Nu-Ape ajoutées.
- Nouveaux exploits de recherche : complétez plus de recherches pour obtenir des récompenses d'exploit.
- Nouvelles mines "Creuser pour de l'Or" : entrez dans des mines de différents niveaux en fonction de votre classement d'événement. Plus le niveau de la mine est élevé, meilleures sont ses récompenses.
- 60 nouveaux niveaux de Banana Fight.
- 50 nouveaux niveaux d'Invasion de forteresse.
- 3 nouvelles statues : les statues de talent de Tiffany, Carina et Derrick.
- Événements du Festival d'atterrissage sur la lune :
Odyssée spatiale : Utilisez des passes lunaires et gagnez des fragments de météorites pour obtenir des récompenses!
Cratères lunaires : un nouveau niveau dans Creuser pour de l'Or. Jouez pour obtenir des récompenses incroyables!
- Guerre planétaire optimisée : amélioration de l'astuce affichée lorsque les zones spéciales s'ouvrent sur Fire et Coral Stars.
- Expédition d'équipement optimisée : mise à jour de la page de configuration des troupes pour montrer la progression de l'équipement.
- Essais des Tranchées optimisés : amélioration des astuces affichées lors de l'utilisation d'objets pour les Essais des Tranchées sur Coral Star et le statut de l'objet.
- Bataillons optimisés : les bataillons et les files d'espionnage ont maintenant des limites indépendantes.
- Ruines de la carte optimisées : les bâtiments en période de protection peuvent être mis à jour pour des boosts de clan supplémentaires.
- Rapports de bataille optimisés : détails de la perte de troupes ajoutés aux rapports de bataille.</v>
      </c>
      <c r="E45" s="148" t="str">
        <f>IFERROR(__xludf.DUMMYFUNCTION("""COMPUTED_VALUE"""),"- Neue Einheitentypen: neue VI Einheiten (Stahlreiter, Erderschütterer, Himmelsdarsteller, Unendliche Panzer)- Gebäude-Level-Obergrenze erhöht: Die Level-Obergrenze für Rathaus, Forschungslabor, Lagerhaus, Lager, wurde auf Lv. 35 erhöht, sobald der Server"&amp;" für eine bestimmte Zeit geöffnet wurde.
- Neue Gebäudelevel-, Forschungs- und VI-Einheiten-bezogene Quests.
- Neuer Kämpfer: Felix, der Belagerungskanonier. Ein Forschungsfanatiker und Sprengstoffexperte entfacht eine Bananen-Blaze!
- Neue Minenfreunde-F"&amp;"unktion: Erreiche bestimmte Level in Schatzsuche, um die Minen von Freunden zu besuchen. Freunde arbeiten zusammen, um die Grabungen des anderen zu beschleunigen.
- Neues Mech-Gameplay: Du kannst jetzt Mechs in Zug-Rennen, Operation Mutanten, Champion-Sch"&amp;"lägerei, Primatenkrawall und delegierten Truppen verwenden.
- Neuer Vertrautheitsbonus bei Besuchen.
- Neue Gang-Umfragen: Beamte können Nachrichten senden, um Mitglieder über verschiedene Umfragen abstimmen zu lassen.
- Neue Lv. 8 Ressourcenstellen: Ersc"&amp;"höpfe diese Stellen, um Bonus Nu-Ape Kapseln zu erhalten.
- Neue Sackgassen-Prüfungsbelohnungen: Kapitel 11 - Innovation mit zusätzlichen Nu-Ape Kapsel Belohnungen hinzugefügt.
- Neue Forschungserfolge: Schließe mehr Forschung ab, um Erfolgsbelohnungen zu"&amp;" erhalten.
- Neue ""Grabe nach Gold"" Minen: Betrete Minen verschiedener Level basierend auf deiner Event-Rangliste. Je höher das Level der Mine, desto besser sind ihre Belohnungen.
- 60 neue Bananenkampf-Level.
- 50 neue Festungsübernahme-Level.
- 3 neue"&amp;" Statuen: Tiffany, Carina und Derricks Talentstatuen.
- Mondlandungsfestival-Events:
Weltraum-Odyssee: Verwende Mondpässe und verdiene Meteoritenfragmente, um Belohnungen zu erhalten!
Mondkrater: ein neues Level in Schatzsuche. Spiele, um tolle Belohnunge"&amp;"n zu bekommen!
- Planetenkriege optimiert: Verbesserte den Tipp, der angezeigt wird, wenn Spezialzonen auf Feuer- und Korallensternen geöffnet werden.
- Ausrüstungsexpedition optimiert: Aktualisierte Truppenkonfigurationsseite, um den Ausrüstungsfortschri"&amp;"tt anzuzeigen.
- Schützengraben-Prüfungen optimiert: Verbesserte Tipps, die angezeigt werden, wenn Gegenstände für Schützengraben-Prüfungen auf Korallenstern und Gegenstandsstatus verwendet werden.
- Marsch-Warteschlangen optimiert: Marsch- und Späh-Warte"&amp;"schlangen haben jetzt unabhängige Obergrenzen.
- Kartenruinen optimiert: Gebäude in ihrer Schutzperiode können aktualisiert werden, um zusätzliche Clan-Boosts zu erhalten.
- Kampfberichte optimiert: Details zum Truppenverlust wurden den Kampfberichten hin"&amp;"zugefügt.")</f>
        <v>- Neue Einheitentypen: neue VI Einheiten (Stahlreiter, Erderschütterer, Himmelsdarsteller, Unendliche Panzer)- Gebäude-Level-Obergrenze erhöht: Die Level-Obergrenze für Rathaus, Forschungslabor, Lagerhaus, Lager, wurde auf Lv. 35 erhöht, sobald der Server für eine bestimmte Zeit geöffnet wurde.
- Neue Gebäudelevel-, Forschungs- und VI-Einheiten-bezogene Quests.
- Neuer Kämpfer: Felix, der Belagerungskanonier. Ein Forschungsfanatiker und Sprengstoffexperte entfacht eine Bananen-Blaze!
- Neue Minenfreunde-Funktion: Erreiche bestimmte Level in Schatzsuche, um die Minen von Freunden zu besuchen. Freunde arbeiten zusammen, um die Grabungen des anderen zu beschleunigen.
- Neues Mech-Gameplay: Du kannst jetzt Mechs in Zug-Rennen, Operation Mutanten, Champion-Schlägerei, Primatenkrawall und delegierten Truppen verwenden.
- Neuer Vertrautheitsbonus bei Besuchen.
- Neue Gang-Umfragen: Beamte können Nachrichten senden, um Mitglieder über verschiedene Umfragen abstimmen zu lassen.
- Neue Lv. 8 Ressourcenstellen: Erschöpfe diese Stellen, um Bonus Nu-Ape Kapseln zu erhalten.
- Neue Sackgassen-Prüfungsbelohnungen: Kapitel 11 - Innovation mit zusätzlichen Nu-Ape Kapsel Belohnungen hinzugefügt.
- Neue Forschungserfolge: Schließe mehr Forschung ab, um Erfolgsbelohnungen zu erhalten.
- Neue "Grabe nach Gold" Minen: Betrete Minen verschiedener Level basierend auf deiner Event-Rangliste. Je höher das Level der Mine, desto besser sind ihre Belohnungen.
- 60 neue Bananenkampf-Level.
- 50 neue Festungsübernahme-Level.
- 3 neue Statuen: Tiffany, Carina und Derricks Talentstatuen.
- Mondlandungsfestival-Events:
Weltraum-Odyssee: Verwende Mondpässe und verdiene Meteoritenfragmente, um Belohnungen zu erhalten!
Mondkrater: ein neues Level in Schatzsuche. Spiele, um tolle Belohnungen zu bekommen!
- Planetenkriege optimiert: Verbesserte den Tipp, der angezeigt wird, wenn Spezialzonen auf Feuer- und Korallensternen geöffnet werden.
- Ausrüstungsexpedition optimiert: Aktualisierte Truppenkonfigurationsseite, um den Ausrüstungsfortschritt anzuzeigen.
- Schützengraben-Prüfungen optimiert: Verbesserte Tipps, die angezeigt werden, wenn Gegenstände für Schützengraben-Prüfungen auf Korallenstern und Gegenstandsstatus verwendet werden.
- Marsch-Warteschlangen optimiert: Marsch- und Späh-Warteschlangen haben jetzt unabhängige Obergrenzen.
- Kartenruinen optimiert: Gebäude in ihrer Schutzperiode können aktualisiert werden, um zusätzliche Clan-Boosts zu erhalten.
- Kampfberichte optimiert: Details zum Truppenverlust wurden den Kampfberichten hinzugefügt.</v>
      </c>
      <c r="F45" s="148" t="str">
        <f>IFERROR(__xludf.DUMMYFUNCTION("""COMPUTED_VALUE"""),"- Novos tipos de unidades: novas unidades VI (Aço Pilotos, Abaladores da Terra, Destruidores do Céu, Tanques Infinitos)- Limite de nível de construção aumentado: o limite de nível para a Prefeitura, Laboratório de Pesquisa, Depósito, Acampamentos, foi aum"&amp;"entado para Lv. 35 uma vez que o servidor esteja aberto por um certo tempo.
- Novo nível de construção, pesquisa e missões relacionadas às unidades VI.
- Novo combatente: Felix, o Atirador de Cerco. Um fanático por pesquisa e especialista em explosivos pr"&amp;"ovocando uma chama de banana!
- Nova funcionalidade de companheiros de mina: alcance certos níveis em Cavar por Tesouro para começar a visitar as minas dos companheiros. Os companheiros trabalham juntos para acelerar as escavações uns dos outros.
- Nova m"&amp;"ecânica de jogo com mechas: agora você pode usar mechas em Corrida do Trem, Operação Mutantes, Briga de Campeões, Briga Primata e tropas delegadas.
- Novo bônus de familiaridade com visitas.
- Novas enquetes de gangue: Os oficiais podem enviar mensagens p"&amp;"ara que os membros votem em diferentes enquetes.
- Novos pontos de recurso Lv. 8: esgote esses pontos para obter cápsulas Nu-Ape de bônus.
- Novas recompensas de Provas de Impasse: adicionado capítulo 11 - Inovação com recompensas adicionais de cápsulas N"&amp;"u-Ape.
- Novas conquistas de pesquisa: complete mais pesquisas para obter recompensas de conquista.
- Novas minas ""Cavar por Ouro"": entre em minas de vários níveis com base na sua classificação do evento. Quanto maior o nível da mina, melhores são as re"&amp;"compensas.
- 60 novos níveis de Banana Fight.
- 50 novos níveis de Conquista da Fortaleza.
- 3 novas estátuas: estátuas de talento de Tiffany, Carina e Derrick.
- Eventos do Festival de Pouso na Lua:
Odisséia Espacial: Use Passes Lunares e ganhe Fragmento"&amp;"s de Meteoros para obter recompensas!
Crateras Lunares: um novo nível em Cavar por Tesouro. Jogue para obter recompensas incríveis!
- Guerra Interplanetária otimizada: melhorou a dica mostrada quando as zonas especiais abrem em Fire e Coral Stars.
- Exped"&amp;"ição de Equipamento otimizada: página de configuração de tropas atualizada para mostrar o progresso do equipamento.
- Provas nas Trincheiras otimizadas: melhorou as dicas mostradas ao usar itens para Provas nas Trincheiras em Coral Star e status do item.
"&amp;"- Filas de marcha otimizadas: as filas de marcha e espionagem agora têm limites independentes.
- Ruínas do mapa otimizadas: os edifícios em seu período de proteção podem ser atualizados para boosts extras do Clã.
- Relatórios de batalha otimizados: detalh"&amp;"es da perda de tropas adicionados aos relatórios de batalha.")</f>
        <v>- Novos tipos de unidades: novas unidades VI (Aço Pilotos, Abaladores da Terra, Destruidores do Céu, Tanques Infinitos)- Limite de nível de construção aumentado: o limite de nível para a Prefeitura, Laboratório de Pesquisa, Depósito, Acampamentos, foi aumentado para Lv. 35 uma vez que o servidor esteja aberto por um certo tempo.
- Novo nível de construção, pesquisa e missões relacionadas às unidades VI.
- Novo combatente: Felix, o Atirador de Cerco. Um fanático por pesquisa e especialista em explosivos provocando uma chama de banana!
- Nova funcionalidade de companheiros de mina: alcance certos níveis em Cavar por Tesouro para começar a visitar as minas dos companheiros. Os companheiros trabalham juntos para acelerar as escavações uns dos outros.
- Nova mecânica de jogo com mechas: agora você pode usar mechas em Corrida do Trem, Operação Mutantes, Briga de Campeões, Briga Primata e tropas delegadas.
- Novo bônus de familiaridade com visitas.
- Novas enquetes de gangue: Os oficiais podem enviar mensagens para que os membros votem em diferentes enquetes.
- Novos pontos de recurso Lv. 8: esgote esses pontos para obter cápsulas Nu-Ape de bônus.
- Novas recompensas de Provas de Impasse: adicionado capítulo 11 - Inovação com recompensas adicionais de cápsulas Nu-Ape.
- Novas conquistas de pesquisa: complete mais pesquisas para obter recompensas de conquista.
- Novas minas "Cavar por Ouro": entre em minas de vários níveis com base na sua classificação do evento. Quanto maior o nível da mina, melhores são as recompensas.
- 60 novos níveis de Banana Fight.
- 50 novos níveis de Conquista da Fortaleza.
- 3 novas estátuas: estátuas de talento de Tiffany, Carina e Derrick.
- Eventos do Festival de Pouso na Lua:
Odisséia Espacial: Use Passes Lunares e ganhe Fragmentos de Meteoros para obter recompensas!
Crateras Lunares: um novo nível em Cavar por Tesouro. Jogue para obter recompensas incríveis!
- Guerra Interplanetária otimizada: melhorou a dica mostrada quando as zonas especiais abrem em Fire e Coral Stars.
- Expedição de Equipamento otimizada: página de configuração de tropas atualizada para mostrar o progresso do equipamento.
- Provas nas Trincheiras otimizadas: melhorou as dicas mostradas ao usar itens para Provas nas Trincheiras em Coral Star e status do item.
- Filas de marcha otimizadas: as filas de marcha e espionagem agora têm limites independentes.
- Ruínas do mapa otimizadas: os edifícios em seu período de proteção podem ser atualizados para boosts extras do Clã.
- Relatórios de batalha otimizados: detalhes da perda de tropas adicionados aos relatórios de batalha.</v>
      </c>
      <c r="G45" s="148" t="str">
        <f>IFERROR(__xludf.DUMMYFUNCTION("""COMPUTED_VALUE"""),"--新增兵種：全新兵種來襲！新增VI級兵種（鋼甲戰騎、震地者、破空者、永恒能量戰車）；--新增建造等級上限：基地、研究所、倉庫、兵營，均可在伺服器達到一定時間後，升級至35級；
--新增全新建造等級、科技、VI級兵種等相關任務；
--新增破城炮手-菲利克斯，沉迷科研的狂熱分子，引燃香蕉狂風的火藥專家！
--新增礦友系統：在地下探寶達到一定進度後，可以拜訪礦友的地鐵，礦友可以互相協作，共同加快挖掘進度。
--新增機甲玩法：現在指揮官可以在火車爭霸、圍剿變異猴、精英競技場、全能競技場、好友託管功能中使用機甲；"&amp;"
--新增好友親密度增益，增加拜訪功能；
--新增幫派投票郵件：幫派官員可以通過郵件讓成員們開始投票表決；
--新增8級資源點：8級資源點採空後可以獲得額外新猩膠囊獎勵；
--新增絕地試煉獎勵：新增章節11-極限突破，新增獎勵新猩膠囊；
--新增科技成就：進行更多科研，獲取更多科研成就獎勵！
--新增拓荒掘金礦洞等級：根據活動排名可以進入不同等級的礦洞，礦洞等級越高，獎勵越豐厚；
--新增香蕉大戰關卡：新增了60個新的關卡；
--新增堡壘對決關卡：新增了50個新的關卡；
--新增3個雕像：蒂芙尼、卡瑞娜、"&amp;"德里克的天賦雕像；
--新增登月節活動：
太空漫遊：使用月球通行證，獲取隕石碎片，即可獲取豐厚獎勵！
月球礦坑：全新地下探寶活動關卡，參與可獲得豐厚的獎勵！
--銀河戰爭優化：優化了火神星和珊瑚星的特別交戰區的開啟提示表現；
--軍備遠征優化：遠征派兵界面改版，顯示玩家軍備養成信息；
--深海試煉優化：優化了珊瑚星深海試煉的道具消耗、狀態提示表現；
--行軍佇列優化：行軍佇列和偵察佇列上限分開計算；
--大地圖遺跡優化：處於保護期的據點可進行升級，獲得額外的氏族強化效果；
--戰報優化：戰報中增加陣亡詳情"&amp;"。")</f>
        <v>--新增兵種：全新兵種來襲！新增VI級兵種（鋼甲戰騎、震地者、破空者、永恒能量戰車）；--新增建造等級上限：基地、研究所、倉庫、兵營，均可在伺服器達到一定時間後，升級至35級；
--新增全新建造等級、科技、VI級兵種等相關任務；
--新增破城炮手-菲利克斯，沉迷科研的狂熱分子，引燃香蕉狂風的火藥專家！
--新增礦友系統：在地下探寶達到一定進度後，可以拜訪礦友的地鐵，礦友可以互相協作，共同加快挖掘進度。
--新增機甲玩法：現在指揮官可以在火車爭霸、圍剿變異猴、精英競技場、全能競技場、好友託管功能中使用機甲；
--新增好友親密度增益，增加拜訪功能；
--新增幫派投票郵件：幫派官員可以通過郵件讓成員們開始投票表決；
--新增8級資源點：8級資源點採空後可以獲得額外新猩膠囊獎勵；
--新增絕地試煉獎勵：新增章節11-極限突破，新增獎勵新猩膠囊；
--新增科技成就：進行更多科研，獲取更多科研成就獎勵！
--新增拓荒掘金礦洞等級：根據活動排名可以進入不同等級的礦洞，礦洞等級越高，獎勵越豐厚；
--新增香蕉大戰關卡：新增了60個新的關卡；
--新增堡壘對決關卡：新增了50個新的關卡；
--新增3個雕像：蒂芙尼、卡瑞娜、德里克的天賦雕像；
--新增登月節活動：
太空漫遊：使用月球通行證，獲取隕石碎片，即可獲取豐厚獎勵！
月球礦坑：全新地下探寶活動關卡，參與可獲得豐厚的獎勵！
--銀河戰爭優化：優化了火神星和珊瑚星的特別交戰區的開啟提示表現；
--軍備遠征優化：遠征派兵界面改版，顯示玩家軍備養成信息；
--深海試煉優化：優化了珊瑚星深海試煉的道具消耗、狀態提示表現；
--行軍佇列優化：行軍佇列和偵察佇列上限分開計算；
--大地圖遺跡優化：處於保護期的據點可進行升級，獲得額外的氏族強化效果；
--戰報優化：戰報中增加陣亡詳情。</v>
      </c>
      <c r="H45" s="148" t="str">
        <f>IFERROR(__xludf.DUMMYFUNCTION("""COMPUTED_VALUE"""),"- Jenis unit baru: unit VI baru (Pengendara Baja, Pengguncang Bumi, Pemecah Langit, Tangki Tak Terbatas)- Batas level bangunan ditingkatkan: batas level untuk Balai Kota, Lab Penelitian, Warehouse, Kamp, telah ditingkatkan menjadi Lv. 35 setelah server di"&amp;"buka selama waktu tertentu.
- Misi baru terkait level bangunan, penelitian, dan unit VI.
- Pejuang Baru: Felix, Penembak Meriam Pengepungan. Seorang fanatik penelitian dan ahli peledak yang menyalakan api pisang!
- Fitur teman tambang baru: mencapai level"&amp;" tertentu dalam Membuka Penambangan Emas untuk mulai mengunjungi tambang teman. Teman bekerja sama untuk mempercepat penggalian satu sama lain.
- Gameplay mekanik baru: sekarang Anda dapat menggunakan mekanik dalam Hegemoni Kereta, Pengepungan Kera Mutan,"&amp;" Perkelahian Elite, Perkelahian Primata, dan pasukan yang didelegasikan.
- Bonus intimasi baru dengan kunjungan.
- Polling Geng baru: Pejabat dapat mengirim pesan untuk membuat anggota memberikan suara pada polling yang berbeda.
- Spot sumber daya Lv. 8 b"&amp;"aru: habiskan spot ini untuk mendapatkan bonus Kapsul Nu-Ape.
- Hadiah Uji Coba Impasse baru: ditambahkan Babak 11 - Inovasi dengan hadiah Kapsul Nu-Ape tambahan.
- Pencapaian penelitian baru: selesaikan lebih banyak penelitian untuk mendapatkan hadiah pe"&amp;"ncapaian.
- Tambang ""Membuka Penambangan Emas"" baru: masuk ke tambang berbagai level berdasarkan peringkat acara Anda. Semakin tinggi level tambang, semakin baik hadiahnya.
- 60 level Pertarungan Pisang baru.
- 50 level Penaklukan Benteng baru.
- 3 patu"&amp;"ng baru: patung bakat Tiffany, Carina, dan Derrick.
- Acara Festival Pendaratan Bulan:
Odyssey Luar Angkasa: Gunakan Lunar Passes dan dapatkan Meteor Fragments untuk mendapatkan hadiah!
Krater Bulan: level baru dalam Membuka Penambangan Emas. Mainkan untu"&amp;"k mendapatkan hadiah yang luar biasa!
- Perang Planet dioptimalkan: memperbaiki tips yang ditampilkan ketika zona khusus terbuka di Bintang Api dan Bintang Karang.
- Ekspedisi Perlengkapan dioptimalkan: halaman konfigurasi pasukan diperbarui untuk menunju"&amp;"kkan kemajuan perlengkapan.
- Uji Coba Parit dioptimalkan: memperbaiki tips yang ditampilkan saat menggunakan item untuk Uji Coba Parit di Bintang Karang dan status item.
- Antrean berbaris dioptimalkan: antrean berbaris dan intai sekarang memiliki batas "&amp;"independen.
- Peta reruntuhan dioptimalkan: bangunan dalam periode perlindungan mereka dapat diperbarui untuk peningkatan Klan ekstra.
- Laporan pertempuran dioptimalkan: detail kerugian pasukan ditambahkan ke laporan pertempuran.")</f>
        <v>- Jenis unit baru: unit VI baru (Pengendara Baja, Pengguncang Bumi, Pemecah Langit, Tangki Tak Terbatas)- Batas level bangunan ditingkatkan: batas level untuk Balai Kota, Lab Penelitian, Warehouse, Kamp, telah ditingkatkan menjadi Lv. 35 setelah server dibuka selama waktu tertentu.
- Misi baru terkait level bangunan, penelitian, dan unit VI.
- Pejuang Baru: Felix, Penembak Meriam Pengepungan. Seorang fanatik penelitian dan ahli peledak yang menyalakan api pisang!
- Fitur teman tambang baru: mencapai level tertentu dalam Membuka Penambangan Emas untuk mulai mengunjungi tambang teman. Teman bekerja sama untuk mempercepat penggalian satu sama lain.
- Gameplay mekanik baru: sekarang Anda dapat menggunakan mekanik dalam Hegemoni Kereta, Pengepungan Kera Mutan, Perkelahian Elite, Perkelahian Primata, dan pasukan yang didelegasikan.
- Bonus intimasi baru dengan kunjungan.
- Polling Geng baru: Pejabat dapat mengirim pesan untuk membuat anggota memberikan suara pada polling yang berbeda.
- Spot sumber daya Lv. 8 baru: habiskan spot ini untuk mendapatkan bonus Kapsul Nu-Ape.
- Hadiah Uji Coba Impasse baru: ditambahkan Babak 11 - Inovasi dengan hadiah Kapsul Nu-Ape tambahan.
- Pencapaian penelitian baru: selesaikan lebih banyak penelitian untuk mendapatkan hadiah pencapaian.
- Tambang "Membuka Penambangan Emas" baru: masuk ke tambang berbagai level berdasarkan peringkat acara Anda. Semakin tinggi level tambang, semakin baik hadiahnya.
- 60 level Pertarungan Pisang baru.
- 50 level Penaklukan Benteng baru.
- 3 patung baru: patung bakat Tiffany, Carina, dan Derrick.
- Acara Festival Pendaratan Bulan:
Odyssey Luar Angkasa: Gunakan Lunar Passes dan dapatkan Meteor Fragments untuk mendapatkan hadiah!
Krater Bulan: level baru dalam Membuka Penambangan Emas. Mainkan untuk mendapatkan hadiah yang luar biasa!
- Perang Planet dioptimalkan: memperbaiki tips yang ditampilkan ketika zona khusus terbuka di Bintang Api dan Bintang Karang.
- Ekspedisi Perlengkapan dioptimalkan: halaman konfigurasi pasukan diperbarui untuk menunjukkan kemajuan perlengkapan.
- Uji Coba Parit dioptimalkan: memperbaiki tips yang ditampilkan saat menggunakan item untuk Uji Coba Parit di Bintang Karang dan status item.
- Antrean berbaris dioptimalkan: antrean berbaris dan intai sekarang memiliki batas independen.
- Peta reruntuhan dioptimalkan: bangunan dalam periode perlindungan mereka dapat diperbarui untuk peningkatan Klan ekstra.
- Laporan pertempuran dioptimalkan: detail kerugian pasukan ditambahkan ke laporan pertempuran.</v>
      </c>
      <c r="I45" s="148" t="str">
        <f>IFERROR(__xludf.DUMMYFUNCTION("""COMPUTED_VALUE"""),"- ประเภทหน่วยใหม่: หน่วย VI ใหม่ (นักซิ่งเหล็ก, ผู้สะเทือนแผ่นดิน, ท้องฟ้าที่ถูกแยกส่วน, ถังอนันต์)- เพิ่มขีดจำกัดเลเวลของสิ่งก่อสร้าง: ขีดจำกัดเลเวลสำหรับศาลากลางเมือง, ห้องวิจัย, โกดัง, ค่าย, ถูกเพิ่มเป็น Lv. 35 เมื่อเซิร์ฟเวอร์เปิดมาเป็นระยะเวลาที่กำหน"&amp;"ด
- เควสต์ที่เกี่ยวข้องกับเลเวลสิ่งก่อสร้างใหม่, การวิจัย, และหน่วย VI ใหม่
- นักสู้ตัวใหม่: Felix, นักยิงปืนที่ตีเมือง นักวิจัยที่หลงไหลและผู้เชี่ยวชาญด้านวัตถุระเบิดกำลังจุดระเบิดเบลซ์กล้วย!
- คุณสมบัติเพื่อนในเหมืองใหม่: ถึงเลเวลที่กำหนดในการขุดเจาะและ"&amp;"หาทองเพื่อเริ่มเยี่ยมเหมืองของเพื่อน พวกเขาทำงานร่วมกันเพื่อเร่งการขุดของกันและกัน
- การเล่นเกมเมคใหม่: คุณสามารถใช้เมคในรถไฟประลองความเร็ว, ปฏิบัติการตัวกลายพันธุ์, อารีน่าอีลิท, การวิวาทของเหล่าวานร, และกองทหารที่ได้รับมอบหมาย
- โบนัสความสนิทสนมใหม่ด้วย"&amp;"การเยี่ยมชม
- โพลล์แก๊งค์ใหม่: ผู้ดำเนินการอาจส่งข้อความเพื่อให้สมาชิกลงคะแนนในโพลล์ที่แตกต่างกัน
- จุดทรัพยากร Lv. 8 ใหม่: ทำลายจุดเหล่านี้เพื่อรับ Nu-Ape Capsules โบนัส
- รางวัลการทดสอบ Impasse ใหม่: เพิ่มบทที่ 11 - นวัตกรรมพร้อมรางวัล Nu-Ape Capsule ที"&amp;"่เพิ่มเติม
- ความสำเร็จในการวิจัยใหม่: ทำการวิจัยเพิ่มเติมเพื่อรับรางวัลผลงาน
- เหมือง ""ขุดเจาะและหาทอง"" ใหม่: เข้าเหมืองของระดับต่างๆ ตามอันดับกิจกรรมของคุณ ระดับเหมืองที่สูงขึ้น, รางวัลที่ดีขึ้น
- 60 ระดับ Banana Fight ใหม่
- 50 ระดับการยึดป้อมปราการใ"&amp;"หม่
- 3 รูปปั้นใหม่: รูปปั้นความสามารถของ Tiffany, Carina, และ Derrick
- กิจกรรมเทศกาลการลงจอดบนดวงจันทร์:
Space Odyssey: ใช้ Lunar Passes และได้รับ Meteor Fragments เพื่อรับรางวัล!
Lunar Craters: ระดับใหม่ในการขุดเจาะและหาทอง เล่นเพื่อรับรางวัลที่น่าทึ่ง"&amp;"!
- สงครามดาวเคราะห์ถูกปรับปรุง: ปรับปรุงเคล็ดลับที่แสดงเมื่อพื้นที่พิเศษเปิดบน Fire และ Coral Stars
- การสำรวจอุปกรณ์ถูกปรับปรุง: อัปเดตหน้าการกำหนดกองทหารเพื่อแสดงความคืบหน้าของอุปกรณ์
- การทดสอบคุกขุนถูกปรับปรุง: ปรับปรุงเคล็ดลับที่แสดงเมื่อใช้ไอเทมสำห"&amp;"รับการทดสอบคุกขุนบน Coral Star และสถานะไอเทม
- คิวการเดินทัพถูกปรับปรุง: คิวการเดินทัพและสอดแนมตอนนี้มีขีดจำกัดที่เป็นอิสระ
- โบราณสถานบนแผนที่ถูกปรับปรุง: สิ่งก่อสร้างในช่วงป้องกันอาจได้รับการอัปเดตเพื่อเพิ่มบูสต์ของฝูง
- รายงานการต่อสู้ถูกปรับปรุง: เพิ่"&amp;"มรายละเอียดการสูญเสียกองทหารเข้าไปในรายงานการต่อสู้")</f>
        <v>- ประเภทหน่วยใหม่: หน่วย VI ใหม่ (นักซิ่งเหล็ก, ผู้สะเทือนแผ่นดิน, ท้องฟ้าที่ถูกแยกส่วน, ถังอนันต์)- เพิ่มขีดจำกัดเลเวลของสิ่งก่อสร้าง: ขีดจำกัดเลเวลสำหรับศาลากลางเมือง, ห้องวิจัย, โกดัง, ค่าย, ถูกเพิ่มเป็น Lv. 35 เมื่อเซิร์ฟเวอร์เปิดมาเป็นระยะเวลาที่กำหนด
- เควสต์ที่เกี่ยวข้องกับเลเวลสิ่งก่อสร้างใหม่, การวิจัย, และหน่วย VI ใหม่
- นักสู้ตัวใหม่: Felix, นักยิงปืนที่ตีเมือง นักวิจัยที่หลงไหลและผู้เชี่ยวชาญด้านวัตถุระเบิดกำลังจุดระเบิดเบลซ์กล้วย!
- คุณสมบัติเพื่อนในเหมืองใหม่: ถึงเลเวลที่กำหนดในการขุดเจาะและหาทองเพื่อเริ่มเยี่ยมเหมืองของเพื่อน พวกเขาทำงานร่วมกันเพื่อเร่งการขุดของกันและกัน
- การเล่นเกมเมคใหม่: คุณสามารถใช้เมคในรถไฟประลองความเร็ว, ปฏิบัติการตัวกลายพันธุ์, อารีน่าอีลิท, การวิวาทของเหล่าวานร, และกองทหารที่ได้รับมอบหมาย
- โบนัสความสนิทสนมใหม่ด้วยการเยี่ยมชม
- โพลล์แก๊งค์ใหม่: ผู้ดำเนินการอาจส่งข้อความเพื่อให้สมาชิกลงคะแนนในโพลล์ที่แตกต่างกัน
- จุดทรัพยากร Lv. 8 ใหม่: ทำลายจุดเหล่านี้เพื่อรับ Nu-Ape Capsules โบนัส
- รางวัลการทดสอบ Impasse ใหม่: เพิ่มบทที่ 11 - นวัตกรรมพร้อมรางวัล Nu-Ape Capsule ที่เพิ่มเติม
- ความสำเร็จในการวิจัยใหม่: ทำการวิจัยเพิ่มเติมเพื่อรับรางวัลผลงาน
- เหมือง "ขุดเจาะและหาทอง" ใหม่: เข้าเหมืองของระดับต่างๆ ตามอันดับกิจกรรมของคุณ ระดับเหมืองที่สูงขึ้น, รางวัลที่ดีขึ้น
- 60 ระดับ Banana Fight ใหม่
- 50 ระดับการยึดป้อมปราการใหม่
- 3 รูปปั้นใหม่: รูปปั้นความสามารถของ Tiffany, Carina, และ Derrick
- กิจกรรมเทศกาลการลงจอดบนดวงจันทร์:
Space Odyssey: ใช้ Lunar Passes และได้รับ Meteor Fragments เพื่อรับรางวัล!
Lunar Craters: ระดับใหม่ในการขุดเจาะและหาทอง เล่นเพื่อรับรางวัลที่น่าทึ่ง!
- สงครามดาวเคราะห์ถูกปรับปรุง: ปรับปรุงเคล็ดลับที่แสดงเมื่อพื้นที่พิเศษเปิดบน Fire และ Coral Stars
- การสำรวจอุปกรณ์ถูกปรับปรุง: อัปเดตหน้าการกำหนดกองทหารเพื่อแสดงความคืบหน้าของอุปกรณ์
- การทดสอบคุกขุนถูกปรับปรุง: ปรับปรุงเคล็ดลับที่แสดงเมื่อใช้ไอเทมสำหรับการทดสอบคุกขุนบน Coral Star และสถานะไอเทม
- คิวการเดินทัพถูกปรับปรุง: คิวการเดินทัพและสอดแนมตอนนี้มีขีดจำกัดที่เป็นอิสระ
- โบราณสถานบนแผนที่ถูกปรับปรุง: สิ่งก่อสร้างในช่วงป้องกันอาจได้รับการอัปเดตเพื่อเพิ่มบูสต์ของฝูง
- รายงานการต่อสู้ถูกปรับปรุง: เพิ่มรายละเอียดการสูญเสียกองทหารเข้าไปในรายงานการต่อสู้</v>
      </c>
      <c r="J45" s="148" t="str">
        <f>IFERROR(__xludf.DUMMYFUNCTION("""COMPUTED_VALUE"""),"- Nuevos tipos de unidades: nuevas unidades VI (Jinetes de Acero, Sacudidores de Tierra, Desgarradores del Cielo, Tanques Infinitos)- Límite de nivel de edificio aumentado: el límite de nivel para el Ayuntamiento, Laboratorio de Investigación, Almacén, Ca"&amp;"mpamentos, se ha aumentado a Lv. 35 una vez que el servidor ha estado abierto durante un cierto tiempo.
- Nuevas misiones relacionadas con el nivel de edificio, investigación y unidades VI.
- Nuevo Luchador: Felix, el Artillero de Asedio. ¡Un fanático de "&amp;"la investigación y experto en explosivos encendiendo una llamarada de banana!
- Nueva función de compañeros de mina: alcanza ciertos niveles en Cavar en busca de Tesoro para comenzar a visitar las minas de los compañeros. Los compañeros trabajan juntos pa"&amp;"ra acelerar las excavaciones de los demás.
- Nueva forma de juego con mecas: ahora puedes usar mecas en Carrera del Tren, Operación Mutantes, Pelea de Campeones, Pelea de Primates y tropas delegadas.
- Nuevo bono de familiaridad con visitas.
- Nuevas encu"&amp;"estas de Banda: Los oficiales pueden enviar mensajes para que los miembros voten en diferentes encuestas.
- Nuevos puntos de recursos de Lv. 8: agota estos puntos para obtener cápsulas de bonificación Nu-Ape.
- Nuevas recompensas de Pruebas de Impasse: se"&amp;" agregó el capítulo 11 - Innovación con recompensas adicionales de Cápsulas Nu-Ape.
- Nuevos logros de investigación: completa más investigaciones para obtener recompensas por logros.
- Nuevas minas ""Cavar en busca de Oro"": ingresa a minas de varios niv"&amp;"eles según tu clasificación de evento. Cuanto mayor sea el nivel de la mina, mejores serán sus recompensas.
- 60 nuevos niveles de Pelea de Banana.
- 50 nuevos niveles de Toma de la Fortaleza.
- 3 nuevas estatuas: las estatuas de talento de Tiffany, Carin"&amp;"a y Derrick.
- Eventos del Festival de Aterrizaje en la Luna:
Odisea Espacial: ¡Usa Pases Lunares y gana Fragmentos de Meteorito para obtener recompensas!
Cráteres Lunares: un nuevo nivel en Cavar en busca de Tesoro. ¡Juega para obtener increíbles recompe"&amp;"nsas!
- Guerras Planetarias optimizadas: mejorado el consejo mostrado cuando se abren zonas especiales en Estrella de Fuego y Estrella de Coral.
- Expedición de Equipo optimizada: página de configuración de tropas actualizada para mostrar el progreso del "&amp;"equipo.
- Pruebas de Trincheras optimizadas: mejorados los consejos mostrados al usar objetos para las Pruebas de Trincheras en Estrella de Coral y estado del objeto.
- Filas de Marcha optimizadas: las filas de marcha y reconocimiento ahora tienen límites"&amp;" independientes.
- Ruinas del mapa optimizadas: los edificios en su período de protección pueden ser actualizados para obtener potenciadores extra de Clan.
- Informes de batalla optimizados: detalles de pérdida de tropas añadidos a los informes de batalla"&amp;".")</f>
        <v>- Nuevos tipos de unidades: nuevas unidades VI (Jinetes de Acero, Sacudidores de Tierra, Desgarradores del Cielo, Tanques Infinitos)- Límite de nivel de edificio aumentado: el límite de nivel para el Ayuntamiento, Laboratorio de Investigación, Almacén, Campamentos, se ha aumentado a Lv. 35 una vez que el servidor ha estado abierto durante un cierto tiempo.
- Nuevas misiones relacionadas con el nivel de edificio, investigación y unidades VI.
- Nuevo Luchador: Felix, el Artillero de Asedio. ¡Un fanático de la investigación y experto en explosivos encendiendo una llamarada de banana!
- Nueva función de compañeros de mina: alcanza ciertos niveles en Cavar en busca de Tesoro para comenzar a visitar las minas de los compañeros. Los compañeros trabajan juntos para acelerar las excavaciones de los demás.
- Nueva forma de juego con mecas: ahora puedes usar mecas en Carrera del Tren, Operación Mutantes, Pelea de Campeones, Pelea de Primates y tropas delegadas.
- Nuevo bono de familiaridad con visitas.
- Nuevas encuestas de Banda: Los oficiales pueden enviar mensajes para que los miembros voten en diferentes encuestas.
- Nuevos puntos de recursos de Lv. 8: agota estos puntos para obtener cápsulas de bonificación Nu-Ape.
- Nuevas recompensas de Pruebas de Impasse: se agregó el capítulo 11 - Innovación con recompensas adicionales de Cápsulas Nu-Ape.
- Nuevos logros de investigación: completa más investigaciones para obtener recompensas por logros.
- Nuevas minas "Cavar en busca de Oro": ingresa a minas de varios niveles según tu clasificación de evento. Cuanto mayor sea el nivel de la mina, mejores serán sus recompensas.
- 60 nuevos niveles de Pelea de Banana.
- 50 nuevos niveles de Toma de la Fortaleza.
- 3 nuevas estatuas: las estatuas de talento de Tiffany, Carina y Derrick.
- Eventos del Festival de Aterrizaje en la Luna:
Odisea Espacial: ¡Usa Pases Lunares y gana Fragmentos de Meteorito para obtener recompensas!
Cráteres Lunares: un nuevo nivel en Cavar en busca de Tesoro. ¡Juega para obtener increíbles recompensas!
- Guerras Planetarias optimizadas: mejorado el consejo mostrado cuando se abren zonas especiales en Estrella de Fuego y Estrella de Coral.
- Expedición de Equipo optimizada: página de configuración de tropas actualizada para mostrar el progreso del equipo.
- Pruebas de Trincheras optimizadas: mejorados los consejos mostrados al usar objetos para las Pruebas de Trincheras en Estrella de Coral y estado del objeto.
- Filas de Marcha optimizadas: las filas de marcha y reconocimiento ahora tienen límites independientes.
- Ruinas del mapa optimizadas: los edificios en su período de protección pueden ser actualizados para obtener potenciadores extra de Clan.
- Informes de batalla optimizados: detalles de pérdida de tropas añadidos a los informes de batalla.</v>
      </c>
      <c r="K45" s="148" t="str">
        <f>IFERROR(__xludf.DUMMYFUNCTION("""COMPUTED_VALUE"""),"- Новые типы отрядов: новые отряды VI ранга (Стальные всадники, Трясущие Землю, Небесные Разрушители, Бесконечные Танки)- Повышен максимальный уровень постройки: максимальный уровень для Городского совета, Лаборатории, Склада, Лагерей, был повышен до 35 у"&amp;"ровня после того, как сервер был открыт в течение определенного времени.
- Новые задания, связанные с уровнем зданий, исследованиями и отрядами VI ранга.
- Новый герой: Феликс, Осадный стрелок. Фанат исследований и эксперт по взрывчатке, зажигающий банано"&amp;"вое пламя!
- Новая функция друзей в шахтах: достигните определенных уровней в Копании за сокровищами, чтобы начать посещать шахты друзей. Друзья работают вместе, чтобы ускорить копание друг друга.
- Новый геймплей с мехами: теперь вы можете использовать м"&amp;"ехов в Гонках поездов, Операции «Мутанты», Потасовке чемпионов, Потасовке приматов и делегированных войсках.
- Новый бонус знакомства при визитах.
- Новые опросы Банды: Официальные лица могут отправлять сообщения, чтобы члены голосовали в различных опроса"&amp;"х.
- Новые ресурсные точки 8 уровня: исчерпайте эти точки, чтобы получить бонусные капсулы Nu-Ape.
- Новые награды за Испытания в тупике: добавлена глава 11 - Инновации с добавленными наградами в виде капсул Nu-Ape.
- Новые достижения в исследованиях: про"&amp;"ведите больше исследований, чтобы получить награды за достижения.
- Новые шахты ""Копать за Золотом"": входите в шахты различных уровней в зависимости от вашего рейтинга события. Чем выше уровень шахты, тем лучше ее награды.
- 60 новых уровней Банановой б"&amp;"итвы.
- 50 новых уровней Захвата крепости.
- 3 новые статуи: статуи талантов Тиффани, Карины и Деррека.
- События фестиваля Лунной посадки:
Космическая одиссея: используйте Лунные пропуски и зарабатывайте Метеоритные фрагменты, чтобы получить награды!
Лун"&amp;"ные кратеры: новый уровень в Копании за сокровищами. Играйте, чтобы получить удивительные награды!
- Планетарные войны оптимизированы: улучшен совет, показываемый при открытии особых зон на Огненных и Коралловых Звездах.
- Экспедиция за снаряжением оптими"&amp;"зирована: обновлена страница конфигурации войск, чтобы показать прогресс снаряжения.
- Испытания в траншеях оптимизированы: улучшены советы, показываемые при использовании предметов для Испытаний в траншеях на Коралловой Звезде и статусе предмета.
- Очере"&amp;"ди марша оптимизированы: очереди марша и разведки теперь имеют независимые ограничения.
- Руины на карте оптимизированы: здания в периоде защиты могут быть обновлены для дополнительных усилений Клана.
- Отчеты о боях оптимизированы: в отчеты о боях добавл"&amp;"ены детали о потерях войск.")</f>
        <v>- Новые типы отрядов: новые отряды VI ранга (Стальные всадники, Трясущие Землю, Небесные Разрушители, Бесконечные Танки)- Повышен максимальный уровень постройки: максимальный уровень для Городского совета, Лаборатории, Склада, Лагерей, был повышен до 35 уровня после того, как сервер был открыт в течение определенного времени.
- Новые задания, связанные с уровнем зданий, исследованиями и отрядами VI ранга.
- Новый герой: Феликс, Осадный стрелок. Фанат исследований и эксперт по взрывчатке, зажигающий банановое пламя!
- Новая функция друзей в шахтах: достигните определенных уровней в Копании за сокровищами, чтобы начать посещать шахты друзей. Друзья работают вместе, чтобы ускорить копание друг друга.
- Новый геймплей с мехами: теперь вы можете использовать мехов в Гонках поездов, Операции «Мутанты», Потасовке чемпионов, Потасовке приматов и делегированных войсках.
- Новый бонус знакомства при визитах.
- Новые опросы Банды: Официальные лица могут отправлять сообщения, чтобы члены голосовали в различных опросах.
- Новые ресурсные точки 8 уровня: исчерпайте эти точки, чтобы получить бонусные капсулы Nu-Ape.
- Новые награды за Испытания в тупике: добавлена глава 11 - Инновации с добавленными наградами в виде капсул Nu-Ape.
- Новые достижения в исследованиях: проведите больше исследований, чтобы получить награды за достижения.
- Новые шахты "Копать за Золотом": входите в шахты различных уровней в зависимости от вашего рейтинга события. Чем выше уровень шахты, тем лучше ее награды.
- 60 новых уровней Банановой битвы.
- 50 новых уровней Захвата крепости.
- 3 новые статуи: статуи талантов Тиффани, Карины и Деррека.
- События фестиваля Лунной посадки:
Космическая одиссея: используйте Лунные пропуски и зарабатывайте Метеоритные фрагменты, чтобы получить награды!
Лунные кратеры: новый уровень в Копании за сокровищами. Играйте, чтобы получить удивительные награды!
- Планетарные войны оптимизированы: улучшен совет, показываемый при открытии особых зон на Огненных и Коралловых Звездах.
- Экспедиция за снаряжением оптимизирована: обновлена страница конфигурации войск, чтобы показать прогресс снаряжения.
- Испытания в траншеях оптимизированы: улучшены советы, показываемые при использовании предметов для Испытаний в траншеях на Коралловой Звезде и статусе предмета.
- Очереди марша оптимизированы: очереди марша и разведки теперь имеют независимые ограничения.
- Руины на карте оптимизированы: здания в периоде защиты могут быть обновлены для дополнительных усилений Клана.
- Отчеты о боях оптимизированы: в отчеты о боях добавлены детали о потерях войск.</v>
      </c>
      <c r="L45" s="148" t="str">
        <f>IFERROR(__xludf.DUMMYFUNCTION("""COMPUTED_VALUE"""),"- Yeni birim türleri: yeni VI birimler (Çelikbiniciler, Yer Sarsıcılar, Gökyüzü Yaratıcıları, Sonsuz Tanklar)- Bina seviye sınırı yükseltildi: Meclis, Araştırma Laboratuvarı, Depo, Kamplar için seviye sınırı, sunucu belirli bir süre açık kaldıktan sonra L"&amp;"v. 35'e yükseltildi.
- Yeni bina seviyesi, araştırma ve VI birimleri ile ilgili görevler.
- Yeni Savaşçı: Kuşatma Silahşörü Felix. Bir araştırma fanatiği ve patlayıcı uzmanı bir muz alevi ateşliyor!
- Yeni maden arkadaşları özelliği: Hazine Kazısında beli"&amp;"rli seviyelere ulaşarak arkadaşlarınızın madenlerini ziyaret etmeye başlayın. Arkadaşlar birbirlerinin kazılarını hızlandırmak için birlikte çalışır.
- Yeni meka oynanışı: Artık mekaları Trene Hücum, Mutant Operasyonu, Şampiyonlar Kavgası, Primat Kavgası "&amp;"ve delege edilmiş birliklerde kullanabilirsiniz.
- Ziyaretlerle yeni yakınlık bonusu.
- Yeni Çete anketleri: Yetkililer, üyelerin farklı anketlerde oy kullanmaları için mesaj gönderebilir.
- Yeni Lv. 8 kaynak noktaları: bu noktaları tüketin ve bonus Nu-Ap"&amp;"e Kapsülleri alın.
- Yeni Çıkmaz Deneme ödülleri: Bölüm 11 - Nu-Ape Kapsül ödülleri eklenmiş İnovasyon eklendi.
- Yeni araştırma başarıları: daha fazla araştırma tamamlayın ve başarı ödülleri alın.
- Yeni ""Kazma ile Altın ara"" madenleri: etkinlik sırala"&amp;"manıza dayalı olarak çeşitli seviyelerdeki madenlere girin. Madenin seviyesi ne kadar yüksekse, ödülleri o kadar iyi olur.
- 60 yeni Muz Dövüşü seviyesi.
- 50 yeni Kaleyi Ele Geçirme seviyesi.
- 3 yeni heykel: Tiffany, Carina ve Derrick'in yetenek heykell"&amp;"eri.
- Ay İniş Festivali etkinlikleri:
Uzay Odysseia: Ay Geçişlerini kullanın ve Meteor Parçaları kazanın ve ödüller alın!
Ay Kraterleri: Hazine Kazısında yeni bir seviye. Oynayın ve harika ödüller alın!
- Gezegen Savaşları optimize edildi: Ateş ve Mercan"&amp;" Yıldızları'nda özel bölgeler açıldığında gösterilen ipucu iyileştirildi.
- Aksesuar Seferi optimize edildi: birlik konfigürasyon sayfası aksesuar ilerlemesini göstermek üzere güncellendi.
- Siper Denemeleri optimize edildi: Mercan Yıldızı'nda Siper Denem"&amp;"eleri için eşya kullanırken gösterilen ipuçları iyileştirildi ve eşya durumu.
- Sefer sıraları optimize edildi: sefer ve gözcü sıraları artık bağımsız sınırlara sahip.
- Harita harabeleri optimize edildi: koruma süresindeki binalar ekstra Klan güçlendirme"&amp;"leri için güncellenebilir.
- Savaş raporları optimize edildi: asker kaybı detayları savaş raporlarına eklendi.")</f>
        <v>- Yeni birim türleri: yeni VI birimler (Çelikbiniciler, Yer Sarsıcılar, Gökyüzü Yaratıcıları, Sonsuz Tanklar)- Bina seviye sınırı yükseltildi: Meclis, Araştırma Laboratuvarı, Depo, Kamplar için seviye sınırı, sunucu belirli bir süre açık kaldıktan sonra Lv. 35'e yükseltildi.
- Yeni bina seviyesi, araştırma ve VI birimleri ile ilgili görevler.
- Yeni Savaşçı: Kuşatma Silahşörü Felix. Bir araştırma fanatiği ve patlayıcı uzmanı bir muz alevi ateşliyor!
- Yeni maden arkadaşları özelliği: Hazine Kazısında belirli seviyelere ulaşarak arkadaşlarınızın madenlerini ziyaret etmeye başlayın. Arkadaşlar birbirlerinin kazılarını hızlandırmak için birlikte çalışır.
- Yeni meka oynanışı: Artık mekaları Trene Hücum, Mutant Operasyonu, Şampiyonlar Kavgası, Primat Kavgası ve delege edilmiş birliklerde kullanabilirsiniz.
- Ziyaretlerle yeni yakınlık bonusu.
- Yeni Çete anketleri: Yetkililer, üyelerin farklı anketlerde oy kullanmaları için mesaj gönderebilir.
- Yeni Lv. 8 kaynak noktaları: bu noktaları tüketin ve bonus Nu-Ape Kapsülleri alın.
- Yeni Çıkmaz Deneme ödülleri: Bölüm 11 - Nu-Ape Kapsül ödülleri eklenmiş İnovasyon eklendi.
- Yeni araştırma başarıları: daha fazla araştırma tamamlayın ve başarı ödülleri alın.
- Yeni "Kazma ile Altın ara" madenleri: etkinlik sıralamanıza dayalı olarak çeşitli seviyelerdeki madenlere girin. Madenin seviyesi ne kadar yüksekse, ödülleri o kadar iyi olur.
- 60 yeni Muz Dövüşü seviyesi.
- 50 yeni Kaleyi Ele Geçirme seviyesi.
- 3 yeni heykel: Tiffany, Carina ve Derrick'in yetenek heykelleri.
- Ay İniş Festivali etkinlikleri:
Uzay Odysseia: Ay Geçişlerini kullanın ve Meteor Parçaları kazanın ve ödüller alın!
Ay Kraterleri: Hazine Kazısında yeni bir seviye. Oynayın ve harika ödüller alın!
- Gezegen Savaşları optimize edildi: Ateş ve Mercan Yıldızları'nda özel bölgeler açıldığında gösterilen ipucu iyileştirildi.
- Aksesuar Seferi optimize edildi: birlik konfigürasyon sayfası aksesuar ilerlemesini göstermek üzere güncellendi.
- Siper Denemeleri optimize edildi: Mercan Yıldızı'nda Siper Denemeleri için eşya kullanırken gösterilen ipuçları iyileştirildi ve eşya durumu.
- Sefer sıraları optimize edildi: sefer ve gözcü sıraları artık bağımsız sınırlara sahip.
- Harita harabeleri optimize edildi: koruma süresindeki binalar ekstra Klan güçlendirmeleri için güncellenebilir.
- Savaş raporları optimize edildi: asker kaybı detayları savaş raporlarına eklendi.</v>
      </c>
      <c r="M45" s="148" t="str">
        <f>IFERROR(__xludf.DUMMYFUNCTION("""COMPUTED_VALUE"""),"- Các loại đơn vị mới: đơn vị VI mới (Kỵ Sĩ Thép, Kẻ Rung Chuyển Trái Đất, Chế Ngự Bầu Trời, Xe Tăng Vô Tận)- Giới hạn cấp độ công trình đã được nâng lên: giới hạn cấp độ cho Tòa Thị Chính, Phòng Thí Nghiệm Nghiên Cứu, Nhà Kho, Trại, đã được nâng lên đến "&amp;"Lv. 35 sau một thời gian máy chủ được mở.
- Nhiệm vụ liên quan đến cấp độ công trình mới, nghiên cứu, và đơn vị VI mới.
- Chiến Binh Mới: Felix, người súng bắn pháo. Một người cuồng nghiên cứu và chuyên gia vụ nổ đang đốt cháy một trận lửa chuối!
- Tính n"&amp;"ăng bạn đồng hành mỏ mới: đạt đến một số cấp độ trong Khai hoang đào vàng để bắt đầu thăm mỏ của bạn bè. Bạn bè cùng nhau làm việc để tăng tốc độ đào của nhau.
- Trò chơi cơ khí mới: bạn giờ đây có thể sử dụng cơ khí trong Xe Lửa Tranh Bá, Vây Quét Khỉ Độ"&amp;"t Biến, Đấu Trường Tinh Anh, Loạn Đả Linh Trưởng, và binh lính được ủy thác.
- Phần thưởng thêm mới với việc thăm viếng.
- Thăm dò ý kiến Bang Hội mới: Các quan chức có thể gửi tin nhắn để có thành viên bỏ phiếu cho các cuộc thăm dò khác nhau.
- Điểm tài "&amp;"nguyên cấp 8 mới: tiêu hết những điểm này để nhận thêm Nắp Chai Nu-Ape.
- Phần thưởng Thử Thách Bế Tắc mới: thêm chương 11 - Đổi Mới với phần thưởng Nắp Chai Nu-Ape thêm vào.
- Thành tựu nghiên cứu mới: hoàn thành nhiều nghiên cứu hơn để nhận phần thưởng "&amp;"thành tựu.
- Mỏ ""Khai hoang đào vàng"" mới: vào các mỏ của nhiều cấp độ dựa trên xếp hạng sự kiện của bạn. Cấp độ mỏ càng cao, phần thưởng càng tốt.
- 60 cấp độ Chiến Đấu Chuối mới.
- 50 cấp độ Tiếp Quản Pháo Đài mới.
- 3 tượng mới: Tiffany, Carina, và t"&amp;"ượng tài năng của Derrick.
- Sự kiện Lễ Hội Đáp Trăng:
Hành Trình Vũ Trụ: Sử dụng Lunar Passes và kiếm được Mảnh Vụn Thiên Thạch để nhận phần thưởng!
Miệng Hố Trên Mặt Trăng: một cấp độ mới trong Khai hoang đào vàng. Chơi để nhận phần thưởng tuyệt vời!
- "&amp;"Chiến Tranh Hành Tinh được tối ưu hóa: cải thiện mẹo hiển thị khi các khu vực đặc biệt mở trên Đám Cháy và Sao San Hô.
- Cuộc Thám Hiểm Trang Bị được tối ưu hóa: cập nhật trang cấu hình binh lính để hiển thị tiến trình trang bị.
- Thử Thách Chiến Hào được"&amp;" tối ưu hóa: cải thiện mẹo hiển thị khi sử dụng vật phẩm cho Thử Thách Chiến Hào trên Sao San Hô và tình trạng vật phẩm.
- Hàng chờ hành quân được tối ưu hóa: hàng chờ hành quân và do thám giờ đây có giới hạn độc lập.
- Tàn tích bản đồ được tối ưu hóa: cá"&amp;"c công trình trong thời gian bảo vệ của chúng có thể được cập nhật để tăng thêm hiệu ứng tăng cường cho Bộ lạc.
- Chiến báo được tối ưu hóa: chi tiết về binh lính viễn chinh tổn thất được thêm vào chiến báo.")</f>
        <v>- Các loại đơn vị mới: đơn vị VI mới (Kỵ Sĩ Thép, Kẻ Rung Chuyển Trái Đất, Chế Ngự Bầu Trời, Xe Tăng Vô Tận)- Giới hạn cấp độ công trình đã được nâng lên: giới hạn cấp độ cho Tòa Thị Chính, Phòng Thí Nghiệm Nghiên Cứu, Nhà Kho, Trại, đã được nâng lên đến Lv. 35 sau một thời gian máy chủ được mở.
- Nhiệm vụ liên quan đến cấp độ công trình mới, nghiên cứu, và đơn vị VI mới.
- Chiến Binh Mới: Felix, người súng bắn pháo. Một người cuồng nghiên cứu và chuyên gia vụ nổ đang đốt cháy một trận lửa chuối!
- Tính năng bạn đồng hành mỏ mới: đạt đến một số cấp độ trong Khai hoang đào vàng để bắt đầu thăm mỏ của bạn bè. Bạn bè cùng nhau làm việc để tăng tốc độ đào của nhau.
- Trò chơi cơ khí mới: bạn giờ đây có thể sử dụng cơ khí trong Xe Lửa Tranh Bá, Vây Quét Khỉ Đột Biến, Đấu Trường Tinh Anh, Loạn Đả Linh Trưởng, và binh lính được ủy thác.
- Phần thưởng thêm mới với việc thăm viếng.
- Thăm dò ý kiến Bang Hội mới: Các quan chức có thể gửi tin nhắn để có thành viên bỏ phiếu cho các cuộc thăm dò khác nhau.
- Điểm tài nguyên cấp 8 mới: tiêu hết những điểm này để nhận thêm Nắp Chai Nu-Ape.
- Phần thưởng Thử Thách Bế Tắc mới: thêm chương 11 - Đổi Mới với phần thưởng Nắp Chai Nu-Ape thêm vào.
- Thành tựu nghiên cứu mới: hoàn thành nhiều nghiên cứu hơn để nhận phần thưởng thành tựu.
- Mỏ "Khai hoang đào vàng" mới: vào các mỏ của nhiều cấp độ dựa trên xếp hạng sự kiện của bạn. Cấp độ mỏ càng cao, phần thưởng càng tốt.
- 60 cấp độ Chiến Đấu Chuối mới.
- 50 cấp độ Tiếp Quản Pháo Đài mới.
- 3 tượng mới: Tiffany, Carina, và tượng tài năng của Derrick.
- Sự kiện Lễ Hội Đáp Trăng:
Hành Trình Vũ Trụ: Sử dụng Lunar Passes và kiếm được Mảnh Vụn Thiên Thạch để nhận phần thưởng!
Miệng Hố Trên Mặt Trăng: một cấp độ mới trong Khai hoang đào vàng. Chơi để nhận phần thưởng tuyệt vời!
- Chiến Tranh Hành Tinh được tối ưu hóa: cải thiện mẹo hiển thị khi các khu vực đặc biệt mở trên Đám Cháy và Sao San Hô.
- Cuộc Thám Hiểm Trang Bị được tối ưu hóa: cập nhật trang cấu hình binh lính để hiển thị tiến trình trang bị.
- Thử Thách Chiến Hào được tối ưu hóa: cải thiện mẹo hiển thị khi sử dụng vật phẩm cho Thử Thách Chiến Hào trên Sao San Hô và tình trạng vật phẩm.
- Hàng chờ hành quân được tối ưu hóa: hàng chờ hành quân và do thám giờ đây có giới hạn độc lập.
- Tàn tích bản đồ được tối ưu hóa: các công trình trong thời gian bảo vệ của chúng có thể được cập nhật để tăng thêm hiệu ứng tăng cường cho Bộ lạc.
- Chiến báo được tối ưu hóa: chi tiết về binh lính viễn chinh tổn thất được thêm vào chiến báo.</v>
      </c>
      <c r="N45" s="108" t="str">
        <f>IFERROR(__xludf.DUMMYFUNCTION("""COMPUTED_VALUE"""),"- Nuovi tipi di unità: nuove unità VI (Cavalieri d'acciaio, Scuotitori di Terra, Distruttori del Cielo, Carri dell'Infinito)- Limite di livello della costruzione aumentato: il limite di livello per il Municipio, il Laboratorio di ricerca, il Magazzino, i "&amp;"Campi, è stato aumentato a Lv. 35 una volta che il server è stato aperto per un certo periodo di tempo.
- Nuove missioni relative al livello di costruzione, alla ricerca e alle unità VI.
- Nuovo Combattente: Felix, il Cannone da Assedio. Un fanatico della"&amp;" ricerca e un esperto di esplosivi che accendono una fiamma banana!
- Nuova funzione amici di miniera: raggiungi certi livelli in Scava per l'Oro per iniziare a visitare le miniere degli amici. Gli amici lavorano insieme per velocizzare le proprie ricerch"&amp;"e.
- Nuovo gameplay mech: ora puoi usare i mech in Corsa dei treni, Operazione Mutanti, Rissa dei campioni, Rissa dei primati e truppe delegate.
- Nuovo bonus di familiarità con le visite.
- Nuovi sondaggi del Gang: gli ufficiali possono inviare messaggi "&amp;"per far votare i membri su diversi sondaggi.
- Nuovi punti risorsa Lv. 8: esaurisci questi punti per ottenere bonus Capsule Nu-Ape.
- Nuove ricompense per le prove di impasse: aggiunto il capitolo 11 - Innovazione con ricompense Capsule Nu-Ape aggiunte.
-"&amp;" Nuovi traguardi di ricerca: completa più ricerche per ottenere ricompense per i traguardi.
- Nuove miniere ""Scava per l'Oro"": entra nelle miniere di vari livelli in base alla tua classifica evento. Più alto è il livello della miniera, migliori sono le "&amp;"sue ricompense.
- 60 nuovi livelli di Banana Fight.
- 50 nuovi livelli di Conquista di Fortezze.
- 3 nuove statue: le statue di talento di Tiffany, Carina e Derrick.
- Eventi del Festival dell'atterraggio sulla Luna:
Odissea Spaziale: Usa i Pass Lunari e "&amp;"guadagna Frammenti di Meteorite per ottenere ricompense!
Crateri Lunari: un nuovo livello in Scava per l'Oro. Gioca per ottenere fantastiche ricompense!
- Guerre planetarie ottimizzate: migliorato il suggerimento mostrato quando si aprono le zone speciali"&amp;" su Fire e Coral Stars.
- Spedizione Equipaggiamento ottimizzata: aggiornata la pagina di configurazione delle truppe per mostrare il progresso dell'equipaggiamento.
- Prove di Trincea ottimizzate: migliorati i suggerimenti mostrati quando si usano oggett"&amp;"i per le Prove di Trincea su Coral Star e lo stato dell'oggetto.
- Code di marcia ottimizzate: le code di marcia e perlustrazione ora hanno limiti indipendenti.
- Rovine della mappa ottimizzate: gli edifici nel loro periodo di protezione possono essere ag"&amp;"giornati per ottenere bonus extra del Clan.
- Rapporti di battaglia ottimizzati: dettagli sulla perdita di truppe aggiunti ai rapporti di battaglia.")</f>
        <v>- Nuovi tipi di unità: nuove unità VI (Cavalieri d'acciaio, Scuotitori di Terra, Distruttori del Cielo, Carri dell'Infinito)- Limite di livello della costruzione aumentato: il limite di livello per il Municipio, il Laboratorio di ricerca, il Magazzino, i Campi, è stato aumentato a Lv. 35 una volta che il server è stato aperto per un certo periodo di tempo.
- Nuove missioni relative al livello di costruzione, alla ricerca e alle unità VI.
- Nuovo Combattente: Felix, il Cannone da Assedio. Un fanatico della ricerca e un esperto di esplosivi che accendono una fiamma banana!
- Nuova funzione amici di miniera: raggiungi certi livelli in Scava per l'Oro per iniziare a visitare le miniere degli amici. Gli amici lavorano insieme per velocizzare le proprie ricerche.
- Nuovo gameplay mech: ora puoi usare i mech in Corsa dei treni, Operazione Mutanti, Rissa dei campioni, Rissa dei primati e truppe delegate.
- Nuovo bonus di familiarità con le visite.
- Nuovi sondaggi del Gang: gli ufficiali possono inviare messaggi per far votare i membri su diversi sondaggi.
- Nuovi punti risorsa Lv. 8: esaurisci questi punti per ottenere bonus Capsule Nu-Ape.
- Nuove ricompense per le prove di impasse: aggiunto il capitolo 11 - Innovazione con ricompense Capsule Nu-Ape aggiunte.
- Nuovi traguardi di ricerca: completa più ricerche per ottenere ricompense per i traguardi.
- Nuove miniere "Scava per l'Oro": entra nelle miniere di vari livelli in base alla tua classifica evento. Più alto è il livello della miniera, migliori sono le sue ricompense.
- 60 nuovi livelli di Banana Fight.
- 50 nuovi livelli di Conquista di Fortezze.
- 3 nuove statue: le statue di talento di Tiffany, Carina e Derrick.
- Eventi del Festival dell'atterraggio sulla Luna:
Odissea Spaziale: Usa i Pass Lunari e guadagna Frammenti di Meteorite per ottenere ricompense!
Crateri Lunari: un nuovo livello in Scava per l'Oro. Gioca per ottenere fantastiche ricompense!
- Guerre planetarie ottimizzate: migliorato il suggerimento mostrato quando si aprono le zone speciali su Fire e Coral Stars.
- Spedizione Equipaggiamento ottimizzata: aggiornata la pagina di configurazione delle truppe per mostrare il progresso dell'equipaggiamento.
- Prove di Trincea ottimizzate: migliorati i suggerimenti mostrati quando si usano oggetti per le Prove di Trincea su Coral Star e lo stato dell'oggetto.
- Code di marcia ottimizzate: le code di marcia e perlustrazione ora hanno limiti indipendenti.
- Rovine della mappa ottimizzate: gli edifici nel loro periodo di protezione possono essere aggiornati per ottenere bonus extra del Clan.
- Rapporti di battaglia ottimizzati: dettagli sulla perdita di truppe aggiunti ai rapporti di battaglia.</v>
      </c>
      <c r="O45" s="148" t="str">
        <f>IFERROR(__xludf.DUMMYFUNCTION("""COMPUTED_VALUE"""),"- Nowe typy jednostek: nowe jednostki VI (Stalowi Jeźdźcy, Trzęsący Ziemią, Niebogłosy, Czołgi Nieskończoności)- Limit poziomu budynku podniesiony: limit poziomu dla Ratusza, Laboratorium, Magazynu, Obozów, został podniesiony do Lv. 35 po otwarciu serwera"&amp;" na określony czas.
- Nowe zadania związane z poziomem budynku, badaniami i jednostkami VI.
- Nowy Wojownik: Felix, Oblężniczy Strzelec. Fanatyk badań i ekspert od materiałów wybuchowych rozpalający bananowy płomień!
- Nowa funkcja kopalnianych kumpli: os"&amp;"iągnij określone poziomy w Kopaniu Skarbów, aby zacząć odwiedzać kopalnie kumpli. Kumple pracują razem, aby przyspieszyć nawzajem kopanie.
- Nowa rozgrywka z mechami: teraz możesz używać mechów w Pędzie Pociągu, Operacji Mutanty, Bijatyce Mistrzów, Bijaty"&amp;"ce Naczelnych i delegowanych jednostkach.
- Nowy bonus za znajomość z wizytami.
- Nowe ankiety Gangów: Urzędnicy mogą wysyłać wiadomości, aby członkowie głosowali w różnych ankietach.
- Nowe miejsca zasobów na poziomie 8: wyczerpuj te miejsca, aby otrzyma"&amp;"ć bonusowe Kapsułki Nu-Ape.
- Nowe nagrody za Próby Impasu: dodano rozdział 11 - Innowacje z dodatkowymi nagrodami w postaci Kapsułek Nu-Ape.
- Nowe osiągnięcia w badaniach: wykonaj więcej badań, aby otrzymać nagrody za osiągnięcia.
- Nowe kopalnie ""Kop "&amp;"w poszukiwaniu Złota"": wejdź do kopalni różnych poziomów w zależności od swojego rankingu wydarzeń. Im wyższy poziom kopalni, tym lepsze nagrody.
- 60 nowych poziomów Banana Fight.
- 50 nowych poziomów Przejęcia Fortecy.
- 3 nowe posągi: posągi talentów "&amp;"Tiffany, Cariny i Derrica.
- Wydarzenia Festiwalu Lądowania na Księżycu:
Odyseja Kosmiczna: Użyj Księżycowych Przepustek i zdobądź Fragmenty Meteorytów, aby otrzymać nagrody!
Kratery Księżycowe: nowy poziom w Kopaniu Skarbów. Graj, aby zdobyć niesamowite "&amp;"nagrody!
- Wojny Planet zoptymalizowane: poprawiono wskazówkę wyświetlaną, gdy otwierają się specjalne strefy na Gwiazdach Ognia i Koralowej.
- Wyprawa Wyposażenia zoptymalizowana: zaktualizowano stronę konfiguracji jednostek, aby pokazać postęp wyposażen"&amp;"ia.
- Próby w Okopach zoptymalizowane: poprawiono wskazówki wyświetlane podczas korzystania z przedmiotów dla Prób w Okopach na Gwiazdzie Koralowej i statusie przedmiotu.
- Kolejki marszu zoptymalizowane: kolejki marszu i zwiadu mają teraz niezależne limi"&amp;"ty.
- Ruiny mapy zoptymalizowane: budynki w okresie ochronnym mogą być aktualizowane dla dodatkowych wzmocnień Klanu.
- Raporty z bitwy zoptymalizowane: szczegóły strat wojskowych dodane do raportów z bitwy.")</f>
        <v>- Nowe typy jednostek: nowe jednostki VI (Stalowi Jeźdźcy, Trzęsący Ziemią, Niebogłosy, Czołgi Nieskończoności)- Limit poziomu budynku podniesiony: limit poziomu dla Ratusza, Laboratorium, Magazynu, Obozów, został podniesiony do Lv. 35 po otwarciu serwera na określony czas.
- Nowe zadania związane z poziomem budynku, badaniami i jednostkami VI.
- Nowy Wojownik: Felix, Oblężniczy Strzelec. Fanatyk badań i ekspert od materiałów wybuchowych rozpalający bananowy płomień!
- Nowa funkcja kopalnianych kumpli: osiągnij określone poziomy w Kopaniu Skarbów, aby zacząć odwiedzać kopalnie kumpli. Kumple pracują razem, aby przyspieszyć nawzajem kopanie.
- Nowa rozgrywka z mechami: teraz możesz używać mechów w Pędzie Pociągu, Operacji Mutanty, Bijatyce Mistrzów, Bijatyce Naczelnych i delegowanych jednostkach.
- Nowy bonus za znajomość z wizytami.
- Nowe ankiety Gangów: Urzędnicy mogą wysyłać wiadomości, aby członkowie głosowali w różnych ankietach.
- Nowe miejsca zasobów na poziomie 8: wyczerpuj te miejsca, aby otrzymać bonusowe Kapsułki Nu-Ape.
- Nowe nagrody za Próby Impasu: dodano rozdział 11 - Innowacje z dodatkowymi nagrodami w postaci Kapsułek Nu-Ape.
- Nowe osiągnięcia w badaniach: wykonaj więcej badań, aby otrzymać nagrody za osiągnięcia.
- Nowe kopalnie "Kop w poszukiwaniu Złota": wejdź do kopalni różnych poziomów w zależności od swojego rankingu wydarzeń. Im wyższy poziom kopalni, tym lepsze nagrody.
- 60 nowych poziomów Banana Fight.
- 50 nowych poziomów Przejęcia Fortecy.
- 3 nowe posągi: posągi talentów Tiffany, Cariny i Derrica.
- Wydarzenia Festiwalu Lądowania na Księżycu:
Odyseja Kosmiczna: Użyj Księżycowych Przepustek i zdobądź Fragmenty Meteorytów, aby otrzymać nagrody!
Kratery Księżycowe: nowy poziom w Kopaniu Skarbów. Graj, aby zdobyć niesamowite nagrody!
- Wojny Planet zoptymalizowane: poprawiono wskazówkę wyświetlaną, gdy otwierają się specjalne strefy na Gwiazdach Ognia i Koralowej.
- Wyprawa Wyposażenia zoptymalizowana: zaktualizowano stronę konfiguracji jednostek, aby pokazać postęp wyposażenia.
- Próby w Okopach zoptymalizowane: poprawiono wskazówki wyświetlane podczas korzystania z przedmiotów dla Prób w Okopach na Gwiazdzie Koralowej i statusie przedmiotu.
- Kolejki marszu zoptymalizowane: kolejki marszu i zwiadu mają teraz niezależne limity.
- Ruiny mapy zoptymalizowane: budynki w okresie ochronnym mogą być aktualizowane dla dodatkowych wzmocnień Klanu.
- Raporty z bitwy zoptymalizowane: szczegóły strat wojskowych dodane do raportów z bitwy.</v>
      </c>
      <c r="P45" s="148" t="str">
        <f>IFERROR(__xludf.DUMMYFUNCTION("""COMPUTED_VALUE"""),"- أنواع الوحدات الجديدة: وحدات السادسة الجديدة (فرسان الصلب، هزازات الأرض، مُقدمو السماء، دبابات اللانهاية)- تم رفع سقف مستوى البناء: تم رفع سقف مستوى قاعة المدينة، مختبر الأبحاث، المستودع، المعسكرات، إلى المستوى 35 بمجرد فتح السيرفر لفترة معينة.
- مستوى "&amp;"بناء جديد، بحث، ومهام ذات صلة بوحدات السادسة.
- مقاتل جديد: فيليكس، القناص الحصاري. متحمس للبحث وخبير في المتفجرات يشعل لهيب الموز!
- ميزة الأصدقاء الجدد في المنجم: الوصول إلى مستويات معينة في حفر الكنز لبدء زيارة مناجم الأصدقاء. الأصدقاء يعملون معًا لتسر"&amp;"يع حفر بعضهم البعض.
- طريقة لعب ميكا جديدة: يمكنك الآن استخدام ميكا في القطار المندفع، صواميل التشغيل، حلبة الأبطال، حلبة الهيمنة، والقوات المندوبة.
- مكافأة الألفة الجديدة مع الزيارات.
- استطلاعات العصابة الجديدة: قد يرسل المسؤولون رسائل للأعضاء للتصويت "&amp;"في استطلاعات مختلفة.
- نقاط المورد من المستوى 8 الجديدة: استنفد هذه النقاط للحصول على كبسولات نو-أيب كهدية.
- مكافآت تجارب الطريق المسدود الجديدة: تمت إضافة الفصل 11 - الابتكار مع مكافآت كبسولات نو-أيب المضافة.
- إنجازات البحث الجديدة: أكمل المزيد من الأب"&amp;"حاث للحصول على مكافآت الإنجاز.
- مناجم ""حفر للذهب"" الجديدة: أدخل المناجم من مستويات مختلفة بناءً على تصنيف الحدث الخاص بك. كلما كان مستوى المنجم أعلى، كانت مكافآته أفضل.
- 60 مستوى جديد من معركة الموز.
- 50 مستوى جديد من الاستيلاء على الحصن.
- 3 تماثيل "&amp;"جديدة: تماثيل المواهب لتيفاني، كارينا، وديريك.
- أحداث مهرجان هبوط القمر:
أوديسة الفضاء: استخدم البطاقات القمرية واكسب شظايا النيازك للحصول على المكافآت!
فوهات القمر: مستوى جديد في حفر الكنز. العب للحصول على مكافآت رائعة!
- تم تحسين حروب الكوكب: تحسين الن"&amp;"صيحة المعروضة عند فتح المناطق الخاصة على نجمة النار ونجمة المرجان.
- تم تحسين بعثة العتاد: تحديث صفحة تكوين القوات لعرض تقدم العتاد.
- تم تحسين تجارب الخنادق: تحسين النصائح المعروضة عند استخدام العناصر لتجارب الخنادق على نجمة المرجان وحالة العنصر.
- تم تح"&amp;"سين طوابير المسيرة: الآن لدى طوابير المسيرة والتجسس سقف مستقل.
- تم تحسين أنقاض الخريطة: يمكن تحديث المباني في فترة حمايتها مقابل تعزيزات عشيرة إضافية.
- تم تحسين تقارير المعركة: تمت إضافة تفاصيل فقدان القوات إلى تقارير المعركة.")</f>
        <v>- أنواع الوحدات الجديدة: وحدات السادسة الجديدة (فرسان الصلب، هزازات الأرض، مُقدمو السماء، دبابات اللانهاية)- تم رفع سقف مستوى البناء: تم رفع سقف مستوى قاعة المدينة، مختبر الأبحاث، المستودع، المعسكرات، إلى المستوى 35 بمجرد فتح السيرفر لفترة معينة.
- مستوى بناء جديد، بحث، ومهام ذات صلة بوحدات السادسة.
- مقاتل جديد: فيليكس، القناص الحصاري. متحمس للبحث وخبير في المتفجرات يشعل لهيب الموز!
- ميزة الأصدقاء الجدد في المنجم: الوصول إلى مستويات معينة في حفر الكنز لبدء زيارة مناجم الأصدقاء. الأصدقاء يعملون معًا لتسريع حفر بعضهم البعض.
- طريقة لعب ميكا جديدة: يمكنك الآن استخدام ميكا في القطار المندفع، صواميل التشغيل، حلبة الأبطال، حلبة الهيمنة، والقوات المندوبة.
- مكافأة الألفة الجديدة مع الزيارات.
- استطلاعات العصابة الجديدة: قد يرسل المسؤولون رسائل للأعضاء للتصويت في استطلاعات مختلفة.
- نقاط المورد من المستوى 8 الجديدة: استنفد هذه النقاط للحصول على كبسولات نو-أيب كهدية.
- مكافآت تجارب الطريق المسدود الجديدة: تمت إضافة الفصل 11 - الابتكار مع مكافآت كبسولات نو-أيب المضافة.
- إنجازات البحث الجديدة: أكمل المزيد من الأبحاث للحصول على مكافآت الإنجاز.
- مناجم "حفر للذهب" الجديدة: أدخل المناجم من مستويات مختلفة بناءً على تصنيف الحدث الخاص بك. كلما كان مستوى المنجم أعلى، كانت مكافآته أفضل.
- 60 مستوى جديد من معركة الموز.
- 50 مستوى جديد من الاستيلاء على الحصن.
- 3 تماثيل جديدة: تماثيل المواهب لتيفاني، كارينا، وديريك.
- أحداث مهرجان هبوط القمر:
أوديسة الفضاء: استخدم البطاقات القمرية واكسب شظايا النيازك للحصول على المكافآت!
فوهات القمر: مستوى جديد في حفر الكنز. العب للحصول على مكافآت رائعة!
- تم تحسين حروب الكوكب: تحسين النصيحة المعروضة عند فتح المناطق الخاصة على نجمة النار ونجمة المرجان.
- تم تحسين بعثة العتاد: تحديث صفحة تكوين القوات لعرض تقدم العتاد.
- تم تحسين تجارب الخنادق: تحسين النصائح المعروضة عند استخدام العناصر لتجارب الخنادق على نجمة المرجان وحالة العنصر.
- تم تحسين طوابير المسيرة: الآن لدى طوابير المسيرة والتجسس سقف مستقل.
- تم تحسين أنقاض الخريطة: يمكن تحديث المباني في فترة حمايتها مقابل تعزيزات عشيرة إضافية.
- تم تحسين تقارير المعركة: تمت إضافة تفاصيل فقدان القوات إلى تقارير المعركة.</v>
      </c>
      <c r="Q45" s="148" t="str">
        <f>IFERROR(__xludf.DUMMYFUNCTION("""COMPUTED_VALUE"""),"- 新しいユニットタイプ：新たなVIユニット（スチールライダー、アースシェイカー、空を切り裂く者たち、無限のタンク）- 建築レベル上限が上がりました：サーバーが一定時間開放された後、基地、研究所、倉庫、キャンプのレベル上限がLv. 35に上がりました。
- 新しい建築レベル、研究、およびVIユニット関連のクエスト。
- 新しいファイター：攻城ガンナーのフェリックス。研究狂で爆発物の専門家がバナナブレイズを点火中！
- 新しい鉱山仲間機能：地底の宝探しで特定のレベルに達すると、仲間の鉱山を訪れることができま"&amp;"す。仲間は一緒に働いてお互いの掘りを速めます。
- 新しいメカゲームプレイ：トレインラッシュ、変異エイプ殲滅作戦、エリート闘技場、プライメイトブロール、および委任された部隊でメカを使用することができます。
- 訪問による新しい親密度ボーナス。
- 新しいギルドの投票：役員はメンバーにメッセージを送ってさまざまな投票に投票させることができます。
- 新しいLv. 8リソーススポット：これらのスポットを使い果たすと、ボーナスのNu-Apeカプセルを獲得できます。
- 新しいImpasse Trialの報酬：チ"&amp;"ャプター11 - イノベーションにNu-Apeカプセルの報酬を追加しました。
- 新しい研究実績：より多くの研究を完了すると、実績報酬を獲得できます。
- 新しい「ゴールド発掘」の鉱山：イベントランキングに基づいてさまざまなレベルの鉱山に入ることができます。鉱山のレベルが高いほど、報酬も良くなります。
- 60の新しいバナナウォーズのレベル。
- 50の新しい要塞バトルのレベル。
- 3つの新しい像：ティファニー、カリーナ、デリックの才能の像。
- 月面着陸祭りのイベント：
宇宙オデッセイ：ルナパスを使用"&amp;"し、メテオの欠片を獲得して報酬を得ましょう！
月のクレーター：地底の宝探しの新しいレベル。素晴らしい報酬を得るためにプレイしましょう！
- プラネットウォーズの最適化：炎とサンゴ星で特殊交戦エリアが開くときに表示されるヒントを改善しました。
- 軍備遠征の最適化：軍備の進行状況を表示するために部隊の設定ページを更新しました。
- 深海の試練の最適化：サンゴ星で深海の試練のアイテムを使用するときに表示されるヒントとアイテムのステータスを改善しました。
- 行軍キューの最適化：行軍と偵察のキューには独立した上"&amp;"限があります。
- マップの廃墟の最適化：保護期間中の建築物は、追加のクランバフのために更新されることがあります。
- 戦闘報告書の最適化：部隊の損失の詳細を戦闘報告書に追加しました。")</f>
        <v>- 新しいユニットタイプ：新たなVIユニット（スチールライダー、アースシェイカー、空を切り裂く者たち、無限のタンク）- 建築レベル上限が上がりました：サーバーが一定時間開放された後、基地、研究所、倉庫、キャンプのレベル上限がLv. 35に上がりました。
- 新しい建築レベル、研究、およびVIユニット関連のクエスト。
- 新しいファイター：攻城ガンナーのフェリックス。研究狂で爆発物の専門家がバナナブレイズを点火中！
- 新しい鉱山仲間機能：地底の宝探しで特定のレベルに達すると、仲間の鉱山を訪れることができます。仲間は一緒に働いてお互いの掘りを速めます。
- 新しいメカゲームプレイ：トレインラッシュ、変異エイプ殲滅作戦、エリート闘技場、プライメイトブロール、および委任された部隊でメカを使用することができます。
- 訪問による新しい親密度ボーナス。
- 新しいギルドの投票：役員はメンバーにメッセージを送ってさまざまな投票に投票させることができます。
- 新しいLv. 8リソーススポット：これらのスポットを使い果たすと、ボーナスのNu-Apeカプセルを獲得できます。
- 新しいImpasse Trialの報酬：チャプター11 - イノベーションにNu-Apeカプセルの報酬を追加しました。
- 新しい研究実績：より多くの研究を完了すると、実績報酬を獲得できます。
- 新しい「ゴールド発掘」の鉱山：イベントランキングに基づいてさまざまなレベルの鉱山に入ることができます。鉱山のレベルが高いほど、報酬も良くなります。
- 60の新しいバナナウォーズのレベル。
- 50の新しい要塞バトルのレベル。
- 3つの新しい像：ティファニー、カリーナ、デリックの才能の像。
- 月面着陸祭りのイベント：
宇宙オデッセイ：ルナパスを使用し、メテオの欠片を獲得して報酬を得ましょう！
月のクレーター：地底の宝探しの新しいレベル。素晴らしい報酬を得るためにプレイしましょう！
- プラネットウォーズの最適化：炎とサンゴ星で特殊交戦エリアが開くときに表示されるヒントを改善しました。
- 軍備遠征の最適化：軍備の進行状況を表示するために部隊の設定ページを更新しました。
- 深海の試練の最適化：サンゴ星で深海の試練のアイテムを使用するときに表示されるヒントとアイテムのステータスを改善しました。
- 行軍キューの最適化：行軍と偵察のキューには独立した上限があります。
- マップの廃墟の最適化：保護期間中の建築物は、追加のクランバフのために更新されることがあります。
- 戦闘報告書の最適化：部隊の損失の詳細を戦闘報告書に追加しました。</v>
      </c>
      <c r="R45" s="148" t="str">
        <f>IFERROR(__xludf.DUMMYFUNCTION("""COMPUTED_VALUE"""),"- 새로운 유닛 유형: 새로운 VI 유닛 (스틸라이더들, 지진을 일으키는 자들, 하늘을 찢는 자들, 무한 탱크)- 건물 레벨 상한이 올려졌습니다: 서버가 일정 시간 열린 후에 기지, 연구소, 창고, 캠프의 레벨 상한이 Lv. 35로 올려졌습니다.
- 새로운 건물 레벨, 연구, 그리고 VI 유닛 관련 퀘스트.
- 새로운 전사: 공성포병 펠릭스. 연구에 열광하고 폭발물 전문가가 바나나 블레이즈를 점화하는 중입니다!
- 새로운 광산 친구 기능: 지하 보물찾기"&amp;"에서 특정 레벨에 도달하여 친구들의 광산을 방문하기 시작합니다. 친구들은 서로의 채굴을 가속화하기 위해 함께 작업합니다.
- 새로운 메카 게임플레이: 이제 기차 쟁탈전, 변이 원숭이 토벌, 정예 스타디움, 원숭이 난투, 그리고 위탁된 부대에서 메카를 사용할 수 있습니다.
- 방문으로 친밀도 보너스 새로 추가.
- 새로운 무리 투표: 공무원들이 회원들에게 다른 투표에 투표하도록 메시지를 보낼 수 있습니다.
- 새로운 Lv. 8 자원 지점: 이러한 지점을 "&amp;"소진하여 보너스 Nu-Ape 캡슐을 얻습니다.
- 새로운 장애물 시험 보상: 챕터 11 - Nu-Ape 캡슐 보상이 추가된 혁신을 추가했습니다.
- 새로운 연구 성과: 더 많은 연구를 완료하여 성과 보상을 받습니다.
- 새로운 ""금 캐기"" 광산: 이벤트 랭킹에 따라 다양한 레벨의 광산에 들어갑니다. 광산의 레벨이 높을수록 보상이 좋습니다.
- 60개의 새로운 바나나 대전 레벨.
- 50개의 새로운 요새 대결 레벨.
- 3개의 새로운 석상: 티파니, "&amp;"카리나, 그리고 데릭의 재능 석상.
- 달 착륙 축제 이벤트:
우주 오디세이: 달의 패스를 사용하고 운석 조각을 얻어 보상을 받으세요!
달의 분화구: 지하 보물찾기의 새로운 레벨. 놀라운 보상을 받기 위해 플레이하세요!
- 은하 전쟁 최적화: 불과 산호별에서 특수 교전 구역이 열릴 때 보여지는 팁을 개선했습니다.
- 군용품 원정 최적화: 군용품 진행 상황을 보여주는 부대 구성 페이지를 업데이트했습니다.
- 심해의 시련 최적화: 산호별에서 심해의 시련에 "&amp;"아이템을 사용할 때 보여지는 팁과 아이템 상태를 개선했습니다.
- 행군 대기열 최적화: 행군과 정찰 대기열이 이제 독립적인 상한을 가지게 되었습니다.
- 지도 폐허 최적화: 보호 기간 동안 건물들이 추가 클랜 부스터를 위해 업데이트될 수 있습니다.
- 전투 보고서 최적화: 부대 손실 세부 사항이 전투 보고서에 추가되었습니다.")</f>
        <v>- 새로운 유닛 유형: 새로운 VI 유닛 (스틸라이더들, 지진을 일으키는 자들, 하늘을 찢는 자들, 무한 탱크)- 건물 레벨 상한이 올려졌습니다: 서버가 일정 시간 열린 후에 기지, 연구소, 창고, 캠프의 레벨 상한이 Lv. 35로 올려졌습니다.
- 새로운 건물 레벨, 연구, 그리고 VI 유닛 관련 퀘스트.
- 새로운 전사: 공성포병 펠릭스. 연구에 열광하고 폭발물 전문가가 바나나 블레이즈를 점화하는 중입니다!
- 새로운 광산 친구 기능: 지하 보물찾기에서 특정 레벨에 도달하여 친구들의 광산을 방문하기 시작합니다. 친구들은 서로의 채굴을 가속화하기 위해 함께 작업합니다.
- 새로운 메카 게임플레이: 이제 기차 쟁탈전, 변이 원숭이 토벌, 정예 스타디움, 원숭이 난투, 그리고 위탁된 부대에서 메카를 사용할 수 있습니다.
- 방문으로 친밀도 보너스 새로 추가.
- 새로운 무리 투표: 공무원들이 회원들에게 다른 투표에 투표하도록 메시지를 보낼 수 있습니다.
- 새로운 Lv. 8 자원 지점: 이러한 지점을 소진하여 보너스 Nu-Ape 캡슐을 얻습니다.
- 새로운 장애물 시험 보상: 챕터 11 - Nu-Ape 캡슐 보상이 추가된 혁신을 추가했습니다.
- 새로운 연구 성과: 더 많은 연구를 완료하여 성과 보상을 받습니다.
- 새로운 "금 캐기" 광산: 이벤트 랭킹에 따라 다양한 레벨의 광산에 들어갑니다. 광산의 레벨이 높을수록 보상이 좋습니다.
- 60개의 새로운 바나나 대전 레벨.
- 50개의 새로운 요새 대결 레벨.
- 3개의 새로운 석상: 티파니, 카리나, 그리고 데릭의 재능 석상.
- 달 착륙 축제 이벤트:
우주 오디세이: 달의 패스를 사용하고 운석 조각을 얻어 보상을 받으세요!
달의 분화구: 지하 보물찾기의 새로운 레벨. 놀라운 보상을 받기 위해 플레이하세요!
- 은하 전쟁 최적화: 불과 산호별에서 특수 교전 구역이 열릴 때 보여지는 팁을 개선했습니다.
- 군용품 원정 최적화: 군용품 진행 상황을 보여주는 부대 구성 페이지를 업데이트했습니다.
- 심해의 시련 최적화: 산호별에서 심해의 시련에 아이템을 사용할 때 보여지는 팁과 아이템 상태를 개선했습니다.
- 행군 대기열 최적화: 행군과 정찰 대기열이 이제 독립적인 상한을 가지게 되었습니다.
- 지도 폐허 최적화: 보호 기간 동안 건물들이 추가 클랜 부스터를 위해 업데이트될 수 있습니다.
- 전투 보고서 최적화: 부대 손실 세부 사항이 전투 보고서에 추가되었습니다.</v>
      </c>
      <c r="S45" s="148"/>
      <c r="T45" s="148"/>
      <c r="U45" s="148"/>
      <c r="V45" s="148"/>
      <c r="W45" s="148"/>
      <c r="X45" s="148"/>
      <c r="Y45" s="148"/>
      <c r="Z45" s="148"/>
    </row>
    <row r="46">
      <c r="A46" s="167" t="str">
        <f>IFERROR(__xludf.DUMMYFUNCTION("""COMPUTED_VALUE"""),"0.57.5")</f>
        <v>0.57.5</v>
      </c>
      <c r="B46" s="148" t="str">
        <f>IFERROR(__xludf.DUMMYFUNCTION("""COMPUTED_VALUE"""),"-新增祖灵节活动：
惊奇派对：消耗一定数量的糖果罐入场派对，大量资源等你来拿，还有机会获得万圣节主题基地皮肤！
不给糖就捣蛋：快去其他猴子家敲敲门，拿出珍贵的南瓜币给大家，就可以兑换稀有的万圣节装饰物、行军特效、纪念铭牌等奖励哦！
魅影对决：祖灵节期间，主城将可以装扮神秘“惊奇外观”，每日玩家分为两个阵营，前往大地图找到已伪装的敌对阵营玩家主城，即可获得积分奖励和结算后的阵营奖励。你藏我猜，快来参与！
暗夜矿场：幽灵出没，小心施工！祖灵节期间参与全新地下探宝活动关卡，可获得丰厚的奖励！
[此条仅国际服！]"&amp;"午夜讨价还价：祖灵节期间，琢磨不透的南瓜商人将会现身，你可以与其直接对话，大胆砍价！还有可能拿到超低折扣哦！")</f>
        <v>-新增祖灵节活动：
惊奇派对：消耗一定数量的糖果罐入场派对，大量资源等你来拿，还有机会获得万圣节主题基地皮肤！
不给糖就捣蛋：快去其他猴子家敲敲门，拿出珍贵的南瓜币给大家，就可以兑换稀有的万圣节装饰物、行军特效、纪念铭牌等奖励哦！
魅影对决：祖灵节期间，主城将可以装扮神秘“惊奇外观”，每日玩家分为两个阵营，前往大地图找到已伪装的敌对阵营玩家主城，即可获得积分奖励和结算后的阵营奖励。你藏我猜，快来参与！
暗夜矿场：幽灵出没，小心施工！祖灵节期间参与全新地下探宝活动关卡，可获得丰厚的奖励！
[此条仅国际服！]午夜讨价还价：祖灵节期间，琢磨不透的南瓜商人将会现身，你可以与其直接对话，大胆砍价！还有可能拿到超低折扣哦！</v>
      </c>
      <c r="C46" s="148" t="str">
        <f>IFERROR(__xludf.DUMMYFUNCTION("""COMPUTED_VALUE"""),"- Spirit Soiree Events
Festival of Frights: Use Candy Jars to play, and win tons of resources and a chance to get the special Halloween city skin!
Trick or Treat: Knock knock! Offer your Pumpkin Coins to the neighbors to redeem rare Halloween decorations,"&amp;" march effects, special nameplates, and more!
Phantom Showdown: Dress up your city in special appearances during Spirit Soiree! Players are grouped into two teams every day - go to the map to find cities with the opponent's appearances to earn points and "&amp;"team rewards at the end of the day. Ready or not, here I come!
Spook Mine: Beware of ghosts! Proceed with caution. Play new Treasure Dig levels during the event to get amazing rewards!
Midnight Haggling: Chat and bargain with the mysterious Pumpkin Vendor"&amp;" during the event to get amazing discounts!")</f>
        <v>- Spirit Soiree Events
Festival of Frights: Use Candy Jars to play, and win tons of resources and a chance to get the special Halloween city skin!
Trick or Treat: Knock knock! Offer your Pumpkin Coins to the neighbors to redeem rare Halloween decorations, march effects, special nameplates, and more!
Phantom Showdown: Dress up your city in special appearances during Spirit Soiree! Players are grouped into two teams every day - go to the map to find cities with the opponent's appearances to earn points and team rewards at the end of the day. Ready or not, here I come!
Spook Mine: Beware of ghosts! Proceed with caution. Play new Treasure Dig levels during the event to get amazing rewards!
Midnight Haggling: Chat and bargain with the mysterious Pumpkin Vendor during the event to get amazing discounts!</v>
      </c>
      <c r="D46" s="148" t="str">
        <f>IFERROR(__xludf.DUMMYFUNCTION("""COMPUTED_VALUE"""),"- Événements de la Soirée de l'Esprit
Festival des Frissons: Utilisez des Pots à bonbons pour jouer, et gagnez des tonnes de ressources et une chance d'obtenir la peau spéciale de la ville d'Halloween!
Farce ou Friandise: Toc Toc! Offrez vos Pièces Citrou"&amp;"ille aux voisins pour échanger contre des décorations d'Halloween rares, des effets de déplacement, des plaques spéciales, et plus encore!
Phantom Showdown: Habillez votre ville avec des apparences spéciales pendant la Soirée de l'Esprit! Les joueurs sont"&amp;" regroupés en deux équipes chaque jour - allez sur la carte pour trouver des villes avec les apparences de l'adversaire pour gagner des points et des récompenses d'équipe à la fin de la journée. Prêt ou pas, me voici!
Mine Hantée: Attention aux fantômes! "&amp;"Avancez avec prudence. Jouez à de nouveaux niveaux de Fouille de Trésor pendant l'événement pour obtenir des récompenses incroyables!
Marchandage de Minuit: Discutez et marchandez avec le mystérieux Vendeur de Citrouilles pendant l'événement pour obtenir "&amp;"des réductions incroyables!")</f>
        <v>- Événements de la Soirée de l'Esprit
Festival des Frissons: Utilisez des Pots à bonbons pour jouer, et gagnez des tonnes de ressources et une chance d'obtenir la peau spéciale de la ville d'Halloween!
Farce ou Friandise: Toc Toc! Offrez vos Pièces Citrouille aux voisins pour échanger contre des décorations d'Halloween rares, des effets de déplacement, des plaques spéciales, et plus encore!
Phantom Showdown: Habillez votre ville avec des apparences spéciales pendant la Soirée de l'Esprit! Les joueurs sont regroupés en deux équipes chaque jour - allez sur la carte pour trouver des villes avec les apparences de l'adversaire pour gagner des points et des récompenses d'équipe à la fin de la journée. Prêt ou pas, me voici!
Mine Hantée: Attention aux fantômes! Avancez avec prudence. Jouez à de nouveaux niveaux de Fouille de Trésor pendant l'événement pour obtenir des récompenses incroyables!
Marchandage de Minuit: Discutez et marchandez avec le mystérieux Vendeur de Citrouilles pendant l'événement pour obtenir des réductions incroyables!</v>
      </c>
      <c r="E46" s="148" t="str">
        <f>IFERROR(__xludf.DUMMYFUNCTION("""COMPUTED_VALUE"""),"- Geister-Soiree Events
Festival der Schrecken: Benutze Bonbongläser zum Spielen und gewinne jede Menge Ressourcen und die Chance, die spezielle Halloween-Stadt-Skin zu bekommen!
Süßes oder Saures: Klopf klopf! Biete deine Kürbismünzen den Nachbarn an, um"&amp;" seltene Halloween-Dekorationen, Marscheffekte, spezielle Namensschilder und mehr einzulösen!
Phantom Showdown: Kleide deine Stadt während der Geister-Soiree in speziellen Auftritten! Spieler werden jeden Tag in zwei Teams eingeteilt - gehe zur Karte, um "&amp;"Städte mit den Auftritten des Gegners zu finden, um Punkte und Team-Belohnungen am Ende des Tages zu verdienen. Bereit oder nicht, hier komme ich!
Spuk-Mine: Vorsicht vor Geistern! Geh mit Vorsicht vor. Spiele neue Schatzgrab-Level während des Events, um "&amp;"erstaunliche Belohnungen zu bekommen!
Mitternächtliches Feilschen: Chatte und handele mit dem geheimnisvollen Kürbisverkäufer während des Events, um erstaunliche Rabatte zu bekommen!")</f>
        <v>- Geister-Soiree Events
Festival der Schrecken: Benutze Bonbongläser zum Spielen und gewinne jede Menge Ressourcen und die Chance, die spezielle Halloween-Stadt-Skin zu bekommen!
Süßes oder Saures: Klopf klopf! Biete deine Kürbismünzen den Nachbarn an, um seltene Halloween-Dekorationen, Marscheffekte, spezielle Namensschilder und mehr einzulösen!
Phantom Showdown: Kleide deine Stadt während der Geister-Soiree in speziellen Auftritten! Spieler werden jeden Tag in zwei Teams eingeteilt - gehe zur Karte, um Städte mit den Auftritten des Gegners zu finden, um Punkte und Team-Belohnungen am Ende des Tages zu verdienen. Bereit oder nicht, hier komme ich!
Spuk-Mine: Vorsicht vor Geistern! Geh mit Vorsicht vor. Spiele neue Schatzgrab-Level während des Events, um erstaunliche Belohnungen zu bekommen!
Mitternächtliches Feilschen: Chatte und handele mit dem geheimnisvollen Kürbisverkäufer während des Events, um erstaunliche Rabatte zu bekommen!</v>
      </c>
      <c r="F46" s="148" t="str">
        <f>IFERROR(__xludf.DUMMYFUNCTION("""COMPUTED_VALUE"""),"- Eventos Soirée Espiritual
Festival dos Sustos: Use Potes de Doces para jogar e ganhe toneladas de recursos e a chance de obter a skin especial da cidade do Halloween!
Travessuras ou Gostosuras: Toc toc! Ofereça suas Moedas de Abóbora aos vizinhos para r"&amp;"esgatar decorações raras de Halloween, efeitos de marcha, tabuletas especiais e muito mais!
Confronto Fantasma: Vista sua cidade com aparências especiais durante o Soirée Espiritual! Os jogadores são agrupados em duas equipes todos os dias - vá ao mapa pa"&amp;"ra encontrar cidades com as aparências do oponente para ganhar pontos e recompensas da equipe no final do dia. Pronto ou não, lá vou eu!
Mina Assustadora: Cuidado com os fantasmas! Prossiga com cautela. Jogue novos níveis de Escavação do Tesouro durante o"&amp;" evento para obter recompensas incríveis!
Pechincha da Meia-Noite: Bata-papo e pechinche com o misterioso Vendedor de Abóboras durante o evento para obter descontos incríveis!")</f>
        <v>- Eventos Soirée Espiritual
Festival dos Sustos: Use Potes de Doces para jogar e ganhe toneladas de recursos e a chance de obter a skin especial da cidade do Halloween!
Travessuras ou Gostosuras: Toc toc! Ofereça suas Moedas de Abóbora aos vizinhos para resgatar decorações raras de Halloween, efeitos de marcha, tabuletas especiais e muito mais!
Confronto Fantasma: Vista sua cidade com aparências especiais durante o Soirée Espiritual! Os jogadores são agrupados em duas equipes todos os dias - vá ao mapa para encontrar cidades com as aparências do oponente para ganhar pontos e recompensas da equipe no final do dia. Pronto ou não, lá vou eu!
Mina Assustadora: Cuidado com os fantasmas! Prossiga com cautela. Jogue novos níveis de Escavação do Tesouro durante o evento para obter recompensas incríveis!
Pechincha da Meia-Noite: Bata-papo e pechinche com o misterioso Vendedor de Abóboras durante o evento para obter descontos incríveis!</v>
      </c>
      <c r="G46" s="148" t="str">
        <f>IFERROR(__xludf.DUMMYFUNCTION("""COMPUTED_VALUE"""),"- 新增祖靈節活動：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魅影對決：祖靈節期間，主城將可以裝飾神秘“驚奇外觀”，每日玩家分為兩個陣營，前往大地圖找到已僞裝的敵方陣營玩家主城，即可獲取積分獎勵和結算後的陣營獎勵。你藏我猜，快來參與！
暗夜礦場：幽靈出沒，小心施工！祖靈節期間參與全新地下探寶活動關卡，可獲得豐厚的獎勵！
午夜討價還價：祖靈"&amp;"節期間，琢磨不透的南瓜商人將會現身，你可以與其直接對話，大膽砍價！還有可能拿到超低折扣哦！")</f>
        <v>- 新增祖靈節活動：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魅影對決：祖靈節期間，主城將可以裝飾神秘“驚奇外觀”，每日玩家分為兩個陣營，前往大地圖找到已僞裝的敵方陣營玩家主城，即可獲取積分獎勵和結算後的陣營獎勵。你藏我猜，快來參與！
暗夜礦場：幽靈出沒，小心施工！祖靈節期間參與全新地下探寶活動關卡，可獲得豐厚的獎勵！
午夜討價還價：祖靈節期間，琢磨不透的南瓜商人將會現身，你可以與其直接對話，大膽砍價！還有可能拿到超低折扣哦！</v>
      </c>
      <c r="H46" s="148" t="str">
        <f>IFERROR(__xludf.DUMMYFUNCTION("""COMPUTED_VALUE"""),"- Event Pesta Semangat
Festival Ketakutan: Gunakan Toples Permen untuk bermain, dan menangkan ton sumber daya dan kesempatan untuk mendapatkan skin kota Halloween khusus!
Trick or Treat: Ketuk pintu! Tawarkan Koin Labu Anda kepada tetangga untuk menukarka"&amp;"n dekorasi Halloween langka, efek berbaris, papan nama khusus, dan lainnya!
Pertunjukan Hantu: Hiasi kota Anda dengan penampilan khusus selama Pesta Semangat! Pemain dikelompokkan menjadi dua tim setiap hari - pergi ke peta untuk menemukan kota dengan pen"&amp;"ampilan lawan untuk mendapatkan poin dan hadiah tim di akhir hari. Siap atau tidak, aku datang!
Tambang Hantu: Waspada terhadap hantu! Maju dengan hati-hati. Mainkan level Gali Harta Karun baru selama event untuk mendapatkan hadiah yang luar biasa!
Tawar-"&amp;"Menawar Tengah Malam: Obrolan dan tawar-menawar dengan Penjual Labu misterius selama event untuk mendapatkan diskon yang luar biasa!")</f>
        <v>- Event Pesta Semangat
Festival Ketakutan: Gunakan Toples Permen untuk bermain, dan menangkan ton sumber daya dan kesempatan untuk mendapatkan skin kota Halloween khusus!
Trick or Treat: Ketuk pintu! Tawarkan Koin Labu Anda kepada tetangga untuk menukarkan dekorasi Halloween langka, efek berbaris, papan nama khusus, dan lainnya!
Pertunjukan Hantu: Hiasi kota Anda dengan penampilan khusus selama Pesta Semangat! Pemain dikelompokkan menjadi dua tim setiap hari - pergi ke peta untuk menemukan kota dengan penampilan lawan untuk mendapatkan poin dan hadiah tim di akhir hari. Siap atau tidak, aku datang!
Tambang Hantu: Waspada terhadap hantu! Maju dengan hati-hati. Mainkan level Gali Harta Karun baru selama event untuk mendapatkan hadiah yang luar biasa!
Tawar-Menawar Tengah Malam: Obrolan dan tawar-menawar dengan Penjual Labu misterius selama event untuk mendapatkan diskon yang luar biasa!</v>
      </c>
      <c r="I46" s="148" t="str">
        <f>IFERROR(__xludf.DUMMYFUNCTION("""COMPUTED_VALUE"""),"- งานเลี้ยงจิตวิญญาณ
เทศกาลแห่งความหวาดกลัว: ใช้กระปุกลูกอมเพื่อเล่น, และชนะทรัพยากรมากมายและมีโอกาสได้รับสกินเมืองฮาโลวีนพิเศษ!
ทริกออร์ทรีต: ก๊อก ก๊อก! นำเหรียญฟักทองของคุณไปให้เพื่อนบ้านเพื่อแลกเปลี่ยนการตกแต่งฮาโลวีนที่หายาก, เอฟเฟกต์การเดินทัพ, ป้ายช"&amp;"ื่อพิเศษ, และอื่น ๆ อีกมากมาย!
การชิงชัยแห่งแรงจิต: แต่งตัวเมืองของคุณในลักษณะพิเศษระหว่างงานเลี้ยงจิตวิญญาณ! ผู้เล่นจะถูกจัดเป็นสองทีมทุกวัน - ไปที่แผนที่เพื่อค้นหาเมืองที่มีลักษณะของคู่แข่งเพื่อทำคะแนนและรางวัลทีมในสิ้นวัน. พร้อมหรือไม่ ฉันกำลังจะมา!
เห"&amp;"มืองผี: ระวังผี! ดำเนินการด้วยความระมัดระวัง. เล่นเลเวลขุดสมบัติใหม่ระหว่างกิจกรรมเพื่อรับรางวัลที่น่าทึ่ง!
การต่อรองกลางคืน: แชทและต่อรองกับผู้ขายฟักทองลึกลับระหว่างกิจกรรมเพื่อรับส่วนลดที่น่าทึ่ง!")</f>
        <v>- งานเลี้ยงจิตวิญญาณ
เทศกาลแห่งความหวาดกลัว: ใช้กระปุกลูกอมเพื่อเล่น, และชนะทรัพยากรมากมายและมีโอกาสได้รับสกินเมืองฮาโลวีนพิเศษ!
ทริกออร์ทรีต: ก๊อก ก๊อก! นำเหรียญฟักทองของคุณไปให้เพื่อนบ้านเพื่อแลกเปลี่ยนการตกแต่งฮาโลวีนที่หายาก, เอฟเฟกต์การเดินทัพ, ป้ายชื่อพิเศษ, และอื่น ๆ อีกมากมาย!
การชิงชัยแห่งแรงจิต: แต่งตัวเมืองของคุณในลักษณะพิเศษระหว่างงานเลี้ยงจิตวิญญาณ! ผู้เล่นจะถูกจัดเป็นสองทีมทุกวัน - ไปที่แผนที่เพื่อค้นหาเมืองที่มีลักษณะของคู่แข่งเพื่อทำคะแนนและรางวัลทีมในสิ้นวัน. พร้อมหรือไม่ ฉันกำลังจะมา!
เหมืองผี: ระวังผี! ดำเนินการด้วยความระมัดระวัง. เล่นเลเวลขุดสมบัติใหม่ระหว่างกิจกรรมเพื่อรับรางวัลที่น่าทึ่ง!
การต่อรองกลางคืน: แชทและต่อรองกับผู้ขายฟักทองลึกลับระหว่างกิจกรรมเพื่อรับส่วนลดที่น่าทึ่ง!</v>
      </c>
      <c r="J46" s="148" t="str">
        <f>IFERROR(__xludf.DUMMYFUNCTION("""COMPUTED_VALUE"""),"- Eventos de la Fiesta del Espíritu
Festival de los Sustos: ¡Usa los Tarros de Dulces para jugar, y gana toneladas de recursos y la oportunidad de obtener la apariencia especial de la ciudad de Halloween!
Truco o Trato: ¡Toc, toc! Ofrece tus Monedas de Ca"&amp;"labaza a los vecinos para canjear decoraciones de Halloween raras, efectos de marcha, placas especiales, ¡y más!
Enfrentamiento Fantasma: ¡Viste tu ciudad con apariencias especiales durante la Fiesta del Espíritu! Los jugadores se agrupan en dos equipos c"&amp;"ada día - ve al mapa para encontrar ciudades con las apariencias del oponente para ganar puntos y recompensas de equipo al final del día. ¡Listo o no, aquí voy!
Mina Espeluznante: ¡Cuidado con los fantasmas! Continúa con precaución. Juega nuevos niveles d"&amp;"e Búsqueda de Tesoros durante el evento para obtener recompensas increíbles!
Regateo de Medianoche: ¡Chatea y regatea con el misterioso Vendedor de Calabazas durante el evento para obtener descuentos increíbles!")</f>
        <v>- Eventos de la Fiesta del Espíritu
Festival de los Sustos: ¡Usa los Tarros de Dulces para jugar, y gana toneladas de recursos y la oportunidad de obtener la apariencia especial de la ciudad de Halloween!
Truco o Trato: ¡Toc, toc! Ofrece tus Monedas de Calabaza a los vecinos para canjear decoraciones de Halloween raras, efectos de marcha, placas especiales, ¡y más!
Enfrentamiento Fantasma: ¡Viste tu ciudad con apariencias especiales durante la Fiesta del Espíritu! Los jugadores se agrupan en dos equipos cada día - ve al mapa para encontrar ciudades con las apariencias del oponente para ganar puntos y recompensas de equipo al final del día. ¡Listo o no, aquí voy!
Mina Espeluznante: ¡Cuidado con los fantasmas! Continúa con precaución. Juega nuevos niveles de Búsqueda de Tesoros durante el evento para obtener recompensas increíbles!
Regateo de Medianoche: ¡Chatea y regatea con el misterioso Vendedor de Calabazas durante el evento para obtener descuentos increíbles!</v>
      </c>
      <c r="K46" s="148" t="str">
        <f>IFERROR(__xludf.DUMMYFUNCTION("""COMPUTED_VALUE"""),"- События Вечера Духов
Фестиваль Ужасов: Используйте банки с конфетами для игры и выиграйте тонны ресурсов и возможность получить специальный городской скин на Хэллоуин!
Шалость или сладость: Тук-тук! Предложите свои тыквенные монеты соседям, чтобы обменя"&amp;"ть их на редкие украшения на Хэллоуин, эффекты марша, специальные именные таблички и многое другое!
Фантомное противостояние: Украсьте свой город специальными образами во время Вечера Духов! Игроки каждый день разделяются на две команды - отправляйтесь на"&amp;" карту, чтобы найти города с образами соперников, чтобы заработать очки и командные награды в конце дня. Готовы или нет, я иду!
Шахта Ужасов: Остерегайтесь призраков! Действуйте с осторожностью. Играйте на новых уровнях ""Поиск сокровищ"" во время события"&amp;", чтобы получить удивительные награды!
Торг у полуночи: Общайтесь и торгуйтесь с таинственным торговцем тыквами во время события, чтобы получить удивительные скидки!")</f>
        <v>- События Вечера Духов
Фестиваль Ужасов: Используйте банки с конфетами для игры и выиграйте тонны ресурсов и возможность получить специальный городской скин на Хэллоуин!
Шалость или сладость: Тук-тук! Предложите свои тыквенные монеты соседям, чтобы обменять их на редкие украшения на Хэллоуин, эффекты марша, специальные именные таблички и многое другое!
Фантомное противостояние: Украсьте свой город специальными образами во время Вечера Духов! Игроки каждый день разделяются на две команды - отправляйтесь на карту, чтобы найти города с образами соперников, чтобы заработать очки и командные награды в конце дня. Готовы или нет, я иду!
Шахта Ужасов: Остерегайтесь призраков! Действуйте с осторожностью. Играйте на новых уровнях "Поиск сокровищ" во время события, чтобы получить удивительные награды!
Торг у полуночи: Общайтесь и торгуйтесь с таинственным торговцем тыквами во время события, чтобы получить удивительные скидки!</v>
      </c>
      <c r="L46" s="148" t="str">
        <f>IFERROR(__xludf.DUMMYFUNCTION("""COMPUTED_VALUE"""),"- Ruh Toplantısı Etkinlikleri
Korku Festivali: Şeker Kavanozlarını kullanarak oyna ve tonlarca kaynak ile özel Halloween şehir görünümü elde etme şansı kazan!
Şeker mi Şaka mı?: Tık tık! Bal Kabağı Paralarını komşularına teklif et ve nadir Halloween süsle"&amp;"meleri, sefer efektleri, özel tabelalar ve daha fazlasını elde et!
Hayalet Karşılaşma: Ruh Toplantısı sırasında şehrinizi özel görünümlerle süsleyin! Oyuncular her gün iki takıma ayrılır - rakibin görünümlerine sahip şehirleri bulmak için haritaya gidin v"&amp;"e günün sonunda puan ve takım ödülleri kazanın. Hazır olun ya da olmayın, işte geliyorum!
Hayalet Madeni: Hayaletlere dikkat et! Dikkatli bir şekilde devam et. Etkinlik sırasında yeni Hazine Kazı seviyelerini oyna ve harika ödüller kazan!
Gece Yarısı Paza"&amp;"rlık: Etkinlik sırasında gizemli Bal Kabağı Satıcısı ile sohbet edin ve harika indirimler elde edin!")</f>
        <v>- Ruh Toplantısı Etkinlikleri
Korku Festivali: Şeker Kavanozlarını kullanarak oyna ve tonlarca kaynak ile özel Halloween şehir görünümü elde etme şansı kazan!
Şeker mi Şaka mı?: Tık tık! Bal Kabağı Paralarını komşularına teklif et ve nadir Halloween süslemeleri, sefer efektleri, özel tabelalar ve daha fazlasını elde et!
Hayalet Karşılaşma: Ruh Toplantısı sırasında şehrinizi özel görünümlerle süsleyin! Oyuncular her gün iki takıma ayrılır - rakibin görünümlerine sahip şehirleri bulmak için haritaya gidin ve günün sonunda puan ve takım ödülleri kazanın. Hazır olun ya da olmayın, işte geliyorum!
Hayalet Madeni: Hayaletlere dikkat et! Dikkatli bir şekilde devam et. Etkinlik sırasında yeni Hazine Kazı seviyelerini oyna ve harika ödüller kazan!
Gece Yarısı Pazarlık: Etkinlik sırasında gizemli Bal Kabağı Satıcısı ile sohbet edin ve harika indirimler elde edin!</v>
      </c>
      <c r="M46" s="148" t="str">
        <f>IFERROR(__xludf.DUMMYFUNCTION("""COMPUTED_VALUE"""),"- Sự kiện Tiệc Tùng Linh Hồn
Lễ hội Kinh Dị: Sử dụng Hũ Kẹo để chơi, và giành được hàng tấn tài nguyên và cơ hội nhận được skin thành phố Halloween đặc biệt!
Kẹo hay ghẹo: Ai ở nhà không! Đưa Xu Bí Ngô của bạn cho hàng xóm để đổi lấy đồ trang trí Hallowee"&amp;"n hiếm, hiệu ứng hành quân, thẻ tên đặc biệt, và nhiều hơn nữa!
Đối đầu Ma Quỷ: Trang trí thành phố của bạn với những hình dạng đặc biệt trong suốt Tiệc Tùng Linh Hồn! Người chơi được chia thành hai đội mỗi ngày - đi đến bản đồ để tìm các thành phố với hì"&amp;"nh dạng của đối thủ để kiếm điểm và phần thưởng đội vào cuối ngày. Sẵn sàng hay không, tôi đến đây!
Mỏ Ma Quỷ: Hãy cẩn thận với những hồn ma! Tiến lên một cách thận trọng. Chơi các cấp độ Đào Kho Báu mới trong suốt sự kiện để nhận được phần thưởng tuyệt v"&amp;"ời!
Mặc Cả Nửa Đêm: Trò chuyện và mặc cả với Người Bán Bí Ngô bí ẩn trong suốt sự kiện để nhận được những giảm giá tuyệt vời!")</f>
        <v>- Sự kiện Tiệc Tùng Linh Hồn
Lễ hội Kinh Dị: Sử dụng Hũ Kẹo để chơi, và giành được hàng tấn tài nguyên và cơ hội nhận được skin thành phố Halloween đặc biệt!
Kẹo hay ghẹo: Ai ở nhà không! Đưa Xu Bí Ngô của bạn cho hàng xóm để đổi lấy đồ trang trí Halloween hiếm, hiệu ứng hành quân, thẻ tên đặc biệt, và nhiều hơn nữa!
Đối đầu Ma Quỷ: Trang trí thành phố của bạn với những hình dạng đặc biệt trong suốt Tiệc Tùng Linh Hồn! Người chơi được chia thành hai đội mỗi ngày - đi đến bản đồ để tìm các thành phố với hình dạng của đối thủ để kiếm điểm và phần thưởng đội vào cuối ngày. Sẵn sàng hay không, tôi đến đây!
Mỏ Ma Quỷ: Hãy cẩn thận với những hồn ma! Tiến lên một cách thận trọng. Chơi các cấp độ Đào Kho Báu mới trong suốt sự kiện để nhận được phần thưởng tuyệt vời!
Mặc Cả Nửa Đêm: Trò chuyện và mặc cả với Người Bán Bí Ngô bí ẩn trong suốt sự kiện để nhận được những giảm giá tuyệt vời!</v>
      </c>
      <c r="N46" s="108" t="str">
        <f>IFERROR(__xludf.DUMMYFUNCTION("""COMPUTED_VALUE"""),"- Eventi della Festa dello Spirito
Festival degli Spaventi: Usa i Barattoli di Caramelle per giocare e vinci tonnellate di risorse e la possibilità di ottenere la speciale skin della città di Halloween!
Dolcetto o Scherzetto: Knock knock! Offri le tue Mon"&amp;"ete Zucca ai vicini per riscattare rare decorazioni di Halloween, effetti di marcia, targhette speciali e altro!
Scontro Fantasma: Vesti la tua città con aspetti speciali durante la Festa dello Spirito! I giocatori vengono raggruppati in due squadre ogni "&amp;"giorno - vai alla mappa per trovare città con le apparenze dell'avversario per guadagnare punti e ricompense di squadra alla fine della giornata. Pronto o no, ecco che arrivo!
Miniera Spaventosa: Attenzione ai fantasmi! Procedi con cautela. Gioca a nuovi "&amp;"livelli di Scavo del Tesoro durante l'evento per ottenere ricompense sorprendenti!
Contrattazione a Mezzanotte: Chatta e contratta con il misterioso Venditore di Zucche durante l'evento per ottenere sconti sorprendenti!")</f>
        <v>- Eventi della Festa dello Spirito
Festival degli Spaventi: Usa i Barattoli di Caramelle per giocare e vinci tonnellate di risorse e la possibilità di ottenere la speciale skin della città di Halloween!
Dolcetto o Scherzetto: Knock knock! Offri le tue Monete Zucca ai vicini per riscattare rare decorazioni di Halloween, effetti di marcia, targhette speciali e altro!
Scontro Fantasma: Vesti la tua città con aspetti speciali durante la Festa dello Spirito! I giocatori vengono raggruppati in due squadre ogni giorno - vai alla mappa per trovare città con le apparenze dell'avversario per guadagnare punti e ricompense di squadra alla fine della giornata. Pronto o no, ecco che arrivo!
Miniera Spaventosa: Attenzione ai fantasmi! Procedi con cautela. Gioca a nuovi livelli di Scavo del Tesoro durante l'evento per ottenere ricompense sorprendenti!
Contrattazione a Mezzanotte: Chatta e contratta con il misterioso Venditore di Zucche durante l'evento per ottenere sconti sorprendenti!</v>
      </c>
      <c r="O46" s="148" t="str">
        <f>IFERROR(__xludf.DUMMYFUNCTION("""COMPUTED_VALUE"""),"- Wydarzenia Soiree Ducha
Festiwal Strachów: Użyj Słoików na cukierki, aby grać i wygrać mnóstwo zasobów oraz szansę na zdobycie specjalnej skórki miasta na Halloween!
Cukierek albo Psikus: Knock knock! Zaoferuj swoje Monety dyniowe sąsiadom, aby wymienić"&amp;" je na rzadkie dekoracje Halloween, efekty marszu, specjalne dymki i więcej!
Phantom Showdown: Przyodziej swoje miasto w specjalne stroje podczas Soiree Ducha! Gracze są grupowani w dwie drużyny każdego dnia - idź na mapę, aby znaleźć miasta z wyglądem pr"&amp;"zeciwnika, aby zdobyć punkty i nagrody drużynowe na koniec dnia. Gotowy czy nie, nadchodzę!
Spook Mine: Uważaj na duchy! Postępuj ostrożnie. Graj w nowe poziomy Treasure Dig podczas wydarzenia, aby zdobyć niesamowite nagrody!
Targowanie o Północy: Czatuj "&amp;"i targuj się z tajemniczym Sprzedawcą Dyni podczas wydarzenia, aby uzyskać niesamowite zniżki!")</f>
        <v>- Wydarzenia Soiree Ducha
Festiwal Strachów: Użyj Słoików na cukierki, aby grać i wygrać mnóstwo zasobów oraz szansę na zdobycie specjalnej skórki miasta na Halloween!
Cukierek albo Psikus: Knock knock! Zaoferuj swoje Monety dyniowe sąsiadom, aby wymienić je na rzadkie dekoracje Halloween, efekty marszu, specjalne dymki i więcej!
Phantom Showdown: Przyodziej swoje miasto w specjalne stroje podczas Soiree Ducha! Gracze są grupowani w dwie drużyny każdego dnia - idź na mapę, aby znaleźć miasta z wyglądem przeciwnika, aby zdobyć punkty i nagrody drużynowe na koniec dnia. Gotowy czy nie, nadchodzę!
Spook Mine: Uważaj na duchy! Postępuj ostrożnie. Graj w nowe poziomy Treasure Dig podczas wydarzenia, aby zdobyć niesamowite nagrody!
Targowanie o Północy: Czatuj i targuj się z tajemniczym Sprzedawcą Dyni podczas wydarzenia, aby uzyskać niesamowite zniżki!</v>
      </c>
      <c r="P46" s="148" t="str">
        <f>IFERROR(__xludf.DUMMYFUNCTION("""COMPUTED_VALUE"""),"- أحداث حفلة الروح
مهرجان الرعب: استخدم برطمانات الحلوى للعب، واربح الكثير من الموارد وفرصة للحصول على جلد المدينة الخاص بالهالوين!
خدعة أم حلوى: Knock knock! قدم عملات اليقطين الخاصة بك للجيران لاستبدال الديكورات النادرة للهالوين، تأثيرات المسيرة، لوحات "&amp;"الأسماء الخاصة، والمزيد!
مواجهة الشبح: زين مدينتك بمظاهر خاصة خلال حفلة الروح! يتم تجميع اللاعبين في فريقين كل يوم - اذهب إلى الخريطة للعثور على المدن التي تحمل مظاهر الخصم لكسب النقاط وجوائز الفريق في نهاية اليوم. جاهز أم لا، ها أنا آتي!
منجم الرعب: احذر"&amp;" من الأشباح! تقدم بحذر. العب مستويات حفر الكنز الجديدة خلال الحدث للحصول على مكافآت مدهشة!
المساومة منتصف الليل: دردش وتفاوض مع بائع اليقطين الغامض خلال الحدث للحصول على خصومات مدهشة!")</f>
        <v>- أحداث حفلة الروح
مهرجان الرعب: استخدم برطمانات الحلوى للعب، واربح الكثير من الموارد وفرصة للحصول على جلد المدينة الخاص بالهالوين!
خدعة أم حلوى: Knock knock! قدم عملات اليقطين الخاصة بك للجيران لاستبدال الديكورات النادرة للهالوين، تأثيرات المسيرة، لوحات الأسماء الخاصة، والمزيد!
مواجهة الشبح: زين مدينتك بمظاهر خاصة خلال حفلة الروح! يتم تجميع اللاعبين في فريقين كل يوم - اذهب إلى الخريطة للعثور على المدن التي تحمل مظاهر الخصم لكسب النقاط وجوائز الفريق في نهاية اليوم. جاهز أم لا، ها أنا آتي!
منجم الرعب: احذر من الأشباح! تقدم بحذر. العب مستويات حفر الكنز الجديدة خلال الحدث للحصول على مكافآت مدهشة!
المساومة منتصف الليل: دردش وتفاوض مع بائع اليقطين الغامض خلال الحدث للحصول على خصومات مدهشة!</v>
      </c>
      <c r="Q46" s="148" t="str">
        <f>IFERROR(__xludf.DUMMYFUNCTION("""COMPUTED_VALUE"""),"- スピリットソワレイベント
恐怖の祭り：キャンディジャーを使用してプレイし、大量のリソースと特別なハロウィン都市スキンを手に入れるチャンスを勝ち取りましょう！
トリック・オア・トリート：ノックノック！パンプキンコインを近所の人に提供して、レアなハロウィンの装飾品、行軍エフェクト、特別なネームプレートなどを引き換えましょう！
ファントムショーダウン：スピリットソワレ期間中に都市を特別な外観で飾りましょう！プレイヤーは毎日2つのチームに分けられます - マップに行って、敵の外観を持つ都市を見つけてポイントを"&amp;"獲得し、一日の終わりにチーム報酬を得ましょう。準備ができているかどうか、ここに来ます！
スプークマイン：幽霊に注意してください！慎重に進んでください。イベント期間中に新しい地底の宝探しレベルをプレイして、素晴らしい報酬を手に入れましょう！
真夜中の交渉：イベント期間中に神秘的なパンプキンベンダーとチャットして交渉し、驚くほどの割引を手に入れましょう！")</f>
        <v>- スピリットソワレイベント
恐怖の祭り：キャンディジャーを使用してプレイし、大量のリソースと特別なハロウィン都市スキンを手に入れるチャンスを勝ち取りましょう！
トリック・オア・トリート：ノックノック！パンプキンコインを近所の人に提供して、レアなハロウィンの装飾品、行軍エフェクト、特別なネームプレートなどを引き換えましょう！
ファントムショーダウン：スピリットソワレ期間中に都市を特別な外観で飾りましょう！プレイヤーは毎日2つのチームに分けられます - マップに行って、敵の外観を持つ都市を見つけてポイントを獲得し、一日の終わりにチーム報酬を得ましょう。準備ができているかどうか、ここに来ます！
スプークマイン：幽霊に注意してください！慎重に進んでください。イベント期間中に新しい地底の宝探しレベルをプレイして、素晴らしい報酬を手に入れましょう！
真夜中の交渉：イベント期間中に神秘的なパンプキンベンダーとチャットして交渉し、驚くほどの割引を手に入れましょう！</v>
      </c>
      <c r="R46" s="148" t="str">
        <f>IFERROR(__xludf.DUMMYFUNCTION("""COMPUTED_VALUE"""),"- 정신의 소셜 파티 이벤트
공포의 축제: 캔디 항아리를 사용하여 게임을 즐기고, 대량의 자원과 특별한 할로윈 도시 스킨을 얻을 기회를 잡으세요!
트릭 오어 트릿: 똑똑! 당신의 호박 동전을 이웃에게 제공하여 희귀한 할로윈 장식, 행군 이펙트, 특별한 명패 등을 교환하세요!
팬텀 대결: 정신의 소셜 파티 동안 당신의 도시를 특별한 외관으로 꾸미세요! 매일 플레이어들은 두 팀으로 나뉘며 - 지도로 가서 상대 팀의 외관을 가진 도시를 찾아 점수를 얻고 하루"&amp;"가 끝날 때 팀 보상을 받으세요. 준비가 되었든, 되지 않았든, 나가서 찾아보세요!
스푸크 광산: 유령을 조심하세요! 주의해서 진행하십시오. 이벤트 기간 동안 새로운 보물찾기 레벨을 플레이하여 놀라운 보상을 받으세요!
자정의 흥정: 이벤트 기간 동안 신비한 호박 상인과 채팅하고 흥정하여 놀라운 할인 혜택을 받으세요!")</f>
        <v>- 정신의 소셜 파티 이벤트
공포의 축제: 캔디 항아리를 사용하여 게임을 즐기고, 대량의 자원과 특별한 할로윈 도시 스킨을 얻을 기회를 잡으세요!
트릭 오어 트릿: 똑똑! 당신의 호박 동전을 이웃에게 제공하여 희귀한 할로윈 장식, 행군 이펙트, 특별한 명패 등을 교환하세요!
팬텀 대결: 정신의 소셜 파티 동안 당신의 도시를 특별한 외관으로 꾸미세요! 매일 플레이어들은 두 팀으로 나뉘며 - 지도로 가서 상대 팀의 외관을 가진 도시를 찾아 점수를 얻고 하루가 끝날 때 팀 보상을 받으세요. 준비가 되었든, 되지 않았든, 나가서 찾아보세요!
스푸크 광산: 유령을 조심하세요! 주의해서 진행하십시오. 이벤트 기간 동안 새로운 보물찾기 레벨을 플레이하여 놀라운 보상을 받으세요!
자정의 흥정: 이벤트 기간 동안 신비한 호박 상인과 채팅하고 흥정하여 놀라운 할인 혜택을 받으세요!</v>
      </c>
      <c r="S46" s="148"/>
      <c r="T46" s="148"/>
      <c r="U46" s="148"/>
      <c r="V46" s="148"/>
      <c r="W46" s="148"/>
      <c r="X46" s="148"/>
      <c r="Y46" s="148"/>
      <c r="Z46" s="148"/>
    </row>
    <row r="47">
      <c r="A47" s="167" t="str">
        <f>IFERROR(__xludf.DUMMYFUNCTION("""COMPUTED_VALUE"""),"0.58.0")</f>
        <v>0.58.0</v>
      </c>
      <c r="B47" s="148" t="str">
        <f>IFERROR(__xludf.DUMMYFUNCTION("""COMPUTED_VALUE"""),"- 新增机甲：闪电-猎豹，善于在野外隐藏行迹的致命杀手！
- 新增科技：在武装科技页签中增加科技，T6士兵攻击T5及以下低级士兵时将产生额外压制增益；
- 新增雕像：骑士精神-埃尔默，双天赋突破雕像已增加；
- 新增关卡：香蕉大战新增100个挑战关卡；堡垒对决新增了50个挑战关卡；新增加了T6军备远征关卡，可在解锁T6军备后进行体验；
- 新增新闻系统：指挥官从此可查阅整个猩球最新动态，及时掌握第一手资料！
- 新增战地争锋玩法：全新公平战场玩法，选择你想体验的兵种，在战场内畅快对战，赢得奖励吧！
- 新"&amp;"增战斗力成就：努力提升战斗力，获得成就奖励吧！
- 新增T6军备：猿族T6军备技术取得突破！指挥官在解锁某兵种T6士兵后并将该兵种军备品质提升至传说+6，便可以突破至超凡品质！超凡品质的军备拥有【战地钢甲】和【超能星战】两个方向，【战地钢甲】使兵种技能提升了强度，并能对T5及以下的敌人造成压制。【超能星战】分支的兵种技能则拥有全新机制，强度更高。
- 改造猴的威胁优化：新增“深渊”难度，挑战更强大的敌人，赢取更丰厚的奖励吧！
- 部分界面展示优化：堡垒竞夺强化了搜索界面同帮派成员的信息显示，新增了帮派成员"&amp;"间的攻击提示信息；")</f>
        <v>- 新增机甲：闪电-猎豹，善于在野外隐藏行迹的致命杀手！
- 新增科技：在武装科技页签中增加科技，T6士兵攻击T5及以下低级士兵时将产生额外压制增益；
- 新增雕像：骑士精神-埃尔默，双天赋突破雕像已增加；
- 新增关卡：香蕉大战新增100个挑战关卡；堡垒对决新增了50个挑战关卡；新增加了T6军备远征关卡，可在解锁T6军备后进行体验；
- 新增新闻系统：指挥官从此可查阅整个猩球最新动态，及时掌握第一手资料！
- 新增战地争锋玩法：全新公平战场玩法，选择你想体验的兵种，在战场内畅快对战，赢得奖励吧！
- 新增战斗力成就：努力提升战斗力，获得成就奖励吧！
- 新增T6军备：猿族T6军备技术取得突破！指挥官在解锁某兵种T6士兵后并将该兵种军备品质提升至传说+6，便可以突破至超凡品质！超凡品质的军备拥有【战地钢甲】和【超能星战】两个方向，【战地钢甲】使兵种技能提升了强度，并能对T5及以下的敌人造成压制。【超能星战】分支的兵种技能则拥有全新机制，强度更高。
- 改造猴的威胁优化：新增“深渊”难度，挑战更强大的敌人，赢取更丰厚的奖励吧！
- 部分界面展示优化：堡垒竞夺强化了搜索界面同帮派成员的信息显示，新增了帮派成员间的攻击提示信息；</v>
      </c>
      <c r="C47" s="148" t="str">
        <f>IFERROR(__xludf.DUMMYFUNCTION("""COMPUTED_VALUE"""),"- New mech: Lightning - Cheetah, a killer skilled in hiding in the wild.
- New research: new entries added to Weapons Technology that grant T6 units domination bonuses against T5 and lower troops.
- New statue: Chivalry Lives - Elmo, dual talent leap stat"&amp;"ue added.
- New levels: 100 challenge levels added to Banana Fight; 50 challenge levels added to Fortress Takeover; new T6 levels in Gear Expedition, unlock T6 gears to play.
- New ""news"" feature: check out the latest planet news and get timely updates "&amp;"here!
- New Primate Standoff feature: a fair battlefield where you can pick a unit type and duel in the special map to win rewards.
- New power achievements: Power up to win achievement rewards!
- New T6 gears: a breakthrough in T6 gears! Unlock a T6 unit"&amp;" and upgrade its gears to Legendary +6 to break through to Super quality! These gears feature two development paths: [Armor of Steel] enhances unit skills and allows domination over T5 and lower troops; [Interstellar War] offers new and enhanced unit skil"&amp;"ls.
- Threat of the Modified Monkeys optimized: new ""Inferno' difficulty level gives you more powerful enemies and even better rewards!
- Interface display optimized: improved display of Gang member info in the search page of Fortress Looter, added an al"&amp;"ert when attacking a Gangmate.")</f>
        <v>- New mech: Lightning - Cheetah, a killer skilled in hiding in the wild.
- New research: new entries added to Weapons Technology that grant T6 units domination bonuses against T5 and lower troops.
- New statue: Chivalry Lives - Elmo, dual talent leap statue added.
- New levels: 100 challenge levels added to Banana Fight; 50 challenge levels added to Fortress Takeover; new T6 levels in Gear Expedition, unlock T6 gears to play.
- New "news" feature: check out the latest planet news and get timely updates here!
- New Primate Standoff feature: a fair battlefield where you can pick a unit type and duel in the special map to win rewards.
- New power achievements: Power up to win achievement rewards!
- New T6 gears: a breakthrough in T6 gears! Unlock a T6 unit and upgrade its gears to Legendary +6 to break through to Super quality! These gears feature two development paths: [Armor of Steel] enhances unit skills and allows domination over T5 and lower troops; [Interstellar War] offers new and enhanced unit skills.
- Threat of the Modified Monkeys optimized: new "Inferno' difficulty level gives you more powerful enemies and even better rewards!
- Interface display optimized: improved display of Gang member info in the search page of Fortress Looter, added an alert when attacking a Gangmate.</v>
      </c>
      <c r="D47" s="148" t="str">
        <f>IFERROR(__xludf.DUMMYFUNCTION("""COMPUTED_VALUE"""),"- Nouveau mécha : Éclair - Guépard, un tueur expert en camouflage dans la nature.
- Nouvelle recherche : nouvelles entrées ajoutées à la Technologie Armée qui accordent aux unités T6 des bonus de domination contre les troupes T5 et inférieures.
- Nouvelle"&amp;" statue : La chevalerie vit - Elmo, statue d'IMPULSION DE TALENT ajoutée.
- Nouveaux niveaux : 100 niveaux de défi ajoutés à Banana Fight ; 50 niveaux de défi ajoutés à l'Invasion de forteresse ; nouveaux niveaux T6 dans Gear Expedition, débloquez les équ"&amp;"ipements T6 pour jouer.
- Nouvelle fonctionnalité ""actualités"" : consultez les dernières nouvelles de la planète et recevez des mises à jour en temps réel ici !
- Nouvelle fonctionnalité CONFRONTATION PRIMATE : un champ de bataille équitable où vous pou"&amp;"vez choisir un type d'unité et vous battre en duel sur la carte spéciale pour gagner des récompenses.
- Nouvelles réalisations de puissance : Gagnez en puissance pour triompher des récompenses de réussite !
- Nouveaux équipements T6 : une avancée dans les"&amp;" équipements T6 ! Débloquez une unité T6 et améliorez ses équipements à Légendaire +6 pour passer à la qualité Super ! Ces équipements présentent deux voies de développement : [Armure d'acier] améliore les compétences de l'unité et permet de dominer les t"&amp;"roupes T5 et inférieures ; [Guerre interstellaire] offre de nouvelles compétences d'unité améliorées.
- Menace des singes expérimentaux optimisée : le nouveau niveau de difficulté ""Inferno"" vous offre des ennemis plus puissants et des récompenses encore"&amp;" meilleures !
- Affichage de l'interface optimisé : amélioration de l'affichage des informations des membres du Gang dans la page de recherche de PILLAGE DE FORTERESSES, ajout d'une alerte lors de l'attaque d'un membre du Gang.")</f>
        <v>- Nouveau mécha : Éclair - Guépard, un tueur expert en camouflage dans la nature.
- Nouvelle recherche : nouvelles entrées ajoutées à la Technologie Armée qui accordent aux unités T6 des bonus de domination contre les troupes T5 et inférieures.
- Nouvelle statue : La chevalerie vit - Elmo, statue d'IMPULSION DE TALENT ajoutée.
- Nouveaux niveaux : 100 niveaux de défi ajoutés à Banana Fight ; 50 niveaux de défi ajoutés à l'Invasion de forteresse ; nouveaux niveaux T6 dans Gear Expedition, débloquez les équipements T6 pour jouer.
- Nouvelle fonctionnalité "actualités" : consultez les dernières nouvelles de la planète et recevez des mises à jour en temps réel ici !
- Nouvelle fonctionnalité CONFRONTATION PRIMATE : un champ de bataille équitable où vous pouvez choisir un type d'unité et vous battre en duel sur la carte spéciale pour gagner des récompenses.
- Nouvelles réalisations de puissance : Gagnez en puissance pour triompher des récompenses de réussite !
- Nouveaux équipements T6 : une avancée dans les équipements T6 ! Débloquez une unité T6 et améliorez ses équipements à Légendaire +6 pour passer à la qualité Super ! Ces équipements présentent deux voies de développement : [Armure d'acier] améliore les compétences de l'unité et permet de dominer les troupes T5 et inférieures ; [Guerre interstellaire] offre de nouvelles compétences d'unité améliorées.
- Menace des singes expérimentaux optimisée : le nouveau niveau de difficulté "Inferno" vous offre des ennemis plus puissants et des récompenses encore meilleures !
- Affichage de l'interface optimisé : amélioration de l'affichage des informations des membres du Gang dans la page de recherche de PILLAGE DE FORTERESSES, ajout d'une alerte lors de l'attaque d'un membre du Gang.</v>
      </c>
      <c r="E47" s="148" t="str">
        <f>IFERROR(__xludf.DUMMYFUNCTION("""COMPUTED_VALUE"""),"- Neuer Mech: Blitz - Gepard, ein Killer, der sich im Wilden zu verstecken versteht.
- Neue Forschung: Neue Einträge zur Bewaffneten Technologie hinzugefügt, die T6-Einheiten Überlegenheitsboni gegen T5 und niedrigere Truppen gewähren.
- Neue Statue: Ritt"&amp;"erlichkeit lebt - Elmo, Doppel-TALENTSPRUNG-Statue hinzugefügt.
- Neue Levels: 100 Herausforderungslevel zur Bananenschlacht hinzugefügt; 50 Herausforderungslevel zur Festungsübernahme hinzugefügt; neue T6-Level in Gear Expedition, schalte T6-Ausrüstungen"&amp;" frei, um zu spielen.
- Neue ""Nachrichten""-Funktion: Schau dir die neuesten Planetennachrichten an und erhalte hier zeitnahe Updates!
- Neue PRIMATEN-KONFRONTATION-Funktion: Ein fairer SCHLACHTFELD, auf dem du einen Einheitentyp auswählen und auf der sp"&amp;"eziellen Karte um Belohnungen kämpfen kannst.
- Neue Stärke-Erfolge: Werde stärker und sei siegreich, um Erfolgsbelohnungen zu erhalten!
- Neue T6-Ausrüstungen: Ein Durchbruch bei T6-Ausrüstungen! Schalte eine T6-Einheit frei und werte ihre Ausrüstungen a"&amp;"uf Legendär +6 auf, um zur Super-Qualität durchzubrechen! Diese Ausrüstungen bieten zwei Entwicklungspfade: [Stahlrüstung] verbessert die Einheiten-Fähigkeiten und ermöglicht die Überlegenheit über T5 und niedrigere Truppen; [Interstellarer Krieg] bietet "&amp;"neue und verbesserte Einheiten-Fähigkeiten.
- Bedrohung durch die modifizierten Affen optimiert: Neues ""Inferno""-Schwierigkeitslevel bietet dir mächtigere Gegner und noch bessere Belohnungen!
- Anzeige der Benutzeroberfläche optimiert: Verbesserte Anzei"&amp;"ge von GANG-Mitgliederinformationen auf der Suchseite des FESTUNGS-PLÜNDERERS, hinzugefügt eine Warnung beim Angriff auf einen GANG-Mitglied.")</f>
        <v>- Neuer Mech: Blitz - Gepard, ein Killer, der sich im Wilden zu verstecken versteht.
- Neue Forschung: Neue Einträge zur Bewaffneten Technologie hinzugefügt, die T6-Einheiten Überlegenheitsboni gegen T5 und niedrigere Truppen gewähren.
- Neue Statue: Ritterlichkeit lebt - Elmo, Doppel-TALENTSPRUNG-Statue hinzugefügt.
- Neue Levels: 100 Herausforderungslevel zur Bananenschlacht hinzugefügt; 50 Herausforderungslevel zur Festungsübernahme hinzugefügt; neue T6-Level in Gear Expedition, schalte T6-Ausrüstungen frei, um zu spielen.
- Neue "Nachrichten"-Funktion: Schau dir die neuesten Planetennachrichten an und erhalte hier zeitnahe Updates!
- Neue PRIMATEN-KONFRONTATION-Funktion: Ein fairer SCHLACHTFELD, auf dem du einen Einheitentyp auswählen und auf der speziellen Karte um Belohnungen kämpfen kannst.
- Neue Stärke-Erfolge: Werde stärker und sei siegreich, um Erfolgsbelohnungen zu erhalten!
- Neue T6-Ausrüstungen: Ein Durchbruch bei T6-Ausrüstungen! Schalte eine T6-Einheit frei und werte ihre Ausrüstungen auf Legendär +6 auf, um zur Super-Qualität durchzubrechen! Diese Ausrüstungen bieten zwei Entwicklungspfade: [Stahlrüstung] verbessert die Einheiten-Fähigkeiten und ermöglicht die Überlegenheit über T5 und niedrigere Truppen; [Interstellarer Krieg] bietet neue und verbesserte Einheiten-Fähigkeiten.
- Bedrohung durch die modifizierten Affen optimiert: Neues "Inferno"-Schwierigkeitslevel bietet dir mächtigere Gegner und noch bessere Belohnungen!
- Anzeige der Benutzeroberfläche optimiert: Verbesserte Anzeige von GANG-Mitgliederinformationen auf der Suchseite des FESTUNGS-PLÜNDERERS, hinzugefügt eine Warnung beim Angriff auf einen GANG-Mitglied.</v>
      </c>
      <c r="F47" s="148" t="str">
        <f>IFERROR(__xludf.DUMMYFUNCTION("""COMPUTED_VALUE"""),"- Novo mech: Lightning - Cheetah, um assassino especializado em se esconder na selva.
- Nova pesquisa: novas entradas adicionadas à Tecnologia Armada que concedem às unidades T6 bônus de dominação contra tropas T5 e inferiores.
- Nova estátua: Chivalry Li"&amp;"ves - Elmo, estátua de avanço de talento duplo adicionada.
- Novos níveis: 100 níveis de desafio adicionados ao Banana Fight; 50 níveis de desafio adicionados à Conquista da Fortaleza; novos níveis T6 na Expedição de Engrenagens, desbloqueie engrenagens T"&amp;"6 para jogar.
- Nova funcionalidade ""notícias"": confira as últimas notícias do planeta e receba atualizações oportunas aqui!
- Nova funcionalidade Confronto Primata: um campo de batalha justo onde você pode escolher um tipo de unidade e duelar no mapa e"&amp;"special para ganhar recompensas.
- Novas conquistas de poder: Fortaleça para vencer recompensas por conquista!
- Novas engrenagens T6: uma inovação nas engrenagens T6! Desbloqueie uma unidade T6 e melhore suas engrenagens para Lendário +6 para avançar par"&amp;"a a qualidade Super! Essas engrenagens apresentam dois caminhos de desenvolvimento: [Armadura de Aço] aprimora habilidades de unidade e permite dominação sobre tropas T5 e inferiores; [Guerra Interestelar] oferece novas habilidades de unidade e aprimorada"&amp;"s.
- Ameaça dos Macacos Modificados otimizada: novo nível de dificuldade ""Inferno"" oferece inimigos mais poderosos e recompensas ainda melhores!
- Exibição de interface otimizada: melhoria na exibição de informações de membros da Gangue na página de bus"&amp;"ca do Saque de Fortalezas, adicionado um alerta ao atacar um companheiro de gangue.")</f>
        <v>- Novo mech: Lightning - Cheetah, um assassino especializado em se esconder na selva.
- Nova pesquisa: novas entradas adicionadas à Tecnologia Armada que concedem às unidades T6 bônus de dominação contra tropas T5 e inferiores.
- Nova estátua: Chivalry Lives - Elmo, estátua de avanço de talento duplo adicionada.
- Novos níveis: 100 níveis de desafio adicionados ao Banana Fight; 50 níveis de desafio adicionados à Conquista da Fortaleza; novos níveis T6 na Expedição de Engrenagens, desbloqueie engrenagens T6 para jogar.
- Nova funcionalidade "notícias": confira as últimas notícias do planeta e receba atualizações oportunas aqui!
- Nova funcionalidade Confronto Primata: um campo de batalha justo onde você pode escolher um tipo de unidade e duelar no mapa especial para ganhar recompensas.
- Novas conquistas de poder: Fortaleça para vencer recompensas por conquista!
- Novas engrenagens T6: uma inovação nas engrenagens T6! Desbloqueie uma unidade T6 e melhore suas engrenagens para Lendário +6 para avançar para a qualidade Super! Essas engrenagens apresentam dois caminhos de desenvolvimento: [Armadura de Aço] aprimora habilidades de unidade e permite dominação sobre tropas T5 e inferiores; [Guerra Interestelar] oferece novas habilidades de unidade e aprimoradas.
- Ameaça dos Macacos Modificados otimizada: novo nível de dificuldade "Inferno" oferece inimigos mais poderosos e recompensas ainda melhores!
- Exibição de interface otimizada: melhoria na exibição de informações de membros da Gangue na página de busca do Saque de Fortalezas, adicionado um alerta ao atacar um companheiro de gangue.</v>
      </c>
      <c r="G47" s="148" t="str">
        <f>IFERROR(__xludf.DUMMYFUNCTION("""COMPUTED_VALUE"""),"-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
- 新增勢力值成就：努力提升勢力值，取得成就獎勵吧！
- 新增新聞系統：指揮官從此可查閱整個猩球全新動態，及時掌握第一手資料！
- 新增戰地爭鋒玩法：全新公平戰場玩法，選擇"&amp;"你想體驗的兵種，在戰場內暢快對戰，贏得獎勵吧！
- 新增T6軍備：猿族T6軍備科技取得突破！指揮官在解鎖某兵種T6士兵後並將該兵種軍備品質提升至傳說+6，便可以突破至超凡品質！超凡品質的軍備擁有【戰地鋼甲】和【超能星戰】兩個方向，【戰地鋼甲】使兵種技能提升了強度，並能對T5及以下的敵人造成壓制。【超能星戰】分支的兵種技能則擁有全新機制，強度更高。
- 改造猴的威脅優化：新增“深淵”難度，喚醒更強大的敵人，贏取更豐厚的獎勵吧！
- 部分界面展示優化：堡壘競奪強化了搜索界面同成員的信息顯示，新增了成員間的攻擊"&amp;"貼士信息；")</f>
        <v>-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
- 新增勢力值成就：努力提升勢力值，取得成就獎勵吧！
- 新增新聞系統：指揮官從此可查閱整個猩球全新動態，及時掌握第一手資料！
- 新增戰地爭鋒玩法：全新公平戰場玩法，選擇你想體驗的兵種，在戰場內暢快對戰，贏得獎勵吧！
- 新增T6軍備：猿族T6軍備科技取得突破！指揮官在解鎖某兵種T6士兵後並將該兵種軍備品質提升至傳說+6，便可以突破至超凡品質！超凡品質的軍備擁有【戰地鋼甲】和【超能星戰】兩個方向，【戰地鋼甲】使兵種技能提升了強度，並能對T5及以下的敵人造成壓制。【超能星戰】分支的兵種技能則擁有全新機制，強度更高。
- 改造猴的威脅優化：新增“深淵”難度，喚醒更強大的敵人，贏取更豐厚的獎勵吧！
- 部分界面展示優化：堡壘競奪強化了搜索界面同成員的信息顯示，新增了成員間的攻擊貼士信息；</v>
      </c>
      <c r="H47" s="148" t="str">
        <f>IFERROR(__xludf.DUMMYFUNCTION("""COMPUTED_VALUE"""),"- Mech baru: Lightning - Cheetah, seorang pembunuh terampil yang ahli dalam bersembunyi di alam liar.
- Penelitian baru: entri baru ditambahkan ke Teknologi Senjata yang memberikan bonus dominasi unit T6 terhadap pasukan T5 dan lebih rendah.
- Patung baru"&amp;": Chivalry Lives - Elmo, patung lompatan bakat ganda ditambahkan.
- Level baru: 100 level tantangan ditambahkan ke Banana Fight; 50 level tantangan ditambahkan ke Penaklukan Benteng; level T6 baru dalam Gear Expedition, buka peralatan T6 untuk bermain.
- "&amp;"Fitur ""berita"" baru: cek berita terbaru planet dan dapatkan pembaruan tepat waktu di sini!
- Fitur Konfrontasi Primata baru: medan perang yang adil di mana Anda dapat memilih jenis unit dan duel di peta khusus untuk memenangkan hadiah.
- Pencapaian keku"&amp;"atan baru: Tingkatkan kekuatan untuk memenangkan hadiah pencapaian!
- Peralatan T6 baru: terobosan dalam peralatan T6! Buka unit T6 dan tingkatkan peralatannya menjadi Legendaris +6 untuk mencapai kualitas Super! Peralatan ini memiliki dua jalur pengemban"&amp;"gan: [Zirah Baja] meningkatkan keahlian unit dan memungkinkan dominasi atas pasukan T5 dan lebih rendah; [Perang Antarbintang] menawarkan keahlian unit baru dan ditingkatkan.
- Ancaman Kera Modifikasi dioptimalkan: level kesulitan ""Inferno"" memberikan m"&amp;"usuh yang lebih kuat dan hadiah yang lebih baik!
- Tampilan antarmuka dioptimalkan: peningkatan tampilan info anggota Geng di halaman pencarian Penjarahan Benteng, menambahkan peringatan saat menyerang anggota Geng.")</f>
        <v>- Mech baru: Lightning - Cheetah, seorang pembunuh terampil yang ahli dalam bersembunyi di alam liar.
- Penelitian baru: entri baru ditambahkan ke Teknologi Senjata yang memberikan bonus dominasi unit T6 terhadap pasukan T5 dan lebih rendah.
- Patung baru: Chivalry Lives - Elmo, patung lompatan bakat ganda ditambahkan.
- Level baru: 100 level tantangan ditambahkan ke Banana Fight; 50 level tantangan ditambahkan ke Penaklukan Benteng; level T6 baru dalam Gear Expedition, buka peralatan T6 untuk bermain.
- Fitur "berita" baru: cek berita terbaru planet dan dapatkan pembaruan tepat waktu di sini!
- Fitur Konfrontasi Primata baru: medan perang yang adil di mana Anda dapat memilih jenis unit dan duel di peta khusus untuk memenangkan hadiah.
- Pencapaian kekuatan baru: Tingkatkan kekuatan untuk memenangkan hadiah pencapaian!
- Peralatan T6 baru: terobosan dalam peralatan T6! Buka unit T6 dan tingkatkan peralatannya menjadi Legendaris +6 untuk mencapai kualitas Super! Peralatan ini memiliki dua jalur pengembangan: [Zirah Baja] meningkatkan keahlian unit dan memungkinkan dominasi atas pasukan T5 dan lebih rendah; [Perang Antarbintang] menawarkan keahlian unit baru dan ditingkatkan.
- Ancaman Kera Modifikasi dioptimalkan: level kesulitan "Inferno" memberikan musuh yang lebih kuat dan hadiah yang lebih baik!
- Tampilan antarmuka dioptimalkan: peningkatan tampilan info anggota Geng di halaman pencarian Penjarahan Benteng, menambahkan peringatan saat menyerang anggota Geng.</v>
      </c>
      <c r="I47" s="148" t="str">
        <f>IFERROR(__xludf.DUMMYFUNCTION("""COMPUTED_VALUE"""),"- เมคใหม่: Lightning - Cheetah, ฆาตกรที่มีทักษะในการซ่อนตัวในที่รกร้าง
- การวิจัยใหม่: เพิ่มรายการใหม่ในเทคโนโลยีที่มาพร้อมอาวุธ ที่ให้หน่วย T6 ครองสมรภูมิโบนัสต่อกองทหาร T5 และต่ำกว่า
- รูปปั้นใหม่: Chivalry Lives - Elmo, เพิ่มรูปปั้นการก้าวกระโดดความสาม"&amp;"ารถคู่
- เลเวลใหม่: เพิ่ม 100 เลเวลท้าทายใน Banana Fight; เพิ่ม 50 เลเวลท้าทายในการยึดป้อมปราการ; เลเวล T6 ใหม่ใน Gear Expedition, ปลดล็อกเกียร์ T6 เพื่อเล่น
- ฟีเจอร์ ""ข่าว"" ใหม่: ตรวจสอบข่าวล่าสุดของดาวเคราะห์และรับการอัปเดตทันท่วงทีที่นี่!
- ฟีเจอร์ "&amp;"Primate Standoff ใหม่: สนามรบที่ยุติธรรมที่คุณสามารถเลือกประเภทหน่วยและดวลในแผนที่พิเศษเพื่อชนะรางวัล
- ความสำเร็จพลังงานใหม่: เพิ่มพลังเพื่อชัยชนะรางวัลผลงาน!
- เกียร์ T6 ใหม่: การชนะขาดในเกียร์ T6! ปลดล็อกหน่วย T6 และอัปเกรดเกียร์ของมันเป็นตำนาน +6 เพื่"&amp;"อชนะขาดเพื่อคุณภาพซูเปอร์! เกียร์เหล่านี้มีสองเส้นทางการพัฒนา: [เกราะเหล็กไหล] เพิ่มทักษะของหน่วยและอนุญาตให้ครองสมรภูมิกองทหาร T5 และต่ำกว่า; [สงครามระหว่างดวงดาว] นำเสนอทักษะของหน่วยใหม่และที่ได้รับการปรับปรุง
- ความรุนแรงของลิงดัดแปลงถูกปรับปรุง: ระดับ"&amp;"ความยาก ""Inferno' ใหม่ให้คุณศัตรูที่มีพลังมากขึ้นและรางวัลที่ดีกว่า!
- การแสดงผลของอินเตอร์เฟซถูกปรับปรุง: ปรับปรุงการแสดงข้อมูลสมาชิกแก๊งค์ในหน้าค้นหาของปล้นป้อมปราการ, เพิ่มการแจ้งเตือนเมื่อโจมตีแก๊งค์เพื่อน.")</f>
        <v>- เมคใหม่: Lightning - Cheetah, ฆาตกรที่มีทักษะในการซ่อนตัวในที่รกร้าง
- การวิจัยใหม่: เพิ่มรายการใหม่ในเทคโนโลยีที่มาพร้อมอาวุธ ที่ให้หน่วย T6 ครองสมรภูมิโบนัสต่อกองทหาร T5 และต่ำกว่า
- รูปปั้นใหม่: Chivalry Lives - Elmo, เพิ่มรูปปั้นการก้าวกระโดดความสามารถคู่
- เลเวลใหม่: เพิ่ม 100 เลเวลท้าทายใน Banana Fight; เพิ่ม 50 เลเวลท้าทายในการยึดป้อมปราการ; เลเวล T6 ใหม่ใน Gear Expedition, ปลดล็อกเกียร์ T6 เพื่อเล่น
- ฟีเจอร์ "ข่าว" ใหม่: ตรวจสอบข่าวล่าสุดของดาวเคราะห์และรับการอัปเดตทันท่วงทีที่นี่!
- ฟีเจอร์ Primate Standoff ใหม่: สนามรบที่ยุติธรรมที่คุณสามารถเลือกประเภทหน่วยและดวลในแผนที่พิเศษเพื่อชนะรางวัล
- ความสำเร็จพลังงานใหม่: เพิ่มพลังเพื่อชัยชนะรางวัลผลงาน!
- เกียร์ T6 ใหม่: การชนะขาดในเกียร์ T6! ปลดล็อกหน่วย T6 และอัปเกรดเกียร์ของมันเป็นตำนาน +6 เพื่อชนะขาดเพื่อคุณภาพซูเปอร์! เกียร์เหล่านี้มีสองเส้นทางการพัฒนา: [เกราะเหล็กไหล] เพิ่มทักษะของหน่วยและอนุญาตให้ครองสมรภูมิกองทหาร T5 และต่ำกว่า; [สงครามระหว่างดวงดาว] นำเสนอทักษะของหน่วยใหม่และที่ได้รับการปรับปรุง
- ความรุนแรงของลิงดัดแปลงถูกปรับปรุง: ระดับความยาก "Inferno' ใหม่ให้คุณศัตรูที่มีพลังมากขึ้นและรางวัลที่ดีกว่า!
- การแสดงผลของอินเตอร์เฟซถูกปรับปรุง: ปรับปรุงการแสดงข้อมูลสมาชิกแก๊งค์ในหน้าค้นหาของปล้นป้อมปราการ, เพิ่มการแจ้งเตือนเมื่อโจมตีแก๊งค์เพื่อน.</v>
      </c>
      <c r="J47" s="148" t="str">
        <f>IFERROR(__xludf.DUMMYFUNCTION("""COMPUTED_VALUE"""),"- Nuevo mech: Lightning - Guepardo, un asesino experto en esconderse en la naturaleza.
- Nueva investigación: se han añadido nuevas entradas a la Tecnología Armada que otorgan a las unidades T6 bonificaciones de dominación contra las tropas T5 y inferiore"&amp;"s.
- Nueva estatua: Chivalry Lives - Elmo, se ha añadido una estatua de ascenso de doble talento.
- Nuevos niveles: se han añadido 100 niveles de desafío a Banana Fight; se han añadido 50 niveles de desafío a la Toma de la Fortaleza; nuevos niveles T6 en "&amp;"Gear Expedition, desbloquea los engranajes T6 para jugar.
- Nueva función ""noticias"": ¡echa un vistazo a las últimas noticias del planeta y recibe actualizaciones oportunas aquí!
- Nueva función de Enfrentamiento de Primates: un campo de batalla justo d"&amp;"onde puedes elegir un tipo de unidad y duelo en el mapa especial para ganar recompensas.
- Nuevos logros de poder: ¡Aumenta el poder para ganar recompensas por logros!
- Nuevos engranajes T6: ¡un avance en los engranajes T6! Desbloquea una unidad T6 y mej"&amp;"ora sus engranajes a Legendario +6 para avanzar a la calidad Súper! Estos engranajes cuentan con dos caminos de desarrollo: [Armadura de Acero] mejora las habilidades de la unidad y permite la dominación sobre las tropas T5 e inferiores; [Guerra Intereste"&amp;"lar] ofrece nuevas y mejoradas habilidades de unidad.
- Amenaza de los Monos Modificados optimizada: ¡el nuevo nivel de dificultad ""Infierno"" te ofrece enemigos más poderosos y aún mejores recompensas!
- Visualización de la interfaz optimizada: mejora d"&amp;"e la visualización de la información de los miembros de la Banda en la página de búsqueda del Saqueador de la Fortaleza, se ha añadido una alerta cuando se ataca a un miembro de la Banda.")</f>
        <v>- Nuevo mech: Lightning - Guepardo, un asesino experto en esconderse en la naturaleza.
- Nueva investigación: se han añadido nuevas entradas a la Tecnología Armada que otorgan a las unidades T6 bonificaciones de dominación contra las tropas T5 y inferiores.
- Nueva estatua: Chivalry Lives - Elmo, se ha añadido una estatua de ascenso de doble talento.
- Nuevos niveles: se han añadido 100 niveles de desafío a Banana Fight; se han añadido 50 niveles de desafío a la Toma de la Fortaleza; nuevos niveles T6 en Gear Expedition, desbloquea los engranajes T6 para jugar.
- Nueva función "noticias": ¡echa un vistazo a las últimas noticias del planeta y recibe actualizaciones oportunas aquí!
- Nueva función de Enfrentamiento de Primates: un campo de batalla justo donde puedes elegir un tipo de unidad y duelo en el mapa especial para ganar recompensas.
- Nuevos logros de poder: ¡Aumenta el poder para ganar recompensas por logros!
- Nuevos engranajes T6: ¡un avance en los engranajes T6! Desbloquea una unidad T6 y mejora sus engranajes a Legendario +6 para avanzar a la calidad Súper! Estos engranajes cuentan con dos caminos de desarrollo: [Armadura de Acero] mejora las habilidades de la unidad y permite la dominación sobre las tropas T5 e inferiores; [Guerra Interestelar] ofrece nuevas y mejoradas habilidades de unidad.
- Amenaza de los Monos Modificados optimizada: ¡el nuevo nivel de dificultad "Infierno" te ofrece enemigos más poderosos y aún mejores recompensas!
- Visualización de la interfaz optimizada: mejora de la visualización de la información de los miembros de la Banda en la página de búsqueda del Saqueador de la Fortaleza, se ha añadido una alerta cuando se ataca a un miembro de la Banda.</v>
      </c>
      <c r="K47" s="148" t="str">
        <f>IFERROR(__xludf.DUMMYFUNCTION("""COMPUTED_VALUE"""),"- Новый мех: Молния - Гепард, убийца, специализирующийся на скрытности в дикой природе.
- Новое исследование: в Вооружённые технологии добавлены новые записи, которые предоставляют отрядам T6 бонусы превосходства против войск T5 и ниже.
- Новая статуя: Жи"&amp;"вая рыцарская честь - Элмо, добавлена статуя с двойным скачком таланта.
- Новые уровни: добавлено 100 уровней вызова в Банановую битву; 50 уровней вызова добавлено в Захват крепости; новые уровни T6 в Экспедиции по снаряжению, откройте снаряжение T6 для и"&amp;"гры.
- Новая функция ""новости"": узнайте последние новости планеты и получайте своевременные обновления здесь!
- Новая функция Столкновение приматов: справедливое поле боя, где вы можете выбрать тип отряда и дуэлировать на специальной карте, чтобы выигра"&amp;"ть награды.
- Новые достижения в силе: Наращивайте мощь для получения наград за достижения!
- Новое снаряжение T6: прорыв в снаряжении T6! Разблокируйте отряд T6 и улучшите его снаряжение до Легендарного +6, чтобы прорваться к Супер качеству! Это снаряжен"&amp;"ие предлагает два пути развития: [Броня из Стали] усиливает навыки отряда и позволяет доминировать над войсками T5 и ниже; [Межзвездная война] предлагает новые и усиленные навыки отряда.
- Угроза Измененных обезьян оптимизирована: новый уровень сложности "&amp;"""Инферно"" предлагает вам более мощных врагов и еще более лучшие награды!
- Оптимизировано отображение интерфейса: улучшено отображение информации о членах Банды на странице поиска Грабителя крепости, добавлено предупреждение при атаке на члена Банды.")</f>
        <v>- Новый мех: Молния - Гепард, убийца, специализирующийся на скрытности в дикой природе.
- Новое исследование: в Вооружённые технологии добавлены новые записи, которые предоставляют отрядам T6 бонусы превосходства против войск T5 и ниже.
- Новая статуя: Живая рыцарская честь - Элмо, добавлена статуя с двойным скачком таланта.
- Новые уровни: добавлено 100 уровней вызова в Банановую битву; 50 уровней вызова добавлено в Захват крепости; новые уровни T6 в Экспедиции по снаряжению, откройте снаряжение T6 для игры.
- Новая функция "новости": узнайте последние новости планеты и получайте своевременные обновления здесь!
- Новая функция Столкновение приматов: справедливое поле боя, где вы можете выбрать тип отряда и дуэлировать на специальной карте, чтобы выиграть награды.
- Новые достижения в силе: Наращивайте мощь для получения наград за достижения!
- Новое снаряжение T6: прорыв в снаряжении T6! Разблокируйте отряд T6 и улучшите его снаряжение до Легендарного +6, чтобы прорваться к Супер качеству! Это снаряжение предлагает два пути развития: [Броня из Стали] усиливает навыки отряда и позволяет доминировать над войсками T5 и ниже; [Межзвездная война] предлагает новые и усиленные навыки отряда.
- Угроза Измененных обезьян оптимизирована: новый уровень сложности "Инферно" предлагает вам более мощных врагов и еще более лучшие награды!
- Оптимизировано отображение интерфейса: улучшено отображение информации о членах Банды на странице поиска Грабителя крепости, добавлено предупреждение при атаке на члена Банды.</v>
      </c>
      <c r="L47" s="148" t="str">
        <f>IFERROR(__xludf.DUMMYFUNCTION("""COMPUTED_VALUE"""),"- Yeni meka: Lightning - Çita, vahşi doğada saklanmakta yetenekli bir katil.
- Yeni araştırma: Silahlı Teknolojiye eklenen yeni girişler, T6 birimlerine T5 ve daha düşük birliklere karşı hâkimiyet bonusları verir.
- Yeni heykel: Şövalyelik Yaşıyor - Elmo,"&amp;" çift yetenek sıçraması heykeli eklendi.
- Yeni seviyeler: Muz Savaşına 100 meydan okuma seviyesi eklendi; Kaleyi Ele Geçirme'ye 50 meydan okuma seviyesi eklendi; Dişli Keşif'te yeni T6 seviyeleri, T6 dişlileri oynamak için kilidini açın.
- Yeni ""haberle"&amp;"r"" özelliği: en son gezegen haberlerini kontrol edin ve buradan zamanında güncellemeler alın!
- Yeni Primat Karşı Karşıyası özelliği: Bir birim türü seçip özel haritada düello yaparak ödüller kazanabileceğiniz adil bir savaş alanı.
- Yeni güç başarıları:"&amp;" Kazanmak için güçlenin ve başarı ödülleri kazanın!
- Yeni T6 dişliler: T6 dişlilerinde bir atılım! Bir T6 birimi kilitleyin ve dişlilerini Efsanevi +6'ya yükseltin ve Süper kaliteye atılım yapın! Bu dişliler iki geliştirme yolu sunar: [Çelik Zırh] birim "&amp;"becerilerini geliştirir ve T5 ve daha düşük birlikler üzerinde hâkimiyet sağlar; [Yıldızlararası Savaş] yeni ve geliştirilmiş birim becerileri sunar.
- Değiştirilmiş Maymunların Tehdidi optimize edildi: yeni ""Cehennem"" zorluk seviyesi size daha güçlü dü"&amp;"şmanlar ve daha iyi ödüller sunar!
- Arayüz görüntüsü optimize edildi: Kale Yağmacısı'nın arama sayfasında Çete üyesi bilgilerinin görüntülenmesi geliştirildi, bir Çete üyesine saldırıldığında bir uyarı eklendi.")</f>
        <v>- Yeni meka: Lightning - Çita, vahşi doğada saklanmakta yetenekli bir katil.
- Yeni araştırma: Silahlı Teknolojiye eklenen yeni girişler, T6 birimlerine T5 ve daha düşük birliklere karşı hâkimiyet bonusları verir.
- Yeni heykel: Şövalyelik Yaşıyor - Elmo, çift yetenek sıçraması heykeli eklendi.
- Yeni seviyeler: Muz Savaşına 100 meydan okuma seviyesi eklendi; Kaleyi Ele Geçirme'ye 50 meydan okuma seviyesi eklendi; Dişli Keşif'te yeni T6 seviyeleri, T6 dişlileri oynamak için kilidini açın.
- Yeni "haberler" özelliği: en son gezegen haberlerini kontrol edin ve buradan zamanında güncellemeler alın!
- Yeni Primat Karşı Karşıyası özelliği: Bir birim türü seçip özel haritada düello yaparak ödüller kazanabileceğiniz adil bir savaş alanı.
- Yeni güç başarıları: Kazanmak için güçlenin ve başarı ödülleri kazanın!
- Yeni T6 dişliler: T6 dişlilerinde bir atılım! Bir T6 birimi kilitleyin ve dişlilerini Efsanevi +6'ya yükseltin ve Süper kaliteye atılım yapın! Bu dişliler iki geliştirme yolu sunar: [Çelik Zırh] birim becerilerini geliştirir ve T5 ve daha düşük birlikler üzerinde hâkimiyet sağlar; [Yıldızlararası Savaş] yeni ve geliştirilmiş birim becerileri sunar.
- Değiştirilmiş Maymunların Tehdidi optimize edildi: yeni "Cehennem" zorluk seviyesi size daha güçlü düşmanlar ve daha iyi ödüller sunar!
- Arayüz görüntüsü optimize edildi: Kale Yağmacısı'nın arama sayfasında Çete üyesi bilgilerinin görüntülenmesi geliştirildi, bir Çete üyesine saldırıldığında bir uyarı eklendi.</v>
      </c>
      <c r="M47" s="148" t="str">
        <f>IFERROR(__xludf.DUMMYFUNCTION("""COMPUTED_VALUE"""),"- Mới cơ khí: Lightning - Báo Đốm, một kẻ giết người giỏi ẩn mình trong hoang dã.
- Nghiên cứu mới: thêm mục mới vào Công Nghệ Vũ Trang cho phép đơn vị T6 có thưởng thống trị đối với binh lính T5 và thấp hơn.
- Tượng mới: Chivalry Lives - Elmo, thêm tượng"&amp;" KỸ NĂNG VƯỢT kép.
- Cấp độ mới: thêm 100 cấp khiêu chiến vào Banana Fight; thêm 50 cấp khiêu chiến vào Tiếp Quản Pháo Đài; cấp T6 mới trong Gear Expedition, mở khóa đồ T6 để chơi.
- Tính năng ""tin tức"" mới: kiểm tra tin tức hành tinh mới nhất và nhận c"&amp;"ập nhật kịp thời ở đây!
- Tính năng ĐỐI ĐẦU LINH TRƯỞNG mới: một chiến trường công bằng nơi bạn có thể chọn một loại binh chủng và đấu trên bản đồ đặc biệt để giành phần thưởng.
- Thành tựu sức mạnh mới: Tăng chiến lực để giành phần thưởng thành tựu!
- Đồ"&amp;" T6 mới: một bước đột phá trong đồ T6! Mở khóa một đơn vị T6 và nâng cấp đồ của nó lên Huyền Thoại +6 để đột phá đến chất lượng Siêu! Những đồ này có hai con đường phát triển: [Giáp Thép] nâng cao kỹ năng đơn vị và cho phép thống trị trên binh lính T5 và "&amp;"thấp hơn; [Chiến Tranh Liên Sao] cung cấp kỹ năng đơn vị mới và nâng cao.
- Đe dọa của Khỉ Biến Đổi được tối ưu hóa: mức độ khó ""Inferno"" mới mang đến cho bạn kẻ thù mạnh mẽ hơn và phần thưởng tốt hơn!
- Hiển thị giao diện được tối ưu hóa: cải thiện hiể"&amp;"n thị thông tin thành viên Bang Hội trong trang tìm kiếm của Cướp Bóc Pháo Đài, thêm cảnh báo khi tấn công một thành viên trong Bang Hội.")</f>
        <v>- Mới cơ khí: Lightning - Báo Đốm, một kẻ giết người giỏi ẩn mình trong hoang dã.
- Nghiên cứu mới: thêm mục mới vào Công Nghệ Vũ Trang cho phép đơn vị T6 có thưởng thống trị đối với binh lính T5 và thấp hơn.
- Tượng mới: Chivalry Lives - Elmo, thêm tượng KỸ NĂNG VƯỢT kép.
- Cấp độ mới: thêm 100 cấp khiêu chiến vào Banana Fight; thêm 50 cấp khiêu chiến vào Tiếp Quản Pháo Đài; cấp T6 mới trong Gear Expedition, mở khóa đồ T6 để chơi.
- Tính năng "tin tức" mới: kiểm tra tin tức hành tinh mới nhất và nhận cập nhật kịp thời ở đây!
- Tính năng ĐỐI ĐẦU LINH TRƯỞNG mới: một chiến trường công bằng nơi bạn có thể chọn một loại binh chủng và đấu trên bản đồ đặc biệt để giành phần thưởng.
- Thành tựu sức mạnh mới: Tăng chiến lực để giành phần thưởng thành tựu!
- Đồ T6 mới: một bước đột phá trong đồ T6! Mở khóa một đơn vị T6 và nâng cấp đồ của nó lên Huyền Thoại +6 để đột phá đến chất lượng Siêu! Những đồ này có hai con đường phát triển: [Giáp Thép] nâng cao kỹ năng đơn vị và cho phép thống trị trên binh lính T5 và thấp hơn; [Chiến Tranh Liên Sao] cung cấp kỹ năng đơn vị mới và nâng cao.
- Đe dọa của Khỉ Biến Đổi được tối ưu hóa: mức độ khó "Inferno" mới mang đến cho bạn kẻ thù mạnh mẽ hơn và phần thưởng tốt hơn!
- Hiển thị giao diện được tối ưu hóa: cải thiện hiển thị thông tin thành viên Bang Hội trong trang tìm kiếm của Cướp Bóc Pháo Đài, thêm cảnh báo khi tấn công một thành viên trong Bang Hội.</v>
      </c>
      <c r="N47" s="108" t="str">
        <f>IFERROR(__xludf.DUMMYFUNCTION("""COMPUTED_VALUE"""),"- Nuovo mech: Fulmine - Ghepardo, un killer esperto nel nascondersi in natura.
- Nuova ricerca: nuove voci aggiunte alla Tecnologia Armata che concedono alle unità T6 bonus di dominazione contro le truppe T5 e inferiori.
- Nuova statua: La Cavalleria Vive"&amp;" - Elmo, statua con doppio salto di talento aggiunta.
- Nuovi livelli: aggiunti 100 livelli di sfida a Banana Fight; 50 livelli di sfida aggiunti a Conquista di Fortezze; nuovi livelli T6 in Gear Expedition, sblocca le attrezzature T6 per giocare.
- Nuova"&amp;" funzione ""notizie"": scopri le ultime notizie del pianeta e ricevi aggiornamenti tempestivi qui!
- Nuova funzione Confronto Primatesco: un campo di battaglia equo dove puoi scegliere un tipo di unità e duellare nella mappa speciale per vincere ricompens"&amp;"e.
- Nuovi traguardi di potenza: Aumenta la Potenza per vincere ricompense traguardo!
- Nuove attrezzature T6: una svolta nelle attrezzature T6! Sblocca un'unità T6 e potenzia le sue attrezzature a Leggendaria +6 per sfondare a qualità Super! Queste attre"&amp;"zzature presentano due percorsi di sviluppo: [Corazza d'acciaio] migliora le abilità dell'unità e permette la dominazione su truppe T5 e inferiori; [Guerra Interstellare] offre nuove e migliorate abilità dell'unità.
- Minaccia delle Scimmie Modificate ott"&amp;"imizzata: il nuovo livello di difficoltà ""Inferno"" ti offre nemici più potenti e ricompense ancora migliori!
- Visualizzazione dell'interfaccia ottimizzata: migliorata la visualizzazione delle informazioni dei membri del Gang nella pagina di ricerca del"&amp;" Saccheggiatore di Fortezze, aggiunto un avviso quando si attacca un compagno di Gang.")</f>
        <v>- Nuovo mech: Fulmine - Ghepardo, un killer esperto nel nascondersi in natura.
- Nuova ricerca: nuove voci aggiunte alla Tecnologia Armata che concedono alle unità T6 bonus di dominazione contro le truppe T5 e inferiori.
- Nuova statua: La Cavalleria Vive - Elmo, statua con doppio salto di talento aggiunta.
- Nuovi livelli: aggiunti 100 livelli di sfida a Banana Fight; 50 livelli di sfida aggiunti a Conquista di Fortezze; nuovi livelli T6 in Gear Expedition, sblocca le attrezzature T6 per giocare.
- Nuova funzione "notizie": scopri le ultime notizie del pianeta e ricevi aggiornamenti tempestivi qui!
- Nuova funzione Confronto Primatesco: un campo di battaglia equo dove puoi scegliere un tipo di unità e duellare nella mappa speciale per vincere ricompense.
- Nuovi traguardi di potenza: Aumenta la Potenza per vincere ricompense traguardo!
- Nuove attrezzature T6: una svolta nelle attrezzature T6! Sblocca un'unità T6 e potenzia le sue attrezzature a Leggendaria +6 per sfondare a qualità Super! Queste attrezzature presentano due percorsi di sviluppo: [Corazza d'acciaio] migliora le abilità dell'unità e permette la dominazione su truppe T5 e inferiori; [Guerra Interstellare] offre nuove e migliorate abilità dell'unità.
- Minaccia delle Scimmie Modificate ottimizzata: il nuovo livello di difficoltà "Inferno" ti offre nemici più potenti e ricompense ancora migliori!
- Visualizzazione dell'interfaccia ottimizzata: migliorata la visualizzazione delle informazioni dei membri del Gang nella pagina di ricerca del Saccheggiatore di Fortezze, aggiunto un avviso quando si attacca un compagno di Gang.</v>
      </c>
      <c r="O47" s="148" t="str">
        <f>IFERROR(__xludf.DUMMYFUNCTION("""COMPUTED_VALUE"""),"- Nowy mech: Błyskawica - Gepard, zabójca specjalizujący się w ukrywaniu się na dziko.
- Nowe badania: do Technologii Uzbrojonej dodano nowe pozycje, które nadają jednostkom T6 bonusy dominacji przeciwko jednostkom T5 i niższym.
- Nowy posąg: Żyje Rycersk"&amp;"ość - Elmo, dodano posąg z podwójnym skokiem talentu.
- Nowe poziomy: do Walki Bananowej dodano 100 poziomów wyzwań; do Przejęcia Fortecy dodano 50 poziomów wyzwań; nowe poziomy T6 w Ekspedycji Sprzętowej, odblokuj sprzęt T6, aby grać.
- Nowa funkcja ""wi"&amp;"adomości"": sprawdź najnowsze wiadomości z planety i otrzymuj aktualizacje na bieżąco!
- Nowa funkcja Impasu Naczelnych: sprawiedliwe pole bitwy, na którym możesz wybrać typ jednostki i pojedynkować się na specjalnej mapie, aby zdobyć nagrody.
- Nowe osią"&amp;"gnięcia mocy: Zwiększ siłę, aby wygrać nagrody za osiągnięcia!
- Nowy sprzęt T6: przełom w sprzęcie T6! Odblokuj jednostkę T6 i ulepsz jej sprzęt do Legendarnego +6, aby przebić się do Super jakości! Te sprzęty mają dwie ścieżki rozwoju: [Pancerz ze Stali"&amp;"] zwiększa umiejętności jednostki i pozwala dominować nad jednostkami T5 i niższymi; [Wojna międzygwiezdna] oferuje nowe i ulepszone umiejętności jednostki.
- Zagrożenie ze strony Zmodyfikowanych Małp zoptymalizowane: nowy poziom trudności ""Inferno"" daj"&amp;"e ci potężniejszych wrogów i jeszcze lepsze nagrody!
- Wyświetlanie interfejsu zoptymalizowane: ulepszono wyświetlanie informacji o członkach Gangu na stronie wyszukiwania Grabieżcy Fortecy, dodano alert podczas atakowania członka Gangu.")</f>
        <v>- Nowy mech: Błyskawica - Gepard, zabójca specjalizujący się w ukrywaniu się na dziko.
- Nowe badania: do Technologii Uzbrojonej dodano nowe pozycje, które nadają jednostkom T6 bonusy dominacji przeciwko jednostkom T5 i niższym.
- Nowy posąg: Żyje Rycerskość - Elmo, dodano posąg z podwójnym skokiem talentu.
- Nowe poziomy: do Walki Bananowej dodano 100 poziomów wyzwań; do Przejęcia Fortecy dodano 50 poziomów wyzwań; nowe poziomy T6 w Ekspedycji Sprzętowej, odblokuj sprzęt T6, aby grać.
- Nowa funkcja "wiadomości": sprawdź najnowsze wiadomości z planety i otrzymuj aktualizacje na bieżąco!
- Nowa funkcja Impasu Naczelnych: sprawiedliwe pole bitwy, na którym możesz wybrać typ jednostki i pojedynkować się na specjalnej mapie, aby zdobyć nagrody.
- Nowe osiągnięcia mocy: Zwiększ siłę, aby wygrać nagrody za osiągnięcia!
- Nowy sprzęt T6: przełom w sprzęcie T6! Odblokuj jednostkę T6 i ulepsz jej sprzęt do Legendarnego +6, aby przebić się do Super jakości! Te sprzęty mają dwie ścieżki rozwoju: [Pancerz ze Stali] zwiększa umiejętności jednostki i pozwala dominować nad jednostkami T5 i niższymi; [Wojna międzygwiezdna] oferuje nowe i ulepszone umiejętności jednostki.
- Zagrożenie ze strony Zmodyfikowanych Małp zoptymalizowane: nowy poziom trudności "Inferno" daje ci potężniejszych wrogów i jeszcze lepsze nagrody!
- Wyświetlanie interfejsu zoptymalizowane: ulepszono wyświetlanie informacji o członkach Gangu na stronie wyszukiwania Grabieżcy Fortecy, dodano alert podczas atakowania członka Gangu.</v>
      </c>
      <c r="P47" s="148" t="str">
        <f>IFERROR(__xludf.DUMMYFUNCTION("""COMPUTED_VALUE"""),"- ميكا جديد: البرق - الفهد، قاتل ماهر في الاختباء في البرية.
- بحث جديد: تمت إضافة إدخالات جديدة إلى تكنولوجيا المسلحة التي تمنح وحدات T6 مكافآت الهيمنة ضد الوحدات T5 والأقل.
- تمثال جديد: الشهامة مستمرة - إلمو، تم إضافة تمثال قفزة المواهب المزدوجة.
- مست"&amp;"ويات جديدة: تمت إضافة 100 مستوى تحدي إلى معركة الموز؛ تمت إضافة 50 مستوى تحدي إلى الاستيلاء على الحصن؛ مستويات T6 جديدة في بعثة التروس، فتح التروس T6 للعب.
- ميزة ""الأخبار"" الجديدة: تحقق من أحدث أخبار الكوكب واحصل على التحديثات في الوقت المناسب هنا!
- م"&amp;"يزة مواجهة الرئيسيات الجديدة: ساحة معركة عادلة حيث يمكنك اختيار نوع الوحدة والمبارزة في الخريطة الخاصة للفوز بالجوائز.
- إنجازات القوة الجديدة: ارفع قوتك القتالية لتربح مكافآت الإنجاز!
- التروس T6 الجديدة: اختراق في التروس T6! فتح وحدة T6 وترقية تروسها إل"&amp;"ى أسطوري +6 لاختراق الجودة الفائقة! تتميز هذه التروس بطرق تطوير اثنتين: [درع من الصلب] يعزز مهارات الوحدة ويسمح بالهيمنة على الوحدات T5 والأقل؛ [حرب بين النجوم] تقدم مهارات وحدة جديدة ومحسنة.
- تهديد القرود المعدلة محسن: مستوى صعوبة ""الجحيم"" الجديد يمنح"&amp;"ك أعداء أقوى وجوائز أفضل حتى!
- تم تحسين عرض الواجهة: تحسين عرض معلومات عضو العصابة في صفحة البحث عن نهب الحصن، تمت إضافة تنبيه عند مهاجمة زميل في العصابة.")</f>
        <v>- ميكا جديد: البرق - الفهد، قاتل ماهر في الاختباء في البرية.
- بحث جديد: تمت إضافة إدخالات جديدة إلى تكنولوجيا المسلحة التي تمنح وحدات T6 مكافآت الهيمنة ضد الوحدات T5 والأقل.
- تمثال جديد: الشهامة مستمرة - إلمو، تم إضافة تمثال قفزة المواهب المزدوجة.
- مستويات جديدة: تمت إضافة 100 مستوى تحدي إلى معركة الموز؛ تمت إضافة 50 مستوى تحدي إلى الاستيلاء على الحصن؛ مستويات T6 جديدة في بعثة التروس، فتح التروس T6 للعب.
- ميزة "الأخبار" الجديدة: تحقق من أحدث أخبار الكوكب واحصل على التحديثات في الوقت المناسب هنا!
- ميزة مواجهة الرئيسيات الجديدة: ساحة معركة عادلة حيث يمكنك اختيار نوع الوحدة والمبارزة في الخريطة الخاصة للفوز بالجوائز.
- إنجازات القوة الجديدة: ارفع قوتك القتالية لتربح مكافآت الإنجاز!
- التروس T6 الجديدة: اختراق في التروس T6! فتح وحدة T6 وترقية تروسها إلى أسطوري +6 لاختراق الجودة الفائقة! تتميز هذه التروس بطرق تطوير اثنتين: [درع من الصلب] يعزز مهارات الوحدة ويسمح بالهيمنة على الوحدات T5 والأقل؛ [حرب بين النجوم] تقدم مهارات وحدة جديدة ومحسنة.
- تهديد القرود المعدلة محسن: مستوى صعوبة "الجحيم" الجديد يمنحك أعداء أقوى وجوائز أفضل حتى!
- تم تحسين عرض الواجهة: تحسين عرض معلومات عضو العصابة في صفحة البحث عن نهب الحصن، تمت إضافة تنبيه عند مهاجمة زميل في العصابة.</v>
      </c>
      <c r="Q47" s="148" t="str">
        <f>IFERROR(__xludf.DUMMYFUNCTION("""COMPUTED_VALUE"""),"- 新メカ：雷 - チーター、野生で隠れるのが得意なキラー。
- 新研究：アームドテクノロジーに新たなエントリーが追加され、T6ユニットがT5以下のユニットに対して圧迫ボーナスを得ることができます。
- 新像：シバルリーライブズ - エルモ、デュアルアビリティ突破像が追加されました。
- 新レベル：バナナウォーズに100の挑戦レベルが追加され、要塞バトルに50の挑戦レベルが追加され、軍備遠征に新たなT6レベルが登場し、T6ギアをアンロックしてプレイします。
- 新しい""ニュース""機能：最新の惑星ニュー"&amp;"スをチェックし、ここでタイムリーな更新情報を入手してください！
- 新しいプライメイト対決機能：ユニットタイプを選んで特別なマップで決闘し、報酬を獲得する公平な戦場。
- 新しい戦力実績：勝つために戦力アップグレードして実績報酬を獲得しましょう！
- 新しいT6ギア：T6ギアの突破！T6ユニットをアンロックし、そのギアを伝説的な+6にアップグレードしてスーパー品質に突破しましょう！これらのギアは2つの発展パスを特徴としています：[鋼鉄の防具]はユニットスキルを強化し、T5以下のユニットに対する圧迫を可能に"&amp;"します；[星間戦争]は新たな強化されたユニットスキルを提供します。
- 改造エイプの脅威が最適化されました：新しい""インフェルノ""難易度レベルが、より強力な敵とさらに良い報酬を提供します！
- インターフェース表示が最適化されました：要塞争奪戦の検索ページでのギルドメンバー情報の表示が改善され、ギルドメイトを攻撃する際にアラートが追加されました。")</f>
        <v>- 新メカ：雷 - チーター、野生で隠れるのが得意なキラー。
- 新研究：アームドテクノロジーに新たなエントリーが追加され、T6ユニットがT5以下のユニットに対して圧迫ボーナスを得ることができます。
- 新像：シバルリーライブズ - エルモ、デュアルアビリティ突破像が追加されました。
- 新レベル：バナナウォーズに100の挑戦レベルが追加され、要塞バトルに50の挑戦レベルが追加され、軍備遠征に新たなT6レベルが登場し、T6ギアをアンロックしてプレイします。
- 新しい"ニュース"機能：最新の惑星ニュースをチェックし、ここでタイムリーな更新情報を入手してください！
- 新しいプライメイト対決機能：ユニットタイプを選んで特別なマップで決闘し、報酬を獲得する公平な戦場。
- 新しい戦力実績：勝つために戦力アップグレードして実績報酬を獲得しましょう！
- 新しいT6ギア：T6ギアの突破！T6ユニットをアンロックし、そのギアを伝説的な+6にアップグレードしてスーパー品質に突破しましょう！これらのギアは2つの発展パスを特徴としています：[鋼鉄の防具]はユニットスキルを強化し、T5以下のユニットに対する圧迫を可能にします；[星間戦争]は新たな強化されたユニットスキルを提供します。
- 改造エイプの脅威が最適化されました：新しい"インフェルノ"難易度レベルが、より強力な敵とさらに良い報酬を提供します！
- インターフェース表示が最適化されました：要塞争奪戦の検索ページでのギルドメンバー情報の表示が改善され、ギルドメイトを攻撃する際にアラートが追加されました。</v>
      </c>
      <c r="R47" s="148" t="str">
        <f>IFERROR(__xludf.DUMMYFUNCTION("""COMPUTED_VALUE"""),"- 새로운 메카: 번개 - 치타, 야생에서 숨기는 데 능숙한 킬러.
- 새로운 연구: T6 유닛에게 T5 및 그 이하의 유닛에 대한 압박 보너스를 부여하는 무장된 기술에 새로운 항목이 추가되었습니다.
- 새로운 조각상: 기사도 살아있다 - 엘모, 이중 재능 돌파 조각상이 추가되었습니다.
- 새로운 레벨: 바나나 대전에 100개의 도전 레벨이 추가되었고; 요새 대결에 50개의 도전 레벨이 추가되었습니다; 군용품 원정에서 새로운 T6 레벨, T6 장비를 잠"&amp;"금 해제하여 플레이하세요.
- 새로운 ""뉴스"" 기능: 최신 행성 뉴스를 확인하고 여기에서 적시에 업데이트를 받으세요!
- 새로운 영장류 대치 기능: 당신이 유닛 유형을 선택하고 특별한 지도에서 결투하여 보상을 받을 수 있는 공정한 전장.
- 새로운 파워 업 성과: 승리를 위해 파워 업하여 성과 보상을 받으세요!
- 새로운 T6 장비: T6 장비에서의 돌파구! T6 유닛을 잠금 해제하고 그 장비를 전설적인 +6으로 업그레이드하여 슈퍼 품질로 돌파하세요"&amp;"! 이 장비들은 두 가지 개발 경로를 제공합니다: [강철의 방어복]은 유닛 스킬을 강화하고 T5 및 그 이하의 유닛에 대한 압박을 허용합니다; [별들의 전쟁]은 새로운 및 강화된 유닛 스킬을 제공합니다.
- 개조된 원숭이의 위협이 최적화되었습니다: 새로운 ""지옥"" 난이도 레벨은 당신에게 더 강력한 적들과 더 나은 보상을 제공합니다!
- 인터페이스 디스플레이 최적화: 요새 쟁탈의 검색 페이지에서 무리 회원 정보의 디스플레이가 개선되었고, 무리원을 공격"&amp;"할 때 경고가 추가되었습니다.")</f>
        <v>- 새로운 메카: 번개 - 치타, 야생에서 숨기는 데 능숙한 킬러.
- 새로운 연구: T6 유닛에게 T5 및 그 이하의 유닛에 대한 압박 보너스를 부여하는 무장된 기술에 새로운 항목이 추가되었습니다.
- 새로운 조각상: 기사도 살아있다 - 엘모, 이중 재능 돌파 조각상이 추가되었습니다.
- 새로운 레벨: 바나나 대전에 100개의 도전 레벨이 추가되었고; 요새 대결에 50개의 도전 레벨이 추가되었습니다; 군용품 원정에서 새로운 T6 레벨, T6 장비를 잠금 해제하여 플레이하세요.
- 새로운 "뉴스" 기능: 최신 행성 뉴스를 확인하고 여기에서 적시에 업데이트를 받으세요!
- 새로운 영장류 대치 기능: 당신이 유닛 유형을 선택하고 특별한 지도에서 결투하여 보상을 받을 수 있는 공정한 전장.
- 새로운 파워 업 성과: 승리를 위해 파워 업하여 성과 보상을 받으세요!
- 새로운 T6 장비: T6 장비에서의 돌파구! T6 유닛을 잠금 해제하고 그 장비를 전설적인 +6으로 업그레이드하여 슈퍼 품질로 돌파하세요! 이 장비들은 두 가지 개발 경로를 제공합니다: [강철의 방어복]은 유닛 스킬을 강화하고 T5 및 그 이하의 유닛에 대한 압박을 허용합니다; [별들의 전쟁]은 새로운 및 강화된 유닛 스킬을 제공합니다.
- 개조된 원숭이의 위협이 최적화되었습니다: 새로운 "지옥" 난이도 레벨은 당신에게 더 강력한 적들과 더 나은 보상을 제공합니다!
- 인터페이스 디스플레이 최적화: 요새 쟁탈의 검색 페이지에서 무리 회원 정보의 디스플레이가 개선되었고, 무리원을 공격할 때 경고가 추가되었습니다.</v>
      </c>
      <c r="S47" s="148"/>
      <c r="T47" s="148"/>
      <c r="U47" s="148"/>
      <c r="V47" s="148"/>
      <c r="W47" s="148"/>
      <c r="X47" s="148"/>
      <c r="Y47" s="148"/>
      <c r="Z47" s="148"/>
    </row>
    <row r="48">
      <c r="A48" s="167" t="str">
        <f>IFERROR(__xludf.DUMMYFUNCTION("""COMPUTED_VALUE"""),"0.58.5")</f>
        <v>0.58.5</v>
      </c>
      <c r="B48" s="148" t="str">
        <f>IFERROR(__xludf.DUMMYFUNCTION("""COMPUTED_VALUE"""),"-新增丰收节活动：
丰收盛宴：快来！丰收节的宴席已经开始了，收集美食奖券，不仅可以纵享美食，还有机会抽皮肤大奖！
感恩厨房：全力协助雷米筹备宴会！作为回馈，你有机会获取城市装饰、铭牌、行军特效哦！
黑五折扣：丰收节期间，转动转盘，即可有可能拿到礼包超低折扣！
黑五狂欢：丰收节期间，每日解锁超值折扣礼包！
-新增机甲染色系统：消耗不同道具可以对机甲进行涂装来修改颜色！")</f>
        <v>-新增丰收节活动：
丰收盛宴：快来！丰收节的宴席已经开始了，收集美食奖券，不仅可以纵享美食，还有机会抽皮肤大奖！
感恩厨房：全力协助雷米筹备宴会！作为回馈，你有机会获取城市装饰、铭牌、行军特效哦！
黑五折扣：丰收节期间，转动转盘，即可有可能拿到礼包超低折扣！
黑五狂欢：丰收节期间，每日解锁超值折扣礼包！
-新增机甲染色系统：消耗不同道具可以对机甲进行涂装来修改颜色！</v>
      </c>
      <c r="C48" s="148"/>
      <c r="D48" s="148"/>
      <c r="E48" s="148"/>
      <c r="F48" s="148"/>
      <c r="G48" s="148"/>
      <c r="H48" s="148"/>
      <c r="I48" s="148"/>
      <c r="J48" s="148"/>
      <c r="K48" s="148"/>
      <c r="L48" s="148"/>
      <c r="M48" s="148"/>
      <c r="N48" s="108"/>
      <c r="O48" s="148"/>
      <c r="P48" s="148"/>
      <c r="Q48" s="148"/>
      <c r="R48" s="148"/>
      <c r="S48" s="148"/>
      <c r="T48" s="148"/>
      <c r="U48" s="148"/>
      <c r="V48" s="148"/>
      <c r="W48" s="148"/>
      <c r="X48" s="148"/>
      <c r="Y48" s="148"/>
      <c r="Z48" s="148"/>
    </row>
    <row r="49">
      <c r="A49" s="167" t="str">
        <f>IFERROR(__xludf.DUMMYFUNCTION("""COMPUTED_VALUE"""),"0.59.0")</f>
        <v>0.59.0</v>
      </c>
      <c r="B49" s="148" t="str">
        <f>IFERROR(__xludf.DUMMYFUNCTION("""COMPUTED_VALUE"""),"- 银河战争新增地底战记的相关玩法：指挥官们可以通过在地下游玩，获得强大的增益，并摧毁敌人的配送站！
- 新增机甲战场：独属于机甲争斗的战场，选择并体验不同机甲的战斗，在战场内畅快对战，赢得奖励吧！
- 新增展览馆第五层：专为超凡收藏品打造，可放置超凡收藏品，增强实力！ 
- 新增超凡收藏品：登月纪念、太空畅想、复古潮流、星际对接。可通过惊喜藏品屋获得。
- 新斗士：飚速战警-格兰特，维护正义与和平的飚速战警！
- 新增新猩胶囊紧急转换：根据战斗中我方产生的等级6重伤兵数量返还紧急转换次数，可以通过消耗紧"&amp;"急转换次数，将粮食和钢铁转换为新猩胶囊。
- 新增藏品大促销：新增传说收藏品任选礼包，心仪藏品直接选购！
- 新增重铸大作战（活动）：冲刺完美战装属性，限时赢取重铸好礼！
- 军团充能优化了信息展示，修复了充能相关的逻辑。充能全满后无法继续充能。未激活的建筑无法充能。
- 火车竞赛/争霸优化：新增入场提醒功能，开始入场前可以订阅提醒，将在开始入场前收到提示便于及时准备入场战斗。
- 酒吧签到好礼：现可自选资源类型，满足全方面发展需求。
- 斗士升级界面体验优化，增加了斗士升星时配方保存的功能。")</f>
        <v>- 银河战争新增地底战记的相关玩法：指挥官们可以通过在地下游玩，获得强大的增益，并摧毁敌人的配送站！
- 新增机甲战场：独属于机甲争斗的战场，选择并体验不同机甲的战斗，在战场内畅快对战，赢得奖励吧！
- 新增展览馆第五层：专为超凡收藏品打造，可放置超凡收藏品，增强实力！ 
- 新增超凡收藏品：登月纪念、太空畅想、复古潮流、星际对接。可通过惊喜藏品屋获得。
- 新斗士：飚速战警-格兰特，维护正义与和平的飚速战警！
- 新增新猩胶囊紧急转换：根据战斗中我方产生的等级6重伤兵数量返还紧急转换次数，可以通过消耗紧急转换次数，将粮食和钢铁转换为新猩胶囊。
- 新增藏品大促销：新增传说收藏品任选礼包，心仪藏品直接选购！
- 新增重铸大作战（活动）：冲刺完美战装属性，限时赢取重铸好礼！
- 军团充能优化了信息展示，修复了充能相关的逻辑。充能全满后无法继续充能。未激活的建筑无法充能。
- 火车竞赛/争霸优化：新增入场提醒功能，开始入场前可以订阅提醒，将在开始入场前收到提示便于及时准备入场战斗。
- 酒吧签到好礼：现可自选资源类型，满足全方面发展需求。
- 斗士升级界面体验优化，增加了斗士升星时配方保存的功能。</v>
      </c>
      <c r="C49" s="148" t="str">
        <f>IFERROR(__xludf.DUMMYFUNCTION("""COMPUTED_VALUE"""),"- New, subterra-related plays added to Planet Wars: roam the underground world to earn powerful boosts and destroy enemy Distributors!
- New feature, Mech Clash: a special battlefield for mechs! Choose different mechs and pit them against others to win re"&amp;"wards!
- Added 5th level in Wonder Emporium: special booth for Super Relics only. Display these Relics to power up!
- New Super Relic collections: Moon Landing Memories, Space Fantasia, Vintage Fashion, and Interstellar Connection. Get them from Surprise "&amp;"Relic Vault.
- New Fighter: Flash Cop, Grant. The speedster cop, protector of peace and justice!
- New function: Nu-Ape Capsule Emergency Conversion. Get conversion chances based on how many of your T6 units were seriously wounded in battle, then use thes"&amp;"e chances to convert Food and Iron to Nu-Ape Capsules.
- New Relic Super Sale: a custom pack of Legendary Relics. Select and buy the Relics you want!
- New event, Recast Challenge: recast for top attributes and win rewards!
- Improved info display in Army"&amp;" Charge Up and fixed charging-related processes. Can't keep charging after reaching max charge level; charging is unavailable for unactivated buildings.
- Great Train Race and Train Rush optimized: new alert when the battle map opens. Turn on reminders be"&amp;"forehand and get an alert when the map opens so you won't be late to the fight!
- Tavern Sign-in Rewards: You can now select the resource you need to develop.
- Fighter upgrade UI optimized, with a new function that allows you to save a setup when starrin"&amp;"g up a Fighter.")</f>
        <v>- New, subterra-related plays added to Planet Wars: roam the underground world to earn powerful boosts and destroy enemy Distributors!
- New feature, Mech Clash: a special battlefield for mechs! Choose different mechs and pit them against others to win rewards!
- Added 5th level in Wonder Emporium: special booth for Super Relics only. Display these Relics to power up!
- New Super Relic collections: Moon Landing Memories, Space Fantasia, Vintage Fashion, and Interstellar Connection. Get them from Surprise Relic Vault.
- New Fighter: Flash Cop, Grant. The speedster cop, protector of peace and justice!
- New function: Nu-Ape Capsule Emergency Conversion. Get conversion chances based on how many of your T6 units were seriously wounded in battle, then use these chances to convert Food and Iron to Nu-Ape Capsules.
- New Relic Super Sale: a custom pack of Legendary Relics. Select and buy the Relics you want!
- New event, Recast Challenge: recast for top attributes and win rewards!
- Improved info display in Army Charge Up and fixed charging-related processes. Can't keep charging after reaching max charge level; charging is unavailable for unactivated buildings.
- Great Train Race and Train Rush optimized: new alert when the battle map opens. Turn on reminders beforehand and get an alert when the map opens so you won't be late to the fight!
- Tavern Sign-in Rewards: You can now select the resource you need to develop.
- Fighter upgrade UI optimized, with a new function that allows you to save a setup when starring up a Fighter.</v>
      </c>
      <c r="D49" s="148" t="str">
        <f>IFERROR(__xludf.DUMMYFUNCTION("""COMPUTED_VALUE"""),"- Nouveautés, des jeux liés à la subterra ajoutés à la Guerre planétaire : parcourez le monde souterrain pour obtenir des boosts puissants et détruire les Distributeurs ennemis !
- Nouvelle fonctionnalité, Mech Clash : un champ de bataille spécial pour le"&amp;"s méchas ! Choisissez différents méchas et affrontez-les contre d'autres pour gagner des récompenses !
- Ajout du 5ème niveau dans la Halle aux Merveilles : stand spécial pour les Super Reliques uniquement. Exposez ces Reliques pour augmenter votre puissa"&amp;"nce !
- Nouvelles collections de Super Reliques : Souvenirs de l'Alunissage, Fantaisie Spatiale, Mode Vintage et Connexion Interstellaire. Obtenez-les depuis la Surprise Relic Vault.
- Nouveau combattant : Flic éclair, Grant. Le flic éclair, protecteur de"&amp;" la paix et de la justice !
- Nouvelle fonction : Conversion d'Urgence de Capsule Nu-Singe. Obtenez des chances de conversion en fonction du nombre de vos unités T6 gravement blessées au combat, puis utilisez ces chances pour convertir de la nourriture et"&amp;" de la ferraille en Capsules Nu-Singe.
- Nouvelle Super Vente de Reliques : un pack personnalisé de Reliques Légendaires. Sélectionnez et achetez les Reliques que vous voulez !
- Nouvel évènement, Défi de Reforgeage : reforgez pour obtenir les meilleurs a"&amp;"ttributs et gagnez des récompenses !
- Affichage des infos amélioré dans la Charge d'Armée Améliorée et correction des processus liés à la charge. Impossible de continuer à charger après avoir atteint le niveau de charge maximal ; la charge est indisponib"&amp;"le pour les constructions non activées.
- La Grande course de train et Course de trains optimisées : nouvelle alerte lorsque la carte de bataille s'ouvre. Activez les rappels au préalable et recevez une alerte lorsque la carte s'ouvre pour ne pas être en "&amp;"retard au combat !
- Récompenses de connexion à la Taverne : Vous pouvez maintenant sélectionner la ressource dont vous avez besoin pour le développement.
- Interface d'amélioration des combattants optimisée, avec une nouvelle fonction qui vous permet d'e"&amp;"nregistrer une configuration lors de l'évolution d'un Combattant.")</f>
        <v>- Nouveautés, des jeux liés à la subterra ajoutés à la Guerre planétaire : parcourez le monde souterrain pour obtenir des boosts puissants et détruire les Distributeurs ennemis !
- Nouvelle fonctionnalité, Mech Clash : un champ de bataille spécial pour les méchas ! Choisissez différents méchas et affrontez-les contre d'autres pour gagner des récompenses !
- Ajout du 5ème niveau dans la Halle aux Merveilles : stand spécial pour les Super Reliques uniquement. Exposez ces Reliques pour augmenter votre puissance !
- Nouvelles collections de Super Reliques : Souvenirs de l'Alunissage, Fantaisie Spatiale, Mode Vintage et Connexion Interstellaire. Obtenez-les depuis la Surprise Relic Vault.
- Nouveau combattant : Flic éclair, Grant. Le flic éclair, protecteur de la paix et de la justice !
- Nouvelle fonction : Conversion d'Urgence de Capsule Nu-Singe. Obtenez des chances de conversion en fonction du nombre de vos unités T6 gravement blessées au combat, puis utilisez ces chances pour convertir de la nourriture et de la ferraille en Capsules Nu-Singe.
- Nouvelle Super Vente de Reliques : un pack personnalisé de Reliques Légendaires. Sélectionnez et achetez les Reliques que vous voulez !
- Nouvel évènement, Défi de Reforgeage : reforgez pour obtenir les meilleurs attributs et gagnez des récompenses !
- Affichage des infos amélioré dans la Charge d'Armée Améliorée et correction des processus liés à la charge. Impossible de continuer à charger après avoir atteint le niveau de charge maximal ; la charge est indisponible pour les constructions non activées.
- La Grande course de train et Course de trains optimisées : nouvelle alerte lorsque la carte de bataille s'ouvre. Activez les rappels au préalable et recevez une alerte lorsque la carte s'ouvre pour ne pas être en retard au combat !
- Récompenses de connexion à la Taverne : Vous pouvez maintenant sélectionner la ressource dont vous avez besoin pour le développement.
- Interface d'amélioration des combattants optimisée, avec une nouvelle fonction qui vous permet d'enregistrer une configuration lors de l'évolution d'un Combattant.</v>
      </c>
      <c r="E49" s="148" t="str">
        <f>IFERROR(__xludf.DUMMYFUNCTION("""COMPUTED_VALUE"""),"- Neue, unterirdische Spielzüge zu Planetenkriege hinzugefügt: Streife durch die unterirdische Welt, um mächtige Boosts zu verdienen und feindliche Verteiler zu zerstören!
- Neue Funktion, Mech Clash: ein besonderes Schlachtfeld für Mechs! Wähle verschied"&amp;"ene Mechs und trete gegen andere an, um Belohnungen zu gewinnen!
- 5. Level im Wunderladen hinzugefügt: Spezieller Stand nur für Superrelikte. Stelle diese Relikte aus, um deine Stärke zu erhöhen!
- Neue Superreliktsammlungen: Mondlandungserinnerungen, We"&amp;"ltraum-Fantasie, Vintage-Mode und Interstellare Verbindung. Erhalte sie aus dem Überraschungsreliktschließfach.
- Neuer Kämpfer: Blitzpolizist, Grant. Der flinke Polizist, Beschützer von Frieden und Gerechtigkeit!
- Neue Funktion: Notfallumwandlung der Nu"&amp;"-Affen-Kapsel. Erhalte Umwandlungschancen basierend darauf, wie viele deiner T6-Einheiten im Kampf schwer verwundet wurden, dann nutze diese Chancen, um Nahrung und Eisen in Nu-Affen-Kapseln umzuwandeln.
- Neuer Reliktsuper-Sale: ein individuelles Paket l"&amp;"egendärer Relikte. Wähle und kaufe die Relikte, die du möchtest!
- Neues Event, Umgestaltungs-Herausforderung: Umschmieden für Top-Attribute und Belohnungen gewinnen!
- Verbesserte Anzeige von Informationen im Armee Aufladen und korrigierte aufladungsbezo"&amp;"gene Prozesse. Kann nicht weiter aufladen, nachdem die maximale Ladestufe erreicht wurde; Aufladen ist für nicht aktivierte Gebäude nicht verfügbar.
- Großes Zugrennen und Zug-Rennen optimiert: neuer Alarm, wenn die Kampfkarte öffnet. Schalte vorher Erinn"&amp;"erungen ein und erhalte einen Alarm, wenn die Karte öffnet, damit du nicht zu spät zum Kampf kommst!
- Taverne-Anmeldebelohnungen: Du kannst jetzt die Ressource auswählen, die du zur Entwicklung benötigst.
- Optimiertes Kämpfer-Upgrade-UI, mit einer neuen"&amp;" Funktion, die es dir erlaubt, eine Konfiguration zu speichern, wenn du einen Kämpfer aufwertest.")</f>
        <v>- Neue, unterirdische Spielzüge zu Planetenkriege hinzugefügt: Streife durch die unterirdische Welt, um mächtige Boosts zu verdienen und feindliche Verteiler zu zerstören!
- Neue Funktion, Mech Clash: ein besonderes Schlachtfeld für Mechs! Wähle verschiedene Mechs und trete gegen andere an, um Belohnungen zu gewinnen!
- 5. Level im Wunderladen hinzugefügt: Spezieller Stand nur für Superrelikte. Stelle diese Relikte aus, um deine Stärke zu erhöhen!
- Neue Superreliktsammlungen: Mondlandungserinnerungen, Weltraum-Fantasie, Vintage-Mode und Interstellare Verbindung. Erhalte sie aus dem Überraschungsreliktschließfach.
- Neuer Kämpfer: Blitzpolizist, Grant. Der flinke Polizist, Beschützer von Frieden und Gerechtigkeit!
- Neue Funktion: Notfallumwandlung der Nu-Affen-Kapsel. Erhalte Umwandlungschancen basierend darauf, wie viele deiner T6-Einheiten im Kampf schwer verwundet wurden, dann nutze diese Chancen, um Nahrung und Eisen in Nu-Affen-Kapseln umzuwandeln.
- Neuer Reliktsuper-Sale: ein individuelles Paket legendärer Relikte. Wähle und kaufe die Relikte, die du möchtest!
- Neues Event, Umgestaltungs-Herausforderung: Umschmieden für Top-Attribute und Belohnungen gewinnen!
- Verbesserte Anzeige von Informationen im Armee Aufladen und korrigierte aufladungsbezogene Prozesse. Kann nicht weiter aufladen, nachdem die maximale Ladestufe erreicht wurde; Aufladen ist für nicht aktivierte Gebäude nicht verfügbar.
- Großes Zugrennen und Zug-Rennen optimiert: neuer Alarm, wenn die Kampfkarte öffnet. Schalte vorher Erinnerungen ein und erhalte einen Alarm, wenn die Karte öffnet, damit du nicht zu spät zum Kampf kommst!
- Taverne-Anmeldebelohnungen: Du kannst jetzt die Ressource auswählen, die du zur Entwicklung benötigst.
- Optimiertes Kämpfer-Upgrade-UI, mit einer neuen Funktion, die es dir erlaubt, eine Konfiguration zu speichern, wenn du einen Kämpfer aufwertest.</v>
      </c>
      <c r="F49" s="148" t="str">
        <f>IFERROR(__xludf.DUMMYFUNCTION("""COMPUTED_VALUE"""),"- Novos jogos relacionados ao subterrâneo adicionados à Guerra Interplanetária: percorra o mundo subterrâneo para ganhar bônus poderosos e destruir Distribuidores inimigos!
- Nova funcionalidade, Mech Clash: um campo de batalha especial para mechs! Escolh"&amp;"a diferentes mechs e coloque-os em confronto com outros para ganhar recompensas!
- Adicionado 5º nível no Empório Maravilha: estande especial apenas para Super Relíquias. Exiba essas Relíquias para aumentar o poder!
- Novas coleções de Super Relíquias: Me"&amp;"mórias do Pouso na Lua, Fantasia Espacial, Moda Vintage e Conexão Interestelar. Obtenha-as do Cofre Surpresa de Relíquias.
- Novo Combatente: Policial Relâmpago, Grant. O policial velocista, protetor da paz e da justiça!
- Nova função: Conversão de Emergê"&amp;"ncia de Cápsulas Nu-Macaco. Obtenha chances de conversão com base em quantas de suas unidades T6 foram gravemente feridas em batalha, depois use essas chances para converter Comida e Ferro em Cápsulas Nu-Macaco.
- Super Sale de Relíquias: um pacote person"&amp;"alizado de Relíquias Lendárias. Selecione e compre as Relíquias que deseja!
- Novo evento, Desafio de Recast: refaça para atributos de topo e ganhe recompensas!
- Melhoria na exibição de informações no Carregamento do Exército e correção de processos rela"&amp;"cionados ao carregamento. Não é possível continuar carregando após atingir o nível máximo de carga; o carregamento está indisponível para construções não ativadas.
- Grande Corrida dos Trens e Corrida do Trem otimizadas: novo alerta quando o mapa de batal"&amp;"ha é aberto. Ative lembretes antecipadamente e receba um alerta quando o mapa abrir para não se atrasar para a luta!
- Recompensas de Login da Taverna: Agora você pode selecionar o recurso de que precisa para desenvolver.
- Interface de usuário para melho"&amp;"ria do combatente otimizada, com uma nova função que permite salvar uma configuração ao promover um Combatente.")</f>
        <v>- Novos jogos relacionados ao subterrâneo adicionados à Guerra Interplanetária: percorra o mundo subterrâneo para ganhar bônus poderosos e destruir Distribuidores inimigos!
- Nova funcionalidade, Mech Clash: um campo de batalha especial para mechs! Escolha diferentes mechs e coloque-os em confronto com outros para ganhar recompensas!
- Adicionado 5º nível no Empório Maravilha: estande especial apenas para Super Relíquias. Exiba essas Relíquias para aumentar o poder!
- Novas coleções de Super Relíquias: Memórias do Pouso na Lua, Fantasia Espacial, Moda Vintage e Conexão Interestelar. Obtenha-as do Cofre Surpresa de Relíquias.
- Novo Combatente: Policial Relâmpago, Grant. O policial velocista, protetor da paz e da justiça!
- Nova função: Conversão de Emergência de Cápsulas Nu-Macaco. Obtenha chances de conversão com base em quantas de suas unidades T6 foram gravemente feridas em batalha, depois use essas chances para converter Comida e Ferro em Cápsulas Nu-Macaco.
- Super Sale de Relíquias: um pacote personalizado de Relíquias Lendárias. Selecione e compre as Relíquias que deseja!
- Novo evento, Desafio de Recast: refaça para atributos de topo e ganhe recompensas!
- Melhoria na exibição de informações no Carregamento do Exército e correção de processos relacionados ao carregamento. Não é possível continuar carregando após atingir o nível máximo de carga; o carregamento está indisponível para construções não ativadas.
- Grande Corrida dos Trens e Corrida do Trem otimizadas: novo alerta quando o mapa de batalha é aberto. Ative lembretes antecipadamente e receba um alerta quando o mapa abrir para não se atrasar para a luta!
- Recompensas de Login da Taverna: Agora você pode selecionar o recurso de que precisa para desenvolver.
- Interface de usuário para melhoria do combatente otimizada, com uma nova função que permite salvar uma configuração ao promover um Combatente.</v>
      </c>
      <c r="G49" s="148" t="str">
        <f>IFERROR(__xludf.DUMMYFUNCTION("""COMPUTED_VALUE"""),"-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新增展覽館第五層：專為超凡收藏品打造，可放置超凡收藏品，增強實力！
- 新增超凡收藏品：登月紀念、太空暢想、復古潮流、星際對接。可通過驚喜藏品屋取得。
- 新英雄：飆速戰警-格蘭特，維護正義與和平的飆速戰警！
- 新增新猩膠囊緊急轉換：根據戰鬥中我方產生的等級6重傷兵數量返還緊急轉換次數，可以通過消耗緊急"&amp;"轉換次數，將食物及鐵材轉換為新猩膠囊。
- 新增藏品促銷禮包：新增傳說收藏品任選禮包，心儀藏品直接選購！
- 新增重鑄大作戰（活動）：衝刺完美戰裝屬性，限時贏取重鑄好禮！
- 軍團充電優化了信息展示，修復了充電相關的邏輯。充電全滿後無法繼續充電。未啟用的建造無法充電。
- 火車競賽/爭霸優化：新增入場提醒功能，開始入場前可以訂閱提醒，將在開始入場前收到貼士便於及時準備入場戰鬥。
- 酒吧簽到好禮：現可選擇資源類型，滿足全方面開發需求。
- 鬥士升級界面體驗優化，增加了鬥士升星時配方保存的功能。")</f>
        <v>-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新增展覽館第五層：專為超凡收藏品打造，可放置超凡收藏品，增強實力！
- 新增超凡收藏品：登月紀念、太空暢想、復古潮流、星際對接。可通過驚喜藏品屋取得。
- 新英雄：飆速戰警-格蘭特，維護正義與和平的飆速戰警！
- 新增新猩膠囊緊急轉換：根據戰鬥中我方產生的等級6重傷兵數量返還緊急轉換次數，可以通過消耗緊急轉換次數，將食物及鐵材轉換為新猩膠囊。
- 新增藏品促銷禮包：新增傳說收藏品任選禮包，心儀藏品直接選購！
- 新增重鑄大作戰（活動）：衝刺完美戰裝屬性，限時贏取重鑄好禮！
- 軍團充電優化了信息展示，修復了充電相關的邏輯。充電全滿後無法繼續充電。未啟用的建造無法充電。
- 火車競賽/爭霸優化：新增入場提醒功能，開始入場前可以訂閱提醒，將在開始入場前收到貼士便於及時準備入場戰鬥。
- 酒吧簽到好禮：現可選擇資源類型，滿足全方面開發需求。
- 鬥士升級界面體驗優化，增加了鬥士升星時配方保存的功能。</v>
      </c>
      <c r="H49" s="148" t="str">
        <f>IFERROR(__xludf.DUMMYFUNCTION("""COMPUTED_VALUE"""),"- Tambahkan permainan baru yang terkait dengan subterra ke Perang Planet: jelajahi Dunia Bawah Tanah untuk mendapatkan Faktor Bonus yang kuat dan hancurkan Distributor musuh!
- Fitur baru, Mech Clash: medan perang khusus untuk mekanik! Pilih mekanik yang "&amp;"berbeda dan adu mereka melawan yang lain untuk memenangkan hadiah!
- Ditambahkan level ke-5 di Emporium Megah: booth khusus hanya untuk Super Relik. Tampilkan Relik ini untuk menambah kekuatan!
- Koleksi Super Relik baru: Kenangan Pendaratan Bulan, Fantas"&amp;"ia Angkasa, Mode Vintage, dan Sambungan Antarbintang. Dapatkan mereka dari Surprise Relic Vault.
- Pejuang Baru: Polisi Kilat, Grant. Polisi yang gesit, pelindung perdamaian dan keadilan!
- Fungsi baru: Konversi Darurat Kapsul Nu-Kera. Dapatkan kesempatan"&amp;" konversi berdasarkan berapa banyak unit T6 Anda yang terluka parah dalam perang, kemudian gunakan kesempatan ini untuk mengubah Makanan dan Besi menjadi Kapsul Nu-Kera.
- Super Sale Relik Baru: paket khusus Relik Legendaris. Pilih dan beli Relik yang And"&amp;"a inginkan!
- Event baru, Tantang Reli: ulang cor untuk atribut teratas dan menangkan hadiah!
- Tampilan informasi yang ditingkatkan dalam Peningkatan Daya Pasukan dan memperbaiki proses terkait pengisian. Tidak bisa terus mengisi setelah mencapai level p"&amp;"engisian maksimal; pengisian tidak tersedia untuk bangunan yang belum diaktifkan.
- Balapan Kereta Hebat dan Hegemoni Kereta dioptimalkan: pemberitahuan baru ketika peta perang terbuka. Nyalakan pengingat sebelumnya dan dapatkan pemberitahuan ketika peta "&amp;"terbuka sehingga Anda tidak akan terlambat ke pertarungan!
- Hadiah Sign-in Kedai: Sekarang Anda dapat memilih sumber daya yang Anda butuhkan untuk pengembangan.
- Antarmuka naik level Pejuang dioptimalkan, dengan fungsi baru yang memungkinkan Anda menyim"&amp;"pan pengaturan saat menaikkan bintang Pejuang.")</f>
        <v>- Tambahkan permainan baru yang terkait dengan subterra ke Perang Planet: jelajahi Dunia Bawah Tanah untuk mendapatkan Faktor Bonus yang kuat dan hancurkan Distributor musuh!
- Fitur baru, Mech Clash: medan perang khusus untuk mekanik! Pilih mekanik yang berbeda dan adu mereka melawan yang lain untuk memenangkan hadiah!
- Ditambahkan level ke-5 di Emporium Megah: booth khusus hanya untuk Super Relik. Tampilkan Relik ini untuk menambah kekuatan!
- Koleksi Super Relik baru: Kenangan Pendaratan Bulan, Fantasia Angkasa, Mode Vintage, dan Sambungan Antarbintang. Dapatkan mereka dari Surprise Relic Vault.
- Pejuang Baru: Polisi Kilat, Grant. Polisi yang gesit, pelindung perdamaian dan keadilan!
- Fungsi baru: Konversi Darurat Kapsul Nu-Kera. Dapatkan kesempatan konversi berdasarkan berapa banyak unit T6 Anda yang terluka parah dalam perang, kemudian gunakan kesempatan ini untuk mengubah Makanan dan Besi menjadi Kapsul Nu-Kera.
- Super Sale Relik Baru: paket khusus Relik Legendaris. Pilih dan beli Relik yang Anda inginkan!
- Event baru, Tantang Reli: ulang cor untuk atribut teratas dan menangkan hadiah!
- Tampilan informasi yang ditingkatkan dalam Peningkatan Daya Pasukan dan memperbaiki proses terkait pengisian. Tidak bisa terus mengisi setelah mencapai level pengisian maksimal; pengisian tidak tersedia untuk bangunan yang belum diaktifkan.
- Balapan Kereta Hebat dan Hegemoni Kereta dioptimalkan: pemberitahuan baru ketika peta perang terbuka. Nyalakan pengingat sebelumnya dan dapatkan pemberitahuan ketika peta terbuka sehingga Anda tidak akan terlambat ke pertarungan!
- Hadiah Sign-in Kedai: Sekarang Anda dapat memilih sumber daya yang Anda butuhkan untuk pengembangan.
- Antarmuka naik level Pejuang dioptimalkan, dengan fungsi baru yang memungkinkan Anda menyimpan pengaturan saat menaikkan bintang Pejuang.</v>
      </c>
      <c r="I49" s="148" t="str">
        <f>IFERROR(__xludf.DUMMYFUNCTION("""COMPUTED_VALUE"""),"- เพิ่มการเล่นที่เกี่ยวข้องกับโลกใต้พิภพใหม่ในสงครามดาวเคราะห์: สำรวจโลกใต้ดินเพื่อรับบูสต์ที่ทรงพลังและทำลายศัตรูผู้บริจาค!
- ฟีเจอร์ใหม่, Mech Clash: สนามรบพิเศษสำหรับเมค! เลือกเมคที่แตกต่างกันและให้พวกมันต่อสู้กับคนอื่นเพื่อชนะรางวัล!
- เพิ่มเลเวลที่ 5"&amp;" ในศูนย์การค้าพิศวง: บูธใหม่สำหรับวัตถุโบราณซูเปอร์เท่านั้น แสดงวัตถุโบราณเหล่านี้เพื่อเพิ่มพลัง!
- คอลเลกชันวัตถุโบราณซูเปอร์ใหม่: ความทรงจำของการลงจอดบนดวงจันทร์, แฟนตาเซียอวกาศ, แฟชั่นวินเทจ และการเชื่อมต่อระหว่างดวงดาว รับพวกมันจาก Surprise Relic Vaul"&amp;"t
- นักสู้ใหม่: ตำรวจแสงสว่าง, แกรนท์ ตำรวจจอมเร็ว, ผู้พิทักษ์สันติภาพและความยุติธรรม!
- ฟังก์ชันใหม่: การแปลงฉุกเฉินแคปซูลลิงใหม่ รับโอกาสการแปลงตามจำนวนหน่วย T6 ของคุณที่ได้รับบาดเจ็บสาหัสในการต่อสู้ จากนั้นใช้โอกาสเหล่านี้เพื่อแปลงอาหารและเหล็กเป็นแคปซ"&amp;"ูลลิงใหม่
- วัตถุโบราณซูเปอร์เซลใหม่: แพ็คที่กำหนดเองของวัตถุโบราณตำนาน เลือกและซื้อวัตถุโบราณที่คุณต้องการ!
- กิจกรรมใหม่, Recast Challenge: รีแคสต์เพื่อคุณสมบัติสูงสุดและชนะรางวัล!
- ปรับปรุงการแสดงข้อมูลในกองทัพชาร์จสู่ฟากฟ้าและแก้ไขกระบวนการที่เกี่ยวข"&amp;"้องกับการชาร์จ ไม่สามารถชาร์จต่อได้หลังจากถึงระดับการชาร์จสูงสุด; การชาร์จไม่พร้อมใช้งานสำหรับอาคารที่ยังไม่ได้เปิดใช้งาน
- การแข่งขันรถไฟครั้งยิ่งใหญ่และรถไฟประลองความเร็วได้รับการปรับให้ดีขึ้น: การแจ้งเตือนใหม่เมื่อแผนที่การต่อสู้เปิดขึ้น ตั้งค่าการแจ้ง"&amp;"เตือนล่วงหน้าและรับการแจ้งเตือนเมื่อแผนที่เปิดขึ้นเพื่อไม่ให้คุณมาสายในการต่อสู้!
- รางวัลการลงชื่อเข้าใช้โรงแรม: ตอนนี้คุณสามารถเลือกทรัพยากรที่คุณต้องการพัฒนาได้
- อินเตอร์เฟซการอัปเกรดนักสู้ได้รับการปรับปรุงให้ดีขึ้น พร้อมฟังก์ชันใหม่ที่ช่วยให้คุณบันทึ"&amp;"กการตั้งค่าเมื่ออัปเกรดนักสู้")</f>
        <v>- เพิ่มการเล่นที่เกี่ยวข้องกับโลกใต้พิภพใหม่ในสงครามดาวเคราะห์: สำรวจโลกใต้ดินเพื่อรับบูสต์ที่ทรงพลังและทำลายศัตรูผู้บริจาค!
- ฟีเจอร์ใหม่, Mech Clash: สนามรบพิเศษสำหรับเมค! เลือกเมคที่แตกต่างกันและให้พวกมันต่อสู้กับคนอื่นเพื่อชนะรางวัล!
- เพิ่มเลเวลที่ 5 ในศูนย์การค้าพิศวง: บูธใหม่สำหรับวัตถุโบราณซูเปอร์เท่านั้น แสดงวัตถุโบราณเหล่านี้เพื่อเพิ่มพลัง!
- คอลเลกชันวัตถุโบราณซูเปอร์ใหม่: ความทรงจำของการลงจอดบนดวงจันทร์, แฟนตาเซียอวกาศ, แฟชั่นวินเทจ และการเชื่อมต่อระหว่างดวงดาว รับพวกมันจาก Surprise Relic Vault
- นักสู้ใหม่: ตำรวจแสงสว่าง, แกรนท์ ตำรวจจอมเร็ว, ผู้พิทักษ์สันติภาพและความยุติธรรม!
- ฟังก์ชันใหม่: การแปลงฉุกเฉินแคปซูลลิงใหม่ รับโอกาสการแปลงตามจำนวนหน่วย T6 ของคุณที่ได้รับบาดเจ็บสาหัสในการต่อสู้ จากนั้นใช้โอกาสเหล่านี้เพื่อแปลงอาหารและเหล็กเป็นแคปซูลลิงใหม่
- วัตถุโบราณซูเปอร์เซลใหม่: แพ็คที่กำหนดเองของวัตถุโบราณตำนาน เลือกและซื้อวัตถุโบราณที่คุณต้องการ!
- กิจกรรมใหม่, Recast Challenge: รีแคสต์เพื่อคุณสมบัติสูงสุดและชนะรางวัล!
- ปรับปรุงการแสดงข้อมูลในกองทัพชาร์จสู่ฟากฟ้าและแก้ไขกระบวนการที่เกี่ยวข้องกับการชาร์จ ไม่สามารถชาร์จต่อได้หลังจากถึงระดับการชาร์จสูงสุด; การชาร์จไม่พร้อมใช้งานสำหรับอาคารที่ยังไม่ได้เปิดใช้งาน
- การแข่งขันรถไฟครั้งยิ่งใหญ่และรถไฟประลองความเร็วได้รับการปรับให้ดีขึ้น: การแจ้งเตือนใหม่เมื่อแผนที่การต่อสู้เปิดขึ้น ตั้งค่าการแจ้งเตือนล่วงหน้าและรับการแจ้งเตือนเมื่อแผนที่เปิดขึ้นเพื่อไม่ให้คุณมาสายในการต่อสู้!
- รางวัลการลงชื่อเข้าใช้โรงแรม: ตอนนี้คุณสามารถเลือกทรัพยากรที่คุณต้องการพัฒนาได้
- อินเตอร์เฟซการอัปเกรดนักสู้ได้รับการปรับปรุงให้ดีขึ้น พร้อมฟังก์ชันใหม่ที่ช่วยให้คุณบันทึกการตั้งค่าเมื่ออัปเกรดนักสู้</v>
      </c>
      <c r="J49" s="148" t="str">
        <f>IFERROR(__xludf.DUMMYFUNCTION("""COMPUTED_VALUE"""),"- Nuevas jugadas relacionadas con el subterráneo añadidas a Guerras Planetarias: ¡explora el mundo subterráneo para obtener potenciadores poderosos y destruir Distribuidores enemigos!
- Nueva característica, Choque de Mechs: ¡un campo de batalla especial "&amp;"para mechs! Elige diferentes mechs y enfréntalos contra otros para ganar recompensas.
- Añadido el 5º nivel en el Emporio de Maravillas: estante especial solo para Super Reliquias. ¡Despliega estas Reliquias para aumentar poder!
- Nuevas colecciones de Su"&amp;"per Reliquias: Recuerdos del Aterrizaje Lunar, Fantasía Espacial, Moda Vintage y Conexión Interestelar. Consíguelas del Cofre de Reliquias Sorpresa.
- Nuevo Luchador: Policía Relámpago, Grant. ¡El policía velocista, protector de la paz y la justicia!
- Nu"&amp;"eva función: Conversión de Emergencia de Cápsulas Nu-Simio. Obtén oportunidades de conversión basadas en cuántas de tus unidades T6 fueron severamente heridas en batalla, luego usa estas oportunidades para convertir Alimento y Hierro en Cápsulas Nu-Simio."&amp;"
- Nueva Super Venta de Reliquias: un paquete personalizado de Reliquias Legendarias. ¡Selecciona y compra las Reliquias que quieras!
- Nuevo evento, Desafío de Recaste: recastea para obtener los mejores atributos y gana recompensas.
- Mejora en la visual"&amp;"ización de información en Carga del Ejército Aumentada y corrección de procesos relacionados con la carga. No se puede seguir cargando después de alcanzar el nivel de carga máximo; la carga no está disponible para edificios no activados.
- Gran Carrera de"&amp;" Trenes y Carrera del Tren optimizadas: nueva alerta cuando el mapa de batalla se abre. Activa los recordatorios de antemano y recibe una alerta cuando el mapa se abra para que no llegues tarde a la lucha.
- Recompensas por Inicio de Sesión de la Taberna:"&amp;" Ahora puedes seleccionar el recurso que necesitas para desarrollar.
- Interfaz de usuario de mejora de luchador optimizada, con una nueva función que te permite guardar una configuración al subir de estrellas a un Luchador.")</f>
        <v>- Nuevas jugadas relacionadas con el subterráneo añadidas a Guerras Planetarias: ¡explora el mundo subterráneo para obtener potenciadores poderosos y destruir Distribuidores enemigos!
- Nueva característica, Choque de Mechs: ¡un campo de batalla especial para mechs! Elige diferentes mechs y enfréntalos contra otros para ganar recompensas.
- Añadido el 5º nivel en el Emporio de Maravillas: estante especial solo para Super Reliquias. ¡Despliega estas Reliquias para aumentar poder!
- Nuevas colecciones de Super Reliquias: Recuerdos del Aterrizaje Lunar, Fantasía Espacial, Moda Vintage y Conexión Interestelar. Consíguelas del Cofre de Reliquias Sorpresa.
- Nuevo Luchador: Policía Relámpago, Grant. ¡El policía velocista, protector de la paz y la justicia!
- Nueva función: Conversión de Emergencia de Cápsulas Nu-Simio. Obtén oportunidades de conversión basadas en cuántas de tus unidades T6 fueron severamente heridas en batalla, luego usa estas oportunidades para convertir Alimento y Hierro en Cápsulas Nu-Simio.
- Nueva Super Venta de Reliquias: un paquete personalizado de Reliquias Legendarias. ¡Selecciona y compra las Reliquias que quieras!
- Nuevo evento, Desafío de Recaste: recastea para obtener los mejores atributos y gana recompensas.
- Mejora en la visualización de información en Carga del Ejército Aumentada y corrección de procesos relacionados con la carga. No se puede seguir cargando después de alcanzar el nivel de carga máximo; la carga no está disponible para edificios no activados.
- Gran Carrera de Trenes y Carrera del Tren optimizadas: nueva alerta cuando el mapa de batalla se abre. Activa los recordatorios de antemano y recibe una alerta cuando el mapa se abra para que no llegues tarde a la lucha.
- Recompensas por Inicio de Sesión de la Taberna: Ahora puedes seleccionar el recurso que necesitas para desarrollar.
- Interfaz de usuario de mejora de luchador optimizada, con una nueva función que te permite guardar una configuración al subir de estrellas a un Luchador.</v>
      </c>
      <c r="K49" s="148" t="str">
        <f>IFERROR(__xludf.DUMMYFUNCTION("""COMPUTED_VALUE"""),"- Добавлены новые, связанные с подземельем игровые возможности в Планетарные войны: исследуйте подземный мир, чтобы получить мощные усиления и уничтожить распределители врага!
- Новая функция, Механическое Столкновение: особое поле боя для мехов! Выбирайт"&amp;"е различных мехов и сражайтесь с другими, чтобы выиграть награды!
- Добавлен 5-й уровень в Чудо-Магазин: специальный стенд только для Супер Реликвий. Выставляйте эти Реликвии, чтобы усилиться!
- Новые коллекции Супер Реликвий: Воспоминания о Посадке на Лу"&amp;"ну, Космическая фантазия, Винтажная мода и Межзвездное Соединение. Получите их из Сюрпризного хранилища реликвий.
- Новый Герой: Вспышечный полицейский, Грант. Быстроногий полицейский, защитник мира и справедливости!
- Новая функция: Преобразование капсул"&amp;" Ну-Обезьяна в режиме «Проблемы». Получите возможности преобразования в зависимости от того, сколько ваших юнитов T6 были тяжело ранены в бою, затем используйте эти возможности, чтобы преобразовать Пищу и Железо в капсулы Ну-Обезьяна.
- Супер Распродажа Р"&amp;"еликвий: индивидуальный пакет Легендарных Реликвий. Выберите и купите желаемые Реликвии!
- Новое событие, Вызов Перековки: перековывайте для получения лучших показателей и выигрывайте награды!
- Улучшено отображение информации в Зарядке Армии и исправлены"&amp;" процессы, связанные с зарядкой. Невозможно продолжать зарядку после достижения максимального уровня заряда; зарядка недоступна для неактивированных построек.
- Оптимизированы Большие гонки на поездах и Гонки поездов: новое уведомление при открытии карты "&amp;"битвы. Включите напоминания заранее и получите уведомление, когда карта откроется, чтобы не опоздать к бою!
- Награды за вход в таверну: теперь вы можете выбрать ресурс, который вам нужен для разработки.
- Оптимизирован пользовательский интерфейс улучшени"&amp;"я героя, с новой функцией, позволяющей сохранять настройки при повышении звездности Героя.")</f>
        <v>- Добавлены новые, связанные с подземельем игровые возможности в Планетарные войны: исследуйте подземный мир, чтобы получить мощные усиления и уничтожить распределители врага!
- Новая функция, Механическое Столкновение: особое поле боя для мехов! Выбирайте различных мехов и сражайтесь с другими, чтобы выиграть награды!
- Добавлен 5-й уровень в Чудо-Магазин: специальный стенд только для Супер Реликвий. Выставляйте эти Реликвии, чтобы усилиться!
- Новые коллекции Супер Реликвий: Воспоминания о Посадке на Луну, Космическая фантазия, Винтажная мода и Межзвездное Соединение. Получите их из Сюрпризного хранилища реликвий.
- Новый Герой: Вспышечный полицейский, Грант. Быстроногий полицейский, защитник мира и справедливости!
- Новая функция: Преобразование капсул Ну-Обезьяна в режиме «Проблемы». Получите возможности преобразования в зависимости от того, сколько ваших юнитов T6 были тяжело ранены в бою, затем используйте эти возможности, чтобы преобразовать Пищу и Железо в капсулы Ну-Обезьяна.
- Супер Распродажа Реликвий: индивидуальный пакет Легендарных Реликвий. Выберите и купите желаемые Реликвии!
- Новое событие, Вызов Перековки: перековывайте для получения лучших показателей и выигрывайте награды!
- Улучшено отображение информации в Зарядке Армии и исправлены процессы, связанные с зарядкой. Невозможно продолжать зарядку после достижения максимального уровня заряда; зарядка недоступна для неактивированных построек.
- Оптимизированы Большие гонки на поездах и Гонки поездов: новое уведомление при открытии карты битвы. Включите напоминания заранее и получите уведомление, когда карта откроется, чтобы не опоздать к бою!
- Награды за вход в таверну: теперь вы можете выбрать ресурс, который вам нужен для разработки.
- Оптимизирован пользовательский интерфейс улучшения героя, с новой функцией, позволяющей сохранять настройки при повышении звездности Героя.</v>
      </c>
      <c r="L49" s="148" t="str">
        <f>IFERROR(__xludf.DUMMYFUNCTION("""COMPUTED_VALUE"""),"- Gezegen Savaşları'na yeni, yer altı ile ilgili oyunlar eklendi: yer altı dünyasında dolaşın, güçlü güçlendirmeler kazanın ve düşman Distribütörlerini yok edin!
- Yeni özellik, Meka Çatışması: mekalar için özel savaş meydanı! Farklı mekaları seçin ve ödü"&amp;"ller kazanmak için diğerleriyle dövüştürün!
- Harikalar Dükkânı'na 5. seviye eklendi: sadece Süper Kalıntılar için özel yeni odacık. Bu Kalıntıları sergileyerek güçlenin!
- Yeni Süper Kalıntı koleksiyonları: Ay İnişi Anıları, Uzay Fantazyası, Eski Moda ve"&amp;" Yıldızlararası Bağlantı. Sürpriz Kalıntı Kasasından onları alın.
- Yeni Savaşçı: Flaş Polis, Grant. Hızlı polis, barış ve adaletin koruyucusu!
- Yeni işlev: Nu-Maymun Kapsülü Acil Dönüşüm. Savaşta ciddi şekilde yaralanan T6 birimlerinizin sayısına göre d"&amp;"önüşüm şansları kazanın, sonra bu şansları Yiyecek ve Demir'i Nu-Maymun Kapsüllerine dönüştürmek için kullanın.
- Yeni Kalıntı Süper Satışı: Efsanevi Kalıntılardan özel bir paket. İstediğiniz Kalıntıları seçin ve satın alın!
- Yeni etkinlik, Yeniden Döküm"&amp;" Meydan Okuması: en üst nitelikler için yeniden döküm yapın ve ödüller kazanın!
- Ordu Şarj Yükselt ve ilgili işlemlerde bilgi sergileme geliştirildi. Maksimum şarj seviyesine ulaştıktan sonra şarj etmeye devam edilemez; etkinleştirilmemiş binalar için şa"&amp;"rj kullanım dışıdır.
- Büyük Tren Yarışı ve Trene Hücum optimize edildi: savaş haritası açıldığında yeni bir uyarı. Savaşa geç kalmamak için önceden hatırlatıcıları açın ve harita açıldığında bir uyarı alın!
- Taverna Oturum Açma Ödülleri: Artık gelişmek "&amp;"için ihtiyacınız olan kaynağı seçebilirsiniz.
- Savaşçı yükseltme kullanıcı arayüzü optimize edildi, bir Savaşçıyı yıldızlandırırken bir kurulumu kaydetmenize olanak tanıyan yeni bir işlev eklendi.")</f>
        <v>- Gezegen Savaşları'na yeni, yer altı ile ilgili oyunlar eklendi: yer altı dünyasında dolaşın, güçlü güçlendirmeler kazanın ve düşman Distribütörlerini yok edin!
- Yeni özellik, Meka Çatışması: mekalar için özel savaş meydanı! Farklı mekaları seçin ve ödüller kazanmak için diğerleriyle dövüştürün!
- Harikalar Dükkânı'na 5. seviye eklendi: sadece Süper Kalıntılar için özel yeni odacık. Bu Kalıntıları sergileyerek güçlenin!
- Yeni Süper Kalıntı koleksiyonları: Ay İnişi Anıları, Uzay Fantazyası, Eski Moda ve Yıldızlararası Bağlantı. Sürpriz Kalıntı Kasasından onları alın.
- Yeni Savaşçı: Flaş Polis, Grant. Hızlı polis, barış ve adaletin koruyucusu!
- Yeni işlev: Nu-Maymun Kapsülü Acil Dönüşüm. Savaşta ciddi şekilde yaralanan T6 birimlerinizin sayısına göre dönüşüm şansları kazanın, sonra bu şansları Yiyecek ve Demir'i Nu-Maymun Kapsüllerine dönüştürmek için kullanın.
- Yeni Kalıntı Süper Satışı: Efsanevi Kalıntılardan özel bir paket. İstediğiniz Kalıntıları seçin ve satın alın!
- Yeni etkinlik, Yeniden Döküm Meydan Okuması: en üst nitelikler için yeniden döküm yapın ve ödüller kazanın!
- Ordu Şarj Yükselt ve ilgili işlemlerde bilgi sergileme geliştirildi. Maksimum şarj seviyesine ulaştıktan sonra şarj etmeye devam edilemez; etkinleştirilmemiş binalar için şarj kullanım dışıdır.
- Büyük Tren Yarışı ve Trene Hücum optimize edildi: savaş haritası açıldığında yeni bir uyarı. Savaşa geç kalmamak için önceden hatırlatıcıları açın ve harita açıldığında bir uyarı alın!
- Taverna Oturum Açma Ödülleri: Artık gelişmek için ihtiyacınız olan kaynağı seçebilirsiniz.
- Savaşçı yükseltme kullanıcı arayüzü optimize edildi, bir Savaşçıyı yıldızlandırırken bir kurulumu kaydetmenize olanak tanıyan yeni bir işlev eklendi.</v>
      </c>
      <c r="M49" s="148" t="str">
        <f>IFERROR(__xludf.DUMMYFUNCTION("""COMPUTED_VALUE"""),"- Đã thêm các trò chơi mới liên quan đến subterra vào Chiến Tranh Hành Tinh: lang thang trong Thế Giới Ngầm để kiếm được Hệ Số Tăng Thêm mạnh mẽ và phá hủy Trạm Phân Phối của kẻ địch!
- Tính năng mới, Mech Clash: một Chiến Trường Đặc Biệt dành cho cơ khí!"&amp;" Chọn các cơ khí khác nhau và đưa chúng vào chiến đấu với nhau để giành phần thưởng!
- Đã thêm cấp 5 trong CỬA HÀNG DIỆU KỲ: Gian Hàng Mới chỉ dành cho Super Relics. Trưng bày những Di Tích này để Tăng Chiến Lực!
- Bộ sưu tập Super Relic mới: Ký Ức Đáp Tr"&amp;"ăng, Fantasyland Không Gian, Thời Trang Cổ Điển, và Kết Nối Liên Sao. Nhận chúng từ Surprise Relic Vault.
- Chiến Binh Mới: Cảnh Sát Chớp, Grant. Cảnh sát tốc độ, người bảo vệ hòa bình và công lý!
- Chức năng mới: Chuyển Đổi Khẩn Cấp Khoang Khỉ Nu-Ape. Nh"&amp;"ận cơ hội chuyển đổi dựa trên số lượng đơn vị T6 của bạn bị Trọng Thương trong trận, sau đó sử dụng những cơ hội này để chuyển đổi Lương Thực và Sắt thành Khoang Khỉ Nu-Ape.
- Super Sale Di Tích mới: một gói tùy chỉnh của Di Tích Huyền Thoại. Chọn và mua "&amp;"những Di Tích bạn muốn!
- Sự kiện mới, Thách Thức Tái Chế: tái chế để có thuộc tính hàng đầu và giành phần thưởng!
- Cải thiện hiển thị thông tin trong NẠP NĂNG LƯỢNG QUÂN ĐỘI và sửa chữa quy trình liên quan đến nạp. Không thể tiếp tục nạp sau khi đạt mức"&amp;" nạp tối đa; việc nạp không khả dụng cho các công trình chưa kích hoạt.
- Đường Đua Xe Lửa Lớn và Xe Lửa Tranh Bá được tối ưu hóa: thông báo mới khi bản đồ chiến đấu mở ra. Bật nhắc nhở trước và nhận thông báo khi bản đồ mở ra để bạn không bị muộn cho cuộ"&amp;"c chiến!
- Thưởng Đăng Nhập Tửu Quán: Bạn giờ có thể chọn nguồn tài nguyên bạn cần để phát triển.
- Giao diện nâng cấp Chiến Binh được tối ưu hóa, với chức năng mới cho phép bạn lưu cài đặt khi tăng sao cho một Chiến Binh.")</f>
        <v>- Đã thêm các trò chơi mới liên quan đến subterra vào Chiến Tranh Hành Tinh: lang thang trong Thế Giới Ngầm để kiếm được Hệ Số Tăng Thêm mạnh mẽ và phá hủy Trạm Phân Phối của kẻ địch!
- Tính năng mới, Mech Clash: một Chiến Trường Đặc Biệt dành cho cơ khí! Chọn các cơ khí khác nhau và đưa chúng vào chiến đấu với nhau để giành phần thưởng!
- Đã thêm cấp 5 trong CỬA HÀNG DIỆU KỲ: Gian Hàng Mới chỉ dành cho Super Relics. Trưng bày những Di Tích này để Tăng Chiến Lực!
- Bộ sưu tập Super Relic mới: Ký Ức Đáp Trăng, Fantasyland Không Gian, Thời Trang Cổ Điển, và Kết Nối Liên Sao. Nhận chúng từ Surprise Relic Vault.
- Chiến Binh Mới: Cảnh Sát Chớp, Grant. Cảnh sát tốc độ, người bảo vệ hòa bình và công lý!
- Chức năng mới: Chuyển Đổi Khẩn Cấp Khoang Khỉ Nu-Ape. Nhận cơ hội chuyển đổi dựa trên số lượng đơn vị T6 của bạn bị Trọng Thương trong trận, sau đó sử dụng những cơ hội này để chuyển đổi Lương Thực và Sắt thành Khoang Khỉ Nu-Ape.
- Super Sale Di Tích mới: một gói tùy chỉnh của Di Tích Huyền Thoại. Chọn và mua những Di Tích bạn muốn!
- Sự kiện mới, Thách Thức Tái Chế: tái chế để có thuộc tính hàng đầu và giành phần thưởng!
- Cải thiện hiển thị thông tin trong NẠP NĂNG LƯỢNG QUÂN ĐỘI và sửa chữa quy trình liên quan đến nạp. Không thể tiếp tục nạp sau khi đạt mức nạp tối đa; việc nạp không khả dụng cho các công trình chưa kích hoạt.
- Đường Đua Xe Lửa Lớn và Xe Lửa Tranh Bá được tối ưu hóa: thông báo mới khi bản đồ chiến đấu mở ra. Bật nhắc nhở trước và nhận thông báo khi bản đồ mở ra để bạn không bị muộn cho cuộc chiến!
- Thưởng Đăng Nhập Tửu Quán: Bạn giờ có thể chọn nguồn tài nguyên bạn cần để phát triển.
- Giao diện nâng cấp Chiến Binh được tối ưu hóa, với chức năng mới cho phép bạn lưu cài đặt khi tăng sao cho một Chiến Binh.</v>
      </c>
      <c r="N49" s="108" t="str">
        <f>IFERROR(__xludf.DUMMYFUNCTION("""COMPUTED_VALUE"""),"- Nuovi giochi legati al sottosuolo aggiunti alle Guerre planetarie: esplora il mondo sotterraneo per ottenere potenziamenti potenti e distruggi i Distributori nemici!
- Nuova funzionalità, Scontro Mech: un campo di battaglia speciale per i mech! Scegli d"&amp;"iversi mech e fai combattere loro contro altri per vincere ricompense!
- Aggiunto il 5° livello nell'Emporio Meraviglie: stand speciale solo per Super Reliquie. Esibisci queste Reliquie per aumentare la potenza!
- Nuove collezioni di Super Reliquie: Ricor"&amp;"di dell'Atterraggio sulla Luna, Fantasia Spaziale, Moda Vintage e Connessione Interstellare. Ottienile dalla Sorpresa Reliquia Vault.
- Nuovo Combattente: Poliziotto Lampo, Grant. Il poliziotto velocista, protettore di pace e giustizia!
- Nuova funzione: "&amp;"Conversione di Emergenza Capsule Nu-Scimmia. Ottieni possibilità di conversione in base a quante delle tue unità T6 sono state ferite gravemente in battaglia, poi utilizza queste possibilità per convertire Cibo e Ferro in Capsule Nu-Scimmia.
- Nuova Svend"&amp;"ita Super Reliquia: un pacchetto personalizzato di Reliquie Leggendarie. Seleziona e acquista le Reliquie che desideri!
- Nuovo evento, Sfida di Rifusione: rifondi per attributi di alto livello e vinci ricompense!
- Migliorata l'esibizione delle informazi"&amp;"oni nella Carica dell'Esercito Aumenta e corretti i processi relativi alla carica. Non è possibile continuare a caricare dopo aver raggiunto il livello massimo di carica; la carica non è disponibile per gli edifici non attivati.
- Ottimizzate la Grande ga"&amp;"ra dei treni e la Corsa dei treni: nuovo avviso quando la mappa della battaglia si apre. Attiva i promemoria in anticipo e ricevi un avviso quando la mappa si apre così non sarai in ritardo per la lotta!
- Ricompense di accesso alla Taverna: ora puoi sele"&amp;"zionare la risorsa di cui hai bisogno per sviluppare.
- Ottimizzata l'interfaccia utente di potenziamento dei Combattenti, con una nuova funzione che ti permette di salvare una configurazione quando aumenti di livello un Combattente.")</f>
        <v>- Nuovi giochi legati al sottosuolo aggiunti alle Guerre planetarie: esplora il mondo sotterraneo per ottenere potenziamenti potenti e distruggi i Distributori nemici!
- Nuova funzionalità, Scontro Mech: un campo di battaglia speciale per i mech! Scegli diversi mech e fai combattere loro contro altri per vincere ricompense!
- Aggiunto il 5° livello nell'Emporio Meraviglie: stand speciale solo per Super Reliquie. Esibisci queste Reliquie per aumentare la potenza!
- Nuove collezioni di Super Reliquie: Ricordi dell'Atterraggio sulla Luna, Fantasia Spaziale, Moda Vintage e Connessione Interstellare. Ottienile dalla Sorpresa Reliquia Vault.
- Nuovo Combattente: Poliziotto Lampo, Grant. Il poliziotto velocista, protettore di pace e giustizia!
- Nuova funzione: Conversione di Emergenza Capsule Nu-Scimmia. Ottieni possibilità di conversione in base a quante delle tue unità T6 sono state ferite gravemente in battaglia, poi utilizza queste possibilità per convertire Cibo e Ferro in Capsule Nu-Scimmia.
- Nuova Svendita Super Reliquia: un pacchetto personalizzato di Reliquie Leggendarie. Seleziona e acquista le Reliquie che desideri!
- Nuovo evento, Sfida di Rifusione: rifondi per attributi di alto livello e vinci ricompense!
- Migliorata l'esibizione delle informazioni nella Carica dell'Esercito Aumenta e corretti i processi relativi alla carica. Non è possibile continuare a caricare dopo aver raggiunto il livello massimo di carica; la carica non è disponibile per gli edifici non attivati.
- Ottimizzate la Grande gara dei treni e la Corsa dei treni: nuovo avviso quando la mappa della battaglia si apre. Attiva i promemoria in anticipo e ricevi un avviso quando la mappa si apre così non sarai in ritardo per la lotta!
- Ricompense di accesso alla Taverna: ora puoi selezionare la risorsa di cui hai bisogno per sviluppare.
- Ottimizzata l'interfaccia utente di potenziamento dei Combattenti, con una nuova funzione che ti permette di salvare una configurazione quando aumenti di livello un Combattente.</v>
      </c>
      <c r="O49" s="148" t="str">
        <f>IFERROR(__xludf.DUMMYFUNCTION("""COMPUTED_VALUE"""),"- Dodano nowe, związane z podziemiem rozgrywki do Wojen planet: przemierzaj świat podziemny, aby zdobyć potężne wzmocnienia i zniszczyć dystrybutory wroga!
- Nowa funkcja, Mech Clash: specjalne pole bitwy dla mechów! Wybierz różne mechy i zmierz je z inny"&amp;"mi, aby wygrać nagrody!
- Dodano 5. poziom w Składzie Cudów: specjalny postument tylko dla Super Reliktów. Wyświetl te Relikty, aby zwiększyć siłę!
- Nowe kolekcje Super Reliktów: Wspomnienia Lądowania na Księżycu, Kosmiczna Fantazja, Moda Retro i Połącze"&amp;"nie międzygwiezdne. Zdobądź je z Niespodziewanej Skrytki Reliktów.
- Nowy Wojownik: Błyskawiczny glina, Grant. Szybki glina, obrońca pokoju i sprawiedliwości!
- Nowa funkcja: Awaryjna Zamiana Kapsułki Nu-Małpa. Zdobądź szanse na konwersję w zależności od "&amp;"tego, ile twoich jednostek T6 zostało poważnie rannych w bitwie, a następnie użyj tych szans, aby zamienić Żywność i Żelazo na Kapsułki Nu-Małpa.
- Nowa Wyprzedaż Super Reliktów: spersonalizowany pakiet Legendarnych Reliktów. Wybierz i kup Relikty, które "&amp;"chcesz!
- Nowe wydarzenie, Wyzwanie Przelania: przelaj za najlepsze atrybuty i wygraj nagrody!
- Ulepszono wyświetlanie informacji w Ładowaniu Armii W Górę i naprawiono procesy związane z ładowaniem. Nie można kontynuować ładowania po osiągnięciu maksymal"&amp;"nego poziomu ładowania; ładowanie jest niedostępne dla nieaktywowanych budynków.
- Optymalizacja Wielkiego wyścigu pociągów i Pędu pociągu: nowy alert, gdy otwiera się mapa bitwy. Włącz przypomnienia wcześniej i otrzymaj alert, gdy mapa się otworzy, aby n"&amp;"ie spóźnić się na walkę!
- Nagrody Tawerny za Logowanie: Teraz możesz wybrać zasób, którego potrzebujesz do rozwoju.
- Optymalizacja interfejsu ulepszania Wojownika, z nową funkcją pozwalającą na zapisanie konfiguracji podczas awansowania Wojownika.")</f>
        <v>- Dodano nowe, związane z podziemiem rozgrywki do Wojen planet: przemierzaj świat podziemny, aby zdobyć potężne wzmocnienia i zniszczyć dystrybutory wroga!
- Nowa funkcja, Mech Clash: specjalne pole bitwy dla mechów! Wybierz różne mechy i zmierz je z innymi, aby wygrać nagrody!
- Dodano 5. poziom w Składzie Cudów: specjalny postument tylko dla Super Reliktów. Wyświetl te Relikty, aby zwiększyć siłę!
- Nowe kolekcje Super Reliktów: Wspomnienia Lądowania na Księżycu, Kosmiczna Fantazja, Moda Retro i Połączenie międzygwiezdne. Zdobądź je z Niespodziewanej Skrytki Reliktów.
- Nowy Wojownik: Błyskawiczny glina, Grant. Szybki glina, obrońca pokoju i sprawiedliwości!
- Nowa funkcja: Awaryjna Zamiana Kapsułki Nu-Małpa. Zdobądź szanse na konwersję w zależności od tego, ile twoich jednostek T6 zostało poważnie rannych w bitwie, a następnie użyj tych szans, aby zamienić Żywność i Żelazo na Kapsułki Nu-Małpa.
- Nowa Wyprzedaż Super Reliktów: spersonalizowany pakiet Legendarnych Reliktów. Wybierz i kup Relikty, które chcesz!
- Nowe wydarzenie, Wyzwanie Przelania: przelaj za najlepsze atrybuty i wygraj nagrody!
- Ulepszono wyświetlanie informacji w Ładowaniu Armii W Górę i naprawiono procesy związane z ładowaniem. Nie można kontynuować ładowania po osiągnięciu maksymalnego poziomu ładowania; ładowanie jest niedostępne dla nieaktywowanych budynków.
- Optymalizacja Wielkiego wyścigu pociągów i Pędu pociągu: nowy alert, gdy otwiera się mapa bitwy. Włącz przypomnienia wcześniej i otrzymaj alert, gdy mapa się otworzy, aby nie spóźnić się na walkę!
- Nagrody Tawerny za Logowanie: Teraz możesz wybrać zasób, którego potrzebujesz do rozwoju.
- Optymalizacja interfejsu ulepszania Wojownika, z nową funkcją pozwalającą na zapisanie konfiguracji podczas awansowania Wojownika.</v>
      </c>
      <c r="P49" s="148" t="str">
        <f>IFERROR(__xludf.DUMMYFUNCTION("""COMPUTED_VALUE"""),"- تم إضافة ألعاب جديدة متعلقة بالعالم السفلي إلى حروب الكوكب: تجول في العالم تحت الأرض لكسب تعزيزات قوية وهدم محطات التوزيع العدو!
- ميزة جديدة، اشتباك الميكا: ساحة معركة خاصة للميكا! اختر ميكا مختلفة وقاتل بها ضد الآخرين للفوز بالجوائز!
- تم إضافة المستو"&amp;"ى الخامس في معرض العجائب: كشك خاص للمقتنيات الأسطورية فقط. عرض هذه المقتنيات لرفع القوة!
- مجموعات مقتنيات أسطورية جديدة: ذكريات الهبوط على القمر، فانتازيا الفضاء، أزياء قديمة، والاتصال بين النجوم. احصل عليها من خزنة المقتنيات المفاجئة.
- مقاتل جديد: شرطي"&amp;" الفلاش، جرانت. الشرطي السريع، حامي السلام والعدالة!
- وظيفة جديدة: تحويل الطوارئ لكبسولات نو-قرد. احصل على فرص التحويل بناءً على عدد وحداتك من الرتبة T6 التي أصيبت بجروح خطيرة في المعركة، ثم استخدم هذه الفرص لتحويل الطعام والحديد إلى كبسولات نو-قرد.
- تخ"&amp;"فيضات فائقة للمقتنيات الأسطورية: حزمة مخصصة من المقتنيات الأسطورية. اختر واشترِ المقتنيات التي تريدها!
- حدث جديد، تحدي إعادة الصب: أعد الصب للحصول على أعلى السمات واربح الجوائز!
- تحسين عرض المعلومات في شحن الجيش وإصلاح العمليات المتعلقة بالشحن. لا يمكن "&amp;"الاستمرار في الشحن بعد الوصول إلى مستوى الشحن الأعلى؛ الشحن غير متوفر للمباني غير المفعلة.
- تم تحسين سباق القطار العظيم والقطار المندفع: تنبيه جديد عند فتح خريطة المعركة. قم بتشغيل التذكيرات مسبقًا واحصل على تنبيه عند فتح الخريطة حتى لا تتأخر عن القتال!
"&amp;"- مكافآت تسجيل الدخول المقهى: يمكنك الآن اختيار المورد الذي تحتاجه للتطوير.
- تم تحسين واجهة المستخدم لترقية المقاتل، مع وظيفة جديدة تتيح لك حفظ إعداد عند رفع نجمة لمقاتل.")</f>
        <v>- تم إضافة ألعاب جديدة متعلقة بالعالم السفلي إلى حروب الكوكب: تجول في العالم تحت الأرض لكسب تعزيزات قوية وهدم محطات التوزيع العدو!
- ميزة جديدة، اشتباك الميكا: ساحة معركة خاصة للميكا! اختر ميكا مختلفة وقاتل بها ضد الآخرين للفوز بالجوائز!
- تم إضافة المستوى الخامس في معرض العجائب: كشك خاص للمقتنيات الأسطورية فقط. عرض هذه المقتنيات لرفع القوة!
- مجموعات مقتنيات أسطورية جديدة: ذكريات الهبوط على القمر، فانتازيا الفضاء، أزياء قديمة، والاتصال بين النجوم. احصل عليها من خزنة المقتنيات المفاجئة.
- مقاتل جديد: شرطي الفلاش، جرانت. الشرطي السريع، حامي السلام والعدالة!
- وظيفة جديدة: تحويل الطوارئ لكبسولات نو-قرد. احصل على فرص التحويل بناءً على عدد وحداتك من الرتبة T6 التي أصيبت بجروح خطيرة في المعركة، ثم استخدم هذه الفرص لتحويل الطعام والحديد إلى كبسولات نو-قرد.
- تخفيضات فائقة للمقتنيات الأسطورية: حزمة مخصصة من المقتنيات الأسطورية. اختر واشترِ المقتنيات التي تريدها!
- حدث جديد، تحدي إعادة الصب: أعد الصب للحصول على أعلى السمات واربح الجوائز!
- تحسين عرض المعلومات في شحن الجيش وإصلاح العمليات المتعلقة بالشحن. لا يمكن الاستمرار في الشحن بعد الوصول إلى مستوى الشحن الأعلى؛ الشحن غير متوفر للمباني غير المفعلة.
- تم تحسين سباق القطار العظيم والقطار المندفع: تنبيه جديد عند فتح خريطة المعركة. قم بتشغيل التذكيرات مسبقًا واحصل على تنبيه عند فتح الخريطة حتى لا تتأخر عن القتال!
- مكافآت تسجيل الدخول المقهى: يمكنك الآن اختيار المورد الذي تحتاجه للتطوير.
- تم تحسين واجهة المستخدم لترقية المقاتل، مع وظيفة جديدة تتيح لك حفظ إعداد عند رفع نجمة لمقاتل.</v>
      </c>
      <c r="Q49" s="148" t="str">
        <f>IFERROR(__xludf.DUMMYFUNCTION("""COMPUTED_VALUE"""),"- 新しい、地下世界関連のプレイがプラネットウォーズに追加されました：地下世界を探索して強力なバフを獲得し、敵の配送所を破壊しましょう！
- 新機能、メカクラッシュ：メカ専用の特殊な戦場！異なるメカを選択し、他のメカと戦って報酬を勝ち取りましょう！
- 展示館に5番目のレベルが追加されました：スーパーレリック専用のブースです。これらのレリックを展示して戦力アップしましょう！
- 新たなスーパーレリックコレクション：月面着陸の思い出、スペースファンタジア、ヴィンテージファッション、星間接続。驚きの遺物ボール"&amp;"トから入手しましょう。
- 新しいファイター：閃光警官、グラント。閃光警官、平和と正義の守護者！
- 新機能：ヌーエイプカプセル緊急変換。戦闘中に重傷を負ったT6ユニットの数に基づいて変換チャンスを獲得し、これらのチャンスを使用して食料と鉄をヌーエイプカプセルに変換しましょう。
- 新しいレリックスーパーセール：伝説的なレリックのカスタムパック。欲しいレリックを選択して購入しましょう！
- 新イベント、リキャストチャレンジ：トップ属性をリキャストして報酬を勝ち取りましょう！
- 軍団チャージアップの情報表"&amp;"示を改善し、チャージ関連のプロセスを修正しました。最大チャージレベルに達した後はチャージを続けることができず、活性化されていない建築物ではチャージが利用できません。
- トレインレースとトレインラッシュが最適化されました：戦闘マップが開くときの新しいアラートがあります。事前にリマインダーをオンにしておき、マップが開いたときにアラートを受け取り、戦いに遅れないようにしましょう！
- 酒場のログイン報酬：開発に必要なリソースを選択できるようになりました。
- ファイターのアップグレードUIが最適化され、ファイ"&amp;"ターをスターリングアップするときにセットアップを保存できる新機能が追加されました。")</f>
        <v>- 新しい、地下世界関連のプレイがプラネットウォーズに追加されました：地下世界を探索して強力なバフを獲得し、敵の配送所を破壊しましょう！
- 新機能、メカクラッシュ：メカ専用の特殊な戦場！異なるメカを選択し、他のメカと戦って報酬を勝ち取りましょう！
- 展示館に5番目のレベルが追加されました：スーパーレリック専用のブースです。これらのレリックを展示して戦力アップしましょう！
- 新たなスーパーレリックコレクション：月面着陸の思い出、スペースファンタジア、ヴィンテージファッション、星間接続。驚きの遺物ボールトから入手しましょう。
- 新しいファイター：閃光警官、グラント。閃光警官、平和と正義の守護者！
- 新機能：ヌーエイプカプセル緊急変換。戦闘中に重傷を負ったT6ユニットの数に基づいて変換チャンスを獲得し、これらのチャンスを使用して食料と鉄をヌーエイプカプセルに変換しましょう。
- 新しいレリックスーパーセール：伝説的なレリックのカスタムパック。欲しいレリックを選択して購入しましょう！
- 新イベント、リキャストチャレンジ：トップ属性をリキャストして報酬を勝ち取りましょう！
- 軍団チャージアップの情報表示を改善し、チャージ関連のプロセスを修正しました。最大チャージレベルに達した後はチャージを続けることができず、活性化されていない建築物ではチャージが利用できません。
- トレインレースとトレインラッシュが最適化されました：戦闘マップが開くときの新しいアラートがあります。事前にリマインダーをオンにしておき、マップが開いたときにアラートを受け取り、戦いに遅れないようにしましょう！
- 酒場のログイン報酬：開発に必要なリソースを選択できるようになりました。
- ファイターのアップグレードUIが最適化され、ファイターをスターリングアップするときにセットアップを保存できる新機能が追加されました。</v>
      </c>
      <c r="R49" s="148" t="str">
        <f>IFERROR(__xludf.DUMMYFUNCTION("""COMPUTED_VALUE"""),"- 은하 전쟁에 새로운, 지하 세계 관련 플레이 추가: 지하 세계를 누비며 강력한 부스터를 얻고 적의 갱 배달 스테이션 수를 파괴하세요!
- 새로운 기능, 메카 대결: 메카를 위한 특수 전장! 다양한 메카를 선택하고 다른 메카와 대결하여 보상을 획득하세요!
- 전시관에 5번째 레벨 추가: 슈퍼 유물만을 위한 특별 부스. 이 유물들을 디스플레이하여 파워 업하세요!
- 새로운 슈퍼 유물 컬렉션: 달 착륙의 기억, 우주 환상곡, 빈티지 패션, 별 사이의 연결"&amp;". 기습 유물 금고에서 획득하세요.
- 새로운 전사: 섬광 순경, 그랜트. 속도 순경, 평화와 정의의 수호자!
- 새로운 기능: 뉴-원숭이 캡슐 응급 변환. 전투에서 T6 유닛이 중상을 입은 수에 따라 변환 기회를 얻고, 이 기회를 사용하여 식량과 강철을 뉴-원숭이 캡슐로 변환하세요.
- 새로운 유물 슈퍼 세일: 전설적인 유물의 맞춤형 팩. 원하는 유물을 선택하고 구매하세요!
- 새로운 이벤트, 재주조 도전: 최상위 속성을 재주조하고 보상을 획득하세요!"&amp;"
- 군단 충전 업과 관련 프로세스의 정보 디스플레이 개선. 최고 충전 레벨에 도달한 후에는 충전을 계속할 수 없으며, 활성화되지 않은 건물은 충전이 불가능합니다.
- 기차 레이스와 기차 쟁탈전 최적화: 전투 지도가 열릴 때 새로운 알림 추가. 미리 알림을 켜두고 지도가 열릴 때 알림을 받아 전투에 늦지 않도록 하세요!
- 선술집 출석 보상: 이제 개발에 필요한 자원을 선택할 수 있습니다.
- 전사 업그레이드 UI 최적화, 전사를 스타 업할 때 설정을 "&amp;"저장할 수 있는 새로운 기능이 추가되었습니다.")</f>
        <v>- 은하 전쟁에 새로운, 지하 세계 관련 플레이 추가: 지하 세계를 누비며 강력한 부스터를 얻고 적의 갱 배달 스테이션 수를 파괴하세요!
- 새로운 기능, 메카 대결: 메카를 위한 특수 전장! 다양한 메카를 선택하고 다른 메카와 대결하여 보상을 획득하세요!
- 전시관에 5번째 레벨 추가: 슈퍼 유물만을 위한 특별 부스. 이 유물들을 디스플레이하여 파워 업하세요!
- 새로운 슈퍼 유물 컬렉션: 달 착륙의 기억, 우주 환상곡, 빈티지 패션, 별 사이의 연결. 기습 유물 금고에서 획득하세요.
- 새로운 전사: 섬광 순경, 그랜트. 속도 순경, 평화와 정의의 수호자!
- 새로운 기능: 뉴-원숭이 캡슐 응급 변환. 전투에서 T6 유닛이 중상을 입은 수에 따라 변환 기회를 얻고, 이 기회를 사용하여 식량과 강철을 뉴-원숭이 캡슐로 변환하세요.
- 새로운 유물 슈퍼 세일: 전설적인 유물의 맞춤형 팩. 원하는 유물을 선택하고 구매하세요!
- 새로운 이벤트, 재주조 도전: 최상위 속성을 재주조하고 보상을 획득하세요!
- 군단 충전 업과 관련 프로세스의 정보 디스플레이 개선. 최고 충전 레벨에 도달한 후에는 충전을 계속할 수 없으며, 활성화되지 않은 건물은 충전이 불가능합니다.
- 기차 레이스와 기차 쟁탈전 최적화: 전투 지도가 열릴 때 새로운 알림 추가. 미리 알림을 켜두고 지도가 열릴 때 알림을 받아 전투에 늦지 않도록 하세요!
- 선술집 출석 보상: 이제 개발에 필요한 자원을 선택할 수 있습니다.
- 전사 업그레이드 UI 최적화, 전사를 스타 업할 때 설정을 저장할 수 있는 새로운 기능이 추가되었습니다.</v>
      </c>
      <c r="S49" s="148"/>
      <c r="T49" s="148"/>
      <c r="U49" s="148"/>
      <c r="V49" s="148"/>
      <c r="W49" s="148"/>
      <c r="X49" s="148"/>
      <c r="Y49" s="148"/>
      <c r="Z49" s="148"/>
    </row>
    <row r="50">
      <c r="A50" s="165" t="str">
        <f>IFERROR(__xludf.DUMMYFUNCTION("""COMPUTED_VALUE"""),"0.59.5")</f>
        <v>0.59.5</v>
      </c>
      <c r="B50" s="148" t="str">
        <f>IFERROR(__xludf.DUMMYFUNCTION("""COMPUTED_VALUE"""),"新增冬日节活动：
冬日惊喜：冬日节开始啦，收集神奇袜子，获取冬日节礼物，还有机会抽城市皮肤大奖！
冬日晚会：收集幸运铃，换取礼物吧！礼物中将会有装饰、铭牌、主题行军特效哦！
冬日赠礼：冬日节期间，特惠礼包，购买指定数量礼包可额外再获赠一个！
火车豪礼：冬日小火车拉来了礼物，每日充值即可领取丰厚奖励！
交换礼物：冬日节到了，快来和你的朋友交换礼物吧，集齐礼物可以赢得更大的奖励！")</f>
        <v>新增冬日节活动：
冬日惊喜：冬日节开始啦，收集神奇袜子，获取冬日节礼物，还有机会抽城市皮肤大奖！
冬日晚会：收集幸运铃，换取礼物吧！礼物中将会有装饰、铭牌、主题行军特效哦！
冬日赠礼：冬日节期间，特惠礼包，购买指定数量礼包可额外再获赠一个！
火车豪礼：冬日小火车拉来了礼物，每日充值即可领取丰厚奖励！
交换礼物：冬日节到了，快来和你的朋友交换礼物吧，集齐礼物可以赢得更大的奖励！</v>
      </c>
      <c r="C50" s="148" t="str">
        <f>IFERROR(__xludf.DUMMYFUNCTION("""COMPUTED_VALUE"""),"Winter Festival Events
Winter Delight: Winter Festival has begun! Collect Magic Stockings to win presents and a chance to get a city skin!
Winter Festival: Collect Lucky Bells to redeem gifts like decorations, nameplates, and special march effects!
Winter"&amp;" Giveaway: Buy the same special pack enough times during Winter Festival to get another one for free!
Train Gifts: Choo-choo, the winter train comes bearing gifts! Make purchases daily to collect amazing rewards!
Gift Exchange: Exchange gifts with friends"&amp;" to win big prizes!")</f>
        <v>Winter Festival Events
Winter Delight: Winter Festival has begun! Collect Magic Stockings to win presents and a chance to get a city skin!
Winter Festival: Collect Lucky Bells to redeem gifts like decorations, nameplates, and special march effects!
Winter Giveaway: Buy the same special pack enough times during Winter Festival to get another one for free!
Train Gifts: Choo-choo, the winter train comes bearing gifts! Make purchases daily to collect amazing rewards!
Gift Exchange: Exchange gifts with friends to win big prizes!</v>
      </c>
      <c r="D50" s="148" t="str">
        <f>IFERROR(__xludf.DUMMYFUNCTION("""COMPUTED_VALUE"""),"Évènements du FESTIVAL D'HIVER
JOIE HIVERNALE : Le Festival d'Hiver a commencé ! Récupérez des chaussettes magiques pour gagner des cadeaux et une chance d'obtenir un skin de ville !
FESTIVAL D'HIVER : Obtenez des carillons porte-bonheur pour échanger con"&amp;"tre des cadeaux tels que des décorations, des plaques et des effets de déplacement spéciaux !
DISTRIBUTION HIVERNALE : Achetez suffisamment de fois le même pack spécial pendant le FESTIVAL D'HIVER pour en obtenir un autre gratuitement !
CADEAUX DE TRAIN :"&amp;" Tchou-tchou, le train d'hiver arrive avec des cadeaux ! Faites des achats quotidiennement pour récupérer des récompenses incroyables !
ÉCHANGE DE CADEAUX : Échangez des cadeaux avec des amis pour gagner de gros prix !")</f>
        <v>Évènements du FESTIVAL D'HIVER
JOIE HIVERNALE : Le Festival d'Hiver a commencé ! Récupérez des chaussettes magiques pour gagner des cadeaux et une chance d'obtenir un skin de ville !
FESTIVAL D'HIVER : Obtenez des carillons porte-bonheur pour échanger contre des cadeaux tels que des décorations, des plaques et des effets de déplacement spéciaux !
DISTRIBUTION HIVERNALE : Achetez suffisamment de fois le même pack spécial pendant le FESTIVAL D'HIVER pour en obtenir un autre gratuitement !
CADEAUX DE TRAIN : Tchou-tchou, le train d'hiver arrive avec des cadeaux ! Faites des achats quotidiennement pour récupérer des récompenses incroyables !
ÉCHANGE DE CADEAUX : Échangez des cadeaux avec des amis pour gagner de gros prix !</v>
      </c>
      <c r="E50" s="148" t="str">
        <f>IFERROR(__xludf.DUMMYFUNCTION("""COMPUTED_VALUE"""),"Winterfest-Events
Winterfreude: Das Winterfest hat begonnen! Sammle Zauberstrümpfe, um Geschenke zu gewinnen und die Chance auf einen Stadt-Skin zu erhalten!
Winterfest: Sammle Glücksglocken, um Geschenke wie Dekorationen, Namensschilder und spezielle Mar"&amp;"scheffekte einzulösen!
Winter-Verlosung: Kaufe während des Winterfests das gleiche Spezialpaket genügend oft, um ein weiteres kostenlos zu bekommen!
Zuggeschenke: Choo-Choo, der Winterzug kommt und bringt Geschenke! Tätige täglich Käufe, um tolle Belohnun"&amp;"gen zu sammeln!
Geschenketausch: Tausche Geschenke mit Freunden aus, um große Preise zu gewinnen!")</f>
        <v>Winterfest-Events
Winterfreude: Das Winterfest hat begonnen! Sammle Zauberstrümpfe, um Geschenke zu gewinnen und die Chance auf einen Stadt-Skin zu erhalten!
Winterfest: Sammle Glücksglocken, um Geschenke wie Dekorationen, Namensschilder und spezielle Marscheffekte einzulösen!
Winter-Verlosung: Kaufe während des Winterfests das gleiche Spezialpaket genügend oft, um ein weiteres kostenlos zu bekommen!
Zuggeschenke: Choo-Choo, der Winterzug kommt und bringt Geschenke! Tätige täglich Käufe, um tolle Belohnungen zu sammeln!
Geschenketausch: Tausche Geschenke mit Freunden aus, um große Preise zu gewinnen!</v>
      </c>
      <c r="F50" s="148" t="str">
        <f>IFERROR(__xludf.DUMMYFUNCTION("""COMPUTED_VALUE"""),"Eventos do Festival de Inverno
ENCANTO INVERNAL: O Festival de Inverno começou! Colete Meias Mágicas para ganhar presentes e uma chance de conseguir uma skin da cidade!
Festival de Inverno: Colete Sinos da Sorte para resgatar presentes como decorações, ta"&amp;"buletas e efeitos de marcha especiais!
Sorteio de Inverno: Compre o mesmo pacote especial várias vezes durante o Festival de Inverno para ganhar outro gratuitamente!
Presentes do Trem: Tchuu-tchuu, o trem de inverno chega trazendo presentes! Faça compras "&amp;"diariamente para coletar recompensas incríveis!
Troca de Presentes: Troque presentes com amigos para ganhar grandes prêmios!")</f>
        <v>Eventos do Festival de Inverno
ENCANTO INVERNAL: O Festival de Inverno começou! Colete Meias Mágicas para ganhar presentes e uma chance de conseguir uma skin da cidade!
Festival de Inverno: Colete Sinos da Sorte para resgatar presentes como decorações, tabuletas e efeitos de marcha especiais!
Sorteio de Inverno: Compre o mesmo pacote especial várias vezes durante o Festival de Inverno para ganhar outro gratuitamente!
Presentes do Trem: Tchuu-tchuu, o trem de inverno chega trazendo presentes! Faça compras diariamente para coletar recompensas incríveis!
Troca de Presentes: Troque presentes com amigos para ganhar grandes prêmios!</v>
      </c>
      <c r="G50" s="148" t="str">
        <f>IFERROR(__xludf.DUMMYFUNCTION("""COMPUTED_VALUE"""),"新增冬日節活動：
冬日驚喜：冬日節開始啦，收集神奇襪子，獲取冬日節禮物，還有機會抽城鎮等級皮膚大獎！
冬日晚會：收集幸運鈴，換取禮物吧！禮物中將會有裝飾、銘牌、主題行軍特效哦！
冬日贈禮：冬日節期間，特惠禮包，購買指定數量禮包可額外再獲贈一個！
火車豪禮：冬日小火車拉來了禮物，累計已購買的猴子們快來領取豐厚獎勵！
交換禮物：冬日節到了，快來和你的朋友交換禮物吧，集齊禮物可以贏得更大的獎勵！")</f>
        <v>新增冬日節活動：
冬日驚喜：冬日節開始啦，收集神奇襪子，獲取冬日節禮物，還有機會抽城鎮等級皮膚大獎！
冬日晚會：收集幸運鈴，換取禮物吧！禮物中將會有裝飾、銘牌、主題行軍特效哦！
冬日贈禮：冬日節期間，特惠禮包，購買指定數量禮包可額外再獲贈一個！
火車豪禮：冬日小火車拉來了禮物，累計已購買的猴子們快來領取豐厚獎勵！
交換禮物：冬日節到了，快來和你的朋友交換禮物吧，集齊禮物可以贏得更大的獎勵！</v>
      </c>
      <c r="H50" s="148" t="str">
        <f>IFERROR(__xludf.DUMMYFUNCTION("""COMPUTED_VALUE"""),"Event Festival Musim Dingin
KEJUTAN MUSIM DINGIN: Festival Musim Dingin telah dimulai! Kumpulkan Kaus Kaki Ajaib untuk memenangkan hadiah dan kesempatan mendapatkan skin kota!
Festival Musim Dingin: Kumpulkan Lonceng Keberuntungan untuk ditukarkan dengan "&amp;"hadiah seperti dekorasi, pelat nama, dan efek berbaris khusus!
PEMBERIAN MUSIM DINGIN: Beli paket spesial yang sama berkali-kali selama Festival Musim Dingin untuk mendapatkan satu lagi secara gratis!
HADIAH KERETA: Tut-tut-tut, kereta musim dingin datang"&amp;" membawa hadiah! Lakukan pembelian setiap hari untuk mengumpulkan hadiah menarik!
PENUKARAN HADIAH: Tukarkan hadiah dengan teman untuk memenangkan hadiah besar!")</f>
        <v>Event Festival Musim Dingin
KEJUTAN MUSIM DINGIN: Festival Musim Dingin telah dimulai! Kumpulkan Kaus Kaki Ajaib untuk memenangkan hadiah dan kesempatan mendapatkan skin kota!
Festival Musim Dingin: Kumpulkan Lonceng Keberuntungan untuk ditukarkan dengan hadiah seperti dekorasi, pelat nama, dan efek berbaris khusus!
PEMBERIAN MUSIM DINGIN: Beli paket spesial yang sama berkali-kali selama Festival Musim Dingin untuk mendapatkan satu lagi secara gratis!
HADIAH KERETA: Tut-tut-tut, kereta musim dingin datang membawa hadiah! Lakukan pembelian setiap hari untuk mengumpulkan hadiah menarik!
PENUKARAN HADIAH: Tukarkan hadiah dengan teman untuk memenangkan hadiah besar!</v>
      </c>
      <c r="I50" s="148" t="str">
        <f>IFERROR(__xludf.DUMMYFUNCTION("""COMPUTED_VALUE"""),"กิจกรรมดินเนอร์ฤดูหนาว
เซอร์ไพรส์ฤดูหนาว: ดินเนอร์ฤดูหนาวได้เริ่มขึ้นแล้ว! เก็บถุงเท้าวิเศษเพื่อชิงของขวัญและโอกาสในการได้รับสกินเมือง!
ดินเนอร์ฤดูหนาว: สะสมกระดิ่งแห่งโชคไปแลกรางวัลเช่นการตกแต่ง, ป้ายชื่อ และเอฟเฟกต์การเดินทัพพิเศษ!
แจกของขวัญฤดูหนาว: ซื"&amp;"้อแพ็กพิเศษเดียวกันหลายครั้งในช่วงดินเนอร์ฤดูหนาวเพื่อรับอีกหนึ่งแพ็กฟรี!
ของขวัญรถไฟ: ปู๊น ปู๊น! รถไฟฤดูหนาวมาพร้อมกับของขวัญ! ซื้อของทุกวันเพื่อเก็บรางวัลสุดวิเศษ!
การแลกของขวัญ: แลกของขวัญกับเพื่อนเพื่อชนะรางวัลใหญ่!")</f>
        <v>กิจกรรมดินเนอร์ฤดูหนาว
เซอร์ไพรส์ฤดูหนาว: ดินเนอร์ฤดูหนาวได้เริ่มขึ้นแล้ว! เก็บถุงเท้าวิเศษเพื่อชิงของขวัญและโอกาสในการได้รับสกินเมือง!
ดินเนอร์ฤดูหนาว: สะสมกระดิ่งแห่งโชคไปแลกรางวัลเช่นการตกแต่ง, ป้ายชื่อ และเอฟเฟกต์การเดินทัพพิเศษ!
แจกของขวัญฤดูหนาว: ซื้อแพ็กพิเศษเดียวกันหลายครั้งในช่วงดินเนอร์ฤดูหนาวเพื่อรับอีกหนึ่งแพ็กฟรี!
ของขวัญรถไฟ: ปู๊น ปู๊น! รถไฟฤดูหนาวมาพร้อมกับของขวัญ! ซื้อของทุกวันเพื่อเก็บรางวัลสุดวิเศษ!
การแลกของขวัญ: แลกของขวัญกับเพื่อนเพื่อชนะรางวัลใหญ่!</v>
      </c>
      <c r="J50" s="148" t="str">
        <f>IFERROR(__xludf.DUMMYFUNCTION("""COMPUTED_VALUE"""),"Eventos del Festival Invernal
DELEITE INVERNAL: ¡Ha comenzado el Festival Invernal! ¡Recolecta Medias Mágicas para ganar regalos y la oportunidad de conseguir un aspecto de ciudad!
Festival Invernal: ¡Recolecta campanas de la suerte para canjear regalos c"&amp;"omo decoraciones, PLACAS y EFECTOS DE MARCHA especiales!
Sorteo Invernal: Compra el mismo paquete especial suficientes veces durante el Festival Invernal ¡y consigue otro gratis!
REGALOS DE TREN: ¡Chu-chuuu, el tren de invierno llega cargado de regalos! H"&amp;"az compras diariamente para recolectar recompensas increíbles!
Intercambio de Regalos: Intercambia regalos con amigos para ganar grandes premios!")</f>
        <v>Eventos del Festival Invernal
DELEITE INVERNAL: ¡Ha comenzado el Festival Invernal! ¡Recolecta Medias Mágicas para ganar regalos y la oportunidad de conseguir un aspecto de ciudad!
Festival Invernal: ¡Recolecta campanas de la suerte para canjear regalos como decoraciones, PLACAS y EFECTOS DE MARCHA especiales!
Sorteo Invernal: Compra el mismo paquete especial suficientes veces durante el Festival Invernal ¡y consigue otro gratis!
REGALOS DE TREN: ¡Chu-chuuu, el tren de invierno llega cargado de regalos! Haz compras diariamente para recolectar recompensas increíbles!
Intercambio de Regalos: Intercambia regalos con amigos para ganar grandes premios!</v>
      </c>
      <c r="K50" s="148" t="str">
        <f>IFERROR(__xludf.DUMMYFUNCTION("""COMPUTED_VALUE"""),"События Зимнего Праздника
Зимняя Радость: ЗИМНИЙ ПРАЗДНИК начался! Собирайте Волшебные носки, чтобы выиграть подарки и получить шанс завоевать облик города!
Зимний Праздник: Собирайте счастливые колокольчики, чтобы обменять их на подарки, такие как украше"&amp;"ния, именные таблички и специальные эффекты марша!
Зимний Розыгрыш: Купите во время Зимнего праздника один и тот же специальный набор достаточное количество раз, чтобы получить еще один бесплатно!
Подарки на Поезд: Чух-чух, зимний поезд приносит подарки! "&amp;"Совершайте покупки каждый день, чтобы собирать потрясающие награды!
Обмен Подарками: Обменяйтесь подарками с друзьями, чтобы выиграть крупные призы!")</f>
        <v>События Зимнего Праздника
Зимняя Радость: ЗИМНИЙ ПРАЗДНИК начался! Собирайте Волшебные носки, чтобы выиграть подарки и получить шанс завоевать облик города!
Зимний Праздник: Собирайте счастливые колокольчики, чтобы обменять их на подарки, такие как украшения, именные таблички и специальные эффекты марша!
Зимний Розыгрыш: Купите во время Зимнего праздника один и тот же специальный набор достаточное количество раз, чтобы получить еще один бесплатно!
Подарки на Поезд: Чух-чух, зимний поезд приносит подарки! Совершайте покупки каждый день, чтобы собирать потрясающие награды!
Обмен Подарками: Обменяйтесь подарками с друзьями, чтобы выиграть крупные призы!</v>
      </c>
      <c r="L50" s="148" t="str">
        <f>IFERROR(__xludf.DUMMYFUNCTION("""COMPUTED_VALUE"""),"Kış Festivali Etkinlikleri
KIŞ SÜRPRİZİ: KIŞ FESTIVALI başladı! Büyülü Çorapları toplayarak hediyeler kazan ve bir şehir görünümü şansı elde et!
KIŞ FESTIVALI: Şanslı Çanları toplayarak dekorasyonlar, tabela ve özel sefer etkileri gibi hediyeleri al!
Kış "&amp;"Hediye Çekilişi: Kış Festivali boyunca aynı özel paketi yeterli kez satın al ve bir diğerini ücretsiz al!
Tren Hediyeleri: Çuf-çuf, kış treni hediyelerle geliyor! Harika ödüller toplamak için her gün satın alım yap!
Hediye Takası: Arkadaşlarla hediye taka"&amp;"sı yaparak büyük ödüller kazan!")</f>
        <v>Kış Festivali Etkinlikleri
KIŞ SÜRPRİZİ: KIŞ FESTIVALI başladı! Büyülü Çorapları toplayarak hediyeler kazan ve bir şehir görünümü şansı elde et!
KIŞ FESTIVALI: Şanslı Çanları toplayarak dekorasyonlar, tabela ve özel sefer etkileri gibi hediyeleri al!
Kış Hediye Çekilişi: Kış Festivali boyunca aynı özel paketi yeterli kez satın al ve bir diğerini ücretsiz al!
Tren Hediyeleri: Çuf-çuf, kış treni hediyelerle geliyor! Harika ödüller toplamak için her gün satın alım yap!
Hediye Takası: Arkadaşlarla hediye takası yaparak büyük ödüller kazan!</v>
      </c>
      <c r="M50" s="148" t="str">
        <f>IFERROR(__xludf.DUMMYFUNCTION("""COMPUTED_VALUE"""),"Sự Kiện Bữa Tiệc Mùa Đông
Bất Ngờ Mùa Đông: Bữa Tiệc Mùa Đông đã bắt đầu! Thu thập Tất Thần Kỳ để giành quà và cơ hội nhận giao diện thành phố!
Bữa Tiệc Mùa Đông: Thu thập Chuông May Mắn để đổi lấy quà như đồ trang trí, thẻ tên, và hiệu ứng hành quân đặc "&amp;"biệt!
Sự Kiện Tặng Quà Mùa Đông: Mua đủ số lần gói đặc biệt giống nhau trong Bữa Tiệc Mùa Đông để nhận thêm một gói miễn phí!
Tặng Phẩm Xe Lửa: Xình xịch, đoàn tàu mùa đông đang đến mang theo quà tặng! Mua sắm hàng ngày để thu thập những phần thưởng tuyệt"&amp;" vời!
Trao Đổi Quà Tặng: Trao đổi quà với bạn bè để giành những giải thưởng lớn!")</f>
        <v>Sự Kiện Bữa Tiệc Mùa Đông
Bất Ngờ Mùa Đông: Bữa Tiệc Mùa Đông đã bắt đầu! Thu thập Tất Thần Kỳ để giành quà và cơ hội nhận giao diện thành phố!
Bữa Tiệc Mùa Đông: Thu thập Chuông May Mắn để đổi lấy quà như đồ trang trí, thẻ tên, và hiệu ứng hành quân đặc biệt!
Sự Kiện Tặng Quà Mùa Đông: Mua đủ số lần gói đặc biệt giống nhau trong Bữa Tiệc Mùa Đông để nhận thêm một gói miễn phí!
Tặng Phẩm Xe Lửa: Xình xịch, đoàn tàu mùa đông đang đến mang theo quà tặng! Mua sắm hàng ngày để thu thập những phần thưởng tuyệt vời!
Trao Đổi Quà Tặng: Trao đổi quà với bạn bè để giành những giải thưởng lớn!</v>
      </c>
      <c r="N50" s="105" t="str">
        <f>IFERROR(__xludf.DUMMYFUNCTION("""COMPUTED_VALUE"""),"Eventi della Festa d'Inverno
GIOIA INVERNALE: La Festa d'Inverno è iniziata! Raccogli Calze magiche per vincere regali e avere la possibilità di ottenere un aspetto per la città!
Festa d'Inverno: Raccogli le Campanelle fortunate per riscattare regali come"&amp;" decorazioni, targhette e effetti di marcia speciali!
Regalo Invernale: Acquista lo stesso pacchetto speciale abbastanza volte durante la Festa d'Inverno per ottenere un altro gratuitamente!
Gifts del Treno: Ciuf ciuf, il treno invernale arriva portando r"&amp;"egali! Fai acquisti ogni giorno per raccogliere fantastiche ricompense!
Scambio di Regali: Scambia regali con amici per vincere grandi premi!")</f>
        <v>Eventi della Festa d'Inverno
GIOIA INVERNALE: La Festa d'Inverno è iniziata! Raccogli Calze magiche per vincere regali e avere la possibilità di ottenere un aspetto per la città!
Festa d'Inverno: Raccogli le Campanelle fortunate per riscattare regali come decorazioni, targhette e effetti di marcia speciali!
Regalo Invernale: Acquista lo stesso pacchetto speciale abbastanza volte durante la Festa d'Inverno per ottenere un altro gratuitamente!
Gifts del Treno: Ciuf ciuf, il treno invernale arriva portando regali! Fai acquisti ogni giorno per raccogliere fantastiche ricompense!
Scambio di Regali: Scambia regali con amici per vincere grandi premi!</v>
      </c>
      <c r="O50" s="148" t="str">
        <f>IFERROR(__xludf.DUMMYFUNCTION("""COMPUTED_VALUE"""),"Wydarzenia Zimowego Festiwalu
ZIMOWE PYSZNOŚCI: Zimowy Festiwal się rozpoczął! Zbieraj Magiczne skarpety, aby wygrać prezenty i szansę na zdobycie skórki do miasta!
Zimowy Festiwal: Zbieraj Szczęśliwe Dzwonki, aby wymieniać je na prezenty takie jak dekora"&amp;"cje, dymki i specjalne efekty marszu!
Rozdawnictwo Zimowe: Kup ten sam specjalny pakiet wystarczająco wiele razy podczas Zimowego Festiwalu, aby otrzymać kolejny za darmo!
Prezenty Pociągowe: Czu-czu, zimowy pociąg przybywa, niosąc prezenty! Dokonuj zakup"&amp;"ów codziennie, aby zbierać niesamowite nagrody!
Wymiana Podarunków: Wymieniaj prezenty ze znajomymi, aby zdobyć duże nagrody!")</f>
        <v>Wydarzenia Zimowego Festiwalu
ZIMOWE PYSZNOŚCI: Zimowy Festiwal się rozpoczął! Zbieraj Magiczne skarpety, aby wygrać prezenty i szansę na zdobycie skórki do miasta!
Zimowy Festiwal: Zbieraj Szczęśliwe Dzwonki, aby wymieniać je na prezenty takie jak dekoracje, dymki i specjalne efekty marszu!
Rozdawnictwo Zimowe: Kup ten sam specjalny pakiet wystarczająco wiele razy podczas Zimowego Festiwalu, aby otrzymać kolejny za darmo!
Prezenty Pociągowe: Czu-czu, zimowy pociąg przybywa, niosąc prezenty! Dokonuj zakupów codziennie, aby zbierać niesamowite nagrody!
Wymiana Podarunków: Wymieniaj prezenty ze znajomymi, aby zdobyć duże nagrody!</v>
      </c>
      <c r="P50" s="170" t="str">
        <f>IFERROR(__xludf.DUMMYFUNCTION("""COMPUTED_VALUE"""),"فعاليات مهرجان الشتاء
مفاجآت الشتاء: بدأ مهرجان الشتاء! اجمع الجوارب السحرية للفوز بالهدايا وفرصة للحصول على زينة المدينة!
مهرجان الشتاء: اجمع أجراس الحظ لمقايضة الهدايا مثل الديكورات، لوحات الأسماء، وتأثيرات المسيرة الخاصة!
مسابقة الشتاء: اشترِ الباقة ال"&amp;"خاصة نفسها عدة مرات خلال مهرجان الشتاء للحصول على أخرى مجانًا!
هدايا القطار: تشو-تشو، قطار الشتاء يأتي محملاً بالهدايا! قم بالشراء يوميًا لجمع مكافآت مذهلة!
تبادل الهدايا: تبادل الهدايا مع الأصدقاء للفوز بجوائز كبيرة!")</f>
        <v>فعاليات مهرجان الشتاء
مفاجآت الشتاء: بدأ مهرجان الشتاء! اجمع الجوارب السحرية للفوز بالهدايا وفرصة للحصول على زينة المدينة!
مهرجان الشتاء: اجمع أجراس الحظ لمقايضة الهدايا مثل الديكورات، لوحات الأسماء، وتأثيرات المسيرة الخاصة!
مسابقة الشتاء: اشترِ الباقة الخاصة نفسها عدة مرات خلال مهرجان الشتاء للحصول على أخرى مجانًا!
هدايا القطار: تشو-تشو، قطار الشتاء يأتي محملاً بالهدايا! قم بالشراء يوميًا لجمع مكافآت مذهلة!
تبادل الهدايا: تبادل الهدايا مع الأصدقاء للفوز بجوائز كبيرة!</v>
      </c>
      <c r="Q50" s="148" t="str">
        <f>IFERROR(__xludf.DUMMYFUNCTION("""COMPUTED_VALUE"""),"ウィンターフェスティバルイベント
ウィンターサプライズ: ウィンターフェスティバルが始まりました！不思議なくつしたを集めてプレゼントを獲得し、都市スキンを手に入れるチャンスを得ましょう！
ウィンターフェスティバル: ラッキーベルを収集して、装飾品、ネームプレート、特別な行軍エフェクトのようなギフトと交換しましょう！
ウィンターギブアウェイ: ウィンターフェスティバル中に同じ特別パックを十分な回数購入して、もう一つ無料でゲット！
列車ギフト: チューチュー、冬の列車がギフトを届けてくれます！毎日購入して、素"&amp;"晴らしい報酬を収集しましょう！
ギフト交換: 友達とギフトを交換して、大きな賞品を勝ち取ろう！")</f>
        <v>ウィンターフェスティバルイベント
ウィンターサプライズ: ウィンターフェスティバルが始まりました！不思議なくつしたを集めてプレゼントを獲得し、都市スキンを手に入れるチャンスを得ましょう！
ウィンターフェスティバル: ラッキーベルを収集して、装飾品、ネームプレート、特別な行軍エフェクトのようなギフトと交換しましょう！
ウィンターギブアウェイ: ウィンターフェスティバル中に同じ特別パックを十分な回数購入して、もう一つ無料でゲット！
列車ギフト: チューチュー、冬の列車がギフトを届けてくれます！毎日購入して、素晴らしい報酬を収集しましょう！
ギフト交換: 友達とギフトを交換して、大きな賞品を勝ち取ろう！</v>
      </c>
      <c r="R50" s="148" t="str">
        <f>IFERROR(__xludf.DUMMYFUNCTION("""COMPUTED_VALUE"""),"겨울 축제 이벤트
겨울의 서프라이즈: 겨울 축제가 시작되었습니다! 신기한 양말을 수집하여 선물을 획득하고 도시 스킨을 얻을 기회를 잡으세요!
겨울 축제: 행운의 종을 수집하여 장식, 도시 명패, 그리고 특별한 행군 이펙트와 같은 선물을 교환하세요!
겨울 선물 증정: 겨울 축제 동안 동일한 특별 팩을 충분히 구매하면 또 하나를 무료로 받으세요!
기차 선물: 기차 파티, 겨울 기차가 선물을 가지고 옵니다! 매일 구매하여 놀라운 보상을 수집하세요!
선물 교환"&amp;": 친구들과 선물을 교환하여 큰 상품을 획득하세요!")</f>
        <v>겨울 축제 이벤트
겨울의 서프라이즈: 겨울 축제가 시작되었습니다! 신기한 양말을 수집하여 선물을 획득하고 도시 스킨을 얻을 기회를 잡으세요!
겨울 축제: 행운의 종을 수집하여 장식, 도시 명패, 그리고 특별한 행군 이펙트와 같은 선물을 교환하세요!
겨울 선물 증정: 겨울 축제 동안 동일한 특별 팩을 충분히 구매하면 또 하나를 무료로 받으세요!
기차 선물: 기차 파티, 겨울 기차가 선물을 가지고 옵니다! 매일 구매하여 놀라운 보상을 수집하세요!
선물 교환: 친구들과 선물을 교환하여 큰 상품을 획득하세요!</v>
      </c>
      <c r="S50" s="148"/>
      <c r="T50" s="148"/>
      <c r="U50" s="148"/>
      <c r="V50" s="148"/>
      <c r="W50" s="148"/>
      <c r="X50" s="148"/>
      <c r="Y50" s="148"/>
      <c r="Z50" s="148"/>
    </row>
    <row r="51">
      <c r="A51" s="165" t="str">
        <f>IFERROR(__xludf.DUMMYFUNCTION("""COMPUTED_VALUE"""),"0.60.0")</f>
        <v>0.60.0</v>
      </c>
      <c r="B51" s="148" t="str">
        <f>IFERROR(__xludf.DUMMYFUNCTION("""COMPUTED_VALUE"""),"-围剿变异猴：新增BOSS：熔岩狂暴者，将在难度21-25出现；
-新增斗士：大力神猿-凯恩，心怀航天梦，肩扛火箭槌的大力神猿！;
-新增盗宝猴：将在所有难度中随机出现，击败可获得额外奖励；
-战报：新增高光时刻，记录部队战装技能和兵种技能的释放情况；
-科研：新增科研第二队列，购买礼包即可解锁；
-新增斗士：大力神猿-凯恩，心怀航天梦，肩扛火箭槌的大力神猿！;
-新增盗宝猴：将在所有难度中随机出现，击败可获得额外奖励；
-战报：新增高光时刻，记录部队战装技能和兵种技能的释放情况；
-科研：新增科研第二队"&amp;"列，购买礼包即可解锁；
-战地争锋：战地争锋赛季、排期和奖励调整，玩法内容优化；
-增加战装进化功能，橙品质战装可进化为红品质战装，获得进化属性，并扩展了可升级的等级；新增红色品质战装;
-增加机甲改名功能：可以使用道具或光碟对机甲的名称进行修改，为您的机甲专属命名；
-新增机甲：暗夜之刺-毒蝎，不仅攻击力强悍，还能够用其独特的战斗机制限制敌人的行动；
-增加机甲治疗队列：玩家可以通过购买机甲治疗队列礼包同时治疗多个机甲；
-新增双天赋雕像：焊接大师-奥德里奇，超级火力-索尔；
-霸主技能:新增防御护盾技"&amp;"能，霸主可为其余玩家开启防御护盾，保护玩家城市！
并且在跨服活动中，本服的霸主可以对异服玩家使用霸主技能；
-精英竞技场巅峰赛即将来临！各方英雄登上擂台，角逐出最强的斗士！
-优化修改了决战卫星之巅（机甲风暴）的玩法规则；
-建筑3D化，可旋转场景，从不同角度查看城市内景；
-前期内容优化，加强了收复区域时的表现。")</f>
        <v>-围剿变异猴：新增BOSS：熔岩狂暴者，将在难度21-25出现；
-新增斗士：大力神猿-凯恩，心怀航天梦，肩扛火箭槌的大力神猿！;
-新增盗宝猴：将在所有难度中随机出现，击败可获得额外奖励；
-战报：新增高光时刻，记录部队战装技能和兵种技能的释放情况；
-科研：新增科研第二队列，购买礼包即可解锁；
-新增斗士：大力神猿-凯恩，心怀航天梦，肩扛火箭槌的大力神猿！;
-新增盗宝猴：将在所有难度中随机出现，击败可获得额外奖励；
-战报：新增高光时刻，记录部队战装技能和兵种技能的释放情况；
-科研：新增科研第二队列，购买礼包即可解锁；
-战地争锋：战地争锋赛季、排期和奖励调整，玩法内容优化；
-增加战装进化功能，橙品质战装可进化为红品质战装，获得进化属性，并扩展了可升级的等级；新增红色品质战装;
-增加机甲改名功能：可以使用道具或光碟对机甲的名称进行修改，为您的机甲专属命名；
-新增机甲：暗夜之刺-毒蝎，不仅攻击力强悍，还能够用其独特的战斗机制限制敌人的行动；
-增加机甲治疗队列：玩家可以通过购买机甲治疗队列礼包同时治疗多个机甲；
-新增双天赋雕像：焊接大师-奥德里奇，超级火力-索尔；
-霸主技能:新增防御护盾技能，霸主可为其余玩家开启防御护盾，保护玩家城市！
并且在跨服活动中，本服的霸主可以对异服玩家使用霸主技能；
-精英竞技场巅峰赛即将来临！各方英雄登上擂台，角逐出最强的斗士！
-优化修改了决战卫星之巅（机甲风暴）的玩法规则；
-建筑3D化，可旋转场景，从不同角度查看城市内景；
-前期内容优化，加强了收复区域时的表现。</v>
      </c>
      <c r="C51" s="148" t="str">
        <f>IFERROR(__xludf.DUMMYFUNCTION("""COMPUTED_VALUE"""),"-Operation Mutants:New BOSS: Lava Berserker, will appear at levels 21-25.
-New Fighter: Herculean Ape - Kane. Dreaming of space travel, a Herculean ape wielding a Rocket hammer!
-New Robber Ape: Will randomly appear in all levels, defeating it gives you e"&amp;"xtra rewards.
-Battle Report: Added Highlight Reel, recording the deployment of troop equipment skills and unit skills.
-Research: Added a second research queue, unlockable by purchasing packs.
-Primate Standoff: Adjustments to the Primate Standoff season"&amp;", schedule, and rewards, with our gaming contents optimization.
-Added Equipment evolution feature, Legendary Equipment can evolve into Mythic, gaining evolution attributes and expanding the upgradeable Level. New Mythic Equipment added.
-Added Mech Renam"&amp;"e feature: Use items or CDs to rename your mech for a unique identification.
-New Mech: Deadly Strike-Scorpion, not only powerful in attack but also able to restrict enemy movement with its unique combat mechanics.
-Added Mech Healing Queue: Players can h"&amp;"eal multiple mechs simultaneously by purchasing multiple mech healing queue packs.
-New Dual Statues: Master Welder - Aldrich, Flames of thunder - Thor.
-Overlord Skill: Added Defense Shield Skill, allowing overlords to activate defense shields for other "&amp;"players, protecting Player City!
And in cross-server events, the overlord of a server can use overlord skills against players from different servers.
-Champion Brawl - Top Match is coming soon! Heroes from all servers will compete to determine the stronge"&amp;"st Fighter!.
-Optimized and revised the gameplay rules of Astral Coliseum (Mech Rising).
-Buildings in 3D, with rotatable scenes to view cityscapes from different angles.
-Optimized early game content, enhancing the performance when recovering areas.")</f>
        <v>-Operation Mutants:New BOSS: Lava Berserker, will appear at levels 21-25.
-New Fighter: Herculean Ape - Kane. Dreaming of space travel, a Herculean ape wielding a Rocket hammer!
-New Robber Ape: Will randomly appear in all levels, defeating it gives you extra rewards.
-Battle Report: Added Highlight Reel, recording the deployment of troop equipment skills and unit skills.
-Research: Added a second research queue, unlockable by purchasing packs.
-Primate Standoff: Adjustments to the Primate Standoff season, schedule, and rewards, with our gaming contents optimization.
-Added Equipment evolution feature, Legendary Equipment can evolve into Mythic, gaining evolution attributes and expanding the upgradeable Level. New Mythic Equipment added.
-Added Mech Rename feature: Use items or CDs to rename your mech for a unique identification.
-New Mech: Deadly Strike-Scorpion, not only powerful in attack but also able to restrict enemy movement with its unique combat mechanics.
-Added Mech Healing Queue: Players can heal multiple mechs simultaneously by purchasing multiple mech healing queue packs.
-New Dual Statues: Master Welder - Aldrich, Flames of thunder - Thor.
-Overlord Skill: Added Defense Shield Skill, allowing overlords to activate defense shields for other players, protecting Player City!
And in cross-server events, the overlord of a server can use overlord skills against players from different servers.
-Champion Brawl - Top Match is coming soon! Heroes from all servers will compete to determine the strongest Fighter!.
-Optimized and revised the gameplay rules of Astral Coliseum (Mech Rising).
-Buildings in 3D, with rotatable scenes to view cityscapes from different angles.
-Optimized early game content, enhancing the performance when recovering areas.</v>
      </c>
      <c r="D51" s="148" t="str">
        <f>IFERROR(__xludf.DUMMYFUNCTION("""COMPUTED_VALUE"""),"-Opération mutants : NOUV. BOSS : Berserker de Lave, apparaîtra aux niveaux 21-25.
-Nouveau combattant : Singe Hercule - Kane. Rêvant de voyages spatiaux, un singe Hercule maniant un marteau FUSEE !
-Nouveau Voleur primate : Apparaîtra aléatoirement à tou"&amp;"s les niveaux, le vaincre vous donne des récompenses supplémentaires.
-Rapport de bataille : Ajout de la Bobine des temps forts, enregistrant le déploiement des compétences d'équipement de troupes et des compétences d'unité.
-Recherche : Ajout d'une secon"&amp;"de file d'attente de recherche, déblocable en achetant des packs.
-CONFRONTATION PRIMATE : Ajustements de la saison de la Confrontation Primate, du calendrier et des récompenses, avec notre optimisation du contenu de jeu.
-Ajout de la fonction d'évolution"&amp;" d'équipement, l'équipement Légendaire peut évoluer en Mythique, gagnant des attributs d'évolution et élargissant le niveau améliorable. Nouvel équipement Mythique ajouté.
-Ajout de la fonction de renommage de Mécha : Utilisez des objets ou des CD pour re"&amp;"nommer votre mécha pour une identification unique.
-Nouveau Mécha : Frappe mortelle-Scorpion, non seulement puissant en attaque mais aussi capable de restreindre le mouvement ennemi avec ses mécaniques de combat uniques.
-Ajout de la File d'attente de soi"&amp;"ns Mécha : Les joueurs peuvent soigner plusieurs méchas simultanément en achetant plusieurs packs de file d'attente de soins Mécha.
-Nouvelles Statues Doubles : Soudeur expert - Aldrich, Les flammes du tonnerre - Thor.
-Compétence du Souverain : Ajout de "&amp;"la Compétence Bouclier de défense, permettant aux souverains d'activer des boucliers de défense pour d'autres joueurs, protégeant la Ville de joueur !
Et lors d'événements inter-serveurs, le souverain d'un serveur peut utiliser des compétences de souverai"&amp;"n contre des joueurs de différents serveurs.
-Choc des champions - Match au sommet arrive prochainement ! Des héros de tous les serveurs vont concourir pour déterminer le Combattant le plus fort !.
-Optimisation et révision des règles de jeu du Colisée as"&amp;"tral (Mech Rising).
-Constructions en 3D, avec des scènes rotatives pour voir les paysages urbains sous différents angles.
-Optimisation du contenu du début de jeu, améliorant la performance lors de la récupération des zones.")</f>
        <v>-Opération mutants : NOUV. BOSS : Berserker de Lave, apparaîtra aux niveaux 21-25.
-Nouveau combattant : Singe Hercule - Kane. Rêvant de voyages spatiaux, un singe Hercule maniant un marteau FUSEE !
-Nouveau Voleur primate : Apparaîtra aléatoirement à tous les niveaux, le vaincre vous donne des récompenses supplémentaires.
-Rapport de bataille : Ajout de la Bobine des temps forts, enregistrant le déploiement des compétences d'équipement de troupes et des compétences d'unité.
-Recherche : Ajout d'une seconde file d'attente de recherche, déblocable en achetant des packs.
-CONFRONTATION PRIMATE : Ajustements de la saison de la Confrontation Primate, du calendrier et des récompenses, avec notre optimisation du contenu de jeu.
-Ajout de la fonction d'évolution d'équipement, l'équipement Légendaire peut évoluer en Mythique, gagnant des attributs d'évolution et élargissant le niveau améliorable. Nouvel équipement Mythique ajouté.
-Ajout de la fonction de renommage de Mécha : Utilisez des objets ou des CD pour renommer votre mécha pour une identification unique.
-Nouveau Mécha : Frappe mortelle-Scorpion, non seulement puissant en attaque mais aussi capable de restreindre le mouvement ennemi avec ses mécaniques de combat uniques.
-Ajout de la File d'attente de soins Mécha : Les joueurs peuvent soigner plusieurs méchas simultanément en achetant plusieurs packs de file d'attente de soins Mécha.
-Nouvelles Statues Doubles : Soudeur expert - Aldrich, Les flammes du tonnerre - Thor.
-Compétence du Souverain : Ajout de la Compétence Bouclier de défense, permettant aux souverains d'activer des boucliers de défense pour d'autres joueurs, protégeant la Ville de joueur !
Et lors d'événements inter-serveurs, le souverain d'un serveur peut utiliser des compétences de souverain contre des joueurs de différents serveurs.
-Choc des champions - Match au sommet arrive prochainement ! Des héros de tous les serveurs vont concourir pour déterminer le Combattant le plus fort !.
-Optimisation et révision des règles de jeu du Colisée astral (Mech Rising).
-Constructions en 3D, avec des scènes rotatives pour voir les paysages urbains sous différents angles.
-Optimisation du contenu du début de jeu, améliorant la performance lors de la récupération des zones.</v>
      </c>
      <c r="E51" s="148" t="str">
        <f>IFERROR(__xludf.DUMMYFUNCTION("""COMPUTED_VALUE"""),"-Operation Mutanten: NEUER BOSS: Lava-Berserker, erscheint auf den Leveln 21-25.
-Neuer Kämpfer: Herkulesaffe - Kane. Träumend von der Raumfahrt, ein Herkulesaffe, der einen RAKETE-Hammer schwingt!
-Neuer Räuber-Affe: Erscheint zufällig auf allen Leveln, "&amp;"seine Niederlage bringt dir Extra-Belohnungen.
-Kampfbericht: Highlight-Zusammenfassung hinzugefügt, zeichnet den Einsatz von Ausrüstungsfähigkeiten und Einheiten-Fähigkeiten der Truppen auf.
-Forschung: Eine zweite Forschungswarteschlange hinzugefügt, fr"&amp;"eischaltbar durch den Kauf von Paketen.
-Primaten-Konfrontation: Anpassungen an der Staffel, dem Zeitplan und den Belohnungen der Primaten-Konfrontation, mit unserer Optimierung der Spielinhalte.
-Ausrüstungsevolution hinzugefügt: Legendäre Ausrüstung kan"&amp;"n zu Mythischer Ausrüstung weiterentwickelt werden, erhält Evolutionsattribute und erweitert das aufwertbare Level. Neue Mythische Ausrüstung hinzugefügt.
-Mech-Umbenennungsfunktion hinzugefügt: Verwende Items oder CDs, um deinem Mech eine einzigartige Id"&amp;"entifikation zu geben.
-Neuer Mech: Tödlicher Schlag-Skorpion, nicht nur mächtig im Angriff, sondern kann auch die Bewegung des Feindes mit seinen einzigartigen Kampfmechaniken einschränken.
-Mech-Heilungswarteschlange hinzugefügt: Spieler können mehrere "&amp;"Mechs gleichzeitig heilen, indem sie mehrere Pakete für die Mech-Heilungswarteschlange kaufen.
-Neue Doppelstatuen: Schweißmeister - Aldrich, Donnerflammen - Thor.
-Overlord-Fähigkeit: Verteidigungsschild-Fähigkeit hinzugefügt, ermöglicht Overlords, Verte"&amp;"idigungsschilde für andere Spieler zu aktivieren und die Spielerstadt zu schützen!
Und bei serverübergreifenden Events kann der Overlord eines Servers Overlord-Fähigkeiten gegen Spieler von anderen Servern einsetzen.
-Champion-Schlägerei - Top-Match kommt"&amp;" bald! Helden aller Server werden konkurrieren, um den stärksten Kämpfer zu ermitteln!.
-Optimierte und überarbeitete Spielregeln des Astral-Kolosseums (Mech Rising).
-Gebäude in 3D, mit drehbaren Szenen, um Stadtbilder aus verschiedenen Winkeln zu betrac"&amp;"hten.
-Optimierter Spielinhalt für den Spielbeginn, verbessert die Leistung beim Wiederherstellen von Gebieten.")</f>
        <v>-Operation Mutanten: NEUER BOSS: Lava-Berserker, erscheint auf den Leveln 21-25.
-Neuer Kämpfer: Herkulesaffe - Kane. Träumend von der Raumfahrt, ein Herkulesaffe, der einen RAKETE-Hammer schwingt!
-Neuer Räuber-Affe: Erscheint zufällig auf allen Leveln, seine Niederlage bringt dir Extra-Belohnungen.
-Kampfbericht: Highlight-Zusammenfassung hinzugefügt, zeichnet den Einsatz von Ausrüstungsfähigkeiten und Einheiten-Fähigkeiten der Truppen auf.
-Forschung: Eine zweite Forschungswarteschlange hinzugefügt, freischaltbar durch den Kauf von Paketen.
-Primaten-Konfrontation: Anpassungen an der Staffel, dem Zeitplan und den Belohnungen der Primaten-Konfrontation, mit unserer Optimierung der Spielinhalte.
-Ausrüstungsevolution hinzugefügt: Legendäre Ausrüstung kann zu Mythischer Ausrüstung weiterentwickelt werden, erhält Evolutionsattribute und erweitert das aufwertbare Level. Neue Mythische Ausrüstung hinzugefügt.
-Mech-Umbenennungsfunktion hinzugefügt: Verwende Items oder CDs, um deinem Mech eine einzigartige Identifikation zu geben.
-Neuer Mech: Tödlicher Schlag-Skorpion, nicht nur mächtig im Angriff, sondern kann auch die Bewegung des Feindes mit seinen einzigartigen Kampfmechaniken einschränken.
-Mech-Heilungswarteschlange hinzugefügt: Spieler können mehrere Mechs gleichzeitig heilen, indem sie mehrere Pakete für die Mech-Heilungswarteschlange kaufen.
-Neue Doppelstatuen: Schweißmeister - Aldrich, Donnerflammen - Thor.
-Overlord-Fähigkeit: Verteidigungsschild-Fähigkeit hinzugefügt, ermöglicht Overlords, Verteidigungsschilde für andere Spieler zu aktivieren und die Spielerstadt zu schützen!
Und bei serverübergreifenden Events kann der Overlord eines Servers Overlord-Fähigkeiten gegen Spieler von anderen Servern einsetzen.
-Champion-Schlägerei - Top-Match kommt bald! Helden aller Server werden konkurrieren, um den stärksten Kämpfer zu ermitteln!.
-Optimierte und überarbeitete Spielregeln des Astral-Kolosseums (Mech Rising).
-Gebäude in 3D, mit drehbaren Szenen, um Stadtbilder aus verschiedenen Winkeln zu betrachten.
-Optimierter Spielinhalt für den Spielbeginn, verbessert die Leistung beim Wiederherstellen von Gebieten.</v>
      </c>
      <c r="F51" s="148" t="str">
        <f>IFERROR(__xludf.DUMMYFUNCTION("""COMPUTED_VALUE"""),"-Operação Mutantes: NOVO CHEFE: Frenesi de Lava, aparecerá nos níveis 21-25.
-Novo combatente: Macaco Hercúleo - Kane. Sonhando com viagens espaciais, um Macaco Hercúleo empunhando um martelo FOGUETE!
-Novo Macaco Assaltante: Aparecerá aleatoriamente em t"&amp;"odos os níveis, derrotá-lo dá recompensas extras.
-Relatório da batalha: Adicionada Bobina de Destaques, registrando o destacamento de habilidades de equipamento de tropas e habilidades de unidade.
-Pesquisa: Adicionada uma segunda fila de pesquisa, desbl"&amp;"oqueável pela compra de pacotes.
-CONFRONTO PRIMATA: Ajustes na temporada, programação e recompensas do Confronto Primata, com a otimização dos conteúdos do jogo.
-Adicionada a funcionalidade de evolução de equipamento, Equipamento Lendário pode evoluir p"&amp;"ara Mítico, ganhando atributos de evolução e expandindo o nível melhorável. Novo Equipamento Mítico adicionado.
-Adicionada a funcionalidade de Renomear Mech: Use itens ou CDs para renomear seu mech para uma identificação única.
-Novo Mech: Ataque Mortal-"&amp;"Escorpião, não apenas poderoso no ataque, mas também capaz de restringir o movimento do inimigo com suas mecânicas de combate únicas.
-Adicionada Fila de Cura de Mech: Jogadores podem curar múltiplos mechas simultaneamente comprando pacotes de fila de cur"&amp;"a de mech.
-Novas Estátuas Duplas: Soldador Mestre - Aldrich, Chamas do trovão - Thor.
-Habilidade do soberano: Adicionada Habilidade de Escudo de Defesa, permitindo que soberanos ativem escudos de defesa para outros jogadores, protegendo a Cidade do joga"&amp;"dor!
E em eventos entre servidores, o soberano de um servidor pode usar habilidades de soberano contra jogadores de diferentes servidores.
-Briga de Campeões - Partida do Topo em breve! Heróis de todos os servidores competirão para determinar o COMBATENTE"&amp;" mais forte!.
-Otimizadas e revisadas as regras de mecânica do jogo do Coliseu Astral (Ascensão do Mech).
-ESTRUTURAS em 3D, com cenas rotativas para visualizar paisagens urbanas de diferentes ângulos.
-Otimizado o conteúdo inicial do jogo, melhorando o d"&amp;"esempenho ao recuperar áreas.")</f>
        <v>-Operação Mutantes: NOVO CHEFE: Frenesi de Lava, aparecerá nos níveis 21-25.
-Novo combatente: Macaco Hercúleo - Kane. Sonhando com viagens espaciais, um Macaco Hercúleo empunhando um martelo FOGUETE!
-Novo Macaco Assaltante: Aparecerá aleatoriamente em todos os níveis, derrotá-lo dá recompensas extras.
-Relatório da batalha: Adicionada Bobina de Destaques, registrando o destacamento de habilidades de equipamento de tropas e habilidades de unidade.
-Pesquisa: Adicionada uma segunda fila de pesquisa, desbloqueável pela compra de pacotes.
-CONFRONTO PRIMATA: Ajustes na temporada, programação e recompensas do Confronto Primata, com a otimização dos conteúdos do jogo.
-Adicionada a funcionalidade de evolução de equipamento, Equipamento Lendário pode evoluir para Mítico, ganhando atributos de evolução e expandindo o nível melhorável. Novo Equipamento Mítico adicionado.
-Adicionada a funcionalidade de Renomear Mech: Use itens ou CDs para renomear seu mech para uma identificação única.
-Novo Mech: Ataque Mortal-Escorpião, não apenas poderoso no ataque, mas também capaz de restringir o movimento do inimigo com suas mecânicas de combate únicas.
-Adicionada Fila de Cura de Mech: Jogadores podem curar múltiplos mechas simultaneamente comprando pacotes de fila de cura de mech.
-Novas Estátuas Duplas: Soldador Mestre - Aldrich, Chamas do trovão - Thor.
-Habilidade do soberano: Adicionada Habilidade de Escudo de Defesa, permitindo que soberanos ativem escudos de defesa para outros jogadores, protegendo a Cidade do jogador!
E em eventos entre servidores, o soberano de um servidor pode usar habilidades de soberano contra jogadores de diferentes servidores.
-Briga de Campeões - Partida do Topo em breve! Heróis de todos os servidores competirão para determinar o COMBATENTE mais forte!.
-Otimizadas e revisadas as regras de mecânica do jogo do Coliseu Astral (Ascensão do Mech).
-ESTRUTURAS em 3D, com cenas rotativas para visualizar paisagens urbanas de diferentes ângulos.
-Otimizado o conteúdo inicial do jogo, melhorando o desempenho ao recuperar áreas.</v>
      </c>
      <c r="G51" s="148" t="str">
        <f>IFERROR(__xludf.DUMMYFUNCTION("""COMPUTED_VALUE"""),"-圍剿變異猴：新增BOSS：熔岩狂暴者，將在難度21-25出現；
-新增鬥士：心懷航天夢，肩扛火箭槌的大力神猿-凱恩；
-新增盜寶猴：將在所有難度中隨機出現，擊敗可獲得額外獎勵；
-戰報：新增高光時刻，記錄部隊戰裝技能和兵種技能的釋放情況；
-科研：新增科研第二隊列，購買禮包即可解鎖；
-戰地爭鋒：戰地爭鋒賽季、排期和獎勵調整，玩法內容優化；
-增加戰裝進化功能，橙品質戰裝可進化為紅色品質戰裝，獲得進化屬性，並擴展了可升級的等級；新增紅色品質戰裝；
-增加機甲改名功能：可以使用道具或光碟對機甲的名稱進行編"&amp;"輯，為您的機甲專屬命名；
-新增機甲：暗夜之刺-毒蠍，不僅攻擊力強悍，還能夠用其獨特的戰鬥機制限制敵人的行動；
-增加機甲治療隊列：玩家可以通過購買機甲治療隊列禮包同時治療多個機甲；
-新增雙天賦雕像：焊接大師-奧德里奇，超級火力-索爾；
-霸主技能:新增防禦護盾技能，霸主可為其餘玩家開啟防禦護盾，保護玩家城市！
並且在跨服活動中，本服的霸主可以對異服玩家使用霸主技能；
-精英競技場巔峰賽即將來臨！各方英雄登上擂台，角逐出最強的鬥士！
-優化編輯了決戰衛星之巔（機甲風暴）的玩法規則；
-建造3D化，可旋轉"&amp;"場景，從不同角度檢查城市內景；
-前期內容優化，加強了收復區域時的表現。")</f>
        <v>-圍剿變異猴：新增BOSS：熔岩狂暴者，將在難度21-25出現；
-新增鬥士：心懷航天夢，肩扛火箭槌的大力神猿-凱恩；
-新增盜寶猴：將在所有難度中隨機出現，擊敗可獲得額外獎勵；
-戰報：新增高光時刻，記錄部隊戰裝技能和兵種技能的釋放情況；
-科研：新增科研第二隊列，購買禮包即可解鎖；
-戰地爭鋒：戰地爭鋒賽季、排期和獎勵調整，玩法內容優化；
-增加戰裝進化功能，橙品質戰裝可進化為紅色品質戰裝，獲得進化屬性，並擴展了可升級的等級；新增紅色品質戰裝；
-增加機甲改名功能：可以使用道具或光碟對機甲的名稱進行編輯，為您的機甲專屬命名；
-新增機甲：暗夜之刺-毒蠍，不僅攻擊力強悍，還能夠用其獨特的戰鬥機制限制敵人的行動；
-增加機甲治療隊列：玩家可以通過購買機甲治療隊列禮包同時治療多個機甲；
-新增雙天賦雕像：焊接大師-奧德里奇，超級火力-索爾；
-霸主技能:新增防禦護盾技能，霸主可為其餘玩家開啟防禦護盾，保護玩家城市！
並且在跨服活動中，本服的霸主可以對異服玩家使用霸主技能；
-精英競技場巔峰賽即將來臨！各方英雄登上擂台，角逐出最強的鬥士！
-優化編輯了決戰衛星之巔（機甲風暴）的玩法規則；
-建造3D化，可旋轉場景，從不同角度檢查城市內景；
-前期內容優化，加強了收復區域時的表現。</v>
      </c>
      <c r="H51" s="148" t="str">
        <f>IFERROR(__xludf.DUMMYFUNCTION("""COMPUTED_VALUE"""),"-Pengepungan Kera Mutan: BOSS BARU: Lava Amuk, akan muncul pada level 21-25.
-Pejuang Baru: Kera Perkasa - Kane. Bermimpi tentang perjalanan luar angkasa, seekor Kera Perkasa mengayunkan palu ROKET!
-Perampok Kera Baru: Akan muncul secara acak di semua le"&amp;"vel, mengalahkannya memberikan hadiah ekstra.
-Laporan Pertempuran: Menambahkan Reel Sorotan, merekam penyebaran keahlian peralatan pasukan dan keahlian unit.
-Penelitian: Menambahkan antrian penelitian kedua, dapat dibuka dengan membeli paket.
-Konfronta"&amp;"si Primata: Penyesuaian musim, jadwal, dan hadiah Konfrontasi Primata, dengan optimalisasi konten permainan kami.
-Menambahkan fitur evolusi peralatan, Peralatan Legendaris dapat berevolusi menjadi Mitos, mendapatkan atribut evolusi dan memperluas Level y"&amp;"ang bisa ditingkatkan. Peralatan Mitos Baru ditambahkan.
-Menambahkan fitur Ubah Nama Mekanik: Gunakan item atau CD untuk mengubah nama mekanik Anda untuk identifikasi yang unik.
-Mekanik Baru: Serangan Mematikan-Kalajengking, tidak hanya kuat dalam menye"&amp;"rang tetapi juga dapat membatasi gerakan musuh dengan mekanika pertarungan uniknya.
-Menambahkan Antrian Penyembuhan Mekanik: Pemain dapat menyembuhkan beberapa mekanik secara bersamaan dengan membeli paket antrian penyembuhan mekanik.
-Patung-patung Dual"&amp;" Baru: Ahli Las - Aldrige, Api Petir - Thor.
-Keahlian Maharaja: Menambahkan Keahlian Perisai Pertahanan, memungkinkan maharaja untuk mengaktifkan perisai pertahanan untuk pemain lain, melindungi Kota Pemain!
Dan dalam event lintas-server, maharaja dari s"&amp;"ebuah server dapat menggunakan keahlian maharaja melawan pemain dari server yang berbeda.
-Perkelahian Elite - Pertandingan ATAS segera hadir! Pahlawan dari semua server akan bersaing untuk menentukan PEJUANG terkuat!.
-Mengoptimalkan dan merevisi peratur"&amp;"an gameplay Koloseum Astral (Mech Rising).
-Bangunan dalam 3D, dengan adegan yang dapat diputar untuk melihat pemandangan kota dari sudut yang berbeda.
-Mengoptimalkan konten permainan awal, meningkatkan kinerja saat memulihkan area.")</f>
        <v>-Pengepungan Kera Mutan: BOSS BARU: Lava Amuk, akan muncul pada level 21-25.
-Pejuang Baru: Kera Perkasa - Kane. Bermimpi tentang perjalanan luar angkasa, seekor Kera Perkasa mengayunkan palu ROKET!
-Perampok Kera Baru: Akan muncul secara acak di semua level, mengalahkannya memberikan hadiah ekstra.
-Laporan Pertempuran: Menambahkan Reel Sorotan, merekam penyebaran keahlian peralatan pasukan dan keahlian unit.
-Penelitian: Menambahkan antrian penelitian kedua, dapat dibuka dengan membeli paket.
-Konfrontasi Primata: Penyesuaian musim, jadwal, dan hadiah Konfrontasi Primata, dengan optimalisasi konten permainan kami.
-Menambahkan fitur evolusi peralatan, Peralatan Legendaris dapat berevolusi menjadi Mitos, mendapatkan atribut evolusi dan memperluas Level yang bisa ditingkatkan. Peralatan Mitos Baru ditambahkan.
-Menambahkan fitur Ubah Nama Mekanik: Gunakan item atau CD untuk mengubah nama mekanik Anda untuk identifikasi yang unik.
-Mekanik Baru: Serangan Mematikan-Kalajengking, tidak hanya kuat dalam menyerang tetapi juga dapat membatasi gerakan musuh dengan mekanika pertarungan uniknya.
-Menambahkan Antrian Penyembuhan Mekanik: Pemain dapat menyembuhkan beberapa mekanik secara bersamaan dengan membeli paket antrian penyembuhan mekanik.
-Patung-patung Dual Baru: Ahli Las - Aldrige, Api Petir - Thor.
-Keahlian Maharaja: Menambahkan Keahlian Perisai Pertahanan, memungkinkan maharaja untuk mengaktifkan perisai pertahanan untuk pemain lain, melindungi Kota Pemain!
Dan dalam event lintas-server, maharaja dari sebuah server dapat menggunakan keahlian maharaja melawan pemain dari server yang berbeda.
-Perkelahian Elite - Pertandingan ATAS segera hadir! Pahlawan dari semua server akan bersaing untuk menentukan PEJUANG terkuat!.
-Mengoptimalkan dan merevisi peraturan gameplay Koloseum Astral (Mech Rising).
-Bangunan dalam 3D, dengan adegan yang dapat diputar untuk melihat pemandangan kota dari sudut yang berbeda.
-Mengoptimalkan konten permainan awal, meningkatkan kinerja saat memulihkan area.</v>
      </c>
      <c r="I51" s="171" t="str">
        <f>IFERROR(__xludf.DUMMYFUNCTION("""COMPUTED_VALUE"""),"-ปฏิบัติการตัวกลายพันธุ์:บอสใหม่: ลาวาคลั่ง, จะปรากฏในเลเวล 21-25.
-นักสู้ตัวใหม่: ลิงแกร่งเฮอร์คิวลีส - เคน ฝันถึงการเดินทางในอวกาศ ลิงแกร่งเฮอร์คิวลีสถือค้อนจรวด!
-โม่งลิงใหม่: จะปรากฏขึ้นแบบสุ่มในทุกเลเวล การกำจัดมันจะให้รางวัลพิเศษแก่คุณ
-รายงานการต่อ"&amp;"สู้: เพิ่มรีลไฮไลท์ บันทึกการออกสนามรบของทักษะอุปกรณ์และทักษะของหน่วย
-การวิจัย: เพิ่มคิววิจัยที่สอง สามารถปลดล็อกได้โดยการซื้อแพ็ก
-การตั้งตัวของเหล่าวานร: การปรับเปลี่ยนซีซันการตั้งตัวของเหล่าวานร, ตารางเวลา, และรางวัล, พร้อมกับการเพิ่มเติมเนื้อหาเกมของ"&amp;"เราให้ดียิ่งขึ้น
-เพิ่มคุณสมบัติการวิวัฒนาการของอุปกรณ์, อุปกรณ์ตำนานสามารถวิวัฒนาการเป็นอุปกรณ์ตำนานใหม่, ได้รับคุณสมบัติการวิวัฒนาการและขยายเลเวลที่สามารถอัปเกรดได้ อุปกรณ์ตำนานใหม่ถูกเพิ่มเข้ามา
-เพิ่มคุณสมบัติการเปลี่ยนชื่อเมค: ใช้ไอเทมหรือซีดีเพื่อเป"&amp;"ลี่ยนชื่อเมคของคุณให้มีความเฉพาะตัว
-เมคใหม่: การโจมตีมรณะ-แมงป่อง, ไม่เพียงแต่มีพลังโจมตีที่แข็งแกร่งเท่านั้น แต่ยังสามารถจำกัดการเคลื่อนไหวของศัตรูด้วยกลไกการต่อสู้ที่เฉพาะตัว
-เพิ่มคิวการรักษาเมค: ผู้เล่นสามารถรักษาเมคหลายตัวพร้อมกันได้โดยการซื้อแพ็กคิ"&amp;"วการรักษาเมคหลายแพ็ก 
-รูปปั้นคู่ใหม่: ช่างเชื่อมตัวหลัก 
-อัลดริค, เปลวไฟสายฟ้า 
-ธอร์ -สกิลผู้มีอำนาจ: เพิ่มสกิลโล่ป้องกัน, อนุญาตให้เจ้าแห่งลิงเปิดโล่ป้องกันให้ผู้เล่นคนอื่น, ปกป้องเมืองของผู้เล่น! และในกิจกรรมข้ามเซิร์ฟเวอร์, เจ้าแห่งลิงของเซิร์ฟเวอร์"&amp;"สามารถใช้สกิลผู้มีอำนาจต่อผู้เล่นจากเซิร์ฟเวอร์อื่นได้ 
-อารีน่าอีลิท - การจับคู่สูงสุด เร็ว ๆ นี้! ฮีโร่จากทุกเซิร์ฟเวอร์จะแข่งขันเพื่อหานักสู้ที่แข็งแกร่งที่สุด! 
-ปรับปรุงและแก้ไขกฎการเล่นเกมของโคลีเซียมดวงดาว (Mech Rising) -สิ่งก่อสร้างในรูปแบบ 3D, มี"&amp;"ฉากหมุนได้เพื่อชมทิวทัศน์ของเมืองจากมุมต่างๆ 
-ปรับปรุงเนื้อหาเกมตอนต้น, เพิ่มประสิทธิภาพเมื่อกู้คืนพื้นที่""")</f>
        <v>-ปฏิบัติการตัวกลายพันธุ์:บอสใหม่: ลาวาคลั่ง, จะปรากฏในเลเวล 21-25.
-นักสู้ตัวใหม่: ลิงแกร่งเฮอร์คิวลีส - เคน ฝันถึงการเดินทางในอวกาศ ลิงแกร่งเฮอร์คิวลีสถือค้อนจรวด!
-โม่งลิงใหม่: จะปรากฏขึ้นแบบสุ่มในทุกเลเวล การกำจัดมันจะให้รางวัลพิเศษแก่คุณ
-รายงานการต่อสู้: เพิ่มรีลไฮไลท์ บันทึกการออกสนามรบของทักษะอุปกรณ์และทักษะของหน่วย
-การวิจัย: เพิ่มคิววิจัยที่สอง สามารถปลดล็อกได้โดยการซื้อแพ็ก
-การตั้งตัวของเหล่าวานร: การปรับเปลี่ยนซีซันการตั้งตัวของเหล่าวานร, ตารางเวลา, และรางวัล, พร้อมกับการเพิ่มเติมเนื้อหาเกมของเราให้ดียิ่งขึ้น
-เพิ่มคุณสมบัติการวิวัฒนาการของอุปกรณ์, อุปกรณ์ตำนานสามารถวิวัฒนาการเป็นอุปกรณ์ตำนานใหม่, ได้รับคุณสมบัติการวิวัฒนาการและขยายเลเวลที่สามารถอัปเกรดได้ อุปกรณ์ตำนานใหม่ถูกเพิ่มเข้ามา
-เพิ่มคุณสมบัติการเปลี่ยนชื่อเมค: ใช้ไอเทมหรือซีดีเพื่อเปลี่ยนชื่อเมคของคุณให้มีความเฉพาะตัว
-เมคใหม่: การโจมตีมรณะ-แมงป่อง, ไม่เพียงแต่มีพลังโจมตีที่แข็งแกร่งเท่านั้น แต่ยังสามารถจำกัดการเคลื่อนไหวของศัตรูด้วยกลไกการต่อสู้ที่เฉพาะตัว
-เพิ่มคิวการรักษาเมค: ผู้เล่นสามารถรักษาเมคหลายตัวพร้อมกันได้โดยการซื้อแพ็กคิวการรักษาเมคหลายแพ็ก 
-รูปปั้นคู่ใหม่: ช่างเชื่อมตัวหลัก 
-อัลดริค, เปลวไฟสายฟ้า 
-ธอร์ -สกิลผู้มีอำนาจ: เพิ่มสกิลโล่ป้องกัน, อนุญาตให้เจ้าแห่งลิงเปิดโล่ป้องกันให้ผู้เล่นคนอื่น, ปกป้องเมืองของผู้เล่น! และในกิจกรรมข้ามเซิร์ฟเวอร์, เจ้าแห่งลิงของเซิร์ฟเวอร์สามารถใช้สกิลผู้มีอำนาจต่อผู้เล่นจากเซิร์ฟเวอร์อื่นได้ 
-อารีน่าอีลิท - การจับคู่สูงสุด เร็ว ๆ นี้! ฮีโร่จากทุกเซิร์ฟเวอร์จะแข่งขันเพื่อหานักสู้ที่แข็งแกร่งที่สุด! 
-ปรับปรุงและแก้ไขกฎการเล่นเกมของโคลีเซียมดวงดาว (Mech Rising) -สิ่งก่อสร้างในรูปแบบ 3D, มีฉากหมุนได้เพื่อชมทิวทัศน์ของเมืองจากมุมต่างๆ 
-ปรับปรุงเนื้อหาเกมตอนต้น, เพิ่มประสิทธิภาพเมื่อกู้คืนพื้นที่"</v>
      </c>
      <c r="J51" s="148" t="str">
        <f>IFERROR(__xludf.DUMMYFUNCTION("""COMPUTED_VALUE"""),"-Operación Mutantes: NUEVO JEFE: Bersérker de Lava, aparecerá en los niveles 21-25.
-Nuevo Luchador: Mono Herculino - Kane. ¡Soñando con viajes espaciales, un Mono Herculino empuñando un martillo Cohete!
-Nuevo Ladrón Simio: Aparecerá aleatoriamente en to"&amp;"dos los niveles, derrotarlo te otorga recompensas extra.
-Informe de la batalla: Añadida Bobina de Destacados, grabando el despliegue de habilidades de equipo de tropas y habilidades de unidad.
-Investigación: Añadida una segunda cola de investigación, de"&amp;"sbloqueable mediante la compra de paquetes.
-Enfrentamiento de Primates: Ajustes a la temporada, calendario y recompensas del Enfrentamiento de Primates, con nuestra optimización de contenidos de juego.
-Añadida la función de evolución de Equipo, el Equip"&amp;"o Legendario puede evolucionar a Mítico, ganando atributos de evolución y expandiendo el Nivel mejorable. Añadido nuevo Equipo Mítico.
-Añadida la función de Renombrar Mech: Usa artículos o CD para renombrar tu meca para una identificación única.
-Nuevo M"&amp;"ech: Golpe Mortal-Escorpión, no solo poderoso en ataque sino también capaz de restringir el movimiento del enemigo con sus mecánicas de combate únicas.
-Añadida Cola de Curación de Meca: Los jugadores pueden curar múltiples mecas simultáneamente comprando"&amp;" múltiples paquetes de cola de curación de meca.
-Nuevas Estatuas Dobles: Soldador Maestro - Aldrich, Trueno de fuego - Thor.
-Habilidad de Jefe Supremo: Añadido Habilidad de Escudo de Defensa, ¡permitiendo a los jefes supremos activar escudos de defensa "&amp;"para otros jugadores, protegiendo la Ciudad del Jugador!
Y en eventos entre servidores, el jefe supremo de un servidor puede usar habilidades de jefe supremo contra jugadores de diferentes servidores.
-Pelea de Campeones - Partida Arriba llegará pronto. ¡"&amp;"Héroes de todos los servidores competirán para determinar el Luchador más fuerte!
-Optimizadas y revisadas las reglas de juego del Coliseo Astral (Mech Rising).
-Edificios en 3D, con escenas giratorias para ver paisajes urbanos desde diferentes ángulos.
-"&amp;"Optimizado el contenido del juego inicial, mejorando el rendimiento al recuperar áreas.")</f>
        <v>-Operación Mutantes: NUEVO JEFE: Bersérker de Lava, aparecerá en los niveles 21-25.
-Nuevo Luchador: Mono Herculino - Kane. ¡Soñando con viajes espaciales, un Mono Herculino empuñando un martillo Cohete!
-Nuevo Ladrón Simio: Aparecerá aleatoriamente en todos los niveles, derrotarlo te otorga recompensas extra.
-Informe de la batalla: Añadida Bobina de Destacados, grabando el despliegue de habilidades de equipo de tropas y habilidades de unidad.
-Investigación: Añadida una segunda cola de investigación, desbloqueable mediante la compra de paquetes.
-Enfrentamiento de Primates: Ajustes a la temporada, calendario y recompensas del Enfrentamiento de Primates, con nuestra optimización de contenidos de juego.
-Añadida la función de evolución de Equipo, el Equipo Legendario puede evolucionar a Mítico, ganando atributos de evolución y expandiendo el Nivel mejorable. Añadido nuevo Equipo Mítico.
-Añadida la función de Renombrar Mech: Usa artículos o CD para renombrar tu meca para una identificación única.
-Nuevo Mech: Golpe Mortal-Escorpión, no solo poderoso en ataque sino también capaz de restringir el movimiento del enemigo con sus mecánicas de combate únicas.
-Añadida Cola de Curación de Meca: Los jugadores pueden curar múltiples mecas simultáneamente comprando múltiples paquetes de cola de curación de meca.
-Nuevas Estatuas Dobles: Soldador Maestro - Aldrich, Trueno de fuego - Thor.
-Habilidad de Jefe Supremo: Añadido Habilidad de Escudo de Defensa, ¡permitiendo a los jefes supremos activar escudos de defensa para otros jugadores, protegiendo la Ciudad del Jugador!
Y en eventos entre servidores, el jefe supremo de un servidor puede usar habilidades de jefe supremo contra jugadores de diferentes servidores.
-Pelea de Campeones - Partida Arriba llegará pronto. ¡Héroes de todos los servidores competirán para determinar el Luchador más fuerte!
-Optimizadas y revisadas las reglas de juego del Coliseo Astral (Mech Rising).
-Edificios en 3D, con escenas giratorias para ver paisajes urbanos desde diferentes ángulos.
-Optimizado el contenido del juego inicial, mejorando el rendimiento al recuperar áreas.</v>
      </c>
      <c r="K51" s="148" t="str">
        <f>IFERROR(__xludf.DUMMYFUNCTION("""COMPUTED_VALUE"""),"-Операция «Мутанты»: НОВОЕ: Босс Лавовый Берсерк появится на уровнях 21-25.
-Новый герой: Геркулесова Обезьяна - Кейн. Мечтая о космических путешествиях, Геркулесова Обезьяна с молотом Ракета!
-Новый Грабитель Обезьяна: Будет случайно появляться на всех у"&amp;"ровнях, победа над ним дает дополнительные награды.
-Отчет о бое: Добавлена Подборка Лучших Моментов, записывающая использование навыков снаряжения войск и навыков отрядов.
-Исследование: Добавлена вторая очередь исследований, доступная для разблокировки "&amp;"путем покупки наборов.
-СТОЛКНОВЕНИЕ ПРИМАТОВ: Корректировки сезона, расписания и наград Столкновения Приматов в рамках оптимизации игрового контента.
-Добавлена функция эволюции снаряжения, Легендарное снаряжение может эволюционировать в Мифическое, полу"&amp;"чая атрибуты эволюции и расширяя улучшаемый Уровень. Добавлено новое Мифическое снаряжение.
-Добавлена функция переименования Мехов: Используйте предметы или CD для уникальной идентификации вашего меха.
-Новый Мех: Смертоносный удар-Скорпион, мощный не то"&amp;"лько в атаке, но и способный ограничивать передвижение врага благодаря уникальной боевой механике.
-Добавлена Очередь лечения Мехов: Игроки могут одновременно лечить несколько мехов, покупая наборы для очереди лечения мехов.
-Новые Двойные Статуи: Мастер "&amp;"сварщик - Олдрич, Грозовое пламя - Тор.
-Навык Владыки: Добавлен навык Защитный щит, позволяющий владыкам активировать защитные щиты для других игроков, защищая Город игрока!
И на межсерверных событиях владыка сервера может использовать навыки владыки про"&amp;"тив игроков с других серверов.
-Потасовка чемпионов - Топовый матч скоро в игре! Герои со всех серверов сойдутся в борьбе за звание сильнейшего Героя!.
-Оптимизированы и пересмотрены правила игры Астрального Колизея (Восстание Мехов).
-Постройки в 3D, с в"&amp;"озможностью вращения сцен для просмотра городских пейзажей с разных углов.
-Оптимизирован начальный игровой контент, улучшена производительность при восстановлении зон.")</f>
        <v>-Операция «Мутанты»: НОВОЕ: Босс Лавовый Берсерк появится на уровнях 21-25.
-Новый герой: Геркулесова Обезьяна - Кейн. Мечтая о космических путешествиях, Геркулесова Обезьяна с молотом Ракета!
-Новый Грабитель Обезьяна: Будет случайно появляться на всех уровнях, победа над ним дает дополнительные награды.
-Отчет о бое: Добавлена Подборка Лучших Моментов, записывающая использование навыков снаряжения войск и навыков отрядов.
-Исследование: Добавлена вторая очередь исследований, доступная для разблокировки путем покупки наборов.
-СТОЛКНОВЕНИЕ ПРИМАТОВ: Корректировки сезона, расписания и наград Столкновения Приматов в рамках оптимизации игрового контента.
-Добавлена функция эволюции снаряжения, Легендарное снаряжение может эволюционировать в Мифическое, получая атрибуты эволюции и расширяя улучшаемый Уровень. Добавлено новое Мифическое снаряжение.
-Добавлена функция переименования Мехов: Используйте предметы или CD для уникальной идентификации вашего меха.
-Новый Мех: Смертоносный удар-Скорпион, мощный не только в атаке, но и способный ограничивать передвижение врага благодаря уникальной боевой механике.
-Добавлена Очередь лечения Мехов: Игроки могут одновременно лечить несколько мехов, покупая наборы для очереди лечения мехов.
-Новые Двойные Статуи: Мастер сварщик - Олдрич, Грозовое пламя - Тор.
-Навык Владыки: Добавлен навык Защитный щит, позволяющий владыкам активировать защитные щиты для других игроков, защищая Город игрока!
И на межсерверных событиях владыка сервера может использовать навыки владыки против игроков с других серверов.
-Потасовка чемпионов - Топовый матч скоро в игре! Герои со всех серверов сойдутся в борьбе за звание сильнейшего Героя!.
-Оптимизированы и пересмотрены правила игры Астрального Колизея (Восстание Мехов).
-Постройки в 3D, с возможностью вращения сцен для просмотра городских пейзажей с разных углов.
-Оптимизирован начальный игровой контент, улучшена производительность при восстановлении зон.</v>
      </c>
      <c r="L51" s="148" t="str">
        <f>IFERROR(__xludf.DUMMYFUNCTION("""COMPUTED_VALUE"""),"-Mutant Operasyonu:Yeni PATRON: Lav Çılgını, 21-25 seviyelerinde belirecek.
-Yeni Savaşçı: Herkül Maymun - Kane. Uzay seyahati hayali kuran, bir Roket çekiç sallayan Herkül Maymun!
-Yeni Soyguncu Maymun: Tüm seviyelerde rastgele belirecek, yenilmesi size "&amp;"ekstra ödüller kazandırır.
-Savaş Raporu: Öne Çıkanlar eklendi, birlik ekipman becerilerinin ve birim becerilerinin konuşlandırılmasını kaydediyor.
-Araştırma: İkinci bir araştırma sırası eklendi, paket satın alarak kilidini açabilirsiniz.
-Primat Karşı K"&amp;"arşıyası: Oyun içeriği optimizasyonumuzla Primat Karşı Karşıyası sezonu, programı ve ödüllerinde düzenlemeler yapıldı.
-Ekipman evrimi özelliği eklendi, Efsanevi Ekipmanlar Mitik'e evrilebilir, evrim nitelikleri kazanır ve yükseltilebilir Seviye genişleti"&amp;"lir. Yeni Mitik Ekipmanlar eklendi.
-Meka Yeniden Adlandırma özelliği eklendi: Mekanızı benzersiz bir tanımlama için eşyalar veya CD kullanarak yeniden adlandırın.
-Yeni Meka: Ölümcül Vuruş-Akrep, sadece saldırıda güçlü olmakla kalmaz, aynı zamanda benzer"&amp;"siz savaş mekanikleriyle düşman hareketini kısıtlayabilir.
-Meka İyileştirme Sırası eklendi: Oyuncular, birden fazla meka iyileştirme sırası paketi satın alarak birden fazla mekayı aynı anda iyileştirebilir.
-Yeni Çift Heykeller: Usta Kaynakçı - Aldrich, "&amp;"Yıldırım Alevleri - Thor.
-Büyük Lord Becerisi: Savunma Kalkanı Becerisi eklendi, büyük lordların diğer oyuncular için savunma kalkanları etkinleştirmesine izin verir, Oyuncu şehrini korur!
Ve sunucular arası etkinliklerde, bir sunucunun büyük lordu farkl"&amp;"ı sunuculardan oyunculara karşı büyük lord becerilerini kullanabilir.
-Şampiyonlar Kavgası - Üst Eşleştirme pek yakında! Tüm sunuculardan kahramanlar en güçlü Savaşçıyı belirlemek için yarışacak!.
-Yıldız Kolezyumu (Meka Yükselişi) oyunun oynanış kurallar"&amp;"ı optimize edildi ve gözden geçirildi.
-3D Binalar, şehir manzaralarını farklı açılardan görebilmek için döndürülebilen sahnelerle.
-Erken oyun içeriği optimize edildi, alanları iyileştirirken performans artırıldı.")</f>
        <v>-Mutant Operasyonu:Yeni PATRON: Lav Çılgını, 21-25 seviyelerinde belirecek.
-Yeni Savaşçı: Herkül Maymun - Kane. Uzay seyahati hayali kuran, bir Roket çekiç sallayan Herkül Maymun!
-Yeni Soyguncu Maymun: Tüm seviyelerde rastgele belirecek, yenilmesi size ekstra ödüller kazandırır.
-Savaş Raporu: Öne Çıkanlar eklendi, birlik ekipman becerilerinin ve birim becerilerinin konuşlandırılmasını kaydediyor.
-Araştırma: İkinci bir araştırma sırası eklendi, paket satın alarak kilidini açabilirsiniz.
-Primat Karşı Karşıyası: Oyun içeriği optimizasyonumuzla Primat Karşı Karşıyası sezonu, programı ve ödüllerinde düzenlemeler yapıldı.
-Ekipman evrimi özelliği eklendi, Efsanevi Ekipmanlar Mitik'e evrilebilir, evrim nitelikleri kazanır ve yükseltilebilir Seviye genişletilir. Yeni Mitik Ekipmanlar eklendi.
-Meka Yeniden Adlandırma özelliği eklendi: Mekanızı benzersiz bir tanımlama için eşyalar veya CD kullanarak yeniden adlandırın.
-Yeni Meka: Ölümcül Vuruş-Akrep, sadece saldırıda güçlü olmakla kalmaz, aynı zamanda benzersiz savaş mekanikleriyle düşman hareketini kısıtlayabilir.
-Meka İyileştirme Sırası eklendi: Oyuncular, birden fazla meka iyileştirme sırası paketi satın alarak birden fazla mekayı aynı anda iyileştirebilir.
-Yeni Çift Heykeller: Usta Kaynakçı - Aldrich, Yıldırım Alevleri - Thor.
-Büyük Lord Becerisi: Savunma Kalkanı Becerisi eklendi, büyük lordların diğer oyuncular için savunma kalkanları etkinleştirmesine izin verir, Oyuncu şehrini korur!
Ve sunucular arası etkinliklerde, bir sunucunun büyük lordu farklı sunuculardan oyunculara karşı büyük lord becerilerini kullanabilir.
-Şampiyonlar Kavgası - Üst Eşleştirme pek yakında! Tüm sunuculardan kahramanlar en güçlü Savaşçıyı belirlemek için yarışacak!.
-Yıldız Kolezyumu (Meka Yükselişi) oyunun oynanış kuralları optimize edildi ve gözden geçirildi.
-3D Binalar, şehir manzaralarını farklı açılardan görebilmek için döndürülebilen sahnelerle.
-Erken oyun içeriği optimize edildi, alanları iyileştirirken performans artırıldı.</v>
      </c>
      <c r="M51" s="148" t="str">
        <f>IFERROR(__xludf.DUMMYFUNCTION("""COMPUTED_VALUE"""),"-Vây Quét Khỉ Đột Biến: BOSS MỚI: Cuồng Hầu Dung Nham, sẽ xuất hiện ở cấp 21-25.
-Chiến Binh Mới: Khỉ Sức Mạnh Huyền Thoại - Kane. Mơ ước về chuyến du hành không gian, một Khỉ Sức Mạnh Huyền Thoại cầm chiếc búa Hỏa Tiễn!
-Kẻ Cướp Vượn Mới: Sẽ xuất hiện ng"&amp;"ẫu nhiên ở tất cả các cấp độ, đánh bại chúng sẽ nhận được phần thưởng thêm.
-Chiến Báo: Đã thêm Cuốn Phim Nổi Bật, ghi lại việc triển khai kỹ năng trang bị và kỹ năng đơn vị của quân đội.
-Nghiên Cứu: Đã thêm hàng chờ nghiên cứu thứ hai, có thể mở khóa bằ"&amp;"ng cách mua gói.
-Đối Đầu Linh Trưởng: Điều chỉnh mùa giải, lịch trình và phần thưởng của Đối Đầu Linh Trưởng, với việc tối ưu hóa nội dung trò chơi của chúng tôi.
-Đã thêm tính năng tiến hóa trang bị, Trang Bị Huyền Thoại có thể tiến hóa thành Trang Bị T"&amp;"hần Thoại, nhận được thuộc tính tiến hóa và mở rộng cấp độ có thể nâng cấp. Đã thêm Trang Bị Thần Thoại mới.
-Đã thêm tính năng đổi tên Cơ Khí: Sử dụng vật phẩm hoặc CD để đổi tên cơ khí của bạn cho một dấu hiệu nhận biết độc đáo.
-Cơ Khí Mới: Đòn Chết Ng"&amp;"ười-Bọ Cạp, không chỉ mạnh mẽ trong tấn công mà còn có thể hạn chế di chuyển của kẻ địch với cơ chế chiến đấu độc đáo của nó.
-Đã thêm Hàng Chờ Trị Thương Cơ Khí: Người chơi có thể chữa trị nhiều cơ khí cùng một lúc bằng cách mua nhiều gói hàng chờ trị th"&amp;"ương cơ khí.
-Tượng Đôi Mới: Thợ Hàn Bậc Thầy - Aldrich, Lửa Sét Điên Cuồng - Thor.
-Kỹ Năng Lãnh Chúa: Đã thêm Kỹ Năng Khiên Phòng Thủ, cho phép lãnh chúa kích hoạt khiên phòng thủ cho người chơi khác, bảo vệ Thành Phố Người Chơi!
Và trong sự kiện liên m"&amp;"áy chủ, lãnh chúa của một máy chủ có thể sử dụng kỹ năng lãnh chúa chống lại người chơi từ các máy chủ khác.
-Đấu Trường Tinh Anh - Tìm Đối Thủ Đứng Đầu sắp ra mắt! Anh hùng từ tất cả các máy chủ sẽ cạnh tranh để xác định Chiến Binh mạnh nhất!.
-Đã tối ưu"&amp;" hóa và chỉnh sửa quy tắc trò chơi của Đại Đấu Trường Thiên Thể (Cơ Khí Trỗi Dậy).
-Công trình 3D, với cảnh quay có thể xoay để xem cảnh quan thành phố từ các góc độ khác nhau.
-Đã tối ưu hóa nội dung trò chơi đầu, nâng cao hiệu suất khi phục hồi khu vực.")</f>
        <v>-Vây Quét Khỉ Đột Biến: BOSS MỚI: Cuồng Hầu Dung Nham, sẽ xuất hiện ở cấp 21-25.
-Chiến Binh Mới: Khỉ Sức Mạnh Huyền Thoại - Kane. Mơ ước về chuyến du hành không gian, một Khỉ Sức Mạnh Huyền Thoại cầm chiếc búa Hỏa Tiễn!
-Kẻ Cướp Vượn Mới: Sẽ xuất hiện ngẫu nhiên ở tất cả các cấp độ, đánh bại chúng sẽ nhận được phần thưởng thêm.
-Chiến Báo: Đã thêm Cuốn Phim Nổi Bật, ghi lại việc triển khai kỹ năng trang bị và kỹ năng đơn vị của quân đội.
-Nghiên Cứu: Đã thêm hàng chờ nghiên cứu thứ hai, có thể mở khóa bằng cách mua gói.
-Đối Đầu Linh Trưởng: Điều chỉnh mùa giải, lịch trình và phần thưởng của Đối Đầu Linh Trưởng, với việc tối ưu hóa nội dung trò chơi của chúng tôi.
-Đã thêm tính năng tiến hóa trang bị, Trang Bị Huyền Thoại có thể tiến hóa thành Trang Bị Thần Thoại, nhận được thuộc tính tiến hóa và mở rộng cấp độ có thể nâng cấp. Đã thêm Trang Bị Thần Thoại mới.
-Đã thêm tính năng đổi tên Cơ Khí: Sử dụng vật phẩm hoặc CD để đổi tên cơ khí của bạn cho một dấu hiệu nhận biết độc đáo.
-Cơ Khí Mới: Đòn Chết Người-Bọ Cạp, không chỉ mạnh mẽ trong tấn công mà còn có thể hạn chế di chuyển của kẻ địch với cơ chế chiến đấu độc đáo của nó.
-Đã thêm Hàng Chờ Trị Thương Cơ Khí: Người chơi có thể chữa trị nhiều cơ khí cùng một lúc bằng cách mua nhiều gói hàng chờ trị thương cơ khí.
-Tượng Đôi Mới: Thợ Hàn Bậc Thầy - Aldrich, Lửa Sét Điên Cuồng - Thor.
-Kỹ Năng Lãnh Chúa: Đã thêm Kỹ Năng Khiên Phòng Thủ, cho phép lãnh chúa kích hoạt khiên phòng thủ cho người chơi khác, bảo vệ Thành Phố Người Chơi!
Và trong sự kiện liên máy chủ, lãnh chúa của một máy chủ có thể sử dụng kỹ năng lãnh chúa chống lại người chơi từ các máy chủ khác.
-Đấu Trường Tinh Anh - Tìm Đối Thủ Đứng Đầu sắp ra mắt! Anh hùng từ tất cả các máy chủ sẽ cạnh tranh để xác định Chiến Binh mạnh nhất!.
-Đã tối ưu hóa và chỉnh sửa quy tắc trò chơi của Đại Đấu Trường Thiên Thể (Cơ Khí Trỗi Dậy).
-Công trình 3D, với cảnh quay có thể xoay để xem cảnh quan thành phố từ các góc độ khác nhau.
-Đã tối ưu hóa nội dung trò chơi đầu, nâng cao hiệu suất khi phục hồi khu vực.</v>
      </c>
      <c r="N51" s="105" t="str">
        <f>IFERROR(__xludf.DUMMYFUNCTION("""COMPUTED_VALUE"""),"-Operazione Mutanti: NUOVO BOSS: Berserker Lavico, apparirà ai livelli 21-25.
-Nuovo Combattente: Scimmia Ercole - Kane. Sognando il viaggio spaziale, una Scimmia Ercole che brandisce un martello Razzo!
-Nuovo Ladro Scimmia: Apparirà casualmente in tutti "&amp;"i livelli, sconfiggerlo ti darà ricompense extra.
-Rapporto battaglia: Aggiunta Rassegna dei momenti salienti, che registra il dispiegamento delle abilità di equipaggiamento delle truppe e delle abilità dell'unità.
-Ricerca: Aggiunta una seconda coda di r"&amp;"icerca, sbloccabile acquistando pacchetti.
-CONFRONTO PRIMATESCO: Aggiustamenti alla stagione del Confronto Primatesco, al calendario e alle ricompense, con l'ottimizzazione dei contenuti di gioco.
-Aggiunta la funzione di evoluzione dell'equipaggiamento,"&amp;" l'Equipaggiamento Leggendario può evolversi in Mitico, acquisendo attributi di evoluzione ed espandendo il Livello potenziabile. Aggiunto nuovo Equipaggiamento Mitico.
-Aggiunta la funzione di Rinomina Mech: Utilizza oggetti o CD per rinominare il tuo me"&amp;"ch per una identificazione unica.
-Nuovo Mech: Colpo letale-Scorpione, potente non solo nell'attacco ma anche capace di limitare il movimento del nemico con le sue meccaniche di combattimento uniche.
-Aggiunta Coda di Guarigione Mech: I giocatori possono "&amp;"guarire più mech simultaneamente acquistando più pacchetti della coda di guarigione mech.
-Nuove Doppie Statue: Mastro Saldatore - Aldrich, Fiamme del tuono - Thor.
-Abilità Signore supremo: Aggiunta l'Abilità Scudo Difensivo, che permette ai signori supr"&amp;"emi di attivare scudi difensivi per altri giocatori, proteggendo la Città del giocatore!
E negli eventi inter-server, il signore supremo di un server può usare le abilità di signore supremo contro giocatori di server diversi.
-Rissa dei campioni - Abbinam"&amp;"ento Alto in arrivo! Eroi di tutti i server competono per determinare il Combattente più forte!.
-Ottimizzate e riviste le regole di gioco del Colosseo astrale (Ascesa Mech).
-Edifici in 3D, con scene rotabili per visualizzare i paesaggi urbani da angolaz"&amp;"ioni diverse.
-Ottimizzato il contenuto del gioco iniziale, migliorando le prestazioni durante il ripristino delle aree.")</f>
        <v>-Operazione Mutanti: NUOVO BOSS: Berserker Lavico, apparirà ai livelli 21-25.
-Nuovo Combattente: Scimmia Ercole - Kane. Sognando il viaggio spaziale, una Scimmia Ercole che brandisce un martello Razzo!
-Nuovo Ladro Scimmia: Apparirà casualmente in tutti i livelli, sconfiggerlo ti darà ricompense extra.
-Rapporto battaglia: Aggiunta Rassegna dei momenti salienti, che registra il dispiegamento delle abilità di equipaggiamento delle truppe e delle abilità dell'unità.
-Ricerca: Aggiunta una seconda coda di ricerca, sbloccabile acquistando pacchetti.
-CONFRONTO PRIMATESCO: Aggiustamenti alla stagione del Confronto Primatesco, al calendario e alle ricompense, con l'ottimizzazione dei contenuti di gioco.
-Aggiunta la funzione di evoluzione dell'equipaggiamento, l'Equipaggiamento Leggendario può evolversi in Mitico, acquisendo attributi di evoluzione ed espandendo il Livello potenziabile. Aggiunto nuovo Equipaggiamento Mitico.
-Aggiunta la funzione di Rinomina Mech: Utilizza oggetti o CD per rinominare il tuo mech per una identificazione unica.
-Nuovo Mech: Colpo letale-Scorpione, potente non solo nell'attacco ma anche capace di limitare il movimento del nemico con le sue meccaniche di combattimento uniche.
-Aggiunta Coda di Guarigione Mech: I giocatori possono guarire più mech simultaneamente acquistando più pacchetti della coda di guarigione mech.
-Nuove Doppie Statue: Mastro Saldatore - Aldrich, Fiamme del tuono - Thor.
-Abilità Signore supremo: Aggiunta l'Abilità Scudo Difensivo, che permette ai signori supremi di attivare scudi difensivi per altri giocatori, proteggendo la Città del giocatore!
E negli eventi inter-server, il signore supremo di un server può usare le abilità di signore supremo contro giocatori di server diversi.
-Rissa dei campioni - Abbinamento Alto in arrivo! Eroi di tutti i server competono per determinare il Combattente più forte!.
-Ottimizzate e riviste le regole di gioco del Colosseo astrale (Ascesa Mech).
-Edifici in 3D, con scene rotabili per visualizzare i paesaggi urbani da angolazioni diverse.
-Ottimizzato il contenuto del gioco iniziale, migliorando le prestazioni durante il ripristino delle aree.</v>
      </c>
      <c r="O51" s="148" t="str">
        <f>IFERROR(__xludf.DUMMYFUNCTION("""COMPUTED_VALUE"""),"-Operacja Mutanty: NOWY BOSS: Berserker Lawy, pojawi się na poziomach 21-25.
-Nowy Wojownik: Herkulesowa Małpa - Kane. Marząc o podróży kosmicznej, Herkulesowa Małpa dzierżąca Młot Rakieta!
-Nowy Rabuś Małpa: Będzie losowo pojawiał się na wszystkich pozio"&amp;"mach, jego pokonanie daje dodatkowe nagrody.
-Raport z bitwy: Dodano Skrót Najważniejszych Momentów, rejestrujący rozmieszczenie umiejętności wyposażenia oddziałów i umiejętności jednostek.
-Badania: Dodano drugą kolejkę badań, którą można odblokować, kup"&amp;"ując pakiety.
-Impas Naczelnych: Dostosowania do sezonu Impasu Naczelnych, harmonogramu i nagród, w ramach optymalizacji treści gry.
-Dodano funkcję ewolucji wyposażenia, Legendarny Sprzęt może ewoluować w Mitologiczny, zyskując atrybuty ewolucji i rozsze"&amp;"rzając możliwość ulepszania Poziomu. Dodano nowy Mitologiczny Sprzęt.
-Dodano funkcję zmiany nazwy Mecha: Użyj przedmiotów lub CD, aby zmienić nazwę swojego mecha dla unikalnej identyfikacji.
-Nowy Mech: Śmiertelne Uderzenie-Skorpion, nie tylko potężny w "&amp;"ataku, ale także zdolny do ograniczania ruchów wroga dzięki swoim unikalnym mechanikom walki.
-Dodano Kolejkę Leczenia Mecha: Gracze mogą leczyć jednocześnie wiele mechów, kupując wiele pakietów kolejki leczenia mecha.
-Nowe Podwójne Posągi: Mistrz spawal"&amp;"nictwa - Aldrich, Płomienie gromu - Thor.
-Umiejętność Władcy: Dodano Umiejętność Tarczy Obronnej, pozwalającą władcom aktywować tarcze obronne dla innych graczy, chroniąc Miasto gracza!
A w wydarzeniach międzyserwerowych władca serwera może używać umieję"&amp;"tności władcy przeciwko graczom z innych serwerów.
-Bijatyka Mistrzów - Najlepsze Dobieranie już wkrótce! Bohaterowie ze wszystkich serwerów będą rywalizować, aby ustalić, kto jest najsilniejszym Wojownikiem!.
-Zoptymalizowano i zrewidowano zasady rozgryw"&amp;"ki Gwiezdnego koloseum (Mech Rising).
-Budynki w 3D, z możliwością obracania scen, aby oglądać panoramy miast z różnych kątów.
-Zoptymalizowano początkową treść gry, poprawiając wydajność podczas regeneracji obszarów.")</f>
        <v>-Operacja Mutanty: NOWY BOSS: Berserker Lawy, pojawi się na poziomach 21-25.
-Nowy Wojownik: Herkulesowa Małpa - Kane. Marząc o podróży kosmicznej, Herkulesowa Małpa dzierżąca Młot Rakieta!
-Nowy Rabuś Małpa: Będzie losowo pojawiał się na wszystkich poziomach, jego pokonanie daje dodatkowe nagrody.
-Raport z bitwy: Dodano Skrót Najważniejszych Momentów, rejestrujący rozmieszczenie umiejętności wyposażenia oddziałów i umiejętności jednostek.
-Badania: Dodano drugą kolejkę badań, którą można odblokować, kupując pakiety.
-Impas Naczelnych: Dostosowania do sezonu Impasu Naczelnych, harmonogramu i nagród, w ramach optymalizacji treści gry.
-Dodano funkcję ewolucji wyposażenia, Legendarny Sprzęt może ewoluować w Mitologiczny, zyskując atrybuty ewolucji i rozszerzając możliwość ulepszania Poziomu. Dodano nowy Mitologiczny Sprzęt.
-Dodano funkcję zmiany nazwy Mecha: Użyj przedmiotów lub CD, aby zmienić nazwę swojego mecha dla unikalnej identyfikacji.
-Nowy Mech: Śmiertelne Uderzenie-Skorpion, nie tylko potężny w ataku, ale także zdolny do ograniczania ruchów wroga dzięki swoim unikalnym mechanikom walki.
-Dodano Kolejkę Leczenia Mecha: Gracze mogą leczyć jednocześnie wiele mechów, kupując wiele pakietów kolejki leczenia mecha.
-Nowe Podwójne Posągi: Mistrz spawalnictwa - Aldrich, Płomienie gromu - Thor.
-Umiejętność Władcy: Dodano Umiejętność Tarczy Obronnej, pozwalającą władcom aktywować tarcze obronne dla innych graczy, chroniąc Miasto gracza!
A w wydarzeniach międzyserwerowych władca serwera może używać umiejętności władcy przeciwko graczom z innych serwerów.
-Bijatyka Mistrzów - Najlepsze Dobieranie już wkrótce! Bohaterowie ze wszystkich serwerów będą rywalizować, aby ustalić, kto jest najsilniejszym Wojownikiem!.
-Zoptymalizowano i zrewidowano zasady rozgrywki Gwiezdnego koloseum (Mech Rising).
-Budynki w 3D, z możliwością obracania scen, aby oglądać panoramy miast z różnych kątów.
-Zoptymalizowano początkową treść gry, poprawiając wydajność podczas regeneracji obszarów.</v>
      </c>
      <c r="P51" s="170" t="str">
        <f>IFERROR(__xludf.DUMMYFUNCTION("""COMPUTED_VALUE"""),"-مقاتل جديد: قرد هرقل - كين. يحلم بالسفر إلى الفضاء، قرد هرقل يتقلد مطرقة الصاروخ!
-عملية المسوخ: رئيس جديد: الهيجان البركاني، سيظهر في المستويات 21-25.
-قرد السارق الجديد: سيظهر بشكل عشوائي في جميع المستويات، وهزيمته تمنحك مكافآت إضافية.
-تقرير المعركة: "&amp;"تم إضافة شريط الأبرز، مسجلاً نشر مهارات المعدات ومهارات الوحدة للقوات.
-البحث: تم إضافة طابور بحث ثانٍ، يمكن فتحه عن طريق شراء الباقات.
-مواجهة الرئيسيات: تعديلات على موسم مواجهة الرئيسيات، والجدول الزمني، والجوائز، مع تحسين محتوى اللعبة.
-تم إضافة ميزة ت"&amp;"طور المعدات، يمكن للمعدات الأسطورية أن تتطور إلى أسطورية أعلى، مكتسبة سمات التطور وتوسيع مستوى الترقية القابل للتطوير. تم إضافة معدات أسطورية أعلى جديدة.
-تم إضافة ميزة تغيير اسم الميكا: استخدم العناصر أو أقراص CD لإعادة تسمية ميكا الخاص بك للحصول على تعر"&amp;"يف فريد.
-ميكا جديد: ضربة قاتلة-العقرب، ليس فقط قوي في الهجوم ولكن أيضًا قادر على تقييد حركة العدو بآليات قتالية فريدة.
-تم إضافة طابور العلاج للميكا: يمكن للاعبين علاج عدة آليات ميكا في وقت واحد عن طريق شراء باقات طابور العلاج للميكا.
-تماثيل ثنائية جديد"&amp;"ة: سيد اللحام - ألدريتش، لهيب الرعد - ثور.
-مهارة الحاكم: تم إضافة مهارة درع الدفاع، مما يسمح للحكام بتفعيل دروع الدفاع للاعبين الآخرين، حماية مدينة اللاعب!
وفي الأحداث عبر السيرفرات، يمكن لحاكم سيرفر استخدام مهارات الحاكم ضد لاعبين من سيرفرات مختلفة.
-حل"&amp;"بة الأبطال - مطابقة الأعلى قادمة قريبًا! أبطال من جميع السيرفرات سيتنافسون لتحديد أقوى المقاتلون!.
-تم تحسين ومراجعة قواعد طريقة اللعب في مدرج النجوم (صعود الميكا).
-المباني ثلاثية الأبعاد، مع مشاهد دوارة لمشاهدة المناظر الحضرية من زوايا مختلفة.
-تم تحسين"&amp;" محتوى اللعبة المبكر، معززًا الأداء عند استعادة المناطق.")</f>
        <v>-مقاتل جديد: قرد هرقل - كين. يحلم بالسفر إلى الفضاء، قرد هرقل يتقلد مطرقة الصاروخ!
-عملية المسوخ: رئيس جديد: الهيجان البركاني، سيظهر في المستويات 21-25.
-قرد السارق الجديد: سيظهر بشكل عشوائي في جميع المستويات، وهزيمته تمنحك مكافآت إضافية.
-تقرير المعركة: تم إضافة شريط الأبرز، مسجلاً نشر مهارات المعدات ومهارات الوحدة للقوات.
-البحث: تم إضافة طابور بحث ثانٍ، يمكن فتحه عن طريق شراء الباقات.
-مواجهة الرئيسيات: تعديلات على موسم مواجهة الرئيسيات، والجدول الزمني، والجوائز، مع تحسين محتوى اللعبة.
-تم إضافة ميزة تطور المعدات، يمكن للمعدات الأسطورية أن تتطور إلى أسطورية أعلى، مكتسبة سمات التطور وتوسيع مستوى الترقية القابل للتطوير. تم إضافة معدات أسطورية أعلى جديدة.
-تم إضافة ميزة تغيير اسم الميكا: استخدم العناصر أو أقراص CD لإعادة تسمية ميكا الخاص بك للحصول على تعريف فريد.
-ميكا جديد: ضربة قاتلة-العقرب، ليس فقط قوي في الهجوم ولكن أيضًا قادر على تقييد حركة العدو بآليات قتالية فريدة.
-تم إضافة طابور العلاج للميكا: يمكن للاعبين علاج عدة آليات ميكا في وقت واحد عن طريق شراء باقات طابور العلاج للميكا.
-تماثيل ثنائية جديدة: سيد اللحام - ألدريتش، لهيب الرعد - ثور.
-مهارة الحاكم: تم إضافة مهارة درع الدفاع، مما يسمح للحكام بتفعيل دروع الدفاع للاعبين الآخرين، حماية مدينة اللاعب!
وفي الأحداث عبر السيرفرات، يمكن لحاكم سيرفر استخدام مهارات الحاكم ضد لاعبين من سيرفرات مختلفة.
-حلبة الأبطال - مطابقة الأعلى قادمة قريبًا! أبطال من جميع السيرفرات سيتنافسون لتحديد أقوى المقاتلون!.
-تم تحسين ومراجعة قواعد طريقة اللعب في مدرج النجوم (صعود الميكا).
-المباني ثلاثية الأبعاد، مع مشاهد دوارة لمشاهدة المناظر الحضرية من زوايا مختلفة.
-تم تحسين محتوى اللعبة المبكر، معززًا الأداء عند استعادة المناطق.</v>
      </c>
      <c r="Q51" s="148" t="str">
        <f>IFERROR(__xludf.DUMMYFUNCTION("""COMPUTED_VALUE"""),"-変異エイプ殲滅作戦:NEW BOSS: 溶岩バーサーカーがレベル21-25に登場します。
-新しいファイター: ヘラクレスエイプ - カネ。宇宙旅行を夢見る、ロケットハンマーを振るうヘラクレスエイプ！
-新しい強盗エイプ: 全てのレベルでランダムに出現し、倒すと追加報酬がもらえます。
-戦闘報告書: ハイライトリールを追加し、部隊の装備スキルとユニットスキルの配置を記録します。
-研究: 2つ目の研究キューを追加し、パックを購入することでアンロックできます。
-プライメイト対決: プライメイト対決のシー"&amp;"ズン、スケジュール、報酬の調整を行い、ゲームコンテンツの最適化を実施。
-装備進化機能を追加: レジェンダリー装備が神話に進化し、進化属性を獲得し、アップグレード可能なレベルを拡張します。新しい神話装備を追加。
-メカ名前変更機能を追加: アイテムまたはCDを使用して、メカにユニークな識別名を付けます。
-新しいメカ: 致命的なストライク-スコーピオン、攻撃力だけでなく、独自の戦闘メカニクスで敵の動きを制限することもできます。
-メカ治療キューを追加: プレイヤーは複数のメカ治療キューパックを購入すること"&amp;"で、複数のメカを同時に治療できます。
-新しいデュアル像: マスター溶接工 - アルドリッチ、烈火霹靂 - ソー。
-覇者のスキル: 防御シールドスキルを追加し、覇者が他のプレイヤーのために防御シールドをアクティベートできるようにします。プレイヤーの都市を守ります！
そして、クロスサーバーイベントでは、サーバーの覇者が異なるサーバーのプレイヤーに対して覇者のスキルを使用できます。
-エリート闘技場 - トップマッチが近日公開！全サーバーのヒーローが最強のファイターを決定するために競います。
-アストラルコ"&amp;"ロシアム（メカライジング）のゲームプレイルールを最適化し、改訂しました。
-3Dでの建築物、都市の景観を異なる角度から見るための回転可能なシーン。
-序盤のゲームコンテンツを最適化し、エリア回復時のパフォーマンスを向上させました。")</f>
        <v>-変異エイプ殲滅作戦:NEW BOSS: 溶岩バーサーカーがレベル21-25に登場します。
-新しいファイター: ヘラクレスエイプ - カネ。宇宙旅行を夢見る、ロケットハンマーを振るうヘラクレスエイプ！
-新しい強盗エイプ: 全てのレベルでランダムに出現し、倒すと追加報酬がもらえます。
-戦闘報告書: ハイライトリールを追加し、部隊の装備スキルとユニットスキルの配置を記録します。
-研究: 2つ目の研究キューを追加し、パックを購入することでアンロックできます。
-プライメイト対決: プライメイト対決のシーズン、スケジュール、報酬の調整を行い、ゲームコンテンツの最適化を実施。
-装備進化機能を追加: レジェンダリー装備が神話に進化し、進化属性を獲得し、アップグレード可能なレベルを拡張します。新しい神話装備を追加。
-メカ名前変更機能を追加: アイテムまたはCDを使用して、メカにユニークな識別名を付けます。
-新しいメカ: 致命的なストライク-スコーピオン、攻撃力だけでなく、独自の戦闘メカニクスで敵の動きを制限することもできます。
-メカ治療キューを追加: プレイヤーは複数のメカ治療キューパックを購入することで、複数のメカを同時に治療できます。
-新しいデュアル像: マスター溶接工 - アルドリッチ、烈火霹靂 - ソー。
-覇者のスキル: 防御シールドスキルを追加し、覇者が他のプレイヤーのために防御シールドをアクティベートできるようにします。プレイヤーの都市を守ります！
そして、クロスサーバーイベントでは、サーバーの覇者が異なるサーバーのプレイヤーに対して覇者のスキルを使用できます。
-エリート闘技場 - トップマッチが近日公開！全サーバーのヒーローが最強のファイターを決定するために競います。
-アストラルコロシアム（メカライジング）のゲームプレイルールを最適化し、改訂しました。
-3Dでの建築物、都市の景観を異なる角度から見るための回転可能なシーン。
-序盤のゲームコンテンツを最適化し、エリア回復時のパフォーマンスを向上させました。</v>
      </c>
      <c r="R51" s="148" t="str">
        <f>IFERROR(__xludf.DUMMYFUNCTION("""COMPUTED_VALUE"""),"-변이 원숭이 토벌:새로운 보스: 용암 난폭한, 레벨 21-25에서 등장합니다.
-새로운 전사: 헤라클레스 원숭이 - 케인. 우주 여행을 꿈꾸는, 로켓 망치를 휘두르는 헤라클레스 원숭이!
-새로운 강도 원숭이: 모든 레벨에서 무작위로 등장하며, 처치하면 추가 보상을 받을 수 있습니다.
-전투 보고서: 하이라이트 리얼 추가, 병력 장비 스킬과 유닛 스킬의 배치를 기록합니다.
-연구: 두 번째 연구 대기열 추가, 패키지 구매를 통해 잠금 해제할 수 있습니다"&amp;".
-영장류 대치: 게임 콘텐츠 최적화를 통한 영장류 대치 시즌, 일정 및 보상 조정.
-장비 진화 기능 추가: 전설적인 장비를 신화로 진화시켜 진화 속성을 얻고 강화 가능 레벨을 확장할 수 있습니다. 새로운 신화 장비 추가.
-메카 이름 변경 기능 추가: 아이템이나 CD를 사용하여 메카의 고유한 식별을 위해 이름을 변경할 수 있습니다.
-새로운 메카: 치명적인 스트라이크-전갈, 공격력이 강력할 뿐만 아니라 독특한 전투 메커니즘으로 적의 이동을 제한할 "&amp;"수 있습니다.
-메카 치유 대기열 추가: 플레이어는 여러 메카 치유 대기열 패키지를 구매하여 동시에 여러 메카를 치료할 수 있습니다.
-새로운 이중 석상: 마스터 용접공 - 알드리치, 벼락같은 불꽃 - 토르.
-제왕 스킬: 방어 보호막 스킬 추가, 제왕이 다른 플레이어를 위해 방어 보호막을 활성화할 수 있게 하여 유저 도시를 보호합니다!
그리고 크로스 서버 이벤트에서, 한 서버의 제왕은 다른 서버의 플레이어들에게 제왕 스킬을 사용할 수 있습니다.
-정예"&amp;" 스타디움 - 탑 매치 곧 출시됩니다! 모든 서버의 영웅들이 가장 강력한 전사를 가리기 위해 경쟁할 것입니다.
-별의 사투(메카 라이징)의 게임플레이 규칙을 최적화하고 수정했습니다.
-3D 건물, 다양한 각도에서 도시 경관을 볼 수 있는 회전 가능한 장면.
-초기 게임 콘텐츠 최적화, 지역 회복 시 성능 향상.")</f>
        <v>-변이 원숭이 토벌:새로운 보스: 용암 난폭한, 레벨 21-25에서 등장합니다.
-새로운 전사: 헤라클레스 원숭이 - 케인. 우주 여행을 꿈꾸는, 로켓 망치를 휘두르는 헤라클레스 원숭이!
-새로운 강도 원숭이: 모든 레벨에서 무작위로 등장하며, 처치하면 추가 보상을 받을 수 있습니다.
-전투 보고서: 하이라이트 리얼 추가, 병력 장비 스킬과 유닛 스킬의 배치를 기록합니다.
-연구: 두 번째 연구 대기열 추가, 패키지 구매를 통해 잠금 해제할 수 있습니다.
-영장류 대치: 게임 콘텐츠 최적화를 통한 영장류 대치 시즌, 일정 및 보상 조정.
-장비 진화 기능 추가: 전설적인 장비를 신화로 진화시켜 진화 속성을 얻고 강화 가능 레벨을 확장할 수 있습니다. 새로운 신화 장비 추가.
-메카 이름 변경 기능 추가: 아이템이나 CD를 사용하여 메카의 고유한 식별을 위해 이름을 변경할 수 있습니다.
-새로운 메카: 치명적인 스트라이크-전갈, 공격력이 강력할 뿐만 아니라 독특한 전투 메커니즘으로 적의 이동을 제한할 수 있습니다.
-메카 치유 대기열 추가: 플레이어는 여러 메카 치유 대기열 패키지를 구매하여 동시에 여러 메카를 치료할 수 있습니다.
-새로운 이중 석상: 마스터 용접공 - 알드리치, 벼락같은 불꽃 - 토르.
-제왕 스킬: 방어 보호막 스킬 추가, 제왕이 다른 플레이어를 위해 방어 보호막을 활성화할 수 있게 하여 유저 도시를 보호합니다!
그리고 크로스 서버 이벤트에서, 한 서버의 제왕은 다른 서버의 플레이어들에게 제왕 스킬을 사용할 수 있습니다.
-정예 스타디움 - 탑 매치 곧 출시됩니다! 모든 서버의 영웅들이 가장 강력한 전사를 가리기 위해 경쟁할 것입니다.
-별의 사투(메카 라이징)의 게임플레이 규칙을 최적화하고 수정했습니다.
-3D 건물, 다양한 각도에서 도시 경관을 볼 수 있는 회전 가능한 장면.
-초기 게임 콘텐츠 최적화, 지역 회복 시 성능 향상.</v>
      </c>
      <c r="S51" s="148"/>
      <c r="T51" s="148"/>
      <c r="U51" s="148"/>
      <c r="V51" s="148"/>
      <c r="W51" s="148"/>
      <c r="X51" s="148"/>
      <c r="Y51" s="148"/>
      <c r="Z51" s="148"/>
    </row>
    <row r="52">
      <c r="A52" s="167" t="str">
        <f>IFERROR(__xludf.DUMMYFUNCTION("""COMPUTED_VALUE"""),"0.61.0")</f>
        <v>0.61.0</v>
      </c>
      <c r="B52" s="148" t="str">
        <f>IFERROR(__xludf.DUMMYFUNCTION("""COMPUTED_VALUE"""),"-新增巅峰战场玩法：
全新的战场地图：全新的战场地图，每次银河战场中表现最出色的4个氏族，将在这里展开为期一天的巅峰角逐；
多元的战场玩法：军团押运、氏族矿车、战场火车、氏族建筑等玩法都将给战场带来不菲的增益；
激情的巅峰对决：最直接的战术较量，在巅峰战场中，无需修建帮派配送站即可争夺其他氏族据点、关卡和数据总部；
丰富的战场收益：指挥官参与感兴趣的玩法可以获得巅峰积分和巅峰币，根据氏族巅峰积分排名可以解锁不同的兑换商店，尽情的使用巅峰币兑换心仪的道具吧！
-新增斗士：军火大亨-古斯塔夫，老谋深算、亦正亦"&amp;"邪的军火商头目！
-收藏品远征:玩家可提升收藏品战力和调整展台收藏品属性，来进行远征关卡闯关，获得收藏品养成奖励！
-战装试炼场升级版：
地图玩法修改：卡片选择模式升级为地图线路选择模式，现在玩家可以看到所有关卡，并提前规划自己的行动线路；
新增大量新的关卡事件：包括新的敌人、急救、复苏、神秘事件等，这些新事件将为玩家的冒险之路增添更多的未知和惊喜；
新增的传奇和炼狱难度：为寻求挑战的玩家提供了新的舞台，可获得纳米材料奖励；
优化界面流程，简化了信息展示
-新增双天赋雕像：狂野赛车-卡尔；
-开启部分紫色"&amp;"斗士天赋突破，新增达西、科兹摩、罗德里格斯雕像；
-优化了斗士界面行军容量详情的展示；
-增加治愈率投放：在“最强猴王”和“异星争霸”活动中，增加更多的治愈率投放；
-优化了打击手兵种技能中嘲讽的释放提示；
-机甲技能界面分享:机甲技能界面新增分享功能，玩家可将机甲技能养成直接分享到频道！")</f>
        <v>-新增巅峰战场玩法：
全新的战场地图：全新的战场地图，每次银河战场中表现最出色的4个氏族，将在这里展开为期一天的巅峰角逐；
多元的战场玩法：军团押运、氏族矿车、战场火车、氏族建筑等玩法都将给战场带来不菲的增益；
激情的巅峰对决：最直接的战术较量，在巅峰战场中，无需修建帮派配送站即可争夺其他氏族据点、关卡和数据总部；
丰富的战场收益：指挥官参与感兴趣的玩法可以获得巅峰积分和巅峰币，根据氏族巅峰积分排名可以解锁不同的兑换商店，尽情的使用巅峰币兑换心仪的道具吧！
-新增斗士：军火大亨-古斯塔夫，老谋深算、亦正亦邪的军火商头目！
-收藏品远征:玩家可提升收藏品战力和调整展台收藏品属性，来进行远征关卡闯关，获得收藏品养成奖励！
-战装试炼场升级版：
地图玩法修改：卡片选择模式升级为地图线路选择模式，现在玩家可以看到所有关卡，并提前规划自己的行动线路；
新增大量新的关卡事件：包括新的敌人、急救、复苏、神秘事件等，这些新事件将为玩家的冒险之路增添更多的未知和惊喜；
新增的传奇和炼狱难度：为寻求挑战的玩家提供了新的舞台，可获得纳米材料奖励；
优化界面流程，简化了信息展示
-新增双天赋雕像：狂野赛车-卡尔；
-开启部分紫色斗士天赋突破，新增达西、科兹摩、罗德里格斯雕像；
-优化了斗士界面行军容量详情的展示；
-增加治愈率投放：在“最强猴王”和“异星争霸”活动中，增加更多的治愈率投放；
-优化了打击手兵种技能中嘲讽的释放提示；
-机甲技能界面分享:机甲技能界面新增分享功能，玩家可将机甲技能养成直接分享到频道！</v>
      </c>
      <c r="C52" s="172" t="str">
        <f>IFERROR(__xludf.DUMMYFUNCTION("""COMPUTED_VALUE"""),"- New feature, Apex Clash:
New battle map: The 4 top-performing Clans in each Astral Coliseum are chosen for this one-day competition in a brand new battle map.
Diverse gameplay: Multifacted elements like army convoys, Clan mining carts, battle trains, an"&amp;"d Clan buildings, provide great battle bonuses.
Exciting battle: Pure tactical competition where you don't need to build Distributors to capture enemy outposts, fortresses, and the Data HQ.
Amazing rewards: play different elements in this feature to earn "&amp;"apex points and coins, which can be used to redeem items from a shop based on your Clan's ranking.
- New Fighter: Gustave the Arms Baron. Cunning and resourceful, this arms baron is the ultimate anti-hero!
- New mech: Elephant the steel bastion. This mech"&amp;" is now available for use and is perfect for defending cities and outposts with its super-high defense ability. Its special ability activates a shield that protects the whole city.
- Relic Expedition: Power up relics and adjust booths to change the bonuse"&amp;"s you receive. Clear expedition levels to win items to build up your relics!
- Upgraded Equipment Test Site:
Map play modified: Instead of selecting buffs, players now choose their route through the map. You can see all incidents along the way and plan yo"&amp;"ur course in advance.
Tons of new incidents: New enemy, heal, revive, and mystery incidents that add surprise and excitement to these adventures.
New difficulties: Legendary and Purgatory. For players seeking a challenge, these levels offer Nanomaterials "&amp;"as rewards.
Interface flow improved; simplified info display.
- New double talent statue: Mad Racer, Cal.
- Talent leap now available for select Epic Fighters; new statues for Darcy, Cosmo, and Rodriguez.
- Optimized how march capacity details are shown o"&amp;"n the Fighter page.
- More heal rate drops: Added more healing bonuses in ""King of Apes"" and ""Galactic Supremacy.""
- Improved the cast reminder for Hitter unit skill's taunting effect.
- Mech skill page share: You can now share mech skill pages to cha"&amp;"ts and show off your mech build!")</f>
        <v>- New feature, Apex Clash:
New battle map: The 4 top-performing Clans in each Astral Coliseum are chosen for this one-day competition in a brand new battle map.
Diverse gameplay: Multifacted elements like army convoys, Clan mining carts, battle trains, and Clan buildings, provide great battle bonuses.
Exciting battle: Pure tactical competition where you don't need to build Distributors to capture enemy outposts, fortresses, and the Data HQ.
Amazing rewards: play different elements in this feature to earn apex points and coins, which can be used to redeem items from a shop based on your Clan's ranking.
- New Fighter: Gustave the Arms Baron. Cunning and resourceful, this arms baron is the ultimate anti-hero!
- New mech: Elephant the steel bastion. This mech is now available for use and is perfect for defending cities and outposts with its super-high defense ability. Its special ability activates a shield that protects the whole city.
- Relic Expedition: Power up relics and adjust booths to change the bonuses you receive. Clear expedition levels to win items to build up your relics!
- Upgraded Equipment Test Site:
Map play modified: Instead of selecting buffs, players now choose their route through the map. You can see all incidents along the way and plan your course in advance.
Tons of new incidents: New enemy, heal, revive, and mystery incidents that add surprise and excitement to these adventures.
New difficulties: Legendary and Purgatory. For players seeking a challenge, these levels offer Nanomaterials as rewards.
Interface flow improved; simplified info display.
- New double talent statue: Mad Racer, Cal.
- Talent leap now available for select Epic Fighters; new statues for Darcy, Cosmo, and Rodriguez.
- Optimized how march capacity details are shown on the Fighter page.
- More heal rate drops: Added more healing bonuses in "King of Apes" and "Galactic Supremacy."
- Improved the cast reminder for Hitter unit skill's taunting effect.
- Mech skill page share: You can now share mech skill pages to chats and show off your mech build!</v>
      </c>
      <c r="D52" s="148" t="str">
        <f>IFERROR(__xludf.DUMMYFUNCTION("""COMPUTED_VALUE"""),"- Nouvelle fonctionnalité, Apex Clash :
Nouvelle carte de bataille : Les 4 Clans les plus performants de chaque Colisée astral sont choisis pour cette compétition d'un jour sur une toute nouvelle carte de bataille.
Gameplay diversifié : Des éléments multi"&amp;"facettes comme les convois d'armée, les chariots de minage des Clans, les trains de bataille et les constructions des Clans, offrent d'excellents bonus de bataille.
Bataille excitante : Une compétition tactique pure où vous n'avez pas besoin de construire"&amp;" des Distributeurs pour capturer les avant-postes ennemis, les forteresses et le QG des Données.
Récompenses incroyables : jouez à différents éléments de cette fonctionnalité pour gagner des points d'apex et des pièces, qui peuvent être utilisés pour écha"&amp;"nger des objets dans une boutique en fonction du classement de votre Clan.
- Nouveau Combattant : Gustave le Baron d'armes. Rusé et ingénieux, ce baron d'armes est l'anti-héros ultime !
- Nouveau mécha : Elephant la bastion d'acier. Ce mécha est maintenan"&amp;"t disponible à l'utilisation et est parfait pour défendre les villes et les avant-postes avec sa capacité de défense super-élevée. Sa capacité spéciale active un bouclier qui protège toute la ville.
- Expédition de Reliques : Améliorez les reliques et aju"&amp;"stez les stands pour modifier les bonus que vous recevez. Terminez les niveaux d'expédition pour gagner des objets pour renforcer vos reliques !
- Site de Test d'Équipement Amélioré :
Modification du jeu de carte : Au lieu de sélectionner des boosts, les "&amp;"joueurs choisissent maintenant leur itinéraire à travers la carte. Vous pouvez voir tous les incidents en cours de route et planifier votre parcours à l'avance.
Des tonnes de nouveaux incidents : Nouvel ennemi, soigner, renaître et incidents mystérieux qu"&amp;"i ajoutent de la surprise et de l'excitation à ces aventures.
Nouvelles difficultés : Légendaire et Purgatoire. Pour les joueurs en quête de défi, ces niveaux offrent des Nanomatériaux en récompenses.
Flux d'interface amélioré ; affichage des infos simpli"&amp;"fié.
- Nouvelle statue à double talent : Pilote de l'extrême, Cal.
- IMPULSION DE TALENT maintenant disponible pour certains Combattants Épiques sélectionnés ; nouvelles statues pour Darcy, Cosmo et Rodriguez.
- Optimisation de l'affichage des détails de "&amp;"la capacité du Bataillon sur la page du Combattant.
- Plus de chutes de taux de soin : Ajout de plus de bonus de guérison dans ""Roi des singes"" et ""Suprématie galactique.""
- Amélioration du rappel de distribution pour l'effet de provocation de la comp"&amp;"étence d'unité Hitter.
- Partage de la page de compétence de mécha : Vous pouvez maintenant partager les pages de compétence de mécha dans les chats et montrer votre construction de mécha !")</f>
        <v>- Nouvelle fonctionnalité, Apex Clash :
Nouvelle carte de bataille : Les 4 Clans les plus performants de chaque Colisée astral sont choisis pour cette compétition d'un jour sur une toute nouvelle carte de bataille.
Gameplay diversifié : Des éléments multifacettes comme les convois d'armée, les chariots de minage des Clans, les trains de bataille et les constructions des Clans, offrent d'excellents bonus de bataille.
Bataille excitante : Une compétition tactique pure où vous n'avez pas besoin de construire des Distributeurs pour capturer les avant-postes ennemis, les forteresses et le QG des Données.
Récompenses incroyables : jouez à différents éléments de cette fonctionnalité pour gagner des points d'apex et des pièces, qui peuvent être utilisés pour échanger des objets dans une boutique en fonction du classement de votre Clan.
- Nouveau Combattant : Gustave le Baron d'armes. Rusé et ingénieux, ce baron d'armes est l'anti-héros ultime !
- Nouveau mécha : Elephant la bastion d'acier. Ce mécha est maintenant disponible à l'utilisation et est parfait pour défendre les villes et les avant-postes avec sa capacité de défense super-élevée. Sa capacité spéciale active un bouclier qui protège toute la ville.
- Expédition de Reliques : Améliorez les reliques et ajustez les stands pour modifier les bonus que vous recevez. Terminez les niveaux d'expédition pour gagner des objets pour renforcer vos reliques !
- Site de Test d'Équipement Amélioré :
Modification du jeu de carte : Au lieu de sélectionner des boosts, les joueurs choisissent maintenant leur itinéraire à travers la carte. Vous pouvez voir tous les incidents en cours de route et planifier votre parcours à l'avance.
Des tonnes de nouveaux incidents : Nouvel ennemi, soigner, renaître et incidents mystérieux qui ajoutent de la surprise et de l'excitation à ces aventures.
Nouvelles difficultés : Légendaire et Purgatoire. Pour les joueurs en quête de défi, ces niveaux offrent des Nanomatériaux en récompenses.
Flux d'interface amélioré ; affichage des infos simplifié.
- Nouvelle statue à double talent : Pilote de l'extrême, Cal.
- IMPULSION DE TALENT maintenant disponible pour certains Combattants Épiques sélectionnés ; nouvelles statues pour Darcy, Cosmo et Rodriguez.
- Optimisation de l'affichage des détails de la capacité du Bataillon sur la page du Combattant.
- Plus de chutes de taux de soin : Ajout de plus de bonus de guérison dans "Roi des singes" et "Suprématie galactique."
- Amélioration du rappel de distribution pour l'effet de provocation de la compétence d'unité Hitter.
- Partage de la page de compétence de mécha : Vous pouvez maintenant partager les pages de compétence de mécha dans les chats et montrer votre construction de mécha !</v>
      </c>
      <c r="E52" s="148" t="str">
        <f>IFERROR(__xludf.DUMMYFUNCTION("""COMPUTED_VALUE"""),"- Neue Funktion, Apex-Konflikt:
Neue Kampfkarte: Die 4 leistungsstärksten Horden in jedem Astral-Kolosseum werden für diesen eintägigen Wettbewerb auf einer brandneuen Kampfkarte ausgewählt.
Vielfältiger Ablauf: Multifacettierte Elemente wie Armeekonvois,"&amp;" Horde-Bergwerkwagen, Kampfzüge und Horde-Gebäude bieten großartige Kampfboni.
Aufregender Kampf: Reiner taktischer Wettbewerb, bei dem du keine Verteiler bauen musst, um feindliche Vorposten, Festungen und das Daten-HQ zu erobern.
Erstaunliche Belohnunge"&amp;"n: Spiele verschiedene Elemente in dieser Funktion, um Apex-Punkte und Münzen zu verdienen, die verwendet werden können, um Items aus einem Laden einzulösen, basierend auf dem Rang deiner Horde.
- Neuer Kämpfer: Gustave der Waffenbaron. Gerissen und einfa"&amp;"llsreich, dieser Waffenbaron ist der ultimative Anti-Held!
- Neuer Mech: Elefant, die stählerne Bastion. Dieser Mech ist jetzt verfügbar und perfekt, um Städte und Vorposten mit seiner superhohen Verteidigungsfähigkeit zu verteidigen. Seine Spezialfähigke"&amp;"it aktiviert einen Schild, der die ganze Stadt schützt.
- Relic-Expedition: Relikte stärken und Stände anpassen, um die Boni zu ändern, die du erhältst. Kläre Expeditionsebenen, um Items zu gewinnen, um deine Relikte aufzubauen!
- Verbesserte Ausrüstungs-"&amp;"Teststätte:
Spielablauf modifiziert: Anstatt Buffs auszuwählen, wählen Spieler jetzt ihren Weg durch die Karte. Du kannst alle Vorfälle auf dem Weg sehen und deinen Kurs im Voraus planen.
Tonnenweise neue Vorfälle: Neue Feinde, Heilen, Wiederbeleben und g"&amp;"eheimnisvolle Vorfälle, die Überraschung und Spannung in diese Abenteuer bringen.
Neue Schwierigkeiten: Legendär und Fegefeuer. Für Spieler, die eine Herausforderung suchen, bieten diese Ebenen Nanomaterialien als Belohnungen.
Interface-Fluss verbessert; "&amp;"vereinfachte Info-Anzeige.
- Neue Doppel-Talent-Statue: Verrückter Rennfahrer, Cal.
- TALENTSPRUNG jetzt verfügbar für ausgewählte epische Kämpfer; neue Statuen für Darcy, Cosmo und Rodriguez.
- Optimiert, wie Details zur Marsch-Kapazität auf der Kämpfers"&amp;"eite angezeigt werden.
- Mehr Heilraten-Drops: Zusätzliche Heilungsboni in ""König der Affen"" und ""Vorherrschaft in der Galaxis"" hinzugefügt.
- Verbesserte Besetzungserinnerung für die provozierende Wirkung der Hitter-Einheiten-Fähigkeit.
- Mech-Fähigk"&amp;"eiten-Seite teilen: Du kannst jetzt Mech-Fähigkeiten-Seiten in Chats teilen und dein Mech-Build präsentieren!")</f>
        <v>- Neue Funktion, Apex-Konflikt:
Neue Kampfkarte: Die 4 leistungsstärksten Horden in jedem Astral-Kolosseum werden für diesen eintägigen Wettbewerb auf einer brandneuen Kampfkarte ausgewählt.
Vielfältiger Ablauf: Multifacettierte Elemente wie Armeekonvois, Horde-Bergwerkwagen, Kampfzüge und Horde-Gebäude bieten großartige Kampfboni.
Aufregender Kampf: Reiner taktischer Wettbewerb, bei dem du keine Verteiler bauen musst, um feindliche Vorposten, Festungen und das Daten-HQ zu erobern.
Erstaunliche Belohnungen: Spiele verschiedene Elemente in dieser Funktion, um Apex-Punkte und Münzen zu verdienen, die verwendet werden können, um Items aus einem Laden einzulösen, basierend auf dem Rang deiner Horde.
- Neuer Kämpfer: Gustave der Waffenbaron. Gerissen und einfallsreich, dieser Waffenbaron ist der ultimative Anti-Held!
- Neuer Mech: Elefant, die stählerne Bastion. Dieser Mech ist jetzt verfügbar und perfekt, um Städte und Vorposten mit seiner superhohen Verteidigungsfähigkeit zu verteidigen. Seine Spezialfähigkeit aktiviert einen Schild, der die ganze Stadt schützt.
- Relic-Expedition: Relikte stärken und Stände anpassen, um die Boni zu ändern, die du erhältst. Kläre Expeditionsebenen, um Items zu gewinnen, um deine Relikte aufzubauen!
- Verbesserte Ausrüstungs-Teststätte:
Spielablauf modifiziert: Anstatt Buffs auszuwählen, wählen Spieler jetzt ihren Weg durch die Karte. Du kannst alle Vorfälle auf dem Weg sehen und deinen Kurs im Voraus planen.
Tonnenweise neue Vorfälle: Neue Feinde, Heilen, Wiederbeleben und geheimnisvolle Vorfälle, die Überraschung und Spannung in diese Abenteuer bringen.
Neue Schwierigkeiten: Legendär und Fegefeuer. Für Spieler, die eine Herausforderung suchen, bieten diese Ebenen Nanomaterialien als Belohnungen.
Interface-Fluss verbessert; vereinfachte Info-Anzeige.
- Neue Doppel-Talent-Statue: Verrückter Rennfahrer, Cal.
- TALENTSPRUNG jetzt verfügbar für ausgewählte epische Kämpfer; neue Statuen für Darcy, Cosmo und Rodriguez.
- Optimiert, wie Details zur Marsch-Kapazität auf der Kämpferseite angezeigt werden.
- Mehr Heilraten-Drops: Zusätzliche Heilungsboni in "König der Affen" und "Vorherrschaft in der Galaxis" hinzugefügt.
- Verbesserte Besetzungserinnerung für die provozierende Wirkung der Hitter-Einheiten-Fähigkeit.
- Mech-Fähigkeiten-Seite teilen: Du kannst jetzt Mech-Fähigkeiten-Seiten in Chats teilen und dein Mech-Build präsentieren!</v>
      </c>
      <c r="F52" s="148" t="str">
        <f>IFERROR(__xludf.DUMMYFUNCTION("""COMPUTED_VALUE"""),"- Nova funcionalidade, Apex Clash:
Novo mapa de batalha: Os 4 clãs de melhor desempenho em cada Coliseu Astral são escolhidos para esta competição de um dia em um mapa de batalha completamente novo.
Jogabilidade diversa: Elementos multifacetados como comb"&amp;"oios do exército, carrinhos de mineração do clã, trens de batalha e construções do clã, proporcionam ótimos bônus de batalha.
Batalha empolgante: Competição tática pura onde você não precisa construir Distribuidores para capturar postos avançados inimigos"&amp;", fortalezas e o Quartel-General de Dados.
Recompensas incríveis: jogue diferentes elementos nesta funcionalidade para ganhar pontos de ápice e moedas, que podem ser usados para resgatar itens de uma loja com base na classificação do seu clã.
- Novo comba"&amp;"tente: Gustave, o Barão das Armas. Astuto e engenhoso, este barão das armas é o anti-herói definitivo!
- Novo mech: Elefante, o bastião de aço. Este mech está agora disponível para uso e é perfeito para defender cidades e postos avançados com sua super al"&amp;"ta capacidade de defesa. Sua habilidade especial ativa um escudo que protege toda a cidade.
- Expedição de Relíquias: Aumente o poder das relíquias e ajuste os estandes para alterar os bônus que você recebe. Limpe os níveis da expedição para ganhar itens "&amp;"para construir suas relíquias!
- Local de Teste de Equipamento Atualizado:
Jogabilidade do mapa modificada: Em vez de selecionar auxílios, os jogadores agora escolhem sua rota pelo mapa. Você pode ver todos os incidentes pelo caminho e planejar seu percur"&amp;"so com antecedência.
Toneladas de novos incidentes: Novos inimigos, curar, reviver e incidentes misteriosos que adicionam surpresa e emoção a essas aventuras.
Novas dificuldades: Lendário e Purgatório. Para jogadores em busca de um desafio, esses níveis o"&amp;"ferecem Nanomateriais como recompensas.
Fluxo da interface melhorado; exibição de informações simplificada.
- Nova estátua de talento duplo: Piloto Maluco, Cal.
- Avanço de talento agora disponível para selecionar Combatentes épicos; novas estátuas para D"&amp;"arcy, Cosmo e Rodriguez.
- Otimizada a forma como os detalhes da capacidade de marcha são mostrados na página do Combatente.
- Mais quedas na taxa de cura: Adicionados mais bônus de cura em ""Rei dos Macacos"" e ""Supremacia Galáctica"".
- Melhoria do lem"&amp;"brete de elenco para o efeito de provocação da habilidade de unidade Hitter.
- Compartilhamento da página de habilidade do mech: Agora você pode compartilhar páginas de habilidade do mech em bate-papos e mostrar sua construção de mech!")</f>
        <v>- Nova funcionalidade, Apex Clash:
Novo mapa de batalha: Os 4 clãs de melhor desempenho em cada Coliseu Astral são escolhidos para esta competição de um dia em um mapa de batalha completamente novo.
Jogabilidade diversa: Elementos multifacetados como comboios do exército, carrinhos de mineração do clã, trens de batalha e construções do clã, proporcionam ótimos bônus de batalha.
Batalha empolgante: Competição tática pura onde você não precisa construir Distribuidores para capturar postos avançados inimigos, fortalezas e o Quartel-General de Dados.
Recompensas incríveis: jogue diferentes elementos nesta funcionalidade para ganhar pontos de ápice e moedas, que podem ser usados para resgatar itens de uma loja com base na classificação do seu clã.
- Novo combatente: Gustave, o Barão das Armas. Astuto e engenhoso, este barão das armas é o anti-herói definitivo!
- Novo mech: Elefante, o bastião de aço. Este mech está agora disponível para uso e é perfeito para defender cidades e postos avançados com sua super alta capacidade de defesa. Sua habilidade especial ativa um escudo que protege toda a cidade.
- Expedição de Relíquias: Aumente o poder das relíquias e ajuste os estandes para alterar os bônus que você recebe. Limpe os níveis da expedição para ganhar itens para construir suas relíquias!
- Local de Teste de Equipamento Atualizado:
Jogabilidade do mapa modificada: Em vez de selecionar auxílios, os jogadores agora escolhem sua rota pelo mapa. Você pode ver todos os incidentes pelo caminho e planejar seu percurso com antecedência.
Toneladas de novos incidentes: Novos inimigos, curar, reviver e incidentes misteriosos que adicionam surpresa e emoção a essas aventuras.
Novas dificuldades: Lendário e Purgatório. Para jogadores em busca de um desafio, esses níveis oferecem Nanomateriais como recompensas.
Fluxo da interface melhorado; exibição de informações simplificada.
- Nova estátua de talento duplo: Piloto Maluco, Cal.
- Avanço de talento agora disponível para selecionar Combatentes épicos; novas estátuas para Darcy, Cosmo e Rodriguez.
- Otimizada a forma como os detalhes da capacidade de marcha são mostrados na página do Combatente.
- Mais quedas na taxa de cura: Adicionados mais bônus de cura em "Rei dos Macacos" e "Supremacia Galáctica".
- Melhoria do lembrete de elenco para o efeito de provocação da habilidade de unidade Hitter.
- Compartilhamento da página de habilidade do mech: Agora você pode compartilhar páginas de habilidade do mech em bate-papos e mostrar sua construção de mech!</v>
      </c>
      <c r="G52" s="148" t="str">
        <f>IFERROR(__xludf.DUMMYFUNCTION("""COMPUTED_VALUE"""),"-新增巔峰戰場玩法：
全新的戰場地圖：全新的戰場地圖，每次銀河戰場中表現最出色的4個氏族，將在這裡展開為期一天的巔峰角逐；
多元的戰場玩法：軍團押運、氏族礦車、戰場火車、氏族建造等玩法都將給戰場帶來不菲的增益；
激情的巔峰對決：最直接的戰術較量，在巔峰戰場中，無需建造幫派配給站即可爭奪其他氏族據點、關卡和數據總部；
豐富的戰場收益：指揮官參與感興趣的玩法可以獲得巔峰積分和巔峰幣，根據氏族巔峰積分排名可以解鎖不同的兌換商店，盡情的使用巔峰幣兌換心儀的道具吧！
-新增鬥士：軍火大亨-古斯塔夫，老謀深算、亦正亦"&amp;"邪的軍火商頭目！
-收藏品遠征:玩家可獲取收藏品戰力和編輯展台收藏品屬性，來進行遠征關卡闖關，取得收藏品養成獎勵！
-戰裝試煉場升級版：
地圖玩法編輯：卡片選擇模式升級為地圖線路選擇模式，現在玩家可以看到所有關卡，並提前規劃自己的行動線路；
新增大量新的關卡事件：包括新的敵人、急救、復甦、神秘事件等，這些新事件將為玩家的冒險之路增添更多的未知和驚喜；
新增的傳奇和煉獄難度：為尋求挑戰的玩家提供了新的舞台，獎勵納米材料獎勵；
優化界面流程，簡化了信息展示
-新增雙天賦雕像：狂野賽車-卡爾；
-開啟部分紫色鬥"&amp;"士天賦突破，新增達西、科茲摩、羅德里格斯雕像；
-優化了鬥士界面行軍容量詳情的展示；
-增加治癒率投放：在“最強猴王”和“異星爭霸”活動中，增加更多的治癒率投放；
-優化了打擊手兵種技能中嘲諷的釋放貼士；
-機甲技能界面分享:機甲技能界面新增分享功能，玩家可將機甲技能養成直接分享到頻道！")</f>
        <v>-新增巔峰戰場玩法：
全新的戰場地圖：全新的戰場地圖，每次銀河戰場中表現最出色的4個氏族，將在這裡展開為期一天的巔峰角逐；
多元的戰場玩法：軍團押運、氏族礦車、戰場火車、氏族建造等玩法都將給戰場帶來不菲的增益；
激情的巔峰對決：最直接的戰術較量，在巔峰戰場中，無需建造幫派配給站即可爭奪其他氏族據點、關卡和數據總部；
豐富的戰場收益：指揮官參與感興趣的玩法可以獲得巔峰積分和巔峰幣，根據氏族巔峰積分排名可以解鎖不同的兌換商店，盡情的使用巔峰幣兌換心儀的道具吧！
-新增鬥士：軍火大亨-古斯塔夫，老謀深算、亦正亦邪的軍火商頭目！
-收藏品遠征:玩家可獲取收藏品戰力和編輯展台收藏品屬性，來進行遠征關卡闖關，取得收藏品養成獎勵！
-戰裝試煉場升級版：
地圖玩法編輯：卡片選擇模式升級為地圖線路選擇模式，現在玩家可以看到所有關卡，並提前規劃自己的行動線路；
新增大量新的關卡事件：包括新的敵人、急救、復甦、神秘事件等，這些新事件將為玩家的冒險之路增添更多的未知和驚喜；
新增的傳奇和煉獄難度：為尋求挑戰的玩家提供了新的舞台，獎勵納米材料獎勵；
優化界面流程，簡化了信息展示
-新增雙天賦雕像：狂野賽車-卡爾；
-開啟部分紫色鬥士天賦突破，新增達西、科茲摩、羅德里格斯雕像；
-優化了鬥士界面行軍容量詳情的展示；
-增加治癒率投放：在“最強猴王”和“異星爭霸”活動中，增加更多的治癒率投放；
-優化了打擊手兵種技能中嘲諷的釋放貼士；
-機甲技能界面分享:機甲技能界面新增分享功能，玩家可將機甲技能養成直接分享到頻道！</v>
      </c>
      <c r="H52" s="148" t="str">
        <f>IFERROR(__xludf.DUMMYFUNCTION("""COMPUTED_VALUE"""),"- Fitur baru, Apex Clash:
Peta pertempuran baru: 4 Klan dengan performa terbaik di setiap Koloseum Astral dipilih untuk kompetisi satu hari ini di peta pertempuran yang baru.
Gameplay yang beragam: Elemen-elemen multifaset seperti konvoi pasukan, gerobak "&amp;"penambangan Klan, kereta pertempuran, dan bangunan Klan, memberikan bonus pertempuran yang besar.
Pertempuran yang seru: Kompetisi taktis murni di mana Anda tidak perlu membangun Distributor untuk menangkap pos luar, benteng, dan Markas Data musuh.
Hadiah"&amp;" yang menakjubkan: mainkan elemen-elemen berbeda dalam fitur ini untuk mendapatkan poin apex dan koin, yang dapat digunakan untuk menukarkan item dari toko berdasarkan peringkat Klan Anda.
- Pejuang Baru: Gustave si Baron Senjata. Licik dan penuh akal, ba"&amp;"ron senjata ini adalah anti-hero yang utama!
- Mekanik baru: Gajah, benteng baja. Mekanik ini sekarang tersedia untuk digunakan dan sempurna untuk mempertahankan kota dan pos luar dengan kemampuan pertahanan yang super tinggi. Kemampuan khususnya mengakti"&amp;"fkan perisai yang melindungi seluruh kota.
- Ekspedisi Relik: Tingkatkan kekuatan relik dan sesuaikan stand untuk mengubah bonus yang Anda terima. Selesaikan level ekspedisi untuk memenangkan item untuk membangun relik Anda!
- Situs Uji Peralatan yang Dit"&amp;"ingkatkan:
Permainan peta dimodifikasi: Alih-alih memilih keunggulan, pemain sekarang memilih rute mereka melalui peta. Anda dapat melihat semua insiden di sepanjang jalan dan merencanakan jalur Anda terlebih dahulu.
Banyak insiden baru: Musuh baru, pulih"&amp;"kan, bangkitkan, dan insiden misterius yang menambah kejutan dan keseruan dalam petualangan ini.
Kesulitan baru: Legendaris dan Purgatorium. Untuk pemain yang mencari tantangan, level ini menawarkan Material nano sebagai hadiah.
Alur antarmuka ditingkatka"&amp;"n; tampilan informasi disederhanakan.
- Patung bakat ganda baru: Pembalap Gila, Cal.
- Lompatan bakat sekarang tersedia untuk Pejuang Epik terpilih; patung baru untuk Darcy, Cosmo, dan Rodriguez.
- Dioptimalkan cara menampilkan rincian kapasitas barisan d"&amp;"i halaman Pejuang.
- Penurunan laju penyembuhan lebih banyak: Menambahkan bonus penyembuhan lebih banyak di ""Raja Kera"" dan ""Supremasi Galaksi.""
- Peningkatan pengingat pemain untuk efek mengejek dari keahlian pasukan Hitter.
- Berbagi halaman keahlia"&amp;"n mekanik: Anda sekarang dapat membagikan halaman keahlian mekanik ke obrolan dan memamerkan bangunan mekanik Anda!")</f>
        <v>- Fitur baru, Apex Clash:
Peta pertempuran baru: 4 Klan dengan performa terbaik di setiap Koloseum Astral dipilih untuk kompetisi satu hari ini di peta pertempuran yang baru.
Gameplay yang beragam: Elemen-elemen multifaset seperti konvoi pasukan, gerobak penambangan Klan, kereta pertempuran, dan bangunan Klan, memberikan bonus pertempuran yang besar.
Pertempuran yang seru: Kompetisi taktis murni di mana Anda tidak perlu membangun Distributor untuk menangkap pos luar, benteng, dan Markas Data musuh.
Hadiah yang menakjubkan: mainkan elemen-elemen berbeda dalam fitur ini untuk mendapatkan poin apex dan koin, yang dapat digunakan untuk menukarkan item dari toko berdasarkan peringkat Klan Anda.
- Pejuang Baru: Gustave si Baron Senjata. Licik dan penuh akal, baron senjata ini adalah anti-hero yang utama!
- Mekanik baru: Gajah, benteng baja. Mekanik ini sekarang tersedia untuk digunakan dan sempurna untuk mempertahankan kota dan pos luar dengan kemampuan pertahanan yang super tinggi. Kemampuan khususnya mengaktifkan perisai yang melindungi seluruh kota.
- Ekspedisi Relik: Tingkatkan kekuatan relik dan sesuaikan stand untuk mengubah bonus yang Anda terima. Selesaikan level ekspedisi untuk memenangkan item untuk membangun relik Anda!
- Situs Uji Peralatan yang Ditingkatkan:
Permainan peta dimodifikasi: Alih-alih memilih keunggulan, pemain sekarang memilih rute mereka melalui peta. Anda dapat melihat semua insiden di sepanjang jalan dan merencanakan jalur Anda terlebih dahulu.
Banyak insiden baru: Musuh baru, pulihkan, bangkitkan, dan insiden misterius yang menambah kejutan dan keseruan dalam petualangan ini.
Kesulitan baru: Legendaris dan Purgatorium. Untuk pemain yang mencari tantangan, level ini menawarkan Material nano sebagai hadiah.
Alur antarmuka ditingkatkan; tampilan informasi disederhanakan.
- Patung bakat ganda baru: Pembalap Gila, Cal.
- Lompatan bakat sekarang tersedia untuk Pejuang Epik terpilih; patung baru untuk Darcy, Cosmo, dan Rodriguez.
- Dioptimalkan cara menampilkan rincian kapasitas barisan di halaman Pejuang.
- Penurunan laju penyembuhan lebih banyak: Menambahkan bonus penyembuhan lebih banyak di "Raja Kera" dan "Supremasi Galaksi."
- Peningkatan pengingat pemain untuk efek mengejek dari keahlian pasukan Hitter.
- Berbagi halaman keahlian mekanik: Anda sekarang dapat membagikan halaman keahlian mekanik ke obrolan dan memamerkan bangunan mekanik Anda!</v>
      </c>
      <c r="I52" s="148" t="str">
        <f>IFERROR(__xludf.DUMMYFUNCTION("""COMPUTED_VALUE"""),"- ฟีเจอร์ใหม่, Apex Clash:
แผนที่การต่อสู้ใหม่: 4 เผ่าที่มีผลงานดีที่สุดในแต่ละโคลีเซียมดวงดาวจะถูกเลือกสำหรับการแข่งขันหนึ่งวันในแผนที่การต่อสู้ใหม่
การเล่นเกมที่หลากหลาย: องค์ประกอบหลายด้านเช่น รถคอนวอยกองทัพ, รถเหมืองของเผ่า, รถไฟการต่อสู้ และสิ่งก่อสร"&amp;"้างของเผ่า ให้โบนัสการต่อสู้ที่ยอดเยี่ยม
การต่อสู้ที่น่าตื่นเต้น: การแข่งขันทางยุทธวิธีที่บริสุทธิ์ ที่คุณไม่จำเป็นต้องสร้างหอกระจายแร่เพื่อยึดครองด่าน, ป้อมปราการ และศูนย์ข้อมูลของศัตรู
รางวัลที่น่าทึ่ง: เล่นองค์ประกอบต่างๆ ในฟีเจอร์นี้เพื่อรับคะแนนและเห"&amp;"รียญ apex ซึ่งสามารถใช้แลกไอเทมจากร้านลับตามอันดับของเผ่าของคุณ
- นักสู้ใหม่: กุสตาฟ เจ้าพ่ออาวุธ ผู้แสนไหวพริบและมีทรัพยากรมากมาย นี่คือตัวละครตัวร้ายสุดยอด!
- เมคใหม่: Elephant the steel bastion ตอนนี้เมคนี้พร้อมให้บริการแล้วและเหมาะสำหรับการป้องกันเมือ"&amp;"งและด่านด้วยความสามารถป้องกันที่สูงมาก ความสามารถพิเศษของมันเปิดใช้งานโล่ที่ปกป้องทั้งเมือง
- การสำรวจวัตถุโบราณ: เพิ่มพลังวัตถุโบราณและปรับบูธเพื่อเปลี่ยนโบนัสที่คุณจะได้รับ ผ่านระดับการสำรวจเพื่อชนะไอเทมในการสร้างวัตถุโบราณของคุณ!
- การทดสอบอุปกรณ์ที่ได"&amp;"้รับการอัปเกรด:
การเล่นแผนที่ได้รับการปรับเปลี่ยน: แทนที่จะเลือกบัฟ ผู้เล่นตอนนี้เลือกเส้นทางของตนผ่านแผนที่ คุณสามารถเห็นเหตุการณ์ทั้งหมดที่เกิดขึ้นระหว่างทางและวางแผนเส้นทางของคุณล่วงหน้า
เหตุการณ์ใหม่มากมาย: ศัตรูใหม่, รักษา, ฟื้นคืนชีพ และเหตุการณ์ลึก"&amp;"ลับที่เพิ่มความประหลาดใจและความตื่นเต้นให้กับการผจญภัยเหล่านี้
ระดับความยากใหม่: ตำนานและคุณทัณฑ์บน สำหรับผู้เล่นที่กำลังมองหาความท้าทาย ระดับเหล่านี้มอบวัสดุนาโนเป็นรางวัล
การไหลของอินเตอร์เฟซได้รับการปรับปรุง; การแสดงข้อมูลที่ง่ายขึ้น
- รูปปั้นความสามาร"&amp;"ถคู่ใหม่: แมดเรเซอร์, แคล
- การก้าวกระโดดความสามารถตอนนี้พร้อมใช้งานสำหรับนักสู้ระดับมหากาพย์ที่เลือก; รูปปั้นใหม่สำหรับดาร์ซี, คอสโม และโรดริเกซ
- การแสดงรายละเอียดขนาดการเดินทัพได้รับการปรับให้ดีขึ้นบนหน้านักสู้
- การหยดอัตราการรักษาเพิ่มขึ้น: เพิ่มโบนั"&amp;"สการรักษาใน ""ราชาวานร"" และ ""ความเป็นหนึ่งในกาแล็กซี่""
- ปรับปรุงการเตือนการแสดงผลของทักษะหน่วย Hitter ที่มีผลล่อใจ
- การแชร์หน้าทักษะเมค: ตอนนี้คุณสามารถแชร์หน้าทักษะเมคไปยังแชทและโชว์การสร้างเมคของคุณ!")</f>
        <v>- ฟีเจอร์ใหม่, Apex Clash:
แผนที่การต่อสู้ใหม่: 4 เผ่าที่มีผลงานดีที่สุดในแต่ละโคลีเซียมดวงดาวจะถูกเลือกสำหรับการแข่งขันหนึ่งวันในแผนที่การต่อสู้ใหม่
การเล่นเกมที่หลากหลาย: องค์ประกอบหลายด้านเช่น รถคอนวอยกองทัพ, รถเหมืองของเผ่า, รถไฟการต่อสู้ และสิ่งก่อสร้างของเผ่า ให้โบนัสการต่อสู้ที่ยอดเยี่ยม
การต่อสู้ที่น่าตื่นเต้น: การแข่งขันทางยุทธวิธีที่บริสุทธิ์ ที่คุณไม่จำเป็นต้องสร้างหอกระจายแร่เพื่อยึดครองด่าน, ป้อมปราการ และศูนย์ข้อมูลของศัตรู
รางวัลที่น่าทึ่ง: เล่นองค์ประกอบต่างๆ ในฟีเจอร์นี้เพื่อรับคะแนนและเหรียญ apex ซึ่งสามารถใช้แลกไอเทมจากร้านลับตามอันดับของเผ่าของคุณ
- นักสู้ใหม่: กุสตาฟ เจ้าพ่ออาวุธ ผู้แสนไหวพริบและมีทรัพยากรมากมาย นี่คือตัวละครตัวร้ายสุดยอด!
- เมคใหม่: Elephant the steel bastion ตอนนี้เมคนี้พร้อมให้บริการแล้วและเหมาะสำหรับการป้องกันเมืองและด่านด้วยความสามารถป้องกันที่สูงมาก ความสามารถพิเศษของมันเปิดใช้งานโล่ที่ปกป้องทั้งเมือง
- การสำรวจวัตถุโบราณ: เพิ่มพลังวัตถุโบราณและปรับบูธเพื่อเปลี่ยนโบนัสที่คุณจะได้รับ ผ่านระดับการสำรวจเพื่อชนะไอเทมในการสร้างวัตถุโบราณของคุณ!
- การทดสอบอุปกรณ์ที่ได้รับการอัปเกรด:
การเล่นแผนที่ได้รับการปรับเปลี่ยน: แทนที่จะเลือกบัฟ ผู้เล่นตอนนี้เลือกเส้นทางของตนผ่านแผนที่ คุณสามารถเห็นเหตุการณ์ทั้งหมดที่เกิดขึ้นระหว่างทางและวางแผนเส้นทางของคุณล่วงหน้า
เหตุการณ์ใหม่มากมาย: ศัตรูใหม่, รักษา, ฟื้นคืนชีพ และเหตุการณ์ลึกลับที่เพิ่มความประหลาดใจและความตื่นเต้นให้กับการผจญภัยเหล่านี้
ระดับความยากใหม่: ตำนานและคุณทัณฑ์บน สำหรับผู้เล่นที่กำลังมองหาความท้าทาย ระดับเหล่านี้มอบวัสดุนาโนเป็นรางวัล
การไหลของอินเตอร์เฟซได้รับการปรับปรุง; การแสดงข้อมูลที่ง่ายขึ้น
- รูปปั้นความสามารถคู่ใหม่: แมดเรเซอร์, แคล
- การก้าวกระโดดความสามารถตอนนี้พร้อมใช้งานสำหรับนักสู้ระดับมหากาพย์ที่เลือก; รูปปั้นใหม่สำหรับดาร์ซี, คอสโม และโรดริเกซ
- การแสดงรายละเอียดขนาดการเดินทัพได้รับการปรับให้ดีขึ้นบนหน้านักสู้
- การหยดอัตราการรักษาเพิ่มขึ้น: เพิ่มโบนัสการรักษาใน "ราชาวานร" และ "ความเป็นหนึ่งในกาแล็กซี่"
- ปรับปรุงการเตือนการแสดงผลของทักษะหน่วย Hitter ที่มีผลล่อใจ
- การแชร์หน้าทักษะเมค: ตอนนี้คุณสามารถแชร์หน้าทักษะเมคไปยังแชทและโชว์การสร้างเมคของคุณ!</v>
      </c>
      <c r="J52" s="148" t="str">
        <f>IFERROR(__xludf.DUMMYFUNCTION("""COMPUTED_VALUE"""),"- Nueva función, Choque Apex:
Nuevo mapa de batalla: Los 4 clanes con mejor desempeño en cada Coliseo Astral son elegidos para esta competencia de un día en un mapa de batalla completamente nuevo.
Jugabilidad diversa: Elementos multifacéticos como convoye"&amp;"s del ejército, carros de minería del clan, trenes de batalla y edificios del clan, proporcionan grandes bonos de batalla.
Batalla emocionante: Competencia táctica pura donde no necesitas construir Distribuidores para capturar puestos de avanzada enemigos"&amp;", fortalezas y el Cuartel General de Datos.
Recompensas increíbles: juega diferentes elementos en esta función para ganar puntos apex y monedas, que se pueden usar para canjear artículos de una tienda basada en la clasificación de tu Clan.
- Nuevo Luchado"&amp;"r: Gustave el Barón de Armas. ¡Astuto y hábil, este Barón de Armas es el anti-héroe definitivo!
- Nuevo mech: Elefante el bastión de acero. Este mech ya está disponible para su uso y es perfecto para defender ciudades y puestos de avanzada con su capacida"&amp;"d de defensa súper alta. Su habilidad especial activa un escudo que protege toda la ciudad.
- Expedición de Reliquias: Aumenta el poder de las reliquias y ajusta los estantes para cambiar los bonos que recibes. ¡Limpia los niveles de expedición para ganar"&amp;" artículos para construir tus reliquias!
- Sitio de Prueba de Equipo Mejorado:
Modificación del juego de mapa: En lugar de seleccionar mejoras, los jugadores ahora eligen su ruta a través del mapa. Puedes ver todos los incidentes en el camino y planificar"&amp;" tu curso con anticipación.
Toneladas de nuevos incidentes: Nuevo enemigo, curar, revivir e incidentes misteriosos que añaden sorpresa y emoción a estas aventuras.
Nuevas dificultades: Legendario y Purgatorio. Para los jugadores que buscan un desafío, est"&amp;"os niveles ofrecen Nanomateriales como recompensas.
Flujo de interfaz mejorado; visualización de información simplificada.
- Nueva estatua de doble talento: Corredor Loco, Cal.
- ASCENSO DE TALENTO ahora disponible para seleccionar Luchadores Épicos; nuev"&amp;"as estatuas para Darcy, Cosmo y Rodríguez.
- Optimizada la forma en que se muestran los detalles de la capacidad de marcha en la página del Luchador.
- Más caídas de la tasa de curación: Añadidos más bonos de curación en ""Rey de los Simios"" y ""Supremac"&amp;"ía Galáctica"".
- Mejorado el recordatorio de lanzamiento para el efecto de provocación de la habilidad de unidad Hitter.
- Compartir página de habilidad de mech: ¡Ahora puedes compartir páginas de habilidad de mech en chats y presumir de tu construcción "&amp;"de mech!")</f>
        <v>- Nueva función, Choque Apex:
Nuevo mapa de batalla: Los 4 clanes con mejor desempeño en cada Coliseo Astral son elegidos para esta competencia de un día en un mapa de batalla completamente nuevo.
Jugabilidad diversa: Elementos multifacéticos como convoyes del ejército, carros de minería del clan, trenes de batalla y edificios del clan, proporcionan grandes bonos de batalla.
Batalla emocionante: Competencia táctica pura donde no necesitas construir Distribuidores para capturar puestos de avanzada enemigos, fortalezas y el Cuartel General de Datos.
Recompensas increíbles: juega diferentes elementos en esta función para ganar puntos apex y monedas, que se pueden usar para canjear artículos de una tienda basada en la clasificación de tu Clan.
- Nuevo Luchador: Gustave el Barón de Armas. ¡Astuto y hábil, este Barón de Armas es el anti-héroe definitivo!
- Nuevo mech: Elefante el bastión de acero. Este mech ya está disponible para su uso y es perfecto para defender ciudades y puestos de avanzada con su capacidad de defensa súper alta. Su habilidad especial activa un escudo que protege toda la ciudad.
- Expedición de Reliquias: Aumenta el poder de las reliquias y ajusta los estantes para cambiar los bonos que recibes. ¡Limpia los niveles de expedición para ganar artículos para construir tus reliquias!
- Sitio de Prueba de Equipo Mejorado:
Modificación del juego de mapa: En lugar de seleccionar mejoras, los jugadores ahora eligen su ruta a través del mapa. Puedes ver todos los incidentes en el camino y planificar tu curso con anticipación.
Toneladas de nuevos incidentes: Nuevo enemigo, curar, revivir e incidentes misteriosos que añaden sorpresa y emoción a estas aventuras.
Nuevas dificultades: Legendario y Purgatorio. Para los jugadores que buscan un desafío, estos niveles ofrecen Nanomateriales como recompensas.
Flujo de interfaz mejorado; visualización de información simplificada.
- Nueva estatua de doble talento: Corredor Loco, Cal.
- ASCENSO DE TALENTO ahora disponible para seleccionar Luchadores Épicos; nuevas estatuas para Darcy, Cosmo y Rodríguez.
- Optimizada la forma en que se muestran los detalles de la capacidad de marcha en la página del Luchador.
- Más caídas de la tasa de curación: Añadidos más bonos de curación en "Rey de los Simios" y "Supremacía Galáctica".
- Mejorado el recordatorio de lanzamiento para el efecto de provocación de la habilidad de unidad Hitter.
- Compartir página de habilidad de mech: ¡Ahora puedes compartir páginas de habilidad de mech en chats y presumir de tu construcción de mech!</v>
      </c>
      <c r="K52" s="148" t="str">
        <f>IFERROR(__xludf.DUMMYFUNCTION("""COMPUTED_VALUE"""),"- Новая функция, Апекс-Схватка:
Новая карта битвы: 4 лучших клана каждого Астрального Колизея выбираются для участия в однодневном соревновании на совершенно новой карте битв.
Разнообразный геймплей: Многоаспектные элементы, такие как караваны армии, шахт"&amp;"ные вагонетки клана, боевые поезда и здания клана, обеспечивают отличные бонусы в битве.
Захватывающая битва: Чистое тактическое соревнование, где вам не нужно строить распределители для захвата вражеских аванпостов, крепостей и Центра данных.
Потрясающие"&amp;" награды: играйте в различные элементы этой функции, чтобы заработать апекс-очки и монеты, которые можно использовать для обмена на предметы в магазине в зависимости от рейтинга вашего клана.
- Новый герой: Гюстав, Барон Оружия. Хитрый и находчивый, этот "&amp;"барон оружия - идеальный антигерой!
- Новый мех: Слон, стальной бастион. Этот мех теперь доступен для использования и идеально подходит для защиты городов и аванпостов благодаря своей сверхвысокой оборонительной способности. Его специальная способность ак"&amp;"тивирует щит, который защищает весь город.
- Экспедиция за реликвиями: Усиливайте реликвии и настраивайте стенды, чтобы изменить получаемые вами бонусы. Проходите уровни экспедиции, чтобы выиграть предметы для улучшения ваших реликвий!
- Улучшенный полиго"&amp;"н для тестирования оборудования:
Измененная игра на карте: Вместо выбора усилений игроки теперь выбирают свой маршрут по карте. Вы можете видеть все происшествия на своем пути и планировать свой курс заранее.
Тонны новых происшествий: Новый враг, лечение,"&amp;" воскрешение и таинственные происшествия, которые добавляют сюрприз и волнение в эти приключения.
Новые сложности: Легендарный и Чистилище. Для игроков, ищущих вызов, эти уровни предлагают наноматериалы в качестве наград.
Улучшен поток интерфейса; упрощен"&amp;"ное отображение информации.
- Новая статуя с двойным талантом: Бешеный гонщик, Кэл.
- Скачок таланта теперь доступен для выбранных эпических героев; новые статуи для Дарси, Космо и Родригеса.
- Оптимизировано отображение деталей вместимости марша на стран"&amp;"ице героя.
- Больше бонусов лечения: Добавлено больше бонусов лечения в ""Царь обезьян"" и ""Галактическое превосходство"".
- Улучшено напоминание о применении провокационного эффекта навыка бойцовского отряда.
- Страница навыков меха теперь может быть по"&amp;"делена: Теперь вы можете делиться страницами навыков меха в чатах и хвастаться своей сборкой меха!")</f>
        <v>- Новая функция, Апекс-Схватка:
Новая карта битвы: 4 лучших клана каждого Астрального Колизея выбираются для участия в однодневном соревновании на совершенно новой карте битв.
Разнообразный геймплей: Многоаспектные элементы, такие как караваны армии, шахтные вагонетки клана, боевые поезда и здания клана, обеспечивают отличные бонусы в битве.
Захватывающая битва: Чистое тактическое соревнование, где вам не нужно строить распределители для захвата вражеских аванпостов, крепостей и Центра данных.
Потрясающие награды: играйте в различные элементы этой функции, чтобы заработать апекс-очки и монеты, которые можно использовать для обмена на предметы в магазине в зависимости от рейтинга вашего клана.
- Новый герой: Гюстав, Барон Оружия. Хитрый и находчивый, этот барон оружия - идеальный антигерой!
- Новый мех: Слон, стальной бастион. Этот мех теперь доступен для использования и идеально подходит для защиты городов и аванпостов благодаря своей сверхвысокой оборонительной способности. Его специальная способность активирует щит, который защищает весь город.
- Экспедиция за реликвиями: Усиливайте реликвии и настраивайте стенды, чтобы изменить получаемые вами бонусы. Проходите уровни экспедиции, чтобы выиграть предметы для улучшения ваших реликвий!
- Улучшенный полигон для тестирования оборудования:
Измененная игра на карте: Вместо выбора усилений игроки теперь выбирают свой маршрут по карте. Вы можете видеть все происшествия на своем пути и планировать свой курс заранее.
Тонны новых происшествий: Новый враг, лечение, воскрешение и таинственные происшествия, которые добавляют сюрприз и волнение в эти приключения.
Новые сложности: Легендарный и Чистилище. Для игроков, ищущих вызов, эти уровни предлагают наноматериалы в качестве наград.
Улучшен поток интерфейса; упрощенное отображение информации.
- Новая статуя с двойным талантом: Бешеный гонщик, Кэл.
- Скачок таланта теперь доступен для выбранных эпических героев; новые статуи для Дарси, Космо и Родригеса.
- Оптимизировано отображение деталей вместимости марша на странице героя.
- Больше бонусов лечения: Добавлено больше бонусов лечения в "Царь обезьян" и "Галактическое превосходство".
- Улучшено напоминание о применении провокационного эффекта навыка бойцовского отряда.
- Страница навыков меха теперь может быть поделена: Теперь вы можете делиться страницами навыков меха в чатах и хвастаться своей сборкой меха!</v>
      </c>
      <c r="L52" s="148" t="str">
        <f>IFERROR(__xludf.DUMMYFUNCTION("""COMPUTED_VALUE"""),"- Yeni özellik, Apex Çatışması:
Yeni savaş haritası: Her Yıldız Kolezyumu'ndaki en iyi performans gösteren 4 Klan, tamamen yeni bir savaş haritasında bir günlük müsabakası için seçiliyor.
Çeşitli oynanış: Ordu konvoyları, Klan maden arabaları, savaş trenl"&amp;"eri ve Klan binaları gibi çok yönlü unsurlar, harika savaş bonusları sağlıyor.
Heyecanlı savaş: Düşman karakollarını, kalelerini ve Veri HQ'sunu ele geçirmek için Distribütörler inşa etmenize gerek olmayan saf taktiksel rekabet.
Muhteşem ödüller: Bu özell"&amp;"ikte farklı unsurları oynayarak apex puanları ve jetonlar kazanın, bunlar Klanınızın sıralamasına göre mağazadan eşya almak için kullanılabilir.
- Yeni Savaşçı: Silah Baronu Gustave. Kurnaz ve becerikli, bu silah baronu nihai anti-kahraman!
- Yeni meka: Ç"&amp;"elik kale Fil. Bu meka artık kullanım için mevcut ve süper yüksek savunma yeteneği ile şehirleri ve karakolları savunmak için mükemmel. Özel yeteneği, tüm şehri koruyan bir kalkanı etkinleştiriyor.
- Kalıntı Gezisi: Kalıntıları güçlendirin ve aldığınız bo"&amp;"nusları değiştirmek için vitrinleri ayarlayın. Kalıntılarınızı geliştirmek için eşya kazanmak için gezinin seviyelerini temizleyin!
- Geliştirilmiş Ekipman Test Alanı:
Harita oynanışı değiştirildi: Oyuncular artık güçlendiricileri seçmek yerine haritada k"&amp;"endi rotalarını seçiyorlar. Yoldaki tüm olayları görebilir ve rotanızı önceden planlayabilirsiniz.
Tonlarca yeni olay: Yeni düşman, iyileştirme, dirilme ve sürpriz ve heyecan katan gizemli olaylar.
Yeni zorluklar: Efsanevi ve Araf. Bir meydan okuma arayan"&amp;" oyuncular için, bu seviyeler ödül olarak Nanomateryal sunuyor.
Arayüz akışı iyileştirildi; bilgi sergileme basitleştirildi.
- Yeni çift yetenek heykeli: Çılgın Yarışçı, Cal.
- Seçili Epik Savaşçılar için artık YETENEK SIÇRAMASI mevcut; Darcy, Cosmo ve Ro"&amp;"driguez için yeni heykeller.
- Savaşçı sayfasında sefer kapasitesi detaylarının nasıl gösterildiği optimize edildi.
- Daha fazla iyileşme oranı düşüşleri: ""Maymunlar Kralı"" ve ""Galaktik Üstünlük""te daha fazla iyileşme bonusu eklendi.
- Hitter birim be"&amp;"cerisinin alay etme etkisinin hatırlatıcısı iyileştirildi.
- Meka beceri sayfası paylaşımı: Artık meka beceri sayfalarını sohbetlere paylaşabilir ve meka yapınızı gösterebilirsiniz!")</f>
        <v>- Yeni özellik, Apex Çatışması:
Yeni savaş haritası: Her Yıldız Kolezyumu'ndaki en iyi performans gösteren 4 Klan, tamamen yeni bir savaş haritasında bir günlük müsabakası için seçiliyor.
Çeşitli oynanış: Ordu konvoyları, Klan maden arabaları, savaş trenleri ve Klan binaları gibi çok yönlü unsurlar, harika savaş bonusları sağlıyor.
Heyecanlı savaş: Düşman karakollarını, kalelerini ve Veri HQ'sunu ele geçirmek için Distribütörler inşa etmenize gerek olmayan saf taktiksel rekabet.
Muhteşem ödüller: Bu özellikte farklı unsurları oynayarak apex puanları ve jetonlar kazanın, bunlar Klanınızın sıralamasına göre mağazadan eşya almak için kullanılabilir.
- Yeni Savaşçı: Silah Baronu Gustave. Kurnaz ve becerikli, bu silah baronu nihai anti-kahraman!
- Yeni meka: Çelik kale Fil. Bu meka artık kullanım için mevcut ve süper yüksek savunma yeteneği ile şehirleri ve karakolları savunmak için mükemmel. Özel yeteneği, tüm şehri koruyan bir kalkanı etkinleştiriyor.
- Kalıntı Gezisi: Kalıntıları güçlendirin ve aldığınız bonusları değiştirmek için vitrinleri ayarlayın. Kalıntılarınızı geliştirmek için eşya kazanmak için gezinin seviyelerini temizleyin!
- Geliştirilmiş Ekipman Test Alanı:
Harita oynanışı değiştirildi: Oyuncular artık güçlendiricileri seçmek yerine haritada kendi rotalarını seçiyorlar. Yoldaki tüm olayları görebilir ve rotanızı önceden planlayabilirsiniz.
Tonlarca yeni olay: Yeni düşman, iyileştirme, dirilme ve sürpriz ve heyecan katan gizemli olaylar.
Yeni zorluklar: Efsanevi ve Araf. Bir meydan okuma arayan oyuncular için, bu seviyeler ödül olarak Nanomateryal sunuyor.
Arayüz akışı iyileştirildi; bilgi sergileme basitleştirildi.
- Yeni çift yetenek heykeli: Çılgın Yarışçı, Cal.
- Seçili Epik Savaşçılar için artık YETENEK SIÇRAMASI mevcut; Darcy, Cosmo ve Rodriguez için yeni heykeller.
- Savaşçı sayfasında sefer kapasitesi detaylarının nasıl gösterildiği optimize edildi.
- Daha fazla iyileşme oranı düşüşleri: "Maymunlar Kralı" ve "Galaktik Üstünlük"te daha fazla iyileşme bonusu eklendi.
- Hitter birim becerisinin alay etme etkisinin hatırlatıcısı iyileştirildi.
- Meka beceri sayfası paylaşımı: Artık meka beceri sayfalarını sohbetlere paylaşabilir ve meka yapınızı gösterebilirsiniz!</v>
      </c>
      <c r="M52" s="148" t="str">
        <f>IFERROR(__xludf.DUMMYFUNCTION("""COMPUTED_VALUE"""),"- Tính năng mới, Đỉnh Cao Tranh Đấu:
Bản đồ chiến đấu mới: 4 Bộ lạc có thành tích cao nhất ở mỗi Đại Đấu Trường Thiên Thể được chọn tham gia cuộc thi một ngày trên bản đồ chiến đấu hoàn toàn mới.
Lối chơi đa dạng: Các yếu tố đa diện như Xe Chuyên Chở Quân"&amp;" Đội, xe đẩy khai thác của Bộ lạc, tàu chiến, và công trình của Bộ lạc, cung cấp những thưởng chiến đấu tuyệt vời.
Trận chiến kịch tính: Cuộc thi đấu chiến thuật thuần túy nơi bạn không cần xây dựng Trạm Phân Phối để chiếm đóng cứ điểm, pháo đài, và Trung"&amp;" Tâm Dữ Liệu của kẻ địch.
Phần thưởng hấp dẫn: chơi các yếu tố khác nhau trong tính năng này để kiếm điểm đỉnh cao và tiền xu, có thể dùng để đổi lấy vật phẩm từ cửa hàng dựa trên xếp hạng của Bộ lạc bạn.
- Chiến Binh Mới: Gustave, Trùm Vũ Khí. Xảo quyệt "&amp;"và tài trí, Trùm Vũ Khí này chính là kẻ phản anh hùng tối thượng!
- Cơ khí mới: Voi, pháo đài thép. Cơ khí này hiện đã có thể sử dụng và hoàn hảo để phòng thủ thành phố và cứ điểm với khả năng phòng thủ cực cao. Kỹ năng đặc biệt kích hoạt một lá chắn bảo "&amp;"vệ toàn bộ thành phố.
- Viễn Chinh Di Tích: Tăng chiến lực di tích và điều chỉnh gian hàng để thay đổi phần thưởng bạn nhận được. Hoàn thành các cấp độ viễn chinh để giành vật phẩm xây dựng di tích của bạn!
- Cải tiến Địa Điểm Thử Nghiệm Trang Bị:
Chơi bả"&amp;"n đồ được chỉnh sửa: Thay vì chọn hiệu ứng có lợi, người chơi giờ đây chọn lộ trình của mình qua bản đồ. Bạn có thể thấy tất cả sự cố dọc theo đường đi và lên kế hoạch trước.
Hàng tấn sự cố mới: Kẻ địch mới, chữa lành, hồi sinh, và sự cố bí ẩn thêm sự ngạ"&amp;"c nhiên và hứng thú cho những cuộc phiêu lưu này.
Độ khó mới: Huyền Thoại và Luyện Ngục. Dành cho người chơi tìm kiếm thách thức, những cấp độ này cung cấp Nguyên liệu nano làm phần thưởng.
Giao diện chảy mượt hơn; hiển thị thông tin đơn giản hóa.
- Tượng"&amp;" tài năng kép mới: Cuồng Đua, Cal.
- KỸ NĂNG VƯỢT giờ đây có sẵn cho một số Chiến Binh Sử Thi; tượng mới cho Darcy, Cosmo, và Rodriguez.
- Tối ưu hóa cách hiển thị chi tiết sức chứa hành quân trên trang Chiến Binh.
- Tăng tỷ lệ rơi vật phẩm chữa lành: Thê"&amp;"m nhiều thưởng chữa lành trong ""HẦU VƯƠNG"" và ""Bá Chủ Ngân Hà.""
- Cải thiện nhắc nhở kỹ năng của đơn vị Hitter về hiệu ứng chế giễu.
- Chia sẻ trang kỹ năng cơ khí: Bạn giờ đây có thể chia sẻ trang kỹ năng cơ khí vào chat và khoe cấu hình cơ khí của m"&amp;"ình!")</f>
        <v>- Tính năng mới, Đỉnh Cao Tranh Đấu:
Bản đồ chiến đấu mới: 4 Bộ lạc có thành tích cao nhất ở mỗi Đại Đấu Trường Thiên Thể được chọn tham gia cuộc thi một ngày trên bản đồ chiến đấu hoàn toàn mới.
Lối chơi đa dạng: Các yếu tố đa diện như Xe Chuyên Chở Quân Đội, xe đẩy khai thác của Bộ lạc, tàu chiến, và công trình của Bộ lạc, cung cấp những thưởng chiến đấu tuyệt vời.
Trận chiến kịch tính: Cuộc thi đấu chiến thuật thuần túy nơi bạn không cần xây dựng Trạm Phân Phối để chiếm đóng cứ điểm, pháo đài, và Trung Tâm Dữ Liệu của kẻ địch.
Phần thưởng hấp dẫn: chơi các yếu tố khác nhau trong tính năng này để kiếm điểm đỉnh cao và tiền xu, có thể dùng để đổi lấy vật phẩm từ cửa hàng dựa trên xếp hạng của Bộ lạc bạn.
- Chiến Binh Mới: Gustave, Trùm Vũ Khí. Xảo quyệt và tài trí, Trùm Vũ Khí này chính là kẻ phản anh hùng tối thượng!
- Cơ khí mới: Voi, pháo đài thép. Cơ khí này hiện đã có thể sử dụng và hoàn hảo để phòng thủ thành phố và cứ điểm với khả năng phòng thủ cực cao. Kỹ năng đặc biệt kích hoạt một lá chắn bảo vệ toàn bộ thành phố.
- Viễn Chinh Di Tích: Tăng chiến lực di tích và điều chỉnh gian hàng để thay đổi phần thưởng bạn nhận được. Hoàn thành các cấp độ viễn chinh để giành vật phẩm xây dựng di tích của bạn!
- Cải tiến Địa Điểm Thử Nghiệm Trang Bị:
Chơi bản đồ được chỉnh sửa: Thay vì chọn hiệu ứng có lợi, người chơi giờ đây chọn lộ trình của mình qua bản đồ. Bạn có thể thấy tất cả sự cố dọc theo đường đi và lên kế hoạch trước.
Hàng tấn sự cố mới: Kẻ địch mới, chữa lành, hồi sinh, và sự cố bí ẩn thêm sự ngạc nhiên và hứng thú cho những cuộc phiêu lưu này.
Độ khó mới: Huyền Thoại và Luyện Ngục. Dành cho người chơi tìm kiếm thách thức, những cấp độ này cung cấp Nguyên liệu nano làm phần thưởng.
Giao diện chảy mượt hơn; hiển thị thông tin đơn giản hóa.
- Tượng tài năng kép mới: Cuồng Đua, Cal.
- KỸ NĂNG VƯỢT giờ đây có sẵn cho một số Chiến Binh Sử Thi; tượng mới cho Darcy, Cosmo, và Rodriguez.
- Tối ưu hóa cách hiển thị chi tiết sức chứa hành quân trên trang Chiến Binh.
- Tăng tỷ lệ rơi vật phẩm chữa lành: Thêm nhiều thưởng chữa lành trong "HẦU VƯƠNG" và "Bá Chủ Ngân Hà."
- Cải thiện nhắc nhở kỹ năng của đơn vị Hitter về hiệu ứng chế giễu.
- Chia sẻ trang kỹ năng cơ khí: Bạn giờ đây có thể chia sẻ trang kỹ năng cơ khí vào chat và khoe cấu hình cơ khí của mình!</v>
      </c>
      <c r="N52" s="108" t="str">
        <f>IFERROR(__xludf.DUMMYFUNCTION("""COMPUTED_VALUE"""),"- Nuova funzionalità, Scontro Apex:
Nuova mappa di battaglia: I 4 Clan con le migliori prestazioni in ogni Colosseo astrale sono scelti per questa competizione di un giorno in una nuovissima mappa di battaglia.
Gameplay vario: Elementi multifaccettati com"&amp;"e convogli d'esercito, carrelli minerari dei Clan, treni da battaglia e edifici dei Clan, forniscono grandi bonus di battaglia.
Battaglia emozionante: Pura competizione tattica dove non è necessario costruire Distributori per catturare avamposti nemici, f"&amp;"ortezze e il Quartier Generale dei Dati.
Ricompense straordinarie: gioca elementi diversi in questa funzionalità per guadagnare punti apex e monete, che possono essere utilizzati per riscattare oggetti da un negozio in base alla posizione del tuo Clan.
- "&amp;"Nuovo Combattente: Gustave il Barone d'Armi. Astuto e ingegnoso, questo Barone d'Armi è l'anti-eroe definitivo!
- Nuovo mech: Elefante, il bastione d'acciaio. Questo mech è ora disponibile per l'uso ed è perfetto per difendere città e avamposti con la sua"&amp;" super-alta capacità difensiva. La sua abilità speciale attiva uno scudo che protegge l'intera città.
- Spedizione Reliquie: Potenzia reliquie e regola gli stand per cambiare i bonus che ricevi. Supera i livelli di spedizione per vincere oggetti per poten"&amp;"ziare le tue reliquie!
- Sito di Test per Equipaggiamento Migliorato:
Modifica del gioco in mappa: Invece di selezionare benefici, i giocatori ora scelgono il loro percorso attraverso la mappa. Puoi vedere tutti gli incidenti lungo il cammino e pianificar"&amp;"e il tuo percorso in anticipo.
Tonnellate di nuovi incidenti: Nuovi nemici, guarisci, risveglia e incidenti misteriosi che aggiungono sorpresa ed emozione a queste avventure.
Nuove difficoltà: Leggendario e Purgatorio. Per i giocatori in cerca di una sfid"&amp;"a, questi livelli offrono Nanomateriali come ricompense.
Flusso dell'interfaccia migliorato; visualizzazione delle informazioni semplificata.
- Nuova statua con doppio talento: Pilota Matto, Cal.
- SALTO DI TALENTI ora disponibile per selezionati Epic Fig"&amp;"hter; nuove statue per Darcy, Cosmo e Rodriguez.
- Ottimizzata la visualizzazione dei dettagli della capacità di marcia sulla pagina del Combattente.
- Maggiori cadute del tasso di guarigione: Aggiunti più bonus di guarigione in ""RE DEI PRIMATI"" e ""SUP"&amp;"REMAZIA GALATTICA.""
- Migliorato il promemoria del cast per l'effetto di provocazione dell'abilità dell'unità Hitter.
- Condivisione della pagina dell'abilità del mech: Ora puoi condividere le pagine delle abilità del mech nelle chat e mostrare la tua co"&amp;"struzione del mech!")</f>
        <v>- Nuova funzionalità, Scontro Apex:
Nuova mappa di battaglia: I 4 Clan con le migliori prestazioni in ogni Colosseo astrale sono scelti per questa competizione di un giorno in una nuovissima mappa di battaglia.
Gameplay vario: Elementi multifaccettati come convogli d'esercito, carrelli minerari dei Clan, treni da battaglia e edifici dei Clan, forniscono grandi bonus di battaglia.
Battaglia emozionante: Pura competizione tattica dove non è necessario costruire Distributori per catturare avamposti nemici, fortezze e il Quartier Generale dei Dati.
Ricompense straordinarie: gioca elementi diversi in questa funzionalità per guadagnare punti apex e monete, che possono essere utilizzati per riscattare oggetti da un negozio in base alla posizione del tuo Clan.
- Nuovo Combattente: Gustave il Barone d'Armi. Astuto e ingegnoso, questo Barone d'Armi è l'anti-eroe definitivo!
- Nuovo mech: Elefante, il bastione d'acciaio. Questo mech è ora disponibile per l'uso ed è perfetto per difendere città e avamposti con la sua super-alta capacità difensiva. La sua abilità speciale attiva uno scudo che protegge l'intera città.
- Spedizione Reliquie: Potenzia reliquie e regola gli stand per cambiare i bonus che ricevi. Supera i livelli di spedizione per vincere oggetti per potenziare le tue reliquie!
- Sito di Test per Equipaggiamento Migliorato:
Modifica del gioco in mappa: Invece di selezionare benefici, i giocatori ora scelgono il loro percorso attraverso la mappa. Puoi vedere tutti gli incidenti lungo il cammino e pianificare il tuo percorso in anticipo.
Tonnellate di nuovi incidenti: Nuovi nemici, guarisci, risveglia e incidenti misteriosi che aggiungono sorpresa ed emozione a queste avventure.
Nuove difficoltà: Leggendario e Purgatorio. Per i giocatori in cerca di una sfida, questi livelli offrono Nanomateriali come ricompense.
Flusso dell'interfaccia migliorato; visualizzazione delle informazioni semplificata.
- Nuova statua con doppio talento: Pilota Matto, Cal.
- SALTO DI TALENTI ora disponibile per selezionati Epic Fighter; nuove statue per Darcy, Cosmo e Rodriguez.
- Ottimizzata la visualizzazione dei dettagli della capacità di marcia sulla pagina del Combattente.
- Maggiori cadute del tasso di guarigione: Aggiunti più bonus di guarigione in "RE DEI PRIMATI" e "SUPREMAZIA GALATTICA."
- Migliorato il promemoria del cast per l'effetto di provocazione dell'abilità dell'unità Hitter.
- Condivisione della pagina dell'abilità del mech: Ora puoi condividere le pagine delle abilità del mech nelle chat e mostrare la tua costruzione del mech!</v>
      </c>
      <c r="O52" s="148" t="str">
        <f>IFERROR(__xludf.DUMMYFUNCTION("""COMPUTED_VALUE"""),"- Nowa funkcja, Apex Clash:
Nowa mapa bitew: 4 najlepsze klany w każdym Gwiezdnym Koloseum są wybierane do jednodniowej rywalizacji na zupełnie nowej mapie bitew.
Różnorodna rozgrywka: Wieloaspektowe elementy takie jak konwoje armii, górnicze wózki klanu,"&amp;" pociągi bojowe i budynki klanu zapewniają świetne bonusy bitewne.
Ekscytująca bitwa: Czysta taktyczna rywalizacja, gdzie nie musisz budować Dystrybutorów, aby przejąć placówki wroga, fortece i HQ Danych.
Niesamowite nagrody: graj w różne elementy tej fun"&amp;"kcji, aby zdobyć punkty apex i monety, które można wykorzystać do wymiany przedmiotów w sklepie w zależności od rankingu twojego klanu.
- Nowy Wojownik: Gustave, Baron Uzbrojenia. Przebiegły i pomysłowy, ten baron uzbrojenia to najwyższy z antybohaterów!
"&amp;"- Nowy mech: Słoń, stalowy bastion. Ten mech jest teraz dostępny do użytku i jest idealny do obrony miast i placówek dzięki swojej super-wysokiej zdolności obronnej. Jego specjalna umiejętność aktywuje tarczę, która chroni całe miasto.
- Wyprawa po Relikt"&amp;"y: Zwiększ siłę relikwii i dostosuj postumenty, aby zmienić otrzymywane premie. Przejdź poziomy ekspedycji, aby wygrać przedmioty do rozbudowy twoich relikwii!
- Ulepszony Poligon Testowy Wyposażenia:
Zmodyfikowana gra na mapie: Zamiast wybierać wzmocnien"&amp;"ia, gracze teraz wybierają swoją trasę przez mapę. Możesz zobaczyć wszystkie zdarzenia po drodze i zaplanować swój kurs z wyprzedzeniem.
Tona nowych zdarzeń: Nowy wróg, uleczenie, ożywienie i tajemnicze zdarzenia, które dodają niespodzianki i ekscytacji d"&amp;"o tych przygód.
Nowe trudności: Legendarny i Czyściec. Dla graczy szukających wyzwania, te poziomy oferują Nanomateriały jako nagrody.
Ulepszony przepływ interfejsu; uproszczony wyświetlacz informacji.
- Nowa podwójna statua talentu: Szalony Wyścigowiec, "&amp;"Cal.
- Skok talentu teraz dostępny dla wybranych Epickich Wojowników; nowe statuy dla Darcy, Cosmo i Rodrigueza.
- Zoptymalizowano sposób wyświetlania szczegółów pojemności marszu na stronie Wojownika.
- Więcej bonusów do szybkości leczenia: Dodano więcej"&amp;" bonusów leczniczych w ""Król Małp"" i ""Władza nad Galaktyką"".
- Ulepszono przypomnienie o obsadzie dla prowokującego efektu umiejętności jednostki Hitter.
- Strona umiejętności mecha do udostępniania: Teraz możesz udostępniać strony umiejętności mecha "&amp;"na czatach i pochwalić się swoją konstrukcją mecha!")</f>
        <v>- Nowa funkcja, Apex Clash:
Nowa mapa bitew: 4 najlepsze klany w każdym Gwiezdnym Koloseum są wybierane do jednodniowej rywalizacji na zupełnie nowej mapie bitew.
Różnorodna rozgrywka: Wieloaspektowe elementy takie jak konwoje armii, górnicze wózki klanu, pociągi bojowe i budynki klanu zapewniają świetne bonusy bitewne.
Ekscytująca bitwa: Czysta taktyczna rywalizacja, gdzie nie musisz budować Dystrybutorów, aby przejąć placówki wroga, fortece i HQ Danych.
Niesamowite nagrody: graj w różne elementy tej funkcji, aby zdobyć punkty apex i monety, które można wykorzystać do wymiany przedmiotów w sklepie w zależności od rankingu twojego klanu.
- Nowy Wojownik: Gustave, Baron Uzbrojenia. Przebiegły i pomysłowy, ten baron uzbrojenia to najwyższy z antybohaterów!
- Nowy mech: Słoń, stalowy bastion. Ten mech jest teraz dostępny do użytku i jest idealny do obrony miast i placówek dzięki swojej super-wysokiej zdolności obronnej. Jego specjalna umiejętność aktywuje tarczę, która chroni całe miasto.
- Wyprawa po Relikty: Zwiększ siłę relikwii i dostosuj postumenty, aby zmienić otrzymywane premie. Przejdź poziomy ekspedycji, aby wygrać przedmioty do rozbudowy twoich relikwii!
- Ulepszony Poligon Testowy Wyposażenia:
Zmodyfikowana gra na mapie: Zamiast wybierać wzmocnienia, gracze teraz wybierają swoją trasę przez mapę. Możesz zobaczyć wszystkie zdarzenia po drodze i zaplanować swój kurs z wyprzedzeniem.
Tona nowych zdarzeń: Nowy wróg, uleczenie, ożywienie i tajemnicze zdarzenia, które dodają niespodzianki i ekscytacji do tych przygód.
Nowe trudności: Legendarny i Czyściec. Dla graczy szukających wyzwania, te poziomy oferują Nanomateriały jako nagrody.
Ulepszony przepływ interfejsu; uproszczony wyświetlacz informacji.
- Nowa podwójna statua talentu: Szalony Wyścigowiec, Cal.
- Skok talentu teraz dostępny dla wybranych Epickich Wojowników; nowe statuy dla Darcy, Cosmo i Rodrigueza.
- Zoptymalizowano sposób wyświetlania szczegółów pojemności marszu na stronie Wojownika.
- Więcej bonusów do szybkości leczenia: Dodano więcej bonusów leczniczych w "Król Małp" i "Władza nad Galaktyką".
- Ulepszono przypomnienie o obsadzie dla prowokującego efektu umiejętności jednostki Hitter.
- Strona umiejętności mecha do udostępniania: Teraz możesz udostępniać strony umiejętności mecha na czatach i pochwalić się swoją konstrukcją mecha!</v>
      </c>
      <c r="P52" s="148" t="str">
        <f>IFERROR(__xludf.DUMMYFUNCTION("""COMPUTED_VALUE"""),"- ميزة جديدة، صدام القمة:
خريطة معركة جديدة: يتم اختيار العشائر الأربعة الأفضل أداءً في كل مدرج النجوم لهذه المنافسة التي تستمر يومًا واحدًا في خريطة معركة جديدة كليًا.
طريقة لعب متنوعة: عناصر متعددة الجوانب مثل قوافل الجيش، عربات التعدين للعشيرة، قطارات "&amp;"المعركة، ومباني العشيرة، توفر مكافآت رائعة للمعركة.
معركة مثيرة: منافسة تكتيكية خالصة حيث لا تحتاج إلى بناء محطات التوزيع للاستيلاء على المخافر والحصون ومقر البيانات الخاص بالعدو.
جوائز مذهلة: العب عناصر مختلفة في هذه الميزة لكسب نقاط القمة والعملات، والت"&amp;"ي يمكن استخدامها لاستبدال العناصر من متجر بناءً على تصنيف عشيرتك.
- مقاتل جديد: غوستاف بارون الأسلحة. ماكر ومبتكر، هذا بارون الأسلحة هو البطل المضاد الأمثل!
- ميكا جديد: الفيل الحصن الفولاذي. هذا الميكا متاح الآن للاستخدام وهو مثالي للدفاع عن المدن والمخا"&amp;"فر بقدرته الدفاعية العالية جدًا. قدرته الخاصة تفعل درعًا يحمي المدينة بأكملها.
- رحلة المقتنيات الاستكشافية: رفع قوة المقتنيات وتعديل الأكشاك لتغيير المكافآت التي تستلمها. اجتز مستويات الرحلة للفوز بعناصر لبناء مقتنياتك!
- تحديث موقع اختبار المعدات المحسن"&amp;":
تعديل لعب الخريطة: بدلاً من اختيار التعزيزات، يختار اللاعبون الآن مسارهم عبر الخريطة. يمكنك رؤية جميع الحوادث على طول الطريق وتخطيط مسارك مسبقًا.
أطنان من الحوادث الجديدة: عدو جديد، علاج، إحياء، وحوادث غموض تضيف المفاجأة والإثارة لهذه المغامرات.
صعوبات "&amp;"جديدة: أسطوري والمطهر. للاعبين الباحثين عن تحدي، تقدم هذه المستويات مواد نانوية كجوائز.
تحسين تدفق الواجهة؛ تبسيط عرض المعلومات.
- تمثال موهبة مزدوج جديد: متسابق مجنون، كال.
- قفزة المواهب متاحة الآن لمقاتلين ملحميين مختارين؛ تماثيل جديدة لدارسي، كوزمو، و"&amp;"رودريغيز.
- تحسين كيفية عرض تفاصيل سعة المسيرة على صفحة المقاتل.
- المزيد من قطرات معدل الشفاء: تم إضافة مكافآت شفاء أكثر في ""ملك القرود"" و""سيادة المجرة"".
- تحسين تذكير الصب لتأثير استفزاز مهارة وحدة الضارب.
- مشاركة صفحة مهارة الميكا: يمكنك الآن مشار"&amp;"كة صفحات مهارة الميكا في الدردشات وعرض بناء ميكا الخاص بك!")</f>
        <v>- ميزة جديدة، صدام القمة:
خريطة معركة جديدة: يتم اختيار العشائر الأربعة الأفضل أداءً في كل مدرج النجوم لهذه المنافسة التي تستمر يومًا واحدًا في خريطة معركة جديدة كليًا.
طريقة لعب متنوعة: عناصر متعددة الجوانب مثل قوافل الجيش، عربات التعدين للعشيرة، قطارات المعركة، ومباني العشيرة، توفر مكافآت رائعة للمعركة.
معركة مثيرة: منافسة تكتيكية خالصة حيث لا تحتاج إلى بناء محطات التوزيع للاستيلاء على المخافر والحصون ومقر البيانات الخاص بالعدو.
جوائز مذهلة: العب عناصر مختلفة في هذه الميزة لكسب نقاط القمة والعملات، والتي يمكن استخدامها لاستبدال العناصر من متجر بناءً على تصنيف عشيرتك.
- مقاتل جديد: غوستاف بارون الأسلحة. ماكر ومبتكر، هذا بارون الأسلحة هو البطل المضاد الأمثل!
- ميكا جديد: الفيل الحصن الفولاذي. هذا الميكا متاح الآن للاستخدام وهو مثالي للدفاع عن المدن والمخافر بقدرته الدفاعية العالية جدًا. قدرته الخاصة تفعل درعًا يحمي المدينة بأكملها.
- رحلة المقتنيات الاستكشافية: رفع قوة المقتنيات وتعديل الأكشاك لتغيير المكافآت التي تستلمها. اجتز مستويات الرحلة للفوز بعناصر لبناء مقتنياتك!
- تحديث موقع اختبار المعدات المحسن:
تعديل لعب الخريطة: بدلاً من اختيار التعزيزات، يختار اللاعبون الآن مسارهم عبر الخريطة. يمكنك رؤية جميع الحوادث على طول الطريق وتخطيط مسارك مسبقًا.
أطنان من الحوادث الجديدة: عدو جديد، علاج، إحياء، وحوادث غموض تضيف المفاجأة والإثارة لهذه المغامرات.
صعوبات جديدة: أسطوري والمطهر. للاعبين الباحثين عن تحدي، تقدم هذه المستويات مواد نانوية كجوائز.
تحسين تدفق الواجهة؛ تبسيط عرض المعلومات.
- تمثال موهبة مزدوج جديد: متسابق مجنون، كال.
- قفزة المواهب متاحة الآن لمقاتلين ملحميين مختارين؛ تماثيل جديدة لدارسي، كوزمو، ورودريغيز.
- تحسين كيفية عرض تفاصيل سعة المسيرة على صفحة المقاتل.
- المزيد من قطرات معدل الشفاء: تم إضافة مكافآت شفاء أكثر في "ملك القرود" و"سيادة المجرة".
- تحسين تذكير الصب لتأثير استفزاز مهارة وحدة الضارب.
- مشاركة صفحة مهارة الميكا: يمكنك الآن مشاركة صفحات مهارة الميكا في الدردشات وعرض بناء ميكا الخاص بك!</v>
      </c>
      <c r="Q52" s="148" t="str">
        <f>IFERROR(__xludf.DUMMYFUNCTION("""COMPUTED_VALUE"""),"- 新機能、Apex Clash（エイペックス・クラッシュ）:
新しいバトルマップ: 各アストラルコロシアムで上位4つのクランが選ばれ、まったく新しいバトルマップで1日限りの競争に挑みます。
多様なゲームプレイ: 軍団護送、クランの採掘カート、戦闘列車、クラン建築物など、多面的な要素が素晴らしいバトルボーナスを提供します。
エキサイティングなバトル: 敵の前哨基地、要塞、データ指揮センターを捕獲するために配送所を建設する必要がない、純粋な戦術競争。
驚くべき報酬: この機能の異なる要素をプレイして、エイペ"&amp;"ックスポイントとコインを獲得し、クランのランキングに基づいてショップからアイテムを交換できます。
- 新しいファイター: 武器男爵グスターヴ。狡猾で賢い、この武器男爵は究極のアンチヒーローです！
- 新しいメカ: 鋼鉄の要塞エレファント。このメカは今利用可能で、超高防御能力を持つため、都市や前哨基地の防御に最適です。特別な能力は、全都市を保護するシールドを発動します。
- レリック遠征: レリックを戦力アップグレードし、ボーナスを変更するためにブースを調整します。遠征レベルをクリアして、レリックを強化する"&amp;"ためのアイテムを獲得しましょう！
- 装備性能試験場のアップグレード:
マッププレイの変更: バフを選択する代わりに、プレイヤーはマップを通じて自分のルートを選びます。途中の全ての事件を確認し、事前にコースを計画できます。
多数の新しい事件: 新しいエネミー、治療、復活、不思議な事件がこれらの冒険に驚きと興奮を加えます。
新しい難易度: レジェンダリーと煉獄。挑戦を求めるプレイヤーには、報酬としてナノマテリアルを提供するレベルです。
インターフェースの流れが改善され、情報表示が簡略化されました。
- 新し"&amp;"いダブルアビリティ像: マッドレーサー、カル。
- アビリティ突破が選ばれたエピックファイターに利用可能になりました。ダーシー、コスモ、ロドリゲスのための新しい像も登場。
- ファイターページでの行軍容量の詳細表示方法が最適化されました。
- もっと治療率のドロップを追加: 「猿の王様」と「キング・オブ・プラネット」に治療ボーナスを追加しました。
- ヒッターユニットスキルの挑発効果のキャストリマインダーが改善されました。
- メカスキルページのシェア: 今ではメカスキルページをチャットにシェアして、あな"&amp;"たのメカビルドを自慢できます！")</f>
        <v>- 新機能、Apex Clash（エイペックス・クラッシュ）:
新しいバトルマップ: 各アストラルコロシアムで上位4つのクランが選ばれ、まったく新しいバトルマップで1日限りの競争に挑みます。
多様なゲームプレイ: 軍団護送、クランの採掘カート、戦闘列車、クラン建築物など、多面的な要素が素晴らしいバトルボーナスを提供します。
エキサイティングなバトル: 敵の前哨基地、要塞、データ指揮センターを捕獲するために配送所を建設する必要がない、純粋な戦術競争。
驚くべき報酬: この機能の異なる要素をプレイして、エイペックスポイントとコインを獲得し、クランのランキングに基づいてショップからアイテムを交換できます。
- 新しいファイター: 武器男爵グスターヴ。狡猾で賢い、この武器男爵は究極のアンチヒーローです！
- 新しいメカ: 鋼鉄の要塞エレファント。このメカは今利用可能で、超高防御能力を持つため、都市や前哨基地の防御に最適です。特別な能力は、全都市を保護するシールドを発動します。
- レリック遠征: レリックを戦力アップグレードし、ボーナスを変更するためにブースを調整します。遠征レベルをクリアして、レリックを強化するためのアイテムを獲得しましょう！
- 装備性能試験場のアップグレード:
マッププレイの変更: バフを選択する代わりに、プレイヤーはマップを通じて自分のルートを選びます。途中の全ての事件を確認し、事前にコースを計画できます。
多数の新しい事件: 新しいエネミー、治療、復活、不思議な事件がこれらの冒険に驚きと興奮を加えます。
新しい難易度: レジェンダリーと煉獄。挑戦を求めるプレイヤーには、報酬としてナノマテリアルを提供するレベルです。
インターフェースの流れが改善され、情報表示が簡略化されました。
- 新しいダブルアビリティ像: マッドレーサー、カル。
- アビリティ突破が選ばれたエピックファイターに利用可能になりました。ダーシー、コスモ、ロドリゲスのための新しい像も登場。
- ファイターページでの行軍容量の詳細表示方法が最適化されました。
- もっと治療率のドロップを追加: 「猿の王様」と「キング・オブ・プラネット」に治療ボーナスを追加しました。
- ヒッターユニットスキルの挑発効果のキャストリマインダーが改善されました。
- メカスキルページのシェア: 今ではメカスキルページをチャットにシェアして、あなたのメカビルドを自慢できます！</v>
      </c>
      <c r="R52" s="148" t="str">
        <f>IFERROR(__xludf.DUMMYFUNCTION("""COMPUTED_VALUE"""),"- 새로운 기능, 에이펙스 충돌:
새로운 전투 지도: 각 별의 사투에서 가장 성적이 좋은 클랜 4개가 이 하루 경쟁을 위해 새로운 전투 지도에서 선택됩니다.
다양한 게임플레이: 군단 호송, 클랜 채광 카트, 전투 열차, 클랜 건물과 같은 다면적 요소들이 훌륭한 전투 보너스를 제공합니다.
흥미진진한 전투: 적의 전초기지, 요새, 데이터 지휘 센터를 점령하기 위해 배송 터미널을 건설할 필요가 없는 순수 전술 경쟁입니다.
놀라운 보상: 이 기능에서 다양한 요"&amp;"소를 플레이하여 에이펙스 포인트와 코인을 획득하고, 클랜의 랭킹에 따라 상점에서 아이템을 교환할 수 있습니다.
- 새로운 전사: 무기 남작 구스타브. 교활하고 재치 있는 이 무기 남작은 궁극의 반(反) 영웅입니다!
- 새로운 메카: 강철 요새 엘리펀트. 이 메카는 이제 사용 가능하며, 초고방어 능력으로 도시와 전초기지를 방어하는 데 완벽합니다. 특별 능력은 전체 도시를 보호하는 보호막을 활성화합니다.
- 유물 원정: 유물 전투력을 높이고 부스를 조정하여"&amp;" 받는 보너스를 변경하세요. 원정 레벨을 클리어하여 유물을 건설하기 위한 아이템을 획득하세요!
- 업그레이드된 장비 시험장:
지도 플레이 변경: 플레이어는 이제 버프를 선택하는 대신 지도를 통해 자신의 경로를 선택합니다. 길을 따라 발생하는 모든 사건을 볼 수 있고 미리 경로를 계획할 수 있습니다.
새로운 사건들: 새로운 적, 치료, 부활, 수수께끼 사건들이 이 모험에 놀라움과 흥미를 더합니다.
새로운 난이도: 전설과 연옥. 도전을 추구하는 플레이어들을"&amp;" 위해, 이 레벨들은 나노 소재를 보상으로 제공합니다.
인터페이스 흐름 개선; 정보 디스플레이 간소화.
- 새로운 더블 재능 석상: 미친 레이서, 캘.
- 재능 돌파가 이제 선택된 영웅 전사들에게 가능해졌으며, 다시, 코스모, 로드리게스를 위한 새로운 석상들이 있습니다.
- 전사 페이지에서 행군 수용력 세부 사항을 표시하는 방식이 최적화되었습니다.
- 더 많은 치료율 드롭: ""최강 원숭이 왕""과 ""별들의 전쟁""에 치료 보너스를 더 추가했습니다.
"&amp;"- 히터 유닛 스킬의 도발 효과에 대한 캐스트 리마인더가 개선되었습니다.
- 메카 스킬 페이지 공유: 이제 메카 스킬 페이지를 채팅에 공유하고 메카 빌드를 자랑할 수 있습니다!")</f>
        <v>- 새로운 기능, 에이펙스 충돌:
새로운 전투 지도: 각 별의 사투에서 가장 성적이 좋은 클랜 4개가 이 하루 경쟁을 위해 새로운 전투 지도에서 선택됩니다.
다양한 게임플레이: 군단 호송, 클랜 채광 카트, 전투 열차, 클랜 건물과 같은 다면적 요소들이 훌륭한 전투 보너스를 제공합니다.
흥미진진한 전투: 적의 전초기지, 요새, 데이터 지휘 센터를 점령하기 위해 배송 터미널을 건설할 필요가 없는 순수 전술 경쟁입니다.
놀라운 보상: 이 기능에서 다양한 요소를 플레이하여 에이펙스 포인트와 코인을 획득하고, 클랜의 랭킹에 따라 상점에서 아이템을 교환할 수 있습니다.
- 새로운 전사: 무기 남작 구스타브. 교활하고 재치 있는 이 무기 남작은 궁극의 반(反) 영웅입니다!
- 새로운 메카: 강철 요새 엘리펀트. 이 메카는 이제 사용 가능하며, 초고방어 능력으로 도시와 전초기지를 방어하는 데 완벽합니다. 특별 능력은 전체 도시를 보호하는 보호막을 활성화합니다.
- 유물 원정: 유물 전투력을 높이고 부스를 조정하여 받는 보너스를 변경하세요. 원정 레벨을 클리어하여 유물을 건설하기 위한 아이템을 획득하세요!
- 업그레이드된 장비 시험장:
지도 플레이 변경: 플레이어는 이제 버프를 선택하는 대신 지도를 통해 자신의 경로를 선택합니다. 길을 따라 발생하는 모든 사건을 볼 수 있고 미리 경로를 계획할 수 있습니다.
새로운 사건들: 새로운 적, 치료, 부활, 수수께끼 사건들이 이 모험에 놀라움과 흥미를 더합니다.
새로운 난이도: 전설과 연옥. 도전을 추구하는 플레이어들을 위해, 이 레벨들은 나노 소재를 보상으로 제공합니다.
인터페이스 흐름 개선; 정보 디스플레이 간소화.
- 새로운 더블 재능 석상: 미친 레이서, 캘.
- 재능 돌파가 이제 선택된 영웅 전사들에게 가능해졌으며, 다시, 코스모, 로드리게스를 위한 새로운 석상들이 있습니다.
- 전사 페이지에서 행군 수용력 세부 사항을 표시하는 방식이 최적화되었습니다.
- 더 많은 치료율 드롭: "최강 원숭이 왕"과 "별들의 전쟁"에 치료 보너스를 더 추가했습니다.
- 히터 유닛 스킬의 도발 효과에 대한 캐스트 리마인더가 개선되었습니다.
- 메카 스킬 페이지 공유: 이제 메카 스킬 페이지를 채팅에 공유하고 메카 빌드를 자랑할 수 있습니다!</v>
      </c>
      <c r="S52" s="148"/>
      <c r="T52" s="148"/>
      <c r="U52" s="148"/>
      <c r="V52" s="148"/>
      <c r="W52" s="148"/>
      <c r="X52" s="148"/>
      <c r="Y52" s="148"/>
      <c r="Z52" s="148"/>
    </row>
    <row r="53">
      <c r="A53" s="167" t="str">
        <f>IFERROR(__xludf.DUMMYFUNCTION("""COMPUTED_VALUE"""),"0.62.0")</f>
        <v>0.62.0</v>
      </c>
      <c r="B53" s="148" t="str">
        <f>IFERROR(__xludf.DUMMYFUNCTION("""COMPUTED_VALUE"""),"-新增斗士：冰霜博士-赫尔曼，天才的气候学博士，冷漠毒舌的机甲工程师！
-机甲机师：现在开放机甲的各类型驾驶舱，指挥官可上阵不同的机师，组合出不同特性的专属机甲，快去招募不同的机师吧！
-行军队列：新增1条额外行军队列，激发更多部队的潜力吧！可以通过购买礼包解锁；
-银河战争：
增加了全新的银河战争剧本-寒冰星！
增加了历史战绩回顾功能；
珊瑚星增加了行星哨卡；
-双天赋雕像：新增狂潮之锚-哈迪，罪犯克星-布鲁斯；
-功能优化：
新增帮派黑白名单功能，现在帮派管理可以设置自由出入帮派的成员，以及拉黑恶意申"&amp;"请的玩家；
新增猎豹机甲在城外进行隐身时的倒计时；
新增多处“战地争锋”中的隐身树；
优化战报中的数字表现；
优化集结队伍的阵型显示；
优化改造猴的威胁活动，面对改造猴暴君时，可以筛选进入集结的部队类型了。
")</f>
        <v>-新增斗士：冰霜博士-赫尔曼，天才的气候学博士，冷漠毒舌的机甲工程师！
-机甲机师：现在开放机甲的各类型驾驶舱，指挥官可上阵不同的机师，组合出不同特性的专属机甲，快去招募不同的机师吧！
-行军队列：新增1条额外行军队列，激发更多部队的潜力吧！可以通过购买礼包解锁；
-银河战争：
增加了全新的银河战争剧本-寒冰星！
增加了历史战绩回顾功能；
珊瑚星增加了行星哨卡；
-双天赋雕像：新增狂潮之锚-哈迪，罪犯克星-布鲁斯；
-功能优化：
新增帮派黑白名单功能，现在帮派管理可以设置自由出入帮派的成员，以及拉黑恶意申请的玩家；
新增猎豹机甲在城外进行隐身时的倒计时；
新增多处“战地争锋”中的隐身树；
优化战报中的数字表现；
优化集结队伍的阵型显示；
优化改造猴的威胁活动，面对改造猴暴君时，可以筛选进入集结的部队类型了。
</v>
      </c>
      <c r="C53" s="168" t="str">
        <f>IFERROR(__xludf.DUMMYFUNCTION("""COMPUTED_VALUE"""),"-New Fighter: Dr. Frost - Herman, a genius climatologist and mech engineer with a sharp tongue.
-Mech Operators: Mech cockpits are now available. Assign different operators to the cockpits to create unique mechs with special attribute sets. Recruit operat"&amp;"ors now!
-March Queue: A new march queue now available to get the most out of your troops. Purchase pack to unlock this queue.
- Planet Wars:
Glacier Land - a new star for a new Planet War!
Added a battle history feature.
Star Checkpoints added to Coral S"&amp;"tar.
-New double talent statue: Waverider - Hardy, Crime Buster - Bruce.
-Optimizations:
New Gang feature - blacklist/whitelist. Gang officers can now set a whitelist to allow certain players to join/leave freely, and a blacklist to block malicious player"&amp;"s.
Added a countdown for Cheetah's stealth mode on the map.
Stealth woods added to Primate Standoff map.
Improved how numbers are displayed in battle reports.
Improved the display of rally troop formations.
Optimized Threat of the Modified Monkeys - you c"&amp;"an now specify unit types for rallies against Modified Giants.")</f>
        <v>-New Fighter: Dr. Frost - Herman, a genius climatologist and mech engineer with a sharp tongue.
-Mech Operators: Mech cockpits are now available. Assign different operators to the cockpits to create unique mechs with special attribute sets. Recruit operators now!
-March Queue: A new march queue now available to get the most out of your troops. Purchase pack to unlock this queue.
- Planet Wars:
Glacier Land - a new star for a new Planet War!
Added a battle history feature.
Star Checkpoints added to Coral Star.
-New double talent statue: Waverider - Hardy, Crime Buster - Bruce.
-Optimizations:
New Gang feature - blacklist/whitelist. Gang officers can now set a whitelist to allow certain players to join/leave freely, and a blacklist to block malicious players.
Added a countdown for Cheetah's stealth mode on the map.
Stealth woods added to Primate Standoff map.
Improved how numbers are displayed in battle reports.
Improved the display of rally troop formations.
Optimized Threat of the Modified Monkeys - you can now specify unit types for rallies against Modified Giants.</v>
      </c>
      <c r="D53" s="148" t="str">
        <f>IFERROR(__xludf.DUMMYFUNCTION("""COMPUTED_VALUE"""),"-Nouveau combattant : Dr. Frost - Herman, un climatologue de génie et ingénieur méca à la langue bien pendue.
-Opérateurs de Méchas : Cockpits Mécha désormais disponibles. Affectez différents opérateurs aux cockpits pour créer des méchas uniques avec des "&amp;"ensembles d'attributs spéciaux. Recrutez des opérateurs maintenant !
-File d'attente de Bataillon : Une nouvelle file d'attente de bataillon disponible pour maximiser l'efficacité de vos troupes. Achetez le pack pour débloquer cette file.
- Guerre planéta"&amp;"ire :
Terre Glaciaire - une nouvelle étoile pour une nouvelle Guerre planétaire !
Ajout d'une fonctionnalité d'historique de bataille.
Ajout de Barrages spatiaux à l'Étoile de Corail.
-Nouvelle statue de double talent : Chevaucheur de Vagues - Hardy, Chas"&amp;"seur de criminels - Bruce.
-Optimisations :
Nouvelle fonctionnalité de Gang - liste noire/liste blanche. Les officiers de gang peuvent maintenant établir une liste blanche pour permettre à certains joueurs de rejoindre/quitter librement, et une liste noir"&amp;"e pour bloquer les joueurs malveillants.
Ajout d'un compte à rebours pour le mode furtif du Guépard sur la carte.
Ajout de bois furtifs à la carte de CONFRONTATION PRIMATE.
Amélioration de l'affichage des nombres dans les rapports de bataille.
Amélioratio"&amp;"n de l'affichage des formations de troupes en raid.
Optimisation de la Menace des singes expérimentaux - vous pouvez maintenant spécifier les types d'unités pour les rassemblements contre les Géants Modifiés.")</f>
        <v>-Nouveau combattant : Dr. Frost - Herman, un climatologue de génie et ingénieur méca à la langue bien pendue.
-Opérateurs de Méchas : Cockpits Mécha désormais disponibles. Affectez différents opérateurs aux cockpits pour créer des méchas uniques avec des ensembles d'attributs spéciaux. Recrutez des opérateurs maintenant !
-File d'attente de Bataillon : Une nouvelle file d'attente de bataillon disponible pour maximiser l'efficacité de vos troupes. Achetez le pack pour débloquer cette file.
- Guerre planétaire :
Terre Glaciaire - une nouvelle étoile pour une nouvelle Guerre planétaire !
Ajout d'une fonctionnalité d'historique de bataille.
Ajout de Barrages spatiaux à l'Étoile de Corail.
-Nouvelle statue de double talent : Chevaucheur de Vagues - Hardy, Chasseur de criminels - Bruce.
-Optimisations :
Nouvelle fonctionnalité de Gang - liste noire/liste blanche. Les officiers de gang peuvent maintenant établir une liste blanche pour permettre à certains joueurs de rejoindre/quitter librement, et une liste noire pour bloquer les joueurs malveillants.
Ajout d'un compte à rebours pour le mode furtif du Guépard sur la carte.
Ajout de bois furtifs à la carte de CONFRONTATION PRIMATE.
Amélioration de l'affichage des nombres dans les rapports de bataille.
Amélioration de l'affichage des formations de troupes en raid.
Optimisation de la Menace des singes expérimentaux - vous pouvez maintenant spécifier les types d'unités pour les rassemblements contre les Géants Modifiés.</v>
      </c>
      <c r="E53" s="148" t="str">
        <f>IFERROR(__xludf.DUMMYFUNCTION("""COMPUTED_VALUE"""),"-Neuer Kämpfer: Dr. Frost - Herman, ein genialer Klimatologe und Mech-Ingenieur mit scharfer Zunge.
-Mech-Bediener: Mech-Cockpits sind jetzt verfügbar. Weise verschiedenen Bedienern die Cockpits zu, um einzigartige Mechs mit speziellen Attributsätzen zu e"&amp;"rstellen. Rekrutiere jetzt Bediener!
-Neue Marsch-Warteschlange: Eine neue Marsch-Warteschlange ist jetzt verfügbar, um das Beste aus deinen Truppen herauszuholen. Kaufe das Paket, um diese Warteschlange freizuschalten.
- Planetenkriege:
Gletscherland - e"&amp;"in neuer Stern für einen neuen Planetenkrieg!
Eine Funktion für den Kampfverlauf hinzugefügt.
Sternen-Checkpoints zum Korallenstern hinzugefügt.
-Neue doppelte Talentstatue: Wellenreiter - Hardy, Verbrechensbekämpfer - Bruce.
-Optimierungen:
Neue Gang-Fun"&amp;"ktion - Schwarze Liste/Weiße Liste. Gang-Offiziere können jetzt eine Weiße Liste einrichten, um bestimmten Spielern das freie Beitreten/Verlassen zu ermöglichen, und eine Schwarze Liste, um bösartige Spieler zu blocken.
Einen Countdown für den Tarnmodus d"&amp;"es Gepards auf der Karte hinzugefügt.
Tarnwälder zur Karte der Primaten-Konfrontation hinzugefügt.
Verbesserte Anzeige von Zahlen in Kampfberichten.
Verbesserte Darstellung von Sammelangriff-Truppenformationen.
Bedrohung der Modifizierten Affen optimiert "&amp;"- du kannst jetzt Einheitentypen für Sammelangriffe gegen Modifizierte Riesen festlegen.")</f>
        <v>-Neuer Kämpfer: Dr. Frost - Herman, ein genialer Klimatologe und Mech-Ingenieur mit scharfer Zunge.
-Mech-Bediener: Mech-Cockpits sind jetzt verfügbar. Weise verschiedenen Bedienern die Cockpits zu, um einzigartige Mechs mit speziellen Attributsätzen zu erstellen. Rekrutiere jetzt Bediener!
-Neue Marsch-Warteschlange: Eine neue Marsch-Warteschlange ist jetzt verfügbar, um das Beste aus deinen Truppen herauszuholen. Kaufe das Paket, um diese Warteschlange freizuschalten.
- Planetenkriege:
Gletscherland - ein neuer Stern für einen neuen Planetenkrieg!
Eine Funktion für den Kampfverlauf hinzugefügt.
Sternen-Checkpoints zum Korallenstern hinzugefügt.
-Neue doppelte Talentstatue: Wellenreiter - Hardy, Verbrechensbekämpfer - Bruce.
-Optimierungen:
Neue Gang-Funktion - Schwarze Liste/Weiße Liste. Gang-Offiziere können jetzt eine Weiße Liste einrichten, um bestimmten Spielern das freie Beitreten/Verlassen zu ermöglichen, und eine Schwarze Liste, um bösartige Spieler zu blocken.
Einen Countdown für den Tarnmodus des Gepards auf der Karte hinzugefügt.
Tarnwälder zur Karte der Primaten-Konfrontation hinzugefügt.
Verbesserte Anzeige von Zahlen in Kampfberichten.
Verbesserte Darstellung von Sammelangriff-Truppenformationen.
Bedrohung der Modifizierten Affen optimiert - du kannst jetzt Einheitentypen für Sammelangriffe gegen Modifizierte Riesen festlegen.</v>
      </c>
      <c r="F53" s="148" t="str">
        <f>IFERROR(__xludf.DUMMYFUNCTION("""COMPUTED_VALUE"""),"- Novo Combatente: Dr. Frost - Herman, um gênio climatologista e engenheiro de mechs com uma língua afiada.
- Operadores de Mechs: Cabines de Mech agora disponíveis. Atribua diferentes operadores às cabines para criar mechs únicos com conjuntos de atribut"&amp;"os especiais. Recrute operadores agora!
- Fila de Marcha: Uma nova fila de marcha agora disponível para aproveitar ao máximo suas tropas. Compre o pacote para desbloquear esta fila.
- Guerra Interplanetária:
Terra Glacial - uma nova estrela para uma nova "&amp;"Guerra Interplanetária!
Adicionado um recurso de histórico de batalhas.
Postos de controle estelares adicionados à Estrela Coral.
- Nova estátua de talento duplo: Cavaleiro das Ondas - Hardy, Caçador de Criminosos - Bruce.
- Otimizações:
Nova funcionalida"&amp;"de de Gangue - lista negra/lista branca. Oficiais de gangue agora podem definir uma lista branca para permitir que certos jogadores entrem/saiam livremente, e uma lista negra para bloquear jogadores maliciosos.
Adicionado um contador regressivo para o mod"&amp;"o furtivo da Chita no mapa.
Bosques furtivos adicionados ao mapa de Confronto Primata.
Melhorada a forma como os números são exibidos nos relatórios de batalha.
Melhorada a exibição das formações de tropas de incursão.
Otimizada a Ameaça dos Macacos Modif"&amp;"icados - agora você pode especificar tipos de unidade para incursões contra Gigantes Modificados.")</f>
        <v>- Novo Combatente: Dr. Frost - Herman, um gênio climatologista e engenheiro de mechs com uma língua afiada.
- Operadores de Mechs: Cabines de Mech agora disponíveis. Atribua diferentes operadores às cabines para criar mechs únicos com conjuntos de atributos especiais. Recrute operadores agora!
- Fila de Marcha: Uma nova fila de marcha agora disponível para aproveitar ao máximo suas tropas. Compre o pacote para desbloquear esta fila.
- Guerra Interplanetária:
Terra Glacial - uma nova estrela para uma nova Guerra Interplanetária!
Adicionado um recurso de histórico de batalhas.
Postos de controle estelares adicionados à Estrela Coral.
- Nova estátua de talento duplo: Cavaleiro das Ondas - Hardy, Caçador de Criminosos - Bruce.
- Otimizações:
Nova funcionalidade de Gangue - lista negra/lista branca. Oficiais de gangue agora podem definir uma lista branca para permitir que certos jogadores entrem/saiam livremente, e uma lista negra para bloquear jogadores maliciosos.
Adicionado um contador regressivo para o modo furtivo da Chita no mapa.
Bosques furtivos adicionados ao mapa de Confronto Primata.
Melhorada a forma como os números são exibidos nos relatórios de batalha.
Melhorada a exibição das formações de tropas de incursão.
Otimizada a Ameaça dos Macacos Modificados - agora você pode especificar tipos de unidade para incursões contra Gigantes Modificados.</v>
      </c>
      <c r="G53" s="148" t="str">
        <f>IFERROR(__xludf.DUMMYFUNCTION("""COMPUTED_VALUE"""),"-新增鬥士：冰霜博士-赫爾曼，天才的氣候學博士，冷漠毒舌的機甲工程師！
-機甲機師：現在開放機甲的各類型駕駛艙，指揮官可參賽不同的機師，組合出不同特性的專屬機甲，快去招募不同的機師吧！
-行軍佇列：新增1條額外行軍佇列，激發更多部隊的潛力吧！可以通過購買禮包解鎖；
-銀河戰爭：
增加了全新的銀河戰爭劇本-寒冰星！
增加了歷史戰績回顧功能；
珊瑚星增加了行星哨卡；
-雙天賦雕像：新增狂潮之錨-哈迪，罪犯剋星-布魯斯；
-功能優化：
新增幫派黑白名單功能，現在幫派管理可以設定自由出入幫派的成員，以及拉黑惡意申"&amp;"請的玩家；
新增獵豹機甲在城外進行隱身時的倒計時；
新增多處「戰地爭鋒」中的隱身樹；
優化戰報中的數字表現；
優化集結隊伍的陣型顯示；
優化改造猴的威脅活動，面對改造猴暴君時，可以篩選進入集結的部隊類型了。")</f>
        <v>-新增鬥士：冰霜博士-赫爾曼，天才的氣候學博士，冷漠毒舌的機甲工程師！
-機甲機師：現在開放機甲的各類型駕駛艙，指揮官可參賽不同的機師，組合出不同特性的專屬機甲，快去招募不同的機師吧！
-行軍佇列：新增1條額外行軍佇列，激發更多部隊的潛力吧！可以通過購買禮包解鎖；
-銀河戰爭：
增加了全新的銀河戰爭劇本-寒冰星！
增加了歷史戰績回顧功能；
珊瑚星增加了行星哨卡；
-雙天賦雕像：新增狂潮之錨-哈迪，罪犯剋星-布魯斯；
-功能優化：
新增幫派黑白名單功能，現在幫派管理可以設定自由出入幫派的成員，以及拉黑惡意申請的玩家；
新增獵豹機甲在城外進行隱身時的倒計時；
新增多處「戰地爭鋒」中的隱身樹；
優化戰報中的數字表現；
優化集結隊伍的陣型顯示；
優化改造猴的威脅活動，面對改造猴暴君時，可以篩選進入集結的部隊類型了。</v>
      </c>
      <c r="H53" s="148" t="str">
        <f>IFERROR(__xludf.DUMMYFUNCTION("""COMPUTED_VALUE"""),"-Pejuang Baru: Dr. Frost - Herman, seorang klimatolog jenius dan insinyur mekanik dengan lidah yang tajam.
-Operator Mekanik: Kokpit mekanik sekarang tersedia. Garnisun operator yang berbeda ke kokpit untuk menciptakan mekanik unik dengan set atribut khus"&amp;"us. Rekrut operator sekarang!
-Antrean Barisan Baru: Antrean barisan baru sekarang tersedia untuk mendapatkan hasil maksimal dari pasukan Anda. Beli paket untuk membuka antrean ini.
- Perang Planet:
Tanah Gletser - bintang baru untuk Perang Planet baru!
F"&amp;"itur riwayat pertempuran telah ditambahkan.
Pos Pemeriksaan Bintang ditambahkan ke Bintang Karang.
-Patung bakat ganda baru: Pengendara Gelombang - Hardy, Pemecah Kejahatan - Bruce.
-Optimalisasi:
Fitur Geng baru - daftar hitam/daftar putih. Petugas geng "&amp;"sekarang dapat menetapkan daftar putih untuk memungkinkan pemain tertentu bergabung/keluar dengan bebas, dan daftar hitam untuk memblokir pemain yang berbahaya.
Penambahan hitung mundur untuk mode siluman Cheetah di peta.
Hutan siluman ditambahkan ke peta"&amp;" Konfrontasi Primata.
Perbaikan cara angka ditampilkan dalam laporan pertempuran.
Perbaikan tampilan formasi pasukan reli.
Optimalisasi Ancaman Kera Modifikasi - Anda sekarang dapat menentukan jenis unit untuk reli melawan Raksasa Modifikasi.")</f>
        <v>-Pejuang Baru: Dr. Frost - Herman, seorang klimatolog jenius dan insinyur mekanik dengan lidah yang tajam.
-Operator Mekanik: Kokpit mekanik sekarang tersedia. Garnisun operator yang berbeda ke kokpit untuk menciptakan mekanik unik dengan set atribut khusus. Rekrut operator sekarang!
-Antrean Barisan Baru: Antrean barisan baru sekarang tersedia untuk mendapatkan hasil maksimal dari pasukan Anda. Beli paket untuk membuka antrean ini.
- Perang Planet:
Tanah Gletser - bintang baru untuk Perang Planet baru!
Fitur riwayat pertempuran telah ditambahkan.
Pos Pemeriksaan Bintang ditambahkan ke Bintang Karang.
-Patung bakat ganda baru: Pengendara Gelombang - Hardy, Pemecah Kejahatan - Bruce.
-Optimalisasi:
Fitur Geng baru - daftar hitam/daftar putih. Petugas geng sekarang dapat menetapkan daftar putih untuk memungkinkan pemain tertentu bergabung/keluar dengan bebas, dan daftar hitam untuk memblokir pemain yang berbahaya.
Penambahan hitung mundur untuk mode siluman Cheetah di peta.
Hutan siluman ditambahkan ke peta Konfrontasi Primata.
Perbaikan cara angka ditampilkan dalam laporan pertempuran.
Perbaikan tampilan formasi pasukan reli.
Optimalisasi Ancaman Kera Modifikasi - Anda sekarang dapat menentukan jenis unit untuk reli melawan Raksasa Modifikasi.</v>
      </c>
      <c r="I53" s="148" t="str">
        <f>IFERROR(__xludf.DUMMYFUNCTION("""COMPUTED_VALUE"""),"-นักสู้ตัวใหม่: ดร.ฟรอสต์ - เฮอร์มัน, อัจฉริยะด้านอุตุนิยมวิทยาและวิศวกรเมคที่มีคำพูดร้ายแรง
-ผู้ประกอบการเมค: ห้องนักบินเมคพร้อมให้บริการแล้ว มอบหมายผู้ประกอบการต่างๆ ให้กับห้องนักบินเพื่อสร้างเมคที่มีคุณสมบัติพิเศษ รับสมัครผู้ประกอบการเลย!
-คิวเดินทัพ: "&amp;"คิวเดินทัพใหม่พร้อมให้บริการแล้วเพื่อให้คุณได้ประโยชน์สูงสุดจากกองทหารของคุณ ซื้อแพ็กเพื่อปลดล็อกคิวนี้
- สงครามดาวเคราะห์:
ดินแดนน้ำแข็ง - ดาวใหม่สำหรับสงครามดาวเคราะห์ใหม่!
เพิ่มฟีเจอร์ประวัติการต่อสู้
เพิ่มด่านตรวจประจำดวงดาวไปยังดาวปะการัง
-รูปปั้นควา"&amp;"มสามารถคู่ใหม่: นักบิดคลื่น - ฮาร์ดี้, นักปราบอาชญากร - บรูซ
-การปรับปรุง:
ฟีเจอร์แก๊งใหม่ - บัญชีดำ/บัญชีขาว ผู้บังคับบัญชาแก๊งสามารถตั้งบัญชีขาวเพื่ออนุญาตให้ผู้เล่นบางคนเข้า/ออกได้อย่างอิสระ และบัญชีดำเพื่อปิดกั้นผู้เล่นที่มีพฤติกรรมเป็นอันตราย
เพิ่มกา"&amp;"รนับถอยหลังสำหรับโหมดสตีลธ์ของเสือชีตาห์บนแผนที่
เพิ่มป่าสตีลธ์ไปยังแผนที่ตำแหน่งสถานการณ์ค้านของวานร
ปรับปรุงวิธีการแสดงตัวเลขในรายงานการต่อสู้
ปรับปรุงการแสดงแถวทัพของการระดมพล
ปรับปรุงภัยคุกคามจากลิงดัดแปลง - คุณสามารถระบุประเภทหน่วยสำหรับการระดมพลต่อต"&amp;"้านยักษ์ดัดแปลงได้แล้ว")</f>
        <v>-นักสู้ตัวใหม่: ดร.ฟรอสต์ - เฮอร์มัน, อัจฉริยะด้านอุตุนิยมวิทยาและวิศวกรเมคที่มีคำพูดร้ายแรง
-ผู้ประกอบการเมค: ห้องนักบินเมคพร้อมให้บริการแล้ว มอบหมายผู้ประกอบการต่างๆ ให้กับห้องนักบินเพื่อสร้างเมคที่มีคุณสมบัติพิเศษ รับสมัครผู้ประกอบการเลย!
-คิวเดินทัพ: คิวเดินทัพใหม่พร้อมให้บริการแล้วเพื่อให้คุณได้ประโยชน์สูงสุดจากกองทหารของคุณ ซื้อแพ็กเพื่อปลดล็อกคิวนี้
- สงครามดาวเคราะห์:
ดินแดนน้ำแข็ง - ดาวใหม่สำหรับสงครามดาวเคราะห์ใหม่!
เพิ่มฟีเจอร์ประวัติการต่อสู้
เพิ่มด่านตรวจประจำดวงดาวไปยังดาวปะการัง
-รูปปั้นความสามารถคู่ใหม่: นักบิดคลื่น - ฮาร์ดี้, นักปราบอาชญากร - บรูซ
-การปรับปรุง:
ฟีเจอร์แก๊งใหม่ - บัญชีดำ/บัญชีขาว ผู้บังคับบัญชาแก๊งสามารถตั้งบัญชีขาวเพื่ออนุญาตให้ผู้เล่นบางคนเข้า/ออกได้อย่างอิสระ และบัญชีดำเพื่อปิดกั้นผู้เล่นที่มีพฤติกรรมเป็นอันตราย
เพิ่มการนับถอยหลังสำหรับโหมดสตีลธ์ของเสือชีตาห์บนแผนที่
เพิ่มป่าสตีลธ์ไปยังแผนที่ตำแหน่งสถานการณ์ค้านของวานร
ปรับปรุงวิธีการแสดงตัวเลขในรายงานการต่อสู้
ปรับปรุงการแสดงแถวทัพของการระดมพล
ปรับปรุงภัยคุกคามจากลิงดัดแปลง - คุณสามารถระบุประเภทหน่วยสำหรับการระดมพลต่อต้านยักษ์ดัดแปลงได้แล้ว</v>
      </c>
      <c r="J53" s="148" t="str">
        <f>IFERROR(__xludf.DUMMYFUNCTION("""COMPUTED_VALUE"""),"-Nuevo Luchador: Dr. Frost - Herman, un genio climatólogo e ingeniero de mecas con una lengua afilada.
-Operadores de Mecas: Cabina de Meca ahora disponible. Designa diferentes operadores a las cabinas para crear mecas únicos con conjuntos de atributos es"&amp;"peciales. ¡Recluta operadores ahora!
-Fila de Marcha: Una nueva fila de marcha ahora disponible para sacar el máximo provecho de tus tropas. Compra paquetes para desbloquear esta fila.
- Guerras Planetarias:
Tierra Glaciar - ¡una nueva estrella para una n"&amp;"ueva Guerra Planetaria!
Añadida una función de historia de batallas.
Puntos de Control de Estrella añadidos a Estrella de Coral.
-Nueva estatua de doble talento: Jinete de Olas - Hardy, Cazador de Crímenes - Bruce.
-Optimizaciones:
Nueva función de Banda "&amp;"- lista negra/lista blanca. Los oficiales de la banda ahora pueden establecer una lista blanca para permitir que ciertos jugadores se unan/abandonen libremente, y una lista negra para bloquear a jugadores maliciosos.
Añadido un contador para el modo de si"&amp;"gilo de Guepardo en el mapa.
Bosques de sigilo añadidos al mapa de Enfrentamiento de Primates.
Mejorada la forma en que se despliegan los números en los informes de batalla.
Mejorada la visualización de las formaciones de tropas en congregación.
Optimizad"&amp;"a la Amenaza de los Monos Modificados - ahora puedes especificar tipos de unidad para las congregaciones contra Gigantes Modificados.")</f>
        <v>-Nuevo Luchador: Dr. Frost - Herman, un genio climatólogo e ingeniero de mecas con una lengua afilada.
-Operadores de Mecas: Cabina de Meca ahora disponible. Designa diferentes operadores a las cabinas para crear mecas únicos con conjuntos de atributos especiales. ¡Recluta operadores ahora!
-Fila de Marcha: Una nueva fila de marcha ahora disponible para sacar el máximo provecho de tus tropas. Compra paquetes para desbloquear esta fila.
- Guerras Planetarias:
Tierra Glaciar - ¡una nueva estrella para una nueva Guerra Planetaria!
Añadida una función de historia de batallas.
Puntos de Control de Estrella añadidos a Estrella de Coral.
-Nueva estatua de doble talento: Jinete de Olas - Hardy, Cazador de Crímenes - Bruce.
-Optimizaciones:
Nueva función de Banda - lista negra/lista blanca. Los oficiales de la banda ahora pueden establecer una lista blanca para permitir que ciertos jugadores se unan/abandonen libremente, y una lista negra para bloquear a jugadores maliciosos.
Añadido un contador para el modo de sigilo de Guepardo en el mapa.
Bosques de sigilo añadidos al mapa de Enfrentamiento de Primates.
Mejorada la forma en que se despliegan los números en los informes de batalla.
Mejorada la visualización de las formaciones de tropas en congregación.
Optimizada la Amenaza de los Monos Modificados - ahora puedes especificar tipos de unidad para las congregaciones contra Gigantes Modificados.</v>
      </c>
      <c r="K53" s="148" t="str">
        <f>IFERROR(__xludf.DUMMYFUNCTION("""COMPUTED_VALUE"""),"- Новый герой: Доктор Мороз - Герман, гениальный климатолог и механик-инженер с острым языком.
- Операторы Мехов: Кабины Меха теперь доступны. Назначьте разных операторов в кабины, чтобы создать уникальных мехов с особыми наборами атрибутов. Нанимайте опе"&amp;"раторов сейчас!
- Очередь марша: Новая очередь марша теперь доступна, чтобы максимально использовать ваши войска. Купите набор, чтобы открыть эту очередь.
- Планетарные войны:
Ледниковая Земля - новая звезда для новой Планетарной войны!
Добавлена функция "&amp;"истории боёв.
К Звезде Коралл добавлены звездные контрольные пункты.
- Новая статуя двойного таланта: Всадник на Волнах - Крепыш, Борец с преступностью - Брюс.
- Оптимизации:
Новая функция банды - черный/белый список. Офицеры банды теперь могут устанавлив"&amp;"ать белый список, чтобы определенные игроки могли свободно вступать/выходить, и черный список, чтобы блокировать злонамеренных игроков.
Добавлен обратный отсчет для режима скрытности Гепарда на карте.
На карту Столкновения Приматов добавлены скрытые леса."&amp;"
Улучшено отображение чисел в отчетах о боях.
Улучшено отображение построений войск похода.
Оптимизирована Угроза Измененных Обезьян - теперь вы можете указывать типы отрядов для походов против Измененных Гигантов.")</f>
        <v>- Новый герой: Доктор Мороз - Герман, гениальный климатолог и механик-инженер с острым языком.
- Операторы Мехов: Кабины Меха теперь доступны. Назначьте разных операторов в кабины, чтобы создать уникальных мехов с особыми наборами атрибутов. Нанимайте операторов сейчас!
- Очередь марша: Новая очередь марша теперь доступна, чтобы максимально использовать ваши войска. Купите набор, чтобы открыть эту очередь.
- Планетарные войны:
Ледниковая Земля - новая звезда для новой Планетарной войны!
Добавлена функция истории боёв.
К Звезде Коралл добавлены звездные контрольные пункты.
- Новая статуя двойного таланта: Всадник на Волнах - Крепыш, Борец с преступностью - Брюс.
- Оптимизации:
Новая функция банды - черный/белый список. Офицеры банды теперь могут устанавливать белый список, чтобы определенные игроки могли свободно вступать/выходить, и черный список, чтобы блокировать злонамеренных игроков.
Добавлен обратный отсчет для режима скрытности Гепарда на карте.
На карту Столкновения Приматов добавлены скрытые леса.
Улучшено отображение чисел в отчетах о боях.
Улучшено отображение построений войск похода.
Оптимизирована Угроза Измененных Обезьян - теперь вы можете указывать типы отрядов для походов против Измененных Гигантов.</v>
      </c>
      <c r="L53" s="148" t="str">
        <f>IFERROR(__xludf.DUMMYFUNCTION("""COMPUTED_VALUE"""),"-Yeni Savaşçı: Dr. Frost - Herman, keskin dilli bir dâhi klimatolog ve meka mühendisi.
-Meka Operatörleri: Meka kokpitleri şimdi kullanılabilir. Kokpitlere farklı operatörler atayarak özel nitelik setlerine sahip benzersiz mekalar oluşturun. Operatörleri "&amp;"şimdi tutun!
-Yeni Sefer Sırası: Birliklerinizden en iyi şekilde yararlanmak için şimdi kullanılabilir yeni bir sefer sırası. Bu sırayı açmak için paketi satın alın.
- Gezegen Savaşları:
Buzul Toprağı - yeni bir Gezegen Savaşı için yeni bir yıldız!
Savaş "&amp;"geçmişi özelliği eklendi.
Mercan Yıldızı'na Yıldız Kontrol Noktaları eklendi.
-Yeni çift yetenek heykeli: Dalga Binicisi - Hardy, Suç Kırıcı - Bruce.
-Optimizasyonlar:
Yeni Çete özelliği - kara liste/beyaz liste. Çete yetkilileri artık belirli oyuncuların"&amp;" serbestçe katılmasına/ayrılmasına izin vermek için bir beyaz liste ve kötü niyetli oyuncuları engellemek için bir kara liste ayarlayabilir.
Haritada Çita'nın gizlilik modu için bir geri sayım eklendi.
Gizlilik ormanları Primat Karşı Karşıyası haritasına "&amp;"eklendi.
Savaş raporlarında sayıların nasıl sergilendiği iyileştirildi.
Toplu saldırı birliği formasyonlarının sergilenişi geliştirildi.
Değiştirilmiş Maymunlar Tehdidi optimize edildi - Değiştirilmiş Devlere karşı toplu saldırılarda birim türlerini belir"&amp;"leyebilirsiniz.")</f>
        <v>-Yeni Savaşçı: Dr. Frost - Herman, keskin dilli bir dâhi klimatolog ve meka mühendisi.
-Meka Operatörleri: Meka kokpitleri şimdi kullanılabilir. Kokpitlere farklı operatörler atayarak özel nitelik setlerine sahip benzersiz mekalar oluşturun. Operatörleri şimdi tutun!
-Yeni Sefer Sırası: Birliklerinizden en iyi şekilde yararlanmak için şimdi kullanılabilir yeni bir sefer sırası. Bu sırayı açmak için paketi satın alın.
- Gezegen Savaşları:
Buzul Toprağı - yeni bir Gezegen Savaşı için yeni bir yıldız!
Savaş geçmişi özelliği eklendi.
Mercan Yıldızı'na Yıldız Kontrol Noktaları eklendi.
-Yeni çift yetenek heykeli: Dalga Binicisi - Hardy, Suç Kırıcı - Bruce.
-Optimizasyonlar:
Yeni Çete özelliği - kara liste/beyaz liste. Çete yetkilileri artık belirli oyuncuların serbestçe katılmasına/ayrılmasına izin vermek için bir beyaz liste ve kötü niyetli oyuncuları engellemek için bir kara liste ayarlayabilir.
Haritada Çita'nın gizlilik modu için bir geri sayım eklendi.
Gizlilik ormanları Primat Karşı Karşıyası haritasına eklendi.
Savaş raporlarında sayıların nasıl sergilendiği iyileştirildi.
Toplu saldırı birliği formasyonlarının sergilenişi geliştirildi.
Değiştirilmiş Maymunlar Tehdidi optimize edildi - Değiştirilmiş Devlere karşı toplu saldırılarda birim türlerini belirleyebilirsiniz.</v>
      </c>
      <c r="M53" s="148" t="str">
        <f>IFERROR(__xludf.DUMMYFUNCTION("""COMPUTED_VALUE"""),"- Chiến Binh Mới: Tiến Sĩ Frost - Herman, một nhà khí tượng học thiên tài và kỹ sư cơ khí với lối nói sắc sảo.
- Người Điều Khiển Cơ Khí: Buồng Lái Cơ Khí hiện đã khả dụng. Giao các người điều khiển khác nhau vào buồng lái để tạo ra những cơ khí độc đáo v"&amp;"ới bộ thuộc tính đặc biệt. Chiêu mộ người điều khiển ngay bây giờ!
- Hàng Chờ Hành Quân: Một hàng chờ hành quân mới hiện đã có sẵn để bạn tận dụng tối đa binh lính của mình. Mua gói để mở khóa hàng chờ này.
- Chiến Tranh Hành Tinh:
Vùng Đất Băng Hà - một "&amp;"ngôi sao mới cho một Chiến Tranh Hành Tinh mới!
Đã thêm tính năng lịch sử chiến đấu.
Đã thêm Trạm Kiểm Soát Sao vào Sao San Hô.
- Tượng tài năng kép mới: Người Cưỡi Sóng - Hardy, Trừng Trị Tội Phạm - Bruce.
- Tối Ưu Hóa:
Tính năng mới của Bang Hội - danh "&amp;"sách đen/trắng. Các sĩ quan bang hội giờ đây có thể thiết lập danh sách trắng để cho phép một số người chơi gia nhập/rời khỏi tự do, và danh sách đen để chặn những người chơi có hành vi xấu.
Đã thêm đếm ngược cho chế độ tàng hình của Báo Đốm trên bản đồ.
"&amp;"Đã thêm rừng tàng hình vào bản đồ Đối Đầu Linh Trưởng.
Cải thiện cách hiển thị số liệu trong chiến báo.
Cải thiện hiển thị đội hình binh lính tập hợp.
Tối ưu hóa Mối Đe Dọa của Khỉ Biến Đổi - bạn giờ đây có thể chỉ định loại binh chủng cho các cuộc tập hợ"&amp;"p chống lại Khổng Lồ Biến Đổi.")</f>
        <v>- Chiến Binh Mới: Tiến Sĩ Frost - Herman, một nhà khí tượng học thiên tài và kỹ sư cơ khí với lối nói sắc sảo.
- Người Điều Khiển Cơ Khí: Buồng Lái Cơ Khí hiện đã khả dụng. Giao các người điều khiển khác nhau vào buồng lái để tạo ra những cơ khí độc đáo với bộ thuộc tính đặc biệt. Chiêu mộ người điều khiển ngay bây giờ!
- Hàng Chờ Hành Quân: Một hàng chờ hành quân mới hiện đã có sẵn để bạn tận dụng tối đa binh lính của mình. Mua gói để mở khóa hàng chờ này.
- Chiến Tranh Hành Tinh:
Vùng Đất Băng Hà - một ngôi sao mới cho một Chiến Tranh Hành Tinh mới!
Đã thêm tính năng lịch sử chiến đấu.
Đã thêm Trạm Kiểm Soát Sao vào Sao San Hô.
- Tượng tài năng kép mới: Người Cưỡi Sóng - Hardy, Trừng Trị Tội Phạm - Bruce.
- Tối Ưu Hóa:
Tính năng mới của Bang Hội - danh sách đen/trắng. Các sĩ quan bang hội giờ đây có thể thiết lập danh sách trắng để cho phép một số người chơi gia nhập/rời khỏi tự do, và danh sách đen để chặn những người chơi có hành vi xấu.
Đã thêm đếm ngược cho chế độ tàng hình của Báo Đốm trên bản đồ.
Đã thêm rừng tàng hình vào bản đồ Đối Đầu Linh Trưởng.
Cải thiện cách hiển thị số liệu trong chiến báo.
Cải thiện hiển thị đội hình binh lính tập hợp.
Tối ưu hóa Mối Đe Dọa của Khỉ Biến Đổi - bạn giờ đây có thể chỉ định loại binh chủng cho các cuộc tập hợp chống lại Khổng Lồ Biến Đổi.</v>
      </c>
      <c r="N53" s="108" t="str">
        <f>IFERROR(__xludf.DUMMYFUNCTION("""COMPUTED_VALUE"""),"-Nuovo Combattente: Dottor Frost - Herman, un geniale climatologo e ingegnere meccanico dalla lingua tagliente.
-Operatori Mech: Cabine di pilotaggio Mech ora disponibili. Assegna diversi operatori alle cabine per creare mech unici con set di attributi sp"&amp;"eciali. Recluta operatori ora!
-Coda di Marcia: Una nuova coda di marcia ora disponibile per ottenere il massimo dalle tue truppe. Acquista il pacchetto per sbloccare questa coda.
- Guerre Planetarie:
Terra Glaciale - una nuova stella per una nuova Guerra"&amp;" Planetaria!
Aggiunta una funzione di cronologia delle battaglie.
Punti di controllo stellari aggiunti a Stella di Corallo.
-Nuova statua doppio talento: Cavaliere dell'Onda - Hardy, Acchiappa Criminali - Bruce.
-Ottimizzazioni:
Nuova funzione Gang - list"&amp;"a nera/lista bianca. Gli ufficiali della Gang possono ora impostare una lista bianca per permettere a certi giocatori di unirsi/uscire liberamente, e una lista nera per bloccare giocatori malevoli.
Aggiunto un conto alla rovescia per la modalità stealth d"&amp;"el Ghepardo sulla mappa.
Boschi stealth aggiunti alla mappa del Confronto Primatesco.
Migliorato il modo in cui i numeri sono esposti nei rapporti di battaglia.
Migliorata l'esposizione delle formazioni delle truppe di adunata.
Ottimizzata la Minaccia del"&amp;"le Scimmie Modificate - ora puoi specificare i tipi di unità per le adunate contro i Giganti Modificati.")</f>
        <v>-Nuovo Combattente: Dottor Frost - Herman, un geniale climatologo e ingegnere meccanico dalla lingua tagliente.
-Operatori Mech: Cabine di pilotaggio Mech ora disponibili. Assegna diversi operatori alle cabine per creare mech unici con set di attributi speciali. Recluta operatori ora!
-Coda di Marcia: Una nuova coda di marcia ora disponibile per ottenere il massimo dalle tue truppe. Acquista il pacchetto per sbloccare questa coda.
- Guerre Planetarie:
Terra Glaciale - una nuova stella per una nuova Guerra Planetaria!
Aggiunta una funzione di cronologia delle battaglie.
Punti di controllo stellari aggiunti a Stella di Corallo.
-Nuova statua doppio talento: Cavaliere dell'Onda - Hardy, Acchiappa Criminali - Bruce.
-Ottimizzazioni:
Nuova funzione Gang - lista nera/lista bianca. Gli ufficiali della Gang possono ora impostare una lista bianca per permettere a certi giocatori di unirsi/uscire liberamente, e una lista nera per bloccare giocatori malevoli.
Aggiunto un conto alla rovescia per la modalità stealth del Ghepardo sulla mappa.
Boschi stealth aggiunti alla mappa del Confronto Primatesco.
Migliorato il modo in cui i numeri sono esposti nei rapporti di battaglia.
Migliorata l'esposizione delle formazioni delle truppe di adunata.
Ottimizzata la Minaccia delle Scimmie Modificate - ora puoi specificare i tipi di unità per le adunate contro i Giganti Modificati.</v>
      </c>
      <c r="O53" s="148" t="str">
        <f>IFERROR(__xludf.DUMMYFUNCTION("""COMPUTED_VALUE"""),"-Nowy Wojownik: Dr. Frost - Herman, geniusz klimatolog i inżynier mechów o bystrym języku.
-Operatorzy Mechów: Kokpity Mecha są teraz dostępne. Przypisz różnych operatorów do kokpitów, aby stworzyć unikalne mechy z zestawami specjalnych atrybutów. Rekrutu"&amp;"j operatorów już teraz!
-Kolejka Marszu: Nowa kolejka marszu jest teraz dostępna, aby w pełni wykorzystać swoje jednostki. Zakup pakiet, aby odblokować tę kolejkę.
- Wojny Planet:
Lodowa Kraina - nowa gwiazda dla nowej Wojny Planet!
Dodano funkcję histori"&amp;"i bitew.
Dodano Gwiezdne Punkty Kontrolne do Gwiazdy Koralowej.
-Nowa podwójna statua talentu: Jeździec Fali - Hardy, Łowca Przestępców - Bruce.
-Optymalizacje:
Nowa funkcja Gangów - czarna/biała lista. Oficerowie gangów mogą teraz ustawić białą listę, ab"&amp;"y pozwolić pewnym graczom na swobodne dołączanie/wychodzenie, oraz czarną listę, aby blokować złośliwych graczy.
Dodano odliczanie dla trybu niewidzialności Geparda na mapie.
Dodano leśne kryjówki do mapy Impasu Naczelnych.
Ulepszono sposób wyświetlania l"&amp;"iczb w raportach z bitwy.
Ulepszono wyświetlanie formacji oddziałów biorących udział w rajdzie.
Zoptymalizowano Zagrożenie ze strony Zmodyfikowanych Małp - teraz możesz określić typy jednostek dla rajdów przeciwko Zmodyfikowanym Gigantom.")</f>
        <v>-Nowy Wojownik: Dr. Frost - Herman, geniusz klimatolog i inżynier mechów o bystrym języku.
-Operatorzy Mechów: Kokpity Mecha są teraz dostępne. Przypisz różnych operatorów do kokpitów, aby stworzyć unikalne mechy z zestawami specjalnych atrybutów. Rekrutuj operatorów już teraz!
-Kolejka Marszu: Nowa kolejka marszu jest teraz dostępna, aby w pełni wykorzystać swoje jednostki. Zakup pakiet, aby odblokować tę kolejkę.
- Wojny Planet:
Lodowa Kraina - nowa gwiazda dla nowej Wojny Planet!
Dodano funkcję historii bitew.
Dodano Gwiezdne Punkty Kontrolne do Gwiazdy Koralowej.
-Nowa podwójna statua talentu: Jeździec Fali - Hardy, Łowca Przestępców - Bruce.
-Optymalizacje:
Nowa funkcja Gangów - czarna/biała lista. Oficerowie gangów mogą teraz ustawić białą listę, aby pozwolić pewnym graczom na swobodne dołączanie/wychodzenie, oraz czarną listę, aby blokować złośliwych graczy.
Dodano odliczanie dla trybu niewidzialności Geparda na mapie.
Dodano leśne kryjówki do mapy Impasu Naczelnych.
Ulepszono sposób wyświetlania liczb w raportach z bitwy.
Ulepszono wyświetlanie formacji oddziałów biorących udział w rajdzie.
Zoptymalizowano Zagrożenie ze strony Zmodyfikowanych Małp - teraz możesz określić typy jednostek dla rajdów przeciwko Zmodyfikowanym Gigantom.</v>
      </c>
      <c r="P53" s="148" t="str">
        <f>IFERROR(__xludf.DUMMYFUNCTION("""COMPUTED_VALUE"""),"-مقاتل جديد: دكتور فروست - هيرمان، عالم مناخ عبقري ومهندس ميكا ذو لسان حاد.
-مشغلو الميكا: قمرة قيادة الميكا متوفرة الآن. قم بتعيين مشغلين مختلفين لقمرات القيادة لإنشاء آليات ميكا فريدة بمجموعات خصائص خاصة. قم بتجنيد المشغلين الآن!
-طابور المسيرة: طابور م"&amp;"سيرة جديد متوفر الآن للاستفادة القصوى من قواتك. قم بشراء باقة لفتح هذا الطابور.
- حروب الكوكب:
أرض الأنهار الجليدية - نجم جديد لحرب كوكب جديدة!
تم إضافة ميزة سجل المعارك.
تم إضافة نقاط تفتيش النجوم إلى نجمة المرجان.
-تمثال الموهبة المزدوج الجديد: متسابق ا"&amp;"لموجة - هاردي، مكافح الجريمة - بروس.
-التحسينات:
ميزة العصابة الجديدة - القائمة السوداء/القائمة البيضاء. يمكن لضباط العصابة الآن تعيين قائمة بيضاء للسماح للاعبين معينين بالانضمام/المغادرة بحرية، وقائمة سوداء لحظر اللاعبين الخبيثين.
تم إضافة عد تنازلي لوضع"&amp;" التخفي الخاص بالفهد على الخريطة.
تم إضافة غابات التخفي إلى خريطة مواجهة الرئيسيات.
تحسين كيفية عرض الأرقام في تقارير المعارك.
تحسين عرض تشكيلات قوات الحشد.
تم تحسين تهديد القرود المعدلة - يمكنك الآن تحديد أنواع الوحدات للحشود ضد العمالقة المعدلين.")</f>
        <v>-مقاتل جديد: دكتور فروست - هيرمان، عالم مناخ عبقري ومهندس ميكا ذو لسان حاد.
-مشغلو الميكا: قمرة قيادة الميكا متوفرة الآن. قم بتعيين مشغلين مختلفين لقمرات القيادة لإنشاء آليات ميكا فريدة بمجموعات خصائص خاصة. قم بتجنيد المشغلين الآن!
-طابور المسيرة: طابور مسيرة جديد متوفر الآن للاستفادة القصوى من قواتك. قم بشراء باقة لفتح هذا الطابور.
- حروب الكوكب:
أرض الأنهار الجليدية - نجم جديد لحرب كوكب جديدة!
تم إضافة ميزة سجل المعارك.
تم إضافة نقاط تفتيش النجوم إلى نجمة المرجان.
-تمثال الموهبة المزدوج الجديد: متسابق الموجة - هاردي، مكافح الجريمة - بروس.
-التحسينات:
ميزة العصابة الجديدة - القائمة السوداء/القائمة البيضاء. يمكن لضباط العصابة الآن تعيين قائمة بيضاء للسماح للاعبين معينين بالانضمام/المغادرة بحرية، وقائمة سوداء لحظر اللاعبين الخبيثين.
تم إضافة عد تنازلي لوضع التخفي الخاص بالفهد على الخريطة.
تم إضافة غابات التخفي إلى خريطة مواجهة الرئيسيات.
تحسين كيفية عرض الأرقام في تقارير المعارك.
تحسين عرض تشكيلات قوات الحشد.
تم تحسين تهديد القرود المعدلة - يمكنك الآن تحديد أنواع الوحدات للحشود ضد العمالقة المعدلين.</v>
      </c>
      <c r="Q53" s="148" t="str">
        <f>IFERROR(__xludf.DUMMYFUNCTION("""COMPUTED_VALUE"""),"-新しいファイター: ドクターフロスト - ハーマン、鋭い舌を持つ天才気象学者兼メカエンジニア。
-メカオペレーター: メカコックピットが今利用可能です。異なるオペレーターをコックピットに割り当てて、特別な属性セットを持つユニークなメカを作成します。今すぐオペレーターを召喚しましょう！
-行軍スロット: 新しい行軍スロットが利用可能になり、ユニットを最大限に活用できます。このスロットを解除するためのパックを購入してください。
- プラネットウォーズ:
氷河の土地 - 新しいプラネットウォーのための新星！
"&amp;"戦闘歴史機能を追加しました。
サンゴ星にプラネット関門を追加しました。
-新しいダブルアビリティ像: ウェーブライダー - ハーディ、犯罪バスター - ブルース。
-最適化:
新しいギルド機能 - ブラックリスト/ホワイトリスト。ギルドの役員は、特定のプレイヤーが自由に参加/解散するためのホワイトリストを設定できるようになり、悪意のあるプレイヤーをブロックするためのブラックリストを設定できます。
マップ上でメカチーターのステルスモードのカウントダウンを追加しました。
プライメイト対決マップにステルスウッズ"&amp;"を追加しました。
戦闘報告書で数字が表示される方法を改善しました。
集結部隊の陣形の表示を改善しました。
改造エイプの脅威を最適化 - 改造ジャイアントに対する集会でユニットタイプを指定できるようになりました。")</f>
        <v>-新しいファイター: ドクターフロスト - ハーマン、鋭い舌を持つ天才気象学者兼メカエンジニア。
-メカオペレーター: メカコックピットが今利用可能です。異なるオペレーターをコックピットに割り当てて、特別な属性セットを持つユニークなメカを作成します。今すぐオペレーターを召喚しましょう！
-行軍スロット: 新しい行軍スロットが利用可能になり、ユニットを最大限に活用できます。このスロットを解除するためのパックを購入してください。
- プラネットウォーズ:
氷河の土地 - 新しいプラネットウォーのための新星！
戦闘歴史機能を追加しました。
サンゴ星にプラネット関門を追加しました。
-新しいダブルアビリティ像: ウェーブライダー - ハーディ、犯罪バスター - ブルース。
-最適化:
新しいギルド機能 - ブラックリスト/ホワイトリスト。ギルドの役員は、特定のプレイヤーが自由に参加/解散するためのホワイトリストを設定できるようになり、悪意のあるプレイヤーをブロックするためのブラックリストを設定できます。
マップ上でメカチーターのステルスモードのカウントダウンを追加しました。
プライメイト対決マップにステルスウッズを追加しました。
戦闘報告書で数字が表示される方法を改善しました。
集結部隊の陣形の表示を改善しました。
改造エイプの脅威を最適化 - 改造ジャイアントに対する集会でユニットタイプを指定できるようになりました。</v>
      </c>
      <c r="R53" s="148" t="str">
        <f>IFERROR(__xludf.DUMMYFUNCTION("""COMPUTED_VALUE"""),"-새로운 전사: 닥터 프로스트 - 날카로운 혀를 가진 천재 기후학자이자 메카 엔지니어인 허먼.
-메카 조종사: 메카 조종석이 이제 사용 가능합니다. 조종석에 다양한 조종사를 배정하여 특별한 속성 세트를 가진 독특한 메카를 창조하세요. 지금 조종사를 모집하세요!
-행군 대기열: 부대를 최대한 활용할 수 있는 새로운 행군 대기열이 이제 사용 가능합니다. 이 대기열을 잠금 해제하려면 팩을 구매하세요.
- 은하 전쟁:
빙하 땅 - 새로운 은하 전쟁을 위한 새로"&amp;"운 별!
전투 역사 기능이 추가되었습니다.
산호별에 행성 검문소가 추가되었습니다.
-새로운 더블 재능 조각상: 웨이브라이더 - 강인한, 범죄 퇴치자 - 브루스.
-최적화:
새로운 무리 기능 - 블랙리스트/화이트리스트. 무리 장교들은 이제 화이트리스트를 설정하여 특정 플레이어들이 자유롭게 가입/떠나도록 허용하고, 블랙리스트를 설정하여 악의적인 플레이어들을 차단할 수 있습니다.
지도에서 치타의 스텔스 모드에 대한 카운트다운이 추가되었습니다.
영장류 대치 지"&amp;"도에 스텔스 숲이 추가되었습니다.
전투 보고서에서 숫자가 표시되는 방식을 개선했습니다.
집결 부대 진형의 디스플레이가 개선되었습니다.
개조된 원숭이들의 위협을 최적화했습니다 - 이제 개조된 거인들에 대한 집결 시 유닛 유형을 지정할 수 있습니다.")</f>
        <v>-새로운 전사: 닥터 프로스트 - 날카로운 혀를 가진 천재 기후학자이자 메카 엔지니어인 허먼.
-메카 조종사: 메카 조종석이 이제 사용 가능합니다. 조종석에 다양한 조종사를 배정하여 특별한 속성 세트를 가진 독특한 메카를 창조하세요. 지금 조종사를 모집하세요!
-행군 대기열: 부대를 최대한 활용할 수 있는 새로운 행군 대기열이 이제 사용 가능합니다. 이 대기열을 잠금 해제하려면 팩을 구매하세요.
- 은하 전쟁:
빙하 땅 - 새로운 은하 전쟁을 위한 새로운 별!
전투 역사 기능이 추가되었습니다.
산호별에 행성 검문소가 추가되었습니다.
-새로운 더블 재능 조각상: 웨이브라이더 - 강인한, 범죄 퇴치자 - 브루스.
-최적화:
새로운 무리 기능 - 블랙리스트/화이트리스트. 무리 장교들은 이제 화이트리스트를 설정하여 특정 플레이어들이 자유롭게 가입/떠나도록 허용하고, 블랙리스트를 설정하여 악의적인 플레이어들을 차단할 수 있습니다.
지도에서 치타의 스텔스 모드에 대한 카운트다운이 추가되었습니다.
영장류 대치 지도에 스텔스 숲이 추가되었습니다.
전투 보고서에서 숫자가 표시되는 방식을 개선했습니다.
집결 부대 진형의 디스플레이가 개선되었습니다.
개조된 원숭이들의 위협을 최적화했습니다 - 이제 개조된 거인들에 대한 집결 시 유닛 유형을 지정할 수 있습니다.</v>
      </c>
      <c r="S53" s="148"/>
      <c r="T53" s="148"/>
      <c r="U53" s="148"/>
      <c r="V53" s="148"/>
      <c r="W53" s="148"/>
      <c r="X53" s="148"/>
      <c r="Y53" s="148"/>
      <c r="Z53" s="148"/>
    </row>
    <row r="54">
      <c r="A54" s="167" t="str">
        <f>IFERROR(__xludf.DUMMYFUNCTION("""COMPUTED_VALUE"""),"0.63.0")</f>
        <v>0.63.0</v>
      </c>
      <c r="B54" s="148" t="str">
        <f>IFERROR(__xludf.DUMMYFUNCTION("""COMPUTED_VALUE"""),"-新增斗士：风行使者-维罗妮卡，速度与勇气并存，来去如风的外交使者！
-新增收藏品突破功能：功能解锁后，玩家可以将史诗收藏品升级到传说品质！
-新增堡垒对决关卡：1101-1150关；
-新增机师远征：远征由系统提供固定机甲，玩家可上阵机师进行闯关，获取机师养成奖励！
-新增战车系统：猿族利用遗留的科技制造出了一种战斗力惊人的大型装甲车，命名为“战车”，战车可容纳多支部队入驻，对敌人造成强力打击！
-攻城掠地：操作、表现等全方位优化；后期新增进阶玩法，可派遣多队驻扎不同建筑，更多策略选择，更丰富的奖励！
"&amp;"-新增火神星和珊瑚星的地底战记玩法；
-无果香蕉树：新增皮肤切换功能，参与过不同星球的银河战争后可以解锁对应的皮肤；
-战报：PvP战报中增加军功获得、银河战争积分等信息的展示模块；
-新增机甲突破系统：在新系统中，可以提升机甲的等级上限，获得更多属性点，让你的机甲更加所向披靡！
-新增机甲技能重置功能：可以使用道具将已养成的进阶技能进行回退，养成材料根据培养的技能等级不同，按比例进行返还；
-酒吧会员：新增会员商城，购买礼包后可获得瓶盖，使用瓶盖可换购丰富奖励！
-新增升星石宝藏活动：完成任务，解锁宝藏"&amp;"，获取大量升星石！")</f>
        <v>-新增斗士：风行使者-维罗妮卡，速度与勇气并存，来去如风的外交使者！
-新增收藏品突破功能：功能解锁后，玩家可以将史诗收藏品升级到传说品质！
-新增堡垒对决关卡：1101-1150关；
-新增机师远征：远征由系统提供固定机甲，玩家可上阵机师进行闯关，获取机师养成奖励！
-新增战车系统：猿族利用遗留的科技制造出了一种战斗力惊人的大型装甲车，命名为“战车”，战车可容纳多支部队入驻，对敌人造成强力打击！
-攻城掠地：操作、表现等全方位优化；后期新增进阶玩法，可派遣多队驻扎不同建筑，更多策略选择，更丰富的奖励！
-新增火神星和珊瑚星的地底战记玩法；
-无果香蕉树：新增皮肤切换功能，参与过不同星球的银河战争后可以解锁对应的皮肤；
-战报：PvP战报中增加军功获得、银河战争积分等信息的展示模块；
-新增机甲突破系统：在新系统中，可以提升机甲的等级上限，获得更多属性点，让你的机甲更加所向披靡！
-新增机甲技能重置功能：可以使用道具将已养成的进阶技能进行回退，养成材料根据培养的技能等级不同，按比例进行返还；
-酒吧会员：新增会员商城，购买礼包后可获得瓶盖，使用瓶盖可换购丰富奖励！
-新增升星石宝藏活动：完成任务，解锁宝藏，获取大量升星石！</v>
      </c>
      <c r="C54" s="148" t="str">
        <f>IFERROR(__xludf.DUMMYFUNCTION("""COMPUTED_VALUE"""),"-New Fighter: Veronica the Windwalker. An emissary with all the velocity and fearlessness of the wind!
-New breakthrough option for relics: Unlock this feature to upgrade Epic relics to Legendary quality!
-New Fortress Takeover levels: levels 1101-1150.
-"&amp;"New event, Operator Expedition: Use mechs provided by the system and your own operators to win upgrade items for operators!
-New carrier system: Apes used human technology to recreate a giant mobile combat unit called ""carriers."" A carrier can hold mult"&amp;"iple troops simultaneously to deliver a devastating blow to enemies!
-Siege &amp; Plunder: All-around improvements to operating UI, performance, and more. Advanced gameplay added to later stages where players can send multiple troops to station in buildings. "&amp;"More strategy options, and better rewards!
-Subterra gameplay added to Fire Star and Coral Star.
-Fruitless Banana Tree: Switch between different skins. Participate in Planet Wars to unlock their corresponding skins.
-Battle reports: Added a section to Pv"&amp;"P reports showing Honor earned, Planet War scores, and other info.
-New mech breakthrough option: Raise a mech's level cap to get more attribute points and make your mechs invincible!
-New reset function for mech skills: Use items to reset activated advan"&amp;"ced skills. Activation items will be returned based on skill level.
-Tavern membership: New store for members! Purchase packs to earn Caps that can be used to redeem rewards!
-New event, Star Stone Treasure: Complete quests to unlock the treasure and win "&amp;"tons of Star Stones!")</f>
        <v>-New Fighter: Veronica the Windwalker. An emissary with all the velocity and fearlessness of the wind!
-New breakthrough option for relics: Unlock this feature to upgrade Epic relics to Legendary quality!
-New Fortress Takeover levels: levels 1101-1150.
-New event, Operator Expedition: Use mechs provided by the system and your own operators to win upgrade items for operators!
-New carrier system: Apes used human technology to recreate a giant mobile combat unit called "carriers." A carrier can hold multiple troops simultaneously to deliver a devastating blow to enemies!
-Siege &amp; Plunder: All-around improvements to operating UI, performance, and more. Advanced gameplay added to later stages where players can send multiple troops to station in buildings. More strategy options, and better rewards!
-Subterra gameplay added to Fire Star and Coral Star.
-Fruitless Banana Tree: Switch between different skins. Participate in Planet Wars to unlock their corresponding skins.
-Battle reports: Added a section to PvP reports showing Honor earned, Planet War scores, and other info.
-New mech breakthrough option: Raise a mech's level cap to get more attribute points and make your mechs invincible!
-New reset function for mech skills: Use items to reset activated advanced skills. Activation items will be returned based on skill level.
-Tavern membership: New store for members! Purchase packs to earn Caps that can be used to redeem rewards!
-New event, Star Stone Treasure: Complete quests to unlock the treasure and win tons of Star Stones!</v>
      </c>
      <c r="D54" s="148" t="str">
        <f>IFERROR(__xludf.DUMMYFUNCTION("""COMPUTED_VALUE"""),"-Nouveau combattant : Veronica la Marcheuse du Vent. Un émissaire avec toute la vélocité et l'audace du vent !
-Nouvelle option de percée pour les reliques : Débloquez cette fonctionnalité pour améliorer les reliques Épiques en qualité Légendaire !
-Nouve"&amp;"aux niveaux d'Invasion de forteresse : niveaux 1101-1150.
-Nouvel évènement, Expédition d'Opérateur : Utilisez des méchas fournis par le système et vos propres opérateurs pour gagner des objets d'amélioration pour les opérateurs !
-Nouveau système de tran"&amp;"sporteurs : Les singes ont utilisé la technologie humaine pour recréer une unité de combat mobile géante appelée ""transporteurs"". Un transporteur peut contenir plusieurs troupes simultanément pour infliger un coup dévastateur aux ennemis !
-Siège &amp; Pill"&amp;"er : Améliorations générales de l'interface utilisateur, de la performance, et plus encore. Un gameplay avancé ajouté aux étapes ultérieures où les joueurs peuvent envoyer plusieurs troupes pour se poster dans des bâtiments. Plus d'options stratégiques, e"&amp;"t de meilleures récompenses !
-Gameplay Subterra ajouté à Etoile de feu et Étoile de Corail.
-Bananier stérile : Changez entre différents skins. Participez à la Guerre planétaire pour débloquer leurs skins correspondants.
-Rapports de bataille : Ajout d'u"&amp;"ne section aux rapports PvP montrant l'Honneur gagné, les scores de Guerre planétaire, et autres infos.
-Nouvelle option de percée pour les méchas : Augmentez le plafond de niveau d'un mécha pour obtenir plus de points d'attribut et rendre vos méchas invi"&amp;"ncibles !
-Nouvelle fonction de réinitialisation pour les compétences de mécha : Utilisez des objets pour réinitialiser les compétences avancées activées. Les objets d'activation seront retournés en fonction du niveau de compétence.
-Adhésion à la Taverne"&amp;" : Nouveau magasin pour les membres ! Achetez des packs pour gagner des Caps qui peuvent être utilisés pour échanger des récompenses !
-Nouvel évènement, Trésor de Pierre d'Étoile : Complétez des quêtes pour débloquer le trésor et gagner des tonnes de Pie"&amp;"rres d'Étoile !")</f>
        <v>-Nouveau combattant : Veronica la Marcheuse du Vent. Un émissaire avec toute la vélocité et l'audace du vent !
-Nouvelle option de percée pour les reliques : Débloquez cette fonctionnalité pour améliorer les reliques Épiques en qualité Légendaire !
-Nouveaux niveaux d'Invasion de forteresse : niveaux 1101-1150.
-Nouvel évènement, Expédition d'Opérateur : Utilisez des méchas fournis par le système et vos propres opérateurs pour gagner des objets d'amélioration pour les opérateurs !
-Nouveau système de transporteurs : Les singes ont utilisé la technologie humaine pour recréer une unité de combat mobile géante appelée "transporteurs". Un transporteur peut contenir plusieurs troupes simultanément pour infliger un coup dévastateur aux ennemis !
-Siège &amp; Piller : Améliorations générales de l'interface utilisateur, de la performance, et plus encore. Un gameplay avancé ajouté aux étapes ultérieures où les joueurs peuvent envoyer plusieurs troupes pour se poster dans des bâtiments. Plus d'options stratégiques, et de meilleures récompenses !
-Gameplay Subterra ajouté à Etoile de feu et Étoile de Corail.
-Bananier stérile : Changez entre différents skins. Participez à la Guerre planétaire pour débloquer leurs skins correspondants.
-Rapports de bataille : Ajout d'une section aux rapports PvP montrant l'Honneur gagné, les scores de Guerre planétaire, et autres infos.
-Nouvelle option de percée pour les méchas : Augmentez le plafond de niveau d'un mécha pour obtenir plus de points d'attribut et rendre vos méchas invincibles !
-Nouvelle fonction de réinitialisation pour les compétences de mécha : Utilisez des objets pour réinitialiser les compétences avancées activées. Les objets d'activation seront retournés en fonction du niveau de compétence.
-Adhésion à la Taverne : Nouveau magasin pour les membres ! Achetez des packs pour gagner des Caps qui peuvent être utilisés pour échanger des récompenses !
-Nouvel évènement, Trésor de Pierre d'Étoile : Complétez des quêtes pour débloquer le trésor et gagner des tonnes de Pierres d'Étoile !</v>
      </c>
      <c r="E54" s="148" t="str">
        <f>IFERROR(__xludf.DUMMYFUNCTION("""COMPUTED_VALUE"""),"-Neuer Kämpfer: Veronica die Windläuferin. Ein Gesandter mit der Geschwindigkeit und Furchtlosigkeit des Windes!
-Neue Durchbruchsoption für Relikte: Schalte diese Funktion frei, um epische Relikte auf legendäre Qualität aufzuwerten!
-Neue Festungsübernah"&amp;"me-Level: Level 1101-1150.
-Neues Event, Bediener-Expedition: Verwende von dem System bereitgestellte Mechs und deine eigenen Bediener, um Upgrade-Items für Bediener zu gewinnen!
-Neues Trägersystem: Affen haben menschliche Technologie genutzt, um eine ri"&amp;"esige mobile Kampfeinheit namens ""Träger"" nachzubauen. Ein Träger kann gleichzeitig mehrere Truppen aufnehmen, um Gegnern einen verheerenden Hieb zu versetzen!
-Belagerung &amp; Plündern: Rundumverbesserungen an der Bedienoberfläche, Leistung und mehr. Fort"&amp;"geschrittener Ablauf zu späteren Stufen hinzugefügt, wo Spieler mehrere Truppen aussenden können, um in Gebäuden zu stationieren. Mehr Strategieoptionen und bessere Belohnungen!
-Unterwelt-Ablauf zu Feuerstern und Korallenstern hinzugefügt.
-Fruchtloser B"&amp;"ananenbaum: Wechsle zwischen verschiedenen Skins. Nimm an Planetenkriegen teil, um ihre entsprechenden Skins freizuschalten.
-Kampfberichte: Ein Abschnitt zu PvP-Berichten hinzugefügt, der verdiente Ehre, Planetenkrieg-Punkte und andere Infos zeigt.
-Neue"&amp;" Mech-Durchbruchsoption: Erhöhe die Levelgrenze eines Mechs, um mehr Attributpunkte zu erhalten und deine Mechs unbesiegbar zu machen!
-Neue Zurücksetzungsfunktion für Mech-Fähigkeiten: Verwende Items, um aktivierte fortgeschrittene Fähigkeiten zurückzuse"&amp;"tzen. Aktivierungsitems werden basierend auf dem Fähigkeitslevel zurückgegeben.
-Tavernenmitgliedschaft: Neuer Laden für Mitglieder! Kaufe Pakete, um Kappen zu verdienen, die zum Einlösen von Belohnungen verwendet werden können!
-Neues Event, Sternenstein"&amp;"-Schatz: Schließe Quests ab, um den Schatz freizuschalten und jede Menge Sternensteine zu gewinnen!")</f>
        <v>-Neuer Kämpfer: Veronica die Windläuferin. Ein Gesandter mit der Geschwindigkeit und Furchtlosigkeit des Windes!
-Neue Durchbruchsoption für Relikte: Schalte diese Funktion frei, um epische Relikte auf legendäre Qualität aufzuwerten!
-Neue Festungsübernahme-Level: Level 1101-1150.
-Neues Event, Bediener-Expedition: Verwende von dem System bereitgestellte Mechs und deine eigenen Bediener, um Upgrade-Items für Bediener zu gewinnen!
-Neues Trägersystem: Affen haben menschliche Technologie genutzt, um eine riesige mobile Kampfeinheit namens "Träger" nachzubauen. Ein Träger kann gleichzeitig mehrere Truppen aufnehmen, um Gegnern einen verheerenden Hieb zu versetzen!
-Belagerung &amp; Plündern: Rundumverbesserungen an der Bedienoberfläche, Leistung und mehr. Fortgeschrittener Ablauf zu späteren Stufen hinzugefügt, wo Spieler mehrere Truppen aussenden können, um in Gebäuden zu stationieren. Mehr Strategieoptionen und bessere Belohnungen!
-Unterwelt-Ablauf zu Feuerstern und Korallenstern hinzugefügt.
-Fruchtloser Bananenbaum: Wechsle zwischen verschiedenen Skins. Nimm an Planetenkriegen teil, um ihre entsprechenden Skins freizuschalten.
-Kampfberichte: Ein Abschnitt zu PvP-Berichten hinzugefügt, der verdiente Ehre, Planetenkrieg-Punkte und andere Infos zeigt.
-Neue Mech-Durchbruchsoption: Erhöhe die Levelgrenze eines Mechs, um mehr Attributpunkte zu erhalten und deine Mechs unbesiegbar zu machen!
-Neue Zurücksetzungsfunktion für Mech-Fähigkeiten: Verwende Items, um aktivierte fortgeschrittene Fähigkeiten zurückzusetzen. Aktivierungsitems werden basierend auf dem Fähigkeitslevel zurückgegeben.
-Tavernenmitgliedschaft: Neuer Laden für Mitglieder! Kaufe Pakete, um Kappen zu verdienen, die zum Einlösen von Belohnungen verwendet werden können!
-Neues Event, Sternenstein-Schatz: Schließe Quests ab, um den Schatz freizuschalten und jede Menge Sternensteine zu gewinnen!</v>
      </c>
      <c r="F54" s="148" t="str">
        <f>IFERROR(__xludf.DUMMYFUNCTION("""COMPUTED_VALUE"""),"-Novo combatente: Veronica, a Caminhante do Vento. Uma emissária com toda a velocidade e destemor do vento!
-Nova opção de avanço para relíquias: Desbloqueie este recurso para melhorar relíquias Épicas para qualidade Lendária!
-Novos níveis de Conquista d"&amp;"a Fortaleza: níveis 1101-1150.
-Novo evento, Expedição de Operador: Use mecas fornecidas pelo sistema e seus próprios operadores para ganhar itens de melhoria para operadores!
-Novo sistema de transportadores: Os macacos usaram a tecnologia humana para re"&amp;"criar uma unidade de combate móvel gigante chamada ""transportadores"". Um transportador pode conter várias tropas simultaneamente para desferir um golpe devastador nos inimigos!
-Cerco &amp; Saque: Melhorias abrangentes na UI de operação, desempenho e mais. "&amp;"Mecânica de jogo avançada adicionada às fases posteriores onde os jogadores podem enviar múltiplas tropas para guarnecer em construções. Mais opções de estratégia e melhores recompensas!
-Mecânica de jogo Subterra adicionada à Estrela de Fogo e Estrela Co"&amp;"ral.
-Bananeira sem Frutos: Alterne entre diferentes skins. Participe na Guerra Interplanetária para desbloquear suas skins correspondentes.
-Relatórios da batalha: Adicionada uma seção aos relatórios PvP mostrando Honra ganha, pontuações da Guerra Interp"&amp;"lanetária e outras informações.
-Nova opção de avanço para mecas: Aumente o limite de nível de um mech para obter mais pontos de atributo e tornar seus mecas invencíveis!
-Nova função de redefinição para habilidades de mecas: Use itens para redefinir habi"&amp;"lidades avançadas ativadas. Itens de ativação serão devolvidos com base no nível da habilidade.
-Membros da Taverna: Nova loja para membros! Compre pacotes para ganhar Caps que podem ser usados para resgatar recompensas!
-Novo evento, Tesouro de Pedra Est"&amp;"elar: Complete missões para desbloquear o tesouro e ganhar toneladas de Pedras Estelares!")</f>
        <v>-Novo combatente: Veronica, a Caminhante do Vento. Uma emissária com toda a velocidade e destemor do vento!
-Nova opção de avanço para relíquias: Desbloqueie este recurso para melhorar relíquias Épicas para qualidade Lendária!
-Novos níveis de Conquista da Fortaleza: níveis 1101-1150.
-Novo evento, Expedição de Operador: Use mecas fornecidas pelo sistema e seus próprios operadores para ganhar itens de melhoria para operadores!
-Novo sistema de transportadores: Os macacos usaram a tecnologia humana para recriar uma unidade de combate móvel gigante chamada "transportadores". Um transportador pode conter várias tropas simultaneamente para desferir um golpe devastador nos inimigos!
-Cerco &amp; Saque: Melhorias abrangentes na UI de operação, desempenho e mais. Mecânica de jogo avançada adicionada às fases posteriores onde os jogadores podem enviar múltiplas tropas para guarnecer em construções. Mais opções de estratégia e melhores recompensas!
-Mecânica de jogo Subterra adicionada à Estrela de Fogo e Estrela Coral.
-Bananeira sem Frutos: Alterne entre diferentes skins. Participe na Guerra Interplanetária para desbloquear suas skins correspondentes.
-Relatórios da batalha: Adicionada uma seção aos relatórios PvP mostrando Honra ganha, pontuações da Guerra Interplanetária e outras informações.
-Nova opção de avanço para mecas: Aumente o limite de nível de um mech para obter mais pontos de atributo e tornar seus mecas invencíveis!
-Nova função de redefinição para habilidades de mecas: Use itens para redefinir habilidades avançadas ativadas. Itens de ativação serão devolvidos com base no nível da habilidade.
-Membros da Taverna: Nova loja para membros! Compre pacotes para ganhar Caps que podem ser usados para resgatar recompensas!
-Novo evento, Tesouro de Pedra Estelar: Complete missões para desbloquear o tesouro e ganhar toneladas de Pedras Estelares!</v>
      </c>
      <c r="G54" s="148" t="str">
        <f>IFERROR(__xludf.DUMMYFUNCTION("""COMPUTED_VALUE"""),"-新增鬥士：風行使者-維羅妮卡，速度與勇氣並存，來去如風的外交使者！
-新增收藏品突破功能：功能解鎖後，玩家可以將史詩收藏品升級到傳說品質！
-新增堡壘對決關卡：1101-1150關；
-新增機師遠征：遠征由系統提供固定機甲，玩家可參賽機師進行闖關，獲取機師養成獎勵！
-新增戰車系統：猿族利用遺留的科技製造出了一種勢力值驚人的大型裝甲車，命名為“戰車”，戰車可容納多支部隊入駐，對敵人造成強力打擊！
-攻城掠地：操作、表現等全方位優化；後期新增進階玩法，可派遣多隊駐紮不同建造，更多策略選擇，更豐富的獎勵！
"&amp;"-新增火神星和珊瑚星的地底戰記玩法；
-無果香蕉樹：新增皮膚切換功能，參與過不同星球的銀河戰爭後可以解鎖對應的皮膚；
-戰報：PvP戰報中增加軍功獲得、銀河戰爭積分等信息的展示模塊；
-新增機甲突破系統：在新系統中，可以提升機甲的等級上限，獲得更多屬性點，讓你的機甲更加所向披靡！
-新增機甲技能重置功能：可以使用道具將已養成的進階技能進行回退，養成材料根據訓練的技能等級不同，按比例進行返還；
-酒吧會員：新增會員商城，購買禮包後可獲得瓶蓋，使用瓶蓋可換購豐富獎勵！
-新增升星石寶藏活動：完成任務，解鎖寶藏"&amp;"，獲取大量升星石！")</f>
        <v>-新增鬥士：風行使者-維羅妮卡，速度與勇氣並存，來去如風的外交使者！
-新增收藏品突破功能：功能解鎖後，玩家可以將史詩收藏品升級到傳說品質！
-新增堡壘對決關卡：1101-1150關；
-新增機師遠征：遠征由系統提供固定機甲，玩家可參賽機師進行闖關，獲取機師養成獎勵！
-新增戰車系統：猿族利用遺留的科技製造出了一種勢力值驚人的大型裝甲車，命名為“戰車”，戰車可容納多支部隊入駐，對敵人造成強力打擊！
-攻城掠地：操作、表現等全方位優化；後期新增進階玩法，可派遣多隊駐紮不同建造，更多策略選擇，更豐富的獎勵！
-新增火神星和珊瑚星的地底戰記玩法；
-無果香蕉樹：新增皮膚切換功能，參與過不同星球的銀河戰爭後可以解鎖對應的皮膚；
-戰報：PvP戰報中增加軍功獲得、銀河戰爭積分等信息的展示模塊；
-新增機甲突破系統：在新系統中，可以提升機甲的等級上限，獲得更多屬性點，讓你的機甲更加所向披靡！
-新增機甲技能重置功能：可以使用道具將已養成的進階技能進行回退，養成材料根據訓練的技能等級不同，按比例進行返還；
-酒吧會員：新增會員商城，購買禮包後可獲得瓶蓋，使用瓶蓋可換購豐富獎勵！
-新增升星石寶藏活動：完成任務，解鎖寶藏，獲取大量升星石！</v>
      </c>
      <c r="H54" s="148" t="str">
        <f>IFERROR(__xludf.DUMMYFUNCTION("""COMPUTED_VALUE"""),"-Pejuang Baru: Veronica Pengendara Angin. Seorang utusan dengan semua kecepatan dan keberanian seperti angin!
-Opsi terobosan baru untuk relik: Buka fitur ini untuk meningkatkan relik Epik menjadi kualitas Legendaris!
-Level Penaklukan Benteng baru: level"&amp;" 1101-1150.
-Event baru, Ekspedisi Operator: Gunakan mekanik yang disediakan oleh sistem dan operator Anda sendiri untuk memenangkan item peningkatan untuk operator!
-Sistem pembawa barang baru: Manusia menggunakan teknologi manusia untuk menciptakan unit"&amp;" tempur bergerak raksasa yang disebut ""pembawa barang."" Sebuah pembawa barang dapat menampung beberapa pasukan sekaligus untuk memberikan pukulan mematikan kepada musuh!
-Pengepungan &amp; Jarah: Peningkatan menyeluruh pada UI operasi, kinerja, dan lainnya."&amp;" Gameplay lanjutan ditambahkan ke tahap selanjutnya di mana pemain dapat mengirim beberapa pasukan untuk menempatkan di bangunan. Lebih banyak opsi strategi, dan hadiah yang lebih baik!
-Gameplay Subterra ditambahkan ke Bintang Api dan Bintang Karang.
-Po"&amp;"hon Pisan Tak Berbuah: Beralih antara skin yang berbeda. Berpartisipasi dalam Perang Planet untuk membuka skin yang sesuai.
-Laporan pertempuran: Menambahkan bagian ke laporan PvP yang menunjukkan Kehormatan yang diperoleh, skor Perang Planet, dan informa"&amp;"si lainnya.
-Opsi terobosan mekanik baru: Naikkan batas level mekanik untuk mendapatkan lebih banyak poin atribut dan membuat mekanik Anda tak terkalahkan!
-Fungsi atur ulang baru untuk skill mekanik: Gunakan item untuk mengatur ulang skill lanjutan yang "&amp;"diaktifkan. Item aktivasi akan dikembalikan berdasarkan level skill.
-Keanggotaan Kedai kera: Toko baru untuk anggota! Pembelian paket untuk mendapatkan Caps yang dapat digunakan untuk menukarkan hadiah!
-Event baru, Batu Bintang Harta Karun: Lengkapi tan"&amp;"tangan untuk membuka harta karun dan menangkan ton Batu Bintang!")</f>
        <v>-Pejuang Baru: Veronica Pengendara Angin. Seorang utusan dengan semua kecepatan dan keberanian seperti angin!
-Opsi terobosan baru untuk relik: Buka fitur ini untuk meningkatkan relik Epik menjadi kualitas Legendaris!
-Level Penaklukan Benteng baru: level 1101-1150.
-Event baru, Ekspedisi Operator: Gunakan mekanik yang disediakan oleh sistem dan operator Anda sendiri untuk memenangkan item peningkatan untuk operator!
-Sistem pembawa barang baru: Manusia menggunakan teknologi manusia untuk menciptakan unit tempur bergerak raksasa yang disebut "pembawa barang." Sebuah pembawa barang dapat menampung beberapa pasukan sekaligus untuk memberikan pukulan mematikan kepada musuh!
-Pengepungan &amp; Jarah: Peningkatan menyeluruh pada UI operasi, kinerja, dan lainnya. Gameplay lanjutan ditambahkan ke tahap selanjutnya di mana pemain dapat mengirim beberapa pasukan untuk menempatkan di bangunan. Lebih banyak opsi strategi, dan hadiah yang lebih baik!
-Gameplay Subterra ditambahkan ke Bintang Api dan Bintang Karang.
-Pohon Pisan Tak Berbuah: Beralih antara skin yang berbeda. Berpartisipasi dalam Perang Planet untuk membuka skin yang sesuai.
-Laporan pertempuran: Menambahkan bagian ke laporan PvP yang menunjukkan Kehormatan yang diperoleh, skor Perang Planet, dan informasi lainnya.
-Opsi terobosan mekanik baru: Naikkan batas level mekanik untuk mendapatkan lebih banyak poin atribut dan membuat mekanik Anda tak terkalahkan!
-Fungsi atur ulang baru untuk skill mekanik: Gunakan item untuk mengatur ulang skill lanjutan yang diaktifkan. Item aktivasi akan dikembalikan berdasarkan level skill.
-Keanggotaan Kedai kera: Toko baru untuk anggota! Pembelian paket untuk mendapatkan Caps yang dapat digunakan untuk menukarkan hadiah!
-Event baru, Batu Bintang Harta Karun: Lengkapi tantangan untuk membuka harta karun dan menangkan ton Batu Bintang!</v>
      </c>
      <c r="I54" s="148" t="str">
        <f>IFERROR(__xludf.DUMMYFUNCTION("""COMPUTED_VALUE"""),"-นักสู้ตัวใหม่: เวโรนิก้า นักเดินลม ผู้ส่งสารที่มีความเร็วและความกล้าหาญเหมือนลมที่พัดผ่าน!
-ตัวเลือกการพัฒนาใหม่สำหรับวัตถุโบราณ: ปลดล็อกฟีเจอร์นี้เพื่ออัปเกรดวัตถุโบราณระดับมหากาพย์ให้กลายเป็นระดับตำนาน!
-ระดับการยึดป้อมปราการใหม่: เลเวล 1101-1150
-กิจก"&amp;"รรมใหม่, การสำรวจผู้ปฏิบัติการ: ใช้เมคที่ระบบให้มาและผู้ปฏิบัติการของคุณเองเพื่อชนะไอเทมอัปเกรดสำหรับผู้ปฏิบัติการ!
-ระบบลิงขนส่งใหม่: ลิงใช้เทคโนโลยีมนุษย์สร้างหน่วยรบเคลื่อนที่ขนาดยักษ์ที่เรียกว่า ""ลิงขนส่ง"" ลิงขนส่งสามารถบรรทุกกองทหารหลายหน่วยพร้อมกั"&amp;"นเพื่อส่งระเบิดทำลายล้างใส่ศัตรู!
-ตีเมือง &amp; ปล้น: ปรับปรุงทั่วไปในการดำเนินการ UI, ประสิทธิภาพ, และอื่นๆ การเล่นเกมขั้นสูงถูกเพิ่มเข้าไปในด่านที่หลัง ๆ ที่ผู้เล่นสามารถส่งกองทหารหลายหน่วยไปประจำการในสิ่งก่อสร้าง ตัวเลือกกลยุทธ์มากขึ้นและรางวัลที่ดีกว่า!
"&amp;"-เพิ่มการเล่นเกม Subterra ในดาวอัคคีและดาวปะการัง
-ต้นกล้วยไร้ผล: เปลี่ยนสกินได้ ร่วมเข้าสงครามดาวเคราะห์เพื่อปลดล็อกสกินที่เกี่ยวข้อง
-รายงานการต่อสู้: เพิ่มส่วนในรายงาน PvP ที่แสดงเกียรติยศที่ได้รับ, คะแนนสงครามดาวเคราะห์, และข้อมูลอื่นๆ
-ตัวเลือกการพัฒ"&amp;"นาเมคใหม่: เพิ่มขีดจำกัดเลเวลของเมคเพื่อรับคะแนนคุณสมบัติเพิ่มเติมและทำให้เมคของคุณไร้เทียมทาน!
-ฟังก์ชันรีเซ็ตใหม่สำหรับสกิลเมค: ใช้ไอเทมเพื่อรีเซ็ตสกิลที่พัฒนาแล้วที่เปิดใช้งาน ไอเทมการเปิดใช้งานจะถูกคืนตามระดับสกิล
-สมาชิกโรงแรม: ร้านค้าใหม่สำหรับสมาชิ"&amp;"ก! ซื้อแพ็กเพื่อรับแคปซูลที่สามารถใช้แลกเปลี่ยนรางวัล!
-กิจกรรมใหม่, หินดวงดาวสมบัติ: ทำเควสต์เพื่อปลดล็อกสมบัติและชนะหินดวงดาวมากมาย!")</f>
        <v>-นักสู้ตัวใหม่: เวโรนิก้า นักเดินลม ผู้ส่งสารที่มีความเร็วและความกล้าหาญเหมือนลมที่พัดผ่าน!
-ตัวเลือกการพัฒนาใหม่สำหรับวัตถุโบราณ: ปลดล็อกฟีเจอร์นี้เพื่ออัปเกรดวัตถุโบราณระดับมหากาพย์ให้กลายเป็นระดับตำนาน!
-ระดับการยึดป้อมปราการใหม่: เลเวล 1101-1150
-กิจกรรมใหม่, การสำรวจผู้ปฏิบัติการ: ใช้เมคที่ระบบให้มาและผู้ปฏิบัติการของคุณเองเพื่อชนะไอเทมอัปเกรดสำหรับผู้ปฏิบัติการ!
-ระบบลิงขนส่งใหม่: ลิงใช้เทคโนโลยีมนุษย์สร้างหน่วยรบเคลื่อนที่ขนาดยักษ์ที่เรียกว่า "ลิงขนส่ง" ลิงขนส่งสามารถบรรทุกกองทหารหลายหน่วยพร้อมกันเพื่อส่งระเบิดทำลายล้างใส่ศัตรู!
-ตีเมือง &amp; ปล้น: ปรับปรุงทั่วไปในการดำเนินการ UI, ประสิทธิภาพ, และอื่นๆ การเล่นเกมขั้นสูงถูกเพิ่มเข้าไปในด่านที่หลัง ๆ ที่ผู้เล่นสามารถส่งกองทหารหลายหน่วยไปประจำการในสิ่งก่อสร้าง ตัวเลือกกลยุทธ์มากขึ้นและรางวัลที่ดีกว่า!
-เพิ่มการเล่นเกม Subterra ในดาวอัคคีและดาวปะการัง
-ต้นกล้วยไร้ผล: เปลี่ยนสกินได้ ร่วมเข้าสงครามดาวเคราะห์เพื่อปลดล็อกสกินที่เกี่ยวข้อง
-รายงานการต่อสู้: เพิ่มส่วนในรายงาน PvP ที่แสดงเกียรติยศที่ได้รับ, คะแนนสงครามดาวเคราะห์, และข้อมูลอื่นๆ
-ตัวเลือกการพัฒนาเมคใหม่: เพิ่มขีดจำกัดเลเวลของเมคเพื่อรับคะแนนคุณสมบัติเพิ่มเติมและทำให้เมคของคุณไร้เทียมทาน!
-ฟังก์ชันรีเซ็ตใหม่สำหรับสกิลเมค: ใช้ไอเทมเพื่อรีเซ็ตสกิลที่พัฒนาแล้วที่เปิดใช้งาน ไอเทมการเปิดใช้งานจะถูกคืนตามระดับสกิล
-สมาชิกโรงแรม: ร้านค้าใหม่สำหรับสมาชิก! ซื้อแพ็กเพื่อรับแคปซูลที่สามารถใช้แลกเปลี่ยนรางวัล!
-กิจกรรมใหม่, หินดวงดาวสมบัติ: ทำเควสต์เพื่อปลดล็อกสมบัติและชนะหินดวงดาวมากมาย!</v>
      </c>
      <c r="J54" s="148" t="str">
        <f>IFERROR(__xludf.DUMMYFUNCTION("""COMPUTED_VALUE"""),"-Nuevo Luchador: Veronica la Caminante del Viento. ¡Un emisario con toda la velocidad e intrepidez del viento!
-Nueva opción de avance para reliquias: ¡Desbloquea esta característica para mejorar reliquias Épicas a calidad Legendario!
-Nuevos niveles de T"&amp;"oma de la Fortaleza: niveles 1101-1150.
-Nuevo evento, Expedición de Operadores: ¡Usa mecas proporcionados por el sistema y tus propios operadores para ganar artículos de mejora para operadores!
-Nuevo sistema de transportadores: Los simios utilizaron tec"&amp;"nología humana para recrear una unidad de combate móvil gigante llamada ""transportadores"". ¡Un transportador puede llevar múltiples tropas simultáneamente para asestar un golpe devastador a los enemigos!
-Asedio &amp; Saqueo: Mejoras integrales en la interf"&amp;"az de usuario operativa, rendimiento y más. Se añadió forma de juego avanzada en etapas posteriores donde los jugadores pueden enviar múltiples tropas para estacionar en construcciones. Más opciones de estrategia y mejores recompensas.
-Se añadió forma de"&amp;" juego Subterra a Estrella de Fuego y Estrella de Coral.
-Árbol de Banana sin Fruto: Cambia entre diferentes aspectos. Participa en Guerras Planetarias para desbloquear sus aspectos correspondientes.
-Informes de batalla: Se añadió una sección en los info"&amp;"rmes de JcJ que muestra el Honor ganado, puntuaciones de Guerra Planetaria y otra información.
-Nueva opción de avance para mecas: Aumenta el límite de nivel de un mech para conseguir más puntos de atributo y hacer tus mecas invencibles.
-Nueva función de"&amp;" reinicio para habilidades de mecas: Usa artículos para reiniciar habilidades avanzadas activadas. Los artículos de activación serán devueltos basados en el nivel de habilidad.
-Membresía de Taberna: ¡Nueva tienda para miembros! Compra paquetes para ganar"&amp;" Gorras que pueden ser usadas para canjear recompensas.
-Nuevo evento, Tesoro de Piedra Estelar: Completa misiones para desbloquear el tesoro y ganar toneladas de Piedras Estelares.")</f>
        <v>-Nuevo Luchador: Veronica la Caminante del Viento. ¡Un emisario con toda la velocidad e intrepidez del viento!
-Nueva opción de avance para reliquias: ¡Desbloquea esta característica para mejorar reliquias Épicas a calidad Legendario!
-Nuevos niveles de Toma de la Fortaleza: niveles 1101-1150.
-Nuevo evento, Expedición de Operadores: ¡Usa mecas proporcionados por el sistema y tus propios operadores para ganar artículos de mejora para operadores!
-Nuevo sistema de transportadores: Los simios utilizaron tecnología humana para recrear una unidad de combate móvil gigante llamada "transportadores". ¡Un transportador puede llevar múltiples tropas simultáneamente para asestar un golpe devastador a los enemigos!
-Asedio &amp; Saqueo: Mejoras integrales en la interfaz de usuario operativa, rendimiento y más. Se añadió forma de juego avanzada en etapas posteriores donde los jugadores pueden enviar múltiples tropas para estacionar en construcciones. Más opciones de estrategia y mejores recompensas.
-Se añadió forma de juego Subterra a Estrella de Fuego y Estrella de Coral.
-Árbol de Banana sin Fruto: Cambia entre diferentes aspectos. Participa en Guerras Planetarias para desbloquear sus aspectos correspondientes.
-Informes de batalla: Se añadió una sección en los informes de JcJ que muestra el Honor ganado, puntuaciones de Guerra Planetaria y otra información.
-Nueva opción de avance para mecas: Aumenta el límite de nivel de un mech para conseguir más puntos de atributo y hacer tus mecas invencibles.
-Nueva función de reinicio para habilidades de mecas: Usa artículos para reiniciar habilidades avanzadas activadas. Los artículos de activación serán devueltos basados en el nivel de habilidad.
-Membresía de Taberna: ¡Nueva tienda para miembros! Compra paquetes para ganar Gorras que pueden ser usadas para canjear recompensas.
-Nuevo evento, Tesoro de Piedra Estelar: Completa misiones para desbloquear el tesoro y ganar toneladas de Piedras Estelares.</v>
      </c>
      <c r="K54" s="148" t="str">
        <f>IFERROR(__xludf.DUMMYFUNCTION("""COMPUTED_VALUE"""),"-Новый герой: Вероника Ветроход. Посланник со всей скоростью и бесстрашием ветра!
-Новая возможность прорыва для реликвий: Откройте эту функцию, чтобы улучшить Эпические реликвии до Легендарного качества!
-Новые уровни Захвата крепости: уровни 1101-1150.
"&amp;"-Новое событие, Операторская Экспедиция: Используйте мехов, предоставленных системой, и ваших операторов, чтобы выиграть предметы для улучшения операторов!
-Новая система перевозчиков: Обезьяны использовали человеческую технологию, чтобы воссоздать гигант"&amp;"ский мобильный боевой блок, называемый ""перевозчики"". Перевозчик может одновременно вместить несколько войск, чтобы нанести сокрушительный удар по врагам!
-Осада и Разграбление: Всесторонние улучшения интерфейса управления, производительности и многого "&amp;"другого. Продвинутая игра добавлена на более поздние этапы, где игроки могут отправлять несколько войск для размещения в постройках. Больше стратегических опций и лучшие награды!
-Игра в Подземелье добавлена на Огненную звезду и Коралловую Звезду.
-Беспло"&amp;"дное банановое дерево: Переключайтесь между разными скинами. Участвуйте в Планетарных войнах, чтобы разблокировать соответствующие скины.
-Отчеты о боях: Добавлен раздел в PvP отчеты, показывающий заработанную Честь, очки Планетарной войны и другую информ"&amp;"ацию.
-Новая опция прорыва меха: Повысьте максимальный уровень меха, чтобы получить больше очков атрибутов и сделать ваши мехи непобедимыми!
-Новая функция сброса навыков меха: Используйте предметы для сброса активированных продвинутых навыков. Предметы а"&amp;"ктивации будут возвращены в зависимости от уровня навыка.
-Членство в таверне: Новый магазин для участников! Покупайте наборы, чтобы заработать Кепки, которые можно использовать для обмена на награды!
-Новое событие, Звездное Сокровище Камня: Выполняйте з"&amp;"адания, чтобы разблокировать сокровище и выиграть тонны Звездных Камней!")</f>
        <v>-Новый герой: Вероника Ветроход. Посланник со всей скоростью и бесстрашием ветра!
-Новая возможность прорыва для реликвий: Откройте эту функцию, чтобы улучшить Эпические реликвии до Легендарного качества!
-Новые уровни Захвата крепости: уровни 1101-1150.
-Новое событие, Операторская Экспедиция: Используйте мехов, предоставленных системой, и ваших операторов, чтобы выиграть предметы для улучшения операторов!
-Новая система перевозчиков: Обезьяны использовали человеческую технологию, чтобы воссоздать гигантский мобильный боевой блок, называемый "перевозчики". Перевозчик может одновременно вместить несколько войск, чтобы нанести сокрушительный удар по врагам!
-Осада и Разграбление: Всесторонние улучшения интерфейса управления, производительности и многого другого. Продвинутая игра добавлена на более поздние этапы, где игроки могут отправлять несколько войск для размещения в постройках. Больше стратегических опций и лучшие награды!
-Игра в Подземелье добавлена на Огненную звезду и Коралловую Звезду.
-Бесплодное банановое дерево: Переключайтесь между разными скинами. Участвуйте в Планетарных войнах, чтобы разблокировать соответствующие скины.
-Отчеты о боях: Добавлен раздел в PvP отчеты, показывающий заработанную Честь, очки Планетарной войны и другую информацию.
-Новая опция прорыва меха: Повысьте максимальный уровень меха, чтобы получить больше очков атрибутов и сделать ваши мехи непобедимыми!
-Новая функция сброса навыков меха: Используйте предметы для сброса активированных продвинутых навыков. Предметы активации будут возвращены в зависимости от уровня навыка.
-Членство в таверне: Новый магазин для участников! Покупайте наборы, чтобы заработать Кепки, которые можно использовать для обмена на награды!
-Новое событие, Звездное Сокровище Камня: Выполняйте задания, чтобы разблокировать сокровище и выиграть тонны Звездных Камней!</v>
      </c>
      <c r="L54" s="148" t="str">
        <f>IFERROR(__xludf.DUMMYFUNCTION("""COMPUTED_VALUE"""),"-Yeni Savaşçı: Rüzgar Yürüyücüsü Veronica. Rüzgarın tüm hızı ve korkusuzluğuyla bir elçi!
-Kalıntılar için yeni gelişim seçeneği: Bu özelliği açarak Epik kalıntıları Efsanevi kaliteye yükseltin!
-Yeni Kaleyi Ele Geçirme seviyeleri: 1101-1150 seviyeleri.
-"&amp;"Yeni etkinlik, Operatör Gezisi: Sistem tarafından sağlanan mekaları ve kendi operatörlerinizi kullanarak operatörler için yükseltme eşyaları kazanın!
-Yeni taşıyıcı sistemi: İnsan teknolojisini kullanarak ""taşıyıcılar"" adında dev bir mobil savaş birimi "&amp;"yaratan maymunlar. Bir taşıyıcı, düşmanlara yıkıcı bir darbe indirmek için aynı anda birden fazla birlik taşıyabilir!
-Kuşatma &amp; Yağmala: Kullanıcı arayüzünde, performansta ve daha fazlasında genel iyileştirmeler. Oyuncuların binalarda birden fazla birlik"&amp;" görevlendirebileceği sonraki aşamalara gelişmiş oynanış eklendi. Daha fazla strateji seçeneği ve daha iyi ödüller!
-Ateş Yıldızı ve Mercan Yıldızı'na Subterra oynanışı eklendi.
-Meyve Vermeyen Muz Ağacı: Farklı görünümler arasında geçiş yapın. İlgili gör"&amp;"ünümleri açmak için Gezegen Savaşları'na katılın.
-Savaş raporları: PvP raporlarına kazanılan Onur, Gezegen Savaşı puanları ve diğer bilgileri gösteren bir bölüm eklendi.
-Yeni meka gelişim seçeneği: Bir mekanın seviye sınırını yükselterek daha fazla nite"&amp;"lik puanı alın ve mekanlarınızı yenilmez yapın!
-Meka becerileri için yeni sıfırlama işlevi: Etkinleştirilmiş ileri becerileri sıfırlamak için eşyalar kullanın. Aktivasyon eşyaları, beceri seviyesine göre geri verilecektir.
-Taverna üyeliği: Üyeler için y"&amp;"eni mağaza! Paketler satın alarak ödüller almak için kullanılabilecek Kapaklar kazanın!
-Yeni etkinlik, Yıldız Taşı Hazinesi: Görevleri tamamlayarak hazineyi açın ve tonlarca Yıldız Taşı kazanın!")</f>
        <v>-Yeni Savaşçı: Rüzgar Yürüyücüsü Veronica. Rüzgarın tüm hızı ve korkusuzluğuyla bir elçi!
-Kalıntılar için yeni gelişim seçeneği: Bu özelliği açarak Epik kalıntıları Efsanevi kaliteye yükseltin!
-Yeni Kaleyi Ele Geçirme seviyeleri: 1101-1150 seviyeleri.
-Yeni etkinlik, Operatör Gezisi: Sistem tarafından sağlanan mekaları ve kendi operatörlerinizi kullanarak operatörler için yükseltme eşyaları kazanın!
-Yeni taşıyıcı sistemi: İnsan teknolojisini kullanarak "taşıyıcılar" adında dev bir mobil savaş birimi yaratan maymunlar. Bir taşıyıcı, düşmanlara yıkıcı bir darbe indirmek için aynı anda birden fazla birlik taşıyabilir!
-Kuşatma &amp; Yağmala: Kullanıcı arayüzünde, performansta ve daha fazlasında genel iyileştirmeler. Oyuncuların binalarda birden fazla birlik görevlendirebileceği sonraki aşamalara gelişmiş oynanış eklendi. Daha fazla strateji seçeneği ve daha iyi ödüller!
-Ateş Yıldızı ve Mercan Yıldızı'na Subterra oynanışı eklendi.
-Meyve Vermeyen Muz Ağacı: Farklı görünümler arasında geçiş yapın. İlgili görünümleri açmak için Gezegen Savaşları'na katılın.
-Savaş raporları: PvP raporlarına kazanılan Onur, Gezegen Savaşı puanları ve diğer bilgileri gösteren bir bölüm eklendi.
-Yeni meka gelişim seçeneği: Bir mekanın seviye sınırını yükselterek daha fazla nitelik puanı alın ve mekanlarınızı yenilmez yapın!
-Meka becerileri için yeni sıfırlama işlevi: Etkinleştirilmiş ileri becerileri sıfırlamak için eşyalar kullanın. Aktivasyon eşyaları, beceri seviyesine göre geri verilecektir.
-Taverna üyeliği: Üyeler için yeni mağaza! Paketler satın alarak ödüller almak için kullanılabilecek Kapaklar kazanın!
-Yeni etkinlik, Yıldız Taşı Hazinesi: Görevleri tamamlayarak hazineyi açın ve tonlarca Yıldız Taşı kazanın!</v>
      </c>
      <c r="M54" s="148" t="str">
        <f>IFERROR(__xludf.DUMMYFUNCTION("""COMPUTED_VALUE"""),"-Chiến Binh Mới: Veronica Người Đi Gió. Một sứ giả với tốc độ và lòng không sợ hãi như cơn gió!
-Tính năng đột phá mới cho Di Tích: Mở khóa tính năng này để nâng cấp Di Tích Cực Phẩm lên Phẩm Chất Huyền Thoại!
-Cấp độ mới Tiếp Quản Pháo Đài: cấp độ 1101-1"&amp;"150.
-Sự Kiện mới, VIỄN CHINH ĐIỀU HÀNH: Sử dụng Cơ Khí do hệ thống cung cấp và các điều hành viên của bạn để giành lấy vật phẩm nâng cấp cho điều hành viên!
-Hệ thống vận chuyển mới: Khỉ đã sử dụng công nghệ của con người để tạo ra một đơn vị chiến đấu d"&amp;"i động khổng lồ gọi là ""Khỉ Vận Chuyển."" Một Khỉ Vận Chuyển có thể chứa nhiều Binh lính cùng một lúc để gây ra Đòn Tàn Phá cho kẻ địch!
-Bao Vây &amp; Cướp Bóc: Cải thiện toàn diện giao diện vận hành, hiệu suất và nhiều hơn nữa. Thêm trò chơi cải tiến vào c"&amp;"ác giai đoạn sau, nơi người chơi có thể gửi nhiều Binh lính đóng quân trong các công trình. Nhiều lựa chọn chiến lược hơn và phần thưởng tốt hơn!
-Gameplay Subterra được thêm vào Sao Hỏa và Sao San Hô.
-Cây Chuối Không Quả: Chuyển đổi giữa các skin khác n"&amp;"hau. Tham gia Chiến Tranh Hành Tinh để mở khóa các skin tương ứng.
-Chiến Báo: Thêm mục vào báo cáo PvP hiển thị Vinh Dự kiếm được, điểm Chiến Tranh Hành Tinh và thông tin khác.
-Tùy chọn đột phá mới cho Cơ Khí: Nâng cấp độ của Cơ Khí để nhận thêm điểm th"&amp;"uộc tính và làm cho Cơ Khí của bạn bất khả chiến bại!
-Chức năng đặt lại mới cho kỹ năng Cơ Khí: Sử dụng vật phẩm để đặt lại kỹ năng cao cấp đã kích hoạt. Vật phẩm kích hoạt sẽ được trả lại dựa trên cấp độ kỹ năng.
-Thành viên Tửu Quán: Cửa hàng mới cho t"&amp;"hành viên! Mua gói để kiếm Caps có thể được sử dụng để đổi lấy phần thưởng!
-Sự Kiện mới, Kho Báu Đá Sao: Hoàn thành nhiệm vụ để mở khóa kho báu và giành được hàng tấn Đá Sao!")</f>
        <v>-Chiến Binh Mới: Veronica Người Đi Gió. Một sứ giả với tốc độ và lòng không sợ hãi như cơn gió!
-Tính năng đột phá mới cho Di Tích: Mở khóa tính năng này để nâng cấp Di Tích Cực Phẩm lên Phẩm Chất Huyền Thoại!
-Cấp độ mới Tiếp Quản Pháo Đài: cấp độ 1101-1150.
-Sự Kiện mới, VIỄN CHINH ĐIỀU HÀNH: Sử dụng Cơ Khí do hệ thống cung cấp và các điều hành viên của bạn để giành lấy vật phẩm nâng cấp cho điều hành viên!
-Hệ thống vận chuyển mới: Khỉ đã sử dụng công nghệ của con người để tạo ra một đơn vị chiến đấu di động khổng lồ gọi là "Khỉ Vận Chuyển." Một Khỉ Vận Chuyển có thể chứa nhiều Binh lính cùng một lúc để gây ra Đòn Tàn Phá cho kẻ địch!
-Bao Vây &amp; Cướp Bóc: Cải thiện toàn diện giao diện vận hành, hiệu suất và nhiều hơn nữa. Thêm trò chơi cải tiến vào các giai đoạn sau, nơi người chơi có thể gửi nhiều Binh lính đóng quân trong các công trình. Nhiều lựa chọn chiến lược hơn và phần thưởng tốt hơn!
-Gameplay Subterra được thêm vào Sao Hỏa và Sao San Hô.
-Cây Chuối Không Quả: Chuyển đổi giữa các skin khác nhau. Tham gia Chiến Tranh Hành Tinh để mở khóa các skin tương ứng.
-Chiến Báo: Thêm mục vào báo cáo PvP hiển thị Vinh Dự kiếm được, điểm Chiến Tranh Hành Tinh và thông tin khác.
-Tùy chọn đột phá mới cho Cơ Khí: Nâng cấp độ của Cơ Khí để nhận thêm điểm thuộc tính và làm cho Cơ Khí của bạn bất khả chiến bại!
-Chức năng đặt lại mới cho kỹ năng Cơ Khí: Sử dụng vật phẩm để đặt lại kỹ năng cao cấp đã kích hoạt. Vật phẩm kích hoạt sẽ được trả lại dựa trên cấp độ kỹ năng.
-Thành viên Tửu Quán: Cửa hàng mới cho thành viên! Mua gói để kiếm Caps có thể được sử dụng để đổi lấy phần thưởng!
-Sự Kiện mới, Kho Báu Đá Sao: Hoàn thành nhiệm vụ để mở khóa kho báu và giành được hàng tấn Đá Sao!</v>
      </c>
      <c r="N54" s="108" t="str">
        <f>IFERROR(__xludf.DUMMYFUNCTION("""COMPUTED_VALUE"""),"-Nuovo Combattente: Veronica la Camminatrice del Vento. Un'emissaria con tutta la velocità e l'impavidezza del vento!
-Nuova opzione di avanzamento per le reliquie: Sblocca questa funzionalità per potenziare le reliquie Epiche a qualità Leggendaria!
-Nuov"&amp;"i livelli di Conquista di Fortezze: livelli 1101-1150.
-Nuovo evento, Esplorazione Operatore: Utilizza i mech forniti dal sistema e i tuoi operatori per vincere oggetti di potenziamento per gli operatori!
-Nuovo sistema di trasportatori: Gli scimmioni han"&amp;"no utilizzato la tecnologia umana per ricreare un'unità di combattimento mobile gigante chiamata ""trasportatori"". Un trasportatore può contenere più truppe simultaneamente per infliggere un colpo devastante ai nemici!
-Assedio &amp; Plunder: Miglioramenti g"&amp;"enerali all'interfaccia utente operativa, alle prestazioni e altro ancora. Gameplay avanzato aggiunto nelle fasi successive dove i giocatori possono inviare più truppe a presidiare nelle costruzioni. Più opzioni strategiche e migliori ricompense!
-Gamepla"&amp;"y di Subterra aggiunto a Stella di Fuoco e Stella di Corallo.
-Banano Sterile: Passa tra diverse skin. Partecipa alle Guerre Planetarie per sbloccare le loro skin corrispondenti.
-Rapporti di battaglia: Aggiunta una sezione ai rapporti PvP che mostra l'On"&amp;"ore guadagnato, i punteggi delle Guerre Planetarie e altre informazioni.
-Nuova opzione di avanzamento per i mech: Aumenta il limite di livello di un mech per ottenere più punti attributo e rendere i tuoi mech invincibili!
-Nuova funzione di reset per le "&amp;"abilità dei mech: Utilizza oggetti per reimpostare le abilità avanzate attivate. Gli oggetti di attivazione saranno restituiti in base al livello dell'abilità.
-Membri della Taverna: Nuovo negozio per i membri! Acquista pacchi per guadagnare Caps che poss"&amp;"ono essere utilizzati per riscattare ricompense!
-Nuovo evento, Tesoro di Pietra Stellare: Completa le missioni per sbloccare il tesoro e vincere tonnellate di Pietre Stellari!")</f>
        <v>-Nuovo Combattente: Veronica la Camminatrice del Vento. Un'emissaria con tutta la velocità e l'impavidezza del vento!
-Nuova opzione di avanzamento per le reliquie: Sblocca questa funzionalità per potenziare le reliquie Epiche a qualità Leggendaria!
-Nuovi livelli di Conquista di Fortezze: livelli 1101-1150.
-Nuovo evento, Esplorazione Operatore: Utilizza i mech forniti dal sistema e i tuoi operatori per vincere oggetti di potenziamento per gli operatori!
-Nuovo sistema di trasportatori: Gli scimmioni hanno utilizzato la tecnologia umana per ricreare un'unità di combattimento mobile gigante chiamata "trasportatori". Un trasportatore può contenere più truppe simultaneamente per infliggere un colpo devastante ai nemici!
-Assedio &amp; Plunder: Miglioramenti generali all'interfaccia utente operativa, alle prestazioni e altro ancora. Gameplay avanzato aggiunto nelle fasi successive dove i giocatori possono inviare più truppe a presidiare nelle costruzioni. Più opzioni strategiche e migliori ricompense!
-Gameplay di Subterra aggiunto a Stella di Fuoco e Stella di Corallo.
-Banano Sterile: Passa tra diverse skin. Partecipa alle Guerre Planetarie per sbloccare le loro skin corrispondenti.
-Rapporti di battaglia: Aggiunta una sezione ai rapporti PvP che mostra l'Onore guadagnato, i punteggi delle Guerre Planetarie e altre informazioni.
-Nuova opzione di avanzamento per i mech: Aumenta il limite di livello di un mech per ottenere più punti attributo e rendere i tuoi mech invincibili!
-Nuova funzione di reset per le abilità dei mech: Utilizza oggetti per reimpostare le abilità avanzate attivate. Gli oggetti di attivazione saranno restituiti in base al livello dell'abilità.
-Membri della Taverna: Nuovo negozio per i membri! Acquista pacchi per guadagnare Caps che possono essere utilizzati per riscattare ricompense!
-Nuovo evento, Tesoro di Pietra Stellare: Completa le missioni per sbloccare il tesoro e vincere tonnellate di Pietre Stellari!</v>
      </c>
      <c r="O54" s="148" t="str">
        <f>IFERROR(__xludf.DUMMYFUNCTION("""COMPUTED_VALUE"""),"-Nowy Wojownik: Veronica Wędrowiec Wiatru. Posłaniec z szybkością i nieustraszeniem wiatru!
-Nowa opcja przełomu dla relikwii: Odblokuj tę funkcję, aby ulepszyć Rzadkie Wyposażenie do jakości Legendarnego!
-Nowe poziomy Przejęcia Fortecy: poziomy 1101-115"&amp;"0.
-Nowe wydarzenie, Wyprawa Operatora: Użyj mechów dostarczonych przez system oraz własnych operatorów, aby wygrać przedmioty do ulepszania operatorów!
-Nowy system transportowców: Małpy wykorzystały ludzką technologię, aby odtworzyć gigantyczną mobilną "&amp;"jednostkę bojową zwaną ""transportowcami"". Transportowiec może jednocześnie przewozić wiele oddziałów, aby zadać wrogom druzgocący cios!
-Oblężenie &amp; Plądrowanie: Wszechstronne ulepszenia interfejsu użytkownika, wydajności i więcej. Do późniejszych etapó"&amp;"w dodano zaawansowaną rozgrywkę, gdzie gracze mogą wysyłać wiele oddziałów do stacjonowania w budynkach. Więcej opcji strategicznych i lepsze nagrody!
-Dodano rozgrywkę Subterra do Ognistej Gwiazdy i Gwiazdy Koralowej.
-Jałowe Drzewo Bananowe: Przełączaj "&amp;"się między różnymi skórkami. Weź udział w Wojnach Planet, aby odblokować odpowiadające im skórki.
-Raporty z bitwy: Dodano sekcję do raportów PvP pokazującą zdobyty Honor, wyniki Wojen Planetarnych i inne informacje.
-Nowa opcja przełomu dla mecha: Podnie"&amp;"ś limit poziomu mecha, aby zdobyć więcej punktów atrybutów i uczynić swoje mechy niepokonanymi!
-Nowa funkcja resetowania umiejętności mecha: Użyj przedmiotów, aby zresetować aktywne zaawansowane umiejętności. Przedmioty aktywacyjne zostaną zwrócone w zal"&amp;"eżności od poziomu umiejętności.
-Członkostwo w Tawernie: Nowy sklep dla członków! Kupuj pakiety, aby zdobyć Czapki, które można wykorzystać do odbierania nagród!
-Nowe wydarzenie, Gwiezdny Skarb: Wykonuj zadania, aby odblokować skarb i wygrać tony Gwiezd"&amp;"nych Kamieni!")</f>
        <v>-Nowy Wojownik: Veronica Wędrowiec Wiatru. Posłaniec z szybkością i nieustraszeniem wiatru!
-Nowa opcja przełomu dla relikwii: Odblokuj tę funkcję, aby ulepszyć Rzadkie Wyposażenie do jakości Legendarnego!
-Nowe poziomy Przejęcia Fortecy: poziomy 1101-1150.
-Nowe wydarzenie, Wyprawa Operatora: Użyj mechów dostarczonych przez system oraz własnych operatorów, aby wygrać przedmioty do ulepszania operatorów!
-Nowy system transportowców: Małpy wykorzystały ludzką technologię, aby odtworzyć gigantyczną mobilną jednostkę bojową zwaną "transportowcami". Transportowiec może jednocześnie przewozić wiele oddziałów, aby zadać wrogom druzgocący cios!
-Oblężenie &amp; Plądrowanie: Wszechstronne ulepszenia interfejsu użytkownika, wydajności i więcej. Do późniejszych etapów dodano zaawansowaną rozgrywkę, gdzie gracze mogą wysyłać wiele oddziałów do stacjonowania w budynkach. Więcej opcji strategicznych i lepsze nagrody!
-Dodano rozgrywkę Subterra do Ognistej Gwiazdy i Gwiazdy Koralowej.
-Jałowe Drzewo Bananowe: Przełączaj się między różnymi skórkami. Weź udział w Wojnach Planet, aby odblokować odpowiadające im skórki.
-Raporty z bitwy: Dodano sekcję do raportów PvP pokazującą zdobyty Honor, wyniki Wojen Planetarnych i inne informacje.
-Nowa opcja przełomu dla mecha: Podnieś limit poziomu mecha, aby zdobyć więcej punktów atrybutów i uczynić swoje mechy niepokonanymi!
-Nowa funkcja resetowania umiejętności mecha: Użyj przedmiotów, aby zresetować aktywne zaawansowane umiejętności. Przedmioty aktywacyjne zostaną zwrócone w zależności od poziomu umiejętności.
-Członkostwo w Tawernie: Nowy sklep dla członków! Kupuj pakiety, aby zdobyć Czapki, które można wykorzystać do odbierania nagród!
-Nowe wydarzenie, Gwiezdny Skarb: Wykonuj zadania, aby odblokować skarb i wygrać tony Gwiezdnych Kamieni!</v>
      </c>
      <c r="P54" s="148" t="str">
        <f>IFERROR(__xludf.DUMMYFUNCTION("""COMPUTED_VALUE"""),"-مقاتل جديد: فيرونيكا متسابق الرياح. رسول بكل سرعة وشجاعة الريح!
-خيار اختراق جديد للمقتنيات: فتح هذه الميزة لترقية المقتنيات الملحمية إلى جودة أسطورية!
-مستويات جديدة للاستيلاء على الحصن: المستويات 1101-1150.
-حدث جديد، رحلة المشغل الاستكشافية: استخدم آل"&amp;"يات الميكا المقدمة من النظام ومشغليك الخاصين للفوز بعناصر ترقية للمشغلين!
-نظام ناقلات جديد: استخدم القردة تكنولوجيا البشر لإعادة إنشاء وحدة قتالية متنقلة عملاقة تسمى ""ناقلات"". يمكن للناقلة حمل وحدات متعددة في نفس الوقت لتوجيه ضربة مدمرة للأعداء!
-حصار "&amp;"ونهب: تحسينات شاملة على واجهة المستخدم التشغيلية، والأداء، والمزيد. تم إضافة طريقة لعب متقدمة إلى المراحل اللاحقة حيث يمكن للاعبين إرسال وحدات متعددة للمحطة في المباني. المزيد من خيارات الإستراتيجية، ومكافآت أفضل!
-تم إضافة طريقة لعب سوبتيرا إلى نجمة النا"&amp;"ر ونجمة المرجان.
-شجرة الموز غير المثمرة: التبديل بين الأشكال المختلفة. شارك في حروب الكوكب لفتح الأشكال المقابلة.
-تقارير المعركة: تم إضافة قسم إلى تقارير اللاعب ضد اللاعب يظهر الشرف المكتسب، نتائج حروب الكوكب، ومعلومات أخرى.
-خيار اختراق جديد للميكا: رف"&amp;"ع الحد الأقصى لمستوى الميكا للحصول على المزيد من نقاط السمات وجعل آليات الميكا لا تقهر!
-وظيفة إعادة ضبط جديدة لمهارات الميكا: استخدم العناصر لإعادة ضبط المهارات المتقدمة المفعلة. سيتم إرجاع عناصر التفعيل بناءً على مستوى المهارة.
-عضوية المقهى: متجر جديد "&amp;"للأعضاء! اشترِ باقات لكسب القبعات التي يمكن استخدامها لاسترداد المكافآت!
-حدث جديد، كنز حجر النجوم: أكمل المهام لفتح الكنز والفوز بأطنان من حجارة النجوم!")</f>
        <v>-مقاتل جديد: فيرونيكا متسابق الرياح. رسول بكل سرعة وشجاعة الريح!
-خيار اختراق جديد للمقتنيات: فتح هذه الميزة لترقية المقتنيات الملحمية إلى جودة أسطورية!
-مستويات جديدة للاستيلاء على الحصن: المستويات 1101-1150.
-حدث جديد، رحلة المشغل الاستكشافية: استخدم آليات الميكا المقدمة من النظام ومشغليك الخاصين للفوز بعناصر ترقية للمشغلين!
-نظام ناقلات جديد: استخدم القردة تكنولوجيا البشر لإعادة إنشاء وحدة قتالية متنقلة عملاقة تسمى "ناقلات". يمكن للناقلة حمل وحدات متعددة في نفس الوقت لتوجيه ضربة مدمرة للأعداء!
-حصار ونهب: تحسينات شاملة على واجهة المستخدم التشغيلية، والأداء، والمزيد. تم إضافة طريقة لعب متقدمة إلى المراحل اللاحقة حيث يمكن للاعبين إرسال وحدات متعددة للمحطة في المباني. المزيد من خيارات الإستراتيجية، ومكافآت أفضل!
-تم إضافة طريقة لعب سوبتيرا إلى نجمة النار ونجمة المرجان.
-شجرة الموز غير المثمرة: التبديل بين الأشكال المختلفة. شارك في حروب الكوكب لفتح الأشكال المقابلة.
-تقارير المعركة: تم إضافة قسم إلى تقارير اللاعب ضد اللاعب يظهر الشرف المكتسب، نتائج حروب الكوكب، ومعلومات أخرى.
-خيار اختراق جديد للميكا: رفع الحد الأقصى لمستوى الميكا للحصول على المزيد من نقاط السمات وجعل آليات الميكا لا تقهر!
-وظيفة إعادة ضبط جديدة لمهارات الميكا: استخدم العناصر لإعادة ضبط المهارات المتقدمة المفعلة. سيتم إرجاع عناصر التفعيل بناءً على مستوى المهارة.
-عضوية المقهى: متجر جديد للأعضاء! اشترِ باقات لكسب القبعات التي يمكن استخدامها لاسترداد المكافآت!
-حدث جديد، كنز حجر النجوم: أكمل المهام لفتح الكنز والفوز بأطنان من حجارة النجوم!</v>
      </c>
      <c r="Q54" s="148" t="str">
        <f>IFERROR(__xludf.DUMMYFUNCTION("""COMPUTED_VALUE"""),"-新しいファイター: 風歩きのヴェロニカ。全ての速さと恐怖を知らぬ風のような使者！
-遺物の新たな突破オプション: この機能をアンロックして、エピック遺物をレジェンダリー品質にアップグレードしよう！
-新しい要塞バトルレベル: レベル1101-1150。
-新イベント、オペレーター遠征: システム提供のメックと自分のオペレーターを使って、オペレーターのアップグレードアイテムを勝ち取ろう！
-新しいキャリアシステム: 人間の技術を使ってエイプスが巨大な移動戦闘ユニット「キャリア」を再現した。キャリアは複数の"&amp;"部隊を同時に運び、敵に壊滅的な一撃を与えることができる！
-攻城侵略: オペレーティングUI、パフォーマンスなどの全面的な改善。後のステージには、プレイヤーが複数の部隊を建築物に駐屯させるための高度なプレイデータが追加された。より多くの戦略オプションと、より良い報酬が得られる！
-マーズ星とサンゴ星にサブテラプレイデータを追加。
-あだバナナの木: 異なるスキンを切り替える。プラネットウォーズに参加して、対応するスキンをアンロックしよう。
-戦闘報告書: PvP報告書に栄誉獲得、プラネットウォーのスコア、"&amp;"その他の情報を表示するセクションを追加。
-メカの新たな突破オプション: メカのレベル上限を上げて、より多くの属性ポイントを獲得し、メカを百戦百勝にしよう！
-メカスキルの新しいリセット機能: アイテムを使って、活性化された高度なスキルをリセットしよう。スキルレベルに基づいて、アクティベーションアイテムが返される。
-マシラ酒場メンバーシップ: メンバー専用の新しいストア！パックを購入して、報酬を引き換えるために使えるキャップを獲得しよう！
-新イベント、スター・ストーンの宝: クエストを完了して宝をアン"&amp;"ロックし、大量のスター・ストーンを勝ち取ろう！")</f>
        <v>-新しいファイター: 風歩きのヴェロニカ。全ての速さと恐怖を知らぬ風のような使者！
-遺物の新たな突破オプション: この機能をアンロックして、エピック遺物をレジェンダリー品質にアップグレードしよう！
-新しい要塞バトルレベル: レベル1101-1150。
-新イベント、オペレーター遠征: システム提供のメックと自分のオペレーターを使って、オペレーターのアップグレードアイテムを勝ち取ろう！
-新しいキャリアシステム: 人間の技術を使ってエイプスが巨大な移動戦闘ユニット「キャリア」を再現した。キャリアは複数の部隊を同時に運び、敵に壊滅的な一撃を与えることができる！
-攻城侵略: オペレーティングUI、パフォーマンスなどの全面的な改善。後のステージには、プレイヤーが複数の部隊を建築物に駐屯させるための高度なプレイデータが追加された。より多くの戦略オプションと、より良い報酬が得られる！
-マーズ星とサンゴ星にサブテラプレイデータを追加。
-あだバナナの木: 異なるスキンを切り替える。プラネットウォーズに参加して、対応するスキンをアンロックしよう。
-戦闘報告書: PvP報告書に栄誉獲得、プラネットウォーのスコア、その他の情報を表示するセクションを追加。
-メカの新たな突破オプション: メカのレベル上限を上げて、より多くの属性ポイントを獲得し、メカを百戦百勝にしよう！
-メカスキルの新しいリセット機能: アイテムを使って、活性化された高度なスキルをリセットしよう。スキルレベルに基づいて、アクティベーションアイテムが返される。
-マシラ酒場メンバーシップ: メンバー専用の新しいストア！パックを購入して、報酬を引き換えるために使えるキャップを獲得しよう！
-新イベント、スター・ストーンの宝: クエストを完了して宝をアンロックし、大量のスター・ストーンを勝ち取ろう！</v>
      </c>
      <c r="R54" s="148" t="str">
        <f>IFERROR(__xludf.DUMMYFUNCTION("""COMPUTED_VALUE"""),"-새로운 전사: 바람걷는 자 베로니카. 바람의 질주와 용감함을 모두 갖춘 사절!
-유물의 새로운 돌파구 옵션: 이 기능을 잠금 해제하여 영웅적인 유물을 전설 배율로 업그레이드하세요!
-새로운 요새 대결 레벨: 레벨 1101-1150.
-새로운 이벤트, 운영자 원정: 시스템이 제공하는 메카와 당신의 운영자를 사용하여 운영자를 위한 업그레이드 아이템을 획득하세요!
-새로운 운반선 시스템: 유인원들이 인간의 기술을 재현하여 ""운반선""이라는 거대한 이동식 "&amp;"전투 유닛을 만들었습니다. 운반선은 동시에 여러 부대를 수용하여 적들에게 강력한 공격을 가할 수 있습니다!
-성 빼앗기 &amp; 약탈: 운영 UI, 성능 등의 전반적인 개선. 후반 단계에 추가된 고급 게임플레이로 플레이어들은 여러 부대를 건축물에 주둔시킬 수 있습니다. 더 많은 전략 옵션과 더 나은 보상!
-불칸과 산호별에 추가된 지하 게임플레이.
-열매 없는 바나나 나무: 다양한 스킨 간 전환. 은하 전쟁에 참여하여 해당 스킨을 잠금 해제하세요.
-전투 보"&amp;"고서: PvP 보고서에 명예 획득, 은하 전쟁 점수 및 기타 정보를 보여주는 섹션 추가.
-새로운 메카 돌파구 옵션: 메카의 레벨 상한을 높여 더 많은 속성 포인트를 얻고 메카를 무적으로 만드세요!
-메카 스킬 리셋 기능 추가: 아이템을 사용하여 활성화된 고급 스킬을 리셋하세요. 스킬 레벨에 따라 활성화 아이템이 반환됩니다.
-선술집 회원: 회원을 위한 새로운 상점! 패키지를 구매하여 캡을 획득하고 보상을 교환할 수 있습니다!
-새로운 이벤트, 별의 돌"&amp;" 보물: 임무를 완료하여 보물을 잠금 해제하고 대량의 별의 돌을 획득하세요!")</f>
        <v>-새로운 전사: 바람걷는 자 베로니카. 바람의 질주와 용감함을 모두 갖춘 사절!
-유물의 새로운 돌파구 옵션: 이 기능을 잠금 해제하여 영웅적인 유물을 전설 배율로 업그레이드하세요!
-새로운 요새 대결 레벨: 레벨 1101-1150.
-새로운 이벤트, 운영자 원정: 시스템이 제공하는 메카와 당신의 운영자를 사용하여 운영자를 위한 업그레이드 아이템을 획득하세요!
-새로운 운반선 시스템: 유인원들이 인간의 기술을 재현하여 "운반선"이라는 거대한 이동식 전투 유닛을 만들었습니다. 운반선은 동시에 여러 부대를 수용하여 적들에게 강력한 공격을 가할 수 있습니다!
-성 빼앗기 &amp; 약탈: 운영 UI, 성능 등의 전반적인 개선. 후반 단계에 추가된 고급 게임플레이로 플레이어들은 여러 부대를 건축물에 주둔시킬 수 있습니다. 더 많은 전략 옵션과 더 나은 보상!
-불칸과 산호별에 추가된 지하 게임플레이.
-열매 없는 바나나 나무: 다양한 스킨 간 전환. 은하 전쟁에 참여하여 해당 스킨을 잠금 해제하세요.
-전투 보고서: PvP 보고서에 명예 획득, 은하 전쟁 점수 및 기타 정보를 보여주는 섹션 추가.
-새로운 메카 돌파구 옵션: 메카의 레벨 상한을 높여 더 많은 속성 포인트를 얻고 메카를 무적으로 만드세요!
-메카 스킬 리셋 기능 추가: 아이템을 사용하여 활성화된 고급 스킬을 리셋하세요. 스킬 레벨에 따라 활성화 아이템이 반환됩니다.
-선술집 회원: 회원을 위한 새로운 상점! 패키지를 구매하여 캡을 획득하고 보상을 교환할 수 있습니다!
-새로운 이벤트, 별의 돌 보물: 임무를 완료하여 보물을 잠금 해제하고 대량의 별의 돌을 획득하세요!</v>
      </c>
      <c r="S54" s="148"/>
      <c r="T54" s="148"/>
      <c r="U54" s="148"/>
      <c r="V54" s="148"/>
      <c r="W54" s="148"/>
      <c r="X54" s="148"/>
      <c r="Y54" s="148"/>
      <c r="Z54" s="148"/>
    </row>
    <row r="55">
      <c r="A55" s="167" t="str">
        <f>IFERROR(__xludf.DUMMYFUNCTION("""COMPUTED_VALUE"""),"0.64.0")</f>
        <v>0.64.0</v>
      </c>
      <c r="B55" s="148" t="str">
        <f>IFERROR(__xludf.DUMMYFUNCTION("""COMPUTED_VALUE"""),"-新增斗士：光盾勇士-诺亚，用超级雷达提供支援的守护者，让所有战友安心！
-新增回归活动：指挥官可以通过召回其他玩家获得奖励，离开猩球很久的指挥官也可通过填写召回码获得回归奖励！
-调整兵种技能：射击手军备技能新增减速效果，最高可减速50%。
-新增斗士远征活动：指挥官可以在该活动中验证斗士的作战强度，获取丰厚奖励。
-新增卫星战场练习场功能：在开启卫星战场活动的前3天，指挥官可以组织帮派内成员来练习场互相攻防，进行作战演练。
-新增机甲耐久强化系统：各机甲在服务器指定时间可以对自身进行耐久上限强化，大幅"&amp;"提升机甲实力。
-新增战车：无畏之心号，可在野外随时随地治疗受伤士兵。
-新增机师：新增金刚、猎豹、毒蝎的特定机师各3个。
-攻城略地优化：提升攻城掠地界面表现，增加连胜、占领建筑的提示消息。
-战报优化：野外战斗战报合并，增加战斗总结模块；增益界面以及侦察战报中增加机甲相关的增益信息。
-成就优化：增加成就勋章的获取率显示；增加了成就分享功能；优化了勋章弹窗内容显示。
-围剿变异猴优化：服务达到45天时，将可跨服匹配玩家。
-新增拓荒节活动：
机械秘宝：拓荒节活动开启，使用纪念扳手，赢取豪华大奖，更有拓"&amp;"荒节皮肤等你来拿！
掘地求胜：收集钻头，提升活动等级，有机会获取全新行军特效！
好运成双：活动期间购买任意超值礼包，有机会额外获得一份相同奖励，每日均会开奖！
拓荒豪礼：限时累计充值即可领取丰厚奖励！
拓荒行动：玩家完成任务可点亮任务牌获取奖励，赢得拓荒节专属装饰！")</f>
        <v>-新增斗士：光盾勇士-诺亚，用超级雷达提供支援的守护者，让所有战友安心！
-新增回归活动：指挥官可以通过召回其他玩家获得奖励，离开猩球很久的指挥官也可通过填写召回码获得回归奖励！
-调整兵种技能：射击手军备技能新增减速效果，最高可减速50%。
-新增斗士远征活动：指挥官可以在该活动中验证斗士的作战强度，获取丰厚奖励。
-新增卫星战场练习场功能：在开启卫星战场活动的前3天，指挥官可以组织帮派内成员来练习场互相攻防，进行作战演练。
-新增机甲耐久强化系统：各机甲在服务器指定时间可以对自身进行耐久上限强化，大幅提升机甲实力。
-新增战车：无畏之心号，可在野外随时随地治疗受伤士兵。
-新增机师：新增金刚、猎豹、毒蝎的特定机师各3个。
-攻城略地优化：提升攻城掠地界面表现，增加连胜、占领建筑的提示消息。
-战报优化：野外战斗战报合并，增加战斗总结模块；增益界面以及侦察战报中增加机甲相关的增益信息。
-成就优化：增加成就勋章的获取率显示；增加了成就分享功能；优化了勋章弹窗内容显示。
-围剿变异猴优化：服务达到45天时，将可跨服匹配玩家。
-新增拓荒节活动：
机械秘宝：拓荒节活动开启，使用纪念扳手，赢取豪华大奖，更有拓荒节皮肤等你来拿！
掘地求胜：收集钻头，提升活动等级，有机会获取全新行军特效！
好运成双：活动期间购买任意超值礼包，有机会额外获得一份相同奖励，每日均会开奖！
拓荒豪礼：限时累计充值即可领取丰厚奖励！
拓荒行动：玩家完成任务可点亮任务牌获取奖励，赢得拓荒节专属装饰！</v>
      </c>
      <c r="C55" s="148" t="str">
        <f>IFERROR(__xludf.DUMMYFUNCTION("""COMPUTED_VALUE"""),"- New Fighter: Noah, the Shieldwielder, is always there to support and protect with his super radar!
- New """"comeback"""" event: invite friends back to the game to win rewards. Players who haven't been online for a while can also get a reward by enterin"&amp;"g a reunion code!
- Unit skills modified: slow effect (up to 50% speed reduction) added to Shooter gear skill.
- New Fighter Expedition event: find out how strong your Fighters are and win rewards at the same time!
- Practice matches added to Astral Colis"&amp;"eum: organize Gang members for combat drills and practice your attacks and defense in the first 3 days of Astral Coliseum.
- Mech durability boost system: mech durability caps can be raised at designated times to greatly enhance their capabilities.
- New "&amp;"carrier: Intrepid Heart. Heal injured units anytime, anywhere on the map!
- New operators added: 3 special new operators each for Primatus, Cheetah, and Scorpion.
- Siege &amp; Plunder improved: optimized event page performance, added alerts for win streaks a"&amp;"nd building captures.
- Battle reports improved: combined battle reports for map battles and added a summary section; added mech-related bonuses in the bonus page and scout reports.
- Achievements optimized: added an acquisition rate for achievement badge"&amp;"s; added achievement sharing function; optimized display of badge alerts.
- Operation Mutants optimized: start pairing with players from other planets once yours is 45 days old.
- Pioneers' Day events:
Mecha Trove: Use Commemorative Drills to win rewards,"&amp;" including a special holiday skin!
Dig for Victory: Collect drills to level up and get a chance to win the all-new march effect!
Lucky Double: Purchase any value pack during the event for a chance to win an additional one for free! Prizes issued daily.
Pi"&amp;"oneer's Gifts: Meet time-limited purchase requirements to win rewards!
Operation Pioneer: complete quests to light up the corresponding cards and get rewards including a special holiday decoration!")</f>
        <v>- New Fighter: Noah, the Shieldwielder, is always there to support and protect with his super radar!
- New ""comeback"" event: invite friends back to the game to win rewards. Players who haven't been online for a while can also get a reward by entering a reunion code!
- Unit skills modified: slow effect (up to 50% speed reduction) added to Shooter gear skill.
- New Fighter Expedition event: find out how strong your Fighters are and win rewards at the same time!
- Practice matches added to Astral Coliseum: organize Gang members for combat drills and practice your attacks and defense in the first 3 days of Astral Coliseum.
- Mech durability boost system: mech durability caps can be raised at designated times to greatly enhance their capabilities.
- New carrier: Intrepid Heart. Heal injured units anytime, anywhere on the map!
- New operators added: 3 special new operators each for Primatus, Cheetah, and Scorpion.
- Siege &amp; Plunder improved: optimized event page performance, added alerts for win streaks and building captures.
- Battle reports improved: combined battle reports for map battles and added a summary section; added mech-related bonuses in the bonus page and scout reports.
- Achievements optimized: added an acquisition rate for achievement badges; added achievement sharing function; optimized display of badge alerts.
- Operation Mutants optimized: start pairing with players from other planets once yours is 45 days old.
- Pioneers' Day events:
Mecha Trove: Use Commemorative Drills to win rewards, including a special holiday skin!
Dig for Victory: Collect drills to level up and get a chance to win the all-new march effect!
Lucky Double: Purchase any value pack during the event for a chance to win an additional one for free! Prizes issued daily.
Pioneer's Gifts: Meet time-limited purchase requirements to win rewards!
Operation Pioneer: complete quests to light up the corresponding cards and get rewards including a special holiday decoration!</v>
      </c>
      <c r="D55" s="148" t="str">
        <f>IFERROR(__xludf.DUMMYFUNCTION("""COMPUTED_VALUE"""),"- Nouveau combattant : Noah, le Marcheur du Vent, est toujours là pour soutenir et protéger avec son super radar !
- Nouvel évènement ""comeback"" : inviter des amis à revenir dans le jeu pour gagner des récompenses. Les joueurs qui n'ont pas été en ligne"&amp;" depuis un moment peuvent également obtenir une récompense en saisissant un code de réunion !
- Compétences d'unité modifiées : effet de ralentissement (jusqu'à 50% de réduction de vitesse) ajouté à la compétence d'équipement de Shooter.
- Nouvel évènemen"&amp;"t Expédition de Combattant : découvrez la force de vos Combattants et gagnez des récompenses en même temps !
- Matchs d'entraînement ajoutés au Colisée astral : organisez les membres du Gang pour des exercices de combat et pratiquez vos attaques et défens"&amp;"es lors des 3 premiers jours du Colisée astral.
- Système de boost de durabilité du Mécha : les plafonds de durabilité du Mécha peuvent être augmentés à des moments désignés pour améliorer considérablement leurs capacités.
- Nouveau transporteur : Cœur in"&amp;"trépide. Soignez les unités blessées à tout moment, n'importe où sur la carte !
- Nouveaux opérateurs ajoutés : 3 nouveaux opérateurs spéciaux chacun pour Primatus, Guépard et Scorpion.
- Siège &amp; Piller améliorés : performance de la page d'évènement optim"&amp;"isée, alertes ajoutées pour les séries de victoires et les captures de bâtiments.
- Rapports de bataille améliorés : rapports de bataille combinés pour les batailles sur la carte et ajout d'une section résumé ; ajout de bonus liés aux Méchas dans la page "&amp;"des bonus et dans les rapports d'exploration.
- Exploits optimisés : ajout d'un taux d'acquisition pour les badges d'exploits ; ajout d'une fonction de partage des exploits ; optimisation de l'affichage des alertes de badges.
- Opération mutants optimisée"&amp;" : commencez à vous associer avec des joueurs d'autres planètes une fois que la vôtre a 45 jours.
- Évènements du Jour des Pionniers :
TRÉSOR MÉCHA : Utilisez des Foreuses Commémoratives pour gagner des récompenses, y compris une peau spéciale de vacances"&amp;" !
Creusez pour la Victoire : Collectez des foreuses pour monter en niveau et obtenir une chance de gagner le tout nouvel EFFETS DE DEPLACEMENT !
Chance Double : Achetez n'importe quel PACK ÉCONOMIQUE pendant l'évènement pour une chance de gagner un suppl"&amp;"émentaire gratuitement ! Prix délivrés quotidiennement.
Cadeaux des Pionniers : Répondez aux conditions d'achat limitées dans le temps pour gagner des récompenses !
OPÉRATION PIONNIER : complétez des quêtes pour allumer les cartes correspondantes et obten"&amp;"ir des récompenses incluant une décoration spéciale de vacances !")</f>
        <v>- Nouveau combattant : Noah, le Marcheur du Vent, est toujours là pour soutenir et protéger avec son super radar !
- Nouvel évènement "comeback" : inviter des amis à revenir dans le jeu pour gagner des récompenses. Les joueurs qui n'ont pas été en ligne depuis un moment peuvent également obtenir une récompense en saisissant un code de réunion !
- Compétences d'unité modifiées : effet de ralentissement (jusqu'à 50% de réduction de vitesse) ajouté à la compétence d'équipement de Shooter.
- Nouvel évènement Expédition de Combattant : découvrez la force de vos Combattants et gagnez des récompenses en même temps !
- Matchs d'entraînement ajoutés au Colisée astral : organisez les membres du Gang pour des exercices de combat et pratiquez vos attaques et défenses lors des 3 premiers jours du Colisée astral.
- Système de boost de durabilité du Mécha : les plafonds de durabilité du Mécha peuvent être augmentés à des moments désignés pour améliorer considérablement leurs capacités.
- Nouveau transporteur : Cœur intrépide. Soignez les unités blessées à tout moment, n'importe où sur la carte !
- Nouveaux opérateurs ajoutés : 3 nouveaux opérateurs spéciaux chacun pour Primatus, Guépard et Scorpion.
- Siège &amp; Piller améliorés : performance de la page d'évènement optimisée, alertes ajoutées pour les séries de victoires et les captures de bâtiments.
- Rapports de bataille améliorés : rapports de bataille combinés pour les batailles sur la carte et ajout d'une section résumé ; ajout de bonus liés aux Méchas dans la page des bonus et dans les rapports d'exploration.
- Exploits optimisés : ajout d'un taux d'acquisition pour les badges d'exploits ; ajout d'une fonction de partage des exploits ; optimisation de l'affichage des alertes de badges.
- Opération mutants optimisée : commencez à vous associer avec des joueurs d'autres planètes une fois que la vôtre a 45 jours.
- Évènements du Jour des Pionniers :
TRÉSOR MÉCHA : Utilisez des Foreuses Commémoratives pour gagner des récompenses, y compris une peau spéciale de vacances !
Creusez pour la Victoire : Collectez des foreuses pour monter en niveau et obtenir une chance de gagner le tout nouvel EFFETS DE DEPLACEMENT !
Chance Double : Achetez n'importe quel PACK ÉCONOMIQUE pendant l'évènement pour une chance de gagner un supplémentaire gratuitement ! Prix délivrés quotidiennement.
Cadeaux des Pionniers : Répondez aux conditions d'achat limitées dans le temps pour gagner des récompenses !
OPÉRATION PIONNIER : complétez des quêtes pour allumer les cartes correspondantes et obtenir des récompenses incluant une décoration spéciale de vacances !</v>
      </c>
      <c r="E55" s="148" t="str">
        <f>IFERROR(__xludf.DUMMYFUNCTION("""COMPUTED_VALUE"""),"- Neuer Kämpfer: Noah, der Schildträger, ist immer da, um mit seinem Super-Radar zu unterstützen und zu schützen!
- Neues ""Comeback""-Event: Lade Freunde zurück ins Spiel ein, um Belohnungen zu gewinnen. Spieler, die schon eine Weile nicht online waren, "&amp;"können auch eine Belohnung erhalten, indem sie einen Wiedervereinigungscode eingeben!
- Fähigkeiten der Einheit modifiziert: Verlangsamungseffekt (bis zu 50% Geschwindigkeitsreduktion) zur Schützenausrüstungsfähigkeit hinzugefügt.
- Neues Kämpfer-Expediti"&amp;"on-Event: Finde heraus, wie stark deine Kämpfer sind und gewinne gleichzeitig Belohnungen!
- Übungsmatches zum Astral-Kolosseum hinzugefügt: Organisiere Clanmitglieder für Kampfübungen und übe deine Angriffe und Verteidigung in den ersten 3 Tagen des Astr"&amp;"al-Kolosseums.
- Mech-Haltbarkeits-Boost-System: Mech-Haltbarkeitsgrenzen können zu festgelegten Zeiten erhöht werden, um ihre Fähigkeiten stark zu verbessern.
- Neuer Träger: Furchtloses Herz. Heile verletzte Einheiten jederzeit und überall auf der Karte"&amp;"!
- Neue Operatoren hinzugefügt: 3 spezielle neue Operatoren jeweils für Primatus, Gepard und Skorpion.
- Belagerung &amp; Plünderung verbessert: optimierte Eventseitenleistung, hinzugefügte Warnungen für Siegesserien und Gebäudeeinnahmen.
- Kampfberichte ver"&amp;"bessert: kombinierte Kampfberichte für Kartenkämpfe und hinzugefügter Zusammenfassungsabschnitt; hinzugefügte mech-bezogene Boni auf der Bonusseite und in Kundschafter-Berichten.
- Erfolge optimiert: Hinzufügung einer Erwerbsrate für Erfolgsabzeichen; hin"&amp;"zugefügte Funktion zum Teilen von Erfolgen; optimierte Anzeige von Abzeichenwarnungen.
- Operation Mutanten optimiert: Beginne mit der Paarung mit Spielern von anderen Planeten, sobald deiner 45 Tage alt ist.
- Pionierstag-Events:
Mecha-Schatzkiste: Verwe"&amp;"nde Gedenkbohrer, um Belohnungen zu gewinnen, einschließlich eines speziellen Feiertagsskins!
Graben für den Sieg: Sammle Bohrer, um aufzusteigen und die Chance zu haben, den brandneuen Marscheffekt zu gewinnen!
Glücklicher Doppelter: Kaufe während des Ev"&amp;"ents ein beliebiges Vorteilspack für die Chance, ein zusätzliches kostenlos zu gewinnen! Preise werden täglich ausgegeben.
Pioniergeschenke: Erfülle zeitlich begrenzte Kaufanforderungen, um Belohnungen zu gewinnen!
Operation Pionier: Schließe Quests ab, u"&amp;"m die entsprechenden Karten zu beleuchten und Belohnungen zu erhalten, einschließlich einer speziellen Feiertagsdekoration!")</f>
        <v>- Neuer Kämpfer: Noah, der Schildträger, ist immer da, um mit seinem Super-Radar zu unterstützen und zu schützen!
- Neues "Comeback"-Event: Lade Freunde zurück ins Spiel ein, um Belohnungen zu gewinnen. Spieler, die schon eine Weile nicht online waren, können auch eine Belohnung erhalten, indem sie einen Wiedervereinigungscode eingeben!
- Fähigkeiten der Einheit modifiziert: Verlangsamungseffekt (bis zu 50% Geschwindigkeitsreduktion) zur Schützenausrüstungsfähigkeit hinzugefügt.
- Neues Kämpfer-Expedition-Event: Finde heraus, wie stark deine Kämpfer sind und gewinne gleichzeitig Belohnungen!
- Übungsmatches zum Astral-Kolosseum hinzugefügt: Organisiere Clanmitglieder für Kampfübungen und übe deine Angriffe und Verteidigung in den ersten 3 Tagen des Astral-Kolosseums.
- Mech-Haltbarkeits-Boost-System: Mech-Haltbarkeitsgrenzen können zu festgelegten Zeiten erhöht werden, um ihre Fähigkeiten stark zu verbessern.
- Neuer Träger: Furchtloses Herz. Heile verletzte Einheiten jederzeit und überall auf der Karte!
- Neue Operatoren hinzugefügt: 3 spezielle neue Operatoren jeweils für Primatus, Gepard und Skorpion.
- Belagerung &amp; Plünderung verbessert: optimierte Eventseitenleistung, hinzugefügte Warnungen für Siegesserien und Gebäudeeinnahmen.
- Kampfberichte verbessert: kombinierte Kampfberichte für Kartenkämpfe und hinzugefügter Zusammenfassungsabschnitt; hinzugefügte mech-bezogene Boni auf der Bonusseite und in Kundschafter-Berichten.
- Erfolge optimiert: Hinzufügung einer Erwerbsrate für Erfolgsabzeichen; hinzugefügte Funktion zum Teilen von Erfolgen; optimierte Anzeige von Abzeichenwarnungen.
- Operation Mutanten optimiert: Beginne mit der Paarung mit Spielern von anderen Planeten, sobald deiner 45 Tage alt ist.
- Pionierstag-Events:
Mecha-Schatzkiste: Verwende Gedenkbohrer, um Belohnungen zu gewinnen, einschließlich eines speziellen Feiertagsskins!
Graben für den Sieg: Sammle Bohrer, um aufzusteigen und die Chance zu haben, den brandneuen Marscheffekt zu gewinnen!
Glücklicher Doppelter: Kaufe während des Events ein beliebiges Vorteilspack für die Chance, ein zusätzliches kostenlos zu gewinnen! Preise werden täglich ausgegeben.
Pioniergeschenke: Erfülle zeitlich begrenzte Kaufanforderungen, um Belohnungen zu gewinnen!
Operation Pionier: Schließe Quests ab, um die entsprechenden Karten zu beleuchten und Belohnungen zu erhalten, einschließlich einer speziellen Feiertagsdekoration!</v>
      </c>
      <c r="F55" s="148" t="str">
        <f>IFERROR(__xludf.DUMMYFUNCTION("""COMPUTED_VALUE"""),"- Novo combatente: Noé, O Portador do Escudo, está sempre lá para apoiar e proteger com seu super radar!
- Novo evento de ""retorno"": convide amigos de volta ao jogo para ganhar recompensas. Jogadores que não estiveram online por um tempo também podem ob"&amp;"ter uma recompensa ao entrar com um código de reunião!
- Habilidades de unidade modificadas: efeito de lentidão (redução de velocidade de até 50%) adicionado à habilidade de equipamento do Atirador.
- Novo evento Expedição de Combatente: descubra quão for"&amp;"tes são seus Combatentes e ganhe recompensas ao mesmo tempo!
- Partidas de treino adicionadas ao Coliseu Astral: organize membros da Gangue para exercícios de combate e pratique seus ataques e defesa nos primeiros 3 dias do Coliseu Astral.
- Sistema de au"&amp;"mento de durabilidade do Mech: os limites de durabilidade do mech podem ser aumentados em tempos designados para aprimorar grandemente suas capacidades.
- Novo transportador: Coração Corajoso. Cure unidades feridas a qualquer hora, em qualquer lugar no ma"&amp;"pa!
- Novos operadores adicionados: 3 novos operadores especiais para Primatus, Chita e Escorpião.
- Cerco &amp; Saque melhorados: desempenho da página do evento otimizado, adicionados alertas para sequências de vitórias e capturas de construções.
- Relatório"&amp;"s de batalha melhorados: relatórios de batalha combinados para batalhas no mapa e adicionada uma seção de resumo; adicionados bônus relacionados a mechs na página de bônus e relatórios de batedores.
- Conquistas otimizadas: adicionada uma taxa de aquisiçã"&amp;"o para insígnias de conquista; adicionada função de compartilhamento de conquistas; otimizada a exibição de alertas de insígnias.
- Operação Mutantes otimizada: comece a emparelhar com jogadores de outros planetas uma vez que o seu tenha 45 dias de idade."&amp;"
- Eventos do Dia dos Pioneiros:
COFRE MECHA: Use Brocas Comemorativas para ganhar recompensas, incluindo uma skin especial de feriado!
Cavar pela Vitória: Colete brocas para subir de nível e ter a chance de ganhar o novíssimo efeito de marcha!
Sorte Dupl"&amp;"a: Compre qualquer pacote promocional durante o evento para ter a chance de ganhar um adicional de graça! Prêmios emitidos diariamente.
Presentes dos Pioneiros: Atenda aos requisitos de compra limitados pelo tempo para ganhar recompensas!
OPERAÇÃO PIONEIR"&amp;"A: complete missões para acender os cartões correspondentes e obter recompensas, incluindo uma decoração especial de feriado!")</f>
        <v>- Novo combatente: Noé, O Portador do Escudo, está sempre lá para apoiar e proteger com seu super radar!
- Novo evento de "retorno": convide amigos de volta ao jogo para ganhar recompensas. Jogadores que não estiveram online por um tempo também podem obter uma recompensa ao entrar com um código de reunião!
- Habilidades de unidade modificadas: efeito de lentidão (redução de velocidade de até 50%) adicionado à habilidade de equipamento do Atirador.
- Novo evento Expedição de Combatente: descubra quão fortes são seus Combatentes e ganhe recompensas ao mesmo tempo!
- Partidas de treino adicionadas ao Coliseu Astral: organize membros da Gangue para exercícios de combate e pratique seus ataques e defesa nos primeiros 3 dias do Coliseu Astral.
- Sistema de aumento de durabilidade do Mech: os limites de durabilidade do mech podem ser aumentados em tempos designados para aprimorar grandemente suas capacidades.
- Novo transportador: Coração Corajoso. Cure unidades feridas a qualquer hora, em qualquer lugar no mapa!
- Novos operadores adicionados: 3 novos operadores especiais para Primatus, Chita e Escorpião.
- Cerco &amp; Saque melhorados: desempenho da página do evento otimizado, adicionados alertas para sequências de vitórias e capturas de construções.
- Relatórios de batalha melhorados: relatórios de batalha combinados para batalhas no mapa e adicionada uma seção de resumo; adicionados bônus relacionados a mechs na página de bônus e relatórios de batedores.
- Conquistas otimizadas: adicionada uma taxa de aquisição para insígnias de conquista; adicionada função de compartilhamento de conquistas; otimizada a exibição de alertas de insígnias.
- Operação Mutantes otimizada: comece a emparelhar com jogadores de outros planetas uma vez que o seu tenha 45 dias de idade.
- Eventos do Dia dos Pioneiros:
COFRE MECHA: Use Brocas Comemorativas para ganhar recompensas, incluindo uma skin especial de feriado!
Cavar pela Vitória: Colete brocas para subir de nível e ter a chance de ganhar o novíssimo efeito de marcha!
Sorte Dupla: Compre qualquer pacote promocional durante o evento para ter a chance de ganhar um adicional de graça! Prêmios emitidos diariamente.
Presentes dos Pioneiros: Atenda aos requisitos de compra limitados pelo tempo para ganhar recompensas!
OPERAÇÃO PIONEIRA: complete missões para acender os cartões correspondentes e obter recompensas, incluindo uma decoração especial de feriado!</v>
      </c>
      <c r="G55" s="148" t="str">
        <f>IFERROR(__xludf.DUMMYFUNCTION("""COMPUTED_VALUE"""),"-新增鬥士：光盾勇士-諾亞，用超級雷達提供支援的守護者，讓所有戰友安心！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
-新增衛星戰場練習場功能：在開啟衛星戰場活動的前3天，指揮官可以組織幫派內成員來練習場互相攻防，進行作戰演練。
-新增機甲耐久強化系統：各機甲在伺服器指定時間可以對自身進行耐久上限強化，大幅"&amp;"提升機甲實力。
-新增戰車：無畏之心號，可在野外隨時隨地治療受傷士兵。
-新增機師：新增金剛、獵豹、毒蠍的特定機師各3個。
-攻城略地優化：提升攻城掠地界面表現，增加連勝、佔領建築的提示消息。
-戰報優化：野外戰鬥戰報合併，增加戰鬥總結模塊；增益界面以及偵察戰報中增加機甲相關的增益信息。
-成就優化：增加成就勳章的獲取率顯示；增加了成就分享功能；優化了勳章彈窗內容顯示。
-圍剿變異猴優化：服務達到45天時，將可跨服配對玩家。
-新增拓荒節活動：
機械秘寶：拓荒節活動開啟，使用紀念扳手，贏取豪華大獎，更有拓"&amp;"荒節皮膚等你來拿！
掘地求勝：收集鑽頭，提升活動等級，有機會獲取全新行軍特效！
好運成雙：活動期間購買任意優惠組合，有機會額外獲得一份相同獎勵，每日均會開獎！
拓荒豪禮：限時累計已購買即可領取豐厚獎勵！
拓荒行動：玩家完成任務可點亮任務牌獲取獎勵，贏得拓荒節專屬裝飾！")</f>
        <v>-新增鬥士：光盾勇士-諾亞，用超級雷達提供支援的守護者，讓所有戰友安心！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
-新增衛星戰場練習場功能：在開啟衛星戰場活動的前3天，指揮官可以組織幫派內成員來練習場互相攻防，進行作戰演練。
-新增機甲耐久強化系統：各機甲在伺服器指定時間可以對自身進行耐久上限強化，大幅提升機甲實力。
-新增戰車：無畏之心號，可在野外隨時隨地治療受傷士兵。
-新增機師：新增金剛、獵豹、毒蠍的特定機師各3個。
-攻城略地優化：提升攻城掠地界面表現，增加連勝、佔領建築的提示消息。
-戰報優化：野外戰鬥戰報合併，增加戰鬥總結模塊；增益界面以及偵察戰報中增加機甲相關的增益信息。
-成就優化：增加成就勳章的獲取率顯示；增加了成就分享功能；優化了勳章彈窗內容顯示。
-圍剿變異猴優化：服務達到45天時，將可跨服配對玩家。
-新增拓荒節活動：
機械秘寶：拓荒節活動開啟，使用紀念扳手，贏取豪華大獎，更有拓荒節皮膚等你來拿！
掘地求勝：收集鑽頭，提升活動等級，有機會獲取全新行軍特效！
好運成雙：活動期間購買任意優惠組合，有機會額外獲得一份相同獎勵，每日均會開獎！
拓荒豪禮：限時累計已購買即可領取豐厚獎勵！
拓荒行動：玩家完成任務可點亮任務牌獲取獎勵，贏得拓荒節專屬裝飾！</v>
      </c>
      <c r="H55" s="148" t="str">
        <f>IFERROR(__xludf.DUMMYFUNCTION("""COMPUTED_VALUE"""),"- Pejuang Baru: Noah, Pemegang Perisai, selalu ada untuk mendukung dan melindungi dengan radar super miliknya!
- Event ""comeback"" baru: undang teman kembali ke dalam permainan untuk memenangkan hadiah. Pemain yang sudah lama tidak online juga bisa menda"&amp;"patkan hadiah dengan memasukkan kode reuni!
- Keahlian pasukan dimodifikasi: efek lambat (pengurangan kecepatan hingga 50%) ditambahkan ke skill gear Shooter.
- Event Ekspedisi Pejuang baru: temukan seberapa kuat Pejuangmu dan menangkan hadiah pada saat y"&amp;"ang bersamaan!
- Pertandingan latihan ditambahkan ke Koloseum Astral: organisasikan anggota Geng untuk latihan tempur dan latih serangan serta pertahananmu di 3 hari pertama Koloseum Astral.
- Sistem peningkatan ketahanan Mekanik: batas ketahanan mekanik "&amp;"dapat ditingkatkan pada waktu yang ditentukan untuk sangat memperkuat kemampuan mereka.
- Pembawa baru: Hati Pemberani. Pulihkan unit yang terluka kapan saja, di mana saja di peta!
- Operator baru ditambahkan: 3 operator spesial baru masing-masing untuk P"&amp;"rimatus, Cheetah, dan Kalajengking.
- Pengepungan &amp; Jarah ditingkatkan: kinerja halaman event dioptimalkan, ditambahkan peringatan untuk kemenangan beruntun dan penangkapan bangunan.
- Laporan pertempuran ditingkatkan: menggabungkan laporan pertempuran un"&amp;"tuk pertempuran peta dan menambahkan bagian ringkasan; menambahkan bonus terkait mekanik di halaman bonus dan laporan pengintaian.
- Pencapaian dioptimalkan: menambahkan tingkat perolehan untuk lencana pencapaian; menambahkan fungsi berbagi pencapaian; me"&amp;"nampilkan peringatan lencana dioptimalkan.
- Operasi Kera Mutan dioptimalkan: mulai berpasangan dengan pemain dari planet lain setelah planetmu berusia 45 hari.
- Event Hari Pionir:
HARTA KARUN MEKANIK: Gunakan Bor Peringatan untuk memenangkan hadiah, ter"&amp;"masuk skin liburan spesial!
Gali untuk Kemenangan: Kumpulkan bor untuk naik level dan dapatkan kesempatan untuk memenangkan efek berbaris yang serba baru!
Keberuntungan Ganda: Pembelian paket murah apa pun selama event untuk kesempatan memenangkan tambaha"&amp;"n satu secara gratis! Hadiah dikeluarkan setiap hari.
Hadiah Pionir: Penuhi syarat pembelian terbatas waktu untuk memenangkan hadiah!
OPERASI PIONIR: selesaikan tantangan untuk menyalakan kartu yang sesuai dan dapatkan hadiah termasuk dekorasi liburan spe"&amp;"sial!")</f>
        <v>- Pejuang Baru: Noah, Pemegang Perisai, selalu ada untuk mendukung dan melindungi dengan radar super miliknya!
- Event "comeback" baru: undang teman kembali ke dalam permainan untuk memenangkan hadiah. Pemain yang sudah lama tidak online juga bisa mendapatkan hadiah dengan memasukkan kode reuni!
- Keahlian pasukan dimodifikasi: efek lambat (pengurangan kecepatan hingga 50%) ditambahkan ke skill gear Shooter.
- Event Ekspedisi Pejuang baru: temukan seberapa kuat Pejuangmu dan menangkan hadiah pada saat yang bersamaan!
- Pertandingan latihan ditambahkan ke Koloseum Astral: organisasikan anggota Geng untuk latihan tempur dan latih serangan serta pertahananmu di 3 hari pertama Koloseum Astral.
- Sistem peningkatan ketahanan Mekanik: batas ketahanan mekanik dapat ditingkatkan pada waktu yang ditentukan untuk sangat memperkuat kemampuan mereka.
- Pembawa baru: Hati Pemberani. Pulihkan unit yang terluka kapan saja, di mana saja di peta!
- Operator baru ditambahkan: 3 operator spesial baru masing-masing untuk Primatus, Cheetah, dan Kalajengking.
- Pengepungan &amp; Jarah ditingkatkan: kinerja halaman event dioptimalkan, ditambahkan peringatan untuk kemenangan beruntun dan penangkapan bangunan.
- Laporan pertempuran ditingkatkan: menggabungkan laporan pertempuran untuk pertempuran peta dan menambahkan bagian ringkasan; menambahkan bonus terkait mekanik di halaman bonus dan laporan pengintaian.
- Pencapaian dioptimalkan: menambahkan tingkat perolehan untuk lencana pencapaian; menambahkan fungsi berbagi pencapaian; menampilkan peringatan lencana dioptimalkan.
- Operasi Kera Mutan dioptimalkan: mulai berpasangan dengan pemain dari planet lain setelah planetmu berusia 45 hari.
- Event Hari Pionir:
HARTA KARUN MEKANIK: Gunakan Bor Peringatan untuk memenangkan hadiah, termasuk skin liburan spesial!
Gali untuk Kemenangan: Kumpulkan bor untuk naik level dan dapatkan kesempatan untuk memenangkan efek berbaris yang serba baru!
Keberuntungan Ganda: Pembelian paket murah apa pun selama event untuk kesempatan memenangkan tambahan satu secara gratis! Hadiah dikeluarkan setiap hari.
Hadiah Pionir: Penuhi syarat pembelian terbatas waktu untuk memenangkan hadiah!
OPERASI PIONIR: selesaikan tantangan untuk menyalakan kartu yang sesuai dan dapatkan hadiah termasuk dekorasi liburan spesial!</v>
      </c>
      <c r="I55" s="148" t="str">
        <f>IFERROR(__xludf.DUMMYFUNCTION("""COMPUTED_VALUE"""),"- นักสู้ตัวใหม่: โนอาห์ นักสู้ผู้ถือโล่ พร้อมเสมอที่จะสนับสนุนและป้องกันด้วยเรดาร์สุดพิเศษของเขา!
- กิจกรรม ""กลับมาใหม่"": เชิญเพื่อนกลับมาเล่นเกมเพื่อชนะรางวัล ผู้เล่นที่ไม่ได้เข้าเกมมาสักพักสามารถรับรางวัลได้โดยการใส่รหัสรวมกลุ่ม!
- ทักษะของหน่วยได้รับ"&amp;"การปรับเปลี่ยน: เพิ่มผลลดความเร็ว (สูงสุด 50%) ในทักษะของอุปกรณ์นักยิง.
- กิจกรรมการสำรวจของนักสู้ตัวใหม่: ค้นหาว่านักสู้ของคุณแข็งแกร่งแค่ไหนและชนะรางวัลในเวลาเดียวกัน!
- เพิ่มการฝึกแมตช์ในโคลีเซียมดวงดาว: จัดระเบียบสมาชิกแก๊งค์เพื่อฝึกซ้อมการต่อสู้และฝึ"&amp;"กโจมตีและป้องกันใน 3 วันแรกของโคลีเซียมดวงดาว.
- ระบบบูสต์ความทนทานของเมค: สามารถเพิ่มขีดจำกัดความทนทานของเมคได้ในเวลาที่กำหนดเพื่อเพิ่มความสามารถอย่างมาก.
- ผู้บรรทุกตัวใหม่: หัวใจแห่งความกล้าหาญ รักษาหน่วยที่บาดเจ็บได้ทุกเวลาทุกที่บนแผนที่!
- เพิ่มผู้ปฏ"&amp;"ิบัติการใหม่: ผู้ปฏิบัติการพิเศษใหม่ 3 คนสำหรับ Primatus, เสือชีตาห์ และแมงป่อง.
- ปรับปรุงการตีเมืองและปล้น: ปรับปรุงประสิทธิภาพหน้ากิจกรรม, เพิ่มการแจ้งเตือนสำหรับการชนะต่อเนื่องและการยึดครองอาคาร.
- ปรับปรุงรายงานการต่อสู้: รวมรายงานการต่อสู้บนแผนที่แล"&amp;"ะเพิ่มส่วนสรุป; เพิ่มโบนัสที่เกี่ยวข้องกับเมคในหน้าโบนัสและรายงานการสอดแนม.
- ปรับปรุงความสำเร็จ: เพิ่มอัตราการได้รับเหรียญความสำเร็จ; เพิ่มฟังก์ชันการแชร์ความสำเร็จ; ปรับปรุงการแสดงการแจ้งเตือนของเหรียญ.
- ปฏิบัติการตัวกลายพันธุ์ได้รับการปรับปรุง: เริ่มจ"&amp;"ับคู่กับผู้เล่นจากดาวอื่นเมื่อดาวของคุณมีอายุ 45 วัน.
- กิจกรรมวันผู้บุกเบิก:
เครื่องจักรสมบัติลับ: ใช้การฝึกด้วยเจาะที่ระลึกเพื่อชนะรางวัล รวมถึงสกินวันหยุดพิเศษ!
ขุดเพื่อชัยชนะ: เก็บเจาะเพื่อเพิ่มเลเวลขึ้นและมีโอกาสชนะเอฟเฟกต์การเดินทัพใหม่ทั้งหมด!
โชคด"&amp;"ีสองเท่า: ซื้อแพ็คคุ้มค่าใดๆ ระหว่างกิจกรรมเพื่อโอกาสชนะเพิ่มอีกหนึ่งฟรี! รางวัลจะถูกแจกทุกวัน.
ของขวัญผู้บุกเบิก: ตอบสนองข้อกำหนดการซื้อที่จำกัดเวลาเพื่อชนะรางวัล!
การดำเนินงานผู้บุกเบิก: เสร็จสิ้นเควสเพื่อจุดไฟในการ์ดที่ตรงกันและรับรางวัลรวมถึงการตกแต่ง"&amp;"วันหยุดพิเศษ!")</f>
        <v>- นักสู้ตัวใหม่: โนอาห์ นักสู้ผู้ถือโล่ พร้อมเสมอที่จะสนับสนุนและป้องกันด้วยเรดาร์สุดพิเศษของเขา!
- กิจกรรม "กลับมาใหม่": เชิญเพื่อนกลับมาเล่นเกมเพื่อชนะรางวัล ผู้เล่นที่ไม่ได้เข้าเกมมาสักพักสามารถรับรางวัลได้โดยการใส่รหัสรวมกลุ่ม!
- ทักษะของหน่วยได้รับการปรับเปลี่ยน: เพิ่มผลลดความเร็ว (สูงสุด 50%) ในทักษะของอุปกรณ์นักยิง.
- กิจกรรมการสำรวจของนักสู้ตัวใหม่: ค้นหาว่านักสู้ของคุณแข็งแกร่งแค่ไหนและชนะรางวัลในเวลาเดียวกัน!
- เพิ่มการฝึกแมตช์ในโคลีเซียมดวงดาว: จัดระเบียบสมาชิกแก๊งค์เพื่อฝึกซ้อมการต่อสู้และฝึกโจมตีและป้องกันใน 3 วันแรกของโคลีเซียมดวงดาว.
- ระบบบูสต์ความทนทานของเมค: สามารถเพิ่มขีดจำกัดความทนทานของเมคได้ในเวลาที่กำหนดเพื่อเพิ่มความสามารถอย่างมาก.
- ผู้บรรทุกตัวใหม่: หัวใจแห่งความกล้าหาญ รักษาหน่วยที่บาดเจ็บได้ทุกเวลาทุกที่บนแผนที่!
- เพิ่มผู้ปฏิบัติการใหม่: ผู้ปฏิบัติการพิเศษใหม่ 3 คนสำหรับ Primatus, เสือชีตาห์ และแมงป่อง.
- ปรับปรุงการตีเมืองและปล้น: ปรับปรุงประสิทธิภาพหน้ากิจกรรม, เพิ่มการแจ้งเตือนสำหรับการชนะต่อเนื่องและการยึดครองอาคาร.
- ปรับปรุงรายงานการต่อสู้: รวมรายงานการต่อสู้บนแผนที่และเพิ่มส่วนสรุป; เพิ่มโบนัสที่เกี่ยวข้องกับเมคในหน้าโบนัสและรายงานการสอดแนม.
- ปรับปรุงความสำเร็จ: เพิ่มอัตราการได้รับเหรียญความสำเร็จ; เพิ่มฟังก์ชันการแชร์ความสำเร็จ; ปรับปรุงการแสดงการแจ้งเตือนของเหรียญ.
- ปฏิบัติการตัวกลายพันธุ์ได้รับการปรับปรุง: เริ่มจับคู่กับผู้เล่นจากดาวอื่นเมื่อดาวของคุณมีอายุ 45 วัน.
- กิจกรรมวันผู้บุกเบิก:
เครื่องจักรสมบัติลับ: ใช้การฝึกด้วยเจาะที่ระลึกเพื่อชนะรางวัล รวมถึงสกินวันหยุดพิเศษ!
ขุดเพื่อชัยชนะ: เก็บเจาะเพื่อเพิ่มเลเวลขึ้นและมีโอกาสชนะเอฟเฟกต์การเดินทัพใหม่ทั้งหมด!
โชคดีสองเท่า: ซื้อแพ็คคุ้มค่าใดๆ ระหว่างกิจกรรมเพื่อโอกาสชนะเพิ่มอีกหนึ่งฟรี! รางวัลจะถูกแจกทุกวัน.
ของขวัญผู้บุกเบิก: ตอบสนองข้อกำหนดการซื้อที่จำกัดเวลาเพื่อชนะรางวัล!
การดำเนินงานผู้บุกเบิก: เสร็จสิ้นเควสเพื่อจุดไฟในการ์ดที่ตรงกันและรับรางวัลรวมถึงการตกแต่งวันหยุดพิเศษ!</v>
      </c>
      <c r="J55" s="148" t="str">
        <f>IFERROR(__xludf.DUMMYFUNCTION("""COMPUTED_VALUE"""),"- Nuevo Luchador: Noé, el Portaescudos, siempre está ahí para apoyar y proteger con su súper radar.
- Nuevo evento de ""regreso"": invitar amigos de vuelta al juego para ganar recompensas. ¡Los jugadores que no han estado en línea durante un tiempo tambié"&amp;"n pueden obtener una recompensa ingresando un código de reunión!
- Habilidades de unidad modificadas: efecto de lentitud (hasta un 50% de reducción de velocidad) añadido a la habilidad de equipo de Shooter.
- Nuevo evento Expedición de Luchadores: ¡descub"&amp;"re cuán fuertes son tus Luchadores y gana recompensas al mismo tiempo!
- Partidas de práctica añadidas al Coliseo Astral: organiza a los miembros de la Banda para ejercicios de combate y practica tus ataques y defensa en los primeros 3 días del Coliseo As"&amp;"tral.
- Sistema de potenciación de durabilidad del Mech: los límites de durabilidad del mech se pueden aumentar en momentos designados para mejorar enormemente sus capacidades.
- Nuevo transportista: Corazón Intrépido. ¡Cura unidades heridas en cualquier "&amp;"momento y lugar en el mapa!
- Nuevos operadores añadidos: 3 operadores especiales nuevos para Primatus, Guepardo y Escorpión.
- Asedio y Saqueo mejorados: rendimiento de la página del evento optimizado, añadidas alertas para rachas de victorias y capturas"&amp;" de construcciones.
- Informes de batalla mejorados: informes de batalla combinados para batallas en el mapa y añadida una sección de resumen; añadidos bonos relacionados con mechs en la página de bonificación e informes de reconocimiento.
- Logros optimi"&amp;"zados: añadida una tasa de adquisición para las insignias de logros; añadida función de compartir logros; optimizada la visualización de alertas de insignias.
- Operación Mutantes optimizada: comienza a emparejarte con jugadores de otros planetas una vez "&amp;"que el tuyo tenga 45 días de antigüedad.
- Eventos del Día de los Pioneros:
TESORO MECÁNICO: ¡Usa Taladros Conmemorativos para ganar recompensas, incluyendo una piel especial de vacaciones!
Cavar para la Victoria: ¡Recolecta taladros para subir de nivel y"&amp;" tener la oportunidad de ganar el nuevo efecto de marcha!
Doble Suerte: ¡Compra cualquier paquete de valor durante el evento para tener la oportunidad de ganar uno adicional gratis! Premios emitidos diariamente.
Regalos de los Pioneros: ¡Cumple con los re"&amp;"quisitos de compra limitados por tiempo para ganar recompensas!
OPERACIÓN PIONERO: ¡completa misiones para iluminar las tarjetas correspondientes y obtener recompensas incluyendo una decoración especial de vacaciones!")</f>
        <v>- Nuevo Luchador: Noé, el Portaescudos, siempre está ahí para apoyar y proteger con su súper radar.
- Nuevo evento de "regreso": invitar amigos de vuelta al juego para ganar recompensas. ¡Los jugadores que no han estado en línea durante un tiempo también pueden obtener una recompensa ingresando un código de reunión!
- Habilidades de unidad modificadas: efecto de lentitud (hasta un 50% de reducción de velocidad) añadido a la habilidad de equipo de Shooter.
- Nuevo evento Expedición de Luchadores: ¡descubre cuán fuertes son tus Luchadores y gana recompensas al mismo tiempo!
- Partidas de práctica añadidas al Coliseo Astral: organiza a los miembros de la Banda para ejercicios de combate y practica tus ataques y defensa en los primeros 3 días del Coliseo Astral.
- Sistema de potenciación de durabilidad del Mech: los límites de durabilidad del mech se pueden aumentar en momentos designados para mejorar enormemente sus capacidades.
- Nuevo transportista: Corazón Intrépido. ¡Cura unidades heridas en cualquier momento y lugar en el mapa!
- Nuevos operadores añadidos: 3 operadores especiales nuevos para Primatus, Guepardo y Escorpión.
- Asedio y Saqueo mejorados: rendimiento de la página del evento optimizado, añadidas alertas para rachas de victorias y capturas de construcciones.
- Informes de batalla mejorados: informes de batalla combinados para batallas en el mapa y añadida una sección de resumen; añadidos bonos relacionados con mechs en la página de bonificación e informes de reconocimiento.
- Logros optimizados: añadida una tasa de adquisición para las insignias de logros; añadida función de compartir logros; optimizada la visualización de alertas de insignias.
- Operación Mutantes optimizada: comienza a emparejarte con jugadores de otros planetas una vez que el tuyo tenga 45 días de antigüedad.
- Eventos del Día de los Pioneros:
TESORO MECÁNICO: ¡Usa Taladros Conmemorativos para ganar recompensas, incluyendo una piel especial de vacaciones!
Cavar para la Victoria: ¡Recolecta taladros para subir de nivel y tener la oportunidad de ganar el nuevo efecto de marcha!
Doble Suerte: ¡Compra cualquier paquete de valor durante el evento para tener la oportunidad de ganar uno adicional gratis! Premios emitidos diariamente.
Regalos de los Pioneros: ¡Cumple con los requisitos de compra limitados por tiempo para ganar recompensas!
OPERACIÓN PIONERO: ¡completa misiones para iluminar las tarjetas correspondientes y obtener recompensas incluyendo una decoración especial de vacaciones!</v>
      </c>
      <c r="K55" s="148" t="str">
        <f>IFERROR(__xludf.DUMMYFUNCTION("""COMPUTED_VALUE"""),"- Новый герой: Ной, Щитоносец, всегда готов поддержать и защитить с помощью своего супер радара!
- Новое событие ""возвращение"": пригласите друзей вернуться в игру, чтобы выиграть награды. Игроки, которые давно не были в сети, также могут получить наград"&amp;"у, введя код воссоединения!
- Изменения в навыках отряда: к навыку снаряжения Стрелка добавлен эффект замедления (до 50% снижения скорости).
- Новое событие Экспедиция героя: узнайте, насколько сильны ваши Герои, и одновременно выигрывайте награды!
- Доба"&amp;"влены тренировочные матчи в Астральный Колизей: организуйте участников Банды для боевых учений и практикуйте свои атаки и защиту в первые 3 дня Астрального Колизея.
- Система усиления прочности Меха: в определенные моменты можно повысить предел прочности "&amp;"Меха, значительно улучшив его возможности.
- Новый перевозчик: Бесстрашное сердце. Лечите раненые отряды в любое время и в любом месте на карте!
- Добавлены новые операторы: по 3 специальных новых оператора для Приматуса, Гепарда и Скорпиона.
- Улучшены О"&amp;"сада и Разграбление: оптимизирована производительность страницы события, добавлены оповещения о сериях побед и захватах построек.
- Улучшены отчеты о боях: объединены отчеты о боях на карте и добавлен раздел суммарной информации; добавлены бонусы, связанн"&amp;"ые с Мехом, на странице бонусов и в отчетах разведки.
- Оптимизированы достижения: добавлен показатель скорости получения значков достижений; добавлена функция делиться достижениями; оптимизировано отображение оповещений о значках.
- Оптимизирована Операц"&amp;"ия «Мутанты»: начните подбор игроков с других планет, как только вашей планете исполнится 45 дней.
- События Дня Пионеров:
МЕХАТРОННЫЙ СКЛАД: Используйте Памятные буры, чтобы выиграть награды, включая специальный праздничный скин!
Копайте ради Победы: Соб"&amp;"ирайте буры, чтобы повысить уровень и получить шанс выиграть совершенно новый эффект марша!
Удачное Удвоение: Приобретите любой выгодный набор во время события, чтобы получить шанс выиграть еще один бесплатно! Призы выдаются ежедневно.
Подарки Пионера: Вы"&amp;"полните требования ограниченной по времени покупки, чтобы выиграть награды!
ОПЕРАЦИЯ ПИОНЕР: выполняйте задания, чтобы зажечь соответствующие карточки и получить награды, включая специальное праздничное украшение!")</f>
        <v>- Новый герой: Ной, Щитоносец, всегда готов поддержать и защитить с помощью своего супер радара!
- Новое событие "возвращение": пригласите друзей вернуться в игру, чтобы выиграть награды. Игроки, которые давно не были в сети, также могут получить награду, введя код воссоединения!
- Изменения в навыках отряда: к навыку снаряжения Стрелка добавлен эффект замедления (до 50% снижения скорости).
- Новое событие Экспедиция героя: узнайте, насколько сильны ваши Герои, и одновременно выигрывайте награды!
- Добавлены тренировочные матчи в Астральный Колизей: организуйте участников Банды для боевых учений и практикуйте свои атаки и защиту в первые 3 дня Астрального Колизея.
- Система усиления прочности Меха: в определенные моменты можно повысить предел прочности Меха, значительно улучшив его возможности.
- Новый перевозчик: Бесстрашное сердце. Лечите раненые отряды в любое время и в любом месте на карте!
- Добавлены новые операторы: по 3 специальных новых оператора для Приматуса, Гепарда и Скорпиона.
- Улучшены Осада и Разграбление: оптимизирована производительность страницы события, добавлены оповещения о сериях побед и захватах построек.
- Улучшены отчеты о боях: объединены отчеты о боях на карте и добавлен раздел суммарной информации; добавлены бонусы, связанные с Мехом, на странице бонусов и в отчетах разведки.
- Оптимизированы достижения: добавлен показатель скорости получения значков достижений; добавлена функция делиться достижениями; оптимизировано отображение оповещений о значках.
- Оптимизирована Операция «Мутанты»: начните подбор игроков с других планет, как только вашей планете исполнится 45 дней.
- События Дня Пионеров:
МЕХАТРОННЫЙ СКЛАД: Используйте Памятные буры, чтобы выиграть награды, включая специальный праздничный скин!
Копайте ради Победы: Собирайте буры, чтобы повысить уровень и получить шанс выиграть совершенно новый эффект марша!
Удачное Удвоение: Приобретите любой выгодный набор во время события, чтобы получить шанс выиграть еще один бесплатно! Призы выдаются ежедневно.
Подарки Пионера: Выполните требования ограниченной по времени покупки, чтобы выиграть награды!
ОПЕРАЦИЯ ПИОНЕР: выполняйте задания, чтобы зажечь соответствующие карточки и получить награды, включая специальное праздничное украшение!</v>
      </c>
      <c r="L55" s="148" t="str">
        <f>IFERROR(__xludf.DUMMYFUNCTION("""COMPUTED_VALUE"""),"- Yeni Savaşçı: Nuh, Kalkan Taşıyıcı, süper radarı ile her zaman destek olmak ve korumak için oradadır!
- Yeni ""geri dönüş"" etkinliği: ödüller kazanmak için arkadaşlarını oyuna geri davet et. Bir süredir çevrim içi olmayan oyuncular da birleşme kodu gir"&amp;"erek ödül alabilirler!
- Birim becerileri değiştirildi: Nişancı ekipman becerisine yavaşlatma efekti eklendi (hızı %50'ye kadar azaltma).
- Yeni Savaşçı Gezisi etkinliği: Savaşçılarınızın ne kadar güçlü olduğunu keşfedin ve aynı zamanda ödüller kazanın!
-"&amp;" Yıldız Kolezyumu'na alıştırma maçları eklendi: Çete üyelerini savaş alıştırmaları için organize edin ve Yıldız Kolezyumu'nun ilk 3 gününde saldırılarınızı ve savunmanızı pratik yapın.
- Meka dayanıklılık güçlendirme sistemi: belirlenen zamanlarda meka da"&amp;"yanıklılık sınırları yükseltilebilir ve böylece yetenekleri büyük ölçüde geliştirilebilir.
- Yeni taşıyıcı: Cesur Yürek. Harita üzerinde herhangi bir yerde ve her zaman yaralı birimleri iyileştirin!
- Yeni operatörler eklendi: Primatus, Çita ve Akrep için"&amp;" her biri 3 özel yeni operatör.
- Kuşatma &amp; Yağmala geliştirildi: etkinlik sayfası performansı optimize edildi, galibiyet serileri ve bina ele geçirmeler için uyarılar eklendi.
- Savaş raporları geliştirildi: harita savaşları için birleştirilmiş savaş rap"&amp;"orları eklendi ve bir özet bölümü; bonus sayfasında ve gözcü raporlarında meka ile ilgili bonuslar eklendi.
- Başarılar optimize edildi: başarı rozetleri için edinme oranı eklendi; başarı paylaşma işlevi eklendi; rozet uyarılarının görüntülenmesi optimize"&amp;" edildi.
- Mutant Operasyonu optimize edildi: gezegeniniz 45 günlük olduğunda diğer gezegenlerden oyuncularla eşleşmeye başlayın.
- Öncüler Günü etkinlikleri:
MEKA HAZİNESİ: Özel bir tatil görünümü de dahil olmak üzere ödüller kazanmak için Anma Matkaplar"&amp;"ını kullanın!
Zafer için Kazı: Matkapları toplayın, seviye yükseltin ve yepyeni SEFER ETKİSİ kazanma şansı elde edin!
Şanslı Çift: Etkinlik sırasında herhangi bir DEĞER PAKETI satın alın ve ücretsiz olarak ek bir tane kazanma şansı yakalayın! Ödüller günl"&amp;"ük verilir.
Öncünün Hediyeleri: Zamanla sınırlı satın alma gerekliliklerini karşılayın ve ödüller kazanın!
OPERASYON ÖNCÜ: maceraları tamamlayarak ilgili kartları aydınlatın ve özel bir tatil dekorasyonu da dahil olmak üzere ödüller kazanın!")</f>
        <v>- Yeni Savaşçı: Nuh, Kalkan Taşıyıcı, süper radarı ile her zaman destek olmak ve korumak için oradadır!
- Yeni "geri dönüş" etkinliği: ödüller kazanmak için arkadaşlarını oyuna geri davet et. Bir süredir çevrim içi olmayan oyuncular da birleşme kodu girerek ödül alabilirler!
- Birim becerileri değiştirildi: Nişancı ekipman becerisine yavaşlatma efekti eklendi (hızı %50'ye kadar azaltma).
- Yeni Savaşçı Gezisi etkinliği: Savaşçılarınızın ne kadar güçlü olduğunu keşfedin ve aynı zamanda ödüller kazanın!
- Yıldız Kolezyumu'na alıştırma maçları eklendi: Çete üyelerini savaş alıştırmaları için organize edin ve Yıldız Kolezyumu'nun ilk 3 gününde saldırılarınızı ve savunmanızı pratik yapın.
- Meka dayanıklılık güçlendirme sistemi: belirlenen zamanlarda meka dayanıklılık sınırları yükseltilebilir ve böylece yetenekleri büyük ölçüde geliştirilebilir.
- Yeni taşıyıcı: Cesur Yürek. Harita üzerinde herhangi bir yerde ve her zaman yaralı birimleri iyileştirin!
- Yeni operatörler eklendi: Primatus, Çita ve Akrep için her biri 3 özel yeni operatör.
- Kuşatma &amp; Yağmala geliştirildi: etkinlik sayfası performansı optimize edildi, galibiyet serileri ve bina ele geçirmeler için uyarılar eklendi.
- Savaş raporları geliştirildi: harita savaşları için birleştirilmiş savaş raporları eklendi ve bir özet bölümü; bonus sayfasında ve gözcü raporlarında meka ile ilgili bonuslar eklendi.
- Başarılar optimize edildi: başarı rozetleri için edinme oranı eklendi; başarı paylaşma işlevi eklendi; rozet uyarılarının görüntülenmesi optimize edildi.
- Mutant Operasyonu optimize edildi: gezegeniniz 45 günlük olduğunda diğer gezegenlerden oyuncularla eşleşmeye başlayın.
- Öncüler Günü etkinlikleri:
MEKA HAZİNESİ: Özel bir tatil görünümü de dahil olmak üzere ödüller kazanmak için Anma Matkaplarını kullanın!
Zafer için Kazı: Matkapları toplayın, seviye yükseltin ve yepyeni SEFER ETKİSİ kazanma şansı elde edin!
Şanslı Çift: Etkinlik sırasında herhangi bir DEĞER PAKETI satın alın ve ücretsiz olarak ek bir tane kazanma şansı yakalayın! Ödüller günlük verilir.
Öncünün Hediyeleri: Zamanla sınırlı satın alma gerekliliklerini karşılayın ve ödüller kazanın!
OPERASYON ÖNCÜ: maceraları tamamlayarak ilgili kartları aydınlatın ve özel bir tatil dekorasyonu da dahil olmak üzere ödüller kazanın!</v>
      </c>
      <c r="M55" s="148" t="str">
        <f>IFERROR(__xludf.DUMMYFUNCTION("""COMPUTED_VALUE"""),"- Chiến Binh Mới: Noah, Người Cầm Khiên, luôn sẵn sàng hỗ trợ và bảo vệ với siêu ra-đa của mình!
- Sự kiện ""trở lại"" mới: mời bạn bè quay trở lại trò chơi để giành phần thưởng. Người chơi đã không trực tuyến trong một thời gian cũng có thể nhận phần thư"&amp;"ởng bằng cách nhập mã hội ngộ!
- Kỹ năng đơn vị được chỉnh sửa: hiệu ứng chậm (giảm tốc độ tới 50%) được thêm vào kỹ năng trang bị Shooter.
- Sự kiện Cuộc Thám Hiểm Chiến Binh mới: khám phá xem Chiến Binh của bạn mạnh mẽ đến đâu và giành phần thưởng cùng "&amp;"lúc!
- Trận Đấu Thực Hành được thêm vào Đại Đấu Trường Thiên Thể: tổ chức các thành viên Bang Hội cho các bài tập chiến đấu và thực hành tấn công và phòng thủ trong 3 ngày đầu của Đại Đấu Trường Thiên Thể.
- Hệ thống tăng cường độ bền Cơ khí: giới hạn độ "&amp;"bền cơ khí có thể được nâng cao vào những thời điểm nhất định để tăng cường khả năng của chúng một cách đáng kể.
- Phương tiện mới: Trái Tim Gan Dạ. Chữa trị các đơn vị bị thương bất cứ lúc nào, bất cứ nơi đâu trên bản đồ!
- Nhà điều hành mới được thêm và"&amp;"o: 3 nhà điều hành đặc biệt mới cho Primatus, Báo Đốm và Bọ Cạp.
- Bao Vây &amp; Cướp Bóc được cải thiện: tối ưu hiệu suất trang sự kiện, thêm cảnh báo cho chuỗi thắng và chiếm giữ công trình.
- Chiến Báo được cải thiện: kết hợp các báo cáo chiến đấu cho các "&amp;"trận đấu trên bản đồ và thêm mục tóm tắt; thêm các thưởng liên quan đến cơ khí trong trang thưởng và báo cáo do thám.
- Thành Tích được tối ưu hóa: thêm tỷ lệ thu được cho huy hiệu thành tích; thêm chức năng chia sẻ thành tích; tối ưu hóa hiển thị cảnh bá"&amp;"o huy hiệu.
- Hoạt Động Vây Quét Khỉ Đột Biến được tối ưu hóa: bắt đầu ghép đôi với người chơi từ các hành tinh khác khi hành tinh của bạn đã 45 ngày tuổi.
- Sự kiện Ngày Tiên Phong:
Cơ khí Bảo vật: Sử dụng Khoan Kỷ Niệm để giành phần thưởng, bao gồm cả s"&amp;"kin lễ hội đặc biệt!
Đào Đất Tìm Chiến Thắng: Thu thập khoan để thăng cấp và có cơ hội giành hiệu ứng hành quân hoàn toàn mới!
May Mắn Nhân Đôi: Mua bất kỳ gói giá trị nào trong sự kiện để có cơ hội giành thêm một gói miễn phí! Giải thưởng được phát hàng "&amp;"ngày.
Quà Tặng Tiên Phong: Đáp ứng yêu cầu mua hàng giới hạn thời gian để giành phần thưởng!
Hoạt Động Tiên Phong: hoàn thành nhiệm vụ để thắp sáng các thẻ tương ứng và nhận phần thưởng bao gồm trang trí lễ hội đặc biệt!")</f>
        <v>- Chiến Binh Mới: Noah, Người Cầm Khiên, luôn sẵn sàng hỗ trợ và bảo vệ với siêu ra-đa của mình!
- Sự kiện "trở lại" mới: mời bạn bè quay trở lại trò chơi để giành phần thưởng. Người chơi đã không trực tuyến trong một thời gian cũng có thể nhận phần thưởng bằng cách nhập mã hội ngộ!
- Kỹ năng đơn vị được chỉnh sửa: hiệu ứng chậm (giảm tốc độ tới 50%) được thêm vào kỹ năng trang bị Shooter.
- Sự kiện Cuộc Thám Hiểm Chiến Binh mới: khám phá xem Chiến Binh của bạn mạnh mẽ đến đâu và giành phần thưởng cùng lúc!
- Trận Đấu Thực Hành được thêm vào Đại Đấu Trường Thiên Thể: tổ chức các thành viên Bang Hội cho các bài tập chiến đấu và thực hành tấn công và phòng thủ trong 3 ngày đầu của Đại Đấu Trường Thiên Thể.
- Hệ thống tăng cường độ bền Cơ khí: giới hạn độ bền cơ khí có thể được nâng cao vào những thời điểm nhất định để tăng cường khả năng của chúng một cách đáng kể.
- Phương tiện mới: Trái Tim Gan Dạ. Chữa trị các đơn vị bị thương bất cứ lúc nào, bất cứ nơi đâu trên bản đồ!
- Nhà điều hành mới được thêm vào: 3 nhà điều hành đặc biệt mới cho Primatus, Báo Đốm và Bọ Cạp.
- Bao Vây &amp; Cướp Bóc được cải thiện: tối ưu hiệu suất trang sự kiện, thêm cảnh báo cho chuỗi thắng và chiếm giữ công trình.
- Chiến Báo được cải thiện: kết hợp các báo cáo chiến đấu cho các trận đấu trên bản đồ và thêm mục tóm tắt; thêm các thưởng liên quan đến cơ khí trong trang thưởng và báo cáo do thám.
- Thành Tích được tối ưu hóa: thêm tỷ lệ thu được cho huy hiệu thành tích; thêm chức năng chia sẻ thành tích; tối ưu hóa hiển thị cảnh báo huy hiệu.
- Hoạt Động Vây Quét Khỉ Đột Biến được tối ưu hóa: bắt đầu ghép đôi với người chơi từ các hành tinh khác khi hành tinh của bạn đã 45 ngày tuổi.
- Sự kiện Ngày Tiên Phong:
Cơ khí Bảo vật: Sử dụng Khoan Kỷ Niệm để giành phần thưởng, bao gồm cả skin lễ hội đặc biệt!
Đào Đất Tìm Chiến Thắng: Thu thập khoan để thăng cấp và có cơ hội giành hiệu ứng hành quân hoàn toàn mới!
May Mắn Nhân Đôi: Mua bất kỳ gói giá trị nào trong sự kiện để có cơ hội giành thêm một gói miễn phí! Giải thưởng được phát hàng ngày.
Quà Tặng Tiên Phong: Đáp ứng yêu cầu mua hàng giới hạn thời gian để giành phần thưởng!
Hoạt Động Tiên Phong: hoàn thành nhiệm vụ để thắp sáng các thẻ tương ứng và nhận phần thưởng bao gồm trang trí lễ hội đặc biệt!</v>
      </c>
      <c r="N55" s="108" t="str">
        <f>IFERROR(__xludf.DUMMYFUNCTION("""COMPUTED_VALUE"""),"- Nuovo Combattente: Noè, il Portascudo, è sempre pronto a supportare e proteggere con il suo super radar!
- Nuovo evento ""ritorno"": invita amici a ritornare nel gioco per vincere ricompense. Anche i giocatori che non sono stati online per un po' posson"&amp;"o ottenere una ricompensa inserendo un codice di riunione!
- Abilità dell'unità modificate: effetto rallentamento (riduzione della velocità fino al 50%) aggiunto all'abilità dell'equipaggiamento del Tiratore.
- Nuovo evento Esplorazione Combattente: scopr"&amp;"i quanto sono forti i tuoi Combattenti e vinci ricompense allo stesso tempo!
- Partite di Prova aggiunte al Colosseo astrale: organizza i membri della Gang per esercitazioni di combattimento e pratica i tuoi attacchi e difese nei primi 3 giorni del Coloss"&amp;"eo astrale.
- Sistema di potenziamento della durabilità del Mech: i limiti di durabilità del mech possono essere aumentati in momenti designati per migliorare notevolmente le loro capacità.
- Nuovo trasportatore: Cuore intrepido. Guarisci le unità ferite "&amp;"in qualsiasi momento, ovunque sulla mappa!
- Nuovi operatori aggiunti: 3 nuovi operatori speciali ciascuno per Primatus, Ghepardo e Scorpione.
- Assedio &amp; Plunder migliorati: ottimizzata la performance della pagina dell'evento, aggiunti allerte per serie "&amp;"di vittorie e catture di costruzioni.
- Rapporti battaglia migliorati: combinati i rapporti di battaglia per le battaglie sulla mappa e aggiunta una sezione di riepilogo; aggiunti bonus relativi ai mech nella pagina dei bonus e nei rapporti di esplorazion"&amp;"e.
- Raggiungimenti ottimizzati: aggiunta una percentuale di acquisizione per i distintivi di raggiungimento; aggiunta la funzione di condivisione dei raggiungimenti; ottimizzata la visualizzazione degli allarmi dei distintivi.
- Operazione Mutanti ottimi"&amp;"zzata: inizia l'abbinamento con giocatori di altri pianeti una volta che il tuo ha 45 giorni.
- Eventi del Giorno dei Pionieri:
TESORO MECCANICO: Usa Trapani Commemorativi per vincere ricompense, inclusa una skin speciale per le vacanze!
Scava per la Vitt"&amp;"oria: Raccogli trapani per salire di livello e avere la possibilità di vincere il nuovissimo effetto di marcia!
Doppio Fortunato: Acquista qualsiasi pacchetto valore durante l'evento per avere la possibilità di vincerne un altro gratis! Premi emessi giorn"&amp;"almente.
Regali dei Pionieri: Soddisfa i requisiti di acquisto limitati nel tempo per vincere ricompense!
OPERAZIONE PIONIERI: completa missioni per illuminare le corrispondenti carte e ottenere ricompense inclusa una decorazione speciale per le vacanze!")</f>
        <v>- Nuovo Combattente: Noè, il Portascudo, è sempre pronto a supportare e proteggere con il suo super radar!
- Nuovo evento "ritorno": invita amici a ritornare nel gioco per vincere ricompense. Anche i giocatori che non sono stati online per un po' possono ottenere una ricompensa inserendo un codice di riunione!
- Abilità dell'unità modificate: effetto rallentamento (riduzione della velocità fino al 50%) aggiunto all'abilità dell'equipaggiamento del Tiratore.
- Nuovo evento Esplorazione Combattente: scopri quanto sono forti i tuoi Combattenti e vinci ricompense allo stesso tempo!
- Partite di Prova aggiunte al Colosseo astrale: organizza i membri della Gang per esercitazioni di combattimento e pratica i tuoi attacchi e difese nei primi 3 giorni del Colosseo astrale.
- Sistema di potenziamento della durabilità del Mech: i limiti di durabilità del mech possono essere aumentati in momenti designati per migliorare notevolmente le loro capacità.
- Nuovo trasportatore: Cuore intrepido. Guarisci le unità ferite in qualsiasi momento, ovunque sulla mappa!
- Nuovi operatori aggiunti: 3 nuovi operatori speciali ciascuno per Primatus, Ghepardo e Scorpione.
- Assedio &amp; Plunder migliorati: ottimizzata la performance della pagina dell'evento, aggiunti allerte per serie di vittorie e catture di costruzioni.
- Rapporti battaglia migliorati: combinati i rapporti di battaglia per le battaglie sulla mappa e aggiunta una sezione di riepilogo; aggiunti bonus relativi ai mech nella pagina dei bonus e nei rapporti di esplorazione.
- Raggiungimenti ottimizzati: aggiunta una percentuale di acquisizione per i distintivi di raggiungimento; aggiunta la funzione di condivisione dei raggiungimenti; ottimizzata la visualizzazione degli allarmi dei distintivi.
- Operazione Mutanti ottimizzata: inizia l'abbinamento con giocatori di altri pianeti una volta che il tuo ha 45 giorni.
- Eventi del Giorno dei Pionieri:
TESORO MECCANICO: Usa Trapani Commemorativi per vincere ricompense, inclusa una skin speciale per le vacanze!
Scava per la Vittoria: Raccogli trapani per salire di livello e avere la possibilità di vincere il nuovissimo effetto di marcia!
Doppio Fortunato: Acquista qualsiasi pacchetto valore durante l'evento per avere la possibilità di vincerne un altro gratis! Premi emessi giornalmente.
Regali dei Pionieri: Soddisfa i requisiti di acquisto limitati nel tempo per vincere ricompense!
OPERAZIONE PIONIERI: completa missioni per illuminare le corrispondenti carte e ottenere ricompense inclusa una decorazione speciale per le vacanze!</v>
      </c>
      <c r="O55" s="148" t="str">
        <f>IFERROR(__xludf.DUMMYFUNCTION("""COMPUTED_VALUE"""),"- Nowy Wojownik: Noah, Władca Tarczy, jest zawsze gotowy do wsparcia i ochrony dzięki swojemu super radarowi!
- Nowe wydarzenie ""powrót"": zaproś znajomych z powrotem do gry, aby wygrać nagrody. Gracze, którzy nie byli online od jakiegoś czasu, mogą równ"&amp;"ież otrzymać nagrodę, wprowadzając kod reaktywacji!
- Zmodyfikowano umiejętności jednostek: dodano efekt spowolnienia (do 50% redukcji szybkości) do umiejętności sprzętu Strzelca.
- Nowe wydarzenie WYPRAWA WOJOWNIKA: sprawdź, jak silni są twoi Wojownicy i"&amp;" wygrywaj nagrody jednocześnie!
- Dodano mecze próbne do Gwiezdnego koloseum: organizuj członków Gangu do ćwiczeń bojowych i trenuj swoje ataki oraz obronę w pierwszych 3 dniach Gwiezdnego koloseum.
- System wzmacniania wytrzymałości Mecha: limity wytrzym"&amp;"ałości Mecha mogą być podnoszone w wyznaczonych czasach, aby znacznie zwiększyć ich możliwości.
- Nowy nosiciel: Nieustraszone Serce. Ulecz rannych żołnierzy w dowolnym miejscu na mapie!
- Dodano nowych operatorów: 3 specjalnych nowych operatorów dla Prim"&amp;"atus, Geparda i Skorpiona.
- Ulepszono Oblężenie &amp; Plądrowanie: zoptymalizowano wydajność strony wydarzenia, dodano powiadomienia o serii zwycięstw i zdobyciu budynków.
- Ulepszono raporty z bitwy: połączono raporty z bitew na mapie i dodano sekcję podsum"&amp;"owania; dodano premie związane z Mechem na stronie bonusów i w raportach zwiadu.
- Zoptymalizowano osiągnięcia: dodano wskaźnik zdobycia odznak osiągnięć; dodano funkcję udostępniania osiągnięć; zoptymalizowano wyświetlanie alertów odznak.
- Zoptymalizowa"&amp;"no Operację Mutanty: zacznij dobierać graczy z innych planet, gdy twoja ma już 45 dni.
- Wydarzenia Dnia Pioniera:
SKARB MECHA: Użyj Wiertła Jubileuszowego, aby wygrać nagrody, w tym specjalną skórkę świąteczną!
Kop dla Zwycięstwa: Zbieraj wiertła, aby zw"&amp;"iększyć poziom i mieć szansę na wygranie zupełnie nowego EFEKTU MARSZU!
Szczęśliwe Podwajanie: Kup dowolny DUŻY PAKIET podczas wydarzenia, aby mieć szansę wygrać dodatkowy za darmo! Nagrody wydawane codziennie.
Prezenty Pioniera: Spełnij wymagania dotyczą"&amp;"ce ograniczonego czasowo zakupu, aby wygrać nagrody!
OPERACJA PIONIER: ukończ zadania, aby zapalić odpowiednie karty i zdobyć nagrody, w tym specjalną świąteczną dekorację!")</f>
        <v>- Nowy Wojownik: Noah, Władca Tarczy, jest zawsze gotowy do wsparcia i ochrony dzięki swojemu super radarowi!
- Nowe wydarzenie "powrót": zaproś znajomych z powrotem do gry, aby wygrać nagrody. Gracze, którzy nie byli online od jakiegoś czasu, mogą również otrzymać nagrodę, wprowadzając kod reaktywacji!
- Zmodyfikowano umiejętności jednostek: dodano efekt spowolnienia (do 50% redukcji szybkości) do umiejętności sprzętu Strzelca.
- Nowe wydarzenie WYPRAWA WOJOWNIKA: sprawdź, jak silni są twoi Wojownicy i wygrywaj nagrody jednocześnie!
- Dodano mecze próbne do Gwiezdnego koloseum: organizuj członków Gangu do ćwiczeń bojowych i trenuj swoje ataki oraz obronę w pierwszych 3 dniach Gwiezdnego koloseum.
- System wzmacniania wytrzymałości Mecha: limity wytrzymałości Mecha mogą być podnoszone w wyznaczonych czasach, aby znacznie zwiększyć ich możliwości.
- Nowy nosiciel: Nieustraszone Serce. Ulecz rannych żołnierzy w dowolnym miejscu na mapie!
- Dodano nowych operatorów: 3 specjalnych nowych operatorów dla Primatus, Geparda i Skorpiona.
- Ulepszono Oblężenie &amp; Plądrowanie: zoptymalizowano wydajność strony wydarzenia, dodano powiadomienia o serii zwycięstw i zdobyciu budynków.
- Ulepszono raporty z bitwy: połączono raporty z bitew na mapie i dodano sekcję podsumowania; dodano premie związane z Mechem na stronie bonusów i w raportach zwiadu.
- Zoptymalizowano osiągnięcia: dodano wskaźnik zdobycia odznak osiągnięć; dodano funkcję udostępniania osiągnięć; zoptymalizowano wyświetlanie alertów odznak.
- Zoptymalizowano Operację Mutanty: zacznij dobierać graczy z innych planet, gdy twoja ma już 45 dni.
- Wydarzenia Dnia Pioniera:
SKARB MECHA: Użyj Wiertła Jubileuszowego, aby wygrać nagrody, w tym specjalną skórkę świąteczną!
Kop dla Zwycięstwa: Zbieraj wiertła, aby zwiększyć poziom i mieć szansę na wygranie zupełnie nowego EFEKTU MARSZU!
Szczęśliwe Podwajanie: Kup dowolny DUŻY PAKIET podczas wydarzenia, aby mieć szansę wygrać dodatkowy za darmo! Nagrody wydawane codziennie.
Prezenty Pioniera: Spełnij wymagania dotyczące ograniczonego czasowo zakupu, aby wygrać nagrody!
OPERACJA PIONIER: ukończ zadania, aby zapalić odpowiednie karty i zdobyć nagrody, w tym specjalną świąteczną dekorację!</v>
      </c>
      <c r="P55" s="148" t="str">
        <f>IFERROR(__xludf.DUMMYFUNCTION("""COMPUTED_VALUE"""),"- مقاتل جديد: نوح، حامل الدرع، دائمًا ما يكون هناك للدعم والحماية براداره الخارق!
- حدث ""العودة"" الجديد: دعوة الأصدقاء للعودة إلى اللعبة للفوز بالجوائز. اللاعبون الذين لم يكونوا متصلين منذ فترة يمكنهم أيضًا الحصول على جائزة عن طريق إدخال رمز اللم الشمل!"&amp;"
- تم تعديل مهارات الوحدة: تم إضافة تأثير البطء (حتى 50% تقليل السرعة) إلى مهارة تجهيز الرامي.
- حدث رحلة المقاتل الجديد: اكتشف مدى قوة مقاتليك واربح الجوائز في نفس الوقت!
- تم إضافة مباريات تدريبية إلى مدرج النجوم: نظم أعضاء العصابة لتدريبات القتال وتدرب"&amp;" على هجماتك ودفاعك في الأيام الثلاثة الأولى من مدرج النجوم.
- نظام تعزيز متانة الميكا: يمكن رفع حدود متانة الميكا في أوقات محددة لتحسين قدراتها بشكل كبير.
- حامل جديد: قلب الباسل. عالج الوحدات المصابة في أي وقت وفي أي مكان على الخريطة!
- تم إضافة مشغلين ج"&amp;"دد: 3 مشغلين جدد خاصين لكل من Primatus والفهد والعقرب.
- تحسين حصار ونهب: تحسين أداء صفحة الحدث، وإضافة تنبيهات لسلاسل الانتصارات واستيلاء المباني.
- تحسين تقارير المعركة: دمج تقارير المعركة لمعارك الخريطة وإضافة قسم ملخص؛ إضافة مكافآت متعلقة بالميكا في ص"&amp;"فحة الهدايا وتقارير التجسس.
- تحسين الإنجازات: إضافة معدل الحصول على شارات الإنجاز؛ إضافة وظيفة مشاركة الإنجازات؛ تحسين عرض تنبيهات الشارات.
- تحسين عملية القرود المسخ: ابدأ بالتوافق مع لاعبين من كواكب أخرى بمجرد أن يبلغ عمر كوكبك 45 يومًا.
- أحداث يوم ال"&amp;"رائد:
ميكا تروف: استخدم الحفر التذكارية للفوز بالجوائز، بما في ذلك جلد عطلة خاص!
حفر من أجل النصر: جمع الحفر للتطوير واحصل على فرصة للفوز بتأثير المسيرة الجديد كليًا!
الحظ المزدوج: اشترِ أي باقة قيمة خلال الحدث لفرصة الفوز بواحدة إضافية مجانًا! الجوائز تص"&amp;"در يوميًا.
هدايا الرائد: استوفِ متطلبات الشراء المحدودة بالوقت للفوز بالجوائز!
عملية الرائد: أكمل المهام لإضاءة البطاقات المقابلة واحصل على جوائز بما في ذلك زينة عطلة خاصة!")</f>
        <v>- مقاتل جديد: نوح، حامل الدرع، دائمًا ما يكون هناك للدعم والحماية براداره الخارق!
- حدث "العودة" الجديد: دعوة الأصدقاء للعودة إلى اللعبة للفوز بالجوائز. اللاعبون الذين لم يكونوا متصلين منذ فترة يمكنهم أيضًا الحصول على جائزة عن طريق إدخال رمز اللم الشمل!
- تم تعديل مهارات الوحدة: تم إضافة تأثير البطء (حتى 50% تقليل السرعة) إلى مهارة تجهيز الرامي.
- حدث رحلة المقاتل الجديد: اكتشف مدى قوة مقاتليك واربح الجوائز في نفس الوقت!
- تم إضافة مباريات تدريبية إلى مدرج النجوم: نظم أعضاء العصابة لتدريبات القتال وتدرب على هجماتك ودفاعك في الأيام الثلاثة الأولى من مدرج النجوم.
- نظام تعزيز متانة الميكا: يمكن رفع حدود متانة الميكا في أوقات محددة لتحسين قدراتها بشكل كبير.
- حامل جديد: قلب الباسل. عالج الوحدات المصابة في أي وقت وفي أي مكان على الخريطة!
- تم إضافة مشغلين جدد: 3 مشغلين جدد خاصين لكل من Primatus والفهد والعقرب.
- تحسين حصار ونهب: تحسين أداء صفحة الحدث، وإضافة تنبيهات لسلاسل الانتصارات واستيلاء المباني.
- تحسين تقارير المعركة: دمج تقارير المعركة لمعارك الخريطة وإضافة قسم ملخص؛ إضافة مكافآت متعلقة بالميكا في صفحة الهدايا وتقارير التجسس.
- تحسين الإنجازات: إضافة معدل الحصول على شارات الإنجاز؛ إضافة وظيفة مشاركة الإنجازات؛ تحسين عرض تنبيهات الشارات.
- تحسين عملية القرود المسخ: ابدأ بالتوافق مع لاعبين من كواكب أخرى بمجرد أن يبلغ عمر كوكبك 45 يومًا.
- أحداث يوم الرائد:
ميكا تروف: استخدم الحفر التذكارية للفوز بالجوائز، بما في ذلك جلد عطلة خاص!
حفر من أجل النصر: جمع الحفر للتطوير واحصل على فرصة للفوز بتأثير المسيرة الجديد كليًا!
الحظ المزدوج: اشترِ أي باقة قيمة خلال الحدث لفرصة الفوز بواحدة إضافية مجانًا! الجوائز تصدر يوميًا.
هدايا الرائد: استوفِ متطلبات الشراء المحدودة بالوقت للفوز بالجوائز!
عملية الرائد: أكمل المهام لإضاءة البطاقات المقابلة واحصل على جوائز بما في ذلك زينة عطلة خاصة!</v>
      </c>
      <c r="Q55" s="148" t="str">
        <f>IFERROR(__xludf.DUMMYFUNCTION("""COMPUTED_VALUE"""),"- 新しいファイター: ノア、シールドウィルダーは、スーパーレーダーでいつでもサポートと保護を提供します！
- 新たな「カムバック」イベント: ゲームに友達を招待して報酬を獲得しましょう。しばらくオンラインになっていないプレイヤーも、再会コードを入力することで報酬を得られます！
- ユニットスキルの変更: シューターの軍備スキルに遅延効果（最大50%の速度減少）が追加されました。
- 新しいファイター遠征イベント: ファイターの強さを確かめ、同時に報酬を勝ち取りましょう！
- アストラルコロシアムに練習マ"&amp;"ッチを追加: ギルドメンバーを組織して戦闘訓練を行い、アストラルコロシアムの最初の3日間で攻撃と防御を練習しましょう。
- メカ耐久度ブーストシステム: 指定された時間にメカの耐久度上限を上げて、その能力を大幅に強化できます。
- 新しいキャリア: 勇敢な心。マップ上のどこでも、いつでも負傷したユニットを治療できます！
- 新しいオペレーターを追加: プライマトス、メカチーター、スコーピオンそれぞれに特別な新オペレーターを3人追加しました。
- 攻城侵略の改善: イベントページのパフォーマンスを最適化し、"&amp;"連勝と建築物のキャプチャーのための警告を追加しました。
- 戦闘報告書の改善: フィールドバトルの戦闘報告書を組み合わせ、要約セクションを追加しました。ボーナスページと偵察報告書にメカ関連のボーナスを追加しました。
- 達成度の最適化: 達成バッジの取得率を追加し、達成度の共有機能を追加しました。バッジの警告表示を最適化しました。
- 変異エイプ殲滅作戦の最適化: あなたの惑星が45日経過すると、他の惑星のプレイヤーとのペアリングが開始されます。
- 開拓者の日イベント:
機械の秘宝: 記念採掘を使用して"&amp;"報酬を獲得し、特別な休日のスキンを含む！
勝利への採掘: 採掘を収集してレベルアップし、全く新しい行軍エフェクトを勝ち取るチャンスを得ましょう！
ラッキーダブル: イベント中に任意のバリューパックを購入すると、無料で追加のものを勝ち取るチャンスがあります！賞品は毎日発行されます。
開拓者のギフト: 時間限定の購入要件を満たして報酬を獲得しましょう！
開拓作戦: クエストを完了して対応するカードを照らし、特別な休日の装飾品を含む報酬を獲得しましょう！")</f>
        <v>- 新しいファイター: ノア、シールドウィルダーは、スーパーレーダーでいつでもサポートと保護を提供します！
- 新たな「カムバック」イベント: ゲームに友達を招待して報酬を獲得しましょう。しばらくオンラインになっていないプレイヤーも、再会コードを入力することで報酬を得られます！
- ユニットスキルの変更: シューターの軍備スキルに遅延効果（最大50%の速度減少）が追加されました。
- 新しいファイター遠征イベント: ファイターの強さを確かめ、同時に報酬を勝ち取りましょう！
- アストラルコロシアムに練習マッチを追加: ギルドメンバーを組織して戦闘訓練を行い、アストラルコロシアムの最初の3日間で攻撃と防御を練習しましょう。
- メカ耐久度ブーストシステム: 指定された時間にメカの耐久度上限を上げて、その能力を大幅に強化できます。
- 新しいキャリア: 勇敢な心。マップ上のどこでも、いつでも負傷したユニットを治療できます！
- 新しいオペレーターを追加: プライマトス、メカチーター、スコーピオンそれぞれに特別な新オペレーターを3人追加しました。
- 攻城侵略の改善: イベントページのパフォーマンスを最適化し、連勝と建築物のキャプチャーのための警告を追加しました。
- 戦闘報告書の改善: フィールドバトルの戦闘報告書を組み合わせ、要約セクションを追加しました。ボーナスページと偵察報告書にメカ関連のボーナスを追加しました。
- 達成度の最適化: 達成バッジの取得率を追加し、達成度の共有機能を追加しました。バッジの警告表示を最適化しました。
- 変異エイプ殲滅作戦の最適化: あなたの惑星が45日経過すると、他の惑星のプレイヤーとのペアリングが開始されます。
- 開拓者の日イベント:
機械の秘宝: 記念採掘を使用して報酬を獲得し、特別な休日のスキンを含む！
勝利への採掘: 採掘を収集してレベルアップし、全く新しい行軍エフェクトを勝ち取るチャンスを得ましょう！
ラッキーダブル: イベント中に任意のバリューパックを購入すると、無料で追加のものを勝ち取るチャンスがあります！賞品は毎日発行されます。
開拓者のギフト: 時間限定の購入要件を満たして報酬を獲得しましょう！
開拓作戦: クエストを完了して対応するカードを照らし、特別な休日の装飾品を含む報酬を獲得しましょう！</v>
      </c>
      <c r="R55" s="148" t="str">
        <f>IFERROR(__xludf.DUMMYFUNCTION("""COMPUTED_VALUE"""),"- 새로운 전사: 실드 용사 노아는 항상 그의 초능력 탐지기로 지원하고 보호하는 데 있어서 빠지지 않습니다!
- 새로운 ""복귀"" 이벤트: 친구들을 게임으로 다시 초대하여 보상을 획득하세요. 오랜만에 온라인이 아니었던 플레이어들도 재회 코드를 입력하면 보상을 받을 수 있습니다!
- 유닛 스킬 수정: 슈터 기어 스킬에 느려짐 효과(최대 50% 속도 감소)가 추가되었습니다.
- 새로운 전사 원정 이벤트: 당신의 전사들이 얼마나 강한지 알아보고 동시에 보상"&amp;"을 획득하세요!
- 별의 사투에 연습 매치 추가: 무리 회원들을 전투 훈련에 편성하고 별의 사투 첫 3일 동안 공격과 방어를 연습하세요.
- 메카 내구도 부스터 시스템: 지정된 시간에 메카 내구도 상한을 높여 그들의 능력을 크게 강화할 수 있습니다.
- 새로운 운반기: 용감한 마음. 지도상 어디에서나 언제든지 부상당한 유닛을 치료하세요!
- 새로운 운영자 추가: 강철 원숭이, 치타, 전갈 각각을 위한 3명의 특별한 새 운영자가 추가되었습니다.
- 성 빼"&amp;"앗기 &amp; 약탈 개선: 이벤트 페이지 성능 최적화, 연승과 건축물 점령에 대한 경보 추가.
- 전투 보고서 개선: 야외 전투를 위한 전투 보고서 결합 및 요약 섹션 추가; 보너스 페이지와 정찰 보고서에 메카 관련 보너스 추가.
- 성과 최적화: 성과 배지 획득률 추가; 성과 공유 기능 추가; 배지 경보 디스플레이 최적화.
- 변이 원숭이 토벌 최적화: 당신의 행성이 45일이 되면 다른 행성의 플레이어들과 매칭을 시작합니다.
- 개척자의 날 이벤트:
기계의"&amp;" 비보: 기념 드릴을 사용하여 보상을 획득하세요, 특별한 휴일 스킨을 포함합니다!
승리를 위한 땅파기: 드릴을 수집하여 레벨을 올리고 전혀 새로운 행군 이펙트를 획득할 기회를 얻으세요!
2배의 행운: 이벤트 기간 동안 어떤 가치 패키지를 구매하면 추가로 하나를 무료로 획득할 기회가 있습니다! 상품은 매일 발행됩니다.
개척자의 선물: 시간 제한된 구매 요구 사항을 충족하여 보상을 획득하세요!
개척 작전: 임무를 완료하여 해당 카드를 밝히고 특별한 휴일 장"&amp;"식을 포함한 보상을 획득하세요!")</f>
        <v>- 새로운 전사: 실드 용사 노아는 항상 그의 초능력 탐지기로 지원하고 보호하는 데 있어서 빠지지 않습니다!
- 새로운 "복귀" 이벤트: 친구들을 게임으로 다시 초대하여 보상을 획득하세요. 오랜만에 온라인이 아니었던 플레이어들도 재회 코드를 입력하면 보상을 받을 수 있습니다!
- 유닛 스킬 수정: 슈터 기어 스킬에 느려짐 효과(최대 50% 속도 감소)가 추가되었습니다.
- 새로운 전사 원정 이벤트: 당신의 전사들이 얼마나 강한지 알아보고 동시에 보상을 획득하세요!
- 별의 사투에 연습 매치 추가: 무리 회원들을 전투 훈련에 편성하고 별의 사투 첫 3일 동안 공격과 방어를 연습하세요.
- 메카 내구도 부스터 시스템: 지정된 시간에 메카 내구도 상한을 높여 그들의 능력을 크게 강화할 수 있습니다.
- 새로운 운반기: 용감한 마음. 지도상 어디에서나 언제든지 부상당한 유닛을 치료하세요!
- 새로운 운영자 추가: 강철 원숭이, 치타, 전갈 각각을 위한 3명의 특별한 새 운영자가 추가되었습니다.
- 성 빼앗기 &amp; 약탈 개선: 이벤트 페이지 성능 최적화, 연승과 건축물 점령에 대한 경보 추가.
- 전투 보고서 개선: 야외 전투를 위한 전투 보고서 결합 및 요약 섹션 추가; 보너스 페이지와 정찰 보고서에 메카 관련 보너스 추가.
- 성과 최적화: 성과 배지 획득률 추가; 성과 공유 기능 추가; 배지 경보 디스플레이 최적화.
- 변이 원숭이 토벌 최적화: 당신의 행성이 45일이 되면 다른 행성의 플레이어들과 매칭을 시작합니다.
- 개척자의 날 이벤트:
기계의 비보: 기념 드릴을 사용하여 보상을 획득하세요, 특별한 휴일 스킨을 포함합니다!
승리를 위한 땅파기: 드릴을 수집하여 레벨을 올리고 전혀 새로운 행군 이펙트를 획득할 기회를 얻으세요!
2배의 행운: 이벤트 기간 동안 어떤 가치 패키지를 구매하면 추가로 하나를 무료로 획득할 기회가 있습니다! 상품은 매일 발행됩니다.
개척자의 선물: 시간 제한된 구매 요구 사항을 충족하여 보상을 획득하세요!
개척 작전: 임무를 완료하여 해당 카드를 밝히고 특별한 휴일 장식을 포함한 보상을 획득하세요!</v>
      </c>
      <c r="S55" s="148"/>
      <c r="T55" s="148"/>
      <c r="U55" s="148"/>
      <c r="V55" s="148"/>
      <c r="W55" s="148"/>
      <c r="X55" s="148"/>
      <c r="Y55" s="148"/>
      <c r="Z55" s="148"/>
    </row>
    <row r="56">
      <c r="A56" s="167" t="str">
        <f>IFERROR(__xludf.DUMMYFUNCTION("""COMPUTED_VALUE"""),"0.65.0")</f>
        <v>0.65.0</v>
      </c>
      <c r="B56" s="148" t="str">
        <f>IFERROR(__xludf.DUMMYFUNCTION("""COMPUTED_VALUE"""),"-新增斗士：狙击天才-维克，视力超群、年少成名的小小狙击手！
-新增玩法：地下探宝解锁生产工厂了！调配生产建筑、完成订单，让生产工厂制造的物品又多又快吧！
-斗士矿工：将地下探宝的斗士放置在元素装置上，可以生成对应的斗士矿工了！斗士矿工拥有强大的被动技能，更高效地帮助指挥官挖矿！
-行军队列：行军队列新增部队实时血量显示功能，指挥官可以更轻松地查看自己部队战斗时的实时情况，及时做出判断；
-队列页签：行军队列页签上限增加到18个，大力支持指挥官预设更多的出战部队，赶快去重新调整预设队列吧！
-机师战报：战"&amp;"报机甲页签，新增显示双方携带机师的详细信息；
-新增机师排行榜：方便指挥官查看机师培养情况；
-新增玩法：王者之地带来全新的赛季制与战场推进玩法。指挥官在战斗中不断提升自己的段位，可以获得更优质的奖励，在猿族世界称霸！
-收藏品：新增收藏品战斗力成就档位，同时开放传说收藏品突破功能！服务器到达指定时间后，玩家可以将部分传说收藏品突破为超凡收藏品。
-新增斗士雕像：博伊斯、邓普思、迈尔瑞克。
-冷冻急救舱：死亡士兵将根据治愈率，在银河战争结束后直接返还，不需要手动领取；
-新增机甲：咆哮之怒-雄狮，目前雄狮"&amp;"机甲已经可以投入使用，拥有王者风范的它，可通过自身机制对敌方机甲造成明显压制；
-银河战场的wonder建筑新增了百分比增加积分的功能；
-优化了新闻算法，可以看到更多其它猩球的新闻了；提供了更丰富的昨日新闻；增加了实时热点，玩家可以查阅当天发生的热点新闻；
-节日装饰新增了满级后回收升级道具的功能；
-战车功能优化：现在战车中的每支部队都可以单独选择使用的展览馆页签；增加使用场景，战车可以在卫星战场中使用了；优化行军逻辑，战车可以正常进行护卫操作；
-寒冰星功能优化：优化了军团名称的显示，附带前缀图标，"&amp;"更容易分辨；军团机甲界面优化，展示解锁时间。
-新增龙舟节活动：
赛龙舟：使用龙舟鼓槌，赢取豪华大奖，更有龙舟节皮肤等你来拿！
惊喜涂装：使用惊喜锤，赢取天鹰机甲限定涂装！
龙舟演习：收集强力船桨，提升活动等级，有机会获取全新行军特效-粽情高歌！
粽情福袋：好运大比拼，购买限定福袋，获得随机惊喜奖励！
粽情寻宝：地下探索宝藏，赢丰厚奖励！
龙舟豪礼：限时累计充值即可领取丰厚奖励！
欢乐粽动员：收集食材，制作美味的粽子赢取奖励！")</f>
        <v>-新增斗士：狙击天才-维克，视力超群、年少成名的小小狙击手！
-新增玩法：地下探宝解锁生产工厂了！调配生产建筑、完成订单，让生产工厂制造的物品又多又快吧！
-斗士矿工：将地下探宝的斗士放置在元素装置上，可以生成对应的斗士矿工了！斗士矿工拥有强大的被动技能，更高效地帮助指挥官挖矿！
-行军队列：行军队列新增部队实时血量显示功能，指挥官可以更轻松地查看自己部队战斗时的实时情况，及时做出判断；
-队列页签：行军队列页签上限增加到18个，大力支持指挥官预设更多的出战部队，赶快去重新调整预设队列吧！
-机师战报：战报机甲页签，新增显示双方携带机师的详细信息；
-新增机师排行榜：方便指挥官查看机师培养情况；
-新增玩法：王者之地带来全新的赛季制与战场推进玩法。指挥官在战斗中不断提升自己的段位，可以获得更优质的奖励，在猿族世界称霸！
-收藏品：新增收藏品战斗力成就档位，同时开放传说收藏品突破功能！服务器到达指定时间后，玩家可以将部分传说收藏品突破为超凡收藏品。
-新增斗士雕像：博伊斯、邓普思、迈尔瑞克。
-冷冻急救舱：死亡士兵将根据治愈率，在银河战争结束后直接返还，不需要手动领取；
-新增机甲：咆哮之怒-雄狮，目前雄狮机甲已经可以投入使用，拥有王者风范的它，可通过自身机制对敌方机甲造成明显压制；
-银河战场的wonder建筑新增了百分比增加积分的功能；
-优化了新闻算法，可以看到更多其它猩球的新闻了；提供了更丰富的昨日新闻；增加了实时热点，玩家可以查阅当天发生的热点新闻；
-节日装饰新增了满级后回收升级道具的功能；
-战车功能优化：现在战车中的每支部队都可以单独选择使用的展览馆页签；增加使用场景，战车可以在卫星战场中使用了；优化行军逻辑，战车可以正常进行护卫操作；
-寒冰星功能优化：优化了军团名称的显示，附带前缀图标，更容易分辨；军团机甲界面优化，展示解锁时间。
-新增龙舟节活动：
赛龙舟：使用龙舟鼓槌，赢取豪华大奖，更有龙舟节皮肤等你来拿！
惊喜涂装：使用惊喜锤，赢取天鹰机甲限定涂装！
龙舟演习：收集强力船桨，提升活动等级，有机会获取全新行军特效-粽情高歌！
粽情福袋：好运大比拼，购买限定福袋，获得随机惊喜奖励！
粽情寻宝：地下探索宝藏，赢丰厚奖励！
龙舟豪礼：限时累计充值即可领取丰厚奖励！
欢乐粽动员：收集食材，制作美味的粽子赢取奖励！</v>
      </c>
      <c r="C56" s="168" t="str">
        <f>IFERROR(__xludf.DUMMYFUNCTION("""COMPUTED_VALUE"""),"- New Fighter: Vic aka Phantom Eye. A genius sniper with extraordinary vision!
- New gameplay: Factories are now available in Treasure Dig! Manage buildings, complete orders, and make more products in the factories!
- Fighter worker: Station Fighters in F"&amp;"oundries and Element Refiners to unlock their worker versions. These special workers offer powerful passive skills for more productive digs!
- March queues: Now shows troop health in real-time for easier battle monitoring and assessment.
- Queue tabs: The"&amp;"re are now 18 tabs to preset more troop formations.
- Operator report: Mech tab in battle reports now shows operator details.
- New operator leaderboard to help you track operator development.
- New gameplay: Arena of Champions, a seasonal event with prog"&amp;"ression features. Keep advancing your tier for better rewards and dominate the arena!
- Relics: Added power achievement for Relics and breakthrough feature for Legendary Relics. Players on servers that have been open long enough may break through their Le"&amp;"gendary Relics to Super quality.
- New Fighter Statues for Boyce, Dempsey, and Maverick.
- Medical Pod: Lost units will now be issued automatically after Planet War ends based on your healing rate.
- New mech: Roar of Fury - Lion is now available. Deploy "&amp;"this king of the battle for significant control capabilities.
- Planet Wars: Wonder structures now offer a percentage score bonus.
- News optimized: More news from other planets and previous days; real-time hot topics for better engagement.
- Holiday deco"&amp;"rations: Option to convert upgrade items for a max-level decoration.
- Carriers optimized: You can now select Emporium tabs for each troop in the carrier; carriers can now be used for Astral Coliseum; improved march logic with escort option added for carr"&amp;"iers.
- Glacier Land optimized: Army names now display with prefix icons for easier identification; army mech interface has been optimized to show unlock times.
- Dragon Boat Festival events:
Dragon Boat Run: Use Drumsticks to win awesome prizes including"&amp;" a special city skin!
Lucky Lacquer: Use Lucky Hammers to win the special Eagle lacquer!
Dragon Boat Drill: Collect Oars to level up for a chance to win the new march effect - Dumpling Sing-Along!
Dumpling Blessings: Purchase the pack to try your luck at "&amp;"surprise rewards!
Dumpling Treasure Hunt: Dig for treasures and win rewards!
Dragon Boat Festival Gifts: Meet time-limited purchase requirements to win prizes!
Happy Dumpling Bake: Collect ingredients to make a dumpling and win rewards!")</f>
        <v>- New Fighter: Vic aka Phantom Eye. A genius sniper with extraordinary vision!
- New gameplay: Factories are now available in Treasure Dig! Manage buildings, complete orders, and make more products in the factories!
- Fighter worker: Station Fighters in Foundries and Element Refiners to unlock their worker versions. These special workers offer powerful passive skills for more productive digs!
- March queues: Now shows troop health in real-time for easier battle monitoring and assessment.
- Queue tabs: There are now 18 tabs to preset more troop formations.
- Operator report: Mech tab in battle reports now shows operator details.
- New operator leaderboard to help you track operator development.
- New gameplay: Arena of Champions, a seasonal event with progression features. Keep advancing your tier for better rewards and dominate the arena!
- Relics: Added power achievement for Relics and breakthrough feature for Legendary Relics. Players on servers that have been open long enough may break through their Legendary Relics to Super quality.
- New Fighter Statues for Boyce, Dempsey, and Maverick.
- Medical Pod: Lost units will now be issued automatically after Planet War ends based on your healing rate.
- New mech: Roar of Fury - Lion is now available. Deploy this king of the battle for significant control capabilities.
- Planet Wars: Wonder structures now offer a percentage score bonus.
- News optimized: More news from other planets and previous days; real-time hot topics for better engagement.
- Holiday decorations: Option to convert upgrade items for a max-level decoration.
- Carriers optimized: You can now select Emporium tabs for each troop in the carrier; carriers can now be used for Astral Coliseum; improved march logic with escort option added for carriers.
- Glacier Land optimized: Army names now display with prefix icons for easier identification; army mech interface has been optimized to show unlock times.
- Dragon Boat Festival events:
Dragon Boat Run: Use Drumsticks to win awesome prizes including a special city skin!
Lucky Lacquer: Use Lucky Hammers to win the special Eagle lacquer!
Dragon Boat Drill: Collect Oars to level up for a chance to win the new march effect - Dumpling Sing-Along!
Dumpling Blessings: Purchase the pack to try your luck at surprise rewards!
Dumpling Treasure Hunt: Dig for treasures and win rewards!
Dragon Boat Festival Gifts: Meet time-limited purchase requirements to win prizes!
Happy Dumpling Bake: Collect ingredients to make a dumpling and win rewards!</v>
      </c>
      <c r="D56" s="148" t="str">
        <f>IFERROR(__xludf.DUMMYFUNCTION("""COMPUTED_VALUE"""),"- Nouveau combattant : Vic alias Œil Fantôme. Un sniper de génie à la vision extraordinaire !
- Nouveau gameplay : Les usines sont maintenant disponibles dans la chasse aux trésors ! Gérez les bâtiments, complétez les commandes et fabriquez plus de produi"&amp;"ts dans les usines !
- Ouvrier combattant : Stationnez des combattants dans les fonderies et les raffineries d'éléments pour débloquer leurs versions ouvrières. Ces ouvriers spéciaux offrent des compétences passives puissantes pour des fouilles plus produ"&amp;"ctives !
- Files de bataillon : Affiche maintenant la santé des troupes en temps réel pour une surveillance et une évaluation plus faciles des batailles.
- Onglets de file : Il y a maintenant 18 onglets pour prérégler plus de formations de troupes.
- Rapp"&amp;"ort d'opérateur : L'onglet Mécha dans les rapports de bataille affiche maintenant les détails de l'opérateur.
- Nouveau classement d'opérateur pour vous aider à suivre le développement de l'opérateur.
- Nouveau gameplay : Arène des Champions, un événement"&amp;" saisonnier avec des fonctionnalités de progression. Continuez à avancer dans votre palier pour de meilleures récompenses et dominez l'arène !
- Reliques : Ajout d'un exploit de puissance pour les reliques et d'une fonctionnalité de percée pour les reliqu"&amp;"es légendaires. Les joueurs sur des serveurs ouverts depuis suffisamment longtemps peuvent percer leurs reliques légendaires pour une qualité supérieure.
- Nouvelles statues de combattant pour Boyce, Dempsey et Maverick.
- Capsule médicale : Les unités pe"&amp;"rdues seront maintenant émises automatiquement après la fin de la guerre planétaire en fonction de votre taux de guérison.
- Nouveau mécha : Rugissement de Furie - Lion est maintenant disponible. Déployez ce roi de la bataille pour des capacités de contrô"&amp;"le significatives.
- Guerres planétaires : Les structures merveilleuses offrent maintenant un bonus de score en pourcentage.
- Actualités optimisées : Plus de nouvelles d'autres planètes et des jours précédents ; sujets chauds en temps réel pour un meille"&amp;"ur engagement.
- Décorations de vacances : Option pour convertir des objets d'amélioration en une décoration de niveau maximum.
- Transporteurs optimisés : Vous pouvez maintenant sélectionner des onglets d'Emporium pour chaque troupe dans le transporteur "&amp;"; les transporteurs peuvent maintenant être utilisés pour le Colisée astral ; logique de marche améliorée avec option d'escorte ajoutée pour les transporteurs.
- Terre Glaciaire optimisée : Les noms d'armée s'affichent maintenant avec des icônes de préfix"&amp;"e pour une identification plus facile ; l'interface de l'armée mécha a été optimisée pour afficher les temps de déblocage.
- Événements du Festival du Bateau-Dragon :
Course de Bateau-Dragon : Utilisez des pilons pour gagner des prix incroyables, y compri"&amp;"s une peau de ville spéciale !
Laque Porte-Bonheur : Utilisez des marteaux chanceux pour gagner la laque spéciale Aigle !
Exercice de Bateau-Dragon : Collectez des rames pour monter de niveau et avoir une chance de gagner le nouvel effet de déplacement - "&amp;"Refrain des Boulettes !
Bénédictions des Boulettes : Achetez le pack pour tenter votre chance avec des récompenses surprises !
Chasse aux Boulettes Trésor : Creusez pour des trésors et gagnez des récompenses !
Cadeaux du Festival du Bateau-Dragon : Répond"&amp;"ez aux exigences d'achat à durée limitée pour gagner des prix !
Cuisson Heureuse des Boulettes : Collectez des ingrédients pour faire une boulette et gagnez des récompenses !")</f>
        <v>- Nouveau combattant : Vic alias Œil Fantôme. Un sniper de génie à la vision extraordinaire !
- Nouveau gameplay : Les usines sont maintenant disponibles dans la chasse aux trésors ! Gérez les bâtiments, complétez les commandes et fabriquez plus de produits dans les usines !
- Ouvrier combattant : Stationnez des combattants dans les fonderies et les raffineries d'éléments pour débloquer leurs versions ouvrières. Ces ouvriers spéciaux offrent des compétences passives puissantes pour des fouilles plus productives !
- Files de bataillon : Affiche maintenant la santé des troupes en temps réel pour une surveillance et une évaluation plus faciles des batailles.
- Onglets de file : Il y a maintenant 18 onglets pour prérégler plus de formations de troupes.
- Rapport d'opérateur : L'onglet Mécha dans les rapports de bataille affiche maintenant les détails de l'opérateur.
- Nouveau classement d'opérateur pour vous aider à suivre le développement de l'opérateur.
- Nouveau gameplay : Arène des Champions, un événement saisonnier avec des fonctionnalités de progression. Continuez à avancer dans votre palier pour de meilleures récompenses et dominez l'arène !
- Reliques : Ajout d'un exploit de puissance pour les reliques et d'une fonctionnalité de percée pour les reliques légendaires. Les joueurs sur des serveurs ouverts depuis suffisamment longtemps peuvent percer leurs reliques légendaires pour une qualité supérieure.
- Nouvelles statues de combattant pour Boyce, Dempsey et Maverick.
- Capsule médicale : Les unités perdues seront maintenant émises automatiquement après la fin de la guerre planétaire en fonction de votre taux de guérison.
- Nouveau mécha : Rugissement de Furie - Lion est maintenant disponible. Déployez ce roi de la bataille pour des capacités de contrôle significatives.
- Guerres planétaires : Les structures merveilleuses offrent maintenant un bonus de score en pourcentage.
- Actualités optimisées : Plus de nouvelles d'autres planètes et des jours précédents ; sujets chauds en temps réel pour un meilleur engagement.
- Décorations de vacances : Option pour convertir des objets d'amélioration en une décoration de niveau maximum.
- Transporteurs optimisés : Vous pouvez maintenant sélectionner des onglets d'Emporium pour chaque troupe dans le transporteur ; les transporteurs peuvent maintenant être utilisés pour le Colisée astral ; logique de marche améliorée avec option d'escorte ajoutée pour les transporteurs.
- Terre Glaciaire optimisée : Les noms d'armée s'affichent maintenant avec des icônes de préfixe pour une identification plus facile ; l'interface de l'armée mécha a été optimisée pour afficher les temps de déblocage.
- Événements du Festival du Bateau-Dragon :
Course de Bateau-Dragon : Utilisez des pilons pour gagner des prix incroyables, y compris une peau de ville spéciale !
Laque Porte-Bonheur : Utilisez des marteaux chanceux pour gagner la laque spéciale Aigle !
Exercice de Bateau-Dragon : Collectez des rames pour monter de niveau et avoir une chance de gagner le nouvel effet de déplacement - Refrain des Boulettes !
Bénédictions des Boulettes : Achetez le pack pour tenter votre chance avec des récompenses surprises !
Chasse aux Boulettes Trésor : Creusez pour des trésors et gagnez des récompenses !
Cadeaux du Festival du Bateau-Dragon : Répondez aux exigences d'achat à durée limitée pour gagner des prix !
Cuisson Heureuse des Boulettes : Collectez des ingrédients pour faire une boulette et gagnez des récompenses !</v>
      </c>
      <c r="E56" s="148" t="str">
        <f>IFERROR(__xludf.DUMMYFUNCTION("""COMPUTED_VALUE"""),"- Neuer Kämpfer: Vic alias Phantomauge. Ein genialer Scharfschütze mit außergewöhnlicher Sehkraft!
- Neues Gameplay: Fabriken sind jetzt in Schatzgrabungen verfügbar! Verwalte Gebäude, erfülle Bestellungen und stelle mehr Produkte in den Fabriken her!
- K"&amp;"ämpfer-Arbeiter: Stationiere Kämpfer in Gießereien und Elementveredlern, um ihre Arbeiter-Versionen freizuschalten. Diese speziellen Arbeiter bieten mächtige passive Fähigkeiten für produktivere Ausgrabungen!
- Marsch-Warteschlangen: Zeigt jetzt die Gesun"&amp;"dheit der Truppen in Echtzeit für eine einfachere Schlachtüberwachung und -bewertung an.
- Warteschlangen-Tabs: Es gibt jetzt 18 Tabs, um mehr Truppenformationen voreinzustellen.
- Operator-Bericht: Der Mech-Tab in Kampfberichten zeigt jetzt Operator-Deta"&amp;"ils an.
- Neue Operator-Rangliste, um die Entwicklung der Operatoren zu verfolgen.
- Neues Gameplay: Arena der Champions, ein saisonales Event mit Fortschrittsfunktionen. Steige weiter in deiner Stufe auf, um bessere Belohnungen zu erhalten und die Arena "&amp;"zu dominieren!
- Relikte: Hinzugefügte Leistungs-Erfolge für Relikte und Durchbruch-Funktion für legendäre Relikte. Spieler auf Servern, die lange genug geöffnet sind, können ihre legendären Relikte zu Super-Qualität durchbrechen.
- Neue Kämpfer-Statuen f"&amp;"ür Boyce, Dempsey und Maverick.
- Heilkapsel: Verlorene Einheiten werden nach dem Ende des Planetenkriegs automatisch basierend auf deiner Heilungsrate ausgegeben.
- Neuer Mech: Brüllen der Wut - Löwe ist jetzt verfügbar. Setze diesen König der Schlacht f"&amp;"ür signifikante Kontrollfähigkeiten ein.
- Planetenkriege: Wunderstrukturen bieten jetzt einen prozentualen Punktebonus.
- Nachrichten optimiert: Mehr Nachrichten von anderen Planeten und den Vortagen; Echtzeit-Hot-Themen für bessere Einbindung.
- Feierta"&amp;"gsdekorationen: Option, Upgrade-Items für eine Dekoration auf Maximalstufe zu konvertieren.
- Träger optimiert: Du kannst jetzt Emporium-Tabs für jede Truppe im Träger auswählen; Träger können jetzt für das Astral-Kolosseum verwendet werden; verbesserte M"&amp;"arschlogik mit hinzugefügter Eskorte-Option für Träger.
- Gletscherland optimiert: Armeenamen werden jetzt mit Präfix-Symbolen zur einfacheren Identifikation angezeigt; die Armee-Mech-Oberfläche wurde optimiert, um Freischaltzeiten anzuzeigen.
- Drachenbo"&amp;"otfest-Events:
Drachenbootlauf: Verwende Drumsticks, um tolle Preise zu gewinnen, einschließlich einer speziellen Stadt-Skin!
Glückslack: Verwende Glückshämmer, um den speziellen Adlerlack zu gewinnen!
Drachenbootübung: Sammle Ruder, um aufzusteigen und d"&amp;"ie Chance zu haben, den neuen Marscheffekt - Klößchen-Singalong zu gewinnen!
Klößchensegen: Kaufe das Paket, um dein Glück bei Überraschungsbelohnungen zu versuchen!
Klößchenschatzsuche: Grabe nach Schätzen und gewinne Belohnungen!
Drachenbootfest-Geschen"&amp;"ke: Erfülle zeitlich begrenzte Kaufanforderungen, um Preise zu gewinnen!
Fröhliches Klößchenbacken: Sammle Zutaten, um ein Klößchen zu machen und Belohnungen zu gewinnen!")</f>
        <v>- Neuer Kämpfer: Vic alias Phantomauge. Ein genialer Scharfschütze mit außergewöhnlicher Sehkraft!
- Neues Gameplay: Fabriken sind jetzt in Schatzgrabungen verfügbar! Verwalte Gebäude, erfülle Bestellungen und stelle mehr Produkte in den Fabriken her!
- Kämpfer-Arbeiter: Stationiere Kämpfer in Gießereien und Elementveredlern, um ihre Arbeiter-Versionen freizuschalten. Diese speziellen Arbeiter bieten mächtige passive Fähigkeiten für produktivere Ausgrabungen!
- Marsch-Warteschlangen: Zeigt jetzt die Gesundheit der Truppen in Echtzeit für eine einfachere Schlachtüberwachung und -bewertung an.
- Warteschlangen-Tabs: Es gibt jetzt 18 Tabs, um mehr Truppenformationen voreinzustellen.
- Operator-Bericht: Der Mech-Tab in Kampfberichten zeigt jetzt Operator-Details an.
- Neue Operator-Rangliste, um die Entwicklung der Operatoren zu verfolgen.
- Neues Gameplay: Arena der Champions, ein saisonales Event mit Fortschrittsfunktionen. Steige weiter in deiner Stufe auf, um bessere Belohnungen zu erhalten und die Arena zu dominieren!
- Relikte: Hinzugefügte Leistungs-Erfolge für Relikte und Durchbruch-Funktion für legendäre Relikte. Spieler auf Servern, die lange genug geöffnet sind, können ihre legendären Relikte zu Super-Qualität durchbrechen.
- Neue Kämpfer-Statuen für Boyce, Dempsey und Maverick.
- Heilkapsel: Verlorene Einheiten werden nach dem Ende des Planetenkriegs automatisch basierend auf deiner Heilungsrate ausgegeben.
- Neuer Mech: Brüllen der Wut - Löwe ist jetzt verfügbar. Setze diesen König der Schlacht für signifikante Kontrollfähigkeiten ein.
- Planetenkriege: Wunderstrukturen bieten jetzt einen prozentualen Punktebonus.
- Nachrichten optimiert: Mehr Nachrichten von anderen Planeten und den Vortagen; Echtzeit-Hot-Themen für bessere Einbindung.
- Feiertagsdekorationen: Option, Upgrade-Items für eine Dekoration auf Maximalstufe zu konvertieren.
- Träger optimiert: Du kannst jetzt Emporium-Tabs für jede Truppe im Träger auswählen; Träger können jetzt für das Astral-Kolosseum verwendet werden; verbesserte Marschlogik mit hinzugefügter Eskorte-Option für Träger.
- Gletscherland optimiert: Armeenamen werden jetzt mit Präfix-Symbolen zur einfacheren Identifikation angezeigt; die Armee-Mech-Oberfläche wurde optimiert, um Freischaltzeiten anzuzeigen.
- Drachenbootfest-Events:
Drachenbootlauf: Verwende Drumsticks, um tolle Preise zu gewinnen, einschließlich einer speziellen Stadt-Skin!
Glückslack: Verwende Glückshämmer, um den speziellen Adlerlack zu gewinnen!
Drachenbootübung: Sammle Ruder, um aufzusteigen und die Chance zu haben, den neuen Marscheffekt - Klößchen-Singalong zu gewinnen!
Klößchensegen: Kaufe das Paket, um dein Glück bei Überraschungsbelohnungen zu versuchen!
Klößchenschatzsuche: Grabe nach Schätzen und gewinne Belohnungen!
Drachenbootfest-Geschenke: Erfülle zeitlich begrenzte Kaufanforderungen, um Preise zu gewinnen!
Fröhliches Klößchenbacken: Sammle Zutaten, um ein Klößchen zu machen und Belohnungen zu gewinnen!</v>
      </c>
      <c r="F56" s="148" t="str">
        <f>IFERROR(__xludf.DUMMYFUNCTION("""COMPUTED_VALUE"""),"- Novo Combatente: Vic, também conhecido como Olho Fantasma. Um atirador de elite genial com visão extraordinária!
- Nova mecânica do jogo: Fábricas agora estão disponíveis na Escavação de Tesouros! Gerencie estruturas, complete pedidos e produza mais pro"&amp;"dutos nas fábricas!
- Combatente trabalhador: Guarneça Combatentes em Fundições e Refinadores de Elementos para desbloquear suas versões de trabalhadores. Esses trabalhadores especiais oferecem habilidades passivas poderosas para escavações mais produtiva"&amp;"s!
- Filas de Marcha: Agora mostra a saúde das tropas em tempo real para facilitar o monitoramento e a avaliação da batalha.
- Abas de Filas: Agora há 18 abas para predefinir mais formações de tropas.
- Relatório do Operador: A aba Mech nos relatórios de "&amp;"batalha agora mostra detalhes do operador.
- Nova classificação de operadores para ajudar a acompanhar o desenvolvimento dos operadores.
- Nova mecânica do jogo: Arena dos Campeões, um evento sazonal com recursos de progressão. Continue avançando seu níve"&amp;"l para melhores recompensas e domine a arena!
- Relíquias: Adicionada conquista de poder para Relíquias e recurso de avanço para Relíquias Lendárias. Jogadores em servidores que estão abertos há tempo suficiente podem avançar suas Relíquias Lendárias para"&amp;" qualidade Super.
- Novas Estátuas de Combatentes para Boyce, Dempsey e Maverick.
- Módulo Médico: Unidades perdidas agora serão emitidas automaticamente após o fim da Guerra Interplanetária com base na sua taxa de cura.
- Novo mech: Rugido da Fúria - Leã"&amp;"o agora está disponível. Desloque este rei da batalha para capacidades de controle significativas.
- Guerra Interplanetária: Estruturas Maravilha agora oferecem um bônus de pontuação percentual.
- Notícias otimizadas: Mais notícias de outros planetas e di"&amp;"as anteriores; tópicos quentes em tempo real para melhor engajamento.
- Decorações de feriado: Opção para converter itens de melhoria para uma decoração de nível máximo.
- Transportadores otimizados: Agora você pode selecionar abas do Empório para cada tr"&amp;"opa no transportador; transportadores agora podem ser usados no Coliseu Astral; lógica de marcha aprimorada com opção de escolta adicionada para transportadores.
- Terra Glacial otimizada: Nomes de exércitos agora exibem ícones de prefixo para facilitar a"&amp;" identificação; interface do exército mech foi otimizada para mostrar tempos de desbloqueio.
- Eventos do Festival do Barco do Dragão:
Corrida de Barco do Dragão: Use Drumsticks para ganhar prêmios incríveis, incluindo uma skin especial de cidade!
Laca da"&amp;" Sorte: Use Martelos da Sorte para ganhar a laca especial Águia!
Treinamento de Barco do Dragão: Colete Remos para subir de nível e ter a chance de ganhar o novo efeito de marcha - Festival do Bolinho Cantado!
Bençãos dos Bolinhos: Compre o pacote para te"&amp;"ntar a sorte em recompensas surpresa!
Caçada ao Tesouro de Bolinhos: Cave por tesouros e ganhe recompensas!
Presentes do Festival do Barco do Dragão: Atenda aos requisitos de compra por tempo limitado para ganhar prêmios!
Feliz Cozimento de Bolinhos: Cole"&amp;"te ingredientes para fazer um bolinho e ganhar recompensas!")</f>
        <v>- Novo Combatente: Vic, também conhecido como Olho Fantasma. Um atirador de elite genial com visão extraordinária!
- Nova mecânica do jogo: Fábricas agora estão disponíveis na Escavação de Tesouros! Gerencie estruturas, complete pedidos e produza mais produtos nas fábricas!
- Combatente trabalhador: Guarneça Combatentes em Fundições e Refinadores de Elementos para desbloquear suas versões de trabalhadores. Esses trabalhadores especiais oferecem habilidades passivas poderosas para escavações mais produtivas!
- Filas de Marcha: Agora mostra a saúde das tropas em tempo real para facilitar o monitoramento e a avaliação da batalha.
- Abas de Filas: Agora há 18 abas para predefinir mais formações de tropas.
- Relatório do Operador: A aba Mech nos relatórios de batalha agora mostra detalhes do operador.
- Nova classificação de operadores para ajudar a acompanhar o desenvolvimento dos operadores.
- Nova mecânica do jogo: Arena dos Campeões, um evento sazonal com recursos de progressão. Continue avançando seu nível para melhores recompensas e domine a arena!
- Relíquias: Adicionada conquista de poder para Relíquias e recurso de avanço para Relíquias Lendárias. Jogadores em servidores que estão abertos há tempo suficiente podem avançar suas Relíquias Lendárias para qualidade Super.
- Novas Estátuas de Combatentes para Boyce, Dempsey e Maverick.
- Módulo Médico: Unidades perdidas agora serão emitidas automaticamente após o fim da Guerra Interplanetária com base na sua taxa de cura.
- Novo mech: Rugido da Fúria - Leão agora está disponível. Desloque este rei da batalha para capacidades de controle significativas.
- Guerra Interplanetária: Estruturas Maravilha agora oferecem um bônus de pontuação percentual.
- Notícias otimizadas: Mais notícias de outros planetas e dias anteriores; tópicos quentes em tempo real para melhor engajamento.
- Decorações de feriado: Opção para converter itens de melhoria para uma decoração de nível máximo.
- Transportadores otimizados: Agora você pode selecionar abas do Empório para cada tropa no transportador; transportadores agora podem ser usados no Coliseu Astral; lógica de marcha aprimorada com opção de escolta adicionada para transportadores.
- Terra Glacial otimizada: Nomes de exércitos agora exibem ícones de prefixo para facilitar a identificação; interface do exército mech foi otimizada para mostrar tempos de desbloqueio.
- Eventos do Festival do Barco do Dragão:
Corrida de Barco do Dragão: Use Drumsticks para ganhar prêmios incríveis, incluindo uma skin especial de cidade!
Laca da Sorte: Use Martelos da Sorte para ganhar a laca especial Águia!
Treinamento de Barco do Dragão: Colete Remos para subir de nível e ter a chance de ganhar o novo efeito de marcha - Festival do Bolinho Cantado!
Bençãos dos Bolinhos: Compre o pacote para tentar a sorte em recompensas surpresa!
Caçada ao Tesouro de Bolinhos: Cave por tesouros e ganhe recompensas!
Presentes do Festival do Barco do Dragão: Atenda aos requisitos de compra por tempo limitado para ganhar prêmios!
Feliz Cozimento de Bolinhos: Colete ingredientes para fazer um bolinho e ganhar recompensas!</v>
      </c>
      <c r="G56" s="148" t="str">
        <f>IFERROR(__xludf.DUMMYFUNCTION("""COMPUTED_VALUE"""),"-新增鬥士：狙擊天才-維克，視力超群、年少成名的小小狙擊手！
-新增玩法：地下探寶解鎖生產工廠了！調配生產建築、完成訂單，讓生產工廠製造的物品又多又快吧！
-鬥士礦工：將地下探寶的鬥士放置在元素裝置上，可以生成對應的鬥士礦工了！鬥士礦工擁有強大的被動技能，更高效地幫助指揮官挖礦！
-行軍佇列：行軍佇列新增部隊實時生命值顯示功能，指揮官可以更輕鬆地檢查自己部隊戰鬥時的實時情況，及時做出判斷；
-佇列頁籤：行軍佇列頁籤上限增加到18個，大力支持指揮官預設更多的參賽部隊，趕快去重新調整預設佇列吧！
-機師戰報："&amp;"戰報機甲頁籤，新增顯示雙方攜帶機師的詳細信息；
-新增機師排行榜：方便指揮官檢查機師訓練情況；
-新增玩法：王者之地帶來全新的賽季制與戰場推進玩法。指揮官在戰鬥中不斷提升自己的段位，可以獲得更優質的獎勵，在猿族世界稱霸！
-收藏品：新增收藏品戰鬥力成就檔位，同時開放傳說收藏品突破功能！伺服器到達指定時間後，玩家可以將部分傳說收藏品突破為超凡收藏品。
-新增鬥士雕像：博伊斯、鄧普思、邁爾瑞克。
-冷凍急救艙：死亡士兵將根據治癒率，在銀河戰爭結束後直接返還，不需要手動領取；
-新增機甲：咆哮之怒-雄獅，目前雄"&amp;"獅機甲已經可以投入使用，擁有王者風範的它，可通過自身機制對敵方機甲造成明顯壓制；
-銀河戰場的wonder建築新增了百分比增加積分的功能；
-優化了新聞算法，可以看到更多其它猩球的新聞了；提供了更豐富的昨日新聞；增加了實時熱點，玩家可以查閱當天發生的熱點新聞；
-節日裝飾新增了最高等級後回收升級道具的功能；
-戰車功能優化：現在戰車中的每支部隊都可以單獨選擇使用的展覽館頁籤；增加使用場景，戰車可以在史普尼克號戰場中使用了；優化行軍邏輯，戰車可以正常進行護衛操作；
-寒冰星功能優化：優化了軍團名稱的顯示，附"&amp;"帶前綴圖標，更容易分辨；軍團機甲界面優化，展示解鎖時間。
-新增龍舟節活動：
賽龍舟：使用龍舟鼓槌，贏取豪華大獎，更有龍舟節皮膚等你來拿！
驚喜塗裝：使用驚喜錘，贏取天鷹機甲限定塗裝！
龍舟競渡：收集強力船槳，提升活動等級，有機會獲取全新行軍特效-粽情高歌！
粽情福袋：好運大比拼，購買限定福袋，獲得隨機驚喜獎勵！
粽情尋寶：地下探索寶藏，贏豐厚獎勵！
龍舟豪禮：限時累計已購買即可領取豐厚獎勵！
歡樂粽動員：收集食材，製作美味的粽子贏取獎勵！")</f>
        <v>-新增鬥士：狙擊天才-維克，視力超群、年少成名的小小狙擊手！
-新增玩法：地下探寶解鎖生產工廠了！調配生產建築、完成訂單，讓生產工廠製造的物品又多又快吧！
-鬥士礦工：將地下探寶的鬥士放置在元素裝置上，可以生成對應的鬥士礦工了！鬥士礦工擁有強大的被動技能，更高效地幫助指揮官挖礦！
-行軍佇列：行軍佇列新增部隊實時生命值顯示功能，指揮官可以更輕鬆地檢查自己部隊戰鬥時的實時情況，及時做出判斷；
-佇列頁籤：行軍佇列頁籤上限增加到18個，大力支持指揮官預設更多的參賽部隊，趕快去重新調整預設佇列吧！
-機師戰報：戰報機甲頁籤，新增顯示雙方攜帶機師的詳細信息；
-新增機師排行榜：方便指揮官檢查機師訓練情況；
-新增玩法：王者之地帶來全新的賽季制與戰場推進玩法。指揮官在戰鬥中不斷提升自己的段位，可以獲得更優質的獎勵，在猿族世界稱霸！
-收藏品：新增收藏品戰鬥力成就檔位，同時開放傳說收藏品突破功能！伺服器到達指定時間後，玩家可以將部分傳說收藏品突破為超凡收藏品。
-新增鬥士雕像：博伊斯、鄧普思、邁爾瑞克。
-冷凍急救艙：死亡士兵將根據治癒率，在銀河戰爭結束後直接返還，不需要手動領取；
-新增機甲：咆哮之怒-雄獅，目前雄獅機甲已經可以投入使用，擁有王者風範的它，可通過自身機制對敵方機甲造成明顯壓制；
-銀河戰場的wonder建築新增了百分比增加積分的功能；
-優化了新聞算法，可以看到更多其它猩球的新聞了；提供了更豐富的昨日新聞；增加了實時熱點，玩家可以查閱當天發生的熱點新聞；
-節日裝飾新增了最高等級後回收升級道具的功能；
-戰車功能優化：現在戰車中的每支部隊都可以單獨選擇使用的展覽館頁籤；增加使用場景，戰車可以在史普尼克號戰場中使用了；優化行軍邏輯，戰車可以正常進行護衛操作；
-寒冰星功能優化：優化了軍團名稱的顯示，附帶前綴圖標，更容易分辨；軍團機甲界面優化，展示解鎖時間。
-新增龍舟節活動：
賽龍舟：使用龍舟鼓槌，贏取豪華大獎，更有龍舟節皮膚等你來拿！
驚喜塗裝：使用驚喜錘，贏取天鷹機甲限定塗裝！
龍舟競渡：收集強力船槳，提升活動等級，有機會獲取全新行軍特效-粽情高歌！
粽情福袋：好運大比拼，購買限定福袋，獲得隨機驚喜獎勵！
粽情尋寶：地下探索寶藏，贏豐厚獎勵！
龍舟豪禮：限時累計已購買即可領取豐厚獎勵！
歡樂粽動員：收集食材，製作美味的粽子贏取獎勵！</v>
      </c>
      <c r="H56" s="148" t="str">
        <f>IFERROR(__xludf.DUMMYFUNCTION("""COMPUTED_VALUE"""),"- Pejuang Baru: Vic alias Mata Phantom. Seorang penembak jitu jenius dengan penglihatan yang luar biasa!
- Gameplay baru: Pabrik sekarang tersedia di Penggalian Harta Karun! Kelola bangunan, selesaikan pesanan, dan buat lebih banyak produk di pabrik!
- Pe"&amp;"kerja pejuang: Tempatkan Pejuang di Pengecoran dan Pemurni Elemen untuk membuka versi pekerja mereka. Pekerja khusus ini menawarkan keahlian pasif yang kuat untuk penggalian yang lebih produktif!
- Antrean berbaris: Sekarang menunjukkan kesehatan pasukan "&amp;"secara real-time untuk memudahkan pemantauan dan penilaian pertempuran.
- Tab antrean: Sekarang ada 18 tab untuk pra-atur lebih banyak formasi pasukan.
- Laporan operator: Tab Mekanik dalam laporan pertempuran sekarang menunjukkan rincian operator.
- Papa"&amp;"n peringkat operator baru untuk membantu Anda melacak perkembangan operator.
- Gameplay baru: Arena Para Juara, sebuah event musiman dengan fitur kemajuan. Terus tingkatkan tingkat Anda untuk hadiah yang lebih baik dan mendominasi arena!
- Relik: Ditambah"&amp;"kan pencapaian kekuatan untuk Relik dan fitur terobosan untuk Relik Legendaris. Pemain di server yang telah dibuka cukup lama dapat menembus Relik Legendaris mereka ke kualitas Super.
- Patung Pejuang Baru untuk Boyce, Dempsey, dan Maverick.
- Pod Medis: "&amp;"Unit yang hilang sekarang akan dikeluarkan secara otomatis setelah Perang Planet berakhir berdasarkan tingkat penyembuhan Anda.
- Mekanik baru: Raungan Murka - Singa sekarang tersedia. Sebarkan raja pertempuran ini untuk kemampuan kontrol yang signifikan."&amp;"
- Perang Planet: Struktur keajaiban sekarang menawarkan bonus skor persentase.
- Berita dioptimalkan: Lebih banyak berita dari planet lain dan hari-hari sebelumnya; topik panas real-time untuk keterlibatan yang lebih baik.
- Dekorasi liburan: Opsi untuk "&amp;"mengubah item peningkatan untuk dekorasi tingkat maksimal.
- Pembawa barang dioptimalkan: Anda sekarang dapat memilih tab Emporium untuk setiap pasukan di pembawa; pembawa sekarang dapat digunakan untuk Koloseum Astral; logika barisan ditingkatkan dengan "&amp;"opsi pengawalan ditambahkan untuk pembawa.
- Tanah Gletser dioptimalkan: Nama pasukan sekarang ditampilkan dengan ikon awalan untuk identifikasi yang lebih mudah; antarmuka pasukan mekanik telah dioptimalkan untuk menunjukkan waktu buka.
- Event Festival "&amp;"Perahu Naga:
Lari Perahu Naga: Gunakan Drumsticks untuk memenangkan hadiah luar biasa termasuk skin kota khusus!
Pernis Keberuntungan: Gunakan Palu Keberuntungan untuk memenangkan pernis Elang khusus!
Latihan Perahu Naga: Kumpulkan Dayung untuk naik level"&amp;" dan berkesempatan memenangkan efek barisan baru - Nyanyian Bakcang!
Berkat Bakcang: Beli paket untuk mencoba keberuntungan Anda pada hadiah kejutan!
Perburuan Harta Karun Bakcang: Gali harta dan menangkan hadiah!
Hadiah Festival Perahu Naga: Penuhi persy"&amp;"aratan pembelian terbatas waktu untuk memenangkan hadiah!
Panggang Bakcang Bahagia: Kumpulkan bahan untuk membuat bakcang dan menangkan hadiah!")</f>
        <v>- Pejuang Baru: Vic alias Mata Phantom. Seorang penembak jitu jenius dengan penglihatan yang luar biasa!
- Gameplay baru: Pabrik sekarang tersedia di Penggalian Harta Karun! Kelola bangunan, selesaikan pesanan, dan buat lebih banyak produk di pabrik!
- Pekerja pejuang: Tempatkan Pejuang di Pengecoran dan Pemurni Elemen untuk membuka versi pekerja mereka. Pekerja khusus ini menawarkan keahlian pasif yang kuat untuk penggalian yang lebih produktif!
- Antrean berbaris: Sekarang menunjukkan kesehatan pasukan secara real-time untuk memudahkan pemantauan dan penilaian pertempuran.
- Tab antrean: Sekarang ada 18 tab untuk pra-atur lebih banyak formasi pasukan.
- Laporan operator: Tab Mekanik dalam laporan pertempuran sekarang menunjukkan rincian operator.
- Papan peringkat operator baru untuk membantu Anda melacak perkembangan operator.
- Gameplay baru: Arena Para Juara, sebuah event musiman dengan fitur kemajuan. Terus tingkatkan tingkat Anda untuk hadiah yang lebih baik dan mendominasi arena!
- Relik: Ditambahkan pencapaian kekuatan untuk Relik dan fitur terobosan untuk Relik Legendaris. Pemain di server yang telah dibuka cukup lama dapat menembus Relik Legendaris mereka ke kualitas Super.
- Patung Pejuang Baru untuk Boyce, Dempsey, dan Maverick.
- Pod Medis: Unit yang hilang sekarang akan dikeluarkan secara otomatis setelah Perang Planet berakhir berdasarkan tingkat penyembuhan Anda.
- Mekanik baru: Raungan Murka - Singa sekarang tersedia. Sebarkan raja pertempuran ini untuk kemampuan kontrol yang signifikan.
- Perang Planet: Struktur keajaiban sekarang menawarkan bonus skor persentase.
- Berita dioptimalkan: Lebih banyak berita dari planet lain dan hari-hari sebelumnya; topik panas real-time untuk keterlibatan yang lebih baik.
- Dekorasi liburan: Opsi untuk mengubah item peningkatan untuk dekorasi tingkat maksimal.
- Pembawa barang dioptimalkan: Anda sekarang dapat memilih tab Emporium untuk setiap pasukan di pembawa; pembawa sekarang dapat digunakan untuk Koloseum Astral; logika barisan ditingkatkan dengan opsi pengawalan ditambahkan untuk pembawa.
- Tanah Gletser dioptimalkan: Nama pasukan sekarang ditampilkan dengan ikon awalan untuk identifikasi yang lebih mudah; antarmuka pasukan mekanik telah dioptimalkan untuk menunjukkan waktu buka.
- Event Festival Perahu Naga:
Lari Perahu Naga: Gunakan Drumsticks untuk memenangkan hadiah luar biasa termasuk skin kota khusus!
Pernis Keberuntungan: Gunakan Palu Keberuntungan untuk memenangkan pernis Elang khusus!
Latihan Perahu Naga: Kumpulkan Dayung untuk naik level dan berkesempatan memenangkan efek barisan baru - Nyanyian Bakcang!
Berkat Bakcang: Beli paket untuk mencoba keberuntungan Anda pada hadiah kejutan!
Perburuan Harta Karun Bakcang: Gali harta dan menangkan hadiah!
Hadiah Festival Perahu Naga: Penuhi persyaratan pembelian terbatas waktu untuk memenangkan hadiah!
Panggang Bakcang Bahagia: Kumpulkan bahan untuk membuat bakcang dan menangkan hadiah!</v>
      </c>
      <c r="I56" s="148" t="str">
        <f>IFERROR(__xludf.DUMMYFUNCTION("""COMPUTED_VALUE"""),"- นักสู้ตัวใหม่: วิค หรือที่รู้จักในนาม ตาวิญญาณ อัจฉริยะสไนเปอร์ที่มีสายตาพิเศษอันไม่ธรรมดา!
- การเล่นเกมใหม่: โรงงานพร้อมใช้งานใน การขุดสมบัติ! จัดการสิ่งก่อสร้าง, เสร็จสิ้นคำสั่งซื้อ, และผลิตผลิตภัณฑ์เพิ่มเติมในโรงงาน!
- นักสู้คนงาน: ประจำนักสู้ในโรงหล"&amp;"่อและเครื่องกลั่นธาตุเพื่อปลดล็อกเวอร์ชันคนงานของพวกเขา คนงานพิเศษเหล่านี้มีทักษะทางอ้อมที่ทรงพลังเพื่อการขุดที่มีประสิทธิภาพมากขึ้น!
- คิวการเดินทัพ: ตอนนี้แสดงพลังชีวิตของกองทหารแบบเรียลไทม์เพื่อการตรวจสอบและประเมินการต่อสู้ที่ง่ายขึ้น
- แท็บคิว: ตอนนี้"&amp;"มี 18 แท็บเพื่อกำหนดแถวทัพเพิ่มเติมล่วงหน้า
- รายงานผู้ปฏิบัติการ: แท็บเมคในรายงานการต่อสู้ตอนนี้แสดงรายละเอียดของผู้ปฏิบัติการ
- กระดานผู้นำผู้ปฏิบัติการใหม่เพื่อช่วยคุณติดตามการพัฒนาผู้ปฏิบัติการ
- การเล่นเกมใหม่: สนามต่อสู้ของแชมเปี้ยน, กิจกรรมตามฤดูกา"&amp;"ลที่มีคุณสมบัติความก้าวหน้า ก้าวหน้าระดับของคุณเพื่อรับรางวัลที่ดีกว่าและครอบครองสนามต่อสู้!
- วัตถุโบราณ: เพิ่มความสำเร็จพลังงานสำหรับวัตถุโบราณและคุณสมบัติการชนะขาดสำหรับวัตถุโบราณตำนาน ผู้เล่นในเซิร์ฟเวอร์ที่เปิดมานานพอสามารถชนะขาดวัตถุโบราณตำนานของพวก"&amp;"เขาไปสู่คุณภาพชั้นดี
- รูปปั้นนักสู้ใหม่สำหรับ บอยซ์, เดมป์ซีย์, และ มาเวอริก
- ห้องการแพทย์: หน่วยที่สูญหายจะถูกออกให้อัตโนมัติหลังจากสงครามดาวเคราะห์สิ้นสุดลงตามอัตราการรักษาของคุณ
- เมคใหม่: เสียงคำรามแห่งพิโรธ - สิงโต พร้อมให้บริการแล้ว ออกสนามรบกับรา"&amp;"ชาแห่งการต่อสู้เพื่อความสามารถในการควบคุมที่สำคัญ
- สงครามดาวเคราะห์: โครงสร้างมหัศจรรย์ตอนนี้มีโบนัสคะแนนเป็นเปอร์เซ็นต์
- ข่าวที่ปรับปรุง: ข่าวเพิ่มเติมจากดาวเคราะห์อื่นและวันก่อนหน้า; หัวข้อยอดนิยมแบบเรียลไทม์เพื่อการมีส่วนร่วมที่ดียิ่งขึ้น
- การตกแต่ง"&amp;"วันหยุด: ตัวเลือกในการแปลงไอเทมอัปเกรดสำหรับการตกแต่งระดับสูงสุด
- ลิงขนส่งที่ปรับปรุง: ตอนนี้คุณสามารถเลือกแท็บห้างสรรพสินค้าสำหรับแต่ละกองทหารในลิงขนส่ง; ลิงขนส่งสามารถใช้สำหรับโคลีเซียมดวงดาว; ปรับปรุงตรรกะการเดินทัพพร้อมตัวเลือกคุ้มกันที่เพิ่มเข้ามาสำ"&amp;"หรับลิงขนส่ง
- ดินแดนน้ำแข็งที่ปรับปรุง: ชื่อกองทัพตอนนี้แสดงด้วยไอคอนคำนำหน้าเพื่อการระบุที่ง่ายขึ้น; อินเทอร์เฟซกองทัพเมคได้รับการปรับปรุงเพื่อแสดงเวลาปลดล็อก
- กิจกรรมเทศกาลเรือมังกร:
วิ่งเรือมังกร: ใช้ไม้ตีกลองเพื่อชนะรางวัลสุดเจ๋งรวมถึงสกินเมืองพิเศษ"&amp;"!
แลคเกอร์นำโชค: ใช้ค้อนโชคดีเพื่อชนะแลคเกอร์อินทรีพิเศษ!
การฝึกซ้อมเรือมังกร: เก็บพายเพื่อเลเวลอัปเพื่อมีโอกาสชนะเอฟเฟกต์การเดินทัพใหม่ - การร้องเพลงข้าวเหนียวห่อใบตอง!
พรข้าวเหนียวห่อใบตอง: ซื้อแพ็คเพื่อเสี่ยงโชคของคุณที่รางวัลเซอร์ไพรส์!
การล่าสมบัติข้"&amp;"าวเหนียวห่อใบตอง: ขุดหาสมบัติและชนะรางวัล!
ของขวัญเทศกาลเรือมังกร: ตรงตามข้อกำหนดการซื้อจำกัดเวลาเพื่อชนะรางวัล!
การอบข้าวเหนียวห่อใบตองอย่างมีความสุข: เก็บส่วนผสมเพื่อทำข้าวเหนียวห่อใบตองและชนะรางวัล!")</f>
        <v>- นักสู้ตัวใหม่: วิค หรือที่รู้จักในนาม ตาวิญญาณ อัจฉริยะสไนเปอร์ที่มีสายตาพิเศษอันไม่ธรรมดา!
- การเล่นเกมใหม่: โรงงานพร้อมใช้งานใน การขุดสมบัติ! จัดการสิ่งก่อสร้าง, เสร็จสิ้นคำสั่งซื้อ, และผลิตผลิตภัณฑ์เพิ่มเติมในโรงงาน!
- นักสู้คนงาน: ประจำนักสู้ในโรงหล่อและเครื่องกลั่นธาตุเพื่อปลดล็อกเวอร์ชันคนงานของพวกเขา คนงานพิเศษเหล่านี้มีทักษะทางอ้อมที่ทรงพลังเพื่อการขุดที่มีประสิทธิภาพมากขึ้น!
- คิวการเดินทัพ: ตอนนี้แสดงพลังชีวิตของกองทหารแบบเรียลไทม์เพื่อการตรวจสอบและประเมินการต่อสู้ที่ง่ายขึ้น
- แท็บคิว: ตอนนี้มี 18 แท็บเพื่อกำหนดแถวทัพเพิ่มเติมล่วงหน้า
- รายงานผู้ปฏิบัติการ: แท็บเมคในรายงานการต่อสู้ตอนนี้แสดงรายละเอียดของผู้ปฏิบัติการ
- กระดานผู้นำผู้ปฏิบัติการใหม่เพื่อช่วยคุณติดตามการพัฒนาผู้ปฏิบัติการ
- การเล่นเกมใหม่: สนามต่อสู้ของแชมเปี้ยน, กิจกรรมตามฤดูกาลที่มีคุณสมบัติความก้าวหน้า ก้าวหน้าระดับของคุณเพื่อรับรางวัลที่ดีกว่าและครอบครองสนามต่อสู้!
- วัตถุโบราณ: เพิ่มความสำเร็จพลังงานสำหรับวัตถุโบราณและคุณสมบัติการชนะขาดสำหรับวัตถุโบราณตำนาน ผู้เล่นในเซิร์ฟเวอร์ที่เปิดมานานพอสามารถชนะขาดวัตถุโบราณตำนานของพวกเขาไปสู่คุณภาพชั้นดี
- รูปปั้นนักสู้ใหม่สำหรับ บอยซ์, เดมป์ซีย์, และ มาเวอริก
- ห้องการแพทย์: หน่วยที่สูญหายจะถูกออกให้อัตโนมัติหลังจากสงครามดาวเคราะห์สิ้นสุดลงตามอัตราการรักษาของคุณ
- เมคใหม่: เสียงคำรามแห่งพิโรธ - สิงโต พร้อมให้บริการแล้ว ออกสนามรบกับราชาแห่งการต่อสู้เพื่อความสามารถในการควบคุมที่สำคัญ
- สงครามดาวเคราะห์: โครงสร้างมหัศจรรย์ตอนนี้มีโบนัสคะแนนเป็นเปอร์เซ็นต์
- ข่าวที่ปรับปรุง: ข่าวเพิ่มเติมจากดาวเคราะห์อื่นและวันก่อนหน้า; หัวข้อยอดนิยมแบบเรียลไทม์เพื่อการมีส่วนร่วมที่ดียิ่งขึ้น
- การตกแต่งวันหยุด: ตัวเลือกในการแปลงไอเทมอัปเกรดสำหรับการตกแต่งระดับสูงสุด
- ลิงขนส่งที่ปรับปรุง: ตอนนี้คุณสามารถเลือกแท็บห้างสรรพสินค้าสำหรับแต่ละกองทหารในลิงขนส่ง; ลิงขนส่งสามารถใช้สำหรับโคลีเซียมดวงดาว; ปรับปรุงตรรกะการเดินทัพพร้อมตัวเลือกคุ้มกันที่เพิ่มเข้ามาสำหรับลิงขนส่ง
- ดินแดนน้ำแข็งที่ปรับปรุง: ชื่อกองทัพตอนนี้แสดงด้วยไอคอนคำนำหน้าเพื่อการระบุที่ง่ายขึ้น; อินเทอร์เฟซกองทัพเมคได้รับการปรับปรุงเพื่อแสดงเวลาปลดล็อก
- กิจกรรมเทศกาลเรือมังกร:
วิ่งเรือมังกร: ใช้ไม้ตีกลองเพื่อชนะรางวัลสุดเจ๋งรวมถึงสกินเมืองพิเศษ!
แลคเกอร์นำโชค: ใช้ค้อนโชคดีเพื่อชนะแลคเกอร์อินทรีพิเศษ!
การฝึกซ้อมเรือมังกร: เก็บพายเพื่อเลเวลอัปเพื่อมีโอกาสชนะเอฟเฟกต์การเดินทัพใหม่ - การร้องเพลงข้าวเหนียวห่อใบตอง!
พรข้าวเหนียวห่อใบตอง: ซื้อแพ็คเพื่อเสี่ยงโชคของคุณที่รางวัลเซอร์ไพรส์!
การล่าสมบัติข้าวเหนียวห่อใบตอง: ขุดหาสมบัติและชนะรางวัล!
ของขวัญเทศกาลเรือมังกร: ตรงตามข้อกำหนดการซื้อจำกัดเวลาเพื่อชนะรางวัล!
การอบข้าวเหนียวห่อใบตองอย่างมีความสุข: เก็บส่วนผสมเพื่อทำข้าวเหนียวห่อใบตองและชนะรางวัล!</v>
      </c>
      <c r="J56" s="148" t="str">
        <f>IFERROR(__xludf.DUMMYFUNCTION("""COMPUTED_VALUE"""),"- Nuevo Luchador: Vic alias Ojo Fantasma. ¡Un francotirador genio con una visión extraordinaria!
- Nueva forma de juego: ¡Las fábricas ahora están disponibles en Excavación de Tesoros! Gestiona edificios, completa órdenes y fabrica más productos en las fá"&amp;"bricas.
- Trabajador luchador: Estaciona Luchadores en Fundiciones y Refinadores de Elementos para desbloquear sus versiones de trabajador. ¡Estos trabajadores especiales ofrecen habilidades pasivas poderosas para excavaciones más productivas!
- Filas de "&amp;"marcha: Ahora muestra la salud de las tropas en tiempo real para un monitoreo y evaluación de la batalla más fácil.
- Pestañas de cola: Ahora hay 18 pestañas para preestablecer más formaciones de tropas.
- Informe del operador: La pestaña de Mech en los i"&amp;"nformes de batalla ahora muestra detalles del operador.
- Nueva tabla de clasificación de operadores para ayudarte a rastrear el desarrollo del operador.
- Nueva forma de juego: Arena de Campeones, un evento de temporada con características de progresión."&amp;" ¡Sigue avanzando tu nivel para obtener mejores recompensas y dominar la arena!
- Reliquias: Se agregó logro de poder para Reliquias y función de avance para Reliquias Legendarias. Los jugadores en servidores que han estado abiertos el tiempo suficiente p"&amp;"ueden avanzar sus Reliquias Legendarias a calidad Súper.
- Nuevas Estatuas de Luchadores para Boyce, Dempsey y Maverick.
- Cápsula Médica: Las unidades perdidas ahora se emitirán automáticamente después de que termine la Guerra Planetaria según tu tasa de"&amp;" curación.
- Nuevo mech: Rugido de Furia - León ya está disponible. Despliega a este rey de la batalla para capacidades de control significativas.
- Guerras Planetarias: Las estructuras Maravilla ahora ofrecen una bonificación de puntuación porcentual.
- "&amp;"Noticias optimizadas: Más noticias de otros planetas y días anteriores; temas candentes en tiempo real para una mejor participación.
- Decoraciones festivas: Opción para convertir artículos de mejora en una decoración de nivel máximo.
- Transportadores op"&amp;"timizados: Ahora puedes seleccionar pestañas de Emporio para cada tropa en el transportador; los transportadores ahora se pueden usar para Coliseo Astral; lógica de marcha mejorada con opción de escolta añadida para transportadores.
- Tierra Glaciar optim"&amp;"izada: Los nombres del ejército ahora se muestran con íconos de prefijo para una identificación más fácil; la interfaz del ejército meca se ha optimizado para mostrar los tiempos de desbloqueo.
- Eventos del Festival del Barco Dragón:
Carrera del Barco Dr"&amp;"agón: ¡Usa Muslos de Pollo para ganar premios increíbles, incluyendo una piel de ciudad especial!
Laca de la Suerte: ¡Usa Martillos de la Suerte para ganar la laca especial de Águila!
Simulacro del Barco Dragón: ¡Recolecta Remos para subir de nivel y tene"&amp;"r la oportunidad de ganar el nuevo efecto de marcha - Canción del Dumpling!
Bendiciones de Dumplings: ¡Compra el paquete para probar tu suerte con recompensas sorpresa!
Búsqueda del Tesoro de Dumplings: ¡Excava en busca de tesoros y gana recompensas!
Rega"&amp;"los del Festival del Barco Dragón: ¡Cumple con los requisitos de compra por tiempo limitado para ganar premios!
Horneado Feliz de Dumplings: ¡Recolecta ingredientes para hacer un dumpling y ganar recompensas!")</f>
        <v>- Nuevo Luchador: Vic alias Ojo Fantasma. ¡Un francotirador genio con una visión extraordinaria!
- Nueva forma de juego: ¡Las fábricas ahora están disponibles en Excavación de Tesoros! Gestiona edificios, completa órdenes y fabrica más productos en las fábricas.
- Trabajador luchador: Estaciona Luchadores en Fundiciones y Refinadores de Elementos para desbloquear sus versiones de trabajador. ¡Estos trabajadores especiales ofrecen habilidades pasivas poderosas para excavaciones más productivas!
- Filas de marcha: Ahora muestra la salud de las tropas en tiempo real para un monitoreo y evaluación de la batalla más fácil.
- Pestañas de cola: Ahora hay 18 pestañas para preestablecer más formaciones de tropas.
- Informe del operador: La pestaña de Mech en los informes de batalla ahora muestra detalles del operador.
- Nueva tabla de clasificación de operadores para ayudarte a rastrear el desarrollo del operador.
- Nueva forma de juego: Arena de Campeones, un evento de temporada con características de progresión. ¡Sigue avanzando tu nivel para obtener mejores recompensas y dominar la arena!
- Reliquias: Se agregó logro de poder para Reliquias y función de avance para Reliquias Legendarias. Los jugadores en servidores que han estado abiertos el tiempo suficiente pueden avanzar sus Reliquias Legendarias a calidad Súper.
- Nuevas Estatuas de Luchadores para Boyce, Dempsey y Maverick.
- Cápsula Médica: Las unidades perdidas ahora se emitirán automáticamente después de que termine la Guerra Planetaria según tu tasa de curación.
- Nuevo mech: Rugido de Furia - León ya está disponible. Despliega a este rey de la batalla para capacidades de control significativas.
- Guerras Planetarias: Las estructuras Maravilla ahora ofrecen una bonificación de puntuación porcentual.
- Noticias optimizadas: Más noticias de otros planetas y días anteriores; temas candentes en tiempo real para una mejor participación.
- Decoraciones festivas: Opción para convertir artículos de mejora en una decoración de nivel máximo.
- Transportadores optimizados: Ahora puedes seleccionar pestañas de Emporio para cada tropa en el transportador; los transportadores ahora se pueden usar para Coliseo Astral; lógica de marcha mejorada con opción de escolta añadida para transportadores.
- Tierra Glaciar optimizada: Los nombres del ejército ahora se muestran con íconos de prefijo para una identificación más fácil; la interfaz del ejército meca se ha optimizado para mostrar los tiempos de desbloqueo.
- Eventos del Festival del Barco Dragón:
Carrera del Barco Dragón: ¡Usa Muslos de Pollo para ganar premios increíbles, incluyendo una piel de ciudad especial!
Laca de la Suerte: ¡Usa Martillos de la Suerte para ganar la laca especial de Águila!
Simulacro del Barco Dragón: ¡Recolecta Remos para subir de nivel y tener la oportunidad de ganar el nuevo efecto de marcha - Canción del Dumpling!
Bendiciones de Dumplings: ¡Compra el paquete para probar tu suerte con recompensas sorpresa!
Búsqueda del Tesoro de Dumplings: ¡Excava en busca de tesoros y gana recompensas!
Regalos del Festival del Barco Dragón: ¡Cumple con los requisitos de compra por tiempo limitado para ganar premios!
Horneado Feliz de Dumplings: ¡Recolecta ingredientes para hacer un dumpling y ganar recompensas!</v>
      </c>
      <c r="K56" s="148" t="str">
        <f>IFERROR(__xludf.DUMMYFUNCTION("""COMPUTED_VALUE"""),"- Новый герой: Вик, он же Призрачный Глаз. Гениальный снайпер с исключительным зрением!
- Новый геймплей: Фабрики теперь доступны в Раскопках Сокровищ! Управляйте зданиями, выполняйте заказы и производите больше продукции на фабриках!
- Герой-работник: Ра"&amp;"змещайте героев на литейных заводах и в переработчиках элементов, чтобы разблокировать их версии работников. Эти специальные работники предлагают мощные пассивные навыки для более продуктивных раскопок!
- Очереди марша: Теперь показывают здоровье войск в "&amp;"реальном времени для облегчения мониторинга и оценки боя.
- Вкладки очередей: Теперь доступно 18 вкладок для предустановки большего количества построений войск.
- Отчет оператора: Вкладка мехов в боевых отчетах теперь показывает детали оператора.
- Новая "&amp;"таблица лидеров операторов, чтобы помочь вам отслеживать развитие операторов.
- Новый геймплей: Арена Чемпионов, сезонное событие с функциями прогресса. Продвигайтесь по уровням для получения лучших наград и доминируйте на арене!
- Реликвии: Добавлено дос"&amp;"тижение силы для реликвий и функция прорыва для легендарных реликвий. Игроки на серверах, которые открыты достаточно долго, могут прорваться через свои легендарные реликвии до суперкачества.
- Новые статуи героев для Бойса, Демпси и Мэверика.
- Медкапсула"&amp;": Уничтоженные отряды теперь будут автоматически восстанавливаться после окончания Планетарной войны в зависимости от вашего уровня лечения.
- Новый мех: Рев ярости - Лев теперь доступен. Разместите этого короля битвы для значительных возможностей контрол"&amp;"я.
- Планетарные войны: Чудо-структуры теперь предлагают бонус к очкам в процентах.
- Оптимизация новостей: Больше новостей с других планет и предыдущих дней; актуальные горячие темы в реальном времени для лучшего вовлечения.
- Праздничные украшения: Возм"&amp;"ожность переработки предметов улучшения для украшения максимального уровня.
- Оптимизация перевозчиков: Теперь вы можете выбирать вкладки Эмпориума для каждого войска в перевозчике; перевозчики теперь могут использоваться для Астрального Колизея; улучшена"&amp;" логика марша с добавлением опции сопровождения для перевозчиков.
- Оптимизация Ледниковой Земли: Имена армий теперь отображаются с префиксными иконками для облегчения идентификации; интерфейс армейских мехов был оптимизирован для отображения времени разб"&amp;"локировки.
- События на Драконьем Празднике:
Бег на Драконьих Лодках: Используйте барабанные палочки, чтобы выиграть потрясающие призы, включая специальный скин города!
Счастливый Лак: Используйте Счастливые Молотки, чтобы выиграть специальный лак Орла!
Д"&amp;"раконья Тренировка: Собирайте весла, чтобы повысить уровень и получить шанс выиграть новый эффект марша - Пельменная Песенка!
Благословения Пельменей: Купите пакет, чтобы испытать удачу и получить сюрприз-награды!
Поиск Сокровищ Пельменей: Копайте за сокр"&amp;"овищами и выигрывайте награды!
Подарки на Драконьем Празднике: Выполните временные требования для покупки, чтобы выиграть призы!
Счастливая Пельменная Выпечка: Собирайте ингредиенты, чтобы приготовить пельмени и выиграть награды!")</f>
        <v>- Новый герой: Вик, он же Призрачный Глаз. Гениальный снайпер с исключительным зрением!
- Новый геймплей: Фабрики теперь доступны в Раскопках Сокровищ! Управляйте зданиями, выполняйте заказы и производите больше продукции на фабриках!
- Герой-работник: Размещайте героев на литейных заводах и в переработчиках элементов, чтобы разблокировать их версии работников. Эти специальные работники предлагают мощные пассивные навыки для более продуктивных раскопок!
- Очереди марша: Теперь показывают здоровье войск в реальном времени для облегчения мониторинга и оценки боя.
- Вкладки очередей: Теперь доступно 18 вкладок для предустановки большего количества построений войск.
- Отчет оператора: Вкладка мехов в боевых отчетах теперь показывает детали оператора.
- Новая таблица лидеров операторов, чтобы помочь вам отслеживать развитие операторов.
- Новый геймплей: Арена Чемпионов, сезонное событие с функциями прогресса. Продвигайтесь по уровням для получения лучших наград и доминируйте на арене!
- Реликвии: Добавлено достижение силы для реликвий и функция прорыва для легендарных реликвий. Игроки на серверах, которые открыты достаточно долго, могут прорваться через свои легендарные реликвии до суперкачества.
- Новые статуи героев для Бойса, Демпси и Мэверика.
- Медкапсула: Уничтоженные отряды теперь будут автоматически восстанавливаться после окончания Планетарной войны в зависимости от вашего уровня лечения.
- Новый мех: Рев ярости - Лев теперь доступен. Разместите этого короля битвы для значительных возможностей контроля.
- Планетарные войны: Чудо-структуры теперь предлагают бонус к очкам в процентах.
- Оптимизация новостей: Больше новостей с других планет и предыдущих дней; актуальные горячие темы в реальном времени для лучшего вовлечения.
- Праздничные украшения: Возможность переработки предметов улучшения для украшения максимального уровня.
- Оптимизация перевозчиков: Теперь вы можете выбирать вкладки Эмпориума для каждого войска в перевозчике; перевозчики теперь могут использоваться для Астрального Колизея; улучшена логика марша с добавлением опции сопровождения для перевозчиков.
- Оптимизация Ледниковой Земли: Имена армий теперь отображаются с префиксными иконками для облегчения идентификации; интерфейс армейских мехов был оптимизирован для отображения времени разблокировки.
- События на Драконьем Празднике:
Бег на Драконьих Лодках: Используйте барабанные палочки, чтобы выиграть потрясающие призы, включая специальный скин города!
Счастливый Лак: Используйте Счастливые Молотки, чтобы выиграть специальный лак Орла!
Драконья Тренировка: Собирайте весла, чтобы повысить уровень и получить шанс выиграть новый эффект марша - Пельменная Песенка!
Благословения Пельменей: Купите пакет, чтобы испытать удачу и получить сюрприз-награды!
Поиск Сокровищ Пельменей: Копайте за сокровищами и выигрывайте награды!
Подарки на Драконьем Празднике: Выполните временные требования для покупки, чтобы выиграть призы!
Счастливая Пельменная Выпечка: Собирайте ингредиенты, чтобы приготовить пельмени и выиграть награды!</v>
      </c>
      <c r="L56" s="148" t="str">
        <f>IFERROR(__xludf.DUMMYFUNCTION("""COMPUTED_VALUE"""),"- Yeni Savaşçı: Vic namıdiğer Hayalet Göz. Olağanüstü görüşe sahip bir dâhi keskin nişancı!
- Yeni oynanış: Hazine Kazısında artık Fabrikalar mevcut! Binaları yönetin, emirleri tamamlayın ve fabrikalarda daha fazla ürün üretin!
- Savaşçı işçi: Dökümhanele"&amp;"rde ve Element Rafinerilerinde Savaşçıları görevlendirerek işçi versiyonlarını açın. Bu özel işçiler, daha verimli kazılar için güçlü pasif beceriler sunar!
- Sefer sıraları: Artık birlik sağlığını gerçek zamanlı olarak göstererek savaş takibini ve değerl"&amp;"endirmesini kolaylaştırır.
- Sıra sekmeleri: Artık daha fazla birlik formasyonu için 18 sekme önceden ayarlanabilir.
- Operatör raporu: Savaş raporlarındaki Meka sekmesi artık operatör detaylarını gösterir.
- Yeni operatör liderlik tablosu, operatör geliş"&amp;"imini takip etmenize yardımcı olur.
- Yeni oynanış: Şampiyonlar Arenası, ilerleme özelliklerine sahip mevsimsel bir etkinlik. Daha iyi ödüller için kademenizi yükseltin ve arenada hükmedin!
- Kalıntılar: Kalıntılar için güç başarımı ve Efsanevi Kalıntılar"&amp;" için atılım özelliği eklendi. Yeterince uzun süredir açık olan sunuculardaki oyuncular, Efsanevi Kalıntılarını Süper kaliteye yükseltebilirler.
- Boyce, Dempsey ve Maverick için yeni Savaşçı Heykelleri.
- Tedavi Kapsülü: Kayıp birimler, Gezegen Savaşı so"&amp;"na erdikten sonra iyileşme oranınıza göre otomatik olarak verilecektir.
- Yeni meka: Hiddetin Kükremesi - Aslan artık mevcut. Bu savaş kralını önemli kontrol yetenekleri için gönderin.
- Gezegen Savaşları: Harika yapılar artık yüzde skor bonusu sunar.
- H"&amp;"aberler optimize edildi: Diğer gezegenlerden ve önceki günlerden daha fazla haber; daha iyi etkileşim için gerçek zamanlı popüler konular.
- Tatil süslemeleri: Maksimum seviyede bir dekorasyon için yükseltme eşyalarını dönüştürme seçeneği.
- Taşıyıcılar o"&amp;"ptimize edildi: Artık her birlik için Taşıyıcı sekmelerini seçebilirsiniz; taşıyıcılar artık Yıldız Kolezyumu için kullanılabilir; taşıyıcılar için eşlik seçeneği eklenerek sefer mantığı iyileştirildi.
- Buzul Toprağı optimize edildi: Ordu isimleri artık "&amp;"daha kolay tanımlama için ön ek simgeleriyle görüntülenir; ordu meka arayüzü, kilit açma sürelerini gösterecek şekilde optimize edildi.
- Dragon Boat Festivali etkinlikleri:
Ejderha Botu Koşusu: Harika ödüller kazanmak için Bagetleri kullanın, özel bir şe"&amp;"hir görünümü dahil!
Şanslı Lake: Özel Kartal lake kazanmak için Şanslı Çekiçleri kullanın!
Ejderha Botu Tatbikatı: Yeni sefer etkisi - Mantı Şarkı Söyleme Zamanı kazanma şansı için Kürekleri toplayarak seviye atlayın!
Mantı Bereketleri: Sürpriz ödüller iç"&amp;"in şansınızı denemek üzere paketi satın alın!
Mantı Hazine Avı: Hazineler kaz ve ödüller kazan!
Dragon Boat Festivali Hediyeleri: Zaman sınırlı satın alma gereksinimlerini karşılayarak ödüller kazanın!
Mutlu Mantı Pişirme: Bir mantı yapmak için malzemeler"&amp;"i toplayın ve ödüller kazanın!")</f>
        <v>- Yeni Savaşçı: Vic namıdiğer Hayalet Göz. Olağanüstü görüşe sahip bir dâhi keskin nişancı!
- Yeni oynanış: Hazine Kazısında artık Fabrikalar mevcut! Binaları yönetin, emirleri tamamlayın ve fabrikalarda daha fazla ürün üretin!
- Savaşçı işçi: Dökümhanelerde ve Element Rafinerilerinde Savaşçıları görevlendirerek işçi versiyonlarını açın. Bu özel işçiler, daha verimli kazılar için güçlü pasif beceriler sunar!
- Sefer sıraları: Artık birlik sağlığını gerçek zamanlı olarak göstererek savaş takibini ve değerlendirmesini kolaylaştırır.
- Sıra sekmeleri: Artık daha fazla birlik formasyonu için 18 sekme önceden ayarlanabilir.
- Operatör raporu: Savaş raporlarındaki Meka sekmesi artık operatör detaylarını gösterir.
- Yeni operatör liderlik tablosu, operatör gelişimini takip etmenize yardımcı olur.
- Yeni oynanış: Şampiyonlar Arenası, ilerleme özelliklerine sahip mevsimsel bir etkinlik. Daha iyi ödüller için kademenizi yükseltin ve arenada hükmedin!
- Kalıntılar: Kalıntılar için güç başarımı ve Efsanevi Kalıntılar için atılım özelliği eklendi. Yeterince uzun süredir açık olan sunuculardaki oyuncular, Efsanevi Kalıntılarını Süper kaliteye yükseltebilirler.
- Boyce, Dempsey ve Maverick için yeni Savaşçı Heykelleri.
- Tedavi Kapsülü: Kayıp birimler, Gezegen Savaşı sona erdikten sonra iyileşme oranınıza göre otomatik olarak verilecektir.
- Yeni meka: Hiddetin Kükremesi - Aslan artık mevcut. Bu savaş kralını önemli kontrol yetenekleri için gönderin.
- Gezegen Savaşları: Harika yapılar artık yüzde skor bonusu sunar.
- Haberler optimize edildi: Diğer gezegenlerden ve önceki günlerden daha fazla haber; daha iyi etkileşim için gerçek zamanlı popüler konular.
- Tatil süslemeleri: Maksimum seviyede bir dekorasyon için yükseltme eşyalarını dönüştürme seçeneği.
- Taşıyıcılar optimize edildi: Artık her birlik için Taşıyıcı sekmelerini seçebilirsiniz; taşıyıcılar artık Yıldız Kolezyumu için kullanılabilir; taşıyıcılar için eşlik seçeneği eklenerek sefer mantığı iyileştirildi.
- Buzul Toprağı optimize edildi: Ordu isimleri artık daha kolay tanımlama için ön ek simgeleriyle görüntülenir; ordu meka arayüzü, kilit açma sürelerini gösterecek şekilde optimize edildi.
- Dragon Boat Festivali etkinlikleri:
Ejderha Botu Koşusu: Harika ödüller kazanmak için Bagetleri kullanın, özel bir şehir görünümü dahil!
Şanslı Lake: Özel Kartal lake kazanmak için Şanslı Çekiçleri kullanın!
Ejderha Botu Tatbikatı: Yeni sefer etkisi - Mantı Şarkı Söyleme Zamanı kazanma şansı için Kürekleri toplayarak seviye atlayın!
Mantı Bereketleri: Sürpriz ödüller için şansınızı denemek üzere paketi satın alın!
Mantı Hazine Avı: Hazineler kaz ve ödüller kazan!
Dragon Boat Festivali Hediyeleri: Zaman sınırlı satın alma gereksinimlerini karşılayarak ödüller kazanın!
Mutlu Mantı Pişirme: Bir mantı yapmak için malzemeleri toplayın ve ödüller kazanın!</v>
      </c>
      <c r="M56" s="148" t="str">
        <f>IFERROR(__xludf.DUMMYFUNCTION("""COMPUTED_VALUE"""),"- Chiến Binh Mới: Vic aka Mắt Mị Ảnh. Một xạ thủ thiên tài với tầm nhìn phi thường!
- Trò chơi mới: Các nhà máy hiện đã có sẵn trong Đào Kho Báu! Quản lý công trình, hoàn thành đơn hàng, và sản xuất thêm sản phẩm trong các nhà máy!
- Công nhân Chiến Binh:"&amp;" Đóng quân Chiến Binh tại Xưởng Đúc và Lò Tinh Luyện Nguyên Tố để mở khóa phiên bản công nhân của họ. Những công nhân đặc biệt này cung cấp kỹ năng bị động mạnh mẽ để đào kho báu hiệu quả hơn!
- Hàng chờ Hành Quân: Hiện hiển thị sinh lực binh lính theo th"&amp;"ời gian thực để dễ dàng theo dõi và đánh giá trận chiến.
- Thẻ hàng chờ: Hiện có 18 thẻ để cài đặt trước nhiều đội hình binh lính hơn.
- Báo cáo điều hành: Thẻ Cơ khí trong báo cáo trận chiến hiện hiển thị chi tiết điều hành.
- Bảng xếp hạng điều hành mới"&amp;" để giúp bạn theo dõi sự phát triển của điều hành.
- Trò chơi mới: Đấu Trường Vô Địch, một sự kiện theo mùa với các tính năng tiến trình. Tiếp tục nâng cao bậc của bạn để nhận phần thưởng tốt hơn và thống trị đấu trường!
- Di Tích: Thêm thành tích sức mạn"&amp;"h cho Di Tích và tính năng đột phá cho Di Tích Huyền Thoại. Người chơi trên các máy chủ đã mở đủ lâu có thể đột phá Di Tích Huyền Thoại của họ lên chất lượng Siêu.
- Tượng Chiến Binh mới cho Boyce, Dempsey, và Maverick.
- Pod Y Tế: Đơn vị mất sẽ được cấp "&amp;"tự động sau khi Chiến Tranh Hành Tinh kết thúc dựa trên tỷ lệ chữa lành của bạn.
- Cơ khí mới: Tiếng Gầm Thịnh Nộ - Sư Tử hiện đã có sẵn. Đưa vị vua của trận chiến này vào để có khả năng kiểm soát đáng kể.
- Chiến Tranh Hành Tinh: Các cấu trúc Kỳ Quan hiệ"&amp;"n cung cấp thưởng điểm phần trăm.
- Tin tức tối ưu hóa: Nhiều tin tức từ các hành tinh khác và các ngày trước; các chủ đề nóng theo thời gian thực để tăng cường tương tác.
- Trang trí ngày lễ: Tùy chọn đổi vật phẩm nâng cấp để có trang trí cấp tối đa.
- K"&amp;"hỉ Vận Chuyển tối ưu hóa: Bạn có thể chọn thẻ Emporium cho mỗi binh lính trong khỉ vận chuyển; khỉ vận chuyển hiện có thể được sử dụng cho Đại Đấu Trường Thiên Thể; cải thiện logic hành quân với tùy chọn hộ tống được thêm vào cho khỉ vận chuyển.
- Vùng Đấ"&amp;"t Băng Hà tối ưu hóa: Tên quân đội hiện hiển thị với biểu tượng tiền tố để dễ dàng nhận diện; giao diện quân đội cơ khí đã được tối ưu hóa để hiển thị thời gian mở khóa.
- Sự kiện Lễ Hội Đua Thuyền Rồng:
Chạy Thuyền Rồng: Sử dụng Đùi Gà để giành giải thưở"&amp;"ng tuyệt vời bao gồm một giao diện thành phố đặc biệt!
Sơn Mài May Mắn: Sử dụng Búa May Mắn để giành sơn mài Đại Bàng đặc biệt!
Diễn Tập Thuyền Rồng: Thu thập Mái Chèo để thăng cấp và có cơ hội giành hiệu ứng hành quân mới - Hát Cùng Bánh Chưng!
Phúc Lành"&amp;" Bánh Chưng: Mua gói để thử vận may với phần thưởng bất ngờ!
Săn Kho Báu Bánh Chưng: Đào kho báu và giành phần thưởng!
Quà Tặng Lễ Hội Đua Thuyền Rồng: Đáp ứng yêu cầu mua giới hạn thời gian để giành giải thưởng!
Nướng Bánh Chưng Vui Vẻ: Thu thập nguyên l"&amp;"iệu để làm bánh chưng và giành phần thưởng!")</f>
        <v>- Chiến Binh Mới: Vic aka Mắt Mị Ảnh. Một xạ thủ thiên tài với tầm nhìn phi thường!
- Trò chơi mới: Các nhà máy hiện đã có sẵn trong Đào Kho Báu! Quản lý công trình, hoàn thành đơn hàng, và sản xuất thêm sản phẩm trong các nhà máy!
- Công nhân Chiến Binh: Đóng quân Chiến Binh tại Xưởng Đúc và Lò Tinh Luyện Nguyên Tố để mở khóa phiên bản công nhân của họ. Những công nhân đặc biệt này cung cấp kỹ năng bị động mạnh mẽ để đào kho báu hiệu quả hơn!
- Hàng chờ Hành Quân: Hiện hiển thị sinh lực binh lính theo thời gian thực để dễ dàng theo dõi và đánh giá trận chiến.
- Thẻ hàng chờ: Hiện có 18 thẻ để cài đặt trước nhiều đội hình binh lính hơn.
- Báo cáo điều hành: Thẻ Cơ khí trong báo cáo trận chiến hiện hiển thị chi tiết điều hành.
- Bảng xếp hạng điều hành mới để giúp bạn theo dõi sự phát triển của điều hành.
- Trò chơi mới: Đấu Trường Vô Địch, một sự kiện theo mùa với các tính năng tiến trình. Tiếp tục nâng cao bậc của bạn để nhận phần thưởng tốt hơn và thống trị đấu trường!
- Di Tích: Thêm thành tích sức mạnh cho Di Tích và tính năng đột phá cho Di Tích Huyền Thoại. Người chơi trên các máy chủ đã mở đủ lâu có thể đột phá Di Tích Huyền Thoại của họ lên chất lượng Siêu.
- Tượng Chiến Binh mới cho Boyce, Dempsey, và Maverick.
- Pod Y Tế: Đơn vị mất sẽ được cấp tự động sau khi Chiến Tranh Hành Tinh kết thúc dựa trên tỷ lệ chữa lành của bạn.
- Cơ khí mới: Tiếng Gầm Thịnh Nộ - Sư Tử hiện đã có sẵn. Đưa vị vua của trận chiến này vào để có khả năng kiểm soát đáng kể.
- Chiến Tranh Hành Tinh: Các cấu trúc Kỳ Quan hiện cung cấp thưởng điểm phần trăm.
- Tin tức tối ưu hóa: Nhiều tin tức từ các hành tinh khác và các ngày trước; các chủ đề nóng theo thời gian thực để tăng cường tương tác.
- Trang trí ngày lễ: Tùy chọn đổi vật phẩm nâng cấp để có trang trí cấp tối đa.
- Khỉ Vận Chuyển tối ưu hóa: Bạn có thể chọn thẻ Emporium cho mỗi binh lính trong khỉ vận chuyển; khỉ vận chuyển hiện có thể được sử dụng cho Đại Đấu Trường Thiên Thể; cải thiện logic hành quân với tùy chọn hộ tống được thêm vào cho khỉ vận chuyển.
- Vùng Đất Băng Hà tối ưu hóa: Tên quân đội hiện hiển thị với biểu tượng tiền tố để dễ dàng nhận diện; giao diện quân đội cơ khí đã được tối ưu hóa để hiển thị thời gian mở khóa.
- Sự kiện Lễ Hội Đua Thuyền Rồng:
Chạy Thuyền Rồng: Sử dụng Đùi Gà để giành giải thưởng tuyệt vời bao gồm một giao diện thành phố đặc biệt!
Sơn Mài May Mắn: Sử dụng Búa May Mắn để giành sơn mài Đại Bàng đặc biệt!
Diễn Tập Thuyền Rồng: Thu thập Mái Chèo để thăng cấp và có cơ hội giành hiệu ứng hành quân mới - Hát Cùng Bánh Chưng!
Phúc Lành Bánh Chưng: Mua gói để thử vận may với phần thưởng bất ngờ!
Săn Kho Báu Bánh Chưng: Đào kho báu và giành phần thưởng!
Quà Tặng Lễ Hội Đua Thuyền Rồng: Đáp ứng yêu cầu mua giới hạn thời gian để giành giải thưởng!
Nướng Bánh Chưng Vui Vẻ: Thu thập nguyên liệu để làm bánh chưng và giành phần thưởng!</v>
      </c>
      <c r="N56" s="108" t="str">
        <f>IFERROR(__xludf.DUMMYFUNCTION("""COMPUTED_VALUE"""),"- Nuovo Combattente: Vic alias Occhio Fantasma. Un cecchino geniale con una visione straordinaria!
- Nuovo gameplay: Le fabbriche sono ora disponibili in Scavi del Tesoro! Gestisci edifici, completa ordini e produci più prodotti nelle fabbriche!
- Lavorat"&amp;"ore combattente: Presidia i Combattenti nelle Fonderie e nei Raffinatori di Elementi per sbloccare le loro versioni lavorative. Questi lavoratori speciali offrono potenti abilità passive per scavi più produttivi!
- Code di marcia: Ora mostra la salute del"&amp;"le truppe in tempo reale per un monitoraggio e una valutazione della battaglia più facili.
- Schede delle code: Ora ci sono 18 schede per preimpostare più formazioni di truppe.
- Rapporto operatore: La scheda Mech nei rapporti di battaglia ora mostra i de"&amp;"ttagli dell'operatore.
- Nuova classifica operatori per aiutarti a monitorare lo sviluppo degli operatori.
- Nuovo gameplay: Arena dei Campioni, un evento stagionale con caratteristiche di progressione. Continua ad avanzare nella tua classe per ottenere m"&amp;"igliori ricompense e dominare l'arena!
- Reliquie: Aggiunto il raggiungimento di potenza per le Reliquie e la funzione di svolta per le Reliquie Leggendarie. I giocatori sui server aperti da abbastanza tempo possono superare le loro Reliquie Leggendarie p"&amp;"er ottenere una qualità Super.
- Nuove Statue dei Combattenti per Boyce, Dempsey e Maverick.
- Capsula medica: Le unità perse verranno ora rilasciate automaticamente dopo la fine della Guerra Planetaria in base al tuo tasso di guarigione.
- Nuovo mech: Ru"&amp;"ggito di Furia - Leone è ora disponibile. Schiera questo re della battaglia per capacità di controllo significative.
- Guerre planetarie: Le strutture Meraviglia ora offrono un bonus percentuale al punteggio.
- Notizie ottimizzate: Più notizie da altri pi"&amp;"aneti e giorni precedenti; argomenti caldi in tempo reale per un migliore coinvolgimento.
- Decorazioni festive: Opzione per convertire gli oggetti di potenziamento in una decorazione di livello massimo.
- Trasportatori ottimizzati: Ora puoi selezionare l"&amp;"e schede dell'Emporio per ogni truppa nel trasportatore; i trasportatori possono ora essere utilizzati per il Colosseo Astrale; logica di marcia migliorata con opzione di scorta aggiunta per i trasportatori.
- Terra Glaciale ottimizzata: I nomi degli eser"&amp;"citi ora vengono visualizzati con icone di prefisso per una più facile identificazione; l'interfaccia dell'esercito mech è stata ottimizzata per mostrare i tempi di sblocco.
- Eventi del Festival della Barca del Drago:
Corsa della Barca del Drago: Usa i B"&amp;"astoncini di Tamburo per vincere fantastici premi, inclusa una skin speciale per la città!
Lacca Fortunata: Usa i Martelli Fortunati per vincere la speciale lacca Aquila!
Esercitazione della Barca del Drago: Raccogli Remi per aumentare di livello e avere "&amp;"la possibilità di vincere il nuovo effetto di marcia - Canta Insieme agli Involtini!
Benedizioni degli Involtini: Acquista il pacchetto per tentare la fortuna con ricompense a sorpresa!
Caccia al Tesoro degli Involtini: Scava alla ricerca di tesori e vinc"&amp;"i ricompense!
Regali del Festival della Barca del Drago: Soddisfa i requisiti di acquisto a tempo limitato per vincere premi!
Felice Cottura degli Involtini: Raccogli ingredienti per fare un involtino e vinci ricompense!")</f>
        <v>- Nuovo Combattente: Vic alias Occhio Fantasma. Un cecchino geniale con una visione straordinaria!
- Nuovo gameplay: Le fabbriche sono ora disponibili in Scavi del Tesoro! Gestisci edifici, completa ordini e produci più prodotti nelle fabbriche!
- Lavoratore combattente: Presidia i Combattenti nelle Fonderie e nei Raffinatori di Elementi per sbloccare le loro versioni lavorative. Questi lavoratori speciali offrono potenti abilità passive per scavi più produttivi!
- Code di marcia: Ora mostra la salute delle truppe in tempo reale per un monitoraggio e una valutazione della battaglia più facili.
- Schede delle code: Ora ci sono 18 schede per preimpostare più formazioni di truppe.
- Rapporto operatore: La scheda Mech nei rapporti di battaglia ora mostra i dettagli dell'operatore.
- Nuova classifica operatori per aiutarti a monitorare lo sviluppo degli operatori.
- Nuovo gameplay: Arena dei Campioni, un evento stagionale con caratteristiche di progressione. Continua ad avanzare nella tua classe per ottenere migliori ricompense e dominare l'arena!
- Reliquie: Aggiunto il raggiungimento di potenza per le Reliquie e la funzione di svolta per le Reliquie Leggendarie. I giocatori sui server aperti da abbastanza tempo possono superare le loro Reliquie Leggendarie per ottenere una qualità Super.
- Nuove Statue dei Combattenti per Boyce, Dempsey e Maverick.
- Capsula medica: Le unità perse verranno ora rilasciate automaticamente dopo la fine della Guerra Planetaria in base al tuo tasso di guarigione.
- Nuovo mech: Ruggito di Furia - Leone è ora disponibile. Schiera questo re della battaglia per capacità di controllo significative.
- Guerre planetarie: Le strutture Meraviglia ora offrono un bonus percentuale al punteggio.
- Notizie ottimizzate: Più notizie da altri pianeti e giorni precedenti; argomenti caldi in tempo reale per un migliore coinvolgimento.
- Decorazioni festive: Opzione per convertire gli oggetti di potenziamento in una decorazione di livello massimo.
- Trasportatori ottimizzati: Ora puoi selezionare le schede dell'Emporio per ogni truppa nel trasportatore; i trasportatori possono ora essere utilizzati per il Colosseo Astrale; logica di marcia migliorata con opzione di scorta aggiunta per i trasportatori.
- Terra Glaciale ottimizzata: I nomi degli eserciti ora vengono visualizzati con icone di prefisso per una più facile identificazione; l'interfaccia dell'esercito mech è stata ottimizzata per mostrare i tempi di sblocco.
- Eventi del Festival della Barca del Drago:
Corsa della Barca del Drago: Usa i Bastoncini di Tamburo per vincere fantastici premi, inclusa una skin speciale per la città!
Lacca Fortunata: Usa i Martelli Fortunati per vincere la speciale lacca Aquila!
Esercitazione della Barca del Drago: Raccogli Remi per aumentare di livello e avere la possibilità di vincere il nuovo effetto di marcia - Canta Insieme agli Involtini!
Benedizioni degli Involtini: Acquista il pacchetto per tentare la fortuna con ricompense a sorpresa!
Caccia al Tesoro degli Involtini: Scava alla ricerca di tesori e vinci ricompense!
Regali del Festival della Barca del Drago: Soddisfa i requisiti di acquisto a tempo limitato per vincere premi!
Felice Cottura degli Involtini: Raccogli ingredienti per fare un involtino e vinci ricompense!</v>
      </c>
      <c r="O56" s="148" t="str">
        <f>IFERROR(__xludf.DUMMYFUNCTION("""COMPUTED_VALUE"""),"- Nowy Wojownik: Vic aka Oko Widma. Geniusz snajper o niezwykłym wzroku!
- Nowa rozgrywka: Fabryki są teraz dostępne w Wykopaliskach Skarbów! Zarządzaj budynkami, realizuj zamówienia i produkuj więcej produktów w fabrykach!
- Wojownik pracownik: Stacjonuj"&amp;" Wojowników w Odlewniach i Rafineriach Żywiołów, aby odblokować ich wersje pracowników. Ci specjalni pracownicy oferują potężne umiejętności pasywne dla bardziej produktywnych wykopalisk!
- Kolejki marszu: Teraz pokazuje zdrowie oddziałów w czasie rzeczyw"&amp;"istym dla łatwiejszego monitorowania i oceny bitwy.
- Karty kolejek: Teraz dostępnych jest 18 kart do ustawienia wstępnych formacji oddziałów.
- Raport operatora: Karta Mech w raportach z bitwy teraz pokazuje szczegóły operatora.
- Nowa tablica wyników op"&amp;"eratora, aby pomóc śledzić rozwój operatora.
- Nowa rozgrywka: Arena Mistrzów, sezonowe wydarzenie z funkcjami postępu. Kontynuuj awansowanie swojego poziomu dla lepszych nagród i dominuj na arenie!
- Relikty: Dodano osiągnięcie mocy dla Reliktów i funkcj"&amp;"ę przełomu dla Legendarnych Reliktów. Gracze na serwerach, które są otwarte wystarczająco długo, mogą przełamać swoje Legendarne Relikty do jakości Super.
- Nowe Pomniki Wojowników dla Boyce'a, Dempsey'a i Mavericka.
- Kapsuła medyczna: Utracone jednostki"&amp;" będą teraz automatycznie przydzielane po zakończeniu Wojny Planet na podstawie twojego wskaźnika leczenia.
- Nowy mech: Ryk Furii - Lew jest teraz dostępny. Rozmieść tego króla bitwy dla znaczących zdolności kontrolnych.
- Wojny planet: Struktury cudów t"&amp;"eraz oferują procentową premię do wyniku.
- Wiadomości zoptymalizowane: Więcej wiadomości z innych planet i poprzednich dni; tematy na czasie w czasie rzeczywistym dla lepszego zaangażowania.
- Dekoracje świąteczne: Opcja zamiany przedmiotów do ulepszeń n"&amp;"a dekorację na maksymalnym poziomie.
- Transportowce zoptymalizowane: Możesz teraz wybrać karty Emporium dla każdego oddziału w transportowcu; transportowce mogą być teraz używane w Gwiezdnym Koloseum; ulepszona logika marszu z dodaną opcją eskorty dla tr"&amp;"ansportowców.
- Lodowa Kraina zoptymalizowana: Nazwy armii teraz wyświetlają się z ikonami prefiksów dla łatwiejszej identyfikacji; interfejs armii mech został zoptymalizowany, aby pokazywać czasy odblokowania.
- Wydarzenia Festiwalu Smoczych Łodzi:
Bieg "&amp;"Smoczych Łodzi: Użyj Pałek, aby wygrać niesamowite nagrody, w tym specjalną skórkę miasta!
Szczęśliwy Lakier: Użyj Szczęśliwych Młotów, aby wygrać specjalny lakier Orła!
Ćwiczenia Smoczych Łodzi: Zbieraj Wiosła, aby zwiększyć poziom i mieć szansę wygrać n"&amp;"owy efekt marszu - Śpiewanie Pierożków!
Błogosławieństwa Pierożków: Kup paczkę, aby spróbować szczęścia w niespodziankowych nagrodach!
Polowanie na Skarby Pierożków: Kop w poszukiwaniu skarbów i wygrywaj nagrody!
Prezenty z Festiwalu Smoczych Łodzi: Spełn"&amp;"ij wymagania dotyczące zakupu na czas, aby wygrać nagrody!
Szczęśliwe Pieczenie Pierożków: Zbieraj składniki, aby zrobić pierożka i wygrać nagrody!")</f>
        <v>- Nowy Wojownik: Vic aka Oko Widma. Geniusz snajper o niezwykłym wzroku!
- Nowa rozgrywka: Fabryki są teraz dostępne w Wykopaliskach Skarbów! Zarządzaj budynkami, realizuj zamówienia i produkuj więcej produktów w fabrykach!
- Wojownik pracownik: Stacjonuj Wojowników w Odlewniach i Rafineriach Żywiołów, aby odblokować ich wersje pracowników. Ci specjalni pracownicy oferują potężne umiejętności pasywne dla bardziej produktywnych wykopalisk!
- Kolejki marszu: Teraz pokazuje zdrowie oddziałów w czasie rzeczywistym dla łatwiejszego monitorowania i oceny bitwy.
- Karty kolejek: Teraz dostępnych jest 18 kart do ustawienia wstępnych formacji oddziałów.
- Raport operatora: Karta Mech w raportach z bitwy teraz pokazuje szczegóły operatora.
- Nowa tablica wyników operatora, aby pomóc śledzić rozwój operatora.
- Nowa rozgrywka: Arena Mistrzów, sezonowe wydarzenie z funkcjami postępu. Kontynuuj awansowanie swojego poziomu dla lepszych nagród i dominuj na arenie!
- Relikty: Dodano osiągnięcie mocy dla Reliktów i funkcję przełomu dla Legendarnych Reliktów. Gracze na serwerach, które są otwarte wystarczająco długo, mogą przełamać swoje Legendarne Relikty do jakości Super.
- Nowe Pomniki Wojowników dla Boyce'a, Dempsey'a i Mavericka.
- Kapsuła medyczna: Utracone jednostki będą teraz automatycznie przydzielane po zakończeniu Wojny Planet na podstawie twojego wskaźnika leczenia.
- Nowy mech: Ryk Furii - Lew jest teraz dostępny. Rozmieść tego króla bitwy dla znaczących zdolności kontrolnych.
- Wojny planet: Struktury cudów teraz oferują procentową premię do wyniku.
- Wiadomości zoptymalizowane: Więcej wiadomości z innych planet i poprzednich dni; tematy na czasie w czasie rzeczywistym dla lepszego zaangażowania.
- Dekoracje świąteczne: Opcja zamiany przedmiotów do ulepszeń na dekorację na maksymalnym poziomie.
- Transportowce zoptymalizowane: Możesz teraz wybrać karty Emporium dla każdego oddziału w transportowcu; transportowce mogą być teraz używane w Gwiezdnym Koloseum; ulepszona logika marszu z dodaną opcją eskorty dla transportowców.
- Lodowa Kraina zoptymalizowana: Nazwy armii teraz wyświetlają się z ikonami prefiksów dla łatwiejszej identyfikacji; interfejs armii mech został zoptymalizowany, aby pokazywać czasy odblokowania.
- Wydarzenia Festiwalu Smoczych Łodzi:
Bieg Smoczych Łodzi: Użyj Pałek, aby wygrać niesamowite nagrody, w tym specjalną skórkę miasta!
Szczęśliwy Lakier: Użyj Szczęśliwych Młotów, aby wygrać specjalny lakier Orła!
Ćwiczenia Smoczych Łodzi: Zbieraj Wiosła, aby zwiększyć poziom i mieć szansę wygrać nowy efekt marszu - Śpiewanie Pierożków!
Błogosławieństwa Pierożków: Kup paczkę, aby spróbować szczęścia w niespodziankowych nagrodach!
Polowanie na Skarby Pierożków: Kop w poszukiwaniu skarbów i wygrywaj nagrody!
Prezenty z Festiwalu Smoczych Łodzi: Spełnij wymagania dotyczące zakupu na czas, aby wygrać nagrody!
Szczęśliwe Pieczenie Pierożków: Zbieraj składniki, aby zrobić pierożka i wygrać nagrody!</v>
      </c>
      <c r="P56" s="148" t="str">
        <f>IFERROR(__xludf.DUMMYFUNCTION("""COMPUTED_VALUE"""),"- مقاتل جديد: فيك المعروف باسم عين الشبح. قناص عبقري ذو رؤية استثنائية!
- طريقة لعب جديدة: المصانع متوفرة الآن في حفر الكنوز! إدارة المباني، إكمال الأوامر، وصنع المزيد من المنتجات في المصانع!
- عامل المقاتل: تمركز المقاتلين في المصاهر ومصافي العناصر لفتح "&amp;"نسخهم كعمال. هؤلاء العمال الخاصون يقدمون مهارات سلبية قوية لحفريات أكثر إنتاجية!
- طوابير المسيرة: الآن تعرض صحة القوات في الوقت الحقيقي لتسهيل مراقبة المعركة والتقييم.
- علامات التبويب للطوابير: هناك الآن 18 علامة تبويب لإعداد المزيد من تشكيلات القوات مس"&amp;"بقًا.
- تقرير المشغل: علامة تبويب الميكا في تقارير المعركة تعرض الآن تفاصيل المشغل.
- لوحة تصنيف المشغل الجديدة لمساعدتك في تتبع تطوير المشغل.
- طريقة لعب جديدة: حلبة الأبطال، حدث موسمي بميزات تقدم. استمر في التقدم في المستوى للحصول على مكافآت أفضل والسيط"&amp;"رة على الحلبة!
- المقتنيات: تمت إضافة إنجاز القوة للمقتنيات وميزة الاختراق للمقتنيات الأسطورية. يمكن للاعبين في السيرفرات التي تم فتحها لفترة كافية اختراق مقتنياتهم الأسطورية إلى جودة فائقة.
- تماثيل المقاتلين الجديدة لبويز، ديمبسي، ومافريك.
- محطة الإسعا"&amp;"فات: سيتم إصدار الوحدات المفقودة تلقائيًا بعد انتهاء حرب الكوكب بناءً على معدل الشفاء الخاص بك.
- ميكا جديد: زئير الغضب - الأسد متوفر الآن. انشر هذا الملك في المعركة للحصول على قدرات تحكم كبيرة.
- حروب الكوكب: الهياكل العجيبة تقدم الآن مكافأة نسبة النقاط."&amp;"
- الأخبار المحسنة: المزيد من الأخبار من الكواكب الأخرى والأيام السابقة؛ مواضيع ساخنة في الوقت الحقيقي لمشاركة أفضل.
- الزينة الاحتفالية: خيار لتحويل عناصر الترقية إلى زينة بمستوى أقصى.
- الناقلات المحسنة: يمكنك الآن اختيار علامات تبويب الإمبوريوم لكل قوة"&amp;" في الناقلة؛ يمكن استخدام الناقلات الآن في مدرج النجوم؛ تحسين منطق المسيرة مع إضافة خيار المرافقة للناقلات.
- أرض الأنهار الجليدية المحسنة: أسماء الجيش الآن تعرض مع أيقونات البادئة لتسهيل التعرف؛ تم تحسين واجهة الجيش الميكا لعرض أوقات الفتح.
- أحداث مهرجا"&amp;"ن قارب التنين:
عداء قارب التنين: استخدم أفخاذ الدجاج للفوز بجوائز رائعة بما في ذلك جلد مدينة خاص!
لاكيه الحظ: استخدم مطارق الحظ للفوز باللاكيه الخاص بالنسر!
تدريب قارب التنين: جمع المجاديف لرفع المستوى للحصول على فرصة للفوز بتأثير المسيرة الجديد - غناء ال"&amp;"كعك الجماعي!
بركات الكعك: اشترِ الحزمة لتجربة حظك في المكافآت المفاجئة!
صيد كنوز الكعك: احفر للبحث عن الكنوز واربح المكافآت!
هدايا مهرجان قارب التنين: تلبية متطلبات الشراء المحدودة زمنياً للفوز بالجوائز!
خبز الكعك السعيد: جمع المكونات لصنع الكعك والفوز با"&amp;"لمكافآت!")</f>
        <v>- مقاتل جديد: فيك المعروف باسم عين الشبح. قناص عبقري ذو رؤية استثنائية!
- طريقة لعب جديدة: المصانع متوفرة الآن في حفر الكنوز! إدارة المباني، إكمال الأوامر، وصنع المزيد من المنتجات في المصانع!
- عامل المقاتل: تمركز المقاتلين في المصاهر ومصافي العناصر لفتح نسخهم كعمال. هؤلاء العمال الخاصون يقدمون مهارات سلبية قوية لحفريات أكثر إنتاجية!
- طوابير المسيرة: الآن تعرض صحة القوات في الوقت الحقيقي لتسهيل مراقبة المعركة والتقييم.
- علامات التبويب للطوابير: هناك الآن 18 علامة تبويب لإعداد المزيد من تشكيلات القوات مسبقًا.
- تقرير المشغل: علامة تبويب الميكا في تقارير المعركة تعرض الآن تفاصيل المشغل.
- لوحة تصنيف المشغل الجديدة لمساعدتك في تتبع تطوير المشغل.
- طريقة لعب جديدة: حلبة الأبطال، حدث موسمي بميزات تقدم. استمر في التقدم في المستوى للحصول على مكافآت أفضل والسيطرة على الحلبة!
- المقتنيات: تمت إضافة إنجاز القوة للمقتنيات وميزة الاختراق للمقتنيات الأسطورية. يمكن للاعبين في السيرفرات التي تم فتحها لفترة كافية اختراق مقتنياتهم الأسطورية إلى جودة فائقة.
- تماثيل المقاتلين الجديدة لبويز، ديمبسي، ومافريك.
- محطة الإسعافات: سيتم إصدار الوحدات المفقودة تلقائيًا بعد انتهاء حرب الكوكب بناءً على معدل الشفاء الخاص بك.
- ميكا جديد: زئير الغضب - الأسد متوفر الآن. انشر هذا الملك في المعركة للحصول على قدرات تحكم كبيرة.
- حروب الكوكب: الهياكل العجيبة تقدم الآن مكافأة نسبة النقاط.
- الأخبار المحسنة: المزيد من الأخبار من الكواكب الأخرى والأيام السابقة؛ مواضيع ساخنة في الوقت الحقيقي لمشاركة أفضل.
- الزينة الاحتفالية: خيار لتحويل عناصر الترقية إلى زينة بمستوى أقصى.
- الناقلات المحسنة: يمكنك الآن اختيار علامات تبويب الإمبوريوم لكل قوة في الناقلة؛ يمكن استخدام الناقلات الآن في مدرج النجوم؛ تحسين منطق المسيرة مع إضافة خيار المرافقة للناقلات.
- أرض الأنهار الجليدية المحسنة: أسماء الجيش الآن تعرض مع أيقونات البادئة لتسهيل التعرف؛ تم تحسين واجهة الجيش الميكا لعرض أوقات الفتح.
- أحداث مهرجان قارب التنين:
عداء قارب التنين: استخدم أفخاذ الدجاج للفوز بجوائز رائعة بما في ذلك جلد مدينة خاص!
لاكيه الحظ: استخدم مطارق الحظ للفوز باللاكيه الخاص بالنسر!
تدريب قارب التنين: جمع المجاديف لرفع المستوى للحصول على فرصة للفوز بتأثير المسيرة الجديد - غناء الكعك الجماعي!
بركات الكعك: اشترِ الحزمة لتجربة حظك في المكافآت المفاجئة!
صيد كنوز الكعك: احفر للبحث عن الكنوز واربح المكافآت!
هدايا مهرجان قارب التنين: تلبية متطلبات الشراء المحدودة زمنياً للفوز بالجوائز!
خبز الكعك السعيد: جمع المكونات لصنع الكعك والفوز بالمكافآت!</v>
      </c>
      <c r="Q56" s="148" t="str">
        <f>IFERROR(__xludf.DUMMYFUNCTION("""COMPUTED_VALUE"""),"- 新しいファイター: ヴィック別名ファントムアイ。驚異的な視力を持つ天才スナイパー！
- 新しいプレイデータ: 宝探しの旅に工場が利用可能になりました！建物を管理し、注文を完了し、工場でより多くの製品を作りましょう！
- ファイター労働者: 鋳造所や元素精製機にファイターを駐屯させて、彼らの労働者バージョンをアンロックしましょう。これらの特別な労働者は、より生産的な掘削のための強力なパッシブスキルを提供します！
- 行軍スロット: 戦闘の監視と評価を容易にするために、部隊のHPがリアルタイムで表示される"&amp;"ようになりました。
- キュータブ: より多くの部隊編成をプリセットするために、18個のタブが追加されました。
- オペレーター報告書: 戦闘報告書のメカタブにオペレーターの詳細が表示されるようになりました。
- 新しいオペレーターリーダーボードで、オペレーターの発展を追跡できます。
- 新しいプレイデータ: チャンピオンのアリーナ、進行機能を備えたシーズンイベント。ティアを進めてより良い報酬を獲得し、アリーナを支配しましょう！
- 遺物: 遺物の戦力達成度とレジェンダリー遺物の突破機能が追加されました。"&amp;"サーバーが十分に開かれているプレイヤーは、レジェンダリー遺物をスーパー品質に突破することができます。
- ボイス、デンプシー、マーヴェリックの新しいファイターの像。
- 医療ポッド: プラネットウォーズ終了後、治療率に基づいて戦闘不能ユニットが自動的に発行されます。
- 新しいメカ: フューリーの咆哮 - ライオンが利用可能になりました。この戦闘の王を配置して、重要なコントロール能力を発揮しましょう。
- プラネットウォーズ: ワンダー構造物がスコアボーナスの割合を提供するようになりました。
- ニュース"&amp;"の最適化: 他の惑星や前日のニュースが増え、リアルタイムのホットトピックでより良いエンゲージメントが可能になりました。
- ホリデー装飾品: アップグレードアイテムを最大レベルの装飾品に変換するオプション。
- キャリアの最適化: 各部隊のエンポリウムタブを選択できるようになり、キャリアはアストラルコロシアムで使用可能になりました。護衛オプションが追加され、行軍ロジックが改善されました。
- 氷河の土地の最適化: 軍団名が識別しやすいようにプレフィックスアイコンと共に表示されるようになり、軍団メカのインタ"&amp;"ーフェースがアンロック時間を表示するように最適化されました。
- 龍舟フェスティバルイベント:
ドラゴンボートラン: ドラムスティックを使って、特別な都市スキンを含む素晴らしい賞品を獲得しましょう！
ラッキー漆製品: ラッキーハンマーを使って特別なイーグル漆製品を獲得しましょう！
ドラゴンボートドリル: オールを集めてレベルアップし、新しい行軍エフェクト - ちまきシングアロングを獲得するチャンスを得ましょう！
ちまきの祝福: パックを購入して、サプライズ報酬に挑戦しましょう！
ちまきの宝探しの旅: 宝物"&amp;"を掘り出して報酬を獲得しましょう！
ドラゴンボートフェスティバルギフト: 時間限定の購入要件を満たして賞品を獲得しましょう！
楽しいちまきパーティー: 材料を集めてちまきを作り、報酬を獲得しましょう！")</f>
        <v>- 新しいファイター: ヴィック別名ファントムアイ。驚異的な視力を持つ天才スナイパー！
- 新しいプレイデータ: 宝探しの旅に工場が利用可能になりました！建物を管理し、注文を完了し、工場でより多くの製品を作りましょう！
- ファイター労働者: 鋳造所や元素精製機にファイターを駐屯させて、彼らの労働者バージョンをアンロックしましょう。これらの特別な労働者は、より生産的な掘削のための強力なパッシブスキルを提供します！
- 行軍スロット: 戦闘の監視と評価を容易にするために、部隊のHPがリアルタイムで表示されるようになりました。
- キュータブ: より多くの部隊編成をプリセットするために、18個のタブが追加されました。
- オペレーター報告書: 戦闘報告書のメカタブにオペレーターの詳細が表示されるようになりました。
- 新しいオペレーターリーダーボードで、オペレーターの発展を追跡できます。
- 新しいプレイデータ: チャンピオンのアリーナ、進行機能を備えたシーズンイベント。ティアを進めてより良い報酬を獲得し、アリーナを支配しましょう！
- 遺物: 遺物の戦力達成度とレジェンダリー遺物の突破機能が追加されました。サーバーが十分に開かれているプレイヤーは、レジェンダリー遺物をスーパー品質に突破することができます。
- ボイス、デンプシー、マーヴェリックの新しいファイターの像。
- 医療ポッド: プラネットウォーズ終了後、治療率に基づいて戦闘不能ユニットが自動的に発行されます。
- 新しいメカ: フューリーの咆哮 - ライオンが利用可能になりました。この戦闘の王を配置して、重要なコントロール能力を発揮しましょう。
- プラネットウォーズ: ワンダー構造物がスコアボーナスの割合を提供するようになりました。
- ニュースの最適化: 他の惑星や前日のニュースが増え、リアルタイムのホットトピックでより良いエンゲージメントが可能になりました。
- ホリデー装飾品: アップグレードアイテムを最大レベルの装飾品に変換するオプション。
- キャリアの最適化: 各部隊のエンポリウムタブを選択できるようになり、キャリアはアストラルコロシアムで使用可能になりました。護衛オプションが追加され、行軍ロジックが改善されました。
- 氷河の土地の最適化: 軍団名が識別しやすいようにプレフィックスアイコンと共に表示されるようになり、軍団メカのインターフェースがアンロック時間を表示するように最適化されました。
- 龍舟フェスティバルイベント:
ドラゴンボートラン: ドラムスティックを使って、特別な都市スキンを含む素晴らしい賞品を獲得しましょう！
ラッキー漆製品: ラッキーハンマーを使って特別なイーグル漆製品を獲得しましょう！
ドラゴンボートドリル: オールを集めてレベルアップし、新しい行軍エフェクト - ちまきシングアロングを獲得するチャンスを得ましょう！
ちまきの祝福: パックを購入して、サプライズ報酬に挑戦しましょう！
ちまきの宝探しの旅: 宝物を掘り出して報酬を獲得しましょう！
ドラゴンボートフェスティバルギフト: 時間限定の購入要件を満たして賞品を獲得しましょう！
楽しいちまきパーティー: 材料を集めてちまきを作り、報酬を獲得しましょう！</v>
      </c>
      <c r="R56" s="148" t="str">
        <f>IFERROR(__xludf.DUMMYFUNCTION("""COMPUTED_VALUE"""),"- 새로운 전사: 빅 일명 팬텀 아이. 비범한 시력을 가진 천재 저격수!
- 새로운 게임플레이: 이제 보물찾기에서 공장이 사용 가능합니다! 건물을 관리하고, 주문을 완료하고, 공장에서 더 많은 제품을 만드세요!
- 전사 작업자: 주조소와 원소 정련기에 전사를 주둔시켜 작업자 버전을 잠금 해제하세요. 이 특별한 작업자들은 더 생산적인 굴착을 위한 강력한 패시브 스킬을 제공합니다!
- 행군 대기열: 이제 전투 모니터링과 평가를 쉽게 하기 위해 실시간으로 부"&amp;"대 체력을 표시합니다.
- 대기열 탭: 이제 더 많은 부대 진형을 프리셋할 수 있도록 18개의 탭이 있습니다.
- 운영자 보고서: 전투 보고서의 메카 탭에 이제 운영자 세부 사항이 표시됩니다.
- 새로운 운영자 리더보드로 운영자 개발을 추적할 수 있습니다.
- 새로운 게임플레이: 챔피언의 아레나, 진행 기능이 있는 계절 이벤트. 더 나은 보상을 위해 티어를 계속 올리고 아레나를 지배하세요!
- 유물: 유물에 대한 전투력 성과와 전설적인 유물에 대한 돌파"&amp;" 기능이 추가되었습니다. 오픈된 지 오래된 서버의 플레이어는 전설적인 유물을 슈퍼 품질로 돌파할 수 있습니다.
- 보이스, 뎀프시, 메버릭을 위한 새로운 전사 석상.
- 에어드랍 구호소: 은하 전쟁이 끝난 후 치유율에 따라 전사한 유닛이 자동으로 발급됩니다.
- 새로운 메카: 분노의 포효 - 사자가 이제 사용 가능합니다. 이 전투의 왕을 배치하여 중요한 제어 능력을 발휘하세요.
- 은하 전쟁: 원더 구조물이 이제 점수 보너스를 제공합니다.
- 뉴스 최적"&amp;"화: 다른 행성과 이전 날의 더 많은 뉴스; 더 나은 참여를 위한 실시간 핫토픽.
- 휴일 장식: 최대 레벨 장식을 위해 업그레이드 아이템을 변환하는 옵션.
- 운반선 최적화: 이제 각 부대에 대해 엠포리움 탭을 선택할 수 있습니다; 운반선은 이제 별의 사투에 사용할 수 있습니다; 호위 옵션이 추가된 행군 논리 개선.
- 빙하 땅 최적화: 군단 이름이 더 쉽게 식별할 수 있도록 접두사 아이콘과 함께 표시됩니다; 군단 메카 인터페이스가 잠금 해제 시간을 "&amp;"표시하도록 최적화되었습니다.
- 드래곤 보트 축제 이벤트:
드래곤 보트 러닝: 드럼스틱을 사용하여 특별 도시 스킨을 포함한 멋진 상품을 획득하세요!
행운의 래커: 행운의 망치를 사용하여 특별한 독수리 래커를 획득하세요!
드래곤 보트 드릴: 노를 모아 레벨을 올리고 새로운 행군 이펙트 - 만두 노래자랑을 획득할 기회를 잡으세요!
만두 축복: 팩을 구매하여 깜짝 보상을 시도해보세요!
연잎밥 보물찾기 여행: 보물을 캐서 보상을 획득하세요!
드래곤 보트 축제 "&amp;"선물: 시간 제한 구매 요구 사항을 충족하여 상품을 획득하세요!
즐거운 단오: 재료를 모아 만두를 만들어 보상을 획득하세요!")</f>
        <v>- 새로운 전사: 빅 일명 팬텀 아이. 비범한 시력을 가진 천재 저격수!
- 새로운 게임플레이: 이제 보물찾기에서 공장이 사용 가능합니다! 건물을 관리하고, 주문을 완료하고, 공장에서 더 많은 제품을 만드세요!
- 전사 작업자: 주조소와 원소 정련기에 전사를 주둔시켜 작업자 버전을 잠금 해제하세요. 이 특별한 작업자들은 더 생산적인 굴착을 위한 강력한 패시브 스킬을 제공합니다!
- 행군 대기열: 이제 전투 모니터링과 평가를 쉽게 하기 위해 실시간으로 부대 체력을 표시합니다.
- 대기열 탭: 이제 더 많은 부대 진형을 프리셋할 수 있도록 18개의 탭이 있습니다.
- 운영자 보고서: 전투 보고서의 메카 탭에 이제 운영자 세부 사항이 표시됩니다.
- 새로운 운영자 리더보드로 운영자 개발을 추적할 수 있습니다.
- 새로운 게임플레이: 챔피언의 아레나, 진행 기능이 있는 계절 이벤트. 더 나은 보상을 위해 티어를 계속 올리고 아레나를 지배하세요!
- 유물: 유물에 대한 전투력 성과와 전설적인 유물에 대한 돌파 기능이 추가되었습니다. 오픈된 지 오래된 서버의 플레이어는 전설적인 유물을 슈퍼 품질로 돌파할 수 있습니다.
- 보이스, 뎀프시, 메버릭을 위한 새로운 전사 석상.
- 에어드랍 구호소: 은하 전쟁이 끝난 후 치유율에 따라 전사한 유닛이 자동으로 발급됩니다.
- 새로운 메카: 분노의 포효 - 사자가 이제 사용 가능합니다. 이 전투의 왕을 배치하여 중요한 제어 능력을 발휘하세요.
- 은하 전쟁: 원더 구조물이 이제 점수 보너스를 제공합니다.
- 뉴스 최적화: 다른 행성과 이전 날의 더 많은 뉴스; 더 나은 참여를 위한 실시간 핫토픽.
- 휴일 장식: 최대 레벨 장식을 위해 업그레이드 아이템을 변환하는 옵션.
- 운반선 최적화: 이제 각 부대에 대해 엠포리움 탭을 선택할 수 있습니다; 운반선은 이제 별의 사투에 사용할 수 있습니다; 호위 옵션이 추가된 행군 논리 개선.
- 빙하 땅 최적화: 군단 이름이 더 쉽게 식별할 수 있도록 접두사 아이콘과 함께 표시됩니다; 군단 메카 인터페이스가 잠금 해제 시간을 표시하도록 최적화되었습니다.
- 드래곤 보트 축제 이벤트:
드래곤 보트 러닝: 드럼스틱을 사용하여 특별 도시 스킨을 포함한 멋진 상품을 획득하세요!
행운의 래커: 행운의 망치를 사용하여 특별한 독수리 래커를 획득하세요!
드래곤 보트 드릴: 노를 모아 레벨을 올리고 새로운 행군 이펙트 - 만두 노래자랑을 획득할 기회를 잡으세요!
만두 축복: 팩을 구매하여 깜짝 보상을 시도해보세요!
연잎밥 보물찾기 여행: 보물을 캐서 보상을 획득하세요!
드래곤 보트 축제 선물: 시간 제한 구매 요구 사항을 충족하여 상품을 획득하세요!
즐거운 단오: 재료를 모아 만두를 만들어 보상을 획득하세요!</v>
      </c>
      <c r="S56" s="148"/>
      <c r="T56" s="148"/>
      <c r="U56" s="148"/>
      <c r="V56" s="148"/>
      <c r="W56" s="148"/>
      <c r="X56" s="148"/>
      <c r="Y56" s="148"/>
      <c r="Z56" s="148"/>
    </row>
    <row r="57">
      <c r="A57" s="167" t="str">
        <f>IFERROR(__xludf.DUMMYFUNCTION("""COMPUTED_VALUE"""),"0.66.0")</f>
        <v>0.66.0</v>
      </c>
      <c r="B57" s="148" t="str">
        <f>IFERROR(__xludf.DUMMYFUNCTION("""COMPUTED_VALUE"""),"-新增战场-机甲乱斗：机甲迷集结！自由选择技能和系统提供的机甲在新的战场中进行酣畅淋漓的对战！
-新增免费战车：英勇不屈号，可以源源不断运输士兵，同时拥有高效的采集能力；
-新增沙滩节活动：
夏日畅饮：使用冰爽畅饮券，赢取豪华大奖，更有沙滩节限定皮肤等你来拿！
沙滩之星：收集沙滩摇铃，助力沙滩之星，可以获得丰厚奖励！
折扣礼包：限时好礼，多买多送！
充值豪礼：单次充值，获取丰厚奖励！
狂欢舞动：完成每日任务，领取丰厚冰爽畅饮券！
摇铃大作战：击败变异猴与变异巨猿，即有可能拿到沙滩摇铃及其它丰厚奖励！
夏日"&amp;"扭蛋机：提升战力获得夏日扭蛋币，摇出惊喜奖励！
沙滩节周卡：节日特惠周卡，每日自选奖励，连续领7天！
-新增赛事活动-卫星之巅联赛：
卫星之巅联赛是所有猩球最顶尖帮派的对决舞台，报名参与的帮派将根据自身实力分配到各个小组进行战斗，最终根据组内排名发放联赛奖励；
-新增道具极速行动卡：消耗极速行动卡可以快速完成“科林的探索”中的部分任务、押运、围剿变异猴；
-火车争霸：增加胜场奖励，每周累计获得一定胜场，连续胜利一定次数，可以领取奖励；
-新增斗士雕像：桃乐丝、雷米。
-金刚通行证优化：所有机甲满级时，金刚"&amp;"通行证活动中的消耗机甲经验任务默认完成；
-地下探宝优化：现在斗士矿工可以合成为更高级的斗士矿工了！
-巅峰战场优化：修改了安全区消失条件，即战场内氏族据点全部处于燃烧状态；
-生产工厂优化：调整了生产工厂地图上部分建筑位置，新增可以兑换加速饼干的货运市场。")</f>
        <v>-新增战场-机甲乱斗：机甲迷集结！自由选择技能和系统提供的机甲在新的战场中进行酣畅淋漓的对战！
-新增免费战车：英勇不屈号，可以源源不断运输士兵，同时拥有高效的采集能力；
-新增沙滩节活动：
夏日畅饮：使用冰爽畅饮券，赢取豪华大奖，更有沙滩节限定皮肤等你来拿！
沙滩之星：收集沙滩摇铃，助力沙滩之星，可以获得丰厚奖励！
折扣礼包：限时好礼，多买多送！
充值豪礼：单次充值，获取丰厚奖励！
狂欢舞动：完成每日任务，领取丰厚冰爽畅饮券！
摇铃大作战：击败变异猴与变异巨猿，即有可能拿到沙滩摇铃及其它丰厚奖励！
夏日扭蛋机：提升战力获得夏日扭蛋币，摇出惊喜奖励！
沙滩节周卡：节日特惠周卡，每日自选奖励，连续领7天！
-新增赛事活动-卫星之巅联赛：
卫星之巅联赛是所有猩球最顶尖帮派的对决舞台，报名参与的帮派将根据自身实力分配到各个小组进行战斗，最终根据组内排名发放联赛奖励；
-新增道具极速行动卡：消耗极速行动卡可以快速完成“科林的探索”中的部分任务、押运、围剿变异猴；
-火车争霸：增加胜场奖励，每周累计获得一定胜场，连续胜利一定次数，可以领取奖励；
-新增斗士雕像：桃乐丝、雷米。
-金刚通行证优化：所有机甲满级时，金刚通行证活动中的消耗机甲经验任务默认完成；
-地下探宝优化：现在斗士矿工可以合成为更高级的斗士矿工了！
-巅峰战场优化：修改了安全区消失条件，即战场内氏族据点全部处于燃烧状态；
-生产工厂优化：调整了生产工厂地图上部分建筑位置，新增可以兑换加速饼干的货运市场。</v>
      </c>
      <c r="C57" s="148" t="str">
        <f>IFERROR(__xludf.DUMMYFUNCTION("""COMPUTED_VALUE"""),"-New Battlefield - Mech Brawl: Mech enthusiasts unite! Choose your skills and mechs provided by the system to engage in exhilarating battles on a new battlefield!
-New Free Carrier: The Infinite Valor, capable of continuously transporting units while poss"&amp;"essing high-efficiency gathering abilities.
-New Beach Season Events:
Free-Flowing Summer: Use Drink Tickets to win big prizes, including exclusive Beach Season skins!
Beach Superstar: Collect Tambourines to support the Beach Superstar and earn generous r"&amp;"ewards!
Discounted Packs: Limited-time gifts, the more you buy, the more you get!
Recharge Rewards: Make a single recharge to receive bountiful rewards!
Dance Mania: Complete daily quests to earn Drink Tickets!
Tambourine Hustle: Defeat Mutants and Gigant"&amp;"os for a chance to obtain Tambourines and other generous rewards!
Summer Gacha: Increase your power to earn Summer Gacha Coins and spin for surprise rewards!
Beach Season Weekly Card: Holiday special Weekly Card with daily rewards, claim continuously for "&amp;"7 days!
-New Astral Coliseum Tournament:
The Astral Coliseum Tournament is the ultimate stage for the top gangs on the planet. Registered gangs will be allocated to different groups based on their strength and fight for tournament rewards according to the"&amp;"ir group rankings.
-New Item - Rapid Action Card: Use Rapid Action Cards to complete quests, escorts, and Operation Mutants in ""Colin's Exploration.""
-Train Rush: Added rewards for wins. Accumulate a certain number of wins each week, and win consecutive"&amp;" battles to receive rewards.
-New Fighter Statues: Doris, Remy.
-Primatus Pass Optimization: When all mechs reach maximum level, the mech EXP consumption quest in the Primatus Pass event is automatically completed.
-Treasure Dig Optimization: Fighter Work"&amp;"ers can now be combined into higher-level Fighter Workers!
-Apex Clash Optimization: Modified the conditions for the safe zones to disappear, which is when all clan sites in the battlefield are burning.
-Factory Optimization: Adjusted the positions of som"&amp;"e buildings on the Factory map and added the Freight Center where you can exchange for workers cookies.")</f>
        <v>-New Battlefield - Mech Brawl: Mech enthusiasts unite! Choose your skills and mechs provided by the system to engage in exhilarating battles on a new battlefield!
-New Free Carrier: The Infinite Valor, capable of continuously transporting units while possessing high-efficiency gathering abilities.
-New Beach Season Events:
Free-Flowing Summer: Use Drink Tickets to win big prizes, including exclusive Beach Season skins!
Beach Superstar: Collect Tambourines to support the Beach Superstar and earn generous rewards!
Discounted Packs: Limited-time gifts, the more you buy, the more you get!
Recharge Rewards: Make a single recharge to receive bountiful rewards!
Dance Mania: Complete daily quests to earn Drink Tickets!
Tambourine Hustle: Defeat Mutants and Gigantos for a chance to obtain Tambourines and other generous rewards!
Summer Gacha: Increase your power to earn Summer Gacha Coins and spin for surprise rewards!
Beach Season Weekly Card: Holiday special Weekly Card with daily rewards, claim continuously for 7 days!
-New Astral Coliseum Tournament:
The Astral Coliseum Tournament is the ultimate stage for the top gangs on the planet. Registered gangs will be allocated to different groups based on their strength and fight for tournament rewards according to their group rankings.
-New Item - Rapid Action Card: Use Rapid Action Cards to complete quests, escorts, and Operation Mutants in "Colin's Exploration."
-Train Rush: Added rewards for wins. Accumulate a certain number of wins each week, and win consecutive battles to receive rewards.
-New Fighter Statues: Doris, Remy.
-Primatus Pass Optimization: When all mechs reach maximum level, the mech EXP consumption quest in the Primatus Pass event is automatically completed.
-Treasure Dig Optimization: Fighter Workers can now be combined into higher-level Fighter Workers!
-Apex Clash Optimization: Modified the conditions for the safe zones to disappear, which is when all clan sites in the battlefield are burning.
-Factory Optimization: Adjusted the positions of some buildings on the Factory map and added the Freight Center where you can exchange for workers cookies.</v>
      </c>
      <c r="D57" s="148" t="str">
        <f>IFERROR(__xludf.DUMMYFUNCTION("""COMPUTED_VALUE"""),"-Nouveau Champ de Bataille - Baston Mécha : Les passionnés de méchas s'unissent ! Choisissez vos compétences et méchas fournis par le système pour vous engager dans des combats exaltants sur un nouveau champ de bataille !
-Nouveau Transporteur Gratuit : L"&amp;"a Valeur Infinie, capable de transporter continuellement des unités tout en possédant des capacités de collecte à haute efficacité.
-Nouveaux Événements de la Saison de la Plage :
Été Libre : Utilisez des Coupons pour boisson rafraîchissante pour gagner d"&amp;"e gros prix, y compris des skins exclusifs de la Saison de la Plage !
Star des Plages : Collectez des Tambourins pour soutenir la Star des Plages et gagner des récompenses généreuses !
Packs à Prix Réduit : Cadeaux en édition limitée, plus vous achetez, p"&amp;"lus vous recevez !
Récompenses de Recharge : Effectuez une seule recharge pour recevoir des récompenses abondantes !
Mania de la Danse : Complétez des quêtes quotidiennes pour gagner des Coupons pour boisson rafraîchissante !
Course aux Tambourins : Élimi"&amp;"nez des Mutants et des Gigantos pour avoir une chance d'obtenir des Tambourins et d'autres récompenses généreuses !
Gacha d'Été : Augmentez votre puissance pour gagner des Pièces de Gacha d'Été et tournez pour des récompenses surprises !
Carte Hebdomadair"&amp;"e de la Saison de la Plage : Carte Hebdomadaire spéciale pour les vacances avec des récompenses quotidiennes, réclamez continuellement pendant 7 jours !
-Nouveau Tournoi du Colisée Astral :
Le Tournoi du Colisée Astral est la scène ultime pour les meilleu"&amp;"rs gangs de la planète. Les gangs inscrits seront répartis dans différents groupes en fonction de leur force et se battront pour les récompenses du tournoi selon leur classement de groupe.
-Nouvel Objet - Carte d'Action Rapide : Utilisez des Cartes d'Acti"&amp;"on Rapide pour compléter des quêtes, des escortes et l'Opération mutants dans ""L'exploration de Colin.""
-Course de Trains : Récompenses ajoutées pour les victoires. Accumulez un certain nombre de victoires chaque semaine, et gagnez des combats consécuti"&amp;"fs pour recevoir des récompenses.
-Nouvelles Statues de Combattants : Doris, Rémy.
-Optimisation du Passe Primatus : Lorsque tous les méchas atteignent le niveau maximum, la quête de consommation d'EXP de mécha dans l'événement Passe Primatus est automati"&amp;"quement complétée.
-Optimisation de la Fouille de Trésor : Les Ouvriers Combattants peuvent désormais être combinés en Ouvriers Combattants de niveau supérieur !
-Optimisation du Conflit au Sommet : Modification des conditions pour que les zones de sécuri"&amp;"té disparaissent, c'est-à-dire lorsque tous les sites de clan sur le champ de bataille sont en feu.
-Optimisation de l'Usine : Ajustement des positions de certains bâtiments sur la carte de l'Usine et ajout du Centre de Fret où vous pouvez échanger des co"&amp;"okies d'ouvriers.")</f>
        <v>-Nouveau Champ de Bataille - Baston Mécha : Les passionnés de méchas s'unissent ! Choisissez vos compétences et méchas fournis par le système pour vous engager dans des combats exaltants sur un nouveau champ de bataille !
-Nouveau Transporteur Gratuit : La Valeur Infinie, capable de transporter continuellement des unités tout en possédant des capacités de collecte à haute efficacité.
-Nouveaux Événements de la Saison de la Plage :
Été Libre : Utilisez des Coupons pour boisson rafraîchissante pour gagner de gros prix, y compris des skins exclusifs de la Saison de la Plage !
Star des Plages : Collectez des Tambourins pour soutenir la Star des Plages et gagner des récompenses généreuses !
Packs à Prix Réduit : Cadeaux en édition limitée, plus vous achetez, plus vous recevez !
Récompenses de Recharge : Effectuez une seule recharge pour recevoir des récompenses abondantes !
Mania de la Danse : Complétez des quêtes quotidiennes pour gagner des Coupons pour boisson rafraîchissante !
Course aux Tambourins : Éliminez des Mutants et des Gigantos pour avoir une chance d'obtenir des Tambourins et d'autres récompenses généreuses !
Gacha d'Été : Augmentez votre puissance pour gagner des Pièces de Gacha d'Été et tournez pour des récompenses surprises !
Carte Hebdomadaire de la Saison de la Plage : Carte Hebdomadaire spéciale pour les vacances avec des récompenses quotidiennes, réclamez continuellement pendant 7 jours !
-Nouveau Tournoi du Colisée Astral :
Le Tournoi du Colisée Astral est la scène ultime pour les meilleurs gangs de la planète. Les gangs inscrits seront répartis dans différents groupes en fonction de leur force et se battront pour les récompenses du tournoi selon leur classement de groupe.
-Nouvel Objet - Carte d'Action Rapide : Utilisez des Cartes d'Action Rapide pour compléter des quêtes, des escortes et l'Opération mutants dans "L'exploration de Colin."
-Course de Trains : Récompenses ajoutées pour les victoires. Accumulez un certain nombre de victoires chaque semaine, et gagnez des combats consécutifs pour recevoir des récompenses.
-Nouvelles Statues de Combattants : Doris, Rémy.
-Optimisation du Passe Primatus : Lorsque tous les méchas atteignent le niveau maximum, la quête de consommation d'EXP de mécha dans l'événement Passe Primatus est automatiquement complétée.
-Optimisation de la Fouille de Trésor : Les Ouvriers Combattants peuvent désormais être combinés en Ouvriers Combattants de niveau supérieur !
-Optimisation du Conflit au Sommet : Modification des conditions pour que les zones de sécurité disparaissent, c'est-à-dire lorsque tous les sites de clan sur le champ de bataille sont en feu.
-Optimisation de l'Usine : Ajustement des positions de certains bâtiments sur la carte de l'Usine et ajout du Centre de Fret où vous pouvez échanger des cookies d'ouvriers.</v>
      </c>
      <c r="E57" s="148" t="str">
        <f>IFERROR(__xludf.DUMMYFUNCTION("""COMPUTED_VALUE"""),"-Neues Schlachtfeld - Mech-Krawall: Mech-Enthusiasten vereinigt euch! Wählt eure Fähigkeiten und Mechs, die vom System bereitgestellt werden, um aufregende Kämpfe auf einem neuen Schlachtfeld zu führen!
-Neuer Kostenloser Träger: Der Unendliche Wert, fähi"&amp;"g, kontinuierlich Einheiten zu transportieren und dabei hocheffiziente Sammelfähigkeiten zu besitzen.
-Neue Strand-Saison-Events:
Freifließender Sommer: Verwende Erfrischungsgetränk-Gutscheine, um große Preise zu gewinnen, einschließlich exklusiver Strand"&amp;"-Saison-Skins!
Strand-Superstar: Sammle Tamburine, um den Strand-Superstar zu unterstützen und großzügige Belohnungen zu verdienen!
Rabattierte Pakete: Zeitlich begrenzte Geschenke, je mehr du kaufst, desto mehr bekommst du!
Auflade-Belohnungen: Lade einm"&amp;"alig auf, um reichliche Belohnungen zu erhalten!
Tanz-Manie: Schließe tägliche Quests ab, um Erfrischungsgetränk-Gutscheine zu verdienen!
Tamburin-Trubel: Besiege Mutanten und Gigantos, um die Chance zu haben, Tamburine und andere großzügige Belohnungen z"&amp;"u erhalten!
Sommer-Gacha: Erhöhe deine Stärke, um Sommer-Gacha-Münzen zu verdienen und für Überraschungsbelohnungen zu drehen!
Strand-Saison-Wochenkarte: Feiertags-Spezial-Wochenkarte mit täglichen Belohnungen, beanspruche sie 7 Tage lang kontinuierlich!
"&amp;"-Neues Astral-Kolosseum-Turnier:
Das Astral-Kolosseum-Turnier ist die ultimative Bühne für die besten Gangs des Planeten. Registrierte Gangs werden basierend auf ihrer Stärke verschiedenen Gruppen zugewiesen und kämpfen um Turnierbelohnungen gemäß ihrer G"&amp;"ruppen-Rangliste.
-Neues Item - Schnelle-Aktions-Karte: Verwende Schnelle-Aktions-Karten, um Quests, Eskorten und Operation Mutanten in ""Colins Erkundung"" abzuschließen.
-Zug-Rennen: Hinzugefügte Belohnungen für Siege. Sammle eine bestimmte Anzahl von S"&amp;"iegen jede Woche und gewinne aufeinanderfolgende Kämpfe, um Belohnungen zu erhalten.
-Neue Kämpfer-Statuen: Doris, Remy.
-Primatus-Pass-Optimierung: Wenn alle Mechs das maximale Level erreichen, wird die Mech-EP-Verbrauchsquest im Primatus-Pass-Event auto"&amp;"matisch abgeschlossen.
-Schatzsuche-Optimierung: Kämpfer-Arbeiter können jetzt zu höherstufigen Kämpfer-Arbeitern kombiniert werden!
-Apex-Kampf-Optimierung: Geänderte Bedingungen für das Verschwinden der sicheren Zonen, nämlich wenn alle Clan-Stätten auf"&amp;" dem Schlachtfeld brennen.
-Fabrik-Optimierung: Angepasste Positionen einiger Gebäude auf der Fabrik-Karte und das Frachtzentrum hinzugefügt, wo du Arbeiterkekse eintauschen kannst.")</f>
        <v>-Neues Schlachtfeld - Mech-Krawall: Mech-Enthusiasten vereinigt euch! Wählt eure Fähigkeiten und Mechs, die vom System bereitgestellt werden, um aufregende Kämpfe auf einem neuen Schlachtfeld zu führen!
-Neuer Kostenloser Träger: Der Unendliche Wert, fähig, kontinuierlich Einheiten zu transportieren und dabei hocheffiziente Sammelfähigkeiten zu besitzen.
-Neue Strand-Saison-Events:
Freifließender Sommer: Verwende Erfrischungsgetränk-Gutscheine, um große Preise zu gewinnen, einschließlich exklusiver Strand-Saison-Skins!
Strand-Superstar: Sammle Tamburine, um den Strand-Superstar zu unterstützen und großzügige Belohnungen zu verdienen!
Rabattierte Pakete: Zeitlich begrenzte Geschenke, je mehr du kaufst, desto mehr bekommst du!
Auflade-Belohnungen: Lade einmalig auf, um reichliche Belohnungen zu erhalten!
Tanz-Manie: Schließe tägliche Quests ab, um Erfrischungsgetränk-Gutscheine zu verdienen!
Tamburin-Trubel: Besiege Mutanten und Gigantos, um die Chance zu haben, Tamburine und andere großzügige Belohnungen zu erhalten!
Sommer-Gacha: Erhöhe deine Stärke, um Sommer-Gacha-Münzen zu verdienen und für Überraschungsbelohnungen zu drehen!
Strand-Saison-Wochenkarte: Feiertags-Spezial-Wochenkarte mit täglichen Belohnungen, beanspruche sie 7 Tage lang kontinuierlich!
-Neues Astral-Kolosseum-Turnier:
Das Astral-Kolosseum-Turnier ist die ultimative Bühne für die besten Gangs des Planeten. Registrierte Gangs werden basierend auf ihrer Stärke verschiedenen Gruppen zugewiesen und kämpfen um Turnierbelohnungen gemäß ihrer Gruppen-Rangliste.
-Neues Item - Schnelle-Aktions-Karte: Verwende Schnelle-Aktions-Karten, um Quests, Eskorten und Operation Mutanten in "Colins Erkundung" abzuschließen.
-Zug-Rennen: Hinzugefügte Belohnungen für Siege. Sammle eine bestimmte Anzahl von Siegen jede Woche und gewinne aufeinanderfolgende Kämpfe, um Belohnungen zu erhalten.
-Neue Kämpfer-Statuen: Doris, Remy.
-Primatus-Pass-Optimierung: Wenn alle Mechs das maximale Level erreichen, wird die Mech-EP-Verbrauchsquest im Primatus-Pass-Event automatisch abgeschlossen.
-Schatzsuche-Optimierung: Kämpfer-Arbeiter können jetzt zu höherstufigen Kämpfer-Arbeitern kombiniert werden!
-Apex-Kampf-Optimierung: Geänderte Bedingungen für das Verschwinden der sicheren Zonen, nämlich wenn alle Clan-Stätten auf dem Schlachtfeld brennen.
-Fabrik-Optimierung: Angepasste Positionen einiger Gebäude auf der Fabrik-Karte und das Frachtzentrum hinzugefügt, wo du Arbeiterkekse eintauschen kannst.</v>
      </c>
      <c r="F57" s="148" t="str">
        <f>IFERROR(__xludf.DUMMYFUNCTION("""COMPUTED_VALUE"""),"-Novo Campo de Batalha - Briga de Mech: Entusiastas de Mech, unam-se! Escolha suas habilidades e mechs fornecidos pelo sistema para se envolver em batalhas emocionantes em um novo campo de batalha!
-Novo Transportador Grátis: O Valor Infinito, capaz de tr"&amp;"ansportar unidades continuamente enquanto possui habilidades de coleta de alta eficiência.
-Novos Eventos da Temporada de Praia:
Verão Livre: Use Bilhetes de Bebida Refrescante para ganhar grandes prêmios, incluindo skins exclusivas da Temporada de Praia!"&amp;"
Estrela da Praia: Colete Pandeiros para apoiar a Estrela da Praia e ganhar recompensas generosas!
Pacotes com Desconto: Presentes por tempo limitado, quanto mais você compra, mais você ganha!
Recompensas de Recarga: Faça uma única recarga para receber re"&amp;"compensas abundantes!
Mania de Dança: Complete missões diárias para ganhar Bilhetes de Bebida Refrescante!
Festa do Pandeiro: Derrote Mutantes e Gigantos para ter a chance de obter Pandeiros e outras recompensas generosas!
Gacha de Verão: Aumente seu pode"&amp;"r para ganhar Moedas de Gacha de Verão e gire para prêmios surpresa!
Cartão Semanal da Temporada de Praia: Cartão Semanal especial de férias com recompensas diárias, resgate continuamente por 7 dias!
-Novo Torneio do Coliseu Astral:
O Torneio do Coliseu A"&amp;"stral é o palco definitivo para as melhores gangues do planeta. Gangues inscritas serão alocadas em diferentes grupos com base em sua força e lutarão por recompensas de torneio de acordo com suas classificações de grupo.
-Novo Item - Cartão de Ação Rápida"&amp;": Use Cartões de Ação Rápida para completar missões, escoltas e Operação Mutantes na ""Exploração de Colin.""
-Corrida do Trem: Adicionadas recompensas para vitórias. Acumule um certo número de vitórias a cada semana e vença batalhas consecutivas para rec"&amp;"eber recompensas.
-Novas Estátuas Combatentes: Doris, Remy.
-Otimização do Passe de Primatus: Quando todos os mechs atingirem o nível máximo, a missão de consumo de EXP de mech no evento Passe de Primatus é automaticamente concluída.
-Otimização da Escava"&amp;"ção de Tesouro: Trabalhadores Combatentes agora podem ser combinados em Trabalhadores Combatentes de nível superior!
-Otimização do Embate do Ápice: Modificadas as condições para o desaparecimento das zonas seguras, que ocorre quando todos os sites do clã"&amp;" no campo de batalha estão em chamas.
-Otimização da Fábrica: Ajustadas as posições de alguns edifícios no mapa da Fábrica e adicionado o Centro de Cargas onde você pode trocar por cookies de trabalhadores.")</f>
        <v>-Novo Campo de Batalha - Briga de Mech: Entusiastas de Mech, unam-se! Escolha suas habilidades e mechs fornecidos pelo sistema para se envolver em batalhas emocionantes em um novo campo de batalha!
-Novo Transportador Grátis: O Valor Infinito, capaz de transportar unidades continuamente enquanto possui habilidades de coleta de alta eficiência.
-Novos Eventos da Temporada de Praia:
Verão Livre: Use Bilhetes de Bebida Refrescante para ganhar grandes prêmios, incluindo skins exclusivas da Temporada de Praia!
Estrela da Praia: Colete Pandeiros para apoiar a Estrela da Praia e ganhar recompensas generosas!
Pacotes com Desconto: Presentes por tempo limitado, quanto mais você compra, mais você ganha!
Recompensas de Recarga: Faça uma única recarga para receber recompensas abundantes!
Mania de Dança: Complete missões diárias para ganhar Bilhetes de Bebida Refrescante!
Festa do Pandeiro: Derrote Mutantes e Gigantos para ter a chance de obter Pandeiros e outras recompensas generosas!
Gacha de Verão: Aumente seu poder para ganhar Moedas de Gacha de Verão e gire para prêmios surpresa!
Cartão Semanal da Temporada de Praia: Cartão Semanal especial de férias com recompensas diárias, resgate continuamente por 7 dias!
-Novo Torneio do Coliseu Astral:
O Torneio do Coliseu Astral é o palco definitivo para as melhores gangues do planeta. Gangues inscritas serão alocadas em diferentes grupos com base em sua força e lutarão por recompensas de torneio de acordo com suas classificações de grupo.
-Novo Item - Cartão de Ação Rápida: Use Cartões de Ação Rápida para completar missões, escoltas e Operação Mutantes na "Exploração de Colin."
-Corrida do Trem: Adicionadas recompensas para vitórias. Acumule um certo número de vitórias a cada semana e vença batalhas consecutivas para receber recompensas.
-Novas Estátuas Combatentes: Doris, Remy.
-Otimização do Passe de Primatus: Quando todos os mechs atingirem o nível máximo, a missão de consumo de EXP de mech no evento Passe de Primatus é automaticamente concluída.
-Otimização da Escavação de Tesouro: Trabalhadores Combatentes agora podem ser combinados em Trabalhadores Combatentes de nível superior!
-Otimização do Embate do Ápice: Modificadas as condições para o desaparecimento das zonas seguras, que ocorre quando todos os sites do clã no campo de batalha estão em chamas.
-Otimização da Fábrica: Ajustadas as posições de alguns edifícios no mapa da Fábrica e adicionado o Centro de Cargas onde você pode trocar por cookies de trabalhadores.</v>
      </c>
      <c r="G57" s="148" t="str">
        <f>IFERROR(__xludf.DUMMYFUNCTION("""COMPUTED_VALUE"""),"-新增戰場-機甲亂鬥：機甲迷集結！自由選擇技能和系統提供的機甲在新的戰場中進行酣暢淋漓的對戰！
-新增免費戰車：英勇不屈號，可以源源不斷運送士兵，同時擁有高效的採集能力；
-新增沙灘節活動：
夏日暢飲：使用冰爽暢飲券，贏取豪華大獎，更有沙灘節限定皮膚等你來拿！
沙灘之星：收集沙灘搖鈴，助力沙灘之星，可以獲得豐厚獎勵！
折扣禮包：限時好禮，多買多送！
充值豪禮：單次充值，獲取豐厚獎勵！
狂歡舞動：完成每日任務，領取豐厚冰爽暢飲券！
搖鈴大作戰：擊敗變異猴與變異巨猿，即有可能拿到沙灘搖鈴及其它豐厚獎勵！
夏日"&amp;"扭蛋機：提升戰力獲得夏日扭蛋幣，搖出驚喜獎勵！
沙灘節周卡：節日特惠周卡，每日自選獎勵，連續領7天！
-新增賽事活動-衛星之巔聯賽：
衛星之巔聯賽是所有猩球最頂尖幫派的對決舞台，登記參與的幫派將根據自身實力分配到各個小組進行戰鬥，最終根據組內排名分配聯賽獎勵；
-新增道具極速行動卡：費用極速行動卡可以快速完成“科林的探索”中的部分任務、押運、圍剿變異猴；
-火車爭霸：增加勝場獎勵，每週累計獲得一定勝場，連續勝利一定次數，可以領取獎勵；
-新增鬥士雕像：桃樂絲、雷米。
-金剛通行證優化：所有機甲最高等級時，"&amp;"金剛通行證活動中的費用機甲經驗任務默認完成；
-地下探寶優化：現在鬥士礦工可以合成為更高級的鬥士礦工了！
-巔峰戰場優化：編輯了安全區消失條件，即戰場內氏族據點全部處於燃燒狀態；
-生產工廠優化：調整了生產工廠地圖上部分建造位置，新增可以交換加速餅乾的貨運市場。")</f>
        <v>-新增戰場-機甲亂鬥：機甲迷集結！自由選擇技能和系統提供的機甲在新的戰場中進行酣暢淋漓的對戰！
-新增免費戰車：英勇不屈號，可以源源不斷運送士兵，同時擁有高效的採集能力；
-新增沙灘節活動：
夏日暢飲：使用冰爽暢飲券，贏取豪華大獎，更有沙灘節限定皮膚等你來拿！
沙灘之星：收集沙灘搖鈴，助力沙灘之星，可以獲得豐厚獎勵！
折扣禮包：限時好禮，多買多送！
充值豪禮：單次充值，獲取豐厚獎勵！
狂歡舞動：完成每日任務，領取豐厚冰爽暢飲券！
搖鈴大作戰：擊敗變異猴與變異巨猿，即有可能拿到沙灘搖鈴及其它豐厚獎勵！
夏日扭蛋機：提升戰力獲得夏日扭蛋幣，搖出驚喜獎勵！
沙灘節周卡：節日特惠周卡，每日自選獎勵，連續領7天！
-新增賽事活動-衛星之巔聯賽：
衛星之巔聯賽是所有猩球最頂尖幫派的對決舞台，登記參與的幫派將根據自身實力分配到各個小組進行戰鬥，最終根據組內排名分配聯賽獎勵；
-新增道具極速行動卡：費用極速行動卡可以快速完成“科林的探索”中的部分任務、押運、圍剿變異猴；
-火車爭霸：增加勝場獎勵，每週累計獲得一定勝場，連續勝利一定次數，可以領取獎勵；
-新增鬥士雕像：桃樂絲、雷米。
-金剛通行證優化：所有機甲最高等級時，金剛通行證活動中的費用機甲經驗任務默認完成；
-地下探寶優化：現在鬥士礦工可以合成為更高級的鬥士礦工了！
-巔峰戰場優化：編輯了安全區消失條件，即戰場內氏族據點全部處於燃燒狀態；
-生產工廠優化：調整了生產工廠地圖上部分建造位置，新增可以交換加速餅乾的貨運市場。</v>
      </c>
      <c r="H57" s="148" t="str">
        <f>IFERROR(__xludf.DUMMYFUNCTION("""COMPUTED_VALUE"""),"-Medan Perang Baru - Perkelahian Mekanik:Penggemar mekanik bersatu! Pilih keahlian dan mekanik yang disediakan oleh sistem untuk terlibat dalam pertempuran yang mendebarkan di medan perang baru!
-Pengangkut Gratis Baru:Keberanian Tak Terbatas, mampu menga"&amp;"ngkut unit secara terus-menerus sambil memiliki kemampuan pengumpulan yang efisien.
-Acara Musim Pantai Baru:
Musim Panas Mengalir Bebas: Gunakan Kupon Minuman Segar untuk memenangkan hadiah besar, termasuk skin eksklusif Musim Pantai!
Bintang Pantai: Kum"&amp;"pulkan Tambourine untuk mendukung Bintang Pantai dan dapatkan hadiah yang melimpah!
Paket Diskon: Hadiah terbatas waktu, semakin banyak Anda membeli, semakin banyak yang Anda dapatkan!
Hadiah Isi Ulang: Lakukan satu kali isi ulang untuk menerima hadiah ya"&amp;"ng melimpah!
Mania Menari: Selesaikan tantangan harian untuk mendapatkan Kupon Minuman Segar!
Pertempuran Bel: Kalahkan Kera Mutan dan Giganto untuk kesempatan mendapatkan Tambourine dan hadiah melimpah lainnya!
Gacha Musim Panas: Tingkatkan kekuatan Anda"&amp;" untuk mendapatkan Koin Gacha Musim Panas dan putar untuk hadiah kejutan!
Kartu Mingguan Musim Pantai: Kartu Mingguan spesial liburan dengan hadiah harian, klaim terus menerus selama 7 hari!
-Turnamen Koloseum Astral Baru:
Turnamen Koloseum Astral adalah "&amp;"panggung utama bagi geng-geng terbaik di planet ini. Geng yang terdaftar akan dialokasikan ke grup yang berbeda berdasarkan kekuatan mereka dan bertarung untuk hadiah turnamen sesuai dengan peringkat grup mereka.
-Item Baru - Kartu Aksi Cepat:Gunakan Kart"&amp;"u Aksi Cepat untuk menyelesaikan tantangan, pengawalan, dan Pengepungan Kera Mutan dalam ""Penjelajahan Colin.""
-Hegemoni Kereta:Ditambahkan hadiah untuk kemenangan. Kumpulkan sejumlah kemenangan setiap minggu, dan menangkan pertempuran berturut-turut un"&amp;"tuk menerima hadiah.
-Patung Pejuang Baru:Doris, Remy.
-Optimasi Wilayah Primatus:Ketika semua mekanik mencapai level maksimum, tantangan konsumsi EXP mekanik dalam acara Wilayah Primatus akan otomatis selesai.
-Optimasi Penggalian Harta Karun:Pekerja Pej"&amp;"uang sekarang dapat digabungkan menjadi Pekerja Pejuang level lebih tinggi!
-Optimasi Pertarungan Puncak:Memodifikasi kondisi untuk zona aman menghilang, yaitu ketika semua situs klan di medan perang terbakar.
-Optimasi Pabrik:Menyesuaikan posisi beberapa"&amp;" bangunan di peta Pabrik dan menambahkan Pusat Angkutan di mana Anda dapat menukar kue pekerja.")</f>
        <v>-Medan Perang Baru - Perkelahian Mekanik:Penggemar mekanik bersatu! Pilih keahlian dan mekanik yang disediakan oleh sistem untuk terlibat dalam pertempuran yang mendebarkan di medan perang baru!
-Pengangkut Gratis Baru:Keberanian Tak Terbatas, mampu mengangkut unit secara terus-menerus sambil memiliki kemampuan pengumpulan yang efisien.
-Acara Musim Pantai Baru:
Musim Panas Mengalir Bebas: Gunakan Kupon Minuman Segar untuk memenangkan hadiah besar, termasuk skin eksklusif Musim Pantai!
Bintang Pantai: Kumpulkan Tambourine untuk mendukung Bintang Pantai dan dapatkan hadiah yang melimpah!
Paket Diskon: Hadiah terbatas waktu, semakin banyak Anda membeli, semakin banyak yang Anda dapatkan!
Hadiah Isi Ulang: Lakukan satu kali isi ulang untuk menerima hadiah yang melimpah!
Mania Menari: Selesaikan tantangan harian untuk mendapatkan Kupon Minuman Segar!
Pertempuran Bel: Kalahkan Kera Mutan dan Giganto untuk kesempatan mendapatkan Tambourine dan hadiah melimpah lainnya!
Gacha Musim Panas: Tingkatkan kekuatan Anda untuk mendapatkan Koin Gacha Musim Panas dan putar untuk hadiah kejutan!
Kartu Mingguan Musim Pantai: Kartu Mingguan spesial liburan dengan hadiah harian, klaim terus menerus selama 7 hari!
-Turnamen Koloseum Astral Baru:
Turnamen Koloseum Astral adalah panggung utama bagi geng-geng terbaik di planet ini. Geng yang terdaftar akan dialokasikan ke grup yang berbeda berdasarkan kekuatan mereka dan bertarung untuk hadiah turnamen sesuai dengan peringkat grup mereka.
-Item Baru - Kartu Aksi Cepat:Gunakan Kartu Aksi Cepat untuk menyelesaikan tantangan, pengawalan, dan Pengepungan Kera Mutan dalam "Penjelajahan Colin."
-Hegemoni Kereta:Ditambahkan hadiah untuk kemenangan. Kumpulkan sejumlah kemenangan setiap minggu, dan menangkan pertempuran berturut-turut untuk menerima hadiah.
-Patung Pejuang Baru:Doris, Remy.
-Optimasi Wilayah Primatus:Ketika semua mekanik mencapai level maksimum, tantangan konsumsi EXP mekanik dalam acara Wilayah Primatus akan otomatis selesai.
-Optimasi Penggalian Harta Karun:Pekerja Pejuang sekarang dapat digabungkan menjadi Pekerja Pejuang level lebih tinggi!
-Optimasi Pertarungan Puncak:Memodifikasi kondisi untuk zona aman menghilang, yaitu ketika semua situs klan di medan perang terbakar.
-Optimasi Pabrik:Menyesuaikan posisi beberapa bangunan di peta Pabrik dan menambahkan Pusat Angkutan di mana Anda dapat menukar kue pekerja.</v>
      </c>
      <c r="I57" s="148" t="str">
        <f>IFERROR(__xludf.DUMMYFUNCTION("""COMPUTED_VALUE"""),"-สนามรบใหม่ - การวิวาทเมค: ผู้ที่ชื่นชอบเมครวมตัวกัน! เลือกทักษะและเมคที่ระบบจัดให้เพื่อเข้าร่วมการต่อสู้อันน่าตื่นเต้นบนสนามรบใหม่!
-ผู้ขนส่งฟรีใหม่: วาโลร์ไม่มีที่สิ้นสุด, สามารถขนส่งหน่วยได้อย่างต่อเนื่องพร้อมกับความสามารถในการเก็บรวบรวมที่มีประสิทธิภา"&amp;"พสูง
-กิจกรรมฤดูร้อนริมหาดใหม่:
ฤดูร้อนที่ไหลลื่น: ใช้ตั๋วเครื่องดื่มเพื่อชิงรางวัลใหญ่ รวมถึงสกินฤดูร้อนริมหาดพิเศษ!
ซูเปอร์สตาร์ริมหาด: เก็บแทมโบรีนเพื่อสนับสนุนซูเปอร์สตาร์ริมหาดและรับรางวัลมากมาย!
แพ็กส่วนลด: ของขวัญจำกัดเวลา, ยิ่งซื้อยิ่งได้มาก!
รางว"&amp;"ัลการเติมเงิน: ทำการเติมเงินครั้งเดียวเพื่อรับรางวัลมากมาย!
การเต้นบ้าคลั่ง: ทำเควสต์รายวันเพื่อรับตั๋วเครื่องดื่ม!
การเร่งแทมโบรีน: กำจัดมิวแตนด์และกิกันโตเพื่อมีโอกาสได้รับแทมโบรีนและรางวัลอื่นๆ มากมาย!
กาชาฤดูร้อน: เพิ่มพลังงานของคุณเพื่อรับเหรียญกาชาฤ"&amp;"ดูร้อนและหมุนเพื่อรับรางวัลเซอร์ไพรส์!
บัตรรายสัปดาห์ฤดูร้อนริมหาด: บัตรรายสัปดาห์พิเศษในช่วงวันหยุดพร้อมรางวัลรายวัน, รับต่อเนื่องเป็นเวลา 7 วัน!
-การแข่งขันโคลีเซียมดวงดาวใหม่:
การแข่งขันโคลีเซียมดวงดาวเป็นเวทีสูงสุดสำหรับแก๊งค์ชั้นนำบนดาวเคราะห์ แก๊งค์"&amp;"ที่ลงทะเบียนจะถูกจัดกลุ่มตามความแข็งแกร่งและต่อสู้เพื่อรางวัลการแข่งขันตามอันดับกลุ่มของพวกเขา
-ไอเทมใหม่ - การ์ดท่ารวดเร็ว: ใช้การ์ดท่ารวดเร็วเพื่อทำเควสต์, คุ้มกัน, และปฏิบัติการตัวกลายพันธุ์ใน ""การสำรวจของโคลิน""
-รถไฟประลองความเร็ว: เพิ่มรางวัลสำหรับ"&amp;"การชนะ สะสมจำนวนการชนะในแต่ละสัปดาห์ และชนะการต่อสู้ต่อเนื่องเพื่อรับรางวัล
-รูปปั้นนักสู้ใหม่: ดอริส, เรมี่
-การปรับปรุงพาสพริมาตัส: เมื่อเมคทั้งหมดถึงเลเวลสูงสุด, เควสต์การใช้ค่าประสบการณ์เมคในกิจกรรมพาสพริมาตัสจะถูกทำให้เสร็จสิ้นโดยอัตโนมัติ
-การปรับปร"&amp;"ุงการขุดสมบัติ: คนงานนักสู้สามารถรวมกันเป็นคนงานนักสู้ระดับสูงได้แล้ว!
-การปรับปรุงสนามต่อสู้ยอดสูง: ปรับเปลี่ยนเงื่อนไขสำหรับการหายไปของเขตปลอดภัย, ซึ่งจะเกิดขึ้นเมื่อทุกไซต์ของฝูงในสนามรบกำลังลุกไหม้
-การปรับปรุงโรงงาน: ปรับตำแหน่งของสิ่งก่อสร้างบางอย่า"&amp;"งบนแผนที่โรงงานและเพิ่มศูนย์ขนส่งสินค้าที่คุณสามารถแลกเปลี่ยนคุกกี้คนงานได้")</f>
        <v>-สนามรบใหม่ - การวิวาทเมค: ผู้ที่ชื่นชอบเมครวมตัวกัน! เลือกทักษะและเมคที่ระบบจัดให้เพื่อเข้าร่วมการต่อสู้อันน่าตื่นเต้นบนสนามรบใหม่!
-ผู้ขนส่งฟรีใหม่: วาโลร์ไม่มีที่สิ้นสุด, สามารถขนส่งหน่วยได้อย่างต่อเนื่องพร้อมกับความสามารถในการเก็บรวบรวมที่มีประสิทธิภาพสูง
-กิจกรรมฤดูร้อนริมหาดใหม่:
ฤดูร้อนที่ไหลลื่น: ใช้ตั๋วเครื่องดื่มเพื่อชิงรางวัลใหญ่ รวมถึงสกินฤดูร้อนริมหาดพิเศษ!
ซูเปอร์สตาร์ริมหาด: เก็บแทมโบรีนเพื่อสนับสนุนซูเปอร์สตาร์ริมหาดและรับรางวัลมากมาย!
แพ็กส่วนลด: ของขวัญจำกัดเวลา, ยิ่งซื้อยิ่งได้มาก!
รางวัลการเติมเงิน: ทำการเติมเงินครั้งเดียวเพื่อรับรางวัลมากมาย!
การเต้นบ้าคลั่ง: ทำเควสต์รายวันเพื่อรับตั๋วเครื่องดื่ม!
การเร่งแทมโบรีน: กำจัดมิวแตนด์และกิกันโตเพื่อมีโอกาสได้รับแทมโบรีนและรางวัลอื่นๆ มากมาย!
กาชาฤดูร้อน: เพิ่มพลังงานของคุณเพื่อรับเหรียญกาชาฤดูร้อนและหมุนเพื่อรับรางวัลเซอร์ไพรส์!
บัตรรายสัปดาห์ฤดูร้อนริมหาด: บัตรรายสัปดาห์พิเศษในช่วงวันหยุดพร้อมรางวัลรายวัน, รับต่อเนื่องเป็นเวลา 7 วัน!
-การแข่งขันโคลีเซียมดวงดาวใหม่:
การแข่งขันโคลีเซียมดวงดาวเป็นเวทีสูงสุดสำหรับแก๊งค์ชั้นนำบนดาวเคราะห์ แก๊งค์ที่ลงทะเบียนจะถูกจัดกลุ่มตามความแข็งแกร่งและต่อสู้เพื่อรางวัลการแข่งขันตามอันดับกลุ่มของพวกเขา
-ไอเทมใหม่ - การ์ดท่ารวดเร็ว: ใช้การ์ดท่ารวดเร็วเพื่อทำเควสต์, คุ้มกัน, และปฏิบัติการตัวกลายพันธุ์ใน "การสำรวจของโคลิน"
-รถไฟประลองความเร็ว: เพิ่มรางวัลสำหรับการชนะ สะสมจำนวนการชนะในแต่ละสัปดาห์ และชนะการต่อสู้ต่อเนื่องเพื่อรับรางวัล
-รูปปั้นนักสู้ใหม่: ดอริส, เรมี่
-การปรับปรุงพาสพริมาตัส: เมื่อเมคทั้งหมดถึงเลเวลสูงสุด, เควสต์การใช้ค่าประสบการณ์เมคในกิจกรรมพาสพริมาตัสจะถูกทำให้เสร็จสิ้นโดยอัตโนมัติ
-การปรับปรุงการขุดสมบัติ: คนงานนักสู้สามารถรวมกันเป็นคนงานนักสู้ระดับสูงได้แล้ว!
-การปรับปรุงสนามต่อสู้ยอดสูง: ปรับเปลี่ยนเงื่อนไขสำหรับการหายไปของเขตปลอดภัย, ซึ่งจะเกิดขึ้นเมื่อทุกไซต์ของฝูงในสนามรบกำลังลุกไหม้
-การปรับปรุงโรงงาน: ปรับตำแหน่งของสิ่งก่อสร้างบางอย่างบนแผนที่โรงงานและเพิ่มศูนย์ขนส่งสินค้าที่คุณสามารถแลกเปลี่ยนคุกกี้คนงานได้</v>
      </c>
      <c r="J57" s="148" t="str">
        <f>IFERROR(__xludf.DUMMYFUNCTION("""COMPUTED_VALUE"""),"-Nuevo Campo de Batalla - Pelea de Meca: ¡Entusiastas de los mecas, únanse! Elige tus habilidades y mecas proporcionados por el sistema para participar en emocionantes batallas en un nuevo campo de batalla!
-Nuevo Transportador Gratis: El Valor Infinito, "&amp;"capaz de transportar unidades continuamente mientras posee habilidades de recolección de alta eficiencia.
-Nuevos Eventos de la Temporada de Playa:
Verano Fluido: ¡Usa Cupones de Bebida Refrescante para ganar grandes premios, incluyendo skins exclusivas d"&amp;"e la Temporada de Playa!
Superestrella de la Playa: ¡Recolecta Panderetas para apoyar a la Superestrella de la Playa y ganar generosas recompensas!
Paquetes con Descuento: Regalos por tiempo limitado, ¡cuanto más compras, más obtienes!
Recompensas de Reca"&amp;"rga: ¡Haz una recarga única para recibir abundantes recompensas!
Manía de Baile: ¡Completa misiones diarias para ganar Cupones de Bebida Refrescante!
Ajetreo de la Pandereta: ¡Derrota a Mutantes y Gigantos para tener la oportunidad de obtener Panderetas y"&amp;" otras generosas recompensas!
Gacha de Verano: ¡Aumenta tu poder para ganar Monedas de Gacha de Verano y gira para obtener recompensas sorpresa!
Tarjeta Semanal de la Temporada de Playa: Tarjeta Semanal especial de vacaciones con recompensas diarias, ¡rec"&amp;"lama continuamente durante 7 días!
-Nuevo Torneo del Coliseo Astral:
El Torneo del Coliseo Astral es el escenario definitivo para las mejores bandas del planeta. Las bandas registradas serán asignadas a diferentes grupos según su fuerza y lucharán por las"&amp;" recompensas del torneo según su clasificación de grupo.
-Nuevo Artículo - Tarjeta de Acción Rápida: Usa Tarjetas de Acción Rápida para completar misiones, escoltas y Operación Mutantes en ""Exploración de Colin.""
-Carrera del Tren: Se añadieron recompen"&amp;"sas por victorias. Acumula un cierto número de victorias cada semana y gana batallas consecutivas para recibir recompensas.
-Nuevas Estatuas de Luchadores: Doris, Remy.
-Optimización del Pase de Primatus: Cuando todos los mecas alcanzan el nivel máximo, l"&amp;"a misión de consumo de EXP de meca en el evento del Pase de Primatus se completa automáticamente.
-Optimización de Excavación de Tesoro: ¡Los Trabajadores Luchadores ahora pueden combinarse en Trabajadores Luchadores de nivel superior!
-Optimización de la"&amp;" Cumbre de la Arena: Se modificaron las condiciones para que desaparezcan las zonas seguras, lo cual ocurre cuando todos los sitios del clan en el campo de batalla están ardiendo.
-Optimización de la Fábrica: Se ajustaron las posiciones de algunos edifici"&amp;"os en el mapa de la Fábrica y se añadió el Centro de Carga donde puedes intercambiar galletas de trabajadores.")</f>
        <v>-Nuevo Campo de Batalla - Pelea de Meca: ¡Entusiastas de los mecas, únanse! Elige tus habilidades y mecas proporcionados por el sistema para participar en emocionantes batallas en un nuevo campo de batalla!
-Nuevo Transportador Gratis: El Valor Infinito, capaz de transportar unidades continuamente mientras posee habilidades de recolección de alta eficiencia.
-Nuevos Eventos de la Temporada de Playa:
Verano Fluido: ¡Usa Cupones de Bebida Refrescante para ganar grandes premios, incluyendo skins exclusivas de la Temporada de Playa!
Superestrella de la Playa: ¡Recolecta Panderetas para apoyar a la Superestrella de la Playa y ganar generosas recompensas!
Paquetes con Descuento: Regalos por tiempo limitado, ¡cuanto más compras, más obtienes!
Recompensas de Recarga: ¡Haz una recarga única para recibir abundantes recompensas!
Manía de Baile: ¡Completa misiones diarias para ganar Cupones de Bebida Refrescante!
Ajetreo de la Pandereta: ¡Derrota a Mutantes y Gigantos para tener la oportunidad de obtener Panderetas y otras generosas recompensas!
Gacha de Verano: ¡Aumenta tu poder para ganar Monedas de Gacha de Verano y gira para obtener recompensas sorpresa!
Tarjeta Semanal de la Temporada de Playa: Tarjeta Semanal especial de vacaciones con recompensas diarias, ¡reclama continuamente durante 7 días!
-Nuevo Torneo del Coliseo Astral:
El Torneo del Coliseo Astral es el escenario definitivo para las mejores bandas del planeta. Las bandas registradas serán asignadas a diferentes grupos según su fuerza y lucharán por las recompensas del torneo según su clasificación de grupo.
-Nuevo Artículo - Tarjeta de Acción Rápida: Usa Tarjetas de Acción Rápida para completar misiones, escoltas y Operación Mutantes en "Exploración de Colin."
-Carrera del Tren: Se añadieron recompensas por victorias. Acumula un cierto número de victorias cada semana y gana batallas consecutivas para recibir recompensas.
-Nuevas Estatuas de Luchadores: Doris, Remy.
-Optimización del Pase de Primatus: Cuando todos los mecas alcanzan el nivel máximo, la misión de consumo de EXP de meca en el evento del Pase de Primatus se completa automáticamente.
-Optimización de Excavación de Tesoro: ¡Los Trabajadores Luchadores ahora pueden combinarse en Trabajadores Luchadores de nivel superior!
-Optimización de la Cumbre de la Arena: Se modificaron las condiciones para que desaparezcan las zonas seguras, lo cual ocurre cuando todos los sitios del clan en el campo de batalla están ardiendo.
-Optimización de la Fábrica: Se ajustaron las posiciones de algunos edificios en el mapa de la Fábrica y se añadió el Centro de Carga donde puedes intercambiar galletas de trabajadores.</v>
      </c>
      <c r="K57" s="148" t="str">
        <f>IFERROR(__xludf.DUMMYFUNCTION("""COMPUTED_VALUE"""),"-Новое Поле Боя - Потасовка Мехов: Энтузиасты мехов, объединяйтесь! Выбирайте навыки и мехов, предоставленных системой, чтобы участвовать в захватывающих битвах на новом поле боя!
-Новый Бесплатный Перевозчик: Валор, способный непрерывно транспортировать "&amp;"отряды, обладая при этом высокоэффективными способностями сбора.
-Новые События Пляжного Сезона:
Свободное Лето: Используйте Билеты на прохладительный напиток, чтобы выиграть крупные призы, включая эксклюзивные скины Пляжного Сезона!
Звезда Пляжа: Собирай"&amp;"те Бубны, чтобы поддержать Звезду Пляжа и заработать щедрые награды!
Скидочные Наборы: Подарки с ограниченным сроком действия, чем больше покупаете, тем больше получаете!
Награды за Пополнение: Сделайте одно пополнение, чтобы получить щедрые награды!
Танц"&amp;"евальная Мания: Выполняйте ежедневные задания, чтобы заработать Билеты на прохладительный напиток!
Бубно-Драйв: Побеждайте Мутантов и Гигантопитеков, чтобы получить Бубны и другие щедрые награды!
Летняя Гача: Увеличивайте свою силу, чтобы заработать Монет"&amp;"ы летней гачи и крутить для получения сюрпризных наград!
Еженедельная Карта Пляжного Сезона: Специальная праздничная Еженедельная Карта с ежедневными наградами, забирайте непрерывно в течение 7 дней!
-Новый Турнир Астрального Колизея:
Турнир Астрального К"&amp;"олизея - это высшая сцена для топовых банд на планете. Зарегистрированные банды будут распределены по разным группам в зависимости от их силы и будут сражаться за турнирные награды в соответствии с рейтингом группы.
-Новый Предмет - Карта быстрого действи"&amp;"я: Используйте Карты быстрого действия для выполнения заданий, сопровождений и Операции «Мутанты» в «Исследовании Колина».
-Гонки поездов: Добавлены награды за победы. Накопите определенное количество побед каждую неделю и выигрывайте подряд, чтобы получа"&amp;"ть награды.
-Новые Статуи Героя: Дорис, Реми.
-Оптимизация Пропуска Приматуса: Когда все мехи достигают максимального уровня, задание на потребление ОП мехов в событии Пропуска Приматуса автоматически завершается.
-Оптимизация Копания Сокровищ: Рабочие Ге"&amp;"рои теперь могут быть объединены в рабочих героев более высокого уровня!
-Оптимизация Арены Вершины: Изменены условия для исчезновения безопасных зон, что происходит, когда все клановые участки на поле боя горят.
-Оптимизация Фабрики: Скорректированы пози"&amp;"ции некоторых построек на карте Фабрики и добавлен Транспортный центр, где можно обменивать печенья рабочих.")</f>
        <v>-Новое Поле Боя - Потасовка Мехов: Энтузиасты мехов, объединяйтесь! Выбирайте навыки и мехов, предоставленных системой, чтобы участвовать в захватывающих битвах на новом поле боя!
-Новый Бесплатный Перевозчик: Валор, способный непрерывно транспортировать отряды, обладая при этом высокоэффективными способностями сбора.
-Новые События Пляжного Сезона:
Свободное Лето: Используйте Билеты на прохладительный напиток, чтобы выиграть крупные призы, включая эксклюзивные скины Пляжного Сезона!
Звезда Пляжа: Собирайте Бубны, чтобы поддержать Звезду Пляжа и заработать щедрые награды!
Скидочные Наборы: Подарки с ограниченным сроком действия, чем больше покупаете, тем больше получаете!
Награды за Пополнение: Сделайте одно пополнение, чтобы получить щедрые награды!
Танцевальная Мания: Выполняйте ежедневные задания, чтобы заработать Билеты на прохладительный напиток!
Бубно-Драйв: Побеждайте Мутантов и Гигантопитеков, чтобы получить Бубны и другие щедрые награды!
Летняя Гача: Увеличивайте свою силу, чтобы заработать Монеты летней гачи и крутить для получения сюрпризных наград!
Еженедельная Карта Пляжного Сезона: Специальная праздничная Еженедельная Карта с ежедневными наградами, забирайте непрерывно в течение 7 дней!
-Новый Турнир Астрального Колизея:
Турнир Астрального Колизея - это высшая сцена для топовых банд на планете. Зарегистрированные банды будут распределены по разным группам в зависимости от их силы и будут сражаться за турнирные награды в соответствии с рейтингом группы.
-Новый Предмет - Карта быстрого действия: Используйте Карты быстрого действия для выполнения заданий, сопровождений и Операции «Мутанты» в «Исследовании Колина».
-Гонки поездов: Добавлены награды за победы. Накопите определенное количество побед каждую неделю и выигрывайте подряд, чтобы получать награды.
-Новые Статуи Героя: Дорис, Реми.
-Оптимизация Пропуска Приматуса: Когда все мехи достигают максимального уровня, задание на потребление ОП мехов в событии Пропуска Приматуса автоматически завершается.
-Оптимизация Копания Сокровищ: Рабочие Герои теперь могут быть объединены в рабочих героев более высокого уровня!
-Оптимизация Арены Вершины: Изменены условия для исчезновения безопасных зон, что происходит, когда все клановые участки на поле боя горят.
-Оптимизация Фабрики: Скорректированы позиции некоторых построек на карте Фабрики и добавлен Транспортный центр, где можно обменивать печенья рабочих.</v>
      </c>
      <c r="L57" s="148" t="str">
        <f>IFERROR(__xludf.DUMMYFUNCTION("""COMPUTED_VALUE"""),"-Yeni Savaş Meydanı - Meka Kavgası: Meka meraklıları birleşin! Sistem tarafından sağlanan becerileri ve mekaları seçerek yeni bir savaş meydanında heyecan verici savaşlara katılın!
-Yeni Ücretsiz Taşıyıcı: Sonsuz Değer, yüksek verimli toplama yeteneklerin"&amp;"e sahipken birimleri sürekli olarak taşıyabilen bir taşıyıcı.
-Yeni Sahil Sezonu Etkinlikleri:
Özgür Akan Yaz: Soğuk İçecek Kuponlarını kullanarak, özel Sahil Sezonu kostümleri de dahil olmak üzere büyük ödüller kazanın!
Sahil Süperstarı: Sahil Süperstarı"&amp;"nı desteklemek için Tefleri toplayın ve cömert ödüller kazanın!
İndirimli Paketler: Sınırlı süreli hediyeler, ne kadar çok satın alırsanız o kadar çok kazanırsınız!
Şarj Etme Ödülleri: Tek bir şarj yaparak bol ödüller kazanın!
Dans Çılgınlığı: Günlük göre"&amp;"vleri tamamlayarak Soğuk İçecek Kuponları kazanın!
Tef Telaşı: Mutantları ve Gigantoları yenerek Tefler ve diğer cömert ödüller kazanma şansı elde edin!
Yaz Gacha: Gücünüzü artırarak Yaz Gacha Paraları kazanın ve sürpriz ödüller için çevirin!
Sahil Sezonu"&amp;" Haftalık Kartı: Tatil özel Haftalık Kartı ile günlük ödüller, 7 gün boyunca sürekli olarak alın!
-Yeni Yıldız Kolezyumu Turnuvası:
Yıldız Kolezyumu Turnuvası, gezegendeki en iyi çeteler için nihai sahnedir. Kayıtlı çeteler, güçlerine göre farklı gruplara"&amp;" ayrılacak ve grup sıralamalarına göre turnuva ödülleri için savaşacaklar.
-Yeni Eşya - Hızlı Eylem Kartı: Hızlı Eylem Kartlarını kullanarak ""Colin’in Keşfi""nde görevleri, eşlikleri ve Mutant Operasyonlarını tamamlayın.
-Trene Hücum: Kazanılan zaferler "&amp;"için ek ödüller eklendi. Her hafta belirli sayıda zafer biriktirin ve ardışık savaşları kazanarak ödüller kazanın.
-Yeni Savaşçı Heykelleri: Doris, Remy.
-Primatus Geçidi Optimizasyonu: Tüm mekalar maksimum seviyeye ulaştığında, Primatus Geçidi etkinliğin"&amp;"deki meka DEN tüketim görevi otomatik olarak tamamlanır.
-Hazine Kazısı Optimizasyonu: Savaşçı İşçiler artık daha yüksek seviyeli Savaşçı İşçilere birleştirilebilir!
-Zirve Çarpışması Optimizasyonu: Güvenli bölgelerin kaybolma koşulları değiştirildi, bu k"&amp;"oşul savaş meydanındaki tüm klan siteleri yandığında gerçekleşir.
-Fabrika Optimizasyonu: Fabrika haritasındaki bazı binaların konumları ayarlandı ve işçi kurabiyeleri için takas yapabileceğiniz Yük Merkezi eklendi.")</f>
        <v>-Yeni Savaş Meydanı - Meka Kavgası: Meka meraklıları birleşin! Sistem tarafından sağlanan becerileri ve mekaları seçerek yeni bir savaş meydanında heyecan verici savaşlara katılın!
-Yeni Ücretsiz Taşıyıcı: Sonsuz Değer, yüksek verimli toplama yeteneklerine sahipken birimleri sürekli olarak taşıyabilen bir taşıyıcı.
-Yeni Sahil Sezonu Etkinlikleri:
Özgür Akan Yaz: Soğuk İçecek Kuponlarını kullanarak, özel Sahil Sezonu kostümleri de dahil olmak üzere büyük ödüller kazanın!
Sahil Süperstarı: Sahil Süperstarını desteklemek için Tefleri toplayın ve cömert ödüller kazanın!
İndirimli Paketler: Sınırlı süreli hediyeler, ne kadar çok satın alırsanız o kadar çok kazanırsınız!
Şarj Etme Ödülleri: Tek bir şarj yaparak bol ödüller kazanın!
Dans Çılgınlığı: Günlük görevleri tamamlayarak Soğuk İçecek Kuponları kazanın!
Tef Telaşı: Mutantları ve Gigantoları yenerek Tefler ve diğer cömert ödüller kazanma şansı elde edin!
Yaz Gacha: Gücünüzü artırarak Yaz Gacha Paraları kazanın ve sürpriz ödüller için çevirin!
Sahil Sezonu Haftalık Kartı: Tatil özel Haftalık Kartı ile günlük ödüller, 7 gün boyunca sürekli olarak alın!
-Yeni Yıldız Kolezyumu Turnuvası:
Yıldız Kolezyumu Turnuvası, gezegendeki en iyi çeteler için nihai sahnedir. Kayıtlı çeteler, güçlerine göre farklı gruplara ayrılacak ve grup sıralamalarına göre turnuva ödülleri için savaşacaklar.
-Yeni Eşya - Hızlı Eylem Kartı: Hızlı Eylem Kartlarını kullanarak "Colin’in Keşfi"nde görevleri, eşlikleri ve Mutant Operasyonlarını tamamlayın.
-Trene Hücum: Kazanılan zaferler için ek ödüller eklendi. Her hafta belirli sayıda zafer biriktirin ve ardışık savaşları kazanarak ödüller kazanın.
-Yeni Savaşçı Heykelleri: Doris, Remy.
-Primatus Geçidi Optimizasyonu: Tüm mekalar maksimum seviyeye ulaştığında, Primatus Geçidi etkinliğindeki meka DEN tüketim görevi otomatik olarak tamamlanır.
-Hazine Kazısı Optimizasyonu: Savaşçı İşçiler artık daha yüksek seviyeli Savaşçı İşçilere birleştirilebilir!
-Zirve Çarpışması Optimizasyonu: Güvenli bölgelerin kaybolma koşulları değiştirildi, bu koşul savaş meydanındaki tüm klan siteleri yandığında gerçekleşir.
-Fabrika Optimizasyonu: Fabrika haritasındaki bazı binaların konumları ayarlandı ve işçi kurabiyeleri için takas yapabileceğiniz Yük Merkezi eklendi.</v>
      </c>
      <c r="M57" s="148" t="str">
        <f>IFERROR(__xludf.DUMMYFUNCTION("""COMPUTED_VALUE"""),"-Chiến Trường Mới - Đấu Trường Cơ Khí:Những người đam mê cơ khí hãy đoàn kết! Chọn kỹ năng và cơ khí do hệ thống cung cấp để tham gia vào các trận chiến đầy hứng khởi trên chiến trường mới!
-Người Vận Chuyển Miễn Phí Mới:Dũng Khí Vô Hạn, có khả năng vận c"&amp;"huyển đơn vị liên tục trong khi sở hữu khả năng thu thập hiệu quả cao.
-Sự Kiện Mùa Bãi Biển Mới:
Miễn Phí Mùa Hè: Sử dụng Vé Rượu để giành giải thưởng lớn, bao gồm các trang phục độc quyền Mùa Bãi Biển!
Ngôi Sao Bãi Biển: Thu thập Lục Lạc Bãi Biển để ủng"&amp;" hộ Ngôi Sao Bãi Biển và nhận phần thưởng hào phóng!
Gói Giảm Giá: Quà tặng giới hạn thời gian, mua càng nhiều, nhận càng nhiều!
Phần Thưởng Nạp Năng Lượng: Thực hiện một lần nạp để nhận phần thưởng phong phú!
Cuồng Nhiệt Nhảy Múa: Hoàn thành nhiệm vụ hàn"&amp;"g ngày để nhận Vé Rượu!
Đại Chiến Rung Chuông: Đánh bại Khỉ Đột Biến và Vượn Khổng Lồ để có cơ hội nhận Lục Lạc Bãi Biển và các phần thưởng hào phóng khác!
Gacha Mùa Hè: Tăng chiến lực của bạn để nhận Xu Gacha Mùa Hè và quay để nhận phần thưởng bất ngờ!
T"&amp;"hẻ Tuần Mùa Bãi Biển: Thẻ Tuần đặc biệt trong kỳ nghỉ với phần thưởng hàng ngày, nhận liên tục trong 7 ngày!
-Giải Đấu Đại Đấu Trường Thiên Thể Mới:
Giải Đấu Đại Đấu Trường Thiên Thể là sân khấu tối thượng cho các bang hội hàng đầu trên hành tinh. Các ban"&amp;"g hội đã đăng ký sẽ được phân vào các nhóm khác nhau dựa trên sức mạnh của họ và chiến đấu để giành phần thưởng giải đấu theo xếp hạng nhóm của họ.
-Vật Phẩm Mới - Thẻ Hành Động Nhanh Chóng:Sử dụng Thẻ Hành Động Nhanh Chóng để hoàn thành nhiệm vụ, hộ tống"&amp;" và Vây Quét Khỉ Đột Biến trong ""Khám Phá Của Colin.""
-Xe Lửa Tranh Bá:Thêm phần thưởng cho các trận thắng. Tích lũy một số trận thắng nhất định mỗi tuần và thắng liên tiếp để nhận phần thưởng.
-Tượng Chiến Binh Mới:Doris, Remy.
-Tối Ưu Hóa Cửa Ải Prima"&amp;"tus:Khi tất cả cơ khí đạt cấp tối đa, nhiệm vụ tiêu thụ EXP cơ khí trong sự kiện Cửa Ải Primatus sẽ tự động hoàn thành.
-Tối Ưu Hóa Đào Kho Báu:Công Nhân Chiến Binh giờ có thể kết hợp thành Công Nhân Chiến Binh cấp cao hơn!
-Tối Ưu Hóa Đỉnh Đấu Tranh:Điều"&amp;" chỉnh điều kiện để khu vực an toàn biến mất, đó là khi tất cả các địa điểm của bộ lạc trên chiến trường đang cháy.
-Tối Ưu Hóa Nhà Máy:Điều chỉnh vị trí của một số công trình trên bản đồ Nhà Máy và thêm Trung Tâm Vận Chuyển Hàng Hóa nơi bạn có thể đổi bá"&amp;"nh quy công nhân.")</f>
        <v>-Chiến Trường Mới - Đấu Trường Cơ Khí:Những người đam mê cơ khí hãy đoàn kết! Chọn kỹ năng và cơ khí do hệ thống cung cấp để tham gia vào các trận chiến đầy hứng khởi trên chiến trường mới!
-Người Vận Chuyển Miễn Phí Mới:Dũng Khí Vô Hạn, có khả năng vận chuyển đơn vị liên tục trong khi sở hữu khả năng thu thập hiệu quả cao.
-Sự Kiện Mùa Bãi Biển Mới:
Miễn Phí Mùa Hè: Sử dụng Vé Rượu để giành giải thưởng lớn, bao gồm các trang phục độc quyền Mùa Bãi Biển!
Ngôi Sao Bãi Biển: Thu thập Lục Lạc Bãi Biển để ủng hộ Ngôi Sao Bãi Biển và nhận phần thưởng hào phóng!
Gói Giảm Giá: Quà tặng giới hạn thời gian, mua càng nhiều, nhận càng nhiều!
Phần Thưởng Nạp Năng Lượng: Thực hiện một lần nạp để nhận phần thưởng phong phú!
Cuồng Nhiệt Nhảy Múa: Hoàn thành nhiệm vụ hàng ngày để nhận Vé Rượu!
Đại Chiến Rung Chuông: Đánh bại Khỉ Đột Biến và Vượn Khổng Lồ để có cơ hội nhận Lục Lạc Bãi Biển và các phần thưởng hào phóng khác!
Gacha Mùa Hè: Tăng chiến lực của bạn để nhận Xu Gacha Mùa Hè và quay để nhận phần thưởng bất ngờ!
Thẻ Tuần Mùa Bãi Biển: Thẻ Tuần đặc biệt trong kỳ nghỉ với phần thưởng hàng ngày, nhận liên tục trong 7 ngày!
-Giải Đấu Đại Đấu Trường Thiên Thể Mới:
Giải Đấu Đại Đấu Trường Thiên Thể là sân khấu tối thượng cho các bang hội hàng đầu trên hành tinh. Các bang hội đã đăng ký sẽ được phân vào các nhóm khác nhau dựa trên sức mạnh của họ và chiến đấu để giành phần thưởng giải đấu theo xếp hạng nhóm của họ.
-Vật Phẩm Mới - Thẻ Hành Động Nhanh Chóng:Sử dụng Thẻ Hành Động Nhanh Chóng để hoàn thành nhiệm vụ, hộ tống và Vây Quét Khỉ Đột Biến trong "Khám Phá Của Colin."
-Xe Lửa Tranh Bá:Thêm phần thưởng cho các trận thắng. Tích lũy một số trận thắng nhất định mỗi tuần và thắng liên tiếp để nhận phần thưởng.
-Tượng Chiến Binh Mới:Doris, Remy.
-Tối Ưu Hóa Cửa Ải Primatus:Khi tất cả cơ khí đạt cấp tối đa, nhiệm vụ tiêu thụ EXP cơ khí trong sự kiện Cửa Ải Primatus sẽ tự động hoàn thành.
-Tối Ưu Hóa Đào Kho Báu:Công Nhân Chiến Binh giờ có thể kết hợp thành Công Nhân Chiến Binh cấp cao hơn!
-Tối Ưu Hóa Đỉnh Đấu Tranh:Điều chỉnh điều kiện để khu vực an toàn biến mất, đó là khi tất cả các địa điểm của bộ lạc trên chiến trường đang cháy.
-Tối Ưu Hóa Nhà Máy:Điều chỉnh vị trí của một số công trình trên bản đồ Nhà Máy và thêm Trung Tâm Vận Chuyển Hàng Hóa nơi bạn có thể đổi bánh quy công nhân.</v>
      </c>
      <c r="N57" s="108" t="str">
        <f>IFERROR(__xludf.DUMMYFUNCTION("""COMPUTED_VALUE"""),"-Nuovo Campo di Battaglia - Rissa Mech: Appassionati di Mech unitevi! Scegli le tue abilità e i mech forniti dal sistema per impegnarti in battaglie emozionanti su un nuovo campo di battaglia!
-Nuovo Trasportatore Gratuito: Il Valore Infinito, capace di t"&amp;"rasportare unità continuamente mentre possiede abilità di raccolta ad alta efficienza.
-Nuovi Eventi della Stagione Estiva:
Estate Libera: Usa i Biglietti Bevanda per vincere grandi premi, inclusi skin esclusivi della Stagione Estiva!
Star della Spiaggia:"&amp;" Raccogli Tamburelli per supportare la Star della Spiaggia e guadagnare generose ricompense!
Pacchetti Scontati: Regali a tempo limitato, più acquisti, più ottieni!
Ricompense di Ricarica: Effettua una singola ricarica per ricevere abbondanti ricompense!
"&amp;"Febbre di Ballo: Completa missioni giornaliere per guadagnare Biglietti Bevanda!
Febbre di Tamburelli: Sconfiggi Mutanti e Gigagorilla per avere la possibilità di ottenere Tamburelli e altre generose ricompense!
Gacha Estivo: Aumenta la tua potenza per gu"&amp;"adagnare Monete Gacha Estive e girare per ricompense a sorpresa!
Carta Settimanale della Stagione Estiva: Carta Settimanale speciale per le vacanze con ricompense giornaliere, riscatta continuamente per 7 giorni!
-Nuovo Torneo del Colosseo Astrale:
Il Tor"&amp;"neo del Colosseo Astrale è la fase ultima per le gang migliori del pianeta. Le gang iscritte saranno allocate a diversi gruppi in base alla loro forza e combatteranno per le ricompense del torneo secondo le classifiche di gruppo.
-Nuovo Oggetto - Carta Az"&amp;"ione Rapida: Usa le Carte Azione Rapida per completare missioni, scorte e Operazione Mutanti in ""Esplorazione di Colin.""
-Corsa dei Treni: Aggiunte ricompense per le vittorie. Accumula un certo numero di vittorie ogni settimana e vinci battaglie consecu"&amp;"tive per ricevere ricompense.
-Nuove Statue del Combattente: Doris, Remy.
-Ottimizzazione del Pass Primatus: Quando tutti i mech raggiungono il livello massimo, la missione di consumo ESP mech nell'evento Pass Primatus viene completata automaticamente.
-O"&amp;"ttimizzazione della Scavatura del Tesoro: I Lavoratori Combattenti possono ora essere combinati in Lavoratori Combattenti di livello superiore!
-Ottimizzazione dello Scontro Apice: Modificate le condizioni per la scomparsa delle zone sicure, che avviene q"&amp;"uando tutti i siti del clan nel campo di battaglia stanno bruciando.
-Ottimizzazione della Fabbrica: Regolate le posizioni di alcuni edifici sulla mappa della Fabbrica e aggiunto il Centro Merci dove puoi scambiare biscotti per lavoratori.")</f>
        <v>-Nuovo Campo di Battaglia - Rissa Mech: Appassionati di Mech unitevi! Scegli le tue abilità e i mech forniti dal sistema per impegnarti in battaglie emozionanti su un nuovo campo di battaglia!
-Nuovo Trasportatore Gratuito: Il Valore Infinito, capace di trasportare unità continuamente mentre possiede abilità di raccolta ad alta efficienza.
-Nuovi Eventi della Stagione Estiva:
Estate Libera: Usa i Biglietti Bevanda per vincere grandi premi, inclusi skin esclusivi della Stagione Estiva!
Star della Spiaggia: Raccogli Tamburelli per supportare la Star della Spiaggia e guadagnare generose ricompense!
Pacchetti Scontati: Regali a tempo limitato, più acquisti, più ottieni!
Ricompense di Ricarica: Effettua una singola ricarica per ricevere abbondanti ricompense!
Febbre di Ballo: Completa missioni giornaliere per guadagnare Biglietti Bevanda!
Febbre di Tamburelli: Sconfiggi Mutanti e Gigagorilla per avere la possibilità di ottenere Tamburelli e altre generose ricompense!
Gacha Estivo: Aumenta la tua potenza per guadagnare Monete Gacha Estive e girare per ricompense a sorpresa!
Carta Settimanale della Stagione Estiva: Carta Settimanale speciale per le vacanze con ricompense giornaliere, riscatta continuamente per 7 giorni!
-Nuovo Torneo del Colosseo Astrale:
Il Torneo del Colosseo Astrale è la fase ultima per le gang migliori del pianeta. Le gang iscritte saranno allocate a diversi gruppi in base alla loro forza e combatteranno per le ricompense del torneo secondo le classifiche di gruppo.
-Nuovo Oggetto - Carta Azione Rapida: Usa le Carte Azione Rapida per completare missioni, scorte e Operazione Mutanti in "Esplorazione di Colin."
-Corsa dei Treni: Aggiunte ricompense per le vittorie. Accumula un certo numero di vittorie ogni settimana e vinci battaglie consecutive per ricevere ricompense.
-Nuove Statue del Combattente: Doris, Remy.
-Ottimizzazione del Pass Primatus: Quando tutti i mech raggiungono il livello massimo, la missione di consumo ESP mech nell'evento Pass Primatus viene completata automaticamente.
-Ottimizzazione della Scavatura del Tesoro: I Lavoratori Combattenti possono ora essere combinati in Lavoratori Combattenti di livello superiore!
-Ottimizzazione dello Scontro Apice: Modificate le condizioni per la scomparsa delle zone sicure, che avviene quando tutti i siti del clan nel campo di battaglia stanno bruciando.
-Ottimizzazione della Fabbrica: Regolate le posizioni di alcuni edifici sulla mappa della Fabbrica e aggiunto il Centro Merci dove puoi scambiare biscotti per lavoratori.</v>
      </c>
      <c r="O57" s="148" t="str">
        <f>IFERROR(__xludf.DUMMYFUNCTION("""COMPUTED_VALUE"""),"-Nowe Pole Bitwy - Bijatyka Mechów: Entuzjaści mechów, łączcie się! Wybierz umiejętności i mechy dostarczone przez system, aby wziąć udział w ekscytujących bitwach na nowym polu bitwy!
-Nowy Darmowy Transportowiec: Nieskończona Wartość, zdolna do ciągłego"&amp;" transportu jednostek, posiadająca jednocześnie wysoką efektywność zbierania.
-Nowe Wydarzenia Sezonu Plażowego:
Swobodnie Płynące Lato: Użyj Biletów na Orzeźwiający Napój, aby wygrać wielkie nagrody, w tym ekskluzywne skórki Sezonu Plażowego!
Plażowa Sup"&amp;"ergwiazda: Zbieraj Tamburyny, aby wspierać Plażową Supergwiazdę i zdobywać hojne nagrody!
Pakiety z Rabatem: Prezenty na ograniczony czas, im więcej kupujesz, tym więcej dostajesz!
Nagrody za Doładowanie: Wykonaj jedno doładowanie, aby otrzymać obfite nag"&amp;"rody!
Mania Tańca: Wykonuj codzienne zadania, aby zdobywać Bilety na Orzeźwiający Napój!
Tamburynowy Szał: Pokonaj Mutanty i Gigamałpy, aby mieć szansę na zdobycie Tamburynów i innych hojnych nagród!
Letnia Gacha: Zwiększ swoją siłę, aby zdobywać Monety L"&amp;"etniej Gachy i kręcić kołem po niespodziankowe nagrody!
Karta Tygodniowa Sezonu Plażowego: Specjalna Karta Tygodniowa na wakacje z codziennymi nagrodami, odbieraj nieprzerwanie przez 7 dni!
-Nowy Turniej Gwiezdnego Koloseum:
Turniej Gwiezdnego Koloseum to"&amp;" ostateczna scena dla najlepszych gangów na planecie. Zarejestrowane gangi zostaną przydzielone do różnych grup na podstawie ich siły i będą walczyć o nagrody turniejowe zgodnie z rankingami grup.
-Nowy Przedmiot - Karta Szybkiej Akcji: Użyj Kart Szybkiej"&amp;" Akcji, aby ukończyć zadania, eskorty i Operację Mutanty w ""Eksploracji Colina.""
-Pęd Pociągu: Dodano nagrody za wygrane. Zbieraj określoną liczbę wygranych każdego tygodnia i wygrywaj kolejne bitwy, aby otrzymywać nagrody.
-Nowe Pomniki Wojowników: Dor"&amp;"is, Remi.
-Optymalizacja Primatus Pass: Gdy wszystkie mechy osiągną maksymalny poziom, zadanie zużycia PD mecha w wydarzeniu Primatus Pass jest automatycznie ukończone.
-Optymalizacja Wykopywania Skarbów: Pracownicy Wojownicy mogą teraz być łączeni w Prac"&amp;"owników Wojowników wyższego poziomu!
-Optymalizacja Szczytowego Starcia: Zmieniono warunki znikania stref bezpieczeństwa, co następuje, gdy wszystkie miejsca klanów na polu bitwy płoną.
-Optymalizacja Fabryki: Dostosowano pozycje niektórych budynków na ma"&amp;"pie Fabryki i dodano Centrum Transportu, gdzie można wymieniać ciasteczka pracowników.")</f>
        <v>-Nowe Pole Bitwy - Bijatyka Mechów: Entuzjaści mechów, łączcie się! Wybierz umiejętności i mechy dostarczone przez system, aby wziąć udział w ekscytujących bitwach na nowym polu bitwy!
-Nowy Darmowy Transportowiec: Nieskończona Wartość, zdolna do ciągłego transportu jednostek, posiadająca jednocześnie wysoką efektywność zbierania.
-Nowe Wydarzenia Sezonu Plażowego:
Swobodnie Płynące Lato: Użyj Biletów na Orzeźwiający Napój, aby wygrać wielkie nagrody, w tym ekskluzywne skórki Sezonu Plażowego!
Plażowa Supergwiazda: Zbieraj Tamburyny, aby wspierać Plażową Supergwiazdę i zdobywać hojne nagrody!
Pakiety z Rabatem: Prezenty na ograniczony czas, im więcej kupujesz, tym więcej dostajesz!
Nagrody za Doładowanie: Wykonaj jedno doładowanie, aby otrzymać obfite nagrody!
Mania Tańca: Wykonuj codzienne zadania, aby zdobywać Bilety na Orzeźwiający Napój!
Tamburynowy Szał: Pokonaj Mutanty i Gigamałpy, aby mieć szansę na zdobycie Tamburynów i innych hojnych nagród!
Letnia Gacha: Zwiększ swoją siłę, aby zdobywać Monety Letniej Gachy i kręcić kołem po niespodziankowe nagrody!
Karta Tygodniowa Sezonu Plażowego: Specjalna Karta Tygodniowa na wakacje z codziennymi nagrodami, odbieraj nieprzerwanie przez 7 dni!
-Nowy Turniej Gwiezdnego Koloseum:
Turniej Gwiezdnego Koloseum to ostateczna scena dla najlepszych gangów na planecie. Zarejestrowane gangi zostaną przydzielone do różnych grup na podstawie ich siły i będą walczyć o nagrody turniejowe zgodnie z rankingami grup.
-Nowy Przedmiot - Karta Szybkiej Akcji: Użyj Kart Szybkiej Akcji, aby ukończyć zadania, eskorty i Operację Mutanty w "Eksploracji Colina."
-Pęd Pociągu: Dodano nagrody za wygrane. Zbieraj określoną liczbę wygranych każdego tygodnia i wygrywaj kolejne bitwy, aby otrzymywać nagrody.
-Nowe Pomniki Wojowników: Doris, Remi.
-Optymalizacja Primatus Pass: Gdy wszystkie mechy osiągną maksymalny poziom, zadanie zużycia PD mecha w wydarzeniu Primatus Pass jest automatycznie ukończone.
-Optymalizacja Wykopywania Skarbów: Pracownicy Wojownicy mogą teraz być łączeni w Pracowników Wojowników wyższego poziomu!
-Optymalizacja Szczytowego Starcia: Zmieniono warunki znikania stref bezpieczeństwa, co następuje, gdy wszystkie miejsca klanów na polu bitwy płoną.
-Optymalizacja Fabryki: Dostosowano pozycje niektórych budynków na mapie Fabryki i dodano Centrum Transportu, gdzie można wymieniać ciasteczka pracowników.</v>
      </c>
      <c r="P57" s="148" t="str">
        <f>IFERROR(__xludf.DUMMYFUNCTION("""COMPUTED_VALUE"""),"-ساحة معركة جديدة - حلبة الميكا: عشاق الميكا يتحدون! اختر مهاراتك وآليات الميكا المقدمة من النظام للمشاركة في معارك مثيرة على ساحة معركة جديدة!
-حامل جديد مجاني: الشجاعة اللامتناهية، القادرة على نقل الوحدات باستمرار مع امتلاك قدرات جمع عالية الكفاءة.
-أحد"&amp;"اث موسم الشاطئ الجديدة:
صيف متدفق: استخدم تذاكر الشراب للفوز بجوائز كبيرة، بما في ذلك جلود حصرية لموسم الشاطئ!
نجم الشاطئ: اجمع الدفوف لدعم نجم الشاطئ واحصل على مكافآت سخية!
باقات مخفضة: هدايا محدودة الوقت، كلما اشتريت أكثر، حصلت على المزيد!
مكافآت الشحن:"&amp;" قم بشحن واحد للحصول على مكافآت وفيرة!
جنون الرقص: أكمل المهام اليومية للحصول على تذاكر الشراب!
صخب الدف: اهزم المسوخ والقرود العملاقة للحصول على فرصة للحصول على دفوف ومكافآت سخية أخرى!
سمر غاشا: زد قوتك للحصول على عملات سمر غاشا ولف العجلة للحصول على مكا"&amp;"فآت مفاجئة!
بطاقة أسبوعية لموسم الشاطئ: بطاقة أسبوعية خاصة بالعطلات مع مكافآت يومية، احصل عليها بشكل مستمر لمدة 7 أيام!
-بطولة مدرج النجوم الجديدة:
بطولة مدرج النجوم هي المرحلة النهائية لأفضل العصابات على الكوكب. سيتم تخصيص العصابات المسجلة لمجموعات مختلف"&amp;"ة بناءً على قوتها والتنافس على مكافآت البطولة وفقًا لتصنيفات مجموعتها.
-عنصر جديد - بطاقة الحركة السريعة: استخدم بطاقات الحركة السريعة لإكمال المهام، المرافقة، وصواميل التشغيل في ""استكشاف كولن"".
-القطار المندفع: تمت إضافة مكافآت للفوز. اجمع عددًا معينًا"&amp;" من الانتصارات كل أسبوع، وفز في المعارك المتتالية للحصول على مكافآت.
-تماثيل مقاتلين جديدة: دوريس، ريمي.
-تحسين بطاقة بريماتوس: عندما تصل جميع آليات الميكا إلى المستوى الأقصى، يتم إكمال مهمة استهلاك خبرة الميكا في حدث بطاقة بريماتوس تلقائيًا.
-تحسين حفر ا"&amp;"لكنز: يمكن الآن دمج عمال المقاتلين في عمال مقاتلين بمستوى أعلى!
-تحسين صراع القمة: تم تعديل شروط اختفاء المناطق الآمنة، وهي عندما تكون جميع مواقع العشيرة في ساحة المعركة مشتعلة.
-تحسين المصنع: تم تعديل مواقع بعض المباني على خريطة المصنع وإضافة مركز الشحن "&amp;"حيث يمكنك التبادل للحصول على كوكيز العمال.")</f>
        <v>-ساحة معركة جديدة - حلبة الميكا: عشاق الميكا يتحدون! اختر مهاراتك وآليات الميكا المقدمة من النظام للمشاركة في معارك مثيرة على ساحة معركة جديدة!
-حامل جديد مجاني: الشجاعة اللامتناهية، القادرة على نقل الوحدات باستمرار مع امتلاك قدرات جمع عالية الكفاءة.
-أحداث موسم الشاطئ الجديدة:
صيف متدفق: استخدم تذاكر الشراب للفوز بجوائز كبيرة، بما في ذلك جلود حصرية لموسم الشاطئ!
نجم الشاطئ: اجمع الدفوف لدعم نجم الشاطئ واحصل على مكافآت سخية!
باقات مخفضة: هدايا محدودة الوقت، كلما اشتريت أكثر، حصلت على المزيد!
مكافآت الشحن: قم بشحن واحد للحصول على مكافآت وفيرة!
جنون الرقص: أكمل المهام اليومية للحصول على تذاكر الشراب!
صخب الدف: اهزم المسوخ والقرود العملاقة للحصول على فرصة للحصول على دفوف ومكافآت سخية أخرى!
سمر غاشا: زد قوتك للحصول على عملات سمر غاشا ولف العجلة للحصول على مكافآت مفاجئة!
بطاقة أسبوعية لموسم الشاطئ: بطاقة أسبوعية خاصة بالعطلات مع مكافآت يومية، احصل عليها بشكل مستمر لمدة 7 أيام!
-بطولة مدرج النجوم الجديدة:
بطولة مدرج النجوم هي المرحلة النهائية لأفضل العصابات على الكوكب. سيتم تخصيص العصابات المسجلة لمجموعات مختلفة بناءً على قوتها والتنافس على مكافآت البطولة وفقًا لتصنيفات مجموعتها.
-عنصر جديد - بطاقة الحركة السريعة: استخدم بطاقات الحركة السريعة لإكمال المهام، المرافقة، وصواميل التشغيل في "استكشاف كولن".
-القطار المندفع: تمت إضافة مكافآت للفوز. اجمع عددًا معينًا من الانتصارات كل أسبوع، وفز في المعارك المتتالية للحصول على مكافآت.
-تماثيل مقاتلين جديدة: دوريس، ريمي.
-تحسين بطاقة بريماتوس: عندما تصل جميع آليات الميكا إلى المستوى الأقصى، يتم إكمال مهمة استهلاك خبرة الميكا في حدث بطاقة بريماتوس تلقائيًا.
-تحسين حفر الكنز: يمكن الآن دمج عمال المقاتلين في عمال مقاتلين بمستوى أعلى!
-تحسين صراع القمة: تم تعديل شروط اختفاء المناطق الآمنة، وهي عندما تكون جميع مواقع العشيرة في ساحة المعركة مشتعلة.
-تحسين المصنع: تم تعديل مواقع بعض المباني على خريطة المصنع وإضافة مركز الشحن حيث يمكنك التبادل للحصول على كوكيز العمال.</v>
      </c>
      <c r="Q57" s="148" t="str">
        <f>IFERROR(__xludf.DUMMYFUNCTION("""COMPUTED_VALUE"""),"-新しい戦場 - メカ乱闘: メカ愛好家たちよ、集まれ！システムが提供するスキルとメカを選んで、新しい戦場でエキサイティングな戦闘に挑もう！
-新しい無料キャリア: バロール、ユニットを連続して輸送できるだけでなく、高効率の収集能力も持つ。
-新しいビーチシーズンイベント:
自由な流れの夏: 飲み物チケットを使って、ビーチシーズン限定スキンを含む豪華賞品を獲得しよう！
海辺のスター: タンバリンを集めて海辺のスターを応援し、豪華な報酬を手に入れよう！
割引パック: 限定ギフト、購入すればするほど多くの報酬"&amp;"がもらえる！
リチャージ報酬: 一度のリチャージで豊富な報酬を受け取ろう！
ダンスマニア: デイリークエストを完了して飲み物チケットを獲得しよう！
ハンドベル大作戦: 変異エイプと変異ギガントを倒して、タンバリンやその他の豪華報酬を手に入れよう！
サマーガチャ: 戦力を上げて夏のガチャコインを獲得し、サプライズ報酬を回そう！
ビーチシーズンウィークリーカード: 休日特別ウィークリーカード、毎日の報酬を7日間連続で受け取ろう！
-新しいアストラルコロシアムトーナメント:
アストラルコロシアムトーナメントは、"&amp;"惑星上のトップギルドのための究極のステージです。登録されたギルドはその戦力に基づいて異なるグループに割り当てられ、グループランキングに応じてトーナメント報酬を争います。
-新しいアイテム - 迅速行動カード: 迅速行動カードを使用して、「コリンの探索」でクエスト、護衛、変異エイプ殲滅作戦を完了しよう。
-トレインラッシュ: 勝利に対する報酬を追加。毎週一定数の勝利を積み重ね、連続して戦闘に勝利して報酬を受け取ろう。
-新しいファイターの像: ドリス、レミー。
-プライメイトパスの最適化: 全てのメックが最"&amp;"大レベルに達した場合、プライメイトパスイベントのメック経験値消費クエストが自動的に完了します。
-地底の宝探しの最適化: ファイター労働者を組み合わせて、より高レベルのファイター労働者にすることができます！
-エイペックスクラッシュの最適化: 戦場内の全てのクランサイトが燃えている時に安全区域が消える条件を変更しました。
-工場の最適化: 工場マップ上の一部の建物の位置を調整し、労働者クッキーと交換できる貨物センターを追加しました。")</f>
        <v>-新しい戦場 - メカ乱闘: メカ愛好家たちよ、集まれ！システムが提供するスキルとメカを選んで、新しい戦場でエキサイティングな戦闘に挑もう！
-新しい無料キャリア: バロール、ユニットを連続して輸送できるだけでなく、高効率の収集能力も持つ。
-新しいビーチシーズンイベント:
自由な流れの夏: 飲み物チケットを使って、ビーチシーズン限定スキンを含む豪華賞品を獲得しよう！
海辺のスター: タンバリンを集めて海辺のスターを応援し、豪華な報酬を手に入れよう！
割引パック: 限定ギフト、購入すればするほど多くの報酬がもらえる！
リチャージ報酬: 一度のリチャージで豊富な報酬を受け取ろう！
ダンスマニア: デイリークエストを完了して飲み物チケットを獲得しよう！
ハンドベル大作戦: 変異エイプと変異ギガントを倒して、タンバリンやその他の豪華報酬を手に入れよう！
サマーガチャ: 戦力を上げて夏のガチャコインを獲得し、サプライズ報酬を回そう！
ビーチシーズンウィークリーカード: 休日特別ウィークリーカード、毎日の報酬を7日間連続で受け取ろう！
-新しいアストラルコロシアムトーナメント:
アストラルコロシアムトーナメントは、惑星上のトップギルドのための究極のステージです。登録されたギルドはその戦力に基づいて異なるグループに割り当てられ、グループランキングに応じてトーナメント報酬を争います。
-新しいアイテム - 迅速行動カード: 迅速行動カードを使用して、「コリンの探索」でクエスト、護衛、変異エイプ殲滅作戦を完了しよう。
-トレインラッシュ: 勝利に対する報酬を追加。毎週一定数の勝利を積み重ね、連続して戦闘に勝利して報酬を受け取ろう。
-新しいファイターの像: ドリス、レミー。
-プライメイトパスの最適化: 全てのメックが最大レベルに達した場合、プライメイトパスイベントのメック経験値消費クエストが自動的に完了します。
-地底の宝探しの最適化: ファイター労働者を組み合わせて、より高レベルのファイター労働者にすることができます！
-エイペックスクラッシュの最適化: 戦場内の全てのクランサイトが燃えている時に安全区域が消える条件を変更しました。
-工場の最適化: 工場マップ上の一部の建物の位置を調整し、労働者クッキーと交換できる貨物センターを追加しました。</v>
      </c>
      <c r="R57" s="148" t="str">
        <f>IFERROR(__xludf.DUMMYFUNCTION("""COMPUTED_VALUE"""),"-새로운 전장 - 메카 투기장: 메카 애호가들이여, 단결하라! 시스템이 제공하는 스킬과 메카를 선택하여 새로운 전장에서 짜릿한 전투에 참여하세요!
-새로운 무료 캐리어: 용맹, 유닛을 지속적으로 수송할 수 있으며 고효율 수집 능력을 갖춘 캐리어.
-새로운 해변 시즌 이벤트:
자유로운 여름: 음료 티켓을 사용하여 독점 해변 시즌 스킨을 포함한 큰 상을 획득하세요!
해변의 스타: 방울을 모아 해변의 스타를 지원하고 풍성한 보상을 받으세요!
할인 패키지: 한"&amp;"정 시간 선물, 많이 구매할수록 더 많이 얻습니다!
충전 보상: 단일 충전을 통해 풍성한 보상을 받으세요!
댄스 매니아: 일일 임무를 완료하여 음료 티켓을 획득하세요!
방울 대작전: 변이 원숭이와 변이 원숭이를 물리쳐 방울과 기타 풍성한 보상을 획득할 기회를 잡으세요!
여름 가챠: 전투력을 높여 여름 가챠 코인을 얻고 깜짝 보상을 회전하세요!
해변 시즌 주간 카드: 휴일 특별 주간 카드로 일일 보상을 받고 7일 연속으로 청구하세요!
-새로운 별의 사투 "&amp;"토너먼트:
별의 사투 토너먼트는 행성 최고의 무리들을 위한 궁극의 무대입니다. 등록된 무리들은 그들의 강도에 따라 다른 그룹에 배정되고 그룹 랭킹에 따라 토너먼트 보상을 위해 싸웁니다.
-새로운 아이템 - 신속 행동 카드: 신속 행동 카드를 사용하여 ""콜린의 탐색""에서 임무, 호위 및 변이 원숭이 토벌을 완료하세요.
-기차 쟁탈전: 승리 보상이 추가되었습니다. 매주 일정 수의 승리를 누적하고 연속 전투에서 승리하여 보상을 받으세요.
-새로운 전사 석"&amp;"상: 도리스, 레미.
-강철 원숭이 패스 최적화: 모든 메카가 최고 레벨에 도달하면 강철 원숭이 패스 이벤트의 메카 경험치 소비 퀘스트가 자동으로 완료됩니다.
-지하 보물찾기 최적화: 전사 작업자를 이제 더 높은 레벨의 전사 작업자로 결합할 수 있습니다!
-에이펙스 충돌 최적화: 전장에 있는 모든 클랜 사이트가 불타고 있을 때 안전 지대가 사라지는 조건을 수정했습니다.
-공장 최적화: 공장 지도에서 일부 건물의 위치를 조정하고 작업자 쿠키를 교환할 수 "&amp;"있는 화물 센터를 추가했습니다.")</f>
        <v>-새로운 전장 - 메카 투기장: 메카 애호가들이여, 단결하라! 시스템이 제공하는 스킬과 메카를 선택하여 새로운 전장에서 짜릿한 전투에 참여하세요!
-새로운 무료 캐리어: 용맹, 유닛을 지속적으로 수송할 수 있으며 고효율 수집 능력을 갖춘 캐리어.
-새로운 해변 시즌 이벤트:
자유로운 여름: 음료 티켓을 사용하여 독점 해변 시즌 스킨을 포함한 큰 상을 획득하세요!
해변의 스타: 방울을 모아 해변의 스타를 지원하고 풍성한 보상을 받으세요!
할인 패키지: 한정 시간 선물, 많이 구매할수록 더 많이 얻습니다!
충전 보상: 단일 충전을 통해 풍성한 보상을 받으세요!
댄스 매니아: 일일 임무를 완료하여 음료 티켓을 획득하세요!
방울 대작전: 변이 원숭이와 변이 원숭이를 물리쳐 방울과 기타 풍성한 보상을 획득할 기회를 잡으세요!
여름 가챠: 전투력을 높여 여름 가챠 코인을 얻고 깜짝 보상을 회전하세요!
해변 시즌 주간 카드: 휴일 특별 주간 카드로 일일 보상을 받고 7일 연속으로 청구하세요!
-새로운 별의 사투 토너먼트:
별의 사투 토너먼트는 행성 최고의 무리들을 위한 궁극의 무대입니다. 등록된 무리들은 그들의 강도에 따라 다른 그룹에 배정되고 그룹 랭킹에 따라 토너먼트 보상을 위해 싸웁니다.
-새로운 아이템 - 신속 행동 카드: 신속 행동 카드를 사용하여 "콜린의 탐색"에서 임무, 호위 및 변이 원숭이 토벌을 완료하세요.
-기차 쟁탈전: 승리 보상이 추가되었습니다. 매주 일정 수의 승리를 누적하고 연속 전투에서 승리하여 보상을 받으세요.
-새로운 전사 석상: 도리스, 레미.
-강철 원숭이 패스 최적화: 모든 메카가 최고 레벨에 도달하면 강철 원숭이 패스 이벤트의 메카 경험치 소비 퀘스트가 자동으로 완료됩니다.
-지하 보물찾기 최적화: 전사 작업자를 이제 더 높은 레벨의 전사 작업자로 결합할 수 있습니다!
-에이펙스 충돌 최적화: 전장에 있는 모든 클랜 사이트가 불타고 있을 때 안전 지대가 사라지는 조건을 수정했습니다.
-공장 최적화: 공장 지도에서 일부 건물의 위치를 조정하고 작업자 쿠키를 교환할 수 있는 화물 센터를 추가했습니다.</v>
      </c>
      <c r="S57" s="148"/>
      <c r="T57" s="148"/>
      <c r="U57" s="148"/>
      <c r="V57" s="148"/>
      <c r="W57" s="148"/>
      <c r="X57" s="148"/>
      <c r="Y57" s="148"/>
      <c r="Z57" s="148"/>
    </row>
    <row r="58">
      <c r="A58" s="167" t="str">
        <f>IFERROR(__xludf.DUMMYFUNCTION("""COMPUTED_VALUE"""),"0.67.0")</f>
        <v>0.67.0</v>
      </c>
      <c r="B58" s="148" t="str">
        <f>IFERROR(__xludf.DUMMYFUNCTION("""COMPUTED_VALUE"""),"-新增斗士：孤胆飞侠-萨姆，嫉恶如仇、英姿飒爽的赏金猎人！
-新增斗士：爆裂鼓手-艾玛，声震四方的女鼓手，你的最佳队友！
-新增战车：钢甲雄心号，超强的运载能力，可以发起和参与集结，也可以进行驻防；
-新增战车成就礼包：升级战车舱位，购买礼包即可获得超值奖励！
-新增机甲：收割者-螳螂，锋利的巨型镰刀，让它成为猩球上最危险的狩猎者！
-新增机师：新增巨象、天鹰机甲适配的特定机师各3个，为机甲带来更强大的增益！
-新增教官入驻：斗士可驻扎在兵营中，为部队提供额外增益；
-地下世界玩法拓展：除在银河战争之外，"&amp;"指挥官也可以在地球的地下世界进行游玩了！
-新增战车风暴活动：完成每日任务，助力战车养成！
-新增VIP等级：开放VIP19等级，更好的权益，更多的奖励！
-新增周年庆活动：
周年庆典：收集庆典纪念章，组建周年限定喷泉装饰，获取丰厚奖励，更有周年庆典纪念照片赠送!
周年年报：阅读周年年报，我们将带您一起回顾过去一年的精彩瞬间，重温那些难忘的经历！阅读完后有丰厚奖励！
周年羁绊相册：广邀好友，集齐相片，获取丰厚周年限定活动奖励！
周年狂欢气球：收集打气筒，获取丰厚奖励，更有周年限定行军特效等你获取！
周年签"&amp;"到：每日签到，领取丰厚周年限定活动奖励，免费获取传说周年领袖斗士艾玛！
全猿帮购：邀请指挥官砍价，获得最大的购买优惠，帮助其他指挥官砍价还可以获得砍价谢礼！
周年装饰商店：一周年蛋糕装饰返场，更有机会免费兑换！
周年豪礼：限时累计充值即可领取丰厚奖励！
七日狂欢：欢度周年，赢得周年庆典限定奖励！
周年探宝：周年地底寻宝，赢取限定周年斗士奖励！
周年连锁礼包：周年限定超值礼包，限时开启，赢取丰厚奖励！
超级幸运星：全服周年狂欢，低价抽奖，寻找超级幸运星！周年主城皮肤自选道具等你来抽！
欢乐游园会：参加游园会"&amp;"，赢取两周年限定皮肤奖励！
惊喜涂装：新惊喜涂装登场！试试手气，赢得超稀有周年机甲涂装！
巨猿入侵：为了捍卫猿族的劳动果实而战！击败巨猿可获得丰厚奖励！
2周年讨价还价：放心出价，使用CD低价购买超值道具！
-地下世界优化：优化了地下世界入口的显示逻辑，现在地下世界的入口按钮只有玩家在城内时才会显示；
-收藏品优化：优化了收藏品可以突破时，收藏品图鉴的界面表现；
-收藏品页签优化：增加收藏品存档页签数量，提供更多的藏品搭配选择；
-生产工厂优化：优化了建筑物品溢出相关表现；
-巅峰领土优化：矿石刷新规则、"&amp;"采矿表现优化；
-部队托管优化：托管功能增加了战车类型；
-每日必买优化：取消每日必买礼包的部分气泡显示。")</f>
        <v>-新增斗士：孤胆飞侠-萨姆，嫉恶如仇、英姿飒爽的赏金猎人！
-新增斗士：爆裂鼓手-艾玛，声震四方的女鼓手，你的最佳队友！
-新增战车：钢甲雄心号，超强的运载能力，可以发起和参与集结，也可以进行驻防；
-新增战车成就礼包：升级战车舱位，购买礼包即可获得超值奖励！
-新增机甲：收割者-螳螂，锋利的巨型镰刀，让它成为猩球上最危险的狩猎者！
-新增机师：新增巨象、天鹰机甲适配的特定机师各3个，为机甲带来更强大的增益！
-新增教官入驻：斗士可驻扎在兵营中，为部队提供额外增益；
-地下世界玩法拓展：除在银河战争之外，指挥官也可以在地球的地下世界进行游玩了！
-新增战车风暴活动：完成每日任务，助力战车养成！
-新增VIP等级：开放VIP19等级，更好的权益，更多的奖励！
-新增周年庆活动：
周年庆典：收集庆典纪念章，组建周年限定喷泉装饰，获取丰厚奖励，更有周年庆典纪念照片赠送!
周年年报：阅读周年年报，我们将带您一起回顾过去一年的精彩瞬间，重温那些难忘的经历！阅读完后有丰厚奖励！
周年羁绊相册：广邀好友，集齐相片，获取丰厚周年限定活动奖励！
周年狂欢气球：收集打气筒，获取丰厚奖励，更有周年限定行军特效等你获取！
周年签到：每日签到，领取丰厚周年限定活动奖励，免费获取传说周年领袖斗士艾玛！
全猿帮购：邀请指挥官砍价，获得最大的购买优惠，帮助其他指挥官砍价还可以获得砍价谢礼！
周年装饰商店：一周年蛋糕装饰返场，更有机会免费兑换！
周年豪礼：限时累计充值即可领取丰厚奖励！
七日狂欢：欢度周年，赢得周年庆典限定奖励！
周年探宝：周年地底寻宝，赢取限定周年斗士奖励！
周年连锁礼包：周年限定超值礼包，限时开启，赢取丰厚奖励！
超级幸运星：全服周年狂欢，低价抽奖，寻找超级幸运星！周年主城皮肤自选道具等你来抽！
欢乐游园会：参加游园会，赢取两周年限定皮肤奖励！
惊喜涂装：新惊喜涂装登场！试试手气，赢得超稀有周年机甲涂装！
巨猿入侵：为了捍卫猿族的劳动果实而战！击败巨猿可获得丰厚奖励！
2周年讨价还价：放心出价，使用CD低价购买超值道具！
-地下世界优化：优化了地下世界入口的显示逻辑，现在地下世界的入口按钮只有玩家在城内时才会显示；
-收藏品优化：优化了收藏品可以突破时，收藏品图鉴的界面表现；
-收藏品页签优化：增加收藏品存档页签数量，提供更多的藏品搭配选择；
-生产工厂优化：优化了建筑物品溢出相关表现；
-巅峰领土优化：矿石刷新规则、采矿表现优化；
-部队托管优化：托管功能增加了战车类型；
-每日必买优化：取消每日必买礼包的部分气泡显示。</v>
      </c>
      <c r="C58" s="148" t="str">
        <f>IFERROR(__xludf.DUMMYFUNCTION("""COMPUTED_VALUE"""),"- New Fighter: Lone Ranger - Sam, a fearless bounty hunter with a sharp sense of justice!
- New Fighter: Blasting Drummer - Emma, the powerful drummer whose beats will be your best ally!
- New Carrier: Steel Ambition, with immense carrying capacity, capab"&amp;"le of leading and joining rallies, and defending positions;
- New Carrier Achievement Pack: Upgrade your carrier slots and get exclusive rewards with this pack!
- New Mech: Reaper - Mantis, equipped with giant razor-sharp scythes, making it the deadliest "&amp;"hunter on the Planet!
- New Operators: Three new specialized operators for Elephant and Eagle mechs, enhancing their power!
- New Instructor: Fighters can now be stationed in the camp to provide additional boosts to your troops;
- Expanded Subterra Gamepl"&amp;"ay: Commanders can now explore the subterra, beyond just the Planet Wars!
- New Carrier Storm Event: Complete daily quests to accelerate your carrier’s development!
- New VIP Level: VIP 19 is now available, offering better benefits and more rewards!
- New"&amp;" Anniversary Events:
  - Anniversary Celebration: Collect Celebration Medals, build the exclusive anniversary fountains, and earn generous rewards, including a commemorative anniversary photo!
  - Anniversary Report: Read the anniversary report to relive "&amp;"the highlights of the past year and enjoy rich rewards after reading!
  - Anniversary Bonding Album: Invite friends, collect photos, and earn exclusive anniversary event rewards!
  - Anniversary Festival Balloons: Collect cylinders to earn generous reward"&amp;"s, including exclusive anniversary march effects!
  - Anniversary Sign-In: Sign in daily to receive exclusive anniversary event rewards, including the legendary anniversary leader fighter - Emma for free!
  - Ape Bazaar: Invite commanders to bargain, unlo"&amp;"ck the best purchase discounts, and earn rewards for helping others bargain!
  - Anniversary Decoration Shop: The first-anniversary cake decoration returns, with a chance for free exchange!
  - Anniversary Gifts: Earn generous rewards with limited-time cu"&amp;"mulative recharges!
  - Seven Day Carnival: Celebrate the anniversary and win exclusive celebration rewards!
  - Anniversary Treasure Hunt: Explore the underground and win exclusive anniversary fighter rewards!
  - Anniversary Chain Packs: Limited-time ex"&amp;"clusive anniversary packs are now open, offering rich rewards!
  - Super Lucky Star: Join the anniversary carnival across the server, participate in low-cost draws, and find the Super Lucky Star! Exclusive anniversary City Hall skin selection items await!"&amp;"
  - Funfair: Participate in the Funfair to win exclusive two-year anniversary skin rewards!
  - Lucky Lacquer: New Lucky Lacquer is here! Try your luck and win ultra-rare anniversary mech lacquer!
  - Giganto Invasion: Defend the properties of our Apes! "&amp;"Defeat the Giganto to earn generous rewards!
  - Anniversary Bargains: Feel confident bidding with CD low prices for valuable items!
- Subterra Optimization: The display logic for the subterra entrance has been optimized; the entrance button will only be "&amp;"visible when the player is inside the City Hall;
- Relic Optimization: The display of the relic categories has been optimized when it is able to breakthrough;
- Relic Tab Optimization: Increased the number of tabs for the Display set, providing more optio"&amp;"ns for relic combinations;
- Factory Optimization: Improved the display related to item overflow in buildings;
- Top Territory Optimization: Enhanced the rules for ore refresh and mining display;
- Troop Delegation Optimization: The troop delegation featu"&amp;"re now includes Carrier types;
- Daily Steals Optimization: Removed some of the bubble displays from the Daily Steals packs.
")</f>
        <v>- New Fighter: Lone Ranger - Sam, a fearless bounty hunter with a sharp sense of justice!
- New Fighter: Blasting Drummer - Emma, the powerful drummer whose beats will be your best ally!
- New Carrier: Steel Ambition, with immense carrying capacity, capable of leading and joining rallies, and defending positions;
- New Carrier Achievement Pack: Upgrade your carrier slots and get exclusive rewards with this pack!
- New Mech: Reaper - Mantis, equipped with giant razor-sharp scythes, making it the deadliest hunter on the Planet!
- New Operators: Three new specialized operators for Elephant and Eagle mechs, enhancing their power!
- New Instructor: Fighters can now be stationed in the camp to provide additional boosts to your troops;
- Expanded Subterra Gameplay: Commanders can now explore the subterra, beyond just the Planet Wars!
- New Carrier Storm Event: Complete daily quests to accelerate your carrier’s development!
- New VIP Level: VIP 19 is now available, offering better benefits and more rewards!
- New Anniversary Events:
  - Anniversary Celebration: Collect Celebration Medals, build the exclusive anniversary fountains, and earn generous rewards, including a commemorative anniversary photo!
  - Anniversary Report: Read the anniversary report to relive the highlights of the past year and enjoy rich rewards after reading!
  - Anniversary Bonding Album: Invite friends, collect photos, and earn exclusive anniversary event rewards!
  - Anniversary Festival Balloons: Collect cylinders to earn generous rewards, including exclusive anniversary march effects!
  - Anniversary Sign-In: Sign in daily to receive exclusive anniversary event rewards, including the legendary anniversary leader fighter - Emma for free!
  - Ape Bazaar: Invite commanders to bargain, unlock the best purchase discounts, and earn rewards for helping others bargain!
  - Anniversary Decoration Shop: The first-anniversary cake decoration returns, with a chance for free exchange!
  - Anniversary Gifts: Earn generous rewards with limited-time cumulative recharges!
  - Seven Day Carnival: Celebrate the anniversary and win exclusive celebration rewards!
  - Anniversary Treasure Hunt: Explore the underground and win exclusive anniversary fighter rewards!
  - Anniversary Chain Packs: Limited-time exclusive anniversary packs are now open, offering rich rewards!
  - Super Lucky Star: Join the anniversary carnival across the server, participate in low-cost draws, and find the Super Lucky Star! Exclusive anniversary City Hall skin selection items await!
  - Funfair: Participate in the Funfair to win exclusive two-year anniversary skin rewards!
  - Lucky Lacquer: New Lucky Lacquer is here! Try your luck and win ultra-rare anniversary mech lacquer!
  - Giganto Invasion: Defend the properties of our Apes! Defeat the Giganto to earn generous rewards!
  - Anniversary Bargains: Feel confident bidding with CD low prices for valuable items!
- Subterra Optimization: The display logic for the subterra entrance has been optimized; the entrance button will only be visible when the player is inside the City Hall;
- Relic Optimization: The display of the relic categories has been optimized when it is able to breakthrough;
- Relic Tab Optimization: Increased the number of tabs for the Display set, providing more options for relic combinations;
- Factory Optimization: Improved the display related to item overflow in buildings;
- Top Territory Optimization: Enhanced the rules for ore refresh and mining display;
- Troop Delegation Optimization: The troop delegation feature now includes Carrier types;
- Daily Steals Optimization: Removed some of the bubble displays from the Daily Steals packs.
</v>
      </c>
      <c r="D58" s="148" t="str">
        <f>IFERROR(__xludf.DUMMYFUNCTION("""COMPUTED_VALUE"""),"- Nouveau Combattant : Cow-boy solitaire - Sam, un chasseur de primes intrépide avec un sens aigu de la justice !
- Nouveau Combattant : Batteur Explosif - Emma, la puissante batteuse dont les rythmes seront votre meilleur allié !
- Nouveau Transporteur :"&amp;" Ambition d'acier, avec une immense capacité de transport, capable de diriger et de rejoindre des rassemblements, et de défendre des positions ;
- Nouveau Pack d'Exploit de Transporteur : Améliorez vos emplacements de transporteur et obtenez des récompens"&amp;"es exclusives avec ce pack !
- Nouveau Mécha : Faucheur - Mante, équipé de faux géantes et tranchantes, en faisant le chasseur le plus mortel de la planète !
- Nouveaux Opérateurs : Trois nouveaux opérateurs spécialisés pour les méchas Éléphant et Aigle, "&amp;"améliorant leur puissance !
- Nouvel Instructeur : Les combattants peuvent désormais être stationnés dans le camp pour fournir des boosts supplémentaires à vos troupes ;
- Gameplay Subterra Étendu : Les commandants peuvent désormais explorer le sous-terre"&amp;", au-delà de la simple Guerre planétaire !
- Nouvel Événement Tempête de Transporteur : Complétez des quêtes quotidiennes pour accélérer le développement de votre transporteur !
- Nouveau Niveau VIP : Le VIP 19 est maintenant disponible, offrant de meille"&amp;"urs avantages et plus de récompenses !
- Nouveaux Événements d'Anniversaire :
  - Célébration d'Anniversaire : Collectez des Médailles de Célébration, construisez les fontaines exclusives d'anniversaire, et gagnez des récompenses généreuses, y compris une"&amp;" photo commémorative d'anniversaire !
  - Rapport d'Anniversaire : Lisez le rapport d'anniversaire pour revivre les moments forts de l'année passée et profitez de riches récompenses après lecture !
  - Album de Liaison d'Anniversaire : Invitez des amis, c"&amp;"ollectez des photos, et gagnez des récompenses exclusives d'événement d'anniversaire !
  - Ballons de Festival d'Anniversaire : Collectez des cylindres pour gagner des récompenses généreuses, y compris des effets de déplacement exclusifs d'anniversaire !
"&amp;"  - Connexion d'Anniversaire : Connectez-vous quotidiennement pour recevoir des récompenses exclusives d'événement d'anniversaire, y compris le légendaire combattant leader d'anniversaire - Emma gratuitement !
  - Bazar des Singes : Invitez des commandant"&amp;"s à marchander, débloquez les meilleurs rabais d'achat, et gagnez des récompenses pour avoir aidé les autres à marchander !
  - Boutique de Décors d'Anniversaire : La décoration de gâteau du premier anniversaire revient, avec une chance d'échange gratuit "&amp;"!
  - Cadeaux d'Anniversaire : Gagnez des récompenses généreuses avec des recharges cumulatives à durée limitée !
  - Carnaval de Sept Jours : Célébrez l'anniversaire et gagnez des récompenses exclusives de célébration !
  - Chasse au Trésor d'Anniversair"&amp;"e : Explorez le sous-terre et gagnez des récompenses exclusives de combattant d'anniversaire !
  - Packs en Chaîne d'Anniversaire : Les packs exclusifs d'anniversaire à durée limitée sont maintenant ouverts, offrant des récompenses riches !
  - Super Étoi"&amp;"le Chanceuse : Rejoignez le carnaval d'anniversaire à travers le serveur, participez à des tirages à faible coût, et trouvez la Super Étoile Chanceuse ! Des articles de sélection de skin exclusifs de l'Hôtel de Ville d'anniversaire vous attendent !
  - Fê"&amp;"te Foraine : Participez à la fête foraine pour gagner des récompenses exclusives de skin du deuxième anniversaire !
  - Laque Porte-Bonheur : La nouvelle Laque Porte-Bonheur est là ! Tentez votre chance et gagnez une laque de mécha ultra-rare d'anniversai"&amp;"re !
  - Invasion de Giganto : Défendez les propriétés de nos Singes ! Vainquez le Giganto pour gagner des récompenses généreuses !
  - Marchandages d'Anniversaire : Enchérissez en toute confiance avec des prix bas de CD pour des articles de valeur !
- Op"&amp;"timisation de Subterra : La logique d'affichage de l'entrée de subterra a été optimisée ; le bouton d'entrée ne sera visible que lorsque le joueur est à l'intérieur de l'Hôtel de Ville ;
- Optimisation des Reliques : L'affichage des catégories de reliques"&amp;" a été optimisé lorsqu'il est possible de percer ;
- Optimisation de l'Onglet des Reliques : Augmentation du nombre d'onglets pour l'ensemble d'Exposition, offrant plus d'options pour les combinaisons de reliques ;
- Optimisation de l'Usine : Amélioration"&amp;" de l'affichage lié au débordement d'objets dans les bâtiments ;
- Optimisation du Territoire Principal : Amélioration des règles pour l'actualisation du minerai et l'affichage de l'exploitation minière ;
- Optimisation de la Délégation de Troupes : La fo"&amp;"nctionnalité de délégation de troupes inclut désormais les types de Transporteurs ;
- Optimisation des Chapardages Quotidiens : Suppression de certains affichages de bulles des packs de Chapardages Quotidiens.")</f>
        <v>- Nouveau Combattant : Cow-boy solitaire - Sam, un chasseur de primes intrépide avec un sens aigu de la justice !
- Nouveau Combattant : Batteur Explosif - Emma, la puissante batteuse dont les rythmes seront votre meilleur allié !
- Nouveau Transporteur : Ambition d'acier, avec une immense capacité de transport, capable de diriger et de rejoindre des rassemblements, et de défendre des positions ;
- Nouveau Pack d'Exploit de Transporteur : Améliorez vos emplacements de transporteur et obtenez des récompenses exclusives avec ce pack !
- Nouveau Mécha : Faucheur - Mante, équipé de faux géantes et tranchantes, en faisant le chasseur le plus mortel de la planète !
- Nouveaux Opérateurs : Trois nouveaux opérateurs spécialisés pour les méchas Éléphant et Aigle, améliorant leur puissance !
- Nouvel Instructeur : Les combattants peuvent désormais être stationnés dans le camp pour fournir des boosts supplémentaires à vos troupes ;
- Gameplay Subterra Étendu : Les commandants peuvent désormais explorer le sous-terre, au-delà de la simple Guerre planétaire !
- Nouvel Événement Tempête de Transporteur : Complétez des quêtes quotidiennes pour accélérer le développement de votre transporteur !
- Nouveau Niveau VIP : Le VIP 19 est maintenant disponible, offrant de meilleurs avantages et plus de récompenses !
- Nouveaux Événements d'Anniversaire :
  - Célébration d'Anniversaire : Collectez des Médailles de Célébration, construisez les fontaines exclusives d'anniversaire, et gagnez des récompenses généreuses, y compris une photo commémorative d'anniversaire !
  - Rapport d'Anniversaire : Lisez le rapport d'anniversaire pour revivre les moments forts de l'année passée et profitez de riches récompenses après lecture !
  - Album de Liaison d'Anniversaire : Invitez des amis, collectez des photos, et gagnez des récompenses exclusives d'événement d'anniversaire !
  - Ballons de Festival d'Anniversaire : Collectez des cylindres pour gagner des récompenses généreuses, y compris des effets de déplacement exclusifs d'anniversaire !
  - Connexion d'Anniversaire : Connectez-vous quotidiennement pour recevoir des récompenses exclusives d'événement d'anniversaire, y compris le légendaire combattant leader d'anniversaire - Emma gratuitement !
  - Bazar des Singes : Invitez des commandants à marchander, débloquez les meilleurs rabais d'achat, et gagnez des récompenses pour avoir aidé les autres à marchander !
  - Boutique de Décors d'Anniversaire : La décoration de gâteau du premier anniversaire revient, avec une chance d'échange gratuit !
  - Cadeaux d'Anniversaire : Gagnez des récompenses généreuses avec des recharges cumulatives à durée limitée !
  - Carnaval de Sept Jours : Célébrez l'anniversaire et gagnez des récompenses exclusives de célébration !
  - Chasse au Trésor d'Anniversaire : Explorez le sous-terre et gagnez des récompenses exclusives de combattant d'anniversaire !
  - Packs en Chaîne d'Anniversaire : Les packs exclusifs d'anniversaire à durée limitée sont maintenant ouverts, offrant des récompenses riches !
  - Super Étoile Chanceuse : Rejoignez le carnaval d'anniversaire à travers le serveur, participez à des tirages à faible coût, et trouvez la Super Étoile Chanceuse ! Des articles de sélection de skin exclusifs de l'Hôtel de Ville d'anniversaire vous attendent !
  - Fête Foraine : Participez à la fête foraine pour gagner des récompenses exclusives de skin du deuxième anniversaire !
  - Laque Porte-Bonheur : La nouvelle Laque Porte-Bonheur est là ! Tentez votre chance et gagnez une laque de mécha ultra-rare d'anniversaire !
  - Invasion de Giganto : Défendez les propriétés de nos Singes ! Vainquez le Giganto pour gagner des récompenses généreuses !
  - Marchandages d'Anniversaire : Enchérissez en toute confiance avec des prix bas de CD pour des articles de valeur !
- Optimisation de Subterra : La logique d'affichage de l'entrée de subterra a été optimisée ; le bouton d'entrée ne sera visible que lorsque le joueur est à l'intérieur de l'Hôtel de Ville ;
- Optimisation des Reliques : L'affichage des catégories de reliques a été optimisé lorsqu'il est possible de percer ;
- Optimisation de l'Onglet des Reliques : Augmentation du nombre d'onglets pour l'ensemble d'Exposition, offrant plus d'options pour les combinaisons de reliques ;
- Optimisation de l'Usine : Amélioration de l'affichage lié au débordement d'objets dans les bâtiments ;
- Optimisation du Territoire Principal : Amélioration des règles pour l'actualisation du minerai et l'affichage de l'exploitation minière ;
- Optimisation de la Délégation de Troupes : La fonctionnalité de délégation de troupes inclut désormais les types de Transporteurs ;
- Optimisation des Chapardages Quotidiens : Suppression de certains affichages de bulles des packs de Chapardages Quotidiens.</v>
      </c>
      <c r="E58" s="148" t="str">
        <f>IFERROR(__xludf.DUMMYFUNCTION("""COMPUTED_VALUE"""),"- Neuer Kämpfer: Einzelkämpfer - Sam, ein furchtloser Kopfgeldjäger mit einem scharfen Sinn für Gerechtigkeit!
- Neuer Kämpfer: Explosiver Trommler - Emma, die mächtige Trommlerin, deren Beats dein bester Verbündeter sein werden!
- Neuer Träger: Stählerne"&amp;"r Ehrgeiz, mit enormer Tragfähigkeit, fähig, Rallyes zu führen und beizutreten sowie Positionen zu verteidigen;
- Neues Träger-Erfolgspaket: Werte deine Trägerslots auf und erhalte exklusive Belohnungen mit diesem Paket!
- Neuer Mech: Sensenmann - Mantis,"&amp;" ausgestattet mit riesigen, rasiermesserscharfen Sicheln, die ihn zum tödlichsten Jäger auf dem Planeten machen!
- Neue Operatoren: Drei neue spezialisierte Operatoren für Elefant- und Adler-Mechs, die ihre Stärke verbessern!
- Neuer Ausbilder: Kämpfer kö"&amp;"nnen jetzt im Lager stationiert werden, um deinen Truppen zusätzliche Boosts zu geben;
- Erweitertes Subterra-Gameplay: Kommandanten können jetzt das Subterra erkunden, über die Planetenkriege hinaus!
- Neues Trägersturm-Event: Schließe tägliche Quests ab"&amp;", um die Entwicklung deines Trägers zu beschleunigen!
- Neues VIP-Level: VIP 19 ist jetzt verfügbar und bietet bessere Vorteile und mehr Belohnungen!
- Neue Jubiläums-Events:
  - Jubiläumsfeier: Sammle Feiermedaillen, baue die exklusiven Jubiläumsbrunnen "&amp;"und verdiene großzügige Belohnungen, einschließlich eines Gedenk-Jubiläumsfotos!
  - Jubiläumsbericht: Lies den Jubiläumsbericht, um die Höhepunkte des vergangenen Jahres noch einmal zu erleben und nach dem Lesen reiche Belohnungen zu genießen!
  - Jubilä"&amp;"ums-Bindungsalbum: Lade Freunde ein, sammle Fotos und verdiene exklusive Jubiläums-Event-Belohnungen!
  - Jubiläums-Festballons: Sammle Zylinder, um großzügige Belohnungen zu verdienen, einschließlich exklusiver Jubiläums-Marscheffekte!
  - Jubiläums-Anme"&amp;"ldung: Melde dich täglich an, um exklusive Jubiläums-Event-Belohnungen zu erhalten, einschließlich des legendären Jubiläums-Anführer-Kämpfers - Emma kostenlos!
  - Affen-Basar: Lade Kommandanten ein, zu verhandeln, schalte die besten Einkaufspreise frei u"&amp;"nd verdiene Belohnungen, indem du anderen beim Verhandeln hilfst!
  - Jubiläums-Dekorationsladen: Die erste Jubiläumskuchen-Dekoration kehrt zurück, mit einer Chance auf kostenlosen Austausch!
  - Jubiläumsgeschenke: Verdiene großzügige Belohnungen mit ze"&amp;"itlich begrenzten kumulativen Aufladungen!
  - Sieben-Tage-Karneval: Feiere das Jubiläum und gewinne exklusive Feier-Belohnungen!
  - Jubiläums-Schatzsuche: Erkunde das Unterirdische und gewinne exklusive Jubiläums-Kämpfer-Belohnungen!
  - Jubiläums-Kette"&amp;"npakete: Zeitlich begrenzte exklusive Jubiläumspakete sind jetzt geöffnet und bieten reiche Belohnungen!
  - Super-Glücksstar: Nimm am Jubiläumskarneval serverübergreifend teil, nimm an kostengünstigen Ziehungen teil und finde den Super-Glücksstar! Exklus"&amp;"ive Jubiläums-Rathaus-Skin-Auswahl-Items erwarten dich!
  - Jahrmarkt: Nimm am Jahrmarkt teil, um exklusive Zwei-Jahres-Jubiläums-Skin-Belohnungen zu gewinnen!
  - Glückslack: Neuer Glückslack ist da! Versuche dein Glück und gewinne ultra-seltene Jubiläum"&amp;"s-Mech-Lackierungen!
  - Giganto-Invasion: Verteidige die Besitztümer unserer Affen! Besiege den Giganto, um großzügige Belohnungen zu verdienen!
  - Jubiläums-Schnäppchen: Biete selbstbewusst mit CD-Niedrigpreisen für wertvolle Items!
- Subterra-Optimier"&amp;"ung: Die Anzeige-Logik für den Subterra-Eingang wurde optimiert; die Eingangstaste wird nur sichtbar sein, wenn der Spieler sich im Rathaus befindet;
- Relikt-Optimierung: Die Anzeige der Reliktkategorien wurde optimiert, wenn ein Durchbruch möglich ist;
"&amp;"- Relikt-Tab-Optimierung: Die Anzahl der Tabs für das Anzeige-Set wurde erhöht, um mehr Optionen für Reliktkombinationen zu bieten;
- Fabrik-Optimierung: Die Anzeige im Zusammenhang mit Item-Überlauf in Gebäuden wurde verbessert;
- Top-Territorium-Optimie"&amp;"rung: Die Regeln für Erz-Aktualisierung und Bergbau-Anzeige wurden verbessert;
- Truppen-Delegations-Optimierung: Die Truppen-Delegations-Funktion umfasst jetzt Trägertypen;
- Tägliche Raubzüge-Optimierung: Einige der Blasenanzeigen aus den Täglichen Raub"&amp;"zugspaketen wurden entfernt.")</f>
        <v>- Neuer Kämpfer: Einzelkämpfer - Sam, ein furchtloser Kopfgeldjäger mit einem scharfen Sinn für Gerechtigkeit!
- Neuer Kämpfer: Explosiver Trommler - Emma, die mächtige Trommlerin, deren Beats dein bester Verbündeter sein werden!
- Neuer Träger: Stählerner Ehrgeiz, mit enormer Tragfähigkeit, fähig, Rallyes zu führen und beizutreten sowie Positionen zu verteidigen;
- Neues Träger-Erfolgspaket: Werte deine Trägerslots auf und erhalte exklusive Belohnungen mit diesem Paket!
- Neuer Mech: Sensenmann - Mantis, ausgestattet mit riesigen, rasiermesserscharfen Sicheln, die ihn zum tödlichsten Jäger auf dem Planeten machen!
- Neue Operatoren: Drei neue spezialisierte Operatoren für Elefant- und Adler-Mechs, die ihre Stärke verbessern!
- Neuer Ausbilder: Kämpfer können jetzt im Lager stationiert werden, um deinen Truppen zusätzliche Boosts zu geben;
- Erweitertes Subterra-Gameplay: Kommandanten können jetzt das Subterra erkunden, über die Planetenkriege hinaus!
- Neues Trägersturm-Event: Schließe tägliche Quests ab, um die Entwicklung deines Trägers zu beschleunigen!
- Neues VIP-Level: VIP 19 ist jetzt verfügbar und bietet bessere Vorteile und mehr Belohnungen!
- Neue Jubiläums-Events:
  - Jubiläumsfeier: Sammle Feiermedaillen, baue die exklusiven Jubiläumsbrunnen und verdiene großzügige Belohnungen, einschließlich eines Gedenk-Jubiläumsfotos!
  - Jubiläumsbericht: Lies den Jubiläumsbericht, um die Höhepunkte des vergangenen Jahres noch einmal zu erleben und nach dem Lesen reiche Belohnungen zu genießen!
  - Jubiläums-Bindungsalbum: Lade Freunde ein, sammle Fotos und verdiene exklusive Jubiläums-Event-Belohnungen!
  - Jubiläums-Festballons: Sammle Zylinder, um großzügige Belohnungen zu verdienen, einschließlich exklusiver Jubiläums-Marscheffekte!
  - Jubiläums-Anmeldung: Melde dich täglich an, um exklusive Jubiläums-Event-Belohnungen zu erhalten, einschließlich des legendären Jubiläums-Anführer-Kämpfers - Emma kostenlos!
  - Affen-Basar: Lade Kommandanten ein, zu verhandeln, schalte die besten Einkaufspreise frei und verdiene Belohnungen, indem du anderen beim Verhandeln hilfst!
  - Jubiläums-Dekorationsladen: Die erste Jubiläumskuchen-Dekoration kehrt zurück, mit einer Chance auf kostenlosen Austausch!
  - Jubiläumsgeschenke: Verdiene großzügige Belohnungen mit zeitlich begrenzten kumulativen Aufladungen!
  - Sieben-Tage-Karneval: Feiere das Jubiläum und gewinne exklusive Feier-Belohnungen!
  - Jubiläums-Schatzsuche: Erkunde das Unterirdische und gewinne exklusive Jubiläums-Kämpfer-Belohnungen!
  - Jubiläums-Kettenpakete: Zeitlich begrenzte exklusive Jubiläumspakete sind jetzt geöffnet und bieten reiche Belohnungen!
  - Super-Glücksstar: Nimm am Jubiläumskarneval serverübergreifend teil, nimm an kostengünstigen Ziehungen teil und finde den Super-Glücksstar! Exklusive Jubiläums-Rathaus-Skin-Auswahl-Items erwarten dich!
  - Jahrmarkt: Nimm am Jahrmarkt teil, um exklusive Zwei-Jahres-Jubiläums-Skin-Belohnungen zu gewinnen!
  - Glückslack: Neuer Glückslack ist da! Versuche dein Glück und gewinne ultra-seltene Jubiläums-Mech-Lackierungen!
  - Giganto-Invasion: Verteidige die Besitztümer unserer Affen! Besiege den Giganto, um großzügige Belohnungen zu verdienen!
  - Jubiläums-Schnäppchen: Biete selbstbewusst mit CD-Niedrigpreisen für wertvolle Items!
- Subterra-Optimierung: Die Anzeige-Logik für den Subterra-Eingang wurde optimiert; die Eingangstaste wird nur sichtbar sein, wenn der Spieler sich im Rathaus befindet;
- Relikt-Optimierung: Die Anzeige der Reliktkategorien wurde optimiert, wenn ein Durchbruch möglich ist;
- Relikt-Tab-Optimierung: Die Anzahl der Tabs für das Anzeige-Set wurde erhöht, um mehr Optionen für Reliktkombinationen zu bieten;
- Fabrik-Optimierung: Die Anzeige im Zusammenhang mit Item-Überlauf in Gebäuden wurde verbessert;
- Top-Territorium-Optimierung: Die Regeln für Erz-Aktualisierung und Bergbau-Anzeige wurden verbessert;
- Truppen-Delegations-Optimierung: Die Truppen-Delegations-Funktion umfasst jetzt Trägertypen;
- Tägliche Raubzüge-Optimierung: Einige der Blasenanzeigen aus den Täglichen Raubzugspaketen wurden entfernt.</v>
      </c>
      <c r="F58" s="148" t="str">
        <f>IFERROR(__xludf.DUMMYFUNCTION("""COMPUTED_VALUE"""),"- Novo Combatente: Lobo Solitário - Sam, um caçador de recompensas destemido com um forte senso de justiça!
- Novo Combatente: Baterista Explosivo - Emma, a poderosa baterista cujas batidas serão seu melhor aliado!
- Novo Transportador: Ambição de Aço, co"&amp;"m imensa capacidade de carga, capaz de liderar e participar de comícios, e defender posições;
- Novo Pacote de Conquista do Transportador: Melhore seus slots de transportador e obtenha recompensas exclusivas com este pacote!
- Novo Mech: Ceifador - Louva-"&amp;"a-deus, equipado com foices gigantes afiadas, tornando-o o caçador mais mortal do Planeta!
- Novos Operadores: Três novos operadores especializados para os mechs Elefante e Águia, aprimorando seu poder!
- Novo Instrutor: Combatentes agora podem ser guarne"&amp;"cidos no acampamento para fornecer bônus adicionais às suas tropas;
- Expansão da Mecânica do Subterrâneo: Comandantes agora podem explorar o subterrâneo, além da Guerra Interplanetária!
- Novo Evento Tempestade do Transportador: Complete missões diárias "&amp;"para acelerar o desenvolvimento do seu transportador!
- Novo Nível VIP: VIP 19 agora está disponível, oferecendo melhores benefícios e mais recompensas!
- Novos Eventos de Aniversário:
  - Celebração de Aniversário: Colete Medalhas de Celebração, construa"&amp;" as fontes exclusivas de aniversário e ganhe recompensas generosas, incluindo uma foto comemorativa de aniversário!
  - Relatório de Aniversário: Leia o relatório de aniversário para reviver os destaques do ano passado e aproveite as ricas recompensas apó"&amp;"s a leitura!
  - Álbum de Vinculação de Aniversário: Convide amigos, colete fotos e ganhe recompensas exclusivas do evento de aniversário!
  - Balões do Festival de Aniversário: Colete cilindros para ganhar recompensas generosas, incluindo efeitos de marc"&amp;"ha exclusivos de aniversário!
  - Login de Aniversário: Faça login diariamente para receber recompensas exclusivas do evento de aniversário, incluindo o lendário combatente líder de aniversário - Emma, de graça!
  - Bazar do Macaco: Convide comandantes pa"&amp;"ra pechinchar, desbloqueie os melhores descontos de compra e ganhe recompensas por ajudar outros a pechinchar!
  - Loja de Decoração de Aniversário: A decoração do bolo do primeiro aniversário está de volta, com chance de troca gratuita!
  - Presentes de "&amp;"Aniversário: Ganhe recompensas generosas com recargas cumulativas por tempo limitado!
  - Carnaval de Sete Dias: Celebre o aniversário e ganhe recompensas exclusivas de celebração!
  - Caça ao Tesouro de Aniversário: Explore o subterrâneo e ganhe recompen"&amp;"sas exclusivas de combatentes de aniversário!
  - Pacotes de Aniversário em Cadeia: Pacotes exclusivos de aniversário por tempo limitado estão agora abertos, oferecendo recompensas ricas!
  - Super Estrela da Sorte: Participe do carnaval de aniversário em"&amp;" todo o servidor, participe de sorteios de baixo custo e encontre a Super Estrela da Sorte! Itens exclusivos de seleção de skin da Prefeitura de Aniversário aguardam!
  - Feira: Participe da Feira para ganhar recompensas exclusivas de skin de dois anos de"&amp;" aniversário!
  - Laca da Sorte: Nova Laca da Sorte está aqui! Tente a sua sorte e ganhe laca de mech ultra-rara de aniversário!
  - Invasão Giganto: Defenda as propriedades dos nossos Macacos! Derrote o Giganto para ganhar recompensas generosas!
  - Pech"&amp;"inchas de Aniversário: Sinta-se confiante ao dar lances com preços baixos de CD para itens valiosos!
- Otimização do Subterrâneo: A lógica de exibição da entrada do subterrâneo foi otimizada; o botão de entrada só será visível quando o jogador estiver den"&amp;"tro da Prefeitura;
- Otimização de Relíquias: A exibição das categorias de relíquias foi otimizada quando é possível fazer um avanço;
- Otimização da Aba de Relíquias: Aumentado o número de abas para o conjunto de Exibição, proporcionando mais opções para"&amp;" combinações de relíquias;
- Otimização da Fábrica: Melhorada a exibição relacionada ao excesso de itens nas estruturas;
- Otimização do Território Top: Regras aprimoradas para renovação de minério e exibição de mineração;
- Otimização da Delegação de Tro"&amp;"pas: A função de delegação de tropas agora inclui tipos de Transportadores;
- Otimização dos Roubos Diários: Removidas algumas das exibições de bolhas dos pacotes de Roubos Diários.")</f>
        <v>- Novo Combatente: Lobo Solitário - Sam, um caçador de recompensas destemido com um forte senso de justiça!
- Novo Combatente: Baterista Explosivo - Emma, a poderosa baterista cujas batidas serão seu melhor aliado!
- Novo Transportador: Ambição de Aço, com imensa capacidade de carga, capaz de liderar e participar de comícios, e defender posições;
- Novo Pacote de Conquista do Transportador: Melhore seus slots de transportador e obtenha recompensas exclusivas com este pacote!
- Novo Mech: Ceifador - Louva-a-deus, equipado com foices gigantes afiadas, tornando-o o caçador mais mortal do Planeta!
- Novos Operadores: Três novos operadores especializados para os mechs Elefante e Águia, aprimorando seu poder!
- Novo Instrutor: Combatentes agora podem ser guarnecidos no acampamento para fornecer bônus adicionais às suas tropas;
- Expansão da Mecânica do Subterrâneo: Comandantes agora podem explorar o subterrâneo, além da Guerra Interplanetária!
- Novo Evento Tempestade do Transportador: Complete missões diárias para acelerar o desenvolvimento do seu transportador!
- Novo Nível VIP: VIP 19 agora está disponível, oferecendo melhores benefícios e mais recompensas!
- Novos Eventos de Aniversário:
  - Celebração de Aniversário: Colete Medalhas de Celebração, construa as fontes exclusivas de aniversário e ganhe recompensas generosas, incluindo uma foto comemorativa de aniversário!
  - Relatório de Aniversário: Leia o relatório de aniversário para reviver os destaques do ano passado e aproveite as ricas recompensas após a leitura!
  - Álbum de Vinculação de Aniversário: Convide amigos, colete fotos e ganhe recompensas exclusivas do evento de aniversário!
  - Balões do Festival de Aniversário: Colete cilindros para ganhar recompensas generosas, incluindo efeitos de marcha exclusivos de aniversário!
  - Login de Aniversário: Faça login diariamente para receber recompensas exclusivas do evento de aniversário, incluindo o lendário combatente líder de aniversário - Emma, de graça!
  - Bazar do Macaco: Convide comandantes para pechinchar, desbloqueie os melhores descontos de compra e ganhe recompensas por ajudar outros a pechinchar!
  - Loja de Decoração de Aniversário: A decoração do bolo do primeiro aniversário está de volta, com chance de troca gratuita!
  - Presentes de Aniversário: Ganhe recompensas generosas com recargas cumulativas por tempo limitado!
  - Carnaval de Sete Dias: Celebre o aniversário e ganhe recompensas exclusivas de celebração!
  - Caça ao Tesouro de Aniversário: Explore o subterrâneo e ganhe recompensas exclusivas de combatentes de aniversário!
  - Pacotes de Aniversário em Cadeia: Pacotes exclusivos de aniversário por tempo limitado estão agora abertos, oferecendo recompensas ricas!
  - Super Estrela da Sorte: Participe do carnaval de aniversário em todo o servidor, participe de sorteios de baixo custo e encontre a Super Estrela da Sorte! Itens exclusivos de seleção de skin da Prefeitura de Aniversário aguardam!
  - Feira: Participe da Feira para ganhar recompensas exclusivas de skin de dois anos de aniversário!
  - Laca da Sorte: Nova Laca da Sorte está aqui! Tente a sua sorte e ganhe laca de mech ultra-rara de aniversário!
  - Invasão Giganto: Defenda as propriedades dos nossos Macacos! Derrote o Giganto para ganhar recompensas generosas!
  - Pechinchas de Aniversário: Sinta-se confiante ao dar lances com preços baixos de CD para itens valiosos!
- Otimização do Subterrâneo: A lógica de exibição da entrada do subterrâneo foi otimizada; o botão de entrada só será visível quando o jogador estiver dentro da Prefeitura;
- Otimização de Relíquias: A exibição das categorias de relíquias foi otimizada quando é possível fazer um avanço;
- Otimização da Aba de Relíquias: Aumentado o número de abas para o conjunto de Exibição, proporcionando mais opções para combinações de relíquias;
- Otimização da Fábrica: Melhorada a exibição relacionada ao excesso de itens nas estruturas;
- Otimização do Território Top: Regras aprimoradas para renovação de minério e exibição de mineração;
- Otimização da Delegação de Tropas: A função de delegação de tropas agora inclui tipos de Transportadores;
- Otimização dos Roubos Diários: Removidas algumas das exibições de bolhas dos pacotes de Roubos Diários.</v>
      </c>
      <c r="G58" s="148" t="str">
        <f>IFERROR(__xludf.DUMMYFUNCTION("""COMPUTED_VALUE"""),"-新增鬥士：孤膽飛俠-薩姆，嫉惡如仇、英姿颯爽的賞金獵人！
-新增鬥士：爆裂鼓手-艾瑪，聲震四方的女鼓手，你的最佳隊友！
-新增戰車：鋼鐵雄心號，超強的運載能力，可以發起和參與集結，也可以進行駐防；
-新增戰車成就禮包：升級戰車艙位，購買禮包即可獲得超值獎勵！
-新增機甲：收割者-螳螂，鋒利的巨型鐮刀，讓它成為猩球上最危險的狩獵者！
-新增機師：新增巨象、天鷹機甲適配的特定機師各3個，為機甲帶來更強大的增益！
-新增教官入駐：鬥士可駐紮在兵營中，為部隊提供額外增益；
-地下世界玩法拓展：除在銀河戰爭之外，"&amp;"指揮官也可以在地球的地下世界進行遊玩了！
-新增戰車風暴活動：完成每日任務，助力戰車養成！
-新增VIP等級：開放VIP19等級，更好的權益，更多的獎勵！
-新增週年慶活動：
週年慶典：收集慶典紀念章，組建週年限定噴泉裝飾，獲取豐厚獎勵，更有週年慶典紀念照片贈送!
週年年報：閱讀週年年報，我們將帶您一起回顧過去一年的精彩瞬間，重溫那些難忘的經歷！閱讀完後有豐厚獎勵！
週年羈絆相冊：廣邀好友，集齊相片，獲取豐厚週年限定活動獎勵！
週年狂歡氣球：收集打氣筒，獲取豐厚獎勵，更有週年限定行軍特效等你獲取！
週年簽"&amp;"到：每日簽到，領取豐厚週年限定活動獎勵，免費獲取傳說週年領袖鬥士艾瑪！
全猿幫購：邀請指揮官砍價，獲得最大的購買優惠，幫助其他指揮官砍價還可以獲得砍價謝禮！
週年裝飾商店：一週年蛋糕裝飾返場，更有機會免費兌換！
週年豪禮：限時累計充值即可領取豐厚獎勵！
七日狂歡：歡度週年，贏得週年慶典限定獎勵！
週年探寶：週年地底尋寶，贏取限定週年鬥士獎勵！
週年連鎖禮盒：週年限定超值禮包，限時開啟，贏取豐厚獎勵！
超級幸運星：全服週年狂歡，低價抽獎，尋找超級幸運星！週年主城皮膚自選道具等你來抽！
歡樂遊園會：參加遊園會"&amp;"，贏取兩週年限定皮膚獎勵！
驚喜塗裝：新驚喜塗裝登場！試試手氣，贏得超稀有週年機甲塗裝！
巨猿入侵：為了捍衛猿族的勞動果實而戰！擊敗巨猿可獲得豐厚獎勵！
2週年討價還價：放心出價，使用CD低價購買超值道具！
-地下世界優化：優化了地下世界入口的顯示邏輯，現在地下世界的入口按鈕只有玩家在城內時才會顯示；
-收藏品優化：優化了收藏品可以突破時，收藏品圖鑑的界面表現；
-收藏品頁籤優化：增加收藏品存檔頁籤數量，提供更多的藏品搭配選擇；
-生產工廠優化：優化了建築物品溢出相關表現；
-巔峰領土優化：礦石刷新規則、"&amp;"採礦表現優化；
-部隊託管優化：託管功能增加了戰車類型；
-每日必買優化：取消每日必買禮包的部分氣泡顯示。")</f>
        <v>-新增鬥士：孤膽飛俠-薩姆，嫉惡如仇、英姿颯爽的賞金獵人！
-新增鬥士：爆裂鼓手-艾瑪，聲震四方的女鼓手，你的最佳隊友！
-新增戰車：鋼鐵雄心號，超強的運載能力，可以發起和參與集結，也可以進行駐防；
-新增戰車成就禮包：升級戰車艙位，購買禮包即可獲得超值獎勵！
-新增機甲：收割者-螳螂，鋒利的巨型鐮刀，讓它成為猩球上最危險的狩獵者！
-新增機師：新增巨象、天鷹機甲適配的特定機師各3個，為機甲帶來更強大的增益！
-新增教官入駐：鬥士可駐紮在兵營中，為部隊提供額外增益；
-地下世界玩法拓展：除在銀河戰爭之外，指揮官也可以在地球的地下世界進行遊玩了！
-新增戰車風暴活動：完成每日任務，助力戰車養成！
-新增VIP等級：開放VIP19等級，更好的權益，更多的獎勵！
-新增週年慶活動：
週年慶典：收集慶典紀念章，組建週年限定噴泉裝飾，獲取豐厚獎勵，更有週年慶典紀念照片贈送!
週年年報：閱讀週年年報，我們將帶您一起回顧過去一年的精彩瞬間，重溫那些難忘的經歷！閱讀完後有豐厚獎勵！
週年羈絆相冊：廣邀好友，集齊相片，獲取豐厚週年限定活動獎勵！
週年狂歡氣球：收集打氣筒，獲取豐厚獎勵，更有週年限定行軍特效等你獲取！
週年簽到：每日簽到，領取豐厚週年限定活動獎勵，免費獲取傳說週年領袖鬥士艾瑪！
全猿幫購：邀請指揮官砍價，獲得最大的購買優惠，幫助其他指揮官砍價還可以獲得砍價謝禮！
週年裝飾商店：一週年蛋糕裝飾返場，更有機會免費兌換！
週年豪禮：限時累計充值即可領取豐厚獎勵！
七日狂歡：歡度週年，贏得週年慶典限定獎勵！
週年探寶：週年地底尋寶，贏取限定週年鬥士獎勵！
週年連鎖禮盒：週年限定超值禮包，限時開啟，贏取豐厚獎勵！
超級幸運星：全服週年狂歡，低價抽獎，尋找超級幸運星！週年主城皮膚自選道具等你來抽！
歡樂遊園會：參加遊園會，贏取兩週年限定皮膚獎勵！
驚喜塗裝：新驚喜塗裝登場！試試手氣，贏得超稀有週年機甲塗裝！
巨猿入侵：為了捍衛猿族的勞動果實而戰！擊敗巨猿可獲得豐厚獎勵！
2週年討價還價：放心出價，使用CD低價購買超值道具！
-地下世界優化：優化了地下世界入口的顯示邏輯，現在地下世界的入口按鈕只有玩家在城內時才會顯示；
-收藏品優化：優化了收藏品可以突破時，收藏品圖鑑的界面表現；
-收藏品頁籤優化：增加收藏品存檔頁籤數量，提供更多的藏品搭配選擇；
-生產工廠優化：優化了建築物品溢出相關表現；
-巔峰領土優化：礦石刷新規則、採礦表現優化；
-部隊託管優化：託管功能增加了戰車類型；
-每日必買優化：取消每日必買禮包的部分氣泡顯示。</v>
      </c>
      <c r="H58" s="148" t="str">
        <f>IFERROR(__xludf.DUMMYFUNCTION("""COMPUTED_VALUE"""),"- Pejuang Baru: Penjaga Tunggal - Sam, seorang pemburu hadiah yang tak kenal takut dengan rasa keadilan yang tajam!
- Pejuang Baru: Drummer Peledak - Emma, drummer kuat yang iramanya akan menjadi sekutu terbaikmu!
- Pengangkut Baru: Ambisi Baja, dengan ka"&amp;"pasitas angkut yang besar, mampu memimpin dan bergabung dalam barisan, serta mempertahankan posisi;
- Paket Pencapaian Pengangkut Baru: Tingkatkan slot pengangkutmu dan dapatkan hadiah eksklusif dengan paket ini!
- Mekanik Baru: Pencabut Nyawa - Belalang "&amp;"Sembah, dilengkapi dengan sabit raksasa yang tajam, menjadikannya pemburu paling mematikan di Planet!
- Operator Baru: Tiga operator khusus baru untuk mekanik Gajah dan Elang, meningkatkan kekuatan mereka!
- Instruktur Baru: Pejuang sekarang dapat ditempa"&amp;"tkan di kamp untuk memberikan tambahan boost kepada pasukanmu;
- Gameplay Subterra Diperluas: Komandan sekarang dapat menjelajahi subterra, tidak hanya Perang Planet!
- Event Badai Pengangkut Baru: Selesaikan tantangan harian untuk mempercepat pengembanga"&amp;"n pengangkutmu!
- Level VIP Baru: VIP 19 sekarang tersedia, menawarkan manfaat lebih baik dan lebih banyak hadiah!
- Event Ulang Tahun Baru:
  - Perayaan Ulang Tahun: Kumpulkan Medali Perayaan, bangun air mancur ulang tahun eksklusif, dan dapatkan hadiah "&amp;"yang melimpah, termasuk foto peringatan ulang tahun!
  - Laporan Ulang Tahun: Baca laporan ulang tahun untuk menghidupkan kembali sorotan tahun lalu dan nikmati hadiah melimpah setelah membacanya!
  - Album Pengikatan Ulang Tahun: Undang teman, kumpulkan "&amp;"foto, dan dapatkan hadiah event ulang tahun eksklusif!
  - Balon Festival Ulang Tahun: Kumpulkan silinder untuk mendapatkan hadiah melimpah, termasuk efek barisan ulang tahun eksklusif!
  - Sign-In Ulang Tahun: Sign in harian untuk menerima hadiah event u"&amp;"lang tahun eksklusif, termasuk pejuang pemimpin ulang tahun legendaris - Emma secara gratis!
  - Bazaar Kera: Undang komandan untuk tawar-menawar, buka diskon pembelian terbaik, dan dapatkan hadiah untuk membantu orang lain tawar-menawar!
  - Toko Dekoras"&amp;"i Ulang Tahun: Dekorasi kue ulang tahun pertama kembali, dengan kesempatan untuk tukar gratis!
  - Hadiah Ulang Tahun: Dapatkan hadiah melimpah dengan pengisian ulang kumulatif waktu terbatas!
  - Karnaval Tujuh Hari: Rayakan ulang tahun dan menangkan had"&amp;"iah perayaan eksklusif!
  - Perburuan Harta Karun Ulang Tahun: Jelajahi bawah tanah dan menangkan hadiah pejuang ulang tahun eksklusif!
  - Paket Rantai Ulang Tahun: Paket ulang tahun eksklusif waktu terbatas sekarang dibuka, menawarkan hadiah melimpah!
 "&amp;" - Bintang Super Beruntung: Bergabunglah dalam karnaval ulang tahun di seluruh server, ikuti undian biaya rendah, dan temukan Bintang Super Beruntung! Item pemilihan skin Balai Kota ulang tahun eksklusif menunggu!
  - Funfair: Ikuti Funfair untuk memenang"&amp;"kan hadiah skin ulang tahun dua tahun eksklusif!
  - Pernis Keberuntungan: Pernis Keberuntungan baru telah hadir! Coba keberuntunganmu dan menangkan pernis mekanik ulang tahun yang sangat langka!
  - Invasi Giganto: Pertahankan properti Kera kita! Kalahka"&amp;"n Giganto untuk mendapatkan hadiah melimpah!
  - Tawar-menawar Ulang Tahun: Rasakan percaya diri menawar dengan harga rendah CD untuk item berharga!
- Optimalisasi Subterra: Logika tampilan untuk pintu masuk subterra telah dioptimalkan; tombol pintu masuk"&amp;" hanya akan terlihat saat pemain berada di dalam Balai Kota;
- Optimalisasi Relik: Tampilan kategori relik telah dioptimalkan saat dapat terobosan;
- Optimalisasi Tab Relik: Menambah jumlah tab untuk set Tampilan, menyediakan lebih banyak opsi untuk kombi"&amp;"nasi relik;
- Optimalisasi Pabrik: Meningkatkan tampilan terkait kelebihan item di bangunan;
- Optimalisasi Wilayah Teratas: Meningkatkan aturan untuk refresh bijih dan tampilan penambangan;
- Optimalisasi Delegasi Pasukan: Fitur delegasi pasukan sekarang"&amp;" mencakup jenis Pengangkut;
- Optimalisasi Energy Swept Harian: Menghapus beberapa tampilan gelembung dari paket Energy Swept Harian.")</f>
        <v>- Pejuang Baru: Penjaga Tunggal - Sam, seorang pemburu hadiah yang tak kenal takut dengan rasa keadilan yang tajam!
- Pejuang Baru: Drummer Peledak - Emma, drummer kuat yang iramanya akan menjadi sekutu terbaikmu!
- Pengangkut Baru: Ambisi Baja, dengan kapasitas angkut yang besar, mampu memimpin dan bergabung dalam barisan, serta mempertahankan posisi;
- Paket Pencapaian Pengangkut Baru: Tingkatkan slot pengangkutmu dan dapatkan hadiah eksklusif dengan paket ini!
- Mekanik Baru: Pencabut Nyawa - Belalang Sembah, dilengkapi dengan sabit raksasa yang tajam, menjadikannya pemburu paling mematikan di Planet!
- Operator Baru: Tiga operator khusus baru untuk mekanik Gajah dan Elang, meningkatkan kekuatan mereka!
- Instruktur Baru: Pejuang sekarang dapat ditempatkan di kamp untuk memberikan tambahan boost kepada pasukanmu;
- Gameplay Subterra Diperluas: Komandan sekarang dapat menjelajahi subterra, tidak hanya Perang Planet!
- Event Badai Pengangkut Baru: Selesaikan tantangan harian untuk mempercepat pengembangan pengangkutmu!
- Level VIP Baru: VIP 19 sekarang tersedia, menawarkan manfaat lebih baik dan lebih banyak hadiah!
- Event Ulang Tahun Baru:
  - Perayaan Ulang Tahun: Kumpulkan Medali Perayaan, bangun air mancur ulang tahun eksklusif, dan dapatkan hadiah yang melimpah, termasuk foto peringatan ulang tahun!
  - Laporan Ulang Tahun: Baca laporan ulang tahun untuk menghidupkan kembali sorotan tahun lalu dan nikmati hadiah melimpah setelah membacanya!
  - Album Pengikatan Ulang Tahun: Undang teman, kumpulkan foto, dan dapatkan hadiah event ulang tahun eksklusif!
  - Balon Festival Ulang Tahun: Kumpulkan silinder untuk mendapatkan hadiah melimpah, termasuk efek barisan ulang tahun eksklusif!
  - Sign-In Ulang Tahun: Sign in harian untuk menerima hadiah event ulang tahun eksklusif, termasuk pejuang pemimpin ulang tahun legendaris - Emma secara gratis!
  - Bazaar Kera: Undang komandan untuk tawar-menawar, buka diskon pembelian terbaik, dan dapatkan hadiah untuk membantu orang lain tawar-menawar!
  - Toko Dekorasi Ulang Tahun: Dekorasi kue ulang tahun pertama kembali, dengan kesempatan untuk tukar gratis!
  - Hadiah Ulang Tahun: Dapatkan hadiah melimpah dengan pengisian ulang kumulatif waktu terbatas!
  - Karnaval Tujuh Hari: Rayakan ulang tahun dan menangkan hadiah perayaan eksklusif!
  - Perburuan Harta Karun Ulang Tahun: Jelajahi bawah tanah dan menangkan hadiah pejuang ulang tahun eksklusif!
  - Paket Rantai Ulang Tahun: Paket ulang tahun eksklusif waktu terbatas sekarang dibuka, menawarkan hadiah melimpah!
  - Bintang Super Beruntung: Bergabunglah dalam karnaval ulang tahun di seluruh server, ikuti undian biaya rendah, dan temukan Bintang Super Beruntung! Item pemilihan skin Balai Kota ulang tahun eksklusif menunggu!
  - Funfair: Ikuti Funfair untuk memenangkan hadiah skin ulang tahun dua tahun eksklusif!
  - Pernis Keberuntungan: Pernis Keberuntungan baru telah hadir! Coba keberuntunganmu dan menangkan pernis mekanik ulang tahun yang sangat langka!
  - Invasi Giganto: Pertahankan properti Kera kita! Kalahkan Giganto untuk mendapatkan hadiah melimpah!
  - Tawar-menawar Ulang Tahun: Rasakan percaya diri menawar dengan harga rendah CD untuk item berharga!
- Optimalisasi Subterra: Logika tampilan untuk pintu masuk subterra telah dioptimalkan; tombol pintu masuk hanya akan terlihat saat pemain berada di dalam Balai Kota;
- Optimalisasi Relik: Tampilan kategori relik telah dioptimalkan saat dapat terobosan;
- Optimalisasi Tab Relik: Menambah jumlah tab untuk set Tampilan, menyediakan lebih banyak opsi untuk kombinasi relik;
- Optimalisasi Pabrik: Meningkatkan tampilan terkait kelebihan item di bangunan;
- Optimalisasi Wilayah Teratas: Meningkatkan aturan untuk refresh bijih dan tampilan penambangan;
- Optimalisasi Delegasi Pasukan: Fitur delegasi pasukan sekarang mencakup jenis Pengangkut;
- Optimalisasi Energy Swept Harian: Menghapus beberapa tampilan gelembung dari paket Energy Swept Harian.</v>
      </c>
      <c r="I58" s="148" t="str">
        <f>IFERROR(__xludf.DUMMYFUNCTION("""COMPUTED_VALUE"""),"- นักสู้ตัวใหม่: โลนเรนเจอร์ - แซม, นักล่าค่าหัวที่ไร้ความกลัวและมีความยุติธรรมที่เฉียบแหลม!
- นักสู้ตัวใหม่: มือกลองระเบิด - เอ็มม่า, มือกลองที่ทรงพลังซึ่งจังหวะของเธอจะเป็นพันธมิตรที่ดีที่สุดของคุณ!
- ลิงขนส่งใหม่: ความทะเยอทะยานแห่งโลหะ, มีความจุในการข"&amp;"นส่งมหาศาล, สามารถนำและเข้าร่วมการเดินทัพ, และป้องกันตำแหน่ง;
- แพ็กความสำเร็จของลิงขนส่งใหม่: อัปเกรดช่องลิงขนส่งของคุณและรับรางวัลพิเศษด้วยแพ็กนี้!
- เมคใหม่: ยมทูต - ตั๊กแตนตำข้าว, ติดตั้งด้วยเคียวขนาดใหญ่ที่คมกริบ, ทำให้มันเป็นนักล่าที่อันตรายที่สุดบน"&amp;"ดาวเคราะห์!
- ผู้ปฏิบัติการใหม่: ผู้ปฏิบัติการเฉพาะทางใหม่สามคนสำหรับเมคช้างและอินทรี, เพิ่มพลังของพวกเขา!
- ผู้สอนใหม่: นักสู้สามารถประจำการในค่ายเพื่อให้บูสต์เพิ่มเติมแก่กองทหารของคุณ;
- การเล่นเกมใต้ดินที่ขยาย: ผู้บัญชาการสามารถสำรวจใต้ดินได้แล้ว, นอกเ"&amp;"หนือจากสงครามดาวเคราะห์!
- กิจกรรมพายุลิงขนส่งใหม่: ทำเควสต์ประจำวันเพื่อเร่งการพัฒนาลิงขนส่งของคุณ!
- ระดับ VIP ใหม่: VIP 19 พร้อมให้บริการแล้ว, มอบประโยชน์ที่ดีกว่าและรางวัลเพิ่มเติม!
- กิจกรรมครบรอบปีใหม่:
  - การเฉลิมฉลองครบรอบปี: เก็บเหรียญเฉลิมฉลอง,"&amp;" สร้างน้ำพุครบรอบปีพิเศษ, และรับรางวัลมากมาย, รวมถึงภาพถ่ายครบรอบปีที่ระลึก!
  - รายงานครบรอบปี: อ่านรายงานครบรอบปีเพื่อย้อนรำลึกถึงไฮไลท์ของปีที่ผ่านมาและเพลิดเพลินกับรางวัลมากมายหลังจากอ่าน!
  - อัลบั้มผูกมัดครบรอบปี: เชิญเพื่อน, เก็บภาพถ่าย, และรับรางว"&amp;"ัลกิจกรรมครบรอบปีพิเศษ!
  - ลูกโป่งเทศกาลครบรอบปี: เก็บกระบอกสูบเพื่อรับรางวัลมากมาย, รวมถึงเอฟเฟกต์การเดินทัพครบรอบปีพิเศษ!
  - การลงชื่อเข้าใช้ครบรอบปี: ลงชื่อเข้าใช้ทุกวันเพื่อรับรางวัลกิจกรรมครบรอบปีพิเศษ, รวมถึงนักสู้ผู้นำครบรอบปีในตำนาน - เอ็มม่า ฟร"&amp;"ี!
  - ตลาดลิง: เชิญผู้บัญชาการมาต่อรอง, ปลดล็อกส่วนลดการซื้อที่ดีที่สุด, และรับรางวัลสำหรับการช่วยเหลือผู้อื่นในการต่อรอง!
  - ร้านค้าการตกแต่งครบรอบปี: การตกแต่งเค้กครบรอบปีแรกกลับมาแล้ว, มีโอกาสแลกเปลี่ยนฟรี!
  - ของขวัญครบรอบปี: รับรางวัลมากมายด้วยการ"&amp;"เติมเงินสะสมในเวลาจำกัด!
  - คาร์นิวัลเจ็ดวัน: เฉลิมฉลองครบรอบปีและชนะรางวัลเฉลิมฉลองพิเศษ!
  - ล่าสมบัติครบรอบปี: สำรวจใต้ดินและชนะรางวัลนักสู้ครบรอบปีพิเศษ!
  - แพ็กโซ่ครบรอบปี: แพ็กครบรอบปีพิเศษในเวลาจำกัดเปิดให้บริการแล้ว, มอบรางวัลมากมาย!
  - ดาวนำโช"&amp;"คสุดยอด: เข้าร่วมคาร์นิวัลครบรอบปีทั่วเซิร์ฟเวอร์, เข้าร่วมการจับฉลากราคาต่ำ, และค้นหาดาวนำโชคสุดยอด! ไอเทมการเลือกสกินศาลากลางเมืองครบรอบปีพิเศษรออยู่!
  - งานสนุก: เข้าร่วมงานสนุกเพื่อชนะรางวัลสกินครบรอบปีสองปีพิเศษ!
  - แลคเกอร์นำโชค: แลคเกอร์นำโชคใหม่"&amp;"มาถึงแล้ว! ลองเสี่ยงโชคของคุณและชนะแลคเกอร์เมคครบรอบปีที่หายากสุดๆ!
  - ยักษ์ลิงบุกเข้า: ปกป้องทรัพย์สินของลิงของเรา! เอาชนะยักษ์ลิงเพื่อรับรางวัลมากมาย!
  - ต่อรองครบรอบปี: รู้สึกมั่นใจในการประมูลด้วยราคาต่ำของซีดีสำหรับไอเทมที่มีค่า!
- การปรับปรุงใต้ดิน"&amp;": ปรับปรุงตรรกะการแสดงผลสำหรับทางเข้าใต้ดิน; ปุ่มทางเข้าจะมองเห็นได้เฉพาะเมื่อผู้เล่นอยู่ภายในศาลากลางเมือง;
- การปรับปรุงวัตถุโบราณ: ปรับปรุงการแสดงผลของหมวดหมู่วัตถุโบราณเมื่อสามารถทะลุผ่านได้;
- การปรับปรุงแท็บวัตถุโบราณ: เพิ่มจำนวนแท็บสำหรับชุดการแสดง"&amp;"ผล, มอบตัวเลือกเพิ่มเติมสำหรับการรวมวัตถุโบราณ;
- การปรับปรุงโรงงาน: ปรับปรุงการแสดงผลที่เกี่ยวข้องกับการล้นของไอเทมในสิ่งก่อสร้าง;
- การปรับปรุงอาณาเขตสูงสุด: ปรับปรุงกฎสำหรับการรีเฟรชแร่และการแสดงผลการขุด;
- การปรับปรุงการมอบหมายกองทหาร: ฟีเจอร์การมอบหม"&amp;"ายกองทหารตอนนี้รวมถึงประเภทลิงขนส่ง;
- การปรับปรุงการขโมยประจำวัน: นำการแสดงผลบางส่วนออกจากแพ็กการขโมยประจำวัน.")</f>
        <v>- นักสู้ตัวใหม่: โลนเรนเจอร์ - แซม, นักล่าค่าหัวที่ไร้ความกลัวและมีความยุติธรรมที่เฉียบแหลม!
- นักสู้ตัวใหม่: มือกลองระเบิด - เอ็มม่า, มือกลองที่ทรงพลังซึ่งจังหวะของเธอจะเป็นพันธมิตรที่ดีที่สุดของคุณ!
- ลิงขนส่งใหม่: ความทะเยอทะยานแห่งโลหะ, มีความจุในการขนส่งมหาศาล, สามารถนำและเข้าร่วมการเดินทัพ, และป้องกันตำแหน่ง;
- แพ็กความสำเร็จของลิงขนส่งใหม่: อัปเกรดช่องลิงขนส่งของคุณและรับรางวัลพิเศษด้วยแพ็กนี้!
- เมคใหม่: ยมทูต - ตั๊กแตนตำข้าว, ติดตั้งด้วยเคียวขนาดใหญ่ที่คมกริบ, ทำให้มันเป็นนักล่าที่อันตรายที่สุดบนดาวเคราะห์!
- ผู้ปฏิบัติการใหม่: ผู้ปฏิบัติการเฉพาะทางใหม่สามคนสำหรับเมคช้างและอินทรี, เพิ่มพลังของพวกเขา!
- ผู้สอนใหม่: นักสู้สามารถประจำการในค่ายเพื่อให้บูสต์เพิ่มเติมแก่กองทหารของคุณ;
- การเล่นเกมใต้ดินที่ขยาย: ผู้บัญชาการสามารถสำรวจใต้ดินได้แล้ว, นอกเหนือจากสงครามดาวเคราะห์!
- กิจกรรมพายุลิงขนส่งใหม่: ทำเควสต์ประจำวันเพื่อเร่งการพัฒนาลิงขนส่งของคุณ!
- ระดับ VIP ใหม่: VIP 19 พร้อมให้บริการแล้ว, มอบประโยชน์ที่ดีกว่าและรางวัลเพิ่มเติม!
- กิจกรรมครบรอบปีใหม่:
  - การเฉลิมฉลองครบรอบปี: เก็บเหรียญเฉลิมฉลอง, สร้างน้ำพุครบรอบปีพิเศษ, และรับรางวัลมากมาย, รวมถึงภาพถ่ายครบรอบปีที่ระลึก!
  - รายงานครบรอบปี: อ่านรายงานครบรอบปีเพื่อย้อนรำลึกถึงไฮไลท์ของปีที่ผ่านมาและเพลิดเพลินกับรางวัลมากมายหลังจากอ่าน!
  - อัลบั้มผูกมัดครบรอบปี: เชิญเพื่อน, เก็บภาพถ่าย, และรับรางวัลกิจกรรมครบรอบปีพิเศษ!
  - ลูกโป่งเทศกาลครบรอบปี: เก็บกระบอกสูบเพื่อรับรางวัลมากมาย, รวมถึงเอฟเฟกต์การเดินทัพครบรอบปีพิเศษ!
  - การลงชื่อเข้าใช้ครบรอบปี: ลงชื่อเข้าใช้ทุกวันเพื่อรับรางวัลกิจกรรมครบรอบปีพิเศษ, รวมถึงนักสู้ผู้นำครบรอบปีในตำนาน - เอ็มม่า ฟรี!
  - ตลาดลิง: เชิญผู้บัญชาการมาต่อรอง, ปลดล็อกส่วนลดการซื้อที่ดีที่สุด, และรับรางวัลสำหรับการช่วยเหลือผู้อื่นในการต่อรอง!
  - ร้านค้าการตกแต่งครบรอบปี: การตกแต่งเค้กครบรอบปีแรกกลับมาแล้ว, มีโอกาสแลกเปลี่ยนฟรี!
  - ของขวัญครบรอบปี: รับรางวัลมากมายด้วยการเติมเงินสะสมในเวลาจำกัด!
  - คาร์นิวัลเจ็ดวัน: เฉลิมฉลองครบรอบปีและชนะรางวัลเฉลิมฉลองพิเศษ!
  - ล่าสมบัติครบรอบปี: สำรวจใต้ดินและชนะรางวัลนักสู้ครบรอบปีพิเศษ!
  - แพ็กโซ่ครบรอบปี: แพ็กครบรอบปีพิเศษในเวลาจำกัดเปิดให้บริการแล้ว, มอบรางวัลมากมาย!
  - ดาวนำโชคสุดยอด: เข้าร่วมคาร์นิวัลครบรอบปีทั่วเซิร์ฟเวอร์, เข้าร่วมการจับฉลากราคาต่ำ, และค้นหาดาวนำโชคสุดยอด! ไอเทมการเลือกสกินศาลากลางเมืองครบรอบปีพิเศษรออยู่!
  - งานสนุก: เข้าร่วมงานสนุกเพื่อชนะรางวัลสกินครบรอบปีสองปีพิเศษ!
  - แลคเกอร์นำโชค: แลคเกอร์นำโชคใหม่มาถึงแล้ว! ลองเสี่ยงโชคของคุณและชนะแลคเกอร์เมคครบรอบปีที่หายากสุดๆ!
  - ยักษ์ลิงบุกเข้า: ปกป้องทรัพย์สินของลิงของเรา! เอาชนะยักษ์ลิงเพื่อรับรางวัลมากมาย!
  - ต่อรองครบรอบปี: รู้สึกมั่นใจในการประมูลด้วยราคาต่ำของซีดีสำหรับไอเทมที่มีค่า!
- การปรับปรุงใต้ดิน: ปรับปรุงตรรกะการแสดงผลสำหรับทางเข้าใต้ดิน; ปุ่มทางเข้าจะมองเห็นได้เฉพาะเมื่อผู้เล่นอยู่ภายในศาลากลางเมือง;
- การปรับปรุงวัตถุโบราณ: ปรับปรุงการแสดงผลของหมวดหมู่วัตถุโบราณเมื่อสามารถทะลุผ่านได้;
- การปรับปรุงแท็บวัตถุโบราณ: เพิ่มจำนวนแท็บสำหรับชุดการแสดงผล, มอบตัวเลือกเพิ่มเติมสำหรับการรวมวัตถุโบราณ;
- การปรับปรุงโรงงาน: ปรับปรุงการแสดงผลที่เกี่ยวข้องกับการล้นของไอเทมในสิ่งก่อสร้าง;
- การปรับปรุงอาณาเขตสูงสุด: ปรับปรุงกฎสำหรับการรีเฟรชแร่และการแสดงผลการขุด;
- การปรับปรุงการมอบหมายกองทหาร: ฟีเจอร์การมอบหมายกองทหารตอนนี้รวมถึงประเภทลิงขนส่ง;
- การปรับปรุงการขโมยประจำวัน: นำการแสดงผลบางส่วนออกจากแพ็กการขโมยประจำวัน.</v>
      </c>
      <c r="J58" s="148" t="str">
        <f>IFERROR(__xludf.DUMMYFUNCTION("""COMPUTED_VALUE"""),"- Nuevo Luchador: Llanera Solitaria - Sam, un intrépido cazarrecompensas con un agudo sentido de la justicia!
- Nuevo Luchador: Baterista Explosivo - Emma, la poderosa baterista cuyos ritmos serán tu mejor aliado!
- Nuevo Transportador: Ambición de Acero,"&amp;" con una inmensa capacidad de carga, capaz de liderar y unirse a manifestaciones, y defender posiciones;
- Nuevo Paquete de Logros de Transportador: ¡Mejora tus ranuras de transportador y obtén recompensas exclusivas con este paquete!
- Nuevo Mech: Segado"&amp;"r - Mantis, equipado con gigantescas guadañas afiladas, ¡convirtiéndolo en el cazador más letal del Planeta!
- Nuevos Operadores: ¡Tres nuevos operadores especializados para los mechs Elefante y Águila, mejorando su poder!
- Nuevo Instructor: Los luchador"&amp;"es ahora pueden ser apostados en el campamento para proporcionar potenciadores adicionales a tus tropas;
- Expansión de la Forma de Juego Subterra: ¡Los comandantes ahora pueden explorar el subterra, más allá de solo las Guerras Planetarias!
- Nuevo Event"&amp;"o Tormenta de Transportador: ¡Completa misiones diarias para acelerar el desarrollo de tu transportador!
- Nuevo Nivel VIP: ¡VIP 19 ya está disponible, ofreciendo mejores beneficios y más recompensas!
- Nuevos Eventos de Aniversario:
  - Celebración de An"&amp;"iversario: ¡Recolecta Medallas de Celebración, construye las exclusivas fuentes de aniversario y gana generosas recompensas, incluyendo una foto conmemorativa del aniversario!
  - Informe de Aniversario: ¡Lee el informe de aniversario para revivir los mom"&amp;"entos destacados del año pasado y disfruta de ricas recompensas después de leer!
  - Álbum de Vinculación de Aniversario: ¡Invita a amigos, recolecta fotos y gana recompensas exclusivas del evento de aniversario!
  - Globos del Festival de Aniversario: ¡R"&amp;"ecolecta cilindros para ganar generosas recompensas, incluyendo efectos de marcha exclusivos de aniversario!
  - Iniciar Sesión de Aniversario: ¡Inicia sesión diariamente para recibir recompensas exclusivas del evento de aniversario, incluyendo al legenda"&amp;"rio líder luchador de aniversario - Emma gratis!
  - Bazar de Simios: ¡Invita a comandantes a negociar, desbloquea los mejores descuentos de compra y gana recompensas por ayudar a otros a negociar!
  - Tienda de Decoración de Aniversario: ¡La decoración d"&amp;"el pastel del primer aniversario regresa, con una oportunidad de intercambio gratuito!
  - Regalos de Aniversario: ¡Gana generosas recompensas con recargas acumulativas por tiempo limitado!
  - Carnaval de Siete Días: ¡Celebra el aniversario y gana recomp"&amp;"ensas exclusivas de celebración!
  - Búsqueda del Tesoro de Aniversario: ¡Explora el subsuelo y gana recompensas exclusivas de luchadores de aniversario!
  - Paquetes de Cadena de Aniversario: ¡Paquetes exclusivos de aniversario por tiempo limitado ya est"&amp;"án disponibles, ofreciendo ricas recompensas!
  - Súper Estrella de la Suerte: ¡Únete al carnaval de aniversario en todo el servidor, participa en sorteos de bajo costo y encuentra la Súper Estrella de la Suerte! ¡Artículos de selección de piel de Ayuntam"&amp;"iento exclusivos de aniversario te esperan!
  - Feria: ¡Participa en la Feria para ganar recompensas exclusivas de piel de dos años de aniversario!
  - Laca de la Suerte: ¡La nueva Laca de la Suerte está aquí! ¡Prueba tu suerte y gana laca de mech ultra-r"&amp;"ara de aniversario!
  - Invasión de Gigantopithecus: ¡Defiende las propiedades de nuestros Simios! ¡Derrota al Gigantopithecus para ganar generosas recompensas!
  - Gangas de Aniversario: ¡Siéntete seguro pujando con precios bajos de CD para artículos val"&amp;"iosos!
- Optimización de Subterra: Se ha optimizado la lógica de visualización para la entrada de subterra; el botón de entrada solo será visible cuando el jugador esté dentro del Ayuntamiento;
- Optimización de Reliquias: Se ha optimizado la visualizació"&amp;"n de las categorías de reliquias cuando es posible realizar una ruptura;
- Optimización de la Pestaña de Reliquias: Se ha aumentado el número de pestañas para el conjunto de visualización, proporcionando más opciones para combinaciones de reliquias;
- Opt"&amp;"imización de la Fábrica: Se ha mejorado la visualización relacionada con el desbordamiento de artículos en los edificios;
- Optimización del Territorio Superior: Se han mejorado las reglas para la actualización de minerales y la visualización de la minerí"&amp;"a;
- Optimización de la Delegación de Tropas: La función de delegación de tropas ahora incluye tipos de Transportadores;
- Optimización de Robos Diarios: Se han eliminado algunas de las visualizaciones de burbujas de los paquetes de Robos Diarios.")</f>
        <v>- Nuevo Luchador: Llanera Solitaria - Sam, un intrépido cazarrecompensas con un agudo sentido de la justicia!
- Nuevo Luchador: Baterista Explosivo - Emma, la poderosa baterista cuyos ritmos serán tu mejor aliado!
- Nuevo Transportador: Ambición de Acero, con una inmensa capacidad de carga, capaz de liderar y unirse a manifestaciones, y defender posiciones;
- Nuevo Paquete de Logros de Transportador: ¡Mejora tus ranuras de transportador y obtén recompensas exclusivas con este paquete!
- Nuevo Mech: Segador - Mantis, equipado con gigantescas guadañas afiladas, ¡convirtiéndolo en el cazador más letal del Planeta!
- Nuevos Operadores: ¡Tres nuevos operadores especializados para los mechs Elefante y Águila, mejorando su poder!
- Nuevo Instructor: Los luchadores ahora pueden ser apostados en el campamento para proporcionar potenciadores adicionales a tus tropas;
- Expansión de la Forma de Juego Subterra: ¡Los comandantes ahora pueden explorar el subterra, más allá de solo las Guerras Planetarias!
- Nuevo Evento Tormenta de Transportador: ¡Completa misiones diarias para acelerar el desarrollo de tu transportador!
- Nuevo Nivel VIP: ¡VIP 19 ya está disponible, ofreciendo mejores beneficios y más recompensas!
- Nuevos Eventos de Aniversario:
  - Celebración de Aniversario: ¡Recolecta Medallas de Celebración, construye las exclusivas fuentes de aniversario y gana generosas recompensas, incluyendo una foto conmemorativa del aniversario!
  - Informe de Aniversario: ¡Lee el informe de aniversario para revivir los momentos destacados del año pasado y disfruta de ricas recompensas después de leer!
  - Álbum de Vinculación de Aniversario: ¡Invita a amigos, recolecta fotos y gana recompensas exclusivas del evento de aniversario!
  - Globos del Festival de Aniversario: ¡Recolecta cilindros para ganar generosas recompensas, incluyendo efectos de marcha exclusivos de aniversario!
  - Iniciar Sesión de Aniversario: ¡Inicia sesión diariamente para recibir recompensas exclusivas del evento de aniversario, incluyendo al legendario líder luchador de aniversario - Emma gratis!
  - Bazar de Simios: ¡Invita a comandantes a negociar, desbloquea los mejores descuentos de compra y gana recompensas por ayudar a otros a negociar!
  - Tienda de Decoración de Aniversario: ¡La decoración del pastel del primer aniversario regresa, con una oportunidad de intercambio gratuito!
  - Regalos de Aniversario: ¡Gana generosas recompensas con recargas acumulativas por tiempo limitado!
  - Carnaval de Siete Días: ¡Celebra el aniversario y gana recompensas exclusivas de celebración!
  - Búsqueda del Tesoro de Aniversario: ¡Explora el subsuelo y gana recompensas exclusivas de luchadores de aniversario!
  - Paquetes de Cadena de Aniversario: ¡Paquetes exclusivos de aniversario por tiempo limitado ya están disponibles, ofreciendo ricas recompensas!
  - Súper Estrella de la Suerte: ¡Únete al carnaval de aniversario en todo el servidor, participa en sorteos de bajo costo y encuentra la Súper Estrella de la Suerte! ¡Artículos de selección de piel de Ayuntamiento exclusivos de aniversario te esperan!
  - Feria: ¡Participa en la Feria para ganar recompensas exclusivas de piel de dos años de aniversario!
  - Laca de la Suerte: ¡La nueva Laca de la Suerte está aquí! ¡Prueba tu suerte y gana laca de mech ultra-rara de aniversario!
  - Invasión de Gigantopithecus: ¡Defiende las propiedades de nuestros Simios! ¡Derrota al Gigantopithecus para ganar generosas recompensas!
  - Gangas de Aniversario: ¡Siéntete seguro pujando con precios bajos de CD para artículos valiosos!
- Optimización de Subterra: Se ha optimizado la lógica de visualización para la entrada de subterra; el botón de entrada solo será visible cuando el jugador esté dentro del Ayuntamiento;
- Optimización de Reliquias: Se ha optimizado la visualización de las categorías de reliquias cuando es posible realizar una ruptura;
- Optimización de la Pestaña de Reliquias: Se ha aumentado el número de pestañas para el conjunto de visualización, proporcionando más opciones para combinaciones de reliquias;
- Optimización de la Fábrica: Se ha mejorado la visualización relacionada con el desbordamiento de artículos en los edificios;
- Optimización del Territorio Superior: Se han mejorado las reglas para la actualización de minerales y la visualización de la minería;
- Optimización de la Delegación de Tropas: La función de delegación de tropas ahora incluye tipos de Transportadores;
- Optimización de Robos Diarios: Se han eliminado algunas de las visualizaciones de burbujas de los paquetes de Robos Diarios.</v>
      </c>
      <c r="K58" s="148" t="str">
        <f>IFERROR(__xludf.DUMMYFUNCTION("""COMPUTED_VALUE"""),"- Новый Герой: Одинокий рейнджер - Сэм, бесстрашный охотник за головами с острым чувством справедливости!
- Новый Герой: Взрывной барабанщик - Эмма, мощный барабанщик, чьи ритмы станут вашим лучшим союзником!
- Новый Носитель: Стальные амбиции, с огромной"&amp;" грузоподъемностью, способный вести и присоединяться к митингам, а также защищать позиции;
- Новый Пакет Достижений Носителя: Улучшите слоты носителя и получите эксклюзивные награды с этим пакетом!
- Новый Мех: Жнец - Богомол, оснащенный гигантскими остры"&amp;"ми косами, делающими его самым смертоносным охотником на Планете!
- Новые Операторы: Три новых специализированных оператора для мехов Слон и Орел, усиливающие их мощь!
- Новый Инструктор: Герои теперь могут быть размещены в лагере для предоставления допол"&amp;"нительных усилений вашим войскам;
- Расширенный Игровой Процесс Подземелья: Командиры теперь могут исследовать подземелье, а не только Планетарные войны!
- Новое Событие Шторм Носителя: Выполняйте ежедневные задания, чтобы ускорить развитие вашего носител"&amp;"я!
- Новый Уровень VIP: VIP 19 теперь доступен, предлагая лучшие преимущества и больше наград!
- Новые Юбилейные События:
  - Юбилейное Празднование: Собирайте юбилейные медали, стройте эксклюзивные юбилейные фонтаны и зарабатывайте щедрые награды, включа"&amp;"я памятное юбилейное фото!
  - Юбилейный Отчет: Читайте юбилейный отчет, чтобы вспомнить лучшие моменты прошлого года и наслаждаться богатыми наградами после прочтения!
  - Юбилейный Альбом Связей: Приглашайте друзей, собирайте фотографии и зарабатывайте "&amp;"эксклюзивные награды юбилейного события!
  - Юбилейные Фестивальные Шары: Собирайте цилиндры, чтобы зарабатывать щедрые награды, включая эксклюзивные эффекты марша юбилея!
  - Юбилейный Вход: Входите ежедневно, чтобы получать эксклюзивные награды юбилейно"&amp;"го события, включая легендарного юбилейного лидера героя - Эмму бесплатно!
  - Базар Обезьян: Приглашайте командиров на торги, открывайте лучшие скидки на покупки и зарабатывайте награды за помощь другим в торгах!
  - Юбилейный Магазин Украшений: Украшени"&amp;"е первого юбилейного торта возвращается, с возможностью бесплатного обмена!
  - Юбилейные Подарки: Зарабатывайте щедрые награды с ограниченными по времени накопительными пополнениями!
  - Семидневный Карнавал: Празднуйте юбилей и выигрывайте эксклюзивные "&amp;"награды за празднование!
  - Юбилейная Охота за Сокровищами: Исследуйте подземелье и выигрывайте эксклюзивные награды юбилейного героя!
  - Юбилейные Цепные Пакеты: Ограниченные по времени эксклюзивные юбилейные пакеты теперь открыты, предлагая богатые на"&amp;"грады!
  - Супер Везучая Звезда: Присоединяйтесь к юбилейному карнавалу на сервере, участвуйте в низкозатратных розыгрышах и найдите Супер Везучую Звезду! Эксклюзивные предметы выбора облика Городского совета юбилея ждут!
  - Ярмарка: Участвуйте в Ярмарке"&amp;", чтобы выиграть эксклюзивные награды за двухлетний юбилей!
  - Счастливый Лак: Новый Счастливый Лак здесь! Испытайте удачу и выиграйте ультра-редкий юбилейный лак для меха!
  - Вторжение Гиганто: Защищайте имущество наших Обезьян! Победите Гиганто, чтобы"&amp;" заработать щедрые награды!
  - Юбилейные Торги: Чувствуйте себя уверенно, делая ставки с низкими ценами на CD для ценных предметов!
- Оптимизация Подземелья: Логика отображения входа в подземелье была оптимизирована; кнопка входа будет видна только тогда"&amp;", когда игрок находится внутри Городского совета;
- Оптимизация Реликвий: Отображение категорий реликвий было оптимизировано, когда они могут быть прорывными;
- Оптимизация Вкладок Реликвий: Увеличено количество вкладок для набора отображения, предоставля"&amp;"я больше вариантов для комбинаций реликвий;
- Оптимизация Фабрики: Улучшено отображение, связанное с переполнением предметов в зданиях;
- Оптимизация Территории Топ: Усилены правила обновления руды и отображения добычи;
- Оптимизация Делегации Войск: Функ"&amp;"ция делегации войск теперь включает типы носителей;
- Оптимизация Ежедневных Краж: Удалены некоторые пузырьковые отображения из пакетов Ежедневных Краж.")</f>
        <v>- Новый Герой: Одинокий рейнджер - Сэм, бесстрашный охотник за головами с острым чувством справедливости!
- Новый Герой: Взрывной барабанщик - Эмма, мощный барабанщик, чьи ритмы станут вашим лучшим союзником!
- Новый Носитель: Стальные амбиции, с огромной грузоподъемностью, способный вести и присоединяться к митингам, а также защищать позиции;
- Новый Пакет Достижений Носителя: Улучшите слоты носителя и получите эксклюзивные награды с этим пакетом!
- Новый Мех: Жнец - Богомол, оснащенный гигантскими острыми косами, делающими его самым смертоносным охотником на Планете!
- Новые Операторы: Три новых специализированных оператора для мехов Слон и Орел, усиливающие их мощь!
- Новый Инструктор: Герои теперь могут быть размещены в лагере для предоставления дополнительных усилений вашим войскам;
- Расширенный Игровой Процесс Подземелья: Командиры теперь могут исследовать подземелье, а не только Планетарные войны!
- Новое Событие Шторм Носителя: Выполняйте ежедневные задания, чтобы ускорить развитие вашего носителя!
- Новый Уровень VIP: VIP 19 теперь доступен, предлагая лучшие преимущества и больше наград!
- Новые Юбилейные События:
  - Юбилейное Празднование: Собирайте юбилейные медали, стройте эксклюзивные юбилейные фонтаны и зарабатывайте щедрые награды, включая памятное юбилейное фото!
  - Юбилейный Отчет: Читайте юбилейный отчет, чтобы вспомнить лучшие моменты прошлого года и наслаждаться богатыми наградами после прочтения!
  - Юбилейный Альбом Связей: Приглашайте друзей, собирайте фотографии и зарабатывайте эксклюзивные награды юбилейного события!
  - Юбилейные Фестивальные Шары: Собирайте цилиндры, чтобы зарабатывать щедрые награды, включая эксклюзивные эффекты марша юбилея!
  - Юбилейный Вход: Входите ежедневно, чтобы получать эксклюзивные награды юбилейного события, включая легендарного юбилейного лидера героя - Эмму бесплатно!
  - Базар Обезьян: Приглашайте командиров на торги, открывайте лучшие скидки на покупки и зарабатывайте награды за помощь другим в торгах!
  - Юбилейный Магазин Украшений: Украшение первого юбилейного торта возвращается, с возможностью бесплатного обмена!
  - Юбилейные Подарки: Зарабатывайте щедрые награды с ограниченными по времени накопительными пополнениями!
  - Семидневный Карнавал: Празднуйте юбилей и выигрывайте эксклюзивные награды за празднование!
  - Юбилейная Охота за Сокровищами: Исследуйте подземелье и выигрывайте эксклюзивные награды юбилейного героя!
  - Юбилейные Цепные Пакеты: Ограниченные по времени эксклюзивные юбилейные пакеты теперь открыты, предлагая богатые награды!
  - Супер Везучая Звезда: Присоединяйтесь к юбилейному карнавалу на сервере, участвуйте в низкозатратных розыгрышах и найдите Супер Везучую Звезду! Эксклюзивные предметы выбора облика Городского совета юбилея ждут!
  - Ярмарка: Участвуйте в Ярмарке, чтобы выиграть эксклюзивные награды за двухлетний юбилей!
  - Счастливый Лак: Новый Счастливый Лак здесь! Испытайте удачу и выиграйте ультра-редкий юбилейный лак для меха!
  - Вторжение Гиганто: Защищайте имущество наших Обезьян! Победите Гиганто, чтобы заработать щедрые награды!
  - Юбилейные Торги: Чувствуйте себя уверенно, делая ставки с низкими ценами на CD для ценных предметов!
- Оптимизация Подземелья: Логика отображения входа в подземелье была оптимизирована; кнопка входа будет видна только тогда, когда игрок находится внутри Городского совета;
- Оптимизация Реликвий: Отображение категорий реликвий было оптимизировано, когда они могут быть прорывными;
- Оптимизация Вкладок Реликвий: Увеличено количество вкладок для набора отображения, предоставляя больше вариантов для комбинаций реликвий;
- Оптимизация Фабрики: Улучшено отображение, связанное с переполнением предметов в зданиях;
- Оптимизация Территории Топ: Усилены правила обновления руды и отображения добычи;
- Оптимизация Делегации Войск: Функция делегации войск теперь включает типы носителей;
- Оптимизация Ежедневных Краж: Удалены некоторые пузырьковые отображения из пакетов Ежедневных Краж.</v>
      </c>
      <c r="L58" s="148" t="str">
        <f>IFERROR(__xludf.DUMMYFUNCTION("""COMPUTED_VALUE"""),"- Yeni Savaşçı: Yalnız Korucu - Sam, keskin bir adalet duygusuna sahip korkusuz bir ödül avcısı!
- Yeni Savaşçı: Patlayan Davulcu - Emma, ritimleri en iyi müttefikiniz olacak güçlü davulcu!
- Yeni Taşıyıcı: Çelik Hırs, muazzam taşıma kapasitesine sahip, m"&amp;"itinglere liderlik edebilen ve katılabilen, pozisyonları savunabilen;
- Yeni Taşıyıcı Başarı Paketi: Taşıyıcı yuvalarınızı yükseltin ve bu paketle özel ödüller kazanın!
- Yeni Meka: Azrail - Peygamber Devesi, devasa keskin tırpanlarla donatılmış, Gezegeni"&amp;"n en ölümcül avcısı!
- Yeni Operatörler: Fil ve Kartal mekaları için güçlerini artıran üç yeni uzman operatör!
- Yeni Eğitmen: Savaşçılar artık kamp alanında konuşlandırılabilir ve birliklerinize ek güçlendirmeler sağlayabilir;
- Genişletilmiş Subterra Oy"&amp;"nanışı: Komutanlar artık sadece Gezegen Savaşları'nın ötesinde subterra'yı keşfedebilir!
- Yeni Taşıyıcı Fırtına Etkinliği: Günlük görevleri tamamlayarak taşıyıcınızın gelişimini hızlandırın!
- Yeni VIP Seviyesi: VIP 19 artık mevcut, daha iyi avantajlar v"&amp;"e daha fazla ödül sunuyor!
- Yeni Yıldönümü Etkinlikleri:
  - Yıldönümü Kutlaması: Kutlama Madalyaları toplayın, özel yıldönümü çeşmelerini inşa edin ve cömert ödüller kazanın, anı fotoğrafı dahil!
  - Yıldönümü Raporu: Yıldönümü raporunu okuyarak geçen y"&amp;"ılın öne çıkan anlarını yeniden yaşayın ve okuduktan sonra zengin ödüllerin tadını çıkarın!
  - Yıldönümü Bağlanma Albümü: Arkadaşlarınızı davet edin, fotoğraflar toplayın ve özel yıldönümü etkinlik ödülleri kazanın!
  - Yıldönümü Festival Balonları: Sili"&amp;"ndirler toplayarak cömert ödüller kazanın, özel yıldönümü sefer efektleri dahil!
  - Yıldönümü Oturum Açma: Günlük olarak oturum açarak özel yıldönümü etkinlik ödülleri kazanın, efsanevi yıldönümü lider savaşçı - Emma ücretsiz!
  - Maymun Pazarı: Komutanl"&amp;"arı pazarlık yapmaya davet edin, en iyi satın alma indirimlerini açın ve başkalarına pazarlık yapmalarına yardımcı olarak ödüller kazanın!
  - Yıldönümü Dekorasyon Mağazası: İlk yıldönümü pasta dekorasyonu geri dönüyor, ücretsiz takas şansı ile!
  - Yıldö"&amp;"nümü Hediyeleri: Sınırlı süreli kümülatif yeniden yüklemelerle cömert ödüller kazanın!
  - Yedi Gün Karnavalı: Yıldönümünü kutlayın ve özel kutlama ödülleri kazanın!
  - Yıldönümü Hazine Avı: Yer altını keşfedin ve özel yıldönümü savaşçı ödülleri kazanın!"&amp;"
  - Yıldönümü Zincir Paketleri: Sınırlı süreli özel yıldönümü paketleri şimdi açık, zengin ödüller sunuyor!
  - Süper Şanslı Yıldız: Sunucu genelinde yıldönümü karnavalına katılın, düşük maliyetli çekilişlere katılın ve Süper Şanslı Yıldız'ı bulun! Özel "&amp;"yıldönümü Meclis görünüm seçimi öğeleri sizi bekliyor!
  - Panayır: Panayıra katılın ve özel iki yıllık yıldönümü görünüm ödülleri kazanın!
  - Şanslı Lake: Yeni Şanslı Lake burada! Şansınızı deneyin ve ultra nadir yıldönümü meka lake kazanın!
  - Giganto"&amp;" İstilası: Maymunlarımızın mülklerini savunun! Giganto'yu yenerek cömert ödüller kazanın!
  - Yıldönümü Pazarlıkları: Değerli eşyalar için CD düşük fiyatlarla güvenle teklif verin!
- Subterra Optimizasyonu: Subterra girişinin görüntüleme mantığı optimize "&amp;"edildi; giriş düğmesi yalnızca oyuncu Meclis içinde olduğunda görünür olacak;
- Kalıntı Optimizasyonu: Kalıntı kategorilerinin görüntülenmesi, kırılma yapabildiğinde optimize edildi;
- Kalıntı Sekmesi Optimizasyonu: Görüntü seti için sekme sayısı artırıld"&amp;"ı, kalıntı kombinasyonları için daha fazla seçenek sunuyor;
- Fabrika Optimizasyonu: Binalardaki eşya taşması ile ilgili görüntü iyileştirildi;
- Üst Bölge Optimizasyonu: Cevher yenileme ve madencilik görüntüleme kuralları geliştirildi;
- Birlik Görevlend"&amp;"irme Optimizasyonu: Birlik görevlendirme özelliği artık Taşıyıcı türlerini içeriyor;
- Günlük Çalmalar Optimizasyonu: Günlük Çalmalar paketlerinden bazı balon görüntüleri kaldırıldı.")</f>
        <v>- Yeni Savaşçı: Yalnız Korucu - Sam, keskin bir adalet duygusuna sahip korkusuz bir ödül avcısı!
- Yeni Savaşçı: Patlayan Davulcu - Emma, ritimleri en iyi müttefikiniz olacak güçlü davulcu!
- Yeni Taşıyıcı: Çelik Hırs, muazzam taşıma kapasitesine sahip, mitinglere liderlik edebilen ve katılabilen, pozisyonları savunabilen;
- Yeni Taşıyıcı Başarı Paketi: Taşıyıcı yuvalarınızı yükseltin ve bu paketle özel ödüller kazanın!
- Yeni Meka: Azrail - Peygamber Devesi, devasa keskin tırpanlarla donatılmış, Gezegenin en ölümcül avcısı!
- Yeni Operatörler: Fil ve Kartal mekaları için güçlerini artıran üç yeni uzman operatör!
- Yeni Eğitmen: Savaşçılar artık kamp alanında konuşlandırılabilir ve birliklerinize ek güçlendirmeler sağlayabilir;
- Genişletilmiş Subterra Oynanışı: Komutanlar artık sadece Gezegen Savaşları'nın ötesinde subterra'yı keşfedebilir!
- Yeni Taşıyıcı Fırtına Etkinliği: Günlük görevleri tamamlayarak taşıyıcınızın gelişimini hızlandırın!
- Yeni VIP Seviyesi: VIP 19 artık mevcut, daha iyi avantajlar ve daha fazla ödül sunuyor!
- Yeni Yıldönümü Etkinlikleri:
  - Yıldönümü Kutlaması: Kutlama Madalyaları toplayın, özel yıldönümü çeşmelerini inşa edin ve cömert ödüller kazanın, anı fotoğrafı dahil!
  - Yıldönümü Raporu: Yıldönümü raporunu okuyarak geçen yılın öne çıkan anlarını yeniden yaşayın ve okuduktan sonra zengin ödüllerin tadını çıkarın!
  - Yıldönümü Bağlanma Albümü: Arkadaşlarınızı davet edin, fotoğraflar toplayın ve özel yıldönümü etkinlik ödülleri kazanın!
  - Yıldönümü Festival Balonları: Silindirler toplayarak cömert ödüller kazanın, özel yıldönümü sefer efektleri dahil!
  - Yıldönümü Oturum Açma: Günlük olarak oturum açarak özel yıldönümü etkinlik ödülleri kazanın, efsanevi yıldönümü lider savaşçı - Emma ücretsiz!
  - Maymun Pazarı: Komutanları pazarlık yapmaya davet edin, en iyi satın alma indirimlerini açın ve başkalarına pazarlık yapmalarına yardımcı olarak ödüller kazanın!
  - Yıldönümü Dekorasyon Mağazası: İlk yıldönümü pasta dekorasyonu geri dönüyor, ücretsiz takas şansı ile!
  - Yıldönümü Hediyeleri: Sınırlı süreli kümülatif yeniden yüklemelerle cömert ödüller kazanın!
  - Yedi Gün Karnavalı: Yıldönümünü kutlayın ve özel kutlama ödülleri kazanın!
  - Yıldönümü Hazine Avı: Yer altını keşfedin ve özel yıldönümü savaşçı ödülleri kazanın!
  - Yıldönümü Zincir Paketleri: Sınırlı süreli özel yıldönümü paketleri şimdi açık, zengin ödüller sunuyor!
  - Süper Şanslı Yıldız: Sunucu genelinde yıldönümü karnavalına katılın, düşük maliyetli çekilişlere katılın ve Süper Şanslı Yıldız'ı bulun! Özel yıldönümü Meclis görünüm seçimi öğeleri sizi bekliyor!
  - Panayır: Panayıra katılın ve özel iki yıllık yıldönümü görünüm ödülleri kazanın!
  - Şanslı Lake: Yeni Şanslı Lake burada! Şansınızı deneyin ve ultra nadir yıldönümü meka lake kazanın!
  - Giganto İstilası: Maymunlarımızın mülklerini savunun! Giganto'yu yenerek cömert ödüller kazanın!
  - Yıldönümü Pazarlıkları: Değerli eşyalar için CD düşük fiyatlarla güvenle teklif verin!
- Subterra Optimizasyonu: Subterra girişinin görüntüleme mantığı optimize edildi; giriş düğmesi yalnızca oyuncu Meclis içinde olduğunda görünür olacak;
- Kalıntı Optimizasyonu: Kalıntı kategorilerinin görüntülenmesi, kırılma yapabildiğinde optimize edildi;
- Kalıntı Sekmesi Optimizasyonu: Görüntü seti için sekme sayısı artırıldı, kalıntı kombinasyonları için daha fazla seçenek sunuyor;
- Fabrika Optimizasyonu: Binalardaki eşya taşması ile ilgili görüntü iyileştirildi;
- Üst Bölge Optimizasyonu: Cevher yenileme ve madencilik görüntüleme kuralları geliştirildi;
- Birlik Görevlendirme Optimizasyonu: Birlik görevlendirme özelliği artık Taşıyıcı türlerini içeriyor;
- Günlük Çalmalar Optimizasyonu: Günlük Çalmalar paketlerinden bazı balon görüntüleri kaldırıldı.</v>
      </c>
      <c r="M58" s="148" t="str">
        <f>IFERROR(__xludf.DUMMYFUNCTION("""COMPUTED_VALUE"""),"- Chiến Binh Mới: Kiểm Lâm Đơn Độc - Sam, một kẻ săn tiền thưởng không sợ hãi với cảm giác công lý sắc bén!
- Chiến Binh Mới: Tay Trống Nổ - Emma, tay trống mạnh mẽ với những nhịp điệu sẽ là đồng minh tốt nhất của bạn!
- Người Vận Chuyển Mới: Tham Vọng Th"&amp;"ép, với sức chứa khổng lồ, có khả năng dẫn đầu và tham gia các cuộc tập hợp, và phòng thủ các vị trí;
- Gói Thành Tựu Người Vận Chuyển Mới: Nâng cấp các khe người vận chuyển của bạn và nhận phần thưởng độc quyền với gói này!
- Cơ Khí Mới: Kẻ Kết Liễu - Bọ"&amp;" Ngựa, được trang bị những lưỡi hái khổng lồ sắc bén, khiến nó trở thành kẻ săn lùng chết chóc nhất trên Hành Tinh!
- Người Điều Hành Mới: Ba người điều hành chuyên biệt mới cho cơ khí Voi và Đại Bàng, tăng cường sức mạnh của chúng!
- Huấn Luyện Viên Mới:"&amp;" Các chiến binh giờ đây có thể được đồn trú trong trại để cung cấp các hiệu ứng tăng cường bổ sung cho binh lính của bạn;
- Mở Rộng Trò Chơi Dưới Đất: Các chỉ huy giờ đây có thể thăm dò dưới đất, vượt ra ngoài Chiến Tranh Hành Tinh!
- Sự Kiện Bão Tố Người"&amp;" Vận Chuyển Mới: Hoàn thành các nhiệm vụ hàng ngày để tăng tốc phát triển người vận chuyển của bạn!
- Cấp VIP Mới: VIP 19 hiện đã khả dụng, cung cấp các quyền lợi tốt hơn và nhiều phần thưởng hơn!
- Sự Kiện Kỷ Niệm Mới:
  - Lễ Kỷ Niệm: Thu thập Huy Chương"&amp;" Kỷ Niệm, xây dựng các đài phun nước kỷ niệm độc quyền, và nhận phần thưởng hào phóng, bao gồm một bức ảnh kỷ niệm!
  - Báo Cáo Kỷ Niệm: Đọc báo cáo kỷ niệm để sống lại những điểm nổi bật của năm qua và nhận phần thưởng phong phú sau khi đọc!
  - Album Li"&amp;"ên Kết Kỷ Niệm: Mời bạn bè, thu thập ảnh, và nhận phần thưởng sự kiện kỷ niệm độc quyền!
  - Bóng Bay Lễ Hội Kỷ Niệm: Thu thập xi lanh để nhận phần thưởng hào phóng, bao gồm hiệu ứng hành quân kỷ niệm độc quyền!
  - Đăng Nhập Kỷ Niệm: Đăng nhập hàng ngày "&amp;"để nhận phần thưởng sự kiện kỷ niệm độc quyền, bao gồm chiến binh lãnh đạo kỷ niệm huyền thoại - Emma miễn phí!
  - Chợ Vượn: Mời các chỉ huy mặc cả, mở khóa các giảm giá mua tốt nhất, và nhận phần thưởng khi giúp người khác mặc cả!
  - Cửa Hàng Trang Trí"&amp;" Kỷ Niệm: Trang trí bánh kỷ niệm lần đầu tiên trở lại, với cơ hội đổi miễn phí!
  - Quà Tặng Kỷ Niệm: Nhận phần thưởng hào phóng với các lần nạp tích lũy giới hạn thời gian!
  - Lễ Hội Bảy Ngày: Kỷ niệm kỷ niệm và giành phần thưởng lễ hội độc quyền!
  - S"&amp;"ăn Kho Báu Kỷ Niệm: Thăm dò dưới đất và giành phần thưởng chiến binh kỷ niệm độc quyền!
  - Gói Chuỗi Kỷ Niệm: Các gói kỷ niệm độc quyền giới hạn thời gian hiện đã mở, cung cấp phần thưởng phong phú!
  - Siêu Sao May Mắn: Tham gia lễ hội kỷ niệm trên toàn"&amp;" máy chủ, tham gia các lượt quay giá rẻ, và tìm Siêu Sao May Mắn! Các vật phẩm lựa chọn giao diện Tòa Thị Chính kỷ niệm độc quyền đang chờ đợi!
  - Hội Chợ: Tham gia Hội Chợ để giành phần thưởng giao diện kỷ niệm hai năm độc quyền!
  - Sơn Mài May Mắn: Sơ"&amp;"n Mài May Mắn mới đã đến! Thử vận may của bạn và giành sơn mài cơ khí kỷ niệm cực hiếm!
  - Xâm Lược Vượn Khổng Lồ: Bảo vệ tài sản của Vượn! Đánh bại Vượn Khổng Lồ để nhận phần thưởng hào phóng!
  - Mặc Cả Kỷ Niệm: Cảm thấy tự tin khi đấu giá với giá thấp"&amp;" CD cho các vật phẩm có giá trị!
- Tối Ưu Hóa Dưới Đất: Logic hiển thị cho lối vào dưới đất đã được tối ưu hóa; nút lối vào sẽ chỉ hiển thị khi người chơi ở trong Tòa Thị Chính;
- Tối Ưu Hóa Di Tích: Hiển thị các danh mục di tích đã được tối ưu hóa khi có"&amp;" thể đột phá;
- Tối Ưu Hóa Tab Di Tích: Tăng số lượng tab cho bộ hiển thị, cung cấp nhiều tùy chọn hơn cho các kết hợp di tích;
- Tối Ưu Hóa Nhà Máy: Cải thiện hiển thị liên quan đến tràn vật phẩm trong các công trình;
- Tối Ưu Hóa Lãnh Thổ Đứng Đầu: Nâng"&amp;" cao các quy tắc làm mới quặng và hiển thị khai thác;
- Tối Ưu Hóa Uỷ Thác Binh Lính: Tính năng uỷ thác binh lính hiện bao gồm các loại Người Vận Chuyển;
- Tối Ưu Hóa Lược Năng Hàng Ngày: Loại bỏ một số hiển thị bong bóng từ các gói Lược Năng Hàng Ngày.")</f>
        <v>- Chiến Binh Mới: Kiểm Lâm Đơn Độc - Sam, một kẻ săn tiền thưởng không sợ hãi với cảm giác công lý sắc bén!
- Chiến Binh Mới: Tay Trống Nổ - Emma, tay trống mạnh mẽ với những nhịp điệu sẽ là đồng minh tốt nhất của bạn!
- Người Vận Chuyển Mới: Tham Vọng Thép, với sức chứa khổng lồ, có khả năng dẫn đầu và tham gia các cuộc tập hợp, và phòng thủ các vị trí;
- Gói Thành Tựu Người Vận Chuyển Mới: Nâng cấp các khe người vận chuyển của bạn và nhận phần thưởng độc quyền với gói này!
- Cơ Khí Mới: Kẻ Kết Liễu - Bọ Ngựa, được trang bị những lưỡi hái khổng lồ sắc bén, khiến nó trở thành kẻ săn lùng chết chóc nhất trên Hành Tinh!
- Người Điều Hành Mới: Ba người điều hành chuyên biệt mới cho cơ khí Voi và Đại Bàng, tăng cường sức mạnh của chúng!
- Huấn Luyện Viên Mới: Các chiến binh giờ đây có thể được đồn trú trong trại để cung cấp các hiệu ứng tăng cường bổ sung cho binh lính của bạn;
- Mở Rộng Trò Chơi Dưới Đất: Các chỉ huy giờ đây có thể thăm dò dưới đất, vượt ra ngoài Chiến Tranh Hành Tinh!
- Sự Kiện Bão Tố Người Vận Chuyển Mới: Hoàn thành các nhiệm vụ hàng ngày để tăng tốc phát triển người vận chuyển của bạn!
- Cấp VIP Mới: VIP 19 hiện đã khả dụng, cung cấp các quyền lợi tốt hơn và nhiều phần thưởng hơn!
- Sự Kiện Kỷ Niệm Mới:
  - Lễ Kỷ Niệm: Thu thập Huy Chương Kỷ Niệm, xây dựng các đài phun nước kỷ niệm độc quyền, và nhận phần thưởng hào phóng, bao gồm một bức ảnh kỷ niệm!
  - Báo Cáo Kỷ Niệm: Đọc báo cáo kỷ niệm để sống lại những điểm nổi bật của năm qua và nhận phần thưởng phong phú sau khi đọc!
  - Album Liên Kết Kỷ Niệm: Mời bạn bè, thu thập ảnh, và nhận phần thưởng sự kiện kỷ niệm độc quyền!
  - Bóng Bay Lễ Hội Kỷ Niệm: Thu thập xi lanh để nhận phần thưởng hào phóng, bao gồm hiệu ứng hành quân kỷ niệm độc quyền!
  - Đăng Nhập Kỷ Niệm: Đăng nhập hàng ngày để nhận phần thưởng sự kiện kỷ niệm độc quyền, bao gồm chiến binh lãnh đạo kỷ niệm huyền thoại - Emma miễn phí!
  - Chợ Vượn: Mời các chỉ huy mặc cả, mở khóa các giảm giá mua tốt nhất, và nhận phần thưởng khi giúp người khác mặc cả!
  - Cửa Hàng Trang Trí Kỷ Niệm: Trang trí bánh kỷ niệm lần đầu tiên trở lại, với cơ hội đổi miễn phí!
  - Quà Tặng Kỷ Niệm: Nhận phần thưởng hào phóng với các lần nạp tích lũy giới hạn thời gian!
  - Lễ Hội Bảy Ngày: Kỷ niệm kỷ niệm và giành phần thưởng lễ hội độc quyền!
  - Săn Kho Báu Kỷ Niệm: Thăm dò dưới đất và giành phần thưởng chiến binh kỷ niệm độc quyền!
  - Gói Chuỗi Kỷ Niệm: Các gói kỷ niệm độc quyền giới hạn thời gian hiện đã mở, cung cấp phần thưởng phong phú!
  - Siêu Sao May Mắn: Tham gia lễ hội kỷ niệm trên toàn máy chủ, tham gia các lượt quay giá rẻ, và tìm Siêu Sao May Mắn! Các vật phẩm lựa chọn giao diện Tòa Thị Chính kỷ niệm độc quyền đang chờ đợi!
  - Hội Chợ: Tham gia Hội Chợ để giành phần thưởng giao diện kỷ niệm hai năm độc quyền!
  - Sơn Mài May Mắn: Sơn Mài May Mắn mới đã đến! Thử vận may của bạn và giành sơn mài cơ khí kỷ niệm cực hiếm!
  - Xâm Lược Vượn Khổng Lồ: Bảo vệ tài sản của Vượn! Đánh bại Vượn Khổng Lồ để nhận phần thưởng hào phóng!
  - Mặc Cả Kỷ Niệm: Cảm thấy tự tin khi đấu giá với giá thấp CD cho các vật phẩm có giá trị!
- Tối Ưu Hóa Dưới Đất: Logic hiển thị cho lối vào dưới đất đã được tối ưu hóa; nút lối vào sẽ chỉ hiển thị khi người chơi ở trong Tòa Thị Chính;
- Tối Ưu Hóa Di Tích: Hiển thị các danh mục di tích đã được tối ưu hóa khi có thể đột phá;
- Tối Ưu Hóa Tab Di Tích: Tăng số lượng tab cho bộ hiển thị, cung cấp nhiều tùy chọn hơn cho các kết hợp di tích;
- Tối Ưu Hóa Nhà Máy: Cải thiện hiển thị liên quan đến tràn vật phẩm trong các công trình;
- Tối Ưu Hóa Lãnh Thổ Đứng Đầu: Nâng cao các quy tắc làm mới quặng và hiển thị khai thác;
- Tối Ưu Hóa Uỷ Thác Binh Lính: Tính năng uỷ thác binh lính hiện bao gồm các loại Người Vận Chuyển;
- Tối Ưu Hóa Lược Năng Hàng Ngày: Loại bỏ một số hiển thị bong bóng từ các gói Lược Năng Hàng Ngày.</v>
      </c>
      <c r="N58" s="108" t="str">
        <f>IFERROR(__xludf.DUMMYFUNCTION("""COMPUTED_VALUE"""),"- Nuovo Combattente: Ranger solitaria - Sam, un cacciatore di taglie impavido con un acuto senso della giustizia!
- Nuovo Combattente: Batterista Esplosivo - Emma, la potente batterista i cui ritmi saranno il tuo miglior alleato!
- Nuovo Trasportatore: Am"&amp;"bizione ferrea, con un'enorme capacità di carico, capace di guidare e partecipare a raduni, e difendere posizioni;
- Nuovo Pacchetto Raggiungimento Trasportatore: Potenzia i tuoi slot trasportatore e ottieni ricompense esclusive con questo pacchetto!
- Nu"&amp;"ovo Mech: Mietitore - Mantide, equipaggiato con falci giganti affilate come rasoi, rendendolo il cacciatore più letale del Pianeta!
- Nuovi Operatori: Tre nuovi operatori specializzati per i mech Elefante e Aquila, migliorando la loro potenza!
- Nuovo Ist"&amp;"ruttore: I combattenti possono ora essere stazionati nel campo per fornire potenziamenti aggiuntivi alle tue truppe;
- Gameplay Sotto Terra Espanso: I comandanti possono ora esplorare il sotto terra, oltre alle sole Guerre planetarie!
- Nuovo Evento Tempe"&amp;"sta del Trasportatore: Completa missioni giornaliere per accelerare lo sviluppo del tuo trasportatore!
- Nuovo Livello VIP: VIP 19 è ora disponibile, offrendo migliori vantaggi e più ricompense!
- Nuovi Eventi Anniversario:
  - Festa dell'Anniversario: Ra"&amp;"ccogli Medaglie della Festa, costruisci le esclusive fontane dell'anniversario e guadagna generose ricompense, inclusa una foto commemorativa dell'anniversario!
  - Rapporto dell'Anniversario: Leggi il rapporto dell'anniversario per rivivere i momenti sal"&amp;"ienti dell'anno passato e goditi ricche ricompense dopo la lettura!
  - Album di Legame dell'Anniversario: Invita amici, raccogli foto e guadagna ricompense esclusive dell'evento anniversario!
  - Palloncini della Festa dell'Anniversario: Raccogli cilindr"&amp;"i per guadagnare generose ricompense, inclusi effetti di marcia esclusivi dell'anniversario!
  - Accesso Giornaliero dell'Anniversario: Accedi quotidianamente per ricevere ricompense esclusive dell'evento anniversario, inclusa la leggendaria combattente l"&amp;"eader dell'anniversario - Emma gratis!
  - Bazar dell'Ape: Invita i comandanti a contrattare, sblocca i migliori sconti d'acquisto e guadagna ricompense per aver aiutato altri a contrattare!
  - Negozio di Decorazioni dell'Anniversario: La decorazione del"&amp;"la torta del primo anniversario ritorna, con la possibilità di scambio gratuito!
  - Regali dell'Anniversario: Guadagna generose ricompense con ricariche cumulative a tempo limitato!
  - Carnevale dei Sette Giorni: Celebra l'anniversario e vinci ricompens"&amp;"e esclusive della festa!
  - Caccia al Tesoro dell'Anniversario: Esplora il sottosuolo e vinci ricompense esclusive per i combattenti dell'anniversario!
  - Pacchetti a Catena dell'Anniversario: Pacchetti esclusivi a tempo limitato dell'anniversario sono "&amp;"ora aperti, offrendo ricche ricompense!
  - Super Stella Fortunata: Partecipa al carnevale dell'anniversario attraverso il server, partecipa a estrazioni a basso costo e trova la Super Stella Fortunata! Articoli di selezione dell'aspetto del Municipio esc"&amp;"lusivi dell'anniversario ti aspettano!
  - Luna Park: Partecipa al Luna Park per vincere ricompense esclusive per l'aspetto del secondo anniversario!
  - Lacca Fortunata: La nuova Lacca Fortunata è qui! Sfida la sorte e vinci lacca per mech ultra-rara del"&amp;"l'anniversario!
  - Invasione Gigagorilla: Difendi le proprietà delle nostre Api! Sconfiggi il Gigagorilla per guadagnare generose ricompense!
  - Affari dell'Anniversario: Sentiti sicuro di fare offerte con prezzi bassi per oggetti di valore!
- Ottimizza"&amp;"zione Sotto Terra: La logica di visualizzazione per l'ingresso sotto terra è stata ottimizzata; il pulsante di ingresso sarà visibile solo quando il giocatore è all'interno del Municipio;
- Ottimizzazione Reliquie: La visualizzazione delle categorie di re"&amp;"liquie è stata ottimizzata quando è possibile effettuare un breakthrough;
- Ottimizzazione Scheda Reliquie: Aumentato il numero di schede per il set Display, fornendo più opzioni per le combinazioni di reliquie;
- Ottimizzazione Fabbrica: Migliorata la vi"&amp;"sualizzazione relativa al sovraccarico di oggetti negli edifici;
- Ottimizzazione Territorio Superiore: Migliorate le regole per l'aggiornamento del minerale e la visualizzazione dell'estrazione;
- Ottimizzazione Delega Truppe: La funzione di delega trupp"&amp;"e ora include i tipi di Trasportatore;
- Ottimizzazione Furti Giornalieri: Rimosse alcune delle visualizzazioni a bolle dai pacchetti Furti Giornalieri.")</f>
        <v>- Nuovo Combattente: Ranger solitaria - Sam, un cacciatore di taglie impavido con un acuto senso della giustizia!
- Nuovo Combattente: Batterista Esplosivo - Emma, la potente batterista i cui ritmi saranno il tuo miglior alleato!
- Nuovo Trasportatore: Ambizione ferrea, con un'enorme capacità di carico, capace di guidare e partecipare a raduni, e difendere posizioni;
- Nuovo Pacchetto Raggiungimento Trasportatore: Potenzia i tuoi slot trasportatore e ottieni ricompense esclusive con questo pacchetto!
- Nuovo Mech: Mietitore - Mantide, equipaggiato con falci giganti affilate come rasoi, rendendolo il cacciatore più letale del Pianeta!
- Nuovi Operatori: Tre nuovi operatori specializzati per i mech Elefante e Aquila, migliorando la loro potenza!
- Nuovo Istruttore: I combattenti possono ora essere stazionati nel campo per fornire potenziamenti aggiuntivi alle tue truppe;
- Gameplay Sotto Terra Espanso: I comandanti possono ora esplorare il sotto terra, oltre alle sole Guerre planetarie!
- Nuovo Evento Tempesta del Trasportatore: Completa missioni giornaliere per accelerare lo sviluppo del tuo trasportatore!
- Nuovo Livello VIP: VIP 19 è ora disponibile, offrendo migliori vantaggi e più ricompense!
- Nuovi Eventi Anniversario:
  - Festa dell'Anniversario: Raccogli Medaglie della Festa, costruisci le esclusive fontane dell'anniversario e guadagna generose ricompense, inclusa una foto commemorativa dell'anniversario!
  - Rapporto dell'Anniversario: Leggi il rapporto dell'anniversario per rivivere i momenti salienti dell'anno passato e goditi ricche ricompense dopo la lettura!
  - Album di Legame dell'Anniversario: Invita amici, raccogli foto e guadagna ricompense esclusive dell'evento anniversario!
  - Palloncini della Festa dell'Anniversario: Raccogli cilindri per guadagnare generose ricompense, inclusi effetti di marcia esclusivi dell'anniversario!
  - Accesso Giornaliero dell'Anniversario: Accedi quotidianamente per ricevere ricompense esclusive dell'evento anniversario, inclusa la leggendaria combattente leader dell'anniversario - Emma gratis!
  - Bazar dell'Ape: Invita i comandanti a contrattare, sblocca i migliori sconti d'acquisto e guadagna ricompense per aver aiutato altri a contrattare!
  - Negozio di Decorazioni dell'Anniversario: La decorazione della torta del primo anniversario ritorna, con la possibilità di scambio gratuito!
  - Regali dell'Anniversario: Guadagna generose ricompense con ricariche cumulative a tempo limitato!
  - Carnevale dei Sette Giorni: Celebra l'anniversario e vinci ricompense esclusive della festa!
  - Caccia al Tesoro dell'Anniversario: Esplora il sottosuolo e vinci ricompense esclusive per i combattenti dell'anniversario!
  - Pacchetti a Catena dell'Anniversario: Pacchetti esclusivi a tempo limitato dell'anniversario sono ora aperti, offrendo ricche ricompense!
  - Super Stella Fortunata: Partecipa al carnevale dell'anniversario attraverso il server, partecipa a estrazioni a basso costo e trova la Super Stella Fortunata! Articoli di selezione dell'aspetto del Municipio esclusivi dell'anniversario ti aspettano!
  - Luna Park: Partecipa al Luna Park per vincere ricompense esclusive per l'aspetto del secondo anniversario!
  - Lacca Fortunata: La nuova Lacca Fortunata è qui! Sfida la sorte e vinci lacca per mech ultra-rara dell'anniversario!
  - Invasione Gigagorilla: Difendi le proprietà delle nostre Api! Sconfiggi il Gigagorilla per guadagnare generose ricompense!
  - Affari dell'Anniversario: Sentiti sicuro di fare offerte con prezzi bassi per oggetti di valore!
- Ottimizzazione Sotto Terra: La logica di visualizzazione per l'ingresso sotto terra è stata ottimizzata; il pulsante di ingresso sarà visibile solo quando il giocatore è all'interno del Municipio;
- Ottimizzazione Reliquie: La visualizzazione delle categorie di reliquie è stata ottimizzata quando è possibile effettuare un breakthrough;
- Ottimizzazione Scheda Reliquie: Aumentato il numero di schede per il set Display, fornendo più opzioni per le combinazioni di reliquie;
- Ottimizzazione Fabbrica: Migliorata la visualizzazione relativa al sovraccarico di oggetti negli edifici;
- Ottimizzazione Territorio Superiore: Migliorate le regole per l'aggiornamento del minerale e la visualizzazione dell'estrazione;
- Ottimizzazione Delega Truppe: La funzione di delega truppe ora include i tipi di Trasportatore;
- Ottimizzazione Furti Giornalieri: Rimosse alcune delle visualizzazioni a bolle dai pacchetti Furti Giornalieri.</v>
      </c>
      <c r="O58" s="148" t="str">
        <f>IFERROR(__xludf.DUMMYFUNCTION("""COMPUTED_VALUE"""),"- Nowy Wojownik: Dobry, zły i piękna - Sam, nieustraszony łowca nagród z ostrym poczuciem sprawiedliwości!
- Nowy Wojownik: Perkusista Wybuchowy - Emma, potężna perkusistka, której rytmy będą twoim najlepszym sojusznikiem!
- Nowy Przenośnik: Stalowa ambic"&amp;"ja, z ogromną pojemnością, zdolny do prowadzenia i dołączania do rajdów oraz obrony pozycji;
- Nowy Pakiet Osiągnięć Przenośnika: Ulepsz swoje sloty przenośnika i zdobądź ekskluzywne nagrody z tym pakietem!
- Nowy Mech: Kosiarz - Modliszka, wyposażony w g"&amp;"igantyczne, ostre jak brzytwa kosy, czyniąc go najgroźniejszym łowcą na Planecie!
- Nowi Operatorzy: Trzech nowych specjalistycznych operatorów dla mechów Słoń i Orzeł, zwiększających ich siłę!
- Nowy Instruktor: Wojownicy mogą teraz stacjonować w obozie,"&amp;" aby zapewnić dodatkowe wzmocnienia twoim oddziałom;
- Rozszerzona Rozgrywka Podziemna: Dowódcy mogą teraz eksplorować podziemia, nie tylko Wojny Planet!
- Nowe Wydarzenie Burza Przenośnika: Wykonuj codzienne zadania, aby przyspieszyć rozwój swojego przen"&amp;"ośnika!
- Nowy Poziom VIP: VIP 19 jest teraz dostępny, oferując lepsze korzyści i więcej nagród!
- Nowe Wydarzenia Rocznicowe:
  - Świętowanie Rocznicy: Zbieraj Medale Świętowania, buduj ekskluzywne fontanny rocznicowe i zdobywaj hojne nagrody, w tym pami"&amp;"ątkowe zdjęcie z rocznicy!
  - Raport Rocznicowy: Przeczytaj raport rocznicowy, aby przeżyć najważniejsze momenty z ostatniego roku i ciesz się bogatymi nagrodami po przeczytaniu!
  - Album Wiązania Rocznicowego: Zaproś znajomych, zbieraj zdjęcia i zdobyw"&amp;"aj ekskluzywne nagrody za wydarzenia rocznicowe!
  - Balony Festiwalu Rocznicowego: Zbieraj cylindry, aby zdobywać hojne nagrody, w tym ekskluzywne efekty marszu rocznicowego!
  - Logowanie Rocznicowe: Loguj się codziennie, aby otrzymywać ekskluzywne nagr"&amp;"ody za wydarzenia rocznicowe, w tym legendarnego dowódcę wojownika rocznicowego - Emma za darmo!
  - Bazar Małp: Zaproś dowódców do targowania się, odblokuj najlepsze zniżki na zakupy i zdobywaj nagrody za pomaganie innym w targowaniu się!
  - Sklep z Dek"&amp;"oracjami Rocznicowymi: Powraca dekoracja tortu z pierwszej rocznicy, z szansą na darmową wymianę!
  - Prezenty Rocznicowe: Zdobywaj hojne nagrody za ograniczone czasowo kumulacyjne doładowania!
  - Karnawał Siedmiodniowy: Świętuj rocznicę i wygrywaj ekskl"&amp;"uzywne nagrody za świętowanie!
  - Poszukiwanie Skarbów Rocznicowych: Eksploruj podziemia i wygrywaj ekskluzywne nagrody wojownika rocznicowego!
  - Pakiety Łańcuchowe Rocznicowe: Ograniczone czasowo ekskluzywne pakiety rocznicowe są teraz dostępne, oferu"&amp;"jąc bogate nagrody!
  - Super Szczęśliwa Gwiazda: Dołącz do karnawału rocznicowego na całym serwerze, weź udział w losowaniach niskokosztowych i znajdź Super Szczęśliwą Gwiazdę! Czekają na ciebie ekskluzywne przedmioty do wyboru skórki Ratusza!
  - Wesołe"&amp;" Miasteczko: Weź udział w Wesołym Miasteczku, aby wygrać ekskluzywne nagrody za skórki z okazji drugiej rocznicy!
  - Szczęśliwy Lakier: Nowy Szczęśliwy Lakier jest tutaj! Spróbuj szczęścia i wygraj ultra-rzadki rocznicowy lakier mecha!
  - Inwazja Gigama"&amp;"łpy: Broń własności naszych Małp! Pokonaj Gigamałpę, aby zdobyć hojne nagrody!
  - Okazje Rocznicowe: Czuj się pewnie licytując z niskimi cenami CD na cenne przedmioty!
- Optymalizacja Podziemi: Logika wyświetlania wejścia do podziemi została zoptymalizow"&amp;"ana; przycisk wejścia będzie widoczny tylko wtedy, gdy gracz znajduje się w Ratuszu;
- Optymalizacja Reliktów: Wyświetlanie kategorii reliktów zostało zoptymalizowane, gdy możliwe jest przełamanie;
- Optymalizacja Zakładek Reliktów: Zwiększono liczbę zakł"&amp;"adek dla zestawu Wyświetlania, zapewniając więcej opcji kombinacji reliktów;
- Optymalizacja Fabryki: Ulepszono wyświetlanie związane z nadmiarem przedmiotów w budynkach;
- Optymalizacja Najlepszego Terytorium: Ulepszono zasady odświeżania rudy i wyświetl"&amp;"ania wydobycia;
- Optymalizacja Delegacji Oddziałów: Funkcja delegacji oddziałów teraz obejmuje typy Przenośników;
- Optymalizacja Codziennych Kradzieży: Usunięto niektóre wyświetlenia bąbelków z pakietów Codziennych Kradzieży.")</f>
        <v>- Nowy Wojownik: Dobry, zły i piękna - Sam, nieustraszony łowca nagród z ostrym poczuciem sprawiedliwości!
- Nowy Wojownik: Perkusista Wybuchowy - Emma, potężna perkusistka, której rytmy będą twoim najlepszym sojusznikiem!
- Nowy Przenośnik: Stalowa ambicja, z ogromną pojemnością, zdolny do prowadzenia i dołączania do rajdów oraz obrony pozycji;
- Nowy Pakiet Osiągnięć Przenośnika: Ulepsz swoje sloty przenośnika i zdobądź ekskluzywne nagrody z tym pakietem!
- Nowy Mech: Kosiarz - Modliszka, wyposażony w gigantyczne, ostre jak brzytwa kosy, czyniąc go najgroźniejszym łowcą na Planecie!
- Nowi Operatorzy: Trzech nowych specjalistycznych operatorów dla mechów Słoń i Orzeł, zwiększających ich siłę!
- Nowy Instruktor: Wojownicy mogą teraz stacjonować w obozie, aby zapewnić dodatkowe wzmocnienia twoim oddziałom;
- Rozszerzona Rozgrywka Podziemna: Dowódcy mogą teraz eksplorować podziemia, nie tylko Wojny Planet!
- Nowe Wydarzenie Burza Przenośnika: Wykonuj codzienne zadania, aby przyspieszyć rozwój swojego przenośnika!
- Nowy Poziom VIP: VIP 19 jest teraz dostępny, oferując lepsze korzyści i więcej nagród!
- Nowe Wydarzenia Rocznicowe:
  - Świętowanie Rocznicy: Zbieraj Medale Świętowania, buduj ekskluzywne fontanny rocznicowe i zdobywaj hojne nagrody, w tym pamiątkowe zdjęcie z rocznicy!
  - Raport Rocznicowy: Przeczytaj raport rocznicowy, aby przeżyć najważniejsze momenty z ostatniego roku i ciesz się bogatymi nagrodami po przeczytaniu!
  - Album Wiązania Rocznicowego: Zaproś znajomych, zbieraj zdjęcia i zdobywaj ekskluzywne nagrody za wydarzenia rocznicowe!
  - Balony Festiwalu Rocznicowego: Zbieraj cylindry, aby zdobywać hojne nagrody, w tym ekskluzywne efekty marszu rocznicowego!
  - Logowanie Rocznicowe: Loguj się codziennie, aby otrzymywać ekskluzywne nagrody za wydarzenia rocznicowe, w tym legendarnego dowódcę wojownika rocznicowego - Emma za darmo!
  - Bazar Małp: Zaproś dowódców do targowania się, odblokuj najlepsze zniżki na zakupy i zdobywaj nagrody za pomaganie innym w targowaniu się!
  - Sklep z Dekoracjami Rocznicowymi: Powraca dekoracja tortu z pierwszej rocznicy, z szansą na darmową wymianę!
  - Prezenty Rocznicowe: Zdobywaj hojne nagrody za ograniczone czasowo kumulacyjne doładowania!
  - Karnawał Siedmiodniowy: Świętuj rocznicę i wygrywaj ekskluzywne nagrody za świętowanie!
  - Poszukiwanie Skarbów Rocznicowych: Eksploruj podziemia i wygrywaj ekskluzywne nagrody wojownika rocznicowego!
  - Pakiety Łańcuchowe Rocznicowe: Ograniczone czasowo ekskluzywne pakiety rocznicowe są teraz dostępne, oferując bogate nagrody!
  - Super Szczęśliwa Gwiazda: Dołącz do karnawału rocznicowego na całym serwerze, weź udział w losowaniach niskokosztowych i znajdź Super Szczęśliwą Gwiazdę! Czekają na ciebie ekskluzywne przedmioty do wyboru skórki Ratusza!
  - Wesołe Miasteczko: Weź udział w Wesołym Miasteczku, aby wygrać ekskluzywne nagrody za skórki z okazji drugiej rocznicy!
  - Szczęśliwy Lakier: Nowy Szczęśliwy Lakier jest tutaj! Spróbuj szczęścia i wygraj ultra-rzadki rocznicowy lakier mecha!
  - Inwazja Gigamałpy: Broń własności naszych Małp! Pokonaj Gigamałpę, aby zdobyć hojne nagrody!
  - Okazje Rocznicowe: Czuj się pewnie licytując z niskimi cenami CD na cenne przedmioty!
- Optymalizacja Podziemi: Logika wyświetlania wejścia do podziemi została zoptymalizowana; przycisk wejścia będzie widoczny tylko wtedy, gdy gracz znajduje się w Ratuszu;
- Optymalizacja Reliktów: Wyświetlanie kategorii reliktów zostało zoptymalizowane, gdy możliwe jest przełamanie;
- Optymalizacja Zakładek Reliktów: Zwiększono liczbę zakładek dla zestawu Wyświetlania, zapewniając więcej opcji kombinacji reliktów;
- Optymalizacja Fabryki: Ulepszono wyświetlanie związane z nadmiarem przedmiotów w budynkach;
- Optymalizacja Najlepszego Terytorium: Ulepszono zasady odświeżania rudy i wyświetlania wydobycia;
- Optymalizacja Delegacji Oddziałów: Funkcja delegacji oddziałów teraz obejmuje typy Przenośników;
- Optymalizacja Codziennych Kradzieży: Usunięto niektóre wyświetlenia bąbelków z pakietów Codziennych Kradzieży.</v>
      </c>
      <c r="P58" s="148" t="str">
        <f>IFERROR(__xludf.DUMMYFUNCTION("""COMPUTED_VALUE"""),"- مقاتل جديد: لون الحارس - سام، صياد جوائز شجاع يتمتع بحس حاد للعدالة!
- مقاتل جديد: عازف الطبول المتفجر - إيما، عازفة الطبول القوية التي ستكون أفضل حليف لك!
- ناقلة جديدة: طموح الصلب، بسعة حمل هائلة، قادرة على قيادة والانضمام إلى المسيرات، والدفاع عن الم"&amp;"واقع;
- حزمة إنجازات الناقلة الجديدة: قم بترقية فتحات الناقلة الخاصة بك واحصل على مكافآت حصرية مع هذه الحزمة!
- ميكا جديدة: حاصد الأرواح - فرس النبي، مجهزة بمناجل حادة عملاقة، مما يجعلها الصياد الأكثر فتكًا على الكوكب!
- مشغلون جدد: ثلاثة مشغلين متخصصين ج"&amp;"دد لآليات الفيل والنسر، يعززون قوتهم!
- مدرب جديد: يمكن الآن تمركز المقاتلين في المعسكر لتقديم تعزيزات إضافية لقواتك;
- توسيع طريقة اللعب تحت الأرض: يمكن للقادة الآن استكشاف تحت الأرض، وليس فقط حروب الكوكب!
- حدث عاصفة الناقلة الجديد: أكمل المهام اليومية "&amp;"لتسريع تطوير ناقلتك!
- مستوى VIP جديد: VIP 19 متاح الآن، يقدم فوائد أفضل ومكافآت أكثر!
- أحداث الذكرى السنوية الجديدة:
  - احتفال الذكرى السنوية: اجمع ميداليات الاحتفال، وابني نوافير الذكرى السنوية الحصرية، واحصل على مكافآت سخية، بما في ذلك صورة تذكارية ل"&amp;"لذكرى السنوية!
  - تقرير الذكرى السنوية: اقرأ تقرير الذكرى السنوية لتعيش أبرز أحداث العام الماضي واستمتع بمكافآت غنية بعد القراءة!
  - ألبوم الترابط للذكرى السنوية: ادعُ الأصدقاء، واجمع الصور، واحصل على مكافآت حصرية لحدث الذكرى السنوية!
  - بالونات مهرجان"&amp;" الذكرى السنوية: اجمع الأسطوانات لتحصل على مكافآت سخية، بما في ذلك تأثيرات مسيرة الذكرى السنوية الحصرية!
  - تسجيل الدخول للذكرى السنوية: سجل الدخول يوميًا لتستلم مكافآت حصرية لحدث الذكرى السنوية، بما في ذلك المقاتل القائد الأسطوري للذكرى السنوية - إيما م"&amp;"جانًا!
  - بازار القرد: ادعُ القادة للمساومة، وافتح أفضل خصومات الشراء، واحصل على مكافآت لمساعدة الآخرين في المساومة!
  - متجر زينة الذكرى السنوية: تعود زينة كعكة الذكرى السنوية الأولى، مع فرصة للتبادل المجاني!
  - هدايا الذكرى السنوية: احصل على مكافآت سخ"&amp;"ية مع الشحنات التراكمية المحدودة الوقت!
  - كرنفال السبعة أيام: احتفل بالذكرى السنوية واربح مكافآت احتفالية حصرية!
  - صيد كنوز الذكرى السنوية: استكشف تحت الأرض واربح مكافآت مقاتل الذكرى السنوية الحصرية!
  - حزم سلسلة الذكرى السنوية: حزم الذكرى السنوية ال"&amp;"حصرية المحدودة الوقت مفتوحة الآن، تقدم مكافآت غنية!
  - نجم الحظ السعيد: انضم إلى كرنفال الذكرى السنوية عبر السيرفر، وشارك في السحوبات منخفضة التكلفة، وابحث عن نجم الحظ السعيد! عناصر اختيار زينة قاعة المدينة الحصرية للذكرى السنوية في انتظارك!
  - المهرجان"&amp;": شارك في المهرجان للفوز بمكافآت زينة الذكرى السنوية الثانية الحصرية!
  - لاكيه الحظ: لاكيه الحظ الجديد هنا! جرب حظك واربح لاكيه ميكا الذكرى السنوية النادر للغاية!
  - غزو القرد العملاق: دافع عن ممتلكات قرودنا! اهزم القرد العملاق لتحصل على مكافآت سخية!
  "&amp;"- صفقات الذكرى السنوية: اشعر بالثقة في المزايدة بأسعار منخفضة على أقراص CD للعناصر القيمة!
- تحسين تحت الأرض: تم تحسين منطق العرض لمدخل تحت الأرض؛ سيكون زر المدخل مرئيًا فقط عندما يكون اللاعب داخل قاعة المدينة;
- تحسين المقتنيات: تم تحسين عرض فئات المقتني"&amp;"ات عندما تكون قادرة على الاختراق;
- تحسين علامة التبويب للمقتنيات: زيادة عدد علامات التبويب لمجموعة العرض، مما يوفر المزيد من الخيارات لتوليفات المقتنيات;
- تحسين المصنع: تحسين العرض المتعلق بتجاوز العناصر في المباني;
- تحسين الإقليم الأعلى: تعزيز القواعد"&amp;" لتحديث الخام وعرض التعدين;
- تحسين استضافة القوات: ميزة استضافة القوات تشمل الآن أنواع الناقلات;
- تحسين السرقات اليومية: إزالة بعض عروض الفقاعات من حزم السرقات اليومية.")</f>
        <v>- مقاتل جديد: لون الحارس - سام، صياد جوائز شجاع يتمتع بحس حاد للعدالة!
- مقاتل جديد: عازف الطبول المتفجر - إيما، عازفة الطبول القوية التي ستكون أفضل حليف لك!
- ناقلة جديدة: طموح الصلب، بسعة حمل هائلة، قادرة على قيادة والانضمام إلى المسيرات، والدفاع عن المواقع;
- حزمة إنجازات الناقلة الجديدة: قم بترقية فتحات الناقلة الخاصة بك واحصل على مكافآت حصرية مع هذه الحزمة!
- ميكا جديدة: حاصد الأرواح - فرس النبي، مجهزة بمناجل حادة عملاقة، مما يجعلها الصياد الأكثر فتكًا على الكوكب!
- مشغلون جدد: ثلاثة مشغلين متخصصين جدد لآليات الفيل والنسر، يعززون قوتهم!
- مدرب جديد: يمكن الآن تمركز المقاتلين في المعسكر لتقديم تعزيزات إضافية لقواتك;
- توسيع طريقة اللعب تحت الأرض: يمكن للقادة الآن استكشاف تحت الأرض، وليس فقط حروب الكوكب!
- حدث عاصفة الناقلة الجديد: أكمل المهام اليومية لتسريع تطوير ناقلتك!
- مستوى VIP جديد: VIP 19 متاح الآن، يقدم فوائد أفضل ومكافآت أكثر!
- أحداث الذكرى السنوية الجديدة:
  - احتفال الذكرى السنوية: اجمع ميداليات الاحتفال، وابني نوافير الذكرى السنوية الحصرية، واحصل على مكافآت سخية، بما في ذلك صورة تذكارية للذكرى السنوية!
  - تقرير الذكرى السنوية: اقرأ تقرير الذكرى السنوية لتعيش أبرز أحداث العام الماضي واستمتع بمكافآت غنية بعد القراءة!
  - ألبوم الترابط للذكرى السنوية: ادعُ الأصدقاء، واجمع الصور، واحصل على مكافآت حصرية لحدث الذكرى السنوية!
  - بالونات مهرجان الذكرى السنوية: اجمع الأسطوانات لتحصل على مكافآت سخية، بما في ذلك تأثيرات مسيرة الذكرى السنوية الحصرية!
  - تسجيل الدخول للذكرى السنوية: سجل الدخول يوميًا لتستلم مكافآت حصرية لحدث الذكرى السنوية، بما في ذلك المقاتل القائد الأسطوري للذكرى السنوية - إيما مجانًا!
  - بازار القرد: ادعُ القادة للمساومة، وافتح أفضل خصومات الشراء، واحصل على مكافآت لمساعدة الآخرين في المساومة!
  - متجر زينة الذكرى السنوية: تعود زينة كعكة الذكرى السنوية الأولى، مع فرصة للتبادل المجاني!
  - هدايا الذكرى السنوية: احصل على مكافآت سخية مع الشحنات التراكمية المحدودة الوقت!
  - كرنفال السبعة أيام: احتفل بالذكرى السنوية واربح مكافآت احتفالية حصرية!
  - صيد كنوز الذكرى السنوية: استكشف تحت الأرض واربح مكافآت مقاتل الذكرى السنوية الحصرية!
  - حزم سلسلة الذكرى السنوية: حزم الذكرى السنوية الحصرية المحدودة الوقت مفتوحة الآن، تقدم مكافآت غنية!
  - نجم الحظ السعيد: انضم إلى كرنفال الذكرى السنوية عبر السيرفر، وشارك في السحوبات منخفضة التكلفة، وابحث عن نجم الحظ السعيد! عناصر اختيار زينة قاعة المدينة الحصرية للذكرى السنوية في انتظارك!
  - المهرجان: شارك في المهرجان للفوز بمكافآت زينة الذكرى السنوية الثانية الحصرية!
  - لاكيه الحظ: لاكيه الحظ الجديد هنا! جرب حظك واربح لاكيه ميكا الذكرى السنوية النادر للغاية!
  - غزو القرد العملاق: دافع عن ممتلكات قرودنا! اهزم القرد العملاق لتحصل على مكافآت سخية!
  - صفقات الذكرى السنوية: اشعر بالثقة في المزايدة بأسعار منخفضة على أقراص CD للعناصر القيمة!
- تحسين تحت الأرض: تم تحسين منطق العرض لمدخل تحت الأرض؛ سيكون زر المدخل مرئيًا فقط عندما يكون اللاعب داخل قاعة المدينة;
- تحسين المقتنيات: تم تحسين عرض فئات المقتنيات عندما تكون قادرة على الاختراق;
- تحسين علامة التبويب للمقتنيات: زيادة عدد علامات التبويب لمجموعة العرض، مما يوفر المزيد من الخيارات لتوليفات المقتنيات;
- تحسين المصنع: تحسين العرض المتعلق بتجاوز العناصر في المباني;
- تحسين الإقليم الأعلى: تعزيز القواعد لتحديث الخام وعرض التعدين;
- تحسين استضافة القوات: ميزة استضافة القوات تشمل الآن أنواع الناقلات;
- تحسين السرقات اليومية: إزالة بعض عروض الفقاعات من حزم السرقات اليومية.</v>
      </c>
      <c r="Q58" s="148" t="str">
        <f>IFERROR(__xludf.DUMMYFUNCTION("""COMPUTED_VALUE"""),"- 新しいファイター: 荒野のガンマン - サム、鋭い正義感を持つ無畏の賞金稼ぎ！
- 新しいファイター: 爆発ドラマー - エマ、その強力なビートがあなたの最高の味方になる！
- 新しいキャリア: 高揚、巨大な運搬能力を持ち、ラリーのリーダーや参加、ポジションの防御が可能；
- 新しいキャリア達成パック: このパックでキャリアスロットをアップグレードし、限定報酬を取得しよう！
- 新しいメカ: 死神 - マンティス、巨大な鋭い鎌を装備し、プラネットで最も致命的なハンターに！
- 新しいオペレーター: ぞ"&amp;"うとイーグルメカのための3人の新しい専門オペレーターが登場し、彼らの力を強化！
- 新しいインストラクター: ファイターは今、陣営に駐屯して部隊に追加のバフを提供できるように！
- 拡張されたサブテラプレイ: 指揮官は今、プラネットウォーズを超えてサブテラを探索できる！
- 新しいキャリアストームイベント: デイリークエストを完了してキャリアの発展を加速しよう！
- 新しいVIPレベル: VIP 19が今利用可能、より良い特典ともっと報酬を提供！
- 新しい周年イベント:
  - 周年記念: 記念メダルを"&amp;"集め、限定の周年記念噴水を建設し、記念写真を含む豪華な報酬を獲得しよう！
  - 周年報告書: 周年報告書を読んで過去1年のハイライトを振り返り、読後に豊富な報酬を楽しもう！
  - 周年絆のアルバム: 友達を招待し、写真を集め、限定の周年イベント報酬を獲得しよう！
  - 周年フェスティバルバルーン: シリンダーを集めて豪華な報酬を獲得し、限定の周年行軍エフェクトを手に入れよう！
  - 周年ログイン: 毎日ログインして限定の周年イベント報酬を受け取り、伝説の周年リーダーファイター - エマを無料でゲッ"&amp;"トしよう！
  - エイプバザール: 指揮官を招待して交渉し、最高の購入割引をアンロックし、他の人の交渉を助けて報酬を獲得しよう！
  - 周年装飾品ショップ: 初周年ケーキ装飾が再登場、無料交換のチャンス！
  - 周年ギフト: 限定時間の累積リチャージで豪華な報酬を獲得しよう！
  - 7日間カーニバル: 周年を祝って限定の祝賀報酬を獲得しよう！
  - 周年宝探し: 地下を探索して限定の周年ファイター報酬を獲得しよう！
  - 周年チェーンパック: 限定時間の周年パックが今オープン、豊富な報酬を提供"&amp;"！
  - スーパーラッキースター: サーバー全体で周年カーニバルに参加し、低コストの抽選に参加してスーパーラッキースターを見つけよう！ 限定の周年基地スキン選択アイテムが待っている！
  - フェア: フェアに参加して限定の2周年スキン報酬を獲得しよう！
  - ラッキー漆製品: 新しいラッキー漆製品が登場！ 運を試して超レアな周年メカ漆製品を獲得しよう！
  - ギガントの襲撃: エイプの財産を守れ！ ギガントを倒して豪華な報酬を獲得しよう！
  - 周年バーゲン: CDの低価格で価値あるアイテムを自"&amp;"信を持って入札しよう！
- サブテラ最適化: サブテラ入口の表示ロジックが最適化され、プレイヤーが基地内にいるときのみ入口ボタンが表示されるように；
- レリック最適化: レリック図鑑の表示が最適化され、ブレイクスルーが可能な場合に表示；
- レリックタブ最適化: 表示セットのタブ数が増加し、レリックの組み合わせオプションが増加；
- 工場最適化: 建築物におけるアイテムのオーバーフローに関連する表示が改善；
- トップ領土最適化: 鉱石の更新と採掘表示のルールが強化；
- 部隊委任最適化: 部隊委任機能"&amp;"にキャリアタイプが追加；
- デイリースティールズ最適化: デイリースティールズパックから一部のバブル表示が削除。")</f>
        <v>- 新しいファイター: 荒野のガンマン - サム、鋭い正義感を持つ無畏の賞金稼ぎ！
- 新しいファイター: 爆発ドラマー - エマ、その強力なビートがあなたの最高の味方になる！
- 新しいキャリア: 高揚、巨大な運搬能力を持ち、ラリーのリーダーや参加、ポジションの防御が可能；
- 新しいキャリア達成パック: このパックでキャリアスロットをアップグレードし、限定報酬を取得しよう！
- 新しいメカ: 死神 - マンティス、巨大な鋭い鎌を装備し、プラネットで最も致命的なハンターに！
- 新しいオペレーター: ぞうとイーグルメカのための3人の新しい専門オペレーターが登場し、彼らの力を強化！
- 新しいインストラクター: ファイターは今、陣営に駐屯して部隊に追加のバフを提供できるように！
- 拡張されたサブテラプレイ: 指揮官は今、プラネットウォーズを超えてサブテラを探索できる！
- 新しいキャリアストームイベント: デイリークエストを完了してキャリアの発展を加速しよう！
- 新しいVIPレベル: VIP 19が今利用可能、より良い特典ともっと報酬を提供！
- 新しい周年イベント:
  - 周年記念: 記念メダルを集め、限定の周年記念噴水を建設し、記念写真を含む豪華な報酬を獲得しよう！
  - 周年報告書: 周年報告書を読んで過去1年のハイライトを振り返り、読後に豊富な報酬を楽しもう！
  - 周年絆のアルバム: 友達を招待し、写真を集め、限定の周年イベント報酬を獲得しよう！
  - 周年フェスティバルバルーン: シリンダーを集めて豪華な報酬を獲得し、限定の周年行軍エフェクトを手に入れよう！
  - 周年ログイン: 毎日ログインして限定の周年イベント報酬を受け取り、伝説の周年リーダーファイター - エマを無料でゲットしよう！
  - エイプバザール: 指揮官を招待して交渉し、最高の購入割引をアンロックし、他の人の交渉を助けて報酬を獲得しよう！
  - 周年装飾品ショップ: 初周年ケーキ装飾が再登場、無料交換のチャンス！
  - 周年ギフト: 限定時間の累積リチャージで豪華な報酬を獲得しよう！
  - 7日間カーニバル: 周年を祝って限定の祝賀報酬を獲得しよう！
  - 周年宝探し: 地下を探索して限定の周年ファイター報酬を獲得しよう！
  - 周年チェーンパック: 限定時間の周年パックが今オープン、豊富な報酬を提供！
  - スーパーラッキースター: サーバー全体で周年カーニバルに参加し、低コストの抽選に参加してスーパーラッキースターを見つけよう！ 限定の周年基地スキン選択アイテムが待っている！
  - フェア: フェアに参加して限定の2周年スキン報酬を獲得しよう！
  - ラッキー漆製品: 新しいラッキー漆製品が登場！ 運を試して超レアな周年メカ漆製品を獲得しよう！
  - ギガントの襲撃: エイプの財産を守れ！ ギガントを倒して豪華な報酬を獲得しよう！
  - 周年バーゲン: CDの低価格で価値あるアイテムを自信を持って入札しよう！
- サブテラ最適化: サブテラ入口の表示ロジックが最適化され、プレイヤーが基地内にいるときのみ入口ボタンが表示されるように；
- レリック最適化: レリック図鑑の表示が最適化され、ブレイクスルーが可能な場合に表示；
- レリックタブ最適化: 表示セットのタブ数が増加し、レリックの組み合わせオプションが増加；
- 工場最適化: 建築物におけるアイテムのオーバーフローに関連する表示が改善；
- トップ領土最適化: 鉱石の更新と採掘表示のルールが強化；
- 部隊委任最適化: 部隊委任機能にキャリアタイプが追加；
- デイリースティールズ最適化: デイリースティールズパックから一部のバブル表示が削除。</v>
      </c>
      <c r="R58" s="148" t="str">
        <f>IFERROR(__xludf.DUMMYFUNCTION("""COMPUTED_VALUE"""),"- 새로운 전사: 황야의 레인저 - 샘, 날카로운 정의감을 가진 두려움을 모르는 현상금 사냥꾼!
- 새로운 전사: 블라스팅 드러머 - 엠마, 강력한 드러머로서 당신의 최고의 동맹이 될 것입니다!
- 새로운 운반선: 세찬 기세, 엄청난 운반 용량을 가지고 있으며, 집결을 이끌고 참여하며 위치를 방어할 수 있습니다;
- 새로운 운반선 성과 패키지: 운반선 슬롯을 업그레이드하고 이 패키지로 독점 보상을 받으세요!
- 새로운 메카: 사신 - 사마귀, 거대한 날"&amp;"카로운 낫을 장착하여 행성에서 가장 치명적인 헌터가 됩니다!
- 새로운 운영자: 코끼리와 독수리 메카를 위한 세 명의 새로운 전문 운영자가 추가되어 그들의 전투력을 강화합니다!
- 새로운 강사: 전사들이 이제 캠프에 주둔하여 당신의 부대에 추가적인 버프를 제공합니다;
- 확장된 지하 게임플레이: 지휘관들이 이제 은하 전쟁을 넘어 지하를 탐험할 수 있습니다!
- 새로운 운반선 폭풍 이벤트: 일일 임무를 완료하여 운반선의 개발을 가속화하세요!
- 새로운 V"&amp;"IP 레벨: VIP 19가 이제 사용 가능하며, 더 나은 혜택과 더 많은 보상을 제공합니다!
- 새로운 기념일 이벤트:
  - 기념일 축제: 축제 메달을 모으고 독점 기념일 분수를 건설하여 풍성한 보상을 받으세요, 기념일 사진도 포함됩니다!
  - 기념일 보고서: 기념일 보고서를 읽고 지난 해의 하이라이트를 되새기며 읽은 후 풍성한 보상을 즐기세요!
  - 기념일 결속 앨범: 친구들을 초대하고 사진을 모아 독점 기념일 이벤트 보상을 받으세요!
  - 기"&amp;"념일 축제 풍선: 실린더를 모아 독점 기념일 행군 이펙트를 포함한 풍성한 보상을 받으세요!
  - 기념일 출석: 매일 출석하여 독점 기념일 이벤트 보상을 받으세요, 전설적인 기념일 리더 전사 - 엠마를 무료로 받으세요!
  - 원숭이 바자: 지휘관들을 초대하여 흥정하고 최고의 구매 할인을 잠금 해제하며 다른 사람들을 도와 흥정하여 보상을 받으세요!
  - 기념일 장식 상점: 첫 번째 기념일 케이크 장식이 돌아왔습니다, 무료 교환 기회를 잡으세요!
  -"&amp;" 기념일 선물: 한정된 시간 동안 누적 충전으로 풍성한 보상을 받으세요!
  - 7일 카니발: 기념일을 축하하고 독점 축제 보상을 받으세요!
  - 기념일 보물찾기: 지하를 탐험하고 독점 기념일 전사 보상을 받으세요!
  - 기념일 체인 패키지: 한정된 시간 동안 독점 기념일 패키지가 열리며 풍성한 보상을 제공합니다!
  - 슈퍼 럭키 스타: 서버 전체의 기념일 카니발에 참여하여 저비용 뽑기에 참여하고 슈퍼 럭키 스타를 찾으세요! 독점 기념일 기지 스킨"&amp;" 선택 아이템이 기다리고 있습니다!
  - 놀이공원: 놀이공원에 참여하여 독점 2주년 스킨 보상을 받으세요!
  - 행운의 래커: 새로운 행운의 래커가 왔습니다! 운을 시험하고 초희귀 기념일 메카 래커를 받으세요!
  - 변이 원숭이의 침입: 우리의 원숭이들의 재산을 방어하세요! 변이 원숭이를 물리쳐 풍성한 보상을 받으세요!
  - 기념일 흥정: CD 저가로 귀중한 아이템을 자신 있게 입찰하세요!
- 지하 최적화: 지하 입구의 표시 논리가 최적화되었습니"&amp;"다; 플레이어가 기지 안에 있을 때만 입구 버튼이 보입니다;
- 소장품 최적화: 소장품 도감이 돌파할 수 있을 때의 표시가 최적화되었습니다;
- 소장품 탭 최적화: 디스플레이 세트의 탭 수가 증가하여 소장품 조합에 더 많은 옵션을 제공합니다;
- 공장 최적화: 건물 내 아이템 초과 관련 디스플레이가 개선되었습니다;
- 최고 영토 최적화: 광석 갱신 및 채굴 디스플레이 규칙이 강화되었습니다;
- 부대 위탁 최적화: 부대 위탁 기능에 운반선 유형이 포함되었"&amp;"습니다;
- 일일 훔치기 최적화: 일일 훔치기 패키지에서 일부 버블 디스플레이가 제거되었습니다.")</f>
        <v>- 새로운 전사: 황야의 레인저 - 샘, 날카로운 정의감을 가진 두려움을 모르는 현상금 사냥꾼!
- 새로운 전사: 블라스팅 드러머 - 엠마, 강력한 드러머로서 당신의 최고의 동맹이 될 것입니다!
- 새로운 운반선: 세찬 기세, 엄청난 운반 용량을 가지고 있으며, 집결을 이끌고 참여하며 위치를 방어할 수 있습니다;
- 새로운 운반선 성과 패키지: 운반선 슬롯을 업그레이드하고 이 패키지로 독점 보상을 받으세요!
- 새로운 메카: 사신 - 사마귀, 거대한 날카로운 낫을 장착하여 행성에서 가장 치명적인 헌터가 됩니다!
- 새로운 운영자: 코끼리와 독수리 메카를 위한 세 명의 새로운 전문 운영자가 추가되어 그들의 전투력을 강화합니다!
- 새로운 강사: 전사들이 이제 캠프에 주둔하여 당신의 부대에 추가적인 버프를 제공합니다;
- 확장된 지하 게임플레이: 지휘관들이 이제 은하 전쟁을 넘어 지하를 탐험할 수 있습니다!
- 새로운 운반선 폭풍 이벤트: 일일 임무를 완료하여 운반선의 개발을 가속화하세요!
- 새로운 VIP 레벨: VIP 19가 이제 사용 가능하며, 더 나은 혜택과 더 많은 보상을 제공합니다!
- 새로운 기념일 이벤트:
  - 기념일 축제: 축제 메달을 모으고 독점 기념일 분수를 건설하여 풍성한 보상을 받으세요, 기념일 사진도 포함됩니다!
  - 기념일 보고서: 기념일 보고서를 읽고 지난 해의 하이라이트를 되새기며 읽은 후 풍성한 보상을 즐기세요!
  - 기념일 결속 앨범: 친구들을 초대하고 사진을 모아 독점 기념일 이벤트 보상을 받으세요!
  - 기념일 축제 풍선: 실린더를 모아 독점 기념일 행군 이펙트를 포함한 풍성한 보상을 받으세요!
  - 기념일 출석: 매일 출석하여 독점 기념일 이벤트 보상을 받으세요, 전설적인 기념일 리더 전사 - 엠마를 무료로 받으세요!
  - 원숭이 바자: 지휘관들을 초대하여 흥정하고 최고의 구매 할인을 잠금 해제하며 다른 사람들을 도와 흥정하여 보상을 받으세요!
  - 기념일 장식 상점: 첫 번째 기념일 케이크 장식이 돌아왔습니다, 무료 교환 기회를 잡으세요!
  - 기념일 선물: 한정된 시간 동안 누적 충전으로 풍성한 보상을 받으세요!
  - 7일 카니발: 기념일을 축하하고 독점 축제 보상을 받으세요!
  - 기념일 보물찾기: 지하를 탐험하고 독점 기념일 전사 보상을 받으세요!
  - 기념일 체인 패키지: 한정된 시간 동안 독점 기념일 패키지가 열리며 풍성한 보상을 제공합니다!
  - 슈퍼 럭키 스타: 서버 전체의 기념일 카니발에 참여하여 저비용 뽑기에 참여하고 슈퍼 럭키 스타를 찾으세요! 독점 기념일 기지 스킨 선택 아이템이 기다리고 있습니다!
  - 놀이공원: 놀이공원에 참여하여 독점 2주년 스킨 보상을 받으세요!
  - 행운의 래커: 새로운 행운의 래커가 왔습니다! 운을 시험하고 초희귀 기념일 메카 래커를 받으세요!
  - 변이 원숭이의 침입: 우리의 원숭이들의 재산을 방어하세요! 변이 원숭이를 물리쳐 풍성한 보상을 받으세요!
  - 기념일 흥정: CD 저가로 귀중한 아이템을 자신 있게 입찰하세요!
- 지하 최적화: 지하 입구의 표시 논리가 최적화되었습니다; 플레이어가 기지 안에 있을 때만 입구 버튼이 보입니다;
- 소장품 최적화: 소장품 도감이 돌파할 수 있을 때의 표시가 최적화되었습니다;
- 소장품 탭 최적화: 디스플레이 세트의 탭 수가 증가하여 소장품 조합에 더 많은 옵션을 제공합니다;
- 공장 최적화: 건물 내 아이템 초과 관련 디스플레이가 개선되었습니다;
- 최고 영토 최적화: 광석 갱신 및 채굴 디스플레이 규칙이 강화되었습니다;
- 부대 위탁 최적화: 부대 위탁 기능에 운반선 유형이 포함되었습니다;
- 일일 훔치기 최적화: 일일 훔치기 패키지에서 일부 버블 디스플레이가 제거되었습니다.</v>
      </c>
      <c r="S58" s="148" t="str">
        <f>IFERROR(__xludf.DUMMYFUNCTION("""COMPUTED_VALUE"""),"-新增斗士：孤胆飞侠-萨姆，嫉恶如仇、英姿飒爽的赏金猎人！
-新增斗士：爆裂鼓手-艾玛，声震四方的女鼓手，你的最佳队友！
-新增战车：钢铁雄心号，超强的运载能力，可以发起和参与集结，也可以进行驻防；
-新增战车成就礼包：升级战车舱位，购买礼包即可获得超值奖励！
-新增机甲：收割者-螳螂，锋利的巨型镰刀，让它成为猩球上最危险的狩猎者！
-新增机师：新增巨象、天鹰机甲适配的特定机师各3个，为机甲带来更强大的增益！
-新增教官入驻：斗士可驻扎在兵营中，为部队提供额外增益；
-地下世界玩法拓展：除在银河战争之外，"&amp;"指挥官也可以在地球的地下世界进行游玩了！
-新增战车风暴活动：完成每日任务，助力战车养成！
-新增特权等级：开放特权19等级，更好的权益，更多的奖励！
-新增周年庆活动：
周年庆典：收集庆典纪念章，组建周年限定喷泉装饰，获取丰厚奖励，更有周年庆典纪念照片赠送!
周年年报：阅读周年年报，我们将带您一起回顾过去一年的精彩瞬间，重温那些难忘的经历！阅读完后有丰厚奖励！
周年羁绊相册：广邀好友，集齐相片，获取丰厚周年限定活动奖励！
周年狂欢气球：收集打气筒，获取丰厚奖励，更有周年限定行军特效等你获取！
周年签到："&amp;"每日签到，领取丰厚周年限定活动奖励，免费获取传说周年领袖斗士艾玛！
全猿帮购：邀请指挥官砍价，获得最大的购买优惠，帮助其他指挥官砍价还可以获得砍价谢礼！
周年装饰商店：一周年蛋糕装饰返场，更有机会免费兑换！
周年豪礼：限时累计充值即可领取丰厚奖励！
七日狂欢：欢度周年，赢得周年庆典限定奖励！
周年探宝：周年地底寻宝，赢取限定周年斗士奖励！
周年连锁礼盒：周年限定超值礼包，限时开启，赢取丰厚奖励！
超级幸运星：全服周年狂欢，低价抽奖，寻找超级幸运星！周年主城皮肤自选道具等你来抽！
欢乐游园会：参加游园会，赢"&amp;"取两周年限定皮肤奖励！
惊喜涂装：新惊喜涂装登场！试试手气，赢得超稀有周年机甲涂装！
巨猿入侵：为了捍卫猿族的劳动果实而战！击败巨猿可获得丰厚奖励！
2周年讨价还价：放心出价，使用光碟低价购买超值道具！
-地下世界优化：优化了地下世界入口的显示逻辑，现在地下世界的入口按钮只有玩家在城内时才会显示；
-收藏品优化：优化了收藏品可以突破时，收藏品图鉴的界面表现；
-收藏品页签优化：增加收藏品存档页签数量，提供更多的藏品搭配选择；
-生产工厂优化：优化了建筑物品溢出相关表现；
-巅峰领土优化：矿石刷新规则、采矿"&amp;"表现优化；
-部队托管优化：托管功能增加了战车类型；
-每日必买优化：取消每日必买礼包的部分气泡显示。")</f>
        <v>-新增斗士：孤胆飞侠-萨姆，嫉恶如仇、英姿飒爽的赏金猎人！
-新增斗士：爆裂鼓手-艾玛，声震四方的女鼓手，你的最佳队友！
-新增战车：钢铁雄心号，超强的运载能力，可以发起和参与集结，也可以进行驻防；
-新增战车成就礼包：升级战车舱位，购买礼包即可获得超值奖励！
-新增机甲：收割者-螳螂，锋利的巨型镰刀，让它成为猩球上最危险的狩猎者！
-新增机师：新增巨象、天鹰机甲适配的特定机师各3个，为机甲带来更强大的增益！
-新增教官入驻：斗士可驻扎在兵营中，为部队提供额外增益；
-地下世界玩法拓展：除在银河战争之外，指挥官也可以在地球的地下世界进行游玩了！
-新增战车风暴活动：完成每日任务，助力战车养成！
-新增特权等级：开放特权19等级，更好的权益，更多的奖励！
-新增周年庆活动：
周年庆典：收集庆典纪念章，组建周年限定喷泉装饰，获取丰厚奖励，更有周年庆典纪念照片赠送!
周年年报：阅读周年年报，我们将带您一起回顾过去一年的精彩瞬间，重温那些难忘的经历！阅读完后有丰厚奖励！
周年羁绊相册：广邀好友，集齐相片，获取丰厚周年限定活动奖励！
周年狂欢气球：收集打气筒，获取丰厚奖励，更有周年限定行军特效等你获取！
周年签到：每日签到，领取丰厚周年限定活动奖励，免费获取传说周年领袖斗士艾玛！
全猿帮购：邀请指挥官砍价，获得最大的购买优惠，帮助其他指挥官砍价还可以获得砍价谢礼！
周年装饰商店：一周年蛋糕装饰返场，更有机会免费兑换！
周年豪礼：限时累计充值即可领取丰厚奖励！
七日狂欢：欢度周年，赢得周年庆典限定奖励！
周年探宝：周年地底寻宝，赢取限定周年斗士奖励！
周年连锁礼盒：周年限定超值礼包，限时开启，赢取丰厚奖励！
超级幸运星：全服周年狂欢，低价抽奖，寻找超级幸运星！周年主城皮肤自选道具等你来抽！
欢乐游园会：参加游园会，赢取两周年限定皮肤奖励！
惊喜涂装：新惊喜涂装登场！试试手气，赢得超稀有周年机甲涂装！
巨猿入侵：为了捍卫猿族的劳动果实而战！击败巨猿可获得丰厚奖励！
2周年讨价还价：放心出价，使用光碟低价购买超值道具！
-地下世界优化：优化了地下世界入口的显示逻辑，现在地下世界的入口按钮只有玩家在城内时才会显示；
-收藏品优化：优化了收藏品可以突破时，收藏品图鉴的界面表现；
-收藏品页签优化：增加收藏品存档页签数量，提供更多的藏品搭配选择；
-生产工厂优化：优化了建筑物品溢出相关表现；
-巅峰领土优化：矿石刷新规则、采矿表现优化；
-部队托管优化：托管功能增加了战车类型；
-每日必买优化：取消每日必买礼包的部分气泡显示。</v>
      </c>
      <c r="T58" s="148"/>
      <c r="U58" s="148"/>
      <c r="V58" s="148"/>
      <c r="W58" s="148"/>
      <c r="X58" s="148"/>
      <c r="Y58" s="148"/>
      <c r="Z58" s="148"/>
    </row>
    <row r="59">
      <c r="A59" s="167" t="str">
        <f>IFERROR(__xludf.DUMMYFUNCTION("""COMPUTED_VALUE"""),"0.68.0")</f>
        <v>0.68.0</v>
      </c>
      <c r="B59" s="148" t="str">
        <f>IFERROR(__xludf.DUMMYFUNCTION("""COMPUTED_VALUE"""),"-新增斗士：铁血武僧-洪大师，荒野中的修行者，不怒自威的武学大师！
-新增登月节活动：
太空漫游：使用月球通行证，助力飞船启航，赢取节日城市外观大奖及其它丰厚奖励！
登月豪礼：累计储值，豪礼相送，机甲喷漆涂装、月球通行证等你来拿！
登月留念：收集胶卷，登月留念！有机会获取全新行军特效。
月面探险：参与月面探险，收集纪念胶卷！
月球梦想礼包：订购月球梦想礼包，获得随机惊喜大奖！
登月节赠礼：买满三个相同礼包，可额外再获赠一个！
登月节寄语：每日登录可解锁丰厚奖励！
璀璨之都：全新城市特效-星月环绕即将登场，"&amp;"等你来拿！
-新增建筑：生命监护站，急救冷冻舱和空投救护站中未治愈的士兵将移入此建筑，帮助指挥官们降低战斗的损失；
-新增战车战场:玩家可以使用战车在战场内进行采矿、占点、战斗，体验全新玩法！
-机甲突破等级优化：各机甲的等级上限提升至135级，其中121到130级在游戏服务器开启400天时开放，131到135级在500天时进行开放；
-收藏品优化：新增超凡品质收藏品，并增加可进行突破的传说收藏品数量；
-行军表情优化：行军表情支持在聊天频道发送，快去收集更多表情吧！
-地铁关卡优化：增加地铁挖矿关卡，并"&amp;"更新了后期挖矿关卡可上阵斗士的列表，优化了地铁射击关卡中炮弹的判定范围；
-地底世界优化：新增地底能量仪建筑和地底奇遇玩法。地底能量仪将影响附近范围内的矿脉，提供增减益效果；地底奇遇中指挥官可以遇见各个斗士，做出合适的选择并获得不同奖励；
-决战卫星之巅优化：练习场功能的开启时间优化，调整为整个活动期间均可预约进入；
-机甲优化：增加规则，机甲耐久重伤在相关活动任务当中计入积分。")</f>
        <v>-新增斗士：铁血武僧-洪大师，荒野中的修行者，不怒自威的武学大师！
-新增登月节活动：
太空漫游：使用月球通行证，助力飞船启航，赢取节日城市外观大奖及其它丰厚奖励！
登月豪礼：累计储值，豪礼相送，机甲喷漆涂装、月球通行证等你来拿！
登月留念：收集胶卷，登月留念！有机会获取全新行军特效。
月面探险：参与月面探险，收集纪念胶卷！
月球梦想礼包：订购月球梦想礼包，获得随机惊喜大奖！
登月节赠礼：买满三个相同礼包，可额外再获赠一个！
登月节寄语：每日登录可解锁丰厚奖励！
璀璨之都：全新城市特效-星月环绕即将登场，等你来拿！
-新增建筑：生命监护站，急救冷冻舱和空投救护站中未治愈的士兵将移入此建筑，帮助指挥官们降低战斗的损失；
-新增战车战场:玩家可以使用战车在战场内进行采矿、占点、战斗，体验全新玩法！
-机甲突破等级优化：各机甲的等级上限提升至135级，其中121到130级在游戏服务器开启400天时开放，131到135级在500天时进行开放；
-收藏品优化：新增超凡品质收藏品，并增加可进行突破的传说收藏品数量；
-行军表情优化：行军表情支持在聊天频道发送，快去收集更多表情吧！
-地铁关卡优化：增加地铁挖矿关卡，并更新了后期挖矿关卡可上阵斗士的列表，优化了地铁射击关卡中炮弹的判定范围；
-地底世界优化：新增地底能量仪建筑和地底奇遇玩法。地底能量仪将影响附近范围内的矿脉，提供增减益效果；地底奇遇中指挥官可以遇见各个斗士，做出合适的选择并获得不同奖励；
-决战卫星之巅优化：练习场功能的开启时间优化，调整为整个活动期间均可预约进入；
-机甲优化：增加规则，机甲耐久重伤在相关活动任务当中计入积分。</v>
      </c>
      <c r="C59" s="148" t="str">
        <f>IFERROR(__xludf.DUMMYFUNCTION("""COMPUTED_VALUE"""),"- New Fighter Added: The Iron Monk - Master Hong, The stoic monk of the wild, whose presence alone commands respect!
- New Moon Landing Festival Events:
  Space Odyssey: Use Lunar Passes to launch the spaceship and win the holiday city skins along with ot"&amp;"her great rewards!
  Moon Landing Super Pack: Accumulate recharges and receive lavish gifts such as mecha lacquers, Lunar Passes, and more!
  Memories of Moon Landing: Collect films to commemorate the moon landing! Earn a chance to acquire brand-new march"&amp;" effects.
  Lunar Adventures: Participate in the Lunar Adventures and collect souvenir films!
  Lunar Dreams Pack: Purchase the Lunar Dreams Pack and receive a random surprise grand prize!
  Moon Landing Festival Gifts: Buy three identical packs and recei"&amp;"ve an additional one for free!
  Moon Landing Festival Message: Log in daily to unlock rich rewards!
  Splendid City: A brand-new city hall effect—Stellar Orbit—awaits you!
- New Buildings: The First Aid Station, where soldiers not yet healed in the Cryo "&amp;"Chamber and Medical Pod will be moved, helping commanders reduce battle losses.
- New Carriers Battle: Players can now use carriers for mining, capturing points, and battle within the battlefield!
- Mecha Level Advance Optimization: The level cap for all "&amp;"mechas has been raised to 135. Levels 121-130 will be unlocked after the server has been open for 400 days, while levels 131-135 will be available after 500 days.
- Relics Optimization: New super relics have been added, and more legendary relics are now e"&amp;"ligible for advance.
- Marching Emojis Optimization: Marching emojis can now be sent in the chats—start collecting more emojis now!
- Subway Level Optimization: New subway mining stages have been added, and the list of fighters deployable in late-game min"&amp;"ing stages has been updated. The hitbox for cannonballs in subway shooting levels has also been optimized.
- Subterra Optimization: Introducing the Underground Energy Meter and new Underground Adventures. The Energy Meter will influence nearby mines, prov"&amp;"iding buffs or debuffs. In Underground Adventures, commanders can meet different fighters, make the right choice, and earn various rewards.
- Astral Coliseum Optimization: The availability of the Practice match has been optimized, allowing reservations th"&amp;"roughout the entire event period.
- Mecha Optimization: A new rule has been added—mecha seriously wounded durability will now be counted towards points in related event quests.
")</f>
        <v>- New Fighter Added: The Iron Monk - Master Hong, The stoic monk of the wild, whose presence alone commands respect!
- New Moon Landing Festival Events:
  Space Odyssey: Use Lunar Passes to launch the spaceship and win the holiday city skins along with other great rewards!
  Moon Landing Super Pack: Accumulate recharges and receive lavish gifts such as mecha lacquers, Lunar Passes, and more!
  Memories of Moon Landing: Collect films to commemorate the moon landing! Earn a chance to acquire brand-new march effects.
  Lunar Adventures: Participate in the Lunar Adventures and collect souvenir films!
  Lunar Dreams Pack: Purchase the Lunar Dreams Pack and receive a random surprise grand prize!
  Moon Landing Festival Gifts: Buy three identical packs and receive an additional one for free!
  Moon Landing Festival Message: Log in daily to unlock rich rewards!
  Splendid City: A brand-new city hall effect—Stellar Orbit—awaits you!
- New Buildings: The First Aid Station, where soldiers not yet healed in the Cryo Chamber and Medical Pod will be moved, helping commanders reduce battle losses.
- New Carriers Battle: Players can now use carriers for mining, capturing points, and battle within the battlefield!
- Mecha Level Advance Optimization: The level cap for all mechas has been raised to 135. Levels 121-130 will be unlocked after the server has been open for 400 days, while levels 131-135 will be available after 500 days.
- Relics Optimization: New super relics have been added, and more legendary relics are now eligible for advance.
- Marching Emojis Optimization: Marching emojis can now be sent in the chats—start collecting more emojis now!
- Subway Level Optimization: New subway mining stages have been added, and the list of fighters deployable in late-game mining stages has been updated. The hitbox for cannonballs in subway shooting levels has also been optimized.
- Subterra Optimization: Introducing the Underground Energy Meter and new Underground Adventures. The Energy Meter will influence nearby mines, providing buffs or debuffs. In Underground Adventures, commanders can meet different fighters, make the right choice, and earn various rewards.
- Astral Coliseum Optimization: The availability of the Practice match has been optimized, allowing reservations throughout the entire event period.
- Mecha Optimization: A new rule has been added—mecha seriously wounded durability will now be counted towards points in related event quests.
</v>
      </c>
      <c r="D59" s="148" t="str">
        <f>IFERROR(__xludf.DUMMYFUNCTION("""COMPUTED_VALUE"""),"- Nouveau Combattant Ajouté : Le Moine de Fer - Maître Hong, Le moine stoïque des terres sauvages, dont la seule présence impose le respect !
- Nouveaux Événements du Festival de l'Atterrissage sur la Lune :
  Odyssée Spatiale : Utilisez des Passes Lunair"&amp;"es pour lancer le vaisseau spatial et gagnez des thèmes de ville de vacances ainsi que d'autres superbes récompenses !
  Super Pack d'Atterrissage sur la Lune : Accumulez des recharges et recevez des cadeaux somptueux tels que des laques mécha, des Passes"&amp;" Lunaires, et plus encore !
  Souvenirs de l'Atterrissage sur la Lune : Collectez des films pour commémorer l'atterrissage sur la lune ! Gagnez une chance d'acquérir de tout nouveaux effets de déplacement.
  Aventures Lunaires : Participez aux Aventures L"&amp;"unaires et collectez des films souvenirs !
  Pack Rêves Lunaires : Achetez le Pack Rêves Lunaires et recevez un grand prix surprise aléatoire !
  Cadeaux du Festival de l'Atterrissage sur la Lune : Achetez trois packs identiques et recevez-en un supplémen"&amp;"taire gratuitement !
  Message du Festival de l'Atterrissage sur la Lune : Connectez-vous quotidiennement pour débloquer des récompenses riches !
  Ville Splendide : Un tout nouvel effet d'hôtel de ville—Orbite Stellaire—vous attend !
- Nouveaux Bâtiments"&amp;" : La Station de Premiers Secours, où les soldats non encore soignés dans la Chambre Cryogénique et la Capsule Médicale seront déplacés, aidant les commandants à réduire les pertes de bataille.
- Nouvelle Bataille de Transporteurs : Les joueurs peuvent dé"&amp;"sormais utiliser des transporteurs pour miner, capturer des points, et combattre sur le champ de bataille !
- Optimisation de l'Avancement des Niveaux Mécha : Le plafond de niveau pour tous les méchas a été élevé à 135. Les niveaux 121-130 seront débloqué"&amp;"s après 400 jours d'ouverture du serveur, tandis que les niveaux 131-135 seront disponibles après 500 jours.
- Optimisation des Reliques : De nouvelles super reliques ont été ajoutées, et plus de reliques légendaires sont désormais éligibles pour l'avance"&amp;"ment.
- Optimisation des Émoticônes de Déplacement : Les émoticônes de déplacement peuvent désormais être envoyées dans les chats—commencez à collecter plus d'émoticônes dès maintenant !
- Optimisation des Niveaux du Métro : De nouveaux niveaux de minage "&amp;"du métro ont été ajoutés, et la liste des combattants déployables dans les niveaux de minage de fin de jeu a été mise à jour. La hitbox des boulets de canon dans les niveaux de tir du métro a également été optimisée.
- Optimisation de la Souterraine : Int"&amp;"roduction du Compteur d'Énergie Souterraine et de nouvelles Aventures Souterraines. Le Compteur d'Énergie influencera les mines voisines, fournissant des bonus ou des malus. Dans les Aventures Souterraines, les commandants peuvent rencontrer différents co"&amp;"mbattants, faire le bon choix, et gagner diverses récompenses.
- Optimisation du Colisée Astral : La disponibilité du match d'entraînement a été optimisée, permettant des réservations pendant toute la période de l'événement.
- Optimisation des Méchas : Un"&amp;"e nouvelle règle a été ajoutée—la durabilité des méchas gravement blessés sera désormais comptée dans les points des quêtes d'événements connexes.")</f>
        <v>- Nouveau Combattant Ajouté : Le Moine de Fer - Maître Hong, Le moine stoïque des terres sauvages, dont la seule présence impose le respect !
- Nouveaux Événements du Festival de l'Atterrissage sur la Lune :
  Odyssée Spatiale : Utilisez des Passes Lunaires pour lancer le vaisseau spatial et gagnez des thèmes de ville de vacances ainsi que d'autres superbes récompenses !
  Super Pack d'Atterrissage sur la Lune : Accumulez des recharges et recevez des cadeaux somptueux tels que des laques mécha, des Passes Lunaires, et plus encore !
  Souvenirs de l'Atterrissage sur la Lune : Collectez des films pour commémorer l'atterrissage sur la lune ! Gagnez une chance d'acquérir de tout nouveaux effets de déplacement.
  Aventures Lunaires : Participez aux Aventures Lunaires et collectez des films souvenirs !
  Pack Rêves Lunaires : Achetez le Pack Rêves Lunaires et recevez un grand prix surprise aléatoire !
  Cadeaux du Festival de l'Atterrissage sur la Lune : Achetez trois packs identiques et recevez-en un supplémentaire gratuitement !
  Message du Festival de l'Atterrissage sur la Lune : Connectez-vous quotidiennement pour débloquer des récompenses riches !
  Ville Splendide : Un tout nouvel effet d'hôtel de ville—Orbite Stellaire—vous attend !
- Nouveaux Bâtiments : La Station de Premiers Secours, où les soldats non encore soignés dans la Chambre Cryogénique et la Capsule Médicale seront déplacés, aidant les commandants à réduire les pertes de bataille.
- Nouvelle Bataille de Transporteurs : Les joueurs peuvent désormais utiliser des transporteurs pour miner, capturer des points, et combattre sur le champ de bataille !
- Optimisation de l'Avancement des Niveaux Mécha : Le plafond de niveau pour tous les méchas a été élevé à 135. Les niveaux 121-130 seront débloqués après 400 jours d'ouverture du serveur, tandis que les niveaux 131-135 seront disponibles après 500 jours.
- Optimisation des Reliques : De nouvelles super reliques ont été ajoutées, et plus de reliques légendaires sont désormais éligibles pour l'avancement.
- Optimisation des Émoticônes de Déplacement : Les émoticônes de déplacement peuvent désormais être envoyées dans les chats—commencez à collecter plus d'émoticônes dès maintenant !
- Optimisation des Niveaux du Métro : De nouveaux niveaux de minage du métro ont été ajoutés, et la liste des combattants déployables dans les niveaux de minage de fin de jeu a été mise à jour. La hitbox des boulets de canon dans les niveaux de tir du métro a également été optimisée.
- Optimisation de la Souterraine : Introduction du Compteur d'Énergie Souterraine et de nouvelles Aventures Souterraines. Le Compteur d'Énergie influencera les mines voisines, fournissant des bonus ou des malus. Dans les Aventures Souterraines, les commandants peuvent rencontrer différents combattants, faire le bon choix, et gagner diverses récompenses.
- Optimisation du Colisée Astral : La disponibilité du match d'entraînement a été optimisée, permettant des réservations pendant toute la période de l'événement.
- Optimisation des Méchas : Une nouvelle règle a été ajoutée—la durabilité des méchas gravement blessés sera désormais comptée dans les points des quêtes d'événements connexes.</v>
      </c>
      <c r="E59" s="148" t="str">
        <f>IFERROR(__xludf.DUMMYFUNCTION("""COMPUTED_VALUE"""),"- Neuer Kämpfer hinzugefügt: Der Eiserne Mönch - Meister Hong, der stoische Mönch der Wildnis, dessen bloße Anwesenheit Respekt einflößt!
- Neue Mondlandungsfestival-Events:
  Space Odyssey: Verwende Lunar-Pässe, um das Raumschiff zu starten und die Feier"&amp;"tags-Stadtdesigns sowie andere großartige Belohnungen zu gewinnen!
  Moon Landing Super Pack: Sammle Aufladungen und erhalte großzügige Geschenke wie Mecha-Lacke, Lunar-Pässe und mehr!
  Erinnerungen an die Mondlandung: Sammle Filme, um die Mondlandung zu"&amp;" gedenken! Erhalte die Chance, brandneue Marscheffekte zu erwerben.
  Lunar Adventures: Nimm an den Lunar Adventures teil und sammle Souvenirfilme!
  Lunarträume-Paket: Kaufe das Lunarträume-Paket und erhalte einen zufälligen Überraschungshauptpreis!
  Mo"&amp;"ndlandungsfestival-Geschenke: Kaufe drei identische Pakete und erhalte ein zusätzliches kostenlos!
  Mondlandungsfestival-Nachricht: Melde dich täglich an, um reiche Belohnungen freizuschalten!
  Fantastische Stadt: Ein brandneuer Rathaus-Effekt—Stellarer"&amp;" Orbit—erwartet dich!
- Neue Gebäude: Die Erste-Hilfe-Station, in die Soldaten, die noch nicht in der Kryokammer und Heilkapsel geheilt wurden, verlegt werden, um Kommandanten zu helfen, Kampfverluste zu reduzieren.
- Neue Träger-Schlacht: Spieler können "&amp;"nun Träger für den Bergbau, das Erobern von Punkten und den Kampf auf dem Schlachtfeld einsetzen!
- Mecha-Level-Verbesserungsoptimierung: Das Level-Cap für alle Mechas wurde auf 135 erhöht. Level 121-130 werden freigeschaltet, nachdem der Server 400 Tage "&amp;"geöffnet ist, während Level 131-135 nach 500 Tagen verfügbar sein werden.
- Relikte-Optimierung: Neue Super-Relikte wurden hinzugefügt, und mehr legendäre Relikte sind nun für Verbesserungen geeignet.
- Marsch-Emojis-Optimierung: Marsch-Emojis können nun "&amp;"in den Chats gesendet werden—beginne jetzt, mehr Emojis zu sammeln!
- U-Bahn-Level-Optimierung: Neue U-Bahn-Bergbaustufen wurden hinzugefügt, und die Liste der Kämpfer, die in späten Bergbaustufen eingesetzt werden können, wurde aktualisiert. Die Trefferb"&amp;"ox für Kanonenkugeln in U-Bahn-Schießlevels wurde ebenfalls optimiert.
- Subterra-Optimierung: Einführung des Unterirdischen Energiezählers und neuer Unterirdischer Abenteuer. Der Energiezähler wird nahegelegene Minen beeinflussen und Buffs oder Debuffs b"&amp;"ereitstellen. In Unterirdischen Abenteuern können Kommandanten verschiedene Kämpfer treffen, die richtige Wahl treffen und verschiedene Belohnungen verdienen.
- Astral-Kolosseum-Optimierung: Die Verfügbarkeit des Übungsmatches wurde optimiert, sodass Rese"&amp;"rvierungen während des gesamten Eventzeitraums möglich sind.
- Mecha-Optimierung: Eine neue Regel wurde hinzugefügt—die schwer verwundete Haltbarkeit von Mechas wird nun in die Punkte bei verwandten Event-Quests einbezogen.")</f>
        <v>- Neuer Kämpfer hinzugefügt: Der Eiserne Mönch - Meister Hong, der stoische Mönch der Wildnis, dessen bloße Anwesenheit Respekt einflößt!
- Neue Mondlandungsfestival-Events:
  Space Odyssey: Verwende Lunar-Pässe, um das Raumschiff zu starten und die Feiertags-Stadtdesigns sowie andere großartige Belohnungen zu gewinnen!
  Moon Landing Super Pack: Sammle Aufladungen und erhalte großzügige Geschenke wie Mecha-Lacke, Lunar-Pässe und mehr!
  Erinnerungen an die Mondlandung: Sammle Filme, um die Mondlandung zu gedenken! Erhalte die Chance, brandneue Marscheffekte zu erwerben.
  Lunar Adventures: Nimm an den Lunar Adventures teil und sammle Souvenirfilme!
  Lunarträume-Paket: Kaufe das Lunarträume-Paket und erhalte einen zufälligen Überraschungshauptpreis!
  Mondlandungsfestival-Geschenke: Kaufe drei identische Pakete und erhalte ein zusätzliches kostenlos!
  Mondlandungsfestival-Nachricht: Melde dich täglich an, um reiche Belohnungen freizuschalten!
  Fantastische Stadt: Ein brandneuer Rathaus-Effekt—Stellarer Orbit—erwartet dich!
- Neue Gebäude: Die Erste-Hilfe-Station, in die Soldaten, die noch nicht in der Kryokammer und Heilkapsel geheilt wurden, verlegt werden, um Kommandanten zu helfen, Kampfverluste zu reduzieren.
- Neue Träger-Schlacht: Spieler können nun Träger für den Bergbau, das Erobern von Punkten und den Kampf auf dem Schlachtfeld einsetzen!
- Mecha-Level-Verbesserungsoptimierung: Das Level-Cap für alle Mechas wurde auf 135 erhöht. Level 121-130 werden freigeschaltet, nachdem der Server 400 Tage geöffnet ist, während Level 131-135 nach 500 Tagen verfügbar sein werden.
- Relikte-Optimierung: Neue Super-Relikte wurden hinzugefügt, und mehr legendäre Relikte sind nun für Verbesserungen geeignet.
- Marsch-Emojis-Optimierung: Marsch-Emojis können nun in den Chats gesendet werden—beginne jetzt, mehr Emojis zu sammeln!
- U-Bahn-Level-Optimierung: Neue U-Bahn-Bergbaustufen wurden hinzugefügt, und die Liste der Kämpfer, die in späten Bergbaustufen eingesetzt werden können, wurde aktualisiert. Die Trefferbox für Kanonenkugeln in U-Bahn-Schießlevels wurde ebenfalls optimiert.
- Subterra-Optimierung: Einführung des Unterirdischen Energiezählers und neuer Unterirdischer Abenteuer. Der Energiezähler wird nahegelegene Minen beeinflussen und Buffs oder Debuffs bereitstellen. In Unterirdischen Abenteuern können Kommandanten verschiedene Kämpfer treffen, die richtige Wahl treffen und verschiedene Belohnungen verdienen.
- Astral-Kolosseum-Optimierung: Die Verfügbarkeit des Übungsmatches wurde optimiert, sodass Reservierungen während des gesamten Eventzeitraums möglich sind.
- Mecha-Optimierung: Eine neue Regel wurde hinzugefügt—die schwer verwundete Haltbarkeit von Mechas wird nun in die Punkte bei verwandten Event-Quests einbezogen.</v>
      </c>
      <c r="F59" s="148" t="str">
        <f>IFERROR(__xludf.DUMMYFUNCTION("""COMPUTED_VALUE"""),"- Novo Combatente Adicionado: O Monge de Ferro - Mestre Hong, O monge estoico das terras selvagens, cuja presença por si só comanda respeito!
- Novos Eventos do Festival de Pouso na Lua:
  Odisseia Espacial: Use Passes Lunares para lançar a nave espacial "&amp;"e ganhar temas de cidade festivos junto com outras ótimas recompensas!
  Super Pacote de Pouso na Lua: Acumule recargas e receba presentes luxuosos como lacas de mecha, Passes Lunares e mais!
  Memórias do Pouso na Lua: Colete filmes para comemorar o pous"&amp;"o na lua! Ganhe a chance de adquirir novos efeitos de marcha.
  Aventuras Lunares: Participe das Aventuras Lunares e colete filmes de lembrança!
  Pacote de Sonhos Lunares: Compre o Pacote de Sonhos Lunares e receba um grande prêmio surpresa aleatório!
  "&amp;"Presentes do Festival de Pouso na Lua: Compre três pacotes idênticos e receba um adicional gratuitamente!
  Mensagem do Festival de Pouso na Lua: Faça login diariamente para desbloquear recompensas valiosas!
  Cidade Esplêndida: Um novo efeito de prefeitu"&amp;"ra—Órbita Estelar—aguarda você!
- Novas Estruturas: O Posto de Primeiros Socorros, onde soldados ainda não curados na Câmara Criogênica e no Módulo Médico serão movidos, ajudando os comandantes a reduzir as perdas na batalha.
- Nova Batalha de Transportad"&amp;"ores: Os jogadores agora podem usar transportadores para mineração, captura de pontos e batalha dentro do campo de batalha!
- Otimização de Avanço de Nível de Mecha: O limite de nível para todos os mechas foi aumentado para 135. Os níveis 121-130 serão de"&amp;"sbloqueados após o servidor estar aberto por 400 dias, enquanto os níveis 131-135 estarão disponíveis após 500 dias.
- Otimização de Relíquias: Novas super relíquias foram adicionadas, e mais relíquias lendárias agora são elegíveis para avanço.
- Otimizaç"&amp;"ão de Emojis de Marcha: Emojis de marcha agora podem ser enviados nos bate-papos—comece a coletar mais emojis agora!
- Otimização de Nível do Metrô: Novos estágios de mineração do metrô foram adicionados, e a lista de combatentes implantáveis nos estágios"&amp;" de mineração de final de jogo foi atualizada. A hitbox para bolas de canhão nos níveis de tiro do metrô também foi otimizada.
- Otimização Subterrânea: Introduzindo o Medidor de Energia Subterrâneo e novas Aventuras Subterrâneas. O Medidor de Energia inf"&amp;"luenciará minas próximas, fornecendo auxílios ou debuffs. Nas Aventuras Subterrâneas, os comandantes podem encontrar diferentes combatentes, fazer a escolha certa e ganhar várias recompensas.
- Otimização do Coliseu Astral: A disponibilidade da Partida de"&amp;" Treino foi otimizada, permitindo reservas durante todo o período do evento.
- Otimização de Mecha: Uma nova regra foi adicionada—a durabilidade gravemente ferida de mecha agora será contada para pontos em missões de eventos relacionadas.")</f>
        <v>- Novo Combatente Adicionado: O Monge de Ferro - Mestre Hong, O monge estoico das terras selvagens, cuja presença por si só comanda respeito!
- Novos Eventos do Festival de Pouso na Lua:
  Odisseia Espacial: Use Passes Lunares para lançar a nave espacial e ganhar temas de cidade festivos junto com outras ótimas recompensas!
  Super Pacote de Pouso na Lua: Acumule recargas e receba presentes luxuosos como lacas de mecha, Passes Lunares e mais!
  Memórias do Pouso na Lua: Colete filmes para comemorar o pouso na lua! Ganhe a chance de adquirir novos efeitos de marcha.
  Aventuras Lunares: Participe das Aventuras Lunares e colete filmes de lembrança!
  Pacote de Sonhos Lunares: Compre o Pacote de Sonhos Lunares e receba um grande prêmio surpresa aleatório!
  Presentes do Festival de Pouso na Lua: Compre três pacotes idênticos e receba um adicional gratuitamente!
  Mensagem do Festival de Pouso na Lua: Faça login diariamente para desbloquear recompensas valiosas!
  Cidade Esplêndida: Um novo efeito de prefeitura—Órbita Estelar—aguarda você!
- Novas Estruturas: O Posto de Primeiros Socorros, onde soldados ainda não curados na Câmara Criogênica e no Módulo Médico serão movidos, ajudando os comandantes a reduzir as perdas na batalha.
- Nova Batalha de Transportadores: Os jogadores agora podem usar transportadores para mineração, captura de pontos e batalha dentro do campo de batalha!
- Otimização de Avanço de Nível de Mecha: O limite de nível para todos os mechas foi aumentado para 135. Os níveis 121-130 serão desbloqueados após o servidor estar aberto por 400 dias, enquanto os níveis 131-135 estarão disponíveis após 500 dias.
- Otimização de Relíquias: Novas super relíquias foram adicionadas, e mais relíquias lendárias agora são elegíveis para avanço.
- Otimização de Emojis de Marcha: Emojis de marcha agora podem ser enviados nos bate-papos—comece a coletar mais emojis agora!
- Otimização de Nível do Metrô: Novos estágios de mineração do metrô foram adicionados, e a lista de combatentes implantáveis nos estágios de mineração de final de jogo foi atualizada. A hitbox para bolas de canhão nos níveis de tiro do metrô também foi otimizada.
- Otimização Subterrânea: Introduzindo o Medidor de Energia Subterrâneo e novas Aventuras Subterrâneas. O Medidor de Energia influenciará minas próximas, fornecendo auxílios ou debuffs. Nas Aventuras Subterrâneas, os comandantes podem encontrar diferentes combatentes, fazer a escolha certa e ganhar várias recompensas.
- Otimização do Coliseu Astral: A disponibilidade da Partida de Treino foi otimizada, permitindo reservas durante todo o período do evento.
- Otimização de Mecha: Uma nova regra foi adicionada—a durabilidade gravemente ferida de mecha agora será contada para pontos em missões de eventos relacionadas.</v>
      </c>
      <c r="G59" s="148" t="str">
        <f>IFERROR(__xludf.DUMMYFUNCTION("""COMPUTED_VALUE"""),"-新增鬥士：鐵血武僧-洪大師，荒野中的修行者，不怒自威的武學大師！
-新增登月節活動：
太空漫遊：使用月球通行證，助力飛船啟航，贏取節日城市外觀大獎及其它豐厚獎勵！
登月豪禮：累計儲值，豪禮相送，機甲噴漆塗裝、月球通行證等你來拿！
登月留念：收集膠卷，登月留念！有機會獲取全新行軍特效。
月面探險：參與月面探險，收集紀念膠卷！
月球夢想禮包：訂購月球夢想禮包，獲得隨機驚喜大獎！
登月節贈禮：買滿三個相同禮包，可額外再獲贈一個！
登月節寄語：每日登入可解鎖豐厚獎勵！
璀璨之都：全新城市特效-星月環繞即將登場，"&amp;"等你來拿！
-新增建築：生命監護站，急救冷凍艙和空投救護站中未治癒的士兵將移入此建築，協助指揮官們降低戰鬥的損失；
-新增戰車戰場:玩家可以使用戰車在戰場內進行採礦、占點、戰鬥，體驗全新玩法！
-機甲突破等級優化：各機甲的等級上限提升至135級，其中121到130級在遊戲伺服器開啟400天時開放，131到135級在500天時進行開放；
-收藏品優化：新增超凡品質收藏品，並增加可進行突破的傳說收藏品數量；
-行軍表情優化：行軍表情支持在聊天頻道發送，快去收集更多表情吧！
-地鐵關卡優化：增加地鐵挖礦關卡，並"&amp;"更新了後期挖礦關卡可上陣鬥士的列表，優化了地鐵射擊關卡中砲彈的判定範圍；
-地底世界優化：新增地底能量儀建築和地底奇遇玩法。地底能量儀將影響附近範圍內的礦脈，提供增減益效果；地底奇遇中指揮官可以遇見各個鬥士，做出合適的選擇並獲得不同獎勵；
-決戰衛星之巔優化：練習場功能的開啟時間優化，調整為整個活動期間均可預約進入；
-機甲優化：增加規則，機甲耐久重傷在相關活動任務當中計入積分。")</f>
        <v>-新增鬥士：鐵血武僧-洪大師，荒野中的修行者，不怒自威的武學大師！
-新增登月節活動：
太空漫遊：使用月球通行證，助力飛船啟航，贏取節日城市外觀大獎及其它豐厚獎勵！
登月豪禮：累計儲值，豪禮相送，機甲噴漆塗裝、月球通行證等你來拿！
登月留念：收集膠卷，登月留念！有機會獲取全新行軍特效。
月面探險：參與月面探險，收集紀念膠卷！
月球夢想禮包：訂購月球夢想禮包，獲得隨機驚喜大獎！
登月節贈禮：買滿三個相同禮包，可額外再獲贈一個！
登月節寄語：每日登入可解鎖豐厚獎勵！
璀璨之都：全新城市特效-星月環繞即將登場，等你來拿！
-新增建築：生命監護站，急救冷凍艙和空投救護站中未治癒的士兵將移入此建築，協助指揮官們降低戰鬥的損失；
-新增戰車戰場:玩家可以使用戰車在戰場內進行採礦、占點、戰鬥，體驗全新玩法！
-機甲突破等級優化：各機甲的等級上限提升至135級，其中121到130級在遊戲伺服器開啟400天時開放，131到135級在500天時進行開放；
-收藏品優化：新增超凡品質收藏品，並增加可進行突破的傳說收藏品數量；
-行軍表情優化：行軍表情支持在聊天頻道發送，快去收集更多表情吧！
-地鐵關卡優化：增加地鐵挖礦關卡，並更新了後期挖礦關卡可上陣鬥士的列表，優化了地鐵射擊關卡中砲彈的判定範圍；
-地底世界優化：新增地底能量儀建築和地底奇遇玩法。地底能量儀將影響附近範圍內的礦脈，提供增減益效果；地底奇遇中指揮官可以遇見各個鬥士，做出合適的選擇並獲得不同獎勵；
-決戰衛星之巔優化：練習場功能的開啟時間優化，調整為整個活動期間均可預約進入；
-機甲優化：增加規則，機甲耐久重傷在相關活動任務當中計入積分。</v>
      </c>
      <c r="H59" s="148" t="str">
        <f>IFERROR(__xludf.DUMMYFUNCTION("""COMPUTED_VALUE"""),"- Pejuang Baru Ditambahkan: Biksu Besi - Ketua Hong, Biksu stoik dari alam liar, yang kehadirannya saja memerintahkan rasa hormat!
- Event Festival Pendaratan Bulan Baru:
  Odyssey Luar Angkasa: Gunakan Lunar Passes untuk meluncurkan pesawat luar angkasa "&amp;"dan menangkan tema kota liburan bersama dengan hadiah hebat lainnya!
  Paket Super Pendaratan Bulan: Kumpulkan isi daya dan terima hadiah mewah seperti pernis mecha, Lunar Passes, dan banyak lagi!
  Kenangan Pendaratan Bulan: Kumpulkan film untuk memperin"&amp;"gati pendaratan bulan! Dapatkan kesempatan untuk memperoleh efek barisan baru.
  Petualangan Bulan: Berpartisipasilah dalam Petualangan Bulan dan kumpulkan film kenang-kenangan!
  Paket Mimpi Bulan: Dapatkan Paket Mimpi Bulan dan terima hadiah utama kejut"&amp;"an acak!
  Hadiah Festival Pendaratan Bulan: Beli tiga paket identik dan terima satu tambahan secara gratis!
  Pesan Festival Pendaratan Bulan: Masuk setiap hari untuk membuka hadiah yang kaya!
  Kota Megah: Efek balai kota baru—Orbit Bintang—menantimu!
-"&amp;" Bangunan Baru: Stasiun Pertolongan Pertama, di mana tentara yang belum dipulihkan di Kamar Krio dan Pod Medis akan dipindahkan, membantu komandan mengurangi kerugian pertempuran.
- Pertempuran Pengangkut Baru: Pemain sekarang dapat menggunakan pengangkut"&amp;" untuk menambang, menangkap poin, dan bertempur di medan perang!
- Optimasi Level Mecha: Batas level untuk semua mecha telah dinaikkan menjadi 135. Level 121-130 akan terbuka setelah server dibuka selama 400 hari, sementara level 131-135 akan tersedia set"&amp;"elah 500 hari.
- Optimasi Relik: Relik super baru telah ditambahkan, dan lebih banyak relik legendaris sekarang memenuhi syarat untuk naik.
- Optimasi Emoji Berbaris: Emoji berbaris sekarang dapat dikirim dalam obrolan—mulailah mengumpulkan lebih banyak e"&amp;"moji sekarang!
- Optimasi Level Kereta Bawah Tanah: Tahap penambangan kereta bawah tanah baru telah ditambahkan, dan daftar pejuang yang dapat ditempatkan di tahap penambangan akhir permainan telah diperbarui. Hitbox untuk meriam di level penembakan keret"&amp;"a bawah tanah juga telah dioptimalkan.
- Optimasi Subterra: Memperkenalkan Indikator Energi Bawah Tanah dan Petualangan Bawah Tanah baru. Indikator Energi akan mempengaruhi tambang terdekat, memberikan keunggulan atau debuff. Dalam Petualangan Bawah Tanah"&amp;", komandan dapat bertemu pejuang berbeda, membuat pilihan yang tepat, dan mendapatkan berbagai hadiah.
- Optimasi Koloseum Astral: Ketersediaan Pertandingan Latihan telah dioptimalkan, memungkinkan reservasi sepanjang periode acara.
- Optimasi Mecha: Atur"&amp;"an baru telah ditambahkan—daya tahan serius terluka mecha sekarang akan dihitung sebagai poin dalam tantangan acara terkait.")</f>
        <v>- Pejuang Baru Ditambahkan: Biksu Besi - Ketua Hong, Biksu stoik dari alam liar, yang kehadirannya saja memerintahkan rasa hormat!
- Event Festival Pendaratan Bulan Baru:
  Odyssey Luar Angkasa: Gunakan Lunar Passes untuk meluncurkan pesawat luar angkasa dan menangkan tema kota liburan bersama dengan hadiah hebat lainnya!
  Paket Super Pendaratan Bulan: Kumpulkan isi daya dan terima hadiah mewah seperti pernis mecha, Lunar Passes, dan banyak lagi!
  Kenangan Pendaratan Bulan: Kumpulkan film untuk memperingati pendaratan bulan! Dapatkan kesempatan untuk memperoleh efek barisan baru.
  Petualangan Bulan: Berpartisipasilah dalam Petualangan Bulan dan kumpulkan film kenang-kenangan!
  Paket Mimpi Bulan: Dapatkan Paket Mimpi Bulan dan terima hadiah utama kejutan acak!
  Hadiah Festival Pendaratan Bulan: Beli tiga paket identik dan terima satu tambahan secara gratis!
  Pesan Festival Pendaratan Bulan: Masuk setiap hari untuk membuka hadiah yang kaya!
  Kota Megah: Efek balai kota baru—Orbit Bintang—menantimu!
- Bangunan Baru: Stasiun Pertolongan Pertama, di mana tentara yang belum dipulihkan di Kamar Krio dan Pod Medis akan dipindahkan, membantu komandan mengurangi kerugian pertempuran.
- Pertempuran Pengangkut Baru: Pemain sekarang dapat menggunakan pengangkut untuk menambang, menangkap poin, dan bertempur di medan perang!
- Optimasi Level Mecha: Batas level untuk semua mecha telah dinaikkan menjadi 135. Level 121-130 akan terbuka setelah server dibuka selama 400 hari, sementara level 131-135 akan tersedia setelah 500 hari.
- Optimasi Relik: Relik super baru telah ditambahkan, dan lebih banyak relik legendaris sekarang memenuhi syarat untuk naik.
- Optimasi Emoji Berbaris: Emoji berbaris sekarang dapat dikirim dalam obrolan—mulailah mengumpulkan lebih banyak emoji sekarang!
- Optimasi Level Kereta Bawah Tanah: Tahap penambangan kereta bawah tanah baru telah ditambahkan, dan daftar pejuang yang dapat ditempatkan di tahap penambangan akhir permainan telah diperbarui. Hitbox untuk meriam di level penembakan kereta bawah tanah juga telah dioptimalkan.
- Optimasi Subterra: Memperkenalkan Indikator Energi Bawah Tanah dan Petualangan Bawah Tanah baru. Indikator Energi akan mempengaruhi tambang terdekat, memberikan keunggulan atau debuff. Dalam Petualangan Bawah Tanah, komandan dapat bertemu pejuang berbeda, membuat pilihan yang tepat, dan mendapatkan berbagai hadiah.
- Optimasi Koloseum Astral: Ketersediaan Pertandingan Latihan telah dioptimalkan, memungkinkan reservasi sepanjang periode acara.
- Optimasi Mecha: Aturan baru telah ditambahkan—daya tahan serius terluka mecha sekarang akan dihitung sebagai poin dalam tantangan acara terkait.</v>
      </c>
      <c r="I59" s="148" t="str">
        <f>IFERROR(__xludf.DUMMYFUNCTION("""COMPUTED_VALUE"""),"- เพิ่มนักสู้ใหม่: พระเหล็ก - มาสเตอร์ฮง, พระสงฆ์ผู้เคร่งขรึมแห่งแดนเถื่อน ผู้ที่เพียงแค่ปรากฏตัวก็ได้รับความเคารพ!
- กิจกรรมเทศกาลลงจอดบนดวงจันทร์ใหม่:
  การผจญภัยในอวกาศ: ใช้ มังกี้พาสดวงจันทร์ เพื่อปล่อยยานอวกาศและชนะธีมของเมืองในวันหยุดพร้อมกับรางวัลอ"&amp;"ื่นๆ ที่ยอดเยี่ยม!
  แพ็คซูเปอร์การลงจอดบนดวงจันทร์: สะสมการเติมเงินและรับของขวัญหรูหราเช่น แลคเกอร์เมค, มังกี้พาสดวงจันทร์, และอื่นๆ!
  ความทรงจำของการลงจอดบนดวงจันทร์: เก็บฟิล์มเพื่อระลึกถึงการลงจอดบนดวงจันทร์! รับโอกาสในการได้รับเอฟเฟกต์การเดินทัพใหม่ล"&amp;"่าสุด
  การผจญภัยบนดวงจันทร์: เข้าร่วมใน การผจญภัยบนดวงจันทร์ และเก็บฟิล์มที่ระลึก!
  แพ็กความฝันดวงจันทร์: ซื้อแพ็กความฝันดวงจันทร์และรับรางวัลใหญ่แบบสุ่ม!
  ของขวัญเทศกาลลงจอดบนดวงจันทร์: ซื้อแพ็กที่เหมือนกันสามแพ็กและรับเพิ่มอีกหนึ่งแพ็กฟรี!
  ข้อความเ"&amp;"ทศกาลลงจอดบนดวงจันทร์: ล็อคอินรายวันเพื่อปลดล็อครางวัลมากมาย!
  เมืองสุดพิเศษ: เอฟเฟกต์ศาลากลางเมืองใหม่—วงโคจรดวงดาว—รอคุณอยู่!
- สิ่งก่อสร้างใหม่: สถานีปฐมพยาบาล, ที่ซึ่งทหารที่ยังไม่ได้รับการรักษาในห้องแช่แข็งและห้องการแพทย์จะถูกย้ายไป, ช่วยผู้บัญชาการ"&amp;"ลดการสูญเสียในการต่อสู้
- การต่อสู้ลิงขนส่งใหม่: ผู้เล่นสามารถใช้ลิงขนส่งในการทำเหมือง, จับคะแนน, และต่อสู้ในสนามรบได้แล้ว!
- การปรับปรุงระดับเมค: ขีดจำกัดระดับสำหรับเมคทั้งหมดถูกยกขึ้นเป็น 135 ระดับ 121-130 จะถูกปลดล็อคหลังจากเซิร์ฟเวอร์เปิดมา 400 วัน, ใ"&amp;"นขณะที่ระดับ 131-135 จะพร้อมใช้งานหลังจาก 500 วัน
- การปรับปรุงวัตถุโบราณ: เพิ่มวัตถุโบราณซูเปอร์ใหม่, และวัตถุโบราณระดับตำนานมากขึ้นที่สามารถพัฒนาได้
- การปรับปรุงอิโมจิการเดินทัพ: อิโมจิการเดินทัพสามารถส่งในแชทได้แล้ว—เริ่มสะสมอิโมจิให้มากขึ้นตอนนี้!
- "&amp;"การปรับปรุงระดับรถไฟใต้ดิน: เพิ่มด่านการทำเหมืองรถไฟใต้ดินใหม่, และอัปเดตรายชื่อนักสู้ที่สามารถประจำการในด่านการทำเหมืองช่วงท้ายเกม การตรวจจับการชนของลูกปืนใหญ่ในด่านยิงรถไฟใต้ดินก็ถูกปรับปรุงเช่นกัน
- การปรับปรุงใต้ดิน: แนะนำมาตรวัดพลังงานใต้ดินและการผจญ"&amp;"ภัยใต้ดินใหม่ มาตรวัดพลังงานจะมีผลต่อเหมืองใกล้เคียง, ให้บัฟหรือดีบัฟ ในการผจญภัยใต้ดิน, ผู้บัญชาการสามารถพบกับนักสู้ต่างๆ, ทำการเลือกที่ถูกต้อง, และรับรางวัลต่างๆ
- การปรับปรุงโคลีเซียมดวงดาว: การใช้งานแมตช์ฝึกซ้อมถูกปรับปรุง, อนุญาตให้จองตลอดช่วงเวลากิจ"&amp;"กรรมทั้งหมด
- การปรับปรุงเมค: เพิ่มกฎใหม่—ความทนทานบาดเจ็บสาหัสของเมคจะถูกนับเป็นคะแนนในเควสต์กิจกรรมที่เกี่ยวข้อง")</f>
        <v>- เพิ่มนักสู้ใหม่: พระเหล็ก - มาสเตอร์ฮง, พระสงฆ์ผู้เคร่งขรึมแห่งแดนเถื่อน ผู้ที่เพียงแค่ปรากฏตัวก็ได้รับความเคารพ!
- กิจกรรมเทศกาลลงจอดบนดวงจันทร์ใหม่:
  การผจญภัยในอวกาศ: ใช้ มังกี้พาสดวงจันทร์ เพื่อปล่อยยานอวกาศและชนะธีมของเมืองในวันหยุดพร้อมกับรางวัลอื่นๆ ที่ยอดเยี่ยม!
  แพ็คซูเปอร์การลงจอดบนดวงจันทร์: สะสมการเติมเงินและรับของขวัญหรูหราเช่น แลคเกอร์เมค, มังกี้พาสดวงจันทร์, และอื่นๆ!
  ความทรงจำของการลงจอดบนดวงจันทร์: เก็บฟิล์มเพื่อระลึกถึงการลงจอดบนดวงจันทร์! รับโอกาสในการได้รับเอฟเฟกต์การเดินทัพใหม่ล่าสุด
  การผจญภัยบนดวงจันทร์: เข้าร่วมใน การผจญภัยบนดวงจันทร์ และเก็บฟิล์มที่ระลึก!
  แพ็กความฝันดวงจันทร์: ซื้อแพ็กความฝันดวงจันทร์และรับรางวัลใหญ่แบบสุ่ม!
  ของขวัญเทศกาลลงจอดบนดวงจันทร์: ซื้อแพ็กที่เหมือนกันสามแพ็กและรับเพิ่มอีกหนึ่งแพ็กฟรี!
  ข้อความเทศกาลลงจอดบนดวงจันทร์: ล็อคอินรายวันเพื่อปลดล็อครางวัลมากมาย!
  เมืองสุดพิเศษ: เอฟเฟกต์ศาลากลางเมืองใหม่—วงโคจรดวงดาว—รอคุณอยู่!
- สิ่งก่อสร้างใหม่: สถานีปฐมพยาบาล, ที่ซึ่งทหารที่ยังไม่ได้รับการรักษาในห้องแช่แข็งและห้องการแพทย์จะถูกย้ายไป, ช่วยผู้บัญชาการลดการสูญเสียในการต่อสู้
- การต่อสู้ลิงขนส่งใหม่: ผู้เล่นสามารถใช้ลิงขนส่งในการทำเหมือง, จับคะแนน, และต่อสู้ในสนามรบได้แล้ว!
- การปรับปรุงระดับเมค: ขีดจำกัดระดับสำหรับเมคทั้งหมดถูกยกขึ้นเป็น 135 ระดับ 121-130 จะถูกปลดล็อคหลังจากเซิร์ฟเวอร์เปิดมา 400 วัน, ในขณะที่ระดับ 131-135 จะพร้อมใช้งานหลังจาก 500 วัน
- การปรับปรุงวัตถุโบราณ: เพิ่มวัตถุโบราณซูเปอร์ใหม่, และวัตถุโบราณระดับตำนานมากขึ้นที่สามารถพัฒนาได้
- การปรับปรุงอิโมจิการเดินทัพ: อิโมจิการเดินทัพสามารถส่งในแชทได้แล้ว—เริ่มสะสมอิโมจิให้มากขึ้นตอนนี้!
- การปรับปรุงระดับรถไฟใต้ดิน: เพิ่มด่านการทำเหมืองรถไฟใต้ดินใหม่, และอัปเดตรายชื่อนักสู้ที่สามารถประจำการในด่านการทำเหมืองช่วงท้ายเกม การตรวจจับการชนของลูกปืนใหญ่ในด่านยิงรถไฟใต้ดินก็ถูกปรับปรุงเช่นกัน
- การปรับปรุงใต้ดิน: แนะนำมาตรวัดพลังงานใต้ดินและการผจญภัยใต้ดินใหม่ มาตรวัดพลังงานจะมีผลต่อเหมืองใกล้เคียง, ให้บัฟหรือดีบัฟ ในการผจญภัยใต้ดิน, ผู้บัญชาการสามารถพบกับนักสู้ต่างๆ, ทำการเลือกที่ถูกต้อง, และรับรางวัลต่างๆ
- การปรับปรุงโคลีเซียมดวงดาว: การใช้งานแมตช์ฝึกซ้อมถูกปรับปรุง, อนุญาตให้จองตลอดช่วงเวลากิจกรรมทั้งหมด
- การปรับปรุงเมค: เพิ่มกฎใหม่—ความทนทานบาดเจ็บสาหัสของเมคจะถูกนับเป็นคะแนนในเควสต์กิจกรรมที่เกี่ยวข้อง</v>
      </c>
      <c r="J59" s="148" t="str">
        <f>IFERROR(__xludf.DUMMYFUNCTION("""COMPUTED_VALUE"""),"- Nuevo Luchador Añadido: El Monje de Hierro - Maestro Hong, ¡El monje estoico de la naturaleza, cuya sola presencia impone respeto!
- Nuevos Eventos del Festival de Aterrizaje Lunar:
  Odisea Espacial: ¡Usa Pases Lunares para lanzar la nave espacial y ga"&amp;"na las temáticas de ciudad festivas junto con otras grandes recompensas!
  Súper Paquete de Aterrizaje Lunar: ¡Acumula recargas y recibe regalos lujosos como lacas de mecha, Pases Lunares y más!
  Recuerdos del Aterrizaje Lunar: ¡Recolecta películas para "&amp;"conmemorar el aterrizaje lunar! Gana la oportunidad de adquirir nuevos efectos de marcha.
  Aventuras Lunares: ¡Participa en las Aventuras Lunares y recolecta películas de recuerdo!
  Paquete de Sueños Lunares: ¡Compra el Paquete de Sueños Lunares y recib"&amp;"e un gran premio sorpresa al azar!
  Regalos del Festival de Aterrizaje Lunar: ¡Compra tres paquetes idénticos y recibe uno adicional gratis!
  Mensaje del Festival de Aterrizaje Lunar: ¡Inicia sesión diariamente para desbloquear ricas recompensas!
  Ciud"&amp;"ad Espléndida: ¡Un nuevo efecto de ayuntamiento—Órbita Estelar—te espera!
- Nuevos Edificios: La Estación de Primeros Auxilios, donde los soldados que aún no se han curado en la Cámara Criogénica y la Cápsula Médica serán trasladados, ayudando a los coman"&amp;"dantes a reducir las pérdidas en batalla.
- Nueva Batalla de Transportadores: ¡Los jugadores ahora pueden usar transportadores para minar, capturar puntos y luchar dentro del campo de batalla!
- Optimización del Avance de Nivel de Mecha: El límite de nive"&amp;"l para todos los mechas se ha elevado a 135. Los niveles 121-130 se desbloquearán después de que el servidor haya estado abierto durante 400 días, mientras que los niveles 131-135 estarán disponibles después de 500 días.
- Optimización de Reliquias: Se ha"&amp;"n añadido nuevas súper reliquias, y más reliquias legendarias ahora son elegibles para avanzar.
- Optimización de Emojis de Marcha: ¡Los emojis de marcha ahora se pueden enviar en los chats—comienza a recolectar más emojis ahora!
- Optimización de Nivel d"&amp;"e Subterráneo: Se han añadido nuevas etapas de minería subterránea, y se ha actualizado la lista de luchadores desplegables en las etapas de minería de final de juego. También se ha optimizado la caja de impacto para los cañonazos en los niveles de dispar"&amp;"o subterráneo.
- Optimización de Subterra: Introduciendo el Medidor de Energía Subterránea y nuevas Aventuras Subterráneas. El Medidor de Energía influirá en las minas cercanas, proporcionando mejoras o desventajas. En las Aventuras Subterráneas, los coma"&amp;"ndantes pueden encontrarse con diferentes luchadores, tomar la decisión correcta y ganar varias recompensas.
- Optimización del Coliseo Astral: Se ha optimizado la disponibilidad de la Partida de Práctica, permitiendo reservas durante todo el período del "&amp;"evento.
- Optimización de Mecha: Se ha añadido una nueva regla—la durabilidad de heridas graves de mecha ahora se contará para los puntos en las misiones de eventos relacionadas.")</f>
        <v>- Nuevo Luchador Añadido: El Monje de Hierro - Maestro Hong, ¡El monje estoico de la naturaleza, cuya sola presencia impone respeto!
- Nuevos Eventos del Festival de Aterrizaje Lunar:
  Odisea Espacial: ¡Usa Pases Lunares para lanzar la nave espacial y gana las temáticas de ciudad festivas junto con otras grandes recompensas!
  Súper Paquete de Aterrizaje Lunar: ¡Acumula recargas y recibe regalos lujosos como lacas de mecha, Pases Lunares y más!
  Recuerdos del Aterrizaje Lunar: ¡Recolecta películas para conmemorar el aterrizaje lunar! Gana la oportunidad de adquirir nuevos efectos de marcha.
  Aventuras Lunares: ¡Participa en las Aventuras Lunares y recolecta películas de recuerdo!
  Paquete de Sueños Lunares: ¡Compra el Paquete de Sueños Lunares y recibe un gran premio sorpresa al azar!
  Regalos del Festival de Aterrizaje Lunar: ¡Compra tres paquetes idénticos y recibe uno adicional gratis!
  Mensaje del Festival de Aterrizaje Lunar: ¡Inicia sesión diariamente para desbloquear ricas recompensas!
  Ciudad Espléndida: ¡Un nuevo efecto de ayuntamiento—Órbita Estelar—te espera!
- Nuevos Edificios: La Estación de Primeros Auxilios, donde los soldados que aún no se han curado en la Cámara Criogénica y la Cápsula Médica serán trasladados, ayudando a los comandantes a reducir las pérdidas en batalla.
- Nueva Batalla de Transportadores: ¡Los jugadores ahora pueden usar transportadores para minar, capturar puntos y luchar dentro del campo de batalla!
- Optimización del Avance de Nivel de Mecha: El límite de nivel para todos los mechas se ha elevado a 135. Los niveles 121-130 se desbloquearán después de que el servidor haya estado abierto durante 400 días, mientras que los niveles 131-135 estarán disponibles después de 500 días.
- Optimización de Reliquias: Se han añadido nuevas súper reliquias, y más reliquias legendarias ahora son elegibles para avanzar.
- Optimización de Emojis de Marcha: ¡Los emojis de marcha ahora se pueden enviar en los chats—comienza a recolectar más emojis ahora!
- Optimización de Nivel de Subterráneo: Se han añadido nuevas etapas de minería subterránea, y se ha actualizado la lista de luchadores desplegables en las etapas de minería de final de juego. También se ha optimizado la caja de impacto para los cañonazos en los niveles de disparo subterráneo.
- Optimización de Subterra: Introduciendo el Medidor de Energía Subterránea y nuevas Aventuras Subterráneas. El Medidor de Energía influirá en las minas cercanas, proporcionando mejoras o desventajas. En las Aventuras Subterráneas, los comandantes pueden encontrarse con diferentes luchadores, tomar la decisión correcta y ganar varias recompensas.
- Optimización del Coliseo Astral: Se ha optimizado la disponibilidad de la Partida de Práctica, permitiendo reservas durante todo el período del evento.
- Optimización de Mecha: Se ha añadido una nueva regla—la durabilidad de heridas graves de mecha ahora se contará para los puntos en las misiones de eventos relacionadas.</v>
      </c>
      <c r="K59" s="148" t="str">
        <f>IFERROR(__xludf.DUMMYFUNCTION("""COMPUTED_VALUE"""),"- Добавлен новый герой: Железный монах - Мастер Хонг, стойкий монах диких земель, чье одно лишь присутствие внушает уважение!
- Новые события Фестиваля Посадки на Луну:
  Космическая Одиссея: Используйте Лунные Пропуска, чтобы запустить космический корабл"&amp;"ь и выиграть праздничные темы города вместе с другими отличными наградами!
  Супернабор Посадки на Луну: Накопите пополнения и получите щедрые подарки, такие как лаки для мехов, Лунные Пропуска и многое другое!
  Воспоминания о Посадке на Луну: Собирайте "&amp;"пленки, чтобы отметить посадку на Луну! Получите шанс приобрести совершенно новые эффекты марша.
  Лунные Приключения: Участвуйте в Лунных Приключениях и собирайте сувенирные пленки!
  Набор Лунных Мечт: Купите Набор Лунных Мечт и получите случайный сюрпр"&amp;"из-главный приз!
  Подарки на Фестивале Посадки на Луну: Купите три одинаковых набора и получите дополнительный бесплатно!
  Сообщение Фестиваля Посадки на Луну: Входите ежедневно, чтобы разблокировать щедрые награды!
  Великолепный Город: Вас ждет соверш"&amp;"енно новый эффект городской ратуши — Орбита звезды!
- Новые постройки: Пункт Первой Помощи, куда будут перемещены солдаты, еще не вылеченные в Криокамере и Медкапсуле, что поможет командирам сократить боевые потери.
- Новая битва перевозчиков: Теперь игро"&amp;"ки могут использовать перевозчиков для добычи, захвата точек и сражений на поле боя!
- Оптимизация повышения уровня мехов: Максимальный уровень для всех мехов повышен до 135. Уровни 121-130 будут разблокированы после 400 дней с момента открытия сервера, а"&amp;" уровни 131-135 будут доступны после 500 дней.
- Оптимизация реликвий: Добавлены новые суперреликвии, и больше легендарных реликвий теперь доступны для продвижения.
- Оптимизация эмодзи на марше: Теперь эмодзи на марше можно отправлять в чаты — начните со"&amp;"бирать больше эмодзи прямо сейчас!
- Оптимизация уровней метро: Добавлены новые этапы добычи в метро, и обновлен список героев, которых можно разместить на поздних этапах добычи. Также оптимизирована зона поражения пушечных ядер на уровнях стрельбы в метр"&amp;"о.
- Оптимизация Подземелья: Введен Подземный измеритель энергии и новые Подземные Приключения. Измеритель энергии будет влиять на близлежащие шахты, предоставляя усиления или ослабления. В Подземных Приключениях командиры могут встретить разных героев, с"&amp;"делать правильный выбор и заработать различные награды.
- Оптимизация Астрального Колизея: Оптимизирована доступность тренировочного матча, позволяя бронировать его на весь период события.
- Оптимизация мехов: Добавлено новое правило — теперь тяжело ранен"&amp;"ная прочность мехов будет учитываться при начислении очков в соответствующих заданиях событий.")</f>
        <v>- Добавлен новый герой: Железный монах - Мастер Хонг, стойкий монах диких земель, чье одно лишь присутствие внушает уважение!
- Новые события Фестиваля Посадки на Луну:
  Космическая Одиссея: Используйте Лунные Пропуска, чтобы запустить космический корабль и выиграть праздничные темы города вместе с другими отличными наградами!
  Супернабор Посадки на Луну: Накопите пополнения и получите щедрые подарки, такие как лаки для мехов, Лунные Пропуска и многое другое!
  Воспоминания о Посадке на Луну: Собирайте пленки, чтобы отметить посадку на Луну! Получите шанс приобрести совершенно новые эффекты марша.
  Лунные Приключения: Участвуйте в Лунных Приключениях и собирайте сувенирные пленки!
  Набор Лунных Мечт: Купите Набор Лунных Мечт и получите случайный сюрприз-главный приз!
  Подарки на Фестивале Посадки на Луну: Купите три одинаковых набора и получите дополнительный бесплатно!
  Сообщение Фестиваля Посадки на Луну: Входите ежедневно, чтобы разблокировать щедрые награды!
  Великолепный Город: Вас ждет совершенно новый эффект городской ратуши — Орбита звезды!
- Новые постройки: Пункт Первой Помощи, куда будут перемещены солдаты, еще не вылеченные в Криокамере и Медкапсуле, что поможет командирам сократить боевые потери.
- Новая битва перевозчиков: Теперь игроки могут использовать перевозчиков для добычи, захвата точек и сражений на поле боя!
- Оптимизация повышения уровня мехов: Максимальный уровень для всех мехов повышен до 135. Уровни 121-130 будут разблокированы после 400 дней с момента открытия сервера, а уровни 131-135 будут доступны после 500 дней.
- Оптимизация реликвий: Добавлены новые суперреликвии, и больше легендарных реликвий теперь доступны для продвижения.
- Оптимизация эмодзи на марше: Теперь эмодзи на марше можно отправлять в чаты — начните собирать больше эмодзи прямо сейчас!
- Оптимизация уровней метро: Добавлены новые этапы добычи в метро, и обновлен список героев, которых можно разместить на поздних этапах добычи. Также оптимизирована зона поражения пушечных ядер на уровнях стрельбы в метро.
- Оптимизация Подземелья: Введен Подземный измеритель энергии и новые Подземные Приключения. Измеритель энергии будет влиять на близлежащие шахты, предоставляя усиления или ослабления. В Подземных Приключениях командиры могут встретить разных героев, сделать правильный выбор и заработать различные награды.
- Оптимизация Астрального Колизея: Оптимизирована доступность тренировочного матча, позволяя бронировать его на весь период события.
- Оптимизация мехов: Добавлено новое правило — теперь тяжело раненная прочность мехов будет учитываться при начислении очков в соответствующих заданиях событий.</v>
      </c>
      <c r="L59" s="148" t="str">
        <f>IFERROR(__xludf.DUMMYFUNCTION("""COMPUTED_VALUE"""),"- Yeni Savaşçı Eklendi: Demir Keşiş - Usta Hong, Vahşi doğanın stoik keşişi, varlığıyla bile saygı uyandıran!
- Yeni Ay İnişi Festivali Etkinlikleri:
  Uzay Macerası: Uzay gemisini fırlatmak ve tatil şehir temaları ile diğer harika ödülleri kazanmak için "&amp;"Ay Geçişlerini kullanın!
  Ay İnişi Süper Paketi: Yeniden şarjları biriktirin ve meka lakeleri, Ay Geçişleri ve daha fazlası gibi cömert hediyeler alın!
  Ay İnişi Anıları: Ay inişini anmak için filmler toplayın! Yepyeni sefer efektleri kazanma şansı elde"&amp;" edin.
  Ay Maceraları: Ay Maceralarına katılın ve hatıra filmleri toplayın!
  Ay Rüyaları Paketi: Ay Rüyaları Paketini satın alın ve rastgele bir sürpriz büyük ödül kazanın!
  Ay İnişi Festivali Hediyeleri: Üç aynı paketi satın alın ve bir tane daha ücre"&amp;"tsiz alın!
  Ay İnişi Festivali Mesajı: Zengin ödüllerin kilidini açmak için günlük giriş yapın!
  Muhteşem Şehir: Yepyeni bir şehir meclisi efekti—Yıldız Yörüngesi—sizi bekliyor!
- Yeni Binalar: İlk Yardım İstasyonu, Kriyo Odası ve Tedavi Kapsülünde henü"&amp;"z iyileşmemiş askerlerin taşınacağı yer, komutanların savaş kayıplarını azaltmasına yardımcı olur.
- Yeni Taşıyıcılar Savaşı: Oyuncular artık maden çıkarma, puan yakalama ve savaş alanında savaş için taşıyıcıları kullanabilir!
- Meka Seviye Geliştirme Opt"&amp;"imizasyonu: Tüm mekaların seviye sınırı 135'e yükseltildi. Seviye 121-130, sunucu 400 gün açık kaldıktan sonra, seviye 131-135 ise 500 gün sonra kullanılabilir olacak.
- Kalıntılar Optimizasyonu: Yeni süper kalıntılar eklendi ve daha fazla efsanevi kalınt"&amp;"ı artık geliştirme için uygun.
- Sefer Emojileri Optimizasyonu: Sefer emojileri artık sohbetlerde gönderilebilir—daha fazla emoji toplamaya başlayın!
- Metro Seviye Optimizasyonu: Yeni metro madencilik aşamaları eklendi ve geç oyun madencilik aşamalarında"&amp;" görevlendirilebilecek savaşçıların listesi güncellendi. Metro atış seviyelerinde top mermilerinin vurma kutusu da optimize edildi.
- Yer Altı Optimizasyonu: Yer Altı Enerji Ölçer ve yeni Yer Altı Maceraları tanıtıldı. Enerji Ölçer, yakındaki madenleri et"&amp;"kileyerek güçlendirici veya zayıflatıcı etkiler sağlar. Yer Altı Maceralarında, komutanlar farklı savaşçılarla tanışabilir, doğru seçimi yapabilir ve çeşitli ödüller kazanabilir.
- Yıldız Kolezyumu Optimizasyonu: Alıştırma maçının kullanılabilirliği optim"&amp;"ize edildi, etkinlik süresi boyunca rezervasyon yapılmasına izin verildi.
- Meka Optimizasyonu: Yeni bir kural eklendi—mekanın ağır yaralı dayanıklılığı artık ilgili etkinlik görevlerinde puan olarak sayılacak.")</f>
        <v>- Yeni Savaşçı Eklendi: Demir Keşiş - Usta Hong, Vahşi doğanın stoik keşişi, varlığıyla bile saygı uyandıran!
- Yeni Ay İnişi Festivali Etkinlikleri:
  Uzay Macerası: Uzay gemisini fırlatmak ve tatil şehir temaları ile diğer harika ödülleri kazanmak için Ay Geçişlerini kullanın!
  Ay İnişi Süper Paketi: Yeniden şarjları biriktirin ve meka lakeleri, Ay Geçişleri ve daha fazlası gibi cömert hediyeler alın!
  Ay İnişi Anıları: Ay inişini anmak için filmler toplayın! Yepyeni sefer efektleri kazanma şansı elde edin.
  Ay Maceraları: Ay Maceralarına katılın ve hatıra filmleri toplayın!
  Ay Rüyaları Paketi: Ay Rüyaları Paketini satın alın ve rastgele bir sürpriz büyük ödül kazanın!
  Ay İnişi Festivali Hediyeleri: Üç aynı paketi satın alın ve bir tane daha ücretsiz alın!
  Ay İnişi Festivali Mesajı: Zengin ödüllerin kilidini açmak için günlük giriş yapın!
  Muhteşem Şehir: Yepyeni bir şehir meclisi efekti—Yıldız Yörüngesi—sizi bekliyor!
- Yeni Binalar: İlk Yardım İstasyonu, Kriyo Odası ve Tedavi Kapsülünde henüz iyileşmemiş askerlerin taşınacağı yer, komutanların savaş kayıplarını azaltmasına yardımcı olur.
- Yeni Taşıyıcılar Savaşı: Oyuncular artık maden çıkarma, puan yakalama ve savaş alanında savaş için taşıyıcıları kullanabilir!
- Meka Seviye Geliştirme Optimizasyonu: Tüm mekaların seviye sınırı 135'e yükseltildi. Seviye 121-130, sunucu 400 gün açık kaldıktan sonra, seviye 131-135 ise 500 gün sonra kullanılabilir olacak.
- Kalıntılar Optimizasyonu: Yeni süper kalıntılar eklendi ve daha fazla efsanevi kalıntı artık geliştirme için uygun.
- Sefer Emojileri Optimizasyonu: Sefer emojileri artık sohbetlerde gönderilebilir—daha fazla emoji toplamaya başlayın!
- Metro Seviye Optimizasyonu: Yeni metro madencilik aşamaları eklendi ve geç oyun madencilik aşamalarında görevlendirilebilecek savaşçıların listesi güncellendi. Metro atış seviyelerinde top mermilerinin vurma kutusu da optimize edildi.
- Yer Altı Optimizasyonu: Yer Altı Enerji Ölçer ve yeni Yer Altı Maceraları tanıtıldı. Enerji Ölçer, yakındaki madenleri etkileyerek güçlendirici veya zayıflatıcı etkiler sağlar. Yer Altı Maceralarında, komutanlar farklı savaşçılarla tanışabilir, doğru seçimi yapabilir ve çeşitli ödüller kazanabilir.
- Yıldız Kolezyumu Optimizasyonu: Alıştırma maçının kullanılabilirliği optimize edildi, etkinlik süresi boyunca rezervasyon yapılmasına izin verildi.
- Meka Optimizasyonu: Yeni bir kural eklendi—mekanın ağır yaralı dayanıklılığı artık ilgili etkinlik görevlerinde puan olarak sayılacak.</v>
      </c>
      <c r="M59" s="148" t="str">
        <f>IFERROR(__xludf.DUMMYFUNCTION("""COMPUTED_VALUE"""),"- Chiến Binh Mới Được Thêm: Nhà Sư Sắt - Chủ Tướng Hong, Nhà sư điềm tĩnh của vùng hoang dã, chỉ cần sự hiện diện của ông cũng đủ để khiến người khác kính nể!
- Sự Kiện Mới Lễ Hội Đáp Trăng:
  Odyssey Không Gian: Sử dụng Vé Mặt Trăng để phóng tàu vũ trụ v"&amp;"à giành được chủ đề thành phố lễ hội cùng với các phần thưởng tuyệt vời khác!
  Gói Siêu Cấp Đáp Trăng: Tích lũy nạp tiền và nhận những món quà xa hoa như sơn mài cơ khí, Vé Mặt Trăng, và nhiều hơn nữa!
  Ký Ức Đáp Trăng: Thu thập phim để kỷ niệm sự kiện "&amp;"đáp trăng! Kiếm cơ hội nhận được hiệu ứng hành quân hoàn toàn mới.
  Cuộc Phiêu Lưu Mặt Trăng: Tham gia vào Cuộc Phiêu Lưu Mặt Trăng và thu thập phim lưu niệm!
  Gói Giấc Mơ Mặt Trăng: Mua Gói Giấc Mơ Mặt Trăng và nhận một giải thưởng lớn bất ngờ ngẫu nhi"&amp;"ên!
  Quà Tặng Lễ Hội Đáp Trăng: Mua ba gói giống nhau và nhận thêm một gói miễn phí!
  Tin Nhắn Lễ Hội Đáp Trăng: Đăng nhập hàng ngày để mở khóa phần thưởng phong phú!
  Thành Phố Tuyệt Diệu: Một hiệu ứng tòa thị chính hoàn toàn mới—Quỹ Đạo Tinh Tú—đang "&amp;"chờ bạn!
- Công Trình Mới: Trạm Sơ Cứu, nơi các binh sĩ chưa được trị thương trong Buồng Cryo và Pod Y Tế sẽ được chuyển đến, giúp chỉ huy giảm thiểu tổn thất trận chiến.
- Trận Đấu Người Vận Chuyển Mới: Người chơi giờ đây có thể sử dụng người vận chuyển "&amp;"để khai thác mỏ, chiếm điểm, và chiến đấu trong chiến trường!
- Tối Ưu Hóa Cấp Độ Cơ Khí: Giới hạn cấp độ cho tất cả cơ khí đã được nâng lên 135. Các cấp độ 121-130 sẽ được mở khóa sau khi máy chủ đã mở 400 ngày, trong khi các cấp độ 131-135 sẽ có sẵn sau"&amp;" 500 ngày.
- Tối Ưu Hóa Di Tích: Các di tích siêu cấp mới đã được thêm vào, và nhiều di tích huyền thoại hơn hiện đủ điều kiện để cải tiến.
- Tối Ưu Hóa Biểu Cảm Hành Quân: Biểu cảm hành quân giờ đây có thể được gửi trong các cuộc trò chuyện—bắt đầu thu t"&amp;"hập thêm biểu cảm ngay bây giờ!
- Tối Ưu Hóa Cấp Độ Tàu Điện Ngầm: Các giai đoạn khai thác mỏ tàu điện ngầm mới đã được thêm vào, và danh sách các chiến binh có thể triển khai trong các giai đoạn khai thác mỏ cuối trò chơi đã được cập nhật. Khu vực trúng "&amp;"đạn của pháo trong các cấp độ bắn tàu điện ngầm cũng đã được tối ưu hóa.
- Tối Ưu Hóa Dưới Lòng Đất: Giới thiệu Máy Đo Năng Lượng Dưới Lòng Đất và các Cuộc Phiêu Lưu Dưới Lòng Đất mới. Máy Đo Năng Lượng sẽ ảnh hưởng đến các mỏ gần đó, cung cấp các hiệu ứn"&amp;"g có lợi hoặc suy yếu. Trong các Cuộc Phiêu Lưu Dưới Lòng Đất, các chỉ huy có thể gặp gỡ các chiến binh khác nhau, đưa ra lựa chọn đúng đắn và nhận được nhiều phần thưởng khác nhau.
- Tối Ưu Hóa Đại Đấu Trường Thiên Thể: Tính khả dụng của Trận Đấu Thực Hà"&amp;"nh đã được tối ưu hóa, cho phép đặt chỗ trong suốt thời gian diễn ra sự kiện.
- Tối Ưu Hóa Cơ Khí: Một quy tắc mới đã được thêm vào—thể lực trọng thương của cơ khí giờ đây sẽ được tính vào điểm trong các nhiệm vụ sự kiện liên quan.")</f>
        <v>- Chiến Binh Mới Được Thêm: Nhà Sư Sắt - Chủ Tướng Hong, Nhà sư điềm tĩnh của vùng hoang dã, chỉ cần sự hiện diện của ông cũng đủ để khiến người khác kính nể!
- Sự Kiện Mới Lễ Hội Đáp Trăng:
  Odyssey Không Gian: Sử dụng Vé Mặt Trăng để phóng tàu vũ trụ và giành được chủ đề thành phố lễ hội cùng với các phần thưởng tuyệt vời khác!
  Gói Siêu Cấp Đáp Trăng: Tích lũy nạp tiền và nhận những món quà xa hoa như sơn mài cơ khí, Vé Mặt Trăng, và nhiều hơn nữa!
  Ký Ức Đáp Trăng: Thu thập phim để kỷ niệm sự kiện đáp trăng! Kiếm cơ hội nhận được hiệu ứng hành quân hoàn toàn mới.
  Cuộc Phiêu Lưu Mặt Trăng: Tham gia vào Cuộc Phiêu Lưu Mặt Trăng và thu thập phim lưu niệm!
  Gói Giấc Mơ Mặt Trăng: Mua Gói Giấc Mơ Mặt Trăng và nhận một giải thưởng lớn bất ngờ ngẫu nhiên!
  Quà Tặng Lễ Hội Đáp Trăng: Mua ba gói giống nhau và nhận thêm một gói miễn phí!
  Tin Nhắn Lễ Hội Đáp Trăng: Đăng nhập hàng ngày để mở khóa phần thưởng phong phú!
  Thành Phố Tuyệt Diệu: Một hiệu ứng tòa thị chính hoàn toàn mới—Quỹ Đạo Tinh Tú—đang chờ bạn!
- Công Trình Mới: Trạm Sơ Cứu, nơi các binh sĩ chưa được trị thương trong Buồng Cryo và Pod Y Tế sẽ được chuyển đến, giúp chỉ huy giảm thiểu tổn thất trận chiến.
- Trận Đấu Người Vận Chuyển Mới: Người chơi giờ đây có thể sử dụng người vận chuyển để khai thác mỏ, chiếm điểm, và chiến đấu trong chiến trường!
- Tối Ưu Hóa Cấp Độ Cơ Khí: Giới hạn cấp độ cho tất cả cơ khí đã được nâng lên 135. Các cấp độ 121-130 sẽ được mở khóa sau khi máy chủ đã mở 400 ngày, trong khi các cấp độ 131-135 sẽ có sẵn sau 500 ngày.
- Tối Ưu Hóa Di Tích: Các di tích siêu cấp mới đã được thêm vào, và nhiều di tích huyền thoại hơn hiện đủ điều kiện để cải tiến.
- Tối Ưu Hóa Biểu Cảm Hành Quân: Biểu cảm hành quân giờ đây có thể được gửi trong các cuộc trò chuyện—bắt đầu thu thập thêm biểu cảm ngay bây giờ!
- Tối Ưu Hóa Cấp Độ Tàu Điện Ngầm: Các giai đoạn khai thác mỏ tàu điện ngầm mới đã được thêm vào, và danh sách các chiến binh có thể triển khai trong các giai đoạn khai thác mỏ cuối trò chơi đã được cập nhật. Khu vực trúng đạn của pháo trong các cấp độ bắn tàu điện ngầm cũng đã được tối ưu hóa.
- Tối Ưu Hóa Dưới Lòng Đất: Giới thiệu Máy Đo Năng Lượng Dưới Lòng Đất và các Cuộc Phiêu Lưu Dưới Lòng Đất mới. Máy Đo Năng Lượng sẽ ảnh hưởng đến các mỏ gần đó, cung cấp các hiệu ứng có lợi hoặc suy yếu. Trong các Cuộc Phiêu Lưu Dưới Lòng Đất, các chỉ huy có thể gặp gỡ các chiến binh khác nhau, đưa ra lựa chọn đúng đắn và nhận được nhiều phần thưởng khác nhau.
- Tối Ưu Hóa Đại Đấu Trường Thiên Thể: Tính khả dụng của Trận Đấu Thực Hành đã được tối ưu hóa, cho phép đặt chỗ trong suốt thời gian diễn ra sự kiện.
- Tối Ưu Hóa Cơ Khí: Một quy tắc mới đã được thêm vào—thể lực trọng thương của cơ khí giờ đây sẽ được tính vào điểm trong các nhiệm vụ sự kiện liên quan.</v>
      </c>
      <c r="N59" s="108" t="str">
        <f>IFERROR(__xludf.DUMMYFUNCTION("""COMPUTED_VALUE"""),"- Nuovo Combattente Aggiunto: Il Monaco di Ferro - Maestro Hong, il monaco stoico delle Terre selvagge, la cui sola presenza comanda rispetto!
- Nuovi Eventi del Festival dell'Atterraggio sulla Luna:
  Odissea Spaziale: Usa i Pass Lunari per lanciare l'as"&amp;"tronave e vinci gli aspetti della città festivi insieme ad altre grandi ricompense!
  Super Pacchetto dell'Atterraggio sulla Luna: Accumula ricariche e ricevi regali sontuosi come lacche mecha, Pass Lunari e altro ancora!
  Memorie dell'Atterraggio sulla "&amp;"Luna: Raccogli film per commemorare l'atterraggio sulla luna! Ottieni la possibilità di acquisire nuovi effetti di marcia.
  Avventure Lunari: Partecipa alle Avventure Lunari e raccogli film souvenir!
  Pacchetto Sogni Lunari: Acquista il Pacchetto Sogni "&amp;"Lunari e ricevi un grande premio sorpresa casuale!
  Regali del Festival dell'Atterraggio sulla Luna: Acquista tre pacchetti identici e ricevine uno aggiuntivo gratis!
  Messaggio del Festival dell'Atterraggio sulla Luna: Accedi giornalmente per sbloccare"&amp;" ricche ricompense!
  Città Splendente: Un nuovissimo effetto del municipio—Orbita Stellare—ti aspetta!
- Nuovi Edifici: La Stazione di Pronto Soccorso, dove i soldati non ancora guariti nella Camera Criogenica e nella Capsula Medica saranno trasferiti, a"&amp;"iutando i comandanti a ridurre le perdite in battaglia.
- Nuova Battaglia dei Trasportatori: I giocatori possono ora utilizzare i trasportatori per l'estrazione mineraria, la cattura di punti e la battaglia all'interno del campo di battaglia!
- Ottimizzaz"&amp;"ione del Livello Mecha: Il limite di livello per tutti i mecha è stato aumentato a 135. I livelli 121-130 saranno sbloccati dopo che il server sarà aperto per 400 giorni, mentre i livelli 131-135 saranno disponibili dopo 500 giorni.
- Ottimizzazione delle"&amp;" Reliquie: Sono state aggiunte nuove super reliquie e più reliquie leggendarie sono ora idonee per il miglioramento.
- Ottimizzazione delle Emoji di Marcia: Le emoji di marcia possono ora essere inviate nelle chat—inizia a collezionare più emoji ora!
- Ot"&amp;"timizzazione del Livello della Metro: Sono state aggiunte nuove fasi di estrazione mineraria della metro e l'elenco dei combattenti schierabili nelle fasi di estrazione mineraria di fine gioco è stato aggiornato. Anche l'hitbox per le palle di cannone nei"&amp;" livelli di tiro della metro è stato ottimizzato.
- Ottimizzazione del Sotto Terra: Introduzione del Misuratore di Energia Sotterranea e delle nuove Avventure Sotterranee. Il Misuratore di Energia influenzerà le miniere vicine, fornendo benefici o penalit"&amp;"à. Nelle Avventure Sotterranee, i comandanti possono incontrare diversi combattenti, fare la scelta giusta e guadagnare varie ricompense.
- Ottimizzazione del Colosseo Astrale: La disponibilità della Partita di Prova è stata ottimizzata, consentendo preno"&amp;"tazioni durante l'intero periodo dell'evento.
- Ottimizzazione del Mecha: È stata aggiunta una nuova regola—la durabilità dei mecha feriti gravemente sarà ora conteggiata nei punti delle missioni degli eventi correlati.")</f>
        <v>- Nuovo Combattente Aggiunto: Il Monaco di Ferro - Maestro Hong, il monaco stoico delle Terre selvagge, la cui sola presenza comanda rispetto!
- Nuovi Eventi del Festival dell'Atterraggio sulla Luna:
  Odissea Spaziale: Usa i Pass Lunari per lanciare l'astronave e vinci gli aspetti della città festivi insieme ad altre grandi ricompense!
  Super Pacchetto dell'Atterraggio sulla Luna: Accumula ricariche e ricevi regali sontuosi come lacche mecha, Pass Lunari e altro ancora!
  Memorie dell'Atterraggio sulla Luna: Raccogli film per commemorare l'atterraggio sulla luna! Ottieni la possibilità di acquisire nuovi effetti di marcia.
  Avventure Lunari: Partecipa alle Avventure Lunari e raccogli film souvenir!
  Pacchetto Sogni Lunari: Acquista il Pacchetto Sogni Lunari e ricevi un grande premio sorpresa casuale!
  Regali del Festival dell'Atterraggio sulla Luna: Acquista tre pacchetti identici e ricevine uno aggiuntivo gratis!
  Messaggio del Festival dell'Atterraggio sulla Luna: Accedi giornalmente per sbloccare ricche ricompense!
  Città Splendente: Un nuovissimo effetto del municipio—Orbita Stellare—ti aspetta!
- Nuovi Edifici: La Stazione di Pronto Soccorso, dove i soldati non ancora guariti nella Camera Criogenica e nella Capsula Medica saranno trasferiti, aiutando i comandanti a ridurre le perdite in battaglia.
- Nuova Battaglia dei Trasportatori: I giocatori possono ora utilizzare i trasportatori per l'estrazione mineraria, la cattura di punti e la battaglia all'interno del campo di battaglia!
- Ottimizzazione del Livello Mecha: Il limite di livello per tutti i mecha è stato aumentato a 135. I livelli 121-130 saranno sbloccati dopo che il server sarà aperto per 400 giorni, mentre i livelli 131-135 saranno disponibili dopo 500 giorni.
- Ottimizzazione delle Reliquie: Sono state aggiunte nuove super reliquie e più reliquie leggendarie sono ora idonee per il miglioramento.
- Ottimizzazione delle Emoji di Marcia: Le emoji di marcia possono ora essere inviate nelle chat—inizia a collezionare più emoji ora!
- Ottimizzazione del Livello della Metro: Sono state aggiunte nuove fasi di estrazione mineraria della metro e l'elenco dei combattenti schierabili nelle fasi di estrazione mineraria di fine gioco è stato aggiornato. Anche l'hitbox per le palle di cannone nei livelli di tiro della metro è stato ottimizzato.
- Ottimizzazione del Sotto Terra: Introduzione del Misuratore di Energia Sotterranea e delle nuove Avventure Sotterranee. Il Misuratore di Energia influenzerà le miniere vicine, fornendo benefici o penalità. Nelle Avventure Sotterranee, i comandanti possono incontrare diversi combattenti, fare la scelta giusta e guadagnare varie ricompense.
- Ottimizzazione del Colosseo Astrale: La disponibilità della Partita di Prova è stata ottimizzata, consentendo prenotazioni durante l'intero periodo dell'evento.
- Ottimizzazione del Mecha: È stata aggiunta una nuova regola—la durabilità dei mecha feriti gravemente sarà ora conteggiata nei punti delle missioni degli eventi correlati.</v>
      </c>
      <c r="O59" s="148" t="str">
        <f>IFERROR(__xludf.DUMMYFUNCTION("""COMPUTED_VALUE"""),"- Nowy Wojownik Dodany: Żelazny Mnich - Mistrz Hong, Stoicki mnich dzikich krain, którego sama obecność budzi szacunek!
- Nowe Wydarzenia Festiwalu Lądowania na Księżycu:
  Space Odyssey: Użyj Przepustek Księżycowych, aby wystrzelić statek kosmiczny i wyg"&amp;"rać świąteczne skórki miasta oraz inne wspaniałe nagrody!
  Moon Landing Super Pack: Zbieraj doładowania i odbieraj hojne prezenty, takie jak lakiery do mecha, Przepustki Księżycowe i więcej!
  Wspomnienia z Lądowania na Księżycu: Zbieraj filmy, aby upami"&amp;"ętnić lądowanie na Księżycu! Zdobądź szansę na zdobycie zupełnie nowych efektów marszu.
  Księżycowe Przygody: Weź udział w Księżycowych Przygody i zbieraj pamiątkowe filmy!
  Pakiet Księżycowych Marzeń: Kup Pakiet Księżycowych Marzeń i otrzymaj losową ni"&amp;"espodziankę jako główną nagrodę!
  Prezenty z Festiwalu Lądowania na Księżycu: Kup trzy identyczne pakiety i otrzymaj dodatkowy za darmo!
  Wiadomość Festiwalu Lądowania na Księżycu: Loguj się codziennie, aby odblokować bogate nagrody!
  Wspaniałe Miasto:"&amp;" Zupełnie nowy efekt ratusza—Orbita Gwiezdna—czeka na Ciebie!
- Nowe Budynki: Stacja Pierwszej Pomocy, gdzie żołnierze, którzy nie zostali jeszcze wyleczeni w Komorze Krio i Kapsule Medycznej, będą przenoszeni, pomagając dowódcom zmniejszyć straty w bitwi"&amp;"e.
- Nowa Bitwa Przenośników: Gracze mogą teraz używać przenośników do wydobycia, zdobywania punktów i walki na polu bitwy!
- Optymalizacja Awansu Poziomu Mecha: Limit poziomu dla wszystkich mechów został podniesiony do 135. Poziomy 121-130 zostaną odblok"&amp;"owane po 400 dniach od otwarcia serwera, a poziomy 131-135 będą dostępne po 500 dniach.
- Optymalizacja Reliktów: Dodano nowe super relikty, a więcej legendarnych reliktów jest teraz kwalifikowanych do awansu.
- Optymalizacja Emoji Marszu: Emoji marszu mo"&amp;"żna teraz wysyłać na czatach—zacznij zbierać więcej emoji już teraz!
- Optymalizacja Poziomu Metra: Dodano nowe etapy wydobycia w metrze, a lista wojowników możliwych do rozmieszczenia w późnych etapach wydobycia została zaktualizowana. Hitbox dla kul arm"&amp;"atnich w poziomach strzelania w metrze również został zoptymalizowany.
- Optymalizacja Subterra: Wprowadzenie Podziemnego Miernika Energii i nowych Podziemnych Przygód. Miernik Energii będzie wpływał na pobliskie kopalnie, zapewniając wzmocnienia lub osła"&amp;"bienia. W Podziemnych Przygódach dowódcy mogą spotkać różnych wojowników, dokonać właściwego wyboru i zdobyć różne nagrody.
- Optymalizacja Gwiezdnego Koloseum: Dostępność meczu próbnego została zoptymalizowana, umożliwiając rezerwacje przez cały okres tr"&amp;"wania wydarzenia.
- Optymalizacja Mecha: Dodano nową zasadę—wytrzymałość poważnie rannych mechów będzie teraz liczona do punktów w związanych z tym zadaniach wydarzeń.")</f>
        <v>- Nowy Wojownik Dodany: Żelazny Mnich - Mistrz Hong, Stoicki mnich dzikich krain, którego sama obecność budzi szacunek!
- Nowe Wydarzenia Festiwalu Lądowania na Księżycu:
  Space Odyssey: Użyj Przepustek Księżycowych, aby wystrzelić statek kosmiczny i wygrać świąteczne skórki miasta oraz inne wspaniałe nagrody!
  Moon Landing Super Pack: Zbieraj doładowania i odbieraj hojne prezenty, takie jak lakiery do mecha, Przepustki Księżycowe i więcej!
  Wspomnienia z Lądowania na Księżycu: Zbieraj filmy, aby upamiętnić lądowanie na Księżycu! Zdobądź szansę na zdobycie zupełnie nowych efektów marszu.
  Księżycowe Przygody: Weź udział w Księżycowych Przygody i zbieraj pamiątkowe filmy!
  Pakiet Księżycowych Marzeń: Kup Pakiet Księżycowych Marzeń i otrzymaj losową niespodziankę jako główną nagrodę!
  Prezenty z Festiwalu Lądowania na Księżycu: Kup trzy identyczne pakiety i otrzymaj dodatkowy za darmo!
  Wiadomość Festiwalu Lądowania na Księżycu: Loguj się codziennie, aby odblokować bogate nagrody!
  Wspaniałe Miasto: Zupełnie nowy efekt ratusza—Orbita Gwiezdna—czeka na Ciebie!
- Nowe Budynki: Stacja Pierwszej Pomocy, gdzie żołnierze, którzy nie zostali jeszcze wyleczeni w Komorze Krio i Kapsule Medycznej, będą przenoszeni, pomagając dowódcom zmniejszyć straty w bitwie.
- Nowa Bitwa Przenośników: Gracze mogą teraz używać przenośników do wydobycia, zdobywania punktów i walki na polu bitwy!
- Optymalizacja Awansu Poziomu Mecha: Limit poziomu dla wszystkich mechów został podniesiony do 135. Poziomy 121-130 zostaną odblokowane po 400 dniach od otwarcia serwera, a poziomy 131-135 będą dostępne po 500 dniach.
- Optymalizacja Reliktów: Dodano nowe super relikty, a więcej legendarnych reliktów jest teraz kwalifikowanych do awansu.
- Optymalizacja Emoji Marszu: Emoji marszu można teraz wysyłać na czatach—zacznij zbierać więcej emoji już teraz!
- Optymalizacja Poziomu Metra: Dodano nowe etapy wydobycia w metrze, a lista wojowników możliwych do rozmieszczenia w późnych etapach wydobycia została zaktualizowana. Hitbox dla kul armatnich w poziomach strzelania w metrze również został zoptymalizowany.
- Optymalizacja Subterra: Wprowadzenie Podziemnego Miernika Energii i nowych Podziemnych Przygód. Miernik Energii będzie wpływał na pobliskie kopalnie, zapewniając wzmocnienia lub osłabienia. W Podziemnych Przygódach dowódcy mogą spotkać różnych wojowników, dokonać właściwego wyboru i zdobyć różne nagrody.
- Optymalizacja Gwiezdnego Koloseum: Dostępność meczu próbnego została zoptymalizowana, umożliwiając rezerwacje przez cały okres trwania wydarzenia.
- Optymalizacja Mecha: Dodano nową zasadę—wytrzymałość poważnie rannych mechów będzie teraz liczona do punktów w związanych z tym zadaniach wydarzeń.</v>
      </c>
      <c r="P59" s="148" t="str">
        <f>IFERROR(__xludf.DUMMYFUNCTION("""COMPUTED_VALUE"""),"- تمت إضافة مقاتل جديد: الراهب الحديدي - سيد هونغ، الراهب الصامد في البرية، حضوره وحده يفرض الاحترام!
- أحداث جديدة لمهرجان الهبوط على القمر:
  أوديسة الفضاء: استخدم تذاكر القمر لإطلاق المركبة الفضائية والفوز بزينات المدينة الخاصة بالعطلة مع جوائز رائعة أ"&amp;"خرى!
  باقة الهبوط على القمر الخارقة: اجمع الشحنات واستلم هدايا فاخرة مثل اللكات الميكا وتذاكر القمر والمزيد!
  ذكريات الهبوط على القمر: اجمع الأفلام لإحياء ذكرى الهبوط على القمر! احصل على فرصة للحصول على تأثيرات مسيرة جديدة تمامًا.
  مغامرات القمر: شارك "&amp;"في مغامرات القمر واجمع أفلام التذكارات!
  باقة أحلام القمر: اشترِ باقة أحلام القمر واستلم جائزة كبرى عشوائية!
  هدايا مهرجان الهبوط على القمر: اشترِ ثلاث باقات متطابقة واستلم واحدة إضافية مجانًا!
  رسالة مهرجان الهبوط على القمر: سجل الدخول يوميًا لفتح جوا"&amp;"ئز غنية!
  مدينة رائعة: تأثير جديد تمامًا لقاعة المدينة - مدار النجوم - ينتظرك!
- مبانٍ جديدة: محطة الإسعافات الأولية، حيث سيتم نقل الجنود الذين لم يتم علاجهم بعد في غرفة التجميد ومحطة الإسعافات، مما يساعد القادة على تقليل خسائر المعركة.
- معركة ناقلات جد"&amp;"يدة: يمكن للاعبين الآن استخدام الناقلات للتعدين، والاستيلاء على النقاط، والقتال داخل ساحة المعركة!
- تحسين تقدم مستوى الميكا: تم رفع الحد الأقصى لمستوى جميع الميكات إلى 135. سيتم فتح المستويات من 121 إلى 130 بعد مرور 400 يوم على فتح السيرفر، بينما ستكون ا"&amp;"لمستويات من 131 إلى 135 متاحة بعد 500 يوم.
- تحسين المقتنيات: تمت إضافة مقتنيات خارقة جديدة، وأصبحت المزيد من المقتنيات الأسطورية مؤهلة للتقدم.
- تحسين إيموجي المسيرة: يمكن الآن إرسال إيموجي المسيرة في الدردشات - ابدأ بجمع المزيد من الإيموجي الآن!
- تحسين"&amp;" مستوى مترو الأنفاق: تمت إضافة مراحل تعدين جديدة في مترو الأنفاق، وتم تحديث قائمة المقاتلين القابلين للنشر في مراحل التعدين المتأخرة. كما تم تحسين منطقة التصويب للكرات المدفعية في مستويات إطلاق النار في مترو الأنفاق.
- تحسين تحت الأرض: تقديم مقياس الطاقة "&amp;"تحت الأرض ومغامرات تحت الأرض الجديدة. سيؤثر مقياس الطاقة على المناجم القريبة، مما يوفر تعزيزات أو خفض التعزيزات. في مغامرات تحت الأرض، يمكن للقادة مقابلة مقاتلين مختلفين، واتخاذ القرار الصحيح، وكسب جوائز متنوعة.
- تحسين مدرج النجوم: تم تحسين توفر مباراة ا"&amp;"لتدريب، مما يسمح بالحجوزات طوال فترة الحدث بأكملها.
- تحسين الميكا: تمت إضافة قاعدة جديدة - سيتم الآن احتساب متانة الإصابات الخطيرة للميكا ضمن النقاط في المهام المتعلقة بالحدث.")</f>
        <v>- تمت إضافة مقاتل جديد: الراهب الحديدي - سيد هونغ، الراهب الصامد في البرية، حضوره وحده يفرض الاحترام!
- أحداث جديدة لمهرجان الهبوط على القمر:
  أوديسة الفضاء: استخدم تذاكر القمر لإطلاق المركبة الفضائية والفوز بزينات المدينة الخاصة بالعطلة مع جوائز رائعة أخرى!
  باقة الهبوط على القمر الخارقة: اجمع الشحنات واستلم هدايا فاخرة مثل اللكات الميكا وتذاكر القمر والمزيد!
  ذكريات الهبوط على القمر: اجمع الأفلام لإحياء ذكرى الهبوط على القمر! احصل على فرصة للحصول على تأثيرات مسيرة جديدة تمامًا.
  مغامرات القمر: شارك في مغامرات القمر واجمع أفلام التذكارات!
  باقة أحلام القمر: اشترِ باقة أحلام القمر واستلم جائزة كبرى عشوائية!
  هدايا مهرجان الهبوط على القمر: اشترِ ثلاث باقات متطابقة واستلم واحدة إضافية مجانًا!
  رسالة مهرجان الهبوط على القمر: سجل الدخول يوميًا لفتح جوائز غنية!
  مدينة رائعة: تأثير جديد تمامًا لقاعة المدينة - مدار النجوم - ينتظرك!
- مبانٍ جديدة: محطة الإسعافات الأولية، حيث سيتم نقل الجنود الذين لم يتم علاجهم بعد في غرفة التجميد ومحطة الإسعافات، مما يساعد القادة على تقليل خسائر المعركة.
- معركة ناقلات جديدة: يمكن للاعبين الآن استخدام الناقلات للتعدين، والاستيلاء على النقاط، والقتال داخل ساحة المعركة!
- تحسين تقدم مستوى الميكا: تم رفع الحد الأقصى لمستوى جميع الميكات إلى 135. سيتم فتح المستويات من 121 إلى 130 بعد مرور 400 يوم على فتح السيرفر، بينما ستكون المستويات من 131 إلى 135 متاحة بعد 500 يوم.
- تحسين المقتنيات: تمت إضافة مقتنيات خارقة جديدة، وأصبحت المزيد من المقتنيات الأسطورية مؤهلة للتقدم.
- تحسين إيموجي المسيرة: يمكن الآن إرسال إيموجي المسيرة في الدردشات - ابدأ بجمع المزيد من الإيموجي الآن!
- تحسين مستوى مترو الأنفاق: تمت إضافة مراحل تعدين جديدة في مترو الأنفاق، وتم تحديث قائمة المقاتلين القابلين للنشر في مراحل التعدين المتأخرة. كما تم تحسين منطقة التصويب للكرات المدفعية في مستويات إطلاق النار في مترو الأنفاق.
- تحسين تحت الأرض: تقديم مقياس الطاقة تحت الأرض ومغامرات تحت الأرض الجديدة. سيؤثر مقياس الطاقة على المناجم القريبة، مما يوفر تعزيزات أو خفض التعزيزات. في مغامرات تحت الأرض، يمكن للقادة مقابلة مقاتلين مختلفين، واتخاذ القرار الصحيح، وكسب جوائز متنوعة.
- تحسين مدرج النجوم: تم تحسين توفر مباراة التدريب، مما يسمح بالحجوزات طوال فترة الحدث بأكملها.
- تحسين الميكا: تمت إضافة قاعدة جديدة - سيتم الآن احتساب متانة الإصابات الخطيرة للميكا ضمن النقاط في المهام المتعلقة بالحدث.</v>
      </c>
      <c r="Q59" s="148" t="str">
        <f>IFERROR(__xludf.DUMMYFUNCTION("""COMPUTED_VALUE"""),"- 新しいファイター追加: 鉄の僧侶 - マスター・ホン、荒野の厳格な僧侶、その存在だけで尊敬を集める！
- 新しい月面着陸祭イベント:
  スペースオデッセイ: 月のステージを使用して宇宙船を発射し、ホリデーシティスキンやその他の素晴らしい報酬を獲得しよう！
  月面着陸スーパー パック: 充電を蓄積して、メカ漆製品、月のステージなどの豪華なギフトを受け取ろう！
  月面着陸の思い出: 月面着陸を記念してフィルムを収集しよう！新しい行軍エフェクトを獲得するチャンスを得よう。
  ルナアドベンチャー: ル"&amp;"ナアドベンチャーに参加して、記念フィルムを収集しよう！
  ルナドリームパック: ルナドリームパックを購入して、ランダムなサプライズグランドプライズを受け取ろう！
  月面着陸祭ギフト: 同じパックを3つ購入すると、追加で1つ無料で受け取ろう！
  月面着陸祭のメッセージ: 毎日ログインして豊富な報酬をアンロックしよう！
  華麗な都市: 新しいシティホールエフェクト—ステラー軌道—があなたを待っている！
- 新しい建物: 応急処置所、冷凍チャンバーや医療ポッドでまだ治癒されていない兵士が移動され、指揮官"&amp;"が戦闘損失を減らすのに役立ちます。
- 新しいキャリアバトル: プレイヤーは今、鉱山、ポイントのキャプチャ、戦場内での戦闘にキャリアを使用できます！
- メカレベルランクアップ最適化: すべてのメカのレベルキャップが135に引き上げられました。レベル121-130はサーバーが400日間開いているとアンロックされ、レベル131-135は500日後に利用可能になります。
- 遺物の最適化: 新しいスーパー遺物が追加され、より多くのレジェンダリーレリックがランクアップの対象となりました。
- 行軍絵文字の最適化"&amp;": 行軍絵文字がチャットで送信できるようになりました—今すぐもっと多くの絵文字を収集しよう！
- 地下鉄レベルの最適化: 新しい地下鉄採掘ステージが追加され、後期ゲームの採掘ステージで配置可能なファイターのリストが更新されました。地下鉄射撃レベルでのキャノンボールのヒットボックスも最適化されました。
- サブテラの最適化: 地下エナジーメーターと新しい地下冒険を導入。エナジーメーターは近くの鉱山に影響を与え、バフやデバフを提供します。地下冒険では、指揮官がさまざまなファイターに出会い、正しい選択をしてさま"&amp;"ざまな報酬を獲得できます。
- アストラルコロシアムの最適化: 練習マッチの利用可能性が最適化され、イベント期間中いつでも予約が可能になりました。
- メカの最適化: 新しいルールが追加され、メカの重傷耐久度が関連イベントクエストのポイントにカウントされるようになりました。")</f>
        <v>- 新しいファイター追加: 鉄の僧侶 - マスター・ホン、荒野の厳格な僧侶、その存在だけで尊敬を集める！
- 新しい月面着陸祭イベント:
  スペースオデッセイ: 月のステージを使用して宇宙船を発射し、ホリデーシティスキンやその他の素晴らしい報酬を獲得しよう！
  月面着陸スーパー パック: 充電を蓄積して、メカ漆製品、月のステージなどの豪華なギフトを受け取ろう！
  月面着陸の思い出: 月面着陸を記念してフィルムを収集しよう！新しい行軍エフェクトを獲得するチャンスを得よう。
  ルナアドベンチャー: ルナアドベンチャーに参加して、記念フィルムを収集しよう！
  ルナドリームパック: ルナドリームパックを購入して、ランダムなサプライズグランドプライズを受け取ろう！
  月面着陸祭ギフト: 同じパックを3つ購入すると、追加で1つ無料で受け取ろう！
  月面着陸祭のメッセージ: 毎日ログインして豊富な報酬をアンロックしよう！
  華麗な都市: 新しいシティホールエフェクト—ステラー軌道—があなたを待っている！
- 新しい建物: 応急処置所、冷凍チャンバーや医療ポッドでまだ治癒されていない兵士が移動され、指揮官が戦闘損失を減らすのに役立ちます。
- 新しいキャリアバトル: プレイヤーは今、鉱山、ポイントのキャプチャ、戦場内での戦闘にキャリアを使用できます！
- メカレベルランクアップ最適化: すべてのメカのレベルキャップが135に引き上げられました。レベル121-130はサーバーが400日間開いているとアンロックされ、レベル131-135は500日後に利用可能になります。
- 遺物の最適化: 新しいスーパー遺物が追加され、より多くのレジェンダリーレリックがランクアップの対象となりました。
- 行軍絵文字の最適化: 行軍絵文字がチャットで送信できるようになりました—今すぐもっと多くの絵文字を収集しよう！
- 地下鉄レベルの最適化: 新しい地下鉄採掘ステージが追加され、後期ゲームの採掘ステージで配置可能なファイターのリストが更新されました。地下鉄射撃レベルでのキャノンボールのヒットボックスも最適化されました。
- サブテラの最適化: 地下エナジーメーターと新しい地下冒険を導入。エナジーメーターは近くの鉱山に影響を与え、バフやデバフを提供します。地下冒険では、指揮官がさまざまなファイターに出会い、正しい選択をしてさまざまな報酬を獲得できます。
- アストラルコロシアムの最適化: 練習マッチの利用可能性が最適化され、イベント期間中いつでも予約が可能になりました。
- メカの最適化: 新しいルールが追加され、メカの重傷耐久度が関連イベントクエストのポイントにカウントされるようになりました。</v>
      </c>
      <c r="R59" s="148" t="str">
        <f>IFERROR(__xludf.DUMMYFUNCTION("""COMPUTED_VALUE"""),"- 새로운 전사 추가: 철의 수도승 - 마스터 홍, 황야의 냉철한 수도승, 그의 존재만으로도 존경을 불러일으킵니다!
- 새로운 달 착륙 축제 이벤트:
  우주 오디세이: 루나 패스를 사용하여 우주선을 발사하고 휴일 도시 스킨과 다른 멋진 보상을 획득하세요!
  달 착륙 슈퍼 패키지: 충전을 누적하고 메카 래커, 루나 패스 등 풍성한 선물을 받으세요!
  달 착륙의 기억: 달 착륙을 기념하기 위해 필름을 수집하세요! 새로운 행군 이펙트를 획득할 기회를 얻"&amp;"으세요.
  루나 모험: 루나 모험에 참여하고 기념 필름을 수집하세요!
  루나 드림즈 패키지: 루나 드림즈 패키지를 구매하고 랜덤 서프라이즈 대상을 받으세요!
  달 착륙 축제 선물: 동일한 패키지를 세 개 구매하면 추가 하나를 무료로 받으세요!
  달 착륙 축제 메시지: 매일 로그인하여 풍성한 보상을 잠금 해제하세요!
  화려한 도시: 새로운 도시 기지 효과—스텔라 궤도—가 당신을 기다립니다!
- 새로운 건물: 응급 처치소, 크라이오 챔버와 에어드랍"&amp;" 구호소에서 아직 치유되지 않은 병사들이 이동하여 지휘관의 전투 손실을 줄이는 데 도움을 줍니다.
- 새로운 운반선 전투: 이제 플레이어는 운반선을 사용하여 광산 채굴, 포인트 점령, 전장에서의 전투를 할 수 있습니다!
- 메카 레벨 진보 최적화: 모든 메카의 레벨 한도가 135로 상향되었습니다. 레벨 121-130은 서버가 오픈된 지 400일 후에 잠금 해제되며, 레벨 131-135는 500일 후에 사용 가능합니다.
- 유물 최적화: 새로운 슈퍼 유물"&amp;"이 추가되었으며, 더 많은 전설의 유물이 진보 가능해졌습니다.
- 행군 이모티콘 최적화: 이제 행군 이모티콘을 채팅에서 보낼 수 있습니다—더 많은 이모티콘을 수집하세요!
- 지하철 레벨 최적화: 새로운 지하철 채굴 단계가 추가되었으며, 후반 채굴 단계에서 배치 가능한 전사 목록이 업데이트되었습니다. 지하철 사격 레벨에서 캐넌포의 히트박스도 최적화되었습니다.
- 지하 최적화: 지하 에너지 미터와 새로운 지하 모험을 도입합니다. 에너지 미터는 주변 광산에 "&amp;"영향을 미쳐 버프 또는 디버프를 제공합니다. 지하 모험에서는 지휘관이 다양한 전사를 만나 올바른 선택을 하고 다양한 보상을 획득할 수 있습니다.
- 별의 사투 최적화: 연습 매치의 사용 가능성이 최적화되어 이벤트 기간 내내 예약할 수 있습니다.
- 메카 최적화: 새로운 규칙이 추가되었습니다—메카 중상 내구도가 관련 이벤트 임무의 포인트로 계산됩니다.")</f>
        <v>- 새로운 전사 추가: 철의 수도승 - 마스터 홍, 황야의 냉철한 수도승, 그의 존재만으로도 존경을 불러일으킵니다!
- 새로운 달 착륙 축제 이벤트:
  우주 오디세이: 루나 패스를 사용하여 우주선을 발사하고 휴일 도시 스킨과 다른 멋진 보상을 획득하세요!
  달 착륙 슈퍼 패키지: 충전을 누적하고 메카 래커, 루나 패스 등 풍성한 선물을 받으세요!
  달 착륙의 기억: 달 착륙을 기념하기 위해 필름을 수집하세요! 새로운 행군 이펙트를 획득할 기회를 얻으세요.
  루나 모험: 루나 모험에 참여하고 기념 필름을 수집하세요!
  루나 드림즈 패키지: 루나 드림즈 패키지를 구매하고 랜덤 서프라이즈 대상을 받으세요!
  달 착륙 축제 선물: 동일한 패키지를 세 개 구매하면 추가 하나를 무료로 받으세요!
  달 착륙 축제 메시지: 매일 로그인하여 풍성한 보상을 잠금 해제하세요!
  화려한 도시: 새로운 도시 기지 효과—스텔라 궤도—가 당신을 기다립니다!
- 새로운 건물: 응급 처치소, 크라이오 챔버와 에어드랍 구호소에서 아직 치유되지 않은 병사들이 이동하여 지휘관의 전투 손실을 줄이는 데 도움을 줍니다.
- 새로운 운반선 전투: 이제 플레이어는 운반선을 사용하여 광산 채굴, 포인트 점령, 전장에서의 전투를 할 수 있습니다!
- 메카 레벨 진보 최적화: 모든 메카의 레벨 한도가 135로 상향되었습니다. 레벨 121-130은 서버가 오픈된 지 400일 후에 잠금 해제되며, 레벨 131-135는 500일 후에 사용 가능합니다.
- 유물 최적화: 새로운 슈퍼 유물이 추가되었으며, 더 많은 전설의 유물이 진보 가능해졌습니다.
- 행군 이모티콘 최적화: 이제 행군 이모티콘을 채팅에서 보낼 수 있습니다—더 많은 이모티콘을 수집하세요!
- 지하철 레벨 최적화: 새로운 지하철 채굴 단계가 추가되었으며, 후반 채굴 단계에서 배치 가능한 전사 목록이 업데이트되었습니다. 지하철 사격 레벨에서 캐넌포의 히트박스도 최적화되었습니다.
- 지하 최적화: 지하 에너지 미터와 새로운 지하 모험을 도입합니다. 에너지 미터는 주변 광산에 영향을 미쳐 버프 또는 디버프를 제공합니다. 지하 모험에서는 지휘관이 다양한 전사를 만나 올바른 선택을 하고 다양한 보상을 획득할 수 있습니다.
- 별의 사투 최적화: 연습 매치의 사용 가능성이 최적화되어 이벤트 기간 내내 예약할 수 있습니다.
- 메카 최적화: 새로운 규칙이 추가되었습니다—메카 중상 내구도가 관련 이벤트 임무의 포인트로 계산됩니다.</v>
      </c>
      <c r="S59" s="148" t="str">
        <f>IFERROR(__xludf.DUMMYFUNCTION("""COMPUTED_VALUE"""),"-新增斗士：铁血武僧-洪大师，荒野中的修行者，不怒自威的武学大师！
-新增登月节活动：
太空漫游：使用月球通行证，助力飞船启航，赢取节日城市外观大奖及其它丰厚奖励！
登月豪礼：累计储值，豪礼相送，机甲喷漆涂装、月球通行证等你来拿！
登月留念：收集胶卷，登月留念！有机会获取全新行军特效。
月面探险：参与月面探险，收集纪念胶卷！
月球梦想礼包：订购月球梦想礼包，获得随机惊喜大奖！
登月节赠礼：买满三个相同礼包，可额外再获赠一个！
登月节寄语：每日登录可解锁丰厚奖励！
璀璨之都：全新城市特效-星月环绕即将登场，"&amp;"等你来拿！
-新增建筑：生命监护站，急救冷冻仓和空投救护站中未治愈的士兵将移入此建筑，帮助指挥官们降低战斗的损失；
-新增战车战场:玩家可以使用战车在战场内进行采矿、占点、战斗，体验全新玩法！
-机甲突破等级优化：各机甲的等级上限提升至135级，其中121到130级在游戏服务器开启400天时开放，131到135级在500天时进行开放；
-收藏品优化：新增超凡品质收藏品，并增加可进行突破的传说收藏品数量；
-行军表情优化：行军表情支持在聊天频道发送，快去收集更多表情吧！
-地铁关卡优化：增加地铁挖矿关卡，并"&amp;"更新了后期挖矿关卡可上阵斗士的列表，优化了地铁射击关卡中炮弹的判定范围；
-地底世界优化：新增地底能量仪建筑和地底奇遇玩法。地底能量仪将影响附近范围内的矿脉，提供增减益效果；地底奇遇中指挥官可以遇见各个斗士，做出合适的选择并获得不同奖励；
-决战卫星之巅优化：练习场功能的开启时间优化，调整为整个活动期间均可预约进入；
-机甲优化：增加规则，机甲耐久重伤在相关活动任务当中计入积分。")</f>
        <v>-新增斗士：铁血武僧-洪大师，荒野中的修行者，不怒自威的武学大师！
-新增登月节活动：
太空漫游：使用月球通行证，助力飞船启航，赢取节日城市外观大奖及其它丰厚奖励！
登月豪礼：累计储值，豪礼相送，机甲喷漆涂装、月球通行证等你来拿！
登月留念：收集胶卷，登月留念！有机会获取全新行军特效。
月面探险：参与月面探险，收集纪念胶卷！
月球梦想礼包：订购月球梦想礼包，获得随机惊喜大奖！
登月节赠礼：买满三个相同礼包，可额外再获赠一个！
登月节寄语：每日登录可解锁丰厚奖励！
璀璨之都：全新城市特效-星月环绕即将登场，等你来拿！
-新增建筑：生命监护站，急救冷冻仓和空投救护站中未治愈的士兵将移入此建筑，帮助指挥官们降低战斗的损失；
-新增战车战场:玩家可以使用战车在战场内进行采矿、占点、战斗，体验全新玩法！
-机甲突破等级优化：各机甲的等级上限提升至135级，其中121到130级在游戏服务器开启400天时开放，131到135级在500天时进行开放；
-收藏品优化：新增超凡品质收藏品，并增加可进行突破的传说收藏品数量；
-行军表情优化：行军表情支持在聊天频道发送，快去收集更多表情吧！
-地铁关卡优化：增加地铁挖矿关卡，并更新了后期挖矿关卡可上阵斗士的列表，优化了地铁射击关卡中炮弹的判定范围；
-地底世界优化：新增地底能量仪建筑和地底奇遇玩法。地底能量仪将影响附近范围内的矿脉，提供增减益效果；地底奇遇中指挥官可以遇见各个斗士，做出合适的选择并获得不同奖励；
-决战卫星之巅优化：练习场功能的开启时间优化，调整为整个活动期间均可预约进入；
-机甲优化：增加规则，机甲耐久重伤在相关活动任务当中计入积分。</v>
      </c>
      <c r="T59" s="148"/>
      <c r="U59" s="148"/>
      <c r="V59" s="148"/>
      <c r="W59" s="148"/>
      <c r="X59" s="148"/>
      <c r="Y59" s="148"/>
      <c r="Z59" s="148"/>
    </row>
    <row r="60">
      <c r="A60" s="167" t="str">
        <f>IFERROR(__xludf.DUMMYFUNCTION("""COMPUTED_VALUE"""),"0.69.0")</f>
        <v>0.69.0</v>
      </c>
      <c r="B60" s="148" t="str">
        <f>IFERROR(__xludf.DUMMYFUNCTION("""COMPUTED_VALUE"""),"-新增斗士：浴血教父-布雷克震撼登场！来自地下世界的枭雄，浴血奋战多年的帮派教父！
-新增斗士雕像：格兰特；
-生产工厂：新增地图置换工厂，指挥官可以每日并购新的地块，扩大工厂版图；新增工猴一键清空、快速调整功能；
-新增机师：亚历山大·怀尔德，伊莱·格兰姆斯，利亚姆·帕克，克莱尔·海斯，伊桑·布雷克，加布里奥·格雷；
-收藏品展厅增加6F新楼层，新楼层中的展台可以通过保养来增加展览时间，展览时间越长则展品的展览属性生效越多；
-新增万圣节活动：
惊奇派对：使用糖果罐，开启惊喜糖果，赢取节日皮肤大奖及丰厚"&amp;"奖励！
节日豪礼：累计储值豪礼相送，获取机甲颜色涂装！
不给糖就捣蛋：收集南瓜币，获得丰厚奖励！有机会获取全新行军特效！
暗夜矿场：万圣节特别纪念矿场等你来探索！
惊奇南瓜：购买南瓜礼包，即可解锁丰厚免费奖励！
充值豪礼：单次充值，获取超值奖励！
魅影对决：为你所在阵营的荣耀进行对决！
午夜讨价还价：危机四伏，谨慎出价！还价成功可低价购买超值道具！
璀璨之都：新主城特效-索命暗影即将登场，等你来拿！
-高级机甲战场优化：进行了数值平衡性调整；新增了小地图点击功能，移动视角更方便，助玩家轻松掌控全局；新增了"&amp;"标记功能，快捷简单沟通队友，增强团队配合；新增了部分技能音效，提供更好的感官体验；
-战装试炼场优化：新增了扫荡功能，帮助玩家更速通关！
-战车系统优化：优化了战车的移动速度；新增了战车相关的成就及勋章；新增了战车改名功能；优化了英勇不屈号的集结功能；优化了英勇不屈号的采集兵量选择。
-射击手兵种技能调整：子弹不再需要时间进行恢复，而且射击手进行兵种技能变身后可以进行移动；
-休眠舱优化：替换了休眠舱每日任务；
-教官委派优化：优化了委派教官的操作体验，已经委派的教官会出现在内城进行巡逻；
-聊天截图：功"&amp;"能整体优化，新增延时截图功能，可以通过延时来截取不同界面的游戏画面；
-机甲皮肤：新增毒蝎机甲皮肤-毒蝎（暗影传说），猿族为了提升伏击战效果而改装的毒蝎机甲，如同暗夜中的幽魂，更隐秘，也更致命；
-新增全面抵御玩法：指挥官们需要召集帮派成员保卫配送站免受变异猴的进攻，期间可以选择强力增益助力防守，完成挑战还可获得额外奖励；
-塔防小游戏优化：优化了战场内的显示，进行了难度调整；
-王者之地优化：提升战场内的表现，增加了教学图鉴，增加boss点位显示，优化了战斗体验；
-迷雾优化：迷雾遮挡区与实际更加匹配；"&amp;"
-战地争锋战场优化：优化了界面显示。")</f>
        <v>-新增斗士：浴血教父-布雷克震撼登场！来自地下世界的枭雄，浴血奋战多年的帮派教父！
-新增斗士雕像：格兰特；
-生产工厂：新增地图置换工厂，指挥官可以每日并购新的地块，扩大工厂版图；新增工猴一键清空、快速调整功能；
-新增机师：亚历山大·怀尔德，伊莱·格兰姆斯，利亚姆·帕克，克莱尔·海斯，伊桑·布雷克，加布里奥·格雷；
-收藏品展厅增加6F新楼层，新楼层中的展台可以通过保养来增加展览时间，展览时间越长则展品的展览属性生效越多；
-新增万圣节活动：
惊奇派对：使用糖果罐，开启惊喜糖果，赢取节日皮肤大奖及丰厚奖励！
节日豪礼：累计储值豪礼相送，获取机甲颜色涂装！
不给糖就捣蛋：收集南瓜币，获得丰厚奖励！有机会获取全新行军特效！
暗夜矿场：万圣节特别纪念矿场等你来探索！
惊奇南瓜：购买南瓜礼包，即可解锁丰厚免费奖励！
充值豪礼：单次充值，获取超值奖励！
魅影对决：为你所在阵营的荣耀进行对决！
午夜讨价还价：危机四伏，谨慎出价！还价成功可低价购买超值道具！
璀璨之都：新主城特效-索命暗影即将登场，等你来拿！
-高级机甲战场优化：进行了数值平衡性调整；新增了小地图点击功能，移动视角更方便，助玩家轻松掌控全局；新增了标记功能，快捷简单沟通队友，增强团队配合；新增了部分技能音效，提供更好的感官体验；
-战装试炼场优化：新增了扫荡功能，帮助玩家更速通关！
-战车系统优化：优化了战车的移动速度；新增了战车相关的成就及勋章；新增了战车改名功能；优化了英勇不屈号的集结功能；优化了英勇不屈号的采集兵量选择。
-射击手兵种技能调整：子弹不再需要时间进行恢复，而且射击手进行兵种技能变身后可以进行移动；
-休眠舱优化：替换了休眠舱每日任务；
-教官委派优化：优化了委派教官的操作体验，已经委派的教官会出现在内城进行巡逻；
-聊天截图：功能整体优化，新增延时截图功能，可以通过延时来截取不同界面的游戏画面；
-机甲皮肤：新增毒蝎机甲皮肤-毒蝎（暗影传说），猿族为了提升伏击战效果而改装的毒蝎机甲，如同暗夜中的幽魂，更隐秘，也更致命；
-新增全面抵御玩法：指挥官们需要召集帮派成员保卫配送站免受变异猴的进攻，期间可以选择强力增益助力防守，完成挑战还可获得额外奖励；
-塔防小游戏优化：优化了战场内的显示，进行了难度调整；
-王者之地优化：提升战场内的表现，增加了教学图鉴，增加boss点位显示，优化了战斗体验；
-迷雾优化：迷雾遮挡区与实际更加匹配；
-战地争锋战场优化：优化了界面显示。</v>
      </c>
      <c r="C60" s="148" t="str">
        <f>IFERROR(__xludf.DUMMYFUNCTION("""COMPUTED_VALUE"""),"- New Fighter: Introducing the Bloodstained Godfather-Blake! The kingpin of the underground, a godfather forged through blood and battle!
- New Fighter Statue: Grant;
-Factory: Introducing the Map Exchange Factory—Commanders can now acquire new land plots"&amp;" daily to expand their factory territory. Also added the Clear All feature for workers. 
-New Pilots Added: Alexander Wilder, Eli Grams, Liam Parker, Claire Hayes, Ethan Blake, and Gabriel Gray;
-A new 6th floor has been added. Exhibition stands on this f"&amp;"loor can be maintained to extend display times—the longer the exhibition, the more attributes of the exhibits take effect.
-New Halloween Events:
  -Festival of Frights: Use Candy Jars to open surprise candies and win festive skin grand prizes and abundan"&amp;"t rewards!
  -Festive Gifts: Accumulate recharges to receive lavish gifts and obtain Mech lacquers!
  -Trick or Treat: Collect Pumpkin Coins to earn bountiful rewards with a chance to get a brand-new march effect!
  -Spook Mine: Explore the special Hallow"&amp;"een mine!
  -Surprise Pumpkin: Purchase Pumpkin Packs to unlock a wealth of free rewards!
  -Recharge Rewards: Make a single recharge to receive exceptional rewards!
  -Phantom Showdown: Battle for the glory of your team!
  -Midnight Haggling: Danger lurk"&amp;"s around every corner—bid cautiously! Successful haggling lets you purchase valuable items at low prices!
  -Splendid City: The new city hall effect—Shadow Reaper—is coming soon. Don't miss out!
-Advanced Mech Clash Optimization: Adjusted balance paramete"&amp;"rs; added map tap feature for easier camera movement, helping players control the entire battlefield. Introduced marking features for quick and easy communication with teammates, enhancing team coordination. Added new skill sound effects for a better sens"&amp;"ory experience.
-Equipment Test Site Optimization: Added a Raid function to help players clear levels faster!
-Carrier System Optimization: Improved carrier movement speed; added new carrier-related achievements and badges; introduced carrier renaming fea"&amp;"ture; optimized the rally feature of the Infinite Valor; improved the Infinite Valor unit quantity selection.
-Shooter Unit Skill Adjustment: Bullets no longer require recovery time, and Shooter can move after transforming with their unit skill.
-Stasis P"&amp;"od Optimization: Replaced daily quests in the Stasis Pod.
-Instructor Assignment Optimization: Enhanced the experience when assigning instructors; assigned instructors will now patrol within the inner city.
-Chat Screenshot Feature: Overall optimization; "&amp;"added delayed screenshot feature, allowing you to capture different game screens with a delay.
-Mech Skin Update: Introducing the new Scorpion Mech Skin—Scorpion (Shadow Legends). To perfect their ambush tactics, the Ape has reinvented the Scorpion mech i"&amp;"nto a phantom of the night—more elusive and deadlier than ever.
-New Total Resist Gameplay: Commanders need to rally gang members to defend the Distributor from mutant attacks. Choose powerful buffs to aid in defense; complete challenges to earn extra rew"&amp;"ards.
-Babel Mini-Game Optimization: Improved displays in battles and adjusted difficulty levels.
-Arena of Champions Optimization: Enhanced battlefield visuals, added tutorial illustrations, displayed boss locations, and optimized battle experience.
-Fog"&amp;" Optimization: Fog areas now more accurately match the actual terrain.
-Primate Standoff Optimization: Improved interface display.")</f>
        <v>- New Fighter: Introducing the Bloodstained Godfather-Blake! The kingpin of the underground, a godfather forged through blood and battle!
- New Fighter Statue: Grant;
-Factory: Introducing the Map Exchange Factory—Commanders can now acquire new land plots daily to expand their factory territory. Also added the Clear All feature for workers. 
-New Pilots Added: Alexander Wilder, Eli Grams, Liam Parker, Claire Hayes, Ethan Blake, and Gabriel Gray;
-A new 6th floor has been added. Exhibition stands on this floor can be maintained to extend display times—the longer the exhibition, the more attributes of the exhibits take effect.
-New Halloween Events:
  -Festival of Frights: Use Candy Jars to open surprise candies and win festive skin grand prizes and abundant rewards!
  -Festive Gifts: Accumulate recharges to receive lavish gifts and obtain Mech lacquers!
  -Trick or Treat: Collect Pumpkin Coins to earn bountiful rewards with a chance to get a brand-new march effect!
  -Spook Mine: Explore the special Halloween mine!
  -Surprise Pumpkin: Purchase Pumpkin Packs to unlock a wealth of free rewards!
  -Recharge Rewards: Make a single recharge to receive exceptional rewards!
  -Phantom Showdown: Battle for the glory of your team!
  -Midnight Haggling: Danger lurks around every corner—bid cautiously! Successful haggling lets you purchase valuable items at low prices!
  -Splendid City: The new city hall effect—Shadow Reaper—is coming soon. Don't miss out!
-Advanced Mech Clash Optimization: Adjusted balance parameters; added map tap feature for easier camera movement, helping players control the entire battlefield. Introduced marking features for quick and easy communication with teammates, enhancing team coordination. Added new skill sound effects for a better sensory experience.
-Equipment Test Site Optimization: Added a Raid function to help players clear levels faster!
-Carrier System Optimization: Improved carrier movement speed; added new carrier-related achievements and badges; introduced carrier renaming feature; optimized the rally feature of the Infinite Valor; improved the Infinite Valor unit quantity selection.
-Shooter Unit Skill Adjustment: Bullets no longer require recovery time, and Shooter can move after transforming with their unit skill.
-Stasis Pod Optimization: Replaced daily quests in the Stasis Pod.
-Instructor Assignment Optimization: Enhanced the experience when assigning instructors; assigned instructors will now patrol within the inner city.
-Chat Screenshot Feature: Overall optimization; added delayed screenshot feature, allowing you to capture different game screens with a delay.
-Mech Skin Update: Introducing the new Scorpion Mech Skin—Scorpion (Shadow Legends). To perfect their ambush tactics, the Ape has reinvented the Scorpion mech into a phantom of the night—more elusive and deadlier than ever.
-New Total Resist Gameplay: Commanders need to rally gang members to defend the Distributor from mutant attacks. Choose powerful buffs to aid in defense; complete challenges to earn extra rewards.
-Babel Mini-Game Optimization: Improved displays in battles and adjusted difficulty levels.
-Arena of Champions Optimization: Enhanced battlefield visuals, added tutorial illustrations, displayed boss locations, and optimized battle experience.
-Fog Optimization: Fog areas now more accurately match the actual terrain.
-Primate Standoff Optimization: Improved interface display.</v>
      </c>
      <c r="D60" s="148" t="str">
        <f>IFERROR(__xludf.DUMMYFUNCTION("""COMPUTED_VALUE"""),"- Nouveau combattant : Présentation du Parrain ensanglanté-Blake ! Le baron du souterrain, un parrain forgé dans le sang et les batailles !
- Nouvelle statue de combattant : Accorder ;
- Usine : Présentation de l'Usine d'échange de cartes—Les commandants "&amp;"peuvent désormais acquérir de nouvelles parcelles de terrain quotidiennement pour étendre leur territoire d'usine. Ajout également de la fonctionnalité Effacer tout pour les ouvriers.
- Nouveaux pilotes ajoutés : Alexandre Sauvage, Eli Grams, Liam Parker,"&amp;" Claire Hayes, Ethan Blake, et Gabriel Gray ;
- Un nouveau 6ème étage a été ajouté. Les stands d'exposition à cet étage peuvent être entretenus pour prolonger les temps d'exposition—plus l'exposition est longue, plus les attributs des expositions prennent"&amp;" effet.
- Nouveaux événements d'Halloween :
  - Festival des frayeurs : Utilisez des pots de bonbons pour ouvrir des bonbons surprises et gagner des grands prix de skins festifs et des récompenses abondantes !
  - Cadeaux festifs : Accumulez des recharges"&amp;" pour recevoir des cadeaux somptueux et obtenir des laques Mécha !
  - Farce ou friandise : Collectez des pièces citrouille pour gagner des récompenses abondantes avec une chance d'obtenir un tout nouvel effet de déplacement !
  - Mine effrayante : Explor"&amp;"ez la mine spéciale d'Halloween !
  - Citrouille surprise : Achetez des packs de citrouilles pour débloquer une richesse de récompenses gratuites !
  - Récompenses de recharge : Effectuez une seule recharge pour recevoir des récompenses exceptionnelles !
"&amp;"  - Confrontation fantôme : Battez-vous pour la gloire de votre équipe !
  - Marchandage de minuit : Le danger rôde à chaque coin—faites des enchères prudemment ! Un marchandage réussi vous permet d'acheter des objets précieux à bas prix !
  - Ville splen"&amp;"dide : Le nouvel effet de l'hôtel de ville—Faucheur de l'Ombre—arrive bientôt. Ne le manquez pas !
- Optimisation avancée du Conflit Mécha : Ajustement des paramètres d'équilibre ; ajout de la fonctionnalité de tapotement de carte pour faciliter le mouvem"&amp;"ent de la caméra, aidant les joueurs à contrôler l'ensemble du champ de bataille. Introduction de fonctionnalités de marquage pour une communication rapide et facile avec les coéquipiers, améliorant la coordination de l'équipe. Ajout de nouveaux effets so"&amp;"nores de compétence pour une meilleure expérience sensorielle.
- Optimisation du site de test d'équipement : Ajout d'une fonction de Raid pour aider les joueurs à passer les niveaux plus rapidement !
- Optimisation du système de transporteur : Amélioratio"&amp;"n de la vitesse de déplacement des transporteurs ; ajout de nouveaux succès et badges liés aux transporteurs ; introduction de la fonctionnalité de renommage des transporteurs ; optimisation de la fonctionnalité de rassemblement de la Valeur Infinie ; amé"&amp;"lioration de la sélection de la quantité d'unités de la Valeur Infinie.
- Ajustement de la compétence d'unité de tireur : Les balles ne nécessitent plus de temps de récupération, et le tireur peut se déplacer après s'être transformé avec sa compétence d'u"&amp;"nité.
- Optimisation de la capsule de stase : Remplacement des quêtes quotidiennes dans la capsule de stase.
- Optimisation de l'affectation des instructeurs : Amélioration de l'expérience lors de l'affectation des instructeurs ; les instructeurs affectés"&amp;" patrouilleront désormais dans la ville intérieure.
- Fonctionnalité de capture d'écran de chat : Optimisation globale ; ajout de la fonctionnalité de capture d'écran différée, vous permettant de capturer différents écrans de jeu avec un délai.
- Mise à j"&amp;"our de la peau de Mécha : Présentation de la nouvelle peau de Mécha Scorpion—Scorpion (Légendes de l'Ombre). Pour parfaire leurs tactiques d'embuscade, le Primate a réinventé le Mécha Scorpion en un fantôme de la nuit—plus insaisissable et mortel que jama"&amp;"is.
- Nouveau gameplay de résistance totale : Les commandants doivent rassembler les membres du gang pour défendre le distributeur contre les attaques mutantes. Choisissez des boosts puissants pour aider à la défense ; terminez les défis pour gagner des r"&amp;"écompenses supplémentaires.
- Optimisation du mini-jeu Babel : Amélioration des affichages dans les combats et ajustement des niveaux de difficulté.
- Optimisation de l'Arène des Champions : Amélioration des visuels du champ de bataille, ajout d'illustrat"&amp;"ions de tutoriel, affichage des emplacements des boss, et optimisation de l'expérience de combat.
- Optimisation de la brume : Les zones de brume correspondent désormais plus précisément au terrain réel.
- Optimisation de la Confrontation Primate : Amélio"&amp;"ration de l'affichage de l'interface.")</f>
        <v>- Nouveau combattant : Présentation du Parrain ensanglanté-Blake ! Le baron du souterrain, un parrain forgé dans le sang et les batailles !
- Nouvelle statue de combattant : Accorder ;
- Usine : Présentation de l'Usine d'échange de cartes—Les commandants peuvent désormais acquérir de nouvelles parcelles de terrain quotidiennement pour étendre leur territoire d'usine. Ajout également de la fonctionnalité Effacer tout pour les ouvriers.
- Nouveaux pilotes ajoutés : Alexandre Sauvage, Eli Grams, Liam Parker, Claire Hayes, Ethan Blake, et Gabriel Gray ;
- Un nouveau 6ème étage a été ajouté. Les stands d'exposition à cet étage peuvent être entretenus pour prolonger les temps d'exposition—plus l'exposition est longue, plus les attributs des expositions prennent effet.
- Nouveaux événements d'Halloween :
  - Festival des frayeurs : Utilisez des pots de bonbons pour ouvrir des bonbons surprises et gagner des grands prix de skins festifs et des récompenses abondantes !
  - Cadeaux festifs : Accumulez des recharges pour recevoir des cadeaux somptueux et obtenir des laques Mécha !
  - Farce ou friandise : Collectez des pièces citrouille pour gagner des récompenses abondantes avec une chance d'obtenir un tout nouvel effet de déplacement !
  - Mine effrayante : Explorez la mine spéciale d'Halloween !
  - Citrouille surprise : Achetez des packs de citrouilles pour débloquer une richesse de récompenses gratuites !
  - Récompenses de recharge : Effectuez une seule recharge pour recevoir des récompenses exceptionnelles !
  - Confrontation fantôme : Battez-vous pour la gloire de votre équipe !
  - Marchandage de minuit : Le danger rôde à chaque coin—faites des enchères prudemment ! Un marchandage réussi vous permet d'acheter des objets précieux à bas prix !
  - Ville splendide : Le nouvel effet de l'hôtel de ville—Faucheur de l'Ombre—arrive bientôt. Ne le manquez pas !
- Optimisation avancée du Conflit Mécha : Ajustement des paramètres d'équilibre ; ajout de la fonctionnalité de tapotement de carte pour faciliter le mouvement de la caméra, aidant les joueurs à contrôler l'ensemble du champ de bataille. Introduction de fonctionnalités de marquage pour une communication rapide et facile avec les coéquipiers, améliorant la coordination de l'équipe. Ajout de nouveaux effets sonores de compétence pour une meilleure expérience sensorielle.
- Optimisation du site de test d'équipement : Ajout d'une fonction de Raid pour aider les joueurs à passer les niveaux plus rapidement !
- Optimisation du système de transporteur : Amélioration de la vitesse de déplacement des transporteurs ; ajout de nouveaux succès et badges liés aux transporteurs ; introduction de la fonctionnalité de renommage des transporteurs ; optimisation de la fonctionnalité de rassemblement de la Valeur Infinie ; amélioration de la sélection de la quantité d'unités de la Valeur Infinie.
- Ajustement de la compétence d'unité de tireur : Les balles ne nécessitent plus de temps de récupération, et le tireur peut se déplacer après s'être transformé avec sa compétence d'unité.
- Optimisation de la capsule de stase : Remplacement des quêtes quotidiennes dans la capsule de stase.
- Optimisation de l'affectation des instructeurs : Amélioration de l'expérience lors de l'affectation des instructeurs ; les instructeurs affectés patrouilleront désormais dans la ville intérieure.
- Fonctionnalité de capture d'écran de chat : Optimisation globale ; ajout de la fonctionnalité de capture d'écran différée, vous permettant de capturer différents écrans de jeu avec un délai.
- Mise à jour de la peau de Mécha : Présentation de la nouvelle peau de Mécha Scorpion—Scorpion (Légendes de l'Ombre). Pour parfaire leurs tactiques d'embuscade, le Primate a réinventé le Mécha Scorpion en un fantôme de la nuit—plus insaisissable et mortel que jamais.
- Nouveau gameplay de résistance totale : Les commandants doivent rassembler les membres du gang pour défendre le distributeur contre les attaques mutantes. Choisissez des boosts puissants pour aider à la défense ; terminez les défis pour gagner des récompenses supplémentaires.
- Optimisation du mini-jeu Babel : Amélioration des affichages dans les combats et ajustement des niveaux de difficulté.
- Optimisation de l'Arène des Champions : Amélioration des visuels du champ de bataille, ajout d'illustrations de tutoriel, affichage des emplacements des boss, et optimisation de l'expérience de combat.
- Optimisation de la brume : Les zones de brume correspondent désormais plus précisément au terrain réel.
- Optimisation de la Confrontation Primate : Amélioration de l'affichage de l'interface.</v>
      </c>
      <c r="E60" s="148" t="str">
        <f>IFERROR(__xludf.DUMMYFUNCTION("""COMPUTED_VALUE"""),"- Neuer Kämpfer: Einführung des Blutbefleckten Paten-Blake! Der König des Untergrunds, ein Pate, der durch Blut und Kampf geschmiedet wurde!
- Neue Kämpfer-Statue: Verleihen;
- Fabrik: Einführung der Kartentauschfabrik—Kommandanten können nun täglich neue"&amp;" Landparzellen erwerben, um ihr Fabrikterritorium zu erweitern. Außerdem wurde die Funktion ""Alles Löschen"" für Arbeiter hinzugefügt.
- Neue Piloten hinzugefügt: Alexander Wilder, Eli Grams, Liam Parker, Claire Hayes, Ethan Blake und Gabriel Gray;
- Ein"&amp;" neues 6. Stockwerk wurde hinzugefügt. Ausstellungstände auf diesem Stockwerk können gewartet werden, um die Ausstellungszeiten zu verlängern—je länger die Ausstellung, desto mehr Attribute der Exponate wirken.
- Neue Halloween-Events:
  - Festival der Sc"&amp;"hrecken: Verwende Bonbongläser, um Überraschungsbonbons zu öffnen und festliche Haut-Hauptpreise und reichliche Belohnungen zu gewinnen!
  - Festliche Geschenke: Lade Guthaben auf, um üppige Geschenke zu erhalten und Mech-Lacke zu erwerben!
  - Süßes oder"&amp;" Saures: Sammle Kürbismünzen, um reichliche Belohnungen zu verdienen und die Chance auf einen brandneuen Marscheffekt zu haben!
  - Spukmine: Erkunde die spezielle Halloween-Mine!
  - Überraschungskürbis: Kaufe Kürbispakete, um eine Fülle kostenloser Belo"&amp;"hnungen freizuschalten!
  - Auflade-Belohnungen: Lade einmalig Guthaben auf, um außergewöhnliche Belohnungen zu erhalten!
  - Phantom-Showdown: Kämpfe um den Ruhm deines Teams!
  - Mitternächtliches Feilschen: Gefahr lauert an jeder Ecke—biete vorsichtig!"&amp;" Erfolgreiches Feilschen ermöglicht es dir, wertvolle Gegenstände zu niedrigen Preisen zu kaufen!
  - Fantastische Stadt: Der neue Rathaus-Effekt—Schatten-Sensenmann—kommt bald. Verpasse es nicht!
- Optimierung des fortgeschrittenen Mech-Zusammenstoßes: A"&amp;"npassung der Balance-Parameter; Hinzufügung der Karten-Tipp-Funktion für einfachere Kamerabewegung, um den Spielern zu helfen, das gesamte Schlachtfeld zu kontrollieren. Einführung von Markierungsfunktionen für schnelle und einfache Kommunikation mit Team"&amp;"kollegen, um die Teamkoordination zu verbessern. Neue Soundeffekte für Fähigkeiten hinzugefügt, um ein besseres sensorisches Erlebnis zu bieten.
- Optimierung des Ausrüstungstestgeländes: Eine Überfallfunktion hinzugefügt, um den Spielern zu helfen, Level"&amp;" schneller zu räumen!
- Optimierung des Trägersystems: Verbesserte Trägerbewegungsgeschwindigkeit; neue trägerbezogene Erfolge und Abzeichen hinzugefügt; Einführung der Träger-Umbenennungsfunktion; Optimierung der Sammelangriff-Funktion des Unendlichen We"&amp;"rts; Verbesserung der Auswahl der Einheitenmenge des Unendlichen Werts.
- Anpassung der Fähigkeit der Schützeneinheit: Kugeln erfordern keine Erholungszeit mehr, und der Schütze kann sich nach der Transformation mit seiner Einheitenfähigkeit bewegen.
- Op"&amp;"timierung der Stasiskapsel: Tägliche Quests in der Stasiskapsel ersetzt.
- Optimierung der Ausbilderzuweisung: Verbesserung der Erfahrung bei der Zuweisung von Ausbildern; zugewiesene Ausbilder werden nun innerhalb der inneren Stadt patrouillieren.
- Chat"&amp;"-Screenshot-Funktion: Allgemeine Optimierung; verzögerte Screenshot-Funktion hinzugefügt, die es dir ermöglicht, verschiedene Spielbildschirme mit einer Verzögerung aufzunehmen.
- Mech-Skin-Update: Einführung des neuen Skorpion-Mech-Skins—Skorpion (Schatt"&amp;"enlegenden). Um ihre Hinterhaltstaktiken zu perfektionieren, hat der Affe den Skorpion-Mech in ein Phantom der Nacht verwandelt—schwerer fassbar und tödlicher als je zuvor.
- Neues Gesamtwiderstand-Gameplay: Kommandanten müssen Gangmitglieder sammeln, um "&amp;"den Verteiler vor Mutantenangriffen zu verteidigen. Wähle mächtige Buffs, um bei der Verteidigung zu helfen; schließe Herausforderungen ab, um Extra-Belohnungen zu erhalten.
- Optimierung des Babel-Minispiels: Verbesserte Anzeigen in Kämpfen und Anpassung"&amp;" der Schwierigkeitsgrade.
- Optimierung der Arena der Champions: Verbesserte Schlachtfeld-Visuals, Tutorial-Illustrationen hinzugefügt, Boss-Standorte angezeigt und Kampferfahrung optimiert.
- Optimierung des Nebels: Nebelbereiche stimmen nun genauer mit "&amp;"dem tatsächlichen Gelände überein.
- Optimierung der Primaten-Konfrontation: Verbesserte Schnittstellendarstellung.")</f>
        <v>- Neuer Kämpfer: Einführung des Blutbefleckten Paten-Blake! Der König des Untergrunds, ein Pate, der durch Blut und Kampf geschmiedet wurde!
- Neue Kämpfer-Statue: Verleihen;
- Fabrik: Einführung der Kartentauschfabrik—Kommandanten können nun täglich neue Landparzellen erwerben, um ihr Fabrikterritorium zu erweitern. Außerdem wurde die Funktion "Alles Löschen" für Arbeiter hinzugefügt.
- Neue Piloten hinzugefügt: Alexander Wilder, Eli Grams, Liam Parker, Claire Hayes, Ethan Blake und Gabriel Gray;
- Ein neues 6. Stockwerk wurde hinzugefügt. Ausstellungstände auf diesem Stockwerk können gewartet werden, um die Ausstellungszeiten zu verlängern—je länger die Ausstellung, desto mehr Attribute der Exponate wirken.
- Neue Halloween-Events:
  - Festival der Schrecken: Verwende Bonbongläser, um Überraschungsbonbons zu öffnen und festliche Haut-Hauptpreise und reichliche Belohnungen zu gewinnen!
  - Festliche Geschenke: Lade Guthaben auf, um üppige Geschenke zu erhalten und Mech-Lacke zu erwerben!
  - Süßes oder Saures: Sammle Kürbismünzen, um reichliche Belohnungen zu verdienen und die Chance auf einen brandneuen Marscheffekt zu haben!
  - Spukmine: Erkunde die spezielle Halloween-Mine!
  - Überraschungskürbis: Kaufe Kürbispakete, um eine Fülle kostenloser Belohnungen freizuschalten!
  - Auflade-Belohnungen: Lade einmalig Guthaben auf, um außergewöhnliche Belohnungen zu erhalten!
  - Phantom-Showdown: Kämpfe um den Ruhm deines Teams!
  - Mitternächtliches Feilschen: Gefahr lauert an jeder Ecke—biete vorsichtig! Erfolgreiches Feilschen ermöglicht es dir, wertvolle Gegenstände zu niedrigen Preisen zu kaufen!
  - Fantastische Stadt: Der neue Rathaus-Effekt—Schatten-Sensenmann—kommt bald. Verpasse es nicht!
- Optimierung des fortgeschrittenen Mech-Zusammenstoßes: Anpassung der Balance-Parameter; Hinzufügung der Karten-Tipp-Funktion für einfachere Kamerabewegung, um den Spielern zu helfen, das gesamte Schlachtfeld zu kontrollieren. Einführung von Markierungsfunktionen für schnelle und einfache Kommunikation mit Teamkollegen, um die Teamkoordination zu verbessern. Neue Soundeffekte für Fähigkeiten hinzugefügt, um ein besseres sensorisches Erlebnis zu bieten.
- Optimierung des Ausrüstungstestgeländes: Eine Überfallfunktion hinzugefügt, um den Spielern zu helfen, Level schneller zu räumen!
- Optimierung des Trägersystems: Verbesserte Trägerbewegungsgeschwindigkeit; neue trägerbezogene Erfolge und Abzeichen hinzugefügt; Einführung der Träger-Umbenennungsfunktion; Optimierung der Sammelangriff-Funktion des Unendlichen Werts; Verbesserung der Auswahl der Einheitenmenge des Unendlichen Werts.
- Anpassung der Fähigkeit der Schützeneinheit: Kugeln erfordern keine Erholungszeit mehr, und der Schütze kann sich nach der Transformation mit seiner Einheitenfähigkeit bewegen.
- Optimierung der Stasiskapsel: Tägliche Quests in der Stasiskapsel ersetzt.
- Optimierung der Ausbilderzuweisung: Verbesserung der Erfahrung bei der Zuweisung von Ausbildern; zugewiesene Ausbilder werden nun innerhalb der inneren Stadt patrouillieren.
- Chat-Screenshot-Funktion: Allgemeine Optimierung; verzögerte Screenshot-Funktion hinzugefügt, die es dir ermöglicht, verschiedene Spielbildschirme mit einer Verzögerung aufzunehmen.
- Mech-Skin-Update: Einführung des neuen Skorpion-Mech-Skins—Skorpion (Schattenlegenden). Um ihre Hinterhaltstaktiken zu perfektionieren, hat der Affe den Skorpion-Mech in ein Phantom der Nacht verwandelt—schwerer fassbar und tödlicher als je zuvor.
- Neues Gesamtwiderstand-Gameplay: Kommandanten müssen Gangmitglieder sammeln, um den Verteiler vor Mutantenangriffen zu verteidigen. Wähle mächtige Buffs, um bei der Verteidigung zu helfen; schließe Herausforderungen ab, um Extra-Belohnungen zu erhalten.
- Optimierung des Babel-Minispiels: Verbesserte Anzeigen in Kämpfen und Anpassung der Schwierigkeitsgrade.
- Optimierung der Arena der Champions: Verbesserte Schlachtfeld-Visuals, Tutorial-Illustrationen hinzugefügt, Boss-Standorte angezeigt und Kampferfahrung optimiert.
- Optimierung des Nebels: Nebelbereiche stimmen nun genauer mit dem tatsächlichen Gelände überein.
- Optimierung der Primaten-Konfrontation: Verbesserte Schnittstellendarstellung.</v>
      </c>
      <c r="F60" s="148" t="str">
        <f>IFERROR(__xludf.DUMMYFUNCTION("""COMPUTED_VALUE"""),"- Novo Combatente: Apresentando o Padrinho Ensanguentado-Blake! O chefão do subterrâneo, um padrinho forjado através do sangue e da batalha!
- Nova Estátua Combatente: Conceder;
-Fábrica: Apresentando a Fábrica de Troca de Mapas—Comandantes agora podem ad"&amp;"quirir novos terrenos diariamente para expandir o território da fábrica. Também foi adicionada a função Limpar Tudo para os trabalhadores.
-Novos Pilotos Adicionados: Alexandre Selvagem, Eli Grams, Liam Parker, Claire Hayes, Ethan Blake, e Gabriel Gray;
-"&amp;"Um novo 6º andar foi adicionado. Os estandes de exposição neste andar podem ser mantidos para estender os tempos de exibição—quanto mais longa a exposição, mais atributos dos itens expostos entram em efeito.
-Novos Eventos de Halloween:
  -Festival dos Su"&amp;"stos: Use Potes de Doces para abrir doces surpresa e ganhar grandes prêmios de skins festivas e recompensas abundantes!
  -Presentes Festivos: Acumule recargas para receber presentes luxuosos e obter lacas de Mech!
  -Travessuras ou Gostosuras: Colete Moe"&amp;"das de Abóbora para ganhar recompensas abundantes com a chance de obter um novo efeito de marcha!
  -Mina Assustadora: Explore a mina especial de Halloween!
  -Abóbora Surpresa: Compre Pacotes de Abóbora para desbloquear uma riqueza de recompensas grátis!"&amp;"
  -Recompensas de Recarga: Faça uma única recarga para receber recompensas excepcionais!
  -Confronto Fantasma: Lute pela glória de sua equipe!
  -Pechincha da Meia-Noite: O perigo espreita em cada esquina—dê lances com cautela! Pechinchar com sucesso pe"&amp;"rmite que você compre itens valiosos a preços baixos!
  -Cidade Esplêndida: O novo efeito da prefeitura—Ceifador Sombrio—está chegando em breve. Não perca!
-Otimização Avançada do Embate de Mechs: Ajustados os parâmetros de equilíbrio; adicionada a função"&amp;" de toque no mapa para facilitar o movimento da câmera, ajudando os jogadores a controlar todo o campo de batalha. Introduzidas funções de marcação para comunicação rápida e fácil com os companheiros de equipe, melhorando a coordenação da equipe. Adiciona"&amp;"dos novos efeitos sonoros de habilidades para uma melhor experiência sensorial.
-Otimização do Local de Teste de Equipamentos: Adicionada uma função de Raide para ajudar os jogadores a limpar níveis mais rapidamente!
-Otimização do Sistema de Transportado"&amp;"res: Melhorada a velocidade de movimento dos transportadores; adicionadas novas conquistas e emblemas relacionados aos transportadores; introduzida a função de renomear transportadores; otimizada a função de incursão do Valor Infinito; melhorada a seleção"&amp;" de quantidade de unidades do Valor Infinito.
-Ajuste de Habilidade da Unidade de Atirador: As balas não requerem mais tempo de recuperação, e o Atirador pode se mover após se transformar com sua habilidade de unidade.
-Otimização da Cápsula de Estase: Su"&amp;"bstituídas as missões diárias na Cápsula de Estase.
-Otimização da Atribuição de Instrutores: Melhorada a experiência ao atribuir instrutores; instrutores atribuídos agora patrulharão dentro da cidade.
-Função de Captura de Tela no Bate-papo: Otimização g"&amp;"eral; adicionada a função de captura de tela com atraso, permitindo capturar diferentes telas do jogo com um atraso.
-Atualização de Skin de Mech: Apresentando a nova Skin de Mech Escorpião—Escorpião (Lendas Sombrias). Para aperfeiçoar suas táticas de emb"&amp;"oscada, o Macaco reinventou o Mech Escorpião em um fantasma da noite—mais evasivo e mortal do que nunca.
-Nova Mecânica de Resistência Total: Comandantes precisam reunir membros da gangue para defender o Distribuidor de ataques mutantes. Escolha auxílios "&amp;"poderosos para ajudar na defesa; complete desafios para ganhar recompensas extras.
-Otimização do Mini-Jogo Babel: Melhoradas as exibições nas batalhas e ajustados os níveis de dificuldade.
-Otimização da Arena dos Campeões: Melhorados os visuais do campo"&amp;" de batalha, adicionadas ilustrações de tutorial, exibidas localizações de chefes, e otimizada a experiência de batalha.
-Otimização da Névoa: Áreas de névoa agora correspondem mais precisamente ao terreno real.
-Otimização do Confronto Primata: Melhorada"&amp;" a exibição da interface.")</f>
        <v>- Novo Combatente: Apresentando o Padrinho Ensanguentado-Blake! O chefão do subterrâneo, um padrinho forjado através do sangue e da batalha!
- Nova Estátua Combatente: Conceder;
-Fábrica: Apresentando a Fábrica de Troca de Mapas—Comandantes agora podem adquirir novos terrenos diariamente para expandir o território da fábrica. Também foi adicionada a função Limpar Tudo para os trabalhadores.
-Novos Pilotos Adicionados: Alexandre Selvagem, Eli Grams, Liam Parker, Claire Hayes, Ethan Blake, e Gabriel Gray;
-Um novo 6º andar foi adicionado. Os estandes de exposição neste andar podem ser mantidos para estender os tempos de exibição—quanto mais longa a exposição, mais atributos dos itens expostos entram em efeito.
-Novos Eventos de Halloween:
  -Festival dos Sustos: Use Potes de Doces para abrir doces surpresa e ganhar grandes prêmios de skins festivas e recompensas abundantes!
  -Presentes Festivos: Acumule recargas para receber presentes luxuosos e obter lacas de Mech!
  -Travessuras ou Gostosuras: Colete Moedas de Abóbora para ganhar recompensas abundantes com a chance de obter um novo efeito de marcha!
  -Mina Assustadora: Explore a mina especial de Halloween!
  -Abóbora Surpresa: Compre Pacotes de Abóbora para desbloquear uma riqueza de recompensas grátis!
  -Recompensas de Recarga: Faça uma única recarga para receber recompensas excepcionais!
  -Confronto Fantasma: Lute pela glória de sua equipe!
  -Pechincha da Meia-Noite: O perigo espreita em cada esquina—dê lances com cautela! Pechinchar com sucesso permite que você compre itens valiosos a preços baixos!
  -Cidade Esplêndida: O novo efeito da prefeitura—Ceifador Sombrio—está chegando em breve. Não perca!
-Otimização Avançada do Embate de Mechs: Ajustados os parâmetros de equilíbrio; adicionada a função de toque no mapa para facilitar o movimento da câmera, ajudando os jogadores a controlar todo o campo de batalha. Introduzidas funções de marcação para comunicação rápida e fácil com os companheiros de equipe, melhorando a coordenação da equipe. Adicionados novos efeitos sonoros de habilidades para uma melhor experiência sensorial.
-Otimização do Local de Teste de Equipamentos: Adicionada uma função de Raide para ajudar os jogadores a limpar níveis mais rapidamente!
-Otimização do Sistema de Transportadores: Melhorada a velocidade de movimento dos transportadores; adicionadas novas conquistas e emblemas relacionados aos transportadores; introduzida a função de renomear transportadores; otimizada a função de incursão do Valor Infinito; melhorada a seleção de quantidade de unidades do Valor Infinito.
-Ajuste de Habilidade da Unidade de Atirador: As balas não requerem mais tempo de recuperação, e o Atirador pode se mover após se transformar com sua habilidade de unidade.
-Otimização da Cápsula de Estase: Substituídas as missões diárias na Cápsula de Estase.
-Otimização da Atribuição de Instrutores: Melhorada a experiência ao atribuir instrutores; instrutores atribuídos agora patrulharão dentro da cidade.
-Função de Captura de Tela no Bate-papo: Otimização geral; adicionada a função de captura de tela com atraso, permitindo capturar diferentes telas do jogo com um atraso.
-Atualização de Skin de Mech: Apresentando a nova Skin de Mech Escorpião—Escorpião (Lendas Sombrias). Para aperfeiçoar suas táticas de emboscada, o Macaco reinventou o Mech Escorpião em um fantasma da noite—mais evasivo e mortal do que nunca.
-Nova Mecânica de Resistência Total: Comandantes precisam reunir membros da gangue para defender o Distribuidor de ataques mutantes. Escolha auxílios poderosos para ajudar na defesa; complete desafios para ganhar recompensas extras.
-Otimização do Mini-Jogo Babel: Melhoradas as exibições nas batalhas e ajustados os níveis de dificuldade.
-Otimização da Arena dos Campeões: Melhorados os visuais do campo de batalha, adicionadas ilustrações de tutorial, exibidas localizações de chefes, e otimizada a experiência de batalha.
-Otimização da Névoa: Áreas de névoa agora correspondem mais precisamente ao terreno real.
-Otimização do Confronto Primata: Melhorada a exibição da interface.</v>
      </c>
      <c r="G60" s="148" t="str">
        <f>IFERROR(__xludf.DUMMYFUNCTION("""COMPUTED_VALUE"""),"-新增鬥士：浴血教父-布雷克震撼登場！來自地下世界的梟雄，浴血奮戰多年的幫派教父！
-新增鬥士雕像：格蘭特；
-生產工廠：新增地圖置換工廠，指揮官可以每日併購新的地塊，擴大工廠版圖；新增工猴一鍵清除、快速調整功能；
-新增機師：亞歷山大·懷爾德，伊萊·格蘭姆斯，利亞姆·帕克，克萊爾‧海斯，伊桑·布萊克，加布里奧‧格雷；
-收藏品展廳增加6F新樓層，新樓層中的展台可以通過保養來增加展覽時間，展覽時間越長則展品的展覽屬性生效越多；
-新增萬聖節活動：
驚奇派對：使用糖果罐，開啟驚喜糖果，贏取節日皮膚大獎及豐厚"&amp;"獎勵！
節日豪禮：累計儲值豪禮相送，獲取機甲顏色塗裝！
不給糖就搗蛋：收集南瓜幣，獲得豐厚獎勵！有機會獲取全新行軍特效！
暗夜礦場：萬聖節特別紀念礦場等你來探索！
南瓜有禮：購買南瓜禮包，即可解鎖豐厚免費獎勵！
充值豪禮：單次充值，獲取超值獎勵！
魅影對決：為你所在陣營的榮耀進行對決！
午夜討價還價：危機四伏，謹慎出價！還價成功可低價購買超值道具！
璀璨之都：新主城特效-索命幽影即將登場，等你來拿！
-高級機甲戰場優化：進行了數值平衡性調整；新增了小地圖點擊功能，移動視角更方便，助玩家輕鬆掌控全局；新增了"&amp;"標記功能，快捷簡單溝通隊友，增強團隊配合；新增了部分技能音效，提供更好的感官體驗；
-戰裝試煉場優化：新增了掃蕩功能，協助玩家更速通關！
-戰車系統優化：優化了戰車的移動速度；新增了戰車相關的成就及勳章；新增了戰車改名功能；優化了英勇不屈號的集結功能；優化了英勇不屈號的採集兵量選擇。
-射擊手兵種技能調整：子彈不再需要時間進行恢復，而且射擊手進行兵種技能變身後可以進行移動；
-休眠艙優化：替換了休眠艙每日任務；
-教官委派優化：優化了委派教官的操作體驗，已經委派的教官會出現在內城進行巡邏；
-聊天截圖：功"&amp;"能整體優化，新增延時截圖功能，可以通過延時來截取不同界面的遊戲畫面；
-機甲皮膚：新增毒蠍機甲皮膚-毒蠍（暗影傳說），猿族為了提升伏擊戰效果而改裝的毒蠍機甲，如同暗夜中的幽魂，更隱秘，也更致命；
-新增全面抵禦玩法：指揮官們需要召集幫派成員保衛配送站免受變異猴的進攻，期間可以選擇強力增益助力防守，完成挑戰還可獲得額外獎勵；
-塔防小遊戲優化：優化了戰場內的顯示，進行了難度調整；
-王者之地優化：提升戰場內的表現，增加了教學圖鑑，增加boss點位顯示，優化了戰鬥體驗；
-迷霧優化：迷霧遮擋區與實際更加匹配；"&amp;"
-戰地爭鋒戰場優化：優化了界面顯示。")</f>
        <v>-新增鬥士：浴血教父-布雷克震撼登場！來自地下世界的梟雄，浴血奮戰多年的幫派教父！
-新增鬥士雕像：格蘭特；
-生產工廠：新增地圖置換工廠，指揮官可以每日併購新的地塊，擴大工廠版圖；新增工猴一鍵清除、快速調整功能；
-新增機師：亞歷山大·懷爾德，伊萊·格蘭姆斯，利亞姆·帕克，克萊爾‧海斯，伊桑·布萊克，加布里奧‧格雷；
-收藏品展廳增加6F新樓層，新樓層中的展台可以通過保養來增加展覽時間，展覽時間越長則展品的展覽屬性生效越多；
-新增萬聖節活動：
驚奇派對：使用糖果罐，開啟驚喜糖果，贏取節日皮膚大獎及豐厚獎勵！
節日豪禮：累計儲值豪禮相送，獲取機甲顏色塗裝！
不給糖就搗蛋：收集南瓜幣，獲得豐厚獎勵！有機會獲取全新行軍特效！
暗夜礦場：萬聖節特別紀念礦場等你來探索！
南瓜有禮：購買南瓜禮包，即可解鎖豐厚免費獎勵！
充值豪禮：單次充值，獲取超值獎勵！
魅影對決：為你所在陣營的榮耀進行對決！
午夜討價還價：危機四伏，謹慎出價！還價成功可低價購買超值道具！
璀璨之都：新主城特效-索命幽影即將登場，等你來拿！
-高級機甲戰場優化：進行了數值平衡性調整；新增了小地圖點擊功能，移動視角更方便，助玩家輕鬆掌控全局；新增了標記功能，快捷簡單溝通隊友，增強團隊配合；新增了部分技能音效，提供更好的感官體驗；
-戰裝試煉場優化：新增了掃蕩功能，協助玩家更速通關！
-戰車系統優化：優化了戰車的移動速度；新增了戰車相關的成就及勳章；新增了戰車改名功能；優化了英勇不屈號的集結功能；優化了英勇不屈號的採集兵量選擇。
-射擊手兵種技能調整：子彈不再需要時間進行恢復，而且射擊手進行兵種技能變身後可以進行移動；
-休眠艙優化：替換了休眠艙每日任務；
-教官委派優化：優化了委派教官的操作體驗，已經委派的教官會出現在內城進行巡邏；
-聊天截圖：功能整體優化，新增延時截圖功能，可以通過延時來截取不同界面的遊戲畫面；
-機甲皮膚：新增毒蠍機甲皮膚-毒蠍（暗影傳說），猿族為了提升伏擊戰效果而改裝的毒蠍機甲，如同暗夜中的幽魂，更隱秘，也更致命；
-新增全面抵禦玩法：指揮官們需要召集幫派成員保衛配送站免受變異猴的進攻，期間可以選擇強力增益助力防守，完成挑戰還可獲得額外獎勵；
-塔防小遊戲優化：優化了戰場內的顯示，進行了難度調整；
-王者之地優化：提升戰場內的表現，增加了教學圖鑑，增加boss點位顯示，優化了戰鬥體驗；
-迷霧優化：迷霧遮擋區與實際更加匹配；
-戰地爭鋒戰場優化：優化了界面顯示。</v>
      </c>
      <c r="H60" s="148" t="str">
        <f>IFERROR(__xludf.DUMMYFUNCTION("""COMPUTED_VALUE"""),"- Pejuang Baru: Memperkenalkan Godfather Berlumuran Darah-Blake! Gembong bawah tanah, seorang godfather yang ditempa melalui darah dan pertempuran!
- Patung Pejuang Baru: Memberikan;
- Pabrik: Memperkenalkan Pabrik Pertukaran Peta—Komandan sekarang dapat "&amp;"memperoleh plot tanah baru setiap hari untuk memperluas wilayah pabrik mereka. Juga ditambahkan fitur Hapus Semua untuk pekerja.
- Pilot Baru Ditambahkan: Alexander Pengembara, Eli Grams, Liam Parker, Claire Hayes, Ethan Blake, dan Gabriel Gray;
- Lantai "&amp;"ke-6 baru telah ditambahkan. Stand pameran di lantai ini dapat dipertahankan untuk memperpanjang waktu tampilan—semakin lama pameran, semakin banyak atribut dari pameran yang berpengaruh.
- Acara Halloween Baru:
  - Festival Ketakutan: Gunakan Toples Perm"&amp;"en untuk membuka permen kejutan dan memenangkan hadiah utama skin meriah dan hadiah berlimpah!
  - Hadiah Meriah: Kumpulkan isi ulang untuk menerima hadiah mewah dan mendapatkan pernis mekanik!
  - Trick or Treat: Kumpulkan Koin Labu untuk mendapatkan had"&amp;"iah berlimpah dengan kesempatan mendapatkan efek barisan baru!
  - Tambang Menakutkan: Jelajahi tambang Halloween khusus!
  - Labu Kejutan: Beli Paket Labu untuk membuka kekayaan hadiah gratis!
  - Hadiah Isi Ulang: Lakukan satu kali isi ulang untuk mener"&amp;"ima hadiah luar biasa!
  - Pertarungan Phantom: Bertarung untuk kejayaan timmu!
  - Tawar-Menawar Tengah Malam: Bahaya mengintai di setiap sudut—tawar dengan hati-hati! Tawar-menawar yang berhasil memungkinkan kamu membeli item berharga dengan harga renda"&amp;"h!
  - Kota Megah: Efek balai kota baru—Pencabut Bayangan—segera hadir. Jangan lewatkan!
- Optimasi Tabrakan Mekanik Lanjutan: Menyesuaikan parameter keseimbangan; menambahkan fitur ketuk peta untuk memudahkan pergerakan kamera, membantu pemain mengontrol"&amp;" seluruh medan perang. Memperkenalkan fitur penandaan untuk komunikasi cepat dan mudah dengan rekan tim, meningkatkan koordinasi tim. Menambahkan efek suara skill baru untuk pengalaman sensorik yang lebih baik.
- Optimasi Situs Uji Peralatan: Menambahkan "&amp;"fungsi Serang untuk membantu pemain menyelesaikan level lebih cepat!
- Optimasi Sistem Pembawa Barang: Meningkatkan kecepatan gerak pembawa barang; menambahkan pencapaian dan lencana baru terkait pembawa barang; memperkenalkan fitur penggantian nama pemba"&amp;"wa barang; mengoptimalkan fitur reli dari Keberanian Tak Terbatas; meningkatkan pemilihan jumlah unit Keberanian Tak Terbatas.
- Penyesuaian Keahlian Unit Penembak: Peluru tidak lagi memerlukan waktu pemulihan, dan Penembak dapat bergerak setelah bertrans"&amp;"formasi dengan keahlian unit mereka.
- Optimasi Pod Stasis: Mengganti tantangan harian di Pod Stasis.
- Optimasi Penugasan Instruktur: Meningkatkan pengalaman saat menugaskan instruktur; instruktur yang ditugaskan sekarang akan berpatroli di dalam kota.
-"&amp;" Fitur Screenshot Obrolan: Optimasi keseluruhan; menambahkan fitur screenshot tertunda, memungkinkan kamu menangkap layar permainan yang berbeda dengan penundaan.
- Pembaruan Skin Mekanik: Memperkenalkan Skin Mekanik Kalajengking baru—Kalajengking (Legend"&amp;"a Bayangan). Untuk menyempurnakan taktik penyerangan mereka, Kera telah menciptakan ulang mekanik Kalajengking menjadi phantom malam—lebih sulit ditangkap dan lebih mematikan dari sebelumnya.
- Gameplay Total Resistensi Baru: Komandan perlu mengumpulkan a"&amp;"nggota geng untuk mempertahankan Distributor dari serangan mutan. Pilih keunggulan kuat untuk membantu dalam pertahanan; selesaikan tantangan untuk mendapatkan hadiah ekstra.
- Optimasi Mini-Game Babel: Meningkatkan tampilan dalam pertempuran dan menyesua"&amp;"ikan tingkat kesulitan.
- Optimasi Arena Para Juara: Meningkatkan visual medan perang, menambahkan ilustrasi tutorial, menampilkan lokasi bos, dan mengoptimalkan pengalaman pertempuran.
- Optimasi Kabut: Area kabut sekarang lebih akurat mencocokkan dengan"&amp;" medan sebenarnya.
- Optimasi Konfrontasi Primata: Meningkatkan tampilan antarmuka.")</f>
        <v>- Pejuang Baru: Memperkenalkan Godfather Berlumuran Darah-Blake! Gembong bawah tanah, seorang godfather yang ditempa melalui darah dan pertempuran!
- Patung Pejuang Baru: Memberikan;
- Pabrik: Memperkenalkan Pabrik Pertukaran Peta—Komandan sekarang dapat memperoleh plot tanah baru setiap hari untuk memperluas wilayah pabrik mereka. Juga ditambahkan fitur Hapus Semua untuk pekerja.
- Pilot Baru Ditambahkan: Alexander Pengembara, Eli Grams, Liam Parker, Claire Hayes, Ethan Blake, dan Gabriel Gray;
- Lantai ke-6 baru telah ditambahkan. Stand pameran di lantai ini dapat dipertahankan untuk memperpanjang waktu tampilan—semakin lama pameran, semakin banyak atribut dari pameran yang berpengaruh.
- Acara Halloween Baru:
  - Festival Ketakutan: Gunakan Toples Permen untuk membuka permen kejutan dan memenangkan hadiah utama skin meriah dan hadiah berlimpah!
  - Hadiah Meriah: Kumpulkan isi ulang untuk menerima hadiah mewah dan mendapatkan pernis mekanik!
  - Trick or Treat: Kumpulkan Koin Labu untuk mendapatkan hadiah berlimpah dengan kesempatan mendapatkan efek barisan baru!
  - Tambang Menakutkan: Jelajahi tambang Halloween khusus!
  - Labu Kejutan: Beli Paket Labu untuk membuka kekayaan hadiah gratis!
  - Hadiah Isi Ulang: Lakukan satu kali isi ulang untuk menerima hadiah luar biasa!
  - Pertarungan Phantom: Bertarung untuk kejayaan timmu!
  - Tawar-Menawar Tengah Malam: Bahaya mengintai di setiap sudut—tawar dengan hati-hati! Tawar-menawar yang berhasil memungkinkan kamu membeli item berharga dengan harga rendah!
  - Kota Megah: Efek balai kota baru—Pencabut Bayangan—segera hadir. Jangan lewatkan!
- Optimasi Tabrakan Mekanik Lanjutan: Menyesuaikan parameter keseimbangan; menambahkan fitur ketuk peta untuk memudahkan pergerakan kamera, membantu pemain mengontrol seluruh medan perang. Memperkenalkan fitur penandaan untuk komunikasi cepat dan mudah dengan rekan tim, meningkatkan koordinasi tim. Menambahkan efek suara skill baru untuk pengalaman sensorik yang lebih baik.
- Optimasi Situs Uji Peralatan: Menambahkan fungsi Serang untuk membantu pemain menyelesaikan level lebih cepat!
- Optimasi Sistem Pembawa Barang: Meningkatkan kecepatan gerak pembawa barang; menambahkan pencapaian dan lencana baru terkait pembawa barang; memperkenalkan fitur penggantian nama pembawa barang; mengoptimalkan fitur reli dari Keberanian Tak Terbatas; meningkatkan pemilihan jumlah unit Keberanian Tak Terbatas.
- Penyesuaian Keahlian Unit Penembak: Peluru tidak lagi memerlukan waktu pemulihan, dan Penembak dapat bergerak setelah bertransformasi dengan keahlian unit mereka.
- Optimasi Pod Stasis: Mengganti tantangan harian di Pod Stasis.
- Optimasi Penugasan Instruktur: Meningkatkan pengalaman saat menugaskan instruktur; instruktur yang ditugaskan sekarang akan berpatroli di dalam kota.
- Fitur Screenshot Obrolan: Optimasi keseluruhan; menambahkan fitur screenshot tertunda, memungkinkan kamu menangkap layar permainan yang berbeda dengan penundaan.
- Pembaruan Skin Mekanik: Memperkenalkan Skin Mekanik Kalajengking baru—Kalajengking (Legenda Bayangan). Untuk menyempurnakan taktik penyerangan mereka, Kera telah menciptakan ulang mekanik Kalajengking menjadi phantom malam—lebih sulit ditangkap dan lebih mematikan dari sebelumnya.
- Gameplay Total Resistensi Baru: Komandan perlu mengumpulkan anggota geng untuk mempertahankan Distributor dari serangan mutan. Pilih keunggulan kuat untuk membantu dalam pertahanan; selesaikan tantangan untuk mendapatkan hadiah ekstra.
- Optimasi Mini-Game Babel: Meningkatkan tampilan dalam pertempuran dan menyesuaikan tingkat kesulitan.
- Optimasi Arena Para Juara: Meningkatkan visual medan perang, menambahkan ilustrasi tutorial, menampilkan lokasi bos, dan mengoptimalkan pengalaman pertempuran.
- Optimasi Kabut: Area kabut sekarang lebih akurat mencocokkan dengan medan sebenarnya.
- Optimasi Konfrontasi Primata: Meningkatkan tampilan antarmuka.</v>
      </c>
      <c r="I60" s="148" t="str">
        <f>IFERROR(__xludf.DUMMYFUNCTION("""COMPUTED_VALUE"""),"- นักสู้ตัวใหม่: แนะนำเจ้าพ่อเปื้อนเลือด-เบลค! เจ้าพ่อตลาดมืดใต้ดิน ผู้เป็นเจ้าพ่อที่หลอมด้วยเลือดและการต่อสู้!
- รูปปั้นนักสู้ใหม่: ให้;
- โรงงาน: แนะนำโรงงานแลกเปลี่ยนแผนที่—ผู้บัญชาการสามารถได้ที่ดินใหม่ทุกวันเพื่อขยายอาณาเขตโรงงานของพวกเขา นอกจากนี้ยั"&amp;"งเพิ่มฟีเจอร์ล้างทั้งหมดสำหรับคนงาน
- นักบินใหม่ที่เพิ่มเข้ามา: อเล็กซานเดอร์ ไวล์เดอร์, Eli Grams, เลียม พาร์กเกอร์, แคลร์ เฮย์ส, อีธาน เบลค, และ กาเบรียล เกรย์;
- เพิ่มชั้นที่ 6 ใหม่ แท่นแสดงนิทรรศการในชั้นนี้สามารถบำรุงรักษาเพื่อขยายเวลาการแสดง—ยิ่งแสด"&amp;"งนานเท่าไหร่ คุณสมบัติของนิทรรศการก็ยิ่งมีผลมากขึ้นเท่านั้น
- กิจกรรมฮาโลวีนใหม่:
  - เทศกาลแห่งความหวาดกลัว: ใช้ขวดขนมเพื่อเปิดขนมเซอร์ไพรส์และชนะรางวัลสกินเทศกาลและรางวัลมากมาย!
  - ของขวัญเทศกาล: สะสมการเติมเงินเพื่อรับของขวัญหรูหราและได้แลคเกอร์เมค!
 "&amp;" - ทริกออร์ทรีต: สะสมเหรียญฟักทองเพื่อรับรางวัลมากมายพร้อมโอกาสได้รับเอฟเฟกต์การเดินทัพใหม่!
  - เหมืองผี: สำรวจเหมืองฮาโลวีนพิเศษ!
  - เซอร์ไพรส์ฟักทอง: ซื้อแพ็กฟักทองเพื่อปลดล็อกรางวัลฟรีมากมาย!
  - รางวัลการเติมเงิน: ทำการเติมเงินครั้งเดียวเพื่อรับรางว"&amp;"ัลพิเศษ!
  - การประลองเงา: ต่อสู้เพื่อเกียรติยศของทีมคุณ!
  - การต่อรองกลางคืน: อันตรายซ่อนอยู่ทุกมุม—เสนอราคาอย่างระมัดระวัง! การต่อรองสำเร็จทำให้คุณสามารถซื้อไอเทมมีค่าในราคาต่ำ!
  - เมืองสุดพิเศษ: เอฟเฟกต์ศาลากลางเมืองใหม่—ยมทูตเงา—กำลังจะมา อย่าพลาด!
"&amp;"- การปรับปรุงการปะทะเมคขั้นสูง: ปรับสมดุลพารามิเตอร์; เพิ่มฟีเจอร์แตะแผนที่เพื่อการเคลื่อนกล้องที่ง่ายขึ้น ช่วยให้ผู้เล่นควบคุมสนามรบทั้งหมด แนะนำฟีเจอร์การมาร์กเพื่อการสื่อสารที่รวดเร็วและง่ายดายกับเพื่อนร่วมทีม เพิ่มเอฟเฟกต์เสียงทักษะใหม่เพื่อประสบการณ์"&amp;"การรับรู้ที่ดียิ่งขึ้น
- การปรับปรุงสถานที่ทดสอบอุปกรณ์: เพิ่มฟังก์ชันจู่โจมเพื่อช่วยให้ผู้เล่นผ่านด่านได้เร็วขึ้น!
- การปรับปรุงระบบลิงขนส่ง: ปรับปรุงความเร็วในการเคลื่อนที่ของลิงขนส่ง; เพิ่มความสำเร็จและตราใหม่ที่เกี่ยวข้องกับลิงขนส่ง; แนะนำฟีเจอร์การเป"&amp;"ลี่ยนชื่อลิงขนส่ง; ปรับปรุงฟีเจอร์การระดมพลของวาโลร์ไม่มีที่สิ้นสุด; ปรับปรุงการเลือกจำนวนหน่วยของวาโลร์ไม่มีที่สิ้นสุด
- การปรับทักษะหน่วยยิง: กระสุนไม่ต้องการเวลาฟื้นฟูอีกต่อไป และหน่วยยิงสามารถเคลื่อนที่หลังจากแปลงร่างด้วยทักษะหน่วยของพวกเขา
- การปรับป"&amp;"รุงห้องแช่แข็ง: แทนที่เควสต์รายวันในห้องแช่แข็ง
- การปรับปรุงการมอบหมายผู้สอน: เพิ่มประสบการณ์เมื่อมอบหมายผู้สอน; ผู้สอนที่มอบหมายจะลาดตระเวนภายในเมือง
- ฟีเจอร์ภาพหน้าจอแชท: การปรับปรุงโดยรวม; เพิ่มฟีเจอร์ภาพหน้าจอล่าช้า ช่วยให้คุณจับภาพหน้าจอเกมต่าง ๆ ด"&amp;"้วยการล่าช้า
- การอัปเดตสกินเมค: แนะนำสกินเมคแมงป่องใหม่—แมงป่อง (ตำนานเงา) เพื่อตอบสนองกลยุทธ์การซุ่มโจมตีของพวกเขา วานรได้ปรับปรุงเมคแมงป่องให้กลายเป็นเงามืดแห่งราตรี—ยากที่จะจับตัวและอันตรายยิ่งกว่าที่เคย
- การเล่นเกมการต้านทานทั้งหมดใหม่: ผู้บัญชาการต"&amp;"้องระดมสมาชิกแก๊งเพื่อป้องกันผู้จัดจำหน่ายจากการโจมตีของกลายพันธุ์ เลือกบัฟที่ทรงพลังเพื่อช่วยในการป้องกัน; ทำภารกิจท้าทายให้สำเร็จเพื่อรับรางวัลพิเศษ
- การปรับปรุงมินิเกมบาเบล: ปรับปรุงการแสดงผลในการต่อสู้และปรับระดับความยาก
- การปรับปรุงสนามต่อสู้ของแชม"&amp;"เปี้ยน: เพิ่มภาพสนามรบที่ดีขึ้น เพิ่มภาพประกอบเกมไกด์ แสดงตำแหน่งบอส และปรับปรุงประสบการณ์การต่อสู้
- การปรับปรุงหมอก: พื้นที่หมอกตอนนี้ตรงกับภูมิประเทศจริงมากขึ้น
- การปรับปรุงตำแหน่งสถานการณ์ค้านของวานร: ปรับปรุงการแสดงผลอินเตอร์เฟซ")</f>
        <v>- นักสู้ตัวใหม่: แนะนำเจ้าพ่อเปื้อนเลือด-เบลค! เจ้าพ่อตลาดมืดใต้ดิน ผู้เป็นเจ้าพ่อที่หลอมด้วยเลือดและการต่อสู้!
- รูปปั้นนักสู้ใหม่: ให้;
- โรงงาน: แนะนำโรงงานแลกเปลี่ยนแผนที่—ผู้บัญชาการสามารถได้ที่ดินใหม่ทุกวันเพื่อขยายอาณาเขตโรงงานของพวกเขา นอกจากนี้ยังเพิ่มฟีเจอร์ล้างทั้งหมดสำหรับคนงาน
- นักบินใหม่ที่เพิ่มเข้ามา: อเล็กซานเดอร์ ไวล์เดอร์, Eli Grams, เลียม พาร์กเกอร์, แคลร์ เฮย์ส, อีธาน เบลค, และ กาเบรียล เกรย์;
- เพิ่มชั้นที่ 6 ใหม่ แท่นแสดงนิทรรศการในชั้นนี้สามารถบำรุงรักษาเพื่อขยายเวลาการแสดง—ยิ่งแสดงนานเท่าไหร่ คุณสมบัติของนิทรรศการก็ยิ่งมีผลมากขึ้นเท่านั้น
- กิจกรรมฮาโลวีนใหม่:
  - เทศกาลแห่งความหวาดกลัว: ใช้ขวดขนมเพื่อเปิดขนมเซอร์ไพรส์และชนะรางวัลสกินเทศกาลและรางวัลมากมาย!
  - ของขวัญเทศกาล: สะสมการเติมเงินเพื่อรับของขวัญหรูหราและได้แลคเกอร์เมค!
  - ทริกออร์ทรีต: สะสมเหรียญฟักทองเพื่อรับรางวัลมากมายพร้อมโอกาสได้รับเอฟเฟกต์การเดินทัพใหม่!
  - เหมืองผี: สำรวจเหมืองฮาโลวีนพิเศษ!
  - เซอร์ไพรส์ฟักทอง: ซื้อแพ็กฟักทองเพื่อปลดล็อกรางวัลฟรีมากมาย!
  - รางวัลการเติมเงิน: ทำการเติมเงินครั้งเดียวเพื่อรับรางวัลพิเศษ!
  - การประลองเงา: ต่อสู้เพื่อเกียรติยศของทีมคุณ!
  - การต่อรองกลางคืน: อันตรายซ่อนอยู่ทุกมุม—เสนอราคาอย่างระมัดระวัง! การต่อรองสำเร็จทำให้คุณสามารถซื้อไอเทมมีค่าในราคาต่ำ!
  - เมืองสุดพิเศษ: เอฟเฟกต์ศาลากลางเมืองใหม่—ยมทูตเงา—กำลังจะมา อย่าพลาด!
- การปรับปรุงการปะทะเมคขั้นสูง: ปรับสมดุลพารามิเตอร์; เพิ่มฟีเจอร์แตะแผนที่เพื่อการเคลื่อนกล้องที่ง่ายขึ้น ช่วยให้ผู้เล่นควบคุมสนามรบทั้งหมด แนะนำฟีเจอร์การมาร์กเพื่อการสื่อสารที่รวดเร็วและง่ายดายกับเพื่อนร่วมทีม เพิ่มเอฟเฟกต์เสียงทักษะใหม่เพื่อประสบการณ์การรับรู้ที่ดียิ่งขึ้น
- การปรับปรุงสถานที่ทดสอบอุปกรณ์: เพิ่มฟังก์ชันจู่โจมเพื่อช่วยให้ผู้เล่นผ่านด่านได้เร็วขึ้น!
- การปรับปรุงระบบลิงขนส่ง: ปรับปรุงความเร็วในการเคลื่อนที่ของลิงขนส่ง; เพิ่มความสำเร็จและตราใหม่ที่เกี่ยวข้องกับลิงขนส่ง; แนะนำฟีเจอร์การเปลี่ยนชื่อลิงขนส่ง; ปรับปรุงฟีเจอร์การระดมพลของวาโลร์ไม่มีที่สิ้นสุด; ปรับปรุงการเลือกจำนวนหน่วยของวาโลร์ไม่มีที่สิ้นสุด
- การปรับทักษะหน่วยยิง: กระสุนไม่ต้องการเวลาฟื้นฟูอีกต่อไป และหน่วยยิงสามารถเคลื่อนที่หลังจากแปลงร่างด้วยทักษะหน่วยของพวกเขา
- การปรับปรุงห้องแช่แข็ง: แทนที่เควสต์รายวันในห้องแช่แข็ง
- การปรับปรุงการมอบหมายผู้สอน: เพิ่มประสบการณ์เมื่อมอบหมายผู้สอน; ผู้สอนที่มอบหมายจะลาดตระเวนภายในเมือง
- ฟีเจอร์ภาพหน้าจอแชท: การปรับปรุงโดยรวม; เพิ่มฟีเจอร์ภาพหน้าจอล่าช้า ช่วยให้คุณจับภาพหน้าจอเกมต่าง ๆ ด้วยการล่าช้า
- การอัปเดตสกินเมค: แนะนำสกินเมคแมงป่องใหม่—แมงป่อง (ตำนานเงา) เพื่อตอบสนองกลยุทธ์การซุ่มโจมตีของพวกเขา วานรได้ปรับปรุงเมคแมงป่องให้กลายเป็นเงามืดแห่งราตรี—ยากที่จะจับตัวและอันตรายยิ่งกว่าที่เคย
- การเล่นเกมการต้านทานทั้งหมดใหม่: ผู้บัญชาการต้องระดมสมาชิกแก๊งเพื่อป้องกันผู้จัดจำหน่ายจากการโจมตีของกลายพันธุ์ เลือกบัฟที่ทรงพลังเพื่อช่วยในการป้องกัน; ทำภารกิจท้าทายให้สำเร็จเพื่อรับรางวัลพิเศษ
- การปรับปรุงมินิเกมบาเบล: ปรับปรุงการแสดงผลในการต่อสู้และปรับระดับความยาก
- การปรับปรุงสนามต่อสู้ของแชมเปี้ยน: เพิ่มภาพสนามรบที่ดีขึ้น เพิ่มภาพประกอบเกมไกด์ แสดงตำแหน่งบอส และปรับปรุงประสบการณ์การต่อสู้
- การปรับปรุงหมอก: พื้นที่หมอกตอนนี้ตรงกับภูมิประเทศจริงมากขึ้น
- การปรับปรุงตำแหน่งสถานการณ์ค้านของวานร: ปรับปรุงการแสดงผลอินเตอร์เฟซ</v>
      </c>
      <c r="J60" s="148" t="str">
        <f>IFERROR(__xludf.DUMMYFUNCTION("""COMPUTED_VALUE"""),"- Nuevo Luchador: ¡Presentando al Padrino Ensangrentado-Blake! El capo del subterráneo, un padrino forjado en sangre y batalla!
- Nueva Estatua del Luchador: Conceder;
-Fábrica: Presentando la Fábrica de Intercambio de Mapas—Los comandantes ahora pueden a"&amp;"dquirir nuevas parcelas de tierra diariamente para expandir su territorio de fábrica. También se agregó la función de Borrar Todo para los trabajadores.
-Nuevos Pilotos Añadidos: Alexander bravío, Eli Grams, Liam Parker, Claire Hayes, Ethan Blake y Gabrie"&amp;"l Gray;
-Se ha añadido un nuevo 6º piso. Los stands de exhibición en este piso pueden mantenerse para extender los tiempos de exhibición—cuanto más larga sea la exhibición, más atributos de las exhibiciones entran en efecto.
-Nuevos Eventos de Halloween:
"&amp;"  -Festival de Sustos: Usa Tarros de Caramelos para abrir caramelos sorpresa y ganar grandes premios de piel festiva y abundantes recompensas!
  -Regalos Festivos: Acumula recargas para recibir regalos lujosos y obtener lacas de Mech!
  -Truco o Trato: Re"&amp;"colecta Monedas de Calabaza para ganar abundantes recompensas con la oportunidad de obtener un nuevo efecto de marcha!
  -Pozo Espeluznante: ¡Explora la mina especial de Halloween!
  -Calabaza Sorpresa: ¡Compra Paquetes de Calabaza para desbloquear una gr"&amp;"an cantidad de recompensas gratis!
  -Recompensas de Recarga: ¡Haz una recarga única para recibir recompensas excepcionales!
  -Duelo Fantasma: ¡Lucha por la gloria de tu equipo!
  -Regateo de Medianoche: El peligro acecha en cada esquina—¡oferta con caut"&amp;"ela! El regateo exitoso te permite comprar artículos valiosos a precios bajos!
  -Ciudad Espléndida: El nuevo efecto del ayuntamiento—Segador de Sombras—llegará pronto. ¡No te lo pierdas!
-Optimización Avanzada del Enfrentamiento de Mecas: Ajustados los p"&amp;"arámetros de balance; se agregó la función de toque en el mapa para facilitar el movimiento de la cámara, ayudando a los jugadores a controlar todo el campo de batalla. Se introdujeron funciones de marcado para una comunicación rápida y fácil con los comp"&amp;"añeros de equipo, mejorando la coordinación del equipo. Se añadieron nuevos efectos de sonido de habilidades para una mejor experiencia sensorial.
-Optimización del Sitio de Pruebas de Equipos: Se agregó una función de Incursión para ayudar a los jugadore"&amp;"s a superar niveles más rápido!
-Optimización del Sistema de Transportadores: Mejorada la velocidad de movimiento del transportador; se añadieron nuevos logros y insignias relacionados con el transportador; se introdujo la función de renombrar transportad"&amp;"ores; se optimizó la función de congregar del Valor Infinito; se mejoró la selección de cantidad de unidades del Valor Infinito.
-Ajuste de Habilidad de Unidad de Tirador: Las balas ya no requieren tiempo de recuperación, y el Tirador puede moverse despué"&amp;"s de transformarse con su habilidad de unidad.
-Optimización de la Cápsula de Estasis: Se reemplazaron las misiones diarias en la Cápsula de Estasis.
-Optimización de la Asignación de Instructores: Mejorada la experiencia al asignar instructores; los inst"&amp;"ructores asignados ahora patrullarán dentro de la ciudad interior.
-Función de Captura de Pantalla en el Chat: Optimización general; se agregó la función de captura de pantalla con retraso, permitiéndote capturar diferentes pantallas del juego con un retr"&amp;"aso.
-Actualización de Piel de Mech: Presentando la nueva Piel de Mech Escorpión—Escorpión (Leyendas de Sombra). Para perfeccionar sus tácticas de emboscada, el Simio ha reinventado el Meca Escorpión en un fantasma de la noche, más elusivo y mortal que nu"&amp;"nca.
-Nueva Forma de Juego de Resistencia Total: Los comandantes necesitan congregar a los miembros de la banda para defender el Distribuidor de los ataques mutantes. Elige mejoras poderosas para ayudar en la defensa; completa desafíos para ganar recompen"&amp;"sas extra.
-Optimización del Mini-Juego Babel: Mejoradas las exhibiciones en las batallas y ajustados los niveles de dificultad.
-Optimización de la Arena de Campeones: Mejorados los visuales del campo de batalla, se añadieron ilustraciones del tutorial, "&amp;"se mostraron las ubicaciones de los jefes y se optimizó la experiencia de batalla.
-Optimización de la Niebla: Las áreas de niebla ahora coinciden más exactamente con el terreno real.
-Optimización del Enfrentamiento de Primates: Mejorada la visualización"&amp;" de la interfaz.")</f>
        <v>- Nuevo Luchador: ¡Presentando al Padrino Ensangrentado-Blake! El capo del subterráneo, un padrino forjado en sangre y batalla!
- Nueva Estatua del Luchador: Conceder;
-Fábrica: Presentando la Fábrica de Intercambio de Mapas—Los comandantes ahora pueden adquirir nuevas parcelas de tierra diariamente para expandir su territorio de fábrica. También se agregó la función de Borrar Todo para los trabajadores.
-Nuevos Pilotos Añadidos: Alexander bravío, Eli Grams, Liam Parker, Claire Hayes, Ethan Blake y Gabriel Gray;
-Se ha añadido un nuevo 6º piso. Los stands de exhibición en este piso pueden mantenerse para extender los tiempos de exhibición—cuanto más larga sea la exhibición, más atributos de las exhibiciones entran en efecto.
-Nuevos Eventos de Halloween:
  -Festival de Sustos: Usa Tarros de Caramelos para abrir caramelos sorpresa y ganar grandes premios de piel festiva y abundantes recompensas!
  -Regalos Festivos: Acumula recargas para recibir regalos lujosos y obtener lacas de Mech!
  -Truco o Trato: Recolecta Monedas de Calabaza para ganar abundantes recompensas con la oportunidad de obtener un nuevo efecto de marcha!
  -Pozo Espeluznante: ¡Explora la mina especial de Halloween!
  -Calabaza Sorpresa: ¡Compra Paquetes de Calabaza para desbloquear una gran cantidad de recompensas gratis!
  -Recompensas de Recarga: ¡Haz una recarga única para recibir recompensas excepcionales!
  -Duelo Fantasma: ¡Lucha por la gloria de tu equipo!
  -Regateo de Medianoche: El peligro acecha en cada esquina—¡oferta con cautela! El regateo exitoso te permite comprar artículos valiosos a precios bajos!
  -Ciudad Espléndida: El nuevo efecto del ayuntamiento—Segador de Sombras—llegará pronto. ¡No te lo pierdas!
-Optimización Avanzada del Enfrentamiento de Mecas: Ajustados los parámetros de balance; se agregó la función de toque en el mapa para facilitar el movimiento de la cámara, ayudando a los jugadores a controlar todo el campo de batalla. Se introdujeron funciones de marcado para una comunicación rápida y fácil con los compañeros de equipo, mejorando la coordinación del equipo. Se añadieron nuevos efectos de sonido de habilidades para una mejor experiencia sensorial.
-Optimización del Sitio de Pruebas de Equipos: Se agregó una función de Incursión para ayudar a los jugadores a superar niveles más rápido!
-Optimización del Sistema de Transportadores: Mejorada la velocidad de movimiento del transportador; se añadieron nuevos logros y insignias relacionados con el transportador; se introdujo la función de renombrar transportadores; se optimizó la función de congregar del Valor Infinito; se mejoró la selección de cantidad de unidades del Valor Infinito.
-Ajuste de Habilidad de Unidad de Tirador: Las balas ya no requieren tiempo de recuperación, y el Tirador puede moverse después de transformarse con su habilidad de unidad.
-Optimización de la Cápsula de Estasis: Se reemplazaron las misiones diarias en la Cápsula de Estasis.
-Optimización de la Asignación de Instructores: Mejorada la experiencia al asignar instructores; los instructores asignados ahora patrullarán dentro de la ciudad interior.
-Función de Captura de Pantalla en el Chat: Optimización general; se agregó la función de captura de pantalla con retraso, permitiéndote capturar diferentes pantallas del juego con un retraso.
-Actualización de Piel de Mech: Presentando la nueva Piel de Mech Escorpión—Escorpión (Leyendas de Sombra). Para perfeccionar sus tácticas de emboscada, el Simio ha reinventado el Meca Escorpión en un fantasma de la noche, más elusivo y mortal que nunca.
-Nueva Forma de Juego de Resistencia Total: Los comandantes necesitan congregar a los miembros de la banda para defender el Distribuidor de los ataques mutantes. Elige mejoras poderosas para ayudar en la defensa; completa desafíos para ganar recompensas extra.
-Optimización del Mini-Juego Babel: Mejoradas las exhibiciones en las batallas y ajustados los niveles de dificultad.
-Optimización de la Arena de Campeones: Mejorados los visuales del campo de batalla, se añadieron ilustraciones del tutorial, se mostraron las ubicaciones de los jefes y se optimizó la experiencia de batalla.
-Optimización de la Niebla: Las áreas de niebla ahora coinciden más exactamente con el terreno real.
-Optimización del Enfrentamiento de Primates: Mejorada la visualización de la interfaz.</v>
      </c>
      <c r="K60" s="148" t="str">
        <f>IFERROR(__xludf.DUMMYFUNCTION("""COMPUTED_VALUE"""),"- Новый герой: Представляем Кровавого крестного отца — Блейка! Главарь подпольного мира, крестный отец, закаленный в крови и битвах!
- Новая статуя героя: Грант;
-Фабрика: Представляем фабрику обмена картами — теперь командиры могут ежедневно приобретать "&amp;"новые участки земли для расширения территории фабрики. Также добавлена функция ""Очистить все"" для рабочих.
-Добавлены новые гонщики: Александр Уайлдер, Эли Грэмс, Лиам Паркер, Клэр Хэйес, Итан Блейк и Габриэль Грей;
-Добавлен новый 6-й этаж. Выставочные"&amp;" стенды на этом этаже можно поддерживать для продления времени показа — чем дольше выставка, тем больше эффектов от показателей экспонатов.
-Новые события на Хэллоуин:
  -Фестиваль страхов: Используйте банки с конфетами, чтобы открыть сюрпризные конфеты и"&amp;" выиграть праздничные скины и обильные награды!
  -Праздничные подарки: Накопите пополнения, чтобы получить роскошные подарки и лаки для мехов!
  -Шалость или сладость: Собирайте тыквенные монеты, чтобы заработать щедрые награды с шансом получить новый эф"&amp;"фект марша!
  -Ужасная шахта: Исследуйте специальную шахту на Хэллоуин!
  -Сюрпризная тыква: Покупайте тыквенные наборы, чтобы разблокировать множество бесплатных наград!
  -Награды за пополнение: Сделайте одно пополнение, чтобы получить исключительные на"&amp;"грады!
  -Фантомное противостояние: Сражайтесь за славу своей команды!
  -Торг у полуночи: Опасность подстерегает на каждом углу — делайте ставки осторожно! Успешный торг позволяет приобрести ценные предметы по низким ценам!
  -Великолепный город: Новый э"&amp;"ффект городской ратуши — Жнец Тени — скоро появится. Не пропустите!
-Оптимизация схватки мехов: Отрегулированы параметры баланса; добавлена функция нажатия на карту для облегчения перемещения камеры, что помогает игрокам контролировать все поле боя. Введе"&amp;"ны функции маркировки для быстрой и легкой коммуникации с товарищами по команде, улучшая координацию команды. Добавлены новые звуковые эффекты навыков для лучшего сенсорного восприятия.
-Оптимизация тестовой площадки оборудования: Добавлена функция рейда,"&amp;" чтобы помочь игрокам быстрее проходить уровни!
-Оптимизация системы носителей: Улучшена скорость передвижения носителей; добавлены новые достижения и значки, связанные с носителями; введена функция переименования носителей; оптимизирована функция похода "&amp;"в ""Бесконечном Валоре""; улучшен выбор количества отрядов в ""Бесконечном Валоре"".
-Регулировка навыка бойца-стрелка: Пули больше не требуют времени на восстановление, и стрелок может двигаться после трансформации с помощью своего навыка отряда.
-Оптими"&amp;"зация капсулы стазиса: Заменены ежедневные задания в капсуле стазиса.
-Оптимизация назначения инструктора: Улучшен опыт при назначении инструкторов; назначенные инструкторы теперь будут патрулировать внутри города.
-Функция скриншота в чате: Общая оптимиз"&amp;"ация; добавлена функция задержки скриншота, позволяющая захватывать разные игровые экраны с задержкой.
-Обновление скина меха: Представляем новый скин меха Скорпион — Скорпион (Легенды Теней). Чтобы усовершенствовать свои тактики засады, Обезьяна переосмы"&amp;"слила меха Скорпион, превратив его в призрака ночи — более неуловимого и смертоносного, чем когда-либо.
-Новый игровой режим ""Общее сопротивление"": Командирам нужно собрать членов банды для защиты Дистрибьютора от атак мутантов. Выбирайте мощные усилени"&amp;"я для помощи в защите; выполняйте испытания, чтобы заработать дополнительные награды.
-Оптимизация мини-игры ""Вавилон"": Улучшены отображения в битвах и отрегулированы уровни сложности.
-Оптимизация арены чемпионов: Улучшены визуальные эффекты на поле бо"&amp;"я, добавлены иллюстрации в обучении, отображены местоположения боссов и оптимизирован опыт битвы.
-Оптимизация тумана: Области тумана теперь более точно соответствуют реальному рельефу.
-Оптимизация столкновения приматов: Улучшено отображение интерфейса.")</f>
        <v>- Новый герой: Представляем Кровавого крестного отца — Блейка! Главарь подпольного мира, крестный отец, закаленный в крови и битвах!
- Новая статуя героя: Грант;
-Фабрика: Представляем фабрику обмена картами — теперь командиры могут ежедневно приобретать новые участки земли для расширения территории фабрики. Также добавлена функция "Очистить все" для рабочих.
-Добавлены новые гонщики: Александр Уайлдер, Эли Грэмс, Лиам Паркер, Клэр Хэйес, Итан Блейк и Габриэль Грей;
-Добавлен новый 6-й этаж. Выставочные стенды на этом этаже можно поддерживать для продления времени показа — чем дольше выставка, тем больше эффектов от показателей экспонатов.
-Новые события на Хэллоуин:
  -Фестиваль страхов: Используйте банки с конфетами, чтобы открыть сюрпризные конфеты и выиграть праздничные скины и обильные награды!
  -Праздничные подарки: Накопите пополнения, чтобы получить роскошные подарки и лаки для мехов!
  -Шалость или сладость: Собирайте тыквенные монеты, чтобы заработать щедрые награды с шансом получить новый эффект марша!
  -Ужасная шахта: Исследуйте специальную шахту на Хэллоуин!
  -Сюрпризная тыква: Покупайте тыквенные наборы, чтобы разблокировать множество бесплатных наград!
  -Награды за пополнение: Сделайте одно пополнение, чтобы получить исключительные награды!
  -Фантомное противостояние: Сражайтесь за славу своей команды!
  -Торг у полуночи: Опасность подстерегает на каждом углу — делайте ставки осторожно! Успешный торг позволяет приобрести ценные предметы по низким ценам!
  -Великолепный город: Новый эффект городской ратуши — Жнец Тени — скоро появится. Не пропустите!
-Оптимизация схватки мехов: Отрегулированы параметры баланса; добавлена функция нажатия на карту для облегчения перемещения камеры, что помогает игрокам контролировать все поле боя. Введены функции маркировки для быстрой и легкой коммуникации с товарищами по команде, улучшая координацию команды. Добавлены новые звуковые эффекты навыков для лучшего сенсорного восприятия.
-Оптимизация тестовой площадки оборудования: Добавлена функция рейда, чтобы помочь игрокам быстрее проходить уровни!
-Оптимизация системы носителей: Улучшена скорость передвижения носителей; добавлены новые достижения и значки, связанные с носителями; введена функция переименования носителей; оптимизирована функция похода в "Бесконечном Валоре"; улучшен выбор количества отрядов в "Бесконечном Валоре".
-Регулировка навыка бойца-стрелка: Пули больше не требуют времени на восстановление, и стрелок может двигаться после трансформации с помощью своего навыка отряда.
-Оптимизация капсулы стазиса: Заменены ежедневные задания в капсуле стазиса.
-Оптимизация назначения инструктора: Улучшен опыт при назначении инструкторов; назначенные инструкторы теперь будут патрулировать внутри города.
-Функция скриншота в чате: Общая оптимизация; добавлена функция задержки скриншота, позволяющая захватывать разные игровые экраны с задержкой.
-Обновление скина меха: Представляем новый скин меха Скорпион — Скорпион (Легенды Теней). Чтобы усовершенствовать свои тактики засады, Обезьяна переосмыслила меха Скорпион, превратив его в призрака ночи — более неуловимого и смертоносного, чем когда-либо.
-Новый игровой режим "Общее сопротивление": Командирам нужно собрать членов банды для защиты Дистрибьютора от атак мутантов. Выбирайте мощные усиления для помощи в защите; выполняйте испытания, чтобы заработать дополнительные награды.
-Оптимизация мини-игры "Вавилон": Улучшены отображения в битвах и отрегулированы уровни сложности.
-Оптимизация арены чемпионов: Улучшены визуальные эффекты на поле боя, добавлены иллюстрации в обучении, отображены местоположения боссов и оптимизирован опыт битвы.
-Оптимизация тумана: Области тумана теперь более точно соответствуют реальному рельефу.
-Оптимизация столкновения приматов: Улучшено отображение интерфейса.</v>
      </c>
      <c r="L60" s="148" t="str">
        <f>IFERROR(__xludf.DUMMYFUNCTION("""COMPUTED_VALUE"""),"- Yeni Savaşçı: Kanlı Baba-Blake'i Tanıtıyoruz! Yeraltının elebaşı, kan ve savaşla yoğrulmuş bir baba!
- Yeni Savaşçı Heykeli: Ver;
- Fabrika: Harita Takas Fabrikasını Tanıtıyoruz—Komutanlar artık günlük olarak yeni arazi parselleri edinebilir ve fabrika "&amp;"bölgelerini genişletebilir. Ayrıca işçiler için Tümünü Temizle özelliği eklendi.
- Yeni Pilotlar Eklendi: Alexander Wilder, Eli Grams, Liam Parker, Claire Hayes, Ethan Blake ve Gabriel Gray;
- Yeni bir 6. kat eklendi. Bu kattaki sergi stantları, sergi sür"&amp;"elerini uzatmak için bakım yapılabilir—sergi süresi uzadıkça, sergilenen öğelerin nitelikleri daha fazla etkili olur.
- Yeni Cadılar Bayramı Etkinlikleri:
  - Korku Festivali: Şeker Kavanozlarını kullanarak sürpriz şekerleri açın ve festivale özel cilt bü"&amp;"yük ödülleri ve bol ödüller kazanın!
  - Festivale Özel Hediyeler: Yeniden şarjları biriktirerek cömert hediyeler alın ve Meka lakları elde edin!
  - Şeker mi Şaka mı: Bal Kabağı Paralarını toplayarak bol ödüller kazanın ve yepyeni bir sefer etkisi elde e"&amp;"tme şansı yakalayın!
  - Korkunç Maden: Özel Cadılar Bayramı madenini keşfedin!
  - Sürpriz Bal Kabağı: Bal Kabağı Paketlerini satın alarak ücretsiz ödüllerin kilidini açın!
  - Şarj Etme Ödülleri: Tek bir şarj yaparak olağanüstü ödüller alın!
  - Hayalet"&amp;" Karşılaşması: Takımınızın zaferi için savaşın!
  - Gece Yarısı Pazarlık: Her köşede tehlike var—dikkatli teklif verin! Başarılı pazarlık, değerli eşyaları düşük fiyatlarla satın almanızı sağlar!
  - Muhteşem Şehir: Yeni meclis etkisi—Gölge Azrail—çok yak"&amp;"ında geliyor. Kaçırmayın!
- Gelişmiş Meka Çarpışması Optimizasyonu: Denge parametreleri ayarlandı; kamera hareketini kolaylaştırmak için harita dokunma özelliği eklendi, oyuncuların tüm savaş alanını kontrol etmelerine yardımcı oldu. Takım arkadaşlarıyla "&amp;"hızlı ve kolay iletişim için işaretleme özellikleri tanıtıldı, takım koordinasyonunu artırdı. Daha iyi bir duyusal deneyim için yeni beceri ses efektleri eklendi.
- Ekipman Test Alanı Optimizasyonu: Oyuncuların seviyeleri daha hızlı temizlemelerine yardım"&amp;"cı olmak için Baskın işlevi eklendi!
- Taşıyıcı Sistemi Optimizasyonu: Taşıyıcı hareket hızı iyileştirildi; yeni taşıyıcı ile ilgili başarılar ve rozetler eklendi; taşıyıcı yeniden adlandırma özelliği tanıtıldı; Sonsuz Değer'in toplu saldırı özelliği opti"&amp;"mize edildi; Sonsuz Değer birim miktarı seçimi iyileştirildi.
- Nişancı Birim Becerisi Ayarı: Mermiler artık iyileşme süresi gerektirmiyor ve Nişancı, birim becerisiyle dönüştükten sonra hareket edebilir.
- Durağanlık Kapsülü Optimizasyonu: Durağanlık Kap"&amp;"sülündeki günlük görevler değiştirildi.
- Eğitmen Ataması Optimizasyonu: Eğitmen atarken deneyim geliştirildi; atanan eğitmenler artık iç şehirde devriye gezecek.
- Sohbet Ekran Görüntüsü Özelliği: Genel optimizasyon; gecikmeli ekran görüntüsü özelliği ek"&amp;"lendi, farklı oyun ekranlarını gecikmeli olarak yakalamanıza olanak tanır.
- Meka Cilt Güncellemesi: Yeni Akrep Meka Cildi—Akrep (Gölge Efsaneleri) tanıtılıyor. Pusu taktiklerini mükemmelleştirmek için, Maymun Akrep mekanını gecenin hayaleti olarak yenide"&amp;"n icat etti—eskisinden daha kaçamak ve daha ölümcül.
- Yeni Toplam Direnç Oynanışı: Komutanlar, mutant saldırılarından Dağıtıcıyı savunmak için çete üyelerini toplamalı. Savunmaya yardımcı olacak güçlü güçlendiriciler seçin; meydan okumaları tamamlayarak "&amp;"ekstra ödüller kazanın.
- Babel Mini-Oyun Optimizasyonu: Savaşlardaki gösterimler iyileştirildi ve zorluk seviyeleri ayarlandı.
- Şampiyonlar Arenası Optimizasyonu: Savaş alanı görselleri geliştirildi, öğretici çizimler eklendi, patron konumları gösterild"&amp;"i ve savaş deneyimi optimize edildi.
- Sis Optimizasyonu: Sis alanları artık gerçek araziyle daha uyumlu.
- Primat Karşı Karşıyası Optimizasyonu: Arayüz gösterimi iyileştirildi.")</f>
        <v>- Yeni Savaşçı: Kanlı Baba-Blake'i Tanıtıyoruz! Yeraltının elebaşı, kan ve savaşla yoğrulmuş bir baba!
- Yeni Savaşçı Heykeli: Ver;
- Fabrika: Harita Takas Fabrikasını Tanıtıyoruz—Komutanlar artık günlük olarak yeni arazi parselleri edinebilir ve fabrika bölgelerini genişletebilir. Ayrıca işçiler için Tümünü Temizle özelliği eklendi.
- Yeni Pilotlar Eklendi: Alexander Wilder, Eli Grams, Liam Parker, Claire Hayes, Ethan Blake ve Gabriel Gray;
- Yeni bir 6. kat eklendi. Bu kattaki sergi stantları, sergi sürelerini uzatmak için bakım yapılabilir—sergi süresi uzadıkça, sergilenen öğelerin nitelikleri daha fazla etkili olur.
- Yeni Cadılar Bayramı Etkinlikleri:
  - Korku Festivali: Şeker Kavanozlarını kullanarak sürpriz şekerleri açın ve festivale özel cilt büyük ödülleri ve bol ödüller kazanın!
  - Festivale Özel Hediyeler: Yeniden şarjları biriktirerek cömert hediyeler alın ve Meka lakları elde edin!
  - Şeker mi Şaka mı: Bal Kabağı Paralarını toplayarak bol ödüller kazanın ve yepyeni bir sefer etkisi elde etme şansı yakalayın!
  - Korkunç Maden: Özel Cadılar Bayramı madenini keşfedin!
  - Sürpriz Bal Kabağı: Bal Kabağı Paketlerini satın alarak ücretsiz ödüllerin kilidini açın!
  - Şarj Etme Ödülleri: Tek bir şarj yaparak olağanüstü ödüller alın!
  - Hayalet Karşılaşması: Takımınızın zaferi için savaşın!
  - Gece Yarısı Pazarlık: Her köşede tehlike var—dikkatli teklif verin! Başarılı pazarlık, değerli eşyaları düşük fiyatlarla satın almanızı sağlar!
  - Muhteşem Şehir: Yeni meclis etkisi—Gölge Azrail—çok yakında geliyor. Kaçırmayın!
- Gelişmiş Meka Çarpışması Optimizasyonu: Denge parametreleri ayarlandı; kamera hareketini kolaylaştırmak için harita dokunma özelliği eklendi, oyuncuların tüm savaş alanını kontrol etmelerine yardımcı oldu. Takım arkadaşlarıyla hızlı ve kolay iletişim için işaretleme özellikleri tanıtıldı, takım koordinasyonunu artırdı. Daha iyi bir duyusal deneyim için yeni beceri ses efektleri eklendi.
- Ekipman Test Alanı Optimizasyonu: Oyuncuların seviyeleri daha hızlı temizlemelerine yardımcı olmak için Baskın işlevi eklendi!
- Taşıyıcı Sistemi Optimizasyonu: Taşıyıcı hareket hızı iyileştirildi; yeni taşıyıcı ile ilgili başarılar ve rozetler eklendi; taşıyıcı yeniden adlandırma özelliği tanıtıldı; Sonsuz Değer'in toplu saldırı özelliği optimize edildi; Sonsuz Değer birim miktarı seçimi iyileştirildi.
- Nişancı Birim Becerisi Ayarı: Mermiler artık iyileşme süresi gerektirmiyor ve Nişancı, birim becerisiyle dönüştükten sonra hareket edebilir.
- Durağanlık Kapsülü Optimizasyonu: Durağanlık Kapsülündeki günlük görevler değiştirildi.
- Eğitmen Ataması Optimizasyonu: Eğitmen atarken deneyim geliştirildi; atanan eğitmenler artık iç şehirde devriye gezecek.
- Sohbet Ekran Görüntüsü Özelliği: Genel optimizasyon; gecikmeli ekran görüntüsü özelliği eklendi, farklı oyun ekranlarını gecikmeli olarak yakalamanıza olanak tanır.
- Meka Cilt Güncellemesi: Yeni Akrep Meka Cildi—Akrep (Gölge Efsaneleri) tanıtılıyor. Pusu taktiklerini mükemmelleştirmek için, Maymun Akrep mekanını gecenin hayaleti olarak yeniden icat etti—eskisinden daha kaçamak ve daha ölümcül.
- Yeni Toplam Direnç Oynanışı: Komutanlar, mutant saldırılarından Dağıtıcıyı savunmak için çete üyelerini toplamalı. Savunmaya yardımcı olacak güçlü güçlendiriciler seçin; meydan okumaları tamamlayarak ekstra ödüller kazanın.
- Babel Mini-Oyun Optimizasyonu: Savaşlardaki gösterimler iyileştirildi ve zorluk seviyeleri ayarlandı.
- Şampiyonlar Arenası Optimizasyonu: Savaş alanı görselleri geliştirildi, öğretici çizimler eklendi, patron konumları gösterildi ve savaş deneyimi optimize edildi.
- Sis Optimizasyonu: Sis alanları artık gerçek araziyle daha uyumlu.
- Primat Karşı Karşıyası Optimizasyonu: Arayüz gösterimi iyileştirildi.</v>
      </c>
      <c r="M60" s="148" t="str">
        <f>IFERROR(__xludf.DUMMYFUNCTION("""COMPUTED_VALUE"""),"- Chiến Binh Mới: Giới thiệu Bố Già Nhuốm Máu-Blake! Ông trùm của thế giới ngầm, một bố già được rèn giũa qua máu và chiến đấu!
- Tượng Chiến Binh Mới: Cấp;
- Nhà Máy: Giới thiệu Nhà Máy Đổi Bản Đồ—Chỉ Huy giờ đây có thể nhận được các mảnh đất mới hàng ng"&amp;"ày để mở rộng lãnh thổ nhà máy của họ. Cũng đã thêm tính năng Hoàn Thành Tất Cả cho công nhân.
- Phi Công Mới Được Thêm: Alexander Như Gió, Eli Grams, Liam Parker, Claire Hayes, Ethan Blake, và Gabriel Gray;
- Đã thêm tầng 6 mới. Các gian trưng bày trên t"&amp;"ầng này có thể được duy trì để kéo dài thời gian trưng bày—thời gian trưng bày càng lâu, các thuộc tính của các vật trưng bày càng có hiệu lực.
- Sự Kiện Halloween Mới:
  - Lễ Hội Kinh Hoàng: Sử dụng Hũ Kẹo để mở kẹo bất ngờ và giành giải thưởng lớn là sk"&amp;"in lễ hội và phần thưởng phong phú!
  - Quà Tặng Lễ Hội: Tích lũy nạp năng lượng để nhận quà tặng xa hoa và nhận được sơn mài Cơ Khí!
  - Kẹo hay ghẹo: Thu thập Xu Bí Ngô để nhận phần thưởng dồi dào với cơ hội nhận hiệu ứng hành quân mới!
  - Mỏ Kinh Dị: "&amp;"Khám phá mỏ Halloween đặc biệt!
  - Bí Ngô Bất Ngờ: Mua Gói Bí Ngô để mở khóa phần thưởng miễn phí phong phú!
  - Phần Thưởng Nạp Năng Lượng: Thực hiện một lần nạp năng lượng để nhận phần thưởng đặc biệt!
  - Đối Đầu Bóng Ma: Chiến đấu vì vinh quang của đ"&amp;"ội bạn!
  - Mặc Cả Nửa Đêm: Nguy hiểm rình rập ở mọi góc—đấu giá cẩn thận! Mặc cả thành công cho phép bạn mua các vật phẩm có giá trị với giá thấp!
  - Thành Phố Tuyệt Diệu: Hiệu ứng tòa thị chính mới—Kẻ Kết Liễu Bóng Đêm—sắp ra mắt. Đừng bỏ lỡ!
- Tối Ưu "&amp;"Hóa Cuộc Đụng Độ Cơ Khí Nâng Cao: Điều chỉnh các thông số cân bằng; thêm tính năng chạm bản đồ để di chuyển máy ảnh dễ dàng hơn, giúp người chơi kiểm soát toàn bộ chiến trường. Giới thiệu các tính năng đánh dấu để giao tiếp nhanh chóng và dễ dàng với đồng"&amp;" đội, nâng cao sự phối hợp đội. Thêm hiệu ứng âm thanh kỹ năng mới để có trải nghiệm cảm giác tốt hơn.
- Tối Ưu Hóa Khu Thử Nghiệm Trang Bị: Thêm chức năng Đột Kích để giúp người chơi vượt cấp nhanh hơn!
- Tối Ưu Hóa Hệ Thống Người Vận Chuyển: Cải thiện t"&amp;"ốc độ di chuyển của người vận chuyển; thêm thành tựu và huy hiệu liên quan đến người vận chuyển mới; giới thiệu tính năng đổi tên người vận chuyển; tối ưu hóa tính năng tập hợp của Dũng Khí Vô Hạn; cải thiện lựa chọn số lượng đơn vị của Dũng Khí Vô Hạn.
-"&amp;" Điều Chỉnh Kỹ Năng Đơn Vị Xạ Thủ: Đạn không còn yêu cầu thời gian phục hồi, và Xạ Thủ có thể di chuyển sau khi biến hình với kỹ năng đơn vị của họ.
- Tối Ưu Hóa POD Ngưng Trệ: Thay thế nhiệm vụ hàng ngày trong POD Ngưng Trệ.
- Tối Ưu Hóa Chỉ Định Huấn Lu"&amp;"yện Viên: Nâng cao trải nghiệm khi chỉ định huấn luyện viên; huấn luyện viên được chỉ định sẽ tuần tra trong nội thành.
- Tính Năng Chụp Ảnh Màn Hình Trò Chuyện: Tối ưu hóa tổng thể; thêm tính năng chụp ảnh màn hình trễ, cho phép bạn chụp các màn hình trò"&amp;" chơi khác nhau với độ trễ.
- Cập Nhật Skin Cơ Khí: Giới thiệu Skin Cơ Khí Bọ Cạp mới—Bọ Cạp (Huyền Thoại Bóng Đêm). Để hoàn thiện chiến thuật phục kích của mình, loài vượn đã tái tạo lại Cơ Khí Bọ Cạp thành một bóng ma của đêm tối—khó nắm bắt hơn và chết"&amp;" chóc hơn bao giờ hết.
- Trò Chơi Kháng Cự Tổng Hợp Mới: Chỉ Huy cần tập hợp các thành viên bang hội để phòng thủ Nhà Phân Phối khỏi các cuộc tấn công của đột biến. Chọn các hiệu ứng có lợi mạnh mẽ để hỗ trợ phòng thủ; hoàn thành thử thách để nhận phần th"&amp;"ưởng thêm.
- Tối Ưu Hóa Trò Chơi Nhỏ Babel: Cải thiện hiển thị trong các trận chiến và điều chỉnh mức độ khó.
- Tối Ưu Hóa Đấu Trường Vô Địch: Nâng cao hình ảnh chiến trường, thêm minh họa hướng dẫn, hiển thị vị trí sếp, và tối ưu hóa trải nghiệm chiến đấ"&amp;"u.
- Tối Ưu Hóa Sương Mù: Các khu vực sương mù giờ đây khớp chính xác hơn với địa hình thực tế.
- Tối Ưu Hóa Đối Đầu Linh Trưởng: Cải thiện hiển thị giao diện.")</f>
        <v>- Chiến Binh Mới: Giới thiệu Bố Già Nhuốm Máu-Blake! Ông trùm của thế giới ngầm, một bố già được rèn giũa qua máu và chiến đấu!
- Tượng Chiến Binh Mới: Cấp;
- Nhà Máy: Giới thiệu Nhà Máy Đổi Bản Đồ—Chỉ Huy giờ đây có thể nhận được các mảnh đất mới hàng ngày để mở rộng lãnh thổ nhà máy của họ. Cũng đã thêm tính năng Hoàn Thành Tất Cả cho công nhân.
- Phi Công Mới Được Thêm: Alexander Như Gió, Eli Grams, Liam Parker, Claire Hayes, Ethan Blake, và Gabriel Gray;
- Đã thêm tầng 6 mới. Các gian trưng bày trên tầng này có thể được duy trì để kéo dài thời gian trưng bày—thời gian trưng bày càng lâu, các thuộc tính của các vật trưng bày càng có hiệu lực.
- Sự Kiện Halloween Mới:
  - Lễ Hội Kinh Hoàng: Sử dụng Hũ Kẹo để mở kẹo bất ngờ và giành giải thưởng lớn là skin lễ hội và phần thưởng phong phú!
  - Quà Tặng Lễ Hội: Tích lũy nạp năng lượng để nhận quà tặng xa hoa và nhận được sơn mài Cơ Khí!
  - Kẹo hay ghẹo: Thu thập Xu Bí Ngô để nhận phần thưởng dồi dào với cơ hội nhận hiệu ứng hành quân mới!
  - Mỏ Kinh Dị: Khám phá mỏ Halloween đặc biệt!
  - Bí Ngô Bất Ngờ: Mua Gói Bí Ngô để mở khóa phần thưởng miễn phí phong phú!
  - Phần Thưởng Nạp Năng Lượng: Thực hiện một lần nạp năng lượng để nhận phần thưởng đặc biệt!
  - Đối Đầu Bóng Ma: Chiến đấu vì vinh quang của đội bạn!
  - Mặc Cả Nửa Đêm: Nguy hiểm rình rập ở mọi góc—đấu giá cẩn thận! Mặc cả thành công cho phép bạn mua các vật phẩm có giá trị với giá thấp!
  - Thành Phố Tuyệt Diệu: Hiệu ứng tòa thị chính mới—Kẻ Kết Liễu Bóng Đêm—sắp ra mắt. Đừng bỏ lỡ!
- Tối Ưu Hóa Cuộc Đụng Độ Cơ Khí Nâng Cao: Điều chỉnh các thông số cân bằng; thêm tính năng chạm bản đồ để di chuyển máy ảnh dễ dàng hơn, giúp người chơi kiểm soát toàn bộ chiến trường. Giới thiệu các tính năng đánh dấu để giao tiếp nhanh chóng và dễ dàng với đồng đội, nâng cao sự phối hợp đội. Thêm hiệu ứng âm thanh kỹ năng mới để có trải nghiệm cảm giác tốt hơn.
- Tối Ưu Hóa Khu Thử Nghiệm Trang Bị: Thêm chức năng Đột Kích để giúp người chơi vượt cấp nhanh hơn!
- Tối Ưu Hóa Hệ Thống Người Vận Chuyển: Cải thiện tốc độ di chuyển của người vận chuyển; thêm thành tựu và huy hiệu liên quan đến người vận chuyển mới; giới thiệu tính năng đổi tên người vận chuyển; tối ưu hóa tính năng tập hợp của Dũng Khí Vô Hạn; cải thiện lựa chọn số lượng đơn vị của Dũng Khí Vô Hạn.
- Điều Chỉnh Kỹ Năng Đơn Vị Xạ Thủ: Đạn không còn yêu cầu thời gian phục hồi, và Xạ Thủ có thể di chuyển sau khi biến hình với kỹ năng đơn vị của họ.
- Tối Ưu Hóa POD Ngưng Trệ: Thay thế nhiệm vụ hàng ngày trong POD Ngưng Trệ.
- Tối Ưu Hóa Chỉ Định Huấn Luyện Viên: Nâng cao trải nghiệm khi chỉ định huấn luyện viên; huấn luyện viên được chỉ định sẽ tuần tra trong nội thành.
- Tính Năng Chụp Ảnh Màn Hình Trò Chuyện: Tối ưu hóa tổng thể; thêm tính năng chụp ảnh màn hình trễ, cho phép bạn chụp các màn hình trò chơi khác nhau với độ trễ.
- Cập Nhật Skin Cơ Khí: Giới thiệu Skin Cơ Khí Bọ Cạp mới—Bọ Cạp (Huyền Thoại Bóng Đêm). Để hoàn thiện chiến thuật phục kích của mình, loài vượn đã tái tạo lại Cơ Khí Bọ Cạp thành một bóng ma của đêm tối—khó nắm bắt hơn và chết chóc hơn bao giờ hết.
- Trò Chơi Kháng Cự Tổng Hợp Mới: Chỉ Huy cần tập hợp các thành viên bang hội để phòng thủ Nhà Phân Phối khỏi các cuộc tấn công của đột biến. Chọn các hiệu ứng có lợi mạnh mẽ để hỗ trợ phòng thủ; hoàn thành thử thách để nhận phần thưởng thêm.
- Tối Ưu Hóa Trò Chơi Nhỏ Babel: Cải thiện hiển thị trong các trận chiến và điều chỉnh mức độ khó.
- Tối Ưu Hóa Đấu Trường Vô Địch: Nâng cao hình ảnh chiến trường, thêm minh họa hướng dẫn, hiển thị vị trí sếp, và tối ưu hóa trải nghiệm chiến đấu.
- Tối Ưu Hóa Sương Mù: Các khu vực sương mù giờ đây khớp chính xác hơn với địa hình thực tế.
- Tối Ưu Hóa Đối Đầu Linh Trưởng: Cải thiện hiển thị giao diện.</v>
      </c>
      <c r="N60" s="108" t="str">
        <f>IFERROR(__xludf.DUMMYFUNCTION("""COMPUTED_VALUE"""),"- Nuovo Combattente: Presentiamo il Padrino Insanguinato-Blake! Il boss del sotterraneo, un padrino forgiato nel sangue e nelle battaglie!
- Nuova Statua del Combattente: Concedi;
-Fabbrica: Presentiamo la Fabbrica di Scambio Mappa—i comandanti possono or"&amp;"a acquisire nuove trame di terra giornalmente per espandere il territorio della fabbrica. Aggiunta anche la funzione Cancella Tutto per i lavoratori.
-Nuovi Piloti Aggiunti: Alexander Selvaggio, Eli Grams, Liam Parker, Claire Hayes, Ethan Blake e Gabriel "&amp;"Gray;
-È stato aggiunto un nuovo 6° piano. Gli stand espositivi su questo piano possono essere mantenuti per estendere i tempi di esposizione—più lunga è l'esposizione, più gli attributi degli oggetti esposti avranno effetto.
-Nuovi Eventi di Halloween:
 "&amp;" -Festival delle Paure: Usa i Barattoli di Caramelle per aprire caramelle a sorpresa e vincere grandi premi di skin festivi e abbondanti ricompense!
  -Regali Festivi: Accumula ricariche per ricevere regali sontuosi e ottenere lacche Mech!
  -Dolcetto o S"&amp;"cherzetto: Raccogli Monete Zucca per guadagnare ricche ricompense con la possibilità di ottenere un nuovissimo effetto di marcia!
  -Pozzo di Halloween: Esplora il pozzo speciale di Halloween!
  -Zucca Sorpresa: Acquista Pacchetti Zucca per sbloccare una "&amp;"ricchezza di ricompense gratuite!
  -Ricompense di Ricarica: Effettua una singola ricarica per ricevere ricompense eccezionali!
  -Scontro Fantasma: Combatti per la gloria della tua squadra!
  -Contrattazione a Mezzanotte: Il pericolo si nasconde dietro o"&amp;"gni angolo—fai offerte con cautela! Una contrattazione riuscita ti permette di acquistare oggetti di valore a prezzi bassi!
  -Città Splendente: Il nuovo effetto del municipio—Mietitore Ombra—sta per arrivare. Non perdertelo!
-Ottimizzazione Avanzata dell"&amp;"o Scontro Mech: Regolati i parametri di bilanciamento; aggiunta la funzione di tocco mappa per facilitare il movimento della macchina fotografica, aiutando i giocatori a controllare l'intero campo di battaglia. Introdotte funzioni di marcatura per una com"&amp;"unicazione rapida e facile con i compagni di squadra, migliorando il coordinamento della squadra. Aggiunti nuovi effetti sonori delle abilità per una migliore esperienza sensoriale.
-Ottimizzazione del Sito di Test dell'Equipaggiamento: Aggiunta una funzi"&amp;"one di Razzia per aiutare i giocatori a completare i livelli più velocemente!
-Ottimizzazione del Sistema di Trasportatori: Migliorata la velocità di movimento dei trasportatori; aggiunti nuovi traguardi e distintivi relativi ai trasportatori; introdotta "&amp;"la funzione di rinomina dei trasportatori; ottimizzata la funzione di adunata del Valore Infinito; migliorata la selezione della quantità di unità del Valore Infinito.
-Regolazione dell'Abilità dell'Unità Tiratore: Le pallottole non richiedono più tempo d"&amp;"i ripristino e il Tiratore può muoversi dopo essersi trasformato con la sua abilità di unità.
-Ottimizzazione della Capsula di Stasi: Sostituite le missioni giornaliere nella Capsula di Stasi.
-Ottimizzazione dell'Assegnazione Istruttore: Migliorata l'esp"&amp;"erienza durante l'assegnazione degli istruttori; gli istruttori assegnati ora pattuglieranno all'interno della città.
-Funzione Screenshot della Chat: Ottimizzazione generale; aggiunta la funzione di screenshot ritardato, permettendoti di catturare divers"&amp;"e schermate di gioco con un ritardo.
-Aggiornamento Skin Mech: Presentiamo la nuova Skin Mech Scorpione—Scorpione (Leggende Ombra). Per perfezionare le loro tattiche di imboscata, l'Ape ha reinventato il mech Scorpione in un fantasma della notte—più sfugg"&amp;"ente e mortale che mai.
-Nuovo Gameplay Resistenza Totale: I comandanti devono radunare i membri della gang per difendere il Distributore dagli attacchi mutanti. Scegli potenti benefici per aiutare nella difesa; completa le sfide per ottenere ricompense e"&amp;"xtra.
-Ottimizzazione del Mini-Gioco Babel: Migliorati i display nelle battaglie e regolati i livelli di difficoltà.
-Ottimizzazione dell'Arena dei Campioni: Migliorati i visuali del campo di battaglia, aggiunte illustrazioni tutorial, visualizzate le pos"&amp;"izioni dei boss e ottimizzata l'esperienza di battaglia.
-Ottimizzazione della Nebbia: Le aree di nebbia ora corrispondono più accuratamente al terreno reale.
-Ottimizzazione del Confronto Primatesco: Migliorata la visualizzazione dell'interfaccia.")</f>
        <v>- Nuovo Combattente: Presentiamo il Padrino Insanguinato-Blake! Il boss del sotterraneo, un padrino forgiato nel sangue e nelle battaglie!
- Nuova Statua del Combattente: Concedi;
-Fabbrica: Presentiamo la Fabbrica di Scambio Mappa—i comandanti possono ora acquisire nuove trame di terra giornalmente per espandere il territorio della fabbrica. Aggiunta anche la funzione Cancella Tutto per i lavoratori.
-Nuovi Piloti Aggiunti: Alexander Selvaggio, Eli Grams, Liam Parker, Claire Hayes, Ethan Blake e Gabriel Gray;
-È stato aggiunto un nuovo 6° piano. Gli stand espositivi su questo piano possono essere mantenuti per estendere i tempi di esposizione—più lunga è l'esposizione, più gli attributi degli oggetti esposti avranno effetto.
-Nuovi Eventi di Halloween:
  -Festival delle Paure: Usa i Barattoli di Caramelle per aprire caramelle a sorpresa e vincere grandi premi di skin festivi e abbondanti ricompense!
  -Regali Festivi: Accumula ricariche per ricevere regali sontuosi e ottenere lacche Mech!
  -Dolcetto o Scherzetto: Raccogli Monete Zucca per guadagnare ricche ricompense con la possibilità di ottenere un nuovissimo effetto di marcia!
  -Pozzo di Halloween: Esplora il pozzo speciale di Halloween!
  -Zucca Sorpresa: Acquista Pacchetti Zucca per sbloccare una ricchezza di ricompense gratuite!
  -Ricompense di Ricarica: Effettua una singola ricarica per ricevere ricompense eccezionali!
  -Scontro Fantasma: Combatti per la gloria della tua squadra!
  -Contrattazione a Mezzanotte: Il pericolo si nasconde dietro ogni angolo—fai offerte con cautela! Una contrattazione riuscita ti permette di acquistare oggetti di valore a prezzi bassi!
  -Città Splendente: Il nuovo effetto del municipio—Mietitore Ombra—sta per arrivare. Non perdertelo!
-Ottimizzazione Avanzata dello Scontro Mech: Regolati i parametri di bilanciamento; aggiunta la funzione di tocco mappa per facilitare il movimento della macchina fotografica, aiutando i giocatori a controllare l'intero campo di battaglia. Introdotte funzioni di marcatura per una comunicazione rapida e facile con i compagni di squadra, migliorando il coordinamento della squadra. Aggiunti nuovi effetti sonori delle abilità per una migliore esperienza sensoriale.
-Ottimizzazione del Sito di Test dell'Equipaggiamento: Aggiunta una funzione di Razzia per aiutare i giocatori a completare i livelli più velocemente!
-Ottimizzazione del Sistema di Trasportatori: Migliorata la velocità di movimento dei trasportatori; aggiunti nuovi traguardi e distintivi relativi ai trasportatori; introdotta la funzione di rinomina dei trasportatori; ottimizzata la funzione di adunata del Valore Infinito; migliorata la selezione della quantità di unità del Valore Infinito.
-Regolazione dell'Abilità dell'Unità Tiratore: Le pallottole non richiedono più tempo di ripristino e il Tiratore può muoversi dopo essersi trasformato con la sua abilità di unità.
-Ottimizzazione della Capsula di Stasi: Sostituite le missioni giornaliere nella Capsula di Stasi.
-Ottimizzazione dell'Assegnazione Istruttore: Migliorata l'esperienza durante l'assegnazione degli istruttori; gli istruttori assegnati ora pattuglieranno all'interno della città.
-Funzione Screenshot della Chat: Ottimizzazione generale; aggiunta la funzione di screenshot ritardato, permettendoti di catturare diverse schermate di gioco con un ritardo.
-Aggiornamento Skin Mech: Presentiamo la nuova Skin Mech Scorpione—Scorpione (Leggende Ombra). Per perfezionare le loro tattiche di imboscata, l'Ape ha reinventato il mech Scorpione in un fantasma della notte—più sfuggente e mortale che mai.
-Nuovo Gameplay Resistenza Totale: I comandanti devono radunare i membri della gang per difendere il Distributore dagli attacchi mutanti. Scegli potenti benefici per aiutare nella difesa; completa le sfide per ottenere ricompense extra.
-Ottimizzazione del Mini-Gioco Babel: Migliorati i display nelle battaglie e regolati i livelli di difficoltà.
-Ottimizzazione dell'Arena dei Campioni: Migliorati i visuali del campo di battaglia, aggiunte illustrazioni tutorial, visualizzate le posizioni dei boss e ottimizzata l'esperienza di battaglia.
-Ottimizzazione della Nebbia: Le aree di nebbia ora corrispondono più accuratamente al terreno reale.
-Ottimizzazione del Confronto Primatesco: Migliorata la visualizzazione dell'interfaccia.</v>
      </c>
      <c r="O60" s="148" t="str">
        <f>IFERROR(__xludf.DUMMYFUNCTION("""COMPUTED_VALUE"""),"- Nowy Wojownik: Przedstawiamy Krwawego Ojca Chrzestnego-Blake'a! Król podziemia, ojciec chrzestny wykuty w krwi i bitwie!
- Nowy Pomnik Wojownika: Grant;
-Fabryka: Przedstawiamy Fabrykę Wymiany Map—Dowódcy mogą teraz codziennie zdobywać nowe działki, aby"&amp;" rozszerzyć terytorium swojej fabryki. Dodano również funkcję Wyczyść Wszystko dla pracowników.
-Dodano Nowych Pilotów: Alexander Wilder, Eli Grams, Liam Parker, Claire Hayes, Ethan Blake i Gabriel Gray;
-Dodano nowy 6. piętro. Stoiska wystawowe na tym pi"&amp;"ętrze mogą być utrzymywane, aby wydłużyć czas wyświetlania—im dłuższa wystawa, tym więcej atrybutów eksponatów działa.
-Nowe Wydarzenia Halloweenowe:
  -Festiwal Strachów: Użyj Słoików z Cukierkami, aby otworzyć niespodzianki cukierkowe i wygrać wielkie n"&amp;"agrody skórkowe oraz obfite nagrody!
  -Świąteczne Prezenty: Zbieraj doładowania, aby otrzymać wystawne prezenty i zdobyć lakiery do Mechów!
  -Cukierek albo Psikus: Zbieraj Monety Dyniowe, aby zdobyć obfite nagrody z szansą na nowy efekt marszu!
  -Stras"&amp;"zny Szyb: Eksploruj specjalny szyb Halloweenowy!
  -Niespodzianka Dyniowa: Kup Pakiety Dyniowe, aby odblokować bogactwo darmowych nagród!
  -Nagrody za Doładowanie: Wykonaj jedno doładowanie, aby otrzymać wyjątkowe nagrody!
  -Widmowy Pojedynek: Walcz o c"&amp;"hwałę swojego zespołu!
  -Targowanie o Północy: Niebezpieczeństwo czai się na każdym rogu—licytuj ostrożnie! Udane targowanie pozwala kupować cenne przedmioty po niskich cenach!
  -Wspaniałe Miasto: Nowy efekt ratusza—Kosiarz Cieni—już wkrótce. Nie przega"&amp;"p!
-Zaawansowana Optymalizacja Starcia Mechów: Dostosowano parametry równowagi; dodano funkcję dotknięcia mapy dla łatwiejszego ruchu kamery, pomagając graczom kontrolować całe pole bitwy. Wprowadzono funkcje oznaczania dla szybkiej i łatwej komunikacji z"&amp;" drużyną, poprawiając koordynację zespołu. Dodano nowe efekty dźwiękowe umiejętności dla lepszego doświadczenia sensorycznego.
-Optymalizacja Miejsca Testowego Sprzętu: Dodano funkcję Rajdu, aby pomóc graczom szybciej przechodzić poziomy!
-Optymalizacja S"&amp;"ystemu Przenośników: Poprawiono prędkość ruchu przenośników; dodano nowe osiągnięcia i odznaki związane z przenośnikami; wprowadzono funkcję zmiany nazwy przenośnika; zoptymalizowano funkcję rajdu Nieskończonej Wartości; poprawiono wybór ilości jednostek "&amp;"Nieskończonej Wartości.
-Dostosowanie Umiejętności Jednostki Strzelca: Pociski nie wymagają już czasu regeneracji, a Strzelec może się poruszać po przekształceniu za pomocą swojej umiejętności jednostki.
-Optymalizacja Kapsuły Stazy: Zastąpiono codzienne "&amp;"zadania w Kapsule Stazy.
-Optymalizacja Przypisania Instruktora: Ulepszono doświadczenie podczas przypisywania instruktorów; przypisani instruktorzy będą teraz patrolować wewnątrz miasta.
-Funkcja Zrzutu Ekranu na Czat: Ogólna optymalizacja; dodano funkcj"&amp;"ę opóźnionego zrzutu ekranu, umożliwiającą uchwycenie różnych ekranów gry z opóźnieniem.
-Aktualizacja Skórek Mechów: Przedstawiamy nową Skórkę Mecha Skorpiona—Skorpion (Legendy Cienia). Aby udoskonalić swoje taktyki zasadzki, Małpa przekształciła mecha S"&amp;"korpiona w nocne widmo—bardziej nieuchwytne i śmiertelniejsze niż kiedykolwiek.
-Nowa Rozgrywka Całkowitej Odporności: Dowódcy muszą zebrać członków gangu, aby bronić Dystrybutora przed atakami mutantów. Wybierz potężne wzmocnienia, aby wspomóc obronę; uk"&amp;"ończ wyzwania, aby zdobyć dodatkowe nagrody.
-Optymalizacja Mini-Gry Babel: Ulepszono wyświetlanie w bitwach i dostosowano poziomy trudności.
-Optymalizacja Areny Mistrzów: Ulepszono wizualizacje pola bitwy, dodano ilustracje samouczka, wyświetlono lokali"&amp;"zacje bossów i zoptymalizowano doświadczenie bitewne.
-Optymalizacja Mgły: Obszary mgły teraz dokładniej odpowiadają rzeczywistemu terenowi.
-Optymalizacja Impasu Naczelnych: Ulepszono wyświetlanie interfejsu.")</f>
        <v>- Nowy Wojownik: Przedstawiamy Krwawego Ojca Chrzestnego-Blake'a! Król podziemia, ojciec chrzestny wykuty w krwi i bitwie!
- Nowy Pomnik Wojownika: Grant;
-Fabryka: Przedstawiamy Fabrykę Wymiany Map—Dowódcy mogą teraz codziennie zdobywać nowe działki, aby rozszerzyć terytorium swojej fabryki. Dodano również funkcję Wyczyść Wszystko dla pracowników.
-Dodano Nowych Pilotów: Alexander Wilder, Eli Grams, Liam Parker, Claire Hayes, Ethan Blake i Gabriel Gray;
-Dodano nowy 6. piętro. Stoiska wystawowe na tym piętrze mogą być utrzymywane, aby wydłużyć czas wyświetlania—im dłuższa wystawa, tym więcej atrybutów eksponatów działa.
-Nowe Wydarzenia Halloweenowe:
  -Festiwal Strachów: Użyj Słoików z Cukierkami, aby otworzyć niespodzianki cukierkowe i wygrać wielkie nagrody skórkowe oraz obfite nagrody!
  -Świąteczne Prezenty: Zbieraj doładowania, aby otrzymać wystawne prezenty i zdobyć lakiery do Mechów!
  -Cukierek albo Psikus: Zbieraj Monety Dyniowe, aby zdobyć obfite nagrody z szansą na nowy efekt marszu!
  -Straszny Szyb: Eksploruj specjalny szyb Halloweenowy!
  -Niespodzianka Dyniowa: Kup Pakiety Dyniowe, aby odblokować bogactwo darmowych nagród!
  -Nagrody za Doładowanie: Wykonaj jedno doładowanie, aby otrzymać wyjątkowe nagrody!
  -Widmowy Pojedynek: Walcz o chwałę swojego zespołu!
  -Targowanie o Północy: Niebezpieczeństwo czai się na każdym rogu—licytuj ostrożnie! Udane targowanie pozwala kupować cenne przedmioty po niskich cenach!
  -Wspaniałe Miasto: Nowy efekt ratusza—Kosiarz Cieni—już wkrótce. Nie przegap!
-Zaawansowana Optymalizacja Starcia Mechów: Dostosowano parametry równowagi; dodano funkcję dotknięcia mapy dla łatwiejszego ruchu kamery, pomagając graczom kontrolować całe pole bitwy. Wprowadzono funkcje oznaczania dla szybkiej i łatwej komunikacji z drużyną, poprawiając koordynację zespołu. Dodano nowe efekty dźwiękowe umiejętności dla lepszego doświadczenia sensorycznego.
-Optymalizacja Miejsca Testowego Sprzętu: Dodano funkcję Rajdu, aby pomóc graczom szybciej przechodzić poziomy!
-Optymalizacja Systemu Przenośników: Poprawiono prędkość ruchu przenośników; dodano nowe osiągnięcia i odznaki związane z przenośnikami; wprowadzono funkcję zmiany nazwy przenośnika; zoptymalizowano funkcję rajdu Nieskończonej Wartości; poprawiono wybór ilości jednostek Nieskończonej Wartości.
-Dostosowanie Umiejętności Jednostki Strzelca: Pociski nie wymagają już czasu regeneracji, a Strzelec może się poruszać po przekształceniu za pomocą swojej umiejętności jednostki.
-Optymalizacja Kapsuły Stazy: Zastąpiono codzienne zadania w Kapsule Stazy.
-Optymalizacja Przypisania Instruktora: Ulepszono doświadczenie podczas przypisywania instruktorów; przypisani instruktorzy będą teraz patrolować wewnątrz miasta.
-Funkcja Zrzutu Ekranu na Czat: Ogólna optymalizacja; dodano funkcję opóźnionego zrzutu ekranu, umożliwiającą uchwycenie różnych ekranów gry z opóźnieniem.
-Aktualizacja Skórek Mechów: Przedstawiamy nową Skórkę Mecha Skorpiona—Skorpion (Legendy Cienia). Aby udoskonalić swoje taktyki zasadzki, Małpa przekształciła mecha Skorpiona w nocne widmo—bardziej nieuchwytne i śmiertelniejsze niż kiedykolwiek.
-Nowa Rozgrywka Całkowitej Odporności: Dowódcy muszą zebrać członków gangu, aby bronić Dystrybutora przed atakami mutantów. Wybierz potężne wzmocnienia, aby wspomóc obronę; ukończ wyzwania, aby zdobyć dodatkowe nagrody.
-Optymalizacja Mini-Gry Babel: Ulepszono wyświetlanie w bitwach i dostosowano poziomy trudności.
-Optymalizacja Areny Mistrzów: Ulepszono wizualizacje pola bitwy, dodano ilustracje samouczka, wyświetlono lokalizacje bossów i zoptymalizowano doświadczenie bitewne.
-Optymalizacja Mgły: Obszary mgły teraz dokładniej odpowiadają rzeczywistemu terenowi.
-Optymalizacja Impasu Naczelnych: Ulepszono wyświetlanie interfejsu.</v>
      </c>
      <c r="P60" s="148" t="str">
        <f>IFERROR(__xludf.DUMMYFUNCTION("""COMPUTED_VALUE"""),"- مقاتل جديد: تقديم العراب الملطخ بالدماء - بليك! زعيم تحت الأرض، عراب مزور بالدم والمعركة!
- تمثال المقاتل الجديد: منح;
- مصنع: تقديم مصنع تبادل الخرائط - يمكن للقادة الآن الحصول على قطع أراضي جديدة يوميًا لتوسيع إقليم المصنع. تم أيضًا إضافة ميزة ""إزالة"&amp;" الكل"" للعمال.
- إضافة طيارين جدد: ألكسندر وايلدر، إيلي جرامز، ليام باركر، كلير هايز، إيثان بليك، وغابرييل جراي;
- تمت إضافة طابق سادس جديد. يمكن صيانة منصات العرض في هذا الطابق لتمديد أوقات العرض - كلما طالت مدة العرض، زادت تأثيرات السمات.
- أحداث هالوي"&amp;"ن جديدة:
  - مهرجان الرعب: استخدم جرار الحلوى لفتح مفاجآت الحلوى والفوز بجوائز كبرى للبشرة الاحتفالية وجوائز وفيرة!
  - هدايا احتفالية: اجمع الشحنات لتلقي هدايا فاخرة والحصول على طلاءات ميكا!
  - خدعة أم حلوى: اجمع عملات اليقطين لتحصل على جوائز وفيرة مع ف"&amp;"رصة للحصول على تأثير مسيرة جديد تمامًا!
  - منجم الرعب: استكشف منجم الهالوين الخاص!
  - مفاجأة اليقطين: اشترِ حزم اليقطين لفتح ثروة من المكافآت المجانية!
  - مكافآت الشحن: قم بشحن واحد لتلقي مكافآت استثنائية!
  - مواجهة الشبح: قاتل من أجل مجد فريقك!
  - ا"&amp;"لمساومة في منتصف الليل: الخطر يكمن في كل زاوية - قم بالمزايدة بحذر! تتيح لك المساومة الناجحة شراء عناصر قيمة بأسعار منخفضة!
  - مدينة رائعة: تأثير قاعة المدينة الجديد - حاصد الظل - قادم قريبًا. لا تفوت الفرصة!
- تحسين صراع الميكا المتقدم: تم تعديل معايير "&amp;"التوازن؛ إضافة ميزة النقر على الخريطة لتسهيل حركة الكاميرا، مما يساعد اللاعبين على التحكم في ساحة المعركة بأكملها. تم تقديم ميزات التحديد للتواصل السريع والسهل مع الزملاء، مما يعزز التنسيق بين الفريق. إضافة تأثيرات صوتية جديدة للمهارات لتحسين التجربة الحس"&amp;"ية.
- تحسين موقع اختبار المعدات: إضافة وظيفة الغارة لمساعدة اللاعبين على اجتياز المستويات بشكل أسرع!
- تحسين نظام الناقلة: تحسين سرعة حركة الناقلة؛ إضافة إنجازات وشارات جديدة متعلقة بالناقلة؛ تقديم ميزة إعادة تسمية الناقلة؛ تحسين ميزة الحشد للشجاعة اللامت"&amp;"ناهية؛ تحسين اختيار كمية وحدة الشجاعة اللامتناهية.
- تعديل مهارة وحدة الرامي: لم تعد الرصاصات تتطلب وقتًا للتعافي، ويمكن للرامي التحرك بعد التحول باستخدام مهارة وحدته.
- تحسين كبسولة السكون: استبدال المهام اليومية في كبسولة السكون.
- تحسين تعيين المدرب: ت"&amp;"حسين التجربة عند تعيين المدربين؛ سيقوم المدربون المعينون الآن بدوريات داخل المدينة الداخلية.
- ميزة لقطة الشاشة في الدردشة: تحسين شامل؛ إضافة ميزة لقطة الشاشة المؤجلة، مما يتيح لك التقاط شاشات اللعبة المختلفة بتأخير.
- تحديث جلد الميكا: تقديم جلد ميكا الع"&amp;"قرب الجديد - العقرب (أساطير الظل). لتنفيذ تكتيكات الكمين بشكل مثالي، أعادت القرود ابتكار ميكا العقرب ليصبح شبحًا في الليل - أكثر مراوغة وأكثر فتكًا من أي وقت مضى.
- طريقة لعب المقاومة الإجمالية الجديدة: يحتاج القادة إلى حشد أعضاء العصابة للدفاع عن الموزع "&amp;"من هجمات المتحولين. اختر تعزيزات قوية للمساعدة في الدفاع؛ أكمل التحديات لتحصل على مكافآت إضافية.
- تحسين لعبة بابل المصغرة: تحسين العروض في المعارك وتعديل مستويات الصعوبة.
- تحسين حلبة الأبطال: تحسين مرئيات ساحة المعركة، إضافة رسومات توضيحية للدليل التعلي"&amp;"مي، عرض مواقع الزعماء، وتحسين تجربة المعركة.
- تحسين الضباب: مناطق الضباب تتطابق الآن بشكل أكثر دقة مع التضاريس الفعلية.
- تحسين مواجهة الرئيسيات: تحسين عرض الواجهة.")</f>
        <v>- مقاتل جديد: تقديم العراب الملطخ بالدماء - بليك! زعيم تحت الأرض، عراب مزور بالدم والمعركة!
- تمثال المقاتل الجديد: منح;
- مصنع: تقديم مصنع تبادل الخرائط - يمكن للقادة الآن الحصول على قطع أراضي جديدة يوميًا لتوسيع إقليم المصنع. تم أيضًا إضافة ميزة "إزالة الكل" للعمال.
- إضافة طيارين جدد: ألكسندر وايلدر، إيلي جرامز، ليام باركر، كلير هايز، إيثان بليك، وغابرييل جراي;
- تمت إضافة طابق سادس جديد. يمكن صيانة منصات العرض في هذا الطابق لتمديد أوقات العرض - كلما طالت مدة العرض، زادت تأثيرات السمات.
- أحداث هالوين جديدة:
  - مهرجان الرعب: استخدم جرار الحلوى لفتح مفاجآت الحلوى والفوز بجوائز كبرى للبشرة الاحتفالية وجوائز وفيرة!
  - هدايا احتفالية: اجمع الشحنات لتلقي هدايا فاخرة والحصول على طلاءات ميكا!
  - خدعة أم حلوى: اجمع عملات اليقطين لتحصل على جوائز وفيرة مع فرصة للحصول على تأثير مسيرة جديد تمامًا!
  - منجم الرعب: استكشف منجم الهالوين الخاص!
  - مفاجأة اليقطين: اشترِ حزم اليقطين لفتح ثروة من المكافآت المجانية!
  - مكافآت الشحن: قم بشحن واحد لتلقي مكافآت استثنائية!
  - مواجهة الشبح: قاتل من أجل مجد فريقك!
  - المساومة في منتصف الليل: الخطر يكمن في كل زاوية - قم بالمزايدة بحذر! تتيح لك المساومة الناجحة شراء عناصر قيمة بأسعار منخفضة!
  - مدينة رائعة: تأثير قاعة المدينة الجديد - حاصد الظل - قادم قريبًا. لا تفوت الفرصة!
- تحسين صراع الميكا المتقدم: تم تعديل معايير التوازن؛ إضافة ميزة النقر على الخريطة لتسهيل حركة الكاميرا، مما يساعد اللاعبين على التحكم في ساحة المعركة بأكملها. تم تقديم ميزات التحديد للتواصل السريع والسهل مع الزملاء، مما يعزز التنسيق بين الفريق. إضافة تأثيرات صوتية جديدة للمهارات لتحسين التجربة الحسية.
- تحسين موقع اختبار المعدات: إضافة وظيفة الغارة لمساعدة اللاعبين على اجتياز المستويات بشكل أسرع!
- تحسين نظام الناقلة: تحسين سرعة حركة الناقلة؛ إضافة إنجازات وشارات جديدة متعلقة بالناقلة؛ تقديم ميزة إعادة تسمية الناقلة؛ تحسين ميزة الحشد للشجاعة اللامتناهية؛ تحسين اختيار كمية وحدة الشجاعة اللامتناهية.
- تعديل مهارة وحدة الرامي: لم تعد الرصاصات تتطلب وقتًا للتعافي، ويمكن للرامي التحرك بعد التحول باستخدام مهارة وحدته.
- تحسين كبسولة السكون: استبدال المهام اليومية في كبسولة السكون.
- تحسين تعيين المدرب: تحسين التجربة عند تعيين المدربين؛ سيقوم المدربون المعينون الآن بدوريات داخل المدينة الداخلية.
- ميزة لقطة الشاشة في الدردشة: تحسين شامل؛ إضافة ميزة لقطة الشاشة المؤجلة، مما يتيح لك التقاط شاشات اللعبة المختلفة بتأخير.
- تحديث جلد الميكا: تقديم جلد ميكا العقرب الجديد - العقرب (أساطير الظل). لتنفيذ تكتيكات الكمين بشكل مثالي، أعادت القرود ابتكار ميكا العقرب ليصبح شبحًا في الليل - أكثر مراوغة وأكثر فتكًا من أي وقت مضى.
- طريقة لعب المقاومة الإجمالية الجديدة: يحتاج القادة إلى حشد أعضاء العصابة للدفاع عن الموزع من هجمات المتحولين. اختر تعزيزات قوية للمساعدة في الدفاع؛ أكمل التحديات لتحصل على مكافآت إضافية.
- تحسين لعبة بابل المصغرة: تحسين العروض في المعارك وتعديل مستويات الصعوبة.
- تحسين حلبة الأبطال: تحسين مرئيات ساحة المعركة، إضافة رسومات توضيحية للدليل التعليمي، عرض مواقع الزعماء، وتحسين تجربة المعركة.
- تحسين الضباب: مناطق الضباب تتطابق الآن بشكل أكثر دقة مع التضاريس الفعلية.
- تحسين مواجهة الرئيسيات: تحسين عرض الواجهة.</v>
      </c>
      <c r="Q60" s="148" t="str">
        <f>IFERROR(__xludf.DUMMYFUNCTION("""COMPUTED_VALUE"""),"- 新しいファイター: 血塗られたゴッドファーザー-ブレイクを紹介！地下の大物、血と戦闘によって鍛えられたゴッドファーザー！
- 新しいファイターの像: 助成;
- 工場: マップ交換工場を紹介—指揮官は毎日新しい土地を取得して工場の領土を拡大できます。また、労働者のための「すべてクリア」機能を追加しました。
- 新しいパイロット追加: アレクサンダー・ワイルダー、イーライ・グラムズ、リアム・パーカー、クレア・ヘイズ、イーサン・ブレイク、ガブリエル・グレイ;
- 新しい6階が追加されました。この階の展示ス"&amp;"タンドは、展示時間を延長するために維持できます—展示が長くなるほど、展示品の属性が効果を発揮します。
- 新しいハロウィンイベント:
  - 恐怖の祭典: キャンディジャーを使ってサプライズキャンディを開け、祝祭のスキン大賞と豊富な報酬を獲得しましょう！
  - 祝祭のギフト: リチャージを積み重ねて豪華なギフトを受け取り、メックの漆製品を手に入れましょう！
  - トリック・オア・トリート: パンプキンコインを集めて豊富な報酬を獲得し、新しい行軍エフェクトを手に入れるチャンス！
  - スプーク鉱山: "&amp;"特別なハロウィン鉱山を探索しましょう！
  - サプライズパンプキン: パンプキンパックを購入して無料報酬を大量にアンロックしましょう！
  - リチャージ報酬: 一度のリチャージで特別な報酬を受け取りましょう！
  - ファントム対決: チームの栄光のために戦いましょう！
  - 真夜中の交渉: 危険が至る所に潜んでいます—慎重に入札しましょう！成功した交渉で貴重なアイテムを低価格で購入できます！
  - 華麗な都市: 新しい基地効果—シャドウリーパーが近日公開。お見逃しなく！
- 上級メッククラッシュ"&amp;"最適化: バランスパラメータを調整しました。カメラ移動を容易にするためにマップタップ機能を追加し、プレイヤーが戦場全体をコントロールできるようにしました。チームメイトとの迅速かつ簡単なコミュニケーションを促進するためにマーキング機能を導入しました。より良い感覚体験のために新しいスキル音声効果を追加しました。
- 装備性能試験場最適化: プレイヤーがレベルを速くクリアできるようにレイド機能を追加しました！
- キャリアシステム最適化: キャリアの移動速度を改善しました。新しいキャリア関連の達成とバッジを追加"&amp;"しました。キャリアの名前変更機能を導入しました。無限のバロールの集会機能を最適化しました。無限のバロールユニット数量選択を改善しました。
- シューターユニットスキル調整: 弾丸はもはや回復時間を必要とせず、シューターはユニットスキルで変身した後に移動できます。
- スタシスポッド最適化: スタシスポッドの日次クエストを置き換えました。
- インストラクター割り当て最適化: インストラクターを割り当てる際の体験を向上させました。割り当てられたインストラクターは内市内を巡回します。
- チャットスクリーンシ"&amp;"ョット機能: 全体的な最適化を行い、遅延スクリーンショット機能を追加しました。これにより、異なるゲーム画面を遅延してキャプチャできます。
- メックスキンアップデート: 新しいスコーピオンメックスキン—スコーピオン（シャドウレジェンド）を紹介。待ち伏せ戦術を完璧にするために、猿人類はスコーピオンメカを夜のファントムへと再設計しました—これまで以上に捉えにくく、致命的です。
- 新しい合計抵抗プレイデータ: 指揮官はギルドメンバーを集めてディストリビューターをミュータントの攻撃から守る必要があります。防御を"&amp;"助けるために強力なバフを選択し、挑戦を完了して追加報酬を獲得しましょう。
- バベルミニゲーム最適化: 戦闘中の表示を改善し、難易度レベルを調整しました。
- チャンピオンのアリーナ最適化: 戦場のビジュアルを強化し、チュートリアルイラストを追加し、ボスの位置を表示し、戦闘体験を最適化しました。
- 霧の最適化: 霧のエリアが実際の地形により正確に一致するようになりました。
- プライメイト対決最適化: インターフェース表示を改善しました。")</f>
        <v>- 新しいファイター: 血塗られたゴッドファーザー-ブレイクを紹介！地下の大物、血と戦闘によって鍛えられたゴッドファーザー！
- 新しいファイターの像: 助成;
- 工場: マップ交換工場を紹介—指揮官は毎日新しい土地を取得して工場の領土を拡大できます。また、労働者のための「すべてクリア」機能を追加しました。
- 新しいパイロット追加: アレクサンダー・ワイルダー、イーライ・グラムズ、リアム・パーカー、クレア・ヘイズ、イーサン・ブレイク、ガブリエル・グレイ;
- 新しい6階が追加されました。この階の展示スタンドは、展示時間を延長するために維持できます—展示が長くなるほど、展示品の属性が効果を発揮します。
- 新しいハロウィンイベント:
  - 恐怖の祭典: キャンディジャーを使ってサプライズキャンディを開け、祝祭のスキン大賞と豊富な報酬を獲得しましょう！
  - 祝祭のギフト: リチャージを積み重ねて豪華なギフトを受け取り、メックの漆製品を手に入れましょう！
  - トリック・オア・トリート: パンプキンコインを集めて豊富な報酬を獲得し、新しい行軍エフェクトを手に入れるチャンス！
  - スプーク鉱山: 特別なハロウィン鉱山を探索しましょう！
  - サプライズパンプキン: パンプキンパックを購入して無料報酬を大量にアンロックしましょう！
  - リチャージ報酬: 一度のリチャージで特別な報酬を受け取りましょう！
  - ファントム対決: チームの栄光のために戦いましょう！
  - 真夜中の交渉: 危険が至る所に潜んでいます—慎重に入札しましょう！成功した交渉で貴重なアイテムを低価格で購入できます！
  - 華麗な都市: 新しい基地効果—シャドウリーパーが近日公開。お見逃しなく！
- 上級メッククラッシュ最適化: バランスパラメータを調整しました。カメラ移動を容易にするためにマップタップ機能を追加し、プレイヤーが戦場全体をコントロールできるようにしました。チームメイトとの迅速かつ簡単なコミュニケーションを促進するためにマーキング機能を導入しました。より良い感覚体験のために新しいスキル音声効果を追加しました。
- 装備性能試験場最適化: プレイヤーがレベルを速くクリアできるようにレイド機能を追加しました！
- キャリアシステム最適化: キャリアの移動速度を改善しました。新しいキャリア関連の達成とバッジを追加しました。キャリアの名前変更機能を導入しました。無限のバロールの集会機能を最適化しました。無限のバロールユニット数量選択を改善しました。
- シューターユニットスキル調整: 弾丸はもはや回復時間を必要とせず、シューターはユニットスキルで変身した後に移動できます。
- スタシスポッド最適化: スタシスポッドの日次クエストを置き換えました。
- インストラクター割り当て最適化: インストラクターを割り当てる際の体験を向上させました。割り当てられたインストラクターは内市内を巡回します。
- チャットスクリーンショット機能: 全体的な最適化を行い、遅延スクリーンショット機能を追加しました。これにより、異なるゲーム画面を遅延してキャプチャできます。
- メックスキンアップデート: 新しいスコーピオンメックスキン—スコーピオン（シャドウレジェンド）を紹介。待ち伏せ戦術を完璧にするために、猿人類はスコーピオンメカを夜のファントムへと再設計しました—これまで以上に捉えにくく、致命的です。
- 新しい合計抵抗プレイデータ: 指揮官はギルドメンバーを集めてディストリビューターをミュータントの攻撃から守る必要があります。防御を助けるために強力なバフを選択し、挑戦を完了して追加報酬を獲得しましょう。
- バベルミニゲーム最適化: 戦闘中の表示を改善し、難易度レベルを調整しました。
- チャンピオンのアリーナ最適化: 戦場のビジュアルを強化し、チュートリアルイラストを追加し、ボスの位置を表示し、戦闘体験を最適化しました。
- 霧の最適化: 霧のエリアが実際の地形により正確に一致するようになりました。
- プライメイト対決最適化: インターフェース表示を改善しました。</v>
      </c>
      <c r="R60" s="148" t="str">
        <f>IFERROR(__xludf.DUMMYFUNCTION("""COMPUTED_VALUE"""),"- 새로운 전사: 피로 물든 대부-블레이크를 소개합니다! 지하 세계의 킹핀, 피와 전투로 벼려진 대부!
- 새로운 전사 석상: 그랜트;
- 공장: 지도 교환 공장을 소개합니다—이제 지휘관들은 매일 새로운 땅을 획득하여 공장 영토를 확장할 수 있습니다. 또한 작업자들을 위한 전체 클리어 기능이 추가되었습니다.
- 새로운 폭주족 추가: 알렉산더 와일더, 엘리 그램스, 리암 파커, 클레어 헤이즈, 이선 블레이크, 가브리엘 그레이;
- 새로운 6층이 추가되었습"&amp;"니다. 이 층의 전시대를 유지하여 전시 시간을 연장할 수 있습니다—전시 시간이 길어질수록 전시물의 속성이 더 많이 발휘됩니다.
- 새로운 할로윈 이벤트:
  - 공포의 축제: 캔디 항아리를 사용하여 서프라이즈 캔디를 열고 축제 스킨 대상과 풍부한 보상을 획득하세요!
  - 축제 선물: 충전을 누적하여 화려한 선물을 받고 메카 래커를 획득하세요!
  - 트릭 오어 트릿: 호박 코인을 모아 풍부한 보상을 받고 새로운 행군 이펙트를 얻을 기회를 잡으세요!
 "&amp;" - 유령 광산: 특별한 할로윈 광산을 탐험하세요!
  - 서프라이즈 호박: 호박 패키지를 구매하여 무료 보상을 잠금 해제하세요!
  - 충전 보상: 단일 충전을 통해 특별한 보상을 받으세요!
  - 환영 대결: 팀의 영광을 위해 싸우세요!
  - 자정의 흥정: 모든 코너에 위험이 도사리고 있습니다—신중하게 입찰하세요! 성공적인 흥정으로 귀중한 아이템을 저렴한 가격에 구매할 수 있습니다!
  - 화려한 도시: 새로운 기지 효과—섀도우 사신—이 곧 출시됩"&amp;"니다. 놓치지 마세요!
- 고급 메카 교전 최적화: 밸런스 매개변수를 조정했습니다; 카메라 이동을 쉽게 하기 위해 지도 탭 기능을 추가하여 플레이어가 전체 전장을 제어할 수 있도록 도왔습니다. 팀원과의 빠르고 쉬운 소통을 위한 마킹 기능을 도입하여 팀 협력을 강화했습니다. 더 나은 감각 경험을 위해 새로운 스킬 사운드 효과를 추가했습니다.
- 장비 시험장 최적화: 플레이어가 레벨을 더 빨리 클리어할 수 있도록 소탕 기능을 추가했습니다!
- 운반선 시스템"&amp;" 최적화: 운반선 이동 속도를 개선했습니다; 새로운 운반선 관련 업적과 배지를 추가했습니다; 운반선 이름 변경 기능을 도입했습니다; 용맹의 집결 기능을 최적화했습니다; 용맹의 유닛 수량 선택을 개선했습니다.
- 슈터 유닛 스킬 조정: 탄환이 더 이상 회복 시간을 필요로 하지 않으며, 슈터는 유닛 스킬로 변신한 후 이동할 수 있습니다.
- 스테이시스 포드 최적화: 스테이시스 포드의 일일 임무를 교체했습니다.
- 강사 배정 최적화: 강사 배정 시 경험을 향"&amp;"상시켰습니다; 배정된 강사는 이제 내성에서 순찰할 것입니다.
- 채팅 스크린샷 기능: 전반적인 최적화; 지연 스크린샷 기능을 추가하여 다양한 게임 화면을 지연으로 캡처할 수 있습니다.
- 메카 스킨 업데이트: 새로운 전갈 메카 스킨—전갈 (그림자 전설)을 소개합니다. 그들의 매복 전술을 완벽하게 하기 위해, 원숭이들은 전갈 메카를 밤의 환영으로 재창조했습니다—이전보다 더 교묘하고 치명적입니다.
- 새로운 전체 저항력 게임플레이: 지휘관들은 돌연변이 공격"&amp;"으로부터 배급소를 방어하기 위해 무리 회원들을 집결시켜야 합니다. 방어를 돕기 위해 강력한 버프를 선택하세요; 도전을 완료하여 추가 보상을 받으세요.
- 바벨 미니 게임 최적화: 전투에서의 디스플레이를 개선하고 난이도 수준을 조정했습니다.
- 챔피언의 아레나 최적화: 전장 비주얼을 향상시키고, 튜토리얼 일러스트를 추가했으며, 보스 위치를 표시하고 전투 경험을 최적화했습니다.
- 안개 최적화: 안개 지역이 실제 지형과 더 정확하게 일치하도록 했습니다.
-"&amp;" 영장류 대치 최적화: 인터페이스 디스플레이를 개선했습니다.")</f>
        <v>- 새로운 전사: 피로 물든 대부-블레이크를 소개합니다! 지하 세계의 킹핀, 피와 전투로 벼려진 대부!
- 새로운 전사 석상: 그랜트;
- 공장: 지도 교환 공장을 소개합니다—이제 지휘관들은 매일 새로운 땅을 획득하여 공장 영토를 확장할 수 있습니다. 또한 작업자들을 위한 전체 클리어 기능이 추가되었습니다.
- 새로운 폭주족 추가: 알렉산더 와일더, 엘리 그램스, 리암 파커, 클레어 헤이즈, 이선 블레이크, 가브리엘 그레이;
- 새로운 6층이 추가되었습니다. 이 층의 전시대를 유지하여 전시 시간을 연장할 수 있습니다—전시 시간이 길어질수록 전시물의 속성이 더 많이 발휘됩니다.
- 새로운 할로윈 이벤트:
  - 공포의 축제: 캔디 항아리를 사용하여 서프라이즈 캔디를 열고 축제 스킨 대상과 풍부한 보상을 획득하세요!
  - 축제 선물: 충전을 누적하여 화려한 선물을 받고 메카 래커를 획득하세요!
  - 트릭 오어 트릿: 호박 코인을 모아 풍부한 보상을 받고 새로운 행군 이펙트를 얻을 기회를 잡으세요!
  - 유령 광산: 특별한 할로윈 광산을 탐험하세요!
  - 서프라이즈 호박: 호박 패키지를 구매하여 무료 보상을 잠금 해제하세요!
  - 충전 보상: 단일 충전을 통해 특별한 보상을 받으세요!
  - 환영 대결: 팀의 영광을 위해 싸우세요!
  - 자정의 흥정: 모든 코너에 위험이 도사리고 있습니다—신중하게 입찰하세요! 성공적인 흥정으로 귀중한 아이템을 저렴한 가격에 구매할 수 있습니다!
  - 화려한 도시: 새로운 기지 효과—섀도우 사신—이 곧 출시됩니다. 놓치지 마세요!
- 고급 메카 교전 최적화: 밸런스 매개변수를 조정했습니다; 카메라 이동을 쉽게 하기 위해 지도 탭 기능을 추가하여 플레이어가 전체 전장을 제어할 수 있도록 도왔습니다. 팀원과의 빠르고 쉬운 소통을 위한 마킹 기능을 도입하여 팀 협력을 강화했습니다. 더 나은 감각 경험을 위해 새로운 스킬 사운드 효과를 추가했습니다.
- 장비 시험장 최적화: 플레이어가 레벨을 더 빨리 클리어할 수 있도록 소탕 기능을 추가했습니다!
- 운반선 시스템 최적화: 운반선 이동 속도를 개선했습니다; 새로운 운반선 관련 업적과 배지를 추가했습니다; 운반선 이름 변경 기능을 도입했습니다; 용맹의 집결 기능을 최적화했습니다; 용맹의 유닛 수량 선택을 개선했습니다.
- 슈터 유닛 스킬 조정: 탄환이 더 이상 회복 시간을 필요로 하지 않으며, 슈터는 유닛 스킬로 변신한 후 이동할 수 있습니다.
- 스테이시스 포드 최적화: 스테이시스 포드의 일일 임무를 교체했습니다.
- 강사 배정 최적화: 강사 배정 시 경험을 향상시켰습니다; 배정된 강사는 이제 내성에서 순찰할 것입니다.
- 채팅 스크린샷 기능: 전반적인 최적화; 지연 스크린샷 기능을 추가하여 다양한 게임 화면을 지연으로 캡처할 수 있습니다.
- 메카 스킨 업데이트: 새로운 전갈 메카 스킨—전갈 (그림자 전설)을 소개합니다. 그들의 매복 전술을 완벽하게 하기 위해, 원숭이들은 전갈 메카를 밤의 환영으로 재창조했습니다—이전보다 더 교묘하고 치명적입니다.
- 새로운 전체 저항력 게임플레이: 지휘관들은 돌연변이 공격으로부터 배급소를 방어하기 위해 무리 회원들을 집결시켜야 합니다. 방어를 돕기 위해 강력한 버프를 선택하세요; 도전을 완료하여 추가 보상을 받으세요.
- 바벨 미니 게임 최적화: 전투에서의 디스플레이를 개선하고 난이도 수준을 조정했습니다.
- 챔피언의 아레나 최적화: 전장 비주얼을 향상시키고, 튜토리얼 일러스트를 추가했으며, 보스 위치를 표시하고 전투 경험을 최적화했습니다.
- 안개 최적화: 안개 지역이 실제 지형과 더 정확하게 일치하도록 했습니다.
- 영장류 대치 최적화: 인터페이스 디스플레이를 개선했습니다.</v>
      </c>
      <c r="S60" s="148" t="str">
        <f>IFERROR(__xludf.DUMMYFUNCTION("""COMPUTED_VALUE"""),"-新增斗士：浴血教父-布雷克震撼登场！来自地下世界的枭雄，浴血奋战多年的帮派教父！
-新增斗士雕像：格兰特；
-生产工厂：新增地图置换工厂，指挥官可以每日并购新的地块，扩大工厂版图；新增工猴一键清空、快速调整功能；
-新增机师：亚历山大·怀尔德，伊莱·格兰姆斯，利亚姆·帕克，克莱尔·海斯，伊桑·布雷克，加布里奥·格雷；
-收藏品展厅增加6F新楼层，新楼层中的展台可以通过保养来增加展览时间，展览时间越长则展品的展览属性生效越多；
-新增万圣节活动：
惊奇派对：使用糖果罐，开启惊喜糖果，赢取节日皮肤大奖及丰厚"&amp;"奖励！
节日豪礼：累计储值豪礼相送，获取机甲颜色涂装！
不给糖就捣蛋：收集南瓜币，获得丰厚奖励！有机会获取全新行军特效！
暗夜矿场：万圣节特别纪念矿场等你来探索！
南瓜有礼：购买南瓜礼包，即可解锁丰厚免费奖励！
充值豪礼：单次充值，获取超值奖励！
魅影对决：为你所在阵营的荣耀进行对决！
午夜讨价还价：危机四伏，谨慎出价！还价成功可低价购买超值道具！
璀璨之都：新主城特效-索命幽影即将登场，等你来拿！
-高级机甲战场优化：进行了数值平衡性调整；新增了小地图点击功能，移动视角更方便，助玩家轻松掌控全局；新增了"&amp;"标记功能，快捷简单沟通队友，增强团队配合；新增了部分技能音效，提供更好的感官体验；
-战装试炼场优化：新增了扫荡功能，帮助玩家更速通关！
-战车系统优化：优化了战车的移动速度；新增了战车相关的成就及勋章；新增了战车改名功能；优化了英勇不屈号的集结功能；优化了英勇不屈号的采集兵量选择。
-射击手兵种技能调整：子弹不再需要时间进行恢复，而且射击手进行兵种技能变身后可以进行移动；
-休眠舱优化：替换了休眠舱每日任务；
-教官委派优化：优化了委派教官的操作体验，已经委派的教官会出现在内城进行巡逻；
--聊天截图："&amp;"功能整体优化，新增延时截图功能，可以通过延时来截取不同界面的游戏画面；
-机甲皮肤：新增毒蝎机甲皮肤-毒蝎（暗影传说），猿族为了提升伏击战效果而改装的毒蝎机甲，如同暗夜中的幽魂，更隐秘，也更致命；
-新增全面抵御玩法：指挥官们需要召集帮派成员保卫配送站免受变异猴的进攻，期间可以选择强力增益助力防守，完成挑战还可获得额外奖励；
-塔防小游戏优化：优化了战场内的显示，进行了难度调整；
-王者之地优化：提升战场内的表现，增加了教学图鉴，增加boss点位显示，优化了战斗体验；
-迷雾优化：迷雾遮挡区与实际更加匹配"&amp;"；
-战地争锋战场优化：优化了界面显示。")</f>
        <v>-新增斗士：浴血教父-布雷克震撼登场！来自地下世界的枭雄，浴血奋战多年的帮派教父！
-新增斗士雕像：格兰特；
-生产工厂：新增地图置换工厂，指挥官可以每日并购新的地块，扩大工厂版图；新增工猴一键清空、快速调整功能；
-新增机师：亚历山大·怀尔德，伊莱·格兰姆斯，利亚姆·帕克，克莱尔·海斯，伊桑·布雷克，加布里奥·格雷；
-收藏品展厅增加6F新楼层，新楼层中的展台可以通过保养来增加展览时间，展览时间越长则展品的展览属性生效越多；
-新增万圣节活动：
惊奇派对：使用糖果罐，开启惊喜糖果，赢取节日皮肤大奖及丰厚奖励！
节日豪礼：累计储值豪礼相送，获取机甲颜色涂装！
不给糖就捣蛋：收集南瓜币，获得丰厚奖励！有机会获取全新行军特效！
暗夜矿场：万圣节特别纪念矿场等你来探索！
南瓜有礼：购买南瓜礼包，即可解锁丰厚免费奖励！
充值豪礼：单次充值，获取超值奖励！
魅影对决：为你所在阵营的荣耀进行对决！
午夜讨价还价：危机四伏，谨慎出价！还价成功可低价购买超值道具！
璀璨之都：新主城特效-索命幽影即将登场，等你来拿！
-高级机甲战场优化：进行了数值平衡性调整；新增了小地图点击功能，移动视角更方便，助玩家轻松掌控全局；新增了标记功能，快捷简单沟通队友，增强团队配合；新增了部分技能音效，提供更好的感官体验；
-战装试炼场优化：新增了扫荡功能，帮助玩家更速通关！
-战车系统优化：优化了战车的移动速度；新增了战车相关的成就及勋章；新增了战车改名功能；优化了英勇不屈号的集结功能；优化了英勇不屈号的采集兵量选择。
-射击手兵种技能调整：子弹不再需要时间进行恢复，而且射击手进行兵种技能变身后可以进行移动；
-休眠舱优化：替换了休眠舱每日任务；
-教官委派优化：优化了委派教官的操作体验，已经委派的教官会出现在内城进行巡逻；
--聊天截图：功能整体优化，新增延时截图功能，可以通过延时来截取不同界面的游戏画面；
-机甲皮肤：新增毒蝎机甲皮肤-毒蝎（暗影传说），猿族为了提升伏击战效果而改装的毒蝎机甲，如同暗夜中的幽魂，更隐秘，也更致命；
-新增全面抵御玩法：指挥官们需要召集帮派成员保卫配送站免受变异猴的进攻，期间可以选择强力增益助力防守，完成挑战还可获得额外奖励；
-塔防小游戏优化：优化了战场内的显示，进行了难度调整；
-王者之地优化：提升战场内的表现，增加了教学图鉴，增加boss点位显示，优化了战斗体验；
-迷雾优化：迷雾遮挡区与实际更加匹配；
-战地争锋战场优化：优化了界面显示。</v>
      </c>
      <c r="T60" s="148"/>
      <c r="U60" s="148"/>
      <c r="V60" s="148"/>
      <c r="W60" s="148"/>
      <c r="X60" s="148"/>
      <c r="Y60" s="148"/>
      <c r="Z60" s="148"/>
    </row>
    <row r="61">
      <c r="A61" s="167" t="str">
        <f>IFERROR(__xludf.DUMMYFUNCTION("""COMPUTED_VALUE"""),"0.70.0")</f>
        <v>0.70.0</v>
      </c>
      <c r="B61" s="148" t="str">
        <f>IFERROR(__xludf.DUMMYFUNCTION("""COMPUTED_VALUE"""),"-新增斗士：暗影骑士-夏洛特·罗西，那些罪大恶极的逃犯，必将在月光下得到审判！
-新增机甲：坚垒之心-战龟，极致的防御，摧毁敌人的一切妄想！
-新增斗士雕像：凯恩，来为你的城市增添更多光彩吧！
-新增天赋树：抗击，捍卫领土的强硬手段，痛击来犯者的最佳之选！
-新增丰收节活动：
丰收盛宴：使用美食奖券，赢取节日皮肤大奖及丰厚奖励！
丰收豪礼：累计储值，豪礼相送，机甲染色涂装、黑五折扣券等你来拿！
丰收乐章：每日登录，即可解锁丰厚奖励！
感恩厨房：收集感恩食材盒，提升活动等级，有机会获取全新行军特效-向阳而生"&amp;"！
充值豪礼：单次充值，获取超值奖励！
感恩丰收节：参与丰收庆典，收集感恩食材盒！
丰收节扭蛋机：消耗猩球物资，获得幸运扭蛋！
金秋探宝：地下探索宝藏，赢丰厚奖励！
-新增黑五活动：
黑五连锁：黑五限时开启！黑五、感恩节双节同庆！全年最高返利连锁，礼包总返利高达3000%-4500%！超值奖励等你来拿，双节同庆感恩有你！
黑五大回馈：黑五折扣大放送！满减商城限时开启，大额礼包低至50%折扣，全年一次，绝对不容错过！
黑五！全猿帮购：呼朋唤友来砍价，优惠好礼带回家！新增帮购通行证，欢乐币拿不停！更多道具上架"&amp;"，主城皮肤、铭牌、行军表情限时返场，砍价后入手只赚不亏！帮助砍价还有谢礼可领！
-新增语音功能：玩家可在聊天频道中发送语音消息；
-新增邮件文本复制功能：部分邮件内容可进行复制；
-新增活动玩法：进攻疯狂巨猿活动定期开启，和帮派成员踊跃参与，赢得大奖；
-气泡显示优化：建筑上方部分气泡，可以在建筑详情界面关闭；
-解锁提示优化：未解锁兵种技能时，兵种技能说明页增加解锁提示；
-侦察标识优化：现在侦察敌方主城后，会在界面上显示已侦察的标识，持续一段时间；
-休眠舱优化：休眠舱新增部分任务档位；
-决战卫星之"&amp;"巅优化：修复了联赛开启时，不能参与练习赛的问题。")</f>
        <v>-新增斗士：暗影骑士-夏洛特·罗西，那些罪大恶极的逃犯，必将在月光下得到审判！
-新增机甲：坚垒之心-战龟，极致的防御，摧毁敌人的一切妄想！
-新增斗士雕像：凯恩，来为你的城市增添更多光彩吧！
-新增天赋树：抗击，捍卫领土的强硬手段，痛击来犯者的最佳之选！
-新增丰收节活动：
丰收盛宴：使用美食奖券，赢取节日皮肤大奖及丰厚奖励！
丰收豪礼：累计储值，豪礼相送，机甲染色涂装、黑五折扣券等你来拿！
丰收乐章：每日登录，即可解锁丰厚奖励！
感恩厨房：收集感恩食材盒，提升活动等级，有机会获取全新行军特效-向阳而生！
充值豪礼：单次充值，获取超值奖励！
感恩丰收节：参与丰收庆典，收集感恩食材盒！
丰收节扭蛋机：消耗猩球物资，获得幸运扭蛋！
金秋探宝：地下探索宝藏，赢丰厚奖励！
-新增黑五活动：
黑五连锁：黑五限时开启！黑五、感恩节双节同庆！全年最高返利连锁，礼包总返利高达3000%-4500%！超值奖励等你来拿，双节同庆感恩有你！
黑五大回馈：黑五折扣大放送！满减商城限时开启，大额礼包低至50%折扣，全年一次，绝对不容错过！
黑五！全猿帮购：呼朋唤友来砍价，优惠好礼带回家！新增帮购通行证，欢乐币拿不停！更多道具上架，主城皮肤、铭牌、行军表情限时返场，砍价后入手只赚不亏！帮助砍价还有谢礼可领！
-新增语音功能：玩家可在聊天频道中发送语音消息；
-新增邮件文本复制功能：部分邮件内容可进行复制；
-新增活动玩法：进攻疯狂巨猿活动定期开启，和帮派成员踊跃参与，赢得大奖；
-气泡显示优化：建筑上方部分气泡，可以在建筑详情界面关闭；
-解锁提示优化：未解锁兵种技能时，兵种技能说明页增加解锁提示；
-侦察标识优化：现在侦察敌方主城后，会在界面上显示已侦察的标识，持续一段时间；
-休眠舱优化：休眠舱新增部分任务档位；
-决战卫星之巅优化：修复了联赛开启时，不能参与练习赛的问题。</v>
      </c>
      <c r="C61" s="148" t="str">
        <f>IFERROR(__xludf.DUMMYFUNCTION("""COMPUTED_VALUE"""),"-New Fighter: Shadow Knight—Charlotte Rossi. Those heinous fugitives will face judgment under the moonlight!
-New Mech: Heart of Bastion—WarTurtle. Ultimate defense that crushes all enemy delusions!
-New Fighter Statue: Kane. Add more brilliance to your c"&amp;"ity!
-New Talent Tree: Withstand—a powerful means of defending your territory and the best choice to strike invaders!
-New Thanksgiving Events:
  Harvest Feast: Use Gourmet Vouchers to win grand festival skins and abundant rewards!
  Gift of Harvest: Accu"&amp;"mulate recahrges to receive gifts. Mech Lacquer and Black Friday Discount Coupons await!
  Harvest Symphony: Log in daily to unlock generous rewards!
  Thanksgiving Kitchen: Collect Thanksgiving Ingredient Boxes to level up in the event for a chance to ob"&amp;"tain the new march effect—Sunward Journey!
  Recharge Rewards: Make a single purchase to receive exceptional rewards!
  Thanksgiving Harvest: Participate in harvest celebrations and collect Thanksgiving Ingredient Boxes!
  Thanksgiving Gacha Machine: Spen"&amp;"d supplies to get lucky gachas!
  Autumn Treasure Hunt: Explore underground treasures and win bountiful rewards!
-New Black Friday Events:
  Black Friday Chain: Limited-time Black Friday launch! Celebrate both Black Friday and Thanksgiving together! Enjoy"&amp;" the highest rebates of the year, with total pack rebates up to 3000%-4500%! Amazing rewards await; celebrate the double festivals and thank you for your support!
  Black Friday Mega Deals: Massive Black Friday discounts! The full-reduction store is open "&amp;"for a limited time, with packs up to 50% off. Once a year only—don't miss out!
  Black Friday! Ape Squad Bargain Hunt: Invite friends to bargain and bring home great deals! New Group Buy Pass available, earn Joy Coins non-stop! More items added, including"&amp;" city hall skins, nameplates, and marching emojis returning for a limited time. Score a deal and always come out ahead! Help others bargaining will receive a Bargaining Reward!
-New Audio Feature: Players can now send voice messages in chat channels;
-New"&amp;" Mail Text Copy Feature: Some mail content can now be copied;
-New Event Gameplay: The Attack on the Mad Giganto event will open regularly. Join with your gang members and win grand prizes;
-Bubble Display Optimization: Some bubbles above buildings can no"&amp;"w be turned off in the building details interface;
-Unlock Prompt Optimization: When unit skills are not unlocked, an unlock prompt is added to the unit skill description page;
-Scout Mark Optimization: After scouting an enemy's city, a scouted mark will "&amp;"appear on the interface for a period of time;
-Stasis Pod Optimization: New quests added to the Stasis Pod;
-Astral Coliseum Optimization: Fixed the issue where practice matches couldn't be joined when the tournament started.
")</f>
        <v>-New Fighter: Shadow Knight—Charlotte Rossi. Those heinous fugitives will face judgment under the moonlight!
-New Mech: Heart of Bastion—WarTurtle. Ultimate defense that crushes all enemy delusions!
-New Fighter Statue: Kane. Add more brilliance to your city!
-New Talent Tree: Withstand—a powerful means of defending your territory and the best choice to strike invaders!
-New Thanksgiving Events:
  Harvest Feast: Use Gourmet Vouchers to win grand festival skins and abundant rewards!
  Gift of Harvest: Accumulate recahrges to receive gifts. Mech Lacquer and Black Friday Discount Coupons await!
  Harvest Symphony: Log in daily to unlock generous rewards!
  Thanksgiving Kitchen: Collect Thanksgiving Ingredient Boxes to level up in the event for a chance to obtain the new march effect—Sunward Journey!
  Recharge Rewards: Make a single purchase to receive exceptional rewards!
  Thanksgiving Harvest: Participate in harvest celebrations and collect Thanksgiving Ingredient Boxes!
  Thanksgiving Gacha Machine: Spend supplies to get lucky gachas!
  Autumn Treasure Hunt: Explore underground treasures and win bountiful rewards!
-New Black Friday Events:
  Black Friday Chain: Limited-time Black Friday launch! Celebrate both Black Friday and Thanksgiving together! Enjoy the highest rebates of the year, with total pack rebates up to 3000%-4500%! Amazing rewards await; celebrate the double festivals and thank you for your support!
  Black Friday Mega Deals: Massive Black Friday discounts! The full-reduction store is open for a limited time, with packs up to 50% off. Once a year only—don't miss out!
  Black Friday! Ape Squad Bargain Hunt: Invite friends to bargain and bring home great deals! New Group Buy Pass available, earn Joy Coins non-stop! More items added, including city hall skins, nameplates, and marching emojis returning for a limited time. Score a deal and always come out ahead! Help others bargaining will receive a Bargaining Reward!
-New Audio Feature: Players can now send voice messages in chat channels;
-New Mail Text Copy Feature: Some mail content can now be copied;
-New Event Gameplay: The Attack on the Mad Giganto event will open regularly. Join with your gang members and win grand prizes;
-Bubble Display Optimization: Some bubbles above buildings can now be turned off in the building details interface;
-Unlock Prompt Optimization: When unit skills are not unlocked, an unlock prompt is added to the unit skill description page;
-Scout Mark Optimization: After scouting an enemy's city, a scouted mark will appear on the interface for a period of time;
-Stasis Pod Optimization: New quests added to the Stasis Pod;
-Astral Coliseum Optimization: Fixed the issue where practice matches couldn't be joined when the tournament started.
</v>
      </c>
      <c r="D61" s="148" t="str">
        <f>IFERROR(__xludf.DUMMYFUNCTION("""COMPUTED_VALUE"""),"-Nouveau combattant : Chevalier de l'Ombre—Charlotte Rossi. Ces fugitifs odieux feront face au jugement sous le clair de lune !
-Nouveau Mécha : Cœur du Bastion—Tortue de Guerre. Défense ultime qui écrase toutes les illusions ennemies !
-Nouvelle statue d"&amp;"e combattant : Kane. Ajoutez plus de brillance à votre ville !
-Nouvel arbre de talents : Résister—un moyen puissant de défendre votre territoire et le meilleur choix pour frapper les envahisseurs !
-Nouveaux événements de Thanksgiving :
  Festin des réco"&amp;"ltes : Utilisez des bons gourmets pour gagner des skins de festival grandioses et des récompenses abondantes !
  Cadeau de la récolte : Accumulez des recharges pour recevoir des cadeaux. Laque Mécha et coupons de réduction du Vendredi Noir vous attendent "&amp;"!
  Symphonie de la récolte : Connectez-vous quotidiennement pour débloquer des récompenses généreuses !
  Cuisine de Thanksgiving : Collectez des boîtes d'ingrédients de Thanksgiving pour monter de niveau dans l'événement et avoir une chance d'obtenir le"&amp;" nouvel effet de déplacement—Voyage vers le soleil !
  Récompenses de recharge : Faites un achat unique pour recevoir des récompenses exceptionnelles !
  Récolte de Thanksgiving : Participez aux célébrations de la récolte et collectez des boîtes d'ingrédi"&amp;"ents de Thanksgiving !
  Machine de Gacha de Thanksgiving : Dépensez des ressources pour obtenir des gachas chanceux !
  Chasse au Trésor d'Automne : Explorez les trésors souterrains et gagnez des récompenses abondantes !
-Nouveaux événements du Vendredi "&amp;"Noir :
  Chaîne du Vendredi Noir : Lancement limité du Vendredi Noir ! Célébrez à la fois le Vendredi Noir et Thanksgiving ensemble ! Profitez des plus hauts rabais de l'année, avec des rabais de packs allant jusqu'à 3000%-4500% ! Des récompenses incroyab"&amp;"les vous attendent ; célébrez les doubles festivals et merci pour votre soutien !
  Méga Offres du Vendredi Noir : Remises massives du Vendredi Noir ! Le magasin à réduction complète est ouvert pour une durée limitée, avec des packs jusqu'à 50% de réducti"&amp;"on. Une fois par an seulement—ne manquez pas !
  Vendredi Noir ! Chasse aux bonnes affaires de l'escouade des singes : Invitez des amis à marchander et ramenez de super affaires à la maison ! Nouveau Pass d'achat de groupe disponible, gagnez des Pièces de"&amp;" Joie sans arrêt ! Plus d'articles ajoutés, y compris des skins d'hôtel de ville, des plaques nominatives et des émoticônes de déplacement de retour pour une durée limitée. Faites une bonne affaire et sortez toujours gagnant ! Aider les autres à marchande"&amp;"r recevra une récompense de marchandage !
-Nouvelle fonctionnalité audio : Les joueurs peuvent désormais envoyer des messages vocaux dans les canaux de chat ;
-Nouvelle fonctionnalité de copie de texte de mail : Certains contenus de mail peuvent désormais"&amp;" être copiés ;
-Nouveau gameplay d'événement : L'événement Attaque sur le Giganto dément s'ouvrira régulièrement. Rejoignez vos membres de gang et gagnez des grands prix ;
-Optimisation de l'affichage des bulles : Certaines bulles au-dessus des bâtiments "&amp;"peuvent désormais être désactivées dans l'interface des détails du bâtiment ;
-Optimisation de l'invite de déblocage : Lorsque les compétences d'unité ne sont pas débloquées, une invite de déblocage est ajoutée à la page de description des compétences d'u"&amp;"nité ;
-Optimisation de la marque d'espionnage : Après avoir espionné la ville d'un ennemi, une marque d'espionnage apparaîtra sur l'interface pendant un certain temps ;
-Optimisation de la capsule de stase : Nouvelles quêtes ajoutées à la capsule de stas"&amp;"e ;
-Optimisation du Colisée astral : Correction du problème où les matchs d'entraînement ne pouvaient pas être rejoints lorsque le tournoi commençait.")</f>
        <v>-Nouveau combattant : Chevalier de l'Ombre—Charlotte Rossi. Ces fugitifs odieux feront face au jugement sous le clair de lune !
-Nouveau Mécha : Cœur du Bastion—Tortue de Guerre. Défense ultime qui écrase toutes les illusions ennemies !
-Nouvelle statue de combattant : Kane. Ajoutez plus de brillance à votre ville !
-Nouvel arbre de talents : Résister—un moyen puissant de défendre votre territoire et le meilleur choix pour frapper les envahisseurs !
-Nouveaux événements de Thanksgiving :
  Festin des récoltes : Utilisez des bons gourmets pour gagner des skins de festival grandioses et des récompenses abondantes !
  Cadeau de la récolte : Accumulez des recharges pour recevoir des cadeaux. Laque Mécha et coupons de réduction du Vendredi Noir vous attendent !
  Symphonie de la récolte : Connectez-vous quotidiennement pour débloquer des récompenses généreuses !
  Cuisine de Thanksgiving : Collectez des boîtes d'ingrédients de Thanksgiving pour monter de niveau dans l'événement et avoir une chance d'obtenir le nouvel effet de déplacement—Voyage vers le soleil !
  Récompenses de recharge : Faites un achat unique pour recevoir des récompenses exceptionnelles !
  Récolte de Thanksgiving : Participez aux célébrations de la récolte et collectez des boîtes d'ingrédients de Thanksgiving !
  Machine de Gacha de Thanksgiving : Dépensez des ressources pour obtenir des gachas chanceux !
  Chasse au Trésor d'Automne : Explorez les trésors souterrains et gagnez des récompenses abondantes !
-Nouveaux événements du Vendredi Noir :
  Chaîne du Vendredi Noir : Lancement limité du Vendredi Noir ! Célébrez à la fois le Vendredi Noir et Thanksgiving ensemble ! Profitez des plus hauts rabais de l'année, avec des rabais de packs allant jusqu'à 3000%-4500% ! Des récompenses incroyables vous attendent ; célébrez les doubles festivals et merci pour votre soutien !
  Méga Offres du Vendredi Noir : Remises massives du Vendredi Noir ! Le magasin à réduction complète est ouvert pour une durée limitée, avec des packs jusqu'à 50% de réduction. Une fois par an seulement—ne manquez pas !
  Vendredi Noir ! Chasse aux bonnes affaires de l'escouade des singes : Invitez des amis à marchander et ramenez de super affaires à la maison ! Nouveau Pass d'achat de groupe disponible, gagnez des Pièces de Joie sans arrêt ! Plus d'articles ajoutés, y compris des skins d'hôtel de ville, des plaques nominatives et des émoticônes de déplacement de retour pour une durée limitée. Faites une bonne affaire et sortez toujours gagnant ! Aider les autres à marchander recevra une récompense de marchandage !
-Nouvelle fonctionnalité audio : Les joueurs peuvent désormais envoyer des messages vocaux dans les canaux de chat ;
-Nouvelle fonctionnalité de copie de texte de mail : Certains contenus de mail peuvent désormais être copiés ;
-Nouveau gameplay d'événement : L'événement Attaque sur le Giganto dément s'ouvrira régulièrement. Rejoignez vos membres de gang et gagnez des grands prix ;
-Optimisation de l'affichage des bulles : Certaines bulles au-dessus des bâtiments peuvent désormais être désactivées dans l'interface des détails du bâtiment ;
-Optimisation de l'invite de déblocage : Lorsque les compétences d'unité ne sont pas débloquées, une invite de déblocage est ajoutée à la page de description des compétences d'unité ;
-Optimisation de la marque d'espionnage : Après avoir espionné la ville d'un ennemi, une marque d'espionnage apparaîtra sur l'interface pendant un certain temps ;
-Optimisation de la capsule de stase : Nouvelles quêtes ajoutées à la capsule de stase ;
-Optimisation du Colisée astral : Correction du problème où les matchs d'entraînement ne pouvaient pas être rejoints lorsque le tournoi commençait.</v>
      </c>
      <c r="E61" s="148" t="str">
        <f>IFERROR(__xludf.DUMMYFUNCTION("""COMPUTED_VALUE"""),"-Neuer Kämpfer: Schattenritter—Charlotte Rossi. Diese abscheulichen Flüchtlinge werden im Mondlicht gerichtet!
-Neuer Mech: Herz der Bastion—KriegsSchildkröte. Ultimative Verteidigung, die alle feindlichen Illusionen zerschmettert!
-Neue Kämpfer-Statue: K"&amp;"ane. Füge deiner Stadt mehr Glanz hinzu!
-Neuer Talentbaum: Widerstehen—ein mächtiges Mittel zur Verteidigung deines Territoriums und die beste Wahl, um Invasoren zu schlagen!
-Neue Thanksgiving-Events:
  Ernte-Festmahl: Verwende Gourmet-Gutscheine, um gr"&amp;"oßartige Fest-Skins und reichliche Belohnungen zu gewinnen!
  Geschenk der Ernte: Sammle Aufladungen, um Geschenke zu erhalten. Mech-Lack und Black Friday Rabatt-Coupons warten!
  Ernte-Sinfonie: Melde dich täglich an, um großzügige Belohnungen freizuscha"&amp;"lten!
  Thanksgiving-Küche: Sammle Thanksgiving-Zutatenboxen, um im Event aufzusteigen und die Chance zu erhalten, den neuen Marscheffekt—Reise zur Sonne zu erhalten!
  Auflade-Belohnungen: Tätige einen Einzelkauf, um außergewöhnliche Belohnungen zu erhal"&amp;"ten!
  Thanksgiving-Ernte: Nimm an Erntefeiern teil und sammle Thanksgiving-Zutatenboxen!
  Thanksgiving-Gacha-Maschine: Gib Vorräte aus, um glückliche Gachas zu erhalten!
  Herbst-Schatzsuche: Erkunde unterirdische Schätze und gewinne reichliche Belohnun"&amp;"gen!
-Neue Black Friday-Events:
  Black Friday-Kette: Black Friday-Start für begrenzte Zeit! Feiere sowohl Black Friday als auch Thanksgiving zusammen! Genieße die höchsten Rabatte des Jahres, mit Gesamtpaket-Rabatten von bis zu 3000%-4500%! Erstaunliche "&amp;"Belohnungen warten; feiere die Doppel-Festivals und danke dir für deine Unterstützung!
  Black Friday Mega-Angebote: Massive Black Friday-Rabatte! Der Vollreduktionsladen ist für begrenzte Zeit geöffnet, mit Paketen bis zu 50% Rabatt. Nur einmal im Jahr—v"&amp;"erpasse es nicht!
  Black Friday! Ape Squad Schnäppchenjagd: Lade Freunde ein, um zu verhandeln und großartige Angebote nach Hause zu bringen! Neuer Gruppen-Kaufpass verfügbar, verdiene ununterbrochen Freudenmünzen! Mehr Artikel hinzugefügt, einschließlic"&amp;"h Rathaus-Skins, Namensschilder und marschierende Emojis, die für begrenzte Zeit zurückkehren. Schnapp dir ein Angebot und sei immer im Vorteil! Anderen beim Verhandeln zu helfen, wird eine Schnäppchen-Belohnung erhalten!
-Neues Audio-Feature: Spieler kön"&amp;"nen jetzt Sprachnachrichten in Chat-Kanälen senden;
-Neues Mail-Text-Kopier-Feature: Einige Mail-Inhalte können jetzt kopiert werden;
-Neues Event-Gameplay: Das Event Angriff auf den Verrückten Giganto wird regelmäßig geöffnet. Schließe dich mit deinen Cl"&amp;"an-Mitgliedern zusammen und gewinne Hauptpreise;
-Blasenanzeige-Optimierung: Einige Blasen über Gebäuden können jetzt in der Gebäude-Details-Oberfläche ausgeschaltet werden;
-Freischalt-Hinweis-Optimierung: Wenn Einheiten-Fähigkeiten nicht freigeschaltet "&amp;"sind, wird ein Freischalt-Hinweis zur Einheiten-Fähigkeitsbeschreibung hinzugefügt;
-Spähmarkierungs-Optimierung: Nach dem Ausspähen der Stadt eines Feindes erscheint für eine gewisse Zeit eine ausgespähte Markierung auf der Oberfläche;
-Stasiskapsel-Opti"&amp;"mierung: Neue Quests zur Stasiskapsel hinzugefügt;
-Astral-Kolosseum-Optimierung: Das Problem, dass Übungsmatches nicht beigetreten werden konnten, wenn das Turnier begann, wurde behoben.")</f>
        <v>-Neuer Kämpfer: Schattenritter—Charlotte Rossi. Diese abscheulichen Flüchtlinge werden im Mondlicht gerichtet!
-Neuer Mech: Herz der Bastion—KriegsSchildkröte. Ultimative Verteidigung, die alle feindlichen Illusionen zerschmettert!
-Neue Kämpfer-Statue: Kane. Füge deiner Stadt mehr Glanz hinzu!
-Neuer Talentbaum: Widerstehen—ein mächtiges Mittel zur Verteidigung deines Territoriums und die beste Wahl, um Invasoren zu schlagen!
-Neue Thanksgiving-Events:
  Ernte-Festmahl: Verwende Gourmet-Gutscheine, um großartige Fest-Skins und reichliche Belohnungen zu gewinnen!
  Geschenk der Ernte: Sammle Aufladungen, um Geschenke zu erhalten. Mech-Lack und Black Friday Rabatt-Coupons warten!
  Ernte-Sinfonie: Melde dich täglich an, um großzügige Belohnungen freizuschalten!
  Thanksgiving-Küche: Sammle Thanksgiving-Zutatenboxen, um im Event aufzusteigen und die Chance zu erhalten, den neuen Marscheffekt—Reise zur Sonne zu erhalten!
  Auflade-Belohnungen: Tätige einen Einzelkauf, um außergewöhnliche Belohnungen zu erhalten!
  Thanksgiving-Ernte: Nimm an Erntefeiern teil und sammle Thanksgiving-Zutatenboxen!
  Thanksgiving-Gacha-Maschine: Gib Vorräte aus, um glückliche Gachas zu erhalten!
  Herbst-Schatzsuche: Erkunde unterirdische Schätze und gewinne reichliche Belohnungen!
-Neue Black Friday-Events:
  Black Friday-Kette: Black Friday-Start für begrenzte Zeit! Feiere sowohl Black Friday als auch Thanksgiving zusammen! Genieße die höchsten Rabatte des Jahres, mit Gesamtpaket-Rabatten von bis zu 3000%-4500%! Erstaunliche Belohnungen warten; feiere die Doppel-Festivals und danke dir für deine Unterstützung!
  Black Friday Mega-Angebote: Massive Black Friday-Rabatte! Der Vollreduktionsladen ist für begrenzte Zeit geöffnet, mit Paketen bis zu 50% Rabatt. Nur einmal im Jahr—verpasse es nicht!
  Black Friday! Ape Squad Schnäppchenjagd: Lade Freunde ein, um zu verhandeln und großartige Angebote nach Hause zu bringen! Neuer Gruppen-Kaufpass verfügbar, verdiene ununterbrochen Freudenmünzen! Mehr Artikel hinzugefügt, einschließlich Rathaus-Skins, Namensschilder und marschierende Emojis, die für begrenzte Zeit zurückkehren. Schnapp dir ein Angebot und sei immer im Vorteil! Anderen beim Verhandeln zu helfen, wird eine Schnäppchen-Belohnung erhalten!
-Neues Audio-Feature: Spieler können jetzt Sprachnachrichten in Chat-Kanälen senden;
-Neues Mail-Text-Kopier-Feature: Einige Mail-Inhalte können jetzt kopiert werden;
-Neues Event-Gameplay: Das Event Angriff auf den Verrückten Giganto wird regelmäßig geöffnet. Schließe dich mit deinen Clan-Mitgliedern zusammen und gewinne Hauptpreise;
-Blasenanzeige-Optimierung: Einige Blasen über Gebäuden können jetzt in der Gebäude-Details-Oberfläche ausgeschaltet werden;
-Freischalt-Hinweis-Optimierung: Wenn Einheiten-Fähigkeiten nicht freigeschaltet sind, wird ein Freischalt-Hinweis zur Einheiten-Fähigkeitsbeschreibung hinzugefügt;
-Spähmarkierungs-Optimierung: Nach dem Ausspähen der Stadt eines Feindes erscheint für eine gewisse Zeit eine ausgespähte Markierung auf der Oberfläche;
-Stasiskapsel-Optimierung: Neue Quests zur Stasiskapsel hinzugefügt;
-Astral-Kolosseum-Optimierung: Das Problem, dass Übungsmatches nicht beigetreten werden konnten, wenn das Turnier begann, wurde behoben.</v>
      </c>
      <c r="F61" s="148" t="str">
        <f>IFERROR(__xludf.DUMMYFUNCTION("""COMPUTED_VALUE"""),"-Novo Combatente: Cavaleiro Sombrio—Charlotte Rossi. Aqueles fugitivos hediondos enfrentarão o julgamento sob o luar!
-Novo Mech: Coração do Bastião—GuerraTartaruga. Defesa suprema que destrói todas as ilusões inimigas!
-Nova Estátua Combatente: Kane. Adi"&amp;"cione mais brilho à sua cidade!
-Nova Árvore de Talentos: Resistir—um meio poderoso de defender seu território e a melhor escolha para atacar invasores!
-Novos Eventos de Ação de Graças:
  Banquete da Colheita: Use Vales Gourmet para ganhar skins de festi"&amp;"val grandiosas e recompensas abundantes!
  Presente da Colheita: Acumule recargas para receber presentes. Laca de Mech e Cupons de Desconto da Sexta-feira Negra aguardam!
  Sinfonia da Colheita: Faça login diariamente para desbloquear recompensas generosa"&amp;"s!
  Cozinha de Ação de Graças: Colete Caixas de Ingredientes de Ação de Graças para subir de nível no evento e ter a chance de obter o novo efeito de marcha—Jornada ao Sol!
  Recompensas de Recarga: Faça uma única compra para receber recompensas excepcio"&amp;"nais!
  Colheita de Ação de Graças: Participe das celebrações da colheita e colete Caixas de Ingredientes de Ação de Graças!
  Máquina de Gacha de Ação de Graças: Gaste suprimentos para obter gachas sortudas!
  Caça ao Tesouro de Outono: Explore tesouros "&amp;"subterrâneos e ganhe recompensas abundantes!
-Novos Eventos de Sexta-feira Negra:
  Corrente da Sexta-feira Negra: Lançamento de tempo limitado da Sexta-feira Negra! Celebre tanto a Sexta-feira Negra quanto o Dia de Ação de Graças juntos! Aproveite os mai"&amp;"ores reembolsos do ano, com reembolsos totais de pacotes de até 3000%-4500%! Recompensas incríveis aguardam; celebre os festivais duplos e obrigado pelo seu apoio!
  Mega Ofertas de Sexta-feira Negra: Descontos massivos na Sexta-feira Negra! A loja de red"&amp;"ução total está aberta por tempo limitado, com pacotes de até 50% de desconto. Apenas uma vez por ano—não perca!
  Sexta-feira Negra! Caça à Pechincha da Equipe de Macacos: Convide amigos para pechinchar e leve para casa ótimas ofertas! Novo Passe de Comp"&amp;"ra em Grupo disponível, ganhe Moedas da Alegria sem parar! Mais itens adicionados, incluindo skins da prefeitura, tabuleiros e emojis de marcha retornando por tempo limitado. Faça um bom negócio e sempre saia na frente! Ajudar outros a pechinchar receberá"&amp;" uma Recompensa de Pechincha!
-Nova Funcionalidade de Áudio: Os jogadores agora podem enviar mensagens de voz nos canais de bate-papo;
-Nova Funcionalidade de Cópia de Texto de Correio: Alguns conteúdos de correio agora podem ser copiados;
-Nova Mecânica "&amp;"de Evento: O evento Ataque ao Giganto Louco será aberto regularmente. Junte-se aos membros da sua gangue e ganhe grandes prêmios;
-Otimização de Exibição de Bolhas: Algumas bolhas acima dos edifícios agora podem ser desligadas na interface de detalhes do "&amp;"edifício;
-Otimização de Prompt de Desbloqueio: Quando as habilidades de unidade não estão desbloqueadas, um prompt de desbloqueio é adicionado à página de descrição da habilidade da unidade;
-Otimização de Marca de Espionagem: Após espionar a cidade de u"&amp;"m inimigo, uma marca de espionado aparecerá na interface por um período de tempo;
-Otimização da Cápsula de Estase: Novas missões adicionadas à Cápsula de Estase;
-Otimização do Coliseu Astral: Corrigido o problema onde partidas de treino não podiam ser i"&amp;"ngressadas quando o torneio começava.")</f>
        <v>-Novo Combatente: Cavaleiro Sombrio—Charlotte Rossi. Aqueles fugitivos hediondos enfrentarão o julgamento sob o luar!
-Novo Mech: Coração do Bastião—GuerraTartaruga. Defesa suprema que destrói todas as ilusões inimigas!
-Nova Estátua Combatente: Kane. Adicione mais brilho à sua cidade!
-Nova Árvore de Talentos: Resistir—um meio poderoso de defender seu território e a melhor escolha para atacar invasores!
-Novos Eventos de Ação de Graças:
  Banquete da Colheita: Use Vales Gourmet para ganhar skins de festival grandiosas e recompensas abundantes!
  Presente da Colheita: Acumule recargas para receber presentes. Laca de Mech e Cupons de Desconto da Sexta-feira Negra aguardam!
  Sinfonia da Colheita: Faça login diariamente para desbloquear recompensas generosas!
  Cozinha de Ação de Graças: Colete Caixas de Ingredientes de Ação de Graças para subir de nível no evento e ter a chance de obter o novo efeito de marcha—Jornada ao Sol!
  Recompensas de Recarga: Faça uma única compra para receber recompensas excepcionais!
  Colheita de Ação de Graças: Participe das celebrações da colheita e colete Caixas de Ingredientes de Ação de Graças!
  Máquina de Gacha de Ação de Graças: Gaste suprimentos para obter gachas sortudas!
  Caça ao Tesouro de Outono: Explore tesouros subterrâneos e ganhe recompensas abundantes!
-Novos Eventos de Sexta-feira Negra:
  Corrente da Sexta-feira Negra: Lançamento de tempo limitado da Sexta-feira Negra! Celebre tanto a Sexta-feira Negra quanto o Dia de Ação de Graças juntos! Aproveite os maiores reembolsos do ano, com reembolsos totais de pacotes de até 3000%-4500%! Recompensas incríveis aguardam; celebre os festivais duplos e obrigado pelo seu apoio!
  Mega Ofertas de Sexta-feira Negra: Descontos massivos na Sexta-feira Negra! A loja de redução total está aberta por tempo limitado, com pacotes de até 50% de desconto. Apenas uma vez por ano—não perca!
  Sexta-feira Negra! Caça à Pechincha da Equipe de Macacos: Convide amigos para pechinchar e leve para casa ótimas ofertas! Novo Passe de Compra em Grupo disponível, ganhe Moedas da Alegria sem parar! Mais itens adicionados, incluindo skins da prefeitura, tabuleiros e emojis de marcha retornando por tempo limitado. Faça um bom negócio e sempre saia na frente! Ajudar outros a pechinchar receberá uma Recompensa de Pechincha!
-Nova Funcionalidade de Áudio: Os jogadores agora podem enviar mensagens de voz nos canais de bate-papo;
-Nova Funcionalidade de Cópia de Texto de Correio: Alguns conteúdos de correio agora podem ser copiados;
-Nova Mecânica de Evento: O evento Ataque ao Giganto Louco será aberto regularmente. Junte-se aos membros da sua gangue e ganhe grandes prêmios;
-Otimização de Exibição de Bolhas: Algumas bolhas acima dos edifícios agora podem ser desligadas na interface de detalhes do edifício;
-Otimização de Prompt de Desbloqueio: Quando as habilidades de unidade não estão desbloqueadas, um prompt de desbloqueio é adicionado à página de descrição da habilidade da unidade;
-Otimização de Marca de Espionagem: Após espionar a cidade de um inimigo, uma marca de espionado aparecerá na interface por um período de tempo;
-Otimização da Cápsula de Estase: Novas missões adicionadas à Cápsula de Estase;
-Otimização do Coliseu Astral: Corrigido o problema onde partidas de treino não podiam ser ingressadas quando o torneio começava.</v>
      </c>
      <c r="G61" s="148" t="str">
        <f>IFERROR(__xludf.DUMMYFUNCTION("""COMPUTED_VALUE"""),"-新增鬥士：暗影騎士-夏洛特·羅西，那些罪大惡極的逃犯，必將在月光下得到審判！
-新增機甲：堅壘之心-戰龜，極致的防禦，摧毀敵人的一切妄想！
-新增鬥士雕像：凱恩，來為你的城市增添更多光彩吧！
-新增天賦樹：抗擊，捍衛領土的強硬手段，痛擊來犯者的最佳之選！
-新增豐收節活動：
豐收盛宴：使用美食獎券，贏取節日皮膚大獎及豐厚獎勵！
豐收豪禮：累計儲值，豪禮相送，機甲染色塗裝、黑五折扣券等你來拿！
豐收樂章：每日登入，即可解鎖豐厚獎勵！
感恩廚房：收集感恩食材盒，提升活動等級，有機會獲取全新行軍特效-向陽而生"&amp;"！
充值豪禮：單次充值，獲取超值獎勵！
感恩豐收節：參與豐收慶典，收集感恩食材盒！
豐收節扭蛋機：消耗猩球物資，獲得幸運扭蛋！
金秋探寶：地下探索寶藏，贏豐厚獎勵！
-新增黑五活動：
黑五連鎖：黑五限時開啟！黑五、感恩節雙節同慶！全年最高返利連鎖，禮包總返利高達3000%-4500%！超值獎勵等你來拿，雙節同慶感恩有你！
黑五大回饋：黑五折扣大放送！滿減商城限時開啟，大額禮包低至50%折扣，全年一次，絕對不容錯過！
黑五！全猿幫購：呼朋喚友來砍價，優惠好禮帶回家！新增幫購通行證，歡樂幣拿不停！更多道具上架"&amp;"，主城皮膚、銘牌、行軍表情限時返場，砍價後入手只賺不虧！協助砍價還有謝禮可領！
-新增語音功能：玩家可在聊天頻道中發送語音訊息；
-新增郵件文本複製功能：部分郵件內容可進行複製；
-新增活動玩法：進攻瘋狂巨猿活動定期開啟，和成員踴躍參與，贏得大獎；
-氣泡顯示優化：建築上方部分氣泡，可以在建築詳情界面關閉；
-解鎖提示優化：未解鎖兵種技能時，兵種技能說明頁增加解鎖提示；
-偵察標識優化：現在偵察敵方主城後，會在界面上顯示已偵測的標識，持續一段時間；
-休眠艙優化：休眠艙新增部分任務檔位；
-決戰衛星之巔優"&amp;"化：修復了聯賽開啟時，不能參與練習賽的問題。")</f>
        <v>-新增鬥士：暗影騎士-夏洛特·羅西，那些罪大惡極的逃犯，必將在月光下得到審判！
-新增機甲：堅壘之心-戰龜，極致的防禦，摧毀敵人的一切妄想！
-新增鬥士雕像：凱恩，來為你的城市增添更多光彩吧！
-新增天賦樹：抗擊，捍衛領土的強硬手段，痛擊來犯者的最佳之選！
-新增豐收節活動：
豐收盛宴：使用美食獎券，贏取節日皮膚大獎及豐厚獎勵！
豐收豪禮：累計儲值，豪禮相送，機甲染色塗裝、黑五折扣券等你來拿！
豐收樂章：每日登入，即可解鎖豐厚獎勵！
感恩廚房：收集感恩食材盒，提升活動等級，有機會獲取全新行軍特效-向陽而生！
充值豪禮：單次充值，獲取超值獎勵！
感恩豐收節：參與豐收慶典，收集感恩食材盒！
豐收節扭蛋機：消耗猩球物資，獲得幸運扭蛋！
金秋探寶：地下探索寶藏，贏豐厚獎勵！
-新增黑五活動：
黑五連鎖：黑五限時開啟！黑五、感恩節雙節同慶！全年最高返利連鎖，禮包總返利高達3000%-4500%！超值獎勵等你來拿，雙節同慶感恩有你！
黑五大回饋：黑五折扣大放送！滿減商城限時開啟，大額禮包低至50%折扣，全年一次，絕對不容錯過！
黑五！全猿幫購：呼朋喚友來砍價，優惠好禮帶回家！新增幫購通行證，歡樂幣拿不停！更多道具上架，主城皮膚、銘牌、行軍表情限時返場，砍價後入手只賺不虧！協助砍價還有謝禮可領！
-新增語音功能：玩家可在聊天頻道中發送語音訊息；
-新增郵件文本複製功能：部分郵件內容可進行複製；
-新增活動玩法：進攻瘋狂巨猿活動定期開啟，和成員踴躍參與，贏得大獎；
-氣泡顯示優化：建築上方部分氣泡，可以在建築詳情界面關閉；
-解鎖提示優化：未解鎖兵種技能時，兵種技能說明頁增加解鎖提示；
-偵察標識優化：現在偵察敵方主城後，會在界面上顯示已偵測的標識，持續一段時間；
-休眠艙優化：休眠艙新增部分任務檔位；
-決戰衛星之巔優化：修復了聯賽開啟時，不能參與練習賽的問題。</v>
      </c>
      <c r="H61" s="148" t="str">
        <f>IFERROR(__xludf.DUMMYFUNCTION("""COMPUTED_VALUE"""),"-Pejuang Baru: Ksatria Bayangan—Charlotte Rossi. Para buronan jahat itu akan menghadapi penghakiman di bawah sinar bulan!
-Mekanik Baru: Hati Benteng—Kura-Kura Perang. Pertahanan utama yang menghancurkan semua ilusi musuh!
-Patung Pejuang Baru: Kane. Tamb"&amp;"ahkan lebih banyak kemegahan ke kota kamu!
-Pohon Bakat Baru: Menahan—cara kuat untuk mempertahankan wilayahmu dan pilihan terbaik untuk menyerang penyusup!
-Acara Thanksgiving Baru:
  Pesta Panen: Gunakan Voucher Gourmet untuk memenangkan skin festival b"&amp;"esar dan hadiah berlimpah!
  Hadiah Panen: Kumpulkan isi ulang untuk menerima hadiah. Mekanik Lacquer dan Kupon Diskon Black Friday menunggu!
  Simfoni Panen: Masuk setiap hari untuk membuka hadiah yang murah hati!
  Dapur Thanksgiving: Kumpulkan Kotak Ba"&amp;"han Thanksgiving untuk naik level dalam acara dan berkesempatan mendapatkan efek barisan baru—Perjalanan Menuju Matahari!
  Hadiah Isi Ulang: Lakukan pembelian tunggal untuk menerima hadiah luar biasa!
  Panen Thanksgiving: Berpartisipasi dalam perayaan p"&amp;"anen dan kumpulkan Kotak Bahan Thanksgiving!
  Mesin Gacha Thanksgiving: Habiskan suplai untuk mendapatkan gacha beruntung!
  Perburuan Harta Karun Musim Gugur: Jelajahi harta bawah tanah dan menangkan hadiah berlimpah!
-Acara Black Friday Baru:
  Rantai "&amp;"Black Friday: Peluncuran Black Friday terbatas waktu! Rayakan Black Friday dan Thanksgiving bersama! Nikmati pengembalian tertinggi tahun ini, dengan pengembalian paket total hingga 3000%-4500%! Hadiah luar biasa menunggu; rayakan festival ganda dan terim"&amp;"a kasih atas dukunganmu!
  Penawaran Mega Black Friday: Diskon besar-besaran Black Friday! Toko pengurangan penuh terbuka untuk waktu terbatas, dengan paket diskon hingga 50%. Hanya sekali setahun—jangan lewatkan!
  Black Friday! Perburuan Tawar-Menawar P"&amp;"asukan Kera: Undang teman untuk tawar-menawar dan bawa pulang penawaran hebat! Pass Pembelian Grup Baru tersedia, dapatkan Koin Kebahagiaan tanpa henti! Lebih banyak item ditambahkan, termasuk skin balai kota, pelat nama, dan emoji berbaris kembali untuk "&amp;"waktu terbatas. Dapatkan penawaran dan selalu unggul! Membantu orang lain tawar-menawar akan menerima Hadiah Tawar-Menawar!
-Fitur Audio Baru: Pemain sekarang dapat mengirim pesan suara di saluran obrolan;
-Fitur Salin Teks Surat Baru: Beberapa konten sur"&amp;"at sekarang dapat disalin;
-Gameplay Acara Baru: Acara Serangan pada Giganto Gila akan dibuka secara teratur. Bergabunglah dengan anggota gengmu dan menangkan hadiah besar;
-Optimasi Tampilan Gelembung: Beberapa gelembung di atas bangunan sekarang dapat d"&amp;"imatikan di antarmuka rincian bangunan;
-Optimasi Prompt Buka Kunci: Ketika keahlian unit tidak terbuka, prompt buka kunci ditambahkan ke halaman deskripsi keahlian unit;
-Optimasi Tanda Intai: Setelah mengintai kota musuh, tanda intai akan muncul di anta"&amp;"rmuka untuk jangka waktu tertentu;
-Optimasi Pod Stasis: Misi baru ditambahkan ke Pod Stasis;
-Optimasi Koloseum Astral: Memperbaiki masalah di mana pertandingan latihan tidak bisa diikuti saat turnamen dimulai.")</f>
        <v>-Pejuang Baru: Ksatria Bayangan—Charlotte Rossi. Para buronan jahat itu akan menghadapi penghakiman di bawah sinar bulan!
-Mekanik Baru: Hati Benteng—Kura-Kura Perang. Pertahanan utama yang menghancurkan semua ilusi musuh!
-Patung Pejuang Baru: Kane. Tambahkan lebih banyak kemegahan ke kota kamu!
-Pohon Bakat Baru: Menahan—cara kuat untuk mempertahankan wilayahmu dan pilihan terbaik untuk menyerang penyusup!
-Acara Thanksgiving Baru:
  Pesta Panen: Gunakan Voucher Gourmet untuk memenangkan skin festival besar dan hadiah berlimpah!
  Hadiah Panen: Kumpulkan isi ulang untuk menerima hadiah. Mekanik Lacquer dan Kupon Diskon Black Friday menunggu!
  Simfoni Panen: Masuk setiap hari untuk membuka hadiah yang murah hati!
  Dapur Thanksgiving: Kumpulkan Kotak Bahan Thanksgiving untuk naik level dalam acara dan berkesempatan mendapatkan efek barisan baru—Perjalanan Menuju Matahari!
  Hadiah Isi Ulang: Lakukan pembelian tunggal untuk menerima hadiah luar biasa!
  Panen Thanksgiving: Berpartisipasi dalam perayaan panen dan kumpulkan Kotak Bahan Thanksgiving!
  Mesin Gacha Thanksgiving: Habiskan suplai untuk mendapatkan gacha beruntung!
  Perburuan Harta Karun Musim Gugur: Jelajahi harta bawah tanah dan menangkan hadiah berlimpah!
-Acara Black Friday Baru:
  Rantai Black Friday: Peluncuran Black Friday terbatas waktu! Rayakan Black Friday dan Thanksgiving bersama! Nikmati pengembalian tertinggi tahun ini, dengan pengembalian paket total hingga 3000%-4500%! Hadiah luar biasa menunggu; rayakan festival ganda dan terima kasih atas dukunganmu!
  Penawaran Mega Black Friday: Diskon besar-besaran Black Friday! Toko pengurangan penuh terbuka untuk waktu terbatas, dengan paket diskon hingga 50%. Hanya sekali setahun—jangan lewatkan!
  Black Friday! Perburuan Tawar-Menawar Pasukan Kera: Undang teman untuk tawar-menawar dan bawa pulang penawaran hebat! Pass Pembelian Grup Baru tersedia, dapatkan Koin Kebahagiaan tanpa henti! Lebih banyak item ditambahkan, termasuk skin balai kota, pelat nama, dan emoji berbaris kembali untuk waktu terbatas. Dapatkan penawaran dan selalu unggul! Membantu orang lain tawar-menawar akan menerima Hadiah Tawar-Menawar!
-Fitur Audio Baru: Pemain sekarang dapat mengirim pesan suara di saluran obrolan;
-Fitur Salin Teks Surat Baru: Beberapa konten surat sekarang dapat disalin;
-Gameplay Acara Baru: Acara Serangan pada Giganto Gila akan dibuka secara teratur. Bergabunglah dengan anggota gengmu dan menangkan hadiah besar;
-Optimasi Tampilan Gelembung: Beberapa gelembung di atas bangunan sekarang dapat dimatikan di antarmuka rincian bangunan;
-Optimasi Prompt Buka Kunci: Ketika keahlian unit tidak terbuka, prompt buka kunci ditambahkan ke halaman deskripsi keahlian unit;
-Optimasi Tanda Intai: Setelah mengintai kota musuh, tanda intai akan muncul di antarmuka untuk jangka waktu tertentu;
-Optimasi Pod Stasis: Misi baru ditambahkan ke Pod Stasis;
-Optimasi Koloseum Astral: Memperbaiki masalah di mana pertandingan latihan tidak bisa diikuti saat turnamen dimulai.</v>
      </c>
      <c r="I61" s="148" t="str">
        <f>IFERROR(__xludf.DUMMYFUNCTION("""COMPUTED_VALUE"""),"-นักสู้ตัวใหม่: อัศวินเงา—ชาร์ล็อตต์ รอสซี่ พวกผู้ลี้ภัยที่ชั่วร้ายจะต้องเผชิญกับการตัดสินภายใต้แสงจันทร์!
-เมคใหม่: หัวใจแห่งปราการ—เต่าศึก การป้องกันขั้นสูงสุดที่บดขยี้ความเพ้อฝันของศัตรูทั้งหมด!
-รูปปั้นนักสู้ตัวใหม่: เคน เพิ่มความงดงามให้กับเมืองของคุ"&amp;"ณ!
-ต้นไม้ความสามารถใหม่: ทนทาน—วิธีการป้องกันอาณาเขตของคุณที่ทรงพลังและเป็นตัวเลือกที่ดีที่สุดในการโจมตีผู้รุกราน!
-กิจกรรมวันขอบคุณพระเจ้าใหม่:
  งานเลี้ยงเก็บเกี่ยว: ใช้บัตรกำนัลอาหารเพื่อชนะสกินเทศกาลใหญ่และรางวัลมากมาย!
  ของขวัญเก็บเกี่ยว: สะสมการเต"&amp;"ิมเงินเพื่อรับของขวัญ เมคแลคเกอร์และคูปองส่วนลดวันศุกร์ที่สีดำรออยู่!
  ซิมโฟนีเก็บเกี่ยว: ล็อคอินทุกวันเพื่อปลดล็อกรางวัลมากมาย!
  ห้องครัววันขอบคุณพระเจ้า: เก็บกล่องส่วนผสมวันขอบคุณพระเจ้าเพื่อเลเวลอัปในกิจกรรมและมีโอกาสได้รับเอฟเฟกต์การเดินทัพใหม่—การเ"&amp;"ดินทางสู่ดวงอาทิตย์!
  รางวัลการเติมเงิน: ทำการซื้อครั้งเดียวเพื่อรับรางวัลพิเศษ!
  งานเก็บเกี่ยวขอบคุณพระเจ้า: เข้าร่วมการเฉลิมฉลองการเก็บเกี่ยวและเก็บกล่องส่วนผสมวันขอบคุณพระเจ้า!
  เครื่องกาชาขอบคุณพระเจ้า: ใช้เสบียงเพื่อรับกาชาโชคดี!
  ล่าสมบัติฤดูใบไ"&amp;"ม้ร่วง: สำรวจสมบัติใต้ดินและชนะรางวัลมากมาย!
-กิจกรรมวันศุกร์ที่สีดำใหม่:
  โซ่วันศุกร์ที่สีดำ: การเปิดตัววันศุกร์ที่สีดำในช่วงเวลาจำกัด! เฉลิมฉลองทั้งวันศุกร์ที่สีดำและวันขอบคุณพระเจ้าด้วยกัน! เพลิดเพลินกับการคืนเงินสูงสุดของปี โดยมีการคืนเงินแพ็กทั้งหมด"&amp;"สูงสุดถึง 3000%-4500%! รางวัลที่น่าทึ่งรออยู่; เฉลิมฉลองเทศกาลคู่และขอบคุณสำหรับการสนับสนุนของคุณ!
  ดีลเมก้าวันศุกร์ที่สีดำ: ส่วนลดวันศุกร์ที่สีดำมหาศาล! ร้านค้าลดราคาทั้งหมดเปิดให้เล่นในช่วงเวลาจำกัด โดยมีแพ็กลดสูงสุดถึง 50% เพียงครั้งเดียวในปี—อย่าพลาด"&amp;"!
  วันศุกร์ที่สีดำ! การล่าสมบัติของทีมเอป: เชิญเพื่อนมาเจรจาต่อรองและนำดีลที่ยอดเยี่ยมกลับบ้าน! บัตรซื้อกลุ่มใหม่พร้อมใช้งาน รับเหรียญความสุขไม่หยุด! เพิ่มไอเทมมากขึ้น รวมถึงสกินศาลากลาง ป้ายชื่อ และอิโมจิการเดินทัพที่กลับมาในช่วงเวลาจำกัด ทำดีลและชนะเสม"&amp;"อ! ช่วยผู้อื่นเจรจาต่อรองจะได้รับรางวัลการต่อรอง!
-ฟีเจอร์เสียงใหม่: ผู้เล่นสามารถส่งข้อความเสียงในช่องแชทได้แล้ว;
-ฟีเจอร์คัดลอกข้อความจดหมายใหม่: เนื้อหาจดหมายบางส่วนสามารถคัดลอกได้แล้ว;
-การเล่นเกมกิจกรรมใหม่: กิจกรรมการโจมตีกิกันโตคลั่งจะเปิดเป็นประจำ"&amp;" เข้าร่วมกับสมาชิกแก๊งของคุณและชนะรางวัลใหญ่;
-การปรับแต่งการแสดงผลฟอง: ฟองบางส่วนเหนือสิ่งก่อสร้างสามารถปิดได้ในอินเทอร์เฟซรายละเอียดสิ่งก่อสร้าง;
-การปรับแต่งการแจ้งเตือนปลดล็อก: เมื่อทักษะของหน่วยยังไม่ได้ปลดล็อก จะมีการแจ้งเตือนปลดล็อกเพิ่มในหน้าคำอธิ"&amp;"บายทักษะของหน่วย;
-การปรับแต่งเครื่องหมายสอดแนม: หลังจากสอดแนมเมืองของศัตรูแล้ว จะมีเครื่องหมายสอดแนมปรากฏบนอินเทอร์เฟซในช่วงเวลาหนึ่ง;
-การปรับแต่งห้องแช่แข็ง: เพิ่มเควสต์ใหม่ในห้องแช่แข็ง;
-การปรับแต่งโคลีเซียมดวงดาว: แก้ไขปัญหาที่ไม่สามารถเข้าร่วมการฝึ"&amp;"กแมตช์ได้เมื่อการแข่งขันเริ่มต้น.")</f>
        <v>-นักสู้ตัวใหม่: อัศวินเงา—ชาร์ล็อตต์ รอสซี่ พวกผู้ลี้ภัยที่ชั่วร้ายจะต้องเผชิญกับการตัดสินภายใต้แสงจันทร์!
-เมคใหม่: หัวใจแห่งปราการ—เต่าศึก การป้องกันขั้นสูงสุดที่บดขยี้ความเพ้อฝันของศัตรูทั้งหมด!
-รูปปั้นนักสู้ตัวใหม่: เคน เพิ่มความงดงามให้กับเมืองของคุณ!
-ต้นไม้ความสามารถใหม่: ทนทาน—วิธีการป้องกันอาณาเขตของคุณที่ทรงพลังและเป็นตัวเลือกที่ดีที่สุดในการโจมตีผู้รุกราน!
-กิจกรรมวันขอบคุณพระเจ้าใหม่:
  งานเลี้ยงเก็บเกี่ยว: ใช้บัตรกำนัลอาหารเพื่อชนะสกินเทศกาลใหญ่และรางวัลมากมาย!
  ของขวัญเก็บเกี่ยว: สะสมการเติมเงินเพื่อรับของขวัญ เมคแลคเกอร์และคูปองส่วนลดวันศุกร์ที่สีดำรออยู่!
  ซิมโฟนีเก็บเกี่ยว: ล็อคอินทุกวันเพื่อปลดล็อกรางวัลมากมาย!
  ห้องครัววันขอบคุณพระเจ้า: เก็บกล่องส่วนผสมวันขอบคุณพระเจ้าเพื่อเลเวลอัปในกิจกรรมและมีโอกาสได้รับเอฟเฟกต์การเดินทัพใหม่—การเดินทางสู่ดวงอาทิตย์!
  รางวัลการเติมเงิน: ทำการซื้อครั้งเดียวเพื่อรับรางวัลพิเศษ!
  งานเก็บเกี่ยวขอบคุณพระเจ้า: เข้าร่วมการเฉลิมฉลองการเก็บเกี่ยวและเก็บกล่องส่วนผสมวันขอบคุณพระเจ้า!
  เครื่องกาชาขอบคุณพระเจ้า: ใช้เสบียงเพื่อรับกาชาโชคดี!
  ล่าสมบัติฤดูใบไม้ร่วง: สำรวจสมบัติใต้ดินและชนะรางวัลมากมาย!
-กิจกรรมวันศุกร์ที่สีดำใหม่:
  โซ่วันศุกร์ที่สีดำ: การเปิดตัววันศุกร์ที่สีดำในช่วงเวลาจำกัด! เฉลิมฉลองทั้งวันศุกร์ที่สีดำและวันขอบคุณพระเจ้าด้วยกัน! เพลิดเพลินกับการคืนเงินสูงสุดของปี โดยมีการคืนเงินแพ็กทั้งหมดสูงสุดถึง 3000%-4500%! รางวัลที่น่าทึ่งรออยู่; เฉลิมฉลองเทศกาลคู่และขอบคุณสำหรับการสนับสนุนของคุณ!
  ดีลเมก้าวันศุกร์ที่สีดำ: ส่วนลดวันศุกร์ที่สีดำมหาศาล! ร้านค้าลดราคาทั้งหมดเปิดให้เล่นในช่วงเวลาจำกัด โดยมีแพ็กลดสูงสุดถึง 50% เพียงครั้งเดียวในปี—อย่าพลาด!
  วันศุกร์ที่สีดำ! การล่าสมบัติของทีมเอป: เชิญเพื่อนมาเจรจาต่อรองและนำดีลที่ยอดเยี่ยมกลับบ้าน! บัตรซื้อกลุ่มใหม่พร้อมใช้งาน รับเหรียญความสุขไม่หยุด! เพิ่มไอเทมมากขึ้น รวมถึงสกินศาลากลาง ป้ายชื่อ และอิโมจิการเดินทัพที่กลับมาในช่วงเวลาจำกัด ทำดีลและชนะเสมอ! ช่วยผู้อื่นเจรจาต่อรองจะได้รับรางวัลการต่อรอง!
-ฟีเจอร์เสียงใหม่: ผู้เล่นสามารถส่งข้อความเสียงในช่องแชทได้แล้ว;
-ฟีเจอร์คัดลอกข้อความจดหมายใหม่: เนื้อหาจดหมายบางส่วนสามารถคัดลอกได้แล้ว;
-การเล่นเกมกิจกรรมใหม่: กิจกรรมการโจมตีกิกันโตคลั่งจะเปิดเป็นประจำ เข้าร่วมกับสมาชิกแก๊งของคุณและชนะรางวัลใหญ่;
-การปรับแต่งการแสดงผลฟอง: ฟองบางส่วนเหนือสิ่งก่อสร้างสามารถปิดได้ในอินเทอร์เฟซรายละเอียดสิ่งก่อสร้าง;
-การปรับแต่งการแจ้งเตือนปลดล็อก: เมื่อทักษะของหน่วยยังไม่ได้ปลดล็อก จะมีการแจ้งเตือนปลดล็อกเพิ่มในหน้าคำอธิบายทักษะของหน่วย;
-การปรับแต่งเครื่องหมายสอดแนม: หลังจากสอดแนมเมืองของศัตรูแล้ว จะมีเครื่องหมายสอดแนมปรากฏบนอินเทอร์เฟซในช่วงเวลาหนึ่ง;
-การปรับแต่งห้องแช่แข็ง: เพิ่มเควสต์ใหม่ในห้องแช่แข็ง;
-การปรับแต่งโคลีเซียมดวงดาว: แก้ไขปัญหาที่ไม่สามารถเข้าร่วมการฝึกแมตช์ได้เมื่อการแข่งขันเริ่มต้น.</v>
      </c>
      <c r="J61" s="148" t="str">
        <f>IFERROR(__xludf.DUMMYFUNCTION("""COMPUTED_VALUE"""),"-Nuevo Luchador: Caballero de Sombra—Charlotte Rossi. ¡Esos fugitivos atroces enfrentarán el juicio bajo la luz de la luna!
-Nuevo Meca: Corazón del Bastión—Tortuga de Guerra. ¡Defensa definitiva que aplasta todas las ilusiones enemigas!
-Nueva Estatua de"&amp;"l Luchador: Kane. ¡Añade más brillo a tu ciudad!
-Nuevo Árbol de Talentos: Resistir—un medio poderoso para defender tu territorio y la mejor opción para atacar a los invasores!
-Nuevos Eventos de Acción de Gracias:
  Fiesta de la Cosecha: ¡Usa Vales Gourm"&amp;"et para ganar aspectos de festival grandiosos y abundantes recompensas!
  Regalo de la Cosecha: ¡Acumula recargas para recibir regalos. ¡Laca de Meca y Cupones de Descuento de Viernes Negro te esperan!
  Sinfonía de la Cosecha: ¡Inicia sesión diariamente "&amp;"para desbloquear generosas recompensas!
  Cocina de Acción de Gracias: ¡Recolecta Cajas de Ingredientes de Acción de Gracias para subir de nivel en el evento y tener la oportunidad de obtener el nuevo efecto de marcha—Viaje hacia el Sol!
  Recompensas de "&amp;"Recarga: ¡Haz una compra única para recibir recompensas excepcionales!
  Cosecha de Acción de Gracias: ¡Participa en las celebraciones de la cosecha y recolecta Cajas de Ingredientes de Acción de Gracias!
  Máquina de Gacha de Acción de Gracias: ¡Gasta su"&amp;"ministros para obtener gachas de la suerte!
  Búsqueda del Tesoro de Otoño: ¡Explora tesoros subterráneos y gana abundantes recompensas!
-Nuevos Eventos de Viernes Negro:
  Cadena de Viernes Negro: ¡Lanzamiento de Viernes Negro por tiempo limitado! ¡Celeb"&amp;"ra tanto el Viernes Negro como el Día de Acción de Gracias juntos! Disfruta de los mayores reembolsos del año, con reembolsos totales de paquetes de hasta 3000%-4500%! ¡Increíbles recompensas te esperan; celebra los festivales dobles y gracias por tu apoy"&amp;"o!
  Ofertas Mega de Viernes Negro: ¡Descuentos masivos de Viernes Negro! La tienda de reducción total está abierta por tiempo limitado, con paquetes de hasta un 50% de descuento. Solo una vez al año—¡no te lo pierdas!
  ¡Viernes Negro! Caza de Gangas del"&amp;" Escuadrón de Simios: ¡Invita a amigos a regatear y llévate grandes ofertas a casa! Nuevo Pase de Compra en Grupo disponible, ¡gana Monedas de Alegría sin parar! Se han añadido más artículos, incluyendo aspectos del ayuntamiento, placas de nombre y emojis"&amp;" de marcha que regresan por tiempo limitado. ¡Consigue una ganga y siempre saldrás ganando! ¡Ayudar a otros a regatear recibirá una Recompensa por Regateo!
-Nueva Función de Audio: Los jugadores ahora pueden enviar mensajes de voz en los canales de chat;
"&amp;"-Nueva Función de Copia de Texto de Correo: Ahora se puede copiar el contenido de algunos correos;
-Nueva Forma de Juego de Evento: El evento Ataque al Gigantopithecus Loco se abrirá regularmente. Únete con los miembros de tu banda y gana grandes premios;"&amp;"
-Optimización de la Visualización de Burbujas: Algunas burbujas sobre los edificios ahora se pueden apagar en la interfaz de detalles del edificio;
-Optimización del Aviso de Desbloqueo: Cuando las habilidades de unidad no están desbloqueadas, se añade u"&amp;"n aviso de desbloqueo en la página de descripción de la habilidad de unidad;
-Optimización de la Marca de Reconocimiento: Después de reconocer la ciudad de un enemigo, aparecerá una marca de reconocimiento en la interfaz por un período de tiempo;
-Optimiz"&amp;"ación de la Cápsula de Estasis: Nuevas misiones añadidas a la Cápsula de Estasis;
-Optimización del Coliseo Astral: Se solucionó el problema donde no se podían unir a las partidas de práctica cuando comenzaba el torneo.")</f>
        <v>-Nuevo Luchador: Caballero de Sombra—Charlotte Rossi. ¡Esos fugitivos atroces enfrentarán el juicio bajo la luz de la luna!
-Nuevo Meca: Corazón del Bastión—Tortuga de Guerra. ¡Defensa definitiva que aplasta todas las ilusiones enemigas!
-Nueva Estatua del Luchador: Kane. ¡Añade más brillo a tu ciudad!
-Nuevo Árbol de Talentos: Resistir—un medio poderoso para defender tu territorio y la mejor opción para atacar a los invasores!
-Nuevos Eventos de Acción de Gracias:
  Fiesta de la Cosecha: ¡Usa Vales Gourmet para ganar aspectos de festival grandiosos y abundantes recompensas!
  Regalo de la Cosecha: ¡Acumula recargas para recibir regalos. ¡Laca de Meca y Cupones de Descuento de Viernes Negro te esperan!
  Sinfonía de la Cosecha: ¡Inicia sesión diariamente para desbloquear generosas recompensas!
  Cocina de Acción de Gracias: ¡Recolecta Cajas de Ingredientes de Acción de Gracias para subir de nivel en el evento y tener la oportunidad de obtener el nuevo efecto de marcha—Viaje hacia el Sol!
  Recompensas de Recarga: ¡Haz una compra única para recibir recompensas excepcionales!
  Cosecha de Acción de Gracias: ¡Participa en las celebraciones de la cosecha y recolecta Cajas de Ingredientes de Acción de Gracias!
  Máquina de Gacha de Acción de Gracias: ¡Gasta suministros para obtener gachas de la suerte!
  Búsqueda del Tesoro de Otoño: ¡Explora tesoros subterráneos y gana abundantes recompensas!
-Nuevos Eventos de Viernes Negro:
  Cadena de Viernes Negro: ¡Lanzamiento de Viernes Negro por tiempo limitado! ¡Celebra tanto el Viernes Negro como el Día de Acción de Gracias juntos! Disfruta de los mayores reembolsos del año, con reembolsos totales de paquetes de hasta 3000%-4500%! ¡Increíbles recompensas te esperan; celebra los festivales dobles y gracias por tu apoyo!
  Ofertas Mega de Viernes Negro: ¡Descuentos masivos de Viernes Negro! La tienda de reducción total está abierta por tiempo limitado, con paquetes de hasta un 50% de descuento. Solo una vez al año—¡no te lo pierdas!
  ¡Viernes Negro! Caza de Gangas del Escuadrón de Simios: ¡Invita a amigos a regatear y llévate grandes ofertas a casa! Nuevo Pase de Compra en Grupo disponible, ¡gana Monedas de Alegría sin parar! Se han añadido más artículos, incluyendo aspectos del ayuntamiento, placas de nombre y emojis de marcha que regresan por tiempo limitado. ¡Consigue una ganga y siempre saldrás ganando! ¡Ayudar a otros a regatear recibirá una Recompensa por Regateo!
-Nueva Función de Audio: Los jugadores ahora pueden enviar mensajes de voz en los canales de chat;
-Nueva Función de Copia de Texto de Correo: Ahora se puede copiar el contenido de algunos correos;
-Nueva Forma de Juego de Evento: El evento Ataque al Gigantopithecus Loco se abrirá regularmente. Únete con los miembros de tu banda y gana grandes premios;
-Optimización de la Visualización de Burbujas: Algunas burbujas sobre los edificios ahora se pueden apagar en la interfaz de detalles del edificio;
-Optimización del Aviso de Desbloqueo: Cuando las habilidades de unidad no están desbloqueadas, se añade un aviso de desbloqueo en la página de descripción de la habilidad de unidad;
-Optimización de la Marca de Reconocimiento: Después de reconocer la ciudad de un enemigo, aparecerá una marca de reconocimiento en la interfaz por un período de tiempo;
-Optimización de la Cápsula de Estasis: Nuevas misiones añadidas a la Cápsula de Estasis;
-Optimización del Coliseo Astral: Se solucionó el problema donde no se podían unir a las partidas de práctica cuando comenzaba el torneo.</v>
      </c>
      <c r="K61" s="148" t="str">
        <f>IFERROR(__xludf.DUMMYFUNCTION("""COMPUTED_VALUE"""),"-Новый герой: Рыцарь Тени—Шарлотта Росси. Эти ужасные беглецы столкнутся с правосудием под лунным светом!
-Новый Мех: Сердце оплота—Военная Черепаха. Абсолютная защита, которая разрушает все иллюзии врага!
-Новая статуя героя: Кейн. Добавьте больше блеска"&amp;" вашему городу!
-Новое дерево талантов: Выдержать—мощное средство для защиты вашей территории и лучший выбор для борьбы с захватчиками!
-Новые события на День благодарения:
  Праздник урожая: Используйте ваучеры гурмана, чтобы выиграть праздничные скины и"&amp;" обильные награды!
  Подарок урожая: Накопите пополнения, чтобы получить подарки. Лак для меха и купоны на скидку Черной Пятницы ждут вас!
  Симфония урожая: Входите ежедневно, чтобы разблокировать щедрые награды!
  Кухня на День благодарения: Собирайте к"&amp;"оробки продуктов на День благодарения, чтобы повысить уровень в событии и получить шанс на новый эффект марша—Путешествие к солнцу!
  Награды за пополнение: Сделайте одну покупку, чтобы получить исключительные награды!
  Урожай благодарения: Участвуйте в "&amp;"праздновании урожая и собирайте коробки продуктов на День благодарения!
  Гача-машина Дня благодарения: Тратьте припасы, чтобы получить удачные гачи!
  Осенняя охота за сокровищами: Исследуйте подземные сокровища и выигрывайте обильные награды!
-Новые соб"&amp;"ытия на Черную Пятницу:
  Цепочка Черной Пятницы: Запуск Черной Пятницы на ограниченное время! Празднуйте Черную Пятницу и День благодарения вместе! Наслаждайтесь самыми высокими скидками года, с общими скидками на наборы до 3000%-4500%! Удивительные нагр"&amp;"ады ждут вас; празднуйте двойные фестивали и спасибо за вашу поддержку!
  Мегасделки на Черную Пятницу: Огромные скидки на Черную Пятницу! Магазин с полным снижением цен открыт на ограниченное время, с наборами до 50% скидки. Только раз в год—не пропустит"&amp;"е!
  Черная Пятница! Охота за выгодными предложениями от отряда обезьян: Пригласите друзей для торга и принесите домой отличные сделки! Доступен новый пропуск на групповую покупку, зарабатывайте монеты радости без остановки! Добавлено больше предметов, вк"&amp;"лючая скины городского совета, именные таблички и возвращающиеся эмодзи марша на ограниченное время. Заключите сделку и всегда оставайтесь в выигрыше! Помощь другим в торге принесет награду за торг!
-Новая аудиофункция: Игроки теперь могут отправлять голо"&amp;"совые сообщения в чат-каналах;
-Новая функция копирования текста почты: Теперь можно копировать содержимое некоторых писем;
-Новое игровое событие: Событие Атака на Безумного Гиганто будет открываться регулярно. Присоединяйтесь к своим участникам банды и "&amp;"выигрывайте главные призы;
-Оптимизация отображения пузырей: Некоторые пузыри над постройками теперь можно отключить в интерфейсе деталей постройки;
-Оптимизация подсказок разблокировки: Когда навыки отряда не разблокированы, добавлена подсказка разблокир"&amp;"овки на странице описания навыка отряда;
-Оптимизация метки разведки: После разведки города врага на интерфейсе будет отображаться метка разведки в течение определенного времени;
-Оптимизация капсулы стазиса: В капсулу стазиса добавлены новые задания;
-Оп"&amp;"тимизация Астрального Колизея: Исправлена проблема, из-за которой нельзя было присоединиться к тренировочным матчам, когда начинался турнир.")</f>
        <v>-Новый герой: Рыцарь Тени—Шарлотта Росси. Эти ужасные беглецы столкнутся с правосудием под лунным светом!
-Новый Мех: Сердце оплота—Военная Черепаха. Абсолютная защита, которая разрушает все иллюзии врага!
-Новая статуя героя: Кейн. Добавьте больше блеска вашему городу!
-Новое дерево талантов: Выдержать—мощное средство для защиты вашей территории и лучший выбор для борьбы с захватчиками!
-Новые события на День благодарения:
  Праздник урожая: Используйте ваучеры гурмана, чтобы выиграть праздничные скины и обильные награды!
  Подарок урожая: Накопите пополнения, чтобы получить подарки. Лак для меха и купоны на скидку Черной Пятницы ждут вас!
  Симфония урожая: Входите ежедневно, чтобы разблокировать щедрые награды!
  Кухня на День благодарения: Собирайте коробки продуктов на День благодарения, чтобы повысить уровень в событии и получить шанс на новый эффект марша—Путешествие к солнцу!
  Награды за пополнение: Сделайте одну покупку, чтобы получить исключительные награды!
  Урожай благодарения: Участвуйте в праздновании урожая и собирайте коробки продуктов на День благодарения!
  Гача-машина Дня благодарения: Тратьте припасы, чтобы получить удачные гачи!
  Осенняя охота за сокровищами: Исследуйте подземные сокровища и выигрывайте обильные награды!
-Новые события на Черную Пятницу:
  Цепочка Черной Пятницы: Запуск Черной Пятницы на ограниченное время! Празднуйте Черную Пятницу и День благодарения вместе! Наслаждайтесь самыми высокими скидками года, с общими скидками на наборы до 3000%-4500%! Удивительные награды ждут вас; празднуйте двойные фестивали и спасибо за вашу поддержку!
  Мегасделки на Черную Пятницу: Огромные скидки на Черную Пятницу! Магазин с полным снижением цен открыт на ограниченное время, с наборами до 50% скидки. Только раз в год—не пропустите!
  Черная Пятница! Охота за выгодными предложениями от отряда обезьян: Пригласите друзей для торга и принесите домой отличные сделки! Доступен новый пропуск на групповую покупку, зарабатывайте монеты радости без остановки! Добавлено больше предметов, включая скины городского совета, именные таблички и возвращающиеся эмодзи марша на ограниченное время. Заключите сделку и всегда оставайтесь в выигрыше! Помощь другим в торге принесет награду за торг!
-Новая аудиофункция: Игроки теперь могут отправлять голосовые сообщения в чат-каналах;
-Новая функция копирования текста почты: Теперь можно копировать содержимое некоторых писем;
-Новое игровое событие: Событие Атака на Безумного Гиганто будет открываться регулярно. Присоединяйтесь к своим участникам банды и выигрывайте главные призы;
-Оптимизация отображения пузырей: Некоторые пузыри над постройками теперь можно отключить в интерфейсе деталей постройки;
-Оптимизация подсказок разблокировки: Когда навыки отряда не разблокированы, добавлена подсказка разблокировки на странице описания навыка отряда;
-Оптимизация метки разведки: После разведки города врага на интерфейсе будет отображаться метка разведки в течение определенного времени;
-Оптимизация капсулы стазиса: В капсулу стазиса добавлены новые задания;
-Оптимизация Астрального Колизея: Исправлена проблема, из-за которой нельзя было присоединиться к тренировочным матчам, когда начинался турнир.</v>
      </c>
      <c r="L61" s="148" t="str">
        <f>IFERROR(__xludf.DUMMYFUNCTION("""COMPUTED_VALUE"""),"-Yeni Savaşçı: Gölge Şövalye—Charlotte Rossi. Bu iğrenç kaçaklar ay ışığında yargılanacak!
-Yeni Meka: Burç Kalbi—SavaşKaplumbağası. Tüm düşman hayallerini ezip geçen nihai savunma!
-Yeni Savaşçı Heykeli: Kane. Şehrine daha fazla parlaklık kat!
-Yeni Yete"&amp;"nek Ağacı: Karşıla—bölgeni savunmanın güçlü bir yolu ve istilacılara karşı en iyi seçim!
-Yeni Şükran Günü Etkinlikleri:
  Hasat Şöleni: Büyük festival görünümleri ve bol ödüller kazanmak için Gurme Kuponları kullan!
  Hasat Hediyesi: Hediyeler almak için"&amp;" şarjları biriktir. Meka Cilası ve Kara Cuma İndirim Kuponları seni bekliyor!
  Hasat Senfonisi: Cömert ödüllerin kilidini açmak için her gün giriş yap!
  Şükran Günü Mutfağı: Şükran Günü Malzeme Kutuları topla ve etkinlikte seviye atla, yeni sefer etkisi"&amp;"—Güneşe Doğru Yolculuk kazanma şansı yakala!
  Şarj Etme Ödülleri: Tek bir satın alma yaparak olağanüstü ödüller al!
  Şükran Günü Hasadı: Hasat kutlamalarına katıl ve Şükran Günü Malzeme Kutuları topla!
  Şükran Günü Gacha Makinesi: Şanslı gachalar almak"&amp;" için tedarikleri harca!
  Sonbahar Hazine Avı: Yer altı hazinelerini keşfet ve bol ödüller kazan!
-Yeni Kara Cuma Etkinlikleri:
  Kara Cuma Zinciri: Sınırlı süreli Kara Cuma lansmanı! Hem Kara Cuma'yı hem de Şükran Günü'nü birlikte kutla! Yılın en yüksek"&amp;" geri ödemelerinin tadını çıkar, toplam paket geri ödemeleri %3000-%4500'e kadar! Harika ödüller seni bekliyor; çift festivalleri kutla ve desteğin için teşekkürler!
  Kara Cuma Mega Fırsatlar: Büyük Kara Cuma indirimleri! Tam indirim mağazası sınırlı sür"&amp;"e için açık, paketlerde %50'ye varan indirimler. Yılda sadece bir kez—kaçırma!
  Kara Cuma! Maymun Takımı Pazarlık Avı: Arkadaşlarını pazarlığa davet et ve harika fırsatları eve getir! Yeni Grup Satın Alma Geçişi mevcut, Neşe Paraları durmaksızın kazan! Ş"&amp;"ehir meclisi görünümleri, tabelalar ve sınırlı süre için geri dönen sefer emojileri dahil olmak üzere daha fazla öğe eklendi. Bir anlaşma yap ve her zaman önde ol! Başkalarına pazarlık yapmalarında yardım etmek Pazarlık Ödülü almanı sağlayacak!
-Yeni Ses "&amp;"Özelliği: Oyuncular artık sohbet kanallarında sesli mesaj gönderebilir;
-Yeni Posta Metni Kopyalama Özelliği: Bazı posta içerikleri artık kopyalanabilir;
-Yeni Etkinlik Oynanışı: Deli Giganto'ya Saldırı etkinliği düzenli olarak açılacak. Çete üyelerinle k"&amp;"atıl ve büyük ödüller kazan;
-Balon Gösterimi Optimizasyonu: Binaların üzerindeki bazı balonlar artık bina detayları arayüzünde kapatılabilir;
-Kilit Açma İstemi Optimizasyonu: Birim becerileri kilitli değilken, birim becerisi açıklama sayfasına bir kilit"&amp;" açma istemi eklendi;
-Casus İşareti Optimizasyonu: Bir düşmanın şehrini casusluk yaptıktan sonra, bir süreliğine arayüzde bir casus işareti görünecek;
-Durağanlık Kapsülü Optimizasyonu: Durağanlık Kapsülüne yeni maceralar eklendi;
-Yıldız Kolezyumu Optim"&amp;"izasyonu: Turnuva başladığında alıştırma maçlarına katılamama sorunu düzeltildi.")</f>
        <v>-Yeni Savaşçı: Gölge Şövalye—Charlotte Rossi. Bu iğrenç kaçaklar ay ışığında yargılanacak!
-Yeni Meka: Burç Kalbi—SavaşKaplumbağası. Tüm düşman hayallerini ezip geçen nihai savunma!
-Yeni Savaşçı Heykeli: Kane. Şehrine daha fazla parlaklık kat!
-Yeni Yetenek Ağacı: Karşıla—bölgeni savunmanın güçlü bir yolu ve istilacılara karşı en iyi seçim!
-Yeni Şükran Günü Etkinlikleri:
  Hasat Şöleni: Büyük festival görünümleri ve bol ödüller kazanmak için Gurme Kuponları kullan!
  Hasat Hediyesi: Hediyeler almak için şarjları biriktir. Meka Cilası ve Kara Cuma İndirim Kuponları seni bekliyor!
  Hasat Senfonisi: Cömert ödüllerin kilidini açmak için her gün giriş yap!
  Şükran Günü Mutfağı: Şükran Günü Malzeme Kutuları topla ve etkinlikte seviye atla, yeni sefer etkisi—Güneşe Doğru Yolculuk kazanma şansı yakala!
  Şarj Etme Ödülleri: Tek bir satın alma yaparak olağanüstü ödüller al!
  Şükran Günü Hasadı: Hasat kutlamalarına katıl ve Şükran Günü Malzeme Kutuları topla!
  Şükran Günü Gacha Makinesi: Şanslı gachalar almak için tedarikleri harca!
  Sonbahar Hazine Avı: Yer altı hazinelerini keşfet ve bol ödüller kazan!
-Yeni Kara Cuma Etkinlikleri:
  Kara Cuma Zinciri: Sınırlı süreli Kara Cuma lansmanı! Hem Kara Cuma'yı hem de Şükran Günü'nü birlikte kutla! Yılın en yüksek geri ödemelerinin tadını çıkar, toplam paket geri ödemeleri %3000-%4500'e kadar! Harika ödüller seni bekliyor; çift festivalleri kutla ve desteğin için teşekkürler!
  Kara Cuma Mega Fırsatlar: Büyük Kara Cuma indirimleri! Tam indirim mağazası sınırlı süre için açık, paketlerde %50'ye varan indirimler. Yılda sadece bir kez—kaçırma!
  Kara Cuma! Maymun Takımı Pazarlık Avı: Arkadaşlarını pazarlığa davet et ve harika fırsatları eve getir! Yeni Grup Satın Alma Geçişi mevcut, Neşe Paraları durmaksızın kazan! Şehir meclisi görünümleri, tabelalar ve sınırlı süre için geri dönen sefer emojileri dahil olmak üzere daha fazla öğe eklendi. Bir anlaşma yap ve her zaman önde ol! Başkalarına pazarlık yapmalarında yardım etmek Pazarlık Ödülü almanı sağlayacak!
-Yeni Ses Özelliği: Oyuncular artık sohbet kanallarında sesli mesaj gönderebilir;
-Yeni Posta Metni Kopyalama Özelliği: Bazı posta içerikleri artık kopyalanabilir;
-Yeni Etkinlik Oynanışı: Deli Giganto'ya Saldırı etkinliği düzenli olarak açılacak. Çete üyelerinle katıl ve büyük ödüller kazan;
-Balon Gösterimi Optimizasyonu: Binaların üzerindeki bazı balonlar artık bina detayları arayüzünde kapatılabilir;
-Kilit Açma İstemi Optimizasyonu: Birim becerileri kilitli değilken, birim becerisi açıklama sayfasına bir kilit açma istemi eklendi;
-Casus İşareti Optimizasyonu: Bir düşmanın şehrini casusluk yaptıktan sonra, bir süreliğine arayüzde bir casus işareti görünecek;
-Durağanlık Kapsülü Optimizasyonu: Durağanlık Kapsülüne yeni maceralar eklendi;
-Yıldız Kolezyumu Optimizasyonu: Turnuva başladığında alıştırma maçlarına katılamama sorunu düzeltildi.</v>
      </c>
      <c r="M61" s="148" t="str">
        <f>IFERROR(__xludf.DUMMYFUNCTION("""COMPUTED_VALUE"""),"- Chiến Binh Mới: Kỵ Sĩ Bóng Đêm—Charlotte Rossi. Những tên tội phạm tàn ác sẽ phải đối mặt với phán xét dưới ánh trăng!
- Cơ Khí Mới: Trái Tim Pháo Đài—Rùa Chiến. Phòng thủ tối thượng nghiền nát mọi ảo tưởng của kẻ địch!
- Tượng Chiến Binh Mới: Kane. Thê"&amp;"m phần rực rỡ cho thành phố của bạn!
- Cây Tài Năng Mới: Chịu Đựng—một phương tiện mạnh mẽ để bảo vệ lãnh thổ của bạn và là lựa chọn tốt nhất để tấn công kẻ xâm lược!
- Sự Kiện Lễ Tạ Ơn Mới:
  Tiệc Thu Hoạch: Sử dụng Phiếu Ẩm Thực để giành được giao diện "&amp;"lễ hội lớn và phần thưởng phong phú!
  Quà Tặng Thu Hoạch: Tích lũy nạp năng lượng để nhận quà. Sơn Cơ Khí và Phiếu Giảm Giá Thứ Sáu Đen đang chờ đợi!
  Giao Hưởng Thu Hoạch: Đăng nhập hàng ngày để mở khóa phần thưởng hào phóng!
  Phòng Bếp Lễ Tạ Ơn: Thu "&amp;"thập Hộp Nguyên Liệu Lễ Tạ Ơn để thăng cấp trong sự kiện và có cơ hội nhận được hiệu ứng hành quân mới—Hành Trình Về Phía Mặt Trời!
  Phần Thưởng Nạp Năng Lượng: Thực hiện một lần mua để nhận phần thưởng đặc biệt!
  Lễ Thu Hoạch Tạ Ơn: Tham gia vào các lễ"&amp;" hội thu hoạch và thu thập Hộp Nguyên Liệu Lễ Tạ Ơn!
  Máy Gacha Lễ Tạ Ơn: Dùng quân nhu để nhận gacha may mắn!
  Săn Kho Báu Mùa Thu: Khám phá kho báu dưới đất và giành được phần thưởng phong phú!
- Sự Kiện Thứ Sáu Đen Mới:
  Chuỗi Thứ Sáu Đen: Ra mắt Th"&amp;"ứ Sáu Đen trong thời gian giới hạn! Kỷ niệm cả Thứ Sáu Đen và Lễ Tạ Ơn cùng nhau! Tận hưởng hoàn tiền cao nhất trong năm, với tổng hoàn tiền gói lên đến 3000%-4500%! Phần thưởng tuyệt vời đang chờ đợi; kỷ niệm hai lễ hội và cảm ơn sự ủng hộ của bạn!
  Ưu "&amp;"Đãi Lớn Thứ Sáu Đen: Giảm giá lớn Thứ Sáu Đen! Cửa hàng giảm giá mở trong thời gian giới hạn, với các gói giảm giá lên đến 50%. Chỉ một lần trong năm—đừng bỏ lỡ!
  Thứ Sáu Đen! Săn Mặc Cả Đội Vượn: Mời bạn bè để mặc cả và mang về những ưu đãi tuyệt vời! T"&amp;"hẻ Mua Nhóm Mới có sẵn, kiếm Xu Niềm Vui không ngừng! Thêm nhiều vật phẩm, bao gồm giao diện tòa thị chính, thẻ tên, và biểu cảm hành quân trở lại trong thời gian giới hạn. Giành được ưu đãi và luôn dẫn đầu! Giúp người khác mặc cả sẽ nhận được Thưởng Mặc "&amp;"Cả!
- Tính Năng Âm Thanh Mới: Người chơi giờ đây có thể gửi tin nhắn thoại trong các kênh trò chuyện;
- Tính Năng Sao Chép Văn Bản Thư Mới: Một số nội dung thư giờ đây có thể được sao chép;
- Lối Chơi Sự Kiện Mới: Sự kiện Tấn Công Vượn Khổng Lồ Điên Rồ sẽ"&amp;" mở thường xuyên. Tham gia cùng các thành viên bang hội của bạn và giành giải thưởng lớn;
- Tối Ưu Hiển Thị Bong Bóng: Một số bong bóng trên các tòa nhà giờ đây có thể tắt trong giao diện chi tiết tòa nhà;
- Tối Ưu Nhắc Nhở Mở Khóa: Khi kỹ năng đơn vị chư"&amp;"a được mở khóa, một nhắc nhở mở khóa được thêm vào trang mô tả kỹ năng đơn vị;
- Tối Ưu Đánh Dấu Do Thám: Sau khi do thám thành phố của kẻ địch, một dấu do thám sẽ xuất hiện trên giao diện trong một khoảng thời gian;
- Tối Ưu POD Ngưng Trệ: Thêm nhiệm vụ "&amp;"mới vào POD Ngưng Trệ;
- Tối Ưu Đại Đấu Trường Thiên Thể: Sửa lỗi không thể tham gia trận đấu thực hành khi giải đấu bắt đầu.")</f>
        <v>- Chiến Binh Mới: Kỵ Sĩ Bóng Đêm—Charlotte Rossi. Những tên tội phạm tàn ác sẽ phải đối mặt với phán xét dưới ánh trăng!
- Cơ Khí Mới: Trái Tim Pháo Đài—Rùa Chiến. Phòng thủ tối thượng nghiền nát mọi ảo tưởng của kẻ địch!
- Tượng Chiến Binh Mới: Kane. Thêm phần rực rỡ cho thành phố của bạn!
- Cây Tài Năng Mới: Chịu Đựng—một phương tiện mạnh mẽ để bảo vệ lãnh thổ của bạn và là lựa chọn tốt nhất để tấn công kẻ xâm lược!
- Sự Kiện Lễ Tạ Ơn Mới:
  Tiệc Thu Hoạch: Sử dụng Phiếu Ẩm Thực để giành được giao diện lễ hội lớn và phần thưởng phong phú!
  Quà Tặng Thu Hoạch: Tích lũy nạp năng lượng để nhận quà. Sơn Cơ Khí và Phiếu Giảm Giá Thứ Sáu Đen đang chờ đợi!
  Giao Hưởng Thu Hoạch: Đăng nhập hàng ngày để mở khóa phần thưởng hào phóng!
  Phòng Bếp Lễ Tạ Ơn: Thu thập Hộp Nguyên Liệu Lễ Tạ Ơn để thăng cấp trong sự kiện và có cơ hội nhận được hiệu ứng hành quân mới—Hành Trình Về Phía Mặt Trời!
  Phần Thưởng Nạp Năng Lượng: Thực hiện một lần mua để nhận phần thưởng đặc biệt!
  Lễ Thu Hoạch Tạ Ơn: Tham gia vào các lễ hội thu hoạch và thu thập Hộp Nguyên Liệu Lễ Tạ Ơn!
  Máy Gacha Lễ Tạ Ơn: Dùng quân nhu để nhận gacha may mắn!
  Săn Kho Báu Mùa Thu: Khám phá kho báu dưới đất và giành được phần thưởng phong phú!
- Sự Kiện Thứ Sáu Đen Mới:
  Chuỗi Thứ Sáu Đen: Ra mắt Thứ Sáu Đen trong thời gian giới hạn! Kỷ niệm cả Thứ Sáu Đen và Lễ Tạ Ơn cùng nhau! Tận hưởng hoàn tiền cao nhất trong năm, với tổng hoàn tiền gói lên đến 3000%-4500%! Phần thưởng tuyệt vời đang chờ đợi; kỷ niệm hai lễ hội và cảm ơn sự ủng hộ của bạn!
  Ưu Đãi Lớn Thứ Sáu Đen: Giảm giá lớn Thứ Sáu Đen! Cửa hàng giảm giá mở trong thời gian giới hạn, với các gói giảm giá lên đến 50%. Chỉ một lần trong năm—đừng bỏ lỡ!
  Thứ Sáu Đen! Săn Mặc Cả Đội Vượn: Mời bạn bè để mặc cả và mang về những ưu đãi tuyệt vời! Thẻ Mua Nhóm Mới có sẵn, kiếm Xu Niềm Vui không ngừng! Thêm nhiều vật phẩm, bao gồm giao diện tòa thị chính, thẻ tên, và biểu cảm hành quân trở lại trong thời gian giới hạn. Giành được ưu đãi và luôn dẫn đầu! Giúp người khác mặc cả sẽ nhận được Thưởng Mặc Cả!
- Tính Năng Âm Thanh Mới: Người chơi giờ đây có thể gửi tin nhắn thoại trong các kênh trò chuyện;
- Tính Năng Sao Chép Văn Bản Thư Mới: Một số nội dung thư giờ đây có thể được sao chép;
- Lối Chơi Sự Kiện Mới: Sự kiện Tấn Công Vượn Khổng Lồ Điên Rồ sẽ mở thường xuyên. Tham gia cùng các thành viên bang hội của bạn và giành giải thưởng lớn;
- Tối Ưu Hiển Thị Bong Bóng: Một số bong bóng trên các tòa nhà giờ đây có thể tắt trong giao diện chi tiết tòa nhà;
- Tối Ưu Nhắc Nhở Mở Khóa: Khi kỹ năng đơn vị chưa được mở khóa, một nhắc nhở mở khóa được thêm vào trang mô tả kỹ năng đơn vị;
- Tối Ưu Đánh Dấu Do Thám: Sau khi do thám thành phố của kẻ địch, một dấu do thám sẽ xuất hiện trên giao diện trong một khoảng thời gian;
- Tối Ưu POD Ngưng Trệ: Thêm nhiệm vụ mới vào POD Ngưng Trệ;
- Tối Ưu Đại Đấu Trường Thiên Thể: Sửa lỗi không thể tham gia trận đấu thực hành khi giải đấu bắt đầu.</v>
      </c>
      <c r="N61" s="108" t="str">
        <f>IFERROR(__xludf.DUMMYFUNCTION("""COMPUTED_VALUE"""),"-Nuovo Combattente: Cavaliere Ombra—Charlotte Rossi. Quei malvagi fuggitivi affronteranno il giudizio sotto la luce della luna!
-Nuovo Mech: Cuore del Bastione—Tartaruga da Guerra. Difesa suprema che schiaccia tutte le illusioni nemiche!
-Nuova Statua del"&amp;" Combattente: Kane. Aggiungi più splendore alla tua città!
-Nuovo Albero dei Talenti: Resistere—un potente mezzo per difendere il tuo territorio e la scelta migliore per colpire gli invasori!
-Nuovi Eventi del Ringraziamento:
  Banchetto del Raccolto: Usa"&amp;" i Buoni Gourmet per vincere skin del festival e abbondanti ricompense!
  Dono del Raccolto: Accumula ricariche per ricevere regali. Vernice Mech e Buoni Sconto del Venerdì Nero ti aspettano!
  Sinfonia del Raccolto: Accedi quotidianamente per sbloccare g"&amp;"enerose ricompense!
  Cucina del Ringraziamento: Raccogli le Scatole di Ingredienti del Ringraziamento per salire di livello nell'evento e avere la possibilità di ottenere il nuovo effetto di marcia—Viaggio verso il Sole!
  Ricompense di Ricarica: Effettu"&amp;"a un singolo acquisto per ricevere ricompense eccezionali!
  Messe di Gratitudine: Partecipa alle celebrazioni del raccolto e raccogli le Scatole di Ingredienti del Ringraziamento!
  Macchina Gacha del Ringraziamento: Spendi scorte per ottenere fortunati "&amp;"gacha!
  Caccia al Tesoro d'Autunno: Esplora i tesori sotterranei e vinci abbondanti ricompense!
-Nuovi Eventi del Venerdì Nero:
  Catena del Venerdì Nero: Lancio limitato del Venerdì Nero! Celebra sia il Venerdì Nero che il Ringraziamento insieme! Goditi"&amp;" i più alti rimborsi dell'anno, con rimborsi totali sui pacchetti fino al 3000%-4500%! Ricompense incredibili ti aspettano; celebra i doppi festival e grazie per il tuo supporto!
  Mega Offerte del Venerdì Nero: Sconti massicci del Venerdì Nero! Il negozi"&amp;"o a riduzione totale è aperto per un tempo limitato, con pacchetti scontati fino al 50%. Solo una volta all'anno—non perdertelo!
  Venerdì Nero! Caccia all'Affare della Squadra di Scimmie: Invita amici a contrattare e porta a casa grandi affari! Nuovo Pas"&amp;"s Acquisto di Gruppo disponibile, guadagna Monete Gioia senza sosta! Più oggetti aggiunti, inclusi skin del municipio, targhette e emoji di marcia che ritornano per un tempo limitato. Ottieni un affare e vinci sempre! Aiutare altri a contrattare riceverà "&amp;"una Ricompensa di Trattativa!
-Nuova Funzione Audio: I giocatori possono ora inviare messaggi vocali nei canali di chat;
-Nuova Funzione di Copia Testo della Posta: Alcuni contenuti della posta possono ora essere copiati;
-Nuovo Gameplay dell'Evento: L'ev"&amp;"ento Attacco al Gigagorilla Pazzo si aprirà regolarmente. Unisciti ai membri della tua gang e vinci grandi premi;
-Ottimizzazione del Display delle Bolle: Alcune bolle sopra gli edifici possono ora essere disattivate nell'interfaccia dei dettagli dell'edi"&amp;"ficio;
-Ottimizzazione del Prompt di Sblocco: Quando le abilità dell'unità non sono sbloccate, viene aggiunto un prompt di sblocco alla pagina della descrizione delle abilità dell'unità;
-Ottimizzazione del Contrassegno di Perlustrazione: Dopo aver perlus"&amp;"trato la città di un nemico, un contrassegno di perlustrazione apparirà sull'interfaccia per un periodo di tempo;
-Ottimizzazione della Capsula di Stasi: Nuove missioni aggiunte alla Capsula di Stasi;
-Ottimizzazione del Colosseo Astrale: Risolto il probl"&amp;"ema per cui non si potevano unire alle partite di prova quando iniziava il torneo.")</f>
        <v>-Nuovo Combattente: Cavaliere Ombra—Charlotte Rossi. Quei malvagi fuggitivi affronteranno il giudizio sotto la luce della luna!
-Nuovo Mech: Cuore del Bastione—Tartaruga da Guerra. Difesa suprema che schiaccia tutte le illusioni nemiche!
-Nuova Statua del Combattente: Kane. Aggiungi più splendore alla tua città!
-Nuovo Albero dei Talenti: Resistere—un potente mezzo per difendere il tuo territorio e la scelta migliore per colpire gli invasori!
-Nuovi Eventi del Ringraziamento:
  Banchetto del Raccolto: Usa i Buoni Gourmet per vincere skin del festival e abbondanti ricompense!
  Dono del Raccolto: Accumula ricariche per ricevere regali. Vernice Mech e Buoni Sconto del Venerdì Nero ti aspettano!
  Sinfonia del Raccolto: Accedi quotidianamente per sbloccare generose ricompense!
  Cucina del Ringraziamento: Raccogli le Scatole di Ingredienti del Ringraziamento per salire di livello nell'evento e avere la possibilità di ottenere il nuovo effetto di marcia—Viaggio verso il Sole!
  Ricompense di Ricarica: Effettua un singolo acquisto per ricevere ricompense eccezionali!
  Messe di Gratitudine: Partecipa alle celebrazioni del raccolto e raccogli le Scatole di Ingredienti del Ringraziamento!
  Macchina Gacha del Ringraziamento: Spendi scorte per ottenere fortunati gacha!
  Caccia al Tesoro d'Autunno: Esplora i tesori sotterranei e vinci abbondanti ricompense!
-Nuovi Eventi del Venerdì Nero:
  Catena del Venerdì Nero: Lancio limitato del Venerdì Nero! Celebra sia il Venerdì Nero che il Ringraziamento insieme! Goditi i più alti rimborsi dell'anno, con rimborsi totali sui pacchetti fino al 3000%-4500%! Ricompense incredibili ti aspettano; celebra i doppi festival e grazie per il tuo supporto!
  Mega Offerte del Venerdì Nero: Sconti massicci del Venerdì Nero! Il negozio a riduzione totale è aperto per un tempo limitato, con pacchetti scontati fino al 50%. Solo una volta all'anno—non perdertelo!
  Venerdì Nero! Caccia all'Affare della Squadra di Scimmie: Invita amici a contrattare e porta a casa grandi affari! Nuovo Pass Acquisto di Gruppo disponibile, guadagna Monete Gioia senza sosta! Più oggetti aggiunti, inclusi skin del municipio, targhette e emoji di marcia che ritornano per un tempo limitato. Ottieni un affare e vinci sempre! Aiutare altri a contrattare riceverà una Ricompensa di Trattativa!
-Nuova Funzione Audio: I giocatori possono ora inviare messaggi vocali nei canali di chat;
-Nuova Funzione di Copia Testo della Posta: Alcuni contenuti della posta possono ora essere copiati;
-Nuovo Gameplay dell'Evento: L'evento Attacco al Gigagorilla Pazzo si aprirà regolarmente. Unisciti ai membri della tua gang e vinci grandi premi;
-Ottimizzazione del Display delle Bolle: Alcune bolle sopra gli edifici possono ora essere disattivate nell'interfaccia dei dettagli dell'edificio;
-Ottimizzazione del Prompt di Sblocco: Quando le abilità dell'unità non sono sbloccate, viene aggiunto un prompt di sblocco alla pagina della descrizione delle abilità dell'unità;
-Ottimizzazione del Contrassegno di Perlustrazione: Dopo aver perlustrato la città di un nemico, un contrassegno di perlustrazione apparirà sull'interfaccia per un periodo di tempo;
-Ottimizzazione della Capsula di Stasi: Nuove missioni aggiunte alla Capsula di Stasi;
-Ottimizzazione del Colosseo Astrale: Risolto il problema per cui non si potevano unire alle partite di prova quando iniziava il torneo.</v>
      </c>
      <c r="O61" s="148" t="str">
        <f>IFERROR(__xludf.DUMMYFUNCTION("""COMPUTED_VALUE"""),"-Nowy Wojownik: Rycerz Cienia—Charlotte Rossi. Ci nikczemni uciekinierzy staną przed sądem w świetle księżyca!
-Nowy Mech: Serce Bastionu—Wojenny Żółw. Ostateczna obrona, która miażdży wszystkie złudzenia wroga!
-Nowy Pomnik Wojownika: Kane. Dodaj więcej "&amp;"blasku do swojego miasta!
-Nowe Drzewo Talentów: Wytrzymać—potężny sposób na obronę swojego terytorium i najlepszy wybór do atakowania najeźdźców!
-Nowe Wydarzenia Dziękczynne:
  Uczta z Okazji Zbiorów: Użyj Bonów Gourmet, aby wygrać wielkie festiwalowe s"&amp;"kórki i obfite nagrody!
  Dar Zbiorów: Gromadź doładowania, aby otrzymać prezenty. Czekają na Ciebie Lakier Mecha i Kupony Rabatowe na Czarny Piątek!
  Symfonia Zbiorów: Loguj się codziennie, aby odblokować hojne nagrody!
  Świąteczna Kuchnia: Zbieraj Pud"&amp;"ełka z Dziękczynnymi Składnikami, aby awansować w wydarzeniu i mieć szansę na zdobycie nowego efektu marszu—Podróż ku Słońcu!
  Nagrody za Doładowanie: Dokonaj jednorazowego zakupu, aby otrzymać wyjątkowe nagrody!
  Dary Dziękczynienia: Weź udział w obcho"&amp;"dach zbiorów i zbieraj Pudełka z Dziękczynnymi Składnikami!
  Maszyna Dziękczynnej Gachy: Wydawaj zapasy, aby zdobyć szczęśliwe gachy!
  Jesienne Poszukiwanie Skarbów: Eksploruj podziemne skarby i wygrywaj obfite nagrody!
-Nowe Wydarzenia na Czarny Piątek"&amp;":
  Łańcuch Czarnego Piątku: Limitowana oferta na Czarny Piątek! Świętuj zarówno Czarny Piątek, jak i Dziękczynienie razem! Ciesz się najwyższymi rabatami w roku, z całkowitymi rabatami na pakiety do 3000%-4500%! Czekają niesamowite nagrody; świętuj podwó"&amp;"jne festiwale i dziękujemy za wsparcie!
  Mega Okazje na Czarny Piątek: Ogromne zniżki na Czarny Piątek! Sklep z pełnymi zniżkami otwarty przez ograniczony czas, z pakietami do 50% taniej. Tylko raz w roku—nie przegap!
  Czarny Piątek! Polowanie na Okazje"&amp;" z Ekipą Małp: Zaproś znajomych do targowania się i przynieś do domu świetne okazje! Nowy Przepustka Grupowego Zakupu dostępna, zarabiaj Monety Radości bez przerwy! Dodano więcej przedmiotów, w tym skórki ratusza, dymki i emoji marszu powracające na ogran"&amp;"iczony czas. Zdobądź okazję i zawsze wyjdź na plus! Pomaganie innym w targowaniu się przyniesie Nagrodę za Okazję!
-Nowa Funkcja Audio: Gracze mogą teraz wysyłać wiadomości głosowe w kanałach czatu;
-Nowa Funkcja Kopiowania Tekstu z Poczty: Niektóre treśc"&amp;"i poczty można teraz kopiować;
-Nowa Rozgrywka Wydarzenia: Wydarzenie Atak na Szaloną Gigamałpę będzie otwierane regularnie. Dołącz ze swoimi członkami gangu i wygraj wielkie nagrody;
-Optymalizacja Wyświetlania Dymków: Niektóre dymki nad budynkami można "&amp;"teraz wyłączyć w interfejsie szczegółów budynku;
-Optymalizacja Monitu Odblokowania: Gdy umiejętności jednostki nie są odblokowane, dodano monit odblokowania na stronie opisu umiejętności jednostki;
-Optymalizacja Zaznaczenia Zwiadu: Po sprawdzeniu miasta"&amp;" wroga, na interfejsie przez pewien czas pojawi się znak sprawdzenia;
-Optymalizacja Kapsuły Stazy: Dodano nowe zadania do Kapsuły Stazy;
-Optymalizacja Gwiezdnego Koloseum: Naprawiono problem, w którym nie można było dołączyć do meczów próbnych po rozpoc"&amp;"zęciu turnieju.")</f>
        <v>-Nowy Wojownik: Rycerz Cienia—Charlotte Rossi. Ci nikczemni uciekinierzy staną przed sądem w świetle księżyca!
-Nowy Mech: Serce Bastionu—Wojenny Żółw. Ostateczna obrona, która miażdży wszystkie złudzenia wroga!
-Nowy Pomnik Wojownika: Kane. Dodaj więcej blasku do swojego miasta!
-Nowe Drzewo Talentów: Wytrzymać—potężny sposób na obronę swojego terytorium i najlepszy wybór do atakowania najeźdźców!
-Nowe Wydarzenia Dziękczynne:
  Uczta z Okazji Zbiorów: Użyj Bonów Gourmet, aby wygrać wielkie festiwalowe skórki i obfite nagrody!
  Dar Zbiorów: Gromadź doładowania, aby otrzymać prezenty. Czekają na Ciebie Lakier Mecha i Kupony Rabatowe na Czarny Piątek!
  Symfonia Zbiorów: Loguj się codziennie, aby odblokować hojne nagrody!
  Świąteczna Kuchnia: Zbieraj Pudełka z Dziękczynnymi Składnikami, aby awansować w wydarzeniu i mieć szansę na zdobycie nowego efektu marszu—Podróż ku Słońcu!
  Nagrody za Doładowanie: Dokonaj jednorazowego zakupu, aby otrzymać wyjątkowe nagrody!
  Dary Dziękczynienia: Weź udział w obchodach zbiorów i zbieraj Pudełka z Dziękczynnymi Składnikami!
  Maszyna Dziękczynnej Gachy: Wydawaj zapasy, aby zdobyć szczęśliwe gachy!
  Jesienne Poszukiwanie Skarbów: Eksploruj podziemne skarby i wygrywaj obfite nagrody!
-Nowe Wydarzenia na Czarny Piątek:
  Łańcuch Czarnego Piątku: Limitowana oferta na Czarny Piątek! Świętuj zarówno Czarny Piątek, jak i Dziękczynienie razem! Ciesz się najwyższymi rabatami w roku, z całkowitymi rabatami na pakiety do 3000%-4500%! Czekają niesamowite nagrody; świętuj podwójne festiwale i dziękujemy za wsparcie!
  Mega Okazje na Czarny Piątek: Ogromne zniżki na Czarny Piątek! Sklep z pełnymi zniżkami otwarty przez ograniczony czas, z pakietami do 50% taniej. Tylko raz w roku—nie przegap!
  Czarny Piątek! Polowanie na Okazje z Ekipą Małp: Zaproś znajomych do targowania się i przynieś do domu świetne okazje! Nowy Przepustka Grupowego Zakupu dostępna, zarabiaj Monety Radości bez przerwy! Dodano więcej przedmiotów, w tym skórki ratusza, dymki i emoji marszu powracające na ograniczony czas. Zdobądź okazję i zawsze wyjdź na plus! Pomaganie innym w targowaniu się przyniesie Nagrodę za Okazję!
-Nowa Funkcja Audio: Gracze mogą teraz wysyłać wiadomości głosowe w kanałach czatu;
-Nowa Funkcja Kopiowania Tekstu z Poczty: Niektóre treści poczty można teraz kopiować;
-Nowa Rozgrywka Wydarzenia: Wydarzenie Atak na Szaloną Gigamałpę będzie otwierane regularnie. Dołącz ze swoimi członkami gangu i wygraj wielkie nagrody;
-Optymalizacja Wyświetlania Dymków: Niektóre dymki nad budynkami można teraz wyłączyć w interfejsie szczegółów budynku;
-Optymalizacja Monitu Odblokowania: Gdy umiejętności jednostki nie są odblokowane, dodano monit odblokowania na stronie opisu umiejętności jednostki;
-Optymalizacja Zaznaczenia Zwiadu: Po sprawdzeniu miasta wroga, na interfejsie przez pewien czas pojawi się znak sprawdzenia;
-Optymalizacja Kapsuły Stazy: Dodano nowe zadania do Kapsuły Stazy;
-Optymalizacja Gwiezdnego Koloseum: Naprawiono problem, w którym nie można było dołączyć do meczów próbnych po rozpoczęciu turnieju.</v>
      </c>
      <c r="P61" s="148" t="str">
        <f>IFERROR(__xludf.DUMMYFUNCTION("""COMPUTED_VALUE"""),"-مقاتل جديد: فارس الظل—شارلوت روسي. سيواجه هؤلاء الهاربون الأشرار الحكم تحت ضوء القمر!
-ميكا جديد: قلب الحصن—سلحفاة الحرب. الدفاع النهائي الذي يسحق كل أوهام العدو!
-تمثال مقاتل جديد: كين. أضف المزيد من التألق إلى مدينتك!
-شجرة مواهب جديدة: التحمل—وسيلة قو"&amp;"ية للدفاع عن إقليمك وأفضل خيار لضرب المقتحمين!
-أحداث عيد الشكر الجديدة:
  حصاد العيد: استخدم قسائم الذواقة للفوز بزينة المهرجان الكبرى والجوائز الوفيرة!
  هدية الحصاد: اجمع الشحنات لتلقي الهدايا. طلاء ميكا وكوبونات خصم الجمعة السوداء في انتظارك!
  سيمفون"&amp;"ية الحصاد: سجل الدخول يوميًا لفتح المكافآت السخية!
  مطبخ عيد الشكر: اجمع صناديق مكونات عيد الشكر لترتقي في الحدث للحصول على فرصة للحصول على تأثير المسيرة الجديد—رحلة نحو الشمس!
  مكافآت الشحن: قم بعملية شراء واحدة لتلقي مكافآت استثنائية!
  حصاد عيد الشكر"&amp;": شارك في احتفالات الحصاد واجمع صناديق مكونات عيد الشكر!
  آلة جاتشا عيد الشكر: أنفق الإمدادات للحصول على جاتشا محظوظة!
  صيد كنوز الخريف: استكشف الكنوز تحت الأرض واربح جوائز وفيرة!
-أحداث الجمعة السوداء الجديدة:
  سلسلة الجمعة السوداء: إطلاق محدود للجمعة"&amp;" السوداء! احتفل بالجمعة السوداء وعيد الشكر معًا! استمتع بأعلى الخصومات في السنة، مع خصومات تصل إلى 3000%-4500%! جوائز مذهلة في انتظارك؛ احتفل بالمهرجانين المزدوجين وشكرًا لدعمك!
  صفقات ميجا الجمعة السوداء: خصومات ضخمة في الجمعة السوداء! المتجر ذو التخفيض"&amp;"ات الكاملة مفتوح لفترة محدودة، مع خصومات تصل إلى 50%. مرة واحدة في السنة فقط—لا تفوت الفرصة!
  الجمعة السوداء! صيد الصفقات مع فرقة القردة: ادعُ الأصدقاء للتفاوض وجلب الصفقات الرائعة إلى المنزل! تذكرة شراء المجموعة الجديدة متاحة، اكسب عملات الفرحة بلا توقف"&amp;"! تمت إضافة المزيد من العناصر، بما في ذلك زينة قاعة المدينة، لوحات الأسماء، وإيموجي المسيرة العائدة لفترة محدودة. احصل على صفقة وكن دائمًا في المقدمة! مساعدة الآخرين في التفاوض ستتلقى مكافأة التفاوض!
-ميزة الصوت الجديدة: يمكن للاعبين الآن إرسال رسائل صوتي"&amp;"ة في قنوات الدردشة;
-ميزة نسخ نص البريد الجديدة: يمكن الآن نسخ بعض محتويات البريد;
-طريقة لعب الحدث الجديدة: سيتم فتح حدث الهجوم على القرد العملاق المجنون بانتظام. انضم مع أعضاء عصابتك واربح الجوائز الكبرى;
-تحسين عرض الفقاعات: يمكن الآن إيقاف بعض الفقاعا"&amp;"ت فوق المباني في واجهة تفاصيل المبنى;
-تحسين مطالبة الفتح: عند عدم فتح مهارات الوحدة، تمت إضافة مطالبة الفتح إلى صفحة وصف مهارة الوحدة;
-تحسين علامة التجسس: بعد التجسس على مدينة العدو، ستظهر علامة التجسس على الواجهة لفترة من الوقت;
-تحسين كبسولة السكون: ت"&amp;"مت إضافة مهام جديدة إلى كبسولة السكون;
-تحسين مدرج النجوم: تم إصلاح المشكلة التي لم يكن بالإمكان الانضمام إلى المباريات التدريبية عند بدء البطولة.")</f>
        <v>-مقاتل جديد: فارس الظل—شارلوت روسي. سيواجه هؤلاء الهاربون الأشرار الحكم تحت ضوء القمر!
-ميكا جديد: قلب الحصن—سلحفاة الحرب. الدفاع النهائي الذي يسحق كل أوهام العدو!
-تمثال مقاتل جديد: كين. أضف المزيد من التألق إلى مدينتك!
-شجرة مواهب جديدة: التحمل—وسيلة قوية للدفاع عن إقليمك وأفضل خيار لضرب المقتحمين!
-أحداث عيد الشكر الجديدة:
  حصاد العيد: استخدم قسائم الذواقة للفوز بزينة المهرجان الكبرى والجوائز الوفيرة!
  هدية الحصاد: اجمع الشحنات لتلقي الهدايا. طلاء ميكا وكوبونات خصم الجمعة السوداء في انتظارك!
  سيمفونية الحصاد: سجل الدخول يوميًا لفتح المكافآت السخية!
  مطبخ عيد الشكر: اجمع صناديق مكونات عيد الشكر لترتقي في الحدث للحصول على فرصة للحصول على تأثير المسيرة الجديد—رحلة نحو الشمس!
  مكافآت الشحن: قم بعملية شراء واحدة لتلقي مكافآت استثنائية!
  حصاد عيد الشكر: شارك في احتفالات الحصاد واجمع صناديق مكونات عيد الشكر!
  آلة جاتشا عيد الشكر: أنفق الإمدادات للحصول على جاتشا محظوظة!
  صيد كنوز الخريف: استكشف الكنوز تحت الأرض واربح جوائز وفيرة!
-أحداث الجمعة السوداء الجديدة:
  سلسلة الجمعة السوداء: إطلاق محدود للجمعة السوداء! احتفل بالجمعة السوداء وعيد الشكر معًا! استمتع بأعلى الخصومات في السنة، مع خصومات تصل إلى 3000%-4500%! جوائز مذهلة في انتظارك؛ احتفل بالمهرجانين المزدوجين وشكرًا لدعمك!
  صفقات ميجا الجمعة السوداء: خصومات ضخمة في الجمعة السوداء! المتجر ذو التخفيضات الكاملة مفتوح لفترة محدودة، مع خصومات تصل إلى 50%. مرة واحدة في السنة فقط—لا تفوت الفرصة!
  الجمعة السوداء! صيد الصفقات مع فرقة القردة: ادعُ الأصدقاء للتفاوض وجلب الصفقات الرائعة إلى المنزل! تذكرة شراء المجموعة الجديدة متاحة، اكسب عملات الفرحة بلا توقف! تمت إضافة المزيد من العناصر، بما في ذلك زينة قاعة المدينة، لوحات الأسماء، وإيموجي المسيرة العائدة لفترة محدودة. احصل على صفقة وكن دائمًا في المقدمة! مساعدة الآخرين في التفاوض ستتلقى مكافأة التفاوض!
-ميزة الصوت الجديدة: يمكن للاعبين الآن إرسال رسائل صوتية في قنوات الدردشة;
-ميزة نسخ نص البريد الجديدة: يمكن الآن نسخ بعض محتويات البريد;
-طريقة لعب الحدث الجديدة: سيتم فتح حدث الهجوم على القرد العملاق المجنون بانتظام. انضم مع أعضاء عصابتك واربح الجوائز الكبرى;
-تحسين عرض الفقاعات: يمكن الآن إيقاف بعض الفقاعات فوق المباني في واجهة تفاصيل المبنى;
-تحسين مطالبة الفتح: عند عدم فتح مهارات الوحدة، تمت إضافة مطالبة الفتح إلى صفحة وصف مهارة الوحدة;
-تحسين علامة التجسس: بعد التجسس على مدينة العدو، ستظهر علامة التجسس على الواجهة لفترة من الوقت;
-تحسين كبسولة السكون: تمت إضافة مهام جديدة إلى كبسولة السكون;
-تحسين مدرج النجوم: تم إصلاح المشكلة التي لم يكن بالإمكان الانضمام إلى المباريات التدريبية عند بدء البطولة.</v>
      </c>
      <c r="Q61" s="148" t="str">
        <f>IFERROR(__xludf.DUMMYFUNCTION("""COMPUTED_VALUE"""),"-新しいファイター: シャドウナイト—シャーロット・ロッシ。あの凶悪な逃亡者たちは月明かりの下で裁きを受けるだろう！
-新しいメカ: バスティオンの心—ウォータートル。すべての敵の幻想を打ち砕く究極の防御！
-新しいファイターの像: カネ。あなたの都市にさらなる輝きを！
-新しいアビリティツリー: 耐える—領土を守る強力な手段であり、侵略者を撃退する最良の選択！
-新しい感謝祭イベント:
  収穫祭: グルメバウチャーを使用して、豪華なフェスティバルスキンと豊富な報酬を獲得しよう！
  収穫の贈り物: リ"&amp;"チャージを積み重ねてギフトを受け取ろう。メカラッカーとブラックフライデー割引クーポンが待っている！
  収穫交響曲: 毎日ログインして豪華な報酬をアンロックしよう！
  感謝祭キッチン: 感謝祭の食材を収集してイベントでレベルアップし、新しい行軍エフェクト—太陽への旅路を手に入れるチャンス！
  リチャージ報酬: 一度の購入で特別な報酬を受け取ろう！
  感謝祭の収穫: 収穫祭に参加して感謝祭の食材を収集しよう！
  感謝祭ガチャマシン: 用品を使ってラッキーガチャを手に入れよう！
  秋の宝探しの旅: "&amp;"地下の宝物を探索して豊富な報酬を獲得しよう！
-新しいブラックフライデーイベント:
  ブラックフライデーチェーン: 限定時間のブラックフライデー開始！ブラックフライデーと感謝祭を一緒に祝おう！年間最高のリベートを楽しみ、総パックリベートは3000%-4500%に達する！素晴らしい報酬が待っている、ダブルフェスティバルを祝ってサポートに感謝！
  ブラックフライデーメガディールズ: 大規模なブラックフライデー割引！フルリダクションストアが限定時間でオープン、パックが最大50%オフ。一年に一度だけ—見逃さな"&amp;"いで！
  ブラックフライデー！エイプスクワッドバーゲンハント: 友達を招待してバーゲンを楽しみ、素晴らしい取引を持ち帰ろう！新しいグループバイパスが利用可能、ジョイコインをノンストップで稼ごう！さらに多くのアイテムが追加され、基地スキン、ネームプレート、行軍絵文字が限定時間で再登場。取引を得て常に先を行こう！他の人のバーゲンを手伝うとバーゲン報酬を受け取る！
-新しい音声機能: プレイヤーはチャットチャンネルでボイスメッセージを送信できるようになりました；
-新しいメールテキストコピー機能: 一部のメー"&amp;"ル内容をコピーできるようになりました；
-新しいイベントプレイデータ: マッドギガントイベントが定期的にオープンします。ギルドメンバーと一緒に参加して大賞を獲得しよう；
-バブル表示の最適化: 建築物の詳細インターフェースで一部のバブルをオフにできるようになりました；
-アンロックプロンプトの最適化: ユニットスキルがアンロックされていない場合、ユニットスキル説明ページにアンロックプロンプトが追加されました；
-偵察マークの最適化: 敵の都市を偵察した後、インターフェースに一定期間偵察済みマークが表示され"&amp;"ます；
-スタシスポッドの最適化: スタシスポッドに新しいクエストが追加されました；
-アストラルコロシアムの最適化: トーナメントが開始されたときに練習マッチに参加できない問題を修正しました。")</f>
        <v>-新しいファイター: シャドウナイト—シャーロット・ロッシ。あの凶悪な逃亡者たちは月明かりの下で裁きを受けるだろう！
-新しいメカ: バスティオンの心—ウォータートル。すべての敵の幻想を打ち砕く究極の防御！
-新しいファイターの像: カネ。あなたの都市にさらなる輝きを！
-新しいアビリティツリー: 耐える—領土を守る強力な手段であり、侵略者を撃退する最良の選択！
-新しい感謝祭イベント:
  収穫祭: グルメバウチャーを使用して、豪華なフェスティバルスキンと豊富な報酬を獲得しよう！
  収穫の贈り物: リチャージを積み重ねてギフトを受け取ろう。メカラッカーとブラックフライデー割引クーポンが待っている！
  収穫交響曲: 毎日ログインして豪華な報酬をアンロックしよう！
  感謝祭キッチン: 感謝祭の食材を収集してイベントでレベルアップし、新しい行軍エフェクト—太陽への旅路を手に入れるチャンス！
  リチャージ報酬: 一度の購入で特別な報酬を受け取ろう！
  感謝祭の収穫: 収穫祭に参加して感謝祭の食材を収集しよう！
  感謝祭ガチャマシン: 用品を使ってラッキーガチャを手に入れよう！
  秋の宝探しの旅: 地下の宝物を探索して豊富な報酬を獲得しよう！
-新しいブラックフライデーイベント:
  ブラックフライデーチェーン: 限定時間のブラックフライデー開始！ブラックフライデーと感謝祭を一緒に祝おう！年間最高のリベートを楽しみ、総パックリベートは3000%-4500%に達する！素晴らしい報酬が待っている、ダブルフェスティバルを祝ってサポートに感謝！
  ブラックフライデーメガディールズ: 大規模なブラックフライデー割引！フルリダクションストアが限定時間でオープン、パックが最大50%オフ。一年に一度だけ—見逃さないで！
  ブラックフライデー！エイプスクワッドバーゲンハント: 友達を招待してバーゲンを楽しみ、素晴らしい取引を持ち帰ろう！新しいグループバイパスが利用可能、ジョイコインをノンストップで稼ごう！さらに多くのアイテムが追加され、基地スキン、ネームプレート、行軍絵文字が限定時間で再登場。取引を得て常に先を行こう！他の人のバーゲンを手伝うとバーゲン報酬を受け取る！
-新しい音声機能: プレイヤーはチャットチャンネルでボイスメッセージを送信できるようになりました；
-新しいメールテキストコピー機能: 一部のメール内容をコピーできるようになりました；
-新しいイベントプレイデータ: マッドギガントイベントが定期的にオープンします。ギルドメンバーと一緒に参加して大賞を獲得しよう；
-バブル表示の最適化: 建築物の詳細インターフェースで一部のバブルをオフにできるようになりました；
-アンロックプロンプトの最適化: ユニットスキルがアンロックされていない場合、ユニットスキル説明ページにアンロックプロンプトが追加されました；
-偵察マークの最適化: 敵の都市を偵察した後、インターフェースに一定期間偵察済みマークが表示されます；
-スタシスポッドの最適化: スタシスポッドに新しいクエストが追加されました；
-アストラルコロシアムの最適化: トーナメントが開始されたときに練習マッチに参加できない問題を修正しました。</v>
      </c>
      <c r="R61" s="148" t="str">
        <f>IFERROR(__xludf.DUMMYFUNCTION("""COMPUTED_VALUE"""),"-새로운 전사: 섀도우 나이트—샬럿 로시. 그 악랄한 도망자들은 달빛 아래에서 심판을 받을 것입니다!
-새로운 메카: 요새의 마음—전쟁 거북이. 모든 적의 망상을 부수는 궁극의 방어!
-새로운 전사 석상: 케인. 당신의 도시에 더 많은 빛을 추가하세요!
-새로운 재능 나무: 견디다—당신의 영토를 방어하는 강력한 수단이며 침입자를 공격하는 최고의 선택!
-새로운 추수감사절 이벤트:
  수확 축제: 고메 바우처를 사용하여 대축제 스킨과 풍부한 보상을 획득하"&amp;"세요!
  수확의 선물: 충전을 누적하여 선물을 받으세요. 메카 래커와 블랙 금요일 할인 쿠폰이 기다리고 있습니다!
  수확 교향곡: 매일 로그인하여 풍성한 보상을 잠금 해제하세요!
  추수감사절 주방: 추수감사절 식재료 상자를 수집하여 이벤트에서 레벨을 올리고 새로운 행군 이펙트—태양을 향한 여정을 획득할 기회를 잡으세요!
  충전 보상: 단일 구매로 특별한 보상을 받으세요!
  추수감사절 수확: 수확 축제에 참여하고 추수감사절 식재료 상자를 수집하세"&amp;"요!
  추수감사절 가챠 기계: 보급품을 사용하여 행운의 가챠를 얻으세요!
  가을 보물찾기 여행: 지하 보물을 탐험하고 풍성한 보상을 획득하세요!
-새로운 블랙 금요일 이벤트:
  블랙 금요일 체인: 한정 기간 블랙 금요일 출시! 블랙 금요일과 추수감사절을 함께 축하하세요! 연중 최고 리베이트를 즐기세요, 총 패키지 리베이트 최대 3000%-4500%! 놀라운 보상이 기다리고 있습니다; 이중 축제를 축하하고 여러분의 지원에 감사드립니다!
  블랙 금요"&amp;"일 메가 거래: 대규모 블랙 금요일 할인! 한정 기간 동안 전체 할인 매장이 열리며, 패키지가 최대 50% 할인됩니다. 1년에 한 번만—놓치지 마세요!
  블랙 금요일! 원숭이 무리 흥정 사냥: 친구들을 초대하여 흥정하고 멋진 거래를 가져가세요! 새로운 그룹 구매 패스가 제공되며, 즐거움 코인을 끊임없이 얻으세요! 더 많은 아이템이 추가되었으며, 기지 스킨, 도시 명패, 행군 이모티콘이 한정 기간 동안 돌아옵니다. 거래를 성사시키고 항상 앞서 나가세요!"&amp;" 다른 사람의 흥정을 도와주면 흥정 보상을 받습니다!
-새로운 오디오 기능: 이제 플레이어는 채팅 채널에서 음성 메시지를 보낼 수 있습니다;
-새로운 메일 텍스트 복사 기능: 일부 메일 내용을 이제 복사할 수 있습니다;
-새로운 이벤트 게임플레이: 미친 변이 원숭이 공격 이벤트가 정기적으로 열립니다. 무리 회원들과 함께 참여하여 대상을 획득하세요;
-버블 디스플레이 최적화: 건물 세부 사항 인터페이스에서 일부 건물 위의 버블을 끌 수 있습니다;
-잠금 "&amp;"해제 프롬프트 최적화: 유닛 스킬이 잠금 해제되지 않은 경우, 유닛 스킬 설명 페이지에 잠금 해제 프롬프트가 추가됩니다;
-정찰 마크 최적화: 적의 도시를 정찰한 후, 일정 기간 동안 인터페이스에 정찰된 마크가 나타납니다;
-스테이시스 포드 최적화: 스테이시스 포드에 새로운 퀘스트가 추가되었습니다;
-별의 사투 최적화: 토너먼트가 시작될 때 연습 매치에 참여할 수 없는 문제를 수정했습니다.")</f>
        <v>-새로운 전사: 섀도우 나이트—샬럿 로시. 그 악랄한 도망자들은 달빛 아래에서 심판을 받을 것입니다!
-새로운 메카: 요새의 마음—전쟁 거북이. 모든 적의 망상을 부수는 궁극의 방어!
-새로운 전사 석상: 케인. 당신의 도시에 더 많은 빛을 추가하세요!
-새로운 재능 나무: 견디다—당신의 영토를 방어하는 강력한 수단이며 침입자를 공격하는 최고의 선택!
-새로운 추수감사절 이벤트:
  수확 축제: 고메 바우처를 사용하여 대축제 스킨과 풍부한 보상을 획득하세요!
  수확의 선물: 충전을 누적하여 선물을 받으세요. 메카 래커와 블랙 금요일 할인 쿠폰이 기다리고 있습니다!
  수확 교향곡: 매일 로그인하여 풍성한 보상을 잠금 해제하세요!
  추수감사절 주방: 추수감사절 식재료 상자를 수집하여 이벤트에서 레벨을 올리고 새로운 행군 이펙트—태양을 향한 여정을 획득할 기회를 잡으세요!
  충전 보상: 단일 구매로 특별한 보상을 받으세요!
  추수감사절 수확: 수확 축제에 참여하고 추수감사절 식재료 상자를 수집하세요!
  추수감사절 가챠 기계: 보급품을 사용하여 행운의 가챠를 얻으세요!
  가을 보물찾기 여행: 지하 보물을 탐험하고 풍성한 보상을 획득하세요!
-새로운 블랙 금요일 이벤트:
  블랙 금요일 체인: 한정 기간 블랙 금요일 출시! 블랙 금요일과 추수감사절을 함께 축하하세요! 연중 최고 리베이트를 즐기세요, 총 패키지 리베이트 최대 3000%-4500%! 놀라운 보상이 기다리고 있습니다; 이중 축제를 축하하고 여러분의 지원에 감사드립니다!
  블랙 금요일 메가 거래: 대규모 블랙 금요일 할인! 한정 기간 동안 전체 할인 매장이 열리며, 패키지가 최대 50% 할인됩니다. 1년에 한 번만—놓치지 마세요!
  블랙 금요일! 원숭이 무리 흥정 사냥: 친구들을 초대하여 흥정하고 멋진 거래를 가져가세요! 새로운 그룹 구매 패스가 제공되며, 즐거움 코인을 끊임없이 얻으세요! 더 많은 아이템이 추가되었으며, 기지 스킨, 도시 명패, 행군 이모티콘이 한정 기간 동안 돌아옵니다. 거래를 성사시키고 항상 앞서 나가세요! 다른 사람의 흥정을 도와주면 흥정 보상을 받습니다!
-새로운 오디오 기능: 이제 플레이어는 채팅 채널에서 음성 메시지를 보낼 수 있습니다;
-새로운 메일 텍스트 복사 기능: 일부 메일 내용을 이제 복사할 수 있습니다;
-새로운 이벤트 게임플레이: 미친 변이 원숭이 공격 이벤트가 정기적으로 열립니다. 무리 회원들과 함께 참여하여 대상을 획득하세요;
-버블 디스플레이 최적화: 건물 세부 사항 인터페이스에서 일부 건물 위의 버블을 끌 수 있습니다;
-잠금 해제 프롬프트 최적화: 유닛 스킬이 잠금 해제되지 않은 경우, 유닛 스킬 설명 페이지에 잠금 해제 프롬프트가 추가됩니다;
-정찰 마크 최적화: 적의 도시를 정찰한 후, 일정 기간 동안 인터페이스에 정찰된 마크가 나타납니다;
-스테이시스 포드 최적화: 스테이시스 포드에 새로운 퀘스트가 추가되었습니다;
-별의 사투 최적화: 토너먼트가 시작될 때 연습 매치에 참여할 수 없는 문제를 수정했습니다.</v>
      </c>
      <c r="S61" s="148" t="str">
        <f>IFERROR(__xludf.DUMMYFUNCTION("""COMPUTED_VALUE"""),"-新增斗士：暗影骑士-夏洛特·罗西，那些罪大恶极的逃犯，必将在月光下得到审判！
-新增机甲：坚垒之心-战龟，极致的防御，摧毁敌人的一切妄想！
-新增斗士雕像：凯恩，来为你的城市增添更多光彩吧！
-新增天赋树：抗击，捍卫领土的强硬手段，痛击来犯者的最佳之选！
-新增丰收节活动：
丰收盛宴：使用美食奖券，赢取节日皮肤大奖及丰厚奖励！
丰收豪礼：累计储值，豪礼相送，机甲染色涂装、黑五折扣券等你来拿！
丰收乐章：每日登录，即可解锁丰厚奖励！
感恩厨房：收集感恩食材盒，提升活动等级，有机会获取全新行军特效-向阳而生"&amp;"！
充值豪礼：单次充值，获取超值奖励！
感恩丰收节：参与丰收庆典，收集感恩食材盒！
丰收节扭蛋机：消耗猩球物资，获得幸运扭蛋！
金秋探宝：地下探索宝藏，赢丰厚奖励！
-新增黑五活动：
黑五连锁：黑五限时开启！黑五、感恩节双节同庆！全年最高返利连锁，礼包总返利高达3000%-4500%！超值奖励等你来拿，双节同庆感恩有你！
黑五大回馈：黑五折扣大放送！满减商城限时开启，大额礼包低至50%折扣，全年一次，绝对不容错过！
黑五！全猿帮购：呼朋唤友来砍价，优惠好礼带回家！新增帮购通行证，欢乐币拿不停！更多道具上架"&amp;"，主城皮肤、铭牌、行军表情限时返场，砍价后入手只赚不亏！帮助砍价还有谢礼可领！
-新增语音功能：玩家可在聊天频道中发送语音消息；
-新增邮件文本复制功能：部分邮件内容可进行复制；
-新增活动玩法：进攻疯狂巨猿活动定期开启，和帮派成员踊跃参与，赢得大奖；
-气泡显示优化：建筑上方部分气泡，可以在建筑详情界面关闭；
-解锁提示优化：未解锁兵种技能时，兵种技能说明页增加解锁提示；
-侦察标识优化：现在侦察敌方主城后，会在界面上显示已侦察的标识，持续一段时间；
-休眠舱优化：休眠舱新增部分任务档位；
-决战卫星之"&amp;"巅优化：修复了联赛开启时，不能参与练习赛的问题。")</f>
        <v>-新增斗士：暗影骑士-夏洛特·罗西，那些罪大恶极的逃犯，必将在月光下得到审判！
-新增机甲：坚垒之心-战龟，极致的防御，摧毁敌人的一切妄想！
-新增斗士雕像：凯恩，来为你的城市增添更多光彩吧！
-新增天赋树：抗击，捍卫领土的强硬手段，痛击来犯者的最佳之选！
-新增丰收节活动：
丰收盛宴：使用美食奖券，赢取节日皮肤大奖及丰厚奖励！
丰收豪礼：累计储值，豪礼相送，机甲染色涂装、黑五折扣券等你来拿！
丰收乐章：每日登录，即可解锁丰厚奖励！
感恩厨房：收集感恩食材盒，提升活动等级，有机会获取全新行军特效-向阳而生！
充值豪礼：单次充值，获取超值奖励！
感恩丰收节：参与丰收庆典，收集感恩食材盒！
丰收节扭蛋机：消耗猩球物资，获得幸运扭蛋！
金秋探宝：地下探索宝藏，赢丰厚奖励！
-新增黑五活动：
黑五连锁：黑五限时开启！黑五、感恩节双节同庆！全年最高返利连锁，礼包总返利高达3000%-4500%！超值奖励等你来拿，双节同庆感恩有你！
黑五大回馈：黑五折扣大放送！满减商城限时开启，大额礼包低至50%折扣，全年一次，绝对不容错过！
黑五！全猿帮购：呼朋唤友来砍价，优惠好礼带回家！新增帮购通行证，欢乐币拿不停！更多道具上架，主城皮肤、铭牌、行军表情限时返场，砍价后入手只赚不亏！帮助砍价还有谢礼可领！
-新增语音功能：玩家可在聊天频道中发送语音消息；
-新增邮件文本复制功能：部分邮件内容可进行复制；
-新增活动玩法：进攻疯狂巨猿活动定期开启，和帮派成员踊跃参与，赢得大奖；
-气泡显示优化：建筑上方部分气泡，可以在建筑详情界面关闭；
-解锁提示优化：未解锁兵种技能时，兵种技能说明页增加解锁提示；
-侦察标识优化：现在侦察敌方主城后，会在界面上显示已侦察的标识，持续一段时间；
-休眠舱优化：休眠舱新增部分任务档位；
-决战卫星之巅优化：修复了联赛开启时，不能参与练习赛的问题。</v>
      </c>
      <c r="T61" s="148"/>
      <c r="U61" s="148"/>
      <c r="V61" s="148"/>
      <c r="W61" s="148"/>
      <c r="X61" s="148"/>
      <c r="Y61" s="148"/>
      <c r="Z61" s="148"/>
    </row>
    <row r="62">
      <c r="A62" s="165" t="str">
        <f>IFERROR(__xludf.DUMMYFUNCTION("""COMPUTED_VALUE"""),"0.71.0")</f>
        <v>0.71.0</v>
      </c>
      <c r="B62" s="168" t="str">
        <f>IFERROR(__xludf.DUMMYFUNCTION("""COMPUTED_VALUE"""),"-新增斗士：铁面教官-雷诺·施密特登场！铸就胜利的教官，硝烟中的铁拳战士！
-新增斗士雕像：古斯塔夫，来为你的城市增添更多光彩吧！
-新增天赋树：“摧毁”-粉碎一切，让敌对帮派的建筑和城市化为乌有！
-新增冬日节活动：
暖冬庆典：收集暖冬纪念章，组装冬日限定装饰物，获取丰厚奖励！更有冬日庆典纪念照片相赠！
欢乐对对碰：使用狂欢礼品券，即可免费开启冬日礼物！获取丰厚限定奖励！
超级幸运星：全服庆典，优惠抽奖，寻找超级幸运星！主城皮肤等你来！
冬日惊喜：抽取冬日主题列车皮肤，更有多种染色皮肤等你获取！
冬日豪"&amp;"礼：累计储值豪礼相送，获取暖冬纪念章、神奇袜子和机甲染色涂装！
璀璨之都：全新主城特效-雪花圆舞曲即将登场，等你来拿！
冬日矿场：地下探索宝藏，赢取丰厚奖励！
暖冬好礼：暖冬特惠，好礼送不停！
雪夜狂欢购：冬日连锁礼包限时开启，超多折扣等你来！
冬日奇缘：行军特效“冬日奇缘”限时返场！可在冬日节活动中开启冬日珍藏宝箱获得。
冬日晚宴：冬日节通行证活动开启，收集幸运铃铛，领取节日铭牌等丰厚奖励；参与排行榜竞争，赢取全新行军特效“星辉礼赞”！
-新增vip月度礼包：随vip等级解锁贵宾礼包，每月购买可获得超值"&amp;"返利奖励！    
-新增自动翻译语种选择：可以设置聊天中自动翻译的语言种类了！
-远征优化：解放双手！现在远征可以在通关几秒钟后，自动开启下一关的挑战了！")</f>
        <v>-新增斗士：铁面教官-雷诺·施密特登场！铸就胜利的教官，硝烟中的铁拳战士！
-新增斗士雕像：古斯塔夫，来为你的城市增添更多光彩吧！
-新增天赋树：“摧毁”-粉碎一切，让敌对帮派的建筑和城市化为乌有！
-新增冬日节活动：
暖冬庆典：收集暖冬纪念章，组装冬日限定装饰物，获取丰厚奖励！更有冬日庆典纪念照片相赠！
欢乐对对碰：使用狂欢礼品券，即可免费开启冬日礼物！获取丰厚限定奖励！
超级幸运星：全服庆典，优惠抽奖，寻找超级幸运星！主城皮肤等你来！
冬日惊喜：抽取冬日主题列车皮肤，更有多种染色皮肤等你获取！
冬日豪礼：累计储值豪礼相送，获取暖冬纪念章、神奇袜子和机甲染色涂装！
璀璨之都：全新主城特效-雪花圆舞曲即将登场，等你来拿！
冬日矿场：地下探索宝藏，赢取丰厚奖励！
暖冬好礼：暖冬特惠，好礼送不停！
雪夜狂欢购：冬日连锁礼包限时开启，超多折扣等你来！
冬日奇缘：行军特效“冬日奇缘”限时返场！可在冬日节活动中开启冬日珍藏宝箱获得。
冬日晚宴：冬日节通行证活动开启，收集幸运铃铛，领取节日铭牌等丰厚奖励；参与排行榜竞争，赢取全新行军特效“星辉礼赞”！
-新增vip月度礼包：随vip等级解锁贵宾礼包，每月购买可获得超值返利奖励！    
-新增自动翻译语种选择：可以设置聊天中自动翻译的语言种类了！
-远征优化：解放双手！现在远征可以在通关几秒钟后，自动开启下一关的挑战了！</v>
      </c>
      <c r="C62" s="168" t="str">
        <f>IFERROR(__xludf.DUMMYFUNCTION("""COMPUTED_VALUE"""),"- New Fighter: Meet Reynold Schmidt, the Steel Commander! A mentor of triumph, the iron fist that commands the battlefield!
- New Fighter Statue: Gustave joins your city—add some flair!
- New Talent Tree: ""Destruction"" - Obliterate enemy Gangs' building"&amp;"s and cities!
- Winter Festival Activities:
Winter Celebration: Collect Winter Medals and collect components for the exclusive decoration to earn exclusive rewards! Plus a special commemorative photo!
Match &amp; Fun: Use Carnival Gift Vouchers for free winte"&amp;"r gifts!
Super Lucky Star: Join the server-wide prize draw for a chance to win city skins!
Winter Delight: Draw for winter train skins and lacquer options!
Christmas Goodies: Accumulate top-ups for Winter Medals, Magic Stockings, and mech lacquers!
Splend"&amp;"id City: New city effect - Snowflake Waltz is coming soon!
Snowy Mines: Dig for treasures and win special prizes!
Winter Bundle: Enjoy special discounts and giveaways!
Frosty Night Deals: Limited-time pack bundles with huge discounts!
Winter Magic: Limite"&amp;"d return of the ""Winter Magic"" march effect—available from Winter Treasure Chests!
Winter Feast: Collect Lucky Bells in the Winter Pass event for rewards like a holiday nameplate and compete on the leaderboard for the ""Stellar Tribute"" march effect!
-"&amp;" VIP Monthly Packs: Unlock exclusive packs with VIP upgrades and get super-value rebates!
- Automatic Translation: Set your auto-translation preferences in chat!
- Expedition Optimization: Expeditions now auto-start the next challenge after a few seconds!")</f>
        <v>- New Fighter: Meet Reynold Schmidt, the Steel Commander! A mentor of triumph, the iron fist that commands the battlefield!
- New Fighter Statue: Gustave joins your city—add some flair!
- New Talent Tree: "Destruction" - Obliterate enemy Gangs' buildings and cities!
- Winter Festival Activities:
Winter Celebration: Collect Winter Medals and collect components for the exclusive decoration to earn exclusive rewards! Plus a special commemorative photo!
Match &amp; Fun: Use Carnival Gift Vouchers for free winter gifts!
Super Lucky Star: Join the server-wide prize draw for a chance to win city skins!
Winter Delight: Draw for winter train skins and lacquer options!
Christmas Goodies: Accumulate top-ups for Winter Medals, Magic Stockings, and mech lacquers!
Splendid City: New city effect - Snowflake Waltz is coming soon!
Snowy Mines: Dig for treasures and win special prizes!
Winter Bundle: Enjoy special discounts and giveaways!
Frosty Night Deals: Limited-time pack bundles with huge discounts!
Winter Magic: Limited return of the "Winter Magic" march effect—available from Winter Treasure Chests!
Winter Feast: Collect Lucky Bells in the Winter Pass event for rewards like a holiday nameplate and compete on the leaderboard for the "Stellar Tribute" march effect!
- VIP Monthly Packs: Unlock exclusive packs with VIP upgrades and get super-value rebates!
- Automatic Translation: Set your auto-translation preferences in chat!
- Expedition Optimization: Expeditions now auto-start the next challenge after a few seconds!</v>
      </c>
      <c r="D62" s="168" t="str">
        <f>IFERROR(__xludf.DUMMYFUNCTION("""COMPUTED_VALUE"""),"- Nouveau combattant : Rencontrez Reynold Schmidt, le Commandant d'Acier ! Un mentor de la victoire, le poing de fer qui commande le champ de bataille !
- Nouvelle statue de combattant : Gustave rejoint votre ville—ajoutez une touche de style !
- Nouvel a"&amp;"rbre de talents : ""Destruction"" - Anéantissez les bâtiments et les villes des gangs ennemis !
- Activités du Festival d'Hiver :
Célébration Hivernale : Récupérez des Médailles Hivernales et collectez des composants pour la décoration exclusive afin de g"&amp;"agner des récompenses exclusives ! Plus une photo commémorative spéciale !
Match &amp; Fun : Utilisez des Bons pour cadeau de carnaval pour des cadeaux d'hiver gratuits !
Super Étoile Chanceuse : Participez au tirage au sort à l'échelle du serveur pour avoir "&amp;"une chance de gagner des thèmes de ville !
Joie Hivernale : Dessinez pour des thèmes de train d'hiver et des options de laque !
Cadeaux de Noël : Accumulez des recharges pour des Médailles Hivernales, des Chaussettes magiques et des laques mécha !
Ville S"&amp;"plendide : Nouvel effet de ville - La Valse des Flocons de Neige arrive bientôt !
Mines Enneigées : Creusez pour des trésors et gagnez des prix spéciaux !
Pack Hivernal : Profitez de réductions spéciales et de cadeaux !
Offres de Nuit Givrées : Packs en é"&amp;"dition limitée avec des réductions énormes !
Magie de l'hiver : Retour limité de l'effet de déplacement ""Magie de l'hiver""—disponible dans les Coffres au Trésor Hivernaux !
Festin Hivernal : Récupérez des Carillons porte-bonheur dans l'événement Winter "&amp;"Pass pour des récompenses comme une plaque de nom de vacances et concourez dans le classement pour l'effet de déplacement ""Hommage Stellaire"" !
- Packs mensuels VIP : Débloquez des packs exclusifs avec des améliorations VIP et obtenez des remises super-"&amp;"values !
- Traduction automatique : Définissez vos préférences de traduction automatique dans le chat !
- Optimisation de l'expédition : Les expéditions démarrent automatiquement le prochain défi après quelques secondes !")</f>
        <v>- Nouveau combattant : Rencontrez Reynold Schmidt, le Commandant d'Acier ! Un mentor de la victoire, le poing de fer qui commande le champ de bataille !
- Nouvelle statue de combattant : Gustave rejoint votre ville—ajoutez une touche de style !
- Nouvel arbre de talents : "Destruction" - Anéantissez les bâtiments et les villes des gangs ennemis !
- Activités du Festival d'Hiver :
Célébration Hivernale : Récupérez des Médailles Hivernales et collectez des composants pour la décoration exclusive afin de gagner des récompenses exclusives ! Plus une photo commémorative spéciale !
Match &amp; Fun : Utilisez des Bons pour cadeau de carnaval pour des cadeaux d'hiver gratuits !
Super Étoile Chanceuse : Participez au tirage au sort à l'échelle du serveur pour avoir une chance de gagner des thèmes de ville !
Joie Hivernale : Dessinez pour des thèmes de train d'hiver et des options de laque !
Cadeaux de Noël : Accumulez des recharges pour des Médailles Hivernales, des Chaussettes magiques et des laques mécha !
Ville Splendide : Nouvel effet de ville - La Valse des Flocons de Neige arrive bientôt !
Mines Enneigées : Creusez pour des trésors et gagnez des prix spéciaux !
Pack Hivernal : Profitez de réductions spéciales et de cadeaux !
Offres de Nuit Givrées : Packs en édition limitée avec des réductions énormes !
Magie de l'hiver : Retour limité de l'effet de déplacement "Magie de l'hiver"—disponible dans les Coffres au Trésor Hivernaux !
Festin Hivernal : Récupérez des Carillons porte-bonheur dans l'événement Winter Pass pour des récompenses comme une plaque de nom de vacances et concourez dans le classement pour l'effet de déplacement "Hommage Stellaire" !
- Packs mensuels VIP : Débloquez des packs exclusifs avec des améliorations VIP et obtenez des remises super-values !
- Traduction automatique : Définissez vos préférences de traduction automatique dans le chat !
- Optimisation de l'expédition : Les expéditions démarrent automatiquement le prochain défi après quelques secondes !</v>
      </c>
      <c r="E62" s="168" t="str">
        <f>IFERROR(__xludf.DUMMYFUNCTION("""COMPUTED_VALUE"""),"- Neuer Kämpfer: Treffen Sie Reynold Schmidt, den Stahlkommandanten! Ein Mentor des Triumphs, die eiserne Faust, die das Schlachtfeld beherrscht!
- Neue Kämpfer-Statue: Gustave schließt sich deiner Stadt an – füge etwas Flair hinzu!
- Neuer Talentbaum: """&amp;"Zerstörung"" - Vernichte die Gebäude und Städte feindlicher Clans!
- Winterfest-Aktivitäten:
Winterfeier: Sammle Wintermedaillen und Komponenten für die exklusive Dekoration, um exklusive Belohnungen zu verdienen! Plus ein spezielles Erinnerungsfoto!
Matc"&amp;"h &amp; Spaß: Verwende Karneval-Geschenkgutscheine für kostenlose Wintergeschenke!
Super Glücksstern: Nimm an der serverweiten Verlosung teil, um Stadtdesigns zu gewinnen!
Winterfreude: Ziehe für Winterzug-Designs und Lackoptionen!
Weihnachtliches Goodie: Sam"&amp;"mle Aufladungen für Wintermedaillen, Zauberstrümpfe und Mech-Lacke!
Fantastische Stadt: Neuer Stadteffekt - Schneeflocken-Walzer kommt bald!
Schneebedeckte Minen: Grabe nach Schätzen und gewinne spezielle Preise!
Winterpaket: Genieße spezielle Rabatte und"&amp;" Geschenke!
Frostige Nacht-Angebote: Limitierte Paketbündel mit großen Rabatten!
Winterzauber: Limitierte Rückkehr des ""Winterzauber""-Marsch-Effekts – erhältlich aus Winter-Schatztruhen!
Winterfest: Sammle Glücksglocken im Winterpass-Event für Belohnung"&amp;"en wie ein Feiertags-Namensschild und konkurriere auf der Rangliste um den ""Stellaren Tribut""-Marsch-Effekt!
- VIP-Monatspakete: Schalte exklusive Pakete mit VIP-Aufwertungen frei und erhalte Super-Wert-Rabatte!
- Automatische Übersetzung: Stelle deine "&amp;"Auto-Übersetzungspräferenzen im Chat ein!
- Expeditionsoptimierung: Expeditionen starten nun nach einigen Sekunden automatisch die nächste Herausforderung!")</f>
        <v>- Neuer Kämpfer: Treffen Sie Reynold Schmidt, den Stahlkommandanten! Ein Mentor des Triumphs, die eiserne Faust, die das Schlachtfeld beherrscht!
- Neue Kämpfer-Statue: Gustave schließt sich deiner Stadt an – füge etwas Flair hinzu!
- Neuer Talentbaum: "Zerstörung" - Vernichte die Gebäude und Städte feindlicher Clans!
- Winterfest-Aktivitäten:
Winterfeier: Sammle Wintermedaillen und Komponenten für die exklusive Dekoration, um exklusive Belohnungen zu verdienen! Plus ein spezielles Erinnerungsfoto!
Match &amp; Spaß: Verwende Karneval-Geschenkgutscheine für kostenlose Wintergeschenke!
Super Glücksstern: Nimm an der serverweiten Verlosung teil, um Stadtdesigns zu gewinnen!
Winterfreude: Ziehe für Winterzug-Designs und Lackoptionen!
Weihnachtliches Goodie: Sammle Aufladungen für Wintermedaillen, Zauberstrümpfe und Mech-Lacke!
Fantastische Stadt: Neuer Stadteffekt - Schneeflocken-Walzer kommt bald!
Schneebedeckte Minen: Grabe nach Schätzen und gewinne spezielle Preise!
Winterpaket: Genieße spezielle Rabatte und Geschenke!
Frostige Nacht-Angebote: Limitierte Paketbündel mit großen Rabatten!
Winterzauber: Limitierte Rückkehr des "Winterzauber"-Marsch-Effekts – erhältlich aus Winter-Schatztruhen!
Winterfest: Sammle Glücksglocken im Winterpass-Event für Belohnungen wie ein Feiertags-Namensschild und konkurriere auf der Rangliste um den "Stellaren Tribut"-Marsch-Effekt!
- VIP-Monatspakete: Schalte exklusive Pakete mit VIP-Aufwertungen frei und erhalte Super-Wert-Rabatte!
- Automatische Übersetzung: Stelle deine Auto-Übersetzungspräferenzen im Chat ein!
- Expeditionsoptimierung: Expeditionen starten nun nach einigen Sekunden automatisch die nächste Herausforderung!</v>
      </c>
      <c r="F62" s="168" t="str">
        <f>IFERROR(__xludf.DUMMYFUNCTION("""COMPUTED_VALUE"""),"- Novo Combatente: Conheça Reynold Schmidt, o Comandante de Aço! Um mentor do triunfo, o punho de ferro que comanda o campo de batalha!
- Nova Estátua Combatente: Gustave se junta à sua cidade—adicione um toque especial!
- Nova Árvore de Talentos: ""Destr"&amp;"uição"" - Destrua os edifícios e cidades das Gangues inimigas!
- Atividades do Festival de Inverno:
Celebração de Inverno: Colete Medalhas de Inverno e colete componentes para a decoração exclusiva para ganhar recompensas exclusivas! Além de uma foto come"&amp;"morativa especial!
Partida &amp; Diversão: Use Vouchers de Presente de Carnaval para presentes de inverno grátis!
Super Estrela Sortuda: Participe do sorteio de prêmios em todo o servidor para ter a chance de ganhar temas da cidade!
Encanto Invernal: Desenhe "&amp;"skins de trem de inverno e opções de laca!
Bênçãos de Natal: Acumule recargas para Medalhas de Inverno, Meias Mágicas e lacas de mech!
Cidade Esplêndida: Novo efeito de cidade - Valsa do Floco de Neve está chegando em breve!
Minas Nevadas: Cave por tesour"&amp;"os e ganhe prêmios especiais!
Pacote de Inverno: Aproveite descontos especiais e brindes!
Ofertas da Noite Gélida: Pacotes limitados com grandes descontos!
Magia do Inverno: Retorno limitado do efeito de marcha ""Magia do Inverno""—disponível nos Baús de "&amp;"Tesouro de Inverno!
Festa de Inverno: Colete Sinos da Sorte no evento Passe de Inverno para recompensas como uma tabulete de feriado e compita na classificação para o efeito de marcha ""Tributo Estelar""!
- Pacotes Mensais VIP: Desbloqueie pacotes exclusi"&amp;"vos com melhorias VIP e obtenha reembolsos de super valor!
- Tradução Automática: Defina suas preferências de tradução automática no bate-papo!
- Otimização de Expedição: As expedições agora começam automaticamente o próximo desafio após alguns segundos!")</f>
        <v>- Novo Combatente: Conheça Reynold Schmidt, o Comandante de Aço! Um mentor do triunfo, o punho de ferro que comanda o campo de batalha!
- Nova Estátua Combatente: Gustave se junta à sua cidade—adicione um toque especial!
- Nova Árvore de Talentos: "Destruição" - Destrua os edifícios e cidades das Gangues inimigas!
- Atividades do Festival de Inverno:
Celebração de Inverno: Colete Medalhas de Inverno e colete componentes para a decoração exclusiva para ganhar recompensas exclusivas! Além de uma foto comemorativa especial!
Partida &amp; Diversão: Use Vouchers de Presente de Carnaval para presentes de inverno grátis!
Super Estrela Sortuda: Participe do sorteio de prêmios em todo o servidor para ter a chance de ganhar temas da cidade!
Encanto Invernal: Desenhe skins de trem de inverno e opções de laca!
Bênçãos de Natal: Acumule recargas para Medalhas de Inverno, Meias Mágicas e lacas de mech!
Cidade Esplêndida: Novo efeito de cidade - Valsa do Floco de Neve está chegando em breve!
Minas Nevadas: Cave por tesouros e ganhe prêmios especiais!
Pacote de Inverno: Aproveite descontos especiais e brindes!
Ofertas da Noite Gélida: Pacotes limitados com grandes descontos!
Magia do Inverno: Retorno limitado do efeito de marcha "Magia do Inverno"—disponível nos Baús de Tesouro de Inverno!
Festa de Inverno: Colete Sinos da Sorte no evento Passe de Inverno para recompensas como uma tabulete de feriado e compita na classificação para o efeito de marcha "Tributo Estelar"!
- Pacotes Mensais VIP: Desbloqueie pacotes exclusivos com melhorias VIP e obtenha reembolsos de super valor!
- Tradução Automática: Defina suas preferências de tradução automática no bate-papo!
- Otimização de Expedição: As expedições agora começam automaticamente o próximo desafio após alguns segundos!</v>
      </c>
      <c r="G62" s="168" t="str">
        <f>IFERROR(__xludf.DUMMYFUNCTION("""COMPUTED_VALUE"""),"-新增鬥士：鐵面教官-雷諾·施密特登場！鑄就勝利的教官，硝煙中的鐵拳戰士！
-新增鬥士雕像：古斯塔夫，來為你的城鎮等級增添更多光彩吧！
-新增天賦樹：“摧毀”-粉碎一切，讓敵方幫派的建造和城鎮等級化為烏有！
-新增冬日節活動：
暖冬慶典：收集暖冬紀念章，組裝冬日限定裝飾物，獲取豐厚獎勵！更有冬日慶典紀念照片相贈！
歡樂對對碰：使用狂歡禮品券，即可免費開啟冬日禮物！獲取豐厚限定獎勵！
超級幸運星：全服慶典，優惠抽獎，尋找超級幸運星！主城皮膚等你來！
冬日驚喜：抽取冬日主題列車皮膚，更有多種染色皮膚等你獲取！"&amp;"
冬日豪禮：累計儲值豪禮相送，獲取暖冬紀念章、神奇襪子和機甲染色塗裝！
璀璨之都：全新主城特效-雪花圓舞曲即將登場，等你來拿！
冬日礦場：地下探索寶藏，贏取豐厚獎勵！
暖冬好禮：暖冬特惠，好禮送不停！
雪夜狂歡購：冬日連鎖禮包限時開啟，超多折扣等你來！
冬日奇緣：行軍特效“冬日奇緣”限時返場！可在冬日節活動中開啟冬日珍藏寶箱獲得。
冬日晚宴：冬日節通行證活動開啟，收集幸運鈴鐺，全部領取節日銘牌等豐厚獎勵；參與排行榜競爭，贏取全新行軍特效“星輝禮讚”！
-新增vip月度禮包：隨vip等級解鎖貴賓禮包，每月購"&amp;"買可獲得超值返利獎勵！
-新增自動翻譯語種選擇：可以設定聊天中自動翻譯的語言種類了！
-遠征優化：解放雙手！現在遠征可以在通關幾秒鐘後，自動開啟下一關的挑戰了！")</f>
        <v>-新增鬥士：鐵面教官-雷諾·施密特登場！鑄就勝利的教官，硝煙中的鐵拳戰士！
-新增鬥士雕像：古斯塔夫，來為你的城鎮等級增添更多光彩吧！
-新增天賦樹：“摧毀”-粉碎一切，讓敵方幫派的建造和城鎮等級化為烏有！
-新增冬日節活動：
暖冬慶典：收集暖冬紀念章，組裝冬日限定裝飾物，獲取豐厚獎勵！更有冬日慶典紀念照片相贈！
歡樂對對碰：使用狂歡禮品券，即可免費開啟冬日禮物！獲取豐厚限定獎勵！
超級幸運星：全服慶典，優惠抽獎，尋找超級幸運星！主城皮膚等你來！
冬日驚喜：抽取冬日主題列車皮膚，更有多種染色皮膚等你獲取！
冬日豪禮：累計儲值豪禮相送，獲取暖冬紀念章、神奇襪子和機甲染色塗裝！
璀璨之都：全新主城特效-雪花圓舞曲即將登場，等你來拿！
冬日礦場：地下探索寶藏，贏取豐厚獎勵！
暖冬好禮：暖冬特惠，好禮送不停！
雪夜狂歡購：冬日連鎖禮包限時開啟，超多折扣等你來！
冬日奇緣：行軍特效“冬日奇緣”限時返場！可在冬日節活動中開啟冬日珍藏寶箱獲得。
冬日晚宴：冬日節通行證活動開啟，收集幸運鈴鐺，全部領取節日銘牌等豐厚獎勵；參與排行榜競爭，贏取全新行軍特效“星輝禮讚”！
-新增vip月度禮包：隨vip等級解鎖貴賓禮包，每月購買可獲得超值返利獎勵！
-新增自動翻譯語種選擇：可以設定聊天中自動翻譯的語言種類了！
-遠征優化：解放雙手！現在遠征可以在通關幾秒鐘後，自動開啟下一關的挑戰了！</v>
      </c>
      <c r="H62" s="168" t="str">
        <f>IFERROR(__xludf.DUMMYFUNCTION("""COMPUTED_VALUE"""),"- Pejuang Baru: Temui Reynold Schmidt, Komandan Baja! Seorang mentor kemenangan, tinju besi yang memimpin medan perang!
- Patung Pejuang Baru: Gustave bergabung dengan kota kamu—tambahkan sedikit gaya!
- Pohon Bakat Baru: ""Penghancuran"" - Hancurkan bang"&amp;"unan dan kota Geng musuh!
- Aktivitas Festival Musim Dingin:
Perayaan Musim Dingin: Kumpulkan Medali Musim Dingin dan kumpulkan komponen untuk dekorasi eksklusif untuk mendapatkan hadiah eksklusif! Plus foto kenang-kenangan khusus!
Pertandingan &amp; Ria: Gun"&amp;"akan Voucer Hadiah Karnaval untuk hadiah musim dingin gratis!
Bintang Super Beruntung: Bergabunglah dalam undian hadiah seluruh server untuk kesempatan memenangkan tema kota!
Kejutan Musim Dingin: Lukis untuk tema kereta musim dingin dan opsi pernis!
Hadi"&amp;"ah Mewah Musim Dingin: Kumpulkan top-up untuk Medali Musim Dingin, Kaus Kaki Ajaib, dan pernis mekanik!
Kota Megah: Efek kota baru - Valso Butiran Salju segera hadir!
Tambang Bersalju: Gali harta dan menangkan hadiah spesial!
Paket Musim Dingin: Nikmati d"&amp;"iskon khusus dan hadiah gratis!
Penawaran Malam Frosty: Paket bundel waktu terbatas dengan diskon besar!
Asmara Musim Dingin: Pengembalian terbatas dari efek berbaris ""Asmara Musim Dingin""—tersedia dari Peti Harta Karun Musim Dingin!
Pesta Musim Dingin:"&amp;" Kumpulkan Lonceng Keberuntungan dalam acara Winter Pass untuk hadiah seperti pelat nama liburan dan bersaing di papan peringkat untuk efek berbaris ""Upeti Bintang""!
- Paket Bulanan VIP: Buka paket eksklusif dengan peningkatan VIP dan dapatkan rabat nil"&amp;"ai super!
- Terjemahan Otomatis: Atur preferensi terjemahan otomatis kamu di obrolan!
- Optimalisasi Ekspedisi: Ekspedisi sekarang otomatis memulai tantangan berikutnya setelah beberapa detik!")</f>
        <v>- Pejuang Baru: Temui Reynold Schmidt, Komandan Baja! Seorang mentor kemenangan, tinju besi yang memimpin medan perang!
- Patung Pejuang Baru: Gustave bergabung dengan kota kamu—tambahkan sedikit gaya!
- Pohon Bakat Baru: "Penghancuran" - Hancurkan bangunan dan kota Geng musuh!
- Aktivitas Festival Musim Dingin:
Perayaan Musim Dingin: Kumpulkan Medali Musim Dingin dan kumpulkan komponen untuk dekorasi eksklusif untuk mendapatkan hadiah eksklusif! Plus foto kenang-kenangan khusus!
Pertandingan &amp; Ria: Gunakan Voucer Hadiah Karnaval untuk hadiah musim dingin gratis!
Bintang Super Beruntung: Bergabunglah dalam undian hadiah seluruh server untuk kesempatan memenangkan tema kota!
Kejutan Musim Dingin: Lukis untuk tema kereta musim dingin dan opsi pernis!
Hadiah Mewah Musim Dingin: Kumpulkan top-up untuk Medali Musim Dingin, Kaus Kaki Ajaib, dan pernis mekanik!
Kota Megah: Efek kota baru - Valso Butiran Salju segera hadir!
Tambang Bersalju: Gali harta dan menangkan hadiah spesial!
Paket Musim Dingin: Nikmati diskon khusus dan hadiah gratis!
Penawaran Malam Frosty: Paket bundel waktu terbatas dengan diskon besar!
Asmara Musim Dingin: Pengembalian terbatas dari efek berbaris "Asmara Musim Dingin"—tersedia dari Peti Harta Karun Musim Dingin!
Pesta Musim Dingin: Kumpulkan Lonceng Keberuntungan dalam acara Winter Pass untuk hadiah seperti pelat nama liburan dan bersaing di papan peringkat untuk efek berbaris "Upeti Bintang"!
- Paket Bulanan VIP: Buka paket eksklusif dengan peningkatan VIP dan dapatkan rabat nilai super!
- Terjemahan Otomatis: Atur preferensi terjemahan otomatis kamu di obrolan!
- Optimalisasi Ekspedisi: Ekspedisi sekarang otomatis memulai tantangan berikutnya setelah beberapa detik!</v>
      </c>
      <c r="I62" s="168" t="str">
        <f>IFERROR(__xludf.DUMMYFUNCTION("""COMPUTED_VALUE"""),"- นักสู้ตัวใหม่: พบกับ เรย์โนลด์ ชมิดท์, ผู้บัญชาการเหล็ก! ผู้ให้คำปรึกษาแห่งชัยชนะ, กำปั้นเหล็กที่ควบคุมสนามรบ!
- รูปปั้นนักสู้ตัวใหม่: กุสตาฟเข้าร่วมเมืองของคุณ—เพิ่มความโดดเด่น!
- ต้นไม้ความสามารถใหม่: ""ทำลายล้าง"" - ทำลายสิ่งก่อสร้างและเมืองของแก๊งศั"&amp;"ตรู!
- กิจกรรมเทศกาลฤดูหนาว:
เฉลิมฉลองฤดูหนาว: เก็บเหรียญฤดูหนาวและเก็บส่วนประกอบสำหรับการตกแต่งสุดพิเศษเพื่อรับรางวัลพิเศษ! พร้อมกับภาพถ่ายที่ระลึกพิเศษ!
การจับคู่ &amp; ความสนุก: ใช้บัตรกำนัลของขวัญคาร์นิวัลสำหรับของขวัญฤดูหนาวฟรี!
ซูเปอร์สตาร์โชคดี: เข้าร่"&amp;"วมการจับรางวัลทั่วเซิร์ฟเวอร์เพื่อมีโอกาสชนะธีมของเมือง!
เซอร์ไพรส์ฤดูหนาว: วาดสำหรับธีมรถไฟฤดูหนาวและตัวเลือกแลคเกอร์!
ของขวัญฤดูหนาว: สะสมการเติมเงินสำหรับเหรียญฤดูหนาว, ถุงเท้าวิเศษ, และแลคเกอร์เมค!
เมืองสุดพิเศษ: เอฟเฟกต์เมืองใหม่ - วอลซ์เกล็ดหิมะกำลั"&amp;"งจะมาเร็ว ๆ นี้!
เหมืองหิมะ: ขุดหาสมบัติและชนะรางวัลพิเศษ!
ชุดฤดูหนาว: เพลิดเพลินกับส่วนลดพิเศษและของแจก!
ดีลคืนหนาวเหน็บ: แพ็กชุดจำกัดเวลาพร้อมส่วนลดมากมาย!
ฤดูหนาวร้อนรัก: การกลับมาของเอฟเฟกต์การเดินทัพ ""ฤดูหนาวร้อนรัก"" แบบจำกัด—มีให้จากหีบสมบัติฤดูหน"&amp;"าว!
งานเลี้ยงฤดูหนาว: เก็บกระดิ่งแห่งโชคในกิจกรรม Winter Pass เพื่อรับรางวัลเช่นป้ายชื่อวันหยุดและแข่งขันในอันดับเพื่อเอฟเฟกต์การเดินทัพ ""เครื่องบรรณาการดวงดาว""!
- แพ็ก VIP รายเดือน: ปลดล็อกแพ็กสุดพิเศษด้วยการอัปเกรด VIP และรับเงินคืนมูลค่าสูง!
- การแปล"&amp;"อัตโนมัติ: ตั้งค่าการแปลอัตโนมัติในแชท!
- การปรับปรุงการสำรวจ: การสำรวจจะเริ่มการท้าทายถัดไปโดยอัตโนมัติหลังจากไม่กี่วินาที!")</f>
        <v>- นักสู้ตัวใหม่: พบกับ เรย์โนลด์ ชมิดท์, ผู้บัญชาการเหล็ก! ผู้ให้คำปรึกษาแห่งชัยชนะ, กำปั้นเหล็กที่ควบคุมสนามรบ!
- รูปปั้นนักสู้ตัวใหม่: กุสตาฟเข้าร่วมเมืองของคุณ—เพิ่มความโดดเด่น!
- ต้นไม้ความสามารถใหม่: "ทำลายล้าง" - ทำลายสิ่งก่อสร้างและเมืองของแก๊งศัตรู!
- กิจกรรมเทศกาลฤดูหนาว:
เฉลิมฉลองฤดูหนาว: เก็บเหรียญฤดูหนาวและเก็บส่วนประกอบสำหรับการตกแต่งสุดพิเศษเพื่อรับรางวัลพิเศษ! พร้อมกับภาพถ่ายที่ระลึกพิเศษ!
การจับคู่ &amp; ความสนุก: ใช้บัตรกำนัลของขวัญคาร์นิวัลสำหรับของขวัญฤดูหนาวฟรี!
ซูเปอร์สตาร์โชคดี: เข้าร่วมการจับรางวัลทั่วเซิร์ฟเวอร์เพื่อมีโอกาสชนะธีมของเมือง!
เซอร์ไพรส์ฤดูหนาว: วาดสำหรับธีมรถไฟฤดูหนาวและตัวเลือกแลคเกอร์!
ของขวัญฤดูหนาว: สะสมการเติมเงินสำหรับเหรียญฤดูหนาว, ถุงเท้าวิเศษ, และแลคเกอร์เมค!
เมืองสุดพิเศษ: เอฟเฟกต์เมืองใหม่ - วอลซ์เกล็ดหิมะกำลังจะมาเร็ว ๆ นี้!
เหมืองหิมะ: ขุดหาสมบัติและชนะรางวัลพิเศษ!
ชุดฤดูหนาว: เพลิดเพลินกับส่วนลดพิเศษและของแจก!
ดีลคืนหนาวเหน็บ: แพ็กชุดจำกัดเวลาพร้อมส่วนลดมากมาย!
ฤดูหนาวร้อนรัก: การกลับมาของเอฟเฟกต์การเดินทัพ "ฤดูหนาวร้อนรัก" แบบจำกัด—มีให้จากหีบสมบัติฤดูหนาว!
งานเลี้ยงฤดูหนาว: เก็บกระดิ่งแห่งโชคในกิจกรรม Winter Pass เพื่อรับรางวัลเช่นป้ายชื่อวันหยุดและแข่งขันในอันดับเพื่อเอฟเฟกต์การเดินทัพ "เครื่องบรรณาการดวงดาว"!
- แพ็ก VIP รายเดือน: ปลดล็อกแพ็กสุดพิเศษด้วยการอัปเกรด VIP และรับเงินคืนมูลค่าสูง!
- การแปลอัตโนมัติ: ตั้งค่าการแปลอัตโนมัติในแชท!
- การปรับปรุงการสำรวจ: การสำรวจจะเริ่มการท้าทายถัดไปโดยอัตโนมัติหลังจากไม่กี่วินาที!</v>
      </c>
      <c r="J62" s="168" t="str">
        <f>IFERROR(__xludf.DUMMYFUNCTION("""COMPUTED_VALUE"""),"- Nuevo Luchador: ¡Conoce a Reynold Schmidt, el Comandante de Acero! ¡Un mentor del triunfo, el puño de hierro que comanda el campo de batalla!
- Nueva Estatua del Luchador: Gustave se une a tu ciudad—¡añade un toque de estilo!
- Nuevo Árbol de Talento: "&amp;"""Destrucción"" - ¡Destruye los edificios y ciudades de las Bandas enemigas!
- Actividades del Festival Invernal:
Celebración Invernal: ¡Recolecta Medallas Invernales y componentes para la decoración exclusiva para ganar recompensas exclusivas! ¡Además, u"&amp;"na foto conmemorativa especial!
Partida y Diversión: ¡Usa Vales de Regalo del Carnaval para regalos invernales gratis!
Súper Estrella de la Suerte: ¡Únete al sorteo de premios a nivel de servidor para tener la oportunidad de ganar temáticas de ciudad!
Del"&amp;"eite Invernal: ¡Dibuja para obtener temáticas de tren invernales y opciones de laca!
Sorpresas Navideñas: ¡Acumula recargas para Medallas Invernales, Medias Mágicas y lacas de mech!
Ciudad Espléndida: Nuevo efecto de ciudad - ¡El Vals de Copos de Nieve ll"&amp;"egará pronto!
Minas Nevadas: ¡Excava en busca de tesoros y gana premios especiales!
Paquete Invernal: ¡Disfruta de descuentos especiales y regalos!
Ofertas de Noche Helada: ¡Paquetes de tiempo limitado con grandes descuentos!
Magia Invernal: Retorno limit"&amp;"ado del efecto de marcha ""Magia Invernal""—¡disponible en los Cofres del Tesoro Invernal!
Festín Invernal: ¡Recolecta Campanas de la Suerte en el evento Pase Invernal para recompensas como una placa de nombre festiva y compite en la tabla de clasificació"&amp;"n por el efecto de marcha ""Tributo Estelar""!
- Paquetes Mensuales VIP: ¡Desbloquea paquetes exclusivos con mejoras VIP y obtén reembolsos de súper valor!
- Traducción Automática: ¡Configura tus preferencias de traducción automática en el chat!
- Optimiz"&amp;"ación de Expedición: ¡Las expediciones ahora comienzan automáticamente el siguiente reto después de unos segundos!")</f>
        <v>- Nuevo Luchador: ¡Conoce a Reynold Schmidt, el Comandante de Acero! ¡Un mentor del triunfo, el puño de hierro que comanda el campo de batalla!
- Nueva Estatua del Luchador: Gustave se une a tu ciudad—¡añade un toque de estilo!
- Nuevo Árbol de Talento: "Destrucción" - ¡Destruye los edificios y ciudades de las Bandas enemigas!
- Actividades del Festival Invernal:
Celebración Invernal: ¡Recolecta Medallas Invernales y componentes para la decoración exclusiva para ganar recompensas exclusivas! ¡Además, una foto conmemorativa especial!
Partida y Diversión: ¡Usa Vales de Regalo del Carnaval para regalos invernales gratis!
Súper Estrella de la Suerte: ¡Únete al sorteo de premios a nivel de servidor para tener la oportunidad de ganar temáticas de ciudad!
Deleite Invernal: ¡Dibuja para obtener temáticas de tren invernales y opciones de laca!
Sorpresas Navideñas: ¡Acumula recargas para Medallas Invernales, Medias Mágicas y lacas de mech!
Ciudad Espléndida: Nuevo efecto de ciudad - ¡El Vals de Copos de Nieve llegará pronto!
Minas Nevadas: ¡Excava en busca de tesoros y gana premios especiales!
Paquete Invernal: ¡Disfruta de descuentos especiales y regalos!
Ofertas de Noche Helada: ¡Paquetes de tiempo limitado con grandes descuentos!
Magia Invernal: Retorno limitado del efecto de marcha "Magia Invernal"—¡disponible en los Cofres del Tesoro Invernal!
Festín Invernal: ¡Recolecta Campanas de la Suerte en el evento Pase Invernal para recompensas como una placa de nombre festiva y compite en la tabla de clasificación por el efecto de marcha "Tributo Estelar"!
- Paquetes Mensuales VIP: ¡Desbloquea paquetes exclusivos con mejoras VIP y obtén reembolsos de súper valor!
- Traducción Automática: ¡Configura tus preferencias de traducción automática en el chat!
- Optimización de Expedición: ¡Las expediciones ahora comienzan automáticamente el siguiente reto después de unos segundos!</v>
      </c>
      <c r="K62" s="168" t="str">
        <f>IFERROR(__xludf.DUMMYFUNCTION("""COMPUTED_VALUE"""),"- Новый герой: Встречайте Рейнольда Шмидта, Стального командира! Наставник победы, железный кулак, командующий полем боя!
- Новая статуя героя: Гюстав присоединяется к вашему городу — добавьте немного стиля!
- Новое дерево талантов: ""Разрушение"" - Уничт"&amp;"ожайте здания и города вражеских банд!
- Активности Зимнего праздника:
Зимнее Празднование: Собирайте зимние медали и компоненты для эксклюзивного украшения, чтобы получить эксклюзивные награды! Плюс специальное памятное фото!
Матч и веселье: Используйте "&amp;"купоны на подарок карнавала для бесплатных зимних подарков!
Супер Удачная Звезда: Примите участие в розыгрыше призов на сервере для шанса выиграть темы города!
Зимняя радость: Рисуйте зимние скины для поездов и варианты лака!
Рождественские лакомства: Нак"&amp;"опите пополнения для зимних медалей, волшебных носков и меховых лаков!
Великолепный город: Новый эффект города - Вальс Снежинок скоро в игре!
Снежные шахты: Копайте за сокровищами и выигрывайте специальные призы!
Зимний набор: Наслаждайтесь специальными с"&amp;"кидками и подарками!
Сделки Морозной Ночи: Ограниченные по времени наборы со скидками!
Зимнее волшебство: Ограниченное возвращение эффекта марша ""Зимнее волшебство"" — доступно из зимних сундуков сокровищ!
Зимний пир: Собирайте счастливые колокольчики в "&amp;"событии Зимний пропуск для наград, таких как праздничная именная табличка, и соревнуйтесь в таблице лидеров за эффект марша ""Звездная дань""!
- Ежемесячные VIP-наборы: Откройте эксклюзивные наборы с улучшениями VIP и получите супер-выгодные скидки!
- Авт"&amp;"оматический перевод: Установите предпочтения автоперевода в чате!
- Оптимизация экспедиций: Экспедиции теперь автоматически начинают следующую попытку через несколько секунд!")</f>
        <v>- Новый герой: Встречайте Рейнольда Шмидта, Стального командира! Наставник победы, железный кулак, командующий полем боя!
- Новая статуя героя: Гюстав присоединяется к вашему городу — добавьте немного стиля!
- Новое дерево талантов: "Разрушение" - Уничтожайте здания и города вражеских банд!
- Активности Зимнего праздника:
Зимнее Празднование: Собирайте зимние медали и компоненты для эксклюзивного украшения, чтобы получить эксклюзивные награды! Плюс специальное памятное фото!
Матч и веселье: Используйте купоны на подарок карнавала для бесплатных зимних подарков!
Супер Удачная Звезда: Примите участие в розыгрыше призов на сервере для шанса выиграть темы города!
Зимняя радость: Рисуйте зимние скины для поездов и варианты лака!
Рождественские лакомства: Накопите пополнения для зимних медалей, волшебных носков и меховых лаков!
Великолепный город: Новый эффект города - Вальс Снежинок скоро в игре!
Снежные шахты: Копайте за сокровищами и выигрывайте специальные призы!
Зимний набор: Наслаждайтесь специальными скидками и подарками!
Сделки Морозной Ночи: Ограниченные по времени наборы со скидками!
Зимнее волшебство: Ограниченное возвращение эффекта марша "Зимнее волшебство" — доступно из зимних сундуков сокровищ!
Зимний пир: Собирайте счастливые колокольчики в событии Зимний пропуск для наград, таких как праздничная именная табличка, и соревнуйтесь в таблице лидеров за эффект марша "Звездная дань"!
- Ежемесячные VIP-наборы: Откройте эксклюзивные наборы с улучшениями VIP и получите супер-выгодные скидки!
- Автоматический перевод: Установите предпочтения автоперевода в чате!
- Оптимизация экспедиций: Экспедиции теперь автоматически начинают следующую попытку через несколько секунд!</v>
      </c>
      <c r="L62" s="168" t="str">
        <f>IFERROR(__xludf.DUMMYFUNCTION("""COMPUTED_VALUE"""),"- Yeni Savaşçı: Reynold Schmidt, Çelik Komutanı ile tanışın! Zaferin akıl hocası, savaş meydanına hükmeden demir yumruk!
- Yeni Savaşçı Heykeli: Gustave şehrinize katılıyor—biraz şıklık katın!
- Yeni Yetenek Ağacı: ""Yıkım"" - Düşman Çetelerinin binaların"&amp;"ı ve şehirlerini yok edin!
- Kış Festivali Etkinlikleri:
Kış Kutlaması: Kış Madalyaları toplayın ve özel dekorasyon bileşenlerini toplayarak özel ödüller kazanın! Ayrıca özel bir anı fotoğrafı!
Eşleştirme ve Eğlence: Ücretsiz kış hediyeleri için Karnaval "&amp;"Hediye Fişlerini kullanın!
Süper Şanslı Yıldız: Şehir temaları kazanma şansı için sunucu genelinde ödül çekilişine katılın!
Kış Sürprizi: Kış tren temaları ve cila seçenekleri için çekiliş yapın!
Noel Armağan Paketi: Kış Madalyaları, Büyülü Çoraplar ve me"&amp;"ka cilaları için biriktirin!
Muhteşem Şehir: Yeni şehir efekti - Kar Tanesi Valsi çok yakında!
Karlı Madenler: Hazineler kazın ve özel ödüller kazanın!
Kış Paketi: Özel indirimler ve hediyelerden yararlanın!
Buzlu Gece Fırsatları: Büyük indirimlerle sınır"&amp;"lı süreli paketler!
Kış Büyüsü: ""Kış Büyüsü"" sefer etkisinin sınırlı dönüşü—Kış Hazine Sandıklarından temin edilebilir!
Kış Şöleni: Kış Geçidi etkinliğinde Şanslı Çanlar toplayın ve tatil ad plakası gibi ödüller kazanın ve ""Yıldız Hürmeti"" sefer etkis"&amp;"i için liderlik tablosunda yarışın!
- VIP Aylık Paketler: VIP yükseltmeleri ile özel paketlerin kilidini açın ve süper değerli geri ödemeler kazanın!
- Otomatik Çeviri: Sohbette otomatik çeviri tercihlerinizi ayarlayın!
- Sefer Optimizasyonu: Seferler bir"&amp;"kaç saniye sonra otomatik olarak bir sonraki meydan okumayı başlatır!")</f>
        <v>- Yeni Savaşçı: Reynold Schmidt, Çelik Komutanı ile tanışın! Zaferin akıl hocası, savaş meydanına hükmeden demir yumruk!
- Yeni Savaşçı Heykeli: Gustave şehrinize katılıyor—biraz şıklık katın!
- Yeni Yetenek Ağacı: "Yıkım" - Düşman Çetelerinin binalarını ve şehirlerini yok edin!
- Kış Festivali Etkinlikleri:
Kış Kutlaması: Kış Madalyaları toplayın ve özel dekorasyon bileşenlerini toplayarak özel ödüller kazanın! Ayrıca özel bir anı fotoğrafı!
Eşleştirme ve Eğlence: Ücretsiz kış hediyeleri için Karnaval Hediye Fişlerini kullanın!
Süper Şanslı Yıldız: Şehir temaları kazanma şansı için sunucu genelinde ödül çekilişine katılın!
Kış Sürprizi: Kış tren temaları ve cila seçenekleri için çekiliş yapın!
Noel Armağan Paketi: Kış Madalyaları, Büyülü Çoraplar ve meka cilaları için biriktirin!
Muhteşem Şehir: Yeni şehir efekti - Kar Tanesi Valsi çok yakında!
Karlı Madenler: Hazineler kazın ve özel ödüller kazanın!
Kış Paketi: Özel indirimler ve hediyelerden yararlanın!
Buzlu Gece Fırsatları: Büyük indirimlerle sınırlı süreli paketler!
Kış Büyüsü: "Kış Büyüsü" sefer etkisinin sınırlı dönüşü—Kış Hazine Sandıklarından temin edilebilir!
Kış Şöleni: Kış Geçidi etkinliğinde Şanslı Çanlar toplayın ve tatil ad plakası gibi ödüller kazanın ve "Yıldız Hürmeti" sefer etkisi için liderlik tablosunda yarışın!
- VIP Aylık Paketler: VIP yükseltmeleri ile özel paketlerin kilidini açın ve süper değerli geri ödemeler kazanın!
- Otomatik Çeviri: Sohbette otomatik çeviri tercihlerinizi ayarlayın!
- Sefer Optimizasyonu: Seferler birkaç saniye sonra otomatik olarak bir sonraki meydan okumayı başlatır!</v>
      </c>
      <c r="M62" s="168" t="str">
        <f>IFERROR(__xludf.DUMMYFUNCTION("""COMPUTED_VALUE"""),"- Chiến Binh Mới: Gặp Reynold Schmidt, Chỉ Huy Thép! Một người thầy của chiến thắng, nắm đấm sắt chỉ huy chiến trường!
- Tượng Chiến Binh Mới: Gustave gia nhập thành phố của bạn—thêm chút phong cách!
- Cây Tài Năng Mới: ""Sự Phá Hủy"" - Phá hủy các công t"&amp;"rình và thành phố của Bang Hội địch!
- Hoạt Động Lễ Hội Mùa Đông:
Đón Mừng Mùa Đông: Thu thập Huy Chương Mùa Đông và thu thập các thành phần cho trang trí độc quyền để nhận phần thưởng độc quyền! Cộng thêm một bức ảnh kỷ niệm đặc biệt!
Tìm Đối Thủ &amp; Niềm "&amp;"Vui: Sử dụng Phiếu Quà Tặng Lễ Hội để nhận quà mùa đông miễn phí!
Ngôi Sao Siêu May Mắn: Tham gia rút thăm trúng thưởng toàn máy chủ để có cơ hội giành được chủ đề thành phố!
Bất Ngờ Mùa Đông: Vẽ cho các chủ đề tàu mùa đông và các tùy chọn sơn mài!
Quà Kh"&amp;"ủng Mùa Đông: Tích lũy nạp tiền để nhận Huy Chương Mùa Đông, Tất Thần Kỳ và sơn mài cơ khí!
Thành Phố Tuyệt Diệu: Hiệu ứng thành phố mới - Vũ Điệu Bông Tuyết sắp ra mắt!
Mỏ Tuyết: Đào kho báu và giành những giải thưởng đặc biệt!
Gói Mùa Đông: Tận hưởng gi"&amp;"ảm giá đặc biệt và quà tặng!
Ưu Đãi Đêm Băng Giá: Gói giới hạn thời gian với giảm giá lớn!
Duyên Phận Mùa Đông: Sự trở lại giới hạn của hiệu ứng hành quân ""Duyên Phận Mùa Đông""—có sẵn từ Rương Kho Báu Mùa Đông!
Bữa Tiệc Mùa Đông: Thu thập Chuông May Mắn"&amp;" trong sự kiện Thẻ Mùa Đông để nhận phần thưởng như thẻ tên ngày lễ và cạnh tranh trên bảng xếp hạng để nhận hiệu ứng hành quân ""Cống Phẩm Tinh Tú""!
- Gói VIP Hàng Tháng: Mở khóa các gói độc quyền với nâng cấp VIP và nhận hoàn tiền siêu giá trị!
- Dịch "&amp;"Tự Động: Đặt tùy chọn dịch tự động của bạn trong chat!
- Tối Ưu Hóa Cuộc Viễn Chinh: Các cuộc viễn chinh sẽ tự động bắt đầu thử thách tiếp theo sau vài giây!")</f>
        <v>- Chiến Binh Mới: Gặp Reynold Schmidt, Chỉ Huy Thép! Một người thầy của chiến thắng, nắm đấm sắt chỉ huy chiến trường!
- Tượng Chiến Binh Mới: Gustave gia nhập thành phố của bạn—thêm chút phong cách!
- Cây Tài Năng Mới: "Sự Phá Hủy" - Phá hủy các công trình và thành phố của Bang Hội địch!
- Hoạt Động Lễ Hội Mùa Đông:
Đón Mừng Mùa Đông: Thu thập Huy Chương Mùa Đông và thu thập các thành phần cho trang trí độc quyền để nhận phần thưởng độc quyền! Cộng thêm một bức ảnh kỷ niệm đặc biệt!
Tìm Đối Thủ &amp; Niềm Vui: Sử dụng Phiếu Quà Tặng Lễ Hội để nhận quà mùa đông miễn phí!
Ngôi Sao Siêu May Mắn: Tham gia rút thăm trúng thưởng toàn máy chủ để có cơ hội giành được chủ đề thành phố!
Bất Ngờ Mùa Đông: Vẽ cho các chủ đề tàu mùa đông và các tùy chọn sơn mài!
Quà Khủng Mùa Đông: Tích lũy nạp tiền để nhận Huy Chương Mùa Đông, Tất Thần Kỳ và sơn mài cơ khí!
Thành Phố Tuyệt Diệu: Hiệu ứng thành phố mới - Vũ Điệu Bông Tuyết sắp ra mắt!
Mỏ Tuyết: Đào kho báu và giành những giải thưởng đặc biệt!
Gói Mùa Đông: Tận hưởng giảm giá đặc biệt và quà tặng!
Ưu Đãi Đêm Băng Giá: Gói giới hạn thời gian với giảm giá lớn!
Duyên Phận Mùa Đông: Sự trở lại giới hạn của hiệu ứng hành quân "Duyên Phận Mùa Đông"—có sẵn từ Rương Kho Báu Mùa Đông!
Bữa Tiệc Mùa Đông: Thu thập Chuông May Mắn trong sự kiện Thẻ Mùa Đông để nhận phần thưởng như thẻ tên ngày lễ và cạnh tranh trên bảng xếp hạng để nhận hiệu ứng hành quân "Cống Phẩm Tinh Tú"!
- Gói VIP Hàng Tháng: Mở khóa các gói độc quyền với nâng cấp VIP và nhận hoàn tiền siêu giá trị!
- Dịch Tự Động: Đặt tùy chọn dịch tự động của bạn trong chat!
- Tối Ưu Hóa Cuộc Viễn Chinh: Các cuộc viễn chinh sẽ tự động bắt đầu thử thách tiếp theo sau vài giây!</v>
      </c>
      <c r="N62" s="169" t="str">
        <f>IFERROR(__xludf.DUMMYFUNCTION("""COMPUTED_VALUE"""),"- Nuovo Combattente: Incontra Reynold Schmidt, il Comandante d'Acciaio! Un mentore del trionfo, il pugno di ferro che comanda il campo di battaglia!
- Nuova Statua del Combattente: Gustave si unisce alla tua città—aggiungi un tocco di stile!
- Nuovo Alber"&amp;"o dei Talenti: ""Distruzione"" - Distruggi gli edifici e le città delle Gang nemiche!
- Attività della Festa d'Inverno:
Celebrazione Invernale: Raccogli Medaglie Invernali e raccogli componenti per la decorazione esclusiva per ottenere ricompense esclusiv"&amp;"e! Inoltre una foto commemorativa speciale!
Abbinamento e Divertimento: Usa i Buoni Regalo del Carnevale per doni invernali gratuiti!
Super Stella Fortunata: Partecipa all'estrazione premi a livello di server per avere la possibilità di vincere aspetti de"&amp;"lla città!
Gioia Invernale: Disegna per ottenere aspetti del treno invernale e opzioni di lacca!
Superpacco di Natale: Accumula ricariche per Medaglie Invernali, Calze Magiche e lacche mech!
Città Splendente: Nuovo effetto città - Valzer del Fiocco di Nev"&amp;"e in arrivo!
Miniere Innevate: Scava alla ricerca di tesori e vinci premi speciali!
Pacchetto Invernale: Goditi sconti speciali e omaggi!
Offerte Notte Gelida: Pacchetti bundle a tempo limitato con enormi sconti!
Magia d'Inverno: Ritorno limitato dell'eff"&amp;"etto di marcia ""Magia d'inverno""—disponibile dalle Casse del Tesoro Invernale!
Festa d'Inverno: Raccogli Campanelle fortunate nell'evento Winter Pass per ricompense come una targhetta festiva e competi nella classifica per l'effetto di marcia ""Omaggio "&amp;"Stellare""!
- Pacchetti VIP Mensili: Sblocca pacchetti esclusivi con potenziamenti VIP e ottieni rimborsi super-valore!
- Traduzione Automatica: Imposta le tue preferenze di traduzione automatica nella chat!
- Ottimizzazione Spedizione: Le spedizioni ora "&amp;"avviano automaticamente la prossima sfida dopo pochi secondi!")</f>
        <v>- Nuovo Combattente: Incontra Reynold Schmidt, il Comandante d'Acciaio! Un mentore del trionfo, il pugno di ferro che comanda il campo di battaglia!
- Nuova Statua del Combattente: Gustave si unisce alla tua città—aggiungi un tocco di stile!
- Nuovo Albero dei Talenti: "Distruzione" - Distruggi gli edifici e le città delle Gang nemiche!
- Attività della Festa d'Inverno:
Celebrazione Invernale: Raccogli Medaglie Invernali e raccogli componenti per la decorazione esclusiva per ottenere ricompense esclusive! Inoltre una foto commemorativa speciale!
Abbinamento e Divertimento: Usa i Buoni Regalo del Carnevale per doni invernali gratuiti!
Super Stella Fortunata: Partecipa all'estrazione premi a livello di server per avere la possibilità di vincere aspetti della città!
Gioia Invernale: Disegna per ottenere aspetti del treno invernale e opzioni di lacca!
Superpacco di Natale: Accumula ricariche per Medaglie Invernali, Calze Magiche e lacche mech!
Città Splendente: Nuovo effetto città - Valzer del Fiocco di Neve in arrivo!
Miniere Innevate: Scava alla ricerca di tesori e vinci premi speciali!
Pacchetto Invernale: Goditi sconti speciali e omaggi!
Offerte Notte Gelida: Pacchetti bundle a tempo limitato con enormi sconti!
Magia d'Inverno: Ritorno limitato dell'effetto di marcia "Magia d'inverno"—disponibile dalle Casse del Tesoro Invernale!
Festa d'Inverno: Raccogli Campanelle fortunate nell'evento Winter Pass per ricompense come una targhetta festiva e competi nella classifica per l'effetto di marcia "Omaggio Stellare"!
- Pacchetti VIP Mensili: Sblocca pacchetti esclusivi con potenziamenti VIP e ottieni rimborsi super-valore!
- Traduzione Automatica: Imposta le tue preferenze di traduzione automatica nella chat!
- Ottimizzazione Spedizione: Le spedizioni ora avviano automaticamente la prossima sfida dopo pochi secondi!</v>
      </c>
      <c r="O62" s="168" t="str">
        <f>IFERROR(__xludf.DUMMYFUNCTION("""COMPUTED_VALUE"""),"- Nowy Wojownik: Poznaj Reynolda Schmidta, Stalowego Dowódcę! Mentor triumfu, żelazna pięść dowodząca polem bitwy!
- Nowy Pomnik Wojownika: Gustave dołącza do twojego miasta—dodaj trochę stylu!
- Nowe Drzewo Talentów: ""Zniszczenie"" - Zniszcz budynki i m"&amp;"iasta wrogich Gangów!
- Aktywności Zimowego Festiwalu:
Świętowanie Zimy: Zbieraj Zimowe Medale i zbieraj komponenty do ekskluzywnej dekoracji, aby zdobyć ekskluzywne nagrody! Plus specjalne pamiątkowe zdjęcie!
Dobierz i Zabawa: Użyj Bonów na podarunek kar"&amp;"nawałowy na darmowe zimowe prezenty!
Super Szczęśliwa Gwiazda: Dołącz do losowania nagród na serwerze, aby mieć szansę wygrać skórki miasta!
Zimowe Pyszności: Losuj zimowe skórki pociągów i opcje lakierów!
Świąteczne Smakołyki: Zbieraj doładowania na Zimo"&amp;"we Medale, Magiczne Skarpety i lakiery do mechów!
Wspaniałe Miasto: Nowy efekt miasta - Walc Płatków Śniegu już wkrótce!
Kopalnie Śnieżne: Kop w poszukiwaniu skarbów i wygrywaj specjalne nagrody!
Zimowy Pakiet: Ciesz się specjalnymi zniżkami i gratisami!
"&amp;"Oferty Mroźnej Nocy: Pakiety limitowane czasowo z ogromnymi zniżkami!
Zimowa Magia: Limitowany powrót efektu marszu ""Zimowa Magia""—dostępny ze Skrzyń Zimowego Skarbu!
Zimowa Uczta: Zbieraj Szczęśliwe Dzwonki w wydarzeniu Zimowy Karnet, aby zdobyć nagrod"&amp;"y, takie jak świąteczna tabliczka z nazwą i rywalizuj na tablicy wyników o efekt marszu ""Gwiezdny Hołd""!
- Miesięczne Pakiety VIP: Odblokuj ekskluzywne pakiety z modernizacjami VIP i uzyskaj super wartościowe rabaty!
- Automatyczne Tłumaczenie: Ustaw pr"&amp;"eferencje automatycznego tłumaczenia na czacie!
- Optymalizacja Ekspedycji: Ekspedycje teraz automatycznie rozpoczynają kolejne wyzwanie po kilku sekundach!")</f>
        <v>- Nowy Wojownik: Poznaj Reynolda Schmidta, Stalowego Dowódcę! Mentor triumfu, żelazna pięść dowodząca polem bitwy!
- Nowy Pomnik Wojownika: Gustave dołącza do twojego miasta—dodaj trochę stylu!
- Nowe Drzewo Talentów: "Zniszczenie" - Zniszcz budynki i miasta wrogich Gangów!
- Aktywności Zimowego Festiwalu:
Świętowanie Zimy: Zbieraj Zimowe Medale i zbieraj komponenty do ekskluzywnej dekoracji, aby zdobyć ekskluzywne nagrody! Plus specjalne pamiątkowe zdjęcie!
Dobierz i Zabawa: Użyj Bonów na podarunek karnawałowy na darmowe zimowe prezenty!
Super Szczęśliwa Gwiazda: Dołącz do losowania nagród na serwerze, aby mieć szansę wygrać skórki miasta!
Zimowe Pyszności: Losuj zimowe skórki pociągów i opcje lakierów!
Świąteczne Smakołyki: Zbieraj doładowania na Zimowe Medale, Magiczne Skarpety i lakiery do mechów!
Wspaniałe Miasto: Nowy efekt miasta - Walc Płatków Śniegu już wkrótce!
Kopalnie Śnieżne: Kop w poszukiwaniu skarbów i wygrywaj specjalne nagrody!
Zimowy Pakiet: Ciesz się specjalnymi zniżkami i gratisami!
Oferty Mroźnej Nocy: Pakiety limitowane czasowo z ogromnymi zniżkami!
Zimowa Magia: Limitowany powrót efektu marszu "Zimowa Magia"—dostępny ze Skrzyń Zimowego Skarbu!
Zimowa Uczta: Zbieraj Szczęśliwe Dzwonki w wydarzeniu Zimowy Karnet, aby zdobyć nagrody, takie jak świąteczna tabliczka z nazwą i rywalizuj na tablicy wyników o efekt marszu "Gwiezdny Hołd"!
- Miesięczne Pakiety VIP: Odblokuj ekskluzywne pakiety z modernizacjami VIP i uzyskaj super wartościowe rabaty!
- Automatyczne Tłumaczenie: Ustaw preferencje automatycznego tłumaczenia na czacie!
- Optymalizacja Ekspedycji: Ekspedycje teraz automatycznie rozpoczynają kolejne wyzwanie po kilku sekundach!</v>
      </c>
      <c r="P62" s="168" t="str">
        <f>IFERROR(__xludf.DUMMYFUNCTION("""COMPUTED_VALUE"""),"- مقاتل جديد: قابل رينولد شميت، القائد الصلب! مرشد النصر، القبضة الحديدية التي تأمر ساحة المعركة!
- تمثال مقاتل جديد: غوستاف ينضم إلى مدينتك - أضف بعض الأناقة!
- شجرة مواهب جديدة: ""التدمير"" - دمر مباني ومدن العصابات العدوة!
- أنشطة مهرجان الشتاء:
احتفال"&amp;" الشتاء: اجمع ميداليات الشتاء واجمع مكونات الزينة الحصرية للحصول على مكافآت حصرية! بالإضافة إلى صورة تذكارية خاصة!
مطابقة ومرح: استخدم قسائم هدية الكرنفال للحصول على هدايا الشتاء المجانية!
النجم المحظوظ الفائق: انضم إلى السحب على مستوى السيرفر للحصول على "&amp;"فرصة للفوز بزينات المدينة!
مفاجآت الشتاء: اسحب للحصول على زينات القطار الشتوي وخيارات اللكر!
هدايا الكريسماس: اجمع التعبئات للحصول على ميداليات الشتاء، الجوارب السحرية، واللكات الميكا!
مدينة رائعة: تأثير مدينة جديد - رقصة والتز رقاقات الثلج قادمة قريبًا!
"&amp;"مناجم الثلج: احفر للبحث عن الكنوز واربح جوائز خاصة!
حزمة الشتاء: استمتع بخصومات خاصة وهدايا مجانية!
صفقات ليلة الصقيع: حزم محدودة الوقت بخصومات كبيرة!
سحر الشتاء: عودة محدودة لتأثير مسيرة ""سحر الشتاء"" - متاح من صناديق كنز الشتاء!
وليمة الشتاء: اجمع أجرا"&amp;"س الحظ في حدث ممر الشتاء للحصول على مكافآت مثل لوحة اسم العطلة وتنافس على تأثير مسيرة ""التحية النجمية""!
- حزم VIP الشهرية: افتح الحزم الحصرية مع ترقيات VIP واحصل على خصومات فائقة القيمة!
- الترجمة التلقائية: اضبط تفضيلات الترجمة التلقائية في الدردشة!
- "&amp;"تحسين البعثات: الآن تبدأ البعثات التحدي التالي تلقائيًا بعد بضع ثوانٍ!")</f>
        <v>- مقاتل جديد: قابل رينولد شميت، القائد الصلب! مرشد النصر، القبضة الحديدية التي تأمر ساحة المعركة!
- تمثال مقاتل جديد: غوستاف ينضم إلى مدينتك - أضف بعض الأناقة!
- شجرة مواهب جديدة: "التدمير" - دمر مباني ومدن العصابات العدوة!
- أنشطة مهرجان الشتاء:
احتفال الشتاء: اجمع ميداليات الشتاء واجمع مكونات الزينة الحصرية للحصول على مكافآت حصرية! بالإضافة إلى صورة تذكارية خاصة!
مطابقة ومرح: استخدم قسائم هدية الكرنفال للحصول على هدايا الشتاء المجانية!
النجم المحظوظ الفائق: انضم إلى السحب على مستوى السيرفر للحصول على فرصة للفوز بزينات المدينة!
مفاجآت الشتاء: اسحب للحصول على زينات القطار الشتوي وخيارات اللكر!
هدايا الكريسماس: اجمع التعبئات للحصول على ميداليات الشتاء، الجوارب السحرية، واللكات الميكا!
مدينة رائعة: تأثير مدينة جديد - رقصة والتز رقاقات الثلج قادمة قريبًا!
مناجم الثلج: احفر للبحث عن الكنوز واربح جوائز خاصة!
حزمة الشتاء: استمتع بخصومات خاصة وهدايا مجانية!
صفقات ليلة الصقيع: حزم محدودة الوقت بخصومات كبيرة!
سحر الشتاء: عودة محدودة لتأثير مسيرة "سحر الشتاء" - متاح من صناديق كنز الشتاء!
وليمة الشتاء: اجمع أجراس الحظ في حدث ممر الشتاء للحصول على مكافآت مثل لوحة اسم العطلة وتنافس على تأثير مسيرة "التحية النجمية"!
- حزم VIP الشهرية: افتح الحزم الحصرية مع ترقيات VIP واحصل على خصومات فائقة القيمة!
- الترجمة التلقائية: اضبط تفضيلات الترجمة التلقائية في الدردشة!
- تحسين البعثات: الآن تبدأ البعثات التحدي التالي تلقائيًا بعد بضع ثوانٍ!</v>
      </c>
      <c r="Q62" s="168" t="str">
        <f>IFERROR(__xludf.DUMMYFUNCTION("""COMPUTED_VALUE"""),"- 新しいファイター: レイノルド・シュミット、鋼鉄の指揮官に会いましょう！勝利の師、戦場を指揮する鉄拳！
- 新しいファイターの像: グスターヴがあなたの都市に参加—少しの華やかさを追加しましょう！
- 新しいアビリティツリー: 「破壊」 - 敵ギルドの建物と都市を壊滅させましょう！
- ウィンターフェスティバルのアクティビティ:
冬の祝典: ウィンターメダルを収集し、独占装飾のコンポーネントを集めて独占報酬を獲得しましょう！さらに特別な記念写真も！
マッチ &amp; 楽しいお祭り: カーニバルギフトバウチャ"&amp;"ーを使用して無料の冬のギフトを手に入れましょう！
スーパーラッキースター: サーバー全体の抽選に参加してシティスキンを獲得するチャンスを得ましょう！
ウィンターサプライズ: 冬の列車スキンと漆製品のオプションを抽選で手に入れましょう！
クリスマスグッズ: ウィンターメダル、不思議なくつした、メカ漆製品をためましょう！
華麗な都市: 新しい都市エフェクト - スノーフレークワルツが近日公開！
雪の鉱山: 宝物を掘り出して特別な賞品を獲得しましょう！
ウィンターバンドル: 特別な割引とプレゼントを楽しみましょ"&amp;"う！
フロスティナイトディールズ: 大幅割引の限定パックバンドル！
ウィンターマジック: 「ウィンターマジック」行軍エフェクトの限定復活—ウィンタートレジャーチェストから入手可能！
冬の祝宴: ウィンターパスイベントでラッキーベルを集めて、ホリデーネームプレートなどの報酬を獲得し、リーダーボードで「ステラ貢献」行軍エフェクトを競いましょう！
- VIP月間パック: VIPアップグレードで独占パックをアンロックし、スーパー価値のリベートを手に入れましょう！
- 自動翻訳: チャットで自動翻訳の設定を行いまし"&amp;"ょう！
- 遠征の最適化: 遠征は数秒後に次の挑戦を自動的に開始します！")</f>
        <v>- 新しいファイター: レイノルド・シュミット、鋼鉄の指揮官に会いましょう！勝利の師、戦場を指揮する鉄拳！
- 新しいファイターの像: グスターヴがあなたの都市に参加—少しの華やかさを追加しましょう！
- 新しいアビリティツリー: 「破壊」 - 敵ギルドの建物と都市を壊滅させましょう！
- ウィンターフェスティバルのアクティビティ:
冬の祝典: ウィンターメダルを収集し、独占装飾のコンポーネントを集めて独占報酬を獲得しましょう！さらに特別な記念写真も！
マッチ &amp; 楽しいお祭り: カーニバルギフトバウチャーを使用して無料の冬のギフトを手に入れましょう！
スーパーラッキースター: サーバー全体の抽選に参加してシティスキンを獲得するチャンスを得ましょう！
ウィンターサプライズ: 冬の列車スキンと漆製品のオプションを抽選で手に入れましょう！
クリスマスグッズ: ウィンターメダル、不思議なくつした、メカ漆製品をためましょう！
華麗な都市: 新しい都市エフェクト - スノーフレークワルツが近日公開！
雪の鉱山: 宝物を掘り出して特別な賞品を獲得しましょう！
ウィンターバンドル: 特別な割引とプレゼントを楽しみましょう！
フロスティナイトディールズ: 大幅割引の限定パックバンドル！
ウィンターマジック: 「ウィンターマジック」行軍エフェクトの限定復活—ウィンタートレジャーチェストから入手可能！
冬の祝宴: ウィンターパスイベントでラッキーベルを集めて、ホリデーネームプレートなどの報酬を獲得し、リーダーボードで「ステラ貢献」行軍エフェクトを競いましょう！
- VIP月間パック: VIPアップグレードで独占パックをアンロックし、スーパー価値のリベートを手に入れましょう！
- 自動翻訳: チャットで自動翻訳の設定を行いましょう！
- 遠征の最適化: 遠征は数秒後に次の挑戦を自動的に開始します！</v>
      </c>
      <c r="R62" s="168" t="str">
        <f>IFERROR(__xludf.DUMMYFUNCTION("""COMPUTED_VALUE"""),"- 새로운 전사: 강철 지휘관 레이놀드 슈미트를 만나보세요! 승리의 멘토, 전장을 지휘하는 강철 주먹!
- 새로운 전사 석상: 구스타브가 당신의 도시에 합류합니다—약간의 멋을 더해보세요!
- 새로운 재능 나무: ""파괴"" - 적 무리의 건물과 도시를 파괴하세요!
- 겨울 축제 활동:
겨울 축제: 겨울 메달을 수집하고 독점 장식의 구성 요소를 모아 독점 보상을 획득하세요! 또한 특별 기념 사진도 포함됩니다!
매치 &amp; 재미: 카니발 선물 바우처를 사용하여"&amp;" 무료 겨울 선물을 받으세요!
슈퍼 행운의 별: 서버 전체의 경품 추첨에 참여하여 도시 스킨을 획득할 기회를 잡으세요!
겨울의 서프라이즈: 겨울 기차 스킨과 래커 옵션을 뽑아보세요!
겨울 선물: 겨울 메달, 신기한 양말, 메카 래커를 위한 충전금을 누적하세요!
화려한 도시: 새로운 도시 효과 - 눈송이 왈츠가 곧 출시됩니다!
눈 덮인 광산: 보물을 캐서 특별한 상품을 획득하세요!
겨울 번들: 특별 할인과 경품을 즐기세요!
서리 밤 거래: 큰 할인이 적용"&amp;"된 한정된 시간 동안의 패키지 번들!
겨울의 기이한 만남: ""겨울의 기이한 만남"" 행군 이펙트의 한정 복귀—겨울 보물 상자에서 사용 가능!
겨울 축제: 겨울 패스 이벤트에서 행운의 종을 모아 휴일 명패와 같은 보상을 받고, 리더보드에서 ""스텔라 공물"" 행군 이펙트를 위해 경쟁하세요!
- VIP 월간 패키지: VIP 업그레이드로 독점 패키지를 잠금 해제하고 슈퍼 가치 리베이트를 받으세요!
- 자동 번역: 채팅에서 자동 번역 설정을 조정하세요!
- "&amp;"원정 최적화: 몇 초 후에 다음 도전이 자동으로 시작됩니다!")</f>
        <v>- 새로운 전사: 강철 지휘관 레이놀드 슈미트를 만나보세요! 승리의 멘토, 전장을 지휘하는 강철 주먹!
- 새로운 전사 석상: 구스타브가 당신의 도시에 합류합니다—약간의 멋을 더해보세요!
- 새로운 재능 나무: "파괴" - 적 무리의 건물과 도시를 파괴하세요!
- 겨울 축제 활동:
겨울 축제: 겨울 메달을 수집하고 독점 장식의 구성 요소를 모아 독점 보상을 획득하세요! 또한 특별 기념 사진도 포함됩니다!
매치 &amp; 재미: 카니발 선물 바우처를 사용하여 무료 겨울 선물을 받으세요!
슈퍼 행운의 별: 서버 전체의 경품 추첨에 참여하여 도시 스킨을 획득할 기회를 잡으세요!
겨울의 서프라이즈: 겨울 기차 스킨과 래커 옵션을 뽑아보세요!
겨울 선물: 겨울 메달, 신기한 양말, 메카 래커를 위한 충전금을 누적하세요!
화려한 도시: 새로운 도시 효과 - 눈송이 왈츠가 곧 출시됩니다!
눈 덮인 광산: 보물을 캐서 특별한 상품을 획득하세요!
겨울 번들: 특별 할인과 경품을 즐기세요!
서리 밤 거래: 큰 할인이 적용된 한정된 시간 동안의 패키지 번들!
겨울의 기이한 만남: "겨울의 기이한 만남" 행군 이펙트의 한정 복귀—겨울 보물 상자에서 사용 가능!
겨울 축제: 겨울 패스 이벤트에서 행운의 종을 모아 휴일 명패와 같은 보상을 받고, 리더보드에서 "스텔라 공물" 행군 이펙트를 위해 경쟁하세요!
- VIP 월간 패키지: VIP 업그레이드로 독점 패키지를 잠금 해제하고 슈퍼 가치 리베이트를 받으세요!
- 자동 번역: 채팅에서 자동 번역 설정을 조정하세요!
- 원정 최적화: 몇 초 후에 다음 도전이 자동으로 시작됩니다!</v>
      </c>
      <c r="S62" s="168" t="str">
        <f>IFERROR(__xludf.DUMMYFUNCTION("""COMPUTED_VALUE"""),"-新增斗士：铁面教官-雷诺·施密特登场！铸就胜利的教官，硝烟中的铁拳战士！
-新增斗士雕像：古斯塔夫，来为你的城市增添更多光彩吧！
-新增天赋树：“摧毁”-粉碎一切，让敌对帮派的建筑和城市化为乌有！
-新增装饰物：废弃飞碟-根据记载，这是一种能飞在天上的神奇圆盘，建造后可减少猩球上所有建筑物升级所需的资源数量。装饰物可在活动中获得。
-新增冬日节活动：
暖冬庆典：收集暖冬纪念章，组装冬日限定装饰物，获取丰厚奖励！更有冬日庆典纪念照片相赠！
欢乐对对碰：使用狂欢礼品券，即可免费开启冬日礼物！获取丰厚限定奖励"&amp;"！
超级幸运星：全服庆典，优惠抽奖，寻找超级幸运星！主城皮肤等你来！
冬日惊喜：抽取冬日主题列车皮肤，更有多种染色皮肤等你获取！
冬日豪礼：累计储值豪礼相送，获取暖冬纪念章、神奇袜子和机甲染色涂装！
璀璨之都：全新主城特效-雪花圆舞曲即将登场，等你来拿！
冬日矿场：地下探索宝藏，赢取丰厚奖励！
暖冬好礼：暖冬特惠，好礼送不停！
雪夜狂欢购：冬日连锁礼包限时开启，超多折扣等你来！
冬日奇缘：行军特效“冬日奇缘”限时返场！可在冬日节活动中开启冬日珍藏宝箱获得。
冬日晚宴：冬日节通行证活动开启，收集幸运铃铛，领"&amp;"取节日铭牌等丰厚奖励；参与排行榜竞争，赢取全新行军特效“星辉礼赞”！
-新增vip月度礼包：随vip等级解锁贵宾礼包，每月购买可获得超值返利奖励！    
-新增自动翻译语种选择：可以设置聊天中自动翻译的语言种类了！
-远征优化：解放双手！现在远征可以在通关几秒钟后，自动开启下一关的挑战了！")</f>
        <v>-新增斗士：铁面教官-雷诺·施密特登场！铸就胜利的教官，硝烟中的铁拳战士！
-新增斗士雕像：古斯塔夫，来为你的城市增添更多光彩吧！
-新增天赋树：“摧毁”-粉碎一切，让敌对帮派的建筑和城市化为乌有！
-新增装饰物：废弃飞碟-根据记载，这是一种能飞在天上的神奇圆盘，建造后可减少猩球上所有建筑物升级所需的资源数量。装饰物可在活动中获得。
-新增冬日节活动：
暖冬庆典：收集暖冬纪念章，组装冬日限定装饰物，获取丰厚奖励！更有冬日庆典纪念照片相赠！
欢乐对对碰：使用狂欢礼品券，即可免费开启冬日礼物！获取丰厚限定奖励！
超级幸运星：全服庆典，优惠抽奖，寻找超级幸运星！主城皮肤等你来！
冬日惊喜：抽取冬日主题列车皮肤，更有多种染色皮肤等你获取！
冬日豪礼：累计储值豪礼相送，获取暖冬纪念章、神奇袜子和机甲染色涂装！
璀璨之都：全新主城特效-雪花圆舞曲即将登场，等你来拿！
冬日矿场：地下探索宝藏，赢取丰厚奖励！
暖冬好礼：暖冬特惠，好礼送不停！
雪夜狂欢购：冬日连锁礼包限时开启，超多折扣等你来！
冬日奇缘：行军特效“冬日奇缘”限时返场！可在冬日节活动中开启冬日珍藏宝箱获得。
冬日晚宴：冬日节通行证活动开启，收集幸运铃铛，领取节日铭牌等丰厚奖励；参与排行榜竞争，赢取全新行军特效“星辉礼赞”！
-新增vip月度礼包：随vip等级解锁贵宾礼包，每月购买可获得超值返利奖励！    
-新增自动翻译语种选择：可以设置聊天中自动翻译的语言种类了！
-远征优化：解放双手！现在远征可以在通关几秒钟后，自动开启下一关的挑战了！</v>
      </c>
      <c r="T62" s="148"/>
      <c r="U62" s="148"/>
      <c r="V62" s="148"/>
      <c r="W62" s="148"/>
      <c r="X62" s="148"/>
      <c r="Y62" s="148"/>
      <c r="Z62" s="148"/>
    </row>
    <row r="63">
      <c r="A63" s="167" t="str">
        <f>IFERROR(__xludf.DUMMYFUNCTION("""COMPUTED_VALUE"""),"0.72.0")</f>
        <v>0.72.0</v>
      </c>
      <c r="B63" s="168" t="str">
        <f>IFERROR(__xludf.DUMMYFUNCTION("""COMPUTED_VALUE"""),"-新增斗士：蛮荒祭司-奥林，引领部落的智者，茫茫烟雾中的神秘祭司！即将出现在银河战争新的星球中！
-新增斗士雕像：赫尔曼，来为你的城市增添更多光彩吧！
-新增机甲皮肤：雄师皮肤-吉祥舞狮，猿族为了庆祝节日，在人类古老习俗基础上改造的雄狮机甲。
-全新银河战争-远古星即将开启：
远古收藏品：新增养成玩法，活跃参与即可获取远古收藏品，提升藏品星级，获得BUFF增益。
远古收藏品任务：新增每日个人任务，完成后可开启宝箱，获取高品质远古收藏品。
军团巨像：新增军团玩法，操控巨像争夺建筑，冲击最后的决胜圈层。
野战"&amp;"区：全新野战模式，攻击或防御巨像，协助军团巨像竞赛，获取圈层增益！
-新增农历新年活动：
璀璨之都：新主城特效-祥龙腾飞即将登场！
新春豪礼：累计储值豪礼相送，获取机甲染色涂装！
爆竹声声：农历新年活动开启，使用新春骰子，赢取豪华大奖，更有新春城市外观-游园灯会等你来拿！
迎春送福：订阅卡限时回馈，把好运延续到新的一年！
舞狮盛典：收集绣球，提升活动等级，有机会获取全新行军特效-年年有余！
年兽围猎：年兽又出来作乱了，攻击年兽可以获得积分奖励！
迎春访友：拜访好友的城市，或者邀请好友拜访自己的城市，可以获"&amp;"得丰厚奖励！
新春红包：获得红包道具后可以选择聊天频道发放红包！可获取丰厚CD奖励！
幸运扭蛋机：节日扭蛋机再次营业，消耗猩球物资，开启幸运扭蛋，获得惊喜好礼！
-战装优化：战装存储上限翻倍，现在可以打造更多的战装了！
-商店调整：远征商店中增加普通收藏品升星石兑换。")</f>
        <v>-新增斗士：蛮荒祭司-奥林，引领部落的智者，茫茫烟雾中的神秘祭司！即将出现在银河战争新的星球中！
-新增斗士雕像：赫尔曼，来为你的城市增添更多光彩吧！
-新增机甲皮肤：雄师皮肤-吉祥舞狮，猿族为了庆祝节日，在人类古老习俗基础上改造的雄狮机甲。
-全新银河战争-远古星即将开启：
远古收藏品：新增养成玩法，活跃参与即可获取远古收藏品，提升藏品星级，获得BUFF增益。
远古收藏品任务：新增每日个人任务，完成后可开启宝箱，获取高品质远古收藏品。
军团巨像：新增军团玩法，操控巨像争夺建筑，冲击最后的决胜圈层。
野战区：全新野战模式，攻击或防御巨像，协助军团巨像竞赛，获取圈层增益！
-新增农历新年活动：
璀璨之都：新主城特效-祥龙腾飞即将登场！
新春豪礼：累计储值豪礼相送，获取机甲染色涂装！
爆竹声声：农历新年活动开启，使用新春骰子，赢取豪华大奖，更有新春城市外观-游园灯会等你来拿！
迎春送福：订阅卡限时回馈，把好运延续到新的一年！
舞狮盛典：收集绣球，提升活动等级，有机会获取全新行军特效-年年有余！
年兽围猎：年兽又出来作乱了，攻击年兽可以获得积分奖励！
迎春访友：拜访好友的城市，或者邀请好友拜访自己的城市，可以获得丰厚奖励！
新春红包：获得红包道具后可以选择聊天频道发放红包！可获取丰厚CD奖励！
幸运扭蛋机：节日扭蛋机再次营业，消耗猩球物资，开启幸运扭蛋，获得惊喜好礼！
-战装优化：战装存储上限翻倍，现在可以打造更多的战装了！
-商店调整：远征商店中增加普通收藏品升星石兑换。</v>
      </c>
      <c r="C63" s="148" t="str">
        <f>IFERROR(__xludf.DUMMYFUNCTION("""COMPUTED_VALUE"""),"-New Fighter: Wild Priest—Ollin. A wise leader of his clan, a mystical priest shrouded in swirling smoke, is about to appear on a new planet in Planet Wars!
-New Fighter Statue: Herman. Add more brilliance to your city!
-New Mech Skin: Lion Skin-Lucky L"&amp;"ion Dance. To celebrate the holiday, the Ape created a Lion Mech based on ancient human customs.
-A new Planet Wars—Ancient Star is about to begin:
Ancient Relic: New development feature added. Stay active to collect ancient relics, upgrade their star l"&amp;"evel, and gain extra buffs.
Ancient Relic Quests: Added daily personal quests. Complete them to open chests and earn high-grade ancient relics.
Army Colossus: A new army feature that lets you command colossuses to seize structures and charge toward the "&amp;"final zone.
Field Zone: A fresh map battles where you attack or defend colossuses, support your army, and fight for zone bonuses!
-New Lunar New Year events:
Splendid City: A new city hall effect—Flying Dragon—arrives soon!
Chinese New Year Gifts: Acc"&amp;"umulate recharges to earn mech lacquer!
Festive Firecrackers: The Lunar New Year event has begun. Use Lunar Dice for a chance at deluxe prizes and a brand-new city hall skin—Lantern Festival!
Spring Blessings: Limited-time benefits for subscription card"&amp;"s, keeping luck on your side all year long!
Lion Dance Ceremony: Collect Embroidered Balls to raise your event level and get the new march effect—Everlasting Abundance!
Hunt the Year Beast: The Year Beast reappears. Defeat it to score extra points!
Spr"&amp;"ing Greetings: Visit your friends' cities or invite them to yours during the event to earn rewards!
Red Envelopes: Share the Red Envelopes you get with other players in chat and earn CDs!
Lucky Gacha Machine: The festival gacha machine is back. Use Plan"&amp;"et supplies to try your luck and grab some exciting rewards!
-Equipment Optimization: The maximum equipment storage has doubled, allowing you to forge even more equipment!
-ShopUpdate: The Expedition Shop now offers basic Star Stones for exchange.
")</f>
        <v>-New Fighter: Wild Priest—Ollin. A wise leader of his clan, a mystical priest shrouded in swirling smoke, is about to appear on a new planet in Planet Wars!
-New Fighter Statue: Herman. Add more brilliance to your city!
-New Mech Skin: Lion Skin-Lucky Lion Dance. To celebrate the holiday, the Ape created a Lion Mech based on ancient human customs.
-A new Planet Wars—Ancient Star is about to begin:
Ancient Relic: New development feature added. Stay active to collect ancient relics, upgrade their star level, and gain extra buffs.
Ancient Relic Quests: Added daily personal quests. Complete them to open chests and earn high-grade ancient relics.
Army Colossus: A new army feature that lets you command colossuses to seize structures and charge toward the final zone.
Field Zone: A fresh map battles where you attack or defend colossuses, support your army, and fight for zone bonuses!
-New Lunar New Year events:
Splendid City: A new city hall effect—Flying Dragon—arrives soon!
Chinese New Year Gifts: Accumulate recharges to earn mech lacquer!
Festive Firecrackers: The Lunar New Year event has begun. Use Lunar Dice for a chance at deluxe prizes and a brand-new city hall skin—Lantern Festival!
Spring Blessings: Limited-time benefits for subscription cards, keeping luck on your side all year long!
Lion Dance Ceremony: Collect Embroidered Balls to raise your event level and get the new march effect—Everlasting Abundance!
Hunt the Year Beast: The Year Beast reappears. Defeat it to score extra points!
Spring Greetings: Visit your friends' cities or invite them to yours during the event to earn rewards!
Red Envelopes: Share the Red Envelopes you get with other players in chat and earn CDs!
Lucky Gacha Machine: The festival gacha machine is back. Use Planet supplies to try your luck and grab some exciting rewards!
-Equipment Optimization: The maximum equipment storage has doubled, allowing you to forge even more equipment!
-ShopUpdate: The Expedition Shop now offers basic Star Stones for exchange.
</v>
      </c>
      <c r="D63" s="168" t="str">
        <f>IFERROR(__xludf.DUMMYFUNCTION("""COMPUTED_VALUE"""),"-Nouveau combattant : Prêtre Sauvage—Ollin. Un chef sage de son clan, un prêtre mystique enveloppé de fumée tourbillonnante, est sur le point d'apparaître sur une nouvelle planète dans la Guerre planétaire !
-Nouvelle statue de combattant : Herman. Ajoute"&amp;"z plus d'éclat à votre ville !
-Nouveau skin de mécha : Skin de Lion—Danse Chanceuse du Lion. Pour célébrer les vacances, l'Ape a créé un Mécha Lion basé sur les anciennes coutumes humaines.
-Une nouvelle Guerre planétaire—Étoile Ancienne est sur le point"&amp;" de commencer :
Relique Ancienne : Nouvelle fonctionnalité de développement ajoutée. Restez actif pour collecter des reliques anciennes, améliorer leur niveau d'étoiles et obtenir des bonus supplémentaires.
Quêtes de Reliques Anciennes : Ajout de quêtes p"&amp;"ersonnelles quotidiennes. Complétez-les pour ouvrir des coffres et gagner des reliques anciennes de haute qualité.
Colosse de l'Armée : Une nouvelle fonctionnalité d'armée qui vous permet de commander des colosses pour saisir des structures et charger ver"&amp;"s la zone finale.
Zone de Champ : Une nouvelle carte de batailles où vous attaquez ou défendez des colosses, soutenez votre armée et luttez pour des bonus de zone !
-Nouveaux événements du Nouvel An Lunaire :
Ville Splendide : Un nouvel effet d'hôtel de v"&amp;"ille—Dragon Volant—arrive bientôt !
Cadeaux du Nouvel An Chinois : Accumulez des recharges pour gagner de la laque de mécha !
Pétards Festifs : L'événement du Nouvel An Lunaire a commencé. Utilisez les Dés Lunaires pour tenter de gagner des prix de luxe e"&amp;"t un tout nouveau skin d'hôtel de ville—Festival des Lanternes !
Bénédictions Printanières : Avantages limités dans le temps pour les cartes d'abonnement, gardant la chance de votre côté toute l'année !
Cérémonie de la Danse du Lion : Collectez des Balles"&amp;" Brodées pour augmenter votre niveau d'événement et obtenir le nouvel effet de déplacement—Abondance Éternelle !
Chasse à la Bête de l'Année : La Bête de l'Année réapparaît. Vainquez-la pour marquer des points supplémentaires !
Salutations Printanières : "&amp;"Visitez les villes de vos amis ou invitez-les dans la vôtre pendant l'événement pour gagner des récompenses !
Enveloppes Rouges : Partagez les Enveloppes Rouges que vous obtenez avec d'autres joueurs dans le chat et gagnez des CD !
Machine de Gacha Chance"&amp;"use : La machine de gacha du festival est de retour. Utilisez les ressources de la planète pour tenter votre chance et obtenir des récompenses excitantes !
-Optimisation de l'équipement : La capacité maximale de stockage de l'équipement a doublé, vous per"&amp;"mettant de forger encore plus d'équipements !
-Mise à jour de la boutique : La Boutique d'Expédition propose désormais des Pierres d'Étoile basiques à échanger.")</f>
        <v>-Nouveau combattant : Prêtre Sauvage—Ollin. Un chef sage de son clan, un prêtre mystique enveloppé de fumée tourbillonnante, est sur le point d'apparaître sur une nouvelle planète dans la Guerre planétaire !
-Nouvelle statue de combattant : Herman. Ajoutez plus d'éclat à votre ville !
-Nouveau skin de mécha : Skin de Lion—Danse Chanceuse du Lion. Pour célébrer les vacances, l'Ape a créé un Mécha Lion basé sur les anciennes coutumes humaines.
-Une nouvelle Guerre planétaire—Étoile Ancienne est sur le point de commencer :
Relique Ancienne : Nouvelle fonctionnalité de développement ajoutée. Restez actif pour collecter des reliques anciennes, améliorer leur niveau d'étoiles et obtenir des bonus supplémentaires.
Quêtes de Reliques Anciennes : Ajout de quêtes personnelles quotidiennes. Complétez-les pour ouvrir des coffres et gagner des reliques anciennes de haute qualité.
Colosse de l'Armée : Une nouvelle fonctionnalité d'armée qui vous permet de commander des colosses pour saisir des structures et charger vers la zone finale.
Zone de Champ : Une nouvelle carte de batailles où vous attaquez ou défendez des colosses, soutenez votre armée et luttez pour des bonus de zone !
-Nouveaux événements du Nouvel An Lunaire :
Ville Splendide : Un nouvel effet d'hôtel de ville—Dragon Volant—arrive bientôt !
Cadeaux du Nouvel An Chinois : Accumulez des recharges pour gagner de la laque de mécha !
Pétards Festifs : L'événement du Nouvel An Lunaire a commencé. Utilisez les Dés Lunaires pour tenter de gagner des prix de luxe et un tout nouveau skin d'hôtel de ville—Festival des Lanternes !
Bénédictions Printanières : Avantages limités dans le temps pour les cartes d'abonnement, gardant la chance de votre côté toute l'année !
Cérémonie de la Danse du Lion : Collectez des Balles Brodées pour augmenter votre niveau d'événement et obtenir le nouvel effet de déplacement—Abondance Éternelle !
Chasse à la Bête de l'Année : La Bête de l'Année réapparaît. Vainquez-la pour marquer des points supplémentaires !
Salutations Printanières : Visitez les villes de vos amis ou invitez-les dans la vôtre pendant l'événement pour gagner des récompenses !
Enveloppes Rouges : Partagez les Enveloppes Rouges que vous obtenez avec d'autres joueurs dans le chat et gagnez des CD !
Machine de Gacha Chanceuse : La machine de gacha du festival est de retour. Utilisez les ressources de la planète pour tenter votre chance et obtenir des récompenses excitantes !
-Optimisation de l'équipement : La capacité maximale de stockage de l'équipement a doublé, vous permettant de forger encore plus d'équipements !
-Mise à jour de la boutique : La Boutique d'Expédition propose désormais des Pierres d'Étoile basiques à échanger.</v>
      </c>
      <c r="E63" s="168" t="str">
        <f>IFERROR(__xludf.DUMMYFUNCTION("""COMPUTED_VALUE"""),"-Neuer Kämpfer: Wilder Priester—Ollin. Ein weiser Anführer seiner Horde, ein mystischer Priester, umhüllt von wirbelndem Rauch, wird bald auf einem neuen Planeten in den Planetenkriegen erscheinen!
-Neue Kämpfer-Statue: Herman. Füge deiner Stadt mehr Glan"&amp;"z hinzu!
-Neue Mech-Skin: Löwen-Skin—Glücklicher Löwentanz. Um den Feiertag zu feiern, hat der Affe einen Löwen-Mech basierend auf alten menschlichen Bräuchen erschaffen.
-Ein neuer Planetenkrieg—Uralter Stern beginnt bald:
Antikes Relikt: Neue Entwicklun"&amp;"gsfunktion hinzugefügt. Bleib aktiv, um antike Relikte zu sammeln, ihr Sternenlevel zu verbessern und zusätzliche Buffs zu erhalten.
Antike Relikt-Quests: Tägliche persönliche Quests hinzugefügt. Schließe sie ab, um Truhen zu öffnen und hochgradige antike"&amp;" Relikte zu verdienen.
Armee-Koloss: Eine neue Armee-Funktion, die es dir ermöglicht, Kolosse zu befehligen, um Anlagen zu erobern und in die Endzone vorzudringen.
Feldzone: Eine neue Karten-Schlacht, bei der du Kolosse angreifst oder verteidigst, deine A"&amp;"rmee unterstützt und um Zonen-Boni kämpfst!
-Neue Mondneujahrs-Events:
Fantastische Stadt: Ein neuer Rathaus-Effekt—Fliegender Drache—kommt bald!
Chinesische Neujahrsgeschenke: Sammle Aufladungen, um Mech-Lack zu verdienen!
Festliche Feuerwerkskörper: Das"&amp;" Mondneujahrs-Event hat begonnen. Verwende Mondwürfel für eine Chance auf luxuriöse Preise und einen brandneuen Rathaus-Skin—Laternenfest!
Frühlingssegen: Zeitlich begrenzte Vorteile für Abonnementkarten, die das ganze Jahr über Glück bringen!
Löwentanz-Z"&amp;"eremonie: Sammle bestickte Bälle, um dein Event-Level zu erhöhen und den neuen Marscheffekt—Ewiger Überfluss zu erhalten!
Jage die Jahresbestie: Die Jahresbestie taucht wieder auf. Besiege sie, um zusätzliche Punkte zu erzielen!
Frühlingsgrüße: Besuche di"&amp;"e Städte deiner Freunde oder lade sie während des Events zu dir ein, um Belohnungen zu verdienen!
Rote Umschläge: Teile die roten Umschläge, die du erhältst, mit anderen Spielern im Chat und verdiene CDs!
Glücks-Gacha-Maschine: Die Festival-Gacha-Maschine"&amp;" ist zurück. Verwende Planeten-Vorräte, um dein Glück zu versuchen und spannende Belohnungen zu ergattern!
-Ausrüstungsoptimierung: Der maximale Ausrüstungsbestand hat sich verdoppelt, sodass du noch mehr Ausrüstung schmieden kannst!
-Laden-Update: Der Ex"&amp;"peditionsladen bietet jetzt einfache Sternensteine zum Austausch an.")</f>
        <v>-Neuer Kämpfer: Wilder Priester—Ollin. Ein weiser Anführer seiner Horde, ein mystischer Priester, umhüllt von wirbelndem Rauch, wird bald auf einem neuen Planeten in den Planetenkriegen erscheinen!
-Neue Kämpfer-Statue: Herman. Füge deiner Stadt mehr Glanz hinzu!
-Neue Mech-Skin: Löwen-Skin—Glücklicher Löwentanz. Um den Feiertag zu feiern, hat der Affe einen Löwen-Mech basierend auf alten menschlichen Bräuchen erschaffen.
-Ein neuer Planetenkrieg—Uralter Stern beginnt bald:
Antikes Relikt: Neue Entwicklungsfunktion hinzugefügt. Bleib aktiv, um antike Relikte zu sammeln, ihr Sternenlevel zu verbessern und zusätzliche Buffs zu erhalten.
Antike Relikt-Quests: Tägliche persönliche Quests hinzugefügt. Schließe sie ab, um Truhen zu öffnen und hochgradige antike Relikte zu verdienen.
Armee-Koloss: Eine neue Armee-Funktion, die es dir ermöglicht, Kolosse zu befehligen, um Anlagen zu erobern und in die Endzone vorzudringen.
Feldzone: Eine neue Karten-Schlacht, bei der du Kolosse angreifst oder verteidigst, deine Armee unterstützt und um Zonen-Boni kämpfst!
-Neue Mondneujahrs-Events:
Fantastische Stadt: Ein neuer Rathaus-Effekt—Fliegender Drache—kommt bald!
Chinesische Neujahrsgeschenke: Sammle Aufladungen, um Mech-Lack zu verdienen!
Festliche Feuerwerkskörper: Das Mondneujahrs-Event hat begonnen. Verwende Mondwürfel für eine Chance auf luxuriöse Preise und einen brandneuen Rathaus-Skin—Laternenfest!
Frühlingssegen: Zeitlich begrenzte Vorteile für Abonnementkarten, die das ganze Jahr über Glück bringen!
Löwentanz-Zeremonie: Sammle bestickte Bälle, um dein Event-Level zu erhöhen und den neuen Marscheffekt—Ewiger Überfluss zu erhalten!
Jage die Jahresbestie: Die Jahresbestie taucht wieder auf. Besiege sie, um zusätzliche Punkte zu erzielen!
Frühlingsgrüße: Besuche die Städte deiner Freunde oder lade sie während des Events zu dir ein, um Belohnungen zu verdienen!
Rote Umschläge: Teile die roten Umschläge, die du erhältst, mit anderen Spielern im Chat und verdiene CDs!
Glücks-Gacha-Maschine: Die Festival-Gacha-Maschine ist zurück. Verwende Planeten-Vorräte, um dein Glück zu versuchen und spannende Belohnungen zu ergattern!
-Ausrüstungsoptimierung: Der maximale Ausrüstungsbestand hat sich verdoppelt, sodass du noch mehr Ausrüstung schmieden kannst!
-Laden-Update: Der Expeditionsladen bietet jetzt einfache Sternensteine zum Austausch an.</v>
      </c>
      <c r="F63" s="168" t="str">
        <f>IFERROR(__xludf.DUMMYFUNCTION("""COMPUTED_VALUE"""),"-Novo Combatente: Sacerdote Selvagem—Ollin. Um líder sábio de seu clã, um sacerdote místico envolto em fumaça giratória, está prestes a aparecer em um novo planeta na Guerra Interplanetária!
-Nova Estátua Combatente: Herman. Adicione mais brilho à sua cid"&amp;"ade!
-Nova Skin de Mech: Skin de Leão—Dança do Leão da Sorte. Para celebrar o feriado, o Macaco criou um Mech de Leão baseado em costumes humanos antigos.
-Uma nova Guerra Interplanetária—Estrela Ancestral está prestes a começar:
Relíquia Ancestral: Novo "&amp;"recurso de desenvolvimento adicionado. Mantenha-se ativo para coletar relíquias ancestrais, melhorar seu nível de estrela e ganhar auxílios extras.
Missões de Relíquia Ancestral: Missões pessoais diárias adicionadas. Complete-as para abrir baús e ganhar r"&amp;"elíquias ancestrais de alta qualidade.
Exército Colosso: Um novo recurso do exército que permite comandar colossos para capturar estruturas e avançar para a zona final.
Zona de Campo: Um novo mapa de batalhas onde você ataca ou defende colossos, apoia seu"&amp;" exército e luta por bônus de zona!
-Novos eventos do Ano Novo Lunar:
Cidade Esplêndida: Um novo efeito da prefeitura—Dragão Voador—chega em breve!
Presentes de Ano Novo Chinês: Acumule recargas para ganhar laca de mech!
Fogos de Artifício Festivos: O eve"&amp;"nto do Ano Novo Lunar começou. Use o Dado Lunar para ter a chance de ganhar prêmios de luxo e uma nova skin da prefeitura—Festival das Lanternas!
Bênçãos da Primavera: Benefícios por tempo limitado para cartões de assinatura, mantendo a sorte ao seu lado "&amp;"o ano todo!
Cerimônia da Dança do Leão: Colete Bolas Bordadas para aumentar seu nível de evento e obter o novo efeito de marcha—Abundância Eterna!
Cace a Fera Anual: A Fera Anual reaparece. Derrote-a para ganhar pontos extras!
Saudações da Primavera: Visi"&amp;"te as cidades dos seus amigos ou convide-os para a sua durante o evento para ganhar recompensas!
Envelopes Vermelhos: Compartilhe os Envelopes Vermelhos que você recebe com outros jogadores no bate-papo e ganhe CDs!
Máquina de Gacha da Sorte: A máquina de"&amp;" gacha do festival está de volta. Use suprimentos do Planeta para tentar a sorte e ganhar recompensas emocionantes!
-Otimização de Equipamentos: O armazenamento máximo de equipamentos foi dobrado, permitindo que você forje ainda mais equipamentos!
-Atuali"&amp;"zação da Loja: A Loja de Expedição agora oferece Pedras Estelares básicas para troca.")</f>
        <v>-Novo Combatente: Sacerdote Selvagem—Ollin. Um líder sábio de seu clã, um sacerdote místico envolto em fumaça giratória, está prestes a aparecer em um novo planeta na Guerra Interplanetária!
-Nova Estátua Combatente: Herman. Adicione mais brilho à sua cidade!
-Nova Skin de Mech: Skin de Leão—Dança do Leão da Sorte. Para celebrar o feriado, o Macaco criou um Mech de Leão baseado em costumes humanos antigos.
-Uma nova Guerra Interplanetária—Estrela Ancestral está prestes a começar:
Relíquia Ancestral: Novo recurso de desenvolvimento adicionado. Mantenha-se ativo para coletar relíquias ancestrais, melhorar seu nível de estrela e ganhar auxílios extras.
Missões de Relíquia Ancestral: Missões pessoais diárias adicionadas. Complete-as para abrir baús e ganhar relíquias ancestrais de alta qualidade.
Exército Colosso: Um novo recurso do exército que permite comandar colossos para capturar estruturas e avançar para a zona final.
Zona de Campo: Um novo mapa de batalhas onde você ataca ou defende colossos, apoia seu exército e luta por bônus de zona!
-Novos eventos do Ano Novo Lunar:
Cidade Esplêndida: Um novo efeito da prefeitura—Dragão Voador—chega em breve!
Presentes de Ano Novo Chinês: Acumule recargas para ganhar laca de mech!
Fogos de Artifício Festivos: O evento do Ano Novo Lunar começou. Use o Dado Lunar para ter a chance de ganhar prêmios de luxo e uma nova skin da prefeitura—Festival das Lanternas!
Bênçãos da Primavera: Benefícios por tempo limitado para cartões de assinatura, mantendo a sorte ao seu lado o ano todo!
Cerimônia da Dança do Leão: Colete Bolas Bordadas para aumentar seu nível de evento e obter o novo efeito de marcha—Abundância Eterna!
Cace a Fera Anual: A Fera Anual reaparece. Derrote-a para ganhar pontos extras!
Saudações da Primavera: Visite as cidades dos seus amigos ou convide-os para a sua durante o evento para ganhar recompensas!
Envelopes Vermelhos: Compartilhe os Envelopes Vermelhos que você recebe com outros jogadores no bate-papo e ganhe CDs!
Máquina de Gacha da Sorte: A máquina de gacha do festival está de volta. Use suprimentos do Planeta para tentar a sorte e ganhar recompensas emocionantes!
-Otimização de Equipamentos: O armazenamento máximo de equipamentos foi dobrado, permitindo que você forje ainda mais equipamentos!
-Atualização da Loja: A Loja de Expedição agora oferece Pedras Estelares básicas para troca.</v>
      </c>
      <c r="G63" s="168" t="str">
        <f>IFERROR(__xludf.DUMMYFUNCTION("""COMPUTED_VALUE"""),"-新增鬥士：蠻荒祭司-奧林，引領部落的智者，茫茫煙霧中的神祕祭司！即將出現在銀河戰爭新的星球中！
-新增鬥士雕像：赫爾曼，來為你的城市增添更多光彩吧！
-新增機甲皮膚：雄獅皮膚-吉祥舞獅，猿族為了慶祝節日，在人類古老習俗基礎上改造的雄獅機甲。
-全新銀河戰爭-遠古星即將開啟：
遠古收藏品：新增養成玩法，活躍參與即可獲取遠古收藏品，提升藏品星級，獲得BUFF增益。
遠古收藏品任務：新增每日個人任務，完成後可開啟寶箱，獲取高品質遠古收藏品。
軍團巨像：新增軍團玩法，操控巨像爭奪建築，衝擊最後的決勝圈層。
野戰"&amp;"區：全新野戰模式，攻擊或防禦巨像，協助軍團巨像競賽，獲取圈層增益！
-新增農曆新年活動：
璀璨之都：新主城特效-祥龍騰飛即將登場！
新春豪禮：累計儲值豪禮相送，獲取機甲染色塗裝！
爆竹聲聲：農曆新年活動開啟，使用新春骰子，贏取豪華大獎，更有新春城市外觀-遊園燈會等你來拿！
迎春送福：訂閱卡限時回饋，把好運延續到新的一年！
舞獅盛典：收集繡球，提升活動等級，有機會獲取全新行軍特效-年年有餘！
年獸圍獵：年獸又出來作亂了，攻擊年獸可以獲得積分獎勵！
迎春訪友：拜訪好友的城市，或者邀請好友拜訪自己的城市，可以獲"&amp;"得豐厚獎勵！
新春紅包：獲得紅包道具後可以選擇聊天頻道發放紅包！可獲取豐厚CD獎勵！
幸運扭蛋機：節日扭蛋機再次營業，消耗猩球物資，開啟幸運扭蛋，獲得驚喜好禮！
-戰裝優化：戰裝存儲上限翻倍，現在可以打造更多的戰裝了！
-商店調整：遠征商店中增加普通收藏品升星石換領。")</f>
        <v>-新增鬥士：蠻荒祭司-奧林，引領部落的智者，茫茫煙霧中的神祕祭司！即將出現在銀河戰爭新的星球中！
-新增鬥士雕像：赫爾曼，來為你的城市增添更多光彩吧！
-新增機甲皮膚：雄獅皮膚-吉祥舞獅，猿族為了慶祝節日，在人類古老習俗基礎上改造的雄獅機甲。
-全新銀河戰爭-遠古星即將開啟：
遠古收藏品：新增養成玩法，活躍參與即可獲取遠古收藏品，提升藏品星級，獲得BUFF增益。
遠古收藏品任務：新增每日個人任務，完成後可開啟寶箱，獲取高品質遠古收藏品。
軍團巨像：新增軍團玩法，操控巨像爭奪建築，衝擊最後的決勝圈層。
野戰區：全新野戰模式，攻擊或防禦巨像，協助軍團巨像競賽，獲取圈層增益！
-新增農曆新年活動：
璀璨之都：新主城特效-祥龍騰飛即將登場！
新春豪禮：累計儲值豪禮相送，獲取機甲染色塗裝！
爆竹聲聲：農曆新年活動開啟，使用新春骰子，贏取豪華大獎，更有新春城市外觀-遊園燈會等你來拿！
迎春送福：訂閱卡限時回饋，把好運延續到新的一年！
舞獅盛典：收集繡球，提升活動等級，有機會獲取全新行軍特效-年年有餘！
年獸圍獵：年獸又出來作亂了，攻擊年獸可以獲得積分獎勵！
迎春訪友：拜訪好友的城市，或者邀請好友拜訪自己的城市，可以獲得豐厚獎勵！
新春紅包：獲得紅包道具後可以選擇聊天頻道發放紅包！可獲取豐厚CD獎勵！
幸運扭蛋機：節日扭蛋機再次營業，消耗猩球物資，開啟幸運扭蛋，獲得驚喜好禮！
-戰裝優化：戰裝存儲上限翻倍，現在可以打造更多的戰裝了！
-商店調整：遠征商店中增加普通收藏品升星石換領。</v>
      </c>
      <c r="H63" s="168" t="str">
        <f>IFERROR(__xludf.DUMMYFUNCTION("""COMPUTED_VALUE"""),"-Pejuang Baru: Pendeta Liar—Ollin. Seorang pemimpin bijak dari klannya, seorang pendeta mistis yang diselimuti asap berputar, akan segera muncul di planet baru dalam Perang Planet!
-Patung Pejuang Baru: Herman. Tambahkan lebih banyak kemegahan ke kota kam"&amp;"u!
-Skin Mekanik Baru: Skin Singa-Tarian Singa Keberuntungan. Untuk merayakan liburan, Kera menciptakan Mekanik Singa berdasarkan kebiasaan manusia kuno.
-Perang Planet baru—Bintang Kuno akan segera dimulai:
Relik Kuno: Fitur pengembangan baru ditambahkan"&amp;". Tetap aktif untuk mengumpulkan relik kuno, tingkatkan level bintangnya, dan dapatkan keunggulan ekstra.
Tantangan Relik Kuno: Tantangan pribadi harian ditambahkan. Selesaikan untuk membuka peti dan dapatkan relik kuno berkualitas tinggi.
Pasukan Kolosal"&amp;": Fitur pasukan baru yang memungkinkan kamu memerintahkan kolosal untuk merebut struktur dan maju ke zona akhir.
Zona Lapangan: Pertempuran peta baru di mana kamu menyerang atau bertahan kolosal, mendukung pasukanmu, dan berjuang untuk bonus zona!
-Event "&amp;"Tahun Baru Imlek baru:
Kota Megah: Efek balai kota baru—Naga Terbang—segera hadir!
Hadiah Tahun Baru Imlek: Kumpulkan isi daya untuk mendapatkan pernis mekanik!
Petasan Meriah: Event Tahun Baru Imlek telah dimulai. Gunakan Dadu Imlek untuk kesempatan mend"&amp;"apatkan hadiah mewah dan skin balai kota baru—Festival Lentera!
Berkat Musim Semi: Manfaat terbatas waktu untuk kartu langganan, menjaga keberuntungan di sisimu sepanjang tahun!
Pesta Barongsai: Kumpulkan Bola Sulam untuk meningkatkan level eventmu dan da"&amp;"patkan efek barisan baru—Kekayaan Abadi!
Berburu Nian: Nian muncul kembali. Kalahkan untuk mendapatkan poin ekstra!
Sambut Imlek: Kunjungi kota temanmu atau undang mereka ke kotamu selama event untuk mendapatkan hadiah!
Angpau: Bagikan Angpau yang kamu da"&amp;"patkan dengan pemain lain di obrolan dan dapatkan CD!
Mesin Gacha Keberuntungan: Mesin gacha festival kembali. Gunakan suplai Planet untuk mencoba keberuntunganmu dan dapatkan hadiah menarik!
-Optimasi Peralatan: Penyimpanan peralatan maksimum telah digan"&amp;"dakan, memungkinkan kamu untuk menempa lebih banyak peralatan!
-Perbarui Toko: Toko Ekspedisi sekarang menawarkan Batu Bintang dasar untuk ditukar.")</f>
        <v>-Pejuang Baru: Pendeta Liar—Ollin. Seorang pemimpin bijak dari klannya, seorang pendeta mistis yang diselimuti asap berputar, akan segera muncul di planet baru dalam Perang Planet!
-Patung Pejuang Baru: Herman. Tambahkan lebih banyak kemegahan ke kota kamu!
-Skin Mekanik Baru: Skin Singa-Tarian Singa Keberuntungan. Untuk merayakan liburan, Kera menciptakan Mekanik Singa berdasarkan kebiasaan manusia kuno.
-Perang Planet baru—Bintang Kuno akan segera dimulai:
Relik Kuno: Fitur pengembangan baru ditambahkan. Tetap aktif untuk mengumpulkan relik kuno, tingkatkan level bintangnya, dan dapatkan keunggulan ekstra.
Tantangan Relik Kuno: Tantangan pribadi harian ditambahkan. Selesaikan untuk membuka peti dan dapatkan relik kuno berkualitas tinggi.
Pasukan Kolosal: Fitur pasukan baru yang memungkinkan kamu memerintahkan kolosal untuk merebut struktur dan maju ke zona akhir.
Zona Lapangan: Pertempuran peta baru di mana kamu menyerang atau bertahan kolosal, mendukung pasukanmu, dan berjuang untuk bonus zona!
-Event Tahun Baru Imlek baru:
Kota Megah: Efek balai kota baru—Naga Terbang—segera hadir!
Hadiah Tahun Baru Imlek: Kumpulkan isi daya untuk mendapatkan pernis mekanik!
Petasan Meriah: Event Tahun Baru Imlek telah dimulai. Gunakan Dadu Imlek untuk kesempatan mendapatkan hadiah mewah dan skin balai kota baru—Festival Lentera!
Berkat Musim Semi: Manfaat terbatas waktu untuk kartu langganan, menjaga keberuntungan di sisimu sepanjang tahun!
Pesta Barongsai: Kumpulkan Bola Sulam untuk meningkatkan level eventmu dan dapatkan efek barisan baru—Kekayaan Abadi!
Berburu Nian: Nian muncul kembali. Kalahkan untuk mendapatkan poin ekstra!
Sambut Imlek: Kunjungi kota temanmu atau undang mereka ke kotamu selama event untuk mendapatkan hadiah!
Angpau: Bagikan Angpau yang kamu dapatkan dengan pemain lain di obrolan dan dapatkan CD!
Mesin Gacha Keberuntungan: Mesin gacha festival kembali. Gunakan suplai Planet untuk mencoba keberuntunganmu dan dapatkan hadiah menarik!
-Optimasi Peralatan: Penyimpanan peralatan maksimum telah digandakan, memungkinkan kamu untuk menempa lebih banyak peralatan!
-Perbarui Toko: Toko Ekspedisi sekarang menawarkan Batu Bintang dasar untuk ditukar.</v>
      </c>
      <c r="I63" s="168" t="str">
        <f>IFERROR(__xludf.DUMMYFUNCTION("""COMPUTED_VALUE"""),"-นักสู้ตัวใหม่: นักบวชป่า—ออลิน ผู้นำที่ชาญฉลาดของฝูงของเขา นักบวชลึกลับที่ถูกปกคลุมด้วยควันหมุนวน กำลังจะปรากฏบนดาวเคราะห์ใหม่ในสงครามดาวเคราะห์!
-รูปปั้นนักสู้ตัวใหม่: เฮอร์มัน เพิ่มความสว่างไสวให้กับเมืองของคุณ!
-สกินเมคใหม่: สกินสิงโต—เชิดสิงโตโชคดี เ"&amp;"พื่อเฉลิมฉลองเทศกาล ลิงได้สร้างเมคสิงโตตามประเพณีมนุษย์โบราณ
-สงครามดาวเคราะห์ใหม่—ดาวโบราณกำลังจะเริ่มขึ้น:
วัตถุโบราณ: เพิ่มฟีเจอร์การพัฒนาใหม่ อยู่รอดเพื่อเก็บวัตถุโบราณ อัปเกรดเลเวลดาวของพวกมัน และรับบัฟฟ์เพิ่มเติม
เควสต์วัตถุโบราณ: เพิ่มเควสต์ส่วนบุค"&amp;"คลรายวัน เสร็จสิ้นเพื่อเปิดหีบและรับวัตถุโบราณระดับสูง
กองทัพโคลอสซัส: ฟีเจอร์กองทัพใหม่ที่ให้คุณสั่งการโคลอสซัสเพื่อยึดโครงสร้างและชาร์จไปยังโซนสุดท้าย
โซนภาคสนาม: แผนที่การต่อสู้ใหม่ที่คุณโจมตีหรือป้องกันโคลอสซัส สนับสนุนกองทัพของคุณ และต่อสู้เพื่อโบนัส"&amp;"โซน!
-กิจกรรมตรุษจีนใหม่:
เมืองสุดพิเศษ: เอฟเฟกต์ศาลากลางเมืองใหม่—มังกรบิน—กำลังจะมาเร็ว ๆ นี้!
ของขวัญตรุษจีน: สะสมการเติมเงินเพื่อรับแลคเกอร์เมค!
ประทัดเฉลิมฉลอง: กิจกรรมตรุษจีนเริ่มขึ้นแล้ว ใช้ลูกเต๋าตรุษจีนเพื่อมีโอกาสรับรางวัลหรูหราและสกินศาลากลางเม"&amp;"ืองใหม่—เทศกาลโคมไฟ!
พรฤดูใบไม้ผลิ: ประโยชน์จำกัดเวลาสำหรับบัตรสมัครสมาชิก รักษาโชคดีตลอดทั้งปี!
เชิดสิงโตฉลอง: เก็บลูกบอลผ้าเพื่อเพิ่มเลเวลกิจกรรมของคุณและรับเอฟเฟกต์การเดินทัพใหม่—ความร่ำรวยนิรันดร์!
ล่าอสูรตรุษจีน: อสูรตรุษจีนปรากฏอีกครั้ง เอาชนะมันเพื"&amp;"่อทำคะแนนพิเศษ!
เยือนเพื่อนฉลองตรุษจีน: เยี่ยมชมเมืองของเพื่อนหรือชวนพวกเขามาที่เมืองของคุณในช่วงกิจกรรมเพื่อรับรางวัล!
อั่งเปา: แชร์อั่งเปาที่คุณได้รับกับผู้เล่นอื่นในแชทและรับซีดี!
เครื่องกาชานำโชค: เครื่องกาชาเทศกาลกลับมาแล้ว ใช้เสบียงดาวเคราะห์เพื่อเส"&amp;"ี่ยงโชคและรับรางวัลที่น่าตื่นเต้น!
-การปรับแต่งอุปกรณ์: การเก็บรักษาอุปกรณ์สูงสุดเพิ่มขึ้นเป็นสองเท่า ทำให้คุณสามารถสร้างอุปกรณ์ได้มากขึ้น!
-อัปเดตร้านลับ: ร้านลับการเดินทางเสนอหินดาวพื้นฐานสำหรับการแลกเปลี่ยน")</f>
        <v>-นักสู้ตัวใหม่: นักบวชป่า—ออลิน ผู้นำที่ชาญฉลาดของฝูงของเขา นักบวชลึกลับที่ถูกปกคลุมด้วยควันหมุนวน กำลังจะปรากฏบนดาวเคราะห์ใหม่ในสงครามดาวเคราะห์!
-รูปปั้นนักสู้ตัวใหม่: เฮอร์มัน เพิ่มความสว่างไสวให้กับเมืองของคุณ!
-สกินเมคใหม่: สกินสิงโต—เชิดสิงโตโชคดี เพื่อเฉลิมฉลองเทศกาล ลิงได้สร้างเมคสิงโตตามประเพณีมนุษย์โบราณ
-สงครามดาวเคราะห์ใหม่—ดาวโบราณกำลังจะเริ่มขึ้น:
วัตถุโบราณ: เพิ่มฟีเจอร์การพัฒนาใหม่ อยู่รอดเพื่อเก็บวัตถุโบราณ อัปเกรดเลเวลดาวของพวกมัน และรับบัฟฟ์เพิ่มเติม
เควสต์วัตถุโบราณ: เพิ่มเควสต์ส่วนบุคคลรายวัน เสร็จสิ้นเพื่อเปิดหีบและรับวัตถุโบราณระดับสูง
กองทัพโคลอสซัส: ฟีเจอร์กองทัพใหม่ที่ให้คุณสั่งการโคลอสซัสเพื่อยึดโครงสร้างและชาร์จไปยังโซนสุดท้าย
โซนภาคสนาม: แผนที่การต่อสู้ใหม่ที่คุณโจมตีหรือป้องกันโคลอสซัส สนับสนุนกองทัพของคุณ และต่อสู้เพื่อโบนัสโซน!
-กิจกรรมตรุษจีนใหม่:
เมืองสุดพิเศษ: เอฟเฟกต์ศาลากลางเมืองใหม่—มังกรบิน—กำลังจะมาเร็ว ๆ นี้!
ของขวัญตรุษจีน: สะสมการเติมเงินเพื่อรับแลคเกอร์เมค!
ประทัดเฉลิมฉลอง: กิจกรรมตรุษจีนเริ่มขึ้นแล้ว ใช้ลูกเต๋าตรุษจีนเพื่อมีโอกาสรับรางวัลหรูหราและสกินศาลากลางเมืองใหม่—เทศกาลโคมไฟ!
พรฤดูใบไม้ผลิ: ประโยชน์จำกัดเวลาสำหรับบัตรสมัครสมาชิก รักษาโชคดีตลอดทั้งปี!
เชิดสิงโตฉลอง: เก็บลูกบอลผ้าเพื่อเพิ่มเลเวลกิจกรรมของคุณและรับเอฟเฟกต์การเดินทัพใหม่—ความร่ำรวยนิรันดร์!
ล่าอสูรตรุษจีน: อสูรตรุษจีนปรากฏอีกครั้ง เอาชนะมันเพื่อทำคะแนนพิเศษ!
เยือนเพื่อนฉลองตรุษจีน: เยี่ยมชมเมืองของเพื่อนหรือชวนพวกเขามาที่เมืองของคุณในช่วงกิจกรรมเพื่อรับรางวัล!
อั่งเปา: แชร์อั่งเปาที่คุณได้รับกับผู้เล่นอื่นในแชทและรับซีดี!
เครื่องกาชานำโชค: เครื่องกาชาเทศกาลกลับมาแล้ว ใช้เสบียงดาวเคราะห์เพื่อเสี่ยงโชคและรับรางวัลที่น่าตื่นเต้น!
-การปรับแต่งอุปกรณ์: การเก็บรักษาอุปกรณ์สูงสุดเพิ่มขึ้นเป็นสองเท่า ทำให้คุณสามารถสร้างอุปกรณ์ได้มากขึ้น!
-อัปเดตร้านลับ: ร้านลับการเดินทางเสนอหินดาวพื้นฐานสำหรับการแลกเปลี่ยน</v>
      </c>
      <c r="J63" s="168" t="str">
        <f>IFERROR(__xludf.DUMMYFUNCTION("""COMPUTED_VALUE"""),"-Nuevo Luchador: Sacerdote Salvaje—Ollin. Un líder sabio de su clan, un sacerdote místico envuelto en humo arremolinado, está a punto de aparecer en un nuevo planeta en Guerras Planetarias!
-Nueva Estatua del Luchador: Herman. ¡Añade más brillo a tu ciuda"&amp;"d!
-Nueva Piel de Meca: Piel de León-Danza del León de la Suerte. Para celebrar la festividad, el Simio creó un Meca León basado en costumbres humanas antiguas.
-Una nueva Guerras Planetarias—Estrella Antigua está a punto de comenzar:
Reliquia Antigua: Nu"&amp;"eva característica de desarrollo añadida. Mantente activo para recolectar reliquias antiguas, mejorar su nivel de estrella y obtener mejoras adicionales.
Misiones de Reliquia Antigua: Misiones personales diarias añadidas. Complétalas para abrir cofres y g"&amp;"anar reliquias antiguas de alto grado.
Coloso del Ejército: Una nueva característica del ejército que te permite comandar colosos para tomar estructuras y cargar hacia la zona final.
Zona de Campo: Un nuevo mapa de batallas donde atacas o defiendes coloso"&amp;"s, apoyas a tu ejército y luchas por bonificaciones de zona!
-Nuevos eventos de Año Nuevo Lunar:
Ciudad Espléndida: Un nuevo efecto de ayuntamiento—Dragón Volador—llega pronto!
Regalos de Año Nuevo Chino: Acumula recargas para ganar laca de meca!
Petardos"&amp;" Festivos: El evento de Año Nuevo Lunar ha comenzado. Usa Dados Lunares para tener la oportunidad de ganar premios de lujo y una nueva piel de ayuntamiento—Festival de Linternas!
Bendiciones de Primavera: Beneficios por tiempo limitado para tarjetas de su"&amp;"scripción, manteniendo la suerte de tu lado todo el año!
Ceremonia de la Danza del León: Recolecta Esferas Bordadas para subir tu nivel de evento y obtener el nuevo efecto de marcha—Abundancia Eterna!
Cacería de la Bestia de Año Nuevo: La Bestia de Año Nu"&amp;"evo reaparece. ¡Derrotala para ganar puntos extra!
Saludos Primaverales: ¡Visita las ciudades de tus amigos o invítalos a la tuya durante el evento para ganar recompensas!
Sobres Rojos: ¡Comparte los Sobres Rojos que obtienes con otros jugadores en el cha"&amp;"t y gana CDs!
Máquina de Gacha de la Suerte: La máquina de gacha del festival está de vuelta. Usa suministros del Planeta para probar tu suerte y obtener emocionantes recompensas!
-Optimización de Equipamiento: El almacenamiento máximo de equipamiento se "&amp;"ha duplicado, permitiéndote forjar aún más equipamiento!
-Actualización de Tienda: La Tienda de Expedición ahora ofrece Piedras Estrella básicas para intercambio.")</f>
        <v>-Nuevo Luchador: Sacerdote Salvaje—Ollin. Un líder sabio de su clan, un sacerdote místico envuelto en humo arremolinado, está a punto de aparecer en un nuevo planeta en Guerras Planetarias!
-Nueva Estatua del Luchador: Herman. ¡Añade más brillo a tu ciudad!
-Nueva Piel de Meca: Piel de León-Danza del León de la Suerte. Para celebrar la festividad, el Simio creó un Meca León basado en costumbres humanas antiguas.
-Una nueva Guerras Planetarias—Estrella Antigua está a punto de comenzar:
Reliquia Antigua: Nueva característica de desarrollo añadida. Mantente activo para recolectar reliquias antiguas, mejorar su nivel de estrella y obtener mejoras adicionales.
Misiones de Reliquia Antigua: Misiones personales diarias añadidas. Complétalas para abrir cofres y ganar reliquias antiguas de alto grado.
Coloso del Ejército: Una nueva característica del ejército que te permite comandar colosos para tomar estructuras y cargar hacia la zona final.
Zona de Campo: Un nuevo mapa de batallas donde atacas o defiendes colosos, apoyas a tu ejército y luchas por bonificaciones de zona!
-Nuevos eventos de Año Nuevo Lunar:
Ciudad Espléndida: Un nuevo efecto de ayuntamiento—Dragón Volador—llega pronto!
Regalos de Año Nuevo Chino: Acumula recargas para ganar laca de meca!
Petardos Festivos: El evento de Año Nuevo Lunar ha comenzado. Usa Dados Lunares para tener la oportunidad de ganar premios de lujo y una nueva piel de ayuntamiento—Festival de Linternas!
Bendiciones de Primavera: Beneficios por tiempo limitado para tarjetas de suscripción, manteniendo la suerte de tu lado todo el año!
Ceremonia de la Danza del León: Recolecta Esferas Bordadas para subir tu nivel de evento y obtener el nuevo efecto de marcha—Abundancia Eterna!
Cacería de la Bestia de Año Nuevo: La Bestia de Año Nuevo reaparece. ¡Derrotala para ganar puntos extra!
Saludos Primaverales: ¡Visita las ciudades de tus amigos o invítalos a la tuya durante el evento para ganar recompensas!
Sobres Rojos: ¡Comparte los Sobres Rojos que obtienes con otros jugadores en el chat y gana CDs!
Máquina de Gacha de la Suerte: La máquina de gacha del festival está de vuelta. Usa suministros del Planeta para probar tu suerte y obtener emocionantes recompensas!
-Optimización de Equipamiento: El almacenamiento máximo de equipamiento se ha duplicado, permitiéndote forjar aún más equipamiento!
-Actualización de Tienda: La Tienda de Expedición ahora ofrece Piedras Estrella básicas para intercambio.</v>
      </c>
      <c r="K63" s="168" t="str">
        <f>IFERROR(__xludf.DUMMYFUNCTION("""COMPUTED_VALUE"""),"-Новый герой: Дикий жрец—Оллин. Мудрый лидер своего клана, мистический жрец, окутанный клубящимся дымом, готов появиться на новой планете в Планетарных войнах!
-Новая статуя героя: Герман. Добавьте больше блеска вашему городу!
-Новый облик меха: Облик льв"&amp;"а—Счастливый танец льва. В честь праздника Обезьяна создала Льва Меха на основе древних человеческих обычаев.
-Новые Планетарные войны—Древняя звезда скоро начнутся:
Древняя реликвия: Добавлена новая функция разработки. Оставайтесь активными, чтобы собира"&amp;"ть древние реликвии, улучшать их звездный уровень и получать дополнительные усиления.
Задания на древние реликвии: Добавлены ежедневные личные задания. Выполняйте их, чтобы открывать сундуки и зарабатывать высококачественные древние реликвии.
Армейский Ко"&amp;"лосс: Новая армейская функция, позволяющая командовать колоссами для захвата строений и продвижения к финальной зоне.
Полевая зона: Новые битвы на карте, где вы атакуете или защищаете колоссов, поддерживаете свою армию и сражаетесь за бонусы зоны!
-Новые "&amp;"события Лунного Нового года:
Великолепный город: Новый эффект городского совета—Летящий дракон—скоро появится!
Подарки на Китайский Новый год: Накопите пополнения, чтобы заработать лак для меха!
Праздничные петарды: Событие Лунного Нового года началось. И"&amp;"спользуйте Лунные кубики, чтобы получить шанс на роскошные призы и новый облик городского совета—Фестиваль Фонарей!
Весенние Благословения: Ограниченные по времени преимущества для подписных карт, чтобы удача была на вашей стороне весь год!
Церемония танц"&amp;"а льва: Собирайте вышитые мячи, чтобы повысить уровень события и получить новый эффект марша—Вечное изобилие!
Охота на зверя года: Зверь года снова появляется. Победите его, чтобы заработать дополнительные очки!
Весенние приветствия: Посещайте города свои"&amp;"х друзей или приглашайте их в свои во время события, чтобы заработать награды!
Красные конверты: Делитесь полученными красными конвертами с другими игроками в чате и зарабатывайте CD!
Гача-машина удачи: Фестивальная гача-машина вернулась. Используйте прип"&amp;"асы планеты, чтобы испытать удачу и получить захватывающие награды!
-Оптимизация оборудования: Максимальное хранилище оборудования удвоено, что позволяет вам ковать еще больше оборудования!
-Обновление магазина: В магазине экспедиций теперь доступны базов"&amp;"ые звездные камни для обмена.")</f>
        <v>-Новый герой: Дикий жрец—Оллин. Мудрый лидер своего клана, мистический жрец, окутанный клубящимся дымом, готов появиться на новой планете в Планетарных войнах!
-Новая статуя героя: Герман. Добавьте больше блеска вашему городу!
-Новый облик меха: Облик льва—Счастливый танец льва. В честь праздника Обезьяна создала Льва Меха на основе древних человеческих обычаев.
-Новые Планетарные войны—Древняя звезда скоро начнутся:
Древняя реликвия: Добавлена новая функция разработки. Оставайтесь активными, чтобы собирать древние реликвии, улучшать их звездный уровень и получать дополнительные усиления.
Задания на древние реликвии: Добавлены ежедневные личные задания. Выполняйте их, чтобы открывать сундуки и зарабатывать высококачественные древние реликвии.
Армейский Колосс: Новая армейская функция, позволяющая командовать колоссами для захвата строений и продвижения к финальной зоне.
Полевая зона: Новые битвы на карте, где вы атакуете или защищаете колоссов, поддерживаете свою армию и сражаетесь за бонусы зоны!
-Новые события Лунного Нового года:
Великолепный город: Новый эффект городского совета—Летящий дракон—скоро появится!
Подарки на Китайский Новый год: Накопите пополнения, чтобы заработать лак для меха!
Праздничные петарды: Событие Лунного Нового года началось. Используйте Лунные кубики, чтобы получить шанс на роскошные призы и новый облик городского совета—Фестиваль Фонарей!
Весенние Благословения: Ограниченные по времени преимущества для подписных карт, чтобы удача была на вашей стороне весь год!
Церемония танца льва: Собирайте вышитые мячи, чтобы повысить уровень события и получить новый эффект марша—Вечное изобилие!
Охота на зверя года: Зверь года снова появляется. Победите его, чтобы заработать дополнительные очки!
Весенние приветствия: Посещайте города своих друзей или приглашайте их в свои во время события, чтобы заработать награды!
Красные конверты: Делитесь полученными красными конвертами с другими игроками в чате и зарабатывайте CD!
Гача-машина удачи: Фестивальная гача-машина вернулась. Используйте припасы планеты, чтобы испытать удачу и получить захватывающие награды!
-Оптимизация оборудования: Максимальное хранилище оборудования удвоено, что позволяет вам ковать еще больше оборудования!
-Обновление магазина: В магазине экспедиций теперь доступны базовые звездные камни для обмена.</v>
      </c>
      <c r="L63" s="168" t="str">
        <f>IFERROR(__xludf.DUMMYFUNCTION("""COMPUTED_VALUE"""),"-Yeni Savaşçı: Vahşi Rahip—Ollin. Klanının bilge lideri, dönen dumanlarla örtülü mistik bir rahip, Gezegen Savaşları'nda yeni bir gezegende ortaya çıkmak üzere!
-Yeni Savaşçı Heykeli: Herman. Şehrine daha fazla parlaklık kat!
-Yeni Meka Görünümü: Aslan Gö"&amp;"rünümü-Şanslı Aslan Dansı. Tatili kutlamak için, Maymun eski insan geleneklerine dayanan bir Aslan Meka yarattı.
-Yeni bir Gezegen Savaşları—Kadim Yıldız başlamak üzere:
Antik Kalıntı: Yeni geliştirme özelliği eklendi. Antik kalıntıları toplamak, yıldız s"&amp;"eviyelerini yükseltmek ve ekstra güçlendirmeler kazanmak için aktif kal.
Antik Kalıntı Maceraları: Günlük kişisel maceralar eklendi. Sandıkları açmak ve yüksek dereceli antik kalıntılar kazanmak için tamamla.
Ordu Kolosu: Kolosları komuta ederek yapıları "&amp;"ele geçirmenizi ve son bölgeye doğru ilerlemenizi sağlayan yeni bir ordu özelliği.
Alan Bölgesi: Koloslara saldırdığınız veya savunduğunuz, ordunuzu desteklediğiniz ve bölge bonusları için savaştığınız yeni bir harita savaşları!
-Yeni Ay Yeni Yılı etkinli"&amp;"kleri:
Muhteşem Şehir: Yeni bir meclis etkisi—Uçan Ejderha—yakında geliyor!
Çin Yeni Yılı Hediyeleri: Meka cilası kazanmak için şarjları biriktir!
Şenlik Havai Fişekleri: Ay Yeni Yılı etkinliği başladı. Lüks ödüller ve yepyeni bir meclis görünümü—Fener Fe"&amp;"stivali—şansı için Ay Zarlarını kullan!
Bahar Bereketleri: Abonelik kartları için sınırlı süreli avantajlar, tüm yıl boyunca şansını yanında tut!
Aslan Dansı Töreni: Etkinlik seviyeni yükseltmek ve yeni sefer etkisi—Sonsuz Bereket—kazanmak için Nakışlı To"&amp;"plar topla!
Yıl Canavarını Avla: Yıl Canavarı yeniden ortaya çıkıyor. Ekstra puanlar kazanmak için onu yen!
Bahar Selamları: Etkinlik sırasında arkadaşlarının şehirlerini ziyaret et veya onları kendi şehrine davet et ve ödüller kazan!
Kırmızı Zarflar: Soh"&amp;"bette diğer oyuncularla paylaşmak ve CD'ler kazanmak için aldığın Kırmızı Zarfları paylaş!
Şanslı Gacha Makinesi: Festival gacha makinesi geri döndü. Şansını denemek ve heyecan verici ödüller kazanmak için Gezegen tedariklerini kullan!
-Ekipman Optimizasy"&amp;"onu: Maksimum ekipman depolama iki katına çıktı, böylece daha fazla ekipman dövebilirsin!
-Mağaza Güncellemesi: Sefer Mağazası artık takas için temel Yıldız Taşları sunuyor.")</f>
        <v>-Yeni Savaşçı: Vahşi Rahip—Ollin. Klanının bilge lideri, dönen dumanlarla örtülü mistik bir rahip, Gezegen Savaşları'nda yeni bir gezegende ortaya çıkmak üzere!
-Yeni Savaşçı Heykeli: Herman. Şehrine daha fazla parlaklık kat!
-Yeni Meka Görünümü: Aslan Görünümü-Şanslı Aslan Dansı. Tatili kutlamak için, Maymun eski insan geleneklerine dayanan bir Aslan Meka yarattı.
-Yeni bir Gezegen Savaşları—Kadim Yıldız başlamak üzere:
Antik Kalıntı: Yeni geliştirme özelliği eklendi. Antik kalıntıları toplamak, yıldız seviyelerini yükseltmek ve ekstra güçlendirmeler kazanmak için aktif kal.
Antik Kalıntı Maceraları: Günlük kişisel maceralar eklendi. Sandıkları açmak ve yüksek dereceli antik kalıntılar kazanmak için tamamla.
Ordu Kolosu: Kolosları komuta ederek yapıları ele geçirmenizi ve son bölgeye doğru ilerlemenizi sağlayan yeni bir ordu özelliği.
Alan Bölgesi: Koloslara saldırdığınız veya savunduğunuz, ordunuzu desteklediğiniz ve bölge bonusları için savaştığınız yeni bir harita savaşları!
-Yeni Ay Yeni Yılı etkinlikleri:
Muhteşem Şehir: Yeni bir meclis etkisi—Uçan Ejderha—yakında geliyor!
Çin Yeni Yılı Hediyeleri: Meka cilası kazanmak için şarjları biriktir!
Şenlik Havai Fişekleri: Ay Yeni Yılı etkinliği başladı. Lüks ödüller ve yepyeni bir meclis görünümü—Fener Festivali—şansı için Ay Zarlarını kullan!
Bahar Bereketleri: Abonelik kartları için sınırlı süreli avantajlar, tüm yıl boyunca şansını yanında tut!
Aslan Dansı Töreni: Etkinlik seviyeni yükseltmek ve yeni sefer etkisi—Sonsuz Bereket—kazanmak için Nakışlı Toplar topla!
Yıl Canavarını Avla: Yıl Canavarı yeniden ortaya çıkıyor. Ekstra puanlar kazanmak için onu yen!
Bahar Selamları: Etkinlik sırasında arkadaşlarının şehirlerini ziyaret et veya onları kendi şehrine davet et ve ödüller kazan!
Kırmızı Zarflar: Sohbette diğer oyuncularla paylaşmak ve CD'ler kazanmak için aldığın Kırmızı Zarfları paylaş!
Şanslı Gacha Makinesi: Festival gacha makinesi geri döndü. Şansını denemek ve heyecan verici ödüller kazanmak için Gezegen tedariklerini kullan!
-Ekipman Optimizasyonu: Maksimum ekipman depolama iki katına çıktı, böylece daha fazla ekipman dövebilirsin!
-Mağaza Güncellemesi: Sefer Mağazası artık takas için temel Yıldız Taşları sunuyor.</v>
      </c>
      <c r="M63" s="168" t="str">
        <f>IFERROR(__xludf.DUMMYFUNCTION("""COMPUTED_VALUE"""),"- Chiến Binh Mới: Thầy Phù Thủy Hoang Dã—Ollin. Một lãnh đạo thông thái của bộ lạc mình, một thầy phù thủy huyền bí bao phủ trong làn khói xoáy, sắp xuất hiện trên một hành tinh mới trong Chiến Tranh Hành Tinh!
- Tượng Chiến Binh Mới: Herman. Thêm sự rực "&amp;"rỡ cho thành phố của bạn!
- Giao Diện Cơ Khí Mới: Giao Diện Sư Tử—Múa Lân May Mắn. Để chào mừng ngày lễ, Khỉ đã tạo ra một Cơ Khí Sư Tử dựa trên phong tục cổ xưa của con người.
- Một Chiến Tranh Hành Tinh mới—Sao Cổ Đại sắp bắt đầu:
Di Tích Cổ Đại: Tính n"&amp;"ăng phát triển mới được thêm vào. Luôn hoạt động để thu thập di tích cổ đại, nâng cấp cấp sao của chúng và nhận thêm hiệu ứng có lợi.
Nhiệm Vụ Di Tích Cổ Đại: Thêm nhiệm vụ cá nhân hàng ngày. Hoàn thành chúng để mở rương và nhận di tích cổ đại cấp cao.
Qu"&amp;"ân Đội Khổng Lồ: Một tính năng quân đội mới cho phép bạn chỉ huy các khổng lồ để chiếm các cấu trúc và tiến về khu vực cuối cùng.
Khu Vực Chiến Tuyến: Một bản đồ chiến đấu mới nơi bạn tấn công hoặc phòng thủ các khổng lồ, hỗ trợ quân đội của bạn và chiến "&amp;"đấu để giành phần thưởng khu vực!
- Sự kiện Tết Nguyên Đán mới:
Thành Phố Tuyệt Diệu: Một hiệu ứng tòa thị chính mới—Rồng Bay—sắp ra mắt!
Quà Tặng Tết Nguyên Đán: Tích lũy nạp năng lượng để nhận sơn mài cơ khí!
Pháo Hoa Lễ Hội: Sự kiện Tết Nguyên Đán đã b"&amp;"ắt đầu. Sử dụng Xúc Xắc Năm Mới để có cơ hội nhận giải thưởng sang trọng và một giao diện tòa thị chính mới—Lễ Hội Đèn Lồng!
Phúc Lành Mùa Xuân: Quyền lợi giới hạn thời gian cho thẻ đăng ký, giữ may mắn bên bạn suốt cả năm!
Lễ Hội Múa Lân: Thu thập Tú Cầu"&amp;" để nâng cấp cấp sự kiện của bạn và nhận hiệu ứng hành quân mới—Dồi Dào Vĩnh Cửu!
Vây Bắt Niên Thú: Niên Thú tái xuất hiện. Đánh bại nó để ghi thêm điểm!
Đón Xuân Thăm Bạn: Thăm thành phố của bạn bè hoặc mời họ đến thành phố của bạn trong sự kiện để nhận "&amp;"phần thưởng!
Lì Xì: Chia sẻ Lì Xì bạn nhận được với người chơi khác trong trò chuyện và nhận CD!
Máy Gacha May Mắn: Máy gacha lễ hội đã trở lại. Sử dụng quân nhu hành tinh để thử vận may và nhận những phần thưởng thú vị!
- Tối Ưu Hóa Trang Bị: Dung lượng "&amp;"lưu trữ trang bị tối đa đã được gấp đôi, cho phép bạn rèn thêm nhiều trang bị hơn!
- Cập Nhật Cửa Hàng: Cửa Hàng Thám Hiểm hiện cung cấp Đá Sao cơ bản để trao đổi.")</f>
        <v>- Chiến Binh Mới: Thầy Phù Thủy Hoang Dã—Ollin. Một lãnh đạo thông thái của bộ lạc mình, một thầy phù thủy huyền bí bao phủ trong làn khói xoáy, sắp xuất hiện trên một hành tinh mới trong Chiến Tranh Hành Tinh!
- Tượng Chiến Binh Mới: Herman. Thêm sự rực rỡ cho thành phố của bạn!
- Giao Diện Cơ Khí Mới: Giao Diện Sư Tử—Múa Lân May Mắn. Để chào mừng ngày lễ, Khỉ đã tạo ra một Cơ Khí Sư Tử dựa trên phong tục cổ xưa của con người.
- Một Chiến Tranh Hành Tinh mới—Sao Cổ Đại sắp bắt đầu:
Di Tích Cổ Đại: Tính năng phát triển mới được thêm vào. Luôn hoạt động để thu thập di tích cổ đại, nâng cấp cấp sao của chúng và nhận thêm hiệu ứng có lợi.
Nhiệm Vụ Di Tích Cổ Đại: Thêm nhiệm vụ cá nhân hàng ngày. Hoàn thành chúng để mở rương và nhận di tích cổ đại cấp cao.
Quân Đội Khổng Lồ: Một tính năng quân đội mới cho phép bạn chỉ huy các khổng lồ để chiếm các cấu trúc và tiến về khu vực cuối cùng.
Khu Vực Chiến Tuyến: Một bản đồ chiến đấu mới nơi bạn tấn công hoặc phòng thủ các khổng lồ, hỗ trợ quân đội của bạn và chiến đấu để giành phần thưởng khu vực!
- Sự kiện Tết Nguyên Đán mới:
Thành Phố Tuyệt Diệu: Một hiệu ứng tòa thị chính mới—Rồng Bay—sắp ra mắt!
Quà Tặng Tết Nguyên Đán: Tích lũy nạp năng lượng để nhận sơn mài cơ khí!
Pháo Hoa Lễ Hội: Sự kiện Tết Nguyên Đán đã bắt đầu. Sử dụng Xúc Xắc Năm Mới để có cơ hội nhận giải thưởng sang trọng và một giao diện tòa thị chính mới—Lễ Hội Đèn Lồng!
Phúc Lành Mùa Xuân: Quyền lợi giới hạn thời gian cho thẻ đăng ký, giữ may mắn bên bạn suốt cả năm!
Lễ Hội Múa Lân: Thu thập Tú Cầu để nâng cấp cấp sự kiện của bạn và nhận hiệu ứng hành quân mới—Dồi Dào Vĩnh Cửu!
Vây Bắt Niên Thú: Niên Thú tái xuất hiện. Đánh bại nó để ghi thêm điểm!
Đón Xuân Thăm Bạn: Thăm thành phố của bạn bè hoặc mời họ đến thành phố của bạn trong sự kiện để nhận phần thưởng!
Lì Xì: Chia sẻ Lì Xì bạn nhận được với người chơi khác trong trò chuyện và nhận CD!
Máy Gacha May Mắn: Máy gacha lễ hội đã trở lại. Sử dụng quân nhu hành tinh để thử vận may và nhận những phần thưởng thú vị!
- Tối Ưu Hóa Trang Bị: Dung lượng lưu trữ trang bị tối đa đã được gấp đôi, cho phép bạn rèn thêm nhiều trang bị hơn!
- Cập Nhật Cửa Hàng: Cửa Hàng Thám Hiểm hiện cung cấp Đá Sao cơ bản để trao đổi.</v>
      </c>
      <c r="N63" s="169" t="str">
        <f>IFERROR(__xludf.DUMMYFUNCTION("""COMPUTED_VALUE"""),"-Nuovo Combattente: Sacerdote Selvaggio—Ollin. Un saggio leader del suo clan, un sacerdote mistico avvolto in fumo vorticoso, sta per apparire su un nuovo pianeta in Guerre planetarie!
-Nuova Statua del Combattente: Herman. Aggiungi più splendore alla tua"&amp;" città!
-Nuovo Aspetto Mech: Pelle di Leone—Danza Fortunata del Leone. Per celebrare la festività, l'Ape ha creato un Mech Leone basato su antiche usanze umane.
-Una nuova Guerra planetaria—Stella antica sta per iniziare:
Reliquia antica: Aggiunta una nuo"&amp;"va funzione di sviluppo. Rimani attivo per raccogliere reliquie antiche, potenziare il loro livello stelle e ottenere benefici extra.
Missioni Reliquia antica: Aggiunte missioni personali giornaliere. Completale per aprire scrigni e guadagnare reliquie an"&amp;"tiche di alto grado.
Esercito Colosso: Una nuova funzione dell'esercito che ti permette di comandare colossi per conquistare strutture e caricare verso la zona finale.
Zona sul campo: Una nuova mappa di battaglie dove attacchi o difendi colossi, supporti "&amp;"il tuo esercito e combatti per i bonus della zona!
-Nuovi eventi per il Capodanno Lunare:
Città Splendente: Un nuovo effetto del municipio—Drago Volante—arriva presto!
Regali del Capodanno Cinese: Accumula ricariche per guadagnare lacca per mech!
Petardi "&amp;"Festivi: L'evento del Capodanno Lunare è iniziato. Usa il Dado lunare per avere la possibilità di vincere premi di lusso e un nuovo aspetto del municipio—Festival delle Lanterne!
Benedizioni di Primavera: Vantaggi a tempo limitato per le carte abbonamento"&amp;", mantenendo la fortuna dalla tua parte tutto l'anno!
Cerimonia della Danza del Leone: Raccogli Palline ricamate per aumentare il tuo livello evento e ottenere il nuovo effetto di marcia—Abbondanza Eterna!
Caccia alla Bestia dell'Anno: La Bestia dell'anno"&amp;" riappare. Sconfiggila per ottenere punti extra!
Saluti di Primavera: Visita le città dei tuoi amici o invitali nella tua durante l'evento per guadagnare ricompense!
Buste Rosse: Condividi le Buste Rosse che ottieni con altri giocatori in chat e guadagna "&amp;"CD!
Macchina Gacha Fortunata: La macchina gacha del festival è tornata. Usa le scorte del pianeta per sfidare la sorte e ottenere ricompense entusiasmanti!
-Ottimizzazione dell'Equipaggiamento: La capacità massima di stoccaggio dell'equipaggiamento è radd"&amp;"oppiata, permettendoti di forgiare ancora più equipaggiamenti!
-Aggiornamento Negozio: Il Negozio delle Spedizioni ora offre Pietre Stellari di base per lo scambio.")</f>
        <v>-Nuovo Combattente: Sacerdote Selvaggio—Ollin. Un saggio leader del suo clan, un sacerdote mistico avvolto in fumo vorticoso, sta per apparire su un nuovo pianeta in Guerre planetarie!
-Nuova Statua del Combattente: Herman. Aggiungi più splendore alla tua città!
-Nuovo Aspetto Mech: Pelle di Leone—Danza Fortunata del Leone. Per celebrare la festività, l'Ape ha creato un Mech Leone basato su antiche usanze umane.
-Una nuova Guerra planetaria—Stella antica sta per iniziare:
Reliquia antica: Aggiunta una nuova funzione di sviluppo. Rimani attivo per raccogliere reliquie antiche, potenziare il loro livello stelle e ottenere benefici extra.
Missioni Reliquia antica: Aggiunte missioni personali giornaliere. Completale per aprire scrigni e guadagnare reliquie antiche di alto grado.
Esercito Colosso: Una nuova funzione dell'esercito che ti permette di comandare colossi per conquistare strutture e caricare verso la zona finale.
Zona sul campo: Una nuova mappa di battaglie dove attacchi o difendi colossi, supporti il tuo esercito e combatti per i bonus della zona!
-Nuovi eventi per il Capodanno Lunare:
Città Splendente: Un nuovo effetto del municipio—Drago Volante—arriva presto!
Regali del Capodanno Cinese: Accumula ricariche per guadagnare lacca per mech!
Petardi Festivi: L'evento del Capodanno Lunare è iniziato. Usa il Dado lunare per avere la possibilità di vincere premi di lusso e un nuovo aspetto del municipio—Festival delle Lanterne!
Benedizioni di Primavera: Vantaggi a tempo limitato per le carte abbonamento, mantenendo la fortuna dalla tua parte tutto l'anno!
Cerimonia della Danza del Leone: Raccogli Palline ricamate per aumentare il tuo livello evento e ottenere il nuovo effetto di marcia—Abbondanza Eterna!
Caccia alla Bestia dell'Anno: La Bestia dell'anno riappare. Sconfiggila per ottenere punti extra!
Saluti di Primavera: Visita le città dei tuoi amici o invitali nella tua durante l'evento per guadagnare ricompense!
Buste Rosse: Condividi le Buste Rosse che ottieni con altri giocatori in chat e guadagna CD!
Macchina Gacha Fortunata: La macchina gacha del festival è tornata. Usa le scorte del pianeta per sfidare la sorte e ottenere ricompense entusiasmanti!
-Ottimizzazione dell'Equipaggiamento: La capacità massima di stoccaggio dell'equipaggiamento è raddoppiata, permettendoti di forgiare ancora più equipaggiamenti!
-Aggiornamento Negozio: Il Negozio delle Spedizioni ora offre Pietre Stellari di base per lo scambio.</v>
      </c>
      <c r="O63" s="168" t="str">
        <f>IFERROR(__xludf.DUMMYFUNCTION("""COMPUTED_VALUE"""),"-Nowy Wojownik: Dzikus Kapłan—Ollin. Mądry przywódca swojego klanu, mistyczny kapłan owiany wirującym dymem, wkrótce pojawi się na nowej planecie w Wojnach Planetarnych!
-Nowy Pomnik Wojownika: Herman. Dodaj więcej blasku swojemu miastu!
-Nowa Skórka Mech"&amp;"a: Skórka Lwa—Szczęśliwy Lwi Taniec. Aby uczcić święto, Małpa stworzyła Lwiego Mecha na podstawie starożytnych ludzkich zwyczajów.
-Nowa Wojna Planetarna—Starożytna Gwiazda wkrótce się rozpocznie:
Starożytny Relikt: Dodano nową funkcję rozwoju. Pozostań a"&amp;"ktywny, aby zbierać starożytne relikty, ulepszać ich poziom gwiazdek i zdobywać dodatkowe wzmocnienia.
Zadania Starożytnych Reliktów: Dodano codzienne osobiste zadania. Wykonaj je, aby otworzyć skrzynie i zdobyć starożytne relikty wysokiej klasy.
Armia Ko"&amp;"losów: Nowa funkcja armii, która pozwala dowodzić kolosami, aby przejmować budowle i ładować się do strefy końcowej.
Strefa Pola: Nowa mapa bitew, gdzie atakujesz lub bronisz kolosów, wspierasz swoją armię i walczysz o premie strefowe!
-Nowe wydarzenia na"&amp;" Chiński Nowy Rok:
Wspaniałe Miasto: Nowy efekt ratusza—Latający Smok—wkrótce się pojawi!
Prezenty na Chiński Nowy Rok: Gromadź doładowania, aby zdobyć lakier do mecha!
Świąteczne Petardy: Wydarzenie na Chiński Nowy Rok się rozpoczęło. Użyj Księżycowych K"&amp;"ości, aby mieć szansę na luksusowe nagrody i zupełnie nową skórkę ratusza—Festiwal Lampionów!
Wiosenne Błogosławieństwa: Ograniczone czasowo korzyści dla kart subskrypcyjnych, które zapewnią ci szczęście przez cały rok!
Ceremonia Lwiego Tańca: Zbieraj Ozd"&amp;"obne Kule, aby podnieść poziom wydarzenia i zdobyć nowy efekt marszu—Wieczna Obfitość!
Polowanie na Bestię Noworoczną: Bestia Noworoczna ponownie się pojawia. Pokonaj ją, aby zdobyć dodatkowe punkty!
Wiosenne Pozdrowienia: Odwiedzaj miasta swoich znajomyc"&amp;"h lub zapraszaj ich do swoich podczas wydarzenia, aby zdobywać nagrody!
Czerwone Koperty: Udostępniaj Czerwone Koperty, które otrzymasz, innym graczom na czacie i zdobywaj CD!
Maszyna Szczęśliwej Gachy: Festiwalowa maszyna gacha powraca. Użyj zapasów Plan"&amp;"ety, aby spróbować szczęścia i zdobyć ekscytujące nagrody!
-Optymalizacja Wyposażenia: Maksymalna pojemność magazynu wyposażenia została podwojona, co pozwala na tworzenie jeszcze większej ilości wyposażenia!
-Aktualizacja Sklepu: Sklep Ekspedycyjny oferu"&amp;"je teraz podstawowe Kamienie Gwiazd do wymiany.")</f>
        <v>-Nowy Wojownik: Dzikus Kapłan—Ollin. Mądry przywódca swojego klanu, mistyczny kapłan owiany wirującym dymem, wkrótce pojawi się na nowej planecie w Wojnach Planetarnych!
-Nowy Pomnik Wojownika: Herman. Dodaj więcej blasku swojemu miastu!
-Nowa Skórka Mecha: Skórka Lwa—Szczęśliwy Lwi Taniec. Aby uczcić święto, Małpa stworzyła Lwiego Mecha na podstawie starożytnych ludzkich zwyczajów.
-Nowa Wojna Planetarna—Starożytna Gwiazda wkrótce się rozpocznie:
Starożytny Relikt: Dodano nową funkcję rozwoju. Pozostań aktywny, aby zbierać starożytne relikty, ulepszać ich poziom gwiazdek i zdobywać dodatkowe wzmocnienia.
Zadania Starożytnych Reliktów: Dodano codzienne osobiste zadania. Wykonaj je, aby otworzyć skrzynie i zdobyć starożytne relikty wysokiej klasy.
Armia Kolosów: Nowa funkcja armii, która pozwala dowodzić kolosami, aby przejmować budowle i ładować się do strefy końcowej.
Strefa Pola: Nowa mapa bitew, gdzie atakujesz lub bronisz kolosów, wspierasz swoją armię i walczysz o premie strefowe!
-Nowe wydarzenia na Chiński Nowy Rok:
Wspaniałe Miasto: Nowy efekt ratusza—Latający Smok—wkrótce się pojawi!
Prezenty na Chiński Nowy Rok: Gromadź doładowania, aby zdobyć lakier do mecha!
Świąteczne Petardy: Wydarzenie na Chiński Nowy Rok się rozpoczęło. Użyj Księżycowych Kości, aby mieć szansę na luksusowe nagrody i zupełnie nową skórkę ratusza—Festiwal Lampionów!
Wiosenne Błogosławieństwa: Ograniczone czasowo korzyści dla kart subskrypcyjnych, które zapewnią ci szczęście przez cały rok!
Ceremonia Lwiego Tańca: Zbieraj Ozdobne Kule, aby podnieść poziom wydarzenia i zdobyć nowy efekt marszu—Wieczna Obfitość!
Polowanie na Bestię Noworoczną: Bestia Noworoczna ponownie się pojawia. Pokonaj ją, aby zdobyć dodatkowe punkty!
Wiosenne Pozdrowienia: Odwiedzaj miasta swoich znajomych lub zapraszaj ich do swoich podczas wydarzenia, aby zdobywać nagrody!
Czerwone Koperty: Udostępniaj Czerwone Koperty, które otrzymasz, innym graczom na czacie i zdobywaj CD!
Maszyna Szczęśliwej Gachy: Festiwalowa maszyna gacha powraca. Użyj zapasów Planety, aby spróbować szczęścia i zdobyć ekscytujące nagrody!
-Optymalizacja Wyposażenia: Maksymalna pojemność magazynu wyposażenia została podwojona, co pozwala na tworzenie jeszcze większej ilości wyposażenia!
-Aktualizacja Sklepu: Sklep Ekspedycyjny oferuje teraz podstawowe Kamienie Gwiazd do wymiany.</v>
      </c>
      <c r="P63" s="168" t="str">
        <f>IFERROR(__xludf.DUMMYFUNCTION("""COMPUTED_VALUE"""),"-مقاتل جديد: الكاهن البري—أولين. قائد حكيم لعشيرته، كاهن غامض محاط بالدخان الدوامي، على وشك الظهور على كوكب جديد في حروب الكوكب!
-تمثال المقاتل الجديد: هيرمان. أضف المزيد من التألق إلى مدينتك!
-زينة ميكا جديدة: جلد الأسد—رقصة الأسد المحظوظة. للاحتفال بالع"&amp;"طلة، أنشأ القرد ميكا الأسد بناءً على العادات البشرية القديمة.
-حروب الكوكب الجديدة—نجمة قديمة على وشك البدء:
المقتنيات القديمة: تمت إضافة ميزة تطوير جديدة. ابق نشطًا لجمع المقتنيات القديمة، وترقية مستوى النجوم الخاصة بها، والحصول على تعزيزات إضافية.
مهام "&amp;"المقتنيات القديمة: تمت إضافة مهام شخصية يومية. أكملها لفتح الصناديق وكسب مقتنيات قديمة عالية الجودة.
جيش كولوسوس: ميزة جيش جديدة تتيح لك قيادة الكولوسوس للاستيلاء على الهياكل والشحن نحو المنطقة النهائية.
منطقة الميدان: معارك خريطة جديدة حيث تهاجم أو تدافع"&amp;" عن الكولوسوس، تدعم جيشك، وتقاتل للحصول على مكافآت المنطقة!
-أحداث رأس السنة القمرية الجديدة:
مدينة رائعة: تأثير قاعة المدينة الجديد—التنين الطائر—يصل قريبًا!
هدايا العام الصيني الجديد: اجمع الشحنات لكسب لكر الميكا!
الألعاب النارية الاحتفالية: بدأ حدث رأس"&amp;" السنة القمرية. استخدم النرد القمري للحصول على فرصة للفوز بجوائز فاخرة وزينة جديدة لقاعة المدينة—مهرجان الفوانيس!
بركات الربيع: فوائد محدودة الوقت لبطاقات الاشتراك، للحفاظ على الحظ بجانبك طوال العام!
حفل رقصة الأسد: اجمع الكرات المطرزة لرفع مستوى الحدث ال"&amp;"خاص بك واحصل على تأثير المسيرة الجديد—الوفرة الأبدية!
اصطياد وحش السنة: يظهر وحش السنة مرة أخرى. اهزمه لكسب نقاط إضافية!
تحيات الربيع: زر مدن أصدقائك أو ادعهم إلى مدينتك خلال الحدث لكسب الجوائز!
المظاريف الحمراء: شارك المظاريف الحمراء التي تحصل عليها مع ا"&amp;"للاعبين الآخرين في الدردشة واكسب أقراص CD!
آلة جاتشا الحظ: عادت آلة جاتشا المهرجانية. استخدم إمدادات الكوكب لتجربة حظك والحصول على بعض الجوائز المثيرة!
-تحسين المعدات: تم مضاعفة الحد الأقصى لتخزين المعدات، مما يتيح لك تشكيل المزيد من المعدات!
-تحديث المتج"&amp;"ر: يقدم متجر البعثات الآن أحجار النجوم الأساسية للتبادل.")</f>
        <v>-مقاتل جديد: الكاهن البري—أولين. قائد حكيم لعشيرته، كاهن غامض محاط بالدخان الدوامي، على وشك الظهور على كوكب جديد في حروب الكوكب!
-تمثال المقاتل الجديد: هيرمان. أضف المزيد من التألق إلى مدينتك!
-زينة ميكا جديدة: جلد الأسد—رقصة الأسد المحظوظة. للاحتفال بالعطلة، أنشأ القرد ميكا الأسد بناءً على العادات البشرية القديمة.
-حروب الكوكب الجديدة—نجمة قديمة على وشك البدء:
المقتنيات القديمة: تمت إضافة ميزة تطوير جديدة. ابق نشطًا لجمع المقتنيات القديمة، وترقية مستوى النجوم الخاصة بها، والحصول على تعزيزات إضافية.
مهام المقتنيات القديمة: تمت إضافة مهام شخصية يومية. أكملها لفتح الصناديق وكسب مقتنيات قديمة عالية الجودة.
جيش كولوسوس: ميزة جيش جديدة تتيح لك قيادة الكولوسوس للاستيلاء على الهياكل والشحن نحو المنطقة النهائية.
منطقة الميدان: معارك خريطة جديدة حيث تهاجم أو تدافع عن الكولوسوس، تدعم جيشك، وتقاتل للحصول على مكافآت المنطقة!
-أحداث رأس السنة القمرية الجديدة:
مدينة رائعة: تأثير قاعة المدينة الجديد—التنين الطائر—يصل قريبًا!
هدايا العام الصيني الجديد: اجمع الشحنات لكسب لكر الميكا!
الألعاب النارية الاحتفالية: بدأ حدث رأس السنة القمرية. استخدم النرد القمري للحصول على فرصة للفوز بجوائز فاخرة وزينة جديدة لقاعة المدينة—مهرجان الفوانيس!
بركات الربيع: فوائد محدودة الوقت لبطاقات الاشتراك، للحفاظ على الحظ بجانبك طوال العام!
حفل رقصة الأسد: اجمع الكرات المطرزة لرفع مستوى الحدث الخاص بك واحصل على تأثير المسيرة الجديد—الوفرة الأبدية!
اصطياد وحش السنة: يظهر وحش السنة مرة أخرى. اهزمه لكسب نقاط إضافية!
تحيات الربيع: زر مدن أصدقائك أو ادعهم إلى مدينتك خلال الحدث لكسب الجوائز!
المظاريف الحمراء: شارك المظاريف الحمراء التي تحصل عليها مع اللاعبين الآخرين في الدردشة واكسب أقراص CD!
آلة جاتشا الحظ: عادت آلة جاتشا المهرجانية. استخدم إمدادات الكوكب لتجربة حظك والحصول على بعض الجوائز المثيرة!
-تحسين المعدات: تم مضاعفة الحد الأقصى لتخزين المعدات، مما يتيح لك تشكيل المزيد من المعدات!
-تحديث المتجر: يقدم متجر البعثات الآن أحجار النجوم الأساسية للتبادل.</v>
      </c>
      <c r="Q63" s="168" t="str">
        <f>IFERROR(__xludf.DUMMYFUNCTION("""COMPUTED_VALUE"""),"-新しいファイター: ワイルドプリースト—オーリン。クランの賢明なリーダーで、渦巻く煙に包まれた神秘的な司祭が、プラネットウォーズの新しい惑星に登場します！
-新しいファイターの像: ハーマン。あなたの都市にさらなる輝きを追加しましょう！
-新しいメカスキン: ライオンスキン-ラッキー獅子舞。祝日を祝うために、エイプは古代の人間の習慣に基づいてライオンメカを作成しました。
-新しいプラネットウォーズ—古代の星がまもなく始まります:
古代の遺物: 新しい発展機能が追加されました。アクティブでいることで古代の"&amp;"遺物を収集し、スターレベルをアップグレードし、追加のバフを獲得しましょう。
古代の遺物クエスト: デイリー個人クエストが追加されました。これらを完了してチェストを開け、高グレードの古代の遺物を獲得しましょう。
軍団コロッサス: 新しい軍団機能で、コロッサスを指揮して構造物を奪取し、最終ゾーンに向かってチャージしましょう。
フィールドゾーン: 新しいマップバトルで、コロッサスを攻撃または防御し、軍団をサポートし、ゾーンボーナスを争いましょう！
-新しい旧正月イベント:
華麗な都市: 新しい基地エフェクト—飛"&amp;"龍—がまもなく登場！
中国の新年ギフト: 充電を蓄積してメカ漆製品を獲得しましょう！
祭りの爆竹: 旧正月イベントが始まりました。新春のサイコロを使用して豪華な賞品や新しい基地スキン—ランタンフェスティバルを手に入れましょう！
春の祝福: サブスクリプションカードの限定特典で、一年中運を味方につけましょう！
獅子舞の盛典: まりを収集してイベントレベルを上げ、新しい行軍エフェクト—永遠の豊かさを手に入れましょう！
年獣狩り: 年獣が再登場。これを倒して追加ポイントを獲得しましょう！
新春訪問: イベント期"&amp;"間中に友達の都市を訪問したり、自分の都市に招待して報酬を獲得しましょう！
封筒: チャットで他のプレイヤーと封筒を共有し、CDを獲得しましょう！
ラッキーガチャマシン: 祭りのガチャマシンが戻ってきました。プラネット用品を使用して運を試し、エキサイティングな報酬を手に入れましょう！
-装備の最適化: 最大装備ストレージが二倍になり、さらに多くの装備を鍛造できるようになりました！
-ショップ更新: 遠征ショップで基本的なスターストーンが交換可能になりました。")</f>
        <v>-新しいファイター: ワイルドプリースト—オーリン。クランの賢明なリーダーで、渦巻く煙に包まれた神秘的な司祭が、プラネットウォーズの新しい惑星に登場します！
-新しいファイターの像: ハーマン。あなたの都市にさらなる輝きを追加しましょう！
-新しいメカスキン: ライオンスキン-ラッキー獅子舞。祝日を祝うために、エイプは古代の人間の習慣に基づいてライオンメカを作成しました。
-新しいプラネットウォーズ—古代の星がまもなく始まります:
古代の遺物: 新しい発展機能が追加されました。アクティブでいることで古代の遺物を収集し、スターレベルをアップグレードし、追加のバフを獲得しましょう。
古代の遺物クエスト: デイリー個人クエストが追加されました。これらを完了してチェストを開け、高グレードの古代の遺物を獲得しましょう。
軍団コロッサス: 新しい軍団機能で、コロッサスを指揮して構造物を奪取し、最終ゾーンに向かってチャージしましょう。
フィールドゾーン: 新しいマップバトルで、コロッサスを攻撃または防御し、軍団をサポートし、ゾーンボーナスを争いましょう！
-新しい旧正月イベント:
華麗な都市: 新しい基地エフェクト—飛龍—がまもなく登場！
中国の新年ギフト: 充電を蓄積してメカ漆製品を獲得しましょう！
祭りの爆竹: 旧正月イベントが始まりました。新春のサイコロを使用して豪華な賞品や新しい基地スキン—ランタンフェスティバルを手に入れましょう！
春の祝福: サブスクリプションカードの限定特典で、一年中運を味方につけましょう！
獅子舞の盛典: まりを収集してイベントレベルを上げ、新しい行軍エフェクト—永遠の豊かさを手に入れましょう！
年獣狩り: 年獣が再登場。これを倒して追加ポイントを獲得しましょう！
新春訪問: イベント期間中に友達の都市を訪問したり、自分の都市に招待して報酬を獲得しましょう！
封筒: チャットで他のプレイヤーと封筒を共有し、CDを獲得しましょう！
ラッキーガチャマシン: 祭りのガチャマシンが戻ってきました。プラネット用品を使用して運を試し、エキサイティングな報酬を手に入れましょう！
-装備の最適化: 最大装備ストレージが二倍になり、さらに多くの装備を鍛造できるようになりました！
-ショップ更新: 遠征ショップで基本的なスターストーンが交換可能になりました。</v>
      </c>
      <c r="R63" s="168" t="str">
        <f>IFERROR(__xludf.DUMMYFUNCTION("""COMPUTED_VALUE"""),"-새로운 전사: 야생 사제—올린. 그의 클랜의 현명한 리더이자 소용돌이치는 연기로 둘러싸인 신비한 사제가 은하 전쟁의 새로운 행성에 나타나려고 합니다!
-새로운 전사 석상: 허먼. 당신의 도시에 더 많은 빛을 추가하세요!
-새로운 메카 스킨: 사자 스킨-행운의 사자춤. 휴일을 기념하기 위해 유인원이 고대 인간의 관습을 바탕으로 사자 메카를 만들었습니다.
-새로운 은하 전쟁—고대 별이 곧 시작됩니다:
고대 유물: 새로운 개발 기능이 추가되었습니다. 활동적"&amp;"으로 지내며 고대 유물을 수집하고, 별 레벨을 업그레이드하여 추가 버프를 얻으세요.
고대 유물 임무: 일일 개인 임무가 추가되었습니다. 임무를 완료하여 상자를 열고 고급 고대 유물을 획득하세요.
군단 거상: 구조물을 점령하고 최종 구역으로 돌진할 수 있는 새로운 군단 기능입니다.
현장 구역: 콜로서스를 공격하거나 방어하고, 군단을 지원하며 구역 보너스를 위해 싸우는 새로운 지도 전투입니다!
-새로운 음력 새해 이벤트:
화려한 도시: 새로운 기지 효과—비"&amp;"룡이 곧 도착합니다!
중국 새해 선물: 충전을 누적하여 메카 래커를 획득하세요!
축제의 폭죽: 음력 새해 이벤트가 시작되었습니다. 새해 주사위를 사용하여 고급 상품과 새로운 기지 스킨—등불 축제를 획득할 기회를 잡으세요!
봄 축복: 구독 카드에 대한 한정 혜택으로, 일년 내내 행운을 유지하세요!
성대한 사자춤: 수놓은 공을 수집하여 이벤트 레벨을 올리고 새로운 행군 이펙트—영원한 풍요를 얻으세요!
연간 야수 사냥: 년야수가 다시 나타납니다. 패배시켜 추"&amp;"가 포인트를 획득하세요!
봄맞이 집들이: 이벤트 기간 동안 친구의 도시를 방문하거나 친구를 초대하여 보상을 획득하세요!
붉은 봉투: 채팅에서 다른 플레이어와 붉은 봉투를 공유하고 CD를 획득하세요!
행운의 가챠 기계: 축제 가챠 기계가 돌아왔습니다. 행성 보급품을 사용하여 운을 시험하고 흥미로운 보상을 잡으세요!
-장비 최적화: 최대 장비 저장 공간이 두 배로 늘어나 더 많은 장비를 제작할 수 있습니다!
-상점 업데이트: 원정 상점에서 기본 별 돌을 교"&amp;"환할 수 있습니다.")</f>
        <v>-새로운 전사: 야생 사제—올린. 그의 클랜의 현명한 리더이자 소용돌이치는 연기로 둘러싸인 신비한 사제가 은하 전쟁의 새로운 행성에 나타나려고 합니다!
-새로운 전사 석상: 허먼. 당신의 도시에 더 많은 빛을 추가하세요!
-새로운 메카 스킨: 사자 스킨-행운의 사자춤. 휴일을 기념하기 위해 유인원이 고대 인간의 관습을 바탕으로 사자 메카를 만들었습니다.
-새로운 은하 전쟁—고대 별이 곧 시작됩니다:
고대 유물: 새로운 개발 기능이 추가되었습니다. 활동적으로 지내며 고대 유물을 수집하고, 별 레벨을 업그레이드하여 추가 버프를 얻으세요.
고대 유물 임무: 일일 개인 임무가 추가되었습니다. 임무를 완료하여 상자를 열고 고급 고대 유물을 획득하세요.
군단 거상: 구조물을 점령하고 최종 구역으로 돌진할 수 있는 새로운 군단 기능입니다.
현장 구역: 콜로서스를 공격하거나 방어하고, 군단을 지원하며 구역 보너스를 위해 싸우는 새로운 지도 전투입니다!
-새로운 음력 새해 이벤트:
화려한 도시: 새로운 기지 효과—비룡이 곧 도착합니다!
중국 새해 선물: 충전을 누적하여 메카 래커를 획득하세요!
축제의 폭죽: 음력 새해 이벤트가 시작되었습니다. 새해 주사위를 사용하여 고급 상품과 새로운 기지 스킨—등불 축제를 획득할 기회를 잡으세요!
봄 축복: 구독 카드에 대한 한정 혜택으로, 일년 내내 행운을 유지하세요!
성대한 사자춤: 수놓은 공을 수집하여 이벤트 레벨을 올리고 새로운 행군 이펙트—영원한 풍요를 얻으세요!
연간 야수 사냥: 년야수가 다시 나타납니다. 패배시켜 추가 포인트를 획득하세요!
봄맞이 집들이: 이벤트 기간 동안 친구의 도시를 방문하거나 친구를 초대하여 보상을 획득하세요!
붉은 봉투: 채팅에서 다른 플레이어와 붉은 봉투를 공유하고 CD를 획득하세요!
행운의 가챠 기계: 축제 가챠 기계가 돌아왔습니다. 행성 보급품을 사용하여 운을 시험하고 흥미로운 보상을 잡으세요!
-장비 최적화: 최대 장비 저장 공간이 두 배로 늘어나 더 많은 장비를 제작할 수 있습니다!
-상점 업데이트: 원정 상점에서 기본 별 돌을 교환할 수 있습니다.</v>
      </c>
      <c r="S63" s="168" t="str">
        <f>IFERROR(__xludf.DUMMYFUNCTION("""COMPUTED_VALUE"""),"-新增斗士：蛮荒祭司-奥林，引领部落的智者，茫茫烟雾中的神秘祭司！即将出现在银河战争新的星球中！
-新增斗士雕像：赫尔曼，来为你的城市增添更多光彩吧！
-新增机甲皮肤：雄师皮肤-吉祥舞狮，猿族为了庆祝节日，在人类古老习俗基础上改造的雄狮机甲。
-全新银河战争-远古星即将开启：
远古收藏品：新增养成玩法，活跃参与即可获取远古收藏品，提升藏品星级，获得BUFF增益。
远古收藏品任务：新增每日个人任务，完成后可开启宝箱，获取高品质远古收藏品。
军团巨像：新增军团玩法，操控巨像争夺建筑，冲击最后的决胜圈层。
野战"&amp;"区：全新野战模式，攻击或防御巨像，协助军团巨像竞赛，获取圈层增益！
-新增农历新年活动：
璀璨之都：新主城特效-祥龙腾飞即将登场！
新春豪礼：累计储值豪礼相送，获取机甲染色涂装！
爆竹声声：农历新年活动开启，使用新春骰子，赢取豪华大奖，更有新春城市外观-游园灯会等你来拿！
迎春送福：订阅卡限时回馈，把好运延续到新的一年！
舞狮盛典：收集绣球，提升活动等级，有机会获取全新行军特效-年年有余！
年兽围猎：年兽又出来作乱了，攻击年兽可以获得积分奖励！
迎春访友：拜访好友的城市，或者邀请好友拜访自己的城市，可以获"&amp;"得丰厚奖励！
新春红包：获得红包道具后可以选择聊天频道发放红包！可获取丰厚光碟奖励！
幸运扭蛋机：节日扭蛋机再次营业，消耗猩球物资，开启幸运扭蛋，获得惊喜好礼！
-战装优化：战装存储上限翻倍，现在可以打造更多的战装了！
-商店调整：远征商店中增加普通收藏品升星石兑换。")</f>
        <v>-新增斗士：蛮荒祭司-奥林，引领部落的智者，茫茫烟雾中的神秘祭司！即将出现在银河战争新的星球中！
-新增斗士雕像：赫尔曼，来为你的城市增添更多光彩吧！
-新增机甲皮肤：雄师皮肤-吉祥舞狮，猿族为了庆祝节日，在人类古老习俗基础上改造的雄狮机甲。
-全新银河战争-远古星即将开启：
远古收藏品：新增养成玩法，活跃参与即可获取远古收藏品，提升藏品星级，获得BUFF增益。
远古收藏品任务：新增每日个人任务，完成后可开启宝箱，获取高品质远古收藏品。
军团巨像：新增军团玩法，操控巨像争夺建筑，冲击最后的决胜圈层。
野战区：全新野战模式，攻击或防御巨像，协助军团巨像竞赛，获取圈层增益！
-新增农历新年活动：
璀璨之都：新主城特效-祥龙腾飞即将登场！
新春豪礼：累计储值豪礼相送，获取机甲染色涂装！
爆竹声声：农历新年活动开启，使用新春骰子，赢取豪华大奖，更有新春城市外观-游园灯会等你来拿！
迎春送福：订阅卡限时回馈，把好运延续到新的一年！
舞狮盛典：收集绣球，提升活动等级，有机会获取全新行军特效-年年有余！
年兽围猎：年兽又出来作乱了，攻击年兽可以获得积分奖励！
迎春访友：拜访好友的城市，或者邀请好友拜访自己的城市，可以获得丰厚奖励！
新春红包：获得红包道具后可以选择聊天频道发放红包！可获取丰厚光碟奖励！
幸运扭蛋机：节日扭蛋机再次营业，消耗猩球物资，开启幸运扭蛋，获得惊喜好礼！
-战装优化：战装存储上限翻倍，现在可以打造更多的战装了！
-商店调整：远征商店中增加普通收藏品升星石兑换。</v>
      </c>
      <c r="T63" s="148"/>
      <c r="U63" s="148"/>
      <c r="V63" s="148"/>
      <c r="W63" s="148"/>
      <c r="X63" s="148"/>
      <c r="Y63" s="148"/>
      <c r="Z63" s="148"/>
    </row>
    <row r="64">
      <c r="A64" s="167" t="str">
        <f>IFERROR(__xludf.DUMMYFUNCTION("""COMPUTED_VALUE"""),"0.73.0")</f>
        <v>0.73.0</v>
      </c>
      <c r="B64" s="148" t="str">
        <f>IFERROR(__xludf.DUMMYFUNCTION("""COMPUTED_VALUE"""),"-新增斗士：炮火统帅-科西嘉，操纵炮火的指挥官，拥有雄狮之心的领袖！
-新增收藏品：新增8套飙车族、打击手、射击手、攻城车属性相关红色收藏品；
-新增天赋树：决战，在最终关卡圈内提升火力的天赋！去担任决战区域最勇猛的指挥官吧！
-新增斗士雕像：维罗妮卡，来为你的城市增添更多光彩吧！
-新增战车：陆行母舰，可携带预备部队出征，持续作战！
-新增机师战力成就礼包：机师战力冲冲冲！
-新增科技节活动：
城市外观套装：星际穿越！踏上征服宇宙的传奇之旅！
星际之光：获取星际穿越外观的核心活动！还可通过储值获得猩球团"&amp;"购礼包折扣！买得多，折扣多！
遗迹探索：科技节活动开启，使用工具铲，赢取豪华大奖，更有科技节飞船套装新皮肤等你来拿！
星间旅行：使用星际能量球抽取奖励，收集飞船皮肤部件！
能源大飞跃：收集聚能环，提升活动等级，有机会获取全新行军特效-赛博警戒带！
科技赠礼：迎接科技庆典，买满三个相同礼包，可额外再获赠一个！
科技豪礼：累计储值豪礼相送，获取丰厚奖励及特殊机甲染色涂装！
科技拼装：拼装科技节零件，获得节日装饰奖励！
科技秘宝：购买特殊秘宝礼包，更有折扣豪礼相送！
科技扭蛋机：节日扭蛋机再次营业，消耗猩球物资"&amp;"，开启幸运扭蛋，获得惊喜好礼！
-新增服务器开服300天活动：
成长总动猿：全猿加速，超多免费奖励，城建科研时间免费减免！
超值回馈返场：超值回馈升级！返利多多！
福利兑换：完成进阶计划，获得成长福利券！兑换你喜欢的礼包！
极速狂飙：获得大量养成材料，升级赛车！助你快速提升实力！
寻宝之旅：使用秘宝之钥，开启终极宝藏吧！
七日特卖：每天一个主题！快速提升实力！
-帮派礼包优化：优化了礼物的顺序，同时增加了礼物过期时间的提示；
-帮派活动优化：进攻疯狂巨猿活动增加活动引导，优化数值体验，在其他星球也可以进行"&amp;"该活动了；
-集结优化：增加自动集结失败提示，允许帮派R4官员解散集结；
-生命监护站优化：生命监护站治疗方式优化，可以消耗康复点与濒死士兵来进行治愈；
-地下世界优化：地下世界奇遇内容优化，增加奖励，优化buff，提升体验！
-战装试炼优化：优化了战装试炼扫荡需要消耗的扫荡券数量，让更多玩家可以体验该项服务。")</f>
        <v>-新增斗士：炮火统帅-科西嘉，操纵炮火的指挥官，拥有雄狮之心的领袖！
-新增收藏品：新增8套飙车族、打击手、射击手、攻城车属性相关红色收藏品；
-新增天赋树：决战，在最终关卡圈内提升火力的天赋！去担任决战区域最勇猛的指挥官吧！
-新增斗士雕像：维罗妮卡，来为你的城市增添更多光彩吧！
-新增战车：陆行母舰，可携带预备部队出征，持续作战！
-新增机师战力成就礼包：机师战力冲冲冲！
-新增科技节活动：
城市外观套装：星际穿越！踏上征服宇宙的传奇之旅！
星际之光：获取星际穿越外观的核心活动！还可通过储值获得猩球团购礼包折扣！买得多，折扣多！
遗迹探索：科技节活动开启，使用工具铲，赢取豪华大奖，更有科技节飞船套装新皮肤等你来拿！
星间旅行：使用星际能量球抽取奖励，收集飞船皮肤部件！
能源大飞跃：收集聚能环，提升活动等级，有机会获取全新行军特效-赛博警戒带！
科技赠礼：迎接科技庆典，买满三个相同礼包，可额外再获赠一个！
科技豪礼：累计储值豪礼相送，获取丰厚奖励及特殊机甲染色涂装！
科技拼装：拼装科技节零件，获得节日装饰奖励！
科技秘宝：购买特殊秘宝礼包，更有折扣豪礼相送！
科技扭蛋机：节日扭蛋机再次营业，消耗猩球物资，开启幸运扭蛋，获得惊喜好礼！
-新增服务器开服300天活动：
成长总动猿：全猿加速，超多免费奖励，城建科研时间免费减免！
超值回馈返场：超值回馈升级！返利多多！
福利兑换：完成进阶计划，获得成长福利券！兑换你喜欢的礼包！
极速狂飙：获得大量养成材料，升级赛车！助你快速提升实力！
寻宝之旅：使用秘宝之钥，开启终极宝藏吧！
七日特卖：每天一个主题！快速提升实力！
-帮派礼包优化：优化了礼物的顺序，同时增加了礼物过期时间的提示；
-帮派活动优化：进攻疯狂巨猿活动增加活动引导，优化数值体验，在其他星球也可以进行该活动了；
-集结优化：增加自动集结失败提示，允许帮派R4官员解散集结；
-生命监护站优化：生命监护站治疗方式优化，可以消耗康复点与濒死士兵来进行治愈；
-地下世界优化：地下世界奇遇内容优化，增加奖励，优化buff，提升体验！
-战装试炼优化：优化了战装试炼扫荡需要消耗的扫荡券数量，让更多玩家可以体验该项服务。</v>
      </c>
      <c r="C64" s="148" t="str">
        <f>IFERROR(__xludf.DUMMYFUNCTION("""COMPUTED_VALUE"""),"- New Fighter: Cannon Commander – Corsica. A commander atop a cannon cart, leading with the heart of a lion!
- New Relics: Introducing 8 new red relic sets featuring Pilots, Hitters, Shooters, and Wall Breakers!
- New Talent Tree: Final Showdown – boost y"&amp;"our firepower in the final circle! Step up as the boldest commander in the showdown!
- New Fighter Statue: Veronica – add a splash of brilliance to your city!
- New Carrer: Ground Mothership, capable of deploying reserve troops for sustained battles!
- Ne"&amp;"w Pilot Power Achievement Pack: Get your pilot power soaring!
- New Tech Week Events:
City Skin Set: Interstellar Voyage! Embark on a legendary journey to conquer the universe!
Starlight Glow: Dive into the core event to unlock the Interstellar Voyage ski"&amp;"n! Plus, enjoy Ape Group Deal Pack with top-ups – the more you buy, the bigger the discount!
Ruin Excavation: Kick off the Tech Week event, use your shovel to win luxurious prizes, including an exclusive Tech Week spaceship skin!
Interstellar Journey: Spe"&amp;"nd Interstellar Energy Orbs to draw rewards and collect spaceship skin parts!
Energy Breakthrough: Collect Energy Rings to level up the event and stand a chance to snag a cutting-edge march effect – the Cyber Alert Belt!
Tech Giveaway: Celebrate the fest "&amp;"by buying three identical packs to get one extra free!
Tech Gifts: Accumulate recharges to earn mech lacquer!
Tech Assembly: Gather and assemble Tech Week parts to claim festive decoration rewards!
Tech Treasures: Purchase special packs and score bonus di"&amp;"scounts along with lavish gifts!
Tech Gacha Machine: The Festive Gacha Machine is back – use supplies to spin for surprise rewards!
- New Server 300-Day Anniversary Events:
Ape for Growth: All apes accelerated! Enjoy tons of free rewards and reduced const"&amp;"ruction and research times!
Epic Comeback Sale: Upgraded value returns with massive rebates!
Welfare Exchange: Complete the advancement plan to earn Growth Vouchers – exchange them for your favorite packs!
Speed Blitz: Grab loads of upgrade materials and "&amp;"enhance your race car to boost your power fast!
Treasure Hunt: Use the Treasure Key to unlock the ultimate chest!
Seven-Day Sale: A fresh theme every day to help you power up quickly!
- Gang Pack Optimization: Reordered gift lists and added expiry reminde"&amp;"rs for gifts!
- Gang Event Enhancements: The Attack on the Mad Giganto event now features improved guidance and optimized values – and you can join on other planets too!
- Rally Improvements: Automatic rally failure alerts added, plus R4 gang officers can"&amp;" now disband rallies!
- First Aid Station Upgrade: Enhanced healing methods allow you to use recovery points and injured soldiers for treatment!
- Subterra Enhancements: Upgraded Underground Adventures, boosted rewards, refined buffs, and an overall bette"&amp;"r experience!
- Equipment Test Site Enhancement: Reduced the number of Rapid Action Cards so more players can enjoy!
")</f>
        <v>- New Fighter: Cannon Commander – Corsica. A commander atop a cannon cart, leading with the heart of a lion!
- New Relics: Introducing 8 new red relic sets featuring Pilots, Hitters, Shooters, and Wall Breakers!
- New Talent Tree: Final Showdown – boost your firepower in the final circle! Step up as the boldest commander in the showdown!
- New Fighter Statue: Veronica – add a splash of brilliance to your city!
- New Carrer: Ground Mothership, capable of deploying reserve troops for sustained battles!
- New Pilot Power Achievement Pack: Get your pilot power soaring!
- New Tech Week Events:
City Skin Set: Interstellar Voyage! Embark on a legendary journey to conquer the universe!
Starlight Glow: Dive into the core event to unlock the Interstellar Voyage skin! Plus, enjoy Ape Group Deal Pack with top-ups – the more you buy, the bigger the discount!
Ruin Excavation: Kick off the Tech Week event, use your shovel to win luxurious prizes, including an exclusive Tech Week spaceship skin!
Interstellar Journey: Spend Interstellar Energy Orbs to draw rewards and collect spaceship skin parts!
Energy Breakthrough: Collect Energy Rings to level up the event and stand a chance to snag a cutting-edge march effect – the Cyber Alert Belt!
Tech Giveaway: Celebrate the fest by buying three identical packs to get one extra free!
Tech Gifts: Accumulate recharges to earn mech lacquer!
Tech Assembly: Gather and assemble Tech Week parts to claim festive decoration rewards!
Tech Treasures: Purchase special packs and score bonus discounts along with lavish gifts!
Tech Gacha Machine: The Festive Gacha Machine is back – use supplies to spin for surprise rewards!
- New Server 300-Day Anniversary Events:
Ape for Growth: All apes accelerated! Enjoy tons of free rewards and reduced construction and research times!
Epic Comeback Sale: Upgraded value returns with massive rebates!
Welfare Exchange: Complete the advancement plan to earn Growth Vouchers – exchange them for your favorite packs!
Speed Blitz: Grab loads of upgrade materials and enhance your race car to boost your power fast!
Treasure Hunt: Use the Treasure Key to unlock the ultimate chest!
Seven-Day Sale: A fresh theme every day to help you power up quickly!
- Gang Pack Optimization: Reordered gift lists and added expiry reminders for gifts!
- Gang Event Enhancements: The Attack on the Mad Giganto event now features improved guidance and optimized values – and you can join on other planets too!
- Rally Improvements: Automatic rally failure alerts added, plus R4 gang officers can now disband rallies!
- First Aid Station Upgrade: Enhanced healing methods allow you to use recovery points and injured soldiers for treatment!
- Subterra Enhancements: Upgraded Underground Adventures, boosted rewards, refined buffs, and an overall better experience!
- Equipment Test Site Enhancement: Reduced the number of Rapid Action Cards so more players can enjoy!
</v>
      </c>
      <c r="D64" s="168" t="str">
        <f>IFERROR(__xludf.DUMMYFUNCTION("""COMPUTED_VALUE"""),"- Nouveau Combattant : Commandant de Canon – Corse. Un commandant sur un chariot à canon, menant avec le cœur d'un lion !
- Nouvelles Reliques : Présentation de 8 nouveaux ensembles de reliques rouges mettant en vedette des Pilotes, Bastonneurs, Tireurs e"&amp;"t Casse Murailles !
- Nouvel Arbre de Talents : Affrontement final – augmentez votre puissance de feu dans le cercle final ! Devenez le commandant le plus audacieux de l'affrontement !
- Nouvelle Statue de Combattant : Veronica – ajoutez une touche d'écla"&amp;"t à votre ville !
- Nouvelle Carrière : Vaisseau-mère terrestre, capable de déployer des troupes de réserve pour des batailles soutenues !
- Nouveau Pack d'Exploit de Puissance de Pilote : Faites monter en flèche la puissance de votre pilote !
- Nouveaux "&amp;"Événements de la Semaine Technologique :
Ensemble de Peau de Ville : Voyage interstellaire ! Embarquez pour un voyage légendaire pour conquérir l'univers !
Éclat de Lumière Étoilée : Plongez dans l'événement principal pour débloquer la peau de Voyage inte"&amp;"rstellaire ! De plus, profitez du Pack Bonne Affaire de Groupe avec des recharges – plus vous achetez, plus la remise est grande !
Fouille des Ruines : Lancez l'événement de la Semaine Technologique, utilisez votre pelle pour gagner des prix luxueux, y co"&amp;"mpris une peau de vaisseau spatial exclusive de la Semaine Technologique !
Voyage Stellaire : Dépensez des Orbes énergétiques interstellaires pour obtenir des récompenses et collecter des pièces de peau de vaisseau spatial !
Percée Énergétique : Collectez"&amp;" des Anneaux d'Énergie pour monter de niveau dans l'événement et tentez de décrocher un effet de déplacement de pointe – la Ceinture d'Alerte Cybernétique !
Distribution Technologique : Célébrez la fête en achetant trois packs identiques pour en obtenir u"&amp;"n supplémentaire gratuitement !
Cadeaux Technologiques : Accumulez des recharges pour gagner de la laque mécha !
Assemblage Technologique : Rassemblez et assemblez des pièces de la Semaine Technologique pour réclamer des récompenses de décoration festive "&amp;"!
Trésors Technologiques : Achetez des packs spéciaux et obtenez des remises bonus ainsi que des cadeaux somptueux !
Machine Gacha Technologique : La Machine Gacha Festive est de retour – utilisez des ressources pour tourner et obtenir des récompenses sur"&amp;"prises !
- Nouveaux Événements du 300e Anniversaire du Serveur :
Singe pour la Croissance : Tous les singes accélérés ! Profitez de tonnes de récompenses gratuites et de temps de construction et de recherche réduits !
Vente de Retour Épique : La valeur am"&amp;"éliorée revient avec des remises massives !
Échange de Bien-Être : Complétez le plan de développement pour gagner des Bons de Croissance – échangez-les contre vos packs préférés !
Blitz de Vitesse : Obtenez des tonnes de matériaux d'amélioration et amélio"&amp;"rez votre voiture de course pour augmenter rapidement votre puissance !
Chasse aux Trésors : Utilisez la Clé de Trésor pour déverrouiller le coffre ultime !
Vente de Sept Jours : Un nouveau thème chaque jour pour vous aider à augmenter rapidement votre pu"&amp;"issance !
- Optimisation des Packs de Gang : Listes de cadeaux réorganisées et rappels d'expiration ajoutés pour les cadeaux !
- Améliorations des Événements de Gang : L'événement Attaque sur le Giganto dément propose désormais des conseils améliorés et d"&amp;"es valeurs optimisées – et vous pouvez rejoindre sur d'autres planètes aussi !
- Améliorations du Rassemblement : Alertes d'échec de rassemblement automatique ajoutées, et les officiers de gang R4 peuvent désormais dissoudre les rassemblements !
- Amélior"&amp;"ation de la Station de Premiers Secours : Méthodes de guérison améliorées permettant d'utiliser des points de récupération et des soldats blessés pour le traitement !
- Améliorations de Subterra : Aventures Souterraines améliorées, récompenses augmentées,"&amp;" bonus raffinés et une expérience globale meilleure !
- Amélioration du Site de Test d'Équipement : Réduction du nombre de Cartes d'Action Rapide pour que plus de joueurs puissent en profiter !")</f>
        <v>- Nouveau Combattant : Commandant de Canon – Corse. Un commandant sur un chariot à canon, menant avec le cœur d'un lion !
- Nouvelles Reliques : Présentation de 8 nouveaux ensembles de reliques rouges mettant en vedette des Pilotes, Bastonneurs, Tireurs et Casse Murailles !
- Nouvel Arbre de Talents : Affrontement final – augmentez votre puissance de feu dans le cercle final ! Devenez le commandant le plus audacieux de l'affrontement !
- Nouvelle Statue de Combattant : Veronica – ajoutez une touche d'éclat à votre ville !
- Nouvelle Carrière : Vaisseau-mère terrestre, capable de déployer des troupes de réserve pour des batailles soutenues !
- Nouveau Pack d'Exploit de Puissance de Pilote : Faites monter en flèche la puissance de votre pilote !
- Nouveaux Événements de la Semaine Technologique :
Ensemble de Peau de Ville : Voyage interstellaire ! Embarquez pour un voyage légendaire pour conquérir l'univers !
Éclat de Lumière Étoilée : Plongez dans l'événement principal pour débloquer la peau de Voyage interstellaire ! De plus, profitez du Pack Bonne Affaire de Groupe avec des recharges – plus vous achetez, plus la remise est grande !
Fouille des Ruines : Lancez l'événement de la Semaine Technologique, utilisez votre pelle pour gagner des prix luxueux, y compris une peau de vaisseau spatial exclusive de la Semaine Technologique !
Voyage Stellaire : Dépensez des Orbes énergétiques interstellaires pour obtenir des récompenses et collecter des pièces de peau de vaisseau spatial !
Percée Énergétique : Collectez des Anneaux d'Énergie pour monter de niveau dans l'événement et tentez de décrocher un effet de déplacement de pointe – la Ceinture d'Alerte Cybernétique !
Distribution Technologique : Célébrez la fête en achetant trois packs identiques pour en obtenir un supplémentaire gratuitement !
Cadeaux Technologiques : Accumulez des recharges pour gagner de la laque mécha !
Assemblage Technologique : Rassemblez et assemblez des pièces de la Semaine Technologique pour réclamer des récompenses de décoration festive !
Trésors Technologiques : Achetez des packs spéciaux et obtenez des remises bonus ainsi que des cadeaux somptueux !
Machine Gacha Technologique : La Machine Gacha Festive est de retour – utilisez des ressources pour tourner et obtenir des récompenses surprises !
- Nouveaux Événements du 300e Anniversaire du Serveur :
Singe pour la Croissance : Tous les singes accélérés ! Profitez de tonnes de récompenses gratuites et de temps de construction et de recherche réduits !
Vente de Retour Épique : La valeur améliorée revient avec des remises massives !
Échange de Bien-Être : Complétez le plan de développement pour gagner des Bons de Croissance – échangez-les contre vos packs préférés !
Blitz de Vitesse : Obtenez des tonnes de matériaux d'amélioration et améliorez votre voiture de course pour augmenter rapidement votre puissance !
Chasse aux Trésors : Utilisez la Clé de Trésor pour déverrouiller le coffre ultime !
Vente de Sept Jours : Un nouveau thème chaque jour pour vous aider à augmenter rapidement votre puissance !
- Optimisation des Packs de Gang : Listes de cadeaux réorganisées et rappels d'expiration ajoutés pour les cadeaux !
- Améliorations des Événements de Gang : L'événement Attaque sur le Giganto dément propose désormais des conseils améliorés et des valeurs optimisées – et vous pouvez rejoindre sur d'autres planètes aussi !
- Améliorations du Rassemblement : Alertes d'échec de rassemblement automatique ajoutées, et les officiers de gang R4 peuvent désormais dissoudre les rassemblements !
- Amélioration de la Station de Premiers Secours : Méthodes de guérison améliorées permettant d'utiliser des points de récupération et des soldats blessés pour le traitement !
- Améliorations de Subterra : Aventures Souterraines améliorées, récompenses augmentées, bonus raffinés et une expérience globale meilleure !
- Amélioration du Site de Test d'Équipement : Réduction du nombre de Cartes d'Action Rapide pour que plus de joueurs puissent en profiter !</v>
      </c>
      <c r="E64" s="168" t="str">
        <f>IFERROR(__xludf.DUMMYFUNCTION("""COMPUTED_VALUE"""),"- Neuer Kämpfer: Kanonenkommandant – Korsika. Ein Kommandant auf einem Kanonenwagen, der mit dem Herzen eines Löwen führt!
- Neue Relikte: Einführung von 8 neuen roten Relikt-Sets mit Piloten, Schlägern, Schützen und Mauerbrechern!
- Neuer Talentbaum: Fin"&amp;"aler Showdown – steigere deine Feuerkraft im finalen Kreis! Trete als kühnster Kommandant im Showdown auf!
- Neue Kämpfer-Statue: Veronica – füge deiner Stadt einen Hauch von Brillanz hinzu!
- Neue Karriere: Boden-Mutterschiff, fähig, Reserve-Truppen für "&amp;"anhaltende Kämpfe einzusetzen!
- Neues Pilot-Stärke-Erfolgspaket: Lass die Stärke deines Piloten in die Höhe schnellen!
- Neue Tech-Woche-Events:
Stadt-Skin-Set: Interstellare Reise! Begib dich auf eine legendäre Reise, um das Universum zu erobern!
Sterns"&amp;"chein Glühen: Tauche in das Kernevent ein, um den Interstellare Reise-Skin freizuschalten! Außerdem genieße das Affen-Gruppenangebot-Paket mit Aufladungen – je mehr du kaufst, desto größer der Rabatt!
Ruinen-Ausgrabung: Starte das Tech-Woche-Event, benutz"&amp;"e deine Schaufel, um luxuriöse Preise zu gewinnen, einschließlich eines exklusiven Tech-Woche-Raumschiff-Skins!
Stellare Reise: Verwende Interstellare Energie-Orbs, um Belohnungen zu ziehen und Raumschiff-Skin-Teile zu sammeln!
Energie-Durchbruch: Sammle "&amp;"Energieringe, um das Event zu leveln und die Chance zu haben, einen hochmodernen Marscheffekt zu ergattern – den Cyber-Alarmgürtel!
Tech-Verlosung: Feiere das Fest, indem du drei identische Pakete kaufst und ein zusätzliches kostenlos erhältst!
Tech-Gesch"&amp;"enke: Sammle Aufladungen, um Mech-Lack zu verdienen!
Tech-Montage: Sammle und setze Tech-Woche-Teile zusammen, um festliche Dekorationsbelohnungen zu beanspruchen!
Tech-Schätze: Kaufe spezielle Pakete und erhalte Bonus-Rabatte sowie üppige Geschenke!
Tech"&amp;"-Gacha-Maschine: Die festliche Gacha-Maschine ist zurück – verwende Vorräte, um Überraschungsbelohnungen zu drehen!
- Neue Server 300-Tage-Jubiläums-Events:
Affe für Wachstum: Alle Affen beschleunigt! Genieße jede Menge kostenlose Belohnungen und verkürzt"&amp;"e Bau- und Forschungszeiten!
Epischer Comeback-Verkauf: Aufgewerteter Wert kehrt mit massiven Rabatten zurück!
Wohlfahrtsaustausch: Schließe den Fortschrittsplan ab, um Wachstumsgutscheine zu verdienen – tausche sie gegen deine Lieblingspakete ein!
Geschw"&amp;"indigkeitsblitz: Schnappe dir jede Menge Aufwertungsmaterialien und verbessere dein Rennauto, um deine Stärke schnell zu steigern!
Schatzsuche: Verwende den Schatzschlüssel, um die ultimative Truhe zu öffnen!
Sieben-Tage-Verkauf: Jeden Tag ein neues Thema"&amp;", um dir zu helfen, schnell stärker zu werden!
- Clan-Paket-Optimierung: Neu geordnete Geschenkelisten und hinzugefügte Ablaufhinweise für Geschenke!
- Clan-Event-Verbesserungen: Das Angriff auf den Verrückten Giganto-Event bietet jetzt verbesserte Anleit"&amp;"ungen und optimierte Werte – und du kannst auch auf anderen Planeten teilnehmen!
- Sammelangriff-Verbesserungen: Automatische Sammelangriff-Fehlerwarnungen hinzugefügt, außerdem können R4-Clan-Offiziere jetzt Sammelangriffe auflösen!
- Erste-Hilfe-Station"&amp;"-Aufwertung: Verbesserte Heilungsmethoden ermöglichen die Verwendung von Erholungspunkten und verletzten Soldaten zur Behandlung!
- Subterra-Verbesserungen: Aufgewertete unterirdische Abenteuer, verbesserte Belohnungen, verfeinerte Buffs und insgesamt ein"&amp;" besseres Erlebnis!
- Ausrüstungstestgelände-Verbesserung: Reduzierte Anzahl der Schnellaktionskarten, damit mehr Spieler teilnehmen können!")</f>
        <v>- Neuer Kämpfer: Kanonenkommandant – Korsika. Ein Kommandant auf einem Kanonenwagen, der mit dem Herzen eines Löwen führt!
- Neue Relikte: Einführung von 8 neuen roten Relikt-Sets mit Piloten, Schlägern, Schützen und Mauerbrechern!
- Neuer Talentbaum: Finaler Showdown – steigere deine Feuerkraft im finalen Kreis! Trete als kühnster Kommandant im Showdown auf!
- Neue Kämpfer-Statue: Veronica – füge deiner Stadt einen Hauch von Brillanz hinzu!
- Neue Karriere: Boden-Mutterschiff, fähig, Reserve-Truppen für anhaltende Kämpfe einzusetzen!
- Neues Pilot-Stärke-Erfolgspaket: Lass die Stärke deines Piloten in die Höhe schnellen!
- Neue Tech-Woche-Events:
Stadt-Skin-Set: Interstellare Reise! Begib dich auf eine legendäre Reise, um das Universum zu erobern!
Sternschein Glühen: Tauche in das Kernevent ein, um den Interstellare Reise-Skin freizuschalten! Außerdem genieße das Affen-Gruppenangebot-Paket mit Aufladungen – je mehr du kaufst, desto größer der Rabatt!
Ruinen-Ausgrabung: Starte das Tech-Woche-Event, benutze deine Schaufel, um luxuriöse Preise zu gewinnen, einschließlich eines exklusiven Tech-Woche-Raumschiff-Skins!
Stellare Reise: Verwende Interstellare Energie-Orbs, um Belohnungen zu ziehen und Raumschiff-Skin-Teile zu sammeln!
Energie-Durchbruch: Sammle Energieringe, um das Event zu leveln und die Chance zu haben, einen hochmodernen Marscheffekt zu ergattern – den Cyber-Alarmgürtel!
Tech-Verlosung: Feiere das Fest, indem du drei identische Pakete kaufst und ein zusätzliches kostenlos erhältst!
Tech-Geschenke: Sammle Aufladungen, um Mech-Lack zu verdienen!
Tech-Montage: Sammle und setze Tech-Woche-Teile zusammen, um festliche Dekorationsbelohnungen zu beanspruchen!
Tech-Schätze: Kaufe spezielle Pakete und erhalte Bonus-Rabatte sowie üppige Geschenke!
Tech-Gacha-Maschine: Die festliche Gacha-Maschine ist zurück – verwende Vorräte, um Überraschungsbelohnungen zu drehen!
- Neue Server 300-Tage-Jubiläums-Events:
Affe für Wachstum: Alle Affen beschleunigt! Genieße jede Menge kostenlose Belohnungen und verkürzte Bau- und Forschungszeiten!
Epischer Comeback-Verkauf: Aufgewerteter Wert kehrt mit massiven Rabatten zurück!
Wohlfahrtsaustausch: Schließe den Fortschrittsplan ab, um Wachstumsgutscheine zu verdienen – tausche sie gegen deine Lieblingspakete ein!
Geschwindigkeitsblitz: Schnappe dir jede Menge Aufwertungsmaterialien und verbessere dein Rennauto, um deine Stärke schnell zu steigern!
Schatzsuche: Verwende den Schatzschlüssel, um die ultimative Truhe zu öffnen!
Sieben-Tage-Verkauf: Jeden Tag ein neues Thema, um dir zu helfen, schnell stärker zu werden!
- Clan-Paket-Optimierung: Neu geordnete Geschenkelisten und hinzugefügte Ablaufhinweise für Geschenke!
- Clan-Event-Verbesserungen: Das Angriff auf den Verrückten Giganto-Event bietet jetzt verbesserte Anleitungen und optimierte Werte – und du kannst auch auf anderen Planeten teilnehmen!
- Sammelangriff-Verbesserungen: Automatische Sammelangriff-Fehlerwarnungen hinzugefügt, außerdem können R4-Clan-Offiziere jetzt Sammelangriffe auflösen!
- Erste-Hilfe-Station-Aufwertung: Verbesserte Heilungsmethoden ermöglichen die Verwendung von Erholungspunkten und verletzten Soldaten zur Behandlung!
- Subterra-Verbesserungen: Aufgewertete unterirdische Abenteuer, verbesserte Belohnungen, verfeinerte Buffs und insgesamt ein besseres Erlebnis!
- Ausrüstungstestgelände-Verbesserung: Reduzierte Anzahl der Schnellaktionskarten, damit mehr Spieler teilnehmen können!</v>
      </c>
      <c r="F64" s="168" t="str">
        <f>IFERROR(__xludf.DUMMYFUNCTION("""COMPUTED_VALUE"""),"- Novo Combatente: Comandante de Canhão – Córsega. Um comandante no topo de uma carruagem de canhão, liderando com o coração de um leão!
- Novas Relíquias: Apresentando 8 novos conjuntos de relíquias vermelhas com Pilotos, Golpeadores, Atiradores e Quebra"&amp;"-muros!
- Nova Árvore de Talentos: Confronto Final – aumente seu poder de fogo no círculo final! Suba como o comandante mais ousado no confronto!
- Nova Estátua Combatente: Veronica – adicione um toque de brilho à sua cidade!
- Nova Carreira: Nave-mãe Ter"&amp;"restre, capaz de destacar tropas de reserva para batalhas sustentadas!
- Novo Pacote de Conquista de Poder de Piloto: Faça o poder do seu piloto decolar!
- Novos Eventos da Semana Tecnológica:
Conjunto de Pele da Cidade: Viagem Interestelar! Embarque em u"&amp;"ma jornada lendária para conquistar o universo!
Brilho da Luz Estelar: Mergulhe no evento principal para desbloquear a pele da Viagem Interestelar! Além disso, aproveite o Pacote de Oferta de Grupo de Macacos com recargas – quanto mais você compra, maior "&amp;"o desconto!
Escavação de Ruínas: Inicie o evento da Semana Tecnológica, use sua pá para ganhar prêmios luxuosos, incluindo uma pele exclusiva de nave espacial da Semana Tecnológica!
Jornada Estelar: Gaste Orbes de Energia Interestelar para obter recompens"&amp;"as e coletar partes da pele da nave espacial!
Avanço Energético: Colete Anéis de Energia para subir de nível no evento e tenha a chance de ganhar um efeito de marcha de ponta – o Cinto de Alerta Cibernético!
Sorteio Tecnológico: Celebre o festival compran"&amp;"do três pacotes idênticos para ganhar um extra grátis!
Presentes Tecnológicos: Acumule recargas para ganhar laca de mech!
Montagem Tecnológica: Reúna e monte partes da Semana Tecnológica para reivindicar recompensas de decoração festiva!
Tesouros Tecnológ"&amp;"icos: Compre pacotes especiais e ganhe descontos bônus junto com presentes luxuosos!
Máquina Gacha Tecnológica: A Máquina Gacha Festiva está de volta – use suprimentos para girar e ganhar recompensas surpresa!
- Novos Eventos de Aniversário de 300 Dias do"&amp;" Servidor:
Macaco para Crescimento: Todos os macacos acelerados! Aproveite toneladas de recompensas grátis e tempos reduzidos de construção e pesquisa!
Venda de Retorno Épico: Valor aprimorado retorna com grandes reembolsos!
Troca de Bem-Estar: Complete o"&amp;" plano de avanço para ganhar Vouchers de Crescimento – troque-os por seus pacotes favoritos!
Raide de Velocidade: Pegue muitos materiais de melhoria e aprimore seu carro de corrida para aumentar seu poder rapidamente!
Caça ao Tesouro: Use a Chave do Tesou"&amp;"ro para desbloquear o baú supremo!
Venda de Sete Dias: Um tema novo a cada dia para ajudá-lo a aumentar seu poder rapidamente!
- Otimização do Pacote de Gangue: Listas de presentes reorganizadas e lembretes de expiração adicionados para presentes!
- Melho"&amp;"rias no Evento de Gangue: O evento Ataque ao Giganto Louco agora apresenta orientação aprimorada e valores otimizados – e você pode participar em outros planetas também!
- Melhorias na Incursão: Alertas automáticos de falha de incursão adicionados, além d"&amp;"e que oficiais de gangue R4 agora podem dispersar incursões!
- Atualização do Posto de Primeiros Socorros: Métodos de cura aprimorados permitem que você use pontos de recuperação e soldados feridos para tratamento!
- Melhorias no Subterrâneo: Aventuras Su"&amp;"bterrâneas atualizadas, recompensas aumentadas, auxílios refinados e uma experiência geral melhor!
- Melhoria no Local de Teste de Equipamentos: Reduzido o número de Cartas de Ação Rápida para que mais jogadores possam aproveitar!")</f>
        <v>- Novo Combatente: Comandante de Canhão – Córsega. Um comandante no topo de uma carruagem de canhão, liderando com o coração de um leão!
- Novas Relíquias: Apresentando 8 novos conjuntos de relíquias vermelhas com Pilotos, Golpeadores, Atiradores e Quebra-muros!
- Nova Árvore de Talentos: Confronto Final – aumente seu poder de fogo no círculo final! Suba como o comandante mais ousado no confronto!
- Nova Estátua Combatente: Veronica – adicione um toque de brilho à sua cidade!
- Nova Carreira: Nave-mãe Terrestre, capaz de destacar tropas de reserva para batalhas sustentadas!
- Novo Pacote de Conquista de Poder de Piloto: Faça o poder do seu piloto decolar!
- Novos Eventos da Semana Tecnológica:
Conjunto de Pele da Cidade: Viagem Interestelar! Embarque em uma jornada lendária para conquistar o universo!
Brilho da Luz Estelar: Mergulhe no evento principal para desbloquear a pele da Viagem Interestelar! Além disso, aproveite o Pacote de Oferta de Grupo de Macacos com recargas – quanto mais você compra, maior o desconto!
Escavação de Ruínas: Inicie o evento da Semana Tecnológica, use sua pá para ganhar prêmios luxuosos, incluindo uma pele exclusiva de nave espacial da Semana Tecnológica!
Jornada Estelar: Gaste Orbes de Energia Interestelar para obter recompensas e coletar partes da pele da nave espacial!
Avanço Energético: Colete Anéis de Energia para subir de nível no evento e tenha a chance de ganhar um efeito de marcha de ponta – o Cinto de Alerta Cibernético!
Sorteio Tecnológico: Celebre o festival comprando três pacotes idênticos para ganhar um extra grátis!
Presentes Tecnológicos: Acumule recargas para ganhar laca de mech!
Montagem Tecnológica: Reúna e monte partes da Semana Tecnológica para reivindicar recompensas de decoração festiva!
Tesouros Tecnológicos: Compre pacotes especiais e ganhe descontos bônus junto com presentes luxuosos!
Máquina Gacha Tecnológica: A Máquina Gacha Festiva está de volta – use suprimentos para girar e ganhar recompensas surpresa!
- Novos Eventos de Aniversário de 300 Dias do Servidor:
Macaco para Crescimento: Todos os macacos acelerados! Aproveite toneladas de recompensas grátis e tempos reduzidos de construção e pesquisa!
Venda de Retorno Épico: Valor aprimorado retorna com grandes reembolsos!
Troca de Bem-Estar: Complete o plano de avanço para ganhar Vouchers de Crescimento – troque-os por seus pacotes favoritos!
Raide de Velocidade: Pegue muitos materiais de melhoria e aprimore seu carro de corrida para aumentar seu poder rapidamente!
Caça ao Tesouro: Use a Chave do Tesouro para desbloquear o baú supremo!
Venda de Sete Dias: Um tema novo a cada dia para ajudá-lo a aumentar seu poder rapidamente!
- Otimização do Pacote de Gangue: Listas de presentes reorganizadas e lembretes de expiração adicionados para presentes!
- Melhorias no Evento de Gangue: O evento Ataque ao Giganto Louco agora apresenta orientação aprimorada e valores otimizados – e você pode participar em outros planetas também!
- Melhorias na Incursão: Alertas automáticos de falha de incursão adicionados, além de que oficiais de gangue R4 agora podem dispersar incursões!
- Atualização do Posto de Primeiros Socorros: Métodos de cura aprimorados permitem que você use pontos de recuperação e soldados feridos para tratamento!
- Melhorias no Subterrâneo: Aventuras Subterrâneas atualizadas, recompensas aumentadas, auxílios refinados e uma experiência geral melhor!
- Melhoria no Local de Teste de Equipamentos: Reduzido o número de Cartas de Ação Rápida para que mais jogadores possam aproveitar!</v>
      </c>
      <c r="G64" s="168" t="str">
        <f>IFERROR(__xludf.DUMMYFUNCTION("""COMPUTED_VALUE"""),"-新增鬥士：炮火統帥-科西嘉，操縱炮火的指揮官，擁有雄獅之心的領袖！
-新增收藏品：新增8套飆車族、打擊手、射擊手、攻城車屬性相關紅色收藏品；
-新增天賦樹：決戰，在最終關卡圈內提升火力的天賦！去擔任決戰區域最勇猛的指揮官吧！
-新增鬥士雕像：維羅妮卡，來為你的城市增添更多光彩吧！
-新增戰車：陸行母艦，可攜帶預備部隊出征，持續作戰！
-新增機師戰力成就禮包：機師戰力衝衝衝！
-新增科技節活動：
城市外觀套裝：星際穿越！踏上征服宇宙的傳奇之旅！
星際之光：獲取星際穿越外觀的核心活動！還可通過儲值獲得猩球團"&amp;"購禮包折扣！買得多，折扣多！
遺跡探索：科技節活動開啟，使用工具鏟，贏取豪華大獎，更有科技節飛船套裝新皮膚等你來拿！
星間旅行：使用星際能量球抽取獎勵，收集飛船皮膚部件！
能源大飛躍：收集聚能環，提升活動等級，有機會獲取全新行軍特效-賽博警戒帶！
科技贈禮：迎接科技慶典，買滿三個相同禮包，可額外再獲贈一個！
科技豪禮：累計儲值豪禮相送，獲取豐厚獎勵及特殊機甲染色塗裝！
科技拼裝：拼裝科技節零件，獲得節日裝飾獎勵！
科技祕寶：購買特殊祕寶禮包，更有折扣豪禮相送！
科技扭蛋機：節日扭蛋機再次營業，消耗猩球物資"&amp;"，開啟幸運扭蛋，獲得驚喜好禮！
-新增伺服器開服300天活動：
成長總動猿：全猿加速，超多免費獎勵，城建科研時間免費減免！
超值回饋返場：超值回饋升級！返利多多！
福利兌換：完成進階計劃，獲得成長福利券！兌換你喜歡的禮包！
極速狂飆：獲得大量養成材料，升級賽車！助你快速提升實力！
尋寶之旅：使用祕寶之鑰，開啟終極寶藏吧！
七日特賣：每天一個主題！快速提升實力！
-幫派禮包優化：優化了贈禮的順序，同時增加了獎勵已過期的提示；
-幫派活動優化：進攻瘋狂巨猿活動增加活動引導，優化數值體驗，在其他星球也可以進行該"&amp;"活動了；
-集結優化：增加自動集結戰敗提示，允許幫派R4官員解散集結；
-生命監護站優化：生命監護站治療方式優化，可以消耗康復點與瀕死士兵來進行治癒；
-地下世界優化：地下世界奇遇內容優化，增加獎勵，優化buff，提升體驗！
-戰裝試煉優化：優化了戰裝試煉掃蕩需要消耗的掃蕩券數量，讓更多玩家可以體驗該項服務。")</f>
        <v>-新增鬥士：炮火統帥-科西嘉，操縱炮火的指揮官，擁有雄獅之心的領袖！
-新增收藏品：新增8套飆車族、打擊手、射擊手、攻城車屬性相關紅色收藏品；
-新增天賦樹：決戰，在最終關卡圈內提升火力的天賦！去擔任決戰區域最勇猛的指揮官吧！
-新增鬥士雕像：維羅妮卡，來為你的城市增添更多光彩吧！
-新增戰車：陸行母艦，可攜帶預備部隊出征，持續作戰！
-新增機師戰力成就禮包：機師戰力衝衝衝！
-新增科技節活動：
城市外觀套裝：星際穿越！踏上征服宇宙的傳奇之旅！
星際之光：獲取星際穿越外觀的核心活動！還可通過儲值獲得猩球團購禮包折扣！買得多，折扣多！
遺跡探索：科技節活動開啟，使用工具鏟，贏取豪華大獎，更有科技節飛船套裝新皮膚等你來拿！
星間旅行：使用星際能量球抽取獎勵，收集飛船皮膚部件！
能源大飛躍：收集聚能環，提升活動等級，有機會獲取全新行軍特效-賽博警戒帶！
科技贈禮：迎接科技慶典，買滿三個相同禮包，可額外再獲贈一個！
科技豪禮：累計儲值豪禮相送，獲取豐厚獎勵及特殊機甲染色塗裝！
科技拼裝：拼裝科技節零件，獲得節日裝飾獎勵！
科技祕寶：購買特殊祕寶禮包，更有折扣豪禮相送！
科技扭蛋機：節日扭蛋機再次營業，消耗猩球物資，開啟幸運扭蛋，獲得驚喜好禮！
-新增伺服器開服300天活動：
成長總動猿：全猿加速，超多免費獎勵，城建科研時間免費減免！
超值回饋返場：超值回饋升級！返利多多！
福利兌換：完成進階計劃，獲得成長福利券！兌換你喜歡的禮包！
極速狂飆：獲得大量養成材料，升級賽車！助你快速提升實力！
尋寶之旅：使用祕寶之鑰，開啟終極寶藏吧！
七日特賣：每天一個主題！快速提升實力！
-幫派禮包優化：優化了贈禮的順序，同時增加了獎勵已過期的提示；
-幫派活動優化：進攻瘋狂巨猿活動增加活動引導，優化數值體驗，在其他星球也可以進行該活動了；
-集結優化：增加自動集結戰敗提示，允許幫派R4官員解散集結；
-生命監護站優化：生命監護站治療方式優化，可以消耗康復點與瀕死士兵來進行治癒；
-地下世界優化：地下世界奇遇內容優化，增加獎勵，優化buff，提升體驗！
-戰裝試煉優化：優化了戰裝試煉掃蕩需要消耗的掃蕩券數量，讓更多玩家可以體驗該項服務。</v>
      </c>
      <c r="H64" s="168" t="str">
        <f>IFERROR(__xludf.DUMMYFUNCTION("""COMPUTED_VALUE"""),"- Pejuang Baru: Komandan Meriam – Korsika. Seorang komandan di atas kereta meriam, memimpin dengan hati singa!
- Relik Baru: Memperkenalkan 8 set relik merah baru yang menampilkan Pilot, Pemukul, Penembak, dan Pembobol Tembok!
- Pohon Bakat Baru: Pertarun"&amp;"gan Terakhir – tingkatkan kekuatan tembakanmu di lingkaran terakhir! Naiklah sebagai komandan paling berani dalam pertarungan!
- Patung Pejuang Baru: Veronica – tambahkan kilauan ke kota kamu!
- Karir Baru: Kapal Induk Darat, mampu menyebarkan pasukan cad"&amp;"angan untuk pertempuran berkelanjutan!
- Paket Pencapaian Kekuatan Pilot Baru: Tingkatkan kekuatan pilotmu!
- Acara Minggu Teknologi Baru:
Set Kulit Kota: Perjalanan Antarbintang! Mulailah perjalanan legendaris untuk menaklukkan alam semesta!
Cahaya Binta"&amp;"ng Bersinar: Masuki acara inti untuk membuka kulit Perjalanan Antarbintang! Plus, nikmati Paket Penawaran Grup Kera dengan isi ulang – semakin banyak kamu membeli, semakin besar diskonnya!
Eksplorasi Reruntuhan: Mulailah acara Minggu Teknologi, gunakan se"&amp;"kopmu untuk memenangkan hadiah mewah, termasuk kulit pesawat luar angkasa eksklusif Minggu Teknologi!
Perjalanan Bintang: Habiskan Bola Energi Antarbintang untuk menggambar hadiah dan mengumpulkan bagian kulit pesawat luar angkasa!
Terobosan Energi: Kumpu"&amp;"lkan Cincin Energi untuk meningkatkan acara dan berkesempatan mendapatkan efek barisan canggih – Sabuk Peringatan Cyber!
Pemberian Teknologi: Rayakan pesta dengan membeli tiga paket identik untuk mendapatkan satu gratis!
Hadiah Teknologi: Kumpulkan isi ul"&amp;"ang untuk mendapatkan pernis mekanik!
Perakitan Teknologi: Kumpulkan dan rakit bagian Minggu Teknologi untuk mengklaim hadiah dekorasi pesta!
Harta Karun Teknologi: Beli paket khusus dan dapatkan diskon bonus bersama hadiah mewah!
Mesin Gacha Teknologi: M"&amp;"esin Gacha Pesta kembali – gunakan suplai untuk memutar dan mendapatkan hadiah kejutan!
- Acara Ulang Tahun Server 300 Hari Baru:
Kera untuk Pertumbuhan: Semua kera dipercepat! Nikmati banyak hadiah gratis dan waktu konstruksi serta penelitian yang dikura"&amp;"ngi!
Penjualan Kembali Epik: Nilai yang ditingkatkan kembali dengan pengembalian besar!
Pertukaran Kesejahteraan: Selesaikan rencana kemajuan untuk mendapatkan Kupon Pertumbuhan – tukarkan dengan paket favoritmu!
Kecepatan Blitz: Dapatkan banyak material "&amp;"peningkatan dan tingkatkan mobil balapmu untuk meningkatkan kekuatan dengan cepat!
Perburuan Harta Karun: Gunakan Kunci Harta Karun untuk membuka peti bagus!
Penjualan Tujuh Hari: Tema baru setiap hari untuk membantu kamu meningkatkan kekuatan dengan cepa"&amp;"t!
- Optimalisasi Paket Geng: Daftar hadiah disusun ulang dan ditambahkan pengingat kedaluwarsa untuk hadiah!
- Peningkatan Acara Geng: Acara Serangan pada Giganto Gila sekarang menampilkan panduan yang ditingkatkan dan nilai yang dioptimalkan – dan kamu "&amp;"bisa bergabung di planet lain juga!
- Peningkatan Reli: Peringatan kegagalan reli otomatis ditambahkan, plus petugas geng R4 sekarang bisa membubarkan reli!
- Peningkatan Stasiun Pertolongan Pertama: Metode penyembuhan yang ditingkatkan memungkinkan kamu "&amp;"menggunakan poin pemulihan dan tentara yang terluka untuk perawatan!
- Peningkatan Subterra: Petualangan Bawah Tanah yang ditingkatkan, hadiah yang ditingkatkan, keunggulan yang disempurnakan, dan pengalaman keseluruhan yang lebih baik!
- Peningkatan Situ"&amp;"s Uji Peralatan: Mengurangi jumlah Kartu Aksi Cepat sehingga lebih banyak pemain bisa menikmati!")</f>
        <v>- Pejuang Baru: Komandan Meriam – Korsika. Seorang komandan di atas kereta meriam, memimpin dengan hati singa!
- Relik Baru: Memperkenalkan 8 set relik merah baru yang menampilkan Pilot, Pemukul, Penembak, dan Pembobol Tembok!
- Pohon Bakat Baru: Pertarungan Terakhir – tingkatkan kekuatan tembakanmu di lingkaran terakhir! Naiklah sebagai komandan paling berani dalam pertarungan!
- Patung Pejuang Baru: Veronica – tambahkan kilauan ke kota kamu!
- Karir Baru: Kapal Induk Darat, mampu menyebarkan pasukan cadangan untuk pertempuran berkelanjutan!
- Paket Pencapaian Kekuatan Pilot Baru: Tingkatkan kekuatan pilotmu!
- Acara Minggu Teknologi Baru:
Set Kulit Kota: Perjalanan Antarbintang! Mulailah perjalanan legendaris untuk menaklukkan alam semesta!
Cahaya Bintang Bersinar: Masuki acara inti untuk membuka kulit Perjalanan Antarbintang! Plus, nikmati Paket Penawaran Grup Kera dengan isi ulang – semakin banyak kamu membeli, semakin besar diskonnya!
Eksplorasi Reruntuhan: Mulailah acara Minggu Teknologi, gunakan sekopmu untuk memenangkan hadiah mewah, termasuk kulit pesawat luar angkasa eksklusif Minggu Teknologi!
Perjalanan Bintang: Habiskan Bola Energi Antarbintang untuk menggambar hadiah dan mengumpulkan bagian kulit pesawat luar angkasa!
Terobosan Energi: Kumpulkan Cincin Energi untuk meningkatkan acara dan berkesempatan mendapatkan efek barisan canggih – Sabuk Peringatan Cyber!
Pemberian Teknologi: Rayakan pesta dengan membeli tiga paket identik untuk mendapatkan satu gratis!
Hadiah Teknologi: Kumpulkan isi ulang untuk mendapatkan pernis mekanik!
Perakitan Teknologi: Kumpulkan dan rakit bagian Minggu Teknologi untuk mengklaim hadiah dekorasi pesta!
Harta Karun Teknologi: Beli paket khusus dan dapatkan diskon bonus bersama hadiah mewah!
Mesin Gacha Teknologi: Mesin Gacha Pesta kembali – gunakan suplai untuk memutar dan mendapatkan hadiah kejutan!
- Acara Ulang Tahun Server 300 Hari Baru:
Kera untuk Pertumbuhan: Semua kera dipercepat! Nikmati banyak hadiah gratis dan waktu konstruksi serta penelitian yang dikurangi!
Penjualan Kembali Epik: Nilai yang ditingkatkan kembali dengan pengembalian besar!
Pertukaran Kesejahteraan: Selesaikan rencana kemajuan untuk mendapatkan Kupon Pertumbuhan – tukarkan dengan paket favoritmu!
Kecepatan Blitz: Dapatkan banyak material peningkatan dan tingkatkan mobil balapmu untuk meningkatkan kekuatan dengan cepat!
Perburuan Harta Karun: Gunakan Kunci Harta Karun untuk membuka peti bagus!
Penjualan Tujuh Hari: Tema baru setiap hari untuk membantu kamu meningkatkan kekuatan dengan cepat!
- Optimalisasi Paket Geng: Daftar hadiah disusun ulang dan ditambahkan pengingat kedaluwarsa untuk hadiah!
- Peningkatan Acara Geng: Acara Serangan pada Giganto Gila sekarang menampilkan panduan yang ditingkatkan dan nilai yang dioptimalkan – dan kamu bisa bergabung di planet lain juga!
- Peningkatan Reli: Peringatan kegagalan reli otomatis ditambahkan, plus petugas geng R4 sekarang bisa membubarkan reli!
- Peningkatan Stasiun Pertolongan Pertama: Metode penyembuhan yang ditingkatkan memungkinkan kamu menggunakan poin pemulihan dan tentara yang terluka untuk perawatan!
- Peningkatan Subterra: Petualangan Bawah Tanah yang ditingkatkan, hadiah yang ditingkatkan, keunggulan yang disempurnakan, dan pengalaman keseluruhan yang lebih baik!
- Peningkatan Situs Uji Peralatan: Mengurangi jumlah Kartu Aksi Cepat sehingga lebih banyak pemain bisa menikmati!</v>
      </c>
      <c r="I64" s="168" t="str">
        <f>IFERROR(__xludf.DUMMYFUNCTION("""COMPUTED_VALUE"""),"- นักสู้ตัวใหม่: ผู้บัญชาการปืนใหญ่ – คอร์ซิกา ผู้บัญชาการบนรถปืนใหญ่ นำด้วยหัวใจของสิงโต!
- วัตถุโบราณชิ้นใหม่: แนะนำชุดวัตถุโบราณสีแดงใหม่ 8 ชุดที่มีนักบิน, ฮิตเตอร์, ชูตเตอร์ และวอลล์เบรกเกอร์!
- ต้นไม้ความสามารถใหม่: การประลองครั้งสุดท้าย – เพิ่มพลังก"&amp;"ารยิงของคุณในวงสุดท้าย! ก้าวขึ้นเป็นผู้บัญชาการที่กล้าหาญที่สุดในการประลอง!
- รูปปั้นนักสู้ตัวใหม่: เวโรนิก้า – เพิ่มความสว่างไสวให้กับเมืองของคุณ!
- อาชีพใหม่: ยานแม่ภาคพื้นดิน สามารถส่งกองทหารสำรองสำหรับการต่อสู้ที่ยาวนาน!
- แพ็กความสำเร็จพลังนักบินใหม่"&amp;": ทำให้พลังนักบินของคุณพุ่งสูงขึ้น!
- กิจกรรมสัปดาห์เทคโนโลยีใหม่:
ชุดสกินเมือง: การเดินทางระหว่างดวงดาว! เริ่มการเดินทางในตำนานเพื่อพิชิตจักรวาล!
แสงดาวเรืองแสง: ดำดิ่งสู่กิจกรรมหลักเพื่อปลดล็อกสกินการเดินทางระหว่างดวงดาว! นอกจากนี้ยังมีแพ็กข้อเสนอร่วมกล"&amp;"ุ่มวานรพร้อมการเติมเงิน – ยิ่งซื้อเยอะ ยิ่งลดเยอะ!
การขุดสำรวจซากโบราณ: เริ่มกิจกรรมสัปดาห์เทคโนโลยี ใช้พลั่วของคุณเพื่อชนะรางวัลหรูหรา รวมถึงสกินยานอวกาศพิเศษสัปดาห์เทคโนโลยี!
การเดินทางของดวงดาว: ใช้ลูกแก้วพลังงานระหว่างดวงดาวเพื่อรับรางวัลและสะสมชิ้นส่"&amp;"วนสกินยานอวกาศ!
การบุกเบิกพลังงาน: สะสมแหวนพลังงานเพื่อเลื่อนระดับกิจกรรมและมีโอกาสได้รับเอฟเฟกต์การเดินทัพล้ำสมัย – เข็มขัดเตือนภัยไซเบอร์!
แจกของขวัญเทคโนโลยี: ฉลองเทศกาลด้วยการซื้อแพ็กสามชุดที่เหมือนกันเพื่อรับฟรีหนึ่งชุด!
ของขวัญเทคโนโลยี: สะสมการเติม"&amp;"เงินเพื่อรับแลคเกอร์เมค!
การประกอบเทคโนโลยี: รวบรวมและประกอบชิ้นส่วนสัปดาห์เทคโนโลยีเพื่อรับรางวัลการตกแต่งเทศกาล!
สมบัติเทคโนโลยี: ซื้อแพ็กพิเศษและรับส่วนลดโบนัสพร้อมของขวัญหรูหรา!
เครื่องกาชาเทคโนโลยี: เครื่องกาชาเทศกาลกลับมาแล้ว – ใช้เสบียงเพื่อหมุนรับ"&amp;"รางวัลเซอร์ไพรส์!
- กิจกรรมครบรอบ 300 วันของเซิร์ฟเวอร์ใหม่:
วานรเพื่อการเติบโต: วานรทั้งหมดเร่งความเร็ว! เพลิดเพลินกับรางวัลฟรีมากมายและลดเวลาการก่อสร้างและการวิจัย!
การขายคืนมหากาพย์: มูลค่าที่อัปเกรดกลับมาพร้อมกับการคืนเงินมหาศาล!
แลกเปลี่ยนสวัสดิการ: "&amp;"ทำแผนการพัฒนาให้เสร็จเพื่อรับบัตรกำนัลการเติบโต – แลกเปลี่ยนเป็นแพ็กที่คุณชื่นชอบ!
จู่โจมความเร็วสูง: คว้าวัสดุอัปเกรดมากมายและปรับปรุงรถแข่งของคุณเพื่อเพิ่มพลังอย่างรวดเร็ว!
ล่าสมบัติ: ใช้กุญแจสมบัติเพื่อปลดล็อกหีบขั้นสูงสุด!
การขายเจ็ดวัน: ธีมใหม่ทุกวัน"&amp;"เพื่อช่วยให้คุณเพิ่มพลังอย่างรวดเร็ว!
- การปรับปรุงแพ็กแก๊ง: เรียงลำดับรายการของขวัญใหม่และเพิ่มการเตือนหมดอายุสำหรับของขวัญ!
- การปรับปรุงกิจกรรมแก๊ง: กิจกรรมโจมตีกิกันโตคลั่งตอนนี้มีคำแนะนำที่ดีขึ้นและค่าที่ปรับปรุง – และคุณสามารถเข้าร่วมบนดาวเคราะห์อื่"&amp;"นได้ด้วย!
- การปรับปรุงการระดมพล: เพิ่มการแจ้งเตือนความล้มเหลวในการระดมพลอัตโนมัติ และเจ้าหน้าที่แก๊ง R4 สามารถสลายการระดมพลได้แล้ว!
- การอัปเกรดสถานีปฐมพยาบาล: วิธีการรักษาที่ปรับปรุงแล้วช่วยให้คุณใช้จุดฟื้นฟูและทหารที่บาดเจ็บในการรักษา!
- การปรับปรุงใต้"&amp;"ดิน: การผจญภัยใต้ดินที่อัปเกรด รางวัลที่เพิ่มขึ้น บัฟที่ปรับปรุง และประสบการณ์ที่ดีขึ้นโดยรวม!
- การปรับปรุงสถานที่ทดสอบอุปกรณ์: ลดจำนวนการ์ดแอคชั่นรวดเร็วเพื่อให้ผู้เล่นมากขึ้นสามารถเพลิดเพลิน!")</f>
        <v>- นักสู้ตัวใหม่: ผู้บัญชาการปืนใหญ่ – คอร์ซิกา ผู้บัญชาการบนรถปืนใหญ่ นำด้วยหัวใจของสิงโต!
- วัตถุโบราณชิ้นใหม่: แนะนำชุดวัตถุโบราณสีแดงใหม่ 8 ชุดที่มีนักบิน, ฮิตเตอร์, ชูตเตอร์ และวอลล์เบรกเกอร์!
- ต้นไม้ความสามารถใหม่: การประลองครั้งสุดท้าย – เพิ่มพลังการยิงของคุณในวงสุดท้าย! ก้าวขึ้นเป็นผู้บัญชาการที่กล้าหาญที่สุดในการประลอง!
- รูปปั้นนักสู้ตัวใหม่: เวโรนิก้า – เพิ่มความสว่างไสวให้กับเมืองของคุณ!
- อาชีพใหม่: ยานแม่ภาคพื้นดิน สามารถส่งกองทหารสำรองสำหรับการต่อสู้ที่ยาวนาน!
- แพ็กความสำเร็จพลังนักบินใหม่: ทำให้พลังนักบินของคุณพุ่งสูงขึ้น!
- กิจกรรมสัปดาห์เทคโนโลยีใหม่:
ชุดสกินเมือง: การเดินทางระหว่างดวงดาว! เริ่มการเดินทางในตำนานเพื่อพิชิตจักรวาล!
แสงดาวเรืองแสง: ดำดิ่งสู่กิจกรรมหลักเพื่อปลดล็อกสกินการเดินทางระหว่างดวงดาว! นอกจากนี้ยังมีแพ็กข้อเสนอร่วมกลุ่มวานรพร้อมการเติมเงิน – ยิ่งซื้อเยอะ ยิ่งลดเยอะ!
การขุดสำรวจซากโบราณ: เริ่มกิจกรรมสัปดาห์เทคโนโลยี ใช้พลั่วของคุณเพื่อชนะรางวัลหรูหรา รวมถึงสกินยานอวกาศพิเศษสัปดาห์เทคโนโลยี!
การเดินทางของดวงดาว: ใช้ลูกแก้วพลังงานระหว่างดวงดาวเพื่อรับรางวัลและสะสมชิ้นส่วนสกินยานอวกาศ!
การบุกเบิกพลังงาน: สะสมแหวนพลังงานเพื่อเลื่อนระดับกิจกรรมและมีโอกาสได้รับเอฟเฟกต์การเดินทัพล้ำสมัย – เข็มขัดเตือนภัยไซเบอร์!
แจกของขวัญเทคโนโลยี: ฉลองเทศกาลด้วยการซื้อแพ็กสามชุดที่เหมือนกันเพื่อรับฟรีหนึ่งชุด!
ของขวัญเทคโนโลยี: สะสมการเติมเงินเพื่อรับแลคเกอร์เมค!
การประกอบเทคโนโลยี: รวบรวมและประกอบชิ้นส่วนสัปดาห์เทคโนโลยีเพื่อรับรางวัลการตกแต่งเทศกาล!
สมบัติเทคโนโลยี: ซื้อแพ็กพิเศษและรับส่วนลดโบนัสพร้อมของขวัญหรูหรา!
เครื่องกาชาเทคโนโลยี: เครื่องกาชาเทศกาลกลับมาแล้ว – ใช้เสบียงเพื่อหมุนรับรางวัลเซอร์ไพรส์!
- กิจกรรมครบรอบ 300 วันของเซิร์ฟเวอร์ใหม่:
วานรเพื่อการเติบโต: วานรทั้งหมดเร่งความเร็ว! เพลิดเพลินกับรางวัลฟรีมากมายและลดเวลาการก่อสร้างและการวิจัย!
การขายคืนมหากาพย์: มูลค่าที่อัปเกรดกลับมาพร้อมกับการคืนเงินมหาศาล!
แลกเปลี่ยนสวัสดิการ: ทำแผนการพัฒนาให้เสร็จเพื่อรับบัตรกำนัลการเติบโต – แลกเปลี่ยนเป็นแพ็กที่คุณชื่นชอบ!
จู่โจมความเร็วสูง: คว้าวัสดุอัปเกรดมากมายและปรับปรุงรถแข่งของคุณเพื่อเพิ่มพลังอย่างรวดเร็ว!
ล่าสมบัติ: ใช้กุญแจสมบัติเพื่อปลดล็อกหีบขั้นสูงสุด!
การขายเจ็ดวัน: ธีมใหม่ทุกวันเพื่อช่วยให้คุณเพิ่มพลังอย่างรวดเร็ว!
- การปรับปรุงแพ็กแก๊ง: เรียงลำดับรายการของขวัญใหม่และเพิ่มการเตือนหมดอายุสำหรับของขวัญ!
- การปรับปรุงกิจกรรมแก๊ง: กิจกรรมโจมตีกิกันโตคลั่งตอนนี้มีคำแนะนำที่ดีขึ้นและค่าที่ปรับปรุง – และคุณสามารถเข้าร่วมบนดาวเคราะห์อื่นได้ด้วย!
- การปรับปรุงการระดมพล: เพิ่มการแจ้งเตือนความล้มเหลวในการระดมพลอัตโนมัติ และเจ้าหน้าที่แก๊ง R4 สามารถสลายการระดมพลได้แล้ว!
- การอัปเกรดสถานีปฐมพยาบาล: วิธีการรักษาที่ปรับปรุงแล้วช่วยให้คุณใช้จุดฟื้นฟูและทหารที่บาดเจ็บในการรักษา!
- การปรับปรุงใต้ดิน: การผจญภัยใต้ดินที่อัปเกรด รางวัลที่เพิ่มขึ้น บัฟที่ปรับปรุง และประสบการณ์ที่ดีขึ้นโดยรวม!
- การปรับปรุงสถานที่ทดสอบอุปกรณ์: ลดจำนวนการ์ดแอคชั่นรวดเร็วเพื่อให้ผู้เล่นมากขึ้นสามารถเพลิดเพลิน!</v>
      </c>
      <c r="J64" s="168" t="str">
        <f>IFERROR(__xludf.DUMMYFUNCTION("""COMPUTED_VALUE"""),"- Nuevo Luchador: Comandante de Cañón – Córcega. ¡Un comandante sobre un carro de cañón, liderando con el corazón de un león!
- Nuevas Reliquias: ¡Presentamos 8 nuevos conjuntos de reliquias rojas con Pilotos, Golpeadores, Tiradores y Rompemuros!
- Nuevo "&amp;"Árbol de Talentos: Enfrentamiento Final – ¡aumenta tu poder de fuego en el círculo final! ¡Da un paso adelante como el comandante más audaz en el enfrentamiento!
- Nueva Estatua del Luchador: Veronica – ¡añade un toque de brillo a tu ciudad!
- Nueva Carre"&amp;"ra: Nave Nodriza Terrestre, ¡capaz de desplegar tropas de reserva para batallas sostenidas!
- Nuevo Paquete de Logro de Poder de Piloto: ¡Haz que el poder de tu piloto se dispare!
- Nuevos Eventos de la Semana Tecnológica:
Conjunto de Piel de Ciudad: ¡Via"&amp;"je Interestelar! ¡Emprende un viaje legendario para conquistar el universo!
Resplandor de Luz Estelar: ¡Sumérgete en el evento principal para desbloquear la piel de Viaje Interestelar! Además, disfruta del Paquete de Oferta de Grupo de Simios con recargas"&amp;" – ¡cuanto más compres, mayor será el descuento!
Excavación de Ruinas: ¡Inicia el evento de la Semana Tecnológica, usa tu pala para ganar premios lujosos, incluyendo una piel exclusiva de nave espacial de la Semana Tecnológica!
Viaje Estelar: ¡Gasta Orbes"&amp;" de Energía Interestelar para dibujar recompensas y recolectar partes de la piel de la nave espacial!
Avance Energético: ¡Recolecta Anillos de Energía para subir de nivel en el evento y tener la oportunidad de conseguir un efecto de marcha de última gener"&amp;"ación – el Cinturón de Alerta Cibernética!
Sorteo Tecnológico: ¡Celebra el festín comprando tres paquetes idénticos para obtener uno extra gratis!
Regalos Tecnológicos: ¡Acumula recargas para ganar laca de mech!
Ensamblaje Tecnológico: ¡Reúne y ensambla p"&amp;"artes de la Semana Tecnológica para reclamar recompensas de decoración festiva!
Tesoros Tecnológicos: ¡Compra paquetes especiales y obtén descuentos adicionales junto con regalos lujosos!
Máquina Gacha Tecnológica: ¡La Máquina Gacha Festiva está de vuelta"&amp;" – usa suministros para girar y obtener recompensas sorpresa!
- Nuevos Eventos del 300º Aniversario del Servidor:
Simio para el Crecimiento: ¡Todos los simios acelerados! ¡Disfruta de toneladas de recompensas gratis y tiempos reducidos de construcción e i"&amp;"nvestigación!
Venta de Regreso Épico: ¡El valor mejorado regresa con grandes reembolsos!
Intercambio de Bienestar: ¡Completa el plan de avance para ganar Vales de Crecimiento – intercámbialos por tus paquetes favoritos!
Velocidad Relámpago: ¡Obtén montone"&amp;"s de materiales de mejora y mejora tu coche de carreras para aumentar tu poder rápidamente!
Búsqueda del Tesoro: ¡Usa la Llave del Tesoro para desbloquear el cofre definitivo!
Venta de Siete Días: ¡Un tema fresco cada día para ayudarte a aumentar tu poder"&amp;" rápidamente!
- Optimización del Paquete de Banda: ¡Listas de regalos reordenadas y recordatorios de caducidad añadidos para los regalos!
- Mejoras en el Evento de Banda: ¡El evento de Ataque al Gigantopithecus Loco ahora cuenta con una guía mejorada y va"&amp;"lores optimizados – y puedes unirte en otros planetas también!
- Mejoras en la Congregación: ¡Alertas automáticas de fallos de congregación añadidas, además los oficiales de banda R4 ahora pueden disolver congregaciones!
- Mejora de la Estación de Primero"&amp;"s Auxilios: ¡Métodos de curación mejorados que te permiten usar puntos de recuperación y soldados heridos para el tratamiento!
- Mejoras en Subterra: ¡Aventuras Subterráneas mejoradas, recompensas aumentadas, bonificaciones refinadas y una experiencia gen"&amp;"eral mejorada!
- Mejora del Sitio de Pruebas de Equipos: ¡Reducción del número de Tarjetas de Acción Rápida para que más jugadores puedan disfrutar!")</f>
        <v>- Nuevo Luchador: Comandante de Cañón – Córcega. ¡Un comandante sobre un carro de cañón, liderando con el corazón de un león!
- Nuevas Reliquias: ¡Presentamos 8 nuevos conjuntos de reliquias rojas con Pilotos, Golpeadores, Tiradores y Rompemuros!
- Nuevo Árbol de Talentos: Enfrentamiento Final – ¡aumenta tu poder de fuego en el círculo final! ¡Da un paso adelante como el comandante más audaz en el enfrentamiento!
- Nueva Estatua del Luchador: Veronica – ¡añade un toque de brillo a tu ciudad!
- Nueva Carrera: Nave Nodriza Terrestre, ¡capaz de desplegar tropas de reserva para batallas sostenidas!
- Nuevo Paquete de Logro de Poder de Piloto: ¡Haz que el poder de tu piloto se dispare!
- Nuevos Eventos de la Semana Tecnológica:
Conjunto de Piel de Ciudad: ¡Viaje Interestelar! ¡Emprende un viaje legendario para conquistar el universo!
Resplandor de Luz Estelar: ¡Sumérgete en el evento principal para desbloquear la piel de Viaje Interestelar! Además, disfruta del Paquete de Oferta de Grupo de Simios con recargas – ¡cuanto más compres, mayor será el descuento!
Excavación de Ruinas: ¡Inicia el evento de la Semana Tecnológica, usa tu pala para ganar premios lujosos, incluyendo una piel exclusiva de nave espacial de la Semana Tecnológica!
Viaje Estelar: ¡Gasta Orbes de Energía Interestelar para dibujar recompensas y recolectar partes de la piel de la nave espacial!
Avance Energético: ¡Recolecta Anillos de Energía para subir de nivel en el evento y tener la oportunidad de conseguir un efecto de marcha de última generación – el Cinturón de Alerta Cibernética!
Sorteo Tecnológico: ¡Celebra el festín comprando tres paquetes idénticos para obtener uno extra gratis!
Regalos Tecnológicos: ¡Acumula recargas para ganar laca de mech!
Ensamblaje Tecnológico: ¡Reúne y ensambla partes de la Semana Tecnológica para reclamar recompensas de decoración festiva!
Tesoros Tecnológicos: ¡Compra paquetes especiales y obtén descuentos adicionales junto con regalos lujosos!
Máquina Gacha Tecnológica: ¡La Máquina Gacha Festiva está de vuelta – usa suministros para girar y obtener recompensas sorpresa!
- Nuevos Eventos del 300º Aniversario del Servidor:
Simio para el Crecimiento: ¡Todos los simios acelerados! ¡Disfruta de toneladas de recompensas gratis y tiempos reducidos de construcción e investigación!
Venta de Regreso Épico: ¡El valor mejorado regresa con grandes reembolsos!
Intercambio de Bienestar: ¡Completa el plan de avance para ganar Vales de Crecimiento – intercámbialos por tus paquetes favoritos!
Velocidad Relámpago: ¡Obtén montones de materiales de mejora y mejora tu coche de carreras para aumentar tu poder rápidamente!
Búsqueda del Tesoro: ¡Usa la Llave del Tesoro para desbloquear el cofre definitivo!
Venta de Siete Días: ¡Un tema fresco cada día para ayudarte a aumentar tu poder rápidamente!
- Optimización del Paquete de Banda: ¡Listas de regalos reordenadas y recordatorios de caducidad añadidos para los regalos!
- Mejoras en el Evento de Banda: ¡El evento de Ataque al Gigantopithecus Loco ahora cuenta con una guía mejorada y valores optimizados – y puedes unirte en otros planetas también!
- Mejoras en la Congregación: ¡Alertas automáticas de fallos de congregación añadidas, además los oficiales de banda R4 ahora pueden disolver congregaciones!
- Mejora de la Estación de Primeros Auxilios: ¡Métodos de curación mejorados que te permiten usar puntos de recuperación y soldados heridos para el tratamiento!
- Mejoras en Subterra: ¡Aventuras Subterráneas mejoradas, recompensas aumentadas, bonificaciones refinadas y una experiencia general mejorada!
- Mejora del Sitio de Pruebas de Equipos: ¡Reducción del número de Tarjetas de Acción Rápida para que más jugadores puedan disfrutar!</v>
      </c>
      <c r="K64" s="168" t="str">
        <f>IFERROR(__xludf.DUMMYFUNCTION("""COMPUTED_VALUE"""),"- Новый герой: Командир пушки – Корсика. Командир на пушечной телеге, ведущий с сердцем льва!
- Новые реликвии: Представляем 8 новых наборов красных реликвий, включающих гонщиков, громил, стрелков и стеноломов!
- Новое дерево талантов: Финальная схватка –"&amp;" увеличьте свою огневую мощь в финальном круге! Станьте самым смелым командиром в схватке!
- Новая статуя героя: Вероника – добавьте блеска вашему городу!
- Новая карьера: Материнский корабль на земле, способный размещать резервные войска для продолжитель"&amp;"ных битв!
- Новый набор достижений силы гонщика: Поднимите мощь вашего гонщика на новые высоты!
- Новые события Технедели:
Набор скинов города: Межзвездное путешествие! Отправляйтесь в легендарное путешествие, чтобы покорить вселенную!
Сияние звездного св"&amp;"ета: Погрузитесь в основное событие, чтобы разблокировать скин Межзвездного путешествия! Плюс, наслаждайтесь набором Групповой Сделки Обезьян с пополнениями – чем больше покупаете, тем больше скидка!
Раскопки в руинах: Начните событие Технедели, используй"&amp;"те свою лопату, чтобы выиграть роскошные призы, включая эксклюзивный скин космического корабля Технедели!
Звездное путешествие: Тратьте межзвездные энергетические шары, чтобы получить награды и собрать части скина космического корабля!
Прорыв энергии: Соб"&amp;"ирайте энергетические кольца, чтобы повысить уровень события и получить шанс заполучить передовой эффект марша – пояс кибероповещения!
Технологический розыгрыш: Празднуйте фестиваль, покупая три одинаковых набора и получая один бесплатно!
Техноподарки: На"&amp;"копите пополнения, чтобы заработать лак для меха!
Техническая сборка: Собирайте и собирайте части Технедели, чтобы получить праздничные награды за украшения!
Техносокровища: Покупайте специальные наборы и получайте бонусные скидки вместе с роскошными пода"&amp;"рками!
Техногача-машина: Праздничная гача-машина вернулась – используйте припасы, чтобы крутить и получать сюрпризные награды!
- События к 300-дневной годовщине нового сервера:
Обезьяна для роста: Все обезьяны ускорены! Наслаждайтесь множеством бесплатных"&amp;" наград и сокращенным временем строительства и исследований!
Эпическая распродажа возвращения: Возвращение улучшенной выгоды с огромными скидками!
Обмен благосостояния: Завершите план продвижения, чтобы заработать купоны на развитие – обменяйте их на ваши"&amp;" любимые наборы!
Скоростной блиц: Захватите множество материалов для улучшения и улучшите свой гоночный автомобиль, чтобы быстро увеличить свою мощь!
Охота за сокровищами: Используйте ключ от сокровища, чтобы открыть величайший сундук!
Семидневная распрод"&amp;"ажа: Новая тема каждый день, чтобы помочь вам быстро усилиться!
- Оптимизация набора банды: Переупорядочены списки подарков и добавлены напоминания о сроках действия подарков!
- Улучшения событий банды: Событие Атака на Безумного Гиганто теперь включает у"&amp;"лучшенные инструкции и оптимизированные значения – и вы можете присоединиться на других планетах!
- Улучшения походов: Добавлены автоматические оповещения о неудаче похода, а также офицеры банды R4 теперь могут распускать походы!
- Улучшение пункта первой"&amp;" помощи: Улучшенные методы лечения позволяют использовать точки восстановления и раненых солдат для лечения!
- Улучшения Подземелья: Обновленные Подземные приключения, увеличенные награды, улучшенные усиления и общий лучший опыт!
- Улучшение испытательног"&amp;"о полигона оборудования: Сокращено количество карт быстрого действия, чтобы больше игроков могли наслаждаться!")</f>
        <v>- Новый герой: Командир пушки – Корсика. Командир на пушечной телеге, ведущий с сердцем льва!
- Новые реликвии: Представляем 8 новых наборов красных реликвий, включающих гонщиков, громил, стрелков и стеноломов!
- Новое дерево талантов: Финальная схватка – увеличьте свою огневую мощь в финальном круге! Станьте самым смелым командиром в схватке!
- Новая статуя героя: Вероника – добавьте блеска вашему городу!
- Новая карьера: Материнский корабль на земле, способный размещать резервные войска для продолжительных битв!
- Новый набор достижений силы гонщика: Поднимите мощь вашего гонщика на новые высоты!
- Новые события Технедели:
Набор скинов города: Межзвездное путешествие! Отправляйтесь в легендарное путешествие, чтобы покорить вселенную!
Сияние звездного света: Погрузитесь в основное событие, чтобы разблокировать скин Межзвездного путешествия! Плюс, наслаждайтесь набором Групповой Сделки Обезьян с пополнениями – чем больше покупаете, тем больше скидка!
Раскопки в руинах: Начните событие Технедели, используйте свою лопату, чтобы выиграть роскошные призы, включая эксклюзивный скин космического корабля Технедели!
Звездное путешествие: Тратьте межзвездные энергетические шары, чтобы получить награды и собрать части скина космического корабля!
Прорыв энергии: Собирайте энергетические кольца, чтобы повысить уровень события и получить шанс заполучить передовой эффект марша – пояс кибероповещения!
Технологический розыгрыш: Празднуйте фестиваль, покупая три одинаковых набора и получая один бесплатно!
Техноподарки: Накопите пополнения, чтобы заработать лак для меха!
Техническая сборка: Собирайте и собирайте части Технедели, чтобы получить праздничные награды за украшения!
Техносокровища: Покупайте специальные наборы и получайте бонусные скидки вместе с роскошными подарками!
Техногача-машина: Праздничная гача-машина вернулась – используйте припасы, чтобы крутить и получать сюрпризные награды!
- События к 300-дневной годовщине нового сервера:
Обезьяна для роста: Все обезьяны ускорены! Наслаждайтесь множеством бесплатных наград и сокращенным временем строительства и исследований!
Эпическая распродажа возвращения: Возвращение улучшенной выгоды с огромными скидками!
Обмен благосостояния: Завершите план продвижения, чтобы заработать купоны на развитие – обменяйте их на ваши любимые наборы!
Скоростной блиц: Захватите множество материалов для улучшения и улучшите свой гоночный автомобиль, чтобы быстро увеличить свою мощь!
Охота за сокровищами: Используйте ключ от сокровища, чтобы открыть величайший сундук!
Семидневная распродажа: Новая тема каждый день, чтобы помочь вам быстро усилиться!
- Оптимизация набора банды: Переупорядочены списки подарков и добавлены напоминания о сроках действия подарков!
- Улучшения событий банды: Событие Атака на Безумного Гиганто теперь включает улучшенные инструкции и оптимизированные значения – и вы можете присоединиться на других планетах!
- Улучшения походов: Добавлены автоматические оповещения о неудаче похода, а также офицеры банды R4 теперь могут распускать походы!
- Улучшение пункта первой помощи: Улучшенные методы лечения позволяют использовать точки восстановления и раненых солдат для лечения!
- Улучшения Подземелья: Обновленные Подземные приключения, увеличенные награды, улучшенные усиления и общий лучший опыт!
- Улучшение испытательного полигона оборудования: Сокращено количество карт быстрого действия, чтобы больше игроков могли наслаждаться!</v>
      </c>
      <c r="L64" s="168" t="str">
        <f>IFERROR(__xludf.DUMMYFUNCTION("""COMPUTED_VALUE"""),"- Yeni Savaşçı: Top Komutanı – Korsika. Bir top arabasının üstünde bir komutan, aslan yüreğiyle liderlik ediyor!
- Yeni Kalıntılar: Pilotlar, Vurucular, Nişancılar ve Duvar Kırıcıları içeren 8 yeni kırmızı kalıntı seti tanıtılıyor!
- Yeni Yetenek Ağacı: S"&amp;"on Rest – son dairede ateş gücünüzü artırın! Restte en cesur komutan olarak öne çıkın!
- Yeni Savaşçı Heykeli: Veronica – şehrinize bir parlaklık katın!
- Yeni Kariyer: Yer Ana Gemisi, sürekli savaşlar için yedek birlikleri görevlendirebilir!
- Yeni Pilot"&amp;" Güç Başarısı Paketi: Pilot gücünüzü yükseltin!
- Yeni Teknoloji Haftası Etkinlikleri:
Şehir Görünümü Seti: Yıldızlararası Yolculuk! Evreni fethetmek için efsanevi bir yolculuğa çıkın!
Yıldız Işığı Parıltısı: Yıldızlararası Yolculuk görünümünü açmak için "&amp;"çekirdek etkinliğe dalın! Ayrıca, Ape Grup İndirimi Paketi ile üst limitler – ne kadar çok alırsanız, indirim o kadar büyük!
Harabe Kazısı: Teknoloji Haftası etkinliğini başlatın, lüks ödüller kazanmak için küreğinizi kullanın, özel bir Teknoloji Haftası "&amp;"uzay gemisi görünümü dahil!
Yıldız Yolculuğu: Ödülleri çekmek ve uzay gemisi görünüm parçalarını toplamak için Yıldızlararası Enerji Kürelerini harcayın!
Enerji Atılımı: Etkinliği seviye atlatmak ve son teknoloji bir sefer etkisi – Siber Uyarı Kemeri – ka"&amp;"zanma şansı için Enerji Halkalarını toplayın!
Teknoloji Hediyesi: Üç aynı paketi satın alarak bir ekstra bedava alın!
Teknoloji Hediyeleri: Mekan cilası kazanmak için şarjları biriktirin!
Teknoloji Montajı: Teknoloji Haftası parçalarını toplayın ve monte "&amp;"edin, bayram dekorasyon ödüllerini talep edin!
Teknoloji Hazineleri: Özel paketler satın alın ve cömert hediyelerle birlikte bonus indirimler kazanın!
Teknoloji Gacha Makinesi: Bayram Gacha Makinesi geri döndü – sürpriz ödüller için tedarikleri kullanarak"&amp;" çevirin!
- Yeni Sunucu 300 Günlük Yıldönümü Etkinlikleri:
Büyümek İçin Maymun: Tüm maymunlar hızlandı! Tonlarca ücretsiz ödül ve azaltılmış inşaat ve araştırma sürelerinin tadını çıkarın!
Destansı Geri Dönüş Satışı: Büyük indirimlerle yükseltilmiş değer "&amp;"geri dönüyor!
Refah Takası: Gelişim planını tamamlayarak Büyüme Fişleri kazanın – favori paketlerinizle takas edin!
Hız Blitz: Yüksek miktarda yükseltme materyali kapın ve yarış arabanızı güçlendirmek için hızla geliştirin!
Hazine Avı: Üstün sandığı açmak"&amp;" için Hazine Anahtarını kullanın!
Yedi Günlük Satış: Hızla güçlenmenize yardımcı olacak her gün yeni bir tema!
- Çete Paketi Optimizasyonu: Hediye listeleri yeniden sıralandı ve hediyeler için son kullanma hatırlatıcıları eklendi!
- Çete Etkinliği Gelişti"&amp;"rmeleri: Deli Giganto'ya Saldırı etkinliği artık geliştirilmiş rehberlik ve optimize edilmiş değerler içeriyor – ve diğer gezegenlerde de katılabilirsiniz!
- Toplu Saldırı İyileştirmeleri: Otomatik toplu saldırı başarısızlık uyarıları eklendi, ayrıca R4 ç"&amp;"ete subayları artık toplu saldırıları dağıtabilir!
- İlk Yardım İstasyonu Yükseltmesi: İyileşme yöntemleri geliştirildi, iyileşme puanlarını ve yaralı askerleri tedavi için kullanabilirsiniz!
- Yer Altı Geliştirmeleri: Yer Altı Maceraları yükseltildi, ödü"&amp;"ller artırıldı, güçlendirmeler iyileştirildi ve genel deneyim daha iyi hale getirildi!
- Ekipman Test Alanı Geliştirmesi: Daha fazla oyuncunun keyfini çıkarabilmesi için Hızlı Eylem Kartlarının sayısı azaltıldı!")</f>
        <v>- Yeni Savaşçı: Top Komutanı – Korsika. Bir top arabasının üstünde bir komutan, aslan yüreğiyle liderlik ediyor!
- Yeni Kalıntılar: Pilotlar, Vurucular, Nişancılar ve Duvar Kırıcıları içeren 8 yeni kırmızı kalıntı seti tanıtılıyor!
- Yeni Yetenek Ağacı: Son Rest – son dairede ateş gücünüzü artırın! Restte en cesur komutan olarak öne çıkın!
- Yeni Savaşçı Heykeli: Veronica – şehrinize bir parlaklık katın!
- Yeni Kariyer: Yer Ana Gemisi, sürekli savaşlar için yedek birlikleri görevlendirebilir!
- Yeni Pilot Güç Başarısı Paketi: Pilot gücünüzü yükseltin!
- Yeni Teknoloji Haftası Etkinlikleri:
Şehir Görünümü Seti: Yıldızlararası Yolculuk! Evreni fethetmek için efsanevi bir yolculuğa çıkın!
Yıldız Işığı Parıltısı: Yıldızlararası Yolculuk görünümünü açmak için çekirdek etkinliğe dalın! Ayrıca, Ape Grup İndirimi Paketi ile üst limitler – ne kadar çok alırsanız, indirim o kadar büyük!
Harabe Kazısı: Teknoloji Haftası etkinliğini başlatın, lüks ödüller kazanmak için küreğinizi kullanın, özel bir Teknoloji Haftası uzay gemisi görünümü dahil!
Yıldız Yolculuğu: Ödülleri çekmek ve uzay gemisi görünüm parçalarını toplamak için Yıldızlararası Enerji Kürelerini harcayın!
Enerji Atılımı: Etkinliği seviye atlatmak ve son teknoloji bir sefer etkisi – Siber Uyarı Kemeri – kazanma şansı için Enerji Halkalarını toplayın!
Teknoloji Hediyesi: Üç aynı paketi satın alarak bir ekstra bedava alın!
Teknoloji Hediyeleri: Mekan cilası kazanmak için şarjları biriktirin!
Teknoloji Montajı: Teknoloji Haftası parçalarını toplayın ve monte edin, bayram dekorasyon ödüllerini talep edin!
Teknoloji Hazineleri: Özel paketler satın alın ve cömert hediyelerle birlikte bonus indirimler kazanın!
Teknoloji Gacha Makinesi: Bayram Gacha Makinesi geri döndü – sürpriz ödüller için tedarikleri kullanarak çevirin!
- Yeni Sunucu 300 Günlük Yıldönümü Etkinlikleri:
Büyümek İçin Maymun: Tüm maymunlar hızlandı! Tonlarca ücretsiz ödül ve azaltılmış inşaat ve araştırma sürelerinin tadını çıkarın!
Destansı Geri Dönüş Satışı: Büyük indirimlerle yükseltilmiş değer geri dönüyor!
Refah Takası: Gelişim planını tamamlayarak Büyüme Fişleri kazanın – favori paketlerinizle takas edin!
Hız Blitz: Yüksek miktarda yükseltme materyali kapın ve yarış arabanızı güçlendirmek için hızla geliştirin!
Hazine Avı: Üstün sandığı açmak için Hazine Anahtarını kullanın!
Yedi Günlük Satış: Hızla güçlenmenize yardımcı olacak her gün yeni bir tema!
- Çete Paketi Optimizasyonu: Hediye listeleri yeniden sıralandı ve hediyeler için son kullanma hatırlatıcıları eklendi!
- Çete Etkinliği Geliştirmeleri: Deli Giganto'ya Saldırı etkinliği artık geliştirilmiş rehberlik ve optimize edilmiş değerler içeriyor – ve diğer gezegenlerde de katılabilirsiniz!
- Toplu Saldırı İyileştirmeleri: Otomatik toplu saldırı başarısızlık uyarıları eklendi, ayrıca R4 çete subayları artık toplu saldırıları dağıtabilir!
- İlk Yardım İstasyonu Yükseltmesi: İyileşme yöntemleri geliştirildi, iyileşme puanlarını ve yaralı askerleri tedavi için kullanabilirsiniz!
- Yer Altı Geliştirmeleri: Yer Altı Maceraları yükseltildi, ödüller artırıldı, güçlendirmeler iyileştirildi ve genel deneyim daha iyi hale getirildi!
- Ekipman Test Alanı Geliştirmesi: Daha fazla oyuncunun keyfini çıkarabilmesi için Hızlı Eylem Kartlarının sayısı azaltıldı!</v>
      </c>
      <c r="M64" s="168" t="str">
        <f>IFERROR(__xludf.DUMMYFUNCTION("""COMPUTED_VALUE"""),"- Chiến Binh Mới: Chỉ Huy Pháo – Corsica. Một chỉ huy trên xe pháo, dẫn dắt với trái tim của một sư tử!
- Di Tích Mới: Giới thiệu 8 bộ di tích đỏ mới với Phi Công, Lính Tấn Công, Xạ Thủ và Lính Phá Thành!
- Cây Tài Năng Mới: Trận Chiến Cuối Cùng – tăng cư"&amp;"ờng hỏa lực của bạn trong vòng cuối! Bước lên làm chỉ huy táo bạo nhất trong trận chiến!
- Tượng Chiến Binh Mới: Veronica – thêm một chút rực rỡ cho thành phố của bạn!
- Nghề Nghiệp Mới: Tàu Mẫu Hạm Mặt Đất, có khả năng triển khai binh lính dự bị cho các "&amp;"trận chiến kéo dài!
- Gói Thành Tựu Chiến Lực Phi Công Mới: Nhận chiến lực phi công của bạn tăng vọt!
- Sự Kiện Tuần Công Nghệ Mới:
Bộ Da Thành Phố: Hành Trình Liên Sao! Bắt đầu một hành trình huyền thoại để chinh phục vũ trụ!
Ánh Sáng Sao Rực Rỡ: Tham gi"&amp;"a sự kiện cốt lõi để mở khóa da Hành Trình Liên Sao! Thêm vào đó, tận hưởng Gói Mặc Cả Nhóm Vượn với các lần nạp tiền – mua càng nhiều, giảm giá càng lớn!
Thám Hiểm Tàn Tích: Khởi động sự kiện Tuần Công Nghệ, sử dụng xẻng của bạn để giành giải thưởng xa h"&amp;"oa, bao gồm da tàu vũ trụ độc quyền của Tuần Công Nghệ!
Hành Trình Tinh Tú: Sử dụng Quả Cầu Năng Lượng Liên Sao để rút thưởng và thu thập các phần da tàu vũ trụ!
Đột Phá Năng Lượng: Thu thập Vòng Năng Lượng để thăng cấp sự kiện và có cơ hội giành được hiệ"&amp;"u ứng hành quân tiên tiến – Thắt Lưng Cảnh Báo Mạng!
Sự Kiện Tặng Quà Công Nghệ: Kỷ niệm lễ hội bằng cách mua ba gói giống nhau để nhận thêm một gói miễn phí!
Quà Tặng Công Nghệ: Tích lũy nạp tiền để nhận sơn mài cơ khí!
Lắp Ráp Công Nghệ: Thu thập và lắp"&amp;" ráp các phần của Tuần Công Nghệ để nhận phần thưởng trang trí lễ hội!
Kho Báu Công Nghệ: Mua các gói đặc biệt và nhận giảm giá thưởng cùng với quà tặng xa hoa!
Máy Gacha Công Nghệ: Máy Gacha Lễ Hội đã trở lại – sử dụng viện trợ để quay thưởng bất ngờ!
- "&amp;"Sự Kiện Kỷ Niệm 300 Ngày Máy Chủ Mới:
Vượn Để Phát Triển: Tất cả vượn được tăng tốc! Tận hưởng nhiều phần thưởng miễn phí và giảm thời gian xây dựng và nghiên cứu!
Khuyến Mãi Trở Lại Cực Phẩm: Giá trị nâng cấp trở lại với hoàn tiền lớn!
Quy Đổi Phúc Lợi: "&amp;"Hoàn thành kế hoạch cải tiến để nhận Phiếu Phát Triển – đổi chúng lấy các gói yêu thích của bạn!
Tốc Độ Chớp Nhoáng: Nhận nhiều nguyên liệu nâng cấp và nâng cao xe đua của bạn để tăng chiến lực nhanh chóng!
Săn Kho Báu: Sử dụng Chìa Khóa Kho Báu để mở rươ"&amp;"ng tối thượng!
Khuyến Mãi Bảy Ngày: Một chủ đề mới mỗi ngày để giúp bạn tăng chiến lực nhanh chóng!
- Tối Ưu Hóa Gói Bang Hội: Sắp xếp lại danh sách quà tặng và thêm nhắc nhở hết hạn cho quà tặng!
- Cải Tiến Sự Kiện Bang Hội: Sự kiện Tấn Công Vượn Khổng L"&amp;"ồ Điên Rồ hiện có hướng dẫn cải tiến và giá trị tối ưu – và bạn có thể tham gia trên các hành tinh khác!
- Cải Tiến Tập Hợp: Thêm cảnh báo thất bại tập hợp tự động, và các sĩ quan bang hội R4 hiện có thể giải tán tập hợp!
- Nâng Cấp Trạm Sơ Cứu: Phương ph"&amp;"áp chữa trị nâng cao cho phép bạn sử dụng điểm phục hồi và binh lính bị thương để điều trị!
- Cải Tiến Dưới Lòng Đất: Nâng cấp Cuộc Phiêu Lưu Dưới Lòng Đất, tăng cường phần thưởng, tinh chỉnh hiệu ứng có lợi và trải nghiệm tổng thể tốt hơn!
- Cải Tiến Khu"&amp;" Thử Nghiệm Trang Bị: Giảm số lượng Thẻ Hành Động Nhanh để nhiều người chơi có thể tham gia!")</f>
        <v>- Chiến Binh Mới: Chỉ Huy Pháo – Corsica. Một chỉ huy trên xe pháo, dẫn dắt với trái tim của một sư tử!
- Di Tích Mới: Giới thiệu 8 bộ di tích đỏ mới với Phi Công, Lính Tấn Công, Xạ Thủ và Lính Phá Thành!
- Cây Tài Năng Mới: Trận Chiến Cuối Cùng – tăng cường hỏa lực của bạn trong vòng cuối! Bước lên làm chỉ huy táo bạo nhất trong trận chiến!
- Tượng Chiến Binh Mới: Veronica – thêm một chút rực rỡ cho thành phố của bạn!
- Nghề Nghiệp Mới: Tàu Mẫu Hạm Mặt Đất, có khả năng triển khai binh lính dự bị cho các trận chiến kéo dài!
- Gói Thành Tựu Chiến Lực Phi Công Mới: Nhận chiến lực phi công của bạn tăng vọt!
- Sự Kiện Tuần Công Nghệ Mới:
Bộ Da Thành Phố: Hành Trình Liên Sao! Bắt đầu một hành trình huyền thoại để chinh phục vũ trụ!
Ánh Sáng Sao Rực Rỡ: Tham gia sự kiện cốt lõi để mở khóa da Hành Trình Liên Sao! Thêm vào đó, tận hưởng Gói Mặc Cả Nhóm Vượn với các lần nạp tiền – mua càng nhiều, giảm giá càng lớn!
Thám Hiểm Tàn Tích: Khởi động sự kiện Tuần Công Nghệ, sử dụng xẻng của bạn để giành giải thưởng xa hoa, bao gồm da tàu vũ trụ độc quyền của Tuần Công Nghệ!
Hành Trình Tinh Tú: Sử dụng Quả Cầu Năng Lượng Liên Sao để rút thưởng và thu thập các phần da tàu vũ trụ!
Đột Phá Năng Lượng: Thu thập Vòng Năng Lượng để thăng cấp sự kiện và có cơ hội giành được hiệu ứng hành quân tiên tiến – Thắt Lưng Cảnh Báo Mạng!
Sự Kiện Tặng Quà Công Nghệ: Kỷ niệm lễ hội bằng cách mua ba gói giống nhau để nhận thêm một gói miễn phí!
Quà Tặng Công Nghệ: Tích lũy nạp tiền để nhận sơn mài cơ khí!
Lắp Ráp Công Nghệ: Thu thập và lắp ráp các phần của Tuần Công Nghệ để nhận phần thưởng trang trí lễ hội!
Kho Báu Công Nghệ: Mua các gói đặc biệt và nhận giảm giá thưởng cùng với quà tặng xa hoa!
Máy Gacha Công Nghệ: Máy Gacha Lễ Hội đã trở lại – sử dụng viện trợ để quay thưởng bất ngờ!
- Sự Kiện Kỷ Niệm 300 Ngày Máy Chủ Mới:
Vượn Để Phát Triển: Tất cả vượn được tăng tốc! Tận hưởng nhiều phần thưởng miễn phí và giảm thời gian xây dựng và nghiên cứu!
Khuyến Mãi Trở Lại Cực Phẩm: Giá trị nâng cấp trở lại với hoàn tiền lớn!
Quy Đổi Phúc Lợi: Hoàn thành kế hoạch cải tiến để nhận Phiếu Phát Triển – đổi chúng lấy các gói yêu thích của bạn!
Tốc Độ Chớp Nhoáng: Nhận nhiều nguyên liệu nâng cấp và nâng cao xe đua của bạn để tăng chiến lực nhanh chóng!
Săn Kho Báu: Sử dụng Chìa Khóa Kho Báu để mở rương tối thượng!
Khuyến Mãi Bảy Ngày: Một chủ đề mới mỗi ngày để giúp bạn tăng chiến lực nhanh chóng!
- Tối Ưu Hóa Gói Bang Hội: Sắp xếp lại danh sách quà tặng và thêm nhắc nhở hết hạn cho quà tặng!
- Cải Tiến Sự Kiện Bang Hội: Sự kiện Tấn Công Vượn Khổng Lồ Điên Rồ hiện có hướng dẫn cải tiến và giá trị tối ưu – và bạn có thể tham gia trên các hành tinh khác!
- Cải Tiến Tập Hợp: Thêm cảnh báo thất bại tập hợp tự động, và các sĩ quan bang hội R4 hiện có thể giải tán tập hợp!
- Nâng Cấp Trạm Sơ Cứu: Phương pháp chữa trị nâng cao cho phép bạn sử dụng điểm phục hồi và binh lính bị thương để điều trị!
- Cải Tiến Dưới Lòng Đất: Nâng cấp Cuộc Phiêu Lưu Dưới Lòng Đất, tăng cường phần thưởng, tinh chỉnh hiệu ứng có lợi và trải nghiệm tổng thể tốt hơn!
- Cải Tiến Khu Thử Nghiệm Trang Bị: Giảm số lượng Thẻ Hành Động Nhanh để nhiều người chơi có thể tham gia!</v>
      </c>
      <c r="N64" s="169" t="str">
        <f>IFERROR(__xludf.DUMMYFUNCTION("""COMPUTED_VALUE"""),"- Nuovo Combattente: Comandante del Cannone – Corsica. Un comandante su un carro cannone, guidando con il cuore di un leone!
- Nuove Reliquie: Introduzione di 8 nuovi set di reliquie rosse con Piloti, Picchiatori, Cecchini e Infrangimura!
- Nuovo Albero d"&amp;"ei Talenti: Resa dei conti finale – aumenta la tua potenza di fuoco nel cerchio finale! Fatti avanti come il comandante più audace nella resa dei conti!
- Nuova Statua del Combattente: Veronica – aggiungi un tocco di brillantezza alla tua città!
- Nuova C"&amp;"arriera: Astronave Madre Terrestre, capace di schierare truppe di riserva per battaglie prolungate!
- Nuovo Pacchetto Traguardo di Potenza Pilota: Fai volare in alto la potenza del tuo pilota!
- Nuovi Eventi della Settimana Tecnologica:
Set di Skin per la"&amp;" Città: Viaggio Interstellare! Intraprendi un viaggio leggendario per conquistare l'universo!
Bagliore di Luce Stellare: Immergiti nell'evento principale per sbloccare la skin Viaggio Interstellare! Inoltre, goditi il Pacchetto Affare di Gruppo Scimmia co"&amp;"n ricariche – più compri, maggiore è lo sconto!
Scavi delle Rovine: Inizia l'evento della Settimana Tecnologica, usa la tua pala per vincere premi lussuosi, inclusa una skin esclusiva per l'astronave della Settimana Tecnologica!
Viaggio Stellare: Spendi S"&amp;"fere Energetiche Interstellari per ottenere ricompense e raccogliere parti della skin dell'astronave!
Sfondamento Energetico: Raccogli Anelli Energetici per aumentare di livello l'evento e avere la possibilità di ottenere un effetto di marcia all'avanguar"&amp;"dia – la Cintura di Allerta Cibernetica!
Regalo Tecnologico: Celebra la festa acquistando tre pacchetti identici per ottenerne uno extra gratis!
Regali Tecnologici: Accumula ricariche per guadagnare lacca per mech!
Assemblaggio Tecnologico: Raccogli e ass"&amp;"embla parti della Settimana Tecnologica per ottenere ricompense decorative festive!
Tesori Tecnologici: Acquista pacchetti speciali e ottieni sconti bonus insieme a regali sontuosi!
Macchina Gacha Tecnologica: La Macchina Gacha Festiva è tornata – usa le "&amp;"scorte per girare e ottenere ricompense a sorpresa!
- Nuovi Eventi per il 300° Giorno del Nuovo Server:
Scimmia per la Crescita: Tutte le scimmie accelerate! Goditi tonnellate di ricompense gratuite e tempi di costruzione e ricerca ridotti!
Vendita di Rit"&amp;"orno Epica: Valore migliorato con enormi rimborsi!
Scambio di Beneficenza: Completa il piano di avanzamento per guadagnare Buoni Crescita – scambiali per i tuoi pacchetti preferiti!
Velocità Blitz: Ottieni un sacco di materiali di potenziamento e migliora"&amp;" la tua auto da corsa per aumentare rapidamente la tua potenza!
Caccia al Tesoro: Usa la Chiave del Tesoro per sbloccare la cassa suprema!
Svendita di Sette Giorni: Un tema fresco ogni giorno per aiutarti a potenziarti rapidamente!
- Ottimizzazione del Pa"&amp;"cchetto Gang: Liste di regali riordinate e aggiunti promemoria di scadenza per i regali!
- Miglioramenti dell'Evento Gang: L'evento Attacco al Gigagorilla Pazzo ora presenta una guida migliorata e valori ottimizzati – e puoi partecipare anche su altri pia"&amp;"neti!
- Miglioramenti dell'Adunata: Aggiunti avvisi di fallimento automatico dell'adunata, inoltre gli ufficiali della gang R4 possono ora sciogliere le adunate!
- Potenziamento della Stazione di Pronto Soccorso: Metodi di guarigione migliorati che ti per"&amp;"mettono di usare punti di ripristino e soldati feriti per il trattamento!
- Miglioramenti di Sotto Terra: Avventure Sotterranee potenziate, ricompense aumentate, benefici raffinati e un'esperienza complessivamente migliore!
- Potenziamento del Sito di Tes"&amp;"t dell'Equipaggiamento: Ridotto il numero di Carte Azione Rapida in modo che più giocatori possano divertirsi!")</f>
        <v>- Nuovo Combattente: Comandante del Cannone – Corsica. Un comandante su un carro cannone, guidando con il cuore di un leone!
- Nuove Reliquie: Introduzione di 8 nuovi set di reliquie rosse con Piloti, Picchiatori, Cecchini e Infrangimura!
- Nuovo Albero dei Talenti: Resa dei conti finale – aumenta la tua potenza di fuoco nel cerchio finale! Fatti avanti come il comandante più audace nella resa dei conti!
- Nuova Statua del Combattente: Veronica – aggiungi un tocco di brillantezza alla tua città!
- Nuova Carriera: Astronave Madre Terrestre, capace di schierare truppe di riserva per battaglie prolungate!
- Nuovo Pacchetto Traguardo di Potenza Pilota: Fai volare in alto la potenza del tuo pilota!
- Nuovi Eventi della Settimana Tecnologica:
Set di Skin per la Città: Viaggio Interstellare! Intraprendi un viaggio leggendario per conquistare l'universo!
Bagliore di Luce Stellare: Immergiti nell'evento principale per sbloccare la skin Viaggio Interstellare! Inoltre, goditi il Pacchetto Affare di Gruppo Scimmia con ricariche – più compri, maggiore è lo sconto!
Scavi delle Rovine: Inizia l'evento della Settimana Tecnologica, usa la tua pala per vincere premi lussuosi, inclusa una skin esclusiva per l'astronave della Settimana Tecnologica!
Viaggio Stellare: Spendi Sfere Energetiche Interstellari per ottenere ricompense e raccogliere parti della skin dell'astronave!
Sfondamento Energetico: Raccogli Anelli Energetici per aumentare di livello l'evento e avere la possibilità di ottenere un effetto di marcia all'avanguardia – la Cintura di Allerta Cibernetica!
Regalo Tecnologico: Celebra la festa acquistando tre pacchetti identici per ottenerne uno extra gratis!
Regali Tecnologici: Accumula ricariche per guadagnare lacca per mech!
Assemblaggio Tecnologico: Raccogli e assembla parti della Settimana Tecnologica per ottenere ricompense decorative festive!
Tesori Tecnologici: Acquista pacchetti speciali e ottieni sconti bonus insieme a regali sontuosi!
Macchina Gacha Tecnologica: La Macchina Gacha Festiva è tornata – usa le scorte per girare e ottenere ricompense a sorpresa!
- Nuovi Eventi per il 300° Giorno del Nuovo Server:
Scimmia per la Crescita: Tutte le scimmie accelerate! Goditi tonnellate di ricompense gratuite e tempi di costruzione e ricerca ridotti!
Vendita di Ritorno Epica: Valore migliorato con enormi rimborsi!
Scambio di Beneficenza: Completa il piano di avanzamento per guadagnare Buoni Crescita – scambiali per i tuoi pacchetti preferiti!
Velocità Blitz: Ottieni un sacco di materiali di potenziamento e migliora la tua auto da corsa per aumentare rapidamente la tua potenza!
Caccia al Tesoro: Usa la Chiave del Tesoro per sbloccare la cassa suprema!
Svendita di Sette Giorni: Un tema fresco ogni giorno per aiutarti a potenziarti rapidamente!
- Ottimizzazione del Pacchetto Gang: Liste di regali riordinate e aggiunti promemoria di scadenza per i regali!
- Miglioramenti dell'Evento Gang: L'evento Attacco al Gigagorilla Pazzo ora presenta una guida migliorata e valori ottimizzati – e puoi partecipare anche su altri pianeti!
- Miglioramenti dell'Adunata: Aggiunti avvisi di fallimento automatico dell'adunata, inoltre gli ufficiali della gang R4 possono ora sciogliere le adunate!
- Potenziamento della Stazione di Pronto Soccorso: Metodi di guarigione migliorati che ti permettono di usare punti di ripristino e soldati feriti per il trattamento!
- Miglioramenti di Sotto Terra: Avventure Sotterranee potenziate, ricompense aumentate, benefici raffinati e un'esperienza complessivamente migliore!
- Potenziamento del Sito di Test dell'Equipaggiamento: Ridotto il numero di Carte Azione Rapida in modo che più giocatori possano divertirsi!</v>
      </c>
      <c r="O64" s="168" t="str">
        <f>IFERROR(__xludf.DUMMYFUNCTION("""COMPUTED_VALUE"""),"- Nowy Wojownik: Dowódca Działa – Korsyka. Dowódca na wozie z działem, prowadzący z sercem lwa!
- Nowe Relikty: Wprowadzenie 8 nowych czerwonych zestawów reliktów z udziałem Pilotów, Łupaczy, Strzelców i Burzycieli!
- Nowe Drzewo Talentów: Ostateczna Rozg"&amp;"rywka – zwiększ swoją siłę ognia w ostatnim kręgu! Stań się najodważniejszym dowódcą w rozgrywce!
- Nowy Pomnik Wojownika: Veronica – dodaj blasku swojemu miastu!
- Nowa Kariera: Statek-matka naziemny, zdolny do rozmieszczania oddziałów rezerwowych do dłu"&amp;"gotrwałych bitew!
- Nowy Pakiet Osiągnięć Mocy Pilota: Podnieś moc swojego pilota na wyżyny!
- Nowe Wydarzenia Tygodnia Technologii:
Zestaw Skórki Miasta: Międzygwiezdna Podróż! Wyrusz w legendarną podróż, aby podbić wszechświat!
Blask Gwiezdnego Światła:"&amp;" Zanurz się w głównym wydarzeniu, aby odblokować skórkę Międzygwiezdnej Podróży! Dodatkowo, ciesz się Pakietem Okazyjnego Zakupu Grupowego Małp z doładowaniami – im więcej kupujesz, tym większy rabat!
Wykopaliska: Rozpocznij wydarzenie Tygodnia Technologi"&amp;"i, użyj swojej łopaty, aby wygrać luksusowe nagrody, w tym ekskluzywną skórkę statku kosmicznego Tygodnia Technologii!
Podróż Gwiezdna: Wydawaj Orbity Międzygwiezdnej Energii, aby losować nagrody i zbierać części skórki statku kosmicznego!
Przełom Energet"&amp;"yczny: Zbieraj Pierścienie Energii, aby podnieść poziom wydarzenia i mieć szansę zdobyć nowoczesny efekt marszu – Pas Cybernetycznego Alarmu!
Rozdawnictwo Technologiczne: Świętuj festiwal, kupując trzy identyczne pakiety, aby otrzymać jeden dodatkowy za d"&amp;"armo!
Prezenty Technologiczne: Gromadź doładowania, aby zdobyć lakier do mecha!
Montaż Technologiczny: Zbieraj i montuj części Tygodnia Technologii, aby odebrać nagrody za dekoracje świąteczne!
Skarby Technologiczne: Kup specjalne pakiety i zdobywaj bonus"&amp;"owe rabaty oraz luksusowe prezenty!
Maszyna Gacha Technologiczna: Festiwalowa Maszyna Gacha powraca – użyj zapasów, aby zakręcić i zdobyć niespodziankowe nagrody!
- Nowe Wydarzenia na 300-dniową Rocznicę Serwera:
Małpa dla Rozwoju: Wszystkie małpy przyspi"&amp;"eszone! Ciesz się mnóstwem darmowych nagród i skróconymi czasami budowy i badań!
Epicka Wyprzedaż Powrotna: Zwiększona wartość powraca z ogromnymi rabatami!
Wymiana Świadczeń: Ukończ plan awansu, aby zdobyć Kupony na Rozwój – wymień je na swoje ulubione p"&amp;"akiety!
Błyskawiczna Prędkość: Zgarnij mnóstwo materiałów do ulepszeń i ulepsz swój samochód wyścigowy, aby szybko zwiększyć swoją moc!
Poszukiwanie Skarbów: Użyj Klucza do Skarbu, aby odblokować najlepszą skrzynię!
Siedmiodniowa Wyprzedaż: Nowy motyw każ"&amp;"dego dnia, aby pomóc ci szybko się wzmocnić!
- Optymalizacja Pakietów Gangu: Przestawione listy prezentów i dodane przypomnienia o wygaśnięciu prezentów!
- Ulepszenia Wydarzeń Gangu: Wydarzenie Atak na Szaloną Gigamałpę teraz zawiera ulepszone wskazówki i"&amp;" zoptymalizowane wartości – możesz dołączyć także na innych planetach!
- Ulepszenia Rajdów: Dodano automatyczne powiadomienia o niepowodzeniu rajdu, a oficerowie gangu R4 mogą teraz rozwiązywać rajdy!
- Ulepszenie Stacji Pierwszej Pomocy: Ulepszone metody"&amp;" leczenia pozwalają na użycie punktów regeneracji i leczenie rannych żołnierzy!
- Ulepszenia Podziemi: Ulepszone Podziemne Przygody, zwiększone nagrody, ulepszone wzmocnienia i ogólnie lepsze doświadczenie!
- Ulepszenie Miejsca Testowego Sprzętu: Zmniejsz"&amp;"ono liczbę Kart Szybkiej Akcji, aby więcej graczy mogło cieszyć się!")</f>
        <v>- Nowy Wojownik: Dowódca Działa – Korsyka. Dowódca na wozie z działem, prowadzący z sercem lwa!
- Nowe Relikty: Wprowadzenie 8 nowych czerwonych zestawów reliktów z udziałem Pilotów, Łupaczy, Strzelców i Burzycieli!
- Nowe Drzewo Talentów: Ostateczna Rozgrywka – zwiększ swoją siłę ognia w ostatnim kręgu! Stań się najodważniejszym dowódcą w rozgrywce!
- Nowy Pomnik Wojownika: Veronica – dodaj blasku swojemu miastu!
- Nowa Kariera: Statek-matka naziemny, zdolny do rozmieszczania oddziałów rezerwowych do długotrwałych bitew!
- Nowy Pakiet Osiągnięć Mocy Pilota: Podnieś moc swojego pilota na wyżyny!
- Nowe Wydarzenia Tygodnia Technologii:
Zestaw Skórki Miasta: Międzygwiezdna Podróż! Wyrusz w legendarną podróż, aby podbić wszechświat!
Blask Gwiezdnego Światła: Zanurz się w głównym wydarzeniu, aby odblokować skórkę Międzygwiezdnej Podróży! Dodatkowo, ciesz się Pakietem Okazyjnego Zakupu Grupowego Małp z doładowaniami – im więcej kupujesz, tym większy rabat!
Wykopaliska: Rozpocznij wydarzenie Tygodnia Technologii, użyj swojej łopaty, aby wygrać luksusowe nagrody, w tym ekskluzywną skórkę statku kosmicznego Tygodnia Technologii!
Podróż Gwiezdna: Wydawaj Orbity Międzygwiezdnej Energii, aby losować nagrody i zbierać części skórki statku kosmicznego!
Przełom Energetyczny: Zbieraj Pierścienie Energii, aby podnieść poziom wydarzenia i mieć szansę zdobyć nowoczesny efekt marszu – Pas Cybernetycznego Alarmu!
Rozdawnictwo Technologiczne: Świętuj festiwal, kupując trzy identyczne pakiety, aby otrzymać jeden dodatkowy za darmo!
Prezenty Technologiczne: Gromadź doładowania, aby zdobyć lakier do mecha!
Montaż Technologiczny: Zbieraj i montuj części Tygodnia Technologii, aby odebrać nagrody za dekoracje świąteczne!
Skarby Technologiczne: Kup specjalne pakiety i zdobywaj bonusowe rabaty oraz luksusowe prezenty!
Maszyna Gacha Technologiczna: Festiwalowa Maszyna Gacha powraca – użyj zapasów, aby zakręcić i zdobyć niespodziankowe nagrody!
- Nowe Wydarzenia na 300-dniową Rocznicę Serwera:
Małpa dla Rozwoju: Wszystkie małpy przyspieszone! Ciesz się mnóstwem darmowych nagród i skróconymi czasami budowy i badań!
Epicka Wyprzedaż Powrotna: Zwiększona wartość powraca z ogromnymi rabatami!
Wymiana Świadczeń: Ukończ plan awansu, aby zdobyć Kupony na Rozwój – wymień je na swoje ulubione pakiety!
Błyskawiczna Prędkość: Zgarnij mnóstwo materiałów do ulepszeń i ulepsz swój samochód wyścigowy, aby szybko zwiększyć swoją moc!
Poszukiwanie Skarbów: Użyj Klucza do Skarbu, aby odblokować najlepszą skrzynię!
Siedmiodniowa Wyprzedaż: Nowy motyw każdego dnia, aby pomóc ci szybko się wzmocnić!
- Optymalizacja Pakietów Gangu: Przestawione listy prezentów i dodane przypomnienia o wygaśnięciu prezentów!
- Ulepszenia Wydarzeń Gangu: Wydarzenie Atak na Szaloną Gigamałpę teraz zawiera ulepszone wskazówki i zoptymalizowane wartości – możesz dołączyć także na innych planetach!
- Ulepszenia Rajdów: Dodano automatyczne powiadomienia o niepowodzeniu rajdu, a oficerowie gangu R4 mogą teraz rozwiązywać rajdy!
- Ulepszenie Stacji Pierwszej Pomocy: Ulepszone metody leczenia pozwalają na użycie punktów regeneracji i leczenie rannych żołnierzy!
- Ulepszenia Podziemi: Ulepszone Podziemne Przygody, zwiększone nagrody, ulepszone wzmocnienia i ogólnie lepsze doświadczenie!
- Ulepszenie Miejsca Testowego Sprzętu: Zmniejszono liczbę Kart Szybkiej Akcji, aby więcej graczy mogło cieszyć się!</v>
      </c>
      <c r="P64" s="168" t="str">
        <f>IFERROR(__xludf.DUMMYFUNCTION("""COMPUTED_VALUE"""),"- مقاتل جديد: قائد المدفعية – كورسيكا. قائد على عربة مدفع، يقود بقلب الأسد!
- مقتنيات جديدة: تقديم 8 مجموعات جديدة من المقتنيات الحمراء التي تشمل الطيارين، الضاربين، الرماة، وكسارات الجدران!
- شجرة مواهب جديدة: المعركة النهائية – عزز قوتك النارية في الدائ"&amp;"رة النهائية! تقدم كأجرأ قائد في المعركة!
- تمثال مقاتل جديد: فيرونيكا – أضف لمسة من التألق إلى مدينتك!
- مهنة جديدة: سفينة الأم الأرضية، قادرة على نشر القوات الاحتياطية للمعارك المستمرة!
- حزمة إنجاز قوة الطيار الجديدة: اجعل قوة طيارك تحلق!
- أحداث أسبوع "&amp;"التقنية الجديدة:
مجموعة جلود المدينة: رحلة بين النجوم! انطلق في رحلة أسطورية لغزو الكون!
توهج ضوء النجوم: اغمر نفسك في الحدث الأساسي لفتح جلد رحلة بين النجوم! بالإضافة إلى ذلك، استمتع بحزمة صفقة مجموعة القرد مع التعبئة – كلما اشتريت أكثر، زاد الخصم!
حفر ا"&amp;"لأنقاض: ابدأ حدث أسبوع التقنية، استخدم مجرفتك للفوز بجوائز فاخرة، بما في ذلك جلد سفينة فضاء حصري لأسبوع التقنية!
رحلة النجوم: أنفق كرات الطاقة بين النجوم لسحب الجوائز وجمع أجزاء جلد السفينة الفضائية!
اختراق الطاقة: اجمع حلقات الطاقة لرفع مستوى الحدث واحصل"&amp;" على فرصة لانتزاع تأثير مسيرة متطور – حزام التنبيه السيبراني!
مسابقة التقنية: احتفل بالمهرجان بشراء ثلاث حزم متطابقة للحصول على واحدة إضافية مجانًا!
هدايا التقنية: اجمع الشحنات لكسب لكر الميكا!
تجميع التقنية: اجمع وقم بتجميع أجزاء أسبوع التقنية للمطالبة ب"&amp;"جوائز الزينة الاحتفالية!
كنوز التقنية: اشترِ حزمًا خاصة واحصل على خصومات إضافية مع هدايا فاخرة!
آلة القاشا التقنية: عادت آلة القاشا الاحتفالية – استخدم الإمدادات لتدوير الجوائز المفاجئة!
- أحداث الذكرى السنوية الـ300 للسيرفر الجديد:
القرد من أجل التطوير: "&amp;"تسارع جميع القرود! استمتع بالكثير من المكافآت المجانية وتقليل أوقات البناء والبحث!
تخفيضات العودة الملحمية: عودة القيمة المحسنة مع خصومات ضخمة!
تبادل الرفاهية: أكمل خطة التقدم لكسب قسائم التطوير – استبدلها بحزمك المفضلة!
الهجوم السريع: احصل على الكثير من "&amp;"مواد الترقية وعزز سيارتك السباقية لزيادة قوتك بسرعة!
صيد الكنوز: استخدم مفتاح الكنز لفتح الصندوق النهائي!
تخفيضات لمدة سبعة أيام: موضوع جديد كل يوم لمساعدتك على رفع قوتك بسرعة!
- تحسين حزمة العصابة: إعادة ترتيب قوائم الهدايا وإضافة تذكيرات بانتهاء صلاحية "&amp;"الهدايا!
- تحسينات حدث العصابة: حدث الهجوم على القرد العملاق المجنون الآن يتميز بإرشادات محسنة وقيم محسنة – ويمكنك الانضمام على كواكب أخرى أيضًا!
- تحسينات الحشد: إضافة تنبيهات فشل الحشد التلقائي، بالإضافة إلى أن ضباط العصابة R4 يمكنهم الآن تفكيك الحشود!
"&amp;"- ترقية محطة الإسعافات الأولية: طرق شفاء محسنة تتيح لك استخدام نقاط الاستعادة والجنود المصابين للعلاج!
- تحسينات تحت الأرض: مغامرات تحت الأرض محسنة، مكافآت معززة، تعزيزات محسنة، وتجربة أفضل بشكل عام!
- تحسين موقع اختبار المعدات: تقليل عدد بطاقات العمل الس"&amp;"ريع حتى يتمكن المزيد من اللاعبين من الاستمتاع!")</f>
        <v>- مقاتل جديد: قائد المدفعية – كورسيكا. قائد على عربة مدفع، يقود بقلب الأسد!
- مقتنيات جديدة: تقديم 8 مجموعات جديدة من المقتنيات الحمراء التي تشمل الطيارين، الضاربين، الرماة، وكسارات الجدران!
- شجرة مواهب جديدة: المعركة النهائية – عزز قوتك النارية في الدائرة النهائية! تقدم كأجرأ قائد في المعركة!
- تمثال مقاتل جديد: فيرونيكا – أضف لمسة من التألق إلى مدينتك!
- مهنة جديدة: سفينة الأم الأرضية، قادرة على نشر القوات الاحتياطية للمعارك المستمرة!
- حزمة إنجاز قوة الطيار الجديدة: اجعل قوة طيارك تحلق!
- أحداث أسبوع التقنية الجديدة:
مجموعة جلود المدينة: رحلة بين النجوم! انطلق في رحلة أسطورية لغزو الكون!
توهج ضوء النجوم: اغمر نفسك في الحدث الأساسي لفتح جلد رحلة بين النجوم! بالإضافة إلى ذلك، استمتع بحزمة صفقة مجموعة القرد مع التعبئة – كلما اشتريت أكثر، زاد الخصم!
حفر الأنقاض: ابدأ حدث أسبوع التقنية، استخدم مجرفتك للفوز بجوائز فاخرة، بما في ذلك جلد سفينة فضاء حصري لأسبوع التقنية!
رحلة النجوم: أنفق كرات الطاقة بين النجوم لسحب الجوائز وجمع أجزاء جلد السفينة الفضائية!
اختراق الطاقة: اجمع حلقات الطاقة لرفع مستوى الحدث واحصل على فرصة لانتزاع تأثير مسيرة متطور – حزام التنبيه السيبراني!
مسابقة التقنية: احتفل بالمهرجان بشراء ثلاث حزم متطابقة للحصول على واحدة إضافية مجانًا!
هدايا التقنية: اجمع الشحنات لكسب لكر الميكا!
تجميع التقنية: اجمع وقم بتجميع أجزاء أسبوع التقنية للمطالبة بجوائز الزينة الاحتفالية!
كنوز التقنية: اشترِ حزمًا خاصة واحصل على خصومات إضافية مع هدايا فاخرة!
آلة القاشا التقنية: عادت آلة القاشا الاحتفالية – استخدم الإمدادات لتدوير الجوائز المفاجئة!
- أحداث الذكرى السنوية الـ300 للسيرفر الجديد:
القرد من أجل التطوير: تسارع جميع القرود! استمتع بالكثير من المكافآت المجانية وتقليل أوقات البناء والبحث!
تخفيضات العودة الملحمية: عودة القيمة المحسنة مع خصومات ضخمة!
تبادل الرفاهية: أكمل خطة التقدم لكسب قسائم التطوير – استبدلها بحزمك المفضلة!
الهجوم السريع: احصل على الكثير من مواد الترقية وعزز سيارتك السباقية لزيادة قوتك بسرعة!
صيد الكنوز: استخدم مفتاح الكنز لفتح الصندوق النهائي!
تخفيضات لمدة سبعة أيام: موضوع جديد كل يوم لمساعدتك على رفع قوتك بسرعة!
- تحسين حزمة العصابة: إعادة ترتيب قوائم الهدايا وإضافة تذكيرات بانتهاء صلاحية الهدايا!
- تحسينات حدث العصابة: حدث الهجوم على القرد العملاق المجنون الآن يتميز بإرشادات محسنة وقيم محسنة – ويمكنك الانضمام على كواكب أخرى أيضًا!
- تحسينات الحشد: إضافة تنبيهات فشل الحشد التلقائي، بالإضافة إلى أن ضباط العصابة R4 يمكنهم الآن تفكيك الحشود!
- ترقية محطة الإسعافات الأولية: طرق شفاء محسنة تتيح لك استخدام نقاط الاستعادة والجنود المصابين للعلاج!
- تحسينات تحت الأرض: مغامرات تحت الأرض محسنة، مكافآت معززة، تعزيزات محسنة، وتجربة أفضل بشكل عام!
- تحسين موقع اختبار المعدات: تقليل عدد بطاقات العمل السريع حتى يتمكن المزيد من اللاعبين من الاستمتاع!</v>
      </c>
      <c r="Q64" s="168" t="str">
        <f>IFERROR(__xludf.DUMMYFUNCTION("""COMPUTED_VALUE"""),"- 新しいファイター: キャノン指揮官 – コルシカ。ライオンの心を持ち、キャノンカートの上に立つ指揮官！
- 新しい遺物: パイロット、アタッカー、シューター、テクニカルを特徴とする8つの新しい赤い遺物セットを紹介！
- 新しいアビリティツリー: 最終決戦 – 最終サークルで火力を強化！決戦で最も大胆な指揮官としてステップアップ！
- 新しいファイターの像: ヴェロニカ – あなたの都市に輝きを追加！
- 新しいキャリア: 地上母船、持続的な戦闘のために予備ユニットを配備可能！
- 新しいパイロット戦力"&amp;"達成度パック: パイロットの戦力を急上昇させよう！
- 新しいテックウィークイベント:
都市スキンセット: 星間航海！宇宙を征服する伝説の旅に出発しよう！
スターライトグロー: コアイベントに飛び込んで星間航海スキンをアンロック！さらに、エイプグループバーゲンパックをトップアップで楽しもう – 買えば買うほど割引が大きくなる！
遺跡探索: テックウィークイベントを開始し、シャベルを使って豪華な賞品を獲得しよう、限定のテックウィーク宇宙船スキンを含む！
星間航海: 星間エナジーオーブを使って報酬を抽選し、宇"&amp;"宙船スキンパーツを収集しよう！
エナジー限界突破: エナジーリングを収集してイベントをレベルアップし、最先端の行軍エフェクト – サイバー警戒ベルトを手に入れるチャンスをつかもう！
テックギブアウェイ: 同じパックを3つ購入して1つ無料でゲットしてお祝いしよう！
テックギフト: 充電を積み重ねてメカ漆製品を獲得しよう！
テック組立: テックウィークパーツを収集して組み立て、祭りの装飾報酬を獲得しよう！
テック宝物: 特別パックを購入してボーナス割引と豪華なギフトを手に入れよう！
テックガチャマシン: 祭り"&amp;"のガチャマシンが戻ってきた – 物資を使ってサプライズ報酬を回そう！
- 新しいサーバー300日記念イベント:
成長のためのエイプ: すべてのエイプが加速！たくさんの無料報酬と建設および研究時間の短縮を楽しもう！
エピックカムバックセール: 大規模なリベートで価値がアップグレード！
福祉交換: 成長バウチャーを獲得するために進行計画を完了し、お気に入りのパックと交換しよう！
スピードブリッツ: たくさんのアップグレード素材を手に入れ、レースカーを強化して戦力を素早くブーストしよう！
宝探しの旅: 宝探しの"&amp;"鍵を使って究極の宝箱をアンロックしよう！
7日間セール: 毎日新しいテーマで素早く戦力をアップしよう！
- ギルドパックの最適化: ギフトリストの並べ替えとギフトの有効期限リマインダーを追加！
- ギルドイベントの強化: マッドギガント攻撃イベントに改善されたガイダンスと最適化された値を追加 – 他の惑星でも参加可能！
- レイドの改善: 自動レイド失敗アラートを追加し、R4ギルドオフィサーがレイドを解散できるように！
- 応急処置所のアップグレード: 強化された治療方法により、回復ポイントと負傷兵を使用"&amp;"して治療可能！
- サブテラの強化: 地下冒険のアップグレード、報酬の強化、バフの洗練、全体的な体験の向上！
- 装備性能試験場の強化: より多くのプレイヤーが楽しめるようにラピッドアクションカードの数を減少！")</f>
        <v>- 新しいファイター: キャノン指揮官 – コルシカ。ライオンの心を持ち、キャノンカートの上に立つ指揮官！
- 新しい遺物: パイロット、アタッカー、シューター、テクニカルを特徴とする8つの新しい赤い遺物セットを紹介！
- 新しいアビリティツリー: 最終決戦 – 最終サークルで火力を強化！決戦で最も大胆な指揮官としてステップアップ！
- 新しいファイターの像: ヴェロニカ – あなたの都市に輝きを追加！
- 新しいキャリア: 地上母船、持続的な戦闘のために予備ユニットを配備可能！
- 新しいパイロット戦力達成度パック: パイロットの戦力を急上昇させよう！
- 新しいテックウィークイベント:
都市スキンセット: 星間航海！宇宙を征服する伝説の旅に出発しよう！
スターライトグロー: コアイベントに飛び込んで星間航海スキンをアンロック！さらに、エイプグループバーゲンパックをトップアップで楽しもう – 買えば買うほど割引が大きくなる！
遺跡探索: テックウィークイベントを開始し、シャベルを使って豪華な賞品を獲得しよう、限定のテックウィーク宇宙船スキンを含む！
星間航海: 星間エナジーオーブを使って報酬を抽選し、宇宙船スキンパーツを収集しよう！
エナジー限界突破: エナジーリングを収集してイベントをレベルアップし、最先端の行軍エフェクト – サイバー警戒ベルトを手に入れるチャンスをつかもう！
テックギブアウェイ: 同じパックを3つ購入して1つ無料でゲットしてお祝いしよう！
テックギフト: 充電を積み重ねてメカ漆製品を獲得しよう！
テック組立: テックウィークパーツを収集して組み立て、祭りの装飾報酬を獲得しよう！
テック宝物: 特別パックを購入してボーナス割引と豪華なギフトを手に入れよう！
テックガチャマシン: 祭りのガチャマシンが戻ってきた – 物資を使ってサプライズ報酬を回そう！
- 新しいサーバー300日記念イベント:
成長のためのエイプ: すべてのエイプが加速！たくさんの無料報酬と建設および研究時間の短縮を楽しもう！
エピックカムバックセール: 大規模なリベートで価値がアップグレード！
福祉交換: 成長バウチャーを獲得するために進行計画を完了し、お気に入りのパックと交換しよう！
スピードブリッツ: たくさんのアップグレード素材を手に入れ、レースカーを強化して戦力を素早くブーストしよう！
宝探しの旅: 宝探しの鍵を使って究極の宝箱をアンロックしよう！
7日間セール: 毎日新しいテーマで素早く戦力をアップしよう！
- ギルドパックの最適化: ギフトリストの並べ替えとギフトの有効期限リマインダーを追加！
- ギルドイベントの強化: マッドギガント攻撃イベントに改善されたガイダンスと最適化された値を追加 – 他の惑星でも参加可能！
- レイドの改善: 自動レイド失敗アラートを追加し、R4ギルドオフィサーがレイドを解散できるように！
- 応急処置所のアップグレード: 強化された治療方法により、回復ポイントと負傷兵を使用して治療可能！
- サブテラの強化: 地下冒険のアップグレード、報酬の強化、バフの洗練、全体的な体験の向上！
- 装備性能試験場の強化: より多くのプレイヤーが楽しめるようにラピッドアクションカードの数を減少！</v>
      </c>
      <c r="R64" s="168" t="str">
        <f>IFERROR(__xludf.DUMMYFUNCTION("""COMPUTED_VALUE"""),"- 새로운 전사: 캐넌 지휘관 – 코르시카. 캐넌 카트 위에 있는 지휘관, 사자의 심장으로 이끕니다!
- 새로운 유물: 폭주족, 방망이꾼, 사수, 공성차를 특징으로 하는 8개의 새로운 레드 유물 세트 소개!
- 새로운 재능 트리: 최종 결전 – 최종 원에서 화력을 강화하세요! 결전에서 가장 대담한 지휘관으로 나서세요!
- 새로운 전사 석상: 베로니카 – 당신의 도시에 화려함을 더하세요!
- 새로운 캐리어: 지상 모선, 지속적인 전투를 위해 예비 "&amp;"유닛을 배치할 수 있습니다!
- 새로운 파일럿 전투력 성과 패키지: 파일럿 전투력을 높이세요!
- 새로운 기술 주간 이벤트:
도시 스킨 세트: 성간 항해! 전 우주를 정복하기 위한 전설적인 여정을 시작하세요!
별빛 발광: 핵심 이벤트에 참여하여 성간 항해 스킨을 잠금 해제하세요! 또한, 원숭이 그룹 특가 패키지를 충전과 함께 즐기세요 – 많이 구매할수록 할인율이 커집니다!
유적 탐사: 기술 주간 이벤트를 시작하고, 삽을 사용하여 독점적인 기술 "&amp;"주간 우주선 스킨을 포함한 호화로운 상품을 획득하세요!
스텔라 여정: 별의 에너지 구슬을 사용하여 보상을 뽑고 우주선 스킨 부품을 수집하세요!
에너지원 대발견: 에너지 링을 수집하여 이벤트를 레벨 업하고 사이버 경계 벨트와 같은 최첨단 행군 이펙트를 획득할 기회를 잡으세요!
기술 증정: 동일한 패키지를 세 개 구매하여 하나를 추가로 무료로 받으며 축제를 기념하세요!
기술 선물: 충전을 누적하여 메카 래커를 획득하세요!
기술 조립: 기술 주간 부"&amp;"품을 모아 조립하여 축제 장식 보상을 청구하세요!
기술 보물: 특별 패키지를 구매하고 보너스 할인과 함께 호화로운 선물을 받으세요!
기술 가챠 머신: 축제 가챠 머신이 돌아왔습니다 – 보급품을 사용하여 깜짝 보상을 뽑으세요!
- 새로운 서버 300일 기념 이벤트:
성장을 위한 원숭이: 모든 원숭이 가속! 많은 무료 보상과 건설 및 연구 시간 단축을 즐기세요!
영웅적인 복귀 세일: 대규모 리베이트와 함께 업그레이드된 가치가 돌아왔습니다!
복지 "&amp;"교환: 진보 계획을 완료하여 성장 증명서를 획득하고, 이를 좋아하는 패키지로 교환하세요!
속도 번개 작전: 많은 업그레이드 재료를 획득하고 레이스 카를 강화하여 전투력을 빠르게 높이세요!
보물찾기 여행: 보물 열쇠를 사용하여 궁극의 상자를 잠금 해제하세요!
7일 세일: 매일 새로운 테마로 빠르게 파워 업하세요!
- 갱 패키지 최적화: 선물 목록 재정렬 및 선물 만료 알림 추가!
- 갱 프로젝트 향상: 미친 변이 원숭이 공격 이벤트에 개선된 안내"&amp;"와 최적화된 값이 추가되었으며, 다른 행성에서도 참여할 수 있습니다!
- 집결 개선: 자동 집결 실패 알림 추가, R4 갱 장교가 이제 집결을 해산할 수 있습니다!
- 응급 처치소 업그레이드: 강화된 치유 방법으로 회복 포인트와 부상 병사를 사용하여 치료할 수 있습니다!
- 지하 모험 향상: 업그레이드된 지하 모험, 보상 강화, 정제된 버프, 전반적인 더 나은 경험!
- 장비 시험장 향상: 더 많은 플레이어가 즐길 수 있도록 신속 행동 카드 수 "&amp;"감소!")</f>
        <v>- 새로운 전사: 캐넌 지휘관 – 코르시카. 캐넌 카트 위에 있는 지휘관, 사자의 심장으로 이끕니다!
- 새로운 유물: 폭주족, 방망이꾼, 사수, 공성차를 특징으로 하는 8개의 새로운 레드 유물 세트 소개!
- 새로운 재능 트리: 최종 결전 – 최종 원에서 화력을 강화하세요! 결전에서 가장 대담한 지휘관으로 나서세요!
- 새로운 전사 석상: 베로니카 – 당신의 도시에 화려함을 더하세요!
- 새로운 캐리어: 지상 모선, 지속적인 전투를 위해 예비 유닛을 배치할 수 있습니다!
- 새로운 파일럿 전투력 성과 패키지: 파일럿 전투력을 높이세요!
- 새로운 기술 주간 이벤트:
도시 스킨 세트: 성간 항해! 전 우주를 정복하기 위한 전설적인 여정을 시작하세요!
별빛 발광: 핵심 이벤트에 참여하여 성간 항해 스킨을 잠금 해제하세요! 또한, 원숭이 그룹 특가 패키지를 충전과 함께 즐기세요 – 많이 구매할수록 할인율이 커집니다!
유적 탐사: 기술 주간 이벤트를 시작하고, 삽을 사용하여 독점적인 기술 주간 우주선 스킨을 포함한 호화로운 상품을 획득하세요!
스텔라 여정: 별의 에너지 구슬을 사용하여 보상을 뽑고 우주선 스킨 부품을 수집하세요!
에너지원 대발견: 에너지 링을 수집하여 이벤트를 레벨 업하고 사이버 경계 벨트와 같은 최첨단 행군 이펙트를 획득할 기회를 잡으세요!
기술 증정: 동일한 패키지를 세 개 구매하여 하나를 추가로 무료로 받으며 축제를 기념하세요!
기술 선물: 충전을 누적하여 메카 래커를 획득하세요!
기술 조립: 기술 주간 부품을 모아 조립하여 축제 장식 보상을 청구하세요!
기술 보물: 특별 패키지를 구매하고 보너스 할인과 함께 호화로운 선물을 받으세요!
기술 가챠 머신: 축제 가챠 머신이 돌아왔습니다 – 보급품을 사용하여 깜짝 보상을 뽑으세요!
- 새로운 서버 300일 기념 이벤트:
성장을 위한 원숭이: 모든 원숭이 가속! 많은 무료 보상과 건설 및 연구 시간 단축을 즐기세요!
영웅적인 복귀 세일: 대규모 리베이트와 함께 업그레이드된 가치가 돌아왔습니다!
복지 교환: 진보 계획을 완료하여 성장 증명서를 획득하고, 이를 좋아하는 패키지로 교환하세요!
속도 번개 작전: 많은 업그레이드 재료를 획득하고 레이스 카를 강화하여 전투력을 빠르게 높이세요!
보물찾기 여행: 보물 열쇠를 사용하여 궁극의 상자를 잠금 해제하세요!
7일 세일: 매일 새로운 테마로 빠르게 파워 업하세요!
- 갱 패키지 최적화: 선물 목록 재정렬 및 선물 만료 알림 추가!
- 갱 프로젝트 향상: 미친 변이 원숭이 공격 이벤트에 개선된 안내와 최적화된 값이 추가되었으며, 다른 행성에서도 참여할 수 있습니다!
- 집결 개선: 자동 집결 실패 알림 추가, R4 갱 장교가 이제 집결을 해산할 수 있습니다!
- 응급 처치소 업그레이드: 강화된 치유 방법으로 회복 포인트와 부상 병사를 사용하여 치료할 수 있습니다!
- 지하 모험 향상: 업그레이드된 지하 모험, 보상 강화, 정제된 버프, 전반적인 더 나은 경험!
- 장비 시험장 향상: 더 많은 플레이어가 즐길 수 있도록 신속 행동 카드 수 감소!</v>
      </c>
      <c r="S64" s="168" t="str">
        <f>IFERROR(__xludf.DUMMYFUNCTION("""COMPUTED_VALUE"""),"-新增斗士：炮火统帅-科西嘉，操纵炮火的指挥官，拥有雄狮之心的领袖！
-新增收藏品：新增8套突击手、打击手、射击手、攻城车属性相关红色收藏品；
-新增天赋树：决战，在最终关卡圈内提升火力的天赋！去担任决战区域最勇猛的指挥官吧！
-新增斗士雕像：维罗妮卡，来为你的城市增添更多光彩吧！
-新增战车：陆行母舰，可携带预备部队出征，持续作战！
-新增机师战力成就礼包：机师战力冲冲冲！
-新增科技节活动：
城市外观套装：星际穿越！踏上征服宇宙的传奇之旅！
星际之光：获取星际穿越外观的核心活动！还可通过储值获得猩球团"&amp;"购礼包折扣！买得多，折扣多！
遗迹探索：科技节活动开启，使用工具铲，赢取豪华大奖，更有科技节飞船套装新皮肤等你来拿！
星间旅行：使用星际能量球抽取奖励，收集飞船皮肤部件！
能源大飞跃：收集聚能环，提升活动等级，有机会获取全新行军特效-赛博警戒带！
科技赠礼：迎接科技庆典，买满三个相同礼包，可额外再获赠一个！
科技豪礼：累计储值豪礼相送，获取丰厚奖励及特殊机甲染色涂装！
科技拼装：拼装科技节零件，获得节日装饰奖励！
科技秘宝：购买特殊秘宝礼包，更有折扣豪礼相送！
科技扭蛋机：节日扭蛋机再次营业，消耗猩球物资"&amp;"，开启幸运扭蛋，获得惊喜好礼！
-新增服务器开服300天活动：
成长总动猿：全猿加速，超多免费奖励，城建科研时间免费减免！
超值回馈返场：超值回馈升级！返利多多！
福利兑换：完成进阶计划，获得成长福利券！兑换你喜欢的礼包！
极速狂飙：获得大量养成材料，升级赛车！助你快速提升实力！
寻宝之旅：使用秘宝之钥，开启终极宝藏吧！
七日特卖：每天一个主题！快速提升实力！
-帮派礼包优化：优化了礼物的顺序，同时增加了礼物过期时间的提示；
-帮派活动优化：进攻疯狂巨猿活动增加活动引导，优化数值体验，在其他星球也可以进行"&amp;"该活动了；
-集结优化：增加自动集结失败提示，允许帮派R4官员解散集结；
-生命监护站优化：生命监护站治疗方式优化，可以消耗康复点与濒死士兵来进行治愈；
-地下世界优化：地下世界奇遇内容优化，增加奖励，优化buff，提升体验！
-战装试炼优化：优化了战装试炼扫荡需要消耗的扫荡券数量，让更多玩家可以体验该项服务。")</f>
        <v>-新增斗士：炮火统帅-科西嘉，操纵炮火的指挥官，拥有雄狮之心的领袖！
-新增收藏品：新增8套突击手、打击手、射击手、攻城车属性相关红色收藏品；
-新增天赋树：决战，在最终关卡圈内提升火力的天赋！去担任决战区域最勇猛的指挥官吧！
-新增斗士雕像：维罗妮卡，来为你的城市增添更多光彩吧！
-新增战车：陆行母舰，可携带预备部队出征，持续作战！
-新增机师战力成就礼包：机师战力冲冲冲！
-新增科技节活动：
城市外观套装：星际穿越！踏上征服宇宙的传奇之旅！
星际之光：获取星际穿越外观的核心活动！还可通过储值获得猩球团购礼包折扣！买得多，折扣多！
遗迹探索：科技节活动开启，使用工具铲，赢取豪华大奖，更有科技节飞船套装新皮肤等你来拿！
星间旅行：使用星际能量球抽取奖励，收集飞船皮肤部件！
能源大飞跃：收集聚能环，提升活动等级，有机会获取全新行军特效-赛博警戒带！
科技赠礼：迎接科技庆典，买满三个相同礼包，可额外再获赠一个！
科技豪礼：累计储值豪礼相送，获取丰厚奖励及特殊机甲染色涂装！
科技拼装：拼装科技节零件，获得节日装饰奖励！
科技秘宝：购买特殊秘宝礼包，更有折扣豪礼相送！
科技扭蛋机：节日扭蛋机再次营业，消耗猩球物资，开启幸运扭蛋，获得惊喜好礼！
-新增服务器开服300天活动：
成长总动猿：全猿加速，超多免费奖励，城建科研时间免费减免！
超值回馈返场：超值回馈升级！返利多多！
福利兑换：完成进阶计划，获得成长福利券！兑换你喜欢的礼包！
极速狂飙：获得大量养成材料，升级赛车！助你快速提升实力！
寻宝之旅：使用秘宝之钥，开启终极宝藏吧！
七日特卖：每天一个主题！快速提升实力！
-帮派礼包优化：优化了礼物的顺序，同时增加了礼物过期时间的提示；
-帮派活动优化：进攻疯狂巨猿活动增加活动引导，优化数值体验，在其他星球也可以进行该活动了；
-集结优化：增加自动集结失败提示，允许帮派R4官员解散集结；
-生命监护站优化：生命监护站治疗方式优化，可以消耗康复点与濒死士兵来进行治愈；
-地下世界优化：地下世界奇遇内容优化，增加奖励，优化buff，提升体验！
-战装试炼优化：优化了战装试炼扫荡需要消耗的扫荡券数量，让更多玩家可以体验该项服务。</v>
      </c>
      <c r="T64" s="148"/>
      <c r="U64" s="148"/>
      <c r="V64" s="148"/>
      <c r="W64" s="148"/>
      <c r="X64" s="148"/>
      <c r="Y64" s="148"/>
      <c r="Z64" s="148"/>
    </row>
    <row r="65">
      <c r="A65" s="167" t="str">
        <f>IFERROR(__xludf.DUMMYFUNCTION("""COMPUTED_VALUE"""),"0.74.0")</f>
        <v>0.74.0</v>
      </c>
      <c r="B65" s="148" t="str">
        <f>IFERROR(__xludf.DUMMYFUNCTION("""COMPUTED_VALUE"""),"-新增斗士：新的斗士类型——参谋！电磁导师-金教授，睿智而和蔼的教授，桃李满天下的导师！
-新增斗士雕像：诺亚，来为你的城市增添更多光彩吧！
-新增机甲皮肤：猎豹皮肤-剑齿凶兽，经过猿族改装，猎豹机甲大幅提高了攻击效率，蕴含着原始的力量，凶暴而矫捷。
-决战卫星之巅联赛增加了竞猜玩法，期待下一次联赛的到来吧！
-新增彩蛋节活动
彩蛋庆典：收集节日骰子参与彩蛋之旅，组装彩蛋节限定装饰物，获取丰厚奖励。更有彩蛋庆典纪念照片赠送！                                         "&amp;"                                                  
彩蛋之旅：参加彩蛋节活动获取节日骰子，游玩活动即可获取装饰物组件和丰厚奖励！
彩蛋收集：广邀好友，集齐装饰物组件获取限定活动奖励！
彩蛋节派对：活动时间延长，奖励升级！彩蛋节限定行军皮肤等你来拿！
彩蛋签到：每日签到，领取彩蛋节限定活动奖励，免费获取传说领袖斗士-艾玛！
全猿帮购：邀请指挥官砍价，获得最大的购买优惠，帮助其他指挥官砍价还可以获得砍价谢礼！
炫彩悦动：节日限定行军特效-炫彩悦动限时返场！
折"&amp;"扣连锁：上半年最强折扣连锁，消费额度越大折扣越大！
彩蛋节回馈：超值回馈，限时折扣券派送中！
彩蛋轮盘：购买礼包，获取开启轮盘的机会，赢取多倍返利！
-全面抵御优化：优化了挑战等级和波次的信息显示。
-收藏品优化：收藏品展览柜增加了气泡提示和自动保养功能。
-行军队列优化：提高了默认选中空闲部队的优先级。
-战装优化：各界面增加筛选功能。
-地下探宝优化：优化了通关奖励界面显示，以及前往好友地铁时的界面显示。
-地下世界优化：服务器开启6个月后，清除原猩球地图中心的地震机。
-新闻优化：增加了前一日重大新"&amp;"闻的图文版汇总，每日首次登录时进行放送。
-最强猴子优化：实力对抗阶段的部分积分和奖励调整。")</f>
        <v>-新增斗士：新的斗士类型——参谋！电磁导师-金教授，睿智而和蔼的教授，桃李满天下的导师！
-新增斗士雕像：诺亚，来为你的城市增添更多光彩吧！
-新增机甲皮肤：猎豹皮肤-剑齿凶兽，经过猿族改装，猎豹机甲大幅提高了攻击效率，蕴含着原始的力量，凶暴而矫捷。
-决战卫星之巅联赛增加了竞猜玩法，期待下一次联赛的到来吧！
-新增彩蛋节活动
彩蛋庆典：收集节日骰子参与彩蛋之旅，组装彩蛋节限定装饰物，获取丰厚奖励。更有彩蛋庆典纪念照片赠送！                                                                                           
彩蛋之旅：参加彩蛋节活动获取节日骰子，游玩活动即可获取装饰物组件和丰厚奖励！
彩蛋收集：广邀好友，集齐装饰物组件获取限定活动奖励！
彩蛋节派对：活动时间延长，奖励升级！彩蛋节限定行军皮肤等你来拿！
彩蛋签到：每日签到，领取彩蛋节限定活动奖励，免费获取传说领袖斗士-艾玛！
全猿帮购：邀请指挥官砍价，获得最大的购买优惠，帮助其他指挥官砍价还可以获得砍价谢礼！
炫彩悦动：节日限定行军特效-炫彩悦动限时返场！
折扣连锁：上半年最强折扣连锁，消费额度越大折扣越大！
彩蛋节回馈：超值回馈，限时折扣券派送中！
彩蛋轮盘：购买礼包，获取开启轮盘的机会，赢取多倍返利！
-全面抵御优化：优化了挑战等级和波次的信息显示。
-收藏品优化：收藏品展览柜增加了气泡提示和自动保养功能。
-行军队列优化：提高了默认选中空闲部队的优先级。
-战装优化：各界面增加筛选功能。
-地下探宝优化：优化了通关奖励界面显示，以及前往好友地铁时的界面显示。
-地下世界优化：服务器开启6个月后，清除原猩球地图中心的地震机。
-新闻优化：增加了前一日重大新闻的图文版汇总，每日首次登录时进行放送。
-最强猴子优化：实力对抗阶段的部分积分和奖励调整。</v>
      </c>
      <c r="C65" s="148" t="str">
        <f>IFERROR(__xludf.DUMMYFUNCTION("""COMPUTED_VALUE"""),"- New Fighter Added: Introducing a brand-new fighter type—the Staff Officer! Professor Kim, the Electromagnetic Mentor, is a wise and kindly mentor whose teachings have flourished far and wide!
- New Fighter Statue: Noah. Add more brilliance to your city!"&amp;"
- New Mech Skin Added: Cheetah Skin – Bladejaw Beast. Upgraded by the Apes, this cheetah mech dramatically boosts attack efficiency with raw power and fierce agility.
- Astral Coliseum now features prediction gameplay. Get excited for the next showdown!
"&amp;"- New Lucky Egg Event
Lucky Egg Celebration: Collect Roaming Dice to join the Roaming Adventure, assemble exclusive festival decorations, and earn generous rewards. Plus, snag a commemorative celebration photo!
Roaming Adventure: Join the Lucky Egg Festiv"&amp;"al, grab festive dice, and enjoy the event to earn decoration parts and rich rewards!
Lucky Egg Collection: Rally your friends to gather all decoration components and unlock exclusive event prizes!
Lucky Egg Party: Extended event time and upgraded rewards"&amp;"—festival-exclusive marching skins await!
Lucky Egg Sign-In: Daily sign-ins to claim limited-edition festival rewards and receive a free Legendary Fighter—Emma!
Group Buy: Invite commanders to bargain for the best discounts. Help others save and earn spec"&amp;"ial thank-you gifts in return!
Color Melody: Limited-time return of the festival-exclusive march effect—Color Melody is back!
Discount Chain: The strongest discount chain of the first half of the year—spend more to save more!
Lucky Egg Festival Giveback: "&amp;"Incredible value with limited-time discount coupons on offer!
Lucky Streak: Purchase a gift pack for a chance to spin the wheel and win multiple rebates!
- Total Resist Upgrade: Enhanced display of challenge levels and wave details.
- Relics Upgrade: The "&amp;"showcase now features bubble tips and auto-maintenance functions.
- Marching Queue Optimization: Idle troops are now prioritized for selection by default.
- Equipment Optimization: Filtering options have been added across all screens.
- Treasure Dig Upgra"&amp;"de: Improved reward display and friend subway interface during level completion.
- Subterra Update: After six months of server operation, the earthquaker has been removed from the center of the original map.
- News Upgrade: Now featuring a pictorial summa"&amp;"ry of the previous day's major news, broadcast at first login.
- Ultimate Monkey Update: Adjustments have been made to certain points and rewards during the ultimate showdown.")</f>
        <v>- New Fighter Added: Introducing a brand-new fighter type—the Staff Officer! Professor Kim, the Electromagnetic Mentor, is a wise and kindly mentor whose teachings have flourished far and wide!
- New Fighter Statue: Noah. Add more brilliance to your city!
- New Mech Skin Added: Cheetah Skin – Bladejaw Beast. Upgraded by the Apes, this cheetah mech dramatically boosts attack efficiency with raw power and fierce agility.
- Astral Coliseum now features prediction gameplay. Get excited for the next showdown!
- New Lucky Egg Event
Lucky Egg Celebration: Collect Roaming Dice to join the Roaming Adventure, assemble exclusive festival decorations, and earn generous rewards. Plus, snag a commemorative celebration photo!
Roaming Adventure: Join the Lucky Egg Festival, grab festive dice, and enjoy the event to earn decoration parts and rich rewards!
Lucky Egg Collection: Rally your friends to gather all decoration components and unlock exclusive event prizes!
Lucky Egg Party: Extended event time and upgraded rewards—festival-exclusive marching skins await!
Lucky Egg Sign-In: Daily sign-ins to claim limited-edition festival rewards and receive a free Legendary Fighter—Emma!
Group Buy: Invite commanders to bargain for the best discounts. Help others save and earn special thank-you gifts in return!
Color Melody: Limited-time return of the festival-exclusive march effect—Color Melody is back!
Discount Chain: The strongest discount chain of the first half of the year—spend more to save more!
Lucky Egg Festival Giveback: Incredible value with limited-time discount coupons on offer!
Lucky Streak: Purchase a gift pack for a chance to spin the wheel and win multiple rebates!
- Total Resist Upgrade: Enhanced display of challenge levels and wave details.
- Relics Upgrade: The showcase now features bubble tips and auto-maintenance functions.
- Marching Queue Optimization: Idle troops are now prioritized for selection by default.
- Equipment Optimization: Filtering options have been added across all screens.
- Treasure Dig Upgrade: Improved reward display and friend subway interface during level completion.
- Subterra Update: After six months of server operation, the earthquaker has been removed from the center of the original map.
- News Upgrade: Now featuring a pictorial summary of the previous day's major news, broadcast at first login.
- Ultimate Monkey Update: Adjustments have been made to certain points and rewards during the ultimate showdown.</v>
      </c>
      <c r="D65" s="168" t="str">
        <f>IFERROR(__xludf.DUMMYFUNCTION("""COMPUTED_VALUE"""),"- Nouveau combattant ajouté : Présentation d'un tout nouveau type de combattant—l'officier d'état-major ! Le professeur Kim, le mentor électromagnétique, est un mentor sage et bienveillant dont les enseignements se sont épanouis partout !
- Nouvelle statu"&amp;"e de combattant : Noah. Ajoutez plus d'éclat à votre ville !
- Nouvelle peau de mécha ajoutée : Peau de guépard – Bête à Mâchoires de Lame. Amélioré par les singes, ce mécha guépard augmente considérablement l'efficacité des attaques avec une puissance br"&amp;"ute et une agilité féroce.
- Le Colisée astral propose désormais un gameplay de prédiction. Préparez-vous pour le prochain affrontement !
- Nouvel événement Œuf-chance
Célébration Œuf-chance : Récupérez des dés errants pour rejoindre l'Aventure errante, f"&amp;"abriquez des décorations exclusives de festival et gagnez des récompenses généreuses. De plus, prenez une photo commémorative de la célébration !
Aventure errante : Rejoignez le Festival Œuf-chance, attrapez des dés festifs et profitez de l'événement pour"&amp;" gagner des pièces de décoration et des récompenses riches !
Collection Œuf-chance : Rassemblez vos amis pour collecter tous les composants de décoration et débloquer des prix exclusifs de l'événement !
Fête Œuf-chance : Temps de l'événement prolongé et r"&amp;"écompenses améliorées—des skins de marche exclusifs au festival vous attendent !
Connexion Œuf-chance : Connexions quotidiennes pour recevoir des récompenses de festival en édition limitée et obtenir gratuitement un combattant légendaire—Emma !
Achat de g"&amp;"roupe : Invitez des commandants à marchander pour obtenir les meilleurs rabais. Aidez les autres à économiser et gagnez des cadeaux de remerciement spéciaux en retour !
Mélodie colorée : Retour limité dans le temps de l'effet de marche exclusif au festiva"&amp;"l—Mélodie colorée est de retour !
Chaîne de rabais : La chaîne de rabais la plus forte de la première moitié de l'année—dépensez plus pour économiser plus !
Retour du Festival Œuf-chance : Valeur incroyable avec des coupons de réduction en temps limité !
"&amp;"Chance série : Achetez un pack cadeau pour avoir une chance de faire tourner la roue et de gagner plusieurs remises !
- Amélioration de la résistance totale : Affichage amélioré des niveaux de défi et des détails des vagues.
- Amélioration des reliques : "&amp;"La vitrine présente désormais des conseils en bulles et des fonctions de maintenance automatique.
- Optimisation de la file d'attente de marche : Les troupes en attente sont désormais prioritaires par défaut.
- Optimisation de l'équipement : Des options d"&amp;"e filtrage ont été ajoutées sur tous les écrans.
- Amélioration de la fouille au trésor : Affichage des récompenses amélioré et interface du métro des amis lors de la complétion des niveaux.
- Mise à jour de Subterra : Après six mois de fonctionnement du "&amp;"serveur, le trembleur de terre a été retiré du centre de la carte d'origine.
- Amélioration des actualités : Présentation d'un résumé illustré des principales nouvelles de la veille, diffusé lors de la première connexion.
- Mise à jour du Singe ultime : D"&amp;"es ajustements ont été apportés à certains points et récompenses lors de l'ultime affrontement.")</f>
        <v>- Nouveau combattant ajouté : Présentation d'un tout nouveau type de combattant—l'officier d'état-major ! Le professeur Kim, le mentor électromagnétique, est un mentor sage et bienveillant dont les enseignements se sont épanouis partout !
- Nouvelle statue de combattant : Noah. Ajoutez plus d'éclat à votre ville !
- Nouvelle peau de mécha ajoutée : Peau de guépard – Bête à Mâchoires de Lame. Amélioré par les singes, ce mécha guépard augmente considérablement l'efficacité des attaques avec une puissance brute et une agilité féroce.
- Le Colisée astral propose désormais un gameplay de prédiction. Préparez-vous pour le prochain affrontement !
- Nouvel événement Œuf-chance
Célébration Œuf-chance : Récupérez des dés errants pour rejoindre l'Aventure errante, fabriquez des décorations exclusives de festival et gagnez des récompenses généreuses. De plus, prenez une photo commémorative de la célébration !
Aventure errante : Rejoignez le Festival Œuf-chance, attrapez des dés festifs et profitez de l'événement pour gagner des pièces de décoration et des récompenses riches !
Collection Œuf-chance : Rassemblez vos amis pour collecter tous les composants de décoration et débloquer des prix exclusifs de l'événement !
Fête Œuf-chance : Temps de l'événement prolongé et récompenses améliorées—des skins de marche exclusifs au festival vous attendent !
Connexion Œuf-chance : Connexions quotidiennes pour recevoir des récompenses de festival en édition limitée et obtenir gratuitement un combattant légendaire—Emma !
Achat de groupe : Invitez des commandants à marchander pour obtenir les meilleurs rabais. Aidez les autres à économiser et gagnez des cadeaux de remerciement spéciaux en retour !
Mélodie colorée : Retour limité dans le temps de l'effet de marche exclusif au festival—Mélodie colorée est de retour !
Chaîne de rabais : La chaîne de rabais la plus forte de la première moitié de l'année—dépensez plus pour économiser plus !
Retour du Festival Œuf-chance : Valeur incroyable avec des coupons de réduction en temps limité !
Chance série : Achetez un pack cadeau pour avoir une chance de faire tourner la roue et de gagner plusieurs remises !
- Amélioration de la résistance totale : Affichage amélioré des niveaux de défi et des détails des vagues.
- Amélioration des reliques : La vitrine présente désormais des conseils en bulles et des fonctions de maintenance automatique.
- Optimisation de la file d'attente de marche : Les troupes en attente sont désormais prioritaires par défaut.
- Optimisation de l'équipement : Des options de filtrage ont été ajoutées sur tous les écrans.
- Amélioration de la fouille au trésor : Affichage des récompenses amélioré et interface du métro des amis lors de la complétion des niveaux.
- Mise à jour de Subterra : Après six mois de fonctionnement du serveur, le trembleur de terre a été retiré du centre de la carte d'origine.
- Amélioration des actualités : Présentation d'un résumé illustré des principales nouvelles de la veille, diffusé lors de la première connexion.
- Mise à jour du Singe ultime : Des ajustements ont été apportés à certains points et récompenses lors de l'ultime affrontement.</v>
      </c>
      <c r="E65" s="168" t="str">
        <f>IFERROR(__xludf.DUMMYFUNCTION("""COMPUTED_VALUE"""),"- Neuer Kämpfer hinzugefügt: Einführung eines brandneuen Kämpfertyps – der Stabsoffizier! Professor Kim, der Elektromagnetische Mentor, ist ein weiser und gütiger Mentor, dessen Lehren weit und breit aufgeblüht sind!
- Neue Kämpfer-Statue: Noah. Füge dein"&amp;"er Stadt mehr Glanz hinzu!
- Neue Mech-Skin hinzugefügt: Gepard-Skin – Klingenmaul-Bestie. Aufgewertet von den Affen, steigert dieser Gepard-Mech die Angriffseffizienz dramatisch mit roher Kraft und wilder Agilität.
- Das Astral-Kolosseum bietet jetzt Vor"&amp;"hersage-Gameplay. Freue dich auf das nächste Showdown!
- Neues Glücksei-Event
Glücksei-Feier: Sammle umherstreifende Würfel, um am umherstreifenden Abenteuer teilzunehmen, exklusive Festdekorationen zusammenzusetzen und großzügige Belohnungen zu verdienen"&amp;". Außerdem kannst du ein Erinnerungsfoto der Feier ergattern!
Umherstreifendes Abenteuer: Nimm am Glücksei-Festival teil, schnapp dir festliche Würfel und genieße das Event, um Dekorationsteile und reiche Belohnungen zu verdienen!
Glücksei-Sammlung: Samml"&amp;"e deine Freunde, um alle Dekorationskomponenten zu sammeln und exklusive Eventpreise freizuschalten!
Glücksei-Party: Verlängerte Eventzeit und aufgewertete Belohnungen – festival-exklusive Marsch-Skins erwarten dich!
Glücksei-Anmeldung: Tägliche Anmeldung"&amp;"en, um limitierte Festivalbelohnungen zu beanspruchen und einen kostenlosen legendären Kämpfer – Emma – zu erhalten!
Gruppenkauf: Lade Kommandanten ein, um die besten Rabatte auszuhandeln. Hilf anderen zu sparen und erhalte im Gegenzug spezielle Dankesges"&amp;"chenke!
Farbmelodie: Limitierte Rückkehr des festival-exklusiven Marscheffekts – Farbmelodie ist zurück!
Rabattkette: Die stärkste Rabattkette des ersten Halbjahres – je mehr du ausgibst, desto mehr sparst du!
Glücksei-Festival-Rückgabe: Unglaublicher Wer"&amp;"t mit limitierten Rabattcoupons im Angebot!
Glücksmoment: Kaufe ein Geschenkpaket, um die Chance zu haben, am Rad zu drehen und mehrere Rabatte zu gewinnen!
- Gesamtwiderstand-Aufwertung: Verbesserte Anzeige der Herausforderungs-Level und Wellendetails.
-"&amp;" Relikte-Aufwertung: Die Ausstellung bietet jetzt Blasentipps und Auto-Wartungsfunktionen.
- Marschier-Queue-Optimierung: Freie Truppen werden jetzt standardmäßig zur Auswahl priorisiert.
- Ausrüstungs-Optimierung: Filteroptionen wurden auf allen Bildschi"&amp;"rmen hinzugefügt.
- Schatzgraben-Aufwertung: Verbesserte Belohnungsanzeige und Freund-U-Bahn-Schnittstelle während des Levelabschlusses.
- Subterra-Update: Nach sechs Monaten Serverbetrieb wurde der Erdbebenverursacher aus dem Zentrum der ursprünglichen K"&amp;"arte entfernt.
- Nachrichten-Aufwertung: Jetzt mit einer bildlichen Zusammenfassung der wichtigsten Nachrichten des Vortages, die beim ersten Login ausgestrahlt wird.
- Ultimativer Affe-Update: Anpassungen wurden an bestimmten Punkten und Belohnungen währ"&amp;"end des ultimativen Showdowns vorgenommen.")</f>
        <v>- Neuer Kämpfer hinzugefügt: Einführung eines brandneuen Kämpfertyps – der Stabsoffizier! Professor Kim, der Elektromagnetische Mentor, ist ein weiser und gütiger Mentor, dessen Lehren weit und breit aufgeblüht sind!
- Neue Kämpfer-Statue: Noah. Füge deiner Stadt mehr Glanz hinzu!
- Neue Mech-Skin hinzugefügt: Gepard-Skin – Klingenmaul-Bestie. Aufgewertet von den Affen, steigert dieser Gepard-Mech die Angriffseffizienz dramatisch mit roher Kraft und wilder Agilität.
- Das Astral-Kolosseum bietet jetzt Vorhersage-Gameplay. Freue dich auf das nächste Showdown!
- Neues Glücksei-Event
Glücksei-Feier: Sammle umherstreifende Würfel, um am umherstreifenden Abenteuer teilzunehmen, exklusive Festdekorationen zusammenzusetzen und großzügige Belohnungen zu verdienen. Außerdem kannst du ein Erinnerungsfoto der Feier ergattern!
Umherstreifendes Abenteuer: Nimm am Glücksei-Festival teil, schnapp dir festliche Würfel und genieße das Event, um Dekorationsteile und reiche Belohnungen zu verdienen!
Glücksei-Sammlung: Sammle deine Freunde, um alle Dekorationskomponenten zu sammeln und exklusive Eventpreise freizuschalten!
Glücksei-Party: Verlängerte Eventzeit und aufgewertete Belohnungen – festival-exklusive Marsch-Skins erwarten dich!
Glücksei-Anmeldung: Tägliche Anmeldungen, um limitierte Festivalbelohnungen zu beanspruchen und einen kostenlosen legendären Kämpfer – Emma – zu erhalten!
Gruppenkauf: Lade Kommandanten ein, um die besten Rabatte auszuhandeln. Hilf anderen zu sparen und erhalte im Gegenzug spezielle Dankesgeschenke!
Farbmelodie: Limitierte Rückkehr des festival-exklusiven Marscheffekts – Farbmelodie ist zurück!
Rabattkette: Die stärkste Rabattkette des ersten Halbjahres – je mehr du ausgibst, desto mehr sparst du!
Glücksei-Festival-Rückgabe: Unglaublicher Wert mit limitierten Rabattcoupons im Angebot!
Glücksmoment: Kaufe ein Geschenkpaket, um die Chance zu haben, am Rad zu drehen und mehrere Rabatte zu gewinnen!
- Gesamtwiderstand-Aufwertung: Verbesserte Anzeige der Herausforderungs-Level und Wellendetails.
- Relikte-Aufwertung: Die Ausstellung bietet jetzt Blasentipps und Auto-Wartungsfunktionen.
- Marschier-Queue-Optimierung: Freie Truppen werden jetzt standardmäßig zur Auswahl priorisiert.
- Ausrüstungs-Optimierung: Filteroptionen wurden auf allen Bildschirmen hinzugefügt.
- Schatzgraben-Aufwertung: Verbesserte Belohnungsanzeige und Freund-U-Bahn-Schnittstelle während des Levelabschlusses.
- Subterra-Update: Nach sechs Monaten Serverbetrieb wurde der Erdbebenverursacher aus dem Zentrum der ursprünglichen Karte entfernt.
- Nachrichten-Aufwertung: Jetzt mit einer bildlichen Zusammenfassung der wichtigsten Nachrichten des Vortages, die beim ersten Login ausgestrahlt wird.
- Ultimativer Affe-Update: Anpassungen wurden an bestimmten Punkten und Belohnungen während des ultimativen Showdowns vorgenommen.</v>
      </c>
      <c r="F65" s="168" t="str">
        <f>IFERROR(__xludf.DUMMYFUNCTION("""COMPUTED_VALUE"""),"- Novo Combatente Adicionado: Apresentando um novo tipo de combatente—o Oficial de Equipe! Professor Kim, o Mentor Eletromagnético, é um mentor sábio e gentil cujos ensinamentos floresceram por toda parte!
- Nova Estátua Combatente: Noé. Adicione mais bri"&amp;"lho à sua cidade!
- Nova Pele de Mech Adicionada: Pele de Chita – Fera Mandíbula Afiada. Melhorado pelos Macacos, este mech de chita aumenta dramaticamente a eficiência do ataque com poder bruto e agilidade feroz.
- O Coliseu Astral agora apresenta mecâni"&amp;"ca de previsão. Fique animado para o próximo confronto!
- Novo Evento do Ovo da Sorte
Celebração do Ovo da Sorte: Colete Dados Peregrinos para participar da Aventura Peregrina, monte decorações exclusivas do festival e ganhe recompensas generosas. Além di"&amp;"sso, capture uma foto comemorativa da celebração!
Aventura Peregrina: Participe do Festival do Ovo da Sorte, pegue dados festivos e aproveite o evento para ganhar partes de decoração e recompensas valiosas!
Coleção do Ovo da Sorte: Reúna seus amigos para "&amp;"coletar todos os componentes de decoração e desbloquear prêmios exclusivos do evento!
Festa do Ovo da Sorte: Tempo de evento estendido e recompensas melhoradas—skins de marcha exclusivas do festival aguardam!
Login do Ovo da Sorte: Logins diários para res"&amp;"gatar recompensas de edição limitada do festival e receber um Combatente Lendário grátis—Emma!
Compra em Grupo: Convide comandantes para pechinchar pelos melhores descontos. Ajude outros a economizar e ganhe presentes especiais de agradecimento em troca!
"&amp;"Melodia Colorida: Retorno por tempo limitado do efeito de marcha exclusivo do festival—Melodia Colorida está de volta!
Cadeia de Descontos: A cadeia de descontos mais forte do primeiro semestre do ano—gaste mais para economizar mais!
Devolução do Festival"&amp;" do Ovo da Sorte: Valor incrível com cupons de desconto por tempo limitado em oferta!
Sorte Contínua: Compre um pacote de presentes para ter a chance de girar a roda e ganhar múltiplos reembolsos!
- Atualização de Resistência Total: Exibição aprimorada do"&amp;"s níveis de desafio e detalhes das ondas.
- Atualização de Relíquias: A vitrine agora apresenta dicas em bolhas e funções de manutenção automática.
- Otimização da Fila de Marcha: Tropas ociosas agora são priorizadas para seleção por padrão.
- Otimização "&amp;"de Equipamentos: Opções de filtragem foram adicionadas em todas as telas.
- Atualização da Escavação de Tesouros: Exibição de recompensas melhorada e interface de metrô de amigos durante a conclusão do nível.
- Atualização do Subterra: Após seis meses de "&amp;"operação do servidor, o terremoto foi removido do centro do mapa original.
- Atualização de Notícias: Agora apresentando um resumo pictórico das principais notícias do dia anterior, transmitido no primeiro login.
- Atualização do Macaco Supremo: Ajustes f"&amp;"oram feitos em certos pontos e recompensas durante o confronto final.")</f>
        <v>- Novo Combatente Adicionado: Apresentando um novo tipo de combatente—o Oficial de Equipe! Professor Kim, o Mentor Eletromagnético, é um mentor sábio e gentil cujos ensinamentos floresceram por toda parte!
- Nova Estátua Combatente: Noé. Adicione mais brilho à sua cidade!
- Nova Pele de Mech Adicionada: Pele de Chita – Fera Mandíbula Afiada. Melhorado pelos Macacos, este mech de chita aumenta dramaticamente a eficiência do ataque com poder bruto e agilidade feroz.
- O Coliseu Astral agora apresenta mecânica de previsão. Fique animado para o próximo confronto!
- Novo Evento do Ovo da Sorte
Celebração do Ovo da Sorte: Colete Dados Peregrinos para participar da Aventura Peregrina, monte decorações exclusivas do festival e ganhe recompensas generosas. Além disso, capture uma foto comemorativa da celebração!
Aventura Peregrina: Participe do Festival do Ovo da Sorte, pegue dados festivos e aproveite o evento para ganhar partes de decoração e recompensas valiosas!
Coleção do Ovo da Sorte: Reúna seus amigos para coletar todos os componentes de decoração e desbloquear prêmios exclusivos do evento!
Festa do Ovo da Sorte: Tempo de evento estendido e recompensas melhoradas—skins de marcha exclusivas do festival aguardam!
Login do Ovo da Sorte: Logins diários para resgatar recompensas de edição limitada do festival e receber um Combatente Lendário grátis—Emma!
Compra em Grupo: Convide comandantes para pechinchar pelos melhores descontos. Ajude outros a economizar e ganhe presentes especiais de agradecimento em troca!
Melodia Colorida: Retorno por tempo limitado do efeito de marcha exclusivo do festival—Melodia Colorida está de volta!
Cadeia de Descontos: A cadeia de descontos mais forte do primeiro semestre do ano—gaste mais para economizar mais!
Devolução do Festival do Ovo da Sorte: Valor incrível com cupons de desconto por tempo limitado em oferta!
Sorte Contínua: Compre um pacote de presentes para ter a chance de girar a roda e ganhar múltiplos reembolsos!
- Atualização de Resistência Total: Exibição aprimorada dos níveis de desafio e detalhes das ondas.
- Atualização de Relíquias: A vitrine agora apresenta dicas em bolhas e funções de manutenção automática.
- Otimização da Fila de Marcha: Tropas ociosas agora são priorizadas para seleção por padrão.
- Otimização de Equipamentos: Opções de filtragem foram adicionadas em todas as telas.
- Atualização da Escavação de Tesouros: Exibição de recompensas melhorada e interface de metrô de amigos durante a conclusão do nível.
- Atualização do Subterra: Após seis meses de operação do servidor, o terremoto foi removido do centro do mapa original.
- Atualização de Notícias: Agora apresentando um resumo pictórico das principais notícias do dia anterior, transmitido no primeiro login.
- Atualização do Macaco Supremo: Ajustes foram feitos em certos pontos e recompensas durante o confronto final.</v>
      </c>
      <c r="G65" s="168" t="str">
        <f>IFERROR(__xludf.DUMMYFUNCTION("""COMPUTED_VALUE"""),"-新增鬥士：新的鬥士類型——參謀！電磁導師-金教授，睿智而和藹的教授，桃李滿天下的導師！
-新增鬥士雕像：諾亞，來為你的城市增添更多光彩吧！
-新增機甲皮膚：獵豹皮膚-劍齒兇獸，經過猿族改裝，獵豹機甲大幅提高了攻擊效率，蘊含著原始的力量，兇暴而矯捷。
-決戰衛星之巔聯賽增加了競猜玩法，期待下一次聯賽的到來吧！
-新增彩蛋節活動
彩蛋慶典：收集節日骰子參與彩蛋之旅，組裝彩蛋節限定裝飾物，獲取豐厚獎勵。更有彩蛋慶典紀念照片贈送！
彩蛋之旅：參加彩蛋節活動獲取節日骰子，遊玩活動即可獲取裝飾物組件和豐厚獎勵！
彩"&amp;"蛋收集：廣邀好友，集齊裝飾物組件獲取限定活動獎勵！
彩蛋節派對：活動時間延長，獎勵升級！彩蛋節限定行軍皮膚等你來拿！
彩蛋簽到：每日簽到，領取彩蛋節限定活動獎勵，免費獲取傳說領袖鬥士-艾瑪！
全猿幫購：邀請指揮官砍價，獲得最大的購買優惠，協助其他指揮官砍價還可以獲得砍價謝禮！
炫彩悅動：節日限定行軍特效-炫彩悅動限時返場！
折扣連鎖：上半年最強折扣連鎖，消費額度越大折扣越大！
彩蛋節回饋：超值回饋，限時折扣券派送中！
彩蛋轉盤：購買禮包，獲取開啟轉盤的機會，贏取多倍返利！
-全面抵禦優化：優化了挑戰等級和"&amp;"波次的信息顯示。
-收藏品優化：收藏品展覽櫃增加了氣泡提示和自動保養功能。
-行軍佇列優化：提高了默認選中空閒部隊的優先級。
-戰裝優化：各界面增加篩選功能。
-地下探寶優化：優化了通關獎勵界面顯示，以及前往好友地鐵時的界面顯示。
-地下世界優化：伺服器開啟6個月後，清除原猩球地圖中心的地震機。
-新聞優化：增加了前一日重大新聞的圖文版匯總，每日首次登入時進行放送。
-最強猴子優化：實力對抗階段的部分積分和獎勵調整。")</f>
        <v>-新增鬥士：新的鬥士類型——參謀！電磁導師-金教授，睿智而和藹的教授，桃李滿天下的導師！
-新增鬥士雕像：諾亞，來為你的城市增添更多光彩吧！
-新增機甲皮膚：獵豹皮膚-劍齒兇獸，經過猿族改裝，獵豹機甲大幅提高了攻擊效率，蘊含著原始的力量，兇暴而矯捷。
-決戰衛星之巔聯賽增加了競猜玩法，期待下一次聯賽的到來吧！
-新增彩蛋節活動
彩蛋慶典：收集節日骰子參與彩蛋之旅，組裝彩蛋節限定裝飾物，獲取豐厚獎勵。更有彩蛋慶典紀念照片贈送！
彩蛋之旅：參加彩蛋節活動獲取節日骰子，遊玩活動即可獲取裝飾物組件和豐厚獎勵！
彩蛋收集：廣邀好友，集齊裝飾物組件獲取限定活動獎勵！
彩蛋節派對：活動時間延長，獎勵升級！彩蛋節限定行軍皮膚等你來拿！
彩蛋簽到：每日簽到，領取彩蛋節限定活動獎勵，免費獲取傳說領袖鬥士-艾瑪！
全猿幫購：邀請指揮官砍價，獲得最大的購買優惠，協助其他指揮官砍價還可以獲得砍價謝禮！
炫彩悅動：節日限定行軍特效-炫彩悅動限時返場！
折扣連鎖：上半年最強折扣連鎖，消費額度越大折扣越大！
彩蛋節回饋：超值回饋，限時折扣券派送中！
彩蛋轉盤：購買禮包，獲取開啟轉盤的機會，贏取多倍返利！
-全面抵禦優化：優化了挑戰等級和波次的信息顯示。
-收藏品優化：收藏品展覽櫃增加了氣泡提示和自動保養功能。
-行軍佇列優化：提高了默認選中空閒部隊的優先級。
-戰裝優化：各界面增加篩選功能。
-地下探寶優化：優化了通關獎勵界面顯示，以及前往好友地鐵時的界面顯示。
-地下世界優化：伺服器開啟6個月後，清除原猩球地圖中心的地震機。
-新聞優化：增加了前一日重大新聞的圖文版匯總，每日首次登入時進行放送。
-最強猴子優化：實力對抗階段的部分積分和獎勵調整。</v>
      </c>
      <c r="H65" s="168" t="str">
        <f>IFERROR(__xludf.DUMMYFUNCTION("""COMPUTED_VALUE"""),"- Pejuang Baru Ditambahkan: Memperkenalkan tipe pejuang baru—Petugas Staf! Profesor Kim, Mentor Elektromagnetik, adalah seorang mentor yang bijaksana dan baik hati yang ajarannya telah berkembang luas!
- Patung Pejuang Baru: Noah. Tambahkan lebih banyak k"&amp;"ecemerlangan ke kota kamu!
- Kulit Mekanik Baru Ditambahkan: Kulit Cheetah – Binatang Rahang Pedang. Ditingkatkan oleh Kera, mekanik cheetah ini secara dramatis meningkatkan efisiensi serangan dengan kekuatan mentah dan kelincahan yang ganas.
- Koloseum A"&amp;"stral sekarang menampilkan gameplay prediksi. Bersiaplah untuk pertunjukan berikutnya!
- Event Telur Keberuntungan Baru
Perayaan Telur Keberuntungan: Kumpulkan Dadu Penjelajahan untuk bergabung dalam Petualangan Berkelana, rakit dekorasi festival eksklusi"&amp;"f, dan dapatkan hadiah yang melimpah. Plus, ambil foto perayaan kenang-kenangan!
Petualangan Berkelana: Bergabunglah dengan Festival Telur Keberuntungan, ambil dadu festival, dan nikmati event untuk mendapatkan bagian dekorasi dan hadiah yang kaya!
Koleks"&amp;"i Telur Keberuntungan: Ajak teman-temanmu untuk mengumpulkan semua komponen dekorasi dan buka hadiah event eksklusif!
Pesta Telur Keberuntungan: Waktu event diperpanjang dan hadiah ditingkatkan—kulit berbaris eksklusif festival menunggu!
Sign-In Telur Keb"&amp;"eruntungan: Sign-in harian untuk mengklaim hadiah festival edisi terbatas dan menerima Pejuang Legendaris gratis—Emma!
Pembelian Grup: Undang komandan untuk tawar-menawar demi diskon terbaik. Bantu orang lain menghemat dan dapatkan hadiah terima kasih khu"&amp;"sus sebagai balasannya!
Warna Cemerlang: Kembalinya efek berbaris eksklusif festival dalam waktu terbatas—Warna Cemerlang kembali!
Rantai Diskon: Rantai diskon terkuat di paruh pertama tahun ini—semakin banyak kamu belanja, semakin banyak kamu hemat!
Peng"&amp;"embalian Festival Telur Keberuntungan: Nilai luar biasa dengan kupon diskon terbatas waktu yang ditawarkan!
Keberuntungan: Beli paket hadiah untuk kesempatan memutar roda dan memenangkan beberapa pengembalian!
- Peningkatan Total Resistensi: Tampilan ting"&amp;"kat tantangan dan rincian gelombang yang ditingkatkan.
- Peningkatan Relik: Showcase sekarang menampilkan tips gelembung dan fungsi pemeliharaan otomatis.
- Optimalisasi Antrian Berbaris: Pasukan yang menganggur sekarang diprioritaskan untuk dipilih secar"&amp;"a default.
- Optimalisasi Peralatan: Opsi penyaringan telah ditambahkan di semua layar.
- Peningkatan Penggalian Harta Karun: Tampilan hadiah yang ditingkatkan dan antarmuka kereta bawah tanah teman selama penyelesaian level.
- Pembaruan Subterra: Setelah"&amp;" enam bulan operasi server, pengguncang bumi telah dihapus dari pusat peta asli.
- Peningkatan Berita: Sekarang menampilkan ringkasan bergambar dari berita utama hari sebelumnya, disiarkan saat login pertama.
- Pembaruan Kera yang Tangguh: Penyesuaian tel"&amp;"ah dilakukan pada beberapa poin dan hadiah selama pertunjukan terakhir.")</f>
        <v>- Pejuang Baru Ditambahkan: Memperkenalkan tipe pejuang baru—Petugas Staf! Profesor Kim, Mentor Elektromagnetik, adalah seorang mentor yang bijaksana dan baik hati yang ajarannya telah berkembang luas!
- Patung Pejuang Baru: Noah. Tambahkan lebih banyak kecemerlangan ke kota kamu!
- Kulit Mekanik Baru Ditambahkan: Kulit Cheetah – Binatang Rahang Pedang. Ditingkatkan oleh Kera, mekanik cheetah ini secara dramatis meningkatkan efisiensi serangan dengan kekuatan mentah dan kelincahan yang ganas.
- Koloseum Astral sekarang menampilkan gameplay prediksi. Bersiaplah untuk pertunjukan berikutnya!
- Event Telur Keberuntungan Baru
Perayaan Telur Keberuntungan: Kumpulkan Dadu Penjelajahan untuk bergabung dalam Petualangan Berkelana, rakit dekorasi festival eksklusif, dan dapatkan hadiah yang melimpah. Plus, ambil foto perayaan kenang-kenangan!
Petualangan Berkelana: Bergabunglah dengan Festival Telur Keberuntungan, ambil dadu festival, dan nikmati event untuk mendapatkan bagian dekorasi dan hadiah yang kaya!
Koleksi Telur Keberuntungan: Ajak teman-temanmu untuk mengumpulkan semua komponen dekorasi dan buka hadiah event eksklusif!
Pesta Telur Keberuntungan: Waktu event diperpanjang dan hadiah ditingkatkan—kulit berbaris eksklusif festival menunggu!
Sign-In Telur Keberuntungan: Sign-in harian untuk mengklaim hadiah festival edisi terbatas dan menerima Pejuang Legendaris gratis—Emma!
Pembelian Grup: Undang komandan untuk tawar-menawar demi diskon terbaik. Bantu orang lain menghemat dan dapatkan hadiah terima kasih khusus sebagai balasannya!
Warna Cemerlang: Kembalinya efek berbaris eksklusif festival dalam waktu terbatas—Warna Cemerlang kembali!
Rantai Diskon: Rantai diskon terkuat di paruh pertama tahun ini—semakin banyak kamu belanja, semakin banyak kamu hemat!
Pengembalian Festival Telur Keberuntungan: Nilai luar biasa dengan kupon diskon terbatas waktu yang ditawarkan!
Keberuntungan: Beli paket hadiah untuk kesempatan memutar roda dan memenangkan beberapa pengembalian!
- Peningkatan Total Resistensi: Tampilan tingkat tantangan dan rincian gelombang yang ditingkatkan.
- Peningkatan Relik: Showcase sekarang menampilkan tips gelembung dan fungsi pemeliharaan otomatis.
- Optimalisasi Antrian Berbaris: Pasukan yang menganggur sekarang diprioritaskan untuk dipilih secara default.
- Optimalisasi Peralatan: Opsi penyaringan telah ditambahkan di semua layar.
- Peningkatan Penggalian Harta Karun: Tampilan hadiah yang ditingkatkan dan antarmuka kereta bawah tanah teman selama penyelesaian level.
- Pembaruan Subterra: Setelah enam bulan operasi server, pengguncang bumi telah dihapus dari pusat peta asli.
- Peningkatan Berita: Sekarang menampilkan ringkasan bergambar dari berita utama hari sebelumnya, disiarkan saat login pertama.
- Pembaruan Kera yang Tangguh: Penyesuaian telah dilakukan pada beberapa poin dan hadiah selama pertunjukan terakhir.</v>
      </c>
      <c r="I65" s="168" t="str">
        <f>IFERROR(__xludf.DUMMYFUNCTION("""COMPUTED_VALUE"""),"- เพิ่มนักสู้ใหม่: แนะนำประเภทนักสู้ใหม่—นายทหารฝ่ายเสนาธิการ! ศาสตราจารย์คิม ผู้ให้คำปรึกษาแม่เหล็กไฟฟ้า เป็นผู้ให้คำปรึกษาผู้ชาญฉลาดและใจดีที่คำสอนของเขาได้แพร่หลายไปทั่ว!
- รูปปั้นนักสู้ใหม่: โนอาห์ เพิ่มความสว่างไสวให้กับเมืองของคุณ!
- เพิ่มสกินเมคใหม"&amp;"่: สกินเสือชีตาห์ – อสูรขากรรไกรใบมีด อัปเกรดโดยเหล่าลิง เมคเสือชีตาห์นี้เพิ่มประสิทธิภาพการโจมตีอย่างมากด้วยพลังดิบและความคล่องตัวที่ดุเดือด
- โคลีเซียมดวงดาวตอนนี้มีการเล่นเกมทำนายผล ตื่นเต้นกับการประลองครั้งต่อไป!
- กิจกรรมไข่นำโชคใหม่
การเฉลิมฉลองไข่น"&amp;"ำโชค: เก็บรวบรวมลูกเต๋าท่องเที่ยวเพื่อเข้าร่วมการผจญภัยท่องเที่ยว ประกอบการตกแต่งเทศกาลพิเศษ และรับรางวัลมากมาย นอกจากนี้ยังสามารถถ่ายภาพเฉลิมฉลองที่ระลึกได้อีกด้วย!
การผจญภัยท่องเที่ยว: เข้าร่วมเทศกาลไข่นำโชค คว้าลูกเต๋าเทศกาล และสนุกกับกิจกรรมเพื่อรับชิ"&amp;"้นส่วนการตกแต่งและรางวัลมากมาย!
การเก็บรวบรวมไข่นำโชค: ชวนเพื่อนของคุณมารวบรวมส่วนประกอบการตกแต่งทั้งหมดและปลดล็อกรางวัลพิเศษของกิจกรรม!
ปาร์ตี้ไข่นำโชค: ขยายเวลาของกิจกรรมและรางวัลที่อัปเกรดขึ้น—สกินการเดินทัพพิเศษของเทศกาลรอคุณอยู่!
การลงชื่อเข้าใช้ไข่น"&amp;"ำโชค: ล็อคอินประจำวันเพื่อรับรางวัลเทศกาลรุ่นจำกัดและรับนักสู้ระดับตำนานฟรี—เอ็มม่า!
การซื้อกลุ่ม: ชวนผู้บัญชาการมาต่อรองเพื่อรับส่วนลดที่ดีที่สุด ช่วยผู้อื่นประหยัดและรับของขวัญขอบคุณพิเศษตอบแทน!
สีสันแห่งความสุข: การกลับมาของเอฟเฟกต์การเดินทัพพิเศษของเท"&amp;"ศกาลในเวลาจำกัด—สีสันแห่งความสุขกลับมาแล้ว!
โซ่ส่วนลด: โซ่ส่วนลดที่แข็งแกร่งที่สุดในครึ่งปีแรก—ใช้จ่ายมากขึ้นเพื่อประหยัดมากขึ้น!
การคืนกำไรเทศกาลไข่นำโชค: มูลค่าที่น่าเหลือเชื่อพร้อมคูปองส่วนลดในเวลาจำกัด!
โชคดีต่อเนื่อง: ซื้อแพ็คของขวัญเพื่อมีโอกาสหมุนว"&amp;"งล้อและรับเงินคืนหลายครั้ง!
- การอัปเกรดการต้านทานทั้งหมด: แสดงรายละเอียดระดับท้าทายและคลื่นที่ได้รับการปรับปรุง
- การอัปเกรดวัตถุโบราณ: การแสดงผลตอนนี้มีเคล็ดลับฟองและฟังก์ชันบำรุงรักษาอัตโนมัติ
- การปรับปรุงคิวการเดินทัพ: กองทหารว่างตอนนี้จะถูกเลือกโดยค"&amp;"่าเริ่มต้น
- การปรับปรุงอุปกรณ์: เพิ่มตัวเลือกการกรองในทุกหน้าจอ
- การอัปเกรดการขุดสมบัติ: ปรับปรุงการแสดงผลรางวัลและอินเทอร์เฟซรถไฟใต้ดินเพื่อนในระหว่างการทำภารกิจ
- การอัปเดตใต้ดิน: หลังจากการดำเนินงานของเซิร์ฟเวอร์เป็นเวลาหกเดือน แผ่นดินไหวถูกนำออกจากศ"&amp;"ูนย์กลางของแผนที่เดิม
- การอัปเกรดข่าว: ตอนนี้มีสรุปภาพของข่าวสำคัญของวันก่อนหน้า ออกอากาศเมื่อเข้าสู่ระบบครั้งแรก
- การอัปเดตลิงขั้นเทพ: มีการปรับแต้มและรางวัลบางส่วนในระหว่างการประลองขั้นสุดยอด")</f>
        <v>- เพิ่มนักสู้ใหม่: แนะนำประเภทนักสู้ใหม่—นายทหารฝ่ายเสนาธิการ! ศาสตราจารย์คิม ผู้ให้คำปรึกษาแม่เหล็กไฟฟ้า เป็นผู้ให้คำปรึกษาผู้ชาญฉลาดและใจดีที่คำสอนของเขาได้แพร่หลายไปทั่ว!
- รูปปั้นนักสู้ใหม่: โนอาห์ เพิ่มความสว่างไสวให้กับเมืองของคุณ!
- เพิ่มสกินเมคใหม่: สกินเสือชีตาห์ – อสูรขากรรไกรใบมีด อัปเกรดโดยเหล่าลิง เมคเสือชีตาห์นี้เพิ่มประสิทธิภาพการโจมตีอย่างมากด้วยพลังดิบและความคล่องตัวที่ดุเดือด
- โคลีเซียมดวงดาวตอนนี้มีการเล่นเกมทำนายผล ตื่นเต้นกับการประลองครั้งต่อไป!
- กิจกรรมไข่นำโชคใหม่
การเฉลิมฉลองไข่นำโชค: เก็บรวบรวมลูกเต๋าท่องเที่ยวเพื่อเข้าร่วมการผจญภัยท่องเที่ยว ประกอบการตกแต่งเทศกาลพิเศษ และรับรางวัลมากมาย นอกจากนี้ยังสามารถถ่ายภาพเฉลิมฉลองที่ระลึกได้อีกด้วย!
การผจญภัยท่องเที่ยว: เข้าร่วมเทศกาลไข่นำโชค คว้าลูกเต๋าเทศกาล และสนุกกับกิจกรรมเพื่อรับชิ้นส่วนการตกแต่งและรางวัลมากมาย!
การเก็บรวบรวมไข่นำโชค: ชวนเพื่อนของคุณมารวบรวมส่วนประกอบการตกแต่งทั้งหมดและปลดล็อกรางวัลพิเศษของกิจกรรม!
ปาร์ตี้ไข่นำโชค: ขยายเวลาของกิจกรรมและรางวัลที่อัปเกรดขึ้น—สกินการเดินทัพพิเศษของเทศกาลรอคุณอยู่!
การลงชื่อเข้าใช้ไข่นำโชค: ล็อคอินประจำวันเพื่อรับรางวัลเทศกาลรุ่นจำกัดและรับนักสู้ระดับตำนานฟรี—เอ็มม่า!
การซื้อกลุ่ม: ชวนผู้บัญชาการมาต่อรองเพื่อรับส่วนลดที่ดีที่สุด ช่วยผู้อื่นประหยัดและรับของขวัญขอบคุณพิเศษตอบแทน!
สีสันแห่งความสุข: การกลับมาของเอฟเฟกต์การเดินทัพพิเศษของเทศกาลในเวลาจำกัด—สีสันแห่งความสุขกลับมาแล้ว!
โซ่ส่วนลด: โซ่ส่วนลดที่แข็งแกร่งที่สุดในครึ่งปีแรก—ใช้จ่ายมากขึ้นเพื่อประหยัดมากขึ้น!
การคืนกำไรเทศกาลไข่นำโชค: มูลค่าที่น่าเหลือเชื่อพร้อมคูปองส่วนลดในเวลาจำกัด!
โชคดีต่อเนื่อง: ซื้อแพ็คของขวัญเพื่อมีโอกาสหมุนวงล้อและรับเงินคืนหลายครั้ง!
- การอัปเกรดการต้านทานทั้งหมด: แสดงรายละเอียดระดับท้าทายและคลื่นที่ได้รับการปรับปรุง
- การอัปเกรดวัตถุโบราณ: การแสดงผลตอนนี้มีเคล็ดลับฟองและฟังก์ชันบำรุงรักษาอัตโนมัติ
- การปรับปรุงคิวการเดินทัพ: กองทหารว่างตอนนี้จะถูกเลือกโดยค่าเริ่มต้น
- การปรับปรุงอุปกรณ์: เพิ่มตัวเลือกการกรองในทุกหน้าจอ
- การอัปเกรดการขุดสมบัติ: ปรับปรุงการแสดงผลรางวัลและอินเทอร์เฟซรถไฟใต้ดินเพื่อนในระหว่างการทำภารกิจ
- การอัปเดตใต้ดิน: หลังจากการดำเนินงานของเซิร์ฟเวอร์เป็นเวลาหกเดือน แผ่นดินไหวถูกนำออกจากศูนย์กลางของแผนที่เดิม
- การอัปเกรดข่าว: ตอนนี้มีสรุปภาพของข่าวสำคัญของวันก่อนหน้า ออกอากาศเมื่อเข้าสู่ระบบครั้งแรก
- การอัปเดตลิงขั้นเทพ: มีการปรับแต้มและรางวัลบางส่วนในระหว่างการประลองขั้นสุดยอด</v>
      </c>
      <c r="J65" s="168" t="str">
        <f>IFERROR(__xludf.DUMMYFUNCTION("""COMPUTED_VALUE"""),"- Nuevo Luchador Añadido: ¡Presentamos un nuevo tipo de luchador—el Oficial de Estado Mayor! El Profesor Kim, el Mentor Electromagnético, es un mentor sabio y amable cuyas enseñanzas han florecido por todas partes.
- Nueva Estatua del Luchador: Noé. ¡Añad"&amp;"e más brillo a tu ciudad!
- Nueva Piel de Meca Añadida: Piel de Guepardo – Bestia Mandíbula de Hoja. Mejorado por los Simios, este meca guepardo aumenta dramáticamente la eficiencia de ataque con poder bruto y agilidad feroz.
- El Coliseo Astral ahora pre"&amp;"senta una forma de juego de predicción. ¡Emociónate para el próximo enfrentamiento!
- Nuevo Evento del Huevo de la Suerte
Celebración del Huevo de la Suerte: Recolecta Dados Errantes para unirte a la Aventura Errante, ensamblar decoraciones exclusivas del"&amp;" festival y ganar generosas recompensas. Además, ¡consigue una foto conmemorativa de la celebración!
Aventura Errante: Únete al Festival del Huevo de la Suerte, toma dados festivos y disfruta del evento para ganar partes de decoración y ricas recompensas."&amp;"
Colección del Huevo de la Suerte: Congrega a tus amigos para reunir todos los componentes de decoración y desbloquear premios exclusivos del evento.
Fiesta del Huevo de la Suerte: Tiempo del evento extendido y recompensas mejoradas—pieles de marcha exclu"&amp;"sivas del festival te esperan.
Inicio de Sesión del Huevo de la Suerte: Inicios de sesión diarios para reclamar recompensas de edición limitada del festival y recibir un Luchador Legendario gratis—¡Emma!
Compra en Grupo: Invita a comandantes a negociar po"&amp;"r los mejores descuentos. Ayuda a otros a ahorrar y gana regalos especiales de agradecimiento a cambio.
Melodía de Color: Retorno por tiempo limitado del efecto de marcha exclusivo del festival—¡Melodía de Color está de vuelta!
Cadena de Descuentos: La ca"&amp;"dena de descuentos más fuerte de la primera mitad del año—¡gasta más para ahorrar más!
Devolución del Festival del Huevo de la Suerte: ¡Valor increíble con cupones de descuento por tiempo limitado en oferta!
Racha Suerte: Compra un paquete de regalo para "&amp;"tener la oportunidad de girar la rueda y ganar múltiples reembolsos.
- Mejora de Resistencia Total: Visualización mejorada de los niveles de desafío y detalles de oleadas.
- Mejora de Reliquias: La vitrina ahora presenta consejos en burbujas y funciones d"&amp;"e mantenimiento automático.
- Optimización de la Cola de Marcha: Las tropas inactivas ahora se priorizan para la selección por defecto.
- Optimización de Equipamiento: Se han añadido opciones de filtrado en todas las pantallas.
- Mejora de Excavación de T"&amp;"esoros: Visualización de recompensas mejorada e interfaz de metro de amigos durante la finalización de niveles.
- Actualización de Subterra: Después de seis meses de operación del servidor, el terremoto ha sido eliminado del centro del mapa original.
- Me"&amp;"jora de Noticias: Ahora presenta un resumen pictórico de las principales noticias del día anterior, transmitido al primer inicio de sesión.
- Actualización del Mono Supremo: Se han realizado ajustes en ciertos puntos y recompensas durante el enfrentamient"&amp;"o supremo.")</f>
        <v>- Nuevo Luchador Añadido: ¡Presentamos un nuevo tipo de luchador—el Oficial de Estado Mayor! El Profesor Kim, el Mentor Electromagnético, es un mentor sabio y amable cuyas enseñanzas han florecido por todas partes.
- Nueva Estatua del Luchador: Noé. ¡Añade más brillo a tu ciudad!
- Nueva Piel de Meca Añadida: Piel de Guepardo – Bestia Mandíbula de Hoja. Mejorado por los Simios, este meca guepardo aumenta dramáticamente la eficiencia de ataque con poder bruto y agilidad feroz.
- El Coliseo Astral ahora presenta una forma de juego de predicción. ¡Emociónate para el próximo enfrentamiento!
- Nuevo Evento del Huevo de la Suerte
Celebración del Huevo de la Suerte: Recolecta Dados Errantes para unirte a la Aventura Errante, ensamblar decoraciones exclusivas del festival y ganar generosas recompensas. Además, ¡consigue una foto conmemorativa de la celebración!
Aventura Errante: Únete al Festival del Huevo de la Suerte, toma dados festivos y disfruta del evento para ganar partes de decoración y ricas recompensas.
Colección del Huevo de la Suerte: Congrega a tus amigos para reunir todos los componentes de decoración y desbloquear premios exclusivos del evento.
Fiesta del Huevo de la Suerte: Tiempo del evento extendido y recompensas mejoradas—pieles de marcha exclusivas del festival te esperan.
Inicio de Sesión del Huevo de la Suerte: Inicios de sesión diarios para reclamar recompensas de edición limitada del festival y recibir un Luchador Legendario gratis—¡Emma!
Compra en Grupo: Invita a comandantes a negociar por los mejores descuentos. Ayuda a otros a ahorrar y gana regalos especiales de agradecimiento a cambio.
Melodía de Color: Retorno por tiempo limitado del efecto de marcha exclusivo del festival—¡Melodía de Color está de vuelta!
Cadena de Descuentos: La cadena de descuentos más fuerte de la primera mitad del año—¡gasta más para ahorrar más!
Devolución del Festival del Huevo de la Suerte: ¡Valor increíble con cupones de descuento por tiempo limitado en oferta!
Racha Suerte: Compra un paquete de regalo para tener la oportunidad de girar la rueda y ganar múltiples reembolsos.
- Mejora de Resistencia Total: Visualización mejorada de los niveles de desafío y detalles de oleadas.
- Mejora de Reliquias: La vitrina ahora presenta consejos en burbujas y funciones de mantenimiento automático.
- Optimización de la Cola de Marcha: Las tropas inactivas ahora se priorizan para la selección por defecto.
- Optimización de Equipamiento: Se han añadido opciones de filtrado en todas las pantallas.
- Mejora de Excavación de Tesoros: Visualización de recompensas mejorada e interfaz de metro de amigos durante la finalización de niveles.
- Actualización de Subterra: Después de seis meses de operación del servidor, el terremoto ha sido eliminado del centro del mapa original.
- Mejora de Noticias: Ahora presenta un resumen pictórico de las principales noticias del día anterior, transmitido al primer inicio de sesión.
- Actualización del Mono Supremo: Se han realizado ajustes en ciertos puntos y recompensas durante el enfrentamiento supremo.</v>
      </c>
      <c r="K65" s="168" t="str">
        <f>IFERROR(__xludf.DUMMYFUNCTION("""COMPUTED_VALUE"""),"- Добавлен новый герой: Представляем новый тип героя — Штабной офицер! Профессор Ким, Электромагнитный наставник, мудрый и добрый наставник, чьи учения распространились повсюду!
- Новая статуя героя: Ной. Добавьте больше блеска вашему городу!
- Добавлен н"&amp;"овый скин меха: Скин Гепарда – Зверь-Клинок. Улучшенный Обезьянами, этот мех-гепард значительно повышает эффективность атаки благодаря своей мощной силе и яростной ловкости.
- В Астральном Колизее теперь есть игровой процесс с предсказаниями. Готовьтесь к"&amp;" следующей битве!
- Новое событие Счастливого Яйца
Праздник Счастливых Яиц: Собирайте Блуждающие Кубики, чтобы присоединиться к Блуждающему Приключению, собирайте эксклюзивные фестивальные украшения и зарабатывайте щедрые награды. Плюс, сделайте памятное "&amp;"фото праздника!
Блуждающее Приключение: Присоединяйтесь к Фестивалю Счастливых Яиц, берите праздничные кубики и наслаждайтесь событием, чтобы заработать части украшений и богатые награды!
Коллекция Счастливых Яиц: Соберите своих друзей, чтобы собрать все "&amp;"компоненты украшений и открыть эксклюзивные призы события!
Вечеринка Счастливых Яиц: Продленное время события и улучшенные награды — фестивальные эксклюзивные скины марша ждут вас!
Вход Счастливого Яйца: Ежедневные входы, чтобы забрать ограниченные наград"&amp;"ы фестиваля и получить бесплатно Легендарного героя — Эмму!
Групповая покупка: Пригласите командиров, чтобы торговаться за лучшие скидки. Помогите другим сэкономить и получите в ответ специальные подарки благодарности!
Мелодия Цвета: Возвращение фестиваль"&amp;"ного эксклюзивного эффекта марша на ограниченное время — Мелодия Цвета снова здесь!
Цепочка Скидок: Самая сильная цепочка скидок первой половины года — тратьте больше, чтобы сэкономить больше!
Возврат Фестиваля Счастливых Яиц: Невероятная выгода с огранич"&amp;"енными купонами на скидку!
Полоса Удачи: Купите подарочный набор, чтобы получить шанс крутить колесо и выиграть несколько возвратов!
- Улучшение Общего Сопротивления: Улучшенное отображение уровней испытаний и деталей волн.
- Улучшение Реликвий: В витрине"&amp;" теперь есть всплывающие советы и функции автоматического обслуживания.
- Оптимизация Очереди Марша: Бездействующие войска теперь выбираются по умолчанию.
- Оптимизация Оборудования: Добавлены параметры фильтрации на всех экранах.
- Улучшение Копания Сокр"&amp;"овищ: Улучшенное отображение наград и интерфейс метро друзей при завершении уровня.
- Обновление Подземелья: После шести месяцев работы сервера землетрясение было удалено из центра оригинальной карты.
- Обновление Новостей: Теперь включает иллюстрированно"&amp;"е резюме основных новостей предыдущего дня, транслируемое при первом входе.
- Обновление Великой Обезьяны: Внесены изменения в некоторые очки и награды во время последней битвы.")</f>
        <v>- Добавлен новый герой: Представляем новый тип героя — Штабной офицер! Профессор Ким, Электромагнитный наставник, мудрый и добрый наставник, чьи учения распространились повсюду!
- Новая статуя героя: Ной. Добавьте больше блеска вашему городу!
- Добавлен новый скин меха: Скин Гепарда – Зверь-Клинок. Улучшенный Обезьянами, этот мех-гепард значительно повышает эффективность атаки благодаря своей мощной силе и яростной ловкости.
- В Астральном Колизее теперь есть игровой процесс с предсказаниями. Готовьтесь к следующей битве!
- Новое событие Счастливого Яйца
Праздник Счастливых Яиц: Собирайте Блуждающие Кубики, чтобы присоединиться к Блуждающему Приключению, собирайте эксклюзивные фестивальные украшения и зарабатывайте щедрые награды. Плюс, сделайте памятное фото праздника!
Блуждающее Приключение: Присоединяйтесь к Фестивалю Счастливых Яиц, берите праздничные кубики и наслаждайтесь событием, чтобы заработать части украшений и богатые награды!
Коллекция Счастливых Яиц: Соберите своих друзей, чтобы собрать все компоненты украшений и открыть эксклюзивные призы события!
Вечеринка Счастливых Яиц: Продленное время события и улучшенные награды — фестивальные эксклюзивные скины марша ждут вас!
Вход Счастливого Яйца: Ежедневные входы, чтобы забрать ограниченные награды фестиваля и получить бесплатно Легендарного героя — Эмму!
Групповая покупка: Пригласите командиров, чтобы торговаться за лучшие скидки. Помогите другим сэкономить и получите в ответ специальные подарки благодарности!
Мелодия Цвета: Возвращение фестивального эксклюзивного эффекта марша на ограниченное время — Мелодия Цвета снова здесь!
Цепочка Скидок: Самая сильная цепочка скидок первой половины года — тратьте больше, чтобы сэкономить больше!
Возврат Фестиваля Счастливых Яиц: Невероятная выгода с ограниченными купонами на скидку!
Полоса Удачи: Купите подарочный набор, чтобы получить шанс крутить колесо и выиграть несколько возвратов!
- Улучшение Общего Сопротивления: Улучшенное отображение уровней испытаний и деталей волн.
- Улучшение Реликвий: В витрине теперь есть всплывающие советы и функции автоматического обслуживания.
- Оптимизация Очереди Марша: Бездействующие войска теперь выбираются по умолчанию.
- Оптимизация Оборудования: Добавлены параметры фильтрации на всех экранах.
- Улучшение Копания Сокровищ: Улучшенное отображение наград и интерфейс метро друзей при завершении уровня.
- Обновление Подземелья: После шести месяцев работы сервера землетрясение было удалено из центра оригинальной карты.
- Обновление Новостей: Теперь включает иллюстрированное резюме основных новостей предыдущего дня, транслируемое при первом входе.
- Обновление Великой Обезьяны: Внесены изменения в некоторые очки и награды во время последней битвы.</v>
      </c>
      <c r="L65" s="168" t="str">
        <f>IFERROR(__xludf.DUMMYFUNCTION("""COMPUTED_VALUE"""),"- Yeni Savaşçı Eklendi: Yepyeni bir savaşçı türü tanıtıldı—Kurmay Subay! Elektromanyetik Akıl Hocası Profesör Kim, öğretileri geniş çapta yayılmış bilge ve nazik bir akıl hocasıdır!
- Yeni Savaşçı Heykeli: Nuh. Şehrine daha fazla parlaklık kat!
- Yeni Mek"&amp;"a Derisi Eklendi: Çita Derisi – Bıçakçene Canavarı. Maymunlar tarafından yükseltilen bu çita meka, ham güç ve vahşi çeviklikle saldırı verimliliğini büyük ölçüde artırır.
- Yıldız Kolezyumu artık tahmin oynanışı içeriyor. Bir sonraki rest için heyecanlanı"&amp;"n!
- Yeni Şanslı Yumurta Etkinliği
Şanslı Yumurta Kutlaması: Dolaşan Macera'ya katılmak için Dolaşan Zar topla, özel festival süslemelerini monte et ve cömert ödüller kazan. Ayrıca, anı kutlama fotoğrafı kap!
Dolaşan Macera: Şanslı Yumurta Festivali'ne ka"&amp;"tıl, festival zarlarını kap ve etkinliğin tadını çıkararak dekorasyon parçaları ve zengin ödüller kazan!
Şanslı Yumurta Koleksiyonu: Tüm dekorasyon bileşenlerini toplamak ve özel etkinlik ödüllerinin kilidini açmak için arkadaşlarını topla!
Şanslı Yumurta"&amp;" Partisi: Uzatılmış etkinlik süresi ve yükseltilmiş ödüller—festival özel sefer derileri seni bekliyor!
Şanslı Yumurta Oturum Açma: Günlük oturum açarak sınırlı sayıda festival ödülleri kazan ve ücretsiz bir Efsanevi Savaşçı—Emma al!
Grup Satın Alma: Komu"&amp;"tanları en iyi indirimler için pazarlık yapmaya davet et. Başkalarına tasarruf etmelerine yardımcı ol ve karşılığında özel teşekkür hediyeleri kazan!
Renklerin Ezgisi: Festival özel sefer efektinin sınırlı süreli dönüşü—Renklerin Ezgisi geri döndü!
İndiri"&amp;"m Zinciri: Yılın ilk yarısının en güçlü indirim zinciri—daha fazla harca, daha fazla tasarruf et!
Şanslı Yumurta Festivali Geri Dönüşü: Sınırlı süreli indirim kuponları ile inanılmaz değer!
Şanslı An: Bir hediye paketi satın al ve çarkı çevirme şansı kaza"&amp;"narak birden fazla geri ödeme kazan!
- Toplam Direnç Yükseltmesi: Meydan okuma seviyeleri ve dalga detaylarının geliştirilmiş gösterimi.
- Kalıntılar Yükseltmesi: Vitrin artık balon ipuçları ve otomatik bakım işlevleri içeriyor.
- Sefer Kuyruğu Optimizasy"&amp;"onu: Boşta olan birlikler artık varsayılan olarak seçilmek üzere önceliklendirildi.
- Ekipman Optimizasyonu: Tüm ekranlarda filtreleme seçenekleri eklendi.
- Hazine Kazısı Yükseltmesi: Ödül gösterimi ve seviye tamamlama sırasında arkadaş metro arayüzü gel"&amp;"iştirildi.
- Subterra Güncellemesi: Altı aylık sunucu operasyonundan sonra, orijinal haritanın merkezindeki depremci kaldırıldı.
- Haberler Yükseltmesi: Artık önceki günün önemli haberlerinin resimli özetini içeriyor, ilk girişte yayınlanıyor.
- En Üstün "&amp;"Maymun Güncellemesi: En üstün rest sırasında belirli puanlar ve ödüllerde ayarlamalar yapıldı.")</f>
        <v>- Yeni Savaşçı Eklendi: Yepyeni bir savaşçı türü tanıtıldı—Kurmay Subay! Elektromanyetik Akıl Hocası Profesör Kim, öğretileri geniş çapta yayılmış bilge ve nazik bir akıl hocasıdır!
- Yeni Savaşçı Heykeli: Nuh. Şehrine daha fazla parlaklık kat!
- Yeni Meka Derisi Eklendi: Çita Derisi – Bıçakçene Canavarı. Maymunlar tarafından yükseltilen bu çita meka, ham güç ve vahşi çeviklikle saldırı verimliliğini büyük ölçüde artırır.
- Yıldız Kolezyumu artık tahmin oynanışı içeriyor. Bir sonraki rest için heyecanlanın!
- Yeni Şanslı Yumurta Etkinliği
Şanslı Yumurta Kutlaması: Dolaşan Macera'ya katılmak için Dolaşan Zar topla, özel festival süslemelerini monte et ve cömert ödüller kazan. Ayrıca, anı kutlama fotoğrafı kap!
Dolaşan Macera: Şanslı Yumurta Festivali'ne katıl, festival zarlarını kap ve etkinliğin tadını çıkararak dekorasyon parçaları ve zengin ödüller kazan!
Şanslı Yumurta Koleksiyonu: Tüm dekorasyon bileşenlerini toplamak ve özel etkinlik ödüllerinin kilidini açmak için arkadaşlarını topla!
Şanslı Yumurta Partisi: Uzatılmış etkinlik süresi ve yükseltilmiş ödüller—festival özel sefer derileri seni bekliyor!
Şanslı Yumurta Oturum Açma: Günlük oturum açarak sınırlı sayıda festival ödülleri kazan ve ücretsiz bir Efsanevi Savaşçı—Emma al!
Grup Satın Alma: Komutanları en iyi indirimler için pazarlık yapmaya davet et. Başkalarına tasarruf etmelerine yardımcı ol ve karşılığında özel teşekkür hediyeleri kazan!
Renklerin Ezgisi: Festival özel sefer efektinin sınırlı süreli dönüşü—Renklerin Ezgisi geri döndü!
İndirim Zinciri: Yılın ilk yarısının en güçlü indirim zinciri—daha fazla harca, daha fazla tasarruf et!
Şanslı Yumurta Festivali Geri Dönüşü: Sınırlı süreli indirim kuponları ile inanılmaz değer!
Şanslı An: Bir hediye paketi satın al ve çarkı çevirme şansı kazanarak birden fazla geri ödeme kazan!
- Toplam Direnç Yükseltmesi: Meydan okuma seviyeleri ve dalga detaylarının geliştirilmiş gösterimi.
- Kalıntılar Yükseltmesi: Vitrin artık balon ipuçları ve otomatik bakım işlevleri içeriyor.
- Sefer Kuyruğu Optimizasyonu: Boşta olan birlikler artık varsayılan olarak seçilmek üzere önceliklendirildi.
- Ekipman Optimizasyonu: Tüm ekranlarda filtreleme seçenekleri eklendi.
- Hazine Kazısı Yükseltmesi: Ödül gösterimi ve seviye tamamlama sırasında arkadaş metro arayüzü geliştirildi.
- Subterra Güncellemesi: Altı aylık sunucu operasyonundan sonra, orijinal haritanın merkezindeki depremci kaldırıldı.
- Haberler Yükseltmesi: Artık önceki günün önemli haberlerinin resimli özetini içeriyor, ilk girişte yayınlanıyor.
- En Üstün Maymun Güncellemesi: En üstün rest sırasında belirli puanlar ve ödüllerde ayarlamalar yapıldı.</v>
      </c>
      <c r="M65" s="168" t="str">
        <f>IFERROR(__xludf.DUMMYFUNCTION("""COMPUTED_VALUE"""),"- Chiến Binh Mới Được Thêm: Giới thiệu loại chiến binh hoàn toàn mới—Tham Mưu! Giáo sư Kim, Huấn Luyện Viên Điện Từ, là một người thầy thông thái và nhân từ với những bài giảng đã lan tỏa khắp nơi!
- Tượng Chiến Binh Mới: Noah. Thêm phần rực rỡ cho thành "&amp;"phố của bạn!
- Da Cơ Khí Mới Được Thêm: Da Báo Đốm – Quái Vật Hàm Lưỡi Kiếm. Được nâng cấp bởi Bầy Khỉ, cơ khí báo đốm này tăng cường hiệu quả tấn công với sức mạnh thô và sự nhanh nhẹn dữ dội.
- Đại Đấu Trường Thiên Thể hiện có tính năng dự đoán trò chơi"&amp;". Hãy hào hứng cho cuộc quyết đấu tiếp theo!
- Sự Kiện Trứng May Mắn Mới
Lễ Hội Trứng May Mắn: Thu thập Xúc Xắc Du Hành để tham gia Cuộc Phiêu Lưu Lang Thang, lắp ráp đồ trang trí lễ hội độc quyền và nhận phần thưởng hào phóng. Thêm vào đó, chụp một bức ả"&amp;"nh kỷ niệm lễ hội!
Cuộc Phiêu Lưu Lang Thang: Tham gia Lễ Hội Trứng May Mắn, lấy xúc xắc lễ hội và tận hưởng sự kiện để kiếm các phần trang trí và phần thưởng phong phú!
Thu Thập Trứng May Mắn: Tập hợp bạn bè của bạn để thu thập tất cả các thành phần tran"&amp;"g trí và mở khóa các giải thưởng sự kiện độc quyền!
Tiệc Trứng May Mắn: Thời gian sự kiện kéo dài và phần thưởng nâng cấp—da hành quân độc quyền lễ hội đang chờ đợi!
Đăng Nhập Trứng May Mắn: Đăng nhập hàng ngày để nhận phần thưởng lễ hội phiên bản giới hạ"&amp;"n và nhận miễn phí Chiến Binh Huyền Thoại—Emma!
Mua Nhóm: Mời các chỉ huy để mặc cả cho các giảm giá tốt nhất. Giúp người khác tiết kiệm và nhận quà cảm ơn đặc biệt!
Vui Tươi Màu Sắc: Trở lại giới hạn thời gian của hiệu ứng hành quân độc quyền lễ hội—Vui "&amp;"Tươi Màu Sắc đã trở lại!
Chuỗi Giảm Giá: Chuỗi giảm giá mạnh nhất của nửa đầu năm—chi tiêu nhiều hơn để tiết kiệm nhiều hơn!
Lễ Hội Trứng May Mắn Hoàn Trả: Giá trị tuyệt vời với các phiếu giảm giá giới hạn thời gian đang được cung cấp!
Khoảnh Khắc May Mắn"&amp;": Mua một gói quà để có cơ hội quay bánh xe và giành nhiều khoản hoàn lại!
- Nâng Cấp Tổng Kháng Cự: Hiển thị nâng cao của các cấp độ khiêu chiến và chi tiết đợt.
- Nâng Cấp Di Tích: Trưng bày hiện có các mẹo bong bóng và chức năng bảo trì tự động.
- Tối "&amp;"Ưu Hóa Hàng Đợi Hành Quân: Binh lính đang rảnh rỗi hiện được ưu tiên chọn mặc định.
- Tối Ưu Hóa Trang Bị: Các tùy chọn lọc đã được thêm vào trên tất cả các màn hình.
- Nâng Cấp Đào Kho Báu: Cải thiện hiển thị phần thưởng và giao diện tàu điện ngầm bạn bè"&amp;" trong quá trình hoàn thành cấp độ.
- Cập Nhật Subterra: Sau sáu tháng hoạt động máy chủ, máy tạo động đất đã được loại bỏ khỏi trung tâm bản đồ gốc.
- Nâng Cấp Tin Tức: Hiện có tóm tắt hình ảnh của tin tức chính ngày hôm trước, phát sóng khi đăng nhập lầ"&amp;"n đầu.
- Cập Nhật Chúa Khỉ Tối Cao: Điều chỉnh một số điểm và phần thưởng trong cuộc quyết đấu tối thượng.")</f>
        <v>- Chiến Binh Mới Được Thêm: Giới thiệu loại chiến binh hoàn toàn mới—Tham Mưu! Giáo sư Kim, Huấn Luyện Viên Điện Từ, là một người thầy thông thái và nhân từ với những bài giảng đã lan tỏa khắp nơi!
- Tượng Chiến Binh Mới: Noah. Thêm phần rực rỡ cho thành phố của bạn!
- Da Cơ Khí Mới Được Thêm: Da Báo Đốm – Quái Vật Hàm Lưỡi Kiếm. Được nâng cấp bởi Bầy Khỉ, cơ khí báo đốm này tăng cường hiệu quả tấn công với sức mạnh thô và sự nhanh nhẹn dữ dội.
- Đại Đấu Trường Thiên Thể hiện có tính năng dự đoán trò chơi. Hãy hào hứng cho cuộc quyết đấu tiếp theo!
- Sự Kiện Trứng May Mắn Mới
Lễ Hội Trứng May Mắn: Thu thập Xúc Xắc Du Hành để tham gia Cuộc Phiêu Lưu Lang Thang, lắp ráp đồ trang trí lễ hội độc quyền và nhận phần thưởng hào phóng. Thêm vào đó, chụp một bức ảnh kỷ niệm lễ hội!
Cuộc Phiêu Lưu Lang Thang: Tham gia Lễ Hội Trứng May Mắn, lấy xúc xắc lễ hội và tận hưởng sự kiện để kiếm các phần trang trí và phần thưởng phong phú!
Thu Thập Trứng May Mắn: Tập hợp bạn bè của bạn để thu thập tất cả các thành phần trang trí và mở khóa các giải thưởng sự kiện độc quyền!
Tiệc Trứng May Mắn: Thời gian sự kiện kéo dài và phần thưởng nâng cấp—da hành quân độc quyền lễ hội đang chờ đợi!
Đăng Nhập Trứng May Mắn: Đăng nhập hàng ngày để nhận phần thưởng lễ hội phiên bản giới hạn và nhận miễn phí Chiến Binh Huyền Thoại—Emma!
Mua Nhóm: Mời các chỉ huy để mặc cả cho các giảm giá tốt nhất. Giúp người khác tiết kiệm và nhận quà cảm ơn đặc biệt!
Vui Tươi Màu Sắc: Trở lại giới hạn thời gian của hiệu ứng hành quân độc quyền lễ hội—Vui Tươi Màu Sắc đã trở lại!
Chuỗi Giảm Giá: Chuỗi giảm giá mạnh nhất của nửa đầu năm—chi tiêu nhiều hơn để tiết kiệm nhiều hơn!
Lễ Hội Trứng May Mắn Hoàn Trả: Giá trị tuyệt vời với các phiếu giảm giá giới hạn thời gian đang được cung cấp!
Khoảnh Khắc May Mắn: Mua một gói quà để có cơ hội quay bánh xe và giành nhiều khoản hoàn lại!
- Nâng Cấp Tổng Kháng Cự: Hiển thị nâng cao của các cấp độ khiêu chiến và chi tiết đợt.
- Nâng Cấp Di Tích: Trưng bày hiện có các mẹo bong bóng và chức năng bảo trì tự động.
- Tối Ưu Hóa Hàng Đợi Hành Quân: Binh lính đang rảnh rỗi hiện được ưu tiên chọn mặc định.
- Tối Ưu Hóa Trang Bị: Các tùy chọn lọc đã được thêm vào trên tất cả các màn hình.
- Nâng Cấp Đào Kho Báu: Cải thiện hiển thị phần thưởng và giao diện tàu điện ngầm bạn bè trong quá trình hoàn thành cấp độ.
- Cập Nhật Subterra: Sau sáu tháng hoạt động máy chủ, máy tạo động đất đã được loại bỏ khỏi trung tâm bản đồ gốc.
- Nâng Cấp Tin Tức: Hiện có tóm tắt hình ảnh của tin tức chính ngày hôm trước, phát sóng khi đăng nhập lần đầu.
- Cập Nhật Chúa Khỉ Tối Cao: Điều chỉnh một số điểm và phần thưởng trong cuộc quyết đấu tối thượng.</v>
      </c>
      <c r="N65" s="169" t="str">
        <f>IFERROR(__xludf.DUMMYFUNCTION("""COMPUTED_VALUE"""),"- Nuovo Combattente Aggiunto: Introducendo un nuovo tipo di combattente—il Maggiore! Professore Kim, il Mentore elettromagnetico, è un mentore saggio e gentile i cui insegnamenti si sono diffusi ovunque!
- Nuova Statua del Combattente: Noè. Aggiungi più b"&amp;"rillantezza alla tua città!
- Nuova Skin Mech Aggiunta: Skin Ghepardo – Bestia Mascella di Lama. Potenziato dalle Scimmie, questo mech ghepardo aumenta drasticamente l'efficienza dell'attacco con potenza grezza e agilità feroce.
- Il Colosseo astrale ora "&amp;"presenta un gameplay di previsione. Preparati per il prossimo scontro!
- Nuovo Evento Uovo Fortunato
Celebrazione dell'Uovo Fortunato: Raccogli Dadi erranti per partecipare all'Avventura Itinerante, assembla decorazioni esclusive del festival e guadagna g"&amp;"enerose ricompense. Inoltre, scatta una foto commemorativa della celebrazione!
Avventura Itinerante: Partecipa al Festival dell'Uovo Fortunato, prendi i dadi festivi e goditi l'evento per guadagnare parti di decorazione e ricche ricompense!
Raccolta Uovo "&amp;"Fortunato: Raduna i tuoi amici per raccogliere tutti i componenti delle decorazioni e sbloccare premi esclusivi dell'evento!
Festa dell'Uovo Fortunato: Tempo dell'evento esteso e ricompense migliorate—skin di marcia esclusive del festival ti aspettano!
Ac"&amp;"cesso Uovo Fortunato: Accessi giornalieri per riscattare ricompense limitate del festival e ricevere un Combattente Leggendario gratuito—Emma!
Acquisto di Gruppo: Invita i comandanti a contrattare per ottenere i migliori sconti. Aiuta gli altri a risparmi"&amp;"are e guadagna in cambio regali di ringraziamento speciali!
Melodia a colori: Ritorno a tempo limitato dell'effetto di marcia esclusivo del festival—Melodia a colori è tornata!
Catena di Sconti: La catena di sconti più forte della prima metà dell'anno—più"&amp;" spendi, più risparmi!
Ritorno del Festival dell'Uovo Fortunato: Valore incredibile con coupon di sconto a tempo limitato in offerta!
Momento Fortunato: Acquista un pacchetto regalo per avere la possibilità di girare la ruota e vincere più rimborsi!
- Pot"&amp;"enziamento della Resistenza Totale: Visualizzazione migliorata dei livelli di sfida e dei dettagli delle ondate.
- Potenziamento delle Reliquie: La vetrina ora presenta suggerimenti a bolle e funzioni di manutenzione automatica.
- Ottimizzazione della Cod"&amp;"a di Marcia: Le truppe inattive ora sono prioritarie per la selezione per impostazione predefinita.
- Ottimizzazione dell'Equipaggiamento: Sono state aggiunte opzioni di filtro su tutti gli schermi.
- Potenziamento della Scavata del Tesoro: Migliorata la "&amp;"visualizzazione delle ricompense e l'interfaccia della metropolitana degli amici durante il completamento dei livelli.
- Aggiornamento Subterra: Dopo sei mesi di operazioni del server, il terremotatore è stato rimosso dal centro della mappa originale.
- A"&amp;"ggiornamento delle Notizie: Ora presenta un riassunto illustrato delle principali notizie del giorno precedente, trasmesso al primo accesso.
- Aggiornamento Scimmia Suprema: Sono state apportate modifiche a certi punti e ricompense durante lo scontro supr"&amp;"emo.")</f>
        <v>- Nuovo Combattente Aggiunto: Introducendo un nuovo tipo di combattente—il Maggiore! Professore Kim, il Mentore elettromagnetico, è un mentore saggio e gentile i cui insegnamenti si sono diffusi ovunque!
- Nuova Statua del Combattente: Noè. Aggiungi più brillantezza alla tua città!
- Nuova Skin Mech Aggiunta: Skin Ghepardo – Bestia Mascella di Lama. Potenziato dalle Scimmie, questo mech ghepardo aumenta drasticamente l'efficienza dell'attacco con potenza grezza e agilità feroce.
- Il Colosseo astrale ora presenta un gameplay di previsione. Preparati per il prossimo scontro!
- Nuovo Evento Uovo Fortunato
Celebrazione dell'Uovo Fortunato: Raccogli Dadi erranti per partecipare all'Avventura Itinerante, assembla decorazioni esclusive del festival e guadagna generose ricompense. Inoltre, scatta una foto commemorativa della celebrazione!
Avventura Itinerante: Partecipa al Festival dell'Uovo Fortunato, prendi i dadi festivi e goditi l'evento per guadagnare parti di decorazione e ricche ricompense!
Raccolta Uovo Fortunato: Raduna i tuoi amici per raccogliere tutti i componenti delle decorazioni e sbloccare premi esclusivi dell'evento!
Festa dell'Uovo Fortunato: Tempo dell'evento esteso e ricompense migliorate—skin di marcia esclusive del festival ti aspettano!
Accesso Uovo Fortunato: Accessi giornalieri per riscattare ricompense limitate del festival e ricevere un Combattente Leggendario gratuito—Emma!
Acquisto di Gruppo: Invita i comandanti a contrattare per ottenere i migliori sconti. Aiuta gli altri a risparmiare e guadagna in cambio regali di ringraziamento speciali!
Melodia a colori: Ritorno a tempo limitato dell'effetto di marcia esclusivo del festival—Melodia a colori è tornata!
Catena di Sconti: La catena di sconti più forte della prima metà dell'anno—più spendi, più risparmi!
Ritorno del Festival dell'Uovo Fortunato: Valore incredibile con coupon di sconto a tempo limitato in offerta!
Momento Fortunato: Acquista un pacchetto regalo per avere la possibilità di girare la ruota e vincere più rimborsi!
- Potenziamento della Resistenza Totale: Visualizzazione migliorata dei livelli di sfida e dei dettagli delle ondate.
- Potenziamento delle Reliquie: La vetrina ora presenta suggerimenti a bolle e funzioni di manutenzione automatica.
- Ottimizzazione della Coda di Marcia: Le truppe inattive ora sono prioritarie per la selezione per impostazione predefinita.
- Ottimizzazione dell'Equipaggiamento: Sono state aggiunte opzioni di filtro su tutti gli schermi.
- Potenziamento della Scavata del Tesoro: Migliorata la visualizzazione delle ricompense e l'interfaccia della metropolitana degli amici durante il completamento dei livelli.
- Aggiornamento Subterra: Dopo sei mesi di operazioni del server, il terremotatore è stato rimosso dal centro della mappa originale.
- Aggiornamento delle Notizie: Ora presenta un riassunto illustrato delle principali notizie del giorno precedente, trasmesso al primo accesso.
- Aggiornamento Scimmia Suprema: Sono state apportate modifiche a certi punti e ricompense durante lo scontro supremo.</v>
      </c>
      <c r="O65" s="168" t="str">
        <f>IFERROR(__xludf.DUMMYFUNCTION("""COMPUTED_VALUE"""),"- Nowy Wojownik Dodany: Wprowadzenie nowego typu wojownika—Oficer Sztabowy! Profesor Kim, Mentor Elektromagnetyczny, to mądry i życzliwy mentor, którego nauki rozkwitły daleko i szeroko!
- Nowy Pomnik Wojownika: Noah. Dodaj więcej blasku do swojego miasta"&amp;"!
- Nowa Skórka Mecha Dodana: Skórka Geparda – Bestia Ostrzopaszcza. Ulepszony przez Małpy, ten gepardowy mech dramatycznie zwiększa efektywność ataku dzięki surowej sile i dzikiej zwinności.
- Gwiezdne Koloseum teraz zawiera rozgrywkę z przewidywaniami. "&amp;"Czekaj na następną rozgrywkę!
- Nowe Wydarzenie Szczęśliwego Jaja
Święto Szczęśliwych Jaj: Zbieraj Wędrujące Kostki, aby dołączyć do Wędrującej Przygody, zmontuj ekskluzywne festiwalowe dekoracje i zdobądź hojne nagrody. Dodatkowo, złap pamiątkowe zdjęcie"&amp;" z obchodów!
Wędrująca Przygoda: Dołącz do Festiwalu Szczęśliwych Jaj, złap festiwalowe kostki i ciesz się wydarzeniem, aby zdobyć części dekoracji i bogate nagrody!
Zbiórka Szczęśliwych Jaj: Zbierz swoich znajomych, aby zebrać wszystkie komponenty dekora"&amp;"cji i odblokować ekskluzywne nagrody wydarzenia!
Impreza Szczęśliwych Jaj: Przedłużony czas wydarzenia i ulepszone nagrody—festiwalowe ekskluzywne skórki marszu czekają!
Logowanie Szczęśliwego Jaja: Codzienne logowania, aby odebrać limitowane nagrody fest"&amp;"iwalowe i otrzymać darmowego Legendarnego Wojownika—Emma!
Grupowy Zakup: Zaproś dowódców do negocjacji najlepszych zniżek. Pomóż innym zaoszczędzić i zdobądź specjalne podziękowania w zamian!
Kolorowa Melodia: Limitowany powrót festiwalowego efektu marszu"&amp;"—Kolorowa Melodia wraca!
Łańcuch Zniżek: Najsilniejszy łańcuch zniżek pierwszej połowy roku—wydawaj więcej, aby zaoszczędzić więcej!
Festiwal Szczęśliwych Jaj Zwrot: Niesamowita wartość z limitowanymi kuponami zniżkowymi w ofercie!
Moment Szczęścia: Kup p"&amp;"aczkę prezentową, aby mieć szansę zakręcić kołem i wygrać wielokrotne rabaty!
- Ulepszenie Całkowitej Odporności: Ulepszony wyświetlacz poziomów wyzwań i szczegółów fal.
- Ulepszenie Reliktów: Teraz pokazuje wskazówki w dymkach i funkcje automatycznej kon"&amp;"serwacji.
- Optymalizacja Kolejki Marszowej: Bezczynne jednostki są teraz domyślnie priorytetowo wybierane.
- Optymalizacja Wyposażenia: Opcje filtrowania zostały dodane na wszystkich ekranach.
- Ulepszenie Wykopywania Skarbów: Ulepszony wyświetlacz nagró"&amp;"d i interfejs metra znajomych podczas ukończenia poziomu.
- Aktualizacja Subterra: Po sześciu miesiącach działania serwera, trzęsienie ziemi zostało usunięte z centrum oryginalnej mapy.
- Ulepszenie Wiadomości: Teraz zawiera obrazkowe podsumowanie najważn"&amp;"iejszych wiadomości z poprzedniego dnia, nadawane przy pierwszym logowaniu.
- Aktualizacja UBERMAŁPY: Wprowadzono zmiany w niektórych punktach i nagrodach podczas ostatecznej rozgrywki.")</f>
        <v>- Nowy Wojownik Dodany: Wprowadzenie nowego typu wojownika—Oficer Sztabowy! Profesor Kim, Mentor Elektromagnetyczny, to mądry i życzliwy mentor, którego nauki rozkwitły daleko i szeroko!
- Nowy Pomnik Wojownika: Noah. Dodaj więcej blasku do swojego miasta!
- Nowa Skórka Mecha Dodana: Skórka Geparda – Bestia Ostrzopaszcza. Ulepszony przez Małpy, ten gepardowy mech dramatycznie zwiększa efektywność ataku dzięki surowej sile i dzikiej zwinności.
- Gwiezdne Koloseum teraz zawiera rozgrywkę z przewidywaniami. Czekaj na następną rozgrywkę!
- Nowe Wydarzenie Szczęśliwego Jaja
Święto Szczęśliwych Jaj: Zbieraj Wędrujące Kostki, aby dołączyć do Wędrującej Przygody, zmontuj ekskluzywne festiwalowe dekoracje i zdobądź hojne nagrody. Dodatkowo, złap pamiątkowe zdjęcie z obchodów!
Wędrująca Przygoda: Dołącz do Festiwalu Szczęśliwych Jaj, złap festiwalowe kostki i ciesz się wydarzeniem, aby zdobyć części dekoracji i bogate nagrody!
Zbiórka Szczęśliwych Jaj: Zbierz swoich znajomych, aby zebrać wszystkie komponenty dekoracji i odblokować ekskluzywne nagrody wydarzenia!
Impreza Szczęśliwych Jaj: Przedłużony czas wydarzenia i ulepszone nagrody—festiwalowe ekskluzywne skórki marszu czekają!
Logowanie Szczęśliwego Jaja: Codzienne logowania, aby odebrać limitowane nagrody festiwalowe i otrzymać darmowego Legendarnego Wojownika—Emma!
Grupowy Zakup: Zaproś dowódców do negocjacji najlepszych zniżek. Pomóż innym zaoszczędzić i zdobądź specjalne podziękowania w zamian!
Kolorowa Melodia: Limitowany powrót festiwalowego efektu marszu—Kolorowa Melodia wraca!
Łańcuch Zniżek: Najsilniejszy łańcuch zniżek pierwszej połowy roku—wydawaj więcej, aby zaoszczędzić więcej!
Festiwal Szczęśliwych Jaj Zwrot: Niesamowita wartość z limitowanymi kuponami zniżkowymi w ofercie!
Moment Szczęścia: Kup paczkę prezentową, aby mieć szansę zakręcić kołem i wygrać wielokrotne rabaty!
- Ulepszenie Całkowitej Odporności: Ulepszony wyświetlacz poziomów wyzwań i szczegółów fal.
- Ulepszenie Reliktów: Teraz pokazuje wskazówki w dymkach i funkcje automatycznej konserwacji.
- Optymalizacja Kolejki Marszowej: Bezczynne jednostki są teraz domyślnie priorytetowo wybierane.
- Optymalizacja Wyposażenia: Opcje filtrowania zostały dodane na wszystkich ekranach.
- Ulepszenie Wykopywania Skarbów: Ulepszony wyświetlacz nagród i interfejs metra znajomych podczas ukończenia poziomu.
- Aktualizacja Subterra: Po sześciu miesiącach działania serwera, trzęsienie ziemi zostało usunięte z centrum oryginalnej mapy.
- Ulepszenie Wiadomości: Teraz zawiera obrazkowe podsumowanie najważniejszych wiadomości z poprzedniego dnia, nadawane przy pierwszym logowaniu.
- Aktualizacja UBERMAŁPY: Wprowadzono zmiany w niektórych punktach i nagrodach podczas ostatecznej rozgrywki.</v>
      </c>
      <c r="P65" s="168" t="str">
        <f>IFERROR(__xludf.DUMMYFUNCTION("""COMPUTED_VALUE"""),"- إضافة مقاتل جديد: تقديم نوع جديد من المقاتلين - ضابط الأركان! البروفيسور كيم، المرشد الكهرومغناطيسي، هو مرشد حكيم ولطيف انتشرت تعاليمه على نطاق واسع!
- تمثال المقاتل الجديد: نوح. أضف المزيد من التألق إلى مدينتك!
- إضافة جلد ميكا جديد: جلد الفهد - وحش فك"&amp;" النصل. تم ترقيته بواسطة القرود، هذا الميكا الفهد يعزز بشكل كبير كفاءة الهجوم بالقوة الخام والرشاقة الشديدة.
- مدرج النجوم الآن يتميز بطريقة لعب التنبؤ. استعد للعرض التالي!
- حدث بيض الحظ الجديد
احتفال بيض الحظ: اجمع نرد التجوال للانضمام إلى مغامرة التجوا"&amp;"ل، وصنع ديكورات المهرجان الحصرية، واحصل على مكافآت سخية. بالإضافة إلى ذلك، التقط صورة تذكارية للاحتفال!
مغامرة التجوال: انضم إلى مهرجان بيض الحظ، واحصل على نرد المهرجان، واستمتع بالحدث لكسب أجزاء الزينة والمكافآت الغنية!
جمع بيض الحظ: اجمع أصدقائك لجمع جم"&amp;"يع مكونات الزينة وفتح جوائز الحدث الحصرية!
حفلة بيض الحظ: تمديد وقت الحدث وترقية المكافآت - جلود المسيرة الحصرية للمهرجان في انتظارك!
تسجيل الدخول لبيض الحظ: تسجيل الدخول اليومي للحصول على مكافآت المهرجان المحدودة واستلام مقاتل أسطوري مجاني - إيما!
شراء ج"&amp;"ماعي: ادعُ القادة للتفاوض على أفضل الخصومات. ساعد الآخرين على التوفير واحصل على هدايا شكر خاصة في المقابل!
لحن الألوان: عودة محدودة الوقت لتأثير المسيرة الحصري للمهرجان - لحن الألوان عاد!
سلسلة الخصم: أقوى سلسلة خصم في النصف الأول من العام - أنفق أكثر لتو"&amp;"فير أكثر!
استرداد مهرجان بيض الحظ: قيمة مذهلة مع قسائم خصم محدودة الوقت معروضة!
لحظة الحظ: اشترِ حزمة هدايا للحصول على فرصة لتدوير العجلة والفوز بخصومات متعددة!
- ترقية المقاومة الإجمالية: تحسين عرض مستويات التحدي وتفاصيل الموجة.
- ترقية المقتنيات: العرض "&amp;"الآن يتميز بنصائح الفقاعات ووظائف الصيانة التلقائية.
- تحسين طابور المسيرة: يتم الآن إعطاء الأولوية للوحدات الخاملة للاختيار بشكل افتراضي.
- تحسين المعدات: تمت إضافة خيارات التصفية عبر جميع الشاشات.
- ترقية حفر الكنز: تحسين عرض المكافآت وواجهة مترو الأنفا"&amp;"ق للأصدقاء أثناء إكمال المستوى.
- تحديث تحت الأرض: بعد ستة أشهر من تشغيل السيرفر، تمت إزالة الزلزال من مركز الخريطة الأصلية.
- ترقية الأخبار: الآن تتميز بملخص مصور لأخبار اليوم السابق الرئيسية، يتم بثه عند أول تسجيل دخول.
- تحديث القرد الخارق: تم إجراء تع"&amp;"ديلات على بعض النقاط والمكافآت أثناء العرض النهائي.")</f>
        <v>- إضافة مقاتل جديد: تقديم نوع جديد من المقاتلين - ضابط الأركان! البروفيسور كيم، المرشد الكهرومغناطيسي، هو مرشد حكيم ولطيف انتشرت تعاليمه على نطاق واسع!
- تمثال المقاتل الجديد: نوح. أضف المزيد من التألق إلى مدينتك!
- إضافة جلد ميكا جديد: جلد الفهد - وحش فك النصل. تم ترقيته بواسطة القرود، هذا الميكا الفهد يعزز بشكل كبير كفاءة الهجوم بالقوة الخام والرشاقة الشديدة.
- مدرج النجوم الآن يتميز بطريقة لعب التنبؤ. استعد للعرض التالي!
- حدث بيض الحظ الجديد
احتفال بيض الحظ: اجمع نرد التجوال للانضمام إلى مغامرة التجوال، وصنع ديكورات المهرجان الحصرية، واحصل على مكافآت سخية. بالإضافة إلى ذلك، التقط صورة تذكارية للاحتفال!
مغامرة التجوال: انضم إلى مهرجان بيض الحظ، واحصل على نرد المهرجان، واستمتع بالحدث لكسب أجزاء الزينة والمكافآت الغنية!
جمع بيض الحظ: اجمع أصدقائك لجمع جميع مكونات الزينة وفتح جوائز الحدث الحصرية!
حفلة بيض الحظ: تمديد وقت الحدث وترقية المكافآت - جلود المسيرة الحصرية للمهرجان في انتظارك!
تسجيل الدخول لبيض الحظ: تسجيل الدخول اليومي للحصول على مكافآت المهرجان المحدودة واستلام مقاتل أسطوري مجاني - إيما!
شراء جماعي: ادعُ القادة للتفاوض على أفضل الخصومات. ساعد الآخرين على التوفير واحصل على هدايا شكر خاصة في المقابل!
لحن الألوان: عودة محدودة الوقت لتأثير المسيرة الحصري للمهرجان - لحن الألوان عاد!
سلسلة الخصم: أقوى سلسلة خصم في النصف الأول من العام - أنفق أكثر لتوفير أكثر!
استرداد مهرجان بيض الحظ: قيمة مذهلة مع قسائم خصم محدودة الوقت معروضة!
لحظة الحظ: اشترِ حزمة هدايا للحصول على فرصة لتدوير العجلة والفوز بخصومات متعددة!
- ترقية المقاومة الإجمالية: تحسين عرض مستويات التحدي وتفاصيل الموجة.
- ترقية المقتنيات: العرض الآن يتميز بنصائح الفقاعات ووظائف الصيانة التلقائية.
- تحسين طابور المسيرة: يتم الآن إعطاء الأولوية للوحدات الخاملة للاختيار بشكل افتراضي.
- تحسين المعدات: تمت إضافة خيارات التصفية عبر جميع الشاشات.
- ترقية حفر الكنز: تحسين عرض المكافآت وواجهة مترو الأنفاق للأصدقاء أثناء إكمال المستوى.
- تحديث تحت الأرض: بعد ستة أشهر من تشغيل السيرفر، تمت إزالة الزلزال من مركز الخريطة الأصلية.
- ترقية الأخبار: الآن تتميز بملخص مصور لأخبار اليوم السابق الرئيسية، يتم بثه عند أول تسجيل دخول.
- تحديث القرد الخارق: تم إجراء تعديلات على بعض النقاط والمكافآت أثناء العرض النهائي.</v>
      </c>
      <c r="Q65" s="168" t="str">
        <f>IFERROR(__xludf.DUMMYFUNCTION("""COMPUTED_VALUE"""),"- 新しいファイター追加: 新しいファイタータイプ—参謀を紹介します！電磁メンターのキム教授は、賢明で親切なメンターで、その教えは広く行き渡っています！
- 新しいファイターの像: ノア。あなたの都市にさらなる輝きを追加しましょう！
- 新しいメカスキン追加: チーターのスキン – ブレードジョービースト。エイプによってアップグレードされたこのチーターメカは、圧倒的な戦力と俊敏さで攻撃効率を劇的に向上させます。
- アストラルコロシアムに予測プレイが追加されました。次の対決に期待してください！
- 新しい"&amp;"ラッキーエッグイベント
ラッキーエッグセレブレーション: 放浪のサイコロを収集して放浪の冒険に参加し、限定の祭り装飾品を製造し、豪華な報酬を獲得しましょう。さらに、記念写真を撮りましょう！
放浪の冒険: ラッキーエッグフェスティバルに参加し、祭りのサイコロを手に入れて、イベントを楽しみながら装飾部品と豊富な報酬を獲得しましょう！
ラッキーエッグコレクション: 友達を集めてすべての装飾コンポーネントを収集し、限定イベントの賞品をアンロックしましょう！
イースターパーティー: イベント時間が延長され、報酬がア"&amp;"ップグレードされました—祭り限定の行軍スキンが待っています！
ラッキーエッグログイン: デイリーログインで限定版の祭り報酬を受け取り、無料の伝説のファイター—エマを獲得しましょう！
グループ購入: 指揮官を招待して最高の割引を交渉しましょう。他の人を助けて特別な感謝ギフトを獲得しましょう！
カラーメロディ: 期間限定で祭り限定の行軍エフェクト—カラーメロディが戻ってきました！
ディスカウントチェーン: 年の前半で最強のディスカウントチェーン—多く使うほど多く節約！
ラッキーエッグフェスティバルギブバック:"&amp;" 期間限定の割引クーポンで驚異的な価値を提供！
ラッキーストリーク: ギフトパックを購入して、ホイールを回して複数のリベートを獲得するチャンスを得ましょう！
- 合計抵抗アップグレード: 挑戦レベルと波影の詳細の表示が強化されました。
- 遺物アップグレード: ショーケースにバブルヒントと自動メンテナンス機能が追加されました。
- 行軍キューの最適化: アイドル状態のユニットがデフォルトで優先的に選択されるようになりました。
- 装備の最適化: すべての画面にフィルターオプションが追加されました。
- 地"&amp;"底の宝探しアップグレード: 報酬表示とレベル完了時の友達地下鉄インターフェースが改善されました。
- サブテラアップデート: サーバー運用開始から6ヶ月後、アースクエイカーが元のマップの中心から撤去されました。
- ニュースアップグレード: 前日の主要ニュースのピクトリアルサマリーが、最初のログイン時に放送されるようになりました。
- 究極のエイプアップデート: 究極の対決中の特定のポイントと報酬が調整されました。")</f>
        <v>- 新しいファイター追加: 新しいファイタータイプ—参謀を紹介します！電磁メンターのキム教授は、賢明で親切なメンターで、その教えは広く行き渡っています！
- 新しいファイターの像: ノア。あなたの都市にさらなる輝きを追加しましょう！
- 新しいメカスキン追加: チーターのスキン – ブレードジョービースト。エイプによってアップグレードされたこのチーターメカは、圧倒的な戦力と俊敏さで攻撃効率を劇的に向上させます。
- アストラルコロシアムに予測プレイが追加されました。次の対決に期待してください！
- 新しいラッキーエッグイベント
ラッキーエッグセレブレーション: 放浪のサイコロを収集して放浪の冒険に参加し、限定の祭り装飾品を製造し、豪華な報酬を獲得しましょう。さらに、記念写真を撮りましょう！
放浪の冒険: ラッキーエッグフェスティバルに参加し、祭りのサイコロを手に入れて、イベントを楽しみながら装飾部品と豊富な報酬を獲得しましょう！
ラッキーエッグコレクション: 友達を集めてすべての装飾コンポーネントを収集し、限定イベントの賞品をアンロックしましょう！
イースターパーティー: イベント時間が延長され、報酬がアップグレードされました—祭り限定の行軍スキンが待っています！
ラッキーエッグログイン: デイリーログインで限定版の祭り報酬を受け取り、無料の伝説のファイター—エマを獲得しましょう！
グループ購入: 指揮官を招待して最高の割引を交渉しましょう。他の人を助けて特別な感謝ギフトを獲得しましょう！
カラーメロディ: 期間限定で祭り限定の行軍エフェクト—カラーメロディが戻ってきました！
ディスカウントチェーン: 年の前半で最強のディスカウントチェーン—多く使うほど多く節約！
ラッキーエッグフェスティバルギブバック: 期間限定の割引クーポンで驚異的な価値を提供！
ラッキーストリーク: ギフトパックを購入して、ホイールを回して複数のリベートを獲得するチャンスを得ましょう！
- 合計抵抗アップグレード: 挑戦レベルと波影の詳細の表示が強化されました。
- 遺物アップグレード: ショーケースにバブルヒントと自動メンテナンス機能が追加されました。
- 行軍キューの最適化: アイドル状態のユニットがデフォルトで優先的に選択されるようになりました。
- 装備の最適化: すべての画面にフィルターオプションが追加されました。
- 地底の宝探しアップグレード: 報酬表示とレベル完了時の友達地下鉄インターフェースが改善されました。
- サブテラアップデート: サーバー運用開始から6ヶ月後、アースクエイカーが元のマップの中心から撤去されました。
- ニュースアップグレード: 前日の主要ニュースのピクトリアルサマリーが、最初のログイン時に放送されるようになりました。
- 究極のエイプアップデート: 究極の対決中の特定のポイントと報酬が調整されました。</v>
      </c>
      <c r="R65" s="168" t="str">
        <f>IFERROR(__xludf.DUMMYFUNCTION("""COMPUTED_VALUE"""),"- 새로운 전사 추가: 새로운 전사 유형 - 군단 참모! 전자기 멘토 김 교수는 지혜롭고 친절한 멘토로, 그의 가르침은 널리 퍼졌습니다!
- 새로운 전사 석상: 노아. 당신의 도시에 더 많은 빛을 더하세요!
- 새로운 메카 스킨 추가: 치타 스킨 - 칼날턱 야수. 원숭이들에 의해 업그레이드된 이 치타 메카는 강력한 힘과 날카로운 민첩성으로 공격 효율을 극대화합니다.
- 별의 사투에 예측 게임플레이가 추가되었습니다. 다음 결전을 기대하세요!
- 새로운 행"&amp;"운의 계란 이벤트
행운의 계란 축제: 방랑 주사위를 모아 방랑 모험에 참여하고, 독점 축제 장식을 제작하며, 풍성한 보상을 받으세요. 또한, 기념 축제 사진을 찍으세요!
방랑 모험: 행운의 계란 축제에 참여하여 축제 주사위를 모으고, 이벤트를 즐기며 장식 부품과 풍성한 보상을 받으세요!
행운의 계란 수집: 친구들을 모아 모든 장식 부품을 모으고 독점 이벤트 상품을 잠금 해제하세요!
행운의 계란 파티: 이벤트 시간이 연장되고 업그레이드된 보상 - 축제 독"&amp;"점 행군 스킨이 기다리고 있습니다!
행운의 계란 출석: 일일 출석으로 한정판 축제 보상을 청구하고 무료 전설의 전사 - 엠마를 받으세요!
그룹 구매: 지휘관들을 초대하여 최고의 할인을 위해 흥정하세요. 다른 사람들을 도와주고 특별한 감사 선물을 받으세요!
색상 멜로디: 한정 기간 동안 축제 독점 행군 이펙트 - 색상 멜로디가 돌아왔습니다!
할인 체인: 상반기 최강의 할인 체인 - 더 많이 쓸수록 더 많이 절약하세요!
행운의 계란 축제 환급: 한정 기간 "&amp;"동안 할인 쿠폰을 제공하여 놀라운 가치를 누리세요!
행운의 연속: 선물 팩을 구매하여 룰렛을 돌리고 여러 번의 리베이트를 받을 기회를 잡으세요!
- 전체 저항력 업그레이드: 도전 레벨과 파도 세부 사항의 디스플레이가 향상되었습니다.
- 유물 업그레이드: 쇼케이스에 버블 팁과 자동 유지보수 기능이 추가되었습니다.
- 행군 대기열 최적화: 대기 중인 유닛이 기본적으로 선택 우선순위가 됩니다.
- 장비 최적화: 모든 화면에 필터링 옵션이 추가되었습니다.
- "&amp;"지하 보물찾기 업그레이드: 레벨 완료 시 보상 디스플레이와 친구 지하철 인터페이스가 개선되었습니다.
- 서브테라 업데이트: 서버 운영 6개월 후, 원래 지도 중심에서 지진기가 제거되었습니다.
- 뉴스 업그레이드: 첫 로그인 시 전날 주요 뉴스의 그림 요약이 방송됩니다.
- 최강 원숭이 업데이트: 최종 결전 중 특정 포인트와 보상이 조정되었습니다.")</f>
        <v>- 새로운 전사 추가: 새로운 전사 유형 - 군단 참모! 전자기 멘토 김 교수는 지혜롭고 친절한 멘토로, 그의 가르침은 널리 퍼졌습니다!
- 새로운 전사 석상: 노아. 당신의 도시에 더 많은 빛을 더하세요!
- 새로운 메카 스킨 추가: 치타 스킨 - 칼날턱 야수. 원숭이들에 의해 업그레이드된 이 치타 메카는 강력한 힘과 날카로운 민첩성으로 공격 효율을 극대화합니다.
- 별의 사투에 예측 게임플레이가 추가되었습니다. 다음 결전을 기대하세요!
- 새로운 행운의 계란 이벤트
행운의 계란 축제: 방랑 주사위를 모아 방랑 모험에 참여하고, 독점 축제 장식을 제작하며, 풍성한 보상을 받으세요. 또한, 기념 축제 사진을 찍으세요!
방랑 모험: 행운의 계란 축제에 참여하여 축제 주사위를 모으고, 이벤트를 즐기며 장식 부품과 풍성한 보상을 받으세요!
행운의 계란 수집: 친구들을 모아 모든 장식 부품을 모으고 독점 이벤트 상품을 잠금 해제하세요!
행운의 계란 파티: 이벤트 시간이 연장되고 업그레이드된 보상 - 축제 독점 행군 스킨이 기다리고 있습니다!
행운의 계란 출석: 일일 출석으로 한정판 축제 보상을 청구하고 무료 전설의 전사 - 엠마를 받으세요!
그룹 구매: 지휘관들을 초대하여 최고의 할인을 위해 흥정하세요. 다른 사람들을 도와주고 특별한 감사 선물을 받으세요!
색상 멜로디: 한정 기간 동안 축제 독점 행군 이펙트 - 색상 멜로디가 돌아왔습니다!
할인 체인: 상반기 최강의 할인 체인 - 더 많이 쓸수록 더 많이 절약하세요!
행운의 계란 축제 환급: 한정 기간 동안 할인 쿠폰을 제공하여 놀라운 가치를 누리세요!
행운의 연속: 선물 팩을 구매하여 룰렛을 돌리고 여러 번의 리베이트를 받을 기회를 잡으세요!
- 전체 저항력 업그레이드: 도전 레벨과 파도 세부 사항의 디스플레이가 향상되었습니다.
- 유물 업그레이드: 쇼케이스에 버블 팁과 자동 유지보수 기능이 추가되었습니다.
- 행군 대기열 최적화: 대기 중인 유닛이 기본적으로 선택 우선순위가 됩니다.
- 장비 최적화: 모든 화면에 필터링 옵션이 추가되었습니다.
- 지하 보물찾기 업그레이드: 레벨 완료 시 보상 디스플레이와 친구 지하철 인터페이스가 개선되었습니다.
- 서브테라 업데이트: 서버 운영 6개월 후, 원래 지도 중심에서 지진기가 제거되었습니다.
- 뉴스 업그레이드: 첫 로그인 시 전날 주요 뉴스의 그림 요약이 방송됩니다.
- 최강 원숭이 업데이트: 최종 결전 중 특정 포인트와 보상이 조정되었습니다.</v>
      </c>
      <c r="S65" s="168" t="str">
        <f>IFERROR(__xludf.DUMMYFUNCTION("""COMPUTED_VALUE"""),"-新增斗士：新的斗士类型——参谋！电磁导师-金教授，睿智而和蔼的教授，桃李满天下的导师！
-新增斗士雕像：诺亚，来为你的城市增添更多光彩吧！
-新增机甲皮肤：猎豹皮肤-剑齿凶兽，经过猿族改装，猎豹机甲大幅提高了攻击效率，蕴含着原始的力量，凶暴而矫捷。
-决战卫星之巅联赛增加了竞猜玩法，期待下一次联赛的到来吧！
-新增彩蛋节活动
彩蛋庆典：收集节日骰子参与彩蛋之旅，组装彩蛋节限定装饰物，获取丰厚奖励。更有彩蛋庆典纪念照片赠送！                                         "&amp;"                                                  
彩蛋之旅：参加彩蛋节活动获取节日骰子，游玩活动即可获取装饰物组件和丰厚奖励！
彩蛋收集：广邀好友，集齐装饰物组件获取限定活动奖励！
彩蛋节派对：活动时间延长，奖励升级！彩蛋节限定行军皮肤等你来拿！
彩蛋签到：每日签到，领取彩蛋节限定活动奖励，免费获取传说领袖斗士-艾玛！
全猿帮购：邀请指挥官砍价，获得最大的购买优惠，帮助其他指挥官砍价还可以获得砍价谢礼！
炫彩悦动：节日限定行军特效-炫彩悦动限时返场！
折"&amp;"扣连锁：上半年最强折扣连锁，消费额度越大折扣越大！
彩蛋节回馈：超值回馈，限时折扣券派送中！
彩蛋轮盘：购买礼包，获取开启轮盘的机会，赢取多倍返利！
-全面抵御优化：优化了挑战等级和波次的信息显示。
-收藏品优化：收藏品展览柜增加了气泡提示和自动保养功能。
-行军队列优化：提高了默认选中空闲部队的优先级。
-战装优化：各界面增加筛选功能。
-地下探宝优化：优化了通关奖励界面显示，以及前往好友地铁时的界面显示。
-地下世界优化：服务器开启6个月后，清除原猩球地图中心的地震机。
-新闻优化：增加了前一日重大新"&amp;"闻的图文版汇总，每日首次登录时进行放送。
-最强猴子优化：实力对抗阶段的部分积分和奖励调整。")</f>
        <v>-新增斗士：新的斗士类型——参谋！电磁导师-金教授，睿智而和蔼的教授，桃李满天下的导师！
-新增斗士雕像：诺亚，来为你的城市增添更多光彩吧！
-新增机甲皮肤：猎豹皮肤-剑齿凶兽，经过猿族改装，猎豹机甲大幅提高了攻击效率，蕴含着原始的力量，凶暴而矫捷。
-决战卫星之巅联赛增加了竞猜玩法，期待下一次联赛的到来吧！
-新增彩蛋节活动
彩蛋庆典：收集节日骰子参与彩蛋之旅，组装彩蛋节限定装饰物，获取丰厚奖励。更有彩蛋庆典纪念照片赠送！                                                                                           
彩蛋之旅：参加彩蛋节活动获取节日骰子，游玩活动即可获取装饰物组件和丰厚奖励！
彩蛋收集：广邀好友，集齐装饰物组件获取限定活动奖励！
彩蛋节派对：活动时间延长，奖励升级！彩蛋节限定行军皮肤等你来拿！
彩蛋签到：每日签到，领取彩蛋节限定活动奖励，免费获取传说领袖斗士-艾玛！
全猿帮购：邀请指挥官砍价，获得最大的购买优惠，帮助其他指挥官砍价还可以获得砍价谢礼！
炫彩悦动：节日限定行军特效-炫彩悦动限时返场！
折扣连锁：上半年最强折扣连锁，消费额度越大折扣越大！
彩蛋节回馈：超值回馈，限时折扣券派送中！
彩蛋轮盘：购买礼包，获取开启轮盘的机会，赢取多倍返利！
-全面抵御优化：优化了挑战等级和波次的信息显示。
-收藏品优化：收藏品展览柜增加了气泡提示和自动保养功能。
-行军队列优化：提高了默认选中空闲部队的优先级。
-战装优化：各界面增加筛选功能。
-地下探宝优化：优化了通关奖励界面显示，以及前往好友地铁时的界面显示。
-地下世界优化：服务器开启6个月后，清除原猩球地图中心的地震机。
-新闻优化：增加了前一日重大新闻的图文版汇总，每日首次登录时进行放送。
-最强猴子优化：实力对抗阶段的部分积分和奖励调整。</v>
      </c>
      <c r="T65" s="148"/>
      <c r="U65" s="148"/>
      <c r="V65" s="148"/>
      <c r="W65" s="148"/>
      <c r="X65" s="148"/>
      <c r="Y65" s="148"/>
      <c r="Z65" s="148"/>
    </row>
    <row r="66">
      <c r="A66" s="167" t="str">
        <f>IFERROR(__xludf.DUMMYFUNCTION("""COMPUTED_VALUE"""),"0.75.0")</f>
        <v>0.75.0</v>
      </c>
      <c r="B66" s="148" t="str">
        <f>IFERROR(__xludf.DUMMYFUNCTION("""COMPUTED_VALUE"""),"-新增斗士：白眉神探-维多克，洞察秋毫的智者，破解谜团的名侦探！
-新增机甲：剧毒猎手-蜘蛛，操控致命毒素的新型机甲，战场上的无情猎手！
-新增战车皮肤：英勇不屈号-冰淇淋贩售车，用香甜的奶油解决一切烦恼；
-新增斗士雕像：维克，来为你的城市增添更多光彩吧！
-新增军事演练：通过适时的演练获取更多战斗增益！
-新增红色战装：新战装能够带来强大的功能性效果，使用它们击溃敌人吧！
-新增堡垒对决关卡：100个；
-新增寻宝记关卡：第六章，100个；
-新增第5代、第6代斗士自选奖牌；
-新增资源特供自选礼包；"&amp;"
-新增拓荒节活动
机械秘宝：拓荒节抽奖活动开启！使用纪念扳手，赢取豪华大奖，更有城市外观-掘金之旅，等你来拿；
掘地求胜：收集钻头，提升活动等级，有机会获取全新行军特效-穿越沙海；
拓荒豪礼：限时累计充值即可领取丰厚奖励！
拓荒行动：玩家完成任务可点亮当前任务牌，获取任务奖励，赢取拓荒节城市装饰；
欢乐对对碰：对对碰重新返场，奖励升级！节日内提升实力，即可开启免费礼物！有概率获取限定节日奖励！
超级幸运星：全服庆典狂欢，低价抽奖，寻找超级幸运星！城市外观等你来抽！
荒野探宝：收集探宝十字镐，挖掘水晶与晶"&amp;"岩，赢取大量奖励！
宝箱大放送：全服玩家累计进度，获取黄金宝箱与白银宝箱！
炫彩战车：新战车皮肤登场，限定战车皮肤即将和大家见面！
-战报可读性优化：战报界面全新升级，提供更加清晰的阅读体验；
-帮派聊天室优化：增加调整顺序功能，可自由调整帮派聊天室顺序；
-决战卫星之巅联赛优化：优化匹配分组，初始化联赛等级，新增赛事竞猜玩法；
-围剿变异猴优化：允许玩家在匹配阶段跳出组队界面；
-战装车间优化：进度条显示逻辑优化，内外生产进度条显示逻辑保持一致；
-收藏品成就优化：成就奖励可领取状态提示强化，多个奖励可"&amp;"连续跳转领取。")</f>
        <v>-新增斗士：白眉神探-维多克，洞察秋毫的智者，破解谜团的名侦探！
-新增机甲：剧毒猎手-蜘蛛，操控致命毒素的新型机甲，战场上的无情猎手！
-新增战车皮肤：英勇不屈号-冰淇淋贩售车，用香甜的奶油解决一切烦恼；
-新增斗士雕像：维克，来为你的城市增添更多光彩吧！
-新增军事演练：通过适时的演练获取更多战斗增益！
-新增红色战装：新战装能够带来强大的功能性效果，使用它们击溃敌人吧！
-新增堡垒对决关卡：100个；
-新增寻宝记关卡：第六章，100个；
-新增第5代、第6代斗士自选奖牌；
-新增资源特供自选礼包；
-新增拓荒节活动
机械秘宝：拓荒节抽奖活动开启！使用纪念扳手，赢取豪华大奖，更有城市外观-掘金之旅，等你来拿；
掘地求胜：收集钻头，提升活动等级，有机会获取全新行军特效-穿越沙海；
拓荒豪礼：限时累计充值即可领取丰厚奖励！
拓荒行动：玩家完成任务可点亮当前任务牌，获取任务奖励，赢取拓荒节城市装饰；
欢乐对对碰：对对碰重新返场，奖励升级！节日内提升实力，即可开启免费礼物！有概率获取限定节日奖励！
超级幸运星：全服庆典狂欢，低价抽奖，寻找超级幸运星！城市外观等你来抽！
荒野探宝：收集探宝十字镐，挖掘水晶与晶岩，赢取大量奖励！
宝箱大放送：全服玩家累计进度，获取黄金宝箱与白银宝箱！
炫彩战车：新战车皮肤登场，限定战车皮肤即将和大家见面！
-战报可读性优化：战报界面全新升级，提供更加清晰的阅读体验；
-帮派聊天室优化：增加调整顺序功能，可自由调整帮派聊天室顺序；
-决战卫星之巅联赛优化：优化匹配分组，初始化联赛等级，新增赛事竞猜玩法；
-围剿变异猴优化：允许玩家在匹配阶段跳出组队界面；
-战装车间优化：进度条显示逻辑优化，内外生产进度条显示逻辑保持一致；
-收藏品成就优化：成就奖励可领取状态提示强化，多个奖励可连续跳转领取。</v>
      </c>
      <c r="C66" s="148" t="str">
        <f>IFERROR(__xludf.DUMMYFUNCTION("""COMPUTED_VALUE"""),"-New Fighter: The White-Browed Detective – Vidoc, a keen-eyed sage and master sleuth who untangles the toughest mysteries!
-New Mech: Venom Hunter – Spider, a high-tech mech dripping with lethal toxins to hunt enemies on the battlefield!  
-New Carrier Sk"&amp;"in: Infinite Valor – Ice Cream Cart, solve all troubles with creamy sweetness.
-New Fighter Statue: Vic. Add more brilliance to your city!
-New Military Drill: Time your drills right to earn powerful battle buffs!  
-New Red Equipment: Harness potent func"&amp;"tional effects to crush your enemies!  
-New Fortress Takeover levels: 100 fresh stages unlocked!  
-New Treasure: Chapter 6 brings 100 brand-new missions!  
-New 5th, 6th Gen Fighter Custom Medal
-New Exclusive Resource Custom Packs available!  
-New Pio"&amp;"neers' Day event:  
Mecha Trove: Spin the Pioneer Raffle with Commemorative Drills to claim luxury prizes and the city skin - Gold Rush Adventure!  
Dig for Victory: Collect drills to level up, and you might unlock the march effect - Desert Crossing !  
P"&amp;"ioneer's Gifts: Hit cumulative recharge milestones for hefty gifts!  
Operation Pioneer: Complete quests to light up the corresponding cards, claim rewards, and earn Pioneers' Day city decorations!  
Match &amp; Fun: The brand-new Match &amp; Fun returns with upg"&amp;"raded rewards; boost your power this festival to unlock free gifts and limited-time prizes!  
Super Lucky Star: Join the global celebration, draw at bargain rates, and hunt for the Super Lucky Star to win exclusive city skins!  
Wildland Expedition: Gathe"&amp;"r Treasure Picks, unearth crystals and geodes, and earn massive rewards!  
Chest Bonanza: Server-wide progress unlocks Golden and Silver Chests for everyone!  
Chroma Carrier: New limited-edition skins are rolling out now!  
-Enhanced Battle Report Readab"&amp;"ility: Revamped interface offers clearer insights!  
-Improved Gang Chatroom: Reorder chats with the new drag-and-drop feature!  
-Revamped Astral Coliseum: Optimized matchmaking, gang tier reset, and added the new Match Forecasting!  
-Optimized Operatio"&amp;"n Mutants: Now you can exit the team lobby during matching!  
-Upgraded Equipment Factory: Production progress bars now sync flawlessly inside and out!  
-Optimized Relic Achievements: Stronger notifications and enable multi-reward collection!  
")</f>
        <v>-New Fighter: The White-Browed Detective – Vidoc, a keen-eyed sage and master sleuth who untangles the toughest mysteries!
-New Mech: Venom Hunter – Spider, a high-tech mech dripping with lethal toxins to hunt enemies on the battlefield!  
-New Carrier Skin: Infinite Valor – Ice Cream Cart, solve all troubles with creamy sweetness.
-New Fighter Statue: Vic. Add more brilliance to your city!
-New Military Drill: Time your drills right to earn powerful battle buffs!  
-New Red Equipment: Harness potent functional effects to crush your enemies!  
-New Fortress Takeover levels: 100 fresh stages unlocked!  
-New Treasure: Chapter 6 brings 100 brand-new missions!  
-New 5th, 6th Gen Fighter Custom Medal
-New Exclusive Resource Custom Packs available!  
-New Pioneers' Day event:  
Mecha Trove: Spin the Pioneer Raffle with Commemorative Drills to claim luxury prizes and the city skin - Gold Rush Adventure!  
Dig for Victory: Collect drills to level up, and you might unlock the march effect - Desert Crossing !  
Pioneer's Gifts: Hit cumulative recharge milestones for hefty gifts!  
Operation Pioneer: Complete quests to light up the corresponding cards, claim rewards, and earn Pioneers' Day city decorations!  
Match &amp; Fun: The brand-new Match &amp; Fun returns with upgraded rewards; boost your power this festival to unlock free gifts and limited-time prizes!  
Super Lucky Star: Join the global celebration, draw at bargain rates, and hunt for the Super Lucky Star to win exclusive city skins!  
Wildland Expedition: Gather Treasure Picks, unearth crystals and geodes, and earn massive rewards!  
Chest Bonanza: Server-wide progress unlocks Golden and Silver Chests for everyone!  
Chroma Carrier: New limited-edition skins are rolling out now!  
-Enhanced Battle Report Readability: Revamped interface offers clearer insights!  
-Improved Gang Chatroom: Reorder chats with the new drag-and-drop feature!  
-Revamped Astral Coliseum: Optimized matchmaking, gang tier reset, and added the new Match Forecasting!  
-Optimized Operation Mutants: Now you can exit the team lobby during matching!  
-Upgraded Equipment Factory: Production progress bars now sync flawlessly inside and out!  
-Optimized Relic Achievements: Stronger notifications and enable multi-reward collection!  
</v>
      </c>
      <c r="D66" s="148" t="str">
        <f>IFERROR(__xludf.DUMMYFUNCTION("""COMPUTED_VALUE"""),"-Nouveau combattant : Le Détective aux Sourcils Blancs – Vidoc, un sage aux yeux perçants et maître détective qui résout les mystères les plus complexes !
-Nouveau Mécha : Chasseur de Venin – Araignée, un mécha high-tech dégoulinant de toxines mortelles p"&amp;"our chasser les ennemis sur le champ de bataille !
-Nouvelle Peau de Transporteur : Valeur Infinie – Chariot de crème glacée, résolvez tous les problèmes avec une douceur crémeuse.
-Nouvelle Statue de Combattant : Vic. Ajoutez plus d'éclat à votre ville !"&amp;"
-Nouvel Exercice Militaire : Chronométrez vos exercices pour gagner des boosts de combat puissants !
-Nouvel Équipement Rouge : Exploitez des effets fonctionnels puissants pour écraser vos ennemis !
-Nouveaux niveaux d'Invasion de Forteresse : 100 nouvea"&amp;"ux niveaux débloqués !
-Nouveau Trésor : Le Chapitre 6 apporte 100 nouvelles missions !
-Nouvelle Médaille Personnalisée de Combattant de 5e et 6e Génération
-Nouveaux Packs de Ressources Exclusifs disponibles !
-Nouvel événement Journée des Pionniers :
T"&amp;"résor Mécha : Faites tourner la Tombola des Pionniers avec des Exercices Commémoratifs pour réclamer des prix de luxe et le thème de ville - Aventure Ruée vers l'Or !
Creusez pour la Victoire : Collectez des exercices pour monter de niveau, et vous pourri"&amp;"ez débloquer l'effet de déplacement - Traversée du Désert !
Cadeaux des Pionniers : Atteignez des jalons de recharge cumulés pour obtenir des cadeaux généreux !
Opération Pionnier : Terminez des quêtes pour allumer les cartes correspondantes, récupérer de"&amp;"s récompenses et gagner des décorations de ville de la Journée des Pionniers !
Match &amp; Fun : Le tout nouveau Match &amp; Fun revient avec des récompenses améliorées ; boostez votre puissance pendant ce festival pour débloquer des cadeaux gratuits et des prix "&amp;"limités dans le temps !
Super Étoile Chanceuse : Rejoignez la célébration mondiale, tirez à des tarifs avantageux et chassez la Super Étoile Chanceuse pour gagner des thèmes de ville exclusifs !
Expédition en Terres Sauvages : Rassemblez des Pioches au Tr"&amp;"ésor, déterrez des cristaux et des géodes, et gagnez des récompenses massives !
Coffre à Gogo : La progression du serveur débloque des Coffres d'Or et d'Argent pour tout le monde !
Transporteur Chroma : De nouvelles peaux en édition limitée sont disponibl"&amp;"es maintenant !
-Lisibilité Améliorée du Rapport de Bataille : Interface remaniée offrant des informations plus claires !
-Salon de Discussion de Gang Amélioré : Réorganisez les discussions avec la nouvelle fonctionnalité de glisser-déposer !
-Colisée Ast"&amp;"ral Remanié : Appariement optimisé, réinitialisation des paliers de gang, et ajout de la nouvelle Prévision de Match !
-Opération Mutants Optimisée : Vous pouvez maintenant quitter le hall de l'équipe pendant l'appariement !
-Usine d'Équipements Améliorée"&amp;" : Les barres de progression de production se synchronisent parfaitement à l'intérieur et à l'extérieur !
-Réalisations de Reliques Optimisées : Notifications renforcées et activation de la collecte de récompenses multiples !")</f>
        <v>-Nouveau combattant : Le Détective aux Sourcils Blancs – Vidoc, un sage aux yeux perçants et maître détective qui résout les mystères les plus complexes !
-Nouveau Mécha : Chasseur de Venin – Araignée, un mécha high-tech dégoulinant de toxines mortelles pour chasser les ennemis sur le champ de bataille !
-Nouvelle Peau de Transporteur : Valeur Infinie – Chariot de crème glacée, résolvez tous les problèmes avec une douceur crémeuse.
-Nouvelle Statue de Combattant : Vic. Ajoutez plus d'éclat à votre ville !
-Nouvel Exercice Militaire : Chronométrez vos exercices pour gagner des boosts de combat puissants !
-Nouvel Équipement Rouge : Exploitez des effets fonctionnels puissants pour écraser vos ennemis !
-Nouveaux niveaux d'Invasion de Forteresse : 100 nouveaux niveaux débloqués !
-Nouveau Trésor : Le Chapitre 6 apporte 100 nouvelles missions !
-Nouvelle Médaille Personnalisée de Combattant de 5e et 6e Génération
-Nouveaux Packs de Ressources Exclusifs disponibles !
-Nouvel événement Journée des Pionniers :
Trésor Mécha : Faites tourner la Tombola des Pionniers avec des Exercices Commémoratifs pour réclamer des prix de luxe et le thème de ville - Aventure Ruée vers l'Or !
Creusez pour la Victoire : Collectez des exercices pour monter de niveau, et vous pourriez débloquer l'effet de déplacement - Traversée du Désert !
Cadeaux des Pionniers : Atteignez des jalons de recharge cumulés pour obtenir des cadeaux généreux !
Opération Pionnier : Terminez des quêtes pour allumer les cartes correspondantes, récupérer des récompenses et gagner des décorations de ville de la Journée des Pionniers !
Match &amp; Fun : Le tout nouveau Match &amp; Fun revient avec des récompenses améliorées ; boostez votre puissance pendant ce festival pour débloquer des cadeaux gratuits et des prix limités dans le temps !
Super Étoile Chanceuse : Rejoignez la célébration mondiale, tirez à des tarifs avantageux et chassez la Super Étoile Chanceuse pour gagner des thèmes de ville exclusifs !
Expédition en Terres Sauvages : Rassemblez des Pioches au Trésor, déterrez des cristaux et des géodes, et gagnez des récompenses massives !
Coffre à Gogo : La progression du serveur débloque des Coffres d'Or et d'Argent pour tout le monde !
Transporteur Chroma : De nouvelles peaux en édition limitée sont disponibles maintenant !
-Lisibilité Améliorée du Rapport de Bataille : Interface remaniée offrant des informations plus claires !
-Salon de Discussion de Gang Amélioré : Réorganisez les discussions avec la nouvelle fonctionnalité de glisser-déposer !
-Colisée Astral Remanié : Appariement optimisé, réinitialisation des paliers de gang, et ajout de la nouvelle Prévision de Match !
-Opération Mutants Optimisée : Vous pouvez maintenant quitter le hall de l'équipe pendant l'appariement !
-Usine d'Équipements Améliorée : Les barres de progression de production se synchronisent parfaitement à l'intérieur et à l'extérieur !
-Réalisations de Reliques Optimisées : Notifications renforcées et activation de la collecte de récompenses multiples !</v>
      </c>
      <c r="E66" s="148" t="str">
        <f>IFERROR(__xludf.DUMMYFUNCTION("""COMPUTED_VALUE"""),"-Neuer Kämpfer: Der Weißbrauen-Detektiv – Vidoc, ein scharfsichtiger Weiser und Meisterdetektiv, der die schwierigsten Rätsel löst!
-Neuer Mech: Giftjäger – Spinne, ein High-Tech-Mech, der mit tödlichen Giften tropft, um Feinde auf dem Schlachtfeld zu jag"&amp;"en!
-Neue Träger-Haut: Unendlicher Wert – Eiscreme-Wagen, löse alle Probleme mit cremiger Süße.
-Neue Kämpfer-Statue: Vic. Füge deiner Stadt mehr Glanz hinzu!
-Neue Militärübung: Timing ist alles, um mächtige Kampf-Buffs zu verdienen!
-Neue Rote Ausrüstun"&amp;"g: Nutze starke funktionale Effekte, um deine Feinde zu zerschmettern!
-Neue Festungsübernahme-Level: 100 neue Stufen freigeschaltet!
-Neuer Schatz: Kapitel 6 bringt 100 brandneue Missionen!
-Neue 5., 6. Gen Kämpfer Custom Medaille
-Neue exklusive Ressour"&amp;"cenpakete verfügbar!
-Neues Pioniertag-Event:
Mecha-Schatzkiste: Drehe das Pionier-Roulette mit Gedenkübungen, um Luxuspreise und das Stadtdesign - Goldrausch-Abenteuer zu beanspruchen!
Graben für den Sieg: Sammle Bohrer, um aufzusteigen, und du könntest "&amp;"den Marscheffekt - Wüstenüberquerung freischalten!
Pionier-Geschenke: Erreiche kumulative Aufladungsmeilensteine für großzügige Geschenke!
Operation Pionier: Schließe Quests ab, um die entsprechenden Karten zu beleuchten, beanspruche Belohnungen und verdi"&amp;"ene Pioniertag-Stadtdekorationen!
Match &amp; Spaß: Das brandneue Match &amp; Spaß kehrt mit aufgewerteten Belohnungen zurück; steigere deine Kraft in diesem Festival, um kostenlose Geschenke und zeitlich begrenzte Preise freizuschalten!
Super Glücksstern: Nimm a"&amp;"n der globalen Feier teil, ziehe zu Schnäppchenpreisen und jage nach dem Super Glücksstern, um exklusive Stadtdesigns zu gewinnen!
Wildland-Expedition: Sammle Schatzpickel, grabe Kristalle und Geoden aus und verdiene riesige Belohnungen!
Truhen-Bonanza: S"&amp;"erverweiter Fortschritt schaltet goldene und silberne Truhen für alle frei!
Chroma-Träger: Neue limitierte Skins sind jetzt verfügbar!
-Verbesserte Lesbarkeit des Kampfberichts: Überarbeitete Benutzeroberfläche bietet klarere Einblicke!
-Verbesserter Clan"&amp;"-Chatraum: Ordne Chats mit der neuen Drag-and-Drop-Funktion neu!
-Überarbeitetes Astral-Kolosseum: Optimiertes Matchmaking, Clan-Stufen-Reset und neue Match-Vorhersage hinzugefügt!
-Optimierte Operation Mutanten: Jetzt kannst du die Team-Lobby während des"&amp;" Matchings verlassen!
-Aufgewertete Ausrüstungsfabrik: Produktionsfortschrittsbalken synchronisieren sich jetzt nahtlos innen und außen!
-Optimierte Relikt-Erfolge: Stärkere Benachrichtigungen und ermöglichen die Mehrfach-Belohnungssammlung!")</f>
        <v>-Neuer Kämpfer: Der Weißbrauen-Detektiv – Vidoc, ein scharfsichtiger Weiser und Meisterdetektiv, der die schwierigsten Rätsel löst!
-Neuer Mech: Giftjäger – Spinne, ein High-Tech-Mech, der mit tödlichen Giften tropft, um Feinde auf dem Schlachtfeld zu jagen!
-Neue Träger-Haut: Unendlicher Wert – Eiscreme-Wagen, löse alle Probleme mit cremiger Süße.
-Neue Kämpfer-Statue: Vic. Füge deiner Stadt mehr Glanz hinzu!
-Neue Militärübung: Timing ist alles, um mächtige Kampf-Buffs zu verdienen!
-Neue Rote Ausrüstung: Nutze starke funktionale Effekte, um deine Feinde zu zerschmettern!
-Neue Festungsübernahme-Level: 100 neue Stufen freigeschaltet!
-Neuer Schatz: Kapitel 6 bringt 100 brandneue Missionen!
-Neue 5., 6. Gen Kämpfer Custom Medaille
-Neue exklusive Ressourcenpakete verfügbar!
-Neues Pioniertag-Event:
Mecha-Schatzkiste: Drehe das Pionier-Roulette mit Gedenkübungen, um Luxuspreise und das Stadtdesign - Goldrausch-Abenteuer zu beanspruchen!
Graben für den Sieg: Sammle Bohrer, um aufzusteigen, und du könntest den Marscheffekt - Wüstenüberquerung freischalten!
Pionier-Geschenke: Erreiche kumulative Aufladungsmeilensteine für großzügige Geschenke!
Operation Pionier: Schließe Quests ab, um die entsprechenden Karten zu beleuchten, beanspruche Belohnungen und verdiene Pioniertag-Stadtdekorationen!
Match &amp; Spaß: Das brandneue Match &amp; Spaß kehrt mit aufgewerteten Belohnungen zurück; steigere deine Kraft in diesem Festival, um kostenlose Geschenke und zeitlich begrenzte Preise freizuschalten!
Super Glücksstern: Nimm an der globalen Feier teil, ziehe zu Schnäppchenpreisen und jage nach dem Super Glücksstern, um exklusive Stadtdesigns zu gewinnen!
Wildland-Expedition: Sammle Schatzpickel, grabe Kristalle und Geoden aus und verdiene riesige Belohnungen!
Truhen-Bonanza: Serverweiter Fortschritt schaltet goldene und silberne Truhen für alle frei!
Chroma-Träger: Neue limitierte Skins sind jetzt verfügbar!
-Verbesserte Lesbarkeit des Kampfberichts: Überarbeitete Benutzeroberfläche bietet klarere Einblicke!
-Verbesserter Clan-Chatraum: Ordne Chats mit der neuen Drag-and-Drop-Funktion neu!
-Überarbeitetes Astral-Kolosseum: Optimiertes Matchmaking, Clan-Stufen-Reset und neue Match-Vorhersage hinzugefügt!
-Optimierte Operation Mutanten: Jetzt kannst du die Team-Lobby während des Matchings verlassen!
-Aufgewertete Ausrüstungsfabrik: Produktionsfortschrittsbalken synchronisieren sich jetzt nahtlos innen und außen!
-Optimierte Relikt-Erfolge: Stärkere Benachrichtigungen und ermöglichen die Mehrfach-Belohnungssammlung!</v>
      </c>
      <c r="F66" s="148" t="str">
        <f>IFERROR(__xludf.DUMMYFUNCTION("""COMPUTED_VALUE"""),"-Novo Combatente: O Detetive de Sobrancelhas Brancas – Vidoc, um sábio de olhos aguçados e mestre detetive que desvenda os mistérios mais difíceis!
-Novo Mech: Caçador Venenoso – Aranha, um mech de alta tecnologia gotejando toxinas letais para caçar inimi"&amp;"gos no campo de batalha!
-Nova Skin de Transportador: Valor Infinito – Carrinho de Sorvete, resolva todos os problemas com doçura cremosa.
-Nova Estátua Combatente: Vic. Adicione mais brilho à sua cidade!
-Novo Treinamento Militar: Cronometre seus treinos"&amp;" corretamente para ganhar poderosos auxílios de batalha!
-Novo Equipamento Vermelho: Aproveite potentes efeitos funcionais para esmagar seus inimigos!
-Novos níveis de Conquista da Fortaleza: 100 novas fases desbloqueadas!
-Novo Tesouro: O Capítulo 6 traz"&amp;" 100 novas missões!
-Nova Medalha Personalizada de Combatente da 5ª e 6ª Geração
-Novos Pacotes de Recursos Exclusivos disponíveis!
-Novo evento do Dia dos Pioneiros:
Cofre Mecha: Gire a Rifa do Pioneiro com Treinos Comemorativos para reivindicar prêmios "&amp;"de luxo e a skin da cidade - Aventura na Corrida do Ouro!
Cavar pela Vitória: Colete treinos para subir de nível, e você pode desbloquear o efeito de marcha - Travessia do Deserto!
Presentes dos Pioneiros: Alcance marcos de recarga cumulativa para ganhar "&amp;"presentes generosos!
Operação Pioneira: Complete missões para acender as cartas correspondentes, resgatar recompensas e ganhar decorações de cidade do Dia dos Pioneiros!
Partida &amp; Diversão: A nova Partida &amp; Diversão retorna com recompensas melhoradas; aum"&amp;"ente seu poder neste festival para desbloquear presentes gratuitos e prêmios por tempo limitado!
Super Estrela da Sorte: Participe da celebração global, desenhe a taxas de pechincha e procure a Super Estrela da Sorte para ganhar skins de cidade exclusivas"&amp;"!
Expedição nas Terras Selvagens: Colete Picaretas de Tesouro, desenterre cristais e geodos, e ganhe recompensas massivas!
Bonança de Baús: O progresso do servidor desbloqueia Baús de Ouro e Prata para todos!
Transportador Chroma: Novas skins de edição li"&amp;"mitada estão sendo lançadas agora!
-Leitura Aprimorada do Relatório de Batalha: Interface reformulada oferece insights mais claros!
-Sala de Bate-papo da Gangue Melhorada: Reorganize os bate-papos com o novo recurso de arrastar e soltar!
-Coliseu Astral R"&amp;"eformulado: Otimização de matchmaking, redefinição de nível de gangue e adição da nova Previsão de Partida!
-Operação Mutantes Otimizada: Agora você pode sair do lobby da equipe durante o matchmaking!
-Fábrica de Equipamentos Atualizada: Barras de progres"&amp;"so de produção agora sincronizam perfeitamente dentro e fora!
-Conquistas de Relíquias Otimizadas: Notificações mais fortes e habilitação de coleta de múltiplas recompensas!")</f>
        <v>-Novo Combatente: O Detetive de Sobrancelhas Brancas – Vidoc, um sábio de olhos aguçados e mestre detetive que desvenda os mistérios mais difíceis!
-Novo Mech: Caçador Venenoso – Aranha, um mech de alta tecnologia gotejando toxinas letais para caçar inimigos no campo de batalha!
-Nova Skin de Transportador: Valor Infinito – Carrinho de Sorvete, resolva todos os problemas com doçura cremosa.
-Nova Estátua Combatente: Vic. Adicione mais brilho à sua cidade!
-Novo Treinamento Militar: Cronometre seus treinos corretamente para ganhar poderosos auxílios de batalha!
-Novo Equipamento Vermelho: Aproveite potentes efeitos funcionais para esmagar seus inimigos!
-Novos níveis de Conquista da Fortaleza: 100 novas fases desbloqueadas!
-Novo Tesouro: O Capítulo 6 traz 100 novas missões!
-Nova Medalha Personalizada de Combatente da 5ª e 6ª Geração
-Novos Pacotes de Recursos Exclusivos disponíveis!
-Novo evento do Dia dos Pioneiros:
Cofre Mecha: Gire a Rifa do Pioneiro com Treinos Comemorativos para reivindicar prêmios de luxo e a skin da cidade - Aventura na Corrida do Ouro!
Cavar pela Vitória: Colete treinos para subir de nível, e você pode desbloquear o efeito de marcha - Travessia do Deserto!
Presentes dos Pioneiros: Alcance marcos de recarga cumulativa para ganhar presentes generosos!
Operação Pioneira: Complete missões para acender as cartas correspondentes, resgatar recompensas e ganhar decorações de cidade do Dia dos Pioneiros!
Partida &amp; Diversão: A nova Partida &amp; Diversão retorna com recompensas melhoradas; aumente seu poder neste festival para desbloquear presentes gratuitos e prêmios por tempo limitado!
Super Estrela da Sorte: Participe da celebração global, desenhe a taxas de pechincha e procure a Super Estrela da Sorte para ganhar skins de cidade exclusivas!
Expedição nas Terras Selvagens: Colete Picaretas de Tesouro, desenterre cristais e geodos, e ganhe recompensas massivas!
Bonança de Baús: O progresso do servidor desbloqueia Baús de Ouro e Prata para todos!
Transportador Chroma: Novas skins de edição limitada estão sendo lançadas agora!
-Leitura Aprimorada do Relatório de Batalha: Interface reformulada oferece insights mais claros!
-Sala de Bate-papo da Gangue Melhorada: Reorganize os bate-papos com o novo recurso de arrastar e soltar!
-Coliseu Astral Reformulado: Otimização de matchmaking, redefinição de nível de gangue e adição da nova Previsão de Partida!
-Operação Mutantes Otimizada: Agora você pode sair do lobby da equipe durante o matchmaking!
-Fábrica de Equipamentos Atualizada: Barras de progresso de produção agora sincronizam perfeitamente dentro e fora!
-Conquistas de Relíquias Otimizadas: Notificações mais fortes e habilitação de coleta de múltiplas recompensas!</v>
      </c>
      <c r="G66" s="148" t="str">
        <f>IFERROR(__xludf.DUMMYFUNCTION("""COMPUTED_VALUE"""),"-新增鬥士：白眉神探-維多克，洞察秋毫的智者，破解謎團的名偵探！
-新增機甲：劇毒獵手-蜘蛛，操控致命毒素的新型機甲，戰場上的無情獵手！
-新增戰車皮膚：英勇不屈號-冰淇淋販售車，用香甜的奶油解決一切煩惱；
-新增鬥士雕像：維克，來為你的城市增添更多光彩吧！
-新增軍事演練：通過適時的演練獲取更多戰鬥增益！
-新增紅色戰裝：新戰裝能夠帶來強大的功能性效果，使用它們擊潰敵人吧！
-新增堡壘對決關卡：100個；
-新增尋寶記關卡：第 6 章，100個；
-新增第 5 代、第 6 代鬥士自選獎牌；
-新增資源特"&amp;"供自選禮包；
-新增拓荒節活動
機械秘寶：拓荒節抽獎活動開啟！使用紀念扳手，贏取豪華大獎，更有城市外觀-掘金之旅，等你來拿；
掘地求勝：收集鑽頭，提升活動等級，有機會獲取全新行軍特效-穿越沙海；
拓荒豪禮：限時累計充值即可領取豐厚獎勵！
拓荒行動：玩家完成任務可點亮當前任務牌，獲取任務獎勵，贏取拓荒節城市裝飾；
歡樂對對碰：對對碰重新返場，獎勵升級！節日內提升實力，即可開啟免費贈禮！有機率獲取限定節日獎勵！
超級幸運星：全服慶典狂歡，低價抽獎，尋找超級幸運星！城市外觀等你來抽！
荒野探寶：收集探寶十字鎬，"&amp;"挖掘水晶與晶岩，贏取大量獎勵！
寶箱大放送：全服玩家累計進度，獲取黃金寶箱與白銀寶箱！
炫彩戰車：新戰車皮膚登場，限定戰車皮膚即將和大家見面！
-戰報可讀性優化：戰報界面全新升級，提供更加清晰的閱讀體驗；
-幫派聊天室優化：增加調整順序功能，可自由調整幫派聊天室順序；
-決戰衛星之巔聯賽優化：優化配對分組，初始化聯賽等級，新增賽事競猜玩法；
-圍剿變異猴優化：允許玩家在配對階段跳出組隊界面；
-戰裝車間優化：進度條顯示邏輯優化，內外生產進度條顯示邏輯保持一致；
-收藏品成就優化：成就獎勵可領取狀態提示強化"&amp;"，多个獎勵可連續跳轉領取。")</f>
        <v>-新增鬥士：白眉神探-維多克，洞察秋毫的智者，破解謎團的名偵探！
-新增機甲：劇毒獵手-蜘蛛，操控致命毒素的新型機甲，戰場上的無情獵手！
-新增戰車皮膚：英勇不屈號-冰淇淋販售車，用香甜的奶油解決一切煩惱；
-新增鬥士雕像：維克，來為你的城市增添更多光彩吧！
-新增軍事演練：通過適時的演練獲取更多戰鬥增益！
-新增紅色戰裝：新戰裝能夠帶來強大的功能性效果，使用它們擊潰敵人吧！
-新增堡壘對決關卡：100個；
-新增尋寶記關卡：第 6 章，100個；
-新增第 5 代、第 6 代鬥士自選獎牌；
-新增資源特供自選禮包；
-新增拓荒節活動
機械秘寶：拓荒節抽獎活動開啟！使用紀念扳手，贏取豪華大獎，更有城市外觀-掘金之旅，等你來拿；
掘地求勝：收集鑽頭，提升活動等級，有機會獲取全新行軍特效-穿越沙海；
拓荒豪禮：限時累計充值即可領取豐厚獎勵！
拓荒行動：玩家完成任務可點亮當前任務牌，獲取任務獎勵，贏取拓荒節城市裝飾；
歡樂對對碰：對對碰重新返場，獎勵升級！節日內提升實力，即可開啟免費贈禮！有機率獲取限定節日獎勵！
超級幸運星：全服慶典狂歡，低價抽獎，尋找超級幸運星！城市外觀等你來抽！
荒野探寶：收集探寶十字鎬，挖掘水晶與晶岩，贏取大量獎勵！
寶箱大放送：全服玩家累計進度，獲取黃金寶箱與白銀寶箱！
炫彩戰車：新戰車皮膚登場，限定戰車皮膚即將和大家見面！
-戰報可讀性優化：戰報界面全新升級，提供更加清晰的閱讀體驗；
-幫派聊天室優化：增加調整順序功能，可自由調整幫派聊天室順序；
-決戰衛星之巔聯賽優化：優化配對分組，初始化聯賽等級，新增賽事競猜玩法；
-圍剿變異猴優化：允許玩家在配對階段跳出組隊界面；
-戰裝車間優化：進度條顯示邏輯優化，內外生產進度條顯示邏輯保持一致；
-收藏品成就優化：成就獎勵可領取狀態提示強化，多个獎勵可連續跳轉領取。</v>
      </c>
      <c r="H66" s="148" t="str">
        <f>IFERROR(__xludf.DUMMYFUNCTION("""COMPUTED_VALUE"""),"-Pejuang Baru: Detektif Alis Putih – Vidoc, seorang bijak bermata tajam dan ahli detektif yang mengurai misteri paling sulit!
-Mekanik Baru: Pemburu Racun – Laba-laba, mekanik berteknologi tinggi yang meneteskan racun mematikan untuk memburu musuh di meda"&amp;"n perang!  
-Kulit Pengangkut Baru: Keberanian Tak Terbatas – Gerobak Es Krim, selesaikan semua masalah dengan manisnya krim.
-Patung Pejuang Baru: Vic. Tambahkan lebih banyak kilau ke kota kamu!
-Latihan Militer Baru: Atur waktu latihan kamu dengan tepat"&amp;" untuk mendapatkan keunggulan pertempuran yang kuat!  
-Peralatan Merah Baru: Manfaatkan efek fungsional yang kuat untuk menghancurkan musuh kamu!  
-Tingkat Penaklukan Benteng Baru: 100 tahap baru terbuka!  
-Harta Karun Baru: Babak 6 membawa 100 misi ba"&amp;"ru!  
-Medali Kustom Pejuang Generasi ke-5 dan ke-6 Baru
-Paket Sumber Daya Eksklusif Kustom Baru tersedia!  
-Event Hari Pionir Baru:  
Harta Karun Mekanik: Putar Undian Pionir dengan Latihan Peringatan untuk mengklaim hadiah mewah dan kulit kota - Petua"&amp;"langan Rush Emas!  
Gali untuk Kemenangan: Kumpulkan latihan untuk naik level, dan kamu mungkin membuka efek barisan - Penyeberangan Gurun!  
Hadiah Pionir: Capai tonggak pengisian ulang kumulatif untuk hadiah besar!  
Operasi Pionir: Selesaikan tantangan"&amp;" untuk menyalakan kartu yang sesuai, klaim hadiah, dan dapatkan dekorasi kota Hari Pionir!  
Pertandingan &amp; Ria: Pertandingan &amp; Ria yang baru kembali dengan hadiah yang ditingkatkan; tingkatkan kekuatan kamu di festival ini untuk membuka hadiah gratis dan"&amp;" hadiah terbatas!  
Bintang Super Beruntung: Bergabunglah dengan perayaan global, undian dengan tarif tawar-menawar, dan berburu Bintang Super Beruntung untuk memenangkan kulit kota eksklusif!  
Ekspedisi Liar: Kumpulkan Pilihan Harta Karun, gali kristal "&amp;"dan geodes, dan dapatkan hadiah besar!  
Bonanza Peti: Kemajuan seluruh server membuka Peti Emas dan Perak untuk semua orang!  
Pengangkut Chroma: Kulit edisi terbatas baru sedang diluncurkan sekarang!  
-Keterbacaan Laporan Pertempuran yang Ditingkatkan:"&amp;" Antarmuka yang diperbarui menawarkan wawasan yang lebih jelas!  
-Ruang Obrolan Geng yang Ditingkatkan: Susun ulang obrolan dengan fitur seret dan lepas yang baru!  
-Koloseum Astral yang Dirubah: Pencocokan yang dioptimalkan, reset tingkat geng, dan men"&amp;"ambahkan Perkiraan Pertandingan baru!  
-Operasi Kera Mutan yang Dioptimalkan: Sekarang kamu bisa keluar dari lobi tim selama pencocokan!  
-Pabrik Perlengkapan yang Ditingkatkan: Bilah kemajuan produksi sekarang sinkron dengan sempurna di dalam dan luar!"&amp;"  
-Pencapaian Relik yang Dioptimalkan: Notifikasi yang lebih kuat dan memungkinkan pengumpulan hadiah multi!")</f>
        <v>-Pejuang Baru: Detektif Alis Putih – Vidoc, seorang bijak bermata tajam dan ahli detektif yang mengurai misteri paling sulit!
-Mekanik Baru: Pemburu Racun – Laba-laba, mekanik berteknologi tinggi yang meneteskan racun mematikan untuk memburu musuh di medan perang!  
-Kulit Pengangkut Baru: Keberanian Tak Terbatas – Gerobak Es Krim, selesaikan semua masalah dengan manisnya krim.
-Patung Pejuang Baru: Vic. Tambahkan lebih banyak kilau ke kota kamu!
-Latihan Militer Baru: Atur waktu latihan kamu dengan tepat untuk mendapatkan keunggulan pertempuran yang kuat!  
-Peralatan Merah Baru: Manfaatkan efek fungsional yang kuat untuk menghancurkan musuh kamu!  
-Tingkat Penaklukan Benteng Baru: 100 tahap baru terbuka!  
-Harta Karun Baru: Babak 6 membawa 100 misi baru!  
-Medali Kustom Pejuang Generasi ke-5 dan ke-6 Baru
-Paket Sumber Daya Eksklusif Kustom Baru tersedia!  
-Event Hari Pionir Baru:  
Harta Karun Mekanik: Putar Undian Pionir dengan Latihan Peringatan untuk mengklaim hadiah mewah dan kulit kota - Petualangan Rush Emas!  
Gali untuk Kemenangan: Kumpulkan latihan untuk naik level, dan kamu mungkin membuka efek barisan - Penyeberangan Gurun!  
Hadiah Pionir: Capai tonggak pengisian ulang kumulatif untuk hadiah besar!  
Operasi Pionir: Selesaikan tantangan untuk menyalakan kartu yang sesuai, klaim hadiah, dan dapatkan dekorasi kota Hari Pionir!  
Pertandingan &amp; Ria: Pertandingan &amp; Ria yang baru kembali dengan hadiah yang ditingkatkan; tingkatkan kekuatan kamu di festival ini untuk membuka hadiah gratis dan hadiah terbatas!  
Bintang Super Beruntung: Bergabunglah dengan perayaan global, undian dengan tarif tawar-menawar, dan berburu Bintang Super Beruntung untuk memenangkan kulit kota eksklusif!  
Ekspedisi Liar: Kumpulkan Pilihan Harta Karun, gali kristal dan geodes, dan dapatkan hadiah besar!  
Bonanza Peti: Kemajuan seluruh server membuka Peti Emas dan Perak untuk semua orang!  
Pengangkut Chroma: Kulit edisi terbatas baru sedang diluncurkan sekarang!  
-Keterbacaan Laporan Pertempuran yang Ditingkatkan: Antarmuka yang diperbarui menawarkan wawasan yang lebih jelas!  
-Ruang Obrolan Geng yang Ditingkatkan: Susun ulang obrolan dengan fitur seret dan lepas yang baru!  
-Koloseum Astral yang Dirubah: Pencocokan yang dioptimalkan, reset tingkat geng, dan menambahkan Perkiraan Pertandingan baru!  
-Operasi Kera Mutan yang Dioptimalkan: Sekarang kamu bisa keluar dari lobi tim selama pencocokan!  
-Pabrik Perlengkapan yang Ditingkatkan: Bilah kemajuan produksi sekarang sinkron dengan sempurna di dalam dan luar!  
-Pencapaian Relik yang Dioptimalkan: Notifikasi yang lebih kuat dan memungkinkan pengumpulan hadiah multi!</v>
      </c>
      <c r="I66" s="148" t="str">
        <f>IFERROR(__xludf.DUMMYFUNCTION("""COMPUTED_VALUE"""),"-นักสู้ตัวใหม่: นักสืบคิ้วขาว – วิดอค, นักปราชญ์ตาแหลมและนักสืบผู้เชี่ยวชาญที่ไขปริศนาที่ยากที่สุด!
-เมคใหม่: นักล่าพิษ – แมงมุม, เมคไฮเทคที่เต็มไปด้วยพิษร้ายแรงเพื่อไล่ล่าศัตรูในสนามรบ!
-สกินลิงขนส่งใหม่: วาโลร์ไม่มีที่สิ้นสุด – รถเข็นไอศกรีม, แก้ปัญหาทั"&amp;"้งหมดด้วยความหวานของไอศกรีม.
-รูปปั้นนักสู้ใหม่: วิค. เพิ่มความสว่างไสวให้กับเมืองของคุณ!
-การฝึกทหารใหม่: จับเวลาการฝึกให้ถูกต้องเพื่อรับบัฟฟ์การต่อสู้ที่ทรงพลัง!
-อุปกรณ์สีแดงใหม่: ใช้ผลการทำงานที่ทรงพลังเพื่อบดขยี้ศัตรูของคุณ!
-ระดับการยึดป้อมปราการใหม"&amp;"่: ปลดล็อกด่านใหม่ 100 ด่าน!
-สมบัติใหม่: บทที่ 6 นำภารกิจใหม่ 100 ภารกิจ!
-เหรียญนักสู้รุ่นที่ 5 และ 6 ใหม่
-แพ็กทรัพยากรพิเศษใหม่พร้อมใช้งาน!
-กิจกรรมวันผู้บุกเบิกใหม่:
เครื่องจักรสมบัติลับ: หมุนราฟเฟิลผู้บุกเบิกด้วยการฝึกซ้อมที่ระลึกเพื่อรับรางวัลหรูหร"&amp;"าและธีมเมือง - การผจญภัยขุดทอง!
ขุดเพื่อชัยชนะ: เก็บรวบรวมการฝึกซ้อมเพื่อเลเวลอัพ และคุณอาจปลดล็อกเอฟเฟกต์การเดินทัพ - ข้ามทะเลทราย!
ของขวัญผู้บุกเบิก: บรรลุเป้าหมายการเติมเงินสะสมเพื่อรับของขวัญมากมาย!
การดำเนินงานผู้บุกเบิก: ทำเควสต์ให้สำเร็จเพื่อเปิดกา"&amp;"ร์ดที่สอดคล้องกัน รับรางวัล และรับการประดับตกแต่งเมืองวันผู้บุกเบิก!
การจับคู่ &amp; ความสนุก: การจับคู่ &amp; ความสนุกใหม่กลับมาพร้อมรางวัลที่อัปเกรด; เพิ่มพลังของคุณในเทศกาลนี้เพื่อปลดล็อกของขวัญฟรีและรางวัลจำกัดเวลา!
ซุปเปอร์ลัคกี้สตาร์: เข้าร่วมการเฉลิมฉลองทั"&amp;"่วโลก วาดในอัตราต่อรอง และล่าหาซุปเปอร์ลัคกี้สตาร์เพื่อชนะธีมเมืองพิเศษ!
การสำรวจดินแดนป่า: เก็บรวบรวมเครื่องมือขุดสมบัติ ขุดคริสตัลและหิน และรับรางวัลมากมาย!
หีบสมบัติ: ความคืบหน้าของเซิร์ฟเวอร์ปลดล็อกหีบทองและเงินสำหรับทุกคน!
ลิงขนส่งโครมา: สกินรุ่นจำกั"&amp;"ดใหม่กำลังออกมาแล้ว!
-การอ่านรายงานการต่อสู้ที่ปรับปรุง: อินเทอร์เฟซที่ปรับปรุงใหม่ให้ข้อมูลที่ชัดเจนยิ่งขึ้น!
-ห้องแชทของแก๊งค์ที่ปรับปรุง: เรียงลำดับแชทใหม่ด้วยฟีเจอร์ลากและวาง!
-โคลีเซียมดวงดาวที่ปรับปรุง: การจับคู่ที่เหมาะสมขึ้น รีเซ็ตระดับแก๊งค์ และเ"&amp;"พิ่มการทำนายการจับคู่ใหม่!
-ปฏิบัติการตัวกลายพันธุ์ที่ปรับปรุง: ตอนนี้คุณสามารถออกจากล็อบบี้ทีมระหว่างการจับคู่ได้!
-โรงงานอุปกรณ์ที่อัปเกรด: แถบความคืบหน้าการผลิตตอนนี้ซิงค์ได้อย่างสมบูรณ์ทั้งภายในและภายนอก!
-ความสำเร็จของสิ่งประดิษฐ์ที่ปรับปรุง: การแจ้ง"&amp;"เตือนที่แข็งแกร่งขึ้นและเปิดใช้งานการเก็บรางวัลหลายรายการ!")</f>
        <v>-นักสู้ตัวใหม่: นักสืบคิ้วขาว – วิดอค, นักปราชญ์ตาแหลมและนักสืบผู้เชี่ยวชาญที่ไขปริศนาที่ยากที่สุด!
-เมคใหม่: นักล่าพิษ – แมงมุม, เมคไฮเทคที่เต็มไปด้วยพิษร้ายแรงเพื่อไล่ล่าศัตรูในสนามรบ!
-สกินลิงขนส่งใหม่: วาโลร์ไม่มีที่สิ้นสุด – รถเข็นไอศกรีม, แก้ปัญหาทั้งหมดด้วยความหวานของไอศกรีม.
-รูปปั้นนักสู้ใหม่: วิค. เพิ่มความสว่างไสวให้กับเมืองของคุณ!
-การฝึกทหารใหม่: จับเวลาการฝึกให้ถูกต้องเพื่อรับบัฟฟ์การต่อสู้ที่ทรงพลัง!
-อุปกรณ์สีแดงใหม่: ใช้ผลการทำงานที่ทรงพลังเพื่อบดขยี้ศัตรูของคุณ!
-ระดับการยึดป้อมปราการใหม่: ปลดล็อกด่านใหม่ 100 ด่าน!
-สมบัติใหม่: บทที่ 6 นำภารกิจใหม่ 100 ภารกิจ!
-เหรียญนักสู้รุ่นที่ 5 และ 6 ใหม่
-แพ็กทรัพยากรพิเศษใหม่พร้อมใช้งาน!
-กิจกรรมวันผู้บุกเบิกใหม่:
เครื่องจักรสมบัติลับ: หมุนราฟเฟิลผู้บุกเบิกด้วยการฝึกซ้อมที่ระลึกเพื่อรับรางวัลหรูหราและธีมเมือง - การผจญภัยขุดทอง!
ขุดเพื่อชัยชนะ: เก็บรวบรวมการฝึกซ้อมเพื่อเลเวลอัพ และคุณอาจปลดล็อกเอฟเฟกต์การเดินทัพ - ข้ามทะเลทราย!
ของขวัญผู้บุกเบิก: บรรลุเป้าหมายการเติมเงินสะสมเพื่อรับของขวัญมากมาย!
การดำเนินงานผู้บุกเบิก: ทำเควสต์ให้สำเร็จเพื่อเปิดการ์ดที่สอดคล้องกัน รับรางวัล และรับการประดับตกแต่งเมืองวันผู้บุกเบิก!
การจับคู่ &amp; ความสนุก: การจับคู่ &amp; ความสนุกใหม่กลับมาพร้อมรางวัลที่อัปเกรด; เพิ่มพลังของคุณในเทศกาลนี้เพื่อปลดล็อกของขวัญฟรีและรางวัลจำกัดเวลา!
ซุปเปอร์ลัคกี้สตาร์: เข้าร่วมการเฉลิมฉลองทั่วโลก วาดในอัตราต่อรอง และล่าหาซุปเปอร์ลัคกี้สตาร์เพื่อชนะธีมเมืองพิเศษ!
การสำรวจดินแดนป่า: เก็บรวบรวมเครื่องมือขุดสมบัติ ขุดคริสตัลและหิน และรับรางวัลมากมาย!
หีบสมบัติ: ความคืบหน้าของเซิร์ฟเวอร์ปลดล็อกหีบทองและเงินสำหรับทุกคน!
ลิงขนส่งโครมา: สกินรุ่นจำกัดใหม่กำลังออกมาแล้ว!
-การอ่านรายงานการต่อสู้ที่ปรับปรุง: อินเทอร์เฟซที่ปรับปรุงใหม่ให้ข้อมูลที่ชัดเจนยิ่งขึ้น!
-ห้องแชทของแก๊งค์ที่ปรับปรุง: เรียงลำดับแชทใหม่ด้วยฟีเจอร์ลากและวาง!
-โคลีเซียมดวงดาวที่ปรับปรุง: การจับคู่ที่เหมาะสมขึ้น รีเซ็ตระดับแก๊งค์ และเพิ่มการทำนายการจับคู่ใหม่!
-ปฏิบัติการตัวกลายพันธุ์ที่ปรับปรุง: ตอนนี้คุณสามารถออกจากล็อบบี้ทีมระหว่างการจับคู่ได้!
-โรงงานอุปกรณ์ที่อัปเกรด: แถบความคืบหน้าการผลิตตอนนี้ซิงค์ได้อย่างสมบูรณ์ทั้งภายในและภายนอก!
-ความสำเร็จของสิ่งประดิษฐ์ที่ปรับปรุง: การแจ้งเตือนที่แข็งแกร่งขึ้นและเปิดใช้งานการเก็บรางวัลหลายรายการ!</v>
      </c>
      <c r="J66" s="148" t="str">
        <f>IFERROR(__xludf.DUMMYFUNCTION("""COMPUTED_VALUE"""),"-Nuevo Luchador: El Detective de Cejas Blancas – Vidoc, un sabio de mirada aguda y maestro detective que desentraña los misterios más difíciles!
-Nuevo Meca: Cazador de Veneno – Araña, un meca de alta tecnología que gotea toxinas letales para cazar enemig"&amp;"os en el campo de batalla!  
-Nueva Piel de Transportador: Valor Infinito – Carro de Helados, resuelve todos los problemas con dulce cremosidad.
-Nueva Estatua del Luchador: Vic. ¡Añade más brillo a tu ciudad!
-Nuevo Ejercicio Militar: ¡Cronometra tus eje"&amp;"rcicios correctamente para ganar poderosas mejoras de batalla!  
-Nuevo Equipo Rojo: ¡Aprovecha los potentes efectos funcionales para aplastar a tus enemigos!  
-Nuevos niveles de Toma de la Fortaleza: ¡100 nuevas etapas desbloqueadas!  
-Nuevo Tesoro: ¡E"&amp;"l Capítulo 6 trae 100 misiones completamente nuevas!  
-Nueva Medalla Personalizada de Luchador de 5ª y 6ª Generación
-Nuevos Paquetes de Recursos Exclusivos disponibles!  
-Nuevo evento del Día de los Pioneros:  
Tesoro Mecánico: ¡Gira la Rifa del Pioner"&amp;"o con Ejercicios Conmemorativos para reclamar premios de lujo y la piel de la ciudad - Aventura en la Fiebre del Oro!  
Cavar para la Victoria: ¡Recolecta ejercicios para subir de nivel y podrías desbloquear el efecto de marcha - Cruce del Desierto!  
Reg"&amp;"alos del Pionero: ¡Alcanza hitos de recarga acumulativa para obtener grandes regalos!  
Operación Pionero: ¡Completa misiones para iluminar las cartas correspondientes, reclamar recompensas y ganar decoraciones de la ciudad del Día de los Pioneros!  
Part"&amp;"ida y Diversión: ¡La nueva Partida y Diversión regresa con recompensas mejoradas; aumenta tu poder en este festival para desbloquear regalos gratis y premios por tiempo limitado!  
Súper Estrella de la Suerte: ¡Únete a la celebración global, dibuja a tari"&amp;"fas de ganga y busca la Súper Estrella de la Suerte para ganar pieles de ciudad exclusivas!  
Expedición en Tierras Salvajes: ¡Recolecta Picos del Tesoro, desentierra cristales y geodas, y gana grandes recompensas!  
Bonanza de Cofres: ¡El progreso de tod"&amp;"o el servidor desbloquea Cofres Dorados y Plateados para todos!  
Transportador Cromático: ¡Nuevas pieles de edición limitada están saliendo ahora!  
-Mejorada la Legibilidad del Informe de Batalla: ¡La interfaz renovada ofrece una visión más clara!  
-Me"&amp;"jorada la Sala de Chat de la Banda: ¡Reorganiza los chats con la nueva función de arrastrar y soltar!  
-Coliseo Astral Renovado: ¡Optimización del emparejamiento, reinicio de niveles de banda y añadido el nuevo Pronóstico de la Partida!  
-Operación Muta"&amp;"ntes Optimizada: ¡Ahora puedes salir del vestíbulo del equipo durante el emparejamiento!  
-Fábrica de Equipos Mejorada: ¡Las barras de progreso de producción ahora se sincronizan perfectamente dentro y fuera!  
-Logros de Reliquias Optimizados: ¡Notifica"&amp;"ciones más fuertes y habilitación de recolección de múltiples recompensas!")</f>
        <v>-Nuevo Luchador: El Detective de Cejas Blancas – Vidoc, un sabio de mirada aguda y maestro detective que desentraña los misterios más difíciles!
-Nuevo Meca: Cazador de Veneno – Araña, un meca de alta tecnología que gotea toxinas letales para cazar enemigos en el campo de batalla!  
-Nueva Piel de Transportador: Valor Infinito – Carro de Helados, resuelve todos los problemas con dulce cremosidad.
-Nueva Estatua del Luchador: Vic. ¡Añade más brillo a tu ciudad!
-Nuevo Ejercicio Militar: ¡Cronometra tus ejercicios correctamente para ganar poderosas mejoras de batalla!  
-Nuevo Equipo Rojo: ¡Aprovecha los potentes efectos funcionales para aplastar a tus enemigos!  
-Nuevos niveles de Toma de la Fortaleza: ¡100 nuevas etapas desbloqueadas!  
-Nuevo Tesoro: ¡El Capítulo 6 trae 100 misiones completamente nuevas!  
-Nueva Medalla Personalizada de Luchador de 5ª y 6ª Generación
-Nuevos Paquetes de Recursos Exclusivos disponibles!  
-Nuevo evento del Día de los Pioneros:  
Tesoro Mecánico: ¡Gira la Rifa del Pionero con Ejercicios Conmemorativos para reclamar premios de lujo y la piel de la ciudad - Aventura en la Fiebre del Oro!  
Cavar para la Victoria: ¡Recolecta ejercicios para subir de nivel y podrías desbloquear el efecto de marcha - Cruce del Desierto!  
Regalos del Pionero: ¡Alcanza hitos de recarga acumulativa para obtener grandes regalos!  
Operación Pionero: ¡Completa misiones para iluminar las cartas correspondientes, reclamar recompensas y ganar decoraciones de la ciudad del Día de los Pioneros!  
Partida y Diversión: ¡La nueva Partida y Diversión regresa con recompensas mejoradas; aumenta tu poder en este festival para desbloquear regalos gratis y premios por tiempo limitado!  
Súper Estrella de la Suerte: ¡Únete a la celebración global, dibuja a tarifas de ganga y busca la Súper Estrella de la Suerte para ganar pieles de ciudad exclusivas!  
Expedición en Tierras Salvajes: ¡Recolecta Picos del Tesoro, desentierra cristales y geodas, y gana grandes recompensas!  
Bonanza de Cofres: ¡El progreso de todo el servidor desbloquea Cofres Dorados y Plateados para todos!  
Transportador Cromático: ¡Nuevas pieles de edición limitada están saliendo ahora!  
-Mejorada la Legibilidad del Informe de Batalla: ¡La interfaz renovada ofrece una visión más clara!  
-Mejorada la Sala de Chat de la Banda: ¡Reorganiza los chats con la nueva función de arrastrar y soltar!  
-Coliseo Astral Renovado: ¡Optimización del emparejamiento, reinicio de niveles de banda y añadido el nuevo Pronóstico de la Partida!  
-Operación Mutantes Optimizada: ¡Ahora puedes salir del vestíbulo del equipo durante el emparejamiento!  
-Fábrica de Equipos Mejorada: ¡Las barras de progreso de producción ahora se sincronizan perfectamente dentro y fuera!  
-Logros de Reliquias Optimizados: ¡Notificaciones más fuertes y habilitación de recolección de múltiples recompensas!</v>
      </c>
      <c r="K66" s="148" t="str">
        <f>IFERROR(__xludf.DUMMYFUNCTION("""COMPUTED_VALUE"""),"-Новый герой: Белобровый детектив – Видок, проницательный мудрец и мастер-сыщик, который распутывает самые сложные загадки!
-Новый Мех: Охотник за ядом – Паук, высокотехнологичный мех, капающий смертельными токсинами для охоты на врагов на поле боя!
-Новы"&amp;"й облик носителя: Валор – Тележка с мороженым, решите все проблемы с кремовой сладостью.
-Новая статуя героя: Вик. Добавьте больше блеска вашему городу!
-Новая военная тренировка: Своевременно проводите тренировки, чтобы получить мощные боевые усиления!
-"&amp;"Новое красное снаряжение: Используйте мощные функциональные эффекты, чтобы сокрушить своих врагов!
-Новые уровни захвата крепости: 100 новых этапов разблокировано!
-Новое сокровище: Глава 6 приносит 100 совершенно новых миссий!
-Новая 5-я, 6-я генерация м"&amp;"едалей настройки героя
-Новые эксклюзивные наборы ресурсов доступны!
-Новое событие Дня Пионеров:
Мехатронный склад: Крутите Пионерскую лотерею с памятными тренировками, чтобы получить роскошные призы и облик города - Золотая лихорадка!
Копайте ради Побед"&amp;"ы: Собирайте тренировки для повышения уровня, и вы можете разблокировать эффект марша - Переход через пустыню!
Подарки Пионера: Достигайте накопительных этапов пополнения для получения щедрых подарков!
Операция Пионер: Выполняйте задания, чтобы зажечь соо"&amp;"тветствующие карты, забрать награды и получить городские украшения Дня Пионеров!
Матч и Веселье: Совершенно новый Матч и Веселье возвращается с улучшенными наградами; увеличьте свою силу на этом фестивале, чтобы разблокировать бесплатные подарки и призы с"&amp;" ограниченным сроком!
Супер Удачная Звезда: Присоединяйтесь к глобальному празднованию, рисуйте по выгодным ставкам и охотьтесь за Супер Удачной Звездой, чтобы выиграть эксклюзивные облики города!
Экспедиция в дикую местность: Собирайте сокровищные кирки,"&amp;" добывайте кристаллы и геоды и получайте огромные награды!
Сундук Бонанза: Прогресс на сервере разблокирует Золотые и Серебряные сундуки для всех!
Хрома Носитель: Новые ограниченные облики выходят сейчас!
-Улучшенная читаемость отчета о бое: Обновленный и"&amp;"нтерфейс предлагает более четкие инсайты!
-Улучшенная комната чата банды: Переупорядочивайте чаты с новой функцией перетаскивания!
-Обновленный Астральный Колизей: Оптимизированный подбор матчей, сброс уровня банды и добавлено новое прогнозирование матча!"&amp;"
-Оптимизированная Операция «Мутанты»: Теперь вы можете выйти из лобби команды во время подбора!
-Улучшенная фабрика снаряжения: Полосы прогресса производства теперь синхронизируются безупречно внутри и снаружи!
-Оптимизированные достижения реликвий: Боле"&amp;"е сильные уведомления и возможность многократного сбора наград!")</f>
        <v>-Новый герой: Белобровый детектив – Видок, проницательный мудрец и мастер-сыщик, который распутывает самые сложные загадки!
-Новый Мех: Охотник за ядом – Паук, высокотехнологичный мех, капающий смертельными токсинами для охоты на врагов на поле боя!
-Новый облик носителя: Валор – Тележка с мороженым, решите все проблемы с кремовой сладостью.
-Новая статуя героя: Вик. Добавьте больше блеска вашему городу!
-Новая военная тренировка: Своевременно проводите тренировки, чтобы получить мощные боевые усиления!
-Новое красное снаряжение: Используйте мощные функциональные эффекты, чтобы сокрушить своих врагов!
-Новые уровни захвата крепости: 100 новых этапов разблокировано!
-Новое сокровище: Глава 6 приносит 100 совершенно новых миссий!
-Новая 5-я, 6-я генерация медалей настройки героя
-Новые эксклюзивные наборы ресурсов доступны!
-Новое событие Дня Пионеров:
Мехатронный склад: Крутите Пионерскую лотерею с памятными тренировками, чтобы получить роскошные призы и облик города - Золотая лихорадка!
Копайте ради Победы: Собирайте тренировки для повышения уровня, и вы можете разблокировать эффект марша - Переход через пустыню!
Подарки Пионера: Достигайте накопительных этапов пополнения для получения щедрых подарков!
Операция Пионер: Выполняйте задания, чтобы зажечь соответствующие карты, забрать награды и получить городские украшения Дня Пионеров!
Матч и Веселье: Совершенно новый Матч и Веселье возвращается с улучшенными наградами; увеличьте свою силу на этом фестивале, чтобы разблокировать бесплатные подарки и призы с ограниченным сроком!
Супер Удачная Звезда: Присоединяйтесь к глобальному празднованию, рисуйте по выгодным ставкам и охотьтесь за Супер Удачной Звездой, чтобы выиграть эксклюзивные облики города!
Экспедиция в дикую местность: Собирайте сокровищные кирки, добывайте кристаллы и геоды и получайте огромные награды!
Сундук Бонанза: Прогресс на сервере разблокирует Золотые и Серебряные сундуки для всех!
Хрома Носитель: Новые ограниченные облики выходят сейчас!
-Улучшенная читаемость отчета о бое: Обновленный интерфейс предлагает более четкие инсайты!
-Улучшенная комната чата банды: Переупорядочивайте чаты с новой функцией перетаскивания!
-Обновленный Астральный Колизей: Оптимизированный подбор матчей, сброс уровня банды и добавлено новое прогнозирование матча!
-Оптимизированная Операция «Мутанты»: Теперь вы можете выйти из лобби команды во время подбора!
-Улучшенная фабрика снаряжения: Полосы прогресса производства теперь синхронизируются безупречно внутри и снаружи!
-Оптимизированные достижения реликвий: Более сильные уведомления и возможность многократного сбора наград!</v>
      </c>
      <c r="L66" s="148" t="str">
        <f>IFERROR(__xludf.DUMMYFUNCTION("""COMPUTED_VALUE"""),"-Yeni Savaşçı: Beyaz Kaşlı Dedektif – Vidoc, keskin gözlü bir bilge ve en zorlu gizemleri çözen usta bir dedektif!
-Yeni Meka: Zehir Avcısı – Örümcek, savaş meydanında düşmanları avlamak için ölümcül toksinlerle dolu yüksek teknoloji meka!
-Yeni Taşıyıcı "&amp;"Görünümü: Sonsuz Değer – Dondurma Arabası, tüm sorunları kremalı tatlılıkla çöz.
-Yeni Savaşçı Heykeli: Vic. Şehrine daha fazla parlaklık kat!
-Yeni Askeri Tatbikat: Tatbikatlarını doğru zamanla, güçlü savaş güçlendirmeleri kazan!
-Yeni Kırmızı Ekipman: D"&amp;"üşmanlarını ezmek için güçlü fonksiyonel etkilerden yararlan!
-Yeni Kale Ele Geçirme seviyeleri: 100 yeni aşama kilidi açıldı!
-Yeni Hazine: Bölüm 6, 100 yepyeni görev getiriyor!
-Yeni 5. ve 6. Nesil Savaşçı Özel Madalyası
-Yeni Özel Kaynak Özel Paketleri"&amp;" mevcut!
-Yeni Öncüler Günü etkinliği:
Meka Hazinesi: Lüks ödüller ve şehir görünümü - Altına Hücum Macerası kazanmak için Anı Tatbikatları ile Öncü Çekilişi'ni çevir!
Zafer için Kazı: Seviye atlamak için tatbikatları topla ve belki sefer etkisi - Çöl Geç"&amp;"işi'ni açabilirsin!
Öncü'nün Hediyeleri: Büyük hediyeler için kümülatif yeniden yükleme kilometre taşlarına ulaş!
Operasyon Öncü: İlgili kartları aydınlatmak, ödülleri almak ve Öncüler Günü şehir dekorasyonlarını kazanmak için görevleri tamamla!
Eşleştirm"&amp;"e ve Eğlence: Yepyeni Eşleştirme ve Eğlence, yükseltilmiş ödüllerle geri dönüyor; bu festivalde gücünü artırarak ücretsiz hediyeler ve sınırlı süreli ödüllerin kilidini aç!
Süper Şanslı Yıldız: Küresel kutlamaya katıl, pazarlık oranlarında çekiliş yap ve "&amp;"özel şehir görünümleri kazanmak için Süper Şanslı Yıldız'ı avla!
Vahşi Arazi Seferi: Hazine Seçicileri topla, kristalleri ve jeotları ortaya çıkar ve büyük ödüller kazan!
Sandık Şöleni: Sunucu genelinde ilerleme, herkes için Altın ve Gümüş Sandıkların kil"&amp;"idini açar!
Krom Taşıyıcı: Yeni sınırlı sayıda görünümler şimdi çıkıyor!
-Geliştirilmiş Savaş Raporu Okunabilirliği: Yenilenmiş arayüz daha net bilgiler sunuyor!
-Geliştirilmiş Çete Sohbet Odası: Yeni sürükle ve bırak özelliği ile sohbetleri yeniden sıral"&amp;"a!
-Yenilenmiş Yıldız Kolezyumu: Optimize edilmiş eşleştirme, çete kademe sıfırlama ve yeni Eşleştirme Tahmini eklendi!
-Optimize Edilmiş Mutant Operasyonu: Artık eşleştirme sırasında takım lobisinden çıkabilirsin!
-Yükseltilmiş Ekipman Fabrikası: Üretim "&amp;"ilerleme çubukları artık iç ve dış senkronize çalışıyor!
-Optimize Edilmiş Kalıntı Başarıları: Daha güçlü bildirimler ve çoklu ödül toplama imkanı!")</f>
        <v>-Yeni Savaşçı: Beyaz Kaşlı Dedektif – Vidoc, keskin gözlü bir bilge ve en zorlu gizemleri çözen usta bir dedektif!
-Yeni Meka: Zehir Avcısı – Örümcek, savaş meydanında düşmanları avlamak için ölümcül toksinlerle dolu yüksek teknoloji meka!
-Yeni Taşıyıcı Görünümü: Sonsuz Değer – Dondurma Arabası, tüm sorunları kremalı tatlılıkla çöz.
-Yeni Savaşçı Heykeli: Vic. Şehrine daha fazla parlaklık kat!
-Yeni Askeri Tatbikat: Tatbikatlarını doğru zamanla, güçlü savaş güçlendirmeleri kazan!
-Yeni Kırmızı Ekipman: Düşmanlarını ezmek için güçlü fonksiyonel etkilerden yararlan!
-Yeni Kale Ele Geçirme seviyeleri: 100 yeni aşama kilidi açıldı!
-Yeni Hazine: Bölüm 6, 100 yepyeni görev getiriyor!
-Yeni 5. ve 6. Nesil Savaşçı Özel Madalyası
-Yeni Özel Kaynak Özel Paketleri mevcut!
-Yeni Öncüler Günü etkinliği:
Meka Hazinesi: Lüks ödüller ve şehir görünümü - Altına Hücum Macerası kazanmak için Anı Tatbikatları ile Öncü Çekilişi'ni çevir!
Zafer için Kazı: Seviye atlamak için tatbikatları topla ve belki sefer etkisi - Çöl Geçişi'ni açabilirsin!
Öncü'nün Hediyeleri: Büyük hediyeler için kümülatif yeniden yükleme kilometre taşlarına ulaş!
Operasyon Öncü: İlgili kartları aydınlatmak, ödülleri almak ve Öncüler Günü şehir dekorasyonlarını kazanmak için görevleri tamamla!
Eşleştirme ve Eğlence: Yepyeni Eşleştirme ve Eğlence, yükseltilmiş ödüllerle geri dönüyor; bu festivalde gücünü artırarak ücretsiz hediyeler ve sınırlı süreli ödüllerin kilidini aç!
Süper Şanslı Yıldız: Küresel kutlamaya katıl, pazarlık oranlarında çekiliş yap ve özel şehir görünümleri kazanmak için Süper Şanslı Yıldız'ı avla!
Vahşi Arazi Seferi: Hazine Seçicileri topla, kristalleri ve jeotları ortaya çıkar ve büyük ödüller kazan!
Sandık Şöleni: Sunucu genelinde ilerleme, herkes için Altın ve Gümüş Sandıkların kilidini açar!
Krom Taşıyıcı: Yeni sınırlı sayıda görünümler şimdi çıkıyor!
-Geliştirilmiş Savaş Raporu Okunabilirliği: Yenilenmiş arayüz daha net bilgiler sunuyor!
-Geliştirilmiş Çete Sohbet Odası: Yeni sürükle ve bırak özelliği ile sohbetleri yeniden sırala!
-Yenilenmiş Yıldız Kolezyumu: Optimize edilmiş eşleştirme, çete kademe sıfırlama ve yeni Eşleştirme Tahmini eklendi!
-Optimize Edilmiş Mutant Operasyonu: Artık eşleştirme sırasında takım lobisinden çıkabilirsin!
-Yükseltilmiş Ekipman Fabrikası: Üretim ilerleme çubukları artık iç ve dış senkronize çalışıyor!
-Optimize Edilmiş Kalıntı Başarıları: Daha güçlü bildirimler ve çoklu ödül toplama imkanı!</v>
      </c>
      <c r="M66" s="148" t="str">
        <f>IFERROR(__xludf.DUMMYFUNCTION("""COMPUTED_VALUE"""),"- Chiến Binh Mới: Thám Tử Mày Trắng – Vidoc, một nhà hiền triết tinh mắt và bậc thầy thám tử giải mã những bí ẩn khó khăn nhất!
- Cơ Khí Mới: Thợ Săn Độc Tố – Nhện, một cơ khí công nghệ cao nhỏ giọt với độc tố chết người để săn lùng kẻ thù trên chiến trườ"&amp;"ng!
- Ngoại Trang Người Vận Chuyển Mới: Dũng Khí Vô Hạn – Xe Đẩy Kem, giải quyết mọi rắc rối với sự ngọt ngào của kem.
- Tượng Chiến Binh Mới: Vic. Thêm sự rực rỡ cho thành phố của bạn!
- Cuộc Diễn Tập Quân Sự Mới: Thời gian diễn tập đúng để kiếm được các"&amp;" hiệu ứng có lợi khi chiến đấu mạnh mẽ!
- Trang Bị Đỏ Mới: Khai thác các hiệu ứng chức năng mạnh mẽ để nghiền nát kẻ thù của bạn!
- Cấp Độ Tiếp Quản Pháo Đài Mới: 100 giai đoạn mới được mở khóa!
- Kho Báu Mới: Chương 6 mang đến 100 nhiệm vụ hoàn toàn mới!"&amp;"
- Huy Chương Tùy Chỉnh Chiến Binh Thế Hệ 5, 6 Mới
- Gói Tài Nguyên Độc Quyền Mới có sẵn!
- Sự Kiện Ngày Tiên Phong Mới:
Cơ Khí Bảo Vật: Quay Xổ Số Tiên Phong với Diễn Tập Kỷ Niệm để nhận giải thưởng sang trọng và chủ đề thành phố - Cuộc Phiêu Lưu Vàng!
Đ"&amp;"ào Đất Tìm Chiến Thắng: Thu thập diễn tập để thăng cấp, và bạn có thể mở khóa hiệu ứng hành quân - Băng Qua Sa Mạc!
Quà Tặng Tiên Phong: Đạt các mốc nạp tích lũy để nhận quà tặng lớn!
HOẠT ĐỘNG TIÊN PHONG: Hoàn thành nhiệm vụ để thắp sáng các thẻ tương ứn"&amp;"g, nhận phần thưởng và kiếm trang trí thành phố Ngày Tiên Phong!
TÌM ĐỐI THỦ &amp; NIỀM VUI: TÌM ĐỐI THỦ &amp; NIỀM VUI mới trở lại với phần thưởng nâng cấp; tăng cường sức mạnh của bạn trong lễ hội này để mở khóa quà tặng miễn phí và giải thưởng giới hạn thời gi"&amp;"an!
Ngôi Sao May Mắn Siêu Cấp: Tham gia lễ kỷ niệm toàn cầu, vẽ với giá mặc cả, và săn lùng Ngôi Sao May Mắn Siêu Cấp để giành được chủ đề thành phố độc quyền!
Cuộc Thám Hiểm Vùng Hoang Dã: Thu thập Dụng Cụ Tìm Kho Báu, khai thác tinh thể và đá quý, và nh"&amp;"ận phần thưởng lớn!
Cơn Sốt Rương: Tiến trình toàn máy chủ mở khóa Rương Vàng và Bạc cho mọi người!
Người Vận Chuyển Chroma: Ngoại trang giới hạn mới đang ra mắt ngay bây giờ!
- Tăng Cường Độ Đọc Báo Cáo Chiến Đấu: Giao diện được cải tiến cung cấp cái nhì"&amp;"n rõ ràng hơn!
- Cải Tiến Phòng Chat Bang Hội: Sắp xếp lại các cuộc trò chuyện với tính năng kéo và thả mới!
- Đại Đấu Trường Thiên Thể Được Cải Tiến: Tối ưu hóa ghép trận, đặt lại bậc bang hội, và thêm Dự Báo Trận Đấu mới!
- Tối Ưu Hóa Vây Quét Khỉ Đột B"&amp;"iến: Bây giờ bạn có thể thoát khỏi sảnh đội trong khi ghép trận!
- Nâng Cấp Nhà Máy Trang Bị: Thanh tiến trình sản xuất bây giờ đồng bộ hoàn hảo bên trong và bên ngoài!
- Tối Ưu Hóa Thành Tích Di Tích: Thông báo mạnh mẽ hơn và cho phép thu thập nhiều phần"&amp;" thưởng!")</f>
        <v>- Chiến Binh Mới: Thám Tử Mày Trắng – Vidoc, một nhà hiền triết tinh mắt và bậc thầy thám tử giải mã những bí ẩn khó khăn nhất!
- Cơ Khí Mới: Thợ Săn Độc Tố – Nhện, một cơ khí công nghệ cao nhỏ giọt với độc tố chết người để săn lùng kẻ thù trên chiến trường!
- Ngoại Trang Người Vận Chuyển Mới: Dũng Khí Vô Hạn – Xe Đẩy Kem, giải quyết mọi rắc rối với sự ngọt ngào của kem.
- Tượng Chiến Binh Mới: Vic. Thêm sự rực rỡ cho thành phố của bạn!
- Cuộc Diễn Tập Quân Sự Mới: Thời gian diễn tập đúng để kiếm được các hiệu ứng có lợi khi chiến đấu mạnh mẽ!
- Trang Bị Đỏ Mới: Khai thác các hiệu ứng chức năng mạnh mẽ để nghiền nát kẻ thù của bạn!
- Cấp Độ Tiếp Quản Pháo Đài Mới: 100 giai đoạn mới được mở khóa!
- Kho Báu Mới: Chương 6 mang đến 100 nhiệm vụ hoàn toàn mới!
- Huy Chương Tùy Chỉnh Chiến Binh Thế Hệ 5, 6 Mới
- Gói Tài Nguyên Độc Quyền Mới có sẵn!
- Sự Kiện Ngày Tiên Phong Mới:
Cơ Khí Bảo Vật: Quay Xổ Số Tiên Phong với Diễn Tập Kỷ Niệm để nhận giải thưởng sang trọng và chủ đề thành phố - Cuộc Phiêu Lưu Vàng!
Đào Đất Tìm Chiến Thắng: Thu thập diễn tập để thăng cấp, và bạn có thể mở khóa hiệu ứng hành quân - Băng Qua Sa Mạc!
Quà Tặng Tiên Phong: Đạt các mốc nạp tích lũy để nhận quà tặng lớn!
HOẠT ĐỘNG TIÊN PHONG: Hoàn thành nhiệm vụ để thắp sáng các thẻ tương ứng, nhận phần thưởng và kiếm trang trí thành phố Ngày Tiên Phong!
TÌM ĐỐI THỦ &amp; NIỀM VUI: TÌM ĐỐI THỦ &amp; NIỀM VUI mới trở lại với phần thưởng nâng cấp; tăng cường sức mạnh của bạn trong lễ hội này để mở khóa quà tặng miễn phí và giải thưởng giới hạn thời gian!
Ngôi Sao May Mắn Siêu Cấp: Tham gia lễ kỷ niệm toàn cầu, vẽ với giá mặc cả, và săn lùng Ngôi Sao May Mắn Siêu Cấp để giành được chủ đề thành phố độc quyền!
Cuộc Thám Hiểm Vùng Hoang Dã: Thu thập Dụng Cụ Tìm Kho Báu, khai thác tinh thể và đá quý, và nhận phần thưởng lớn!
Cơn Sốt Rương: Tiến trình toàn máy chủ mở khóa Rương Vàng và Bạc cho mọi người!
Người Vận Chuyển Chroma: Ngoại trang giới hạn mới đang ra mắt ngay bây giờ!
- Tăng Cường Độ Đọc Báo Cáo Chiến Đấu: Giao diện được cải tiến cung cấp cái nhìn rõ ràng hơn!
- Cải Tiến Phòng Chat Bang Hội: Sắp xếp lại các cuộc trò chuyện với tính năng kéo và thả mới!
- Đại Đấu Trường Thiên Thể Được Cải Tiến: Tối ưu hóa ghép trận, đặt lại bậc bang hội, và thêm Dự Báo Trận Đấu mới!
- Tối Ưu Hóa Vây Quét Khỉ Đột Biến: Bây giờ bạn có thể thoát khỏi sảnh đội trong khi ghép trận!
- Nâng Cấp Nhà Máy Trang Bị: Thanh tiến trình sản xuất bây giờ đồng bộ hoàn hảo bên trong và bên ngoài!
- Tối Ưu Hóa Thành Tích Di Tích: Thông báo mạnh mẽ hơn và cho phép thu thập nhiều phần thưởng!</v>
      </c>
      <c r="N66" s="108" t="str">
        <f>IFERROR(__xludf.DUMMYFUNCTION("""COMPUTED_VALUE"""),"-Nuovo Combattente: Il Detective dalle Sopracciglia Bianche – Vidoc, un saggio dagli occhi acuti e maestro investigatore che risolve i misteri più difficili!
-Nuovo Mech: Cacciatore Velenoso – Ragno, un mech ad alta tecnologia che gocciola di tossine leta"&amp;"li per cacciare i nemici sul campo di battaglia!
-Nuovo Aspetto del Trasportatore: Valore Infinito – Carrello del Gelato, risolvi tutti i problemi con dolcezza cremosa.
-Nuova Statua del Combattente: Vic. Aggiungi più brillantezza alla tua città!
-Nuovo A"&amp;"ddestramento Militare: Tempifica i tuoi addestramenti per guadagnare potenti benefici di battaglia!
-Nuovo Equipaggiamento Rosso: Sfrutta potenti effetti funzionali per schiacciare i tuoi nemici!
-Nuovi livelli di Conquista di Fortezze: 100 nuove fasi sbl"&amp;"occate!
-Nuovo Tesoro: Il Capitolo 6 porta 100 missioni completamente nuove!
-Nuova Medaglia Personalizzata del Combattente di 5ª e 6ª Generazione
-Nuovi Pacchetti di Risorse Esclusive disponibili!
-Nuovo evento Giorno dei Pionieri:
Tesoro Meccanico: Gira"&amp;" la Lotteria del Pioniere con Trapani Commemorativi per ottenere premi di lusso e l'aspetto della città - Avventura nella Corsa all'Oro!
Scava per la Vittoria: Raccogli trapani per salire di livello e potresti sbloccare l'effetto di marcia - Attraversamen"&amp;"to del Deserto!
Regali del Pioniere: Raggiungi traguardi di ricarica cumulativa per ottenere regali consistenti!
Operazione Pionieri: Completa missioni per accendere le carte corrispondenti, riscatta ricompense e guadagna decorazioni della città del Giorn"&amp;"o dei Pionieri!
Abbinamento e Divertimento: Il nuovissimo Abbinamento e Divertimento ritorna con ricompense migliorate; aumenta la tua potenza in questo festival per sbloccare regali gratuiti e premi a tempo limitato!
Super Stella Fortunata: Partecipa all"&amp;"a celebrazione globale, disegna a tariffe vantaggiose e cerca la Super Stella Fortunata per vincere aspetti esclusivi della città!
Spedizione nelle Terre Selvagge: Raccogli Picconi del Tesoro, scopri cristalli e geodi, e guadagna ricompense massicce!
Fest"&amp;"a del Forziere: Il progresso del server sblocca Forzieri d'Oro e d'Argento per tutti!
Trasportatore Cromatico: Nuovi aspetti in edizione limitata sono ora disponibili!
-Migliorata la Leggibilità del Rapporto di Battaglia: Interfaccia rinnovata offre infor"&amp;"mazioni più chiare!
-Migliorata la Stanza di Chat della Gang: Riordina le chat con la nuova funzione di trascinamento!
-Colosseo Astrale Rinnovato: Ottimizzato il matchmaking, reset delle classi della gang e aggiunta la nuova Previsione Abbinamento!
-Oper"&amp;"azione Mutanti Ottimizzata: Ora puoi uscire dalla lobby della squadra durante l'abbinamento!
-Fucina di Attrezzature Potenziata: Le barre di progresso della produzione ora si sincronizzano perfettamente dentro e fuori!
-Obiettivi dei Relitti Ottimizzati: "&amp;"Notifiche più forti e abilitata la raccolta multipla di ricompense!")</f>
        <v>-Nuovo Combattente: Il Detective dalle Sopracciglia Bianche – Vidoc, un saggio dagli occhi acuti e maestro investigatore che risolve i misteri più difficili!
-Nuovo Mech: Cacciatore Velenoso – Ragno, un mech ad alta tecnologia che gocciola di tossine letali per cacciare i nemici sul campo di battaglia!
-Nuovo Aspetto del Trasportatore: Valore Infinito – Carrello del Gelato, risolvi tutti i problemi con dolcezza cremosa.
-Nuova Statua del Combattente: Vic. Aggiungi più brillantezza alla tua città!
-Nuovo Addestramento Militare: Tempifica i tuoi addestramenti per guadagnare potenti benefici di battaglia!
-Nuovo Equipaggiamento Rosso: Sfrutta potenti effetti funzionali per schiacciare i tuoi nemici!
-Nuovi livelli di Conquista di Fortezze: 100 nuove fasi sbloccate!
-Nuovo Tesoro: Il Capitolo 6 porta 100 missioni completamente nuove!
-Nuova Medaglia Personalizzata del Combattente di 5ª e 6ª Generazione
-Nuovi Pacchetti di Risorse Esclusive disponibili!
-Nuovo evento Giorno dei Pionieri:
Tesoro Meccanico: Gira la Lotteria del Pioniere con Trapani Commemorativi per ottenere premi di lusso e l'aspetto della città - Avventura nella Corsa all'Oro!
Scava per la Vittoria: Raccogli trapani per salire di livello e potresti sbloccare l'effetto di marcia - Attraversamento del Deserto!
Regali del Pioniere: Raggiungi traguardi di ricarica cumulativa per ottenere regali consistenti!
Operazione Pionieri: Completa missioni per accendere le carte corrispondenti, riscatta ricompense e guadagna decorazioni della città del Giorno dei Pionieri!
Abbinamento e Divertimento: Il nuovissimo Abbinamento e Divertimento ritorna con ricompense migliorate; aumenta la tua potenza in questo festival per sbloccare regali gratuiti e premi a tempo limitato!
Super Stella Fortunata: Partecipa alla celebrazione globale, disegna a tariffe vantaggiose e cerca la Super Stella Fortunata per vincere aspetti esclusivi della città!
Spedizione nelle Terre Selvagge: Raccogli Picconi del Tesoro, scopri cristalli e geodi, e guadagna ricompense massicce!
Festa del Forziere: Il progresso del server sblocca Forzieri d'Oro e d'Argento per tutti!
Trasportatore Cromatico: Nuovi aspetti in edizione limitata sono ora disponibili!
-Migliorata la Leggibilità del Rapporto di Battaglia: Interfaccia rinnovata offre informazioni più chiare!
-Migliorata la Stanza di Chat della Gang: Riordina le chat con la nuova funzione di trascinamento!
-Colosseo Astrale Rinnovato: Ottimizzato il matchmaking, reset delle classi della gang e aggiunta la nuova Previsione Abbinamento!
-Operazione Mutanti Ottimizzata: Ora puoi uscire dalla lobby della squadra durante l'abbinamento!
-Fucina di Attrezzature Potenziata: Le barre di progresso della produzione ora si sincronizzano perfettamente dentro e fuori!
-Obiettivi dei Relitti Ottimizzati: Notifiche più forti e abilitata la raccolta multipla di ricompense!</v>
      </c>
      <c r="O66" s="148" t="str">
        <f>IFERROR(__xludf.DUMMYFUNCTION("""COMPUTED_VALUE"""),"-Nowy Wojownik: Detektyw Białobrewy – Vidoc, bystry mędrzec i mistrz detektyw, który rozwiązuje najtrudniejsze zagadki!
-Nowy Mech: Łowca Trucizn – Pająk, zaawansowany technologicznie mech ociekający śmiertelnymi toksynami, aby polować na wrogów na polu b"&amp;"itwy!  
-Nowa Skórka Przenośnika: Nieskończona Wartość – Wózek z lodami, rozwiąż wszystkie problemy kremową słodyczą.
-Nowy Pomnik Wojownika: Vic. Dodaj więcej blasku do swojego miasta!
-Nowy Wojskowy Trening: Zgraj swoje ćwiczenia, aby zdobyć potężne wzm"&amp;"ocnienia bitewne!  
-Nowe Czerwone Wyposażenie: Wykorzystaj potężne efekty funkcjonalne, aby zmiażdżyć swoich wrogów!  
-Nowe poziomy Przejęcia Fortecy: Odblokowano 100 nowych etapów!  
-Nowy Skarb: Rozdział 6 przynosi 100 zupełnie nowych misji!  
-Nowy M"&amp;"edal Customizacji Wojownika 5. i 6. Generacji
-Nowe Ekskluzywne Pakiety Zasobów dostępne!  
-Nowe wydarzenie Dzień Pioniera:  
Skarb Mecha: Zakręć Pionierską Loterią za pomocą Pamiątkowych Wiertnic, aby odebrać luksusowe nagrody i skórkę miasta - Złota Go"&amp;"rączka!  
Kop dla Zwycięstwa: Zbieraj wiertnice, aby awansować, a możesz odblokować efekt marszu - Przekroczenie Pustyni!  
Prezenty Pioniera: Osiągnij kumulacyjne progi doładowania, aby zdobyć obfite prezenty!  
Operacja Pionier: Ukończ zadania, aby zapa"&amp;"lić odpowiednie karty, odebrać nagrody i zdobyć dekoracje miejskie na Dzień Pioniera!  
Dobierz i Zabawa: Zupełnie nowa Dobierz i Zabawa powraca z ulepszonymi nagrodami; zwiększ swoją siłę w tym festiwalu, aby odblokować darmowe prezenty i nagrody ogranic"&amp;"zone czasowo!  
Super Szczęśliwa Gwiazda: Dołącz do globalnej celebracji, losuj po okazyjnych cenach i poluj na Super Szczęśliwą Gwiazdę, aby wygrać ekskluzywne skórki miasta!  
Ekspedycja na Dziczy: Zbieraj Skarby, odkrywaj kryształy i geody, i zdobywaj "&amp;"ogromne nagrody!  
Bonanza Skrzyń: Postęp na całym serwerze odblokowuje Złote i Srebrne Skrzynie dla wszystkich!  
Chroma Przenośnik: Nowe limitowane skórki są już dostępne!  
-Ulepszona Czytelność Raportu z Bitwy: Przeprojektowany interfejs oferuje wyraź"&amp;"niejsze wglądy!  
-Ulepszony Chatroom Gangu: Zmień kolejność czatów za pomocą nowej funkcji przeciągnij i upuść!  
-Przeprojektowane Gwiezdne Koloseum: Optymalizacja dopasowywania, reset poziomu gangu i dodanie nowego Prognozowania Meczu!  
-Optymalizowan"&amp;"a Operacja Mutanty: Teraz możesz opuścić lobby zespołu podczas dopasowywania!  
-Ulepszona Fabryka Wyposażenia: Pasek postępu produkcji teraz synchronizuje się bezbłędnie wewnątrz i na zewnątrz!  
-Optymalizowane Osiągnięcia Reliktów: Silniejsze powiadomi"&amp;"enia i możliwość zbiorowego odbioru nagród!")</f>
        <v>-Nowy Wojownik: Detektyw Białobrewy – Vidoc, bystry mędrzec i mistrz detektyw, który rozwiązuje najtrudniejsze zagadki!
-Nowy Mech: Łowca Trucizn – Pająk, zaawansowany technologicznie mech ociekający śmiertelnymi toksynami, aby polować na wrogów na polu bitwy!  
-Nowa Skórka Przenośnika: Nieskończona Wartość – Wózek z lodami, rozwiąż wszystkie problemy kremową słodyczą.
-Nowy Pomnik Wojownika: Vic. Dodaj więcej blasku do swojego miasta!
-Nowy Wojskowy Trening: Zgraj swoje ćwiczenia, aby zdobyć potężne wzmocnienia bitewne!  
-Nowe Czerwone Wyposażenie: Wykorzystaj potężne efekty funkcjonalne, aby zmiażdżyć swoich wrogów!  
-Nowe poziomy Przejęcia Fortecy: Odblokowano 100 nowych etapów!  
-Nowy Skarb: Rozdział 6 przynosi 100 zupełnie nowych misji!  
-Nowy Medal Customizacji Wojownika 5. i 6. Generacji
-Nowe Ekskluzywne Pakiety Zasobów dostępne!  
-Nowe wydarzenie Dzień Pioniera:  
Skarb Mecha: Zakręć Pionierską Loterią za pomocą Pamiątkowych Wiertnic, aby odebrać luksusowe nagrody i skórkę miasta - Złota Gorączka!  
Kop dla Zwycięstwa: Zbieraj wiertnice, aby awansować, a możesz odblokować efekt marszu - Przekroczenie Pustyni!  
Prezenty Pioniera: Osiągnij kumulacyjne progi doładowania, aby zdobyć obfite prezenty!  
Operacja Pionier: Ukończ zadania, aby zapalić odpowiednie karty, odebrać nagrody i zdobyć dekoracje miejskie na Dzień Pioniera!  
Dobierz i Zabawa: Zupełnie nowa Dobierz i Zabawa powraca z ulepszonymi nagrodami; zwiększ swoją siłę w tym festiwalu, aby odblokować darmowe prezenty i nagrody ograniczone czasowo!  
Super Szczęśliwa Gwiazda: Dołącz do globalnej celebracji, losuj po okazyjnych cenach i poluj na Super Szczęśliwą Gwiazdę, aby wygrać ekskluzywne skórki miasta!  
Ekspedycja na Dziczy: Zbieraj Skarby, odkrywaj kryształy i geody, i zdobywaj ogromne nagrody!  
Bonanza Skrzyń: Postęp na całym serwerze odblokowuje Złote i Srebrne Skrzynie dla wszystkich!  
Chroma Przenośnik: Nowe limitowane skórki są już dostępne!  
-Ulepszona Czytelność Raportu z Bitwy: Przeprojektowany interfejs oferuje wyraźniejsze wglądy!  
-Ulepszony Chatroom Gangu: Zmień kolejność czatów za pomocą nowej funkcji przeciągnij i upuść!  
-Przeprojektowane Gwiezdne Koloseum: Optymalizacja dopasowywania, reset poziomu gangu i dodanie nowego Prognozowania Meczu!  
-Optymalizowana Operacja Mutanty: Teraz możesz opuścić lobby zespołu podczas dopasowywania!  
-Ulepszona Fabryka Wyposażenia: Pasek postępu produkcji teraz synchronizuje się bezbłędnie wewnątrz i na zewnątrz!  
-Optymalizowane Osiągnięcia Reliktów: Silniejsze powiadomienia i możliwość zbiorowego odbioru nagród!</v>
      </c>
      <c r="P66" s="148" t="str">
        <f>IFERROR(__xludf.DUMMYFUNCTION("""COMPUTED_VALUE"""),"-مقاتل جديد: المحقق ذو الحاجبين الأبيضين – فيدوك، حكيم ذو عين ثاقبة ومحقق بارع يحل أصعب الألغاز!
-ميكا جديد: صياد السم – العنكبوت، ميكا عالي التقنية مليء بالسموم القاتلة لصيد الأعداء في ساحة المعركة!
-زينة ناقلة جديدة: الشجاعة اللامتناهية – عربة الآيس كري"&amp;"م، حل جميع المشاكل بحلاوة كريمية.
-حالة مقاتل جديدة: فيك. أضف المزيد من التألق إلى مدينتك!
-تدريب عسكري جديد: قم بتوقيت تدريباتك بشكل صحيح لكسب تعزيزات المعركة القوية!
-معدات حمراء جديدة: استغل التأثيرات الوظيفية القوية لسحق أعدائك!
-مستويات جديدة للاستيل"&amp;"اء على الحصن: تم فتح 100 مرحلة جديدة!
-كنز جديد: الفصل 6 يجلب 100 مهمة جديدة تمامًا!
-ميدالية مخصصة جديدة للمقاتل من الجيل الخامس والسادس
-باقات موارد حصرية جديدة متاحة!
-حدث يوم الرواد الجديد:
ميكا تروف: قم بتدوير سحب الرواد باستخدام التدريبات التذكارية "&amp;"للحصول على جوائز فاخرة وزينة المدينة - مغامرة اندفاع الذهب!
حفر من أجل النصر: اجمع التدريبات لترقية المستوى، وقد تفتح تأثيرات المسيرة - عبور الصحراء!
هدايا الرواد: حقق معالم الشحن التراكمية للحصول على هدايا ضخمة!
عملية الرائد: أكمل المهام لإضاءة البطاقات "&amp;"المقابلة، واكتساب الجوائز، والحصول على زينات مدينة يوم الرواد!
مطابقة ومرح: تعود مطابقة ومرح الجديدة تمامًا مع مكافآت محسنة؛ عزز قوتك في هذا المهرجان لفتح الهدايا المجانية والجوائز المحدودة!
نجم الحظ السعيد: انضم إلى الاحتفال العالمي، واسحب بأسعار الصفقة،"&amp;" وابحث عن نجم الحظ السعيد للفوز بزينة المدينة الحصرية!
بعثة الأراضي البرية: اجمع اختيارات الكنز، واكتشف البلورات والجيويدات، واكسب مكافآت ضخمة!
جنون الصناديق: تقدم السيرفر يفتح الصناديق الذهبية والفضية للجميع!
ناقلة الكروم: زينات جديدة محدودة الإصدار تطرح"&amp;" الآن!
-تحسين قابلية قراءة تقرير المعركة: واجهة مجددة تقدم رؤى أوضح!
-تحسين غرفة دردشة العصابة: إعادة ترتيب الدردشات بميزة السحب والإفلات الجديدة!
-مدرج النجوم المجدد: تحسين المطابقة، إعادة تعيين مستوى العصابة، وإضافة توقع المطابقة الجديد!
-تحسين عملية ال"&amp;"مسخ: الآن يمكنك الخروج من ردهة الفريق أثناء المطابقة!
-ترقية مصنع المعدات: أشرطة تقدم الإنتاج تتزامن الآن بشكل سلس داخل وخارج المصنع!
-تحسين إنجازات الآثار: إشعارات أقوى وتمكين جمع المكافآت المتعددة!")</f>
        <v>-مقاتل جديد: المحقق ذو الحاجبين الأبيضين – فيدوك، حكيم ذو عين ثاقبة ومحقق بارع يحل أصعب الألغاز!
-ميكا جديد: صياد السم – العنكبوت، ميكا عالي التقنية مليء بالسموم القاتلة لصيد الأعداء في ساحة المعركة!
-زينة ناقلة جديدة: الشجاعة اللامتناهية – عربة الآيس كريم، حل جميع المشاكل بحلاوة كريمية.
-حالة مقاتل جديدة: فيك. أضف المزيد من التألق إلى مدينتك!
-تدريب عسكري جديد: قم بتوقيت تدريباتك بشكل صحيح لكسب تعزيزات المعركة القوية!
-معدات حمراء جديدة: استغل التأثيرات الوظيفية القوية لسحق أعدائك!
-مستويات جديدة للاستيلاء على الحصن: تم فتح 100 مرحلة جديدة!
-كنز جديد: الفصل 6 يجلب 100 مهمة جديدة تمامًا!
-ميدالية مخصصة جديدة للمقاتل من الجيل الخامس والسادس
-باقات موارد حصرية جديدة متاحة!
-حدث يوم الرواد الجديد:
ميكا تروف: قم بتدوير سحب الرواد باستخدام التدريبات التذكارية للحصول على جوائز فاخرة وزينة المدينة - مغامرة اندفاع الذهب!
حفر من أجل النصر: اجمع التدريبات لترقية المستوى، وقد تفتح تأثيرات المسيرة - عبور الصحراء!
هدايا الرواد: حقق معالم الشحن التراكمية للحصول على هدايا ضخمة!
عملية الرائد: أكمل المهام لإضاءة البطاقات المقابلة، واكتساب الجوائز، والحصول على زينات مدينة يوم الرواد!
مطابقة ومرح: تعود مطابقة ومرح الجديدة تمامًا مع مكافآت محسنة؛ عزز قوتك في هذا المهرجان لفتح الهدايا المجانية والجوائز المحدودة!
نجم الحظ السعيد: انضم إلى الاحتفال العالمي، واسحب بأسعار الصفقة، وابحث عن نجم الحظ السعيد للفوز بزينة المدينة الحصرية!
بعثة الأراضي البرية: اجمع اختيارات الكنز، واكتشف البلورات والجيويدات، واكسب مكافآت ضخمة!
جنون الصناديق: تقدم السيرفر يفتح الصناديق الذهبية والفضية للجميع!
ناقلة الكروم: زينات جديدة محدودة الإصدار تطرح الآن!
-تحسين قابلية قراءة تقرير المعركة: واجهة مجددة تقدم رؤى أوضح!
-تحسين غرفة دردشة العصابة: إعادة ترتيب الدردشات بميزة السحب والإفلات الجديدة!
-مدرج النجوم المجدد: تحسين المطابقة، إعادة تعيين مستوى العصابة، وإضافة توقع المطابقة الجديد!
-تحسين عملية المسخ: الآن يمكنك الخروج من ردهة الفريق أثناء المطابقة!
-ترقية مصنع المعدات: أشرطة تقدم الإنتاج تتزامن الآن بشكل سلس داخل وخارج المصنع!
-تحسين إنجازات الآثار: إشعارات أقوى وتمكين جمع المكافآت المتعددة!</v>
      </c>
      <c r="Q66" s="148" t="str">
        <f>IFERROR(__xludf.DUMMYFUNCTION("""COMPUTED_VALUE"""),"-新しいファイター: 白い眉の探偵 – ビドック、鋭い目を持つ賢者であり、最も難解な謎を解き明かす名探偵！
-新しいメカ: ヴェノムハンター – スパイダー、戦場で敵を狩るために致命的な毒を滴らせるハイテクメカ！
-新しいキャリアスキン: バロール – アイスクリームカート、クリーミーな甘さで全てのトラブルを解決。
-新しいファイターの像: ヴィック。あなたの都市にさらなる輝きを追加！
-新しい軍事訓練: 訓練のタイミングを合わせて強力な戦闘バフを獲得！
-新しい赤装備: 強力な機能効果を活用して敵を粉砕"&amp;"！
-新しい要塞バトルレベル: 100の新しいステージが解除されました！
-新しい宝探し冒険記: チャプター6が100の新しいミッションをもたらします！
-新しい5世代、6世代ファイターカスタムメダル
-新しい限定リソースカスタムパックが利用可能！
-新しい開拓者の日イベント:
機械の秘宝: 記念ドリルで開拓者抽選を回して豪華な賞品と都市スキン - ゴールドラッシュアドベンチャーを獲得！
勝利への採掘: ドリルを収集してレベルアップし、行軍エフェクト - 砂漠横断をアンロックするかもしれません！
開拓者の"&amp;"ギフト: 累積チャージのマイルストーンを達成して豪華なギフトを獲得！
開拓作戦: クエストを完了して対応するカードを点灯させ、報酬を受け取り、開拓者の日の都市装飾を獲得！
マッチ &amp; 楽しいお祭り: 新しいマッチ &amp; 楽しいお祭りがアップグレードされた報酬と共に戻ってきました。この祭りで戦力を強化して無料ギフトと限定賞品をアンロック！
スーパーラッキースター: 世界的な祝祭に参加し、バーゲン価格で抽選し、スーパーラッキースターを探して限定都市スキンを獲得！
荒野探検: 宝探しピックを集めてクリスタルやジオ"&amp;"ードを発掘し、大量の報酬を獲得！
チェストボナンザ: サーバー全体の進行状況でゴールデンチェストとシルバーチェストが全員に解除されます！
クロマキャリア: 新しい限定版スキンが今すぐ登場！
-戦闘報告書の読みやすさ向上: 改良されたインターフェースでより明確な洞察を提供！
-ギルドチャットルームの改善: 新しいドラッグアンドドロップ機能でチャットを並べ替え！
-アストラルコロシアムの刷新: マッチメイキングの最適化、ギルドティアのリセット、新しいマッチ予測の追加！
-変異エイプ殲滅作戦の最適化: マッチン"&amp;"グ中にチームロビーから退出可能に！
-装備工場のアップグレード: 生産進行バーが内外で完璧に同期！
-遺物達成度の最適化: より強力な通知と複数の報酬収集を可能に！")</f>
        <v>-新しいファイター: 白い眉の探偵 – ビドック、鋭い目を持つ賢者であり、最も難解な謎を解き明かす名探偵！
-新しいメカ: ヴェノムハンター – スパイダー、戦場で敵を狩るために致命的な毒を滴らせるハイテクメカ！
-新しいキャリアスキン: バロール – アイスクリームカート、クリーミーな甘さで全てのトラブルを解決。
-新しいファイターの像: ヴィック。あなたの都市にさらなる輝きを追加！
-新しい軍事訓練: 訓練のタイミングを合わせて強力な戦闘バフを獲得！
-新しい赤装備: 強力な機能効果を活用して敵を粉砕！
-新しい要塞バトルレベル: 100の新しいステージが解除されました！
-新しい宝探し冒険記: チャプター6が100の新しいミッションをもたらします！
-新しい5世代、6世代ファイターカスタムメダル
-新しい限定リソースカスタムパックが利用可能！
-新しい開拓者の日イベント:
機械の秘宝: 記念ドリルで開拓者抽選を回して豪華な賞品と都市スキン - ゴールドラッシュアドベンチャーを獲得！
勝利への採掘: ドリルを収集してレベルアップし、行軍エフェクト - 砂漠横断をアンロックするかもしれません！
開拓者のギフト: 累積チャージのマイルストーンを達成して豪華なギフトを獲得！
開拓作戦: クエストを完了して対応するカードを点灯させ、報酬を受け取り、開拓者の日の都市装飾を獲得！
マッチ &amp; 楽しいお祭り: 新しいマッチ &amp; 楽しいお祭りがアップグレードされた報酬と共に戻ってきました。この祭りで戦力を強化して無料ギフトと限定賞品をアンロック！
スーパーラッキースター: 世界的な祝祭に参加し、バーゲン価格で抽選し、スーパーラッキースターを探して限定都市スキンを獲得！
荒野探検: 宝探しピックを集めてクリスタルやジオードを発掘し、大量の報酬を獲得！
チェストボナンザ: サーバー全体の進行状況でゴールデンチェストとシルバーチェストが全員に解除されます！
クロマキャリア: 新しい限定版スキンが今すぐ登場！
-戦闘報告書の読みやすさ向上: 改良されたインターフェースでより明確な洞察を提供！
-ギルドチャットルームの改善: 新しいドラッグアンドドロップ機能でチャットを並べ替え！
-アストラルコロシアムの刷新: マッチメイキングの最適化、ギルドティアのリセット、新しいマッチ予測の追加！
-変異エイプ殲滅作戦の最適化: マッチング中にチームロビーから退出可能に！
-装備工場のアップグレード: 生産進行バーが内外で完璧に同期！
-遺物達成度の最適化: より強力な通知と複数の報酬収集を可能に！</v>
      </c>
      <c r="R66" s="148" t="str">
        <f>IFERROR(__xludf.DUMMYFUNCTION("""COMPUTED_VALUE"""),"-새로운 전사: 하얀 눈썹 탐정 – 비독, 예리한 눈을 가진 현자이자 가장 어려운 수수께끼를 푸는 명탐정!
-새로운 메카: 독 헌터 – 거미, 전장에서 적을 사냥하기 위해 치명적인 독소를 흘리는 첨단 메카!
-새로운 운반선 스킨: 용맹 – 아이스크림 카트, 크리미한 달콤함으로 모든 문제를 해결하세요.
-새로운 전사 석상: 빅. 당신의 도시에 더 많은 빛을 추가하세요!
-새로운 군사 훈련: 훈련 시간을 맞춰 강력한 전투 버프를 얻으세요!
-새로운 레드 장"&amp;"비: 강력한 기능 효과를 활용하여 적을 격파하세요!
-새로운 요새 대결 레벨: 100개의 새로운 단계가 잠금 해제되었습니다!
-새로운 보물: 챕터 6이 100개의 새로운 임무를 가져옵니다!
-새로운 5세대, 6세대 전사 커스텀 메달
-새로운 독점 자원 커스텀 패키지 사용 가능!
-새로운 개척자의 날 이벤트:
기계의 비보: 기념 드릴로 개척자 추첨을 돌려 럭셔리 상품과 도시 스킨 - 골드 러시 어드벤처를 요구하세요!
승리를 위한 땅파기: 드릴을 수집하여 "&amp;"레벨을 올리고, 행군 이펙트 - 사막 횡단을 잠금 해제할 수 있습니다!
개척자의 선물: 누적 충전 마일스톤을 달성하여 푸짐한 선물을 받으세요!
개척 작전: 임무를 완료하여 해당 카드를 밝히고 보상을 요구하며 개척자의 날 도시 장식을 얻으세요!
매치 &amp; 재미: 새로운 매치 &amp; 재미가 업그레이드된 보상과 함께 돌아옵니다; 이번 축제에서 전투력을 높여 무료 선물과 한정된 시간 동안의 상품을 잠금 해제하세요!
슈퍼 행운의 별: 글로벌 축제에 참여하여 저렴한 가"&amp;"격으로 뽑기를 하고, 독점 도시 스킨을 얻기 위해 슈퍼 행운의 별을 사냥하세요!
야생지 탐험: 보물 픽을 모아 크리스탈과 지오드를 발굴하고 막대한 보상을 받으세요!
상자 보너자: 서버 전체 진행률이 골든 및 실버 상자를 모두에게 잠금 해제합니다!
크로마 운반선: 새로운 한정판 스킨이 지금 출시됩니다!
-향상된 전투 보고서 가독성: 개편된 인터페이스가 더 명확한 통찰력을 제공합니다!
-개선된 무리 채팅방: 새로운 드래그 앤 드롭 기능으로 채팅을 재정렬하세"&amp;"요!
-개편된 별의 사투: 최적화된 매치메이킹, 무리 등급 리셋, 새로운 매치 예측 추가!
-최적화된 변이 원숭이 토벌: 이제 매칭 중 팀 로비에서 나갈 수 있습니다!
-업그레이드된 장비 공장: 생산 진행률 막대가 내부와 외부에서 완벽하게 동기화됩니다!
-최적화된 유물 성과: 더 강력한 알림과 다중 보상 수집 기능을 활성화하세요!")</f>
        <v>-새로운 전사: 하얀 눈썹 탐정 – 비독, 예리한 눈을 가진 현자이자 가장 어려운 수수께끼를 푸는 명탐정!
-새로운 메카: 독 헌터 – 거미, 전장에서 적을 사냥하기 위해 치명적인 독소를 흘리는 첨단 메카!
-새로운 운반선 스킨: 용맹 – 아이스크림 카트, 크리미한 달콤함으로 모든 문제를 해결하세요.
-새로운 전사 석상: 빅. 당신의 도시에 더 많은 빛을 추가하세요!
-새로운 군사 훈련: 훈련 시간을 맞춰 강력한 전투 버프를 얻으세요!
-새로운 레드 장비: 강력한 기능 효과를 활용하여 적을 격파하세요!
-새로운 요새 대결 레벨: 100개의 새로운 단계가 잠금 해제되었습니다!
-새로운 보물: 챕터 6이 100개의 새로운 임무를 가져옵니다!
-새로운 5세대, 6세대 전사 커스텀 메달
-새로운 독점 자원 커스텀 패키지 사용 가능!
-새로운 개척자의 날 이벤트:
기계의 비보: 기념 드릴로 개척자 추첨을 돌려 럭셔리 상품과 도시 스킨 - 골드 러시 어드벤처를 요구하세요!
승리를 위한 땅파기: 드릴을 수집하여 레벨을 올리고, 행군 이펙트 - 사막 횡단을 잠금 해제할 수 있습니다!
개척자의 선물: 누적 충전 마일스톤을 달성하여 푸짐한 선물을 받으세요!
개척 작전: 임무를 완료하여 해당 카드를 밝히고 보상을 요구하며 개척자의 날 도시 장식을 얻으세요!
매치 &amp; 재미: 새로운 매치 &amp; 재미가 업그레이드된 보상과 함께 돌아옵니다; 이번 축제에서 전투력을 높여 무료 선물과 한정된 시간 동안의 상품을 잠금 해제하세요!
슈퍼 행운의 별: 글로벌 축제에 참여하여 저렴한 가격으로 뽑기를 하고, 독점 도시 스킨을 얻기 위해 슈퍼 행운의 별을 사냥하세요!
야생지 탐험: 보물 픽을 모아 크리스탈과 지오드를 발굴하고 막대한 보상을 받으세요!
상자 보너자: 서버 전체 진행률이 골든 및 실버 상자를 모두에게 잠금 해제합니다!
크로마 운반선: 새로운 한정판 스킨이 지금 출시됩니다!
-향상된 전투 보고서 가독성: 개편된 인터페이스가 더 명확한 통찰력을 제공합니다!
-개선된 무리 채팅방: 새로운 드래그 앤 드롭 기능으로 채팅을 재정렬하세요!
-개편된 별의 사투: 최적화된 매치메이킹, 무리 등급 리셋, 새로운 매치 예측 추가!
-최적화된 변이 원숭이 토벌: 이제 매칭 중 팀 로비에서 나갈 수 있습니다!
-업그레이드된 장비 공장: 생산 진행률 막대가 내부와 외부에서 완벽하게 동기화됩니다!
-최적화된 유물 성과: 더 강력한 알림과 다중 보상 수집 기능을 활성화하세요!</v>
      </c>
      <c r="S66" s="148" t="str">
        <f>IFERROR(__xludf.DUMMYFUNCTION("""COMPUTED_VALUE"""),"-新增斗士：白眉神探-维多克，洞察秋毫的智者，破解谜团的名侦探！
-新增机甲：剧毒猎手-蜘蛛，操控致命毒素的新型机甲，战场上的无情猎手！
-新增战车皮肤：英勇不屈号-冰淇淋贩售车，用香甜的奶油解决一切烦恼；
-新增斗士雕像：维克，来为你的城市增添更多光彩吧！
-新增军事演练：通过适时的演练获取更多战斗增益！
-新增红色战装：新战装能够带来强大的功能性效果，使用它们击溃敌人吧！
-新增堡垒对决关卡：100个；
-新增寻宝记关卡：第六章，100个；
-新增第5代、第6代斗士自选奖牌；
-新增资源特供自选礼包；"&amp;"
-新增拓荒节活动
机械秘宝：拓荒节抽奖活动开启！使用纪念扳手，赢取豪华大奖，更有城市外观-掘金之旅，等你来拿；
掘地求胜：收集钻头，提升活动等级，有机会获取全新行军特效-穿越沙海；
拓荒豪礼：限时累计充值即可领取丰厚奖励！
拓荒行动：玩家完成任务可点亮当前任务牌，获取任务奖励，赢取拓荒节城市装饰；
欢乐对对碰：对对碰重新返场，奖励升级！节日内提升实力，即可开启免费礼物！有概率获取限定节日奖励！
超级幸运星：全服庆典狂欢，低价抽奖，寻找超级幸运星！城市外观等你来抽！
荒野探宝：收集探宝十字镐，挖掘水晶与晶"&amp;"岩，赢取大量奖励！
宝箱大放送：全服玩家累计进度，获取黄金宝箱与白银宝箱！
炫彩战车：新战车皮肤登场，限定战车皮肤即将和大家见面！
-战报可读性优化：战报界面全新升级，提供更加清晰的阅读体验；
-帮派聊天室优化：增加调整顺序功能，可自由调整帮派聊天室顺序；
-决战卫星之巅联赛优化：优化匹配分组，初始化联赛等级，新增赛事竞猜玩法；
-围剿变异猴优化：允许玩家在匹配阶段跳出组队界面；
-战装车间优化：进度条显示逻辑优化，内外生产进度条显示逻辑保持一致；
-收藏品成就优化：成就奖励可领取状态提示强化，多个奖励可"&amp;"连续跳转领取。")</f>
        <v>-新增斗士：白眉神探-维多克，洞察秋毫的智者，破解谜团的名侦探！
-新增机甲：剧毒猎手-蜘蛛，操控致命毒素的新型机甲，战场上的无情猎手！
-新增战车皮肤：英勇不屈号-冰淇淋贩售车，用香甜的奶油解决一切烦恼；
-新增斗士雕像：维克，来为你的城市增添更多光彩吧！
-新增军事演练：通过适时的演练获取更多战斗增益！
-新增红色战装：新战装能够带来强大的功能性效果，使用它们击溃敌人吧！
-新增堡垒对决关卡：100个；
-新增寻宝记关卡：第六章，100个；
-新增第5代、第6代斗士自选奖牌；
-新增资源特供自选礼包；
-新增拓荒节活动
机械秘宝：拓荒节抽奖活动开启！使用纪念扳手，赢取豪华大奖，更有城市外观-掘金之旅，等你来拿；
掘地求胜：收集钻头，提升活动等级，有机会获取全新行军特效-穿越沙海；
拓荒豪礼：限时累计充值即可领取丰厚奖励！
拓荒行动：玩家完成任务可点亮当前任务牌，获取任务奖励，赢取拓荒节城市装饰；
欢乐对对碰：对对碰重新返场，奖励升级！节日内提升实力，即可开启免费礼物！有概率获取限定节日奖励！
超级幸运星：全服庆典狂欢，低价抽奖，寻找超级幸运星！城市外观等你来抽！
荒野探宝：收集探宝十字镐，挖掘水晶与晶岩，赢取大量奖励！
宝箱大放送：全服玩家累计进度，获取黄金宝箱与白银宝箱！
炫彩战车：新战车皮肤登场，限定战车皮肤即将和大家见面！
-战报可读性优化：战报界面全新升级，提供更加清晰的阅读体验；
-帮派聊天室优化：增加调整顺序功能，可自由调整帮派聊天室顺序；
-决战卫星之巅联赛优化：优化匹配分组，初始化联赛等级，新增赛事竞猜玩法；
-围剿变异猴优化：允许玩家在匹配阶段跳出组队界面；
-战装车间优化：进度条显示逻辑优化，内外生产进度条显示逻辑保持一致；
-收藏品成就优化：成就奖励可领取状态提示强化，多个奖励可连续跳转领取。</v>
      </c>
      <c r="T66" s="148"/>
      <c r="U66" s="148"/>
      <c r="V66" s="148"/>
      <c r="W66" s="148"/>
      <c r="X66" s="148"/>
      <c r="Y66" s="148"/>
      <c r="Z66" s="148"/>
    </row>
    <row r="67">
      <c r="A67" s="167" t="str">
        <f>IFERROR(__xludf.DUMMYFUNCTION("""COMPUTED_VALUE"""),"0.76.0")</f>
        <v>0.76.0</v>
      </c>
      <c r="B67" s="148" t="str">
        <f>IFERROR(__xludf.DUMMYFUNCTION("""COMPUTED_VALUE"""),"-新增斗士：头号玩家-阿克塞尔，纵横虚拟世界，玩转现实战场的超级玩家！可通过“最强猴子”活动获取。
-新增机甲皮肤：螳螂皮肤-幽镰船长，为了探寻海岛的宝藏，猿族根据人类留下的航海资料改装了螳螂机甲，使它拥有独特的海上作战能力。
-新增斗士雕像：艾玛、萨姆，来为你的城市增添更多光彩吧！
-新增装饰物粉刷功能：可使用特定道具激活粉刷功能，获取限时增益。
-新增竞技场竞猜玩法：在精英竞技场巅峰赛中，指挥官可以观看比赛，并在指定时间段参与竞猜赢得奖励，竞猜类型分为选手竞猜、胜负竞猜、趣味竞猜。
-新增地下世界奇遇"&amp;"玩法：优化了火神星、珊瑚星、寒冰星地下世界的玩法和数值，新增奇遇玩法。
-新增深海节活动
城市外观套装：长鲸出海！参与活动可集齐套装组件，解锁最终形态。
海滩狂欢：使用海滩许愿瓶抽取奖励，获取巨鲸套装皮肤组件！
海上探宝：使用寻宝罗盘寻找宝藏，赢取豪华大奖，更有巨鲸套装等你来拿！
深海庆典：使用节日骰子参与深海之旅，收集深海节装饰物组件，获取丰厚奖励。更有深海庆典纪念照片赠送！
礼包团购：购买礼包的玩家越多，奖励越丰厚！
深海签到：每日签到，领取深海节限定活动奖励，免费获取传说领袖斗士-艾玛！
竞猜大赢家"&amp;"：购买礼包后可选取幸运组合，共有三次中奖机会，惊喜满满，不容错过！
惊喜涂装：参与活动，将有机会赢取螳螂机甲皮肤-幽镰船长！
深海漫游：参与活动收集漫游骰子，在深海地图中前进，获取丰厚奖励！
潮汐回响：深海节战令活动，收集藏宝图碎片，提升战令等级，获取节日限定头像框、行军特效等丰厚奖励！
-配送站系统优化：5级以上帮派的魁首和官员可以对配送站进行设置，让参与者只派出一名士兵。
-深海试炼优化：深海试炼满级奖励优化，大奖变为可选天赋技能；扩展了深海试炼的开启范围，参与过珊瑚星、寒冰星、远古星的玩家可以在异星"&amp;"争霸活动中再次体验该玩法。
-远征玩法优化：优化远征开启时间。
-拦路巨猿优化：新增预设队伍功能，让离线状态的玩家也能参与。
-堡垒竞夺优化：对于开服半年以上的服务器，堡垒竞夺玩法只在银河战争中开放，并增加奖励投放。
-科林的探索优化：增加新的任务类型，提供更多种类的奖励。
-军功任务优化：赛季任务调整，每日自选任务增加新类型，参与火车竞赛等战场玩法可获得积分完成任务。
-决战卫星之巅联赛优化：决战卫星之巅战场开始前，增加更明显的全服播报提示。")</f>
        <v>-新增斗士：头号玩家-阿克塞尔，纵横虚拟世界，玩转现实战场的超级玩家！可通过“最强猴子”活动获取。
-新增机甲皮肤：螳螂皮肤-幽镰船长，为了探寻海岛的宝藏，猿族根据人类留下的航海资料改装了螳螂机甲，使它拥有独特的海上作战能力。
-新增斗士雕像：艾玛、萨姆，来为你的城市增添更多光彩吧！
-新增装饰物粉刷功能：可使用特定道具激活粉刷功能，获取限时增益。
-新增竞技场竞猜玩法：在精英竞技场巅峰赛中，指挥官可以观看比赛，并在指定时间段参与竞猜赢得奖励，竞猜类型分为选手竞猜、胜负竞猜、趣味竞猜。
-新增地下世界奇遇玩法：优化了火神星、珊瑚星、寒冰星地下世界的玩法和数值，新增奇遇玩法。
-新增深海节活动
城市外观套装：长鲸出海！参与活动可集齐套装组件，解锁最终形态。
海滩狂欢：使用海滩许愿瓶抽取奖励，获取巨鲸套装皮肤组件！
海上探宝：使用寻宝罗盘寻找宝藏，赢取豪华大奖，更有巨鲸套装等你来拿！
深海庆典：使用节日骰子参与深海之旅，收集深海节装饰物组件，获取丰厚奖励。更有深海庆典纪念照片赠送！
礼包团购：购买礼包的玩家越多，奖励越丰厚！
深海签到：每日签到，领取深海节限定活动奖励，免费获取传说领袖斗士-艾玛！
竞猜大赢家：购买礼包后可选取幸运组合，共有三次中奖机会，惊喜满满，不容错过！
惊喜涂装：参与活动，将有机会赢取螳螂机甲皮肤-幽镰船长！
深海漫游：参与活动收集漫游骰子，在深海地图中前进，获取丰厚奖励！
潮汐回响：深海节战令活动，收集藏宝图碎片，提升战令等级，获取节日限定头像框、行军特效等丰厚奖励！
-配送站系统优化：5级以上帮派的魁首和官员可以对配送站进行设置，让参与者只派出一名士兵。
-深海试炼优化：深海试炼满级奖励优化，大奖变为可选天赋技能；扩展了深海试炼的开启范围，参与过珊瑚星、寒冰星、远古星的玩家可以在异星争霸活动中再次体验该玩法。
-远征玩法优化：优化远征开启时间。
-拦路巨猿优化：新增预设队伍功能，让离线状态的玩家也能参与。
-堡垒竞夺优化：对于开服半年以上的服务器，堡垒竞夺玩法只在银河战争中开放，并增加奖励投放。
-科林的探索优化：增加新的任务类型，提供更多种类的奖励。
-军功任务优化：赛季任务调整，每日自选任务增加新类型，参与火车竞赛等战场玩法可获得积分完成任务。
-决战卫星之巅联赛优化：决战卫星之巅战场开始前，增加更明显的全服播报提示。</v>
      </c>
      <c r="C67" s="148" t="str">
        <f>IFERROR(__xludf.DUMMYFUNCTION("""COMPUTED_VALUE"""),"- New Fighter: Top Gamer - Axel storms in from the VR arena to the real battle. Obtainable through the Ultimate Monkey event.
- New Mech Skin: Mantis Skin – Gloomscythe Captain. To chase island riches, the Apes rebuilt the Mantis Mech with old human saili"&amp;"ng charts, giving it unique sea power.
- New Fighter Statues: Emma and Sam. Add more brilliance to your city!
- New Decoration Painting: Spend a special item to paint decorations and unlock timed buffs.
- New Arena Betting: During the Champion Brawl - Top"&amp;" Match, commanders can watch matches and place three kinds of bets—player prediction, result prediction, and fun prediction.
- Subterra Revamp: Fire Star, Coral Star, and Glacier Land get new balance tuning plus brand-new adventure events.
- Ocean Abyss A"&amp;"rrives  
  City Hall Skin Set: Great Whale Sets Sail! Unlocks when all parts are collected.  
  Beach Bash: Toss Wish Bottles for prizes and Whale skin set components.  
  Seaborne Treasure Hunt: Spin the Treasure Compass for deluxe loot, including the Wh"&amp;"ale set.  
  Abyss Celebration: Roll Festival Dice on a sea-voyage board, gather festival decoration, and earn stacks of rewards—plus a commemorative photo.  
  Group Deal: The more commanders buy, the bigger the rewards.  
  Abyss Sign-In: Daily log-ins "&amp;"grant festival rewards and a free legendary leader fighter—Emma!  
  Prediction Champ: Buy the pack, pick your lucky combo, and enjoy three jackpot chances.  
  Lucky Lacquer: Enter for a shot at the Mantis Skin - Gloomscythe Captain.  
  Abyss Voyage: Co"&amp;"llect Roaming Dices, move across the map, and claim rich rewards.  
  Echo Tides: Ocean Abyss Decree event. Gather treasure map shards, level up your decree level, and get limited avatar frames, marching decorations, and more.
- Distributor Upgrade: Chief"&amp;"s and gang officials in Lv.5+ gang can set hubs so each helper sends just one troop.
- Trench Trials Update: Max-level reward becomes a selectable skill, and Fire Star, Coral Star, and Glacier Land veterans can replay the mode during Galactic Supremacy.
-"&amp;" Expedition Upgrade: Expedition Timing Tweaked for smoother starts.        
- Roadblock Giganto Fix: Preset teams let offline players join the fight.
- Fortress Looter Change: On servers open half a year or more, Fortress Looter now only appears in Planet"&amp;" Wars, with bigger rewards.
- Colin's exploration: New quest types and fresh rewards.
- Honor Quests: Season quests adjusted; new daily quest types—earn points in the Great Train Race and other gameplays.
- Astral Coliseum: A louder global alert now annou"&amp;"nces each battle start.")</f>
        <v>- New Fighter: Top Gamer - Axel storms in from the VR arena to the real battle. Obtainable through the Ultimate Monkey event.
- New Mech Skin: Mantis Skin – Gloomscythe Captain. To chase island riches, the Apes rebuilt the Mantis Mech with old human sailing charts, giving it unique sea power.
- New Fighter Statues: Emma and Sam. Add more brilliance to your city!
- New Decoration Painting: Spend a special item to paint decorations and unlock timed buffs.
- New Arena Betting: During the Champion Brawl - Top Match, commanders can watch matches and place three kinds of bets—player prediction, result prediction, and fun prediction.
- Subterra Revamp: Fire Star, Coral Star, and Glacier Land get new balance tuning plus brand-new adventure events.
- Ocean Abyss Arrives  
  City Hall Skin Set: Great Whale Sets Sail! Unlocks when all parts are collected.  
  Beach Bash: Toss Wish Bottles for prizes and Whale skin set components.  
  Seaborne Treasure Hunt: Spin the Treasure Compass for deluxe loot, including the Whale set.  
  Abyss Celebration: Roll Festival Dice on a sea-voyage board, gather festival decoration, and earn stacks of rewards—plus a commemorative photo.  
  Group Deal: The more commanders buy, the bigger the rewards.  
  Abyss Sign-In: Daily log-ins grant festival rewards and a free legendary leader fighter—Emma!  
  Prediction Champ: Buy the pack, pick your lucky combo, and enjoy three jackpot chances.  
  Lucky Lacquer: Enter for a shot at the Mantis Skin - Gloomscythe Captain.  
  Abyss Voyage: Collect Roaming Dices, move across the map, and claim rich rewards.  
  Echo Tides: Ocean Abyss Decree event. Gather treasure map shards, level up your decree level, and get limited avatar frames, marching decorations, and more.
- Distributor Upgrade: Chiefs and gang officials in Lv.5+ gang can set hubs so each helper sends just one troop.
- Trench Trials Update: Max-level reward becomes a selectable skill, and Fire Star, Coral Star, and Glacier Land veterans can replay the mode during Galactic Supremacy.
- Expedition Upgrade: Expedition Timing Tweaked for smoother starts.        
- Roadblock Giganto Fix: Preset teams let offline players join the fight.
- Fortress Looter Change: On servers open half a year or more, Fortress Looter now only appears in Planet Wars, with bigger rewards.
- Colin's exploration: New quest types and fresh rewards.
- Honor Quests: Season quests adjusted; new daily quest types—earn points in the Great Train Race and other gameplays.
- Astral Coliseum: A louder global alert now announces each battle start.</v>
      </c>
      <c r="D67" s="148" t="str">
        <f>IFERROR(__xludf.DUMMYFUNCTION("""COMPUTED_VALUE"""),"- Nouveau Combattant : Meilleur Joueur - Axel arrive de l'arène VR à la vraie bataille. Obtenable via l'événement Singe Ultime.
- Nouveau Skin de Mécha : Peau de Mante – Chef Gloomscythe. Pour chasser les richesses des îles, les Primates ont reconstruit l"&amp;"e Mécha Mante avec d'anciennes cartes de navigation humaines, lui conférant une puissance maritime unique.
- Nouvelles Statues de Combattant : Emma et Sam. Ajoutez plus de brillance à votre ville !
- Nouvelle Peinture de Décoration : Dépensez un objet spé"&amp;"cial pour peindre des décorations et débloquer des bonus temporaires.
- Nouveau Pari d'Arène : Pendant le Choc des Champions - Match au Sommet, les commandants peuvent regarder les matchs et placer trois types de paris—prédiction du joueur, prédiction de "&amp;"résultat, et prédiction amusante.
- Révision de Subterra : Etoile de Feu, Etoile de Corail, et Terre Glaciaire bénéficient d'un nouvel équilibrage et de nouveaux événements d'aventure.
- Arrivée de l'Abysse Océanique  
  Skin d'Hôtel de Ville : Le Grand B"&amp;"aleine prend la mer ! Débloqué lorsque toutes les parties sont collectées.  
  Fête sur la Plage : Lancez des Bouteilles de Vœu pour des prix et des composants du skin Baleine.  
  Chasse au Trésor Maritime : Faites tourner la Boussole de Trésor pour des "&amp;"butins de luxe, y compris le set Baleine.  
  Célébration de l'Abysse : Lancez les Dés du Festival sur un plateau de voyage en mer, rassemblez des décorations de festival, et gagnez des piles de récompenses—plus une photo commémorative.  
  Bonnes Affaire"&amp;"s de Groupe : Plus les commandants achètent, plus les récompenses sont grandes.  
  Connexion Abyssale : Les connexions quotidiennes accordent des récompenses de festival et un combattant légendaire gratuit—Emma !  
  Prédiction du Champion : Achetez le p"&amp;"ack, choisissez votre combo chanceux, et profitez de trois chances de jackpot.  
  Laque Porte-Bonheur : Participez pour tenter de gagner la Peau de Mante - Chef Gloomscythe.  
  Voyage Abyssal : Collectez des Dés Errants, déplacez-vous sur la carte, et r"&amp;"éclamez de riches récompenses.  
  Marées d'Écho : Événement Décret de l'Abysse Océanique. Rassemblez des fragments de carte au trésor, montez de niveau votre décret, et obtenez des cadres d'avatar limités, des décorations de marche, et plus encore.
- Amé"&amp;"lioration du Distributeur : Les chefs et les responsables de gang dans un gang de niveau 5+ peuvent définir des hubs pour que chaque aide n'envoie qu'une seule troupe.
- Mise à Jour des Essais des Tranchées : La récompense de niveau maximum devient une co"&amp;"mpétence sélectionnable, et les vétérans d'Etoile de Feu, Etoile de Corail, et Terre Glaciaire peuvent rejouer le mode pendant la Suprématie Galactique.
- Amélioration de l'Expédition : Le timing de l'expédition a été ajusté pour des départs plus fluides."&amp;"
- Correction du Barrage Giganto : Les équipes préréglées permettent aux joueurs hors ligne de rejoindre le combat.
- Changement du Pillage de Forteresses : Sur les serveurs ouverts depuis six mois ou plus, le Pillage de Forteresses n'apparaît désormais q"&amp;"ue dans la Guerre des Planètes, avec des récompenses plus importantes.
- Exploration de Colin : Nouveaux types de quêtes et nouvelles récompenses.
- Quêtes d'Honneur : Quêtes saisonnières ajustées ; nouveaux types de quêtes quotidiennes—gagnez des points "&amp;"dans la Grande Course de Train et d'autres gameplays.
- Colisée Astral : Une alerte globale plus forte annonce désormais chaque début de bataille.")</f>
        <v>- Nouveau Combattant : Meilleur Joueur - Axel arrive de l'arène VR à la vraie bataille. Obtenable via l'événement Singe Ultime.
- Nouveau Skin de Mécha : Peau de Mante – Chef Gloomscythe. Pour chasser les richesses des îles, les Primates ont reconstruit le Mécha Mante avec d'anciennes cartes de navigation humaines, lui conférant une puissance maritime unique.
- Nouvelles Statues de Combattant : Emma et Sam. Ajoutez plus de brillance à votre ville !
- Nouvelle Peinture de Décoration : Dépensez un objet spécial pour peindre des décorations et débloquer des bonus temporaires.
- Nouveau Pari d'Arène : Pendant le Choc des Champions - Match au Sommet, les commandants peuvent regarder les matchs et placer trois types de paris—prédiction du joueur, prédiction de résultat, et prédiction amusante.
- Révision de Subterra : Etoile de Feu, Etoile de Corail, et Terre Glaciaire bénéficient d'un nouvel équilibrage et de nouveaux événements d'aventure.
- Arrivée de l'Abysse Océanique  
  Skin d'Hôtel de Ville : Le Grand Baleine prend la mer ! Débloqué lorsque toutes les parties sont collectées.  
  Fête sur la Plage : Lancez des Bouteilles de Vœu pour des prix et des composants du skin Baleine.  
  Chasse au Trésor Maritime : Faites tourner la Boussole de Trésor pour des butins de luxe, y compris le set Baleine.  
  Célébration de l'Abysse : Lancez les Dés du Festival sur un plateau de voyage en mer, rassemblez des décorations de festival, et gagnez des piles de récompenses—plus une photo commémorative.  
  Bonnes Affaires de Groupe : Plus les commandants achètent, plus les récompenses sont grandes.  
  Connexion Abyssale : Les connexions quotidiennes accordent des récompenses de festival et un combattant légendaire gratuit—Emma !  
  Prédiction du Champion : Achetez le pack, choisissez votre combo chanceux, et profitez de trois chances de jackpot.  
  Laque Porte-Bonheur : Participez pour tenter de gagner la Peau de Mante - Chef Gloomscythe.  
  Voyage Abyssal : Collectez des Dés Errants, déplacez-vous sur la carte, et réclamez de riches récompenses.  
  Marées d'Écho : Événement Décret de l'Abysse Océanique. Rassemblez des fragments de carte au trésor, montez de niveau votre décret, et obtenez des cadres d'avatar limités, des décorations de marche, et plus encore.
- Amélioration du Distributeur : Les chefs et les responsables de gang dans un gang de niveau 5+ peuvent définir des hubs pour que chaque aide n'envoie qu'une seule troupe.
- Mise à Jour des Essais des Tranchées : La récompense de niveau maximum devient une compétence sélectionnable, et les vétérans d'Etoile de Feu, Etoile de Corail, et Terre Glaciaire peuvent rejouer le mode pendant la Suprématie Galactique.
- Amélioration de l'Expédition : Le timing de l'expédition a été ajusté pour des départs plus fluides.
- Correction du Barrage Giganto : Les équipes préréglées permettent aux joueurs hors ligne de rejoindre le combat.
- Changement du Pillage de Forteresses : Sur les serveurs ouverts depuis six mois ou plus, le Pillage de Forteresses n'apparaît désormais que dans la Guerre des Planètes, avec des récompenses plus importantes.
- Exploration de Colin : Nouveaux types de quêtes et nouvelles récompenses.
- Quêtes d'Honneur : Quêtes saisonnières ajustées ; nouveaux types de quêtes quotidiennes—gagnez des points dans la Grande Course de Train et d'autres gameplays.
- Colisée Astral : Une alerte globale plus forte annonce désormais chaque début de bataille.</v>
      </c>
      <c r="E67" s="148" t="str">
        <f>IFERROR(__xludf.DUMMYFUNCTION("""COMPUTED_VALUE"""),"- Neuer Kämpfer: Top-Spieler - Axel stürmt aus der VR-Arena in den echten Kampf. Erhältlich durch das Ultimativer Affe Event.
- Neuer Mech-Skin: Mantis-Skin – Gloomsense-Kapitän. Um Inselreichtümer zu jagen, haben die Affen den Mantis-Mech mit alten mensc"&amp;"hlichen Segelkarten umgebaut und ihm einzigartige Meereskraft verliehen.
- Neue Kämpfer-Statuen: Emma und Sam. Füge deiner Stadt mehr Glanz hinzu!
- Neue Dekorationsmalerei: Verwende ein spezielles Item, um Dekorationen zu bemalen und zeitlich begrenzte B"&amp;"uffs freizuschalten.
- Neue Arena-Wetten: Während der Champion-Schlägerei - Top-Match können Kommandanten Matches beobachten und drei Arten von Wetten platzieren—Spieler-Vorhersage, Ergebnisvorhersage und Spaßvorhersage.
- Subterra-Überarbeitung: Feuerste"&amp;"rn, Korallenstern und Gletscherland erhalten neue Balance-Anpassungen sowie brandneue Abenteuer-Events.
- Ozean-Abgrund kommt an  
  Rathaus-Skin-Set: Großer Wal setzt Segel! Wird freigeschaltet, wenn alle Teile gesammelt sind.  
  Strandparty: Wirf Wunsc"&amp;"hflaschen für Preise und Wal-Skin-Set-Komponenten.  
  Seegestützte Schatzsuche: Drehe den Schatzkompass für Deluxe-Beute, einschließlich des Wal-Sets.  
  Abgrund-Feier: Rolle Festival-Würfel auf einem See-Reise-Brett, sammle Festival-Dekorationen und ve"&amp;"rdiene Stapel von Belohnungen—plus ein Erinnerungsfoto.  
  Gruppenangebot: Je mehr Kommandanten kaufen, desto größer die Belohnungen.  
  Abgrund-Anmeldung: Tägliche Anmeldungen gewähren Festival-Belohnungen und einen kostenlosen legendären Anführer-Kämp"&amp;"fer—Emma!  
  Vorhersage-Champ: Kaufe das Paket, wähle deine Glücks-Combo und genieße drei Jackpot-Chancen.  
  Glückslack: Nimm teil für eine Chance auf den Mantis-Skin - Gloomsense-Kapitän.  
  Abgrund-Reise: Sammle umherstreifende Würfel, bewege dich ü"&amp;"ber die Karte und beanspruche reiche Belohnungen.  
  Echo-Gezeiten: Ozean-Abgrund-Beschluss-Event. Sammle Schatzkartenfragmente, steigere dein Beschluss-Level und erhalte limitierte Avatar-Rahmen, Marsch-Dekorationen und mehr.
- Vertriebs-Upgrade: Chefs "&amp;"und Clan-Beamte in Lv.5+ Clan können Hubs festlegen, sodass jeder Helfer nur eine Truppe sendet.
- Schützengraben-Prüfungen-Update: Max-Level-Belohnung wird zu einer auswählbaren Fähigkeit, und Feuerstern-, Korallenstern- und Gletscherland-Veteranen könne"&amp;"n den Modus während der Vorherrschaft in der Galaxis wiederholen.
- Expeditions-Upgrade: Expeditions-Timing angepasst für reibungslosere Starts.
- Straßensperren-Giganto-Fix: Voreingestellte Teams lassen Offline-Spieler am Kampf teilnehmen.
- Festungs-Plü"&amp;"nderer-Änderung: Auf Servern, die ein halbes Jahr oder länger geöffnet sind, erscheint Festungs-Plünderer jetzt nur noch im Planet-Krieg, mit größeren Belohnungen.
- Colins Erkundung: Neue Quest-Typen und frische Belohnungen.
- Ehren-Quests: Saison-Aufgab"&amp;"en angepasst; neue tägliche Quest-Typen—verdiene Punkte im Großen Zugrennen und anderen Spielabläufen.
- Astral-Kolosseum: Ein lauterer globaler Alarm kündigt jetzt jeden Kampfbeginn an.")</f>
        <v>- Neuer Kämpfer: Top-Spieler - Axel stürmt aus der VR-Arena in den echten Kampf. Erhältlich durch das Ultimativer Affe Event.
- Neuer Mech-Skin: Mantis-Skin – Gloomsense-Kapitän. Um Inselreichtümer zu jagen, haben die Affen den Mantis-Mech mit alten menschlichen Segelkarten umgebaut und ihm einzigartige Meereskraft verliehen.
- Neue Kämpfer-Statuen: Emma und Sam. Füge deiner Stadt mehr Glanz hinzu!
- Neue Dekorationsmalerei: Verwende ein spezielles Item, um Dekorationen zu bemalen und zeitlich begrenzte Buffs freizuschalten.
- Neue Arena-Wetten: Während der Champion-Schlägerei - Top-Match können Kommandanten Matches beobachten und drei Arten von Wetten platzieren—Spieler-Vorhersage, Ergebnisvorhersage und Spaßvorhersage.
- Subterra-Überarbeitung: Feuerstern, Korallenstern und Gletscherland erhalten neue Balance-Anpassungen sowie brandneue Abenteuer-Events.
- Ozean-Abgrund kommt an  
  Rathaus-Skin-Set: Großer Wal setzt Segel! Wird freigeschaltet, wenn alle Teile gesammelt sind.  
  Strandparty: Wirf Wunschflaschen für Preise und Wal-Skin-Set-Komponenten.  
  Seegestützte Schatzsuche: Drehe den Schatzkompass für Deluxe-Beute, einschließlich des Wal-Sets.  
  Abgrund-Feier: Rolle Festival-Würfel auf einem See-Reise-Brett, sammle Festival-Dekorationen und verdiene Stapel von Belohnungen—plus ein Erinnerungsfoto.  
  Gruppenangebot: Je mehr Kommandanten kaufen, desto größer die Belohnungen.  
  Abgrund-Anmeldung: Tägliche Anmeldungen gewähren Festival-Belohnungen und einen kostenlosen legendären Anführer-Kämpfer—Emma!  
  Vorhersage-Champ: Kaufe das Paket, wähle deine Glücks-Combo und genieße drei Jackpot-Chancen.  
  Glückslack: Nimm teil für eine Chance auf den Mantis-Skin - Gloomsense-Kapitän.  
  Abgrund-Reise: Sammle umherstreifende Würfel, bewege dich über die Karte und beanspruche reiche Belohnungen.  
  Echo-Gezeiten: Ozean-Abgrund-Beschluss-Event. Sammle Schatzkartenfragmente, steigere dein Beschluss-Level und erhalte limitierte Avatar-Rahmen, Marsch-Dekorationen und mehr.
- Vertriebs-Upgrade: Chefs und Clan-Beamte in Lv.5+ Clan können Hubs festlegen, sodass jeder Helfer nur eine Truppe sendet.
- Schützengraben-Prüfungen-Update: Max-Level-Belohnung wird zu einer auswählbaren Fähigkeit, und Feuerstern-, Korallenstern- und Gletscherland-Veteranen können den Modus während der Vorherrschaft in der Galaxis wiederholen.
- Expeditions-Upgrade: Expeditions-Timing angepasst für reibungslosere Starts.
- Straßensperren-Giganto-Fix: Voreingestellte Teams lassen Offline-Spieler am Kampf teilnehmen.
- Festungs-Plünderer-Änderung: Auf Servern, die ein halbes Jahr oder länger geöffnet sind, erscheint Festungs-Plünderer jetzt nur noch im Planet-Krieg, mit größeren Belohnungen.
- Colins Erkundung: Neue Quest-Typen und frische Belohnungen.
- Ehren-Quests: Saison-Aufgaben angepasst; neue tägliche Quest-Typen—verdiene Punkte im Großen Zugrennen und anderen Spielabläufen.
- Astral-Kolosseum: Ein lauterer globaler Alarm kündigt jetzt jeden Kampfbeginn an.</v>
      </c>
      <c r="F67" s="148" t="str">
        <f>IFERROR(__xludf.DUMMYFUNCTION("""COMPUTED_VALUE"""),"- Novo Combatente: Gamer de Elite - Axel chega da arena de VR para a batalha real. Obtível através do evento Macaco Supremo.
- Nova Skin de Mech: Skin Louva-a-deus – Capitão Foice das Trevas. Para perseguir riquezas insulares, os Macacos reconstruíram o M"&amp;"ech Louva-a-deus com antigos mapas de navegação humanos, dando-lhe um poder marítimo único.
- Novas Estátuas de Combatente: Emma e Sam. Adicione mais brilho à sua cidade!
- Nova Pintura de Decoração: Gaste um item especial para pintar decorações e desbloq"&amp;"uear auxílios temporários.
- Nova Aposta na Arena: Durante a Briga de Campeões - Partida do Topo, os comandantes podem assistir às partidas e fazer três tipos de apostas—previsão do jogador, previsão de resultado e previsão divertida.
- Reformulação de Su"&amp;"bterra: Estrela de Fogo, Estrela Coral e Terra Glacial recebem novos ajustes de equilíbrio e eventos de aventura inéditos.
- Chegada do Abismo Oceânico  
  Conjunto de Skin da Prefeitura: Grande Baleia Zarpa! Desbloqueia quando todas as partes são coletad"&amp;"as.  
  Festa na Praia: Jogue Garrafas de Desejo para ganhar prêmios e componentes do conjunto da Baleia.  
  Caça ao Tesouro Marítimo: Gire a Bússola do Tesouro para obter saques de luxo, incluindo o conjunto da Baleia.  
  Celebração do Abismo: Role os "&amp;"Dados do Festival em um tabuleiro de viagem marítima, colete decoração do festival e ganhe pilhas de recompensas—além de uma foto comemorativa.  
  Ofertas de Grupo: Quanto mais comandantes comprarem, maiores serão as recompensas.  
  Login do Abismo: Log"&amp;"ins diários concedem recompensas do festival e um combatente líder lendário grátis—Emma!  
  Previsão do Campeão: Compre o pacote, escolha seu combo da sorte e aproveite três chances de acumulado.  
  Laca da Sorte: Participe para ter uma chance de ganhar"&amp;" a Skin Louva-a-deus - Capitão Foice das Trevas.  
  Viagem do Abismo: Colete Dados Peregrinos, mova-se pelo mapa e reivindique recompensas valiosas.  
  Marés do Eco: Evento Decreto do Abismo Oceânico. Colete fragmentos do mapa do tesouro, suba de nível "&amp;"no seu decreto e obtenha molduras de avatar limitadas, decorações de marcha e mais.
- Atualização do Distribuidor: Chefes e oficiais de gangue em gangues de Nível 5+ podem definir centros para que cada ajudante envie apenas uma tropa.
- Atualização das Pr"&amp;"ovas nas Trincheiras: A recompensa de nível máximo se torna uma habilidade selecionável, e veteranos de Estrela de Fogo, Estrela Coral e Terra Glacial podem rejogar o modo durante a Supremacia Galáctica.
- Atualização da Expedição: Tempo da Expedição ajus"&amp;"tado para inícios mais suaves.
- Correção do Giganto Tranca-rua: Equipes predefinidas permitem que jogadores offline entrem na luta.
- Mudança no Saque de Fortalezas: Em servidores abertos há meio ano ou mais, o Saque de Fortalezas agora só aparece na Gue"&amp;"rra Planetária, com recompensas maiores.
- Exploração de Colin: Novos tipos de missões e recompensas frescas.
- Missões de Honra: Missões da temporada ajustadas; novos tipos de missões diárias—ganhe pontos na Grande Corrida dos Trens e outras mecânicas do"&amp;" jogo.
- Coliseu Astral: Um alerta global mais alto agora anuncia cada início de batalha.")</f>
        <v>- Novo Combatente: Gamer de Elite - Axel chega da arena de VR para a batalha real. Obtível através do evento Macaco Supremo.
- Nova Skin de Mech: Skin Louva-a-deus – Capitão Foice das Trevas. Para perseguir riquezas insulares, os Macacos reconstruíram o Mech Louva-a-deus com antigos mapas de navegação humanos, dando-lhe um poder marítimo único.
- Novas Estátuas de Combatente: Emma e Sam. Adicione mais brilho à sua cidade!
- Nova Pintura de Decoração: Gaste um item especial para pintar decorações e desbloquear auxílios temporários.
- Nova Aposta na Arena: Durante a Briga de Campeões - Partida do Topo, os comandantes podem assistir às partidas e fazer três tipos de apostas—previsão do jogador, previsão de resultado e previsão divertida.
- Reformulação de Subterra: Estrela de Fogo, Estrela Coral e Terra Glacial recebem novos ajustes de equilíbrio e eventos de aventura inéditos.
- Chegada do Abismo Oceânico  
  Conjunto de Skin da Prefeitura: Grande Baleia Zarpa! Desbloqueia quando todas as partes são coletadas.  
  Festa na Praia: Jogue Garrafas de Desejo para ganhar prêmios e componentes do conjunto da Baleia.  
  Caça ao Tesouro Marítimo: Gire a Bússola do Tesouro para obter saques de luxo, incluindo o conjunto da Baleia.  
  Celebração do Abismo: Role os Dados do Festival em um tabuleiro de viagem marítima, colete decoração do festival e ganhe pilhas de recompensas—além de uma foto comemorativa.  
  Ofertas de Grupo: Quanto mais comandantes comprarem, maiores serão as recompensas.  
  Login do Abismo: Logins diários concedem recompensas do festival e um combatente líder lendário grátis—Emma!  
  Previsão do Campeão: Compre o pacote, escolha seu combo da sorte e aproveite três chances de acumulado.  
  Laca da Sorte: Participe para ter uma chance de ganhar a Skin Louva-a-deus - Capitão Foice das Trevas.  
  Viagem do Abismo: Colete Dados Peregrinos, mova-se pelo mapa e reivindique recompensas valiosas.  
  Marés do Eco: Evento Decreto do Abismo Oceânico. Colete fragmentos do mapa do tesouro, suba de nível no seu decreto e obtenha molduras de avatar limitadas, decorações de marcha e mais.
- Atualização do Distribuidor: Chefes e oficiais de gangue em gangues de Nível 5+ podem definir centros para que cada ajudante envie apenas uma tropa.
- Atualização das Provas nas Trincheiras: A recompensa de nível máximo se torna uma habilidade selecionável, e veteranos de Estrela de Fogo, Estrela Coral e Terra Glacial podem rejogar o modo durante a Supremacia Galáctica.
- Atualização da Expedição: Tempo da Expedição ajustado para inícios mais suaves.
- Correção do Giganto Tranca-rua: Equipes predefinidas permitem que jogadores offline entrem na luta.
- Mudança no Saque de Fortalezas: Em servidores abertos há meio ano ou mais, o Saque de Fortalezas agora só aparece na Guerra Planetária, com recompensas maiores.
- Exploração de Colin: Novos tipos de missões e recompensas frescas.
- Missões de Honra: Missões da temporada ajustadas; novos tipos de missões diárias—ganhe pontos na Grande Corrida dos Trens e outras mecânicas do jogo.
- Coliseu Astral: Um alerta global mais alto agora anuncia cada início de batalha.</v>
      </c>
      <c r="G67" s="148" t="str">
        <f>IFERROR(__xludf.DUMMYFUNCTION("""COMPUTED_VALUE"""),"-新增鬥士：頭號玩家-阿克塞爾，縱橫虛擬世界，玩轉現實戰場的超級玩家！可通過“最強猴子”活動獲取。
-新增機甲皮膚：螳螂皮膚-幽鐮船長，為了探尋海島的寶藏，猿族根據人類留下的航海資料改裝了螳螂機甲，使它擁有獨特的海上作戰能力。
-新增鬥士雕像：艾瑪、薩姆，來為你的城市增添更多光彩吧！
-新增裝飾物粉刷功能：可使用特定道具激活粉刷功能，獲取限時增益。
-新增競技場競猜玩法：在精英競技場巔峰賽中，指揮官可以觀看比賽，並在指定時間段參與競猜贏得獎勵，競猜類型分為選手競猜、勝負競猜、趣味競猜。
-新增地下世界奇遇"&amp;"玩法：優化了火神星、珊瑚星、寒冰星地下世界的玩法和數值，新增奇遇玩法。
-新增深海節活動
城市外觀套裝：長鯨出海！參與活動可集齊套裝組件，解鎖最終形態。
海灘狂歡：使用海灘許願瓶抽取獎勵，獲取巨鯨套裝皮膚組件！
海上探寶：使用尋寶羅盤尋找寶藏，贏取豪華大獎，更有巨鯨套裝等你來拿！
深海慶典：使用節日骰子參與深海之旅，收集深海節裝飾物組件，獲取豐厚獎勵。更有深海慶典紀念照片贈送！
禮包團購：購買禮包的玩家越多，獎勵越豐厚！
深海簽到：每日簽到，領取深海節限定活動獎勵，免費獲取傳說領袖鬥士-艾瑪！
競猜大贏家"&amp;"：購買禮包後可選取幸運組合，共有三次中獎機會，驚喜滿滿，不容錯過！
驚喜塗裝：參與活動，將有機會贏取螳螂機甲皮膚-幽鐮船長！
深海漫遊：參與活動收集漫遊骰子，在深海地圖中前進，獲取豐厚獎勵！
潮汐回響：深海節戰令活動，收集藏寶圖碎片，提升戰令等級，獲取節日限定頭像框、行軍特效等豐厚獎勵！
-配送站系統優化：5級以上幫派的首領和官員可以對配送站進行設置，讓參與者只派出一名士兵。
-深海試煉優化：深海試煉最高等級獎勵優化，大獎變為可選天賦技能；擴展了深海試煉的開啟範圍，參與過珊瑚星、寒冰星、遠古星的玩家可以在"&amp;"異星爭霸活動中再次體驗該玩法。
-遠征玩法優化：優化遠征開啟時間。
-攔路巨猿優化：新增預設隊伍功能，讓離線狀態的玩家也能參與。
-堡壘競奪優化：對於開服半年以上的伺服器，堡壘競奪玩法只在銀河戰爭中開放，並增加獎勵投放。
-科林的探索優化：增加新的任務類型，提供更多種類的獎勵。
-軍功任務優化：賽季任務調整，每日自選任務增加新類型，參與火車競賽等戰場玩法可獲取積分完成任務。
-決戰衛星之巔聯賽優化：決戰衛星之巔戰場開始前，增加更明顯的全服播報提示。")</f>
        <v>-新增鬥士：頭號玩家-阿克塞爾，縱橫虛擬世界，玩轉現實戰場的超級玩家！可通過“最強猴子”活動獲取。
-新增機甲皮膚：螳螂皮膚-幽鐮船長，為了探尋海島的寶藏，猿族根據人類留下的航海資料改裝了螳螂機甲，使它擁有獨特的海上作戰能力。
-新增鬥士雕像：艾瑪、薩姆，來為你的城市增添更多光彩吧！
-新增裝飾物粉刷功能：可使用特定道具激活粉刷功能，獲取限時增益。
-新增競技場競猜玩法：在精英競技場巔峰賽中，指揮官可以觀看比賽，並在指定時間段參與競猜贏得獎勵，競猜類型分為選手競猜、勝負競猜、趣味競猜。
-新增地下世界奇遇玩法：優化了火神星、珊瑚星、寒冰星地下世界的玩法和數值，新增奇遇玩法。
-新增深海節活動
城市外觀套裝：長鯨出海！參與活動可集齊套裝組件，解鎖最終形態。
海灘狂歡：使用海灘許願瓶抽取獎勵，獲取巨鯨套裝皮膚組件！
海上探寶：使用尋寶羅盤尋找寶藏，贏取豪華大獎，更有巨鯨套裝等你來拿！
深海慶典：使用節日骰子參與深海之旅，收集深海節裝飾物組件，獲取豐厚獎勵。更有深海慶典紀念照片贈送！
禮包團購：購買禮包的玩家越多，獎勵越豐厚！
深海簽到：每日簽到，領取深海節限定活動獎勵，免費獲取傳說領袖鬥士-艾瑪！
競猜大贏家：購買禮包後可選取幸運組合，共有三次中獎機會，驚喜滿滿，不容錯過！
驚喜塗裝：參與活動，將有機會贏取螳螂機甲皮膚-幽鐮船長！
深海漫遊：參與活動收集漫遊骰子，在深海地圖中前進，獲取豐厚獎勵！
潮汐回響：深海節戰令活動，收集藏寶圖碎片，提升戰令等級，獲取節日限定頭像框、行軍特效等豐厚獎勵！
-配送站系統優化：5級以上幫派的首領和官員可以對配送站進行設置，讓參與者只派出一名士兵。
-深海試煉優化：深海試煉最高等級獎勵優化，大獎變為可選天賦技能；擴展了深海試煉的開啟範圍，參與過珊瑚星、寒冰星、遠古星的玩家可以在異星爭霸活動中再次體驗該玩法。
-遠征玩法優化：優化遠征開啟時間。
-攔路巨猿優化：新增預設隊伍功能，讓離線狀態的玩家也能參與。
-堡壘競奪優化：對於開服半年以上的伺服器，堡壘競奪玩法只在銀河戰爭中開放，並增加獎勵投放。
-科林的探索優化：增加新的任務類型，提供更多種類的獎勵。
-軍功任務優化：賽季任務調整，每日自選任務增加新類型，參與火車競賽等戰場玩法可獲取積分完成任務。
-決戰衛星之巔聯賽優化：決戰衛星之巔戰場開始前，增加更明顯的全服播報提示。</v>
      </c>
      <c r="H67" s="148" t="str">
        <f>IFERROR(__xludf.DUMMYFUNCTION("""COMPUTED_VALUE"""),"- Pejuang Baru: Pemain Teratas - Axel menyerbu dari arena VR ke pertempuran nyata. Dapat diperoleh melalui acara Kera yang Tangguh.
- Skin Mekanik Baru: Kulit Belalang Sembah – Kapten Sabit Kesuraman. Untuk mengejar kekayaan pulau, Kera membangun kembali "&amp;"Mekanik Belalang Sembah dengan peta pelayaran manusia kuno, memberikan kekuatan laut yang unik.
- Patung Pejuang Baru: Emma dan Sam. Tambahkan lebih banyak kemegahan ke kota kamu!
- Lukisan Dekorasi Baru: Habiskan item khusus untuk mengecat dekorasi dan m"&amp;"embuka keunggulan waktu.
- Taruhan Arena Baru: Selama Perkelahian Elite - Pertandingan Atas, komandan dapat menonton pertandingan dan memasang tiga jenis taruhan—prediksi pemain, prediksi hasil, dan prediksi ria.
- Pembaruan Subterra: Bintang Api, Bintang"&amp;" Karang, dan Tanah Gletser mendapatkan penyesuaian keseimbangan baru serta acara petualangan baru.
- Kedatangan Abyss Laut  
  Set Skin Balai Kota: Paus Besar Berlayar! Terbuka saat semua bagian terkumpul.  
  Pesta Pantai: Lempar Botol Permohonan untuk h"&amp;"adiah dan komponen set kulit Paus.  
  Perburuan Harta Karun Laut: Putar Kompas Harta Karun untuk mendapatkan jarahan mewah, termasuk set Paus.  
  Perayaan Abyss: Gulung Dadu Festival di papan perjalanan laut, kumpulkan dekorasi festival, dan dapatkan ba"&amp;"nyak hadiah—plus foto kenang-kenangan.  
  Penawaran Grup: Semakin banyak komandan yang membeli, semakin besar hadiahnya.  
  Abyss Sign-In: Log-in harian memberikan hadiah festival dan pejuang pemimpin legendaris gratis—Emma!  
  Prediksi Juara: Beli pak"&amp;"et, pilih kombinasi keberuntungan kamu, dan nikmati tiga peluang hadiah utama.  
  Pernis Keberuntungan: Masuk untuk kesempatan mendapatkan Kulit Belalang Sembah - Kapten Sabit Kesuraman.  
  Perjalanan Abyss: Kumpulkan Dadu Penjelajahan, bergerak melinta"&amp;"si peta, dan klaim hadiah kaya.  
  Gelombang Gema: Acara Perintah Abyss Laut. Kumpulkan pecahan peta harta karun, naikkan level perintah kamu, dan dapatkan bingkai avatar terbatas, dekorasi barisan, dan lainnya.
- Peningkatan Distributor: Kepala dan peja"&amp;"bat geng di geng Lv.5+ dapat mengatur hub sehingga setiap pembantu hanya mengirim satu pasukan.
- Pembaruan Uji Coba Parit: Hadiah level maksimal menjadi skill yang dapat dipilih, dan veteran Bintang Api, Bintang Karang, dan Tanah Gletser dapat mengulang "&amp;"mode selama Supremasi Galaksi.
- Peningkatan Ekspedisi: Waktu Ekspedisi Disesuaikan untuk memulai lebih lancar.
- Perbaikan Penghalang Jalan Giganto: Tim pra-atur memungkinkan pemain offline bergabung dalam pertempuran.
- Perubahan Penjarahan Benteng: Di "&amp;"server yang terbuka setengah tahun atau lebih, Penjarahan Benteng sekarang hanya muncul di Perang Planet, dengan hadiah yang lebih besar.
- Penjelajahan Colin: Jenis misi baru dan hadiah segar.
- Tantangan Kehormatan: Tantangan musim disesuaikan; jenis mi"&amp;"si harian baru—dapatkan poin dalam Balapan Kereta Hebat dan gameplay lainnya.
- Koloseum Astral: Pemberitahuan global yang lebih keras sekarang mengumumkan setiap awal pertempuran.")</f>
        <v>- Pejuang Baru: Pemain Teratas - Axel menyerbu dari arena VR ke pertempuran nyata. Dapat diperoleh melalui acara Kera yang Tangguh.
- Skin Mekanik Baru: Kulit Belalang Sembah – Kapten Sabit Kesuraman. Untuk mengejar kekayaan pulau, Kera membangun kembali Mekanik Belalang Sembah dengan peta pelayaran manusia kuno, memberikan kekuatan laut yang unik.
- Patung Pejuang Baru: Emma dan Sam. Tambahkan lebih banyak kemegahan ke kota kamu!
- Lukisan Dekorasi Baru: Habiskan item khusus untuk mengecat dekorasi dan membuka keunggulan waktu.
- Taruhan Arena Baru: Selama Perkelahian Elite - Pertandingan Atas, komandan dapat menonton pertandingan dan memasang tiga jenis taruhan—prediksi pemain, prediksi hasil, dan prediksi ria.
- Pembaruan Subterra: Bintang Api, Bintang Karang, dan Tanah Gletser mendapatkan penyesuaian keseimbangan baru serta acara petualangan baru.
- Kedatangan Abyss Laut  
  Set Skin Balai Kota: Paus Besar Berlayar! Terbuka saat semua bagian terkumpul.  
  Pesta Pantai: Lempar Botol Permohonan untuk hadiah dan komponen set kulit Paus.  
  Perburuan Harta Karun Laut: Putar Kompas Harta Karun untuk mendapatkan jarahan mewah, termasuk set Paus.  
  Perayaan Abyss: Gulung Dadu Festival di papan perjalanan laut, kumpulkan dekorasi festival, dan dapatkan banyak hadiah—plus foto kenang-kenangan.  
  Penawaran Grup: Semakin banyak komandan yang membeli, semakin besar hadiahnya.  
  Abyss Sign-In: Log-in harian memberikan hadiah festival dan pejuang pemimpin legendaris gratis—Emma!  
  Prediksi Juara: Beli paket, pilih kombinasi keberuntungan kamu, dan nikmati tiga peluang hadiah utama.  
  Pernis Keberuntungan: Masuk untuk kesempatan mendapatkan Kulit Belalang Sembah - Kapten Sabit Kesuraman.  
  Perjalanan Abyss: Kumpulkan Dadu Penjelajahan, bergerak melintasi peta, dan klaim hadiah kaya.  
  Gelombang Gema: Acara Perintah Abyss Laut. Kumpulkan pecahan peta harta karun, naikkan level perintah kamu, dan dapatkan bingkai avatar terbatas, dekorasi barisan, dan lainnya.
- Peningkatan Distributor: Kepala dan pejabat geng di geng Lv.5+ dapat mengatur hub sehingga setiap pembantu hanya mengirim satu pasukan.
- Pembaruan Uji Coba Parit: Hadiah level maksimal menjadi skill yang dapat dipilih, dan veteran Bintang Api, Bintang Karang, dan Tanah Gletser dapat mengulang mode selama Supremasi Galaksi.
- Peningkatan Ekspedisi: Waktu Ekspedisi Disesuaikan untuk memulai lebih lancar.
- Perbaikan Penghalang Jalan Giganto: Tim pra-atur memungkinkan pemain offline bergabung dalam pertempuran.
- Perubahan Penjarahan Benteng: Di server yang terbuka setengah tahun atau lebih, Penjarahan Benteng sekarang hanya muncul di Perang Planet, dengan hadiah yang lebih besar.
- Penjelajahan Colin: Jenis misi baru dan hadiah segar.
- Tantangan Kehormatan: Tantangan musim disesuaikan; jenis misi harian baru—dapatkan poin dalam Balapan Kereta Hebat dan gameplay lainnya.
- Koloseum Astral: Pemberitahuan global yang lebih keras sekarang mengumumkan setiap awal pertempuran.</v>
      </c>
      <c r="I67" s="148" t="str">
        <f>IFERROR(__xludf.DUMMYFUNCTION("""COMPUTED_VALUE"""),"- นักสู้ตัวใหม่: นักเล่นเกมระดับท็อป - แอ็กเซลพุ่งเข้ามาจากสนามต่อสู้ VR สู่การต่อสู้จริง สามารถรับได้ผ่านกิจกรรมลิงขั้นเทพ
- สกินเมคใหม่: สกินตั๊กแตนตำข้าว – กัปตันเคียวแห่งความเศร้าโศก เพื่อตามล่าสมบัติบนเกาะ วานรได้สร้างเมคตั๊กแตนตำข้าวขึ้นใหม่ด้วยแผนท"&amp;"ี่การเดินเรือของมนุษย์โบราณ ทำให้มันมีพลังทะเลที่ไม่เหมือนใคร
- รูปปั้นนักสู้ใหม่: เอ็มม่าและแซม เพิ่มความงดงามให้กับเมืองของคุณ!
- การทาสีการตกแต่งใหม่: ใช้ไอเทมพิเศษในการทาสีการตกแต่งและปลดล็อกบัฟฟ์ชั่วคราว
- การเดิมพันสนามต่อสู้ใหม่: ในช่วงอารีน่าอีลิท"&amp;" - การจับคู่สูงสุด ผู้บัญชาการสามารถดูการแข่งขันและวางเดิมพันสามประเภท—การทำนายผู้เล่น, การทำนายผลลัพธ์, และการทำนายความสนุก
- การปรับปรุง Subterra: ดาวอัคคี, ดาวปะการัง, และดินแดนน้ำแข็งได้รับการปรับสมดุลใหม่พร้อมกับกิจกรรมการผจญภัยใหม่
- การมาถึงของหุบเ"&amp;"หวมหาสมุทร  
  ชุดสกินศาลากลาง: ชุดปลาวาฬยักษ์ออกเรือ! ปลดล็อกเมื่อเก็บส่วนประกอบครบทั้งหมด  
  ปาร์ตี้ชายหาด: โยนขวดแห่งพรเพื่อรับรางวัลและส่วนประกอบชุดสกินปลาวาฬ  
  ล่าสมบัติทางทะเล: หมุนเข็มทิศสมบัติเพื่อรับของรางวัลหรูหรา รวมถึงชุดปลาวาฬ  
  การเฉลิม"&amp;"ฉลองหุบเหว: ทอยลูกเต๋าเทศกาลบนกระดานการเดินทางทางทะเล เก็บการตกแต่งเทศกาล และรับรางวัลมากมาย—รวมถึงภาพถ่ายที่ระลึก  
  ข้อเสนอร่วมกลุ่ม: ยิ่งผู้บัญชาการซื้อเยอะ รางวัลยิ่งใหญ่  
  การเข้าสู่ระบบหุบเหว: การเข้าสู่ระบบรายวันให้รางวัลเทศกาลและนักสู้ผู้นำตำนา"&amp;"นฟรี—เอ็มม่า!  
  การทำนายแชมป์: ซื้อแพ็ก เลือกคอมโบโชคดีของคุณ และเพลิดเพลินกับโอกาสแจ็คพอตสามครั้ง  
  แลคเกอร์นำโชค: เข้าร่วมเพื่อมีโอกาสรับสกินตั๊กแตนตำข้าว - กัปตันเคียวแห่งความเศร้าโศก  
  การเดินทางหุบเหว: เก็บลูกเต๋าท่องเที่ยว ย้ายข้ามแผนที่ และรั"&amp;"บรางวัลมากมาย  
  กระแสสะท้อน: กิจกรรมเกียรติยศคำสั่งหุบเหวมหาสมุทร เก็บชิ้นส่วนแผนที่สมบัติ เลเวลขึ้นคำสั่งของคุณ และรับกรอบอวาตาร์จำกัด, การตกแต่งการเดินทัพ, และอื่นๆ
- การอัปเกรดผู้จัดจำหน่าย: หัวหน้าและเจ้าหน้าที่แก๊งในแก๊งค์เลเวล 5+ สามารถตั้งฮับเพื่"&amp;"อให้ผู้ช่วยแต่ละคนส่งกองทหารเพียงหนึ่งกอง
- การอัปเดตการสอบคุกขุน: รางวัลเลเวลสูงสุดกลายเป็นทักษะที่เลือกได้ และทหารผ่านศึกดาวอัคคี, ดาวปะการัง, และดินแดนน้ำแข็งสามารถเล่นโหมดนี้ใหม่ในช่วงความเป็นหนึ่งในกาแล็กซี่
- การอัปเกรดการสำรวจ: ปรับเวลาเริ่มการสำรว"&amp;"จให้ราบรื่นขึ้น
- การแก้ไขกิกันโตขวางเส้นทาง: ทีมที่ตั้งค่าล่วงหน้าให้ผู้เล่นออฟไลน์เข้าร่วมการต่อสู้ได้
- การเปลี่ยนแปลงปล้นป้อมปราการ: บนเซิร์ฟเวอร์ที่เปิดมาครึ่งปีหรือมากกว่า ปล้นป้อมปราการจะปรากฏเฉพาะในสงครามดาวเคราะห์ พร้อมรางวัลที่ใหญ่ขึ้น
- การสำรว"&amp;"จของโคลิน: ประเภทเควสต์ใหม่และรางวัลสดใหม่
- เควสต์เกียรติยศ: ปรับเควสต์ฤดูกาล; ประเภทเควสต์รายวันใหม่—รับคะแนนในการแข่งขันรถไฟครั้งยิ่งใหญ่และการเล่นเกมอื่นๆ
- โคลีเซียมดวงดาว: การแจ้งเตือนทั่วโลกที่ดังขึ้นตอนเริ่มการต่อสู้แต่ละครั้ง")</f>
        <v>- นักสู้ตัวใหม่: นักเล่นเกมระดับท็อป - แอ็กเซลพุ่งเข้ามาจากสนามต่อสู้ VR สู่การต่อสู้จริง สามารถรับได้ผ่านกิจกรรมลิงขั้นเทพ
- สกินเมคใหม่: สกินตั๊กแตนตำข้าว – กัปตันเคียวแห่งความเศร้าโศก เพื่อตามล่าสมบัติบนเกาะ วานรได้สร้างเมคตั๊กแตนตำข้าวขึ้นใหม่ด้วยแผนที่การเดินเรือของมนุษย์โบราณ ทำให้มันมีพลังทะเลที่ไม่เหมือนใคร
- รูปปั้นนักสู้ใหม่: เอ็มม่าและแซม เพิ่มความงดงามให้กับเมืองของคุณ!
- การทาสีการตกแต่งใหม่: ใช้ไอเทมพิเศษในการทาสีการตกแต่งและปลดล็อกบัฟฟ์ชั่วคราว
- การเดิมพันสนามต่อสู้ใหม่: ในช่วงอารีน่าอีลิท - การจับคู่สูงสุด ผู้บัญชาการสามารถดูการแข่งขันและวางเดิมพันสามประเภท—การทำนายผู้เล่น, การทำนายผลลัพธ์, และการทำนายความสนุก
- การปรับปรุง Subterra: ดาวอัคคี, ดาวปะการัง, และดินแดนน้ำแข็งได้รับการปรับสมดุลใหม่พร้อมกับกิจกรรมการผจญภัยใหม่
- การมาถึงของหุบเหวมหาสมุทร  
  ชุดสกินศาลากลาง: ชุดปลาวาฬยักษ์ออกเรือ! ปลดล็อกเมื่อเก็บส่วนประกอบครบทั้งหมด  
  ปาร์ตี้ชายหาด: โยนขวดแห่งพรเพื่อรับรางวัลและส่วนประกอบชุดสกินปลาวาฬ  
  ล่าสมบัติทางทะเล: หมุนเข็มทิศสมบัติเพื่อรับของรางวัลหรูหรา รวมถึงชุดปลาวาฬ  
  การเฉลิมฉลองหุบเหว: ทอยลูกเต๋าเทศกาลบนกระดานการเดินทางทางทะเล เก็บการตกแต่งเทศกาล และรับรางวัลมากมาย—รวมถึงภาพถ่ายที่ระลึก  
  ข้อเสนอร่วมกลุ่ม: ยิ่งผู้บัญชาการซื้อเยอะ รางวัลยิ่งใหญ่  
  การเข้าสู่ระบบหุบเหว: การเข้าสู่ระบบรายวันให้รางวัลเทศกาลและนักสู้ผู้นำตำนานฟรี—เอ็มม่า!  
  การทำนายแชมป์: ซื้อแพ็ก เลือกคอมโบโชคดีของคุณ และเพลิดเพลินกับโอกาสแจ็คพอตสามครั้ง  
  แลคเกอร์นำโชค: เข้าร่วมเพื่อมีโอกาสรับสกินตั๊กแตนตำข้าว - กัปตันเคียวแห่งความเศร้าโศก  
  การเดินทางหุบเหว: เก็บลูกเต๋าท่องเที่ยว ย้ายข้ามแผนที่ และรับรางวัลมากมาย  
  กระแสสะท้อน: กิจกรรมเกียรติยศคำสั่งหุบเหวมหาสมุทร เก็บชิ้นส่วนแผนที่สมบัติ เลเวลขึ้นคำสั่งของคุณ และรับกรอบอวาตาร์จำกัด, การตกแต่งการเดินทัพ, และอื่นๆ
- การอัปเกรดผู้จัดจำหน่าย: หัวหน้าและเจ้าหน้าที่แก๊งในแก๊งค์เลเวล 5+ สามารถตั้งฮับเพื่อให้ผู้ช่วยแต่ละคนส่งกองทหารเพียงหนึ่งกอง
- การอัปเดตการสอบคุกขุน: รางวัลเลเวลสูงสุดกลายเป็นทักษะที่เลือกได้ และทหารผ่านศึกดาวอัคคี, ดาวปะการัง, และดินแดนน้ำแข็งสามารถเล่นโหมดนี้ใหม่ในช่วงความเป็นหนึ่งในกาแล็กซี่
- การอัปเกรดการสำรวจ: ปรับเวลาเริ่มการสำรวจให้ราบรื่นขึ้น
- การแก้ไขกิกันโตขวางเส้นทาง: ทีมที่ตั้งค่าล่วงหน้าให้ผู้เล่นออฟไลน์เข้าร่วมการต่อสู้ได้
- การเปลี่ยนแปลงปล้นป้อมปราการ: บนเซิร์ฟเวอร์ที่เปิดมาครึ่งปีหรือมากกว่า ปล้นป้อมปราการจะปรากฏเฉพาะในสงครามดาวเคราะห์ พร้อมรางวัลที่ใหญ่ขึ้น
- การสำรวจของโคลิน: ประเภทเควสต์ใหม่และรางวัลสดใหม่
- เควสต์เกียรติยศ: ปรับเควสต์ฤดูกาล; ประเภทเควสต์รายวันใหม่—รับคะแนนในการแข่งขันรถไฟครั้งยิ่งใหญ่และการเล่นเกมอื่นๆ
- โคลีเซียมดวงดาว: การแจ้งเตือนทั่วโลกที่ดังขึ้นตอนเริ่มการต่อสู้แต่ละครั้ง</v>
      </c>
      <c r="J67" s="148" t="str">
        <f>IFERROR(__xludf.DUMMYFUNCTION("""COMPUTED_VALUE"""),"- Nuevo Luchador: Mejor Jugador - Axel irrumpe desde la arena de VR a la batalla real. Obtenible a través del evento Mono Supremo.
- Nueva Textura de Meca: Textura de Mantis – Capitán Guadaña de Oscuridad. Para perseguir las riquezas de la isla, los Simio"&amp;"s reconstruyeron el Meca Mantis con antiguos mapas de navegación humanos, dándole un poder marítimo único.
- Nuevas Estatuas de Luchadores: Emma y Sam. ¡Añade más brillo a tu ciudad!
- Nueva Pintura de Decoración: Gasta un artículo especial para pintar de"&amp;"coraciones y desbloquear mejoras temporales.
- Nuevas Apuestas en la Arena: Durante la Pelea de Campeones - Partida Arriba, los comandantes pueden ver las partidas y hacer tres tipos de apuestas: predicción de jugador, predicción de resultados y predicció"&amp;"n divertida.
- Renovación de Subterra: Estrella de Fuego, Estrella de Coral y Tierra Glaciar reciben nuevos ajustes de balance y eventos de aventura completamente nuevos.
- Llega el Abismo Oceánico  
  Conjunto de Aspecto del Ayuntamiento: ¡El Gran Ballen"&amp;"a Zarpa! Se desbloquea cuando se recolectan todas las partes.  
  Fiesta en la Playa: Lanza Botellas de Deseos para premios y componentes del conjunto Ballena.  
  Búsqueda del Tesoro en el Mar: Gira la Brújula del Tesoro para obtener botín de lujo, inclu"&amp;"ido el conjunto Ballena.  
  Celebración del Abismo: Lanza los Dados del Festival en un tablero de viaje marítimo, recolecta decoraciones del festival y gana montones de recompensas, además de una foto conmemorativa.  
  Ofertas de Grupo: Cuantos más coma"&amp;"ndantes compren, mayores serán las recompensas.  
  Registro del Abismo: Los inicios de sesión diarios otorgan recompensas del festival y un luchador líder legendario gratis: ¡Emma!  
  Predicción del Campeón: Compra el paquete, elige tu combo de la suert"&amp;"e y disfruta de tres oportunidades de premio mayor.  
  Laca de la Suerte: Participa para tener una oportunidad de ganar la Textura de Mantis - Capitán Guadaña de Oscuridad.  
  Viaje del Abismo: Recolecta Dados Errantes, muévete por el mapa y reclama ric"&amp;"as recompensas.  
  Mareas de Eco: Evento de Decreto del Abismo Oceánico. Recolecta fragmentos del mapa del tesoro, sube de nivel tu decreto y obtén marcos de avatar limitados, decoraciones de marcha y más.
- Mejora del Distribuidor: Los jefes y oficiales"&amp;" de banda en bandas de nivel 5+ pueden establecer centros para que cada ayudante envíe solo una tropa.
- Actualización de Pruebas de Trincheras: La recompensa de nivel máximo se convierte en una habilidad seleccionable, y los veteranos de Estrella de Fueg"&amp;"o, Estrella de Coral y Tierra Glaciar pueden repetir el modo durante la Supremacía Galáctica.
- Mejora de la Expedición: El tiempo de la expedición se ajustó para inicios más suaves.
- Arreglo de Gigantopithecus en Barricada: Los equipos preestablecidos p"&amp;"ermiten que los jugadores desconectados se unan a la lucha.
- Cambio en Saqueador de la Fortaleza: En servidores abiertos durante medio año o más, Saqueador de la Fortaleza ahora solo aparece en la Guerra Planetaria, con mayores recompensas.
- Exploración"&amp;" de Colin: Nuevos tipos de misiones y recompensas frescas.
- Misiones de Honor: Misiones de temporada ajustadas; nuevos tipos de misiones diarias: gana puntos en la Gran Carrera de Trenes y otras formas de juego.
- Coliseo Astral: Una alerta global más fu"&amp;"erte ahora anuncia el inicio de cada batalla.")</f>
        <v>- Nuevo Luchador: Mejor Jugador - Axel irrumpe desde la arena de VR a la batalla real. Obtenible a través del evento Mono Supremo.
- Nueva Textura de Meca: Textura de Mantis – Capitán Guadaña de Oscuridad. Para perseguir las riquezas de la isla, los Simios reconstruyeron el Meca Mantis con antiguos mapas de navegación humanos, dándole un poder marítimo único.
- Nuevas Estatuas de Luchadores: Emma y Sam. ¡Añade más brillo a tu ciudad!
- Nueva Pintura de Decoración: Gasta un artículo especial para pintar decoraciones y desbloquear mejoras temporales.
- Nuevas Apuestas en la Arena: Durante la Pelea de Campeones - Partida Arriba, los comandantes pueden ver las partidas y hacer tres tipos de apuestas: predicción de jugador, predicción de resultados y predicción divertida.
- Renovación de Subterra: Estrella de Fuego, Estrella de Coral y Tierra Glaciar reciben nuevos ajustes de balance y eventos de aventura completamente nuevos.
- Llega el Abismo Oceánico  
  Conjunto de Aspecto del Ayuntamiento: ¡El Gran Ballena Zarpa! Se desbloquea cuando se recolectan todas las partes.  
  Fiesta en la Playa: Lanza Botellas de Deseos para premios y componentes del conjunto Ballena.  
  Búsqueda del Tesoro en el Mar: Gira la Brújula del Tesoro para obtener botín de lujo, incluido el conjunto Ballena.  
  Celebración del Abismo: Lanza los Dados del Festival en un tablero de viaje marítimo, recolecta decoraciones del festival y gana montones de recompensas, además de una foto conmemorativa.  
  Ofertas de Grupo: Cuantos más comandantes compren, mayores serán las recompensas.  
  Registro del Abismo: Los inicios de sesión diarios otorgan recompensas del festival y un luchador líder legendario gratis: ¡Emma!  
  Predicción del Campeón: Compra el paquete, elige tu combo de la suerte y disfruta de tres oportunidades de premio mayor.  
  Laca de la Suerte: Participa para tener una oportunidad de ganar la Textura de Mantis - Capitán Guadaña de Oscuridad.  
  Viaje del Abismo: Recolecta Dados Errantes, muévete por el mapa y reclama ricas recompensas.  
  Mareas de Eco: Evento de Decreto del Abismo Oceánico. Recolecta fragmentos del mapa del tesoro, sube de nivel tu decreto y obtén marcos de avatar limitados, decoraciones de marcha y más.
- Mejora del Distribuidor: Los jefes y oficiales de banda en bandas de nivel 5+ pueden establecer centros para que cada ayudante envíe solo una tropa.
- Actualización de Pruebas de Trincheras: La recompensa de nivel máximo se convierte en una habilidad seleccionable, y los veteranos de Estrella de Fuego, Estrella de Coral y Tierra Glaciar pueden repetir el modo durante la Supremacía Galáctica.
- Mejora de la Expedición: El tiempo de la expedición se ajustó para inicios más suaves.
- Arreglo de Gigantopithecus en Barricada: Los equipos preestablecidos permiten que los jugadores desconectados se unan a la lucha.
- Cambio en Saqueador de la Fortaleza: En servidores abiertos durante medio año o más, Saqueador de la Fortaleza ahora solo aparece en la Guerra Planetaria, con mayores recompensas.
- Exploración de Colin: Nuevos tipos de misiones y recompensas frescas.
- Misiones de Honor: Misiones de temporada ajustadas; nuevos tipos de misiones diarias: gana puntos en la Gran Carrera de Trenes y otras formas de juego.
- Coliseo Astral: Una alerta global más fuerte ahora anuncia el inicio de cada batalla.</v>
      </c>
      <c r="K67" s="148" t="str">
        <f>IFERROR(__xludf.DUMMYFUNCTION("""COMPUTED_VALUE"""),"- Новый герой: Топ Игрок - Аксель выходит из VR арены в реальную битву. Доступен через событие Великая Обезьяна.
- Новый облик Меха: Облик Богомола – Капитан Мрачной Косы. Чтобы преследовать островные богатства, Обезьяны перестроили Мех Богомола, использу"&amp;"я старые человеческие морские карты, наделив его уникальной морской силой.
- Новые статуи героев: Эмма и Сэм. Добавьте больше блеска вашему городу!
- Новая раскраска украшений: Потратьте специальный предмет, чтобы раскрасить украшения и разблокировать вре"&amp;"менные усиления.
- Новые ставки на арене: Во время Потасовки чемпионов - Топ Матч, командиры могут смотреть матчи и делать три вида ставок — прогноз игрока, прогноз результата и веселое предсказание.
- Обновление Подземелья: Огненная звезда, Коралловая зв"&amp;"езда и Ледниковая земля получают новый баланс и совершенно новые приключенческие события.
- Прибытие Океанской Бездны  
  Облик городского совета: Великий Кит отправляется в плавание! Разблокируется при сборе всех частей.  
  Пляжная вечеринка: Бросайте б"&amp;"утылки с желаниями за призы и компоненты набора облика Кита.  
  Морская охота за сокровищами: Вращайте Компас сокровищ за роскошную добычу, включая набор Кита.  
  Празднование Бездны: Кидайте фестивальные кубики на морском игровом поле, собирайте фестив"&amp;"альные украшения и зарабатывайте кучу наград — плюс памятное фото.  
  Групповая сделка: Чем больше командиров покупают, тем больше наград.  
  Вход в Бездну: Ежедневные входы дают фестивальные награды и бесплатного легендарного лидера героя — Эмму!  
  П"&amp;"рогноз Чемпиона: Купите набор, выберите свое счастливое комбо и наслаждайтесь тремя шансами на джекпот.  
  Счастливый Лак: Участвуйте для шанса получить Облик Богомола - Капитан Мрачной Косы.  
  Путешествие по Бездне: Собирайте блуждающие кубики, переме"&amp;"щайтесь по карте и забирайте богатые награды.  
  Эхо Приливов: Событие Указ Океанской Бездны. Собирайте осколки карты сокровищ, повышайте уровень указа и получайте ограниченные рамки аватара, украшения для марша и многое другое.
- Обновление распределите"&amp;"ля: Вожди и официальные лица банды уровня 5+ могут устанавливать хабы, чтобы каждый помощник отправлял только одно войско.
- Обновление Испытаний в Траншеях: Награда максимального уровня становится выбираемым навыком, а ветераны Огненной звезды, Кораллово"&amp;"й звезды и Ледниковой земли могут повторно проходить режим во время Галактического превосходства.
- Обновление Экспедиции: Время экспедиции скорректировано для более плавного старта.
- Исправление Блокпоста Гиганто: Предустановленные команды позволяют офл"&amp;"айн игрокам присоединяться к бою.
- Изменение Грабителя Крепости: На серверах, открытых полгода или более, Грабитель Крепости теперь появляется только в Планетной войне, с большими наградами.
- Исследование Колина: Новые типы заданий и свежие награды.
- З"&amp;"адания Чести: Задания сезона скорректированы; новые типы ежедневных заданий — зарабатывайте очки в Больших гонках на поездах и других играх.
- Астральный Колизей: Громкое глобальное оповещение теперь объявляет начало каждой битвы.")</f>
        <v>- Новый герой: Топ Игрок - Аксель выходит из VR арены в реальную битву. Доступен через событие Великая Обезьяна.
- Новый облик Меха: Облик Богомола – Капитан Мрачной Косы. Чтобы преследовать островные богатства, Обезьяны перестроили Мех Богомола, используя старые человеческие морские карты, наделив его уникальной морской силой.
- Новые статуи героев: Эмма и Сэм. Добавьте больше блеска вашему городу!
- Новая раскраска украшений: Потратьте специальный предмет, чтобы раскрасить украшения и разблокировать временные усиления.
- Новые ставки на арене: Во время Потасовки чемпионов - Топ Матч, командиры могут смотреть матчи и делать три вида ставок — прогноз игрока, прогноз результата и веселое предсказание.
- Обновление Подземелья: Огненная звезда, Коралловая звезда и Ледниковая земля получают новый баланс и совершенно новые приключенческие события.
- Прибытие Океанской Бездны  
  Облик городского совета: Великий Кит отправляется в плавание! Разблокируется при сборе всех частей.  
  Пляжная вечеринка: Бросайте бутылки с желаниями за призы и компоненты набора облика Кита.  
  Морская охота за сокровищами: Вращайте Компас сокровищ за роскошную добычу, включая набор Кита.  
  Празднование Бездны: Кидайте фестивальные кубики на морском игровом поле, собирайте фестивальные украшения и зарабатывайте кучу наград — плюс памятное фото.  
  Групповая сделка: Чем больше командиров покупают, тем больше наград.  
  Вход в Бездну: Ежедневные входы дают фестивальные награды и бесплатного легендарного лидера героя — Эмму!  
  Прогноз Чемпиона: Купите набор, выберите свое счастливое комбо и наслаждайтесь тремя шансами на джекпот.  
  Счастливый Лак: Участвуйте для шанса получить Облик Богомола - Капитан Мрачной Косы.  
  Путешествие по Бездне: Собирайте блуждающие кубики, перемещайтесь по карте и забирайте богатые награды.  
  Эхо Приливов: Событие Указ Океанской Бездны. Собирайте осколки карты сокровищ, повышайте уровень указа и получайте ограниченные рамки аватара, украшения для марша и многое другое.
- Обновление распределителя: Вожди и официальные лица банды уровня 5+ могут устанавливать хабы, чтобы каждый помощник отправлял только одно войско.
- Обновление Испытаний в Траншеях: Награда максимального уровня становится выбираемым навыком, а ветераны Огненной звезды, Коралловой звезды и Ледниковой земли могут повторно проходить режим во время Галактического превосходства.
- Обновление Экспедиции: Время экспедиции скорректировано для более плавного старта.
- Исправление Блокпоста Гиганто: Предустановленные команды позволяют офлайн игрокам присоединяться к бою.
- Изменение Грабителя Крепости: На серверах, открытых полгода или более, Грабитель Крепости теперь появляется только в Планетной войне, с большими наградами.
- Исследование Колина: Новые типы заданий и свежие награды.
- Задания Чести: Задания сезона скорректированы; новые типы ежедневных заданий — зарабатывайте очки в Больших гонках на поездах и других играх.
- Астральный Колизей: Громкое глобальное оповещение теперь объявляет начало каждой битвы.</v>
      </c>
      <c r="L67" s="148" t="str">
        <f>IFERROR(__xludf.DUMMYFUNCTION("""COMPUTED_VALUE"""),"- Yeni Savaşçı: Zirvedeki Oyuncu - Axel, VR arenasından gerçek savaşa fırtına gibi geliyor. En Üstün Maymun etkinliği ile elde edilebilir.
- Yeni Meka Görünümü: Peygamber Devesi Görünümü – Kasvetorak Kaptanı. Ada zenginliklerinin peşinden gitmek için, May"&amp;"munlar Peygamber Devesi Mekanı eski insan denizcilik haritalarıyla yeniden inşa ettiler ve ona benzersiz deniz gücü verdiler.
- Yeni Savaşçı Heykelleri: Emma ve Sam. Şehrinize daha fazla parlaklık katın!
- Yeni Dekorasyon Boyama: Dekorasyonları boyamak ve"&amp;" zamanlı güçlendirmelerin kilidini açmak için özel bir eşya harcayın.
- Yeni Arena Bahisleri: Şampiyonlar Kavgası - Üst Eşleştirme sırasında, komutanlar maçları izleyebilir ve üç tür bahis yapabilir—oyuncu tahmini, sonuç tahmini ve eğlenceli tahmin.
- Sub"&amp;"terra Yenilemesi: Ateş Yıldızı, Mercan Yıldızı ve Buzul Toprağı yeni denge ayarları ve yepyeni macera etkinlikleri alıyor.
- Okyanus Hiçliği Geliyor  
  Meclis Görünüm Seti: Büyük Balina Yelken Açıyor! Tüm parçalar toplandığında kilidi açılır.  
  Plaj Pa"&amp;"rtisi: Dilek Şişelerini atarak ödüller ve Balina görünüm seti bileşenleri kazanın.  
  Denizden Gelen Hazine Avı: Hazine Pusulasını çevirerek lüks ganimetler, Balina seti dahil, kazanın.  
  Hiçlik Kutlaması: Bir deniz yolculuğu tahtasında Festival Zarlar"&amp;"ını yuvarlayın, festival dekorasyonlarını toplayın ve ödüller kazanın—artı anı fotoğrafı.  
  Grup İndirimleri: Komutanlar ne kadar çok satın alırsa, ödüller o kadar büyük olur.  
  Hiçlik Oturum Açma: Günlük oturum açmalar festival ödülleri ve ücretsiz e"&amp;"fsanevi lider savaşçı—Emma! sağlar.  
  Tahmin Şampiyonu: Paketi satın alın, şanslı kombonuzu seçin ve üç büyük ödül şansının tadını çıkarın.  
  Şanslı Cila: Kasvetorak Kaptanı - Peygamber Devesi Görünümü için bir şans yakalayın.  
  Hiçlik Yolculuğu: Do"&amp;"laşan Zarları toplayın, harita üzerinde hareket edin ve zengin ödüller kazanın.  
  Yankı Dalgaları: Okyanus Hiçliği Emir etkinliği. Hazine haritası parçalarını toplayın, emir seviyenizi yükseltin ve sınırlı avatar çerçeveleri, sefer dekorasyonları ve dah"&amp;"a fazlasını kazanın.
- Dağıtıcı Yükseltmesi: Seviye 5+ çetelerdeki şefler ve çete yetkilileri, her yardımcının sadece bir birlik göndermesi için merkezler ayarlayabilir.
- Siper Denemeleri Güncellemesi: Maksimum seviye ödülü seçilebilir bir beceri haline "&amp;"gelir ve Ateş Yıldızı, Mercan Yıldızı ve Buzul Toprağı gazileri Galaktik Üstünlük sırasında modu yeniden oynayabilir.
- Sefer Yükseltmesi: Sefer Zamanlaması daha pürüzsüz başlangıçlar için ayarlandı.
- Bariyer Giganto Düzeltmesi: Önceden ayarlanmış takıml"&amp;"ar, çevrimdışı oyuncuların savaşa katılmasına izin verir.
- Kale Yağmacısı Değişikliği: Yarım yıl veya daha fazla açık olan sunucularda, Kale Yağmacısı artık sadece Gezegen Savaşı'nda görünür ve daha büyük ödüller sunar.
- Colin’in Keşfi: Yeni macera türl"&amp;"eri ve taze ödüller.
- Onur Görevleri: Sezon görevleri ayarlandı; yeni günlük görev türleri—Büyük Tren Yarışı ve diğer oyunlarda puan kazanın.
- Yıldız Kolezyumu: Her savaş başlangıcını duyuran daha yüksek sesli bir küresel uyarı.")</f>
        <v>- Yeni Savaşçı: Zirvedeki Oyuncu - Axel, VR arenasından gerçek savaşa fırtına gibi geliyor. En Üstün Maymun etkinliği ile elde edilebilir.
- Yeni Meka Görünümü: Peygamber Devesi Görünümü – Kasvetorak Kaptanı. Ada zenginliklerinin peşinden gitmek için, Maymunlar Peygamber Devesi Mekanı eski insan denizcilik haritalarıyla yeniden inşa ettiler ve ona benzersiz deniz gücü verdiler.
- Yeni Savaşçı Heykelleri: Emma ve Sam. Şehrinize daha fazla parlaklık katın!
- Yeni Dekorasyon Boyama: Dekorasyonları boyamak ve zamanlı güçlendirmelerin kilidini açmak için özel bir eşya harcayın.
- Yeni Arena Bahisleri: Şampiyonlar Kavgası - Üst Eşleştirme sırasında, komutanlar maçları izleyebilir ve üç tür bahis yapabilir—oyuncu tahmini, sonuç tahmini ve eğlenceli tahmin.
- Subterra Yenilemesi: Ateş Yıldızı, Mercan Yıldızı ve Buzul Toprağı yeni denge ayarları ve yepyeni macera etkinlikleri alıyor.
- Okyanus Hiçliği Geliyor  
  Meclis Görünüm Seti: Büyük Balina Yelken Açıyor! Tüm parçalar toplandığında kilidi açılır.  
  Plaj Partisi: Dilek Şişelerini atarak ödüller ve Balina görünüm seti bileşenleri kazanın.  
  Denizden Gelen Hazine Avı: Hazine Pusulasını çevirerek lüks ganimetler, Balina seti dahil, kazanın.  
  Hiçlik Kutlaması: Bir deniz yolculuğu tahtasında Festival Zarlarını yuvarlayın, festival dekorasyonlarını toplayın ve ödüller kazanın—artı anı fotoğrafı.  
  Grup İndirimleri: Komutanlar ne kadar çok satın alırsa, ödüller o kadar büyük olur.  
  Hiçlik Oturum Açma: Günlük oturum açmalar festival ödülleri ve ücretsiz efsanevi lider savaşçı—Emma! sağlar.  
  Tahmin Şampiyonu: Paketi satın alın, şanslı kombonuzu seçin ve üç büyük ödül şansının tadını çıkarın.  
  Şanslı Cila: Kasvetorak Kaptanı - Peygamber Devesi Görünümü için bir şans yakalayın.  
  Hiçlik Yolculuğu: Dolaşan Zarları toplayın, harita üzerinde hareket edin ve zengin ödüller kazanın.  
  Yankı Dalgaları: Okyanus Hiçliği Emir etkinliği. Hazine haritası parçalarını toplayın, emir seviyenizi yükseltin ve sınırlı avatar çerçeveleri, sefer dekorasyonları ve daha fazlasını kazanın.
- Dağıtıcı Yükseltmesi: Seviye 5+ çetelerdeki şefler ve çete yetkilileri, her yardımcının sadece bir birlik göndermesi için merkezler ayarlayabilir.
- Siper Denemeleri Güncellemesi: Maksimum seviye ödülü seçilebilir bir beceri haline gelir ve Ateş Yıldızı, Mercan Yıldızı ve Buzul Toprağı gazileri Galaktik Üstünlük sırasında modu yeniden oynayabilir.
- Sefer Yükseltmesi: Sefer Zamanlaması daha pürüzsüz başlangıçlar için ayarlandı.
- Bariyer Giganto Düzeltmesi: Önceden ayarlanmış takımlar, çevrimdışı oyuncuların savaşa katılmasına izin verir.
- Kale Yağmacısı Değişikliği: Yarım yıl veya daha fazla açık olan sunucularda, Kale Yağmacısı artık sadece Gezegen Savaşı'nda görünür ve daha büyük ödüller sunar.
- Colin’in Keşfi: Yeni macera türleri ve taze ödüller.
- Onur Görevleri: Sezon görevleri ayarlandı; yeni günlük görev türleri—Büyük Tren Yarışı ve diğer oyunlarda puan kazanın.
- Yıldız Kolezyumu: Her savaş başlangıcını duyuran daha yüksek sesli bir küresel uyarı.</v>
      </c>
      <c r="M67" s="148" t="str">
        <f>IFERROR(__xludf.DUMMYFUNCTION("""COMPUTED_VALUE"""),"- Chiến Binh Mới: Game Thủ Đứng Đầu - Axel từ đấu trường VR đến trận chiến thực tế. Có thể nhận được thông qua sự kiện Chúa Khỉ Tối Cao.
- Ngoại Trang Cơ Khí Mới: Ngoại Trang Bọ Ngựa – Chủ Tướng Lưỡi Hái U Ám. Để truy tìm kho báu trên đảo, loài khỉ đã tái"&amp;" tạo lại Cơ Khí Bọ Ngựa với các bản đồ hàng hải cũ của con người, mang lại cho nó sức mạnh biển độc đáo.
- Tượng Chiến Binh Mới: Emma và Sam. Thêm sự rực rỡ cho thành phố của bạn!
- Tranh Trang Trí Mới: Sử dụng vật phẩm đặc biệt để sơn trang trí và mở khó"&amp;"a các hiệu ứng có lợi theo thời gian.
- Cược Đấu Trường Mới: Trong Đấu Trường Tinh Anh - Tìm Đối Thủ Đứng Đầu, các chỉ huy có thể xem trận đấu và đặt ba loại cược—dự đoán người chơi, dự đoán kết quả, và dự đoán vui.
- Cải Tổ Subterra: Sao Hỏa, Sao San Hô,"&amp;" và Vùng Đất Băng Hà được điều chỉnh cân bằng mới cùng với các sự kiện phiêu lưu hoàn toàn mới.
- Vực Thẳm Đại Dương Đến
  Giao Diện Tòa Thị Chính: Bộ Cá Voi Lớn Ra Khơi! Mở khóa khi thu thập đủ các phần.
  Tiệc Bãi Biển: Ném Bình Cầu Nguyện để nhận giải "&amp;"thưởng và các thành phần của bộ giao diện Cá Voi.
  Săn Kho Báu Trên Biển: Quay La Bàn Kho Báu để nhận chiến lợi phẩm cao cấp, bao gồm bộ Cá Voi.
  Lễ Hội Vực Thẳm: Lăn Xúc Xắc Lễ Hội trên bảng hành trình biển, thu thập trang trí lễ hội, và nhận nhiều phầ"&amp;"n thưởng—cùng với một bức ảnh kỷ niệm.
  Mặc Cả Nhóm: Càng nhiều chỉ huy mua, phần thưởng càng lớn.
  Đăng Nhập Vực Thẳm: Đăng nhập hàng ngày để nhận phần thưởng lễ hội và một chiến binh lãnh đạo huyền thoại miễn phí—Emma!
  Dự Đoán Vô Địch: Mua gói, chọn"&amp;" kết hợp may mắn của bạn, và tận hưởng ba cơ hội giải độc đắc.
  Sơn Mài May Mắn: Tham gia để có cơ hội nhận Ngoại Trang Bọ Ngựa - Chủ Tướng Lưỡi Hái U Ám.
  Hành Trình Vực Thẳm: Thu thập Xúc Xắc Du Hành, di chuyển trên bản đồ, và nhận phần thưởng phong p"&amp;"hú.
  Thủy Triều Vọng: Sự kiện Chiến Lệnh Vực Thẳm Đại Dương. Thu thập mảnh bản đồ kho báu, thăng cấp chiến lệnh của bạn, và nhận khung avatar giới hạn, trang trí hành quân, và nhiều hơn nữa.
- Nâng Cấp Nhà Phân Phối: Các thủ lĩnh và quan chức bang hội tr"&amp;"ong bang Lv.5+ có thể thiết lập các trung tâm để mỗi người trợ giúp chỉ gửi một binh lính.
- Cập Nhật Thử Thách Chiến Hào: Phần thưởng cấp tối đa trở thành kỹ năng có thể chọn, và các cựu binh Sao Hỏa, Sao San Hô, và Vùng Đất Băng Hà có thể phát lại chế đ"&amp;"ộ trong Bá Chủ Ngân Hà.
- Nâng Cấp Thám Hiểm: Điều chỉnh thời gian thám hiểm để khởi đầu mượt mà hơn.
- Sửa Lỗi Rào Cản Vượn Khổng Lồ: Các đội cài đặt trước cho phép người chơi offline tham gia trận chiến.
- Thay Đổi Cướp Bóc Pháo Đài: Trên các máy chủ mở"&amp;" nửa năm hoặc hơn, Cướp Bóc Pháo Đài giờ chỉ xuất hiện trong Chiến Tranh Hành Tinh, với phần thưởng lớn hơn.
- Khám Phá Của Colin: Các loại nhiệm vụ mới và phần thưởng mới.
- Nhiệm Vụ Vinh Dự: Điều chỉnh nhiệm vụ mùa giải; các loại nhiệm vụ hàng ngày mới—"&amp;"kiếm điểm trong Đường Đua Xe Lửa Lớn và các trò chơi khác.
- Đại Đấu Trường Thiên Thể: Một cảnh báo toàn cầu lớn hơn bây giờ thông báo mỗi khi trận chiến bắt đầu.")</f>
        <v>- Chiến Binh Mới: Game Thủ Đứng Đầu - Axel từ đấu trường VR đến trận chiến thực tế. Có thể nhận được thông qua sự kiện Chúa Khỉ Tối Cao.
- Ngoại Trang Cơ Khí Mới: Ngoại Trang Bọ Ngựa – Chủ Tướng Lưỡi Hái U Ám. Để truy tìm kho báu trên đảo, loài khỉ đã tái tạo lại Cơ Khí Bọ Ngựa với các bản đồ hàng hải cũ của con người, mang lại cho nó sức mạnh biển độc đáo.
- Tượng Chiến Binh Mới: Emma và Sam. Thêm sự rực rỡ cho thành phố của bạn!
- Tranh Trang Trí Mới: Sử dụng vật phẩm đặc biệt để sơn trang trí và mở khóa các hiệu ứng có lợi theo thời gian.
- Cược Đấu Trường Mới: Trong Đấu Trường Tinh Anh - Tìm Đối Thủ Đứng Đầu, các chỉ huy có thể xem trận đấu và đặt ba loại cược—dự đoán người chơi, dự đoán kết quả, và dự đoán vui.
- Cải Tổ Subterra: Sao Hỏa, Sao San Hô, và Vùng Đất Băng Hà được điều chỉnh cân bằng mới cùng với các sự kiện phiêu lưu hoàn toàn mới.
- Vực Thẳm Đại Dương Đến
  Giao Diện Tòa Thị Chính: Bộ Cá Voi Lớn Ra Khơi! Mở khóa khi thu thập đủ các phần.
  Tiệc Bãi Biển: Ném Bình Cầu Nguyện để nhận giải thưởng và các thành phần của bộ giao diện Cá Voi.
  Săn Kho Báu Trên Biển: Quay La Bàn Kho Báu để nhận chiến lợi phẩm cao cấp, bao gồm bộ Cá Voi.
  Lễ Hội Vực Thẳm: Lăn Xúc Xắc Lễ Hội trên bảng hành trình biển, thu thập trang trí lễ hội, và nhận nhiều phần thưởng—cùng với một bức ảnh kỷ niệm.
  Mặc Cả Nhóm: Càng nhiều chỉ huy mua, phần thưởng càng lớn.
  Đăng Nhập Vực Thẳm: Đăng nhập hàng ngày để nhận phần thưởng lễ hội và một chiến binh lãnh đạo huyền thoại miễn phí—Emma!
  Dự Đoán Vô Địch: Mua gói, chọn kết hợp may mắn của bạn, và tận hưởng ba cơ hội giải độc đắc.
  Sơn Mài May Mắn: Tham gia để có cơ hội nhận Ngoại Trang Bọ Ngựa - Chủ Tướng Lưỡi Hái U Ám.
  Hành Trình Vực Thẳm: Thu thập Xúc Xắc Du Hành, di chuyển trên bản đồ, và nhận phần thưởng phong phú.
  Thủy Triều Vọng: Sự kiện Chiến Lệnh Vực Thẳm Đại Dương. Thu thập mảnh bản đồ kho báu, thăng cấp chiến lệnh của bạn, và nhận khung avatar giới hạn, trang trí hành quân, và nhiều hơn nữa.
- Nâng Cấp Nhà Phân Phối: Các thủ lĩnh và quan chức bang hội trong bang Lv.5+ có thể thiết lập các trung tâm để mỗi người trợ giúp chỉ gửi một binh lính.
- Cập Nhật Thử Thách Chiến Hào: Phần thưởng cấp tối đa trở thành kỹ năng có thể chọn, và các cựu binh Sao Hỏa, Sao San Hô, và Vùng Đất Băng Hà có thể phát lại chế độ trong Bá Chủ Ngân Hà.
- Nâng Cấp Thám Hiểm: Điều chỉnh thời gian thám hiểm để khởi đầu mượt mà hơn.
- Sửa Lỗi Rào Cản Vượn Khổng Lồ: Các đội cài đặt trước cho phép người chơi offline tham gia trận chiến.
- Thay Đổi Cướp Bóc Pháo Đài: Trên các máy chủ mở nửa năm hoặc hơn, Cướp Bóc Pháo Đài giờ chỉ xuất hiện trong Chiến Tranh Hành Tinh, với phần thưởng lớn hơn.
- Khám Phá Của Colin: Các loại nhiệm vụ mới và phần thưởng mới.
- Nhiệm Vụ Vinh Dự: Điều chỉnh nhiệm vụ mùa giải; các loại nhiệm vụ hàng ngày mới—kiếm điểm trong Đường Đua Xe Lửa Lớn và các trò chơi khác.
- Đại Đấu Trường Thiên Thể: Một cảnh báo toàn cầu lớn hơn bây giờ thông báo mỗi khi trận chiến bắt đầu.</v>
      </c>
      <c r="N67" s="108" t="str">
        <f>IFERROR(__xludf.DUMMYFUNCTION("""COMPUTED_VALUE"""),"- Nuovo Combattente: Giocatore di vertice - Axel arriva dall'arena VR alla battaglia reale. Ottenibile tramite l'evento Scimmia Suprema.
- Nuovo Aspetto Mech: Aspetto Mantide – Capitano Falce delle Tenebre. Per inseguire le ricchezze dell'isola, le scimmi"&amp;"e hanno ricostruito il Mech Mantide con vecchie carte nautiche umane, conferendogli un potere marino unico.
- Nuove Statue del Combattente: Emma e Sam. Aggiungi più brillantezza alla tua città!
- Nuova Pittura Decorativa: Spendi un oggetto speciale per di"&amp;"pingere le decorazioni e sbloccare benefici temporizzati.
- Nuove Scommesse Arena: Durante la Rissa dei Campioni - Abbinamento Alto, i comandanti possono guardare le partite e piazzare tre tipi di scommesse—previsione giocatore, previsione risultato e pre"&amp;"visione divertente.
- Rinnovamento Subterra: Stella di fuoco, Stella di Corallo e Terra Glaciale ricevono nuovi bilanciamenti e nuovi eventi di avventura.
- Arriva l'Abisso Oceanico  
  Aspetto del Municipio: Grande Balena Salpa! Si sblocca quando tutte l"&amp;"e parti sono raccolte.  
  Festa in Spiaggia: Lancia Bottiglie dei Desideri per premi e componenti dell'aspetto Balena.  
  Caccia al Tesoro Marittima: Gira la Bussola del Tesoro per bottini di lusso, incluso il set Balena.  
  Celebrazione dell'Abisso: L"&amp;"ancia i Dadi del Festival su una tavola di viaggio marittimo, raccogli decorazioni del festival e guadagna pile di ricompense—più una foto commemorativa.  
  Affari di Gruppo: Più comandanti comprano, maggiori sono le ricompense.  
  Accesso Abisso: Gli a"&amp;"ccessi giornalieri concedono ricompense del festival e un combattente leader leggendario gratuito—Emma!  
  Predizione Campione: Acquista il pacchetto, scegli la tua combinazione fortunata e goditi tre possibilità di jackpot.  
  Lacca Fortunata: Partecip"&amp;"a per avere una possibilità di ottenere l'Aspetto Mantide - Capitano Falce delle Tenebre.  
  Viaggio nell'Abisso: Raccogli Dadi Erranti, muoviti sulla mappa e riscatta ricche ricompense.  
  Maree dell'Eco: Evento Decreto Abisso Oceanico. Raccogli framme"&amp;"nti di mappa del tesoro, aumenta il livello del tuo decreto e ottieni cornici avatar limitate, decorazioni di marcia e altro.
- Aggiornamento Distributore: I capi e i funzionari della gang di livello 5+ possono impostare hub in modo che ogni aiutante invi"&amp;"i solo una truppa.
- Aggiornamento Prove di Trincea: La ricompensa di livello massimo diventa un'abilità selezionabile, e i veterani di Stella di fuoco, Stella di Corallo e Terra Glaciale possono rigiocare la modalità durante la Supremazia Galattica.
- Ag"&amp;"giornamento Spedizione: Tempistica della spedizione modificata per partenze più fluide.
- Correzione Gigagorilla Ostruttore: Le squadre preimpostate permettono ai giocatori offline di unirsi alla battaglia.
- Modifica Saccheggiatore di Fortezze: Nei serve"&amp;"r aperti da almeno sei mesi, il Saccheggiatore di Fortezze ora appare solo nella Guerra Planetaria, con ricompense maggiori.
- Esplorazione di Colin: Nuovi tipi di missioni e nuove ricompense.
- Missioni d'Onore: Missioni stagionali regolate; nuovi tipi d"&amp;"i missioni giornaliere—guadagna punti nella Grande gara dei treni e in altri giochi.
- Colosseo Astrale: Un avviso globale più forte ora annuncia l'inizio di ogni battaglia.")</f>
        <v>- Nuovo Combattente: Giocatore di vertice - Axel arriva dall'arena VR alla battaglia reale. Ottenibile tramite l'evento Scimmia Suprema.
- Nuovo Aspetto Mech: Aspetto Mantide – Capitano Falce delle Tenebre. Per inseguire le ricchezze dell'isola, le scimmie hanno ricostruito il Mech Mantide con vecchie carte nautiche umane, conferendogli un potere marino unico.
- Nuove Statue del Combattente: Emma e Sam. Aggiungi più brillantezza alla tua città!
- Nuova Pittura Decorativa: Spendi un oggetto speciale per dipingere le decorazioni e sbloccare benefici temporizzati.
- Nuove Scommesse Arena: Durante la Rissa dei Campioni - Abbinamento Alto, i comandanti possono guardare le partite e piazzare tre tipi di scommesse—previsione giocatore, previsione risultato e previsione divertente.
- Rinnovamento Subterra: Stella di fuoco, Stella di Corallo e Terra Glaciale ricevono nuovi bilanciamenti e nuovi eventi di avventura.
- Arriva l'Abisso Oceanico  
  Aspetto del Municipio: Grande Balena Salpa! Si sblocca quando tutte le parti sono raccolte.  
  Festa in Spiaggia: Lancia Bottiglie dei Desideri per premi e componenti dell'aspetto Balena.  
  Caccia al Tesoro Marittima: Gira la Bussola del Tesoro per bottini di lusso, incluso il set Balena.  
  Celebrazione dell'Abisso: Lancia i Dadi del Festival su una tavola di viaggio marittimo, raccogli decorazioni del festival e guadagna pile di ricompense—più una foto commemorativa.  
  Affari di Gruppo: Più comandanti comprano, maggiori sono le ricompense.  
  Accesso Abisso: Gli accessi giornalieri concedono ricompense del festival e un combattente leader leggendario gratuito—Emma!  
  Predizione Campione: Acquista il pacchetto, scegli la tua combinazione fortunata e goditi tre possibilità di jackpot.  
  Lacca Fortunata: Partecipa per avere una possibilità di ottenere l'Aspetto Mantide - Capitano Falce delle Tenebre.  
  Viaggio nell'Abisso: Raccogli Dadi Erranti, muoviti sulla mappa e riscatta ricche ricompense.  
  Maree dell'Eco: Evento Decreto Abisso Oceanico. Raccogli frammenti di mappa del tesoro, aumenta il livello del tuo decreto e ottieni cornici avatar limitate, decorazioni di marcia e altro.
- Aggiornamento Distributore: I capi e i funzionari della gang di livello 5+ possono impostare hub in modo che ogni aiutante invii solo una truppa.
- Aggiornamento Prove di Trincea: La ricompensa di livello massimo diventa un'abilità selezionabile, e i veterani di Stella di fuoco, Stella di Corallo e Terra Glaciale possono rigiocare la modalità durante la Supremazia Galattica.
- Aggiornamento Spedizione: Tempistica della spedizione modificata per partenze più fluide.
- Correzione Gigagorilla Ostruttore: Le squadre preimpostate permettono ai giocatori offline di unirsi alla battaglia.
- Modifica Saccheggiatore di Fortezze: Nei server aperti da almeno sei mesi, il Saccheggiatore di Fortezze ora appare solo nella Guerra Planetaria, con ricompense maggiori.
- Esplorazione di Colin: Nuovi tipi di missioni e nuove ricompense.
- Missioni d'Onore: Missioni stagionali regolate; nuovi tipi di missioni giornaliere—guadagna punti nella Grande gara dei treni e in altri giochi.
- Colosseo Astrale: Un avviso globale più forte ora annuncia l'inizio di ogni battaglia.</v>
      </c>
      <c r="O67" s="148" t="str">
        <f>IFERROR(__xludf.DUMMYFUNCTION("""COMPUTED_VALUE"""),"- Nowy Wojownik: Najlepszy Gracz - Axel wkracza z areny VR do prawdziwej bitwy. Dostępny poprzez wydarzenie Ubermałpa.
- Nowa Skórka Mecha: Skórka Modliszki – Kapitan Kosy Mroku. Aby zdobyć bogactwa wysp, Małpy przebudowały Mecha Modliszkę, korzystając ze"&amp;" starych ludzkich map żeglarskich, nadając mu unikalną moc morską.
- Nowe Pomniki Wojowników: Emma i Sam. Dodaj więcej blasku swojemu miastu!
- Nowe Malowanie Dekoracji: Wydaj specjalny przedmiot, aby pomalować dekoracje i odblokować czasowe wzmocnienia.
"&amp;"- Nowe Zakłady na Arenie: Podczas Bijatyki Mistrzów - Najlepszy Dobór, dowódcy mogą oglądać mecze i obstawiać trzy rodzaje zakładów—przewidywanie gracza, przewidywanie wyników i zabawne przewidywanie.
- Odnowa Subterry: Ognista Gwiazda, Gwiazda Koralowa i"&amp;" Lodowa Kraina otrzymują nowe dostrojenie balansu oraz zupełnie nowe wydarzenia przygodowe.
- Przybycie Otchłani Oceanu  
  Skórka Ratusza: Wieloryb Wypływa! Odblokowuje się po zebraniu wszystkich części.  
  Plażowa Impreza: Rzucaj Butelkami Życzeń, aby "&amp;"zdobywać nagrody i komponenty skórki Wieloryba.  
  Poszukiwanie Skarbów na Morzu: Kręć Kompasem Skarbów, aby zdobyć luksusowe łupy, w tym zestaw Wieloryba.  
  Świętowanie Otchłani: Rzuć Festiwalowymi Kostkami na planszy morskiej podróży, zbieraj festiwa"&amp;"lowe dekoracje i zdobywaj mnóstwo nagród—plus pamiątkowe zdjęcie.  
  Okazyjny Zakup Grupowy: Im więcej dowódców kupuje, tym większe nagrody.  
  Codzienne Logowanie do Otchłani: Codzienne logowania przyznają festiwalowe nagrody i darmowego legendarnego w"&amp;"ojownika dowódcę—Emma!  
  Przewidywanie Mistrza: Kup pakiet, wybierz swoją szczęśliwą kombinację i ciesz się trzema szansami na główną wygraną.  
  Szczęśliwy Lakier: Wejdź, aby mieć szansę na Skórkę Modliszki - Kapitan Kosy Mroku.  
  Podróż Otchłani: Z"&amp;"bieraj Wędrujące Kostki, poruszaj się po mapie i odbieraj bogate nagrody.  
  Echo Fal: Wydarzenie Dekretu Otchłani Oceanu. Zbieraj fragmenty mapy skarbów, zwiększaj poziom swojego dekretu i zdobywaj limitowane ramki awatarów, dekoracje marszu i więcej.
-"&amp;" Ulepszenie Dystrybutora: Szefowie i urzędnicy gangów w gangach na poziomie 5+ mogą ustawiać centra, aby każdy pomocnik wysyłał tylko jeden oddział.
- Aktualizacja Prób w Okopach: Nagroda na maksymalnym poziomie staje się wybieralną umiejętnością, a weter"&amp;"ani Ognistej Gwiazdy, Gwiazdy Koralowej i Lodowej Krainy mogą powtarzać tryb podczas Władzy nad Galaktyką.
- Ulepszenie Ekspedycji: Czas Ekspedycji dostosowany dla płynniejszych startów.
- Naprawa Blokady Drogowej Gigamałpy: Wstępne zespoły pozwalają grac"&amp;"zom offline dołączyć do walki.
- Zmiana Grabieży Twierdzy: Na serwerach otwartych pół roku lub dłużej, Grabieżca Twierdzy pojawia się teraz tylko w Wojnie Planetarnej, z większymi nagrodami.
- Eksploracja Colina: Nowe typy zadań i świeże nagrody.
- Zadani"&amp;"a Honorowe: Zadania sezonowe dostosowane; nowe typy codziennych zadań—zdobywaj punkty w Wielkim Wyścigu Pociągów i innych rozgrywkach.
- Gwiezdne Koloseum: Głośniejszy globalny alert teraz ogłasza każdy początek bitwy.")</f>
        <v>- Nowy Wojownik: Najlepszy Gracz - Axel wkracza z areny VR do prawdziwej bitwy. Dostępny poprzez wydarzenie Ubermałpa.
- Nowa Skórka Mecha: Skórka Modliszki – Kapitan Kosy Mroku. Aby zdobyć bogactwa wysp, Małpy przebudowały Mecha Modliszkę, korzystając ze starych ludzkich map żeglarskich, nadając mu unikalną moc morską.
- Nowe Pomniki Wojowników: Emma i Sam. Dodaj więcej blasku swojemu miastu!
- Nowe Malowanie Dekoracji: Wydaj specjalny przedmiot, aby pomalować dekoracje i odblokować czasowe wzmocnienia.
- Nowe Zakłady na Arenie: Podczas Bijatyki Mistrzów - Najlepszy Dobór, dowódcy mogą oglądać mecze i obstawiać trzy rodzaje zakładów—przewidywanie gracza, przewidywanie wyników i zabawne przewidywanie.
- Odnowa Subterry: Ognista Gwiazda, Gwiazda Koralowa i Lodowa Kraina otrzymują nowe dostrojenie balansu oraz zupełnie nowe wydarzenia przygodowe.
- Przybycie Otchłani Oceanu  
  Skórka Ratusza: Wieloryb Wypływa! Odblokowuje się po zebraniu wszystkich części.  
  Plażowa Impreza: Rzucaj Butelkami Życzeń, aby zdobywać nagrody i komponenty skórki Wieloryba.  
  Poszukiwanie Skarbów na Morzu: Kręć Kompasem Skarbów, aby zdobyć luksusowe łupy, w tym zestaw Wieloryba.  
  Świętowanie Otchłani: Rzuć Festiwalowymi Kostkami na planszy morskiej podróży, zbieraj festiwalowe dekoracje i zdobywaj mnóstwo nagród—plus pamiątkowe zdjęcie.  
  Okazyjny Zakup Grupowy: Im więcej dowódców kupuje, tym większe nagrody.  
  Codzienne Logowanie do Otchłani: Codzienne logowania przyznają festiwalowe nagrody i darmowego legendarnego wojownika dowódcę—Emma!  
  Przewidywanie Mistrza: Kup pakiet, wybierz swoją szczęśliwą kombinację i ciesz się trzema szansami na główną wygraną.  
  Szczęśliwy Lakier: Wejdź, aby mieć szansę na Skórkę Modliszki - Kapitan Kosy Mroku.  
  Podróż Otchłani: Zbieraj Wędrujące Kostki, poruszaj się po mapie i odbieraj bogate nagrody.  
  Echo Fal: Wydarzenie Dekretu Otchłani Oceanu. Zbieraj fragmenty mapy skarbów, zwiększaj poziom swojego dekretu i zdobywaj limitowane ramki awatarów, dekoracje marszu i więcej.
- Ulepszenie Dystrybutora: Szefowie i urzędnicy gangów w gangach na poziomie 5+ mogą ustawiać centra, aby każdy pomocnik wysyłał tylko jeden oddział.
- Aktualizacja Prób w Okopach: Nagroda na maksymalnym poziomie staje się wybieralną umiejętnością, a weterani Ognistej Gwiazdy, Gwiazdy Koralowej i Lodowej Krainy mogą powtarzać tryb podczas Władzy nad Galaktyką.
- Ulepszenie Ekspedycji: Czas Ekspedycji dostosowany dla płynniejszych startów.
- Naprawa Blokady Drogowej Gigamałpy: Wstępne zespoły pozwalają graczom offline dołączyć do walki.
- Zmiana Grabieży Twierdzy: Na serwerach otwartych pół roku lub dłużej, Grabieżca Twierdzy pojawia się teraz tylko w Wojnie Planetarnej, z większymi nagrodami.
- Eksploracja Colina: Nowe typy zadań i świeże nagrody.
- Zadania Honorowe: Zadania sezonowe dostosowane; nowe typy codziennych zadań—zdobywaj punkty w Wielkim Wyścigu Pociągów i innych rozgrywkach.
- Gwiezdne Koloseum: Głośniejszy globalny alert teraz ogłasza każdy początek bitwy.</v>
      </c>
      <c r="P67" s="148" t="str">
        <f>IFERROR(__xludf.DUMMYFUNCTION("""COMPUTED_VALUE"""),"- مقاتل جديد: أعلى لاعب - أكسل يقتحم من الحلبة الافتراضية إلى المعركة الحقيقية. يمكن الحصول عليه من خلال حدث القرد الخارق.
- زينة ميكا جديدة: زينة فرس النبي - كابتن منجل الكآبة. لمطاردة ثروات الجزر، أعادت القرود بناء ميكا فرس النبي باستخدام خرائط الإبحار "&amp;"البشرية القديمة، مما يمنحه قوة بحرية فريدة.
- تماثيل مقاتلين جديدة: إيما وسام. أضف المزيد من التألق إلى مدينتك!
- طلاء زينة جديد: أنفق عنصرًا خاصًا لطلاء الزينة وفتح التعزيزات المؤقتة.
- مراهنات حلبة جديدة: خلال حلبة الأبطال - مطابقة الأعلى، يمكن للقادة م"&amp;"شاهدة المباريات ووضع ثلاثة أنواع من الرهانات - تنبؤ اللاعب، توقع النتيجة، وتنبؤ ممتع.
- تجديد تحت الأرض: نجمة النار، نجمة المرجان، وأرض الأنهار الجليدية تحصل على ضبط توازن جديد بالإضافة إلى أحداث مغامرة جديدة تمامًا.
- وصول هاوية المحيط
  مجموعة زينة قاعة"&amp;" المدينة: الحوت العظيم يبحر! تفتح عند جمع جميع الأجزاء.
  حفلة الشاطئ: ارمي زجاجات الأمنية للحصول على جوائز ومكونات مجموعة زينة الحوت.
  صيد كنوز البحر: قم بتدوير بوصلة الكنز للحصول على غنائم فاخرة، بما في ذلك مجموعة الحوت.
  احتفال الهاوية: قم بتدوير نرد"&amp;" المهرجان على لوحة رحلة بحرية، اجمع زينة المهرجان، واحصل على أكوام من الجوائز - بالإضافة إلى صورة تذكارية.
  صفقات المجموعة: كلما اشترى القادة أكثر، زادت الجوائز.
  تسجيل دخول الهاوية: تسجيل الدخول اليومي يمنح جوائز المهرجان ومقاتل قائد أسطوري مجاني - إيم"&amp;"ا!
  بطل التنبؤ: اشترِ الباقة، اختر مجموعة حظك، واستمتع بثلاث فرص للجائزة الكبرى.
  لاكيه الحظ: ادخل للحصول على فرصة لزينة فرس النبي - كابتن منجل الكآبة.
  رحلة الهاوية: اجمع نرد التجوال، تحرك عبر الخريطة، واحصل على جوائز غنية.
  أمواج الصدى: حدث مرسوم ها"&amp;"وية المحيط. اجمع شظايا خريطة الكنز، ارفع مستوى مرسومك، واحصل على إطارات أفاتار محدودة، زينة الزحف، والمزيد.
- ترقية الموزع: يمكن للرؤساء ومسؤولي العصابة في عصابة مستوى 5+ تعيين مراكز بحيث يرسل كل مساعد قوات واحدة فقط.
- تحديث تجارب الخنادق: تصبح جائزة الم"&amp;"ستوى الأقصى مهارة قابلة للتحديد، ويمكن لقدامى نجمة النار، نجمة المرجان، وأرض الأنهار الجليدية إعادة لعب الوضع خلال سيادة المجرة.
- ترقية الاستكشاف: تم تعديل توقيت الاستكشاف لبدء أكثر سلاسة.
- إصلاح حاجز الطريق القرد العملاق: الفرق المعدة مسبقًا تتيح للاعب"&amp;"ين غير المتصلين الانضمام إلى المعركة.
- تغيير نهب الحصن: في السيرفرات المفتوحة لمدة نصف عام أو أكثر، يظهر نهب الحصن الآن فقط في حرب الكوكب، مع جوائز أكبر.
- استكشاف كولن: أنواع مهام جديدة وجوائز جديدة.
- مهام الشرف: تم تعديل مهام الموسم؛ أنواع مهام يومية "&amp;"جديدة - احصل على نقاط في سباق القطار العظيم وألعاب أخرى.
- مدرج النجوم: تنبيه عالمي أعلى الآن يعلن عن بداية كل معركة.")</f>
        <v>- مقاتل جديد: أعلى لاعب - أكسل يقتحم من الحلبة الافتراضية إلى المعركة الحقيقية. يمكن الحصول عليه من خلال حدث القرد الخارق.
- زينة ميكا جديدة: زينة فرس النبي - كابتن منجل الكآبة. لمطاردة ثروات الجزر، أعادت القرود بناء ميكا فرس النبي باستخدام خرائط الإبحار البشرية القديمة، مما يمنحه قوة بحرية فريدة.
- تماثيل مقاتلين جديدة: إيما وسام. أضف المزيد من التألق إلى مدينتك!
- طلاء زينة جديد: أنفق عنصرًا خاصًا لطلاء الزينة وفتح التعزيزات المؤقتة.
- مراهنات حلبة جديدة: خلال حلبة الأبطال - مطابقة الأعلى، يمكن للقادة مشاهدة المباريات ووضع ثلاثة أنواع من الرهانات - تنبؤ اللاعب، توقع النتيجة، وتنبؤ ممتع.
- تجديد تحت الأرض: نجمة النار، نجمة المرجان، وأرض الأنهار الجليدية تحصل على ضبط توازن جديد بالإضافة إلى أحداث مغامرة جديدة تمامًا.
- وصول هاوية المحيط
  مجموعة زينة قاعة المدينة: الحوت العظيم يبحر! تفتح عند جمع جميع الأجزاء.
  حفلة الشاطئ: ارمي زجاجات الأمنية للحصول على جوائز ومكونات مجموعة زينة الحوت.
  صيد كنوز البحر: قم بتدوير بوصلة الكنز للحصول على غنائم فاخرة، بما في ذلك مجموعة الحوت.
  احتفال الهاوية: قم بتدوير نرد المهرجان على لوحة رحلة بحرية، اجمع زينة المهرجان، واحصل على أكوام من الجوائز - بالإضافة إلى صورة تذكارية.
  صفقات المجموعة: كلما اشترى القادة أكثر، زادت الجوائز.
  تسجيل دخول الهاوية: تسجيل الدخول اليومي يمنح جوائز المهرجان ومقاتل قائد أسطوري مجاني - إيما!
  بطل التنبؤ: اشترِ الباقة، اختر مجموعة حظك، واستمتع بثلاث فرص للجائزة الكبرى.
  لاكيه الحظ: ادخل للحصول على فرصة لزينة فرس النبي - كابتن منجل الكآبة.
  رحلة الهاوية: اجمع نرد التجوال، تحرك عبر الخريطة، واحصل على جوائز غنية.
  أمواج الصدى: حدث مرسوم هاوية المحيط. اجمع شظايا خريطة الكنز، ارفع مستوى مرسومك، واحصل على إطارات أفاتار محدودة، زينة الزحف، والمزيد.
- ترقية الموزع: يمكن للرؤساء ومسؤولي العصابة في عصابة مستوى 5+ تعيين مراكز بحيث يرسل كل مساعد قوات واحدة فقط.
- تحديث تجارب الخنادق: تصبح جائزة المستوى الأقصى مهارة قابلة للتحديد، ويمكن لقدامى نجمة النار، نجمة المرجان، وأرض الأنهار الجليدية إعادة لعب الوضع خلال سيادة المجرة.
- ترقية الاستكشاف: تم تعديل توقيت الاستكشاف لبدء أكثر سلاسة.
- إصلاح حاجز الطريق القرد العملاق: الفرق المعدة مسبقًا تتيح للاعبين غير المتصلين الانضمام إلى المعركة.
- تغيير نهب الحصن: في السيرفرات المفتوحة لمدة نصف عام أو أكثر، يظهر نهب الحصن الآن فقط في حرب الكوكب، مع جوائز أكبر.
- استكشاف كولن: أنواع مهام جديدة وجوائز جديدة.
- مهام الشرف: تم تعديل مهام الموسم؛ أنواع مهام يومية جديدة - احصل على نقاط في سباق القطار العظيم وألعاب أخرى.
- مدرج النجوم: تنبيه عالمي أعلى الآن يعلن عن بداية كل معركة.</v>
      </c>
      <c r="Q67" s="148" t="str">
        <f>IFERROR(__xludf.DUMMYFUNCTION("""COMPUTED_VALUE"""),"- 新しいファイター: トップゲーマー - アクセルがVRアリーナから実戦に登場。究極のエイプイベントで入手可能。
- 新しいメカスキン: マンティススキン – グルームサイズキャプテン。島の財宝を追い求めるために、エイプたちは古い人間の航海図を使ってマンティスメカを再建し、独自の海の力を与えました。
- 新しいファイターの像: エマとサム。あなたの都市にさらなる輝きを追加！
- 新しい装飾品の塗装: 特別なアイテムを使って装飾品を塗装し、時間限定のバフをアンロック。
- 新しいアリーナベッティング: チ"&amp;"ャンピオン乱闘 - トップマッチ中に、指揮官は試合を観戦し、プレイヤー予測、結果予測、楽しい予測の3種類のベットを行うことができます。
- サブテラの改修: マーズ星、サンゴ星、氷河の土地に新しいバランス調整と新しい冒険イベントが追加。
- 海のアビス到来  
  基地スキンセット: グレートホエールが出航！全てのパーツを収集するとアンロック。  
  ビーチバッシュ: 祈願の瓶を投げて賞品とホエールスキンセットのコンポーネントを獲得。  
  海上の宝探しの旅: 宝探しコンパスを回して豪華な戦利品を獲得"&amp;"、ホエールセットを含む。  
  アビスセレブレーション: 海の航海ボードでフェスティバルダイスを転がし、フェスティバル装飾を集め、報酬の山を獲得—記念写真も含む。  
  グループバーゲン: 指揮官が多く購入するほど、報酬が大きくなる。  
  アビスログイン: デイリーログインでフェスティバル報酬と無料のレジェンダリーファイター—エマを獲得。  
  予測チャンプ: パックを購入し、ラッキーコンボを選び、3つのジャックポットチャンスを楽しむ。  
  ラッキー漆製品: マンティススキン - グルームサ"&amp;"イズキャプテンを狙って参加。  
  アビス航海: 放浪のサイコロを集め、マップを移動し、豊富な報酬を獲得。  
  エコータイド: 海のアビス戦令軍功イベント。宝探しマップの破片を集め、戦令レベルを上げ、限定アバターフレーム、行軍装飾品などを獲得。
- ディストリビューターのアップグレード: Lv.5以上のギルドのチーフとギルド役員は、各ヘルパーが1部隊だけを送るようにハブを設定可能。
- 深海の試練の更新: 最大レベルの報酬が選択可能なスキルになり、マーズ星、サンゴ星、氷河の土地のベテランはキング・オ"&amp;"ブ・プラネット中にモードを再プレイ可能。
- 遠征のアップグレード: 遠征のタイミングが調整され、スムーズなスタートを実現。
- 妨害ギガントの修正: プリセットチームにより、オフラインプレイヤーも戦闘に参加可能。
- 要塞争奪戦の変更: 開放から半年以上経過したサーバーでは、要塞争奪戦がプラネットウォーにのみ登場し、報酬が増加。
- コリンの探索: 新しいクエストタイプと新しい報酬。
- 栄誉クエスト: シーズンタスクが調整され、新しいデイリークエストタイプ—トレインレースやその他のプレイデータでポイン"&amp;"トを獲得。
- アストラルコロシアム: 各戦闘開始を知らせるグローバルアラートがより大きく。")</f>
        <v>- 新しいファイター: トップゲーマー - アクセルがVRアリーナから実戦に登場。究極のエイプイベントで入手可能。
- 新しいメカスキン: マンティススキン – グルームサイズキャプテン。島の財宝を追い求めるために、エイプたちは古い人間の航海図を使ってマンティスメカを再建し、独自の海の力を与えました。
- 新しいファイターの像: エマとサム。あなたの都市にさらなる輝きを追加！
- 新しい装飾品の塗装: 特別なアイテムを使って装飾品を塗装し、時間限定のバフをアンロック。
- 新しいアリーナベッティング: チャンピオン乱闘 - トップマッチ中に、指揮官は試合を観戦し、プレイヤー予測、結果予測、楽しい予測の3種類のベットを行うことができます。
- サブテラの改修: マーズ星、サンゴ星、氷河の土地に新しいバランス調整と新しい冒険イベントが追加。
- 海のアビス到来  
  基地スキンセット: グレートホエールが出航！全てのパーツを収集するとアンロック。  
  ビーチバッシュ: 祈願の瓶を投げて賞品とホエールスキンセットのコンポーネントを獲得。  
  海上の宝探しの旅: 宝探しコンパスを回して豪華な戦利品を獲得、ホエールセットを含む。  
  アビスセレブレーション: 海の航海ボードでフェスティバルダイスを転がし、フェスティバル装飾を集め、報酬の山を獲得—記念写真も含む。  
  グループバーゲン: 指揮官が多く購入するほど、報酬が大きくなる。  
  アビスログイン: デイリーログインでフェスティバル報酬と無料のレジェンダリーファイター—エマを獲得。  
  予測チャンプ: パックを購入し、ラッキーコンボを選び、3つのジャックポットチャンスを楽しむ。  
  ラッキー漆製品: マンティススキン - グルームサイズキャプテンを狙って参加。  
  アビス航海: 放浪のサイコロを集め、マップを移動し、豊富な報酬を獲得。  
  エコータイド: 海のアビス戦令軍功イベント。宝探しマップの破片を集め、戦令レベルを上げ、限定アバターフレーム、行軍装飾品などを獲得。
- ディストリビューターのアップグレード: Lv.5以上のギルドのチーフとギルド役員は、各ヘルパーが1部隊だけを送るようにハブを設定可能。
- 深海の試練の更新: 最大レベルの報酬が選択可能なスキルになり、マーズ星、サンゴ星、氷河の土地のベテランはキング・オブ・プラネット中にモードを再プレイ可能。
- 遠征のアップグレード: 遠征のタイミングが調整され、スムーズなスタートを実現。
- 妨害ギガントの修正: プリセットチームにより、オフラインプレイヤーも戦闘に参加可能。
- 要塞争奪戦の変更: 開放から半年以上経過したサーバーでは、要塞争奪戦がプラネットウォーにのみ登場し、報酬が増加。
- コリンの探索: 新しいクエストタイプと新しい報酬。
- 栄誉クエスト: シーズンタスクが調整され、新しいデイリークエストタイプ—トレインレースやその他のプレイデータでポイントを獲得。
- アストラルコロシアム: 各戦闘開始を知らせるグローバルアラートがより大きく。</v>
      </c>
      <c r="R67" s="148" t="str">
        <f>IFERROR(__xludf.DUMMYFUNCTION("""COMPUTED_VALUE"""),"- 새로운 전사: 탑 게이머 - 악셀이 VR 아레나에서 실제 전투로 돌진합니다. 최강 원숭이 이벤트를 통해 획득 가능합니다.
- 새로운 메카 스킨: 사마귀 스킨 – 어둠의 낫 대장. 섬의 부를 쫓기 위해, 원숭이들은 오래된 인간의 항해 지도를 사용하여 사마귀 메카를 재건하여 독특한 바다의 힘을 부여했습니다.
- 새로운 전사 석상: 엠마와 샘. 당신의 도시에 더 많은 빛을 추가하세요!
- 새로운 장식 페인팅: 특별 아이템을 사용하여 장식을 페인트하고 시간"&amp;" 제한 버프를 잠금 해제하세요.
- 새로운 아레나 베팅: 챔피언 투기장 - 탑 매치 동안, 지휘관들은 매치를 시청하고 세 가지 종류의 베팅을 할 수 있습니다—플레이어 예측, 결과 예측, 재미있는 예측.
- 서브테라 개편: 불칸, 산호별, 빙하 땅이 새로운 밸런스 조정과 새로운 모험 이벤트를 받습니다.
- 해양 심연 도착  
  기지 스킨 세트: 거대한 고래가 항해를 시작합니다! 모든 부품을 수집하면 잠금 해제됩니다.  
  해변 파티: 소원의 병을 던져"&amp;"서 상품과 고래 스킨 세트 부품을 획득하세요.  
  해상 보물찾기 여행: 보물 나침반을 돌려서 고급 전리품을 획득하세요, 고래 세트를 포함하여.  
  심연 축제: 축제 주사위를 굴려서 해상 여행 보드에서 이동하고, 축제 장식을 수집하고, 많은 보상을 획득하세요—기념 사진도 포함됩니다.  
  그룹 특가: 더 많은 지휘관이 구매할수록 보상이 커집니다.  
  심연 출석: 일일 로그인으로 축제 보상과 무료 전설적인 리더 전사—엠마를 획득하세요!  
  "&amp;"예측 챔프: 패키지를 구매하고, 행운의 콤보를 선택하고, 세 번의 잭팟 기회를 즐기세요.  
  행운의 래커: 사마귀 스킨 - 어둠의 낫 대장을 얻을 기회를 잡으세요.  
  심연 항해: 방랑 주사위를 수집하고, 지도를 이동하며, 풍부한 보상을 청구하세요.  
  메아리 조수: 해양 심연 명령 이벤트. 보물 지도 조각을 수집하고, 명령 레벨을 올리고, 한정 아바타 프레임, 행군 장식 등을 획득하세요.
- 배급업자 업그레이드: 레벨 5 이상의 무리에서 족"&amp;"장과 무리 관리자는 각 도우미가 한 부대만 보내도록 허브를 설정할 수 있습니다.
- 심해의 시련 업데이트: 최고 레벨 보상이 선택 가능한 스킬이 되며, 불칸, 산호별, 빙하 땅 베테랑들은 별들의 전쟁 동안 모드를 다시 플레이할 수 있습니다.
- 탐험 업그레이드: 탐험 타이밍이 더 원활한 시작을 위해 조정되었습니다.
- 길 막는 변이 원숭이 수정: 프리셋 팀이 오프라인 플레이어가 전투에 참여할 수 있게 합니다.
- 요새 쟁탈 변경: 서버가 반년 이상 열리"&amp;"면, 요새 쟁탈은 이제 행성 전쟁에서만 나타나며, 더 큰 보상을 제공합니다.
- 콜린의 탐색: 새로운 퀘스트 유형과 신선한 보상.
- 명예 임무: 시즌 임무가 조정되었으며, 새로운 일일 퀘스트 유형—기차 레이스와 다른 게임플레이에서 포인트를 획득하세요.
- 별의 사투: 이제 각 전투 시작을 더 크게 알리는 글로벌 알림이 있습니다.")</f>
        <v>- 새로운 전사: 탑 게이머 - 악셀이 VR 아레나에서 실제 전투로 돌진합니다. 최강 원숭이 이벤트를 통해 획득 가능합니다.
- 새로운 메카 스킨: 사마귀 스킨 – 어둠의 낫 대장. 섬의 부를 쫓기 위해, 원숭이들은 오래된 인간의 항해 지도를 사용하여 사마귀 메카를 재건하여 독특한 바다의 힘을 부여했습니다.
- 새로운 전사 석상: 엠마와 샘. 당신의 도시에 더 많은 빛을 추가하세요!
- 새로운 장식 페인팅: 특별 아이템을 사용하여 장식을 페인트하고 시간 제한 버프를 잠금 해제하세요.
- 새로운 아레나 베팅: 챔피언 투기장 - 탑 매치 동안, 지휘관들은 매치를 시청하고 세 가지 종류의 베팅을 할 수 있습니다—플레이어 예측, 결과 예측, 재미있는 예측.
- 서브테라 개편: 불칸, 산호별, 빙하 땅이 새로운 밸런스 조정과 새로운 모험 이벤트를 받습니다.
- 해양 심연 도착  
  기지 스킨 세트: 거대한 고래가 항해를 시작합니다! 모든 부품을 수집하면 잠금 해제됩니다.  
  해변 파티: 소원의 병을 던져서 상품과 고래 스킨 세트 부품을 획득하세요.  
  해상 보물찾기 여행: 보물 나침반을 돌려서 고급 전리품을 획득하세요, 고래 세트를 포함하여.  
  심연 축제: 축제 주사위를 굴려서 해상 여행 보드에서 이동하고, 축제 장식을 수집하고, 많은 보상을 획득하세요—기념 사진도 포함됩니다.  
  그룹 특가: 더 많은 지휘관이 구매할수록 보상이 커집니다.  
  심연 출석: 일일 로그인으로 축제 보상과 무료 전설적인 리더 전사—엠마를 획득하세요!  
  예측 챔프: 패키지를 구매하고, 행운의 콤보를 선택하고, 세 번의 잭팟 기회를 즐기세요.  
  행운의 래커: 사마귀 스킨 - 어둠의 낫 대장을 얻을 기회를 잡으세요.  
  심연 항해: 방랑 주사위를 수집하고, 지도를 이동하며, 풍부한 보상을 청구하세요.  
  메아리 조수: 해양 심연 명령 이벤트. 보물 지도 조각을 수집하고, 명령 레벨을 올리고, 한정 아바타 프레임, 행군 장식 등을 획득하세요.
- 배급업자 업그레이드: 레벨 5 이상의 무리에서 족장과 무리 관리자는 각 도우미가 한 부대만 보내도록 허브를 설정할 수 있습니다.
- 심해의 시련 업데이트: 최고 레벨 보상이 선택 가능한 스킬이 되며, 불칸, 산호별, 빙하 땅 베테랑들은 별들의 전쟁 동안 모드를 다시 플레이할 수 있습니다.
- 탐험 업그레이드: 탐험 타이밍이 더 원활한 시작을 위해 조정되었습니다.
- 길 막는 변이 원숭이 수정: 프리셋 팀이 오프라인 플레이어가 전투에 참여할 수 있게 합니다.
- 요새 쟁탈 변경: 서버가 반년 이상 열리면, 요새 쟁탈은 이제 행성 전쟁에서만 나타나며, 더 큰 보상을 제공합니다.
- 콜린의 탐색: 새로운 퀘스트 유형과 신선한 보상.
- 명예 임무: 시즌 임무가 조정되었으며, 새로운 일일 퀘스트 유형—기차 레이스와 다른 게임플레이에서 포인트를 획득하세요.
- 별의 사투: 이제 각 전투 시작을 더 크게 알리는 글로벌 알림이 있습니다.</v>
      </c>
      <c r="S67" s="148" t="str">
        <f>IFERROR(__xludf.DUMMYFUNCTION("""COMPUTED_VALUE"""),"-新增斗士：头号玩家-阿克塞尔，纵横虚拟世界，玩转现实战场的超级玩家！可通过“最强猴子”活动获取。
-新增机甲皮肤：螳螂皮肤-幽镰船长，为了探寻海岛的宝藏，猿族根据人类留下的航海资料改装了螳螂机甲，使它拥有独特的海上作战能力。
-新增斗士雕像：艾玛、萨姆，来为你的城市增添更多光彩吧！
-新增装饰物粉刷功能：可使用特定道具激活粉刷功能，获取限时增益。
-新增竞技场竞猜玩法：在精英竞技场巅峰赛中，指挥官可以观看比赛，并在指定时间段参与竞猜赢得奖励，竞猜类型分为选手竞猜、胜负竞猜、趣味竞猜。
-新增地下世界奇遇"&amp;"玩法：优化了火神星、珊瑚星、寒冰星地下世界的玩法和数值，新增奇遇玩法。
-新增深海节活动
城市外观套装：长鲸出海！参与活动可集齐套装组件，解锁最终形态。
海滩狂欢：使用海滩许愿瓶抽取奖励，获取巨鲸套装皮肤组件！
海上探宝：使用寻宝罗盘寻找宝藏，赢取豪华大奖，更有巨鲸套装等你来拿！
深海庆典：使用节日骰子参与深海之旅，收集深海节装饰物组件，获取丰厚奖励。更有深海庆典纪念照片赠送！
礼包团购：购买礼包的玩家越多，奖励越丰厚！
深海签到：每日签到，领取深海节限定活动奖励，免费获取传说领袖斗士-艾玛！
竞猜大赢家"&amp;"：购买礼包后可选取幸运组合，共有三次中奖机会，惊喜满满，不容错过！
惊喜涂装：参与活动，将有机会赢取螳螂机甲皮肤-幽镰船长！
深海漫游：参与活动收集漫游骰子，在深海地图中前进，获取丰厚奖励！
潮汐回响：深海节战令活动，收集藏宝图碎片，提升战令等级，获取节日限定头像框、行军特效等丰厚奖励！
-配送站系统优化：5级以上帮派的魁首和官员可以对配送站进行设置，让参与者只派出一名士兵。
-深海试炼优化：深海试炼满级奖励优化，大奖变为可选天赋技能；扩展了深海试炼的开启范围，参与过珊瑚星、寒冰星、远古星的玩家可以在异星"&amp;"争霸活动中再次体验该玩法。
-远征玩法优化：优化远征开启时间。
-拦路巨猿优化：新增预设队伍功能，让离线状态的玩家也能参与。
-堡垒竞夺优化：对于开服半年以上的服务器，堡垒竞夺玩法只在银河战争中开放，并增加奖励投放。
-科林的探索优化：增加新的任务类型，提供更多种类的奖励。
-军功任务优化：赛季任务调整，每日自选任务增加新类型，参与火车竞赛等战场玩法可获得积分完成任务。
-决战卫星之巅联赛优化：决战卫星之巅战场开始前，增加更明显的全服播报提示。")</f>
        <v>-新增斗士：头号玩家-阿克塞尔，纵横虚拟世界，玩转现实战场的超级玩家！可通过“最强猴子”活动获取。
-新增机甲皮肤：螳螂皮肤-幽镰船长，为了探寻海岛的宝藏，猿族根据人类留下的航海资料改装了螳螂机甲，使它拥有独特的海上作战能力。
-新增斗士雕像：艾玛、萨姆，来为你的城市增添更多光彩吧！
-新增装饰物粉刷功能：可使用特定道具激活粉刷功能，获取限时增益。
-新增竞技场竞猜玩法：在精英竞技场巅峰赛中，指挥官可以观看比赛，并在指定时间段参与竞猜赢得奖励，竞猜类型分为选手竞猜、胜负竞猜、趣味竞猜。
-新增地下世界奇遇玩法：优化了火神星、珊瑚星、寒冰星地下世界的玩法和数值，新增奇遇玩法。
-新增深海节活动
城市外观套装：长鲸出海！参与活动可集齐套装组件，解锁最终形态。
海滩狂欢：使用海滩许愿瓶抽取奖励，获取巨鲸套装皮肤组件！
海上探宝：使用寻宝罗盘寻找宝藏，赢取豪华大奖，更有巨鲸套装等你来拿！
深海庆典：使用节日骰子参与深海之旅，收集深海节装饰物组件，获取丰厚奖励。更有深海庆典纪念照片赠送！
礼包团购：购买礼包的玩家越多，奖励越丰厚！
深海签到：每日签到，领取深海节限定活动奖励，免费获取传说领袖斗士-艾玛！
竞猜大赢家：购买礼包后可选取幸运组合，共有三次中奖机会，惊喜满满，不容错过！
惊喜涂装：参与活动，将有机会赢取螳螂机甲皮肤-幽镰船长！
深海漫游：参与活动收集漫游骰子，在深海地图中前进，获取丰厚奖励！
潮汐回响：深海节战令活动，收集藏宝图碎片，提升战令等级，获取节日限定头像框、行军特效等丰厚奖励！
-配送站系统优化：5级以上帮派的魁首和官员可以对配送站进行设置，让参与者只派出一名士兵。
-深海试炼优化：深海试炼满级奖励优化，大奖变为可选天赋技能；扩展了深海试炼的开启范围，参与过珊瑚星、寒冰星、远古星的玩家可以在异星争霸活动中再次体验该玩法。
-远征玩法优化：优化远征开启时间。
-拦路巨猿优化：新增预设队伍功能，让离线状态的玩家也能参与。
-堡垒竞夺优化：对于开服半年以上的服务器，堡垒竞夺玩法只在银河战争中开放，并增加奖励投放。
-科林的探索优化：增加新的任务类型，提供更多种类的奖励。
-军功任务优化：赛季任务调整，每日自选任务增加新类型，参与火车竞赛等战场玩法可获得积分完成任务。
-决战卫星之巅联赛优化：决战卫星之巅战场开始前，增加更明显的全服播报提示。</v>
      </c>
      <c r="T67" s="148"/>
      <c r="U67" s="148"/>
      <c r="V67" s="148"/>
      <c r="W67" s="148"/>
      <c r="X67" s="148"/>
      <c r="Y67" s="148"/>
      <c r="Z67" s="148"/>
    </row>
    <row r="68">
      <c r="A68" s="167" t="str">
        <f>IFERROR(__xludf.DUMMYFUNCTION("""COMPUTED_VALUE"""),"0.77.0")</f>
        <v>0.77.0</v>
      </c>
      <c r="B68" s="168" t="str">
        <f>IFERROR(__xludf.DUMMYFUNCTION("""COMPUTED_VALUE"""),"-新增斗士：重塑之手-伦奇，破损机甲的救星，穿梭于战场的维修师！可通过“最强猴子”活动获取。
-新增斗士雕像：洪大师、布莱克，来为你的城市增添更多光彩吧！
-新增阅兵场升级：部分开放时间较早的服务器新增阅兵场Ⅵ，并新增部队容量租赁功能，可以消耗光谱芯片获得临时部队容量增益；
-新增战车：破城先锋号，可切换双重形态，进行远程攻击；
-新增礼包：增加多个永久增益特权礼包；
-新增登月节活动：
-月夜祈福：登月节限时抽奖，奖池含大量限定外显道具，头像框、主城外观、主城特效等等限定道具拿不停！
-登月豪礼：限时累"&amp;"计充值即可领取丰厚奖励！
-登月行动：玩家完成任务可点亮当前任务牌，获取任务奖励，赢取登月节装饰；
-欢乐对对碰：对对碰全新返场，奖励升级！节日内提升实力，即可开启免费礼物！有概率获取限定节日奖励！
-登月轮盘：登月轮盘限时开启，选取你喜爱的奖励，有概率获取大额惊喜；
-幸运多重礼：惊喜多多，奖励满满！全新抽奖活动限时开启，每次抽取都有机会获得多倍奖励！
-登月留念：收集纪念胶卷，提升活动等级，领取活动奖励，更有机会获得限定行军特效-月色入画！
-星际穿越：在群星中穿行，完成活动任务，沿着固定航线，探索未"&amp;"知星球，领取活动奖励！
-最强运输车队：每日护送运输车完成押运，获得押运奖励，赚取帮派车队积分，竞争最强运输车队排名！
-荒野探宝：收集探宝十字镐，挖掘水晶与晶岩，赢取大量奖励！
-背包系统优化：新增了背包内资源道具和加速道具的统计功能；
-战装试炼场优化：优化了战装试炼场的挑战界面，更加明显地展示战装作用，更加方便地对战装进行操作；
-双天赋兑换逻辑优化：斗士奖牌满足解锁双天赋所需时，不会出现溢出兑换的情况；
-决战卫星之巅优化：调整机甲风暴中的小型机甲外观，大型机甲占领期间可以获得增益，调整不同服务器"&amp;"进度下玩家机甲的强度；
-霸主技能优化：新增强化霸主技能，服务器达到指定天数后解锁强化霸主技能；
-出征界面优化：出征界面新增详细模式，可显示更多队伍信息；
-大地图显示优化：优化了大地图缩放状态下的信息显示，增加大地图战役标识；
-战车集结优化：发起集结的战车可以消耗多倍体力，获得多倍奖励；
-空闲队列优化：空闲队列中加入了生产工厂队列；
-竞技场优化：精英竞技场巅峰赛分组方式优化；
-王者之地优化：击杀积分优化；
-自动集结优化：自动集结支持选择多个野怪目标了；
-帮派建筑优化：帮派使馆和作战中心等级"&amp;"上限扩充至35级，且增加相应buff属性。")</f>
        <v>-新增斗士：重塑之手-伦奇，破损机甲的救星，穿梭于战场的维修师！可通过“最强猴子”活动获取。
-新增斗士雕像：洪大师、布莱克，来为你的城市增添更多光彩吧！
-新增阅兵场升级：部分开放时间较早的服务器新增阅兵场Ⅵ，并新增部队容量租赁功能，可以消耗光谱芯片获得临时部队容量增益；
-新增战车：破城先锋号，可切换双重形态，进行远程攻击；
-新增礼包：增加多个永久增益特权礼包；
-新增登月节活动：
-月夜祈福：登月节限时抽奖，奖池含大量限定外显道具，头像框、主城外观、主城特效等等限定道具拿不停！
-登月豪礼：限时累计充值即可领取丰厚奖励！
-登月行动：玩家完成任务可点亮当前任务牌，获取任务奖励，赢取登月节装饰；
-欢乐对对碰：对对碰全新返场，奖励升级！节日内提升实力，即可开启免费礼物！有概率获取限定节日奖励！
-登月轮盘：登月轮盘限时开启，选取你喜爱的奖励，有概率获取大额惊喜；
-幸运多重礼：惊喜多多，奖励满满！全新抽奖活动限时开启，每次抽取都有机会获得多倍奖励！
-登月留念：收集纪念胶卷，提升活动等级，领取活动奖励，更有机会获得限定行军特效-月色入画！
-星际穿越：在群星中穿行，完成活动任务，沿着固定航线，探索未知星球，领取活动奖励！
-最强运输车队：每日护送运输车完成押运，获得押运奖励，赚取帮派车队积分，竞争最强运输车队排名！
-荒野探宝：收集探宝十字镐，挖掘水晶与晶岩，赢取大量奖励！
-背包系统优化：新增了背包内资源道具和加速道具的统计功能；
-战装试炼场优化：优化了战装试炼场的挑战界面，更加明显地展示战装作用，更加方便地对战装进行操作；
-双天赋兑换逻辑优化：斗士奖牌满足解锁双天赋所需时，不会出现溢出兑换的情况；
-决战卫星之巅优化：调整机甲风暴中的小型机甲外观，大型机甲占领期间可以获得增益，调整不同服务器进度下玩家机甲的强度；
-霸主技能优化：新增强化霸主技能，服务器达到指定天数后解锁强化霸主技能；
-出征界面优化：出征界面新增详细模式，可显示更多队伍信息；
-大地图显示优化：优化了大地图缩放状态下的信息显示，增加大地图战役标识；
-战车集结优化：发起集结的战车可以消耗多倍体力，获得多倍奖励；
-空闲队列优化：空闲队列中加入了生产工厂队列；
-竞技场优化：精英竞技场巅峰赛分组方式优化；
-王者之地优化：击杀积分优化；
-自动集结优化：自动集结支持选择多个野怪目标了；
-帮派建筑优化：帮派使馆和作战中心等级上限扩充至35级，且增加相应buff属性。</v>
      </c>
      <c r="C68" s="168" t="str">
        <f>IFERROR(__xludf.DUMMYFUNCTION("""COMPUTED_VALUE"""),"- New Fighter: Restoring Hand - Wrench—Savior of battered Mechs, the battlefield roaming mechanic! Unlock through the Ultimate Monkey event.
- New Fighter Statues: Master Hong and Blake. Add more brilliance to your city!
- New Parade Ground Upgrades: Para"&amp;"de Ground VI arrives on early servers, plus a Spectrum Chip rental that grants temporary March Capacity.
- New Carrier: Siegebreaker—switch to dual-mode for long-range attacks.
- New Packs: Added multiple privilege packs with permanent boosts.
- New Moon "&amp;"Landing Festival Events:
- Moonlit Blessings: Festival gacha packed with rare avatar frames, city skins, and other exclusives.
- Moon Landing Gift: Hit cumulative recharge milestones for hefty gifts!  
- Moonshot Operation: Complete quests to light up the"&amp;" corresponding cards and get rewards including a Moon Landing Festival decoration!
- Match &amp; Fun: Match &amp; Fun returns with juiced rewards—boost power to unlock free gifts and festival-only rewards.
 -Moon Roulette: Limited-time event where you choose the "&amp;"reward and chase giant pay-outs.
 -Lucky Bonanza: Packed with surprises and rewards! The limited-time draw is live, and every pull can multiply your prizes!
 -Memories of Moon Landing: Collect souvenir films, upgrade your level, and pursue the March Effec"&amp;"t “Moonlit Canvas.”
 -Interstellar Voyage: Follow a fixed star route, clear quests, explore worlds, and scoop rewards.
 -Top Convoy: escort a convoy daily to earn convoy rewards and points, and compete in the Top Convoy!
 -Wildland Expedition: Gather Trea"&amp;"sure Picks, unearth crystals and geodes, and earn massive rewards!
- Inventory Upgrade: You can now see total counts for all resource and speedup items in your inventory.
-Equipment Test Site Upgrade: clearer gear effects and smoother controls.
- Double T"&amp;"alent Exchange Upgrade: Excess exchanges are blocked once you reach the double talent requirement for fighter medals.
-Astral Coliseum Upgrade: Updated the look of small mechs in Mech Rising; big mechs earn buffs while holding; mech strength scales with s"&amp;"erver progress.
- Overlord Skill Upgrade: Enhanced abilities unlock after the server day threshold.
- March Interface Upgrade: New detail mode that can see more troop information.
- Map Display Upgrade: Sharper zoom-out information plus bigger battle mark"&amp;"ers.
- Rally Carrier Upgrade: Spend extra stamina, earn proportional extra rewards.
- Idle Queue Upgrade: Now shows factory production queues in idle queues.
- Champion Brawl Upgrade: Smarter group sorting in Champion Brawl - Top Match.
- Arena of Champio"&amp;"ns Upgrade: Kill points adjusted.
- Auto-Rally Upgrade: Auto-rally now lets you target multiple NPCs.
- Gang Buildings Upgrade: Gang Embassy and Command Center can now reach Level 35, adding corresponding buffs.")</f>
        <v>- New Fighter: Restoring Hand - Wrench—Savior of battered Mechs, the battlefield roaming mechanic! Unlock through the Ultimate Monkey event.
- New Fighter Statues: Master Hong and Blake. Add more brilliance to your city!
- New Parade Ground Upgrades: Parade Ground VI arrives on early servers, plus a Spectrum Chip rental that grants temporary March Capacity.
- New Carrier: Siegebreaker—switch to dual-mode for long-range attacks.
- New Packs: Added multiple privilege packs with permanent boosts.
- New Moon Landing Festival Events:
- Moonlit Blessings: Festival gacha packed with rare avatar frames, city skins, and other exclusives.
- Moon Landing Gift: Hit cumulative recharge milestones for hefty gifts!  
- Moonshot Operation: Complete quests to light up the corresponding cards and get rewards including a Moon Landing Festival decoration!
- Match &amp; Fun: Match &amp; Fun returns with juiced rewards—boost power to unlock free gifts and festival-only rewards.
 -Moon Roulette: Limited-time event where you choose the reward and chase giant pay-outs.
 -Lucky Bonanza: Packed with surprises and rewards! The limited-time draw is live, and every pull can multiply your prizes!
 -Memories of Moon Landing: Collect souvenir films, upgrade your level, and pursue the March Effect “Moonlit Canvas.”
 -Interstellar Voyage: Follow a fixed star route, clear quests, explore worlds, and scoop rewards.
 -Top Convoy: escort a convoy daily to earn convoy rewards and points, and compete in the Top Convoy!
 -Wildland Expedition: Gather Treasure Picks, unearth crystals and geodes, and earn massive rewards!
- Inventory Upgrade: You can now see total counts for all resource and speedup items in your inventory.
-Equipment Test Site Upgrade: clearer gear effects and smoother controls.
- Double Talent Exchange Upgrade: Excess exchanges are blocked once you reach the double talent requirement for fighter medals.
-Astral Coliseum Upgrade: Updated the look of small mechs in Mech Rising; big mechs earn buffs while holding; mech strength scales with server progress.
- Overlord Skill Upgrade: Enhanced abilities unlock after the server day threshold.
- March Interface Upgrade: New detail mode that can see more troop information.
- Map Display Upgrade: Sharper zoom-out information plus bigger battle markers.
- Rally Carrier Upgrade: Spend extra stamina, earn proportional extra rewards.
- Idle Queue Upgrade: Now shows factory production queues in idle queues.
- Champion Brawl Upgrade: Smarter group sorting in Champion Brawl - Top Match.
- Arena of Champions Upgrade: Kill points adjusted.
- Auto-Rally Upgrade: Auto-rally now lets you target multiple NPCs.
- Gang Buildings Upgrade: Gang Embassy and Command Center can now reach Level 35, adding corresponding buffs.</v>
      </c>
      <c r="D68" s="168" t="str">
        <f>IFERROR(__xludf.DUMMYFUNCTION("""COMPUTED_VALUE"""),"- Nouveau combattant : Main Restauratrice - Clé — Ange de vie des Méchas endommagés, le mécanicien errant du champ de bataille ! Débloquez-le via l'événement LE SINGE ULTIME.
- Nouvelles statues de combattants : Maître Hong et Blake. Ajoutez plus d'éclat "&amp;"à votre ville !
- Nouvelles améliorations de la Place d'armes : Place d'armes VI arrive sur les serveurs précoces, plus une location de Puce Spectrum qui accorde une Capacité du Bataillon temporaire.
- Nouveau transporteur : Briseur de Siège — passez en m"&amp;"ode double pour des attaques à longue portée.
- Nouveaux packs : Ajout de plusieurs packs privilèges avec des boosts permanents.
- Nouveaux événements du Festival de l'Atterrissage Lunaire :
- BÉNÉDICTIONS AU CLAIR DE LUNE : Gacha du festival rempli de ca"&amp;"dres d'avatar rares, de thèmes de ville et d'autres exclusivités.
- Cadeau de l'Atterrissage Lunaire : Atteignez des paliers de recharge cumulée pour des cadeaux importants !
- Opération Moonshot : Terminez des quêtes pour illuminer les cartes corresponda"&amp;"ntes et obtenir des récompenses, y compris une décoration du Festival de l'Atterrissage Lunaire !
- MATCH &amp; FUN : Match &amp; Fun revient avec des récompenses boostées — augmentez la puissance pour débloquer des cadeaux gratuits et des récompenses exclusives "&amp;"au festival.
- Roulette Lunaire : Événement limité dans le temps où vous choisissez la récompense et poursuivez des gains énormes.
- BONANZA CHANCEUSE : Rempli de surprises et de récompenses ! Le tirage limité est en direct, et chaque tirage peut multipli"&amp;"er vos prix !
- Souvenirs de l'Atterrissage Lunaire : Collectez des films souvenirs, améliorez votre niveau et poursuivez l'EFFETS DE DEPLACEMENT « Toile au Clair de Lune ».
- Voyage interstellaire : Suivez une route d'étoile fixe, accomplissez des quêtes"&amp;", explorez des mondes et récoltez des récompenses.
- Convoi au sommet : escortez un convoi quotidiennement pour gagner des récompenses de convoi et des points, et participez au Convoi au sommet !
- EXPÉDITION DES TERRES SAUVAGES : Récupérez des Sélections"&amp;" de Trésor, déterrez des cristaux et géodes, et gagnez d'énormes récompenses !
- Amélioration de l'inventaire : Vous pouvez désormais voir le total de tous les objets de ressources et d'accélération dans votre inventaire.
- Amélioration du site de test d'"&amp;"équipement : effets d'équipement plus clairs et contrôles plus fluides.
- Amélioration de l'échange de talents double : les échanges excédentaires sont bloqués une fois que vous atteignez la condition double de talents pour les médailles de combattant.
- "&amp;"Amélioration du Colisée astral : apparence mise à jour des petits méchas dans Mech Rising ; les gros méchas gagnent des boosts en tenant ; la force des méchas évolue avec la progression du serveur.
- Amélioration de la compétence du Souverain : capacités "&amp;"améliorées débloquées après le seuil de jours du serveur.
- Amélioration de l'interface de Bataillon : nouveau mode détail permettant de voir plus d'informations sur la troupe.
- Amélioration de l'affichage de la CARTE : informations plus nettes au zoom a"&amp;"rrière plus grands marqueurs de bataille.
- Amélioration du transporteur de Rassemblement : dépensez de l'énergie supplémentaire, gagnez des récompenses proportionnelles supplémentaires.
- Amélioration de la file d'attente en attente : affiche désormais l"&amp;"es files de production d'usine dans les files d'attente en attente.
- Amélioration du Choc des champions : tri de groupe plus intelligent dans CHOC DES CHAMPIONS - MATCH AU SOMMET.
- Amélioration de l'ARÈNE DES CHAMPIONS : points d'éliminations ajustés.
-"&amp;" Amélioration du Rassemblement automatique : le rassemblement automatique vous permet désormais de cibler plusieurs PNJ.
- Amélioration des constructions de GANG : l'Ambassade du gang et le Quartier général peuvent désormais atteindre le niveau 35, ajouta"&amp;"nt les boosts correspondants.")</f>
        <v>- Nouveau combattant : Main Restauratrice - Clé — Ange de vie des Méchas endommagés, le mécanicien errant du champ de bataille ! Débloquez-le via l'événement LE SINGE ULTIME.
- Nouvelles statues de combattants : Maître Hong et Blake. Ajoutez plus d'éclat à votre ville !
- Nouvelles améliorations de la Place d'armes : Place d'armes VI arrive sur les serveurs précoces, plus une location de Puce Spectrum qui accorde une Capacité du Bataillon temporaire.
- Nouveau transporteur : Briseur de Siège — passez en mode double pour des attaques à longue portée.
- Nouveaux packs : Ajout de plusieurs packs privilèges avec des boosts permanents.
- Nouveaux événements du Festival de l'Atterrissage Lunaire :
- BÉNÉDICTIONS AU CLAIR DE LUNE : Gacha du festival rempli de cadres d'avatar rares, de thèmes de ville et d'autres exclusivités.
- Cadeau de l'Atterrissage Lunaire : Atteignez des paliers de recharge cumulée pour des cadeaux importants !
- Opération Moonshot : Terminez des quêtes pour illuminer les cartes correspondantes et obtenir des récompenses, y compris une décoration du Festival de l'Atterrissage Lunaire !
- MATCH &amp; FUN : Match &amp; Fun revient avec des récompenses boostées — augmentez la puissance pour débloquer des cadeaux gratuits et des récompenses exclusives au festival.
- Roulette Lunaire : Événement limité dans le temps où vous choisissez la récompense et poursuivez des gains énormes.
- BONANZA CHANCEUSE : Rempli de surprises et de récompenses ! Le tirage limité est en direct, et chaque tirage peut multiplier vos prix !
- Souvenirs de l'Atterrissage Lunaire : Collectez des films souvenirs, améliorez votre niveau et poursuivez l'EFFETS DE DEPLACEMENT « Toile au Clair de Lune ».
- Voyage interstellaire : Suivez une route d'étoile fixe, accomplissez des quêtes, explorez des mondes et récoltez des récompenses.
- Convoi au sommet : escortez un convoi quotidiennement pour gagner des récompenses de convoi et des points, et participez au Convoi au sommet !
- EXPÉDITION DES TERRES SAUVAGES : Récupérez des Sélections de Trésor, déterrez des cristaux et géodes, et gagnez d'énormes récompenses !
- Amélioration de l'inventaire : Vous pouvez désormais voir le total de tous les objets de ressources et d'accélération dans votre inventaire.
- Amélioration du site de test d'équipement : effets d'équipement plus clairs et contrôles plus fluides.
- Amélioration de l'échange de talents double : les échanges excédentaires sont bloqués une fois que vous atteignez la condition double de talents pour les médailles de combattant.
- Amélioration du Colisée astral : apparence mise à jour des petits méchas dans Mech Rising ; les gros méchas gagnent des boosts en tenant ; la force des méchas évolue avec la progression du serveur.
- Amélioration de la compétence du Souverain : capacités améliorées débloquées après le seuil de jours du serveur.
- Amélioration de l'interface de Bataillon : nouveau mode détail permettant de voir plus d'informations sur la troupe.
- Amélioration de l'affichage de la CARTE : informations plus nettes au zoom arrière plus grands marqueurs de bataille.
- Amélioration du transporteur de Rassemblement : dépensez de l'énergie supplémentaire, gagnez des récompenses proportionnelles supplémentaires.
- Amélioration de la file d'attente en attente : affiche désormais les files de production d'usine dans les files d'attente en attente.
- Amélioration du Choc des champions : tri de groupe plus intelligent dans CHOC DES CHAMPIONS - MATCH AU SOMMET.
- Amélioration de l'ARÈNE DES CHAMPIONS : points d'éliminations ajustés.
- Amélioration du Rassemblement automatique : le rassemblement automatique vous permet désormais de cibler plusieurs PNJ.
- Amélioration des constructions de GANG : l'Ambassade du gang et le Quartier général peuvent désormais atteindre le niveau 35, ajoutant les boosts correspondants.</v>
      </c>
      <c r="E68" s="168" t="str">
        <f>IFERROR(__xludf.DUMMYFUNCTION("""COMPUTED_VALUE"""),"- Neuer Kämpfer: Wiederherstellende Hand - Schraubenschlüssel—Lebensengel der ramponierten Mechs, der auf dem Schlachtfeld umherziehende Mechaniker! Freischalten durch das Ultimate Monkey Event.
- Neue Kämpfer-Statuen: Meister Hong und Blake. Bringen Sie "&amp;"mehr Glanz in Ihre Stadt!
- Neue Paradeplatz-Aufwertungen: Paradeplatz VI erscheint auf frühen Servern, plus ein Spectrum-Chip-Verleih, der temporäre Marsch-Kapazität gewährt.
- Neuer Träger: Belagerungsbrecher—wechseln Sie in den Dual-Modus für Fernangri"&amp;"ffe.
- Neue Pakete: Mehrere Privileg-Pakete mit permanenten Boosts hinzugefügt.
- Neue Mondlandungs-Festival-Events:
- Mondbeschienene Segen: Festival-Gacha vollgepackt mit seltenen Avatarrahmen, Stadtdesigns und anderen Exklusivitäten.
- Mondlandungs-Ges"&amp;"chenk: Erreichen Sie kumulative Auflade-Meilensteine für großzügige Geschenke!
- Mondschuss-Operation: Schließen Sie Quests ab, um die entsprechenden Karten zu beleuchten und Belohnungen zu erhalten, darunter eine Mondlandungs-Festival-Dekoration!
- Match"&amp;" &amp; Spaß: Match &amp; Spaß kehrt mit verstärkten Belohnungen zurück—steigern Sie die Stärke, um kostenlose Geschenke und nur im Festival verfügbare Belohnungen freizuschalten.
- Mond-Roulette: Zeitlich begrenztes Event, bei dem Sie die Belohnung wählen und auf"&amp;" riesige Auszahlungen jagen.
- Glücks-Bonanza: Vollgepackt mit Überraschungen und Belohnungen! Die zeitlich begrenzte Ziehung ist live, und jeder Zug kann Ihre Preise vervielfachen!
- Erinnerungen an die Mondlandung: Sammeln Sie Souvenirfilme, verbessern "&amp;"Sie Ihr Level und verfolgen Sie den Marscheffekt „Mondbeschienene Leinwand“.
- Interstellare Reise: Folgen Sie einer festen Sternroute, schließen Sie Quests ab, erkunden Sie Welten und sammeln Sie Belohnungen.
- Top-Konvoi: Eskortieren Sie täglich einen K"&amp;"onvoi, um Konvoi-Belohnungen und Punkte zu verdienen, und treten Sie im Top-Konvoi an!
- Wildland-Expedition: Sammeln Sie Schatz-Auswahlen, entdecken Sie Kristalle und Geoden und verdienen Sie massive Belohnungen!
- Inventar-Aufwertung: Sie können jetzt d"&amp;"ie Gesamtanzahl aller Ressourcen- und Beschleuniger-Gegenstände in Ihrem Inventar sehen.
- Ausrüstungs-Testgelände-Aufwertung: Klarere Ausrüstungseffekte und flüssigere Steuerung.
- Doppelte Talent-Tausch-Aufwertung: Überschüssige Tausche werden blockiert"&amp;", sobald Sie die doppelte Talent-Anforderung für Heldenorden erreichen.
- Astral-Kolosseum-Aufwertung: Aktualisiertes Aussehen kleiner Mechs in Mech Rising; große Mechs erhalten Buffs beim Halten; Mech-Stärke skaliert mit dem Serverfortschritt.
- Overlord"&amp;"-Fähigkeits-Aufwertung: Verbesserte Fähigkeiten werden nach Erreichen der Server-Tagesgrenze freigeschaltet.
- Marsch-Interface-Aufwertung: Neuer Detailmodus, der mehr Truppeninformationen anzeigt.
- Kartenanzeige-Aufwertung: Schärfere Zoom-Out-Informatio"&amp;"nen plus größere Kampfmarker.
- Sammelangriff-Träger-Aufwertung: Verbrauchen Sie zusätzliche Ausdauer, um proportional mehr Belohnungen zu erhalten.
- Leerlauf-Warteschlangen-Aufwertung: Zeigt jetzt Fabrikproduktions-Warteschlangen in Leerlauf-Warteschlan"&amp;"gen an.
- Champion-Schlägerei-Aufwertung: Intelligenteres Gruppensortieren in Champion-Schlägerei - Top-Match.
- Arena der Champions-Aufwertung: Tötungspunkte angepasst.
- Auto-Sammelangriff-Aufwertung: Auto-Sammelangriff ermöglicht jetzt das Anvisieren m"&amp;"ehrerer NSCs.
- Clan-Gebäude-Aufwertung: Clan-Botschaft und Kommandozentrum können jetzt Level 35 erreichen und entsprechende Buffs hinzufügen.")</f>
        <v>- Neuer Kämpfer: Wiederherstellende Hand - Schraubenschlüssel—Lebensengel der ramponierten Mechs, der auf dem Schlachtfeld umherziehende Mechaniker! Freischalten durch das Ultimate Monkey Event.
- Neue Kämpfer-Statuen: Meister Hong und Blake. Bringen Sie mehr Glanz in Ihre Stadt!
- Neue Paradeplatz-Aufwertungen: Paradeplatz VI erscheint auf frühen Servern, plus ein Spectrum-Chip-Verleih, der temporäre Marsch-Kapazität gewährt.
- Neuer Träger: Belagerungsbrecher—wechseln Sie in den Dual-Modus für Fernangriffe.
- Neue Pakete: Mehrere Privileg-Pakete mit permanenten Boosts hinzugefügt.
- Neue Mondlandungs-Festival-Events:
- Mondbeschienene Segen: Festival-Gacha vollgepackt mit seltenen Avatarrahmen, Stadtdesigns und anderen Exklusivitäten.
- Mondlandungs-Geschenk: Erreichen Sie kumulative Auflade-Meilensteine für großzügige Geschenke!
- Mondschuss-Operation: Schließen Sie Quests ab, um die entsprechenden Karten zu beleuchten und Belohnungen zu erhalten, darunter eine Mondlandungs-Festival-Dekoration!
- Match &amp; Spaß: Match &amp; Spaß kehrt mit verstärkten Belohnungen zurück—steigern Sie die Stärke, um kostenlose Geschenke und nur im Festival verfügbare Belohnungen freizuschalten.
- Mond-Roulette: Zeitlich begrenztes Event, bei dem Sie die Belohnung wählen und auf riesige Auszahlungen jagen.
- Glücks-Bonanza: Vollgepackt mit Überraschungen und Belohnungen! Die zeitlich begrenzte Ziehung ist live, und jeder Zug kann Ihre Preise vervielfachen!
- Erinnerungen an die Mondlandung: Sammeln Sie Souvenirfilme, verbessern Sie Ihr Level und verfolgen Sie den Marscheffekt „Mondbeschienene Leinwand“.
- Interstellare Reise: Folgen Sie einer festen Sternroute, schließen Sie Quests ab, erkunden Sie Welten und sammeln Sie Belohnungen.
- Top-Konvoi: Eskortieren Sie täglich einen Konvoi, um Konvoi-Belohnungen und Punkte zu verdienen, und treten Sie im Top-Konvoi an!
- Wildland-Expedition: Sammeln Sie Schatz-Auswahlen, entdecken Sie Kristalle und Geoden und verdienen Sie massive Belohnungen!
- Inventar-Aufwertung: Sie können jetzt die Gesamtanzahl aller Ressourcen- und Beschleuniger-Gegenstände in Ihrem Inventar sehen.
- Ausrüstungs-Testgelände-Aufwertung: Klarere Ausrüstungseffekte und flüssigere Steuerung.
- Doppelte Talent-Tausch-Aufwertung: Überschüssige Tausche werden blockiert, sobald Sie die doppelte Talent-Anforderung für Heldenorden erreichen.
- Astral-Kolosseum-Aufwertung: Aktualisiertes Aussehen kleiner Mechs in Mech Rising; große Mechs erhalten Buffs beim Halten; Mech-Stärke skaliert mit dem Serverfortschritt.
- Overlord-Fähigkeits-Aufwertung: Verbesserte Fähigkeiten werden nach Erreichen der Server-Tagesgrenze freigeschaltet.
- Marsch-Interface-Aufwertung: Neuer Detailmodus, der mehr Truppeninformationen anzeigt.
- Kartenanzeige-Aufwertung: Schärfere Zoom-Out-Informationen plus größere Kampfmarker.
- Sammelangriff-Träger-Aufwertung: Verbrauchen Sie zusätzliche Ausdauer, um proportional mehr Belohnungen zu erhalten.
- Leerlauf-Warteschlangen-Aufwertung: Zeigt jetzt Fabrikproduktions-Warteschlangen in Leerlauf-Warteschlangen an.
- Champion-Schlägerei-Aufwertung: Intelligenteres Gruppensortieren in Champion-Schlägerei - Top-Match.
- Arena der Champions-Aufwertung: Tötungspunkte angepasst.
- Auto-Sammelangriff-Aufwertung: Auto-Sammelangriff ermöglicht jetzt das Anvisieren mehrerer NSCs.
- Clan-Gebäude-Aufwertung: Clan-Botschaft und Kommandozentrum können jetzt Level 35 erreichen und entsprechende Buffs hinzufügen.</v>
      </c>
      <c r="F68" s="168" t="str">
        <f>IFERROR(__xludf.DUMMYFUNCTION("""COMPUTED_VALUE"""),"- Novo Combatente: Mão Restauradora - Chave Inglesa—Anjo da vida dos Mechas danificados, o mecânico errante do campo de batalha! Desbloqueie através do evento Macaco Supremo.
- Novas Estátuas de Combatentes: Mestre Hong e Blake. Adicione mais brilho à sua"&amp;" cidade!
- Novas Melhorias na Praça de Armas: Praça de Armas VI chega aos servidores iniciais, além de um aluguel de Chip Spectrum que concede Capacidade de Marcha temporária.
- Novo Transportador: Quebra-cerco—mude para modo duplo para ataques de longo a"&amp;"lcance.
- Novos Pacotes: Adicionados múltiplos pacotes de privilégio com bônus permanentes.
- Novos Eventos do Festival do Pouso Lunar:
- Bençãos ao Luar: Gacha do festival repleto de molduras raras de avatar, temas da cidade e outros exclusivos.
- Presen"&amp;"te do Pouso Lunar: Alcance marcos cumulativos de recarga para ganhar presentes generosos!
- Operação Moonshot: Complete missões para acender as cartas correspondentes e obter recompensas, incluindo uma decoração do Festival do Pouso Lunar!
- Partida &amp; Div"&amp;"ersão: Partida &amp; Diversão retorna com recompensas turbinadas—aumente o poder para desbloquear presentes grátis e recompensas exclusivas do festival.
- Roleta da Lua: Evento por tempo limitado onde você escolhe a recompensa e persegue grandes prêmios.
- Bo"&amp;"nança da Sorte: Repleto de surpresas e recompensas! O sorteio por tempo limitado está ativo, e cada puxada pode multiplicar seus prêmios!
- Memórias do Pouso Lunar: Colete filmes de lembrança, melhore seu nível e persiga o EFEITOS DE MARCHA “Tela ao Luar."&amp;"”
- Viagem Interestelar: Siga uma rota fixa de estrelas, complete missões, explore mundos e conquiste recompensas.
- Comboio Topo: escolte um comboio diariamente para ganhar recompensas de comboio e pontos, e compita no Comboio Topo!
- Expedição das Terra"&amp;"s Selvagens: Colete Escolhas de Tesouro, descubra cristais e geodos, e ganhe recompensas massivas!
- Melhoria do Inventário: Agora você pode ver a contagem total de todos os recursos e itens de acelerador no seu inventário.
- Melhoria do Campo de Teste de"&amp;" Equipamentos: efeitos de equipamentos mais claros e controles mais suaves.
- Melhoria da Troca de Talentos Dupla: Trocas em excesso são bloqueadas ao atingir o requisito duplo de talento para medalhas de combatente.
- Melhoria do Coliseu Astral: Aparênci"&amp;"a atualizada dos mecas pequenos em Mech Rising; mecas grandes ganham bônus enquanto seguram; força do meca escala com o progresso do servidor.
- Melhoria da Habilidade do Soberano: Habilidades aprimoradas desbloqueiam após o limite de dias do servidor.
- "&amp;"Melhoria da Interface de Marcha: Novo modo detalhado que permite ver mais informações das tropas.
- Melhoria da Exibição do Mapa: Informações de zoom-out mais nítidas e marcadores de batalha maiores.
- Melhoria do Transportador de Incursão: Gaste vigor ex"&amp;"tra, ganhe recompensas proporcionais extras.
- Melhoria da Fila Ociosa: Agora mostra filas de produção da fábrica nas filas ociosas.
- Melhoria da Briga de Campeões: Ordenação de grupos mais inteligente na Briga de Campeões - Partida do Topo.
- Melhoria d"&amp;"a Arena dos Campeões: Pontos por eliminações ajustados.
- Melhoria do Auto-Incursão: Auto-incursão agora permite mirar em múltiplos NPCs.
- Melhoria das Estruturas da Gangue: Embaixada da gangue e Quartier général agora podem alcançar Nível 35, adicionand"&amp;"o os respectivos bônus.")</f>
        <v>- Novo Combatente: Mão Restauradora - Chave Inglesa—Anjo da vida dos Mechas danificados, o mecânico errante do campo de batalha! Desbloqueie através do evento Macaco Supremo.
- Novas Estátuas de Combatentes: Mestre Hong e Blake. Adicione mais brilho à sua cidade!
- Novas Melhorias na Praça de Armas: Praça de Armas VI chega aos servidores iniciais, além de um aluguel de Chip Spectrum que concede Capacidade de Marcha temporária.
- Novo Transportador: Quebra-cerco—mude para modo duplo para ataques de longo alcance.
- Novos Pacotes: Adicionados múltiplos pacotes de privilégio com bônus permanentes.
- Novos Eventos do Festival do Pouso Lunar:
- Bençãos ao Luar: Gacha do festival repleto de molduras raras de avatar, temas da cidade e outros exclusivos.
- Presente do Pouso Lunar: Alcance marcos cumulativos de recarga para ganhar presentes generosos!
- Operação Moonshot: Complete missões para acender as cartas correspondentes e obter recompensas, incluindo uma decoração do Festival do Pouso Lunar!
- Partida &amp; Diversão: Partida &amp; Diversão retorna com recompensas turbinadas—aumente o poder para desbloquear presentes grátis e recompensas exclusivas do festival.
- Roleta da Lua: Evento por tempo limitado onde você escolhe a recompensa e persegue grandes prêmios.
- Bonança da Sorte: Repleto de surpresas e recompensas! O sorteio por tempo limitado está ativo, e cada puxada pode multiplicar seus prêmios!
- Memórias do Pouso Lunar: Colete filmes de lembrança, melhore seu nível e persiga o EFEITOS DE MARCHA “Tela ao Luar.”
- Viagem Interestelar: Siga uma rota fixa de estrelas, complete missões, explore mundos e conquiste recompensas.
- Comboio Topo: escolte um comboio diariamente para ganhar recompensas de comboio e pontos, e compita no Comboio Topo!
- Expedição das Terras Selvagens: Colete Escolhas de Tesouro, descubra cristais e geodos, e ganhe recompensas massivas!
- Melhoria do Inventário: Agora você pode ver a contagem total de todos os recursos e itens de acelerador no seu inventário.
- Melhoria do Campo de Teste de Equipamentos: efeitos de equipamentos mais claros e controles mais suaves.
- Melhoria da Troca de Talentos Dupla: Trocas em excesso são bloqueadas ao atingir o requisito duplo de talento para medalhas de combatente.
- Melhoria do Coliseu Astral: Aparência atualizada dos mecas pequenos em Mech Rising; mecas grandes ganham bônus enquanto seguram; força do meca escala com o progresso do servidor.
- Melhoria da Habilidade do Soberano: Habilidades aprimoradas desbloqueiam após o limite de dias do servidor.
- Melhoria da Interface de Marcha: Novo modo detalhado que permite ver mais informações das tropas.
- Melhoria da Exibição do Mapa: Informações de zoom-out mais nítidas e marcadores de batalha maiores.
- Melhoria do Transportador de Incursão: Gaste vigor extra, ganhe recompensas proporcionais extras.
- Melhoria da Fila Ociosa: Agora mostra filas de produção da fábrica nas filas ociosas.
- Melhoria da Briga de Campeões: Ordenação de grupos mais inteligente na Briga de Campeões - Partida do Topo.
- Melhoria da Arena dos Campeões: Pontos por eliminações ajustados.
- Melhoria do Auto-Incursão: Auto-incursão agora permite mirar em múltiplos NPCs.
- Melhoria das Estruturas da Gangue: Embaixada da gangue e Quartier général agora podem alcançar Nível 35, adicionando os respectivos bônus.</v>
      </c>
      <c r="G68" s="168" t="str">
        <f>IFERROR(__xludf.DUMMYFUNCTION("""COMPUTED_VALUE"""),"-新增鬥士：重塑之手-倫奇，已被破壞機甲的救星，穿梭於戰場的維修師！可透過「最強猴子」活動獲取。
-新增鬥士雕像：洪大師、布萊克，來為你的城市增添更多光彩吧！
-新增閱兵場升級：部分開放時間較早的伺服器新增閱兵場Ⅵ，並新增部隊容量租賃功能，可以消耗光譜晶片獲得臨時部隊容量增益；
-新增戰車：破城先鋒號，可切換雙重形態，進行遠端攻擊；
-新增禮包：增加多個永久增益特權禮包；
-新增登月節活動：
-月夜祈福：登月節限時抽獎，獎池含大量限定外顯道具，頭像框、主城外觀、主城特效等等限定道具拿不停！
-登月豪禮：限"&amp;"時累計已購買即可領取豐厚獎勵！
-登月行動：玩家完成任務可點亮當前任務牌，獲取任務獎勵，贏取登月節裝飾；
-歡樂對對碰：對對碰全新返場，獎勵升級！節日內提升實力，即可開啟免費贈禮！有機率獲取限定節日獎勵！
-登月轉盤：登月轉盤限時開啟，選取你喜愛的獎勵，有機率獲取大額驚喜；
-幸運多重禮：驚喜多多，獎勵滿滿！全新抽獎活動限時開啟，每次抽取都有機會獲得多倍獎勵！
-登月留念：收集紀念膠捲，提升活動等級，領取活動獎勵，更有機會獲得限定行軍特效-月色入畫！
-星際穿越：在群星中穿行，完成活動任務，沿著固定航線，"&amp;"探索未知星球，領取活動獎勵！
-最強運輸車隊：每日護送運輸車完成押運，獲得車隊運送獎勵，賺取幫派車隊積分，競爭最強運輸車隊排名！
-荒野探寶：收集尋寶十字鎬，挖掘水晶與晶岩，贏取大量獎勵！
-背包系統優化：新增了背包內資源道具和加速道具的統計功能；
-戰裝試煉場優化：優化了戰裝試煉場的挑戰介面，更加明顯地展示戰裝作用，更加方便地對戰裝進行操作；
-雙天賦兌換邏輯優化：鬥士獎牌滿足解鎖雙天賦所需時，不會出現溢出兌換的情況；
-決戰衛星之巔優化：調整機甲風暴中的小型機甲外觀，大型機甲佔領期間可以獲得增益，調整"&amp;"不同伺服器進度下玩家機甲的強度；
-霸主技能優化：新增強化霸主技能，伺服器達到指定天數後解鎖強化霸主技能；
-出征介面優化：出征介面新增詳細模式，可顯示更多隊伍資訊；
-大地圖顯示優化：優化了大地圖縮放狀態下的資訊顯示，增加大地圖戰役標識；
-戰車集結優化：發起集結的戰車可以消耗多倍體力，獲得多倍獎勵；
-空閒隊列優化：空閒隊列中加入了生產工廠隊列；
-競技場優化：精英競技場巔峰賽分組方式優化；
-王者之地優化：擊殺積分優化；
-自動集結優化：自動集結支援選擇多個野怪目標了；
-幫派建築優化：幫派使館和作"&amp;"戰中心等級上限擴充至35級，且增加相應buff屬性。")</f>
        <v>-新增鬥士：重塑之手-倫奇，已被破壞機甲的救星，穿梭於戰場的維修師！可透過「最強猴子」活動獲取。
-新增鬥士雕像：洪大師、布萊克，來為你的城市增添更多光彩吧！
-新增閱兵場升級：部分開放時間較早的伺服器新增閱兵場Ⅵ，並新增部隊容量租賃功能，可以消耗光譜晶片獲得臨時部隊容量增益；
-新增戰車：破城先鋒號，可切換雙重形態，進行遠端攻擊；
-新增禮包：增加多個永久增益特權禮包；
-新增登月節活動：
-月夜祈福：登月節限時抽獎，獎池含大量限定外顯道具，頭像框、主城外觀、主城特效等等限定道具拿不停！
-登月豪禮：限時累計已購買即可領取豐厚獎勵！
-登月行動：玩家完成任務可點亮當前任務牌，獲取任務獎勵，贏取登月節裝飾；
-歡樂對對碰：對對碰全新返場，獎勵升級！節日內提升實力，即可開啟免費贈禮！有機率獲取限定節日獎勵！
-登月轉盤：登月轉盤限時開啟，選取你喜愛的獎勵，有機率獲取大額驚喜；
-幸運多重禮：驚喜多多，獎勵滿滿！全新抽獎活動限時開啟，每次抽取都有機會獲得多倍獎勵！
-登月留念：收集紀念膠捲，提升活動等級，領取活動獎勵，更有機會獲得限定行軍特效-月色入畫！
-星際穿越：在群星中穿行，完成活動任務，沿著固定航線，探索未知星球，領取活動獎勵！
-最強運輸車隊：每日護送運輸車完成押運，獲得車隊運送獎勵，賺取幫派車隊積分，競爭最強運輸車隊排名！
-荒野探寶：收集尋寶十字鎬，挖掘水晶與晶岩，贏取大量獎勵！
-背包系統優化：新增了背包內資源道具和加速道具的統計功能；
-戰裝試煉場優化：優化了戰裝試煉場的挑戰介面，更加明顯地展示戰裝作用，更加方便地對戰裝進行操作；
-雙天賦兌換邏輯優化：鬥士獎牌滿足解鎖雙天賦所需時，不會出現溢出兌換的情況；
-決戰衛星之巔優化：調整機甲風暴中的小型機甲外觀，大型機甲佔領期間可以獲得增益，調整不同伺服器進度下玩家機甲的強度；
-霸主技能優化：新增強化霸主技能，伺服器達到指定天數後解鎖強化霸主技能；
-出征介面優化：出征介面新增詳細模式，可顯示更多隊伍資訊；
-大地圖顯示優化：優化了大地圖縮放狀態下的資訊顯示，增加大地圖戰役標識；
-戰車集結優化：發起集結的戰車可以消耗多倍體力，獲得多倍獎勵；
-空閒隊列優化：空閒隊列中加入了生產工廠隊列；
-競技場優化：精英競技場巔峰賽分組方式優化；
-王者之地優化：擊殺積分優化；
-自動集結優化：自動集結支援選擇多個野怪目標了；
-幫派建築優化：幫派使館和作戰中心等級上限擴充至35級，且增加相應buff屬性。</v>
      </c>
      <c r="H68" s="168" t="str">
        <f>IFERROR(__xludf.DUMMYFUNCTION("""COMPUTED_VALUE"""),"- Pejuang Baru: Tangan yang Dipulihkan - Kunci Inggris—Pemberi Kehidupan bagi Mekanik yang rusak, mekanik yang berkeliaran di medan perang! Buka melalui event Kera yang Tangguh.
- Patung Pejuang Baru: Ketua Hong dan Blake. Tambahkan lebih banyak kemegahan"&amp;" ke kotamu!
- Peningkatan Tempat Parade Baru: Tempat Parade VI hadir di server awal, plus sewa Chip Spektrum yang memberikan Kapasitas Barisan sementara.
- Pembawa Barang Baru: Pembobol Pengepungan—beralih ke mode ganda untuk serangan jarak jauh.
- Paket "&amp;"Baru: Ditambahkan beberapa paket hak istimewa dengan faktor bonus permanen.
- Event Festival Pendaratan Bulan Baru:
- Berkat di Bawah Sinar Bulan: Gacha festival penuh dengan bingkai avatar langka, tema kota, dan eksklusif lainnya.
- Hadiah Pendaratan Bul"&amp;"an: Capai milestone isi ulang kumulatif untuk hadiah besar!
- Operasi Moonshot: Selesaikan tantangan untuk menyalakan kartu terkait dan dapatkan hadiah termasuk dekorasi Festival Pendaratan Bulan!
- Pertandingan &amp; Ria: Pertandingan &amp; Ria kembali dengan ha"&amp;"diah yang diperkuat—tingkatkan kekuatan untuk membuka hadiah gratis dan hadiah khusus festival.
- Roulette Bulan: Event terbatas waktu di mana kamu memilih hadiah dan mengejar pembayaran besar.
- Karnaval Keberuntungan: Penuh kejutan dan hadiah! Undian te"&amp;"rbatas waktu sudah aktif, dan setiap putaran bisa menggandakan hadiahnya!
- Ingatan Pendaratan Bulan: Kumpulkan film kenang-kenangan, tingkatkan levelmu, dan kejar Efek Berbaris “Kanvas di Bawah Sinar Bulan.”
- Perjalanan Antarbintang: Ikuti rute bintang "&amp;"tetap, selesaikan tantangan, jelajahi dunia, dan kumpulkan hadiah.
- Konvoi Teratas: kawal konvoi setiap hari untuk mendapatkan hadiah konvoi dan poin, serta bersaing di Konvoi Teratas!
- Ekspedisi Alam Liar: Kumpulkan Pilihan Harta Karun, gali kristal da"&amp;"n geoda, dan dapatkan hadiah besar!
- Peningkatan Inventaris: Sekarang kamu dapat melihat jumlah total untuk semua sumber daya dan item percepatan di inventarimu.
- Peningkatan Situs Uji Peralatan: efek perlengkapan lebih jelas dan kontrol lebih lancar.
-"&amp;" Peningkatan Pertukaran Bakat Ganda: Pertukaran berlebih diblokir setelah mencapai persyaratan bakat ganda untuk medali pejuang.
- Peningkatan Koloseum Astral: Tampilan mecha kecil di Mech Rising diperbarui; mecha besar mendapatkan keunggulan saat bertaha"&amp;"n; kekuatan mecha menyesuaikan dengan kemajuan server.
- Peningkatan Keahlian Maharaja: Kemampuan yang ditingkatkan terbuka setelah melewati ambang hari server.
- Peningkatan Antarmuka Barisan: Mode detail baru yang dapat melihat lebih banyak informasi pa"&amp;"sukan.
- Peningkatan Tampilan Peta: Informasi zoom-out lebih tajam plus penanda pertempuran lebih besar.
- Peningkatan Pembawa Reli: Gunakan stamina ekstra, dapatkan hadiah ekstra proporsional.
- Peningkatan Antrean Menganggur: Sekarang menampilkan antrea"&amp;"n produksi pabrik dalam antrean menganggur.
- Peningkatan Perkelahian Elite: Penyortiran grup lebih cerdas di Perkelahian Elite - Pertandingan Atas.
- Peningkatan Arena Para Juara: Poin bunuh disesuaikan.
- Peningkatan Reli Otomatis: Reli otomatis kini me"&amp;"mungkinkan menargetkan beberapa NPC.
- Peningkatan Bangunan Geng: Kedutaan Geng dan Pusat Komando kini dapat mencapai Level 35, menambahkan keunggulan yang sesuai.")</f>
        <v>- Pejuang Baru: Tangan yang Dipulihkan - Kunci Inggris—Pemberi Kehidupan bagi Mekanik yang rusak, mekanik yang berkeliaran di medan perang! Buka melalui event Kera yang Tangguh.
- Patung Pejuang Baru: Ketua Hong dan Blake. Tambahkan lebih banyak kemegahan ke kotamu!
- Peningkatan Tempat Parade Baru: Tempat Parade VI hadir di server awal, plus sewa Chip Spektrum yang memberikan Kapasitas Barisan sementara.
- Pembawa Barang Baru: Pembobol Pengepungan—beralih ke mode ganda untuk serangan jarak jauh.
- Paket Baru: Ditambahkan beberapa paket hak istimewa dengan faktor bonus permanen.
- Event Festival Pendaratan Bulan Baru:
- Berkat di Bawah Sinar Bulan: Gacha festival penuh dengan bingkai avatar langka, tema kota, dan eksklusif lainnya.
- Hadiah Pendaratan Bulan: Capai milestone isi ulang kumulatif untuk hadiah besar!
- Operasi Moonshot: Selesaikan tantangan untuk menyalakan kartu terkait dan dapatkan hadiah termasuk dekorasi Festival Pendaratan Bulan!
- Pertandingan &amp; Ria: Pertandingan &amp; Ria kembali dengan hadiah yang diperkuat—tingkatkan kekuatan untuk membuka hadiah gratis dan hadiah khusus festival.
- Roulette Bulan: Event terbatas waktu di mana kamu memilih hadiah dan mengejar pembayaran besar.
- Karnaval Keberuntungan: Penuh kejutan dan hadiah! Undian terbatas waktu sudah aktif, dan setiap putaran bisa menggandakan hadiahnya!
- Ingatan Pendaratan Bulan: Kumpulkan film kenang-kenangan, tingkatkan levelmu, dan kejar Efek Berbaris “Kanvas di Bawah Sinar Bulan.”
- Perjalanan Antarbintang: Ikuti rute bintang tetap, selesaikan tantangan, jelajahi dunia, dan kumpulkan hadiah.
- Konvoi Teratas: kawal konvoi setiap hari untuk mendapatkan hadiah konvoi dan poin, serta bersaing di Konvoi Teratas!
- Ekspedisi Alam Liar: Kumpulkan Pilihan Harta Karun, gali kristal dan geoda, dan dapatkan hadiah besar!
- Peningkatan Inventaris: Sekarang kamu dapat melihat jumlah total untuk semua sumber daya dan item percepatan di inventarimu.
- Peningkatan Situs Uji Peralatan: efek perlengkapan lebih jelas dan kontrol lebih lancar.
- Peningkatan Pertukaran Bakat Ganda: Pertukaran berlebih diblokir setelah mencapai persyaratan bakat ganda untuk medali pejuang.
- Peningkatan Koloseum Astral: Tampilan mecha kecil di Mech Rising diperbarui; mecha besar mendapatkan keunggulan saat bertahan; kekuatan mecha menyesuaikan dengan kemajuan server.
- Peningkatan Keahlian Maharaja: Kemampuan yang ditingkatkan terbuka setelah melewati ambang hari server.
- Peningkatan Antarmuka Barisan: Mode detail baru yang dapat melihat lebih banyak informasi pasukan.
- Peningkatan Tampilan Peta: Informasi zoom-out lebih tajam plus penanda pertempuran lebih besar.
- Peningkatan Pembawa Reli: Gunakan stamina ekstra, dapatkan hadiah ekstra proporsional.
- Peningkatan Antrean Menganggur: Sekarang menampilkan antrean produksi pabrik dalam antrean menganggur.
- Peningkatan Perkelahian Elite: Penyortiran grup lebih cerdas di Perkelahian Elite - Pertandingan Atas.
- Peningkatan Arena Para Juara: Poin bunuh disesuaikan.
- Peningkatan Reli Otomatis: Reli otomatis kini memungkinkan menargetkan beberapa NPC.
- Peningkatan Bangunan Geng: Kedutaan Geng dan Pusat Komando kini dapat mencapai Level 35, menambahkan keunggulan yang sesuai.</v>
      </c>
      <c r="I68" s="168" t="str">
        <f>IFERROR(__xludf.DUMMYFUNCTION("""COMPUTED_VALUE"""),"- นักสู้ตัวใหม่: มือฟื้นฟู - ประแจ—นางฟ้าแห่งชีวิตของเมคที่ถูกทำลาย, ช่างกลที่ท่องไปในสนามรบ! ปลดล็อกผ่านกิจกรรมลิงขั้นเทพ
- รูปปั้นนักสู้ใหม่: มาสเตอร์ฮง และ เบลค เพิ่มความโดดเด่นให้กับเมืองของคุณ!
- อัปเกรดลานเดินทัพใหม่: ลานเดินทัพ VI มาแล้วบนเซิร์ฟเวอ"&amp;"ร์เปิดใหม่ พร้อมแผ่นชิปสเปกตรัมให้เช่าที่เพิ่มขนาดการเดินทัพชั่วคราว
- ลิงขนส่งใหม่: จอมทำลายการปิดล้อม—สลับโหมดคู่เพื่อโจมตีระยะไกล
- แพ็กใหม่: เพิ่มแพ็กสิทธิพิเศษหลายชุดพร้อมบูสต์ถาวร
- กิจกรรมเทศกาลลงจอดดวงจันทร์ใหม่:
- พรภายใต้แสงจันทร์: กาชาเทศกาลที่"&amp;"เต็มไปด้วยกรอบอวาตาร์หายาก ธีมของเมือง และไอเทมพิเศษอื่นๆ
- ของขวัญลงจอดดวงจันทร์: เติมเงินสะสมครบตามเป้ารับของขวัญมากมาย!
- ปฏิบัติการยิงจันทร์: ทำเควสต์ให้สำเร็จเพื่อจุดไฟการ์ดที่เกี่ยวข้องและรับรางวัลรวมถึงการตกแต่งเทศกาลลงจอดดวงจันทร์!
- การจับคู่ &amp; ค"&amp;"วามสนุก: การจับคู่ &amp; ความสนุกกลับมาอีกครั้งพร้อมรางวัลเพิ่มพลัง—บูสต์พลังเพื่อปลดล็อกของขวัญฟรีและรางวัลเฉพาะเทศกาล
- รูเล็ตต์ดวงจันทร์: กิจกรรมจำกัดเวลาที่คุณเลือกของรางวัลและลุ้นรับรางวัลใหญ่
- โชคดีขุมทรัพย์: เต็มไปด้วยเซอร์ไพรส์และรางวัล! การจับสลากจำ"&amp;"กัดเวลากำลังเปิดอยู่ และทุกการจับสลากสามารถเพิ่มรางวัลของคุณได้!
- ความทรงจำของการลงจอดดวงจันทร์: เก็บฟิล์มที่ระลึก อัปเกรดเลเวล และไล่ตามเอฟเฟกต์การเดินทัพ “ผืนผ้าใบใต้แสงจันทร์”
- การเดินทางระหว่างดวงดาว: ตามเส้นทางดาวคงที่ ทำเควสต์ สำรวจโลก และรับรางวั"&amp;"ล
- คอนวอยชั้นนำ: คุ้มกันคอนวอยรายวันเพื่อรับรางวัลคอนวอยและคะแนน และแข่งขันในคอนวอยชั้นนำ!
- การสำรวจแดนเถื่อน: เก็บสมบัติ ค้นพบคริสตัลและหินเกโอด์ และรับรางวัลมหาศาล!
- อัปเกรดคลังไอเทม: ตอนนี้คุณสามารถดูจำนวนรวมของทรัพยากรและไอเทมเร่งความเร็วทั้งหมดในค"&amp;"ลังไอเทมของคุณได้แล้ว
- อัปเกรดสถานที่ทดสอบอุปกรณ์: เอฟเฟกต์อุปกรณ์ชัดเจนขึ้นและควบคุมได้ลื่นไหลกว่าเดิม
- อัปเกรดการแลกเปลี่ยนความสามารถคู่: การแลกเปลี่ยนเกินจะถูกบล็อกเมื่อคุณถึงข้อกำหนดความสามารถคู่สำหรับเหรียญรางวัลนักสู้
- อัปเกรดโคลีเซียมดวงดาว: ปรั"&amp;"บปรุงรูปลักษณ์เมคขนาดเล็กใน Mech Rising; เมคขนาดใหญ่ได้รับบัฟขณะถือ; ความแข็งแกร่งของเมคปรับตามความก้าวหน้าของเซิร์ฟเวอร์
- อัปเกรดสกิลผู้มีอำนาจ: ปลดล็อกความสามารถที่เพิ่มขึ้นหลังจากถึงวันเซิร์ฟเวอร์ที่กำหนด
- อัปเกรดอินเทอร์เฟซการเดินทัพ: โหมดรายละเอียด"&amp;"ใหม่ที่สามารถดูข้อมูลกองทหารได้มากขึ้น
- อัปเกรดการแสดงแผนที่: ข้อมูลซูมออกชัดเจนขึ้นพร้อมเครื่องหมายการต่อสู้ที่ใหญ่ขึ้น
- อัปเกรดลิงขนส่งระดมพล: ใช้ความแข็งแรงเพิ่ม รับรางวัลพิเศษตามสัดส่วน
- อัปเกรดคิวว่าง: แสดงคิวการผลิตโรงงานในคิวว่างแล้ว
- อัปเกรดอา"&amp;"รีน่าอีลิท: การจัดกลุ่มอัจฉริยะขึ้นในอารีน่าอีลิท - การจับคู่สูงสุด
- อัปเกรดสนามต่อสู้ของแชมเปี้ยน: ปรับคะแนนชนะใหม่
- อัปเกรดการระดมพลอัตโนมัติ: การระดมพลอัตโนมัติสามารถเลือกเป้าหมาย NPC หลายตัวได้แล้ว
- อัปเกรดสิ่งก่อสร้างแก๊ง: สถานทูตของแก๊งและศูนย์บั"&amp;"ญชาการสามารถอัปเกรดถึงเลเวล 35 พร้อมบัฟที่เกี่ยวข้อง")</f>
        <v>- นักสู้ตัวใหม่: มือฟื้นฟู - ประแจ—นางฟ้าแห่งชีวิตของเมคที่ถูกทำลาย, ช่างกลที่ท่องไปในสนามรบ! ปลดล็อกผ่านกิจกรรมลิงขั้นเทพ
- รูปปั้นนักสู้ใหม่: มาสเตอร์ฮง และ เบลค เพิ่มความโดดเด่นให้กับเมืองของคุณ!
- อัปเกรดลานเดินทัพใหม่: ลานเดินทัพ VI มาแล้วบนเซิร์ฟเวอร์เปิดใหม่ พร้อมแผ่นชิปสเปกตรัมให้เช่าที่เพิ่มขนาดการเดินทัพชั่วคราว
- ลิงขนส่งใหม่: จอมทำลายการปิดล้อม—สลับโหมดคู่เพื่อโจมตีระยะไกล
- แพ็กใหม่: เพิ่มแพ็กสิทธิพิเศษหลายชุดพร้อมบูสต์ถาวร
- กิจกรรมเทศกาลลงจอดดวงจันทร์ใหม่:
- พรภายใต้แสงจันทร์: กาชาเทศกาลที่เต็มไปด้วยกรอบอวาตาร์หายาก ธีมของเมือง และไอเทมพิเศษอื่นๆ
- ของขวัญลงจอดดวงจันทร์: เติมเงินสะสมครบตามเป้ารับของขวัญมากมาย!
- ปฏิบัติการยิงจันทร์: ทำเควสต์ให้สำเร็จเพื่อจุดไฟการ์ดที่เกี่ยวข้องและรับรางวัลรวมถึงการตกแต่งเทศกาลลงจอดดวงจันทร์!
- การจับคู่ &amp; ความสนุก: การจับคู่ &amp; ความสนุกกลับมาอีกครั้งพร้อมรางวัลเพิ่มพลัง—บูสต์พลังเพื่อปลดล็อกของขวัญฟรีและรางวัลเฉพาะเทศกาล
- รูเล็ตต์ดวงจันทร์: กิจกรรมจำกัดเวลาที่คุณเลือกของรางวัลและลุ้นรับรางวัลใหญ่
- โชคดีขุมทรัพย์: เต็มไปด้วยเซอร์ไพรส์และรางวัล! การจับสลากจำกัดเวลากำลังเปิดอยู่ และทุกการจับสลากสามารถเพิ่มรางวัลของคุณได้!
- ความทรงจำของการลงจอดดวงจันทร์: เก็บฟิล์มที่ระลึก อัปเกรดเลเวล และไล่ตามเอฟเฟกต์การเดินทัพ “ผืนผ้าใบใต้แสงจันทร์”
- การเดินทางระหว่างดวงดาว: ตามเส้นทางดาวคงที่ ทำเควสต์ สำรวจโลก และรับรางวัล
- คอนวอยชั้นนำ: คุ้มกันคอนวอยรายวันเพื่อรับรางวัลคอนวอยและคะแนน และแข่งขันในคอนวอยชั้นนำ!
- การสำรวจแดนเถื่อน: เก็บสมบัติ ค้นพบคริสตัลและหินเกโอด์ และรับรางวัลมหาศาล!
- อัปเกรดคลังไอเทม: ตอนนี้คุณสามารถดูจำนวนรวมของทรัพยากรและไอเทมเร่งความเร็วทั้งหมดในคลังไอเทมของคุณได้แล้ว
- อัปเกรดสถานที่ทดสอบอุปกรณ์: เอฟเฟกต์อุปกรณ์ชัดเจนขึ้นและควบคุมได้ลื่นไหลกว่าเดิม
- อัปเกรดการแลกเปลี่ยนความสามารถคู่: การแลกเปลี่ยนเกินจะถูกบล็อกเมื่อคุณถึงข้อกำหนดความสามารถคู่สำหรับเหรียญรางวัลนักสู้
- อัปเกรดโคลีเซียมดวงดาว: ปรับปรุงรูปลักษณ์เมคขนาดเล็กใน Mech Rising; เมคขนาดใหญ่ได้รับบัฟขณะถือ; ความแข็งแกร่งของเมคปรับตามความก้าวหน้าของเซิร์ฟเวอร์
- อัปเกรดสกิลผู้มีอำนาจ: ปลดล็อกความสามารถที่เพิ่มขึ้นหลังจากถึงวันเซิร์ฟเวอร์ที่กำหนด
- อัปเกรดอินเทอร์เฟซการเดินทัพ: โหมดรายละเอียดใหม่ที่สามารถดูข้อมูลกองทหารได้มากขึ้น
- อัปเกรดการแสดงแผนที่: ข้อมูลซูมออกชัดเจนขึ้นพร้อมเครื่องหมายการต่อสู้ที่ใหญ่ขึ้น
- อัปเกรดลิงขนส่งระดมพล: ใช้ความแข็งแรงเพิ่ม รับรางวัลพิเศษตามสัดส่วน
- อัปเกรดคิวว่าง: แสดงคิวการผลิตโรงงานในคิวว่างแล้ว
- อัปเกรดอารีน่าอีลิท: การจัดกลุ่มอัจฉริยะขึ้นในอารีน่าอีลิท - การจับคู่สูงสุด
- อัปเกรดสนามต่อสู้ของแชมเปี้ยน: ปรับคะแนนชนะใหม่
- อัปเกรดการระดมพลอัตโนมัติ: การระดมพลอัตโนมัติสามารถเลือกเป้าหมาย NPC หลายตัวได้แล้ว
- อัปเกรดสิ่งก่อสร้างแก๊ง: สถานทูตของแก๊งและศูนย์บัญชาการสามารถอัปเกรดถึงเลเวล 35 พร้อมบัฟที่เกี่ยวข้อง</v>
      </c>
      <c r="J68" s="168" t="str">
        <f>IFERROR(__xludf.DUMMYFUNCTION("""COMPUTED_VALUE"""),"- Nuevo Luchador: Mano Restauradora - Llave inglesa—¡Salvador de Mecas maltrechos, el mecánico errante del campo de batalla! Desbloquea a través del evento Mono Supremo.
- Nuevas Estatuas de Luchadores: Maestro Hong y Blake. ¡Añade más brillo a tu ciudad!"&amp;"
- Nuevas Mejoras en la Plaza de Armas: Llega Plaza de Armas VI en servidores tempranos, además de un alquiler de Chip Espectro que otorga Capacidad de Marcha temporal.
- Nuevo Transportador: Rompemuros—cambia a modo dual para ataques de largo alcance.
- "&amp;"Nuevos Paquetes: Añadidos múltiples paquetes de privilegio con potenciadores permanentes.
- Nuevos Eventos del Festival de Aterrizaje Lunar:
- Bendiciones a la Luz de la Luna: Gacha del festival repleto de marcos de avatar raros, temáticas de la ciudad y "&amp;"otros exclusivos.
- Regalo de Aterrizaje Lunar: ¡Alcanza hitos de recarga acumulativa para obtener regalos generosos!
- Operación Moonshot: Completa misiones para iluminar las cartas correspondientes y obtener recompensas, ¡incluyendo una decoración del F"&amp;"estival de Aterrizaje Lunar!
- Partida y Diversión: Partida y Diversión regresa con recompensas potenciadas—aumenta el poder para desbloquear regalos gratis y recompensas exclusivas del festival.
- Ruleta Lunar: Evento por tiempo limitado donde eliges la "&amp;"recompensa y persigues grandes pagos.
- Bonanza de la Suerte: ¡Repleto de sorpresas y recompensas! El sorteo por tiempo limitado está activo, ¡y cada tirada puede multiplicar tus premios!
- Memorias del Aterrizaje Lunar: Colecciona películas de recuerdo, "&amp;"mejora tu nivel y persigue el Efecto de Marcha “Lienzo a la Luz de la Luna.”
- Viaje Interestelar: Sigue una ruta fija de estrellas, completa misiones, explora mundos y obtén recompensas.
- Escolta Superior: escolta un convoy diario para ganar recompensas"&amp;" y puntos de convoy, ¡y compite en el Escolta Superior!
- Expedición de Tierras Salvajes: Recolecta Selecciones de Tesoro, descubre cristales y geodas, ¡y gana recompensas masivas!
- Mejora de Inventario: Ahora puedes ver el conteo total de todos los recu"&amp;"rsos y artículos de aceleración en tu inventario.
- Mejora del Sitio de Pruebas de Equipamiento: efectos de equipo más claros y controles más fluidos.
- Mejora de Intercambio de Talentos Dobles: Los intercambios en exceso se bloquean una vez que alcanzas "&amp;"el requisito doble de talento para medallas de luchador.
- Mejora del Coliseo Astral: Actualizada la apariencia de los mecas pequeños en Mech Rising; los mecas grandes obtienen bonificaciones mientras sostienen; la fuerza del meca escala con el progreso d"&amp;"el servidor.
- Mejora de Habilidad de Jefe Supremo: Las habilidades mejoradas se desbloquean después del umbral de días del servidor.
- Mejora de la Interfaz de Marcha: Nuevo modo detallado que permite ver más información de tropas.
- Mejora de Visualizac"&amp;"ión del Mapa: Información más nítida al alejar el zoom y marcadores de batalla más grandes.
- Mejora del Transportador de Congregación: Gasta resistencia extra, gana recompensas proporcionales adicionales.
- Mejora de Cola Inactiva: Ahora muestra colas de"&amp;" producción de fábrica en las colas inactivas.
- Mejora de Pelea de Campeones: Ordenación de grupos más inteligente en Pelea de Campeones - Partida Arriba.
- Mejora de Arena de Campeones: Ajustados los puntos por eliminaciones.
- Mejora de Congregación Au"&amp;"tomática: La congregación automática ahora permite apuntar a múltiples PNJs.
- Mejora de Edificios de Banda: La Embajada de la Banda y el Centro de Comando ahora pueden alcanzar Nivel 35, añadiendo bonificaciones correspondientes.")</f>
        <v>- Nuevo Luchador: Mano Restauradora - Llave inglesa—¡Salvador de Mecas maltrechos, el mecánico errante del campo de batalla! Desbloquea a través del evento Mono Supremo.
- Nuevas Estatuas de Luchadores: Maestro Hong y Blake. ¡Añade más brillo a tu ciudad!
- Nuevas Mejoras en la Plaza de Armas: Llega Plaza de Armas VI en servidores tempranos, además de un alquiler de Chip Espectro que otorga Capacidad de Marcha temporal.
- Nuevo Transportador: Rompemuros—cambia a modo dual para ataques de largo alcance.
- Nuevos Paquetes: Añadidos múltiples paquetes de privilegio con potenciadores permanentes.
- Nuevos Eventos del Festival de Aterrizaje Lunar:
- Bendiciones a la Luz de la Luna: Gacha del festival repleto de marcos de avatar raros, temáticas de la ciudad y otros exclusivos.
- Regalo de Aterrizaje Lunar: ¡Alcanza hitos de recarga acumulativa para obtener regalos generosos!
- Operación Moonshot: Completa misiones para iluminar las cartas correspondientes y obtener recompensas, ¡incluyendo una decoración del Festival de Aterrizaje Lunar!
- Partida y Diversión: Partida y Diversión regresa con recompensas potenciadas—aumenta el poder para desbloquear regalos gratis y recompensas exclusivas del festival.
- Ruleta Lunar: Evento por tiempo limitado donde eliges la recompensa y persigues grandes pagos.
- Bonanza de la Suerte: ¡Repleto de sorpresas y recompensas! El sorteo por tiempo limitado está activo, ¡y cada tirada puede multiplicar tus premios!
- Memorias del Aterrizaje Lunar: Colecciona películas de recuerdo, mejora tu nivel y persigue el Efecto de Marcha “Lienzo a la Luz de la Luna.”
- Viaje Interestelar: Sigue una ruta fija de estrellas, completa misiones, explora mundos y obtén recompensas.
- Escolta Superior: escolta un convoy diario para ganar recompensas y puntos de convoy, ¡y compite en el Escolta Superior!
- Expedición de Tierras Salvajes: Recolecta Selecciones de Tesoro, descubre cristales y geodas, ¡y gana recompensas masivas!
- Mejora de Inventario: Ahora puedes ver el conteo total de todos los recursos y artículos de aceleración en tu inventario.
- Mejora del Sitio de Pruebas de Equipamiento: efectos de equipo más claros y controles más fluidos.
- Mejora de Intercambio de Talentos Dobles: Los intercambios en exceso se bloquean una vez que alcanzas el requisito doble de talento para medallas de luchador.
- Mejora del Coliseo Astral: Actualizada la apariencia de los mecas pequeños en Mech Rising; los mecas grandes obtienen bonificaciones mientras sostienen; la fuerza del meca escala con el progreso del servidor.
- Mejora de Habilidad de Jefe Supremo: Las habilidades mejoradas se desbloquean después del umbral de días del servidor.
- Mejora de la Interfaz de Marcha: Nuevo modo detallado que permite ver más información de tropas.
- Mejora de Visualización del Mapa: Información más nítida al alejar el zoom y marcadores de batalla más grandes.
- Mejora del Transportador de Congregación: Gasta resistencia extra, gana recompensas proporcionales adicionales.
- Mejora de Cola Inactiva: Ahora muestra colas de producción de fábrica en las colas inactivas.
- Mejora de Pelea de Campeones: Ordenación de grupos más inteligente en Pelea de Campeones - Partida Arriba.
- Mejora de Arena de Campeones: Ajustados los puntos por eliminaciones.
- Mejora de Congregación Automática: La congregación automática ahora permite apuntar a múltiples PNJs.
- Mejora de Edificios de Banda: La Embajada de la Banda y el Centro de Comando ahora pueden alcanzar Nivel 35, añadiendo bonificaciones correspondientes.</v>
      </c>
      <c r="K68" s="168" t="str">
        <f>IFERROR(__xludf.DUMMYFUNCTION("""COMPUTED_VALUE"""),"- Новый герой: Восстанавливающая рука - Гаечный ключ — Ангел жизни потрепанных Мехов, механик, бродящий по полю боя! Открывается через событие ВЕЛИКАЯ ОБЕЗЬЯНА.
- Новые статуи героев: Мастер Хонг и Блейк. Добавьте больше блеска вашему городу!
- Новые улуч"&amp;"шения Парадного плаца: Парадный плац VI доступен на ранних серверах, а также аренда Чипа Спектра, дающего временную Вместимость марша.
- Новый носитель: Разрушитель осады — переключайтесь в двухрежимный режим для дальних атак.
- Новые наборы: Добавлены не"&amp;"сколько привилегированных наборов с постоянными усилениями.
- Новые события Фестиваля Лунной посадки:
- Лунные благословения: фестивальный гача с редкими рамками аватаров, темами города и другими эксклюзивами.
- Подарок Лунной посадки: достигайте кумуляти"&amp;"вных рубежей пополнения для щедрых подарков!
- Операция Лунный выстрел: выполняйте задания, чтобы зажечь соответствующие карты и получить награды, включая украшение Фестиваля Лунной посадки!
- Матч и Веселье: возвращается с усиленными наградами — повышайт"&amp;"е силу, чтобы открыть бесплатные подарки и эксклюзивные фестивальные награды.
- Лунная рулетка: ограниченное по времени событие, где вы выбираете награду и гонитесь за крупными выплатами.
- Счастливая удача: наполнено сюрпризами и наградами! Ограниченный "&amp;"по времени розыгрыш активен, и каждый ход может умножить ваши призы!
- Воспоминания о Лунной посадке: собирайте сувенирные фильмы, повышайте уровень и стремитесь к эффекту марша «Лунный холст».
- Межзвездное путешествие: следуйте по фиксированному звездно"&amp;"му маршруту, выполняйте задания, исследуйте миры и получайте награды.
- Топ караван: ежедневно сопровождайте караван, чтобы заработать награды и очки каравана, и соревнуйтесь в Топ караване!
- Экспедиция в дикие земли: собирайте Выборы сокровищ, добывайте"&amp;" кристаллы и жеоды, и получайте огромные награды!
- Улучшение инвентаря: теперь вы можете видеть общее количество всех ресурсов и ускорителей в вашем инвентаре.
- Улучшение испытательного полигона экипировки: более четкие эффекты снаряжения и плавное упра"&amp;"вление.
- Улучшение обмена талантами в двойном размере: избыточные обмены блокируются при достижении двойного требования по таланту для медалей героя.
- Улучшение Астрального Колизея: обновлен внешний вид малых мехов в Mech Rising; большие мехи получают у"&amp;"силения при удержании; сила меха масштабируется с прогрессом сервера.
- Улучшение навыков Владыки: улучшенные способности открываются после достижения порога дней сервера.
- Улучшение интерфейса марша: новый детальный режим, позволяющий видеть больше инфо"&amp;"рмации о войсках.
- Улучшение отображения карты: более четкое уменьшение масштаба и увеличенные маркеры битв.
- Улучшение носителя похода: тратьте дополнительную выносливость, получайте пропорционально больше наград.
- Улучшение очереди бездействия: тепер"&amp;"ь показывает очереди производства на фабрике в очередях бездействия.
- Улучшение Потасовки чемпионов: более умная сортировка групп в ЧЕМПИОН ПОТАСОВКА - ТОП МАТЧ.
- Улучшение Арены чемпионов: скорректированы очки убийств.
- Улучшение авто-похода: авто-пох"&amp;"од теперь позволяет выбирать несколько целей NPC.
- Улучшение построек банды: Посольство банды и Командный центр теперь могут достигать уровня 35, добавляя соответствующие усиления.")</f>
        <v>- Новый герой: Восстанавливающая рука - Гаечный ключ — Ангел жизни потрепанных Мехов, механик, бродящий по полю боя! Открывается через событие ВЕЛИКАЯ ОБЕЗЬЯНА.
- Новые статуи героев: Мастер Хонг и Блейк. Добавьте больше блеска вашему городу!
- Новые улучшения Парадного плаца: Парадный плац VI доступен на ранних серверах, а также аренда Чипа Спектра, дающего временную Вместимость марша.
- Новый носитель: Разрушитель осады — переключайтесь в двухрежимный режим для дальних атак.
- Новые наборы: Добавлены несколько привилегированных наборов с постоянными усилениями.
- Новые события Фестиваля Лунной посадки:
- Лунные благословения: фестивальный гача с редкими рамками аватаров, темами города и другими эксклюзивами.
- Подарок Лунной посадки: достигайте кумулятивных рубежей пополнения для щедрых подарков!
- Операция Лунный выстрел: выполняйте задания, чтобы зажечь соответствующие карты и получить награды, включая украшение Фестиваля Лунной посадки!
- Матч и Веселье: возвращается с усиленными наградами — повышайте силу, чтобы открыть бесплатные подарки и эксклюзивные фестивальные награды.
- Лунная рулетка: ограниченное по времени событие, где вы выбираете награду и гонитесь за крупными выплатами.
- Счастливая удача: наполнено сюрпризами и наградами! Ограниченный по времени розыгрыш активен, и каждый ход может умножить ваши призы!
- Воспоминания о Лунной посадке: собирайте сувенирные фильмы, повышайте уровень и стремитесь к эффекту марша «Лунный холст».
- Межзвездное путешествие: следуйте по фиксированному звездному маршруту, выполняйте задания, исследуйте миры и получайте награды.
- Топ караван: ежедневно сопровождайте караван, чтобы заработать награды и очки каравана, и соревнуйтесь в Топ караване!
- Экспедиция в дикие земли: собирайте Выборы сокровищ, добывайте кристаллы и жеоды, и получайте огромные награды!
- Улучшение инвентаря: теперь вы можете видеть общее количество всех ресурсов и ускорителей в вашем инвентаре.
- Улучшение испытательного полигона экипировки: более четкие эффекты снаряжения и плавное управление.
- Улучшение обмена талантами в двойном размере: избыточные обмены блокируются при достижении двойного требования по таланту для медалей героя.
- Улучшение Астрального Колизея: обновлен внешний вид малых мехов в Mech Rising; большие мехи получают усиления при удержании; сила меха масштабируется с прогрессом сервера.
- Улучшение навыков Владыки: улучшенные способности открываются после достижения порога дней сервера.
- Улучшение интерфейса марша: новый детальный режим, позволяющий видеть больше информации о войсках.
- Улучшение отображения карты: более четкое уменьшение масштаба и увеличенные маркеры битв.
- Улучшение носителя похода: тратьте дополнительную выносливость, получайте пропорционально больше наград.
- Улучшение очереди бездействия: теперь показывает очереди производства на фабрике в очередях бездействия.
- Улучшение Потасовки чемпионов: более умная сортировка групп в ЧЕМПИОН ПОТАСОВКА - ТОП МАТЧ.
- Улучшение Арены чемпионов: скорректированы очки убийств.
- Улучшение авто-похода: авто-поход теперь позволяет выбирать несколько целей NPC.
- Улучшение построек банды: Посольство банды и Командный центр теперь могут достигать уровня 35, добавляя соответствующие усиления.</v>
      </c>
      <c r="L68" s="168" t="str">
        <f>IFERROR(__xludf.DUMMYFUNCTION("""COMPUTED_VALUE"""),"- Yeni Savaşçı: Yenileyici El - Anahtar—Yıpranmış Mekaların kurtarıcısı, savaş meydanında dolaşan mekanikçi! En Üstün Maymun etkinliğiyle kilidini açın.
- Yeni Savaşçı Heykelleri: Usta Hong ve Blake. Şehrinize daha fazla parlaklık katın!
- Yeni Geçit Töre"&amp;"ni Yeri Yükseltmeleri: Geçit Töreni Yeri VI erken sunucularda geliyor, ayrıca geçici Sefer Kapasitesi sağlayan Spektrum Çipi kiralama.
- Yeni Taşıyıcı: Kuşatma Kırıcı—uzun menzilli saldırılar için çift mod arasında geçiş yapın.
- Yeni Paketler: Kalıcı güç"&amp;"lendirmeler içeren birden fazla ayrıcalık paketi eklendi.
- Yeni Ay İnişi Festivali Etkinlikleri:
- Ay Işığında Bereketler: Nadir avatar çerçeveleri, şehir temaları ve diğer özel içeriklerle dolu festival gacha.
- Ay İnişi Hediyesi: Toplam şarj kilometre "&amp;"taşlarına ulaşarak büyük hediyeler kazanın!
- Ay Atışı Operasyonu: İlgili kartları aydınlatmak ve Ay İnişi Festivali dekorasyonu dahil ödüller almak için maceraları tamamlayın!
- Eşleştir ve Eğlen: Eşleştir ve Eğlen, güçlendirilmiş ödüllerle geri dönüyor—"&amp;"gücü artırarak ücretsiz hediyeler ve sadece festivale özel ödüllerin kilidini açın.
- Ay Ruleti: Ödülü seçip devasa kazançların peşinden koşacağınız sınırlı süreli etkinlik.
- Şanslı Zenginlik: Sürprizler ve ödüllerle dolu! Sınırlı süreli çekiliş aktif, h"&amp;"er çekiliş ödüllerinizi katlayabilir!
- Ay İnişi Anıları: Hatıra filmlerini toplayın, seviyenizi yükseltin ve Sefer Etkisi “Ay Işığı Tuvali”ni takip edin.
- Yıldızlararası Yolculuk: Sabit bir yıldız rotasını takip edin, maceraları temizleyin, dünyaları ke"&amp;"şfedin ve ödüller kazanın.
- En İyi Konvoy: Günlük olarak bir konvoya eşlik edin, konvoy ödülleri ve puanlar kazanın, En İyi Konvoy’da yarışın!
- Çorak Arazi Gezisi: Hazine Seçimleri toplayın, kristalleri ve jeodları çıkarın, büyük ödüller kazanın!
- Enva"&amp;"nter Yükseltmesi: Artık envanterinizdeki tüm kaynak ve hızlandırıcı eşyaların toplam sayısını görebilirsiniz.
- Ekipman Test Alanı Yükseltmesi: Daha net ekipman efektleri ve daha akıcı kontroller.
- Çift Yetenek Takası Yükseltmesi: Savaşçı madalyaları içi"&amp;"n çift yetenek gereksinimine ulaştığınızda fazla takaslar engellenir.
- Yıldız Kolezyumu Yükseltmesi: Meka Yükselişi’nde küçük mekaların görünümü güncellendi; büyük mekalar tutarken güçlendirmeler kazanır; meka gücü sunucu ilerlemesiyle ölçeklenir.
- Büyü"&amp;"k Lord Becerisi Yükseltmesi: Sunucu günü eşiği geçildikten sonra geliştirilmiş yetenekler açılır.
- Sefer Arayüzü Yükseltmesi: Daha fazla birlik bilgisi görebilen yeni detay modu.
- Harita Görüntüleme Yükseltmesi: Daha keskin uzaklaştırma bilgisi ve daha "&amp;"büyük savaş işaretçileri.
- Toplu Saldırı Taşıyıcı Yükseltmesi: Fazladan dayanıklılık harcayın, orantılı ekstra ödüller kazanın.
- Boşta Sıra Yükseltmesi: Artık boşta sıralarda fabrika üretim sıralarını gösterir.
- Şampiyonlar Kavgası Yükseltmesi: Şampiyo"&amp;"nlar Kavgası - Üst Eşleştirme’de daha akıllı grup sıralaması.
- Şampiyonlar Arenası Yükseltmesi: Öldürme puanları ayarlandı.
- Otomatik Toplu Saldırı Yükseltmesi: Otomatik toplu saldırı artık birden fazla NPC hedeflemenize izin verir.
- Çete Binaları Yüks"&amp;"eltmesi: Çete Elçiliği ve Komuta Merkezi artık Seviye 35’e ulaşabilir, ilgili güçlendirmeler eklenir.")</f>
        <v>- Yeni Savaşçı: Yenileyici El - Anahtar—Yıpranmış Mekaların kurtarıcısı, savaş meydanında dolaşan mekanikçi! En Üstün Maymun etkinliğiyle kilidini açın.
- Yeni Savaşçı Heykelleri: Usta Hong ve Blake. Şehrinize daha fazla parlaklık katın!
- Yeni Geçit Töreni Yeri Yükseltmeleri: Geçit Töreni Yeri VI erken sunucularda geliyor, ayrıca geçici Sefer Kapasitesi sağlayan Spektrum Çipi kiralama.
- Yeni Taşıyıcı: Kuşatma Kırıcı—uzun menzilli saldırılar için çift mod arasında geçiş yapın.
- Yeni Paketler: Kalıcı güçlendirmeler içeren birden fazla ayrıcalık paketi eklendi.
- Yeni Ay İnişi Festivali Etkinlikleri:
- Ay Işığında Bereketler: Nadir avatar çerçeveleri, şehir temaları ve diğer özel içeriklerle dolu festival gacha.
- Ay İnişi Hediyesi: Toplam şarj kilometre taşlarına ulaşarak büyük hediyeler kazanın!
- Ay Atışı Operasyonu: İlgili kartları aydınlatmak ve Ay İnişi Festivali dekorasyonu dahil ödüller almak için maceraları tamamlayın!
- Eşleştir ve Eğlen: Eşleştir ve Eğlen, güçlendirilmiş ödüllerle geri dönüyor—gücü artırarak ücretsiz hediyeler ve sadece festivale özel ödüllerin kilidini açın.
- Ay Ruleti: Ödülü seçip devasa kazançların peşinden koşacağınız sınırlı süreli etkinlik.
- Şanslı Zenginlik: Sürprizler ve ödüllerle dolu! Sınırlı süreli çekiliş aktif, her çekiliş ödüllerinizi katlayabilir!
- Ay İnişi Anıları: Hatıra filmlerini toplayın, seviyenizi yükseltin ve Sefer Etkisi “Ay Işığı Tuvali”ni takip edin.
- Yıldızlararası Yolculuk: Sabit bir yıldız rotasını takip edin, maceraları temizleyin, dünyaları keşfedin ve ödüller kazanın.
- En İyi Konvoy: Günlük olarak bir konvoya eşlik edin, konvoy ödülleri ve puanlar kazanın, En İyi Konvoy’da yarışın!
- Çorak Arazi Gezisi: Hazine Seçimleri toplayın, kristalleri ve jeodları çıkarın, büyük ödüller kazanın!
- Envanter Yükseltmesi: Artık envanterinizdeki tüm kaynak ve hızlandırıcı eşyaların toplam sayısını görebilirsiniz.
- Ekipman Test Alanı Yükseltmesi: Daha net ekipman efektleri ve daha akıcı kontroller.
- Çift Yetenek Takası Yükseltmesi: Savaşçı madalyaları için çift yetenek gereksinimine ulaştığınızda fazla takaslar engellenir.
- Yıldız Kolezyumu Yükseltmesi: Meka Yükselişi’nde küçük mekaların görünümü güncellendi; büyük mekalar tutarken güçlendirmeler kazanır; meka gücü sunucu ilerlemesiyle ölçeklenir.
- Büyük Lord Becerisi Yükseltmesi: Sunucu günü eşiği geçildikten sonra geliştirilmiş yetenekler açılır.
- Sefer Arayüzü Yükseltmesi: Daha fazla birlik bilgisi görebilen yeni detay modu.
- Harita Görüntüleme Yükseltmesi: Daha keskin uzaklaştırma bilgisi ve daha büyük savaş işaretçileri.
- Toplu Saldırı Taşıyıcı Yükseltmesi: Fazladan dayanıklılık harcayın, orantılı ekstra ödüller kazanın.
- Boşta Sıra Yükseltmesi: Artık boşta sıralarda fabrika üretim sıralarını gösterir.
- Şampiyonlar Kavgası Yükseltmesi: Şampiyonlar Kavgası - Üst Eşleştirme’de daha akıllı grup sıralaması.
- Şampiyonlar Arenası Yükseltmesi: Öldürme puanları ayarlandı.
- Otomatik Toplu Saldırı Yükseltmesi: Otomatik toplu saldırı artık birden fazla NPC hedeflemenize izin verir.
- Çete Binaları Yükseltmesi: Çete Elçiliği ve Komuta Merkezi artık Seviye 35’e ulaşabilir, ilgili güçlendirmeler eklenir.</v>
      </c>
      <c r="M68" s="168" t="str">
        <f>IFERROR(__xludf.DUMMYFUNCTION("""COMPUTED_VALUE"""),"- Chiến Binh Mới: Bàn Tay Khôi Phục - Cờ Lê—Thiên Thần Sinh Mạng của những Cơ Khí bị tổn thương, thợ máy lang thang trên chiến trường! Mở khóa qua sự kiện CHÚA KHỈ TỐI CAO.
- Tượng Chiến Binh Mới: Chủ Tướng Hong và Blake. Thêm rực rỡ cho thành phố của bạn"&amp;"!
- Nâng Cấp Sân Diễu Hành Mới: Sân Diễu Hành VI xuất hiện trên các máy chủ sớm, cùng với thuê Chip Spectrum cho phép tăng tạm thời Sức Chứa Hành Quân.
- Người Vận Chuyển Mới: Kẻ Phá Vây—chuyển sang chế độ kép để tấn công tầm xa.
- Gói Mới: Thêm nhiều gói"&amp;" đặc quyền với hiệu ứng tăng cường vĩnh viễn.
- Sự Kiện Lễ Hội Đổ Bộ Mặt Trăng Mới:
- PHÚC LÀNH DƯỚI ÁNH TRĂNG: Gacha lễ hội chứa khung avatar hiếm, chủ đề thành phố và các vật phẩm độc quyền khác.
- Quà Đổ Bộ Mặt Trăng: Đạt mốc nạp tích lũy để nhận quà l"&amp;"ớn!
- Chiến Dịch Bắn Mặt Trăng: Hoàn thành nhiệm vụ để thắp sáng các thẻ tương ứng và nhận phần thưởng bao gồm trang trí Lễ Hội Đổ Bộ Mặt Trăng!
- TÌM ĐỐI THỦ &amp; NIỀM VUI: Tìm Đối Thủ &amp; Niềm Vui trở lại với phần thưởng tăng cường—tăng sức mạnh để mở khóa q"&amp;"uà miễn phí và phần thưởng chỉ có trong lễ hội.
- CÒ QUAY MẶT TRĂNG: Sự kiện giới hạn thời gian, bạn chọn phần thưởng và săn phần thưởng lớn.
- LỄ HỘI MAY MẮN: Đầy ắp bất ngờ và phần thưởng! Vòng quay giới hạn đang diễn ra, mỗi lần quay có thể nhân phần t"&amp;"hưởng của bạn!
- Ký Ức Đổ Bộ Mặt Trăng: Thu thập phim lưu niệm, nâng cấp cấp độ và theo đuổi Hiệu Ứng Hành Quân “Bức Tranh Ánh Trăng.”
- Hành Trình Liên Sao: Theo tuyến sao cố định, hoàn thành nhiệm vụ, khám phá các thế giới và nhận phần thưởng.
- Xe Chuy"&amp;"ên Chở Hàng Đầu: hộ tống xe chuyên chở hàng ngày để nhận phần thưởng xe chuyên chở và điểm, đồng thời thi đấu trong Top Xe Chuyên Chở!
- VIỄN CHINH HOANG DÃ: Thu thập Lựa Chọn Kho Báu, khai quật tinh thể và đá quý, nhận phần thưởng khổng lồ!
- Nâng Cấp Kh"&amp;"o Chứa: Giờ bạn có thể xem tổng số lượng tất cả tài nguyên và vật phẩm tăng tốc trong kho chứa.
- Nâng Cấp Khu Thử Nghiệm Trang Bị: hiệu ứng trang bị rõ ràng hơn và điều khiển mượt mà hơn.
- Nâng Cấp Đổi Tài Năng Đôi: Giao dịch vượt mức bị khóa khi bạn đạ"&amp;"t yêu cầu tài năng đôi cho huy hiệu chiến binh.
- Nâng Cấp Đại Đấu Trường Thiên Thể: Cập nhật hình ảnh cơ khí nhỏ trong Mech Rising; cơ khí lớn nhận hiệu ứng khi giữ; sức mạnh cơ khí tăng theo tiến trình máy chủ.
- Nâng Cấp Kỹ Năng Lãnh Chúa: Khả năng nân"&amp;"g cao mở khóa sau ngưỡng ngày máy chủ.
- Nâng Cấp Giao Diện Hành Quân: Chế độ chi tiết mới cho phép xem thêm thông tin binh lính.
- Nâng Cấp Hiển Thị Bản Đồ: Thông tin thu phóng rõ nét hơn cùng các dấu hiệu chiến trường lớn hơn.
- Nâng Cấp Người Vận Chuyể"&amp;"n Tập Hợp: Tiêu hao thêm thể lực, nhận phần thưởng thêm tương ứng.
- Nâng Cấp Hàng Đợi Đang Rảnh: Hiển thị hàng đợi sản xuất nhà máy trong hàng đợi đang rảnh.
- Nâng Cấp Đấu Trường Tinh Anh: Sắp xếp nhóm thông minh hơn trong Đấu Trường Tinh Anh - Tìm Đối "&amp;"Thủ Đứng Đầu.
- Nâng Cấp Đấu Trường Vô Địch: Điều chỉnh điểm tiêu diệt.
- Nâng Cấp Tập Hợp Tự Động: Tập hợp tự động giờ cho phép bạn nhắm mục tiêu nhiều NPC.
- Nâng Cấp Công Trình Bang Hội: Đại Sứ Quán Bang Hội và Trung Tâm Chỉ Huy giờ có thể đạt cấp 35, "&amp;"thêm hiệu ứng tương ứng.")</f>
        <v>- Chiến Binh Mới: Bàn Tay Khôi Phục - Cờ Lê—Thiên Thần Sinh Mạng của những Cơ Khí bị tổn thương, thợ máy lang thang trên chiến trường! Mở khóa qua sự kiện CHÚA KHỈ TỐI CAO.
- Tượng Chiến Binh Mới: Chủ Tướng Hong và Blake. Thêm rực rỡ cho thành phố của bạn!
- Nâng Cấp Sân Diễu Hành Mới: Sân Diễu Hành VI xuất hiện trên các máy chủ sớm, cùng với thuê Chip Spectrum cho phép tăng tạm thời Sức Chứa Hành Quân.
- Người Vận Chuyển Mới: Kẻ Phá Vây—chuyển sang chế độ kép để tấn công tầm xa.
- Gói Mới: Thêm nhiều gói đặc quyền với hiệu ứng tăng cường vĩnh viễn.
- Sự Kiện Lễ Hội Đổ Bộ Mặt Trăng Mới:
- PHÚC LÀNH DƯỚI ÁNH TRĂNG: Gacha lễ hội chứa khung avatar hiếm, chủ đề thành phố và các vật phẩm độc quyền khác.
- Quà Đổ Bộ Mặt Trăng: Đạt mốc nạp tích lũy để nhận quà lớn!
- Chiến Dịch Bắn Mặt Trăng: Hoàn thành nhiệm vụ để thắp sáng các thẻ tương ứng và nhận phần thưởng bao gồm trang trí Lễ Hội Đổ Bộ Mặt Trăng!
- TÌM ĐỐI THỦ &amp; NIỀM VUI: Tìm Đối Thủ &amp; Niềm Vui trở lại với phần thưởng tăng cường—tăng sức mạnh để mở khóa quà miễn phí và phần thưởng chỉ có trong lễ hội.
- CÒ QUAY MẶT TRĂNG: Sự kiện giới hạn thời gian, bạn chọn phần thưởng và săn phần thưởng lớn.
- LỄ HỘI MAY MẮN: Đầy ắp bất ngờ và phần thưởng! Vòng quay giới hạn đang diễn ra, mỗi lần quay có thể nhân phần thưởng của bạn!
- Ký Ức Đổ Bộ Mặt Trăng: Thu thập phim lưu niệm, nâng cấp cấp độ và theo đuổi Hiệu Ứng Hành Quân “Bức Tranh Ánh Trăng.”
- Hành Trình Liên Sao: Theo tuyến sao cố định, hoàn thành nhiệm vụ, khám phá các thế giới và nhận phần thưởng.
- Xe Chuyên Chở Hàng Đầu: hộ tống xe chuyên chở hàng ngày để nhận phần thưởng xe chuyên chở và điểm, đồng thời thi đấu trong Top Xe Chuyên Chở!
- VIỄN CHINH HOANG DÃ: Thu thập Lựa Chọn Kho Báu, khai quật tinh thể và đá quý, nhận phần thưởng khổng lồ!
- Nâng Cấp Kho Chứa: Giờ bạn có thể xem tổng số lượng tất cả tài nguyên và vật phẩm tăng tốc trong kho chứa.
- Nâng Cấp Khu Thử Nghiệm Trang Bị: hiệu ứng trang bị rõ ràng hơn và điều khiển mượt mà hơn.
- Nâng Cấp Đổi Tài Năng Đôi: Giao dịch vượt mức bị khóa khi bạn đạt yêu cầu tài năng đôi cho huy hiệu chiến binh.
- Nâng Cấp Đại Đấu Trường Thiên Thể: Cập nhật hình ảnh cơ khí nhỏ trong Mech Rising; cơ khí lớn nhận hiệu ứng khi giữ; sức mạnh cơ khí tăng theo tiến trình máy chủ.
- Nâng Cấp Kỹ Năng Lãnh Chúa: Khả năng nâng cao mở khóa sau ngưỡng ngày máy chủ.
- Nâng Cấp Giao Diện Hành Quân: Chế độ chi tiết mới cho phép xem thêm thông tin binh lính.
- Nâng Cấp Hiển Thị Bản Đồ: Thông tin thu phóng rõ nét hơn cùng các dấu hiệu chiến trường lớn hơn.
- Nâng Cấp Người Vận Chuyển Tập Hợp: Tiêu hao thêm thể lực, nhận phần thưởng thêm tương ứng.
- Nâng Cấp Hàng Đợi Đang Rảnh: Hiển thị hàng đợi sản xuất nhà máy trong hàng đợi đang rảnh.
- Nâng Cấp Đấu Trường Tinh Anh: Sắp xếp nhóm thông minh hơn trong Đấu Trường Tinh Anh - Tìm Đối Thủ Đứng Đầu.
- Nâng Cấp Đấu Trường Vô Địch: Điều chỉnh điểm tiêu diệt.
- Nâng Cấp Tập Hợp Tự Động: Tập hợp tự động giờ cho phép bạn nhắm mục tiêu nhiều NPC.
- Nâng Cấp Công Trình Bang Hội: Đại Sứ Quán Bang Hội và Trung Tâm Chỉ Huy giờ có thể đạt cấp 35, thêm hiệu ứng tương ứng.</v>
      </c>
      <c r="N68" s="169" t="str">
        <f>IFERROR(__xludf.DUMMYFUNCTION("""COMPUTED_VALUE"""),"- Nuovo Combattente: Mano Ripristinata - Chiave inglese—Salvatore dei Mech malconci, il meccanico errante del campo di battaglia! Sblocca tramite l'evento SCIMMIA SUPREMA.
- Nuove Statue del Combattente: Maestro Hong e Blake. Aggiungi più splendore alla t"&amp;"ua città!
- Nuovi Potenziamenti della Capacità di Marcia: Capacità di Marcia VI arriva sui server anticipati, più un noleggio Chip Spectrum che concede temporaneamente Capacità di Marcia.
- Nuovo Trasportatore: Spezzassedio—passa alla modalità doppia per "&amp;"attacchi a lungo raggio.
- Nuovi Pacchetti: Aggiunti più pacchetti privilegio con potenziamenti permanenti.
- Nuovi Eventi del Festival dello Sbarco Lunare:
- Benedizioni al Chiaro di Luna: Festival gacha ricco di cornici avatar rare, aspetti della città "&amp;"e altri esclusivi.
- Regalo dello Sbarco Lunare: Raggiungi traguardi cumulativi di ricarica per regali sostanziosi!
- Operazione Moonshot: Completa missioni per illuminare le carte corrispondenti e ottenere ricompense tra cui una decorazione del Festival "&amp;"dello Sbarco Lunare!
- Abbinamento e Divertimento: Abbinamento e Divertimento torna con ricompense potenziate—aumenta la potenza per sbloccare regali gratis e ricompense esclusive del festival.
- Roulette Lunare: Evento a tempo limitato dove scegli la ric"&amp;"ompensa e insegui pagamenti giganteschi.
- Cuccagna Fortunata: Ricco di sorprese e ricompense! L'estrazione a tempo limitato è attiva, e ogni estrazione può moltiplicare i tuoi premi!
- Memorie dello Sbarco Lunare: Raccogli film souvenir, potenzia il tuo "&amp;"livello e persegui l'Effetto di Marcia “Tela al Chiaro di Luna.”
- Viaggio Interstellare: Segui una rotta stellare fissa, completa missioni, esplora mondi e raccogli ricompense.
- Convoglio Top: scorta un convoglio quotidianamente per guadagnare ricompens"&amp;"e e punti convoglio, e competi nel Convoglio Top!
- Spedizione delle Terre Selvagge: Raccogli Scelte del Tesoro, scopri cristalli e geodi, e guadagna ricompense enormi!
- Potenziamento Inventario: Ora puoi vedere il conteggio totale di tutte le risorse e "&amp;"degli oggetti di accelerazione nel tuo inventario.
- Potenziamento del Sito di Test dell'Equipaggiamento: effetti dell'equipaggiamento più chiari e controlli più fluidi.
- Potenziamento dello Scambio Doppio Talento: gli scambi in eccesso sono bloccati una"&amp;" volta raggiunto il requisito doppio talento per le Medaglie dei Combattenti.
- Potenziamento del Colosseo Astrale: aggiornato l'aspetto dei piccoli mech in Mech Rising; i mech grandi ottengono benefici mentre tengono; la forza dei mech scala con il progr"&amp;"esso del server.
- Potenziamento Abilità Signore supremo: abilità migliorate si sbloccano dopo la soglia del giorno del server.
- Potenziamento Interfaccia di Marcia: nuova modalità dettaglio che mostra più informazioni sulle truppe.
- Potenziamento Visua"&amp;"lizzazione Mappa: informazioni più nitide nello zoom-out più marcatori di battaglia più grandi.
- Potenziamento Trasportatore Adunata: spendi resistenza extra, guadagna ricompense extra proporzionali.
- Potenziamento Coda Inattiva: ora mostra le code di p"&amp;"roduzione della fabbrica nelle code inattive.
- Potenziamento Rissa dei Campioni: ordinamento gruppi più intelligente in Rissa dei Campioni - Abbinamento Alto.
- Potenziamento Arena dei Campioni: punti uccisioni regolati.
- Potenziamento Auto-Adunata: l'a"&amp;"uto-adunata ora ti permette di mirare a più NPC.
- Potenziamento Edifici della Gang: Ambasciata della Gang e Centro di comando possono ora raggiungere il Livello 35, aggiungendo benefici corrispondenti.")</f>
        <v>- Nuovo Combattente: Mano Ripristinata - Chiave inglese—Salvatore dei Mech malconci, il meccanico errante del campo di battaglia! Sblocca tramite l'evento SCIMMIA SUPREMA.
- Nuove Statue del Combattente: Maestro Hong e Blake. Aggiungi più splendore alla tua città!
- Nuovi Potenziamenti della Capacità di Marcia: Capacità di Marcia VI arriva sui server anticipati, più un noleggio Chip Spectrum che concede temporaneamente Capacità di Marcia.
- Nuovo Trasportatore: Spezzassedio—passa alla modalità doppia per attacchi a lungo raggio.
- Nuovi Pacchetti: Aggiunti più pacchetti privilegio con potenziamenti permanenti.
- Nuovi Eventi del Festival dello Sbarco Lunare:
- Benedizioni al Chiaro di Luna: Festival gacha ricco di cornici avatar rare, aspetti della città e altri esclusivi.
- Regalo dello Sbarco Lunare: Raggiungi traguardi cumulativi di ricarica per regali sostanziosi!
- Operazione Moonshot: Completa missioni per illuminare le carte corrispondenti e ottenere ricompense tra cui una decorazione del Festival dello Sbarco Lunare!
- Abbinamento e Divertimento: Abbinamento e Divertimento torna con ricompense potenziate—aumenta la potenza per sbloccare regali gratis e ricompense esclusive del festival.
- Roulette Lunare: Evento a tempo limitato dove scegli la ricompensa e insegui pagamenti giganteschi.
- Cuccagna Fortunata: Ricco di sorprese e ricompense! L'estrazione a tempo limitato è attiva, e ogni estrazione può moltiplicare i tuoi premi!
- Memorie dello Sbarco Lunare: Raccogli film souvenir, potenzia il tuo livello e persegui l'Effetto di Marcia “Tela al Chiaro di Luna.”
- Viaggio Interstellare: Segui una rotta stellare fissa, completa missioni, esplora mondi e raccogli ricompense.
- Convoglio Top: scorta un convoglio quotidianamente per guadagnare ricompense e punti convoglio, e competi nel Convoglio Top!
- Spedizione delle Terre Selvagge: Raccogli Scelte del Tesoro, scopri cristalli e geodi, e guadagna ricompense enormi!
- Potenziamento Inventario: Ora puoi vedere il conteggio totale di tutte le risorse e degli oggetti di accelerazione nel tuo inventario.
- Potenziamento del Sito di Test dell'Equipaggiamento: effetti dell'equipaggiamento più chiari e controlli più fluidi.
- Potenziamento dello Scambio Doppio Talento: gli scambi in eccesso sono bloccati una volta raggiunto il requisito doppio talento per le Medaglie dei Combattenti.
- Potenziamento del Colosseo Astrale: aggiornato l'aspetto dei piccoli mech in Mech Rising; i mech grandi ottengono benefici mentre tengono; la forza dei mech scala con il progresso del server.
- Potenziamento Abilità Signore supremo: abilità migliorate si sbloccano dopo la soglia del giorno del server.
- Potenziamento Interfaccia di Marcia: nuova modalità dettaglio che mostra più informazioni sulle truppe.
- Potenziamento Visualizzazione Mappa: informazioni più nitide nello zoom-out più marcatori di battaglia più grandi.
- Potenziamento Trasportatore Adunata: spendi resistenza extra, guadagna ricompense extra proporzionali.
- Potenziamento Coda Inattiva: ora mostra le code di produzione della fabbrica nelle code inattive.
- Potenziamento Rissa dei Campioni: ordinamento gruppi più intelligente in Rissa dei Campioni - Abbinamento Alto.
- Potenziamento Arena dei Campioni: punti uccisioni regolati.
- Potenziamento Auto-Adunata: l'auto-adunata ora ti permette di mirare a più NPC.
- Potenziamento Edifici della Gang: Ambasciata della Gang e Centro di comando possono ora raggiungere il Livello 35, aggiungendo benefici corrispondenti.</v>
      </c>
      <c r="O68" s="168" t="str">
        <f>IFERROR(__xludf.DUMMYFUNCTION("""COMPUTED_VALUE"""),"- Nowy Wojownik: Przywracająca Ręka - Klucz — Zbawca zniszczonych Mechów, mechanik przemierzający pole bitwy! Odblokuj podczas wydarzenia UBERMAŁPA.
- Nowe Pomniki Wojowników: Mistrz Hong i Blake. Dodaj blasku swojemu miastu!
- Nowe Ulepszenia Pojemności:"&amp;" Pojemność VI dostępna na wczesnych serwerach, plus wynajem Układu Spektrum, który tymczasowo zwiększa Liczbę maszerujących.
- Nowy Przenośnik: Łamacz Oblężenia — przełącz na tryb podwójny dla ataków na daleki zasięg.
- Nowe Pakiety: Dodano wiele pakietów"&amp;" przywilejów z trwałymi wzmocnieniami.
- Nowe Wydarzenia Festiwalu Lądowania na Księżycu:
- Błogosławieństwa w Świetle Księżyca: Festiwalowa gacha pełna rzadkich ramek awatarów, skórek miasta i innych ekskluzywności.
- Prezent z Lądowania na Księżycu: Osi"&amp;"ągaj kumulacyjne progi doładowań, aby zdobyć hojne nagrody!
- Operacja Moonshot: Wykonuj zadania, aby zapalić odpowiednie karty i zdobyć nagrody, w tym dekorację Festiwalu Lądowania na Księżycu!
- Dobierz i Zabawa: Powraca z wzmocnionymi nagrodami — zwięk"&amp;"sz moc, aby odblokować darmowe prezenty i nagrody dostępne tylko podczas festiwalu.
- Ruletka Księżycowa: Wydarzenie limitowane, w którym wybierasz nagrodę i gonisz za ogromnymi wypłatami.
- Szczęśliwa Bonanza: Pełna niespodzianek i nagród! Limitowany los"&amp;"owanie jest aktywne, a każdy los może pomnożyć twoje nagrody!
- Wspomnienia z Lądowania na Księżycu: Zbieraj pamiątkowe filmy, ulepszaj swój poziom i dąż do Efektu Marszu „Księżycowe Płótno”.
- Międzygwiezdna Podróż: Podążaj ustaloną trasą gwiazd, wykonuj"&amp;" zadania, eksploruj światy i zdobywaj nagrody.
- Najlepszy Konwój: Eskortuj konwój codziennie, aby zdobywać nagrody za konwój i punkty oraz rywalizuj w Najlepszym Konwoju!
- Ekspedycja Dzikich Krain: Zbieraj Wybory Skarbów, odkrywaj kryształy i geody oraz"&amp;" zdobywaj ogromne nagrody!
- Ulepszenie Menu: Teraz możesz zobaczyć łączne ilości wszystkich zasobów i przedmiotów przyspieszających w swoim menu.
- Ulepszenie Testowego Miejsca Sprzętu: czytelniejsze efekty ekwipunku i płynniejsza kontrola.
- Ulepszenie "&amp;"Podwójnej Wymiany Talentów: Nadmiar wymian jest blokowany po osiągnięciu wymogu podwójnego talentu dla medali wojownika.
- Ulepszenie Gwiezdnego Koloseum: Zaktualizowano wygląd małych mechów w Mech Rising; duże mechy zyskują wzmocnienia podczas trzymania;"&amp;" siła mechów skaluje się z postępem serwera.
- Ulepszenie Umiejętności Władcy: Odblokowanie ulepszonych zdolności po przekroczeniu progu dni serwera.
- Ulepszenie Interfejsu Marszu: Nowy tryb szczegółowy, który pokazuje więcej informacji o oddziałach.
- U"&amp;"lepszenie Wyświetlania Mapy: Ostrzejsze informacje przy oddalaniu oraz większe znaczniki bitew.
- Ulepszenie Przenośnika Rajdu: Wydaj dodatkową wytrzymałość, zdobądź proporcjonalnie więcej nagród.
- Ulepszenie Kolejki Bezczynności: Teraz pokazuje kolejki "&amp;"produkcji fabryki w kolejkach bezczynności.
- Ulepszenie Bijatyki Mistrzów: Inteligentniejsze sortowanie grup w Bijatyce Mistrzów - Najlepszy Dobór.
- Ulepszenie Areny Mistrzów: Dostosowano punkty za zabójstwa.
- Ulepszenie Auto-Rajdu: Auto-rajdy teraz po"&amp;"zwalają celować w wielu NPC-ów.
- Ulepszenie Budynków Gangu: Ambasada Gangu i Dowództwo mogą teraz osiągnąć Poziom 35, dodając odpowiednie wzmocnienia.")</f>
        <v>- Nowy Wojownik: Przywracająca Ręka - Klucz — Zbawca zniszczonych Mechów, mechanik przemierzający pole bitwy! Odblokuj podczas wydarzenia UBERMAŁPA.
- Nowe Pomniki Wojowników: Mistrz Hong i Blake. Dodaj blasku swojemu miastu!
- Nowe Ulepszenia Pojemności: Pojemność VI dostępna na wczesnych serwerach, plus wynajem Układu Spektrum, który tymczasowo zwiększa Liczbę maszerujących.
- Nowy Przenośnik: Łamacz Oblężenia — przełącz na tryb podwójny dla ataków na daleki zasięg.
- Nowe Pakiety: Dodano wiele pakietów przywilejów z trwałymi wzmocnieniami.
- Nowe Wydarzenia Festiwalu Lądowania na Księżycu:
- Błogosławieństwa w Świetle Księżyca: Festiwalowa gacha pełna rzadkich ramek awatarów, skórek miasta i innych ekskluzywności.
- Prezent z Lądowania na Księżycu: Osiągaj kumulacyjne progi doładowań, aby zdobyć hojne nagrody!
- Operacja Moonshot: Wykonuj zadania, aby zapalić odpowiednie karty i zdobyć nagrody, w tym dekorację Festiwalu Lądowania na Księżycu!
- Dobierz i Zabawa: Powraca z wzmocnionymi nagrodami — zwiększ moc, aby odblokować darmowe prezenty i nagrody dostępne tylko podczas festiwalu.
- Ruletka Księżycowa: Wydarzenie limitowane, w którym wybierasz nagrodę i gonisz za ogromnymi wypłatami.
- Szczęśliwa Bonanza: Pełna niespodzianek i nagród! Limitowany losowanie jest aktywne, a każdy los może pomnożyć twoje nagrody!
- Wspomnienia z Lądowania na Księżycu: Zbieraj pamiątkowe filmy, ulepszaj swój poziom i dąż do Efektu Marszu „Księżycowe Płótno”.
- Międzygwiezdna Podróż: Podążaj ustaloną trasą gwiazd, wykonuj zadania, eksploruj światy i zdobywaj nagrody.
- Najlepszy Konwój: Eskortuj konwój codziennie, aby zdobywać nagrody za konwój i punkty oraz rywalizuj w Najlepszym Konwoju!
- Ekspedycja Dzikich Krain: Zbieraj Wybory Skarbów, odkrywaj kryształy i geody oraz zdobywaj ogromne nagrody!
- Ulepszenie Menu: Teraz możesz zobaczyć łączne ilości wszystkich zasobów i przedmiotów przyspieszających w swoim menu.
- Ulepszenie Testowego Miejsca Sprzętu: czytelniejsze efekty ekwipunku i płynniejsza kontrola.
- Ulepszenie Podwójnej Wymiany Talentów: Nadmiar wymian jest blokowany po osiągnięciu wymogu podwójnego talentu dla medali wojownika.
- Ulepszenie Gwiezdnego Koloseum: Zaktualizowano wygląd małych mechów w Mech Rising; duże mechy zyskują wzmocnienia podczas trzymania; siła mechów skaluje się z postępem serwera.
- Ulepszenie Umiejętności Władcy: Odblokowanie ulepszonych zdolności po przekroczeniu progu dni serwera.
- Ulepszenie Interfejsu Marszu: Nowy tryb szczegółowy, który pokazuje więcej informacji o oddziałach.
- Ulepszenie Wyświetlania Mapy: Ostrzejsze informacje przy oddalaniu oraz większe znaczniki bitew.
- Ulepszenie Przenośnika Rajdu: Wydaj dodatkową wytrzymałość, zdobądź proporcjonalnie więcej nagród.
- Ulepszenie Kolejki Bezczynności: Teraz pokazuje kolejki produkcji fabryki w kolejkach bezczynności.
- Ulepszenie Bijatyki Mistrzów: Inteligentniejsze sortowanie grup w Bijatyce Mistrzów - Najlepszy Dobór.
- Ulepszenie Areny Mistrzów: Dostosowano punkty za zabójstwa.
- Ulepszenie Auto-Rajdu: Auto-rajdy teraz pozwalają celować w wielu NPC-ów.
- Ulepszenie Budynków Gangu: Ambasada Gangu i Dowództwo mogą teraz osiągnąć Poziom 35, dodając odpowiednie wzmocnienia.</v>
      </c>
      <c r="P68" s="168" t="str">
        <f>IFERROR(__xludf.DUMMYFUNCTION("""COMPUTED_VALUE"""),"- مقاتل جديد: استعادة اليد - مفتاح الربط—المنقذ للميكاترونيات المتضررة، الميكانيكي المتجول في ساحة المعركة! افتح من خلال حدث القرد الخارق.
- تماثيل مقاتلين جدد: سيد هونغ وبليك. أضف المزيد من التألق إلى مدينتك!
- ترقيات جديدة لساحة العرض: ساحة العرض VI تصل"&amp;" إلى السيرفرات المبكرة، بالإضافة إلى استئجار رقاقة الطيف التي تمنح سعة مسيرة مؤقتة.
- ناقلة جديدة: محطم الحصار—تحول إلى الوضع المزدوج للهجمات بعيدة المدى.
- باقات جديدة: أضيفت عدة باقات امتياز مع تعزيزات دائمة.
- فعاليات مهرجان هبوط القمر الجديدة:
- بركات"&amp;" ضوء القمر: جاشا المهرجان مليئة بإطارات شخصية نادرة، وزينات المدينة، وحصريات أخرى.
- هدية هبوط القمر: حقق معالم إعادة الشحن التراكمية للحصول على هدايا ضخمة!
- عملية القمر: أكمل المهام لإضاءة البطاقات المقابلة والحصول على جوائز تشمل زينة مهرجان هبوط القمر!"&amp;"
- مطابقة ومرح: عودة مطابقة ومرح مع جوائز معززة—عزز القوة لفتح هدايا مجانية وجوائز حصرية للمهرجان.
- روليت القمر: حدث محدود الوقت حيث تختار الجائزة وتطارد الجوائز الضخمة.
- كرنفال الحظ: مليء بالمفاجآت والجوائز! السحب المحدود متاح، وكل سحب يمكن أن يضاعف جو"&amp;"ائزك!
- ذكريات هبوط القمر: اجمع أفلام التذكارات، طور مستواك، واطمح لتأثير المسيرة ""لوحة ضوء القمر"".
- رحلة بين النجوم: اتبع مسار نجم ثابت، أنجز المهام، استكشف العوالم، واحصل على الجوائز.
- قافلة القمة: رافق قافلة يوميًا لكسب مكافآت القافلة والنقاط، وتنا"&amp;"فس في قافلة القمة!
- رحلة الأراضي البرية: اجمع اختيارات الكنز، واكتشف البلورات والجيود، واحصل على مكافآت ضخمة!
- ترقية المخزن: يمكنك الآن رؤية العدد الإجمالي لجميع الموارد وعناصر التسريع في مخزونك.
- ترقية موقع اختبار المعدات: تأثيرات المعدات أوضح وتحكم أ"&amp;"كثر سلاسة.
- ترقية تبادل المواهب المزدوج: يتم حظر التبادلات الزائدة عند الوصول إلى متطلبات المواهب المزدوجة لميداليات المقاتلين.
- ترقية مدرج النجوم: تحديث مظهر الميكا الصغيرة في ميكا رايزينغ؛ الميكا الكبيرة تحصل على تعزيزات أثناء الحجز؛ قوة الميكا تتناسب"&amp;" مع تقدم السيرفر.
- ترقية مهارة الحاكم: فتح القدرات المحسنة بعد تجاوز عتبة يوم السيرفر.
- ترقية واجهة المسيرة: وضع تفصيلي جديد يمكنه عرض مزيد من معلومات القوات.
- ترقية عرض الخريطة: معلومات أوضح عند التصغير وعلامات معركة أكبر.
- ترقية ناقلة الحشد: أنفق قو"&amp;"ة تحمل إضافية، واحصل على مكافآت إضافية متناسبة.
- ترقية قائمة الانتظار الخاملة: تعرض الآن قوائم إنتاج المصنع ضمن قوائم الانتظار الخاملة.
- ترقية حلبة الأبطال: فرز مجموعات أذكى في حلبة الأبطال - مطابقة الأعلى.
- ترقية حلبة الأبطال: تعديل نقاط القتل.
- ترقي"&amp;"ة الحشد التلقائي: الحشد التلقائي يتيح الآن استهداف عدة شخصيات غير قابلة للعب.
- ترقية مباني العصابة: يمكن الآن لسفارة العصابة ومركز القيادة الوصول إلى المستوى 35، مع إضافة التعزيزات المقابلة.")</f>
        <v>- مقاتل جديد: استعادة اليد - مفتاح الربط—المنقذ للميكاترونيات المتضررة، الميكانيكي المتجول في ساحة المعركة! افتح من خلال حدث القرد الخارق.
- تماثيل مقاتلين جدد: سيد هونغ وبليك. أضف المزيد من التألق إلى مدينتك!
- ترقيات جديدة لساحة العرض: ساحة العرض VI تصل إلى السيرفرات المبكرة، بالإضافة إلى استئجار رقاقة الطيف التي تمنح سعة مسيرة مؤقتة.
- ناقلة جديدة: محطم الحصار—تحول إلى الوضع المزدوج للهجمات بعيدة المدى.
- باقات جديدة: أضيفت عدة باقات امتياز مع تعزيزات دائمة.
- فعاليات مهرجان هبوط القمر الجديدة:
- بركات ضوء القمر: جاشا المهرجان مليئة بإطارات شخصية نادرة، وزينات المدينة، وحصريات أخرى.
- هدية هبوط القمر: حقق معالم إعادة الشحن التراكمية للحصول على هدايا ضخمة!
- عملية القمر: أكمل المهام لإضاءة البطاقات المقابلة والحصول على جوائز تشمل زينة مهرجان هبوط القمر!
- مطابقة ومرح: عودة مطابقة ومرح مع جوائز معززة—عزز القوة لفتح هدايا مجانية وجوائز حصرية للمهرجان.
- روليت القمر: حدث محدود الوقت حيث تختار الجائزة وتطارد الجوائز الضخمة.
- كرنفال الحظ: مليء بالمفاجآت والجوائز! السحب المحدود متاح، وكل سحب يمكن أن يضاعف جوائزك!
- ذكريات هبوط القمر: اجمع أفلام التذكارات، طور مستواك، واطمح لتأثير المسيرة "لوحة ضوء القمر".
- رحلة بين النجوم: اتبع مسار نجم ثابت، أنجز المهام، استكشف العوالم، واحصل على الجوائز.
- قافلة القمة: رافق قافلة يوميًا لكسب مكافآت القافلة والنقاط، وتنافس في قافلة القمة!
- رحلة الأراضي البرية: اجمع اختيارات الكنز، واكتشف البلورات والجيود، واحصل على مكافآت ضخمة!
- ترقية المخزن: يمكنك الآن رؤية العدد الإجمالي لجميع الموارد وعناصر التسريع في مخزونك.
- ترقية موقع اختبار المعدات: تأثيرات المعدات أوضح وتحكم أكثر سلاسة.
- ترقية تبادل المواهب المزدوج: يتم حظر التبادلات الزائدة عند الوصول إلى متطلبات المواهب المزدوجة لميداليات المقاتلين.
- ترقية مدرج النجوم: تحديث مظهر الميكا الصغيرة في ميكا رايزينغ؛ الميكا الكبيرة تحصل على تعزيزات أثناء الحجز؛ قوة الميكا تتناسب مع تقدم السيرفر.
- ترقية مهارة الحاكم: فتح القدرات المحسنة بعد تجاوز عتبة يوم السيرفر.
- ترقية واجهة المسيرة: وضع تفصيلي جديد يمكنه عرض مزيد من معلومات القوات.
- ترقية عرض الخريطة: معلومات أوضح عند التصغير وعلامات معركة أكبر.
- ترقية ناقلة الحشد: أنفق قوة تحمل إضافية، واحصل على مكافآت إضافية متناسبة.
- ترقية قائمة الانتظار الخاملة: تعرض الآن قوائم إنتاج المصنع ضمن قوائم الانتظار الخاملة.
- ترقية حلبة الأبطال: فرز مجموعات أذكى في حلبة الأبطال - مطابقة الأعلى.
- ترقية حلبة الأبطال: تعديل نقاط القتل.
- ترقية الحشد التلقائي: الحشد التلقائي يتيح الآن استهداف عدة شخصيات غير قابلة للعب.
- ترقية مباني العصابة: يمكن الآن لسفارة العصابة ومركز القيادة الوصول إلى المستوى 35، مع إضافة التعزيزات المقابلة.</v>
      </c>
      <c r="Q68" s="168" t="str">
        <f>IFERROR(__xludf.DUMMYFUNCTION("""COMPUTED_VALUE"""),"- 新しいファイター：回復の手 - レンチ—傷ついたメカの救世主、戦場を駆け巡るメカニック！究極のエイプイベントでアンロック。
- 新しいファイターの像：マスター・ホンとブレイク。あなたの都市にさらなる輝きを！
- 新しい閲兵場アップグレード：閲兵場VIが早期サーバーに登場、さらに一時的に行軍容量を付与するスペクトラムチップのレンタルも。
- 新しいキャリア：攻城ブレイカー—長距離攻撃のためにデュアルモードに切り替え可能。
- 新しいパック：永久バフ付きの複数の特権パックを追加。
- 新しいムーンランディ"&amp;"ングフェスティバルイベント：
- 月光の祝福：レアなアバターフレーム、シティスキン、その他限定アイテムが詰まったフェスティバルガチャ。
- ムーンランディングギフト：累積チャージのマイルストーン達成で豪華ギフトを獲得！
- ムーンショット作戦：クエストをクリアして対応するカードを点灯させ、ムーンランディングフェスティバルの装飾品などの報酬をゲット！
- マッチ＆ファン：マッチ＆ファンが報酬強化で復活—パワーを上げて無料ギフトやフェス限定報酬をアンロック。
- ムーンルーレット：報酬を選んで巨大な配当を狙う"&amp;"期間限定イベント。
- ラッキーボナンザ：サプライズと報酬が満載！期間限定抽選が開催中で、毎回の抽選で賞品が倍増する可能性あり！
- ムーンランディングの思い出：記念フィルムを集めてレベルアップし、行軍エフェクト「月光のキャンバス」を追求。
- 星間航海：固定された星のルートを辿り、クエストをクリアし、世界を探索して報酬を獲得。
- トップ輸送車：毎日輸送車を護衛して輸送車の報酬とポイントを獲得し、トップ輸送車で競争！
- 荒野の遠征：宝探し冒険記ピックを集め、クリスタルやジオードを発掘して大量の報酬を獲"&amp;"得！
- インベントリアップグレード：インベントリ内の全資源と加速アイテムの合計数が表示可能に。
- 装備性能試験場アップグレード：軍備効果がより明確に、操作もスムーズに。
- ダブルアビリティ交換アップグレード：ファイターメダルのダブルアビリティ要件に達すると、余分な交換はブロックされる。
- アストラルコロシアムアップグレード：メカライジングの小型メックの見た目を更新；大型メックは保持中にバフを獲得；メカの強さはサーバー進行に応じてスケール。
- 覇者のスキルアップグレード：サーバーの日数閾値を超える"&amp;"と強化された能力がアンロック。
- 行軍インターフェースアップグレード：より多くの部隊情報が見られる新しい詳細モード。
- マップ表示アップグレード：ズームアウト時の情報が鮮明に、戦闘マーカーも大きく表示。
- レイドキャリアアップグレード：追加のスタミナを消費して比例した追加報酬を獲得。
- アイドルキューアップグレード：アイドルキューに工場の生産キューも表示。
- エリート闘技場アップグレード：チャンピオン乱闘 - トップマッチでグループの並び替えが賢く。
- チャンピオンのアリーナアップグレード：討"&amp;"伐数が調整。
- オートレイドアップグレード：オートレイドで複数のNPCをターゲット可能に。
- ギルド建築アップグレード：ギルドの連絡所とコマンドセンターがレベル35まで到達可能になり、対応するバフを追加。")</f>
        <v>- 新しいファイター：回復の手 - レンチ—傷ついたメカの救世主、戦場を駆け巡るメカニック！究極のエイプイベントでアンロック。
- 新しいファイターの像：マスター・ホンとブレイク。あなたの都市にさらなる輝きを！
- 新しい閲兵場アップグレード：閲兵場VIが早期サーバーに登場、さらに一時的に行軍容量を付与するスペクトラムチップのレンタルも。
- 新しいキャリア：攻城ブレイカー—長距離攻撃のためにデュアルモードに切り替え可能。
- 新しいパック：永久バフ付きの複数の特権パックを追加。
- 新しいムーンランディングフェスティバルイベント：
- 月光の祝福：レアなアバターフレーム、シティスキン、その他限定アイテムが詰まったフェスティバルガチャ。
- ムーンランディングギフト：累積チャージのマイルストーン達成で豪華ギフトを獲得！
- ムーンショット作戦：クエストをクリアして対応するカードを点灯させ、ムーンランディングフェスティバルの装飾品などの報酬をゲット！
- マッチ＆ファン：マッチ＆ファンが報酬強化で復活—パワーを上げて無料ギフトやフェス限定報酬をアンロック。
- ムーンルーレット：報酬を選んで巨大な配当を狙う期間限定イベント。
- ラッキーボナンザ：サプライズと報酬が満載！期間限定抽選が開催中で、毎回の抽選で賞品が倍増する可能性あり！
- ムーンランディングの思い出：記念フィルムを集めてレベルアップし、行軍エフェクト「月光のキャンバス」を追求。
- 星間航海：固定された星のルートを辿り、クエストをクリアし、世界を探索して報酬を獲得。
- トップ輸送車：毎日輸送車を護衛して輸送車の報酬とポイントを獲得し、トップ輸送車で競争！
- 荒野の遠征：宝探し冒険記ピックを集め、クリスタルやジオードを発掘して大量の報酬を獲得！
- インベントリアップグレード：インベントリ内の全資源と加速アイテムの合計数が表示可能に。
- 装備性能試験場アップグレード：軍備効果がより明確に、操作もスムーズに。
- ダブルアビリティ交換アップグレード：ファイターメダルのダブルアビリティ要件に達すると、余分な交換はブロックされる。
- アストラルコロシアムアップグレード：メカライジングの小型メックの見た目を更新；大型メックは保持中にバフを獲得；メカの強さはサーバー進行に応じてスケール。
- 覇者のスキルアップグレード：サーバーの日数閾値を超えると強化された能力がアンロック。
- 行軍インターフェースアップグレード：より多くの部隊情報が見られる新しい詳細モード。
- マップ表示アップグレード：ズームアウト時の情報が鮮明に、戦闘マーカーも大きく表示。
- レイドキャリアアップグレード：追加のスタミナを消費して比例した追加報酬を獲得。
- アイドルキューアップグレード：アイドルキューに工場の生産キューも表示。
- エリート闘技場アップグレード：チャンピオン乱闘 - トップマッチでグループの並び替えが賢く。
- チャンピオンのアリーナアップグレード：討伐数が調整。
- オートレイドアップグレード：オートレイドで複数のNPCをターゲット可能に。
- ギルド建築アップグレード：ギルドの連絡所とコマンドセンターがレベル35まで到達可能になり、対応するバフを追加。</v>
      </c>
      <c r="R68" s="168" t="str">
        <f>IFERROR(__xludf.DUMMYFUNCTION("""COMPUTED_VALUE"""),"- 새로운 전사: 복원하는 손 - 렌치—고장난 메카들의 구원자, 전장을 떠도는 메카닉! 최강 원숭이 이벤트를 통해 잠금 해제하세요.
- 새로운 전사 석상: 마스터 홍과 블레이크. 당신의 도시에 더 많은 빛을 더하세요!
- 새로운 연병장 업그레이드: 초기 서버에 연병장 VI가 도착하며, 임시 행군 수용력을 부여하는 스펙트럼 칩 대여도 추가됩니다.
- 새로운 운반선: 공성 파괴자—장거리 공격을 위한 듀얼 모드로 전환하세요.
- 새로운 패키지: 영구 버프가 "&amp;"포함된 여러 특권 패키지가 추가되었습니다.
- 새로운 달 착륙 축제 이벤트:
- 달빛 축복: 희귀 아바타 프레임, 도시 스킨 및 기타 독점 아이템이 가득한 축제 가챠.
- 달 착륙 선물: 누적 충전 달성 시 푸짐한 선물을 받으세요!
- 달샷 작전: 퀘스트를 완료하여 해당 카드를 밝히고 달 착륙 축제 장식을 포함한 보상을 받으세요!
- 매치 &amp; 재미: 강화된 보상과 함께 매치 &amp; 재미가 돌아왔습니다—전투력을 올려 무료 선물과 축제 전용 보상을 잠금 해제하"&amp;"세요.
- 달 룰렛: 보상을 선택하고 거대한 당첨금을 노리는 한정 이벤트입니다.
- 행운의 페스티벌: 서프라이즈와 보상으로 가득 찬 한정 뽑기 이벤트가 진행 중이며, 매 뽑기마다 상금이 배가될 수 있습니다!
- 달 착륙의 기억: 기념 필름을 수집하고 레벨을 올리며 행군 이펙트 “달빛 캔버스”를 추구하세요.
- 성간 항해: 고정된 별 경로를 따라 퀘스트를 완료하고 세계를 탐험하며 보상을 획득하세요.
- 탑 수송차: 매일 수송차를 호위하여 수송차 보상과 포"&amp;"인트를 얻고 탑 수송차 경쟁에 참여하세요!
- 황야 원정: 보물 픽스를 모으고 수정과 결정체를 발굴하여 막대한 보상을 획득하세요!
- 인벤토리 업그레이드: 이제 인벤토리에서 모든 자원과 가속 아이템의 총 개수를 확인할 수 있습니다.
- 장비 시험장 업그레이드: 더 명확한 장비 효과와 부드러운 조작.
- 이중 재능 교환 업그레이드: 전사 메달의 이중 재능 요구 사항에 도달하면 초과 교환이 차단됩니다.
- 별의 사투 업그레이드: 메카 라이징의 소형 메카 외"&amp;"형이 업데이트되었으며, 대형 메카는 보유 시 버프를 받고 메카 강도는 서버 진행도에 따라 조정됩니다.
- 제왕 스킬 업그레이드: 서버 일수 임계값 도달 후 강화된 능력이 잠금 해제됩니다.
- 행군 인터페이스 업그레이드: 더 많은 부대 정보를 볼 수 있는 새로운 상세 모드.
- 지도 디스플레이 업그레이드: 더 선명한 축소 정보와 더 큰 전투 마커.
- 집결 운반선 업그레이드: 추가 스태미나를 사용하여 비례하는 추가 보상을 획득하세요.
- 대기열 업그레이드"&amp;": 이제 대기열에서 공장 생산 대기열도 표시됩니다.
- 정예 스타디움 업그레이드: 챔피언 투기장 - 탑 매치에서 더 똑똑한 그룹 정렬.
- 챔피언의 아레나 업그레이드: 킬 포인트 조정.
- 자동 집결 업그레이드: 자동 집결 시 여러 NPC를 목표로 설정할 수 있습니다.
- 무리 건물 업그레이드: 무리 연락소와 권력의 중심이 이제 레벨 35에 도달할 수 있으며, 해당 버프가 추가됩니다.")</f>
        <v>- 새로운 전사: 복원하는 손 - 렌치—고장난 메카들의 구원자, 전장을 떠도는 메카닉! 최강 원숭이 이벤트를 통해 잠금 해제하세요.
- 새로운 전사 석상: 마스터 홍과 블레이크. 당신의 도시에 더 많은 빛을 더하세요!
- 새로운 연병장 업그레이드: 초기 서버에 연병장 VI가 도착하며, 임시 행군 수용력을 부여하는 스펙트럼 칩 대여도 추가됩니다.
- 새로운 운반선: 공성 파괴자—장거리 공격을 위한 듀얼 모드로 전환하세요.
- 새로운 패키지: 영구 버프가 포함된 여러 특권 패키지가 추가되었습니다.
- 새로운 달 착륙 축제 이벤트:
- 달빛 축복: 희귀 아바타 프레임, 도시 스킨 및 기타 독점 아이템이 가득한 축제 가챠.
- 달 착륙 선물: 누적 충전 달성 시 푸짐한 선물을 받으세요!
- 달샷 작전: 퀘스트를 완료하여 해당 카드를 밝히고 달 착륙 축제 장식을 포함한 보상을 받으세요!
- 매치 &amp; 재미: 강화된 보상과 함께 매치 &amp; 재미가 돌아왔습니다—전투력을 올려 무료 선물과 축제 전용 보상을 잠금 해제하세요.
- 달 룰렛: 보상을 선택하고 거대한 당첨금을 노리는 한정 이벤트입니다.
- 행운의 페스티벌: 서프라이즈와 보상으로 가득 찬 한정 뽑기 이벤트가 진행 중이며, 매 뽑기마다 상금이 배가될 수 있습니다!
- 달 착륙의 기억: 기념 필름을 수집하고 레벨을 올리며 행군 이펙트 “달빛 캔버스”를 추구하세요.
- 성간 항해: 고정된 별 경로를 따라 퀘스트를 완료하고 세계를 탐험하며 보상을 획득하세요.
- 탑 수송차: 매일 수송차를 호위하여 수송차 보상과 포인트를 얻고 탑 수송차 경쟁에 참여하세요!
- 황야 원정: 보물 픽스를 모으고 수정과 결정체를 발굴하여 막대한 보상을 획득하세요!
- 인벤토리 업그레이드: 이제 인벤토리에서 모든 자원과 가속 아이템의 총 개수를 확인할 수 있습니다.
- 장비 시험장 업그레이드: 더 명확한 장비 효과와 부드러운 조작.
- 이중 재능 교환 업그레이드: 전사 메달의 이중 재능 요구 사항에 도달하면 초과 교환이 차단됩니다.
- 별의 사투 업그레이드: 메카 라이징의 소형 메카 외형이 업데이트되었으며, 대형 메카는 보유 시 버프를 받고 메카 강도는 서버 진행도에 따라 조정됩니다.
- 제왕 스킬 업그레이드: 서버 일수 임계값 도달 후 강화된 능력이 잠금 해제됩니다.
- 행군 인터페이스 업그레이드: 더 많은 부대 정보를 볼 수 있는 새로운 상세 모드.
- 지도 디스플레이 업그레이드: 더 선명한 축소 정보와 더 큰 전투 마커.
- 집결 운반선 업그레이드: 추가 스태미나를 사용하여 비례하는 추가 보상을 획득하세요.
- 대기열 업그레이드: 이제 대기열에서 공장 생산 대기열도 표시됩니다.
- 정예 스타디움 업그레이드: 챔피언 투기장 - 탑 매치에서 더 똑똑한 그룹 정렬.
- 챔피언의 아레나 업그레이드: 킬 포인트 조정.
- 자동 집결 업그레이드: 자동 집결 시 여러 NPC를 목표로 설정할 수 있습니다.
- 무리 건물 업그레이드: 무리 연락소와 권력의 중심이 이제 레벨 35에 도달할 수 있으며, 해당 버프가 추가됩니다.</v>
      </c>
      <c r="S68" s="168" t="str">
        <f>IFERROR(__xludf.DUMMYFUNCTION("""COMPUTED_VALUE"""),"-新增斗士：重塑之手-伦奇，破损机甲的救星，穿梭于战场的维修师！可通过“最强猴子”活动获取。
-新增斗士雕像：洪大师、布莱克，来为你的城市增添更多光彩吧！
-新增阅兵场升级：部分开放时间较早的服务器新增阅兵场Ⅵ，并新增部队容量租赁功能，可以消耗光谱芯片获得临时部队容量增益；
-新增战车：破城先锋号，可切换双重形态，进行远程攻击；
-新增礼包：增加多个永久增益特权礼包；
-新增登月节活动：
-月夜祈福：登月节限时抽奖，奖池含大量限定外显道具，头像框、主城外观、主城特效等等限定道具拿不停！
-登月豪礼：限时累"&amp;"计充值即可领取丰厚奖励！
-登月行动：玩家完成任务可点亮当前任务牌，获取任务奖励，赢取登月节装饰；
-欢乐对对碰：对对碰全新返场，奖励升级！节日内提升实力，即可开启免费礼物！有概率获取限定节日奖励！
-登月轮盘：登月轮盘限时开启，选取你喜爱的奖励，有概率获取大额惊喜；
-幸运多重礼：惊喜多多，奖励满满！全新抽奖活动限时开启，每次抽取都有机会获得多倍奖励！
-登月留念：收集纪念胶卷，提升活动等级，领取活动奖励，更有机会获得限定行军特效-月色入画！
-星际穿越：在群星中穿行，完成活动任务，沿着固定航线，探索未"&amp;"知星球，领取活动奖励！
-最强运输车队：每日护送运输车完成押运，获得押运奖励，赚取帮派车队积分，竞争最强运输车队排名！
-荒野探宝：收集探宝十字镐，挖掘水晶与晶岩，赢取大量奖励！
-背包系统优化：新增了背包内资源道具和加速道具的统计功能；
-战装试炼场优化：优化了战装试炼场的挑战界面，更加明显地展示战装作用，更加方便地对战装进行操作；
-双天赋兑换逻辑优化：斗士奖牌满足解锁双天赋所需时，不会出现溢出兑换的情况；
-决战卫星之巅优化：调整机甲风暴中的小型机甲外观，大型机甲占领期间可以获得增益，调整不同服务器"&amp;"进度下玩家机甲的强度；
-霸主技能优化：新增强化霸主技能，服务器达到指定天数后解锁强化霸主技能；
-出征界面优化：出征界面新增详细模式，可显示更多队伍信息；
-大地图显示优化：优化了大地图缩放状态下的信息显示，增加大地图战役标识；
-战车集结优化：发起集结的战车可以消耗多倍体力，获得多倍奖励；
-空闲队列优化：空闲队列中加入了生产工厂队列；
-竞技场优化：精英竞技场巅峰赛分组方式优化；
-王者之地优化：击杀积分优化；
-自动集结优化：自动集结支持选择多个野怪目标了；
-帮派建筑优化：帮派使馆和作战中心等级"&amp;"上限扩充至35级，且增加相应buff属性。")</f>
        <v>-新增斗士：重塑之手-伦奇，破损机甲的救星，穿梭于战场的维修师！可通过“最强猴子”活动获取。
-新增斗士雕像：洪大师、布莱克，来为你的城市增添更多光彩吧！
-新增阅兵场升级：部分开放时间较早的服务器新增阅兵场Ⅵ，并新增部队容量租赁功能，可以消耗光谱芯片获得临时部队容量增益；
-新增战车：破城先锋号，可切换双重形态，进行远程攻击；
-新增礼包：增加多个永久增益特权礼包；
-新增登月节活动：
-月夜祈福：登月节限时抽奖，奖池含大量限定外显道具，头像框、主城外观、主城特效等等限定道具拿不停！
-登月豪礼：限时累计充值即可领取丰厚奖励！
-登月行动：玩家完成任务可点亮当前任务牌，获取任务奖励，赢取登月节装饰；
-欢乐对对碰：对对碰全新返场，奖励升级！节日内提升实力，即可开启免费礼物！有概率获取限定节日奖励！
-登月轮盘：登月轮盘限时开启，选取你喜爱的奖励，有概率获取大额惊喜；
-幸运多重礼：惊喜多多，奖励满满！全新抽奖活动限时开启，每次抽取都有机会获得多倍奖励！
-登月留念：收集纪念胶卷，提升活动等级，领取活动奖励，更有机会获得限定行军特效-月色入画！
-星际穿越：在群星中穿行，完成活动任务，沿着固定航线，探索未知星球，领取活动奖励！
-最强运输车队：每日护送运输车完成押运，获得押运奖励，赚取帮派车队积分，竞争最强运输车队排名！
-荒野探宝：收集探宝十字镐，挖掘水晶与晶岩，赢取大量奖励！
-背包系统优化：新增了背包内资源道具和加速道具的统计功能；
-战装试炼场优化：优化了战装试炼场的挑战界面，更加明显地展示战装作用，更加方便地对战装进行操作；
-双天赋兑换逻辑优化：斗士奖牌满足解锁双天赋所需时，不会出现溢出兑换的情况；
-决战卫星之巅优化：调整机甲风暴中的小型机甲外观，大型机甲占领期间可以获得增益，调整不同服务器进度下玩家机甲的强度；
-霸主技能优化：新增强化霸主技能，服务器达到指定天数后解锁强化霸主技能；
-出征界面优化：出征界面新增详细模式，可显示更多队伍信息；
-大地图显示优化：优化了大地图缩放状态下的信息显示，增加大地图战役标识；
-战车集结优化：发起集结的战车可以消耗多倍体力，获得多倍奖励；
-空闲队列优化：空闲队列中加入了生产工厂队列；
-竞技场优化：精英竞技场巅峰赛分组方式优化；
-王者之地优化：击杀积分优化；
-自动集结优化：自动集结支持选择多个野怪目标了；
-帮派建筑优化：帮派使馆和作战中心等级上限扩充至35级，且增加相应buff属性。</v>
      </c>
      <c r="T68" s="148"/>
      <c r="U68" s="148"/>
      <c r="V68" s="148"/>
      <c r="W68" s="148"/>
      <c r="X68" s="148"/>
      <c r="Y68" s="148"/>
      <c r="Z68" s="148"/>
    </row>
    <row r="69">
      <c r="A69" s="167" t="str">
        <f>IFERROR(__xludf.DUMMYFUNCTION("""COMPUTED_VALUE"""),"0.78.0")</f>
        <v>0.78.0</v>
      </c>
      <c r="B69" s="168" t="str">
        <f>IFERROR(__xludf.DUMMYFUNCTION("""COMPUTED_VALUE"""),"-新增斗士雕像：夏洛特·罗西、雷诺·施密特，来为你的城市增添更多光彩吧！
-新增机甲皮肤：金刚皮肤-童趣卫士，为了迎接庆典的到来，猿族参考童年玩具的设计对金刚机甲进行改装，使它融入欢乐的氛围！
-新增无双拍档活动：活动开启期间，培养拍档斗士即可获得丰厚奖励！
-新增周年庆活动：
城市外观套装：猴王降世！参与活动可集齐套装组件，解锁最终形态。
周年庆典：使用节日骰子参与庆典之旅，收集周年庆装饰物组件，获取丰厚奖励。更有周年庆典纪念照片赠送！
惊喜乐园：使用派对帽抽取奖励，获取周年套装皮肤组件！
欢乐游园会："&amp;"1周年主题活动限时返场；使用周年纪念币抽取奖励，获取1周年限定皮肤！
庆典弹弹乐：3周年限定弹珠抽奖活动开启，参与活动获取弹珠币即可兑换丰厚奖励！
周年返场投票：为自己喜欢的主城外观和行军特效投票！投票结果出来后，通过日常任务、签到活动可以获取限时皮肤体验道具。
限时抢购：往期周年庆主城外观限时优惠，快来抢购吧！
周年年报：阅读3周年年报，回顾过去一年中的精彩瞬间，获取周年限定成就勋章！
周年签到：每日登录即可获取丰厚节日限定奖励！艾玛斗士奖牌翻倍送！
周年装饰商店：限时兑换折扣即将启动！快来兑换你心仪的"&amp;"主城外观和装饰物吧！
周年幸运星：全服庆典狂欢，低价抽奖，寻找幸运星！主城外观等你来抽！
竞猜大赢家：竞猜活动限时返场！购买礼包后可选取幸运组合，共有三次中奖机会，惊喜满满，不容错过！
挖掘狂欢：周年庆限时挖矿福利登场，矿洞通关越多，奖励越多，更有1周年、2周年限定装饰物等你来拿！
周年庆讨价还价：放心出价，低价购买超值道具！
惊喜涂装：惊喜涂装登场！试试手气，赢取超稀有金刚机甲皮肤-童趣卫士！
漫游奇遇：参与活动收集漫游骰子，在地图中前进，即可免费获取周年限定装饰物！
装饰许愿：将装饰物加入许愿清单，每"&amp;"次许愿都有机会获得许愿装饰物！
周年派对：周年庆活动大升级，活动分两个阶段进行，全部参与有机会赢取行军特效套装-丹青入画！
行军装扮福利：超值优惠获取限定行军表情、行军特效！
-巅峰领土战优化：缩短部分场次的单次战场时长，增加活动信息指引页签，增加局内个人增益成长模块。
-王者之地优化：增加战场职业和战场事件内容，丰富战场玩法。
-绝地试炼优化：7-4关卡占领建筑任务优化，更容易达成关卡三星。
-精英竞技场优化：部队攻击目标优化，将在优先击败敌方部队后攻击敌方基地。
-战车集结优化：战车集结功能优化，战车"&amp;"可在部分场景中被转让成为集结队长。")</f>
        <v>-新增斗士雕像：夏洛特·罗西、雷诺·施密特，来为你的城市增添更多光彩吧！
-新增机甲皮肤：金刚皮肤-童趣卫士，为了迎接庆典的到来，猿族参考童年玩具的设计对金刚机甲进行改装，使它融入欢乐的氛围！
-新增无双拍档活动：活动开启期间，培养拍档斗士即可获得丰厚奖励！
-新增周年庆活动：
城市外观套装：猴王降世！参与活动可集齐套装组件，解锁最终形态。
周年庆典：使用节日骰子参与庆典之旅，收集周年庆装饰物组件，获取丰厚奖励。更有周年庆典纪念照片赠送！
惊喜乐园：使用派对帽抽取奖励，获取周年套装皮肤组件！
欢乐游园会：1周年主题活动限时返场；使用周年纪念币抽取奖励，获取1周年限定皮肤！
庆典弹弹乐：3周年限定弹珠抽奖活动开启，参与活动获取弹珠币即可兑换丰厚奖励！
周年返场投票：为自己喜欢的主城外观和行军特效投票！投票结果出来后，通过日常任务、签到活动可以获取限时皮肤体验道具。
限时抢购：往期周年庆主城外观限时优惠，快来抢购吧！
周年年报：阅读3周年年报，回顾过去一年中的精彩瞬间，获取周年限定成就勋章！
周年签到：每日登录即可获取丰厚节日限定奖励！艾玛斗士奖牌翻倍送！
周年装饰商店：限时兑换折扣即将启动！快来兑换你心仪的主城外观和装饰物吧！
周年幸运星：全服庆典狂欢，低价抽奖，寻找幸运星！主城外观等你来抽！
竞猜大赢家：竞猜活动限时返场！购买礼包后可选取幸运组合，共有三次中奖机会，惊喜满满，不容错过！
挖掘狂欢：周年庆限时挖矿福利登场，矿洞通关越多，奖励越多，更有1周年、2周年限定装饰物等你来拿！
周年庆讨价还价：放心出价，低价购买超值道具！
惊喜涂装：惊喜涂装登场！试试手气，赢取超稀有金刚机甲皮肤-童趣卫士！
漫游奇遇：参与活动收集漫游骰子，在地图中前进，即可免费获取周年限定装饰物！
装饰许愿：将装饰物加入许愿清单，每次许愿都有机会获得许愿装饰物！
周年派对：周年庆活动大升级，活动分两个阶段进行，全部参与有机会赢取行军特效套装-丹青入画！
行军装扮福利：超值优惠获取限定行军表情、行军特效！
-巅峰领土战优化：缩短部分场次的单次战场时长，增加活动信息指引页签，增加局内个人增益成长模块。
-王者之地优化：增加战场职业和战场事件内容，丰富战场玩法。
-绝地试炼优化：7-4关卡占领建筑任务优化，更容易达成关卡三星。
-精英竞技场优化：部队攻击目标优化，将在优先击败敌方部队后攻击敌方基地。
-战车集结优化：战车集结功能优化，战车可在部分场景中被转让成为集结队长。</v>
      </c>
      <c r="C69" s="168" t="str">
        <f>IFERROR(__xludf.DUMMYFUNCTION("""COMPUTED_VALUE"""),"- New Fighter Statues: Charlotte Rossi and Reynold Schmidt arrive. Add more brilliance to your city!
- New Mech Skin: Primatus Skin “Toybox Guardian.” For the coming festival, the Apes styled the Primatus mech after beloved childhood toys, wrapping it in "&amp;"pure cheer.
- New Ultimate Partners Event: Train any Partner fighter during the event to grab a mountain of rewards.
- New Anniversary Events:
 City Hall skin Set: Ape King Arrives! Collect all parts through the event to unlock its final form.
 Anniversar"&amp;"y Celebration: Use the Holiday Dice to participate in the Celebration Journey, gather decoration components and earn generous rewards. Plus, snag a commemorative celebration photo!
 Surprise Carnival: Spend Party Hats for prize draws and anniversary skin "&amp;"set components.
 Fun Fair: The 1st‑Anniversary event returns! Spend Anniversary Coins for a shot at the original limited skin.
 Festival Pinball: A 3rd‑Anniversary‑exclusive marble machine—earn Marble Coins and trade for abundant rewards.
 Anniversary Com"&amp;"eback Vote: Pick your favorite City Hall skin and March Effect. After voting, complete daily quests or sign‑in events to earn the limited‑time skin trial.
Limited-Time Flash Sale: Past Anniversary City Hall skins at time‑limited discounts—don’t miss out.
"&amp;"Anniversary Report: Read the 3‑Year Report, relive the highlights, and pocket an Anniversary Medal.
 Anniversary Sign-In: Daily log‑ins drop festival‑only rewards—double Emma Fighter Medals included!
 Anniversary Decoration Shop: Limited‑time discount exc"&amp;"hange—grab the City Hall skins and decorations you love.
 Anniversary Lucky Star: Server‑wide raffle at bargain prices—spin for a chance at rare City Hall skins!
 Prediction Champ: The prediction event returns—buy a pack, pick a lucky combo, three chances"&amp;" to hit the jackpot!
 Dig Fiesta: Limited‑time mining boost—clear more Mine Hunt stages, win bigger rewards, and get 1st‑ and 2nd‑Anniversary decoration.
 Anniversary Bargains: Name your price and snag high‑value items on the cheap.
 Lucky Lacquer: Try yo"&amp;"ur luck for the ultra‑rare Primatus Skin skin “Toybox Guardian.”
 Roaming Adventure: Collect Roaming Dice, move across the map, and earn anniversary‑exclusive decoration—absolutely free.
Decoration Wish: Add decorations to your wish list; every wish could"&amp;" drop the decoration you picked.
 Anniversary Bash: An upgraded two‑phase celebration—join both phases for a shot at the March Effect set “Ink &amp; Scroll.”
 Marching Decoration Deals: Valuable discounts on limited Marching Emojis and Effects.
-Apex Clash up"&amp;"grade: Shorter matches for select rounds, new info tabs, and a new in‑battle personal growth module.
-Arena of Champions upgrade: Adds battle roles and events for deeper tactics.
-Impasse Trials upgrade: Stage 7‑4 building‑capture quest retuned for easier"&amp;" 3‑star clears.
-Champion Brawl upgrade: Troops now wipe enemy units before targeting the enemy base.
-Rally Carrier upgrade: Carriers can be reassigned as Rally Leader in certain scenes.")</f>
        <v>- New Fighter Statues: Charlotte Rossi and Reynold Schmidt arrive. Add more brilliance to your city!
- New Mech Skin: Primatus Skin “Toybox Guardian.” For the coming festival, the Apes styled the Primatus mech after beloved childhood toys, wrapping it in pure cheer.
- New Ultimate Partners Event: Train any Partner fighter during the event to grab a mountain of rewards.
- New Anniversary Events:
 City Hall skin Set: Ape King Arrives! Collect all parts through the event to unlock its final form.
 Anniversary Celebration: Use the Holiday Dice to participate in the Celebration Journey, gather decoration components and earn generous rewards. Plus, snag a commemorative celebration photo!
 Surprise Carnival: Spend Party Hats for prize draws and anniversary skin set components.
 Fun Fair: The 1st‑Anniversary event returns! Spend Anniversary Coins for a shot at the original limited skin.
 Festival Pinball: A 3rd‑Anniversary‑exclusive marble machine—earn Marble Coins and trade for abundant rewards.
 Anniversary Comeback Vote: Pick your favorite City Hall skin and March Effect. After voting, complete daily quests or sign‑in events to earn the limited‑time skin trial.
Limited-Time Flash Sale: Past Anniversary City Hall skins at time‑limited discounts—don’t miss out.
Anniversary Report: Read the 3‑Year Report, relive the highlights, and pocket an Anniversary Medal.
 Anniversary Sign-In: Daily log‑ins drop festival‑only rewards—double Emma Fighter Medals included!
 Anniversary Decoration Shop: Limited‑time discount exchange—grab the City Hall skins and decorations you love.
 Anniversary Lucky Star: Server‑wide raffle at bargain prices—spin for a chance at rare City Hall skins!
 Prediction Champ: The prediction event returns—buy a pack, pick a lucky combo, three chances to hit the jackpot!
 Dig Fiesta: Limited‑time mining boost—clear more Mine Hunt stages, win bigger rewards, and get 1st‑ and 2nd‑Anniversary decoration.
 Anniversary Bargains: Name your price and snag high‑value items on the cheap.
 Lucky Lacquer: Try your luck for the ultra‑rare Primatus Skin skin “Toybox Guardian.”
 Roaming Adventure: Collect Roaming Dice, move across the map, and earn anniversary‑exclusive decoration—absolutely free.
Decoration Wish: Add decorations to your wish list; every wish could drop the decoration you picked.
 Anniversary Bash: An upgraded two‑phase celebration—join both phases for a shot at the March Effect set “Ink &amp; Scroll.”
 Marching Decoration Deals: Valuable discounts on limited Marching Emojis and Effects.
-Apex Clash upgrade: Shorter matches for select rounds, new info tabs, and a new in‑battle personal growth module.
-Arena of Champions upgrade: Adds battle roles and events for deeper tactics.
-Impasse Trials upgrade: Stage 7‑4 building‑capture quest retuned for easier 3‑star clears.
-Champion Brawl upgrade: Troops now wipe enemy units before targeting the enemy base.
-Rally Carrier upgrade: Carriers can be reassigned as Rally Leader in certain scenes.</v>
      </c>
      <c r="D69" s="168" t="str">
        <f>IFERROR(__xludf.DUMMYFUNCTION("""COMPUTED_VALUE"""),"- Nouvelles Statues de Combattants : Charlotte Rossi et Reynold Schmidt arrivent. Ajoutez plus d’éclat à votre ville !
- Nouveau Skin Mécha : Skin Primatus « Gardien de la Boîte à Jouets ». Pour le festival à venir, les Primates ont stylisé le mécha Prima"&amp;"tus d'après les jouets d'enfance adorés, l'enveloppant de pure joie.
- Nouvel Événement Partenaires Ultimes : Entraînez n'importe quel combattant Partenaire pendant l'événement pour décrocher une montagne de récompenses.
- Nouveaux Événements d'Anniversai"&amp;"re :
  Skin d'Hôtel de Ville : Le Roi des Singes Arrive ! Collectez toutes les pièces durant l'événement pour débloquer sa forme finale.
  Célébration d'Anniversaire : Utilisez les Dés de Fête pour participer au Voyage de Célébration, rassemblez des compo"&amp;"sants de décoration et gagnez des récompenses généreuses. De plus, obtenez une photo commémorative de la célébration !
  Carnaval de Surprises : Dépensez des Chapeaux de fête pour des tirages au sort et des composants du set de skins d'anniversaire.
  Fêt"&amp;"e Foraine : L'événement du 1er anniversaire revient ! Dépensez des Pièces d'Anniversaire pour tenter d'obtenir le skin limité original.
  Flipper du Festival : Une machine à billes exclusive au 3e anniversaire — gagnez des Pièces de Bille et échangez-les "&amp;"contre de nombreuses récompenses.
  Vote de Retour d'Anniversaire : Choisissez votre skin d'Hôtel de Ville et Effet de Marche préférés. Après le vote, complétez les quêtes quotidiennes ou les événements de connexion pour gagner l'essai du skin à durée lim"&amp;"itée.
Vente Flash à Durée Limitée : Skins d'Hôtel de Ville des anniversaires passés à prix réduits pour un temps limité — ne ratez pas ça.
Rapport d'Anniversaire : Lisez le Rapport des 3 ans, revivez les faits saillants et empochez une Médaille d'Annivers"&amp;"aire.
Connexion d'Anniversaire : Les connexions quotidiennes offrent des récompenses exclusives au festival — y compris le double de Médailles de Combattant Emma !
Boutique de Décoration d'Anniversaire : Échange à prix réduit pour un temps limité — obtene"&amp;"z les skins d'Hôtel de Ville et décorations que vous aimez.
Étoile Chanceuse d'Anniversaire : Tirage au sort serveur entier à prix avantageux — tentez votre chance pour des skins rares d'Hôtel de Ville !
Champion de Prédiction : L'événement de prédiction "&amp;"revient — achetez un pack, choisissez un combo chanceux, trois chances de décrocher le jackpot !
Fête de Fouilles : Boost minier à durée limitée — terminez plus d'étapes de Chasse à la Mine, gagnez de plus grosses récompenses, et obtenez les décorations d"&amp;"u 1er et 2e anniversaire.
Marchandages d'Anniversaire : Fixez votre prix et obtenez des objets de grande valeur à petit prix.
Laque Porte-Bonheur : Tentez votre chance pour le skin ultra-rare Primatus « Gardien de la Boîte à Jouets ».
Aventure Errante : C"&amp;"ollectez des Dés Errants, déplacez-vous sur la carte et gagnez une décoration exclusive à l'anniversaire — totalement gratuit.
Vœu de Décoration : Ajoutez des décorations à votre liste de vœux ; chaque vœu peut faire tomber la décoration choisie.
Fête d'A"&amp;"nniversaire : Une célébration améliorée en deux phases — participez aux deux phases pour tenter d'obtenir le set Effet de Marche « Encre &amp; Parchemin ».
Offres de Décoration en Marche : Remises précieuses sur les Émoticônes et Effets de Marche limités.
-Mi"&amp;"se à jour Conflit au Sommet : Matchs plus courts pour certaines manches, nouveaux onglets d'infos, et nouveau module de progression personnelle en bataille.
-Mise à jour Arène des Champions : Ajout de rôles de bataille et d'événements pour des tactiques p"&amp;"lus approfondies.
-Mise à jour Défis de l'Impasse : Quête de capture de bâtiment du niveau 7-4 rééquilibrée pour des nettoyages 3 étoiles plus faciles.
-Mise à jour Choc des champions : Les troupes éliminent désormais les unités ennemies avant de cibler l"&amp;"a base ennemie.
-Mise à jour Transporteur de Rassemblement : Les transporteurs peuvent être réaffectés en tant que Chef de Rassemblement dans certaines scènes.")</f>
        <v>- Nouvelles Statues de Combattants : Charlotte Rossi et Reynold Schmidt arrivent. Ajoutez plus d’éclat à votre ville !
- Nouveau Skin Mécha : Skin Primatus « Gardien de la Boîte à Jouets ». Pour le festival à venir, les Primates ont stylisé le mécha Primatus d'après les jouets d'enfance adorés, l'enveloppant de pure joie.
- Nouvel Événement Partenaires Ultimes : Entraînez n'importe quel combattant Partenaire pendant l'événement pour décrocher une montagne de récompenses.
- Nouveaux Événements d'Anniversaire :
  Skin d'Hôtel de Ville : Le Roi des Singes Arrive ! Collectez toutes les pièces durant l'événement pour débloquer sa forme finale.
  Célébration d'Anniversaire : Utilisez les Dés de Fête pour participer au Voyage de Célébration, rassemblez des composants de décoration et gagnez des récompenses généreuses. De plus, obtenez une photo commémorative de la célébration !
  Carnaval de Surprises : Dépensez des Chapeaux de fête pour des tirages au sort et des composants du set de skins d'anniversaire.
  Fête Foraine : L'événement du 1er anniversaire revient ! Dépensez des Pièces d'Anniversaire pour tenter d'obtenir le skin limité original.
  Flipper du Festival : Une machine à billes exclusive au 3e anniversaire — gagnez des Pièces de Bille et échangez-les contre de nombreuses récompenses.
  Vote de Retour d'Anniversaire : Choisissez votre skin d'Hôtel de Ville et Effet de Marche préférés. Après le vote, complétez les quêtes quotidiennes ou les événements de connexion pour gagner l'essai du skin à durée limitée.
Vente Flash à Durée Limitée : Skins d'Hôtel de Ville des anniversaires passés à prix réduits pour un temps limité — ne ratez pas ça.
Rapport d'Anniversaire : Lisez le Rapport des 3 ans, revivez les faits saillants et empochez une Médaille d'Anniversaire.
Connexion d'Anniversaire : Les connexions quotidiennes offrent des récompenses exclusives au festival — y compris le double de Médailles de Combattant Emma !
Boutique de Décoration d'Anniversaire : Échange à prix réduit pour un temps limité — obtenez les skins d'Hôtel de Ville et décorations que vous aimez.
Étoile Chanceuse d'Anniversaire : Tirage au sort serveur entier à prix avantageux — tentez votre chance pour des skins rares d'Hôtel de Ville !
Champion de Prédiction : L'événement de prédiction revient — achetez un pack, choisissez un combo chanceux, trois chances de décrocher le jackpot !
Fête de Fouilles : Boost minier à durée limitée — terminez plus d'étapes de Chasse à la Mine, gagnez de plus grosses récompenses, et obtenez les décorations du 1er et 2e anniversaire.
Marchandages d'Anniversaire : Fixez votre prix et obtenez des objets de grande valeur à petit prix.
Laque Porte-Bonheur : Tentez votre chance pour le skin ultra-rare Primatus « Gardien de la Boîte à Jouets ».
Aventure Errante : Collectez des Dés Errants, déplacez-vous sur la carte et gagnez une décoration exclusive à l'anniversaire — totalement gratuit.
Vœu de Décoration : Ajoutez des décorations à votre liste de vœux ; chaque vœu peut faire tomber la décoration choisie.
Fête d'Anniversaire : Une célébration améliorée en deux phases — participez aux deux phases pour tenter d'obtenir le set Effet de Marche « Encre &amp; Parchemin ».
Offres de Décoration en Marche : Remises précieuses sur les Émoticônes et Effets de Marche limités.
-Mise à jour Conflit au Sommet : Matchs plus courts pour certaines manches, nouveaux onglets d'infos, et nouveau module de progression personnelle en bataille.
-Mise à jour Arène des Champions : Ajout de rôles de bataille et d'événements pour des tactiques plus approfondies.
-Mise à jour Défis de l'Impasse : Quête de capture de bâtiment du niveau 7-4 rééquilibrée pour des nettoyages 3 étoiles plus faciles.
-Mise à jour Choc des champions : Les troupes éliminent désormais les unités ennemies avant de cibler la base ennemie.
-Mise à jour Transporteur de Rassemblement : Les transporteurs peuvent être réaffectés en tant que Chef de Rassemblement dans certaines scènes.</v>
      </c>
      <c r="E69" s="168" t="str">
        <f>IFERROR(__xludf.DUMMYFUNCTION("""COMPUTED_VALUE"""),"- Neue Kämpfer-Statuen: Charlotte Rossi und Reynold Schmidt kommen an. Bringen Sie mehr Glanz in Ihre Stadt!
- Neuer Mech-Skin: Primatus-Skin „Spielzeugkasten-Wächter“. Für das kommende Festival haben die Affen den Primatus-Mech nach geliebten Kindheitssp"&amp;"ielzeugen gestaltet und ihn in pure Freude gehüllt.
- Neues Ultimative Partner-Event: Trainiere während des Events jeden Partner-Kämpfer, um einen Berg von Belohnungen zu ergattern.
- Neue Jubiläums-Events:
  Rathaus-Skin-Set: Der Affenkönig kommt an! Sam"&amp;"mle alle Teile während des Events, um seine endgültige Form freizuschalten.
  Jubiläumsfeier: Nutze die Feiertagswürfel, um an der Feierreise teilzunehmen, Dekorationskomponenten zu sammeln und großzügige Belohnungen zu verdienen. Außerdem gibt es ein Eri"&amp;"nnerungsfoto zur Feier!
  Überraschungskarneval: Gib Partyhüte für Preisauslosungen und Jubiläums-Skin-Set-Komponenten aus.
  Jahrmarkt: Das 1.-Jubiläums-Event kehrt zurück! Gib Jubiläums-Münzen aus, um eine Chance auf den original limitierten Skin zu erh"&amp;"alten.
  Festival-Flipper: Eine exklusive Murmelmaschine zum 3. Jubiläum – verdiene Glücksmurmeln und tausche sie gegen reichhaltige Belohnungen ein.
  Jubiläums-Comeback-Abstimmung: Wähle deinen Lieblings-Rathaus-Skin und Marscheffekt. Nach der Abstimmun"&amp;"g schließe tägliche Quests oder Anmelde-Events ab, um die limitierte Skin-Prüfung zu erhalten.
Limitierter Blitzverkauf: Frühere Jubiläums-Rathaus-Skins zu zeitlich begrenzten Rabatten – verpasse es nicht.
Jubiläumsbericht: Lies den 3-Jahres-Bericht, erle"&amp;"be die Höhepunkte erneut und sichere dir einen Jubiläumsorden.
Jubiläums-Anmeldung: Tägliche Anmeldungen bringen nur während des Festivals verfügbare Belohnungen – inklusive doppelter Emma-Heldenorden!
Jubiläums-Dekorationsladen: Zeitlich begrenzter Rabat"&amp;"t-Tausch – schnapp dir die Rathaus-Skins und Dekorationen, die du liebst.
Jubiläums-Glücksstar: Serverweite Verlosung zu Schnäppchenpreisen – drehe das Rad für eine Chance auf seltene Rathaus-Skins!
Vorhersage-Champ: Das Vorhersage-Event kehrt zurück – ka"&amp;"ufe ein Paket, wähle eine Glücks-Combo, drei Chancen auf den Jackpot!
Grabe-Fiesta: Zeitlich begrenzter Bergbau-Boost – schließe mehr Mine-Hunt-Stufen ab, gewinne größere Belohnungen und erhalte Dekorationen zum 1. und 2. Jubiläum.
Jubiläums-Schnäppchen: "&amp;"Nenne deinen Preis und ergattere hochwertige Items günstig.
Glückslack: Versuche dein Glück für den ultra-seltenen Primatus-Skin „Spielzeugkasten-Wächter“.
Umherstreifendes Abenteuer: Sammle umherstreifende Würfel, bewege dich über die Karte und verdiene "&amp;"exklusive Jubiläumsdekoration – völlig kostenlos.
Dekorationswunsch: Füge Dekorationen zu deiner Wunschliste hinzu; jeder Wunsch könnte die ausgewählte Dekoration bringen.
Jubiläumsfeier: Eine aufgewertete zweiphasige Feier – nimm an beiden Phasen teil fü"&amp;"r eine Chance auf das Marscheffekt-Set „Tinte &amp; Schriftrolle“.
Marsch-Dekorationsangebote: Wertvolle Rabatte auf limitierte Marsch-Emojis und Effekte.
- Apex-Kampf-Upgrade: Kürzere Matches für ausgewählte Runden, neue Info-Tabs und ein neues persönliches "&amp;"Wachstumsmodul im Kampf.
- Arena der Champions-Upgrade: Fügt Kampfrollen und Events für tiefere Taktiken hinzu.
- Sackgassen-Prüfungen-Upgrade: Stufe 7-4 Gebäude-Eroberungsquest wurde für einfachere 3-Sterne-Abschlüsse neu abgestimmt.
- Champion-Schlägere"&amp;"i-Upgrade: Truppen löschen jetzt feindliche Einheiten, bevor sie die feindliche Basis angreifen.
- Sammelangriff-Träger-Upgrade: Träger können in bestimmten Szenen als Sammelangriff-Anführer neu zugewiesen werden.")</f>
        <v>- Neue Kämpfer-Statuen: Charlotte Rossi und Reynold Schmidt kommen an. Bringen Sie mehr Glanz in Ihre Stadt!
- Neuer Mech-Skin: Primatus-Skin „Spielzeugkasten-Wächter“. Für das kommende Festival haben die Affen den Primatus-Mech nach geliebten Kindheitsspielzeugen gestaltet und ihn in pure Freude gehüllt.
- Neues Ultimative Partner-Event: Trainiere während des Events jeden Partner-Kämpfer, um einen Berg von Belohnungen zu ergattern.
- Neue Jubiläums-Events:
  Rathaus-Skin-Set: Der Affenkönig kommt an! Sammle alle Teile während des Events, um seine endgültige Form freizuschalten.
  Jubiläumsfeier: Nutze die Feiertagswürfel, um an der Feierreise teilzunehmen, Dekorationskomponenten zu sammeln und großzügige Belohnungen zu verdienen. Außerdem gibt es ein Erinnerungsfoto zur Feier!
  Überraschungskarneval: Gib Partyhüte für Preisauslosungen und Jubiläums-Skin-Set-Komponenten aus.
  Jahrmarkt: Das 1.-Jubiläums-Event kehrt zurück! Gib Jubiläums-Münzen aus, um eine Chance auf den original limitierten Skin zu erhalten.
  Festival-Flipper: Eine exklusive Murmelmaschine zum 3. Jubiläum – verdiene Glücksmurmeln und tausche sie gegen reichhaltige Belohnungen ein.
  Jubiläums-Comeback-Abstimmung: Wähle deinen Lieblings-Rathaus-Skin und Marscheffekt. Nach der Abstimmung schließe tägliche Quests oder Anmelde-Events ab, um die limitierte Skin-Prüfung zu erhalten.
Limitierter Blitzverkauf: Frühere Jubiläums-Rathaus-Skins zu zeitlich begrenzten Rabatten – verpasse es nicht.
Jubiläumsbericht: Lies den 3-Jahres-Bericht, erlebe die Höhepunkte erneut und sichere dir einen Jubiläumsorden.
Jubiläums-Anmeldung: Tägliche Anmeldungen bringen nur während des Festivals verfügbare Belohnungen – inklusive doppelter Emma-Heldenorden!
Jubiläums-Dekorationsladen: Zeitlich begrenzter Rabatt-Tausch – schnapp dir die Rathaus-Skins und Dekorationen, die du liebst.
Jubiläums-Glücksstar: Serverweite Verlosung zu Schnäppchenpreisen – drehe das Rad für eine Chance auf seltene Rathaus-Skins!
Vorhersage-Champ: Das Vorhersage-Event kehrt zurück – kaufe ein Paket, wähle eine Glücks-Combo, drei Chancen auf den Jackpot!
Grabe-Fiesta: Zeitlich begrenzter Bergbau-Boost – schließe mehr Mine-Hunt-Stufen ab, gewinne größere Belohnungen und erhalte Dekorationen zum 1. und 2. Jubiläum.
Jubiläums-Schnäppchen: Nenne deinen Preis und ergattere hochwertige Items günstig.
Glückslack: Versuche dein Glück für den ultra-seltenen Primatus-Skin „Spielzeugkasten-Wächter“.
Umherstreifendes Abenteuer: Sammle umherstreifende Würfel, bewege dich über die Karte und verdiene exklusive Jubiläumsdekoration – völlig kostenlos.
Dekorationswunsch: Füge Dekorationen zu deiner Wunschliste hinzu; jeder Wunsch könnte die ausgewählte Dekoration bringen.
Jubiläumsfeier: Eine aufgewertete zweiphasige Feier – nimm an beiden Phasen teil für eine Chance auf das Marscheffekt-Set „Tinte &amp; Schriftrolle“.
Marsch-Dekorationsangebote: Wertvolle Rabatte auf limitierte Marsch-Emojis und Effekte.
- Apex-Kampf-Upgrade: Kürzere Matches für ausgewählte Runden, neue Info-Tabs und ein neues persönliches Wachstumsmodul im Kampf.
- Arena der Champions-Upgrade: Fügt Kampfrollen und Events für tiefere Taktiken hinzu.
- Sackgassen-Prüfungen-Upgrade: Stufe 7-4 Gebäude-Eroberungsquest wurde für einfachere 3-Sterne-Abschlüsse neu abgestimmt.
- Champion-Schlägerei-Upgrade: Truppen löschen jetzt feindliche Einheiten, bevor sie die feindliche Basis angreifen.
- Sammelangriff-Träger-Upgrade: Träger können in bestimmten Szenen als Sammelangriff-Anführer neu zugewiesen werden.</v>
      </c>
      <c r="F69" s="168" t="str">
        <f>IFERROR(__xludf.DUMMYFUNCTION("""COMPUTED_VALUE"""),"- Novas Estátuas Combatentes: Charlotte Rossi e Reynold Schmidt chegam. Adicione mais brilho à sua cidade!
- Nova Skin de Mech: Skin Primatus “Guardião da Caixa de Brinquedos.” Para o próximo festival, os Macacos estilizaram o mech Primatus inspirado em a"&amp;"mados brinquedos de infância, envolvendo-o em pura alegria.
- Novo Evento Parceiros Supremos: Treine qualquer combatente Parceiro durante o evento para conquistar uma montanha de recompensas.
- Novos Eventos de Aniversário:
  Skin da Prefeitura: Rei dos M"&amp;"acacos Chega! Colete todas as partes durante o evento para desbloquear sua forma final.
  Celebração de Aniversário: Use os Dados de Feriado para participar da Jornada de Celebração, reúna componentes de decoração e ganhe recompensas generosas. Além disso"&amp;", garanta uma foto comemorativa da celebração!
  Carnaval Surpresa: Gaste Chapéus de Festa para sorteios de prêmios e componentes do conjunto de skins de aniversário.
  Feira Divertida: O evento do 1º Aniversário retorna! Gaste Moedas de Aniversário para "&amp;"tentar a skin limitada original.
  Pinball do Festival: Uma máquina de mármore exclusiva do 3º Aniversário—ganhe Moedas de Mármore e troque por recompensas abundantes.
  Votação de Retorno de Aniversário: Escolha sua skin favorita da Prefeitura e o EFEITO"&amp;" DE MARCHA. Após votar, complete missões diárias ou eventos de login para ganhar a prova da skin por tempo limitado.
Venda Relâmpago por Tempo Limitado: Skins passadas da Prefeitura de Aniversário com descontos por tempo limitado—não perca.
Relatório de A"&amp;"niversário: Leia o Relatório de 3 Anos, reviva os destaques e ganhe uma Medalha de Aniversário.
Login de Aniversário: Logins diários oferecem recompensas exclusivas do festival—incluindo medalhas duplas de combatente Emma!
Loja de Decoração de Aniversário"&amp;": Troca com desconto por tempo limitado—garanta as skins da Prefeitura e decorações que você ama.
Estrela da Sorte de Aniversário: Sorteio em todo o servidor a preços de pechincha—gire para ter chance de skins raras da Prefeitura!
Previsão do Campeão: O e"&amp;"vento de previsão retorna—compre um pacote, escolha um combo da sorte, três chances de acertar o acumulado!
Festa da Escavação: Bônus de mineração por tempo limitado—complete mais fases de Caça à Mina, ganhe recompensas maiores e obtenha decorações do 1º "&amp;"e 2º Aniversário.
Pechinchas de Aniversário: Dê seu preço e garanta itens de alto valor por um preço baixo.
Laca da Sorte: Tente a sua sorte para a ultra-rara skin Primatus “Guardião da Caixa de Brinquedos.”
Aventura Peregrina: Colete Dados Peregrinos, mo"&amp;"va-se pelo mapa e ganhe decoração exclusiva de aniversário—totalmente grátis.
Desejo de Decoração: Adicione decorações à sua lista de desejos; cada desejo pode liberar a decoração escolhida.
Festa de Aniversário: Uma celebração aprimorada em duas fases—pa"&amp;"rticipe de ambas para tentar o conjunto de EFEITO DE MARCHA “Tinta &amp; Pergaminho.”
Ofertas de Decoração de Marcha: Descontos valiosos em Emojis e Efeitos de Marcha limitados.
- Atualização do Embate do Ápice: Partidas mais curtas para rodadas selecionadas,"&amp;" novas abas de informação e um novo módulo de crescimento pessoal em batalha.
- Atualização da Arena dos Campeões: Adiciona funções de batalha e eventos para táticas mais profundas.
- Atualização dos Desafios de Impasse: Missão de captura de prédio da fas"&amp;"e 7-4 reajustada para limpezas 3 estrelas mais fáceis.
- Atualização da Briga de Campeões: Tropas agora eliminam unidades inimigas antes de atacar a base inimiga.
- Atualização do Transportador de Incursão: Transportadores podem ser reatribuídos como Líde"&amp;"r de Incursão em certas cenas.")</f>
        <v>- Novas Estátuas Combatentes: Charlotte Rossi e Reynold Schmidt chegam. Adicione mais brilho à sua cidade!
- Nova Skin de Mech: Skin Primatus “Guardião da Caixa de Brinquedos.” Para o próximo festival, os Macacos estilizaram o mech Primatus inspirado em amados brinquedos de infância, envolvendo-o em pura alegria.
- Novo Evento Parceiros Supremos: Treine qualquer combatente Parceiro durante o evento para conquistar uma montanha de recompensas.
- Novos Eventos de Aniversário:
  Skin da Prefeitura: Rei dos Macacos Chega! Colete todas as partes durante o evento para desbloquear sua forma final.
  Celebração de Aniversário: Use os Dados de Feriado para participar da Jornada de Celebração, reúna componentes de decoração e ganhe recompensas generosas. Além disso, garanta uma foto comemorativa da celebração!
  Carnaval Surpresa: Gaste Chapéus de Festa para sorteios de prêmios e componentes do conjunto de skins de aniversário.
  Feira Divertida: O evento do 1º Aniversário retorna! Gaste Moedas de Aniversário para tentar a skin limitada original.
  Pinball do Festival: Uma máquina de mármore exclusiva do 3º Aniversário—ganhe Moedas de Mármore e troque por recompensas abundantes.
  Votação de Retorno de Aniversário: Escolha sua skin favorita da Prefeitura e o EFEITO DE MARCHA. Após votar, complete missões diárias ou eventos de login para ganhar a prova da skin por tempo limitado.
Venda Relâmpago por Tempo Limitado: Skins passadas da Prefeitura de Aniversário com descontos por tempo limitado—não perca.
Relatório de Aniversário: Leia o Relatório de 3 Anos, reviva os destaques e ganhe uma Medalha de Aniversário.
Login de Aniversário: Logins diários oferecem recompensas exclusivas do festival—incluindo medalhas duplas de combatente Emma!
Loja de Decoração de Aniversário: Troca com desconto por tempo limitado—garanta as skins da Prefeitura e decorações que você ama.
Estrela da Sorte de Aniversário: Sorteio em todo o servidor a preços de pechincha—gire para ter chance de skins raras da Prefeitura!
Previsão do Campeão: O evento de previsão retorna—compre um pacote, escolha um combo da sorte, três chances de acertar o acumulado!
Festa da Escavação: Bônus de mineração por tempo limitado—complete mais fases de Caça à Mina, ganhe recompensas maiores e obtenha decorações do 1º e 2º Aniversário.
Pechinchas de Aniversário: Dê seu preço e garanta itens de alto valor por um preço baixo.
Laca da Sorte: Tente a sua sorte para a ultra-rara skin Primatus “Guardião da Caixa de Brinquedos.”
Aventura Peregrina: Colete Dados Peregrinos, mova-se pelo mapa e ganhe decoração exclusiva de aniversário—totalmente grátis.
Desejo de Decoração: Adicione decorações à sua lista de desejos; cada desejo pode liberar a decoração escolhida.
Festa de Aniversário: Uma celebração aprimorada em duas fases—participe de ambas para tentar o conjunto de EFEITO DE MARCHA “Tinta &amp; Pergaminho.”
Ofertas de Decoração de Marcha: Descontos valiosos em Emojis e Efeitos de Marcha limitados.
- Atualização do Embate do Ápice: Partidas mais curtas para rodadas selecionadas, novas abas de informação e um novo módulo de crescimento pessoal em batalha.
- Atualização da Arena dos Campeões: Adiciona funções de batalha e eventos para táticas mais profundas.
- Atualização dos Desafios de Impasse: Missão de captura de prédio da fase 7-4 reajustada para limpezas 3 estrelas mais fáceis.
- Atualização da Briga de Campeões: Tropas agora eliminam unidades inimigas antes de atacar a base inimiga.
- Atualização do Transportador de Incursão: Transportadores podem ser reatribuídos como Líder de Incursão em certas cenas.</v>
      </c>
      <c r="G69" s="168" t="str">
        <f>IFERROR(__xludf.DUMMYFUNCTION("""COMPUTED_VALUE"""),"-新增鬥士雕像：夏洛特·羅西、雷諾·施密特，來為你的城市增添更多光彩吧！
-新增機甲皮膚：金剛皮膚-童趣衛士，為了迎接慶典的到來，猿族參考童年玩具的設計對金剛機甲進行改裝，使它融入歡樂的氛圍！
-新增無雙拍檔活動：活動開啟期間，訓練拍檔鬥士即可獲得豐厚獎勵！
-新增週年慶活動：
城市外觀套裝：猴王降世！參與活動可集齊套裝組件，解")</f>
        <v>-新增鬥士雕像：夏洛特·羅西、雷諾·施密特，來為你的城市增添更多光彩吧！
-新增機甲皮膚：金剛皮膚-童趣衛士，為了迎接慶典的到來，猿族參考童年玩具的設計對金剛機甲進行改裝，使它融入歡樂的氛圍！
-新增無雙拍檔活動：活動開啟期間，訓練拍檔鬥士即可獲得豐厚獎勵！
-新增週年慶活動：
城市外觀套裝：猴王降世！參與活動可集齊套裝組件，解</v>
      </c>
      <c r="H69" s="168" t="str">
        <f>IFERROR(__xludf.DUMMYFUNCTION("""COMPUTED_VALUE"""),"- Patung Pejuang Baru: Charlotte Rossi dan Reynold Schmidt tiba. Tambahkan lebih banyak kemilau ke kotamu!
- Skin Mekanik Baru: Skin Primatus ""Penjaga Kotak Mainan."" Untuk festival yang akan datang, Kera menata mekanik Primatus berdasarkan mainan masa k"&amp;"ecil yang dicintai, membungkusnya dengan keceriaan murni.
- Event Mitra Terbaik Baru: Latih pejuang Mitra mana pun selama event untuk mendapatkan tumpukan hadiah.
- Event Ulang Tahun Baru:
  Set Skin Balai Kota: Raja Kera Tiba! Kumpulkan semua bagian mela"&amp;"lui event untuk membuka bentuk akhirnya.
  Perayaan Ulang Tahun: Gunakan Dadu Liburan untuk berpartisipasi dalam Perjalanan Perayaan, kumpulkan komponen dekorasi dan dapatkan hadiah melimpah. Plus, dapatkan foto perayaan kenang-kenangan!
  Karnaval Kejuta"&amp;"n: Gunakan Topi Pesta untuk undian hadiah dan komponen set skin ulang tahun.
  Pesta Rakyat: Event Ulang Tahun ke-1 kembali! Gunakan Koin Ulang Tahun untuk kesempatan mendapatkan skin terbatas asli.
  Pinball Festival: Mesin marmer eksklusif Ulang Tahun k"&amp;"e-3—dapatkan Koin Marmer dan tukarkan dengan hadiah melimpah.
  Pemilihan Kembali Ulang Tahun: Pilih skin Balai Kota favorit dan Efek Berbaris. Setelah memilih, selesaikan tantangan harian atau event sign-in untuk mendapatkan uji coba skin terbatas waktu."&amp;"
Penjualan Kilat Terbatas Waktu: Skin Balai Kota Ulang Tahun sebelumnya dengan diskon terbatas waktu—jangan sampai terlewat.
Laporan Ulang Tahun: Baca Laporan 3 Tahun, kenang sorotan, dan dapatkan Medali Ulang Tahun.
  Sign-In Ulang Tahun: Masuk harian me"&amp;"mberikan hadiah khusus festival—termasuk Medali Pejuang Emma ganda!
  Toko Dekorasi Ulang Tahun: Tukar dengan diskon terbatas waktu—dapatkan skin Balai Kota dan dekorasi favoritmu.
  Bintang Keberuntungan Ulang Tahun: Undian server dengan harga tawar-mena"&amp;"war—putar untuk kesempatan mendapatkan skin Balai Kota langka!
  Juara Prediksi: Event prediksi kembali—beli paket, pilih kombinasi keberuntungan, tiga kesempatan untuk mendapatkan jackpot!
  Fiesta Galian: Boost penambangan terbatas waktu—bersihkan lebih"&amp;" banyak tahap Perburuan Sumur Minyak, menangkan hadiah lebih besar, dan dapatkan dekorasi Ulang Tahun ke-1 dan ke-2.
  Tawaran Ulang Tahun: Tentukan harga dan dapatkan item bernilai tinggi dengan harga murah.
  Pernis Keberuntungan: Coba keberuntunganmu u"&amp;"ntuk skin Primatus ultra-langka ""Penjaga Kotak Mainan.""
  Petualangan Berkelana: Kumpulkan Dadu Penjelajahan, bergerak di peta, dan dapatkan dekorasi eksklusif ulang tahun—gratis sepenuhnya.
Permohonan Dekorasi: Tambahkan dekorasi ke daftar permohonanmu"&amp;"; setiap permohonan bisa memberikan dekorasi yang kamu pilih.
  Pesta Ulang Tahun: Perayaan dua fase yang ditingkatkan—ikuti kedua fase untuk kesempatan mendapatkan set Efek Berbaris ""Tinta &amp; Gulungan.""
  Penawaran Dekorasi Berbaris: Diskon berharga unt"&amp;"uk Emoji dan Efek Berbaris terbatas.
-Pembaruan Pertarungan Puncak: Pertandingan lebih singkat untuk ronde tertentu, tab info baru, dan modul pertumbuhan pribadi dalam pertempuran baru.
-Pembaruan Arena Para Juara: Menambahkan peran pertempuran dan event "&amp;"untuk taktik yang lebih mendalam.
-Pembaruan Uji Coba Kebuntuan: Quest penangkapan bangunan Tahap 7-4 disesuaikan untuk penyelesaian bintang 3 yang lebih mudah.
-Pembaruan Perkelahian Elite: Pasukan kini membersihkan unit musuh sebelum menyerang basis mus"&amp;"uh.
-Pembaruan Pembawa Reli: Pembawa dapat ditugaskan ulang sebagai Kapten Reli di beberapa adegan.")</f>
        <v>- Patung Pejuang Baru: Charlotte Rossi dan Reynold Schmidt tiba. Tambahkan lebih banyak kemilau ke kotamu!
- Skin Mekanik Baru: Skin Primatus "Penjaga Kotak Mainan." Untuk festival yang akan datang, Kera menata mekanik Primatus berdasarkan mainan masa kecil yang dicintai, membungkusnya dengan keceriaan murni.
- Event Mitra Terbaik Baru: Latih pejuang Mitra mana pun selama event untuk mendapatkan tumpukan hadiah.
- Event Ulang Tahun Baru:
  Set Skin Balai Kota: Raja Kera Tiba! Kumpulkan semua bagian melalui event untuk membuka bentuk akhirnya.
  Perayaan Ulang Tahun: Gunakan Dadu Liburan untuk berpartisipasi dalam Perjalanan Perayaan, kumpulkan komponen dekorasi dan dapatkan hadiah melimpah. Plus, dapatkan foto perayaan kenang-kenangan!
  Karnaval Kejutan: Gunakan Topi Pesta untuk undian hadiah dan komponen set skin ulang tahun.
  Pesta Rakyat: Event Ulang Tahun ke-1 kembali! Gunakan Koin Ulang Tahun untuk kesempatan mendapatkan skin terbatas asli.
  Pinball Festival: Mesin marmer eksklusif Ulang Tahun ke-3—dapatkan Koin Marmer dan tukarkan dengan hadiah melimpah.
  Pemilihan Kembali Ulang Tahun: Pilih skin Balai Kota favorit dan Efek Berbaris. Setelah memilih, selesaikan tantangan harian atau event sign-in untuk mendapatkan uji coba skin terbatas waktu.
Penjualan Kilat Terbatas Waktu: Skin Balai Kota Ulang Tahun sebelumnya dengan diskon terbatas waktu—jangan sampai terlewat.
Laporan Ulang Tahun: Baca Laporan 3 Tahun, kenang sorotan, dan dapatkan Medali Ulang Tahun.
  Sign-In Ulang Tahun: Masuk harian memberikan hadiah khusus festival—termasuk Medali Pejuang Emma ganda!
  Toko Dekorasi Ulang Tahun: Tukar dengan diskon terbatas waktu—dapatkan skin Balai Kota dan dekorasi favoritmu.
  Bintang Keberuntungan Ulang Tahun: Undian server dengan harga tawar-menawar—putar untuk kesempatan mendapatkan skin Balai Kota langka!
  Juara Prediksi: Event prediksi kembali—beli paket, pilih kombinasi keberuntungan, tiga kesempatan untuk mendapatkan jackpot!
  Fiesta Galian: Boost penambangan terbatas waktu—bersihkan lebih banyak tahap Perburuan Sumur Minyak, menangkan hadiah lebih besar, dan dapatkan dekorasi Ulang Tahun ke-1 dan ke-2.
  Tawaran Ulang Tahun: Tentukan harga dan dapatkan item bernilai tinggi dengan harga murah.
  Pernis Keberuntungan: Coba keberuntunganmu untuk skin Primatus ultra-langka "Penjaga Kotak Mainan."
  Petualangan Berkelana: Kumpulkan Dadu Penjelajahan, bergerak di peta, dan dapatkan dekorasi eksklusif ulang tahun—gratis sepenuhnya.
Permohonan Dekorasi: Tambahkan dekorasi ke daftar permohonanmu; setiap permohonan bisa memberikan dekorasi yang kamu pilih.
  Pesta Ulang Tahun: Perayaan dua fase yang ditingkatkan—ikuti kedua fase untuk kesempatan mendapatkan set Efek Berbaris "Tinta &amp; Gulungan."
  Penawaran Dekorasi Berbaris: Diskon berharga untuk Emoji dan Efek Berbaris terbatas.
-Pembaruan Pertarungan Puncak: Pertandingan lebih singkat untuk ronde tertentu, tab info baru, dan modul pertumbuhan pribadi dalam pertempuran baru.
-Pembaruan Arena Para Juara: Menambahkan peran pertempuran dan event untuk taktik yang lebih mendalam.
-Pembaruan Uji Coba Kebuntuan: Quest penangkapan bangunan Tahap 7-4 disesuaikan untuk penyelesaian bintang 3 yang lebih mudah.
-Pembaruan Perkelahian Elite: Pasukan kini membersihkan unit musuh sebelum menyerang basis musuh.
-Pembaruan Pembawa Reli: Pembawa dapat ditugaskan ulang sebagai Kapten Reli di beberapa adegan.</v>
      </c>
      <c r="I69" s="168" t="str">
        <f>IFERROR(__xludf.DUMMYFUNCTION("""COMPUTED_VALUE"""),"- รูปปั้นนักสู้ใหม่: ชาร์ลอตต์ รอสซี และ เรย์โนลด์ ชมิดท์ มาถึงแล้ว เพิ่มความเจิดจรัสให้กับเมืองของคุณ!
- สกินเมคใหม่: สกินพริมาตัส “ผู้พิทักษ์กล่องของเล่น” สำหรับเทศกาลที่กำลังจะมาถึง วานรได้ออกแบบเมคพริมาตัสตามของเล่นปฐมวัยที่รัก ห่อหุ้มด้วยความร่าเริงบ"&amp;"ริสุทธิ์
- กิจกรรมพันธมิตรขั้นสุดยอดใหม่: ฝึกฝนนักสู้พันธมิตรใดก็ได้ในช่วงกิจกรรมเพื่อรับรางวัลมากมาย
- กิจกรรมครบรอบปีใหม่:
  ชุดสกินศาลากลางเมือง: ราชาวานรมาถึงแล้ว! เก็บรวบรวมชิ้นส่วนทั้งหมดผ่านกิจกรรมเพื่อปลดล็อกรูปลักษณ์สุดท้าย
  การเฉลิมฉลองครบรอบ: "&amp;"ใช้ลูกเต๋าวันหยุดเพื่อเข้าร่วมการเดินทางแห่งการเฉลิมฉลอง รวบรวมส่วนประกอบการตกแต่งและรับรางวัลมากมาย พร้อมรับภาพถ่ายที่ระลึกงานเฉลิมฉลอง!
  คาร์นิวัลสุดเซอร์ไพรส์: ใช้หมวกงานเลี้ยงสำหรับการจับรางวัลและชิ้นส่วนชุดสกินครบรอบปี
  งานแฟร์สนุกสนาน: กิจกรรมครบร"&amp;"อบปีที่ 1 กลับมาอีกครั้ง! ใช้เหรียญครบรอบปีเพื่อโอกาสรับสกินจำกัดต้นฉบับ
  ปิงปองเทศกาล: เครื่องลูกแก้วพิเศษครบรอบปีที่ 3 — รับเหรียญลูกแก้วและแลกรับรางวัลมากมาย
  การโหวตคืนชีพครบรอบปี: เลือกสกินศาลากลางเมืองและเอฟเฟกต์การเดินทัพที่ชื่นชอบ หลังโหวตแล้ว ท"&amp;"ำเควสต์รายวันหรือเข้าร่วมกิจกรรมลงชื่อเพื่อรับการทดสอบสกินจำกัดเวลา
  การขายแบบแฟลชมีเวลาจำกัด: สกินศาลากลางเมืองครบรอบปีที่ผ่านมาในราคาลดพิเศษ — ห้ามพลาด
  รายงานครบรอบปี: อ่านรายงาน 3 ปี ย้อนชมไฮไลท์ และรับเหรียญครบรอบปี
  การลงชื่อครบรอบปี: ลงชื่อรายวั"&amp;"นรับรางวัลเฉพาะเทศกาล — รวมเหรียญรางวัลนักสู้เอ็มม่าคูณสอง!
  ร้านค้าการตกแต่งครบรอบปี: แลกเปลี่ยนส่วนลดจำกัดเวลา — คว้าสกินศาลากลางเมืองและการตกแต่งที่คุณชื่นชอบ
  ดาวนำโชคครบรอบปี: การจับรางวัลทั่วเซิร์ฟเวอร์ในราคาต่อรอง — หมุนลุ้นรับสกินศาลากลางเมืองหา"&amp;"ยาก!
  การทำนายแชมป์: กิจกรรมทำนายกลับมาแล้ว — ซื้อแพ็ก เลือกคอมโบโชคดี มีสามโอกาสลุ้นแจ็กพอต!
  งานเลี้ยงขุด: บูสต์การขุดจำกัดเวลา — เคลียร์ด่านล่าขุมทรัพย์มากขึ้น รับรางวัลใหญ่ขึ้น และรับการตกแต่งครบรอบปีที่ 1 และ 2
  ต่อรองครบรอบปี: ตั้งราคาของคุณและคว"&amp;"้าไอเทมมูลค่าสูงในราคาถูก
  แลคเกอร์นำโชค: ลองเสี่ยงโชคเพื่อรับสกินพริมาตัส “ผู้พิทักษ์กล่องของเล่น” ที่หายากสุดๆ
  การผจญภัยท่องเที่ยว: เก็บลูกเต๋าท่องเที่ยว เคลื่อนที่ข้ามแผนที่ และรับการตกแต่งเฉพาะครบรอบปี — ฟรีทั้งหมด
  พรการตกแต่ง: เพิ่มการตกแต่งในรา"&amp;"ยชื่อคำอวยพรของคุณ; ทุกคำอวยพรอาจได้รับการตกแต่งที่คุณเลือก
  ฉลองครบรอบปี: การเฉลิมฉลองสองเฟสที่อัปเกรดแล้ว — เข้าร่วมทั้งสองเฟสเพื่อโอกาสรับชุดเอฟเฟกต์การเดินทัพ “หมึก &amp; ม้วน”
  ข้อเสนอการตกแต่งเดินทัพ: ส่วนลดคุ้มค่าสำหรับอิโมจิและเอฟเฟกต์เดินทัพจำกัดเว"&amp;"ลา
- อัปเกรดสนามต่อสู้ยอดสูง: แมตช์สั้นลงสำหรับรอบที่เลือก, แท็บข้อมูลใหม่ และโมดูลการเติบโตส่วนบุคคลในระหว่างการต่อสู้ใหม่
- อัปเกรดสนามต่อสู้ของแชมเปี้ยน: เพิ่มบทบาทการต่อสู้และกิจกรรมสำหรับกลยุทธ์ที่ลึกซึ้งยิ่งขึ้น
- อัปเกรดการทดสอบ ณ ทางตัน: เควสต์จับ"&amp;"เมืองด่าน 7-4 ปรับใหม่เพื่อให้เคลียร์ 3 ดาวง่ายขึ้น
- อัปเกรดวิวาททางตัน: กองทหารจะล้างหน่วยศัตรูก่อนโจมตีฐานศัตรู
- อัปเกรดลิงขนส่งระดมพล: ลิงขนส่งสามารถถูกมอบหมายเป็นผู้นำการระดมพลในฉากบางฉากได้แล้ว")</f>
        <v>- รูปปั้นนักสู้ใหม่: ชาร์ลอตต์ รอสซี และ เรย์โนลด์ ชมิดท์ มาถึงแล้ว เพิ่มความเจิดจรัสให้กับเมืองของคุณ!
- สกินเมคใหม่: สกินพริมาตัส “ผู้พิทักษ์กล่องของเล่น” สำหรับเทศกาลที่กำลังจะมาถึง วานรได้ออกแบบเมคพริมาตัสตามของเล่นปฐมวัยที่รัก ห่อหุ้มด้วยความร่าเริงบริสุทธิ์
- กิจกรรมพันธมิตรขั้นสุดยอดใหม่: ฝึกฝนนักสู้พันธมิตรใดก็ได้ในช่วงกิจกรรมเพื่อรับรางวัลมากมาย
- กิจกรรมครบรอบปีใหม่:
  ชุดสกินศาลากลางเมือง: ราชาวานรมาถึงแล้ว! เก็บรวบรวมชิ้นส่วนทั้งหมดผ่านกิจกรรมเพื่อปลดล็อกรูปลักษณ์สุดท้าย
  การเฉลิมฉลองครบรอบ: ใช้ลูกเต๋าวันหยุดเพื่อเข้าร่วมการเดินทางแห่งการเฉลิมฉลอง รวบรวมส่วนประกอบการตกแต่งและรับรางวัลมากมาย พร้อมรับภาพถ่ายที่ระลึกงานเฉลิมฉลอง!
  คาร์นิวัลสุดเซอร์ไพรส์: ใช้หมวกงานเลี้ยงสำหรับการจับรางวัลและชิ้นส่วนชุดสกินครบรอบปี
  งานแฟร์สนุกสนาน: กิจกรรมครบรอบปีที่ 1 กลับมาอีกครั้ง! ใช้เหรียญครบรอบปีเพื่อโอกาสรับสกินจำกัดต้นฉบับ
  ปิงปองเทศกาล: เครื่องลูกแก้วพิเศษครบรอบปีที่ 3 — รับเหรียญลูกแก้วและแลกรับรางวัลมากมาย
  การโหวตคืนชีพครบรอบปี: เลือกสกินศาลากลางเมืองและเอฟเฟกต์การเดินทัพที่ชื่นชอบ หลังโหวตแล้ว ทำเควสต์รายวันหรือเข้าร่วมกิจกรรมลงชื่อเพื่อรับการทดสอบสกินจำกัดเวลา
  การขายแบบแฟลชมีเวลาจำกัด: สกินศาลากลางเมืองครบรอบปีที่ผ่านมาในราคาลดพิเศษ — ห้ามพลาด
  รายงานครบรอบปี: อ่านรายงาน 3 ปี ย้อนชมไฮไลท์ และรับเหรียญครบรอบปี
  การลงชื่อครบรอบปี: ลงชื่อรายวันรับรางวัลเฉพาะเทศกาล — รวมเหรียญรางวัลนักสู้เอ็มม่าคูณสอง!
  ร้านค้าการตกแต่งครบรอบปี: แลกเปลี่ยนส่วนลดจำกัดเวลา — คว้าสกินศาลากลางเมืองและการตกแต่งที่คุณชื่นชอบ
  ดาวนำโชคครบรอบปี: การจับรางวัลทั่วเซิร์ฟเวอร์ในราคาต่อรอง — หมุนลุ้นรับสกินศาลากลางเมืองหายาก!
  การทำนายแชมป์: กิจกรรมทำนายกลับมาแล้ว — ซื้อแพ็ก เลือกคอมโบโชคดี มีสามโอกาสลุ้นแจ็กพอต!
  งานเลี้ยงขุด: บูสต์การขุดจำกัดเวลา — เคลียร์ด่านล่าขุมทรัพย์มากขึ้น รับรางวัลใหญ่ขึ้น และรับการตกแต่งครบรอบปีที่ 1 และ 2
  ต่อรองครบรอบปี: ตั้งราคาของคุณและคว้าไอเทมมูลค่าสูงในราคาถูก
  แลคเกอร์นำโชค: ลองเสี่ยงโชคเพื่อรับสกินพริมาตัส “ผู้พิทักษ์กล่องของเล่น” ที่หายากสุดๆ
  การผจญภัยท่องเที่ยว: เก็บลูกเต๋าท่องเที่ยว เคลื่อนที่ข้ามแผนที่ และรับการตกแต่งเฉพาะครบรอบปี — ฟรีทั้งหมด
  พรการตกแต่ง: เพิ่มการตกแต่งในรายชื่อคำอวยพรของคุณ; ทุกคำอวยพรอาจได้รับการตกแต่งที่คุณเลือก
  ฉลองครบรอบปี: การเฉลิมฉลองสองเฟสที่อัปเกรดแล้ว — เข้าร่วมทั้งสองเฟสเพื่อโอกาสรับชุดเอฟเฟกต์การเดินทัพ “หมึก &amp; ม้วน”
  ข้อเสนอการตกแต่งเดินทัพ: ส่วนลดคุ้มค่าสำหรับอิโมจิและเอฟเฟกต์เดินทัพจำกัดเวลา
- อัปเกรดสนามต่อสู้ยอดสูง: แมตช์สั้นลงสำหรับรอบที่เลือก, แท็บข้อมูลใหม่ และโมดูลการเติบโตส่วนบุคคลในระหว่างการต่อสู้ใหม่
- อัปเกรดสนามต่อสู้ของแชมเปี้ยน: เพิ่มบทบาทการต่อสู้และกิจกรรมสำหรับกลยุทธ์ที่ลึกซึ้งยิ่งขึ้น
- อัปเกรดการทดสอบ ณ ทางตัน: เควสต์จับเมืองด่าน 7-4 ปรับใหม่เพื่อให้เคลียร์ 3 ดาวง่ายขึ้น
- อัปเกรดวิวาททางตัน: กองทหารจะล้างหน่วยศัตรูก่อนโจมตีฐานศัตรู
- อัปเกรดลิงขนส่งระดมพล: ลิงขนส่งสามารถถูกมอบหมายเป็นผู้นำการระดมพลในฉากบางฉากได้แล้ว</v>
      </c>
      <c r="J69" s="168" t="str">
        <f>IFERROR(__xludf.DUMMYFUNCTION("""COMPUTED_VALUE"""),"- Nuevas Estatuas de Luchador: Charlotte Rossi y Reynold Schmidt llegan. ¡Añade más brillo a tu ciudad!
- Nueva Textura de Meca: Textura Primatus “Guardián de la Caja de Juguetes.” Para el próximo festival, los Simios diseñaron el mech Primatus inspirado "&amp;"en los queridos juguetes de la infancia, envolviéndolo en pura alegría.
- Nuevo Evento de Socios Supremos: Entrena a cualquier luchador Socio durante el evento para obtener una montaña de recompensas.
- Nuevos Eventos de Aniversario:
  Conjunto de Textura"&amp;" del Ayuntamiento: ¡Llega el Rey de los Simios! Recolecta todas las partes durante el evento para desbloquear su forma final.
  Celebración de Aniversario: Usa los Dados de Fiesta para participar en el Viaje de Celebración, reúne componentes de decoración"&amp;" y gana generosas recompensas. Además, ¡consigue una foto conmemorativa de la celebración!
  Carnaval de Sorpresas: Gasta Sombreros de Fiesta para sorteos de premios y componentes del conjunto de texturas de aniversario.
  Feria Divertida: ¡Regresa el eve"&amp;"nto del 1er Aniversario! Gasta Monedas de Aniversario para tener la oportunidad de obtener la textura limitada original.
  Pinball del Festival: Una máquina de canicas exclusiva del 3er Aniversario—gana Monedas de Canica e intercámbialas por abundantes re"&amp;"compensas.
  Votación de Regreso de Aniversario: Elige tu textura favorita del Ayuntamiento y el Efecto de Marcha. Después de votar, completa misiones diarias o eventos de inicio de sesión para ganar la prueba de la textura por tiempo limitado.
Venta Relá"&amp;"mpago por Tiempo Limitado: Texturas pasadas del Ayuntamiento de Aniversario con descuentos por tiempo limitado—no te lo pierdas.
Informe de Aniversario: Lee el Informe de 3 Años, revive los destacados y obtén una Medalla de Aniversario.
Inicio de Sesión d"&amp;"e Aniversario: Los inicios de sesión diarios entregan recompensas exclusivas del festival—¡incluidas Medallas de Luchador Emma dobles!
Tienda de Decoración de Aniversario: Intercambio con descuento por tiempo limitado—consigue las texturas del Ayuntamient"&amp;"o y decoraciones que amas.
Estrella de la Suerte de Aniversario: Sorteo en todo el servidor a precios de ganga—gira para tener la oportunidad de obtener texturas raras del Ayuntamiento.
Predicción del Campeón: Regresa el evento de predicción—compra un paq"&amp;"uete, elige un combo de la suerte, ¡tres oportunidades para ganar el bote!
Fiesta de Excavaciones: Impulso minero por tiempo limitado—completa más etapas de Caza de Minas, gana recompensas mayores y consigue decoraciones del 1er y 2ndo Aniversario.
Gangas"&amp;" de Aniversario: Pon tu precio y consigue artículos de alto valor a bajo costo.
Laca de la Suerte: Prueba tu suerte para obtener la ultra-rara textura Primatus “Guardián de la Caja de Juguetes.”
Aventura Errante: Recolecta Dados Errantes, muévete por el m"&amp;"apa y gana decoraciones exclusivas de aniversario—totalmente gratis.
Deseo de Decoración: Añade decoraciones a tu lista de deseos; cada deseo podría otorgarte la decoración que elegiste.
Fiesta de Aniversario: Una celebración mejorada en dos fases—únete a"&amp;" ambas fases para tener la oportunidad de obtener el conjunto de Efecto de Marcha “Tinta y Pergamino.”
Ofertas de Decoración de Marcha: Descuentos valiosos en Emojis y Efectos de Marcha limitados.
-Mejora de Cumbre de la Arena: Partidas más cortas para ro"&amp;"ndas selectas, nuevas pestañas de información y un nuevo módulo de crecimiento personal en batalla.
-Mejora de Arena de Campeones: Añade roles de batalla y eventos para tácticas más profundas.
-Mejora de Retos del Impasse: La misión de captura de construc"&amp;"ción en la etapa 7-4 ha sido ajustada para facilitar limpiezas de 3 estrellas.
-Mejora de Pelea de Campeones: Las tropas ahora eliminan unidades enemigas antes de atacar la base enemiga.
-Mejora de Transportador de Congregar: Los transportadores pueden re"&amp;"asignarse como Líder de Congregar en ciertas escenas.")</f>
        <v>- Nuevas Estatuas de Luchador: Charlotte Rossi y Reynold Schmidt llegan. ¡Añade más brillo a tu ciudad!
- Nueva Textura de Meca: Textura Primatus “Guardián de la Caja de Juguetes.” Para el próximo festival, los Simios diseñaron el mech Primatus inspirado en los queridos juguetes de la infancia, envolviéndolo en pura alegría.
- Nuevo Evento de Socios Supremos: Entrena a cualquier luchador Socio durante el evento para obtener una montaña de recompensas.
- Nuevos Eventos de Aniversario:
  Conjunto de Textura del Ayuntamiento: ¡Llega el Rey de los Simios! Recolecta todas las partes durante el evento para desbloquear su forma final.
  Celebración de Aniversario: Usa los Dados de Fiesta para participar en el Viaje de Celebración, reúne componentes de decoración y gana generosas recompensas. Además, ¡consigue una foto conmemorativa de la celebración!
  Carnaval de Sorpresas: Gasta Sombreros de Fiesta para sorteos de premios y componentes del conjunto de texturas de aniversario.
  Feria Divertida: ¡Regresa el evento del 1er Aniversario! Gasta Monedas de Aniversario para tener la oportunidad de obtener la textura limitada original.
  Pinball del Festival: Una máquina de canicas exclusiva del 3er Aniversario—gana Monedas de Canica e intercámbialas por abundantes recompensas.
  Votación de Regreso de Aniversario: Elige tu textura favorita del Ayuntamiento y el Efecto de Marcha. Después de votar, completa misiones diarias o eventos de inicio de sesión para ganar la prueba de la textura por tiempo limitado.
Venta Relámpago por Tiempo Limitado: Texturas pasadas del Ayuntamiento de Aniversario con descuentos por tiempo limitado—no te lo pierdas.
Informe de Aniversario: Lee el Informe de 3 Años, revive los destacados y obtén una Medalla de Aniversario.
Inicio de Sesión de Aniversario: Los inicios de sesión diarios entregan recompensas exclusivas del festival—¡incluidas Medallas de Luchador Emma dobles!
Tienda de Decoración de Aniversario: Intercambio con descuento por tiempo limitado—consigue las texturas del Ayuntamiento y decoraciones que amas.
Estrella de la Suerte de Aniversario: Sorteo en todo el servidor a precios de ganga—gira para tener la oportunidad de obtener texturas raras del Ayuntamiento.
Predicción del Campeón: Regresa el evento de predicción—compra un paquete, elige un combo de la suerte, ¡tres oportunidades para ganar el bote!
Fiesta de Excavaciones: Impulso minero por tiempo limitado—completa más etapas de Caza de Minas, gana recompensas mayores y consigue decoraciones del 1er y 2ndo Aniversario.
Gangas de Aniversario: Pon tu precio y consigue artículos de alto valor a bajo costo.
Laca de la Suerte: Prueba tu suerte para obtener la ultra-rara textura Primatus “Guardián de la Caja de Juguetes.”
Aventura Errante: Recolecta Dados Errantes, muévete por el mapa y gana decoraciones exclusivas de aniversario—totalmente gratis.
Deseo de Decoración: Añade decoraciones a tu lista de deseos; cada deseo podría otorgarte la decoración que elegiste.
Fiesta de Aniversario: Una celebración mejorada en dos fases—únete a ambas fases para tener la oportunidad de obtener el conjunto de Efecto de Marcha “Tinta y Pergamino.”
Ofertas de Decoración de Marcha: Descuentos valiosos en Emojis y Efectos de Marcha limitados.
-Mejora de Cumbre de la Arena: Partidas más cortas para rondas selectas, nuevas pestañas de información y un nuevo módulo de crecimiento personal en batalla.
-Mejora de Arena de Campeones: Añade roles de batalla y eventos para tácticas más profundas.
-Mejora de Retos del Impasse: La misión de captura de construcción en la etapa 7-4 ha sido ajustada para facilitar limpiezas de 3 estrellas.
-Mejora de Pelea de Campeones: Las tropas ahora eliminan unidades enemigas antes de atacar la base enemiga.
-Mejora de Transportador de Congregar: Los transportadores pueden reasignarse como Líder de Congregar en ciertas escenas.</v>
      </c>
      <c r="K69" s="168" t="str">
        <f>IFERROR(__xludf.DUMMYFUNCTION("""COMPUTED_VALUE"""),"- Новые статуи героев: Шарлотта Росси и Рейнольд Шмидт прибывают. Добавьте больше блеска вашему городу!  
- Новый облик меха: Облик Приматус «Страж игрушечной коробки». На предстоящий фестиваль Обезьяны стилизовали мех Приматус под любимые детские игрушки"&amp;", окутывая его чистой радостью.  
- Новое событие «Великие партнеры»: Обучайте любого героя-партнера во время события, чтобы получить гору наград.  
- Новые юбилейные события:  
  Облик городского совета: Прибытие Короля Обезьян! Соберите все части в ходе"&amp;" события, чтобы открыть его финальную форму.  
  Юбилейное празднование: Используйте праздничные кубики, чтобы участвовать в праздничном путешествии, собирайте компоненты украшений и зарабатывайте щедрые награды. Плюс получите памятное праздничное фото!  "&amp;"
  Карнавал сюрпризов: Тратьте праздничные шляпы на розыгрыши призов и компоненты юбилейного набора обликов.  
  Ярмарка развлечений: Возвращается событие первого юбилея! Тратьте юбилейные монеты для шанса получить оригинальный ограниченный облик.  
  Фес"&amp;"тиваль пинбола: Эксклюзивный к 3‑ему юбилею мраморный автомат — зарабатывайте мраморные монеты и обменивайте их на обильные награды.  
  Голосование за возвращение юбилея: Выберите любимый облик городского совета и эффект марша. После голосования выполняй"&amp;"те ежедневные задания или входите в игру, чтобы получить ограниченный пробный облик.  
- Ограниченная по времени молниеносная распродажа: Прошлые юбилейные облики городского совета со скидками — не пропустите.  
- Юбилейный отчет: Прочитайте отчет за 3 го"&amp;"да, вспомните лучшие моменты и получите юбилейную медаль.  
- Юбилейный вход: Ежедневные входы приносят эксклюзивные фестивальные награды — включая двойные медали героя Эммы!  
- Юбилейный магазин украшений: Обмен со скидкой ограниченного времени — забира"&amp;"йте любимые облики городского совета и украшения.  
- Юбилейная удача: Общесерверная лотерея по выгодным ценам — крутите барабан для шанса получить редкие облики городского совета!  
- Прогноз чемпиона: Возвращается событие прогнозов — купите набор, выбер"&amp;"ите счастливое комбо, три шанса выиграть джекпот!  
- Праздник раскопок: Ограниченное по времени усиление добычи — проходите больше этапов охоты за рудой, выигрывайте крупные награды и получайте украшения 1‑го и 2‑го юбилея.  
- Юбилейные торги: Назовите "&amp;"свою цену и приобретайте ценные предметы по выгодной цене.  
- Счастливый лак: Испытайте удачу, чтобы получить ультраредкий облик Приматус «Страж игрушечной коробки».  
- Блуждающее приключение: Собирайте блуждающие кубики, перемещайтесь по карте и зараба"&amp;"тывайте эксклюзивные юбилейные украшения — абсолютно бесплатно.  
- Желание украшения: Добавляйте украшения в список желаний; каждое желание может принести выбранное вами украшение.  
- Юбилейная кутерьма: Обновленное двухфазное празднование — участвуйте "&amp;"в обеих фазах для шанса получить набор эффектов марша «Чернила и свиток».  
- Скидки на украшения марша: Выгодные скидки на ограниченные эмодзи и эффекты марша.  
- Обновление Арены Вершины: Более короткие матчи для выбранных раундов, новые вкладки информ"&amp;"ации и новый модуль личного роста в бою.  
- Обновление Арены чемпионов: Добавлены боевые роли и события для более глубоких тактик.  
- Обновление Испытаний Тупика: Квест захвата здания на этапе 7‑4 переработан для более легкого прохождения с 3 звездами. "&amp;" 
- Обновление Потасовки чемпионов: Войска теперь уничтожают вражеские отряды перед атакой базы врага.  
- Обновление Перевозчика похода: Перевозчиков можно переназначать лидерами похода в определённых сценах.")</f>
        <v>- Новые статуи героев: Шарлотта Росси и Рейнольд Шмидт прибывают. Добавьте больше блеска вашему городу!  
- Новый облик меха: Облик Приматус «Страж игрушечной коробки». На предстоящий фестиваль Обезьяны стилизовали мех Приматус под любимые детские игрушки, окутывая его чистой радостью.  
- Новое событие «Великие партнеры»: Обучайте любого героя-партнера во время события, чтобы получить гору наград.  
- Новые юбилейные события:  
  Облик городского совета: Прибытие Короля Обезьян! Соберите все части в ходе события, чтобы открыть его финальную форму.  
  Юбилейное празднование: Используйте праздничные кубики, чтобы участвовать в праздничном путешествии, собирайте компоненты украшений и зарабатывайте щедрые награды. Плюс получите памятное праздничное фото!  
  Карнавал сюрпризов: Тратьте праздничные шляпы на розыгрыши призов и компоненты юбилейного набора обликов.  
  Ярмарка развлечений: Возвращается событие первого юбилея! Тратьте юбилейные монеты для шанса получить оригинальный ограниченный облик.  
  Фестиваль пинбола: Эксклюзивный к 3‑ему юбилею мраморный автомат — зарабатывайте мраморные монеты и обменивайте их на обильные награды.  
  Голосование за возвращение юбилея: Выберите любимый облик городского совета и эффект марша. После голосования выполняйте ежедневные задания или входите в игру, чтобы получить ограниченный пробный облик.  
- Ограниченная по времени молниеносная распродажа: Прошлые юбилейные облики городского совета со скидками — не пропустите.  
- Юбилейный отчет: Прочитайте отчет за 3 года, вспомните лучшие моменты и получите юбилейную медаль.  
- Юбилейный вход: Ежедневные входы приносят эксклюзивные фестивальные награды — включая двойные медали героя Эммы!  
- Юбилейный магазин украшений: Обмен со скидкой ограниченного времени — забирайте любимые облики городского совета и украшения.  
- Юбилейная удача: Общесерверная лотерея по выгодным ценам — крутите барабан для шанса получить редкие облики городского совета!  
- Прогноз чемпиона: Возвращается событие прогнозов — купите набор, выберите счастливое комбо, три шанса выиграть джекпот!  
- Праздник раскопок: Ограниченное по времени усиление добычи — проходите больше этапов охоты за рудой, выигрывайте крупные награды и получайте украшения 1‑го и 2‑го юбилея.  
- Юбилейные торги: Назовите свою цену и приобретайте ценные предметы по выгодной цене.  
- Счастливый лак: Испытайте удачу, чтобы получить ультраредкий облик Приматус «Страж игрушечной коробки».  
- Блуждающее приключение: Собирайте блуждающие кубики, перемещайтесь по карте и зарабатывайте эксклюзивные юбилейные украшения — абсолютно бесплатно.  
- Желание украшения: Добавляйте украшения в список желаний; каждое желание может принести выбранное вами украшение.  
- Юбилейная кутерьма: Обновленное двухфазное празднование — участвуйте в обеих фазах для шанса получить набор эффектов марша «Чернила и свиток».  
- Скидки на украшения марша: Выгодные скидки на ограниченные эмодзи и эффекты марша.  
- Обновление Арены Вершины: Более короткие матчи для выбранных раундов, новые вкладки информации и новый модуль личного роста в бою.  
- Обновление Арены чемпионов: Добавлены боевые роли и события для более глубоких тактик.  
- Обновление Испытаний Тупика: Квест захвата здания на этапе 7‑4 переработан для более легкого прохождения с 3 звездами.  
- Обновление Потасовки чемпионов: Войска теперь уничтожают вражеские отряды перед атакой базы врага.  
- Обновление Перевозчика похода: Перевозчиков можно переназначать лидерами похода в определённых сценах.</v>
      </c>
      <c r="L69" s="168" t="str">
        <f>IFERROR(__xludf.DUMMYFUNCTION("""COMPUTED_VALUE"""),"- Yeni Savaşçı Heykelleri: Charlotte Rossi ve Reynold Schmidt geliyor. Şehrinize daha fazla parlaklık katın!
- Yeni Meka Görünümü: Primatus Görünümü “Oyuncak Kutu Muhafızı.” Yaklaşan festival için, Maymunlar Primatus mekasını sevilen çocukluk oyuncakların"&amp;"a benzeterek saf neşe ile süslediler.
- Yeni En Üstün Ortaklar Etkinliği: Etkinlik sırasında herhangi bir Ortak savaşçıyı eğitin ve bir dağ kadar ödül kazanın.
- Yeni Yıldönümü Etkinlikleri:
  Meclis Görünümü Seti: Maymun Kralı Geliyor! Etkinlik boyunca t"&amp;"üm parçaları toplayarak son formunu açın.
  Yıldönümü Kutlaması: Tatil Zarlarını kullanarak Kutlama Yolculuğuna katılın, dekorasyon bileşenleri toplayın ve cömert ödüller kazanın. Ayrıca, anısal bir kutlama fotoğrafı kapın!
  Sürpriz Karnaval: Parti Şapka"&amp;"larını ödül çekilişleri ve yıldönümü görünüm seti bileşenleri için harcayın.
  Eğlence Fuarı: 1. Yıldönümü etkinliği geri dönüyor! Yıldönümü Paraları harcayarak orijinal sınırlı görünüme şans tanıyın.
  Festival Pinball: 3. Yıldönümü’ne özel bilye makines"&amp;"i—Bilye Paraları kazanın ve bol ödüller için takas edin.
  Yıldönümü Geri Dönüş Oylaması: Favori Meclis görünümünüzü ve Sefer Etkisini seçin. Oy verdikten sonra günlük maceraları veya oturum açma etkinliklerini tamamlayarak sınırlı süreli görünüm denemesi"&amp;"ni kazanın.
Sınırlı Süreli Flaş Satış: Geçmiş Yıldönümü Meclis görünümleri zaman sınırlı indirimlerle—kaçırmayın.
Yıldönümü Raporu: 3 Yıllık Raporu okuyun, öne çıkanları yeniden yaşayın ve bir Yıldönümü Madalyası kazanın.
Yıldönümü Oturum Açma: Günlük gir"&amp;"işler sadece festivale özel ödüller verir—çift Emma Savaşçı Madalyası dahil!
Yıldönümü Dekorasyon Mağazası: Sınırlı süreli indirimli takas—sevdiğiniz Meclis görünümleri ve dekorasyonları kapın.
Yıldönümü Şanslı Yıldız: Sunucu çapında uygun fiyatlı çekiliş"&amp;"—nadir Meclis görünümleri için dönme şansı!
Tahmin Şampiyonu: Tahmin etkinliği geri dönüyor—paket satın alın, şanslı komboyu seçin, büyük ödül için üç şans!
Kazı Şöleni: Sınırlı süreli madencilik güçlendirmesi—Daha fazla Petrol Kuyusu Avı aşaması temizley"&amp;"in, daha büyük ödüller kazanın ve 1. ile 2. Yıldönümü dekorasyonlarını alın.
Yıldönümü Pazarlıkları: Fiyatınızı belirleyin ve yüksek değerli eşyaları ucuza kapın.
Şanslı Lake: Ultra nadir Primatus Görünümü “Oyuncak Kutu Muhafızı” için şansınızı deneyin.
D"&amp;"olaşan Macera: Dolaşan Zarları toplayın, harita boyunca hareket edin ve yıldönümüne özel dekorasyon kazanın—tamamen ücretsiz.
Dekorasyon Dileği: Dekorasyonları dilek listenize ekleyin; her dilek seçtiğiniz dekorasyonu düşürebilir.
Yıldönümü Şenliği: Geliş"&amp;"tirilmiş iki aşamalı kutlama—her iki aşamaya da katılarak “Mürekkep &amp; Parşömen” Sefer Etkisi seti için şans yakalayın.
Sefer Dekorasyon Fırsatları: Sınırlı Sefer Emojileri ve Etkilerinde değerli indirimler.
-Zirve Çarpışması yükseltmesi: Seçili turlar içi"&amp;"n daha kısa maçlar, yeni bilgi sekmeleri ve savaş içi kişisel gelişim modülü.
-Şampiyonlar Arenası yükseltmesi: Daha derin taktikler için savaş rolleri ve etkinlikler ekleniyor.
-Çıkmaz Durum Denemeleri yükseltmesi: 7-4 aşaması bina ele geçirme görevi, 3 "&amp;"yıldız temizlemeleri kolaylaştıracak şekilde yeniden düzenlendi.
-Şampiyonlar Kavgası yükseltmesi: Birlikler artık düşman üs hedeflenmeden önce düşman birimlerini temizliyor.
-Toplu Saldırı Taşıyıcı yükseltmesi: Taşıyıcılar belirli sahnelerde Toplu Saldır"&amp;"ı Lideri olarak yeniden atanabilir.")</f>
        <v>- Yeni Savaşçı Heykelleri: Charlotte Rossi ve Reynold Schmidt geliyor. Şehrinize daha fazla parlaklık katın!
- Yeni Meka Görünümü: Primatus Görünümü “Oyuncak Kutu Muhafızı.” Yaklaşan festival için, Maymunlar Primatus mekasını sevilen çocukluk oyuncaklarına benzeterek saf neşe ile süslediler.
- Yeni En Üstün Ortaklar Etkinliği: Etkinlik sırasında herhangi bir Ortak savaşçıyı eğitin ve bir dağ kadar ödül kazanın.
- Yeni Yıldönümü Etkinlikleri:
  Meclis Görünümü Seti: Maymun Kralı Geliyor! Etkinlik boyunca tüm parçaları toplayarak son formunu açın.
  Yıldönümü Kutlaması: Tatil Zarlarını kullanarak Kutlama Yolculuğuna katılın, dekorasyon bileşenleri toplayın ve cömert ödüller kazanın. Ayrıca, anısal bir kutlama fotoğrafı kapın!
  Sürpriz Karnaval: Parti Şapkalarını ödül çekilişleri ve yıldönümü görünüm seti bileşenleri için harcayın.
  Eğlence Fuarı: 1. Yıldönümü etkinliği geri dönüyor! Yıldönümü Paraları harcayarak orijinal sınırlı görünüme şans tanıyın.
  Festival Pinball: 3. Yıldönümü’ne özel bilye makinesi—Bilye Paraları kazanın ve bol ödüller için takas edin.
  Yıldönümü Geri Dönüş Oylaması: Favori Meclis görünümünüzü ve Sefer Etkisini seçin. Oy verdikten sonra günlük maceraları veya oturum açma etkinliklerini tamamlayarak sınırlı süreli görünüm denemesini kazanın.
Sınırlı Süreli Flaş Satış: Geçmiş Yıldönümü Meclis görünümleri zaman sınırlı indirimlerle—kaçırmayın.
Yıldönümü Raporu: 3 Yıllık Raporu okuyun, öne çıkanları yeniden yaşayın ve bir Yıldönümü Madalyası kazanın.
Yıldönümü Oturum Açma: Günlük girişler sadece festivale özel ödüller verir—çift Emma Savaşçı Madalyası dahil!
Yıldönümü Dekorasyon Mağazası: Sınırlı süreli indirimli takas—sevdiğiniz Meclis görünümleri ve dekorasyonları kapın.
Yıldönümü Şanslı Yıldız: Sunucu çapında uygun fiyatlı çekiliş—nadir Meclis görünümleri için dönme şansı!
Tahmin Şampiyonu: Tahmin etkinliği geri dönüyor—paket satın alın, şanslı komboyu seçin, büyük ödül için üç şans!
Kazı Şöleni: Sınırlı süreli madencilik güçlendirmesi—Daha fazla Petrol Kuyusu Avı aşaması temizleyin, daha büyük ödüller kazanın ve 1. ile 2. Yıldönümü dekorasyonlarını alın.
Yıldönümü Pazarlıkları: Fiyatınızı belirleyin ve yüksek değerli eşyaları ucuza kapın.
Şanslı Lake: Ultra nadir Primatus Görünümü “Oyuncak Kutu Muhafızı” için şansınızı deneyin.
Dolaşan Macera: Dolaşan Zarları toplayın, harita boyunca hareket edin ve yıldönümüne özel dekorasyon kazanın—tamamen ücretsiz.
Dekorasyon Dileği: Dekorasyonları dilek listenize ekleyin; her dilek seçtiğiniz dekorasyonu düşürebilir.
Yıldönümü Şenliği: Geliştirilmiş iki aşamalı kutlama—her iki aşamaya da katılarak “Mürekkep &amp; Parşömen” Sefer Etkisi seti için şans yakalayın.
Sefer Dekorasyon Fırsatları: Sınırlı Sefer Emojileri ve Etkilerinde değerli indirimler.
-Zirve Çarpışması yükseltmesi: Seçili turlar için daha kısa maçlar, yeni bilgi sekmeleri ve savaş içi kişisel gelişim modülü.
-Şampiyonlar Arenası yükseltmesi: Daha derin taktikler için savaş rolleri ve etkinlikler ekleniyor.
-Çıkmaz Durum Denemeleri yükseltmesi: 7-4 aşaması bina ele geçirme görevi, 3 yıldız temizlemeleri kolaylaştıracak şekilde yeniden düzenlendi.
-Şampiyonlar Kavgası yükseltmesi: Birlikler artık düşman üs hedeflenmeden önce düşman birimlerini temizliyor.
-Toplu Saldırı Taşıyıcı yükseltmesi: Taşıyıcılar belirli sahnelerde Toplu Saldırı Lideri olarak yeniden atanabilir.</v>
      </c>
      <c r="M69" s="168" t="str">
        <f>IFERROR(__xludf.DUMMYFUNCTION("""COMPUTED_VALUE"""),"- Tượng Chiến Binh Mới: Charlotte Rossi và Reynold Schmidt xuất hiện. Thêm rực rỡ cho thành phố của bạn!
- Giao Diện Cơ Khí Mới: Giao diện Primatus “Thủ Hộ Viên Hộp Đồ Chơi.” Với lễ hội sắp tới, loài Vượn đã tạo hình Cơ Khí Primatus theo những món đồ chơi"&amp;" thời thơ ấu yêu thích, bao bọc nó trong niềm vui thuần khiết.
- Sự Kiện Đối Tác Tối Thượng Mới: Huấn luyện bất kỳ Chiến Binh Đối Tác nào trong sự kiện để nhận vô số phần thưởng.
- Sự Kiện Kỷ Niệm Mới:
  Gói Giao Diện Tòa Thị Chính: Vua Khỉ Đến! Thu thập "&amp;"tất cả các phần qua sự kiện để mở khóa hình dạng cuối cùng.
  Lễ Kỷ Niệm: Sử dụng Xúc Xắc Lễ Hội để tham gia Hành Trình Lễ Hội, thu thập linh kiện trang trí và nhận phần thưởng hậu hĩnh. Thêm vào đó, nhận ngay một bức ảnh kỷ niệm lễ hội!
  Lễ Hội Bất Ngờ:"&amp;" Dùng Mũ Dạ Hội để quay thưởng và nhận linh kiện bộ giao diện kỷ niệm.
  Hội Chợ Vui Vẻ: Sự kiện Kỷ Niệm 1 Năm trở lại! Dùng Xu Kỷ Niệm để có cơ hội nhận giao diện giới hạn ban đầu.
  Lễ Hội Pinball: Máy bi đá độc quyền Kỷ Niệm 3 Năm—kiếm Xu Bi và đổi lấy"&amp;" phần thưởng phong phú.
  Bình Chọn Quay Lại Kỷ Niệm: Chọn giao diện Tòa Thị Chính và Hiệu Ứng Hành Quân yêu thích. Sau khi bình chọn, hoàn thành nhiệm vụ hàng ngày hoặc sự kiện đăng nhập để nhận thử nghiệm giao diện giới hạn thời gian.
Bán Hàng Chớp Nhoá"&amp;"ng Giới Hạn Thời Gian: Giao diện Tòa Thị Chính Kỷ Niệm trước đây với giá ưu đãi giới hạn thời gian—đừng bỏ lỡ.
Báo Cáo Kỷ Niệm: Đọc Báo Cáo 3 Năm, hồi tưởng những điểm nổi bật và nhận Huy Hiệu Kỷ Niệm.
Đăng Nhập Kỷ Niệm: Đăng nhập hàng ngày nhận phần thưở"&amp;"ng chỉ có trong lễ hội—bao gồm cả Huy Hiệu Chiến Binh Emma nhân đôi!
Cửa Hàng Trang Trí Kỷ Niệm: Đổi quà giảm giá giới hạn thời gian—sở hữu giao diện Tòa Thị Chính và trang trí bạn yêu thích.
Sao May Mắn Kỷ Niệm: Rút thăm toàn máy chủ với giá ưu đãi—quay "&amp;"để có cơ hội nhận giao diện Tòa Thị Chính hiếm!
Dự Đoán Vô Địch: Sự kiện dự đoán trở lại—mua gói, chọn kết hợp may mắn, ba cơ hội trúng giải độc đắc!
Lễ Hội Đào Kho Báu: Tăng tốc khai thác giới hạn thời gian—hoàn thành nhiều màn Săn Mỏ hơn, nhận phần thưở"&amp;"ng lớn hơn, và nhận trang trí Kỷ Niệm lần 1 và lần 2.
Mặc Cả Kỷ Niệm: Tự đặt giá và sở hữu vật phẩm giá trị cao với giá rẻ.
Sơn Mài May Mắn: Thử vận may để nhận giao diện Primatus siêu hiếm “Thủ Hộ Viên Hộp Đồ Chơi.”
Cuộc Phiêu Lưu Lang Thang: Thu thập Xú"&amp;"c Xắc Du Hành, di chuyển trên bản đồ và nhận trang trí độc quyền kỷ niệm—hoàn toàn miễn phí.
Chúc Phúc Trang Trí: Thêm trang trí vào danh sách cầu nguyện; mỗi lời cầu có thể rơi trang trí bạn chọn.
Bữa Tiệc Kỷ Niệm: Lễ hội hai giai đoạn nâng cấp—tham gia "&amp;"cả hai giai đoạn để có cơ hội nhận bộ Hiệu Ứng Hành Quân “Mực &amp; Cuộn.”
Ưu Đãi Trang Trí Hành Quân: Giảm giá giá trị trên Biểu Cảm và Hiệu Ứng Hành Quân giới hạn.
- Nâng cấp Đỉnh Đấu Tranh: Trận đấu ngắn hơn cho các vòng chọn lọc, tab thông tin mới và mô-đ"&amp;"un phát triển cá nhân trong trận đấu mới.
- Nâng cấp Đấu Trường Vô Địch: Thêm vai trò chiến đấu và sự kiện cho chiến thuật sâu hơn.
- Nâng cấp Thí Luyện Tuyệt Địa: Nhiệm vụ chiếm tòa nhà giai đoạn 7-4 được điều chỉnh lại để dễ dàng đạt 3 sao hơn.
- Nâng c"&amp;"ấp Đấu Trường Tinh Anh: Binh lính giờ đây tiêu diệt đơn vị địch trước khi tấn công căn cứ địch.
- Nâng cấp Tập Hợp Người Vận Chuyển: Người vận chuyển có thể được chỉ định lại làm Đội Trưởng Tập Hợp trong một số cảnh.")</f>
        <v>- Tượng Chiến Binh Mới: Charlotte Rossi và Reynold Schmidt xuất hiện. Thêm rực rỡ cho thành phố của bạn!
- Giao Diện Cơ Khí Mới: Giao diện Primatus “Thủ Hộ Viên Hộp Đồ Chơi.” Với lễ hội sắp tới, loài Vượn đã tạo hình Cơ Khí Primatus theo những món đồ chơi thời thơ ấu yêu thích, bao bọc nó trong niềm vui thuần khiết.
- Sự Kiện Đối Tác Tối Thượng Mới: Huấn luyện bất kỳ Chiến Binh Đối Tác nào trong sự kiện để nhận vô số phần thưởng.
- Sự Kiện Kỷ Niệm Mới:
  Gói Giao Diện Tòa Thị Chính: Vua Khỉ Đến! Thu thập tất cả các phần qua sự kiện để mở khóa hình dạng cuối cùng.
  Lễ Kỷ Niệm: Sử dụng Xúc Xắc Lễ Hội để tham gia Hành Trình Lễ Hội, thu thập linh kiện trang trí và nhận phần thưởng hậu hĩnh. Thêm vào đó, nhận ngay một bức ảnh kỷ niệm lễ hội!
  Lễ Hội Bất Ngờ: Dùng Mũ Dạ Hội để quay thưởng và nhận linh kiện bộ giao diện kỷ niệm.
  Hội Chợ Vui Vẻ: Sự kiện Kỷ Niệm 1 Năm trở lại! Dùng Xu Kỷ Niệm để có cơ hội nhận giao diện giới hạn ban đầu.
  Lễ Hội Pinball: Máy bi đá độc quyền Kỷ Niệm 3 Năm—kiếm Xu Bi và đổi lấy phần thưởng phong phú.
  Bình Chọn Quay Lại Kỷ Niệm: Chọn giao diện Tòa Thị Chính và Hiệu Ứng Hành Quân yêu thích. Sau khi bình chọn, hoàn thành nhiệm vụ hàng ngày hoặc sự kiện đăng nhập để nhận thử nghiệm giao diện giới hạn thời gian.
Bán Hàng Chớp Nhoáng Giới Hạn Thời Gian: Giao diện Tòa Thị Chính Kỷ Niệm trước đây với giá ưu đãi giới hạn thời gian—đừng bỏ lỡ.
Báo Cáo Kỷ Niệm: Đọc Báo Cáo 3 Năm, hồi tưởng những điểm nổi bật và nhận Huy Hiệu Kỷ Niệm.
Đăng Nhập Kỷ Niệm: Đăng nhập hàng ngày nhận phần thưởng chỉ có trong lễ hội—bao gồm cả Huy Hiệu Chiến Binh Emma nhân đôi!
Cửa Hàng Trang Trí Kỷ Niệm: Đổi quà giảm giá giới hạn thời gian—sở hữu giao diện Tòa Thị Chính và trang trí bạn yêu thích.
Sao May Mắn Kỷ Niệm: Rút thăm toàn máy chủ với giá ưu đãi—quay để có cơ hội nhận giao diện Tòa Thị Chính hiếm!
Dự Đoán Vô Địch: Sự kiện dự đoán trở lại—mua gói, chọn kết hợp may mắn, ba cơ hội trúng giải độc đắc!
Lễ Hội Đào Kho Báu: Tăng tốc khai thác giới hạn thời gian—hoàn thành nhiều màn Săn Mỏ hơn, nhận phần thưởng lớn hơn, và nhận trang trí Kỷ Niệm lần 1 và lần 2.
Mặc Cả Kỷ Niệm: Tự đặt giá và sở hữu vật phẩm giá trị cao với giá rẻ.
Sơn Mài May Mắn: Thử vận may để nhận giao diện Primatus siêu hiếm “Thủ Hộ Viên Hộp Đồ Chơi.”
Cuộc Phiêu Lưu Lang Thang: Thu thập Xúc Xắc Du Hành, di chuyển trên bản đồ và nhận trang trí độc quyền kỷ niệm—hoàn toàn miễn phí.
Chúc Phúc Trang Trí: Thêm trang trí vào danh sách cầu nguyện; mỗi lời cầu có thể rơi trang trí bạn chọn.
Bữa Tiệc Kỷ Niệm: Lễ hội hai giai đoạn nâng cấp—tham gia cả hai giai đoạn để có cơ hội nhận bộ Hiệu Ứng Hành Quân “Mực &amp; Cuộn.”
Ưu Đãi Trang Trí Hành Quân: Giảm giá giá trị trên Biểu Cảm và Hiệu Ứng Hành Quân giới hạn.
- Nâng cấp Đỉnh Đấu Tranh: Trận đấu ngắn hơn cho các vòng chọn lọc, tab thông tin mới và mô-đun phát triển cá nhân trong trận đấu mới.
- Nâng cấp Đấu Trường Vô Địch: Thêm vai trò chiến đấu và sự kiện cho chiến thuật sâu hơn.
- Nâng cấp Thí Luyện Tuyệt Địa: Nhiệm vụ chiếm tòa nhà giai đoạn 7-4 được điều chỉnh lại để dễ dàng đạt 3 sao hơn.
- Nâng cấp Đấu Trường Tinh Anh: Binh lính giờ đây tiêu diệt đơn vị địch trước khi tấn công căn cứ địch.
- Nâng cấp Tập Hợp Người Vận Chuyển: Người vận chuyển có thể được chỉ định lại làm Đội Trưởng Tập Hợp trong một số cảnh.</v>
      </c>
      <c r="N69" s="169" t="str">
        <f>IFERROR(__xludf.DUMMYFUNCTION("""COMPUTED_VALUE"""),"- Nuove Statue dei Combattenti: Charlotte Rossi e Reynold Schmidt arrivano. Aggiungi più splendore alla tua città!
- Nuovo Aspetto Mech: Aspetto Primatus “Guardiano della Scatola dei Giocattoli.” Per il prossimo festival, le scimmie hanno modellato il mec"&amp;"h Primatus ispirandosi ai giocattoli d'infanzia più amati, avvolgendolo in pura allegria.
- Nuovo Evento Partner Supremi: Addestra qualsiasi combattente Partner durante l'evento per ottenere una montagna di ricompense.
- Nuovi Eventi Anniversario:
  Aspet"&amp;"to del Municipio Set: Arriva il Re dei Primati! Raccogli tutte le parti durante l'evento per sbloccare la sua forma finale.
  Celebrazione Anniversario: Usa i Dadi delle Feste per partecipare al Viaggio di Celebrazione, raccogli componenti per decorazioni"&amp;" e guadagna ricompense generose. Inoltre, ottieni una foto commemorativa della celebrazione!
  Carnevale a Sorpresa: Usa i Cappelli da festa per estrazioni di premi e componenti del set di aspetti dell'anniversario.
  Fiera del Divertimento: L'evento del "&amp;"1° Anniversario ritorna! Usa le Monete dell'Anniversario per tentare di ottenere l'aspetto limitato originale.
  Flipper del Festival: Una macchina di marmo esclusiva per il 3° Anniversario—guadagna Monete di Marmo e scambiale per ricompense abbondanti.
 "&amp;" Voto per il Ritorno dell'Anniversario: Scegli il tuo aspetto del Municipio e l'Effetto di Marcia preferiti. Dopo il voto, completa missioni giornaliere o eventi di accesso per guadagnare la prova dell'aspetto a tempo limitato.
Vendita Lampo a Tempo Limit"&amp;"ato: Aspetti passati del Municipio dell'Anniversario a sconti limitati nel tempo—non perderteli.
Rapporto Anniversario: Leggi il Rapporto dei 3 Anni, rivivi i momenti salienti e ottieni una Medaglia Anniversario.
Accesso Anniversario: Accessi giornalieri "&amp;"con ricompense esclusive del festival—inclusi doppi Medaglie dei Combattenti Emma!
Negozio di Decorazioni Anniversario: Scambio a sconto limitato nel tempo—prendi gli aspetti del Municipio e le decorazioni che ami.
Stella Fortunata Anniversario: Estrazion"&amp;"e server-wide a prezzi vantaggiosi—gira per avere la possibilità di ottenere aspetti rari del Municipio!
Predizione Campione: L'evento di predizione ritorna—acquista un pacchetto, scegli una combinazione fortunata, tre possibilità di vincere il superpremi"&amp;"o!
Festa degli Scavi: Potenziamento minerario a tempo limitato—completa più fasi di Caccia alla Miniera, vinci ricompense maggiori e ottieni decorazioni del 1° e 2° Anniversario.
Affari dell'Anniversario: Scegli il tuo prezzo e ottieni oggetti di alto val"&amp;"ore a poco prezzo.
Lacca Fortunata: Sfida la sorte per l'ultra-raro Aspetto Primatus “Guardiano della Scatola dei Giocattoli.”
Avventura Itinerante: Raccogli Dadi Erranti, muoviti sulla mappa e guadagna decorazioni esclusive dell'anniversario—assolutament"&amp;"e gratis.
Augurio Decorazione: Aggiungi decorazioni alla tua lista dei desideri; ogni augurio potrebbe farti ottenere la decorazione scelta.
Festa dell'Anniversario: Una celebrazione migliorata in due fasi—partecipa a entrambe per avere la possibilità di "&amp;"ottenere il set Effetto di Marcia “Inchiostro &amp; Pergamena.”
Offerte Decorazioni in Marcia: Sconti preziosi su Emoji e Effetti in Marcia limitati.
-Aggiornamento Scontro Apice: Partite più brevi per alcuni round selezionati, nuove schede info e un nuovo mo"&amp;"dulo di crescita personale in battaglia.
-Aggiornamento Arena dei Campioni: Aggiunge ruoli di battaglia ed eventi per tattiche più profonde.
-Aggiornamento Prove dell'Impasse: Quest di cattura edificio al livello 7-4 ribilanciata per facilitare le pulizie"&amp;" a 3 stelle.
-Aggiornamento Rissa dei Campioni: Le truppe ora eliminano le unità nemiche prima di attaccare la base nemica.
-Aggiornamento Trasportatore Adunata: I trasportatori possono essere riassegnati come Leader dell'Adunata in alcune scene.")</f>
        <v>- Nuove Statue dei Combattenti: Charlotte Rossi e Reynold Schmidt arrivano. Aggiungi più splendore alla tua città!
- Nuovo Aspetto Mech: Aspetto Primatus “Guardiano della Scatola dei Giocattoli.” Per il prossimo festival, le scimmie hanno modellato il mech Primatus ispirandosi ai giocattoli d'infanzia più amati, avvolgendolo in pura allegria.
- Nuovo Evento Partner Supremi: Addestra qualsiasi combattente Partner durante l'evento per ottenere una montagna di ricompense.
- Nuovi Eventi Anniversario:
  Aspetto del Municipio Set: Arriva il Re dei Primati! Raccogli tutte le parti durante l'evento per sbloccare la sua forma finale.
  Celebrazione Anniversario: Usa i Dadi delle Feste per partecipare al Viaggio di Celebrazione, raccogli componenti per decorazioni e guadagna ricompense generose. Inoltre, ottieni una foto commemorativa della celebrazione!
  Carnevale a Sorpresa: Usa i Cappelli da festa per estrazioni di premi e componenti del set di aspetti dell'anniversario.
  Fiera del Divertimento: L'evento del 1° Anniversario ritorna! Usa le Monete dell'Anniversario per tentare di ottenere l'aspetto limitato originale.
  Flipper del Festival: Una macchina di marmo esclusiva per il 3° Anniversario—guadagna Monete di Marmo e scambiale per ricompense abbondanti.
  Voto per il Ritorno dell'Anniversario: Scegli il tuo aspetto del Municipio e l'Effetto di Marcia preferiti. Dopo il voto, completa missioni giornaliere o eventi di accesso per guadagnare la prova dell'aspetto a tempo limitato.
Vendita Lampo a Tempo Limitato: Aspetti passati del Municipio dell'Anniversario a sconti limitati nel tempo—non perderteli.
Rapporto Anniversario: Leggi il Rapporto dei 3 Anni, rivivi i momenti salienti e ottieni una Medaglia Anniversario.
Accesso Anniversario: Accessi giornalieri con ricompense esclusive del festival—inclusi doppi Medaglie dei Combattenti Emma!
Negozio di Decorazioni Anniversario: Scambio a sconto limitato nel tempo—prendi gli aspetti del Municipio e le decorazioni che ami.
Stella Fortunata Anniversario: Estrazione server-wide a prezzi vantaggiosi—gira per avere la possibilità di ottenere aspetti rari del Municipio!
Predizione Campione: L'evento di predizione ritorna—acquista un pacchetto, scegli una combinazione fortunata, tre possibilità di vincere il superpremio!
Festa degli Scavi: Potenziamento minerario a tempo limitato—completa più fasi di Caccia alla Miniera, vinci ricompense maggiori e ottieni decorazioni del 1° e 2° Anniversario.
Affari dell'Anniversario: Scegli il tuo prezzo e ottieni oggetti di alto valore a poco prezzo.
Lacca Fortunata: Sfida la sorte per l'ultra-raro Aspetto Primatus “Guardiano della Scatola dei Giocattoli.”
Avventura Itinerante: Raccogli Dadi Erranti, muoviti sulla mappa e guadagna decorazioni esclusive dell'anniversario—assolutamente gratis.
Augurio Decorazione: Aggiungi decorazioni alla tua lista dei desideri; ogni augurio potrebbe farti ottenere la decorazione scelta.
Festa dell'Anniversario: Una celebrazione migliorata in due fasi—partecipa a entrambe per avere la possibilità di ottenere il set Effetto di Marcia “Inchiostro &amp; Pergamena.”
Offerte Decorazioni in Marcia: Sconti preziosi su Emoji e Effetti in Marcia limitati.
-Aggiornamento Scontro Apice: Partite più brevi per alcuni round selezionati, nuove schede info e un nuovo modulo di crescita personale in battaglia.
-Aggiornamento Arena dei Campioni: Aggiunge ruoli di battaglia ed eventi per tattiche più profonde.
-Aggiornamento Prove dell'Impasse: Quest di cattura edificio al livello 7-4 ribilanciata per facilitare le pulizie a 3 stelle.
-Aggiornamento Rissa dei Campioni: Le truppe ora eliminano le unità nemiche prima di attaccare la base nemica.
-Aggiornamento Trasportatore Adunata: I trasportatori possono essere riassegnati come Leader dell'Adunata in alcune scene.</v>
      </c>
      <c r="O69" s="168" t="str">
        <f>IFERROR(__xludf.DUMMYFUNCTION("""COMPUTED_VALUE"""),"- Nowe Pomniki Wojowników: Charlotte Rossi i Reynold Schmidt nadchodzą. Dodaj więcej blasku swojemu miastu!
- Nowa Skórka Mecha: Skórka Primatus „Strażnik Zabawek”. Na nadchodzący festiwal, Małpy wystylizowały mecha Primatusa na ukochane zabawki z dzieciń"&amp;"stwa, otaczając go czystą radością.
- Nowe Wydarzenie Uberpartnerów: Szkol dowolnego wojownika partnera podczas wydarzenia, aby zdobyć górę nagród.
- Nowe Wydarzenia Rocznicowe:
  Skórka Ratusza: Król Małp Nadchodzi! Zbierz wszystkie części podczas wydarz"&amp;"enia, aby odblokować jego ostateczną formę.
  Świętowanie Rocznicy: Użyj Wędrujących Kostek, aby wziąć udział w Podróży Świętowania, zbieraj komponenty dekoracji i zdobywaj hojne nagrody. Dodatkowo, zgarnij pamiątkowe zdjęcie z obchodów!
  Karnawał Niespo"&amp;"dzianek: Wydawaj Czapki imprezowe na losowania nagród i komponenty zestawu skórek rocznicowych.
  Wesołe Miasteczko: Wydarzenie z okazji 1. rocznicy powraca! Wydawaj Monety Marmurowe, aby mieć szansę na oryginalną limitowaną skórkę.
  Festiwalowy Pinball:"&amp;" Ekskluzywna maszyna marmurowa z okazji 3. rocznicy — zdobywaj Monety Marmurowe i wymieniaj je na obfite nagrody.
  Głosowanie na Powrót Rocznicowy: Wybierz swoją ulubioną skórkę Ratusza i Efekt Marszu. Po głosowaniu wykonuj codzienne zadania lub loguj si"&amp;"ę, aby zdobyć limitowaną próbę skórki.
Limitowana Błyskawiczna Wyprzedaż: Przeszłe skórki Ratusza z rocznicy w czasowych zniżkach — nie przegap okazji.
Raport Rocznicowy: Przeczytaj 3-letni raport, przeżyj najważniejsze momenty i zdobądź Medal Rocznicowy."&amp;"
Codzienne Logowanie Rocznicowe: Codzienne logowania dają nagrody dostępne tylko podczas festiwalu — w tym podwójne Medale Wojownika Emmy!
Sklep z Dekoracjami Rocznicowymi: Wymiana z limitowanymi zniżkami — zdobądź skórki Ratusza i dekoracje, które kochas"&amp;"z.
Szczęśliwa Gwiazda Rocznicowa: Losowanie na serwerze w okazyjnych cenach — kręć, aby mieć szansę na rzadkie skórki Ratusza!
Przewidywanie Mistrza: Wydarzenie przewidywania powraca — kup pakiet, wybierz szczęśliwą kombinację, trzy szanse na główną wygra"&amp;"ną!
Fiesta Kopania: Limitowane wzmocnienie kopalni — przejdź więcej etapów Polowania na Szyb, wygraj większe nagrody i zdobądź dekoracje z 1. i 2. rocznicy.
Okazje Rocznicowe: Ustal swoją cenę i zdobądź wartościowe przedmioty tanio.
Szczęśliwy Lakier: Spr"&amp;"óbuj szczęścia, aby zdobyć ultra-rzadką skórkę Primatus „Strażnik Zabawek”.
Wędrująca Przygoda: Zbieraj Wędrujące Kostki, przemierzaj mapę i zdobywaj dekoracje dostępne tylko podczas rocznicy — całkowicie za darmo.
Życzenie Dekoracji: Dodaj dekoracje do l"&amp;"isty życzeń; każde życzenie może przynieść wybraną dekorację.
Impreza Rocznicowa: Ulepszone dwufazowe świętowanie — dołącz do obu faz, aby mieć szansę na zestaw Efektów Marszu „Atrament i Zwój”.
Okazje na Dekoracje Marszu: Cenne zniżki na limitowane Emoji"&amp;" i Efekty Marszu.
-Ulepszenie Szczytowego Starcia: Krótsze mecze w wybranych rundach, nowe zakładki informacji i nowy moduł osobistego rozwoju w trakcie bitwy.
-Ulepszenie Areny Mistrzów: Dodaje role w bitwie i wydarzenia dla głębszej taktyki.
-Ulepszenie"&amp;" Prób Impasu: Przebudowa zadania przejęcia budynku na etapie 7-4 dla łatwiejszego zdobycia 3 gwiazdek.
-Ulepszenie Bijatyki Mistrzów: Oddziały teraz eliminują jednostki wroga przed atakiem na bazę przeciwnika.
-Ulepszenie Transportowca Rajdu: Transportowc"&amp;"e mogą być przypisane jako Dowódca Rajdu w niektórych scenach.")</f>
        <v>- Nowe Pomniki Wojowników: Charlotte Rossi i Reynold Schmidt nadchodzą. Dodaj więcej blasku swojemu miastu!
- Nowa Skórka Mecha: Skórka Primatus „Strażnik Zabawek”. Na nadchodzący festiwal, Małpy wystylizowały mecha Primatusa na ukochane zabawki z dzieciństwa, otaczając go czystą radością.
- Nowe Wydarzenie Uberpartnerów: Szkol dowolnego wojownika partnera podczas wydarzenia, aby zdobyć górę nagród.
- Nowe Wydarzenia Rocznicowe:
  Skórka Ratusza: Król Małp Nadchodzi! Zbierz wszystkie części podczas wydarzenia, aby odblokować jego ostateczną formę.
  Świętowanie Rocznicy: Użyj Wędrujących Kostek, aby wziąć udział w Podróży Świętowania, zbieraj komponenty dekoracji i zdobywaj hojne nagrody. Dodatkowo, zgarnij pamiątkowe zdjęcie z obchodów!
  Karnawał Niespodzianek: Wydawaj Czapki imprezowe na losowania nagród i komponenty zestawu skórek rocznicowych.
  Wesołe Miasteczko: Wydarzenie z okazji 1. rocznicy powraca! Wydawaj Monety Marmurowe, aby mieć szansę na oryginalną limitowaną skórkę.
  Festiwalowy Pinball: Ekskluzywna maszyna marmurowa z okazji 3. rocznicy — zdobywaj Monety Marmurowe i wymieniaj je na obfite nagrody.
  Głosowanie na Powrót Rocznicowy: Wybierz swoją ulubioną skórkę Ratusza i Efekt Marszu. Po głosowaniu wykonuj codzienne zadania lub loguj się, aby zdobyć limitowaną próbę skórki.
Limitowana Błyskawiczna Wyprzedaż: Przeszłe skórki Ratusza z rocznicy w czasowych zniżkach — nie przegap okazji.
Raport Rocznicowy: Przeczytaj 3-letni raport, przeżyj najważniejsze momenty i zdobądź Medal Rocznicowy.
Codzienne Logowanie Rocznicowe: Codzienne logowania dają nagrody dostępne tylko podczas festiwalu — w tym podwójne Medale Wojownika Emmy!
Sklep z Dekoracjami Rocznicowymi: Wymiana z limitowanymi zniżkami — zdobądź skórki Ratusza i dekoracje, które kochasz.
Szczęśliwa Gwiazda Rocznicowa: Losowanie na serwerze w okazyjnych cenach — kręć, aby mieć szansę na rzadkie skórki Ratusza!
Przewidywanie Mistrza: Wydarzenie przewidywania powraca — kup pakiet, wybierz szczęśliwą kombinację, trzy szanse na główną wygraną!
Fiesta Kopania: Limitowane wzmocnienie kopalni — przejdź więcej etapów Polowania na Szyb, wygraj większe nagrody i zdobądź dekoracje z 1. i 2. rocznicy.
Okazje Rocznicowe: Ustal swoją cenę i zdobądź wartościowe przedmioty tanio.
Szczęśliwy Lakier: Spróbuj szczęścia, aby zdobyć ultra-rzadką skórkę Primatus „Strażnik Zabawek”.
Wędrująca Przygoda: Zbieraj Wędrujące Kostki, przemierzaj mapę i zdobywaj dekoracje dostępne tylko podczas rocznicy — całkowicie za darmo.
Życzenie Dekoracji: Dodaj dekoracje do listy życzeń; każde życzenie może przynieść wybraną dekorację.
Impreza Rocznicowa: Ulepszone dwufazowe świętowanie — dołącz do obu faz, aby mieć szansę na zestaw Efektów Marszu „Atrament i Zwój”.
Okazje na Dekoracje Marszu: Cenne zniżki na limitowane Emoji i Efekty Marszu.
-Ulepszenie Szczytowego Starcia: Krótsze mecze w wybranych rundach, nowe zakładki informacji i nowy moduł osobistego rozwoju w trakcie bitwy.
-Ulepszenie Areny Mistrzów: Dodaje role w bitwie i wydarzenia dla głębszej taktyki.
-Ulepszenie Prób Impasu: Przebudowa zadania przejęcia budynku na etapie 7-4 dla łatwiejszego zdobycia 3 gwiazdek.
-Ulepszenie Bijatyki Mistrzów: Oddziały teraz eliminują jednostki wroga przed atakiem na bazę przeciwnika.
-Ulepszenie Transportowca Rajdu: Transportowce mogą być przypisane jako Dowódca Rajdu w niektórych scenach.</v>
      </c>
      <c r="P69" s="168" t="str">
        <f>IFERROR(__xludf.DUMMYFUNCTION("""COMPUTED_VALUE"""),"- تماثيل مقاتلين جديدة: شارلوت روسي ورينولد شميت يصلان. أضف المزيد من التألق إلى مدينتك!
- زينة ميكا جديدة: زينة الرئيسيات ""حارس صندوق الألعاب"". للمهرجان القادم، قامت القرود بتصميم ميكا الرئيسيات على غرار الألعاب المحبوبة من الطفولة، مغلفة إياه بالبهجة "&amp;"الخالصة.
- حدث الشركاء الخارقون الجديد: درب أي مقاتل شريك خلال الحدث لتحصل على جبل من الجوائز.
- أحداث الذكرى السنوية الجديدة:
  مجموعة زينة قاعة المدينة: وصول ملك القرود! اجمع كل الأجزاء خلال الحدث لفتح شكله النهائي.
  احتفال الذكرى السنوية: استخدم نرد ا"&amp;"لعطلة للمشاركة في رحلة الاحتفال، اجمع مكونات الزينة واربح جوائز سخية. بالإضافة إلى ذلك، احصل على صورة تذكارية للاحتفال!
  كرنفال المفاجآت: أنفق قبعات الحفلة لسحوبات الجوائز ومكونات مجموعة زينة الذكرى السنوية.
  معرض المرح: يعود حدث الذكرى السنوية الأول! أ"&amp;"نفق عملات الذكرى السنوية للحصول على فرصة للفوز بالزينة المحدودة الأصلية.
  بينبول المهرجان: آلة رخام حصرية للذكرى السنوية الثالثة—اكسب عملات الرخام وتبادلها مقابل جوائز وفيرة.
  تصويت العودة للذكرى السنوية: اختر زينة قاعة المدينة المفضلة لديك وتأثير المسي"&amp;"رة. بعد التصويت، أكمل المهام اليومية أو أحداث تسجيل الدخول لكسب تجربة الزينة المحدودة الوقت.
تخفيضات الفلاش المحدودة الوقت: زينات قاعة المدينة من الذكرى السنوية الماضية بخصومات محدودة الوقت—لا تفوت الفرصة.
تقرير الذكرى السنوية: اقرأ تقرير الثلاث سنوات، اس"&amp;"ترجع الأبرز، واحصل على ميدالية الذكرى السنوية.
تسجيل الدخول للذكرى السنوية: تسجيلات الدخول اليومية تقدم جوائز حصرية للمهرجان—بما في ذلك ميداليات مقاتل إيما المضاعفة!
متجر زينة الذكرى السنوية: تبادل بخصم محدود الوقت—احصل على زينات قاعة المدينة والزينة التي"&amp;" تحبها.
نجمة الحظ للذكرى السنوية: سحب على مستوى السيرفر بأسعار صفقة—ادخل السحب لفرصة الفوز بزينة قاعة المدينة النادرة!
بطل التنبؤ: يعود حدث التنبؤ—اشترِ باقة، اختر مجموعة الحظ، ثلاث فرص للفوز بالجائزة الكبرى!
مهرجان الحفر: تعزيز تعدين محدود الوقت—أنهِ الم"&amp;"زيد من مراحل البحث عن البئر، واربح جوائز أكبر، واحصل على زينة الذكرى السنوية الأولى والثانية.
صفقات الذكرى السنوية: سمِّ السعر الذي تريده واحصل على عناصر ذات قيمة عالية بأسعار رخيصة.
لاكيه الحظ: جرب حظك للحصول على زينة ميكا الرئيسيات النادرة جداً ""حارس ص"&amp;"ندوق الألعاب"".
مغامرة التجوال: اجمع نرد التجوال، تحرك عبر الخريطة، واربح زينة حصرية للذكرى السنوية—مجانا تماماً.
أمنية الزينة: أضف الزينة إلى قائمة الأمنيات؛ كل أمنية قد تمنحك الزينة التي اخترتها.
كرنفال الذكرى السنوية: احتفال مطور من مرحلتين—انضم إلى ال"&amp;"مرحلتين للحصول على فرصة لمجموعة تأثير المسيرة ""حبر ولفافة"".
صفقات زينة المسيرة: خصومات قيمة على إيموجي وتأثيرات المسيرة المحدودة.
- ترقية صراع القمة: مباريات أقصر للجولات المختارة، علامات تبويب معلومات جديدة، ووحدة نمو شخصية جديدة داخل المعركة.
- ترقية "&amp;"حلبة الأبطال: تضيف أدوار المعركة وأحداث لتكتيكات أعمق.
- ترقية زنزانة الطريق المسدود: تم تعديل مهمة الاستيلاء على المبنى في المرحلة 7-4 لتسهيل الحصول على 3 نجوم.
- ترقية حلبة الأبطال: القوات الآن تمسح وحدات العدو قبل استهداف قاعدة العدو.
- ترقية ناقلة الح"&amp;"شد: يمكن إعادة تعيين الناقلات كقائد الحشد في مشاهد معينة.")</f>
        <v>- تماثيل مقاتلين جديدة: شارلوت روسي ورينولد شميت يصلان. أضف المزيد من التألق إلى مدينتك!
- زينة ميكا جديدة: زينة الرئيسيات "حارس صندوق الألعاب". للمهرجان القادم، قامت القرود بتصميم ميكا الرئيسيات على غرار الألعاب المحبوبة من الطفولة، مغلفة إياه بالبهجة الخالصة.
- حدث الشركاء الخارقون الجديد: درب أي مقاتل شريك خلال الحدث لتحصل على جبل من الجوائز.
- أحداث الذكرى السنوية الجديدة:
  مجموعة زينة قاعة المدينة: وصول ملك القرود! اجمع كل الأجزاء خلال الحدث لفتح شكله النهائي.
  احتفال الذكرى السنوية: استخدم نرد العطلة للمشاركة في رحلة الاحتفال، اجمع مكونات الزينة واربح جوائز سخية. بالإضافة إلى ذلك، احصل على صورة تذكارية للاحتفال!
  كرنفال المفاجآت: أنفق قبعات الحفلة لسحوبات الجوائز ومكونات مجموعة زينة الذكرى السنوية.
  معرض المرح: يعود حدث الذكرى السنوية الأول! أنفق عملات الذكرى السنوية للحصول على فرصة للفوز بالزينة المحدودة الأصلية.
  بينبول المهرجان: آلة رخام حصرية للذكرى السنوية الثالثة—اكسب عملات الرخام وتبادلها مقابل جوائز وفيرة.
  تصويت العودة للذكرى السنوية: اختر زينة قاعة المدينة المفضلة لديك وتأثير المسيرة. بعد التصويت، أكمل المهام اليومية أو أحداث تسجيل الدخول لكسب تجربة الزينة المحدودة الوقت.
تخفيضات الفلاش المحدودة الوقت: زينات قاعة المدينة من الذكرى السنوية الماضية بخصومات محدودة الوقت—لا تفوت الفرصة.
تقرير الذكرى السنوية: اقرأ تقرير الثلاث سنوات، استرجع الأبرز، واحصل على ميدالية الذكرى السنوية.
تسجيل الدخول للذكرى السنوية: تسجيلات الدخول اليومية تقدم جوائز حصرية للمهرجان—بما في ذلك ميداليات مقاتل إيما المضاعفة!
متجر زينة الذكرى السنوية: تبادل بخصم محدود الوقت—احصل على زينات قاعة المدينة والزينة التي تحبها.
نجمة الحظ للذكرى السنوية: سحب على مستوى السيرفر بأسعار صفقة—ادخل السحب لفرصة الفوز بزينة قاعة المدينة النادرة!
بطل التنبؤ: يعود حدث التنبؤ—اشترِ باقة، اختر مجموعة الحظ، ثلاث فرص للفوز بالجائزة الكبرى!
مهرجان الحفر: تعزيز تعدين محدود الوقت—أنهِ المزيد من مراحل البحث عن البئر، واربح جوائز أكبر، واحصل على زينة الذكرى السنوية الأولى والثانية.
صفقات الذكرى السنوية: سمِّ السعر الذي تريده واحصل على عناصر ذات قيمة عالية بأسعار رخيصة.
لاكيه الحظ: جرب حظك للحصول على زينة ميكا الرئيسيات النادرة جداً "حارس صندوق الألعاب".
مغامرة التجوال: اجمع نرد التجوال، تحرك عبر الخريطة، واربح زينة حصرية للذكرى السنوية—مجانا تماماً.
أمنية الزينة: أضف الزينة إلى قائمة الأمنيات؛ كل أمنية قد تمنحك الزينة التي اخترتها.
كرنفال الذكرى السنوية: احتفال مطور من مرحلتين—انضم إلى المرحلتين للحصول على فرصة لمجموعة تأثير المسيرة "حبر ولفافة".
صفقات زينة المسيرة: خصومات قيمة على إيموجي وتأثيرات المسيرة المحدودة.
- ترقية صراع القمة: مباريات أقصر للجولات المختارة، علامات تبويب معلومات جديدة، ووحدة نمو شخصية جديدة داخل المعركة.
- ترقية حلبة الأبطال: تضيف أدوار المعركة وأحداث لتكتيكات أعمق.
- ترقية زنزانة الطريق المسدود: تم تعديل مهمة الاستيلاء على المبنى في المرحلة 7-4 لتسهيل الحصول على 3 نجوم.
- ترقية حلبة الأبطال: القوات الآن تمسح وحدات العدو قبل استهداف قاعدة العدو.
- ترقية ناقلة الحشد: يمكن إعادة تعيين الناقلات كقائد الحشد في مشاهد معينة.</v>
      </c>
      <c r="Q69" s="168" t="str">
        <f>IFERROR(__xludf.DUMMYFUNCTION("""COMPUTED_VALUE"""),"- 新しいファイターの像：シャーロット・ロッシとレイノルド・シュミットが登場。あなたの都市にさらなる輝きを加えましょう！
- 新しいメカスキン：プライマトススキン「トイボックスガーディアン」。来る祭りのために、エイプたちはプライマトスメカを愛される少年時代のおもちゃのようにデザインし、純粋な喜びで包みました。
- 新しい究極のパートナーイベント：イベント期間中に任意のパートナーファイターを訓練して、山のような報酬を手に入れましょう。
- 新しい周年イベント：
  基地スキンセット：エイプの王様到来！イベン"&amp;"トを通じて全パーツを集め、最終形態をアンロックしましょう。
  周年記念祝賀：ホリデーダイスを使ってお祝いの旅路に参加し、装飾品のコンポーネントを集めて豪華な報酬を獲得。さらに、記念の祝賀写真もゲット！
  サプライズカーニバル：パーティーハットを使って賞品抽選や周年スキンセットのコンポーネントを獲得。
  楽しいお祭り：1周年イベントが帰ってきた！記念日コインを使って限定スキンのチャンスを掴もう。
  フェスティバルピンボール：3周年限定のマーブルマシン。マーブルコインを稼いで豊富な報酬と交換。
  周"&amp;"年復帰投票：お気に入りの基地スキンと行軍エフェクトを選択。投票後はデイリークエストやログインイベントをクリアして限定スキン試用を獲得。
限定時間フラッシュセール：過去の周年基地スキンが期間限定割引で登場。お見逃しなく。
周年レポート：3年間のレポートを読み、ハイライトを振り返り、記念日メダルを手に入れよう。
周年ログイン：毎日のログインで祭り限定報酬を獲得。エマファイターメダル2倍も含む！
周年装飾品ショップ：期間限定割引交換で、好きな基地スキンや装飾品をゲット。
周年ラッキースター：サーバー全体の抽選会"&amp;"。お得な価格で回してレアな基地スキンを狙おう！
予測チャンプ：予測イベントが復活。パックを購入し、ラッキーコンボを選択。ジャックポットを狙うチャンスは3回！
掘削フェスタ：期間限定の採掘ブースト。マインハントのステージを多くクリアして、より大きな報酬と1周年・2周年の装飾品を獲得。
周年バーゲン：価格を指定して高価値アイテムをお得にゲット。
ラッキー漆製品：超レアなプライマトススキン「トイボックスガーディアン」を狙って運試し。
放浪の冒険：放浪のサイコロを集めてマップを移動し、周年限定装飾品を無料で獲得。"&amp;"
装飾品の祈願：装飾品を祈願リストに追加。願いごとごとに選んだ装飾品がドロップするかも。
周年記念パーティー：アップグレードされた2段階の祝賀。両方のフェーズに参加して、行軍エフェクトセット「インク＆スクロール」を狙おう。
行軍装飾品セール：限定の行軍絵文字とエフェクトがお得な割引価格で登場。
- エイペックスクラッシュアップグレード：特定ラウンドの試合時間短縮、新しい情報タブ、戦闘中の個人成長モジュール追加。
- チャンピオンのアリーナアップグレード：戦闘役割とイベントを追加し、より深い戦術が可能に。
"&amp;"- 逆境の試練アップグレード：ステージ7-4の建築物奪取クエストを調整し、3つ星クリアが容易に。
- エリート闘技場アップグレード：部隊が敵ユニットを一掃してから敵基地を攻撃するように変更。
- レイドキャリアアップグレード：特定のシーンでキャリアをレイドリーダーに再割り当て可能に。")</f>
        <v>- 新しいファイターの像：シャーロット・ロッシとレイノルド・シュミットが登場。あなたの都市にさらなる輝きを加えましょう！
- 新しいメカスキン：プライマトススキン「トイボックスガーディアン」。来る祭りのために、エイプたちはプライマトスメカを愛される少年時代のおもちゃのようにデザインし、純粋な喜びで包みました。
- 新しい究極のパートナーイベント：イベント期間中に任意のパートナーファイターを訓練して、山のような報酬を手に入れましょう。
- 新しい周年イベント：
  基地スキンセット：エイプの王様到来！イベントを通じて全パーツを集め、最終形態をアンロックしましょう。
  周年記念祝賀：ホリデーダイスを使ってお祝いの旅路に参加し、装飾品のコンポーネントを集めて豪華な報酬を獲得。さらに、記念の祝賀写真もゲット！
  サプライズカーニバル：パーティーハットを使って賞品抽選や周年スキンセットのコンポーネントを獲得。
  楽しいお祭り：1周年イベントが帰ってきた！記念日コインを使って限定スキンのチャンスを掴もう。
  フェスティバルピンボール：3周年限定のマーブルマシン。マーブルコインを稼いで豊富な報酬と交換。
  周年復帰投票：お気に入りの基地スキンと行軍エフェクトを選択。投票後はデイリークエストやログインイベントをクリアして限定スキン試用を獲得。
限定時間フラッシュセール：過去の周年基地スキンが期間限定割引で登場。お見逃しなく。
周年レポート：3年間のレポートを読み、ハイライトを振り返り、記念日メダルを手に入れよう。
周年ログイン：毎日のログインで祭り限定報酬を獲得。エマファイターメダル2倍も含む！
周年装飾品ショップ：期間限定割引交換で、好きな基地スキンや装飾品をゲット。
周年ラッキースター：サーバー全体の抽選会。お得な価格で回してレアな基地スキンを狙おう！
予測チャンプ：予測イベントが復活。パックを購入し、ラッキーコンボを選択。ジャックポットを狙うチャンスは3回！
掘削フェスタ：期間限定の採掘ブースト。マインハントのステージを多くクリアして、より大きな報酬と1周年・2周年の装飾品を獲得。
周年バーゲン：価格を指定して高価値アイテムをお得にゲット。
ラッキー漆製品：超レアなプライマトススキン「トイボックスガーディアン」を狙って運試し。
放浪の冒険：放浪のサイコロを集めてマップを移動し、周年限定装飾品を無料で獲得。
装飾品の祈願：装飾品を祈願リストに追加。願いごとごとに選んだ装飾品がドロップするかも。
周年記念パーティー：アップグレードされた2段階の祝賀。両方のフェーズに参加して、行軍エフェクトセット「インク＆スクロール」を狙おう。
行軍装飾品セール：限定の行軍絵文字とエフェクトがお得な割引価格で登場。
- エイペックスクラッシュアップグレード：特定ラウンドの試合時間短縮、新しい情報タブ、戦闘中の個人成長モジュール追加。
- チャンピオンのアリーナアップグレード：戦闘役割とイベントを追加し、より深い戦術が可能に。
- 逆境の試練アップグレード：ステージ7-4の建築物奪取クエストを調整し、3つ星クリアが容易に。
- エリート闘技場アップグレード：部隊が敵ユニットを一掃してから敵基地を攻撃するように変更。
- レイドキャリアアップグレード：特定のシーンでキャリアをレイドリーダーに再割り当て可能に。</v>
      </c>
      <c r="R69" s="168" t="str">
        <f>IFERROR(__xludf.DUMMYFUNCTION("""COMPUTED_VALUE"""),"- 새로운 전사 석상: 샬롯 로시와 레이놀드 슈미트가 도착했습니다. 당신의 도시에 더 많은 빛을 더하세요!
- 새로운 메카 스킨: 강철 원숭이 스킨 “장난감 상자 수호자.” 다가오는 축제를 위해, 원숭이들은 어린 시절 사랑받던 장난감을 본따 강철 원숭이 메카를 디자인하고 순수한 기쁨으로 감쌌습니다.
- 새로운 최강 파트너 이벤트: 이벤트 기간 동안 어떤 파트너 전사든 훈련시켜 산더미 같은 보상을 획득하세요.
- 새로운 기념일 이벤트:
  기지 스킨 세트"&amp;": 원숭이 왕 도착! 이벤트를 통해 모든 부품을 수집하여 최종 형태를 잠금 해제하세요.
  기념일 축하: 휴일 주사위를 사용해 축하 여정에 참여하고, 장식품 부품을 모아 후한 보상을 받으세요. 게다가 기념 축하 사진도 획득하세요!
  서프라이즈 카니발: 파티 모자를 사용해 경품 추첨과 기념일 스킨 세트 부품을 획득하세요.
  놀이공원: 1주년 이벤트가 돌아왔습니다! 기념주화를 사용해 원래 한정 스킨에 도전하세요.
  축제 핀볼: 3주년 한정 구슬 기계—"&amp;"구슬 코인을 모아 풍성한 보상으로 교환하세요.
  기념일 복귀 투표: 좋아하는 기지 스킨과 행군 이펙트를 선택하세요. 투표 후 일일 임무나 출석 이벤트를 완료해 한정 기간 스킨 시련을 획득하세요.
한정 기간 플래시 세일: 과거 기념일 기지 스킨을 시간 한정 할인으로 만나보세요—놓치지 마세요.
기념일 보고서: 3년 보고서를 읽고 하이라이트를 되새기며 기념일 메달을 획득하세요.
기념일 출석: 매일 출석 시 축제 전용 보상을 드립니다—엠마 전사 메달 2배 포"&amp;"함!
기념일 장식 상점: 한정 기간 할인 교환—당신이 좋아하는 기지 스킨과 장식품을 손에 넣으세요.
기념일 행운의 별: 서버 전체 추첨 행사—저렴한 가격에 희귀 기지 스킨에 도전하세요!
예측 챔프: 예측 이벤트가 돌아왔습니다—패키지를 구매하고 행운의 콤보를 선택해 잭팟에 세 번 도전하세요!
굴착 축제: 한정 기간 채굴 부스트—오일 탐사굴 단계를 더 많이 클리어하고 더 큰 보상을 받으며 1주년과 2주년 장식을 획득하세요.
기념일 흥정: 원하는 가격을 제시"&amp;"하고 고가치 아이템을 저렴하게 획득하세요.
행운의 래커: 초희귀 강철 원숭이 스킨 “장난감 상자 수호자”에 도전해보세요.
방랑 모험: 방랑 주사위를 모아 지도를 이동하고 기념일 전용 장식을 무료로 획득하세요.
장식 소원: 장식을 소원 목록에 추가하세요; 모든 소원은 선택한 장식을 드롭할 수 있습니다.
기념일 축제: 업그레이드된 2단계 축하 행사—두 단계 모두 참여해 행군 이펙트 세트 “잉크 &amp; 스크롤”에 도전하세요.
행군 장식 거래: 한정 행군 이모티콘"&amp;"과 이펙트에 대한 가치 있는 할인.
- 에이펙스 충돌 업그레이드: 일부 라운드 경기 시간 단축, 새로운 정보 탭, 전투 중 개인 성장 모듈 추가.
- 챔피언의 아레나 업그레이드: 전투 역할과 이벤트 추가로 더 깊은 전술 가능.
- 절대절명의 시련 업그레이드: 7-4단계 건물 점령 임무가 3성 클리어 용이하게 조정됨.
- 정예 스타디움 업그레이드: 부대가 적 유닛을 먼저 제거한 후 적 주요 도시를 공격함.
- 집결 운반선 업그레이드: 특정 장면에서 운반선"&amp;"을 집결 리더로 재배정 가능.")</f>
        <v>- 새로운 전사 석상: 샬롯 로시와 레이놀드 슈미트가 도착했습니다. 당신의 도시에 더 많은 빛을 더하세요!
- 새로운 메카 스킨: 강철 원숭이 스킨 “장난감 상자 수호자.” 다가오는 축제를 위해, 원숭이들은 어린 시절 사랑받던 장난감을 본따 강철 원숭이 메카를 디자인하고 순수한 기쁨으로 감쌌습니다.
- 새로운 최강 파트너 이벤트: 이벤트 기간 동안 어떤 파트너 전사든 훈련시켜 산더미 같은 보상을 획득하세요.
- 새로운 기념일 이벤트:
  기지 스킨 세트: 원숭이 왕 도착! 이벤트를 통해 모든 부품을 수집하여 최종 형태를 잠금 해제하세요.
  기념일 축하: 휴일 주사위를 사용해 축하 여정에 참여하고, 장식품 부품을 모아 후한 보상을 받으세요. 게다가 기념 축하 사진도 획득하세요!
  서프라이즈 카니발: 파티 모자를 사용해 경품 추첨과 기념일 스킨 세트 부품을 획득하세요.
  놀이공원: 1주년 이벤트가 돌아왔습니다! 기념주화를 사용해 원래 한정 스킨에 도전하세요.
  축제 핀볼: 3주년 한정 구슬 기계—구슬 코인을 모아 풍성한 보상으로 교환하세요.
  기념일 복귀 투표: 좋아하는 기지 스킨과 행군 이펙트를 선택하세요. 투표 후 일일 임무나 출석 이벤트를 완료해 한정 기간 스킨 시련을 획득하세요.
한정 기간 플래시 세일: 과거 기념일 기지 스킨을 시간 한정 할인으로 만나보세요—놓치지 마세요.
기념일 보고서: 3년 보고서를 읽고 하이라이트를 되새기며 기념일 메달을 획득하세요.
기념일 출석: 매일 출석 시 축제 전용 보상을 드립니다—엠마 전사 메달 2배 포함!
기념일 장식 상점: 한정 기간 할인 교환—당신이 좋아하는 기지 스킨과 장식품을 손에 넣으세요.
기념일 행운의 별: 서버 전체 추첨 행사—저렴한 가격에 희귀 기지 스킨에 도전하세요!
예측 챔프: 예측 이벤트가 돌아왔습니다—패키지를 구매하고 행운의 콤보를 선택해 잭팟에 세 번 도전하세요!
굴착 축제: 한정 기간 채굴 부스트—오일 탐사굴 단계를 더 많이 클리어하고 더 큰 보상을 받으며 1주년과 2주년 장식을 획득하세요.
기념일 흥정: 원하는 가격을 제시하고 고가치 아이템을 저렴하게 획득하세요.
행운의 래커: 초희귀 강철 원숭이 스킨 “장난감 상자 수호자”에 도전해보세요.
방랑 모험: 방랑 주사위를 모아 지도를 이동하고 기념일 전용 장식을 무료로 획득하세요.
장식 소원: 장식을 소원 목록에 추가하세요; 모든 소원은 선택한 장식을 드롭할 수 있습니다.
기념일 축제: 업그레이드된 2단계 축하 행사—두 단계 모두 참여해 행군 이펙트 세트 “잉크 &amp; 스크롤”에 도전하세요.
행군 장식 거래: 한정 행군 이모티콘과 이펙트에 대한 가치 있는 할인.
- 에이펙스 충돌 업그레이드: 일부 라운드 경기 시간 단축, 새로운 정보 탭, 전투 중 개인 성장 모듈 추가.
- 챔피언의 아레나 업그레이드: 전투 역할과 이벤트 추가로 더 깊은 전술 가능.
- 절대절명의 시련 업그레이드: 7-4단계 건물 점령 임무가 3성 클리어 용이하게 조정됨.
- 정예 스타디움 업그레이드: 부대가 적 유닛을 먼저 제거한 후 적 주요 도시를 공격함.
- 집결 운반선 업그레이드: 특정 장면에서 운반선을 집결 리더로 재배정 가능.</v>
      </c>
      <c r="S69" s="168" t="str">
        <f>IFERROR(__xludf.DUMMYFUNCTION("""COMPUTED_VALUE"""),"-新增斗士雕像：夏洛特·罗西、雷诺·施密特，来为你的城市增添更多光彩吧！
-新增机甲皮肤：金刚皮肤-童趣卫士，为了迎接庆典的到来，猿族参考童年玩具的设计对金刚机甲进行改装，使它融入欢乐的氛围！
-新增无双拍档活动：活动开启期间，培养拍档斗士即可获得丰厚奖励！
-新增周年庆活动：
城市外观套装：猴王降世！参与活动可集齐套装组件，解锁最终形态。
周年庆典：使用节日骰子参与庆典之旅，收集周年庆装饰物组件，获取丰厚奖励。更有周年庆典纪念照片赠送！
欢乐游园会：使用周年纪念币抽取奖励，获取周年套装皮肤组件！
庆典弹"&amp;"弹乐：3周年限定弹珠抽奖活动开启，参与活动获取弹珠币即可兑换丰厚奖励！
周年皮肤返场投票：为自己喜欢的主城外观和行军特效投票！投票结果出来后，通过日常活跃、签到活动可以获取限时皮肤体验道具。
限时抢购：往期周年庆主城外观限时优惠，快来抢购吧！
周年年报：阅读3周年年报，回顾过去一年中的精彩瞬间，获取周年限定成就勋章！
周年签到：每日登录即可获取丰厚节日限定奖励！艾玛斗士奖牌翻倍送！
周年装饰物限时返场：参与活跃活动即可免费获取1周年、2周年装饰物！
周年装饰商店：限时兑换折扣即将启动！快来兑换你心仪的主城"&amp;"外观和装饰物吧！
周年幸运星：全服庆典狂欢，低价抽奖，寻找幸运星！主城外观等你来抽！
竞猜大赢家：竞猜活动限时返场！购买礼包后可选取幸运组合，共有三次中奖机会，惊喜满满，不容错过！
挖掘狂欢：周年庆限时挖矿福利登场，矿洞通关越多，奖励越多，更有1周年、2周年限定装饰物等你来拿！
3周年讨价还价：放心出价，低价购买超值道具！
惊喜涂装：惊喜涂装登场！试试手气，赢取超稀有金刚机甲皮肤-童趣卫士！
漫游奇遇：参与活动收集漫游骰子，在地图中前进，即可免费获取周年限定装饰物！
装饰许愿：将装饰物加入许愿清单，每次许"&amp;"愿都有机会获得许愿装饰物！
周年派对：周年庆活动大升级，活动分两个阶段进行，全部参与有机会赢取行军特效套装-丹青入画！
行军装扮福利：超值优惠获取限定行军表情、行军特效！
-巅峰领土战优化：缩短部分场次的单次战场时长，增加活动信息指引页签，增加局内个人增益成长模块。
-王者之地优化：增加战场职业和战场事件内容，丰富战场玩法。
-绝地试炼优化：7-4关卡占领建筑任务优化，更容易达成关卡三星。
-精英竞技场优化：部队攻击目标优化，将在优先击败敌方部队后攻击敌方基地。
-战车集结优化：战车集结功能优化，战车可在"&amp;"部分场景中被转让成为集结队长。")</f>
        <v>-新增斗士雕像：夏洛特·罗西、雷诺·施密特，来为你的城市增添更多光彩吧！
-新增机甲皮肤：金刚皮肤-童趣卫士，为了迎接庆典的到来，猿族参考童年玩具的设计对金刚机甲进行改装，使它融入欢乐的氛围！
-新增无双拍档活动：活动开启期间，培养拍档斗士即可获得丰厚奖励！
-新增周年庆活动：
城市外观套装：猴王降世！参与活动可集齐套装组件，解锁最终形态。
周年庆典：使用节日骰子参与庆典之旅，收集周年庆装饰物组件，获取丰厚奖励。更有周年庆典纪念照片赠送！
欢乐游园会：使用周年纪念币抽取奖励，获取周年套装皮肤组件！
庆典弹弹乐：3周年限定弹珠抽奖活动开启，参与活动获取弹珠币即可兑换丰厚奖励！
周年皮肤返场投票：为自己喜欢的主城外观和行军特效投票！投票结果出来后，通过日常活跃、签到活动可以获取限时皮肤体验道具。
限时抢购：往期周年庆主城外观限时优惠，快来抢购吧！
周年年报：阅读3周年年报，回顾过去一年中的精彩瞬间，获取周年限定成就勋章！
周年签到：每日登录即可获取丰厚节日限定奖励！艾玛斗士奖牌翻倍送！
周年装饰物限时返场：参与活跃活动即可免费获取1周年、2周年装饰物！
周年装饰商店：限时兑换折扣即将启动！快来兑换你心仪的主城外观和装饰物吧！
周年幸运星：全服庆典狂欢，低价抽奖，寻找幸运星！主城外观等你来抽！
竞猜大赢家：竞猜活动限时返场！购买礼包后可选取幸运组合，共有三次中奖机会，惊喜满满，不容错过！
挖掘狂欢：周年庆限时挖矿福利登场，矿洞通关越多，奖励越多，更有1周年、2周年限定装饰物等你来拿！
3周年讨价还价：放心出价，低价购买超值道具！
惊喜涂装：惊喜涂装登场！试试手气，赢取超稀有金刚机甲皮肤-童趣卫士！
漫游奇遇：参与活动收集漫游骰子，在地图中前进，即可免费获取周年限定装饰物！
装饰许愿：将装饰物加入许愿清单，每次许愿都有机会获得许愿装饰物！
周年派对：周年庆活动大升级，活动分两个阶段进行，全部参与有机会赢取行军特效套装-丹青入画！
行军装扮福利：超值优惠获取限定行军表情、行军特效！
-巅峰领土战优化：缩短部分场次的单次战场时长，增加活动信息指引页签，增加局内个人增益成长模块。
-王者之地优化：增加战场职业和战场事件内容，丰富战场玩法。
-绝地试炼优化：7-4关卡占领建筑任务优化，更容易达成关卡三星。
-精英竞技场优化：部队攻击目标优化，将在优先击败敌方部队后攻击敌方基地。
-战车集结优化：战车集结功能优化，战车可在部分场景中被转让成为集结队长。</v>
      </c>
      <c r="T69" s="148"/>
      <c r="U69" s="148"/>
      <c r="V69" s="148"/>
      <c r="W69" s="148"/>
      <c r="X69" s="148"/>
      <c r="Y69" s="148"/>
      <c r="Z69" s="148"/>
    </row>
    <row r="70">
      <c r="A70" s="167" t="str">
        <f>IFERROR(__xludf.DUMMYFUNCTION("""COMPUTED_VALUE"""),"0.79.0")</f>
        <v>0.79.0</v>
      </c>
      <c r="B70" s="168" t="str">
        <f>IFERROR(__xludf.DUMMYFUNCTION("""COMPUTED_VALUE"""),"-新增斗士：钢铁护卫-希尔达，拥有钢铁之躯的战士，忠诚的机甲守护神！可通过“最强猴子”活动获取。
-新增斗士雕像：奥林，来为你的城市增光添彩吧！
新增音乐节活动：
-音乐之声：音乐节抽奖活动开启！使用演出门票，赢取豪华大奖，更有节日限定城市外观-电音舞台，等你来拿！
-合奏乐章：参加本活动即可获取音乐宝箱，打开可得丰厚奖励，小队排名第一更可获取限定头像框奖励；
-节日轮盘：节日轮盘限时开启，选取你喜爱的奖品，有概率获取超值惊喜；
-荒野探宝：收集探宝十字镐，挖掘水晶与晶岩，赢取大量奖励！
-音乐豪礼：限时"&amp;"累计充值即可领取丰厚奖励！
-音乐行动：完成任务可点亮当前任务牌，获取任务奖励，赢取音乐节限定道具；
-音乐派对：音乐节限时通行证活动开启，收集音浪，提升活动等级，领取活动好礼。冲刺排名，赢取限定行军特效！
-节日特惠卡：购买节日特惠卡礼包可立即获得超值奖励，完成指定任务还可获得额外奖励！
-堡垒竞夺优化：优化堡垒被攻击后的次数恢复逻辑；
-医疗站优化：医疗站治疗队列增加取消按钮，取消后返还治疗资源；
-资源使用优化：快速使用资源补充本次需要时，可自动切换页签，优化操作体验。")</f>
        <v>-新增斗士：钢铁护卫-希尔达，拥有钢铁之躯的战士，忠诚的机甲守护神！可通过“最强猴子”活动获取。
-新增斗士雕像：奥林，来为你的城市增光添彩吧！
新增音乐节活动：
-音乐之声：音乐节抽奖活动开启！使用演出门票，赢取豪华大奖，更有节日限定城市外观-电音舞台，等你来拿！
-合奏乐章：参加本活动即可获取音乐宝箱，打开可得丰厚奖励，小队排名第一更可获取限定头像框奖励；
-节日轮盘：节日轮盘限时开启，选取你喜爱的奖品，有概率获取超值惊喜；
-荒野探宝：收集探宝十字镐，挖掘水晶与晶岩，赢取大量奖励！
-音乐豪礼：限时累计充值即可领取丰厚奖励！
-音乐行动：完成任务可点亮当前任务牌，获取任务奖励，赢取音乐节限定道具；
-音乐派对：音乐节限时通行证活动开启，收集音浪，提升活动等级，领取活动好礼。冲刺排名，赢取限定行军特效！
-节日特惠卡：购买节日特惠卡礼包可立即获得超值奖励，完成指定任务还可获得额外奖励！
-堡垒竞夺优化：优化堡垒被攻击后的次数恢复逻辑；
-医疗站优化：医疗站治疗队列增加取消按钮，取消后返还治疗资源；
-资源使用优化：快速使用资源补充本次需要时，可自动切换页签，优化操作体验。</v>
      </c>
      <c r="C70" s="148" t="str">
        <f>IFERROR(__xludf.DUMMYFUNCTION("""COMPUTED_VALUE"""),"- New Fighter: Steel Sentinel—Hilda. A warrior forged of steel—the mechs’ faithful guardian! Obtainable through the Ultimate Monkey event.
- New Fighter Statue: Ollin. Add more brilliance to your city!
Music Festival Events:
- Music Resonance: The draw is"&amp;" live. Spend Concert Passes for luxury prizes—score the limited city hall skin Electro Stage while it lasts.
- Ensemble Overture: Join to earn Music Chests; crack them open for hefty rewards. The top-ranked team takes an exclusive Avatar Frame.
- Festival"&amp;" Roulette: A limited-time roulette. Pick your favorites for a shot at premium surprises.
- Wildland Expedition: Gather Treasure Picks, unearth crystals and geodes, and earn massive rewards!
- Festival Grand Gifts: Earn generous rewards with limited-time c"&amp;"umulative recharges!
- Music Ops: Complete quests during the event to light up the corresponding card, get rewards, and grab festival-exclusive items.
- Music Party: The festival pass is on. Gather Soundwaves, level up the event tier, and claim event rewa"&amp;"rds. Push the sprint ranking to unlock a limited march effect.
- Holiday Value Pass: Buy the Holiday Value Pass Pack for valuable rewards, and complete quests for extra rewards.
- Fortress Looter Upgrade: Smarter recovery logic after a fortress is hit.
- "&amp;"Medical Station Upgrade: Treatment queue now has a Cancel button; canceling refunds the healing resources.
- Resource Upgrade: When quick-using resources to meet the current need, tabs now auto-switch for a smoother experience.
")</f>
        <v>- New Fighter: Steel Sentinel—Hilda. A warrior forged of steel—the mechs’ faithful guardian! Obtainable through the Ultimate Monkey event.
- New Fighter Statue: Ollin. Add more brilliance to your city!
Music Festival Events:
- Music Resonance: The draw is live. Spend Concert Passes for luxury prizes—score the limited city hall skin Electro Stage while it lasts.
- Ensemble Overture: Join to earn Music Chests; crack them open for hefty rewards. The top-ranked team takes an exclusive Avatar Frame.
- Festival Roulette: A limited-time roulette. Pick your favorites for a shot at premium surprises.
- Wildland Expedition: Gather Treasure Picks, unearth crystals and geodes, and earn massive rewards!
- Festival Grand Gifts: Earn generous rewards with limited-time cumulative recharges!
- Music Ops: Complete quests during the event to light up the corresponding card, get rewards, and grab festival-exclusive items.
- Music Party: The festival pass is on. Gather Soundwaves, level up the event tier, and claim event rewards. Push the sprint ranking to unlock a limited march effect.
- Holiday Value Pass: Buy the Holiday Value Pass Pack for valuable rewards, and complete quests for extra rewards.
- Fortress Looter Upgrade: Smarter recovery logic after a fortress is hit.
- Medical Station Upgrade: Treatment queue now has a Cancel button; canceling refunds the healing resources.
- Resource Upgrade: When quick-using resources to meet the current need, tabs now auto-switch for a smoother experience.
</v>
      </c>
      <c r="D70" s="168" t="str">
        <f>IFERROR(__xludf.DUMMYFUNCTION("""COMPUTED_VALUE"""),"- Nouveau combattant : Sentinelle d’Acier—Hilda. Un guerrier forgé d'acier—le gardien fidèle des méchas ! Obtenable via l'évènement LE SINGE ULTIME.
- Nouvelle statue de combattant : Ollin. Ajoutez plus d’éclat à votre ville !
Évènements du Festival de Mu"&amp;"sique :
- Résonance musicale : Le tirage est en direct. Dépensez des Pass Concert pour des prix de luxe—décrochez le skin limité d’Hôtel de Ville Electro Stage tant qu’il est disponible.
- Ouverture d’Ensemble : Rejoignez pour gagner des Coffres Musicaux "&amp;"; ouvrez-les pour de généreuses récompenses. L’équipe la mieux classée remporte un Cadre d’Avatar exclusif.
- Roulette du Festival : Une roulette à durée limitée. Choisissez vos favoris pour tenter de gagner des surprises PREMIUM.
- Expédition en Terres S"&amp;"auvages : Collectez des Pioches au Trésor, découvrez des cristaux et des géodes, et gagnez d’énormes récompenses !
- Grands Cadeaux du Festival : Obtenez de généreuses récompenses avec des recharges cumulées à durée limitée !
- Opérations Musicales : Term"&amp;"inez des quêtes pendant l’évènement pour allumer la carte correspondante, recevoir des récompenses et obtenir des objets exclusifs du festival.
- Fête Musicale : Le pass du festival est disponible. Collectez des Ondes Sonores, augmentez le palier de l’évè"&amp;"nement et recevez des récompenses d’évènement. Progressez dans le classement Sprint pour débloquer un effet de déplacement limité.
- Pass Valeur des Fêtes : Achetez le Pack Pass Valeur des Fêtes pour des récompenses précieuses, et terminez des quêtes pour"&amp;" des récompenses supplémentaires.
- Amélioration du Pillage de Forteresses : Logique de récupération plus intelligente après qu’une forteresse ait été touchée.
- Amélioration de l’Infirmerie : La file de traitement dispose désormais d’un bouton Annuler ; "&amp;"l’annulation rembourse les ressources de soin.
- Amélioration des Ressources : Lors de l’utilisation rapide des ressources pour répondre au besoin actuel, les onglets changent désormais automatiquement pour une expérience plus fluide.")</f>
        <v>- Nouveau combattant : Sentinelle d’Acier—Hilda. Un guerrier forgé d'acier—le gardien fidèle des méchas ! Obtenable via l'évènement LE SINGE ULTIME.
- Nouvelle statue de combattant : Ollin. Ajoutez plus d’éclat à votre ville !
Évènements du Festival de Musique :
- Résonance musicale : Le tirage est en direct. Dépensez des Pass Concert pour des prix de luxe—décrochez le skin limité d’Hôtel de Ville Electro Stage tant qu’il est disponible.
- Ouverture d’Ensemble : Rejoignez pour gagner des Coffres Musicaux ; ouvrez-les pour de généreuses récompenses. L’équipe la mieux classée remporte un Cadre d’Avatar exclusif.
- Roulette du Festival : Une roulette à durée limitée. Choisissez vos favoris pour tenter de gagner des surprises PREMIUM.
- Expédition en Terres Sauvages : Collectez des Pioches au Trésor, découvrez des cristaux et des géodes, et gagnez d’énormes récompenses !
- Grands Cadeaux du Festival : Obtenez de généreuses récompenses avec des recharges cumulées à durée limitée !
- Opérations Musicales : Terminez des quêtes pendant l’évènement pour allumer la carte correspondante, recevoir des récompenses et obtenir des objets exclusifs du festival.
- Fête Musicale : Le pass du festival est disponible. Collectez des Ondes Sonores, augmentez le palier de l’évènement et recevez des récompenses d’évènement. Progressez dans le classement Sprint pour débloquer un effet de déplacement limité.
- Pass Valeur des Fêtes : Achetez le Pack Pass Valeur des Fêtes pour des récompenses précieuses, et terminez des quêtes pour des récompenses supplémentaires.
- Amélioration du Pillage de Forteresses : Logique de récupération plus intelligente après qu’une forteresse ait été touchée.
- Amélioration de l’Infirmerie : La file de traitement dispose désormais d’un bouton Annuler ; l’annulation rembourse les ressources de soin.
- Amélioration des Ressources : Lors de l’utilisation rapide des ressources pour répondre au besoin actuel, les onglets changent désormais automatiquement pour une expérience plus fluide.</v>
      </c>
      <c r="E70" s="168" t="str">
        <f>IFERROR(__xludf.DUMMYFUNCTION("""COMPUTED_VALUE"""),"- Neuer Kämpfer: Steel Sentinel—Hilda. Ein aus Stahl geschmiedeter Krieger – der treue Wächter der Mechs! Erhältlich über das Ultimate Monkey Event.
- Neue Kämpfer-Statue: Ollin. Füge deiner Stadt noch mehr Glanz hinzu!
Musikfestival-Events:
- Musikresona"&amp;"nz: Die Ziehung ist live. Gib Konzertpässe für luxuriöse Preise aus – sichere dir das limitierte Rathaus-Skin „Electro Stage“, solange es verfügbar ist.
- Ensemble-Ouvertüre: Tritt bei, um Musiktruhen zu verdienen; öffne sie für satte Belohnungen. Das bes"&amp;"tplatzierte Team erhält einen exklusiven Avatar-Rahmen.
- Festival-Roulette: Ein zeitlich limitiertes Roulette. Wähle deine Favoriten für eine Chance auf Premium-Überraschungen.
- Wildland-Expedition: Sammle Schatzspaten, entdecke Kristalle und Geoden und"&amp;" erhalte riesige Belohnungen!
- Festival-Großgeschenke: Verdiene großzügige Belohnungen mit zeitlich begrenzten, kumulierten Aufladungen!
- Musik-Operationen: Schließe während des Events Quests ab, um die entsprechende Karte zu beleuchten, Belohnungen zu "&amp;"erhalten und exklusive Festival-Items zu ergattern.
- Musikparty: Der Festivalpass ist aktiv. Sammle Schallwellen, steigere die Event-Stufe und hole dir Event-Belohnungen. Steigere das Sprint-Ranking, um einen limitierten Marscheffekt freizuschalten.
- Ho"&amp;"liday Value Pass: Kaufe das Holiday Value Pass Paket für wertvolle Belohnungen und schließe Quests für Extra-Belohnungen ab.
- Festungs-Plünderer-Aufwertung: Intelligenteres Wiederherstellungs-Logik nach einem Angriff auf die Festung.
- Lazarett-Aufwertun"&amp;"g: Die Behandlungswarteschlange hat jetzt einen Abbrechen-Button; das Abbrechen erstattet die Heilressourcen zurück.
- Ressourcen-Aufwertung: Beim Schnellverwenden von Ressourcen zur Deckung des aktuellen Bedarfs wechseln die Tabs jetzt automatisch für ei"&amp;"n reibungsloseres Erlebnis.")</f>
        <v>- Neuer Kämpfer: Steel Sentinel—Hilda. Ein aus Stahl geschmiedeter Krieger – der treue Wächter der Mechs! Erhältlich über das Ultimate Monkey Event.
- Neue Kämpfer-Statue: Ollin. Füge deiner Stadt noch mehr Glanz hinzu!
Musikfestival-Events:
- Musikresonanz: Die Ziehung ist live. Gib Konzertpässe für luxuriöse Preise aus – sichere dir das limitierte Rathaus-Skin „Electro Stage“, solange es verfügbar ist.
- Ensemble-Ouvertüre: Tritt bei, um Musiktruhen zu verdienen; öffne sie für satte Belohnungen. Das bestplatzierte Team erhält einen exklusiven Avatar-Rahmen.
- Festival-Roulette: Ein zeitlich limitiertes Roulette. Wähle deine Favoriten für eine Chance auf Premium-Überraschungen.
- Wildland-Expedition: Sammle Schatzspaten, entdecke Kristalle und Geoden und erhalte riesige Belohnungen!
- Festival-Großgeschenke: Verdiene großzügige Belohnungen mit zeitlich begrenzten, kumulierten Aufladungen!
- Musik-Operationen: Schließe während des Events Quests ab, um die entsprechende Karte zu beleuchten, Belohnungen zu erhalten und exklusive Festival-Items zu ergattern.
- Musikparty: Der Festivalpass ist aktiv. Sammle Schallwellen, steigere die Event-Stufe und hole dir Event-Belohnungen. Steigere das Sprint-Ranking, um einen limitierten Marscheffekt freizuschalten.
- Holiday Value Pass: Kaufe das Holiday Value Pass Paket für wertvolle Belohnungen und schließe Quests für Extra-Belohnungen ab.
- Festungs-Plünderer-Aufwertung: Intelligenteres Wiederherstellungs-Logik nach einem Angriff auf die Festung.
- Lazarett-Aufwertung: Die Behandlungswarteschlange hat jetzt einen Abbrechen-Button; das Abbrechen erstattet die Heilressourcen zurück.
- Ressourcen-Aufwertung: Beim Schnellverwenden von Ressourcen zur Deckung des aktuellen Bedarfs wechseln die Tabs jetzt automatisch für ein reibungsloseres Erlebnis.</v>
      </c>
      <c r="F70" s="168" t="str">
        <f>IFERROR(__xludf.DUMMYFUNCTION("""COMPUTED_VALUE"""),"- Novo Combatente: Sentinela de Aço—Hilda. Um guerreiro forjado em aço—o fiel protetor dos mechas! Obtível através do evento MACACO SUPREMO.
- Nova Estátua Combatente: Ollin. Adicione mais brilho à sua cidade!
Eventos do Festival de Música:
- Ressonância "&amp;"Musical: O sorteio está ao vivo. Gaste Passes de Concerto para prêmios de luxo—conquiste a skin limitada da Prefeitura Palco Eletro enquanto durar.
- Abertura do Ensemble: Entre para ganhar Baús Musicais; abra-os para recompensas generosas. O time mais be"&amp;"m colocado leva uma Moldura de Avatar exclusiva.
- Roleta do Festival: Uma roleta por tempo limitado. Escolha seus favoritos para concorrer a surpresas premium.
- Expedição nas Terras Selvagens: Colete Picaretas de Tesouro, desenterre cristais e geodos, e"&amp;" ganhe recompensas incríveis!
- Grandes Presentes do Festival: Ganhe recompensas generosas com recargas acumulativas por tempo limitado!
- Operações Musicais: Complete missões durante o evento para acender o cartão correspondente, obter recompensas e gara"&amp;"ntir itens exclusivos do festival.
- Festa Musical: O passe do festival está ativo. Colete Ondas Sonoras, suba o nível do evento e resgate recompensas do evento. Suba no placar da corrida para desbloquear um efeito de marcha limitado.
- Passe de Valor de "&amp;"Feriado: Compre o Pacote do Passe de Valor de Feriado para recompensas valiosas e conclua missões para recompensas extras.
- Melhoria do Saque de Fortalezas: Lógica de recuperação mais inteligente após uma fortaleza ser atingida.
- Melhoria do Posto Médic"&amp;"o: A fila de tratamento agora possui um botão Cancelar; ao cancelar, os recursos de cura são reembolsados.
- Melhoria de Recursos: Ao usar rapidamente recursos para atender à necessidade atual, as abas agora mudam automaticamente para uma experiência mais"&amp;" fluida.")</f>
        <v>- Novo Combatente: Sentinela de Aço—Hilda. Um guerreiro forjado em aço—o fiel protetor dos mechas! Obtível através do evento MACACO SUPREMO.
- Nova Estátua Combatente: Ollin. Adicione mais brilho à sua cidade!
Eventos do Festival de Música:
- Ressonância Musical: O sorteio está ao vivo. Gaste Passes de Concerto para prêmios de luxo—conquiste a skin limitada da Prefeitura Palco Eletro enquanto durar.
- Abertura do Ensemble: Entre para ganhar Baús Musicais; abra-os para recompensas generosas. O time mais bem colocado leva uma Moldura de Avatar exclusiva.
- Roleta do Festival: Uma roleta por tempo limitado. Escolha seus favoritos para concorrer a surpresas premium.
- Expedição nas Terras Selvagens: Colete Picaretas de Tesouro, desenterre cristais e geodos, e ganhe recompensas incríveis!
- Grandes Presentes do Festival: Ganhe recompensas generosas com recargas acumulativas por tempo limitado!
- Operações Musicais: Complete missões durante o evento para acender o cartão correspondente, obter recompensas e garantir itens exclusivos do festival.
- Festa Musical: O passe do festival está ativo. Colete Ondas Sonoras, suba o nível do evento e resgate recompensas do evento. Suba no placar da corrida para desbloquear um efeito de marcha limitado.
- Passe de Valor de Feriado: Compre o Pacote do Passe de Valor de Feriado para recompensas valiosas e conclua missões para recompensas extras.
- Melhoria do Saque de Fortalezas: Lógica de recuperação mais inteligente após uma fortaleza ser atingida.
- Melhoria do Posto Médico: A fila de tratamento agora possui um botão Cancelar; ao cancelar, os recursos de cura são reembolsados.
- Melhoria de Recursos: Ao usar rapidamente recursos para atender à necessidade atual, as abas agora mudam automaticamente para uma experiência mais fluida.</v>
      </c>
      <c r="G70" s="168" t="str">
        <f>IFERROR(__xludf.DUMMYFUNCTION("""COMPUTED_VALUE"""),"-新增鬥士：鋼鐵護衛-希爾達，擁有鋼鐵之軀的戰士，忠誠的機甲守護神！可通過「最強猴子」活動獲取。
-新增鬥士雕像：奧林，來為你的城市增光添彩吧！
新增音樂節活動：
-音樂之聲：音樂節抽獎活動開啟！使用演出門票，贏取豪華大獎，更有節日限定城市外觀-電音舞台，等你來拿！
-合奏樂章：參加本活動即可獲取音樂寶箱，開啟可得豐厚獎勵，小隊排名第一更可獲取限定頭像框獎勵；
-節日轉盤：節日轉盤限時開啟，選取你喜愛的獎品，有機率獲取超值驚喜；
-荒野探寶：收集探寶十字鎬，挖掘水晶與晶岩，贏取大量獎勵！
-音樂豪禮：限時"&amp;"累計已購買即可全部領取豐厚獎勵！
-音樂行動：完成任務可點亮當前任務牌，獲取任務獎勵，贏取音樂節限定道具；
-音樂派對：音樂節限時通行證活動開啟，收集音浪，提升活動等級，全部領取活動好禮。衝刺排名，贏取限定行軍特效！
-節日特惠卡：購買節日特惠卡禮包可馬上取得超值獎勵，完成指定任務還可獲得額外獎勵！
-堡壘競奪優化：優化堡壘被攻擊後的次數恢復邏輯；
-醫療站優化：醫療站治療隊列增加取消按鈕，取消後返還治療資源；
-資源使用優化：快速使用資源補充本次需要時，可自動切換頁籤，優化操作體驗。")</f>
        <v>-新增鬥士：鋼鐵護衛-希爾達，擁有鋼鐵之軀的戰士，忠誠的機甲守護神！可通過「最強猴子」活動獲取。
-新增鬥士雕像：奧林，來為你的城市增光添彩吧！
新增音樂節活動：
-音樂之聲：音樂節抽獎活動開啟！使用演出門票，贏取豪華大獎，更有節日限定城市外觀-電音舞台，等你來拿！
-合奏樂章：參加本活動即可獲取音樂寶箱，開啟可得豐厚獎勵，小隊排名第一更可獲取限定頭像框獎勵；
-節日轉盤：節日轉盤限時開啟，選取你喜愛的獎品，有機率獲取超值驚喜；
-荒野探寶：收集探寶十字鎬，挖掘水晶與晶岩，贏取大量獎勵！
-音樂豪禮：限時累計已購買即可全部領取豐厚獎勵！
-音樂行動：完成任務可點亮當前任務牌，獲取任務獎勵，贏取音樂節限定道具；
-音樂派對：音樂節限時通行證活動開啟，收集音浪，提升活動等級，全部領取活動好禮。衝刺排名，贏取限定行軍特效！
-節日特惠卡：購買節日特惠卡禮包可馬上取得超值獎勵，完成指定任務還可獲得額外獎勵！
-堡壘競奪優化：優化堡壘被攻擊後的次數恢復邏輯；
-醫療站優化：醫療站治療隊列增加取消按鈕，取消後返還治療資源；
-資源使用優化：快速使用資源補充本次需要時，可自動切換頁籤，優化操作體驗。</v>
      </c>
      <c r="H70" s="168" t="str">
        <f>IFERROR(__xludf.DUMMYFUNCTION("""COMPUTED_VALUE"""),"- Pejuang Baru: Steel Sentinel—Hilda. Seorang pejuang yang ditempa dari baja—penjaga setia mekanik! Dapat diperoleh melalui event KERA YANG TANGGUH.
- Patung Pejuang Baru: Ollin. Tambahkan lebih banyak kemilau ke kota kamu!
Event Festival Musik:
- Resonan"&amp;"si Musik: TARIK sudah dimulai. Gunakan Concert Pass untuk hadiah mewah—dapatkan skin balai kota terbatas Electro Stage selama persediaan masih ada.
- Ensemble Overture: Bergabung untuk mendapatkan Peti Musik; buka untuk hadiah besar. Tim peringkat teratas"&amp;" akan mendapatkan Bingkai Avatar eksklusif.
- Roulette Festival: Roulette waktu terbatas. Pilih favoritmu untuk kesempatan mendapatkan kejutan premium.
- Ekspedisi Wildland: Kumpulkan Treasure Picks, temukan kristal dan geode, dan dapatkan hadiah besar!
-"&amp;" Hadiah Besar Festival: Dapatkan hadiah melimpah dengan ISI DAYA kumulatif waktu terbatas!
- Operasi Musik: Selesaikan tantangan selama event untuk menyalakan kartu terkait, dapatkan hadiah, dan raih item eksklusif festival.
- Pesta Musik: Festival pass s"&amp;"udah dimulai. Kumpulkan Soundwave, naikkan tingkat event, dan klaim hadiah event. Kejar peringkat lari cepat untuk membuka efek barisan terbatas.
- Holiday Value Pass: Beli Paket Holiday Value Pass untuk hadiah berharga, dan selesaikan tantangan untuk had"&amp;"iah ekstra.
- Peningkatan Penjarah Benteng: Logika pemulihan lebih cerdas setelah benteng terkena serangan.
- Peningkatan Stasiun Medis: Antrian perawatan kini memiliki tombol Batal; membatalkan akan mengembalikan sumber daya penyembuhan.
- Peningkatan Su"&amp;"mber Daya: Saat menggunakan sumber daya cepat untuk memenuhi kebutuhan kali ini, tab akan berpindah otomatis untuk pengalaman yang lebih lancar.")</f>
        <v>- Pejuang Baru: Steel Sentinel—Hilda. Seorang pejuang yang ditempa dari baja—penjaga setia mekanik! Dapat diperoleh melalui event KERA YANG TANGGUH.
- Patung Pejuang Baru: Ollin. Tambahkan lebih banyak kemilau ke kota kamu!
Event Festival Musik:
- Resonansi Musik: TARIK sudah dimulai. Gunakan Concert Pass untuk hadiah mewah—dapatkan skin balai kota terbatas Electro Stage selama persediaan masih ada.
- Ensemble Overture: Bergabung untuk mendapatkan Peti Musik; buka untuk hadiah besar. Tim peringkat teratas akan mendapatkan Bingkai Avatar eksklusif.
- Roulette Festival: Roulette waktu terbatas. Pilih favoritmu untuk kesempatan mendapatkan kejutan premium.
- Ekspedisi Wildland: Kumpulkan Treasure Picks, temukan kristal dan geode, dan dapatkan hadiah besar!
- Hadiah Besar Festival: Dapatkan hadiah melimpah dengan ISI DAYA kumulatif waktu terbatas!
- Operasi Musik: Selesaikan tantangan selama event untuk menyalakan kartu terkait, dapatkan hadiah, dan raih item eksklusif festival.
- Pesta Musik: Festival pass sudah dimulai. Kumpulkan Soundwave, naikkan tingkat event, dan klaim hadiah event. Kejar peringkat lari cepat untuk membuka efek barisan terbatas.
- Holiday Value Pass: Beli Paket Holiday Value Pass untuk hadiah berharga, dan selesaikan tantangan untuk hadiah ekstra.
- Peningkatan Penjarah Benteng: Logika pemulihan lebih cerdas setelah benteng terkena serangan.
- Peningkatan Stasiun Medis: Antrian perawatan kini memiliki tombol Batal; membatalkan akan mengembalikan sumber daya penyembuhan.
- Peningkatan Sumber Daya: Saat menggunakan sumber daya cepat untuk memenuhi kebutuhan kali ini, tab akan berpindah otomatis untuk pengalaman yang lebih lancar.</v>
      </c>
      <c r="I70" s="168" t="str">
        <f>IFERROR(__xludf.DUMMYFUNCTION("""COMPUTED_VALUE"""),"- นักสู้ตัวใหม่: สตีล เซนทิเนล—ฮิลด้า นักรบเหล็ก—ผู้พิทักษ์ผู้ซื่อสัตย์ของเมค! รับได้จากกิจกรรมลิงขั้นเทพ
- รูปปั้นนักสู้ตัวใหม่: โอลิน เพิ่มความโดดเด่นให้เมืองของคุณ!
กิจกรรมเทศกาลดนตรี:
- เรโซแนนซ์แห่งเสียงเพลง: จับรางวัลสด ใช้ Concert Passes เพื่อรับรา"&amp;"งวัลหรู—คว้าสกินศาลากลางเมือง Electro Stage แบบจำกัดเวลา
- บทนำแห่งวงดนตรี: เข้าร่วมเพื่อรับ Music Chests; เปิดเพื่อรับรางวัลมากมาย ทีมที่มีคะแนนสูงสุดจะได้รับกรอบอวาตาร์สุดพิเศษ
- รูเล็ตต์เทศกาล: รูเล็ตต์จำกัดเวลา เลือกรายการโปรดของคุณเพื่อลุ้นเซอร์ไพรส์"&amp;"พรีเมี่ยม
- ผจญภัยแดนป่า: เก็บสมบัติ Treasure Picks ขุดคริสตัลและจีโอด รับรางวัลมหาศาล!
- ของขวัญใหญ่เทศกาล: รับรางวัลมากมายด้วยการชาร์จสะสมแบบจำกัดเวลา!
- ปฏิบัติการดนตรี: ทำเควสต์ในช่วงกิจกรรมเพื่อเปิดการ์ดที่เกี่ยวข้อง รับรางวัล และรับไอเทมพิเศษเทศกาล
"&amp;"- ปาร์ตี้ดนตรี: บัตรผ่านเทศกาลเปิดแล้ว เก็บ Soundwaves เลเวลอัประดับกิจกรรม และรับรางวัลกิจกรรม ดันอันดับวิ่งสปรินท์เพื่อปลดล็อกเอฟเฟกต์การเดินทัพแบบจำกัด
- แพ็กบัตรมูลค่าช่วงเทศกาล: ซื้อแพ็ก Holiday Value Pass เพื่อรับรางวัลมูลค่า และทำเควสต์เพื่อรับรางว"&amp;"ัลพิเศษ
- อัปเกรดปล้นป้อมปราการ: ปรับปรุงตรรกะการฟื้นฟูหลังป้อมถูกโจมตีให้ฉลาดขึ้น
- อัปเกรดสถานีพยาบาล: คิวการรักษามีปุ่มยกเลิกแล้ว เมื่อยกเลิกจะได้รับทรัพยากรการรักษาคืน
- อัปเกรดทรัพยากร: เมื่อใช้ทรัพยากรอย่างรวดเร็วเพื่อตอบสนองความต้องการครั้งนี้ แท็บ"&amp;"จะสลับอัตโนมัติเพื่อประสบการณ์ที่ราบรื่นยิ่งขึ้น")</f>
        <v>- นักสู้ตัวใหม่: สตีล เซนทิเนล—ฮิลด้า นักรบเหล็ก—ผู้พิทักษ์ผู้ซื่อสัตย์ของเมค! รับได้จากกิจกรรมลิงขั้นเทพ
- รูปปั้นนักสู้ตัวใหม่: โอลิน เพิ่มความโดดเด่นให้เมืองของคุณ!
กิจกรรมเทศกาลดนตรี:
- เรโซแนนซ์แห่งเสียงเพลง: จับรางวัลสด ใช้ Concert Passes เพื่อรับรางวัลหรู—คว้าสกินศาลากลางเมือง Electro Stage แบบจำกัดเวลา
- บทนำแห่งวงดนตรี: เข้าร่วมเพื่อรับ Music Chests; เปิดเพื่อรับรางวัลมากมาย ทีมที่มีคะแนนสูงสุดจะได้รับกรอบอวาตาร์สุดพิเศษ
- รูเล็ตต์เทศกาล: รูเล็ตต์จำกัดเวลา เลือกรายการโปรดของคุณเพื่อลุ้นเซอร์ไพรส์พรีเมี่ยม
- ผจญภัยแดนป่า: เก็บสมบัติ Treasure Picks ขุดคริสตัลและจีโอด รับรางวัลมหาศาล!
- ของขวัญใหญ่เทศกาล: รับรางวัลมากมายด้วยการชาร์จสะสมแบบจำกัดเวลา!
- ปฏิบัติการดนตรี: ทำเควสต์ในช่วงกิจกรรมเพื่อเปิดการ์ดที่เกี่ยวข้อง รับรางวัล และรับไอเทมพิเศษเทศกาล
- ปาร์ตี้ดนตรี: บัตรผ่านเทศกาลเปิดแล้ว เก็บ Soundwaves เลเวลอัประดับกิจกรรม และรับรางวัลกิจกรรม ดันอันดับวิ่งสปรินท์เพื่อปลดล็อกเอฟเฟกต์การเดินทัพแบบจำกัด
- แพ็กบัตรมูลค่าช่วงเทศกาล: ซื้อแพ็ก Holiday Value Pass เพื่อรับรางวัลมูลค่า และทำเควสต์เพื่อรับรางวัลพิเศษ
- อัปเกรดปล้นป้อมปราการ: ปรับปรุงตรรกะการฟื้นฟูหลังป้อมถูกโจมตีให้ฉลาดขึ้น
- อัปเกรดสถานีพยาบาล: คิวการรักษามีปุ่มยกเลิกแล้ว เมื่อยกเลิกจะได้รับทรัพยากรการรักษาคืน
- อัปเกรดทรัพยากร: เมื่อใช้ทรัพยากรอย่างรวดเร็วเพื่อตอบสนองความต้องการครั้งนี้ แท็บจะสลับอัตโนมัติเพื่อประสบการณ์ที่ราบรื่นยิ่งขึ้น</v>
      </c>
      <c r="J70" s="168" t="str">
        <f>IFERROR(__xludf.DUMMYFUNCTION("""COMPUTED_VALUE"""),"- Nuevo Luchador: Centinela de Acero—Hilda. ¡Un guerrero forjado en acero—el guardián fiel de los mecas! Obtenible a través del evento MONO SUPREMO.
- Nueva Estatua del Luchador: Ollin. ¡Añade más brillo a tu ciudad!
Eventos del Festival de Música:
- Reso"&amp;"nancia Musical: El sorteo está en vivo. Gasta Pases de Concierto para premios de lujo—consigue el aspecto limitado del Ayuntamiento Escenario Electro mientras dure.
- Obertura de Ensamble: Únete para ganar Cofres Musicales; ábrelos para obtener recompensa"&amp;"s sustanciosas. El equipo mejor clasificado obtiene un Marco de Avatar exclusivo.
- Ruleta del Festival: Una ruleta por tiempo limitado. Elige tus favoritos para tener la oportunidad de ganar sorpresas premium.
- Expedición en Tierras Salvajes: Recolecta "&amp;"Picos del Tesoro, desentierra cristales y geodas, ¡y gana recompensas masivas!
- Grandes Regalos del Festival: ¡Obtén generosas recompensas con recargas acumulativas por tiempo limitado!
- Operaciones Musicales: Completa misiones durante el evento para il"&amp;"uminar la carta correspondiente, obtener recompensas y conseguir artículos exclusivos del festival.
- Fiesta Musical: El pase del festival está activo. Recolecta Ondas Sonoras, sube de nivel el nivel del evento y reclama recompensas del evento. Impulsa la"&amp;" clasificación de aceleración para desbloquear un efecto de marcha limitado.
- Pase de Valor Festivo: Compra el Paquete del Pase de Valor Festivo para valiosas recompensas y completa misiones para recompensas extra.
- Mejora del Saqueador de la Fortaleza:"&amp;" Lógica de recuperación más inteligente después de que una fortaleza sea atacada.
- Mejora de la Estación médica: La cola de tratamiento ahora tiene un botón de Cancelar; al cancelar se reembolsan los recursos de curación.
- Mejora de Recursos: Al usar re"&amp;"cursos rápidamente para satisfacer la necesidad actual, las pestañas ahora cambian automáticamente para una experiencia más fluida.")</f>
        <v>- Nuevo Luchador: Centinela de Acero—Hilda. ¡Un guerrero forjado en acero—el guardián fiel de los mecas! Obtenible a través del evento MONO SUPREMO.
- Nueva Estatua del Luchador: Ollin. ¡Añade más brillo a tu ciudad!
Eventos del Festival de Música:
- Resonancia Musical: El sorteo está en vivo. Gasta Pases de Concierto para premios de lujo—consigue el aspecto limitado del Ayuntamiento Escenario Electro mientras dure.
- Obertura de Ensamble: Únete para ganar Cofres Musicales; ábrelos para obtener recompensas sustanciosas. El equipo mejor clasificado obtiene un Marco de Avatar exclusivo.
- Ruleta del Festival: Una ruleta por tiempo limitado. Elige tus favoritos para tener la oportunidad de ganar sorpresas premium.
- Expedición en Tierras Salvajes: Recolecta Picos del Tesoro, desentierra cristales y geodas, ¡y gana recompensas masivas!
- Grandes Regalos del Festival: ¡Obtén generosas recompensas con recargas acumulativas por tiempo limitado!
- Operaciones Musicales: Completa misiones durante el evento para iluminar la carta correspondiente, obtener recompensas y conseguir artículos exclusivos del festival.
- Fiesta Musical: El pase del festival está activo. Recolecta Ondas Sonoras, sube de nivel el nivel del evento y reclama recompensas del evento. Impulsa la clasificación de aceleración para desbloquear un efecto de marcha limitado.
- Pase de Valor Festivo: Compra el Paquete del Pase de Valor Festivo para valiosas recompensas y completa misiones para recompensas extra.
- Mejora del Saqueador de la Fortaleza: Lógica de recuperación más inteligente después de que una fortaleza sea atacada.
- Mejora de la Estación médica: La cola de tratamiento ahora tiene un botón de Cancelar; al cancelar se reembolsan los recursos de curación.
- Mejora de Recursos: Al usar recursos rápidamente para satisfacer la necesidad actual, las pestañas ahora cambian automáticamente para una experiencia más fluida.</v>
      </c>
      <c r="K70" s="168" t="str">
        <f>IFERROR(__xludf.DUMMYFUNCTION("""COMPUTED_VALUE"""),"- Новый герой: Стальной Страж — Хильда. Воин, выкованный из стали — верный защитник мехов! Получаемо через событие ВЕЛИКАЯ ОБЕЗЬЯНА.
- Новая статуя героя: Оллин. Добавьте больше блеска вашему городу!
Музыкальные фестивальные события:
- Музыкальный резонан"&amp;"с: Попытка в прямом эфире. Тратьте концертные пропуска на роскошные призы — получите ограниченный облик городского совета Электро-Сцена, пока он доступен.
- Увертюра ансамбля: Вступайте, чтобы заработать музыкальные сундуки; открывайте их для получения ще"&amp;"дрых наград. Команда с самым высоким рейтингом получит эксклюзивную рамку аватара.
- Фестивальная рулетка: Ограниченная по времени рулетка. Выбирайте своих фаворитов ради шанса на премиальные сюрпризы.
- Экспедиция в дикую местность: Собирайте сокровищные"&amp;" кирки, находите кристаллы и жеоды и получайте огромные награды!
- Фестивальные большие подарки: Получайте щедрые награды за ограниченные по времени накопительные заряды!
- Музыкальные операции: Завершайте задания во время события, чтобы зажечь соответств"&amp;"ующую карту, получить награды и забрать эксклюзивные предметы фестиваля.
- Музыкальная вечеринка: Фестивальный пропуск активен. Собирайте звуковые волны, повышайте уровень события и забирайте награды события. Продвигайтесь в рейтинге спринта, чтобы открыт"&amp;"ь ограниченный эффект марша.
- Праздничный выгодный пропуск: Купите набор праздничного выгодного пропуска для ценных наград и завершайте задания для дополнительных наград.
- Улучшение грабителя крепости: Более умная логика восстановления после удара по кр"&amp;"епости.
- Улучшение медпункта: В очереди на лечение теперь есть кнопка Отмена; при отмене ресурсы лечения возвращаются.
- Улучшение ресурсов: При быстром использовании ресурсов для удовлетворения текущей потребности вкладки теперь переключаются автоматиче"&amp;"ски для более плавного опыта.")</f>
        <v>- Новый герой: Стальной Страж — Хильда. Воин, выкованный из стали — верный защитник мехов! Получаемо через событие ВЕЛИКАЯ ОБЕЗЬЯНА.
- Новая статуя героя: Оллин. Добавьте больше блеска вашему городу!
Музыкальные фестивальные события:
- Музыкальный резонанс: Попытка в прямом эфире. Тратьте концертные пропуска на роскошные призы — получите ограниченный облик городского совета Электро-Сцена, пока он доступен.
- Увертюра ансамбля: Вступайте, чтобы заработать музыкальные сундуки; открывайте их для получения щедрых наград. Команда с самым высоким рейтингом получит эксклюзивную рамку аватара.
- Фестивальная рулетка: Ограниченная по времени рулетка. Выбирайте своих фаворитов ради шанса на премиальные сюрпризы.
- Экспедиция в дикую местность: Собирайте сокровищные кирки, находите кристаллы и жеоды и получайте огромные награды!
- Фестивальные большие подарки: Получайте щедрые награды за ограниченные по времени накопительные заряды!
- Музыкальные операции: Завершайте задания во время события, чтобы зажечь соответствующую карту, получить награды и забрать эксклюзивные предметы фестиваля.
- Музыкальная вечеринка: Фестивальный пропуск активен. Собирайте звуковые волны, повышайте уровень события и забирайте награды события. Продвигайтесь в рейтинге спринта, чтобы открыть ограниченный эффект марша.
- Праздничный выгодный пропуск: Купите набор праздничного выгодного пропуска для ценных наград и завершайте задания для дополнительных наград.
- Улучшение грабителя крепости: Более умная логика восстановления после удара по крепости.
- Улучшение медпункта: В очереди на лечение теперь есть кнопка Отмена; при отмене ресурсы лечения возвращаются.
- Улучшение ресурсов: При быстром использовании ресурсов для удовлетворения текущей потребности вкладки теперь переключаются автоматически для более плавного опыта.</v>
      </c>
      <c r="L70" s="168" t="str">
        <f>IFERROR(__xludf.DUMMYFUNCTION("""COMPUTED_VALUE"""),"- Yeni Savaşçı: Çelik Muhafız—Hilda. Çelikten dövülmüş bir savaşçı—mekaların sadık koruyucusu! EN ÜSTÜN MAYMUN etkinliğiyle edinilebilir.
- Yeni Savaşçı Heykeli: Ollin. Şehrine daha fazla parlaklık kat!
Müzik Festivali Etkinlikleri:
- Müzik Rezonansı: Çek"&amp;"iliş başladı. Konser Biletleri harcayarak lüks ödüller kazan—sınırlı süreli meclis görünümü Elektro Sahne’yi kaçırma.
- Toplu Açılış: Katıl, Müzik Sandıkları kazan; onları açarak büyük ödüller elde et. En üst sıradaki takım özel bir Avatar Çerçevesi alır."&amp;"
- Festival Ruleti: Sınırlı süreli rulet. Favorilerini seç, premium sürprizler için şansını dene.
- Vahşi Arazi Seferi: Hazine Seçkileri topla, kristaller ve jeotlar keşfet, dev ödüller kazan!
- Festival Büyük Hediyeleri: Sınırlı süreli kümülatif şarjlarl"&amp;"a cömert ödüller kazan!
- Müzik Operasyonları: Etkinlik sırasında maceraları tamamla, ilgili kartı yak, ödülleri al ve festivale özel eşyaları kap.
- Müzik Partisi: Festival bileti aktif. Ses Dalgaları topla, etkinlik kademesini yükselt ve etkinlik ödülle"&amp;"rini al. Depar sıralamasında yükselerek sınırlı sefer etkisinin kilidini aç.
- Tatil Değerli Bileti: Tatil Değerli Bilet Paketi satın alarak değerli ödüller kazan, maceraları tamamlayarak ekstra ödüller elde et.
- Kale Yağmacısı Yükseltmesi: Kale vurulduk"&amp;"tan sonra daha akıllı iyileşme mantığı.
- Tedavi Merkezi Yükseltmesi: Tedavi kuyruğunda artık bir İptal Et butonu var; iptal edildiğinde iyileştirme kaynakları iade edilir.
- Kaynak Yükseltmesi: Kaynakları hızlıca kullanarak mevcut ihtiyacı karşılarken, s"&amp;"ekmeler artık daha akıcı bir deneyim için otomatik olarak değişiyor.")</f>
        <v>- Yeni Savaşçı: Çelik Muhafız—Hilda. Çelikten dövülmüş bir savaşçı—mekaların sadık koruyucusu! EN ÜSTÜN MAYMUN etkinliğiyle edinilebilir.
- Yeni Savaşçı Heykeli: Ollin. Şehrine daha fazla parlaklık kat!
Müzik Festivali Etkinlikleri:
- Müzik Rezonansı: Çekiliş başladı. Konser Biletleri harcayarak lüks ödüller kazan—sınırlı süreli meclis görünümü Elektro Sahne’yi kaçırma.
- Toplu Açılış: Katıl, Müzik Sandıkları kazan; onları açarak büyük ödüller elde et. En üst sıradaki takım özel bir Avatar Çerçevesi alır.
- Festival Ruleti: Sınırlı süreli rulet. Favorilerini seç, premium sürprizler için şansını dene.
- Vahşi Arazi Seferi: Hazine Seçkileri topla, kristaller ve jeotlar keşfet, dev ödüller kazan!
- Festival Büyük Hediyeleri: Sınırlı süreli kümülatif şarjlarla cömert ödüller kazan!
- Müzik Operasyonları: Etkinlik sırasında maceraları tamamla, ilgili kartı yak, ödülleri al ve festivale özel eşyaları kap.
- Müzik Partisi: Festival bileti aktif. Ses Dalgaları topla, etkinlik kademesini yükselt ve etkinlik ödüllerini al. Depar sıralamasında yükselerek sınırlı sefer etkisinin kilidini aç.
- Tatil Değerli Bileti: Tatil Değerli Bilet Paketi satın alarak değerli ödüller kazan, maceraları tamamlayarak ekstra ödüller elde et.
- Kale Yağmacısı Yükseltmesi: Kale vurulduktan sonra daha akıllı iyileşme mantığı.
- Tedavi Merkezi Yükseltmesi: Tedavi kuyruğunda artık bir İptal Et butonu var; iptal edildiğinde iyileştirme kaynakları iade edilir.
- Kaynak Yükseltmesi: Kaynakları hızlıca kullanarak mevcut ihtiyacı karşılarken, sekmeler artık daha akıcı bir deneyim için otomatik olarak değişiyor.</v>
      </c>
      <c r="M70" s="168" t="str">
        <f>IFERROR(__xludf.DUMMYFUNCTION("""COMPUTED_VALUE"""),"- Chiến Binh Mới: Steel Sentinel—Hilda. Một chiến binh rèn bằng thép—người bảo vệ trung thành của những cơ khí! Có thể nhận được thông qua sự kiện CHÚA KHỈ TỐI CAO.
- Tượng Chiến Binh Mới: Ollin. Thêm sự rực rỡ cho THÀNH PHỐ của bạn!
Sự Kiện Lễ Hội Âm Nhạ"&amp;"c:
- Cộng Hưởng Âm Nhạc: RÚT đang diễn ra. Dùng Vé Buổi Hòa Nhạc để nhận các phần thưởng xa xỉ—săn ngay giao diện Tòa Thị Chính giới hạn Electro Stage khi còn có thể.
- Khúc Dạo Đầu Hợp Xướng: GIA NHẬP để nhận Rương Âm Nhạc; mở rương để nhận phần thưởng l"&amp;"ớn. ĐỘI xếp hạng đầu sẽ nhận được Khung Avatar độc quyền.
- Cò Quay Lễ Hội: Cò quay giới hạn thời gian. Chọn mục yêu thích để có cơ hội nhận BẤT NGỜ CAO CẤP.
- Thám Hiểm Vùng Hoang: THU THẬP Dụng Cụ Đào Kho Báu, khai quật tinh thể và đá quý, nhận phần thư"&amp;"ởng khổng lồ!
- Quà Tặng Lễ Hội Lớn: Nhận phần thưởng hào phóng với Nạp năng lượng tích lũy giới hạn thời gian!
- Nhiệm Vụ Âm Nhạc: Hoàn thành Nhiệm Vụ trong sự kiện để Thắp Sáng thẻ tương ứng, nhận phần thưởng và sở hữu vật phẩm độc quyền lễ hội.
- Tiệc "&amp;"Âm Nhạc: Vé lễ hội đã mở. THU THẬP Sóng Âm, nâng cấp Bậc sự kiện và nhận phần thưởng sự kiện. Đẩy xếp hạng Chạy Nước Rút để Mở Khóa hiệu ứng Hành Quân giới hạn.
- Gói Giá Trị Ngày Lễ: Mua GÓI Giá Trị Ngày Lễ để nhận phần thưởng giá trị, hoàn thành Nhiệm V"&amp;"ụ để nhận thêm phần thưởng.
- Nâng Cấp Cướp Bóc Pháo Đài: Logic hồi phục thông minh hơn sau khi Pháo Đài bị tấn công.
- Nâng Cấp Trạm Y Tế: Hàng đợi trị thương giờ có nút Hủy; hủy sẽ hoàn trả tài nguyên trị thương.
- Nâng Cấp Tài Nguyên: Khi sử dụng nhanh"&amp;" tài nguyên để đáp ứng nhu cầu hiện tại, các tab sẽ tự động chuyển đổi để trải nghiệm mượt mà hơn.")</f>
        <v>- Chiến Binh Mới: Steel Sentinel—Hilda. Một chiến binh rèn bằng thép—người bảo vệ trung thành của những cơ khí! Có thể nhận được thông qua sự kiện CHÚA KHỈ TỐI CAO.
- Tượng Chiến Binh Mới: Ollin. Thêm sự rực rỡ cho THÀNH PHỐ của bạn!
Sự Kiện Lễ Hội Âm Nhạc:
- Cộng Hưởng Âm Nhạc: RÚT đang diễn ra. Dùng Vé Buổi Hòa Nhạc để nhận các phần thưởng xa xỉ—săn ngay giao diện Tòa Thị Chính giới hạn Electro Stage khi còn có thể.
- Khúc Dạo Đầu Hợp Xướng: GIA NHẬP để nhận Rương Âm Nhạc; mở rương để nhận phần thưởng lớn. ĐỘI xếp hạng đầu sẽ nhận được Khung Avatar độc quyền.
- Cò Quay Lễ Hội: Cò quay giới hạn thời gian. Chọn mục yêu thích để có cơ hội nhận BẤT NGỜ CAO CẤP.
- Thám Hiểm Vùng Hoang: THU THẬP Dụng Cụ Đào Kho Báu, khai quật tinh thể và đá quý, nhận phần thưởng khổng lồ!
- Quà Tặng Lễ Hội Lớn: Nhận phần thưởng hào phóng với Nạp năng lượng tích lũy giới hạn thời gian!
- Nhiệm Vụ Âm Nhạc: Hoàn thành Nhiệm Vụ trong sự kiện để Thắp Sáng thẻ tương ứng, nhận phần thưởng và sở hữu vật phẩm độc quyền lễ hội.
- Tiệc Âm Nhạc: Vé lễ hội đã mở. THU THẬP Sóng Âm, nâng cấp Bậc sự kiện và nhận phần thưởng sự kiện. Đẩy xếp hạng Chạy Nước Rút để Mở Khóa hiệu ứng Hành Quân giới hạn.
- Gói Giá Trị Ngày Lễ: Mua GÓI Giá Trị Ngày Lễ để nhận phần thưởng giá trị, hoàn thành Nhiệm Vụ để nhận thêm phần thưởng.
- Nâng Cấp Cướp Bóc Pháo Đài: Logic hồi phục thông minh hơn sau khi Pháo Đài bị tấn công.
- Nâng Cấp Trạm Y Tế: Hàng đợi trị thương giờ có nút Hủy; hủy sẽ hoàn trả tài nguyên trị thương.
- Nâng Cấp Tài Nguyên: Khi sử dụng nhanh tài nguyên để đáp ứng nhu cầu hiện tại, các tab sẽ tự động chuyển đổi để trải nghiệm mượt mà hơn.</v>
      </c>
      <c r="N70" s="169" t="str">
        <f>IFERROR(__xludf.DUMMYFUNCTION("""COMPUTED_VALUE"""),"- Nuovo Combattente: Sentinella d’Acciaio—Hilda. Un guerriero forgiato nell'acciaio—il fedele guardiano dei mech! Ottenibile tramite l’evento SCIMMIA SUPREMA.
- Nuova Statua del Combattente: Ollin. Aggiungi più splendore alla tua città!
Eventi Festival Mu"&amp;"sicale:
- Risonanza Musicale: L’estrazione è attiva. Spendi Pass Concerto per premi di lusso—ottieni l’aspetto limitato del Municipio Palco Elettrico finché dura.
- Ouverture d’Ensemble: Partecipa per ottenere Scrigni Musicali; aprili per ricompense sosta"&amp;"nziose. La squadra in cima alla classifica riceve una Cornice Avatar esclusiva.
- Roulette del Festival: Una roulette a tempo limitato. Scegli i tuoi preferiti per una possibilità di sorprese premium.
- Spedizione nelle Terre Selvagge: Raccogli Picconi de"&amp;"l Tesoro, scopri cristalli e geodi, e guadagna ricompense enormi!
- Grandi Regali del Festival: Ottieni ricompense generose con ricariche cumulative a tempo limitato!
- Operazioni Musicali: Completa missioni durante l’evento per accendere la carta corrisp"&amp;"ondente, ottenere ricompense e afferrare oggetti esclusivi del festival.
- Festa Musicale: Il pass del festival è attivo. Raccogli Onde Sonore, aumenta la classe dell’evento e riscatta ricompense dell’evento. Scala la posizione sprint per sbloccare un eff"&amp;"etto di marcia limitato.
- Pass Valore Festivo: Acquista il Pacchetto Pass Valore Festivo per ricompense preziose e completa missioni per ricompense extra.
- Potenziamento Saccheggiatore di Fortezze: Logica di recupero più intelligente dopo che una fortez"&amp;"za viene colpita.
- Potenziamento Stazione Medica: La coda di trattamento ora ha un pulsante Annulla; l’annullamento rimborsa le risorse di guarigione.
- Potenziamento Risorse: Quando usi rapidamente le risorse per soddisfare il bisogno attuale, le schede"&amp;" ora si cambiano automaticamente per un’esperienza più fluida.")</f>
        <v>- Nuovo Combattente: Sentinella d’Acciaio—Hilda. Un guerriero forgiato nell'acciaio—il fedele guardiano dei mech! Ottenibile tramite l’evento SCIMMIA SUPREMA.
- Nuova Statua del Combattente: Ollin. Aggiungi più splendore alla tua città!
Eventi Festival Musicale:
- Risonanza Musicale: L’estrazione è attiva. Spendi Pass Concerto per premi di lusso—ottieni l’aspetto limitato del Municipio Palco Elettrico finché dura.
- Ouverture d’Ensemble: Partecipa per ottenere Scrigni Musicali; aprili per ricompense sostanziose. La squadra in cima alla classifica riceve una Cornice Avatar esclusiva.
- Roulette del Festival: Una roulette a tempo limitato. Scegli i tuoi preferiti per una possibilità di sorprese premium.
- Spedizione nelle Terre Selvagge: Raccogli Picconi del Tesoro, scopri cristalli e geodi, e guadagna ricompense enormi!
- Grandi Regali del Festival: Ottieni ricompense generose con ricariche cumulative a tempo limitato!
- Operazioni Musicali: Completa missioni durante l’evento per accendere la carta corrispondente, ottenere ricompense e afferrare oggetti esclusivi del festival.
- Festa Musicale: Il pass del festival è attivo. Raccogli Onde Sonore, aumenta la classe dell’evento e riscatta ricompense dell’evento. Scala la posizione sprint per sbloccare un effetto di marcia limitato.
- Pass Valore Festivo: Acquista il Pacchetto Pass Valore Festivo per ricompense preziose e completa missioni per ricompense extra.
- Potenziamento Saccheggiatore di Fortezze: Logica di recupero più intelligente dopo che una fortezza viene colpita.
- Potenziamento Stazione Medica: La coda di trattamento ora ha un pulsante Annulla; l’annullamento rimborsa le risorse di guarigione.
- Potenziamento Risorse: Quando usi rapidamente le risorse per soddisfare il bisogno attuale, le schede ora si cambiano automaticamente per un’esperienza più fluida.</v>
      </c>
      <c r="O70" s="168" t="str">
        <f>IFERROR(__xludf.DUMMYFUNCTION("""COMPUTED_VALUE"""),"- Nowy Wojownik: Stalowy Strażnik—Hilda. Wojownik wykuty ze stali—wierny strażnik mechów! Możliwe do uzyskania podczas wydarzenia UBERMAŁPA.
- Nowy Pomnik Wojownika: Ollin. Dodaj więcej blasku swojemu miastu!
Wydarzenia Festiwalu Muzycznego:
- Muzyczna Re"&amp;"zonans: Losowanie na żywo. Wydawaj Przepustki na Koncert na luksusowe nagrody—zdobądź limitowaną skórkę Ratusza Electro Stage, póki trwa.
- Uwertura Zespołu: DOŁĄCZ, aby zdobyć Muzyczne Skrzynie; otwieraj je po solidne nagrody. Najlepszy zespół otrzyma ek"&amp;"skluzywną Ramkę Awatara.
- Festiwalowa Ruletka: Limitowana ruletka. Wybierz swoich ulubieńców, by mieć szansę na PREMIUM niespodzianki.
- Ekspedycja na Dzikie Ziemie: Zbieraj Skarby, odkrywaj kryształy i geody oraz zdobywaj ogromne nagrody!
- Wielkie Prez"&amp;"enty Festiwalowe: Zgarnij hojne nagrody za limitowane doładowania kumulacyjne!
- Muzyczne Operacje: Ukończ zadania podczas wydarzenia, aby zapalić odpowiednią kartę, odbierz nagrody i zgarnij festiwalowe przedmioty na wyłączność.
- Muzyczna Impreza: Przep"&amp;"ustka festiwalowa aktywna. Zbieraj Dźwiękowe Fale, zwiększaj poziom wydarzenia i odbieraj nagrody za wydarzenie. Wspinaj się w rankingu sprintu, aby odblokować limitowany EFEKT MARSZU.
- Świąteczny Pakiet Wartości: Kup Pakiet Świąteczny Wartości dla cenny"&amp;"ch nagród i ukończ zadania po dodatkowe nagrody.
- Modernizacja Grabieżcy Fortecy: Inteligentniejsze odzyskiwanie po ataku na twierdzę.
- Modernizacja Stacji Medycznej: Kolejka leczenia ma teraz przycisk Anuluj; anulowanie zwraca zasoby leczenia.
- Modern"&amp;"izacja Zasobów: Podczas szybkiego używania zasobów do spełnienia bieżących potrzeb, zakładki przełączają się automatycznie dla płynniejszego działania.")</f>
        <v>- Nowy Wojownik: Stalowy Strażnik—Hilda. Wojownik wykuty ze stali—wierny strażnik mechów! Możliwe do uzyskania podczas wydarzenia UBERMAŁPA.
- Nowy Pomnik Wojownika: Ollin. Dodaj więcej blasku swojemu miastu!
Wydarzenia Festiwalu Muzycznego:
- Muzyczna Rezonans: Losowanie na żywo. Wydawaj Przepustki na Koncert na luksusowe nagrody—zdobądź limitowaną skórkę Ratusza Electro Stage, póki trwa.
- Uwertura Zespołu: DOŁĄCZ, aby zdobyć Muzyczne Skrzynie; otwieraj je po solidne nagrody. Najlepszy zespół otrzyma ekskluzywną Ramkę Awatara.
- Festiwalowa Ruletka: Limitowana ruletka. Wybierz swoich ulubieńców, by mieć szansę na PREMIUM niespodzianki.
- Ekspedycja na Dzikie Ziemie: Zbieraj Skarby, odkrywaj kryształy i geody oraz zdobywaj ogromne nagrody!
- Wielkie Prezenty Festiwalowe: Zgarnij hojne nagrody za limitowane doładowania kumulacyjne!
- Muzyczne Operacje: Ukończ zadania podczas wydarzenia, aby zapalić odpowiednią kartę, odbierz nagrody i zgarnij festiwalowe przedmioty na wyłączność.
- Muzyczna Impreza: Przepustka festiwalowa aktywna. Zbieraj Dźwiękowe Fale, zwiększaj poziom wydarzenia i odbieraj nagrody za wydarzenie. Wspinaj się w rankingu sprintu, aby odblokować limitowany EFEKT MARSZU.
- Świąteczny Pakiet Wartości: Kup Pakiet Świąteczny Wartości dla cennych nagród i ukończ zadania po dodatkowe nagrody.
- Modernizacja Grabieżcy Fortecy: Inteligentniejsze odzyskiwanie po ataku na twierdzę.
- Modernizacja Stacji Medycznej: Kolejka leczenia ma teraz przycisk Anuluj; anulowanie zwraca zasoby leczenia.
- Modernizacja Zasobów: Podczas szybkiego używania zasobów do spełnienia bieżących potrzeb, zakładki przełączają się automatycznie dla płynniejszego działania.</v>
      </c>
      <c r="P70" s="168" t="str">
        <f>IFERROR(__xludf.DUMMYFUNCTION("""COMPUTED_VALUE"""),"- مقاتل جديد: الحارس الفولاذي—هيلدا. محارب مصنوع من الفولاذ—الحارس الوفي للآليات! قابل للحصول عليه من خلال حدث القرد الخارق.
- حالة مقاتل جديدة: أولين. أضف المزيد من التألق إلى مدينتك!
فعاليات مهرجان الموسيقى:
- رنين الموسيقى: السحب مباشر. أنفق تذاكر الحف"&amp;"ل للحصول على جوائز فاخرة—واحصل على زينة قاعة المدينة المحدودة ""المرحلة الكهربائية"" قبل انتهائها.
- افتتاحية الفرقة: انضم لتحصل على صناديق الموسيقى؛ افتحها لتحصل على جوائز ضخمة. الفريق الأعلى تصنيفًا يحصل على إطار صورة حصري.
- روليت المهرجان: روليت لفترة"&amp;" محدودة. اختر المفضلات لديك للحصول على فرصة للفوز بمفاجآت مميزة.
- بعثة الأراضي البرية: اجمع اختيارات الكنز، واكتشف البلورات والجيود، واحصل على جوائز ضخمة!
- هدايا المهرجان الكبرى: احصل على جوائز سخية مع الشحنات التراكمية المحدودة!
- عمليات الموسيقى: أكمل"&amp;" المهام خلال الحدث لإضاءة البطاقة المقابلة، واحصل على الجوائز، واقتنِ عناصر حصرية للمهرجان.
- حفلة الموسيقى: تذكرة المهرجان متاحة الآن. اجمع الموجات الصوتية، وارفع مستوى الحدث، واحصل على جوائز الحدث. ادفع تصنيف العدو السريع لفتح تأثير مسيرة محدود.
- باقة "&amp;"قيمة العطلة: اشترِ باقة قيمة العطلة لتحصل على جوائز قيمة، وأكمل المهام لتحصل على مكافآت إضافية.
- ترقية نهب الحصن: منطق استرداد أذكى بعد تعرض الحصن لهجوم.
- ترقية المحطة الطبية: أصبح هناك زر إلغاء في قائمة الانتظار للعلاج؛ إلغاء العلاج يعيد موارد العلاج.
"&amp;"- ترقية الموارد: عند الاستخدام السريع للموارد لتلبية الحاجة الحالية، أصبحت علامات التبويب تتبدل تلقائيًا لتجربة أكثر سلاسة.")</f>
        <v>- مقاتل جديد: الحارس الفولاذي—هيلدا. محارب مصنوع من الفولاذ—الحارس الوفي للآليات! قابل للحصول عليه من خلال حدث القرد الخارق.
- حالة مقاتل جديدة: أولين. أضف المزيد من التألق إلى مدينتك!
فعاليات مهرجان الموسيقى:
- رنين الموسيقى: السحب مباشر. أنفق تذاكر الحفل للحصول على جوائز فاخرة—واحصل على زينة قاعة المدينة المحدودة "المرحلة الكهربائية" قبل انتهائها.
- افتتاحية الفرقة: انضم لتحصل على صناديق الموسيقى؛ افتحها لتحصل على جوائز ضخمة. الفريق الأعلى تصنيفًا يحصل على إطار صورة حصري.
- روليت المهرجان: روليت لفترة محدودة. اختر المفضلات لديك للحصول على فرصة للفوز بمفاجآت مميزة.
- بعثة الأراضي البرية: اجمع اختيارات الكنز، واكتشف البلورات والجيود، واحصل على جوائز ضخمة!
- هدايا المهرجان الكبرى: احصل على جوائز سخية مع الشحنات التراكمية المحدودة!
- عمليات الموسيقى: أكمل المهام خلال الحدث لإضاءة البطاقة المقابلة، واحصل على الجوائز، واقتنِ عناصر حصرية للمهرجان.
- حفلة الموسيقى: تذكرة المهرجان متاحة الآن. اجمع الموجات الصوتية، وارفع مستوى الحدث، واحصل على جوائز الحدث. ادفع تصنيف العدو السريع لفتح تأثير مسيرة محدود.
- باقة قيمة العطلة: اشترِ باقة قيمة العطلة لتحصل على جوائز قيمة، وأكمل المهام لتحصل على مكافآت إضافية.
- ترقية نهب الحصن: منطق استرداد أذكى بعد تعرض الحصن لهجوم.
- ترقية المحطة الطبية: أصبح هناك زر إلغاء في قائمة الانتظار للعلاج؛ إلغاء العلاج يعيد موارد العلاج.
- ترقية الموارد: عند الاستخدام السريع للموارد لتلبية الحاجة الحالية، أصبحت علامات التبويب تتبدل تلقائيًا لتجربة أكثر سلاسة.</v>
      </c>
      <c r="Q70" s="168" t="str">
        <f>IFERROR(__xludf.DUMMYFUNCTION("""COMPUTED_VALUE"""),"- 新しいファイター：スチール・センチネル—ヒルダ。鋼で鍛えられた戦士—メックの忠実な守護者！究極のエイプイベントで入手可能。
- 新しいファイターの像：オーリン。あなたの都市にさらなる輝きを！
音楽祭イベント：
- ミュージック・レゾナンス：抽選が開催中。コンサートパスを使って豪華賞品を抽選—限定基地スキン「エレクトロステージ」を手に入れるチャンス。
- アンサンブル序曲：参加してミュージックチェストを獲得し、開封して豪華報酬をゲット。トップランクのチームには限定アバターフレームを贈呈。
- フェスティ"&amp;"バル・ルーレット：期間限定のルーレット。お気に入りを選んで、プレミアムなサプライズを狙おう。
- ワイルドランド遠征：宝探し冒険記ピックを集めて、クリスタルやジオードを発掘し、大量の報酬を獲得！
- フェスティバル・グランドギフト：期間限定の累計チャージで豪華報酬をゲット！
- ミュージック・オプス：イベント期間中にクエストを完了して対応するカードを点灯、報酬やイベント限定アイテムを受け取ろう。
- ミュージック・パーティー：フェスティバルパス開催中。サウンドウェーブを収集し、イベントティアをレベルアップ"&amp;"してイベント報酬を受け取ろう。スプリントランキングを上げて限定行軍エフェクトをアンロック。
- ホリデーおまけパス：ホリデーおまけパックを購入して価値ある報酬を獲得、クエストを完了して追加報酬もゲット。
- 要塞争奪戦アップグレード：要塞が攻撃された後の回復ロジックがよりスマートに。
- 医療所アップグレード：治療キューにキャンセルボタンが追加され、キャンセル時に治療資源が払い戻されます。
- 資源アップグレード：現在のニーズに合わせて資源をクイック使用する際、タブが自動で切り替わり、よりスムーズな体験に"&amp;"。")</f>
        <v>- 新しいファイター：スチール・センチネル—ヒルダ。鋼で鍛えられた戦士—メックの忠実な守護者！究極のエイプイベントで入手可能。
- 新しいファイターの像：オーリン。あなたの都市にさらなる輝きを！
音楽祭イベント：
- ミュージック・レゾナンス：抽選が開催中。コンサートパスを使って豪華賞品を抽選—限定基地スキン「エレクトロステージ」を手に入れるチャンス。
- アンサンブル序曲：参加してミュージックチェストを獲得し、開封して豪華報酬をゲット。トップランクのチームには限定アバターフレームを贈呈。
- フェスティバル・ルーレット：期間限定のルーレット。お気に入りを選んで、プレミアムなサプライズを狙おう。
- ワイルドランド遠征：宝探し冒険記ピックを集めて、クリスタルやジオードを発掘し、大量の報酬を獲得！
- フェスティバル・グランドギフト：期間限定の累計チャージで豪華報酬をゲット！
- ミュージック・オプス：イベント期間中にクエストを完了して対応するカードを点灯、報酬やイベント限定アイテムを受け取ろう。
- ミュージック・パーティー：フェスティバルパス開催中。サウンドウェーブを収集し、イベントティアをレベルアップしてイベント報酬を受け取ろう。スプリントランキングを上げて限定行軍エフェクトをアンロック。
- ホリデーおまけパス：ホリデーおまけパックを購入して価値ある報酬を獲得、クエストを完了して追加報酬もゲット。
- 要塞争奪戦アップグレード：要塞が攻撃された後の回復ロジックがよりスマートに。
- 医療所アップグレード：治療キューにキャンセルボタンが追加され、キャンセル時に治療資源が払い戻されます。
- 資源アップグレード：現在のニーズに合わせて資源をクイック使用する際、タブが自動で切り替わり、よりスムーズな体験に。</v>
      </c>
      <c r="R70" s="168" t="str">
        <f>IFERROR(__xludf.DUMMYFUNCTION("""COMPUTED_VALUE"""),"- 새로운 전사: 강철 감시자—힐다. 강철로 단련된 전사—메카들의 충실한 수호자! 최강 원숭이 이벤트에서 획득 가능.
- 새로운 전사 석상: 올린. 당신의 도시에 더 많은 빛을 더하세요!
음악 축제 이벤트:
- 음악 공명: 뽑기가 진행 중입니다. 콘서트 패스를 사용해 고급 보상을 획득하세요—한정 기지 스킨 일렉트로 스테이지를 놓치지 마세요.
- 앙상블 서곡: 가입하여 뮤직 상자를 얻고, 열어서 푸짐한 보상을 받으세요. 최상위 팀은 독점 아바타 프레임을 "&amp;"획득합니다.
- 축제 룰렛: 한정 기간 룰렛. 즐겨찾기를 선택해 프리미엄 서프라이즈에 도전하세요.
- 황야 탐험: 보물찾기 기록을 수집하고, 크리스탈과 지오드를 발굴해 대량의 보상을 획득하세요!
- 축제 대형 선물: 한정 기간 누적 충전으로 풍성한 보상을 받으세요!
- 음악 작전: 이벤트 기간 동안 임무를 완료해 해당 카드를 밝히고, 보상과 축제 한정 아이템을 획득하세요.
- 음악 파티: 축제 패스가 시작되었습니다. 사운드웨이브를 수집하고, 이벤트 티어"&amp;"를 올려 이벤트 보상을 청구하세요. 스프린트 랭킹을 올려 한정 행군 이펙트를 잠금 해제하세요.
- 홀리데이 가치 패스: 홀리데이 가치 패키지를 구매해 귀중한 보상을 받고, 임무를 완료해 추가 보상을 획득하세요.
- 요새 쟁탈 업그레이드: 요새가 공격당한 후 더 똑똑한 회복 로직 적용.
- 진료소 업그레이드: 치료 대기열에 취소 버튼이 추가되었습니다. 취소 시 치료 자원이 환불됩니다.
- 자원 업그레이드: 현재 필요에 맞게 자원을 빠르게 사용할 때, 탭이"&amp;" 자동 전환되어 더 부드러운 경험을 제공합니다.")</f>
        <v>- 새로운 전사: 강철 감시자—힐다. 강철로 단련된 전사—메카들의 충실한 수호자! 최강 원숭이 이벤트에서 획득 가능.
- 새로운 전사 석상: 올린. 당신의 도시에 더 많은 빛을 더하세요!
음악 축제 이벤트:
- 음악 공명: 뽑기가 진행 중입니다. 콘서트 패스를 사용해 고급 보상을 획득하세요—한정 기지 스킨 일렉트로 스테이지를 놓치지 마세요.
- 앙상블 서곡: 가입하여 뮤직 상자를 얻고, 열어서 푸짐한 보상을 받으세요. 최상위 팀은 독점 아바타 프레임을 획득합니다.
- 축제 룰렛: 한정 기간 룰렛. 즐겨찾기를 선택해 프리미엄 서프라이즈에 도전하세요.
- 황야 탐험: 보물찾기 기록을 수집하고, 크리스탈과 지오드를 발굴해 대량의 보상을 획득하세요!
- 축제 대형 선물: 한정 기간 누적 충전으로 풍성한 보상을 받으세요!
- 음악 작전: 이벤트 기간 동안 임무를 완료해 해당 카드를 밝히고, 보상과 축제 한정 아이템을 획득하세요.
- 음악 파티: 축제 패스가 시작되었습니다. 사운드웨이브를 수집하고, 이벤트 티어를 올려 이벤트 보상을 청구하세요. 스프린트 랭킹을 올려 한정 행군 이펙트를 잠금 해제하세요.
- 홀리데이 가치 패스: 홀리데이 가치 패키지를 구매해 귀중한 보상을 받고, 임무를 완료해 추가 보상을 획득하세요.
- 요새 쟁탈 업그레이드: 요새가 공격당한 후 더 똑똑한 회복 로직 적용.
- 진료소 업그레이드: 치료 대기열에 취소 버튼이 추가되었습니다. 취소 시 치료 자원이 환불됩니다.
- 자원 업그레이드: 현재 필요에 맞게 자원을 빠르게 사용할 때, 탭이 자동 전환되어 더 부드러운 경험을 제공합니다.</v>
      </c>
      <c r="S70" s="168" t="str">
        <f>IFERROR(__xludf.DUMMYFUNCTION("""COMPUTED_VALUE"""),"-新增斗士：钢铁护卫-希尔达，拥有钢铁之躯的战士，忠诚的机甲守护神！可通过“最强猴子”活动获取。
-新增斗士雕像：奥林，来为你的城市增光添彩吧！
新增音乐节活动：
-音乐之声：音乐节抽奖活动开启！使用演出门票，赢取豪华大奖，更有节日限定城市外观-电音舞台，等你来拿！
-合奏乐章：参加本活动即可获取音乐宝箱，打开可得丰厚奖励，小队排名第一更可获取限定头像框奖励；
-节日轮盘：节日轮盘限时开启，选取你喜爱的奖品，有概率获取超值惊喜；
-荒野探宝：收集探宝十字镐，挖掘水晶与晶岩，赢取大量奖励！
-音乐豪礼：限时"&amp;"累计充值即可领取丰厚奖励！
-音乐行动：完成任务可点亮当前任务牌，获取任务奖励，赢取音乐节限定道具；
-音乐派对：音乐节限时通行证活动开启，收集音浪，提升活动等级，领取活动好礼。冲刺排名，赢取限定行军特效！
-节日特惠卡：购买节日特惠卡礼包可立即获得超值奖励，完成指定任务还可获得额外奖励！
-堡垒竞夺优化：优化堡垒被攻击后的次数恢复逻辑；
-医疗站优化：医疗站治疗队列增加取消按钮，取消后返还治疗资源；
-资源使用优化：快速使用资源补充本次需要时，可自动切换页签，优化操作体验。")</f>
        <v>-新增斗士：钢铁护卫-希尔达，拥有钢铁之躯的战士，忠诚的机甲守护神！可通过“最强猴子”活动获取。
-新增斗士雕像：奥林，来为你的城市增光添彩吧！
新增音乐节活动：
-音乐之声：音乐节抽奖活动开启！使用演出门票，赢取豪华大奖，更有节日限定城市外观-电音舞台，等你来拿！
-合奏乐章：参加本活动即可获取音乐宝箱，打开可得丰厚奖励，小队排名第一更可获取限定头像框奖励；
-节日轮盘：节日轮盘限时开启，选取你喜爱的奖品，有概率获取超值惊喜；
-荒野探宝：收集探宝十字镐，挖掘水晶与晶岩，赢取大量奖励！
-音乐豪礼：限时累计充值即可领取丰厚奖励！
-音乐行动：完成任务可点亮当前任务牌，获取任务奖励，赢取音乐节限定道具；
-音乐派对：音乐节限时通行证活动开启，收集音浪，提升活动等级，领取活动好礼。冲刺排名，赢取限定行军特效！
-节日特惠卡：购买节日特惠卡礼包可立即获得超值奖励，完成指定任务还可获得额外奖励！
-堡垒竞夺优化：优化堡垒被攻击后的次数恢复逻辑；
-医疗站优化：医疗站治疗队列增加取消按钮，取消后返还治疗资源；
-资源使用优化：快速使用资源补充本次需要时，可自动切换页签，优化操作体验。</v>
      </c>
      <c r="T70" s="148"/>
      <c r="U70" s="148"/>
      <c r="V70" s="148"/>
      <c r="W70" s="148"/>
      <c r="X70" s="148"/>
      <c r="Y70" s="148"/>
      <c r="Z70" s="148"/>
    </row>
    <row r="71">
      <c r="A71" s="167" t="str">
        <f>IFERROR(__xludf.DUMMYFUNCTION("""COMPUTED_VALUE"""),"0.80.0")</f>
        <v>0.80.0</v>
      </c>
      <c r="B71" s="148" t="str">
        <f>IFERROR(__xludf.DUMMYFUNCTION("""COMPUTED_VALUE"""),"-新增斗士雕像：奥林，来为你的城市增添更多光彩吧！
-新增机甲：撕裂之牙-鳄鱼，撕裂一切的利齿，掀起战场上的血雨腥风！
-新增收藏品：新增飙车族、打击手、射击手、攻城车属性相关红色收藏品。
-新增VIP等级：开放SVIP等级，更好的权益，更多的奖励！
-新增酒馆签到奖励：酒馆签到增加机甲相关奖励！
-好友列表扩充：可以添加更多好友了！
-新增祖灵节活动：
-惊奇派对：使用糖果罐，开启惊喜糖果，赢取节日城市外观大奖及丰厚奖励！
-弹珠游戏：祖灵节限定弹珠抽奖活动开启，参与活动获取弹珠币，即可兑换丰厚奖励！赢"&amp;"取稀有染色城市外观大奖！
-节日豪礼：累计储值豪礼相送，获取机甲染色涂装！
-不给糖就捣蛋：收集南瓜币，获得丰厚奖励，赢取全新行军特效！
-暗夜矿场：祖灵节特别纪念矿场等你来挖！
-惊奇南瓜：购买南瓜礼包，即可解锁丰厚奖励！
-充值豪礼：单次充值即可获取超值奖励！
-午夜讨价还价：危机四伏，谨慎出价！还价成功可低价购买超值道具！
-璀璨之都：全新主城特效-午夜惊魂即将登场，等你来拿！
-惊喜涂装：惊喜涂装登场！试试手气，二周年庆典机甲巨象涂装限时返场！
-漫游奇遇：参与活动收集漫游骰子，在地图中前进，获取"&amp;"丰厚奖励！
-奇珍勘探：参与免费挖宝活动，获得丰厚奖励！
-超时空传送：消耗猩球物资，启动超时空传送，获得丰厚奖励！
-幸运多重礼：机师限时返场，参与活动，将吉姆、克拉拉、米歇尔招入麾下！
-战车优化：新增战车的战力统计功能。
-战装重铸优化：战装重铸时将默认勾选上一次锁定的属性选项。
-机甲修理优化：点击机甲修理气泡，可直接打开机甲修理弹窗。
-银河战争：
-托管系统优化：在银河战争玩法中，可以将部队托管给帮派的魁首与官员。
-特殊交战区优化：在银河战争玩法中的特殊交战区内，重伤效果将不再生效。
-深海"&amp;"试炼优化：深海试炼任务链和技能调整，同服务器玩家将拥有相同试炼任务。")</f>
        <v>-新增斗士雕像：奥林，来为你的城市增添更多光彩吧！
-新增机甲：撕裂之牙-鳄鱼，撕裂一切的利齿，掀起战场上的血雨腥风！
-新增收藏品：新增飙车族、打击手、射击手、攻城车属性相关红色收藏品。
-新增VIP等级：开放SVIP等级，更好的权益，更多的奖励！
-新增酒馆签到奖励：酒馆签到增加机甲相关奖励！
-好友列表扩充：可以添加更多好友了！
-新增祖灵节活动：
-惊奇派对：使用糖果罐，开启惊喜糖果，赢取节日城市外观大奖及丰厚奖励！
-弹珠游戏：祖灵节限定弹珠抽奖活动开启，参与活动获取弹珠币，即可兑换丰厚奖励！赢取稀有染色城市外观大奖！
-节日豪礼：累计储值豪礼相送，获取机甲染色涂装！
-不给糖就捣蛋：收集南瓜币，获得丰厚奖励，赢取全新行军特效！
-暗夜矿场：祖灵节特别纪念矿场等你来挖！
-惊奇南瓜：购买南瓜礼包，即可解锁丰厚奖励！
-充值豪礼：单次充值即可获取超值奖励！
-午夜讨价还价：危机四伏，谨慎出价！还价成功可低价购买超值道具！
-璀璨之都：全新主城特效-午夜惊魂即将登场，等你来拿！
-惊喜涂装：惊喜涂装登场！试试手气，二周年庆典机甲巨象涂装限时返场！
-漫游奇遇：参与活动收集漫游骰子，在地图中前进，获取丰厚奖励！
-奇珍勘探：参与免费挖宝活动，获得丰厚奖励！
-超时空传送：消耗猩球物资，启动超时空传送，获得丰厚奖励！
-幸运多重礼：机师限时返场，参与活动，将吉姆、克拉拉、米歇尔招入麾下！
-战车优化：新增战车的战力统计功能。
-战装重铸优化：战装重铸时将默认勾选上一次锁定的属性选项。
-机甲修理优化：点击机甲修理气泡，可直接打开机甲修理弹窗。
-银河战争：
-托管系统优化：在银河战争玩法中，可以将部队托管给帮派的魁首与官员。
-特殊交战区优化：在银河战争玩法中的特殊交战区内，重伤效果将不再生效。
-深海试炼优化：深海试炼任务链和技能调整，同服务器玩家将拥有相同试炼任务。</v>
      </c>
      <c r="C71" s="148" t="str">
        <f>IFERROR(__xludf.DUMMYFUNCTION("""COMPUTED_VALUE"""),"-New Fighter Statue: Ollin. Add more brilliance to your city!
-New Mech: Rendtooth — Croc—razor-teeth on legs, built to shred battle lines
-New Relics: Introducing new red relics featuring Pilots, Hitters, Shooters, and Wall Breakers!
-SVIP Tier Unlocked:"&amp;" bigger perks, richer rewards
-Tavern Sign-in Upgrade: mech-themed rewards added
-Friend List Expanded: invite even more allies
-Spirit Soiree—Events Incoming
-Festival of Frights: Use Candy Jars to open surprise candies and win festive skin grand prizes "&amp;"and abundant rewards!
-Marble Game: a limited-time marble draw—earn Marble Coins, trade them for top rewards, and win rare holiday city skin lacquers.
-Festive Gifts: Accumulate recharges to receive lavish gifts and obtain Mech lacquers!
-Trick or Treat: "&amp;"Collect Pumpkin Coins to earn bountiful rewards with a chance to get a brand-new march effect!
-Spook Mine: Explore the special Spirit Soiree mine!
-Surprise Pumpkin: Purchase Pumpkin Packs to unlock a wealth of free rewards!
-Recharge Rewards: Make a sin"&amp;"gle recharge to receive exceptional rewards!
-Midnight Haggling: Danger lurks around every corner—bid cautiously! Successful haggling lets you purchase valuable items at low prices!
-Splendid City: The new city hall effect—Midnight Fright—is coming soon. "&amp;"Don't miss out!
-Lucky Lacquer is here! Try your luck! The 2nd-Anniversary Elephant Mech Lacquer returns for a limited time
-Roaming Adventure: Collect Roaming Dice, move across the map, and earn abundant rewards!
-Exploration of Rare Treasures: Jump into"&amp;" a free Mine Hunt and pocket the goods
-Chrono Teleport: Spend supplies to activate Chrono Teleport and win abundant rewards!
-Lucky Bonanza: The Operator returns—recruit Jim, Clara, and Mitchell
-Carrier Upgrade: Carriers now show consolidated Power stat"&amp;"s
-Equipment Recast Upgrade: your last locked attributes are remembered by default
-Mech Repair Upgrade: tap the Repair bubble to open the repair window instantly
-Planet Wars:
-Delegation Upgraded: Assign troops to your Gang Leader and Gang Officials
-Sp"&amp;"ecial Zones Upgraded: The Severe Wound effect is disabled within these zones
-Trench Trials Upgraded: Quest chains and skills tuned; players on the same server now share the same trial quests")</f>
        <v>-New Fighter Statue: Ollin. Add more brilliance to your city!
-New Mech: Rendtooth — Croc—razor-teeth on legs, built to shred battle lines
-New Relics: Introducing new red relics featuring Pilots, Hitters, Shooters, and Wall Breakers!
-SVIP Tier Unlocked: bigger perks, richer rewards
-Tavern Sign-in Upgrade: mech-themed rewards added
-Friend List Expanded: invite even more allies
-Spirit Soiree—Events Incoming
-Festival of Frights: Use Candy Jars to open surprise candies and win festive skin grand prizes and abundant rewards!
-Marble Game: a limited-time marble draw—earn Marble Coins, trade them for top rewards, and win rare holiday city skin lacquers.
-Festive Gifts: Accumulate recharges to receive lavish gifts and obtain Mech lacquers!
-Trick or Treat: Collect Pumpkin Coins to earn bountiful rewards with a chance to get a brand-new march effect!
-Spook Mine: Explore the special Spirit Soiree mine!
-Surprise Pumpkin: Purchase Pumpkin Packs to unlock a wealth of free rewards!
-Recharge Rewards: Make a single recharge to receive exceptional rewards!
-Midnight Haggling: Danger lurks around every corner—bid cautiously! Successful haggling lets you purchase valuable items at low prices!
-Splendid City: The new city hall effect—Midnight Fright—is coming soon. Don't miss out!
-Lucky Lacquer is here! Try your luck! The 2nd-Anniversary Elephant Mech Lacquer returns for a limited time
-Roaming Adventure: Collect Roaming Dice, move across the map, and earn abundant rewards!
-Exploration of Rare Treasures: Jump into a free Mine Hunt and pocket the goods
-Chrono Teleport: Spend supplies to activate Chrono Teleport and win abundant rewards!
-Lucky Bonanza: The Operator returns—recruit Jim, Clara, and Mitchell
-Carrier Upgrade: Carriers now show consolidated Power stats
-Equipment Recast Upgrade: your last locked attributes are remembered by default
-Mech Repair Upgrade: tap the Repair bubble to open the repair window instantly
-Planet Wars:
-Delegation Upgraded: Assign troops to your Gang Leader and Gang Officials
-Special Zones Upgraded: The Severe Wound effect is disabled within these zones
-Trench Trials Upgraded: Quest chains and skills tuned; players on the same server now share the same trial quests</v>
      </c>
      <c r="D71" s="168" t="str">
        <f>IFERROR(__xludf.DUMMYFUNCTION("""COMPUTED_VALUE"""),"-Nouvelle Statue du combattant : Ollin. Ajoutez encore plus de splendeur à votre ville !
-Nouveau Mécha : Dentfend — Croc—des dents acérées sur pattes, conçu pour déchirer les lignes de bataille
-Nouvelles Reliques : Découvrez les nouvelles reliques rouge"&amp;"s mettant en vedette Pilotes, Bastonneurs, Tireurs et Casses Murailles !
-Palier SVIP Débloqué : avantages supérieurs, récompenses plus riches
-Amélioration de la Connexion à la Taverne : récompenses sur le thème des méchas ajoutées
-Liste d’Amis Élargie "&amp;": invitez encore plus d’alliés
-Esprit Soirée—Évènements à venir
-Festival des Frayeurs : Utilisez des Pots de Bonbons pour ouvrir des bonbons surprises et gagner des grands prix de peau festive et des récompenses abondantes !
-Jeu de Billes : tirage de b"&amp;"illes à durée limitée—gagnez des Pièces de Bille, échangez-les contre les meilleures récompenses et remportez des laques de peau de ville rare pour les fêtes.
-Cadeaux Festifs : Accumulez des recharges pour recevoir des cadeaux somptueux et obtenir des la"&amp;"ques Mécha !
-Farce ou Friandise : Collectionnez des Pièces citrouille pour obtenir des récompenses abondantes avec une chance de gagner un tout nouvel effet de déplacement !
-Puits de l’Esprit : Explorez le puits spécial de l’Esprit Soirée !
-Citrouille "&amp;"Surprise : Achetez des Packs Citrouille pour débloquer une richesse de récompenses gratuites !
-Récompenses de Recharge : Effectuez une seule recharge pour recevoir des récompenses exceptionnelles !
-Marchandage de Minuit : Le danger rôde à chaque coin—en"&amp;"chérissez prudemment ! Un marchandage réussi vous permet d’acheter des objets précieux à bas prix !
-Ville Splendide : Le nouvel effet d’hôtel de ville—Frayeur de Minuit—arrive prochainement. Ne le manquez pas !
-Laque Porte-Bonheur est là ! Tentez votre "&amp;"chance ! La Laque Mécha Éléphant du 2e Anniversaire revient pour une durée limitée
-Aventure Itinérante : Collectionnez des Dés Itinérants, déplacez-vous sur la carte et gagnez des récompenses abondantes !
-Exploration de Trésors Rares : Lancez-vous dans "&amp;"une Chasse au Puits gratuite et empochez les biens
-Chrono Téléportation : Dépensez des ressources pour activer la Chrono Téléportation et remportez des récompenses abondantes !
-Bonanza Chanceuse : L’Opérateur revient—invoquez Jim, Clara et Mitchell
-Amé"&amp;"lioration des Transporteurs : Les transporteurs affichent désormais la Puissance consolidée
-Amélioration du Recast d’Équipement : vos derniers attributs verrouillés sont mémorisés par défaut
-Amélioration de la Réparation Mécha : touchez la bulle de Répa"&amp;"ration pour ouvrir instantanément la fenêtre de réparation
-Guerre planétaire :
-Délégation Améliorée : Affectez des troupes à votre Chef du gang et aux Officiels du gang
-Zones spéciales Améliorées : L’effet Blessure Grave est désactivé dans ces zones
-E"&amp;"ssais des Tranchées Améliorés : chaînes de quêtes et compétences ajustées ; les joueurs du même serveur partagent désormais les mêmes quêtes d’essai")</f>
        <v>-Nouvelle Statue du combattant : Ollin. Ajoutez encore plus de splendeur à votre ville !
-Nouveau Mécha : Dentfend — Croc—des dents acérées sur pattes, conçu pour déchirer les lignes de bataille
-Nouvelles Reliques : Découvrez les nouvelles reliques rouges mettant en vedette Pilotes, Bastonneurs, Tireurs et Casses Murailles !
-Palier SVIP Débloqué : avantages supérieurs, récompenses plus riches
-Amélioration de la Connexion à la Taverne : récompenses sur le thème des méchas ajoutées
-Liste d’Amis Élargie : invitez encore plus d’alliés
-Esprit Soirée—Évènements à venir
-Festival des Frayeurs : Utilisez des Pots de Bonbons pour ouvrir des bonbons surprises et gagner des grands prix de peau festive et des récompenses abondantes !
-Jeu de Billes : tirage de billes à durée limitée—gagnez des Pièces de Bille, échangez-les contre les meilleures récompenses et remportez des laques de peau de ville rare pour les fêtes.
-Cadeaux Festifs : Accumulez des recharges pour recevoir des cadeaux somptueux et obtenir des laques Mécha !
-Farce ou Friandise : Collectionnez des Pièces citrouille pour obtenir des récompenses abondantes avec une chance de gagner un tout nouvel effet de déplacement !
-Puits de l’Esprit : Explorez le puits spécial de l’Esprit Soirée !
-Citrouille Surprise : Achetez des Packs Citrouille pour débloquer une richesse de récompenses gratuites !
-Récompenses de Recharge : Effectuez une seule recharge pour recevoir des récompenses exceptionnelles !
-Marchandage de Minuit : Le danger rôde à chaque coin—enchérissez prudemment ! Un marchandage réussi vous permet d’acheter des objets précieux à bas prix !
-Ville Splendide : Le nouvel effet d’hôtel de ville—Frayeur de Minuit—arrive prochainement. Ne le manquez pas !
-Laque Porte-Bonheur est là ! Tentez votre chance ! La Laque Mécha Éléphant du 2e Anniversaire revient pour une durée limitée
-Aventure Itinérante : Collectionnez des Dés Itinérants, déplacez-vous sur la carte et gagnez des récompenses abondantes !
-Exploration de Trésors Rares : Lancez-vous dans une Chasse au Puits gratuite et empochez les biens
-Chrono Téléportation : Dépensez des ressources pour activer la Chrono Téléportation et remportez des récompenses abondantes !
-Bonanza Chanceuse : L’Opérateur revient—invoquez Jim, Clara et Mitchell
-Amélioration des Transporteurs : Les transporteurs affichent désormais la Puissance consolidée
-Amélioration du Recast d’Équipement : vos derniers attributs verrouillés sont mémorisés par défaut
-Amélioration de la Réparation Mécha : touchez la bulle de Réparation pour ouvrir instantanément la fenêtre de réparation
-Guerre planétaire :
-Délégation Améliorée : Affectez des troupes à votre Chef du gang et aux Officiels du gang
-Zones spéciales Améliorées : L’effet Blessure Grave est désactivé dans ces zones
-Essais des Tranchées Améliorés : chaînes de quêtes et compétences ajustées ; les joueurs du même serveur partagent désormais les mêmes quêtes d’essai</v>
      </c>
      <c r="E71" s="168" t="str">
        <f>IFERROR(__xludf.DUMMYFUNCTION("""COMPUTED_VALUE"""),"-Neue Kämpfer-Statue: Ollin. Verleihe deiner Stadt noch mehr Glanz!
-Neuer Mech: Reißzahn — Croc—Rasiermesserscharfe Zähne auf Beinen, gebaut, um Kampflinien zu zerreißen
-Neue Relikte: Neue rote Relikte mit Piloten, Schlägern, Schützen und Mauerbrechern!"&amp;"
-SVIP-Stufe freigeschaltet: größere Vorteile, reichere Belohnungen
-Taverne-Anmelde-Aufwertung: Mech-Themen-Belohnungen hinzugefügt
-Freundesliste erweitert: Lade noch mehr Verbündete ein
-Kampfgeist-Soiree—Events im Anmarsch
-Festival des Schreckens: Ve"&amp;"rwende Bonbongläser, um Überraschungsbonbons zu öffnen und festliche Haut-Hauptpreise sowie zahlreiche Belohnungen zu gewinnen!
-Murmelspiel: Eine zeitlich begrenzte Murmelziehung—verdiene Murmelmünzen, tausche sie gegen Top-Belohnungen ein und gewinne se"&amp;"ltene festliche Stadt-Lacke.
-Festliche Geschenke: Sammle Aufladungen, um großzügige Geschenke zu erhalten und Mech-Lacke zu bekommen!
-Süßes oder Saures: Sammle Kürbismünzen, um reichliche Belohnungen zu erhalten und die Chance auf einen brandneuen Marsc"&amp;"heffekt zu haben!
-Spuk-Ölquelle: Erkunde die spezielle Kampfgeist-Soiree-Ölquelle!
-Überraschungskürbis: Kaufe Kürbis-Pakete, um eine Fülle kostenloser Belohnungen freizuschalten!
-Auflade-Belohnungen: Tätige eine einzelne Aufladung, um außergewöhnliche "&amp;"Belohnungen zu erhalten!
-Mitternächtliches Feilschen: Gefahr lauert an jeder Ecke—biete vorsichtig! Erfolgreiches Feilschen ermöglicht dir, wertvolle Items zu niedrigen Preisen zu kaufen!
-Fantastische Stadt: Der neue Rathaus-Effekt—Mitternachtsschrecken"&amp;"—kommt bald. Nicht verpassen!
-Glückslack ist da! Versuche dein Glück! Der 2. Jubiläums-Elefant-Mech-Lack kehrt für kurze Zeit zurück
-Streifzug-Abenteuer: Sammle Streifzug-Würfel, bewege dich über die Karte und erhalte zahlreiche Belohnungen!
-Erkundung "&amp;"seltener Schätze: Starte eine kostenlose Ölquellenjagd und sichere dir die Beute
-Chrono-Teleport: Gib Vorräte aus, um Chrono-Teleport zu aktivieren und zahlreiche Belohnungen zu gewinnen!
-Glücksbonanza: Der Operator kehrt zurück—rekrutiere Jim, Clara un"&amp;"d Mitchell
-Träger-Aufwertung: Träger zeigen jetzt konsolidierte Stärke-Werte an
-Ausrüstungs-Neuguss-Aufwertung: Deine zuletzt gesperrten Attribute werden standardmäßig gemerkt
-Mech-Reparatur-Aufwertung: Tippe auf die Reparatur-Blase, um das Reparaturfe"&amp;"nster sofort zu öffnen
-Planetenkriege:
-Delegieren aufgewertet: Weisen Sie Truppen Ihrem Clan-Anführer und Clan-Offiziellen zu
-Spezialzonen aufgewertet: Der schwere Wundeneffekt ist in diesen Zonen deaktiviert
-Schützengraben-Prüfungen aufgewertet: Ques"&amp;"tketten und Fähigkeiten angepasst; Spieler auf demselben Server teilen sich jetzt die gleichen Prüfungsquests")</f>
        <v>-Neue Kämpfer-Statue: Ollin. Verleihe deiner Stadt noch mehr Glanz!
-Neuer Mech: Reißzahn — Croc—Rasiermesserscharfe Zähne auf Beinen, gebaut, um Kampflinien zu zerreißen
-Neue Relikte: Neue rote Relikte mit Piloten, Schlägern, Schützen und Mauerbrechern!
-SVIP-Stufe freigeschaltet: größere Vorteile, reichere Belohnungen
-Taverne-Anmelde-Aufwertung: Mech-Themen-Belohnungen hinzugefügt
-Freundesliste erweitert: Lade noch mehr Verbündete ein
-Kampfgeist-Soiree—Events im Anmarsch
-Festival des Schreckens: Verwende Bonbongläser, um Überraschungsbonbons zu öffnen und festliche Haut-Hauptpreise sowie zahlreiche Belohnungen zu gewinnen!
-Murmelspiel: Eine zeitlich begrenzte Murmelziehung—verdiene Murmelmünzen, tausche sie gegen Top-Belohnungen ein und gewinne seltene festliche Stadt-Lacke.
-Festliche Geschenke: Sammle Aufladungen, um großzügige Geschenke zu erhalten und Mech-Lacke zu bekommen!
-Süßes oder Saures: Sammle Kürbismünzen, um reichliche Belohnungen zu erhalten und die Chance auf einen brandneuen Marscheffekt zu haben!
-Spuk-Ölquelle: Erkunde die spezielle Kampfgeist-Soiree-Ölquelle!
-Überraschungskürbis: Kaufe Kürbis-Pakete, um eine Fülle kostenloser Belohnungen freizuschalten!
-Auflade-Belohnungen: Tätige eine einzelne Aufladung, um außergewöhnliche Belohnungen zu erhalten!
-Mitternächtliches Feilschen: Gefahr lauert an jeder Ecke—biete vorsichtig! Erfolgreiches Feilschen ermöglicht dir, wertvolle Items zu niedrigen Preisen zu kaufen!
-Fantastische Stadt: Der neue Rathaus-Effekt—Mitternachtsschrecken—kommt bald. Nicht verpassen!
-Glückslack ist da! Versuche dein Glück! Der 2. Jubiläums-Elefant-Mech-Lack kehrt für kurze Zeit zurück
-Streifzug-Abenteuer: Sammle Streifzug-Würfel, bewege dich über die Karte und erhalte zahlreiche Belohnungen!
-Erkundung seltener Schätze: Starte eine kostenlose Ölquellenjagd und sichere dir die Beute
-Chrono-Teleport: Gib Vorräte aus, um Chrono-Teleport zu aktivieren und zahlreiche Belohnungen zu gewinnen!
-Glücksbonanza: Der Operator kehrt zurück—rekrutiere Jim, Clara und Mitchell
-Träger-Aufwertung: Träger zeigen jetzt konsolidierte Stärke-Werte an
-Ausrüstungs-Neuguss-Aufwertung: Deine zuletzt gesperrten Attribute werden standardmäßig gemerkt
-Mech-Reparatur-Aufwertung: Tippe auf die Reparatur-Blase, um das Reparaturfenster sofort zu öffnen
-Planetenkriege:
-Delegieren aufgewertet: Weisen Sie Truppen Ihrem Clan-Anführer und Clan-Offiziellen zu
-Spezialzonen aufgewertet: Der schwere Wundeneffekt ist in diesen Zonen deaktiviert
-Schützengraben-Prüfungen aufgewertet: Questketten und Fähigkeiten angepasst; Spieler auf demselben Server teilen sich jetzt die gleichen Prüfungsquests</v>
      </c>
      <c r="F71" s="168" t="str">
        <f>IFERROR(__xludf.DUMMYFUNCTION("""COMPUTED_VALUE"""),"-Nova Estátua Combatente: Ollin. Adicione ainda mais brilho à sua cidade!
-Novo Mech: Denterras — Crocodilo—dentes afiados sobre pernas, feito para rasgar linhas de batalha
-Novas Relíquias: Apresentando novas relíquias vermelhas com Pilotos, Golpeadores,"&amp;" Atiradores e Quebra-muros!
-Nível SVIP Liberado: mais benefícios, recompensas mais ricas
-Melhoria de Login na Taverna: recompensas temáticas de Mech adicionadas
-Lista de Amigos Expandida: convide ainda mais aliados
-Espírito Soiree—Eventos Chegando
-Fe"&amp;"stival de Travessuras: Use Potes de Doce para abrir doces surpresa e ganhe grandes prêmios de skin festiva e recompensas abundantes!
-Jogo de Bolinhas de Gude: sorteio de bolinhas por tempo limitado—ganhe Moedas de Bolinha, troque por recompensas de topo "&amp;"e conquiste lacas raras de skin de cidade de feriado.
-Presentes Festivos: Acumule recargas para receber presentes luxuosos e obter lacas de Mech!
-Travessuras ou Gostosuras: Colete Moedas de Abóbora para ganhar recompensas abundantes com chance de obter "&amp;"um novo efeito de marcha!
-Mina Assombrada: Explore a mina especial do Espírito Soiree!
-Abóbora Surpresa: Compre Pacotes de Abóbora para desbloquear uma riqueza de recompensas grátis!
-Recompensas de Recarga: Faça uma única recarga para receber recompens"&amp;"as excepcionais!
-Pechincha da Meia-Noite: O perigo espreita em cada canto—dê lances com cautela! Pechinchar com sucesso permite comprar itens valiosos a preços baixos!
-Cidade Esplêndida: O novo efeito da prefeitura—Medo da Meia-Noite—chega em breve. Não"&amp;" perca!
-Laca da Sorte chegou! Tente a sua sorte! A Laca de Mech Elefante do 2º Aniversário retorna por tempo limitado
-Aventura Itinerante: Colete Dados Itinerantes, mova-se pelo mapa e ganhe recompensas abundantes!
-Exploração de Tesouros Raros: Partici"&amp;"pe de uma Caça ao Poço gratuita e fique com os tesouros
-Crono Teletransporte: Gaste suprimentos para ativar o Crono Teletransporte e ganhe recompensas abundantes!
-Bonança da Sorte: O Operador está de volta—recrute Jim, Clara e Mitchell
-Melhoria dos Tra"&amp;"nsportadores: Transportadores agora mostram o Poder consolidado
-Melhoria de Reforja de Equipamento: seus últimos atributos trancados são lembrados por padrão
-Melhoria de Reparo de Mech: toque na bolha de Reparar para abrir a janela de reparo instantanea"&amp;"mente
-Guerra Interplanetária:
-Delegação Melhorada: Atribua tropas ao Líder da gangue e Oficiais da gangue
-Zonas Especiais Melhoradas: O efeito Ferida Grave está desativado nessas zonas
-Provas nas Trincheiras Melhoradas: Cadeias de missões e habilidade"&amp;"s ajustadas; jogadores no mesmo servidor agora compartilham as mesmas missões de prova")</f>
        <v>-Nova Estátua Combatente: Ollin. Adicione ainda mais brilho à sua cidade!
-Novo Mech: Denterras — Crocodilo—dentes afiados sobre pernas, feito para rasgar linhas de batalha
-Novas Relíquias: Apresentando novas relíquias vermelhas com Pilotos, Golpeadores, Atiradores e Quebra-muros!
-Nível SVIP Liberado: mais benefícios, recompensas mais ricas
-Melhoria de Login na Taverna: recompensas temáticas de Mech adicionadas
-Lista de Amigos Expandida: convide ainda mais aliados
-Espírito Soiree—Eventos Chegando
-Festival de Travessuras: Use Potes de Doce para abrir doces surpresa e ganhe grandes prêmios de skin festiva e recompensas abundantes!
-Jogo de Bolinhas de Gude: sorteio de bolinhas por tempo limitado—ganhe Moedas de Bolinha, troque por recompensas de topo e conquiste lacas raras de skin de cidade de feriado.
-Presentes Festivos: Acumule recargas para receber presentes luxuosos e obter lacas de Mech!
-Travessuras ou Gostosuras: Colete Moedas de Abóbora para ganhar recompensas abundantes com chance de obter um novo efeito de marcha!
-Mina Assombrada: Explore a mina especial do Espírito Soiree!
-Abóbora Surpresa: Compre Pacotes de Abóbora para desbloquear uma riqueza de recompensas grátis!
-Recompensas de Recarga: Faça uma única recarga para receber recompensas excepcionais!
-Pechincha da Meia-Noite: O perigo espreita em cada canto—dê lances com cautela! Pechinchar com sucesso permite comprar itens valiosos a preços baixos!
-Cidade Esplêndida: O novo efeito da prefeitura—Medo da Meia-Noite—chega em breve. Não perca!
-Laca da Sorte chegou! Tente a sua sorte! A Laca de Mech Elefante do 2º Aniversário retorna por tempo limitado
-Aventura Itinerante: Colete Dados Itinerantes, mova-se pelo mapa e ganhe recompensas abundantes!
-Exploração de Tesouros Raros: Participe de uma Caça ao Poço gratuita e fique com os tesouros
-Crono Teletransporte: Gaste suprimentos para ativar o Crono Teletransporte e ganhe recompensas abundantes!
-Bonança da Sorte: O Operador está de volta—recrute Jim, Clara e Mitchell
-Melhoria dos Transportadores: Transportadores agora mostram o Poder consolidado
-Melhoria de Reforja de Equipamento: seus últimos atributos trancados são lembrados por padrão
-Melhoria de Reparo de Mech: toque na bolha de Reparar para abrir a janela de reparo instantaneamente
-Guerra Interplanetária:
-Delegação Melhorada: Atribua tropas ao Líder da gangue e Oficiais da gangue
-Zonas Especiais Melhoradas: O efeito Ferida Grave está desativado nessas zonas
-Provas nas Trincheiras Melhoradas: Cadeias de missões e habilidades ajustadas; jogadores no mesmo servidor agora compartilham as mesmas missões de prova</v>
      </c>
      <c r="G71" s="168" t="str">
        <f>IFERROR(__xludf.DUMMYFUNCTION("""COMPUTED_VALUE"""),"-新增鬥士雕像：奧林，來為你的城市增添更多光彩吧！
-新增機甲：撕裂之牙-鱷魚，撕裂一切的利齒，掀起戰場上的血雨腥風！
-新增收藏品：新增飆車族、打擊手、射擊手、攻城車屬性相關紅色收藏品。
-新增VIP等級：開放SVIP等級，更好的額外獎勵，更多的獎勵！
-新增酒館簽到獎勵：酒館簽到增加機甲相關獎勵！
-好友列表擴充：可以添加更多好友了！
-新增祖靈節活動：
-驚奇派對：使用糖果罐，開啟驚喜糖果，贏取節日城市外觀大獎及豐厚獎勵！
-彈珠遊戲：祖靈節限定彈珠抽獎活動開啟，參與活動獲取彈珠幣，即可兌換豐厚獎勵"&amp;"！贏取稀有染色城市外觀大獎！
-節日豪禮：累計儲值豪禮相送，獲取機甲染色塗裝！
-不給糖就搗蛋：收集南瓜幣，取得豐厚獎勵，贏取全新行軍特效！
-暗夜礦場：祖靈節特別紀念礦場等你來挖！
-驚奇南瓜：購買南瓜禮包，即可解鎖豐厚獎勵！
-充值豪禮：單次充值即可獲取超值獎勵！
-午夜討價還價：危機四伏，謹慎出價！還價成功可低價購買超值道具！
-璀璨之都：全新主城特效-午夜驚魂即將登場，等你來拿！
-驚喜塗裝：驚喜塗裝登場！試試手氣，二週年慶典機甲巨象塗裝限時返場！
-漫遊奇遇：參與活動收集漫遊骰子，在地圖中前進，"&amp;"獲取豐厚獎勵！
-奇珍勘探：參與免費挖寶活動，獲得豐厚獎勵！
-超時空傳送：消耗猩球物資，啟動超時空傳送，獲得豐厚獎勵！
-幸運多重禮：機師限時返場，參與活動，將吉姆、克拉拉、米歇爾招入麾下！
-戰車優化：新增戰車的戰力統計功能。
-戰裝重鑄優化：戰裝重鑄時將默認勾選上一次鎖定的屬性選項。
-機甲治療優化：點擊機甲治療氣泡，可直接開啟機甲治療彈窗。
-銀河戰爭：
-託管系統優化：在銀河戰爭玩法中，可以將部隊託管給幫派的首領與官員。
-特殊交戰區優化：在銀河戰爭玩法中的特殊交戰區內，重傷效果將不再生效。
-"&amp;"深海試煉優化：深海試煉任務鏈和技能調整，同伺服器玩家將擁有相同試煉任務。")</f>
        <v>-新增鬥士雕像：奧林，來為你的城市增添更多光彩吧！
-新增機甲：撕裂之牙-鱷魚，撕裂一切的利齒，掀起戰場上的血雨腥風！
-新增收藏品：新增飆車族、打擊手、射擊手、攻城車屬性相關紅色收藏品。
-新增VIP等級：開放SVIP等級，更好的額外獎勵，更多的獎勵！
-新增酒館簽到獎勵：酒館簽到增加機甲相關獎勵！
-好友列表擴充：可以添加更多好友了！
-新增祖靈節活動：
-驚奇派對：使用糖果罐，開啟驚喜糖果，贏取節日城市外觀大獎及豐厚獎勵！
-彈珠遊戲：祖靈節限定彈珠抽獎活動開啟，參與活動獲取彈珠幣，即可兌換豐厚獎勵！贏取稀有染色城市外觀大獎！
-節日豪禮：累計儲值豪禮相送，獲取機甲染色塗裝！
-不給糖就搗蛋：收集南瓜幣，取得豐厚獎勵，贏取全新行軍特效！
-暗夜礦場：祖靈節特別紀念礦場等你來挖！
-驚奇南瓜：購買南瓜禮包，即可解鎖豐厚獎勵！
-充值豪禮：單次充值即可獲取超值獎勵！
-午夜討價還價：危機四伏，謹慎出價！還價成功可低價購買超值道具！
-璀璨之都：全新主城特效-午夜驚魂即將登場，等你來拿！
-驚喜塗裝：驚喜塗裝登場！試試手氣，二週年慶典機甲巨象塗裝限時返場！
-漫遊奇遇：參與活動收集漫遊骰子，在地圖中前進，獲取豐厚獎勵！
-奇珍勘探：參與免費挖寶活動，獲得豐厚獎勵！
-超時空傳送：消耗猩球物資，啟動超時空傳送，獲得豐厚獎勵！
-幸運多重禮：機師限時返場，參與活動，將吉姆、克拉拉、米歇爾招入麾下！
-戰車優化：新增戰車的戰力統計功能。
-戰裝重鑄優化：戰裝重鑄時將默認勾選上一次鎖定的屬性選項。
-機甲治療優化：點擊機甲治療氣泡，可直接開啟機甲治療彈窗。
-銀河戰爭：
-託管系統優化：在銀河戰爭玩法中，可以將部隊託管給幫派的首領與官員。
-特殊交戰區優化：在銀河戰爭玩法中的特殊交戰區內，重傷效果將不再生效。
-深海試煉優化：深海試煉任務鏈和技能調整，同伺服器玩家將擁有相同試煉任務。</v>
      </c>
      <c r="H71" s="168" t="str">
        <f>IFERROR(__xludf.DUMMYFUNCTION("""COMPUTED_VALUE"""),"-Patung Pejuang Baru: Ollin. Tambahkan lebih banyak kemegahan ke kotamu!
-Mekanik Baru: Gigi Robek — Croc—gigi tajam di atas kaki, dibuat untuk merobek barisan pertempuran
-Relik Baru: Memperkenalkan relik merah baru yang menampilkan Pilot, Pemukul, Penem"&amp;"bak, dan Pembobol Tembok!
-Tingkat SVIP Terbuka: keuntungan lebih besar, hadiah lebih kaya
-Peningkatan Sign-in Kedai kera: hadiah bertema mekanik ditambahkan
-Perluasan Daftar Teman: undang lebih banyak sekutu lagi
-Soiree Semangat—Event Segera Hadir
-Fe"&amp;"stival Ketakutan: Gunakan Toples Permen untuk membuka permen kejutan dan menangkan hadiah utama kulit festival serta hadiah melimpah!
-Permainan Kelereng: undian kelereng waktu terbatas—dapatkan Koin Kelereng, tukarkan dengan hadiah terbaik, dan menangkan"&amp;" pernis kulit kota langka edisi liburan.
-Hadiah Festival: Akumulasi isi ulang untuk menerima hadiah mewah dan dapatkan pernis Mekanik!
-Trick or Treat: Kumpulkan Koin Labu untuk mendapatkan hadiah melimpah dengan kesempatan memperoleh efek barisan baru!
"&amp;"-Tambang Seram: Jelajahi sumur minyak Soiree Semangat khusus!
-Labu Kejutan: Dapatkan Paket Labu untuk membuka kekayaan hadiah gratis!
-Hadiah Isi Ulang: Lakukan satu kali isi ulang untuk menerima hadiah istimewa!
-Tawar-Menawar Tengah Malam: Bahaya mengi"&amp;"ntai di setiap sudut—tawar dengan hati-hati! Tawar-menawar yang berhasil memungkinkanmu membeli item berharga dengan harga rendah!
-Kota Megah: Efek balai kota baru—Ketakutan Tengah Malam—segera hadir. Jangan lewatkan!
-Pernis Keberuntungan telah hadir! C"&amp;"oba keberuntunganmu! Pernis Mekanik Gajah Anniversary ke-2 kembali untuk waktu terbatas
-Petualangan Keliling: Kumpulkan Dadu Keliling, bergerak di peta, dan dapatkan hadiah melimpah!
-Eksplorasi Harta Karun Langka: Ikuti Perburuan Sumur Minyak gratis dan"&amp;" bawa pulang barangnya
-Teleportasi Krono: Gunakan suplai untuk mengaktifkan Teleportasi Krono dan menangkan hadiah melimpah!
-Karnaval Keberuntungan: Operator kembali—rekrut Jim, Clara, dan Mitchell
-Peningkatan Pembawa Barang: Pembawa Barang kini menamp"&amp;"ilkan statistik Kekuatan yang terintegrasi
-Peningkatan Pengecoran Ulang Peralatan: atribut terkunci terakhir kamu diingat secara default
-Peningkatan Perbaikan Mekanik: ketuk gelembung Perbaikan untuk langsung membuka jendela perbaikan
-Perang Planet:
-P"&amp;"eningkatan Auto: Tugaskan pasukan ke Kapten Geng dan Pejabat Gengmu
-Peningkatan Zona Khusus: Efek Luka Parah dinonaktifkan di zona ini
-Peningkatan Uji Coba Parit: Rantai tantangan dan skill disesuaikan; pemain di server yang sama kini berbagi tantangan "&amp;"uji coba yang sama")</f>
        <v>-Patung Pejuang Baru: Ollin. Tambahkan lebih banyak kemegahan ke kotamu!
-Mekanik Baru: Gigi Robek — Croc—gigi tajam di atas kaki, dibuat untuk merobek barisan pertempuran
-Relik Baru: Memperkenalkan relik merah baru yang menampilkan Pilot, Pemukul, Penembak, dan Pembobol Tembok!
-Tingkat SVIP Terbuka: keuntungan lebih besar, hadiah lebih kaya
-Peningkatan Sign-in Kedai kera: hadiah bertema mekanik ditambahkan
-Perluasan Daftar Teman: undang lebih banyak sekutu lagi
-Soiree Semangat—Event Segera Hadir
-Festival Ketakutan: Gunakan Toples Permen untuk membuka permen kejutan dan menangkan hadiah utama kulit festival serta hadiah melimpah!
-Permainan Kelereng: undian kelereng waktu terbatas—dapatkan Koin Kelereng, tukarkan dengan hadiah terbaik, dan menangkan pernis kulit kota langka edisi liburan.
-Hadiah Festival: Akumulasi isi ulang untuk menerima hadiah mewah dan dapatkan pernis Mekanik!
-Trick or Treat: Kumpulkan Koin Labu untuk mendapatkan hadiah melimpah dengan kesempatan memperoleh efek barisan baru!
-Tambang Seram: Jelajahi sumur minyak Soiree Semangat khusus!
-Labu Kejutan: Dapatkan Paket Labu untuk membuka kekayaan hadiah gratis!
-Hadiah Isi Ulang: Lakukan satu kali isi ulang untuk menerima hadiah istimewa!
-Tawar-Menawar Tengah Malam: Bahaya mengintai di setiap sudut—tawar dengan hati-hati! Tawar-menawar yang berhasil memungkinkanmu membeli item berharga dengan harga rendah!
-Kota Megah: Efek balai kota baru—Ketakutan Tengah Malam—segera hadir. Jangan lewatkan!
-Pernis Keberuntungan telah hadir! Coba keberuntunganmu! Pernis Mekanik Gajah Anniversary ke-2 kembali untuk waktu terbatas
-Petualangan Keliling: Kumpulkan Dadu Keliling, bergerak di peta, dan dapatkan hadiah melimpah!
-Eksplorasi Harta Karun Langka: Ikuti Perburuan Sumur Minyak gratis dan bawa pulang barangnya
-Teleportasi Krono: Gunakan suplai untuk mengaktifkan Teleportasi Krono dan menangkan hadiah melimpah!
-Karnaval Keberuntungan: Operator kembali—rekrut Jim, Clara, dan Mitchell
-Peningkatan Pembawa Barang: Pembawa Barang kini menampilkan statistik Kekuatan yang terintegrasi
-Peningkatan Pengecoran Ulang Peralatan: atribut terkunci terakhir kamu diingat secara default
-Peningkatan Perbaikan Mekanik: ketuk gelembung Perbaikan untuk langsung membuka jendela perbaikan
-Perang Planet:
-Peningkatan Auto: Tugaskan pasukan ke Kapten Geng dan Pejabat Gengmu
-Peningkatan Zona Khusus: Efek Luka Parah dinonaktifkan di zona ini
-Peningkatan Uji Coba Parit: Rantai tantangan dan skill disesuaikan; pemain di server yang sama kini berbagi tantangan uji coba yang sama</v>
      </c>
      <c r="I71" s="168" t="str">
        <f>IFERROR(__xludf.DUMMYFUNCTION("""COMPUTED_VALUE"""),"-รูปปั้นนักสู้ตัวใหม่: โอลิน เพิ่มความโดดเด่นให้กับเมืองของคุณ!
-เมคใหม่: เขี้ยวขย้ำ — จระเข้—เขี้ยวคมบนขา สร้างมาเพื่อฉีกแนวรบ
-วัตถุโบราณใหม่: แนะนำวัตถุโบราณสีแดงใหม่ที่มีนักบิน, ฮิตเตอร์, ชูตเตอร์ และวอลล์เบรกเกอร์!
-ระดับ SVIP ปลดล็อก: สิทธิประโยชน์ม"&amp;"ากขึ้น รางวัลมากมายยิ่งขึ้น
-อัปเกรดเข้าสู่ระบบโรงแรม: เพิ่มรางวัลธีมเมค
-ขยายรายชื่อเพื่อน: ชวนพันธมิตรได้มากยิ่งขึ้น
-จิตวิญญาณโซอาเร่—กิจกรรมกำลังมา
-เทศกาลแห่งความหลอน: ใช้โถขนมเพื่อเปิดขนมเซอร์ไพรส์และลุ้นรับรางวัลใหญ่สกินเทศกาลและรางวัลมากมาย!
-เกมล"&amp;"ูกแก้ว: จับรางวัลลูกแก้วแบบจำกัดเวลา—รับเหรียญลูกแก้ว แลกเปลี่ยนเป็นรางวัลสูงสุด และลุ้นรับแลคเกอร์สกินเมืองหายากในเทศกาล
-ของขวัญเทศกาล: สะสมการเติมเงินเพื่อรับของขวัญสุดหรูและแลคเกอร์เมค!
-ทริกออร์ทรีต: สะสมเหรียญฟักทองเพื่อรับรางวัลมากมาย พร้อมโอกาสรับ"&amp;"เอฟเฟกต์การเดินทัพใหม่ล่าสุด!
-เหมืองหลอน: สำรวจเหมืองจิตวิญญาณโซอาเร่พิเศษ!
-เซอร์ไพรส์ฟักทอง: ซื้อแพ็กฟักทองเพื่อปลดล็อกความมั่งคั่งของรางวัลฟรี!
-รางวัลการเติมเงิน: เติมเงินครั้งเดียวเพื่อรับรางวัลสุดพิเศษ!
-การต่อรองกลางคืน: อันตรายซ่อนอยู่ทุกมุม—ประม"&amp;"ูลอย่างระมัดระวัง! ต่อรองสำเร็จให้คุณซื้อไอเทมมีค่าในราคาต่ำ!
-เมืองสุดพิเศษ: เอฟเฟกต์ศาลากลางเมืองใหม่—ความหลอนยามเที่ยงคืน—กำลังจะมา อย่าพลาด!
-แลคเกอร์นำโชคมาแล้ว! ลองเสี่ยงโชคของคุณ! แลคเกอร์เมคช้างฉลองครบรอบ 2 ปี กลับมาให้ลุ้นอีกครั้งในเวลาจำกัด
-ผจญ"&amp;"ภัยท่องโลก: สะสมลูกเต๋าท่องโลก ย้ายข้ามแผนที่ และรับรางวัลมากมาย!
-การสำรวจสมบัติหายาก: กระโดดเข้าสู่เหมืองฟรีและเก็บสมบัติกลับบ้าน
-โครโนเทเลพอร์ต: ใช้เสบียงเพื่อเปิดใช้งานโครโนเทเลพอร์ตและรับรางวัลมากมาย!
-โชคดีขุมทรัพย์: โอเปอเรเตอร์กลับมาแล้ว—รับสมัคร"&amp;"จิม คลาร่า และมิตเชลล์
-อัปเกรดลิงขนส่ง: ลิงขนส่งจะแสดงค่าสถานะพลังงานรวมแล้ว
-อัปเกรดรีแคสต์อุปกรณ์: คุณสมบัติที่ล็อกล่าสุดจะถูกจดจำโดยอัตโนมัติ
-อัปเกรดซ่อมแซมเมค: แตะฟองซ่อมแซมเพื่อเปิดหน้าต่างซ่อมแซมทันที
-สงครามดาวเคราะห์:
-อัปเกรดมอบหมาย: ประจำการกอ"&amp;"งทหารให้ผู้นำแก๊งค์และเจ้าหน้าที่แก๊งค์ของคุณ
-อัปเกรดพื้นที่พิเศษ: เอฟเฟกต์บาดเจ็บสาหัสจะถูกปิดใช้งานในพื้นที่เหล่านี้
-อัปเกรดการสอบคุกขุน: ปรับปรุงเควสต์และทักษะ ผู้เล่นในเซิร์ฟเวอร์เดียวกันจะแชร์เควสต์การสอบเดียวกัน")</f>
        <v>-รูปปั้นนักสู้ตัวใหม่: โอลิน เพิ่มความโดดเด่นให้กับเมืองของคุณ!
-เมคใหม่: เขี้ยวขย้ำ — จระเข้—เขี้ยวคมบนขา สร้างมาเพื่อฉีกแนวรบ
-วัตถุโบราณใหม่: แนะนำวัตถุโบราณสีแดงใหม่ที่มีนักบิน, ฮิตเตอร์, ชูตเตอร์ และวอลล์เบรกเกอร์!
-ระดับ SVIP ปลดล็อก: สิทธิประโยชน์มากขึ้น รางวัลมากมายยิ่งขึ้น
-อัปเกรดเข้าสู่ระบบโรงแรม: เพิ่มรางวัลธีมเมค
-ขยายรายชื่อเพื่อน: ชวนพันธมิตรได้มากยิ่งขึ้น
-จิตวิญญาณโซอาเร่—กิจกรรมกำลังมา
-เทศกาลแห่งความหลอน: ใช้โถขนมเพื่อเปิดขนมเซอร์ไพรส์และลุ้นรับรางวัลใหญ่สกินเทศกาลและรางวัลมากมาย!
-เกมลูกแก้ว: จับรางวัลลูกแก้วแบบจำกัดเวลา—รับเหรียญลูกแก้ว แลกเปลี่ยนเป็นรางวัลสูงสุด และลุ้นรับแลคเกอร์สกินเมืองหายากในเทศกาล
-ของขวัญเทศกาล: สะสมการเติมเงินเพื่อรับของขวัญสุดหรูและแลคเกอร์เมค!
-ทริกออร์ทรีต: สะสมเหรียญฟักทองเพื่อรับรางวัลมากมาย พร้อมโอกาสรับเอฟเฟกต์การเดินทัพใหม่ล่าสุด!
-เหมืองหลอน: สำรวจเหมืองจิตวิญญาณโซอาเร่พิเศษ!
-เซอร์ไพรส์ฟักทอง: ซื้อแพ็กฟักทองเพื่อปลดล็อกความมั่งคั่งของรางวัลฟรี!
-รางวัลการเติมเงิน: เติมเงินครั้งเดียวเพื่อรับรางวัลสุดพิเศษ!
-การต่อรองกลางคืน: อันตรายซ่อนอยู่ทุกมุม—ประมูลอย่างระมัดระวัง! ต่อรองสำเร็จให้คุณซื้อไอเทมมีค่าในราคาต่ำ!
-เมืองสุดพิเศษ: เอฟเฟกต์ศาลากลางเมืองใหม่—ความหลอนยามเที่ยงคืน—กำลังจะมา อย่าพลาด!
-แลคเกอร์นำโชคมาแล้ว! ลองเสี่ยงโชคของคุณ! แลคเกอร์เมคช้างฉลองครบรอบ 2 ปี กลับมาให้ลุ้นอีกครั้งในเวลาจำกัด
-ผจญภัยท่องโลก: สะสมลูกเต๋าท่องโลก ย้ายข้ามแผนที่ และรับรางวัลมากมาย!
-การสำรวจสมบัติหายาก: กระโดดเข้าสู่เหมืองฟรีและเก็บสมบัติกลับบ้าน
-โครโนเทเลพอร์ต: ใช้เสบียงเพื่อเปิดใช้งานโครโนเทเลพอร์ตและรับรางวัลมากมาย!
-โชคดีขุมทรัพย์: โอเปอเรเตอร์กลับมาแล้ว—รับสมัครจิม คลาร่า และมิตเชลล์
-อัปเกรดลิงขนส่ง: ลิงขนส่งจะแสดงค่าสถานะพลังงานรวมแล้ว
-อัปเกรดรีแคสต์อุปกรณ์: คุณสมบัติที่ล็อกล่าสุดจะถูกจดจำโดยอัตโนมัติ
-อัปเกรดซ่อมแซมเมค: แตะฟองซ่อมแซมเพื่อเปิดหน้าต่างซ่อมแซมทันที
-สงครามดาวเคราะห์:
-อัปเกรดมอบหมาย: ประจำการกองทหารให้ผู้นำแก๊งค์และเจ้าหน้าที่แก๊งค์ของคุณ
-อัปเกรดพื้นที่พิเศษ: เอฟเฟกต์บาดเจ็บสาหัสจะถูกปิดใช้งานในพื้นที่เหล่านี้
-อัปเกรดการสอบคุกขุน: ปรับปรุงเควสต์และทักษะ ผู้เล่นในเซิร์ฟเวอร์เดียวกันจะแชร์เควสต์การสอบเดียวกัน</v>
      </c>
      <c r="J71" s="168" t="str">
        <f>IFERROR(__xludf.DUMMYFUNCTION("""COMPUTED_VALUE"""),"-Nueva Estatua del Luchador: Ollin. ¡Añade más brillo a tu ciudad!
-Nuevo Meca: Dientefilo — Cocodrilo—dientes afilados sobre patas, construido para destrozar líneas de batalla
-Nuevas Reliquias: ¡Presentamos nuevas reliquias rojas con Pilotos, Golpeadore"&amp;"s, Tiradores y Rompemuros!
-Nivel SVIP Desbloqueado: mayores ventajas, recompensas más ricas
-Mejora de Iniciar Sesión en la Taberna: se añadieron recompensas temáticas de meca
-Lista de Amigos Ampliada: invita a aún más aliados
-Espíritu Soiree—¡Eventos "&amp;"en camino!
-Festival de los Sustos: ¡Usa Tarros de Caramelos para abrir caramelos sorpresa y gana grandes premios de texturas festivas y abundantes recompensas!
-Juego de Canicas: sorteo de canicas por tiempo limitado—gana Monedas de Canica, intercámbiala"&amp;"s por las mejores recompensas y gana lacas raras de texturas de ciudad festiva.
-Regalos Festivos: ¡Acumula recargas para recibir regalos lujosos y obtener lacas de Meca!
-Truco o Trato: ¡Recolecta Monedas de Calabaza para ganar abundantes recompensas con"&amp;" la oportunidad de obtener un nuevo efecto de marcha!
-Mina Fantasmal: ¡Explora la mina especial de Espíritu Soiree!
-Calabaza Sorpresa: ¡Compra Paquetes de Calabaza para desbloquear una riqueza de recompensas gratis!
-Recompensas de Recarga: ¡Haz una sol"&amp;"a recarga para recibir recompensas excepcionales!
-Regateo de Medianoche: El peligro acecha en cada esquina—¡puja con cautela! ¡El regateo exitoso te permite comprar artículos valiosos a precios bajos!
-Ciudad Espléndida: El nuevo efecto de ayuntamiento—S"&amp;"usto de Medianoche—llegará próximamente. ¡No te lo pierdas!
-¡Laca de la Suerte está aquí! ¡Prueba tu suerte! La Laca de Meca Elefante del 2ndo. Aniversario regresa por tiempo limitado
-Aventura Errante: ¡Recolecta Dados Errantes, muévete por el mapa y ga"&amp;"na abundantes recompensas!
-Exploración de Tesoros Raros: Participa en una Búsqueda de Minas gratis y llévate los bienes
-Crono Teletransporte: ¡Gasta suministros para activar el Crono Teletransporte y gana abundantes recompensas!
-Bonanza de la Suerte: E"&amp;"l Operador regresa—recluta a Jim, Clara y Mitchell
-Mejora de Transportadores: ahora los Transportadores muestran estadísticas de Poder consolidadas
-Mejora de Reforja de Equipamiento: tus últimos atributos bloqueados se recuerdan por defecto
-Mejora de R"&amp;"eparación de Meca: pulsa la burbuja de Reparar para abrir la ventana de reparación al instante
-Guerras Planetarias:
-Delegar Mejorado: Asigna tropas a tu Líder de la Banda y Oficiales de la Banda
-Zonas Especiales Mejoradas: El efecto de Herida Grave est"&amp;"á deshabilitado dentro de estas zonas
-Pruebas de Trincheras Mejoradas: cadenas de misiones y habilidades ajustadas; los jugadores en el mismo servidor ahora comparten las mismas misiones de prueba")</f>
        <v>-Nueva Estatua del Luchador: Ollin. ¡Añade más brillo a tu ciudad!
-Nuevo Meca: Dientefilo — Cocodrilo—dientes afilados sobre patas, construido para destrozar líneas de batalla
-Nuevas Reliquias: ¡Presentamos nuevas reliquias rojas con Pilotos, Golpeadores, Tiradores y Rompemuros!
-Nivel SVIP Desbloqueado: mayores ventajas, recompensas más ricas
-Mejora de Iniciar Sesión en la Taberna: se añadieron recompensas temáticas de meca
-Lista de Amigos Ampliada: invita a aún más aliados
-Espíritu Soiree—¡Eventos en camino!
-Festival de los Sustos: ¡Usa Tarros de Caramelos para abrir caramelos sorpresa y gana grandes premios de texturas festivas y abundantes recompensas!
-Juego de Canicas: sorteo de canicas por tiempo limitado—gana Monedas de Canica, intercámbialas por las mejores recompensas y gana lacas raras de texturas de ciudad festiva.
-Regalos Festivos: ¡Acumula recargas para recibir regalos lujosos y obtener lacas de Meca!
-Truco o Trato: ¡Recolecta Monedas de Calabaza para ganar abundantes recompensas con la oportunidad de obtener un nuevo efecto de marcha!
-Mina Fantasmal: ¡Explora la mina especial de Espíritu Soiree!
-Calabaza Sorpresa: ¡Compra Paquetes de Calabaza para desbloquear una riqueza de recompensas gratis!
-Recompensas de Recarga: ¡Haz una sola recarga para recibir recompensas excepcionales!
-Regateo de Medianoche: El peligro acecha en cada esquina—¡puja con cautela! ¡El regateo exitoso te permite comprar artículos valiosos a precios bajos!
-Ciudad Espléndida: El nuevo efecto de ayuntamiento—Susto de Medianoche—llegará próximamente. ¡No te lo pierdas!
-¡Laca de la Suerte está aquí! ¡Prueba tu suerte! La Laca de Meca Elefante del 2ndo. Aniversario regresa por tiempo limitado
-Aventura Errante: ¡Recolecta Dados Errantes, muévete por el mapa y gana abundantes recompensas!
-Exploración de Tesoros Raros: Participa en una Búsqueda de Minas gratis y llévate los bienes
-Crono Teletransporte: ¡Gasta suministros para activar el Crono Teletransporte y gana abundantes recompensas!
-Bonanza de la Suerte: El Operador regresa—recluta a Jim, Clara y Mitchell
-Mejora de Transportadores: ahora los Transportadores muestran estadísticas de Poder consolidadas
-Mejora de Reforja de Equipamiento: tus últimos atributos bloqueados se recuerdan por defecto
-Mejora de Reparación de Meca: pulsa la burbuja de Reparar para abrir la ventana de reparación al instante
-Guerras Planetarias:
-Delegar Mejorado: Asigna tropas a tu Líder de la Banda y Oficiales de la Banda
-Zonas Especiales Mejoradas: El efecto de Herida Grave está deshabilitado dentro de estas zonas
-Pruebas de Trincheras Mejoradas: cadenas de misiones y habilidades ajustadas; los jugadores en el mismo servidor ahora comparten las mismas misiones de prueba</v>
      </c>
      <c r="K71" s="168" t="str">
        <f>IFERROR(__xludf.DUMMYFUNCTION("""COMPUTED_VALUE"""),"-Новая статуя героя: Оллин. Добавьте больше блеска вашему городу!
-Новый Мех: Рвущий Зуб — Крок — бритвенно-острые зубы на ногах, создан для разрыва боевых линий
-Новые реликвии: Представляем новые красные реликвии с Гонщиками, Громилами, Стрелками и Стен"&amp;"оломами!
-Уровень SVIP открыт: больше привилегий, богаче награды
-Улучшение входа в таверну: добавлены мех-награды
-Расширен список друзей: приглашайте еще больше союзников
-Духовная вечеринка — Скоро события
-Фестиваль страхов: используйте банки с конфет"&amp;"ами, чтобы открыть сюрпризные конфеты и выиграть главный приз — праздничный облик и множество наград!
-Мраморная игра: ограниченная по времени попытка с мраморными шарами — зарабатывайте мраморные монеты, обменивайте их на топ-награды и выигрывайте редкие"&amp;" праздничные лаки для города.
-Праздничные подарки: накапливайте пополнения, чтобы получить роскошные подарки и лаки для Меха!
-Шалость или сладость: собирайте тыквенные монеты, чтобы получить щедрые награды и шанс получить новый эффект марша!
-Шахта стра"&amp;"ха: исследуйте особую шахту Духовной вечеринки!
-Сюрпризная тыква: покупайте тыквенные наборы, чтобы открыть богатство бесплатных наград!
-Награды за пополнение: совершите одно пополнение, чтобы получить исключительные награды!
-Торг у полуночи: опасность"&amp;" подстерегает на каждом шагу — торгуйтесь осторожно! Успешный торг позволит купить ценные предметы по низкой цене!
-Великолепный город: новый эффект городского совета — Полуночный ужас — скоро в игре. Не пропустите!
-Счастливый лак уже здесь! Испытайте уд"&amp;"ачу! Лак для Меха Слон ко 2-й годовщине возвращается на ограниченное время
-Странствующее приключение: собирайте странствующие кости, перемещайтесь по карте и получайте множество наград!
-Исследование редких сокровищ: отправляйтесь на бесплатную охоту за "&amp;"нефтью и забирайте добычу
-Хронотелеорт: тратьте припасы, чтобы активировать Хронотелеорт и выиграть множество наград!
-Счастливая удача: Оператор возвращается — нанимайте Джима, Клару и Митчелла
-Улучшение перевозчиков: теперь перевозчики показывают сумм"&amp;"арную силу
-Улучшение перековки снаряжения: ваши последние заблокированные показатели запоминаются по умолчанию
-Улучшение ремонта Меха: нажмите на пузырь ремонта, чтобы мгновенно открыть окно ремонта
-Планетарные войны:
-Передача улучшена: назначайте вой"&amp;"ска Лидеру банды и Офицерам банды
-Особые зоны улучшены: эффект тяжелого ранения отключен в этих зонах
-Испытания в Траншеях улучшены: цепочки заданий и навыки доработаны; игроки на одном сервере теперь делят одни и те же задания испытаний")</f>
        <v>-Новая статуя героя: Оллин. Добавьте больше блеска вашему городу!
-Новый Мех: Рвущий Зуб — Крок — бритвенно-острые зубы на ногах, создан для разрыва боевых линий
-Новые реликвии: Представляем новые красные реликвии с Гонщиками, Громилами, Стрелками и Стеноломами!
-Уровень SVIP открыт: больше привилегий, богаче награды
-Улучшение входа в таверну: добавлены мех-награды
-Расширен список друзей: приглашайте еще больше союзников
-Духовная вечеринка — Скоро события
-Фестиваль страхов: используйте банки с конфетами, чтобы открыть сюрпризные конфеты и выиграть главный приз — праздничный облик и множество наград!
-Мраморная игра: ограниченная по времени попытка с мраморными шарами — зарабатывайте мраморные монеты, обменивайте их на топ-награды и выигрывайте редкие праздничные лаки для города.
-Праздничные подарки: накапливайте пополнения, чтобы получить роскошные подарки и лаки для Меха!
-Шалость или сладость: собирайте тыквенные монеты, чтобы получить щедрые награды и шанс получить новый эффект марша!
-Шахта страха: исследуйте особую шахту Духовной вечеринки!
-Сюрпризная тыква: покупайте тыквенные наборы, чтобы открыть богатство бесплатных наград!
-Награды за пополнение: совершите одно пополнение, чтобы получить исключительные награды!
-Торг у полуночи: опасность подстерегает на каждом шагу — торгуйтесь осторожно! Успешный торг позволит купить ценные предметы по низкой цене!
-Великолепный город: новый эффект городского совета — Полуночный ужас — скоро в игре. Не пропустите!
-Счастливый лак уже здесь! Испытайте удачу! Лак для Меха Слон ко 2-й годовщине возвращается на ограниченное время
-Странствующее приключение: собирайте странствующие кости, перемещайтесь по карте и получайте множество наград!
-Исследование редких сокровищ: отправляйтесь на бесплатную охоту за нефтью и забирайте добычу
-Хронотелеорт: тратьте припасы, чтобы активировать Хронотелеорт и выиграть множество наград!
-Счастливая удача: Оператор возвращается — нанимайте Джима, Клару и Митчелла
-Улучшение перевозчиков: теперь перевозчики показывают суммарную силу
-Улучшение перековки снаряжения: ваши последние заблокированные показатели запоминаются по умолчанию
-Улучшение ремонта Меха: нажмите на пузырь ремонта, чтобы мгновенно открыть окно ремонта
-Планетарные войны:
-Передача улучшена: назначайте войска Лидеру банды и Офицерам банды
-Особые зоны улучшены: эффект тяжелого ранения отключен в этих зонах
-Испытания в Траншеях улучшены: цепочки заданий и навыки доработаны; игроки на одном сервере теперь делят одни и те же задания испытаний</v>
      </c>
      <c r="L71" s="168" t="str">
        <f>IFERROR(__xludf.DUMMYFUNCTION("""COMPUTED_VALUE"""),"-Yeni Savaşçı Heykeli: Ollin. Şehrine daha fazla parlaklık kat!
-Yeni Meka: Dişparçalayan — Timsah—bıçak gibi dişlere sahip, savaş hatlarını parçalamak için tasarlandı
-Yeni Kalıntılar: Pilotlar, Vurucular, Nişancılar ve Duvar Kırıcıları içeren yeni kırmı"&amp;"zı kalıntılar geliyor!
-SVIP Kademe Kilit Açık: daha büyük ayrıcalıklar, daha zengin ödüller
-Taverna Oturum Açma Yükseltmesi: meka temalı ödüller eklendi
-Arkadaş Listesi Genişletildi: daha fazla müttefik davet et
-Ruh Partisi—Etkinlikler Geliyor
-Korku "&amp;"Festivali: Sürpriz şekerleri açmak ve festival görünümü büyük ödülleri ile bol ödüller kazanmak için Şeker Kavanozlarını kullan!
-Misket Oyunu: Sınırlı süreli misket çekilişi—Misket Parası kazan, en iyi ödüllerle takas et ve nadir tatil şehir cila ödüller"&amp;"i kazan.
-Festival Hediyeleri: Şarjlarını biriktir, gösterişli hediyeler al ve Meka cilaları elde et!
-Şeker mi Şaka mı?: Bal Kabağı Parası topla, bol ödüller kazan ve yepyeni bir sefer etkisi elde etme şansı yakala!
-Korku Madeni: Özel Ruh Partisi madeni"&amp;"ni keşfet!
-Sürpriz Bal Kabağı: Bal Kabağı Paketleri satın al, ücretsiz ödüllerin zenginliğinin kilidini aç!
-Şarj Etme Ödülleri: Tek seferlik şarj yap, olağanüstü ödüller al!
-Gece Yarısı Pazarlık: Tehlike her köşede—dikkatli teklif ver! Başarılı pazarlı"&amp;"kla değerli eşyaları düşük fiyata satın alabilirsin!
-Muhteşem Şehir: Yeni meclis etkisi—Gece Yarısı Korkusu—çok yakında geliyor. Kaçırma!
-Şanslı Cila burada! Şansını dene! 2. Yıl Dönümü Fil Meka Cila sınırlı süreyle geri döndü
-Dolaşan Macera: Dolaşan Z"&amp;"arları topla, harita üzerinde hareket et ve bol ödüller kazan!
-Nadir Hazinelerin Keşfi: Ücretsiz Petrol Kuyusu Avı’na katıl ve ganimetleri cebe at
-Krono Işınlanma: Tedarikleri harca, Krono Işınlanmayı etkinleştir ve bol ödüller kazan!
-Şanslı Zenginlik:"&amp;" Operatör geri döndü—Jim, Clara ve Mitchell’i tut
-Taşıyıcı Yükseltmesi: Taşıyıcılar artık birleştirilmiş Güç istatistiklerini gösteriyor
-Ekipman Yeniden Döküm Yükseltmesi: Son kilitli niteliklerin varsayılan olarak hatırlanır
-Meka Tamir Yükseltmesi: Ta"&amp;"mir balonuna dokunarak tamir penceresini anında aç
-Gezegen Savaşları:
-Görevlendirme Yükseltildi: Birlikleri Çete Liderine ve Çete Yetkililerine ata
-Özel Alanlar Yükseltildi: Bu alanlarda Ağır Yara etkisi devre dışı
-Siper Denemeleri Yükseltildi: Macera"&amp;" zincirleri ve beceriler ayarlandı; aynı sunucudaki oyuncular artık aynı deneme görevlerini paylaşıyor")</f>
        <v>-Yeni Savaşçı Heykeli: Ollin. Şehrine daha fazla parlaklık kat!
-Yeni Meka: Dişparçalayan — Timsah—bıçak gibi dişlere sahip, savaş hatlarını parçalamak için tasarlandı
-Yeni Kalıntılar: Pilotlar, Vurucular, Nişancılar ve Duvar Kırıcıları içeren yeni kırmızı kalıntılar geliyor!
-SVIP Kademe Kilit Açık: daha büyük ayrıcalıklar, daha zengin ödüller
-Taverna Oturum Açma Yükseltmesi: meka temalı ödüller eklendi
-Arkadaş Listesi Genişletildi: daha fazla müttefik davet et
-Ruh Partisi—Etkinlikler Geliyor
-Korku Festivali: Sürpriz şekerleri açmak ve festival görünümü büyük ödülleri ile bol ödüller kazanmak için Şeker Kavanozlarını kullan!
-Misket Oyunu: Sınırlı süreli misket çekilişi—Misket Parası kazan, en iyi ödüllerle takas et ve nadir tatil şehir cila ödülleri kazan.
-Festival Hediyeleri: Şarjlarını biriktir, gösterişli hediyeler al ve Meka cilaları elde et!
-Şeker mi Şaka mı?: Bal Kabağı Parası topla, bol ödüller kazan ve yepyeni bir sefer etkisi elde etme şansı yakala!
-Korku Madeni: Özel Ruh Partisi madenini keşfet!
-Sürpriz Bal Kabağı: Bal Kabağı Paketleri satın al, ücretsiz ödüllerin zenginliğinin kilidini aç!
-Şarj Etme Ödülleri: Tek seferlik şarj yap, olağanüstü ödüller al!
-Gece Yarısı Pazarlık: Tehlike her köşede—dikkatli teklif ver! Başarılı pazarlıkla değerli eşyaları düşük fiyata satın alabilirsin!
-Muhteşem Şehir: Yeni meclis etkisi—Gece Yarısı Korkusu—çok yakında geliyor. Kaçırma!
-Şanslı Cila burada! Şansını dene! 2. Yıl Dönümü Fil Meka Cila sınırlı süreyle geri döndü
-Dolaşan Macera: Dolaşan Zarları topla, harita üzerinde hareket et ve bol ödüller kazan!
-Nadir Hazinelerin Keşfi: Ücretsiz Petrol Kuyusu Avı’na katıl ve ganimetleri cebe at
-Krono Işınlanma: Tedarikleri harca, Krono Işınlanmayı etkinleştir ve bol ödüller kazan!
-Şanslı Zenginlik: Operatör geri döndü—Jim, Clara ve Mitchell’i tut
-Taşıyıcı Yükseltmesi: Taşıyıcılar artık birleştirilmiş Güç istatistiklerini gösteriyor
-Ekipman Yeniden Döküm Yükseltmesi: Son kilitli niteliklerin varsayılan olarak hatırlanır
-Meka Tamir Yükseltmesi: Tamir balonuna dokunarak tamir penceresini anında aç
-Gezegen Savaşları:
-Görevlendirme Yükseltildi: Birlikleri Çete Liderine ve Çete Yetkililerine ata
-Özel Alanlar Yükseltildi: Bu alanlarda Ağır Yara etkisi devre dışı
-Siper Denemeleri Yükseltildi: Macera zincirleri ve beceriler ayarlandı; aynı sunucudaki oyuncular artık aynı deneme görevlerini paylaşıyor</v>
      </c>
      <c r="M71" s="168" t="str">
        <f>IFERROR(__xludf.DUMMYFUNCTION("""COMPUTED_VALUE"""),"-Tượng Chiến Binh Mới: Ollin. Thêm rực rỡ cho thành phố của bạn!
-Cơ Khí Mới: Răng Xé — Cá Sấu—hàm răng sắc bén trên bốn chân, được chế tạo để xé nát phòng tuyến kẻ địch
-Di Tích Mới: Ra mắt các di tích đỏ mới với chủ đề Phi Công, Lính Tấn Công, Xạ Thủ và"&amp;" Lính Phá Thành!
-BẬC SVIP ĐÃ MỞ KHÓA: đặc quyền lớn hơn, phần thưởng phong phú hơn
-Nâng Cấp Đăng Nhập Tửu Quán: thêm phần thưởng chủ đề cơ khí
-Mở Rộng Danh Sách Bạn Bè: mời thêm nhiều đồng minh hơn nữa
-Tinh Thần Hội—Sự Kiện Sắp Diễn Ra
-Lễ Hội Kinh Dị"&amp;": Sử dụng Hũ Kẹo để mở kẹo bất ngờ và nhận giải thưởng lớn ngoại trang lễ hội cùng phần thưởng dồi dào!
-Trò Chơi Bi: Rút bi giới hạn thời gian—kiếm Xu Bi, đổi lấy phần thưởng đứng đầu và nhận sơn mài ngoại trang thành phố hiếm dịp lễ.
-Quà Tặng Lễ Hội: T"&amp;"ích lũy nạp năng lượng để nhận quà tặng xa hoa và sở hữu sơn mài Cơ Khí!
-Kẹo Hay Ghẹo: Thu thập Xu Bí Ngô để nhận phần thưởng phong phú và có cơ hội nhận hiệu ứng hành quân hoàn toàn mới!
-Mỏ Kinh Dị: Khám phá mỏ đặc biệt của Tinh Thần Hội!
-Bí Ngô Bất N"&amp;"gờ: Mua Gói Bí Ngô để mở khóa kho phần thưởng miễn phí!
-Phần Thưởng Nạp Năng Lượng: Chỉ cần nạp một lần để nhận phần thưởng đặc biệt!
-Mặc Cả Nửa Đêm: Nguy hiểm rình rập khắp nơi—hãy trả giá cẩn thận! Mặc cả thành công giúp bạn mua vật phẩm giá trị với g"&amp;"iá thấp!
-Thành Phố Tuyệt Diệu: Hiệu ứng tòa thị chính mới—Kinh Dị Nửa Đêm—sắp ra mắt. Đừng bỏ lỡ!
-Sơn Mài May Mắn đã xuất hiện! Thử vận may nào! Sơn Mài Cơ Khí Voi Kỷ Niệm 2 Năm trở lại trong thời gian giới hạn
-Phiêu Lưu Lang Thang: Thu thập Xúc Xắc La"&amp;"ng Thang, di chuyển trên bản đồ và nhận phần thưởng dồi dào!
-Khám Phá Kho Báu Hiếm: Tham gia săn mỏ miễn phí và thu về chiến lợi phẩm
-Dịch Chuyển Chrono: Tiêu hao quân nhu để kích hoạt Dịch Chuyển Chrono và nhận phần thưởng dồi dào!
-Lễ Hội May Mắn: Ngư"&amp;"ời Điều Hành trở lại—chiêu mộ Jim, Clara và Mitchell
-Nâng Cấp Người Vận Chuyển: Người Vận Chuyển giờ hiển thị tổng hợp Chiến lực
-Nâng Cấp Đúc Lại Trang Bị: thuộc tính bị khóa cuối cùng của bạn sẽ được ghi nhớ mặc định
-Nâng Cấp Sửa Chữa Cơ Khí: chạm vào"&amp;" bong bóng Sửa Chữa để mở cửa sổ sửa chữa ngay lập tức
-Chiến Tranh Hành Tinh:
-Nâng Cấp Uỷ Thác: Chiếm đóng binh lính cho Thủ Lĩnh Bang Hội và Quan Chức Bang Hội
-Nâng Cấp Khu Vực Đặc Biệt: Hiệu ứng Vết Thương Nặng bị vô hiệu hóa trong các khu vực này
-N"&amp;"âng Cấp Thử Thách Chiến Hào: Chuỗi nhiệm vụ và kỹ năng được điều chỉnh; người chơi cùng máy chủ giờ sẽ chia sẻ cùng nhiệm vụ thử thách")</f>
        <v>-Tượng Chiến Binh Mới: Ollin. Thêm rực rỡ cho thành phố của bạn!
-Cơ Khí Mới: Răng Xé — Cá Sấu—hàm răng sắc bén trên bốn chân, được chế tạo để xé nát phòng tuyến kẻ địch
-Di Tích Mới: Ra mắt các di tích đỏ mới với chủ đề Phi Công, Lính Tấn Công, Xạ Thủ và Lính Phá Thành!
-BẬC SVIP ĐÃ MỞ KHÓA: đặc quyền lớn hơn, phần thưởng phong phú hơn
-Nâng Cấp Đăng Nhập Tửu Quán: thêm phần thưởng chủ đề cơ khí
-Mở Rộng Danh Sách Bạn Bè: mời thêm nhiều đồng minh hơn nữa
-Tinh Thần Hội—Sự Kiện Sắp Diễn Ra
-Lễ Hội Kinh Dị: Sử dụng Hũ Kẹo để mở kẹo bất ngờ và nhận giải thưởng lớn ngoại trang lễ hội cùng phần thưởng dồi dào!
-Trò Chơi Bi: Rút bi giới hạn thời gian—kiếm Xu Bi, đổi lấy phần thưởng đứng đầu và nhận sơn mài ngoại trang thành phố hiếm dịp lễ.
-Quà Tặng Lễ Hội: Tích lũy nạp năng lượng để nhận quà tặng xa hoa và sở hữu sơn mài Cơ Khí!
-Kẹo Hay Ghẹo: Thu thập Xu Bí Ngô để nhận phần thưởng phong phú và có cơ hội nhận hiệu ứng hành quân hoàn toàn mới!
-Mỏ Kinh Dị: Khám phá mỏ đặc biệt của Tinh Thần Hội!
-Bí Ngô Bất Ngờ: Mua Gói Bí Ngô để mở khóa kho phần thưởng miễn phí!
-Phần Thưởng Nạp Năng Lượng: Chỉ cần nạp một lần để nhận phần thưởng đặc biệt!
-Mặc Cả Nửa Đêm: Nguy hiểm rình rập khắp nơi—hãy trả giá cẩn thận! Mặc cả thành công giúp bạn mua vật phẩm giá trị với giá thấp!
-Thành Phố Tuyệt Diệu: Hiệu ứng tòa thị chính mới—Kinh Dị Nửa Đêm—sắp ra mắt. Đừng bỏ lỡ!
-Sơn Mài May Mắn đã xuất hiện! Thử vận may nào! Sơn Mài Cơ Khí Voi Kỷ Niệm 2 Năm trở lại trong thời gian giới hạn
-Phiêu Lưu Lang Thang: Thu thập Xúc Xắc Lang Thang, di chuyển trên bản đồ và nhận phần thưởng dồi dào!
-Khám Phá Kho Báu Hiếm: Tham gia săn mỏ miễn phí và thu về chiến lợi phẩm
-Dịch Chuyển Chrono: Tiêu hao quân nhu để kích hoạt Dịch Chuyển Chrono và nhận phần thưởng dồi dào!
-Lễ Hội May Mắn: Người Điều Hành trở lại—chiêu mộ Jim, Clara và Mitchell
-Nâng Cấp Người Vận Chuyển: Người Vận Chuyển giờ hiển thị tổng hợp Chiến lực
-Nâng Cấp Đúc Lại Trang Bị: thuộc tính bị khóa cuối cùng của bạn sẽ được ghi nhớ mặc định
-Nâng Cấp Sửa Chữa Cơ Khí: chạm vào bong bóng Sửa Chữa để mở cửa sổ sửa chữa ngay lập tức
-Chiến Tranh Hành Tinh:
-Nâng Cấp Uỷ Thác: Chiếm đóng binh lính cho Thủ Lĩnh Bang Hội và Quan Chức Bang Hội
-Nâng Cấp Khu Vực Đặc Biệt: Hiệu ứng Vết Thương Nặng bị vô hiệu hóa trong các khu vực này
-Nâng Cấp Thử Thách Chiến Hào: Chuỗi nhiệm vụ và kỹ năng được điều chỉnh; người chơi cùng máy chủ giờ sẽ chia sẻ cùng nhiệm vụ thử thách</v>
      </c>
      <c r="N71" s="169" t="str">
        <f>IFERROR(__xludf.DUMMYFUNCTION("""COMPUTED_VALUE"""),"-Nuova Statua del Combattente: Ollin. Dona ancora più splendore alla tua città!
-Nuovo Mech: Dente Affilato — Croc—denti affilati su zampe, costruito per fare a pezzi le linee di battaglia
-Nuove Reliquie: Arrivano le nuove reliquie rosse con Piloti, Picc"&amp;"hiatori, Cecchini e Infrangimura!
-Classe SVIP Sbloccata: vantaggi maggiori, ricompense più ricche
-Aggiornamento Accesso Taverna: ricompense a tema mech aggiunte
-Elenchi Amici Espansi: invita ancora più alleati
-Spirito Soiree—Eventi in arrivo
-Festival"&amp;" degli Spaventi: Usa i Barattoli di Caramelle per aprire caramelle a sorpresa e vincere grandi premi aspetto festivo e abbondanti ricompense!
-Gioco delle Biglie: estrazione a tempo limitato—ottieni Monete Biglia, scambiale per ricompense top e vinci rare"&amp;" lacche aspetto città festiva.
-Regali Festivi: Accumula ricariche per ricevere regali sontuosi e ottenere lacche Mech!
-Dolcetto o Scherzetto: Raccogli Monete Zucca per ottenere ricompense abbondanti con la possibilità di ricevere un nuovo effetto di mar"&amp;"cia!
-Mina Spettrale: Esplora la speciale miniera Spirito Soiree!
-Zucca Sorpresa: Acquista Pacchetti Zucca per sbloccare una ricchezza di ricompense gratis!
-Ricompense di Ricarica: Effettua una singola ricarica per ricevere ricompense eccezionali!
-Cont"&amp;"rattazione a Mezzanotte: Il pericolo si nasconde dietro ogni angolo—fai offerte con cautela! Una contrattazione riuscita ti permette di acquistare oggetti di valore a prezzi bassi!
-Città Splendente: Il nuovo effetto municipio—Paura di Mezzanotte—sta arri"&amp;"vando. Non perderlo!
-Lacca Fortunata è qui! Sfida la sorte! La Lacca Mech Elefante del 2° Anniversario torna per un periodo limitato
-Avventura Itinerante: Raccogli Dadi Itineranti, spostati sulla mappa e ottieni abbondanti ricompense!
-Esplorazione dei "&amp;"Tesori Rari: Partecipa gratuitamente alla Caccia alla Miniera e porta a casa i premi
-Crono Teletrasporto: Spendi scorte per attivare il Crono Teletrasporto e vinci abbondanti ricompense!
-Cuccagna Fortunata: L’Operatore ritorna—recluta Jim, Clara e Mitch"&amp;"ell
-Aggiornamento Trasportatori: I Trasportatori ora mostrano la Potenza totale consolidata
-Aggiornamento Ricalco Equipaggiamento: i tuoi ultimi attributi bloccati vengono ricordati come predefiniti
-Aggiornamento Riparazione Mech: tocca la bolla Ripara"&amp;" per aprire subito la finestra di riparazione
-Guerre planetarie:
-Delega Aggiornata: Assegna truppe al Leader della Gang e agli Ufficiali della Gang
-Zone Speciali Aggiornate: L’effetto Ferita Grave è disabilitato in queste zone
-Prove di Trincea Aggiorn"&amp;"ate: Catene di missioni e abilità ottimizzate; i giocatori sullo stesso server ora condividono le stesse missioni di prova")</f>
        <v>-Nuova Statua del Combattente: Ollin. Dona ancora più splendore alla tua città!
-Nuovo Mech: Dente Affilato — Croc—denti affilati su zampe, costruito per fare a pezzi le linee di battaglia
-Nuove Reliquie: Arrivano le nuove reliquie rosse con Piloti, Picchiatori, Cecchini e Infrangimura!
-Classe SVIP Sbloccata: vantaggi maggiori, ricompense più ricche
-Aggiornamento Accesso Taverna: ricompense a tema mech aggiunte
-Elenchi Amici Espansi: invita ancora più alleati
-Spirito Soiree—Eventi in arrivo
-Festival degli Spaventi: Usa i Barattoli di Caramelle per aprire caramelle a sorpresa e vincere grandi premi aspetto festivo e abbondanti ricompense!
-Gioco delle Biglie: estrazione a tempo limitato—ottieni Monete Biglia, scambiale per ricompense top e vinci rare lacche aspetto città festiva.
-Regali Festivi: Accumula ricariche per ricevere regali sontuosi e ottenere lacche Mech!
-Dolcetto o Scherzetto: Raccogli Monete Zucca per ottenere ricompense abbondanti con la possibilità di ricevere un nuovo effetto di marcia!
-Mina Spettrale: Esplora la speciale miniera Spirito Soiree!
-Zucca Sorpresa: Acquista Pacchetti Zucca per sbloccare una ricchezza di ricompense gratis!
-Ricompense di Ricarica: Effettua una singola ricarica per ricevere ricompense eccezionali!
-Contrattazione a Mezzanotte: Il pericolo si nasconde dietro ogni angolo—fai offerte con cautela! Una contrattazione riuscita ti permette di acquistare oggetti di valore a prezzi bassi!
-Città Splendente: Il nuovo effetto municipio—Paura di Mezzanotte—sta arrivando. Non perderlo!
-Lacca Fortunata è qui! Sfida la sorte! La Lacca Mech Elefante del 2° Anniversario torna per un periodo limitato
-Avventura Itinerante: Raccogli Dadi Itineranti, spostati sulla mappa e ottieni abbondanti ricompense!
-Esplorazione dei Tesori Rari: Partecipa gratuitamente alla Caccia alla Miniera e porta a casa i premi
-Crono Teletrasporto: Spendi scorte per attivare il Crono Teletrasporto e vinci abbondanti ricompense!
-Cuccagna Fortunata: L’Operatore ritorna—recluta Jim, Clara e Mitchell
-Aggiornamento Trasportatori: I Trasportatori ora mostrano la Potenza totale consolidata
-Aggiornamento Ricalco Equipaggiamento: i tuoi ultimi attributi bloccati vengono ricordati come predefiniti
-Aggiornamento Riparazione Mech: tocca la bolla Ripara per aprire subito la finestra di riparazione
-Guerre planetarie:
-Delega Aggiornata: Assegna truppe al Leader della Gang e agli Ufficiali della Gang
-Zone Speciali Aggiornate: L’effetto Ferita Grave è disabilitato in queste zone
-Prove di Trincea Aggiornate: Catene di missioni e abilità ottimizzate; i giocatori sullo stesso server ora condividono le stesse missioni di prova</v>
      </c>
      <c r="O71" s="168" t="str">
        <f>IFERROR(__xludf.DUMMYFUNCTION("""COMPUTED_VALUE"""),"-Nowy Pomnik Wojownika: Ollin. Dodaj jeszcze więcej blasku swojemu miastu!
-Nowy Mech: Rozszarpiacz — Krokodyl—ostrze zębów na nogach, stworzony do rozszarpywania linii wroga
-Nowe Relikty: Wprowadzenie nowych czerwonych reliktów z Pilotami, Łupaczami, St"&amp;"rzelcami i Burzycielami!
-Odblokowany Poziom SVIP: większe korzyści, bogatsze nagrody
-Ulepszenie logowania w Tawernie: dodano nagrody w stylu mecha
-Rozszerzona Lista Znajomych: zaproś jeszcze więcej sojuszników
-Duchowa Uczta—nadchodzące wydarzenia
-Fes"&amp;"tiwal Strachów: Użyj Słoików z Cukierkami, aby otwierać niespodzianki i wygrać główne nagrody w postaci świątecznych skórek oraz obfite nagrody!
-Gra w Kulki: limitowana losowanka kulkowa—zdobywaj Monety Kul, wymieniaj je na najlepsze nagrody i wygrywaj r"&amp;"zadkie świąteczne lakiery do miasta.
-Świąteczne Prezenty: Gromadź doładowania, aby otrzymać wystawne prezenty i zdobyć lakiery Mecha!
-Cukierek albo Psikus: Zbieraj Monety Dyniowe, aby zdobyć obfite nagrody i szansę na nowy efekt marszu!
-Straszny Szyb: "&amp;"Zbadaj specjalny szyb Duchowej Uczty!
-Niespodzianka Dyniowa: Kup Pakiety Dyniowe, aby odblokować bogactwo darmowych nagród!
-Nagrody za Doładowanie: Wykonaj jedno doładowanie, aby otrzymać wyjątkowe nagrody!
-Targowanie o Północy: Niebezpieczeństwo czai "&amp;"się za każdym rogiem—licytuj ostrożnie! Udane targowanie pozwala kupić cenne przedmioty w niskich cenach!
-Wspaniałe Miasto: Nowy efekt ratusza—Północny Strach—już wkrótce. Nie przegap!
-Szczęśliwy Lakier już jest! Spróbuj szczęścia! Lakier Mecha Słoń z 2"&amp;". rocznicy powraca na ograniczony czas
-Przygoda Wędrowca: Zbieraj Wędrujące Kości, poruszaj się po mapie i zdobywaj obfite nagrody!
-Eksploracja Rzadkich Skarbów: Wskocz do darmowego Polowania na Szyb i zgarnij łupy
-Chrono Teleport: Wydaj zapasy, aby ak"&amp;"tywować Chrono Teleport i wygrać obfite nagrody!
-Szczęśliwa Bonanza: Operator powraca—rekrutuj Jima, Clarę i Mitchella
-Ulepszenie Transportowców: Transportowce pokazują teraz skonsolidowane statystyki Siły
-Ulepszenie Przekuwania Ekwipunku: Twoje ostatn"&amp;"ie zablokowane atrybuty są domyślnie zapamiętywane
-Ulepszenie Naprawy Mecha: dotknij bańki Napraw, aby natychmiast otworzyć okno naprawy
-Wojny planet:
-Ulepszona Delegacja: Przypisz jednostki do Przywódcy Gangu i Oficerów Gangu
-Ulepszone Strefy Specjal"&amp;"ne: Efekt Poważnej Rany jest wyłączony w tych strefach
-Ulepszone Próby w Okopach: Łańcuchy zadań i umiejętności dostrojone; gracze na tym samym serwerze dzielą teraz te same zadania prób")</f>
        <v>-Nowy Pomnik Wojownika: Ollin. Dodaj jeszcze więcej blasku swojemu miastu!
-Nowy Mech: Rozszarpiacz — Krokodyl—ostrze zębów na nogach, stworzony do rozszarpywania linii wroga
-Nowe Relikty: Wprowadzenie nowych czerwonych reliktów z Pilotami, Łupaczami, Strzelcami i Burzycielami!
-Odblokowany Poziom SVIP: większe korzyści, bogatsze nagrody
-Ulepszenie logowania w Tawernie: dodano nagrody w stylu mecha
-Rozszerzona Lista Znajomych: zaproś jeszcze więcej sojuszników
-Duchowa Uczta—nadchodzące wydarzenia
-Festiwal Strachów: Użyj Słoików z Cukierkami, aby otwierać niespodzianki i wygrać główne nagrody w postaci świątecznych skórek oraz obfite nagrody!
-Gra w Kulki: limitowana losowanka kulkowa—zdobywaj Monety Kul, wymieniaj je na najlepsze nagrody i wygrywaj rzadkie świąteczne lakiery do miasta.
-Świąteczne Prezenty: Gromadź doładowania, aby otrzymać wystawne prezenty i zdobyć lakiery Mecha!
-Cukierek albo Psikus: Zbieraj Monety Dyniowe, aby zdobyć obfite nagrody i szansę na nowy efekt marszu!
-Straszny Szyb: Zbadaj specjalny szyb Duchowej Uczty!
-Niespodzianka Dyniowa: Kup Pakiety Dyniowe, aby odblokować bogactwo darmowych nagród!
-Nagrody za Doładowanie: Wykonaj jedno doładowanie, aby otrzymać wyjątkowe nagrody!
-Targowanie o Północy: Niebezpieczeństwo czai się za każdym rogiem—licytuj ostrożnie! Udane targowanie pozwala kupić cenne przedmioty w niskich cenach!
-Wspaniałe Miasto: Nowy efekt ratusza—Północny Strach—już wkrótce. Nie przegap!
-Szczęśliwy Lakier już jest! Spróbuj szczęścia! Lakier Mecha Słoń z 2. rocznicy powraca na ograniczony czas
-Przygoda Wędrowca: Zbieraj Wędrujące Kości, poruszaj się po mapie i zdobywaj obfite nagrody!
-Eksploracja Rzadkich Skarbów: Wskocz do darmowego Polowania na Szyb i zgarnij łupy
-Chrono Teleport: Wydaj zapasy, aby aktywować Chrono Teleport i wygrać obfite nagrody!
-Szczęśliwa Bonanza: Operator powraca—rekrutuj Jima, Clarę i Mitchella
-Ulepszenie Transportowców: Transportowce pokazują teraz skonsolidowane statystyki Siły
-Ulepszenie Przekuwania Ekwipunku: Twoje ostatnie zablokowane atrybuty są domyślnie zapamiętywane
-Ulepszenie Naprawy Mecha: dotknij bańki Napraw, aby natychmiast otworzyć okno naprawy
-Wojny planet:
-Ulepszona Delegacja: Przypisz jednostki do Przywódcy Gangu i Oficerów Gangu
-Ulepszone Strefy Specjalne: Efekt Poważnej Rany jest wyłączony w tych strefach
-Ulepszone Próby w Okopach: Łańcuchy zadań i umiejętności dostrojone; gracze na tym samym serwerze dzielą teraz te same zadania prób</v>
      </c>
      <c r="P71" s="168" t="str">
        <f>IFERROR(__xludf.DUMMYFUNCTION("""COMPUTED_VALUE"""),"- تمثال المقاتل الجديد: أولين. أضف المزيد من التألق إلى مدينتك!
- ميكا جديد: سن الافتراس — كروك—أسنان حادة على أرجل، صُمم لتمزيق خطوط المعركة
- مقتنيات جديدة: نقدم مقتنيات حمراء جديدة تضم الطيارين، الضاربين، الرماة، وكسارات الجدران!
- تم فتح مستوى SVIP: م"&amp;"زايا أكبر، وجوائز أغنى
- ترقية تسجيل الدخول في المقهى: تمت إضافة مكافآت بطابع الميكا
- توسيع قائمة الأصدقاء: ادعُ المزيد من الحلفاء
- حفلة الروح—فعاليات قادمة
- مهرجان الرعب: استخدم أوعية الحلوى لفتح مفاجآت الحلوى واربح جوائز كبرى لزينة المهرجان وجوائز وف"&amp;"يرة!
- لعبة الكرات الرخامية: سحب رخام محدود الوقت—اكسب عملات الرخام، وتاجر بها للحصول على أفضل الجوائز، واربح زينة مدينة نادرة خاصة بالمناسبات.
- هدايا المهرجان: اجمع الشحنات لتلقي هدايا فاخرة واحصل على لاكر الميكا!
- خدعة أم حلوى: اجمع عملات اليقطين لتحص"&amp;"ل على جوائز وفيرة مع فرصة للحصول على تأثير مسيرة جديد كلياً!
- منجم الأشباح: استكشف منجم حفلة الروح الخاص!
- مفاجأة اليقطين: اشترِ باقات اليقطين لفتح ثروة من الجوائز المجانية!
- مكافآت الشحن: قم بشحن واحد فقط لتحصل على مكافآت استثنائية!
- المساومة في منتص"&amp;"ف الليل: الخطر يحيط بكل زاوية—زايد بحذر! المساومة الناجحة تتيح لك شراء عناصر قيمة بأسعار منخفضة!
- مدينة رائعة: تأثير قاعة المدينة الجديد—رعب منتصف الليل—قادم قريباً. لا تفوت الفرصة!
- لاكيه الحظ هنا! جرب حظك! لاكيه ميكا الفيل للذكرى السنوية الثانية يعود "&amp;"لفترة محدودة
- مغامرة التجوال: اجمع نرد التجوال، وتحرك عبر الخريطة، واربح جوائز وفيرة!
- استكشاف الكنوز النادرة: انطلق في بحث مجاني عن المناجم واحصل على الغنائم
- التنقل الزمني: أنفق الإمدادات لتفعيل التنقل الزمني واربح جوائز وفيرة!
- كرنفال الحظ: المشغل "&amp;"يعود—جند جيم، كلارا، وميتشل
- ترقية الناقلات: الناقلات تعرض الآن إحصائيات القوة المجمعة
- ترقية إعادة صهر المعدات: يتم تذكر آخر سمات مقفلة افتراضياً
- ترقية إصلاح الميكا: اضغط على فقاعة الإصلاح لفتح نافذة الإصلاح فوراً
- حروب الكوكب:
- ترقية الاستضافة: عي"&amp;"ّن الوحدات لقائد العصابة ومسؤولي العصابة
- ترقية المناطق الخاصة: تم تعطيل تأثير الجرح الشديد داخل هذه المناطق
- ترقية تجارب الخنادق: تم ضبط سلاسل المهام والمهارات؛ اللاعبون على نفس السيرفر يشاركون الآن نفس مهام التجربة")</f>
        <v>- تمثال المقاتل الجديد: أولين. أضف المزيد من التألق إلى مدينتك!
- ميكا جديد: سن الافتراس — كروك—أسنان حادة على أرجل، صُمم لتمزيق خطوط المعركة
- مقتنيات جديدة: نقدم مقتنيات حمراء جديدة تضم الطيارين، الضاربين، الرماة، وكسارات الجدران!
- تم فتح مستوى SVIP: مزايا أكبر، وجوائز أغنى
- ترقية تسجيل الدخول في المقهى: تمت إضافة مكافآت بطابع الميكا
- توسيع قائمة الأصدقاء: ادعُ المزيد من الحلفاء
- حفلة الروح—فعاليات قادمة
- مهرجان الرعب: استخدم أوعية الحلوى لفتح مفاجآت الحلوى واربح جوائز كبرى لزينة المهرجان وجوائز وفيرة!
- لعبة الكرات الرخامية: سحب رخام محدود الوقت—اكسب عملات الرخام، وتاجر بها للحصول على أفضل الجوائز، واربح زينة مدينة نادرة خاصة بالمناسبات.
- هدايا المهرجان: اجمع الشحنات لتلقي هدايا فاخرة واحصل على لاكر الميكا!
- خدعة أم حلوى: اجمع عملات اليقطين لتحصل على جوائز وفيرة مع فرصة للحصول على تأثير مسيرة جديد كلياً!
- منجم الأشباح: استكشف منجم حفلة الروح الخاص!
- مفاجأة اليقطين: اشترِ باقات اليقطين لفتح ثروة من الجوائز المجانية!
- مكافآت الشحن: قم بشحن واحد فقط لتحصل على مكافآت استثنائية!
- المساومة في منتصف الليل: الخطر يحيط بكل زاوية—زايد بحذر! المساومة الناجحة تتيح لك شراء عناصر قيمة بأسعار منخفضة!
- مدينة رائعة: تأثير قاعة المدينة الجديد—رعب منتصف الليل—قادم قريباً. لا تفوت الفرصة!
- لاكيه الحظ هنا! جرب حظك! لاكيه ميكا الفيل للذكرى السنوية الثانية يعود لفترة محدودة
- مغامرة التجوال: اجمع نرد التجوال، وتحرك عبر الخريطة، واربح جوائز وفيرة!
- استكشاف الكنوز النادرة: انطلق في بحث مجاني عن المناجم واحصل على الغنائم
- التنقل الزمني: أنفق الإمدادات لتفعيل التنقل الزمني واربح جوائز وفيرة!
- كرنفال الحظ: المشغل يعود—جند جيم، كلارا، وميتشل
- ترقية الناقلات: الناقلات تعرض الآن إحصائيات القوة المجمعة
- ترقية إعادة صهر المعدات: يتم تذكر آخر سمات مقفلة افتراضياً
- ترقية إصلاح الميكا: اضغط على فقاعة الإصلاح لفتح نافذة الإصلاح فوراً
- حروب الكوكب:
- ترقية الاستضافة: عيّن الوحدات لقائد العصابة ومسؤولي العصابة
- ترقية المناطق الخاصة: تم تعطيل تأثير الجرح الشديد داخل هذه المناطق
- ترقية تجارب الخنادق: تم ضبط سلاسل المهام والمهارات؛ اللاعبون على نفس السيرفر يشاركون الآن نفس مهام التجربة</v>
      </c>
      <c r="Q71" s="168" t="str">
        <f>IFERROR(__xludf.DUMMYFUNCTION("""COMPUTED_VALUE"""),"-新しいファイターの像：オーリン。あなたの都市にさらなる輝きを！
-新しいメック：レンドトゥース — クロック—脚にカミソリの歯を持ち、戦線を切り裂くために作られた
-新たなレリック：パイロット、アタッカー、シューター、テクニカルをフィーチャーした新しい赤の遺物が登場！
-SVIPティア解除：より大きな特典、より豪華な報酬
-マシラ酒場サインインアップグレード：メックテーマの報酬を追加
-フレンドリスト拡張：さらに多くの仲間を招待可能に
-スピリットソワレ—イベント間もなく開催
-フェスティバル・オブ・フ"&amp;"ライツ：キャンディジャーを使ってサプライズキャンディを開け、フェスティブスキン大賞や豊富な報酬を獲得しよう！
-マーブルゲーム：期間限定のマーブル抽選—マーブルコインを獲得し、トップ報酬と交換、レアなホリデー都市スキン漆製品を手に入れよう。
-フェスティブギフト：リチャージを重ねて豪華なギフトを受け取り、メック漆製品をゲット！
-トリック・オア・トリート：パンプキンコインを集めて豊富な報酬を獲得、新しい行軍エフェクトを手に入れるチャンスも！
-スプーク鉱山：特殊スピリットソワレ鉱山を探索しよう！
-サプラ"&amp;"イズパンプキン：パンプキンパックを購入して、無料報酬の富をアンロック！
-リチャージ報酬：1回のリチャージで特別な報酬を受け取ろう！
-真夜中の交渉：危険がそこかしこに潜む—慎重に入札を！交渉成功で貴重なアイテムを低価格で購入可能！
-華麗な都市：新しい基地エフェクト—ミッドナイトフライト—近日公開。お見逃しなく！
-ラッキー漆製品登場！あなたの運を試してみてください！2周年記念ぞうメック漆製品が期間限定で復刻
-ローミングアドベンチャー：ローミングダイスを集めてマップを移動し、豊富な報酬を獲得！
-レア"&amp;"宝物の探索：無料のオイル井ハントに飛び込んで宝物をゲット
-クロノ転送：物資を使ってクロノ転送をアクティベートし、豊富な報酬を獲得！
-ラッキーボナンザ：オペレーターが帰還—ジム、クララ、ミッチェルを新兵
-キャリアアップグレード：キャリアの戦力が統合表示されるように
-装備リキャストアップグレード：最後にロックした属性がデフォルトで記憶される
-メック修理アップグレード：修理バブルをタップして即座に修理ウィンドウを開く
-プラネットウォーズ：
-委任アップグレード：ユニットをギルドリーダーやギルド役員に"&amp;"割り当て可能に
-特殊交戦エリアアップグレード：このエリア内では重傷効果が無効化
-深海の試練アップグレード：クエストチェーンとスキルを調整、同じサーバーのプレイヤーは同じ試練クエストを共有")</f>
        <v>-新しいファイターの像：オーリン。あなたの都市にさらなる輝きを！
-新しいメック：レンドトゥース — クロック—脚にカミソリの歯を持ち、戦線を切り裂くために作られた
-新たなレリック：パイロット、アタッカー、シューター、テクニカルをフィーチャーした新しい赤の遺物が登場！
-SVIPティア解除：より大きな特典、より豪華な報酬
-マシラ酒場サインインアップグレード：メックテーマの報酬を追加
-フレンドリスト拡張：さらに多くの仲間を招待可能に
-スピリットソワレ—イベント間もなく開催
-フェスティバル・オブ・フライツ：キャンディジャーを使ってサプライズキャンディを開け、フェスティブスキン大賞や豊富な報酬を獲得しよう！
-マーブルゲーム：期間限定のマーブル抽選—マーブルコインを獲得し、トップ報酬と交換、レアなホリデー都市スキン漆製品を手に入れよう。
-フェスティブギフト：リチャージを重ねて豪華なギフトを受け取り、メック漆製品をゲット！
-トリック・オア・トリート：パンプキンコインを集めて豊富な報酬を獲得、新しい行軍エフェクトを手に入れるチャンスも！
-スプーク鉱山：特殊スピリットソワレ鉱山を探索しよう！
-サプライズパンプキン：パンプキンパックを購入して、無料報酬の富をアンロック！
-リチャージ報酬：1回のリチャージで特別な報酬を受け取ろう！
-真夜中の交渉：危険がそこかしこに潜む—慎重に入札を！交渉成功で貴重なアイテムを低価格で購入可能！
-華麗な都市：新しい基地エフェクト—ミッドナイトフライト—近日公開。お見逃しなく！
-ラッキー漆製品登場！あなたの運を試してみてください！2周年記念ぞうメック漆製品が期間限定で復刻
-ローミングアドベンチャー：ローミングダイスを集めてマップを移動し、豊富な報酬を獲得！
-レア宝物の探索：無料のオイル井ハントに飛び込んで宝物をゲット
-クロノ転送：物資を使ってクロノ転送をアクティベートし、豊富な報酬を獲得！
-ラッキーボナンザ：オペレーターが帰還—ジム、クララ、ミッチェルを新兵
-キャリアアップグレード：キャリアの戦力が統合表示されるように
-装備リキャストアップグレード：最後にロックした属性がデフォルトで記憶される
-メック修理アップグレード：修理バブルをタップして即座に修理ウィンドウを開く
-プラネットウォーズ：
-委任アップグレード：ユニットをギルドリーダーやギルド役員に割り当て可能に
-特殊交戦エリアアップグレード：このエリア内では重傷効果が無効化
-深海の試練アップグレード：クエストチェーンとスキルを調整、同じサーバーのプレイヤーは同じ試練クエストを共有</v>
      </c>
      <c r="R71" s="168" t="str">
        <f>IFERROR(__xludf.DUMMYFUNCTION("""COMPUTED_VALUE"""),"-새로운 전사 석상: 올린. 당신의 도시에 더 많은 화려함을 더하세요!
-새로운 메카: 렌드투스 — 크로크—다리 달린 면도날 이빨, 전선을 갈기갈기 찢기 위해 만들어졌습니다
-새로운 유물들: 폭주족, 방망이꾼, 사수, 공성차가 포함된 새로운 레드 유물 등장!
-SVIP 티어 잠금 해제됨: 더 큰 특전, 더 풍성한 보상
-선술집 출석 업그레이드: 메카 테마 보상 추가
-친구 목록 확장: 더 많은 동료를 초대하세요
-정신 파티—이벤트 곧 시작
-공포의 축제"&amp;": 사탕 단지를 사용해 서프라이즈 사탕을 열고 축제 스킨 대상과 풍성한 보상을 획득하세요!
-구슬 게임: 한정 기간 구슬 뽑기—구슬 코인을 얻고, 최고 보상과 희귀한 홀리데이 도시 스킨 래커로 교환하세요.
-축제 선물: 충전을 누적해 푸짐한 선물을 받고 메카 래커를 획득하세요!
-트릭 오어 트릿: 호박 코인을 모아 풍성한 보상을 얻고, 새로운 행군 이펙트를 획득할 기회를 잡으세요!
-유령 광산: 특수 정신 파티 오일 탐사굴을 탐험하세요!
-서프라이즈 호"&amp;"박: 호박 패키지를 구매해 무료 보상을 대량으로 잠금 해제하세요!
-충전 보상: 단 한 번의 충전으로도 특별한 보상을 받으세요!
-자정의 흥정: 위험이 도사리는 곳—신중하게 입찰하세요! 흥정에 성공하면 귀중한 아이템을 낮은 가격에 구매할 수 있습니다!
-화려한 도시: 새로운 기지 이펙트—자정의 공포—곧 출시됩니다. 놓치지 마세요!
-행운의 래커 등장! 운을 시험해보세요! 2주년 기념 코끼리 메카 래커가 한정 기간 동안 돌아옵니다
-방랑 모험: 방랑 주사"&amp;"위를 모아 지도를 이동하고 풍성한 보상을 획득하세요!
-희귀 보물 탐사: 무료 오일 탐사굴 사냥에 참여해 보물을 챙기세요
-크로노 텔레포트: 보급품을 사용해 크로노 텔레포트를 활성화하고 풍성한 보상을 획득하세요!
-행운의 페스티벌: 오퍼레이터가 돌아왔습니다—짐, 클라라, 미첼을 모집하세요
-운반선 업그레이드: 운반선이 통합 전투력 수치를 표시합니다
-장비 재주조 업그레이드: 마지막으로 잠금한 속성이 기본값으로 기억됩니다
-메카 수리 업그레이드: 수리 말"&amp;"풍선을 탭하면 즉시 수리 창이 열립니다
-은하 전쟁:
-위탁 업그레이드: 부대를 무리 리더와 무리 임원에게 배정하세요
-특수 교전 구역 업그레이드: 해당 구역 내에서 중상 효과가 비활성화됩니다
-심해의 시련 업그레이드: 임무 체인과 스킬이 조정되었으며, 같은 서버의 플레이어들은 이제 동일한 시련 임무를 공유합니다")</f>
        <v>-새로운 전사 석상: 올린. 당신의 도시에 더 많은 화려함을 더하세요!
-새로운 메카: 렌드투스 — 크로크—다리 달린 면도날 이빨, 전선을 갈기갈기 찢기 위해 만들어졌습니다
-새로운 유물들: 폭주족, 방망이꾼, 사수, 공성차가 포함된 새로운 레드 유물 등장!
-SVIP 티어 잠금 해제됨: 더 큰 특전, 더 풍성한 보상
-선술집 출석 업그레이드: 메카 테마 보상 추가
-친구 목록 확장: 더 많은 동료를 초대하세요
-정신 파티—이벤트 곧 시작
-공포의 축제: 사탕 단지를 사용해 서프라이즈 사탕을 열고 축제 스킨 대상과 풍성한 보상을 획득하세요!
-구슬 게임: 한정 기간 구슬 뽑기—구슬 코인을 얻고, 최고 보상과 희귀한 홀리데이 도시 스킨 래커로 교환하세요.
-축제 선물: 충전을 누적해 푸짐한 선물을 받고 메카 래커를 획득하세요!
-트릭 오어 트릿: 호박 코인을 모아 풍성한 보상을 얻고, 새로운 행군 이펙트를 획득할 기회를 잡으세요!
-유령 광산: 특수 정신 파티 오일 탐사굴을 탐험하세요!
-서프라이즈 호박: 호박 패키지를 구매해 무료 보상을 대량으로 잠금 해제하세요!
-충전 보상: 단 한 번의 충전으로도 특별한 보상을 받으세요!
-자정의 흥정: 위험이 도사리는 곳—신중하게 입찰하세요! 흥정에 성공하면 귀중한 아이템을 낮은 가격에 구매할 수 있습니다!
-화려한 도시: 새로운 기지 이펙트—자정의 공포—곧 출시됩니다. 놓치지 마세요!
-행운의 래커 등장! 운을 시험해보세요! 2주년 기념 코끼리 메카 래커가 한정 기간 동안 돌아옵니다
-방랑 모험: 방랑 주사위를 모아 지도를 이동하고 풍성한 보상을 획득하세요!
-희귀 보물 탐사: 무료 오일 탐사굴 사냥에 참여해 보물을 챙기세요
-크로노 텔레포트: 보급품을 사용해 크로노 텔레포트를 활성화하고 풍성한 보상을 획득하세요!
-행운의 페스티벌: 오퍼레이터가 돌아왔습니다—짐, 클라라, 미첼을 모집하세요
-운반선 업그레이드: 운반선이 통합 전투력 수치를 표시합니다
-장비 재주조 업그레이드: 마지막으로 잠금한 속성이 기본값으로 기억됩니다
-메카 수리 업그레이드: 수리 말풍선을 탭하면 즉시 수리 창이 열립니다
-은하 전쟁:
-위탁 업그레이드: 부대를 무리 리더와 무리 임원에게 배정하세요
-특수 교전 구역 업그레이드: 해당 구역 내에서 중상 효과가 비활성화됩니다
-심해의 시련 업그레이드: 임무 체인과 스킬이 조정되었으며, 같은 서버의 플레이어들은 이제 동일한 시련 임무를 공유합니다</v>
      </c>
      <c r="S71" s="168" t="str">
        <f>IFERROR(__xludf.DUMMYFUNCTION("""COMPUTED_VALUE"""),"-新增斗士雕像：奥林，来为你的城市增添更多光彩吧！
-新增机甲：撕裂之牙-鳄鱼，撕裂一切的利齿，掀起战场上的血雨腥风！
-新增收藏品：新增突击手、打击手、射击手、攻城车属性相关红色收藏品。
-新增特权等级：开放S特权等级，更好的权益，更多的奖励！
-新增酒馆签到奖励：酒馆签到增加机甲相关奖励！
-好友列表扩充：可以添加更多好友了！
-新增祖灵节活动：
-惊奇派对：使用糖果罐，开启惊喜糖果，赢取节日城市外观大奖及丰厚奖励！
-弹珠游戏：祖灵节限定弹珠抽奖活动开启，参与活动获取弹珠币，即可兑换丰厚奖励！赢取稀"&amp;"有染色城市外观大奖！
-节日豪礼：累计储值豪礼相送，获取机甲染色涂装！
-不给糖就捣蛋：收集南瓜币，获得丰厚奖励，赢取全新行军特效！
-暗夜矿场：祖灵节特别纪念矿场等你来挖！
-惊奇南瓜：购买南瓜礼包，即可解锁丰厚奖励！
-充值豪礼：单次充值即可获取超值奖励！
-午夜讨价还价：危机四伏，谨慎出价！还价成功可低价购买超值道具！
-璀璨之都：全新主城特效-午夜惊魂即将登场，等你来拿！
-惊喜涂装：惊喜涂装登场！试试手气，二周年庆典机甲巨象涂装限时返场！
-漫游奇遇：参与活动收集漫游骰子，在地图中前进，获取丰厚"&amp;"奖励！
-奇珍勘探：参与免费挖宝活动，获得丰厚奖励！
-超时空传送：消耗猩球物资，启动超时空传送，获得丰厚奖励！
-幸运多重礼：机师限时返场，参与活动，将吉姆、克拉拉、米歇尔招入麾下！
-战车优化：新增战车的战力统计功能。
-战装重铸优化：战装重铸时将默认勾选上一次锁定的属性选项。
-机甲修理优化：点击机甲修理气泡，可直接打开机甲修理弹窗。
-银河战争：
-托管系统优化：在银河战争玩法中，可以将部队托管给帮派的魁首与官员。
-特殊交战区优化：在银河战争玩法中的特殊交战区内，重伤效果将不再生效。
-深海试炼"&amp;"优化：深海试炼任务链和技能调整，同服务器玩家将拥有相同试炼任务。")</f>
        <v>-新增斗士雕像：奥林，来为你的城市增添更多光彩吧！
-新增机甲：撕裂之牙-鳄鱼，撕裂一切的利齿，掀起战场上的血雨腥风！
-新增收藏品：新增突击手、打击手、射击手、攻城车属性相关红色收藏品。
-新增特权等级：开放S特权等级，更好的权益，更多的奖励！
-新增酒馆签到奖励：酒馆签到增加机甲相关奖励！
-好友列表扩充：可以添加更多好友了！
-新增祖灵节活动：
-惊奇派对：使用糖果罐，开启惊喜糖果，赢取节日城市外观大奖及丰厚奖励！
-弹珠游戏：祖灵节限定弹珠抽奖活动开启，参与活动获取弹珠币，即可兑换丰厚奖励！赢取稀有染色城市外观大奖！
-节日豪礼：累计储值豪礼相送，获取机甲染色涂装！
-不给糖就捣蛋：收集南瓜币，获得丰厚奖励，赢取全新行军特效！
-暗夜矿场：祖灵节特别纪念矿场等你来挖！
-惊奇南瓜：购买南瓜礼包，即可解锁丰厚奖励！
-充值豪礼：单次充值即可获取超值奖励！
-午夜讨价还价：危机四伏，谨慎出价！还价成功可低价购买超值道具！
-璀璨之都：全新主城特效-午夜惊魂即将登场，等你来拿！
-惊喜涂装：惊喜涂装登场！试试手气，二周年庆典机甲巨象涂装限时返场！
-漫游奇遇：参与活动收集漫游骰子，在地图中前进，获取丰厚奖励！
-奇珍勘探：参与免费挖宝活动，获得丰厚奖励！
-超时空传送：消耗猩球物资，启动超时空传送，获得丰厚奖励！
-幸运多重礼：机师限时返场，参与活动，将吉姆、克拉拉、米歇尔招入麾下！
-战车优化：新增战车的战力统计功能。
-战装重铸优化：战装重铸时将默认勾选上一次锁定的属性选项。
-机甲修理优化：点击机甲修理气泡，可直接打开机甲修理弹窗。
-银河战争：
-托管系统优化：在银河战争玩法中，可以将部队托管给帮派的魁首与官员。
-特殊交战区优化：在银河战争玩法中的特殊交战区内，重伤效果将不再生效。
-深海试炼优化：深海试炼任务链和技能调整，同服务器玩家将拥有相同试炼任务。</v>
      </c>
      <c r="T71" s="148"/>
      <c r="U71" s="148"/>
      <c r="V71" s="148"/>
      <c r="W71" s="148"/>
      <c r="X71" s="148"/>
      <c r="Y71" s="148"/>
      <c r="Z71" s="148"/>
    </row>
    <row r="72">
      <c r="A72" s="167" t="str">
        <f>IFERROR(__xludf.DUMMYFUNCTION("""COMPUTED_VALUE"""),"0.81.0")</f>
        <v>0.81.0</v>
      </c>
      <c r="B72" s="148" t="str">
        <f>IFERROR(__xludf.DUMMYFUNCTION("""COMPUTED_VALUE"""),"-新增斗士：致命化学家-西奥多，与蜘蛛机甲协同作战，剧毒的掌控者，为正义而战的化学家！可通过“最强猴子”活动获取。
-新增魁首召集功能：在帮派管理中，魁首可标注帮派聚集点，方便帮派成员汇合。
-银河战争：新增基因存储仓：在银河战争玩法中，把基因放入存储仓，可获得多倍收益！
新增荣誉殿堂：在银河战争玩法中，贡献突出的玩家将有机会入驻殿堂，享誉四方！
-基因拉力赛优化：新增辉煌光环道具，使用后光环范围内所有玩家均可享受增益。
-围剿变异猴优化：机甲显示优化。
-机甲预览优化：优化未解锁机甲预览，可显示更多机甲"&amp;"信息。
-兵种训练优化：在兵营训练部队时，可快速切换页签，更方便快捷地进行其余兵种训练。
-地下世界显示优化：优化地下世界层级内容，信息显示更清晰。")</f>
        <v>-新增斗士：致命化学家-西奥多，与蜘蛛机甲协同作战，剧毒的掌控者，为正义而战的化学家！可通过“最强猴子”活动获取。
-新增魁首召集功能：在帮派管理中，魁首可标注帮派聚集点，方便帮派成员汇合。
-银河战争：新增基因存储仓：在银河战争玩法中，把基因放入存储仓，可获得多倍收益！
新增荣誉殿堂：在银河战争玩法中，贡献突出的玩家将有机会入驻殿堂，享誉四方！
-基因拉力赛优化：新增辉煌光环道具，使用后光环范围内所有玩家均可享受增益。
-围剿变异猴优化：机甲显示优化。
-机甲预览优化：优化未解锁机甲预览，可显示更多机甲信息。
-兵种训练优化：在兵营训练部队时，可快速切换页签，更方便快捷地进行其余兵种训练。
-地下世界显示优化：优化地下世界层级内容，信息显示更清晰。</v>
      </c>
      <c r="C72" s="148" t="str">
        <f>IFERROR(__xludf.DUMMYFUNCTION("""COMPUTED_VALUE"""),"- New Fighter: Theodore, the Lethal Chemist—teams up with the Spider Mech; a master of toxins who fights for justice! Obtainable via the “Ultimate Monkey” event.
- New Gang Summon: In Gang Management, the leader can pin a Gang Summon Point so members regr"&amp;"oup fast.
- Planet Wars:
New Gene Vault: Store genes to multiply your returns in Planet Wars.
New Hall of Honor: Top contributors can enter the Hall and earn server-wide renown.
- Gene Rally optimization: Added Radiant Aura item—everyone within its radius"&amp;" enjoys the buff.
- Operation Mutants optimization: Mech visuals polished.
- Mech Preview optimization: Locked Mech previews now display much more info.
- Unit Training optimization: While training in the Camps, quick-switch tabs to queue other unit types"&amp;" faster.
- Subterra display optimization: Floor information reorganized for greater clarity.
")</f>
        <v>- New Fighter: Theodore, the Lethal Chemist—teams up with the Spider Mech; a master of toxins who fights for justice! Obtainable via the “Ultimate Monkey” event.
- New Gang Summon: In Gang Management, the leader can pin a Gang Summon Point so members regroup fast.
- Planet Wars:
New Gene Vault: Store genes to multiply your returns in Planet Wars.
New Hall of Honor: Top contributors can enter the Hall and earn server-wide renown.
- Gene Rally optimization: Added Radiant Aura item—everyone within its radius enjoys the buff.
- Operation Mutants optimization: Mech visuals polished.
- Mech Preview optimization: Locked Mech previews now display much more info.
- Unit Training optimization: While training in the Camps, quick-switch tabs to queue other unit types faster.
- Subterra display optimization: Floor information reorganized for greater clarity.
</v>
      </c>
      <c r="D72" s="168" t="str">
        <f>IFERROR(__xludf.DUMMYFUNCTION("""COMPUTED_VALUE"""),"- Nouveau combattant : Theodore, le Chimiste Mortel—fait équipe avec le Mécha Araignée ; un maître des toxines qui combat pour la justice ! Obtenable via l’évènement « LE SINGE ULTIME ».
- Nouvelle Invocation de gang : Dans la Gestion de gang, le chef peu"&amp;"t épingler un Point d’invocation de gang pour que les membres se regroupent rapidement.
- Guerre planétaire :
Nouveau Coffre génétique : Stockez des gènes pour multiplier vos gains dans la Guerre planétaire.
Nouveau Temple de l’Honneur : Les meilleurs con"&amp;"tributeurs peuvent entrer dans le Temple et gagner une renommée sur tout le serveur.
- Optimisation du Rassembl. de gènes : Ajout de l’objet Aura Rayonnante—tous ceux dans son rayon bénéficient du boost.
- Optimisation de l’Opération mutants : Visuels du "&amp;"Mécha améliorés.
- Optimisation de l’Aperçu du Mécha : Les aperçus de Mécha verrouillés affichent désormais beaucoup plus d’infos.
- Optimisation de l’Entraînement d’unité : Pendant l’entraînement dans les Camps, changez d’onglet rapidement pour mettre en"&amp;" file d’attente d’autres types d’unités plus vite.
- Optimisation de l’affichage Subterra : Les informations d’étage ont été réorganisées pour plus de clarté.")</f>
        <v>- Nouveau combattant : Theodore, le Chimiste Mortel—fait équipe avec le Mécha Araignée ; un maître des toxines qui combat pour la justice ! Obtenable via l’évènement « LE SINGE ULTIME ».
- Nouvelle Invocation de gang : Dans la Gestion de gang, le chef peut épingler un Point d’invocation de gang pour que les membres se regroupent rapidement.
- Guerre planétaire :
Nouveau Coffre génétique : Stockez des gènes pour multiplier vos gains dans la Guerre planétaire.
Nouveau Temple de l’Honneur : Les meilleurs contributeurs peuvent entrer dans le Temple et gagner une renommée sur tout le serveur.
- Optimisation du Rassembl. de gènes : Ajout de l’objet Aura Rayonnante—tous ceux dans son rayon bénéficient du boost.
- Optimisation de l’Opération mutants : Visuels du Mécha améliorés.
- Optimisation de l’Aperçu du Mécha : Les aperçus de Mécha verrouillés affichent désormais beaucoup plus d’infos.
- Optimisation de l’Entraînement d’unité : Pendant l’entraînement dans les Camps, changez d’onglet rapidement pour mettre en file d’attente d’autres types d’unités plus vite.
- Optimisation de l’affichage Subterra : Les informations d’étage ont été réorganisées pour plus de clarté.</v>
      </c>
      <c r="E72" s="168" t="str">
        <f>IFERROR(__xludf.DUMMYFUNCTION("""COMPUTED_VALUE"""),"- Neuer Kämpfer: Theodore, der Tödliche Chemiker—schließt sich mit dem Spider-MECH zusammen; ein Meister der Gifte, der für Gerechtigkeit kämpft! Erhältlich über das „ULTIMATIVER AFFE“-Event.
- Neuer Clan-RUFEN!: In der Clanverwaltung kann der Anführer ei"&amp;"nen Clan-RUFEN!-Punkt anheften, damit sich Mitglieder schnell wieder versammeln.
- Planetenkriege:
Neuer GEN-TRESOR: Lagere Gene, um deine Erträge in den Planetenkriegen zu vervielfachen.
Neue EHRENHALLE: Top-Beitragende können die Halle betreten und serv"&amp;"erweite Anerkennung verdienen.
- Aufwerten für mehr Belohnungen!-Optimierung: Strahlende Aura-Item hinzugefügt—jeder im Radius genießt den Buff.
- Operation Mutanten-Optimierung: MECH-Visuals überarbeitet.
- MECH-Vorschau-Optimierung: Gesperrte MECH-Vorsc"&amp;"hauen zeigen jetzt deutlich mehr Info an.
- Einheitentraining-Optimierung: Während des Trainings im Lager kannst du per Schnellwechsel-Tab andere Einheitentypen schneller in die Warteschlange setzen.
- Subterra-Anzeige-Optimierung: Ebeneninformationen wur"&amp;"den für mehr Übersichtlichkeit neu angeordnet.")</f>
        <v>- Neuer Kämpfer: Theodore, der Tödliche Chemiker—schließt sich mit dem Spider-MECH zusammen; ein Meister der Gifte, der für Gerechtigkeit kämpft! Erhältlich über das „ULTIMATIVER AFFE“-Event.
- Neuer Clan-RUFEN!: In der Clanverwaltung kann der Anführer einen Clan-RUFEN!-Punkt anheften, damit sich Mitglieder schnell wieder versammeln.
- Planetenkriege:
Neuer GEN-TRESOR: Lagere Gene, um deine Erträge in den Planetenkriegen zu vervielfachen.
Neue EHRENHALLE: Top-Beitragende können die Halle betreten und serverweite Anerkennung verdienen.
- Aufwerten für mehr Belohnungen!-Optimierung: Strahlende Aura-Item hinzugefügt—jeder im Radius genießt den Buff.
- Operation Mutanten-Optimierung: MECH-Visuals überarbeitet.
- MECH-Vorschau-Optimierung: Gesperrte MECH-Vorschauen zeigen jetzt deutlich mehr Info an.
- Einheitentraining-Optimierung: Während des Trainings im Lager kannst du per Schnellwechsel-Tab andere Einheitentypen schneller in die Warteschlange setzen.
- Subterra-Anzeige-Optimierung: Ebeneninformationen wurden für mehr Übersichtlichkeit neu angeordnet.</v>
      </c>
      <c r="F72" s="168" t="str">
        <f>IFERROR(__xludf.DUMMYFUNCTION("""COMPUTED_VALUE"""),"- Novo combatente: Theodore, o Químico Letal—se une ao Mech Aranha; um mestre das toxinas que luta por justiça! Obtível através do evento “MACACO SUPREMO”.
- Nova Invocação da gangue: Em Gerenciamento da Gangue, o líder pode fixar um Ponto de Invocação da"&amp;" Gangue para que os membros se reagrupem rapidamente.
- Guerra Interplanetária:
Novo Cofre Genético: Armazene genes para multiplicar seus retornos na Guerra Interplanetária.
Novo Salão da Honra: Os principais contribuintes podem entrar no Salão e ganhar r"&amp;"enome em todo o servidor.
- Otimização da Incursão de Genes: Adicionado o item Aura Radiante—todos dentro do seu raio recebem o auxílio.
- Otimização da Operação Mutantes: Visuais do Mech aprimorados.
- Otimização da Pré-visualização do Mech: Pré-visualiz"&amp;"ações de Mechs bloqueados agora exibem muito mais informação.
- Otimização do Treinamento de Unidades: Enquanto treina nos Acampamentos, alterne rapidamente entre abas para enfileirar outros tipos de unidade mais rápido.
- Otimização da exibição de Subter"&amp;"ra: Informações do piso reorganizadas para maior clareza.")</f>
        <v>- Novo combatente: Theodore, o Químico Letal—se une ao Mech Aranha; um mestre das toxinas que luta por justiça! Obtível através do evento “MACACO SUPREMO”.
- Nova Invocação da gangue: Em Gerenciamento da Gangue, o líder pode fixar um Ponto de Invocação da Gangue para que os membros se reagrupem rapidamente.
- Guerra Interplanetária:
Novo Cofre Genético: Armazene genes para multiplicar seus retornos na Guerra Interplanetária.
Novo Salão da Honra: Os principais contribuintes podem entrar no Salão e ganhar renome em todo o servidor.
- Otimização da Incursão de Genes: Adicionado o item Aura Radiante—todos dentro do seu raio recebem o auxílio.
- Otimização da Operação Mutantes: Visuais do Mech aprimorados.
- Otimização da Pré-visualização do Mech: Pré-visualizações de Mechs bloqueados agora exibem muito mais informação.
- Otimização do Treinamento de Unidades: Enquanto treina nos Acampamentos, alterne rapidamente entre abas para enfileirar outros tipos de unidade mais rápido.
- Otimização da exibição de Subterra: Informações do piso reorganizadas para maior clareza.</v>
      </c>
      <c r="G72" s="168" t="str">
        <f>IFERROR(__xludf.DUMMYFUNCTION("""COMPUTED_VALUE"""),"-新增鬥士：致命化學家-西奧多，與蜘蛛機甲協同作戰，劇毒的掌控者，為正義而戰的化學家！可通過「最強猴子」活動獲取。
-新增首領召集功能：在管理中，首領可標註幫派聚集點，方便成員匯合。
-銀河戰爭：
新增基因存儲倉：在銀河戰爭玩法中，把基因放置於存儲倉，可獲取多倍收益！
新增榮譽殿堂：在銀河戰爭玩法中，貢獻突出的玩家將有機會入駐殿堂，享譽四方！
-基因拉力賽優化：新增輝煌光環道具，使用後光環範圍內所有玩家均可享受增益。
-圍剿變異猴優化：機甲顯示優化。
-機甲預覽優化：優化未解鎖機甲預覽，可顯示更多機甲資訊"&amp;"。
-兵種訓練優化：在兵營訓練部隊時，可快速切換頁籤，更方便快捷地進行其餘兵種訓練。
-地下世界顯示優化：優化地下世界層級內容，資訊顯示更清晰。")</f>
        <v>-新增鬥士：致命化學家-西奧多，與蜘蛛機甲協同作戰，劇毒的掌控者，為正義而戰的化學家！可通過「最強猴子」活動獲取。
-新增首領召集功能：在管理中，首領可標註幫派聚集點，方便成員匯合。
-銀河戰爭：
新增基因存儲倉：在銀河戰爭玩法中，把基因放置於存儲倉，可獲取多倍收益！
新增榮譽殿堂：在銀河戰爭玩法中，貢獻突出的玩家將有機會入駐殿堂，享譽四方！
-基因拉力賽優化：新增輝煌光環道具，使用後光環範圍內所有玩家均可享受增益。
-圍剿變異猴優化：機甲顯示優化。
-機甲預覽優化：優化未解鎖機甲預覽，可顯示更多機甲資訊。
-兵種訓練優化：在兵營訓練部隊時，可快速切換頁籤，更方便快捷地進行其餘兵種訓練。
-地下世界顯示優化：優化地下世界層級內容，資訊顯示更清晰。</v>
      </c>
      <c r="H72" s="168" t="str">
        <f>IFERROR(__xludf.DUMMYFUNCTION("""COMPUTED_VALUE"""),"- Pejuang Baru: Theodore, Ahli Kimia Mematikan—berkolaborasi dengan Mekanik Laba-laba; seorang ahli racun yang berjuang demi keadilan! Dapat diperoleh melalui event “KERA YANG TANGGUH”.
- Panggil Geng Baru: Dalam Kelola Geng, kapten dapat menyematkan Titi"&amp;"k Panggil Geng agar anggota dapat berkumpul kembali dengan cepat.
- Perang Planet:
Brankas Gen Baru: Simpan gen untuk melipatgandakan hasil di Perang Planet.
Aula Kehormatan Baru: Kontributor teratas dapat masuk ke Aula dan mendapatkan kehormatan di selur"&amp;"uh server.
- Optimasi Tingkatkan level untuk mendapatkan lebih banyak hadiah!: Ditambahkan item Aura Cemerlang—semua orang dalam radiusnya menikmati keunggulan.
- Optimasi Pengepungan Kera Mutan: Visual Mekanik dipoles.
- Optimasi Pratinjau Mekanik: Prati"&amp;"njau Mekanik yang dikunci kini menampilkan lebih banyak informasi.
- Optimasi Melatih Unit: Saat melatih di Kamp, beralih tab dengan cepat untuk mengantri jenis unit lain lebih cepat.
- Optimasi tampilan Subterra: Informasi lantai diatur ulang agar lebih "&amp;"jelas.")</f>
        <v>- Pejuang Baru: Theodore, Ahli Kimia Mematikan—berkolaborasi dengan Mekanik Laba-laba; seorang ahli racun yang berjuang demi keadilan! Dapat diperoleh melalui event “KERA YANG TANGGUH”.
- Panggil Geng Baru: Dalam Kelola Geng, kapten dapat menyematkan Titik Panggil Geng agar anggota dapat berkumpul kembali dengan cepat.
- Perang Planet:
Brankas Gen Baru: Simpan gen untuk melipatgandakan hasil di Perang Planet.
Aula Kehormatan Baru: Kontributor teratas dapat masuk ke Aula dan mendapatkan kehormatan di seluruh server.
- Optimasi Tingkatkan level untuk mendapatkan lebih banyak hadiah!: Ditambahkan item Aura Cemerlang—semua orang dalam radiusnya menikmati keunggulan.
- Optimasi Pengepungan Kera Mutan: Visual Mekanik dipoles.
- Optimasi Pratinjau Mekanik: Pratinjau Mekanik yang dikunci kini menampilkan lebih banyak informasi.
- Optimasi Melatih Unit: Saat melatih di Kamp, beralih tab dengan cepat untuk mengantri jenis unit lain lebih cepat.
- Optimasi tampilan Subterra: Informasi lantai diatur ulang agar lebih jelas.</v>
      </c>
      <c r="I72" s="168" t="str">
        <f>IFERROR(__xludf.DUMMYFUNCTION("""COMPUTED_VALUE"""),"- นักสู้ตัวใหม่: ธีโอดอร์ นักเคมีร้ายแรง—จับทีมกับเมคแมงมุม; ผู้เชี่ยวชาญด้านพิษที่ต่อสู้เพื่อความยุติธรรม! รับได้จากกิจกรรม “ลิงขั้นเทพ”
- อัญเชิญแก๊งค์ใหม่: ในการจัดการแก๊ง ผู้นำสามารถปักหมุดจุดอัญเชิญแก๊งค์เพื่อให้สมาชิกกลับมารวมกลุ่มได้อย่างรวดเร็ว
- "&amp;"สงครามดาวเคราะห์:
ห้องนิรภัยยีนใหม่: เก็บยีนเพื่อเพิ่มผลตอบแทนในสงครามดาวเคราะห์
หอเกียรติยศใหม่: ผู้มีส่วนร่วมสูงสุดสามารถเข้าสู่หอเกียรติยศและรับชื่อเสียงทั่วเซิร์ฟเวอร์
- การปรับปรุงอัปเกรดเพื่อรับรางวัลเพิ่มเติม!: เพิ่มไอเทมออร่าที่เจิดจรัส—ทุกคนในรัศ"&amp;"มีจะได้รับบัฟ
- การปรับปรุงปฏิบัติการตัวกลายพันธุ์: ปรับปรุงภาพเมคให้สวยงามยิ่งขึ้น
- การปรับปรุงดูตัวอย่างเมค: ข้อมูลเมคที่ถูกล็อกจะแสดงรายละเอียดมากขึ้น
- การปรับปรุงการฝึกฝนหน่วย: ขณะฝึกฝนในค่าย สามารถสลับแท็บอย่างรวดเร็วเพื่อจัดคิวประเภทหน่วยอื่นได้เร"&amp;"็วขึ้น
- การปรับปรุงการแสดงผล Subterra: จัดระเบียบข้อมูลชั้นให้ชัดเจนยิ่งขึ้น")</f>
        <v>- นักสู้ตัวใหม่: ธีโอดอร์ นักเคมีร้ายแรง—จับทีมกับเมคแมงมุม; ผู้เชี่ยวชาญด้านพิษที่ต่อสู้เพื่อความยุติธรรม! รับได้จากกิจกรรม “ลิงขั้นเทพ”
- อัญเชิญแก๊งค์ใหม่: ในการจัดการแก๊ง ผู้นำสามารถปักหมุดจุดอัญเชิญแก๊งค์เพื่อให้สมาชิกกลับมารวมกลุ่มได้อย่างรวดเร็ว
- สงครามดาวเคราะห์:
ห้องนิรภัยยีนใหม่: เก็บยีนเพื่อเพิ่มผลตอบแทนในสงครามดาวเคราะห์
หอเกียรติยศใหม่: ผู้มีส่วนร่วมสูงสุดสามารถเข้าสู่หอเกียรติยศและรับชื่อเสียงทั่วเซิร์ฟเวอร์
- การปรับปรุงอัปเกรดเพื่อรับรางวัลเพิ่มเติม!: เพิ่มไอเทมออร่าที่เจิดจรัส—ทุกคนในรัศมีจะได้รับบัฟ
- การปรับปรุงปฏิบัติการตัวกลายพันธุ์: ปรับปรุงภาพเมคให้สวยงามยิ่งขึ้น
- การปรับปรุงดูตัวอย่างเมค: ข้อมูลเมคที่ถูกล็อกจะแสดงรายละเอียดมากขึ้น
- การปรับปรุงการฝึกฝนหน่วย: ขณะฝึกฝนในค่าย สามารถสลับแท็บอย่างรวดเร็วเพื่อจัดคิวประเภทหน่วยอื่นได้เร็วขึ้น
- การปรับปรุงการแสดงผล Subterra: จัดระเบียบข้อมูลชั้นให้ชัดเจนยิ่งขึ้น</v>
      </c>
      <c r="J72" s="168" t="str">
        <f>IFERROR(__xludf.DUMMYFUNCTION("""COMPUTED_VALUE"""),"- Nuevo Luchador: Theodore, el Químico Letal—se une al Meca Araña; un maestro de toxinas que lucha por la justicia. ¡Obtenible a través del evento “MONO SUPREMO”!
- Nueva Invocación de Banda: En la Administración de Banda, el líder puede fijar un Punto de"&amp;" Invocación de Banda para que los miembros se reagrupen rápidamente.
- Guerras Planetarias:
Nueva Bóveda de Genes: Almacena genes para multiplicar tus recompensas en Guerras Planetarias.
Nuevo Salón de Honor: Los principales contribuyentes pueden ingresar"&amp;" al Salón y ganar renombre en todo el servidor.
- Optimización de ¡Mejora para obtener más recompensas!: Se añadió el artículo Aura Radiante—todos dentro de su radio disfrutan de la mejora.
- Optimización de Operación Mutantes: Se mejoraron los visuales d"&amp;"el Meca.
- Optimización de Vista Previa de Meca: Las vistas previas de Meca bloqueadas ahora muestran mucha más información.
- Optimización de Entrenamiento de Unidades: Mientras entrenas en los Campamentos, cambia rápidamente de pestaña para poner en col"&amp;"a otros tipos de unidad más rápido.
- Optimización de visualización de Subterra: La información de los pisos se reorganizó para mayor claridad.")</f>
        <v>- Nuevo Luchador: Theodore, el Químico Letal—se une al Meca Araña; un maestro de toxinas que lucha por la justicia. ¡Obtenible a través del evento “MONO SUPREMO”!
- Nueva Invocación de Banda: En la Administración de Banda, el líder puede fijar un Punto de Invocación de Banda para que los miembros se reagrupen rápidamente.
- Guerras Planetarias:
Nueva Bóveda de Genes: Almacena genes para multiplicar tus recompensas en Guerras Planetarias.
Nuevo Salón de Honor: Los principales contribuyentes pueden ingresar al Salón y ganar renombre en todo el servidor.
- Optimización de ¡Mejora para obtener más recompensas!: Se añadió el artículo Aura Radiante—todos dentro de su radio disfrutan de la mejora.
- Optimización de Operación Mutantes: Se mejoraron los visuales del Meca.
- Optimización de Vista Previa de Meca: Las vistas previas de Meca bloqueadas ahora muestran mucha más información.
- Optimización de Entrenamiento de Unidades: Mientras entrenas en los Campamentos, cambia rápidamente de pestaña para poner en cola otros tipos de unidad más rápido.
- Optimización de visualización de Subterra: La información de los pisos se reorganizó para mayor claridad.</v>
      </c>
      <c r="K72" s="168" t="str">
        <f>IFERROR(__xludf.DUMMYFUNCTION("""COMPUTED_VALUE"""),"- Новый герой: Теодор, Смертельный химик — объединяется с Мехом-пауком; мастер ядов, сражающийся за справедливость! Получаемо через событие «ВЕЛИКАЯ ОБЕЗЬЯНА».
- Новый призыв банды: В управлении бандой лидер может закрепить точку призыва банды, чтобы учас"&amp;"тники быстрее собирались.
- Планетарные войны:
Новый генный сейф: Храните гены, чтобы увеличить свои награды в Планетарных войнах.
Новый зал чести: Лучшие вкладчики могут войти в зал и получить известность на сервере.
- Оптимизация Улучшайте и получайте е"&amp;"ще больше наград!: Добавлен предмет «Радужная аура» — все в её радиусе получают усиление.
- Оптимизация Операция «Мутанты»: Визуальные эффекты меха улучшены.
- Оптимизация предпросмотра меха: Теперь в закрытых предпросмотрах меха отображается гораздо боль"&amp;"ше сведений.
- Оптимизация обучения отрядов: Во время обучения в лагерях можно быстро переключаться между вкладками для ускоренной постановки в очередь других типов отрядов.
- Оптимизация отображения Subterra: Информация о этажах переработана для большей "&amp;"ясности.")</f>
        <v>- Новый герой: Теодор, Смертельный химик — объединяется с Мехом-пауком; мастер ядов, сражающийся за справедливость! Получаемо через событие «ВЕЛИКАЯ ОБЕЗЬЯНА».
- Новый призыв банды: В управлении бандой лидер может закрепить точку призыва банды, чтобы участники быстрее собирались.
- Планетарные войны:
Новый генный сейф: Храните гены, чтобы увеличить свои награды в Планетарных войнах.
Новый зал чести: Лучшие вкладчики могут войти в зал и получить известность на сервере.
- Оптимизация Улучшайте и получайте еще больше наград!: Добавлен предмет «Радужная аура» — все в её радиусе получают усиление.
- Оптимизация Операция «Мутанты»: Визуальные эффекты меха улучшены.
- Оптимизация предпросмотра меха: Теперь в закрытых предпросмотрах меха отображается гораздо больше сведений.
- Оптимизация обучения отрядов: Во время обучения в лагерях можно быстро переключаться между вкладками для ускоренной постановки в очередь других типов отрядов.
- Оптимизация отображения Subterra: Информация о этажах переработана для большей ясности.</v>
      </c>
      <c r="L72" s="168" t="str">
        <f>IFERROR(__xludf.DUMMYFUNCTION("""COMPUTED_VALUE"""),"- Yeni Savaşçı: Theodore, Ölümcül Kimyager—MEKA ile takım oluyor; adalet için savaşan bir toksin ustası! “EN ÜSTÜN MAYMUN” etkinliğinden edinilebilir.
- Yeni Çete Çağırma: Çete Yönetimi’nde, lider bir Çete Çağırma Noktası sabitleyebilir, böylece üyeler hı"&amp;"zlıca toplanır.
- Gezegen Savaşları:
Yeni GEN KASASI: Genleri depola, Gezegen Savaşları’nda kazancını katla.
Yeni ONUR SALONU: En çok katkıda bulunanlar Salona girebilir ve sunucu genelinde ün kazanabilir.
- Gen Toplu Saldırı optimizasyonu: Işıltılı Aura "&amp;"eşyası eklendi—etki alanındaki herkes güçlendiriciden faydalanır.
- Mutant Operasyonu optimizasyonu: MEKA görselleri geliştirildi.
- MEKA Ön İzleme optimizasyonu: Kilitli MEKA ön izlemeleri artık çok daha fazla bilgi gösteriyor.
- Birim Eğitimi optimizasy"&amp;"onu: Kamplarda eğitim sırasında, diğer birim türlerini daha hızlı sıraya almak için sekmeler arasında hızlıca geçiş yapabilirsin.
- Subterra sergileme optimizasyonu: Kat bilgileri daha net olması için yeniden düzenlendi.")</f>
        <v>- Yeni Savaşçı: Theodore, Ölümcül Kimyager—MEKA ile takım oluyor; adalet için savaşan bir toksin ustası! “EN ÜSTÜN MAYMUN” etkinliğinden edinilebilir.
- Yeni Çete Çağırma: Çete Yönetimi’nde, lider bir Çete Çağırma Noktası sabitleyebilir, böylece üyeler hızlıca toplanır.
- Gezegen Savaşları:
Yeni GEN KASASI: Genleri depola, Gezegen Savaşları’nda kazancını katla.
Yeni ONUR SALONU: En çok katkıda bulunanlar Salona girebilir ve sunucu genelinde ün kazanabilir.
- Gen Toplu Saldırı optimizasyonu: Işıltılı Aura eşyası eklendi—etki alanındaki herkes güçlendiriciden faydalanır.
- Mutant Operasyonu optimizasyonu: MEKA görselleri geliştirildi.
- MEKA Ön İzleme optimizasyonu: Kilitli MEKA ön izlemeleri artık çok daha fazla bilgi gösteriyor.
- Birim Eğitimi optimizasyonu: Kamplarda eğitim sırasında, diğer birim türlerini daha hızlı sıraya almak için sekmeler arasında hızlıca geçiş yapabilirsin.
- Subterra sergileme optimizasyonu: Kat bilgileri daha net olması için yeniden düzenlendi.</v>
      </c>
      <c r="M72" s="168" t="str">
        <f>IFERROR(__xludf.DUMMYFUNCTION("""COMPUTED_VALUE"""),"- Chiến Binh Mới: Theodore, Nhà Hóa Học Chết Người—hợp tác cùng Cơ Khí Nhện; bậc thầy chất độc chiến đấu vì công lý! Có thể nhận được qua sự kiện “CHÚA KHỈ TỐI CAO”.
- Triệu Hồi Bang Hội Mới: Trong Quản Lý Bang Hội, Đội Trưởng có thể ghim Điểm Triệu Hồi B"&amp;"ang Hội để các Thành Viên tập hợp nhanh chóng.
- Chiến Tranh Hành Tinh:
Két Gen Mới: Lưu trữ gen để nhân nhiều phần thưởng trong Chiến Tranh Hành Tinh.
Đại Sảnh Vinh Dự Mới: Người Đóng Góp Đứng Đầu có thể vào Đại Sảnh và nhận được danh tiếng trên toàn Máy"&amp;" chủ.
- Tối ưu Nâng cấp để nhận thêm nhiều phần thưởng!: Thêm vật phẩm Hào Quang Rực Rỡ—mọi người trong phạm vi đều nhận được Hiệu Ứng Có Lợi.
- Tối ưu Vây Quét Khỉ Đột Biến: Hiệu ứng Cơ Khí được trau chuốt hơn.
- Tối ưu Xem trước Cơ Khí: Các bản xem trướ"&amp;"c Cơ Khí ĐÃ KHÓA giờ hiển thị nhiều Thông Tin hơn.
- Tối ưu Huấn Luyện Đơn Vị: Khi huấn luyện tại Trại, chuyển tab nhanh để xếp hàng các Loại Đơn Vị khác nhanh hơn.
- Tối ưu hiển thị Subterra: Thông tin tầng được sắp xếp lại rõ ràng hơn.")</f>
        <v>- Chiến Binh Mới: Theodore, Nhà Hóa Học Chết Người—hợp tác cùng Cơ Khí Nhện; bậc thầy chất độc chiến đấu vì công lý! Có thể nhận được qua sự kiện “CHÚA KHỈ TỐI CAO”.
- Triệu Hồi Bang Hội Mới: Trong Quản Lý Bang Hội, Đội Trưởng có thể ghim Điểm Triệu Hồi Bang Hội để các Thành Viên tập hợp nhanh chóng.
- Chiến Tranh Hành Tinh:
Két Gen Mới: Lưu trữ gen để nhân nhiều phần thưởng trong Chiến Tranh Hành Tinh.
Đại Sảnh Vinh Dự Mới: Người Đóng Góp Đứng Đầu có thể vào Đại Sảnh và nhận được danh tiếng trên toàn Máy chủ.
- Tối ưu Nâng cấp để nhận thêm nhiều phần thưởng!: Thêm vật phẩm Hào Quang Rực Rỡ—mọi người trong phạm vi đều nhận được Hiệu Ứng Có Lợi.
- Tối ưu Vây Quét Khỉ Đột Biến: Hiệu ứng Cơ Khí được trau chuốt hơn.
- Tối ưu Xem trước Cơ Khí: Các bản xem trước Cơ Khí ĐÃ KHÓA giờ hiển thị nhiều Thông Tin hơn.
- Tối ưu Huấn Luyện Đơn Vị: Khi huấn luyện tại Trại, chuyển tab nhanh để xếp hàng các Loại Đơn Vị khác nhanh hơn.
- Tối ưu hiển thị Subterra: Thông tin tầng được sắp xếp lại rõ ràng hơn.</v>
      </c>
      <c r="N72" s="169" t="str">
        <f>IFERROR(__xludf.DUMMYFUNCTION("""COMPUTED_VALUE"""),"- Nuovo Combattente: Theodore, il Chimico Letale—fa squadra con lo Spider Mech; un maestro delle tossine che combatte per la giustizia! Ottenibile tramite l’evento “SCIMMIA SUPREMA”.
- Nuova Evocazione della Gang: In Gestione Gang, il leader può fissare u"&amp;"n Punto di Evocazione della Gang così i membri si raggruppano rapidamente.
- Guerre planetarie:
Nuova CASSAFORTE GENETICA: Conserva i geni per moltiplicare i tuoi ritorni nelle Guerre planetarie.
Nuova SALA D'ONORE: I migliori contributori possono acceder"&amp;"e alla Sala e guadagnare fama a livello di server.
- Ottimizzazione Potenzia per ottenere più ricompense!: Aggiunto l’oggetto Aura Radiante—tutti all’interno del suo raggio ricevono il beneficio.
- Ottimizzazione Operazione Mutanti: Aspetto dei Mech migli"&amp;"orato.
- Ottimizzazione Anteprima Mech: Le anteprime dei Mech bloccati ora mostrano molte più info.
- Ottimizzazione Addestramento unità: Durante l’addestramento nei Campi, passa rapidamente tra le schede per mettere in coda altri tipi di unità più veloce"&amp;"mente.
- Ottimizzazione display Subterra: Le informazioni sui piani sono state riorganizzate per maggiore chiarezza.")</f>
        <v>- Nuovo Combattente: Theodore, il Chimico Letale—fa squadra con lo Spider Mech; un maestro delle tossine che combatte per la giustizia! Ottenibile tramite l’evento “SCIMMIA SUPREMA”.
- Nuova Evocazione della Gang: In Gestione Gang, il leader può fissare un Punto di Evocazione della Gang così i membri si raggruppano rapidamente.
- Guerre planetarie:
Nuova CASSAFORTE GENETICA: Conserva i geni per moltiplicare i tuoi ritorni nelle Guerre planetarie.
Nuova SALA D'ONORE: I migliori contributori possono accedere alla Sala e guadagnare fama a livello di server.
- Ottimizzazione Potenzia per ottenere più ricompense!: Aggiunto l’oggetto Aura Radiante—tutti all’interno del suo raggio ricevono il beneficio.
- Ottimizzazione Operazione Mutanti: Aspetto dei Mech migliorato.
- Ottimizzazione Anteprima Mech: Le anteprime dei Mech bloccati ora mostrano molte più info.
- Ottimizzazione Addestramento unità: Durante l’addestramento nei Campi, passa rapidamente tra le schede per mettere in coda altri tipi di unità più velocemente.
- Ottimizzazione display Subterra: Le informazioni sui piani sono state riorganizzate per maggiore chiarezza.</v>
      </c>
      <c r="O72" s="168" t="str">
        <f>IFERROR(__xludf.DUMMYFUNCTION("""COMPUTED_VALUE"""),"- Nowy Wojownik: Theodore, Śmiercionośny Chemik — współpracuje z Mechem Pająkiem; mistrz toksyn walczący o sprawiedliwość! Możliwy do uzyskania podczas wydarzenia „UBERMAŁPA”.
- Nowe Przywołanie Gangu: W Zarządzaniu Gangiem dowódca może przypiąć Punkt Prz"&amp;"ywołania Gangu, aby członkowie szybko się zgrupowali.
- Wojny planet:
Nowy Skarbiec Genów: Przechowuj geny, aby zwielokrotnić swoje zyski w Wojnach planet.
Nowa Sala Honoru: Najlepsi współtwórcy mogą wejść do Sali i zdobyć sławę na całym serwerze.
- Optym"&amp;"alizacja Rajdu Genów: Dodano przedmiot Promienna Aura — każdy w jej zasięgu otrzymuje wzmocnienie.
- Optymalizacja Operacji Mutanty: Ulepszono wygląd Mecha.
- Optymalizacja podglądu Mecha: Zablokowane podglądy Mechów wyświetlają teraz znacznie więcej info"&amp;"rmacji.
- Optymalizacja szkolenia jednostek: Podczas szkolenia w Obozach możesz szybko przełączać zakładki, aby szybciej ustawiać kolejki innych typów jednostek.
- Optymalizacja wyświetlania Subterry: Informacje o piętrach zostały uporządkowane dla większ"&amp;"ej przejrzystości.")</f>
        <v>- Nowy Wojownik: Theodore, Śmiercionośny Chemik — współpracuje z Mechem Pająkiem; mistrz toksyn walczący o sprawiedliwość! Możliwy do uzyskania podczas wydarzenia „UBERMAŁPA”.
- Nowe Przywołanie Gangu: W Zarządzaniu Gangiem dowódca może przypiąć Punkt Przywołania Gangu, aby członkowie szybko się zgrupowali.
- Wojny planet:
Nowy Skarbiec Genów: Przechowuj geny, aby zwielokrotnić swoje zyski w Wojnach planet.
Nowa Sala Honoru: Najlepsi współtwórcy mogą wejść do Sali i zdobyć sławę na całym serwerze.
- Optymalizacja Rajdu Genów: Dodano przedmiot Promienna Aura — każdy w jej zasięgu otrzymuje wzmocnienie.
- Optymalizacja Operacji Mutanty: Ulepszono wygląd Mecha.
- Optymalizacja podglądu Mecha: Zablokowane podglądy Mechów wyświetlają teraz znacznie więcej informacji.
- Optymalizacja szkolenia jednostek: Podczas szkolenia w Obozach możesz szybko przełączać zakładki, aby szybciej ustawiać kolejki innych typów jednostek.
- Optymalizacja wyświetlania Subterry: Informacje o piętrach zostały uporządkowane dla większej przejrzystości.</v>
      </c>
      <c r="P72" s="168" t="str">
        <f>IFERROR(__xludf.DUMMYFUNCTION("""COMPUTED_VALUE"""),"- مقاتل جديد: ثيودور، الكيميائي القاتل—يتحالف مع ميكا العنكبوت؛ سيد السموم الذي يقاتل من أجل العدالة! قابل للحصول عليه عبر حدث ""القرد الخارق"".
- استدعاء عصابة جديد: في إدارة العصابة، يمكن للقائد تثبيت نقطة استدعاء العصابة ليتمكن الأعضاء من التجمع بسرعة."&amp;"
- حروب الكوكب:
خزنة جينات جديدة: خزّن الجينات لمضاعفة عوائدك في حروب الكوكب.
قاعة شرف جديدة: يمكن للمساهمين الأعلى دخول القاعة وكسب شهرة على مستوى السيرفر.
- تحسين حشد الجينات: تمت إضافة عنصر الهالة المشعة—كل من في نطاقها يحصل على التعزيزات.
- تحسين صوام"&amp;"يل التشغيل: تم تحسين مظهر الميكا.
- تحسين معاينة الميكا: معاينات الميكا المقفلة تعرض الآن المزيد من المعلومات.
- تحسين تدريب الوحدات: أثناء التدريب في المعسكرات، يمكنك التبديل السريع بين التبويبات لطابور أنواع وحدات أخرى بشكل أسرع.
- تحسين عرض Subterra: ت"&amp;"م إعادة تنظيم معلومات الطوابق لمزيد من الوضوح.")</f>
        <v>- مقاتل جديد: ثيودور، الكيميائي القاتل—يتحالف مع ميكا العنكبوت؛ سيد السموم الذي يقاتل من أجل العدالة! قابل للحصول عليه عبر حدث "القرد الخارق".
- استدعاء عصابة جديد: في إدارة العصابة، يمكن للقائد تثبيت نقطة استدعاء العصابة ليتمكن الأعضاء من التجمع بسرعة.
- حروب الكوكب:
خزنة جينات جديدة: خزّن الجينات لمضاعفة عوائدك في حروب الكوكب.
قاعة شرف جديدة: يمكن للمساهمين الأعلى دخول القاعة وكسب شهرة على مستوى السيرفر.
- تحسين حشد الجينات: تمت إضافة عنصر الهالة المشعة—كل من في نطاقها يحصل على التعزيزات.
- تحسين صواميل التشغيل: تم تحسين مظهر الميكا.
- تحسين معاينة الميكا: معاينات الميكا المقفلة تعرض الآن المزيد من المعلومات.
- تحسين تدريب الوحدات: أثناء التدريب في المعسكرات، يمكنك التبديل السريع بين التبويبات لطابور أنواع وحدات أخرى بشكل أسرع.
- تحسين عرض Subterra: تم إعادة تنظيم معلومات الطوابق لمزيد من الوضوح.</v>
      </c>
      <c r="Q72" s="168" t="str">
        <f>IFERROR(__xludf.DUMMYFUNCTION("""COMPUTED_VALUE"""),"- 新しいファイター：セオドア、リーサルケミスト—スパイダーメックとチームを組む、正義のために戦う毒の達人！「究極のエイプ」イベントで入手可能。
- 新しいギルド召喚：ギルド管理で、リーダーがギルド召喚ポイントをピン留めでき、メンバーが素早く集結可能に。
- プラネットウォーズ：
新しい遺伝子ボールト：遺伝子を保管し、プラネットウォーズでリターンを倍増。
新しい栄誉の殿堂：トップ貢献者が殿堂に入り、サーバー全体で名声を獲得。
- 遺伝子集結の最適化：輝かしいオーラアイテムを追加—その範囲内の全員がバフを享"&amp;"受。
- 変異エイプ殲滅作戦の最適化：メックのビジュアルをブラッシュアップ。
- メックプレビューの最適化：ロックされたメックのプレビューで、より多くの情報を表示。
- ユニット訓練の最適化：陣営で訓練中、タブを素早く切り替えて他のユニットタイプも素早くキューに追加可能。
- サブテラ表示の最適化：フロア情報を再編成し、より分かりやすく。")</f>
        <v>- 新しいファイター：セオドア、リーサルケミスト—スパイダーメックとチームを組む、正義のために戦う毒の達人！「究極のエイプ」イベントで入手可能。
- 新しいギルド召喚：ギルド管理で、リーダーがギルド召喚ポイントをピン留めでき、メンバーが素早く集結可能に。
- プラネットウォーズ：
新しい遺伝子ボールト：遺伝子を保管し、プラネットウォーズでリターンを倍増。
新しい栄誉の殿堂：トップ貢献者が殿堂に入り、サーバー全体で名声を獲得。
- 遺伝子集結の最適化：輝かしいオーラアイテムを追加—その範囲内の全員がバフを享受。
- 変異エイプ殲滅作戦の最適化：メックのビジュアルをブラッシュアップ。
- メックプレビューの最適化：ロックされたメックのプレビューで、より多くの情報を表示。
- ユニット訓練の最適化：陣営で訓練中、タブを素早く切り替えて他のユニットタイプも素早くキューに追加可能。
- サブテラ表示の最適化：フロア情報を再編成し、より分かりやすく。</v>
      </c>
      <c r="R72" s="168" t="str">
        <f>IFERROR(__xludf.DUMMYFUNCTION("""COMPUTED_VALUE"""),"- 새로운 전사: 시어도어, 치명적인 화학자—스파이더 메카와 팀을 이루고, 정의를 위해 싸우는 독의 달인! “최강 원숭이” 이벤트에서 획득 가능.
- 새로운 무리 소환: 무리 관리에서 리더가 무리 소환 포인트를 고정하여 회원들이 빠르게 집결할 수 있습니다.
- 은하 전쟁:
새로운 유전자 금고: 유전자를 저장하여 은하 전쟁에서 수익을 배로 늘리세요.
새로운 명예의 전당: 최고의 기여자는 명예의 전당에 입장하여 서버 전체에 명성을 얻을 수 있습니다.
- 유"&amp;"전자 집결 최적화: 광채 나는 오라 아이템 추가—반경 내 모든 사람이 버프를 받습니다.
- 변이 원숭이 토벌 최적화: 메카 비주얼이 개선되었습니다.
- 메카 미리보기 최적화: 잠금된 메카 미리보기에 더 많은 정보가 표시됩니다.
- 유닛 훈련 최적화: 캠프에서 훈련 중 탭을 빠르게 전환하여 다른 유닛 유형을 더 빠르게 대기열에 추가할 수 있습니다.
- Subterra 디스플레이 최적화: 층 정보가 더 명확하게 재구성되었습니다.")</f>
        <v>- 새로운 전사: 시어도어, 치명적인 화학자—스파이더 메카와 팀을 이루고, 정의를 위해 싸우는 독의 달인! “최강 원숭이” 이벤트에서 획득 가능.
- 새로운 무리 소환: 무리 관리에서 리더가 무리 소환 포인트를 고정하여 회원들이 빠르게 집결할 수 있습니다.
- 은하 전쟁:
새로운 유전자 금고: 유전자를 저장하여 은하 전쟁에서 수익을 배로 늘리세요.
새로운 명예의 전당: 최고의 기여자는 명예의 전당에 입장하여 서버 전체에 명성을 얻을 수 있습니다.
- 유전자 집결 최적화: 광채 나는 오라 아이템 추가—반경 내 모든 사람이 버프를 받습니다.
- 변이 원숭이 토벌 최적화: 메카 비주얼이 개선되었습니다.
- 메카 미리보기 최적화: 잠금된 메카 미리보기에 더 많은 정보가 표시됩니다.
- 유닛 훈련 최적화: 캠프에서 훈련 중 탭을 빠르게 전환하여 다른 유닛 유형을 더 빠르게 대기열에 추가할 수 있습니다.
- Subterra 디스플레이 최적화: 층 정보가 더 명확하게 재구성되었습니다.</v>
      </c>
      <c r="S72" s="148"/>
      <c r="T72" s="148"/>
      <c r="U72" s="148"/>
      <c r="V72" s="148"/>
      <c r="W72" s="148"/>
      <c r="X72" s="148"/>
      <c r="Y72" s="148"/>
      <c r="Z72" s="148"/>
    </row>
    <row r="73">
      <c r="A73" s="167" t="str">
        <f>IFERROR(__xludf.DUMMYFUNCTION("""COMPUTED_VALUE"""),"0.81.0-节日单独")</f>
        <v>0.81.0-节日单独</v>
      </c>
      <c r="B73" s="148" t="str">
        <f>IFERROR(__xludf.DUMMYFUNCTION("""COMPUTED_VALUE"""),"-新增黑色星期五&amp;丰收节双节活动：
城市外观套装：撼动星辰！参与活动可集齐套装组件，解锁最终形态！
漫游奇遇：参与活动收集漫游骰子，在地图中前进，获取丰厚奖励！
充值活动：猿猴币充值返利高至10%，不容错过！
斗士超值折扣：斗士美妮连锁礼包升级版！更低价格，更多道具！领取可获得5星自选斗士！
限时抢购：斗士转盘、机甲转盘、狙击强盗猿活动子弹道具限时折扣开启，不容错过！
砍价活动：新增欢乐币消耗奖励、黑色星期五专属宝箱，砍价不能停！
连锁礼包预购：礼包限时上线，预购即享20%节日道具优惠！
"&amp;"每日补给：完成每日任务，打开补给，获得丰厚奖励！
核心破译计划：通过关卡，解密核心，免费获取限定装饰！更有猎豹机甲限定染色-暗金雷霆，等您来拿！
省省卡：购买省省卡，黑色星期五动态头像框、斗士升星礼包、行军特效、行军表情全部半价！")</f>
        <v>-新增黑色星期五&amp;丰收节双节活动：
城市外观套装：撼动星辰！参与活动可集齐套装组件，解锁最终形态！
漫游奇遇：参与活动收集漫游骰子，在地图中前进，获取丰厚奖励！
充值活动：猿猴币充值返利高至10%，不容错过！
斗士超值折扣：斗士美妮连锁礼包升级版！更低价格，更多道具！领取可获得5星自选斗士！
限时抢购：斗士转盘、机甲转盘、狙击强盗猿活动子弹道具限时折扣开启，不容错过！
砍价活动：新增欢乐币消耗奖励、黑色星期五专属宝箱，砍价不能停！
连锁礼包预购：礼包限时上线，预购即享20%节日道具优惠！
每日补给：完成每日任务，打开补给，获得丰厚奖励！
核心破译计划：通过关卡，解密核心，免费获取限定装饰！更有猎豹机甲限定染色-暗金雷霆，等您来拿！
省省卡：购买省省卡，黑色星期五动态头像框、斗士升星礼包、行军特效、行军表情全部半价！</v>
      </c>
      <c r="C73" s="148" t="str">
        <f>IFERROR(__xludf.DUMMYFUNCTION("""COMPUTED_VALUE"""),"- New Black Friday &amp; Thanksgiving—Double Celebration:
City Hall Skin Set: Rattle the Stars! Unlocks when all parts are collected.  
Roaming Adventure: Collect Roaming Dice, move across the map, and earn hefty rewards!
Top-Up Event: Ape Coin rebates up to "&amp;"10%—don’t miss out!
Fighter Mega Deal: T.Ny’s Chain Pack upgraded! Lower price, more items! Grants a 5-Star Fighter of your choice!
Limited-time Flash Sale: Fighter Roulette, Mech Roulette, and ammo items for “Shoot the Bandit” are on limited-time discoun"&amp;"ts—do not miss it!
Group Buy: New Joy Coin consumption rewards and a Black Friday exclusive Chest—keep bargaining!
Chain Pack Pre-Order: Limited-time packs—pre-order for 20% off holiday items!
Daily Supply: Finish daily quests, open the supply, and rake i"&amp;"n rewards!
Core Decryption Project: Beat stages, crack the core, and get limited decorations for free! Plus, the Cheetah Mech exclusive lacquer—Darkgold Thunder—awaits!
Money-Saving Card: Buy the Money-Saving Card to get the Black Friday Avatar Frame, Fig"&amp;"hter Star-Up Pack, March Effects, and Marching Emojis at half price!")</f>
        <v>- New Black Friday &amp; Thanksgiving—Double Celebration:
City Hall Skin Set: Rattle the Stars! Unlocks when all parts are collected.  
Roaming Adventure: Collect Roaming Dice, move across the map, and earn hefty rewards!
Top-Up Event: Ape Coin rebates up to 10%—don’t miss out!
Fighter Mega Deal: T.Ny’s Chain Pack upgraded! Lower price, more items! Grants a 5-Star Fighter of your choice!
Limited-time Flash Sale: Fighter Roulette, Mech Roulette, and ammo items for “Shoot the Bandit” are on limited-time discounts—do not miss it!
Group Buy: New Joy Coin consumption rewards and a Black Friday exclusive Chest—keep bargaining!
Chain Pack Pre-Order: Limited-time packs—pre-order for 20% off holiday items!
Daily Supply: Finish daily quests, open the supply, and rake in rewards!
Core Decryption Project: Beat stages, crack the core, and get limited decorations for free! Plus, the Cheetah Mech exclusive lacquer—Darkgold Thunder—awaits!
Money-Saving Card: Buy the Money-Saving Card to get the Black Friday Avatar Frame, Fighter Star-Up Pack, March Effects, and Marching Emojis at half price!</v>
      </c>
      <c r="D73" s="168" t="str">
        <f>IFERROR(__xludf.DUMMYFUNCTION("""COMPUTED_VALUE"""),"- Nouveau Black Friday &amp; Thanksgiving—Double célébration :
Skin d'Hôtel de Ville : Secouez les Étoiles ! Débloqué lorsque toutes les parties sont récupérées.  
Aventure itinérante : Récupérez des Dés Itinérants, déplacez-vous sur la carte et gagnez de gro"&amp;"sses récompenses !
Evènement de recharge : Remboursements de Pièces de Singe jusqu’à 10 %—ne manquez pas ça !
Offre Méga Combattant : Pack Chaîne de T.Ny amélioré ! Prix plus bas, plus d’objets ! Accorde un Combattant 5 Étoiles de votre choix !
Vente Flas"&amp;"h à durée limitée : Roulette Combattant, Roulette Mécha et objets de munitions pour « Abattez le vaisseau » en promotion limitée—ne ratez pas l’occasion !
Achat groupé : Nouvelles récompenses de consommation de Pièces Joy et Coffre exclusif Black Friday—c"&amp;"ontinuez à marchander !
Précommande Pack Chaîne : Packs à durée limitée—précommandez pour 20 % de rabais sur les objets de fête !
Appro quotidiennes : Terminez les quêtes quotidiennes, ouvrez l’approvisionnement et empochez des récompenses !
PROJET DE DÉC"&amp;"RYPTAGE DU NOYAU : Terminez les niveaux, déchiffrez le noyau et obtenez des décorations limitées gratuitement ! De plus, la laque exclusive du Mécha Guépard—Tonnerre d'Or Sombre—vous attend !
Carte Économies : Achetez la Carte Économies pour obtenir le Ca"&amp;"dre d’Avatar Black Friday, le Pack Star-Up Combattant, les Effets de Déplacement et les Émoticônes de Troupes en marche à moitié prix !")</f>
        <v>- Nouveau Black Friday &amp; Thanksgiving—Double célébration :
Skin d'Hôtel de Ville : Secouez les Étoiles ! Débloqué lorsque toutes les parties sont récupérées.  
Aventure itinérante : Récupérez des Dés Itinérants, déplacez-vous sur la carte et gagnez de grosses récompenses !
Evènement de recharge : Remboursements de Pièces de Singe jusqu’à 10 %—ne manquez pas ça !
Offre Méga Combattant : Pack Chaîne de T.Ny amélioré ! Prix plus bas, plus d’objets ! Accorde un Combattant 5 Étoiles de votre choix !
Vente Flash à durée limitée : Roulette Combattant, Roulette Mécha et objets de munitions pour « Abattez le vaisseau » en promotion limitée—ne ratez pas l’occasion !
Achat groupé : Nouvelles récompenses de consommation de Pièces Joy et Coffre exclusif Black Friday—continuez à marchander !
Précommande Pack Chaîne : Packs à durée limitée—précommandez pour 20 % de rabais sur les objets de fête !
Appro quotidiennes : Terminez les quêtes quotidiennes, ouvrez l’approvisionnement et empochez des récompenses !
PROJET DE DÉCRYPTAGE DU NOYAU : Terminez les niveaux, déchiffrez le noyau et obtenez des décorations limitées gratuitement ! De plus, la laque exclusive du Mécha Guépard—Tonnerre d'Or Sombre—vous attend !
Carte Économies : Achetez la Carte Économies pour obtenir le Cadre d’Avatar Black Friday, le Pack Star-Up Combattant, les Effets de Déplacement et les Émoticônes de Troupes en marche à moitié prix !</v>
      </c>
      <c r="E73" s="168" t="str">
        <f>IFERROR(__xludf.DUMMYFUNCTION("""COMPUTED_VALUE"""),"- NEUER SCHWARZER FREITAG &amp; THANKSGIVING—DOPPELTE FEIER:
Rathaus-Skin-Set: Rüttle an den Sternen! Wird freigeschaltet, wenn alle Teile gesammelt wurden.  
Roaming-Abenteuer: Sammle Roaming-Würfel, bewege dich über die Karte und erhalte satte Belohnungen!
"&amp;"Top-Up-Event: Ape Coin-Rabatte bis zu 10 %—nicht verpassen!
Kämpfer-Mega-Deal: T.Nys Kettenpaket aufgewertet! Niedrigerer Preis, mehr Item! Verleiht einen 5-Sterne-Kämpfer deiner Wahl!
Limitierte Blitzaktion: Kämpfer-Roulette, Mech-Roulette und Munition f"&amp;"ür „Schieße auf den Banditen“ sind zeitlich begrenzt im Rabatt—nicht verpassen!
Gruppenkauf: Neue Joy Coin-Verbrauchsbelohnungen und eine exklusive Schwarzer Freitag-Truhe—weiter schnäppchen machen!
Kettenpaket-Vorbestellung: Limitierte Pakete—vorbestelle"&amp;"n und 20 % Rabatt auf Feiertags-Item sichern!
Tägliche Versorgung: Schließe tägliche Quests ab, öffne die Versorgung und streiche Belohnungen ein!
Kern-Entschlüsselungsprojekt: Besiege Stufen, knacke den Kern und erhalte limitierte Dekorationen kostenlos!"&amp;" Außerdem wartet der exklusive Gepard-Mech-Lack—Dunkelgoldener Donner—auf dich!
Sparkarte: Kaufe die Sparkarte, um den Schwarzen Freitag-Avatarrahmen, das Kämpfer-Sternenpaket, Marscheffekte und Marsch-Emojis zum halben Preis zu erhalten!")</f>
        <v>- NEUER SCHWARZER FREITAG &amp; THANKSGIVING—DOPPELTE FEIER:
Rathaus-Skin-Set: Rüttle an den Sternen! Wird freigeschaltet, wenn alle Teile gesammelt wurden.  
Roaming-Abenteuer: Sammle Roaming-Würfel, bewege dich über die Karte und erhalte satte Belohnungen!
Top-Up-Event: Ape Coin-Rabatte bis zu 10 %—nicht verpassen!
Kämpfer-Mega-Deal: T.Nys Kettenpaket aufgewertet! Niedrigerer Preis, mehr Item! Verleiht einen 5-Sterne-Kämpfer deiner Wahl!
Limitierte Blitzaktion: Kämpfer-Roulette, Mech-Roulette und Munition für „Schieße auf den Banditen“ sind zeitlich begrenzt im Rabatt—nicht verpassen!
Gruppenkauf: Neue Joy Coin-Verbrauchsbelohnungen und eine exklusive Schwarzer Freitag-Truhe—weiter schnäppchen machen!
Kettenpaket-Vorbestellung: Limitierte Pakete—vorbestellen und 20 % Rabatt auf Feiertags-Item sichern!
Tägliche Versorgung: Schließe tägliche Quests ab, öffne die Versorgung und streiche Belohnungen ein!
Kern-Entschlüsselungsprojekt: Besiege Stufen, knacke den Kern und erhalte limitierte Dekorationen kostenlos! Außerdem wartet der exklusive Gepard-Mech-Lack—Dunkelgoldener Donner—auf dich!
Sparkarte: Kaufe die Sparkarte, um den Schwarzen Freitag-Avatarrahmen, das Kämpfer-Sternenpaket, Marscheffekte und Marsch-Emojis zum halben Preis zu erhalten!</v>
      </c>
      <c r="F73" s="168" t="str">
        <f>IFERROR(__xludf.DUMMYFUNCTION("""COMPUTED_VALUE"""),"- Nova Black Friday &amp; Ação de Graças—Dupla Celebração:  
Skin da Prefeitura: Agite as Estrelas! Desbloqueia ao coletar todas as partes.  
Aventura Itinerante: Colete Dados Itinerantes, mova-se pelo mapa e ganhe recompensas generosas!  
Evento de Recarga: "&amp;"Reembolso de Ape Coin de até 10%—não perca!  
Mega Oferta de Combatente: Pacote de Corrente da T.Ny melhorado! Preço mais baixo, mais itens! Concede um Combatente 5 Estrelas à sua escolha!  
Oferta Relâmpago por Tempo Limitado: Roleta de Combatente, Rolet"&amp;"a de Mech e itens de munição para “Acerte os Bandidos” com descontos por tempo limitado—não perca!  
Compra em Grupo: Novas recompensas de consumo de Joy Coin e Baú exclusivo da Sexta-Feira Negra—continue pechinchando!  
Pré-venda do Pacote de Corrente: P"&amp;"acotes por tempo limitado—faça a pré-venda com 20% de desconto em itens de feriado!  
Suprimento Diário: Complete missões diárias, abra o suprimento e colete recompensas!  
Projeto de Descriptação do Núcleo: Vença fases, decifre o núcleo e ganhe decoraçõe"&amp;"s limitadas grátis! Além disso, a laca exclusiva do Mech Chita—Trovão Ouro Sombrio—aguarda!  
Cartão Econômico: Compre o Cartão Econômico para obter a Moldura de Avatar da Sexta-Feira Negra, Pacote de Estrelas de Combatente, Efeitos de Marcha e Emojis de "&amp;"Marcha pela metade do preço!")</f>
        <v>- Nova Black Friday &amp; Ação de Graças—Dupla Celebração:  
Skin da Prefeitura: Agite as Estrelas! Desbloqueia ao coletar todas as partes.  
Aventura Itinerante: Colete Dados Itinerantes, mova-se pelo mapa e ganhe recompensas generosas!  
Evento de Recarga: Reembolso de Ape Coin de até 10%—não perca!  
Mega Oferta de Combatente: Pacote de Corrente da T.Ny melhorado! Preço mais baixo, mais itens! Concede um Combatente 5 Estrelas à sua escolha!  
Oferta Relâmpago por Tempo Limitado: Roleta de Combatente, Roleta de Mech e itens de munição para “Acerte os Bandidos” com descontos por tempo limitado—não perca!  
Compra em Grupo: Novas recompensas de consumo de Joy Coin e Baú exclusivo da Sexta-Feira Negra—continue pechinchando!  
Pré-venda do Pacote de Corrente: Pacotes por tempo limitado—faça a pré-venda com 20% de desconto em itens de feriado!  
Suprimento Diário: Complete missões diárias, abra o suprimento e colete recompensas!  
Projeto de Descriptação do Núcleo: Vença fases, decifre o núcleo e ganhe decorações limitadas grátis! Além disso, a laca exclusiva do Mech Chita—Trovão Ouro Sombrio—aguarda!  
Cartão Econômico: Compre o Cartão Econômico para obter a Moldura de Avatar da Sexta-Feira Negra, Pacote de Estrelas de Combatente, Efeitos de Marcha e Emojis de Marcha pela metade do preço!</v>
      </c>
      <c r="G73" s="168" t="str">
        <f>IFERROR(__xludf.DUMMYFUNCTION("""COMPUTED_VALUE"""),"-新增黑色星期五&amp;豐收節雙節活動：
城市外觀套裝：撼動星辰！參與活動可收集套裝組件，解鎖最終形態！
漫遊奇遇：參與活動收集漫遊骰子，在地圖中前進，取得巨大獎勵！
已購買活動：猿猴幣已購買返利高至10%，不容錯過！
鬥士超值折扣：鬥士美妮連鎖禮包升級版！更低價格，更多道具！領取可獎勵5星自選鬥士！
限時搶購：鬥士轉盤、機甲轉盤、狙擊強盜猿活動子彈道具限時折扣開啟，不容錯過！
全猿幫購：新增歡樂幣消耗獎勵、黑色星期五專屬寶箱，砍價不能停！
連鎖禮包預購：禮包限時上線，預購即享20%節日道具優惠！
每日補給：完"&amp;"成每日任務，開啟補給，取得豐厚獎勵！
核心破譯計劃：通過關卡，解密核心，免費獲取限定裝飾！更有獵豹機甲限定染色-暗金雷霆，等您來拿！
省省卡：購買省省卡，黑色星期五動態頭像框、升級英雄禮包、行軍特效、行軍表情全部半價！")</f>
        <v>-新增黑色星期五&amp;豐收節雙節活動：
城市外觀套裝：撼動星辰！參與活動可收集套裝組件，解鎖最終形態！
漫遊奇遇：參與活動收集漫遊骰子，在地圖中前進，取得巨大獎勵！
已購買活動：猿猴幣已購買返利高至10%，不容錯過！
鬥士超值折扣：鬥士美妮連鎖禮包升級版！更低價格，更多道具！領取可獎勵5星自選鬥士！
限時搶購：鬥士轉盤、機甲轉盤、狙擊強盜猿活動子彈道具限時折扣開啟，不容錯過！
全猿幫購：新增歡樂幣消耗獎勵、黑色星期五專屬寶箱，砍價不能停！
連鎖禮包預購：禮包限時上線，預購即享20%節日道具優惠！
每日補給：完成每日任務，開啟補給，取得豐厚獎勵！
核心破譯計劃：通過關卡，解密核心，免費獲取限定裝飾！更有獵豹機甲限定染色-暗金雷霆，等您來拿！
省省卡：購買省省卡，黑色星期五動態頭像框、升級英雄禮包、行軍特效、行軍表情全部半價！</v>
      </c>
      <c r="H73" s="168" t="str">
        <f>IFERROR(__xludf.DUMMYFUNCTION("""COMPUTED_VALUE"""),"- &lt;b&gt;BARU! JUMAT HITAM &amp; THANKSGIVING—PERAYAAN GANDA:&lt;/b&gt;&lt;br&gt;
Set Skin Balai Kota: &lt;b&gt;Guncangkan Bintang-Bintang!&lt;/b&gt; Buka saat semua bagian telah dikumpulkan.&lt;br&gt;
Petualangan Roaming: Kumpulkan Dadu Roaming, bergeraklah di Peta, dan raih hadiah besar!&lt;br"&amp;"&gt;
Event Top-Up: Rebate Ape Coin hingga 10%—jangan sampai ketinggalan!&lt;br&gt;
Penawaran Mega Pejuang: Paket Rantai T.Ny telah ditingkatkan! Harga lebih rendah, lebih banyak item! Memberikan Pejuang Bintang 5 pilihanmu!&lt;br&gt;
Flash Sale Waktu Terbatas: Roulette "&amp;"Pejuang, Roulette Mekanik, dan item amunisi untuk “Tembak Bandit” diskon waktu terbatas—jangan lewatkan!&lt;br&gt;
Group Buy: Hadiah konsumsi Joy Coin baru dan Peti Eksklusif Jumat Hitam—tetap tawar-menawar!&lt;br&gt;
Pre-Order Paket Rantai: Paket waktu terbatas—pre-"&amp;"order untuk diskon 20% item liburan!&lt;br&gt;
Suplai Harian: Selesaikan tantangan harian, buka suplai, dan kumpulkan hadiah!&lt;br&gt;
Proyek Dekripsi Inti: Taklukkan tahap, pecahkan inti, dan dapatkan dekorasi terbatas secara gratis! Plus, pernis eksklusif Mekanik "&amp;"Cheetah—Gemuruh Emas Gelap—menantimu!&lt;br&gt;
Kartu Hemat: Beli Kartu Hemat untuk mendapatkan Bingkai Avatar Jumat Hitam, Paket Star-Up Pejuang, Efek Berbaris, dan Emoji Berbaris dengan harga setengah!")</f>
        <v>- &lt;b&gt;BARU! JUMAT HITAM &amp; THANKSGIVING—PERAYAAN GANDA:&lt;/b&gt;&lt;br&gt;
Set Skin Balai Kota: &lt;b&gt;Guncangkan Bintang-Bintang!&lt;/b&gt; Buka saat semua bagian telah dikumpulkan.&lt;br&gt;
Petualangan Roaming: Kumpulkan Dadu Roaming, bergeraklah di Peta, dan raih hadiah besar!&lt;br&gt;
Event Top-Up: Rebate Ape Coin hingga 10%—jangan sampai ketinggalan!&lt;br&gt;
Penawaran Mega Pejuang: Paket Rantai T.Ny telah ditingkatkan! Harga lebih rendah, lebih banyak item! Memberikan Pejuang Bintang 5 pilihanmu!&lt;br&gt;
Flash Sale Waktu Terbatas: Roulette Pejuang, Roulette Mekanik, dan item amunisi untuk “Tembak Bandit” diskon waktu terbatas—jangan lewatkan!&lt;br&gt;
Group Buy: Hadiah konsumsi Joy Coin baru dan Peti Eksklusif Jumat Hitam—tetap tawar-menawar!&lt;br&gt;
Pre-Order Paket Rantai: Paket waktu terbatas—pre-order untuk diskon 20% item liburan!&lt;br&gt;
Suplai Harian: Selesaikan tantangan harian, buka suplai, dan kumpulkan hadiah!&lt;br&gt;
Proyek Dekripsi Inti: Taklukkan tahap, pecahkan inti, dan dapatkan dekorasi terbatas secara gratis! Plus, pernis eksklusif Mekanik Cheetah—Gemuruh Emas Gelap—menantimu!&lt;br&gt;
Kartu Hemat: Beli Kartu Hemat untuk mendapatkan Bingkai Avatar Jumat Hitam, Paket Star-Up Pejuang, Efek Berbaris, dan Emoji Berbaris dengan harga setengah!</v>
      </c>
      <c r="I73" s="168" t="str">
        <f>IFERROR(__xludf.DUMMYFUNCTION("""COMPUTED_VALUE"""),"- แบล็กฟรายเดย์ &amp; วันขอบคุณพระเจ้าใหม่—ฉลองสองเทศกาล:
เซ็ตสกินศาลากลาง: เขย่าดาว! ปลดล็อกเมื่อเก็บครบทุกชิ้นส่วน  
ผจญภัยท่องโลก: เก็บลูกเต๋าท่องโลก ย้ายข้ามแผนที่ และรับรางวัลมากมาย!
กิจกรรมเติมเงิน: รับ Ape Coin คืนสูงสุด 10%—ห้ามพลาด!
ดีลนักสู้พลังคูณส"&amp;"าม: แพ็กโซ่ของทีนี่อัปเกรดแล้ว! ราคาต่ำลง ไอเทมมากขึ้น! ให้คุณเลือกนักสู้ 5 ดาวได้ตามใจ!
แฟลชเซลล์จำกัดเวลา: รูเล็ตต์นักสู้, รูเล็ตต์เมค และไอเทมกระสุนสำหรับ “ยิงจอมโจร” ลดราคาจำกัดเวลา—ห้ามพลาด!
ซื้อกลุ่ม: รางวัลการบริโภค Joy Coin ใหม่ และหีบพิเศษวันศุกร"&amp;"์ที่สีดำ—ต่อรองต่อไป!
สั่งจองแพ็กโซ่ล่วงหน้า: แพ็กจำกัดเวลา—สั่งจองล่วงหน้ารับส่วนลด 20% สำหรับไอเทมเทศกาล!
ซัพพลายประจำวัน: ทำเควสต์ประจำวัน เปิดซัพพลาย และกวาดรางวัล!
โครงการถอดรหัสแกนกลาง: ผ่านด่าน ถอดรหัสแกนกลาง และรับการตกแต่งจำกัดฟรี! พร้อมแลคเกอร์พ"&amp;"ิเศษเมคเสือชีตาห์—สายฟ้าทองคำเข้ม—รอคุณอยู่!
บัตรประหยัดเงิน: ซื้อบัตรประหยัดเงิน รับกรอบอวาตาร์วันศุกร์ที่สีดำ, แพ็กอัปเกรดดาวนักสู้, เอฟเฟกต์การเดินทัพ และอิโมจิการเดินทัพในราคาครึ่งเดียว!")</f>
        <v>- แบล็กฟรายเดย์ &amp; วันขอบคุณพระเจ้าใหม่—ฉลองสองเทศกาล:
เซ็ตสกินศาลากลาง: เขย่าดาว! ปลดล็อกเมื่อเก็บครบทุกชิ้นส่วน  
ผจญภัยท่องโลก: เก็บลูกเต๋าท่องโลก ย้ายข้ามแผนที่ และรับรางวัลมากมาย!
กิจกรรมเติมเงิน: รับ Ape Coin คืนสูงสุด 10%—ห้ามพลาด!
ดีลนักสู้พลังคูณสาม: แพ็กโซ่ของทีนี่อัปเกรดแล้ว! ราคาต่ำลง ไอเทมมากขึ้น! ให้คุณเลือกนักสู้ 5 ดาวได้ตามใจ!
แฟลชเซลล์จำกัดเวลา: รูเล็ตต์นักสู้, รูเล็ตต์เมค และไอเทมกระสุนสำหรับ “ยิงจอมโจร” ลดราคาจำกัดเวลา—ห้ามพลาด!
ซื้อกลุ่ม: รางวัลการบริโภค Joy Coin ใหม่ และหีบพิเศษวันศุกร์ที่สีดำ—ต่อรองต่อไป!
สั่งจองแพ็กโซ่ล่วงหน้า: แพ็กจำกัดเวลา—สั่งจองล่วงหน้ารับส่วนลด 20% สำหรับไอเทมเทศกาล!
ซัพพลายประจำวัน: ทำเควสต์ประจำวัน เปิดซัพพลาย และกวาดรางวัล!
โครงการถอดรหัสแกนกลาง: ผ่านด่าน ถอดรหัสแกนกลาง และรับการตกแต่งจำกัดฟรี! พร้อมแลคเกอร์พิเศษเมคเสือชีตาห์—สายฟ้าทองคำเข้ม—รอคุณอยู่!
บัตรประหยัดเงิน: ซื้อบัตรประหยัดเงิน รับกรอบอวาตาร์วันศุกร์ที่สีดำ, แพ็กอัปเกรดดาวนักสู้, เอฟเฟกต์การเดินทัพ และอิโมจิการเดินทัพในราคาครึ่งเดียว!</v>
      </c>
      <c r="J73" s="168" t="str">
        <f>IFERROR(__xludf.DUMMYFUNCTION("""COMPUTED_VALUE"""),"- Nuevo Viernes Negro y Acción de Gracias—¡Doble Celebración!  
Conjunto de Aspecto del Ayuntamiento: ¡Sacude las Estrellas! Se desbloquea al recolectar todas las partes.  
Aventura Errante: Recolecta Dados Errantes, muévete por el mapa y gana recompensas"&amp;" sustanciosas.  
Evento de Recarga: ¡Reembolsos de Ape Coin de hasta el 10%—no te lo pierdas!  
Ganga Mega de Luchador: ¡El Paquete en Cadena de P. Que ha sido mejorado! ¡Precio más bajo, más objetos! ¡Concede un Luchador de 5 Estrellas a tu elección!  
V"&amp;"enta Flash por Tiempo Limitado: Ruleta de Luchador, Ruleta de Meca y objetos de munición para “Dispara al Bandido” con descuentos por tiempo limitado—¡no te lo pierdas!  
Compra en Grupo: Nuevas recompensas por consumo de Moneda de la Alegría y un Cofre E"&amp;"xclusivo de Viernes Negro—¡sigue regateando!  
Pre-Orden de Paquete en Cadena: Paquetes por tiempo limitado—¡reserva con un 20% de descuento en objetos festivos!  
Suministro Diario: Completa misiones diarias, abre el suministro y acumula recompensas.  
P"&amp;"royecto de Desencriptación del Núcleo: Supera etapas, descifra el núcleo y obtén decoraciones limitadas gratis. ¡Además, la laca exclusiva del Meca Guepardo—Trueno Oro Oscuro—te espera!  
Tarjeta de Ahorro: Compra la Tarjeta de Ahorro para obtener el Marc"&amp;"o de Avatar de Viernes Negro, el Paquete de Ascenso de Estrellas de Luchador, Efectos de Marcha y Emojis de Marcha a mitad de precio.")</f>
        <v>- Nuevo Viernes Negro y Acción de Gracias—¡Doble Celebración!  
Conjunto de Aspecto del Ayuntamiento: ¡Sacude las Estrellas! Se desbloquea al recolectar todas las partes.  
Aventura Errante: Recolecta Dados Errantes, muévete por el mapa y gana recompensas sustanciosas.  
Evento de Recarga: ¡Reembolsos de Ape Coin de hasta el 10%—no te lo pierdas!  
Ganga Mega de Luchador: ¡El Paquete en Cadena de P. Que ha sido mejorado! ¡Precio más bajo, más objetos! ¡Concede un Luchador de 5 Estrellas a tu elección!  
Venta Flash por Tiempo Limitado: Ruleta de Luchador, Ruleta de Meca y objetos de munición para “Dispara al Bandido” con descuentos por tiempo limitado—¡no te lo pierdas!  
Compra en Grupo: Nuevas recompensas por consumo de Moneda de la Alegría y un Cofre Exclusivo de Viernes Negro—¡sigue regateando!  
Pre-Orden de Paquete en Cadena: Paquetes por tiempo limitado—¡reserva con un 20% de descuento en objetos festivos!  
Suministro Diario: Completa misiones diarias, abre el suministro y acumula recompensas.  
Proyecto de Desencriptación del Núcleo: Supera etapas, descifra el núcleo y obtén decoraciones limitadas gratis. ¡Además, la laca exclusiva del Meca Guepardo—Trueno Oro Oscuro—te espera!  
Tarjeta de Ahorro: Compra la Tarjeta de Ahorro para obtener el Marco de Avatar de Viernes Negro, el Paquete de Ascenso de Estrellas de Luchador, Efectos de Marcha y Emojis de Marcha a mitad de precio.</v>
      </c>
      <c r="K73" s="168" t="str">
        <f>IFERROR(__xludf.DUMMYFUNCTION("""COMPUTED_VALUE"""),"- Новая Черная Пятница и День Благодарения — двойной праздник:
Облик городского совета: Встряхните звезды! Открывается при сборе всех частей.
Странствующее приключение: Собирайте странствующие кости, перемещайтесь по карте и получайте щедрые награды!
Собы"&amp;"тие пополнения: возврат Ape Coin до 10% — не пропустите!
Мега-набор Героя: Улучшенный цепной набор К.Роха! Ниже цена, больше предметов! Гарантирует 5-звездного Героя на ваш выбор!
Молниеносная распродажа: Рулетка Героя, Рулетка Меха и боеприпасы для «Сбей"&amp;"те бандита» — ограниченные скидки, не пропустите!
Групповая покупка: Новые награды за потребление Joy Coin и эксклюзивный ящик Черной Пятницы — продолжайте торговать!
Предзаказ цепного набора: Ограниченные наборы — предзаказ праздничных предметов со скидк"&amp;"ой 20%!
Ежедневные припасы: Выполняйте ежедневные задания, открывайте припасы и собирайте награды!
Проект расшифровки ядра: Проходите этапы, взламывайте ядро и получайте ограниченные украшения бесплатно! А также эксклюзивный лак для Меха Гепард — Тёмное З"&amp;"олото Грома — ждет вас!
Карта экономии: Купите Карту экономии, чтобы получить рамку аватара Черной Пятницы, набор для повышения звезды Героя, эффекты марша и эмодзи на марше по полцены!")</f>
        <v>- Новая Черная Пятница и День Благодарения — двойной праздник:
Облик городского совета: Встряхните звезды! Открывается при сборе всех частей.
Странствующее приключение: Собирайте странствующие кости, перемещайтесь по карте и получайте щедрые награды!
Событие пополнения: возврат Ape Coin до 10% — не пропустите!
Мега-набор Героя: Улучшенный цепной набор К.Роха! Ниже цена, больше предметов! Гарантирует 5-звездного Героя на ваш выбор!
Молниеносная распродажа: Рулетка Героя, Рулетка Меха и боеприпасы для «Сбейте бандита» — ограниченные скидки, не пропустите!
Групповая покупка: Новые награды за потребление Joy Coin и эксклюзивный ящик Черной Пятницы — продолжайте торговать!
Предзаказ цепного набора: Ограниченные наборы — предзаказ праздничных предметов со скидкой 20%!
Ежедневные припасы: Выполняйте ежедневные задания, открывайте припасы и собирайте награды!
Проект расшифровки ядра: Проходите этапы, взламывайте ядро и получайте ограниченные украшения бесплатно! А также эксклюзивный лак для Меха Гепард — Тёмное Золото Грома — ждет вас!
Карта экономии: Купите Карту экономии, чтобы получить рамку аватара Черной Пятницы, набор для повышения звезды Героя, эффекты марша и эмодзи на марше по полцены!</v>
      </c>
      <c r="L73" s="168" t="str">
        <f>IFERROR(__xludf.DUMMYFUNCTION("""COMPUTED_VALUE"""),"- Yeni Kara Cuma &amp; Şükran Günü—Çifte Kutlama:
Meclis Görünümü Seti: Yıldızları Salla! Tüm parçalar toplandığında kilidi açılır.  
Gezgin Macera: Gezgin Zarları topla, harita üzerinde ilerle ve büyük ödüller kazan!
Yükleme Etkinliği: Ape Coin iadeleri %10’"&amp;"a kadar—kaçırma!
Savaşçı Mega Fırsatı: T.Ny’nin Zincir Paketi yükseltildi! Daha düşük fiyat, daha fazla eşya! Seçtiğin 5 Yıldızlı Savaşçı veriyor!
Sınırlı Süreli Hızlı Satış: Savaşçı Ruleti, Meka Ruleti ve “Haydutu Vur” için cephane eşyalarında sınırlı sü"&amp;"reli indirimler—kaçırma!
Grup Alımı: Yeni Joy Coin tüketim ödülleri ve Kara Cuma’ya özel Sandık—pazarlığa devam et!
Zincir Paket Ön Siparişi: Sınırlı süreli paketler—tatil eşyalarında %20 indirimle ön sipariş ver!
Günlük Tedarik: Günlük maceraları tamamla"&amp;", tedariki aç ve ödülleri topla!
Çekirdek Şifre Çözme Projesi: Aşamaları geç, çekirdeği kır ve sınırlı süslemeleri ücretsiz al! Ayrıca, Çita Meka’ya özel cila—Karaaltın Gök Gürültüsü—seni bekliyor!
Tasarruf Kartı: Tasarruf Kartı satın alarak Kara Cuma Ava"&amp;"tar Çerçevesi, Savaşçı Yıldız Yükseltme Paketi, Sefer Etkileri ve Seferde Emojileri yarı fiyatına al!")</f>
        <v>- Yeni Kara Cuma &amp; Şükran Günü—Çifte Kutlama:
Meclis Görünümü Seti: Yıldızları Salla! Tüm parçalar toplandığında kilidi açılır.  
Gezgin Macera: Gezgin Zarları topla, harita üzerinde ilerle ve büyük ödüller kazan!
Yükleme Etkinliği: Ape Coin iadeleri %10’a kadar—kaçırma!
Savaşçı Mega Fırsatı: T.Ny’nin Zincir Paketi yükseltildi! Daha düşük fiyat, daha fazla eşya! Seçtiğin 5 Yıldızlı Savaşçı veriyor!
Sınırlı Süreli Hızlı Satış: Savaşçı Ruleti, Meka Ruleti ve “Haydutu Vur” için cephane eşyalarında sınırlı süreli indirimler—kaçırma!
Grup Alımı: Yeni Joy Coin tüketim ödülleri ve Kara Cuma’ya özel Sandık—pazarlığa devam et!
Zincir Paket Ön Siparişi: Sınırlı süreli paketler—tatil eşyalarında %20 indirimle ön sipariş ver!
Günlük Tedarik: Günlük maceraları tamamla, tedariki aç ve ödülleri topla!
Çekirdek Şifre Çözme Projesi: Aşamaları geç, çekirdeği kır ve sınırlı süslemeleri ücretsiz al! Ayrıca, Çita Meka’ya özel cila—Karaaltın Gök Gürültüsü—seni bekliyor!
Tasarruf Kartı: Tasarruf Kartı satın alarak Kara Cuma Avatar Çerçevesi, Savaşçı Yıldız Yükseltme Paketi, Sefer Etkileri ve Seferde Emojileri yarı fiyatına al!</v>
      </c>
      <c r="M73" s="168" t="str">
        <f>IFERROR(__xludf.DUMMYFUNCTION("""COMPUTED_VALUE"""),"- Sự kiện Thứ Sáu Đen &amp; Lễ Tạ Ơn Mới—Đại Tiệc Kép:  
Giao Diện Tòa Thị Chính: Lay Động Những Vì Sao! Mở khóa khi thu thập đủ tất cả các phần.  
Phiêu Lưu Di Động: Thu thập Xúc Xắc Di Động, di chuyển trên bản đồ và nhận phần thưởng lớn!  
Sự Kiện Nạp: Hoàn"&amp;" trả Ape Coin lên đến 10%—đừng bỏ lỡ!  
Ưu Đãi Lớn Chiến Binh: Gói Chuỗi của T.Ny đã được nâng cấp! Giá thấp hơn, nhiều vật phẩm hơn! Cấp một Chiến Binh 5 SAO tùy chọn!  
Giảm Giá Chớp Nhoáng Giới Hạn: Cò Quay Chiến Binh, Cò Quay Cơ Khí và vật phẩm đạn ch"&amp;"o “Bắn Tan Băng Cướp” đang giảm giá giới hạn—đừng bỏ lỡ!  
Mua Nhóm: Phần thưởng tiêu dùng Joy Coin mới và Rương Độc Quyền Thứ Sáu Đen—tiếp tục mặc cả!  
Đặt Trước Gói Chuỗi: Gói giới hạn thời gian—đặt trước để giảm 20% cho vật phẩm ngày lễ!  
Viện Trợ Hà"&amp;"ng Ngày: Hoàn thành nhiệm vụ hàng ngày, mở viện trợ và nhận phần thưởng!  
DỰ ÁN GIẢI MÃ LÕI: Vượt ải, giải mã lõi và nhận trang trí giới hạn miễn phí! Ngoài ra, sơn mài độc quyền Báo Đốm Cơ Khí—Sấm Sét Vàng Tối—đang chờ bạn!  
Thẻ Tiết Kiệm: Mua Thẻ Tiết"&amp;" Kiệm để nhận Khung Avatar Thứ Sáu Đen, Gói Tăng Sao Chiến Binh, HIỆU ỨNG HÀNH QUÂN và BIỂU CẢM Đang hành quân với giá chỉ bằng một nửa!")</f>
        <v>- Sự kiện Thứ Sáu Đen &amp; Lễ Tạ Ơn Mới—Đại Tiệc Kép:  
Giao Diện Tòa Thị Chính: Lay Động Những Vì Sao! Mở khóa khi thu thập đủ tất cả các phần.  
Phiêu Lưu Di Động: Thu thập Xúc Xắc Di Động, di chuyển trên bản đồ và nhận phần thưởng lớn!  
Sự Kiện Nạp: Hoàn trả Ape Coin lên đến 10%—đừng bỏ lỡ!  
Ưu Đãi Lớn Chiến Binh: Gói Chuỗi của T.Ny đã được nâng cấp! Giá thấp hơn, nhiều vật phẩm hơn! Cấp một Chiến Binh 5 SAO tùy chọn!  
Giảm Giá Chớp Nhoáng Giới Hạn: Cò Quay Chiến Binh, Cò Quay Cơ Khí và vật phẩm đạn cho “Bắn Tan Băng Cướp” đang giảm giá giới hạn—đừng bỏ lỡ!  
Mua Nhóm: Phần thưởng tiêu dùng Joy Coin mới và Rương Độc Quyền Thứ Sáu Đen—tiếp tục mặc cả!  
Đặt Trước Gói Chuỗi: Gói giới hạn thời gian—đặt trước để giảm 20% cho vật phẩm ngày lễ!  
Viện Trợ Hàng Ngày: Hoàn thành nhiệm vụ hàng ngày, mở viện trợ và nhận phần thưởng!  
DỰ ÁN GIẢI MÃ LÕI: Vượt ải, giải mã lõi và nhận trang trí giới hạn miễn phí! Ngoài ra, sơn mài độc quyền Báo Đốm Cơ Khí—Sấm Sét Vàng Tối—đang chờ bạn!  
Thẻ Tiết Kiệm: Mua Thẻ Tiết Kiệm để nhận Khung Avatar Thứ Sáu Đen, Gói Tăng Sao Chiến Binh, HIỆU ỨNG HÀNH QUÂN và BIỂU CẢM Đang hành quân với giá chỉ bằng một nửa!</v>
      </c>
      <c r="N73" s="169" t="str">
        <f>IFERROR(__xludf.DUMMYFUNCTION("""COMPUTED_VALUE"""),"- Nuovo Black Friday &amp; Ringraziamento—Doppia Celebrazione:
Aspetto del Municipio: Scuoti le Stelle! Si sblocca quando tutte le parti sono raccolte.  
Avventura Itinerante: Raccogli Dadi Itineranti, spostati sulla mappa e ottieni ricompense sostanziose!
Ev"&amp;"ento di Ricarica: Rimborso Ape Coin fino al 10%—non perderlo!
Mega Offerta Combattenti: Pacchetto Catena di T.Ny potenziato! Prezzo più basso, più oggetti! Concede un Combattente 5 Stelle a tua scelta!
Offerta Lampo a Tempo Limitato: Roulette Combattenti,"&amp;" Roulette Mech e oggetti munizioni per “Spara ai Banditi” in sconto a tempo limitato—non perderla!
Acquisto di Gruppo: Nuove ricompense di consumo Joy Coin e una Cassa esclusiva del Venerdì Nero—continua a trattare!
Pre-ordine Pacchetto Catena: Pacchetti "&amp;"a tempo limitato—pre-ordina con il 20% di sconto sugli oggetti festivi!
Scorte Giornaliere: Completa le missioni giornaliere, apri le scorte e accumula ricompense!
Progetto di Decrittazione del Nucleo: Supera le fasi, decifra il nucleo e ottieni decorazio"&amp;"ni limitate gratis! Inoltre, la lacca esclusiva Mech Ghepardo—Tuono Oro Oscuro—ti aspetta!
Carta Risparmio: Acquista la Carta Risparmio per ottenere la Cornice Avatar del Venerdì Nero, Pacchetto Potenziamento Stelle Combattente, Effetti di Marcia e Emoji "&amp;"di Marcia a metà prezzo!")</f>
        <v>- Nuovo Black Friday &amp; Ringraziamento—Doppia Celebrazione:
Aspetto del Municipio: Scuoti le Stelle! Si sblocca quando tutte le parti sono raccolte.  
Avventura Itinerante: Raccogli Dadi Itineranti, spostati sulla mappa e ottieni ricompense sostanziose!
Evento di Ricarica: Rimborso Ape Coin fino al 10%—non perderlo!
Mega Offerta Combattenti: Pacchetto Catena di T.Ny potenziato! Prezzo più basso, più oggetti! Concede un Combattente 5 Stelle a tua scelta!
Offerta Lampo a Tempo Limitato: Roulette Combattenti, Roulette Mech e oggetti munizioni per “Spara ai Banditi” in sconto a tempo limitato—non perderla!
Acquisto di Gruppo: Nuove ricompense di consumo Joy Coin e una Cassa esclusiva del Venerdì Nero—continua a trattare!
Pre-ordine Pacchetto Catena: Pacchetti a tempo limitato—pre-ordina con il 20% di sconto sugli oggetti festivi!
Scorte Giornaliere: Completa le missioni giornaliere, apri le scorte e accumula ricompense!
Progetto di Decrittazione del Nucleo: Supera le fasi, decifra il nucleo e ottieni decorazioni limitate gratis! Inoltre, la lacca esclusiva Mech Ghepardo—Tuono Oro Oscuro—ti aspetta!
Carta Risparmio: Acquista la Carta Risparmio per ottenere la Cornice Avatar del Venerdì Nero, Pacchetto Potenziamento Stelle Combattente, Effetti di Marcia e Emoji di Marcia a metà prezzo!</v>
      </c>
      <c r="O73" s="168" t="str">
        <f>IFERROR(__xludf.DUMMYFUNCTION("""COMPUTED_VALUE"""),"- NOWY CZARNY PIĄTEK &amp; ŚWIĘTO DZIĘKCZYNIENIA—PODWÓJNA CELEBRACJA:
Zestaw Skórek Ratusza: Potrząśnij Gwiazdami! Odblo­kowuje się po zebraniu wszystkich części.  
Wędrowna Przygoda: Zbieraj Wędrowne Kości, przemieszczaj się po mapie i zdobywaj solidne nagro"&amp;"dy!
Wydarzenie Doładowania: Zwroty Ape Coin do 10%—nie przegap!
Mega Okazja Wojowników: Pakiet Łańcuchowy M.ła ulepszony! Niższa cena, więcej klamotów! Udziela 5-Gwiazdkowego Wojownika do wyboru!
Błyskawiczna Wyprzedaż Limitowana: Ruletka Wojownika, Rulet"&amp;"ka Mecha oraz amunicja do „Zestrzel Bandy­tę” w limitowanych promocjach—nie przegap!
Zakupy Grupowe: Nowe nagrody za konsumpcję Joy Coin oraz ekskluzywna Skrzynia na Czarny Piątek—kontynuuj okazję!
Przedsprzedaż Pakietu Łańcuchowego: Limitowane pakiety—za"&amp;"mów przedpremierowo i zyskaj 20% zniżki na świąteczne przedmioty!
Codzienne Zaopatrzenie: Wykonuj codzienne zadania, otwieraj zaopatrzenie i zgarniaj nagrody!
PROJEKT DESZYFRACJI RDZENIA: Pokonuj etapy, rozpracuj rdzeń i odbieraj limitowane dekoracje za d"&amp;"armo! Dodatkowo, ekskluzywny lakier Gepard Mech—Ciemnozłoty Grzmot—czeka!
Karta Oszczędnościowa: Kup Kartę Oszczędnościową, aby zdobyć Ramkę Awatara na Czarny Piątek, Pakiet Gwiazdek Wojownika, Efekty Marszu i Emoji Marszu za pół ceny!")</f>
        <v>- NOWY CZARNY PIĄTEK &amp; ŚWIĘTO DZIĘKCZYNIENIA—PODWÓJNA CELEBRACJA:
Zestaw Skórek Ratusza: Potrząśnij Gwiazdami! Odblo­kowuje się po zebraniu wszystkich części.  
Wędrowna Przygoda: Zbieraj Wędrowne Kości, przemieszczaj się po mapie i zdobywaj solidne nagrody!
Wydarzenie Doładowania: Zwroty Ape Coin do 10%—nie przegap!
Mega Okazja Wojowników: Pakiet Łańcuchowy M.ła ulepszony! Niższa cena, więcej klamotów! Udziela 5-Gwiazdkowego Wojownika do wyboru!
Błyskawiczna Wyprzedaż Limitowana: Ruletka Wojownika, Ruletka Mecha oraz amunicja do „Zestrzel Bandy­tę” w limitowanych promocjach—nie przegap!
Zakupy Grupowe: Nowe nagrody za konsumpcję Joy Coin oraz ekskluzywna Skrzynia na Czarny Piątek—kontynuuj okazję!
Przedsprzedaż Pakietu Łańcuchowego: Limitowane pakiety—zamów przedpremierowo i zyskaj 20% zniżki na świąteczne przedmioty!
Codzienne Zaopatrzenie: Wykonuj codzienne zadania, otwieraj zaopatrzenie i zgarniaj nagrody!
PROJEKT DESZYFRACJI RDZENIA: Pokonuj etapy, rozpracuj rdzeń i odbieraj limitowane dekoracje za darmo! Dodatkowo, ekskluzywny lakier Gepard Mech—Ciemnozłoty Grzmot—czeka!
Karta Oszczędnościowa: Kup Kartę Oszczędnościową, aby zdobyć Ramkę Awatara na Czarny Piątek, Pakiet Gwiazdek Wojownika, Efekty Marszu i Emoji Marszu za pół ceny!</v>
      </c>
      <c r="P73" s="168" t="str">
        <f>IFERROR(__xludf.DUMMYFUNCTION("""COMPUTED_VALUE"""),"- الجمعة السوداء الجديدة وعيد الشكر—احتفال مزدوج:
مجموعة زينة قاعة المدينة: هز النجوم! تفتح عند جمع جميع الأجزاء.
مغامرة التجوال: جمع نرد التجوال، التحرك عبر الخريطة، والحصول على الجوائز الضخمة!
حدث الشحن: استرداد عملات القرد حتى 10%—لا تفوت الفرصة!
صفقة "&amp;"ميجا المقاتلين: باقة سلسلة تيني تمت ترقيتها! سعر أقل، عناصر أكثر! تمنحك مقاتل 5 نجوم من اختيارك!
تخفيضات سريعة لفترة محدودة: روليت المقاتلين، روليت الميكا، وعناصر الذخيرة لـ""إطلاق النار على اللصوص"" بخصومات محدودة—لا تفوتها!
شراء جماعي: مكافآت استهلاك عم"&amp;"لة جوي الجديدة وصندوق حصري للجمعة السوداء—استمر في التفاوض!
طلب مسبق لباقة السلسلة: باقات محدودة—اطلب مسبقًا واحصل على خصم 20% على عناصر العطلة!
الإمدادات اليومية: أكمل المهام اليومية، افتح الإمدادات، واحصل على الجوائز!
مشروع فك تشفير النواة: تجاوز المراح"&amp;"ل، فك النواة، واحصل على الديكورات المحدودة مجانًا! بالإضافة إلى طلاء ميكا الفهد الحصري—رعد الذهب الداكن—بانتظارك!
بطاقة التوفير: اشترِ بطاقة التوفير لتحصل على إطار صورة الجمعة السوداء، باقة ترقية نجوم المقاتلين، تأثيرات المسيرة، وإيموجي المسيرة بنصف السعر"&amp;"!")</f>
        <v>- الجمعة السوداء الجديدة وعيد الشكر—احتفال مزدوج:
مجموعة زينة قاعة المدينة: هز النجوم! تفتح عند جمع جميع الأجزاء.
مغامرة التجوال: جمع نرد التجوال، التحرك عبر الخريطة، والحصول على الجوائز الضخمة!
حدث الشحن: استرداد عملات القرد حتى 10%—لا تفوت الفرصة!
صفقة ميجا المقاتلين: باقة سلسلة تيني تمت ترقيتها! سعر أقل، عناصر أكثر! تمنحك مقاتل 5 نجوم من اختيارك!
تخفيضات سريعة لفترة محدودة: روليت المقاتلين، روليت الميكا، وعناصر الذخيرة لـ"إطلاق النار على اللصوص" بخصومات محدودة—لا تفوتها!
شراء جماعي: مكافآت استهلاك عملة جوي الجديدة وصندوق حصري للجمعة السوداء—استمر في التفاوض!
طلب مسبق لباقة السلسلة: باقات محدودة—اطلب مسبقًا واحصل على خصم 20% على عناصر العطلة!
الإمدادات اليومية: أكمل المهام اليومية، افتح الإمدادات، واحصل على الجوائز!
مشروع فك تشفير النواة: تجاوز المراحل، فك النواة، واحصل على الديكورات المحدودة مجانًا! بالإضافة إلى طلاء ميكا الفهد الحصري—رعد الذهب الداكن—بانتظارك!
بطاقة التوفير: اشترِ بطاقة التوفير لتحصل على إطار صورة الجمعة السوداء، باقة ترقية نجوم المقاتلين، تأثيرات المسيرة، وإيموجي المسيرة بنصف السعر!</v>
      </c>
      <c r="Q73" s="168" t="str">
        <f>IFERROR(__xludf.DUMMYFUNCTION("""COMPUTED_VALUE"""),"- 新ブラック金曜日＆感謝祭—ダブルセレブレーション：&lt;br&gt;
基地スキンセット：星を揺るがせ！全パーツ収集でアンロック。&lt;br&gt;
ローミングアドベンチャー：ローミングダイスを収集し、マップを移動して豪華報酬を獲得！&lt;br&gt;
トップアップイベント：エイプコイン還元最大10%—お見逃しなく！&lt;br&gt;
ファイターメガディール：メイニーのチェーンパックがアップグレード！価格ダウン、アイテム増量！お好きな5-星ファイターを助成！&lt;br&gt;
期間限定フラッシュセール：「バンディットを狙撃せよ！」用ファイタールーレット"&amp;"、メックルーレット、弾薬アイテムが期間限定割引—お見逃しなく！&lt;br&gt;
グループ購入：新しいジョイコイン消費報酬＆ブラック金曜日独占チェスト—バーゲンを続けてください！&lt;br&gt;
チェーンパック予約注文：期間限定パック—ホリデーアイテムが20%オフで予約可能！&lt;br&gt;
デイリーサプライ：デイリークエストを終了し、サプライを開いて報酬を獲得！&lt;br&gt;
コア復号プロジェクト：ステージをクリアし、コアを復号して限定装飾品を無料でゲット！さらに、メカチーター専用漆製品「ダークゴールドサンダー」も登場！&lt;br&gt;
節約"&amp;"カード：節約カードを購入すると、ブラック金曜日アバターフレーム、ファイタースターアップパック、行軍エフェクト、行軍絵文字が半額で入手可能！")</f>
        <v>- 新ブラック金曜日＆感謝祭—ダブルセレブレーション：&lt;br&gt;
基地スキンセット：星を揺るがせ！全パーツ収集でアンロック。&lt;br&gt;
ローミングアドベンチャー：ローミングダイスを収集し、マップを移動して豪華報酬を獲得！&lt;br&gt;
トップアップイベント：エイプコイン還元最大10%—お見逃しなく！&lt;br&gt;
ファイターメガディール：メイニーのチェーンパックがアップグレード！価格ダウン、アイテム増量！お好きな5-星ファイターを助成！&lt;br&gt;
期間限定フラッシュセール：「バンディットを狙撃せよ！」用ファイタールーレット、メックルーレット、弾薬アイテムが期間限定割引—お見逃しなく！&lt;br&gt;
グループ購入：新しいジョイコイン消費報酬＆ブラック金曜日独占チェスト—バーゲンを続けてください！&lt;br&gt;
チェーンパック予約注文：期間限定パック—ホリデーアイテムが20%オフで予約可能！&lt;br&gt;
デイリーサプライ：デイリークエストを終了し、サプライを開いて報酬を獲得！&lt;br&gt;
コア復号プロジェクト：ステージをクリアし、コアを復号して限定装飾品を無料でゲット！さらに、メカチーター専用漆製品「ダークゴールドサンダー」も登場！&lt;br&gt;
節約カード：節約カードを購入すると、ブラック金曜日アバターフレーム、ファイタースターアップパック、行軍エフェクト、行軍絵文字が半額で入手可能！</v>
      </c>
      <c r="R73" s="168" t="str">
        <f>IFERROR(__xludf.DUMMYFUNCTION("""COMPUTED_VALUE"""),"- 새로운 블랙 금요일 &amp; 추수감사절—더블 축제:
기지 스킨 세트: 별들을 흔들어라! 모든 부품을 수집하면 잠금 해제됩니다.  
로밍 어드벤처: 로밍 주사위를 수집하고, 지도를 이동하며, 풍성한 보상을 획득하세요!
충전 이벤트: 에이프 코인 최대 10% 환급—놓치지 마세요!
전사 메가 딜: 메이니의 체인 패키지 업그레이드! 더 저렴한 가격, 더 많은 아이템! 원하는 5-별 전사 부여!
한정 플래시 세일: 전사 룰렛, 메카 룰렛, 그리고 강도 원숭이 저격"&amp;"용 탄약 아이템이 한정 할인—절대 놓치지 마세요!
그룹 구매: 새로운 조이 코인 소비 보상과 블랙 금요일 독점 상자—흥정을 계속하십시오!
체인 패키지 사전 주문: 한정 패키지—휴일 아이템 20% 할인으로 사전 주문하세요!
일일 보급: 일일 임무를 완료하고, 보급을 열어, 보상을 쓸어 담으세요!
코어 해독 프로젝트: 단계를 클리어하고, 코어를 해독하여, 한정 장식을 무료로 얻으세요! 또한 치타 메카 독점 래커—암흑금 번개—가 기다립니다!
절약 카드: 절약"&amp;" 카드를 구매하면 블랙 금요일 아바타 프레임, 전사 스타업 패키지, 행군 이펙트, 행군 이모티콘을 반값에 획득할 수 있습니다!")</f>
        <v>- 새로운 블랙 금요일 &amp; 추수감사절—더블 축제:
기지 스킨 세트: 별들을 흔들어라! 모든 부품을 수집하면 잠금 해제됩니다.  
로밍 어드벤처: 로밍 주사위를 수집하고, 지도를 이동하며, 풍성한 보상을 획득하세요!
충전 이벤트: 에이프 코인 최대 10% 환급—놓치지 마세요!
전사 메가 딜: 메이니의 체인 패키지 업그레이드! 더 저렴한 가격, 더 많은 아이템! 원하는 5-별 전사 부여!
한정 플래시 세일: 전사 룰렛, 메카 룰렛, 그리고 강도 원숭이 저격용 탄약 아이템이 한정 할인—절대 놓치지 마세요!
그룹 구매: 새로운 조이 코인 소비 보상과 블랙 금요일 독점 상자—흥정을 계속하십시오!
체인 패키지 사전 주문: 한정 패키지—휴일 아이템 20% 할인으로 사전 주문하세요!
일일 보급: 일일 임무를 완료하고, 보급을 열어, 보상을 쓸어 담으세요!
코어 해독 프로젝트: 단계를 클리어하고, 코어를 해독하여, 한정 장식을 무료로 얻으세요! 또한 치타 메카 독점 래커—암흑금 번개—가 기다립니다!
절약 카드: 절약 카드를 구매하면 블랙 금요일 아바타 프레임, 전사 스타업 패키지, 행군 이펙트, 행군 이모티콘을 반값에 획득할 수 있습니다!</v>
      </c>
      <c r="S73" s="148"/>
      <c r="T73" s="148"/>
      <c r="U73" s="148"/>
      <c r="V73" s="148"/>
      <c r="W73" s="148"/>
      <c r="X73" s="148"/>
      <c r="Y73" s="148"/>
      <c r="Z73" s="148"/>
    </row>
    <row r="74">
      <c r="A74" s="167" t="str">
        <f>IFERROR(__xludf.DUMMYFUNCTION("""COMPUTED_VALUE"""),"0.82.0")</f>
        <v>0.82.0</v>
      </c>
      <c r="B74" s="148" t="str">
        <f>IFERROR(__xludf.DUMMYFUNCTION("""COMPUTED_VALUE"""),"--新增集卡册系统：玩家可以收集不同的卡牌，与其他玩家交换来集齐套卡，获得外观奖励！
--帮派系统优化：现在地震机的相关信息会在帮派日志中记载了。
--科林的探索优化：正在进行中的任务图标会改变颜色，帮助玩家识别。
--押运玩法优化：押运奖励不再通过邮件发放，押运完成后自动获得奖励。")</f>
        <v>--新增集卡册系统：玩家可以收集不同的卡牌，与其他玩家交换来集齐套卡，获得外观奖励！
--帮派系统优化：现在地震机的相关信息会在帮派日志中记载了。
--科林的探索优化：正在进行中的任务图标会改变颜色，帮助玩家识别。
--押运玩法优化：押运奖励不再通过邮件发放，押运完成后自动获得奖励。</v>
      </c>
      <c r="C74" s="148" t="str">
        <f>IFERROR(__xludf.DUMMYFUNCTION("""COMPUTED_VALUE"""),"--New Card Album: Collect different cards, trade with other players to complete sets, and unlock skins!
--Gang System: Info related to the Earthquaker is now recorded in the Gang Log.
--Colin’s Exploration: Icons for ongoing quests now change color, makin"&amp;"g them easier to spot.
--Convoy Mode: Convoy rewards are no longer sent by mail—you receive them automatically once the convoy is complete.
")</f>
        <v>--New Card Album: Collect different cards, trade with other players to complete sets, and unlock skins!
--Gang System: Info related to the Earthquaker is now recorded in the Gang Log.
--Colin’s Exploration: Icons for ongoing quests now change color, making them easier to spot.
--Convoy Mode: Convoy rewards are no longer sent by mail—you receive them automatically once the convoy is complete.
</v>
      </c>
      <c r="D74" s="148" t="str">
        <f>IFERROR(__xludf.DUMMYFUNCTION("""COMPUTED_VALUE"""),"--Nouvel Album de Cartes : Collectionnez différentes cartes, échangez avec d'autres joueurs pour compléter les collections et débloquer des skins !  
--Système de Gang : Les informations liées au Earthquaker sont désormais enregistrées dans le Journal du "&amp;"Gang.  
--Exploration de Colin : Les icônes des quêtes en cours changent désormais de couleur, ce qui les rend plus faciles à repérer.  
--Mode Convoi : Les récompenses de convoi ne sont plus envoyées par mail—vous les recevez automatiquement une fois le "&amp;"convoi terminé.")</f>
        <v>--Nouvel Album de Cartes : Collectionnez différentes cartes, échangez avec d'autres joueurs pour compléter les collections et débloquer des skins !  
--Système de Gang : Les informations liées au Earthquaker sont désormais enregistrées dans le Journal du Gang.  
--Exploration de Colin : Les icônes des quêtes en cours changent désormais de couleur, ce qui les rend plus faciles à repérer.  
--Mode Convoi : Les récompenses de convoi ne sont plus envoyées par mail—vous les recevez automatiquement une fois le convoi terminé.</v>
      </c>
      <c r="E74" s="148" t="str">
        <f>IFERROR(__xludf.DUMMYFUNCTION("""COMPUTED_VALUE"""),"--Neues Kartenalbum: Sammle verschiedene Karten, tausche mit anderen Spielern, um Sets zu vervollständigen, und schalte Skins frei!  
--Clan-System: Infos zum Earthquaker werden jetzt im Clan-Logbuch protokolliert.  
--Colins Erkundung: Die Symbole für la"&amp;"ufende Quests ändern jetzt die Farbe, sodass sie leichter zu erkennen sind.  
--Konvoi-Modus: Konvoi-Belohnungen werden nicht mehr per Mail gesendet – du erhältst sie automatisch, sobald der Konvoi abgeschlossen ist.")</f>
        <v>--Neues Kartenalbum: Sammle verschiedene Karten, tausche mit anderen Spielern, um Sets zu vervollständigen, und schalte Skins frei!  
--Clan-System: Infos zum Earthquaker werden jetzt im Clan-Logbuch protokolliert.  
--Colins Erkundung: Die Symbole für laufende Quests ändern jetzt die Farbe, sodass sie leichter zu erkennen sind.  
--Konvoi-Modus: Konvoi-Belohnungen werden nicht mehr per Mail gesendet – du erhältst sie automatisch, sobald der Konvoi abgeschlossen ist.</v>
      </c>
      <c r="F74" s="148" t="str">
        <f>IFERROR(__xludf.DUMMYFUNCTION("""COMPUTED_VALUE"""),"--Novo Álbum de Cartão: Colete diferentes cartões, troque com outros jogadores para completar conjuntos e desbloqueie skins!  
--Sistema de Gangue: Informações relacionadas ao Earthquaker agora são registradas no Registro da Gangue.  
--Exploração do Coli"&amp;"n: Ícones para missões em andamento agora mudam de cor, tornando-os mais fáceis de identificar.  
--Modo Comboio: As recompensas de Comboio não são mais enviadas por correio—você as recebe automaticamente assim que o comboio for concluído.")</f>
        <v>--Novo Álbum de Cartão: Colete diferentes cartões, troque com outros jogadores para completar conjuntos e desbloqueie skins!  
--Sistema de Gangue: Informações relacionadas ao Earthquaker agora são registradas no Registro da Gangue.  
--Exploração do Colin: Ícones para missões em andamento agora mudam de cor, tornando-os mais fáceis de identificar.  
--Modo Comboio: As recompensas de Comboio não são mais enviadas por correio—você as recebe automaticamente assim que o comboio for concluído.</v>
      </c>
      <c r="G74" s="148" t="str">
        <f>IFERROR(__xludf.DUMMYFUNCTION("""COMPUTED_VALUE"""),"--新增集卡冊系統：玩家可以收集不同的卡牌，與其他玩家交換來集齊套卡，取得外觀獎勵！
--幫派系統優化：現在地震機的相關資訊會在幫派日誌中記載了。
--科林的探索優化：進行中的任務圖示會改變顏色，協助玩家識別。
--車隊運送玩法優化：車隊運送獎勵不再通過郵件分配，車隊運送任務完成後自動取得獎勵。")</f>
        <v>--新增集卡冊系統：玩家可以收集不同的卡牌，與其他玩家交換來集齊套卡，取得外觀獎勵！
--幫派系統優化：現在地震機的相關資訊會在幫派日誌中記載了。
--科林的探索優化：進行中的任務圖示會改變顏色，協助玩家識別。
--車隊運送玩法優化：車隊運送獎勵不再通過郵件分配，車隊運送任務完成後自動取得獎勵。</v>
      </c>
      <c r="H74" s="148" t="str">
        <f>IFERROR(__xludf.DUMMYFUNCTION("""COMPUTED_VALUE"""),"--Album Kartu Baru: Kumpulkan berbagai kartu, ganti dengan pemain lain untuk melengkapi set, dan buka kulit!
--Sistem Geng: Informasi terkait Earthquaker sekarang dicatat di LOG GENG.
--Eksplorasi Colin: Ikon untuk tantangan yang sedang berlangsung sekara"&amp;"ng berubah warna, sehingga lebih mudah ditemukan.
--Mode Konvoi: Hadiah Konvoi tidak lagi dikirim melalui surat—Anda menerima hadiah secara otomatis setelah konvoi selesai.")</f>
        <v>--Album Kartu Baru: Kumpulkan berbagai kartu, ganti dengan pemain lain untuk melengkapi set, dan buka kulit!
--Sistem Geng: Informasi terkait Earthquaker sekarang dicatat di LOG GENG.
--Eksplorasi Colin: Ikon untuk tantangan yang sedang berlangsung sekarang berubah warna, sehingga lebih mudah ditemukan.
--Mode Konvoi: Hadiah Konvoi tidak lagi dikirim melalui surat—Anda menerima hadiah secara otomatis setelah konvoi selesai.</v>
      </c>
      <c r="I74" s="148" t="str">
        <f>IFERROR(__xludf.DUMMYFUNCTION("""COMPUTED_VALUE"""),"--อัลบั้มการ์ดใหม่: เก็บการ์ดต่างๆ แลกเปลี่ยนกับผู้เล่นคนอื่นเพื่อสะสมชุดให้ครบ และปลดล็อกสกิน!
--ระบบแก๊ง: ข้อมูลที่เกี่ยวข้องกับ Earthquaker จะถูกบันทึกไว้ในบันทึกแก๊งแล้ว
--การสำรวจของโคลิน: ไอคอนสำหรับเควสต์ที่กำลังทำการท้าทายจะเปลี่ยนสี ทำให้สังเกตได"&amp;"้ง่ายขึ้น
--โหมดรถคอนวอย: รางวัลการขนรถคอนวอยสำเร็จจะไม่ได้รับทางจดหมายอีกต่อไป—คุณจะได้รับรางวัลโดยอัตโนมัติเมื่อรถคอนวอยเสร็จสิ้น")</f>
        <v>--อัลบั้มการ์ดใหม่: เก็บการ์ดต่างๆ แลกเปลี่ยนกับผู้เล่นคนอื่นเพื่อสะสมชุดให้ครบ และปลดล็อกสกิน!
--ระบบแก๊ง: ข้อมูลที่เกี่ยวข้องกับ Earthquaker จะถูกบันทึกไว้ในบันทึกแก๊งแล้ว
--การสำรวจของโคลิน: ไอคอนสำหรับเควสต์ที่กำลังทำการท้าทายจะเปลี่ยนสี ทำให้สังเกตได้ง่ายขึ้น
--โหมดรถคอนวอย: รางวัลการขนรถคอนวอยสำเร็จจะไม่ได้รับทางจดหมายอีกต่อไป—คุณจะได้รับรางวัลโดยอัตโนมัติเมื่อรถคอนวอยเสร็จสิ้น</v>
      </c>
      <c r="J74" s="148" t="str">
        <f>IFERROR(__xludf.DUMMYFUNCTION("""COMPUTED_VALUE"""),"--Nuevo Álbum de Tarjetas: Recolecta diferentes tarjetas, intercambia con otros jugadores para completar colecciones y desbloquea texturas.&lt;br&gt;--Sistema de Banda: La información relacionada con el Earthquaker ahora se registra en el Registro de la Banda.&lt;"&amp;"br&gt;--Exploración de Colin: Los íconos de las misiones en curso ahora cambian de color, lo que facilita su identificación.&lt;br&gt;--Modo Escolta: Las recompensas de la escolta ya no se envían por correo; las recibes automáticamente una vez que la escolta se co"&amp;"mpleta.")</f>
        <v>--Nuevo Álbum de Tarjetas: Recolecta diferentes tarjetas, intercambia con otros jugadores para completar colecciones y desbloquea texturas.&lt;br&gt;--Sistema de Banda: La información relacionada con el Earthquaker ahora se registra en el Registro de la Banda.&lt;br&gt;--Exploración de Colin: Los íconos de las misiones en curso ahora cambian de color, lo que facilita su identificación.&lt;br&gt;--Modo Escolta: Las recompensas de la escolta ya no se envían por correo; las recibes automáticamente una vez que la escolta se completa.</v>
      </c>
      <c r="K74" s="148" t="str">
        <f>IFERROR(__xludf.DUMMYFUNCTION("""COMPUTED_VALUE"""),"--Новый альбом карт: Собирайте разные карты, обменивайтесь с другими игроками, чтобы завершить коллекции, и открывайте облики!
--Система банд: Сведения, связанные с Землетрясателем, теперь записываются в журнал банды.
--Исследование Колина: Значки для иду"&amp;"щих заданий теперь меняют цвет, чтобы их было легче заметить.
--Режим каравана: Награды каравана больше не отправляются по почте — вы получаете их автоматически после завершения каравана.")</f>
        <v>--Новый альбом карт: Собирайте разные карты, обменивайтесь с другими игроками, чтобы завершить коллекции, и открывайте облики!
--Система банд: Сведения, связанные с Землетрясателем, теперь записываются в журнал банды.
--Исследование Колина: Значки для идущих заданий теперь меняют цвет, чтобы их было легче заметить.
--Режим каравана: Награды каравана больше не отправляются по почте — вы получаете их автоматически после завершения каравана.</v>
      </c>
      <c r="L74" s="148" t="str">
        <f>IFERROR(__xludf.DUMMYFUNCTION("""COMPUTED_VALUE"""),"--Yeni Kart Albümü: Farklı kartları topla, diğer oyuncularla takas et, setleri tamamla ve görünümlerin kilidini aç!
--Çete Sistemi: Depremci ile ilgili bilgiler artık Çete Günlüğü'nde kaydediliyor.
--Colin’in Macerası: Devam eden maceralar için simgelerin"&amp;" rengi artık değişiyor, böylece onları fark etmek daha kolay.
--Konvoy Modu: Konvoy ödülleri artık posta ile gönderilmiyor—konvoy tamamlandığında ödülleri otomatik olarak alıyorsun.")</f>
        <v>--Yeni Kart Albümü: Farklı kartları topla, diğer oyuncularla takas et, setleri tamamla ve görünümlerin kilidini aç!
--Çete Sistemi: Depremci ile ilgili bilgiler artık Çete Günlüğü'nde kaydediliyor.
--Colin’in Macerası: Devam eden maceralar için simgelerin rengi artık değişiyor, böylece onları fark etmek daha kolay.
--Konvoy Modu: Konvoy ödülleri artık posta ile gönderilmiyor—konvoy tamamlandığında ödülleri otomatik olarak alıyorsun.</v>
      </c>
      <c r="M74" s="148" t="str">
        <f>IFERROR(__xludf.DUMMYFUNCTION("""COMPUTED_VALUE"""),"--Album Thẻ Mới: Thu thập các thẻ khác nhau, thay thế với người chơi khác để hoàn thành bộ sưu tập, và mở khóa ngoại trang!
--Hệ Thống Bang Hội: Thông tin liên quan đến Earthquaker hiện đã được ghi lại trong Nhật Ký Bang Hội.
--Khám Phá của Colin: Biểu tư"&amp;"ợng cho các nhiệm vụ đang diễn ra giờ sẽ thay đổi màu sắc, giúp bạn dễ dàng nhận biết hơn.
--Chế Độ Xe Chuyên Chở: Phần thưởng Xe Chuyên Chở sẽ không còn được gửi qua thư—bạn nhận được tự động khi xe chuyên chở hoàn thành.")</f>
        <v>--Album Thẻ Mới: Thu thập các thẻ khác nhau, thay thế với người chơi khác để hoàn thành bộ sưu tập, và mở khóa ngoại trang!
--Hệ Thống Bang Hội: Thông tin liên quan đến Earthquaker hiện đã được ghi lại trong Nhật Ký Bang Hội.
--Khám Phá của Colin: Biểu tượng cho các nhiệm vụ đang diễn ra giờ sẽ thay đổi màu sắc, giúp bạn dễ dàng nhận biết hơn.
--Chế Độ Xe Chuyên Chở: Phần thưởng Xe Chuyên Chở sẽ không còn được gửi qua thư—bạn nhận được tự động khi xe chuyên chở hoàn thành.</v>
      </c>
      <c r="N74" s="108" t="str">
        <f>IFERROR(__xludf.DUMMYFUNCTION("""COMPUTED_VALUE"""),"--Nuovo Album di Carte: Raccogli carte diverse, scambia con altri giocatori per completare i set e sbloccare aspetti!
--Sistema Gang: Le informazioni relative all’Earthquaker sono ora registrate nel Registro della Gang.
--Esplorazione di Colin: Le icone d"&amp;"elle missioni in corso ora cambiano colore, rendendole più facili da individuare.
--Modalità Convoglio: Le ricompense del convoglio non vengono più inviate tramite posta—le ricevi automaticamente una volta completato il convoglio.")</f>
        <v>--Nuovo Album di Carte: Raccogli carte diverse, scambia con altri giocatori per completare i set e sbloccare aspetti!
--Sistema Gang: Le informazioni relative all’Earthquaker sono ora registrate nel Registro della Gang.
--Esplorazione di Colin: Le icone delle missioni in corso ora cambiano colore, rendendole più facili da individuare.
--Modalità Convoglio: Le ricompense del convoglio non vengono più inviate tramite posta—le ricevi automaticamente una volta completato il convoglio.</v>
      </c>
      <c r="O74" s="148" t="str">
        <f>IFERROR(__xludf.DUMMYFUNCTION("""COMPUTED_VALUE"""),"--Nowy Album Kart: Zbieraj różne karty, wymieniaj się z innymi graczami, aby skompletować zestawy i odblokować skórki!
--System Gangów: Informacje związane z Earthquakerem są teraz rejestrowane w Dzienniku Gangu.
--Eksploracja Colina: Ikony zadań w toku t"&amp;"eraz zmieniają kolor, co ułatwia ich zauważenie.
--Tryb Konwoju: Nagrody za Konwój nie są już wysyłane przez pocztę—otrzymujesz je automatycznie po ukończeniu konwoju.")</f>
        <v>--Nowy Album Kart: Zbieraj różne karty, wymieniaj się z innymi graczami, aby skompletować zestawy i odblokować skórki!
--System Gangów: Informacje związane z Earthquakerem są teraz rejestrowane w Dzienniku Gangu.
--Eksploracja Colina: Ikony zadań w toku teraz zmieniają kolor, co ułatwia ich zauważenie.
--Tryb Konwoju: Nagrody za Konwój nie są już wysyłane przez pocztę—otrzymujesz je automatycznie po ukończeniu konwoju.</v>
      </c>
      <c r="P74" s="148" t="str">
        <f>IFERROR(__xludf.DUMMYFUNCTION("""COMPUTED_VALUE"""),"--ألبوم البطاقات الجديد: جمع بطاقات مختلفة، وتاجر مع اللاعبين الآخرين لإكمال المجموعات، وفتح الزينة!
--نظام العصابة: معلومات متعلقة بـ Earthquaker يتم تسجيلها الآن في سجل العصابة.
--استكشاف كولن: أيقونات المهام قيد التنفيذ تغير اللون الآن، مما يجعل من الس"&amp;"هل ملاحظتها.
--وضع القافلة: مكافآت القافلة لم تعد تُرسل عبر البريد—تستلمها تلقائيًا عند اكتمال القافلة.")</f>
        <v>--ألبوم البطاقات الجديد: جمع بطاقات مختلفة، وتاجر مع اللاعبين الآخرين لإكمال المجموعات، وفتح الزينة!
--نظام العصابة: معلومات متعلقة بـ Earthquaker يتم تسجيلها الآن في سجل العصابة.
--استكشاف كولن: أيقونات المهام قيد التنفيذ تغير اللون الآن، مما يجعل من السهل ملاحظتها.
--وضع القافلة: مكافآت القافلة لم تعد تُرسل عبر البريد—تستلمها تلقائيًا عند اكتمال القافلة.</v>
      </c>
      <c r="Q74" s="148" t="str">
        <f>IFERROR(__xludf.DUMMYFUNCTION("""COMPUTED_VALUE"""),"--新しいカードアルバム：様々なカードを収集し、他のプレイヤーと取引してセットを完成させ、スキンをアンロックしよう！
--ギルドシステム：アースクエイカーに関する情報がギルド日誌に記録されるようになりました。
--コリンの探索：進行中のクエストのアイコンがカラーで変化し、より見つけやすくなりました。
--輸送車モード：輸送車の報酬はメールで送信されなくなり、輸送車が完了すると自動的にあなたが受け取ります。")</f>
        <v>--新しいカードアルバム：様々なカードを収集し、他のプレイヤーと取引してセットを完成させ、スキンをアンロックしよう！
--ギルドシステム：アースクエイカーに関する情報がギルド日誌に記録されるようになりました。
--コリンの探索：進行中のクエストのアイコンがカラーで変化し、より見つけやすくなりました。
--輸送車モード：輸送車の報酬はメールで送信されなくなり、輸送車が完了すると自動的にあなたが受け取ります。</v>
      </c>
      <c r="R74" s="148" t="str">
        <f>IFERROR(__xludf.DUMMYFUNCTION("""COMPUTED_VALUE"""),"--새로운 카드 앨범: 다양한 카드를 수집하고, 다른 플레이어들과 거래하여 세트를 완성하고, 스킨을 잠금 해제하세요!
--무리 시스템: 지진자와 관련된 정보가 이제 무리 일지에 기록됩니다.
--콜린의 탐험: 진행 중인 임무의 아이콘 색상이 변경되어 더 쉽게 찾을 수 있습니다.
--수송차 모드: 수송차 보상은 더 이상 메일로 보내지지 않으며, 수송차가 완료되면 자동으로 받기 처리됩니다.")</f>
        <v>--새로운 카드 앨범: 다양한 카드를 수집하고, 다른 플레이어들과 거래하여 세트를 완성하고, 스킨을 잠금 해제하세요!
--무리 시스템: 지진자와 관련된 정보가 이제 무리 일지에 기록됩니다.
--콜린의 탐험: 진행 중인 임무의 아이콘 색상이 변경되어 더 쉽게 찾을 수 있습니다.
--수송차 모드: 수송차 보상은 더 이상 메일로 보내지지 않으며, 수송차가 완료되면 자동으로 받기 처리됩니다.</v>
      </c>
      <c r="S74" s="148"/>
      <c r="T74" s="148"/>
      <c r="U74" s="148"/>
      <c r="V74" s="148"/>
      <c r="W74" s="148"/>
      <c r="X74" s="148"/>
      <c r="Y74" s="148"/>
      <c r="Z74" s="148"/>
    </row>
    <row r="75">
      <c r="A75" s="167" t="str">
        <f>IFERROR(__xludf.DUMMYFUNCTION("""COMPUTED_VALUE"""),"0.82.0-节日单独")</f>
        <v>0.82.0-节日单独</v>
      </c>
      <c r="B75" s="148" t="str">
        <f>IFERROR(__xludf.DUMMYFUNCTION("""COMPUTED_VALUE"""),"--新增冬日节活动：
漫游奇遇：参加冬日节活动收集漫游骰子，在探索地图的过程中获得惊喜奖励！
弹珠游戏：冬日节限定弹珠抽奖活动开启，参与活动获取弹珠币，即可兑换丰厚奖励！赢取冬日节限定主城外观大奖！
新增斗士-卡尔冬日节皮肤：“礼物派送员”卡尔登场，参与满月许愿池即可获取斗士皮肤！
节日预购：冬日节连锁预购活动限时上线，提前预购即享20%节日道具优惠。
天梯挑战赛：挑战赛限时开启，限定时间内，按指定条件通关即可瓜分丰厚奖励！
迷宫挑战赛：迷宫挑战限时开启，智慧和手速的双重挑战，还有机甲染色涂装、专属行军特"&amp;"效可拿！
行军表情图鉴：行军表情拥有专属图鉴，收集可获得属性加成及丰厚道具奖励！
冬日晚会：收集幸运铃铛，提升晚会等级，赢取限定行军特效——霜寒之翼！")</f>
        <v>--新增冬日节活动：
漫游奇遇：参加冬日节活动收集漫游骰子，在探索地图的过程中获得惊喜奖励！
弹珠游戏：冬日节限定弹珠抽奖活动开启，参与活动获取弹珠币，即可兑换丰厚奖励！赢取冬日节限定主城外观大奖！
新增斗士-卡尔冬日节皮肤：“礼物派送员”卡尔登场，参与满月许愿池即可获取斗士皮肤！
节日预购：冬日节连锁预购活动限时上线，提前预购即享20%节日道具优惠。
天梯挑战赛：挑战赛限时开启，限定时间内，按指定条件通关即可瓜分丰厚奖励！
迷宫挑战赛：迷宫挑战限时开启，智慧和手速的双重挑战，还有机甲染色涂装、专属行军特效可拿！
行军表情图鉴：行军表情拥有专属图鉴，收集可获得属性加成及丰厚道具奖励！
冬日晚会：收集幸运铃铛，提升晚会等级，赢取限定行军特效——霜寒之翼！</v>
      </c>
      <c r="C75" s="148" t="str">
        <f>IFERROR(__xludf.DUMMYFUNCTION("""COMPUTED_VALUE"""),"--New Winter Festival Events:
Roaming Adventure: Join the Winter Festival to collect Roaming Dice and explore the event map for surprise rewards!
Marble Game: Winter Festival limited-time marble draw—earn Marble Coins, trade them for top rewards, and win "&amp;"rare holiday city hall skins.
New Fighter Skin – Carl: “Gift Courier” Carl arrives for the Winter Festival. Join the Full Moon Wish Pool to unlock his Fighter skin!
Holiday Pre-Order: Limited-time Winter Festival  Pre-Order chain is available. Preorder ea"&amp;"rly to enjoy 20% off festival items.
Ladder Challenge: Time-limited challenge—clear stages under the specified conditions within the event period to share rich rewards!
Maze Challenge: The maze challenge is open for a limited time—a test of both brains an"&amp;"d reflexes, with mech lacquers and exclusive march effects up for grabs!
Marching Emoji Gallery: Marching emojis now have their own gallery—collect them to gain attribute boosts and extra item rewards!
Winter Festival: Collect Lucky Bells to level up the "&amp;"gala and earn the exclusive march effect “Frostwing”!")</f>
        <v>--New Winter Festival Events:
Roaming Adventure: Join the Winter Festival to collect Roaming Dice and explore the event map for surprise rewards!
Marble Game: Winter Festival limited-time marble draw—earn Marble Coins, trade them for top rewards, and win rare holiday city hall skins.
New Fighter Skin – Carl: “Gift Courier” Carl arrives for the Winter Festival. Join the Full Moon Wish Pool to unlock his Fighter skin!
Holiday Pre-Order: Limited-time Winter Festival  Pre-Order chain is available. Preorder early to enjoy 20% off festival items.
Ladder Challenge: Time-limited challenge—clear stages under the specified conditions within the event period to share rich rewards!
Maze Challenge: The maze challenge is open for a limited time—a test of both brains and reflexes, with mech lacquers and exclusive march effects up for grabs!
Marching Emoji Gallery: Marching emojis now have their own gallery—collect them to gain attribute boosts and extra item rewards!
Winter Festival: Collect Lucky Bells to level up the gala and earn the exclusive march effect “Frostwing”!</v>
      </c>
      <c r="D75" s="148" t="str">
        <f>IFERROR(__xludf.DUMMYFUNCTION("""COMPUTED_VALUE"""),"--Nouveaux événements du Festival d'Hiver :
Aventure itinérante : Rejoignez le Festival d'Hiver pour collecter des Dés Itinérants et explorer la carte de l'évènement pour des récompenses surprises !
Jeu de billes : Tirage de billes en édition limitée du F"&amp;"estival d'Hiver—gagnez des Pièces de Bille, échangez-les contre les meilleures récompenses et remportez des skins rares d'hôtel de ville de fête.
Nouvelle peau de combattant – Carl : « Livreur de cadeaux » Carl arrive pour le Festival d'Hiver. Rejoignez l"&amp;"e Bassin de Vœux de Pleine Lune pour débloquer sa peau de combattant !
Précommande de fête : La chaîne de précommande du Festival d'Hiver est disponible pour une durée limitée. Précommandez tôt pour profiter de 20 % de rabais sur les objets du festival.
D"&amp;"éfi en échelle : Défi à durée limitée—effacez les niveaux sous les conditions spécifiées pendant la période de l'évènement pour partager de riches récompenses !
Défi du labyrinthe : Le défi du labyrinthe est ouvert pour une durée limitée—un test à la fois"&amp;" de réflexion et de réflexes, avec des laques mécha et des effets de déplacement exclusifs à gagner !
Galerie d'émoticônes de déplacement : Les émoticônes de déplacement ont désormais leur propre galerie—collectionnez-les pour obtenir des boosts des carac"&amp;"téristiques et des récompenses d'objet supplémentaires !
Festival d'Hiver : Collectez des Carillons porte-bonheur pour améliorer la fête et gagner l'effet de déplacement exclusif « Aile de Givre » !")</f>
        <v>--Nouveaux événements du Festival d'Hiver :
Aventure itinérante : Rejoignez le Festival d'Hiver pour collecter des Dés Itinérants et explorer la carte de l'évènement pour des récompenses surprises !
Jeu de billes : Tirage de billes en édition limitée du Festival d'Hiver—gagnez des Pièces de Bille, échangez-les contre les meilleures récompenses et remportez des skins rares d'hôtel de ville de fête.
Nouvelle peau de combattant – Carl : « Livreur de cadeaux » Carl arrive pour le Festival d'Hiver. Rejoignez le Bassin de Vœux de Pleine Lune pour débloquer sa peau de combattant !
Précommande de fête : La chaîne de précommande du Festival d'Hiver est disponible pour une durée limitée. Précommandez tôt pour profiter de 20 % de rabais sur les objets du festival.
Défi en échelle : Défi à durée limitée—effacez les niveaux sous les conditions spécifiées pendant la période de l'évènement pour partager de riches récompenses !
Défi du labyrinthe : Le défi du labyrinthe est ouvert pour une durée limitée—un test à la fois de réflexion et de réflexes, avec des laques mécha et des effets de déplacement exclusifs à gagner !
Galerie d'émoticônes de déplacement : Les émoticônes de déplacement ont désormais leur propre galerie—collectionnez-les pour obtenir des boosts des caractéristiques et des récompenses d'objet supplémentaires !
Festival d'Hiver : Collectez des Carillons porte-bonheur pour améliorer la fête et gagner l'effet de déplacement exclusif « Aile de Givre » !</v>
      </c>
      <c r="E75" s="148" t="str">
        <f>IFERROR(__xludf.DUMMYFUNCTION("""COMPUTED_VALUE"""),"--Neue Winterfest-Events:
Roaming Adventure: Nimm am Winterfest teil, um Roaming-Würfel zu sammeln und die Eventkarte zu erkunden, um Überraschungsbelohnungen zu erhalten!
Murmelspiel: Winterfest-Limitierte Murmelziehung – verdiene Murmelmünzen, tausche s"&amp;"ie gegen Top-Belohnungen ein und gewinne seltene Feiertags-Rathaus-Skins.
Neuer Kämpfer-Skin – Carl: „Geschenk-Kurier“ Carl kommt zum Winterfest. Schließe dich dem Vollmond-Wunschpool an, um seinen Kämpfer-Skin freizuschalten!
Feiertags-Vorbestellung: Lim"&amp;"itierte Winterfest-Vorbestellungskette ist verfügbar. Bestelle frühzeitig vor, um 20% Rabatt auf Festival-Items zu erhalten.
Leiter-Herausf.: Zeitlich begrenzte Herausforderung – schließe Stufen unter den angegebenen Bedingungen während des Eventzeitraums"&amp;" ab, um reiche Belohnungen zu teilen!
Labyrinth-Herausforderung: Die Labyrinth-Herausforderung ist für eine begrenzte Zeit geöffnet – ein Test für Verstand und Reflexe, mit Mech-Lacken und exklusiven Marscheffekten als Belohnung!
Marsch-Emoji-Galerie: Mar"&amp;"sch-Emojis haben jetzt ihre eigene Galerie – sammle sie, um Attribut-Boosts und zusätzliche Item-Belohnungen zu erhalten!
Winterfest: Sammle Glücksglocken, um das Fest zu verbessern und den exklusiven Marscheffekt „Frostflügel“ zu verdienen!")</f>
        <v>--Neue Winterfest-Events:
Roaming Adventure: Nimm am Winterfest teil, um Roaming-Würfel zu sammeln und die Eventkarte zu erkunden, um Überraschungsbelohnungen zu erhalten!
Murmelspiel: Winterfest-Limitierte Murmelziehung – verdiene Murmelmünzen, tausche sie gegen Top-Belohnungen ein und gewinne seltene Feiertags-Rathaus-Skins.
Neuer Kämpfer-Skin – Carl: „Geschenk-Kurier“ Carl kommt zum Winterfest. Schließe dich dem Vollmond-Wunschpool an, um seinen Kämpfer-Skin freizuschalten!
Feiertags-Vorbestellung: Limitierte Winterfest-Vorbestellungskette ist verfügbar. Bestelle frühzeitig vor, um 20% Rabatt auf Festival-Items zu erhalten.
Leiter-Herausf.: Zeitlich begrenzte Herausforderung – schließe Stufen unter den angegebenen Bedingungen während des Eventzeitraums ab, um reiche Belohnungen zu teilen!
Labyrinth-Herausforderung: Die Labyrinth-Herausforderung ist für eine begrenzte Zeit geöffnet – ein Test für Verstand und Reflexe, mit Mech-Lacken und exklusiven Marscheffekten als Belohnung!
Marsch-Emoji-Galerie: Marsch-Emojis haben jetzt ihre eigene Galerie – sammle sie, um Attribut-Boosts und zusätzliche Item-Belohnungen zu erhalten!
Winterfest: Sammle Glücksglocken, um das Fest zu verbessern und den exklusiven Marscheffekt „Frostflügel“ zu verdienen!</v>
      </c>
      <c r="F75" s="148" t="str">
        <f>IFERROR(__xludf.DUMMYFUNCTION("""COMPUTED_VALUE"""),"--Novos Eventos do Festival de Inverno:
Aventura Itinerante: Entre no Festival de Inverno para coletar Dados Itinerantes e explorar o mapa do evento em busca de recompensas surpresa!
Jogo de Bolinhas de Gude: Sorteio de bolinhas de gude por tempo limitado"&amp;" do Festival de Inverno—ganhe Moedas de Bolinha, troque por recompensas de topo e conquiste skins raras de prefeitura de feriado.
Nova Skin de Combatente – Carl: “Mensageiro de Presentes” Carl chega para o Festival de Inverno. Participe da Piscina de Voto"&amp;"s da Lua Cheia para desbloquear sua skin de Combatente!
Pré-venda de Feriado: Corrente de Pré-venda do Festival de Inverno disponível por tempo limitado. Faça a pré-venda antecipada para aproveitar 20% de desconto em itens do festival.
Desafio de Escada: "&amp;"Desafio por tempo limitado—limpe as fases sob as condições especificadas durante o período do evento para compartilhar recompensas valiosas!
Desafio do Labirinto: O desafio do labirinto está aberto por tempo limitado—um teste de raciocínio e reflexos, com"&amp;" lacas de mech e efeitos de marcha exclusivos em disputa!
Galeria de Emojis de Marcha: Os emojis de marcha agora têm sua própria galeria—colecione-os para ganhar bônus de atributo e recompensas extras de itens!
Festival de Inverno: Colete Sinos da Sorte p"&amp;"ara subir de nível na gala e ganhar o efeito de marcha exclusivo “Asa Congelada”!")</f>
        <v>--Novos Eventos do Festival de Inverno:
Aventura Itinerante: Entre no Festival de Inverno para coletar Dados Itinerantes e explorar o mapa do evento em busca de recompensas surpresa!
Jogo de Bolinhas de Gude: Sorteio de bolinhas de gude por tempo limitado do Festival de Inverno—ganhe Moedas de Bolinha, troque por recompensas de topo e conquiste skins raras de prefeitura de feriado.
Nova Skin de Combatente – Carl: “Mensageiro de Presentes” Carl chega para o Festival de Inverno. Participe da Piscina de Votos da Lua Cheia para desbloquear sua skin de Combatente!
Pré-venda de Feriado: Corrente de Pré-venda do Festival de Inverno disponível por tempo limitado. Faça a pré-venda antecipada para aproveitar 20% de desconto em itens do festival.
Desafio de Escada: Desafio por tempo limitado—limpe as fases sob as condições especificadas durante o período do evento para compartilhar recompensas valiosas!
Desafio do Labirinto: O desafio do labirinto está aberto por tempo limitado—um teste de raciocínio e reflexos, com lacas de mech e efeitos de marcha exclusivos em disputa!
Galeria de Emojis de Marcha: Os emojis de marcha agora têm sua própria galeria—colecione-os para ganhar bônus de atributo e recompensas extras de itens!
Festival de Inverno: Colete Sinos da Sorte para subir de nível na gala e ganhar o efeito de marcha exclusivo “Asa Congelada”!</v>
      </c>
      <c r="G75" s="148" t="str">
        <f>IFERROR(__xludf.DUMMYFUNCTION("""COMPUTED_VALUE"""),"--新增冬日節活動：
漫遊奇遇：參加冬日節活動收集漫遊骰子，在探索地圖的過程中取得驚喜獎勵！
彈珠遊戲：冬日節限定彈珠抽獎活動開啟，參與活動取得彈珠幣，即可兌換豐厚獎勵！贏取冬日節限定主城外觀大獎！
新增鬥士-卡爾冬日節皮膚：「贈禮派送員」卡爾登場，參與滿月許願池即可取得鬥士皮膚！
節日預購：冬日節連鎖預購活動限時上線，提前預購即享20%節日道具優惠。
天梯挑戰賽：挑戰賽限時開啟，限定時間內，按指定條件通關即可瓜分豐厚獎勵！
迷宮挑戰賽：迷宮挑戰限時開啟，智慧和手速的雙重挑戰，還有機甲染色塗裝、專屬行軍特"&amp;"效可拿！
行軍表情圖鑑：行軍表情擁有專屬圖鑑，收集可取得屬性加成及豐厚道具獎勵！
冬日晚會：收集幸運鈴鐺，提升晚會等級，贏取限定行軍特效——霜寒之翼！")</f>
        <v>--新增冬日節活動：
漫遊奇遇：參加冬日節活動收集漫遊骰子，在探索地圖的過程中取得驚喜獎勵！
彈珠遊戲：冬日節限定彈珠抽獎活動開啟，參與活動取得彈珠幣，即可兌換豐厚獎勵！贏取冬日節限定主城外觀大獎！
新增鬥士-卡爾冬日節皮膚：「贈禮派送員」卡爾登場，參與滿月許願池即可取得鬥士皮膚！
節日預購：冬日節連鎖預購活動限時上線，提前預購即享20%節日道具優惠。
天梯挑戰賽：挑戰賽限時開啟，限定時間內，按指定條件通關即可瓜分豐厚獎勵！
迷宮挑戰賽：迷宮挑戰限時開啟，智慧和手速的雙重挑戰，還有機甲染色塗裝、專屬行軍特效可拿！
行軍表情圖鑑：行軍表情擁有專屬圖鑑，收集可取得屬性加成及豐厚道具獎勵！
冬日晚會：收集幸運鈴鐺，提升晚會等級，贏取限定行軍特效——霜寒之翼！</v>
      </c>
      <c r="H75" s="148" t="str">
        <f>IFERROR(__xludf.DUMMYFUNCTION("""COMPUTED_VALUE"""),"--Event Festival Musim Dingin Baru:
Petualangan Jelajah: Bergabunglah dalam Festival Musim Dingin untuk mengumpulkan Dadu Jelajah dan jelajahi peta event untuk mendapatkan hadiah kejutan!
Permainan Kelereng: Undian kelereng terbatas Festival Musim Dingin—"&amp;"dapatkan Koin Kelereng, tukarkan dengan hadiah utama, dan menangkan skin balai kota liburan langka.
Kulit Pejuang Baru – Carl: “Pengantar Hadiah” Carl hadir untuk Festival Musim Dingin. Bergabunglah di Kolam Permohonan Bulan Purnama untuk membuka kulit Pe"&amp;"juangnya!
Pre-Order Liburan: Rantai Pre-Order Festival Musim Dingin terbatas waktu kini tersedia. Pre-order lebih awal untuk menikmati diskon 20% item festival.
Tantangan Tangga: Tantangan terbatas waktu—selesaikan tahap di bawah kondisi tertentu dalam pe"&amp;"riode event untuk berbagi hadiah melimpah!
Tantangan Labirin: Tantangan labirin terbuka untuk waktu terbatas—uji otak dan refleks Anda, dengan pernis mekanik dan efek berbaris eksklusif yang bisa didapatkan!
Galeri Emoji Berbaris: Emoji berbaris kini memi"&amp;"liki galeri sendiri—kumpulkan untuk mendapatkan peningkatan atribut dan hadiah item ekstra!
Festival Musim Dingin: Kumpulkan Lonceng Keberuntungan untuk naik level gala dan dapatkan efek berbaris eksklusif “Frostwing”!")</f>
        <v>--Event Festival Musim Dingin Baru:
Petualangan Jelajah: Bergabunglah dalam Festival Musim Dingin untuk mengumpulkan Dadu Jelajah dan jelajahi peta event untuk mendapatkan hadiah kejutan!
Permainan Kelereng: Undian kelereng terbatas Festival Musim Dingin—dapatkan Koin Kelereng, tukarkan dengan hadiah utama, dan menangkan skin balai kota liburan langka.
Kulit Pejuang Baru – Carl: “Pengantar Hadiah” Carl hadir untuk Festival Musim Dingin. Bergabunglah di Kolam Permohonan Bulan Purnama untuk membuka kulit Pejuangnya!
Pre-Order Liburan: Rantai Pre-Order Festival Musim Dingin terbatas waktu kini tersedia. Pre-order lebih awal untuk menikmati diskon 20% item festival.
Tantangan Tangga: Tantangan terbatas waktu—selesaikan tahap di bawah kondisi tertentu dalam periode event untuk berbagi hadiah melimpah!
Tantangan Labirin: Tantangan labirin terbuka untuk waktu terbatas—uji otak dan refleks Anda, dengan pernis mekanik dan efek berbaris eksklusif yang bisa didapatkan!
Galeri Emoji Berbaris: Emoji berbaris kini memiliki galeri sendiri—kumpulkan untuk mendapatkan peningkatan atribut dan hadiah item ekstra!
Festival Musim Dingin: Kumpulkan Lonceng Keberuntungan untuk naik level gala dan dapatkan efek berbaris eksklusif “Frostwing”!</v>
      </c>
      <c r="I75" s="148" t="str">
        <f>IFERROR(__xludf.DUMMYFUNCTION("""COMPUTED_VALUE"""),"--กิจกรรมดินเนอร์ฤดูหนาวใหม่:
การผจญภัยท่องเที่ยว: เข้าร่วมดินเนอร์ฤดูหนาวเพื่อสะสมลูกเต๋าท่องเที่ยวและสำรวจแผนที่กิจกรรมเพื่อรับรางวัลเซอร์ไพรส์!
เกมหินอ่อน: จับรางวัลหินอ่อนแบบจำกัดเวลาของดินเนอร์ฤดูหนาว—รับเหรียญหินอ่อน แลกเปลี่ยนเป็นรางวัลสูงสุด และลุ"&amp;"้นรับสกินศาลากลางเมืองธีมเทศกาลหายาก
สกินนักสู้ตัวใหม่ – คาร์ล: “ผู้ส่งของขวัญ” คาร์ล มาถึงในดินเนอร์ฤดูหนาวนี้ เข้าร่วมสระพรดวงจันทร์เต็มเพื่อปลดล็อกสกินนักสู้ของเขา!
สั่งจองล่วงหน้าช่วงเทศกาล: โซ่สั่งจองล่วงหน้าดินเนอร์ฤดูหนาวแบบจำกัดเวลาพร้อมให้ใช้งานแ"&amp;"ล้ว สั่งจองล่วงหน้าเพื่อรับส่วนลด 20% สำหรับไอเทมเทศกาล
การท้าทายบันได: การท้าทายแบบจำกัดเวลา—เคลียร์ด่านตามเงื่อนไขที่กำหนดภายในระยะเวลากิจกรรมเพื่อแชร์รางวัลมากมาย!
การท้าทายเขาวงกต: การท้าทายเขาวงกตเปิดให้เล่นในช่วงเวลาจำกัด—ทดสอบทั้งสมองและปฏิกิริยา พ"&amp;"ร้อมแลคเกอร์เมคและเอฟเฟกต์การเดินทัพสุดพิเศษให้คว้า!
แกลเลอรี่อิโมจิการเดินทัพ: อิโมจิการเดินทัพมีแกลเลอรี่ของตัวเองแล้ว—เก็บสะสมเพื่อรับบูสต์คุณสมบัติและรางวัลไอเทมพิเศษ!
ดินเนอร์ฤดูหนาว: สะสมกระดิ่งแห่งโชคเพื่อเลเวลขึ้นตรงในงานกาล่าและรับเอฟเฟกต์การเดิน"&amp;"ทัพสุดพิเศษ “Frostwing”!")</f>
        <v>--กิจกรรมดินเนอร์ฤดูหนาวใหม่:
การผจญภัยท่องเที่ยว: เข้าร่วมดินเนอร์ฤดูหนาวเพื่อสะสมลูกเต๋าท่องเที่ยวและสำรวจแผนที่กิจกรรมเพื่อรับรางวัลเซอร์ไพรส์!
เกมหินอ่อน: จับรางวัลหินอ่อนแบบจำกัดเวลาของดินเนอร์ฤดูหนาว—รับเหรียญหินอ่อน แลกเปลี่ยนเป็นรางวัลสูงสุด และลุ้นรับสกินศาลากลางเมืองธีมเทศกาลหายาก
สกินนักสู้ตัวใหม่ – คาร์ล: “ผู้ส่งของขวัญ” คาร์ล มาถึงในดินเนอร์ฤดูหนาวนี้ เข้าร่วมสระพรดวงจันทร์เต็มเพื่อปลดล็อกสกินนักสู้ของเขา!
สั่งจองล่วงหน้าช่วงเทศกาล: โซ่สั่งจองล่วงหน้าดินเนอร์ฤดูหนาวแบบจำกัดเวลาพร้อมให้ใช้งานแล้ว สั่งจองล่วงหน้าเพื่อรับส่วนลด 20% สำหรับไอเทมเทศกาล
การท้าทายบันได: การท้าทายแบบจำกัดเวลา—เคลียร์ด่านตามเงื่อนไขที่กำหนดภายในระยะเวลากิจกรรมเพื่อแชร์รางวัลมากมาย!
การท้าทายเขาวงกต: การท้าทายเขาวงกตเปิดให้เล่นในช่วงเวลาจำกัด—ทดสอบทั้งสมองและปฏิกิริยา พร้อมแลคเกอร์เมคและเอฟเฟกต์การเดินทัพสุดพิเศษให้คว้า!
แกลเลอรี่อิโมจิการเดินทัพ: อิโมจิการเดินทัพมีแกลเลอรี่ของตัวเองแล้ว—เก็บสะสมเพื่อรับบูสต์คุณสมบัติและรางวัลไอเทมพิเศษ!
ดินเนอร์ฤดูหนาว: สะสมกระดิ่งแห่งโชคเพื่อเลเวลขึ้นตรงในงานกาล่าและรับเอฟเฟกต์การเดินทัพสุดพิเศษ “Frostwing”!</v>
      </c>
      <c r="J75" s="148" t="str">
        <f>IFERROR(__xludf.DUMMYFUNCTION("""COMPUTED_VALUE"""),"--Nuevos eventos del Festival Invernal:
Aventura Errante: Únete al Festival Invernal para recolectar Dados Errantes y explorar el mapa del evento en busca de recompensas sorpresa.
Juego de Canicas: Sorteo de canicas por tiempo limitado del Festival Invern"&amp;"al—gana Monedas de Canica, intercámbialas por las mejores recompensas y obtén aspectos raros del ayuntamiento festivo.
Nueva Textura de Luchador – Carl: “Mensajero de Regalos” Carl llega para el Festival Invernal. ¡Únete a la Piscina de Deseos de Luna Lle"&amp;"na para desbloquear su textura de luchador!
Preorden Festiva: La cadena de preorden del Festival Invernal por tiempo limitado está disponible. Haz tu preorden temprano para disfrutar de un 20% de descuento en artículos del festival.
Desafío de la Escalera"&amp;": Reto por tiempo limitado—supera etapas bajo las condiciones especificadas dentro del periodo del evento para compartir ricas recompensas.
Desafío del Laberinto: El desafío del laberinto está abierto por tiempo limitado—una prueba tanto de ingenio como d"&amp;"e reflejos, con lacas meca y efectos de marcha exclusivos en juego.
Galería de Emojis de Marcha: Los emojis de marcha ahora tienen su propia galería—¡recolecta para obtener potenciadores de atributo y recompensas de objetos extra!
Festival Invernal: Recol"&amp;"ecta Campanas de la suerte para subir de nivel la gala y ganar el efecto de marcha exclusivo “Alas de Escarcha”.")</f>
        <v>--Nuevos eventos del Festival Invernal:
Aventura Errante: Únete al Festival Invernal para recolectar Dados Errantes y explorar el mapa del evento en busca de recompensas sorpresa.
Juego de Canicas: Sorteo de canicas por tiempo limitado del Festival Invernal—gana Monedas de Canica, intercámbialas por las mejores recompensas y obtén aspectos raros del ayuntamiento festivo.
Nueva Textura de Luchador – Carl: “Mensajero de Regalos” Carl llega para el Festival Invernal. ¡Únete a la Piscina de Deseos de Luna Llena para desbloquear su textura de luchador!
Preorden Festiva: La cadena de preorden del Festival Invernal por tiempo limitado está disponible. Haz tu preorden temprano para disfrutar de un 20% de descuento en artículos del festival.
Desafío de la Escalera: Reto por tiempo limitado—supera etapas bajo las condiciones especificadas dentro del periodo del evento para compartir ricas recompensas.
Desafío del Laberinto: El desafío del laberinto está abierto por tiempo limitado—una prueba tanto de ingenio como de reflejos, con lacas meca y efectos de marcha exclusivos en juego.
Galería de Emojis de Marcha: Los emojis de marcha ahora tienen su propia galería—¡recolecta para obtener potenciadores de atributo y recompensas de objetos extra!
Festival Invernal: Recolecta Campanas de la suerte para subir de nivel la gala y ganar el efecto de marcha exclusivo “Alas de Escarcha”.</v>
      </c>
      <c r="K75" s="148" t="str">
        <f>IFERROR(__xludf.DUMMYFUNCTION("""COMPUTED_VALUE"""),"--Новые события Зимнего праздника:
Странствующее приключение: Вступайте в Зимний праздник, чтобы собирать Странствующие кости и исследовать карту события ради неожиданных наград!
Мраморная игра: Ограниченная по времени мраморная попытка Зимнего праздника "&amp;"— зарабатывайте Мраморные монеты, обменивайте их на топ-награды и выигрывайте редкие праздничные облики городского совета.
Новый облик героя – Карл: «Подарочный курьер» Карл прибывает на Зимний праздник. Вступайте в Полный лунный бассейн желаний, чтобы от"&amp;"крыть его облик героя!
Праздничный предзаказ: Ограниченная по времени цепочка предзаказов Зимнего праздника уже доступна. Оформите предзаказ заранее, чтобы получить 20% скидку на праздничные предметы.
Испытание на лестнице: Ограниченное по времени испытан"&amp;"ие — проходите этапы при указанных условиях в течение события, чтобы поделиться богатыми наградами!
Испытание лабиринта: Испытание лабиринта открыто в течение ограниченного времени — испытание для ума и реакции, где можно получить лаки для меха и эксклюзи"&amp;"вные эффекты марша!
Галерея эмодзи марша: Эмодзи марша теперь имеют собственную галерею — собирайте их, чтобы получить усиление показателей и дополнительные награды за предметы!
Зимний праздник: Собирайте Счастливые колокольчики, чтобы повысить уровень га"&amp;"ла и получить эксклюзивный эффект марша «Морозное крыло»!")</f>
        <v>--Новые события Зимнего праздника:
Странствующее приключение: Вступайте в Зимний праздник, чтобы собирать Странствующие кости и исследовать карту события ради неожиданных наград!
Мраморная игра: Ограниченная по времени мраморная попытка Зимнего праздника — зарабатывайте Мраморные монеты, обменивайте их на топ-награды и выигрывайте редкие праздничные облики городского совета.
Новый облик героя – Карл: «Подарочный курьер» Карл прибывает на Зимний праздник. Вступайте в Полный лунный бассейн желаний, чтобы открыть его облик героя!
Праздничный предзаказ: Ограниченная по времени цепочка предзаказов Зимнего праздника уже доступна. Оформите предзаказ заранее, чтобы получить 20% скидку на праздничные предметы.
Испытание на лестнице: Ограниченное по времени испытание — проходите этапы при указанных условиях в течение события, чтобы поделиться богатыми наградами!
Испытание лабиринта: Испытание лабиринта открыто в течение ограниченного времени — испытание для ума и реакции, где можно получить лаки для меха и эксклюзивные эффекты марша!
Галерея эмодзи марша: Эмодзи марша теперь имеют собственную галерею — собирайте их, чтобы получить усиление показателей и дополнительные награды за предметы!
Зимний праздник: Собирайте Счастливые колокольчики, чтобы повысить уровень гала и получить эксклюзивный эффект марша «Морозное крыло»!</v>
      </c>
      <c r="L75" s="148" t="str">
        <f>IFERROR(__xludf.DUMMYFUNCTION("""COMPUTED_VALUE"""),"--Yeni Kış Festivali Etkinlikleri:
Gezgin Macera: Kış Festivaline katıl, Gezgin Zarları topla ve sürpriz ödüller için etkinlik haritasını keşfet!
Bilye Oyunu: Kış Festivali'ne özel sınırlı süreli bilye çekilişi—Bilye Paraları kazan, en iyi ödüllerle takas"&amp;" et ve nadir tatil meclis görünümlerini kazan.
Yeni Savaşçı Görünümü – Carl: “Hediye Taşıyıcısı” Carl, Kış Festivali için geliyor. Dolu Ay Dilek Havuzuna katılarak onun Savaşçı görünümünün kilidini aç!
Tatil Ön Siparişi: Sınırlı süreli Kış Festivali Ön Si"&amp;"pariş zinciri mevcut. Erken ön sipariş vererek festival eşyalarında %20 indirimden yararlan.
Basamak Meydan Okuması: Sınırlı süreli meydan okuma—etkinlik süresi içinde belirtilen koşullarda aşamaları temizle ve zengin ödülleri paylaş!
Labirent Meydan Okum"&amp;"ası: Labirent meydan okuması sınırlı süre için açık—hem zekanın hem de reflekslerin sınandığı bu etkinlikte meka lakeleri ve özel sefer etkileri seni bekliyor!
Sefer Emojisi Galerisi: Sefer emojilerinin artık kendi galerisi var—onları toplayarak nitelik g"&amp;"üçlendirmeleri ve ekstra eşya ödülleri kazan!
Kış Festivali: Şanslı Çanlar topla, galayı seviye yükselt ve özel sefer etkisi “Buzkanat”ı kazan!")</f>
        <v>--Yeni Kış Festivali Etkinlikleri:
Gezgin Macera: Kış Festivaline katıl, Gezgin Zarları topla ve sürpriz ödüller için etkinlik haritasını keşfet!
Bilye Oyunu: Kış Festivali'ne özel sınırlı süreli bilye çekilişi—Bilye Paraları kazan, en iyi ödüllerle takas et ve nadir tatil meclis görünümlerini kazan.
Yeni Savaşçı Görünümü – Carl: “Hediye Taşıyıcısı” Carl, Kış Festivali için geliyor. Dolu Ay Dilek Havuzuna katılarak onun Savaşçı görünümünün kilidini aç!
Tatil Ön Siparişi: Sınırlı süreli Kış Festivali Ön Sipariş zinciri mevcut. Erken ön sipariş vererek festival eşyalarında %20 indirimden yararlan.
Basamak Meydan Okuması: Sınırlı süreli meydan okuma—etkinlik süresi içinde belirtilen koşullarda aşamaları temizle ve zengin ödülleri paylaş!
Labirent Meydan Okuması: Labirent meydan okuması sınırlı süre için açık—hem zekanın hem de reflekslerin sınandığı bu etkinlikte meka lakeleri ve özel sefer etkileri seni bekliyor!
Sefer Emojisi Galerisi: Sefer emojilerinin artık kendi galerisi var—onları toplayarak nitelik güçlendirmeleri ve ekstra eşya ödülleri kazan!
Kış Festivali: Şanslı Çanlar topla, galayı seviye yükselt ve özel sefer etkisi “Buzkanat”ı kazan!</v>
      </c>
      <c r="M75" s="148" t="str">
        <f>IFERROR(__xludf.DUMMYFUNCTION("""COMPUTED_VALUE"""),"--Sự Kiện Mới Bữa Tiệc Mùa Đông:
Phiêu Lưu Lang Thang: Tham gia Bữa Tiệc Mùa Đông để thu thập Xúc Xắc Lang Thang và khám phá bản đồ sự kiện để nhận phần thưởng bất ngờ!
Trò Chơi Bi: Rút bi giới hạn thời gian Bữa Tiệc Mùa Đông—kiếm Xu Bi, thay thế chúng lấ"&amp;"y phần thưởng đứng đầu, và nhận giao diện tòa thị chính hiếm dịp lễ.
Ngoại Trang Chiến Binh Mới – Carl: “Người Giao Quà” Carl xuất hiện trong Bữa Tiệc Mùa Đông. Tham gia Hồ Cầu Nguyện Trăng Tròn để mở khóa ngoại trang Chiến Binh của anh ấy!
Đặt Trước Dịp "&amp;"Lễ: Chuỗi Đặt Trước Bữa Tiệc Mùa Đông giới hạn thời gian đã có mặt. Đặt trước sớm để tận hưởng giảm giá 20% cho vật phẩm sự kiện.
Thử Thách Leo Thang: Thử thách giới hạn thời gian—hoàn thành các giai đoạn theo điều kiện chỉ định trong thời gian sự kiện để"&amp;" chia sẻ phần thưởng phong phú!
Thử Thách Mê Cung: Thử thách mê cung mở trong một khoảng thời gian giới hạn—thử thách cả trí tuệ và phản xạ, với sơn mài cơ khí và hiệu ứng hành quân độc quyền đang chờ đón!
Bộ Sưu Tập Biểu Cảm Hành Quân: Biểu cảm hành quân"&amp;" nay có bộ sưu tập riêng—thu thập chúng để tăng cường thuộc tính và nhận thêm phần thưởng vật phẩm!
Bữa Tiệc Mùa Đông: Thu thập Chuông May Mắn để tăng cấp bữa tiệc và nhận hiệu ứng hành quân độc quyền “Cánh Băng”!")</f>
        <v>--Sự Kiện Mới Bữa Tiệc Mùa Đông:
Phiêu Lưu Lang Thang: Tham gia Bữa Tiệc Mùa Đông để thu thập Xúc Xắc Lang Thang và khám phá bản đồ sự kiện để nhận phần thưởng bất ngờ!
Trò Chơi Bi: Rút bi giới hạn thời gian Bữa Tiệc Mùa Đông—kiếm Xu Bi, thay thế chúng lấy phần thưởng đứng đầu, và nhận giao diện tòa thị chính hiếm dịp lễ.
Ngoại Trang Chiến Binh Mới – Carl: “Người Giao Quà” Carl xuất hiện trong Bữa Tiệc Mùa Đông. Tham gia Hồ Cầu Nguyện Trăng Tròn để mở khóa ngoại trang Chiến Binh của anh ấy!
Đặt Trước Dịp Lễ: Chuỗi Đặt Trước Bữa Tiệc Mùa Đông giới hạn thời gian đã có mặt. Đặt trước sớm để tận hưởng giảm giá 20% cho vật phẩm sự kiện.
Thử Thách Leo Thang: Thử thách giới hạn thời gian—hoàn thành các giai đoạn theo điều kiện chỉ định trong thời gian sự kiện để chia sẻ phần thưởng phong phú!
Thử Thách Mê Cung: Thử thách mê cung mở trong một khoảng thời gian giới hạn—thử thách cả trí tuệ và phản xạ, với sơn mài cơ khí và hiệu ứng hành quân độc quyền đang chờ đón!
Bộ Sưu Tập Biểu Cảm Hành Quân: Biểu cảm hành quân nay có bộ sưu tập riêng—thu thập chúng để tăng cường thuộc tính và nhận thêm phần thưởng vật phẩm!
Bữa Tiệc Mùa Đông: Thu thập Chuông May Mắn để tăng cấp bữa tiệc và nhận hiệu ứng hành quân độc quyền “Cánh Băng”!</v>
      </c>
      <c r="N75" s="108" t="str">
        <f>IFERROR(__xludf.DUMMYFUNCTION("""COMPUTED_VALUE"""),"--Nuovi eventi della Festa d'Inverno:  
Avventura Itinerante: Partecipa alla Festa d'Inverno per raccogliere Dadi Itineranti ed esplorare la mappa dell'evento per ricompense a sorpresa!  
Gioco delle Biglie: Estrazione di biglie a tempo limitato della Fes"&amp;"ta d'Inverno—ottieni Monete Biglia, scambiale per le ricompense migliori e vinci rari aspetti del municipio a tema festivo.  
Nuova Skin Combattente – Carl: “Corriere dei Regali” Carl arriva per la Festa d'Inverno. Partecipa alla Piscina Desiderio Luna Pi"&amp;"ena per sbloccare la sua skin Combattente!  
Pre-ordine Festivo: Catena di pre-ordini a tempo limitato della Festa d'Inverno disponibile. Prenota in anticipo per godere del 20% di sconto sugli oggetti del festival.  
Sfida a Scalata: Sfida a tempo limitat"&amp;"o—completa le fasi secondo i requisiti specificati durante il periodo dell'evento per condividere ricche ricompense!  
Sfida del Labirinto: La sfida del labirinto è aperta per un tempo limitato—una prova di intelligenza e riflessi, con lacche mech ed escl"&amp;"usivi effetti di marcia in palio!  
Galleria Emoji di Marcia: Le emoji di marcia ora hanno una loro galleria—raccoglile per ottenere bonus attributi e ricompense oggetto extra!  
Festa d'Inverno: Raccogli Campanelle fortunate per aumentare il livello dell"&amp;"a festa e ottenere l'esclusivo effetto di marcia “Frostwing”!")</f>
        <v>--Nuovi eventi della Festa d'Inverno:  
Avventura Itinerante: Partecipa alla Festa d'Inverno per raccogliere Dadi Itineranti ed esplorare la mappa dell'evento per ricompense a sorpresa!  
Gioco delle Biglie: Estrazione di biglie a tempo limitato della Festa d'Inverno—ottieni Monete Biglia, scambiale per le ricompense migliori e vinci rari aspetti del municipio a tema festivo.  
Nuova Skin Combattente – Carl: “Corriere dei Regali” Carl arriva per la Festa d'Inverno. Partecipa alla Piscina Desiderio Luna Piena per sbloccare la sua skin Combattente!  
Pre-ordine Festivo: Catena di pre-ordini a tempo limitato della Festa d'Inverno disponibile. Prenota in anticipo per godere del 20% di sconto sugli oggetti del festival.  
Sfida a Scalata: Sfida a tempo limitato—completa le fasi secondo i requisiti specificati durante il periodo dell'evento per condividere ricche ricompense!  
Sfida del Labirinto: La sfida del labirinto è aperta per un tempo limitato—una prova di intelligenza e riflessi, con lacche mech ed esclusivi effetti di marcia in palio!  
Galleria Emoji di Marcia: Le emoji di marcia ora hanno una loro galleria—raccoglile per ottenere bonus attributi e ricompense oggetto extra!  
Festa d'Inverno: Raccogli Campanelle fortunate per aumentare il livello della festa e ottenere l'esclusivo effetto di marcia “Frostwing”!</v>
      </c>
      <c r="O75" s="148" t="str">
        <f>IFERROR(__xludf.DUMMYFUNCTION("""COMPUTED_VALUE"""),"--Nowe wydarzenia Zimowego Festiwalu:
Wędrująca Przygoda: Dołącz do Zimowego Festiwalu, aby zbierać Wędrujące Kości i eksplorować mapę wydarzenia w poszukiwaniu niespodziewanych nagród!
Gra w Kulki: Limitowana losowanie kulek podczas Zimowego Festiwalu—zd"&amp;"obywaj Monety Kulek, wymieniaj je na najlepsze nagrody i wygrywaj rzadkie świąteczne skórki ratusza.
Nowa Skórka Wojownika – Carl: „Kurier Prezentów” Carl pojawia się na Zimowym Festiwalu. Dołącz do Pełnego Basenu Życzeń Księżyca, aby odblokować jego skór"&amp;"kę wojownika!
Świąteczna Przedsprzedaż: Limitowana przedsprzedaż Zimowego Festiwalu jest dostępna. Zamów wcześniej, aby skorzystać z 20% zniżki na festiwalowe klamoty.
Wyzwanie Drabiny: Wyzwanie ograniczone czasowo—wyczyść etapy pod określonymi warunkami "&amp;"w trakcie wydarzenia, aby podzielić się bogatymi nagrodami!
Wyzwanie Labiryntu: Wyzwanie labiryntu otwarte przez ograniczony czas—test zarówno umysłu, jak i refleksu, z lakierami mechów i ekskluzywnymi efektami marszu do zdobycia!
Galeria Emoji Marszu: Em"&amp;"oji marszu mają teraz własną galerię—zbieraj je, aby zyskać wzmocnienia atrybutów i dodatkowe nagrody przedmiotowe!
Zimowy Festiwal: Zbieraj Szczęśliwe Dzwonki, aby zwiększyć poziom gali i zdobyć ekskluzywny efekt marszu „Frostwing”!")</f>
        <v>--Nowe wydarzenia Zimowego Festiwalu:
Wędrująca Przygoda: Dołącz do Zimowego Festiwalu, aby zbierać Wędrujące Kości i eksplorować mapę wydarzenia w poszukiwaniu niespodziewanych nagród!
Gra w Kulki: Limitowana losowanie kulek podczas Zimowego Festiwalu—zdobywaj Monety Kulek, wymieniaj je na najlepsze nagrody i wygrywaj rzadkie świąteczne skórki ratusza.
Nowa Skórka Wojownika – Carl: „Kurier Prezentów” Carl pojawia się na Zimowym Festiwalu. Dołącz do Pełnego Basenu Życzeń Księżyca, aby odblokować jego skórkę wojownika!
Świąteczna Przedsprzedaż: Limitowana przedsprzedaż Zimowego Festiwalu jest dostępna. Zamów wcześniej, aby skorzystać z 20% zniżki na festiwalowe klamoty.
Wyzwanie Drabiny: Wyzwanie ograniczone czasowo—wyczyść etapy pod określonymi warunkami w trakcie wydarzenia, aby podzielić się bogatymi nagrodami!
Wyzwanie Labiryntu: Wyzwanie labiryntu otwarte przez ograniczony czas—test zarówno umysłu, jak i refleksu, z lakierami mechów i ekskluzywnymi efektami marszu do zdobycia!
Galeria Emoji Marszu: Emoji marszu mają teraz własną galerię—zbieraj je, aby zyskać wzmocnienia atrybutów i dodatkowe nagrody przedmiotowe!
Zimowy Festiwal: Zbieraj Szczęśliwe Dzwonki, aby zwiększyć poziom gali i zdobyć ekskluzywny efekt marszu „Frostwing”!</v>
      </c>
      <c r="P75" s="148" t="str">
        <f>IFERROR(__xludf.DUMMYFUNCTION("""COMPUTED_VALUE"""),"--أحداث مهرجان الشتاء الجديدة:
مغامرة التجوال: انضم إلى مهرجان الشتاء لجمع نرد التجوال واستكشاف خريطة الحدث للحصول على جوائز مفاجئة!
لعبة الكرات: سحب الكرات محدود الوقت في مهرجان الشتاء—اكسب عملات الكرات، وتبادلها مقابل الجوائز الأعلى، واربح زينة قاعة الم"&amp;"دينة النادرة الخاصة بالعطلة.
زينة المقاتل الجديدة – كارل: ""كارل ساعي الهدايا"" يصل في مهرجان الشتاء. انضم إلى مسبح أمنية القمر الكامل لفتح زينة المقاتل الخاصة به!
الطلب المسبق للعطلة: سلسلة الطلب المسبق لمهرجان الشتاء متوفرة لفترة محدودة. اطلب مسبقًا مبك"&amp;"رًا للاستمتاع بخصم 20% على عناصر المهرجان.
تحدي السلم: تحدي محدود الوقت—أزل المراحل تحت الشروط المحددة خلال فترة الحدث لمشاركة الجوائز الغنية!
تحدي المتاهة: تحدي المتاهة مفتوح لفترة محدودة—اختبار للعقل وردة الفعل، مع لكرات الميكا وتأثيرات المسيرة الحصرية "&amp;"بانتظارك!
معرض إيموجي المسيرة: إيموجي المسيرة أصبح له معرض خاص—اجمعها لتحصل على تعزيزات السمة وجوائز العناصر الإضافية!
مهرجان الشتاء: اجمع أجراس الحظ لرفع مستوى الحفل وكسب تأثير المسيرة الحصري ""جناح الصقيع""!")</f>
        <v>--أحداث مهرجان الشتاء الجديدة:
مغامرة التجوال: انضم إلى مهرجان الشتاء لجمع نرد التجوال واستكشاف خريطة الحدث للحصول على جوائز مفاجئة!
لعبة الكرات: سحب الكرات محدود الوقت في مهرجان الشتاء—اكسب عملات الكرات، وتبادلها مقابل الجوائز الأعلى، واربح زينة قاعة المدينة النادرة الخاصة بالعطلة.
زينة المقاتل الجديدة – كارل: "كارل ساعي الهدايا" يصل في مهرجان الشتاء. انضم إلى مسبح أمنية القمر الكامل لفتح زينة المقاتل الخاصة به!
الطلب المسبق للعطلة: سلسلة الطلب المسبق لمهرجان الشتاء متوفرة لفترة محدودة. اطلب مسبقًا مبكرًا للاستمتاع بخصم 20% على عناصر المهرجان.
تحدي السلم: تحدي محدود الوقت—أزل المراحل تحت الشروط المحددة خلال فترة الحدث لمشاركة الجوائز الغنية!
تحدي المتاهة: تحدي المتاهة مفتوح لفترة محدودة—اختبار للعقل وردة الفعل، مع لكرات الميكا وتأثيرات المسيرة الحصرية بانتظارك!
معرض إيموجي المسيرة: إيموجي المسيرة أصبح له معرض خاص—اجمعها لتحصل على تعزيزات السمة وجوائز العناصر الإضافية!
مهرجان الشتاء: اجمع أجراس الحظ لرفع مستوى الحفل وكسب تأثير المسيرة الحصري "جناح الصقيع"!</v>
      </c>
      <c r="Q75" s="148" t="str">
        <f>IFERROR(__xludf.DUMMYFUNCTION("""COMPUTED_VALUE"""),"--新ウィンターフェスティバルイベント：  
ローミングアドベンチャー：ウィンターフェスティバルに参加してローミングダイスを収集し、イベントマップを探索してサプライズ報酬を獲得しよう！  
マーブルゲーム：ウィンターフェスティバル限定のマーブル抽選—マーブルコインを獲得し、トップ報酬と交換、さらに限定のホリデー基地スキンを手に入れよう。  
新ファイタースキン – カール：「ギフトクーリエ」カールがウィンターフェスティバルに登場。フルムーン祈願プールに参加して彼のファイタースキンをアンロックしよう！  
"&amp;"ホリデープリオーダー：限定時間でウィンターフェスティバルのプリオーダーチェーンが利用可能。早期予約でフェスティバルアイテムが20%オフ！  
ラダーチャレンジ：期間限定チャレンジ—指定されたロック解除条件でステージをクリアし、豪華報酬をシェアしよう！  
迷路チャレンジ：迷路チャレンジが限定時間で開放—頭脳と反射神経の両方が試される、メック漆製品や限定行軍エフェクトが手に入るチャンス！  
行軍絵文字図鑑：行軍絵文字がついに図鑑に登場—収集して属性ブーストや追加アイテム報酬をゲットしよう！  
ウィンター"&amp;"フェスティバル：ラッキーベルを収集してガラをレベルアップ、限定行軍エフェクト「フロストウィング」を獲得しよう！")</f>
        <v>--新ウィンターフェスティバルイベント：  
ローミングアドベンチャー：ウィンターフェスティバルに参加してローミングダイスを収集し、イベントマップを探索してサプライズ報酬を獲得しよう！  
マーブルゲーム：ウィンターフェスティバル限定のマーブル抽選—マーブルコインを獲得し、トップ報酬と交換、さらに限定のホリデー基地スキンを手に入れよう。  
新ファイタースキン – カール：「ギフトクーリエ」カールがウィンターフェスティバルに登場。フルムーン祈願プールに参加して彼のファイタースキンをアンロックしよう！  
ホリデープリオーダー：限定時間でウィンターフェスティバルのプリオーダーチェーンが利用可能。早期予約でフェスティバルアイテムが20%オフ！  
ラダーチャレンジ：期間限定チャレンジ—指定されたロック解除条件でステージをクリアし、豪華報酬をシェアしよう！  
迷路チャレンジ：迷路チャレンジが限定時間で開放—頭脳と反射神経の両方が試される、メック漆製品や限定行軍エフェクトが手に入るチャンス！  
行軍絵文字図鑑：行軍絵文字がついに図鑑に登場—収集して属性ブーストや追加アイテム報酬をゲットしよう！  
ウィンターフェスティバル：ラッキーベルを収集してガラをレベルアップ、限定行軍エフェクト「フロストウィング」を獲得しよう！</v>
      </c>
      <c r="R75" s="148" t="str">
        <f>IFERROR(__xludf.DUMMYFUNCTION("""COMPUTED_VALUE"""),"--새로운 겨울 축제 이벤트:
방랑 모험: 겨울 축제에 참가하여 방랑 주사위를 수집하고 이벤트 지도를 탐험해 깜짝 보상을 획득하세요!
구슬 게임: 겨울 축제 한정 구슬 뽑기—구슬 코인을 획득하고, 이를 최고 보상과 교환하며 희귀한 홀리데이 기지 스킨을 획득하세요.
새로운 전사 스킨 – 칼: “선물 배달부” 칼이 겨울 축제에 등장합니다. 보름달 소원 수영장에 참여해 그의 전사 스킨을 잠금 해제하세요!
홀리데이 사전 주문: 한정 기간 동안 겨울 축제 사전 "&amp;"주문 체인이 오픈됩니다. 미리 예약하면 축제 아이템을 20% 할인된 가격에 즐길 수 있습니다.
사다리 도전: 한정 시간 도전—이벤트 기간 내 지정된 조건 하에 단계를 클리어하고 풍성한 보상을 공유하세요!
미로 도전: 미로 도전이 한정 기간 동안 오픈—두뇌와 반사 신경을 시험하는 도전으로, 메카 래커와 한정 행군 이펙트를 획득할 수 있습니다!
행군 이모티콘 도감: 행군 이모티콘이 이제 전용 도감을 가집니다—수집하여 속성 부스트와 추가 아이템 보상을 얻으세"&amp;"요!
겨울 축제: 행운의 종을 수집해 축제 레벨을 올리고, 한정 행군 이펙트 “프로스트윙”을 획득하세요!")</f>
        <v>--새로운 겨울 축제 이벤트:
방랑 모험: 겨울 축제에 참가하여 방랑 주사위를 수집하고 이벤트 지도를 탐험해 깜짝 보상을 획득하세요!
구슬 게임: 겨울 축제 한정 구슬 뽑기—구슬 코인을 획득하고, 이를 최고 보상과 교환하며 희귀한 홀리데이 기지 스킨을 획득하세요.
새로운 전사 스킨 – 칼: “선물 배달부” 칼이 겨울 축제에 등장합니다. 보름달 소원 수영장에 참여해 그의 전사 스킨을 잠금 해제하세요!
홀리데이 사전 주문: 한정 기간 동안 겨울 축제 사전 주문 체인이 오픈됩니다. 미리 예약하면 축제 아이템을 20% 할인된 가격에 즐길 수 있습니다.
사다리 도전: 한정 시간 도전—이벤트 기간 내 지정된 조건 하에 단계를 클리어하고 풍성한 보상을 공유하세요!
미로 도전: 미로 도전이 한정 기간 동안 오픈—두뇌와 반사 신경을 시험하는 도전으로, 메카 래커와 한정 행군 이펙트를 획득할 수 있습니다!
행군 이모티콘 도감: 행군 이모티콘이 이제 전용 도감을 가집니다—수집하여 속성 부스트와 추가 아이템 보상을 얻으세요!
겨울 축제: 행운의 종을 수집해 축제 레벨을 올리고, 한정 행군 이펙트 “프로스트윙”을 획득하세요!</v>
      </c>
      <c r="S75" s="148" t="str">
        <f>IFERROR(__xludf.DUMMYFUNCTION("""COMPUTED_VALUE"""),"--新增冬日节活动：
漫游奇遇：参加冬日节活动收集漫游骰子，在探索地图的过程中获得惊喜奖励！
弹珠游戏：冬日节限定弹珠抽奖活动开启，参与活动获取弹珠币，即可兑换丰厚奖励！赢取冬日节限定主城外观大奖！
新增斗士-卡尔冬日节皮肤：“礼物派送员”卡尔登场，参与满月许愿池即可获取斗士皮肤！
节日预购：冬日节连锁预购活动限时上线，提前预购即享20%节日道具优惠。
天梯挑战赛：挑战赛限时开启，限定时间内，按指定条件通关即可瓜分丰厚奖励！
迷宫挑战赛：迷宫挑战限时开启，智慧和手速的双重挑战，还有机甲染色涂装、专属行军特"&amp;"效可拿！
行军表情图鉴：行军表情拥有专属图鉴，收集可获得属性加成及丰厚道具奖励！
冬日晚会：收集幸运铃铛，提升晚会等级，赢取限定行军特效——霜寒之翼！")</f>
        <v>--新增冬日节活动：
漫游奇遇：参加冬日节活动收集漫游骰子，在探索地图的过程中获得惊喜奖励！
弹珠游戏：冬日节限定弹珠抽奖活动开启，参与活动获取弹珠币，即可兑换丰厚奖励！赢取冬日节限定主城外观大奖！
新增斗士-卡尔冬日节皮肤：“礼物派送员”卡尔登场，参与满月许愿池即可获取斗士皮肤！
节日预购：冬日节连锁预购活动限时上线，提前预购即享20%节日道具优惠。
天梯挑战赛：挑战赛限时开启，限定时间内，按指定条件通关即可瓜分丰厚奖励！
迷宫挑战赛：迷宫挑战限时开启，智慧和手速的双重挑战，还有机甲染色涂装、专属行军特效可拿！
行军表情图鉴：行军表情拥有专属图鉴，收集可获得属性加成及丰厚道具奖励！
冬日晚会：收集幸运铃铛，提升晚会等级，赢取限定行军特效——霜寒之翼！</v>
      </c>
      <c r="T75" s="148"/>
      <c r="U75" s="148"/>
      <c r="V75" s="148"/>
      <c r="W75" s="148"/>
      <c r="X75" s="148"/>
      <c r="Y75" s="148"/>
      <c r="Z75" s="148"/>
    </row>
    <row r="76">
      <c r="A76" s="167" t="str">
        <f>IFERROR(__xludf.DUMMYFUNCTION("""COMPUTED_VALUE"""),"0.83.0")</f>
        <v>0.83.0</v>
      </c>
      <c r="B76" s="168" t="str">
        <f>IFERROR(__xludf.DUMMYFUNCTION("""COMPUTED_VALUE"""),"-新增斗士：天外探索者-艾里奥特，夜空中的谜之闪光，遨游天外的追梦者！可通过“最强猴子”活动获取。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f>
        <v>-新增斗士：天外探索者-艾里奥特，夜空中的谜之闪光，遨游天外的追梦者！可通过“最强猴子”活动获取。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v>
      </c>
      <c r="C76" s="168" t="str">
        <f>IFERROR(__xludf.DUMMYFUNCTION("""COMPUTED_VALUE"""),"-New Fighter: Cosmic Pathfinder-Elliot, A mysterious streak of light across the night sky, chasing dreams beyond the stars! Can be obtained from the ""Ultimate Monkey"" event.
-New Tank Destroyer: Devastator, a counter-carrier specialist that deals heavy "&amp;"damage and slows enemy carriers!
-New Fighter Statues: Professor Kim, Vidoc, and Axel. Add more brilliance to your city!
-Equipment System: Added Memory Reforge mode. In Memory Reforge, the value range of locked attributes will now be refreshed at random."&amp;"
-Gang System: Improved the automatic leadership transfer rules for the Gang Leader.
-Champion Brawl: Fixed an issue where Towers could not be attacked properly to gain buff effects.")</f>
        <v>-New Fighter: Cosmic Pathfinder-Elliot, A mysterious streak of light across the night sky, chasing dreams beyond the stars! Can be obtained from the "Ultimate Monkey" event.
-New Tank Destroyer: Devastator, a counter-carrier specialist that deals heavy damage and slows enemy carriers!
-New Fighter Statues: Professor Kim, Vidoc, and Axel. Add more brilliance to your city!
-Equipment System: Added Memory Reforge mode. In Memory Reforge, the value range of locked attributes will now be refreshed at random.
-Gang System: Improved the automatic leadership transfer rules for the Gang Leader.
-Champion Brawl: Fixed an issue where Towers could not be attacked properly to gain buff effects.</v>
      </c>
      <c r="D76" s="168" t="str">
        <f>IFERROR(__xludf.DUMMYFUNCTION("""COMPUTED_VALUE"""),"-Nouveau combattant : Éclaireur cosmique-Elliot, une mystérieuse traînée de lumière traverse le ciel nocturne, poursuivant des rêves au-delà des étoiles ! Peut être obtenu lors de l'évènement ""LE SINGE ULTIME"".
-Nouveau destructeur de char : Dévastateur"&amp;", un spécialiste anti-transporteurs qui inflige de lourds dégâts et ralentit les transporteurs ennemis !
-Nouvelles statues de combattant : Professeur Kim, Vidoc et Axel. Ajoutez plus d’éclat à votre ville !
-Système d’équipement : Ajout du mode Reforge M"&amp;"émoire. En Reforge Mémoire, la plage de valeur des attributs verrouillés sera désormais actualisée aléatoirement.
-Système de gang : Amélioration des règles de transfert automatique du chef du gang.
-Choc des champions : Correction d’un problème où les to"&amp;"urs ne pouvaient pas être attaquées correctement pour obtenir des effets de boost.")</f>
        <v>-Nouveau combattant : Éclaireur cosmique-Elliot, une mystérieuse traînée de lumière traverse le ciel nocturne, poursuivant des rêves au-delà des étoiles ! Peut être obtenu lors de l'évènement "LE SINGE ULTIME".
-Nouveau destructeur de char : Dévastateur, un spécialiste anti-transporteurs qui inflige de lourds dégâts et ralentit les transporteurs ennemis !
-Nouvelles statues de combattant : Professeur Kim, Vidoc et Axel. Ajoutez plus d’éclat à votre ville !
-Système d’équipement : Ajout du mode Reforge Mémoire. En Reforge Mémoire, la plage de valeur des attributs verrouillés sera désormais actualisée aléatoirement.
-Système de gang : Amélioration des règles de transfert automatique du chef du gang.
-Choc des champions : Correction d’un problème où les tours ne pouvaient pas être attaquées correctement pour obtenir des effets de boost.</v>
      </c>
      <c r="E76" s="168" t="str">
        <f>IFERROR(__xludf.DUMMYFUNCTION("""COMPUTED_VALUE"""),"-Neuer Kämpfer: Kosmischer Pfadfinder-Elliot, ein geheimnisvoller Lichtstreif am Nachthimmel, der Träumen jenseits der Sterne nachjagt! Kann im „Ultimativer Affe“-Event erhalten werden.
-Neuer Panzer-Zerstörer: Verwüster, ein Gegen-Träger-Spezialist, der "&amp;"Massivschaden verursacht und feindliche Träger verlangsamt!
-Neue Kämpfer-Statuen: Professor Kim, Vidoc und Axel. Füge deiner Stadt noch mehr Glanz hinzu!
-Ausrüstungssystem: Modus „Memory Reforge“ hinzugefügt. Im Memory Reforge wird der Wertebereich gesp"&amp;"errter Attribute nun zufällig aktualisiert.
-Clan-System: Die Regeln für die automatische Führungsübertragung des Clan-Anführers wurden verbessert.
-Champion-Schlägerei: Ein Problem wurde behoben, bei dem Türme nicht richtig angegriffen werden konnten, um"&amp;" Buff-Effekte zu erhalten.")</f>
        <v>-Neuer Kämpfer: Kosmischer Pfadfinder-Elliot, ein geheimnisvoller Lichtstreif am Nachthimmel, der Träumen jenseits der Sterne nachjagt! Kann im „Ultimativer Affe“-Event erhalten werden.
-Neuer Panzer-Zerstörer: Verwüster, ein Gegen-Träger-Spezialist, der Massivschaden verursacht und feindliche Träger verlangsamt!
-Neue Kämpfer-Statuen: Professor Kim, Vidoc und Axel. Füge deiner Stadt noch mehr Glanz hinzu!
-Ausrüstungssystem: Modus „Memory Reforge“ hinzugefügt. Im Memory Reforge wird der Wertebereich gesperrter Attribute nun zufällig aktualisiert.
-Clan-System: Die Regeln für die automatische Führungsübertragung des Clan-Anführers wurden verbessert.
-Champion-Schlägerei: Ein Problem wurde behoben, bei dem Türme nicht richtig angegriffen werden konnten, um Buff-Effekte zu erhalten.</v>
      </c>
      <c r="F76" s="168" t="str">
        <f>IFERROR(__xludf.DUMMYFUNCTION("""COMPUTED_VALUE"""),"-Novo combatente: Desbravador Cósmico-Elliot, Um misterioso rastro de luz atravessa o céu noturno, perseguindo sonhos além das estrelas! Pode ser obtido no evento ""MACACO SUPREMO"".
-Novo Destruidor de Tanques: Devastador, um especialista contra transpor"&amp;"tadores que causa dano pesado e retarda os transportadores inimigos!
-Novas Estátuas Combatentes: Professor Kim, Vidoc e Axel. Adicione mais brilho à sua cidade!
-Sistema de Equipamentos: Adicionado o modo Reforjar Memória. No Reforjar Memória, o interval"&amp;"o de valor dos atributos trancados agora será renovado aleatoriamente.
-Sistema de Gangue: Melhoradas as regras de transferência automática de liderança para o Líder da gangue.
-Briga de Campeões: Corrigido um problema onde as Torres não podiam ser atacad"&amp;"as corretamente para obter efeitos de auxílio.")</f>
        <v>-Novo combatente: Desbravador Cósmico-Elliot, Um misterioso rastro de luz atravessa o céu noturno, perseguindo sonhos além das estrelas! Pode ser obtido no evento "MACACO SUPREMO".
-Novo Destruidor de Tanques: Devastador, um especialista contra transportadores que causa dano pesado e retarda os transportadores inimigos!
-Novas Estátuas Combatentes: Professor Kim, Vidoc e Axel. Adicione mais brilho à sua cidade!
-Sistema de Equipamentos: Adicionado o modo Reforjar Memória. No Reforjar Memória, o intervalo de valor dos atributos trancados agora será renovado aleatoriamente.
-Sistema de Gangue: Melhoradas as regras de transferência automática de liderança para o Líder da gangue.
-Briga de Campeões: Corrigido um problema onde as Torres não podiam ser atacadas corretamente para obter efeitos de auxílio.</v>
      </c>
      <c r="G76" s="168" t="str">
        <f>IFERROR(__xludf.DUMMYFUNCTION("""COMPUTED_VALUE"""),"-新增鬥士：天外探索者-艾里奧特，夜空中的謎之閃光，遨遊天外的追夢者！可通過「最強猴子」活動取得。
-新增反裝甲戰車：破壞者號，能反制敵方戰車，造成高額傷害和減速效果！
-新增鬥士雕像：金教授、維多克、阿克塞爾，來為你的城市增添更多光彩吧！
-戰裝系統：新增記憶重鑄模式。記憶重鑄模式下，鎖定屬性的數值範圍將會被隨機刷新。
-幫派系統優化：優化了幫派首領的自動轉讓機制。
-精英競技場優化：修復地圖中無法正常攻擊防禦塔取得增益效果的問題。")</f>
        <v>-新增鬥士：天外探索者-艾里奧特，夜空中的謎之閃光，遨遊天外的追夢者！可通過「最強猴子」活動取得。
-新增反裝甲戰車：破壞者號，能反制敵方戰車，造成高額傷害和減速效果！
-新增鬥士雕像：金教授、維多克、阿克塞爾，來為你的城市增添更多光彩吧！
-戰裝系統：新增記憶重鑄模式。記憶重鑄模式下，鎖定屬性的數值範圍將會被隨機刷新。
-幫派系統優化：優化了幫派首領的自動轉讓機制。
-精英競技場優化：修復地圖中無法正常攻擊防禦塔取得增益效果的問題。</v>
      </c>
      <c r="H76" s="168" t="str">
        <f>IFERROR(__xludf.DUMMYFUNCTION("""COMPUTED_VALUE"""),"-Pejuang Baru: Perintis Kosmik-Elliot, Garis cahaya misterius melintasi langit malam, mengejar mimpi di luar bintang-bintang! Dapat diperoleh dari event ""KERA YANG TANGGUH"".
-Penghancur Tank Baru: Penghancur Dahsyat, spesialis counter-pembawa barang yan"&amp;"g memberikan rusak parah dan memperlambat pembawa barang musuh!
-Patung Pejuang Baru: Professor Kim, Vidoc, dan Axel. Tambahkan lebih banyak kemilau ke kota kamu!
-Sistem Peralatan: Mode Memory Reforge telah ditambahkan. Dalam Memory Reforge, rentang nila"&amp;"i atribut yang dikunci sekarang akan di-refresh secara acak.
-Sistem Geng: Meningkatkan peraturan transfer otomatis kepemimpinan untuk Kapten Geng.
-Perkelahian Elite: Memperbaiki masalah di mana Menara tidak dapat diserang dengan benar untuk mendapatkan "&amp;"efek keunggulan.")</f>
        <v>-Pejuang Baru: Perintis Kosmik-Elliot, Garis cahaya misterius melintasi langit malam, mengejar mimpi di luar bintang-bintang! Dapat diperoleh dari event "KERA YANG TANGGUH".
-Penghancur Tank Baru: Penghancur Dahsyat, spesialis counter-pembawa barang yang memberikan rusak parah dan memperlambat pembawa barang musuh!
-Patung Pejuang Baru: Professor Kim, Vidoc, dan Axel. Tambahkan lebih banyak kemilau ke kota kamu!
-Sistem Peralatan: Mode Memory Reforge telah ditambahkan. Dalam Memory Reforge, rentang nilai atribut yang dikunci sekarang akan di-refresh secara acak.
-Sistem Geng: Meningkatkan peraturan transfer otomatis kepemimpinan untuk Kapten Geng.
-Perkelahian Elite: Memperbaiki masalah di mana Menara tidak dapat diserang dengan benar untuk mendapatkan efek keunggulan.</v>
      </c>
      <c r="I76" s="168" t="str">
        <f>IFERROR(__xludf.DUMMYFUNCTION("""COMPUTED_VALUE"""),"-นักสู้ตัวใหม่: นักบุกเบิกแห่งคอสโม-เอลเลียต, แสงลึกลับพาดผ่านท้องฟ้ายามค่ำคืน ไล่ตามความฝันที่อยู่เหนือดวงดาว! สามารถรับได้จากกิจกรรม ""ลิงขั้นเทพ""
-จอมทำลายรถถังตัวใหม่: จอมทำลายล้าง, ผู้เชี่ยวชาญในการต่อต้านลิงขนส่งที่สร้างแดเมจรุนแรงและทำให้ลิงขนส่งข"&amp;"องศัตรูเคลื่อนที่ช้าลง!
-รูปปั้นนักสู้ใหม่: ศาสตราจารย์คิม, วิโดค และแอ็กเซล เพิ่มความโดดเด่นให้กับเมืองของคุณ!
-ระบบอุปกรณ์: เพิ่มโหมดรีฟอร์จความทรงจำ ในโหมดนี้ ช่วงมูลค่าของคุณสมบัติที่ล็อกจะถูกรีเฟรชแบบสุ่ม
-ระบบแก๊ง: ปรับปรุงกฎการโอนผู้นำแก๊งค์อัตโนมั"&amp;"ติให้ดีขึ้น
-อารีน่าอีลิท: แก้ไขปัญหาที่หอคอยไม่สามารถถูกโจมตีเพื่อรับบัฟได้อย่างถูกต้อง")</f>
        <v>-นักสู้ตัวใหม่: นักบุกเบิกแห่งคอสโม-เอลเลียต, แสงลึกลับพาดผ่านท้องฟ้ายามค่ำคืน ไล่ตามความฝันที่อยู่เหนือดวงดาว! สามารถรับได้จากกิจกรรม "ลิงขั้นเทพ"
-จอมทำลายรถถังตัวใหม่: จอมทำลายล้าง, ผู้เชี่ยวชาญในการต่อต้านลิงขนส่งที่สร้างแดเมจรุนแรงและทำให้ลิงขนส่งของศัตรูเคลื่อนที่ช้าลง!
-รูปปั้นนักสู้ใหม่: ศาสตราจารย์คิม, วิโดค และแอ็กเซล เพิ่มความโดดเด่นให้กับเมืองของคุณ!
-ระบบอุปกรณ์: เพิ่มโหมดรีฟอร์จความทรงจำ ในโหมดนี้ ช่วงมูลค่าของคุณสมบัติที่ล็อกจะถูกรีเฟรชแบบสุ่ม
-ระบบแก๊ง: ปรับปรุงกฎการโอนผู้นำแก๊งค์อัตโนมัติให้ดีขึ้น
-อารีน่าอีลิท: แก้ไขปัญหาที่หอคอยไม่สามารถถูกโจมตีเพื่อรับบัฟได้อย่างถูกต้อง</v>
      </c>
      <c r="J76" s="168" t="str">
        <f>IFERROR(__xludf.DUMMYFUNCTION("""COMPUTED_VALUE"""),"-Nuevo Luchador: Pionero Cósmico-Elliot, ¡Una misteriosa estela de luz cruza el cielo nocturno, persiguiendo sueños más allá de las estrellas! Se puede obtener en el evento ""MONO SUPREMO"".
-Nuevo Destructor de Tanques: Devastador, un especialista contra"&amp;" transportadores que inflige alto daño y ralentiza los transportadores enemigos.
-Nuevas Estatuas de Luchador: Profesor Kim, Vidoc y Axel. ¡Añade más brillo a tu ciudad!
-Sistema de Equipamiento: Se añadió el modo de Reforja de Memoria. En Reforja de Memo"&amp;"ria, el rango de valor de los atributos bloqueados ahora se actualizará al azar.
-Sistema de Banda: Se mejoraron las reglas de transferencia automática de liderazgo para el Líder de la Banda.
-Pelea de campeones: Se solucionó un problema donde las Torres "&amp;"no podían ser atacadas correctamente para obtener efectos de mejora.")</f>
        <v>-Nuevo Luchador: Pionero Cósmico-Elliot, ¡Una misteriosa estela de luz cruza el cielo nocturno, persiguiendo sueños más allá de las estrellas! Se puede obtener en el evento "MONO SUPREMO".
-Nuevo Destructor de Tanques: Devastador, un especialista contra transportadores que inflige alto daño y ralentiza los transportadores enemigos.
-Nuevas Estatuas de Luchador: Profesor Kim, Vidoc y Axel. ¡Añade más brillo a tu ciudad!
-Sistema de Equipamiento: Se añadió el modo de Reforja de Memoria. En Reforja de Memoria, el rango de valor de los atributos bloqueados ahora se actualizará al azar.
-Sistema de Banda: Se mejoraron las reglas de transferencia automática de liderazgo para el Líder de la Banda.
-Pelea de campeones: Se solucionó un problema donde las Torres no podían ser atacadas correctamente para obtener efectos de mejora.</v>
      </c>
      <c r="K76" s="168" t="str">
        <f>IFERROR(__xludf.DUMMYFUNCTION("""COMPUTED_VALUE"""),"-Новый герой: Космический Первопроходец — Эллиот. Таинственная полоса света в ночном небе, преследующая мечты за пределами звезд! Можно получить на событии «ВЕЛИКАЯ ОБЕЗЬЯНА».
-Новый Уничтожитель танков: Опустошитель — специалист по борьбе с перевозчиками"&amp;", наносит тяжелый урон и замедляет вражеские перевозчики!
-Новые статуи героев: Профессор Ким, Видок и Аксель. Добавьте еще больше блеска вашему городу!
-Система экипировки: добавлен режим Перековки памяти. В Перековке памяти диапазон значений заблокирова"&amp;"нных показателей теперь будет обновляться случайным образом.
-Система банд: улучшены правила автоматической передачи лидерства Лидеру банды.
-Потасовка чемпионов: исправлена проблема, из-за которой Башни нельзя было правильно атаковать для получения эффек"&amp;"тов усиления.")</f>
        <v>-Новый герой: Космический Первопроходец — Эллиот. Таинственная полоса света в ночном небе, преследующая мечты за пределами звезд! Можно получить на событии «ВЕЛИКАЯ ОБЕЗЬЯНА».
-Новый Уничтожитель танков: Опустошитель — специалист по борьбе с перевозчиками, наносит тяжелый урон и замедляет вражеские перевозчики!
-Новые статуи героев: Профессор Ким, Видок и Аксель. Добавьте еще больше блеска вашему городу!
-Система экипировки: добавлен режим Перековки памяти. В Перековке памяти диапазон значений заблокированных показателей теперь будет обновляться случайным образом.
-Система банд: улучшены правила автоматической передачи лидерства Лидеру банды.
-Потасовка чемпионов: исправлена проблема, из-за которой Башни нельзя было правильно атаковать для получения эффектов усиления.</v>
      </c>
      <c r="L76" s="168" t="str">
        <f>IFERROR(__xludf.DUMMYFUNCTION("""COMPUTED_VALUE"""),"-Yeni Savaşçı: Kozmik Yol Bulucu-Elliot, gece gökyüzünde gizemli bir ışık çizgisi, yıldızların ötesindeki hayallerin peşinde! ""En Üstün Maymun"" etkinliğinden edinilebilir.
-Yeni Tank Yok Edici: Yıkıcı, ağır hasar veren ve düşman taşıyıcılarını yavaşlata"&amp;"n bir karşı-taşıyıcı uzmanı!
-Yeni Savaşçı Heykelleri: Profesör Kim, Vidoc ve Axel. Şehrine daha fazla parlaklık kat!
-Ekipman Sistemi: Bellek Yeniden Dövme modu eklendi. Bellek Yeniden Dövme’de, kilitli niteliklerin değer aralığı artık rastgele yenilenec"&amp;"ek.
-Çete Sistemi: Çete Lideri için otomatik liderlik devri kuralları geliştirildi.
-Şampiyonlar Kavgası: Kulelerin düzgün şekilde saldırılamayarak güçlendirici etkiler kazanılamaması sorunu düzeltildi.")</f>
        <v>-Yeni Savaşçı: Kozmik Yol Bulucu-Elliot, gece gökyüzünde gizemli bir ışık çizgisi, yıldızların ötesindeki hayallerin peşinde! "En Üstün Maymun" etkinliğinden edinilebilir.
-Yeni Tank Yok Edici: Yıkıcı, ağır hasar veren ve düşman taşıyıcılarını yavaşlatan bir karşı-taşıyıcı uzmanı!
-Yeni Savaşçı Heykelleri: Profesör Kim, Vidoc ve Axel. Şehrine daha fazla parlaklık kat!
-Ekipman Sistemi: Bellek Yeniden Dövme modu eklendi. Bellek Yeniden Dövme’de, kilitli niteliklerin değer aralığı artık rastgele yenilenecek.
-Çete Sistemi: Çete Lideri için otomatik liderlik devri kuralları geliştirildi.
-Şampiyonlar Kavgası: Kulelerin düzgün şekilde saldırılamayarak güçlendirici etkiler kazanılamaması sorunu düzeltildi.</v>
      </c>
      <c r="M76" s="168" t="str">
        <f>IFERROR(__xludf.DUMMYFUNCTION("""COMPUTED_VALUE"""),"-Chiến Binh Mới: Người Dò Đường Vũ Trụ-Elliot, Một vệt sáng bí ẩn băng qua bầu trời đêm, theo đuổi những giấc mơ vượt ra ngoài các vì sao! Có thể nhận được từ sự kiện ""CHÚA KHỈ TỐI CAO"".
-Kẻ Hủy Diệt Xe Tăng Mới: Kẻ Tàn Phá, chuyên gia phản công người v"&amp;"ận chuyển, gây S.Thương Nặng và làm chậm người vận chuyển của địch!
-Tượng Chiến Binh Mới: Giáo Sư Kim, Vidoc, và Axel. Thêm sự rực rỡ cho THÀNH PHỐ của bạn!
-Hệ Thống Trang Bị: Đã thêm chế độ Rèn Ký Ức. Trong Rèn Ký Ức, phạm vi giá trị của thuộc tính đã "&amp;"khóa sẽ được làm mới ngẫu nhiên.
-Hệ Thống Bang Hội: Cải thiện quy tắc chuyển giao Đội Trưởng tự động cho Thủ Lĩnh Bang Hội.
-Đấu Trường Tinh Anh: Đã sửa lỗi khiến Tháp không thể bị tấn công đúng cách để nhận hiệu ứng Hiệu Ứng Có Lợi.")</f>
        <v>-Chiến Binh Mới: Người Dò Đường Vũ Trụ-Elliot, Một vệt sáng bí ẩn băng qua bầu trời đêm, theo đuổi những giấc mơ vượt ra ngoài các vì sao! Có thể nhận được từ sự kiện "CHÚA KHỈ TỐI CAO".
-Kẻ Hủy Diệt Xe Tăng Mới: Kẻ Tàn Phá, chuyên gia phản công người vận chuyển, gây S.Thương Nặng và làm chậm người vận chuyển của địch!
-Tượng Chiến Binh Mới: Giáo Sư Kim, Vidoc, và Axel. Thêm sự rực rỡ cho THÀNH PHỐ của bạn!
-Hệ Thống Trang Bị: Đã thêm chế độ Rèn Ký Ức. Trong Rèn Ký Ức, phạm vi giá trị của thuộc tính đã khóa sẽ được làm mới ngẫu nhiên.
-Hệ Thống Bang Hội: Cải thiện quy tắc chuyển giao Đội Trưởng tự động cho Thủ Lĩnh Bang Hội.
-Đấu Trường Tinh Anh: Đã sửa lỗi khiến Tháp không thể bị tấn công đúng cách để nhận hiệu ứng Hiệu Ứng Có Lợi.</v>
      </c>
      <c r="N76" s="169" t="str">
        <f>IFERROR(__xludf.DUMMYFUNCTION("""COMPUTED_VALUE"""),"-Nuovo Combattente: Pioniere Cosmico-Elliot, una misteriosa scia di luce attraversa il cielo notturno, inseguendo sogni oltre le stelle! Può essere ottenuto dall’evento ""SCIMMIA SUPREMA"".
-Nuovo Distruttore di carri armati: Devastatore, uno specialista "&amp;"anti-trasportatori che infligge danni pesanti e rallenta i trasportatori nemici!
-Nuove Statue dei Combattenti: Professor Kim, Vidoc e Axel. Dona ancora più splendore alla tua città!
-Sistema Equipaggiamento: Aggiunta la modalità Riforgiatura della Memori"&amp;"a. In Riforgiatura della Memoria, il valore dell’intervallo degli attributi bloccati verrà ora aggiornato casualmente.
-Sistema Gang: Migliorate le regole di trasferimento automatico della leadership per il Leader della Gang.
-Rissa dei campioni: Risolto "&amp;"un problema per cui le Torri non potevano essere attaccate correttamente per ottenere effetti beneficio.")</f>
        <v>-Nuovo Combattente: Pioniere Cosmico-Elliot, una misteriosa scia di luce attraversa il cielo notturno, inseguendo sogni oltre le stelle! Può essere ottenuto dall’evento "SCIMMIA SUPREMA".
-Nuovo Distruttore di carri armati: Devastatore, uno specialista anti-trasportatori che infligge danni pesanti e rallenta i trasportatori nemici!
-Nuove Statue dei Combattenti: Professor Kim, Vidoc e Axel. Dona ancora più splendore alla tua città!
-Sistema Equipaggiamento: Aggiunta la modalità Riforgiatura della Memoria. In Riforgiatura della Memoria, il valore dell’intervallo degli attributi bloccati verrà ora aggiornato casualmente.
-Sistema Gang: Migliorate le regole di trasferimento automatico della leadership per il Leader della Gang.
-Rissa dei campioni: Risolto un problema per cui le Torri non potevano essere attaccate correttamente per ottenere effetti beneficio.</v>
      </c>
      <c r="O76" s="168" t="str">
        <f>IFERROR(__xludf.DUMMYFUNCTION("""COMPUTED_VALUE"""),"-Nowy Wojownik: Kosmiczny Pionier-Elliot, tajemniczy ślad światła na nocnym niebie, goniący marzenia poza gwiazdami! Można go uzyskać podczas wydarzenia ""UBERMAŁPA"".
-Nowy Niszczyciel czołgów: Dewastator, specjalista do walki z transportowcami, który za"&amp;"daje ciężkie uszkodzenia i spowalnia wrogie transportowce!
-Nowe Pomniki Wojownika: Profesor Kim, Vidoc i Axel. Dodaj więcej blasku swojemu miastu!
-System Ekwipunku: Dodano tryb Przekształcania Pamięci. W Przekształcaniu Pamięci zakres wartości zablokowa"&amp;"nych atrybutów będzie teraz odświeżany losowo.
-System Gangu: Ulepszono reguły automatycznego przekazywania przywództwa Przywódcy Gangu.
-Bijatyka Mistrzów: Naprawiono problem, w którym Wieże nie mogły być prawidłowo atakowane w celu uzyskania efektów wzm"&amp;"ocnienia.")</f>
        <v>-Nowy Wojownik: Kosmiczny Pionier-Elliot, tajemniczy ślad światła na nocnym niebie, goniący marzenia poza gwiazdami! Można go uzyskać podczas wydarzenia "UBERMAŁPA".
-Nowy Niszczyciel czołgów: Dewastator, specjalista do walki z transportowcami, który zadaje ciężkie uszkodzenia i spowalnia wrogie transportowce!
-Nowe Pomniki Wojownika: Profesor Kim, Vidoc i Axel. Dodaj więcej blasku swojemu miastu!
-System Ekwipunku: Dodano tryb Przekształcania Pamięci. W Przekształcaniu Pamięci zakres wartości zablokowanych atrybutów będzie teraz odświeżany losowo.
-System Gangu: Ulepszono reguły automatycznego przekazywania przywództwa Przywódcy Gangu.
-Bijatyka Mistrzów: Naprawiono problem, w którym Wieże nie mogły być prawidłowo atakowane w celu uzyskania efektów wzmocnienia.</v>
      </c>
      <c r="P76" s="168" t="str">
        <f>IFERROR(__xludf.DUMMYFUNCTION("""COMPUTED_VALUE"""),"-مقاتل جديد: مكتشف المسارات الكوني-إليوت، شعاع غامض من الضوء يعبر سماء الليل، يطارد الأحلام خلف النجوم! يمكن الحصول عليه من حدث ""القرد الخارق"".
-مدمر دبابات جديد: المدمر، متخصص في مواجهة الناقلات يسبب أضرارًا جسيمة ويبطئ ناقلات العدو!
-تماثيل مقاتلين جد"&amp;"يدة: البروفيسور كيم، فيدوك، وأكسل. أضف المزيد من التألق إلى مدينتك!
-نظام المعدات: تمت إضافة وضع إعادة تشكيل الذاكرة. في إعادة تشكيل الذاكرة، سيتم الآن تحديث نطاق قيمة السمات المقفلة بشكل عشوائي.
-نظام العصابة: تم تحسين قواعد نقل القيادة التلقائي لقائد ال"&amp;"عصابة.
-حلبة الأبطال: تم إصلاح مشكلة عدم إمكانية مهاجمة الأبراج بشكل صحيح للحصول على تأثيرات التعزيز.")</f>
        <v>-مقاتل جديد: مكتشف المسارات الكوني-إليوت، شعاع غامض من الضوء يعبر سماء الليل، يطارد الأحلام خلف النجوم! يمكن الحصول عليه من حدث "القرد الخارق".
-مدمر دبابات جديد: المدمر، متخصص في مواجهة الناقلات يسبب أضرارًا جسيمة ويبطئ ناقلات العدو!
-تماثيل مقاتلين جديدة: البروفيسور كيم، فيدوك، وأكسل. أضف المزيد من التألق إلى مدينتك!
-نظام المعدات: تمت إضافة وضع إعادة تشكيل الذاكرة. في إعادة تشكيل الذاكرة، سيتم الآن تحديث نطاق قيمة السمات المقفلة بشكل عشوائي.
-نظام العصابة: تم تحسين قواعد نقل القيادة التلقائي لقائد العصابة.
-حلبة الأبطال: تم إصلاح مشكلة عدم إمكانية مهاجمة الأبراج بشكل صحيح للحصول على تأثيرات التعزيز.</v>
      </c>
      <c r="Q76" s="168" t="str">
        <f>IFERROR(__xludf.DUMMYFUNCTION("""COMPUTED_VALUE"""),"-新しいファイター：コズミック開拓者-エリオット、夜空を横切る神秘的な光の軌跡、星々の彼方の夢を追いかけて！「究極のエイプ」イベントで取得可能です。
-新しいタンクデストロイヤー：デバステーター、重傷を与え、敵キャリアを減速させるカウンターキャリアスペシャリスト！
-新しいファイターの像：プロフェッサー・キム、ヴィドック、アクセル。あなたの都市にさらなる輝きを追加！
-装備システム：メモリーリフォージモードを追加しました。メモリーリフォージでは、ロックされた属性の価値範囲がランダムに更新されます。
-ギル"&amp;"ドシステム：ギルドリーダーの自動リーダーシップ移譲ルールを改善しました。
-エリート闘技場：タワーが正しく攻撃されずバフ効果を得られない問題を修正しました。")</f>
        <v>-新しいファイター：コズミック開拓者-エリオット、夜空を横切る神秘的な光の軌跡、星々の彼方の夢を追いかけて！「究極のエイプ」イベントで取得可能です。
-新しいタンクデストロイヤー：デバステーター、重傷を与え、敵キャリアを減速させるカウンターキャリアスペシャリスト！
-新しいファイターの像：プロフェッサー・キム、ヴィドック、アクセル。あなたの都市にさらなる輝きを追加！
-装備システム：メモリーリフォージモードを追加しました。メモリーリフォージでは、ロックされた属性の価値範囲がランダムに更新されます。
-ギルドシステム：ギルドリーダーの自動リーダーシップ移譲ルールを改善しました。
-エリート闘技場：タワーが正しく攻撃されずバフ効果を得られない問題を修正しました。</v>
      </c>
      <c r="R76" s="168" t="str">
        <f>IFERROR(__xludf.DUMMYFUNCTION("""COMPUTED_VALUE"""),"-새로운 전사: 코즈믹 개척자-엘리엇, 밤하늘을 가로지르는 신비로운 빛줄기, 별 너머의 꿈을 쫓다! ""최강 원숭이"" 이벤트에서 획득할 수 있습니다.
-새로운 탱크 파괴자: 파괴자, 중상을 입히고 적 운반선 감속 효과를 가진 대운반선 전문가!
-새로운 전사 석상: 김 교수, 비독, 그리고 악셀. 당신의 도시에 더 많은 빛을 더하세요!
-장비 시스템: 메모리 리포지 모드가 추가되었습니다. 메모리 리포지에서는 잠금된 속성의 가치 사정거리가 이제 무작위로 "&amp;"갱신됩니다.
-무리 시스템: 무리 리더의 자동 리더십 이전 규칙이 개선되었습니다.
-정예 스타디움: 타워를 제대로 공격하여 버프 효과를 얻을 수 없는 문제를 수정했습니다.")</f>
        <v>-새로운 전사: 코즈믹 개척자-엘리엇, 밤하늘을 가로지르는 신비로운 빛줄기, 별 너머의 꿈을 쫓다! "최강 원숭이" 이벤트에서 획득할 수 있습니다.
-새로운 탱크 파괴자: 파괴자, 중상을 입히고 적 운반선 감속 효과를 가진 대운반선 전문가!
-새로운 전사 석상: 김 교수, 비독, 그리고 악셀. 당신의 도시에 더 많은 빛을 더하세요!
-장비 시스템: 메모리 리포지 모드가 추가되었습니다. 메모리 리포지에서는 잠금된 속성의 가치 사정거리가 이제 무작위로 갱신됩니다.
-무리 시스템: 무리 리더의 자동 리더십 이전 규칙이 개선되었습니다.
-정예 스타디움: 타워를 제대로 공격하여 버프 효과를 얻을 수 없는 문제를 수정했습니다.</v>
      </c>
      <c r="S76" s="168" t="str">
        <f>IFERROR(__xludf.DUMMYFUNCTION("""COMPUTED_VALUE"""),"-新增斗士：天外探索者-艾里奥特，夜空中的谜之闪光，遨游天外的追梦者！可通过“最强猴子”活动获取。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f>
        <v>-新增斗士：天外探索者-艾里奥特，夜空中的谜之闪光，遨游天外的追梦者！可通过“最强猴子”活动获取。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v>
      </c>
      <c r="T76" s="148"/>
      <c r="U76" s="148"/>
      <c r="V76" s="148"/>
      <c r="W76" s="148"/>
      <c r="X76" s="148"/>
      <c r="Y76" s="148"/>
      <c r="Z76" s="148"/>
    </row>
    <row r="77">
      <c r="A77" s="167" t="str">
        <f>IFERROR(__xludf.DUMMYFUNCTION("""COMPUTED_VALUE"""),"0.84.0")</f>
        <v>0.84.0</v>
      </c>
      <c r="B77" s="168" t="str">
        <f>IFERROR(__xludf.DUMMYFUNCTION("""COMPUTED_VALUE"""),"-新增医疗站伤兵容量提示：医疗站伤兵容量超过50%时，游戏界面左上角会显示医疗站伤兵标志，且玩家会收到容量提示邮件。
-新增斗士雕像：伦奇，来为你的城市增添更多光彩吧！
-地下世界优化：优化了地下世界部分功能提示。
-猩球日报优化：猩球日报的斗士模块增加详情提示按钮。
-一网打尽优化：优化了一网打尽活动的界面跳转功能。
-押运玩法优化：押运奖励的弹窗内容与邮件内容保持一致。
-头像审核优化：上传头像审核失败时，增加原因提示。
-机甲解锁优化：解锁机甲时，玩家可以使用光碟，跳过解锁任务。
-机师预览优化：机"&amp;"师自选箱增加机师详情预览功能。
-机师提示优化：机师可进阶或升级时，增加红点提示。
-“最强猴子”活动优化：“最强猴子”活动中，使用战车核心和战车图纸升级战车时，额外增加积分。
-酒吧签到好礼优化：酒吧签到好礼的高级签到活动中，取消收藏品页签及其奖励。")</f>
        <v>-新增医疗站伤兵容量提示：医疗站伤兵容量超过50%时，游戏界面左上角会显示医疗站伤兵标志，且玩家会收到容量提示邮件。
-新增斗士雕像：伦奇，来为你的城市增添更多光彩吧！
-地下世界优化：优化了地下世界部分功能提示。
-猩球日报优化：猩球日报的斗士模块增加详情提示按钮。
-一网打尽优化：优化了一网打尽活动的界面跳转功能。
-押运玩法优化：押运奖励的弹窗内容与邮件内容保持一致。
-头像审核优化：上传头像审核失败时，增加原因提示。
-机甲解锁优化：解锁机甲时，玩家可以使用光碟，跳过解锁任务。
-机师预览优化：机师自选箱增加机师详情预览功能。
-机师提示优化：机师可进阶或升级时，增加红点提示。
-“最强猴子”活动优化：“最强猴子”活动中，使用战车核心和战车图纸升级战车时，额外增加积分。
-酒吧签到好礼优化：酒吧签到好礼的高级签到活动中，取消收藏品页签及其奖励。</v>
      </c>
      <c r="C77" s="168" t="str">
        <f>IFERROR(__xludf.DUMMYFUNCTION("""COMPUTED_VALUE"""),"-New Wounded Capacity Alert: when your Medical Station’s wounded capacity exceeds 50%, a wounded icon will appear in the top-left of the screen and you’ll also receive a reminder mail.
-New Fighter Statue: Wrench has arrived. Add more brilliance to your c"&amp;"ity!
-Subterra Update: several feature prompts in the Subterra have been refined.
-Ape Daily update: a new details button has been added to the Fighter section of Ape Daily.
-One Fell Swoop event polish: improved screen transitions inside the One Fell Swo"&amp;"op event.
-Convoy mode update: reward pop-ups for Convoy runs now fully match the reward mails.
-Avatar review update: if a custom avatar fails review, you’ll now see the reason.
-Mech unlock update: when unlocking a Mech, you can now use CDs to skip the "&amp;"unlock quest.
-Operator preview update: Operator Selection Chests now let you preview full Operator details.
-Operator reminder update: a red indicator will appear whenever an Operator can be advanced or leveled up.
-Ultimate Monkey event update: upgradin"&amp;"g Carriers with Cores and Blueprints in Ultimate Monkey now grants extra points.
-Tavern Sign-in Rewards: in the Advanced Sign-in of Tavern Sign-in Rewards, the Relic tab and its rewards have been removed.
")</f>
        <v>-New Wounded Capacity Alert: when your Medical Station’s wounded capacity exceeds 50%, a wounded icon will appear in the top-left of the screen and you’ll also receive a reminder mail.
-New Fighter Statue: Wrench has arrived. Add more brilliance to your city!
-Subterra Update: several feature prompts in the Subterra have been refined.
-Ape Daily update: a new details button has been added to the Fighter section of Ape Daily.
-One Fell Swoop event polish: improved screen transitions inside the One Fell Swoop event.
-Convoy mode update: reward pop-ups for Convoy runs now fully match the reward mails.
-Avatar review update: if a custom avatar fails review, you’ll now see the reason.
-Mech unlock update: when unlocking a Mech, you can now use CDs to skip the unlock quest.
-Operator preview update: Operator Selection Chests now let you preview full Operator details.
-Operator reminder update: a red indicator will appear whenever an Operator can be advanced or leveled up.
-Ultimate Monkey event update: upgrading Carriers with Cores and Blueprints in Ultimate Monkey now grants extra points.
-Tavern Sign-in Rewards: in the Advanced Sign-in of Tavern Sign-in Rewards, the Relic tab and its rewards have been removed.
</v>
      </c>
      <c r="D77" s="168" t="str">
        <f>IFERROR(__xludf.DUMMYFUNCTION("""COMPUTED_VALUE"""),"-Nouvelle alerte de capacité de blessés : lorsque la capacité de blessés de votre infirmerie dépasse 50 %, une icône de blessé apparaîtra en haut à gauche de l’écran et vous recevrez également un mail de rappel.
-Nouvelle statue de combattant : Wrench est"&amp;" arrivé. Ajoutez encore plus d’éclat à votre ville !
-Mise à jour Subterra : plusieurs messages d’aide dans la Subterra ont été améliorés.
-Mise à jour Quotidien des singes : un nouveau bouton Détails a été ajouté à la section Combattant du Quotidien des "&amp;"singes.
-Amélioration de l’évènement Un coup fatal : transitions d’écran améliorées à l’intérieur de l’évènement Un coup fatal.
-Mise à jour du mode Convoi : les fenêtres contextuelles de récompenses pour les courses de Convoi correspondent désormais enti"&amp;"èrement aux mails de récompenses.
-Mise à jour de l’aperçu d’avatar : si un avatar personnalisé échoue à la validation, la raison s’affichera désormais.
-Mise à jour du déblocage de mécha : lors du déblocage d’un mécha, vous pouvez désormais utiliser des "&amp;"CD pour passer la quête de déblocage.
-Mise à jour de l’aperçu des opérateurs : les coffres de sélection d’opérateur permettent désormais de voir un aperçu complet des détails de l’opérateur.
-Mise à jour du rappel opérateur : un indicateur rouge apparaît"&amp;"ra lorsqu’un opérateur peut être développé ou amélioré.
-Mise à jour de l’évènement Le Singe Ultime : améliorer les transporteurs avec des noyaux et des plans dans Le Singe Ultime accorde désormais des points supplémentaires.
-Récompenses de connexion à l"&amp;"a taverne : dans la connexion avancée des récompenses de connexion à la taverne, l’onglet Reliques et ses récompenses ont été supprimés.")</f>
        <v>-Nouvelle alerte de capacité de blessés : lorsque la capacité de blessés de votre infirmerie dépasse 50 %, une icône de blessé apparaîtra en haut à gauche de l’écran et vous recevrez également un mail de rappel.
-Nouvelle statue de combattant : Wrench est arrivé. Ajoutez encore plus d’éclat à votre ville !
-Mise à jour Subterra : plusieurs messages d’aide dans la Subterra ont été améliorés.
-Mise à jour Quotidien des singes : un nouveau bouton Détails a été ajouté à la section Combattant du Quotidien des singes.
-Amélioration de l’évènement Un coup fatal : transitions d’écran améliorées à l’intérieur de l’évènement Un coup fatal.
-Mise à jour du mode Convoi : les fenêtres contextuelles de récompenses pour les courses de Convoi correspondent désormais entièrement aux mails de récompenses.
-Mise à jour de l’aperçu d’avatar : si un avatar personnalisé échoue à la validation, la raison s’affichera désormais.
-Mise à jour du déblocage de mécha : lors du déblocage d’un mécha, vous pouvez désormais utiliser des CD pour passer la quête de déblocage.
-Mise à jour de l’aperçu des opérateurs : les coffres de sélection d’opérateur permettent désormais de voir un aperçu complet des détails de l’opérateur.
-Mise à jour du rappel opérateur : un indicateur rouge apparaîtra lorsqu’un opérateur peut être développé ou amélioré.
-Mise à jour de l’évènement Le Singe Ultime : améliorer les transporteurs avec des noyaux et des plans dans Le Singe Ultime accorde désormais des points supplémentaires.
-Récompenses de connexion à la taverne : dans la connexion avancée des récompenses de connexion à la taverne, l’onglet Reliques et ses récompenses ont été supprimés.</v>
      </c>
      <c r="E77" s="168" t="str">
        <f>IFERROR(__xludf.DUMMYFUNCTION("""COMPUTED_VALUE"""),"-Neue Verwundeten-Kapazitätswarnung: Wenn die Verwundeten-Kapazität deines Lazaretts 50 % überschreitet, erscheint ein Verwundeten-Symbol oben links auf dem Bildschirm und du erhältst außerdem eine Erinnerungs-Mail.
-Neue Kämpfer-Statue: Wrench ist angeko"&amp;"mmen. Verleihe deiner Stadt noch mehr Glanz!
-Subterra-Update: Mehrere Funktionshinweise in der Subterra wurden überarbeitet.
-Affe Täglich-Update: Im Kämpfer-Bereich von Affe Täglich wurde eine neue Details-Schaltfläche hinzugefügt.
-„Auf einen Schlag“-E"&amp;"vent-Optimierung: Verbesserte Bildschirmübergänge im Event „Auf einen Schlag“.
-Konvoi-Modus-Update: Belohnungs-Pop-ups für Konvoi-Läufe stimmen jetzt vollständig mit den Belohnungs-Mails überein.
-Avatar-Überprüfungs-Update: Wenn ein benutzerdefinierter "&amp;"Avatar die Überprüfung nicht besteht, wird dir nun der Grund angezeigt.
-Mech-Freischaltungs-Update: Beim Freischalten eines Mechs kannst du jetzt CDs verwenden, um die Freischaltungs-Quest zu überspringen.
-Operator-Vorschau-Update: Operator-Auswahltruhe"&amp;"n ermöglichen jetzt die Vorschau aller Operator-Details.
-Operator-Erinnerungs-Update: Ein roter Indikator erscheint, sobald ein Operator verbessert oder im Level erhöht werden kann.
-Ultimativer Affe-Event-Update: Das Aufwerten von Trägern mit Kernen und"&amp;" Bauplänen in Ultimativer Affe gewährt jetzt zusätzliche Punkte.
-Tavernen-Anmeldebelohnungen: Im Bereich „Fortgeschrittene Anmeldung“ der Tavernen-Anmeldebelohnungen wurden der Relikt-Tab und seine Belohnungen entfernt.")</f>
        <v>-Neue Verwundeten-Kapazitätswarnung: Wenn die Verwundeten-Kapazität deines Lazaretts 50 % überschreitet, erscheint ein Verwundeten-Symbol oben links auf dem Bildschirm und du erhältst außerdem eine Erinnerungs-Mail.
-Neue Kämpfer-Statue: Wrench ist angekommen. Verleihe deiner Stadt noch mehr Glanz!
-Subterra-Update: Mehrere Funktionshinweise in der Subterra wurden überarbeitet.
-Affe Täglich-Update: Im Kämpfer-Bereich von Affe Täglich wurde eine neue Details-Schaltfläche hinzugefügt.
-„Auf einen Schlag“-Event-Optimierung: Verbesserte Bildschirmübergänge im Event „Auf einen Schlag“.
-Konvoi-Modus-Update: Belohnungs-Pop-ups für Konvoi-Läufe stimmen jetzt vollständig mit den Belohnungs-Mails überein.
-Avatar-Überprüfungs-Update: Wenn ein benutzerdefinierter Avatar die Überprüfung nicht besteht, wird dir nun der Grund angezeigt.
-Mech-Freischaltungs-Update: Beim Freischalten eines Mechs kannst du jetzt CDs verwenden, um die Freischaltungs-Quest zu überspringen.
-Operator-Vorschau-Update: Operator-Auswahltruhen ermöglichen jetzt die Vorschau aller Operator-Details.
-Operator-Erinnerungs-Update: Ein roter Indikator erscheint, sobald ein Operator verbessert oder im Level erhöht werden kann.
-Ultimativer Affe-Event-Update: Das Aufwerten von Trägern mit Kernen und Bauplänen in Ultimativer Affe gewährt jetzt zusätzliche Punkte.
-Tavernen-Anmeldebelohnungen: Im Bereich „Fortgeschrittene Anmeldung“ der Tavernen-Anmeldebelohnungen wurden der Relikt-Tab und seine Belohnungen entfernt.</v>
      </c>
      <c r="F77" s="168" t="str">
        <f>IFERROR(__xludf.DUMMYFUNCTION("""COMPUTED_VALUE"""),"-Alerta de nova capacidade de feridos: quando a capacidade de feridos do seu posto médico exceder 50%, um ícone de feridos aparecerá no canto superior esquerdo da tela e você também receberá um correio de lembrete.
-Nova estátua de combatente: Wrench cheg"&amp;"ou. Adicione mais brilho à sua cidade!
-Atualização Subterra: vários avisos de recursos na Subterra foram aprimorados.
-Atualização do Diário do Macaco: um novo botão de detalhes foi adicionado à seção de combatente do Diário do Macaco.
-Aprimoramento do "&amp;"evento De uma só vez: transições de tela aprimoradas dentro do evento De uma só vez.
-Atualização do modo Comboio: os pop-ups de recompensa das corridas de Comboio agora correspondem totalmente aos correios de recompensa.
-Atualização da revisão de avatar"&amp;": se um avatar personalizado falhar na revisão, agora você verá o motivo.
-Atualização do desbloqueio de Mech: ao desbloquear um Mech, agora você pode usar CDs para pular a missão de desbloqueio.
-Atualização da pré-visualização de operador: baús de seleç"&amp;"ão de operador agora permitem pré-visualizar todos os detalhes do operador.
-Atualização do lembrete de operador: um indicador vermelho aparecerá sempre que um operador puder ser avançado ou melhorado.
-Atualização do evento Macaco Supremo: melhorar trans"&amp;"portadores com núcleos e diagramas no Macaco Supremo agora concede pontos extras.
-Recompensas de login da taverna: na opção de login avançado das recompensas de login da taverna, a aba de relíquia e suas recompensas foram removidas.")</f>
        <v>-Alerta de nova capacidade de feridos: quando a capacidade de feridos do seu posto médico exceder 50%, um ícone de feridos aparecerá no canto superior esquerdo da tela e você também receberá um correio de lembrete.
-Nova estátua de combatente: Wrench chegou. Adicione mais brilho à sua cidade!
-Atualização Subterra: vários avisos de recursos na Subterra foram aprimorados.
-Atualização do Diário do Macaco: um novo botão de detalhes foi adicionado à seção de combatente do Diário do Macaco.
-Aprimoramento do evento De uma só vez: transições de tela aprimoradas dentro do evento De uma só vez.
-Atualização do modo Comboio: os pop-ups de recompensa das corridas de Comboio agora correspondem totalmente aos correios de recompensa.
-Atualização da revisão de avatar: se um avatar personalizado falhar na revisão, agora você verá o motivo.
-Atualização do desbloqueio de Mech: ao desbloquear um Mech, agora você pode usar CDs para pular a missão de desbloqueio.
-Atualização da pré-visualização de operador: baús de seleção de operador agora permitem pré-visualizar todos os detalhes do operador.
-Atualização do lembrete de operador: um indicador vermelho aparecerá sempre que um operador puder ser avançado ou melhorado.
-Atualização do evento Macaco Supremo: melhorar transportadores com núcleos e diagramas no Macaco Supremo agora concede pontos extras.
-Recompensas de login da taverna: na opção de login avançado das recompensas de login da taverna, a aba de relíquia e suas recompensas foram removidas.</v>
      </c>
      <c r="G77" s="168" t="str">
        <f>IFERROR(__xludf.DUMMYFUNCTION("""COMPUTED_VALUE"""),"-新增醫療站傷兵容量提示：醫療站傷兵容量超過50%時，遊戲介面左上角會顯示醫療站傷兵標誌，且玩家會收到容量提示郵件。
-新增鬥士雕像：倫奇，來為你的城市增添更多光彩吧！
-地下世界優化：優化了地下世界部分功能提示。
-猩球日報優化：猩球日報的鬥士模組增加詳情提示按鈕。
-一網打盡優化：優化了一網打盡活動的介面跳轉功能。
-押運玩法優化：押運獎勵的彈窗內容與郵件內容保持一致。
-頭像審核優化：上傳頭像審核失敗時，增加原因提示。
-機甲解鎖優化：解鎖機甲時，玩家可以使用光碟，跳過解鎖任務。
-機師預覽優化：機"&amp;"師自選箱增加機師詳情預覽功能。
-機師提示優化：機師可進階或升級時，增加紅點提示。
-“最強猴子”活动優化：“最強猴子”活动中，使用戰車核心和戰車圖紙升級戰車時，額外增加積分。
-酒吧簽到好禮優化：酒吧簽到好禮的高級簽到活動中，取消收藏品頁籤及其獎勵。")</f>
        <v>-新增醫療站傷兵容量提示：醫療站傷兵容量超過50%時，遊戲介面左上角會顯示醫療站傷兵標誌，且玩家會收到容量提示郵件。
-新增鬥士雕像：倫奇，來為你的城市增添更多光彩吧！
-地下世界優化：優化了地下世界部分功能提示。
-猩球日報優化：猩球日報的鬥士模組增加詳情提示按鈕。
-一網打盡優化：優化了一網打盡活動的介面跳轉功能。
-押運玩法優化：押運獎勵的彈窗內容與郵件內容保持一致。
-頭像審核優化：上傳頭像審核失敗時，增加原因提示。
-機甲解鎖優化：解鎖機甲時，玩家可以使用光碟，跳過解鎖任務。
-機師預覽優化：機師自選箱增加機師詳情預覽功能。
-機師提示優化：機師可進階或升級時，增加紅點提示。
-“最強猴子”活动優化：“最強猴子”活动中，使用戰車核心和戰車圖紙升級戰車時，額外增加積分。
-酒吧簽到好禮優化：酒吧簽到好禮的高級簽到活動中，取消收藏品頁籤及其獎勵。</v>
      </c>
      <c r="H77" s="168" t="str">
        <f>IFERROR(__xludf.DUMMYFUNCTION("""COMPUTED_VALUE"""),"-Peringatan Kapasitas Luka Baru: ketika kapasitas luka Stasiun Medis kamu melebihi 50%, ikon luka akan muncul di kiri atas layar dan kamu juga akan menerima surat pengingat.
-Patung Pejuang Baru: Wrench telah tiba. Tambahkan lebih banyak kemegahan ke kota"&amp;" kamu!
-Pembaruan Subterra: beberapa prompt fitur di Subterra telah disempurnakan.
-Pembaruan Ape Harian: tombol rincian baru telah ditambahkan ke bagian Pejuang di Ape Harian.
-Penyempurnaan event Satu Serangan: transisi layar di dalam event Satu Seranga"&amp;"n telah ditingkatkan.
-Pembaruan mode Konvoi: pop-up hadiah untuk Konvoi sekarang sepenuhnya sesuai dengan surat hadiah.
-Pembaruan ulasan Avatar: jika avatar kustom gagal ditinjau, sekarang kamu akan melihat alasannya.
-Pembaruan buka Mekanik: saat membu"&amp;"ka Mekanik, kamu sekarang dapat menggunakan CD untuk melewati misi buka.
-Pembaruan pratinjau Operator: Peti Pilihan Operator sekarang memungkinkan kamu untuk melihat pratinjau rincian Operator secara lengkap.
-Pembaruan pengingat Operator: indikator mera"&amp;"h akan muncul setiap kali Operator dapat dinaikkan atau ditingkatkan levelnya.
-Pembaruan event Kera yang Tangguh: meningkatkan Pembawa Barang dengan Inti dan Cetak Biru di Kera yang Tangguh sekarang memberikan poin ekstra.
-Hadiah Sign-in Kedai: pada Sig"&amp;"n-in tingkat lanjut di Hadiah Sign-in Kedai, tab Pusaka dan hadiahnya telah dihapus.")</f>
        <v>-Peringatan Kapasitas Luka Baru: ketika kapasitas luka Stasiun Medis kamu melebihi 50%, ikon luka akan muncul di kiri atas layar dan kamu juga akan menerima surat pengingat.
-Patung Pejuang Baru: Wrench telah tiba. Tambahkan lebih banyak kemegahan ke kota kamu!
-Pembaruan Subterra: beberapa prompt fitur di Subterra telah disempurnakan.
-Pembaruan Ape Harian: tombol rincian baru telah ditambahkan ke bagian Pejuang di Ape Harian.
-Penyempurnaan event Satu Serangan: transisi layar di dalam event Satu Serangan telah ditingkatkan.
-Pembaruan mode Konvoi: pop-up hadiah untuk Konvoi sekarang sepenuhnya sesuai dengan surat hadiah.
-Pembaruan ulasan Avatar: jika avatar kustom gagal ditinjau, sekarang kamu akan melihat alasannya.
-Pembaruan buka Mekanik: saat membuka Mekanik, kamu sekarang dapat menggunakan CD untuk melewati misi buka.
-Pembaruan pratinjau Operator: Peti Pilihan Operator sekarang memungkinkan kamu untuk melihat pratinjau rincian Operator secara lengkap.
-Pembaruan pengingat Operator: indikator merah akan muncul setiap kali Operator dapat dinaikkan atau ditingkatkan levelnya.
-Pembaruan event Kera yang Tangguh: meningkatkan Pembawa Barang dengan Inti dan Cetak Biru di Kera yang Tangguh sekarang memberikan poin ekstra.
-Hadiah Sign-in Kedai: pada Sign-in tingkat lanjut di Hadiah Sign-in Kedai, tab Pusaka dan hadiahnya telah dihapus.</v>
      </c>
      <c r="I77" s="168" t="str">
        <f>IFERROR(__xludf.DUMMYFUNCTION("""COMPUTED_VALUE"""),"-แจ้งเตือนความจุผู้บาดเจ็บใหม่: เมื่อความจุผู้บาดเจ็บของสถานีพยาบาลของคุณเกิน 50% จะมีไอคอนผู้บาดเจ็บปรากฏที่มุมซ้ายบนของหน้าจอ และคุณจะได้รับจดหมายแจ้งเตือนด้วย
-รูปปั้นนักสู้ตัวใหม่: แรงช์มาถึงแล้ว เพิ่มความโดดเด่นให้กับเมืองของคุณ!
-อัปเดตซับเทอร์รา: ป"&amp;"รับปรุงข้อความแจ้งเตือนฟีเจอร์หลายรายการในซับเทอร์รา
-อัปเดตรายวันลิง: เพิ่มปุ่มรายละเอียดใหม่ในหมวดนักสู้ของรายวันลิง
-ปรับปรุงกิจกรรมกวาดเรียบในครั้งเดียว: ปรับเปลี่ยนการเปลี่ยนหน้าจอภายในกิจกรรมกวาดเรียบในครั้งเดียวให้ดีขึ้น
-อัปเดตรูปแบบรถคอนวอย: หน้า"&amp;"ต่างป๊อปรางวัลของการวิ่งรถคอนวอยตอนนี้ตรงกับจดหมายรางวัลอย่างสมบูรณ์
-อัปเดตการตรวจสอบอวาตาร์: หากอวาตาร์ที่กำหนดเองไม่ผ่านการตรวจสอบ ตอนนี้คุณจะเห็นเหตุผลที่ไม่ผ่าน
-อัปเดตการปลดล็อกเมค: เมื่อปลดล็อกเมค คุณสามารถใช้ซีดีเพื่อข้ามเควสต์ปลดล็อกได้แล้ว
-อัปเ"&amp;"ดตดูตัวอย่างโอเปอเรเตอร์: หีบเลือกโอเปอเรเตอร์ตอนนี้ให้คุณดูรายละเอียดโอเปอเรเตอร์แบบเต็มได้
-อัปเดตการแจ้งเตือนโอเปอเรเตอร์: จะมีตัวบ่งชี้สีแดงปรากฏขึ้นเมื่อโอเปอเรเตอร์สามารถพัฒนาหรือเลเวลอัพได้
-อัปเดตกิจกรรมลิงขั้นเทพ: การอัปเกรดลิงขนส่งด้วยแกนกลางและ"&amp;"พิมพ์เขียวในลิงขั้นเทพจะได้รับคะแนนพิเศษ
-รางวัลการลงชื่อเข้าใช้โรงแรม: ในการลงชื่อเข้าใช้ขั้นสูงของรางวัลการลงชื่อเข้าใช้โรงแรม ได้ลบแท็บวัตถุโบราณและรางวัลที่เกี่ยวข้องออกแล้ว")</f>
        <v>-แจ้งเตือนความจุผู้บาดเจ็บใหม่: เมื่อความจุผู้บาดเจ็บของสถานีพยาบาลของคุณเกิน 50% จะมีไอคอนผู้บาดเจ็บปรากฏที่มุมซ้ายบนของหน้าจอ และคุณจะได้รับจดหมายแจ้งเตือนด้วย
-รูปปั้นนักสู้ตัวใหม่: แรงช์มาถึงแล้ว เพิ่มความโดดเด่นให้กับเมืองของคุณ!
-อัปเดตซับเทอร์รา: ปรับปรุงข้อความแจ้งเตือนฟีเจอร์หลายรายการในซับเทอร์รา
-อัปเดตรายวันลิง: เพิ่มปุ่มรายละเอียดใหม่ในหมวดนักสู้ของรายวันลิง
-ปรับปรุงกิจกรรมกวาดเรียบในครั้งเดียว: ปรับเปลี่ยนการเปลี่ยนหน้าจอภายในกิจกรรมกวาดเรียบในครั้งเดียวให้ดีขึ้น
-อัปเดตรูปแบบรถคอนวอย: หน้าต่างป๊อปรางวัลของการวิ่งรถคอนวอยตอนนี้ตรงกับจดหมายรางวัลอย่างสมบูรณ์
-อัปเดตการตรวจสอบอวาตาร์: หากอวาตาร์ที่กำหนดเองไม่ผ่านการตรวจสอบ ตอนนี้คุณจะเห็นเหตุผลที่ไม่ผ่าน
-อัปเดตการปลดล็อกเมค: เมื่อปลดล็อกเมค คุณสามารถใช้ซีดีเพื่อข้ามเควสต์ปลดล็อกได้แล้ว
-อัปเดตดูตัวอย่างโอเปอเรเตอร์: หีบเลือกโอเปอเรเตอร์ตอนนี้ให้คุณดูรายละเอียดโอเปอเรเตอร์แบบเต็มได้
-อัปเดตการแจ้งเตือนโอเปอเรเตอร์: จะมีตัวบ่งชี้สีแดงปรากฏขึ้นเมื่อโอเปอเรเตอร์สามารถพัฒนาหรือเลเวลอัพได้
-อัปเดตกิจกรรมลิงขั้นเทพ: การอัปเกรดลิงขนส่งด้วยแกนกลางและพิมพ์เขียวในลิงขั้นเทพจะได้รับคะแนนพิเศษ
-รางวัลการลงชื่อเข้าใช้โรงแรม: ในการลงชื่อเข้าใช้ขั้นสูงของรางวัลการลงชื่อเข้าใช้โรงแรม ได้ลบแท็บวัตถุโบราณและรางวัลที่เกี่ยวข้องออกแล้ว</v>
      </c>
      <c r="J77" s="168" t="str">
        <f>IFERROR(__xludf.DUMMYFUNCTION("""COMPUTED_VALUE"""),"-Nueva alerta de capacidad de heridos: cuando la capacidad de heridos de tu estación médica supere el 50%, aparecerá un icono de heridos en la parte superior izquierda de la pantalla y también recibirás un correo de recordatorio.
-Nueva estatua de luchado"&amp;"r: Wrench ha llegado. ¡Agrega más brillo a tu ciudad!
-Actualización de Subterra: se han mejorado varios avisos de funciones en Subterra.
-Actualización diaria de simio: se ha añadido un nuevo botón de detalles en la sección de luchador de Diario de Simio"&amp;".
-Mejora del evento Un Solo Golpe: se han mejorado las transiciones de pantalla dentro del evento Un Solo Golpe.
-Actualización del modo escolta: las ventanas emergentes de recompensa para las partidas de escolta ahora coinciden completamente con los cor"&amp;"reos de recompensa.
-Actualización de revisión de avatar: si un avatar personalizado no pasa la revisión, ahora verás el motivo.
-Actualización de desbloqueo de meca: al desbloquear un meca, ahora puedes usar CD para omitir la misión de desbloqueo.
-Actua"&amp;"lización de vista previa de operador: los cofres de selección de operador ahora permiten previsualizar todos los detalles del operador.
-Actualización de recordatorio de operador: aparecerá un indicador rojo cada vez que un operador pueda ser avanzado o s"&amp;"ubir de nivel.
-Actualización del evento Mono Supremo: mejorar transportadores con núcleos y planos en Mono Supremo ahora otorga puntos extra.
-Recompensas por inicio de sesión de la taberna: en el inicio de sesión avanzado de recompensas por inicio de se"&amp;"sión de la taberna, la pestaña de reliquias y sus recompensas han sido eliminadas.")</f>
        <v>-Nueva alerta de capacidad de heridos: cuando la capacidad de heridos de tu estación médica supere el 50%, aparecerá un icono de heridos en la parte superior izquierda de la pantalla y también recibirás un correo de recordatorio.
-Nueva estatua de luchador: Wrench ha llegado. ¡Agrega más brillo a tu ciudad!
-Actualización de Subterra: se han mejorado varios avisos de funciones en Subterra.
-Actualización diaria de simio: se ha añadido un nuevo botón de detalles en la sección de luchador de Diario de Simio.
-Mejora del evento Un Solo Golpe: se han mejorado las transiciones de pantalla dentro del evento Un Solo Golpe.
-Actualización del modo escolta: las ventanas emergentes de recompensa para las partidas de escolta ahora coinciden completamente con los correos de recompensa.
-Actualización de revisión de avatar: si un avatar personalizado no pasa la revisión, ahora verás el motivo.
-Actualización de desbloqueo de meca: al desbloquear un meca, ahora puedes usar CD para omitir la misión de desbloqueo.
-Actualización de vista previa de operador: los cofres de selección de operador ahora permiten previsualizar todos los detalles del operador.
-Actualización de recordatorio de operador: aparecerá un indicador rojo cada vez que un operador pueda ser avanzado o subir de nivel.
-Actualización del evento Mono Supremo: mejorar transportadores con núcleos y planos en Mono Supremo ahora otorga puntos extra.
-Recompensas por inicio de sesión de la taberna: en el inicio de sesión avanzado de recompensas por inicio de sesión de la taberna, la pestaña de reliquias y sus recompensas han sido eliminadas.</v>
      </c>
      <c r="K77" s="168" t="str">
        <f>IFERROR(__xludf.DUMMYFUNCTION("""COMPUTED_VALUE"""),"-Новое оповещение о вместимости раненых: когда вместимость раненых в вашем медпункте превышает 50%, в левом верхнем углу экрана появится значок раненых, а также вы получите напоминание по почте.
-Новая статуя героя: Винтик прибыл. Добавьте больше блеска в"&amp;"ашему городу!
-Обновление Subterra: несколько подсказок функций в Subterra были доработаны.
-Обновление Ape Daily: в разделе героя Ape Daily добавлена новая кнопка ""Детали"".
-Улучшение события ""Одним махом"": улучшены переходы между экранами внутри соб"&amp;"ытия ""Одним махом"".
-Обновление режима конвоя: всплывающие окна с наградами за конвой теперь полностью соответствуют письмам с наградами.
-Обновление проверки аватара: если пользовательский аватар не прошёл проверку, теперь будет отображаться причина.
-"&amp;"Обновление разблокировки меха: при разблокировке меха теперь можно использовать CD для пропуска задания на разблокировку.
-Обновление предпросмотра оператора: сундуки выбора оператора теперь позволяют просматривать полные детали оператора.
-Обновление нап"&amp;"оминания об операторе: красный индикатор появится, когда оператора можно продвинуть или повысить уровень.
-Обновление события ""Ultimate Monkey"": улучшение перевозчиков с помощью ядер и чертежей в ""Ultimate Monkey"" теперь приносит дополнительные очки.
"&amp;"-Награды за вход в таверну: в продвинутом входе наград за вход в таверну вкладка реликвий и её награды были удалены.")</f>
        <v>-Новое оповещение о вместимости раненых: когда вместимость раненых в вашем медпункте превышает 50%, в левом верхнем углу экрана появится значок раненых, а также вы получите напоминание по почте.
-Новая статуя героя: Винтик прибыл. Добавьте больше блеска вашему городу!
-Обновление Subterra: несколько подсказок функций в Subterra были доработаны.
-Обновление Ape Daily: в разделе героя Ape Daily добавлена новая кнопка "Детали".
-Улучшение события "Одним махом": улучшены переходы между экранами внутри события "Одним махом".
-Обновление режима конвоя: всплывающие окна с наградами за конвой теперь полностью соответствуют письмам с наградами.
-Обновление проверки аватара: если пользовательский аватар не прошёл проверку, теперь будет отображаться причина.
-Обновление разблокировки меха: при разблокировке меха теперь можно использовать CD для пропуска задания на разблокировку.
-Обновление предпросмотра оператора: сундуки выбора оператора теперь позволяют просматривать полные детали оператора.
-Обновление напоминания об операторе: красный индикатор появится, когда оператора можно продвинуть или повысить уровень.
-Обновление события "Ultimate Monkey": улучшение перевозчиков с помощью ядер и чертежей в "Ultimate Monkey" теперь приносит дополнительные очки.
-Награды за вход в таверну: в продвинутом входе наград за вход в таверну вкладка реликвий и её награды были удалены.</v>
      </c>
      <c r="L77" s="168" t="str">
        <f>IFERROR(__xludf.DUMMYFUNCTION("""COMPUTED_VALUE"""),"-Yeni Yaralı Kapasite Uyarısı: Tedavi Merkezinizin yaralı kapasitesi %50’yi aştığında, ekranın sol üst köşesinde bir yaralı simgesi belirecek ve ayrıca bir hatırlatma postası alacaksınız.
-Yeni Savaşçı Heykeli: Wrench geldi. Şehrinize daha fazla parlaklık"&amp;" katın!
-Subterra Güncellemesi: Subterra’daki çeşitli özellik bildirimleri geliştirildi.
-Ape Günlük güncellemesi: Ape Günlük’teki Savaşçı bölümüne yeni bir detaylar butonu eklendi.
-Bir Hamlede etkinliği iyileştirmesi: Bir Hamlede etkinliği içindeki ekra"&amp;"n geçişleri geliştirildi.
-Konvoy modu güncellemesi: Konvoy görevlerindeki ödül açılır pencereleri artık ödül postalarıyla tamamen uyumlu.
-Avatar inceleme güncellemesi: Özel avatar incelemeden geçmezse artık nedeni görüntülenecek.
-Meka kilidi açma günce"&amp;"llemesi: Bir Meka’nın kilidini açarken, artık kilit açma görevini atlamak için CD kullanabilirsiniz.
-Operatör ön izleme güncellemesi: Operatör Seçim Sandıkları artık tam Operatör detaylarını ön izleme imkanı sunuyor.
-Operatör hatırlatma güncellemesi: Bi"&amp;"r Operatör geliştirilebileceğinde veya seviye atlatılabileceğinde kırmızı bir gösterge belirecek.
-Ultimate Monkey etkinliği güncellemesi: Ultimate Monkey’de Taşıyıcıları Çekirdekler ve Planlarla yükseltmek artık ekstra puan kazandırıyor.
-Taverna Oturum "&amp;"Açma Ödülleri: Taverna Oturum Açma Ödüllerinin Gelişmiş Girişinde, Kalıntı sekmesi ve ödülleri kaldırıldı.")</f>
        <v>-Yeni Yaralı Kapasite Uyarısı: Tedavi Merkezinizin yaralı kapasitesi %50’yi aştığında, ekranın sol üst köşesinde bir yaralı simgesi belirecek ve ayrıca bir hatırlatma postası alacaksınız.
-Yeni Savaşçı Heykeli: Wrench geldi. Şehrinize daha fazla parlaklık katın!
-Subterra Güncellemesi: Subterra’daki çeşitli özellik bildirimleri geliştirildi.
-Ape Günlük güncellemesi: Ape Günlük’teki Savaşçı bölümüne yeni bir detaylar butonu eklendi.
-Bir Hamlede etkinliği iyileştirmesi: Bir Hamlede etkinliği içindeki ekran geçişleri geliştirildi.
-Konvoy modu güncellemesi: Konvoy görevlerindeki ödül açılır pencereleri artık ödül postalarıyla tamamen uyumlu.
-Avatar inceleme güncellemesi: Özel avatar incelemeden geçmezse artık nedeni görüntülenecek.
-Meka kilidi açma güncellemesi: Bir Meka’nın kilidini açarken, artık kilit açma görevini atlamak için CD kullanabilirsiniz.
-Operatör ön izleme güncellemesi: Operatör Seçim Sandıkları artık tam Operatör detaylarını ön izleme imkanı sunuyor.
-Operatör hatırlatma güncellemesi: Bir Operatör geliştirilebileceğinde veya seviye atlatılabileceğinde kırmızı bir gösterge belirecek.
-Ultimate Monkey etkinliği güncellemesi: Ultimate Monkey’de Taşıyıcıları Çekirdekler ve Planlarla yükseltmek artık ekstra puan kazandırıyor.
-Taverna Oturum Açma Ödülleri: Taverna Oturum Açma Ödüllerinin Gelişmiş Girişinde, Kalıntı sekmesi ve ödülleri kaldırıldı.</v>
      </c>
      <c r="M77" s="168" t="str">
        <f>IFERROR(__xludf.DUMMYFUNCTION("""COMPUTED_VALUE"""),"-Cảnh báo sức chứa thương binh mới: Khi sức chứa thương binh của trạm y tế vượt quá 50%, một biểu tượng thương binh sẽ xuất hiện ở góc trên bên trái màn hình và bạn cũng sẽ nhận được thư nhắc nhở.
-Tượng chiến binh mới: Wrench đã đến. Thêm sự rực rỡ cho t"&amp;"hành phố của bạn!
-Cập nhật Subterra: Một số thông báo tính năng trong Subterra đã được cải tiến.
-Cập nhật hàng ngày của Ape: Đã thêm nút chi tiết mới vào mục Chiến Binh trong Hàng Ngày của Ape.
-Tinh chỉnh sự kiện Một Lưới Hốt Trọn: Đã cải thiện chuyển "&amp;"cảnh trong sự kiện Một Lưới Hốt Trọn.
-Cập nhật chế độ Xe Ch.Chở: Các cửa sổ bật lên phần thưởng cho các lượt Xe Ch.Chở giờ đã hoàn toàn khớp với thư phần thưởng.
-Cập nhật đánh giá ảnh đại diện: Nếu ảnh đại diện tùy chỉnh không vượt qua đánh giá, bạn sẽ "&amp;"thấy lý do.
-Cập nhật mở khóa cơ khí: Khi mở khóa cơ khí, bạn có thể sử dụng CD để bỏ qua nhiệm vụ mở khóa.
-Cập nhật xem trước điều hành viên: Rương chọn điều hành viên giờ cho phép bạn xem trước đầy đủ chi tiết điều hành viên.
-Cập nhật nhắc nhở điều hà"&amp;"nh viên: Một chỉ báo màu đỏ sẽ xuất hiện bất cứ khi nào điều hành viên có thể được cải tiến hoặc tăng cấp.
-Cập nhật sự kiện Chúa Khỉ Tối Cao: Nâng cấp người vận chuyển bằng lõi và bản vẽ trong Chúa Khỉ Tối Cao giờ sẽ cấp thêm điểm.
-Thưởng đăng nhập tửu "&amp;"quán: Trong đăng nhập cao cấp của Thưởng đăng nhập tửu quán, mục di tích và phần thưởng của nó đã bị loại bỏ.")</f>
        <v>-Cảnh báo sức chứa thương binh mới: Khi sức chứa thương binh của trạm y tế vượt quá 50%, một biểu tượng thương binh sẽ xuất hiện ở góc trên bên trái màn hình và bạn cũng sẽ nhận được thư nhắc nhở.
-Tượng chiến binh mới: Wrench đã đến. Thêm sự rực rỡ cho thành phố của bạn!
-Cập nhật Subterra: Một số thông báo tính năng trong Subterra đã được cải tiến.
-Cập nhật hàng ngày của Ape: Đã thêm nút chi tiết mới vào mục Chiến Binh trong Hàng Ngày của Ape.
-Tinh chỉnh sự kiện Một Lưới Hốt Trọn: Đã cải thiện chuyển cảnh trong sự kiện Một Lưới Hốt Trọn.
-Cập nhật chế độ Xe Ch.Chở: Các cửa sổ bật lên phần thưởng cho các lượt Xe Ch.Chở giờ đã hoàn toàn khớp với thư phần thưởng.
-Cập nhật đánh giá ảnh đại diện: Nếu ảnh đại diện tùy chỉnh không vượt qua đánh giá, bạn sẽ thấy lý do.
-Cập nhật mở khóa cơ khí: Khi mở khóa cơ khí, bạn có thể sử dụng CD để bỏ qua nhiệm vụ mở khóa.
-Cập nhật xem trước điều hành viên: Rương chọn điều hành viên giờ cho phép bạn xem trước đầy đủ chi tiết điều hành viên.
-Cập nhật nhắc nhở điều hành viên: Một chỉ báo màu đỏ sẽ xuất hiện bất cứ khi nào điều hành viên có thể được cải tiến hoặc tăng cấp.
-Cập nhật sự kiện Chúa Khỉ Tối Cao: Nâng cấp người vận chuyển bằng lõi và bản vẽ trong Chúa Khỉ Tối Cao giờ sẽ cấp thêm điểm.
-Thưởng đăng nhập tửu quán: Trong đăng nhập cao cấp của Thưởng đăng nhập tửu quán, mục di tích và phần thưởng của nó đã bị loại bỏ.</v>
      </c>
      <c r="N77" s="169" t="str">
        <f>IFERROR(__xludf.DUMMYFUNCTION("""COMPUTED_VALUE"""),"- Nuovo avviso capacità feriti: quando la capacità feriti della tua stazione medica supera il 50%, apparirà un'icona feriti in alto a sinistra dello schermo e riceverai anche una mail di promemoria.
- Nuova statua del combattente: Wrench è arrivato. Dona "&amp;"ancora più splendore alla tua città!
- Aggiornamento Subterra: diversi suggerimenti delle funzionalità in Subterra sono stati perfezionati.
- Aggiornamento Ape Giornaliero: è stato aggiunto un nuovo pulsante dettagli nella sezione Combattenti di Ape Giorn"&amp;"aliero.
- Miglioramento evento D'Un Sol Colpo: transizioni dello schermo migliorate all'interno dell'evento D'Un Sol Colpo.
- Aggiornamento modalità Convoglio: i popup delle ricompense per le corse Convoglio ora corrispondono completamente alle mail delle"&amp;" ricompense.
- Aggiornamento revisione avatar: se un avatar personalizzato non supera la revisione, ora vedrai il motivo.
- Aggiornamento sblocco Mech: quando sblocchi un Mech, ora puoi usare i CD per saltare la missione di sblocco.
- Aggiornamento antepr"&amp;"ima Operatore: le Casse Selezione Operatore ora permettono di visualizzare tutti i dettagli dell'Operatore.
- Aggiornamento promemoria Operatore: apparirà un indicatore rosso ogni volta che un Operatore può essere migliorato o potenziato.
- Aggiornamento "&amp;"evento Ultimate Monkey: migliorare i Trasportatori con Nuclei e Progetti in Ultimate Monkey ora concede punti extra.
- Ricompense di accesso alla taverna: nella sezione Accesso avanzato delle Ricompense di accesso alla taverna, la scheda Reliquia e le rel"&amp;"ative ricompense sono state rimosse.")</f>
        <v>- Nuovo avviso capacità feriti: quando la capacità feriti della tua stazione medica supera il 50%, apparirà un'icona feriti in alto a sinistra dello schermo e riceverai anche una mail di promemoria.
- Nuova statua del combattente: Wrench è arrivato. Dona ancora più splendore alla tua città!
- Aggiornamento Subterra: diversi suggerimenti delle funzionalità in Subterra sono stati perfezionati.
- Aggiornamento Ape Giornaliero: è stato aggiunto un nuovo pulsante dettagli nella sezione Combattenti di Ape Giornaliero.
- Miglioramento evento D'Un Sol Colpo: transizioni dello schermo migliorate all'interno dell'evento D'Un Sol Colpo.
- Aggiornamento modalità Convoglio: i popup delle ricompense per le corse Convoglio ora corrispondono completamente alle mail delle ricompense.
- Aggiornamento revisione avatar: se un avatar personalizzato non supera la revisione, ora vedrai il motivo.
- Aggiornamento sblocco Mech: quando sblocchi un Mech, ora puoi usare i CD per saltare la missione di sblocco.
- Aggiornamento anteprima Operatore: le Casse Selezione Operatore ora permettono di visualizzare tutti i dettagli dell'Operatore.
- Aggiornamento promemoria Operatore: apparirà un indicatore rosso ogni volta che un Operatore può essere migliorato o potenziato.
- Aggiornamento evento Ultimate Monkey: migliorare i Trasportatori con Nuclei e Progetti in Ultimate Monkey ora concede punti extra.
- Ricompense di accesso alla taverna: nella sezione Accesso avanzato delle Ricompense di accesso alla taverna, la scheda Reliquia e le relative ricompense sono state rimosse.</v>
      </c>
      <c r="O77" s="168" t="str">
        <f>IFERROR(__xludf.DUMMYFUNCTION("""COMPUTED_VALUE"""),"-Nowe powiadomienie o pojemności rannych: gdy pojemność rannych w twojej stacji medycznej przekroczy 50%, w lewym górnym rogu ekranu pojawi się ikona rannych, a także otrzymasz przypomnienie w poczcie.
-Nowy pomnik wojownika: Wrench już jest. Dodaj więcej"&amp;" blasku swojemu miastu!
-Aktualizacja Subterry: kilka podpowiedzi funkcji w Subterze zostało ulepszonych.
-Aktualizacja Ape Daily: do sekcji Wojownika w Ape Daily dodano nowy przycisk szczegółów.
-Ulepszenie wydarzenia Za jednym zamachem: poprawiono przej"&amp;"ścia ekranów wewnątrz wydarzenia Za jednym zamachem.
-Aktualizacja trybu Konwój: wyskakujące okienka z nagrodami za przejazdy Konwoju są teraz w pełni zgodne z wiadomościami z nagrodami.
-Aktualizacja przeglądu awatara: jeśli niestandardowy awatar nie prz"&amp;"ejdzie weryfikacji, zobaczysz teraz powód.
-Aktualizacja odblokowania Mecha: podczas odblokowywania Mecha możesz teraz użyć CD, aby pominąć zadanie odblokowania.
-Aktualizacja podglądu operatora: skrzynie wyboru operatora pozwalają teraz na podgląd pełnyc"&amp;"h szczegółów operatora.
-Aktualizacja przypomnienia o operatorze: czerwony wskaźnik pojawi się, gdy operator może zostać awansowany lub podniesiony na wyższy poziom.
-Aktualizacja wydarzenia Ubermałpa: ulepszanie transportowców za pomocą rdzeni i planów w"&amp;" Ubermałpie daje teraz dodatkowe punkty.
-Nagrody tawerny za logowanie: w zaawansowanym logowaniu nagród tawerny za logowanie zakładka Relikt i jej nagrody zostały usunięte.")</f>
        <v>-Nowe powiadomienie o pojemności rannych: gdy pojemność rannych w twojej stacji medycznej przekroczy 50%, w lewym górnym rogu ekranu pojawi się ikona rannych, a także otrzymasz przypomnienie w poczcie.
-Nowy pomnik wojownika: Wrench już jest. Dodaj więcej blasku swojemu miastu!
-Aktualizacja Subterry: kilka podpowiedzi funkcji w Subterze zostało ulepszonych.
-Aktualizacja Ape Daily: do sekcji Wojownika w Ape Daily dodano nowy przycisk szczegółów.
-Ulepszenie wydarzenia Za jednym zamachem: poprawiono przejścia ekranów wewnątrz wydarzenia Za jednym zamachem.
-Aktualizacja trybu Konwój: wyskakujące okienka z nagrodami za przejazdy Konwoju są teraz w pełni zgodne z wiadomościami z nagrodami.
-Aktualizacja przeglądu awatara: jeśli niestandardowy awatar nie przejdzie weryfikacji, zobaczysz teraz powód.
-Aktualizacja odblokowania Mecha: podczas odblokowywania Mecha możesz teraz użyć CD, aby pominąć zadanie odblokowania.
-Aktualizacja podglądu operatora: skrzynie wyboru operatora pozwalają teraz na podgląd pełnych szczegółów operatora.
-Aktualizacja przypomnienia o operatorze: czerwony wskaźnik pojawi się, gdy operator może zostać awansowany lub podniesiony na wyższy poziom.
-Aktualizacja wydarzenia Ubermałpa: ulepszanie transportowców za pomocą rdzeni i planów w Ubermałpie daje teraz dodatkowe punkty.
-Nagrody tawerny za logowanie: w zaawansowanym logowaniu nagród tawerny za logowanie zakładka Relikt i jej nagrody zostały usunięte.</v>
      </c>
      <c r="P77" s="168" t="str">
        <f>IFERROR(__xludf.DUMMYFUNCTION("""COMPUTED_VALUE"""),"- تنبيه السعة الجديدة للمصابين: عندما تتجاوز سعة المصابين في المحطة الطبية 50%، سيظهر رمز المصابين في أعلى يسار الشاشة وستتلقى أيضًا رسالة تذكير عبر البريد.
- تمثال المقاتل الجديد: وصل ""رينش"". أضف المزيد من التألق إلى مدينتك!
- تحديث ""سابتيرا"": تم تحس"&amp;"ين عدة إشعارات للميزات في ""سابتيرا"".
- تحديث ""يومي القرد"": تمت إضافة زر تفاصيل جديد إلى قسم المقاتل في ""يومي القرد"".
- تحسين حدث ""سقوط بضربة واحدة"": تم تحسين الانتقالات بين الشاشات داخل حدث ""سقوط بضربة واحدة"".
- تحديث وضع ""القافلة"": نوافذ الجو"&amp;"ائز المنبثقة في جولات القافلة أصبحت الآن متطابقة تمامًا مع رسائل الجوائز في البريد.
- تحديث مراجعة الصورة الرمزية: إذا فشلت صورة رمزية مخصصة في المراجعة، ستظهر لك الآن سبب الرفض.
- تحديث فتح ""ميكا"": عند فتح ميكا، يمكنك الآن استخدام أقراص CD لتخطي مهمة ا"&amp;"لفتح.
- تحديث معاينة المشغل: صناديق اختيار المشغل تتيح لك الآن معاينة تفاصيل المشغل بالكامل.
- تحديث تذكير المشغل: سيظهر مؤشر أحمر كلما أمكن ترقية أو رفع مستوى المشغل.
- تحديث حدث ""القرد الخارق"": ترقية الناقلات باستخدام النوى والمخططات في حدث ""القرد ال"&amp;"خارق"" تمنح الآن نقاطًا إضافية.
- مكافآت تسجيل الدخول المقهى: في تسجيل الدخول المتقدم لمكافآت تسجيل الدخول المقهى، تم إزالة تبويب المقتنيات وجوائزه.")</f>
        <v>- تنبيه السعة الجديدة للمصابين: عندما تتجاوز سعة المصابين في المحطة الطبية 50%، سيظهر رمز المصابين في أعلى يسار الشاشة وستتلقى أيضًا رسالة تذكير عبر البريد.
- تمثال المقاتل الجديد: وصل "رينش". أضف المزيد من التألق إلى مدينتك!
- تحديث "سابتيرا": تم تحسين عدة إشعارات للميزات في "سابتيرا".
- تحديث "يومي القرد": تمت إضافة زر تفاصيل جديد إلى قسم المقاتل في "يومي القرد".
- تحسين حدث "سقوط بضربة واحدة": تم تحسين الانتقالات بين الشاشات داخل حدث "سقوط بضربة واحدة".
- تحديث وضع "القافلة": نوافذ الجوائز المنبثقة في جولات القافلة أصبحت الآن متطابقة تمامًا مع رسائل الجوائز في البريد.
- تحديث مراجعة الصورة الرمزية: إذا فشلت صورة رمزية مخصصة في المراجعة، ستظهر لك الآن سبب الرفض.
- تحديث فتح "ميكا": عند فتح ميكا، يمكنك الآن استخدام أقراص CD لتخطي مهمة الفتح.
- تحديث معاينة المشغل: صناديق اختيار المشغل تتيح لك الآن معاينة تفاصيل المشغل بالكامل.
- تحديث تذكير المشغل: سيظهر مؤشر أحمر كلما أمكن ترقية أو رفع مستوى المشغل.
- تحديث حدث "القرد الخارق": ترقية الناقلات باستخدام النوى والمخططات في حدث "القرد الخارق" تمنح الآن نقاطًا إضافية.
- مكافآت تسجيل الدخول المقهى: في تسجيل الدخول المتقدم لمكافآت تسجيل الدخول المقهى، تم إزالة تبويب المقتنيات وجوائزه.</v>
      </c>
      <c r="Q77" s="168" t="str">
        <f>IFERROR(__xludf.DUMMYFUNCTION("""COMPUTED_VALUE"""),"-新しい負傷容量アラート：医療所の負傷容量が50％を超えると、画面の左上に負傷アイコンが表示され、さらにリマインダーメールが届きます。
-新しいファイターの像：レンチが到着しました。あなたの都市にさらなる輝きを加えましょう！
-サブテラアップデート：サブテラ内のいくつかの機能プロンプトが改善されました。
-エイプデイリーアップデート：エイプデイリーのファイターセクションに新しい詳細ボタンが追加されました。
-一網打尽イベントの調整：一網打尽イベント内の画面遷移が改善されました。
-輸送車モードアップデート"&amp;"：輸送車の実行時に表示される報酬ポップアップが報酬メールと完全に一致するようになりました。
-アバター審査アップデート：カスタムアバターが審査に通らなかった場合、理由が表示されるようになりました。
-メックアンロックアップデート：メックをアンロックする際、CDを使用してアンロッククエストをスキップできるようになりました。
-オペレータープレビューアップデート：オペレーター選択宝箱で、オペレーターの詳細をプレビューできるようになりました。
-オペレーターリマインダーアップデート：オペレーターがランクアップま"&amp;"たはレベルアップ可能な場合、赤いインジケーターが表示されます。
-究極のエイプイベントアップデート：究極のエイプでキャリアをコアや図面でアップグレードすると、追加ポイントが獲得できます。
-酒場のログイン報酬：酒場のログイン報酬の上級ログインで、レリックタブとその報酬が削除されました。")</f>
        <v>-新しい負傷容量アラート：医療所の負傷容量が50％を超えると、画面の左上に負傷アイコンが表示され、さらにリマインダーメールが届きます。
-新しいファイターの像：レンチが到着しました。あなたの都市にさらなる輝きを加えましょう！
-サブテラアップデート：サブテラ内のいくつかの機能プロンプトが改善されました。
-エイプデイリーアップデート：エイプデイリーのファイターセクションに新しい詳細ボタンが追加されました。
-一網打尽イベントの調整：一網打尽イベント内の画面遷移が改善されました。
-輸送車モードアップデート：輸送車の実行時に表示される報酬ポップアップが報酬メールと完全に一致するようになりました。
-アバター審査アップデート：カスタムアバターが審査に通らなかった場合、理由が表示されるようになりました。
-メックアンロックアップデート：メックをアンロックする際、CDを使用してアンロッククエストをスキップできるようになりました。
-オペレータープレビューアップデート：オペレーター選択宝箱で、オペレーターの詳細をプレビューできるようになりました。
-オペレーターリマインダーアップデート：オペレーターがランクアップまたはレベルアップ可能な場合、赤いインジケーターが表示されます。
-究極のエイプイベントアップデート：究極のエイプでキャリアをコアや図面でアップグレードすると、追加ポイントが獲得できます。
-酒場のログイン報酬：酒場のログイン報酬の上級ログインで、レリックタブとその報酬が削除されました。</v>
      </c>
      <c r="R77" s="168" t="str">
        <f>IFERROR(__xludf.DUMMYFUNCTION("""COMPUTED_VALUE"""),"-새로운 부상자 용량 알림: 진료소의 부상자 용량이 50%를 초과하면 화면 왼쪽 상단에 부상자 아이콘이 표시되고, 알림 메일도 받게 됩니다.
-새로운 전사 석상: 렌치가 도착했습니다. 당신의 도시에 더 많은 빛을 더하세요!
-서브테라 업데이트: 서브테라의 여러 기능 안내가 개선되었습니다.
-에이프 일일 업데이트: 에이프 일일의 전사 섹션에 새로운 세부 사항 버튼이 추가되었습니다.
-일망타진 이벤트 개선: 일망타진 이벤트 내 화면 전환이 향상되었습니다.
"&amp;"-수송차 모드 업데이트: 수송차 실행 시 보상 팝업이 보상 메일과 완전히 일치하도록 개선되었습니다.
-아바타 심사 업데이트: 커스텀 아바타 심사에 실패할 경우, 이제 그 이유를 확인할 수 있습니다.
-메카 잠금 해제 업데이트: 메카를 잠금 해제할 때, 이제 CD를 사용하여 잠금 해제 퀘스트를 건너뛸 수 있습니다.
-운영자 미리보기 업데이트: 운영자 선택 상자에서 전체 운영자 세부 사항을 미리볼 수 있습니다.
-운영자 알림 업데이트: 운영자를 진보시키거나"&amp;" 레벨을 올릴 수 있을 때마다 빨간 표시가 나타납니다.
-최강 원숭이 이벤트 업데이트: 최강 원숭이에서 코어와 도면으로 운반선을 업그레이드하면 추가 포인트가 부여됩니다.
-선술집 출석 보상: 선술집 출석 보상의 고급 서명에서 유물 탭과 그 보상이 제거되었습니다.")</f>
        <v>-새로운 부상자 용량 알림: 진료소의 부상자 용량이 50%를 초과하면 화면 왼쪽 상단에 부상자 아이콘이 표시되고, 알림 메일도 받게 됩니다.
-새로운 전사 석상: 렌치가 도착했습니다. 당신의 도시에 더 많은 빛을 더하세요!
-서브테라 업데이트: 서브테라의 여러 기능 안내가 개선되었습니다.
-에이프 일일 업데이트: 에이프 일일의 전사 섹션에 새로운 세부 사항 버튼이 추가되었습니다.
-일망타진 이벤트 개선: 일망타진 이벤트 내 화면 전환이 향상되었습니다.
-수송차 모드 업데이트: 수송차 실행 시 보상 팝업이 보상 메일과 완전히 일치하도록 개선되었습니다.
-아바타 심사 업데이트: 커스텀 아바타 심사에 실패할 경우, 이제 그 이유를 확인할 수 있습니다.
-메카 잠금 해제 업데이트: 메카를 잠금 해제할 때, 이제 CD를 사용하여 잠금 해제 퀘스트를 건너뛸 수 있습니다.
-운영자 미리보기 업데이트: 운영자 선택 상자에서 전체 운영자 세부 사항을 미리볼 수 있습니다.
-운영자 알림 업데이트: 운영자를 진보시키거나 레벨을 올릴 수 있을 때마다 빨간 표시가 나타납니다.
-최강 원숭이 이벤트 업데이트: 최강 원숭이에서 코어와 도면으로 운반선을 업그레이드하면 추가 포인트가 부여됩니다.
-선술집 출석 보상: 선술집 출석 보상의 고급 서명에서 유물 탭과 그 보상이 제거되었습니다.</v>
      </c>
      <c r="S77" s="168" t="str">
        <f>IFERROR(__xludf.DUMMYFUNCTION("""COMPUTED_VALUE"""),"-新增医疗站伤兵容量提示：医疗站伤兵容量超过50%时，游戏界面左上角会显示医疗站伤兵标志，且玩家会收到容量提示邮件。
-新增斗士雕像：伦奇，来为你的城市增添更多光彩吧！
-地下世界优化：优化了地下世界部分功能提示。
-猩球日报优化：猩球日报的斗士模块增加详情提示按钮。
-一网打尽优化：优化了一网打尽活动的界面跳转功能。
-押运玩法优化：押运奖励的弹窗内容与邮件内容保持一致。
-头像审核优化：上传头像审核失败时，增加原因提示。
-机甲解锁优化：解锁机甲时，玩家可以使用光碟，跳过解锁任务。
-机师预览优化：机"&amp;"师自选箱增加机师详情预览功能。
-机师提示优化：机师可进阶或升级时，增加红点提示。
-“最强猴子”活动优化：“最强猴子”活动中，使用战车核心和战车图纸升级战车时，额外增加积分。
-酒吧签到好礼优化：酒吧签到好礼的高级签到活动中，取消收藏品页签及其奖励。")</f>
        <v>-新增医疗站伤兵容量提示：医疗站伤兵容量超过50%时，游戏界面左上角会显示医疗站伤兵标志，且玩家会收到容量提示邮件。
-新增斗士雕像：伦奇，来为你的城市增添更多光彩吧！
-地下世界优化：优化了地下世界部分功能提示。
-猩球日报优化：猩球日报的斗士模块增加详情提示按钮。
-一网打尽优化：优化了一网打尽活动的界面跳转功能。
-押运玩法优化：押运奖励的弹窗内容与邮件内容保持一致。
-头像审核优化：上传头像审核失败时，增加原因提示。
-机甲解锁优化：解锁机甲时，玩家可以使用光碟，跳过解锁任务。
-机师预览优化：机师自选箱增加机师详情预览功能。
-机师提示优化：机师可进阶或升级时，增加红点提示。
-“最强猴子”活动优化：“最强猴子”活动中，使用战车核心和战车图纸升级战车时，额外增加积分。
-酒吧签到好礼优化：酒吧签到好礼的高级签到活动中，取消收藏品页签及其奖励。</v>
      </c>
      <c r="T77" s="148"/>
      <c r="U77" s="148"/>
      <c r="V77" s="148"/>
      <c r="W77" s="148"/>
      <c r="X77" s="148"/>
      <c r="Y77" s="148"/>
      <c r="Z77" s="148"/>
    </row>
    <row r="78">
      <c r="A78" s="167" t="str">
        <f>IFERROR(__xludf.DUMMYFUNCTION("""COMPUTED_VALUE"""),"0.85.0-节日单独")</f>
        <v>0.85.0-节日单独</v>
      </c>
      <c r="B78" s="148" t="str">
        <f>IFERROR(__xludf.DUMMYFUNCTION("""COMPUTED_VALUE"""),"科技庆典，即将开启！
-城市外观套装：战地霸主上线！参与各节日活动可集齐多个套装组件，解锁最终形态！
-科技手札：参与科技之旅，收集科技节装饰物组件，获取丰厚奖励，更有庆典纪念照片赠送！
-夺宝总动员：科技节趣味降临，动动指尖，投掷硬币，炮轰宝箱怪，赢取套装皮肤奖励！
-幸运弹珠：全新主题弹珠抽奖开启，发射能量球，撞击层层惊喜！累计抽奖可解锁里程碑大奖，获取城市外观奖励！
-漫游奇遇：参与节日活动收集漫游骰子，在探索地图的过程中获得惊喜奖励！
-核心破译计划：解密核心，通过关卡，免费获取限定装饰！更有高级"&amp;"主城外观及行军特效等您来拿！
-行军联动礼包：专属行军表情与炫酷行军特效联动登场，一键打包购买，让你的部队成为地图上的焦点！
-连锁预购：抢先一步锁定庆典惊喜，通过连锁预购，开启层层加码的奖励，尽享极致性价比！
-节日卡包系统：新增节日卡册，参加节日活动收集专属卡片，集齐卡册，即可获取限定节日头像框及弹珠皮肤、漫游奇遇棋子外观、永久增益等奖励！")</f>
        <v>科技庆典，即将开启！
-城市外观套装：战地霸主上线！参与各节日活动可集齐多个套装组件，解锁最终形态！
-科技手札：参与科技之旅，收集科技节装饰物组件，获取丰厚奖励，更有庆典纪念照片赠送！
-夺宝总动员：科技节趣味降临，动动指尖，投掷硬币，炮轰宝箱怪，赢取套装皮肤奖励！
-幸运弹珠：全新主题弹珠抽奖开启，发射能量球，撞击层层惊喜！累计抽奖可解锁里程碑大奖，获取城市外观奖励！
-漫游奇遇：参与节日活动收集漫游骰子，在探索地图的过程中获得惊喜奖励！
-核心破译计划：解密核心，通过关卡，免费获取限定装饰！更有高级主城外观及行军特效等您来拿！
-行军联动礼包：专属行军表情与炫酷行军特效联动登场，一键打包购买，让你的部队成为地图上的焦点！
-连锁预购：抢先一步锁定庆典惊喜，通过连锁预购，开启层层加码的奖励，尽享极致性价比！
-节日卡包系统：新增节日卡册，参加节日活动收集专属卡片，集齐卡册，即可获取限定节日头像框及弹珠皮肤、漫游奇遇棋子外观、永久增益等奖励！</v>
      </c>
      <c r="C78" s="148" t="str">
        <f>IFERROR(__xludf.DUMMYFUNCTION("""COMPUTED_VALUE"""),"Tech Festival is about to begin!
-City Hall Skin Set: Battlefield Overlord is here! Unlocks when all parts are collected.
-Tech Journal: Join the Tech Tour, collect decoration components, and earn generous rewards, including a commemorative photo!
-Treasu"&amp;"re Rush: Tech Fest fun is here—tap, toss coins, blast Chest Monsters, and win skin rewards!
-Lucky Marble: A brand-new themed marble draw is live. Fire energy orbs and smash through layers of surprises! Rack up draws to unlock milestone grand prizes and c"&amp;"ity hall skins!
-Roaming Adventure: Collect Roaming Dice, move across the map, and earn surprise rewards!
-Core Decryption Project: Beat stages, crack the core, and get limited decorations for free! The advanced city hall skins and march effects await!
-M"&amp;"arch Collab Pack: Exclusive march emojis and flashy march effects arrive together—grab the bundle in one go and make your troops shine on the map!
-Pre-Order Chain: Lock in celebration surprises early. With Chain Pre-Order, open up stacked, ever-better re"&amp;"wards for unbeatable value!
-Festival Card Pack System: A new Festival Card Album is here. Join festival events to collect exclusive cards—complete the album to earn a limited festival avatar frame, marble skins, Roaming Adventure piece skins, permanent b"&amp;"uffs, and more!")</f>
        <v>Tech Festival is about to begin!
-City Hall Skin Set: Battlefield Overlord is here! Unlocks when all parts are collected.
-Tech Journal: Join the Tech Tour, collect decoration components, and earn generous rewards, including a commemorative photo!
-Treasure Rush: Tech Fest fun is here—tap, toss coins, blast Chest Monsters, and win skin rewards!
-Lucky Marble: A brand-new themed marble draw is live. Fire energy orbs and smash through layers of surprises! Rack up draws to unlock milestone grand prizes and city hall skins!
-Roaming Adventure: Collect Roaming Dice, move across the map, and earn surprise rewards!
-Core Decryption Project: Beat stages, crack the core, and get limited decorations for free! The advanced city hall skins and march effects await!
-March Collab Pack: Exclusive march emojis and flashy march effects arrive together—grab the bundle in one go and make your troops shine on the map!
-Pre-Order Chain: Lock in celebration surprises early. With Chain Pre-Order, open up stacked, ever-better rewards for unbeatable value!
-Festival Card Pack System: A new Festival Card Album is here. Join festival events to collect exclusive cards—complete the album to earn a limited festival avatar frame, marble skins, Roaming Adventure piece skins, permanent buffs, and more!</v>
      </c>
      <c r="D78" s="148" t="str">
        <f>IFERROR(__xludf.DUMMYFUNCTION("""COMPUTED_VALUE"""),"Le Festival Tech est sur le point de commencer !
-Skin d'Hôtel de Ville : Ensemble Souverain du Champ de Bataille est là ! Débloquez-le en collectant toutes les parties.
-Journal Tech : Rejoignez le Tech Tour, collectez des composants de décoration et g"&amp;"agnez de généreuses récompenses, dont une photo commémorative !
-Rush au Trésor : Amusez-vous au Festival Tech—touchez, lancez des pièces, explosez des Coffres Monstres et remportez des récompenses de skin !
-Bille porte-bonheur : Un tout nouveau tirage"&amp;" de billes à thème est en ligne. Expulsez des orbes d'énergie et traversez des couches de surprises ! Accumulez les tirages pour débloquer des Grands Prix de jalon et des skins d'Hôtel de Ville !
-Aventure Itinérante : Collectionnez des Dés Itinérants, d"&amp;"éplacez-vous sur la carte et gagnez des récompenses surprises !
Projet de décryptage du noyau : Terminez les niveaux, déchiffrez le noyau et obtenez des décorations limitées gratuitement ! Les skins d'Hôtel de Ville Développé et les Effets De Deplacement"&amp;" vous attendent !
-Pack Collaboration de Bataillon : Des émoticônes exclusives de bataillon et des effets de déplacement éclatants arrivent ensemble—saisissez le pack en une fois et faites briller vos troupes sur la carte !
-Précommande en chaîne : Verr"&amp;"ouillez les surprises de célébration à l'avance. Avec la Précommande en chaîne, ouvrez des récompenses empilées et toujours meilleures pour une valeur imbattable !
Système de pack de cartes du festival : Un nouvel album de cartes du festival est là. Part"&amp;"icipez aux évènements du festival pour collectionner des cartes exclusives—complétez l'album pour gagner un cadre d'avatar du festival limité, des skins de billes, des skins de pièces d'Aventure Itinérante, des boosts permanents et plus encore !")</f>
        <v>Le Festival Tech est sur le point de commencer !
-Skin d'Hôtel de Ville : Ensemble Souverain du Champ de Bataille est là ! Débloquez-le en collectant toutes les parties.
-Journal Tech : Rejoignez le Tech Tour, collectez des composants de décoration et gagnez de généreuses récompenses, dont une photo commémorative !
-Rush au Trésor : Amusez-vous au Festival Tech—touchez, lancez des pièces, explosez des Coffres Monstres et remportez des récompenses de skin !
-Bille porte-bonheur : Un tout nouveau tirage de billes à thème est en ligne. Expulsez des orbes d'énergie et traversez des couches de surprises ! Accumulez les tirages pour débloquer des Grands Prix de jalon et des skins d'Hôtel de Ville !
-Aventure Itinérante : Collectionnez des Dés Itinérants, déplacez-vous sur la carte et gagnez des récompenses surprises !
Projet de décryptage du noyau : Terminez les niveaux, déchiffrez le noyau et obtenez des décorations limitées gratuitement ! Les skins d'Hôtel de Ville Développé et les Effets De Deplacement vous attendent !
-Pack Collaboration de Bataillon : Des émoticônes exclusives de bataillon et des effets de déplacement éclatants arrivent ensemble—saisissez le pack en une fois et faites briller vos troupes sur la carte !
-Précommande en chaîne : Verrouillez les surprises de célébration à l'avance. Avec la Précommande en chaîne, ouvrez des récompenses empilées et toujours meilleures pour une valeur imbattable !
Système de pack de cartes du festival : Un nouvel album de cartes du festival est là. Participez aux évènements du festival pour collectionner des cartes exclusives—complétez l'album pour gagner un cadre d'avatar du festival limité, des skins de billes, des skins de pièces d'Aventure Itinérante, des boosts permanents et plus encore !</v>
      </c>
      <c r="E78" s="148" t="str">
        <f>IFERROR(__xludf.DUMMYFUNCTION("""COMPUTED_VALUE"""),"Das Tech-Fest steht kurz bevor!
-Rathaus-Skin-Set: Schlachtfeld-Overlord ist da! Wird freigeschaltet, wenn alle Teile gesammelt wurden.
-Tech-Journal: Nimm an der Tech-Tour teil, sammle Dekorationskomponenten und erhalte großzügige Belohnungen, darunter e"&amp;"in Erinnerungsfoto!
-Schatzrausch: Tech-Fest-Spaß ist da—tippe, wirf Münzen, sprenge Truhenmonster und gewinne Skin-Belohnungen!
-Glücksmurmel: Eine brandneue thematische Murmelziehung ist live. Feuere Energieorbs ab und durchbrich Schichten voller Überra"&amp;"schungen! Sammle Ziehungen, um Meilenstein-Hauptpreise und Rathaus-Skins freizuschalten!
-Roaming-Abenteuer: Sammle Roaming-Würfel, bewege dich über die Karte und erhalte Überraschungsbelohnungen!
-Kern-Entschlüsselungsprojekt: Besiege Stufen, knacke den "&amp;"Kern und erhalte limitierte Dekorationen kostenlos! Die verbesserten Rathaus-Skins und Marscheffekte warten!
-Marsch-Kollaborationspaket: Exklusive Marsch-Emojis und auffällige Marscheffekte kommen zusammen—schnapp dir das Paket auf einen Schlag und lass "&amp;"deine Truppen auf der Karte glänzen!
-Vorbestellungskette: Sichern Sie sich die Feierüberraschungen frühzeitig. Mit der Kettenvorbestellung schaltest du gestapelte, immer bessere Belohnungen mit unschlagbarem Wert frei!
-Festival-Kartenpaket-System: Ein n"&amp;"eues Festival-Kartenalbum ist da. Nimm an Festival-Events teil, um exklusive Karten zu sammeln—vervollständige das Album, um einen limitierten Festival-Avatarrahmen, Murmel-Skins, Roaming-Abenteuer-Teile-Skins, permanente Buffs und mehr zu erhalten!")</f>
        <v>Das Tech-Fest steht kurz bevor!
-Rathaus-Skin-Set: Schlachtfeld-Overlord ist da! Wird freigeschaltet, wenn alle Teile gesammelt wurden.
-Tech-Journal: Nimm an der Tech-Tour teil, sammle Dekorationskomponenten und erhalte großzügige Belohnungen, darunter ein Erinnerungsfoto!
-Schatzrausch: Tech-Fest-Spaß ist da—tippe, wirf Münzen, sprenge Truhenmonster und gewinne Skin-Belohnungen!
-Glücksmurmel: Eine brandneue thematische Murmelziehung ist live. Feuere Energieorbs ab und durchbrich Schichten voller Überraschungen! Sammle Ziehungen, um Meilenstein-Hauptpreise und Rathaus-Skins freizuschalten!
-Roaming-Abenteuer: Sammle Roaming-Würfel, bewege dich über die Karte und erhalte Überraschungsbelohnungen!
-Kern-Entschlüsselungsprojekt: Besiege Stufen, knacke den Kern und erhalte limitierte Dekorationen kostenlos! Die verbesserten Rathaus-Skins und Marscheffekte warten!
-Marsch-Kollaborationspaket: Exklusive Marsch-Emojis und auffällige Marscheffekte kommen zusammen—schnapp dir das Paket auf einen Schlag und lass deine Truppen auf der Karte glänzen!
-Vorbestellungskette: Sichern Sie sich die Feierüberraschungen frühzeitig. Mit der Kettenvorbestellung schaltest du gestapelte, immer bessere Belohnungen mit unschlagbarem Wert frei!
-Festival-Kartenpaket-System: Ein neues Festival-Kartenalbum ist da. Nimm an Festival-Events teil, um exklusive Karten zu sammeln—vervollständige das Album, um einen limitierten Festival-Avatarrahmen, Murmel-Skins, Roaming-Abenteuer-Teile-Skins, permanente Buffs und mehr zu erhalten!</v>
      </c>
      <c r="F78" s="148" t="str">
        <f>IFERROR(__xludf.DUMMYFUNCTION("""COMPUTED_VALUE"""),"O Festival Tecnológico está prestes a começar!
-Skin da Prefeitura: Conjunto Soberano do Campo de Batalha chegou! Desbloqueia ao coletar todas as partes.
-Diário Tecnológico: Entre no Tour Tecnológico, colete componentes de decoração e ganhe recompensas"&amp;" generosas, incluindo uma foto comemorativa!
-Corrida do Tesouro: A diversão do Festival Tecnológico chegou—Toque, jogue moedas, Disparar nos Monstros do Baú e ganhe recompensas de skin!
-Mármore da Sorte: Um sorteio de mármore temático totalmente novo "&amp;"está no ar. Disparar orbes de energia e quebre camadas de surpresas! Acumule sorteios para desbloquear Grandes Prêmios de marco e skins da prefeitura!
-Aventura Itinerante: Colete Dados Itinerantes, Mova pelo Mapa e ganhe recompensas surpresa!
Projeto d"&amp;"e Descriptação do Núcleo: Vença fases, quebre o núcleo e ganhe decorações limitadas Grátis! As skins avançadas da prefeitura e Efeitos de Marcha aguardam!
-Pacote de Colaboração de Marcha: Emojis de marcha exclusivos e efeitos de marcha chamativos chegam"&amp;" juntos—pegue o pacote de uma vez e faça suas tropas brilharem no mapa!
-Cadeia de Pré-Venda: Garanta surpresas de celebração antecipadamente. Com a Pré-Venda em Cadeia, abra recompensas empilhadas e cada vez melhores para um valor imbatível!
-Sistema d"&amp;"e Pacote de Cartão do Festival: Um novo Álbum de Cartão do Festival chegou. Participe dos eventos do festival para coletar cartões exclusivos—complete o álbum para ganhar uma moldura de avatar limitada do festival, skins de mármore, skins de peças da Aven"&amp;"tura Itinerante, Auxílios permanentes e muito mais!")</f>
        <v>O Festival Tecnológico está prestes a começar!
-Skin da Prefeitura: Conjunto Soberano do Campo de Batalha chegou! Desbloqueia ao coletar todas as partes.
-Diário Tecnológico: Entre no Tour Tecnológico, colete componentes de decoração e ganhe recompensas generosas, incluindo uma foto comemorativa!
-Corrida do Tesouro: A diversão do Festival Tecnológico chegou—Toque, jogue moedas, Disparar nos Monstros do Baú e ganhe recompensas de skin!
-Mármore da Sorte: Um sorteio de mármore temático totalmente novo está no ar. Disparar orbes de energia e quebre camadas de surpresas! Acumule sorteios para desbloquear Grandes Prêmios de marco e skins da prefeitura!
-Aventura Itinerante: Colete Dados Itinerantes, Mova pelo Mapa e ganhe recompensas surpresa!
Projeto de Descriptação do Núcleo: Vença fases, quebre o núcleo e ganhe decorações limitadas Grátis! As skins avançadas da prefeitura e Efeitos de Marcha aguardam!
-Pacote de Colaboração de Marcha: Emojis de marcha exclusivos e efeitos de marcha chamativos chegam juntos—pegue o pacote de uma vez e faça suas tropas brilharem no mapa!
-Cadeia de Pré-Venda: Garanta surpresas de celebração antecipadamente. Com a Pré-Venda em Cadeia, abra recompensas empilhadas e cada vez melhores para um valor imbatível!
-Sistema de Pacote de Cartão do Festival: Um novo Álbum de Cartão do Festival chegou. Participe dos eventos do festival para coletar cartões exclusivos—complete o álbum para ganhar uma moldura de avatar limitada do festival, skins de mármore, skins de peças da Aventura Itinerante, Auxílios permanentes e muito mais!</v>
      </c>
      <c r="G78" s="148" t="str">
        <f>IFERROR(__xludf.DUMMYFUNCTION("""COMPUTED_VALUE"""),"科技慶典，即將開啟！
-城市外觀套裝：戰地霸主上線！參與各節日活動可集齊多個套裝組件，解鎖最終形態！
-科技手札：參與科技之旅，收集科技節裝飾物組件，取得豐厚獎勵，更有慶典紀念照片贈送！
-奪寶總動員：科技節趣味降臨，動動指尖，投擲硬幣，炮轟寶箱怪，贏取套裝皮膚獎勵！
-幸運彈珠：全新主題彈珠抽獎開啟，發射能量球，撞擊層層驚喜！累計抽獎可解鎖里程碑大獎，取得城市外觀獎勵！
-漫遊奇遇：參與節日活動收集漫遊骰子，在探索地圖的過程中獲得驚喜獎勵！
-核心破譯計劃：解密核心，通過關卡，免費取得限定裝飾！更有高級"&amp;"主城外觀及行軍特效等您來拿！
-行軍聯動禮包：專屬行軍表情與炫酷行軍特效聯動登場，一鍵打包購買，讓你的部隊成為地圖上的焦點！
-連鎖預購：搶先一步鎖定慶典驚喜，通過連鎖預購，開啟層層加碼的獎勵，盡享極致性價比！
-節日卡包系統：新增節日卡冊，參加節日活動收集專屬卡片，集齊卡冊，即可取得限定節日頭像框及彈珠皮膚、漫遊奇遇棋子外觀、永久增益等獎勵！")</f>
        <v>科技慶典，即將開啟！
-城市外觀套裝：戰地霸主上線！參與各節日活動可集齊多個套裝組件，解鎖最終形態！
-科技手札：參與科技之旅，收集科技節裝飾物組件，取得豐厚獎勵，更有慶典紀念照片贈送！
-奪寶總動員：科技節趣味降臨，動動指尖，投擲硬幣，炮轟寶箱怪，贏取套裝皮膚獎勵！
-幸運彈珠：全新主題彈珠抽獎開啟，發射能量球，撞擊層層驚喜！累計抽獎可解鎖里程碑大獎，取得城市外觀獎勵！
-漫遊奇遇：參與節日活動收集漫遊骰子，在探索地圖的過程中獲得驚喜獎勵！
-核心破譯計劃：解密核心，通過關卡，免費取得限定裝飾！更有高級主城外觀及行軍特效等您來拿！
-行軍聯動禮包：專屬行軍表情與炫酷行軍特效聯動登場，一鍵打包購買，讓你的部隊成為地圖上的焦點！
-連鎖預購：搶先一步鎖定慶典驚喜，通過連鎖預購，開啟層層加碼的獎勵，盡享極致性價比！
-節日卡包系統：新增節日卡冊，參加節日活動收集專屬卡片，集齊卡冊，即可取得限定節日頭像框及彈珠皮膚、漫遊奇遇棋子外觀、永久增益等獎勵！</v>
      </c>
      <c r="H78" s="148" t="str">
        <f>IFERROR(__xludf.DUMMYFUNCTION("""COMPUTED_VALUE"""),"Festival Teknologi akan segera dimulai!
-Set Skin Balai Kota: Medan Perang Maharaja telah hadir! Terbuka saat semua bagian telah dikumpulkan.
-Jurnal Teknologi: Bergabunglah dalam Tur Teknologi, kumpulkan komponen dekorasi, dan dapatkan hadiah melimpah,"&amp;" termasuk foto kenang-kenangan!
-Treasure Rush: Serunya Festival Teknologi hadir—ketuk, lempar koin, ledakkan Peti Monster, dan menangkan hadiah skin!
-Marmer Keberuntungan: Undian marmer bertema baru telah hadir. Tembakkan bola energi dan hancurkan lap"&amp;"isan kejutan! Kumpulkan undian untuk membuka hadiah utama milestone dan skin balai kota!
-Petualangan Roaming: Kumpulkan Dadu Roaming, bergeraklah di peta, dan dapatkan hadiah kejutan!
-Proyek Dekripsi Inti: Taklukkan tahap, pecahkan inti, dan dapatkan "&amp;"dekorasi terbatas secara gratis! Skin balai kota lanjutan dan efek berbaris menantimu!
-Paket Kolaborasi Barisan: Emoji barisan eksklusif dan efek barisan mencolok hadir bersamaan—ambil bundelnya sekaligus dan buat pasukanmu bersinar di peta!
-Rantai Pr"&amp;"a-Pesanan: Kunci kejutan perayaan lebih awal. Dengan Pra-Pesanan Berantai, buka hadiah bertumpuk yang semakin baik untuk nilai yang tak tertandingi!
-Sistem Paket Kartu Festival: Album Kartu Festival baru telah hadir. Ikuti event festival untuk mengumpul"&amp;"kan kartu eksklusif—lengkapi album untuk mendapatkan bingkai avatar festival terbatas, skin marmer, skin potongan Petualangan Roaming, keunggulan permanen, dan banyak lagi!")</f>
        <v>Festival Teknologi akan segera dimulai!
-Set Skin Balai Kota: Medan Perang Maharaja telah hadir! Terbuka saat semua bagian telah dikumpulkan.
-Jurnal Teknologi: Bergabunglah dalam Tur Teknologi, kumpulkan komponen dekorasi, dan dapatkan hadiah melimpah, termasuk foto kenang-kenangan!
-Treasure Rush: Serunya Festival Teknologi hadir—ketuk, lempar koin, ledakkan Peti Monster, dan menangkan hadiah skin!
-Marmer Keberuntungan: Undian marmer bertema baru telah hadir. Tembakkan bola energi dan hancurkan lapisan kejutan! Kumpulkan undian untuk membuka hadiah utama milestone dan skin balai kota!
-Petualangan Roaming: Kumpulkan Dadu Roaming, bergeraklah di peta, dan dapatkan hadiah kejutan!
-Proyek Dekripsi Inti: Taklukkan tahap, pecahkan inti, dan dapatkan dekorasi terbatas secara gratis! Skin balai kota lanjutan dan efek berbaris menantimu!
-Paket Kolaborasi Barisan: Emoji barisan eksklusif dan efek barisan mencolok hadir bersamaan—ambil bundelnya sekaligus dan buat pasukanmu bersinar di peta!
-Rantai Pra-Pesanan: Kunci kejutan perayaan lebih awal. Dengan Pra-Pesanan Berantai, buka hadiah bertumpuk yang semakin baik untuk nilai yang tak tertandingi!
-Sistem Paket Kartu Festival: Album Kartu Festival baru telah hadir. Ikuti event festival untuk mengumpulkan kartu eksklusif—lengkapi album untuk mendapatkan bingkai avatar festival terbatas, skin marmer, skin potongan Petualangan Roaming, keunggulan permanen, dan banyak lagi!</v>
      </c>
      <c r="I78" s="148" t="str">
        <f>IFERROR(__xludf.DUMMYFUNCTION("""COMPUTED_VALUE"""),"เทศกาลเทคกำลังจะเริ่มขึ้น!
- ชุดสกินศาลากลาง: เจ้าแห่งสนามรบมาแล้ว! ปลดล็อกเมื่อสะสมครบทุกชิ้นส่วน
- บันทึกเทค: เข้าร่วมทัวร์เทค สะสมชิ้นส่วนตกแต่ง และรับรางวัลมากมาย รวมถึงภาพถ่ายที่ระลึก!
- ล่าขุมทรัพย์: ความสนุกเทศกาลเทคมาแล้ว—แตะ โยนเหรียญ ระเบิดหีบสั"&amp;"ตว์ประหลาด และรับรางวัลสกิน!
- ลูกแก้วนำโชค: การจับลูกแก้วธีมใหม่ล่าสุดเริ่มแล้ว ปล่อยลูกแก้วพลังงานไฟและทะลุชั้นเซอร์ไพรส์! สะสมการจับเพื่อปลดล็อกรางวัลใหญ่ตามเป้าและสกินศาลากลาง!
- ผจญภัยท่องโลก: สะสมลูกเต๋าท่องโลก เคลื่อนที่ข้ามแผนที่ และรับรางวัลเซอร์"&amp;"ไพรส์!
- โครงการถอดรหัสแกนกลาง: พิชิตด่าน ถอดรหัสแกนกลาง และรับการตกแต่งจำกัดฟรี! สกินศาลากลางพัฒนาแล้วและเอฟเฟกต์การเดินทัพรอคุณอยู่!
- แพ็กคอลแลบเดินทัพ: อีโมจิเดินทัพสุดพิเศษและเอฟเฟกต์เดินทัพสุดโดดเด่นมาพร้อมกัน—รับแพ็กสุดคุ้มในครั้งเดียวและทำให้กองทห"&amp;"ารของคุณโดดเด่นบนแผนที่!
- พรีออเดอร์เชน: ล็อกเซอร์ไพรส์ฉลองล่วงหน้า ด้วยพรีออเดอร์เชน เปิดรางวัลซ้อนสุดคุ้มค่า!
- ระบบแพ็กการ์ดเทศกาล: อัลบั้มการ์ดเทศกาลใหม่มาแล้ว เข้าร่วมกิจกรรมเทศกาลเพื่อสะสมการ์ดสุดพิเศษ—สะสมครบอัลบั้มรับกรอบอวาตาร์เทศกาลจำกัด สกินลู"&amp;"กแก้ว สกินชิ้นส่วนผจญภัยท่องโลก บัฟฟ์ถาวร และอื่น ๆ อีกมาก!")</f>
        <v>เทศกาลเทคกำลังจะเริ่มขึ้น!
- ชุดสกินศาลากลาง: เจ้าแห่งสนามรบมาแล้ว! ปลดล็อกเมื่อสะสมครบทุกชิ้นส่วน
- บันทึกเทค: เข้าร่วมทัวร์เทค สะสมชิ้นส่วนตกแต่ง และรับรางวัลมากมาย รวมถึงภาพถ่ายที่ระลึก!
- ล่าขุมทรัพย์: ความสนุกเทศกาลเทคมาแล้ว—แตะ โยนเหรียญ ระเบิดหีบสัตว์ประหลาด และรับรางวัลสกิน!
- ลูกแก้วนำโชค: การจับลูกแก้วธีมใหม่ล่าสุดเริ่มแล้ว ปล่อยลูกแก้วพลังงานไฟและทะลุชั้นเซอร์ไพรส์! สะสมการจับเพื่อปลดล็อกรางวัลใหญ่ตามเป้าและสกินศาลากลาง!
- ผจญภัยท่องโลก: สะสมลูกเต๋าท่องโลก เคลื่อนที่ข้ามแผนที่ และรับรางวัลเซอร์ไพรส์!
- โครงการถอดรหัสแกนกลาง: พิชิตด่าน ถอดรหัสแกนกลาง และรับการตกแต่งจำกัดฟรี! สกินศาลากลางพัฒนาแล้วและเอฟเฟกต์การเดินทัพรอคุณอยู่!
- แพ็กคอลแลบเดินทัพ: อีโมจิเดินทัพสุดพิเศษและเอฟเฟกต์เดินทัพสุดโดดเด่นมาพร้อมกัน—รับแพ็กสุดคุ้มในครั้งเดียวและทำให้กองทหารของคุณโดดเด่นบนแผนที่!
- พรีออเดอร์เชน: ล็อกเซอร์ไพรส์ฉลองล่วงหน้า ด้วยพรีออเดอร์เชน เปิดรางวัลซ้อนสุดคุ้มค่า!
- ระบบแพ็กการ์ดเทศกาล: อัลบั้มการ์ดเทศกาลใหม่มาแล้ว เข้าร่วมกิจกรรมเทศกาลเพื่อสะสมการ์ดสุดพิเศษ—สะสมครบอัลบั้มรับกรอบอวาตาร์เทศกาลจำกัด สกินลูกแก้ว สกินชิ้นส่วนผจญภัยท่องโลก บัฟฟ์ถาวร และอื่น ๆ อีกมาก!</v>
      </c>
      <c r="J78" s="148" t="str">
        <f>IFERROR(__xludf.DUMMYFUNCTION("""COMPUTED_VALUE"""),"¡El Festival Tecnológico está a punto de comenzar!
- Conjunto de Textura del Ayuntamiento: ¡Campo de Batalla del Jefe Supremo ya está aquí! Se desbloquea al recolectar todas las partes.
- Diario Tecnológico: Únete al Tour Tecnológico, recolecta componente"&amp;"s de decoración y gana generosas recompensas, ¡incluida una foto conmemorativa!
- Ráfaga de Tesoros: La diversión del Festival Tecnológico está aquí—pulsa, lanza monedas, derrota Monstruos de cofre y gana recompensas de texturas.
- Canica de la Suerte: Un"&amp;" sorteo de canicas temático completamente nuevo está en vivo. ¡Dispara orbes de energía y atraviesa capas de sorpresas! Acumula sorteos para desbloquear grandes premios de hito y texturas del ayuntamiento.
- Aventura Errante: Recolecta Dados Errantes, mué"&amp;"vete por el mapa y gana recompensas sorpresa.
- Proyecto de Desencriptación del Núcleo: Supera etapas, descifra el núcleo y obtén decoraciones limitadas ¡gratis! ¡Las texturas avanzadas del ayuntamiento y los efectos de marcha te esperan!
- Paquete de Col"&amp;"aboración de Marcha: Emojis de marcha exclusivos y efectos de marcha llamativos llegan juntos—¡obtén el paquete de una vez y haz que tus tropas brillen en el mapa!
- Cadena de Pre-orden: Asegura sorpresas de celebración con anticipación. Con la Cadena de "&amp;"Pre-orden, abre recompensas apiladas y cada vez mejores por un valor inigualable.
- Sistema de Paquete de Tarjetas del Festival: Un nuevo Álbum de Tarjetas del Festival está aquí. Únete a los eventos del festival para recolectar tarjetas exclusivas—comple"&amp;"ta el álbum para ganar un marco de avatar limitado del festival, texturas de canica, texturas de piezas de Aventura Errante, bonificaciones permanentes ¡y más!")</f>
        <v>¡El Festival Tecnológico está a punto de comenzar!
- Conjunto de Textura del Ayuntamiento: ¡Campo de Batalla del Jefe Supremo ya está aquí! Se desbloquea al recolectar todas las partes.
- Diario Tecnológico: Únete al Tour Tecnológico, recolecta componentes de decoración y gana generosas recompensas, ¡incluida una foto conmemorativa!
- Ráfaga de Tesoros: La diversión del Festival Tecnológico está aquí—pulsa, lanza monedas, derrota Monstruos de cofre y gana recompensas de texturas.
- Canica de la Suerte: Un sorteo de canicas temático completamente nuevo está en vivo. ¡Dispara orbes de energía y atraviesa capas de sorpresas! Acumula sorteos para desbloquear grandes premios de hito y texturas del ayuntamiento.
- Aventura Errante: Recolecta Dados Errantes, muévete por el mapa y gana recompensas sorpresa.
- Proyecto de Desencriptación del Núcleo: Supera etapas, descifra el núcleo y obtén decoraciones limitadas ¡gratis! ¡Las texturas avanzadas del ayuntamiento y los efectos de marcha te esperan!
- Paquete de Colaboración de Marcha: Emojis de marcha exclusivos y efectos de marcha llamativos llegan juntos—¡obtén el paquete de una vez y haz que tus tropas brillen en el mapa!
- Cadena de Pre-orden: Asegura sorpresas de celebración con anticipación. Con la Cadena de Pre-orden, abre recompensas apiladas y cada vez mejores por un valor inigualable.
- Sistema de Paquete de Tarjetas del Festival: Un nuevo Álbum de Tarjetas del Festival está aquí. Únete a los eventos del festival para recolectar tarjetas exclusivas—completa el álbum para ganar un marco de avatar limitado del festival, texturas de canica, texturas de piezas de Aventura Errante, bonificaciones permanentes ¡y más!</v>
      </c>
      <c r="K78" s="148" t="str">
        <f>IFERROR(__xludf.DUMMYFUNCTION("""COMPUTED_VALUE"""),"Технофестиваль вот-вот начнётся!
- Набор обликов городского совета: Владыка поля боя уже здесь! Открывается при сборе всех частей.
- Техножурнал: Присоединяйтесь к Технотуру, собирайте компоненты украшений и получайте щедрые награды, включая памятное фо"&amp;"то!
- Охота за сокровищами: Веселье технофестиваля уже здесь — жмите, бросайте монеты, взрывайте сундуки-монстров и выигрывайте награды с обликами!
- Счастливый шарик: Совершенно новый тематический розыгрыш шариков уже в эфире. Заряжайте энергетические "&amp;"сферы и пробивайтесь сквозь слои сюрпризов! Совершайте розыгрыши, чтобы открыть главные призы и облики городского совета!
- Приключение в пути: Собирайте странствующие кубики, перемещайтесь по карте и получайте неожиданные награды!
- Проект расшифровки "&amp;"ядра: Проходите этапы, взламывайте ядро и получайте ограниченные украшения бесплатно! Продвинутые облики городского совета и эффекты марша ждут вас!
- Набор совместного марша: Эксклюзивные эмодзи марша и яркие эффекты марша появляются вместе — заберите к"&amp;"омплект сразу и выделите свои войска на карте!
- Цепочка предзаказов: Забронируйте праздничные сюрпризы заранее. С цепочкой предзаказов открывайте накопленные, всё более ценные награды с непревзойдённой выгодой!
- Система фестивальных наборов карт: Новы"&amp;"й фестивальный альбом карт уже здесь. Участвуйте в фестивальных событиях, чтобы собирать эксклюзивные карты — завершите альбом и получите ограниченную фестивальную рамку для аватара, облики шариков, облики фишек для приключения в пути, постоянные усиления"&amp;" и многое другое!")</f>
        <v>Технофестиваль вот-вот начнётся!
- Набор обликов городского совета: Владыка поля боя уже здесь! Открывается при сборе всех частей.
- Техножурнал: Присоединяйтесь к Технотуру, собирайте компоненты украшений и получайте щедрые награды, включая памятное фото!
- Охота за сокровищами: Веселье технофестиваля уже здесь — жмите, бросайте монеты, взрывайте сундуки-монстров и выигрывайте награды с обликами!
- Счастливый шарик: Совершенно новый тематический розыгрыш шариков уже в эфире. Заряжайте энергетические сферы и пробивайтесь сквозь слои сюрпризов! Совершайте розыгрыши, чтобы открыть главные призы и облики городского совета!
- Приключение в пути: Собирайте странствующие кубики, перемещайтесь по карте и получайте неожиданные награды!
- Проект расшифровки ядра: Проходите этапы, взламывайте ядро и получайте ограниченные украшения бесплатно! Продвинутые облики городского совета и эффекты марша ждут вас!
- Набор совместного марша: Эксклюзивные эмодзи марша и яркие эффекты марша появляются вместе — заберите комплект сразу и выделите свои войска на карте!
- Цепочка предзаказов: Забронируйте праздничные сюрпризы заранее. С цепочкой предзаказов открывайте накопленные, всё более ценные награды с непревзойдённой выгодой!
- Система фестивальных наборов карт: Новый фестивальный альбом карт уже здесь. Участвуйте в фестивальных событиях, чтобы собирать эксклюзивные карты — завершите альбом и получите ограниченную фестивальную рамку для аватара, облики шариков, облики фишек для приключения в пути, постоянные усиления и многое другое!</v>
      </c>
      <c r="L78" s="148" t="str">
        <f>IFERROR(__xludf.DUMMYFUNCTION("""COMPUTED_VALUE"""),"Teknoloji Festivali başlamak üzere!
-Meclis Görünümü Seti: Savaş Meydanı Büyük Lordu burada! Tüm parçalar toplandığında kilidi açılır.
-Teknoloji Günlüğü: Teknoloji Turu'na katıl, dekorasyon bileşenleri topla ve anı fotoğrafı dahil cömert ödüller kazan!
-"&amp;"Hazine Koşusu: Teknoloji Festivali eğlencesi burada—dokun, para at, Sandık Canavarlarını patlat ve görünüm ödülleri kazan!
-Şanslı Bilye: Yepyeni temalı bilye çekilişi başladı. Enerji kürelerini kov ve sürpriz katmanlarını kır! Çekilişleri biriktir, kilom"&amp;"etre taşı büyük ödüllerin ve meclis görünümlerinin kilidini aç!
-Dolaşan Macera: Dolaşan Zarları topla, harita üzerinde hareket et ve sürpriz ödüller kazan!
-Çekirdek Şifre Çözme Projesi: Aşamaları geç, çekirdeği kır ve sınırlı dekorasyonları ücretsiz al!"&amp;" Gelişmiş meclis görünümleri ve sefer etkileri seni bekliyor!
-Sefer İşbirliği Paketi: Özel sefer emojileri ve göz alıcı sefer efektleri birlikte geliyor—paketi tek seferde kap ve birliklerini haritada parlat!
-Ön Sipariş Zinciri: Kutlama sürprizlerini er"&amp;"kenden kilitle. Zincir Ön Sipariş ile üst üste yığılan, her seferinde daha iyi ödüllerin kilidini aç, rakipsiz değer elde et!
-Festival Kart Paketi Sistemi: Yeni bir Festival Kart Albümü burada. Festival etkinliklerine katıl, özel kartlar topla—albümü tam"&amp;"amla, sınırlı festival avatar çerçevesi, bilye görünümleri, Dolaşan Macera parça görünümleri, kalıcı güçlendiriciler ve daha fazlasını kazan!")</f>
        <v>Teknoloji Festivali başlamak üzere!
-Meclis Görünümü Seti: Savaş Meydanı Büyük Lordu burada! Tüm parçalar toplandığında kilidi açılır.
-Teknoloji Günlüğü: Teknoloji Turu'na katıl, dekorasyon bileşenleri topla ve anı fotoğrafı dahil cömert ödüller kazan!
-Hazine Koşusu: Teknoloji Festivali eğlencesi burada—dokun, para at, Sandık Canavarlarını patlat ve görünüm ödülleri kazan!
-Şanslı Bilye: Yepyeni temalı bilye çekilişi başladı. Enerji kürelerini kov ve sürpriz katmanlarını kır! Çekilişleri biriktir, kilometre taşı büyük ödüllerin ve meclis görünümlerinin kilidini aç!
-Dolaşan Macera: Dolaşan Zarları topla, harita üzerinde hareket et ve sürpriz ödüller kazan!
-Çekirdek Şifre Çözme Projesi: Aşamaları geç, çekirdeği kır ve sınırlı dekorasyonları ücretsiz al! Gelişmiş meclis görünümleri ve sefer etkileri seni bekliyor!
-Sefer İşbirliği Paketi: Özel sefer emojileri ve göz alıcı sefer efektleri birlikte geliyor—paketi tek seferde kap ve birliklerini haritada parlat!
-Ön Sipariş Zinciri: Kutlama sürprizlerini erkenden kilitle. Zincir Ön Sipariş ile üst üste yığılan, her seferinde daha iyi ödüllerin kilidini aç, rakipsiz değer elde et!
-Festival Kart Paketi Sistemi: Yeni bir Festival Kart Albümü burada. Festival etkinliklerine katıl, özel kartlar topla—albümü tamamla, sınırlı festival avatar çerçevesi, bilye görünümleri, Dolaşan Macera parça görünümleri, kalıcı güçlendiriciler ve daha fazlasını kazan!</v>
      </c>
      <c r="M78" s="148" t="str">
        <f>IFERROR(__xludf.DUMMYFUNCTION("""COMPUTED_VALUE"""),"Lễ Hội Công Nghệ sắp bắt đầu!
-Giao Diện Tòa Thị Chính: Bộ Ngoại Trang Chiến Trường Bá Chủ đã có mặt! Mở khóa khi thu thập đủ tất cả các phần.
-Nhật Ký Công Nghệ: Tham gia Hành Trình Công Nghệ, thu thập linh kiện trang trí và nhận phần thưởng hào phóng, b"&amp;"ao gồm cả ảnh kỷ niệm!
-Săn Kho Báu: Niềm vui Lễ Công Nghệ đã đến—chạm, tung xu, phát nổ Quái Vật Rương và nhận thưởng ngoại trang!
-Viên Bi May Mắn: Rút bi chủ đề hoàn toàn mới đã lên sóng. Bắn cầu năng lượng và phá vỡ từng lớp bất ngờ! Tích lũy lượt rút"&amp;" để mở khóa các mốc giải thưởng lớn và giao diện tòa thị chính!
-Phiêu Lưu Du Ngoạn: Thu thập Xúc Xắc Du Ngoạn, di chuyển trên bản đồ và nhận phần thưởng bất ngờ!
-Dự Án Giải Mã Lõi: Vượt qua các giai đoạn, giải mã vùng cốt lõi và nhận trang trí giới hạn "&amp;"miễn phí! Ngoại trang tòa thị chính cao cấp và hiệu ứng hành quân đang chờ đón bạn!
-Gói Hợp Tác Hành Quân: Biểu cảm hành quân độc quyền và hiệu ứng hành quân rực rỡ cùng xuất hiện—mua trọn gói để binh lính của bạn tỏa sáng trên bản đồ!
-Chuỗi Đặt Trước: "&amp;"Khóa trước các bất ngờ lễ hội. Với Chuỗi Đặt Trước, mở ra phần thưởng xếp chồng ngày càng giá trị với mức giá không thể tốt hơn!
-Hệ Thống Gói Thẻ Lễ Hội: Album Thẻ Lễ Hội mới đã có mặt. Tham gia sự kiện lễ hội để thu thập thẻ độc quyền—hoàn thành album đ"&amp;"ể nhận khung avatar lễ hội giới hạn, skin bi, skin mảnh Du Ngoạn, buff vĩnh viễn và nhiều hơn nữa!")</f>
        <v>Lễ Hội Công Nghệ sắp bắt đầu!
-Giao Diện Tòa Thị Chính: Bộ Ngoại Trang Chiến Trường Bá Chủ đã có mặt! Mở khóa khi thu thập đủ tất cả các phần.
-Nhật Ký Công Nghệ: Tham gia Hành Trình Công Nghệ, thu thập linh kiện trang trí và nhận phần thưởng hào phóng, bao gồm cả ảnh kỷ niệm!
-Săn Kho Báu: Niềm vui Lễ Công Nghệ đã đến—chạm, tung xu, phát nổ Quái Vật Rương và nhận thưởng ngoại trang!
-Viên Bi May Mắn: Rút bi chủ đề hoàn toàn mới đã lên sóng. Bắn cầu năng lượng và phá vỡ từng lớp bất ngờ! Tích lũy lượt rút để mở khóa các mốc giải thưởng lớn và giao diện tòa thị chính!
-Phiêu Lưu Du Ngoạn: Thu thập Xúc Xắc Du Ngoạn, di chuyển trên bản đồ và nhận phần thưởng bất ngờ!
-Dự Án Giải Mã Lõi: Vượt qua các giai đoạn, giải mã vùng cốt lõi và nhận trang trí giới hạn miễn phí! Ngoại trang tòa thị chính cao cấp và hiệu ứng hành quân đang chờ đón bạn!
-Gói Hợp Tác Hành Quân: Biểu cảm hành quân độc quyền và hiệu ứng hành quân rực rỡ cùng xuất hiện—mua trọn gói để binh lính của bạn tỏa sáng trên bản đồ!
-Chuỗi Đặt Trước: Khóa trước các bất ngờ lễ hội. Với Chuỗi Đặt Trước, mở ra phần thưởng xếp chồng ngày càng giá trị với mức giá không thể tốt hơn!
-Hệ Thống Gói Thẻ Lễ Hội: Album Thẻ Lễ Hội mới đã có mặt. Tham gia sự kiện lễ hội để thu thập thẻ độc quyền—hoàn thành album để nhận khung avatar lễ hội giới hạn, skin bi, skin mảnh Du Ngoạn, buff vĩnh viễn và nhiều hơn nữa!</v>
      </c>
      <c r="N78" s="108" t="str">
        <f>IFERROR(__xludf.DUMMYFUNCTION("""COMPUTED_VALUE"""),"Il Festival Tecnologico sta per iniziare!
- Set Aspetto Municipio: Sign Supremo del Campo di Battaglia è qui! Si sblocca quando tutte le parti sono raccolte.
- Diario Tecnologico: Partecipa al Tech Tour, raccogli componenti decorazione e ottieni ricompe"&amp;"nse generose, inclusa una foto commemorativa!
- Corsa al Tesoro: Il divertimento del Festival Tecnologico è qui—tocca, lancia monete, scoppia Mostri della cassa e vinci ricompense aspetto!
- Marmo Fortunato: Un nuovissimo sorteggio a tema marmo è attivo"&amp;". Lancia sfere di energia e distruggi strati di sorprese! Accumula estrazioni per sbloccare grandi premi traguardo e aspetti del municipio!
- Avventura Itinerante: Raccogli Dadi Itineranti, spostati sulla mappa e ottieni ricompense a sorpresa!
- Progett"&amp;"o di Decrittazione del Nucleo: Supera le fasi, decifra il nucleo e ricevi decorazioni limitate gratis! Gli aspetti avanzati del municipio e gli effetti di marcia ti aspettano!
- Pacchetto Collaborazione Marcia: Esclusive emoji di marcia ed effetti di mar"&amp;"cia appariscenti arrivano insieme—prendi il pacchetto in un colpo solo e fai brillare le tue truppe sulla mappa!
- Catena di Pre-Ordine: Blocca in anticipo le sorprese della celebrazione. Con la Catena di Pre-Ordine, apri ricompense impilate e sempre mig"&amp;"liori per un valore imbattibile!
- Sistema Pacchetto Carte Festival: Un nuovo Album di Carte del Festival è qui. Partecipa agli eventi del festival per raccogliere carte esclusive—completa l’album per ottenere una cornice avatar festival limitata, skin m"&amp;"armo, skin pezzi Avventura Itinerante, benefici permanenti e altro ancora!")</f>
        <v>Il Festival Tecnologico sta per iniziare!
- Set Aspetto Municipio: Sign Supremo del Campo di Battaglia è qui! Si sblocca quando tutte le parti sono raccolte.
- Diario Tecnologico: Partecipa al Tech Tour, raccogli componenti decorazione e ottieni ricompense generose, inclusa una foto commemorativa!
- Corsa al Tesoro: Il divertimento del Festival Tecnologico è qui—tocca, lancia monete, scoppia Mostri della cassa e vinci ricompense aspetto!
- Marmo Fortunato: Un nuovissimo sorteggio a tema marmo è attivo. Lancia sfere di energia e distruggi strati di sorprese! Accumula estrazioni per sbloccare grandi premi traguardo e aspetti del municipio!
- Avventura Itinerante: Raccogli Dadi Itineranti, spostati sulla mappa e ottieni ricompense a sorpresa!
- Progetto di Decrittazione del Nucleo: Supera le fasi, decifra il nucleo e ricevi decorazioni limitate gratis! Gli aspetti avanzati del municipio e gli effetti di marcia ti aspettano!
- Pacchetto Collaborazione Marcia: Esclusive emoji di marcia ed effetti di marcia appariscenti arrivano insieme—prendi il pacchetto in un colpo solo e fai brillare le tue truppe sulla mappa!
- Catena di Pre-Ordine: Blocca in anticipo le sorprese della celebrazione. Con la Catena di Pre-Ordine, apri ricompense impilate e sempre migliori per un valore imbattibile!
- Sistema Pacchetto Carte Festival: Un nuovo Album di Carte del Festival è qui. Partecipa agli eventi del festival per raccogliere carte esclusive—completa l’album per ottenere una cornice avatar festival limitata, skin marmo, skin pezzi Avventura Itinerante, benefici permanenti e altro ancora!</v>
      </c>
      <c r="O78" s="148" t="str">
        <f>IFERROR(__xludf.DUMMYFUNCTION("""COMPUTED_VALUE"""),"Festiwal Technologiczny zaraz się zaczyna!
- Zestaw Skórek Ratusza: Władca Pola Bitwy już dostępny! Odblokuj po zebraniu wszystkich części.
- Dziennik Technologiczny: Dołącz do Tech Tour, zbieraj komponenty dekoracji i zdobywaj hojne nagrody, w tym pamiąt"&amp;"kowe zdjęcie!
- Skarby Festiwalu: Zabawa na Festiwalu Technologicznym już tu jest—dotknij, wrzucaj monety, wybuchaj Skrzynie Potworów i wygrywaj nagrody w postaci skórek!
- Szczęśliwy Marmur: Nowy tematyczny los marmurowy już dostępny. Zwolnij kule energi"&amp;"i i przebijaj się przez warstwy niespodzianek! Zbieraj losowania, aby odblokować kamienie milowe z głównymi nagrodami i skórkami ratusza!
- Wędrowna Przygoda: Zbieraj Wędrowne Kości, przemieszczaj się po mapie i zdobywaj niespodziankowe nagrody!
- Projekt"&amp;" Deszyfracji Rdzenia: Pokonuj etapy, złam rdzeń i zgarnij limitowane dekoracje za darmo! Zaawansowane skórki ratusza i efekty marszu czekają!
- Pakiet Kolaboracyjny Marszu: Ekskluzywne emoji marszu i efektowne efekty marszu pojawiają się razem—zgarnij pak"&amp;"iet za jednym razem i spraw, by twoje jednostki błyszczały na mapie!
- Łańcuch Przedsprzedaży: Zabezpiecz niespodzianki świętowania wcześniej. Dzięki Łańcuchowi Przedsprzedaży otwieraj nagrody, które stają się coraz lepsze i oferują niezrównaną wartość!
-"&amp;" System Pakietów Kart Festiwalowych: Nowy Album Kart Festiwalowych już dostępny. Dołącz do wydarzeń festiwalowych, aby zbierać ekskluzywne karty—ukończ album, by zdobyć limitowaną ramkę awatara festiwalowego, skórki marmurów, skórki elementów Wędrownej Pr"&amp;"zygody, stałe wzmocnienia i wiele więcej!")</f>
        <v>Festiwal Technologiczny zaraz się zaczyna!
- Zestaw Skórek Ratusza: Władca Pola Bitwy już dostępny! Odblokuj po zebraniu wszystkich części.
- Dziennik Technologiczny: Dołącz do Tech Tour, zbieraj komponenty dekoracji i zdobywaj hojne nagrody, w tym pamiątkowe zdjęcie!
- Skarby Festiwalu: Zabawa na Festiwalu Technologicznym już tu jest—dotknij, wrzucaj monety, wybuchaj Skrzynie Potworów i wygrywaj nagrody w postaci skórek!
- Szczęśliwy Marmur: Nowy tematyczny los marmurowy już dostępny. Zwolnij kule energii i przebijaj się przez warstwy niespodzianek! Zbieraj losowania, aby odblokować kamienie milowe z głównymi nagrodami i skórkami ratusza!
- Wędrowna Przygoda: Zbieraj Wędrowne Kości, przemieszczaj się po mapie i zdobywaj niespodziankowe nagrody!
- Projekt Deszyfracji Rdzenia: Pokonuj etapy, złam rdzeń i zgarnij limitowane dekoracje za darmo! Zaawansowane skórki ratusza i efekty marszu czekają!
- Pakiet Kolaboracyjny Marszu: Ekskluzywne emoji marszu i efektowne efekty marszu pojawiają się razem—zgarnij pakiet za jednym razem i spraw, by twoje jednostki błyszczały na mapie!
- Łańcuch Przedsprzedaży: Zabezpiecz niespodzianki świętowania wcześniej. Dzięki Łańcuchowi Przedsprzedaży otwieraj nagrody, które stają się coraz lepsze i oferują niezrównaną wartość!
- System Pakietów Kart Festiwalowych: Nowy Album Kart Festiwalowych już dostępny. Dołącz do wydarzeń festiwalowych, aby zbierać ekskluzywne karty—ukończ album, by zdobyć limitowaną ramkę awatara festiwalowego, skórki marmurów, skórki elementów Wędrownej Przygody, stałe wzmocnienia i wiele więcej!</v>
      </c>
      <c r="P78" s="148" t="str">
        <f>IFERROR(__xludf.DUMMYFUNCTION("""COMPUTED_VALUE"""),"مهرجان التقنية على وشك أن يبدأ!
- مجموعة زينة قاعة المدينة: ساحة المعركة الحاكم هنا! تفتح عند جمع جميع الأجزاء.
- يوميات التقنية: انضم إلى جولة التقنية، اجمع مكونات الزينة، واحصل على مكافآت سخية، بما في ذلك صورة تذكارية!
- اندفاع الكنز: متعة مهرجان التقني"&amp;"ة هنا—اضغط، ارمي العملات، فجّر وحوش الصندوق، واربح جوائز الزينة!
- رخامة الحظ: سحب رخامي جديد كليًا بموضوع خاص أصبح متاحًا الآن. أطلق كرات الطاقة وحطم طبقات المفاجآت! اجمع السحوبات لفتح جوائز كبرى عند الإنجازات وزينات قاعة المدينة!
- مغامرة التجوال: اجمع "&amp;"نرد التجوال، تحرك عبر الخريطة، واحصل على جوائز مفاجئة!
- مشروع فك تشفير النواة: تغلب على المراحل، فك النواة، واحصل على ديكورات محدودة مجانًا! زينات قاعة المدينة المتقدمة وتأثيرات المسيرة في انتظارك!
- حزمة تعاون المسيرة: إيموجي مسيرة حصرية وتأثيرات مسيرة "&amp;"لامعة تصل معًا—احصل على الحزمة دفعة واحدة واجعل وحداتك تتألق على الخريطة!
- سلسلة الطلب المسبق: احجز مفاجآت الاحتفال مبكرًا. مع سلسلة الطلب المسبق، افتح مكافآت متراكمة ومتزايدة القيمة لا مثيل لها!
- نظام حزمة بطاقات المهرجان: ألبوم بطاقات المهرجان الجديد "&amp;"هنا. انضم إلى فعاليات المهرجان لجمع بطاقات حصرية—أكمل الألبوم لتحصل على إطار صورة رمزية محدود للمهرجان، وزينات الرخام، وزينات قطع مغامرة التجوال، وتعزيزات دائمة، والمزيد!")</f>
        <v>مهرجان التقنية على وشك أن يبدأ!
- مجموعة زينة قاعة المدينة: ساحة المعركة الحاكم هنا! تفتح عند جمع جميع الأجزاء.
- يوميات التقنية: انضم إلى جولة التقنية، اجمع مكونات الزينة، واحصل على مكافآت سخية، بما في ذلك صورة تذكارية!
- اندفاع الكنز: متعة مهرجان التقنية هنا—اضغط، ارمي العملات، فجّر وحوش الصندوق، واربح جوائز الزينة!
- رخامة الحظ: سحب رخامي جديد كليًا بموضوع خاص أصبح متاحًا الآن. أطلق كرات الطاقة وحطم طبقات المفاجآت! اجمع السحوبات لفتح جوائز كبرى عند الإنجازات وزينات قاعة المدينة!
- مغامرة التجوال: اجمع نرد التجوال، تحرك عبر الخريطة، واحصل على جوائز مفاجئة!
- مشروع فك تشفير النواة: تغلب على المراحل، فك النواة، واحصل على ديكورات محدودة مجانًا! زينات قاعة المدينة المتقدمة وتأثيرات المسيرة في انتظارك!
- حزمة تعاون المسيرة: إيموجي مسيرة حصرية وتأثيرات مسيرة لامعة تصل معًا—احصل على الحزمة دفعة واحدة واجعل وحداتك تتألق على الخريطة!
- سلسلة الطلب المسبق: احجز مفاجآت الاحتفال مبكرًا. مع سلسلة الطلب المسبق، افتح مكافآت متراكمة ومتزايدة القيمة لا مثيل لها!
- نظام حزمة بطاقات المهرجان: ألبوم بطاقات المهرجان الجديد هنا. انضم إلى فعاليات المهرجان لجمع بطاقات حصرية—أكمل الألبوم لتحصل على إطار صورة رمزية محدود للمهرجان، وزينات الرخام، وزينات قطع مغامرة التجوال، وتعزيزات دائمة، والمزيد!</v>
      </c>
      <c r="Q78" s="148" t="str">
        <f>IFERROR(__xludf.DUMMYFUNCTION("""COMPUTED_VALUE"""),"テックフェスティバルがまもなく始まります！
- 基地スキンセット：戦場覇者が登場！全パーツを収集するとアンロックされます。
- テックジャーナル：テックツアーに参加し、装飾コンポーネントを集めて、記念写真を含む豪華報酬を獲得しましょう！
- 宝探し冒険記ラッシュ：テックフェスの楽しさがここに—タップしてコインを投げ、チェストモンスターを爆発させ、スキン報酬を手に入れよう！
- ラッキーマーブル：新テーマのマーブル抽選が登場。エナジーオーブを発射して、サプライズの層を突き破ろう！抽選回数を重ねて、マイルスト"&amp;"ーン大賞や基地スキンをアンロック！
- ローミングアドベンチャー：ローミングダイスを集めてマップを移動し、サプライズ報酬を獲得しよう！
- コア復号プロジェクト：ステージをクリアしてコアを解読し、限定装飾品を無料でゲット！上級基地スキンや行軍エフェクトも待っています！
- 行軍コラボパック：限定行軍絵文字と派手な行軍エフェクトがセットで登場—バンドルを一括で手に入れて、マップ上でユニットを輝かせよう！
- 事前注文チェーン：お祝いサプライズを早期ロック！チェーン事前注文で、積み重なるお得な報酬を開放し、最"&amp;"高の価値をゲット！
- フェスティバルカードパックシステム：新しいフェスティバルカードアルバムが登場。フェスティバルイベントに参加して限定カードを集め、アルバムを完成させると、限定フェスティバルアバターフレーム、マーブルスキン、ローミングアドベンチャーピーススキン、永久バフなどが手に入ります！")</f>
        <v>テックフェスティバルがまもなく始まります！
- 基地スキンセット：戦場覇者が登場！全パーツを収集するとアンロックされます。
- テックジャーナル：テックツアーに参加し、装飾コンポーネントを集めて、記念写真を含む豪華報酬を獲得しましょう！
- 宝探し冒険記ラッシュ：テックフェスの楽しさがここに—タップしてコインを投げ、チェストモンスターを爆発させ、スキン報酬を手に入れよう！
- ラッキーマーブル：新テーマのマーブル抽選が登場。エナジーオーブを発射して、サプライズの層を突き破ろう！抽選回数を重ねて、マイルストーン大賞や基地スキンをアンロック！
- ローミングアドベンチャー：ローミングダイスを集めてマップを移動し、サプライズ報酬を獲得しよう！
- コア復号プロジェクト：ステージをクリアしてコアを解読し、限定装飾品を無料でゲット！上級基地スキンや行軍エフェクトも待っています！
- 行軍コラボパック：限定行軍絵文字と派手な行軍エフェクトがセットで登場—バンドルを一括で手に入れて、マップ上でユニットを輝かせよう！
- 事前注文チェーン：お祝いサプライズを早期ロック！チェーン事前注文で、積み重なるお得な報酬を開放し、最高の価値をゲット！
- フェスティバルカードパックシステム：新しいフェスティバルカードアルバムが登場。フェスティバルイベントに参加して限定カードを集め、アルバムを完成させると、限定フェスティバルアバターフレーム、マーブルスキン、ローミングアドベンチャーピーススキン、永久バフなどが手に入ります！</v>
      </c>
      <c r="R78" s="148" t="str">
        <f>IFERROR(__xludf.DUMMYFUNCTION("""COMPUTED_VALUE"""),"테크 페스티벌이 곧 시작됩니다!
- 기지 스킨 세트: 전장 제왕이 등장! 모든 부품을 수집하면 잠금 해제됩니다.
- 기술 저널: 테크 투어에 가입하고, 장식 부품을 수집하여 기념 사진을 포함한 풍성한 보상을 획득하세요!
- 보물찾기 기록: 테크 축제의 재미가 시작됩니다—탭하고, 동전을 던지고, 상자 몬스터를 폭발시켜 스킨 보상을 획득하세요!
- 행운의 구슬: 완전히 새로운 테마의 구슬 뽑기가 진행 중입니다. 에너지 오브를 내려오게 하여 여러 겹의 서프라"&amp;"이즈를 돌파하세요! 뽑기를 쌓아가며 대상과 기지 스킨의 이정표 보상을 잠금 해제하세요!
- 로밍 어드벤처: 로밍 주사위를 수집하고, 지도를 이동하며, 서프라이즈 보상을 획득하세요!
- 코어 해독 프로젝트: 단계를 완료하고, 코어를 해독하여 한정된 장식을 무료로 얻으세요! 고급 기지 스킨과 행군 이펙트가 기다립니다!
- 행군 콜라보 팩: 한정 행군 이모티콘과 화려한 행군 이펙트가 함께 도착—한 번에 번들로 획득하여 지도 위에서 유닛을 빛나게 하세요!
- "&amp;"사전 주문 체인: 축제 서프라이즈를 미리 잠금하세요. 체인 사전 주문으로 쌓이고 점점 더 좋아지는 보상을 열어 최고의 가치를 누리세요!
- 페스티벌 카드 팩 시스템: 새로운 페스티벌 카드 앨범이 등장했습니다. 페스티벌 이벤트에 참여해 한정 카드를 수집하세요—앨범을 완성하면 한정 페스티벌 아바타 프레임, 구슬 스킨, 로밍 어드벤처 조각 스킨, 영구 버프 등 다양한 보상을 획득할 수 있습니다!")</f>
        <v>테크 페스티벌이 곧 시작됩니다!
- 기지 스킨 세트: 전장 제왕이 등장! 모든 부품을 수집하면 잠금 해제됩니다.
- 기술 저널: 테크 투어에 가입하고, 장식 부품을 수집하여 기념 사진을 포함한 풍성한 보상을 획득하세요!
- 보물찾기 기록: 테크 축제의 재미가 시작됩니다—탭하고, 동전을 던지고, 상자 몬스터를 폭발시켜 스킨 보상을 획득하세요!
- 행운의 구슬: 완전히 새로운 테마의 구슬 뽑기가 진행 중입니다. 에너지 오브를 내려오게 하여 여러 겹의 서프라이즈를 돌파하세요! 뽑기를 쌓아가며 대상과 기지 스킨의 이정표 보상을 잠금 해제하세요!
- 로밍 어드벤처: 로밍 주사위를 수집하고, 지도를 이동하며, 서프라이즈 보상을 획득하세요!
- 코어 해독 프로젝트: 단계를 완료하고, 코어를 해독하여 한정된 장식을 무료로 얻으세요! 고급 기지 스킨과 행군 이펙트가 기다립니다!
- 행군 콜라보 팩: 한정 행군 이모티콘과 화려한 행군 이펙트가 함께 도착—한 번에 번들로 획득하여 지도 위에서 유닛을 빛나게 하세요!
- 사전 주문 체인: 축제 서프라이즈를 미리 잠금하세요. 체인 사전 주문으로 쌓이고 점점 더 좋아지는 보상을 열어 최고의 가치를 누리세요!
- 페스티벌 카드 팩 시스템: 새로운 페스티벌 카드 앨범이 등장했습니다. 페스티벌 이벤트에 참여해 한정 카드를 수집하세요—앨범을 완성하면 한정 페스티벌 아바타 프레임, 구슬 스킨, 로밍 어드벤처 조각 스킨, 영구 버프 등 다양한 보상을 획득할 수 있습니다!</v>
      </c>
      <c r="S78" s="148" t="str">
        <f>IFERROR(__xludf.DUMMYFUNCTION("""COMPUTED_VALUE"""),"科技庆典，即将开启！
-城市外观套装：战地霸主上线！参与各节日活动可集齐多个套装组件，解锁最终形态！
-科技手札：参与科技之旅，收集科技节装饰物组件，获取丰厚奖励，更有庆典纪念照片赠送！
-夺宝总动员：科技节趣味降临，动动指尖，投掷硬币，炮轰宝箱怪，赢取套装皮肤奖励！
-幸运弹珠：全新主题弹珠抽奖开启，发射能量球，撞击层层惊喜！累计抽奖可解锁里程碑大奖，获取城市外观奖励！
-漫游奇遇：参与节日活动收集漫游骰子，在探索地图的过程中获得惊喜奖励！
-核心破译计划：解密核心，通过关卡，免费获取限定装饰！更有高级"&amp;"主城外观及行军特效等您来拿！
-行军联动礼包：专属行军表情与炫酷行军特效联动登场，一键打包购买，让你的部队成为地图上的焦点！
-连锁预购：抢先一步锁定庆典惊喜，通过连锁预购，开启层层加码的奖励，尽享极致性价比！
-节日卡包系统：新增节日卡册，参加节日活动收集专属卡片，集齐卡册，即可获取限定节日头像框及弹珠皮肤、漫游奇遇棋子外观、永久增益等奖励！")</f>
        <v>科技庆典，即将开启！
-城市外观套装：战地霸主上线！参与各节日活动可集齐多个套装组件，解锁最终形态！
-科技手札：参与科技之旅，收集科技节装饰物组件，获取丰厚奖励，更有庆典纪念照片赠送！
-夺宝总动员：科技节趣味降临，动动指尖，投掷硬币，炮轰宝箱怪，赢取套装皮肤奖励！
-幸运弹珠：全新主题弹珠抽奖开启，发射能量球，撞击层层惊喜！累计抽奖可解锁里程碑大奖，获取城市外观奖励！
-漫游奇遇：参与节日活动收集漫游骰子，在探索地图的过程中获得惊喜奖励！
-核心破译计划：解密核心，通过关卡，免费获取限定装饰！更有高级主城外观及行军特效等您来拿！
-行军联动礼包：专属行军表情与炫酷行军特效联动登场，一键打包购买，让你的部队成为地图上的焦点！
-连锁预购：抢先一步锁定庆典惊喜，通过连锁预购，开启层层加码的奖励，尽享极致性价比！
-节日卡包系统：新增节日卡册，参加节日活动收集专属卡片，集齐卡册，即可获取限定节日头像框及弹珠皮肤、漫游奇遇棋子外观、永久增益等奖励！</v>
      </c>
      <c r="T78" s="148"/>
      <c r="U78" s="148"/>
      <c r="V78" s="148"/>
      <c r="W78" s="148"/>
      <c r="X78" s="148"/>
      <c r="Y78" s="148"/>
      <c r="Z78" s="148"/>
    </row>
    <row r="79">
      <c r="A79" s="167" t="str">
        <f>IFERROR(__xludf.DUMMYFUNCTION("""COMPUTED_VALUE"""),"0.85.0")</f>
        <v>0.85.0</v>
      </c>
      <c r="B79" s="148" t="str">
        <f>IFERROR(__xludf.DUMMYFUNCTION("""COMPUTED_VALUE"""),"-斗士系统：新增超凡品质斗士“天外探索者-艾里奥特”！艾里奥特可与任意传说斗士进行同频，获取该斗士的能力。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
-科研优化：调整个人科研解锁条件。
-集卡册优化：调整卡片获取途径，优化解锁条件。
-战车优化：无畏之心号战车增加新特性，受到治疗效果后获得攻击力加成。")</f>
        <v>-斗士系统：新增超凡品质斗士“天外探索者-艾里奥特”！艾里奥特可与任意传说斗士进行同频，获取该斗士的能力。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
-科研优化：调整个人科研解锁条件。
-集卡册优化：调整卡片获取途径，优化解锁条件。
-战车优化：无畏之心号战车增加新特性，受到治疗效果后获得攻击力加成。</v>
      </c>
      <c r="C79" s="148" t="str">
        <f>IFERROR(__xludf.DUMMYFUNCTION("""COMPUTED_VALUE"""),"-Fighter System: New Super Fighter ‘Cosmic Pathfinder - Elliot’! Elliot can Sync with any Legendary Fighter to gain that Fighter’s abilities.
-Gene Quests: Planet Wars now includes Gene Fragment Quests. Complete them to claim tier rewards.
-New Fighter St"&amp;"atue: Hilda. Add more brilliance to your city!
-Colin’s Exploration: Join the event to win Radar decorations and unlock special buffs!
-Research Optimization: Adjusted unlock requirements for Personal Research.
-Card Album Optimization: Adjusted card sour"&amp;"ces and optimized unlock requirements.
-Carrier Optimization: The “Intrepid Heart” now gains a new trait—after receiving healing, it grants an attack bonus.")</f>
        <v>-Fighter System: New Super Fighter ‘Cosmic Pathfinder - Elliot’! Elliot can Sync with any Legendary Fighter to gain that Fighter’s abilities.
-Gene Quests: Planet Wars now includes Gene Fragment Quests. Complete them to claim tier rewards.
-New Fighter Statue: Hilda. Add more brilliance to your city!
-Colin’s Exploration: Join the event to win Radar decorations and unlock special buffs!
-Research Optimization: Adjusted unlock requirements for Personal Research.
-Card Album Optimization: Adjusted card sources and optimized unlock requirements.
-Carrier Optimization: The “Intrepid Heart” now gains a new trait—after receiving healing, it grants an attack bonus.</v>
      </c>
      <c r="D79" s="148" t="str">
        <f>IFERROR(__xludf.DUMMYFUNCTION("""COMPUTED_VALUE"""),"- Système de combattant : Nouveau super combattant « Éclaireur cosmique - Elliot » ! Elliot peut synchroniser avec tous les combattants légendaires pour obtenir leurs capacités.
- Quêtes de gène : Guerre planétaire inclut désormais des quêtes de fragment "&amp;"génétique. Terminez-les pour recevoir des récompenses de palier.
- Nouvelle statue du combattant : Hilda. Ajoutez plus de brillance à votre ville !
- Exploration de Colin : Rejoignez l’événement pour gagner des décorations radar et débloquer des boosts sp"&amp;"éciaux !
-Optimisation de la recherche : Conditions de déblocage ajustées pour la Recherche Perso.
-Optimisation de l’album de cartes : Sources de cartes ajustées et conditions de déblocage optimisées.
-Optimisation du transporteur : Le « Cœur intrépide »"&amp;" obtient désormais un nouveau trait : après avoir été soigné, il accorde un bonus d’attaque.")</f>
        <v>- Système de combattant : Nouveau super combattant « Éclaireur cosmique - Elliot » ! Elliot peut synchroniser avec tous les combattants légendaires pour obtenir leurs capacités.
- Quêtes de gène : Guerre planétaire inclut désormais des quêtes de fragment génétique. Terminez-les pour recevoir des récompenses de palier.
- Nouvelle statue du combattant : Hilda. Ajoutez plus de brillance à votre ville !
- Exploration de Colin : Rejoignez l’événement pour gagner des décorations radar et débloquer des boosts spéciaux !
-Optimisation de la recherche : Conditions de déblocage ajustées pour la Recherche Perso.
-Optimisation de l’album de cartes : Sources de cartes ajustées et conditions de déblocage optimisées.
-Optimisation du transporteur : Le « Cœur intrépide » obtient désormais un nouveau trait : après avoir été soigné, il accorde un bonus d’attaque.</v>
      </c>
      <c r="E79" s="148" t="str">
        <f>IFERROR(__xludf.DUMMYFUNCTION("""COMPUTED_VALUE"""),"- Kämpfer-System: Neuer Super-Kämpfer „Kosmischer Pfadfinder - Elliot“! Elliot kann sich mit jedem legendären Kämpfer synchronisieren, um dessen Fähigkeiten zu erhalten.
- Gen-Quests: Planetenkriege enthalten jetzt Gen-Fragment-Quests. Schließe sie ab, um"&amp;" Stufenbelohnungen zu beanspruchen.
- Neue Kämpfer-Statue: Hilda. Füge deiner Stadt noch mehr Glanz hinzu!
- Colins Erkundung: Nimm am Event teil, um Radar-Dekorationen zu gewinnen und spezielle Buffs freizuschalten!
- Forschungsoptimierung: Anforderungen"&amp;" zum Freischalten der Persönlichen Forschung angepasst.
- Kartenalbum-Optimierung: Kartenquellen angepasst und Anforderungen zum Freischalten optimiert.
- Träger-Optimierung: Das „Furchtloses Herz“ erhält nun eine neue Eigenschaft – nach dem Erhalt von He"&amp;"ilung verleiht es einen Angriffsbonus.")</f>
        <v>- Kämpfer-System: Neuer Super-Kämpfer „Kosmischer Pfadfinder - Elliot“! Elliot kann sich mit jedem legendären Kämpfer synchronisieren, um dessen Fähigkeiten zu erhalten.
- Gen-Quests: Planetenkriege enthalten jetzt Gen-Fragment-Quests. Schließe sie ab, um Stufenbelohnungen zu beanspruchen.
- Neue Kämpfer-Statue: Hilda. Füge deiner Stadt noch mehr Glanz hinzu!
- Colins Erkundung: Nimm am Event teil, um Radar-Dekorationen zu gewinnen und spezielle Buffs freizuschalten!
- Forschungsoptimierung: Anforderungen zum Freischalten der Persönlichen Forschung angepasst.
- Kartenalbum-Optimierung: Kartenquellen angepasst und Anforderungen zum Freischalten optimiert.
- Träger-Optimierung: Das „Furchtloses Herz“ erhält nun eine neue Eigenschaft – nach dem Erhalt von Heilung verleiht es einen Angriffsbonus.</v>
      </c>
      <c r="F79" s="148" t="str">
        <f>IFERROR(__xludf.DUMMYFUNCTION("""COMPUTED_VALUE"""),"-Sistema de Combatente: Novo Super Combatente ‘Desbravador Cósmico - Elliot’! Elliot pode sincronizar com qualquer Combatente Lendário para obter as habilidades desse Combatente.
-Missões de Genes: Guerra Interplanetária agora inclui Missões de Fragmento "&amp;"de Genes. Complete-as para resgatar recompensas de nível.
-Nova Estátua Combatente: Hilda. Adicione mais brilho à sua cidade!
-Exploração de Colin: Entre no evento para ganhar decorações de Radar e desbloquear auxílios especiais!
- Otimização de Pesquisa:"&amp;" Ajustados os requisitos de desbloqueio para Pesquisa Individual.
- Otimização do Álbum de Cartão: Ajustadas as fontes de cartão e otimizados os requisitos de desbloqueio.
- Otimização do Porta-Aviões: O “Coração Corajoso” agora ganha um novo atributo—apó"&amp;"s receber cura, concede um bônus de ataque.")</f>
        <v>-Sistema de Combatente: Novo Super Combatente ‘Desbravador Cósmico - Elliot’! Elliot pode sincronizar com qualquer Combatente Lendário para obter as habilidades desse Combatente.
-Missões de Genes: Guerra Interplanetária agora inclui Missões de Fragmento de Genes. Complete-as para resgatar recompensas de nível.
-Nova Estátua Combatente: Hilda. Adicione mais brilho à sua cidade!
-Exploração de Colin: Entre no evento para ganhar decorações de Radar e desbloquear auxílios especiais!
- Otimização de Pesquisa: Ajustados os requisitos de desbloqueio para Pesquisa Individual.
- Otimização do Álbum de Cartão: Ajustadas as fontes de cartão e otimizados os requisitos de desbloqueio.
- Otimização do Porta-Aviões: O “Coração Corajoso” agora ganha um novo atributo—após receber cura, concede um bônus de ataque.</v>
      </c>
      <c r="G79" s="148" t="str">
        <f>IFERROR(__xludf.DUMMYFUNCTION("""COMPUTED_VALUE"""),"-鬥士系統：新增超凡品質鬥士「天外探索者-艾里奧特」！艾里奧特可與任意傳說英雄進行同頻，取得該鬥士的能力。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-研究優化：調整個人研究開啟條件。
-集卡冊優化：調整卡片獲取途徑，優化開啟條件。
-戰車優化：無畏之心號戰車增加新特性，治療效果後獲得攻擊力加成。")</f>
        <v>-鬥士系統：新增超凡品質鬥士「天外探索者-艾里奧特」！艾里奧特可與任意傳說英雄進行同頻，取得該鬥士的能力。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-研究優化：調整個人研究開啟條件。
-集卡冊優化：調整卡片獲取途徑，優化開啟條件。
-戰車優化：無畏之心號戰車增加新特性，治療效果後獲得攻擊力加成。</v>
      </c>
      <c r="H79" s="148" t="str">
        <f>IFERROR(__xludf.DUMMYFUNCTION("""COMPUTED_VALUE"""),"-Sistem Pejuang: Pejuang Super Baru ‘Perintis Kosmik - Elliot’! Elliot dapat Sinkronisasi dengan Pejuang Legendaris mana pun untuk mendapatkan kemampuan Pejuang tersebut.
-Tantangan Gen: Perang Planet sekarang mencakup Tantangan Potongan Gen. Selesaikan u"&amp;"ntuk klaim hadiah tingkat.
-Patung Pejuang Baru: Hilda. Tambahkan lebih banyak kemegahan ke kota kamu!
-Eksplorasi Colin: Bergabunglah dalam event untuk memenangkan dekorasi Radar dan buka keunggulan spesial!
-Optimasi Penelitian: Persyaratan buka untuk P"&amp;"enelitian Individu telah disesuaikan.
-Optimasi Album Kartu: Sumber kartu disesuaikan dan persyaratan buka dioptimalkan.
-Optimasi Pembawa: """"Hati Pemberani"""" kini mendapatkan sifat baru—setelah menerima pemulihan, memberikan bonus serangan.")</f>
        <v>-Sistem Pejuang: Pejuang Super Baru ‘Perintis Kosmik - Elliot’! Elliot dapat Sinkronisasi dengan Pejuang Legendaris mana pun untuk mendapatkan kemampuan Pejuang tersebut.
-Tantangan Gen: Perang Planet sekarang mencakup Tantangan Potongan Gen. Selesaikan untuk klaim hadiah tingkat.
-Patung Pejuang Baru: Hilda. Tambahkan lebih banyak kemegahan ke kota kamu!
-Eksplorasi Colin: Bergabunglah dalam event untuk memenangkan dekorasi Radar dan buka keunggulan spesial!
-Optimasi Penelitian: Persyaratan buka untuk Penelitian Individu telah disesuaikan.
-Optimasi Album Kartu: Sumber kartu disesuaikan dan persyaratan buka dioptimalkan.
-Optimasi Pembawa: ""Hati Pemberani"" kini mendapatkan sifat baru—setelah menerima pemulihan, memberikan bonus serangan.</v>
      </c>
      <c r="I79" s="148" t="str">
        <f>IFERROR(__xludf.DUMMYFUNCTION("""COMPUTED_VALUE"""),"-ระบบนักสู้: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-รูปปั้นนักสู้ใ"&amp;"หม่: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
-ปรับปรุงการวิจัย: ปรับข้อกำหนดการปลดล็อกสำหรับการวิจัยส่วนบุคคล  
-ปรับปรุงอัลบั้มการ์ด: ปรับแหล่งที่มาของการ์ดและปรับข้อกำหนด"&amp;"การปลดล็อกให้เหมาะสม  
-ปรับปรุงลิงขนส่ง: """"หัวใจแห่งความกล้าหาญ"""" จะได้รับคุณสมบัติใหม่—หลังจากได้รับการรักษาแล้ว จะให้โบนัสการโจมตี")</f>
        <v>-ระบบนักสู้: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
-ปรับปรุงการวิจัย: ปรับข้อกำหนดการปลดล็อกสำหรับการวิจัยส่วนบุคคล  
-ปรับปรุงอัลบั้มการ์ด: ปรับแหล่งที่มาของการ์ดและปรับข้อกำหนดการปลดล็อกให้เหมาะสม  
-ปรับปรุงลิงขนส่ง: ""หัวใจแห่งความกล้าหาญ"" จะได้รับคุณสมบัติใหม่—หลังจากได้รับการรักษาแล้ว จะให้โบนัสการโจมตี</v>
      </c>
      <c r="J79" s="148" t="str">
        <f>IFERROR(__xludf.DUMMYFUNCTION("""COMPUTED_VALUE"""),"-Sistema de Luchador: ¡Nuevo Súper Luchador ‘Pionero Cósmico - Elliot’! Elliot puede sincronizarse con cualquier Luchador Legendario para obtener las habilidades de ese Luchador.
-Misiones de Gen: Guerras Planetarias ahora incluye Misiones de Fragmento de"&amp;" Gen. Complétalas para reclamar recompensas de nivel.
-Nueva Estatua del Luchador: Hilda. ¡Añade más brillo a tu ciudad!
-Exploración de Colin: Únete al evento para ganar decoraciones de Radar y desbloquear bonificaciones especiales.
-Optimización de Inve"&amp;"stigación: Se ajustaron los requisitos de desbloqueo para la Investigación Personal.
-Optimización del Álbum de Tarjetas: Se ajustaron las fuentes de tarjetas y se optimizaron los requisitos de desbloqueo.
-Optimización de Portador: El “Corazón Intrépido”"&amp;" ahora obtiene un nuevo rasgo—después de recibir curación, concede una bonificación de ataque.")</f>
        <v>-Sistema de Luchador: ¡Nuevo Súper Luchador ‘Pionero Cósmico - Elliot’! Elliot puede sincronizarse con cualquier Luchador Legendario para obtener las habilidades de ese Luchador.
-Misiones de Gen: Guerras Planetarias ahora incluye Misiones de Fragmento de Gen. Complétalas para reclamar recompensas de nivel.
-Nueva Estatua del Luchador: Hilda. ¡Añade más brillo a tu ciudad!
-Exploración de Colin: Únete al evento para ganar decoraciones de Radar y desbloquear bonificaciones especiales.
-Optimización de Investigación: Se ajustaron los requisitos de desbloqueo para la Investigación Personal.
-Optimización del Álbum de Tarjetas: Se ajustaron las fuentes de tarjetas y se optimizaron los requisitos de desbloqueo.
-Optimización de Portador: El “Corazón Intrépido” ahora obtiene un nuevo rasgo—después de recibir curación, concede una bonificación de ataque.</v>
      </c>
      <c r="K79" s="148" t="str">
        <f>IFERROR(__xludf.DUMMYFUNCTION("""COMPUTED_VALUE"""),"-Система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Завершайте"&amp;"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
-Оптимизация исследования: скорректированы"&amp;" требования для открытия Личного исследования.
-Оптимизация альбома карт: изменены источники карт и оптимизированы требования для открытия.
-Оптимизация авианосца: «Бесстрашное сердце» теперь получает новую особенность — после получения лечения оно дает б"&amp;"онус к атаке.")</f>
        <v>-Система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
-Оптимизация исследования: скорректированы требования для открытия Личного исследования.
-Оптимизация альбома карт: изменены источники карт и оптимизированы требования для открытия.
-Оптимизация авианосца: «Бесстрашное сердце» теперь получает новую особенность — после получения лечения оно дает бонус к атаке.</v>
      </c>
      <c r="L79" s="148" t="str">
        <f>IFERROR(__xludf.DUMMYFUNCTION("""COMPUTED_VALUE"""),"-Savaşçı Sistemi: Yeni Süper Savaşçı ‘Kozmik Yol Bulucu - Elliot’! Elliot, herhangi bir Efsanevi Savaşçı ile Senkronize olarak o Savaşçının yeteneklerini kazanabilir.
-Gen Maceraları: Gezegen Savaşları artık Gen Parçası Maceralarını içeriyor. Tamamla ve k"&amp;"ademe ödüllerini al.
-Yeni Savaşçı Heykeli: Hilda. Şehrine daha fazla parlaklık kat!
-Colin’in Keşfi: Etkinliğe katıl, Radar süslemeleri kazan ve özel güçlendiricilerin kilidini aç!
- Araştırma Optimizasyonu: Kişisel Araştırma için kilit açma gereklilikle"&amp;"ri ayarlandı.
- Kart Albümü Optimizasyonu: Kart kaynakları ayarlandı ve kilit açma gereklilikleri optimize edildi.
- Taşıyıcı Optimizasyonu: """"Cesur Yürek"""" artık yeni bir özellik kazanıyor—iyileştirildikten sonra saldırı bonusu veriyor.")</f>
        <v>-Savaşçı Sistemi: Yeni Süper Savaşçı ‘Kozmik Yol Bulucu - Elliot’! Elliot, herhangi bir Efsanevi Savaşçı ile Senkronize olarak o Savaşçının yeteneklerini kazanabilir.
-Gen Maceraları: Gezegen Savaşları artık Gen Parçası Maceralarını içeriyor. Tamamla ve kademe ödüllerini al.
-Yeni Savaşçı Heykeli: Hilda. Şehrine daha fazla parlaklık kat!
-Colin’in Keşfi: Etkinliğe katıl, Radar süslemeleri kazan ve özel güçlendiricilerin kilidini aç!
- Araştırma Optimizasyonu: Kişisel Araştırma için kilit açma gereklilikleri ayarlandı.
- Kart Albümü Optimizasyonu: Kart kaynakları ayarlandı ve kilit açma gereklilikleri optimize edildi.
- Taşıyıcı Optimizasyonu: ""Cesur Yürek"" artık yeni bir özellik kazanıyor—iyileştirildikten sonra saldırı bonusu veriyor.</v>
      </c>
      <c r="M79" s="148" t="str">
        <f>IFERROR(__xludf.DUMMYFUNCTION("""COMPUTED_VALUE"""),"-Hệ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"&amp;"nhận thưởng bậc.
-Tượng Chiến Binh Mới: Hilda. Thêm rực rỡ cho thành phố của bạn!
-Khám Phá Của Colin: Tham gia sự kiện để nhận đồ trang trí Ra-đa và mở khóa hiệu ứng có lợi đặc biệt!
-Điều Chỉnh Nghiên Cứu: Đã điều chỉnh yêu cầu mở khóa cho Nghiên Cứu Cá"&amp;" Nhân.
-Tối Ưu Album Thẻ: Đã điều chỉnh nguồn thẻ và tối ưu yêu cầu mở khóa.
-Tối Ưu Tàu Sân Bay: “Trái Tim Gan Dạ” giờ có thêm đặc tính mới—sau khi nhận trị thương, sẽ cấp thưởng tấn công.")</f>
        <v>-Hệ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nhận thưởng bậc.
-Tượng Chiến Binh Mới: Hilda. Thêm rực rỡ cho thành phố của bạn!
-Khám Phá Của Colin: Tham gia sự kiện để nhận đồ trang trí Ra-đa và mở khóa hiệu ứng có lợi đặc biệt!
-Điều Chỉnh Nghiên Cứu: Đã điều chỉnh yêu cầu mở khóa cho Nghiên Cứu Cá Nhân.
-Tối Ưu Album Thẻ: Đã điều chỉnh nguồn thẻ và tối ưu yêu cầu mở khóa.
-Tối Ưu Tàu Sân Bay: “Trái Tim Gan Dạ” giờ có thêm đặc tính mới—sau khi nhận trị thương, sẽ cấp thưởng tấn công.</v>
      </c>
      <c r="N79" s="108" t="str">
        <f>IFERROR(__xludf.DUMMYFUNCTION("""COMPUTED_VALUE"""),"-Sistema Combattente: Nuovo super combattente """"Pioniere Cosmico - Elliot""""! Elliot può sincronizzarsi con qualsiasi combattente leggendario per ottenere le sue abilità.
-Missioni Gene: Guerre Planetarie ora include Missioni Frammento di Gene. Complet"&amp;"ale per riscattare ricompense di classe.
-Nuova Statua del Combattente: Hilda. Aggiungi ancora più brillantezza alla tua città!
-Esplorazione di Colin: Partecipa all'evento per vincere decorazioni radar e sbloccare benefici speciali!
- Ottimizzazione dell"&amp;"a ricerca: regolati i requisiti di sblocco per la ricerca individ.
- Ottimizzazione album di carte: regolate le fonti delle carte e ottimizzati i requisiti di sblocco.
- Ottimizzazione portaerei: il """"Cuore intrepido"""" ora ottiene una nuova caratteris"&amp;"tica—dopo aver ricevuto guarigione, concede un bonus attacco.")</f>
        <v>-Sistema Combattente: Nuovo super combattente ""Pioniere Cosmico - Elliot""! Elliot può sincronizzarsi con qualsiasi combattente leggendario per ottenere le sue abilità.
-Missioni Gene: Guerre Planetarie ora include Missioni Frammento di Gene. Completale per riscattare ricompense di classe.
-Nuova Statua del Combattente: Hilda. Aggiungi ancora più brillantezza alla tua città!
-Esplorazione di Colin: Partecipa all'evento per vincere decorazioni radar e sbloccare benefici speciali!
- Ottimizzazione della ricerca: regolati i requisiti di sblocco per la ricerca individ.
- Ottimizzazione album di carte: regolate le fonti delle carte e ottimizzati i requisiti di sblocco.
- Ottimizzazione portaerei: il ""Cuore intrepido"" ora ottiene una nuova caratteristica—dopo aver ricevuto guarigione, concede un bonus attacco.</v>
      </c>
      <c r="O79" s="148" t="str">
        <f>IFERROR(__xludf.DUMMYFUNCTION("""COMPUTED_VALUE"""),"-System Wojowników: Nowy super wojownik „Kosmiczny Pionier - Elliot”! Elliot może synchronizować z dowolnym legendarnym wojownikiem, aby zdobyć jego umiejętności.
-Zadania Genów: Wojny Planet teraz obejmują zadania na fragmenty genów. Wykonaj je, aby odeb"&amp;"rać nagrody za poziom.
-Nowy Pomnik Wojownika: Hilda. Dodaj więcej blasku swojemu miastu!
-Ekspedycja Colina: Dołącz do wydarzenia, aby wygrać dekoracje radaru i odblokować specjalne wzmocnienia!
-Optymalizacja badań: Dostosowano wymagania odblokowania dl"&amp;"a Osobistych Badań.
-Optymalizacja albumu kart: Dostosowano źródła kart i zoptymalizowano wymagania odblokowania.
-Optymalizacja lotniskowca: „Nieustraszone Serce” zyskuje teraz nową cechę—po otrzymaniu leczenia udziela premii do ataku.")</f>
        <v>-System Wojowników: Nowy super wojownik „Kosmiczny Pionier - Elliot”! Elliot może synchronizować z dowolnym legendarnym wojownikiem, aby zdobyć jego umiejętności.
-Zadania Genów: Wojny Planet teraz obejmują zadania na fragmenty genów. Wykonaj je, aby odebrać nagrody za poziom.
-Nowy Pomnik Wojownika: Hilda. Dodaj więcej blasku swojemu miastu!
-Ekspedycja Colina: Dołącz do wydarzenia, aby wygrać dekoracje radaru i odblokować specjalne wzmocnienia!
-Optymalizacja badań: Dostosowano wymagania odblokowania dla Osobistych Badań.
-Optymalizacja albumu kart: Dostosowano źródła kart i zoptymalizowano wymagania odblokowania.
-Optymalizacja lotniskowca: „Nieustraszone Serce” zyskuje teraz nową cechę—po otrzymaniu leczenia udziela premii do ataku.</v>
      </c>
      <c r="P79" s="148" t="str">
        <f>IFERROR(__xludf.DUMMYFUNCTION("""COMPUTED_VALUE"""),"-نظام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هيلدا"&amp;". أضف المزيد من التألق إلى مدينتك!
-استكشاف كولن: انضم إلى الحدث للفوز بزينة الرادار وفتح التعزيزات الخاصة!
-تَحْسِين البَحْث: تَم تَعْدِيل المُتَطَلَّبَات لِفَتْح البَحْث الفَرْدِي.
-تَحْسِين أَلْبُوم البِطَاقَات: تَم تَعْدِيل مَصَادِر البِطَاقَات وَتَحْ"&amp;"سِين مُتَطَلَّبَات الفَتْح.
-تَحْسِين الحَامِلَة: الحَامِلَة """"قلب الباسل"""" تَحْصُل الآن على سِمَة جَدِيدَة—بَعْد تَلَقِّي العِلاج، تَمْنَح هَدِيَة هُجُوم.")</f>
        <v>-نظام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 أضف المزيد من التألق إلى مدينتك!
-استكشاف كولن: انضم إلى الحدث للفوز بزينة الرادار وفتح التعزيزات الخاصة!
-تَحْسِين البَحْث: تَم تَعْدِيل المُتَطَلَّبَات لِفَتْح البَحْث الفَرْدِي.
-تَحْسِين أَلْبُوم البِطَاقَات: تَم تَعْدِيل مَصَادِر البِطَاقَات وَتَحْسِين مُتَطَلَّبَات الفَتْح.
-تَحْسِين الحَامِلَة: الحَامِلَة ""قلب الباسل"" تَحْصُل الآن على سِمَة جَدِيدَة—بَعْد تَلَقِّي العِلاج، تَمْنَح هَدِيَة هُجُوم.</v>
      </c>
      <c r="Q79" s="148" t="str">
        <f>IFERROR(__xludf.DUMMYFUNCTION("""COMPUTED_VALUE"""),"-ファイターシステム：新しいスーパー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
-研究最適化：個人研究のアンロック要件を調整しま"&amp;"した。  
-カードアルバム最適化：カードの入手先を調整し、アンロック要件を最適化しました。  
-キャリア最適化：「勇敢な心」は新たな特性を獲得しました—治療を受けた後、攻撃ボーナスを助成します。")</f>
        <v>-ファイターシステム：新しいスーパー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
-研究最適化：個人研究のアンロック要件を調整しました。  
-カードアルバム最適化：カードの入手先を調整し、アンロック要件を最適化しました。  
-キャリア最適化：「勇敢な心」は新たな特性を獲得しました—治療を受けた後、攻撃ボーナスを助成します。</v>
      </c>
      <c r="R79" s="148" t="str">
        <f>IFERROR(__xludf.DUMMYFUNCTION("""COMPUTED_VALUE"""),"-전사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
-연구 최적화: 개인 연구의 잠금 해제 요구 사항"&amp;"이 조정되었습니다.
-카드 앨범 최적화: 카드 획득처가 조정되고 잠금 해제 요구 사항이 최적화되었습니다.
-운반선 최적화: """"용감한 마음""""이 이제 새로운 특성을 획득합니다—치료를 받은 후 공격 보너스를 부여합니다.")</f>
        <v>-전사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
-연구 최적화: 개인 연구의 잠금 해제 요구 사항이 조정되었습니다.
-카드 앨범 최적화: 카드 획득처가 조정되고 잠금 해제 요구 사항이 최적화되었습니다.
-운반선 최적화: ""용감한 마음""이 이제 새로운 특성을 획득합니다—치료를 받은 후 공격 보너스를 부여합니다.</v>
      </c>
      <c r="S79" s="148" t="str">
        <f>IFERROR(__xludf.DUMMYFUNCTION("""COMPUTED_VALUE"""),"-斗士系统：新增超凡品质斗士“天外探索者-艾里奥特”！艾里奥特可与任意传说斗士进行同频，获取该斗士的能力。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
-科研优化：调整个人科研解锁条件。
-集卡册优化：调整卡片获取途径，优化解锁条件。
-战车优化：无畏之心号战车增加新特性，受到治疗效果后获得攻击力加成。")</f>
        <v>-斗士系统：新增超凡品质斗士“天外探索者-艾里奥特”！艾里奥特可与任意传说斗士进行同频，获取该斗士的能力。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
-科研优化：调整个人科研解锁条件。
-集卡册优化：调整卡片获取途径，优化解锁条件。
-战车优化：无畏之心号战车增加新特性，受到治疗效果后获得攻击力加成。</v>
      </c>
      <c r="T79" s="148"/>
      <c r="U79" s="148"/>
      <c r="V79" s="148"/>
      <c r="W79" s="148"/>
      <c r="X79" s="148"/>
      <c r="Y79" s="148"/>
      <c r="Z79" s="148"/>
    </row>
    <row r="80">
      <c r="A80" s="167"/>
      <c r="B80" s="148"/>
      <c r="C80" s="148"/>
      <c r="D80" s="148"/>
      <c r="E80" s="148"/>
      <c r="F80" s="148"/>
      <c r="G80" s="148"/>
      <c r="H80" s="148"/>
      <c r="I80" s="148"/>
      <c r="J80" s="148"/>
      <c r="K80" s="148"/>
      <c r="L80" s="148"/>
      <c r="M80" s="148"/>
      <c r="N80" s="108"/>
      <c r="O80" s="148"/>
      <c r="P80" s="148"/>
      <c r="Q80" s="148"/>
      <c r="R80" s="148"/>
      <c r="S80" s="148"/>
      <c r="T80" s="148"/>
      <c r="U80" s="148"/>
      <c r="V80" s="148"/>
      <c r="W80" s="148"/>
      <c r="X80" s="148"/>
      <c r="Y80" s="148"/>
      <c r="Z80" s="148"/>
    </row>
    <row r="81">
      <c r="A81" s="167"/>
      <c r="B81" s="148"/>
      <c r="C81" s="148"/>
      <c r="D81" s="148"/>
      <c r="E81" s="148"/>
      <c r="F81" s="148"/>
      <c r="G81" s="148"/>
      <c r="H81" s="148"/>
      <c r="I81" s="148"/>
      <c r="J81" s="148"/>
      <c r="K81" s="148"/>
      <c r="L81" s="148"/>
      <c r="M81" s="148"/>
      <c r="N81" s="108"/>
      <c r="O81" s="148"/>
      <c r="P81" s="148"/>
      <c r="Q81" s="148"/>
      <c r="R81" s="148"/>
      <c r="S81" s="148"/>
      <c r="T81" s="148"/>
      <c r="U81" s="148"/>
      <c r="V81" s="148"/>
      <c r="W81" s="148"/>
      <c r="X81" s="148"/>
      <c r="Y81" s="148"/>
      <c r="Z81" s="148"/>
    </row>
    <row r="82">
      <c r="A82" s="167"/>
      <c r="B82" s="148"/>
      <c r="C82" s="148"/>
      <c r="D82" s="148"/>
      <c r="E82" s="148"/>
      <c r="F82" s="148"/>
      <c r="G82" s="148"/>
      <c r="H82" s="148"/>
      <c r="I82" s="148"/>
      <c r="J82" s="148"/>
      <c r="K82" s="148"/>
      <c r="L82" s="148"/>
      <c r="M82" s="148"/>
      <c r="N82" s="108"/>
      <c r="O82" s="148"/>
      <c r="P82" s="148"/>
      <c r="Q82" s="148"/>
      <c r="R82" s="148"/>
      <c r="S82" s="148"/>
      <c r="T82" s="148"/>
      <c r="U82" s="148"/>
      <c r="V82" s="148"/>
      <c r="W82" s="148"/>
      <c r="X82" s="148"/>
      <c r="Y82" s="148"/>
      <c r="Z82" s="148"/>
    </row>
    <row r="83">
      <c r="A83" s="167"/>
      <c r="B83" s="148"/>
      <c r="C83" s="148"/>
      <c r="D83" s="148"/>
      <c r="E83" s="148"/>
      <c r="F83" s="148"/>
      <c r="G83" s="148"/>
      <c r="H83" s="148"/>
      <c r="I83" s="148"/>
      <c r="J83" s="148"/>
      <c r="K83" s="148"/>
      <c r="L83" s="148"/>
      <c r="M83" s="148"/>
      <c r="N83" s="108"/>
      <c r="O83" s="148"/>
      <c r="P83" s="148"/>
      <c r="Q83" s="148"/>
      <c r="R83" s="148"/>
      <c r="S83" s="148"/>
      <c r="T83" s="148"/>
      <c r="U83" s="148"/>
      <c r="V83" s="148"/>
      <c r="W83" s="148"/>
      <c r="X83" s="148"/>
      <c r="Y83" s="148"/>
      <c r="Z83" s="148"/>
    </row>
    <row r="84">
      <c r="A84" s="167"/>
      <c r="B84" s="148"/>
      <c r="C84" s="148"/>
      <c r="D84" s="148"/>
      <c r="E84" s="148"/>
      <c r="F84" s="148"/>
      <c r="G84" s="148"/>
      <c r="H84" s="148"/>
      <c r="I84" s="148"/>
      <c r="J84" s="148"/>
      <c r="K84" s="148"/>
      <c r="L84" s="148"/>
      <c r="M84" s="148"/>
      <c r="N84" s="108"/>
      <c r="O84" s="148"/>
      <c r="P84" s="148"/>
      <c r="Q84" s="148"/>
      <c r="R84" s="148"/>
      <c r="S84" s="148"/>
      <c r="T84" s="148"/>
      <c r="U84" s="148"/>
      <c r="V84" s="148"/>
      <c r="W84" s="148"/>
      <c r="X84" s="148"/>
      <c r="Y84" s="148"/>
      <c r="Z84" s="148"/>
    </row>
    <row r="85">
      <c r="A85" s="167"/>
      <c r="B85" s="148"/>
      <c r="C85" s="148"/>
      <c r="D85" s="148"/>
      <c r="E85" s="148"/>
      <c r="F85" s="148"/>
      <c r="G85" s="148"/>
      <c r="H85" s="148"/>
      <c r="I85" s="148"/>
      <c r="J85" s="148"/>
      <c r="K85" s="148"/>
      <c r="L85" s="148"/>
      <c r="M85" s="148"/>
      <c r="N85" s="108"/>
      <c r="O85" s="148"/>
      <c r="P85" s="148"/>
      <c r="Q85" s="148"/>
      <c r="R85" s="148"/>
      <c r="S85" s="148"/>
      <c r="T85" s="148"/>
      <c r="U85" s="148"/>
      <c r="V85" s="148"/>
      <c r="W85" s="148"/>
      <c r="X85" s="148"/>
      <c r="Y85" s="148"/>
      <c r="Z85" s="148"/>
    </row>
    <row r="86">
      <c r="A86" s="167"/>
      <c r="B86" s="148"/>
      <c r="C86" s="148"/>
      <c r="D86" s="148"/>
      <c r="E86" s="148"/>
      <c r="F86" s="148"/>
      <c r="G86" s="148"/>
      <c r="H86" s="148"/>
      <c r="I86" s="148"/>
      <c r="J86" s="148"/>
      <c r="K86" s="148"/>
      <c r="L86" s="148"/>
      <c r="M86" s="148"/>
      <c r="N86" s="108"/>
      <c r="O86" s="148"/>
      <c r="P86" s="148"/>
      <c r="Q86" s="148"/>
      <c r="R86" s="148"/>
      <c r="S86" s="148"/>
      <c r="T86" s="148"/>
      <c r="U86" s="148"/>
      <c r="V86" s="148"/>
      <c r="W86" s="148"/>
      <c r="X86" s="148"/>
      <c r="Y86" s="148"/>
      <c r="Z86" s="148"/>
    </row>
    <row r="87">
      <c r="A87" s="167"/>
      <c r="B87" s="148"/>
      <c r="C87" s="148"/>
      <c r="D87" s="148"/>
      <c r="E87" s="148"/>
      <c r="F87" s="148"/>
      <c r="G87" s="148"/>
      <c r="H87" s="148"/>
      <c r="I87" s="148"/>
      <c r="J87" s="148"/>
      <c r="K87" s="148"/>
      <c r="L87" s="148"/>
      <c r="M87" s="148"/>
      <c r="N87" s="108"/>
      <c r="O87" s="148"/>
      <c r="P87" s="148"/>
      <c r="Q87" s="148"/>
      <c r="R87" s="148"/>
      <c r="S87" s="148"/>
      <c r="T87" s="148"/>
      <c r="U87" s="148"/>
      <c r="V87" s="148"/>
      <c r="W87" s="148"/>
      <c r="X87" s="148"/>
      <c r="Y87" s="148"/>
      <c r="Z87" s="148"/>
    </row>
    <row r="88">
      <c r="A88" s="167"/>
      <c r="B88" s="148"/>
      <c r="C88" s="148"/>
      <c r="D88" s="148"/>
      <c r="E88" s="148"/>
      <c r="F88" s="148"/>
      <c r="G88" s="148"/>
      <c r="H88" s="148"/>
      <c r="I88" s="148"/>
      <c r="J88" s="148"/>
      <c r="K88" s="148"/>
      <c r="L88" s="148"/>
      <c r="M88" s="148"/>
      <c r="N88" s="108"/>
      <c r="O88" s="148"/>
      <c r="P88" s="148"/>
      <c r="Q88" s="148"/>
      <c r="R88" s="148"/>
      <c r="S88" s="148"/>
      <c r="T88" s="148"/>
      <c r="U88" s="148"/>
      <c r="V88" s="148"/>
      <c r="W88" s="148"/>
      <c r="X88" s="148"/>
      <c r="Y88" s="148"/>
      <c r="Z88" s="148"/>
    </row>
    <row r="89">
      <c r="A89" s="167"/>
      <c r="B89" s="148"/>
      <c r="C89" s="148"/>
      <c r="D89" s="148"/>
      <c r="E89" s="148"/>
      <c r="F89" s="148"/>
      <c r="G89" s="148"/>
      <c r="H89" s="148"/>
      <c r="I89" s="148"/>
      <c r="J89" s="148"/>
      <c r="K89" s="148"/>
      <c r="L89" s="148"/>
      <c r="M89" s="148"/>
      <c r="N89" s="108"/>
      <c r="O89" s="148"/>
      <c r="P89" s="148"/>
      <c r="Q89" s="148"/>
      <c r="R89" s="148"/>
      <c r="S89" s="148"/>
      <c r="T89" s="148"/>
      <c r="U89" s="148"/>
      <c r="V89" s="148"/>
      <c r="W89" s="148"/>
      <c r="X89" s="148"/>
      <c r="Y89" s="148"/>
      <c r="Z89" s="148"/>
    </row>
    <row r="90">
      <c r="A90" s="167"/>
      <c r="B90" s="148"/>
      <c r="C90" s="148"/>
      <c r="D90" s="148"/>
      <c r="E90" s="148"/>
      <c r="F90" s="148"/>
      <c r="G90" s="148"/>
      <c r="H90" s="148"/>
      <c r="I90" s="148"/>
      <c r="J90" s="148"/>
      <c r="K90" s="148"/>
      <c r="L90" s="148"/>
      <c r="M90" s="148"/>
      <c r="N90" s="108"/>
      <c r="O90" s="148"/>
      <c r="P90" s="148"/>
      <c r="Q90" s="148"/>
      <c r="R90" s="148"/>
      <c r="S90" s="148"/>
      <c r="T90" s="148"/>
      <c r="U90" s="148"/>
      <c r="V90" s="148"/>
      <c r="W90" s="148"/>
      <c r="X90" s="148"/>
      <c r="Y90" s="148"/>
      <c r="Z90" s="148"/>
    </row>
    <row r="91">
      <c r="A91" s="167"/>
      <c r="B91" s="148"/>
      <c r="C91" s="148"/>
      <c r="D91" s="148"/>
      <c r="E91" s="148"/>
      <c r="F91" s="148"/>
      <c r="G91" s="148"/>
      <c r="H91" s="148"/>
      <c r="I91" s="148"/>
      <c r="J91" s="148"/>
      <c r="K91" s="148"/>
      <c r="L91" s="148"/>
      <c r="M91" s="148"/>
      <c r="N91" s="108"/>
      <c r="O91" s="148"/>
      <c r="P91" s="148"/>
      <c r="Q91" s="148"/>
      <c r="R91" s="148"/>
      <c r="S91" s="148"/>
      <c r="T91" s="148"/>
      <c r="U91" s="148"/>
      <c r="V91" s="148"/>
      <c r="W91" s="148"/>
      <c r="X91" s="148"/>
      <c r="Y91" s="148"/>
      <c r="Z91" s="148"/>
    </row>
    <row r="92">
      <c r="A92" s="167"/>
      <c r="B92" s="148"/>
      <c r="C92" s="148"/>
      <c r="D92" s="148"/>
      <c r="E92" s="148"/>
      <c r="F92" s="148"/>
      <c r="G92" s="148"/>
      <c r="H92" s="148"/>
      <c r="I92" s="148"/>
      <c r="J92" s="148"/>
      <c r="K92" s="148"/>
      <c r="L92" s="148"/>
      <c r="M92" s="148"/>
      <c r="N92" s="108"/>
      <c r="O92" s="148"/>
      <c r="P92" s="148"/>
      <c r="Q92" s="148"/>
      <c r="R92" s="148"/>
      <c r="S92" s="148"/>
      <c r="T92" s="148"/>
      <c r="U92" s="148"/>
      <c r="V92" s="148"/>
      <c r="W92" s="148"/>
      <c r="X92" s="148"/>
      <c r="Y92" s="148"/>
      <c r="Z92" s="148"/>
    </row>
    <row r="93">
      <c r="A93" s="167"/>
      <c r="B93" s="148"/>
      <c r="C93" s="148"/>
      <c r="D93" s="148"/>
      <c r="E93" s="148"/>
      <c r="F93" s="148"/>
      <c r="G93" s="148"/>
      <c r="H93" s="148"/>
      <c r="I93" s="148"/>
      <c r="J93" s="148"/>
      <c r="K93" s="148"/>
      <c r="L93" s="148"/>
      <c r="M93" s="148"/>
      <c r="N93" s="108"/>
      <c r="O93" s="148"/>
      <c r="P93" s="148"/>
      <c r="Q93" s="148"/>
      <c r="R93" s="148"/>
      <c r="S93" s="148"/>
      <c r="T93" s="148"/>
      <c r="U93" s="148"/>
      <c r="V93" s="148"/>
      <c r="W93" s="148"/>
      <c r="X93" s="148"/>
      <c r="Y93" s="148"/>
      <c r="Z93" s="148"/>
    </row>
    <row r="94">
      <c r="A94" s="167"/>
      <c r="B94" s="148"/>
      <c r="C94" s="148"/>
      <c r="D94" s="148"/>
      <c r="E94" s="148"/>
      <c r="F94" s="148"/>
      <c r="G94" s="148"/>
      <c r="H94" s="148"/>
      <c r="I94" s="148"/>
      <c r="J94" s="148"/>
      <c r="K94" s="148"/>
      <c r="L94" s="148"/>
      <c r="M94" s="148"/>
      <c r="N94" s="108"/>
      <c r="O94" s="148"/>
      <c r="P94" s="148"/>
      <c r="Q94" s="148"/>
      <c r="R94" s="148"/>
      <c r="S94" s="148"/>
      <c r="T94" s="148"/>
      <c r="U94" s="148"/>
      <c r="V94" s="148"/>
      <c r="W94" s="148"/>
      <c r="X94" s="148"/>
      <c r="Y94" s="148"/>
      <c r="Z94" s="148"/>
    </row>
    <row r="95">
      <c r="A95" s="167"/>
      <c r="B95" s="148"/>
      <c r="C95" s="148"/>
      <c r="D95" s="148"/>
      <c r="E95" s="148"/>
      <c r="F95" s="148"/>
      <c r="G95" s="148"/>
      <c r="H95" s="148"/>
      <c r="I95" s="148"/>
      <c r="J95" s="148"/>
      <c r="K95" s="148"/>
      <c r="L95" s="148"/>
      <c r="M95" s="148"/>
      <c r="N95" s="108"/>
      <c r="O95" s="148"/>
      <c r="P95" s="148"/>
      <c r="Q95" s="148"/>
      <c r="R95" s="148"/>
      <c r="S95" s="148"/>
      <c r="T95" s="148"/>
      <c r="U95" s="148"/>
      <c r="V95" s="148"/>
      <c r="W95" s="148"/>
      <c r="X95" s="148"/>
      <c r="Y95" s="148"/>
      <c r="Z95" s="148"/>
    </row>
    <row r="96">
      <c r="A96" s="167"/>
      <c r="B96" s="148"/>
      <c r="C96" s="148"/>
      <c r="D96" s="148"/>
      <c r="E96" s="148"/>
      <c r="F96" s="148"/>
      <c r="G96" s="148"/>
      <c r="H96" s="148"/>
      <c r="I96" s="148"/>
      <c r="J96" s="148"/>
      <c r="K96" s="148"/>
      <c r="L96" s="148"/>
      <c r="M96" s="148"/>
      <c r="N96" s="108"/>
      <c r="O96" s="148"/>
      <c r="P96" s="148"/>
      <c r="Q96" s="148"/>
      <c r="R96" s="148"/>
      <c r="S96" s="148"/>
      <c r="T96" s="148"/>
      <c r="U96" s="148"/>
      <c r="V96" s="148"/>
      <c r="W96" s="148"/>
      <c r="X96" s="148"/>
      <c r="Y96" s="148"/>
      <c r="Z96" s="148"/>
    </row>
    <row r="97">
      <c r="A97" s="167"/>
      <c r="B97" s="148"/>
      <c r="C97" s="148"/>
      <c r="D97" s="148"/>
      <c r="E97" s="148"/>
      <c r="F97" s="148"/>
      <c r="G97" s="148"/>
      <c r="H97" s="148"/>
      <c r="I97" s="148"/>
      <c r="J97" s="148"/>
      <c r="K97" s="148"/>
      <c r="L97" s="148"/>
      <c r="M97" s="148"/>
      <c r="N97" s="108"/>
      <c r="O97" s="148"/>
      <c r="P97" s="148"/>
      <c r="Q97" s="148"/>
      <c r="R97" s="148"/>
      <c r="S97" s="148"/>
      <c r="T97" s="148"/>
      <c r="U97" s="148"/>
      <c r="V97" s="148"/>
      <c r="W97" s="148"/>
      <c r="X97" s="148"/>
      <c r="Y97" s="148"/>
      <c r="Z97" s="148"/>
    </row>
    <row r="98">
      <c r="A98" s="167"/>
      <c r="B98" s="148"/>
      <c r="C98" s="148"/>
      <c r="D98" s="148"/>
      <c r="E98" s="148"/>
      <c r="F98" s="148"/>
      <c r="G98" s="148"/>
      <c r="H98" s="148"/>
      <c r="I98" s="148"/>
      <c r="J98" s="148"/>
      <c r="K98" s="148"/>
      <c r="L98" s="148"/>
      <c r="M98" s="148"/>
      <c r="N98" s="108"/>
      <c r="O98" s="148"/>
      <c r="P98" s="148"/>
      <c r="Q98" s="148"/>
      <c r="R98" s="148"/>
      <c r="S98" s="148"/>
      <c r="T98" s="148"/>
      <c r="U98" s="148"/>
      <c r="V98" s="148"/>
      <c r="W98" s="148"/>
      <c r="X98" s="148"/>
      <c r="Y98" s="148"/>
      <c r="Z98" s="148"/>
    </row>
    <row r="99">
      <c r="A99" s="167"/>
      <c r="B99" s="148"/>
      <c r="C99" s="148"/>
      <c r="D99" s="148"/>
      <c r="E99" s="148"/>
      <c r="F99" s="148"/>
      <c r="G99" s="148"/>
      <c r="H99" s="148"/>
      <c r="I99" s="148"/>
      <c r="J99" s="148"/>
      <c r="K99" s="148"/>
      <c r="L99" s="148"/>
      <c r="M99" s="148"/>
      <c r="N99" s="108"/>
      <c r="O99" s="148"/>
      <c r="P99" s="148"/>
      <c r="Q99" s="148"/>
      <c r="R99" s="148"/>
      <c r="S99" s="148"/>
      <c r="T99" s="148"/>
      <c r="U99" s="148"/>
      <c r="V99" s="148"/>
      <c r="W99" s="148"/>
      <c r="X99" s="148"/>
      <c r="Y99" s="148"/>
      <c r="Z99" s="148"/>
    </row>
    <row r="100">
      <c r="A100" s="167"/>
      <c r="B100" s="148"/>
      <c r="C100" s="148"/>
      <c r="D100" s="148"/>
      <c r="E100" s="148"/>
      <c r="F100" s="148"/>
      <c r="G100" s="148"/>
      <c r="H100" s="148"/>
      <c r="I100" s="148"/>
      <c r="J100" s="148"/>
      <c r="K100" s="148"/>
      <c r="L100" s="148"/>
      <c r="M100" s="148"/>
      <c r="N100" s="108"/>
      <c r="O100" s="148"/>
      <c r="P100" s="148"/>
      <c r="Q100" s="148"/>
      <c r="R100" s="148"/>
      <c r="S100" s="148"/>
      <c r="T100" s="148"/>
      <c r="U100" s="148"/>
      <c r="V100" s="148"/>
      <c r="W100" s="148"/>
      <c r="X100" s="148"/>
      <c r="Y100" s="148"/>
      <c r="Z100" s="148"/>
    </row>
    <row r="101">
      <c r="A101" s="167"/>
      <c r="N101" s="108"/>
    </row>
    <row r="102">
      <c r="A102" s="167"/>
      <c r="N102" s="108"/>
    </row>
    <row r="103">
      <c r="A103" s="167"/>
      <c r="N103" s="108"/>
    </row>
    <row r="104">
      <c r="A104" s="167"/>
      <c r="N104" s="108"/>
    </row>
    <row r="105">
      <c r="A105" s="167"/>
      <c r="N105" s="108"/>
    </row>
    <row r="106">
      <c r="A106" s="167"/>
      <c r="N106" s="108"/>
    </row>
    <row r="107">
      <c r="A107" s="167"/>
      <c r="N107" s="108"/>
    </row>
    <row r="108">
      <c r="A108" s="167"/>
      <c r="N108" s="108"/>
    </row>
    <row r="109">
      <c r="A109" s="167"/>
      <c r="N109" s="108"/>
    </row>
    <row r="110">
      <c r="A110" s="167"/>
      <c r="N110" s="108"/>
    </row>
    <row r="111">
      <c r="A111" s="167"/>
      <c r="N111" s="108"/>
    </row>
    <row r="112">
      <c r="A112" s="167"/>
      <c r="N112" s="108"/>
    </row>
    <row r="113">
      <c r="A113" s="167"/>
      <c r="N113" s="108"/>
    </row>
    <row r="114">
      <c r="A114" s="167"/>
      <c r="N114" s="108"/>
    </row>
    <row r="115">
      <c r="A115" s="167"/>
      <c r="N115" s="108"/>
    </row>
    <row r="116">
      <c r="A116" s="167"/>
      <c r="N116" s="108"/>
    </row>
    <row r="117">
      <c r="A117" s="167"/>
      <c r="N117" s="108"/>
    </row>
    <row r="118">
      <c r="A118" s="167"/>
      <c r="N118" s="108"/>
    </row>
    <row r="119">
      <c r="A119" s="167"/>
      <c r="N119" s="108"/>
    </row>
    <row r="120">
      <c r="A120" s="167"/>
      <c r="N120" s="108"/>
    </row>
    <row r="121">
      <c r="A121" s="167"/>
      <c r="N121" s="108"/>
    </row>
    <row r="122">
      <c r="A122" s="167"/>
      <c r="N122" s="108"/>
    </row>
    <row r="123">
      <c r="A123" s="167"/>
      <c r="N123" s="108"/>
    </row>
    <row r="124">
      <c r="A124" s="167"/>
      <c r="N124" s="108"/>
    </row>
    <row r="125">
      <c r="A125" s="167"/>
      <c r="N125" s="108"/>
    </row>
    <row r="126">
      <c r="A126" s="167"/>
      <c r="N126" s="108"/>
    </row>
    <row r="127">
      <c r="A127" s="167"/>
      <c r="N127" s="108"/>
    </row>
    <row r="128">
      <c r="A128" s="167"/>
      <c r="N128" s="108"/>
    </row>
    <row r="129">
      <c r="A129" s="167"/>
      <c r="N129" s="108"/>
    </row>
    <row r="130">
      <c r="A130" s="167"/>
      <c r="N130" s="108"/>
    </row>
    <row r="131">
      <c r="A131" s="167"/>
      <c r="N131" s="108"/>
    </row>
    <row r="132">
      <c r="A132" s="167"/>
      <c r="N132" s="108"/>
    </row>
    <row r="133">
      <c r="A133" s="167"/>
      <c r="N133" s="108"/>
    </row>
    <row r="134">
      <c r="A134" s="167"/>
      <c r="N134" s="108"/>
    </row>
    <row r="135">
      <c r="A135" s="167"/>
      <c r="N135" s="108"/>
    </row>
    <row r="136">
      <c r="A136" s="167"/>
      <c r="N136" s="108"/>
    </row>
    <row r="137">
      <c r="A137" s="167"/>
      <c r="N137" s="108"/>
    </row>
    <row r="138">
      <c r="A138" s="167"/>
      <c r="N138" s="108"/>
    </row>
    <row r="139">
      <c r="A139" s="167"/>
      <c r="N139" s="108"/>
    </row>
    <row r="140">
      <c r="A140" s="167"/>
      <c r="N140" s="108"/>
    </row>
    <row r="141">
      <c r="A141" s="167"/>
      <c r="N141" s="108"/>
    </row>
    <row r="142">
      <c r="A142" s="167"/>
      <c r="N142" s="108"/>
    </row>
    <row r="143">
      <c r="A143" s="167"/>
      <c r="N143" s="108"/>
    </row>
    <row r="144">
      <c r="A144" s="167"/>
      <c r="N144" s="108"/>
    </row>
    <row r="145">
      <c r="A145" s="167"/>
      <c r="N145" s="108"/>
    </row>
    <row r="146">
      <c r="A146" s="167"/>
      <c r="N146" s="108"/>
    </row>
    <row r="147">
      <c r="A147" s="167"/>
      <c r="N147" s="108"/>
    </row>
    <row r="148">
      <c r="A148" s="167"/>
      <c r="N148" s="108"/>
    </row>
    <row r="149">
      <c r="A149" s="167"/>
      <c r="N149" s="108"/>
    </row>
    <row r="150">
      <c r="A150" s="167"/>
      <c r="N150" s="108"/>
    </row>
    <row r="151">
      <c r="A151" s="167"/>
      <c r="N151" s="108"/>
    </row>
    <row r="152">
      <c r="A152" s="167"/>
      <c r="N152" s="108"/>
    </row>
    <row r="153">
      <c r="A153" s="167"/>
      <c r="N153" s="108"/>
    </row>
    <row r="154">
      <c r="A154" s="167"/>
      <c r="N154" s="108"/>
    </row>
    <row r="155">
      <c r="A155" s="167"/>
      <c r="N155" s="108"/>
    </row>
    <row r="156">
      <c r="A156" s="167"/>
      <c r="N156" s="108"/>
    </row>
    <row r="157">
      <c r="A157" s="167"/>
      <c r="N157" s="108"/>
    </row>
    <row r="158">
      <c r="A158" s="167"/>
      <c r="N158" s="108"/>
    </row>
    <row r="159">
      <c r="A159" s="167"/>
      <c r="N159" s="108"/>
    </row>
    <row r="160">
      <c r="A160" s="167"/>
      <c r="N160" s="108"/>
    </row>
    <row r="161">
      <c r="A161" s="167"/>
      <c r="N161" s="108"/>
    </row>
    <row r="162">
      <c r="A162" s="167"/>
      <c r="N162" s="108"/>
    </row>
    <row r="163">
      <c r="A163" s="167"/>
      <c r="N163" s="108"/>
    </row>
    <row r="164">
      <c r="A164" s="167"/>
      <c r="N164" s="108"/>
    </row>
    <row r="165">
      <c r="A165" s="167"/>
      <c r="N165" s="108"/>
    </row>
    <row r="166">
      <c r="A166" s="167"/>
      <c r="N166" s="108"/>
    </row>
    <row r="167">
      <c r="A167" s="167"/>
      <c r="N167" s="108"/>
    </row>
    <row r="168">
      <c r="A168" s="167"/>
      <c r="N168" s="108"/>
    </row>
    <row r="169">
      <c r="A169" s="167"/>
      <c r="N169" s="108"/>
    </row>
    <row r="170">
      <c r="A170" s="167"/>
      <c r="N170" s="108"/>
    </row>
    <row r="171">
      <c r="A171" s="167"/>
      <c r="N171" s="108"/>
    </row>
    <row r="172">
      <c r="A172" s="167"/>
      <c r="N172" s="108"/>
    </row>
    <row r="173">
      <c r="A173" s="167"/>
      <c r="N173" s="108"/>
    </row>
    <row r="174">
      <c r="A174" s="167"/>
      <c r="N174" s="108"/>
    </row>
    <row r="175">
      <c r="A175" s="167"/>
      <c r="N175" s="108"/>
    </row>
    <row r="176">
      <c r="A176" s="167"/>
      <c r="N176" s="108"/>
    </row>
    <row r="177">
      <c r="A177" s="167"/>
      <c r="N177" s="108"/>
    </row>
    <row r="178">
      <c r="A178" s="167"/>
      <c r="N178" s="108"/>
    </row>
    <row r="179">
      <c r="A179" s="167"/>
      <c r="N179" s="108"/>
    </row>
    <row r="180">
      <c r="A180" s="167"/>
      <c r="N180" s="108"/>
    </row>
    <row r="181">
      <c r="A181" s="167"/>
      <c r="N181" s="108"/>
    </row>
    <row r="182">
      <c r="A182" s="167"/>
      <c r="N182" s="108"/>
    </row>
    <row r="183">
      <c r="A183" s="167"/>
      <c r="N183" s="108"/>
    </row>
    <row r="184">
      <c r="A184" s="167"/>
      <c r="N184" s="108"/>
    </row>
    <row r="185">
      <c r="A185" s="167"/>
      <c r="N185" s="108"/>
    </row>
    <row r="186">
      <c r="A186" s="167"/>
      <c r="N186" s="108"/>
    </row>
    <row r="187">
      <c r="A187" s="167"/>
      <c r="N187" s="108"/>
    </row>
    <row r="188">
      <c r="A188" s="167"/>
      <c r="N188" s="108"/>
    </row>
    <row r="189">
      <c r="A189" s="167"/>
      <c r="N189" s="108"/>
    </row>
    <row r="190">
      <c r="A190" s="167"/>
      <c r="N190" s="108"/>
    </row>
    <row r="191">
      <c r="A191" s="167"/>
      <c r="N191" s="108"/>
    </row>
    <row r="192">
      <c r="A192" s="167"/>
      <c r="N192" s="108"/>
    </row>
    <row r="193">
      <c r="A193" s="167"/>
      <c r="N193" s="108"/>
    </row>
    <row r="194">
      <c r="A194" s="167"/>
      <c r="N194" s="108"/>
    </row>
    <row r="195">
      <c r="A195" s="167"/>
      <c r="N195" s="108"/>
    </row>
    <row r="196">
      <c r="A196" s="167"/>
      <c r="N196" s="108"/>
    </row>
    <row r="197">
      <c r="A197" s="167"/>
      <c r="N197" s="108"/>
    </row>
    <row r="198">
      <c r="A198" s="167"/>
      <c r="N198" s="108"/>
    </row>
    <row r="199">
      <c r="A199" s="167"/>
      <c r="N199" s="108"/>
    </row>
    <row r="200">
      <c r="A200" s="167"/>
      <c r="N200" s="108"/>
    </row>
    <row r="201">
      <c r="A201" s="167"/>
      <c r="N201" s="108"/>
    </row>
    <row r="202">
      <c r="A202" s="167"/>
      <c r="N202" s="108"/>
    </row>
    <row r="203">
      <c r="A203" s="167"/>
      <c r="N203" s="108"/>
    </row>
    <row r="204">
      <c r="A204" s="167"/>
      <c r="N204" s="108"/>
    </row>
    <row r="205">
      <c r="A205" s="167"/>
      <c r="N205" s="108"/>
    </row>
    <row r="206">
      <c r="A206" s="167"/>
      <c r="N206" s="108"/>
    </row>
    <row r="207">
      <c r="A207" s="167"/>
      <c r="N207" s="108"/>
    </row>
    <row r="208">
      <c r="A208" s="167"/>
      <c r="N208" s="108"/>
    </row>
    <row r="209">
      <c r="A209" s="167"/>
      <c r="N209" s="108"/>
    </row>
    <row r="210">
      <c r="A210" s="167"/>
      <c r="N210" s="108"/>
    </row>
    <row r="211">
      <c r="A211" s="167"/>
      <c r="N211" s="108"/>
    </row>
    <row r="212">
      <c r="A212" s="167"/>
      <c r="N212" s="108"/>
    </row>
    <row r="213">
      <c r="A213" s="167"/>
      <c r="N213" s="108"/>
    </row>
    <row r="214">
      <c r="A214" s="167"/>
      <c r="N214" s="108"/>
    </row>
    <row r="215">
      <c r="A215" s="167"/>
      <c r="N215" s="108"/>
    </row>
    <row r="216">
      <c r="A216" s="167"/>
      <c r="N216" s="108"/>
    </row>
    <row r="217">
      <c r="A217" s="167"/>
      <c r="N217" s="108"/>
    </row>
    <row r="218">
      <c r="A218" s="167"/>
      <c r="N218" s="108"/>
    </row>
    <row r="219">
      <c r="A219" s="167"/>
      <c r="N219" s="108"/>
    </row>
    <row r="220">
      <c r="A220" s="167"/>
      <c r="N220" s="108"/>
    </row>
    <row r="221">
      <c r="A221" s="167"/>
      <c r="N221" s="108"/>
    </row>
    <row r="222">
      <c r="A222" s="167"/>
      <c r="N222" s="108"/>
    </row>
    <row r="223">
      <c r="A223" s="167"/>
      <c r="N223" s="108"/>
    </row>
    <row r="224">
      <c r="A224" s="167"/>
      <c r="N224" s="108"/>
    </row>
    <row r="225">
      <c r="A225" s="167"/>
      <c r="N225" s="108"/>
    </row>
    <row r="226">
      <c r="A226" s="167"/>
      <c r="N226" s="108"/>
    </row>
    <row r="227">
      <c r="A227" s="167"/>
      <c r="N227" s="108"/>
    </row>
    <row r="228">
      <c r="A228" s="167"/>
      <c r="N228" s="108"/>
    </row>
    <row r="229">
      <c r="A229" s="167"/>
      <c r="N229" s="108"/>
    </row>
    <row r="230">
      <c r="A230" s="167"/>
      <c r="N230" s="108"/>
    </row>
    <row r="231">
      <c r="A231" s="167"/>
      <c r="N231" s="108"/>
    </row>
    <row r="232">
      <c r="A232" s="167"/>
      <c r="N232" s="108"/>
    </row>
    <row r="233">
      <c r="A233" s="167"/>
      <c r="N233" s="108"/>
    </row>
    <row r="234">
      <c r="A234" s="167"/>
      <c r="N234" s="108"/>
    </row>
    <row r="235">
      <c r="A235" s="167"/>
      <c r="N235" s="108"/>
    </row>
    <row r="236">
      <c r="A236" s="167"/>
      <c r="N236" s="108"/>
    </row>
    <row r="237">
      <c r="A237" s="167"/>
      <c r="N237" s="108"/>
    </row>
    <row r="238">
      <c r="A238" s="167"/>
      <c r="N238" s="108"/>
    </row>
    <row r="239">
      <c r="A239" s="167"/>
      <c r="N239" s="108"/>
    </row>
    <row r="240">
      <c r="A240" s="167"/>
      <c r="N240" s="108"/>
    </row>
    <row r="241">
      <c r="A241" s="167"/>
      <c r="N241" s="108"/>
    </row>
    <row r="242">
      <c r="A242" s="167"/>
      <c r="N242" s="108"/>
    </row>
    <row r="243">
      <c r="A243" s="167"/>
      <c r="N243" s="108"/>
    </row>
    <row r="244">
      <c r="A244" s="167"/>
      <c r="N244" s="108"/>
    </row>
    <row r="245">
      <c r="A245" s="167"/>
      <c r="N245" s="108"/>
    </row>
    <row r="246">
      <c r="A246" s="167"/>
      <c r="N246" s="108"/>
    </row>
    <row r="247">
      <c r="A247" s="167"/>
      <c r="N247" s="108"/>
    </row>
    <row r="248">
      <c r="A248" s="167"/>
      <c r="N248" s="108"/>
    </row>
    <row r="249">
      <c r="A249" s="167"/>
      <c r="N249" s="108"/>
    </row>
    <row r="250">
      <c r="A250" s="167"/>
      <c r="N250" s="108"/>
    </row>
    <row r="251">
      <c r="A251" s="167"/>
      <c r="N251" s="108"/>
    </row>
    <row r="252">
      <c r="A252" s="167"/>
      <c r="N252" s="108"/>
    </row>
    <row r="253">
      <c r="A253" s="167"/>
      <c r="N253" s="108"/>
    </row>
    <row r="254">
      <c r="A254" s="167"/>
      <c r="N254" s="108"/>
    </row>
    <row r="255">
      <c r="A255" s="167"/>
      <c r="N255" s="108"/>
    </row>
    <row r="256">
      <c r="A256" s="167"/>
      <c r="N256" s="108"/>
    </row>
    <row r="257">
      <c r="A257" s="167"/>
      <c r="N257" s="108"/>
    </row>
    <row r="258">
      <c r="A258" s="167"/>
      <c r="N258" s="108"/>
    </row>
    <row r="259">
      <c r="A259" s="167"/>
      <c r="N259" s="108"/>
    </row>
    <row r="260">
      <c r="A260" s="167"/>
      <c r="N260" s="108"/>
    </row>
    <row r="261">
      <c r="A261" s="167"/>
      <c r="N261" s="108"/>
    </row>
    <row r="262">
      <c r="A262" s="167"/>
      <c r="N262" s="108"/>
    </row>
    <row r="263">
      <c r="A263" s="167"/>
      <c r="N263" s="108"/>
    </row>
    <row r="264">
      <c r="A264" s="167"/>
      <c r="N264" s="108"/>
    </row>
    <row r="265">
      <c r="A265" s="167"/>
      <c r="N265" s="108"/>
    </row>
    <row r="266">
      <c r="A266" s="167"/>
      <c r="N266" s="108"/>
    </row>
    <row r="267">
      <c r="A267" s="167"/>
      <c r="N267" s="108"/>
    </row>
    <row r="268">
      <c r="A268" s="167"/>
      <c r="N268" s="108"/>
    </row>
    <row r="269">
      <c r="A269" s="167"/>
      <c r="N269" s="108"/>
    </row>
    <row r="270">
      <c r="A270" s="167"/>
      <c r="N270" s="108"/>
    </row>
    <row r="271">
      <c r="A271" s="167"/>
      <c r="N271" s="108"/>
    </row>
    <row r="272">
      <c r="A272" s="167"/>
      <c r="N272" s="108"/>
    </row>
    <row r="273">
      <c r="A273" s="167"/>
      <c r="N273" s="108"/>
    </row>
    <row r="274">
      <c r="A274" s="167"/>
      <c r="N274" s="108"/>
    </row>
    <row r="275">
      <c r="A275" s="167"/>
      <c r="N275" s="108"/>
    </row>
    <row r="276">
      <c r="A276" s="167"/>
      <c r="N276" s="108"/>
    </row>
    <row r="277">
      <c r="A277" s="167"/>
      <c r="N277" s="108"/>
    </row>
    <row r="278">
      <c r="A278" s="167"/>
      <c r="N278" s="108"/>
    </row>
    <row r="279">
      <c r="A279" s="167"/>
      <c r="N279" s="108"/>
    </row>
    <row r="280">
      <c r="A280" s="167"/>
      <c r="N280" s="108"/>
    </row>
    <row r="281">
      <c r="A281" s="167"/>
      <c r="N281" s="108"/>
    </row>
    <row r="282">
      <c r="A282" s="167"/>
      <c r="N282" s="108"/>
    </row>
    <row r="283">
      <c r="A283" s="167"/>
      <c r="N283" s="108"/>
    </row>
    <row r="284">
      <c r="A284" s="167"/>
      <c r="N284" s="108"/>
    </row>
    <row r="285">
      <c r="A285" s="167"/>
      <c r="N285" s="108"/>
    </row>
    <row r="286">
      <c r="A286" s="167"/>
      <c r="N286" s="108"/>
    </row>
    <row r="287">
      <c r="A287" s="167"/>
      <c r="N287" s="108"/>
    </row>
    <row r="288">
      <c r="A288" s="167"/>
      <c r="N288" s="108"/>
    </row>
    <row r="289">
      <c r="A289" s="167"/>
      <c r="N289" s="108"/>
    </row>
    <row r="290">
      <c r="A290" s="167"/>
      <c r="N290" s="108"/>
    </row>
    <row r="291">
      <c r="A291" s="167"/>
      <c r="N291" s="108"/>
    </row>
    <row r="292">
      <c r="A292" s="167"/>
      <c r="N292" s="108"/>
    </row>
    <row r="293">
      <c r="A293" s="167"/>
      <c r="N293" s="108"/>
    </row>
    <row r="294">
      <c r="A294" s="167"/>
      <c r="N294" s="108"/>
    </row>
    <row r="295">
      <c r="A295" s="167"/>
      <c r="N295" s="108"/>
    </row>
    <row r="296">
      <c r="A296" s="167"/>
      <c r="N296" s="108"/>
    </row>
    <row r="297">
      <c r="A297" s="167"/>
      <c r="N297" s="108"/>
    </row>
    <row r="298">
      <c r="A298" s="167"/>
      <c r="N298" s="108"/>
    </row>
    <row r="299">
      <c r="A299" s="167"/>
      <c r="N299" s="108"/>
    </row>
    <row r="300">
      <c r="A300" s="167"/>
      <c r="N300" s="108"/>
    </row>
    <row r="301">
      <c r="A301" s="167"/>
      <c r="N301" s="108"/>
    </row>
    <row r="302">
      <c r="A302" s="167"/>
      <c r="N302" s="108"/>
    </row>
    <row r="303">
      <c r="A303" s="167"/>
      <c r="N303" s="108"/>
    </row>
    <row r="304">
      <c r="A304" s="167"/>
      <c r="N304" s="108"/>
    </row>
    <row r="305">
      <c r="A305" s="167"/>
      <c r="N305" s="108"/>
    </row>
    <row r="306">
      <c r="A306" s="167"/>
      <c r="N306" s="108"/>
    </row>
    <row r="307">
      <c r="A307" s="167"/>
      <c r="N307" s="108"/>
    </row>
    <row r="308">
      <c r="A308" s="167"/>
      <c r="N308" s="108"/>
    </row>
    <row r="309">
      <c r="A309" s="167"/>
      <c r="N309" s="108"/>
    </row>
    <row r="310">
      <c r="A310" s="167"/>
      <c r="N310" s="108"/>
    </row>
    <row r="311">
      <c r="A311" s="167"/>
      <c r="N311" s="108"/>
    </row>
    <row r="312">
      <c r="A312" s="167"/>
      <c r="N312" s="108"/>
    </row>
    <row r="313">
      <c r="A313" s="167"/>
      <c r="N313" s="108"/>
    </row>
    <row r="314">
      <c r="A314" s="167"/>
      <c r="N314" s="108"/>
    </row>
    <row r="315">
      <c r="A315" s="167"/>
      <c r="N315" s="108"/>
    </row>
    <row r="316">
      <c r="A316" s="167"/>
      <c r="N316" s="108"/>
    </row>
    <row r="317">
      <c r="A317" s="167"/>
      <c r="N317" s="108"/>
    </row>
    <row r="318">
      <c r="A318" s="167"/>
      <c r="N318" s="108"/>
    </row>
    <row r="319">
      <c r="A319" s="167"/>
      <c r="N319" s="108"/>
    </row>
    <row r="320">
      <c r="A320" s="167"/>
      <c r="N320" s="108"/>
    </row>
    <row r="321">
      <c r="A321" s="167"/>
      <c r="N321" s="108"/>
    </row>
    <row r="322">
      <c r="A322" s="167"/>
      <c r="N322" s="108"/>
    </row>
    <row r="323">
      <c r="A323" s="167"/>
      <c r="N323" s="108"/>
    </row>
    <row r="324">
      <c r="A324" s="167"/>
      <c r="N324" s="108"/>
    </row>
    <row r="325">
      <c r="A325" s="167"/>
      <c r="N325" s="108"/>
    </row>
    <row r="326">
      <c r="A326" s="167"/>
      <c r="N326" s="108"/>
    </row>
    <row r="327">
      <c r="A327" s="167"/>
      <c r="N327" s="108"/>
    </row>
    <row r="328">
      <c r="A328" s="167"/>
      <c r="N328" s="108"/>
    </row>
    <row r="329">
      <c r="A329" s="167"/>
      <c r="N329" s="108"/>
    </row>
    <row r="330">
      <c r="A330" s="167"/>
      <c r="N330" s="108"/>
    </row>
    <row r="331">
      <c r="A331" s="167"/>
      <c r="N331" s="108"/>
    </row>
    <row r="332">
      <c r="A332" s="167"/>
      <c r="N332" s="108"/>
    </row>
    <row r="333">
      <c r="A333" s="167"/>
      <c r="N333" s="108"/>
    </row>
    <row r="334">
      <c r="A334" s="167"/>
      <c r="N334" s="108"/>
    </row>
    <row r="335">
      <c r="A335" s="167"/>
      <c r="N335" s="108"/>
    </row>
    <row r="336">
      <c r="A336" s="167"/>
      <c r="N336" s="108"/>
    </row>
    <row r="337">
      <c r="A337" s="167"/>
      <c r="N337" s="108"/>
    </row>
    <row r="338">
      <c r="A338" s="167"/>
      <c r="N338" s="108"/>
    </row>
    <row r="339">
      <c r="A339" s="167"/>
      <c r="N339" s="108"/>
    </row>
    <row r="340">
      <c r="A340" s="167"/>
      <c r="N340" s="108"/>
    </row>
    <row r="341">
      <c r="A341" s="167"/>
      <c r="N341" s="108"/>
    </row>
    <row r="342">
      <c r="A342" s="167"/>
      <c r="N342" s="108"/>
    </row>
    <row r="343">
      <c r="A343" s="167"/>
      <c r="N343" s="108"/>
    </row>
    <row r="344">
      <c r="A344" s="167"/>
      <c r="N344" s="108"/>
    </row>
    <row r="345">
      <c r="A345" s="167"/>
      <c r="N345" s="108"/>
    </row>
    <row r="346">
      <c r="A346" s="167"/>
      <c r="N346" s="108"/>
    </row>
    <row r="347">
      <c r="A347" s="167"/>
      <c r="N347" s="108"/>
    </row>
    <row r="348">
      <c r="A348" s="167"/>
      <c r="N348" s="108"/>
    </row>
    <row r="349">
      <c r="A349" s="167"/>
      <c r="N349" s="108"/>
    </row>
    <row r="350">
      <c r="A350" s="167"/>
      <c r="N350" s="108"/>
    </row>
    <row r="351">
      <c r="A351" s="167"/>
      <c r="N351" s="108"/>
    </row>
    <row r="352">
      <c r="A352" s="167"/>
      <c r="N352" s="108"/>
    </row>
    <row r="353">
      <c r="A353" s="167"/>
      <c r="N353" s="108"/>
    </row>
    <row r="354">
      <c r="A354" s="167"/>
      <c r="N354" s="108"/>
    </row>
    <row r="355">
      <c r="A355" s="167"/>
      <c r="N355" s="108"/>
    </row>
    <row r="356">
      <c r="A356" s="167"/>
      <c r="N356" s="108"/>
    </row>
    <row r="357">
      <c r="A357" s="167"/>
      <c r="N357" s="108"/>
    </row>
    <row r="358">
      <c r="A358" s="167"/>
      <c r="N358" s="108"/>
    </row>
    <row r="359">
      <c r="A359" s="167"/>
      <c r="N359" s="108"/>
    </row>
    <row r="360">
      <c r="A360" s="167"/>
      <c r="N360" s="108"/>
    </row>
    <row r="361">
      <c r="A361" s="167"/>
      <c r="N361" s="108"/>
    </row>
    <row r="362">
      <c r="A362" s="167"/>
      <c r="N362" s="108"/>
    </row>
    <row r="363">
      <c r="A363" s="167"/>
      <c r="N363" s="108"/>
    </row>
    <row r="364">
      <c r="A364" s="167"/>
      <c r="N364" s="108"/>
    </row>
    <row r="365">
      <c r="A365" s="167"/>
      <c r="N365" s="108"/>
    </row>
    <row r="366">
      <c r="A366" s="167"/>
      <c r="N366" s="108"/>
    </row>
    <row r="367">
      <c r="A367" s="167"/>
      <c r="N367" s="108"/>
    </row>
    <row r="368">
      <c r="A368" s="167"/>
      <c r="N368" s="108"/>
    </row>
    <row r="369">
      <c r="A369" s="167"/>
      <c r="N369" s="108"/>
    </row>
    <row r="370">
      <c r="A370" s="167"/>
      <c r="N370" s="108"/>
    </row>
    <row r="371">
      <c r="A371" s="167"/>
      <c r="N371" s="108"/>
    </row>
    <row r="372">
      <c r="A372" s="167"/>
      <c r="N372" s="108"/>
    </row>
    <row r="373">
      <c r="A373" s="167"/>
      <c r="N373" s="108"/>
    </row>
    <row r="374">
      <c r="A374" s="167"/>
      <c r="N374" s="108"/>
    </row>
    <row r="375">
      <c r="A375" s="167"/>
      <c r="N375" s="108"/>
    </row>
    <row r="376">
      <c r="A376" s="167"/>
      <c r="N376" s="108"/>
    </row>
    <row r="377">
      <c r="A377" s="167"/>
      <c r="N377" s="108"/>
    </row>
    <row r="378">
      <c r="A378" s="167"/>
      <c r="N378" s="108"/>
    </row>
    <row r="379">
      <c r="A379" s="167"/>
      <c r="N379" s="108"/>
    </row>
    <row r="380">
      <c r="A380" s="167"/>
      <c r="N380" s="108"/>
    </row>
    <row r="381">
      <c r="A381" s="167"/>
      <c r="N381" s="108"/>
    </row>
    <row r="382">
      <c r="A382" s="167"/>
      <c r="N382" s="108"/>
    </row>
    <row r="383">
      <c r="A383" s="167"/>
      <c r="N383" s="108"/>
    </row>
    <row r="384">
      <c r="A384" s="167"/>
      <c r="N384" s="108"/>
    </row>
    <row r="385">
      <c r="A385" s="167"/>
      <c r="N385" s="108"/>
    </row>
    <row r="386">
      <c r="A386" s="167"/>
      <c r="N386" s="108"/>
    </row>
    <row r="387">
      <c r="A387" s="167"/>
      <c r="N387" s="108"/>
    </row>
    <row r="388">
      <c r="A388" s="167"/>
      <c r="N388" s="108"/>
    </row>
    <row r="389">
      <c r="A389" s="167"/>
      <c r="N389" s="108"/>
    </row>
    <row r="390">
      <c r="A390" s="167"/>
      <c r="N390" s="108"/>
    </row>
    <row r="391">
      <c r="A391" s="167"/>
      <c r="N391" s="108"/>
    </row>
    <row r="392">
      <c r="A392" s="167"/>
      <c r="N392" s="108"/>
    </row>
    <row r="393">
      <c r="A393" s="167"/>
      <c r="N393" s="108"/>
    </row>
    <row r="394">
      <c r="A394" s="167"/>
      <c r="N394" s="108"/>
    </row>
    <row r="395">
      <c r="A395" s="167"/>
      <c r="N395" s="108"/>
    </row>
    <row r="396">
      <c r="A396" s="167"/>
      <c r="N396" s="108"/>
    </row>
    <row r="397">
      <c r="A397" s="167"/>
      <c r="N397" s="108"/>
    </row>
    <row r="398">
      <c r="A398" s="167"/>
      <c r="N398" s="108"/>
    </row>
    <row r="399">
      <c r="A399" s="167"/>
      <c r="N399" s="108"/>
    </row>
    <row r="400">
      <c r="A400" s="167"/>
      <c r="N400" s="108"/>
    </row>
    <row r="401">
      <c r="A401" s="167"/>
      <c r="N401" s="108"/>
    </row>
    <row r="402">
      <c r="A402" s="167"/>
      <c r="N402" s="108"/>
    </row>
    <row r="403">
      <c r="A403" s="167"/>
      <c r="N403" s="108"/>
    </row>
    <row r="404">
      <c r="A404" s="167"/>
      <c r="N404" s="108"/>
    </row>
    <row r="405">
      <c r="A405" s="167"/>
      <c r="N405" s="108"/>
    </row>
    <row r="406">
      <c r="A406" s="167"/>
      <c r="N406" s="108"/>
    </row>
    <row r="407">
      <c r="A407" s="167"/>
      <c r="N407" s="108"/>
    </row>
    <row r="408">
      <c r="A408" s="167"/>
      <c r="N408" s="108"/>
    </row>
    <row r="409">
      <c r="A409" s="167"/>
      <c r="N409" s="108"/>
    </row>
    <row r="410">
      <c r="A410" s="167"/>
      <c r="N410" s="108"/>
    </row>
    <row r="411">
      <c r="A411" s="167"/>
      <c r="N411" s="108"/>
    </row>
    <row r="412">
      <c r="A412" s="167"/>
      <c r="N412" s="108"/>
    </row>
    <row r="413">
      <c r="A413" s="167"/>
      <c r="N413" s="108"/>
    </row>
    <row r="414">
      <c r="A414" s="167"/>
      <c r="N414" s="108"/>
    </row>
    <row r="415">
      <c r="A415" s="167"/>
      <c r="N415" s="108"/>
    </row>
    <row r="416">
      <c r="A416" s="167"/>
      <c r="N416" s="108"/>
    </row>
    <row r="417">
      <c r="A417" s="167"/>
      <c r="N417" s="108"/>
    </row>
    <row r="418">
      <c r="A418" s="167"/>
      <c r="N418" s="108"/>
    </row>
    <row r="419">
      <c r="A419" s="167"/>
      <c r="N419" s="108"/>
    </row>
    <row r="420">
      <c r="A420" s="167"/>
      <c r="N420" s="108"/>
    </row>
    <row r="421">
      <c r="A421" s="167"/>
      <c r="N421" s="108"/>
    </row>
    <row r="422">
      <c r="A422" s="167"/>
      <c r="N422" s="108"/>
    </row>
    <row r="423">
      <c r="A423" s="167"/>
      <c r="N423" s="108"/>
    </row>
    <row r="424">
      <c r="A424" s="167"/>
      <c r="N424" s="108"/>
    </row>
    <row r="425">
      <c r="A425" s="167"/>
      <c r="N425" s="108"/>
    </row>
    <row r="426">
      <c r="A426" s="167"/>
      <c r="N426" s="108"/>
    </row>
    <row r="427">
      <c r="A427" s="167"/>
      <c r="N427" s="108"/>
    </row>
    <row r="428">
      <c r="A428" s="167"/>
      <c r="N428" s="108"/>
    </row>
    <row r="429">
      <c r="A429" s="167"/>
      <c r="N429" s="108"/>
    </row>
    <row r="430">
      <c r="A430" s="167"/>
      <c r="N430" s="108"/>
    </row>
    <row r="431">
      <c r="A431" s="167"/>
      <c r="N431" s="108"/>
    </row>
    <row r="432">
      <c r="A432" s="167"/>
      <c r="N432" s="108"/>
    </row>
    <row r="433">
      <c r="A433" s="167"/>
      <c r="N433" s="108"/>
    </row>
    <row r="434">
      <c r="A434" s="167"/>
      <c r="N434" s="108"/>
    </row>
    <row r="435">
      <c r="A435" s="167"/>
      <c r="N435" s="108"/>
    </row>
    <row r="436">
      <c r="A436" s="167"/>
      <c r="N436" s="108"/>
    </row>
    <row r="437">
      <c r="A437" s="167"/>
      <c r="N437" s="108"/>
    </row>
    <row r="438">
      <c r="A438" s="167"/>
      <c r="N438" s="108"/>
    </row>
    <row r="439">
      <c r="A439" s="167"/>
      <c r="N439" s="108"/>
    </row>
    <row r="440">
      <c r="A440" s="167"/>
      <c r="N440" s="108"/>
    </row>
    <row r="441">
      <c r="A441" s="167"/>
      <c r="N441" s="108"/>
    </row>
    <row r="442">
      <c r="A442" s="167"/>
      <c r="N442" s="108"/>
    </row>
    <row r="443">
      <c r="A443" s="167"/>
      <c r="N443" s="108"/>
    </row>
    <row r="444">
      <c r="A444" s="167"/>
      <c r="N444" s="108"/>
    </row>
    <row r="445">
      <c r="A445" s="167"/>
      <c r="N445" s="108"/>
    </row>
    <row r="446">
      <c r="A446" s="167"/>
      <c r="N446" s="108"/>
    </row>
    <row r="447">
      <c r="A447" s="167"/>
      <c r="N447" s="108"/>
    </row>
    <row r="448">
      <c r="A448" s="167"/>
      <c r="N448" s="108"/>
    </row>
    <row r="449">
      <c r="A449" s="167"/>
      <c r="N449" s="108"/>
    </row>
    <row r="450">
      <c r="A450" s="167"/>
      <c r="N450" s="108"/>
    </row>
    <row r="451">
      <c r="A451" s="167"/>
      <c r="N451" s="108"/>
    </row>
    <row r="452">
      <c r="A452" s="167"/>
      <c r="N452" s="108"/>
    </row>
    <row r="453">
      <c r="A453" s="167"/>
      <c r="N453" s="108"/>
    </row>
    <row r="454">
      <c r="A454" s="167"/>
      <c r="N454" s="108"/>
    </row>
    <row r="455">
      <c r="A455" s="167"/>
      <c r="N455" s="108"/>
    </row>
    <row r="456">
      <c r="A456" s="167"/>
      <c r="N456" s="108"/>
    </row>
    <row r="457">
      <c r="A457" s="167"/>
      <c r="N457" s="108"/>
    </row>
    <row r="458">
      <c r="A458" s="167"/>
      <c r="N458" s="108"/>
    </row>
    <row r="459">
      <c r="A459" s="167"/>
      <c r="N459" s="108"/>
    </row>
    <row r="460">
      <c r="A460" s="167"/>
      <c r="N460" s="108"/>
    </row>
    <row r="461">
      <c r="A461" s="167"/>
      <c r="N461" s="108"/>
    </row>
    <row r="462">
      <c r="A462" s="167"/>
      <c r="N462" s="108"/>
    </row>
    <row r="463">
      <c r="A463" s="167"/>
      <c r="N463" s="108"/>
    </row>
    <row r="464">
      <c r="A464" s="167"/>
      <c r="N464" s="108"/>
    </row>
    <row r="465">
      <c r="A465" s="167"/>
      <c r="N465" s="108"/>
    </row>
    <row r="466">
      <c r="A466" s="167"/>
      <c r="N466" s="108"/>
    </row>
    <row r="467">
      <c r="A467" s="167"/>
      <c r="N467" s="108"/>
    </row>
    <row r="468">
      <c r="A468" s="167"/>
      <c r="N468" s="108"/>
    </row>
    <row r="469">
      <c r="A469" s="167"/>
      <c r="N469" s="108"/>
    </row>
    <row r="470">
      <c r="A470" s="167"/>
      <c r="N470" s="108"/>
    </row>
    <row r="471">
      <c r="A471" s="167"/>
      <c r="N471" s="108"/>
    </row>
    <row r="472">
      <c r="A472" s="167"/>
      <c r="N472" s="108"/>
    </row>
    <row r="473">
      <c r="A473" s="167"/>
      <c r="N473" s="108"/>
    </row>
    <row r="474">
      <c r="A474" s="167"/>
      <c r="N474" s="108"/>
    </row>
    <row r="475">
      <c r="A475" s="167"/>
      <c r="N475" s="108"/>
    </row>
    <row r="476">
      <c r="A476" s="167"/>
      <c r="N476" s="108"/>
    </row>
    <row r="477">
      <c r="A477" s="167"/>
      <c r="N477" s="108"/>
    </row>
    <row r="478">
      <c r="A478" s="167"/>
      <c r="N478" s="108"/>
    </row>
    <row r="479">
      <c r="A479" s="167"/>
      <c r="N479" s="108"/>
    </row>
    <row r="480">
      <c r="A480" s="167"/>
      <c r="N480" s="108"/>
    </row>
    <row r="481">
      <c r="A481" s="167"/>
      <c r="N481" s="108"/>
    </row>
    <row r="482">
      <c r="A482" s="167"/>
      <c r="N482" s="108"/>
    </row>
    <row r="483">
      <c r="A483" s="167"/>
      <c r="N483" s="108"/>
    </row>
    <row r="484">
      <c r="A484" s="167"/>
      <c r="N484" s="108"/>
    </row>
    <row r="485">
      <c r="A485" s="167"/>
      <c r="N485" s="108"/>
    </row>
    <row r="486">
      <c r="A486" s="167"/>
      <c r="N486" s="108"/>
    </row>
    <row r="487">
      <c r="A487" s="167"/>
      <c r="N487" s="108"/>
    </row>
    <row r="488">
      <c r="A488" s="167"/>
      <c r="N488" s="108"/>
    </row>
    <row r="489">
      <c r="A489" s="167"/>
      <c r="N489" s="108"/>
    </row>
    <row r="490">
      <c r="A490" s="167"/>
      <c r="N490" s="108"/>
    </row>
    <row r="491">
      <c r="A491" s="167"/>
      <c r="N491" s="108"/>
    </row>
    <row r="492">
      <c r="A492" s="167"/>
      <c r="N492" s="108"/>
    </row>
    <row r="493">
      <c r="A493" s="167"/>
      <c r="N493" s="108"/>
    </row>
    <row r="494">
      <c r="A494" s="167"/>
      <c r="N494" s="108"/>
    </row>
    <row r="495">
      <c r="A495" s="167"/>
      <c r="N495" s="108"/>
    </row>
    <row r="496">
      <c r="A496" s="167"/>
      <c r="N496" s="108"/>
    </row>
    <row r="497">
      <c r="A497" s="167"/>
      <c r="N497" s="108"/>
    </row>
    <row r="498">
      <c r="A498" s="167"/>
      <c r="N498" s="108"/>
    </row>
    <row r="499">
      <c r="A499" s="167"/>
      <c r="N499" s="108"/>
    </row>
    <row r="500">
      <c r="A500" s="167"/>
      <c r="N500" s="108"/>
    </row>
    <row r="501">
      <c r="A501" s="167"/>
      <c r="N501" s="108"/>
    </row>
    <row r="502">
      <c r="A502" s="167"/>
      <c r="N502" s="108"/>
    </row>
    <row r="503">
      <c r="A503" s="167"/>
      <c r="N503" s="108"/>
    </row>
    <row r="504">
      <c r="A504" s="167"/>
      <c r="N504" s="108"/>
    </row>
    <row r="505">
      <c r="A505" s="167"/>
      <c r="N505" s="108"/>
    </row>
    <row r="506">
      <c r="A506" s="167"/>
      <c r="N506" s="108"/>
    </row>
    <row r="507">
      <c r="A507" s="167"/>
      <c r="N507" s="108"/>
    </row>
    <row r="508">
      <c r="A508" s="167"/>
      <c r="N508" s="108"/>
    </row>
    <row r="509">
      <c r="A509" s="167"/>
      <c r="N509" s="108"/>
    </row>
    <row r="510">
      <c r="A510" s="167"/>
      <c r="N510" s="108"/>
    </row>
    <row r="511">
      <c r="A511" s="167"/>
      <c r="N511" s="108"/>
    </row>
    <row r="512">
      <c r="A512" s="167"/>
      <c r="N512" s="108"/>
    </row>
    <row r="513">
      <c r="A513" s="167"/>
      <c r="N513" s="108"/>
    </row>
    <row r="514">
      <c r="A514" s="167"/>
      <c r="N514" s="108"/>
    </row>
    <row r="515">
      <c r="A515" s="167"/>
      <c r="N515" s="108"/>
    </row>
    <row r="516">
      <c r="A516" s="167"/>
      <c r="N516" s="108"/>
    </row>
    <row r="517">
      <c r="A517" s="167"/>
      <c r="N517" s="108"/>
    </row>
    <row r="518">
      <c r="A518" s="167"/>
      <c r="N518" s="108"/>
    </row>
    <row r="519">
      <c r="A519" s="167"/>
      <c r="N519" s="108"/>
    </row>
    <row r="520">
      <c r="A520" s="167"/>
      <c r="N520" s="108"/>
    </row>
    <row r="521">
      <c r="A521" s="167"/>
      <c r="N521" s="108"/>
    </row>
    <row r="522">
      <c r="A522" s="167"/>
      <c r="N522" s="108"/>
    </row>
    <row r="523">
      <c r="A523" s="167"/>
      <c r="N523" s="108"/>
    </row>
    <row r="524">
      <c r="A524" s="167"/>
      <c r="N524" s="108"/>
    </row>
    <row r="525">
      <c r="A525" s="167"/>
      <c r="N525" s="108"/>
    </row>
    <row r="526">
      <c r="A526" s="167"/>
      <c r="N526" s="108"/>
    </row>
    <row r="527">
      <c r="A527" s="167"/>
      <c r="N527" s="108"/>
    </row>
    <row r="528">
      <c r="A528" s="167"/>
      <c r="N528" s="108"/>
    </row>
    <row r="529">
      <c r="A529" s="167"/>
      <c r="N529" s="108"/>
    </row>
    <row r="530">
      <c r="A530" s="167"/>
      <c r="N530" s="108"/>
    </row>
    <row r="531">
      <c r="A531" s="167"/>
      <c r="N531" s="108"/>
    </row>
    <row r="532">
      <c r="A532" s="167"/>
      <c r="N532" s="108"/>
    </row>
    <row r="533">
      <c r="A533" s="167"/>
      <c r="N533" s="108"/>
    </row>
    <row r="534">
      <c r="A534" s="167"/>
      <c r="N534" s="108"/>
    </row>
    <row r="535">
      <c r="A535" s="167"/>
      <c r="N535" s="108"/>
    </row>
    <row r="536">
      <c r="A536" s="167"/>
      <c r="N536" s="108"/>
    </row>
    <row r="537">
      <c r="A537" s="167"/>
      <c r="N537" s="108"/>
    </row>
    <row r="538">
      <c r="A538" s="167"/>
      <c r="N538" s="108"/>
    </row>
    <row r="539">
      <c r="A539" s="167"/>
      <c r="N539" s="108"/>
    </row>
    <row r="540">
      <c r="A540" s="167"/>
      <c r="N540" s="108"/>
    </row>
    <row r="541">
      <c r="A541" s="167"/>
      <c r="N541" s="108"/>
    </row>
    <row r="542">
      <c r="A542" s="167"/>
      <c r="N542" s="108"/>
    </row>
    <row r="543">
      <c r="A543" s="167"/>
      <c r="N543" s="108"/>
    </row>
    <row r="544">
      <c r="A544" s="167"/>
      <c r="N544" s="108"/>
    </row>
    <row r="545">
      <c r="A545" s="167"/>
      <c r="N545" s="108"/>
    </row>
    <row r="546">
      <c r="A546" s="167"/>
      <c r="N546" s="108"/>
    </row>
    <row r="547">
      <c r="A547" s="167"/>
      <c r="N547" s="108"/>
    </row>
    <row r="548">
      <c r="A548" s="167"/>
      <c r="N548" s="108"/>
    </row>
    <row r="549">
      <c r="A549" s="167"/>
      <c r="N549" s="108"/>
    </row>
    <row r="550">
      <c r="A550" s="167"/>
      <c r="N550" s="108"/>
    </row>
    <row r="551">
      <c r="A551" s="167"/>
      <c r="N551" s="108"/>
    </row>
    <row r="552">
      <c r="A552" s="167"/>
      <c r="N552" s="108"/>
    </row>
    <row r="553">
      <c r="A553" s="167"/>
      <c r="N553" s="108"/>
    </row>
    <row r="554">
      <c r="A554" s="167"/>
      <c r="N554" s="108"/>
    </row>
    <row r="555">
      <c r="A555" s="167"/>
      <c r="N555" s="108"/>
    </row>
    <row r="556">
      <c r="A556" s="167"/>
      <c r="N556" s="108"/>
    </row>
    <row r="557">
      <c r="A557" s="167"/>
      <c r="N557" s="108"/>
    </row>
    <row r="558">
      <c r="A558" s="167"/>
      <c r="N558" s="108"/>
    </row>
    <row r="559">
      <c r="A559" s="167"/>
      <c r="N559" s="108"/>
    </row>
    <row r="560">
      <c r="A560" s="167"/>
      <c r="N560" s="108"/>
    </row>
    <row r="561">
      <c r="A561" s="167"/>
      <c r="N561" s="108"/>
    </row>
    <row r="562">
      <c r="A562" s="167"/>
      <c r="N562" s="108"/>
    </row>
    <row r="563">
      <c r="A563" s="167"/>
      <c r="N563" s="108"/>
    </row>
    <row r="564">
      <c r="A564" s="167"/>
      <c r="N564" s="108"/>
    </row>
    <row r="565">
      <c r="A565" s="167"/>
      <c r="N565" s="108"/>
    </row>
    <row r="566">
      <c r="A566" s="167"/>
      <c r="N566" s="108"/>
    </row>
    <row r="567">
      <c r="A567" s="167"/>
      <c r="N567" s="108"/>
    </row>
    <row r="568">
      <c r="A568" s="167"/>
      <c r="N568" s="108"/>
    </row>
    <row r="569">
      <c r="A569" s="167"/>
      <c r="N569" s="108"/>
    </row>
    <row r="570">
      <c r="A570" s="167"/>
      <c r="N570" s="108"/>
    </row>
    <row r="571">
      <c r="A571" s="167"/>
      <c r="N571" s="108"/>
    </row>
    <row r="572">
      <c r="A572" s="167"/>
      <c r="N572" s="108"/>
    </row>
    <row r="573">
      <c r="A573" s="167"/>
      <c r="N573" s="108"/>
    </row>
    <row r="574">
      <c r="A574" s="167"/>
      <c r="N574" s="108"/>
    </row>
    <row r="575">
      <c r="A575" s="167"/>
      <c r="N575" s="108"/>
    </row>
    <row r="576">
      <c r="A576" s="167"/>
      <c r="N576" s="108"/>
    </row>
    <row r="577">
      <c r="A577" s="167"/>
      <c r="N577" s="108"/>
    </row>
    <row r="578">
      <c r="A578" s="167"/>
      <c r="N578" s="108"/>
    </row>
    <row r="579">
      <c r="A579" s="167"/>
      <c r="N579" s="108"/>
    </row>
    <row r="580">
      <c r="A580" s="167"/>
      <c r="N580" s="108"/>
    </row>
    <row r="581">
      <c r="A581" s="167"/>
      <c r="N581" s="108"/>
    </row>
    <row r="582">
      <c r="A582" s="167"/>
      <c r="N582" s="108"/>
    </row>
    <row r="583">
      <c r="A583" s="167"/>
      <c r="N583" s="108"/>
    </row>
    <row r="584">
      <c r="A584" s="167"/>
      <c r="N584" s="108"/>
    </row>
    <row r="585">
      <c r="A585" s="167"/>
      <c r="N585" s="108"/>
    </row>
    <row r="586">
      <c r="A586" s="167"/>
      <c r="N586" s="108"/>
    </row>
    <row r="587">
      <c r="A587" s="167"/>
      <c r="N587" s="108"/>
    </row>
    <row r="588">
      <c r="A588" s="167"/>
      <c r="N588" s="108"/>
    </row>
    <row r="589">
      <c r="A589" s="167"/>
      <c r="N589" s="108"/>
    </row>
    <row r="590">
      <c r="A590" s="167"/>
      <c r="N590" s="108"/>
    </row>
    <row r="591">
      <c r="A591" s="167"/>
      <c r="N591" s="108"/>
    </row>
    <row r="592">
      <c r="A592" s="167"/>
      <c r="N592" s="108"/>
    </row>
    <row r="593">
      <c r="A593" s="167"/>
      <c r="N593" s="108"/>
    </row>
    <row r="594">
      <c r="A594" s="167"/>
      <c r="N594" s="108"/>
    </row>
    <row r="595">
      <c r="A595" s="167"/>
      <c r="N595" s="108"/>
    </row>
    <row r="596">
      <c r="A596" s="167"/>
      <c r="N596" s="108"/>
    </row>
    <row r="597">
      <c r="A597" s="167"/>
      <c r="N597" s="108"/>
    </row>
    <row r="598">
      <c r="A598" s="167"/>
      <c r="N598" s="108"/>
    </row>
    <row r="599">
      <c r="A599" s="167"/>
      <c r="N599" s="108"/>
    </row>
    <row r="600">
      <c r="A600" s="167"/>
      <c r="N600" s="108"/>
    </row>
    <row r="601">
      <c r="A601" s="167"/>
      <c r="N601" s="108"/>
    </row>
    <row r="602">
      <c r="A602" s="167"/>
      <c r="N602" s="108"/>
    </row>
    <row r="603">
      <c r="A603" s="167"/>
      <c r="N603" s="108"/>
    </row>
    <row r="604">
      <c r="A604" s="167"/>
      <c r="N604" s="108"/>
    </row>
    <row r="605">
      <c r="A605" s="167"/>
      <c r="N605" s="108"/>
    </row>
    <row r="606">
      <c r="A606" s="167"/>
      <c r="N606" s="108"/>
    </row>
    <row r="607">
      <c r="A607" s="167"/>
      <c r="N607" s="108"/>
    </row>
    <row r="608">
      <c r="A608" s="167"/>
      <c r="N608" s="108"/>
    </row>
    <row r="609">
      <c r="A609" s="167"/>
      <c r="N609" s="108"/>
    </row>
    <row r="610">
      <c r="A610" s="167"/>
      <c r="N610" s="108"/>
    </row>
    <row r="611">
      <c r="A611" s="167"/>
      <c r="N611" s="108"/>
    </row>
    <row r="612">
      <c r="A612" s="167"/>
      <c r="N612" s="108"/>
    </row>
    <row r="613">
      <c r="A613" s="167"/>
      <c r="N613" s="108"/>
    </row>
    <row r="614">
      <c r="A614" s="167"/>
      <c r="N614" s="108"/>
    </row>
    <row r="615">
      <c r="A615" s="167"/>
      <c r="N615" s="108"/>
    </row>
    <row r="616">
      <c r="A616" s="167"/>
      <c r="N616" s="108"/>
    </row>
    <row r="617">
      <c r="A617" s="167"/>
      <c r="N617" s="108"/>
    </row>
    <row r="618">
      <c r="A618" s="167"/>
      <c r="N618" s="108"/>
    </row>
    <row r="619">
      <c r="A619" s="167"/>
      <c r="N619" s="108"/>
    </row>
    <row r="620">
      <c r="A620" s="167"/>
      <c r="N620" s="108"/>
    </row>
    <row r="621">
      <c r="A621" s="167"/>
      <c r="N621" s="108"/>
    </row>
    <row r="622">
      <c r="A622" s="167"/>
      <c r="N622" s="108"/>
    </row>
    <row r="623">
      <c r="A623" s="167"/>
      <c r="N623" s="108"/>
    </row>
    <row r="624">
      <c r="A624" s="167"/>
      <c r="N624" s="108"/>
    </row>
    <row r="625">
      <c r="A625" s="167"/>
      <c r="N625" s="108"/>
    </row>
    <row r="626">
      <c r="A626" s="167"/>
      <c r="N626" s="108"/>
    </row>
    <row r="627">
      <c r="A627" s="167"/>
      <c r="N627" s="108"/>
    </row>
    <row r="628">
      <c r="A628" s="167"/>
      <c r="N628" s="108"/>
    </row>
    <row r="629">
      <c r="A629" s="167"/>
      <c r="N629" s="108"/>
    </row>
    <row r="630">
      <c r="A630" s="167"/>
      <c r="N630" s="108"/>
    </row>
    <row r="631">
      <c r="A631" s="167"/>
      <c r="N631" s="108"/>
    </row>
    <row r="632">
      <c r="A632" s="167"/>
      <c r="N632" s="108"/>
    </row>
    <row r="633">
      <c r="A633" s="167"/>
      <c r="N633" s="108"/>
    </row>
    <row r="634">
      <c r="A634" s="167"/>
      <c r="N634" s="108"/>
    </row>
    <row r="635">
      <c r="A635" s="167"/>
      <c r="N635" s="108"/>
    </row>
    <row r="636">
      <c r="A636" s="167"/>
      <c r="N636" s="108"/>
    </row>
    <row r="637">
      <c r="A637" s="167"/>
      <c r="N637" s="108"/>
    </row>
    <row r="638">
      <c r="A638" s="167"/>
      <c r="N638" s="108"/>
    </row>
    <row r="639">
      <c r="A639" s="167"/>
      <c r="N639" s="108"/>
    </row>
    <row r="640">
      <c r="A640" s="167"/>
      <c r="N640" s="108"/>
    </row>
    <row r="641">
      <c r="A641" s="167"/>
      <c r="N641" s="108"/>
    </row>
    <row r="642">
      <c r="A642" s="167"/>
      <c r="N642" s="108"/>
    </row>
    <row r="643">
      <c r="A643" s="167"/>
      <c r="N643" s="108"/>
    </row>
    <row r="644">
      <c r="A644" s="167"/>
      <c r="N644" s="108"/>
    </row>
    <row r="645">
      <c r="A645" s="167"/>
      <c r="N645" s="108"/>
    </row>
    <row r="646">
      <c r="A646" s="167"/>
      <c r="N646" s="108"/>
    </row>
    <row r="647">
      <c r="A647" s="167"/>
      <c r="N647" s="108"/>
    </row>
    <row r="648">
      <c r="A648" s="167"/>
      <c r="N648" s="108"/>
    </row>
    <row r="649">
      <c r="A649" s="167"/>
      <c r="N649" s="108"/>
    </row>
    <row r="650">
      <c r="A650" s="167"/>
      <c r="N650" s="108"/>
    </row>
    <row r="651">
      <c r="A651" s="167"/>
      <c r="N651" s="108"/>
    </row>
    <row r="652">
      <c r="A652" s="167"/>
      <c r="N652" s="108"/>
    </row>
    <row r="653">
      <c r="A653" s="167"/>
      <c r="N653" s="108"/>
    </row>
    <row r="654">
      <c r="A654" s="167"/>
      <c r="N654" s="108"/>
    </row>
    <row r="655">
      <c r="A655" s="167"/>
      <c r="N655" s="108"/>
    </row>
    <row r="656">
      <c r="A656" s="167"/>
      <c r="N656" s="108"/>
    </row>
    <row r="657">
      <c r="A657" s="167"/>
      <c r="N657" s="108"/>
    </row>
    <row r="658">
      <c r="A658" s="167"/>
      <c r="N658" s="108"/>
    </row>
    <row r="659">
      <c r="A659" s="167"/>
      <c r="N659" s="108"/>
    </row>
    <row r="660">
      <c r="A660" s="167"/>
      <c r="N660" s="108"/>
    </row>
    <row r="661">
      <c r="A661" s="167"/>
      <c r="N661" s="108"/>
    </row>
    <row r="662">
      <c r="A662" s="167"/>
      <c r="N662" s="108"/>
    </row>
    <row r="663">
      <c r="A663" s="167"/>
      <c r="N663" s="108"/>
    </row>
    <row r="664">
      <c r="A664" s="167"/>
      <c r="N664" s="108"/>
    </row>
    <row r="665">
      <c r="A665" s="167"/>
      <c r="N665" s="108"/>
    </row>
    <row r="666">
      <c r="A666" s="167"/>
      <c r="N666" s="108"/>
    </row>
    <row r="667">
      <c r="A667" s="167"/>
      <c r="N667" s="108"/>
    </row>
    <row r="668">
      <c r="A668" s="167"/>
      <c r="N668" s="108"/>
    </row>
    <row r="669">
      <c r="A669" s="167"/>
      <c r="N669" s="108"/>
    </row>
    <row r="670">
      <c r="A670" s="167"/>
      <c r="N670" s="108"/>
    </row>
    <row r="671">
      <c r="A671" s="167"/>
      <c r="N671" s="108"/>
    </row>
    <row r="672">
      <c r="A672" s="167"/>
      <c r="N672" s="108"/>
    </row>
    <row r="673">
      <c r="A673" s="167"/>
      <c r="N673" s="108"/>
    </row>
    <row r="674">
      <c r="A674" s="167"/>
      <c r="N674" s="108"/>
    </row>
    <row r="675">
      <c r="A675" s="167"/>
      <c r="N675" s="108"/>
    </row>
    <row r="676">
      <c r="A676" s="167"/>
      <c r="N676" s="108"/>
    </row>
    <row r="677">
      <c r="A677" s="167"/>
      <c r="N677" s="108"/>
    </row>
    <row r="678">
      <c r="A678" s="167"/>
      <c r="N678" s="108"/>
    </row>
    <row r="679">
      <c r="A679" s="167"/>
      <c r="N679" s="108"/>
    </row>
    <row r="680">
      <c r="A680" s="167"/>
      <c r="N680" s="108"/>
    </row>
    <row r="681">
      <c r="A681" s="167"/>
      <c r="N681" s="108"/>
    </row>
    <row r="682">
      <c r="A682" s="167"/>
      <c r="N682" s="108"/>
    </row>
    <row r="683">
      <c r="A683" s="167"/>
      <c r="N683" s="108"/>
    </row>
    <row r="684">
      <c r="A684" s="167"/>
      <c r="N684" s="108"/>
    </row>
    <row r="685">
      <c r="A685" s="167"/>
      <c r="N685" s="108"/>
    </row>
    <row r="686">
      <c r="A686" s="167"/>
      <c r="N686" s="108"/>
    </row>
    <row r="687">
      <c r="A687" s="167"/>
      <c r="N687" s="108"/>
    </row>
    <row r="688">
      <c r="A688" s="167"/>
      <c r="N688" s="108"/>
    </row>
    <row r="689">
      <c r="A689" s="167"/>
      <c r="N689" s="108"/>
    </row>
    <row r="690">
      <c r="A690" s="167"/>
      <c r="N690" s="108"/>
    </row>
    <row r="691">
      <c r="A691" s="167"/>
      <c r="N691" s="108"/>
    </row>
    <row r="692">
      <c r="A692" s="167"/>
      <c r="N692" s="108"/>
    </row>
    <row r="693">
      <c r="A693" s="167"/>
      <c r="N693" s="108"/>
    </row>
    <row r="694">
      <c r="A694" s="167"/>
      <c r="N694" s="108"/>
    </row>
    <row r="695">
      <c r="A695" s="167"/>
      <c r="N695" s="108"/>
    </row>
    <row r="696">
      <c r="A696" s="167"/>
      <c r="N696" s="108"/>
    </row>
    <row r="697">
      <c r="A697" s="167"/>
      <c r="N697" s="108"/>
    </row>
    <row r="698">
      <c r="A698" s="167"/>
      <c r="N698" s="108"/>
    </row>
    <row r="699">
      <c r="A699" s="167"/>
      <c r="N699" s="108"/>
    </row>
    <row r="700">
      <c r="A700" s="167"/>
      <c r="N700" s="108"/>
    </row>
    <row r="701">
      <c r="A701" s="167"/>
      <c r="N701" s="108"/>
    </row>
    <row r="702">
      <c r="A702" s="167"/>
      <c r="N702" s="108"/>
    </row>
    <row r="703">
      <c r="A703" s="167"/>
      <c r="N703" s="108"/>
    </row>
    <row r="704">
      <c r="A704" s="167"/>
      <c r="N704" s="108"/>
    </row>
    <row r="705">
      <c r="A705" s="167"/>
      <c r="N705" s="108"/>
    </row>
    <row r="706">
      <c r="A706" s="167"/>
      <c r="N706" s="108"/>
    </row>
    <row r="707">
      <c r="A707" s="167"/>
      <c r="N707" s="108"/>
    </row>
    <row r="708">
      <c r="A708" s="167"/>
      <c r="N708" s="108"/>
    </row>
    <row r="709">
      <c r="A709" s="167"/>
      <c r="N709" s="108"/>
    </row>
    <row r="710">
      <c r="A710" s="167"/>
      <c r="N710" s="108"/>
    </row>
    <row r="711">
      <c r="A711" s="167"/>
      <c r="N711" s="108"/>
    </row>
    <row r="712">
      <c r="A712" s="167"/>
      <c r="N712" s="108"/>
    </row>
    <row r="713">
      <c r="A713" s="167"/>
      <c r="N713" s="108"/>
    </row>
    <row r="714">
      <c r="A714" s="167"/>
      <c r="N714" s="108"/>
    </row>
    <row r="715">
      <c r="A715" s="167"/>
      <c r="N715" s="108"/>
    </row>
    <row r="716">
      <c r="A716" s="167"/>
      <c r="N716" s="108"/>
    </row>
    <row r="717">
      <c r="A717" s="167"/>
      <c r="N717" s="108"/>
    </row>
    <row r="718">
      <c r="A718" s="167"/>
      <c r="N718" s="108"/>
    </row>
    <row r="719">
      <c r="A719" s="167"/>
      <c r="N719" s="108"/>
    </row>
    <row r="720">
      <c r="A720" s="167"/>
      <c r="N720" s="108"/>
    </row>
    <row r="721">
      <c r="A721" s="167"/>
      <c r="N721" s="108"/>
    </row>
    <row r="722">
      <c r="A722" s="167"/>
      <c r="N722" s="108"/>
    </row>
    <row r="723">
      <c r="A723" s="167"/>
      <c r="N723" s="108"/>
    </row>
    <row r="724">
      <c r="A724" s="167"/>
      <c r="N724" s="108"/>
    </row>
    <row r="725">
      <c r="A725" s="167"/>
      <c r="N725" s="108"/>
    </row>
    <row r="726">
      <c r="A726" s="167"/>
      <c r="N726" s="108"/>
    </row>
    <row r="727">
      <c r="A727" s="167"/>
      <c r="N727" s="108"/>
    </row>
    <row r="728">
      <c r="A728" s="167"/>
      <c r="N728" s="108"/>
    </row>
    <row r="729">
      <c r="A729" s="167"/>
      <c r="N729" s="108"/>
    </row>
    <row r="730">
      <c r="A730" s="167"/>
      <c r="N730" s="108"/>
    </row>
    <row r="731">
      <c r="A731" s="167"/>
      <c r="N731" s="108"/>
    </row>
    <row r="732">
      <c r="A732" s="167"/>
      <c r="N732" s="108"/>
    </row>
    <row r="733">
      <c r="A733" s="167"/>
      <c r="N733" s="108"/>
    </row>
    <row r="734">
      <c r="A734" s="167"/>
      <c r="N734" s="108"/>
    </row>
    <row r="735">
      <c r="A735" s="167"/>
      <c r="N735" s="108"/>
    </row>
    <row r="736">
      <c r="A736" s="167"/>
      <c r="N736" s="108"/>
    </row>
    <row r="737">
      <c r="A737" s="167"/>
      <c r="N737" s="108"/>
    </row>
    <row r="738">
      <c r="A738" s="167"/>
      <c r="N738" s="108"/>
    </row>
    <row r="739">
      <c r="A739" s="167"/>
      <c r="N739" s="108"/>
    </row>
    <row r="740">
      <c r="A740" s="167"/>
      <c r="N740" s="108"/>
    </row>
    <row r="741">
      <c r="A741" s="167"/>
      <c r="N741" s="108"/>
    </row>
    <row r="742">
      <c r="A742" s="167"/>
      <c r="N742" s="108"/>
    </row>
    <row r="743">
      <c r="A743" s="167"/>
      <c r="N743" s="108"/>
    </row>
    <row r="744">
      <c r="A744" s="167"/>
      <c r="N744" s="108"/>
    </row>
    <row r="745">
      <c r="A745" s="167"/>
      <c r="N745" s="108"/>
    </row>
    <row r="746">
      <c r="A746" s="167"/>
      <c r="N746" s="108"/>
    </row>
    <row r="747">
      <c r="A747" s="167"/>
      <c r="N747" s="108"/>
    </row>
    <row r="748">
      <c r="A748" s="167"/>
      <c r="N748" s="108"/>
    </row>
    <row r="749">
      <c r="A749" s="167"/>
      <c r="N749" s="108"/>
    </row>
    <row r="750">
      <c r="A750" s="167"/>
      <c r="N750" s="108"/>
    </row>
    <row r="751">
      <c r="A751" s="167"/>
      <c r="N751" s="108"/>
    </row>
    <row r="752">
      <c r="A752" s="167"/>
      <c r="N752" s="108"/>
    </row>
    <row r="753">
      <c r="A753" s="167"/>
      <c r="N753" s="108"/>
    </row>
    <row r="754">
      <c r="A754" s="167"/>
      <c r="N754" s="108"/>
    </row>
    <row r="755">
      <c r="A755" s="167"/>
      <c r="N755" s="108"/>
    </row>
    <row r="756">
      <c r="A756" s="167"/>
      <c r="N756" s="108"/>
    </row>
    <row r="757">
      <c r="A757" s="167"/>
      <c r="N757" s="108"/>
    </row>
    <row r="758">
      <c r="A758" s="167"/>
      <c r="N758" s="108"/>
    </row>
    <row r="759">
      <c r="A759" s="167"/>
      <c r="N759" s="108"/>
    </row>
    <row r="760">
      <c r="A760" s="167"/>
      <c r="N760" s="108"/>
    </row>
    <row r="761">
      <c r="A761" s="167"/>
      <c r="N761" s="108"/>
    </row>
    <row r="762">
      <c r="A762" s="167"/>
      <c r="N762" s="108"/>
    </row>
    <row r="763">
      <c r="A763" s="167"/>
      <c r="N763" s="108"/>
    </row>
    <row r="764">
      <c r="A764" s="167"/>
      <c r="N764" s="108"/>
    </row>
    <row r="765">
      <c r="A765" s="167"/>
      <c r="N765" s="108"/>
    </row>
    <row r="766">
      <c r="A766" s="167"/>
      <c r="N766" s="108"/>
    </row>
    <row r="767">
      <c r="A767" s="167"/>
      <c r="N767" s="108"/>
    </row>
    <row r="768">
      <c r="A768" s="167"/>
      <c r="N768" s="108"/>
    </row>
    <row r="769">
      <c r="A769" s="167"/>
      <c r="N769" s="108"/>
    </row>
    <row r="770">
      <c r="A770" s="167"/>
      <c r="N770" s="108"/>
    </row>
    <row r="771">
      <c r="A771" s="167"/>
      <c r="N771" s="108"/>
    </row>
    <row r="772">
      <c r="A772" s="167"/>
      <c r="N772" s="108"/>
    </row>
    <row r="773">
      <c r="A773" s="167"/>
      <c r="N773" s="108"/>
    </row>
    <row r="774">
      <c r="A774" s="167"/>
      <c r="N774" s="108"/>
    </row>
    <row r="775">
      <c r="A775" s="167"/>
      <c r="N775" s="108"/>
    </row>
    <row r="776">
      <c r="A776" s="167"/>
      <c r="N776" s="108"/>
    </row>
    <row r="777">
      <c r="A777" s="167"/>
      <c r="N777" s="108"/>
    </row>
    <row r="778">
      <c r="A778" s="167"/>
      <c r="N778" s="108"/>
    </row>
    <row r="779">
      <c r="A779" s="167"/>
      <c r="N779" s="108"/>
    </row>
    <row r="780">
      <c r="A780" s="167"/>
      <c r="N780" s="108"/>
    </row>
    <row r="781">
      <c r="A781" s="167"/>
      <c r="N781" s="108"/>
    </row>
    <row r="782">
      <c r="A782" s="167"/>
      <c r="N782" s="108"/>
    </row>
    <row r="783">
      <c r="A783" s="167"/>
      <c r="N783" s="108"/>
    </row>
    <row r="784">
      <c r="A784" s="167"/>
      <c r="N784" s="108"/>
    </row>
    <row r="785">
      <c r="A785" s="167"/>
      <c r="N785" s="108"/>
    </row>
    <row r="786">
      <c r="A786" s="167"/>
      <c r="N786" s="108"/>
    </row>
    <row r="787">
      <c r="A787" s="167"/>
      <c r="N787" s="108"/>
    </row>
    <row r="788">
      <c r="A788" s="167"/>
      <c r="N788" s="108"/>
    </row>
    <row r="789">
      <c r="A789" s="167"/>
      <c r="N789" s="108"/>
    </row>
    <row r="790">
      <c r="A790" s="167"/>
      <c r="N790" s="108"/>
    </row>
    <row r="791">
      <c r="A791" s="167"/>
      <c r="N791" s="108"/>
    </row>
    <row r="792">
      <c r="A792" s="167"/>
      <c r="N792" s="108"/>
    </row>
    <row r="793">
      <c r="A793" s="167"/>
      <c r="N793" s="108"/>
    </row>
    <row r="794">
      <c r="A794" s="167"/>
      <c r="N794" s="108"/>
    </row>
    <row r="795">
      <c r="A795" s="167"/>
      <c r="N795" s="108"/>
    </row>
    <row r="796">
      <c r="A796" s="167"/>
      <c r="N796" s="108"/>
    </row>
    <row r="797">
      <c r="A797" s="167"/>
      <c r="N797" s="108"/>
    </row>
    <row r="798">
      <c r="A798" s="167"/>
      <c r="N798" s="108"/>
    </row>
    <row r="799">
      <c r="A799" s="167"/>
      <c r="N799" s="108"/>
    </row>
    <row r="800">
      <c r="A800" s="167"/>
      <c r="N800" s="108"/>
    </row>
    <row r="801">
      <c r="A801" s="167"/>
      <c r="N801" s="108"/>
    </row>
    <row r="802">
      <c r="A802" s="167"/>
      <c r="N802" s="108"/>
    </row>
    <row r="803">
      <c r="A803" s="167"/>
      <c r="N803" s="108"/>
    </row>
    <row r="804">
      <c r="A804" s="167"/>
      <c r="N804" s="108"/>
    </row>
    <row r="805">
      <c r="A805" s="167"/>
      <c r="N805" s="108"/>
    </row>
    <row r="806">
      <c r="A806" s="167"/>
      <c r="N806" s="108"/>
    </row>
    <row r="807">
      <c r="A807" s="167"/>
      <c r="N807" s="108"/>
    </row>
    <row r="808">
      <c r="A808" s="167"/>
      <c r="N808" s="108"/>
    </row>
    <row r="809">
      <c r="A809" s="167"/>
      <c r="N809" s="108"/>
    </row>
    <row r="810">
      <c r="A810" s="167"/>
      <c r="N810" s="108"/>
    </row>
    <row r="811">
      <c r="A811" s="167"/>
      <c r="N811" s="108"/>
    </row>
    <row r="812">
      <c r="A812" s="167"/>
      <c r="N812" s="108"/>
    </row>
    <row r="813">
      <c r="A813" s="167"/>
      <c r="N813" s="108"/>
    </row>
    <row r="814">
      <c r="A814" s="167"/>
      <c r="N814" s="108"/>
    </row>
    <row r="815">
      <c r="A815" s="167"/>
      <c r="N815" s="108"/>
    </row>
    <row r="816">
      <c r="A816" s="167"/>
      <c r="N816" s="108"/>
    </row>
    <row r="817">
      <c r="A817" s="167"/>
      <c r="N817" s="108"/>
    </row>
    <row r="818">
      <c r="A818" s="167"/>
      <c r="N818" s="108"/>
    </row>
    <row r="819">
      <c r="A819" s="167"/>
      <c r="N819" s="108"/>
    </row>
    <row r="820">
      <c r="A820" s="167"/>
      <c r="N820" s="108"/>
    </row>
    <row r="821">
      <c r="A821" s="167"/>
      <c r="N821" s="108"/>
    </row>
    <row r="822">
      <c r="A822" s="167"/>
      <c r="N822" s="108"/>
    </row>
    <row r="823">
      <c r="A823" s="167"/>
      <c r="N823" s="108"/>
    </row>
    <row r="824">
      <c r="A824" s="167"/>
      <c r="N824" s="108"/>
    </row>
    <row r="825">
      <c r="A825" s="167"/>
      <c r="N825" s="108"/>
    </row>
    <row r="826">
      <c r="A826" s="167"/>
      <c r="N826" s="108"/>
    </row>
    <row r="827">
      <c r="A827" s="167"/>
      <c r="N827" s="108"/>
    </row>
    <row r="828">
      <c r="A828" s="167"/>
      <c r="N828" s="108"/>
    </row>
    <row r="829">
      <c r="A829" s="167"/>
      <c r="N829" s="108"/>
    </row>
    <row r="830">
      <c r="A830" s="167"/>
      <c r="N830" s="108"/>
    </row>
    <row r="831">
      <c r="A831" s="167"/>
      <c r="N831" s="108"/>
    </row>
    <row r="832">
      <c r="A832" s="167"/>
      <c r="N832" s="108"/>
    </row>
    <row r="833">
      <c r="A833" s="167"/>
      <c r="N833" s="108"/>
    </row>
    <row r="834">
      <c r="A834" s="167"/>
      <c r="N834" s="108"/>
    </row>
    <row r="835">
      <c r="A835" s="167"/>
      <c r="N835" s="108"/>
    </row>
    <row r="836">
      <c r="A836" s="167"/>
      <c r="N836" s="108"/>
    </row>
    <row r="837">
      <c r="A837" s="167"/>
      <c r="N837" s="108"/>
    </row>
    <row r="838">
      <c r="A838" s="167"/>
      <c r="N838" s="108"/>
    </row>
    <row r="839">
      <c r="A839" s="167"/>
      <c r="N839" s="108"/>
    </row>
    <row r="840">
      <c r="A840" s="167"/>
      <c r="N840" s="108"/>
    </row>
    <row r="841">
      <c r="A841" s="167"/>
      <c r="N841" s="108"/>
    </row>
    <row r="842">
      <c r="A842" s="167"/>
      <c r="N842" s="108"/>
    </row>
    <row r="843">
      <c r="A843" s="167"/>
      <c r="N843" s="108"/>
    </row>
    <row r="844">
      <c r="A844" s="167"/>
      <c r="N844" s="108"/>
    </row>
    <row r="845">
      <c r="A845" s="167"/>
      <c r="N845" s="108"/>
    </row>
    <row r="846">
      <c r="A846" s="167"/>
      <c r="N846" s="108"/>
    </row>
    <row r="847">
      <c r="A847" s="167"/>
      <c r="N847" s="108"/>
    </row>
    <row r="848">
      <c r="A848" s="167"/>
      <c r="N848" s="108"/>
    </row>
    <row r="849">
      <c r="A849" s="167"/>
      <c r="N849" s="108"/>
    </row>
    <row r="850">
      <c r="A850" s="167"/>
      <c r="N850" s="108"/>
    </row>
    <row r="851">
      <c r="A851" s="167"/>
      <c r="N851" s="108"/>
    </row>
    <row r="852">
      <c r="A852" s="167"/>
      <c r="N852" s="108"/>
    </row>
    <row r="853">
      <c r="A853" s="167"/>
      <c r="N853" s="108"/>
    </row>
    <row r="854">
      <c r="A854" s="167"/>
      <c r="N854" s="108"/>
    </row>
    <row r="855">
      <c r="A855" s="167"/>
      <c r="N855" s="108"/>
    </row>
    <row r="856">
      <c r="A856" s="167"/>
      <c r="N856" s="108"/>
    </row>
    <row r="857">
      <c r="A857" s="167"/>
      <c r="N857" s="108"/>
    </row>
    <row r="858">
      <c r="A858" s="167"/>
      <c r="N858" s="108"/>
    </row>
    <row r="859">
      <c r="A859" s="167"/>
      <c r="N859" s="108"/>
    </row>
    <row r="860">
      <c r="A860" s="167"/>
      <c r="N860" s="108"/>
    </row>
    <row r="861">
      <c r="A861" s="167"/>
      <c r="N861" s="108"/>
    </row>
    <row r="862">
      <c r="A862" s="167"/>
      <c r="N862" s="108"/>
    </row>
    <row r="863">
      <c r="A863" s="167"/>
      <c r="N863" s="108"/>
    </row>
    <row r="864">
      <c r="A864" s="167"/>
      <c r="N864" s="108"/>
    </row>
    <row r="865">
      <c r="A865" s="167"/>
      <c r="N865" s="108"/>
    </row>
    <row r="866">
      <c r="A866" s="167"/>
      <c r="N866" s="108"/>
    </row>
    <row r="867">
      <c r="A867" s="167"/>
      <c r="N867" s="108"/>
    </row>
    <row r="868">
      <c r="A868" s="167"/>
      <c r="N868" s="108"/>
    </row>
    <row r="869">
      <c r="A869" s="167"/>
      <c r="N869" s="108"/>
    </row>
    <row r="870">
      <c r="A870" s="167"/>
      <c r="N870" s="108"/>
    </row>
    <row r="871">
      <c r="A871" s="167"/>
      <c r="N871" s="108"/>
    </row>
    <row r="872">
      <c r="A872" s="167"/>
      <c r="N872" s="108"/>
    </row>
    <row r="873">
      <c r="A873" s="167"/>
      <c r="N873" s="108"/>
    </row>
    <row r="874">
      <c r="A874" s="167"/>
      <c r="N874" s="108"/>
    </row>
    <row r="875">
      <c r="A875" s="167"/>
      <c r="N875" s="108"/>
    </row>
    <row r="876">
      <c r="A876" s="167"/>
      <c r="N876" s="108"/>
    </row>
    <row r="877">
      <c r="A877" s="167"/>
      <c r="N877" s="108"/>
    </row>
    <row r="878">
      <c r="A878" s="167"/>
      <c r="N878" s="108"/>
    </row>
    <row r="879">
      <c r="A879" s="167"/>
      <c r="N879" s="108"/>
    </row>
    <row r="880">
      <c r="A880" s="167"/>
      <c r="N880" s="108"/>
    </row>
    <row r="881">
      <c r="A881" s="167"/>
      <c r="N881" s="108"/>
    </row>
    <row r="882">
      <c r="A882" s="167"/>
      <c r="N882" s="108"/>
    </row>
    <row r="883">
      <c r="A883" s="167"/>
      <c r="N883" s="108"/>
    </row>
    <row r="884">
      <c r="A884" s="167"/>
      <c r="N884" s="108"/>
    </row>
    <row r="885">
      <c r="A885" s="167"/>
      <c r="N885" s="108"/>
    </row>
    <row r="886">
      <c r="A886" s="167"/>
      <c r="N886" s="108"/>
    </row>
    <row r="887">
      <c r="A887" s="167"/>
      <c r="N887" s="108"/>
    </row>
    <row r="888">
      <c r="A888" s="167"/>
      <c r="N888" s="108"/>
    </row>
    <row r="889">
      <c r="A889" s="167"/>
      <c r="N889" s="108"/>
    </row>
    <row r="890">
      <c r="A890" s="167"/>
      <c r="N890" s="108"/>
    </row>
    <row r="891">
      <c r="A891" s="167"/>
      <c r="N891" s="108"/>
    </row>
    <row r="892">
      <c r="A892" s="167"/>
      <c r="N892" s="108"/>
    </row>
    <row r="893">
      <c r="A893" s="167"/>
      <c r="N893" s="108"/>
    </row>
    <row r="894">
      <c r="A894" s="167"/>
      <c r="N894" s="108"/>
    </row>
    <row r="895">
      <c r="A895" s="167"/>
      <c r="N895" s="108"/>
    </row>
    <row r="896">
      <c r="A896" s="167"/>
      <c r="N896" s="108"/>
    </row>
    <row r="897">
      <c r="A897" s="167"/>
      <c r="N897" s="108"/>
    </row>
    <row r="898">
      <c r="A898" s="167"/>
      <c r="N898" s="108"/>
    </row>
    <row r="899">
      <c r="A899" s="167"/>
      <c r="N899" s="108"/>
    </row>
    <row r="900">
      <c r="A900" s="167"/>
      <c r="N900" s="108"/>
    </row>
    <row r="901">
      <c r="A901" s="167"/>
      <c r="N901" s="108"/>
    </row>
    <row r="902">
      <c r="A902" s="167"/>
      <c r="N902" s="108"/>
    </row>
    <row r="903">
      <c r="A903" s="167"/>
      <c r="N903" s="108"/>
    </row>
    <row r="904">
      <c r="A904" s="167"/>
      <c r="N904" s="108"/>
    </row>
    <row r="905">
      <c r="A905" s="167"/>
      <c r="N905" s="108"/>
    </row>
    <row r="906">
      <c r="A906" s="167"/>
      <c r="N906" s="108"/>
    </row>
    <row r="907">
      <c r="A907" s="167"/>
      <c r="N907" s="108"/>
    </row>
    <row r="908">
      <c r="A908" s="167"/>
      <c r="N908" s="108"/>
    </row>
    <row r="909">
      <c r="A909" s="167"/>
      <c r="N909" s="108"/>
    </row>
    <row r="910">
      <c r="A910" s="167"/>
      <c r="N910" s="108"/>
    </row>
    <row r="911">
      <c r="A911" s="167"/>
      <c r="N911" s="108"/>
    </row>
    <row r="912">
      <c r="A912" s="167"/>
      <c r="N912" s="108"/>
    </row>
    <row r="913">
      <c r="A913" s="167"/>
      <c r="N913" s="108"/>
    </row>
    <row r="914">
      <c r="A914" s="167"/>
      <c r="N914" s="108"/>
    </row>
    <row r="915">
      <c r="A915" s="167"/>
      <c r="N915" s="108"/>
    </row>
    <row r="916">
      <c r="A916" s="167"/>
      <c r="N916" s="108"/>
    </row>
    <row r="917">
      <c r="A917" s="167"/>
      <c r="N917" s="108"/>
    </row>
    <row r="918">
      <c r="A918" s="167"/>
      <c r="N918" s="108"/>
    </row>
    <row r="919">
      <c r="A919" s="167"/>
      <c r="N919" s="108"/>
    </row>
    <row r="920">
      <c r="A920" s="167"/>
      <c r="N920" s="108"/>
    </row>
    <row r="921">
      <c r="A921" s="167"/>
      <c r="N921" s="108"/>
    </row>
    <row r="922">
      <c r="A922" s="167"/>
      <c r="N922" s="108"/>
    </row>
    <row r="923">
      <c r="A923" s="167"/>
      <c r="N923" s="108"/>
    </row>
    <row r="924">
      <c r="A924" s="167"/>
      <c r="N924" s="108"/>
    </row>
    <row r="925">
      <c r="A925" s="167"/>
      <c r="N925" s="108"/>
    </row>
    <row r="926">
      <c r="A926" s="167"/>
      <c r="N926" s="108"/>
    </row>
    <row r="927">
      <c r="A927" s="167"/>
      <c r="N927" s="108"/>
    </row>
    <row r="928">
      <c r="A928" s="167"/>
      <c r="N928" s="108"/>
    </row>
    <row r="929">
      <c r="A929" s="167"/>
      <c r="N929" s="108"/>
    </row>
    <row r="930">
      <c r="A930" s="167"/>
      <c r="N930" s="108"/>
    </row>
    <row r="931">
      <c r="A931" s="167"/>
      <c r="N931" s="108"/>
    </row>
    <row r="932">
      <c r="A932" s="167"/>
      <c r="N932" s="108"/>
    </row>
    <row r="933">
      <c r="A933" s="167"/>
      <c r="N933" s="108"/>
    </row>
    <row r="934">
      <c r="A934" s="167"/>
      <c r="N934" s="108"/>
    </row>
    <row r="935">
      <c r="A935" s="167"/>
      <c r="N935" s="108"/>
    </row>
    <row r="936">
      <c r="A936" s="167"/>
      <c r="N936" s="108"/>
    </row>
    <row r="937">
      <c r="A937" s="167"/>
      <c r="N937" s="108"/>
    </row>
    <row r="938">
      <c r="A938" s="167"/>
      <c r="N938" s="108"/>
    </row>
    <row r="939">
      <c r="A939" s="167"/>
      <c r="N939" s="108"/>
    </row>
    <row r="940">
      <c r="A940" s="167"/>
      <c r="N940" s="108"/>
    </row>
    <row r="941">
      <c r="A941" s="167"/>
      <c r="N941" s="108"/>
    </row>
    <row r="942">
      <c r="A942" s="167"/>
      <c r="N942" s="108"/>
    </row>
    <row r="943">
      <c r="A943" s="167"/>
      <c r="N943" s="108"/>
    </row>
    <row r="944">
      <c r="A944" s="167"/>
      <c r="N944" s="108"/>
    </row>
    <row r="945">
      <c r="A945" s="167"/>
      <c r="N945" s="108"/>
    </row>
    <row r="946">
      <c r="A946" s="167"/>
      <c r="N946" s="108"/>
    </row>
    <row r="947">
      <c r="A947" s="167"/>
      <c r="N947" s="108"/>
    </row>
    <row r="948">
      <c r="A948" s="167"/>
      <c r="N948" s="108"/>
    </row>
    <row r="949">
      <c r="A949" s="167"/>
      <c r="N949" s="108"/>
    </row>
    <row r="950">
      <c r="A950" s="167"/>
      <c r="N950" s="108"/>
    </row>
    <row r="951">
      <c r="A951" s="167"/>
      <c r="N951" s="108"/>
    </row>
    <row r="952">
      <c r="A952" s="167"/>
      <c r="N952" s="108"/>
    </row>
    <row r="953">
      <c r="A953" s="167"/>
      <c r="N953" s="108"/>
    </row>
    <row r="954">
      <c r="A954" s="167"/>
      <c r="N954" s="108"/>
    </row>
    <row r="955">
      <c r="A955" s="167"/>
      <c r="N955" s="108"/>
    </row>
    <row r="956">
      <c r="A956" s="167"/>
      <c r="N956" s="108"/>
    </row>
    <row r="957">
      <c r="A957" s="167"/>
      <c r="N957" s="108"/>
    </row>
    <row r="958">
      <c r="A958" s="167"/>
      <c r="N958" s="108"/>
    </row>
    <row r="959">
      <c r="A959" s="167"/>
      <c r="N959" s="108"/>
    </row>
    <row r="960">
      <c r="A960" s="167"/>
      <c r="N960" s="108"/>
    </row>
    <row r="961">
      <c r="A961" s="167"/>
      <c r="N961" s="108"/>
    </row>
    <row r="962">
      <c r="A962" s="167"/>
      <c r="N962" s="108"/>
    </row>
    <row r="963">
      <c r="A963" s="167"/>
      <c r="N963" s="108"/>
    </row>
    <row r="964">
      <c r="A964" s="167"/>
      <c r="N964" s="108"/>
    </row>
    <row r="965">
      <c r="A965" s="167"/>
      <c r="N965" s="108"/>
    </row>
    <row r="966">
      <c r="A966" s="167"/>
      <c r="N966" s="108"/>
    </row>
    <row r="967">
      <c r="A967" s="167"/>
      <c r="N967" s="108"/>
    </row>
    <row r="968">
      <c r="A968" s="167"/>
      <c r="N968" s="108"/>
    </row>
    <row r="969">
      <c r="A969" s="167"/>
      <c r="N969" s="108"/>
    </row>
    <row r="970">
      <c r="A970" s="167"/>
      <c r="N970" s="108"/>
    </row>
    <row r="971">
      <c r="A971" s="167"/>
      <c r="N971" s="108"/>
    </row>
    <row r="972">
      <c r="A972" s="167"/>
      <c r="N972" s="108"/>
    </row>
    <row r="973">
      <c r="A973" s="167"/>
      <c r="N973" s="108"/>
    </row>
    <row r="974">
      <c r="A974" s="167"/>
      <c r="N974" s="108"/>
    </row>
    <row r="975">
      <c r="A975" s="167"/>
      <c r="N975" s="108"/>
    </row>
    <row r="976">
      <c r="A976" s="167"/>
      <c r="N976" s="108"/>
    </row>
    <row r="977">
      <c r="A977" s="167"/>
      <c r="N977" s="108"/>
    </row>
    <row r="978">
      <c r="A978" s="167"/>
      <c r="N978" s="108"/>
    </row>
    <row r="979">
      <c r="A979" s="167"/>
      <c r="N979" s="108"/>
    </row>
    <row r="980">
      <c r="A980" s="167"/>
      <c r="N980" s="108"/>
    </row>
    <row r="981">
      <c r="A981" s="167"/>
      <c r="N981" s="108"/>
    </row>
    <row r="982">
      <c r="A982" s="167"/>
      <c r="N982" s="108"/>
    </row>
    <row r="983">
      <c r="A983" s="167"/>
      <c r="N983" s="108"/>
    </row>
    <row r="984">
      <c r="A984" s="167"/>
      <c r="N984" s="108"/>
    </row>
    <row r="985">
      <c r="A985" s="167"/>
      <c r="N985" s="108"/>
    </row>
    <row r="986">
      <c r="A986" s="167"/>
      <c r="N986" s="108"/>
    </row>
    <row r="987">
      <c r="A987" s="167"/>
      <c r="N987" s="108"/>
    </row>
    <row r="988">
      <c r="A988" s="167"/>
      <c r="N988" s="108"/>
    </row>
    <row r="989">
      <c r="A989" s="167"/>
      <c r="N989" s="108"/>
    </row>
    <row r="990">
      <c r="A990" s="167"/>
      <c r="N990" s="108"/>
    </row>
    <row r="991">
      <c r="A991" s="167"/>
      <c r="N991" s="108"/>
    </row>
    <row r="992">
      <c r="A992" s="167"/>
      <c r="N992" s="108"/>
    </row>
    <row r="993">
      <c r="A993" s="167"/>
      <c r="N993" s="108"/>
    </row>
    <row r="994">
      <c r="A994" s="167"/>
      <c r="N994" s="108"/>
    </row>
    <row r="995">
      <c r="A995" s="167"/>
      <c r="N995" s="108"/>
    </row>
    <row r="996">
      <c r="A996" s="167"/>
      <c r="N996" s="108"/>
    </row>
    <row r="997">
      <c r="A997" s="167"/>
      <c r="N997" s="108"/>
    </row>
    <row r="998">
      <c r="A998" s="167"/>
      <c r="N998" s="10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2.88"/>
    <col customWidth="1" min="3" max="3" width="34.38"/>
  </cols>
  <sheetData>
    <row r="1">
      <c r="A1" s="173" t="str">
        <f>IFERROR(__xludf.DUMMYFUNCTION("IMPORTRANGE(""https://docs.google.com/spreadsheets/d/1hnDXdyVS4aonZPp7X5xvrh_3tDY3h-VQ3eDvhBz5-ws/edit#gid=2062280028"",""汇总-短what's new!A:z"")"),"VersionId")</f>
        <v>VersionId</v>
      </c>
      <c r="B1" s="145"/>
      <c r="C1" s="145" t="str">
        <f>IFERROR(__xludf.DUMMYFUNCTION("""COMPUTED_VALUE"""),"CN")</f>
        <v>CN</v>
      </c>
      <c r="D1" s="145" t="str">
        <f>IFERROR(__xludf.DUMMYFUNCTION("""COMPUTED_VALUE"""),"EN")</f>
        <v>EN</v>
      </c>
      <c r="E1" s="145" t="str">
        <f>IFERROR(__xludf.DUMMYFUNCTION("""COMPUTED_VALUE"""),"FR")</f>
        <v>FR</v>
      </c>
      <c r="F1" s="146" t="str">
        <f>IFERROR(__xludf.DUMMYFUNCTION("""COMPUTED_VALUE"""),"DE")</f>
        <v>DE</v>
      </c>
      <c r="G1" s="146" t="str">
        <f>IFERROR(__xludf.DUMMYFUNCTION("""COMPUTED_VALUE"""),"PO")</f>
        <v>PO</v>
      </c>
      <c r="H1" s="146" t="str">
        <f>IFERROR(__xludf.DUMMYFUNCTION("""COMPUTED_VALUE"""),"ZH")</f>
        <v>ZH</v>
      </c>
      <c r="I1" s="146" t="str">
        <f>IFERROR(__xludf.DUMMYFUNCTION("""COMPUTED_VALUE"""),"ID")</f>
        <v>ID</v>
      </c>
      <c r="J1" s="146" t="str">
        <f>IFERROR(__xludf.DUMMYFUNCTION("""COMPUTED_VALUE"""),"TH")</f>
        <v>TH</v>
      </c>
      <c r="K1" s="146" t="str">
        <f>IFERROR(__xludf.DUMMYFUNCTION("""COMPUTED_VALUE"""),"SP")</f>
        <v>SP</v>
      </c>
      <c r="L1" s="146" t="str">
        <f>IFERROR(__xludf.DUMMYFUNCTION("""COMPUTED_VALUE"""),"RU")</f>
        <v>RU</v>
      </c>
      <c r="M1" s="146" t="str">
        <f>IFERROR(__xludf.DUMMYFUNCTION("""COMPUTED_VALUE"""),"TR")</f>
        <v>TR</v>
      </c>
      <c r="N1" s="146" t="str">
        <f>IFERROR(__xludf.DUMMYFUNCTION("""COMPUTED_VALUE"""),"VI")</f>
        <v>VI</v>
      </c>
      <c r="O1" s="146" t="str">
        <f>IFERROR(__xludf.DUMMYFUNCTION("""COMPUTED_VALUE"""),"it")</f>
        <v>it</v>
      </c>
      <c r="P1" s="146" t="str">
        <f>IFERROR(__xludf.DUMMYFUNCTION("""COMPUTED_VALUE"""),"pl")</f>
        <v>pl</v>
      </c>
      <c r="Q1" s="146" t="str">
        <f>IFERROR(__xludf.DUMMYFUNCTION("""COMPUTED_VALUE"""),"ar")</f>
        <v>ar</v>
      </c>
      <c r="R1" s="34" t="str">
        <f>IFERROR(__xludf.DUMMYFUNCTION("""COMPUTED_VALUE"""),"JP")</f>
        <v>JP</v>
      </c>
      <c r="S1" s="34" t="str">
        <f>IFERROR(__xludf.DUMMYFUNCTION("""COMPUTED_VALUE"""),"KR")</f>
        <v>KR</v>
      </c>
      <c r="T1" s="108"/>
      <c r="U1" s="108"/>
      <c r="V1" s="108"/>
      <c r="W1" s="108"/>
      <c r="X1" s="108"/>
      <c r="Y1" s="108"/>
      <c r="Z1" s="108"/>
    </row>
    <row r="2" ht="72.0" customHeight="1">
      <c r="A2" s="149" t="str">
        <f>IFERROR(__xludf.DUMMYFUNCTION("""COMPUTED_VALUE"""),"0.2.0")</f>
        <v>0.2.0</v>
      </c>
      <c r="B2" s="174"/>
      <c r="C2" s="44" t="str">
        <f>IFERROR(__xludf.DUMMYFUNCTION("""COMPUTED_VALUE"""),"-新月卡系统：订阅月卡，每天登陆获得奖励！
-新增举报功能：欢迎文明沟通，举报不文明言论
-新增战斗音效：改善战斗体验！
-新增游戏客服功能：欢迎您反馈游戏中的问题，这对我们非常重要！")</f>
        <v>-新月卡系统：订阅月卡，每天登陆获得奖励！
-新增举报功能：欢迎文明沟通，举报不文明言论
-新增战斗音效：改善战斗体验！
-新增游戏客服功能：欢迎您反馈游戏中的问题，这对我们非常重要！</v>
      </c>
      <c r="D2" s="159" t="str">
        <f>IFERROR(__xludf.DUMMYFUNCTION("""COMPUTED_VALUE"""),"- New Monthly Card System: Our new Monthly Card System is the deal! Join us everyday and get some unique bananafits!
- New report function is now available: We’re here to chew bananas and play games. And we should all be out of bad behaviors. Do not hesit"&amp;"ate to report these bad monkeys.
- New Combat Sound Effects: Let’s blow the Monkey Whisperer’s ears with big booms!
- New Customer Service Function: Contact us! We’re here to make great games with you and for you! ")</f>
        <v>- New Monthly Card System: Our new Monthly Card System is the deal! Join us everyday and get some unique bananafits!
- New report function is now available: We’re here to chew bananas and play games. And we should all be out of bad behaviors. Do not hesitate to report these bad monkeys.
- New Combat Sound Effects: Let’s blow the Monkey Whisperer’s ears with big booms!
- New Customer Service Function: Contact us! We’re here to make great games with you and for you! </v>
      </c>
      <c r="E2" s="159" t="str">
        <f>IFERROR(__xludf.DUMMYFUNCTION("""COMPUTED_VALUE"""),"- Nouvel abonnement mensuel : Notre nouvel abonnement mensuel, c’est la bonne affaire ! Rejoignez-nous tous les jours pour profiter de nombreux avantages,!
- Nouvelle fonctionnalité de signalement : Nous devrions tous éviter les mauvais comportements. N’h"&amp;"ésitez pas à signaler ces cercopithèques.
- Nouveaux effets sonores de combats : Attention aux tympans !
- Nouvelle fonctionnalité de support client : Contactez-nous ! Nous faisons de super jeux avec vous et pour vous !
")</f>
        <v>- Nouvel abonnement mensuel : Notre nouvel abonnement mensuel, c’est la bonne affaire ! Rejoignez-nous tous les jours pour profiter de nombreux avantages,!
- Nouvelle fonctionnalité de signalement : Nous devrions tous éviter les mauvais comportements. N’hésitez pas à signaler ces cercopithèques.
- Nouveaux effets sonores de combats : Attention aux tympans !
- Nouvelle fonctionnalité de support client : Contactez-nous ! Nous faisons de super jeux avec vous et pour vous !
</v>
      </c>
      <c r="F2" s="159"/>
      <c r="G2" s="159"/>
      <c r="H2" s="159"/>
      <c r="I2" s="159"/>
      <c r="J2" s="159"/>
      <c r="K2" s="159"/>
      <c r="L2" s="159"/>
      <c r="M2" s="159"/>
      <c r="N2" s="45"/>
      <c r="O2" s="45"/>
      <c r="P2" s="34"/>
      <c r="Q2" s="34"/>
      <c r="R2" s="34"/>
      <c r="S2" s="34"/>
      <c r="T2" s="108"/>
      <c r="U2" s="108"/>
      <c r="V2" s="108"/>
      <c r="W2" s="108"/>
      <c r="X2" s="108"/>
      <c r="Y2" s="108"/>
      <c r="Z2" s="108"/>
    </row>
    <row r="3" ht="72.0" customHeight="1">
      <c r="A3" s="149" t="str">
        <f>IFERROR(__xludf.DUMMYFUNCTION("""COMPUTED_VALUE"""),"0.3.0")</f>
        <v>0.3.0</v>
      </c>
      <c r="B3" s="174"/>
      <c r="C3" s="44" t="str">
        <f>IFERROR(__xludf.DUMMYFUNCTION("""COMPUTED_VALUE"""),"-世界地图改进: 大自然赋予我们河流和新的树木
-新的聊天功能: 你有一个秘密要分享吗？欢迎使用新的私人聊天功能
-新的昼夜系统: 野蛮猴群在晚上将更强大，它们在黑暗中发光!
-新动画: 酒馆现在是一个更热闹的地方！
-界面优化: 更方便地查看你的部队！
-bug修复：修复了聊天界面中的一些问题、运输资源时选择量可以超过玩家运输上限、错误显示杀敌数量等问题")</f>
        <v>-世界地图改进: 大自然赋予我们河流和新的树木
-新的聊天功能: 你有一个秘密要分享吗？欢迎使用新的私人聊天功能
-新的昼夜系统: 野蛮猴群在晚上将更强大，它们在黑暗中发光!
-新动画: 酒馆现在是一个更热闹的地方！
-界面优化: 更方便地查看你的部队！
-bug修复：_x0008_修复了聊天界面中的一些问题、运输资源时选择量可以超过玩家运输上限、错误显示杀敌数量等问题</v>
      </c>
      <c r="D3" s="159" t="str">
        <f>IFERROR(__xludf.DUMMYFUNCTION("""COMPUTED_VALUE"""),"-World map improvement: Mother Nature granted us with rivers and new species of trees
-New chat function: You have a secret to share? Use the new private chat function
-New day and night cycle: At night white mutants are stronger… And they glow in the dar"&amp;"k! 
-New animations: The tavern is a more lively place to visit now
-Improved interface: Check your troops at a glance
-Bug fixes:
Various bugs for the chat UI
The resource sliders going beyond the available quantity
Rally target wrongly displayed")</f>
        <v>-World map improvement: Mother Nature granted us with rivers and new species of trees
-New chat function: You have a secret to share? Use the new private chat function
-New day and night cycle: At night white mutants are stronger… And they glow in the dark! 
-New animations: The tavern is a more lively place to visit now
-Improved interface: Check your troops at a glance
-Bug fixes:
Various bugs for the chat UI
The resource sliders going beyond the available quantity
Rally target wrongly displayed</v>
      </c>
      <c r="E3" s="159" t="str">
        <f>IFERROR(__xludf.DUMMYFUNCTION("""COMPUTED_VALUE"""),"-Amélioration de la carte : Mère Nature nous a offert des rivières et de nouveaux arbres
-Nouvelle fonctionnalité de chat : Un secret à partager ? Le chat privé est là pour ça
-Cycle jour nuit : La nuit, les sauvages sont plus forts… Et ils brillent dans "&amp;"le noir !
-Nouvelles animations : La taverne est plus vivante maintenant
-Amélioration de l’interface : Inspecte tes troupes en un clin d’oeil
-Corrections de bugs :
Divers bugs dans le chat
Problème du curseur de ressources
Cible de ralliement erronée")</f>
        <v>-Amélioration de la carte : Mère Nature nous a offert des rivières et de nouveaux arbres
-Nouvelle fonctionnalité de chat : Un secret à partager ? Le chat privé est là pour ça
-Cycle jour nuit : La nuit, les sauvages sont plus forts… Et ils brillent dans le noir !
-Nouvelles animations : La taverne est plus vivante maintenant
-Amélioration de l’interface : Inspecte tes troupes en un clin d’oeil
-Corrections de bugs :
Divers bugs dans le chat
Problème du curseur de ressources
Cible de ralliement erronée</v>
      </c>
      <c r="F3" s="159"/>
      <c r="G3" s="159"/>
      <c r="H3" s="159"/>
      <c r="I3" s="159"/>
      <c r="J3" s="159"/>
      <c r="K3" s="159"/>
      <c r="L3" s="159"/>
      <c r="M3" s="159"/>
      <c r="N3" s="45"/>
      <c r="O3" s="45"/>
      <c r="P3" s="34"/>
      <c r="Q3" s="34"/>
      <c r="R3" s="34"/>
      <c r="S3" s="34"/>
      <c r="T3" s="108"/>
      <c r="U3" s="108"/>
      <c r="V3" s="108"/>
      <c r="W3" s="108"/>
      <c r="X3" s="108"/>
      <c r="Y3" s="108"/>
      <c r="Z3" s="108"/>
    </row>
    <row r="4" ht="72.0" customHeight="1">
      <c r="A4" s="149" t="str">
        <f>IFERROR(__xludf.DUMMYFUNCTION("""COMPUTED_VALUE"""),"0.4.0")</f>
        <v>0.4.0</v>
      </c>
      <c r="B4" s="174"/>
      <c r="C4" s="44" t="str">
        <f>IFERROR(__xludf.DUMMYFUNCTION("""COMPUTED_VALUE"""),"-新的英雄系统：独一无二的英雄！每个都有史诗般的故事和毁灭性的技能！
-新的地图玩法：发现人类的核工厂！
-新增联盟建筑：扩大联盟的领土吧！
-新的集结界面：与盟友发起一场战争变得更方便了！
-新增黑名单功能：让那些讨厌的声音不再响起！
-赛季优化：赛季结束后也可以运输铀了，排名靠后的部落将更容易追赶！
-bug修复：战报问题、其他猴子的城市信息显示错误")</f>
        <v>-新的英雄系统：独一无二的英雄！每个都有史诗般的故事和毁灭性的技能！
-新的地图玩法：发现人类的核工厂！
-新增联盟建筑：扩大联盟的领土吧！
-新的集结界面：与盟友发起一场战争变得更方便了！
-新增黑名单功能：让那些讨厌的声音不再响起！
-赛季优化：赛季结束后也可以运输铀了，排名靠后的部落将更容易追赶！
-bug修复：战报问题、其他猴子的城市信息显示错误</v>
      </c>
      <c r="D4" s="159" t="str">
        <f>IFERROR(__xludf.DUMMYFUNCTION("""COMPUTED_VALUE"""),"-New Hero System: Unique heroes, each with an epic tale and devastating skills!
-New Map Feature: Discover the Distributors the humans left behind!
-New Alliance Building: Expand Alliance territory!
-New Rally Interface: War parties are more convenient th"&amp;"an ever!
-Added blacklist function: Keep annoying monkeys out of chat channels!
-Optimized Gameplay: Create post season convoys! Close the gap with leading hordes!
-Bug fixed: Wrongly displayed cities and War reporting issues have been resolved")</f>
        <v>-New Hero System: Unique heroes, each with an epic tale and devastating skills!
-New Map Feature: Discover the Distributors the humans left behind!
-New Alliance Building: Expand Alliance territory!
-New Rally Interface: War parties are more convenient than ever!
-Added blacklist function: Keep annoying monkeys out of chat channels!
-Optimized Gameplay: Create post season convoys! Close the gap with leading hordes!
-Bug fixed: Wrongly displayed cities and War reporting issues have been resolved</v>
      </c>
      <c r="E4" s="159" t="str">
        <f>IFERROR(__xludf.DUMMYFUNCTION("""COMPUTED_VALUE"""),"-Arrivée des héros : Des héros uniques, épiques et puissants
-Nouvel édifice sur la carte : Découvrez les Distributeurs laissés par les humains
-Nouveau bâtiment d’alliance : Étendez votre territoire
-Nouvelle interface de ralliement : Bien plus pratique "&amp;"qu'avant
-Liste noire : Bloquez les malveillants dans le chat
-Optimisation du gameplay : La récolte d’uranium continue après le lancement de la fusée
-Corrections de bugs : Problème des rapports de guerre et de visualisation des villes")</f>
        <v>-Arrivée des héros : Des héros uniques, épiques et puissants
-Nouvel édifice sur la carte : Découvrez les Distributeurs laissés par les humains
-Nouveau bâtiment d’alliance : Étendez votre territoire
-Nouvelle interface de ralliement : Bien plus pratique qu'avant
-Liste noire : Bloquez les malveillants dans le chat
-Optimisation du gameplay : La récolte d’uranium continue après le lancement de la fusée
-Corrections de bugs : Problème des rapports de guerre et de visualisation des villes</v>
      </c>
      <c r="F4" s="159"/>
      <c r="G4" s="159"/>
      <c r="H4" s="159"/>
      <c r="I4" s="159"/>
      <c r="J4" s="159"/>
      <c r="K4" s="159"/>
      <c r="L4" s="159"/>
      <c r="M4" s="159"/>
      <c r="N4" s="45"/>
      <c r="O4" s="45"/>
      <c r="P4" s="34"/>
      <c r="Q4" s="34"/>
      <c r="R4" s="34"/>
      <c r="S4" s="34"/>
      <c r="T4" s="108"/>
      <c r="U4" s="108"/>
      <c r="V4" s="108"/>
      <c r="W4" s="108"/>
      <c r="X4" s="108"/>
      <c r="Y4" s="108"/>
      <c r="Z4" s="108"/>
    </row>
    <row r="5" ht="72.0" customHeight="1">
      <c r="A5" s="149" t="str">
        <f>IFERROR(__xludf.DUMMYFUNCTION("""COMPUTED_VALUE"""),"0.5.0")</f>
        <v>0.5.0</v>
      </c>
      <c r="B5" s="174"/>
      <c r="C5" s="44" t="str">
        <f>IFERROR(__xludf.DUMMYFUNCTION("""COMPUTED_VALUE"""),"-新的探索者之塔：创造历史并获得奖励！
-新活动：完成任务并争夺排名！
-新的神秘：发现线索，发现未知的野怪！
-新的版本前瞻功能：提前得知最新版本！下载最新版本获得奖励！
-新功能：新玩家获得防护罩！")</f>
        <v>-新的探索者之塔：创造历史并获得奖励！
-新活动：完成任务并争夺排名！
-新的神秘：发现线索，发现未知的野怪！
-新的版本前瞻功能：提前得知最新版本！下载最新版本获得奖励！
-新功能：新玩家获得防护罩！</v>
      </c>
      <c r="D5" s="159" t="str">
        <f>IFERROR(__xludf.DUMMYFUNCTION("""COMPUTED_VALUE"""),"-New Knowledge Tower: Play Gorilla History and make history! Unlock new  great features with your achievements!
-New tracks: It seems an unknown mutant is lurking out there!
-New forecast function: Know the latest developments in advance! 
-New function: "&amp;"Add shield to new players!
-Optimizations: Display interface and Hero animations are optimized. Alliance outposts transport more uranium and Map rules are easier to understand.")</f>
        <v>-New Knowledge Tower: Play Gorilla History and make history! Unlock new  great features with your achievements!
-New tracks: It seems an unknown mutant is lurking out there!
-New forecast function: Know the latest developments in advance! 
-New function: Add shield to new players!
-Optimizations: Display interface and Hero animations are optimized. Alliance outposts transport more uranium and Map rules are easier to understand.</v>
      </c>
      <c r="E5" s="159" t="str">
        <f>IFERROR(__xludf.DUMMYFUNCTION("""COMPUTED_VALUE"""),"-Tour du Savoir : Écrivez l'Histoire et recevez des récompenses
-Nouveaux événements : Terminez les quêtes et participez aux classements
-Nouveau mystère : Suivez la piste et découvrez le mutant inconnu
-Nouvelle fonctionnalité d'avant-première : Découvre"&amp;"z la dernière version du jeu en avant-première et recevez des récompenses en la téléchargeant
-Nouvelle fonctionnalité : Un bouclier pour protéger les nouveaux joueurs")</f>
        <v>-Tour du Savoir : Écrivez l'Histoire et recevez des récompenses
-Nouveaux événements : Terminez les quêtes et participez aux classements
-Nouveau mystère : Suivez la piste et découvrez le mutant inconnu
-Nouvelle fonctionnalité d'avant-première : Découvrez la dernière version du jeu en avant-première et recevez des récompenses en la téléchargeant
-Nouvelle fonctionnalité : Un bouclier pour protéger les nouveaux joueurs</v>
      </c>
      <c r="F5" s="159" t="str">
        <f>IFERROR(__xludf.DUMMYFUNCTION("""COMPUTED_VALUE"""),"- Neue Wissenspyramide: Schreib Geschichte und erhalte Belohnungen!
 - Neue Events: Schließe Quests ab und kämpfe um deinen Platz auf der Rangliste!
 - Neues Rätsel: Folge den Spuren und entdecke den unbekannten Mutanten!
 - Neue Vorschaufunktion: Finde s"&amp;"chon vorher alles über die neueste Version heraus! Exklusive Belohnungen für das Herunterladen der neuesten Version!
 - Neue Funktion: Neue Spieler erhalten einen schützenden Schild!")</f>
        <v>- Neue Wissenspyramide: Schreib Geschichte und erhalte Belohnungen!
 - Neue Events: Schließe Quests ab und kämpfe um deinen Platz auf der Rangliste!
 - Neues Rätsel: Folge den Spuren und entdecke den unbekannten Mutanten!
 - Neue Vorschaufunktion: Finde schon vorher alles über die neueste Version heraus! Exklusive Belohnungen für das Herunterladen der neuesten Version!
 - Neue Funktion: Neue Spieler erhalten einen schützenden Schild!</v>
      </c>
      <c r="G5" s="159"/>
      <c r="H5" s="159"/>
      <c r="I5" s="159"/>
      <c r="J5" s="159"/>
      <c r="K5" s="159"/>
      <c r="L5" s="159"/>
      <c r="M5" s="159"/>
      <c r="N5" s="45"/>
      <c r="O5" s="45"/>
      <c r="P5" s="34"/>
      <c r="Q5" s="34"/>
      <c r="R5" s="34"/>
      <c r="S5" s="34"/>
      <c r="T5" s="108"/>
      <c r="U5" s="108"/>
      <c r="V5" s="108"/>
      <c r="W5" s="108"/>
      <c r="X5" s="108"/>
      <c r="Y5" s="108"/>
      <c r="Z5" s="108"/>
    </row>
    <row r="6" ht="72.0" customHeight="1">
      <c r="A6" s="149" t="str">
        <f>IFERROR(__xludf.DUMMYFUNCTION("""COMPUTED_VALUE"""),"0.6.0")</f>
        <v>0.6.0</v>
      </c>
      <c r="B6" s="174"/>
      <c r="C6" s="44" t="str">
        <f>IFERROR(__xludf.DUMMYFUNCTION("""COMPUTED_VALUE"""),"-新的斗士：效忠于5个部落的斗士！每个都有史诗般的故事和毁灭性的技能！
-新增斗士分享功能：可以在聊天界面分享你拥有的斗士了！
-新增功能：可以在玩家界面内申请加入联盟，而且联盟管理员可以在玩家界面对其他玩家进行联盟邀请了！
-优化地图玩法：优化了联盟据点、 联盟哨塔的修建流程
-界面优化：显示联盟建筑的回收时间")</f>
        <v>-新的斗士：效忠于5个部落的斗士！每个都有史诗般的故事和毁灭性的技能！
-新增斗士分享功能：可以在聊天界面分享你拥有的斗士了！
-新增功能：可以在玩家界面内申请加入联盟，而且联盟管理员可以在玩家界面对其他玩家进行联盟邀请了！
-优化地图玩法：优化了联盟据点、 联盟哨塔的修建流程
-界面优化：显示联盟建筑的回收时间</v>
      </c>
      <c r="D6" s="159" t="str">
        <f>IFERROR(__xludf.DUMMYFUNCTION("""COMPUTED_VALUE"""),"-New Heroes: Each horde now has its own unique Hero! Each bears an epic tale and destructive fighting power!
-New Hero sharing: Share your Hero in the chat interface, allowing you to share these of mighty fighters!
-New function: You can now apply to alli"&amp;"ances within the player interface! Alliance administrators can now invite other here too!
-Optimized map playing: Improved building process for Alliance Outposts and Flags!
-Optimized Interface: Occupation countdown timer is now displayed.")</f>
        <v>-New Heroes: Each horde now has its own unique Hero! Each bears an epic tale and destructive fighting power!
-New Hero sharing: Share your Hero in the chat interface, allowing you to share these of mighty fighters!
-New function: You can now apply to alliances within the player interface! Alliance administrators can now invite other here too!
-Optimized map playing: Improved building process for Alliance Outposts and Flags!
-Optimized Interface: Occupation countdown timer is now displayed.</v>
      </c>
      <c r="E6" s="159" t="str">
        <f>IFERROR(__xludf.DUMMYFUNCTION("""COMPUTED_VALUE"""),"-Héros : Des guerriers aux histoires épiques et aux compétences destructrices
-Partage de héros : Partagez vos héros dans l'interface de chat
-Alliance : Postulez pour une alliance depuis l’interface de joueur. Un administrateur d’alliance peut aussi invi"&amp;"ter un joueur depuis cette même interface
-Optimisation du gameplay : amélioration du processus de construction de l’avant-poste et du drapeau d’alliance
-Optimisation de l’interface : affichage du temps d’occupation des bâtiments par l’alliance")</f>
        <v>-Héros : Des guerriers aux histoires épiques et aux compétences destructrices
-Partage de héros : Partagez vos héros dans l'interface de chat
-Alliance : Postulez pour une alliance depuis l’interface de joueur. Un administrateur d’alliance peut aussi inviter un joueur depuis cette même interface
-Optimisation du gameplay : amélioration du processus de construction de l’avant-poste et du drapeau d’alliance
-Optimisation de l’interface : affichage du temps d’occupation des bâtiments par l’alliance</v>
      </c>
      <c r="F6" s="159" t="str">
        <f>IFERROR(__xludf.DUMMYFUNCTION("""COMPUTED_VALUE"""),"-Neue Helden: Jede Horde besitzt jetzt ihren eigenen Helden! Jeder hat eine epische Hintergrundgeschichte und gewaltige Kampfkraft!
-Helden teilen: Teile deinen Helden im Chat und schau dir mächtige Kämpfer an!
-Neue Funktion: Bewirb dich über die Spieler"&amp;"oberfläche bei Bündnissen! Bündnisleiter können hier auch Spieler einladen!
-Optimierte Kartennutzung: Verbesserter Bauvorgang für Bündnisaußenposten und -flaggen!
-Optimierte Nutzeroberfläche: Besetzungszähler wird jetzt angezeigt.")</f>
        <v>-Neue Helden: Jede Horde besitzt jetzt ihren eigenen Helden! Jeder hat eine epische Hintergrundgeschichte und gewaltige Kampfkraft!
-Helden teilen: Teile deinen Helden im Chat und schau dir mächtige Kämpfer an!
-Neue Funktion: Bewirb dich über die Spieleroberfläche bei Bündnissen! Bündnisleiter können hier auch Spieler einladen!
-Optimierte Kartennutzung: Verbesserter Bauvorgang für Bündnisaußenposten und -flaggen!
-Optimierte Nutzeroberfläche: Besetzungszähler wird jetzt angezeigt.</v>
      </c>
      <c r="G6" s="159"/>
      <c r="H6" s="159"/>
      <c r="I6" s="159"/>
      <c r="J6" s="159"/>
      <c r="K6" s="159"/>
      <c r="L6" s="159"/>
      <c r="M6" s="159"/>
      <c r="N6" s="45"/>
      <c r="O6" s="45"/>
      <c r="P6" s="34"/>
      <c r="Q6" s="34"/>
      <c r="R6" s="34"/>
      <c r="S6" s="34"/>
      <c r="T6" s="108"/>
      <c r="U6" s="108"/>
      <c r="V6" s="108"/>
      <c r="W6" s="108"/>
      <c r="X6" s="108"/>
      <c r="Y6" s="108"/>
      <c r="Z6" s="108"/>
    </row>
    <row r="7" ht="72.0" customHeight="1">
      <c r="A7" s="149" t="str">
        <f>IFERROR(__xludf.DUMMYFUNCTION("""COMPUTED_VALUE"""),"0.7.0")</f>
        <v>0.7.0</v>
      </c>
      <c r="B7" s="174"/>
      <c r="C7" s="44" t="str">
        <f>IFERROR(__xludf.DUMMYFUNCTION("""COMPUTED_VALUE"""),"-更换游戏名字：apeOcalypse正式更名为Age of Apes！
-新的斗士：5位新的斗士来到这里！每个都带有各自出色的天赋！
-新增擂台：这里汇集了众多优秀的斗士，观看斗士赛将可能获得优秀斗士的效忠")</f>
        <v>-更换游戏名字：apeOcalypse正式更名为Age of Apes！
-新的斗士：5位新的斗士来到这里！每个都带有各自出色的天赋！
-新增擂台：这里汇集了众多优秀的斗士，观看斗士赛将可能获得优秀斗士的效忠</v>
      </c>
      <c r="D7" s="159" t="str">
        <f>IFERROR(__xludf.DUMMYFUNCTION("""COMPUTED_VALUE"""),"-Game name change: apeOcalypse has officially changed its name to Age of Apes! While we really liked ""apeOcalypse"" (it's pretty clever!), many of our non-English speaking friends found it difficult to read. Besides, we think ""Age of Apes"" rocks too! 
"&amp;"-New Fighters: 5 new fighters have arrived! Each with their own outstanding combat abilities!
-New Building: The Arena! - Watch excellent fighters compete! Win the loyalty of a fighter to follow you into battle!")</f>
        <v>-Game name change: apeOcalypse has officially changed its name to Age of Apes! While we really liked "apeOcalypse" (it's pretty clever!), many of our non-English speaking friends found it difficult to read. Besides, we think "Age of Apes" rocks too! 
-New Fighters: 5 new fighters have arrived! Each with their own outstanding combat abilities!
-New Building: The Arena! - Watch excellent fighters compete! Win the loyalty of a fighter to follow you into battle!</v>
      </c>
      <c r="E7" s="159" t="str">
        <f>IFERROR(__xludf.DUMMYFUNCTION("""COMPUTED_VALUE"""),"-On change le nom du jeu : apeOcalypse devient... Age of Apes ! On aime vraiment beaucoup ""apeOcalypse"" et son jeu de mot, mais le titre est difficile à lire dans certains pays. Et on adore ""Age of Apes"" également :)
-Nouveaux Combattants: 5 nouveaux "&amp;"héros font leur apparition, chacun avec des compétences géniales !
-Tout nouveau bâtiment: l'Arène !! Vous y trouverez plein de super combattants, et vous devrez gagner leur loyauté pour qu'ils vous rejoignent commander vos troupes!")</f>
        <v>-On change le nom du jeu : apeOcalypse devient... Age of Apes ! On aime vraiment beaucoup "apeOcalypse" et son jeu de mot, mais le titre est difficile à lire dans certains pays. Et on adore "Age of Apes" également :)
-Nouveaux Combattants: 5 nouveaux héros font leur apparition, chacun avec des compétences géniales !
-Tout nouveau bâtiment: l'Arène !! Vous y trouverez plein de super combattants, et vous devrez gagner leur loyauté pour qu'ils vous rejoignent commander vos troupes!</v>
      </c>
      <c r="F7" s="159" t="str">
        <f>IFERROR(__xludf.DUMMYFUNCTION("""COMPUTED_VALUE"""),"- Änderung des Spieltitels: apeOcalypse wurde offiziell in Age of Apes umbenannt! Auch wenn wir „apeOcalypse“ als Titel mochten (er ist ziemlich cool, oder?), fanden viele unserer nicht englischsprachigen Freunde ihn schwer zu lesen. Zudem ist „Age of Ape"&amp;"s“ auch ziemlich abgefahren!
- Neue Kämpfer: 5 neue Kämpfer sind hier! Jeder mit ganz eigenen Kampffähigkeiten!
- Neues Gebäude: Die Arena - Sieh den besten Kämpfern zu! Gewinne die Loyalität eines Kämpfers und hol ihn dir an deine Seite!")</f>
        <v>- Änderung des Spieltitels: apeOcalypse wurde offiziell in Age of Apes umbenannt! Auch wenn wir „apeOcalypse“ als Titel mochten (er ist ziemlich cool, oder?), fanden viele unserer nicht englischsprachigen Freunde ihn schwer zu lesen. Zudem ist „Age of Apes“ auch ziemlich abgefahren!
- Neue Kämpfer: 5 neue Kämpfer sind hier! Jeder mit ganz eigenen Kampffähigkeiten!
- Neues Gebäude: Die Arena - Sieh den besten Kämpfern zu! Gewinne die Loyalität eines Kämpfers und hol ihn dir an deine Seite!</v>
      </c>
      <c r="G7" s="159"/>
      <c r="H7" s="159"/>
      <c r="I7" s="159"/>
      <c r="J7" s="159"/>
      <c r="K7" s="159"/>
      <c r="L7" s="159"/>
      <c r="M7" s="159"/>
      <c r="N7" s="45"/>
      <c r="O7" s="45"/>
      <c r="P7" s="34"/>
      <c r="Q7" s="34"/>
      <c r="R7" s="34"/>
      <c r="S7" s="34"/>
      <c r="T7" s="108"/>
      <c r="U7" s="108"/>
      <c r="V7" s="108"/>
      <c r="W7" s="108"/>
      <c r="X7" s="108"/>
      <c r="Y7" s="108"/>
      <c r="Z7" s="108"/>
    </row>
    <row r="8" ht="72.0" customHeight="1">
      <c r="A8" s="149" t="str">
        <f>IFERROR(__xludf.DUMMYFUNCTION("""COMPUTED_VALUE"""),"0.8.0")</f>
        <v>0.8.0</v>
      </c>
      <c r="B8" s="174"/>
      <c r="C8" s="44" t="str">
        <f>IFERROR(__xludf.DUMMYFUNCTION("""COMPUTED_VALUE"""),"-情报中心优化：准确掌握城市动向，快速打击躲在灌木丛的猴子！
-新消息提示：不再错过聊天频道的新消息！
-卡顿问题：优化了行军界面、活动界面、多人战斗的卡顿问题
-采集优化：可以看到集结运输车的采集动态了！")</f>
        <v>-情报中心优化：准确掌握城市动向，快速打击躲在灌木丛的猴子！
-新消息提示：不再错过聊天频道的新消息！
-卡顿问题：优化了行军界面、活动界面、多人战斗的卡顿问题
-采集优化：可以看到集结运输车的采集动态了！</v>
      </c>
      <c r="D8" s="159" t="str">
        <f>IFERROR(__xludf.DUMMYFUNCTION("""COMPUTED_VALUE"""),"- Watch Tower optimization: Take advantage of our new cutting-edge surveillance systems and get those monkeys hiding in the bushes!
- New notification prompt: Don’t miss any new messages from your chats!
- Frame rate optimization: The marching, event, and"&amp;" multi-unit fight interfaces have been improved, ensuring a smoother gaming experience overall and in older devices.
- Convoy progress has been added: You can now see the collection progress of Rally Convoys in real-time!")</f>
        <v>- Watch Tower optimization: Take advantage of our new cutting-edge surveillance systems and get those monkeys hiding in the bushes!
- New notification prompt: Don’t miss any new messages from your chats!
- Frame rate optimization: The marching, event, and multi-unit fight interfaces have been improved, ensuring a smoother gaming experience overall and in older devices.
- Convoy progress has been added: You can now see the collection progress of Rally Convoys in real-time!</v>
      </c>
      <c r="E8" s="159" t="str">
        <f>IFERROR(__xludf.DUMMYFUNCTION("""COMPUTED_VALUE"""),"- Optimisation de la tour de garde: Profitez de nos nouveaux systèmes de surveillance de pointe.
- Nouvelle notification: Ne manquez aucun nouveau message de vos chats!
- Optimisation des performances: Améliorations concernant les marches, les événements "&amp;"et les interfaces des combat garantissant une expérience de jeu plus fluide et de meilleures performances sur les appareils plus anciens.
- Convois d'alliance: Vous pouvez maintenant voir la progression de collecte des convois d'alliance.")</f>
        <v>- Optimisation de la tour de garde: Profitez de nos nouveaux systèmes de surveillance de pointe.
- Nouvelle notification: Ne manquez aucun nouveau message de vos chats!
- Optimisation des performances: Améliorations concernant les marches, les événements et les interfaces des combat garantissant une expérience de jeu plus fluide et de meilleures performances sur les appareils plus anciens.
- Convois d'alliance: Vous pouvez maintenant voir la progression de collecte des convois d'alliance.</v>
      </c>
      <c r="F8" s="159" t="str">
        <f>IFERROR(__xludf.DUMMYFUNCTION("""COMPUTED_VALUE"""),"- Der Wachturm wurde optimiert: Nutze die neuen, hochmodernen Überwachungssysteme und zeig es den Affen, die sich in den Büschen verstecken!
- Neues Benachrichtigungsfenster: Verpasse keine neuen Nachrichten aus deinen Chats!
- Zahlreiche Optimierungen hi"&amp;"nsichtlich des Marsch-Interfaces, des Event-Interfaces und der Kämpfe mit mehreren Einheiten. 
- Konvois wurden optimiert: Nun kannst du die Animationen von Sammelangriffs-Konvois in vollem Umfang genießen!")</f>
        <v>- Der Wachturm wurde optimiert: Nutze die neuen, hochmodernen Überwachungssysteme und zeig es den Affen, die sich in den Büschen verstecken!
- Neues Benachrichtigungsfenster: Verpasse keine neuen Nachrichten aus deinen Chats!
- Zahlreiche Optimierungen hinsichtlich des Marsch-Interfaces, des Event-Interfaces und der Kämpfe mit mehreren Einheiten. 
- Konvois wurden optimiert: Nun kannst du die Animationen von Sammelangriffs-Konvois in vollem Umfang genießen!</v>
      </c>
      <c r="G8" s="159"/>
      <c r="H8" s="159"/>
      <c r="I8" s="159"/>
      <c r="J8" s="159"/>
      <c r="K8" s="159" t="str">
        <f>IFERROR(__xludf.DUMMYFUNCTION("""COMPUTED_VALUE"""),"- Optimización de torre de vigilancia: ¡Aprovecha lo último en tecnología de supervisión y acaba a los monos que se esconden en los arbustos!
- Nuevas notificaciones: ¡No dejes pasar los mensajes de chat!
- Optimización de velocidad: Mejoramos las interfa"&amp;"ces de marcha, evento y combate entre múltiples unidades, proporcionando una experiencia más fluida en general, especialmente para dispositivos más antiguos.
- Añadido progreso de escoltas: ¡Puedes ver el progreso de recogida de las escoltas de congregaci"&amp;"ón en tiempo real!")</f>
        <v>- Optimización de torre de vigilancia: ¡Aprovecha lo último en tecnología de supervisión y acaba a los monos que se esconden en los arbustos!
- Nuevas notificaciones: ¡No dejes pasar los mensajes de chat!
- Optimización de velocidad: Mejoramos las interfaces de marcha, evento y combate entre múltiples unidades, proporcionando una experiencia más fluida en general, especialmente para dispositivos más antiguos.
- Añadido progreso de escoltas: ¡Puedes ver el progreso de recogida de las escoltas de congregación en tiempo real!</v>
      </c>
      <c r="L8" s="159"/>
      <c r="M8" s="159"/>
      <c r="N8" s="45"/>
      <c r="O8" s="45"/>
      <c r="P8" s="34"/>
      <c r="Q8" s="34"/>
      <c r="R8" s="34"/>
      <c r="S8" s="34"/>
      <c r="T8" s="108"/>
      <c r="U8" s="108"/>
      <c r="V8" s="108"/>
      <c r="W8" s="108"/>
      <c r="X8" s="108"/>
      <c r="Y8" s="108"/>
      <c r="Z8" s="108"/>
    </row>
    <row r="9" ht="72.0" customHeight="1">
      <c r="A9" s="149" t="str">
        <f>IFERROR(__xludf.DUMMYFUNCTION("""COMPUTED_VALUE"""),"0.8.1")</f>
        <v>0.8.1</v>
      </c>
      <c r="B9" s="174"/>
      <c r="C9" s="44" t="str">
        <f>IFERROR(__xludf.DUMMYFUNCTION("""COMPUTED_VALUE"""),"-新增语言：我们支持西班牙语了！您可以在 “设置” 面板中切换语言！")</f>
        <v>-新增语言：我们支持西班牙语了！您可以在 “设置” 面板中切换语言！</v>
      </c>
      <c r="D9" s="159" t="str">
        <f>IFERROR(__xludf.DUMMYFUNCTION("""COMPUTED_VALUE"""),"- New language added: ¡Hola! As we are always looking to improve our communication with more players around the world, we are excited to announce our new support for Spanish! You can choose your default language in the Settings panel, by tapping your Avat"&amp;"ar picture at the left upper corner of your screen. See you in the Tavern amigos!")</f>
        <v>- New language added: ¡Hola! As we are always looking to improve our communication with more players around the world, we are excited to announce our new support for Spanish! You can choose your default language in the Settings panel, by tapping your Avatar picture at the left upper corner of your screen. See you in the Tavern amigos!</v>
      </c>
      <c r="E9" s="159" t="str">
        <f>IFERROR(__xludf.DUMMYFUNCTION("""COMPUTED_VALUE"""),"- Le jeu est désormais disponible en Espagnol! ¡Hola! Nous sommes très heureux de mieux servir nos joueurs espagnols et (bientôt) américains! Pour changer la langue du jeu, allez dans la section Réglages, après un tap sur votre Avatar en haut à gauche. Re"&amp;"ndez-vous à la Taverne, Amigos!")</f>
        <v>- Le jeu est désormais disponible en Espagnol! ¡Hola! Nous sommes très heureux de mieux servir nos joueurs espagnols et (bientôt) américains! Pour changer la langue du jeu, allez dans la section Réglages, après un tap sur votre Avatar en haut à gauche. Rendez-vous à la Taverne, Amigos!</v>
      </c>
      <c r="F9" s="159" t="str">
        <f>IFERROR(__xludf.DUMMYFUNCTION("""COMPUTED_VALUE"""),"- Neue Sprache hinzugefügt: ¡Hola! Da wir immer bestrebt sind, die Kommunikation mit unseren Spielern auf der ganzen Welt zu verbessern, freuen wir uns, bekannt geben zu können, dass das Spiel jetzt auch in Spanisch verfügbar ist! Du kannst die Sprache in"&amp;" den Einstellungen ändern, indem du oben links auf deinen Avatar tippst. Wir sehen uns in der Taverne, Amigos!")</f>
        <v>- Neue Sprache hinzugefügt: ¡Hola! Da wir immer bestrebt sind, die Kommunikation mit unseren Spielern auf der ganzen Welt zu verbessern, freuen wir uns, bekannt geben zu können, dass das Spiel jetzt auch in Spanisch verfügbar ist! Du kannst die Sprache in den Einstellungen ändern, indem du oben links auf deinen Avatar tippst. Wir sehen uns in der Taverne, Amigos!</v>
      </c>
      <c r="G9" s="159"/>
      <c r="H9" s="159"/>
      <c r="I9" s="159"/>
      <c r="J9" s="159"/>
      <c r="K9" s="159" t="str">
        <f>IFERROR(__xludf.DUMMYFUNCTION("""COMPUTED_VALUE"""),"- Añadimos otro idioma: ¡Hola! Siempre intentamos mejorar la comunicación con los jugadores de todo el mundo, ¡así que nos alegra poder decir que el juego también está en español! Elige el idioma predeterminado en el panel de ajustes, al que puedes accede"&amp;"r tocando tu avatar en la esquina superior izquierda. ¡Nos vemos en la taberna, amigos!")</f>
        <v>- Añadimos otro idioma: ¡Hola! Siempre intentamos mejorar la comunicación con los jugadores de todo el mundo, ¡así que nos alegra poder decir que el juego también está en español! Elige el idioma predeterminado en el panel de ajustes, al que puedes acceder tocando tu avatar en la esquina superior izquierda. ¡Nos vemos en la taberna, amigos!</v>
      </c>
      <c r="L9" s="159"/>
      <c r="M9" s="159"/>
      <c r="N9" s="45"/>
      <c r="O9" s="45"/>
      <c r="P9" s="34"/>
      <c r="Q9" s="34"/>
      <c r="R9" s="34"/>
      <c r="S9" s="34"/>
      <c r="T9" s="108"/>
      <c r="U9" s="108"/>
      <c r="V9" s="108"/>
      <c r="W9" s="108"/>
      <c r="X9" s="108"/>
      <c r="Y9" s="108"/>
      <c r="Z9" s="108"/>
    </row>
    <row r="10" ht="72.0" customHeight="1">
      <c r="A10" s="149" t="str">
        <f>IFERROR(__xludf.DUMMYFUNCTION("""COMPUTED_VALUE"""),"0.9.0")</f>
        <v>0.9.0</v>
      </c>
      <c r="B10" s="174"/>
      <c r="C10" s="44" t="str">
        <f>IFERROR(__xludf.DUMMYFUNCTION("""COMPUTED_VALUE"""),"-全新表现：让人耳目一新的火车和火箭外观，看得见的成长！
-新的部落玩法：研究火箭科技吧，属于部落的荣誉和奖励！
-新的火箭任务：每天都有火箭任务，获得价值超高的奖励！
-擂台新闻：在擂台得到传奇斗士的效忠可以上电视新闻了！")</f>
        <v>-全新表现：让人耳目一新的火车和火箭外观，看得见的成长！
-新的部落玩法：研究火箭科技吧，属于部落的荣誉和奖励！
-新的火箭任务：每天都有火箭任务，获得价值超高的奖励！
-擂台新闻：在擂台得到传奇斗士的效忠可以上电视新闻了！</v>
      </c>
      <c r="D10" s="159" t="str">
        <f>IFERROR(__xludf.DUMMYFUNCTION("""COMPUTED_VALUE"""),"-New and improved appearences: Cooler appearences for the Train and Rocket have arrived!
-New Horde features: Research the newly discovered Rocket technology and get amazing rewards and buffs for your Horde!
-New Rocket Missions: Complete the new daily Ro"&amp;"cket Missions to receive incredible rewards and get more power!
-Arena News: Once you get a Legendary Hero in the Arena, it will be displayed in the Chat News Channel where everybody on the server will be able to see your feat!")</f>
        <v>-New and improved appearences: Cooler appearences for the Train and Rocket have arrived!
-New Horde features: Research the newly discovered Rocket technology and get amazing rewards and buffs for your Horde!
-New Rocket Missions: Complete the new daily Rocket Missions to receive incredible rewards and get more power!
-Arena News: Once you get a Legendary Hero in the Arena, it will be displayed in the Chat News Channel where everybody on the server will be able to see your feat!</v>
      </c>
      <c r="E10" s="159" t="str">
        <f>IFERROR(__xludf.DUMMYFUNCTION("""COMPUTED_VALUE"""),"-Gros changement sur la construction du train et de la fusée, suivez les étapes au plus près!
-Nouvelles fonctionnalités de Horde: Recherchez de nouvelles technologies et obtenez de nouveaux pouvoirs!
-Ajout des Missions de Fusées: Complétez ces nouvelles"&amp;" missions pour battre les autres Hordes, devenir plus puissant et obtenir de super cadeaux!
-du côté de l'Arène: Affichez dans le chat les Combattants Légendaires que vous obtenez, pour partager la nouvelle et en discuter avec tout le monde!")</f>
        <v>-Gros changement sur la construction du train et de la fusée, suivez les étapes au plus près!
-Nouvelles fonctionnalités de Horde: Recherchez de nouvelles technologies et obtenez de nouveaux pouvoirs!
-Ajout des Missions de Fusées: Complétez ces nouvelles missions pour battre les autres Hordes, devenir plus puissant et obtenir de super cadeaux!
-du côté de l'Arène: Affichez dans le chat les Combattants Légendaires que vous obtenez, pour partager la nouvelle et en discuter avec tout le monde!</v>
      </c>
      <c r="F10" s="159" t="str">
        <f>IFERROR(__xludf.DUMMYFUNCTION("""COMPUTED_VALUE""")," - Neue, verbesserte Performance: Cooleres Aussehen für den Zug und die Rakete!
 - Neues Horden-Gameplay: Erforsche die neu entdeckte Raketentechnologie und erhalte erstaunliche Belohnungen und Buffs für deine Horde!
 - Neue Raketen-Quests: Erledige die n"&amp;"euen täglichen Raketen-Quests und erhalte tolle Belohnungen!
 - News aus der Arena: Sobald du in der Arena einen legendären Helden erhältst, wird er im Chat-News-Channel angezeigt, so dass jeder auf dem Server deine Heldentat sehen kann!")</f>
        <v> - Neue, verbesserte Performance: Cooleres Aussehen für den Zug und die Rakete!
 - Neues Horden-Gameplay: Erforsche die neu entdeckte Raketentechnologie und erhalte erstaunliche Belohnungen und Buffs für deine Horde!
 - Neue Raketen-Quests: Erledige die neuen täglichen Raketen-Quests und erhalte tolle Belohnungen!
 - News aus der Arena: Sobald du in der Arena einen legendären Helden erhältst, wird er im Chat-News-Channel angezeigt, so dass jeder auf dem Server deine Heldentat sehen kann!</v>
      </c>
      <c r="G10" s="159"/>
      <c r="H10" s="159"/>
      <c r="I10" s="159"/>
      <c r="J10" s="159"/>
      <c r="K10" s="159" t="str">
        <f>IFERROR(__xludf.DUMMYFUNCTION("""COMPUTED_VALUE"""),"- Nueva y mejorada presentación: ¡Los trenes y el cohete ahora lucen mejor!
- Nueva jugabilidad de la horda: ¡Investiga la nueva tecnología del cohete y consigue increíbles recompensas y mejoras para tu horda!
- Nuevas misiones del cohete: ¡Completa las n"&amp;"uevas misiones del cohete diarias para conseguir fantásticos regalos!
- Novedades en la arena: ¡Cuando consigas un héroe legendario en la arena, se mostrará en el canal de noticias y todos los monos del servidor podrán ver tu nueva adquisición!")</f>
        <v>- Nueva y mejorada presentación: ¡Los trenes y el cohete ahora lucen mejor!
- Nueva jugabilidad de la horda: ¡Investiga la nueva tecnología del cohete y consigue increíbles recompensas y mejoras para tu horda!
- Nuevas misiones del cohete: ¡Completa las nuevas misiones del cohete diarias para conseguir fantásticos regalos!
- Novedades en la arena: ¡Cuando consigas un héroe legendario en la arena, se mostrará en el canal de noticias y todos los monos del servidor podrán ver tu nueva adquisición!</v>
      </c>
      <c r="L10" s="159"/>
      <c r="M10" s="159"/>
      <c r="N10" s="45"/>
      <c r="O10" s="45"/>
      <c r="P10" s="34"/>
      <c r="Q10" s="34"/>
      <c r="R10" s="34"/>
      <c r="S10" s="34"/>
      <c r="T10" s="108"/>
      <c r="U10" s="108"/>
      <c r="V10" s="108"/>
      <c r="W10" s="108"/>
      <c r="X10" s="108"/>
      <c r="Y10" s="108"/>
      <c r="Z10" s="108"/>
    </row>
    <row r="11" ht="72.0" customHeight="1">
      <c r="A11" s="149" t="str">
        <f>IFERROR(__xludf.DUMMYFUNCTION("""COMPUTED_VALUE"""),"0.10.0")</f>
        <v>0.10.0</v>
      </c>
      <c r="B11" s="174"/>
      <c r="C11" s="44" t="str">
        <f>IFERROR(__xludf.DUMMYFUNCTION("""COMPUTED_VALUE"""),"-太空争霸：全新比赛，发射火箭，争夺霸主吧！
-新增霸主：发射火箭的部落首领将成为霸主，享受特别的权益直到下次太空争霸赛开启！
-焦土地：在太空争霸赛期间，在焦土地战斗会产生更多的伤兵和死兵，请千万小心！
-新增第五车站： 在规定时间内到达第五车站的部落可以参与太空争霸！")</f>
        <v>-太空争霸：全新比赛，发射火箭，争夺霸主吧！
-新增霸主：发射火箭的部落首领将成为霸主，享受特别的权益直到下次太空争霸赛开启！
-焦土地：在太空争霸赛期间，在焦土地战斗会产生更多的伤兵和死兵，请千万小心！
-新增第五车站： 在规定时间内到达第五车站的部落可以参与太空争霸！</v>
      </c>
      <c r="D11" s="159" t="str">
        <f>IFERROR(__xludf.DUMMYFUNCTION("""COMPUTED_VALUE"""),"A new competition has arrived!
-Supremacy Competition: Launch Rockets and become the Overlord!
-Overlord: The first Horde's leader who launches a Rocket will become the Overlord and enjoy special rights until the next Supremacy competition starts!
-Scor"&amp;"ched Soil: During Supremacy Competition, fights in Scorched Soil will produce more damage and dead troops. Watch out!
-5th Station added: Hordes arriving at the 5th Station, can participate in the Supremacy competition!")</f>
        <v>A new competition has arrived!
-Supremacy Competition: Launch Rockets and become the Overlord!
-Overlord: The first Horde's leader who launches a Rocket will become the Overlord and enjoy special rights until the next Supremacy competition starts!
-Scorched Soil: During Supremacy Competition, fights in Scorched Soil will produce more damage and dead troops. Watch out!
-5th Station added: Hordes arriving at the 5th Station, can participate in the Supremacy competition!</v>
      </c>
      <c r="E11" s="159" t="str">
        <f>IFERROR(__xludf.DUMMYFUNCTION("""COMPUTED_VALUE"""),"Une nouvelle course est disponible!
-Course à la Suprématie: Faites décoller la fusée pour devenir  Souverain!
-Souverain: Le 1er Chef de Horde à faire décoller sa fusée devient Souverain, avec des avantages spéciaux jusqu’à la prochaine Course à la Supr"&amp;"ématie!
-Terres brûlées: Pendant la Course, les combats sur les terres brûlées causent des dégâts plus importants et plus de victimes.
-Ajout d’une 5e station: Les hordes atteignant la 5e station peuvent participer à la Course à la Suprématie!")</f>
        <v>Une nouvelle course est disponible!
-Course à la Suprématie: Faites décoller la fusée pour devenir  Souverain!
-Souverain: Le 1er Chef de Horde à faire décoller sa fusée devient Souverain, avec des avantages spéciaux jusqu’à la prochaine Course à la Suprématie!
-Terres brûlées: Pendant la Course, les combats sur les terres brûlées causent des dégâts plus importants et plus de victimes.
-Ajout d’une 5e station: Les hordes atteignant la 5e station peuvent participer à la Course à la Suprématie!</v>
      </c>
      <c r="F11" s="159" t="str">
        <f>IFERROR(__xludf.DUMMYFUNCTION("""COMPUTED_VALUE"""),"Ein neuer Wettbewerb ist da!
- Vorherrschaft-Wettbewerb: Starte Raketen und werde Overlord!
- Overlord: Der erste Horden-Anführer, der eine Rakete startet, wird zum Overlord und genießt Sonderrechte, bis der nächste Vorherrschaft-Wettbewerb beginnt!
- Ve"&amp;"rbrannte Erde: Während des Wettbewerbs verursachen Kämpfe auf verbrannter Erde mehr Schaden und tödlich verletzte Truppen. Vorsicht!
- 5. Station hinzugefügt: Horden, die die 5. Station erreichen, können am Vorherrschaft-Wettbewerb teilnehmen!")</f>
        <v>Ein neuer Wettbewerb ist da!
- Vorherrschaft-Wettbewerb: Starte Raketen und werde Overlord!
- Overlord: Der erste Horden-Anführer, der eine Rakete startet, wird zum Overlord und genießt Sonderrechte, bis der nächste Vorherrschaft-Wettbewerb beginnt!
- Verbrannte Erde: Während des Wettbewerbs verursachen Kämpfe auf verbrannter Erde mehr Schaden und tödlich verletzte Truppen. Vorsicht!
- 5. Station hinzugefügt: Horden, die die 5. Station erreichen, können am Vorherrschaft-Wettbewerb teilnehmen!</v>
      </c>
      <c r="G11" s="159"/>
      <c r="H11" s="159"/>
      <c r="I11" s="159"/>
      <c r="J11" s="159"/>
      <c r="K11" s="159" t="str">
        <f>IFERROR(__xludf.DUMMYFUNCTION("""COMPUTED_VALUE"""),"¡Llegó una nueva competencia!
 -Competencia suprema: ¡Lanza el cohete y conviértete en jefe supremo!
 -Jefe supremo: ¡El primer líder de la horda que lance un cohete se convertirá en jefe supremo y disfrutará de derechos únicos hasta la siguiente compet"&amp;"encia!
 -Tierra quemada: En las batallas en tierra quemada se producirán más daño y más bajas. ¡Cuidado!
 -Añadida la quinta estación: ¡Las hordas que alcancen la quinta estación participarán en la competencia suprema!")</f>
        <v>¡Llegó una nueva competencia!
 -Competencia suprema: ¡Lanza el cohete y conviértete en jefe supremo!
 -Jefe supremo: ¡El primer líder de la horda que lance un cohete se convertirá en jefe supremo y disfrutará de derechos únicos hasta la siguiente competencia!
 -Tierra quemada: En las batallas en tierra quemada se producirán más daño y más bajas. ¡Cuidado!
 -Añadida la quinta estación: ¡Las hordas que alcancen la quinta estación participarán en la competencia suprema!</v>
      </c>
      <c r="L11" s="159"/>
      <c r="M11" s="159"/>
      <c r="N11" s="45"/>
      <c r="O11" s="45"/>
      <c r="P11" s="34"/>
      <c r="Q11" s="34"/>
      <c r="R11" s="34"/>
      <c r="S11" s="34"/>
      <c r="T11" s="108"/>
      <c r="U11" s="108"/>
      <c r="V11" s="108"/>
      <c r="W11" s="108"/>
      <c r="X11" s="108"/>
      <c r="Y11" s="108"/>
      <c r="Z11" s="108"/>
    </row>
    <row r="12" ht="72.0" customHeight="1">
      <c r="A12" s="149" t="str">
        <f>IFERROR(__xludf.DUMMYFUNCTION("""COMPUTED_VALUE"""),"0.11.0")</f>
        <v>0.11.0</v>
      </c>
      <c r="B12" s="174"/>
      <c r="C12" s="44" t="str">
        <f>IFERROR(__xludf.DUMMYFUNCTION("""COMPUTED_VALUE"""),"-新活动：猴王争霸赛活动即将上线，谁最有资格成为部落首领带领整个部落？
-领土战斗逻辑调整：战斗会带来更多损失，现在战损会随战斗地点不同而不同，在联盟领土内的战损将显著低于联盟领土外的战损。
-运输铀矿流程调整：现在采集完成的铀矿资源将运输至联盟哨塔，不再是配送站。
-猩球纪元优化：全新任务，全新界面，解锁更多有趣玩法！
-界面优化：优化了火箭任务、火箭科技和联盟资源点的界面交互体验。")</f>
        <v>-新活动：猴王争霸赛活动即将上线，谁最有资格成为部落首领带领整个部落？
-领土战斗逻辑调整：战斗会带来更多损失，现在战损会随战斗地点不同而不同，在联盟领土内的战损将显著低于联盟领土外的战损。
-运输铀矿流程调整：现在采集完成的铀矿资源将运输至联盟哨塔，不再是配送站。
-猩球纪元优化：全新任务，全新界面，解锁更多有趣玩法！
-界面优化：优化了火箭任务、火箭科技和联盟资源点的界面交互体验。</v>
      </c>
      <c r="D12" s="159" t="str">
        <f>IFERROR(__xludf.DUMMYFUNCTION("""COMPUTED_VALUE"""),"-New Event: The Monkey King Competition is ready to start!
-Territory Battles: Battle damage will vary with locations. Damage in the Horde's territory will be significantly lower than outside of it!
-Uranium Transportation: Uranium is now delivered to All"&amp;"iance Flags and not Distributors
-Gorilla History: New task, new interface, more fun!
-UI Optimization: UI of Rocket Missions, Rocket Technology, and Alliance resource points have been optimized")</f>
        <v>-New Event: The Monkey King Competition is ready to start!
-Territory Battles: Battle damage will vary with locations. Damage in the Horde's territory will be significantly lower than outside of it!
-Uranium Transportation: Uranium is now delivered to Alliance Flags and not Distributors
-Gorilla History: New task, new interface, more fun!
-UI Optimization: UI of Rocket Missions, Rocket Technology, and Alliance resource points have been optimized</v>
      </c>
      <c r="E12" s="159" t="str">
        <f>IFERROR(__xludf.DUMMYFUNCTION("""COMPUTED_VALUE"""),"- Un nouvel évènement: Objectif Couronne! Qui sera le singe le plus digne d'être couronné roi?
- Les dégâts subis dans un territoire de son alliance sont maintenant plus faible qu'en-dehors. 
- L'uranium est maintenant transporté directement au drapeau d'"&amp;"alliance au lieu des distributeurs.
- Campagne du Gorille: de nouvelles missions, une nouvelle interface, et plus de fun!")</f>
        <v>- Un nouvel évènement: Objectif Couronne! Qui sera le singe le plus digne d'être couronné roi?
- Les dégâts subis dans un territoire de son alliance sont maintenant plus faible qu'en-dehors. 
- L'uranium est maintenant transporté directement au drapeau d'alliance au lieu des distributeurs.
- Campagne du Gorille: de nouvelles missions, une nouvelle interface, et plus de fun!</v>
      </c>
      <c r="F12" s="159" t="str">
        <f>IFERROR(__xludf.DUMMYFUNCTION("""COMPUTED_VALUE"""),"- Neues Event: Der Affenkönig-Wettbewerb steht in den Startlöchern!
- Anpassung der Territoriumskämpfe: Kampfschaden wird nach Kampfort variieren. Der Schaden im Territorium deines Bündnisses wird deutlich geringer sein als außerhalb des Bündnisgebietes.
"&amp;"- Anpassung des Urantransports: Gesammeltes Uran wird nun an die Bündnisflagge und nicht Verteiler geliefert.
- Optimierung der Geschichte: Neue Aufgabe, neues Interface, mehr Spaß!")</f>
        <v>- Neues Event: Der Affenkönig-Wettbewerb steht in den Startlöchern!
- Anpassung der Territoriumskämpfe: Kampfschaden wird nach Kampfort variieren. Der Schaden im Territorium deines Bündnisses wird deutlich geringer sein als außerhalb des Bündnisgebietes.
- Anpassung des Urantransports: Gesammeltes Uran wird nun an die Bündnisflagge und nicht Verteiler geliefert.
- Optimierung der Geschichte: Neue Aufgabe, neues Interface, mehr Spaß!</v>
      </c>
      <c r="G12" s="159" t="str">
        <f>IFERROR(__xludf.DUMMYFUNCTION("""COMPUTED_VALUE"""),"-Novo evento Competição do Rei Macaco! Quem será o mais qualificado para ser líder da horda?
-Os danos em batalha de território agora variam com os locais. O dano no território da aliança será bem reduzido em relação ao dano fora do território.
-O urânio "&amp;"coletado agora será entregue na bandeira da aliança, e não nos distribuidores. 
-Otimização da história do gorila: nova tarefa, nova interface, mais diversão!")</f>
        <v>-Novo evento Competição do Rei Macaco! Quem será o mais qualificado para ser líder da horda?
-Os danos em batalha de território agora variam com os locais. O dano no território da aliança será bem reduzido em relação ao dano fora do território.
-O urânio coletado agora será entregue na bandeira da aliança, e não nos distribuidores. 
-Otimização da história do gorila: nova tarefa, nova interface, mais diversão!</v>
      </c>
      <c r="H12" s="159" t="str">
        <f>IFERROR(__xludf.DUMMYFUNCTION("""COMPUTED_VALUE"""),"- 全新活動：猴王爭霸戰即將開始！誰最有成為部落首領的資格？
- 領土戰鬥調整：在不同的地點戰鬥，會造成不同的戰損。在聯盟領土上戰鬥造成的戰損，會比在領土外戰鬥小得多。
- 鈾料運送進度調整：收集回來的鈾料會運送到聯盟旗幟，而不是配給站。
- 巨猩歷史調整新任務、新介面、新樂趣！
- 介面改善：改善火箭任務、火箭科技及聯盟資源積分的介面。")</f>
        <v>- 全新活動：猴王爭霸戰即將開始！誰最有成為部落首領的資格？
- 領土戰鬥調整：在不同的地點戰鬥，會造成不同的戰損。在聯盟領土上戰鬥造成的戰損，會比在領土外戰鬥小得多。
- 鈾料運送進度調整：收集回來的鈾料會運送到聯盟旗幟，而不是配給站。
- 巨猩歷史調整新任務、新介面、新樂趣！
- 介面改善：改善火箭任務、火箭科技及聯盟資源積分的介面。</v>
      </c>
      <c r="I12" s="159"/>
      <c r="J12" s="159"/>
      <c r="K12" s="159" t="str">
        <f>IFERROR(__xludf.DUMMYFUNCTION("""COMPUTED_VALUE"""),"-Nuevo evento: ¡Competición del rey mono!
-Territorio de batalla: El daño de batalla variará. ¡En el territorio de la horda será menor que fuera de este territorio! 
-Transporte de uranio: El uranio recogido se entrega a la bandera de la alianza, no a los"&amp;" distribuidores. 
-Historia de gorilas: ¡Nuevas tareas, nueva interfaz, más diversión! 
-Optimización de UI: se mejoró la UI de misiones del cohete, tecnología del cohete, y puntos de recurso de la alianza.")</f>
        <v>-Nuevo evento: ¡Competición del rey mono!
-Territorio de batalla: El daño de batalla variará. ¡En el territorio de la horda será menor que fuera de este territorio! 
-Transporte de uranio: El uranio recogido se entrega a la bandera de la alianza, no a los distribuidores. 
-Historia de gorilas: ¡Nuevas tareas, nueva interfaz, más diversión! 
-Optimización de UI: se mejoró la UI de misiones del cohete, tecnología del cohete, y puntos de recurso de la alianza.</v>
      </c>
      <c r="L12" s="159" t="str">
        <f>IFERROR(__xludf.DUMMYFUNCTION("""COMPUTED_VALUE"""),"- Новое событие: Соревнования царя обезьян! Кто станет самым умелым предводителем орды?
- Битвы за территорию: теперь урон в бою будет зависеть от места сражения. Урон на территории альянса будет гораздо ниже, чем за ее пределами.
- Перевозка урана: тепер"&amp;"ь собранный уран будет доставляться к флагу альянса, а не на распределители.
- Оптимизация истории гориллы: новое задание, новый интерфейс, больше веселья")</f>
        <v>- Новое событие: Соревнования царя обезьян! Кто станет самым умелым предводителем орды?
- Битвы за территорию: теперь урон в бою будет зависеть от места сражения. Урон на территории альянса будет гораздо ниже, чем за ее пределами.
- Перевозка урана: теперь собранный уран будет доставляться к флагу альянса, а не на распределители.
- Оптимизация истории гориллы: новое задание, новый интерфейс, больше веселья</v>
      </c>
      <c r="M12" s="159" t="str">
        <f>IFERROR(__xludf.DUMMYFUNCTION("""COMPUTED_VALUE"""),"-Yeni Etkinlik: Maymun Kral Müsabakası başlamaya hazır!
-Bölge Savaşları: Savaş hasarı konuma göre değişir. Ordu bölgesindeki hasar, dışarıya göre belirgin düzeyde düşük olacak! 
-Uranyum Taşıma Süreci: Toplanan Uranyum şimdi Distribütörlere değil, İttifa"&amp;"kın Bayrağına teslim edilecek. 
-Goril Geçmişi: Yeni görev, yeni arayüz, daha çok eğlence!
-UI optimizasyonu: Roket Görevleri, Roket Teknolojisi ve İttifak kaynak noktaları optimize edildi")</f>
        <v>-Yeni Etkinlik: Maymun Kral Müsabakası başlamaya hazır!
-Bölge Savaşları: Savaş hasarı konuma göre değişir. Ordu bölgesindeki hasar, dışarıya göre belirgin düzeyde düşük olacak! 
-Uranyum Taşıma Süreci: Toplanan Uranyum şimdi Distribütörlere değil, İttifakın Bayrağına teslim edilecek. 
-Goril Geçmişi: Yeni görev, yeni arayüz, daha çok eğlence!
-UI optimizasyonu: Roket Görevleri, Roket Teknolojisi ve İttifak kaynak noktaları optimize edildi</v>
      </c>
      <c r="N12" s="45"/>
      <c r="O12" s="45"/>
      <c r="P12" s="34"/>
      <c r="Q12" s="34"/>
      <c r="R12" s="34"/>
      <c r="S12" s="34"/>
      <c r="T12" s="108"/>
      <c r="U12" s="108"/>
      <c r="V12" s="108"/>
      <c r="W12" s="108"/>
      <c r="X12" s="108"/>
      <c r="Y12" s="108"/>
      <c r="Z12" s="108"/>
    </row>
    <row r="13" ht="72.0" customHeight="1">
      <c r="A13" s="149" t="str">
        <f>IFERROR(__xludf.DUMMYFUNCTION("""COMPUTED_VALUE"""),"0.13.0")</f>
        <v>0.13.0</v>
      </c>
      <c r="B13" s="174"/>
      <c r="C13" s="44" t="str">
        <f>IFERROR(__xludf.DUMMYFUNCTION("""COMPUTED_VALUE"""),"- 开放迷雾：派出你的侦查猴，探索浓雾之下的机遇！
- 关卡玩法：突破重重关卡，扩张部落领土！")</f>
        <v>- 开放迷雾：派出你的侦查猴，探索浓雾之下的机遇！
- 关卡玩法：突破重重关卡，扩张部落领土！</v>
      </c>
      <c r="D13" s="159" t="str">
        <f>IFERROR(__xludf.DUMMYFUNCTION("""COMPUTED_VALUE"""),"-Fog Exploration: Send your Scout Monkeys to uncover the mysteries hidden in the fog!
-Monkey Pass: Open the new Monkey Passages and help your Horde expand its territory!")</f>
        <v>-Fog Exploration: Send your Scout Monkeys to uncover the mysteries hidden in the fog!
-Monkey Pass: Open the new Monkey Passages and help your Horde expand its territory!</v>
      </c>
      <c r="E13" s="159" t="str">
        <f>IFERROR(__xludf.DUMMYFUNCTION("""COMPUTED_VALUE"""),"-La brume: envoyez vos éclaireur dans la brume pour découvrir ce qu'elle cache!
-Les barrages: ouvrez de nouvelles voies pour étendre le territoire de votre Horde!")</f>
        <v>-La brume: envoyez vos éclaireur dans la brume pour découvrir ce qu'elle cache!
-Les barrages: ouvrez de nouvelles voies pour étendre le territoire de votre Horde!</v>
      </c>
      <c r="F13" s="159" t="str">
        <f>IFERROR(__xludf.DUMMYFUNCTION("""COMPUTED_VALUE""")," - Nebel-Erkundung: Schicke deine Kundschafter-Affen aus, um die im Nebel verborgenen Geheimnisse aufzudecken!
 - Affentore: Öffne die Tore und hilf deiner Horde, ihr Territorium zu vergrößern!")</f>
        <v> - Nebel-Erkundung: Schicke deine Kundschafter-Affen aus, um die im Nebel verborgenen Geheimnisse aufzudecken!
 - Affentore: Öffne die Tore und hilf deiner Horde, ihr Territorium zu vergrößern!</v>
      </c>
      <c r="G13" s="159" t="str">
        <f>IFERROR(__xludf.DUMMYFUNCTION("""COMPUTED_VALUE""")," -Exploração da névoa: envie seus macacos batedores para desvendar os mistérios da névoa!
 - Acessos de macacos: abra os acessos e ajude sua horda a expandir o território!")</f>
        <v> -Exploração da névoa: envie seus macacos batedores para desvendar os mistérios da névoa!
 - Acessos de macacos: abra os acessos e ajude sua horda a expandir o território!</v>
      </c>
      <c r="H13" s="159" t="str">
        <f>IFERROR(__xludf.DUMMYFUNCTION("""COMPUTED_VALUE""")," - 迷霧探索：派遣偵察猿解開隱藏在迷霧中的謎團！
 - 猿猴關隘：打通關隘，為部落擴張領土！")</f>
        <v> - 迷霧探索：派遣偵察猿解開隱藏在迷霧中的謎團！
 - 猿猴關隘：打通關隘，為部落擴張領土！</v>
      </c>
      <c r="I13" s="159" t="str">
        <f>IFERROR(__xludf.DUMMYFUNCTION("""COMPUTED_VALUE""")," -Eksplorasi Kabut: Utus Kera Pengintaimu untuk menguak misteri yang tersembunyi di balik kabut!
 -Wilayah Kera: Buka Wilayah dan bantu Kawananmu memperluas teritorinya!")</f>
        <v> -Eksplorasi Kabut: Utus Kera Pengintaimu untuk menguak misteri yang tersembunyi di balik kabut!
 -Wilayah Kera: Buka Wilayah dan bantu Kawananmu memperluas teritorinya!</v>
      </c>
      <c r="J13" s="159" t="str">
        <f>IFERROR(__xludf.DUMMYFUNCTION("""COMPUTED_VALUE""")," -สำรวจหมอก: ส่งเหล่าลิงสอดแนมของคุณออกไปเพื่อค้นหาความลึกลับที่ซ่อนอยู่ในสายหมอก!
 -เส้นทางสายลิง: เปิดเส้นทางใหม่และช่วยฝูงของคุณขยายอาณาเขตให้กว้างไกล!")</f>
        <v> -สำรวจหมอก: ส่งเหล่าลิงสอดแนมของคุณออกไปเพื่อค้นหาความลึกลับที่ซ่อนอยู่ในสายหมอก!
 -เส้นทางสายลิง: เปิดเส้นทางใหม่และช่วยฝูงของคุณขยายอาณาเขตให้กว้างไกล!</v>
      </c>
      <c r="K13" s="159" t="str">
        <f>IFERROR(__xludf.DUMMYFUNCTION("""COMPUTED_VALUE""")," -Exploración de la niebla: envía a tus monos exploradores a descubrir los misterios de la niebla!
 -Pasos de mono: ¡abre los pasos y ayuda a tu horda a expandir su territorio!")</f>
        <v> -Exploración de la niebla: envía a tus monos exploradores a descubrir los misterios de la niebla!
 -Pasos de mono: ¡abre los pasos y ayuda a tu horda a expandir su territorio!</v>
      </c>
      <c r="L13" s="159" t="str">
        <f>IFERROR(__xludf.DUMMYFUNCTION("""COMPUTED_VALUE"""),"- Исследование тумана: отправляйте своих обезьян-разведчиков раскрывать тайны, сокрытые в тумане!
- Обезьяньи проходы: открывайте новые обезьяньи проходы и помогайте орде расширять свою территорию! ")</f>
        <v>- Исследование тумана: отправляйте своих обезьян-разведчиков раскрывать тайны, сокрытые в тумане!
- Обезьяньи проходы: открывайте новые обезьяньи проходы и помогайте орде расширять свою территорию! </v>
      </c>
      <c r="M13" s="159" t="str">
        <f>IFERROR(__xludf.DUMMYFUNCTION("""COMPUTED_VALUE""")," -Sis Keşfi: Gözcü maymunlarını siste gizlenen gizemleri ortaya çıkarmaya gönder!
 -Maymun Geçitleri: Geçitleri aç ve Ordunun bölgesini genişletmesine yardım et!")</f>
        <v> -Sis Keşfi: Gözcü maymunlarını siste gizlenen gizemleri ortaya çıkarmaya gönder!
 -Maymun Geçitleri: Geçitleri aç ve Ordunun bölgesini genişletmesine yardım et!</v>
      </c>
      <c r="N13" s="45" t="str">
        <f>IFERROR(__xludf.DUMMYFUNCTION("""COMPUTED_VALUE""")," - Khám Phá Sương Mù: Phái Khỉ Trinh Sát đi khám phá các bí ẩn được ẩn giấu trong sương mù.
 - Cửa Ải Khỉ: Mở Cửa Ải và giúp Bộ Lạc mở rộng lãnh thổ!")</f>
        <v> - Khám Phá Sương Mù: Phái Khỉ Trinh Sát đi khám phá các bí ẩn được ẩn giấu trong sương mù.
 - Cửa Ải Khỉ: Mở Cửa Ải và giúp Bộ Lạc mở rộng lãnh thổ!</v>
      </c>
      <c r="O13" s="45"/>
      <c r="P13" s="34"/>
      <c r="Q13" s="34"/>
      <c r="R13" s="34"/>
      <c r="S13" s="34"/>
      <c r="T13" s="108"/>
      <c r="U13" s="108"/>
      <c r="V13" s="108"/>
      <c r="W13" s="108"/>
      <c r="X13" s="108"/>
      <c r="Y13" s="108"/>
      <c r="Z13" s="108"/>
    </row>
    <row r="14" ht="72.0" customHeight="1">
      <c r="A14" s="149" t="str">
        <f>IFERROR(__xludf.DUMMYFUNCTION("""COMPUTED_VALUE"""),"0.13.5")</f>
        <v>0.13.5</v>
      </c>
      <c r="B14" s="174"/>
      <c r="C14" s="44" t="str">
        <f>IFERROR(__xludf.DUMMYFUNCTION("""COMPUTED_VALUE"""),"- 铁轨玩法：自由铺设铁轨，火车前行随你掌控！")</f>
        <v>- 铁轨玩法：自由铺设铁轨，火车前行随你掌控！</v>
      </c>
      <c r="D14" s="159" t="str">
        <f>IFERROR(__xludf.DUMMYFUNCTION("""COMPUTED_VALUE"""),"-Railway Gameplay: Build new Railways and control your train's direction!")</f>
        <v>-Railway Gameplay: Build new Railways and control your train's direction!</v>
      </c>
      <c r="E14" s="159" t="str">
        <f>IFERROR(__xludf.DUMMYFUNCTION("""COMPUTED_VALUE"""),"-Les chemins de fer: construisez des rails et guidez votre train!")</f>
        <v>-Les chemins de fer: construisez des rails et guidez votre train!</v>
      </c>
      <c r="F14" s="159" t="str">
        <f>IFERROR(__xludf.DUMMYFUNCTION("""COMPUTED_VALUE"""),"- Eisenbahn: Baue neue Eisenbahnstrecken und bestimme die Richtung deines Zuges!")</f>
        <v>- Eisenbahn: Baue neue Eisenbahnstrecken und bestimme die Richtung deines Zuges!</v>
      </c>
      <c r="G14" s="159" t="str">
        <f>IFERROR(__xludf.DUMMYFUNCTION("""COMPUTED_VALUE"""),"- Jogabilidade ferroviária: construa novas ferrovias e controle a direção do trem!")</f>
        <v>- Jogabilidade ferroviária: construa novas ferrovias e controle a direção do trem!</v>
      </c>
      <c r="H14" s="159" t="str">
        <f>IFERROR(__xludf.DUMMYFUNCTION("""COMPUTED_VALUE"""),"- 路軌建設：建造新的路軌以控制火車的前進方向！")</f>
        <v>- 路軌建設：建造新的路軌以控制火車的前進方向！</v>
      </c>
      <c r="I14" s="159" t="str">
        <f>IFERROR(__xludf.DUMMYFUNCTION("""COMPUTED_VALUE"""),"-Gameplay Rel Kereta Api: Bangun Rel Kereta Api baru dan kontrol arah kereta apimu!")</f>
        <v>-Gameplay Rel Kereta Api: Bangun Rel Kereta Api baru dan kontrol arah kereta apimu!</v>
      </c>
      <c r="J14" s="159" t="str">
        <f>IFERROR(__xludf.DUMMYFUNCTION("""COMPUTED_VALUE"""),"-งานรถไฟ: สร้างทางรถไฟใหม่และควบคุมทิศทางของรถไฟของคุณ!")</f>
        <v>-งานรถไฟ: สร้างทางรถไฟใหม่และควบคุมทิศทางของรถไฟของคุณ!</v>
      </c>
      <c r="K14" s="159" t="str">
        <f>IFERROR(__xludf.DUMMYFUNCTION("""COMPUTED_VALUE"""),"-Juego del ferrocarril: ¡construye los nuevos ferrocarriles y controla la dirección de tu tren!")</f>
        <v>-Juego del ferrocarril: ¡construye los nuevos ferrocarriles y controla la dirección de tu tren!</v>
      </c>
      <c r="L14" s="159" t="str">
        <f>IFERROR(__xludf.DUMMYFUNCTION("""COMPUTED_VALUE"""),"- Железные дороги: стройте новые железнодорожные пути и управляйте движением поезда!")</f>
        <v>- Железные дороги: стройте новые железнодорожные пути и управляйте движением поезда!</v>
      </c>
      <c r="M14" s="159" t="str">
        <f>IFERROR(__xludf.DUMMYFUNCTION("""COMPUTED_VALUE"""),"-Demir Yolu Oynanışı: Yeni Demir Yolları inşa et ve treninin yönünü kontrol et!")</f>
        <v>-Demir Yolu Oynanışı: Yeni Demir Yolları inşa et ve treninin yönünü kontrol et!</v>
      </c>
      <c r="N14" s="45" t="str">
        <f>IFERROR(__xludf.DUMMYFUNCTION("""COMPUTED_VALUE"""),"- Phần Chơi Đường Ray: Xây dựng Đường Ray mới và kiểm soát hướng đi của đoàn tàu của bạn!")</f>
        <v>- Phần Chơi Đường Ray: Xây dựng Đường Ray mới và kiểm soát hướng đi của đoàn tàu của bạn!</v>
      </c>
      <c r="O14" s="45"/>
      <c r="P14" s="34"/>
      <c r="Q14" s="34"/>
      <c r="R14" s="34"/>
      <c r="S14" s="34"/>
      <c r="T14" s="108"/>
      <c r="U14" s="108"/>
      <c r="V14" s="108"/>
      <c r="W14" s="108"/>
      <c r="X14" s="108"/>
      <c r="Y14" s="108"/>
      <c r="Z14" s="108"/>
    </row>
    <row r="15" ht="72.0" customHeight="1">
      <c r="A15" s="149" t="str">
        <f>IFERROR(__xludf.DUMMYFUNCTION("""COMPUTED_VALUE"""),"0.14.0")</f>
        <v>0.14.0</v>
      </c>
      <c r="B15" s="174"/>
      <c r="C15" s="44" t="str">
        <f>IFERROR(__xludf.DUMMYFUNCTION("""COMPUTED_VALUE"""),"-斗士调整：我们重构了斗士的技能，它们将焕然一新，更具特色！
-每日任务：每日任务将根据玩家基地等级的提升，有难度和奖励的变化。
-科研调整：科研（研究所、帮派科技、火箭科技）有部分BUFF效果调整。
-邀请活动：在规定时间内邀请你的朋友一起来玩Age of Apes，获得超值奖励！
-付费墙调整：新上架2个超划算的礼包！商城的各个礼包都改名啦，每日限购中的斗士将从马克西姆斯更换为美妮")</f>
        <v>-斗士调整：我们重构了斗士的技能，它们将焕然一新，更具特色！
-每日任务：每日任务将根据玩家基地等级的提升，有难度和奖励的变化。
-科研调整：科研（研究所、帮派科技、火箭科技）有部分BUFF效果调整。
-邀请活动：在规定时间内邀请你的朋友一起来玩Age of Apes，获得超值奖励！
-付费墙调整：新上架2个超划算的礼包！商城的各个礼包都改名啦，每日限购中的斗士将从马克西姆斯更换为美妮</v>
      </c>
      <c r="D15" s="159" t="str">
        <f>IFERROR(__xludf.DUMMYFUNCTION("""COMPUTED_VALUE"""),"-New Fighter Skills: Brand new skills and functions!
-Daily Tasks: Difficulty and rewards will now vary according to the level of City Hall.
-Research Adjustments: Research Buffs (LAB, Alliance, Rocket Tech) have been adjusted.
-Invitation Event: Invite y"&amp;"our friends to Age of Apes within the specified time to get unique rewards!
-Store Adjustment: Two profitable packs are now available! The pack names have been changed, and the DAILY OFFER Fighter will change from Maximus to T.NY!")</f>
        <v>-New Fighter Skills: Brand new skills and functions!
-Daily Tasks: Difficulty and rewards will now vary according to the level of City Hall.
-Research Adjustments: Research Buffs (LAB, Alliance, Rocket Tech) have been adjusted.
-Invitation Event: Invite your friends to Age of Apes within the specified time to get unique rewards!
-Store Adjustment: Two profitable packs are now available! The pack names have been changed, and the DAILY OFFER Fighter will change from Maximus to T.NY!</v>
      </c>
      <c r="E15" s="159" t="str">
        <f>IFERROR(__xludf.DUMMYFUNCTION("""COMPUTED_VALUE"""),"-De nouvelles compétences pour les combattants!
-Des quêtes quotidiennes à difficulté variable selon le niveau de l'hôtel de ville, avec de meilleures récompenses!
-Modification du système de recherche et des boosts (labo, alliance et technologie de fus"&amp;"ée)
-Invitez vos amis à jouer à Age of Apes et gagnez des récompenses!
-Deux nouveaux packs avantageux font leur apparition dans la boutique, des noms de packs ont été modifiés et le combattant de l'offre quotidienne Maximus est remplacé par T.NY!")</f>
        <v>-De nouvelles compétences pour les combattants!
-Des quêtes quotidiennes à difficulté variable selon le niveau de l'hôtel de ville, avec de meilleures récompenses!
-Modification du système de recherche et des boosts (labo, alliance et technologie de fusée)
-Invitez vos amis à jouer à Age of Apes et gagnez des récompenses!
-Deux nouveaux packs avantageux font leur apparition dans la boutique, des noms de packs ont été modifiés et le combattant de l'offre quotidienne Maximus est remplacé par T.NY!</v>
      </c>
      <c r="F15" s="159" t="str">
        <f>IFERROR(__xludf.DUMMYFUNCTION("""COMPUTED_VALUE"""),"-Kämpfer: Neue Fähigkeiten und Funktionen!
-Tägliche Aufgaben: Schwierigkeitsgrad und Belohnungen variieren nun abhängig vom Rathaus-Level.
-Forschung: Forschungs-Buffs (Labor, Bündnis, Raketentechnologie) wurden angepasst.
-Einladungs-Event: Lade Freunde"&amp;" innerhalb der angegebenen Zeit zu Age of Apes ein und erhalte tolle Belohnungen!
-Shop: Zwei lukrative Pakete sind jetzt erhältlich! Die Namen der Pakete wurden geändert, und der Kämpfer des TÄGLICHEN ANGEBOTS wird von Maximus in T.NY geändert!
")</f>
        <v>-Kämpfer: Neue Fähigkeiten und Funktionen!
-Tägliche Aufgaben: Schwierigkeitsgrad und Belohnungen variieren nun abhängig vom Rathaus-Level.
-Forschung: Forschungs-Buffs (Labor, Bündnis, Raketentechnologie) wurden angepasst.
-Einladungs-Event: Lade Freunde innerhalb der angegebenen Zeit zu Age of Apes ein und erhalte tolle Belohnungen!
-Shop: Zwei lukrative Pakete sind jetzt erhältlich! Die Namen der Pakete wurden geändert, und der Kämpfer des TÄGLICHEN ANGEBOTS wird von Maximus in T.NY geändert!
</v>
      </c>
      <c r="G15" s="159" t="str">
        <f>IFERROR(__xludf.DUMMYFUNCTION("""COMPUTED_VALUE"""),"
- Habilidades e funções inéditas!
- Tarefas diárias: a dificuldade e as recompensas variam conforme o nível da prefeitura.
- Ajustes de pesquisa: auxílios de pesquisa (laboratório, aliança, tecnologia de foguete).
- Evento de convite: convide seus amigos"&amp;" para jogar Age of Apes no período especificado e ganhem recompensas exclusivas!
- Ajuste da loja: dois pacotes com ótimo custo-benefício à disposição! Nomes dos pacotes alterados e o combatente da OFERTA DIÁRIA vai mudar de Maximus para T.Ny!
")</f>
        <v>
- Habilidades e funções inéditas!
- Tarefas diárias: a dificuldade e as recompensas variam conforme o nível da prefeitura.
- Ajustes de pesquisa: auxílios de pesquisa (laboratório, aliança, tecnologia de foguete).
- Evento de convite: convide seus amigos para jogar Age of Apes no período especificado e ganhem recompensas exclusivas!
- Ajuste da loja: dois pacotes com ótimo custo-benefício à disposição! Nomes dos pacotes alterados e o combatente da OFERTA DIÁRIA vai mudar de Maximus para T.Ny!
</v>
      </c>
      <c r="H15" s="159" t="str">
        <f>IFERROR(__xludf.DUMMYFUNCTION("""COMPUTED_VALUE"""),"-全新英雄技能：全新的技能及效果！
 -每日任務：難度與獎勵現在會隨著城鎮大堂等級變化
 -研究調整：研究強化效果（研究所、聯盟、火箭科技）已獲調整
 -邀請活動：在限時內邀請你的朋友加入人猿世紀，獲取獨特獎勵！
 -商店調整：推出兩個全新優惠組合！ 優惠組合名稱更變，每日優惠的英雄從麥斯瑪更改為 T 妮！")</f>
        <v>-全新英雄技能：全新的技能及效果！
 -每日任務：難度與獎勵現在會隨著城鎮大堂等級變化
 -研究調整：研究強化效果（研究所、聯盟、火箭科技）已獲調整
 -邀請活動：在限時內邀請你的朋友加入人猿世紀，獲取獨特獎勵！
 -商店調整：推出兩個全新優惠組合！ 優惠組合名稱更變，每日優惠的英雄從麥斯瑪更改為 T 妮！</v>
      </c>
      <c r="I15" s="159" t="str">
        <f>IFERROR(__xludf.DUMMYFUNCTION("""COMPUTED_VALUE"""),"-Keahlian Pejuang Baru: Keahlian dan fungsi terbaru!
 -Tugas Harian: Kesulitan dan hadiah mulai saat ini akan beragam berdasarkan level Balai Kota.
 -Penyesuaian Penelitian: Keunggulan Penelitian (LAB, Sekutu, Teknologi Roket) telah disesuaikan.
 -Acara U"&amp;"ndangan: Undang temanmu ke Age of Apes dalam waktu tertentu untuk memperoleh hadiah unik!
 -Penyesuaian Toko: Dua paket menguntungkan kini tersedia! Nama paket telah diubah, dan Pejuang PENAWARAN HARIAN akan berubah dari Maximus menjadi T.NY!")</f>
        <v>-Keahlian Pejuang Baru: Keahlian dan fungsi terbaru!
 -Tugas Harian: Kesulitan dan hadiah mulai saat ini akan beragam berdasarkan level Balai Kota.
 -Penyesuaian Penelitian: Keunggulan Penelitian (LAB, Sekutu, Teknologi Roket) telah disesuaikan.
 -Acara Undangan: Undang temanmu ke Age of Apes dalam waktu tertentu untuk memperoleh hadiah unik!
 -Penyesuaian Toko: Dua paket menguntungkan kini tersedia! Nama paket telah diubah, dan Pejuang PENAWARAN HARIAN akan berubah dari Maximus menjadi T.NY!</v>
      </c>
      <c r="J15" s="159" t="str">
        <f>IFERROR(__xludf.DUMMYFUNCTION("""COMPUTED_VALUE"""),"-สกิลใหม่ของนักสู้: สกิลและฟังก์ชันใหม่ล่าสุด!
 -หน้าที่ประจำวัน: ความยากและรางวัลจะแตกต่างกันออกไปตามเลเวลของศาลากลาง
 -การแก้ไขการวิจัย: บัฟการวิจัย (แล็ป พันธมิตร เทคโนโลยีจรวด) ได้มีการแก้ไขแล้ว
 -กิจกรรมเขิญชวน: ชวนเพื่อนของคุณมาเล่น Age of Apes ภายใ"&amp;"นเวลาที่กำหนดเพื่อรับรางวัลพิเศษ!
 -การแก้ไขร้านค้า: แพ็คคืนกำไรสองชุดวางขายแล้วตอนนี้! ชื่อของแพ็คได้ถูกเปลี่ยนแล้ว และข้อเสนอรายวันของนักสู้จะถูกเปลี่ยนจาก Maximus เป็น T.NY!")</f>
        <v>-สกิลใหม่ของนักสู้: สกิลและฟังก์ชันใหม่ล่าสุด!
 -หน้าที่ประจำวัน: ความยากและรางวัลจะแตกต่างกันออกไปตามเลเวลของศาลากลาง
 -การแก้ไขการวิจัย: บัฟการวิจัย (แล็ป พันธมิตร เทคโนโลยีจรวด) ได้มีการแก้ไขแล้ว
 -กิจกรรมเขิญชวน: ชวนเพื่อนของคุณมาเล่น Age of Apes ภายในเวลาที่กำหนดเพื่อรับรางวัลพิเศษ!
 -การแก้ไขร้านค้า: แพ็คคืนกำไรสองชุดวางขายแล้วตอนนี้! ชื่อของแพ็คได้ถูกเปลี่ยนแล้ว และข้อเสนอรายวันของนักสู้จะถูกเปลี่ยนจาก Maximus เป็น T.NY!</v>
      </c>
      <c r="K15" s="159" t="str">
        <f>IFERROR(__xludf.DUMMYFUNCTION("""COMPUTED_VALUE"""),"-Nuevas habilidades de luchador: ¡Más habilidades y funciones!
-Tareas diarias: La dificultad y recompensas ahora dependen del nivel de ayuntamiento.
-Ajustes de investigación: Ajustamos los potenciadores de investigación (Laboratorio, alianza, cohetes).
"&amp;"-Evento de invitación: ¡Invita a tus amigos a Age of Apes en el plazo y recibe recompensas únicas!
-Ajustes de tienda: ¡Dos nuevos paquetes disponibles! ¡Cambiamos los nombres de paquetes, y el luchador de OFERTA DIARIA pasa de Maximus a P.QUE!")</f>
        <v>-Nuevas habilidades de luchador: ¡Más habilidades y funciones!
-Tareas diarias: La dificultad y recompensas ahora dependen del nivel de ayuntamiento.
-Ajustes de investigación: Ajustamos los potenciadores de investigación (Laboratorio, alianza, cohetes).
-Evento de invitación: ¡Invita a tus amigos a Age of Apes en el plazo y recibe recompensas únicas!
-Ajustes de tienda: ¡Dos nuevos paquetes disponibles! ¡Cambiamos los nombres de paquetes, y el luchador de OFERTA DIARIA pasa de Maximus a P.QUE!</v>
      </c>
      <c r="L15" s="159" t="str">
        <f>IFERROR(__xludf.DUMMYFUNCTION("""COMPUTED_VALUE"""),"- Новые навыки героев: совершенно новые навыки и возможности!
- Ежедневные задания: сложность и награды теперь зависят от уровня городского совета. 
- Изменения в исследованиях: поменялись бонусы исследований (лаборатория, альянс, ракетные технологии).
- "&amp;"Событие с приглашениями: пригласите друзей в Age of Apes во время события, чтобы получить уникальные награды! 
- Магазин: доступны два выгодных набора! У наборов новые названия, а герой в ПРЕДЛОЖЕНИИ ДНЯ меняется с Максимуса на К.Роху!")</f>
        <v>- Новые навыки героев: совершенно новые навыки и возможности!
- Ежедневные задания: сложность и награды теперь зависят от уровня городского совета. 
- Изменения в исследованиях: поменялись бонусы исследований (лаборатория, альянс, ракетные технологии).
- Событие с приглашениями: пригласите друзей в Age of Apes во время события, чтобы получить уникальные награды! 
- Магазин: доступны два выгодных набора! У наборов новые названия, а герой в ПРЕДЛОЖЕНИИ ДНЯ меняется с Максимуса на К.Роху!</v>
      </c>
      <c r="M15" s="159" t="str">
        <f>IFERROR(__xludf.DUMMYFUNCTION("""COMPUTED_VALUE"""),"-Yeni Savaşçı Becerileri: Yepyeni beceriler ve işlevler!
-Günlük Görevler: Zorluk ve ödüller artık Meclis seviyesine bağlı olarak değişiyor.
-Araştırma Düzenlemeleri: Araştırma Güçlendiricileri (LAB, İttifak, Roket Tek.) düzenlendi.
-Davetiye Etkinliği: A"&amp;"rkadaşlarınızı belirlenen sürede Age of Apes’e davet edin ve eşsiz hediyeler kazanın!
-Mağaza Düzenlemesi: İki kârlı paket şimdi hizmetinizde! Paket isimleri değiştirildi ve GÜNLÜK TEKLİF Savaşçısının adı Maximus yerine T.NY oldu!")</f>
        <v>-Yeni Savaşçı Becerileri: Yepyeni beceriler ve işlevler!
-Günlük Görevler: Zorluk ve ödüller artık Meclis seviyesine bağlı olarak değişiyor.
-Araştırma Düzenlemeleri: Araştırma Güçlendiricileri (LAB, İttifak, Roket Tek.) düzenlendi.
-Davetiye Etkinliği: Arkadaşlarınızı belirlenen sürede Age of Apes’e davet edin ve eşsiz hediyeler kazanın!
-Mağaza Düzenlemesi: İki kârlı paket şimdi hizmetinizde! Paket isimleri değiştirildi ve GÜNLÜK TEKLİF Savaşçısının adı Maximus yerine T.NY oldu!</v>
      </c>
      <c r="N15" s="45" t="str">
        <f>IFERROR(__xludf.DUMMYFUNCTION("""COMPUTED_VALUE"""),"- Kỹ Năng Chiến Binh mới: Các kỹ năng và tính năng hoàn toàn mới!
 - Nhiệm Vụ Hàng Ngày: Độ khó và phần thưởng sẽ thay đổi tùy vào cấp của Tòa Thị Chính.
 - Điều chỉnh Nghiên Cứu: Nghiên cứu Hiệu Ứng Có Lợi (LAB, Liên Minh, Công Nghệ Hỏa Tiễn) đã được điề"&amp;"u chỉnh.
 - Sự kiện mời bạn bè: Mời bạn bè đến Age of Apes trong thời gian quy định để nhận những phần thưởng độc đáo!
 - Điều chỉnh Cửa Hàng: Hiện có hai gói lợi nhuận! Tên gói đã thay đổi và Chiến Binh ƯU ĐÃI HÀNG NGÀY sẽ đổi từ Maximus thành T.NY!")</f>
        <v>- Kỹ Năng Chiến Binh mới: Các kỹ năng và tính năng hoàn toàn mới!
 - Nhiệm Vụ Hàng Ngày: Độ khó và phần thưởng sẽ thay đổi tùy vào cấp của Tòa Thị Chính.
 - Điều chỉnh Nghiên Cứu: Nghiên cứu Hiệu Ứng Có Lợi (LAB, Liên Minh, Công Nghệ Hỏa Tiễn) đã được điều chỉnh.
 - Sự kiện mời bạn bè: Mời bạn bè đến Age of Apes trong thời gian quy định để nhận những phần thưởng độc đáo!
 - Điều chỉnh Cửa Hàng: Hiện có hai gói lợi nhuận! Tên gói đã thay đổi và Chiến Binh ƯU ĐÃI HÀNG NGÀY sẽ đổi từ Maximus thành T.NY!</v>
      </c>
      <c r="O15" s="45"/>
      <c r="P15" s="34"/>
      <c r="Q15" s="34"/>
      <c r="R15" s="34"/>
      <c r="S15" s="34"/>
      <c r="T15" s="108"/>
      <c r="U15" s="108"/>
      <c r="V15" s="108"/>
      <c r="W15" s="108"/>
      <c r="X15" s="108"/>
      <c r="Y15" s="108"/>
      <c r="Z15" s="108"/>
    </row>
    <row r="16" ht="72.0" customHeight="1">
      <c r="A16" s="149" t="str">
        <f>IFERROR(__xludf.DUMMYFUNCTION("""COMPUTED_VALUE"""),"0.15.0")</f>
        <v>0.15.0</v>
      </c>
      <c r="B16" s="174"/>
      <c r="C16" s="44" t="str">
        <f>IFERROR(__xludf.DUMMYFUNCTION("""COMPUTED_VALUE"""),"- 部落精英调整：氏族首领、议长、将军将由氏族首领争霸赛排名产生，其他官职将由他们委任，同时官员们有了新的权限！
- 新增活动：即将上线两个活动“巨猿围攻”、“领地巡防”，快来攻击变异猴子来赢取奖励吧！
- 火车调整：火车经过城市废墟，可以使废墟的BUFF提升！
- 帮派领土收益调整：帮派领土可产生的收益大幅增加！")</f>
        <v>- 部落精英调整：氏族首领、议长、将军将由氏族首领争霸赛排名产生，其他官职将由他们委任，同时官员们有了新的权限！
- 新增活动：即将上线两个活动“巨猿围攻”、“领地巡防”，快来攻击变异猴子来赢取奖励吧！
- 火车调整：火车经过城市废墟，可以使废墟的BUFF提升！
- 帮派领土收益调整：帮派领土可产生的收益大幅增加！</v>
      </c>
      <c r="D16" s="159" t="str">
        <f>IFERROR(__xludf.DUMMYFUNCTION("""COMPUTED_VALUE"""),"-Elites Adjustment: The CLAN BOSS COMPETITION will now generate the ranks of Clan Boss, Representatives, and Generals. They will appoint the rest of the Elites, and Elites will have new authority!
-Two New Events: ""GIGANTO'S SHOWDOWN"" and ""TERRITORY PA"&amp;"TROL"" will come soon. Fight Mutants and the mighty GIGANTO to win fantastic rewards!
-Train Adjustment: Send your Train through City Ruins to enhance their BUFFS!
-Territory Adjustment: Benefits generated from the Gang's territory are increased!")</f>
        <v>-Elites Adjustment: The CLAN BOSS COMPETITION will now generate the ranks of Clan Boss, Representatives, and Generals. They will appoint the rest of the Elites, and Elites will have new authority!
-Two New Events: "GIGANTO'S SHOWDOWN" and "TERRITORY PATROL" will come soon. Fight Mutants and the mighty GIGANTO to win fantastic rewards!
-Train Adjustment: Send your Train through City Ruins to enhance their BUFFS!
-Territory Adjustment: Benefits generated from the Gang's territory are increased!</v>
      </c>
      <c r="E16" s="159" t="str">
        <f>IFERROR(__xludf.DUMMYFUNCTION("""COMPUTED_VALUE"""),"-Elites: Le chef de clan, les délégués et généraux seront désormais définis par l'OBJECTIF BOSS DE CLAN, qui affecterons ensuite les autres Elites, avec chacun de nouveaux pouvoirs.
-Deux évènements arrivent bientôt: ""L'EPREUVE DU GIGANTO"" et ""PATROUIL"&amp;"LE DE ZONE"". Combattez des mutants et affrontez le puissant Giganto pour gagner des récompenses!
-Train: Circulez dans une ville en ruine pour améliorer vos bonus!
-Territoire: Augmentation des bénéfices générés sur le territoire de gang!")</f>
        <v>-Elites: Le chef de clan, les délégués et généraux seront désormais définis par l'OBJECTIF BOSS DE CLAN, qui affecterons ensuite les autres Elites, avec chacun de nouveaux pouvoirs.
-Deux évènements arrivent bientôt: "L'EPREUVE DU GIGANTO" et "PATROUILLE DE ZONE". Combattez des mutants et affrontez le puissant Giganto pour gagner des récompenses!
-Train: Circulez dans une ville en ruine pour améliorer vos bonus!
-Territoire: Augmentation des bénéfices générés sur le territoire de gang!</v>
      </c>
      <c r="F16" s="159" t="str">
        <f>IFERROR(__xludf.DUMMYFUNCTION("""COMPUTED_VALUE"""),"- Elite-Anpassung: Der HORDENBOSS-WETTBEWERB wird nun die Ränge des Hordenbosses, der Vertreter und Generäle bestimmen. Diese werden den Rest der Eliten ernennen, und die Eliten werden neue Autorität haben!
 - Zwei neue Events: ""GIGANTOS SHOWDOWN"" und "&amp;"""GEBIETSPATROUILLE"". Kämpfe für tolle Belohnungen gegen Mutanten und den mächtigen GIGANTO!
 - Zug-Anpassungen: Schicke deinen Zug durch Stadtruinen, um ihre BUFFS zu verbessern!
 - Gebiets-Anpassung: Die Erträge aus dem Clan-Gebiet werden erhöht!")</f>
        <v>- Elite-Anpassung: Der HORDENBOSS-WETTBEWERB wird nun die Ränge des Hordenbosses, der Vertreter und Generäle bestimmen. Diese werden den Rest der Eliten ernennen, und die Eliten werden neue Autorität haben!
 - Zwei neue Events: "GIGANTOS SHOWDOWN" und "GEBIETSPATROUILLE". Kämpfe für tolle Belohnungen gegen Mutanten und den mächtigen GIGANTO!
 - Zug-Anpassungen: Schicke deinen Zug durch Stadtruinen, um ihre BUFFS zu verbessern!
 - Gebiets-Anpassung: Die Erträge aus dem Clan-Gebiet werden erhöht!</v>
      </c>
      <c r="G16" s="159" t="str">
        <f>IFERROR(__xludf.DUMMYFUNCTION("""COMPUTED_VALUE"""),"-Ajuste de elites: a COMPETIÇÃO DO CHEFE DO CLÃ vai gerar os ranques de chefe do clã, representantes e generais. Eles indicarão o restante dos elites, e os elites terão um novo nível de autoridade!
 -2 novos eventos: ""LUTA CONTRA GIGANTO"" e ""PATRULHA T"&amp;"ERRITORIAL"" chegam em breve. Enfrente mutantes e o GIGANTO para ganhar recompensas!
 -Ajuste do trem: mande seu trem pelas ruínas da cidade para aumentar os AUXÍLIOS!
 -Ajuste do território: os benefícios gerados pelo território da gangue aumentaram!")</f>
        <v>-Ajuste de elites: a COMPETIÇÃO DO CHEFE DO CLÃ vai gerar os ranques de chefe do clã, representantes e generais. Eles indicarão o restante dos elites, e os elites terão um novo nível de autoridade!
 -2 novos eventos: "LUTA CONTRA GIGANTO" e "PATRULHA TERRITORIAL" chegam em breve. Enfrente mutantes e o GIGANTO para ganhar recompensas!
 -Ajuste do trem: mande seu trem pelas ruínas da cidade para aumentar os AUXÍLIOS!
 -Ajuste do território: os benefícios gerados pelo território da gangue aumentaram!</v>
      </c>
      <c r="H16" s="159" t="str">
        <f>IFERROR(__xludf.DUMMYFUNCTION("""COMPUTED_VALUE"""),"- 精英調整：氏族首領爭霸戰現在設有「氏族首領」、「氏族代表」及「將軍」等級別。他們可以委任餘下的精英，而精英也會有新的權限！
- 兩個全新活動：「變種巨猩大進擊」及「領土巡邏」即將推出。與變種猴子和力拔山河的變種巨猩戰鬥，贏取豐厚的獎勵！
- 火車調整：派遣火車駛過城鎮廢墟，加強強化效果！
- 領土調整：幫派領土帶來的收益有所提高！")</f>
        <v>- 精英調整：氏族首領爭霸戰現在設有「氏族首領」、「氏族代表」及「將軍」等級別。他們可以委任餘下的精英，而精英也會有新的權限！
- 兩個全新活動：「變種巨猩大進擊」及「領土巡邏」即將推出。與變種猴子和力拔山河的變種巨猩戰鬥，贏取豐厚的獎勵！
- 火車調整：派遣火車駛過城鎮廢墟，加強強化效果！
- 領土調整：幫派領土帶來的收益有所提高！</v>
      </c>
      <c r="I16" s="159" t="str">
        <f>IFERROR(__xludf.DUMMYFUNCTION("""COMPUTED_VALUE"""),"-Penyesuaian Elite: KOMPETISI BOS KLAN kini akan menghasilkan peringkat Bos Klan, Perwakilan, dan Jenderal. Mereka akan mengangkat anggota Elite lainnya, dan Elite memiliki otoritas baru!
 -2 Acara Baru: ""ADU GIGANTO"" dan ""PATROLI TERITORI"" akan seger"&amp;"a hadir. Lawan Mutan dan GIGANTO yang kuat untuk memenangkan hadiah fantastis!
 -Penyesuaian Kereta: Jalankan Keretamu melintasi Reruntuhan Kota untuk meningkatkan KEUNGGULANNYA!
 -Penyesuaian Teritori: Manfaat dari teritori Geng telah ditingkatkan!")</f>
        <v>-Penyesuaian Elite: KOMPETISI BOS KLAN kini akan menghasilkan peringkat Bos Klan, Perwakilan, dan Jenderal. Mereka akan mengangkat anggota Elite lainnya, dan Elite memiliki otoritas baru!
 -2 Acara Baru: "ADU GIGANTO" dan "PATROLI TERITORI" akan segera hadir. Lawan Mutan dan GIGANTO yang kuat untuk memenangkan hadiah fantastis!
 -Penyesuaian Kereta: Jalankan Keretamu melintasi Reruntuhan Kota untuk meningkatkan KEUNGGULANNYA!
 -Penyesuaian Teritori: Manfaat dari teritori Geng telah ditingkatkan!</v>
      </c>
      <c r="J16" s="159" t="str">
        <f>IFERROR(__xludf.DUMMYFUNCTION("""COMPUTED_VALUE"""),"-การแก้ไขอีลิท: การแข่งขันหัวหน้าเผ่าจะมีการสร้างอันดับของหัวหน้าเผ่า ผู้แทน และนายพล พวกเขาจะแต่งตั้งบรรดาอีลิท และอีลิทจะได้รับอำนาจใหม่อีกด้วย!
 -กิจกรรมมาใหม่ 2 กิจกรรม: ""การเผชิญหน้ากันของเหล่ากิกันโต"" และ ""การลาดตระเวนอาณาเขต"" จะมาในเร็วๆนี้ ต่อ"&amp;"สู่กับพวกมิวแตนด์และกิกันโตผู้ยิ่งใหญ่เพื่อเอาชนะรับรางวัลที่น่าอัศจรรย์!
 -การแก้ไขรถไฟ: ส่งรถไฟผ่านเมืองโบราณสถานเพื่อรับบัฟที่มีประสิทธิภาพ!
 -การแก้ไขอาณาเขค: ผลประโยชน์จากอาณาเขตของแก๊งค์เพิ่มขึ้น!")</f>
        <v>-การแก้ไขอีลิท: การแข่งขันหัวหน้าเผ่าจะมีการสร้างอันดับของหัวหน้าเผ่า ผู้แทน และนายพล พวกเขาจะแต่งตั้งบรรดาอีลิท และอีลิทจะได้รับอำนาจใหม่อีกด้วย!
 -กิจกรรมมาใหม่ 2 กิจกรรม: "การเผชิญหน้ากันของเหล่ากิกันโต" และ "การลาดตระเวนอาณาเขต" จะมาในเร็วๆนี้ ต่อสู่กับพวกมิวแตนด์และกิกันโตผู้ยิ่งใหญ่เพื่อเอาชนะรับรางวัลที่น่าอัศจรรย์!
 -การแก้ไขรถไฟ: ส่งรถไฟผ่านเมืองโบราณสถานเพื่อรับบัฟที่มีประสิทธิภาพ!
 -การแก้ไขอาณาเขค: ผลประโยชน์จากอาณาเขตของแก๊งค์เพิ่มขึ้น!</v>
      </c>
      <c r="K16" s="159" t="str">
        <f>IFERROR(__xludf.DUMMYFUNCTION("""COMPUTED_VALUE"""),"- Ajuste Élites: COMPETENCIA JEFE DE CLAN. Ahora generará los rangos de Jefe de Clan, Representantes y Generales. ¡Ellos nombrarán al resto de los Élites y tendrán una nueva autoridad!
 - 2 Nuevos Eventos: “ENFRENTAMIENTO CON GIGANTO” y “PATRULLA DE TERRI"&amp;"TORIO” pronto. ¡Lucha contra Mutantes y GIGANTO para ganar recompensas!
 - Ajustes al Tren: ¡Manda al Tren por las Ruinas de Ciudad para incrementar POTENCIADORES!
 - Ajustes de Territorio: Beneficios generados del territorio de la Banda aumentados.")</f>
        <v>- Ajuste Élites: COMPETENCIA JEFE DE CLAN. Ahora generará los rangos de Jefe de Clan, Representantes y Generales. ¡Ellos nombrarán al resto de los Élites y tendrán una nueva autoridad!
 - 2 Nuevos Eventos: “ENFRENTAMIENTO CON GIGANTO” y “PATRULLA DE TERRITORIO” pronto. ¡Lucha contra Mutantes y GIGANTO para ganar recompensas!
 - Ajustes al Tren: ¡Manda al Tren por las Ruinas de Ciudad para incrementar POTENCIADORES!
 - Ajustes de Territorio: Beneficios generados del territorio de la Banda aumentados.</v>
      </c>
      <c r="L16" s="159" t="str">
        <f>IFERROR(__xludf.DUMMYFUNCTION("""COMPUTED_VALUE"""),"- Изменения элиты: звания вождя клана, представителей и генералов будут разыгрываться на СОСТЯЗАНИИ ВОЖДЕЙ КЛАНА. Они будут назначать остальных элитных участников, а полномочия у элиты расширятся!
- Приближаются два новых события: «СРАЖЕНИЕ С ГИГАНТО» и «"&amp;"ПАТРУЛЬ ТЕРРИТОРИИ». Сражайтесь с мутантами и могучим ГИГАНТО, чтобы выиграть награды!
- Изменение поезда: направьте поезд через городские руины, чтобы улучшить их УСИЛЕНИЯ!
- Изменение территорий: бонусы бандам от территории увеличиваются!")</f>
        <v>- Изменения элиты: звания вождя клана, представителей и генералов будут разыгрываться на СОСТЯЗАНИИ ВОЖДЕЙ КЛАНА. Они будут назначать остальных элитных участников, а полномочия у элиты расширятся!
- Приближаются два новых события: «СРАЖЕНИЕ С ГИГАНТО» и «ПАТРУЛЬ ТЕРРИТОРИИ». Сражайтесь с мутантами и могучим ГИГАНТО, чтобы выиграть награды!
- Изменение поезда: направьте поезд через городские руины, чтобы улучшить их УСИЛЕНИЯ!
- Изменение территорий: бонусы бандам от территории увеличиваются!</v>
      </c>
      <c r="M16" s="159" t="str">
        <f>IFERROR(__xludf.DUMMYFUNCTION("""COMPUTED_VALUE"""),"-Elitlerin Düzenlemesi: KLAN PATRONU MÜSABAKASI şimdi Klan Patronunun, Temsilcilerin ve Generallerin rütbelerini oluşturacak. Elitlerin kalanını atayacaklar ve Elitler yeni bir otoriteye sahip olacak!
 -İki Yeni Etkinlik: “GİGANTO’NUN RESTİ” ve “BÖLGE DEV"&amp;"RİYESİ” yakında burada. Muhteşem ödüller için Mutantlarla ve kudretli GİGANTO ile savaş!
 -Tren Düzenlemesi: Trenini Şehir Harabelerine gönder ve GÜÇLENDİRİCİLERİNİ geliştir!
 -Bölge Düzenlemesi: Çetenin bölgesinden sağlanan avantajlar artırıldı!")</f>
        <v>-Elitlerin Düzenlemesi: KLAN PATRONU MÜSABAKASI şimdi Klan Patronunun, Temsilcilerin ve Generallerin rütbelerini oluşturacak. Elitlerin kalanını atayacaklar ve Elitler yeni bir otoriteye sahip olacak!
 -İki Yeni Etkinlik: “GİGANTO’NUN RESTİ” ve “BÖLGE DEVRİYESİ” yakında burada. Muhteşem ödüller için Mutantlarla ve kudretli GİGANTO ile savaş!
 -Tren Düzenlemesi: Trenini Şehir Harabelerine gönder ve GÜÇLENDİRİCİLERİNİ geliştir!
 -Bölge Düzenlemesi: Çetenin bölgesinden sağlanan avantajlar artırıldı!</v>
      </c>
      <c r="N16" s="45" t="str">
        <f>IFERROR(__xludf.DUMMYFUNCTION("""COMPUTED_VALUE"""),"- Điều chỉnh Tinh Anh: Cuộc TUYỂN CHỌN THỦ LĨNH BỘ LẠC sẽ tạo ra các hạng như Thủ Lĩnh Bộ Lạc, Trưởng Lão, Tướng Quân. Các vị trí khác và quyền hạn tương ứng sẽ do họ chỉ định.
 - 2 hoạt động mới: ""QUYẾT CHIẾN VƯỢN KHỔNG LỒ"" và ""TUẦN TRA LÃNH THỔ"" sắp"&amp;" ra mắt. Đánh bại lũ Vượn Đột Biến và VƯỢN KHỔNG LỒ vĩ đại để giành phần thưởng hấp dẫn!
 - Điều chỉnh Đường Sắt: Gửi Hỏa Tiễn đến các Di Tích Thành Phố để tăng cường BUFF cho chúng.
 - Điều chỉnh lãnh thổ: Tăng lợi ích sinh ra từ lãnh thổ bang hội.")</f>
        <v>- Điều chỉnh Tinh Anh: Cuộc TUYỂN CHỌN THỦ LĨNH BỘ LẠC sẽ tạo ra các hạng như Thủ Lĩnh Bộ Lạc, Trưởng Lão, Tướng Quân. Các vị trí khác và quyền hạn tương ứng sẽ do họ chỉ định.
 - 2 hoạt động mới: "QUYẾT CHIẾN VƯỢN KHỔNG LỒ" và "TUẦN TRA LÃNH THỔ" sắp ra mắt. Đánh bại lũ Vượn Đột Biến và VƯỢN KHỔNG LỒ vĩ đại để giành phần thưởng hấp dẫn!
 - Điều chỉnh Đường Sắt: Gửi Hỏa Tiễn đến các Di Tích Thành Phố để tăng cường BUFF cho chúng.
 - Điều chỉnh lãnh thổ: Tăng lợi ích sinh ra từ lãnh thổ bang hội.</v>
      </c>
      <c r="O16" s="45"/>
      <c r="P16" s="34"/>
      <c r="Q16" s="34"/>
      <c r="R16" s="34"/>
      <c r="S16" s="34"/>
      <c r="T16" s="108"/>
      <c r="U16" s="108"/>
      <c r="V16" s="108"/>
      <c r="W16" s="108"/>
      <c r="X16" s="108"/>
      <c r="Y16" s="108"/>
      <c r="Z16" s="108"/>
    </row>
    <row r="17" ht="72.0" customHeight="1">
      <c r="A17" s="149" t="str">
        <f>IFERROR(__xludf.DUMMYFUNCTION("""COMPUTED_VALUE"""),"0.16.0")</f>
        <v>0.16.0</v>
      </c>
      <c r="B17" s="174"/>
      <c r="C17" s="44" t="str">
        <f>IFERROR(__xludf.DUMMYFUNCTION("""COMPUTED_VALUE"""),"- 新增活动：即将上线6个全新的活动，训练、科研、建筑都别落下，快来赢取奖励吧！
- 界面优化：为了给您更好的操作体验，我们优化了很多界面的操作流程，包括建造、搜索、研究等界面。
- 战报优化：增加了兵力变化展示，让你更了解战斗详情！")</f>
        <v>- 新增活动：即将上线6个全新的活动，训练、科研、建筑都别落下，快来赢取奖励吧！
- 界面优化：为了给您更好的操作体验，我们优化了很多界面的操作流程，包括建造、搜索、研究等界面。
- 战报优化：增加了兵力变化展示，让你更了解战斗详情！</v>
      </c>
      <c r="D17" s="159" t="str">
        <f>IFERROR(__xludf.DUMMYFUNCTION("""COMPUTED_VALUE"""),"-New Events: 6 new events will be available soon! Keep powering up to win great rewards in these brand new awesome events!
-Interface Optimization: We have optimized many interfaces, including Building, Research, Search, as well as other various interface"&amp;"s.
-Battle Reports: We have added a display with more battle and troops details!")</f>
        <v>-New Events: 6 new events will be available soon! Keep powering up to win great rewards in these brand new awesome events!
-Interface Optimization: We have optimized many interfaces, including Building, Research, Search, as well as other various interfaces.
-Battle Reports: We have added a display with more battle and troops details!</v>
      </c>
      <c r="E17" s="159" t="str">
        <f>IFERROR(__xludf.DUMMYFUNCTION("""COMPUTED_VALUE"""),"- 6 nouveaux événements débarquent bientôt! Poursuivez votre montée en puissance et remportez de juteuses récompenses lors de ces tout nouveaux événements ébouriffants.
- Optimisation de l'interface: nous avons amélioré de nombreux écrans, notamment le mo"&amp;"teur de recherche, les bâtiments, la recherche scientifique, etc.
- Rapports de combat: un nouvel écran présente des infos détaillées sur les troupes et les combats!")</f>
        <v>- 6 nouveaux événements débarquent bientôt! Poursuivez votre montée en puissance et remportez de juteuses récompenses lors de ces tout nouveaux événements ébouriffants.
- Optimisation de l'interface: nous avons amélioré de nombreux écrans, notamment le moteur de recherche, les bâtiments, la recherche scientifique, etc.
- Rapports de combat: un nouvel écran présente des infos détaillées sur les troupes et les combats!</v>
      </c>
      <c r="F17" s="159" t="str">
        <f>IFERROR(__xludf.DUMMYFUNCTION("""COMPUTED_VALUE"""),"- Neue Events: Bald sind 6 neue Events verfügbar! Gib alles, um bei diesen brandneuen, großartigen Events tolle Belohnungen zu erhalten!
- Interface-Optimierung: Wir haben viele Menüs optimiert, darunter die zum Bauen, Forschen, Suchen und andere.
- Kampf"&amp;"berichte: Wir haben eine Anzeige mit mehr Informationen über Gefechte und Truppen hinzugefügt!")</f>
        <v>- Neue Events: Bald sind 6 neue Events verfügbar! Gib alles, um bei diesen brandneuen, großartigen Events tolle Belohnungen zu erhalten!
- Interface-Optimierung: Wir haben viele Menüs optimiert, darunter die zum Bauen, Forschen, Suchen und andere.
- Kampfberichte: Wir haben eine Anzeige mit mehr Informationen über Gefechte und Truppen hinzugefügt!</v>
      </c>
      <c r="G17" s="159" t="str">
        <f>IFERROR(__xludf.DUMMYFUNCTION("""COMPUTED_VALUE"""),"- Novos eventos: 6 novos eventos, disponíveis em breve! Continue em frente para receber grandes recompensas dos novos eventos incríveis!
- Otimização de interface: otimizamos várias interfaces, incluindo a de Construção, Pesquisa, Busca e muitas outras!
-"&amp;" Relatórios de batalha: adicionamos um indicador com mais detalhes de batalha e tropas!")</f>
        <v>- Novos eventos: 6 novos eventos, disponíveis em breve! Continue em frente para receber grandes recompensas dos novos eventos incríveis!
- Otimização de interface: otimizamos várias interfaces, incluindo a de Construção, Pesquisa, Busca e muitas outras!
- Relatórios de batalha: adicionamos um indicador com mais detalhes de batalha e tropas!</v>
      </c>
      <c r="H17" s="159" t="str">
        <f>IFERROR(__xludf.DUMMYFUNCTION("""COMPUTED_VALUE"""),"- 全新活動：即將推出 6 個全新活動！繼續增強實力，在全新的精彩活動裡贏取豐厚的獎勵吧！
 - 介面改善：我們改善了包括建築、研究、搜索等許多介面。
 - 戰鬥報告：我們加入了顯示更多戰鬥及部隊詳情的頁面！")</f>
        <v>- 全新活動：即將推出 6 個全新活動！繼續增強實力，在全新的精彩活動裡贏取豐厚的獎勵吧！
 - 介面改善：我們改善了包括建築、研究、搜索等許多介面。
 - 戰鬥報告：我們加入了顯示更多戰鬥及部隊詳情的頁面！</v>
      </c>
      <c r="I17" s="159" t="str">
        <f>IFERROR(__xludf.DUMMYFUNCTION("""COMPUTED_VALUE"""),"-Acara Baru: 6 acara baru akan segera tersedia! Terus tingkatkan kekuatanmu untuk memenangkan hadiah menarik dalam berbagai acara terbaru ini!
 -Pengoptimalan Antarmuka: Kami telah mengoptimalkan sejumlah antarmuka, termasuk Bangunan, Penelitian, Pencaria"&amp;"n, serta berbagai antarmuka lainnya.
 -Laporan Pertempuran: Kami telah menambahkan tampilan dengan lebih banyak rincian pertempuran dan pasukan!")</f>
        <v>-Acara Baru: 6 acara baru akan segera tersedia! Terus tingkatkan kekuatanmu untuk memenangkan hadiah menarik dalam berbagai acara terbaru ini!
 -Pengoptimalan Antarmuka: Kami telah mengoptimalkan sejumlah antarmuka, termasuk Bangunan, Penelitian, Pencarian, serta berbagai antarmuka lainnya.
 -Laporan Pertempuran: Kami telah menambahkan tampilan dengan lebih banyak rincian pertempuran dan pasukan!</v>
      </c>
      <c r="J17" s="159" t="str">
        <f>IFERROR(__xludf.DUMMYFUNCTION("""COMPUTED_VALUE"""),"-กิจกรรมใหม่: 6 กิจกรรมใหม่พร้อมให้บริการเร็ว ๆ นี้! เตรียมแรงไว้ชิงรางวัลอันยอดเยี่ยมในกิจกรรมใหม่สุดเจ๋งเหล่านี้!
 -การปรับแต่งอินเทอร์เฟซ: เราได้ปรับแต่งอินเทอร์เฟซต่าง ๆ หลายรายการ รวมถึง การสร้าง การค้นคว้า การค้นหา และอินเทอร์เฟซอื่น ๆ
 -รายงานการต่"&amp;"อสู้: เราได้เพิ่มการแสดงรายละเอียดการต่อสู้และกองทัพ!")</f>
        <v>-กิจกรรมใหม่: 6 กิจกรรมใหม่พร้อมให้บริการเร็ว ๆ นี้! เตรียมแรงไว้ชิงรางวัลอันยอดเยี่ยมในกิจกรรมใหม่สุดเจ๋งเหล่านี้!
 -การปรับแต่งอินเทอร์เฟซ: เราได้ปรับแต่งอินเทอร์เฟซต่าง ๆ หลายรายการ รวมถึง การสร้าง การค้นคว้า การค้นหา และอินเทอร์เฟซอื่น ๆ
 -รายงานการต่อสู้: เราได้เพิ่มการแสดงรายละเอียดการต่อสู้และกองทัพ!</v>
      </c>
      <c r="K17" s="159" t="str">
        <f>IFERROR(__xludf.DUMMYFUNCTION("""COMPUTED_VALUE"""),"- Nuevos Eventos: ¡6 Nuevos Eventos disponibles pronto! Continúa fortaleciéndote para ganar increíbles recompensas en estos increíbles nuevos eventos.
- Optimización de la interface: Hemos optimizado muchas interfaces incluyendo Edificios, Investigación, "&amp;"Buscar, así como otras diversas interfaces.
- Reportes de Batalla: Hemos agregado una visualización nueva con muchos mas detalles de las Batallas y de tropas.")</f>
        <v>- Nuevos Eventos: ¡6 Nuevos Eventos disponibles pronto! Continúa fortaleciéndote para ganar increíbles recompensas en estos increíbles nuevos eventos.
- Optimización de la interface: Hemos optimizado muchas interfaces incluyendo Edificios, Investigación, Buscar, así como otras diversas interfaces.
- Reportes de Batalla: Hemos agregado una visualización nueva con muchos mas detalles de las Batallas y de tropas.</v>
      </c>
      <c r="L17" s="159" t="str">
        <f>IFERROR(__xludf.DUMMYFUNCTION("""COMPUTED_VALUE"""),"- Новые события: 6 новых событий уже готовятся к выходу! Продолжайте наращивать обороты, чтобы выиграть отличные награды в этих увлекательных событиях!
- Оптимизация интерфейса: мы оптимизировали множество элементов интерфейса, включая строительство, иссл"&amp;"едования, поиск, а также другие элементы. 
- Отчеты о сражениях: мы добавили экран с более подробной информацией о битве и отрядах войск.")</f>
        <v>- Новые события: 6 новых событий уже готовятся к выходу! Продолжайте наращивать обороты, чтобы выиграть отличные награды в этих увлекательных событиях!
- Оптимизация интерфейса: мы оптимизировали множество элементов интерфейса, включая строительство, исследования, поиск, а также другие элементы. 
- Отчеты о сражениях: мы добавили экран с более подробной информацией о битве и отрядах войск.</v>
      </c>
      <c r="M17" s="159" t="str">
        <f>IFERROR(__xludf.DUMMYFUNCTION("""COMPUTED_VALUE"""),"-Yeni Etkinlikler: 6 yeni etkinlik çok yakında! Bu yepyeni etkinliklerde harika ödüller kazanmak için güçlenmeye devam et!
-Arayüz Optimizasyonu: İnşaat, Araştırma, Arama ve diğer arayüzler dâhil olmak üzere pek çok arayüzü optimize ettik.
-Savaş Raporlar"&amp;"ı: Daha fazla savaş ve birlik detayının olduğu bir ekran ekledik!")</f>
        <v>-Yeni Etkinlikler: 6 yeni etkinlik çok yakında! Bu yepyeni etkinliklerde harika ödüller kazanmak için güçlenmeye devam et!
-Arayüz Optimizasyonu: İnşaat, Araştırma, Arama ve diğer arayüzler dâhil olmak üzere pek çok arayüzü optimize ettik.
-Savaş Raporları: Daha fazla savaş ve birlik detayının olduğu bir ekran ekledik!</v>
      </c>
      <c r="N17" s="45" t="str">
        <f>IFERROR(__xludf.DUMMYFUNCTION("""COMPUTED_VALUE"""),"-Sự kiện mới: có 6 sự kiện mới rắp ra mắt! Hãy tăng cường chiến lực để giành quà khủng từ những sự kiện thú vị này!
- Tối ưu hóa giao diện: Chúng tôi đã tối ưu hóa nhiều giao diện, bao gồm Tòa Nhà, Nghiên Cứu, Tìm Kiếm và nhiều giao diện khác.
- Báo cáo c"&amp;"hiến trận: Chúng tôi đã hiển thị thêm chi tiết về binh lính và trận chiến!")</f>
        <v>-Sự kiện mới: có 6 sự kiện mới rắp ra mắt! Hãy tăng cường chiến lực để giành quà khủng từ những sự kiện thú vị này!
- Tối ưu hóa giao diện: Chúng tôi đã tối ưu hóa nhiều giao diện, bao gồm Tòa Nhà, Nghiên Cứu, Tìm Kiếm và nhiều giao diện khác.
- Báo cáo chiến trận: Chúng tôi đã hiển thị thêm chi tiết về binh lính và trận chiến!</v>
      </c>
      <c r="O17" s="45"/>
      <c r="P17" s="34"/>
      <c r="Q17" s="34"/>
      <c r="R17" s="34"/>
      <c r="S17" s="34"/>
      <c r="T17" s="108"/>
      <c r="U17" s="108"/>
      <c r="V17" s="108"/>
      <c r="W17" s="108"/>
      <c r="X17" s="108"/>
      <c r="Y17" s="108"/>
      <c r="Z17" s="108"/>
    </row>
    <row r="18" ht="72.0" customHeight="1">
      <c r="A18" s="149" t="str">
        <f>IFERROR(__xludf.DUMMYFUNCTION("""COMPUTED_VALUE"""),"0.17.0")</f>
        <v>0.17.0</v>
      </c>
      <c r="B18" s="174"/>
      <c r="C18" s="44" t="str">
        <f>IFERROR(__xludf.DUMMYFUNCTION("""COMPUTED_VALUE"""),"- 新增斗士：幼年白猿科兹摩，变异猴的噩梦，参加活动可免费获得！        
- 新增活动：不同的打野活动，一场打野的盛宴！        
- 战斗规则修改：现在同氏族不同帮派的玩家也可以进行战斗了！        
- 建筑调整：帮派指挥部升级需要消耗指定道具。        
- 氏族精英调整：通过战斗占领建筑，成为氏族领导者！        
- 野怪调整：调整了巨猿的出现规则和难度以及掉落奖励，去掉了变异猴头目。        
- 航天遗迹规则修改：航天遗迹单位将以帮派为单位占领。    "&amp;"    
- 新增建筑：帮派堡垒。     
- 优化内容：为了给您更好的游戏体验，我们优化了很多界面的显示及操作流程。")</f>
        <v>- 新增斗士：幼年白猿科兹摩，变异猴的噩梦，参加活动可免费获得！        
- 新增活动：不同的打野活动，一场打野的盛宴！        
- 战斗规则修改：现在同氏族不同帮派的玩家也可以进行战斗了！        
- 建筑调整：帮派指挥部升级需要消耗指定道具。        
- 氏族精英调整：通过战斗占领建筑，成为氏族领导者！        
- 野怪调整：调整了巨猿的出现规则和难度以及掉落奖励，去掉了变异猴头目。        
- 航天遗迹规则修改：航天遗迹单位将以帮派为单位占领。        
- 新增建筑：帮派堡垒。     
- 优化内容：为了给您更好的游戏体验，我们优化了很多界面的显示及操作流程。</v>
      </c>
      <c r="D18" s="159" t="str">
        <f>IFERROR(__xludf.DUMMYFUNCTION("""COMPUTED_VALUE"""),"-Baby Cosmo, the scourge of the Mutant Monkeys can be obtained for FREE by participating in the event!
-Raids and feasts await in the jungle!
-Gangs of the same Clan can now engage in battles!
-Gang Headquarters. Upgrading this building requires designate"&amp;"d items
-Elites can now battle and occupy buildings to become the leader of the Clan!
-Adjusted Mutant Monkeys appearance, rules, difficulty, drop rewards and removed a Boss
-Gangs can now occupy Ruins
-Optimized interfaces and processes")</f>
        <v>-Baby Cosmo, the scourge of the Mutant Monkeys can be obtained for FREE by participating in the event!
-Raids and feasts await in the jungle!
-Gangs of the same Clan can now engage in battles!
-Gang Headquarters. Upgrading this building requires designated items
-Elites can now battle and occupy buildings to become the leader of the Clan!
-Adjusted Mutant Monkeys appearance, rules, difficulty, drop rewards and removed a Boss
-Gangs can now occupy Ruins
-Optimized interfaces and processes</v>
      </c>
      <c r="E18" s="159" t="str">
        <f>IFERROR(__xludf.DUMMYFUNCTION("""COMPUTED_VALUE"""),"-Obtenez gratuitement Bébé Cosmo en participant à l'évènement!
-Raids et butins vous attendent dans la jungle!
-Des gangs du même clan peuvent maintenant s'affronter!
-Le quartier général peut être amélioré avec les objets spécifiques
-Les Elites peuvent "&amp;"maintenant occuper les bâtiments et se battre pour devenir chef de clan!
-Modifications des mutants: apparence, règles, difficulté, récompenses et un boss retiré.
-Les gangs peuvent occuper les ruines.
-Une interface optimisée")</f>
        <v>-Obtenez gratuitement Bébé Cosmo en participant à l'évènement!
-Raids et butins vous attendent dans la jungle!
-Des gangs du même clan peuvent maintenant s'affronter!
-Le quartier général peut être amélioré avec les objets spécifiques
-Les Elites peuvent maintenant occuper les bâtiments et se battre pour devenir chef de clan!
-Modifications des mutants: apparence, règles, difficulté, récompenses et un boss retiré.
-Les gangs peuvent occuper les ruines.
-Une interface optimisée</v>
      </c>
      <c r="F18" s="159" t="str">
        <f>IFERROR(__xludf.DUMMYFUNCTION("""COMPUTED_VALUE""")," - Baby Cosmo, Schrecken der Mutanten, kann beim Event GRATIS erhalten werden!
 - Wilde Abenteuer im Dschungel!
 - Clans derselben Horde können nun kämpfen!
 - Clan-Hauptquartier: Um es aufzuwerten, werden bestimmte Items benötigt
 - Eliten können nun käm"&amp;"pfen und Gebäude besetzen, um zum Anführer der Horde zu werden!
 - Anpassungen: Aussehen der Mutanten, Regeln, Schwierigkeit, Drop-Belohnungen. Entfernung eines Bosses
 - Clans können jetzt Ruinen besetzen
 - Optimierte Interfaces und Prozesse")</f>
        <v> - Baby Cosmo, Schrecken der Mutanten, kann beim Event GRATIS erhalten werden!
 - Wilde Abenteuer im Dschungel!
 - Clans derselben Horde können nun kämpfen!
 - Clan-Hauptquartier: Um es aufzuwerten, werden bestimmte Items benötigt
 - Eliten können nun kämpfen und Gebäude besetzen, um zum Anführer der Horde zu werden!
 - Anpassungen: Aussehen der Mutanten, Regeln, Schwierigkeit, Drop-Belohnungen. Entfernung eines Bosses
 - Clans können jetzt Ruinen besetzen
 - Optimierte Interfaces und Prozesse</v>
      </c>
      <c r="G18" s="159" t="str">
        <f>IFERROR(__xludf.DUMMYFUNCTION("""COMPUTED_VALUE""")," -Bebê Cosmo, o tormento dos símios mutantes, pode ser obtido DE GRAÇA ao participar do evento!
 -Incursões e banquetes na floresta!
 -Agora gangues do mesmo clã podem batalhar!
 -Sede da gangue. Melhorar essa construção requer itens específicos
 -Agora e"&amp;"lites podem batalhar e ocupar construções para se tornarem o líder do clã!
 -Ajuste de aparência, regras, dificuldade e recompensas de símios mutantes. Remoção de chefe
 -Agora gangues podem ocupar ruínas
 -Interfaces e processos otimizados")</f>
        <v> -Bebê Cosmo, o tormento dos símios mutantes, pode ser obtido DE GRAÇA ao participar do evento!
 -Incursões e banquetes na floresta!
 -Agora gangues do mesmo clã podem batalhar!
 -Sede da gangue. Melhorar essa construção requer itens específicos
 -Agora elites podem batalhar e ocupar construções para se tornarem o líder do clã!
 -Ajuste de aparência, regras, dificuldade e recompensas de símios mutantes. Remoção de chefe
 -Agora gangues podem ocupar ruínas
 -Interfaces e processos otimizados</v>
      </c>
      <c r="H18" s="159" t="str">
        <f>IFERROR(__xludf.DUMMYFUNCTION("""COMPUTED_VALUE""")," - 參與活動，即可免費獲取變種猴子的天敵——小宇宙 BB！
 - 在叢林中等待著你的狩獵盛宴！
 - 同一氏族的幫派現在可以進行戰鬥了！
 - 幫派總部：升級此建築需要特定道具
 - 氏族精英現在可以通過戰鬥佔領建築，成為氏族首領！
 - 調整了變種猴子的出現條件、規則、難度及掉落的獎勵，並移除了一個頭目
 - 幫派現在可以佔領廢墟
 - 改良了介面及操作流程")</f>
        <v> - 參與活動，即可免費獲取變種猴子的天敵——小宇宙 BB！
 - 在叢林中等待著你的狩獵盛宴！
 - 同一氏族的幫派現在可以進行戰鬥了！
 - 幫派總部：升級此建築需要特定道具
 - 氏族精英現在可以通過戰鬥佔領建築，成為氏族首領！
 - 調整了變種猴子的出現條件、規則、難度及掉落的獎勵，並移除了一個頭目
 - 幫派現在可以佔領廢墟
 - 改良了介面及操作流程</v>
      </c>
      <c r="I18" s="159" t="str">
        <f>IFERROR(__xludf.DUMMYFUNCTION("""COMPUTED_VALUE""")," -Bayi Cosmo, cambuk Kera Mutan bisa diperoleh GRATIS dengan mengikuti acara!
 -Serangan dan perayaan menanti di hutan!
 -Geng dari Klan yang sama kini bisa mengikuti pertempuran!
 -Markas Besar Geng. Meningkatkan bangunan ini memerlukan item khusus
 -Eli"&amp;"te kini bisa bertempur dan menduduki bangunan untuk jadi pemimpin Klan!
 -Penyesuaian tampilan Kera Mutan, aturan, kesulitan, penghapusan hadiah, dan penggantian Bos
 -Geng kini bisa menduduki Reruntuhan
 -Pengoptimalan antarmuka dan proses")</f>
        <v> -Bayi Cosmo, cambuk Kera Mutan bisa diperoleh GRATIS dengan mengikuti acara!
 -Serangan dan perayaan menanti di hutan!
 -Geng dari Klan yang sama kini bisa mengikuti pertempuran!
 -Markas Besar Geng. Meningkatkan bangunan ini memerlukan item khusus
 -Elite kini bisa bertempur dan menduduki bangunan untuk jadi pemimpin Klan!
 -Penyesuaian tampilan Kera Mutan, aturan, kesulitan, penghapusan hadiah, dan penggantian Bos
 -Geng kini bisa menduduki Reruntuhan
 -Pengoptimalan antarmuka dan proses</v>
      </c>
      <c r="J18" s="159" t="str">
        <f>IFERROR(__xludf.DUMMYFUNCTION("""COMPUTED_VALUE""")," -เบบี้คอสโม ผู้นำพาความพินาศของเจ้าจ๋อมิวแตนด์สามารถรับได้ฟรีโดยการเข้าร่วมในกิจกรรม!
 -การโจมตีและงานฉลองกำลังรออยู่ในป่า!
 -แก๊งค์จากเผ่าเดียวกันสามารถเข้าร่วมการต่อสู้ได้!
 -กองบัญชาการแก๊งค์ อัปเกรดอาคารนี้จำเป็นต้องใช้ไอเทมที่กำหนดไว้
 -ปรับรูปลักษณ"&amp;"์ของเจ้าจ๋อมิวแตนด์ กฎ ความยาก การดรอปรางวัล และลบบอสออกไปแล้ว
 -แก๊งค์สามารถยึดครองโบราณสถานได้แล้วตอนนี้
 -มีการปรับอินเตอร์เฟสและกระบวนการให้เหมาะสม")</f>
        <v> -เบบี้คอสโม ผู้นำพาความพินาศของเจ้าจ๋อมิวแตนด์สามารถรับได้ฟรีโดยการเข้าร่วมในกิจกรรม!
 -การโจมตีและงานฉลองกำลังรออยู่ในป่า!
 -แก๊งค์จากเผ่าเดียวกันสามารถเข้าร่วมการต่อสู้ได้!
 -กองบัญชาการแก๊งค์ อัปเกรดอาคารนี้จำเป็นต้องใช้ไอเทมที่กำหนดไว้
 -ปรับรูปลักษณ์ของเจ้าจ๋อมิวแตนด์ กฎ ความยาก การดรอปรางวัล และลบบอสออกไปแล้ว
 -แก๊งค์สามารถยึดครองโบราณสถานได้แล้วตอนนี้
 -มีการปรับอินเตอร์เฟสและกระบวนการให้เหมาะสม</v>
      </c>
      <c r="K18" s="159" t="str">
        <f>IFERROR(__xludf.DUMMYFUNCTION("""COMPUTED_VALUE"""),"- ¡Obtén GRATIS al Bebé Cosmo, el azote de los Monos Mutantes, participando en el evento!
- ¡Incursiones y festines te esperan en la jungla!
- ¡Bandas del mismo Clan pueden ahora enfrentarse en batallas!
- Cuartel General de la Banda: Mejorar este edifici"&amp;"o requiere ciertos artículos.
- ¡Los Élites pueden ocupar edificios y luchar para convertirse en el líder del Clan!
- Se ha ajustado la apariencia de los Monos Mutantes, reglas, dificultad, recompensas y se ha removido un jefe.
- Las Bandas ahora pueden o"&amp;"cupar Ruinas. 
- Interfaces y procesos optimizados.")</f>
        <v>- ¡Obtén GRATIS al Bebé Cosmo, el azote de los Monos Mutantes, participando en el evento!
- ¡Incursiones y festines te esperan en la jungla!
- ¡Bandas del mismo Clan pueden ahora enfrentarse en batallas!
- Cuartel General de la Banda: Mejorar este edificio requiere ciertos artículos.
- ¡Los Élites pueden ocupar edificios y luchar para convertirse en el líder del Clan!
- Se ha ajustado la apariencia de los Monos Mutantes, reglas, dificultad, recompensas y se ha removido un jefe.
- Las Bandas ahora pueden ocupar Ruinas. 
- Interfaces y procesos optimizados.</v>
      </c>
      <c r="L18" s="159" t="str">
        <f>IFERROR(__xludf.DUMMYFUNCTION("""COMPUTED_VALUE"""),"— Чудовищного малыша Космо можно получить в событии БЕСПЛАТНО!
— Набеги и пиры ждут вас в джунглях!
— Банды из одного клана теперь могут сражаться друг с другом!
— Новый центр банды. Для его улучшения требуются определенные предметы.
— Элитные члены банд "&amp;"смогут сражаться и занимать здания, претендуя на место вождя клана!
— Поменялся внешний вид обезьян-мутантов, правила, сложность и награды, а также удален босс.
— Банды теперь могут занимать руины.
— Оптимизирован интерфейс и процессы.")</f>
        <v>— Чудовищного малыша Космо можно получить в событии БЕСПЛАТНО!
— Набеги и пиры ждут вас в джунглях!
— Банды из одного клана теперь могут сражаться друг с другом!
— Новый центр банды. Для его улучшения требуются определенные предметы.
— Элитные члены банд смогут сражаться и занимать здания, претендуя на место вождя клана!
— Поменялся внешний вид обезьян-мутантов, правила, сложность и награды, а также удален босс.
— Банды теперь могут занимать руины.
— Оптимизирован интерфейс и процессы.</v>
      </c>
      <c r="M18" s="159" t="str">
        <f>IFERROR(__xludf.DUMMYFUNCTION("""COMPUTED_VALUE""")," -Mutant Maymunların belası olan Bebek Cosmo, etkinliğe katılarak ÜCRETSİZ şekilde elde edilebilir!
 -Ormanda seni akınlar ve ziyafetler bekliyor!
 -Aynı Klanın Çeteleri artık savaşlarda yer alabiliyorlar!
 -Çete Genel Merkezi. Bu binayı yükseltmek belirl"&amp;"enmiş eşyalar gerektirir
 -Elitler artık savaşıp binaları işgal ederek Klanın lideri olabilirler!
 -Mutant Maymunların görünümü, kurallar, zorluk, düşen ödüller düzeltildi ve bir Patron kaldırıldı
 -Çeteler artık Harabeleri işgal edebiliyorlar
 -Optimize "&amp;"edilmiş arayüz ve süreçler")</f>
        <v> -Mutant Maymunların belası olan Bebek Cosmo, etkinliğe katılarak ÜCRETSİZ şekilde elde edilebilir!
 -Ormanda seni akınlar ve ziyafetler bekliyor!
 -Aynı Klanın Çeteleri artık savaşlarda yer alabiliyorlar!
 -Çete Genel Merkezi. Bu binayı yükseltmek belirlenmiş eşyalar gerektirir
 -Elitler artık savaşıp binaları işgal ederek Klanın lideri olabilirler!
 -Mutant Maymunların görünümü, kurallar, zorluk, düşen ödüller düzeltildi ve bir Patron kaldırıldı
 -Çeteler artık Harabeleri işgal edebiliyorlar
 -Optimize edilmiş arayüz ve süreçler</v>
      </c>
      <c r="N18" s="45" t="str">
        <f>IFERROR(__xludf.DUMMYFUNCTION("""COMPUTED_VALUE""")," -Có thể nhận Bé Cosmo, tai họa của Khỉ Đột Biến MIỄN PHÍ khi tham gia sự kiện!
 -Những trận chiến và bàn tiệc đang đợi sẵn trong rừng!
 -Bang Hội từ cùng Bộ Lạc có thể tham gia các trận chiến!
 -Trụ Sở Chính Bang Hội. Nâng cấp tòa nhà này cần các vật phẩ"&amp;"m được chỉ định
 -Tinh Anh có thể chiến đấu và chiếm các tòa nhà để trở thành thủ lĩnh Bộ Lạc!
 -Chỉnh ngoại hình Khỉ Đột Biến, quy tắc, độ khó, phần thưởng rơi ra và loại bỏ một Trùm
 -Bang Hội có thể chiếm Tàn Tích
 -Tối ưu giao diện và quy trình")</f>
        <v> -Có thể nhận Bé Cosmo, tai họa của Khỉ Đột Biến MIỄN PHÍ khi tham gia sự kiện!
 -Những trận chiến và bàn tiệc đang đợi sẵn trong rừng!
 -Bang Hội từ cùng Bộ Lạc có thể tham gia các trận chiến!
 -Trụ Sở Chính Bang Hội. Nâng cấp tòa nhà này cần các vật phẩm được chỉ định
 -Tinh Anh có thể chiến đấu và chiếm các tòa nhà để trở thành thủ lĩnh Bộ Lạc!
 -Chỉnh ngoại hình Khỉ Đột Biến, quy tắc, độ khó, phần thưởng rơi ra và loại bỏ một Trùm
 -Bang Hội có thể chiếm Tàn Tích
 -Tối ưu giao diện và quy trình</v>
      </c>
      <c r="O18" s="45"/>
      <c r="P18" s="34"/>
      <c r="Q18" s="34"/>
      <c r="R18" s="34"/>
      <c r="S18" s="34"/>
      <c r="T18" s="108"/>
      <c r="U18" s="108"/>
      <c r="V18" s="108"/>
      <c r="W18" s="108"/>
      <c r="X18" s="108"/>
      <c r="Y18" s="108"/>
      <c r="Z18" s="108"/>
    </row>
    <row r="19" ht="72.0" customHeight="1">
      <c r="A19" s="149" t="str">
        <f>IFERROR(__xludf.DUMMYFUNCTION("""COMPUTED_VALUE"""),"0.18.0")</f>
        <v>0.18.0</v>
      </c>
      <c r="B19" s="174"/>
      <c r="C19" s="44" t="str">
        <f>IFERROR(__xludf.DUMMYFUNCTION("""COMPUTED_VALUE"""),"- 新增玩法：氏族押运 ，护送您的运输车到达终点！       
- 新增活动：押运招募令，幸运转盘，狂飙拉力赛。
- 擂台调整：擂台来了新的斗士，欢迎我们的美妮和马克西姆斯！        
- 活动调整：我们修改了最强猴子的排名奖励，调整了任务难度，赶紧去体验吧！        
- 优化内容：为了给您更好的游戏体验，我们优化了一些界面操作及显示效果。")</f>
        <v>- 新增玩法：氏族押运 ，护送您的运输车到达终点！       
- 新增活动：押运招募令，幸运转盘，狂飙拉力赛。
- 擂台调整：擂台来了新的斗士，欢迎我们的美妮和马克西姆斯！        
- 活动调整：我们修改了最强猴子的排名奖励，调整了任务难度，赶紧去体验吧！        
- 优化内容：为了给您更好的游戏体验，我们优化了一些界面操作及显示效果。</v>
      </c>
      <c r="D19" s="159" t="str">
        <f>IFERROR(__xludf.DUMMYFUNCTION("""COMPUTED_VALUE"""),"-New Gameplay: Clan Convoy Escort. Escort your Convoys to safety!
-New Events: Escort Recruitment, Wheel of Fortune, and Cyclone Rally are coming!
-Arena Additions: T.Ny and Maximus can now be obtained in the Arena!
-Activity Adjustment: We have adjusted "&amp;"the Ultimate Monkey ranking rewards, tasks difficulty, and overall experience!
-Optimizations: Several interfaces, operations, and display effects have been optimized.")</f>
        <v>-New Gameplay: Clan Convoy Escort. Escort your Convoys to safety!
-New Events: Escort Recruitment, Wheel of Fortune, and Cyclone Rally are coming!
-Arena Additions: T.Ny and Maximus can now be obtained in the Arena!
-Activity Adjustment: We have adjusted the Ultimate Monkey ranking rewards, tasks difficulty, and overall experience!
-Optimizations: Several interfaces, operations, and display effects have been optimized.</v>
      </c>
      <c r="E19" s="159" t="str">
        <f>IFERROR(__xludf.DUMMYFUNCTION("""COMPUTED_VALUE"""),"- Nouveau gameplay: escortez vos convois en toute sécurité!
- Nouveaux évènements: Recrue d'escorte, Roue de la fortune et Raid du cyclone.
- Nouveaux venus dans l'arène: T.Ny et Maximus peuvent maintenant être obtenus dans l'arène.
- Les récompenses du c"&amp;"lassement ultime des singes, le niveau de difficulté et l'expérience globale du jeu ont été améliorés.
- De nombreuses interfaces, procédures et effets visuels ont été optimisés.")</f>
        <v>- Nouveau gameplay: escortez vos convois en toute sécurité!
- Nouveaux évènements: Recrue d'escorte, Roue de la fortune et Raid du cyclone.
- Nouveaux venus dans l'arène: T.Ny et Maximus peuvent maintenant être obtenus dans l'arène.
- Les récompenses du classement ultime des singes, le niveau de difficulté et l'expérience globale du jeu ont été améliorés.
- De nombreuses interfaces, procédures et effets visuels ont été optimisés.</v>
      </c>
      <c r="F19" s="159" t="str">
        <f>IFERROR(__xludf.DUMMYFUNCTION("""COMPUTED_VALUE"""),"Neues Gameplay: Hordenkonvoi-Eskorte. Eskortiere Konvois und bringe sie in Sicherheit!
 - Neue Events: Eskortenrekrutierung, Glücksrad und Zyklon-Sammelangriff kommen bald!
 - Arena-Ergänzungen: T.Ny und Maximus können jetzt in der Arena erhalten werden!
"&amp;" - Aktivitäten-Anpassungen: Wir haben die Ranglistenbelohnungen des Ultimativen Affen, den Schwierigkeitsgrad der Aufgaben und die Gesamterfahrung angepasst!
 - Optimierungen: Verschiedene Interfaces, Abläufe und Anzeigeeffekte wurden optimiert.")</f>
        <v>Neues Gameplay: Hordenkonvoi-Eskorte. Eskortiere Konvois und bringe sie in Sicherheit!
 - Neue Events: Eskortenrekrutierung, Glücksrad und Zyklon-Sammelangriff kommen bald!
 - Arena-Ergänzungen: T.Ny und Maximus können jetzt in der Arena erhalten werden!
 - Aktivitäten-Anpassungen: Wir haben die Ranglistenbelohnungen des Ultimativen Affen, den Schwierigkeitsgrad der Aufgaben und die Gesamterfahrung angepasst!
 - Optimierungen: Verschiedene Interfaces, Abläufe und Anzeigeeffekte wurden optimiert.</v>
      </c>
      <c r="G19" s="159" t="str">
        <f>IFERROR(__xludf.DUMMYFUNCTION("""COMPUTED_VALUE"""),"- Novo recurso de jogabilidade: Escolta de Comboio de Clã. Escolte seus comboios em segurança!
 - Novos eventos: Escolta de Recrutamento, Roda da Fortuna e Incursão Ciclone estão chegando!
 - Adições da Arena: T.Ny e Maximus agora podem ser obtidos na Are"&amp;"na!
 - Ajuste de atividade: ajustamos as recompensas de classificação do Macaco Supremo, a dificuldade da tarefa e a experiência em geral!
 - Otimizações: várias interfaces, operações e efeitos de exibição foram otimizados.")</f>
        <v>- Novo recurso de jogabilidade: Escolta de Comboio de Clã. Escolte seus comboios em segurança!
 - Novos eventos: Escolta de Recrutamento, Roda da Fortuna e Incursão Ciclone estão chegando!
 - Adições da Arena: T.Ny e Maximus agora podem ser obtidos na Arena!
 - Ajuste de atividade: ajustamos as recompensas de classificação do Macaco Supremo, a dificuldade da tarefa e a experiência em geral!
 - Otimizações: várias interfaces, operações e efeitos de exibição foram otimizados.</v>
      </c>
      <c r="H19" s="159" t="str">
        <f>IFERROR(__xludf.DUMMYFUNCTION("""COMPUTED_VALUE"""),"- 全新玩法：護送氏族車隊。護送你的車隊到安全的地方！
 - 全新活動：護衛招募、幸運之輪及旋風拉力賽即將推出！
 - 鬥技場調整：現在可以在鬥技場上取得 T 妮和麥斯瑪了！
 - 活動調整：我們調整了「終極猿猴」的排名獎勵、任務難度及整體體驗！
 - 內容改善：改善了幾個介面、運作及顯示效果。")</f>
        <v>- 全新玩法：護送氏族車隊。護送你的車隊到安全的地方！
 - 全新活動：護衛招募、幸運之輪及旋風拉力賽即將推出！
 - 鬥技場調整：現在可以在鬥技場上取得 T 妮和麥斯瑪了！
 - 活動調整：我們調整了「終極猿猴」的排名獎勵、任務難度及整體體驗！
 - 內容改善：改善了幾個介面、運作及顯示效果。</v>
      </c>
      <c r="I19" s="159" t="str">
        <f>IFERROR(__xludf.DUMMYFUNCTION("""COMPUTED_VALUE"""),"-Gameplay Baru: Pengawalan Konvoi Pasukan Klan. Kawal Konvoimu agar aman!
 -Acara Baru: Rekrutmen Pengawal, Roda Keberuntungan, dan Reli Topan akan segera hadir!
 -Tambahan Arena: T.Ny dan Maximus kini bisa diperoleh dalam Arena!
 -Penyesuaian Aktivitas: "&amp;"Kami telah menyesuaikan hadiah peringkat Kera Utama, tingkat kesulitan tugas, pengalaman secara keseluruhan.
 -Pengoptimalan: Beberapa antarmuka, pengoperasian, dan efek tampilan telah dioptimalkan.")</f>
        <v>-Gameplay Baru: Pengawalan Konvoi Pasukan Klan. Kawal Konvoimu agar aman!
 -Acara Baru: Rekrutmen Pengawal, Roda Keberuntungan, dan Reli Topan akan segera hadir!
 -Tambahan Arena: T.Ny dan Maximus kini bisa diperoleh dalam Arena!
 -Penyesuaian Aktivitas: Kami telah menyesuaikan hadiah peringkat Kera Utama, tingkat kesulitan tugas, pengalaman secara keseluruhan.
 -Pengoptimalan: Beberapa antarmuka, pengoperasian, dan efek tampilan telah dioptimalkan.</v>
      </c>
      <c r="J19" s="159" t="str">
        <f>IFERROR(__xludf.DUMMYFUNCTION("""COMPUTED_VALUE"""),"-เกมเพลย์ใหม่: คุ้มกันรถคอนวอยเผ่า คุ้มกันรถคอนวอยของคุณให้ปลอดภัย!
 -กิจกรรมใหม่: รับสมัครการคุ้มกัน วงล้อแห่งโชคลาภ และพายุไซโคลนการระดมพลกำลังมาเยือน!
 -อะรีน่าเพิ่มเติม: ตอนนี้ T.Ny และแม็กซิมัสสามารถรับได้ในอะรีน่าแล้ว!
 -การปรับปรุงกิจกรรม: เราได้ปร"&amp;"ับปรุงรางวัลการจัดอันดับเจ้าจ๋อสุดยอด ระดับความยากของหน้าที่ และภาพรวมประสบการณ์!
 -การเพิ่มประสิทธิภาพ: อินเทอร์เฟสหลายตัว การปฏิบัติการ และเอฟเฟกต์การแสดงผลได้รับการปรับให้เหมาะสม")</f>
        <v>-เกมเพลย์ใหม่: คุ้มกันรถคอนวอยเผ่า คุ้มกันรถคอนวอยของคุณให้ปลอดภัย!
 -กิจกรรมใหม่: รับสมัครการคุ้มกัน วงล้อแห่งโชคลาภ และพายุไซโคลนการระดมพลกำลังมาเยือน!
 -อะรีน่าเพิ่มเติม: ตอนนี้ T.Ny และแม็กซิมัสสามารถรับได้ในอะรีน่าแล้ว!
 -การปรับปรุงกิจกรรม: เราได้ปรับปรุงรางวัลการจัดอันดับเจ้าจ๋อสุดยอด ระดับความยากของหน้าที่ และภาพรวมประสบการณ์!
 -การเพิ่มประสิทธิภาพ: อินเทอร์เฟสหลายตัว การปฏิบัติการ และเอฟเฟกต์การแสดงผลได้รับการปรับให้เหมาะสม</v>
      </c>
      <c r="K19" s="159" t="str">
        <f>IFERROR(__xludf.DUMMYFUNCTION("""COMPUTED_VALUE"""),"- Nueva jugabilidad: Escolta Convoy del Clan. ¡Escolta Convoyes con total seguridad!
- Nuevos eventos: Recluta de Escolta, Rueda de la Fortuna y Rally Ciclón próximamente.
- Adiciones a la Arena: ¡Maximus y T.Ny ahora pueden ser obtenidos en la Arena!
- A"&amp;"juste de actividad: Hemos ajustado las recompensas de clasificación del Mono Supremo, dificultad de tareas y experiencia total.
- Optimizaciones: Varias interfaces, operaciones y efectos de imagen optimizados.")</f>
        <v>- Nueva jugabilidad: Escolta Convoy del Clan. ¡Escolta Convoyes con total seguridad!
- Nuevos eventos: Recluta de Escolta, Rueda de la Fortuna y Rally Ciclón próximamente.
- Adiciones a la Arena: ¡Maximus y T.Ny ahora pueden ser obtenidos en la Arena!
- Ajuste de actividad: Hemos ajustado las recompensas de clasificación del Mono Supremo, dificultad de tareas y experiencia total.
- Optimizaciones: Varias interfaces, operaciones y efectos de imagen optimizados.</v>
      </c>
      <c r="L19" s="159" t="str">
        <f>IFERROR(__xludf.DUMMYFUNCTION("""COMPUTED_VALUE"""),"- Новый игровой процесс: сопровождение каравана клана. Сопровождайте караваны, защищая их от нападений.
- Приближаются новые события: «Набор сопровождения», «Колесо Фортуны» и «Ураганные гонки»!
- Новое на арене: теперь на арене можно получить К.Роху и Ма"&amp;"ксимуса!
- Настройка активности: мы настроили награды за рейтинг, сложность заданий и общие впечатления от «Великой обезьяны»!
- Оптимизация: ряд изменений в интерфейсе, операциях и эффектах отображения.")</f>
        <v>- Новый игровой процесс: сопровождение каравана клана. Сопровождайте караваны, защищая их от нападений.
- Приближаются новые события: «Набор сопровождения», «Колесо Фортуны» и «Ураганные гонки»!
- Новое на арене: теперь на арене можно получить К.Роху и Максимуса!
- Настройка активности: мы настроили награды за рейтинг, сложность заданий и общие впечатления от «Великой обезьяны»!
- Оптимизация: ряд изменений в интерфейсе, операциях и эффектах отображения.</v>
      </c>
      <c r="M19" s="159" t="str">
        <f>IFERROR(__xludf.DUMMYFUNCTION("""COMPUTED_VALUE"""),"-Yeni Oynanış: Klan Konvoyu Eşlikçisi. Konvoylarına eşlik et ve güvenliklerini sağla!
 -Yeni Etkinlikler: Eşlikçi Alımı, Çarkıfelek ve Tufan Toplu Saldırısı geliyor!
 -Arena eklemeleri: T.Ny ve Maximus şimdi Arenadan alınabilir!
 -Aktivite Düzenlemesi: En"&amp;" E20Üstün Maymun sıralama ödüllerini, görev zorluğunu ve toplam deneyimi düzenledik!
 -Optimizasyonlar: Çeşitli arayüzler, operasyonlar ve görüntü efektleri optimize edildi.")</f>
        <v>-Yeni Oynanış: Klan Konvoyu Eşlikçisi. Konvoylarına eşlik et ve güvenliklerini sağla!
 -Yeni Etkinlikler: Eşlikçi Alımı, Çarkıfelek ve Tufan Toplu Saldırısı geliyor!
 -Arena eklemeleri: T.Ny ve Maximus şimdi Arenadan alınabilir!
 -Aktivite Düzenlemesi: En E20Üstün Maymun sıralama ödüllerini, görev zorluğunu ve toplam deneyimi düzenledik!
 -Optimizasyonlar: Çeşitli arayüzler, operasyonlar ve görüntü efektleri optimize edildi.</v>
      </c>
      <c r="N19" s="45" t="str">
        <f>IFERROR(__xludf.DUMMYFUNCTION("""COMPUTED_VALUE"""),"-Lối Chơi Mới: Hộ tống Xe Chuyên Chở của Bộ Lạc. Hộ tống Xe Chuyên Chở của bạn đến nơi an toàn!
 -Sự Kiện Mới: Tuyển Hộ Tống, Vòng Quay May Mắn và Tập Hợp Lốc Xoáy sắp ra mắt!
 -Bổ Sung Đấu Trường: Hiện có thể nhận T.Ny và Maximus trong Đấu Trường!
 -Điều"&amp;" Chỉnh Hoạt Động: Chúng tôi đã điều chỉnh phần thưởng xếp hạng Khỉ Tối Thượng, độ khó của nhiệm vụ và trải nghiệm tổng thể!
 -Tối Ưu Hóa: Một số giao diện, hoạt động và hiệu ứng hiển thị đã được tối ưu hóa.")</f>
        <v>-Lối Chơi Mới: Hộ tống Xe Chuyên Chở của Bộ Lạc. Hộ tống Xe Chuyên Chở của bạn đến nơi an toàn!
 -Sự Kiện Mới: Tuyển Hộ Tống, Vòng Quay May Mắn và Tập Hợp Lốc Xoáy sắp ra mắt!
 -Bổ Sung Đấu Trường: Hiện có thể nhận T.Ny và Maximus trong Đấu Trường!
 -Điều Chỉnh Hoạt Động: Chúng tôi đã điều chỉnh phần thưởng xếp hạng Khỉ Tối Thượng, độ khó của nhiệm vụ và trải nghiệm tổng thể!
 -Tối Ưu Hóa: Một số giao diện, hoạt động và hiệu ứng hiển thị đã được tối ưu hóa.</v>
      </c>
      <c r="O19" s="45"/>
      <c r="P19" s="34"/>
      <c r="Q19" s="34"/>
      <c r="R19" s="34"/>
      <c r="S19" s="34"/>
      <c r="T19" s="108"/>
      <c r="U19" s="108"/>
      <c r="V19" s="108"/>
      <c r="W19" s="108"/>
      <c r="X19" s="108"/>
      <c r="Y19" s="108"/>
      <c r="Z19" s="108"/>
    </row>
    <row r="20" ht="72.0" customHeight="1">
      <c r="A20" s="149" t="str">
        <f>IFERROR(__xludf.DUMMYFUNCTION("""COMPUTED_VALUE"""),"0.18.5")</f>
        <v>0.18.5</v>
      </c>
      <c r="B20" s="174"/>
      <c r="C20" s="44" t="str">
        <f>IFERROR(__xludf.DUMMYFUNCTION("""COMPUTED_VALUE"""),"- 新增活动：狂飙拉力赛。")</f>
        <v>- 新增活动：狂飙拉力赛。</v>
      </c>
      <c r="D20" s="159" t="str">
        <f>IFERROR(__xludf.DUMMYFUNCTION("""COMPUTED_VALUE"""),"-New Events: Cyclone Rally.")</f>
        <v>-New Events: Cyclone Rally.</v>
      </c>
      <c r="E20" s="159" t="str">
        <f>IFERROR(__xludf.DUMMYFUNCTION("""COMPUTED_VALUE"""),"- Nouveaux évènements: Rallye du cyclone.")</f>
        <v>- Nouveaux évènements: Rallye du cyclone.</v>
      </c>
      <c r="F20" s="159" t="str">
        <f>IFERROR(__xludf.DUMMYFUNCTION("""COMPUTED_VALUE""")," - Neue Events: Zyklon-Rennen!")</f>
        <v> - Neue Events: Zyklon-Rennen!</v>
      </c>
      <c r="G20" s="159" t="str">
        <f>IFERROR(__xludf.DUMMYFUNCTION("""COMPUTED_VALUE""")," - Novos eventos: Incursão Ciclone!")</f>
        <v> - Novos eventos: Incursão Ciclone!</v>
      </c>
      <c r="H20" s="159" t="str">
        <f>IFERROR(__xludf.DUMMYFUNCTION("""COMPUTED_VALUE""")," - 全新活動：旋風拉力賽！")</f>
        <v> - 全新活動：旋風拉力賽！</v>
      </c>
      <c r="I20" s="159" t="str">
        <f>IFERROR(__xludf.DUMMYFUNCTION("""COMPUTED_VALUE""")," -Acara Baru: Reli Topan!")</f>
        <v> -Acara Baru: Reli Topan!</v>
      </c>
      <c r="J20" s="159" t="str">
        <f>IFERROR(__xludf.DUMMYFUNCTION("""COMPUTED_VALUE""")," -กิจกรรมใหม่: การระดมพลพายุไซโคลน!")</f>
        <v> -กิจกรรมใหม่: การระดมพลพายุไซโคลน!</v>
      </c>
      <c r="K20" s="159" t="str">
        <f>IFERROR(__xludf.DUMMYFUNCTION("""COMPUTED_VALUE"""),"- Nuevos eventos: Rally del Ciclón.")</f>
        <v>- Nuevos eventos: Rally del Ciclón.</v>
      </c>
      <c r="L20" s="159" t="str">
        <f>IFERROR(__xludf.DUMMYFUNCTION("""COMPUTED_VALUE"""),"- Приближаются новые события: Ураганные гонки!")</f>
        <v>- Приближаются новые события: Ураганные гонки!</v>
      </c>
      <c r="M20" s="159" t="str">
        <f>IFERROR(__xludf.DUMMYFUNCTION("""COMPUTED_VALUE""")," -Yeni Etkinlikler: Tufan Toplu Saldırısı!")</f>
        <v> -Yeni Etkinlikler: Tufan Toplu Saldırısı!</v>
      </c>
      <c r="N20" s="45" t="str">
        <f>IFERROR(__xludf.DUMMYFUNCTION("""COMPUTED_VALUE""")," -Sự Kiện Mới: Tập Hợp Lốc Xoáy!")</f>
        <v> -Sự Kiện Mới: Tập Hợp Lốc Xoáy!</v>
      </c>
      <c r="O20" s="45"/>
      <c r="P20" s="34"/>
      <c r="Q20" s="34"/>
      <c r="R20" s="34"/>
      <c r="S20" s="34"/>
      <c r="T20" s="108"/>
      <c r="U20" s="108"/>
      <c r="V20" s="108"/>
      <c r="W20" s="108"/>
      <c r="X20" s="108"/>
      <c r="Y20" s="108"/>
      <c r="Z20" s="108"/>
    </row>
    <row r="21" ht="72.0" customHeight="1">
      <c r="A21" s="149" t="str">
        <f>IFERROR(__xludf.DUMMYFUNCTION("""COMPUTED_VALUE"""),"0.19.0")</f>
        <v>0.19.0</v>
      </c>
      <c r="B21" s="174"/>
      <c r="C21" s="44" t="str">
        <f>IFERROR(__xludf.DUMMYFUNCTION("""COMPUTED_VALUE"""),"- 太空争霸玩法重做：玩家可以争夺黑土地中的火箭发射塔，成功占领火箭发射塔和太空城的帮派老大将成为霸主，全氏族都将拥有更多的特权和奖励！
- 玩法调整：对氏族押运玩法进行了体验升级。
- 优化内容：游戏主界面，聊天界面，城建信息，升级界面和斗士界面等优化。")</f>
        <v>- 太空争霸玩法重做：玩家可以争夺黑土地中的火箭发射塔，成功占领火箭发射塔和太空城的帮派老大将成为霸主，全氏族都将拥有更多的特权和奖励！
- 玩法调整：对氏族押运玩法进行了体验升级。
- 优化内容：游戏主界面，聊天界面，城建信息，升级界面和斗士界面等优化。</v>
      </c>
      <c r="D21" s="159" t="str">
        <f>IFERROR(__xludf.DUMMYFUNCTION("""COMPUTED_VALUE"""),"- Supremacy Competition gameplay changes: Players may fight for the Launchpad in the Scorched Soil area. The leader of the Gang that successfully occupies the Launchpad and Space City will become Overlord of the server. The entire winning Gang will also r"&amp;"eceive special privileges and rewards!
- Gameplay adjustment: Upgraded Clan Convoy for better user experience.
- Optimizations: Main game interface, chat function, building info page, Fighter and upgrade interfaces have been optimized.")</f>
        <v>- Supremacy Competition gameplay changes: Players may fight for the Launchpad in the Scorched Soil area. The leader of the Gang that successfully occupies the Launchpad and Space City will become Overlord of the server. The entire winning Gang will also receive special privileges and rewards!
- Gameplay adjustment: Upgraded Clan Convoy for better user experience.
- Optimizations: Main game interface, chat function, building info page, Fighter and upgrade interfaces have been optimized.</v>
      </c>
      <c r="E21" s="159" t="str">
        <f>IFERROR(__xludf.DUMMYFUNCTION("""COMPUTED_VALUE"""),"- Les règles de la Course à la suprématie sont modifiées: les joueurs peuvent se disputer le pas de tir sur les terres brûlées. Le chef du gang réussissant à occuper le pas de tir et la ville spatiale est sacré Souverain du serveur. Tous les membres du ga"&amp;"ng vainqueur reçoivent des récompenses et des privilèges spéciaux!
- Modification du gameplay: l'utilisation des convois de clan est améliorée, pour davantage de fluidité.
- Optimisation de l'interface principale, de la messagerie instantanée, de la page "&amp;"d'infos des bâtiments et des interfaces liées aux combattants et à leur amélioration.")</f>
        <v>- Les règles de la Course à la suprématie sont modifiées: les joueurs peuvent se disputer le pas de tir sur les terres brûlées. Le chef du gang réussissant à occuper le pas de tir et la ville spatiale est sacré Souverain du serveur. Tous les membres du gang vainqueur reçoivent des récompenses et des privilèges spéciaux!
- Modification du gameplay: l'utilisation des convois de clan est améliorée, pour davantage de fluidité.
- Optimisation de l'interface principale, de la messagerie instantanée, de la page d'infos des bâtiments et des interfaces liées aux combattants et à leur amélioration.</v>
      </c>
      <c r="F21" s="159" t="str">
        <f>IFERROR(__xludf.DUMMYFUNCTION("""COMPUTED_VALUE"""),"- Gameplay-Änderungen im Vorherrschaft-Wettbewerb: Spieler können um die Startrampe im Verbrannte-Erde-Bereich kämpfen. Der Anführer des Clans, der erfolgreiche die Startrampe und die Weltraumstadt besetzt wird Overlord des Servers. Der gesamte Sieger-Cla"&amp;"n erhält spezielle Belohnungen und Privilegien!
 - Gameplay-Anpassungen: Horden-Konvoi bietet jetzt eine bessere Spielerfahrung.
 - Optimierungen: Spiel-Interface, Chat-Funktion, Gebäude-Info, sowie Kämpfer- und Upgrade-Interfaces wurden optimiert.")</f>
        <v>- Gameplay-Änderungen im Vorherrschaft-Wettbewerb: Spieler können um die Startrampe im Verbrannte-Erde-Bereich kämpfen. Der Anführer des Clans, der erfolgreiche die Startrampe und die Weltraumstadt besetzt wird Overlord des Servers. Der gesamte Sieger-Clan erhält spezielle Belohnungen und Privilegien!
 - Gameplay-Anpassungen: Horden-Konvoi bietet jetzt eine bessere Spielerfahrung.
 - Optimierungen: Spiel-Interface, Chat-Funktion, Gebäude-Info, sowie Kämpfer- und Upgrade-Interfaces wurden optimiert.</v>
      </c>
      <c r="G21" s="159" t="str">
        <f>IFERROR(__xludf.DUMMYFUNCTION("""COMPUTED_VALUE"""),"- Mudanças na jogabilidade da Competição pela Supremacia: Jogadores podem lutar pela Base de lançamento na área de Solo queimado. O líder da Gangue que ocupar a Base de lançamento e a Cidade espacial se tornará Soberano do servidor. Toda a gangue vencedor"&amp;"a receberá privilégios e recompensas espaciais!
 - Ajustes de jogabilidade: comboio do clã teve melhorias para uma melhor experiência do usuário.
 - Otimizações: interface do jogo principal, funções do bate-papo, pagina de informações das construções, a i"&amp;"nterface do Combatente e de melhorias foram otimizadas.")</f>
        <v>- Mudanças na jogabilidade da Competição pela Supremacia: Jogadores podem lutar pela Base de lançamento na área de Solo queimado. O líder da Gangue que ocupar a Base de lançamento e a Cidade espacial se tornará Soberano do servidor. Toda a gangue vencedora receberá privilégios e recompensas espaciais!
 - Ajustes de jogabilidade: comboio do clã teve melhorias para uma melhor experiência do usuário.
 - Otimizações: interface do jogo principal, funções do bate-papo, pagina de informações das construções, a interface do Combatente e de melhorias foram otimizadas.</v>
      </c>
      <c r="H21" s="159" t="str">
        <f>IFERROR(__xludf.DUMMYFUNCTION("""COMPUTED_VALUE"""),"- 霸權競賽玩法更改：玩家可以在焦土區域中爭奪火箭發射臺。成功佔領火箭發射臺及太空城鎮的幫派首領會成為整個伺服的霸主。勝出的幫派亦會獲得特別的權利及獎勵!
 - 玩法調整：升級了氏族車隊以改善玩家體驗。
 - 內容改善：改善了主遊戲介面、聊天功能、建築詳情頁面、英雄及升級介面。")</f>
        <v>- 霸權競賽玩法更改：玩家可以在焦土區域中爭奪火箭發射臺。成功佔領火箭發射臺及太空城鎮的幫派首領會成為整個伺服的霸主。勝出的幫派亦會獲得特別的權利及獎勵!
 - 玩法調整：升級了氏族車隊以改善玩家體驗。
 - 內容改善：改善了主遊戲介面、聊天功能、建築詳情頁面、英雄及升級介面。</v>
      </c>
      <c r="I21" s="159" t="str">
        <f>IFERROR(__xludf.DUMMYFUNCTION("""COMPUTED_VALUE"""),"- Perubahan gameplay Kompetisi Utama: Pemain bisa bertarung untuk menduduki Landasan Luncur di area Lahan Tandus. Pemimpin Geng yang berhasil menduduki Landasan Luncur dan Kota Luar Angkasa akan menjadi Maharaja server. Semua Geng yang menang juga akan me"&amp;"nerima hak dan hadiah istimewa!
 - Penyesuaian gameplay: Peningkatan Konvoi Klan untuk menghadirkan pengalaman pengguna yang lebih baik.
 - Pengoptimalan: Antarmuka permainan utama, fungsi obrolan, halaman informasi pembangunan, antarmuka Pejuang dan peni"&amp;"ngkatan telah dioptimalkan.")</f>
        <v>- Perubahan gameplay Kompetisi Utama: Pemain bisa bertarung untuk menduduki Landasan Luncur di area Lahan Tandus. Pemimpin Geng yang berhasil menduduki Landasan Luncur dan Kota Luar Angkasa akan menjadi Maharaja server. Semua Geng yang menang juga akan menerima hak dan hadiah istimewa!
 - Penyesuaian gameplay: Peningkatan Konvoi Klan untuk menghadirkan pengalaman pengguna yang lebih baik.
 - Pengoptimalan: Antarmuka permainan utama, fungsi obrolan, halaman informasi pembangunan, antarmuka Pejuang dan peningkatan telah dioptimalkan.</v>
      </c>
      <c r="J21" s="159" t="str">
        <f>IFERROR(__xludf.DUMMYFUNCTION("""COMPUTED_VALUE"""),"- เปลี่ยนแปลงระบบเกมการแข่งขันเพื่อชิงอำนาจ: ผู้เล่นอาจได้ต่อสู้เพื่อแย่งชิงฐานปล่อยจรวดในพื้นที่แผ่นดินที่มอดไหม้ ผู้นำแก๊งค์ที่ยึดครองฐานปล่อยจรวดและเมืองอวกาศได้สำเร็จจะกลายเป็นผู้มีอำนาจของเซิร์ฟเวอร์ แก๊งค์ทั้งหมดที่ชนะเองก็จะได้รับสิทธิพิเศษและรางวั"&amp;"ล!
 - การปรับปรุงระบบเกม: อัปเกรดรถคอนวอยของเผ่าเพื่อประสบการณ์การใช้งานที่ดีขึ้น
 - การเพิ่มประสิทธิภาพ: อินเทอร์เฟสหลักของเกม ฟังก์ชั่นแชท หน้าข้อมูลการสร้าง นักสู้ และอินเทอร์เฟสอัปเกรดได้รับการปรับให้เหมาะสมแล้ว")</f>
        <v>- เปลี่ยนแปลงระบบเกมการแข่งขันเพื่อชิงอำนาจ: ผู้เล่นอาจได้ต่อสู้เพื่อแย่งชิงฐานปล่อยจรวดในพื้นที่แผ่นดินที่มอดไหม้ ผู้นำแก๊งค์ที่ยึดครองฐานปล่อยจรวดและเมืองอวกาศได้สำเร็จจะกลายเป็นผู้มีอำนาจของเซิร์ฟเวอร์ แก๊งค์ทั้งหมดที่ชนะเองก็จะได้รับสิทธิพิเศษและรางวัล!
 - การปรับปรุงระบบเกม: อัปเกรดรถคอนวอยของเผ่าเพื่อประสบการณ์การใช้งานที่ดีขึ้น
 - การเพิ่มประสิทธิภาพ: อินเทอร์เฟสหลักของเกม ฟังก์ชั่นแชท หน้าข้อมูลการสร้าง นักสู้ และอินเทอร์เฟสอัปเกรดได้รับการปรับให้เหมาะสมแล้ว</v>
      </c>
      <c r="K21" s="159" t="str">
        <f>IFERROR(__xludf.DUMMYFUNCTION("""COMPUTED_VALUE"""),"- Cambios en la jugabilidad de la Competencia por la Supremacía: Los jugadores podrán luchar por la Plataforma de Lanzamiento en el área de las Tierras Baldías. El líder de la Banda que ocupe exitosamente la Plataforma de Lanzamiento y la Ciudad del Espac"&amp;"io se convertirán en el Líder Supremo del servidor. ¡La Banda ganadora entera recibirá también privilegios especiales y recompensas!
 - Ajustes en la jugabilidad: Mejoras en el Convoy del Clan para una mejor experiencia de usuario. 
 Optimizaciones: Inter"&amp;"face principal del juego, función de chat, pagina de información de construcción, las interfaces de Luchador y mejoras han sido optimizadas.")</f>
        <v>- Cambios en la jugabilidad de la Competencia por la Supremacía: Los jugadores podrán luchar por la Plataforma de Lanzamiento en el área de las Tierras Baldías. El líder de la Banda que ocupe exitosamente la Plataforma de Lanzamiento y la Ciudad del Espacio se convertirán en el Líder Supremo del servidor. ¡La Banda ganadora entera recibirá también privilegios especiales y recompensas!
 - Ajustes en la jugabilidad: Mejoras en el Convoy del Clan para una mejor experiencia de usuario. 
 Optimizaciones: Interface principal del juego, función de chat, pagina de información de construcción, las interfaces de Luchador y mejoras han sido optimizadas.</v>
      </c>
      <c r="L21" s="159" t="str">
        <f>IFERROR(__xludf.DUMMYFUNCTION("""COMPUTED_VALUE"""),"- Изменения в игровом процессе состязания за превосходство: игроки могут биться за стартовую площадку на территории выжженной земли. Главарь банды, которая успешно оккупирует стартовую площадку и космический город, станет Владыкой на сервере. Вся победивш"&amp;"ая банда также получит особые привилегии и награды!
- Корректировка игрового процесса: усовершенствованный караван клана для наилучших впечатлений от игры.
- Оптимизации: главный игровой интерфейс, функция чата, страница с информацией о строительстве, инт"&amp;"ерфейс героев и улучшений.")</f>
        <v>- Изменения в игровом процессе состязания за превосходство: игроки могут биться за стартовую площадку на территории выжженной земли. Главарь банды, которая успешно оккупирует стартовую площадку и космический город, станет Владыкой на сервере. Вся победившая банда также получит особые привилегии и награды!
- Корректировка игрового процесса: усовершенствованный караван клана для наилучших впечатлений от игры.
- Оптимизации: главный игровой интерфейс, функция чата, страница с информацией о строительстве, интерфейс героев и улучшений.</v>
      </c>
      <c r="M21" s="159" t="str">
        <f>IFERROR(__xludf.DUMMYFUNCTION("""COMPUTED_VALUE"""),"- Üstünlük Müsabakası oynanış değişiklikleri: Oyuncular Yanık Toprak alanında Fırlatma Rampası için savaşabilirler. Fırlatma Rampasını ve Uzay Şehrini başarıyla işgal eden Çetenin lideri sunucunun Büyük Lordu olur. Kazanan Çetenin tümü özel ayrıcalıklar v"&amp;"e ödüller alır!
 - Oynanış düzenlemesi: Daha iyi kullanıcı deneyimi için yükseltilmiş Klan Konvoyu.
 - Optimizasyonlar: Ana oyun arayüzü, sohbet işlevi, bina bilgi sayfası, Savaşçı ve yükseltme arayüzler optimize edildi.")</f>
        <v>- Üstünlük Müsabakası oynanış değişiklikleri: Oyuncular Yanık Toprak alanında Fırlatma Rampası için savaşabilirler. Fırlatma Rampasını ve Uzay Şehrini başarıyla işgal eden Çetenin lideri sunucunun Büyük Lordu olur. Kazanan Çetenin tümü özel ayrıcalıklar ve ödüller alır!
 - Oynanış düzenlemesi: Daha iyi kullanıcı deneyimi için yükseltilmiş Klan Konvoyu.
 - Optimizasyonlar: Ana oyun arayüzü, sohbet işlevi, bina bilgi sayfası, Savaşçı ve yükseltme arayüzler optimize edildi.</v>
      </c>
      <c r="N21" s="45" t="str">
        <f>IFERROR(__xludf.DUMMYFUNCTION("""COMPUTED_VALUE"""),"- Thay đổi lối chơi Tranh Hùng Bá Chủ: Những người chơi có thể chiến đấu giành Bệ Phóng trong Miền Đất Khô Cằn. Thủ lĩnh của Bang Hội chiếm đóng thành công Bệ Phóng và Thành Phố Không Gian sẽ trở thành Lãnh Chúa của máy chủ. Toàn bộ Bang Hội chiến thắng c"&amp;"ũng sẽ nhận được những phần thưởng và đặc quyền đặc biệt!
 - Điều chỉnh lối chơi: Đã nâng cấp Xe Chuyên Chở Bộ Lạc để có trải nghiệm người dùng tốt hơn.
 - Tối ưu hóa: Giao diện trò chơi chính, chức năng chat, trang thông tin công trình, Chiến Binh và các"&amp;" giao diện cập nhật đã được tối ưu hóa.")</f>
        <v>- Thay đổi lối chơi Tranh Hùng Bá Chủ: Những người chơi có thể chiến đấu giành Bệ Phóng trong Miền Đất Khô Cằn. Thủ lĩnh của Bang Hội chiếm đóng thành công Bệ Phóng và Thành Phố Không Gian sẽ trở thành Lãnh Chúa của máy chủ. Toàn bộ Bang Hội chiến thắng cũng sẽ nhận được những phần thưởng và đặc quyền đặc biệt!
 - Điều chỉnh lối chơi: Đã nâng cấp Xe Chuyên Chở Bộ Lạc để có trải nghiệm người dùng tốt hơn.
 - Tối ưu hóa: Giao diện trò chơi chính, chức năng chat, trang thông tin công trình, Chiến Binh và các giao diện cập nhật đã được tối ưu hóa.</v>
      </c>
      <c r="O21" s="45"/>
      <c r="P21" s="34"/>
      <c r="Q21" s="34"/>
      <c r="R21" s="34"/>
      <c r="S21" s="34"/>
      <c r="T21" s="108"/>
      <c r="U21" s="108"/>
      <c r="V21" s="108"/>
      <c r="W21" s="108"/>
      <c r="X21" s="108"/>
      <c r="Y21" s="108"/>
      <c r="Z21" s="108"/>
    </row>
    <row r="22" ht="72.0" customHeight="1">
      <c r="A22" s="149" t="str">
        <f>IFERROR(__xludf.DUMMYFUNCTION("""COMPUTED_VALUE"""),"0.20.0")</f>
        <v>0.20.0</v>
      </c>
      <c r="B22" s="174"/>
      <c r="C22" s="44" t="str">
        <f>IFERROR(__xludf.DUMMYFUNCTION("""COMPUTED_VALUE"""),"- 新增玩法：猴子们可以通过收集各种收藏品来获得不同的属性加成，收藏品可以通过展览馆中的探测功能和活动任务获取。
- 斗士升星调整：调整了斗士升星界面部分斗士碎片的使用方式，现在奥斯卡、美妮、马斯通的英雄碎片不能再用作英雄升星。
- 优化内容：擂台界面，部队指挥界面，城建美术，战斗表现等优化。")</f>
        <v>- 新增玩法：猴子们可以通过收集各种收藏品来获得不同的属性加成，收藏品可以通过展览馆中的探测功能和活动任务获取。
- 斗士升星调整：调整了斗士升星界面部分斗士碎片的使用方式，现在奥斯卡、美妮、马斯通的英雄碎片不能再用作英雄升星。
- 优化内容：擂台界面，部队指挥界面，城建美术，战斗表现等优化。</v>
      </c>
      <c r="D22" s="159" t="str">
        <f>IFERROR(__xludf.DUMMYFUNCTION("""COMPUTED_VALUE"""),"- New Gameplay: Players can now collect various special items and gain different buffs with the addition of the new Wonder Emporium!
- Fighter Star Upgrade Adjustment: We have changed how certain Fighter Medals are used in the Fighter Star Level interface"&amp;". Oscar, T.Ny, and Mastodonte's medals can no longer be used to upgrade their star levels.
- Optimizations: We have optimized several interfaces, art, performances, etc.")</f>
        <v>- New Gameplay: Players can now collect various special items and gain different buffs with the addition of the new Wonder Emporium!
- Fighter Star Upgrade Adjustment: We have changed how certain Fighter Medals are used in the Fighter Star Level interface. Oscar, T.Ny, and Mastodonte's medals can no longer be used to upgrade their star levels.
- Optimizations: We have optimized several interfaces, art, performances, etc.</v>
      </c>
      <c r="E22" s="159" t="str">
        <f>IFERROR(__xludf.DUMMYFUNCTION("""COMPUTED_VALUE"""),"- Collectionnez des objets et exposez-les dans la halle aux merveilles pour obtenir des boosts!
- Modification du niveau d'étoiles des combattants: Nous avons modifié l'utilisation de certaines médailles de combattant sur l'interface du niveau d'étoiles. "&amp;"Ainsi, les médailles d'Oscar, T.Ny et Mastodonte ne peuvent plus être utilisées pour augmenter leur niveau d'étoiles.
- Nous avons optimisé différentes interfaces, graphismes, performances, etc...")</f>
        <v>- Collectionnez des objets et exposez-les dans la halle aux merveilles pour obtenir des boosts!
- Modification du niveau d'étoiles des combattants: Nous avons modifié l'utilisation de certaines médailles de combattant sur l'interface du niveau d'étoiles. Ainsi, les médailles d'Oscar, T.Ny et Mastodonte ne peuvent plus être utilisées pour augmenter leur niveau d'étoiles.
- Nous avons optimisé différentes interfaces, graphismes, performances, etc...</v>
      </c>
      <c r="F22" s="159" t="str">
        <f>IFERROR(__xludf.DUMMYFUNCTION("""COMPUTED_VALUE"""),"- Neues Gameplay: Mit dem neuen Wunderladen können Spieler jetzt verschiedene Spezial-Items sammeln und diverse Buffs erhalten!
- Anpassung für Kämferstern-Upgrade: Wir haben Veränderungen daran vorgenommen, wie bestimmte Heldenorden im Kämpfer-Sternlevel"&amp;"-Interface verwendet werden können. Orden für Oscar, T.Ny, und Mastodonte können nicht für Sternlevel-Upgrades verwendet werden.
- Optimierungen: Wir haben verschiedene Interfaces, Grafiken, Funktionalitäten usw. optimiert.")</f>
        <v>- Neues Gameplay: Mit dem neuen Wunderladen können Spieler jetzt verschiedene Spezial-Items sammeln und diverse Buffs erhalten!
- Anpassung für Kämferstern-Upgrade: Wir haben Veränderungen daran vorgenommen, wie bestimmte Heldenorden im Kämpfer-Sternlevel-Interface verwendet werden können. Orden für Oscar, T.Ny, und Mastodonte können nicht für Sternlevel-Upgrades verwendet werden.
- Optimierungen: Wir haben verschiedene Interfaces, Grafiken, Funktionalitäten usw. optimiert.</v>
      </c>
      <c r="G22" s="159" t="str">
        <f>IFERROR(__xludf.DUMMYFUNCTION("""COMPUTED_VALUE"""),"- Nova jogabilidade: os jogadores agora podem coletar itens especiais e ganhar benefícios com o novo Empório Maravilha!
- Ajuste na melhoria de estrela de combatente: alteramos a maneira como certas Medalhas de Combatente são usadas na interface do nível "&amp;"de estrela de combatente. Não é mais possível usar as Medalhas de Oscar, T.Ny e Mastodonte para melhorar os níveis de estrela deles.
- Otimizações: otimizamos muitas interfaces, artes, desempenho, etc.")</f>
        <v>- Nova jogabilidade: os jogadores agora podem coletar itens especiais e ganhar benefícios com o novo Empório Maravilha!
- Ajuste na melhoria de estrela de combatente: alteramos a maneira como certas Medalhas de Combatente são usadas na interface do nível de estrela de combatente. Não é mais possível usar as Medalhas de Oscar, T.Ny e Mastodonte para melhorar os níveis de estrela deles.
- Otimizações: otimizamos muitas interfaces, artes, desempenho, etc.</v>
      </c>
      <c r="H22" s="159" t="str">
        <f>IFERROR(__xludf.DUMMYFUNCTION("""COMPUTED_VALUE"""),"- 全新玩法：玩家現在可以收集各種特殊收藏品，並於新的奇觀展覽館中獲得不同的強化效果！
- 英雄星級提升調整：我們改變了在英雄星級介面中部分英雄勳章的使用方式。奧斯卡、T 妮及大舊猻的勳章不可再用於提高其星級。
- 內容改善：我們在介面、美術及效能等方面作出了數項改善。")</f>
        <v>- 全新玩法：玩家現在可以收集各種特殊收藏品，並於新的奇觀展覽館中獲得不同的強化效果！
- 英雄星級提升調整：我們改變了在英雄星級介面中部分英雄勳章的使用方式。奧斯卡、T 妮及大舊猻的勳章不可再用於提高其星級。
- 內容改善：我們在介面、美術及效能等方面作出了數項改善。</v>
      </c>
      <c r="I22" s="159" t="str">
        <f>IFERROR(__xludf.DUMMYFUNCTION("""COMPUTED_VALUE"""),"- Gameplay Baru: Kini pemain bisa mengumpulkan beragam item khusus dan mendapatkan berbagai keunggulan dengan adanya penambahan Emporium Megah!
- Penyesuaian Peningkatan Bintang Pejuang: Kami telah mengubah cara Medali Pejuang tertentu digunakan di antarm"&amp;"uka Level Bintang Pejuang. Medali Oscar, T.Ny, dan Mastodonte tidak bisa lagi digunakan untuk meningkatkan level bintang mereka.
- Pengoptimalan: Kami telah mengoptimalkan beberapa antarmuka, seni, performa, dsb.")</f>
        <v>- Gameplay Baru: Kini pemain bisa mengumpulkan beragam item khusus dan mendapatkan berbagai keunggulan dengan adanya penambahan Emporium Megah!
- Penyesuaian Peningkatan Bintang Pejuang: Kami telah mengubah cara Medali Pejuang tertentu digunakan di antarmuka Level Bintang Pejuang. Medali Oscar, T.Ny, dan Mastodonte tidak bisa lagi digunakan untuk meningkatkan level bintang mereka.
- Pengoptimalan: Kami telah mengoptimalkan beberapa antarmuka, seni, performa, dsb.</v>
      </c>
      <c r="J22" s="159" t="str">
        <f>IFERROR(__xludf.DUMMYFUNCTION("""COMPUTED_VALUE"""),"- รูปแบบการเล่นใหม่: ผู้เล่นสามารถสะสมไอเทมพิเศษต่าง ๆ และรับบัฟฟ์ต่าง ๆ ได้ด้วยการเพิ่มวันเดอร์เอ็มโพเรียมใหม่!
- การปรับเปลี่ยนในการอัปเกรดดาวของนักสู้: เราได้เปลี่ยนวิธีการใช้เหรียญตราของนักสู้ในอินเตอร์เฟสเลเวลดาวของนักสู้บางประการ ซึ่งจะทำให้คุณไม่สา"&amp;"มารถใช้เหรียญตราของออสการ์ ทีนี่ และมาสโตดอนเต้เพื่ออัปเกรดเลเวลดาวได้อีกต่อไป
- การเพิ่มประสิทธิภาพ: เราได้เพิ่มประสิทธิภาพอินเทอร์เฟซ ภาพ ประสิทธิภาพ ฯลฯ ในหลาย ๆ ด้าน")</f>
        <v>- รูปแบบการเล่นใหม่: ผู้เล่นสามารถสะสมไอเทมพิเศษต่าง ๆ และรับบัฟฟ์ต่าง ๆ ได้ด้วยการเพิ่มวันเดอร์เอ็มโพเรียมใหม่!
- การปรับเปลี่ยนในการอัปเกรดดาวของนักสู้: เราได้เปลี่ยนวิธีการใช้เหรียญตราของนักสู้ในอินเตอร์เฟสเลเวลดาวของนักสู้บางประการ ซึ่งจะทำให้คุณไม่สามารถใช้เหรียญตราของออสการ์ ทีนี่ และมาสโตดอนเต้เพื่ออัปเกรดเลเวลดาวได้อีกต่อไป
- การเพิ่มประสิทธิภาพ: เราได้เพิ่มประสิทธิภาพอินเทอร์เฟซ ภาพ ประสิทธิภาพ ฯลฯ ในหลาย ๆ ด้าน</v>
      </c>
      <c r="K22" s="159" t="str">
        <f>IFERROR(__xludf.DUMMYFUNCTION("""COMPUTED_VALUE"""),"-Nueva jugabilidad: ¡Colecciona artículos legendarios y obtén mejoras gracias al nuevo Emporio de Maravillas!
- Ajuste a la Mejora de Estrella de Luchadores: Hemos modificado la utilización de algunas medallas de luchadores en la interfaz de nivel de estr"&amp;"ella. Las medallas de Oscar, P.Que, y Mastodonte, ya no podrán ser usadas para mejorar sus niveles de estrella.
-Optimizaciones: Se han optimizado diversas interfaces, arte, procesos, etc.")</f>
        <v>-Nueva jugabilidad: ¡Colecciona artículos legendarios y obtén mejoras gracias al nuevo Emporio de Maravillas!
- Ajuste a la Mejora de Estrella de Luchadores: Hemos modificado la utilización de algunas medallas de luchadores en la interfaz de nivel de estrella. Las medallas de Oscar, P.Que, y Mastodonte, ya no podrán ser usadas para mejorar sus niveles de estrella.
-Optimizaciones: Se han optimizado diversas interfaces, arte, procesos, etc.</v>
      </c>
      <c r="L22" s="159" t="str">
        <f>IFERROR(__xludf.DUMMYFUNCTION("""COMPUTED_VALUE"""),"— Новый элемент игры: с добавлением нового зала чудес игроки могут собирать различные особые предметы и получать усиления!
— Корректировка повышения звездного уровня героев: мы изменили способ использования некоторых медалей героев в интерфейсе звездного "&amp;"уровня героев. Медали Оскара, К.Рохи и Мастодонте больше нельзя будет использовать для повышения их звездного уровня.
— Оптимизация: мы оптимизировали рад элементов интерфейса, изображения, производительность и т.д.")</f>
        <v>— Новый элемент игры: с добавлением нового зала чудес игроки могут собирать различные особые предметы и получать усиления!
— Корректировка повышения звездного уровня героев: мы изменили способ использования некоторых медалей героев в интерфейсе звездного уровня героев. Медали Оскара, К.Рохи и Мастодонте больше нельзя будет использовать для повышения их звездного уровня.
— Оптимизация: мы оптимизировали рад элементов интерфейса, изображения, производительность и т.д.</v>
      </c>
      <c r="M22" s="159" t="str">
        <f>IFERROR(__xludf.DUMMYFUNCTION("""COMPUTED_VALUE"""),"- Yeni Oynanış: Oyuncular yeni Harikalar Dükkânı sayesinde artık çeşitli özel eşyalar toplayıp farklı güçlendiriciler kazanabilirler!
- Savaşçı Yıldızı Yükseltme Düzenlemesi: Belirli Savaşçı Madalyalarının, Savaşçı Yıldızı Seviyesi arayüzünde kullanılma ş"&amp;"eklini değiştirdik. Oscar, T.Ny ve Mastodonte’nin madalyaları artık yıldız seviyelerini yükseltmek için kullanılamaz.
- Optimizasyonlar: Bazı arayüzleri, tasarımları, performansları vb. optimize ettik.")</f>
        <v>- Yeni Oynanış: Oyuncular yeni Harikalar Dükkânı sayesinde artık çeşitli özel eşyalar toplayıp farklı güçlendiriciler kazanabilirler!
- Savaşçı Yıldızı Yükseltme Düzenlemesi: Belirli Savaşçı Madalyalarının, Savaşçı Yıldızı Seviyesi arayüzünde kullanılma şeklini değiştirdik. Oscar, T.Ny ve Mastodonte’nin madalyaları artık yıldız seviyelerini yükseltmek için kullanılamaz.
- Optimizasyonlar: Bazı arayüzleri, tasarımları, performansları vb. optimize ettik.</v>
      </c>
      <c r="N22" s="45" t="str">
        <f>IFERROR(__xludf.DUMMYFUNCTION("""COMPUTED_VALUE"""),"- Lối Chơi Mới: Người chơi có thể thu thập các vật phẩm đặc biệt và nhận buff với sự xuất hiện của Trung Tâm Thương Mại Kỳ Thú mới!
- Điều chỉnh nâng cấp sao Chiến Binh: Chúng tôi đã thay đổi cách sử dụng của một số Huy Hiệu Chiến Binh trong giao diện Cấp"&amp;" Sao Chiến Binh. Không thể sử dụng huy hiệu Oscar, T.Ny và Mastodonte để nâng cấp cấp sao của họ nữa.
- Tối ưu hóa: Chúng tôi đã tối ưu hóa một số giao diện, hình ảnh, hiệu suất, v.v")</f>
        <v>- Lối Chơi Mới: Người chơi có thể thu thập các vật phẩm đặc biệt và nhận buff với sự xuất hiện của Trung Tâm Thương Mại Kỳ Thú mới!
- Điều chỉnh nâng cấp sao Chiến Binh: Chúng tôi đã thay đổi cách sử dụng của một số Huy Hiệu Chiến Binh trong giao diện Cấp Sao Chiến Binh. Không thể sử dụng huy hiệu Oscar, T.Ny và Mastodonte để nâng cấp cấp sao của họ nữa.
- Tối ưu hóa: Chúng tôi đã tối ưu hóa một số giao diện, hình ảnh, hiệu suất, v.v</v>
      </c>
      <c r="O22" s="45"/>
      <c r="P22" s="34"/>
      <c r="Q22" s="34"/>
      <c r="R22" s="34"/>
      <c r="S22" s="34"/>
      <c r="T22" s="108"/>
      <c r="U22" s="108"/>
      <c r="V22" s="108"/>
      <c r="W22" s="108"/>
      <c r="X22" s="108"/>
      <c r="Y22" s="108"/>
      <c r="Z22" s="108"/>
    </row>
    <row r="23" ht="72.0" customHeight="1">
      <c r="A23" s="149" t="str">
        <f>IFERROR(__xludf.DUMMYFUNCTION("""COMPUTED_VALUE"""),"0.20.5")</f>
        <v>0.20.5</v>
      </c>
      <c r="B23" s="174"/>
      <c r="C23" s="44" t="str">
        <f>IFERROR(__xludf.DUMMYFUNCTION("""COMPUTED_VALUE"""),"- 新增活动：我们为即将到来的感恩节准备了丰富多彩的活动。
- 控制优化：您现在可以更方便地升级建筑，控制您的行军部队了。
- 聊天优化：优化了聊天功能的动画效果，提升了使用流畅度。
- 操作优化：优化了手机端操作，扩大了部分点击区域和滑块判定范围。")</f>
        <v>- 新增活动：我们为即将到来的感恩节准备了丰富多彩的活动。
- 控制优化：您现在可以更方便地升级建筑，控制您的行军部队了。
- 聊天优化：优化了聊天功能的动画效果，提升了使用流畅度。
- 操作优化：优化了手机端操作，扩大了部分点击区域和滑块判定范围。</v>
      </c>
      <c r="D23" s="159" t="str">
        <f>IFERROR(__xludf.DUMMYFUNCTION("""COMPUTED_VALUE"""),"- New Activities: We have added a variety of activities to celebrate Thanksgiving!
- Marching Control: You can now upgrade buildings easier and control your marching troops!
- Chat Optimization: We have improved the chat efficiency and its animation effec"&amp;"ts.
- Optimizations: We have optimized some mobile operations and expanded the range of some click areas and sliders.")</f>
        <v>- New Activities: We have added a variety of activities to celebrate Thanksgiving!
- Marching Control: You can now upgrade buildings easier and control your marching troops!
- Chat Optimization: We have improved the chat efficiency and its animation effects.
- Optimizations: We have optimized some mobile operations and expanded the range of some click areas and sliders.</v>
      </c>
      <c r="E23" s="159" t="str">
        <f>IFERROR(__xludf.DUMMYFUNCTION("""COMPUTED_VALUE"""),"- De nouvelles activités pour fêter Thanksgiving!
- Simplification du contrôle des déplacements et de l'amélioration des bâtiments.
- Optimisation du chat et de ses animations.
- Amélioration de l'ergonomie sur mobile, notamment avec des zones de clic éte"&amp;"ndues.")</f>
        <v>- De nouvelles activités pour fêter Thanksgiving!
- Simplification du contrôle des déplacements et de l'amélioration des bâtiments.
- Optimisation du chat et de ses animations.
- Amélioration de l'ergonomie sur mobile, notamment avec des zones de clic étendues.</v>
      </c>
      <c r="F23" s="159" t="str">
        <f>IFERROR(__xludf.DUMMYFUNCTION("""COMPUTED_VALUE"""),"- Neue Aktivitäten: Wir haben anlässlich der Thanksgiving-Feiern eine Reihe von Aktivitäten hinzugefügt!
- Marschkontrolle: Du kannst jetzt leichter Gebäude ausbauen und deine marschierenden Truppen kontrollieren!
- Chat-Verbesserung: Wir haben die Chat-E"&amp;"ffizienz und die Animationseffekte verbessert.
- Optimierungen: Wir haben die Steuerung optimiert und die den Bereich von einigen Schaltflächen und Reglern vergrößert.")</f>
        <v>- Neue Aktivitäten: Wir haben anlässlich der Thanksgiving-Feiern eine Reihe von Aktivitäten hinzugefügt!
- Marschkontrolle: Du kannst jetzt leichter Gebäude ausbauen und deine marschierenden Truppen kontrollieren!
- Chat-Verbesserung: Wir haben die Chat-Effizienz und die Animationseffekte verbessert.
- Optimierungen: Wir haben die Steuerung optimiert und die den Bereich von einigen Schaltflächen und Reglern vergrößert.</v>
      </c>
      <c r="G23" s="159" t="str">
        <f>IFERROR(__xludf.DUMMYFUNCTION("""COMPUTED_VALUE"""),"- Novas atividades: Adicionamos uma variedade de atividades para celebrar o Dia de Ação de Graças!
- Controle de marcha: Agora você pode melhorar construções de maneira mais fácil e controlar suas tropas em marcha!
- Otimização de bate-papo: Melhoramos a "&amp;"eficiência e animações do bate-papo.
- Otimizações: Otimizamos algumas operações e aumentamos o alcance de algumas áreas selecionáveis e barras deslizantes.")</f>
        <v>- Novas atividades: Adicionamos uma variedade de atividades para celebrar o Dia de Ação de Graças!
- Controle de marcha: Agora você pode melhorar construções de maneira mais fácil e controlar suas tropas em marcha!
- Otimização de bate-papo: Melhoramos a eficiência e animações do bate-papo.
- Otimizações: Otimizamos algumas operações e aumentamos o alcance de algumas áreas selecionáveis e barras deslizantes.</v>
      </c>
      <c r="H23" s="159" t="str">
        <f>IFERROR(__xludf.DUMMYFUNCTION("""COMPUTED_VALUE"""),"- 全新活動：我們為即將到來的感恩節準備了豐富多彩的活動！
- 行軍控制：你現在可以更輕鬆地升級建築，以及控制行軍中的部隊！
- 聊天功能改善：我們改善了聊天功能的效率以及其動畫效果。
- 內容改善：我們改良了一些移動裝置端的操作，擴大了部分點擊區域及滑動範圍。")</f>
        <v>- 全新活動：我們為即將到來的感恩節準備了豐富多彩的活動！
- 行軍控制：你現在可以更輕鬆地升級建築，以及控制行軍中的部隊！
- 聊天功能改善：我們改善了聊天功能的效率以及其動畫效果。
- 內容改善：我們改良了一些移動裝置端的操作，擴大了部分點擊區域及滑動範圍。</v>
      </c>
      <c r="I23" s="159" t="str">
        <f>IFERROR(__xludf.DUMMYFUNCTION("""COMPUTED_VALUE"""),"- Aktivitas Baru: Kami telah menambahkan beragam aktivitas untuk merayakan Thanksgiving!
- Kontrol Berbaris: Kamu sekarang bisa meningkatkan pembangunan dengan lebih mudah dan mengontrol pasukan berbarismu!
- Pengoptimalan Obrolan: Kami telah meningkatkan"&amp;" efisiensi obrolan dan efek animasinya.
- Pengoptimalan: Kami telah mengoptimalkan sejumlah pengoperasian seluler dan memperluas bidang area klik dan penggeser tertentu.")</f>
        <v>- Aktivitas Baru: Kami telah menambahkan beragam aktivitas untuk merayakan Thanksgiving!
- Kontrol Berbaris: Kamu sekarang bisa meningkatkan pembangunan dengan lebih mudah dan mengontrol pasukan berbarismu!
- Pengoptimalan Obrolan: Kami telah meningkatkan efisiensi obrolan dan efek animasinya.
- Pengoptimalan: Kami telah mengoptimalkan sejumlah pengoperasian seluler dan memperluas bidang area klik dan penggeser tertentu.</v>
      </c>
      <c r="J23" s="159" t="str">
        <f>IFERROR(__xludf.DUMMYFUNCTION("""COMPUTED_VALUE"""),"- กิจกรรมใหม่: เราได้เพิ่มกิจกรรมมากมายเพื่อเฉลิมฉลองวันขอบคุณพระเจ้า!
- ควบคุมการเดินทัพ: ในขณะนี้ คุณสามารถอัปเกรดสิ่งปลูกสร้างและควบคุมกองทหารเดินทัพของคุณได้ง่ายขึ้น!
- การเพิ่มประสิทธิภาพการแชท: เราได้ปรับปรุงประสิทธิภาพการแชทและเอฟเฟกต์ภาพเคลื่อนไหว"&amp;"ให้ดียิ่งขึ้น
- การเพิ่มประสิทธิภาพ: เราได้เพิ่มประสิทธิภาพของการทำงานบนอุปกรณ์พกพา รวมถึงขยายช่วงพื้นที่คลิกและแถบเลื่อนให้กว้างขึ้น")</f>
        <v>- กิจกรรมใหม่: เราได้เพิ่มกิจกรรมมากมายเพื่อเฉลิมฉลองวันขอบคุณพระเจ้า!
- ควบคุมการเดินทัพ: ในขณะนี้ คุณสามารถอัปเกรดสิ่งปลูกสร้างและควบคุมกองทหารเดินทัพของคุณได้ง่ายขึ้น!
- การเพิ่มประสิทธิภาพการแชท: เราได้ปรับปรุงประสิทธิภาพการแชทและเอฟเฟกต์ภาพเคลื่อนไหวให้ดียิ่งขึ้น
- การเพิ่มประสิทธิภาพ: เราได้เพิ่มประสิทธิภาพของการทำงานบนอุปกรณ์พกพา รวมถึงขยายช่วงพื้นที่คลิกและแถบเลื่อนให้กว้างขึ้น</v>
      </c>
      <c r="K23" s="159" t="str">
        <f>IFERROR(__xludf.DUMMYFUNCTION("""COMPUTED_VALUE"""),"- Nuevas Actividades: ¡Hemos agregado una variedad de actividades para celebrar el Día de Acción de Gracias!
- Control de Marcha: Ahora puedes mejorar tus edificios más fácilmente y controlar a tus tropas marchando en el mapa. 
- Optimización del Chat: He"&amp;"mos mejorado la eficiencia del chat y sus efectos de animación. 
- Optimizaciones: Hemos optimizado algunas operaciones de móvil y expandido el rango de algunas áreas para hacer clic y en los controles deslizantes.")</f>
        <v>- Nuevas Actividades: ¡Hemos agregado una variedad de actividades para celebrar el Día de Acción de Gracias!
- Control de Marcha: Ahora puedes mejorar tus edificios más fácilmente y controlar a tus tropas marchando en el mapa. 
- Optimización del Chat: Hemos mejorado la eficiencia del chat y sus efectos de animación. 
- Optimizaciones: Hemos optimizado algunas operaciones de móvil y expandido el rango de algunas áreas para hacer clic y en los controles deslizantes.</v>
      </c>
      <c r="L23" s="159" t="str">
        <f>IFERROR(__xludf.DUMMYFUNCTION("""COMPUTED_VALUE"""),"- Новые занятия: мы добавили различные занятия, чтобы отпраздновать День благодарения!
- Контроль над маршами: теперь вам будет легче улучшать постройки и контролировать войска на марше!
- Оптимизация чата: мы повысили эффективность чата и улучшили эффект"&amp;"ы анимации.
- Оптимизация: мы оптимизировали ряд мобильных операций и расширили активную область некоторых зон для нажатия и ползунков.")</f>
        <v>- Новые занятия: мы добавили различные занятия, чтобы отпраздновать День благодарения!
- Контроль над маршами: теперь вам будет легче улучшать постройки и контролировать войска на марше!
- Оптимизация чата: мы повысили эффективность чата и улучшили эффекты анимации.
- Оптимизация: мы оптимизировали ряд мобильных операций и расширили активную область некоторых зон для нажатия и ползунков.</v>
      </c>
      <c r="M23" s="159" t="str">
        <f>IFERROR(__xludf.DUMMYFUNCTION("""COMPUTED_VALUE"""),"- Yeni Aktiviteler: Şükran Gününü kutlamak için pek çok aktivite ekledik!
- Sefer Kontrolü: Artık binaları daha kolay yükseltebilecek ve seferdeki birliklerini daha kolay kontrol edebileceksin!
- Sohbet Optimizasyonu: Sohbet etkinliğini ve animasyon efekt"&amp;"lerini geliştirdik.
- Optimizasyonlar: Bazı mobil işlemleri optimize ettik ve bazı tıklama alanları ile kayan çubukların alanını genişlettik.")</f>
        <v>- Yeni Aktiviteler: Şükran Gününü kutlamak için pek çok aktivite ekledik!
- Sefer Kontrolü: Artık binaları daha kolay yükseltebilecek ve seferdeki birliklerini daha kolay kontrol edebileceksin!
- Sohbet Optimizasyonu: Sohbet etkinliğini ve animasyon efektlerini geliştirdik.
- Optimizasyonlar: Bazı mobil işlemleri optimize ettik ve bazı tıklama alanları ile kayan çubukların alanını genişlettik.</v>
      </c>
      <c r="N23" s="45" t="str">
        <f>IFERROR(__xludf.DUMMYFUNCTION("""COMPUTED_VALUE"""),"- Hoạt động mới: Chúng tôi đã thêm nhiều hoạt động mới để mừng dịp Lễ Tạ Ơn!
- Điều khiển hành quân: Bạn có thể cập nhật các công trình dễ dàng, và điều khiển lính hành quân.
- Tối ưu hệ thống chat: Chúng tôi đã cải hiện tính năng chat và hiệu ứng hoạt hì"&amp;"nh.
- Tối ưu: Chúng tôi đã tối ưu một số thao tác trên di động, và mở rộng phạm vi click và vuốt.")</f>
        <v>- Hoạt động mới: Chúng tôi đã thêm nhiều hoạt động mới để mừng dịp Lễ Tạ Ơn!
- Điều khiển hành quân: Bạn có thể cập nhật các công trình dễ dàng, và điều khiển lính hành quân.
- Tối ưu hệ thống chat: Chúng tôi đã cải hiện tính năng chat và hiệu ứng hoạt hình.
- Tối ưu: Chúng tôi đã tối ưu một số thao tác trên di động, và mở rộng phạm vi click và vuốt.</v>
      </c>
      <c r="O23" s="45"/>
      <c r="P23" s="34"/>
      <c r="Q23" s="34"/>
      <c r="R23" s="34"/>
      <c r="S23" s="34"/>
      <c r="T23" s="108"/>
      <c r="U23" s="108"/>
      <c r="V23" s="108"/>
      <c r="W23" s="108"/>
      <c r="X23" s="108"/>
      <c r="Y23" s="108"/>
      <c r="Z23" s="108"/>
    </row>
    <row r="24" ht="72.0" customHeight="1">
      <c r="A24" s="149" t="str">
        <f>IFERROR(__xludf.DUMMYFUNCTION("""COMPUTED_VALUE"""),"0.21.0")</f>
        <v>0.21.0</v>
      </c>
      <c r="B24" s="174"/>
      <c r="C24" s="44" t="str">
        <f>IFERROR(__xludf.DUMMYFUNCTION("""COMPUTED_VALUE"""),"- 新增战场玩法：决战卫星之巅，帮派间的炙热火拼，在不会损失士兵和资源的卫星战场中决斗，获取大量奖励！
- 新增太空争霸玩法：您可以使用资源和唱片进行以部落为单位的捐献，捐献可以获得全部落在焦土区域内的战斗增益以及丰厚的个人奖励；霸主新增了三个可以通过消耗唱片开启的主动技能。
- 优化内容：优化了您的探测，行军和战斗体验。")</f>
        <v>- 新增战场玩法：决战卫星之巅，帮派间的炙热火拼，在不会损失士兵和资源的卫星战场中决斗，获取大量奖励！
- 新增太空争霸玩法：您可以使用资源和唱片进行以部落为单位的捐献，捐献可以获得全部落在焦土区域内的战斗增益以及丰厚的个人奖励；霸主新增了三个可以通过消耗唱片开启的主动技能。
- 优化内容：优化了您的探测，行军和战斗体验。</v>
      </c>
      <c r="D24" s="159" t="str">
        <f>IFERROR(__xludf.DUMMYFUNCTION("""COMPUTED_VALUE"""),"- New battleground gameplay: Astral Coliseum, the ultimate clash between Gangs. Get massive rewards in duels on a satellite battleground, with no loss of troops or resources!
- New Supremacy Competition gameplay: donate resources and CDs to your Clan. Don"&amp;"ate to gain battle buffs in Scorched Soil and get great individual rewards. The Overlord has three new active skills that can be released by spending CDs.
- Optimizations: optimized player experience for Relic Detection, marching, and battles.")</f>
        <v>- New battleground gameplay: Astral Coliseum, the ultimate clash between Gangs. Get massive rewards in duels on a satellite battleground, with no loss of troops or resources!
- New Supremacy Competition gameplay: donate resources and CDs to your Clan. Donate to gain battle buffs in Scorched Soil and get great individual rewards. The Overlord has three new active skills that can be released by spending CDs.
- Optimizations: optimized player experience for Relic Detection, marching, and battles.</v>
      </c>
      <c r="E24" s="159" t="str">
        <f>IFERROR(__xludf.DUMMYFUNCTION("""COMPUTED_VALUE"""),"- Colisée astral: Obtenez des récompenses à l'issue de duels entre gangs où vous ne perdrez ni troupes ni ressources!
- Course à la suprématie: vous pouvez maintenant faire don de ressources et de CD à votre clan, pour bénéficier de boosts lors des combat"&amp;"s en terres brûlées, ainsi que des récompenses individuelles. Le Souverain possède 3 nouvelles compétences actives qu'il peut lancer en échange de CD.
- Interface optimisée pour la détection de reliques, les déplacements et les combats.")</f>
        <v>- Colisée astral: Obtenez des récompenses à l'issue de duels entre gangs où vous ne perdrez ni troupes ni ressources!
- Course à la suprématie: vous pouvez maintenant faire don de ressources et de CD à votre clan, pour bénéficier de boosts lors des combats en terres brûlées, ainsi que des récompenses individuelles. Le Souverain possède 3 nouvelles compétences actives qu'il peut lancer en échange de CD.
- Interface optimisée pour la détection de reliques, les déplacements et les combats.</v>
      </c>
      <c r="F24" s="159" t="str">
        <f>IFERROR(__xludf.DUMMYFUNCTION("""COMPUTED_VALUE"""),"- Neues Schlachtfeld-Gameplay: Astral-Kolosseum, der ultimative Clan-Wettkampf. Erhalte Belohnungen in Duellen auf einem Satelliten-Schlachtfeld, und das ohne Verluste von Truppen oder Ressourcen!
- Neuerung im Vorherrschaft-Wettbewerb: Du kannst Ressourc"&amp;"en und CDs spenden, um Kampf-Buffs auf der Verbrannten Erde und Belohnungen zu erhalten. Der Overlord hat 3 neue Fähigkeiten, die durch Spenden von CDs aktiviert werden.
- Optimierte Spielerfahrung für Relikt-Ortung, Marschieren und Kämpfen.")</f>
        <v>- Neues Schlachtfeld-Gameplay: Astral-Kolosseum, der ultimative Clan-Wettkampf. Erhalte Belohnungen in Duellen auf einem Satelliten-Schlachtfeld, und das ohne Verluste von Truppen oder Ressourcen!
- Neuerung im Vorherrschaft-Wettbewerb: Du kannst Ressourcen und CDs spenden, um Kampf-Buffs auf der Verbrannten Erde und Belohnungen zu erhalten. Der Overlord hat 3 neue Fähigkeiten, die durch Spenden von CDs aktiviert werden.
- Optimierte Spielerfahrung für Relikt-Ortung, Marschieren und Kämpfen.</v>
      </c>
      <c r="G24" s="159" t="str">
        <f>IFERROR(__xludf.DUMMYFUNCTION("""COMPUTED_VALUE"""),"- Novidade no Campo de batalha: Coliseu Astral, o confronto definitivo de gangues. Receba recompensas em duelos na batalha em um satélite, sem perda de tropas ou recursos!
- Novidade na Competição pela Supremacia: agora você pode doar recursos e CDs ao cl"&amp;"ã para receber auxílios de batalha no solo queimado e ótimas recompensas individuais. O Soberano tem 3 novas habilidades ativas que pode ativar com CDs.
- Otimizações: experiência otimizada na Detecção de Relíquias, marcha e batalhas.")</f>
        <v>- Novidade no Campo de batalha: Coliseu Astral, o confronto definitivo de gangues. Receba recompensas em duelos na batalha em um satélite, sem perda de tropas ou recursos!
- Novidade na Competição pela Supremacia: agora você pode doar recursos e CDs ao clã para receber auxílios de batalha no solo queimado e ótimas recompensas individuais. O Soberano tem 3 novas habilidades ativas que pode ativar com CDs.
- Otimizações: experiência otimizada na Detecção de Relíquias, marcha e batalhas.</v>
      </c>
      <c r="H24" s="159" t="str">
        <f>IFERROR(__xludf.DUMMYFUNCTION("""COMPUTED_VALUE"""),"- 全新戰場玩法：星際競技場，幫派之間的終極對決。在衛星戰場上決鬥，以贏取豐富獎勵，而且不會損失任何部隊或資源！
- 霸權競賽玩法更改：你現在可以捐贈資源和CD給你的氏族了。捐贈資源可以在焦土區域獲得戰鬥強化效果，並獲得個人的豐富獎勵。霸主有三個全新的主動技能，可以花費CD使用。
- 內容改善：改善古代遺物探測、行軍及戰鬥的玩家體驗。")</f>
        <v>- 全新戰場玩法：星際競技場，幫派之間的終極對決。在衛星戰場上決鬥，以贏取豐富獎勵，而且不會損失任何部隊或資源！
- 霸權競賽玩法更改：你現在可以捐贈資源和CD給你的氏族了。捐贈資源可以在焦土區域獲得戰鬥強化效果，並獲得個人的豐富獎勵。霸主有三個全新的主動技能，可以花費CD使用。
- 內容改善：改善古代遺物探測、行軍及戰鬥的玩家體驗。</v>
      </c>
      <c r="I24" s="159" t="str">
        <f>IFERROR(__xludf.DUMMYFUNCTION("""COMPUTED_VALUE"""),"- Gameplay medan perang baru: Astral Coliseum, pertempuran sengit antara Geng. Dapatkan hadiah keren dlm duel di medan perang satelit, &amp; tanpa kerugian pasukan/sbr dy!
- Gameplay Kompetisi Utama baru: kini kamu bisa mendonasikan sbr dy &amp; CD ke Klanmu. Ber"&amp;"donasi untuk dapat keunggulan tempur di Lahan Tandus &amp; dapatkan hadiah individu menarik. Maharaja punya 3 keahlian aktif baru yg bisa dibuka dg CD.
- Pengoptimalan: optimalkan pengalaman pemain untuk Pendeteksian Pusaka, berbaris, &amp; bertempur.")</f>
        <v>- Gameplay medan perang baru: Astral Coliseum, pertempuran sengit antara Geng. Dapatkan hadiah keren dlm duel di medan perang satelit, &amp; tanpa kerugian pasukan/sbr dy!
- Gameplay Kompetisi Utama baru: kini kamu bisa mendonasikan sbr dy &amp; CD ke Klanmu. Berdonasi untuk dapat keunggulan tempur di Lahan Tandus &amp; dapatkan hadiah individu menarik. Maharaja punya 3 keahlian aktif baru yg bisa dibuka dg CD.
- Pengoptimalan: optimalkan pengalaman pemain untuk Pendeteksian Pusaka, berbaris, &amp; bertempur.</v>
      </c>
      <c r="J24" s="159" t="str">
        <f>IFERROR(__xludf.DUMMYFUNCTION("""COMPUTED_VALUE"""),"- การเล่นในสนามรบใหม่: โคลีเซียมดวงจิต การต่อสู่ขั้นสุดท้ายระหว่างแก๊ง รับรางวัลมากมายในการดวลบนสมรภูมิดาวเทียม โดยไม่ต้องสูญเสียกองทหารหรือทรัพยากร!
- การแข่งขันเพื่อชิงอำนาจแบบใหม่: ในตอนนี้ คุณสามารถบริจาคทรัพยากรและซีดีให้กับเผ่าของคุณได้ บริจาคเพื่อร"&amp;"ับบัฟฟ์การต่อสู้ในแผ่นดินไหม้เกรียมแล้วรับรางวัลส่วนบุคคลชั้นเยี่ยม จ้าวแห่งลิงมีทักษะทางตรงใหม่สามทักษะที่สามารถใช้ซีดีเพื่อใช้ทักษะได้
- การเพิ่มประสิทธิภาพ: ปรับประสบการณ์ผู้เล่นในการตรวจจับวัตถุโบราณ การเดินทัพ และการต่อสู้ให้ดีขึ้น")</f>
        <v>- การเล่นในสนามรบใหม่: โคลีเซียมดวงจิต การต่อสู่ขั้นสุดท้ายระหว่างแก๊ง รับรางวัลมากมายในการดวลบนสมรภูมิดาวเทียม โดยไม่ต้องสูญเสียกองทหารหรือทรัพยากร!
- การแข่งขันเพื่อชิงอำนาจแบบใหม่: ในตอนนี้ คุณสามารถบริจาคทรัพยากรและซีดีให้กับเผ่าของคุณได้ บริจาคเพื่อรับบัฟฟ์การต่อสู้ในแผ่นดินไหม้เกรียมแล้วรับรางวัลส่วนบุคคลชั้นเยี่ยม จ้าวแห่งลิงมีทักษะทางตรงใหม่สามทักษะที่สามารถใช้ซีดีเพื่อใช้ทักษะได้
- การเพิ่มประสิทธิภาพ: ปรับประสบการณ์ผู้เล่นในการตรวจจับวัตถุโบราณ การเดินทัพ และการต่อสู้ให้ดีขึ้น</v>
      </c>
      <c r="K24" s="159" t="str">
        <f>IFERROR(__xludf.DUMMYFUNCTION("""COMPUTED_VALUE"""),"- Nueva jugabilidad en campo de Batalla: Coliseo Astral, la suprema lucha entre Bandas. Con recompensas en duelos en campos satélite sin perdidas de tropas o recursos. 
- Nueva jugabilidad en la Competición por la Supremacía: Dona recursos y CD a tu Clan,"&amp;" gana mejoras de batalla en las Tierras Baldías y obtén recompensas individuales. Líder Supremo tiene 3 habilidades nuevas activas a liberarse con CD. 
- Optimizaciones: En experiencia del jugador en Detección de Reliquias, marchas y batallas.")</f>
        <v>- Nueva jugabilidad en campo de Batalla: Coliseo Astral, la suprema lucha entre Bandas. Con recompensas en duelos en campos satélite sin perdidas de tropas o recursos. 
- Nueva jugabilidad en la Competición por la Supremacía: Dona recursos y CD a tu Clan, gana mejoras de batalla en las Tierras Baldías y obtén recompensas individuales. Líder Supremo tiene 3 habilidades nuevas activas a liberarse con CD. 
- Optimizaciones: En experiencia del jugador en Detección de Reliquias, marchas y batallas.</v>
      </c>
      <c r="L24" s="159" t="str">
        <f>IFERROR(__xludf.DUMMYFUNCTION("""COMPUTED_VALUE"""),"- Новый геймплей на поле боя: Звездный Колизей, решающее сражение между бандами. Получайте награды в битвах в зоне спутника, не теряя войска и ресурсы!
- Новый геймплей в состязании за превосходство: теперь вы можете жертвовать ресурсы и CD своему клану. "&amp;"Жертвуйте, чтобы получить усиления в сражениях на выжженной земле и отличные награды. У Владыки есть три новых активных навыка, которые можно использовать за CD.
- Оптимизирован игровой процесс для сканирования реликвий, маршей и сражений.")</f>
        <v>- Новый геймплей на поле боя: Звездный Колизей, решающее сражение между бандами. Получайте награды в битвах в зоне спутника, не теряя войска и ресурсы!
- Новый геймплей в состязании за превосходство: теперь вы можете жертвовать ресурсы и CD своему клану. Жертвуйте, чтобы получить усиления в сражениях на выжженной земле и отличные награды. У Владыки есть три новых активных навыка, которые можно использовать за CD.
- Оптимизирован игровой процесс для сканирования реликвий, маршей и сражений.</v>
      </c>
      <c r="M24" s="159" t="str">
        <f>IFERROR(__xludf.DUMMYFUNCTION("""COMPUTED_VALUE"""),"- Yeni savaş meydanı oynanışı: Yıldız Kolezyumu, Çeteler arası en büyük çarpışma. Uydu savaş meydanı düellolarında birlik veya kaynak kaybetmeden dev ödüller kazan!
- Yeni Üstünlük Müsabakası oynanışı: artık Klanına kaynak ve CD bağışlayabilirsin. Yanık T"&amp;"oprak alanında savaş güçlendiricileri kazanıp harika ödüller almak için bağış yap. Büyük Lordun CD harcayarak kullanılan üç yeni etkin becerisi var.
- Optimizasyonlar: Kalıntı Tespiti, sefer ve savaşlar için optimize edilen oyuncu deneyimi.")</f>
        <v>- Yeni savaş meydanı oynanışı: Yıldız Kolezyumu, Çeteler arası en büyük çarpışma. Uydu savaş meydanı düellolarında birlik veya kaynak kaybetmeden dev ödüller kazan!
- Yeni Üstünlük Müsabakası oynanışı: artık Klanına kaynak ve CD bağışlayabilirsin. Yanık Toprak alanında savaş güçlendiricileri kazanıp harika ödüller almak için bağış yap. Büyük Lordun CD harcayarak kullanılan üç yeni etkin becerisi var.
- Optimizasyonlar: Kalıntı Tespiti, sefer ve savaşlar için optimize edilen oyuncu deneyimi.</v>
      </c>
      <c r="N24" s="45" t="str">
        <f>IFERROR(__xludf.DUMMYFUNCTION("""COMPUTED_VALUE"""),"- Chiến trường mới: Đại Đấu Trường Thiên Thể, cuộc đụng độ cuối cùng giữa các Bang. Phần thưởng khổng lồ trong các trận đấu tay đôi trên chiến trường vệ tinh, đừng để mất lính hay tài nguyên!
- Tranh Hùng Bá Chủ mới: bạn có thể cống hiến tài nguyên và CD "&amp;"cho Bộ Lạc. Hãy cống hiến để nhận buff trong Miền Đất Khô Cằn và phần thưởng cá nhân hấp dẫn. Lãnh Chúa có ba kỹ năng chủ động mới, có thể được thi triển bằng CD.
- Tối ưu hóa: tối ưu hóa trải nghiệm với Thăm Dò Di Tích, hành quân và chiến đấu.")</f>
        <v>- Chiến trường mới: Đại Đấu Trường Thiên Thể, cuộc đụng độ cuối cùng giữa các Bang. Phần thưởng khổng lồ trong các trận đấu tay đôi trên chiến trường vệ tinh, đừng để mất lính hay tài nguyên!
- Tranh Hùng Bá Chủ mới: bạn có thể cống hiến tài nguyên và CD cho Bộ Lạc. Hãy cống hiến để nhận buff trong Miền Đất Khô Cằn và phần thưởng cá nhân hấp dẫn. Lãnh Chúa có ba kỹ năng chủ động mới, có thể được thi triển bằng CD.
- Tối ưu hóa: tối ưu hóa trải nghiệm với Thăm Dò Di Tích, hành quân và chiến đấu.</v>
      </c>
      <c r="O24" s="45"/>
      <c r="P24" s="34"/>
      <c r="Q24" s="34"/>
      <c r="R24" s="34"/>
      <c r="S24" s="34"/>
      <c r="T24" s="108"/>
      <c r="U24" s="108"/>
      <c r="V24" s="108"/>
      <c r="W24" s="108"/>
      <c r="X24" s="108"/>
      <c r="Y24" s="108"/>
      <c r="Z24" s="108"/>
    </row>
    <row r="25" ht="72.0" customHeight="1">
      <c r="A25" s="149" t="str">
        <f>IFERROR(__xludf.DUMMYFUNCTION("""COMPUTED_VALUE"""),"0.21.5")</f>
        <v>0.21.5</v>
      </c>
      <c r="B25" s="174"/>
      <c r="C25" s="44" t="str">
        <f>IFERROR(__xludf.DUMMYFUNCTION("""COMPUTED_VALUE"""),"- 新增活动：铃儿响叮当！我们为即将到来的圣诞节准备了丰富多彩的活动，赶紧来体验吧！
- 新增斗士：电爪队长杰克·克里斯多夫，英勇无畏的传奇打击手；狂猎肖恩·泰勒，与机械狗共同作战的天才射击手，他们都可以通过参加活动幸运奖盘获得！
- 优化内容：调整了氏族押运中的战损机制，您在押运中不再产生重伤，降低了您的治疗损耗，同时调整了部分奖励。")</f>
        <v>- 新增活动：铃儿响叮当！我们为即将到来的圣诞节准备了丰富多彩的活动，赶紧来体验吧！
- 新增斗士：电爪队长杰克·克里斯多夫，英勇无畏的传奇打击手；狂猎肖恩·泰勒，与机械狗共同作战的天才射击手，他们都可以通过参加活动幸运奖盘获得！
- 优化内容：调整了氏族押运中的战损机制，您在押运中不再产生重伤，降低了您的治疗损耗，同时调整了部分奖励。</v>
      </c>
      <c r="D25" s="159" t="str">
        <f>IFERROR(__xludf.DUMMYFUNCTION("""COMPUTED_VALUE"""),"- New Event: Jingle Bells Ring! We prepared a variety of events to celebrate the Christmas holiday. Come and join the fun!
- New Fighters: Jack Kristopher aka ""Cap'n Electro,"" a fearless and legendary Hitter; Sean Tyler aka ""Rage Hunter,"" a genius Sho"&amp;"oter with a robot dog. Get them in the Wheel of Fortune event!
- Optimizations: Adjusted troop losses in Clan Convoys - Convoys will no longer produce seriously wounded troops, reducing healing cost; certain rewards have also been adjusted.")</f>
        <v>- New Event: Jingle Bells Ring! We prepared a variety of events to celebrate the Christmas holiday. Come and join the fun!
- New Fighters: Jack Kristopher aka "Cap'n Electro," a fearless and legendary Hitter; Sean Tyler aka "Rage Hunter," a genius Shooter with a robot dog. Get them in the Wheel of Fortune event!
- Optimizations: Adjusted troop losses in Clan Convoys - Convoys will no longer produce seriously wounded troops, reducing healing cost; certain rewards have also been adjusted.</v>
      </c>
      <c r="E25" s="159" t="str">
        <f>IFERROR(__xludf.DUMMYFUNCTION("""COMPUTED_VALUE"""),"- Nouvel évènement: Vive le vent! Nous avons préparé plusieurs évènements pour fêter Noël.
- Nouveaux combattants: Jack Kristopher, dit ""Cap'n Electro,"" un bastonneur sans peur et sans reproche et Sean Tyler, dit ""Rage Hunter,"" un tireur d'élite accom"&amp;"pagné de son chien robot. Obtenez-les dans l'évènement de la Roue de la fortune!
- Améliorations: Les convois n'occasionnent plus de blessures graves, ce qui limite les coûts liés aux soins ; certaines récompenses ont aussi été modifiées.")</f>
        <v>- Nouvel évènement: Vive le vent! Nous avons préparé plusieurs évènements pour fêter Noël.
- Nouveaux combattants: Jack Kristopher, dit "Cap'n Electro," un bastonneur sans peur et sans reproche et Sean Tyler, dit "Rage Hunter," un tireur d'élite accompagné de son chien robot. Obtenez-les dans l'évènement de la Roue de la fortune!
- Améliorations: Les convois n'occasionnent plus de blessures graves, ce qui limite les coûts liés aux soins ; certaines récompenses ont aussi été modifiées.</v>
      </c>
      <c r="F25" s="159" t="str">
        <f>IFERROR(__xludf.DUMMYFUNCTION("""COMPUTED_VALUE"""),"- Neues Event: Weihnachten! Wir haben jede Menge Aktivitäten vorbereitet, um das Weihnachtsfest zu feiern. Mach mit!
- Neue Kämpfer: Jack Kristopher alias ""Capt'n Electro"", ein furchtloser, legendärer Schläger; Sean Tyler alias ""Rage Hunter"", ein geni"&amp;"aler Schütze mit Roboterhund. Erhältlich beim Glücksrad-Event!
- Optimierungen: Die Truppenverluste bei Hordenkonvois wurden angepasst - Bei Konvois werden keine Truppen mehr schwer verwundet, was die Heilkosten senkt; Anpassung einiger Belohnungen.")</f>
        <v>- Neues Event: Weihnachten! Wir haben jede Menge Aktivitäten vorbereitet, um das Weihnachtsfest zu feiern. Mach mit!
- Neue Kämpfer: Jack Kristopher alias "Capt'n Electro", ein furchtloser, legendärer Schläger; Sean Tyler alias "Rage Hunter", ein genialer Schütze mit Roboterhund. Erhältlich beim Glücksrad-Event!
- Optimierungen: Die Truppenverluste bei Hordenkonvois wurden angepasst - Bei Konvois werden keine Truppen mehr schwer verwundet, was die Heilkosten senkt; Anpassung einiger Belohnungen.</v>
      </c>
      <c r="G25" s="159" t="str">
        <f>IFERROR(__xludf.DUMMYFUNCTION("""COMPUTED_VALUE"""),"- Novo evento: Toca o Sino! Preparamos vários eventos para celebrar o Natal. Participe da diversão!
- Novos combatentes: Jack Kristopher, o ""Capitão Electro"", um golpeador lendário destemido; Sean Tyler, o ""Caçador da Fúria"", um atirador genial com um"&amp;" cachorro robô. Obtenha-os na Roda da Fortuna!
- Otimizações: ajustamos a perda de comboios do clã. Eles não produzirão tropas gravemente feridas, reduzindo o custo de cura. Também ajustamos algumas recompensas.")</f>
        <v>- Novo evento: Toca o Sino! Preparamos vários eventos para celebrar o Natal. Participe da diversão!
- Novos combatentes: Jack Kristopher, o "Capitão Electro", um golpeador lendário destemido; Sean Tyler, o "Caçador da Fúria", um atirador genial com um cachorro robô. Obtenha-os na Roda da Fortuna!
- Otimizações: ajustamos a perda de comboios do clã. Eles não produzirão tropas gravemente feridas, reduzindo o custo de cura. Também ajustamos algumas recompensas.</v>
      </c>
      <c r="H25" s="159" t="str">
        <f>IFERROR(__xludf.DUMMYFUNCTION("""COMPUTED_VALUE"""),"- 全新活動：聖誕鐘聲響起！我們準備了各式各樣的活動來慶祝聖誕假期。來一起玩吧！
- 全新英雄：積克 ‧ 基斯杜化，又名「電爪隊長」，是一位英勇的傳奇打手；辛 ‧ 泰萊，又名「狂怒獵手」，則是帶著一隻機械獵犬的天才射手。在幸運之輪活動中贏取這兩位英雄吧！
- 內容改善：調整護送氏族車隊的部隊損失——車隊不會再產生重傷部隊，降低了治療費用；另外調整了某些獎勵。")</f>
        <v>- 全新活動：聖誕鐘聲響起！我們準備了各式各樣的活動來慶祝聖誕假期。來一起玩吧！
- 全新英雄：積克 ‧ 基斯杜化，又名「電爪隊長」，是一位英勇的傳奇打手；辛 ‧ 泰萊，又名「狂怒獵手」，則是帶著一隻機械獵犬的天才射手。在幸運之輪活動中贏取這兩位英雄吧！
- 內容改善：調整護送氏族車隊的部隊損失——車隊不會再產生重傷部隊，降低了治療費用；另外調整了某些獎勵。</v>
      </c>
      <c r="I25" s="159" t="str">
        <f>IFERROR(__xludf.DUMMYFUNCTION("""COMPUTED_VALUE"""),"- Acara Baru: Bel Berbunyi! Kami menyiapkan beragam acara untuk merayakan liburan Natal. Ikuti dan rayakan bersama!
- Pejuang Baru: Jack Kristopher aka ""Cap'n Electro"", Pemukul legendaris yang tak kenal takut; Sean Tyler aka ""Rage Hunter,"" Penembak je"&amp;"nius ditemani robot anjing. Dapatkan di acara Roda Keberuntungan!
- Pengoptimalan: Penyesuaian kekalahan pasukan di Konvoi Klan - Konvoi tidak lagi menghasilkan pasukan dengan luka parah, mengurangi harga pemulihan; hadiah tertentu juga disesuaikan.")</f>
        <v>- Acara Baru: Bel Berbunyi! Kami menyiapkan beragam acara untuk merayakan liburan Natal. Ikuti dan rayakan bersama!
- Pejuang Baru: Jack Kristopher aka "Cap'n Electro", Pemukul legendaris yang tak kenal takut; Sean Tyler aka "Rage Hunter," Penembak jenius ditemani robot anjing. Dapatkan di acara Roda Keberuntungan!
- Pengoptimalan: Penyesuaian kekalahan pasukan di Konvoi Klan - Konvoi tidak lagi menghasilkan pasukan dengan luka parah, mengurangi harga pemulihan; hadiah tertentu juga disesuaikan.</v>
      </c>
      <c r="J25" s="159" t="str">
        <f>IFERROR(__xludf.DUMMYFUNCTION("""COMPUTED_VALUE"""),"- กิจกรรมใหม่: ลั่นระฆังจิงเกิลเบล! เรามีกิจกรรมมากมายเพื่อเฉลิมฉลองวันเทศกาลคริสต์มาส มาสนุกด้วยกันสิ!
- นักสู้หน้าใหม่: แจ็ก คริสโตเฟอร์ หรือที่รู้จักกันในนาม ""กัปตันอิเล็กโตร"" ฮิตเตอร์ในตำนานผู้กล้าหาญ; ฌอณ ไทเลอร์ หรือที่รู้จักกันในนาม ""นักล่าผู้บ้"&amp;"าคลั่ง"" ชูตเตอร์อัจฉริยะกับสุนัขหุ่นยนต์ คุณสามารถรับพวกเขาได้ในกิจกรรมวงล้อแห่งโชคชะตา!
- เพิ่มประสิทธิภาพ: ปรับการสูญเสียกองทหารในคอนวอยของเผ่า คอนวอยจะไม่ก่อให้เกิดกองทหารที่บาดเจ็บสาหัสอีกต่อไป มีค่ารักษาน้อยลง และมีการปรับรางวัลบางชิ้นด้วย")</f>
        <v>- กิจกรรมใหม่: ลั่นระฆังจิงเกิลเบล! เรามีกิจกรรมมากมายเพื่อเฉลิมฉลองวันเทศกาลคริสต์มาส มาสนุกด้วยกันสิ!
- นักสู้หน้าใหม่: แจ็ก คริสโตเฟอร์ หรือที่รู้จักกันในนาม "กัปตันอิเล็กโตร" ฮิตเตอร์ในตำนานผู้กล้าหาญ; ฌอณ ไทเลอร์ หรือที่รู้จักกันในนาม "นักล่าผู้บ้าคลั่ง" ชูตเตอร์อัจฉริยะกับสุนัขหุ่นยนต์ คุณสามารถรับพวกเขาได้ในกิจกรรมวงล้อแห่งโชคชะตา!
- เพิ่มประสิทธิภาพ: ปรับการสูญเสียกองทหารในคอนวอยของเผ่า คอนวอยจะไม่ก่อให้เกิดกองทหารที่บาดเจ็บสาหัสอีกต่อไป มีค่ารักษาน้อยลง และมีการปรับรางวัลบางชิ้นด้วย</v>
      </c>
      <c r="K25" s="159" t="str">
        <f>IFERROR(__xludf.DUMMYFUNCTION("""COMPUTED_VALUE"""),"- Nuevo Evento: ¡Anillo de Cascabeles! Con varios eventos para la fiesta Navideña. ¡Únete a la diversión!
- Nuevos Luchadores: Jack Kristopher alias ""Capitán Electro,"" legendario Golpeador; Sean Tyler alias ""Cazador Furioso,"", tirador genial con perro"&amp;" robótico. ¡Obtenlos en evento de la Rueda de la Fortuna!
- Optimizaciones: Perdidas de tropas ajustadas en Convoyes de Clan - Los Convoyes no producirán tropas severamente dañadas reduciendo el costo de sanación; se ajustaron algunas recompensas.")</f>
        <v>- Nuevo Evento: ¡Anillo de Cascabeles! Con varios eventos para la fiesta Navideña. ¡Únete a la diversión!
- Nuevos Luchadores: Jack Kristopher alias "Capitán Electro," legendario Golpeador; Sean Tyler alias "Cazador Furioso,", tirador genial con perro robótico. ¡Obtenlos en evento de la Rueda de la Fortuna!
- Optimizaciones: Perdidas de tropas ajustadas en Convoyes de Clan - Los Convoyes no producirán tropas severamente dañadas reduciendo el costo de sanación; se ajustaron algunas recompensas.</v>
      </c>
      <c r="L25" s="159" t="str">
        <f>IFERROR(__xludf.DUMMYFUNCTION("""COMPUTED_VALUE"""),"- Новое событие: «Звон колокольчиков»! Мы подготовили различные занятия на Рождество. Присоединяйтесь к веселью!
- Новые герои: Джек Кристофер, он же «Капитан Электро», бесстрашный и легендарный громила; Шон Тайлер, он же «Охотник гнева», талантливый стре"&amp;"лок с собакой-роботом. Ищите их в событии «Колесо Фортуны»!
- Оптимизация: скорректированы потери войск в караванах клана. В караванах больше не будет тяжело раненных солдат, что снижает затраты на лечение. Также скорректирован ряд наград.")</f>
        <v>- Новое событие: «Звон колокольчиков»! Мы подготовили различные занятия на Рождество. Присоединяйтесь к веселью!
- Новые герои: Джек Кристофер, он же «Капитан Электро», бесстрашный и легендарный громила; Шон Тайлер, он же «Охотник гнева», талантливый стрелок с собакой-роботом. Ищите их в событии «Колесо Фортуны»!
- Оптимизация: скорректированы потери войск в караванах клана. В караванах больше не будет тяжело раненных солдат, что снижает затраты на лечение. Также скорректирован ряд наград.</v>
      </c>
      <c r="M25" s="159" t="str">
        <f>IFERROR(__xludf.DUMMYFUNCTION("""COMPUTED_VALUE"""),"- Yeni Etkinlik: Yılbaşı Çanları Çalıyor! Yılbaşı tatili için bazı etkinlikler hazırladık. Eğlenceye katıl!
- Yeni Savaşçılar: “Kaptan Elektro” adıyla bilinen efsanevi Vurucu Jack Kristopher; “Öfke Avcısı” adıyla bilinen ve robot bir köpeği olan dahi Nişa"&amp;"ncı Sean Tyler. Onları Çarkıfelek etkinliğinden al!
- Optimizasyonlar: Klan Konvoylarındaki birlik kayıpları düzenlendi; artık Konvoylar iyileştirme maliyetini azaltarak ağır yaralı birlik üretemezler, ayrıca belirli ödüller düzenlendi.")</f>
        <v>- Yeni Etkinlik: Yılbaşı Çanları Çalıyor! Yılbaşı tatili için bazı etkinlikler hazırladık. Eğlenceye katıl!
- Yeni Savaşçılar: “Kaptan Elektro” adıyla bilinen efsanevi Vurucu Jack Kristopher; “Öfke Avcısı” adıyla bilinen ve robot bir köpeği olan dahi Nişancı Sean Tyler. Onları Çarkıfelek etkinliğinden al!
- Optimizasyonlar: Klan Konvoylarındaki birlik kayıpları düzenlendi; artık Konvoylar iyileştirme maliyetini azaltarak ağır yaralı birlik üretemezler, ayrıca belirli ödüller düzenlendi.</v>
      </c>
      <c r="N25" s="45" t="str">
        <f>IFERROR(__xludf.DUMMYFUNCTION("""COMPUTED_VALUE"""),"- Sự Kiện Mới: Chuông Ngân Vang! Chúng tôi đã chuẩn bị các sự kiện mừng lễ Giáng Sinh. Hãy tham gia nhé!
- Chiến Binh Mới: Jack Kristopher - ""Cap'n Electro"" - Lính Tấn Công huyền thoại và dũng cảm và Sean Tyler - ""Thợ Săn Thịnh Nộ"" - Xạ Thủ thiên tài "&amp;"với chú chó robot. Tìm bọn họ trong Vòng Quay May Mắn nhé!
- Tối ưu hóa: Điều chỉnh binh lính bị tổn thất trong Xe Chuyên Chở Bộ Lạc - Xe Chuyên Chở sẽ không còn tạo ra binh sĩ trọng thương, giảm chi phí chữa trị; điều chỉnh một số phần thưởng khác.")</f>
        <v>- Sự Kiện Mới: Chuông Ngân Vang! Chúng tôi đã chuẩn bị các sự kiện mừng lễ Giáng Sinh. Hãy tham gia nhé!
- Chiến Binh Mới: Jack Kristopher - "Cap'n Electro" - Lính Tấn Công huyền thoại và dũng cảm và Sean Tyler - "Thợ Săn Thịnh Nộ" - Xạ Thủ thiên tài với chú chó robot. Tìm bọn họ trong Vòng Quay May Mắn nhé!
- Tối ưu hóa: Điều chỉnh binh lính bị tổn thất trong Xe Chuyên Chở Bộ Lạc - Xe Chuyên Chở sẽ không còn tạo ra binh sĩ trọng thương, giảm chi phí chữa trị; điều chỉnh một số phần thưởng khác.</v>
      </c>
      <c r="O25" s="45"/>
      <c r="P25" s="34"/>
      <c r="Q25" s="34"/>
      <c r="R25" s="34"/>
      <c r="S25" s="34"/>
      <c r="T25" s="108"/>
      <c r="U25" s="108"/>
      <c r="V25" s="108"/>
      <c r="W25" s="108"/>
      <c r="X25" s="108"/>
      <c r="Y25" s="108"/>
      <c r="Z25" s="108"/>
    </row>
    <row r="26" ht="72.0" customHeight="1">
      <c r="A26" s="149" t="str">
        <f>IFERROR(__xludf.DUMMYFUNCTION("""COMPUTED_VALUE"""),"0.22.0")</f>
        <v>0.22.0</v>
      </c>
      <c r="B26" s="174"/>
      <c r="C26" s="44" t="str">
        <f>IFERROR(__xludf.DUMMYFUNCTION("""COMPUTED_VALUE"""),"- 新增功能：活动日历。活动信息从此尽在掌握！
- 任务系统调整：新增了全新的章节任务系统。
- 猩球纪元调整：调整了“猩球纪元”部分阶段的顺序和任务要求。
- 野怪调整：调整了各个等级变异猴群和巨猿的解锁时间。
- 优化内容：优化了搜索采集点和巨猿的体验，优化了大量显示效果。
- 新手指引流程更新：全新开场动画和新手流程，在迷雾中寻找基因宝库，解决变异危机！")</f>
        <v>- 新增功能：活动日历。活动信息从此尽在掌握！
- 任务系统调整：新增了全新的章节任务系统。
- 猩球纪元调整：调整了“猩球纪元”部分阶段的顺序和任务要求。
- 野怪调整：调整了各个等级变异猴群和巨猿的解锁时间。
- 优化内容：优化了搜索采集点和巨猿的体验，优化了大量显示效果。
- 新手指引流程更新：全新开场动画和新手流程，在迷雾中寻找基因宝库，解决变异危机！</v>
      </c>
      <c r="D26" s="159" t="str">
        <f>IFERROR(__xludf.DUMMYFUNCTION("""COMPUTED_VALUE"""),"-New: Events Calendar. Get all event information at a glance!
-Quests: All-new Chapter Quest system.
-Gorilla History: Adjusted the order and requirements for stages of ""Gorilla History""
-PVE Adjustment: Adjusted unlock times for various levels of Mutan"&amp;"ts and Giganto.
-Optimizations: Optimized search experience for resources, Giganto, and display effects.
-New Opening Update: All-new opening animation and new player's guide. Find the Gene Bank in the fog and solve the mutation crisis!")</f>
        <v>-New: Events Calendar. Get all event information at a glance!
-Quests: All-new Chapter Quest system.
-Gorilla History: Adjusted the order and requirements for stages of "Gorilla History"
-PVE Adjustment: Adjusted unlock times for various levels of Mutants and Giganto.
-Optimizations: Optimized search experience for resources, Giganto, and display effects.
-New Opening Update: All-new opening animation and new player's guide. Find the Gene Bank in the fog and solve the mutation crisis!</v>
      </c>
      <c r="E26" s="159" t="str">
        <f>IFERROR(__xludf.DUMMYFUNCTION("""COMPUTED_VALUE"""),"-Nouveau calendrier pour voir tous les évènements en un coup d'œil!
-Un nouveau chapitrage des quêtes.
-L'ordre et les prérequis des étapes des quêtes du gorille ont été modifiés.
-Optimisation du déblocage des différents niveaux de mutants et du Giganto."&amp;"
-Optimisation de la recherche de ressources, du Giganto et des effets d'affichage.
-Nouvelle introduction: animations inédites et un guide du joueur débutant. Trouvez la banque génétique pour protéger les singes contre les mutations!")</f>
        <v>-Nouveau calendrier pour voir tous les évènements en un coup d'œil!
-Un nouveau chapitrage des quêtes.
-L'ordre et les prérequis des étapes des quêtes du gorille ont été modifiés.
-Optimisation du déblocage des différents niveaux de mutants et du Giganto.
-Optimisation de la recherche de ressources, du Giganto et des effets d'affichage.
-Nouvelle introduction: animations inédites et un guide du joueur débutant. Trouvez la banque génétique pour protéger les singes contre les mutations!</v>
      </c>
      <c r="F26" s="159" t="str">
        <f>IFERROR(__xludf.DUMMYFUNCTION("""COMPUTED_VALUE"""),"- Neu: Event-Kalender. Erhalte alle Event-Infos auf einen Blick!
- Quests: Völlig neues Kapitel-Quest-System.
- Gorilla-Geschichte: Die Reihenfolge und die Anforderungen für die Stufen der ""Gorilla-Geschichte"" wurden angepasst.
- PVE: Angepasste Freisch"&amp;"altzeiten für verschiedene Level von Mutanten und Gigantos.
- Optimierungen: Optimierte Suche für Ressourcen, Giganto und Anzeigeeffekte.
- Start-Update: Völlig neue Startanimation und neuer Guide. Finde die Genbank und löse die Mutationskrise!")</f>
        <v>- Neu: Event-Kalender. Erhalte alle Event-Infos auf einen Blick!
- Quests: Völlig neues Kapitel-Quest-System.
- Gorilla-Geschichte: Die Reihenfolge und die Anforderungen für die Stufen der "Gorilla-Geschichte" wurden angepasst.
- PVE: Angepasste Freischaltzeiten für verschiedene Level von Mutanten und Gigantos.
- Optimierungen: Optimierte Suche für Ressourcen, Giganto und Anzeigeeffekte.
- Start-Update: Völlig neue Startanimation und neuer Guide. Finde die Genbank und löse die Mutationskrise!</v>
      </c>
      <c r="G26" s="159" t="str">
        <f>IFERROR(__xludf.DUMMYFUNCTION("""COMPUTED_VALUE"""),"-Novidade: Calendário de eventos. Todas as informações sobre eventos num só lugar!
-Missões: um sistema completo de missões do capítulo.
-História do Gorila: ajustes na ordem e requerimentos para as fases.
-Ajustes no PVE: tempos de liberação para vários "&amp;"níveis do Giganto e mutantes.
-Melhorias: busca de recursos otimizada, Giganto e efeitos de exibição.
-Novidades na abertura: novíssima animação de abertura e novo guia de jogador. Encontre o banco de genes na névoa e resolva a crise de mutações!")</f>
        <v>-Novidade: Calendário de eventos. Todas as informações sobre eventos num só lugar!
-Missões: um sistema completo de missões do capítulo.
-História do Gorila: ajustes na ordem e requerimentos para as fases.
-Ajustes no PVE: tempos de liberação para vários níveis do Giganto e mutantes.
-Melhorias: busca de recursos otimizada, Giganto e efeitos de exibição.
-Novidades na abertura: novíssima animação de abertura e novo guia de jogador. Encontre o banco de genes na névoa e resolva a crise de mutações!</v>
      </c>
      <c r="H26" s="159" t="str">
        <f>IFERROR(__xludf.DUMMYFUNCTION("""COMPUTED_VALUE"""),"- 更新內容：活動日歷。一眼盡覽所有活動資訊！
- 任務：全新的章節任務系統。
- 巨猩歷史：調整了「巨猩歷史」某些階段的順序及條件。
- PVE調整：調整了各級變種猴子及巨猿的開放時間。
- 內容改善：改善了資源及巨猿搜索流程，以及顯示效果。
- 開場更新：全新的開場動畫及新手指引。在迷霧中尋找基因庫，解決異變危機！")</f>
        <v>- 更新內容：活動日歷。一眼盡覽所有活動資訊！
- 任務：全新的章節任務系統。
- 巨猩歷史：調整了「巨猩歷史」某些階段的順序及條件。
- PVE調整：調整了各級變種猴子及巨猿的開放時間。
- 內容改善：改善了資源及巨猿搜索流程，以及顯示效果。
- 開場更新：全新的開場動畫及新手指引。在迷霧中尋找基因庫，解決異變危機！</v>
      </c>
      <c r="I26" s="159" t="str">
        <f>IFERROR(__xludf.DUMMYFUNCTION("""COMPUTED_VALUE"""),"-Baru: Kalender Acara. Dapatkan semua informasi acara dengan cepat!
-Tantangan: Sistem Tantangan Babak baru.
-Kisah Gorila: Menyesuaikan urutan dan persyaratan untuk tahap ""Kisah Gorila""
-Penyesuaian PVE: Menyesuaikan waktu untuk membuka berbagai level "&amp;"Mutan dan Giganto.
-Pengoptimalan: Mengoptimalkan pengalaman penelusuran sumber daya, Giganto, dan efek tampilan.
-Update Pembuka Baru: Animasi pembuka baru dan panduan pemain baru. Temukan Bank Gen dalam kabut dan pecahkan masalah krisis mutasi!")</f>
        <v>-Baru: Kalender Acara. Dapatkan semua informasi acara dengan cepat!
-Tantangan: Sistem Tantangan Babak baru.
-Kisah Gorila: Menyesuaikan urutan dan persyaratan untuk tahap "Kisah Gorila"
-Penyesuaian PVE: Menyesuaikan waktu untuk membuka berbagai level Mutan dan Giganto.
-Pengoptimalan: Mengoptimalkan pengalaman penelusuran sumber daya, Giganto, dan efek tampilan.
-Update Pembuka Baru: Animasi pembuka baru dan panduan pemain baru. Temukan Bank Gen dalam kabut dan pecahkan masalah krisis mutasi!</v>
      </c>
      <c r="J26" s="159" t="str">
        <f>IFERROR(__xludf.DUMMYFUNCTION("""COMPUTED_VALUE"""),"- ใหม่: ปฏิทินกิจกรรม ที่คุณสามารถดูข้อมูลกิจกรรมทั้งหมดได้ในพริบตา!
- เควสต์: ระบบเควสต์บทใหม่ทั้งหมด
- ประวัติกอริลล่า: ปรับคำสั่งและข้อกำหนดในด่าน ""ประวัติกอริลล่า""
- การปรับ PVE: ปรับเวลาปลดล็อกมิวแตนต์และกิกันโตในเลเวลต่าง ๆ
- การปรับปรุง: ปรับประส"&amp;"บการณ์การค้นหาทรัพยากร กิกันโต และเอฟเฟกต์การแสดงผลต่าง ๆ
- อัปเดตการเปิดแบบใหม่: แอนิเมชั่นการเปิดเรื่องและคำแนะนำสำหรับผู้เล่นใหม่แบบใหม่ทั้งหมด รีบหาค้นหาธนาคารยีนในม่านหมอกแล้วแก้ไขวิกฤตการกลายพันธุ์โดยด่วน!")</f>
        <v>- ใหม่: ปฏิทินกิจกรรม ที่คุณสามารถดูข้อมูลกิจกรรมทั้งหมดได้ในพริบตา!
- เควสต์: ระบบเควสต์บทใหม่ทั้งหมด
- ประวัติกอริลล่า: ปรับคำสั่งและข้อกำหนดในด่าน "ประวัติกอริลล่า"
- การปรับ PVE: ปรับเวลาปลดล็อกมิวแตนต์และกิกันโตในเลเวลต่าง ๆ
- การปรับปรุง: ปรับประสบการณ์การค้นหาทรัพยากร กิกันโต และเอฟเฟกต์การแสดงผลต่าง ๆ
- อัปเดตการเปิดแบบใหม่: แอนิเมชั่นการเปิดเรื่องและคำแนะนำสำหรับผู้เล่นใหม่แบบใหม่ทั้งหมด รีบหาค้นหาธนาคารยีนในม่านหมอกแล้วแก้ไขวิกฤตการกลายพันธุ์โดยด่วน!</v>
      </c>
      <c r="K26" s="159" t="str">
        <f>IFERROR(__xludf.DUMMYFUNCTION("""COMPUTED_VALUE"""),"- Nuevo: Calendario de Eventos. ¡Toda la información en un vistazo!
- Misiones: Sistema de Misiones por Capitulo. 
- Historia de Gorila: Ajuste en orden y requerimientos de la “Historia de Gorila”.
- Ajuste JVE: Tiempos de desbloqueo de Mutantes y Giganto"&amp;". 
- Optimizaciones: Se optimizó la experiencia de búsqueda de recursos, Giganto y efectos de imagen.
- Actualización de Inicio: ¡Nuevo inicio y guía de jugador! ¡Encuentra el Banco de Genes en la niebla y detén las mutaciones!")</f>
        <v>- Nuevo: Calendario de Eventos. ¡Toda la información en un vistazo!
- Misiones: Sistema de Misiones por Capitulo. 
- Historia de Gorila: Ajuste en orden y requerimientos de la “Historia de Gorila”.
- Ajuste JVE: Tiempos de desbloqueo de Mutantes y Giganto. 
- Optimizaciones: Se optimizó la experiencia de búsqueda de recursos, Giganto y efectos de imagen.
- Actualización de Inicio: ¡Nuevo inicio y guía de jugador! ¡Encuentra el Banco de Genes en la niebla y detén las mutaciones!</v>
      </c>
      <c r="L26" s="159" t="str">
        <f>IFERROR(__xludf.DUMMYFUNCTION("""COMPUTED_VALUE"""),"- Новинка: календарь событий. Быстрый обзор информации о событиях!
- Задания: новая система заданий по главам.
- История гориллы: настроен порядок и требования в этапах «Истории гориллы».
- Настройка PVE: настроено время разблокировки для мутантов различн"&amp;"ых уровней и Гиганто.
- Оптимизация: оптимизирован поиск ресурсов и Гиганто, а также эффекты графики.
- Новое вступление: новый открывающий ролик и руководство для новичков. Найдите генный банк в тумане и предотвратите катастрофу с мутациями!")</f>
        <v>- Новинка: календарь событий. Быстрый обзор информации о событиях!
- Задания: новая система заданий по главам.
- История гориллы: настроен порядок и требования в этапах «Истории гориллы».
- Настройка PVE: настроено время разблокировки для мутантов различных уровней и Гиганто.
- Оптимизация: оптимизирован поиск ресурсов и Гиганто, а также эффекты графики.
- Новое вступление: новый открывающий ролик и руководство для новичков. Найдите генный банк в тумане и предотвратите катастрофу с мутациями!</v>
      </c>
      <c r="M26" s="159" t="str">
        <f>IFERROR(__xludf.DUMMYFUNCTION("""COMPUTED_VALUE"""),"- Yeni: Etkinlik Takvimi. Tüm etkinlik bilgilerini gör!
- Maceralar: Tümü yeni Bölüm Macerası sistemi.
- Goril Geçmişi: “Goril Geçmişi” aşamalarının sırası, gereklilikleri düzenlendi
- PVE Düzenlemesi: Farklı Mutant seviyeleri ve Giganto için düzenlenen k"&amp;"ilit açma zamanları.
- Optimizasyon: Kaynaklar, Giganto ve görüntü efektleri için optimize edilen arama deneyimi.
- Yeni Açılış Güncellemesi: Tümü yeni açılış animasyonu ve yeni oyuncu kılavuzu. Gen Bankasını siste bul, mutasyon krizini çöz!")</f>
        <v>- Yeni: Etkinlik Takvimi. Tüm etkinlik bilgilerini gör!
- Maceralar: Tümü yeni Bölüm Macerası sistemi.
- Goril Geçmişi: “Goril Geçmişi” aşamalarının sırası, gereklilikleri düzenlendi
- PVE Düzenlemesi: Farklı Mutant seviyeleri ve Giganto için düzenlenen kilit açma zamanları.
- Optimizasyon: Kaynaklar, Giganto ve görüntü efektleri için optimize edilen arama deneyimi.
- Yeni Açılış Güncellemesi: Tümü yeni açılış animasyonu ve yeni oyuncu kılavuzu. Gen Bankasını siste bul, mutasyon krizini çöz!</v>
      </c>
      <c r="N26" s="45" t="str">
        <f>IFERROR(__xludf.DUMMYFUNCTION("""COMPUTED_VALUE"""),"-Mới: Lịch Sự Kiện. Xem mọi thông tin trong chớp mắt!
-Nhiệm Vụ: Hệ thống NV Chương hoàn toàn mới.
-Lịch Sử Khỉ Đột: Điều chỉnh thứ tự và yêu cầu của các giai đoạn ""LS Khỉ Đột""
-Điều chỉnh PVE: Điều chỉnh thời gian mở khóa nhiều cấp của Vượn ĐB và Vượn "&amp;"KL.
-Tối ưu hóa: Đã tối ưu hóa trải nghiệm tìm kiếm TN, Vượn KL, và các hiệu ứng hiển thị.
-Cập nhật phần mở màn: Đoạn phim mở truyện và các chỉ dẫn người chơi mới. Tìm Ngân Hàng Gen khi không có phương hướng và giải quyết khủng hoảng đột biến!")</f>
        <v>-Mới: Lịch Sự Kiện. Xem mọi thông tin trong chớp mắt!
-Nhiệm Vụ: Hệ thống NV Chương hoàn toàn mới.
-Lịch Sử Khỉ Đột: Điều chỉnh thứ tự và yêu cầu của các giai đoạn "LS Khỉ Đột"
-Điều chỉnh PVE: Điều chỉnh thời gian mở khóa nhiều cấp của Vượn ĐB và Vượn KL.
-Tối ưu hóa: Đã tối ưu hóa trải nghiệm tìm kiếm TN, Vượn KL, và các hiệu ứng hiển thị.
-Cập nhật phần mở màn: Đoạn phim mở truyện và các chỉ dẫn người chơi mới. Tìm Ngân Hàng Gen khi không có phương hướng và giải quyết khủng hoảng đột biến!</v>
      </c>
      <c r="O26" s="45"/>
      <c r="P26" s="34"/>
      <c r="Q26" s="34"/>
      <c r="R26" s="34"/>
      <c r="S26" s="34"/>
      <c r="T26" s="108"/>
      <c r="U26" s="108"/>
      <c r="V26" s="108"/>
      <c r="W26" s="108"/>
      <c r="X26" s="108"/>
      <c r="Y26" s="108"/>
      <c r="Z26" s="108"/>
    </row>
    <row r="27" ht="72.0" customHeight="1">
      <c r="A27" s="149" t="str">
        <f>IFERROR(__xludf.DUMMYFUNCTION("""COMPUTED_VALUE"""),"0.23.0")</f>
        <v>0.23.0</v>
      </c>
      <c r="B27" s="174"/>
      <c r="C27" s="44" t="str">
        <f>IFERROR(__xludf.DUMMYFUNCTION("""COMPUTED_VALUE"""),"- 新增玩法：氏族精英系统，为你的氏族竭尽全力，获取军功赢取丰富奖励！
- 新增活动：情人节活动、展览馆常规探测即将开启。
- 新增斗士：战争大师彼得，战功卓著的全能射击手；太空医师强尼，沉默神秘的医疗领袖；他们可以通过军功系统、决战卫星之巅获取。
- 优化内容：优化了玩家信息、排行榜、帮派的界面显示效果，优化了决战卫星之巅、氏族押运的界面表现等细节。")</f>
        <v>- 新增玩法：氏族精英系统，为你的氏族竭尽全力，获取军功赢取丰富奖励！
- 新增活动：情人节活动、展览馆常规探测即将开启。
- 新增斗士：战争大师彼得，战功卓著的全能射击手；太空医师强尼，沉默神秘的医疗领袖；他们可以通过军功系统、决战卫星之巅获取。
- 优化内容：优化了玩家信息、排行榜、帮派的界面显示效果，优化了决战卫星之巅、氏族押运的界面表现等细节。</v>
      </c>
      <c r="D27" s="159" t="str">
        <f>IFERROR(__xludf.DUMMYFUNCTION("""COMPUTED_VALUE"""),"- New Features: Clan Honors. Fight for your Clan, win rewards!
- New Event: Win special decorations &amp; rewards in Valentine's Day events! 
- New Fighters: Bono Boom and Sergeant Buzz are here! Get them in Clan Honors or Astral Coliseum!
- New Chapter Quest"&amp;" Stories: Find the Gene Bank!
- New Normal Scan Detector for Relic Detection.
- Optimized displays, gather/march/battle experiences, Astral Coliseum, Clan Convoy, Ultimate Monkey, Mutants")</f>
        <v>- New Features: Clan Honors. Fight for your Clan, win rewards!
- New Event: Win special decorations &amp; rewards in Valentine's Day events! 
- New Fighters: Bono Boom and Sergeant Buzz are here! Get them in Clan Honors or Astral Coliseum!
- New Chapter Quest Stories: Find the Gene Bank!
- New Normal Scan Detector for Relic Detection.
- Optimized displays, gather/march/battle experiences, Astral Coliseum, Clan Convoy, Ultimate Monkey, Mutants</v>
      </c>
      <c r="E27" s="159" t="str">
        <f>IFERROR(__xludf.DUMMYFUNCTION("""COMPUTED_VALUE"""),"- Distinctions de clan: combattez pour votre clan et gagnez des récompenses!
- Evènement de la Saint-Valentin avec des récompenses et décors spéciaux! 
- Combattants: obtenez Bono Boom et Sergent Buzz grâce aux distinctions de clan et au Colisée astral!
-"&amp;" Chapitre: trouvez la banque génétique!
- Balayage normal pour le détecteur de reliques.
- Optimisation de l'affichage, des contrôles de collecte/déplacement/combat, du Colisée astral, des convois de clan, du classement des singes, des mutants")</f>
        <v>- Distinctions de clan: combattez pour votre clan et gagnez des récompenses!
- Evènement de la Saint-Valentin avec des récompenses et décors spéciaux! 
- Combattants: obtenez Bono Boom et Sergent Buzz grâce aux distinctions de clan et au Colisée astral!
- Chapitre: trouvez la banque génétique!
- Balayage normal pour le détecteur de reliques.
- Optimisation de l'affichage, des contrôles de collecte/déplacement/combat, du Colisée astral, des convois de clan, du classement des singes, des mutants</v>
      </c>
      <c r="F27" s="159" t="str">
        <f>IFERROR(__xludf.DUMMYFUNCTION("""COMPUTED_VALUE"""),"- Neue Features: Horden-Ehre. Kämpfe für deine Horde und erhalte Belohnungen!
 - Neues Event: Gewinne besondere Dekorationen &amp; Belohnungen in den Valentinstag-Events! 
 - Neue Kämpfer: Bono Boom und Sergeant Buzz! Erhältlich über Horden-Ehre oder im Astra"&amp;"l-Kolosseum!
 - Neue Kapitel-Quest-Geschichten: Finde die Genbank!
 - Neuer Normaler Ortungs-Scanner für Relikt-Ortung.
 - Optimierte Anzeigen/Erfahrung beim Sammeln/Marschieren/Kämpfen, Astral-Kolosseum, Horden-Konvoi u. Ultimativer Affe, Mutanten.")</f>
        <v>- Neue Features: Horden-Ehre. Kämpfe für deine Horde und erhalte Belohnungen!
 - Neues Event: Gewinne besondere Dekorationen &amp; Belohnungen in den Valentinstag-Events! 
 - Neue Kämpfer: Bono Boom und Sergeant Buzz! Erhältlich über Horden-Ehre oder im Astral-Kolosseum!
 - Neue Kapitel-Quest-Geschichten: Finde die Genbank!
 - Neuer Normaler Ortungs-Scanner für Relikt-Ortung.
 - Optimierte Anzeigen/Erfahrung beim Sammeln/Marschieren/Kämpfen, Astral-Kolosseum, Horden-Konvoi u. Ultimativer Affe, Mutanten.</v>
      </c>
      <c r="G27" s="159" t="str">
        <f>IFERROR(__xludf.DUMMYFUNCTION("""COMPUTED_VALUE"""),"- Novidades: Honras do clã. Lute pelo clã e ganhe recompensas!
 - Novo evento: ganhe decorações especiais e recompensas nos eventos de dia dos namorados! 
 - Novos combatentes: Bono Bomba e Sargento Buzz chegaram! Obtenha-os nas Honras do Clã ou no Colise"&amp;"u Astral!
 - Novas missões da história do capítulo: encontre o banco de genes!
 - Nova sonda para detecção de relíquias.
 - Melhorias nos visuais, experiência de coleta, deslocamento e batalha, Coliseu Astral, comboio do clã, Macaco Supremo, Mutantes")</f>
        <v>- Novidades: Honras do clã. Lute pelo clã e ganhe recompensas!
 - Novo evento: ganhe decorações especiais e recompensas nos eventos de dia dos namorados! 
 - Novos combatentes: Bono Bomba e Sargento Buzz chegaram! Obtenha-os nas Honras do Clã ou no Coliseu Astral!
 - Novas missões da história do capítulo: encontre o banco de genes!
 - Nova sonda para detecção de relíquias.
 - Melhorias nos visuais, experiência de coleta, deslocamento e batalha, Coliseu Astral, comboio do clã, Macaco Supremo, Mutantes</v>
      </c>
      <c r="H27" s="159" t="str">
        <f>IFERROR(__xludf.DUMMYFUNCTION("""COMPUTED_VALUE"""),"- 新增玩法：軍功系統，為你的氏族竭盡全力，獲取軍功贏取豐富獎勵！
- 新增活動：情人節活動即將開啟：參與活動，贏取節日限定裝飾和其他豐富獎勵！
- 新增鬥士：戰爭大師彼得，戰功卓著的全能射擊手；太空醫師強尼，沉默神秘的醫療領袖；可通過軍功系統、決戰衛星之巔來獲得他們。
- 新增章節任務劇情：全新章節劇情任務，趕快率領你的部隊尋找基因寶庫吧！
- 新增收藏品常規探測：獲取常規探測雷達，尋找人類遺留的收藏品。
- 優化內容：優化了大量界面的顯示效果，優化了採集、行軍、戰鬥體驗，優化了決戰衛星之巔、氏族押運、"&amp;"最強猴子、異種蠻猴的界面表現等細節。")</f>
        <v>- 新增玩法：軍功系統，為你的氏族竭盡全力，獲取軍功贏取豐富獎勵！
- 新增活動：情人節活動即將開啟：參與活動，贏取節日限定裝飾和其他豐富獎勵！
- 新增鬥士：戰爭大師彼得，戰功卓著的全能射擊手；太空醫師強尼，沉默神秘的醫療領袖；可通過軍功系統、決戰衛星之巔來獲得他們。
- 新增章節任務劇情：全新章節劇情任務，趕快率領你的部隊尋找基因寶庫吧！
- 新增收藏品常規探測：獲取常規探測雷達，尋找人類遺留的收藏品。
- 優化內容：優化了大量界面的顯示效果，優化了採集、行軍、戰鬥體驗，優化了決戰衛星之巔、氏族押運、最強猴子、異種蠻猴的界面表現等細節。</v>
      </c>
      <c r="I27" s="159" t="str">
        <f>IFERROR(__xludf.DUMMYFUNCTION("""COMPUTED_VALUE"""),"- Fitur Baru: Kehormatan Klan. Bertarung untuk Klanmu, dapatkan hadiah!
 - Acara Baru: Menangkan dekorasi &amp; hadiah spesial di acara Hari Kasih Sayang!
 - Pejuang Baru: Bono Boom dan Sersan Buzz telah hadir! Dapatkan mereka di Kehormatan Klan atau Koloseum"&amp;" Astral!
 - Kisah Pencarian Babak Baru: Temukan Bank Gen!
 - Detektor Pemindai Normal Baru untuk Mendeteksi Pusaka.
 - Pengoptimalan tampilan, pengalaman pengumpulan/berbaris/bertempur, Koloseum Astral, Konvoi Klan, Kera Terkuat, Mutan")</f>
        <v>- Fitur Baru: Kehormatan Klan. Bertarung untuk Klanmu, dapatkan hadiah!
 - Acara Baru: Menangkan dekorasi &amp; hadiah spesial di acara Hari Kasih Sayang!
 - Pejuang Baru: Bono Boom dan Sersan Buzz telah hadir! Dapatkan mereka di Kehormatan Klan atau Koloseum Astral!
 - Kisah Pencarian Babak Baru: Temukan Bank Gen!
 - Detektor Pemindai Normal Baru untuk Mendeteksi Pusaka.
 - Pengoptimalan tampilan, pengalaman pengumpulan/berbaris/bertempur, Koloseum Astral, Konvoi Klan, Kera Terkuat, Mutan</v>
      </c>
      <c r="J27" s="159" t="str">
        <f>IFERROR(__xludf.DUMMYFUNCTION("""COMPUTED_VALUE"""),"- คุณสมบัติใหม่: เกียรติยศของเผ่า ต่อสู้เพื่อเผ่าของคุณแล้วรับรางวัล!
 - กิจกรรมใหม่: รับรางวัลอุปกรณ์ตกแต่งและรางวัลพิเศษในกิจกรรมวันวาเลนไทน์!
 - นักสู้ใหม่: โบโน่บูมและจ่าบัซซ์มารายงานตัวแล้ว! รับทั้งคู่ได้จากรางวัลเกียรติยศของเผ่าหรือโคลีเซียมดวงดาว!
"&amp;" - เรื่องราวเควสต์บทใหม่: ค้นหาธนาคารยีน!
 - เครื่องสแกนตรวจจับแบบปกติใหม่สำหรับการตรวจจับวัตถุโบราณ
 - เพิ่มประสิทธิภาพการแสดงผล, การเก็บรวบรวม/เดินทัพ/ประสบการณ์การต่อสู้, โคลีเซียมดวงดาว, คอนวอยของเผ่า, ลิงตัวสุดท้าย, มิวแตนต์ต่าง ๆ")</f>
        <v>- คุณสมบัติใหม่: เกียรติยศของเผ่า ต่อสู้เพื่อเผ่าของคุณแล้วรับรางวัล!
 - กิจกรรมใหม่: รับรางวัลอุปกรณ์ตกแต่งและรางวัลพิเศษในกิจกรรมวันวาเลนไทน์!
 - นักสู้ใหม่: โบโน่บูมและจ่าบัซซ์มารายงานตัวแล้ว! รับทั้งคู่ได้จากรางวัลเกียรติยศของเผ่าหรือโคลีเซียมดวงดาว!
 - เรื่องราวเควสต์บทใหม่: ค้นหาธนาคารยีน!
 - เครื่องสแกนตรวจจับแบบปกติใหม่สำหรับการตรวจจับวัตถุโบราณ
 - เพิ่มประสิทธิภาพการแสดงผล, การเก็บรวบรวม/เดินทัพ/ประสบการณ์การต่อสู้, โคลีเซียมดวงดาว, คอนวอยของเผ่า, ลิงตัวสุดท้าย, มิวแตนต์ต่าง ๆ</v>
      </c>
      <c r="K27" s="159" t="str">
        <f>IFERROR(__xludf.DUMMYFUNCTION("""COMPUTED_VALUE"""),"Nuevo:
- Características: Honores de Clan. Lucha por tu Clan y gana recompensas.
- Evento: Gana decoraciones y recompensas en eventos de Día de San Valentín. 
- Luchadores: Llegan Bono Boom y Sargento Buzz. Obténlos en Honores de Clan o Coliseo Astral.
- "&amp;"Historias de Misiones de Capítulo: Encuentra el Banco de Genes.
- Escáner Detector Normal para Detección de Reliquias.
- Se optimizaron pantallas, experiencias de recolección/marcha/batallas, Coliseo Astral, Convoy Clan, Mono Supremo y Mutantes")</f>
        <v>Nuevo:
- Características: Honores de Clan. Lucha por tu Clan y gana recompensas.
- Evento: Gana decoraciones y recompensas en eventos de Día de San Valentín. 
- Luchadores: Llegan Bono Boom y Sargento Buzz. Obténlos en Honores de Clan o Coliseo Astral.
- Historias de Misiones de Capítulo: Encuentra el Banco de Genes.
- Escáner Detector Normal para Detección de Reliquias.
- Se optimizaron pantallas, experiencias de recolección/marcha/batallas, Coliseo Astral, Convoy Clan, Mono Supremo y Mutantes</v>
      </c>
      <c r="L27" s="159" t="str">
        <f>IFERROR(__xludf.DUMMYFUNCTION("""COMPUTED_VALUE"""),"- Новые возможности: «Честь клана». Сражайтесь за свой клан и выигрывайте награды!
- Новое событие: выигрывайте особые украшения и призы в мероприятиях на День святого Валентина! 
- Новые бойцы: Боно Бум и сержант Базз! Получите их за «Честь клана» или в "&amp;"Астральном Колизее!
- Истории заданий новой главы: найдите генный банк!
- Новый обычный детектор для сканирования реликвий.
- Оптимизация интерфейса, сбора, маршей и сражений, Астрального Колизея, караванов кланов, «Великой обезьяны» и мутантов.")</f>
        <v>- Новые возможности: «Честь клана». Сражайтесь за свой клан и выигрывайте награды!
- Новое событие: выигрывайте особые украшения и призы в мероприятиях на День святого Валентина! 
- Новые бойцы: Боно Бум и сержант Базз! Получите их за «Честь клана» или в Астральном Колизее!
- Истории заданий новой главы: найдите генный банк!
- Новый обычный детектор для сканирования реликвий.
- Оптимизация интерфейса, сбора, маршей и сражений, Астрального Колизея, караванов кланов, «Великой обезьяны» и мутантов.</v>
      </c>
      <c r="M27" s="159" t="str">
        <f>IFERROR(__xludf.DUMMYFUNCTION("""COMPUTED_VALUE"""),"- Yeni Özellikler: Klan Onuru. Klanın için savaş, ödüller kazan!
 - Yeni Etkinlik: Sevgililer Günü etkinliklerinden özel süslemeler/ödüller kazan! 
 - Yeni Savaşçılar: Bono Boom ve Çavuş Buzz burada! Onları Klan Onuruna veya Yıldız Kolezyumuna dâhil et!
 "&amp;"- Yeni Bölüm Macerası Hikâyeleri: Gen Bankasını bul!
 - Kalıntı Tespiti için Yeni Normal Tarama Dedektörü.
 - Optimize edilen görüntüler, toplama/sefer/savaş deneyimleri, Yıldız Kolezyumu, Klan Konvoyu, En Üstün Maymun, Mutantlar")</f>
        <v>- Yeni Özellikler: Klan Onuru. Klanın için savaş, ödüller kazan!
 - Yeni Etkinlik: Sevgililer Günü etkinliklerinden özel süslemeler/ödüller kazan! 
 - Yeni Savaşçılar: Bono Boom ve Çavuş Buzz burada! Onları Klan Onuruna veya Yıldız Kolezyumuna dâhil et!
 - Yeni Bölüm Macerası Hikâyeleri: Gen Bankasını bul!
 - Kalıntı Tespiti için Yeni Normal Tarama Dedektörü.
 - Optimize edilen görüntüler, toplama/sefer/savaş deneyimleri, Yıldız Kolezyumu, Klan Konvoyu, En Üstün Maymun, Mutantlar</v>
      </c>
      <c r="N27" s="45" t="str">
        <f>IFERROR(__xludf.DUMMYFUNCTION("""COMPUTED_VALUE"""),"- Tính Năng Mới: Vinh Dự Bộ Lạc. Hãy chiến đấu vì Bộ Lạc &amp; giành thưởng!
 - Sự Kiện Mới: Giành VP trang trí &amp; phần thưởng đặc biệt trong SK Lễ Tình Nhân!
 - Chiến Binh Mới: Bono Boom và Trung Sĩ Buzz! Nhận trong Vinh Dự Bộ Lạc hoặc Đại Đấu Trường Thiên Th"&amp;"ể!
 - Cốt Truyện NV Chương Mới: Tìm Ngân Hàng Gen!
 - Máy Quét Thăm Dò Thường Mới trong Thăm Dò Di Tích.
 - Tối ưu hóa hiển thị, thu thập/hành quân/kinh nghiệm chiến đấu, Đại Đấu Trường Thiên Thể, Xe Chuyên Chở Bộ Lạc, Khỉ Tối Thượng, Khỉ Đột Biến")</f>
        <v>- Tính Năng Mới: Vinh Dự Bộ Lạc. Hãy chiến đấu vì Bộ Lạc &amp; giành thưởng!
 - Sự Kiện Mới: Giành VP trang trí &amp; phần thưởng đặc biệt trong SK Lễ Tình Nhân!
 - Chiến Binh Mới: Bono Boom và Trung Sĩ Buzz! Nhận trong Vinh Dự Bộ Lạc hoặc Đại Đấu Trường Thiên Thể!
 - Cốt Truyện NV Chương Mới: Tìm Ngân Hàng Gen!
 - Máy Quét Thăm Dò Thường Mới trong Thăm Dò Di Tích.
 - Tối ưu hóa hiển thị, thu thập/hành quân/kinh nghiệm chiến đấu, Đại Đấu Trường Thiên Thể, Xe Chuyên Chở Bộ Lạc, Khỉ Tối Thượng, Khỉ Đột Biến</v>
      </c>
      <c r="O27" s="45"/>
      <c r="P27" s="34"/>
      <c r="Q27" s="34"/>
      <c r="R27" s="34"/>
      <c r="S27" s="34"/>
      <c r="T27" s="108"/>
      <c r="U27" s="108"/>
      <c r="V27" s="108"/>
      <c r="W27" s="108"/>
      <c r="X27" s="108"/>
      <c r="Y27" s="108"/>
      <c r="Z27" s="108"/>
    </row>
    <row r="28" ht="72.0" customHeight="1">
      <c r="A28" s="149" t="str">
        <f>IFERROR(__xludf.DUMMYFUNCTION("""COMPUTED_VALUE"""),"0.25.0")</f>
        <v>0.25.0</v>
      </c>
      <c r="B28" s="174"/>
      <c r="C28" s="44" t="str">
        <f>IFERROR(__xludf.DUMMYFUNCTION("""COMPUTED_VALUE"""),"- 新增荣誉勋章系统：通过军功系统和氏族官职获得勋章，可以在个人信息中查看和选择自己的勋章。
- 新增展览品免费探测次数：新增展览品高级探测每期活动首次探测免费及可用CD进行探测一定次数，同时展览馆建筑气泡提示优化，你可以更快找到想要的功能了。
- 优化内容：优化了帮派信息、斗士、每日特惠、订阅卡、最强猴子的界面显示效果。优化了帮派采集点、帮派集结、军功系统、帮派科技、每日任务、押镖等玩法体验。")</f>
        <v>- 新增荣誉勋章系统：通过军功系统和氏族官职获得勋章，可以在个人信息中查看和选择自己的勋章。
- 新增展览品免费探测次数：新增展览品高级探测每期活动首次探测免费及可用CD进行探测一定次数，同时展览馆建筑气泡提示优化，你可以更快找到想要的功能了。
- 优化内容：优化了帮派信息、斗士、每日特惠、订阅卡、最强猴子的界面显示效果。优化了帮派采集点、帮派集结、军功系统、帮派科技、每日任务、押镖等玩法体验。</v>
      </c>
      <c r="D28" s="159" t="str">
        <f>IFERROR(__xludf.DUMMYFUNCTION("""COMPUTED_VALUE"""),"- New Honor Badges: get Badges via Clan Honors or Elite titles. Go to Player Info to see or equip Badges.
- New free Relic detections: Advanced Detection added; first detection of each period is free, use CDs for more detections. Optimized Wonder Emporium"&amp;" tips so functions can be found easily.
- Optimizations: optimized Gang, Fighter, Daily Limited Pack, Subscription Cards, Ultimate Monkey interfaces. Optimized Gang resource spots, rallies, Clan Honors, Gang Research, Daily Quests, and Convoys.")</f>
        <v>- New Honor Badges: get Badges via Clan Honors or Elite titles. Go to Player Info to see or equip Badges.
- New free Relic detections: Advanced Detection added; first detection of each period is free, use CDs for more detections. Optimized Wonder Emporium tips so functions can be found easily.
- Optimizations: optimized Gang, Fighter, Daily Limited Pack, Subscription Cards, Ultimate Monkey interfaces. Optimized Gang resource spots, rallies, Clan Honors, Gang Research, Daily Quests, and Convoys.</v>
      </c>
      <c r="E28" s="159" t="str">
        <f>IFERROR(__xludf.DUMMYFUNCTION("""COMPUTED_VALUE"""),"- Nouveaux badges d'honneurs de clan et d'élite. Rendez-vous sur la page ""Infos joueur"".
- Nouvelle détection de reliques avancée. Une détection offerte à chaque évènement. Achetez-en d'autres avec des CD. Plus d'astuces dans la halle aux merveilles.
- "&amp;"Optimisation des interfaces de gang, de combattants, des packs quot. lim., des cartes hebdos et du Singe Ultime. Optimisation des points de ress., des raids, de l'honneur de clan, des recherches de gang, des quêtes quoti. et des convois.")</f>
        <v>- Nouveaux badges d'honneurs de clan et d'élite. Rendez-vous sur la page "Infos joueur".
- Nouvelle détection de reliques avancée. Une détection offerte à chaque évènement. Achetez-en d'autres avec des CD. Plus d'astuces dans la halle aux merveilles.
- Optimisation des interfaces de gang, de combattants, des packs quot. lim., des cartes hebdos et du Singe Ultime. Optimisation des points de ress., des raids, de l'honneur de clan, des recherches de gang, des quêtes quoti. et des convois.</v>
      </c>
      <c r="F28" s="159" t="str">
        <f>IFERROR(__xludf.DUMMYFUNCTION("""COMPUTED_VALUE"""),"- Neue Ehrenabzeichen: Erhalte Abzeichen über Horden-Ehre oder Elite-Titel. Gehe zur Spielerinfo, um Abzeichen anzusehen oder auszurüsten.
- Neue kostenlose Relikt-Ortungen: Erweiterte Ortung wurde hinzugefügt; die erste Ortung jeder Periode ist kostenlos"&amp;", verwende CDs für weitere Ortungen. Optimierte Wunderladen-Tipps, damit Funktionen leichter gefunden werden können.
- Optimierungen: Optimiert wurden die Interfaces für Clans, Kämpfer, tägliche limitierte Pakete, Abo-Karten und Ultimativer Affe. Optimier"&amp;"te Ressourcenquellen für Clans, Sammelangriffe, Horden-Ehre, Clan-Forschung, tägliche Quests und Konvois.")</f>
        <v>- Neue Ehrenabzeichen: Erhalte Abzeichen über Horden-Ehre oder Elite-Titel. Gehe zur Spielerinfo, um Abzeichen anzusehen oder auszurüsten.
- Neue kostenlose Relikt-Ortungen: Erweiterte Ortung wurde hinzugefügt; die erste Ortung jeder Periode ist kostenlos, verwende CDs für weitere Ortungen. Optimierte Wunderladen-Tipps, damit Funktionen leichter gefunden werden können.
- Optimierungen: Optimiert wurden die Interfaces für Clans, Kämpfer, tägliche limitierte Pakete, Abo-Karten und Ultimativer Affe. Optimierte Ressourcenquellen für Clans, Sammelangriffe, Horden-Ehre, Clan-Forschung, tägliche Quests und Konvois.</v>
      </c>
      <c r="G28" s="159" t="str">
        <f>IFERROR(__xludf.DUMMYFUNCTION("""COMPUTED_VALUE"""),"- Novas Marcas de Honra: consiga marca por meio das Honras do Clã ou títulos de Elite. Vá à opção ""Informações do Jogador"" para conferir ou equipar marcas.
 - Nova detecção de relíquias gratuita: a detecção avançada foi adicionada. A primeira detecção d"&amp;"e cada período é gratuito. Use CDs para ter mais detecções. Melhoria nas dicas do Empório Maravilha, a fim de facilitar o uso das funções.
 - Melhorias: as interfaces de gangue, combatente, pacote limitado diário, cartões de assinatura e Macaco Supremo fo"&amp;"ram atualizadas. Melhoria nos pontos de recursos da gangue, incursões, Honras do Clã, pesquisa da gangue, missões diárias e combois.")</f>
        <v>- Novas Marcas de Honra: consiga marca por meio das Honras do Clã ou títulos de Elite. Vá à opção "Informações do Jogador" para conferir ou equipar marcas.
 - Nova detecção de relíquias gratuita: a detecção avançada foi adicionada. A primeira detecção de cada período é gratuito. Use CDs para ter mais detecções. Melhoria nas dicas do Empório Maravilha, a fim de facilitar o uso das funções.
 - Melhorias: as interfaces de gangue, combatente, pacote limitado diário, cartões de assinatura e Macaco Supremo foram atualizadas. Melhoria nos pontos de recursos da gangue, incursões, Honras do Clã, pesquisa da gangue, missões diárias e combois.</v>
      </c>
      <c r="H28" s="159" t="str">
        <f>IFERROR(__xludf.DUMMYFUNCTION("""COMPUTED_VALUE"""),"- 新增榮譽勳章系統：通過軍功系統和氏族官職獲得勳章，可以在個人信息中查看和選擇自己的勳章。
- 新增展覽品免費探測次數：新增展覽品高級探測每期活動首次探測免費及可用CD進行探測一定次數，同時展覽館建築氣泡提示優化，你可以更快找到想要的功能了。
- 優化內容：優化了幫派信息、鬥士、每日特惠、訂閱卡、最強猴子的界面顯示效果。優化了幫派採集點、幫派集結、軍功系統、幫派科技、每日任務、押鏢等玩法體驗。")</f>
        <v>- 新增榮譽勳章系統：通過軍功系統和氏族官職獲得勳章，可以在個人信息中查看和選擇自己的勳章。
- 新增展覽品免費探測次數：新增展覽品高級探測每期活動首次探測免費及可用CD進行探測一定次數，同時展覽館建築氣泡提示優化，你可以更快找到想要的功能了。
- 優化內容：優化了幫派信息、鬥士、每日特惠、訂閱卡、最強猴子的界面顯示效果。優化了幫派採集點、幫派集結、軍功系統、幫派科技、每日任務、押鏢等玩法體驗。</v>
      </c>
      <c r="I28" s="159" t="str">
        <f>IFERROR(__xludf.DUMMYFUNCTION("""COMPUTED_VALUE"""),"- Lencana Kehormatan Baru: dapatkan Lencana melalui Kehormatan Klan atau jabatan Elit. Buka Info Pemain untuk melihat atau memasang Lencana.
- Deteksi Pusaka gratis yang baru: Deteksi Lanjutan ditambahkan; deteksi pertama pada setiap periode gratis, gunak"&amp;"an CD untuk lebih banyak deteksi. Tips Emporium Megah yang dioptimalkan sehingga fungsi dapat ditemukan dengan mudah.
- Pengoptimalan: pengoptimalan Geng, Pejuang, Paket Terbatas Harian, Kartu Langganan, antarmuka Kera Terkuat. Pengoptimalan spot sumber d"&amp;"aya Geng, reli, Kehormatan Klan, Penelitian Geng, Tantangan Harian, dan Konvoi.")</f>
        <v>- Lencana Kehormatan Baru: dapatkan Lencana melalui Kehormatan Klan atau jabatan Elit. Buka Info Pemain untuk melihat atau memasang Lencana.
- Deteksi Pusaka gratis yang baru: Deteksi Lanjutan ditambahkan; deteksi pertama pada setiap periode gratis, gunakan CD untuk lebih banyak deteksi. Tips Emporium Megah yang dioptimalkan sehingga fungsi dapat ditemukan dengan mudah.
- Pengoptimalan: pengoptimalan Geng, Pejuang, Paket Terbatas Harian, Kartu Langganan, antarmuka Kera Terkuat. Pengoptimalan spot sumber daya Geng, reli, Kehormatan Klan, Penelitian Geng, Tantangan Harian, dan Konvoi.</v>
      </c>
      <c r="J28" s="159" t="str">
        <f>IFERROR(__xludf.DUMMYFUNCTION("""COMPUTED_VALUE"""),"- ป้ายเกียรติยศใหม่: คุณสามารถรับป้ายตราได้จากเกียรติยศของเผ่าหรือตำแหน่งในชนชั้นสูงของเผ่า คุณสามารถดูหรือใส่ป้ายตราได้จากหน้าข้อมูลผู้เล่น
- การตรวจจับวัตถุโบราณใหม่ฟรี: เพิ่มระบบการตรวจจับขั้นสูง คุณสามารถทำการตรวจจับครั้งแรกของแต่ละช่วงเวลาของกิจกรรมไ"&amp;"ด้ฟรี หรือสามารถใช้ซีดีสำหรับการตรวจจับเพิ่มเติมได้ และยังปรับปรุงเคล็ดลับการสร้างอาคารวันเดอร์ เอมโพเรี่ยมเพื่อให้คุณสามารถค้นหาฟังก์ชันได้ง่ายขึ้น
- การเพิ่มประสิทธิภาพ: ปรับปรุงอินเตอร์เฟสของแก๊ง นักสู้ แพ็กจำนวนจำกัดประจำวัน บัตรสมัครสมาชิก และลิงที่แ"&amp;"ข็งแกร่งที่สุด รวมถึงปรับปรุงแหล่งทรัพยากรแก๊ง การเดินทัพ เกียรติยศเผ่า การวิจัยของแก๊ง เควสต์ประจำวัน และขบวนรถคอนวอย")</f>
        <v>- ป้ายเกียรติยศใหม่: คุณสามารถรับป้ายตราได้จากเกียรติยศของเผ่าหรือตำแหน่งในชนชั้นสูงของเผ่า คุณสามารถดูหรือใส่ป้ายตราได้จากหน้าข้อมูลผู้เล่น
- การตรวจจับวัตถุโบราณใหม่ฟรี: เพิ่มระบบการตรวจจับขั้นสูง คุณสามารถทำการตรวจจับครั้งแรกของแต่ละช่วงเวลาของกิจกรรมได้ฟรี หรือสามารถใช้ซีดีสำหรับการตรวจจับเพิ่มเติมได้ และยังปรับปรุงเคล็ดลับการสร้างอาคารวันเดอร์ เอมโพเรี่ยมเพื่อให้คุณสามารถค้นหาฟังก์ชันได้ง่ายขึ้น
- การเพิ่มประสิทธิภาพ: ปรับปรุงอินเตอร์เฟสของแก๊ง นักสู้ แพ็กจำนวนจำกัดประจำวัน บัตรสมัครสมาชิก และลิงที่แข็งแกร่งที่สุด รวมถึงปรับปรุงแหล่งทรัพยากรแก๊ง การเดินทัพ เกียรติยศเผ่า การวิจัยของแก๊ง เควสต์ประจำวัน และขบวนรถคอนวอย</v>
      </c>
      <c r="K28" s="159" t="str">
        <f>IFERROR(__xludf.DUMMYFUNCTION("""COMPUTED_VALUE"""),"- Nuevas Insignias de Honor: obtén Insignias mediante Honores del Clan o los títulos de Élite. Ve a la Información del Jugador para ver o equipar las Insignias. 
- Nuevas detecciones gratis de Reliquias: Detección avanzada agregada; la primera detección p"&amp;"ara cada periodo es gratis, usa CD para más detecciones. Se optimizaron los consejos para el Emporio de las Maravillas para que las funciones pudieran encontrarse más fácilmente. 
- Optimizaciones: se optimizó la Banda, Luchador, Paquetes Limitados Diario"&amp;"s, Tarjetas de Suscripción, interfaces del Mono Supremo. Optimización de los puntos de recursos de la Banda, incursiones, Honores del Clan, Investigación de la Banda, Misiones Diarias y Convoyes.")</f>
        <v>- Nuevas Insignias de Honor: obtén Insignias mediante Honores del Clan o los títulos de Élite. Ve a la Información del Jugador para ver o equipar las Insignias. 
- Nuevas detecciones gratis de Reliquias: Detección avanzada agregada; la primera detección para cada periodo es gratis, usa CD para más detecciones. Se optimizaron los consejos para el Emporio de las Maravillas para que las funciones pudieran encontrarse más fácilmente. 
- Optimizaciones: se optimizó la Banda, Luchador, Paquetes Limitados Diarios, Tarjetas de Suscripción, interfaces del Mono Supremo. Optimización de los puntos de recursos de la Banda, incursiones, Honores del Clan, Investigación de la Banda, Misiones Diarias y Convoyes.</v>
      </c>
      <c r="L28" s="159" t="str">
        <f>IFERROR(__xludf.DUMMYFUNCTION("""COMPUTED_VALUE"""),"- Новые значки чести: получайте значки за честь клана или титулы элиты и применяйте на странице сведений об игроке.
- Система сканирования реликвий: добавлено продвинутое сканирование; первое сканирование в периоде бесплатное, на остальные требуются CD. О"&amp;"птимизированы подсказки в зале чудес.
- Оптимизирован интерфейс банды, героя, дневных огранич. наборов, карт подписки и события «Великая обезьяна». Оптимизированы точки банды, походы, честь клана, исследования банды, ежедн. задания и караваны.")</f>
        <v>- Новые значки чести: получайте значки за честь клана или титулы элиты и применяйте на странице сведений об игроке.
- Система сканирования реликвий: добавлено продвинутое сканирование; первое сканирование в периоде бесплатное, на остальные требуются CD. Оптимизированы подсказки в зале чудес.
- Оптимизирован интерфейс банды, героя, дневных огранич. наборов, карт подписки и события «Великая обезьяна». Оптимизированы точки банды, походы, честь клана, исследования банды, ежедн. задания и караваны.</v>
      </c>
      <c r="M28" s="159" t="str">
        <f>IFERROR(__xludf.DUMMYFUNCTION("""COMPUTED_VALUE"""),"- Yeni Onur Rozetleri: Klan Onuru veya Elit unvanlarıyla Rozetler al. Oyuncu Bilgisine giderek Rozetleri gör veya kullan.
- Yeni ücretsiz Kalıntı tespitleri: İleri Seviye Tespit eklendi: her dönemin ilk tespiti ücretsiz, daha fazla tespit için CD kullan. "&amp;"Optimize edilmiş Harikalar Dükkânı ipuçlarıyla işlevler kolayca bulunuyor.
- Optimizasyonlar: optimize edilen Çete, Savaşçı, Günlük Sınırlı Paket, Abonelik Kartları, En Üstün Maymun arayüzleri. Optimize edilen Çete kaynak noktaları, toplu saldırılar, Klan"&amp;" Onuru, Çete Araştırması, Günlük Maceralar ve Konvoylar.")</f>
        <v>- Yeni Onur Rozetleri: Klan Onuru veya Elit unvanlarıyla Rozetler al. Oyuncu Bilgisine giderek Rozetleri gör veya kullan.
- Yeni ücretsiz Kalıntı tespitleri: İleri Seviye Tespit eklendi: her dönemin ilk tespiti ücretsiz, daha fazla tespit için CD kullan. Optimize edilmiş Harikalar Dükkânı ipuçlarıyla işlevler kolayca bulunuyor.
- Optimizasyonlar: optimize edilen Çete, Savaşçı, Günlük Sınırlı Paket, Abonelik Kartları, En Üstün Maymun arayüzleri. Optimize edilen Çete kaynak noktaları, toplu saldırılar, Klan Onuru, Çete Araştırması, Günlük Maceralar ve Konvoylar.</v>
      </c>
      <c r="N28" s="45" t="str">
        <f>IFERROR(__xludf.DUMMYFUNCTION("""COMPUTED_VALUE"""),"- Phù Hiệu Vinh Dự mới: nhận Phù Hiệu thông qua các danh hiệu Vinh Dự Bộ Lạc hoặc Tinh Anh Bộ Lạc. Vào Thông Tin Người Chơi để xem hoặc trang bị Phù Hiệu.
- Thăm dò Di Tích miễn phí mới: Thêm tính năng thăm dò nâng cao; lượt thăm dò đầu tiên của mỗi khoản"&amp;"g thời gian sẽ được miễn phí, hãy sử dụng CD để thăm dò nhiều lần hơn. Tối ưu hóa các hướng dẫn của công trình Trung Tâm Thương Mại Kỳ Thú để có thể tìm thấy các chức năng một cách dễ dàng.
- Tối ưu hóa: tối ưu hóa các giao diện Bang Hội, Chiến Binh, Gói "&amp;"Giới Hạn Hàng Ngày, Thẻ Đăng Ký, Chúa Khỉ Tối Thượng. Tối ưu hóa các điểm tài nguyên Bang Hội, tập hợp Bang Hội, Vinh Dự Bộ Lạc, Nghiên Cứu Bang Hội, Nhiệm Vụ Hàng Ngày và Xe Chuyên Chở.")</f>
        <v>- Phù Hiệu Vinh Dự mới: nhận Phù Hiệu thông qua các danh hiệu Vinh Dự Bộ Lạc hoặc Tinh Anh Bộ Lạc. Vào Thông Tin Người Chơi để xem hoặc trang bị Phù Hiệu.
- Thăm dò Di Tích miễn phí mới: Thêm tính năng thăm dò nâng cao; lượt thăm dò đầu tiên của mỗi khoảng thời gian sẽ được miễn phí, hãy sử dụng CD để thăm dò nhiều lần hơn. Tối ưu hóa các hướng dẫn của công trình Trung Tâm Thương Mại Kỳ Thú để có thể tìm thấy các chức năng một cách dễ dàng.
- Tối ưu hóa: tối ưu hóa các giao diện Bang Hội, Chiến Binh, Gói Giới Hạn Hàng Ngày, Thẻ Đăng Ký, Chúa Khỉ Tối Thượng. Tối ưu hóa các điểm tài nguyên Bang Hội, tập hợp Bang Hội, Vinh Dự Bộ Lạc, Nghiên Cứu Bang Hội, Nhiệm Vụ Hàng Ngày và Xe Chuyên Chở.</v>
      </c>
      <c r="O28" s="45"/>
      <c r="P28" s="34"/>
      <c r="Q28" s="34"/>
      <c r="R28" s="34"/>
      <c r="S28" s="34"/>
      <c r="T28" s="108"/>
      <c r="U28" s="108"/>
      <c r="V28" s="108"/>
      <c r="W28" s="108"/>
      <c r="X28" s="108"/>
      <c r="Y28" s="108"/>
      <c r="Z28" s="108"/>
    </row>
    <row r="29" ht="72.0" customHeight="1">
      <c r="A29" s="149" t="str">
        <f>IFERROR(__xludf.DUMMYFUNCTION("""COMPUTED_VALUE"""),"0.26.0")</f>
        <v>0.26.0</v>
      </c>
      <c r="B29" s="174"/>
      <c r="C29" s="44" t="str">
        <f>IFERROR(__xludf.DUMMYFUNCTION("""COMPUTED_VALUE"""),"- 新增活动：帮派运动会、复活节派对、帮派争锋、讨伐霍格博士。
- 新增斗士：荒野浪子戴维斯，是幽默不羁的战斗飙车族，可通过最强猴子获取。
- 优化内容：优化了主城建筑、客服、战斗、氏族界面、斗士展示界面以及联盟采集点的界面显示效果。优化了搜索编队、军功系统、太空里程碑、建筑加成以及人类遗迹、酒馆奖励等玩法体验。")</f>
        <v>- 新增活动：帮派运动会、复活节派对、帮派争锋、讨伐霍格博士。
- 新增斗士：荒野浪子戴维斯，是幽默不羁的战斗飙车族，可通过最强猴子获取。
- 优化内容：优化了主城建筑、客服、战斗、氏族界面、斗士展示界面以及联盟采集点的界面显示效果。优化了搜索编队、军功系统、太空里程碑、建筑加成以及人类遗迹、酒馆奖励等玩法体验。</v>
      </c>
      <c r="D29" s="159" t="str">
        <f>IFERROR(__xludf.DUMMYFUNCTION("""COMPUTED_VALUE"""),"- New events: Gang Games, Easter Party, Gang Race, Attack on Dr. Hogg.
- New Fighter: Wildland Drifter, D-Generate Dave, a wild Pilot with a sense of humor. Can be obtained via Ultimate Monkey.
- Optimizations: City buildings, customer support, battles, C"&amp;"lan interface, Fighter character display, and Gang resource spot displays. Also optimized search and creating Troops, Clan Honors, Space Milestone, building boots, Ruins and Tavern rewards.")</f>
        <v>- New events: Gang Games, Easter Party, Gang Race, Attack on Dr. Hogg.
- New Fighter: Wildland Drifter, D-Generate Dave, a wild Pilot with a sense of humor. Can be obtained via Ultimate Monkey.
- Optimizations: City buildings, customer support, battles, Clan interface, Fighter character display, and Gang resource spot displays. Also optimized search and creating Troops, Clan Honors, Space Milestone, building boots, Ruins and Tavern rewards.</v>
      </c>
      <c r="E29" s="159" t="str">
        <f>IFERROR(__xludf.DUMMYFUNCTION("""COMPUTED_VALUE"""),"- Nouveaux évènements: jeux de gang, fête de Pâques, course de gangs et attaque de Dr. Hogg.
- Nouveaux combattant: Dave D-Généré, un pilote avec beaucoup d'humour. Peut être obtenu via le Singe ultime.
- Optimisations: bâtiments de la ville, service clie"&amp;"nt, combats, interface du clan, affichage des personnages et des points de ressources du gang, recherche et création de troupes, honneurs de clan, évènements de l'espace, boosts de bâtiments, ruines et récompenses de la taverne.")</f>
        <v>- Nouveaux évènements: jeux de gang, fête de Pâques, course de gangs et attaque de Dr. Hogg.
- Nouveaux combattant: Dave D-Généré, un pilote avec beaucoup d'humour. Peut être obtenu via le Singe ultime.
- Optimisations: bâtiments de la ville, service client, combats, interface du clan, affichage des personnages et des points de ressources du gang, recherche et création de troupes, honneurs de clan, évènements de l'espace, boosts de bâtiments, ruines et récompenses de la taverne.</v>
      </c>
      <c r="F29" s="159" t="str">
        <f>IFERROR(__xludf.DUMMYFUNCTION("""COMPUTED_VALUE"""),"- Neue Events: Clan-Spiele, Osterparty, Clan-Rennen, Angriff auf Dr. Hogg.
 - Neuer Kämpfer: Wildnis-Abenteurer, D-Generate Dave, ein wilder Pilot mit einem Sinn für Humor. Kann über den Ultimativen Affen erhalten werden.
 - Optimierungen: Stadtgebäude, K"&amp;"undensupport, Kämpfe, Clan-Interface, Kämpfer-Charakteranzeige und Anzeige der Clan-Ressourcenquellen. Außerdem optimierte Suche und Erstellung von Truppen, optimierte Horden-Ehre, Weltraum-Meilenstein, Gebäude-Boosts, Ruinen und Tavernen-Belohnungen.")</f>
        <v>- Neue Events: Clan-Spiele, Osterparty, Clan-Rennen, Angriff auf Dr. Hogg.
 - Neuer Kämpfer: Wildnis-Abenteurer, D-Generate Dave, ein wilder Pilot mit einem Sinn für Humor. Kann über den Ultimativen Affen erhalten werden.
 - Optimierungen: Stadtgebäude, Kundensupport, Kämpfe, Clan-Interface, Kämpfer-Charakteranzeige und Anzeige der Clan-Ressourcenquellen. Außerdem optimierte Suche und Erstellung von Truppen, optimierte Horden-Ehre, Weltraum-Meilenstein, Gebäude-Boosts, Ruinen und Tavernen-Belohnungen.</v>
      </c>
      <c r="G29" s="159" t="str">
        <f>IFERROR(__xludf.DUMMYFUNCTION("""COMPUTED_VALUE"""),"- Novos eventos: Jogos da gangue, Festa de Páscoa, Corrida da gangue, Ataque a Dr. Hogg.
 - Novo combatente: Andarilho, Dave Degenerado, um piloto selvagem e com senso de humor. Pode ser obtido por meio do Macaco Supremo.
 - Melhorias: estruturas da cidad"&amp;"e, suporte ao cliente, batalhas, interface do clã, exibição das características do combatente e dos pontos de recursos da gangue. Melhoria na busca e criação de tropas, honras do clã, marcos espaciais, bônus de estruturas, ruínas e recompensas da taverna.")</f>
        <v>- Novos eventos: Jogos da gangue, Festa de Páscoa, Corrida da gangue, Ataque a Dr. Hogg.
 - Novo combatente: Andarilho, Dave Degenerado, um piloto selvagem e com senso de humor. Pode ser obtido por meio do Macaco Supremo.
 - Melhorias: estruturas da cidade, suporte ao cliente, batalhas, interface do clã, exibição das características do combatente e dos pontos de recursos da gangue. Melhoria na busca e criação de tropas, honras do clã, marcos espaciais, bônus de estruturas, ruínas e recompensas da taverna.</v>
      </c>
      <c r="H29" s="159" t="str">
        <f>IFERROR(__xludf.DUMMYFUNCTION("""COMPUTED_VALUE"""),"- 新增活動：幫派運動會、復活節派對、幫派爭鋒、討伐霍格博士。
- 新增鬥士：荒野浪子戴維斯，是幽默不羈的戰鬥飆車族，可通過最強猴子獲取。
- 優化內容：優化了主城建築、客服、戰鬥、氏族界面、鬥士展示界面以及聯盟採集點的界面顯示效果。優化了搜索編隊、軍功系統、太空里程碑、建築加成以及人類遺跡、酒館獎勵等玩法體驗。")</f>
        <v>- 新增活動：幫派運動會、復活節派對、幫派爭鋒、討伐霍格博士。
- 新增鬥士：荒野浪子戴維斯，是幽默不羈的戰鬥飆車族，可通過最強猴子獲取。
- 優化內容：優化了主城建築、客服、戰鬥、氏族界面、鬥士展示界面以及聯盟採集點的界面顯示效果。優化了搜索編隊、軍功系統、太空里程碑、建築加成以及人類遺跡、酒館獎勵等玩法體驗。</v>
      </c>
      <c r="I29" s="159" t="str">
        <f>IFERROR(__xludf.DUMMYFUNCTION("""COMPUTED_VALUE"""),"- Acara baru: Game Geng, Pesta Paskah, Balapan Geng, Serangan terhadap Dr. Hogg.
- Pejuang Baru: Wildland Drifter, D-Generate Dave, Pilot liar dengan selera humor. Bisa diperoleh melalui Kera Terbaik.
- Pengoptimalan: Bangunan kota, dukungan pelanggan, pe"&amp;"rtarungan, antarmuka Klan, tampilan karakter Pejuang, dan tampilan tempat sumber daya geng. Juga pengoptimalan pencarian dan pembuatan Pasukan, Penghargaan Klan, Tonggak Luar Angkasa, sepatu bot bangunan, hadiah Reruntuhan, dan Kedai.")</f>
        <v>- Acara baru: Game Geng, Pesta Paskah, Balapan Geng, Serangan terhadap Dr. Hogg.
- Pejuang Baru: Wildland Drifter, D-Generate Dave, Pilot liar dengan selera humor. Bisa diperoleh melalui Kera Terbaik.
- Pengoptimalan: Bangunan kota, dukungan pelanggan, pertarungan, antarmuka Klan, tampilan karakter Pejuang, dan tampilan tempat sumber daya geng. Juga pengoptimalan pencarian dan pembuatan Pasukan, Penghargaan Klan, Tonggak Luar Angkasa, sepatu bot bangunan, hadiah Reruntuhan, dan Kedai.</v>
      </c>
      <c r="J29" s="159" t="str">
        <f>IFERROR(__xludf.DUMMYFUNCTION("""COMPUTED_VALUE"""),"- กิจกรรมใหม่: เกมแก๊ง, ปาร์ตี้อีสเตอร์, การแข่งขันระหว่างแก๊ง, การโจมตี รด.ฮ็อกก์
 - นักสู้คนใหม่: เดฟ ไปเรื่อย ฉายานักพเนจรแดนเถื่อน นักบินสุดเถื่อนผู้เปี่ยมด้วยอารมณ์ขัน คุณสามารถรับได้จากกิจกรรมลิงตัวสุดท้าย
 - การเพิ่มประสิทธิภาพ: ปรับปรุงสิ่งปลูกสร้"&amp;"างในเมือง การสนับสนุนลูกค้า การต่อสู้ อินเตอร์เฟสของเผ่า การแสดงตัวละครนักสู้ และการแสดงจุดทรัพยากรของแก๊ง และยังเพิ่มปรับปรุงการค้นหาและการสร้างกองทหาร เกียรติยศของเผ่า เหตุการณ์สำคัญแห่งอวกาศ บูสต์การก่อสร้าง ซากปรักหักพัง และโรงแรม")</f>
        <v>- กิจกรรมใหม่: เกมแก๊ง, ปาร์ตี้อีสเตอร์, การแข่งขันระหว่างแก๊ง, การโจมตี รด.ฮ็อกก์
 - นักสู้คนใหม่: เดฟ ไปเรื่อย ฉายานักพเนจรแดนเถื่อน นักบินสุดเถื่อนผู้เปี่ยมด้วยอารมณ์ขัน คุณสามารถรับได้จากกิจกรรมลิงตัวสุดท้าย
 - การเพิ่มประสิทธิภาพ: ปรับปรุงสิ่งปลูกสร้างในเมือง การสนับสนุนลูกค้า การต่อสู้ อินเตอร์เฟสของเผ่า การแสดงตัวละครนักสู้ และการแสดงจุดทรัพยากรของแก๊ง และยังเพิ่มปรับปรุงการค้นหาและการสร้างกองทหาร เกียรติยศของเผ่า เหตุการณ์สำคัญแห่งอวกาศ บูสต์การก่อสร้าง ซากปรักหักพัง และโรงแรม</v>
      </c>
      <c r="K29" s="159" t="str">
        <f>IFERROR(__xludf.DUMMYFUNCTION("""COMPUTED_VALUE"""),"- Nuevos eventos: Juegos de Banda, Fiesta Pascua, Carrera de Banda, Ataque contra Dr. Hogg.
 - Nuevo Luchador: Vagabundo de las Tierras Salvajes D-Generado Dave, un Piloto con sentido del humor. Se obtiene en Mono Supremo. 
 - Optimizaciones: Edificios Ci"&amp;"udad, soporte a cliente, batallas, interface Clan, despliegue personaje Luchador y puntos de Recurso de Banda. También se optimizó la búsqueda y creación de Tropas, Honores Clan, Logros Espacio, inicio de edificios, recompensas Ruinas y Tabernas.")</f>
        <v>- Nuevos eventos: Juegos de Banda, Fiesta Pascua, Carrera de Banda, Ataque contra Dr. Hogg.
 - Nuevo Luchador: Vagabundo de las Tierras Salvajes D-Generado Dave, un Piloto con sentido del humor. Se obtiene en Mono Supremo. 
 - Optimizaciones: Edificios Ciudad, soporte a cliente, batallas, interface Clan, despliegue personaje Luchador y puntos de Recurso de Banda. También se optimizó la búsqueda y creación de Tropas, Honores Clan, Logros Espacio, inicio de edificios, recompensas Ruinas y Tabernas.</v>
      </c>
      <c r="L29" s="159" t="str">
        <f>IFERROR(__xludf.DUMMYFUNCTION("""COMPUTED_VALUE"""),"- Новые события: «Состязания банд», «Пасхальная вечеринка», «Гонка банд», «Атака на доктора Хогга».
- Новый герой: бродяга диких земель Д-генерат Дейв, гонщик-сорвиголова с убойным чувством юмора. Его можно получить в событии «Великая обезьяна».
- Оптимиз"&amp;"ации: городские здания, служба поддержки, бои, интерфейс клана, отображение героев и точек ресурсов банд. Также оптимизирован поиск и создание войск, система чести клана, космические рубежи, бонусы построек, руины и награды в таверне.")</f>
        <v>- Новые события: «Состязания банд», «Пасхальная вечеринка», «Гонка банд», «Атака на доктора Хогга».
- Новый герой: бродяга диких земель Д-генерат Дейв, гонщик-сорвиголова с убойным чувством юмора. Его можно получить в событии «Великая обезьяна».
- Оптимизации: городские здания, служба поддержки, бои, интерфейс клана, отображение героев и точек ресурсов банд. Также оптимизирован поиск и создание войск, система чести клана, космические рубежи, бонусы построек, руины и награды в таверне.</v>
      </c>
      <c r="M29" s="159" t="str">
        <f>IFERROR(__xludf.DUMMYFUNCTION("""COMPUTED_VALUE"""),"- Yeni etkinlikler: Çete Oyunları, Paskalya Partisi, Çete Yarışı, Dr. Hogg’a Saldırı.
 - Yeni Savaşçı: Çorak Arazi Serserisi, Dejenere Dave, mizah duygusu yüksek vahşi bir Pilot. En Üstün maymun aracılığıyla elde edilebilir.
 - Optimizasyonlar: Şehir bina"&amp;"ları, müşteri destek, savaşlar, Klan arayüzü, Savaşçı karakter görüntüsü ve Çete kaynak noktası görüntüleri. Arama ve Birlik oluşturma, Klan Onuru, Uzay Dönüm Noktaları, bina güçlendiricileri, Harabeler ve Taverna ödülleri de optimize edildi.")</f>
        <v>- Yeni etkinlikler: Çete Oyunları, Paskalya Partisi, Çete Yarışı, Dr. Hogg’a Saldırı.
 - Yeni Savaşçı: Çorak Arazi Serserisi, Dejenere Dave, mizah duygusu yüksek vahşi bir Pilot. En Üstün maymun aracılığıyla elde edilebilir.
 - Optimizasyonlar: Şehir binaları, müşteri destek, savaşlar, Klan arayüzü, Savaşçı karakter görüntüsü ve Çete kaynak noktası görüntüleri. Arama ve Birlik oluşturma, Klan Onuru, Uzay Dönüm Noktaları, bina güçlendiricileri, Harabeler ve Taverna ödülleri de optimize edildi.</v>
      </c>
      <c r="N29" s="45" t="str">
        <f>IFERROR(__xludf.DUMMYFUNCTION("""COMPUTED_VALUE"""),"- Sự kiện mới: Trò Chơi Bang Hội, Tiệc Phục Sinh, Cuộc Đua Bang Hội, Tấn Công Tiến Sĩ Hogg.
 - Chiến Binh mới: Kẻ Lang Bạt, Dave-Hạng-D, một Phi công hoang dã có khiếu hài hước. Có thể nhận qua Khỉ Tối Thượng.
 - Tối ưu hóa: Các công trình Thành Phố, hỗ t"&amp;"rợ khách hàng, chiến đấu, giao diện Bộ Lạc, hiển thị nhân vật Chiến Binh và hiển thị điểm tài nguyên Bang Hội. Bên cạnh đó, tối ưu hóa tìm kiếm và tạo Binh lính, Vinh Dự Bộ Lạc, Cột Mốc Không Gian, tăng cường xây dựng, Di Tích và thưởng Tửu Quán.")</f>
        <v>- Sự kiện mới: Trò Chơi Bang Hội, Tiệc Phục Sinh, Cuộc Đua Bang Hội, Tấn Công Tiến Sĩ Hogg.
 - Chiến Binh mới: Kẻ Lang Bạt, Dave-Hạng-D, một Phi công hoang dã có khiếu hài hước. Có thể nhận qua Khỉ Tối Thượng.
 - Tối ưu hóa: Các công trình Thành Phố, hỗ trợ khách hàng, chiến đấu, giao diện Bộ Lạc, hiển thị nhân vật Chiến Binh và hiển thị điểm tài nguyên Bang Hội. Bên cạnh đó, tối ưu hóa tìm kiếm và tạo Binh lính, Vinh Dự Bộ Lạc, Cột Mốc Không Gian, tăng cường xây dựng, Di Tích và thưởng Tửu Quán.</v>
      </c>
      <c r="O29" s="45"/>
      <c r="P29" s="34"/>
      <c r="Q29" s="34"/>
      <c r="R29" s="34"/>
      <c r="S29" s="34"/>
      <c r="T29" s="108"/>
      <c r="U29" s="108"/>
      <c r="V29" s="108"/>
      <c r="W29" s="108"/>
      <c r="X29" s="108"/>
      <c r="Y29" s="108"/>
      <c r="Z29" s="108"/>
    </row>
    <row r="30" ht="72.0" customHeight="1">
      <c r="A30" s="149" t="str">
        <f>IFERROR(__xludf.DUMMYFUNCTION("""COMPUTED_VALUE"""),"0.26.5")</f>
        <v>0.26.5</v>
      </c>
      <c r="B30" s="174"/>
      <c r="C30" s="44" t="str">
        <f>IFERROR(__xludf.DUMMYFUNCTION("""COMPUTED_VALUE"""),"-新增活动：全能竞技场，猴子们可以通过挑战其他玩家获得排名并赢得奖励。
-优化内容：优化了帮派运动会及讨伐霍格博士的界面展示以及活动体验；优化了道具投放、道具展示、道具使用以及行军编队的体验；优化了一些英雄技能。")</f>
        <v>-新增活动：全能竞技场，猴子们可以通过挑战其他玩家获得排名并赢得奖励。
-优化内容：优化了帮派运动会及讨伐霍格博士的界面展示以及活动体验；优化了道具投放、道具展示、道具使用以及行军编队的体验；优化了一些英雄技能。</v>
      </c>
      <c r="D30" s="159" t="str">
        <f>IFERROR(__xludf.DUMMYFUNCTION("""COMPUTED_VALUE"""),"- New event: Primate Brawl. Challenge other players, earn rankings and get rewards!
- Optimizations: Optimized interface and event features for Gang Games and Attack on Dr. Hogg; optimized item drops, display, and use; optimized troop configurations; opti"&amp;"mized certain Fighter skills.")</f>
        <v>- New event: Primate Brawl. Challenge other players, earn rankings and get rewards!
- Optimizations: Optimized interface and event features for Gang Games and Attack on Dr. Hogg; optimized item drops, display, and use; optimized troop configurations; optimized certain Fighter skills.</v>
      </c>
      <c r="E30" s="159" t="str">
        <f>IFERROR(__xludf.DUMMYFUNCTION("""COMPUTED_VALUE"""),"- Nouvel évènement: dans la Baston des primates, défiez les autres joueurs pour obtenir un bon classement et des récompenses!
- Optimisation de l'interface et des fonctions évènementielles pour les Jeux de gangs et l'Attaque du Dr. Hogg; optimisation des "&amp;"gains d'objets, des affichages et de l'ergonomie; amélioration de la configuration des troupes et de certaines compétences de combattants.")</f>
        <v>- Nouvel évènement: dans la Baston des primates, défiez les autres joueurs pour obtenir un bon classement et des récompenses!
- Optimisation de l'interface et des fonctions évènementielles pour les Jeux de gangs et l'Attaque du Dr. Hogg; optimisation des gains d'objets, des affichages et de l'ergonomie; amélioration de la configuration des troupes et de certaines compétences de combattants.</v>
      </c>
      <c r="F30" s="159" t="str">
        <f>IFERROR(__xludf.DUMMYFUNCTION("""COMPUTED_VALUE"""),"- Neues Event: Primatenkrawall. Fordere andere Spieler heraus, erreiche Platzierungen und erhalte Belohnungen!
 - Optimierungen: Optimiertes Interface und Event-Features für Clan-Spiele und Angriff auf Dr. Hogg; optimierte Item-Drops, Anzeige und Verwendu"&amp;"ng; optimierte Truppen-Konfigurationen; bestimmte Kämpfer-Fähigkeiten optimiert.")</f>
        <v>- Neues Event: Primatenkrawall. Fordere andere Spieler heraus, erreiche Platzierungen und erhalte Belohnungen!
 - Optimierungen: Optimiertes Interface und Event-Features für Clan-Spiele und Angriff auf Dr. Hogg; optimierte Item-Drops, Anzeige und Verwendung; optimierte Truppen-Konfigurationen; bestimmte Kämpfer-Fähigkeiten optimiert.</v>
      </c>
      <c r="G30" s="159" t="str">
        <f>IFERROR(__xludf.DUMMYFUNCTION("""COMPUTED_VALUE"""),"- Novo evento: Briga Primata. Desafie outros jogadores, ganhe recompensas e classificações!
 - Melhorias: interface e recursos do evento foram melhorados nos jogos da gangue e no ataque ao Dr. Hogg. Melhoria nos itens obtidos, seu uso e exibição. Configur"&amp;"ações de tropas melhoradas, além da melhoria em determinadas habilidades dos combatentes.")</f>
        <v>- Novo evento: Briga Primata. Desafie outros jogadores, ganhe recompensas e classificações!
 - Melhorias: interface e recursos do evento foram melhorados nos jogos da gangue e no ataque ao Dr. Hogg. Melhoria nos itens obtidos, seu uso e exibição. Configurações de tropas melhoradas, além da melhoria em determinadas habilidades dos combatentes.</v>
      </c>
      <c r="H30" s="159" t="str">
        <f>IFERROR(__xludf.DUMMYFUNCTION("""COMPUTED_VALUE"""),"-新增活動：全能競技場，猴子們可以通過挑戰其他玩家獲得排名並贏得獎勵。
-優化內容：優化了幫派運動會及討伐霍格博士的界面展示以及活動體驗；優化了道具投放、道具展示、道具使用以及行軍編隊的體驗；優化了一些英雄技能。")</f>
        <v>-新增活動：全能競技場，猴子們可以通過挑戰其他玩家獲得排名並贏得獎勵。
-優化內容：優化了幫派運動會及討伐霍格博士的界面展示以及活動體驗；優化了道具投放、道具展示、道具使用以及行軍編隊的體驗；優化了一些英雄技能。</v>
      </c>
      <c r="I30" s="159" t="str">
        <f>IFERROR(__xludf.DUMMYFUNCTION("""COMPUTED_VALUE"""),"- Acara baru: Perkelahian Primata. Tantang pemain lain, raih peringkat, dan dapatkan hadiah!
 - Pengoptimalan: Pengoptimalan antarmuka dan fitur acara untuk Permainan Geng dan Serangan terhadap Dr. Hogg; pengoptimalan item yang dijatuhkan, tampilan, dan"&amp;" penggunaan; pengoptimalan konfigurasi pasukan; pengoptimalan keahlian Pejuang tertentu.")</f>
        <v>- Acara baru: Perkelahian Primata. Tantang pemain lain, raih peringkat, dan dapatkan hadiah!
 - Pengoptimalan: Pengoptimalan antarmuka dan fitur acara untuk Permainan Geng dan Serangan terhadap Dr. Hogg; pengoptimalan item yang dijatuhkan, tampilan, dan penggunaan; pengoptimalan konfigurasi pasukan; pengoptimalan keahlian Pejuang tertentu.</v>
      </c>
      <c r="J30" s="159" t="str">
        <f>IFERROR(__xludf.DUMMYFUNCTION("""COMPUTED_VALUE"""),"- กิจกรรมใหม่: การวิวาทของเหล่าวานร ท้าทายผู้เล่นรายอื่นเพื่อไต่อันดับและรับรางวัล!
 - การปรับปรุง: ปรับปรุงอินเตอร์เฟสและคุณสมบัติกิจกรรมของเกมของแก๊งและกิจกรรมการโจมตี ดร.ฮ็อกก์ ปรับการแจก การแสดง และการใช้ไอเทม ปรับการกำหนดค่ากองทหาร ปรับทักษะของนักสู้"&amp;"บางทักษะ")</f>
        <v>- กิจกรรมใหม่: การวิวาทของเหล่าวานร ท้าทายผู้เล่นรายอื่นเพื่อไต่อันดับและรับรางวัล!
 - การปรับปรุง: ปรับปรุงอินเตอร์เฟสและคุณสมบัติกิจกรรมของเกมของแก๊งและกิจกรรมการโจมตี ดร.ฮ็อกก์ ปรับการแจก การแสดง และการใช้ไอเทม ปรับการกำหนดค่ากองทหาร ปรับทักษะของนักสู้บางทักษะ</v>
      </c>
      <c r="K30" s="159" t="str">
        <f>IFERROR(__xludf.DUMMYFUNCTION("""COMPUTED_VALUE"""),"- Nuevo evento: Pelea de Primates: ¡Reta a otros jugadores y gana increíbles recompensas!
- Optimizaciones: Se optimizó la interface y las características de eventos para los Juegos de Banda y el Ataque contra Dr. Hogg; se optimizó la aparición de artícul"&amp;"os, visualización y uso; se optimizaron las configuraciones de tropas; se optimizaron algunas habilidades de Luchadores.")</f>
        <v>- Nuevo evento: Pelea de Primates: ¡Reta a otros jugadores y gana increíbles recompensas!
- Optimizaciones: Se optimizó la interface y las características de eventos para los Juegos de Banda y el Ataque contra Dr. Hogg; se optimizó la aparición de artículos, visualización y uso; se optimizaron las configuraciones de tropas; se optimizaron algunas habilidades de Luchadores.</v>
      </c>
      <c r="L30" s="159" t="str">
        <f>IFERROR(__xludf.DUMMYFUNCTION("""COMPUTED_VALUE"""),"— Новое событие: «Потасовка приматов». Бросайте вызов другим игрокам, зарабатывайте рейтинг и получайте награды!
— Оптимизация: оптимизирован интерфейс и характеристики событий «Состязания банд» и «Атака на доктора Хогга»; оптимизировано выпадение, отобра"&amp;"жение и использование предметов; оптимизирована конфигурация войск и навыки некоторых героев.")</f>
        <v>— Новое событие: «Потасовка приматов». Бросайте вызов другим игрокам, зарабатывайте рейтинг и получайте награды!
— Оптимизация: оптимизирован интерфейс и характеристики событий «Состязания банд» и «Атака на доктора Хогга»; оптимизировано выпадение, отображение и использование предметов; оптимизирована конфигурация войск и навыки некоторых героев.</v>
      </c>
      <c r="M30" s="159" t="str">
        <f>IFERROR(__xludf.DUMMYFUNCTION("""COMPUTED_VALUE"""),"‘- Yeni etkinlik: Primat Kavgası. Diğer oyunculara meydan oku, sıralamalar kazan ve ödüller al!
 - Optimizasyonlar: Çete Oyunları ve Dr. Hogg’a Saldırı arayüz ve etkinlik özellikleri optimize edildi; eşya düşmeleri, görüntü ve kullanım optimize edildi; bi"&amp;"rlik yapılandırmaları optimize edildi; belirli Savaşçı becerileri optimize edildi.")</f>
        <v>‘- Yeni etkinlik: Primat Kavgası. Diğer oyunculara meydan oku, sıralamalar kazan ve ödüller al!
 - Optimizasyonlar: Çete Oyunları ve Dr. Hogg’a Saldırı arayüz ve etkinlik özellikleri optimize edildi; eşya düşmeleri, görüntü ve kullanım optimize edildi; birlik yapılandırmaları optimize edildi; belirli Savaşçı becerileri optimize edildi.</v>
      </c>
      <c r="N30" s="45" t="str">
        <f>IFERROR(__xludf.DUMMYFUNCTION("""COMPUTED_VALUE"""),"- Sự kiện mới: Đấu Trường Toàn Năng. Thách thức những người chơi khác, để tăng hạng và kiếm phần thưởng!
 - Tối ưu hóa: Tối ưu hóa giao diện và tính năng sự kiện của hoạt động Bang Hội và Tấn Công Tiến Sĩ Hogg; tối ưu hóa rơi vật phẩm, sử dụng và hiển thị"&amp;" vật phẩm; tối ưu hóa thiết lập binh lính; tối ưu các kỹ năng Chiến Binh.")</f>
        <v>- Sự kiện mới: Đấu Trường Toàn Năng. Thách thức những người chơi khác, để tăng hạng và kiếm phần thưởng!
 - Tối ưu hóa: Tối ưu hóa giao diện và tính năng sự kiện của hoạt động Bang Hội và Tấn Công Tiến Sĩ Hogg; tối ưu hóa rơi vật phẩm, sử dụng và hiển thị vật phẩm; tối ưu hóa thiết lập binh lính; tối ưu các kỹ năng Chiến Binh.</v>
      </c>
      <c r="O30" s="45"/>
      <c r="P30" s="34"/>
      <c r="Q30" s="34"/>
      <c r="R30" s="34"/>
      <c r="S30" s="34"/>
      <c r="T30" s="108"/>
      <c r="U30" s="108"/>
      <c r="V30" s="108"/>
      <c r="W30" s="108"/>
      <c r="X30" s="108"/>
      <c r="Y30" s="108"/>
      <c r="Z30" s="108"/>
    </row>
    <row r="31" ht="72.0" customHeight="1">
      <c r="A31" s="149" t="str">
        <f>IFERROR(__xludf.DUMMYFUNCTION("""COMPUTED_VALUE"""),"0.27.0")</f>
        <v>0.27.0</v>
      </c>
      <c r="B31" s="174" t="str">
        <f>IFERROR(__xludf.DUMMYFUNCTION("""COMPUTED_VALUE"""),"&lt;en-US&gt;
- New events: Prepare to Launch, Planet Wars. Compete with thousands from other servers, are you ready?
- New Fighter: Joey Jester, the Dynamite Genie. A mad Wall Breaker leader, get him in the Planet Wars event.
- Optimizations: new Fighter EXP W"&amp;"eekly Card, unlock packs by occupying Monkey Passes; optimized Challenge Giganto, Challenge Mutant Monkeys, avatar frames, Cyclone Rally, daily quests, and stats for fighting Mutant Alphas, and Gang and Electronic Technologies.
&lt;/en-US&gt;
&lt;fr-FR&gt;
- Nouveaux"&amp;" évènements: Préparation au lancement et Guerre planétaire. Prêts à affronter des milliers de joueurs?
- Nouveau combattant: Joey le bouffon, un chef casse-murailles accro à la dynamite, à débloquer dans l’évènement Guerre planétaire
- Optimisations: cart"&amp;"e hebdo d'EXP combattant; débloquez des packs en occupant des barrages; défis giganto et mutants, avatars, Rallye du cyclone, quêtes quotidiennes et statistiques contre les mutants alpha, et recherche de gang et électronique.
&lt;/fr-FR&gt;
&lt;de-DE&gt;
- Neue Event"&amp;"s: Startvorbereitungen, Planetenkriege. Tritt gegen Tausende von Spielern von anderen Servern an, bist du bereit?
 - Neuer Kämpfer: Joey Jester, der Dynamit-Clown. Ein verrückter Mauerbrecher-Anführer, erhältlich beim Planetenkriege-Event.
 - Optimierunge"&amp;"n: neue Kämpfer-EP-Wochenkarte, Freischaltung von Paketen durch das Besetzen von Affentoren; optimierte Giganto und Mutanten-Herausforderungen, Avatar-Rahmen, Zyklon-Rennen, tägliche Quests und Statistiken für den Kampf gegen Alpha-Mutanten sowie Clan- un"&amp;"d Elektronische Technologie.
&lt;/de-DE&gt;
&lt;pt-BR&gt;
- Novos eventos: Prepare-se para o lançamento, Guerra Interplanetária. Tudo pronto para enfrentar milhares de jogadores de outros servidores?
 - Novo combatente: João Bobo, o Gênio Dinamite. Um líder quebra-mu"&amp;"ros maluco, obtenha-o no evento Guerra Interplanetária.
 - Melhorias: novo cartão semanal de EXP para combatentes, desbloqueie os pacotes ao ocupar passes. Melhoria no Desafio Giganto, Desafio Símios Mutantes, molduras de avatar, Incursão Ciclone, missões"&amp;" diárias, atributos ao lutar contra mutantes alfas e tecnologias eletrônica e da gangue.
&lt;/pt-BR&gt;
&lt;zh-HK&gt;
-新增活動：準備發射，銀河戰爭。千人競技，跨服對戰，您準備好了嗎？
-新增鬥士：爆破戲法師喬伊，怪誕瘋狂的攻城領袖，可以在銀河戰爭中獲得。
-優化內容：新增英雄經驗周卡、新增佔領關卡解鎖禮包、優化挑戰變異巨猿以及挑戰變異猴活動、頭像框、狂飆拉力賽、每日任務的體驗。優化了對抗變異猴首領、幫派科技以及"&amp;"電子科技的數值。 
&lt;/zh-HK&gt;
&lt;id&gt;
- Acara baru: Bersiap untuk Meluncurkan, Perang Planet. Bersaing dengan ribuan server lain, kamu siap?
 - Pejuang Baru: Joey Jester, sang Jin Dinamit. Pemimpin Pembobol Tembok yang gila, bawa dia ke acara Perang Planet.
 - Pengopti"&amp;"malan: Kartu Mingguan EXP Pejuang baru, buka paket dengan menduduki Wilayah Kera; mengoptimalkan Tantangan Giganto, antangan Kera Mutan, bingkai avatar, Reli Topan, misi harian, dan statistik untuk melawan Raja Kera Mutan, serta Teknologi Geng dan Elektro"&amp;"nik.
&lt;/id&gt;
&lt;th&gt;
- กิจกรรมใหม่: เตรียมตัวบุกของสงครามดาวเคราะห์ แข่งขันกับผู้เล่นนับพันจากเซิร์ฟเวอร์อื่น คุณพร้อมหรือยัง?
 - นักสู้คนใหม่: โจอี้ เจสเตอร์ ฉายาปีศาจไดนาไมต์ ผู้นำของเหล่าวอลล์เบรกเกอร์ที่บ้าคลั่งที่คุณสามารถรับได้จากกิจกรรมสงครามดาวเคราะห์
"&amp;" - การปรับปรุง: บัตรค่าประสบการณ์นักสู้รายสัปดาห์ใหม่ ปลดล็อกแพ็กนี้โดยการครอบครองมังกี้พาส; ปรับปรุงประสิทธิภาพของการท้าทายกิกันโต, การท้าทายเหล่าลิงมิวแตนต์, กรอบรูปอวาตาร์, ไซโคลนแรลลี่, เควสต์รายวัน และค่าพลังในการต่อสู้กับมิวแตนต์อัลฟ่า รวมถึงเทคโนโล"&amp;"ยีของแก๊งและเทคโนโลยีอิเล็กทรอนิกส์
&lt;/th&gt;
&lt;es-419&gt;
- Nuevos eventos: Prepárate para el Lanzamiento, Guerras Planetarias. Compite contra miles de otros servidores, ¿estás listo?
 - Nuevo Luchador: Joey el Bromista, el Genio de la Dinamita. Un desquiciado l"&amp;"íder Rompe Paredes, obtenlo en el evento de las Guerras Planetarias.
 - Optimizaciones: nueva tarjeta semanal de EXP del Luchador, desbloquea paquetes ocupando los Pasos de Mono, se optimizó el Reto de Gigantopithecus, Reto de los Monos Mutantes, marcos d"&amp;"e avatar, Rally del Ciclón, misiones diarias y estadísticas para luchar contra los Mutantes Alfas, así como las Tecnologías de Banda y Electrónicas.
&lt;/es-419&gt;
&lt;ru-RU&gt;
- Новые события: Подготовка к запуску, Планетарные войны. Вы готовы к состязанию с тысяч"&amp;"ами игроков с других серверов?
 - Новый герой: Шут Джоуи, Взрывной гений. Безумный предводитель стеноломов, которого можно получить в Планетарных войнах.
 - Оптимизации: новая недельная карта опыта героя; открывайте наборы, занимая обезьяньи проходы; опти"&amp;"мизированы «Вызов Гиганто» и «Вызов обезьянам-мутантам», рамки аватаров, Ураганные гонки, ежедневные задания и параметры для сражений с альфа-мутантами, а также технологии банды и электронная технология.
&lt;/ru-RU&gt;
&lt;tr-TR&gt;
- Yeni etkinlikler: Fırlatmaya Haz"&amp;"ır Ol, Gezegen Savaşları. Diğer sunuculardaki binlerce kişiyle mücadele et, buna hazır mısın?
 - Yeni Savaşçı: Joey Jester, Dinamit Cini. Deli bir Duvar Kırıcı lideri, onu Gezegen Savaşları etkinliğinden elde edebilirsin.
 - Optimizasyonlar: yeni Savaşçı "&amp;"DEN Haftalık Kart, Maymun Geçitlerini işgal ederek paketlerin kilidini aç; Giganto Meydan Okuması, Mutan Maymunlar Meydan Okuması, avatar çerçeveleri, Tufan Toplu Saldırısı, günlük maceralar ve Mutant Alfalarla savaşma özellikleri ile Çete ve Elektronik T"&amp;"eknolojiler optimize edildi.
&lt;/tr-TR&gt;
&lt;vi&gt;
- Sự kiện mới: Chuẩn Bị Phóng, Chiến Tranh Hành Tinh. Bạn đã sẵn sàng cạnh tranh với hàng ngàn máy chủ khác chưa?
 - Chiến Binh mới: Joey Jester, Thần Thuốc Nổ. Một thủ lĩnh của Lính Phá Thành điên cuồng, hãy nhậ"&amp;"n anh ta trong sự kiện Chiến Tranh Hành Tinh.
 - Tối ưu hóa: Thẻ EXP Chiến Binh mới hàng tuần, mở khóa các gói bằng cách chiếm các Cửa Ải Khỉ; tối ưu hóa Thử Thách Vượn Khổng Lồ, Thử Thách Khỉ Đột Biến, khung ảnh đại diện, Tập Hợp Lốc Xoáy, nhiệm vụ hàng "&amp;"ngày và các chỉ số chiến đấu với Khỉ Đầu Đàn, các Công Nghệ Bang Hội và Điện Tử.
&lt;/vi&gt;
")</f>
        <v>&lt;en-US&gt;
- New events: Prepare to Launch, Planet Wars. Compete with thousands from other servers, are you ready?
- New Fighter: Joey Jester, the Dynamite Genie. A mad Wall Breaker leader, get him in the Planet Wars event.
- Optimizations: new Fighter EXP Weekly Card, unlock packs by occupying Monkey Passes; optimized Challenge Giganto, Challenge Mutant Monkeys, avatar frames, Cyclone Rally, daily quests, and stats for fighting Mutant Alphas, and Gang and Electronic Technologies.
&lt;/en-US&gt;
&lt;fr-FR&gt;
- Nouveaux évènements: Préparation au lancement et Guerre planétaire. Prêts à affronter des milliers de joueurs?
- Nouveau combattant: Joey le bouffon, un chef casse-murailles accro à la dynamite, à débloquer dans l’évènement Guerre planétaire
- Optimisations: carte hebdo d'EXP combattant; débloquez des packs en occupant des barrages; défis giganto et mutants, avatars, Rallye du cyclone, quêtes quotidiennes et statistiques contre les mutants alpha, et recherche de gang et électronique.
&lt;/fr-FR&gt;
&lt;de-DE&gt;
- Neue Events: Startvorbereitungen, Planetenkriege. Tritt gegen Tausende von Spielern von anderen Servern an, bist du bereit?
 - Neuer Kämpfer: Joey Jester, der Dynamit-Clown. Ein verrückter Mauerbrecher-Anführer, erhältlich beim Planetenkriege-Event.
 - Optimierungen: neue Kämpfer-EP-Wochenkarte, Freischaltung von Paketen durch das Besetzen von Affentoren; optimierte Giganto und Mutanten-Herausforderungen, Avatar-Rahmen, Zyklon-Rennen, tägliche Quests und Statistiken für den Kampf gegen Alpha-Mutanten sowie Clan- und Elektronische Technologie.
&lt;/de-DE&gt;
&lt;pt-BR&gt;
- Novos eventos: Prepare-se para o lançamento, Guerra Interplanetária. Tudo pronto para enfrentar milhares de jogadores de outros servidores?
 - Novo combatente: João Bobo, o Gênio Dinamite. Um líder quebra-muros maluco, obtenha-o no evento Guerra Interplanetária.
 - Melhorias: novo cartão semanal de EXP para combatentes, desbloqueie os pacotes ao ocupar passes. Melhoria no Desafio Giganto, Desafio Símios Mutantes, molduras de avatar, Incursão Ciclone, missões diárias, atributos ao lutar contra mutantes alfas e tecnologias eletrônica e da gangue.
&lt;/pt-BR&gt;
&lt;zh-HK&gt;
-新增活動：準備發射，銀河戰爭。千人競技，跨服對戰，您準備好了嗎？
-新增鬥士：爆破戲法師喬伊，怪誕瘋狂的攻城領袖，可以在銀河戰爭中獲得。
-優化內容：新增英雄經驗周卡、新增佔領關卡解鎖禮包、優化挑戰變異巨猿以及挑戰變異猴活動、頭像框、狂飆拉力賽、每日任務的體驗。優化了對抗變異猴首領、幫派科技以及電子科技的數值。 
&lt;/zh-HK&gt;
&lt;id&gt;
- Acara baru: Bersiap untuk Meluncurkan, Perang Planet. Bersaing dengan ribuan server lain, kamu siap?
 - Pejuang Baru: Joey Jester, sang Jin Dinamit. Pemimpin Pembobol Tembok yang gila, bawa dia ke acara Perang Planet.
 - Pengoptimalan: Kartu Mingguan EXP Pejuang baru, buka paket dengan menduduki Wilayah Kera; mengoptimalkan Tantangan Giganto, antangan Kera Mutan, bingkai avatar, Reli Topan, misi harian, dan statistik untuk melawan Raja Kera Mutan, serta Teknologi Geng dan Elektronik.
&lt;/id&gt;
&lt;th&gt;
- กิจกรรมใหม่: เตรียมตัวบุกของสงครามดาวเคราะห์ แข่งขันกับผู้เล่นนับพันจากเซิร์ฟเวอร์อื่น คุณพร้อมหรือยัง?
 - นักสู้คนใหม่: โจอี้ เจสเตอร์ ฉายาปีศาจไดนาไมต์ ผู้นำของเหล่าวอลล์เบรกเกอร์ที่บ้าคลั่งที่คุณสามารถรับได้จากกิจกรรมสงครามดาวเคราะห์
 - การปรับปรุง: บัตรค่าประสบการณ์นักสู้รายสัปดาห์ใหม่ ปลดล็อกแพ็กนี้โดยการครอบครองมังกี้พาส; ปรับปรุงประสิทธิภาพของการท้าทายกิกันโต, การท้าทายเหล่าลิงมิวแตนต์, กรอบรูปอวาตาร์, ไซโคลนแรลลี่, เควสต์รายวัน และค่าพลังในการต่อสู้กับมิวแตนต์อัลฟ่า รวมถึงเทคโนโลยีของแก๊งและเทคโนโลยีอิเล็กทรอนิกส์
&lt;/th&gt;
&lt;es-419&gt;
- Nuevos eventos: Prepárate para el Lanzamiento, Guerras Planetarias. Compite contra miles de otros servidores, ¿estás listo?
 - Nuevo Luchador: Joey el Bromista, el Genio de la Dinamita. Un desquiciado líder Rompe Paredes, obtenlo en el evento de las Guerras Planetarias.
 - Optimizaciones: nueva tarjeta semanal de EXP del Luchador, desbloquea paquetes ocupando los Pasos de Mono, se optimizó el Reto de Gigantopithecus, Reto de los Monos Mutantes, marcos de avatar, Rally del Ciclón, misiones diarias y estadísticas para luchar contra los Mutantes Alfas, así como las Tecnologías de Banda y Electrónicas.
&lt;/es-419&gt;
&lt;ru-RU&gt;
- Новые события: Подготовка к запуску, Планетарные войны. Вы готовы к состязанию с тысячами игроков с других серверов?
 - Новый герой: Шут Джоуи, Взрывной гений. Безумный предводитель стеноломов, которого можно получить в Планетарных войнах.
 - Оптимизации: новая недельная карта опыта героя; открывайте наборы, занимая обезьяньи проходы; оптимизированы «Вызов Гиганто» и «Вызов обезьянам-мутантам», рамки аватаров, Ураганные гонки, ежедневные задания и параметры для сражений с альфа-мутантами, а также технологии банды и электронная технология.
&lt;/ru-RU&gt;
&lt;tr-TR&gt;
- Yeni etkinlikler: Fırlatmaya Hazır Ol, Gezegen Savaşları. Diğer sunuculardaki binlerce kişiyle mücadele et, buna hazır mısın?
 - Yeni Savaşçı: Joey Jester, Dinamit Cini. Deli bir Duvar Kırıcı lideri, onu Gezegen Savaşları etkinliğinden elde edebilirsin.
 - Optimizasyonlar: yeni Savaşçı DEN Haftalık Kart, Maymun Geçitlerini işgal ederek paketlerin kilidini aç; Giganto Meydan Okuması, Mutan Maymunlar Meydan Okuması, avatar çerçeveleri, Tufan Toplu Saldırısı, günlük maceralar ve Mutant Alfalarla savaşma özellikleri ile Çete ve Elektronik Teknolojiler optimize edildi.
&lt;/tr-TR&gt;
&lt;vi&gt;
- Sự kiện mới: Chuẩn Bị Phóng, Chiến Tranh Hành Tinh. Bạn đã sẵn sàng cạnh tranh với hàng ngàn máy chủ khác chưa?
 - Chiến Binh mới: Joey Jester, Thần Thuốc Nổ. Một thủ lĩnh của Lính Phá Thành điên cuồng, hãy nhận anh ta trong sự kiện Chiến Tranh Hành Tinh.
 - Tối ưu hóa: Thẻ EXP Chiến Binh mới hàng tuần, mở khóa các gói bằng cách chiếm các Cửa Ải Khỉ; tối ưu hóa Thử Thách Vượn Khổng Lồ, Thử Thách Khỉ Đột Biến, khung ảnh đại diện, Tập Hợp Lốc Xoáy, nhiệm vụ hàng ngày và các chỉ số chiến đấu với Khỉ Đầu Đàn, các Công Nghệ Bang Hội và Điện Tử.
&lt;/vi&gt;
</v>
      </c>
      <c r="C31" s="44" t="str">
        <f>IFERROR(__xludf.DUMMYFUNCTION("""COMPUTED_VALUE"""),"-新增活动：准备发射，银河战争。千人竞技，跨服对战，您准备好了吗？
-新增斗士：爆破戏法师乔伊，怪诞疯狂的攻城领袖，可以在银河战争中获得。
-优化内容：新增英雄经验周卡、新增占领关卡解锁礼包、优化挑战变异巨猿以及挑战变异猴活动、头像框、狂飙拉力赛、每日任务的体验。优化了对抗变异猴首领、帮派科技以及电子科技的数值。")</f>
        <v>-新增活动：准备发射，银河战争。千人竞技，跨服对战，您准备好了吗？
-新增斗士：爆破戏法师乔伊，怪诞疯狂的攻城领袖，可以在银河战争中获得。
-优化内容：新增英雄经验周卡、新增占领关卡解锁礼包、优化挑战变异巨猿以及挑战变异猴活动、头像框、狂飙拉力赛、每日任务的体验。优化了对抗变异猴首领、帮派科技以及电子科技的数值。</v>
      </c>
      <c r="D31" s="159" t="str">
        <f>IFERROR(__xludf.DUMMYFUNCTION("""COMPUTED_VALUE"""),"- New events: Prepare to Launch, Planet Wars. Compete with thousands from other servers, are you ready?
- New Fighter: Joey Jester, the Dynamite Genie. A mad Wall Breaker leader, get him in the Planet Wars event.
- Optimizations: new Fighter EXP Weekly Ca"&amp;"rd, unlock packs by occupying Monkey Passes; optimized Challenge Giganto, Challenge Mutant Monkeys, avatar frames, Cyclone Rally, daily quests, and stats for fighting Mutant Alphas, and Gang and Electronic Technologies.")</f>
        <v>- New events: Prepare to Launch, Planet Wars. Compete with thousands from other servers, are you ready?
- New Fighter: Joey Jester, the Dynamite Genie. A mad Wall Breaker leader, get him in the Planet Wars event.
- Optimizations: new Fighter EXP Weekly Card, unlock packs by occupying Monkey Passes; optimized Challenge Giganto, Challenge Mutant Monkeys, avatar frames, Cyclone Rally, daily quests, and stats for fighting Mutant Alphas, and Gang and Electronic Technologies.</v>
      </c>
      <c r="E31" s="159" t="str">
        <f>IFERROR(__xludf.DUMMYFUNCTION("""COMPUTED_VALUE"""),"- Nouveaux évènements: Préparation au lancement et Guerre planétaire. Prêts à affronter des milliers de joueurs?
- Nouveau combattant: Joey le bouffon, un chef casse-murailles accro à la dynamite, à débloquer dans l’évènement Guerre planétaire
- Optimisat"&amp;"ions: carte hebdo d'EXP combattant; débloquez des packs en occupant des barrages; défis giganto et mutants, avatars, Rallye du cyclone, quêtes quotidiennes et statistiques contre les mutants alpha, et recherche de gang et électronique.")</f>
        <v>- Nouveaux évènements: Préparation au lancement et Guerre planétaire. Prêts à affronter des milliers de joueurs?
- Nouveau combattant: Joey le bouffon, un chef casse-murailles accro à la dynamite, à débloquer dans l’évènement Guerre planétaire
- Optimisations: carte hebdo d'EXP combattant; débloquez des packs en occupant des barrages; défis giganto et mutants, avatars, Rallye du cyclone, quêtes quotidiennes et statistiques contre les mutants alpha, et recherche de gang et électronique.</v>
      </c>
      <c r="F31" s="159" t="str">
        <f>IFERROR(__xludf.DUMMYFUNCTION("""COMPUTED_VALUE"""),"- Neue Events: Startvorbereitungen, Planetenkriege. Tritt gegen Tausende von Spielern von anderen Servern an, bist du bereit?
 - Neuer Kämpfer: Joey Jester, der Dynamit-Clown. Ein verrückter Mauerbrecher-Anführer, erhältlich beim Planetenkriege-Event.
 - "&amp;"Optimierungen: neue Kämpfer-EP-Wochenkarte, Freischaltung von Paketen durch das Besetzen von Affentoren; optimierte Giganto und Mutanten-Herausforderungen, Avatar-Rahmen, Zyklon-Rennen, tägliche Quests und Statistiken für den Kampf gegen Alpha-Mutanten so"&amp;"wie Clan- und Elektronische Technologie.")</f>
        <v>- Neue Events: Startvorbereitungen, Planetenkriege. Tritt gegen Tausende von Spielern von anderen Servern an, bist du bereit?
 - Neuer Kämpfer: Joey Jester, der Dynamit-Clown. Ein verrückter Mauerbrecher-Anführer, erhältlich beim Planetenkriege-Event.
 - Optimierungen: neue Kämpfer-EP-Wochenkarte, Freischaltung von Paketen durch das Besetzen von Affentoren; optimierte Giganto und Mutanten-Herausforderungen, Avatar-Rahmen, Zyklon-Rennen, tägliche Quests und Statistiken für den Kampf gegen Alpha-Mutanten sowie Clan- und Elektronische Technologie.</v>
      </c>
      <c r="G31" s="159" t="str">
        <f>IFERROR(__xludf.DUMMYFUNCTION("""COMPUTED_VALUE"""),"- Novos eventos: Prepare-se para o lançamento, Guerra Interplanetária. Tudo pronto para enfrentar milhares de jogadores de outros servidores?
 - Novo combatente: João Bobo, o Gênio Dinamite. Um líder quebra-muros maluco, obtenha-o no evento Guerra Interpl"&amp;"anetária.
 - Melhorias: novo cartão semanal de EXP para combatentes, desbloqueie os pacotes ao ocupar passes. Melhoria no Desafio Giganto, Desafio Símios Mutantes, molduras de avatar, Incursão Ciclone, missões diárias, atributos ao lutar contra mutantes a"&amp;"lfas e tecnologias eletrônica e da gangue.")</f>
        <v>- Novos eventos: Prepare-se para o lançamento, Guerra Interplanetária. Tudo pronto para enfrentar milhares de jogadores de outros servidores?
 - Novo combatente: João Bobo, o Gênio Dinamite. Um líder quebra-muros maluco, obtenha-o no evento Guerra Interplanetária.
 - Melhorias: novo cartão semanal de EXP para combatentes, desbloqueie os pacotes ao ocupar passes. Melhoria no Desafio Giganto, Desafio Símios Mutantes, molduras de avatar, Incursão Ciclone, missões diárias, atributos ao lutar contra mutantes alfas e tecnologias eletrônica e da gangue.</v>
      </c>
      <c r="H31" s="159" t="str">
        <f>IFERROR(__xludf.DUMMYFUNCTION("""COMPUTED_VALUE"""),"-新增活動：準備發射，銀河戰爭。千人競技，跨服對戰，您準備好了嗎？
-新增鬥士：爆破戲法師喬伊，怪誕瘋狂的攻城領袖，可以在銀河戰爭中獲得。
-優化內容：新增英雄經驗周卡、新增佔領關卡解鎖禮包、優化挑戰變異巨猿以及挑戰變異猴活動、頭像框、狂飆拉力賽、每日任務的體驗。優化了對抗變異猴首領、幫派科技以及電子科技的數值。 ")</f>
        <v>-新增活動：準備發射，銀河戰爭。千人競技，跨服對戰，您準備好了嗎？
-新增鬥士：爆破戲法師喬伊，怪誕瘋狂的攻城領袖，可以在銀河戰爭中獲得。
-優化內容：新增英雄經驗周卡、新增佔領關卡解鎖禮包、優化挑戰變異巨猿以及挑戰變異猴活動、頭像框、狂飆拉力賽、每日任務的體驗。優化了對抗變異猴首領、幫派科技以及電子科技的數值。 </v>
      </c>
      <c r="I31" s="159" t="str">
        <f>IFERROR(__xludf.DUMMYFUNCTION("""COMPUTED_VALUE"""),"- Acara baru: Bersiap untuk Meluncurkan, Perang Planet. Bersaing dengan ribuan server lain, kamu siap?
 - Pejuang Baru: Joey Jester, sang Jin Dinamit. Pemimpin Pembobol Tembok yang gila, bawa dia ke acara Perang Planet.
 - Pengoptimalan: Kartu Mingguan EX"&amp;"P Pejuang baru, buka paket dengan menduduki Wilayah Kera; mengoptimalkan Tantangan Giganto, antangan Kera Mutan, bingkai avatar, Reli Topan, misi harian, dan statistik untuk melawan Raja Kera Mutan, serta Teknologi Geng dan Elektronik.")</f>
        <v>- Acara baru: Bersiap untuk Meluncurkan, Perang Planet. Bersaing dengan ribuan server lain, kamu siap?
 - Pejuang Baru: Joey Jester, sang Jin Dinamit. Pemimpin Pembobol Tembok yang gila, bawa dia ke acara Perang Planet.
 - Pengoptimalan: Kartu Mingguan EXP Pejuang baru, buka paket dengan menduduki Wilayah Kera; mengoptimalkan Tantangan Giganto, antangan Kera Mutan, bingkai avatar, Reli Topan, misi harian, dan statistik untuk melawan Raja Kera Mutan, serta Teknologi Geng dan Elektronik.</v>
      </c>
      <c r="J31" s="159" t="str">
        <f>IFERROR(__xludf.DUMMYFUNCTION("""COMPUTED_VALUE"""),"- กิจกรรมใหม่: เตรียมตัวบุกของสงครามดาวเคราะห์ แข่งขันกับผู้เล่นนับพันจากเซิร์ฟเวอร์อื่น คุณพร้อมหรือยัง?
 - นักสู้คนใหม่: โจอี้ เจสเตอร์ ฉายาปีศาจไดนาไมต์ ผู้นำของเหล่าวอลล์เบรกเกอร์ที่บ้าคลั่งที่คุณสามารถรับได้จากกิจกรรมสงครามดาวเคราะห์
 - การปรับปรุง: "&amp;"บัตรค่าประสบการณ์นักสู้รายสัปดาห์ใหม่ ปลดล็อกแพ็กนี้โดยการครอบครองมังกี้พาส; ปรับปรุงประสิทธิภาพของการท้าทายกิกันโต, การท้าทายเหล่าลิงมิวแตนต์, กรอบรูปอวาตาร์, ไซโคลนแรลลี่, เควสต์รายวัน และค่าพลังในการต่อสู้กับมิวแตนต์อัลฟ่า รวมถึงเทคโนโลยีของแก๊งและเทคโ"&amp;"นโลยีอิเล็กทรอนิกส์")</f>
        <v>- กิจกรรมใหม่: เตรียมตัวบุกของสงครามดาวเคราะห์ แข่งขันกับผู้เล่นนับพันจากเซิร์ฟเวอร์อื่น คุณพร้อมหรือยัง?
 - นักสู้คนใหม่: โจอี้ เจสเตอร์ ฉายาปีศาจไดนาไมต์ ผู้นำของเหล่าวอลล์เบรกเกอร์ที่บ้าคลั่งที่คุณสามารถรับได้จากกิจกรรมสงครามดาวเคราะห์
 - การปรับปรุง: บัตรค่าประสบการณ์นักสู้รายสัปดาห์ใหม่ ปลดล็อกแพ็กนี้โดยการครอบครองมังกี้พาส; ปรับปรุงประสิทธิภาพของการท้าทายกิกันโต, การท้าทายเหล่าลิงมิวแตนต์, กรอบรูปอวาตาร์, ไซโคลนแรลลี่, เควสต์รายวัน และค่าพลังในการต่อสู้กับมิวแตนต์อัลฟ่า รวมถึงเทคโนโลยีของแก๊งและเทคโนโลยีอิเล็กทรอนิกส์</v>
      </c>
      <c r="K31" s="159" t="str">
        <f>IFERROR(__xludf.DUMMYFUNCTION("""COMPUTED_VALUE"""),"- Nuevos eventos: Prepárate para el Lanzamiento, Guerras Planetarias. Compite contra miles de otros servidores, ¿estás listo?
 - Nuevo Luchador: Joey el Bromista, el Genio de la Dinamita. Un desquiciado líder Rompe Paredes, obtenlo en el evento de las Gue"&amp;"rras Planetarias.
 - Optimizaciones: nueva tarjeta semanal de EXP del Luchador, desbloquea paquetes ocupando los Pasos de Mono, se optimizó el Reto de Gigantopithecus, Reto de los Monos Mutantes, marcos de avatar, Rally del Ciclón, misiones diarias y esta"&amp;"dísticas para luchar contra los Mutantes Alfas, así como las Tecnologías de Banda y Electrónicas.")</f>
        <v>- Nuevos eventos: Prepárate para el Lanzamiento, Guerras Planetarias. Compite contra miles de otros servidores, ¿estás listo?
 - Nuevo Luchador: Joey el Bromista, el Genio de la Dinamita. Un desquiciado líder Rompe Paredes, obtenlo en el evento de las Guerras Planetarias.
 - Optimizaciones: nueva tarjeta semanal de EXP del Luchador, desbloquea paquetes ocupando los Pasos de Mono, se optimizó el Reto de Gigantopithecus, Reto de los Monos Mutantes, marcos de avatar, Rally del Ciclón, misiones diarias y estadísticas para luchar contra los Mutantes Alfas, así como las Tecnologías de Banda y Electrónicas.</v>
      </c>
      <c r="L31" s="159" t="str">
        <f>IFERROR(__xludf.DUMMYFUNCTION("""COMPUTED_VALUE"""),"- Новые события: Подготовка к запуску, Планетарные войны. Вы готовы к состязанию с тысячами игроков с других серверов?
 - Новый герой: Шут Джоуи, Взрывной гений. Безумный предводитель стеноломов, которого можно получить в Планетарных войнах.
 - Оптимизаци"&amp;"и: новая недельная карта опыта героя; открывайте наборы, занимая обезьяньи проходы; оптимизированы «Вызов Гиганто» и «Вызов обезьянам-мутантам», рамки аватаров, Ураганные гонки, ежедневные задания и параметры для сражений с альфа-мутантами, а также технол"&amp;"огии банды и электронная технология.")</f>
        <v>- Новые события: Подготовка к запуску, Планетарные войны. Вы готовы к состязанию с тысячами игроков с других серверов?
 - Новый герой: Шут Джоуи, Взрывной гений. Безумный предводитель стеноломов, которого можно получить в Планетарных войнах.
 - Оптимизации: новая недельная карта опыта героя; открывайте наборы, занимая обезьяньи проходы; оптимизированы «Вызов Гиганто» и «Вызов обезьянам-мутантам», рамки аватаров, Ураганные гонки, ежедневные задания и параметры для сражений с альфа-мутантами, а также технологии банды и электронная технология.</v>
      </c>
      <c r="M31" s="159" t="str">
        <f>IFERROR(__xludf.DUMMYFUNCTION("""COMPUTED_VALUE"""),"- Yeni etkinlikler: Fırlatmaya Hazır Ol, Gezegen Savaşları. Diğer sunuculardaki binlerce kişiyle mücadele et, buna hazır mısın?
 - Yeni Savaşçı: Joey Jester, Dinamit Cini. Deli bir Duvar Kırıcı lideri, onu Gezegen Savaşları etkinliğinden elde edebilirsin."&amp;"
 - Optimizasyonlar: yeni Savaşçı DEN Haftalık Kart, Maymun Geçitlerini işgal ederek paketlerin kilidini aç; Giganto Meydan Okuması, Mutan Maymunlar Meydan Okuması, avatar çerçeveleri, Tufan Toplu Saldırısı, günlük maceralar ve Mutant Alfalarla savaşma öz"&amp;"ellikleri ile Çete ve Elektronik Teknolojiler optimize edildi.")</f>
        <v>- Yeni etkinlikler: Fırlatmaya Hazır Ol, Gezegen Savaşları. Diğer sunuculardaki binlerce kişiyle mücadele et, buna hazır mısın?
 - Yeni Savaşçı: Joey Jester, Dinamit Cini. Deli bir Duvar Kırıcı lideri, onu Gezegen Savaşları etkinliğinden elde edebilirsin.
 - Optimizasyonlar: yeni Savaşçı DEN Haftalık Kart, Maymun Geçitlerini işgal ederek paketlerin kilidini aç; Giganto Meydan Okuması, Mutan Maymunlar Meydan Okuması, avatar çerçeveleri, Tufan Toplu Saldırısı, günlük maceralar ve Mutant Alfalarla savaşma özellikleri ile Çete ve Elektronik Teknolojiler optimize edildi.</v>
      </c>
      <c r="N31" s="45" t="str">
        <f>IFERROR(__xludf.DUMMYFUNCTION("""COMPUTED_VALUE"""),"- Sự kiện mới: Chuẩn Bị Phóng, Chiến Tranh Hành Tinh. Bạn đã sẵn sàng cạnh tranh với hàng ngàn máy chủ khác chưa?
 - Chiến Binh mới: Joey Jester, Thần Thuốc Nổ. Một thủ lĩnh của Lính Phá Thành điên cuồng, hãy nhận anh ta trong sự kiện Chiến Tranh Hành Tin"&amp;"h.
 - Tối ưu hóa: Thẻ EXP Chiến Binh mới hàng tuần, mở khóa các gói bằng cách chiếm các Cửa Ải Khỉ; tối ưu hóa Thử Thách Vượn Khổng Lồ, Thử Thách Khỉ Đột Biến, khung ảnh đại diện, Tập Hợp Lốc Xoáy, nhiệm vụ hàng ngày và các chỉ số chiến đấu với Khỉ Đầu Đà"&amp;"n, các Công Nghệ Bang Hội và Điện Tử.")</f>
        <v>- Sự kiện mới: Chuẩn Bị Phóng, Chiến Tranh Hành Tinh. Bạn đã sẵn sàng cạnh tranh với hàng ngàn máy chủ khác chưa?
 - Chiến Binh mới: Joey Jester, Thần Thuốc Nổ. Một thủ lĩnh của Lính Phá Thành điên cuồng, hãy nhận anh ta trong sự kiện Chiến Tranh Hành Tinh.
 - Tối ưu hóa: Thẻ EXP Chiến Binh mới hàng tuần, mở khóa các gói bằng cách chiếm các Cửa Ải Khỉ; tối ưu hóa Thử Thách Vượn Khổng Lồ, Thử Thách Khỉ Đột Biến, khung ảnh đại diện, Tập Hợp Lốc Xoáy, nhiệm vụ hàng ngày và các chỉ số chiến đấu với Khỉ Đầu Đàn, các Công Nghệ Bang Hội và Điện Tử.</v>
      </c>
      <c r="O31" s="45"/>
      <c r="P31" s="34"/>
      <c r="Q31" s="34"/>
      <c r="R31" s="34"/>
      <c r="S31" s="34"/>
      <c r="T31" s="108"/>
      <c r="U31" s="108"/>
      <c r="V31" s="108"/>
      <c r="W31" s="108"/>
      <c r="X31" s="108"/>
      <c r="Y31" s="108"/>
      <c r="Z31" s="108"/>
    </row>
    <row r="32" ht="72.0" customHeight="1">
      <c r="A32" s="149" t="str">
        <f>IFERROR(__xludf.DUMMYFUNCTION("""COMPUTED_VALUE"""),"0.28.0")</f>
        <v>0.28.0</v>
      </c>
      <c r="B32" s="174" t="str">
        <f>IFERROR(__xludf.DUMMYFUNCTION("""COMPUTED_VALUE"""),"&lt;en-US&gt;
- New features: Auto Join rallies, new opening animation and story, Fighter selection added to Daily Limited Pack.
- New Fighters: Remy, master gatherer obsessed with cooking. Genesis, a quick-shooting heroine. Get them in the Arena!
- New event: "&amp;"Dr. Hogg's Revenge. Work with Clan members to defeat Dr. Hogg and the war machines!
- Optimizations: Development Fund, Legendary Oscar pack, interface displays of Gang Invitation, Gang Territory, Gang Rallies, Clan Honors, and battles on the map.
&lt;/en-US&gt;"&amp;"
&lt;fr-FR&gt;
- Nouvelles fonctionnalités: participation automatique aux raids; nouvelle intro avec histoire et animation; choix du combattant dans les packs quotidiens limités
- Nouveaux combattants: Rémy, passionné de gastronomie. Génésis, as de la gâchette
"&amp;"- Nouvel évènement: Revanche du Dr. Hogg. Avec votre clan, défiez Hogg et ses machines!
- Améliorations: fonds de développement, pack légendaire d'Oscar, affichage des invitations, territoires et raids de gang, honneurs de clan et combats sur la carte
&lt;/f"&amp;"r-FR&gt;
&lt;de-DE&gt;
- Neue Features: Auto-Anschluss-Sammelangriffe, neue Startanimation und Story, Kämpferauswahl im täglichen limitierten Paket.
 - Neue Kämpfer: Remy, der kochende Meistersammler. Genesis, eine schnelle Schützin. Erhältlich in der Arena!
 - Ne"&amp;"ues Event: Dr. Hoggs Rache. Besiege mit deiner Horde Dr. Hogg und die Kriegsmaschinen!
 - Optimiert: Entwicklungsfonds, Legendäres Oscar-Paket, Interface-Anzeige von Clan-Einladungen, Clan-Territorium, Clan-Sammelangriffe, Horden-Ehre und Schlachten.
&lt;/de"&amp;"-DE&gt;
&lt;pt-BR&gt;
- Novas funções: entrada automática em incursões, nova animação de abertura e nova história, adicionada a seleção de combatente no pacote diário limitado.
 - Novos combatentes: Remy, um mestre coletor obcecado pela arte de cozinhar. Gênesis, "&amp;"uma heroína veloz. Obtenha-os na Arena!
 - Novo evento: Vingança de Dr. Hogg. Trabalhe com os membros do clã para derrotar o Dr. Hogg e as máquinas de guerra!
 - Melhorias: fundo de desenvolvimento, pacote do Oscar Lendário, interfaces de convite da gangu"&amp;"e, território da gangue, incursões da gangue, honras do clã e batalhas no mapa.
&lt;/pt-BR&gt;
&lt;zh-HK&gt;
-新增功能：新增自動加入集結、新增開場動畫與劇情、新增每日特惠英雄選擇功能。
-新增鬥士：地獄魔廚雷米，痴迷烹飪的採集大師！荒野鏢客蓋文，除暴安良的火槍女俠！以上鬥士皆可通過擂台抽獎獲得。
-新增活動：霍格博士的複仇，聯合氏族夥伴，戰勝霍格博士與戰爭機器！
-優化內容：優化了成長基金、奧斯卡禮包、幫派邀請、幫派領土"&amp;"、幫派集結、軍功系統、大地圖戰鬥的界面體驗。
&lt;/zh-HK&gt;
&lt;id&gt;
- Fitur baru: Gabung Otomatis reli, animasi dan cerita pembuka baru, pilihan Pejuang ditambah ke Paket Terbatas Harian.
 -Pejuang Baru: Remy, master pengumpul yang terobsesi memasak. Genesis, pahlawan wanita penembak c"&amp;"epat. Dapatkan di Arena!
 -Acara baru: Pembalasan Dr. Hogg. Bersatu dengan anggota Klan, kalahkan Dr. Hogg dan mesin perang!
 -Optimasi: Dana Pengembangan, paket Oscar Legendaris, tampilan antarmuka Undangan Geng, Wilayah Geng, Reli Geng, Kehormatan Klan,"&amp;" dan pertempuran di peta"".
&lt;/id&gt;
&lt;th&gt;
- คุณสมบัติใหม่: การเข้าร่วมการยกทัพอัตโนมัติ, แอนิเมชั่นเปิดเกมและคู่มือแนะนำแบบใหม่, เพิ่มการเลือกนักสู้จากแพ็กจำนวนจำกัดรายวัน
 - นักสู้ตัวใหม่: เรมี่ นักเก็บรวบรวมทรัพยากรตัวยงที่หลงใหลในการทำอาหาร และ เจเนซิส ฮี"&amp;"โร่หญิงปืนไวที่ต่อสู้เพื่อสันติภาพ เตรียมตัวไปรับพวกเขาจากที่สนามต่อสู้ได้เลย!
 - กิจกรรมใหม่: การแก้แค้นของดร.ฮ็อกก์ ร่วมแรงกับสมาชิกเผ่าของคุณเพื่อปราบดร.ฮ็อกก์และเหล่าเครื่องจักรสงคราม!
 - การปรับปรุง: กองทุนเพื่อการพัฒนา, แพ็กออสการ์ในตำนาน, การแสดงอิ"&amp;"นเตอร์เฟซของคำเชิญแก๊ง, อาณาเขตแก๊ง, การยกทัพแก๊ง, เกียรติยศของเผ่า และการต่อสู้บนแผนที่
&lt;/th&gt;
&lt;es-419&gt;
Nuevo:
- Características: Auto unirse incursiones, animaciones de apertura e historia, selección Luchador en Paq.Limit.Diario.
- Luchadores: Remy, reco"&amp;"lector obsesionado con la cocina. Génesis, heroína de tiros rápidos. Obténlos en la Arena.
- Evento: Revancha Dr. Hogg. Junto al Clan, derrota al Dr. Hogg y sus máquinas.
- Optimizaciones: Fondo Desarrollo, paquete Legendario Oscar, interface visualizació"&amp;"n, invitaciones Banda, Territorio Banda, Incursiones Banda, Honores Clan y batallas en mapa.
&lt;/es-419&gt;
&lt;ru-RU&gt;
- Новые возможности: автоматическое присоединение к походам, новая анимация и история; в дневной ограниченный набор добавлен выбор героя.
- Новы"&amp;"е герои на арене: искусный сборщик Реми и стремительный стрелок Генезис. Получите их на арене! 
- Новое событие: месть доктора Хогга. Победите доктора Хогга и его военные машины совместно с членами клана!
- Оптимизация: фонд развития, набор «Легендарный О"&amp;"скар» и интерфейс отображения приглашений в банду, территории банды, походов банды, чести клана и сражений на карте.
&lt;/ru-RU&gt;
&lt;tr-TR&gt;
- Yeni özellikler: T. saldırı Oto. Katılım, yeni açılış anim. ve hikâye, Savaşçı seçimi Gün. Sınırlı Pakete eklendi.
 - Y"&amp;"eni Savaşçılar: Remy, yemek yapma meraklısı usta toplayıcı. Genesis, seri atıcı kadın kahraman. Onları Arena’ya çıkar!
 - Yeni etkinlik: Dr. Hogg’un İntikamı. Klan üyelerinle Dr. Hogg ve savaş makinelerini yen!
 - Optimizasyonlar: Geliş. Fonu, Efs. Oscar "&amp;"paketi, Çete Davet., Çete Bölgesi, Çete T. Saldırıları, Klan Onuru ve haritadaki savaş arayüz görünümleri optimize edildi.
&lt;/tr-TR&gt;
&lt;vi&gt;
- Tính năng mới: thêm tự động tham gia tập hợp, hoạt ảnh mở đầu và câu chuyện mới, lựa chọn C.Binh vào Gói G.Hạn H.Ngà"&amp;"y.
 - C.Binh mới: Remy, bậc thầy thu thập ám với việc nấu ăn. Genesis, nữ anh hùng bắn nhanh. Hãy nhận ở Đấu Trường!
 - Sự kiện mới: Phục Thù của T.Sĩ Hogg. Hợp tác với thành viên B.Lạc để đánh bại T.Sĩ Hogg và cỗ máy chiến tranh!
 - Tối ưu: Quỹ Phát Triể"&amp;"n, gói Oscar H.Thoại, giao diện hiển thị của L.Mời B.Hội, L.Thổ B.Lạc, Tập Hợp B.Hội, Vinh Dự B.Lạc, và các trận chiến trên bản đồ.
&lt;/vi&gt;
")</f>
        <v>&lt;en-US&gt;
- New features: Auto Join rallies, new opening animation and story, Fighter selection added to Daily Limited Pack.
- New Fighters: Remy, master gatherer obsessed with cooking. Genesis, a quick-shooting heroine. Get them in the Arena!
- New event: Dr. Hogg's Revenge. Work with Clan members to defeat Dr. Hogg and the war machines!
- Optimizations: Development Fund, Legendary Oscar pack, interface displays of Gang Invitation, Gang Territory, Gang Rallies, Clan Honors, and battles on the map.
&lt;/en-US&gt;
&lt;fr-FR&gt;
- Nouvelles fonctionnalités: participation automatique aux raids; nouvelle intro avec histoire et animation; choix du combattant dans les packs quotidiens limités
- Nouveaux combattants: Rémy, passionné de gastronomie. Génésis, as de la gâchette
- Nouvel évènement: Revanche du Dr. Hogg. Avec votre clan, défiez Hogg et ses machines!
- Améliorations: fonds de développement, pack légendaire d'Oscar, affichage des invitations, territoires et raids de gang, honneurs de clan et combats sur la carte
&lt;/fr-FR&gt;
&lt;de-DE&gt;
- Neue Features: Auto-Anschluss-Sammelangriffe, neue Startanimation und Story, Kämpferauswahl im täglichen limitierten Paket.
 - Neue Kämpfer: Remy, der kochende Meistersammler. Genesis, eine schnelle Schützin. Erhältlich in der Arena!
 - Neues Event: Dr. Hoggs Rache. Besiege mit deiner Horde Dr. Hogg und die Kriegsmaschinen!
 - Optimiert: Entwicklungsfonds, Legendäres Oscar-Paket, Interface-Anzeige von Clan-Einladungen, Clan-Territorium, Clan-Sammelangriffe, Horden-Ehre und Schlachten.
&lt;/de-DE&gt;
&lt;pt-BR&gt;
- Novas funções: entrada automática em incursões, nova animação de abertura e nova história, adicionada a seleção de combatente no pacote diário limitado.
 - Novos combatentes: Remy, um mestre coletor obcecado pela arte de cozinhar. Gênesis, uma heroína veloz. Obtenha-os na Arena!
 - Novo evento: Vingança de Dr. Hogg. Trabalhe com os membros do clã para derrotar o Dr. Hogg e as máquinas de guerra!
 - Melhorias: fundo de desenvolvimento, pacote do Oscar Lendário, interfaces de convite da gangue, território da gangue, incursões da gangue, honras do clã e batalhas no mapa.
&lt;/pt-BR&gt;
&lt;zh-HK&gt;
-新增功能：新增自動加入集結、新增開場動畫與劇情、新增每日特惠英雄選擇功能。
-新增鬥士：地獄魔廚雷米，痴迷烹飪的採集大師！荒野鏢客蓋文，除暴安良的火槍女俠！以上鬥士皆可通過擂台抽獎獲得。
-新增活動：霍格博士的複仇，聯合氏族夥伴，戰勝霍格博士與戰爭機器！
-優化內容：優化了成長基金、奧斯卡禮包、幫派邀請、幫派領土、幫派集結、軍功系統、大地圖戰鬥的界面體驗。
&lt;/zh-HK&gt;
&lt;id&gt;
- Fitur baru: Gabung Otomatis reli, animasi dan cerita pembuka baru, pilihan Pejuang ditambah ke Paket Terbatas Harian.
 -Pejuang Baru: Remy, master pengumpul yang terobsesi memasak. Genesis, pahlawan wanita penembak cepat. Dapatkan di Arena!
 -Acara baru: Pembalasan Dr. Hogg. Bersatu dengan anggota Klan, kalahkan Dr. Hogg dan mesin perang!
 -Optimasi: Dana Pengembangan, paket Oscar Legendaris, tampilan antarmuka Undangan Geng, Wilayah Geng, Reli Geng, Kehormatan Klan, dan pertempuran di peta".
&lt;/id&gt;
&lt;th&gt;
- คุณสมบัติใหม่: การเข้าร่วมการยกทัพอัตโนมัติ, แอนิเมชั่นเปิดเกมและคู่มือแนะนำแบบใหม่, เพิ่มการเลือกนักสู้จากแพ็กจำนวนจำกัดรายวัน
 - นักสู้ตัวใหม่: เรมี่ นักเก็บรวบรวมทรัพยากรตัวยงที่หลงใหลในการทำอาหาร และ เจเนซิส ฮีโร่หญิงปืนไวที่ต่อสู้เพื่อสันติภาพ เตรียมตัวไปรับพวกเขาจากที่สนามต่อสู้ได้เลย!
 - กิจกรรมใหม่: การแก้แค้นของดร.ฮ็อกก์ ร่วมแรงกับสมาชิกเผ่าของคุณเพื่อปราบดร.ฮ็อกก์และเหล่าเครื่องจักรสงคราม!
 - การปรับปรุง: กองทุนเพื่อการพัฒนา, แพ็กออสการ์ในตำนาน, การแสดงอินเตอร์เฟซของคำเชิญแก๊ง, อาณาเขตแก๊ง, การยกทัพแก๊ง, เกียรติยศของเผ่า และการต่อสู้บนแผนที่
&lt;/th&gt;
&lt;es-419&gt;
Nuevo:
- Características: Auto unirse incursiones, animaciones de apertura e historia, selección Luchador en Paq.Limit.Diario.
- Luchadores: Remy, recolector obsesionado con la cocina. Génesis, heroína de tiros rápidos. Obténlos en la Arena.
- Evento: Revancha Dr. Hogg. Junto al Clan, derrota al Dr. Hogg y sus máquinas.
- Optimizaciones: Fondo Desarrollo, paquete Legendario Oscar, interface visualización, invitaciones Banda, Territorio Banda, Incursiones Banda, Honores Clan y batallas en mapa.
&lt;/es-419&gt;
&lt;ru-RU&gt;
- Новые возможности: автоматическое присоединение к походам, новая анимация и история; в дневной ограниченный набор добавлен выбор героя.
- Новые герои на арене: искусный сборщик Реми и стремительный стрелок Генезис. Получите их на арене! 
- Новое событие: месть доктора Хогга. Победите доктора Хогга и его военные машины совместно с членами клана!
- Оптимизация: фонд развития, набор «Легендарный Оскар» и интерфейс отображения приглашений в банду, территории банды, походов банды, чести клана и сражений на карте.
&lt;/ru-RU&gt;
&lt;tr-TR&gt;
- Yeni özellikler: T. saldırı Oto. Katılım, yeni açılış anim. ve hikâye, Savaşçı seçimi Gün. Sınırlı Pakete eklendi.
 - Yeni Savaşçılar: Remy, yemek yapma meraklısı usta toplayıcı. Genesis, seri atıcı kadın kahraman. Onları Arena’ya çıkar!
 - Yeni etkinlik: Dr. Hogg’un İntikamı. Klan üyelerinle Dr. Hogg ve savaş makinelerini yen!
 - Optimizasyonlar: Geliş. Fonu, Efs. Oscar paketi, Çete Davet., Çete Bölgesi, Çete T. Saldırıları, Klan Onuru ve haritadaki savaş arayüz görünümleri optimize edildi.
&lt;/tr-TR&gt;
&lt;vi&gt;
- Tính năng mới: thêm tự động tham gia tập hợp, hoạt ảnh mở đầu và câu chuyện mới, lựa chọn C.Binh vào Gói G.Hạn H.Ngày.
 - C.Binh mới: Remy, bậc thầy thu thập ám với việc nấu ăn. Genesis, nữ anh hùng bắn nhanh. Hãy nhận ở Đấu Trường!
 - Sự kiện mới: Phục Thù của T.Sĩ Hogg. Hợp tác với thành viên B.Lạc để đánh bại T.Sĩ Hogg và cỗ máy chiến tranh!
 - Tối ưu: Quỹ Phát Triển, gói Oscar H.Thoại, giao diện hiển thị của L.Mời B.Hội, L.Thổ B.Lạc, Tập Hợp B.Hội, Vinh Dự B.Lạc, và các trận chiến trên bản đồ.
&lt;/vi&gt;
</v>
      </c>
      <c r="C32" s="44" t="str">
        <f>IFERROR(__xludf.DUMMYFUNCTION("""COMPUTED_VALUE"""),"-新增功能：新增自动加入集结、新增开场动画与剧情、新增每日特惠英雄选择功能。
-新增斗士：地狱魔厨雷米，痴迷烹饪的采集大师！荒野镖客盖文，除暴安良的火枪女侠！以上斗士皆可通过擂台抽奖获得。
-新增活动：霍格博士的复仇，联合氏族伙伴，战胜霍格博士与战争机器！
-优化内容：优化了成长基金、奥斯卡礼包、帮派邀请、帮派领土、帮派集结、军功系统、大地图战斗的界面体验。")</f>
        <v>-新增功能：新增自动加入集结、新增开场动画与剧情、新增每日特惠英雄选择功能。
-新增斗士：地狱魔厨雷米，痴迷烹饪的采集大师！荒野镖客盖文，除暴安良的火枪女侠！以上斗士皆可通过擂台抽奖获得。
-新增活动：霍格博士的复仇，联合氏族伙伴，战胜霍格博士与战争机器！
-优化内容：优化了成长基金、奥斯卡礼包、帮派邀请、帮派领土、帮派集结、军功系统、大地图战斗的界面体验。</v>
      </c>
      <c r="D32" s="159" t="str">
        <f>IFERROR(__xludf.DUMMYFUNCTION("""COMPUTED_VALUE"""),"- New features: Auto Join rallies, new opening animation and story, Fighter selection added to Daily Limited Pack.
- New Fighters: Remy, master gatherer obsessed with cooking. Genesis, a quick-shooting heroine. Get them in the Arena!
- New event: Dr. Hogg"&amp;"'s Revenge. Work with Clan members to defeat Dr. Hogg and the war machines!
- Optimizations: Development Fund, Legendary Oscar pack, interface displays of Gang Invitation, Gang Territory, Gang Rallies, Clan Honors, and battles on the map.")</f>
        <v>- New features: Auto Join rallies, new opening animation and story, Fighter selection added to Daily Limited Pack.
- New Fighters: Remy, master gatherer obsessed with cooking. Genesis, a quick-shooting heroine. Get them in the Arena!
- New event: Dr. Hogg's Revenge. Work with Clan members to defeat Dr. Hogg and the war machines!
- Optimizations: Development Fund, Legendary Oscar pack, interface displays of Gang Invitation, Gang Territory, Gang Rallies, Clan Honors, and battles on the map.</v>
      </c>
      <c r="E32" s="159" t="str">
        <f>IFERROR(__xludf.DUMMYFUNCTION("""COMPUTED_VALUE"""),"- Nouvelles fonctionnalités: participation automatique aux raids; nouvelle intro avec histoire et animation; choix du combattant dans les packs quotidiens limités
- Nouveaux combattants: Rémy, passionné de gastronomie. Génésis, as de la gâchette
- Nouvel "&amp;"évènement: Revanche du Dr. Hogg. Avec votre clan, défiez Hogg et ses machines!
- Améliorations: fonds de développement, pack légendaire d'Oscar, affichage des invitations, territoires et raids de gang, honneurs de clan et combats sur la carte")</f>
        <v>- Nouvelles fonctionnalités: participation automatique aux raids; nouvelle intro avec histoire et animation; choix du combattant dans les packs quotidiens limités
- Nouveaux combattants: Rémy, passionné de gastronomie. Génésis, as de la gâchette
- Nouvel évènement: Revanche du Dr. Hogg. Avec votre clan, défiez Hogg et ses machines!
- Améliorations: fonds de développement, pack légendaire d'Oscar, affichage des invitations, territoires et raids de gang, honneurs de clan et combats sur la carte</v>
      </c>
      <c r="F32" s="159" t="str">
        <f>IFERROR(__xludf.DUMMYFUNCTION("""COMPUTED_VALUE"""),"- Neue Features: Auto-Anschluss-Sammelangriffe, neue Startanimation und Story, Kämpferauswahl im täglichen limitierten Paket.
 - Neue Kämpfer: Remy, der kochende Meistersammler. Genesis, eine schnelle Schützin. Erhältlich in der Arena!
 - Neues Event: Dr."&amp;" Hoggs Rache. Besiege mit deiner Horde Dr. Hogg und die Kriegsmaschinen!
 - Optimiert: Entwicklungsfonds, Legendäres Oscar-Paket, Interface-Anzeige von Clan-Einladungen, Clan-Territorium, Clan-Sammelangriffe, Horden-Ehre und Schlachten.")</f>
        <v>- Neue Features: Auto-Anschluss-Sammelangriffe, neue Startanimation und Story, Kämpferauswahl im täglichen limitierten Paket.
 - Neue Kämpfer: Remy, der kochende Meistersammler. Genesis, eine schnelle Schützin. Erhältlich in der Arena!
 - Neues Event: Dr. Hoggs Rache. Besiege mit deiner Horde Dr. Hogg und die Kriegsmaschinen!
 - Optimiert: Entwicklungsfonds, Legendäres Oscar-Paket, Interface-Anzeige von Clan-Einladungen, Clan-Territorium, Clan-Sammelangriffe, Horden-Ehre und Schlachten.</v>
      </c>
      <c r="G32" s="159" t="str">
        <f>IFERROR(__xludf.DUMMYFUNCTION("""COMPUTED_VALUE"""),"- Novas funções: entrada automática em incursões, nova animação de abertura e nova história, adicionada a seleção de combatente no pacote diário limitado.
 - Novos combatentes: Remy, um mestre coletor obcecado pela arte de cozinhar. Gênesis, uma heroína v"&amp;"eloz. Obtenha-os na Arena!
 - Novo evento: Vingança de Dr. Hogg. Trabalhe com os membros do clã para derrotar o Dr. Hogg e as máquinas de guerra!
 - Melhorias: fundo de desenvolvimento, pacote do Oscar Lendário, interfaces de convite da gangue, território"&amp;" da gangue, incursões da gangue, honras do clã e batalhas no mapa.")</f>
        <v>- Novas funções: entrada automática em incursões, nova animação de abertura e nova história, adicionada a seleção de combatente no pacote diário limitado.
 - Novos combatentes: Remy, um mestre coletor obcecado pela arte de cozinhar. Gênesis, uma heroína veloz. Obtenha-os na Arena!
 - Novo evento: Vingança de Dr. Hogg. Trabalhe com os membros do clã para derrotar o Dr. Hogg e as máquinas de guerra!
 - Melhorias: fundo de desenvolvimento, pacote do Oscar Lendário, interfaces de convite da gangue, território da gangue, incursões da gangue, honras do clã e batalhas no mapa.</v>
      </c>
      <c r="H32" s="159" t="str">
        <f>IFERROR(__xludf.DUMMYFUNCTION("""COMPUTED_VALUE"""),"-新增功能：新增自動加入集結、新增開場動畫與劇情、新增每日特惠英雄選擇功能。
-新增鬥士：地獄魔廚雷米，痴迷烹飪的採集大師！荒野鏢客蓋文，除暴安良的火槍女俠！以上鬥士皆可通過擂台抽獎獲得。
-新增活動：霍格博士的複仇，聯合氏族夥伴，戰勝霍格博士與戰爭機器！
-優化內容：優化了成長基金、奧斯卡禮包、幫派邀請、幫派領土、幫派集結、軍功系統、大地圖戰鬥的界面體驗。")</f>
        <v>-新增功能：新增自動加入集結、新增開場動畫與劇情、新增每日特惠英雄選擇功能。
-新增鬥士：地獄魔廚雷米，痴迷烹飪的採集大師！荒野鏢客蓋文，除暴安良的火槍女俠！以上鬥士皆可通過擂台抽獎獲得。
-新增活動：霍格博士的複仇，聯合氏族夥伴，戰勝霍格博士與戰爭機器！
-優化內容：優化了成長基金、奧斯卡禮包、幫派邀請、幫派領土、幫派集結、軍功系統、大地圖戰鬥的界面體驗。</v>
      </c>
      <c r="I32" s="159" t="str">
        <f>IFERROR(__xludf.DUMMYFUNCTION("""COMPUTED_VALUE"""),"- Fitur baru: Gabung Otomatis reli, animasi dan cerita pembuka baru, pilihan Pejuang ditambah ke Paket Terbatas Harian.
 -Pejuang Baru: Remy, master pengumpul yang terobsesi memasak. Genesis, pahlawan wanita penembak cepat. Dapatkan di Arena!
 -Acara baru"&amp;": Pembalasan Dr. Hogg. Bersatu dengan anggota Klan, kalahkan Dr. Hogg dan mesin perang!
 -Optimasi: Dana Pengembangan, paket Oscar Legendaris, tampilan antarmuka Undangan Geng, Wilayah Geng, Reli Geng, Kehormatan Klan, dan pertempuran di peta"".")</f>
        <v>- Fitur baru: Gabung Otomatis reli, animasi dan cerita pembuka baru, pilihan Pejuang ditambah ke Paket Terbatas Harian.
 -Pejuang Baru: Remy, master pengumpul yang terobsesi memasak. Genesis, pahlawan wanita penembak cepat. Dapatkan di Arena!
 -Acara baru: Pembalasan Dr. Hogg. Bersatu dengan anggota Klan, kalahkan Dr. Hogg dan mesin perang!
 -Optimasi: Dana Pengembangan, paket Oscar Legendaris, tampilan antarmuka Undangan Geng, Wilayah Geng, Reli Geng, Kehormatan Klan, dan pertempuran di peta".</v>
      </c>
      <c r="J32" s="159" t="str">
        <f>IFERROR(__xludf.DUMMYFUNCTION("""COMPUTED_VALUE"""),"- คุณสมบัติใหม่: การเข้าร่วมการยกทัพอัตโนมัติ, แอนิเมชั่นเปิดเกมและคู่มือแนะนำแบบใหม่, เพิ่มการเลือกนักสู้จากแพ็กจำนวนจำกัดรายวัน
 - นักสู้ตัวใหม่: เรมี่ นักเก็บรวบรวมทรัพยากรตัวยงที่หลงใหลในการทำอาหาร และ เจเนซิส ฮีโร่หญิงปืนไวที่ต่อสู้เพื่อสันติภาพ เตรี"&amp;"ยมตัวไปรับพวกเขาจากที่สนามต่อสู้ได้เลย!
 - กิจกรรมใหม่: การแก้แค้นของดร.ฮ็อกก์ ร่วมแรงกับสมาชิกเผ่าของคุณเพื่อปราบดร.ฮ็อกก์และเหล่าเครื่องจักรสงคราม!
 - การปรับปรุง: กองทุนเพื่อการพัฒนา, แพ็กออสการ์ในตำนาน, การแสดงอินเตอร์เฟซของคำเชิญแก๊ง, อาณาเขตแก๊ง, กา"&amp;"รยกทัพแก๊ง, เกียรติยศของเผ่า และการต่อสู้บนแผนที่")</f>
        <v>- คุณสมบัติใหม่: การเข้าร่วมการยกทัพอัตโนมัติ, แอนิเมชั่นเปิดเกมและคู่มือแนะนำแบบใหม่, เพิ่มการเลือกนักสู้จากแพ็กจำนวนจำกัดรายวัน
 - นักสู้ตัวใหม่: เรมี่ นักเก็บรวบรวมทรัพยากรตัวยงที่หลงใหลในการทำอาหาร และ เจเนซิส ฮีโร่หญิงปืนไวที่ต่อสู้เพื่อสันติภาพ เตรียมตัวไปรับพวกเขาจากที่สนามต่อสู้ได้เลย!
 - กิจกรรมใหม่: การแก้แค้นของดร.ฮ็อกก์ ร่วมแรงกับสมาชิกเผ่าของคุณเพื่อปราบดร.ฮ็อกก์และเหล่าเครื่องจักรสงคราม!
 - การปรับปรุง: กองทุนเพื่อการพัฒนา, แพ็กออสการ์ในตำนาน, การแสดงอินเตอร์เฟซของคำเชิญแก๊ง, อาณาเขตแก๊ง, การยกทัพแก๊ง, เกียรติยศของเผ่า และการต่อสู้บนแผนที่</v>
      </c>
      <c r="K32" s="159" t="str">
        <f>IFERROR(__xludf.DUMMYFUNCTION("""COMPUTED_VALUE"""),"Nuevo:
- Características: Auto unirse incursiones, animaciones de apertura e historia, selección Luchador en Paq.Limit.Diario.
- Luchadores: Remy, recolector obsesionado con la cocina. Génesis, heroína de tiros rápidos. Obténlos en la Arena.
- Evento: Rev"&amp;"ancha Dr. Hogg. Junto al Clan, derrota al Dr. Hogg y sus máquinas.
- Optimizaciones: Fondo Desarrollo, paquete Legendario Oscar, interface visualización, invitaciones Banda, Territorio Banda, Incursiones Banda, Honores Clan y batallas en mapa.")</f>
        <v>Nuevo:
- Características: Auto unirse incursiones, animaciones de apertura e historia, selección Luchador en Paq.Limit.Diario.
- Luchadores: Remy, recolector obsesionado con la cocina. Génesis, heroína de tiros rápidos. Obténlos en la Arena.
- Evento: Revancha Dr. Hogg. Junto al Clan, derrota al Dr. Hogg y sus máquinas.
- Optimizaciones: Fondo Desarrollo, paquete Legendario Oscar, interface visualización, invitaciones Banda, Territorio Banda, Incursiones Banda, Honores Clan y batallas en mapa.</v>
      </c>
      <c r="L32" s="159" t="str">
        <f>IFERROR(__xludf.DUMMYFUNCTION("""COMPUTED_VALUE"""),"- Новые возможности: автоматическое присоединение к походам, новая анимация и история; в дневной ограниченный набор добавлен выбор героя.
- Новые герои на арене: искусный сборщик Реми и стремительный стрелок Генезис. Получите их на арене! 
- Новое событие"&amp;": месть доктора Хогга. Победите доктора Хогга и его военные машины совместно с членами клана!
- Оптимизация: фонд развития, набор «Легендарный Оскар» и интерфейс отображения приглашений в банду, территории банды, походов банды, чести клана и сражений на к"&amp;"арте.")</f>
        <v>- Новые возможности: автоматическое присоединение к походам, новая анимация и история; в дневной ограниченный набор добавлен выбор героя.
- Новые герои на арене: искусный сборщик Реми и стремительный стрелок Генезис. Получите их на арене! 
- Новое событие: месть доктора Хогга. Победите доктора Хогга и его военные машины совместно с членами клана!
- Оптимизация: фонд развития, набор «Легендарный Оскар» и интерфейс отображения приглашений в банду, территории банды, походов банды, чести клана и сражений на карте.</v>
      </c>
      <c r="M32" s="159" t="str">
        <f>IFERROR(__xludf.DUMMYFUNCTION("""COMPUTED_VALUE"""),"- Yeni özellikler: T. saldırı Oto. Katılım, yeni açılış anim. ve hikâye, Savaşçı seçimi Gün. Sınırlı Pakete eklendi.
 - Yeni Savaşçılar: Remy, yemek yapma meraklısı usta toplayıcı. Genesis, seri atıcı kadın kahraman. Onları Arena’ya çıkar!
 - Yeni etkinli"&amp;"k: Dr. Hogg’un İntikamı. Klan üyelerinle Dr. Hogg ve savaş makinelerini yen!
 - Optimizasyonlar: Geliş. Fonu, Efs. Oscar paketi, Çete Davet., Çete Bölgesi, Çete T. Saldırıları, Klan Onuru ve haritadaki savaş arayüz görünümleri optimize edildi.")</f>
        <v>- Yeni özellikler: T. saldırı Oto. Katılım, yeni açılış anim. ve hikâye, Savaşçı seçimi Gün. Sınırlı Pakete eklendi.
 - Yeni Savaşçılar: Remy, yemek yapma meraklısı usta toplayıcı. Genesis, seri atıcı kadın kahraman. Onları Arena’ya çıkar!
 - Yeni etkinlik: Dr. Hogg’un İntikamı. Klan üyelerinle Dr. Hogg ve savaş makinelerini yen!
 - Optimizasyonlar: Geliş. Fonu, Efs. Oscar paketi, Çete Davet., Çete Bölgesi, Çete T. Saldırıları, Klan Onuru ve haritadaki savaş arayüz görünümleri optimize edildi.</v>
      </c>
      <c r="N32" s="45" t="str">
        <f>IFERROR(__xludf.DUMMYFUNCTION("""COMPUTED_VALUE"""),"- Tính năng mới: thêm tự động tham gia tập hợp, hoạt ảnh mở đầu và câu chuyện mới, lựa chọn C.Binh vào Gói G.Hạn H.Ngày.
 - C.Binh mới: Remy, bậc thầy thu thập ám với việc nấu ăn. Genesis, nữ anh hùng bắn nhanh. Hãy nhận ở Đấu Trường!
 - Sự kiện mới: Phục"&amp;" Thù của T.Sĩ Hogg. Hợp tác với thành viên B.Lạc để đánh bại T.Sĩ Hogg và cỗ máy chiến tranh!
 - Tối ưu: Quỹ Phát Triển, gói Oscar H.Thoại, giao diện hiển thị của L.Mời B.Hội, L.Thổ B.Lạc, Tập Hợp B.Hội, Vinh Dự B.Lạc, và các trận chiến trên bản đồ.")</f>
        <v>- Tính năng mới: thêm tự động tham gia tập hợp, hoạt ảnh mở đầu và câu chuyện mới, lựa chọn C.Binh vào Gói G.Hạn H.Ngày.
 - C.Binh mới: Remy, bậc thầy thu thập ám với việc nấu ăn. Genesis, nữ anh hùng bắn nhanh. Hãy nhận ở Đấu Trường!
 - Sự kiện mới: Phục Thù của T.Sĩ Hogg. Hợp tác với thành viên B.Lạc để đánh bại T.Sĩ Hogg và cỗ máy chiến tranh!
 - Tối ưu: Quỹ Phát Triển, gói Oscar H.Thoại, giao diện hiển thị của L.Mời B.Hội, L.Thổ B.Lạc, Tập Hợp B.Hội, Vinh Dự B.Lạc, và các trận chiến trên bản đồ.</v>
      </c>
      <c r="O32" s="45"/>
      <c r="P32" s="34"/>
      <c r="Q32" s="34"/>
      <c r="R32" s="34"/>
      <c r="S32" s="34"/>
      <c r="T32" s="108"/>
      <c r="U32" s="108"/>
      <c r="V32" s="108"/>
      <c r="W32" s="108"/>
      <c r="X32" s="108"/>
      <c r="Y32" s="108"/>
      <c r="Z32" s="108"/>
    </row>
    <row r="33" ht="72.0" customHeight="1">
      <c r="A33" s="149" t="str">
        <f>IFERROR(__xludf.DUMMYFUNCTION("""COMPUTED_VALUE"""),"0.29.0")</f>
        <v>0.29.0</v>
      </c>
      <c r="B33" s="174" t="str">
        <f>IFERROR(__xludf.DUMMYFUNCTION("""COMPUTED_VALUE"""),"&lt;en-US&gt;
- New Fighter: Master Blacksmith, Dempsey! Get him from the Arena.
- New events: Dr. Hogg's Revenge - Defeat Dr. Hogg and his machines to win rewards; Rise of Gangs - develop, occupy buildings, become the most powerful Gang!
- VIP system upgraded:"&amp;" better benefits and rewards!
- New features: Honor Coin Exchange - get Honor Coins for unwanted items; Monthly Card roulette - spin for the ultimate discount!
- Interface optimized: Space Milestone, Monthly Card, Arena, and Daily Limited Pack.
&lt;/en-US&gt;
&lt;"&amp;"fr-FR&gt;
- Nouveau combattant: Dempsey, le maître forgeron, à obtenir dans l'arène
- Nouveaux évènements: La Revanche du Dr Hogg (et ses machines de guerre); L'ascension des gangs (occupez des bâtiments et développez votre gang)
- Système VIP (meilleurs ava"&amp;"ntages et récompenses)
- Nouvelles fonctionnalités: Echange d'objets contre des pièces d'honneur; Roulette mensuelle, pour obtenir la réduc ultime
- Optimisation de l'interface (évènements de l'espace, abonnements, arène et packs quotidiens limités)
&lt;/fr-"&amp;"FR&gt;
&lt;de-DE&gt;
- Neuer Kämpfer: Schmiedemeister Dempsey! In der Arena!.
- Neue Events: Dr. Hoggs Rache - Besiege Dr. Hogg und seine Maschinen für Belohnungen; Aufstieg der Clans - entwickle, besetze Gebäude, werde der stärkste Clan!
- VIP-System: bessere Vor"&amp;"teile und Belohnungen!
- Neue Features: Ehrenmünzen-Tausch - erhalte Münzen für unerwünschte Items; Monatskarten-Roulette - drehe für den ultimativen Rabatt!
- Interface-Optimierung: Weltraum-Meilenstein, Monatskarte, Arena und tägliches limitiertes Paket"&amp;".
&lt;/de-DE&gt;
&lt;pt-BR&gt;
- Novo combatente: o Mestre Ferreiro, Dempsey! Obtenha-o na Arena.
- Novos eventos: Vingança de Dr. Hogg - Derrote o Dr. Hogg e suas máquinas para ganhar recompensas; Ascensão das Gangues - desenvolva e ocupe estruturas, torne-se a gang"&amp;"ue mais poderosa!
- Melhoria no sistema VIP: benefícios e recompensas melhores!
- Novos recursos: Trocas de moedas de honra - obtenha moedas de honra por itens que não quer mais; Roleta do cartão mensal - gire a roleta para um desconto supremo!
- Melhoria"&amp;"s da interface: interfaces otimizadas para marcos espaciais, cartão mensal, arena e pacote limitado diário.
&lt;/pt-BR&gt;
&lt;zh-HK&gt;
-新增鬥士：鑄造大師鄧普斯，可以化鋼鐵為神器的傳奇匠師！通過擂台抽獎獲得。
-新增活動：霍格博士的複仇，聯合氏族夥伴，戰勝霍格博士與戰爭機器！幫派崛起，建設幫派，佔領建築、你將與你的幫派共同衝擊最強幫派！
-新增功能：VIP系統全新升級，更優秀的權益，更豐厚的"&amp;"獎勵在等著你！榮譽幣兌換商店，變廢為寶，將你不需要的道具換成榮譽幣！轉盤月卡，限時好禮，嘗試手氣，領取終極折扣！
-界面表現優化：優化了里程碑、月卡、擂台、限時禮包的界面體驗。 
&lt;/zh-HK&gt;
&lt;id&gt;
- Pejuang Baru: Master Pandai Besi, Dempsey! Dapatkan Dempsey dari Arena.
- Acara baru: Pembalasan Dr. Hogg - Kalahkan Dr. Hogg dan mesinnya untuk meme"&amp;"nangkan hadiah; Bangkitnya Geng - kembangkan, tempati bangunan, dan jadilah Geng paling kuat!
- Sistem VIP ditingkatkan: manfaat dan hadiah yang lebih baik!
- Fitur baru: Pertukaran Koin Kehormatan - dapatkan Koin Kehormatan untuk item yang tidak diingink"&amp;"an; Rolet Kartu Bulanan - putar untuk mendapatkan diskon tertinggi!
- Antarmuka dioptimalkan: Tonggak Luar Angkasa, Kartu Bulanan, Arena, dan Paket Terbatas Harian.
&lt;/id&gt;
&lt;th&gt;
- นักสู้ตัวใหม่: เดมป์ซีย์ ปรมาจารย์ช่างตีเหล็ก! คุณสามารถไปรับตัวเขาออกมาได้ที"&amp;"่สนามต่อสู้
- กิจกรรมใหม่: การแก้แค้นของดร.ฮ็อกก์ - กำจัดดร.ฮ็อกก์และเครื่องจักรของเขาเพื่อรับรางวัลมากมาย, การถือกำเนิดของแก๊ง - พัฒนาแก๊ง ครอบครองสิ่งปลูกสร้าง แล้วก้าวขึ้นสู่ตำแหน่งแก๊งที่ทรงพลังที่สุด!
- อัปเกรดระบบวีไอพี: สิทธิประโยชน์และรางวัลที่ดีย"&amp;"ิ่งขึ้น!
- คุณสมบัติใหม่: แลกเปลี่ยนเหรียญเกียรติยศ - รับเหรียญเกียรติยศแทนไอเทมที่ไม่ต้องการ; รูเล็ตบัตรรายเดือน - หมุนเพื่อรับส่วนลดสูงสุด! - ปรับปรุงอินเทอร์เฟซให้เหมาะสม: เหตุการณ์สำคัญในอวกาศ, บัตรรายเดือน, สนามต่อสู้ และแพ็กจำนวนจำกัดประจำวัน
&lt;/th&gt;
"&amp;"&lt;es-419&gt;
- Luchador: ¡Maestro Herrero Dempsey! Desde la Arena.
- Eventos: Venganza Dr. Hogg - Derrota Dr. Hogg y sus máquinas por recompensas;
 Ascenso de las Bandas - desarrolla, ocupa edificios y sé la Banda más poderosa.
- Mejora sistema VIP: Beneficio"&amp;"s y recompensas. 
- Características: Intercambio Moneda de Honor - obtén Monedas de Honor p/artículos no deseados; Tarjeta Mensual de ruleta - gira por descuentos
- Interface optimizada: Logros del Espacio, Tarjeta Mens., Arena y Paquete Limitado Diario.
"&amp;"&lt;/es-419&gt;
&lt;ru-RU&gt;
— Новый герой на арене: мастер-кузнец Демпси!
— Новые события. Месть доктора Хогга: победите доктора Хогга и его машины и получите награды. Восхождение банд: развивайтесь, захватывайте здания, копите могущество!
— Обновлена VIP-система: "&amp;"больше преимуществ и наград!
— Новые возможности. Обмен монет чести: монеты чести за ненужные предметы. Рулетка месячной карты: вращайте и получите максимальную скидку!
— Оптимизация интерфейса космических рубежей, месячной карты, арены и дневных огран. н"&amp;"аборов.
&lt;/ru-RU&gt;
&lt;tr-TR&gt;
- Yeni Savaşçı: Demirci Ustası Dempsey! Onu Arenadan al.
- Yeni etkinlikler: Dr. Hogg’un İntikamı - Dr. Hogg ve makinelerini yen, ödüller kazan; Çetelerin Yükselişi - geliş, binaları işgal et, en güçlü Çete sen ol!
- VIP sistemi y"&amp;"ükseltildi: daha iyi avantajlar ve ödüller!
- Yeni özellikler: Onur Parası Takası - istenmeyen eşyalar karşılığında Onur Paraları al; Aylık Kart ruleti - müthiş indirim için çevir!
- Arayüz optimize edildi: Uzay Dönüm Noktası, Aylık Kart, Arena ve Günlük "&amp;"Sınırlı Paket.
&lt;/tr-TR&gt;
&lt;vi&gt;
- Chiến Binh mới: Thợ Rèn Bậc Thầy, Dempsey! Nhận anh ta trong Đấu Trường.
- Sự kiện mới: Trận Phục Thù của Tiến Sĩ Hogg - Đánh bại Tiến Sĩ Hogg cùng các cỗ máy chiến tranh của hắn để giành phần thưởng; Bang Hội Trỗi Dậy - phá"&amp;"t triển, chiếm đóng các công trình, trở thành Bang Hội quyền lực nhất!
- Đã nâng cấp hệ thống VIP: quyền lợi và phần thưởng hấp dẫn hơn!
- Tính năng mới: Trao Đổi Xu Danh Dự - đổi những vật phẩm không thích để lấy Xu Danh Dự; - Roulette Thẻ Tháng - quay đ"&amp;"ể nhận ưu đãi siêu khủng!
- Tối ưu hóa giao diện: Cột Mốc Không Gian, Thẻ Tháng, Đấu Trường, và Gói Giới Hạn Hàng Ngày.
&lt;/vi&gt;
")</f>
        <v>&lt;en-US&gt;
- New Fighter: Master Blacksmith, Dempsey! Get him from the Arena.
- New events: Dr. Hogg's Revenge - Defeat Dr. Hogg and his machines to win rewards; Rise of Gangs - develop, occupy buildings, become the most powerful Gang!
- VIP system upgraded: better benefits and rewards!
- New features: Honor Coin Exchange - get Honor Coins for unwanted items; Monthly Card roulette - spin for the ultimate discount!
- Interface optimized: Space Milestone, Monthly Card, Arena, and Daily Limited Pack.
&lt;/en-US&gt;
&lt;fr-FR&gt;
- Nouveau combattant: Dempsey, le maître forgeron, à obtenir dans l'arène
- Nouveaux évènements: La Revanche du Dr Hogg (et ses machines de guerre); L'ascension des gangs (occupez des bâtiments et développez votre gang)
- Système VIP (meilleurs avantages et récompenses)
- Nouvelles fonctionnalités: Echange d'objets contre des pièces d'honneur; Roulette mensuelle, pour obtenir la réduc ultime
- Optimisation de l'interface (évènements de l'espace, abonnements, arène et packs quotidiens limités)
&lt;/fr-FR&gt;
&lt;de-DE&gt;
- Neuer Kämpfer: Schmiedemeister Dempsey! In der Arena!.
- Neue Events: Dr. Hoggs Rache - Besiege Dr. Hogg und seine Maschinen für Belohnungen; Aufstieg der Clans - entwickle, besetze Gebäude, werde der stärkste Clan!
- VIP-System: bessere Vorteile und Belohnungen!
- Neue Features: Ehrenmünzen-Tausch - erhalte Münzen für unerwünschte Items; Monatskarten-Roulette - drehe für den ultimativen Rabatt!
- Interface-Optimierung: Weltraum-Meilenstein, Monatskarte, Arena und tägliches limitiertes Paket.
&lt;/de-DE&gt;
&lt;pt-BR&gt;
- Novo combatente: o Mestre Ferreiro, Dempsey! Obtenha-o na Arena.
- Novos eventos: Vingança de Dr. Hogg - Derrote o Dr. Hogg e suas máquinas para ganhar recompensas; Ascensão das Gangues - desenvolva e ocupe estruturas, torne-se a gangue mais poderosa!
- Melhoria no sistema VIP: benefícios e recompensas melhores!
- Novos recursos: Trocas de moedas de honra - obtenha moedas de honra por itens que não quer mais; Roleta do cartão mensal - gire a roleta para um desconto supremo!
- Melhorias da interface: interfaces otimizadas para marcos espaciais, cartão mensal, arena e pacote limitado diário.
&lt;/pt-BR&gt;
&lt;zh-HK&gt;
-新增鬥士：鑄造大師鄧普斯，可以化鋼鐵為神器的傳奇匠師！通過擂台抽獎獲得。
-新增活動：霍格博士的複仇，聯合氏族夥伴，戰勝霍格博士與戰爭機器！幫派崛起，建設幫派，佔領建築、你將與你的幫派共同衝擊最強幫派！
-新增功能：VIP系統全新升級，更優秀的權益，更豐厚的獎勵在等著你！榮譽幣兌換商店，變廢為寶，將你不需要的道具換成榮譽幣！轉盤月卡，限時好禮，嘗試手氣，領取終極折扣！
-界面表現優化：優化了里程碑、月卡、擂台、限時禮包的界面體驗。 
&lt;/zh-HK&gt;
&lt;id&gt;
- Pejuang Baru: Master Pandai Besi, Dempsey! Dapatkan Dempsey dari Arena.
- Acara baru: Pembalasan Dr. Hogg - Kalahkan Dr. Hogg dan mesinnya untuk memenangkan hadiah; Bangkitnya Geng - kembangkan, tempati bangunan, dan jadilah Geng paling kuat!
- Sistem VIP ditingkatkan: manfaat dan hadiah yang lebih baik!
- Fitur baru: Pertukaran Koin Kehormatan - dapatkan Koin Kehormatan untuk item yang tidak diinginkan; Rolet Kartu Bulanan - putar untuk mendapatkan diskon tertinggi!
- Antarmuka dioptimalkan: Tonggak Luar Angkasa, Kartu Bulanan, Arena, dan Paket Terbatas Harian.
&lt;/id&gt;
&lt;th&gt;
- นักสู้ตัวใหม่: เดมป์ซีย์ ปรมาจารย์ช่างตีเหล็ก! คุณสามารถไปรับตัวเขาออกมาได้ที่สนามต่อสู้
- กิจกรรมใหม่: การแก้แค้นของดร.ฮ็อกก์ - กำจัดดร.ฮ็อกก์และเครื่องจักรของเขาเพื่อรับรางวัลมากมาย, การถือกำเนิดของแก๊ง - พัฒนาแก๊ง ครอบครองสิ่งปลูกสร้าง แล้วก้าวขึ้นสู่ตำแหน่งแก๊งที่ทรงพลังที่สุด!
- อัปเกรดระบบวีไอพี: สิทธิประโยชน์และรางวัลที่ดียิ่งขึ้น!
- คุณสมบัติใหม่: แลกเปลี่ยนเหรียญเกียรติยศ - รับเหรียญเกียรติยศแทนไอเทมที่ไม่ต้องการ; รูเล็ตบัตรรายเดือน - หมุนเพื่อรับส่วนลดสูงสุด! - ปรับปรุงอินเทอร์เฟซให้เหมาะสม: เหตุการณ์สำคัญในอวกาศ, บัตรรายเดือน, สนามต่อสู้ และแพ็กจำนวนจำกัดประจำวัน
&lt;/th&gt;
&lt;es-419&gt;
- Luchador: ¡Maestro Herrero Dempsey! Desde la Arena.
- Eventos: Venganza Dr. Hogg - Derrota Dr. Hogg y sus máquinas por recompensas;
 Ascenso de las Bandas - desarrolla, ocupa edificios y sé la Banda más poderosa.
- Mejora sistema VIP: Beneficios y recompensas. 
- Características: Intercambio Moneda de Honor - obtén Monedas de Honor p/artículos no deseados; Tarjeta Mensual de ruleta - gira por descuentos
- Interface optimizada: Logros del Espacio, Tarjeta Mens., Arena y Paquete Limitado Diario.
&lt;/es-419&gt;
&lt;ru-RU&gt;
— Новый герой на арене: мастер-кузнец Демпси!
— Новые события. Месть доктора Хогга: победите доктора Хогга и его машины и получите награды. Восхождение банд: развивайтесь, захватывайте здания, копите могущество!
— Обновлена VIP-система: больше преимуществ и наград!
— Новые возможности. Обмен монет чести: монеты чести за ненужные предметы. Рулетка месячной карты: вращайте и получите максимальную скидку!
— Оптимизация интерфейса космических рубежей, месячной карты, арены и дневных огран. наборов.
&lt;/ru-RU&gt;
&lt;tr-TR&gt;
- Yeni Savaşçı: Demirci Ustası Dempsey! Onu Arenadan al.
- Yeni etkinlikler: Dr. Hogg’un İntikamı - Dr. Hogg ve makinelerini yen, ödüller kazan; Çetelerin Yükselişi - geliş, binaları işgal et, en güçlü Çete sen ol!
- VIP sistemi yükseltildi: daha iyi avantajlar ve ödüller!
- Yeni özellikler: Onur Parası Takası - istenmeyen eşyalar karşılığında Onur Paraları al; Aylık Kart ruleti - müthiş indirim için çevir!
- Arayüz optimize edildi: Uzay Dönüm Noktası, Aylık Kart, Arena ve Günlük Sınırlı Paket.
&lt;/tr-TR&gt;
&lt;vi&gt;
- Chiến Binh mới: Thợ Rèn Bậc Thầy, Dempsey! Nhận anh ta trong Đấu Trường.
- Sự kiện mới: Trận Phục Thù của Tiến Sĩ Hogg - Đánh bại Tiến Sĩ Hogg cùng các cỗ máy chiến tranh của hắn để giành phần thưởng; Bang Hội Trỗi Dậy - phát triển, chiếm đóng các công trình, trở thành Bang Hội quyền lực nhất!
- Đã nâng cấp hệ thống VIP: quyền lợi và phần thưởng hấp dẫn hơn!
- Tính năng mới: Trao Đổi Xu Danh Dự - đổi những vật phẩm không thích để lấy Xu Danh Dự; - Roulette Thẻ Tháng - quay để nhận ưu đãi siêu khủng!
- Tối ưu hóa giao diện: Cột Mốc Không Gian, Thẻ Tháng, Đấu Trường, và Gói Giới Hạn Hàng Ngày.
&lt;/vi&gt;
</v>
      </c>
      <c r="C33" s="44" t="str">
        <f>IFERROR(__xludf.DUMMYFUNCTION("""COMPUTED_VALUE"""),"-新增斗士：铸造大师邓普斯，可以化钢铁为神器的传奇匠师！通过擂台抽奖获得。
-新增活动：霍格博士的复仇，联合氏族伙伴，战胜霍格博士与战争机器！帮派崛起，建设帮派，占领建筑、你将与你的帮派共同冲击最强帮派！
-新增功能：VIP系统全新升级，更优秀的权益，更丰厚的奖励在等着你！荣誉币兑换商店，变废为宝，将你不需要的道具换成荣誉币！转盘月卡，限时好礼，尝试手气，领取终极折扣！
-界面表现优化：优化了里程碑、月卡、擂台、限时礼包的界面体验。")</f>
        <v>-新增斗士：铸造大师邓普斯，可以化钢铁为神器的传奇匠师！通过擂台抽奖获得。
-新增活动：霍格博士的复仇，联合氏族伙伴，战胜霍格博士与战争机器！帮派崛起，建设帮派，占领建筑、你将与你的帮派共同冲击最强帮派！
-新增功能：VIP系统全新升级，更优秀的权益，更丰厚的奖励在等着你！荣誉币兑换商店，变废为宝，将你不需要的道具换成荣誉币！转盘月卡，限时好礼，尝试手气，领取终极折扣！
-界面表现优化：优化了里程碑、月卡、擂台、限时礼包的界面体验。</v>
      </c>
      <c r="D33" s="159" t="str">
        <f>IFERROR(__xludf.DUMMYFUNCTION("""COMPUTED_VALUE"""),"- New Fighter: Master Blacksmith, Dempsey! Get him from the Arena.
- New events: Dr. Hogg's Revenge - Defeat Dr. Hogg and his machines to win rewards; Rise of Gangs - develop, occupy buildings, become the most powerful Gang!
- VIP system upgraded: better "&amp;"benefits and rewards!
- New features: Honor Coin Exchange - get Honor Coins for unwanted items; Monthly Card roulette - spin for the ultimate discount!
- Interface optimized: Space Milestone, Monthly Card, Arena, and Daily Limited Pack.")</f>
        <v>- New Fighter: Master Blacksmith, Dempsey! Get him from the Arena.
- New events: Dr. Hogg's Revenge - Defeat Dr. Hogg and his machines to win rewards; Rise of Gangs - develop, occupy buildings, become the most powerful Gang!
- VIP system upgraded: better benefits and rewards!
- New features: Honor Coin Exchange - get Honor Coins for unwanted items; Monthly Card roulette - spin for the ultimate discount!
- Interface optimized: Space Milestone, Monthly Card, Arena, and Daily Limited Pack.</v>
      </c>
      <c r="E33" s="159" t="str">
        <f>IFERROR(__xludf.DUMMYFUNCTION("""COMPUTED_VALUE"""),"- Nouveau combattant: Dempsey, le maître forgeron, à obtenir dans l'arène
- Nouveaux évènements: La Revanche du Dr Hogg (et ses machines de guerre); L'ascension des gangs (occupez des bâtiments et développez votre gang)
- Système VIP (meilleurs avantages "&amp;"et récompenses)
- Nouvelles fonctionnalités: Echange d'objets contre des pièces d'honneur; Roulette mensuelle, pour obtenir la réduc ultime
- Optimisation de l'interface (évènements de l'espace, abonnements, arène et packs quotidiens limités)")</f>
        <v>- Nouveau combattant: Dempsey, le maître forgeron, à obtenir dans l'arène
- Nouveaux évènements: La Revanche du Dr Hogg (et ses machines de guerre); L'ascension des gangs (occupez des bâtiments et développez votre gang)
- Système VIP (meilleurs avantages et récompenses)
- Nouvelles fonctionnalités: Echange d'objets contre des pièces d'honneur; Roulette mensuelle, pour obtenir la réduc ultime
- Optimisation de l'interface (évènements de l'espace, abonnements, arène et packs quotidiens limités)</v>
      </c>
      <c r="F33" s="159" t="str">
        <f>IFERROR(__xludf.DUMMYFUNCTION("""COMPUTED_VALUE"""),"- Neuer Kämpfer: Schmiedemeister Dempsey! In der Arena!.
- Neue Events: Dr. Hoggs Rache - Besiege Dr. Hogg und seine Maschinen für Belohnungen; Aufstieg der Clans - entwickle, besetze Gebäude, werde der stärkste Clan!
- VIP-System: bessere Vorteile und Be"&amp;"lohnungen!
- Neue Features: Ehrenmünzen-Tausch - erhalte Münzen für unerwünschte Items; Monatskarten-Roulette - drehe für den ultimativen Rabatt!
- Interface-Optimierung: Weltraum-Meilenstein, Monatskarte, Arena und tägliches limitiertes Paket.")</f>
        <v>- Neuer Kämpfer: Schmiedemeister Dempsey! In der Arena!.
- Neue Events: Dr. Hoggs Rache - Besiege Dr. Hogg und seine Maschinen für Belohnungen; Aufstieg der Clans - entwickle, besetze Gebäude, werde der stärkste Clan!
- VIP-System: bessere Vorteile und Belohnungen!
- Neue Features: Ehrenmünzen-Tausch - erhalte Münzen für unerwünschte Items; Monatskarten-Roulette - drehe für den ultimativen Rabatt!
- Interface-Optimierung: Weltraum-Meilenstein, Monatskarte, Arena und tägliches limitiertes Paket.</v>
      </c>
      <c r="G33" s="159" t="str">
        <f>IFERROR(__xludf.DUMMYFUNCTION("""COMPUTED_VALUE"""),"- Novo combatente: o Mestre Ferreiro, Dempsey! Obtenha-o na Arena.
- Novos eventos: Vingança de Dr. Hogg - Derrote o Dr. Hogg e suas máquinas para ganhar recompensas; Ascensão das Gangues - desenvolva e ocupe estruturas, torne-se a gangue mais poderosa!
-"&amp;" Melhoria no sistema VIP: benefícios e recompensas melhores!
- Novos recursos: Trocas de moedas de honra - obtenha moedas de honra por itens que não quer mais; Roleta do cartão mensal - gire a roleta para um desconto supremo!
- Melhorias da interface: int"&amp;"erfaces otimizadas para marcos espaciais, cartão mensal, arena e pacote limitado diário.")</f>
        <v>- Novo combatente: o Mestre Ferreiro, Dempsey! Obtenha-o na Arena.
- Novos eventos: Vingança de Dr. Hogg - Derrote o Dr. Hogg e suas máquinas para ganhar recompensas; Ascensão das Gangues - desenvolva e ocupe estruturas, torne-se a gangue mais poderosa!
- Melhoria no sistema VIP: benefícios e recompensas melhores!
- Novos recursos: Trocas de moedas de honra - obtenha moedas de honra por itens que não quer mais; Roleta do cartão mensal - gire a roleta para um desconto supremo!
- Melhorias da interface: interfaces otimizadas para marcos espaciais, cartão mensal, arena e pacote limitado diário.</v>
      </c>
      <c r="H33" s="159" t="str">
        <f>IFERROR(__xludf.DUMMYFUNCTION("""COMPUTED_VALUE"""),"-新增鬥士：鑄造大師鄧普斯，可以化鋼鐵為神器的傳奇匠師！通過擂台抽獎獲得。
-新增活動：霍格博士的複仇，聯合氏族夥伴，戰勝霍格博士與戰爭機器！幫派崛起，建設幫派，佔領建築、你將與你的幫派共同衝擊最強幫派！
-新增功能：VIP系統全新升級，更優秀的權益，更豐厚的獎勵在等著你！榮譽幣兌換商店，變廢為寶，將你不需要的道具換成榮譽幣！轉盤月卡，限時好禮，嘗試手氣，領取終極折扣！
-界面表現優化：優化了里程碑、月卡、擂台、限時禮包的界面體驗。 ")</f>
        <v>-新增鬥士：鑄造大師鄧普斯，可以化鋼鐵為神器的傳奇匠師！通過擂台抽獎獲得。
-新增活動：霍格博士的複仇，聯合氏族夥伴，戰勝霍格博士與戰爭機器！幫派崛起，建設幫派，佔領建築、你將與你的幫派共同衝擊最強幫派！
-新增功能：VIP系統全新升級，更優秀的權益，更豐厚的獎勵在等著你！榮譽幣兌換商店，變廢為寶，將你不需要的道具換成榮譽幣！轉盤月卡，限時好禮，嘗試手氣，領取終極折扣！
-界面表現優化：優化了里程碑、月卡、擂台、限時禮包的界面體驗。 </v>
      </c>
      <c r="I33" s="159" t="str">
        <f>IFERROR(__xludf.DUMMYFUNCTION("""COMPUTED_VALUE"""),"- Pejuang Baru: Master Pandai Besi, Dempsey! Dapatkan Dempsey dari Arena.
- Acara baru: Pembalasan Dr. Hogg - Kalahkan Dr. Hogg dan mesinnya untuk memenangkan hadiah; Bangkitnya Geng - kembangkan, tempati bangunan, dan jadilah Geng paling kuat!
- Sistem V"&amp;"IP ditingkatkan: manfaat dan hadiah yang lebih baik!
- Fitur baru: Pertukaran Koin Kehormatan - dapatkan Koin Kehormatan untuk item yang tidak diinginkan; Rolet Kartu Bulanan - putar untuk mendapatkan diskon tertinggi!
- Antarmuka dioptimalkan: Tonggak Lu"&amp;"ar Angkasa, Kartu Bulanan, Arena, dan Paket Terbatas Harian.")</f>
        <v>- Pejuang Baru: Master Pandai Besi, Dempsey! Dapatkan Dempsey dari Arena.
- Acara baru: Pembalasan Dr. Hogg - Kalahkan Dr. Hogg dan mesinnya untuk memenangkan hadiah; Bangkitnya Geng - kembangkan, tempati bangunan, dan jadilah Geng paling kuat!
- Sistem VIP ditingkatkan: manfaat dan hadiah yang lebih baik!
- Fitur baru: Pertukaran Koin Kehormatan - dapatkan Koin Kehormatan untuk item yang tidak diinginkan; Rolet Kartu Bulanan - putar untuk mendapatkan diskon tertinggi!
- Antarmuka dioptimalkan: Tonggak Luar Angkasa, Kartu Bulanan, Arena, dan Paket Terbatas Harian.</v>
      </c>
      <c r="J33" s="159" t="str">
        <f>IFERROR(__xludf.DUMMYFUNCTION("""COMPUTED_VALUE"""),"- นักสู้ตัวใหม่: เดมป์ซีย์ ปรมาจารย์ช่างตีเหล็ก! คุณสามารถไปรับตัวเขาออกมาได้ที่สนามต่อสู้
- กิจกรรมใหม่: การแก้แค้นของดร.ฮ็อกก์ - กำจัดดร.ฮ็อกก์และเครื่องจักรของเขาเพื่อรับรางวัลมากมาย, การถือกำเนิดของแก๊ง - พัฒนาแก๊ง ครอบครองสิ่งปลูกสร้าง แล้วก้าวขึ้นสู"&amp;"่ตำแหน่งแก๊งที่ทรงพลังที่สุด!
- อัปเกรดระบบวีไอพี: สิทธิประโยชน์และรางวัลที่ดียิ่งขึ้น!
- คุณสมบัติใหม่: แลกเปลี่ยนเหรียญเกียรติยศ - รับเหรียญเกียรติยศแทนไอเทมที่ไม่ต้องการ; รูเล็ตบัตรรายเดือน - หมุนเพื่อรับส่วนลดสูงสุด! - ปรับปรุงอินเทอร์เฟซให้เหมาะสม: เ"&amp;"หตุการณ์สำคัญในอวกาศ, บัตรรายเดือน, สนามต่อสู้ และแพ็กจำนวนจำกัดประจำวัน")</f>
        <v>- นักสู้ตัวใหม่: เดมป์ซีย์ ปรมาจารย์ช่างตีเหล็ก! คุณสามารถไปรับตัวเขาออกมาได้ที่สนามต่อสู้
- กิจกรรมใหม่: การแก้แค้นของดร.ฮ็อกก์ - กำจัดดร.ฮ็อกก์และเครื่องจักรของเขาเพื่อรับรางวัลมากมาย, การถือกำเนิดของแก๊ง - พัฒนาแก๊ง ครอบครองสิ่งปลูกสร้าง แล้วก้าวขึ้นสู่ตำแหน่งแก๊งที่ทรงพลังที่สุด!
- อัปเกรดระบบวีไอพี: สิทธิประโยชน์และรางวัลที่ดียิ่งขึ้น!
- คุณสมบัติใหม่: แลกเปลี่ยนเหรียญเกียรติยศ - รับเหรียญเกียรติยศแทนไอเทมที่ไม่ต้องการ; รูเล็ตบัตรรายเดือน - หมุนเพื่อรับส่วนลดสูงสุด! - ปรับปรุงอินเทอร์เฟซให้เหมาะสม: เหตุการณ์สำคัญในอวกาศ, บัตรรายเดือน, สนามต่อสู้ และแพ็กจำนวนจำกัดประจำวัน</v>
      </c>
      <c r="K33" s="159" t="str">
        <f>IFERROR(__xludf.DUMMYFUNCTION("""COMPUTED_VALUE"""),"- Luchador: ¡Maestro Herrero Dempsey! Desde la Arena.
- Eventos: Venganza Dr. Hogg - Derrota Dr. Hogg y sus máquinas por recompensas;
 Ascenso de las Bandas - desarrolla, ocupa edificios y sé la Banda más poderosa.
- Mejora sistema VIP: Beneficios y recom"&amp;"pensas. 
- Características: Intercambio Moneda de Honor - obtén Monedas de Honor p/artículos no deseados; Tarjeta Mensual de ruleta - gira por descuentos
- Interface optimizada: Logros del Espacio, Tarjeta Mens., Arena y Paquete Limitado Diario.")</f>
        <v>- Luchador: ¡Maestro Herrero Dempsey! Desde la Arena.
- Eventos: Venganza Dr. Hogg - Derrota Dr. Hogg y sus máquinas por recompensas;
 Ascenso de las Bandas - desarrolla, ocupa edificios y sé la Banda más poderosa.
- Mejora sistema VIP: Beneficios y recompensas. 
- Características: Intercambio Moneda de Honor - obtén Monedas de Honor p/artículos no deseados; Tarjeta Mensual de ruleta - gira por descuentos
- Interface optimizada: Logros del Espacio, Tarjeta Mens., Arena y Paquete Limitado Diario.</v>
      </c>
      <c r="L33" s="159" t="str">
        <f>IFERROR(__xludf.DUMMYFUNCTION("""COMPUTED_VALUE"""),"— Новый герой на арене: мастер-кузнец Демпси!
— Новые события. Месть доктора Хогга: победите доктора Хогга и его машины и получите награды. Восхождение банд: развивайтесь, захватывайте здания, копите могущество!
— Обновлена VIP-система: больше преимуществ"&amp;" и наград!
— Новые возможности. Обмен монет чести: монеты чести за ненужные предметы. Рулетка месячной карты: вращайте и получите максимальную скидку!
— Оптимизация интерфейса космических рубежей, месячной карты, арены и дневных огран. наборов.")</f>
        <v>— Новый герой на арене: мастер-кузнец Демпси!
— Новые события. Месть доктора Хогга: победите доктора Хогга и его машины и получите награды. Восхождение банд: развивайтесь, захватывайте здания, копите могущество!
— Обновлена VIP-система: больше преимуществ и наград!
— Новые возможности. Обмен монет чести: монеты чести за ненужные предметы. Рулетка месячной карты: вращайте и получите максимальную скидку!
— Оптимизация интерфейса космических рубежей, месячной карты, арены и дневных огран. наборов.</v>
      </c>
      <c r="M33" s="159" t="str">
        <f>IFERROR(__xludf.DUMMYFUNCTION("""COMPUTED_VALUE"""),"- Yeni Savaşçı: Demirci Ustası Dempsey! Onu Arenadan al.
- Yeni etkinlikler: Dr. Hogg’un İntikamı - Dr. Hogg ve makinelerini yen, ödüller kazan; Çetelerin Yükselişi - geliş, binaları işgal et, en güçlü Çete sen ol!
- VIP sistemi yükseltildi: daha iyi avan"&amp;"tajlar ve ödüller!
- Yeni özellikler: Onur Parası Takası - istenmeyen eşyalar karşılığında Onur Paraları al; Aylık Kart ruleti - müthiş indirim için çevir!
- Arayüz optimize edildi: Uzay Dönüm Noktası, Aylık Kart, Arena ve Günlük Sınırlı Paket.")</f>
        <v>- Yeni Savaşçı: Demirci Ustası Dempsey! Onu Arenadan al.
- Yeni etkinlikler: Dr. Hogg’un İntikamı - Dr. Hogg ve makinelerini yen, ödüller kazan; Çetelerin Yükselişi - geliş, binaları işgal et, en güçlü Çete sen ol!
- VIP sistemi yükseltildi: daha iyi avantajlar ve ödüller!
- Yeni özellikler: Onur Parası Takası - istenmeyen eşyalar karşılığında Onur Paraları al; Aylık Kart ruleti - müthiş indirim için çevir!
- Arayüz optimize edildi: Uzay Dönüm Noktası, Aylık Kart, Arena ve Günlük Sınırlı Paket.</v>
      </c>
      <c r="N33" s="45" t="str">
        <f>IFERROR(__xludf.DUMMYFUNCTION("""COMPUTED_VALUE"""),"- Chiến Binh mới: Thợ Rèn Bậc Thầy, Dempsey! Nhận anh ta trong Đấu Trường.
- Sự kiện mới: Trận Phục Thù của Tiến Sĩ Hogg - Đánh bại Tiến Sĩ Hogg cùng các cỗ máy chiến tranh của hắn để giành phần thưởng; Bang Hội Trỗi Dậy - phát triển, chiếm đóng các công "&amp;"trình, trở thành Bang Hội quyền lực nhất!
- Đã nâng cấp hệ thống VIP: quyền lợi và phần thưởng hấp dẫn hơn!
- Tính năng mới: Trao Đổi Xu Danh Dự - đổi những vật phẩm không thích để lấy Xu Danh Dự; - Roulette Thẻ Tháng - quay để nhận ưu đãi siêu khủng!
- T"&amp;"ối ưu hóa giao diện: Cột Mốc Không Gian, Thẻ Tháng, Đấu Trường, và Gói Giới Hạn Hàng Ngày.")</f>
        <v>- Chiến Binh mới: Thợ Rèn Bậc Thầy, Dempsey! Nhận anh ta trong Đấu Trường.
- Sự kiện mới: Trận Phục Thù của Tiến Sĩ Hogg - Đánh bại Tiến Sĩ Hogg cùng các cỗ máy chiến tranh của hắn để giành phần thưởng; Bang Hội Trỗi Dậy - phát triển, chiếm đóng các công trình, trở thành Bang Hội quyền lực nhất!
- Đã nâng cấp hệ thống VIP: quyền lợi và phần thưởng hấp dẫn hơn!
- Tính năng mới: Trao Đổi Xu Danh Dự - đổi những vật phẩm không thích để lấy Xu Danh Dự; - Roulette Thẻ Tháng - quay để nhận ưu đãi siêu khủng!
- Tối ưu hóa giao diện: Cột Mốc Không Gian, Thẻ Tháng, Đấu Trường, và Gói Giới Hạn Hàng Ngày.</v>
      </c>
      <c r="O33" s="45"/>
      <c r="P33" s="34"/>
      <c r="Q33" s="34"/>
      <c r="R33" s="34"/>
      <c r="S33" s="34"/>
      <c r="T33" s="108"/>
      <c r="U33" s="108"/>
      <c r="V33" s="108"/>
      <c r="W33" s="108"/>
      <c r="X33" s="108"/>
      <c r="Y33" s="108"/>
      <c r="Z33" s="108"/>
    </row>
    <row r="34" ht="72.0" customHeight="1">
      <c r="A34" s="149" t="str">
        <f>IFERROR(__xludf.DUMMYFUNCTION("""COMPUTED_VALUE"""),"0.30.0")</f>
        <v>0.30.0</v>
      </c>
      <c r="B34" s="174" t="str">
        <f>IFERROR(__xludf.DUMMYFUNCTION("""COMPUTED_VALUE"""),"&lt;en-US&gt;
- New event: Colin's Exploration. Explore the map with the mysterious new friend, Colin, and get great rewards! You can also collect special fragments to unlock precious human data.
- New event: Border Raids. Fend off the Mutants and enemy Clans i"&amp;"n the border regions and bring back precious resources for your Clan!
- Optimizations: optimized Gang Games, Planet Wars, Mail and battle report features, quests, daily action chests, Super Rebate, and other packs.
&lt;/en-US&gt;
&lt;fr-FR&gt;
- Nouvel évènement: L'e"&amp;"xploration de Colin. Explorez la carte avec Colin, un nouvel ami mystérieux, et obtenez des récompenses géniales! Vous pouvez aussi récupérer d'étranges fragments pour accéder à de précieuses données humaines.
- Nouvel évènement: Raids frontaliers. Repous"&amp;"sez les humains et les clans ennemis des régions frontalières et rapportez de précieuses ressources pour votre clan!
- Optimisation des Jeux de gangs, de la Guerre planétaire, de la messagerie et des rapports de bataille, des coffres de quêtes quotidienne"&amp;"s, de la Super réduc et d'autres packs.
&lt;/fr-FR&gt;
&lt;de-DE&gt;
- Neues Event: Colins Erkundungen. Erkunde die Karte mit der Hilfe eines mysteriösen neuen Freunds, Colin, und hol dir tolle Belohnungen! Du kannst auch spezielle Fragmente sammeln, mit denen du wer"&amp;"tvolle Menschen-Daten freischalten kannst.
- Neues Event: Grenzüberfälle. Kämpfe in den Grenzregionen gegen Mutanten und feindliche Horden, um wertvolle Ressourcen für deine Horde in Besitz zu nehmen!
- Optimierungen: Clan-Spiele, Planetenkriege, Mail- un"&amp;"d Kampfbericht-Features, Quests, tägliche Aktionstruhen, Superrabatt und andere Pakete optimiert.
&lt;/de-DE&gt;
&lt;pt-BR&gt;
- Novo evento: Exploração de Colin. Explore o mapa com um novo amigo misterioso, Colin, e obtenha grandes recompensas! Você também pode cole"&amp;"tar fragmentos especiais para desbloquear dados humanos preciosos.
- Novo evento: Raides de Fronteira. Afaste os mutantes e clãs inimigos nas regiões de fronteira e traga recursos preciosos de volta para o seu clã!
- Otimizações: melhorias nos jogos da ga"&amp;"ngue, Guerra Interplanetária, funções de relatório de batalha e de mensagens, missões, baús de ações diárias, Super Desconto e outros pacotes.
&lt;/pt-BR&gt;
&lt;zh-HK&gt;
-新增活動：科林的探索。通過神秘新夥伴科林的幫助，探索地圖完成多種任務並獲得豐富獎勵吧！同時還能收集特殊碎片，解鎖人類離開地球前的珍貴資料！
-新增活動：邊境奪寶。驅逐盤踞在邊境的變異猴群，"&amp;"擺脫外族敵人，將無比豐富的資源帶回自己的氏族吧！
-優化內容：優化了幫派運動會、銀河戰爭、郵件和戰報功能、任務體驗、每日活躍寶箱、超值回饋以及一些禮包；
&lt;/zh-HK&gt;
&lt;id&gt;
- Acara baru: Penjelajahan Colin. Jelajahi peta dengan teman baru yang misterius, Colin, dan dapatkan hadiah besar! Kamu juga bisa mengumpulkan fragmen khusus untuk"&amp;" membuka data manusia yang berharga.
- Acara baru: Serangan Perbatasan. Hancurkan Mutan serta Klan musuh di wilayah perbatasan dan bawa kembali sumber daya berharga untuk Klanmu!
- Optimasi: mengoptimalkan Game Geng, Perang Planet, Email dan fitur Email d"&amp;"an laporan pertempuran, misi, peti aksi harian, Potongan Harga Super, dan paket lainnya.
&lt;/id&gt;
&lt;th&gt;
- กิจกรรมใหม่: การสำรวจของโคลิน สำรวจแผนที่กับโคลิน เพื่อนใหม่ผู้ลึกลับแล้วรับรางวัลมากมาย! และคุณยังสามารถรวบรวมชิ้นส่วนพิเศษเพื่อปลดล็อกข้อมูลอันล้ำค่าขอ"&amp;"งมนุษย์ได้อีกด้วย
- กิจกรรมใหม่: การจู่โจมที่ชายแดน จัดการพวกมิวแตนต์และเผ่าศัตรูในภูมิภาคเหล่านี้ให้ราบ แล้วนำทรัพยากรอันมีค่ากลับมาสู่เผ่าของคุณ!
- การปรับปรุง: ปรับเกมแก๊ง, สงครามดาวเคราะห์, จดหมายและรายงานการต่อสู้, เควสต์, หีบการเล่นรายวัน, เงินคืนสุ"&amp;"ดพิเศษ และแพ็กอื่น ๆ
&lt;/th&gt;
&lt;es-419&gt;
- Nueva forma de juego: Exploración de Colin. Explora el mapa con la ayuda de tu nuevo amigo misterioso, Colin, y, ¡obtén increíbles recompensas! También puedes recolectar fragmentos especiales para desbloquear valiosos"&amp;" datos de los humanos.
- Nueva forma de juego: Incursiones Fronterizas. Enfrenta a los Mutantes y los Clanes enemigos en las regiones fronterizas y, ¡trae de vuelta las riquezas para tu Clan!
- Optimizaciones: Optimización de los Juegos de Banda, Guerras "&amp;"Planetarias, Correo y características de los reportes de batalla, misiones, cofres de acción diaria, Super Descuento y otros paquetes.
&lt;/es-419&gt;
&lt;ru-RU&gt;
- Новое событие: «Исследование Колина». Исследуйте карту с помощью загадочного нового друга Колина и п"&amp;"олучайте отличные награды! Также вы сможете собирать особые фрагменты для разблокировки ценных данных от людей.
- Новое событие: «Пограничные рейды». Сражайтесь с мутантами и вражескими кланами в пограничных регионах и добудьте драгоценные ресурсы для сво"&amp;"его клана!
- Оптимизация: оптимизированы «Состязания банд», «Планетарные войны», функции почты и отчетов о боях, задания, ящики за ежедневные действия, супервозмещение и другие наборы.
&lt;/ru-RU&gt;
&lt;tr-TR&gt;
- Yeni etkinlik: Colin’in Keşfi. Gizemli yeni arkadaş"&amp;" Colin’le haritayı keşfet ve harika ödüller al! Kıymetli insan verilerinin kilidini açmak için özel parçalar da toplayabilirsin.
- Yeni etkinlik: Sınır Akınları. Sınır bölgelerindeki Mutantları ve düşman Klanları savuştur ve Klanın için kıymetli kaynaklar"&amp;"ı geri getir!
- Optimizasyonlar: Çete Oyunları, Gezegen Savaşları, Posta ve savaş raporu özellikleri, maceralar, günlük eylem sandıkları, Süper İade ve diğer paketler optimize edildi.
&lt;/tr-TR&gt;
&lt;vi&gt;
- Sự kiện mới: Khám Phá Của Colin. Khám phá bản đồ cùng v"&amp;"ới người bạn bí ẩn mới, Colin, và nhận những phần thưởng hấp dẫn! Bạn cũng có thể thu thập các mảnh đặc biệt để mở khóa dữ liệu quý giá của con người.
- Sự kiện mới: Đột Kích Biên Giới. Hãy chống lại lũ Khỉ Đột Biến và các Bộ Lạc thù địch ở các khu vực bi"&amp;"ên giới và mang về những nguồn tài nguyên quí giá cho Bộ Lạc của bạn!
- Tối ưu hóa: Đã tối ưu Trò Chơi Bang Hội, Chiến Tranh Hành Tinh, Thư và các tính năng báo cáo trận chiến, nhiệm vụ, rương hành động hàng ngày, Siêu Giảm Giá, và các gói khác.
&lt;/vi&gt;
")</f>
        <v>&lt;en-US&gt;
- New event: Colin's Exploration. Explore the map with the mysterious new friend, Colin, and get great rewards! You can also collect special fragments to unlock precious human data.
- New event: Border Raids. Fend off the Mutants and enemy Clans in the border regions and bring back precious resources for your Clan!
- Optimizations: optimized Gang Games, Planet Wars, Mail and battle report features, quests, daily action chests, Super Rebate, and other packs.
&lt;/en-US&gt;
&lt;fr-FR&gt;
- Nouvel évènement: L'exploration de Colin. Explorez la carte avec Colin, un nouvel ami mystérieux, et obtenez des récompenses géniales! Vous pouvez aussi récupérer d'étranges fragments pour accéder à de précieuses données humaines.
- Nouvel évènement: Raids frontaliers. Repoussez les humains et les clans ennemis des régions frontalières et rapportez de précieuses ressources pour votre clan!
- Optimisation des Jeux de gangs, de la Guerre planétaire, de la messagerie et des rapports de bataille, des coffres de quêtes quotidiennes, de la Super réduc et d'autres packs.
&lt;/fr-FR&gt;
&lt;de-DE&gt;
- Neues Event: Colins Erkundungen. Erkunde die Karte mit der Hilfe eines mysteriösen neuen Freunds, Colin, und hol dir tolle Belohnungen! Du kannst auch spezielle Fragmente sammeln, mit denen du wertvolle Menschen-Daten freischalten kannst.
- Neues Event: Grenzüberfälle. Kämpfe in den Grenzregionen gegen Mutanten und feindliche Horden, um wertvolle Ressourcen für deine Horde in Besitz zu nehmen!
- Optimierungen: Clan-Spiele, Planetenkriege, Mail- und Kampfbericht-Features, Quests, tägliche Aktionstruhen, Superrabatt und andere Pakete optimiert.
&lt;/de-DE&gt;
&lt;pt-BR&gt;
- Novo evento: Exploração de Colin. Explore o mapa com um novo amigo misterioso, Colin, e obtenha grandes recompensas! Você também pode coletar fragmentos especiais para desbloquear dados humanos preciosos.
- Novo evento: Raides de Fronteira. Afaste os mutantes e clãs inimigos nas regiões de fronteira e traga recursos preciosos de volta para o seu clã!
- Otimizações: melhorias nos jogos da gangue, Guerra Interplanetária, funções de relatório de batalha e de mensagens, missões, baús de ações diárias, Super Desconto e outros pacotes.
&lt;/pt-BR&gt;
&lt;zh-HK&gt;
-新增活動：科林的探索。通過神秘新夥伴科林的幫助，探索地圖完成多種任務並獲得豐富獎勵吧！同時還能收集特殊碎片，解鎖人類離開地球前的珍貴資料！
-新增活動：邊境奪寶。驅逐盤踞在邊境的變異猴群，擺脫外族敵人，將無比豐富的資源帶回自己的氏族吧！
-優化內容：優化了幫派運動會、銀河戰爭、郵件和戰報功能、任務體驗、每日活躍寶箱、超值回饋以及一些禮包；
&lt;/zh-HK&gt;
&lt;id&gt;
- Acara baru: Penjelajahan Colin. Jelajahi peta dengan teman baru yang misterius, Colin, dan dapatkan hadiah besar! Kamu juga bisa mengumpulkan fragmen khusus untuk membuka data manusia yang berharga.
- Acara baru: Serangan Perbatasan. Hancurkan Mutan serta Klan musuh di wilayah perbatasan dan bawa kembali sumber daya berharga untuk Klanmu!
- Optimasi: mengoptimalkan Game Geng, Perang Planet, Email dan fitur Email dan laporan pertempuran, misi, peti aksi harian, Potongan Harga Super, dan paket lainnya.
&lt;/id&gt;
&lt;th&gt;
- กิจกรรมใหม่: การสำรวจของโคลิน สำรวจแผนที่กับโคลิน เพื่อนใหม่ผู้ลึกลับแล้วรับรางวัลมากมาย! และคุณยังสามารถรวบรวมชิ้นส่วนพิเศษเพื่อปลดล็อกข้อมูลอันล้ำค่าของมนุษย์ได้อีกด้วย
- กิจกรรมใหม่: การจู่โจมที่ชายแดน จัดการพวกมิวแตนต์และเผ่าศัตรูในภูมิภาคเหล่านี้ให้ราบ แล้วนำทรัพยากรอันมีค่ากลับมาสู่เผ่าของคุณ!
- การปรับปรุง: ปรับเกมแก๊ง, สงครามดาวเคราะห์, จดหมายและรายงานการต่อสู้, เควสต์, หีบการเล่นรายวัน, เงินคืนสุดพิเศษ และแพ็กอื่น ๆ
&lt;/th&gt;
&lt;es-419&gt;
- Nueva forma de juego: Exploración de Colin. Explora el mapa con la ayuda de tu nuevo amigo misterioso, Colin, y, ¡obtén increíbles recompensas! También puedes recolectar fragmentos especiales para desbloquear valiosos datos de los humanos.
- Nueva forma de juego: Incursiones Fronterizas. Enfrenta a los Mutantes y los Clanes enemigos en las regiones fronterizas y, ¡trae de vuelta las riquezas para tu Clan!
- Optimizaciones: Optimización de los Juegos de Banda, Guerras Planetarias, Correo y características de los reportes de batalla, misiones, cofres de acción diaria, Super Descuento y otros paquetes.
&lt;/es-419&gt;
&lt;ru-RU&gt;
- Новое событие: «Исследование Колина». Исследуйте карту с помощью загадочного нового друга Колина и получайте отличные награды! Также вы сможете собирать особые фрагменты для разблокировки ценных данных от людей.
- Новое событие: «Пограничные рейды». Сражайтесь с мутантами и вражескими кланами в пограничных регионах и добудьте драгоценные ресурсы для своего клана!
- Оптимизация: оптимизированы «Состязания банд», «Планетарные войны», функции почты и отчетов о боях, задания, ящики за ежедневные действия, супервозмещение и другие наборы.
&lt;/ru-RU&gt;
&lt;tr-TR&gt;
- Yeni etkinlik: Colin’in Keşfi. Gizemli yeni arkadaş Colin’le haritayı keşfet ve harika ödüller al! Kıymetli insan verilerinin kilidini açmak için özel parçalar da toplayabilirsin.
- Yeni etkinlik: Sınır Akınları. Sınır bölgelerindeki Mutantları ve düşman Klanları savuştur ve Klanın için kıymetli kaynakları geri getir!
- Optimizasyonlar: Çete Oyunları, Gezegen Savaşları, Posta ve savaş raporu özellikleri, maceralar, günlük eylem sandıkları, Süper İade ve diğer paketler optimize edildi.
&lt;/tr-TR&gt;
&lt;vi&gt;
- Sự kiện mới: Khám Phá Của Colin. Khám phá bản đồ cùng với người bạn bí ẩn mới, Colin, và nhận những phần thưởng hấp dẫn! Bạn cũng có thể thu thập các mảnh đặc biệt để mở khóa dữ liệu quý giá của con người.
- Sự kiện mới: Đột Kích Biên Giới. Hãy chống lại lũ Khỉ Đột Biến và các Bộ Lạc thù địch ở các khu vực biên giới và mang về những nguồn tài nguyên quí giá cho Bộ Lạc của bạn!
- Tối ưu hóa: Đã tối ưu Trò Chơi Bang Hội, Chiến Tranh Hành Tinh, Thư và các tính năng báo cáo trận chiến, nhiệm vụ, rương hành động hàng ngày, Siêu Giảm Giá, và các gói khác.
&lt;/vi&gt;
</v>
      </c>
      <c r="C34" s="44" t="str">
        <f>IFERROR(__xludf.DUMMYFUNCTION("""COMPUTED_VALUE"""),"-新增活动：科林的探索。通过神秘新伙伴科林的帮助，探索地图完成多种任务并获得丰富奖励吧！同时还能收集特殊碎片，解锁人类离开地球前的珍贵资料！
-新增活动：边境夺宝。驱逐盘踞在边境的变异猴群，摆脱外族敌人，将无比丰富的资源带回自己的氏族吧！
-优化内容：优化了帮派运动会、银河战争、邮件和战报功能、任务体验、每日活跃宝箱、超值回馈以及一些礼包；")</f>
        <v>-新增活动：科林的探索。通过神秘新伙伴科林的帮助，探索地图完成多种任务并获得丰富奖励吧！同时还能收集特殊碎片，解锁人类离开地球前的珍贵资料！
-新增活动：边境夺宝。驱逐盘踞在边境的变异猴群，摆脱外族敌人，将无比丰富的资源带回自己的氏族吧！
-优化内容：优化了帮派运动会、银河战争、邮件和战报功能、任务体验、每日活跃宝箱、超值回馈以及一些礼包；</v>
      </c>
      <c r="D34" s="160" t="str">
        <f>IFERROR(__xludf.DUMMYFUNCTION("""COMPUTED_VALUE"""),"- New event: Colin's Exploration. Explore the map with the mysterious new friend, Colin, and get great rewards! You can also collect special fragments to unlock precious human data.
- New event: Border Raids. Fend off the Mutants and enemy Clans in the bo"&amp;"rder regions and bring back precious resources for your Clan!
- Optimizations: optimized Gang Games, Planet Wars, Mail and battle report features, quests, daily action chests, Super Rebate, and other packs.")</f>
        <v>- New event: Colin's Exploration. Explore the map with the mysterious new friend, Colin, and get great rewards! You can also collect special fragments to unlock precious human data.
- New event: Border Raids. Fend off the Mutants and enemy Clans in the border regions and bring back precious resources for your Clan!
- Optimizations: optimized Gang Games, Planet Wars, Mail and battle report features, quests, daily action chests, Super Rebate, and other packs.</v>
      </c>
      <c r="E34" s="159" t="str">
        <f>IFERROR(__xludf.DUMMYFUNCTION("""COMPUTED_VALUE"""),"- Nouvel évènement: L'exploration de Colin. Explorez la carte avec Colin, un nouvel ami mystérieux, et obtenez des récompenses géniales! Vous pouvez aussi récupérer d'étranges fragments pour accéder à de précieuses données humaines.
- Nouvel évènement: Ra"&amp;"ids frontaliers. Repoussez les humains et les clans ennemis des régions frontalières et rapportez de précieuses ressources pour votre clan!
- Optimisation des Jeux de gangs, de la Guerre planétaire, de la messagerie et des rapports de bataille, des coffre"&amp;"s de quêtes quotidiennes, de la Super réduc et d'autres packs.")</f>
        <v>- Nouvel évènement: L'exploration de Colin. Explorez la carte avec Colin, un nouvel ami mystérieux, et obtenez des récompenses géniales! Vous pouvez aussi récupérer d'étranges fragments pour accéder à de précieuses données humaines.
- Nouvel évènement: Raids frontaliers. Repoussez les humains et les clans ennemis des régions frontalières et rapportez de précieuses ressources pour votre clan!
- Optimisation des Jeux de gangs, de la Guerre planétaire, de la messagerie et des rapports de bataille, des coffres de quêtes quotidiennes, de la Super réduc et d'autres packs.</v>
      </c>
      <c r="F34" s="159" t="str">
        <f>IFERROR(__xludf.DUMMYFUNCTION("""COMPUTED_VALUE"""),"- Neues Event: Colins Erkundungen. Erkunde die Karte mit der Hilfe eines mysteriösen neuen Freunds, Colin, und hol dir tolle Belohnungen! Du kannst auch spezielle Fragmente sammeln, mit denen du wertvolle Menschen-Daten freischalten kannst.
- Neues Event:"&amp;" Grenzüberfälle. Kämpfe in den Grenzregionen gegen Mutanten und feindliche Horden, um wertvolle Ressourcen für deine Horde in Besitz zu nehmen!
- Optimierungen: Clan-Spiele, Planetenkriege, Mail- und Kampfbericht-Features, Quests, tägliche Aktionstruhen, "&amp;"Superrabatt und andere Pakete optimiert.")</f>
        <v>- Neues Event: Colins Erkundungen. Erkunde die Karte mit der Hilfe eines mysteriösen neuen Freunds, Colin, und hol dir tolle Belohnungen! Du kannst auch spezielle Fragmente sammeln, mit denen du wertvolle Menschen-Daten freischalten kannst.
- Neues Event: Grenzüberfälle. Kämpfe in den Grenzregionen gegen Mutanten und feindliche Horden, um wertvolle Ressourcen für deine Horde in Besitz zu nehmen!
- Optimierungen: Clan-Spiele, Planetenkriege, Mail- und Kampfbericht-Features, Quests, tägliche Aktionstruhen, Superrabatt und andere Pakete optimiert.</v>
      </c>
      <c r="G34" s="159" t="str">
        <f>IFERROR(__xludf.DUMMYFUNCTION("""COMPUTED_VALUE"""),"- Novo evento: Exploração de Colin. Explore o mapa com um novo amigo misterioso, Colin, e obtenha grandes recompensas! Você também pode coletar fragmentos especiais para desbloquear dados humanos preciosos.
- Novo evento: Raides de Fronteira. Afaste os mu"&amp;"tantes e clãs inimigos nas regiões de fronteira e traga recursos preciosos de volta para o seu clã!
- Otimizações: melhorias nos jogos da gangue, Guerra Interplanetária, funções de relatório de batalha e de mensagens, missões, baús de ações diárias, Super"&amp;" Desconto e outros pacotes.")</f>
        <v>- Novo evento: Exploração de Colin. Explore o mapa com um novo amigo misterioso, Colin, e obtenha grandes recompensas! Você também pode coletar fragmentos especiais para desbloquear dados humanos preciosos.
- Novo evento: Raides de Fronteira. Afaste os mutantes e clãs inimigos nas regiões de fronteira e traga recursos preciosos de volta para o seu clã!
- Otimizações: melhorias nos jogos da gangue, Guerra Interplanetária, funções de relatório de batalha e de mensagens, missões, baús de ações diárias, Super Desconto e outros pacotes.</v>
      </c>
      <c r="H34" s="159" t="str">
        <f>IFERROR(__xludf.DUMMYFUNCTION("""COMPUTED_VALUE"""),"-新增活動：科林的探索。通過神秘新夥伴科林的幫助，探索地圖完成多種任務並獲得豐富獎勵吧！同時還能收集特殊碎片，解鎖人類離開地球前的珍貴資料！
-新增活動：邊境奪寶。驅逐盤踞在邊境的變異猴群，擺脫外族敵人，將無比豐富的資源帶回自己的氏族吧！
-優化內容：優化了幫派運動會、銀河戰爭、郵件和戰報功能、任務體驗、每日活躍寶箱、超值回饋以及一些禮包；")</f>
        <v>-新增活動：科林的探索。通過神秘新夥伴科林的幫助，探索地圖完成多種任務並獲得豐富獎勵吧！同時還能收集特殊碎片，解鎖人類離開地球前的珍貴資料！
-新增活動：邊境奪寶。驅逐盤踞在邊境的變異猴群，擺脫外族敵人，將無比豐富的資源帶回自己的氏族吧！
-優化內容：優化了幫派運動會、銀河戰爭、郵件和戰報功能、任務體驗、每日活躍寶箱、超值回饋以及一些禮包；</v>
      </c>
      <c r="I34" s="159" t="str">
        <f>IFERROR(__xludf.DUMMYFUNCTION("""COMPUTED_VALUE"""),"- Acara baru: Penjelajahan Colin. Jelajahi peta dengan teman baru yang misterius, Colin, dan dapatkan hadiah besar! Kamu juga bisa mengumpulkan fragmen khusus untuk membuka data manusia yang berharga.
- Acara baru: Serangan Perbatasan. Hancurkan Mutan ser"&amp;"ta Klan musuh di wilayah perbatasan dan bawa kembali sumber daya berharga untuk Klanmu!
- Optimasi: mengoptimalkan Game Geng, Perang Planet, Email dan fitur Email dan laporan pertempuran, misi, peti aksi harian, Potongan Harga Super, dan paket lainnya.")</f>
        <v>- Acara baru: Penjelajahan Colin. Jelajahi peta dengan teman baru yang misterius, Colin, dan dapatkan hadiah besar! Kamu juga bisa mengumpulkan fragmen khusus untuk membuka data manusia yang berharga.
- Acara baru: Serangan Perbatasan. Hancurkan Mutan serta Klan musuh di wilayah perbatasan dan bawa kembali sumber daya berharga untuk Klanmu!
- Optimasi: mengoptimalkan Game Geng, Perang Planet, Email dan fitur Email dan laporan pertempuran, misi, peti aksi harian, Potongan Harga Super, dan paket lainnya.</v>
      </c>
      <c r="J34" s="159" t="str">
        <f>IFERROR(__xludf.DUMMYFUNCTION("""COMPUTED_VALUE"""),"- กิจกรรมใหม่: การสำรวจของโคลิน สำรวจแผนที่กับโคลิน เพื่อนใหม่ผู้ลึกลับแล้วรับรางวัลมากมาย! และคุณยังสามารถรวบรวมชิ้นส่วนพิเศษเพื่อปลดล็อกข้อมูลอันล้ำค่าของมนุษย์ได้อีกด้วย
- กิจกรรมใหม่: การจู่โจมที่ชายแดน จัดการพวกมิวแตนต์และเผ่าศัตรูในภูมิภาคเหล่านี้ให"&amp;"้ราบ แล้วนำทรัพยากรอันมีค่ากลับมาสู่เผ่าของคุณ!
- การปรับปรุง: ปรับเกมแก๊ง, สงครามดาวเคราะห์, จดหมายและรายงานการต่อสู้, เควสต์, หีบการเล่นรายวัน, เงินคืนสุดพิเศษ และแพ็กอื่น ๆ")</f>
        <v>- กิจกรรมใหม่: การสำรวจของโคลิน สำรวจแผนที่กับโคลิน เพื่อนใหม่ผู้ลึกลับแล้วรับรางวัลมากมาย! และคุณยังสามารถรวบรวมชิ้นส่วนพิเศษเพื่อปลดล็อกข้อมูลอันล้ำค่าของมนุษย์ได้อีกด้วย
- กิจกรรมใหม่: การจู่โจมที่ชายแดน จัดการพวกมิวแตนต์และเผ่าศัตรูในภูมิภาคเหล่านี้ให้ราบ แล้วนำทรัพยากรอันมีค่ากลับมาสู่เผ่าของคุณ!
- การปรับปรุง: ปรับเกมแก๊ง, สงครามดาวเคราะห์, จดหมายและรายงานการต่อสู้, เควสต์, หีบการเล่นรายวัน, เงินคืนสุดพิเศษ และแพ็กอื่น ๆ</v>
      </c>
      <c r="K34" s="159" t="str">
        <f>IFERROR(__xludf.DUMMYFUNCTION("""COMPUTED_VALUE"""),"- Nueva forma de juego: Exploración de Colin. Explora el mapa con la ayuda de tu nuevo amigo misterioso, Colin, y, ¡obtén increíbles recompensas! También puedes recolectar fragmentos especiales para desbloquear valiosos datos de los humanos.
- Nueva forma"&amp;" de juego: Incursiones Fronterizas. Enfrenta a los Mutantes y los Clanes enemigos en las regiones fronterizas y, ¡trae de vuelta las riquezas para tu Clan!
- Optimizaciones: Optimización de los Juegos de Banda, Guerras Planetarias, Correo y característica"&amp;"s de los reportes de batalla, misiones, cofres de acción diaria, Super Descuento y otros paquetes.")</f>
        <v>- Nueva forma de juego: Exploración de Colin. Explora el mapa con la ayuda de tu nuevo amigo misterioso, Colin, y, ¡obtén increíbles recompensas! También puedes recolectar fragmentos especiales para desbloquear valiosos datos de los humanos.
- Nueva forma de juego: Incursiones Fronterizas. Enfrenta a los Mutantes y los Clanes enemigos en las regiones fronterizas y, ¡trae de vuelta las riquezas para tu Clan!
- Optimizaciones: Optimización de los Juegos de Banda, Guerras Planetarias, Correo y características de los reportes de batalla, misiones, cofres de acción diaria, Super Descuento y otros paquetes.</v>
      </c>
      <c r="L34" s="159" t="str">
        <f>IFERROR(__xludf.DUMMYFUNCTION("""COMPUTED_VALUE"""),"- Новое событие: «Исследование Колина». Исследуйте карту с помощью загадочного нового друга Колина и получайте отличные награды! Также вы сможете собирать особые фрагменты для разблокировки ценных данных от людей.
- Новое событие: «Пограничные рейды». Сра"&amp;"жайтесь с мутантами и вражескими кланами в пограничных регионах и добудьте драгоценные ресурсы для своего клана!
- Оптимизация: оптимизированы «Состязания банд», «Планетарные войны», функции почты и отчетов о боях, задания, ящики за ежедневные действия, с"&amp;"упервозмещение и другие наборы.")</f>
        <v>- Новое событие: «Исследование Колина». Исследуйте карту с помощью загадочного нового друга Колина и получайте отличные награды! Также вы сможете собирать особые фрагменты для разблокировки ценных данных от людей.
- Новое событие: «Пограничные рейды». Сражайтесь с мутантами и вражескими кланами в пограничных регионах и добудьте драгоценные ресурсы для своего клана!
- Оптимизация: оптимизированы «Состязания банд», «Планетарные войны», функции почты и отчетов о боях, задания, ящики за ежедневные действия, супервозмещение и другие наборы.</v>
      </c>
      <c r="M34" s="159" t="str">
        <f>IFERROR(__xludf.DUMMYFUNCTION("""COMPUTED_VALUE"""),"- Yeni etkinlik: Colin’in Keşfi. Gizemli yeni arkadaş Colin’le haritayı keşfet ve harika ödüller al! Kıymetli insan verilerinin kilidini açmak için özel parçalar da toplayabilirsin.
- Yeni etkinlik: Sınır Akınları. Sınır bölgelerindeki Mutantları ve düşma"&amp;"n Klanları savuştur ve Klanın için kıymetli kaynakları geri getir!
- Optimizasyonlar: Çete Oyunları, Gezegen Savaşları, Posta ve savaş raporu özellikleri, maceralar, günlük eylem sandıkları, Süper İade ve diğer paketler optimize edildi.")</f>
        <v>- Yeni etkinlik: Colin’in Keşfi. Gizemli yeni arkadaş Colin’le haritayı keşfet ve harika ödüller al! Kıymetli insan verilerinin kilidini açmak için özel parçalar da toplayabilirsin.
- Yeni etkinlik: Sınır Akınları. Sınır bölgelerindeki Mutantları ve düşman Klanları savuştur ve Klanın için kıymetli kaynakları geri getir!
- Optimizasyonlar: Çete Oyunları, Gezegen Savaşları, Posta ve savaş raporu özellikleri, maceralar, günlük eylem sandıkları, Süper İade ve diğer paketler optimize edildi.</v>
      </c>
      <c r="N34" s="45" t="str">
        <f>IFERROR(__xludf.DUMMYFUNCTION("""COMPUTED_VALUE"""),"- Sự kiện mới: Khám Phá Của Colin. Khám phá bản đồ cùng với người bạn bí ẩn mới, Colin, và nhận những phần thưởng hấp dẫn! Bạn cũng có thể thu thập các mảnh đặc biệt để mở khóa dữ liệu quý giá của con người.
- Sự kiện mới: Đột Kích Biên Giới. Hãy chống lạ"&amp;"i lũ Khỉ Đột Biến và các Bộ Lạc thù địch ở các khu vực biên giới và mang về những nguồn tài nguyên quí giá cho Bộ Lạc của bạn!
- Tối ưu hóa: Đã tối ưu Trò Chơi Bang Hội, Chiến Tranh Hành Tinh, Thư và các tính năng báo cáo trận chiến, nhiệm vụ, rương hành "&amp;"động hàng ngày, Siêu Giảm Giá, và các gói khác.")</f>
        <v>- Sự kiện mới: Khám Phá Của Colin. Khám phá bản đồ cùng với người bạn bí ẩn mới, Colin, và nhận những phần thưởng hấp dẫn! Bạn cũng có thể thu thập các mảnh đặc biệt để mở khóa dữ liệu quý giá của con người.
- Sự kiện mới: Đột Kích Biên Giới. Hãy chống lại lũ Khỉ Đột Biến và các Bộ Lạc thù địch ở các khu vực biên giới và mang về những nguồn tài nguyên quí giá cho Bộ Lạc của bạn!
- Tối ưu hóa: Đã tối ưu Trò Chơi Bang Hội, Chiến Tranh Hành Tinh, Thư và các tính năng báo cáo trận chiến, nhiệm vụ, rương hành động hàng ngày, Siêu Giảm Giá, và các gói khác.</v>
      </c>
      <c r="O34" s="45"/>
      <c r="P34" s="34"/>
      <c r="Q34" s="34"/>
      <c r="R34" s="34"/>
      <c r="S34" s="34"/>
      <c r="T34" s="108"/>
      <c r="U34" s="108"/>
      <c r="V34" s="108"/>
      <c r="W34" s="108"/>
      <c r="X34" s="108"/>
      <c r="Y34" s="108"/>
      <c r="Z34" s="108"/>
    </row>
    <row r="35" ht="72.0" customHeight="1">
      <c r="A35" s="149" t="str">
        <f>IFERROR(__xludf.DUMMYFUNCTION("""COMPUTED_VALUE"""),"0.31.0")</f>
        <v>0.31.0</v>
      </c>
      <c r="B35" s="174" t="str">
        <f>IFERROR(__xludf.DUMMYFUNCTION("""COMPUTED_VALUE"""),"&lt;en-US&gt;
- New gameplay: Alvin's Treasure Hunt. Alvin will lead other scouts to hunt for treasures among the ruins. But they've run into a problem! Use your mind to help them detangle from the ropes!
- New pack: added a beginner-exclusive pack. Exclusive b"&amp;"onus for new players! Get great items at a great value every day!
- New pack: added new Chip packs. Purchase the pack to permanently reduce Electronic Technology research time!
- Optimizations: Dr. Hogg's Revenge, Colin's Exploration, Primate Brawl, auto "&amp;"rally function, Astral Coliseum, Border Raids, 2nd building queue, map displays, Wonder Emporium, Fighter skills, and other interface displays.
&lt;/en-US&gt;
&lt;fr-FR&gt;
- Nouveau gameplay: la chasse aux trésors d'Alvin. Alvin va mener ses éclaireurs pour fouiller"&amp;" les ruines et dénicher des trésors. Mais il y a un hic! Faites preuve d'ingéniosité pour les aider à démêler les cordes!
- Nouveau pack exclusif pour les débutants. Des bonus réservés aux nouveaux joueurs! Recevez d'excellents objets tous les jours!
- No"&amp;"uveau pack de puces. Achetez ce pack pour réduire définitivement le temps de vos recherches électroniques!
- Optimisations: la Revanche du Dr Hogg, l'Exploration de Colin, la Baston des primates, la participation automatique aux raids, le Colisée astral, "&amp;"les raids frontaliers, la 2e file de construction, l'affichage de la carte, la halle aux merveilles, les compétences des combattants et certaines interfaces.
&lt;/fr-FR&gt;
&lt;de-DE&gt;
- Neues Gameplay: Alvins Schatzsuche. Alvin wird andere Kundschafter anführen, u"&amp;"m in den Ruinen nach Schätzen zu suchen. Aber sie sind auf ein Problem gestoßen! Nutze deinen Verstand, um ihnen zu helfen, sich aus den Seilen zu befreien!
 - Neues Paket: Es wurde ein spezielles Paket für Einsteiger hinzugefügt. Exklusiver Bonus für neu"&amp;"e Spieler! Erhalte jeden Tag tolle Items zu einem tollen Preis!
 - Neues Paket: Es wurden neue Chip-Pakete hinzugefügt. Kaufe das Paket, um die Forschungszeit der Elektronischen Technologie dauerhaft zu reduzieren!
 - Optimierungen: Dr. Hoggs Rache, Colin"&amp;"s Erkundung, Primatenkrawall, Auto-Sammelangriff-Funktion, Astral-Kolosseum, Grenzüberfälle, 2. Bauwarteschlange, Kartenanzeigen, Wunderladen, Fähigkeiten der Kämpfer und andere Interface-Anzeigen.
&lt;/de-DE&gt;
&lt;pt-BR&gt;
- Novo modo de jogo: Caça ao Tesouro de "&amp;"Alvin. Alvin liderará outros batedores para caçar tesouros em ruínas. Mas eles encontrarão um problema! Use a cabeça para ajudá-los a desenrolar as cordas!
 - Novo pacote: pacote exclusivo para iniciantes adicionado. Bônus exclusivo para novos jogadores! "&amp;"Obtenha bons itens de alto valor diariamente!
 - Novo pacote: adicionados novos pacotes de Chips. Compre o pacote para reduzir permanentemente o tempo de pesquisa em Tecnologia Eletrônica.
 - Melhorias: Vingança de Dr. Hogg, Exploração de Colin, Briga Pri"&amp;"mata, função de incursão automática, Coliseu Astral, Raides de Fronteira, 2º fila de construção, exibições de mapa, Empório Maravilha, habilidades de combatentes e outras exibições na interface.
&lt;/pt-BR&gt;
&lt;zh-HK&gt;
-新增玩法：艾文尋寶記。艾文率領的偵察猴小隊受命前往遺跡搜尋寶物，卻遭遇了預料之外的難"&amp;"題！還請指揮官運用智慧，幫他們解開困住彼此的繩索吧！
-新增禮包：新增新人專享禮包。新人專屬福利！豐富道具超值價格天天有！
-新增禮包：電子芯片禮包。購買禮包永久減少電子科技研究時間！
-優化內容：優化了霍格博士的複仇、科林的探索、全能競技場、自動集結功能、決戰衛星之巔、邊境奪寶、第二建造隊列、地圖表現、展覽館、鬥士技能以及一些遊戲內的界面表現；
&lt;/zh-HK&gt;
&lt;id&gt;
- Gameplay baru: Perburuan Harta Karun Alvin. Alvin membutuhkan pe"&amp;"ngintai untuk berburu harta karun di antara reruntuhan. Tetapi, mereka menghadapi masalah! Gunakan pikiranmu utnuk membantu mereka lepas dari tali!
 - Paket baru: menambahkan paket eksklusif pemula. Bonus eksklusif untuk pemain baru! Dapatkan item luar bi"&amp;"asa dengan nilai luar biasa setiap hari!
 - Paket baru: menambahkan paket Chip baru. Beli paket untuk mengurangi waktu penelitian Teknologi Elektronik secara permanen!
 - Pengoptimalan: Pembalasan Dr. Hogg, Penjelajahan Colin, Perkelahian Primata, fungsi "&amp;"reli otomatis, Koloseum Astral, Serangan Perbatasan, antrean bangunan ke-2, tampilan peta, Emporium Megah, keahlian Pejuang, dan tampillan antarmuka lainnya.
&lt;/id&gt;
&lt;th&gt;
- รูปแบบการเล่นใหม่: ล่าสมบัติของอัลวิน อัลวินจะนำหน่วยสอดแนมคนอื่น ๆ ออกล่าขุมทรัพย์ท"&amp;"่ามกลางซากปรักหักพัง แต่พวกเขาต้องเจอปัญหาเข้าเต็ม ๆ! ใช้ปัญญาสุดเฉียบของคุณเพื่อช่วยพวกเขาแกะตัวเองออกมาจากเชือกให้ได้!
 - แพ็กใหม่: เพิ่มแพ็กพิเศษเฉพาะสำหรับผู้เริ่มต้น โบนัสพิเศษสำหรับผู้เล่นใหม่! รับไอเทมสุดเจ๋งในราคาสุดคุ้มได้ทุกวัน!
 - แพ็กใหม่: เพิ"&amp;"่มแพ็กชิปใหม่ ซื้อแพ็กเพื่อลดเวลาในการวิจัยเทคโนโลยีอิเล็กทรอนิกส์แบบถาวร!
 - การปรับปรุงประสิทธิภาพ: การแก้แค้นของดร.ฮ็อกก์, การสำรวจของโคลิน, การวิวาทของเหล่าวานร, ฟังก์ชันการยกทีพอัตโนมัติ, โคลีเซียมดวงดาว, การจู่โจมที่ชายแดน, คิวการก่อสร้างที่ 2, การแ"&amp;"สดงแผนที่, วันเดอร์เอ็มโพเรียม, ทักษะของนักสู้ และการแสดงอินเทอร์เฟซอื่น ๆ
&lt;/th&gt;
&lt;es-419&gt;
- Nueva forma de juego: Búsqueda del Tesoro de Alvin. Alvin lidereara a otros exploradores en la búsqueda de tesoros entre las ruinas. ¡Pero se han topado con un pro"&amp;"blema! ¡Usa tu mente para ayudarles a desenredarse de las cuerdas!
 - Nuevo paquete: Se agregó un nuevo paquete exclusivo para novatos. ¡Bono exclusivo para los nuevos jugadores! ¡Obtén artículos increíbles con increíbles ofertas todos los días!
 - Nuevo "&amp;"paquete: Nuevos paquetes de Chips agregados. ¡Compra el paquete para reducir permanentemente el tiempo de investigación de la Tecnología Electrónica!
 - Optimizaciones: Venganza del Dr. Hogg, la Exploración de Colin, Lucha de Primates, función de auto con"&amp;"gregación, Coliseo Astral, Incursiones Fronterizas, 2a. fila de construcción, visualizaciones del mapa, Emporio de las Maravillas, Habilidades del Luchador y otras visualizaciones de interface.
&lt;/es-419&gt;
&lt;ru-RU&gt;
- Новый игровой процесс: Охота за сокровища"&amp;"ми Альвина. Альвин ведет других разведчиков на поиски сокровищ среди руин. Но они столкнулись с проблемой! Пошевелите мозгами и помогите им выпутаться из веревок!
- Новый набор: добавлен эксклюзивный набор для новичков. Уникальный бонус для новых игроков!"&amp;" Получайте отличные предметы по выгодной цене каждый день!
- Новый набор: добавлены новые наборы чипов. Приобретите этот набор, чтобы навсегда сократить время исследования электронных технологий!
- Оптимизации: Месть доктора Хогга, Исследования Колина, По"&amp;"тасовка приматов, функция автоприсоединения к походам, Астральный Колизей, Пограничные рейды, вторая очередь строительства, отображение карты, Зал чудес, навыки героев и другие элементы интерфейса.
&lt;/ru-RU&gt;
&lt;tr-TR&gt;
- Yeni oynanış: Alvin’in Hazine Avı. Alv"&amp;"in, diğer gözcülere harabeler arasında hazine bulmaları için yol gösterecek. Ancak bir sorunla karşılaştılar! İplerden kurtulmalarına yardımcı olmak için aklını kullan!
 - Yeni paket: yeni başlayanlara özel bir paket eklendi. Yeni oyuncular için özel bonu"&amp;"s! Her gün harika bir fiyata harika eşyalar al!
 - Yeni paket: yeni Çip paketleri eklendi. Elektronik Teknoloji araştırma süresini kalıcı olarak azaltmak için paket satın al!
 - Optimizasyonlar: Dr. Hogg’un İntikamı, Colin’in Keşfi, Primat Kavgası, otomat"&amp;"ik toplu saldırı işlevi, Yıldız Kolezyumu, Sınır Akınları, 2. inşaat sırası, harita görünümleri, Harikalar Dükkânı, Savaşçı becerileri ve diğer arayüz görünümleri.
&lt;/tr-TR&gt;
&lt;vi&gt;
- Lối chơi mới: Săn Kho Báu của Alvin. Alvin sẽ dẫn dắt các trinh sát khác đi"&amp;" săn kho báu trong các tàn tích. Nhưng họ đã gặp rắc rối! Hãy sử dụng trí tuệ của bạn để giúp họ gỡ dây thừng bị rối!
 - Gói mới: thêm gói độc quyền tân thủ. Thưởng độc quyền cho những người chơi mới! Nhận những vật phẩm giá trị lớn mỗi ngày!
 - Gói mới: "&amp;"thêm gói Chip mới. Mua gói để giảm vĩnh viễn thời gian nghiên cứu Công Nghệ Điện Tử!
 - Tối ưu hóa: Trận Phục Thù của Tiến Sĩ Hogg, Khám Phá Của Colin, Linh Trưởng Brawl, chức năng tự động tập hợp, Đại Đấu Trường Thiên Thể, Đột Kích Biên Giới, hàng chờ xâ"&amp;"y dựng thứ 2, hiển thị bản đồ, Trung Tâm Thương Mại Kỳ Thú, kỹ năng Chiến Binh, và hiển thị các giao diện khác.
&lt;/vi&gt;
")</f>
        <v>&lt;en-US&gt;
- New gameplay: Alvin's Treasure Hunt. Alvin will lead other scouts to hunt for treasures among the ruins. But they've run into a problem! Use your mind to help them detangle from the ropes!
- New pack: added a beginner-exclusive pack. Exclusive bonus for new players! Get great items at a great value every day!
- New pack: added new Chip packs. Purchase the pack to permanently reduce Electronic Technology research time!
- Optimizations: Dr. Hogg's Revenge, Colin's Exploration, Primate Brawl, auto rally function, Astral Coliseum, Border Raids, 2nd building queue, map displays, Wonder Emporium, Fighter skills, and other interface displays.
&lt;/en-US&gt;
&lt;fr-FR&gt;
- Nouveau gameplay: la chasse aux trésors d'Alvin. Alvin va mener ses éclaireurs pour fouiller les ruines et dénicher des trésors. Mais il y a un hic! Faites preuve d'ingéniosité pour les aider à démêler les cordes!
- Nouveau pack exclusif pour les débutants. Des bonus réservés aux nouveaux joueurs! Recevez d'excellents objets tous les jours!
- Nouveau pack de puces. Achetez ce pack pour réduire définitivement le temps de vos recherches électroniques!
- Optimisations: la Revanche du Dr Hogg, l'Exploration de Colin, la Baston des primates, la participation automatique aux raids, le Colisée astral, les raids frontaliers, la 2e file de construction, l'affichage de la carte, la halle aux merveilles, les compétences des combattants et certaines interfaces.
&lt;/fr-FR&gt;
&lt;de-DE&gt;
- Neues Gameplay: Alvins Schatzsuche. Alvin wird andere Kundschafter anführen, um in den Ruinen nach Schätzen zu suchen. Aber sie sind auf ein Problem gestoßen! Nutze deinen Verstand, um ihnen zu helfen, sich aus den Seilen zu befreien!
 - Neues Paket: Es wurde ein spezielles Paket für Einsteiger hinzugefügt. Exklusiver Bonus für neue Spieler! Erhalte jeden Tag tolle Items zu einem tollen Preis!
 - Neues Paket: Es wurden neue Chip-Pakete hinzugefügt. Kaufe das Paket, um die Forschungszeit der Elektronischen Technologie dauerhaft zu reduzieren!
 - Optimierungen: Dr. Hoggs Rache, Colins Erkundung, Primatenkrawall, Auto-Sammelangriff-Funktion, Astral-Kolosseum, Grenzüberfälle, 2. Bauwarteschlange, Kartenanzeigen, Wunderladen, Fähigkeiten der Kämpfer und andere Interface-Anzeigen.
&lt;/de-DE&gt;
&lt;pt-BR&gt;
- Novo modo de jogo: Caça ao Tesouro de Alvin. Alvin liderará outros batedores para caçar tesouros em ruínas. Mas eles encontrarão um problema! Use a cabeça para ajudá-los a desenrolar as cordas!
 - Novo pacote: pacote exclusivo para iniciantes adicionado. Bônus exclusivo para novos jogadores! Obtenha bons itens de alto valor diariamente!
 - Novo pacote: adicionados novos pacotes de Chips. Compre o pacote para reduzir permanentemente o tempo de pesquisa em Tecnologia Eletrônica.
 - Melhorias: Vingança de Dr. Hogg, Exploração de Colin, Briga Primata, função de incursão automática, Coliseu Astral, Raides de Fronteira, 2º fila de construção, exibições de mapa, Empório Maravilha, habilidades de combatentes e outras exibições na interface.
&lt;/pt-BR&gt;
&lt;zh-HK&gt;
-新增玩法：艾文尋寶記。艾文率領的偵察猴小隊受命前往遺跡搜尋寶物，卻遭遇了預料之外的難題！還請指揮官運用智慧，幫他們解開困住彼此的繩索吧！
-新增禮包：新增新人專享禮包。新人專屬福利！豐富道具超值價格天天有！
-新增禮包：電子芯片禮包。購買禮包永久減少電子科技研究時間！
-優化內容：優化了霍格博士的複仇、科林的探索、全能競技場、自動集結功能、決戰衛星之巔、邊境奪寶、第二建造隊列、地圖表現、展覽館、鬥士技能以及一些遊戲內的界面表現；
&lt;/zh-HK&gt;
&lt;id&gt;
- Gameplay baru: Perburuan Harta Karun Alvin. Alvin membutuhkan pengintai untuk berburu harta karun di antara reruntuhan. Tetapi, mereka menghadapi masalah! Gunakan pikiranmu utnuk membantu mereka lepas dari tali!
 - Paket baru: menambahkan paket eksklusif pemula. Bonus eksklusif untuk pemain baru! Dapatkan item luar biasa dengan nilai luar biasa setiap hari!
 - Paket baru: menambahkan paket Chip baru. Beli paket untuk mengurangi waktu penelitian Teknologi Elektronik secara permanen!
 - Pengoptimalan: Pembalasan Dr. Hogg, Penjelajahan Colin, Perkelahian Primata, fungsi reli otomatis, Koloseum Astral, Serangan Perbatasan, antrean bangunan ke-2, tampilan peta, Emporium Megah, keahlian Pejuang, dan tampillan antarmuka lainnya.
&lt;/id&gt;
&lt;th&gt;
- รูปแบบการเล่นใหม่: ล่าสมบัติของอัลวิน อัลวินจะนำหน่วยสอดแนมคนอื่น ๆ ออกล่าขุมทรัพย์ท่ามกลางซากปรักหักพัง แต่พวกเขาต้องเจอปัญหาเข้าเต็ม ๆ! ใช้ปัญญาสุดเฉียบของคุณเพื่อช่วยพวกเขาแกะตัวเองออกมาจากเชือกให้ได้!
 - แพ็กใหม่: เพิ่มแพ็กพิเศษเฉพาะสำหรับผู้เริ่มต้น โบนัสพิเศษสำหรับผู้เล่นใหม่! รับไอเทมสุดเจ๋งในราคาสุดคุ้มได้ทุกวัน!
 - แพ็กใหม่: เพิ่มแพ็กชิปใหม่ ซื้อแพ็กเพื่อลดเวลาในการวิจัยเทคโนโลยีอิเล็กทรอนิกส์แบบถาวร!
 - การปรับปรุงประสิทธิภาพ: การแก้แค้นของดร.ฮ็อกก์, การสำรวจของโคลิน, การวิวาทของเหล่าวานร, ฟังก์ชันการยกทีพอัตโนมัติ, โคลีเซียมดวงดาว, การจู่โจมที่ชายแดน, คิวการก่อสร้างที่ 2, การแสดงแผนที่, วันเดอร์เอ็มโพเรียม, ทักษะของนักสู้ และการแสดงอินเทอร์เฟซอื่น ๆ
&lt;/th&gt;
&lt;es-419&gt;
- Nueva forma de juego: Búsqueda del Tesoro de Alvin. Alvin lidereara a otros exploradores en la búsqueda de tesoros entre las ruinas. ¡Pero se han topado con un problema! ¡Usa tu mente para ayudarles a desenredarse de las cuerdas!
 - Nuevo paquete: Se agregó un nuevo paquete exclusivo para novatos. ¡Bono exclusivo para los nuevos jugadores! ¡Obtén artículos increíbles con increíbles ofertas todos los días!
 - Nuevo paquete: Nuevos paquetes de Chips agregados. ¡Compra el paquete para reducir permanentemente el tiempo de investigación de la Tecnología Electrónica!
 - Optimizaciones: Venganza del Dr. Hogg, la Exploración de Colin, Lucha de Primates, función de auto congregación, Coliseo Astral, Incursiones Fronterizas, 2a. fila de construcción, visualizaciones del mapa, Emporio de las Maravillas, Habilidades del Luchador y otras visualizaciones de interface.
&lt;/es-419&gt;
&lt;ru-RU&gt;
- Новый игровой процесс: Охота за сокровищами Альвина. Альвин ведет других разведчиков на поиски сокровищ среди руин. Но они столкнулись с проблемой! Пошевелите мозгами и помогите им выпутаться из веревок!
- Новый набор: добавлен эксклюзивный набор для новичков. Уникальный бонус для новых игроков! Получайте отличные предметы по выгодной цене каждый день!
- Новый набор: добавлены новые наборы чипов. Приобретите этот набор, чтобы навсегда сократить время исследования электронных технологий!
- Оптимизации: Месть доктора Хогга, Исследования Колина, Потасовка приматов, функция автоприсоединения к походам, Астральный Колизей, Пограничные рейды, вторая очередь строительства, отображение карты, Зал чудес, навыки героев и другие элементы интерфейса.
&lt;/ru-RU&gt;
&lt;tr-TR&gt;
- Yeni oynanış: Alvin’in Hazine Avı. Alvin, diğer gözcülere harabeler arasında hazine bulmaları için yol gösterecek. Ancak bir sorunla karşılaştılar! İplerden kurtulmalarına yardımcı olmak için aklını kullan!
 - Yeni paket: yeni başlayanlara özel bir paket eklendi. Yeni oyuncular için özel bonus! Her gün harika bir fiyata harika eşyalar al!
 - Yeni paket: yeni Çip paketleri eklendi. Elektronik Teknoloji araştırma süresini kalıcı olarak azaltmak için paket satın al!
 - Optimizasyonlar: Dr. Hogg’un İntikamı, Colin’in Keşfi, Primat Kavgası, otomatik toplu saldırı işlevi, Yıldız Kolezyumu, Sınır Akınları, 2. inşaat sırası, harita görünümleri, Harikalar Dükkânı, Savaşçı becerileri ve diğer arayüz görünümleri.
&lt;/tr-TR&gt;
&lt;vi&gt;
- Lối chơi mới: Săn Kho Báu của Alvin. Alvin sẽ dẫn dắt các trinh sát khác đi săn kho báu trong các tàn tích. Nhưng họ đã gặp rắc rối! Hãy sử dụng trí tuệ của bạn để giúp họ gỡ dây thừng bị rối!
 - Gói mới: thêm gói độc quyền tân thủ. Thưởng độc quyền cho những người chơi mới! Nhận những vật phẩm giá trị lớn mỗi ngày!
 - Gói mới: thêm gói Chip mới. Mua gói để giảm vĩnh viễn thời gian nghiên cứu Công Nghệ Điện Tử!
 - Tối ưu hóa: Trận Phục Thù của Tiến Sĩ Hogg, Khám Phá Của Colin, Linh Trưởng Brawl, chức năng tự động tập hợp, Đại Đấu Trường Thiên Thể, Đột Kích Biên Giới, hàng chờ xây dựng thứ 2, hiển thị bản đồ, Trung Tâm Thương Mại Kỳ Thú, kỹ năng Chiến Binh, và hiển thị các giao diện khác.
&lt;/vi&gt;
</v>
      </c>
      <c r="C35" s="44" t="str">
        <f>IFERROR(__xludf.DUMMYFUNCTION("""COMPUTED_VALUE"""),"-新增玩法：艾文寻宝记。艾文率领的侦察猴小队受命前往遗迹搜寻宝物，却遭遇了预料之外的难题！还请指挥官运用智慧，帮他们解开困住彼此的绳索吧！
-新增礼包：新增新人专享礼包。新人专属福利！丰富道具超值价格天天有！
-新增礼包：电子芯片礼包。购买礼包永久减少电子科技研究时间！
-优化内容：优化了霍格博士的复仇、科林的探索、全能竞技场、自动集结功能、决战卫星之巅、边境夺宝、第二建造队列、地图表现、展览馆、斗士技能以及一些游戏内的界面表现；")</f>
        <v>-新增玩法：艾文寻宝记。艾文率领的侦察猴小队受命前往遗迹搜寻宝物，却遭遇了预料之外的难题！还请指挥官运用智慧，帮他们解开困住彼此的绳索吧！
-新增礼包：新增新人专享礼包。新人专属福利！丰富道具超值价格天天有！
-新增礼包：电子芯片礼包。购买礼包永久减少电子科技研究时间！
-优化内容：优化了霍格博士的复仇、科林的探索、全能竞技场、自动集结功能、决战卫星之巅、边境夺宝、第二建造队列、地图表现、展览馆、斗士技能以及一些游戏内的界面表现；</v>
      </c>
      <c r="D35" s="159" t="str">
        <f>IFERROR(__xludf.DUMMYFUNCTION("""COMPUTED_VALUE"""),"- New gameplay: Alvin's Treasure Hunt. Alvin will lead other scouts to hunt for treasures among the ruins. But they've run into a problem! Use your mind to help them detangle from the ropes!
- New pack: added a beginner-exclusive pack. Exclusive bonus for"&amp;" new players! Get great items at a great value every day!
- New pack: added new Chip packs. Purchase the pack to permanently reduce Electronic Technology research time!
- Optimizations: Dr. Hogg's Revenge, Colin's Exploration, Primate Brawl, auto rally fu"&amp;"nction, Astral Coliseum, Border Raids, 2nd building queue, map displays, Wonder Emporium, Fighter skills, and other interface displays.")</f>
        <v>- New gameplay: Alvin's Treasure Hunt. Alvin will lead other scouts to hunt for treasures among the ruins. But they've run into a problem! Use your mind to help them detangle from the ropes!
- New pack: added a beginner-exclusive pack. Exclusive bonus for new players! Get great items at a great value every day!
- New pack: added new Chip packs. Purchase the pack to permanently reduce Electronic Technology research time!
- Optimizations: Dr. Hogg's Revenge, Colin's Exploration, Primate Brawl, auto rally function, Astral Coliseum, Border Raids, 2nd building queue, map displays, Wonder Emporium, Fighter skills, and other interface displays.</v>
      </c>
      <c r="E35" s="160" t="str">
        <f>IFERROR(__xludf.DUMMYFUNCTION("""COMPUTED_VALUE"""),"- Nouveau gameplay: la chasse aux trésors d'Alvin. Alvin va mener ses éclaireurs pour fouiller les ruines et dénicher des trésors. Mais il y a un hic! Faites preuve d'ingéniosité pour les aider à démêler les cordes!
- Nouveau pack exclusif pour les débuta"&amp;"nts. Des bonus réservés aux nouveaux joueurs! Recevez d'excellents objets tous les jours!
- Nouveau pack de puces. Achetez ce pack pour réduire définitivement le temps de vos recherches électroniques!
- Optimisations: la Revanche du Dr Hogg, l'Exploration"&amp;" de Colin, la Baston des primates, la participation automatique aux raids, le Colisée astral, les raids frontaliers, la 2e file de construction, l'affichage de la carte, la halle aux merveilles, les compétences des combattants et certaines interfaces.")</f>
        <v>- Nouveau gameplay: la chasse aux trésors d'Alvin. Alvin va mener ses éclaireurs pour fouiller les ruines et dénicher des trésors. Mais il y a un hic! Faites preuve d'ingéniosité pour les aider à démêler les cordes!
- Nouveau pack exclusif pour les débutants. Des bonus réservés aux nouveaux joueurs! Recevez d'excellents objets tous les jours!
- Nouveau pack de puces. Achetez ce pack pour réduire définitivement le temps de vos recherches électroniques!
- Optimisations: la Revanche du Dr Hogg, l'Exploration de Colin, la Baston des primates, la participation automatique aux raids, le Colisée astral, les raids frontaliers, la 2e file de construction, l'affichage de la carte, la halle aux merveilles, les compétences des combattants et certaines interfaces.</v>
      </c>
      <c r="F35" s="160" t="str">
        <f>IFERROR(__xludf.DUMMYFUNCTION("""COMPUTED_VALUE"""),"- Neues Gameplay: Alvins Schatzsuche. Alvin wird andere Kundschafter anführen, um in den Ruinen nach Schätzen zu suchen. Aber sie sind auf ein Problem gestoßen! Nutze deinen Verstand, um ihnen zu helfen, sich aus den Seilen zu befreien!
 - Neues Paket: Es"&amp;" wurde ein spezielles Paket für Einsteiger hinzugefügt. Exklusiver Bonus für neue Spieler! Erhalte jeden Tag tolle Items zu einem tollen Preis!
 - Neues Paket: Es wurden neue Chip-Pakete hinzugefügt. Kaufe das Paket, um die Forschungszeit der Elektronisch"&amp;"en Technologie dauerhaft zu reduzieren!
 - Optimierungen: Dr. Hoggs Rache, Colins Erkundung, Primatenkrawall, Auto-Sammelangriff-Funktion, Astral-Kolosseum, Grenzüberfälle, 2. Bauwarteschlange, Kartenanzeigen, Wunderladen, Fähigkeiten der Kämpfer und ande"&amp;"re Interface-Anzeigen.")</f>
        <v>- Neues Gameplay: Alvins Schatzsuche. Alvin wird andere Kundschafter anführen, um in den Ruinen nach Schätzen zu suchen. Aber sie sind auf ein Problem gestoßen! Nutze deinen Verstand, um ihnen zu helfen, sich aus den Seilen zu befreien!
 - Neues Paket: Es wurde ein spezielles Paket für Einsteiger hinzugefügt. Exklusiver Bonus für neue Spieler! Erhalte jeden Tag tolle Items zu einem tollen Preis!
 - Neues Paket: Es wurden neue Chip-Pakete hinzugefügt. Kaufe das Paket, um die Forschungszeit der Elektronischen Technologie dauerhaft zu reduzieren!
 - Optimierungen: Dr. Hoggs Rache, Colins Erkundung, Primatenkrawall, Auto-Sammelangriff-Funktion, Astral-Kolosseum, Grenzüberfälle, 2. Bauwarteschlange, Kartenanzeigen, Wunderladen, Fähigkeiten der Kämpfer und andere Interface-Anzeigen.</v>
      </c>
      <c r="G35" s="160" t="str">
        <f>IFERROR(__xludf.DUMMYFUNCTION("""COMPUTED_VALUE"""),"- Novo modo de jogo: Caça ao Tesouro de Alvin. Alvin liderará outros batedores para caçar tesouros em ruínas. Mas eles encontrarão um problema! Use a cabeça para ajudá-los a desenrolar as cordas!
 - Novo pacote: pacote exclusivo para iniciantes adicionado"&amp;". Bônus exclusivo para novos jogadores! Obtenha bons itens de alto valor diariamente!
 - Novo pacote: adicionados novos pacotes de Chips. Compre o pacote para reduzir permanentemente o tempo de pesquisa em Tecnologia Eletrônica.
 - Melhorias: Vingança de "&amp;"Dr. Hogg, Exploração de Colin, Briga Primata, função de incursão automática, Coliseu Astral, Raides de Fronteira, 2º fila de construção, exibições de mapa, Empório Maravilha, habilidades de combatentes e outras exibições na interface.")</f>
        <v>- Novo modo de jogo: Caça ao Tesouro de Alvin. Alvin liderará outros batedores para caçar tesouros em ruínas. Mas eles encontrarão um problema! Use a cabeça para ajudá-los a desenrolar as cordas!
 - Novo pacote: pacote exclusivo para iniciantes adicionado. Bônus exclusivo para novos jogadores! Obtenha bons itens de alto valor diariamente!
 - Novo pacote: adicionados novos pacotes de Chips. Compre o pacote para reduzir permanentemente o tempo de pesquisa em Tecnologia Eletrônica.
 - Melhorias: Vingança de Dr. Hogg, Exploração de Colin, Briga Primata, função de incursão automática, Coliseu Astral, Raides de Fronteira, 2º fila de construção, exibições de mapa, Empório Maravilha, habilidades de combatentes e outras exibições na interface.</v>
      </c>
      <c r="H35" s="159" t="str">
        <f>IFERROR(__xludf.DUMMYFUNCTION("""COMPUTED_VALUE"""),"-新增玩法：艾文尋寶記。艾文率領的偵察猴小隊受命前往遺跡搜尋寶物，卻遭遇了預料之外的難題！還請指揮官運用智慧，幫他們解開困住彼此的繩索吧！
-新增禮包：新增新人專享禮包。新人專屬福利！豐富道具超值價格天天有！
-新增禮包：電子芯片禮包。購買禮包永久減少電子科技研究時間！
-優化內容：優化了霍格博士的複仇、科林的探索、全能競技場、自動集結功能、決戰衛星之巔、邊境奪寶、第二建造隊列、地圖表現、展覽館、鬥士技能以及一些遊戲內的界面表現；")</f>
        <v>-新增玩法：艾文尋寶記。艾文率領的偵察猴小隊受命前往遺跡搜尋寶物，卻遭遇了預料之外的難題！還請指揮官運用智慧，幫他們解開困住彼此的繩索吧！
-新增禮包：新增新人專享禮包。新人專屬福利！豐富道具超值價格天天有！
-新增禮包：電子芯片禮包。購買禮包永久減少電子科技研究時間！
-優化內容：優化了霍格博士的複仇、科林的探索、全能競技場、自動集結功能、決戰衛星之巔、邊境奪寶、第二建造隊列、地圖表現、展覽館、鬥士技能以及一些遊戲內的界面表現；</v>
      </c>
      <c r="I35" s="160" t="str">
        <f>IFERROR(__xludf.DUMMYFUNCTION("""COMPUTED_VALUE"""),"- Gameplay baru: Perburuan Harta Karun Alvin. Alvin membutuhkan pengintai untuk berburu harta karun di antara reruntuhan. Tetapi, mereka menghadapi masalah! Gunakan pikiranmu utnuk membantu mereka lepas dari tali!
 - Paket baru: menambahkan paket eksklusi"&amp;"f pemula. Bonus eksklusif untuk pemain baru! Dapatkan item luar biasa dengan nilai luar biasa setiap hari!
 - Paket baru: menambahkan paket Chip baru. Beli paket untuk mengurangi waktu penelitian Teknologi Elektronik secara permanen!
 - Pengoptimalan: Pem"&amp;"balasan Dr. Hogg, Penjelajahan Colin, Perkelahian Primata, fungsi reli otomatis, Koloseum Astral, Serangan Perbatasan, antrean bangunan ke-2, tampilan peta, Emporium Megah, keahlian Pejuang, dan tampillan antarmuka lainnya.")</f>
        <v>- Gameplay baru: Perburuan Harta Karun Alvin. Alvin membutuhkan pengintai untuk berburu harta karun di antara reruntuhan. Tetapi, mereka menghadapi masalah! Gunakan pikiranmu utnuk membantu mereka lepas dari tali!
 - Paket baru: menambahkan paket eksklusif pemula. Bonus eksklusif untuk pemain baru! Dapatkan item luar biasa dengan nilai luar biasa setiap hari!
 - Paket baru: menambahkan paket Chip baru. Beli paket untuk mengurangi waktu penelitian Teknologi Elektronik secara permanen!
 - Pengoptimalan: Pembalasan Dr. Hogg, Penjelajahan Colin, Perkelahian Primata, fungsi reli otomatis, Koloseum Astral, Serangan Perbatasan, antrean bangunan ke-2, tampilan peta, Emporium Megah, keahlian Pejuang, dan tampillan antarmuka lainnya.</v>
      </c>
      <c r="J35" s="159" t="str">
        <f>IFERROR(__xludf.DUMMYFUNCTION("""COMPUTED_VALUE"""),"- รูปแบบการเล่นใหม่: ล่าสมบัติของอัลวิน อัลวินจะนำหน่วยสอดแนมคนอื่น ๆ ออกล่าขุมทรัพย์ท่ามกลางซากปรักหักพัง แต่พวกเขาต้องเจอปัญหาเข้าเต็ม ๆ! ใช้ปัญญาสุดเฉียบของคุณเพื่อช่วยพวกเขาแกะตัวเองออกมาจากเชือกให้ได้!
 - แพ็กใหม่: เพิ่มแพ็กพิเศษเฉพาะสำหรับผู้เริ่มต้"&amp;"น โบนัสพิเศษสำหรับผู้เล่นใหม่! รับไอเทมสุดเจ๋งในราคาสุดคุ้มได้ทุกวัน!
 - แพ็กใหม่: เพิ่มแพ็กชิปใหม่ ซื้อแพ็กเพื่อลดเวลาในการวิจัยเทคโนโลยีอิเล็กทรอนิกส์แบบถาวร!
 - การปรับปรุงประสิทธิภาพ: การแก้แค้นของดร.ฮ็อกก์, การสำรวจของโคลิน, การวิวาทของเหล่าวานร, ฟัง"&amp;"ก์ชันการยกทีพอัตโนมัติ, โคลีเซียมดวงดาว, การจู่โจมที่ชายแดน, คิวการก่อสร้างที่ 2, การแสดงแผนที่, วันเดอร์เอ็มโพเรียม, ทักษะของนักสู้ และการแสดงอินเทอร์เฟซอื่น ๆ")</f>
        <v>- รูปแบบการเล่นใหม่: ล่าสมบัติของอัลวิน อัลวินจะนำหน่วยสอดแนมคนอื่น ๆ ออกล่าขุมทรัพย์ท่ามกลางซากปรักหักพัง แต่พวกเขาต้องเจอปัญหาเข้าเต็ม ๆ! ใช้ปัญญาสุดเฉียบของคุณเพื่อช่วยพวกเขาแกะตัวเองออกมาจากเชือกให้ได้!
 - แพ็กใหม่: เพิ่มแพ็กพิเศษเฉพาะสำหรับผู้เริ่มต้น โบนัสพิเศษสำหรับผู้เล่นใหม่! รับไอเทมสุดเจ๋งในราคาสุดคุ้มได้ทุกวัน!
 - แพ็กใหม่: เพิ่มแพ็กชิปใหม่ ซื้อแพ็กเพื่อลดเวลาในการวิจัยเทคโนโลยีอิเล็กทรอนิกส์แบบถาวร!
 - การปรับปรุงประสิทธิภาพ: การแก้แค้นของดร.ฮ็อกก์, การสำรวจของโคลิน, การวิวาทของเหล่าวานร, ฟังก์ชันการยกทีพอัตโนมัติ, โคลีเซียมดวงดาว, การจู่โจมที่ชายแดน, คิวการก่อสร้างที่ 2, การแสดงแผนที่, วันเดอร์เอ็มโพเรียม, ทักษะของนักสู้ และการแสดงอินเทอร์เฟซอื่น ๆ</v>
      </c>
      <c r="K35" s="160" t="str">
        <f>IFERROR(__xludf.DUMMYFUNCTION("""COMPUTED_VALUE"""),"- Nueva forma de juego: Búsqueda del Tesoro de Alvin. Alvin lidereara a otros exploradores en la búsqueda de tesoros entre las ruinas. ¡Pero se han topado con un problema! ¡Usa tu mente para ayudarles a desenredarse de las cuerdas!
 - Nuevo paquete: Se ag"&amp;"regó un nuevo paquete exclusivo para novatos. ¡Bono exclusivo para los nuevos jugadores! ¡Obtén artículos increíbles con increíbles ofertas todos los días!
 - Nuevo paquete: Nuevos paquetes de Chips agregados. ¡Compra el paquete para reducir permanentemen"&amp;"te el tiempo de investigación de la Tecnología Electrónica!
 - Optimizaciones: Venganza del Dr. Hogg, la Exploración de Colin, Lucha de Primates, función de auto congregación, Coliseo Astral, Incursiones Fronterizas, 2a. fila de construcción, visualizacio"&amp;"nes del mapa, Emporio de las Maravillas, Habilidades del Luchador y otras visualizaciones de interface.")</f>
        <v>- Nueva forma de juego: Búsqueda del Tesoro de Alvin. Alvin lidereara a otros exploradores en la búsqueda de tesoros entre las ruinas. ¡Pero se han topado con un problema! ¡Usa tu mente para ayudarles a desenredarse de las cuerdas!
 - Nuevo paquete: Se agregó un nuevo paquete exclusivo para novatos. ¡Bono exclusivo para los nuevos jugadores! ¡Obtén artículos increíbles con increíbles ofertas todos los días!
 - Nuevo paquete: Nuevos paquetes de Chips agregados. ¡Compra el paquete para reducir permanentemente el tiempo de investigación de la Tecnología Electrónica!
 - Optimizaciones: Venganza del Dr. Hogg, la Exploración de Colin, Lucha de Primates, función de auto congregación, Coliseo Astral, Incursiones Fronterizas, 2a. fila de construcción, visualizaciones del mapa, Emporio de las Maravillas, Habilidades del Luchador y otras visualizaciones de interface.</v>
      </c>
      <c r="L35" s="159" t="str">
        <f>IFERROR(__xludf.DUMMYFUNCTION("""COMPUTED_VALUE"""),"- Новый игровой процесс: Охота за сокровищами Альвина. Альвин ведет других разведчиков на поиски сокровищ среди руин. Но они столкнулись с проблемой! Пошевелите мозгами и помогите им выпутаться из веревок!
- Новый набор: добавлен эксклюзивный набор для но"&amp;"вичков. Уникальный бонус для новых игроков! Получайте отличные предметы по выгодной цене каждый день!
- Новый набор: добавлены новые наборы чипов. Приобретите этот набор, чтобы навсегда сократить время исследования электронных технологий!
- Оптимизации: М"&amp;"есть доктора Хогга, Исследования Колина, Потасовка приматов, функция автоприсоединения к походам, Астральный Колизей, Пограничные рейды, вторая очередь строительства, отображение карты, Зал чудес, навыки героев и другие элементы интерфейса.")</f>
        <v>- Новый игровой процесс: Охота за сокровищами Альвина. Альвин ведет других разведчиков на поиски сокровищ среди руин. Но они столкнулись с проблемой! Пошевелите мозгами и помогите им выпутаться из веревок!
- Новый набор: добавлен эксклюзивный набор для новичков. Уникальный бонус для новых игроков! Получайте отличные предметы по выгодной цене каждый день!
- Новый набор: добавлены новые наборы чипов. Приобретите этот набор, чтобы навсегда сократить время исследования электронных технологий!
- Оптимизации: Месть доктора Хогга, Исследования Колина, Потасовка приматов, функция автоприсоединения к походам, Астральный Колизей, Пограничные рейды, вторая очередь строительства, отображение карты, Зал чудес, навыки героев и другие элементы интерфейса.</v>
      </c>
      <c r="M35" s="160" t="str">
        <f>IFERROR(__xludf.DUMMYFUNCTION("""COMPUTED_VALUE"""),"- Yeni oynanış: Alvin’in Hazine Avı. Alvin, diğer gözcülere harabeler arasında hazine bulmaları için yol gösterecek. Ancak bir sorunla karşılaştılar! İplerden kurtulmalarına yardımcı olmak için aklını kullan!
 - Yeni paket: yeni başlayanlara özel bir pake"&amp;"t eklendi. Yeni oyuncular için özel bonus! Her gün harika bir fiyata harika eşyalar al!
 - Yeni paket: yeni Çip paketleri eklendi. Elektronik Teknoloji araştırma süresini kalıcı olarak azaltmak için paket satın al!
 - Optimizasyonlar: Dr. Hogg’un İntikamı"&amp;", Colin’in Keşfi, Primat Kavgası, otomatik toplu saldırı işlevi, Yıldız Kolezyumu, Sınır Akınları, 2. inşaat sırası, harita görünümleri, Harikalar Dükkânı, Savaşçı becerileri ve diğer arayüz görünümleri.")</f>
        <v>- Yeni oynanış: Alvin’in Hazine Avı. Alvin, diğer gözcülere harabeler arasında hazine bulmaları için yol gösterecek. Ancak bir sorunla karşılaştılar! İplerden kurtulmalarına yardımcı olmak için aklını kullan!
 - Yeni paket: yeni başlayanlara özel bir paket eklendi. Yeni oyuncular için özel bonus! Her gün harika bir fiyata harika eşyalar al!
 - Yeni paket: yeni Çip paketleri eklendi. Elektronik Teknoloji araştırma süresini kalıcı olarak azaltmak için paket satın al!
 - Optimizasyonlar: Dr. Hogg’un İntikamı, Colin’in Keşfi, Primat Kavgası, otomatik toplu saldırı işlevi, Yıldız Kolezyumu, Sınır Akınları, 2. inşaat sırası, harita görünümleri, Harikalar Dükkânı, Savaşçı becerileri ve diğer arayüz görünümleri.</v>
      </c>
      <c r="N35" s="175" t="str">
        <f>IFERROR(__xludf.DUMMYFUNCTION("""COMPUTED_VALUE"""),"- Lối chơi mới: Săn Kho Báu của Alvin. Alvin sẽ dẫn dắt các trinh sát khác đi săn kho báu trong các tàn tích. Nhưng họ đã gặp rắc rối! Hãy sử dụng trí tuệ của bạn để giúp họ gỡ dây thừng bị rối!
 - Gói mới: thêm gói độc quyền tân thủ. Thưởng độc quyền cho"&amp;" những người chơi mới! Nhận những vật phẩm giá trị lớn mỗi ngày!
 - Gói mới: thêm gói Chip mới. Mua gói để giảm vĩnh viễn thời gian nghiên cứu Công Nghệ Điện Tử!
 - Tối ưu hóa: Trận Phục Thù của Tiến Sĩ Hogg, Khám Phá Của Colin, Linh Trưởng Brawl, chức nă"&amp;"ng tự động tập hợp, Đại Đấu Trường Thiên Thể, Đột Kích Biên Giới, hàng chờ xây dựng thứ 2, hiển thị bản đồ, Trung Tâm Thương Mại Kỳ Thú, kỹ năng Chiến Binh, và hiển thị các giao diện khác.")</f>
        <v>- Lối chơi mới: Săn Kho Báu của Alvin. Alvin sẽ dẫn dắt các trinh sát khác đi săn kho báu trong các tàn tích. Nhưng họ đã gặp rắc rối! Hãy sử dụng trí tuệ của bạn để giúp họ gỡ dây thừng bị rối!
 - Gói mới: thêm gói độc quyền tân thủ. Thưởng độc quyền cho những người chơi mới! Nhận những vật phẩm giá trị lớn mỗi ngày!
 - Gói mới: thêm gói Chip mới. Mua gói để giảm vĩnh viễn thời gian nghiên cứu Công Nghệ Điện Tử!
 - Tối ưu hóa: Trận Phục Thù của Tiến Sĩ Hogg, Khám Phá Của Colin, Linh Trưởng Brawl, chức năng tự động tập hợp, Đại Đấu Trường Thiên Thể, Đột Kích Biên Giới, hàng chờ xây dựng thứ 2, hiển thị bản đồ, Trung Tâm Thương Mại Kỳ Thú, kỹ năng Chiến Binh, và hiển thị các giao diện khác.</v>
      </c>
      <c r="O35" s="45"/>
      <c r="P35" s="34"/>
      <c r="Q35" s="34"/>
      <c r="R35" s="34"/>
      <c r="S35" s="34"/>
      <c r="T35" s="108"/>
      <c r="U35" s="108"/>
      <c r="V35" s="108"/>
      <c r="W35" s="108"/>
      <c r="X35" s="108"/>
      <c r="Y35" s="108"/>
      <c r="Z35" s="108"/>
    </row>
    <row r="36" ht="72.0" customHeight="1">
      <c r="A36" s="149" t="str">
        <f>IFERROR(__xludf.DUMMYFUNCTION("""COMPUTED_VALUE"""),"0.32.0")</f>
        <v>0.32.0</v>
      </c>
      <c r="B36" s="174" t="str">
        <f>IFERROR(__xludf.DUMMYFUNCTION("""COMPUTED_VALUE"""),"&lt;en-US&gt;
- New gameplays: CD Investment, Convoy Fund.
- New building, Shop Street: integrated access to various shops including Secret Shop, Regular Shop, VIP Shop, Clan Honors Shop, Clan Shop, and Planetary Shop; removed the Secret Shop building.
- New ev"&amp;"ents: Fighter Growth, Pool Party, Primate Collector.
- New pack: Special Offer Custom Pack; choose your own rewards, combine and mix as you like!
- Optimizations: increased City size, added Quick Help and Rally access icons and pop-up windows for certain "&amp;"features, optimized Tavern, damage value display during battle and skill range, tutorial, Colin's Exploration, Develop City, Improve Research, Border Raids, Rally Showdown, Territory Patrol, Dr. Hogg's Revenge and other game interfaces; changed the Alerts"&amp;" button location and certain chapter quests.
&lt;/en-US&gt;
&lt;fr-FR&gt;
 Nouveaux gameplays: ""Investissement en CD"" et ""Fonds de convoi"". 
- Nouveau bâtiment: la rue commerçante. Accédez à de nombreuses boutiques telles que les boutiques secrète, VIP, clanique,"&amp;" ordinaire et planétaire. Retrait du bâtiment boutique secrète. 
- Nouveaux évènements: ""Développement du combattant"", ""Pool party"", ""Collecteur primate"". 
- Nouveau pack: Offre spéciale pack personnalisé. Choisissez vous-même vos récompenses, mélan"&amp;"gez et combinez comme il vous plaît! 
- Optimisations: agrandissement de la ville; ajout d’icônes d’accès à l’aide rapide et aux raids; ajout de fenêtres pop-up pour certaines fonctionnalités; optimisation de la taverne; valeur des dégâts affichée lors de"&amp;"s combats et sur l'arbre des compétences; amélioration du tutoriel, de ""L’Exploration de Colin"", ""Développement de ville"", ""Amélioration de la recherche"", ""Raids frontaliers"", ""Affrontement en raid"", ""Patrouille de zone"", ""La revanche du Dr H"&amp;"ogg"" et d'autres interfaces du jeu; déplacement du bouton des alertes et modification de certaines quêtes de chapitre.
&lt;/fr-FR&gt;
&lt;de-DE&gt;
- Neue Spielfunktionen: CD-Investition und Konvoi-Fonds.
 - Neues Gebäude, die Ladenstraße: Zugriff an einem Ort auf v"&amp;"erschiedene Läden wie den Geheimladen, den regulären Shop, den VIP-Shop, den Horden-Ehre-Shop, den Hordenshop und den Planeten-Shop. Der Geheimladen als Gebäude wurde entfernt.
 - Neue Events: Kämpferwachstum, Pool-Party, Primatensammler.
 - Neues Paket: "&amp;"Das Sonder-Spezialpaket. Wähle deine Belohnungen und kombiniere sie nach Lust und Laune!
 - Verbesserungen: Stadtgröße wurde erhöht; Symbole für schnellen Zugriff auf Hilfe und Sammelangriffe sowie Pop-up-Fenster für bestimmte Funktionen hinzugefügt; Verb"&amp;"esserungen an der Anzeige des Schadenswerts und der Fähigkeitsreichweite im Kampf, dem Tutorial, Colins Erkundung, „Stadt entwickeln“, „Forschung verbessern“, Grenzüberfällen, „Sammelangriffs-Showdown“, „Gebietspatrouille“, „Dr. Hoggs Rache“ und anderen O"&amp;"berflächen im Spiel; Änderungen an der Platzierung der Schaltfläche „Warnungen“ und bestimmten Kapitel-Quests.
&lt;/de-DE&gt;
&lt;pt-BR&gt;
- Novos modos de jogo: Investimento em CDs, Fundo de Comboio.
 - Nova estrutura, Loja de Rua: acesso integrado a várias lojas, "&amp;"incluindo loja secreta, loja normal, loja VIP, loja de honras do clã, loja do clã e loja planetária; a estrutura da loja secreta foi removida.
 - Novos eventos: Evolução do Combatente, Festa da Piscina, Coletor Primata.
 - Novo pacote: Pacote de Oferta Es"&amp;"pecial Customizado; escolha suas próprias recompensas, combine e misture-as como quiser!
 - Melhorias: aumento do tamanho da cidade, adição dos ícones de ajuda rápida e de acesso a incursões, janelas pop-up para determinados recursos, taverna melhorada, e"&amp;"xibição do valor de dano durante a batalha e alcance de habilidade, tutorial, Exploração de Colin, Desenvolver Cidade, Melhorar Pesquisa, Raides de Fronteira, Confronto de Incursões, Patrulha Territorial, Vingança de Dr. Hogg e outras interfaces do jogo. "&amp;"Mudança nos botões de alerta para determinadas missões de capítulo.
&lt;/pt-BR&gt;
&lt;zh-HK&gt;
-新增玩法：CD投資、押運基金。
-新增建築：商店街。整合了秘密商店、普通商店、VIP商店、軍功商店、氏族商店以及銀河商店，同時移除神秘商店建築。
-新增活動：鬥士成長、泳池派對、猴子收藏家。
-新增禮包：特惠自助禮包。禮包內容你來定，各種組合隨心搭配！
-優化內容：增加主城空間，新增快速幫助、集結入口和部分功能彈窗；優化了酒館系統、戰鬥"&amp;"時傷害數值和技能範圍、界面引導、科林的探索、城市大發展、科研大提升、邊境奪寶、集結出擊、領地巡防、霍格博士的復仇以及一些遊戲內的界面表現；調整了軍情按鈕位置以及部分章節任務內容。
&lt;/zh-HK&gt;
&lt;id&gt;
- Gameplay baru: Investasi CD, Dana Konvoi.
- Bangunan baru, Jalan Toko: akses terintegrasi ke berbagai toko termasuk Toko Rahasia, Toko Reguler, Toko "&amp;"VIP, Toko Kehormatan Klan, Toko Klan, dan Toko Planet; menghapus bangunan Toko Rahasia.
- Acara baru: Pertumbuhan Pejuang, Pesta Kolam, Kolektor Primata.
- Paket Baru: Paket Khusus Penawaran Khusus; pilih hadiahmu sendiri, gabung dan campurkan sesukamu!
-"&amp;" Pengoptimalan: peningkatan ukuran Kota, penambahan ikon akses Bantuan Cepat dan Reli dan jendela pop-up untuk fitur tertentu, pengoptimalan kedai, tampilan nilai kerusakan selama pertempuran dan rentang keahlian, tutorial, Penjelajahan Colin, Kembangkan "&amp;"Kota, Tingkatkan Penelitian, Serangan Perbatasan, Pertarungan Reli , Patroli Wilayah, Pembalasan Dr. Hogg, dan antarmuka permainan lainnya; perubahan lokasi tombol Peringatan dan misi babak tertentu.
&lt;/id&gt;
&lt;th&gt;
- รูปแบบการเล่นใหม่: การลงทุนซีดี, กองทุนคอน"&amp;"วอย
 - สิ่งปลูกสร้างใหม่ ถนนร้านค้า: ศูนย์รวมร้านค้าต่าง ๆ ทั้งร้านลับ ร้านทั่วไป ร้านวีไอพี ร้านเกียรติยศเผ่า ร้านประจำเผ่า และร้านดาวเคราะห์ โดยนำร้านลับออกไป
 - กิจกรรมใหม่: การเติบโตของนักสู้, ปาร์ตี้ริมสระน้ำ, วานรนักสะสม
 - แพ็กใหม่: แพ็กแบบกำหนดเอง"&amp;": เลือกรางวัลของคุณเอง รวมและผสมไอเทมได้ตามที่คุณต้องการ!
 - การปรับปรุง: เพิ่มขนาดเมือง, เพิ่มไอคอนช่วยเหลือด่วนและไอคอนการยกทัพ รวมถึงหน้าต่างป๊อปอัปในบางคุณสมบัติ, ปรับปรุงโรงแรม, การแสดงค่าความแดเมจระหว่างการต่อสู้และระยะโจมตีของทักษะ, บทแนะนำ, การสำร"&amp;"วจของโคลิน, การพัฒนาเมือง, ปรับปรุงการวิจัย, การบุกรุกที่ชายแดน, ยกทัพปิดล้อม, การลาดตระเวนอาณาเขต, การแก้แค้นของ ดร.ฮ็อกก์และอินเทอร์เฟสเกมอื่น ๆ, เปลี่ยนตำแหน่งของปุ่มแจ้งเตือน และปรับเควสต์บางบท
&lt;/th&gt;
&lt;es-419&gt;
- Nuevas Formas de Juego: Inversión en CD,"&amp;" Fondo de Convoy.
- Nuevo edificio, Calle de Tiendas: acceso integrado a diversas tiendas incluyendo la Tienda Secreta, Tienda Normal, Tienda VIP, Tienda de Honores del Clan, Tienda del Clan y Tienda Planetaria; se eliminó el edificio de la Tienda Secreta"&amp;". 
- Nuevos eventos: Crecimiento del Luchador, Fiesta en la Piscina, Recolector Primate.
- Nuevo Paquete Paquete Personalizado de Oferta Especial: ¡Escoge tus propias recompensas, combina y mezcla como tú quieras!
- Optimizaciones: Aumento en el tamaño de"&amp;" la Ciudad, se agrego Ayuda Rápida y los iconos de acceso a la Incursión y ventanas emergentes para algunas características, optimización de la Taberna, visualización del valor de daño durante la batalla y rango de la habilidad, tutorial, Exploración de C"&amp;"olin, Desarrollar Ciudad, Mejorar Investigación, Incursiones Fronterizas, Enfrentamiento en la Incursión, Patrulla Territorial, la Venganza del Dr. Hogg y otras interfaces del juego; cambió en la ubicación del botón de Alertas y ciertas misiones de capítu"&amp;"lo.
&lt;/es-419&gt;
&lt;ru-RU&gt;
- Новые игровые процессы: инвестиции CD и средства каравана.
- Новая постройка: торговая улица. В ней собран доступ к различным магазинам: секретному магазину, обычному магазину, магазину VIP, магазину чести клана, магазину клана и м"&amp;"агазину планеты. Здание секретного магазина удалено.
- Новые события: «Рост героя», «Вечеринка в бассейне» и «Примат-коллекционер».
- Новое особое предложение: персональный набор. Выбирайте свои собственные награды — сочетайте и смешивайте их, как вам нра"&amp;"вится!
- Оптимизации: увеличен размер города, добавлены значки быстрой помощи, доступа к походам и всплывающие окна для некоторых функций, оптимизирована таверна, отображение величины урона во время боя и радиуса действия навыков, обучение, «Исследования "&amp;"Колина», «Развивайте город», «Исследуйте», «Пограничные рейды», сражения в походе, патруль территории, «Месть доктора Хогга» и другие игровые интерфейсы; изменено положение кнопки «Тревога», оптимизирован ряд заданий глав.
&lt;/ru-RU&gt;
&lt;tr-TR&gt;
- Yeni oynanışl"&amp;"ar: CD Yatırımı, Konvoy Fonu
 - Yeni bina, Mağaza Sokağı: Gizli Mağaza, Sıradan Mağaza, VIP Mağaza, Klan Onuru Mağazası, Klan Mağazası ve Gezegen Mağazası da dâhil olmak üzere çeşitli mağazalara entegre erişim; Gizli Mağaza binası kaldırdı.
 - Yeni etkinl"&amp;"ikler: Savaşçı Büyümesi, Havuz Partisi, Primat Toplayıcı.
 - Yeni paket: Özel Teklif Özel Paket; ödüllerini seç, istediğin gibi birleştir ve karıştır!
 - Optimizasyonlar: Şehir ebadı artırıldı, belirli özellikler için Hızlı Yardım ve Toplu Saldırı erişim "&amp;"simgeleri ile açılır pencereler eklendi, Taverna, savaş ve beceri aralığı sırasında hasar değeri görüntüleme, öğretici, Colin’in Keşfi, Şehri Geliştir, Araştırmayı İyileştir, Sınır Akınları, Toplu Saldırı Resti, Bölge Devriyesi, Dr. Hogg’un İntikamı ve di"&amp;"ğer oyun arayüzleri optimize edildi; Uyarılar düğmesinin yeri ve belirli bölüm maceraları değiştirildi.
&lt;/tr-TR&gt;
&lt;vi&gt;
- Lối chơi mới: Đầu Tư CD, Quỹ Phát Triển Xe Chuyên Chở.
 - Tòa nhà mới, Phố Cửa Hàng: tích hợp quyền truy cập vào các cửa hàng khác nhau"&amp;" bao gồm Cửa Hàng Bí Mật, Cửa Hàng Thường, Cửa Hàng VIP, Cửa Hàng Vinh Dự Bộ Lạc, Cửa Hàng Bộ Lạc và Cửa Hàng Hành Tinh; đã dỡ bỏ tòa nhà Cửa Hàng Bí Mật.
 - Sự kiện mới: Phát Triển Chiến Binh, Bữa Tiệc Hồ Bơi, Linh Trưởng Thu Thập.
 - Gói mới: Gói tùy ch"&amp;"ỉnh ưu đãi đặc biệt; chọn phần thưởng cho riêng mình, kết hợp và trộn lẫn theo ý thích!
 - Tối ưu hóa: tăng quy mô Thành Phố, thêm biểu tượng truy cập Tập Hợp và Hỗ Trợ Nhanh cũng như cửa sổ bật lên cho một số tính năng nhất định, tối ưu Tửu Quán, hiển th"&amp;"ị giá trị sát thương trong trận chiến và phạm vi kỹ năng, hướng dẫn, Khám Phá Của Colin, Phát Triển Thành Phố, Cải Thiện Nghiên Cứu, Đột Kích Biên Giới, Đại Chiến Tập Hợp, Tuần Tra Lãnh Thổ, Trận Phục Thù của Tiến Sĩ Hogg và giao diện các trò chơi khác; đ"&amp;"ã thay đổi vị trí nút Cảnh báo và một số nhiệm vụ chương nhất định.
&lt;/vi&gt;
")</f>
        <v>&lt;en-US&gt;
- New gameplays: CD Investment, Convoy Fund.
- New building, Shop Street: integrated access to various shops including Secret Shop, Regular Shop, VIP Shop, Clan Honors Shop, Clan Shop, and Planetary Shop; removed the Secret Shop building.
- New events: Fighter Growth, Pool Party, Primate Collector.
- New pack: Special Offer Custom Pack; choose your own rewards, combine and mix as you like!
- Optimizations: increased City size, added Quick Help and Rally access icons and pop-up windows for certain features, optimized Tavern, damage value display during battle and skill range, tutorial, Colin's Exploration, Develop City, Improve Research, Border Raids, Rally Showdown, Territory Patrol, Dr. Hogg's Revenge and other game interfaces; changed the Alerts button location and certain chapter quests.
&lt;/en-US&gt;
&lt;fr-FR&gt;
 Nouveaux gameplays: "Investissement en CD" et "Fonds de convoi". 
- Nouveau bâtiment: la rue commerçante. Accédez à de nombreuses boutiques telles que les boutiques secrète, VIP, clanique, ordinaire et planétaire. Retrait du bâtiment boutique secrète. 
- Nouveaux évènements: "Développement du combattant", "Pool party", "Collecteur primate". 
- Nouveau pack: Offre spéciale pack personnalisé. Choisissez vous-même vos récompenses, mélangez et combinez comme il vous plaît! 
- Optimisations: agrandissement de la ville; ajout d’icônes d’accès à l’aide rapide et aux raids; ajout de fenêtres pop-up pour certaines fonctionnalités; optimisation de la taverne; valeur des dégâts affichée lors des combats et sur l'arbre des compétences; amélioration du tutoriel, de "L’Exploration de Colin", "Développement de ville", "Amélioration de la recherche", "Raids frontaliers", "Affrontement en raid", "Patrouille de zone", "La revanche du Dr Hogg" et d'autres interfaces du jeu; déplacement du bouton des alertes et modification de certaines quêtes de chapitre.
&lt;/fr-FR&gt;
&lt;de-DE&gt;
- Neue Spielfunktionen: CD-Investition und Konvoi-Fonds.
 - Neues Gebäude, die Ladenstraße: Zugriff an einem Ort auf verschiedene Läden wie den Geheimladen, den regulären Shop, den VIP-Shop, den Horden-Ehre-Shop, den Hordenshop und den Planeten-Shop. Der Geheimladen als Gebäude wurde entfernt.
 - Neue Events: Kämpferwachstum, Pool-Party, Primatensammler.
 - Neues Paket: Das Sonder-Spezialpaket. Wähle deine Belohnungen und kombiniere sie nach Lust und Laune!
 - Verbesserungen: Stadtgröße wurde erhöht; Symbole für schnellen Zugriff auf Hilfe und Sammelangriffe sowie Pop-up-Fenster für bestimmte Funktionen hinzugefügt; Verbesserungen an der Anzeige des Schadenswerts und der Fähigkeitsreichweite im Kampf, dem Tutorial, Colins Erkundung, „Stadt entwickeln“, „Forschung verbessern“, Grenzüberfällen, „Sammelangriffs-Showdown“, „Gebietspatrouille“, „Dr. Hoggs Rache“ und anderen Oberflächen im Spiel; Änderungen an der Platzierung der Schaltfläche „Warnungen“ und bestimmten Kapitel-Quests.
&lt;/de-DE&gt;
&lt;pt-BR&gt;
- Novos modos de jogo: Investimento em CDs, Fundo de Comboio.
 - Nova estrutura, Loja de Rua: acesso integrado a várias lojas, incluindo loja secreta, loja normal, loja VIP, loja de honras do clã, loja do clã e loja planetária; a estrutura da loja secreta foi removida.
 - Novos eventos: Evolução do Combatente, Festa da Piscina, Coletor Primata.
 - Novo pacote: Pacote de Oferta Especial Customizado; escolha suas próprias recompensas, combine e misture-as como quiser!
 - Melhorias: aumento do tamanho da cidade, adição dos ícones de ajuda rápida e de acesso a incursões, janelas pop-up para determinados recursos, taverna melhorada, exibição do valor de dano durante a batalha e alcance de habilidade, tutorial, Exploração de Colin, Desenvolver Cidade, Melhorar Pesquisa, Raides de Fronteira, Confronto de Incursões, Patrulha Territorial, Vingança de Dr. Hogg e outras interfaces do jogo. Mudança nos botões de alerta para determinadas missões de capítulo.
&lt;/pt-BR&gt;
&lt;zh-HK&gt;
-新增玩法：CD投資、押運基金。
-新增建築：商店街。整合了秘密商店、普通商店、VIP商店、軍功商店、氏族商店以及銀河商店，同時移除神秘商店建築。
-新增活動：鬥士成長、泳池派對、猴子收藏家。
-新增禮包：特惠自助禮包。禮包內容你來定，各種組合隨心搭配！
-優化內容：增加主城空間，新增快速幫助、集結入口和部分功能彈窗；優化了酒館系統、戰鬥時傷害數值和技能範圍、界面引導、科林的探索、城市大發展、科研大提升、邊境奪寶、集結出擊、領地巡防、霍格博士的復仇以及一些遊戲內的界面表現；調整了軍情按鈕位置以及部分章節任務內容。
&lt;/zh-HK&gt;
&lt;id&gt;
- Gameplay baru: Investasi CD, Dana Konvoi.
- Bangunan baru, Jalan Toko: akses terintegrasi ke berbagai toko termasuk Toko Rahasia, Toko Reguler, Toko VIP, Toko Kehormatan Klan, Toko Klan, dan Toko Planet; menghapus bangunan Toko Rahasia.
- Acara baru: Pertumbuhan Pejuang, Pesta Kolam, Kolektor Primata.
- Paket Baru: Paket Khusus Penawaran Khusus; pilih hadiahmu sendiri, gabung dan campurkan sesukamu!
- Pengoptimalan: peningkatan ukuran Kota, penambahan ikon akses Bantuan Cepat dan Reli dan jendela pop-up untuk fitur tertentu, pengoptimalan kedai, tampilan nilai kerusakan selama pertempuran dan rentang keahlian, tutorial, Penjelajahan Colin, Kembangkan Kota, Tingkatkan Penelitian, Serangan Perbatasan, Pertarungan Reli , Patroli Wilayah, Pembalasan Dr. Hogg, dan antarmuka permainan lainnya; perubahan lokasi tombol Peringatan dan misi babak tertentu.
&lt;/id&gt;
&lt;th&gt;
- รูปแบบการเล่นใหม่: การลงทุนซีดี, กองทุนคอนวอย
 - สิ่งปลูกสร้างใหม่ ถนนร้านค้า: ศูนย์รวมร้านค้าต่าง ๆ ทั้งร้านลับ ร้านทั่วไป ร้านวีไอพี ร้านเกียรติยศเผ่า ร้านประจำเผ่า และร้านดาวเคราะห์ โดยนำร้านลับออกไป
 - กิจกรรมใหม่: การเติบโตของนักสู้, ปาร์ตี้ริมสระน้ำ, วานรนักสะสม
 - แพ็กใหม่: แพ็กแบบกำหนดเอง: เลือกรางวัลของคุณเอง รวมและผสมไอเทมได้ตามที่คุณต้องการ!
 - การปรับปรุง: เพิ่มขนาดเมือง, เพิ่มไอคอนช่วยเหลือด่วนและไอคอนการยกทัพ รวมถึงหน้าต่างป๊อปอัปในบางคุณสมบัติ, ปรับปรุงโรงแรม, การแสดงค่าความแดเมจระหว่างการต่อสู้และระยะโจมตีของทักษะ, บทแนะนำ, การสำรวจของโคลิน, การพัฒนาเมือง, ปรับปรุงการวิจัย, การบุกรุกที่ชายแดน, ยกทัพปิดล้อม, การลาดตระเวนอาณาเขต, การแก้แค้นของ ดร.ฮ็อกก์และอินเทอร์เฟสเกมอื่น ๆ, เปลี่ยนตำแหน่งของปุ่มแจ้งเตือน และปรับเควสต์บางบท
&lt;/th&gt;
&lt;es-419&gt;
- Nuevas Formas de Juego: Inversión en CD, Fondo de Convoy.
- Nuevo edificio, Calle de Tiendas: acceso integrado a diversas tiendas incluyendo la Tienda Secreta, Tienda Normal, Tienda VIP, Tienda de Honores del Clan, Tienda del Clan y Tienda Planetaria; se eliminó el edificio de la Tienda Secreta. 
- Nuevos eventos: Crecimiento del Luchador, Fiesta en la Piscina, Recolector Primate.
- Nuevo Paquete Paquete Personalizado de Oferta Especial: ¡Escoge tus propias recompensas, combina y mezcla como tú quieras!
- Optimizaciones: Aumento en el tamaño de la Ciudad, se agrego Ayuda Rápida y los iconos de acceso a la Incursión y ventanas emergentes para algunas características, optimización de la Taberna, visualización del valor de daño durante la batalla y rango de la habilidad, tutorial, Exploración de Colin, Desarrollar Ciudad, Mejorar Investigación, Incursiones Fronterizas, Enfrentamiento en la Incursión, Patrulla Territorial, la Venganza del Dr. Hogg y otras interfaces del juego; cambió en la ubicación del botón de Alertas y ciertas misiones de capítulo.
&lt;/es-419&gt;
&lt;ru-RU&gt;
- Новые игровые процессы: инвестиции CD и средства каравана.
- Новая постройка: торговая улица. В ней собран доступ к различным магазинам: секретному магазину, обычному магазину, магазину VIP, магазину чести клана, магазину клана и магазину планеты. Здание секретного магазина удалено.
- Новые события: «Рост героя», «Вечеринка в бассейне» и «Примат-коллекционер».
- Новое особое предложение: персональный набор. Выбирайте свои собственные награды — сочетайте и смешивайте их, как вам нравится!
- Оптимизации: увеличен размер города, добавлены значки быстрой помощи, доступа к походам и всплывающие окна для некоторых функций, оптимизирована таверна, отображение величины урона во время боя и радиуса действия навыков, обучение, «Исследования Колина», «Развивайте город», «Исследуйте», «Пограничные рейды», сражения в походе, патруль территории, «Месть доктора Хогга» и другие игровые интерфейсы; изменено положение кнопки «Тревога», оптимизирован ряд заданий глав.
&lt;/ru-RU&gt;
&lt;tr-TR&gt;
- Yeni oynanışlar: CD Yatırımı, Konvoy Fonu
 - Yeni bina, Mağaza Sokağı: Gizli Mağaza, Sıradan Mağaza, VIP Mağaza, Klan Onuru Mağazası, Klan Mağazası ve Gezegen Mağazası da dâhil olmak üzere çeşitli mağazalara entegre erişim; Gizli Mağaza binası kaldırdı.
 - Yeni etkinlikler: Savaşçı Büyümesi, Havuz Partisi, Primat Toplayıcı.
 - Yeni paket: Özel Teklif Özel Paket; ödüllerini seç, istediğin gibi birleştir ve karıştır!
 - Optimizasyonlar: Şehir ebadı artırıldı, belirli özellikler için Hızlı Yardım ve Toplu Saldırı erişim simgeleri ile açılır pencereler eklendi, Taverna, savaş ve beceri aralığı sırasında hasar değeri görüntüleme, öğretici, Colin’in Keşfi, Şehri Geliştir, Araştırmayı İyileştir, Sınır Akınları, Toplu Saldırı Resti, Bölge Devriyesi, Dr. Hogg’un İntikamı ve diğer oyun arayüzleri optimize edildi; Uyarılar düğmesinin yeri ve belirli bölüm maceraları değiştirildi.
&lt;/tr-TR&gt;
&lt;vi&gt;
- Lối chơi mới: Đầu Tư CD, Quỹ Phát Triển Xe Chuyên Chở.
 - Tòa nhà mới, Phố Cửa Hàng: tích hợp quyền truy cập vào các cửa hàng khác nhau bao gồm Cửa Hàng Bí Mật, Cửa Hàng Thường, Cửa Hàng VIP, Cửa Hàng Vinh Dự Bộ Lạc, Cửa Hàng Bộ Lạc và Cửa Hàng Hành Tinh; đã dỡ bỏ tòa nhà Cửa Hàng Bí Mật.
 - Sự kiện mới: Phát Triển Chiến Binh, Bữa Tiệc Hồ Bơi, Linh Trưởng Thu Thập.
 - Gói mới: Gói tùy chỉnh ưu đãi đặc biệt; chọn phần thưởng cho riêng mình, kết hợp và trộn lẫn theo ý thích!
 - Tối ưu hóa: tăng quy mô Thành Phố, thêm biểu tượng truy cập Tập Hợp và Hỗ Trợ Nhanh cũng như cửa sổ bật lên cho một số tính năng nhất định, tối ưu Tửu Quán, hiển thị giá trị sát thương trong trận chiến và phạm vi kỹ năng, hướng dẫn, Khám Phá Của Colin, Phát Triển Thành Phố, Cải Thiện Nghiên Cứu, Đột Kích Biên Giới, Đại Chiến Tập Hợp, Tuần Tra Lãnh Thổ, Trận Phục Thù của Tiến Sĩ Hogg và giao diện các trò chơi khác; đã thay đổi vị trí nút Cảnh báo và một số nhiệm vụ chương nhất định.
&lt;/vi&gt;
</v>
      </c>
      <c r="C36" s="44" t="str">
        <f>IFERROR(__xludf.DUMMYFUNCTION("""COMPUTED_VALUE"""),"-新增玩法：CD投资、押运基金。
-新增建筑：商店街。整合了秘密商店、普通商店、VIP商店、军功商店、氏族商店以及银河商店，同时移除神秘商店建筑。
-新增活动：斗士成长、泳池派对、猴子收藏家。
-新增礼包：特惠自助礼包。礼包内容你来定，各种组合随心搭配！
-优化内容：增加主城空间，新增快速帮助、集结入口和部分功能弹窗；优化了酒馆系统、战斗时伤害数值和技能范围、界面引导、科林的探索、城市大发展、科研大提升、边境夺宝、集结出击、领地巡防、霍格博士的复仇以及一些游戏内的界面表现；调整了军情按钮位置以及部分章节任"&amp;"务内容。")</f>
        <v>-新增玩法：CD投资、押运基金。
-新增建筑：商店街。整合了秘密商店、普通商店、VIP商店、军功商店、氏族商店以及银河商店，同时移除神秘商店建筑。
-新增活动：斗士成长、泳池派对、猴子收藏家。
-新增礼包：特惠自助礼包。礼包内容你来定，各种组合随心搭配！
-优化内容：增加主城空间，新增快速帮助、集结入口和部分功能弹窗；优化了酒馆系统、战斗时伤害数值和技能范围、界面引导、科林的探索、城市大发展、科研大提升、边境夺宝、集结出击、领地巡防、霍格博士的复仇以及一些游戏内的界面表现；调整了军情按钮位置以及部分章节任务内容。</v>
      </c>
      <c r="D36" s="159" t="str">
        <f>IFERROR(__xludf.DUMMYFUNCTION("""COMPUTED_VALUE"""),"- New gameplays: CD Investment, Convoy Fund.
- New building, Shop Street: integrated access to various shops including Secret Shop, Regular Shop, VIP Shop, Clan Honors Shop, Clan Shop, and Planetary Shop; removed the Secret Shop building.
- New events: Fi"&amp;"ghter Growth, Pool Party, Primate Collector.
- New pack: Special Offer Custom Pack; choose your own rewards, combine and mix as you like!
- Optimizations: increased City size, added Quick Help and Rally access icons and pop-up windows for certain features"&amp;", optimized Tavern, damage value display during battle and skill range, tutorial, Colin's Exploration, Develop City, Improve Research, Border Raids, Rally Showdown, Territory Patrol, Dr. Hogg's Revenge and other game interfaces; changed the Alerts button "&amp;"location and certain chapter quests.")</f>
        <v>- New gameplays: CD Investment, Convoy Fund.
- New building, Shop Street: integrated access to various shops including Secret Shop, Regular Shop, VIP Shop, Clan Honors Shop, Clan Shop, and Planetary Shop; removed the Secret Shop building.
- New events: Fighter Growth, Pool Party, Primate Collector.
- New pack: Special Offer Custom Pack; choose your own rewards, combine and mix as you like!
- Optimizations: increased City size, added Quick Help and Rally access icons and pop-up windows for certain features, optimized Tavern, damage value display during battle and skill range, tutorial, Colin's Exploration, Develop City, Improve Research, Border Raids, Rally Showdown, Territory Patrol, Dr. Hogg's Revenge and other game interfaces; changed the Alerts button location and certain chapter quests.</v>
      </c>
      <c r="E36" s="160" t="str">
        <f>IFERROR(__xludf.DUMMYFUNCTION("""COMPUTED_VALUE""")," Nouveaux gameplays: ""Investissement en CD"" et ""Fonds de convoi"". 
- Nouveau bâtiment: la rue commerçante. Accédez à de nombreuses boutiques telles que les boutiques secrète, VIP, clanique, ordinaire et planétaire. Retrait du bâtiment boutique secrète"&amp;". 
- Nouveaux évènements: ""Développement du combattant"", ""Pool party"", ""Collecteur primate"". 
- Nouveau pack: Offre spéciale pack personnalisé. Choisissez vous-même vos récompenses, mélangez et combinez comme il vous plaît! 
- Optimisations: agrandi"&amp;"ssement de la ville; ajout d’icônes d’accès à l’aide rapide et aux raids; ajout de fenêtres pop-up pour certaines fonctionnalités; optimisation de la taverne; valeur des dégâts affichée lors des combats et sur l'arbre des compétences; amélioration du tuto"&amp;"riel, de ""L’Exploration de Colin"", ""Développement de ville"", ""Amélioration de la recherche"", ""Raids frontaliers"", ""Affrontement en raid"", ""Patrouille de zone"", ""La revanche du Dr Hogg"" et d'autres interfaces du jeu; déplacement du bouton des"&amp;" alertes et modification de certaines quêtes de chapitre.")</f>
        <v> Nouveaux gameplays: "Investissement en CD" et "Fonds de convoi". 
- Nouveau bâtiment: la rue commerçante. Accédez à de nombreuses boutiques telles que les boutiques secrète, VIP, clanique, ordinaire et planétaire. Retrait du bâtiment boutique secrète. 
- Nouveaux évènements: "Développement du combattant", "Pool party", "Collecteur primate". 
- Nouveau pack: Offre spéciale pack personnalisé. Choisissez vous-même vos récompenses, mélangez et combinez comme il vous plaît! 
- Optimisations: agrandissement de la ville; ajout d’icônes d’accès à l’aide rapide et aux raids; ajout de fenêtres pop-up pour certaines fonctionnalités; optimisation de la taverne; valeur des dégâts affichée lors des combats et sur l'arbre des compétences; amélioration du tutoriel, de "L’Exploration de Colin", "Développement de ville", "Amélioration de la recherche", "Raids frontaliers", "Affrontement en raid", "Patrouille de zone", "La revanche du Dr Hogg" et d'autres interfaces du jeu; déplacement du bouton des alertes et modification de certaines quêtes de chapitre.</v>
      </c>
      <c r="F36" s="160" t="str">
        <f>IFERROR(__xludf.DUMMYFUNCTION("""COMPUTED_VALUE"""),"- Neue Spielfunktionen: CD-Investition und Konvoi-Fonds.
 - Neues Gebäude, die Ladenstraße: Zugriff an einem Ort auf verschiedene Läden wie den Geheimladen, den regulären Shop, den VIP-Shop, den Horden-Ehre-Shop, den Hordenshop und den Planeten-Shop. Der "&amp;"Geheimladen als Gebäude wurde entfernt.
 - Neue Events: Kämpferwachstum, Pool-Party, Primatensammler.
 - Neues Paket: Das Sonder-Spezialpaket. Wähle deine Belohnungen und kombiniere sie nach Lust und Laune!
 - Verbesserungen: Stadtgröße wurde erhöht; Symb"&amp;"ole für schnellen Zugriff auf Hilfe und Sammelangriffe sowie Pop-up-Fenster für bestimmte Funktionen hinzugefügt; Verbesserungen an der Anzeige des Schadenswerts und der Fähigkeitsreichweite im Kampf, dem Tutorial, Colins Erkundung, „Stadt entwickeln“, „F"&amp;"orschung verbessern“, Grenzüberfällen, „Sammelangriffs-Showdown“, „Gebietspatrouille“, „Dr. Hoggs Rache“ und anderen Oberflächen im Spiel; Änderungen an der Platzierung der Schaltfläche „Warnungen“ und bestimmten Kapitel-Quests.")</f>
        <v>- Neue Spielfunktionen: CD-Investition und Konvoi-Fonds.
 - Neues Gebäude, die Ladenstraße: Zugriff an einem Ort auf verschiedene Läden wie den Geheimladen, den regulären Shop, den VIP-Shop, den Horden-Ehre-Shop, den Hordenshop und den Planeten-Shop. Der Geheimladen als Gebäude wurde entfernt.
 - Neue Events: Kämpferwachstum, Pool-Party, Primatensammler.
 - Neues Paket: Das Sonder-Spezialpaket. Wähle deine Belohnungen und kombiniere sie nach Lust und Laune!
 - Verbesserungen: Stadtgröße wurde erhöht; Symbole für schnellen Zugriff auf Hilfe und Sammelangriffe sowie Pop-up-Fenster für bestimmte Funktionen hinzugefügt; Verbesserungen an der Anzeige des Schadenswerts und der Fähigkeitsreichweite im Kampf, dem Tutorial, Colins Erkundung, „Stadt entwickeln“, „Forschung verbessern“, Grenzüberfällen, „Sammelangriffs-Showdown“, „Gebietspatrouille“, „Dr. Hoggs Rache“ und anderen Oberflächen im Spiel; Änderungen an der Platzierung der Schaltfläche „Warnungen“ und bestimmten Kapitel-Quests.</v>
      </c>
      <c r="G36" s="160" t="str">
        <f>IFERROR(__xludf.DUMMYFUNCTION("""COMPUTED_VALUE"""),"- Novos modos de jogo: Investimento em CDs, Fundo de Comboio.
 - Nova estrutura, Loja de Rua: acesso integrado a várias lojas, incluindo loja secreta, loja normal, loja VIP, loja de honras do clã, loja do clã e loja planetária; a estrutura da loja secreta"&amp;" foi removida.
 - Novos eventos: Evolução do Combatente, Festa da Piscina, Coletor Primata.
 - Novo pacote: Pacote de Oferta Especial Customizado; escolha suas próprias recompensas, combine e misture-as como quiser!
 - Melhorias: aumento do tamanho da cid"&amp;"ade, adição dos ícones de ajuda rápida e de acesso a incursões, janelas pop-up para determinados recursos, taverna melhorada, exibição do valor de dano durante a batalha e alcance de habilidade, tutorial, Exploração de Colin, Desenvolver Cidade, Melhorar "&amp;"Pesquisa, Raides de Fronteira, Confronto de Incursões, Patrulha Territorial, Vingança de Dr. Hogg e outras interfaces do jogo. Mudança nos botões de alerta para determinadas missões de capítulo.")</f>
        <v>- Novos modos de jogo: Investimento em CDs, Fundo de Comboio.
 - Nova estrutura, Loja de Rua: acesso integrado a várias lojas, incluindo loja secreta, loja normal, loja VIP, loja de honras do clã, loja do clã e loja planetária; a estrutura da loja secreta foi removida.
 - Novos eventos: Evolução do Combatente, Festa da Piscina, Coletor Primata.
 - Novo pacote: Pacote de Oferta Especial Customizado; escolha suas próprias recompensas, combine e misture-as como quiser!
 - Melhorias: aumento do tamanho da cidade, adição dos ícones de ajuda rápida e de acesso a incursões, janelas pop-up para determinados recursos, taverna melhorada, exibição do valor de dano durante a batalha e alcance de habilidade, tutorial, Exploração de Colin, Desenvolver Cidade, Melhorar Pesquisa, Raides de Fronteira, Confronto de Incursões, Patrulha Territorial, Vingança de Dr. Hogg e outras interfaces do jogo. Mudança nos botões de alerta para determinadas missões de capítulo.</v>
      </c>
      <c r="H36" s="159" t="str">
        <f>IFERROR(__xludf.DUMMYFUNCTION("""COMPUTED_VALUE"""),"-新增玩法：CD投資、押運基金。
-新增建築：商店街。整合了秘密商店、普通商店、VIP商店、軍功商店、氏族商店以及銀河商店，同時移除神秘商店建築。
-新增活動：鬥士成長、泳池派對、猴子收藏家。
-新增禮包：特惠自助禮包。禮包內容你來定，各種組合隨心搭配！
-優化內容：增加主城空間，新增快速幫助、集結入口和部分功能彈窗；優化了酒館系統、戰鬥時傷害數值和技能範圍、界面引導、科林的探索、城市大發展、科研大提升、邊境奪寶、集結出擊、領地巡防、霍格博士的復仇以及一些遊戲內的界面表現；調整了軍情按鈕位置以及部分章節任"&amp;"務內容。")</f>
        <v>-新增玩法：CD投資、押運基金。
-新增建築：商店街。整合了秘密商店、普通商店、VIP商店、軍功商店、氏族商店以及銀河商店，同時移除神秘商店建築。
-新增活動：鬥士成長、泳池派對、猴子收藏家。
-新增禮包：特惠自助禮包。禮包內容你來定，各種組合隨心搭配！
-優化內容：增加主城空間，新增快速幫助、集結入口和部分功能彈窗；優化了酒館系統、戰鬥時傷害數值和技能範圍、界面引導、科林的探索、城市大發展、科研大提升、邊境奪寶、集結出擊、領地巡防、霍格博士的復仇以及一些遊戲內的界面表現；調整了軍情按鈕位置以及部分章節任務內容。</v>
      </c>
      <c r="I36" s="160" t="str">
        <f>IFERROR(__xludf.DUMMYFUNCTION("""COMPUTED_VALUE"""),"- Gameplay baru: Investasi CD, Dana Konvoi.
- Bangunan baru, Jalan Toko: akses terintegrasi ke berbagai toko termasuk Toko Rahasia, Toko Reguler, Toko VIP, Toko Kehormatan Klan, Toko Klan, dan Toko Planet; menghapus bangunan Toko Rahasia.
- Acara baru: Pe"&amp;"rtumbuhan Pejuang, Pesta Kolam, Kolektor Primata.
- Paket Baru: Paket Khusus Penawaran Khusus; pilih hadiahmu sendiri, gabung dan campurkan sesukamu!
- Pengoptimalan: peningkatan ukuran Kota, penambahan ikon akses Bantuan Cepat dan Reli dan jendela pop-up"&amp;" untuk fitur tertentu, pengoptimalan kedai, tampilan nilai kerusakan selama pertempuran dan rentang keahlian, tutorial, Penjelajahan Colin, Kembangkan Kota, Tingkatkan Penelitian, Serangan Perbatasan, Pertarungan Reli , Patroli Wilayah, Pembalasan Dr. Hog"&amp;"g, dan antarmuka permainan lainnya; perubahan lokasi tombol Peringatan dan misi babak tertentu.")</f>
        <v>- Gameplay baru: Investasi CD, Dana Konvoi.
- Bangunan baru, Jalan Toko: akses terintegrasi ke berbagai toko termasuk Toko Rahasia, Toko Reguler, Toko VIP, Toko Kehormatan Klan, Toko Klan, dan Toko Planet; menghapus bangunan Toko Rahasia.
- Acara baru: Pertumbuhan Pejuang, Pesta Kolam, Kolektor Primata.
- Paket Baru: Paket Khusus Penawaran Khusus; pilih hadiahmu sendiri, gabung dan campurkan sesukamu!
- Pengoptimalan: peningkatan ukuran Kota, penambahan ikon akses Bantuan Cepat dan Reli dan jendela pop-up untuk fitur tertentu, pengoptimalan kedai, tampilan nilai kerusakan selama pertempuran dan rentang keahlian, tutorial, Penjelajahan Colin, Kembangkan Kota, Tingkatkan Penelitian, Serangan Perbatasan, Pertarungan Reli , Patroli Wilayah, Pembalasan Dr. Hogg, dan antarmuka permainan lainnya; perubahan lokasi tombol Peringatan dan misi babak tertentu.</v>
      </c>
      <c r="J36" s="159" t="str">
        <f>IFERROR(__xludf.DUMMYFUNCTION("""COMPUTED_VALUE"""),"- รูปแบบการเล่นใหม่: การลงทุนซีดี, กองทุนคอนวอย
 - สิ่งปลูกสร้างใหม่ ถนนร้านค้า: ศูนย์รวมร้านค้าต่าง ๆ ทั้งร้านลับ ร้านทั่วไป ร้านวีไอพี ร้านเกียรติยศเผ่า ร้านประจำเผ่า และร้านดาวเคราะห์ โดยนำร้านลับออกไป
 - กิจกรรมใหม่: การเติบโตของนักสู้, ปาร์ตี้ริมสระน"&amp;"้ำ, วานรนักสะสม
 - แพ็กใหม่: แพ็กแบบกำหนดเอง: เลือกรางวัลของคุณเอง รวมและผสมไอเทมได้ตามที่คุณต้องการ!
 - การปรับปรุง: เพิ่มขนาดเมือง, เพิ่มไอคอนช่วยเหลือด่วนและไอคอนการยกทัพ รวมถึงหน้าต่างป๊อปอัปในบางคุณสมบัติ, ปรับปรุงโรงแรม, การแสดงค่าความแดเมจระหว่างกา"&amp;"รต่อสู้และระยะโจมตีของทักษะ, บทแนะนำ, การสำรวจของโคลิน, การพัฒนาเมือง, ปรับปรุงการวิจัย, การบุกรุกที่ชายแดน, ยกทัพปิดล้อม, การลาดตระเวนอาณาเขต, การแก้แค้นของ ดร.ฮ็อกก์และอินเทอร์เฟสเกมอื่น ๆ, เปลี่ยนตำแหน่งของปุ่มแจ้งเตือน และปรับเควสต์บางบท")</f>
        <v>- รูปแบบการเล่นใหม่: การลงทุนซีดี, กองทุนคอนวอย
 - สิ่งปลูกสร้างใหม่ ถนนร้านค้า: ศูนย์รวมร้านค้าต่าง ๆ ทั้งร้านลับ ร้านทั่วไป ร้านวีไอพี ร้านเกียรติยศเผ่า ร้านประจำเผ่า และร้านดาวเคราะห์ โดยนำร้านลับออกไป
 - กิจกรรมใหม่: การเติบโตของนักสู้, ปาร์ตี้ริมสระน้ำ, วานรนักสะสม
 - แพ็กใหม่: แพ็กแบบกำหนดเอง: เลือกรางวัลของคุณเอง รวมและผสมไอเทมได้ตามที่คุณต้องการ!
 - การปรับปรุง: เพิ่มขนาดเมือง, เพิ่มไอคอนช่วยเหลือด่วนและไอคอนการยกทัพ รวมถึงหน้าต่างป๊อปอัปในบางคุณสมบัติ, ปรับปรุงโรงแรม, การแสดงค่าความแดเมจระหว่างการต่อสู้และระยะโจมตีของทักษะ, บทแนะนำ, การสำรวจของโคลิน, การพัฒนาเมือง, ปรับปรุงการวิจัย, การบุกรุกที่ชายแดน, ยกทัพปิดล้อม, การลาดตระเวนอาณาเขต, การแก้แค้นของ ดร.ฮ็อกก์และอินเทอร์เฟสเกมอื่น ๆ, เปลี่ยนตำแหน่งของปุ่มแจ้งเตือน และปรับเควสต์บางบท</v>
      </c>
      <c r="K36" s="160" t="str">
        <f>IFERROR(__xludf.DUMMYFUNCTION("""COMPUTED_VALUE"""),"- Nuevas Formas de Juego: Inversión en CD, Fondo de Convoy.
- Nuevo edificio, Calle de Tiendas: acceso integrado a diversas tiendas incluyendo la Tienda Secreta, Tienda Normal, Tienda VIP, Tienda de Honores del Clan, Tienda del Clan y Tienda Planetaria; s"&amp;"e eliminó el edificio de la Tienda Secreta. 
- Nuevos eventos: Crecimiento del Luchador, Fiesta en la Piscina, Recolector Primate.
- Nuevo Paquete Paquete Personalizado de Oferta Especial: ¡Escoge tus propias recompensas, combina y mezcla como tú quieras!"&amp;"
- Optimizaciones: Aumento en el tamaño de la Ciudad, se agrego Ayuda Rápida y los iconos de acceso a la Incursión y ventanas emergentes para algunas características, optimización de la Taberna, visualización del valor de daño durante la batalla y rango d"&amp;"e la habilidad, tutorial, Exploración de Colin, Desarrollar Ciudad, Mejorar Investigación, Incursiones Fronterizas, Enfrentamiento en la Incursión, Patrulla Territorial, la Venganza del Dr. Hogg y otras interfaces del juego; cambió en la ubicación del bot"&amp;"ón de Alertas y ciertas misiones de capítulo.")</f>
        <v>- Nuevas Formas de Juego: Inversión en CD, Fondo de Convoy.
- Nuevo edificio, Calle de Tiendas: acceso integrado a diversas tiendas incluyendo la Tienda Secreta, Tienda Normal, Tienda VIP, Tienda de Honores del Clan, Tienda del Clan y Tienda Planetaria; se eliminó el edificio de la Tienda Secreta. 
- Nuevos eventos: Crecimiento del Luchador, Fiesta en la Piscina, Recolector Primate.
- Nuevo Paquete Paquete Personalizado de Oferta Especial: ¡Escoge tus propias recompensas, combina y mezcla como tú quieras!
- Optimizaciones: Aumento en el tamaño de la Ciudad, se agrego Ayuda Rápida y los iconos de acceso a la Incursión y ventanas emergentes para algunas características, optimización de la Taberna, visualización del valor de daño durante la batalla y rango de la habilidad, tutorial, Exploración de Colin, Desarrollar Ciudad, Mejorar Investigación, Incursiones Fronterizas, Enfrentamiento en la Incursión, Patrulla Territorial, la Venganza del Dr. Hogg y otras interfaces del juego; cambió en la ubicación del botón de Alertas y ciertas misiones de capítulo.</v>
      </c>
      <c r="L36" s="159" t="str">
        <f>IFERROR(__xludf.DUMMYFUNCTION("""COMPUTED_VALUE"""),"- Новые игровые процессы: инвестиции CD и средства каравана.
- Новая постройка: торговая улица. В ней собран доступ к различным магазинам: секретному магазину, обычному магазину, магазину VIP, магазину чести клана, магазину клана и магазину планеты. Здани"&amp;"е секретного магазина удалено.
- Новые события: «Рост героя», «Вечеринка в бассейне» и «Примат-коллекционер».
- Новое особое предложение: персональный набор. Выбирайте свои собственные награды — сочетайте и смешивайте их, как вам нравится!
- Оптимизации: "&amp;"увеличен размер города, добавлены значки быстрой помощи, доступа к походам и всплывающие окна для некоторых функций, оптимизирована таверна, отображение величины урона во время боя и радиуса действия навыков, обучение, «Исследования Колина», «Развивайте г"&amp;"ород», «Исследуйте», «Пограничные рейды», сражения в походе, патруль территории, «Месть доктора Хогга» и другие игровые интерфейсы; изменено положение кнопки «Тревога», оптимизирован ряд заданий глав.")</f>
        <v>- Новые игровые процессы: инвестиции CD и средства каравана.
- Новая постройка: торговая улица. В ней собран доступ к различным магазинам: секретному магазину, обычному магазину, магазину VIP, магазину чести клана, магазину клана и магазину планеты. Здание секретного магазина удалено.
- Новые события: «Рост героя», «Вечеринка в бассейне» и «Примат-коллекционер».
- Новое особое предложение: персональный набор. Выбирайте свои собственные награды — сочетайте и смешивайте их, как вам нравится!
- Оптимизации: увеличен размер города, добавлены значки быстрой помощи, доступа к походам и всплывающие окна для некоторых функций, оптимизирована таверна, отображение величины урона во время боя и радиуса действия навыков, обучение, «Исследования Колина», «Развивайте город», «Исследуйте», «Пограничные рейды», сражения в походе, патруль территории, «Месть доктора Хогга» и другие игровые интерфейсы; изменено положение кнопки «Тревога», оптимизирован ряд заданий глав.</v>
      </c>
      <c r="M36" s="160" t="str">
        <f>IFERROR(__xludf.DUMMYFUNCTION("""COMPUTED_VALUE"""),"- Yeni oynanışlar: CD Yatırımı, Konvoy Fonu
 - Yeni bina, Mağaza Sokağı: Gizli Mağaza, Sıradan Mağaza, VIP Mağaza, Klan Onuru Mağazası, Klan Mağazası ve Gezegen Mağazası da dâhil olmak üzere çeşitli mağazalara entegre erişim; Gizli Mağaza binası kaldırdı."&amp;"
 - Yeni etkinlikler: Savaşçı Büyümesi, Havuz Partisi, Primat Toplayıcı.
 - Yeni paket: Özel Teklif Özel Paket; ödüllerini seç, istediğin gibi birleştir ve karıştır!
 - Optimizasyonlar: Şehir ebadı artırıldı, belirli özellikler için Hızlı Yardım ve Toplu "&amp;"Saldırı erişim simgeleri ile açılır pencereler eklendi, Taverna, savaş ve beceri aralığı sırasında hasar değeri görüntüleme, öğretici, Colin’in Keşfi, Şehri Geliştir, Araştırmayı İyileştir, Sınır Akınları, Toplu Saldırı Resti, Bölge Devriyesi, Dr. Hogg’un"&amp;" İntikamı ve diğer oyun arayüzleri optimize edildi; Uyarılar düğmesinin yeri ve belirli bölüm maceraları değiştirildi.")</f>
        <v>- Yeni oynanışlar: CD Yatırımı, Konvoy Fonu
 - Yeni bina, Mağaza Sokağı: Gizli Mağaza, Sıradan Mağaza, VIP Mağaza, Klan Onuru Mağazası, Klan Mağazası ve Gezegen Mağazası da dâhil olmak üzere çeşitli mağazalara entegre erişim; Gizli Mağaza binası kaldırdı.
 - Yeni etkinlikler: Savaşçı Büyümesi, Havuz Partisi, Primat Toplayıcı.
 - Yeni paket: Özel Teklif Özel Paket; ödüllerini seç, istediğin gibi birleştir ve karıştır!
 - Optimizasyonlar: Şehir ebadı artırıldı, belirli özellikler için Hızlı Yardım ve Toplu Saldırı erişim simgeleri ile açılır pencereler eklendi, Taverna, savaş ve beceri aralığı sırasında hasar değeri görüntüleme, öğretici, Colin’in Keşfi, Şehri Geliştir, Araştırmayı İyileştir, Sınır Akınları, Toplu Saldırı Resti, Bölge Devriyesi, Dr. Hogg’un İntikamı ve diğer oyun arayüzleri optimize edildi; Uyarılar düğmesinin yeri ve belirli bölüm maceraları değiştirildi.</v>
      </c>
      <c r="N36" s="175" t="str">
        <f>IFERROR(__xludf.DUMMYFUNCTION("""COMPUTED_VALUE"""),"- Lối chơi mới: Đầu Tư CD, Quỹ Phát Triển Xe Chuyên Chở.
 - Tòa nhà mới, Phố Cửa Hàng: tích hợp quyền truy cập vào các cửa hàng khác nhau bao gồm Cửa Hàng Bí Mật, Cửa Hàng Thường, Cửa Hàng VIP, Cửa Hàng Vinh Dự Bộ Lạc, Cửa Hàng Bộ Lạc và Cửa Hàng Hành Tin"&amp;"h; đã dỡ bỏ tòa nhà Cửa Hàng Bí Mật.
 - Sự kiện mới: Phát Triển Chiến Binh, Bữa Tiệc Hồ Bơi, Linh Trưởng Thu Thập.
 - Gói mới: Gói tùy chỉnh ưu đãi đặc biệt; chọn phần thưởng cho riêng mình, kết hợp và trộn lẫn theo ý thích!
 - Tối ưu hóa: tăng quy mô Thà"&amp;"nh Phố, thêm biểu tượng truy cập Tập Hợp và Hỗ Trợ Nhanh cũng như cửa sổ bật lên cho một số tính năng nhất định, tối ưu Tửu Quán, hiển thị giá trị sát thương trong trận chiến và phạm vi kỹ năng, hướng dẫn, Khám Phá Của Colin, Phát Triển Thành Phố, Cải Thi"&amp;"ện Nghiên Cứu, Đột Kích Biên Giới, Đại Chiến Tập Hợp, Tuần Tra Lãnh Thổ, Trận Phục Thù của Tiến Sĩ Hogg và giao diện các trò chơi khác; đã thay đổi vị trí nút Cảnh báo và một số nhiệm vụ chương nhất định.")</f>
        <v>- Lối chơi mới: Đầu Tư CD, Quỹ Phát Triển Xe Chuyên Chở.
 - Tòa nhà mới, Phố Cửa Hàng: tích hợp quyền truy cập vào các cửa hàng khác nhau bao gồm Cửa Hàng Bí Mật, Cửa Hàng Thường, Cửa Hàng VIP, Cửa Hàng Vinh Dự Bộ Lạc, Cửa Hàng Bộ Lạc và Cửa Hàng Hành Tinh; đã dỡ bỏ tòa nhà Cửa Hàng Bí Mật.
 - Sự kiện mới: Phát Triển Chiến Binh, Bữa Tiệc Hồ Bơi, Linh Trưởng Thu Thập.
 - Gói mới: Gói tùy chỉnh ưu đãi đặc biệt; chọn phần thưởng cho riêng mình, kết hợp và trộn lẫn theo ý thích!
 - Tối ưu hóa: tăng quy mô Thành Phố, thêm biểu tượng truy cập Tập Hợp và Hỗ Trợ Nhanh cũng như cửa sổ bật lên cho một số tính năng nhất định, tối ưu Tửu Quán, hiển thị giá trị sát thương trong trận chiến và phạm vi kỹ năng, hướng dẫn, Khám Phá Của Colin, Phát Triển Thành Phố, Cải Thiện Nghiên Cứu, Đột Kích Biên Giới, Đại Chiến Tập Hợp, Tuần Tra Lãnh Thổ, Trận Phục Thù của Tiến Sĩ Hogg và giao diện các trò chơi khác; đã thay đổi vị trí nút Cảnh báo và một số nhiệm vụ chương nhất định.</v>
      </c>
      <c r="O36" s="45"/>
      <c r="P36" s="34"/>
      <c r="Q36" s="34"/>
      <c r="R36" s="34"/>
      <c r="S36" s="34"/>
      <c r="T36" s="108"/>
      <c r="U36" s="108"/>
      <c r="V36" s="108"/>
      <c r="W36" s="108"/>
      <c r="X36" s="108"/>
      <c r="Y36" s="108"/>
      <c r="Z36" s="108"/>
    </row>
    <row r="37" ht="72.0" customHeight="1">
      <c r="A37" s="149" t="str">
        <f>IFERROR(__xludf.DUMMYFUNCTION("""COMPUTED_VALUE"""),"0.33.0")</f>
        <v>0.33.0</v>
      </c>
      <c r="B37" s="174" t="str">
        <f>IFERROR(__xludf.DUMMYFUNCTION("""COMPUTED_VALUE"""),"&lt;en-US&gt;
- New Gear system: equip your troops with Gears to make them more powerful.
- Supremacy Competition optimized: enriched the gameplay flow so that every player can contribute to the Clan's Rocket launching; more rewards added.
- New Fighter: a hero"&amp;"in thief known as the Phantom of Wildtown - Darcy. Speed is her middle name! Get her via the 7-Day Evaluation of Darcy or the Arena.
- Treasure Hunt optimized: new levels added.
- Colin's Exploration optimized: optimized quest requirements, added Categori"&amp;"es.
&lt;/en-US&gt;
&lt;fr-FR&gt;
- Nouveau système d’équipements: équipez vos troupes d’armes pour augmenter leur puissance.
- Optimisation de la Course à la suprématie: un gameplay plus fluide, permettant à chaque joueur de contribuer au lancement de la fusée du cla"&amp;"n; ajout de récompenses.
- Nouvelle combattante: Darcy, une voleuse surnommée le fantôme de Bandibourg. Cette héroïne est ultra rapide! Obtenez-la grâce aux 7 jours de test de Darcy ou dans l’arène.
- Optimisation de la Chasse aux trésors: ajout de niveau"&amp;"x.
- Optimisation des conditions de réussite des quêtes et ajout de catégories dans l’Exploration de Colin.
&lt;/fr-FR&gt;
&lt;de-DE&gt;
- Neues Ausrüstungssystem: Rüste deine Truppen mit Ausrüstung aus, um sie stärker zu machen.
 - Vorherrschaft-Wettbewerb optimiert"&amp;": der Spieleablauf wurde verbessert, so dass jeder Spieler zum Raketenstart der Horde beitragen kann; mehr Belohnungen hinzugefügt.
 - Neuer Kämpfer: eine heldenhafte Diebin, bekannt als das Phantom von Wildtown - Darcy. Geschwindigkeit ist ihr zweiter Vo"&amp;"rname! Du erhältst sie über die 7-tägige Bewertungsphase von Darcy oder in der Arena.
 - Schatzsuche optimiert: neue Level hinzugefügt.
 - Colins Erkundung optimiert: Quest-Anforderungen optimiert, Kategorien hinzugefügt.
&lt;/de-DE&gt;
&lt;pt-BR&gt;
- Novo sistema d"&amp;"e equipamentos: prepare suas tropas com equipamentos para torná-las mais poderosas.
 - Melhoria em Competição pela Supremacia: ritmo de jogo melhorado, de modo que cada jogador possa contribuir no lançamento do foguete do clã, além de mais recompensas adi"&amp;"cionadas.
 - Nova combatente: a heroína e ladra conhecida como ""Fantasma da Cidade Selvagem"", Darcy. Seu sobrenome é velocidade! Obtenha-a por meio da avaliação de 7 dias de Darcy ou na arena.
 - Melhoria em Caça ao Tesouro: novos níveis adicionados.
 -"&amp;" Exploração de Colin otimizada: melhoria nos requisitos da missão, categorias adicionadas.
&lt;/pt-BR&gt;
&lt;zh-HK&gt;
-調整基地等級解鎖行軍隊列的數量：1~9級為2隊，10~17級為3隊，18~25級為4隊，26~30級為5隊；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-科林的探索：調整了探索任務的出現頻率，降低了探索條件的難度"&amp;"，並增加了探索任務的獎勵；調整了挑戰任務的難度；
-建築升級：調整了部分建築的升級消耗資源和時間；
&lt;/zh-HK&gt;
&lt;id&gt;
- Sistem Perlengkapan Baru: lengkapi pasukanmu dengan Perlengkapan untuk membuatnya lebih kuat.
 - Mengoptimalkan Kompetisi Supremasi: memperkaya alur gameplay sehingga setiap pemain bisa ber"&amp;"kontribusi pada peluncuran Roket Klan; menambahkan lebih banyak hadiah.
 -Pejuang Baru: pahlawan wanita pencuri yang dikenal sebagai Phantom of Wildtown-Darcy. Kecepatan adalah nama tengahnya! Dapatkan Darcy melalui Evaluasi 7 Hari Darcy atau Arena.
 - Me"&amp;"ngoptimalkan Perburuan Harta Karun: level baru ditambahkan.
 - Mengoptimalkan Penjelajahan Colin: mengoptimalkan persyaratan misi, menambahkan Kategori.
&lt;/id&gt;
&lt;th&gt;
- ระบบอุปกรณ์ใหม่: สวมใส่อุปกรณ์ให้กองทหารของคุณเพื่อให้มีพลังมากขึ้น
 - ปรับปรุงการแข่งขัน"&amp;"เพื่อชิงอำนาจ: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วีรสตรีจอมโจรที่รู้จักกันในชื่อดาร์ซี่ เงามืดแห่งไวลด์ทาวน์ ที่เธอมีชื่อกลางว่าเร็วจัด ๆ! คุณสามารถได้ตัวเธอมาจากการ"&amp;"ผ่านการประเมิน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
&lt;/th&gt;
&lt;es-419&gt;
- Nuevo Sistema de Equipo: Equipa a tus tropas con Equipos para hacerlas más poder"&amp;"osas.
 - Optimización de la Competencia por la Supremacía: Se enriqueció el flujo del juego para que cada jugador pueda contribuir al lanzamiento del Cohete del Clan; se agregaron más recompensas. 
 - Nuevo Luchador: Darcy - Una ladrona heroína conocida c"&amp;"omo el Fantasma del Pueblo Salvaje. ¡la velocidad es su apellido! Consíguela mediante la Evaluación de Darcy de 7 días o en la Arena. 
 - Optimización de Cacería del Tesoro: Se agregaron nuevos niveles.
 - Optimización de la Exploración de Colin: Optimiza"&amp;"ción de los requerimientos de misión, se agregaron Categorías.
&lt;/es-419&gt;
&lt;ru-RU&gt;
-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"&amp;"каждый игрок мог внести свой вклад в запуск ракеты клана; добавлено больше наград.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за"&amp;" сокровищами: добавлены новые уровни.
- Оптимизированы «Исследования Колина»: усовершенствованы требования к заданиям, добавлены категории.
&lt;/ru-RU&gt;
&lt;tr-TR&gt;
- Yeni Aksesuar sistemi: birliklerini güçlendirmek için onları Aksesuarlarla donat.
 - Üstünlük Mü"&amp;"sabakası optimize edildi: her oyuncunun Klanın Roket fırlatmasına katkıda bulunabilmesi için oynanış zenginleştirildi; daha fazla ödül eklendi.
 - Yeni Savaşçı: Wildtown’ın Hayaleti - Darcy olarak bilinen kahraman bir hırsız. Hız onun göbek adı! Onu Darcy"&amp;"’nin 7 Günlük Değerlendirmesinden veya Arenadan elde et.
 - Hazine Avı optimize edildi: yeni seviyeler eklendi.
 - Colin’in Keşfi optimize edildi: görev gereksinimleri optimize edildi, Kategoriler eklendi.
&lt;/tr-TR&gt;
&lt;vi&gt;
- Hệ thống Trang Bị mới: trang bị c"&amp;"ho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 Chiến Binh mới: nữ cướp anh hùng n"&amp;"ổi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 các yêu cầu nhiệm vụ, đã thêm các "&amp;"Hạng Mục.
&lt;/vi&gt;
")</f>
        <v>&lt;en-US&gt;
- New Gear system: equip your troops with Gears to make them more powerful.
- Supremacy Competition optimized: enriched the gameplay flow so that every player can contribute to the Clan's Rocket launching; more rewards added.
- New Fighter: a heroin thief known as the Phantom of Wildtown - Darcy. Speed is her middle name! Get her via the 7-Day Evaluation of Darcy or the Arena.
- Treasure Hunt optimized: new levels added.
- Colin's Exploration optimized: optimized quest requirements, added Categories.
&lt;/en-US&gt;
&lt;fr-FR&gt;
- Nouveau système d’équipements: équipez vos troupes d’armes pour augmenter leur puissance.
- Optimisation de la Course à la suprématie: un gameplay plus fluide, permettant à chaque joueur de contribuer au lancement de la fusée du clan; ajout de récompenses.
- Nouvelle combattante: Darcy, une voleuse surnommée le fantôme de Bandibourg. Cette héroïne est ultra rapide! Obtenez-la grâce aux 7 jours de test de Darcy ou dans l’arène.
- Optimisation de la Chasse aux trésors: ajout de niveaux.
- Optimisation des conditions de réussite des quêtes et ajout de catégories dans l’Exploration de Colin.
&lt;/fr-FR&gt;
&lt;de-DE&gt;
- Neues Ausrüstungssystem: Rüste deine Truppen mit Ausrüstung aus, um sie stärker zu machen.
 - Vorherrschaft-Wettbewerb optimiert: der Spieleablauf wurde verbessert, so dass jeder Spieler zum Raketenstart der Horde beitragen kann; mehr Belohnungen hinzugefügt.
 - Neuer Kämpfer: eine heldenhafte Diebin, bekannt als das Phantom von Wildtown - Darcy. Geschwindigkeit ist ihr zweiter Vorname! Du erhältst sie über die 7-tägige Bewertungsphase von Darcy oder in der Arena.
 - Schatzsuche optimiert: neue Level hinzugefügt.
 - Colins Erkundung optimiert: Quest-Anforderungen optimiert, Kategorien hinzugefügt.
&lt;/de-DE&gt;
&lt;pt-BR&gt;
- Novo sistema de equipamentos: prepare suas tropas com equipamentos para torná-las mais poderosas.
 - Melhoria em Competição pela Supremacia: ritmo de jogo melhorado, de modo que cada jogador possa contribuir no lançamento do foguete do clã, além de mais recompensas adicionadas.
 - Nova combatente: a heroína e ladra conhecida como "Fantasma da Cidade Selvagem", Darcy. Seu sobrenome é velocidade! Obtenha-a por meio da avaliação de 7 dias de Darcy ou na arena.
 - Melhoria em Caça ao Tesouro: novos níveis adicionados.
 - Exploração de Colin otimizada: melhoria nos requisitos da missão, categorias adicionadas.
&lt;/pt-BR&gt;
&lt;zh-HK&gt;
-調整基地等級解鎖行軍隊列的數量：1~9級為2隊，10~17級為3隊，18~25級為4隊，26~30級為5隊；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-科林的探索：調整了探索任務的出現頻率，降低了探索條件的難度，並增加了探索任務的獎勵；調整了挑戰任務的難度；
-建築升級：調整了部分建築的升級消耗資源和時間；
&lt;/zh-HK&gt;
&lt;id&gt;
- Sistem Perlengkapan Baru: lengkapi pasukanmu dengan Perlengkapan untuk membuatnya lebih kuat.
 - Mengoptimalkan Kompetisi Supremasi: memperkaya alur gameplay sehingga setiap pemain bisa berkontribusi pada peluncuran Roket Klan; menambahkan lebih banyak hadiah.
 -Pejuang Baru: pahlawan wanita pencuri yang dikenal sebagai Phantom of Wildtown-Darcy. Kecepatan adalah nama tengahnya! Dapatkan Darcy melalui Evaluasi 7 Hari Darcy atau Arena.
 - Mengoptimalkan Perburuan Harta Karun: level baru ditambahkan.
 - Mengoptimalkan Penjelajahan Colin: mengoptimalkan persyaratan misi, menambahkan Kategori.
&lt;/id&gt;
&lt;th&gt;
- ระบบอุปกรณ์ใหม่: สวมใส่อุปกรณ์ให้กองทหารของคุณเพื่อให้มีพลังมากขึ้น
 - ปรับปรุงการแข่งขันเพื่อชิงอำนาจ: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วีรสตรีจอมโจรที่รู้จักกันในชื่อดาร์ซี่ เงามืดแห่งไวลด์ทาวน์ ที่เธอมีชื่อกลางว่าเร็วจัด ๆ! คุณสามารถได้ตัวเธอมาจากการผ่านการประเมิน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
&lt;/th&gt;
&lt;es-419&gt;
- Nuevo Sistema de Equipo: Equipa a tus tropas con Equipos para hacerlas más poderosas.
 - Optimización de la Competencia por la Supremacía: Se enriqueció el flujo del juego para que cada jugador pueda contribuir al lanzamiento del Cohete del Clan; se agregaron más recompensas. 
 - Nuevo Luchador: Darcy - Una ladrona heroína conocida como el Fantasma del Pueblo Salvaje. ¡la velocidad es su apellido! Consíguela mediante la Evaluación de Darcy de 7 días o en la Arena. 
 - Optimización de Cacería del Tesoro: Se agregaron nuevos niveles.
 - Optimización de la Exploración de Colin: Optimización de los requerimientos de misión, se agregaron Categorías.
&lt;/es-419&gt;
&lt;ru-RU&gt;
-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каждый игрок мог внести свой вклад в запуск ракеты клана; добавлено больше наград.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 сокровищами: добавлены новые уровни.
- Оптимизированы «Исследования Колина»: усовершенствованы требования к заданиям, добавлены категории.
&lt;/ru-RU&gt;
&lt;tr-TR&gt;
- Yeni Aksesuar sistemi: birliklerini güçlendirmek için onları Aksesuarlarla donat.
 - Üstünlük Müsabakası optimize edildi: her oyuncunun Klanın Roket fırlatmasına katkıda bulunabilmesi için oynanış zenginleştirildi; daha fazla ödül eklendi.
 - Yeni Savaşçı: Wildtown’ın Hayaleti - Darcy olarak bilinen kahraman bir hırsız. Hız onun göbek adı! Onu Darcy’nin 7 Günlük Değerlendirmesinden veya Arenadan elde et.
 - Hazine Avı optimize edildi: yeni seviyeler eklendi.
 - Colin’in Keşfi optimize edildi: görev gereksinimleri optimize edildi, Kategoriler eklendi.
&lt;/tr-TR&gt;
&lt;vi&gt;
- Hệ thống Trang Bị mới: trang bị cho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 Chiến Binh mới: nữ cướp anh hùng nổi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 các yêu cầu nhiệm vụ, đã thêm các Hạng Mục.
&lt;/vi&gt;
</v>
      </c>
      <c r="C37" s="44" t="str">
        <f>IFERROR(__xludf.DUMMYFUNCTION("""COMPUTED_VALUE"""),"-新增军备系统：现在你可以让你的士兵们带上军备，战力将会更加强大；
-太空争霸优化：丰富了太空争霸的玩法流程，使每个人都能为氏族的火箭发射事业做出贡献，同时添加了更多丰厚奖励；
-新增斗士：英姿飒爽的女飞侠，有“荒城魅影”之称的达西。比快，她永不服输！通过“达西的7日考核”和“擂台”获得。
-寻宝记优化：新增了更多的关卡；
-科林的探索优化：优化了探索任务的条件，新增了收集图鉴；")</f>
        <v>-新增军备系统：现在你可以让你的士兵们带上军备，战力将会更加强大；
-太空争霸优化：丰富了太空争霸的玩法流程，使每个人都能为氏族的火箭发射事业做出贡献，同时添加了更多丰厚奖励；
-新增斗士：英姿飒爽的女飞侠，有“荒城魅影”之称的达西。比快，她永不服输！通过“达西的7日考核”和“擂台”获得。
-寻宝记优化：新增了更多的关卡；
-科林的探索优化：优化了探索任务的条件，新增了收集图鉴；</v>
      </c>
      <c r="D37" s="159" t="str">
        <f>IFERROR(__xludf.DUMMYFUNCTION("""COMPUTED_VALUE"""),"- New Gear system: equip your troops with Gears to make them more powerful.
- Supremacy Competition optimized: enriched the gameplay flow so that every player can contribute to the Clan's Rocket launching; more rewards added.
- New Fighter: a heroin thief"&amp;" known as the Phantom of Wildtown - Darcy. Speed is her middle name! Get her via the 7-Day Evaluation of Darcy or the Arena.
- Treasure Hunt optimized: new levels added.
- Colin's Exploration optimized: optimized quest requirements, added Categories.")</f>
        <v>- New Gear system: equip your troops with Gears to make them more powerful.
- Supremacy Competition optimized: enriched the gameplay flow so that every player can contribute to the Clan's Rocket launching; more rewards added.
- New Fighter: a heroin thief known as the Phantom of Wildtown - Darcy. Speed is her middle name! Get her via the 7-Day Evaluation of Darcy or the Arena.
- Treasure Hunt optimized: new levels added.
- Colin's Exploration optimized: optimized quest requirements, added Categories.</v>
      </c>
      <c r="E37" s="160" t="str">
        <f>IFERROR(__xludf.DUMMYFUNCTION("""COMPUTED_VALUE"""),"- Nouveau système d’équipements: équipez vos troupes d’armes pour augmenter leur puissance.
- Optimisation de la Course à la suprématie: un gameplay plus fluide, permettant à chaque joueur de contribuer au lancement de la fusée du clan; ajout de récompens"&amp;"es.
- Nouvelle combattante: Darcy, une voleuse surnommée le fantôme de Bandibourg. Cette héroïne est ultra rapide! Obtenez-la grâce aux 7 jours de test de Darcy ou dans l’arène.
- Optimisation de la Chasse aux trésors: ajout de niveaux.
- Optimisation des"&amp;" conditions de réussite des quêtes et ajout de catégories dans l’Exploration de Colin.")</f>
        <v>- Nouveau système d’équipements: équipez vos troupes d’armes pour augmenter leur puissance.
- Optimisation de la Course à la suprématie: un gameplay plus fluide, permettant à chaque joueur de contribuer au lancement de la fusée du clan; ajout de récompenses.
- Nouvelle combattante: Darcy, une voleuse surnommée le fantôme de Bandibourg. Cette héroïne est ultra rapide! Obtenez-la grâce aux 7 jours de test de Darcy ou dans l’arène.
- Optimisation de la Chasse aux trésors: ajout de niveaux.
- Optimisation des conditions de réussite des quêtes et ajout de catégories dans l’Exploration de Colin.</v>
      </c>
      <c r="F37" s="160" t="str">
        <f>IFERROR(__xludf.DUMMYFUNCTION("""COMPUTED_VALUE"""),"- Neues Ausrüstungssystem: Rüste deine Truppen mit Ausrüstung aus, um sie stärker zu machen.
 - Vorherrschaft-Wettbewerb optimiert: der Spieleablauf wurde verbessert, so dass jeder Spieler zum Raketenstart der Horde beitragen kann; mehr Belohnungen hinzug"&amp;"efügt.
 - Neuer Kämpfer: eine heldenhafte Diebin, bekannt als das Phantom von Wildtown - Darcy. Geschwindigkeit ist ihr zweiter Vorname! Du erhältst sie über die 7-tägige Bewertungsphase von Darcy oder in der Arena.
 - Schatzsuche optimiert: neue Level hi"&amp;"nzugefügt.
 - Colins Erkundung optimiert: Quest-Anforderungen optimiert, Kategorien hinzugefügt.")</f>
        <v>- Neues Ausrüstungssystem: Rüste deine Truppen mit Ausrüstung aus, um sie stärker zu machen.
 - Vorherrschaft-Wettbewerb optimiert: der Spieleablauf wurde verbessert, so dass jeder Spieler zum Raketenstart der Horde beitragen kann; mehr Belohnungen hinzugefügt.
 - Neuer Kämpfer: eine heldenhafte Diebin, bekannt als das Phantom von Wildtown - Darcy. Geschwindigkeit ist ihr zweiter Vorname! Du erhältst sie über die 7-tägige Bewertungsphase von Darcy oder in der Arena.
 - Schatzsuche optimiert: neue Level hinzugefügt.
 - Colins Erkundung optimiert: Quest-Anforderungen optimiert, Kategorien hinzugefügt.</v>
      </c>
      <c r="G37" s="160" t="str">
        <f>IFERROR(__xludf.DUMMYFUNCTION("""COMPUTED_VALUE"""),"- Novo sistema de equipamentos: prepare suas tropas com equipamentos para torná-las mais poderosas.
 - Melhoria em Competição pela Supremacia: ritmo de jogo melhorado, de modo que cada jogador possa contribuir no lançamento do foguete do clã, além de mais"&amp;" recompensas adicionadas.
 - Nova combatente: a heroína e ladra conhecida como ""Fantasma da Cidade Selvagem"", Darcy. Seu sobrenome é velocidade! Obtenha-a por meio da avaliação de 7 dias de Darcy ou na arena.
 - Melhoria em Caça ao Tesouro: novos níveis"&amp;" adicionados.
 - Exploração de Colin otimizada: melhoria nos requisitos da missão, categorias adicionadas.")</f>
        <v>- Novo sistema de equipamentos: prepare suas tropas com equipamentos para torná-las mais poderosas.
 - Melhoria em Competição pela Supremacia: ritmo de jogo melhorado, de modo que cada jogador possa contribuir no lançamento do foguete do clã, além de mais recompensas adicionadas.
 - Nova combatente: a heroína e ladra conhecida como "Fantasma da Cidade Selvagem", Darcy. Seu sobrenome é velocidade! Obtenha-a por meio da avaliação de 7 dias de Darcy ou na arena.
 - Melhoria em Caça ao Tesouro: novos níveis adicionados.
 - Exploração de Colin otimizada: melhoria nos requisitos da missão, categorias adicionadas.</v>
      </c>
      <c r="H37" s="159" t="str">
        <f>IFERROR(__xludf.DUMMYFUNCTION("""COMPUTED_VALUE"""),"-調整基地等級解鎖行軍隊列的數量：1~9級為2隊，10~17級為3隊，18~25級為4隊，26~30級為5隊；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-科林的探索：調整了探索任務的出現頻率，降低了探索條件的難度，並增加了探索任務的獎勵；調整了挑戰任務的難度；
-建築升級：調整了部分建築的升級消耗資源和時間；")</f>
        <v>-調整基地等級解鎖行軍隊列的數量：1~9級為2隊，10~17級為3隊，18~25級為4隊，26~30級為5隊；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-科林的探索：調整了探索任務的出現頻率，降低了探索條件的難度，並增加了探索任務的獎勵；調整了挑戰任務的難度；
-建築升級：調整了部分建築的升級消耗資源和時間；</v>
      </c>
      <c r="I37" s="160" t="str">
        <f>IFERROR(__xludf.DUMMYFUNCTION("""COMPUTED_VALUE"""),"- Sistem Perlengkapan Baru: lengkapi pasukanmu dengan Perlengkapan untuk membuatnya lebih kuat.
 - Mengoptimalkan Kompetisi Supremasi: memperkaya alur gameplay sehingga setiap pemain bisa berkontribusi pada peluncuran Roket Klan; menambahkan lebih banyak "&amp;"hadiah.
 -Pejuang Baru: pahlawan wanita pencuri yang dikenal sebagai Phantom of Wildtown-Darcy. Kecepatan adalah nama tengahnya! Dapatkan Darcy melalui Evaluasi 7 Hari Darcy atau Arena.
 - Mengoptimalkan Perburuan Harta Karun: level baru ditambahkan.
 - M"&amp;"engoptimalkan Penjelajahan Colin: mengoptimalkan persyaratan misi, menambahkan Kategori.")</f>
        <v>- Sistem Perlengkapan Baru: lengkapi pasukanmu dengan Perlengkapan untuk membuatnya lebih kuat.
 - Mengoptimalkan Kompetisi Supremasi: memperkaya alur gameplay sehingga setiap pemain bisa berkontribusi pada peluncuran Roket Klan; menambahkan lebih banyak hadiah.
 -Pejuang Baru: pahlawan wanita pencuri yang dikenal sebagai Phantom of Wildtown-Darcy. Kecepatan adalah nama tengahnya! Dapatkan Darcy melalui Evaluasi 7 Hari Darcy atau Arena.
 - Mengoptimalkan Perburuan Harta Karun: level baru ditambahkan.
 - Mengoptimalkan Penjelajahan Colin: mengoptimalkan persyaratan misi, menambahkan Kategori.</v>
      </c>
      <c r="J37" s="159" t="str">
        <f>IFERROR(__xludf.DUMMYFUNCTION("""COMPUTED_VALUE"""),"- ระบบอุปกรณ์ใหม่: สวมใส่อุปกรณ์ให้กองทหารของคุณเพื่อให้มีพลังมากขึ้น
 - ปรับปรุงการแข่งขันเพื่อชิงอำนาจ: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วีรสตรีจอมโจรที่รู้จักกัน"&amp;"ในชื่อดาร์ซี่ เงามืดแห่งไวลด์ทาวน์ ที่เธอมีชื่อกลางว่าเร็วจัด ๆ! คุณสามารถได้ตัวเธอมาจากการผ่านการประเมิน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f>
        <v>- ระบบอุปกรณ์ใหม่: สวมใส่อุปกรณ์ให้กองทหารของคุณเพื่อให้มีพลังมากขึ้น
 - ปรับปรุงการแข่งขันเพื่อชิงอำนาจ: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วีรสตรีจอมโจรที่รู้จักกันในชื่อดาร์ซี่ เงามืดแห่งไวลด์ทาวน์ ที่เธอมีชื่อกลางว่าเร็วจัด ๆ! คุณสามารถได้ตัวเธอมาจากการผ่านการประเมิน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v>
      </c>
      <c r="K37" s="160" t="str">
        <f>IFERROR(__xludf.DUMMYFUNCTION("""COMPUTED_VALUE"""),"- Nuevo Sistema de Equipo: Equipa a tus tropas con Equipos para hacerlas más poderosas.
 - Optimización de la Competencia por la Supremacía: Se enriqueció el flujo del juego para que cada jugador pueda contribuir al lanzamiento del Cohete del Clan; se agr"&amp;"egaron más recompensas. 
 - Nuevo Luchador: Darcy - Una ladrona heroína conocida como el Fantasma del Pueblo Salvaje. ¡la velocidad es su apellido! Consíguela mediante la Evaluación de Darcy de 7 días o en la Arena. 
 - Optimización de Cacería del Tesoro:"&amp;" Se agregaron nuevos niveles.
 - Optimización de la Exploración de Colin: Optimización de los requerimientos de misión, se agregaron Categorías.")</f>
        <v>- Nuevo Sistema de Equipo: Equipa a tus tropas con Equipos para hacerlas más poderosas.
 - Optimización de la Competencia por la Supremacía: Se enriqueció el flujo del juego para que cada jugador pueda contribuir al lanzamiento del Cohete del Clan; se agregaron más recompensas. 
 - Nuevo Luchador: Darcy - Una ladrona heroína conocida como el Fantasma del Pueblo Salvaje. ¡la velocidad es su apellido! Consíguela mediante la Evaluación de Darcy de 7 días o en la Arena. 
 - Optimización de Cacería del Tesoro: Se agregaron nuevos niveles.
 - Optimización de la Exploración de Colin: Optimización de los requerimientos de misión, se agregaron Categorías.</v>
      </c>
      <c r="L37" s="159" t="str">
        <f>IFERROR(__xludf.DUMMYFUNCTION("""COMPUTED_VALUE"""),"-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каждый игрок мог внести свой вклад в запуск ракеты клана; добавлено больше наград"&amp;".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 сокровищами: добавлены новые уровни.
- Оптимизированы «Исследования Колина»: усо"&amp;"вершенствованы требования к заданиям, добавлены категории.")</f>
        <v>-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каждый игрок мог внести свой вклад в запуск ракеты клана; добавлено больше наград.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 сокровищами: добавлены новые уровни.
- Оптимизированы «Исследования Колина»: усовершенствованы требования к заданиям, добавлены категории.</v>
      </c>
      <c r="M37" s="160" t="str">
        <f>IFERROR(__xludf.DUMMYFUNCTION("""COMPUTED_VALUE"""),"- Yeni Aksesuar sistemi: birliklerini güçlendirmek için onları Aksesuarlarla donat.
 - Üstünlük Müsabakası optimize edildi: her oyuncunun Klanın Roket fırlatmasına katkıda bulunabilmesi için oynanış zenginleştirildi; daha fazla ödül eklendi.
 - Yeni Savaş"&amp;"çı: Wildtown’ın Hayaleti - Darcy olarak bilinen kahraman bir hırsız. Hız onun göbek adı! Onu Darcy’nin 7 Günlük Değerlendirmesinden veya Arenadan elde et.
 - Hazine Avı optimize edildi: yeni seviyeler eklendi.
 - Colin’in Keşfi optimize edildi: görev gere"&amp;"ksinimleri optimize edildi, Kategoriler eklendi.")</f>
        <v>- Yeni Aksesuar sistemi: birliklerini güçlendirmek için onları Aksesuarlarla donat.
 - Üstünlük Müsabakası optimize edildi: her oyuncunun Klanın Roket fırlatmasına katkıda bulunabilmesi için oynanış zenginleştirildi; daha fazla ödül eklendi.
 - Yeni Savaşçı: Wildtown’ın Hayaleti - Darcy olarak bilinen kahraman bir hırsız. Hız onun göbek adı! Onu Darcy’nin 7 Günlük Değerlendirmesinden veya Arenadan elde et.
 - Hazine Avı optimize edildi: yeni seviyeler eklendi.
 - Colin’in Keşfi optimize edildi: görev gereksinimleri optimize edildi, Kategoriler eklendi.</v>
      </c>
      <c r="N37" s="175" t="str">
        <f>IFERROR(__xludf.DUMMYFUNCTION("""COMPUTED_VALUE"""),"- Hệ thống Trang Bị mới: trang bị cho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-"&amp;" Chiến Binh mới: nữ cướp anh hùng nổi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ưu"&amp;" các yêu cầu nhiệm vụ, đã thêm các Hạng Mục.")</f>
        <v>- Hệ thống Trang Bị mới: trang bị cho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 Chiến Binh mới: nữ cướp anh hùng nổi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 các yêu cầu nhiệm vụ, đã thêm các Hạng Mục.</v>
      </c>
      <c r="O37" s="45"/>
      <c r="P37" s="34"/>
      <c r="Q37" s="34"/>
      <c r="R37" s="34"/>
      <c r="S37" s="34"/>
      <c r="T37" s="108"/>
      <c r="U37" s="108"/>
      <c r="V37" s="108"/>
      <c r="W37" s="108"/>
      <c r="X37" s="108"/>
      <c r="Y37" s="108"/>
      <c r="Z37" s="108"/>
    </row>
    <row r="38" ht="72.0" customHeight="1">
      <c r="A38" s="149" t="str">
        <f>IFERROR(__xludf.DUMMYFUNCTION("""COMPUTED_VALUE"""),"0.33.5")</f>
        <v>0.33.5</v>
      </c>
      <c r="B38" s="174" t="str">
        <f>IFERROR(__xludf.DUMMYFUNCTION("""COMPUTED_VALUE"""),"&lt;en-US&gt;
- New Halloween Bash: Halloween events are now online! Participate to win Banana Candies and Pumpkin Lanterns, and exchange them for amazing rewards! There's also a chance to get the exclusive holiday city skin!
Events:
1. Halloween Funhouse: a h"&amp;"ouse of wonders where you can exchange Banana Candies and Pumpkin Lanterns for gifts.
2. We Want Banana Candy: trick or treat! Collect sweet Banana Candies every day!
3. Bash Rev Up: speed up training, research, and building to get exclusive Pumpkin Lante"&amp;"rns.
4. Halloween Watchman: participate in daily gathering and hunting to safeguard the holiday!
&lt;/en-US&gt;
&lt;fr-FR&gt;
- Nouvelle Fête d'Halloween: les évènements d'Halloween sont en ligne! Participez pour gagner des bonbons banane et des lanternes citrouilles"&amp;", à échanger contre des récompenses incroyables! Vous pouvez également tenter de gagner un skin de ville Halloween exclusif!
Evènements:
1. Maison d'Halloween: une maison aux merveilles où vous pouvez échanger des bonbons banane et des lanternes citrouil"&amp;"les contre des cadeaux.
2. On veut des bonbons banane: des bonbons ou un sort! Obtenez des bonbons banane tous les jours!
3. Emulation festive: accélérez l'entraînement, la recherche et la construction pour obtenir des lanternes citrouilles exclusives.
4."&amp;" Vigile d'Halloween: participez chaque jour à des collectes et des parties de chasse pour sauver la fête!
&lt;/fr-FR&gt;
&lt;de-DE&gt;
- Neue Halloween-Party: Die Halloween Events sind jetzt online! Nimm teil, um Bananen-Bonbons und Kürbislaternen zu gewinnen, und ta"&amp;"usche sie gegen tolle Belohnungen ein! Außerdem gibt es die Chance, den exklusiven Festtags-Stadt-Skin zu erhalten!
 Events:
 1. Halloween-Spaßhaus: ein Haus der Wunder, in dem du Bananen-Bonbons und Kürbislaternen gegen Geschenke eintauschen kannst.
 2"&amp;". Wir wollen Bananen-Bonbons: Süßes oder Saures! Sammle jeden Tag süße Bananen-Bonbons!
 3. Schnelle Party: Beschleunige die Ausbildung, die Forschung und das Bauen, um exklusive Kürbislaternen zu erhalten.
 4. Halloween-Wächter: Nimm am täglichen Sammeln"&amp;" und Jagen teil, um den Feiertag zu beschützen!
&lt;/de-DE&gt;
&lt;pt-BR&gt;
- Nova Festa de Halloween: Os eventos de Halloween começam agora! Participe para ganhar doces de banana e lanternas de abóbora e troque-os por recompensas incríveis! Há também uma chance de "&amp;"se obter uma skin de cidade exclusiva do evento!
 Eventos:
 1. Parque de Diversões de Halloween: uma casa de maravilhas na qual você pode trocar doces de banana e lanternas de abóbora por presentes.
 2. Queremos Doce de Banana: doçuras ou travessuras! C"&amp;"olete doces de banana diariamente!
 3. Festa Acelerada: acelere o treinamento, a pesquisa e a construção para obter lanternas de abóbora.
 4. Vigia de Halloween: participe de reuniões e caçadas diárias, proteja este dia especial!
&lt;/pt-BR&gt;
&lt;zh-HK&gt;
-新增萬聖節狂歡"&amp;"：萬聖節系列活動驚喜上線，參與活動贏取香蕉糖和南瓜燈，即有機會兌換節日專屬主城內裝飾物，以及其他豐富獎勵！
具體活動包括：
1.萬聖奇妙屋：用香蕉糖和南瓜燈換取禮物的奇妙小屋；
2.香蕉糖的誘惑：不給糖就搗蛋，每天領取美味香蕉糖；
3.助力狂歡：加速生產建造，獲得專屬南瓜燈；
4.萬聖守望者：日常采集與狩獵，為節日保駕護航；
&lt;/zh-HK&gt;
&lt;id&gt;
- Pesta Halloween Baru: acara Halloween kini online! Ikuti untuk memenan"&amp;"gkan Permen Pisang dan Lentera Labu yang dapat ditukar dengan hadiah menarik! Dapatkan juga peluang untuk memperoleh skin kota liburan eksklusif!
 Acara:
 1. Rumah Halloween: di rumah ajaib ini kamu bisa menukarkan Permen Pisang dan Lentera Labu dengan "&amp;"beragam hadiah.
 2. Beri Kami Permen Pisang: beri permen atau kami jahili! Kumpulkan Permen Pisang yang manis setiap hari!
 3. Pesta Peningkatan: percepat pelatihan, riset, dan pembangunan untuk menddapatkan Lentera Labu eksklusif.
 4. Penjaga Halloween: "&amp;"kumpulkan dan berburu setiap hari agar liburanmu makin seru!
&lt;/id&gt;
&lt;th&gt;
- กิจกรรมใหม่ ฮาโลวีนมาแล้ว: กิจกรรมฮาโลวีนออนไลน์แล้ว! ร่วมลุ้นรับลูกอมรสกล้วยและตะเกียงฟักทอง แล้วนำไปแลกของรางวัลสุดวิเศษ! แถมยังมีโอกาสได้รับสกินเมืองวันเทศกาลสุดพิเศษอีกด้วย!
 "&amp;"กิจกรรม:
 1. บ้านฮาโลวีนแสนสนุก: บ้านแห่งความมหัศจรรย์ที่คุณสามารถแลกลูกอมรสกล้วยและตะเกียงฟักทองเป็นของขวัญได้
 2. เราจะเอาลูกอมรสกล้วย: ทริกออทรีต! เก็บลูกอมรสกล้วยแสนหอมหวานทุกวัน!
 3. เร่งเพื่อรับ: เร่งการฝึกฝน วิจัย และก่อสร้างให้เร็วขึ้นเพื่อรับตะเก"&amp;"ียงฟักทองสุดพิเศษ
 4. ยามรักษาการณ์ฮาโลวีน: เข้าร่วมในการรวบรวมและการล่าทุกวันเพื่อปกป้องวันหยุด!
&lt;/th&gt;
&lt;es-419&gt;
- Nueva Fiesta de Halloween: ¡Los eventos de Halloween están ahora en línea! Participa para ganar Dulces de Banana y Linternas de Calabaza e i"&amp;"ntercambiarlas por increíbles recompensas. ¡También tendrás la posibilidad de obtener una textura de ciudad exclusiva de la fiesta!
 Eventos:
 1. Casa de Diversiones de Halloween: Una casa de maravillas donde podrás intercambiar Dulces de Banana y Linte"&amp;"rnas de Calabaza por regalos. 
 2. Queremos Dulce de Banana: ¡Truco o trato! ¡Obtén ricos Dulces de Banana Diariamente!
 3. Fiesta Acelerada: ¡Acelera el entrenamiento, la investigación y la construcción para obtener exclusivas Linternas de Calabaza!
 4. "&amp;"Guardian de Halloween: ¡Participa en las reuniones y cacerías diarias para salvaguardar la fiesta!
&lt;/es-419&gt;
&lt;ru-RU&gt;
- Новая «Хэллоуинская кутерьма»: события Хэллоуина уже в игре! Участвуйте в них, чтобы выиграть банановые конфеты и тыквенные фонари и обм"&amp;"енять их на удивительные награды! Кроме того, у вас есть шанс получить эксклюзивный праздничный облик города!
События:
1. Дом веселья на Хэллоуин: дом чудес, где банановые конфеты и тыквенные фонари можно обменять на подарки.
2. Мы хотим банановые конфет"&amp;"ы: шалость или сладость! Каждый день собирайте сладкие банановые конфеты!
3. Ускорение кутерьмы: ускорьте обучение, исследования и строительство, чтобы получить эксклюзивные тыквенные фонари.
4. Хэллоуинский страж: участвуйте в ежедневном сборе и охоте, ч"&amp;"тобы защитить праздник!
&lt;/ru-RU&gt;
&lt;tr-TR&gt;
- Yeni Cadılar Bayramı Eğlencesi Cadılar Bayramı etkinlikleri artık çevrim içi! Muzlu Şekerler ve Bal Kabağı Fenerleri kazanmak için katıl ve onları harika ödüllerle takas et! Ayrıca özel tatil şehri görünümünü eld"&amp;"e etme şansı da var!
 Etkinlikler:
 1. Cadılar Bayramı Eğlence Evi: Muzlu Şekerleri ve Bal Kabağı Fenerlerini hediyelerle takas edebileceğin bir harikalar evi.
 2. Muzlu Şeker İstiyoruz: şeker mi şaka mı! Tatlı Muzlu Şekerleri her gün topla!
 3. Eğlence"&amp;"yi Artır: özel Bal Kabağı Fenerleri almak için eğitimi, araştırmayı ve inşaatı hızlandır.
 4. Cadılar Bayramı Bekçisi: tatili korumak için günlük toplamalara ve avlara katıl!
&lt;/tr-TR&gt;
&lt;vi&gt;
- Bữa tiệc Halloween mới: Sự kiện Halloween hiện đã có trực tuyến!"&amp;" Hãy tham gia để giành Kẹo Chuối và Đèn Bí Ngô, rồi trao đổi chúng để lấy những phần thưởng hấp dẫn! Ngoài ra cũng có cơ hội nhận được giao diện thành phố kỳ nghỉ độc quyền!
 Sự kiện:
 1. Nhà vui chơi Halloween: ngôi nhà của những điều kỳ diệu, nơi bạn "&amp;"có trao đổi Kẹo Chuối và Đèn Bí Ngô để lấy quà.
 2. Chúng cháu muốn Kẹo Chuối: kẹo hay ghẹo! Hãy thu thập Kẹo Chuối ngọt ngào mỗi ngày!
 3. Tăng tốc tiệc tùng: tăng tốc huấn luyện, nghiên cứu, và xây dựng để nhận Đèn Bí Ngô độc quyền.
 4. Lính canh Hallow"&amp;"een: tham gia thu thập và săn bắn hàng ngày để bảo vệ kỳ nghỉ!
&lt;/vi&gt;
")</f>
        <v>&lt;en-US&gt;
- New Halloween Bash: Halloween events are now online! Participate to win Banana Candies and Pumpkin Lanterns, and exchange them for amazing rewards! There's also a chance to get the exclusive holiday city skin!
Events:
1. Halloween Funhouse: a house of wonders where you can exchange Banana Candies and Pumpkin Lanterns for gifts.
2. We Want Banana Candy: trick or treat! Collect sweet Banana Candies every day!
3. Bash Rev Up: speed up training, research, and building to get exclusive Pumpkin Lanterns.
4. Halloween Watchman: participate in daily gathering and hunting to safeguard the holiday!
&lt;/en-US&gt;
&lt;fr-FR&gt;
- Nouvelle Fête d'Halloween: les évènements d'Halloween sont en ligne! Participez pour gagner des bonbons banane et des lanternes citrouilles, à échanger contre des récompenses incroyables! Vous pouvez également tenter de gagner un skin de ville Halloween exclusif!
Evènements:
1. Maison d'Halloween: une maison aux merveilles où vous pouvez échanger des bonbons banane et des lanternes citrouilles contre des cadeaux.
2. On veut des bonbons banane: des bonbons ou un sort! Obtenez des bonbons banane tous les jours!
3. Emulation festive: accélérez l'entraînement, la recherche et la construction pour obtenir des lanternes citrouilles exclusives.
4. Vigile d'Halloween: participez chaque jour à des collectes et des parties de chasse pour sauver la fête!
&lt;/fr-FR&gt;
&lt;de-DE&gt;
- Neue Halloween-Party: Die Halloween Events sind jetzt online! Nimm teil, um Bananen-Bonbons und Kürbislaternen zu gewinnen, und tausche sie gegen tolle Belohnungen ein! Außerdem gibt es die Chance, den exklusiven Festtags-Stadt-Skin zu erhalten!
 Events:
 1. Halloween-Spaßhaus: ein Haus der Wunder, in dem du Bananen-Bonbons und Kürbislaternen gegen Geschenke eintauschen kannst.
 2. Wir wollen Bananen-Bonbons: Süßes oder Saures! Sammle jeden Tag süße Bananen-Bonbons!
 3. Schnelle Party: Beschleunige die Ausbildung, die Forschung und das Bauen, um exklusive Kürbislaternen zu erhalten.
 4. Halloween-Wächter: Nimm am täglichen Sammeln und Jagen teil, um den Feiertag zu beschützen!
&lt;/de-DE&gt;
&lt;pt-BR&gt;
- Nova Festa de Halloween: Os eventos de Halloween começam agora! Participe para ganhar doces de banana e lanternas de abóbora e troque-os por recompensas incríveis! Há também uma chance de se obter uma skin de cidade exclusiva do evento!
 Eventos:
 1. Parque de Diversões de Halloween: uma casa de maravilhas na qual você pode trocar doces de banana e lanternas de abóbora por presentes.
 2. Queremos Doce de Banana: doçuras ou travessuras! Colete doces de banana diariamente!
 3. Festa Acelerada: acelere o treinamento, a pesquisa e a construção para obter lanternas de abóbora.
 4. Vigia de Halloween: participe de reuniões e caçadas diárias, proteja este dia especial!
&lt;/pt-BR&gt;
&lt;zh-HK&gt;
-新增萬聖節狂歡：萬聖節系列活動驚喜上線，參與活動贏取香蕉糖和南瓜燈，即有機會兌換節日專屬主城內裝飾物，以及其他豐富獎勵！
具體活動包括：
1.萬聖奇妙屋：用香蕉糖和南瓜燈換取禮物的奇妙小屋；
2.香蕉糖的誘惑：不給糖就搗蛋，每天領取美味香蕉糖；
3.助力狂歡：加速生產建造，獲得專屬南瓜燈；
4.萬聖守望者：日常采集與狩獵，為節日保駕護航；
&lt;/zh-HK&gt;
&lt;id&gt;
- Pesta Halloween Baru: acara Halloween kini online! Ikuti untuk memenangkan Permen Pisang dan Lentera Labu yang dapat ditukar dengan hadiah menarik! Dapatkan juga peluang untuk memperoleh skin kota liburan eksklusif!
 Acara:
 1. Rumah Halloween: di rumah ajaib ini kamu bisa menukarkan Permen Pisang dan Lentera Labu dengan beragam hadiah.
 2. Beri Kami Permen Pisang: beri permen atau kami jahili! Kumpulkan Permen Pisang yang manis setiap hari!
 3. Pesta Peningkatan: percepat pelatihan, riset, dan pembangunan untuk menddapatkan Lentera Labu eksklusif.
 4. Penjaga Halloween: kumpulkan dan berburu setiap hari agar liburanmu makin seru!
&lt;/id&gt;
&lt;th&gt;
- กิจกรรมใหม่ ฮาโลวีนมาแล้ว: กิจกรรมฮาโลวีนออนไลน์แล้ว! ร่วมลุ้นรับลูกอมรสกล้วยและตะเกียงฟักทอง แล้วนำไปแลกของรางวัลสุดวิเศษ! แถมยังมีโอกาสได้รับสกินเมืองวันเทศกาลสุดพิเศษอีกด้วย!
 กิจกรรม:
 1. บ้านฮาโลวีนแสนสนุก: บ้านแห่งความมหัศจรรย์ที่คุณสามารถแลกลูกอมรสกล้วยและตะเกียงฟักทองเป็นของขวัญได้
 2. เราจะเอาลูกอมรสกล้วย: ทริกออทรีต! เก็บลูกอมรสกล้วยแสนหอมหวานทุกวัน!
 3. เร่งเพื่อรับ: เร่งการฝึกฝน วิจัย และก่อสร้างให้เร็วขึ้นเพื่อรับตะเกียงฟักทองสุดพิเศษ
 4. ยามรักษาการณ์ฮาโลวีน: เข้าร่วมในการรวบรวมและการล่าทุกวันเพื่อปกป้องวันหยุด!
&lt;/th&gt;
&lt;es-419&gt;
- Nueva Fiesta de Halloween: ¡Los eventos de Halloween están ahora en línea! Participa para ganar Dulces de Banana y Linternas de Calabaza e intercambiarlas por increíbles recompensas. ¡También tendrás la posibilidad de obtener una textura de ciudad exclusiva de la fiesta!
 Eventos:
 1. Casa de Diversiones de Halloween: Una casa de maravillas donde podrás intercambiar Dulces de Banana y Linternas de Calabaza por regalos. 
 2. Queremos Dulce de Banana: ¡Truco o trato! ¡Obtén ricos Dulces de Banana Diariamente!
 3. Fiesta Acelerada: ¡Acelera el entrenamiento, la investigación y la construcción para obtener exclusivas Linternas de Calabaza!
 4. Guardian de Halloween: ¡Participa en las reuniones y cacerías diarias para salvaguardar la fiesta!
&lt;/es-419&gt;
&lt;ru-RU&gt;
- Новая «Хэллоуинская кутерьма»: события Хэллоуина уже в игре! Участвуйте в них, чтобы выиграть банановые конфеты и тыквенные фонари и обменять их на удивительные награды! Кроме того, у вас есть шанс получить эксклюзивный праздничный облик города!
События:
1. Дом веселья на Хэллоуин: дом чудес, где банановые конфеты и тыквенные фонари можно обменять на подарки.
2. Мы хотим банановые конфеты: шалость или сладость! Каждый день собирайте сладкие банановые конфеты!
3. Ускорение кутерьмы: ускорьте обучение, исследования и строительство, чтобы получить эксклюзивные тыквенные фонари.
4. Хэллоуинский страж: участвуйте в ежедневном сборе и охоте, чтобы защитить праздник!
&lt;/ru-RU&gt;
&lt;tr-TR&gt;
- Yeni Cadılar Bayramı Eğlencesi Cadılar Bayramı etkinlikleri artık çevrim içi! Muzlu Şekerler ve Bal Kabağı Fenerleri kazanmak için katıl ve onları harika ödüllerle takas et! Ayrıca özel tatil şehri görünümünü elde etme şansı da var!
 Etkinlikler:
 1. Cadılar Bayramı Eğlence Evi: Muzlu Şekerleri ve Bal Kabağı Fenerlerini hediyelerle takas edebileceğin bir harikalar evi.
 2. Muzlu Şeker İstiyoruz: şeker mi şaka mı! Tatlı Muzlu Şekerleri her gün topla!
 3. Eğlenceyi Artır: özel Bal Kabağı Fenerleri almak için eğitimi, araştırmayı ve inşaatı hızlandır.
 4. Cadılar Bayramı Bekçisi: tatili korumak için günlük toplamalara ve avlara katıl!
&lt;/tr-TR&gt;
&lt;vi&gt;
- Bữa tiệc Halloween mới: Sự kiện Halloween hiện đã có trực tuyến! Hãy tham gia để giành Kẹo Chuối và Đèn Bí Ngô, rồi trao đổi chúng để lấy những phần thưởng hấp dẫn! Ngoài ra cũng có cơ hội nhận được giao diện thành phố kỳ nghỉ độc quyền!
 Sự kiện:
 1. Nhà vui chơi Halloween: ngôi nhà của những điều kỳ diệu, nơi bạn có trao đổi Kẹo Chuối và Đèn Bí Ngô để lấy quà.
 2. Chúng cháu muốn Kẹo Chuối: kẹo hay ghẹo! Hãy thu thập Kẹo Chuối ngọt ngào mỗi ngày!
 3. Tăng tốc tiệc tùng: tăng tốc huấn luyện, nghiên cứu, và xây dựng để nhận Đèn Bí Ngô độc quyền.
 4. Lính canh Halloween: tham gia thu thập và săn bắn hàng ngày để bảo vệ kỳ nghỉ!
&lt;/vi&gt;
</v>
      </c>
      <c r="C38" s="44" t="str">
        <f>IFERROR(__xludf.DUMMYFUNCTION("""COMPUTED_VALUE"""),"-新增万圣节狂欢：万圣节系列活动惊喜上线，参与活动赢取香蕉糖和南瓜灯，即有机会兑换节日专属主城内装饰物，以及丰富其他奖励！
具体活动包括：
1.万圣奇妙屋：用香蕉糖和南瓜灯换取礼物的奇妙小屋；
2.香蕉糖的诱惑：不给糖就捣蛋，每天领取美味香蕉糖；
3.助力狂欢：加速生产建造，获得专属南瓜灯；
4.万圣守望者：日常采集与狩猎，为节日保驾护航；")</f>
        <v>-新增万圣节狂欢：万圣节系列活动惊喜上线，参与活动赢取香蕉糖和南瓜灯，即有机会兑换节日专属主城内装饰物，以及丰富其他奖励！
具体活动包括：
1.万圣奇妙屋：用香蕉糖和南瓜灯换取礼物的奇妙小屋；
2.香蕉糖的诱惑：不给糖就捣蛋，每天领取美味香蕉糖；
3.助力狂欢：加速生产建造，获得专属南瓜灯；
4.万圣守望者：日常采集与狩猎，为节日保驾护航；</v>
      </c>
      <c r="D38" s="159" t="str">
        <f>IFERROR(__xludf.DUMMYFUNCTION("""COMPUTED_VALUE"""),"- New Halloween Bash: Halloween events are now online! Participate to win Banana Candies and Pumpkin Lanterns, and exchange them for amazing rewards! There's also a chance to get the exclusive holiday city skin!
Events:
1. Halloween Funhouse: a house of "&amp;"wonders where you can exchange Banana Candies and Pumpkin Lanterns for gifts.
2. We Want Banana Candy: trick or treat! Collect sweet Banana Candies every day!
3. Bash Rev Up: speed up training, research, and building to get exclusive Pumpkin Lanterns.
4. "&amp;"Halloween Watchman: participate in daily gathering and hunting to safeguard the holiday!")</f>
        <v>- New Halloween Bash: Halloween events are now online! Participate to win Banana Candies and Pumpkin Lanterns, and exchange them for amazing rewards! There's also a chance to get the exclusive holiday city skin!
Events:
1. Halloween Funhouse: a house of wonders where you can exchange Banana Candies and Pumpkin Lanterns for gifts.
2. We Want Banana Candy: trick or treat! Collect sweet Banana Candies every day!
3. Bash Rev Up: speed up training, research, and building to get exclusive Pumpkin Lanterns.
4. Halloween Watchman: participate in daily gathering and hunting to safeguard the holiday!</v>
      </c>
      <c r="E38" s="159" t="str">
        <f>IFERROR(__xludf.DUMMYFUNCTION("""COMPUTED_VALUE"""),"- Nouvelle Fête d'Halloween: les évènements d'Halloween sont en ligne! Participez pour gagner des bonbons banane et des lanternes citrouilles, à échanger contre des récompenses incroyables! Vous pouvez également tenter de gagner un skin de ville Halloween"&amp;" exclusif!
Evènements:
1. Maison d'Halloween: une maison aux merveilles où vous pouvez échanger des bonbons banane et des lanternes citrouilles contre des cadeaux.
2. On veut des bonbons banane: des bonbons ou un sort! Obtenez des bonbons banane tous les"&amp;" jours!
3. Emulation festive: accélérez l'entraînement, la recherche et la construction pour obtenir des lanternes citrouilles exclusives.
4. Vigile d'Halloween: participez chaque jour à des collectes et des parties de chasse pour sauver la fête!")</f>
        <v>- Nouvelle Fête d'Halloween: les évènements d'Halloween sont en ligne! Participez pour gagner des bonbons banane et des lanternes citrouilles, à échanger contre des récompenses incroyables! Vous pouvez également tenter de gagner un skin de ville Halloween exclusif!
Evènements:
1. Maison d'Halloween: une maison aux merveilles où vous pouvez échanger des bonbons banane et des lanternes citrouilles contre des cadeaux.
2. On veut des bonbons banane: des bonbons ou un sort! Obtenez des bonbons banane tous les jours!
3. Emulation festive: accélérez l'entraînement, la recherche et la construction pour obtenir des lanternes citrouilles exclusives.
4. Vigile d'Halloween: participez chaque jour à des collectes et des parties de chasse pour sauver la fête!</v>
      </c>
      <c r="F38" s="159" t="str">
        <f>IFERROR(__xludf.DUMMYFUNCTION("""COMPUTED_VALUE"""),"- Neue Halloween-Party: Die Halloween Events sind jetzt online! Nimm teil, um Bananen-Bonbons und Kürbislaternen zu gewinnen, und tausche sie gegen tolle Belohnungen ein! Außerdem gibt es die Chance, den exklusiven Festtags-Stadt-Skin zu erhalten!
 Even"&amp;"ts:
 1. Halloween-Spaßhaus: ein Haus der Wunder, in dem du Bananen-Bonbons und Kürbislaternen gegen Geschenke eintauschen kannst.
 2. Wir wollen Bananen-Bonbons: Süßes oder Saures! Sammle jeden Tag süße Bananen-Bonbons!
 3. Schnelle Party: Beschleunige di"&amp;"e Ausbildung, die Forschung und das Bauen, um exklusive Kürbislaternen zu erhalten.
 4. Halloween-Wächter: Nimm am täglichen Sammeln und Jagen teil, um den Feiertag zu beschützen!")</f>
        <v>- Neue Halloween-Party: Die Halloween Events sind jetzt online! Nimm teil, um Bananen-Bonbons und Kürbislaternen zu gewinnen, und tausche sie gegen tolle Belohnungen ein! Außerdem gibt es die Chance, den exklusiven Festtags-Stadt-Skin zu erhalten!
 Events:
 1. Halloween-Spaßhaus: ein Haus der Wunder, in dem du Bananen-Bonbons und Kürbislaternen gegen Geschenke eintauschen kannst.
 2. Wir wollen Bananen-Bonbons: Süßes oder Saures! Sammle jeden Tag süße Bananen-Bonbons!
 3. Schnelle Party: Beschleunige die Ausbildung, die Forschung und das Bauen, um exklusive Kürbislaternen zu erhalten.
 4. Halloween-Wächter: Nimm am täglichen Sammeln und Jagen teil, um den Feiertag zu beschützen!</v>
      </c>
      <c r="G38" s="159" t="str">
        <f>IFERROR(__xludf.DUMMYFUNCTION("""COMPUTED_VALUE"""),"- Nova Festa de Halloween: Os eventos de Halloween começam agora! Participe para ganhar doces de banana e lanternas de abóbora e troque-os por recompensas incríveis! Há também uma chance de se obter uma skin de cidade exclusiva do evento!
 Eventos:
 1. "&amp;"Parque de Diversões de Halloween: uma casa de maravilhas na qual você pode trocar doces de banana e lanternas de abóbora por presentes.
 2. Queremos Doce de Banana: doçuras ou travessuras! Colete doces de banana diariamente!
 3. Festa Acelerada: acelere o"&amp;" treinamento, a pesquisa e a construção para obter lanternas de abóbora.
 4. Vigia de Halloween: participe de reuniões e caçadas diárias, proteja este dia especial!")</f>
        <v>- Nova Festa de Halloween: Os eventos de Halloween começam agora! Participe para ganhar doces de banana e lanternas de abóbora e troque-os por recompensas incríveis! Há também uma chance de se obter uma skin de cidade exclusiva do evento!
 Eventos:
 1. Parque de Diversões de Halloween: uma casa de maravilhas na qual você pode trocar doces de banana e lanternas de abóbora por presentes.
 2. Queremos Doce de Banana: doçuras ou travessuras! Colete doces de banana diariamente!
 3. Festa Acelerada: acelere o treinamento, a pesquisa e a construção para obter lanternas de abóbora.
 4. Vigia de Halloween: participe de reuniões e caçadas diárias, proteja este dia especial!</v>
      </c>
      <c r="H38" s="159" t="str">
        <f>IFERROR(__xludf.DUMMYFUNCTION("""COMPUTED_VALUE"""),"-新增萬聖節狂歡：萬聖節系列活動驚喜上線，參與活動贏取香蕉糖和南瓜燈，即有機會兌換節日專屬主城內裝飾物，以及其他豐富獎勵！
具體活動包括：
1.萬聖奇妙屋：用香蕉糖和南瓜燈換取禮物的奇妙小屋；
2.香蕉糖的誘惑：不給糖就搗蛋，每天領取美味香蕉糖；
3.助力狂歡：加速生產建造，獲得專屬南瓜燈；
4.萬聖守望者：日常采集與狩獵，為節日保駕護航；")</f>
        <v>-新增萬聖節狂歡：萬聖節系列活動驚喜上線，參與活動贏取香蕉糖和南瓜燈，即有機會兌換節日專屬主城內裝飾物，以及其他豐富獎勵！
具體活動包括：
1.萬聖奇妙屋：用香蕉糖和南瓜燈換取禮物的奇妙小屋；
2.香蕉糖的誘惑：不給糖就搗蛋，每天領取美味香蕉糖；
3.助力狂歡：加速生產建造，獲得專屬南瓜燈；
4.萬聖守望者：日常采集與狩獵，為節日保駕護航；</v>
      </c>
      <c r="I38" s="159" t="str">
        <f>IFERROR(__xludf.DUMMYFUNCTION("""COMPUTED_VALUE"""),"- Pesta Halloween Baru: acara Halloween kini online! Ikuti untuk memenangkan Permen Pisang dan Lentera Labu yang dapat ditukar dengan hadiah menarik! Dapatkan juga peluang untuk memperoleh skin kota liburan eksklusif!
 Acara:
 1. Rumah Halloween: di rum"&amp;"ah ajaib ini kamu bisa menukarkan Permen Pisang dan Lentera Labu dengan beragam hadiah.
 2. Beri Kami Permen Pisang: beri permen atau kami jahili! Kumpulkan Permen Pisang yang manis setiap hari!
 3. Pesta Peningkatan: percepat pelatihan, riset, dan pemban"&amp;"gunan untuk menddapatkan Lentera Labu eksklusif.
 4. Penjaga Halloween: kumpulkan dan berburu setiap hari agar liburanmu makin seru!")</f>
        <v>- Pesta Halloween Baru: acara Halloween kini online! Ikuti untuk memenangkan Permen Pisang dan Lentera Labu yang dapat ditukar dengan hadiah menarik! Dapatkan juga peluang untuk memperoleh skin kota liburan eksklusif!
 Acara:
 1. Rumah Halloween: di rumah ajaib ini kamu bisa menukarkan Permen Pisang dan Lentera Labu dengan beragam hadiah.
 2. Beri Kami Permen Pisang: beri permen atau kami jahili! Kumpulkan Permen Pisang yang manis setiap hari!
 3. Pesta Peningkatan: percepat pelatihan, riset, dan pembangunan untuk menddapatkan Lentera Labu eksklusif.
 4. Penjaga Halloween: kumpulkan dan berburu setiap hari agar liburanmu makin seru!</v>
      </c>
      <c r="J38" s="159" t="str">
        <f>IFERROR(__xludf.DUMMYFUNCTION("""COMPUTED_VALUE"""),"- กิจกรรมใหม่ ฮาโลวีนมาแล้ว: กิจกรรมฮาโลวีนออนไลน์แล้ว! ร่วมลุ้นรับลูกอมรสกล้วยและตะเกียงฟักทอง แล้วนำไปแลกของรางวัลสุดวิเศษ! แถมยังมีโอกาสได้รับสกินเมืองวันเทศกาลสุดพิเศษอีกด้วย!
 กิจกรรม:
 1. บ้านฮาโลวีนแสนสนุก: บ้านแห่งความมหัศจรรย์ที่คุณสามารถแลกลูก"&amp;"อมรสกล้วยและตะเกียงฟักทองเป็นของขวัญได้
 2. เราจะเอาลูกอมรสกล้วย: ทริกออทรีต! เก็บลูกอมรสกล้วยแสนหอมหวานทุกวัน!
 3. เร่งเพื่อรับ: เร่งการฝึกฝน วิจัย และก่อสร้างให้เร็วขึ้นเพื่อรับตะเกียงฟักทองสุดพิเศษ
 4. ยามรักษาการณ์ฮาโลวีน: เข้าร่วมในการรวบรวมและการล่า"&amp;"ทุกวันเพื่อปกป้องวันหยุด!")</f>
        <v>- กิจกรรมใหม่ ฮาโลวีนมาแล้ว: กิจกรรมฮาโลวีนออนไลน์แล้ว! ร่วมลุ้นรับลูกอมรสกล้วยและตะเกียงฟักทอง แล้วนำไปแลกของรางวัลสุดวิเศษ! แถมยังมีโอกาสได้รับสกินเมืองวันเทศกาลสุดพิเศษอีกด้วย!
 กิจกรรม:
 1. บ้านฮาโลวีนแสนสนุก: บ้านแห่งความมหัศจรรย์ที่คุณสามารถแลกลูกอมรสกล้วยและตะเกียงฟักทองเป็นของขวัญได้
 2. เราจะเอาลูกอมรสกล้วย: ทริกออทรีต! เก็บลูกอมรสกล้วยแสนหอมหวานทุกวัน!
 3. เร่งเพื่อรับ: เร่งการฝึกฝน วิจัย และก่อสร้างให้เร็วขึ้นเพื่อรับตะเกียงฟักทองสุดพิเศษ
 4. ยามรักษาการณ์ฮาโลวีน: เข้าร่วมในการรวบรวมและการล่าทุกวันเพื่อปกป้องวันหยุด!</v>
      </c>
      <c r="K38" s="159" t="str">
        <f>IFERROR(__xludf.DUMMYFUNCTION("""COMPUTED_VALUE"""),"- Nueva Fiesta de Halloween: ¡Los eventos de Halloween están ahora en línea! Participa para ganar Dulces de Banana y Linternas de Calabaza e intercambiarlas por increíbles recompensas. ¡También tendrás la posibilidad de obtener una textura de ciudad exclu"&amp;"siva de la fiesta!
 Eventos:
 1. Casa de Diversiones de Halloween: Una casa de maravillas donde podrás intercambiar Dulces de Banana y Linternas de Calabaza por regalos. 
 2. Queremos Dulce de Banana: ¡Truco o trato! ¡Obtén ricos Dulces de Banana Diaria"&amp;"mente!
 3. Fiesta Acelerada: ¡Acelera el entrenamiento, la investigación y la construcción para obtener exclusivas Linternas de Calabaza!
 4. Guardian de Halloween: ¡Participa en las reuniones y cacerías diarias para salvaguardar la fiesta!")</f>
        <v>- Nueva Fiesta de Halloween: ¡Los eventos de Halloween están ahora en línea! Participa para ganar Dulces de Banana y Linternas de Calabaza e intercambiarlas por increíbles recompensas. ¡También tendrás la posibilidad de obtener una textura de ciudad exclusiva de la fiesta!
 Eventos:
 1. Casa de Diversiones de Halloween: Una casa de maravillas donde podrás intercambiar Dulces de Banana y Linternas de Calabaza por regalos. 
 2. Queremos Dulce de Banana: ¡Truco o trato! ¡Obtén ricos Dulces de Banana Diariamente!
 3. Fiesta Acelerada: ¡Acelera el entrenamiento, la investigación y la construcción para obtener exclusivas Linternas de Calabaza!
 4. Guardian de Halloween: ¡Participa en las reuniones y cacerías diarias para salvaguardar la fiesta!</v>
      </c>
      <c r="L38" s="159" t="str">
        <f>IFERROR(__xludf.DUMMYFUNCTION("""COMPUTED_VALUE"""),"- Новая «Хэллоуинская кутерьма»: события Хэллоуина уже в игре! Участвуйте в них, чтобы выиграть банановые конфеты и тыквенные фонари и обменять их на удивительные награды! Кроме того, у вас есть шанс получить эксклюзивный праздничный облик города!
Событи"&amp;"я:
1. Дом веселья на Хэллоуин: дом чудес, где банановые конфеты и тыквенные фонари можно обменять на подарки.
2. Мы хотим банановые конфеты: шалость или сладость! Каждый день собирайте сладкие банановые конфеты!
3. Ускорение кутерьмы: ускорьте обучение, и"&amp;"сследования и строительство, чтобы получить эксклюзивные тыквенные фонари.
4. Хэллоуинский страж: участвуйте в ежедневном сборе и охоте, чтобы защитить праздник!")</f>
        <v>- Новая «Хэллоуинская кутерьма»: события Хэллоуина уже в игре! Участвуйте в них, чтобы выиграть банановые конфеты и тыквенные фонари и обменять их на удивительные награды! Кроме того, у вас есть шанс получить эксклюзивный праздничный облик города!
События:
1. Дом веселья на Хэллоуин: дом чудес, где банановые конфеты и тыквенные фонари можно обменять на подарки.
2. Мы хотим банановые конфеты: шалость или сладость! Каждый день собирайте сладкие банановые конфеты!
3. Ускорение кутерьмы: ускорьте обучение, исследования и строительство, чтобы получить эксклюзивные тыквенные фонари.
4. Хэллоуинский страж: участвуйте в ежедневном сборе и охоте, чтобы защитить праздник!</v>
      </c>
      <c r="M38" s="159" t="str">
        <f>IFERROR(__xludf.DUMMYFUNCTION("""COMPUTED_VALUE"""),"- Yeni Cadılar Bayramı Eğlencesi Cadılar Bayramı etkinlikleri artık çevrim içi! Muzlu Şekerler ve Bal Kabağı Fenerleri kazanmak için katıl ve onları harika ödüllerle takas et! Ayrıca özel tatil şehri görünümünü elde etme şansı da var!
 Etkinlikler:
 1. "&amp;"Cadılar Bayramı Eğlence Evi: Muzlu Şekerleri ve Bal Kabağı Fenerlerini hediyelerle takas edebileceğin bir harikalar evi.
 2. Muzlu Şeker İstiyoruz: şeker mi şaka mı! Tatlı Muzlu Şekerleri her gün topla!
 3. Eğlenceyi Artır: özel Bal Kabağı Fenerleri almak"&amp;" için eğitimi, araştırmayı ve inşaatı hızlandır.
 4. Cadılar Bayramı Bekçisi: tatili korumak için günlük toplamalara ve avlara katıl!")</f>
        <v>- Yeni Cadılar Bayramı Eğlencesi Cadılar Bayramı etkinlikleri artık çevrim içi! Muzlu Şekerler ve Bal Kabağı Fenerleri kazanmak için katıl ve onları harika ödüllerle takas et! Ayrıca özel tatil şehri görünümünü elde etme şansı da var!
 Etkinlikler:
 1. Cadılar Bayramı Eğlence Evi: Muzlu Şekerleri ve Bal Kabağı Fenerlerini hediyelerle takas edebileceğin bir harikalar evi.
 2. Muzlu Şeker İstiyoruz: şeker mi şaka mı! Tatlı Muzlu Şekerleri her gün topla!
 3. Eğlenceyi Artır: özel Bal Kabağı Fenerleri almak için eğitimi, araştırmayı ve inşaatı hızlandır.
 4. Cadılar Bayramı Bekçisi: tatili korumak için günlük toplamalara ve avlara katıl!</v>
      </c>
      <c r="N38" s="45" t="str">
        <f>IFERROR(__xludf.DUMMYFUNCTION("""COMPUTED_VALUE"""),"- Bữa tiệc Halloween mới: Sự kiện Halloween hiện đã có trực tuyến! Hãy tham gia để giành Kẹo Chuối và Đèn Bí Ngô, rồi trao đổi chúng để lấy những phần thưởng hấp dẫn! Ngoài ra cũng có cơ hội nhận được giao diện thành phố kỳ nghỉ độc quyền!
 Sự kiện:
 1."&amp;" Nhà vui chơi Halloween: ngôi nhà của những điều kỳ diệu, nơi bạn có trao đổi Kẹo Chuối và Đèn Bí Ngô để lấy quà.
 2. Chúng cháu muốn Kẹo Chuối: kẹo hay ghẹo! Hãy thu thập Kẹo Chuối ngọt ngào mỗi ngày!
 3. Tăng tốc tiệc tùng: tăng tốc huấn luyện, nghiên c"&amp;"ứu, và xây dựng để nhận Đèn Bí Ngô độc quyền.
 4. Lính canh Halloween: tham gia thu thập và săn bắn hàng ngày để bảo vệ kỳ nghỉ!")</f>
        <v>- Bữa tiệc Halloween mới: Sự kiện Halloween hiện đã có trực tuyến! Hãy tham gia để giành Kẹo Chuối và Đèn Bí Ngô, rồi trao đổi chúng để lấy những phần thưởng hấp dẫn! Ngoài ra cũng có cơ hội nhận được giao diện thành phố kỳ nghỉ độc quyền!
 Sự kiện:
 1. Nhà vui chơi Halloween: ngôi nhà của những điều kỳ diệu, nơi bạn có trao đổi Kẹo Chuối và Đèn Bí Ngô để lấy quà.
 2. Chúng cháu muốn Kẹo Chuối: kẹo hay ghẹo! Hãy thu thập Kẹo Chuối ngọt ngào mỗi ngày!
 3. Tăng tốc tiệc tùng: tăng tốc huấn luyện, nghiên cứu, và xây dựng để nhận Đèn Bí Ngô độc quyền.
 4. Lính canh Halloween: tham gia thu thập và săn bắn hàng ngày để bảo vệ kỳ nghỉ!</v>
      </c>
      <c r="O38" s="45"/>
      <c r="P38" s="34"/>
      <c r="Q38" s="34"/>
      <c r="R38" s="34"/>
      <c r="S38" s="34"/>
      <c r="T38" s="108"/>
      <c r="U38" s="108"/>
      <c r="V38" s="108"/>
      <c r="W38" s="108"/>
      <c r="X38" s="108"/>
      <c r="Y38" s="108"/>
      <c r="Z38" s="108"/>
    </row>
    <row r="39" ht="72.0" customHeight="1">
      <c r="A39" s="149" t="str">
        <f>IFERROR(__xludf.DUMMYFUNCTION("""COMPUTED_VALUE"""),"0.34.0")</f>
        <v>0.34.0</v>
      </c>
      <c r="B39" s="174" t="str">
        <f>IFERROR(__xludf.DUMMYFUNCTION("""COMPUTED_VALUE"""),"&lt;en-US&gt;
- New Impasse Trials: new level-clearing gameplay. Bring your best Fighters, use smart strategy, and win amazing rewards!
- New Fighter: superstar of the ape music world, Greg. Get him in Impasse Trials; fearless mercenary, Len. All who face his d"&amp;"eadly crossbow will tremble in fear. Get him in the Arena.
- Quests optimized: added chapter quests related to Impasse Trials; added some main quests; added sub-quests related to Colin's Exploration and Alvin's Treasure Hunt.
&lt;/en-US&gt;
&lt;fr-FR&gt;
- Epreuves "&amp;"de l’Impasse: un nouveau gameplay à niveaux évolutifs. Exploitez vos meilleurs combattants, mettez au point votre stratégie, et gagnez des récompenses incroyables!
 - Nouveaux combattants: Greg, la super star de la musique primate. A obtenir dans les Epre"&amp;"uves de l’Impasse. Len, le mercenaire intrépide. Ceux qui tombent sur sa redoutable arbalète tremblent de peur. A obtenir dans l’Arène.
&lt;/fr-FR&gt;
&lt;de-DE&gt;
- Neue Sackgassen-Prüfungen: neues Level-Clearing-Gameplay. Bring deine besten Kämpfer mit, nutze eine"&amp;" clevere Strategie und gewinne tolle Belohnungen!
 - Neuer Kämpfer: der Superstar der Affenmusikwelt, Greg. Erhältlich über die Sackgassen-Prüfungen. Der furchtlose Söldner Len: Alle, die seine tödliche Armbrust erblicken, erzittern vor Angst. In der Aren"&amp;"a erhältlich.
 - Quest-Optimierungen: Kapitel-Quests zu den Sackgassen-Prüfungen hinzugefügt.
&lt;/de-DE&gt;
&lt;pt-BR&gt;
- Novos Desafio de Impasse: novo modo de jogo para concluir níveis. Traga seus melhores combatentes, use uma estratégia inteligente e ganhe reco"&amp;"mpensas incríveis!
 - Novo combatente: o astro do mundo da música símia, Greg. Obtenha-o nos Desafios de Impasse; o destemido mercenário, Len. Todos que encaram sua besta mortal tremerão de medo. Obtenha-o na arena.
&lt;/pt-BR&gt;
&lt;zh-HK&gt;
-新增絕地試煉：全新關卡挑戰玩法，帶上你最優"&amp;"秀的鬥士，施展你的智慧，並贏得豐厚回報！
-新增鬥士：風靡猿猴音樂界的明星葛列格，可通過絕地試煉玩法獲得；精悍無畏的雇傭兵獵手倫恩，沒有人能忘記他那令人戰栗的弩箭！倫恩可通過擂臺獲得。
-任務優化：新增了絕地試煉相關章節任務；新增了一些主線任務；新增了科林探索和艾文尋寶記玩法相關的支線任務。
-戰損提醒優化：增加了部隊有重傷、死亡風險的提示，幫助新猴子更快熟悉遊戲規則。
&lt;/zh-HK&gt;
&lt;id&gt;
- Uji Coba Jalan Buntu Baru: gameplay pembersihan leve"&amp;"l baru. Bawa Pejuang terbaikmu, gunakan strategi cerdas, dan menangkan hadiah menarik!
 - Pejuang Baru: superstar dunia musik kera, Greg. Dapatkan Greg di Uji Coba Jalan Buntu; prajurit bayaran tanpa rasa takut, Len. Siapa pun yang menghadapi busur silang"&amp;"nya akan gemetar dalam rasa takut. Dapatkan Len di Arena.
 - Tantangan dioptimalkan: menambahkan tantangan babak terkait dengan Penjelajahan Colin dan Perburuan Harta Alvin.
&lt;/id&gt;
&lt;th&gt;
- การทดสอบ ณ ทางตันใหม่: การเล่นเกมเคลียร์ด่านใหม่ นำนักสู้ที่เก่งที่ส"&amp;"ุดของคุณเข้าต่อสู้ ใช้กลยุทธ์อันชาญฉลาด แล้วรับรางวัลสุดวิเศษ!
 - นักสู้ตัวใหม่: ซูเปอร์สตาร์แห่งโลกดนตรีของเหล่าวานร เกร็ก รับเขาได้ในการทดสอบ ณ ทางตัน; ทหารรับจ้างผู้กล้าหาญ เลน ทุกคนที่เผชิญหน้ากับหน้าไม้สุดแสนอันตรายของเขาจะต้องสั่นสะท้านด้วยความกลัว "&amp;"คุณสามารถรับเขาได้ที่สนามต่อสู้
&lt;/th&gt;
&lt;es-419&gt;
- Nuevas Pruebas de Impasse: Nueva jugabilidad de superar el nivel. ¡Trae a tus mejores Luchadores, usa una estrategia inteligente y gana increíbles recompensas!
 - Nuevo Luchador: Greg, la superestrella del "&amp;"mundo de la música de los simios, obtenlo en las Pruebas de Impasse. Len, el mercenario intrépido, todos los que se enfrenten a su mortífera ballesta temblarán de miedo, consíguelo en la Arena.
&lt;/es-419&gt;
&lt;ru-RU&gt;
- Новые «Испытания Тупика»: игровой процесс"&amp;" с прохождением уровней. Возьмите с собой лучших героев, используйте умную стратегию и выиграйте удивительные награды!
- Новые герои: Первый — Грег, суперзвезда музыкального мира обезьян. Его можно получить в «Испытаниях Тупика». Второй — бесстрашный наем"&amp;"ник Лен. Все, кто столкнется с его смертоносным арбалетом, будут дрожать от страха. Его можно получить на арене.
&lt;/ru-RU&gt;
&lt;tr-TR&gt;
- Yeni Çıkmaz Durum Denemeleri: yeni seviye geçme oynanışı. En iyi Savaşçılarını getir, akıllı bir strateji kullan ve harika"&amp;" ödüller kazan!
 - Yeni Savaşçı: maymun müzik dünyasının süperstarı Greg. Onu Çıkmaz Durum Denemelerinde al; korkusuz paralı asker Len. Ölümcül arbaletine bakan herkes korkudan titrer. Onu Arenada al.
&lt;/tr-TR&gt;
&lt;vi&gt;
- Thí Luyện Tuyệt Địa mới: lối chơi hoàn"&amp;" thành cấp mới. Hãy đem theo những Chiến Binh giỏi nhất, sử dụng chiến lược thông minh, và giành những phần thưởng hấp dẫn!
 - Chiến Binh mới: siêu sao của thế giới ca nhạc khỉ, Greg. Nhận anh ấy trong Thí Luyện Tuyệt Địa; lính đánh thuê không biết sợ là "&amp;"gì, Len. Tất cả những người gặp phải cây nỏ chết người của anh ấy đều run sợ. Nhận anh ấy trong Đấu Trường.
&lt;/vi&gt;
")</f>
        <v>&lt;en-US&gt;
- New Impasse Trials: new level-clearing gameplay. Bring your best Fighters, use smart strategy, and win amazing rewards!
- New Fighter: superstar of the ape music world, Greg. Get him in Impasse Trials; fearless mercenary, Len. All who face his deadly crossbow will tremble in fear. Get him in the Arena.
- Quests optimized: added chapter quests related to Impasse Trials; added some main quests; added sub-quests related to Colin's Exploration and Alvin's Treasure Hunt.
&lt;/en-US&gt;
&lt;fr-FR&gt;
- Epreuves de l’Impasse: un nouveau gameplay à niveaux évolutifs. Exploitez vos meilleurs combattants, mettez au point votre stratégie, et gagnez des récompenses incroyables!
 - Nouveaux combattants: Greg, la super star de la musique primate. A obtenir dans les Epreuves de l’Impasse. Len, le mercenaire intrépide. Ceux qui tombent sur sa redoutable arbalète tremblent de peur. A obtenir dans l’Arène.
&lt;/fr-FR&gt;
&lt;de-DE&gt;
- Neue Sackgassen-Prüfungen: neues Level-Clearing-Gameplay. Bring deine besten Kämpfer mit, nutze eine clevere Strategie und gewinne tolle Belohnungen!
 - Neuer Kämpfer: der Superstar der Affenmusikwelt, Greg. Erhältlich über die Sackgassen-Prüfungen. Der furchtlose Söldner Len: Alle, die seine tödliche Armbrust erblicken, erzittern vor Angst. In der Arena erhältlich.
 - Quest-Optimierungen: Kapitel-Quests zu den Sackgassen-Prüfungen hinzugefügt.
&lt;/de-DE&gt;
&lt;pt-BR&gt;
- Novos Desafio de Impasse: novo modo de jogo para concluir níveis. Traga seus melhores combatentes, use uma estratégia inteligente e ganhe recompensas incríveis!
 - Novo combatente: o astro do mundo da música símia, Greg. Obtenha-o nos Desafios de Impasse; o destemido mercenário, Len. Todos que encaram sua besta mortal tremerão de medo. Obtenha-o na arena.
&lt;/pt-BR&gt;
&lt;zh-HK&gt;
-新增絕地試煉：全新關卡挑戰玩法，帶上你最優秀的鬥士，施展你的智慧，並贏得豐厚回報！
-新增鬥士：風靡猿猴音樂界的明星葛列格，可通過絕地試煉玩法獲得；精悍無畏的雇傭兵獵手倫恩，沒有人能忘記他那令人戰栗的弩箭！倫恩可通過擂臺獲得。
-任務優化：新增了絕地試煉相關章節任務；新增了一些主線任務；新增了科林探索和艾文尋寶記玩法相關的支線任務。
-戰損提醒優化：增加了部隊有重傷、死亡風險的提示，幫助新猴子更快熟悉遊戲規則。
&lt;/zh-HK&gt;
&lt;id&gt;
- Uji Coba Jalan Buntu Baru: gameplay pembersihan level baru. Bawa Pejuang terbaikmu, gunakan strategi cerdas, dan menangkan hadiah menarik!
 - Pejuang Baru: superstar dunia musik kera, Greg. Dapatkan Greg di Uji Coba Jalan Buntu; prajurit bayaran tanpa rasa takut, Len. Siapa pun yang menghadapi busur silangnya akan gemetar dalam rasa takut. Dapatkan Len di Arena.
 - Tantangan dioptimalkan: menambahkan tantangan babak terkait dengan Penjelajahan Colin dan Perburuan Harta Alvin.
&lt;/id&gt;
&lt;th&gt;
- การทดสอบ ณ ทางตันใหม่: การเล่นเกมเคลียร์ด่านใหม่ นำนักสู้ที่เก่งที่สุดของคุณเข้าต่อสู้ ใช้กลยุทธ์อันชาญฉลาด แล้วรับรางวัลสุดวิเศษ!
 - นักสู้ตัวใหม่: ซูเปอร์สตาร์แห่งโลกดนตรีของเหล่าวานร เกร็ก รับเขาได้ในการทดสอบ ณ ทางตัน; ทหารรับจ้างผู้กล้าหาญ เลน ทุกคนที่เผชิญหน้ากับหน้าไม้สุดแสนอันตรายของเขาจะต้องสั่นสะท้านด้วยความกลัว คุณสามารถรับเขาได้ที่สนามต่อสู้
&lt;/th&gt;
&lt;es-419&gt;
- Nuevas Pruebas de Impasse: Nueva jugabilidad de superar el nivel. ¡Trae a tus mejores Luchadores, usa una estrategia inteligente y gana increíbles recompensas!
 - Nuevo Luchador: Greg, la superestrella del mundo de la música de los simios, obtenlo en las Pruebas de Impasse. Len, el mercenario intrépido, todos los que se enfrenten a su mortífera ballesta temblarán de miedo, consíguelo en la Arena.
&lt;/es-419&gt;
&lt;ru-RU&gt;
- Новые «Испытания Тупика»: игровой процесс с прохождением уровней. Возьмите с собой лучших героев, используйте умную стратегию и выиграйте удивительные награды!
- Новые герои: Первый — Грег, суперзвезда музыкального мира обезьян. Его можно получить в «Испытаниях Тупика». Второй — бесстрашный наемник Лен. Все, кто столкнется с его смертоносным арбалетом, будут дрожать от страха. Его можно получить на арене.
&lt;/ru-RU&gt;
&lt;tr-TR&gt;
- Yeni Çıkmaz Durum Denemeleri: yeni seviye geçme oynanışı. En iyi Savaşçılarını getir, akıllı bir strateji kullan ve harika ödüller kazan!
 - Yeni Savaşçı: maymun müzik dünyasının süperstarı Greg. Onu Çıkmaz Durum Denemelerinde al; korkusuz paralı asker Len. Ölümcül arbaletine bakan herkes korkudan titrer. Onu Arenada al.
&lt;/tr-TR&gt;
&lt;vi&gt;
- Thí Luyện Tuyệt Địa mới: lối chơi hoàn thành cấp mới. Hãy đem theo những Chiến Binh giỏi nhất, sử dụng chiến lược thông minh, và giành những phần thưởng hấp dẫn!
 - Chiến Binh mới: siêu sao của thế giới ca nhạc khỉ, Greg. Nhận anh ấy trong Thí Luyện Tuyệt Địa; lính đánh thuê không biết sợ là gì, Len. Tất cả những người gặp phải cây nỏ chết người của anh ấy đều run sợ. Nhận anh ấy trong Đấu Trường.
&lt;/vi&gt;
</v>
      </c>
      <c r="C39" s="44" t="str">
        <f>IFERROR(__xludf.DUMMYFUNCTION("""COMPUTED_VALUE"""),"-新增绝地试炼：全新关卡挑战玩法，带上你最优秀的斗士，施展你的智慧，并赢得丰厚回报！
-新增斗士：风靡猿猴音乐界的明星葛列格，可通过绝地试炼玩法获得；精悍无畏的雇佣兵猎手伦恩，没有人能忘记他那令人战栗的弩箭！伦恩可通过擂台获得。
-任务优化：新增了绝地试炼相关章节任务；新增了一些主线任务；新增了科林探索和艾文寻宝记玩法相关的支线任务。
-战损提醒优化：增加了部队有重伤、死亡风险的提示，帮助新猴子更快熟悉游戏规则。")</f>
        <v>-新增绝地试炼：全新关卡挑战玩法，带上你最优秀的斗士，施展你的智慧，并赢得丰厚回报！
-新增斗士：风靡猿猴音乐界的明星葛列格，可通过绝地试炼玩法获得；精悍无畏的雇佣兵猎手伦恩，没有人能忘记他那令人战栗的弩箭！伦恩可通过擂台获得。
-任务优化：新增了绝地试炼相关章节任务；新增了一些主线任务；新增了科林探索和艾文寻宝记玩法相关的支线任务。
-战损提醒优化：增加了部队有重伤、死亡风险的提示，帮助新猴子更快熟悉游戏规则。</v>
      </c>
      <c r="D39" s="159" t="str">
        <f>IFERROR(__xludf.DUMMYFUNCTION("""COMPUTED_VALUE"""),"- New Impasse Trials: new level-clearing gameplay. Bring your best Fighters, use smart strategy, and win amazing rewards!
- New Fighter: superstar of the ape music world, Greg. Get him in Impasse Trials; fearless mercenary, Len. All who face his deadly cr"&amp;"ossbow will tremble in fear. Get him in the Arena.
- Quests optimized: added chapter quests related to Impasse Trials; added some main quests; added sub-quests related to Colin's Exploration and Alvin's Treasure Hunt.
")</f>
        <v>- New Impasse Trials: new level-clearing gameplay. Bring your best Fighters, use smart strategy, and win amazing rewards!
- New Fighter: superstar of the ape music world, Greg. Get him in Impasse Trials; fearless mercenary, Len. All who face his deadly crossbow will tremble in fear. Get him in the Arena.
- Quests optimized: added chapter quests related to Impasse Trials; added some main quests; added sub-quests related to Colin's Exploration and Alvin's Treasure Hunt.
</v>
      </c>
      <c r="E39" s="160" t="str">
        <f>IFERROR(__xludf.DUMMYFUNCTION("""COMPUTED_VALUE"""),"- Epreuves de l’Impasse: un nouveau gameplay à niveaux évolutifs. Exploitez vos meilleurs combattants, mettez au point votre stratégie, et gagnez des récompenses incroyables!
 - Nouveaux combattants: Greg, la super star de la musique primate. A obtenir da"&amp;"ns les Epreuves de l’Impasse. Len, le mercenaire intrépide. Ceux qui tombent sur sa redoutable arbalète tremblent de peur. A obtenir dans l’Arène.")</f>
        <v>- Epreuves de l’Impasse: un nouveau gameplay à niveaux évolutifs. Exploitez vos meilleurs combattants, mettez au point votre stratégie, et gagnez des récompenses incroyables!
 - Nouveaux combattants: Greg, la super star de la musique primate. A obtenir dans les Epreuves de l’Impasse. Len, le mercenaire intrépide. Ceux qui tombent sur sa redoutable arbalète tremblent de peur. A obtenir dans l’Arène.</v>
      </c>
      <c r="F39" s="160" t="str">
        <f>IFERROR(__xludf.DUMMYFUNCTION("""COMPUTED_VALUE"""),"- Neue Sackgassen-Prüfungen: neues Level-Clearing-Gameplay. Bring deine besten Kämpfer mit, nutze eine clevere Strategie und gewinne tolle Belohnungen!
 - Neuer Kämpfer: der Superstar der Affenmusikwelt, Greg. Erhältlich über die Sackgassen-Prüfungen. Der"&amp;" furchtlose Söldner Len: Alle, die seine tödliche Armbrust erblicken, erzittern vor Angst. In der Arena erhältlich.
 - Quest-Optimierungen: Kapitel-Quests zu den Sackgassen-Prüfungen hinzugefügt.")</f>
        <v>- Neue Sackgassen-Prüfungen: neues Level-Clearing-Gameplay. Bring deine besten Kämpfer mit, nutze eine clevere Strategie und gewinne tolle Belohnungen!
 - Neuer Kämpfer: der Superstar der Affenmusikwelt, Greg. Erhältlich über die Sackgassen-Prüfungen. Der furchtlose Söldner Len: Alle, die seine tödliche Armbrust erblicken, erzittern vor Angst. In der Arena erhältlich.
 - Quest-Optimierungen: Kapitel-Quests zu den Sackgassen-Prüfungen hinzugefügt.</v>
      </c>
      <c r="G39" s="160" t="str">
        <f>IFERROR(__xludf.DUMMYFUNCTION("""COMPUTED_VALUE"""),"- Novos Desafio de Impasse: novo modo de jogo para concluir níveis. Traga seus melhores combatentes, use uma estratégia inteligente e ganhe recompensas incríveis!
 - Novo combatente: o astro do mundo da música símia, Greg. Obtenha-o nos Desafios de Impass"&amp;"e; o destemido mercenário, Len. Todos que encaram sua besta mortal tremerão de medo. Obtenha-o na arena.")</f>
        <v>- Novos Desafio de Impasse: novo modo de jogo para concluir níveis. Traga seus melhores combatentes, use uma estratégia inteligente e ganhe recompensas incríveis!
 - Novo combatente: o astro do mundo da música símia, Greg. Obtenha-o nos Desafios de Impasse; o destemido mercenário, Len. Todos que encaram sua besta mortal tremerão de medo. Obtenha-o na arena.</v>
      </c>
      <c r="H39" s="159" t="str">
        <f>IFERROR(__xludf.DUMMYFUNCTION("""COMPUTED_VALUE"""),"-新增絕地試煉：全新關卡挑戰玩法，帶上你最優秀的鬥士，施展你的智慧，並贏得豐厚回報！
-新增鬥士：風靡猿猴音樂界的明星葛列格，可通過絕地試煉玩法獲得；精悍無畏的雇傭兵獵手倫恩，沒有人能忘記他那令人戰栗的弩箭！倫恩可通過擂臺獲得。
-任務優化：新增了絕地試煉相關章節任務；新增了一些主線任務；新增了科林探索和艾文尋寶記玩法相關的支線任務。
-戰損提醒優化：增加了部隊有重傷、死亡風險的提示，幫助新猴子更快熟悉遊戲規則。")</f>
        <v>-新增絕地試煉：全新關卡挑戰玩法，帶上你最優秀的鬥士，施展你的智慧，並贏得豐厚回報！
-新增鬥士：風靡猿猴音樂界的明星葛列格，可通過絕地試煉玩法獲得；精悍無畏的雇傭兵獵手倫恩，沒有人能忘記他那令人戰栗的弩箭！倫恩可通過擂臺獲得。
-任務優化：新增了絕地試煉相關章節任務；新增了一些主線任務；新增了科林探索和艾文尋寶記玩法相關的支線任務。
-戰損提醒優化：增加了部隊有重傷、死亡風險的提示，幫助新猴子更快熟悉遊戲規則。</v>
      </c>
      <c r="I39" s="160" t="str">
        <f>IFERROR(__xludf.DUMMYFUNCTION("""COMPUTED_VALUE"""),"- Uji Coba Jalan Buntu Baru: gameplay pembersihan level baru. Bawa Pejuang terbaikmu, gunakan strategi cerdas, dan menangkan hadiah menarik!
 - Pejuang Baru: superstar dunia musik kera, Greg. Dapatkan Greg di Uji Coba Jalan Buntu; prajurit bayaran tanpa r"&amp;"asa takut, Len. Siapa pun yang menghadapi busur silangnya akan gemetar dalam rasa takut. Dapatkan Len di Arena.
 - Tantangan dioptimalkan: menambahkan tantangan babak terkait dengan Penjelajahan Colin dan Perburuan Harta Alvin.")</f>
        <v>- Uji Coba Jalan Buntu Baru: gameplay pembersihan level baru. Bawa Pejuang terbaikmu, gunakan strategi cerdas, dan menangkan hadiah menarik!
 - Pejuang Baru: superstar dunia musik kera, Greg. Dapatkan Greg di Uji Coba Jalan Buntu; prajurit bayaran tanpa rasa takut, Len. Siapa pun yang menghadapi busur silangnya akan gemetar dalam rasa takut. Dapatkan Len di Arena.
 - Tantangan dioptimalkan: menambahkan tantangan babak terkait dengan Penjelajahan Colin dan Perburuan Harta Alvin.</v>
      </c>
      <c r="J39" s="159" t="str">
        <f>IFERROR(__xludf.DUMMYFUNCTION("""COMPUTED_VALUE"""),"- การทดสอบ ณ ทางตันใหม่: การเล่นเกมเคลียร์ด่านใหม่ นำนักสู้ที่เก่งที่สุดของคุณเข้าต่อสู้ ใช้กลยุทธ์อันชาญฉลาด แล้วรับรางวัลสุดวิเศษ!
 - นักสู้ตัวใหม่: ซูเปอร์สตาร์แห่งโลกดนตรีของเหล่าวานร เกร็ก รับเขาได้ในการทดสอบ ณ ทางตัน; ทหารรับจ้างผู้กล้าหาญ เลน ทุกคน"&amp;"ที่เผชิญหน้ากับหน้าไม้สุดแสนอันตรายของเขาจะต้องสั่นสะท้านด้วยความกลัว คุณสามารถรับเขาได้ที่สนามต่อสู้")</f>
        <v>- การทดสอบ ณ ทางตันใหม่: การเล่นเกมเคลียร์ด่านใหม่ นำนักสู้ที่เก่งที่สุดของคุณเข้าต่อสู้ ใช้กลยุทธ์อันชาญฉลาด แล้วรับรางวัลสุดวิเศษ!
 - นักสู้ตัวใหม่: ซูเปอร์สตาร์แห่งโลกดนตรีของเหล่าวานร เกร็ก รับเขาได้ในการทดสอบ ณ ทางตัน; ทหารรับจ้างผู้กล้าหาญ เลน ทุกคนที่เผชิญหน้ากับหน้าไม้สุดแสนอันตรายของเขาจะต้องสั่นสะท้านด้วยความกลัว คุณสามารถรับเขาได้ที่สนามต่อสู้</v>
      </c>
      <c r="K39" s="160" t="str">
        <f>IFERROR(__xludf.DUMMYFUNCTION("""COMPUTED_VALUE"""),"- Nuevas Pruebas de Impasse: Nueva jugabilidad de superar el nivel. ¡Trae a tus mejores Luchadores, usa una estrategia inteligente y gana increíbles recompensas!
 - Nuevo Luchador: Greg, la superestrella del mundo de la música de los simios, obtenlo en la"&amp;"s Pruebas de Impasse. Len, el mercenario intrépido, todos los que se enfrenten a su mortífera ballesta temblarán de miedo, consíguelo en la Arena.")</f>
        <v>- Nuevas Pruebas de Impasse: Nueva jugabilidad de superar el nivel. ¡Trae a tus mejores Luchadores, usa una estrategia inteligente y gana increíbles recompensas!
 - Nuevo Luchador: Greg, la superestrella del mundo de la música de los simios, obtenlo en las Pruebas de Impasse. Len, el mercenario intrépido, todos los que se enfrenten a su mortífera ballesta temblarán de miedo, consíguelo en la Arena.</v>
      </c>
      <c r="L39" s="159" t="str">
        <f>IFERROR(__xludf.DUMMYFUNCTION("""COMPUTED_VALUE"""),"- Новые «Испытания Тупика»: игровой процесс с прохождением уровней. Возьмите с собой лучших героев, используйте умную стратегию и выиграйте удивительные награды!
- Новые герои: Первый — Грег, суперзвезда музыкального мира обезьян. Его можно получить в «Ис"&amp;"пытаниях Тупика». Второй — бесстрашный наемник Лен. Все, кто столкнется с его смертоносным арбалетом, будут дрожать от страха. Его можно получить на арене.
")</f>
        <v>- Новые «Испытания Тупика»: игровой процесс с прохождением уровней. Возьмите с собой лучших героев, используйте умную стратегию и выиграйте удивительные награды!
- Новые герои: Первый — Грег, суперзвезда музыкального мира обезьян. Его можно получить в «Испытаниях Тупика». Второй — бесстрашный наемник Лен. Все, кто столкнется с его смертоносным арбалетом, будут дрожать от страха. Его можно получить на арене.
</v>
      </c>
      <c r="M39" s="160" t="str">
        <f>IFERROR(__xludf.DUMMYFUNCTION("""COMPUTED_VALUE"""),"- Yeni Çıkmaz Durum Denemeleri: yeni seviye geçme oynanışı. En iyi Savaşçılarını getir, akıllı bir strateji kullan ve harika ödüller kazan!
 - Yeni Savaşçı: maymun müzik dünyasının süperstarı Greg. Onu Çıkmaz Durum Denemelerinde al; korkusuz paralı asker "&amp;"Len. Ölümcül arbaletine bakan herkes korkudan titrer. Onu Arenada al.")</f>
        <v>- Yeni Çıkmaz Durum Denemeleri: yeni seviye geçme oynanışı. En iyi Savaşçılarını getir, akıllı bir strateji kullan ve harika ödüller kazan!
 - Yeni Savaşçı: maymun müzik dünyasının süperstarı Greg. Onu Çıkmaz Durum Denemelerinde al; korkusuz paralı asker Len. Ölümcül arbaletine bakan herkes korkudan titrer. Onu Arenada al.</v>
      </c>
      <c r="N39" s="175" t="str">
        <f>IFERROR(__xludf.DUMMYFUNCTION("""COMPUTED_VALUE"""),"- Thí Luyện Tuyệt Địa mới: lối chơi hoàn thành cấp mới. Hãy đem theo những Chiến Binh giỏi nhất, sử dụng chiến lược thông minh, và giành những phần thưởng hấp dẫn!
 - Chiến Binh mới: siêu sao của thế giới ca nhạc khỉ, Greg. Nhận anh ấy trong Thí Luyện Tuy"&amp;"ệt Địa; lính đánh thuê không biết sợ là gì, Len. Tất cả những người gặp phải cây nỏ chết người của anh ấy đều run sợ. Nhận anh ấy trong Đấu Trường.
")</f>
        <v>- Thí Luyện Tuyệt Địa mới: lối chơi hoàn thành cấp mới. Hãy đem theo những Chiến Binh giỏi nhất, sử dụng chiến lược thông minh, và giành những phần thưởng hấp dẫn!
 - Chiến Binh mới: siêu sao của thế giới ca nhạc khỉ, Greg. Nhận anh ấy trong Thí Luyện Tuyệt Địa; lính đánh thuê không biết sợ là gì, Len. Tất cả những người gặp phải cây nỏ chết người của anh ấy đều run sợ. Nhận anh ấy trong Đấu Trường.
</v>
      </c>
      <c r="O39" s="45"/>
      <c r="P39" s="34"/>
      <c r="Q39" s="34"/>
      <c r="R39" s="34"/>
      <c r="S39" s="34"/>
      <c r="T39" s="108"/>
      <c r="U39" s="108"/>
      <c r="V39" s="108"/>
      <c r="W39" s="108"/>
      <c r="X39" s="108"/>
      <c r="Y39" s="108"/>
      <c r="Z39" s="108"/>
    </row>
    <row r="40" ht="72.0" customHeight="1">
      <c r="A40" s="149"/>
      <c r="B40" s="174" t="str">
        <f>IFERROR(__xludf.DUMMYFUNCTION("""COMPUTED_VALUE"""),"&lt;en-US&gt;
- Clan: Gangs can now change Clans freely. Same-Clan players can't attack one another but can attack ruins of Gangs of the same Clan.
- Map: removed division between Clans. Removed track-building, train-driving. Trains and tracks will only appear "&amp;"during Supremacy Competition. Changed types &amp; number of ruins, &amp; their rewards.
- Great Train Race: match with allies &amp; enemies based on Power. Attack or defend a train to win rewards!
- New Fighters: get Rams via Ultimate Monkey; get D-Generate Dave via "&amp;"Wheel of Fortune.
&lt;/en-US&gt;
&lt;fr-FR&gt;
- Clan: Les gangs peuvent changer de clan. Les membres du clan ne peuvent pas s'attaquer mais peuvent attaquer les ruines entre gangs.
- Carte: Suppr. de la division entre clans: libre téléportation en début de partie.Mo"&amp;"dif. des types et du nombre de ruines, et de leurs récompenses.
- Grande course de train: Compét. avec alliés et ennemis en atq ou déf d'un train.
- Nouv. combatt.: Rams (Singe ultime) et Dave D-Généré (Roue de la fortune).
&lt;/fr-FR&gt;
&lt;de-DE&gt;
- Horde: Clans"&amp;" können jetzt die Horde wechseln. Spieler derselben Horde können sich nicht angreifen, aber sie können Ruinen von Clans derselben Horde angreifen.
 - Karte: Trennung zwischen Horden wurde entfernt, anfangs freie Teleportation. Züge und Gleise nur noch bei"&amp;"m Vorherrschaft-Wettbewerb. Änderungen bezüglich Art und Anzahl der Ruinen sowie deren Belohnungen.
 - Großes Zugrennen: Mit Verbündeten oder Feinden entsprechend der Stärke. Attackiere/Verteidige Züge für Belohnungen!
 - Neue Kämpfer: Rams über den Ultim"&amp;"ativen Affen; D-Generate Dave über das Glücksrad.
&lt;/de-DE&gt;
&lt;pt-BR&gt;
- Clã: gangues podem agora mudar de clã livremente Jogadores do mesmo clã não podem atacar um a outro, mas podem atacar ruínas de gangues do mesmo clã.
 - Mapa: removida a divisão entre cl"&amp;"ãs, agora é possível se teletransportar livremente desde o início. Remoção de construção de trilho e controle do trem Trens e trilhos agora só aparecem durante Competição pela Supremacia. Alteração dos tipos e número de ruínas, além de suas recompensas.
 "&amp;"- Grande Corrida dos Trens: combinação de aliados e inimigos baseado no poder. Ataque ou defenda um trem para ganhar recompensas!
 - Novos combatentes: obtenha Rams em Macaco Supremo; Dave Degenerado na roda da fortuna.
&lt;/pt-BR&gt;
&lt;zh-HK&gt;
-氏族調整：各個幫派可以自由更換氏族"&amp;"，同氏族玩家通常情況下不能互相攻擊，但可以攻擊同氏族內不同幫派所占領的人類遺跡。
-地圖調整：取消了六大氏族之間的分隔，玩家初期可以任意傳送，移除了修建鐵軌和手動駕駛火車的功能，僅在太空爭霸時才出現。調整了人類遺跡的種類和數量以及對應獎勵。
-火車競賽：根據戰力匹配盟友和敵軍，參與攻擊或守衛火車將獲得超值獎勵！
-新增鬥士：拉姆斯可以通過最強猴子獲得；戴維斯可以通過幸運獎盤獲得；
&lt;/zh-HK&gt;
&lt;id&gt;
- Klan: Geng bebas berganti Klan. Pemain Klan yan"&amp;"g sama tak bisa saling menyerang tapi bisa menyerang reruntuhan Geng Klan yang sama.
 - Peta: divisi antara Klan dihapus, kamu bebas berteleportasi di awal. Membuat trek &amp; mengemudi kereta dihapus. Kereta &amp; trek hanya muncul selama Kompetisi Supremasi. Je"&amp;"nis &amp; jumlah reruntuhan &amp; imbalannya diubah.
 - Balap Kereta Hebat: cari sekutu &amp; musuh menurut Kekuatan. Serang/pertahankan kereta untuk mendapat hadiah!
 - Pejuang Baru: dapatkan Rams via Kera Terkuat; dapatkan D-Generate Dave via Roda Keberuntungan
&lt;/i"&amp;"d&gt;
&lt;th&gt;
- เผ่า: แก๊งสามารถเปลี่ยนเผ่าได้อย่างอิสระ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ตอนนี้คุณสามารถเทเลพอร์ตได้อย่างอิสระในช่วงต้น นำการสร้างรางและการขับ"&amp;"รถไฟออก โดยรถไฟและรางรถไฟจะปรากฏเฉพาะระหว่างการแข่งขันเพื่อชิงอำนาจเท่านั้น อีกยังเปลี่ยนประเภทและจำนวนซากปรักหักพังรวมถึงรางวัลด้วย
 - การแข่งขันรถไฟครั้งยิ่งใหญ่: จับคู่กับพันธมิตรและศัตรูตามค่าพลังของคุณ โจมตีหรือป้องกันรถไฟเพื่อรับรางวัล!
 - นักสู้ใหม"&amp;"่: รับแรมได้จากกิจกรรมลิงที่แข็งแกร่งที่สุด และรับเดฟ ไปเรื่อย ได้จากวงล้อแห่งโชคชะตา
&lt;/th&gt;
&lt;es-419&gt;
- Clan: Bandas pueden cambiar libremente de Clan. Los jugadores del mismo Clan no pueden atacarse entre sí, pueden atacar ruinas de Bandas de su Clan.
 - "&amp;"Mapa: División entre Clanes eliminada, teletransporte libre al inicio. Eliminación: construcción de vías, conducción de trenes. Trenes y vías aparecerán solo en Competencia por la Supremacía. Tipos cambiados, número ruinas y recompensas.
 - Gran Carrera d"&amp;"el Tren: empareja aliados y enemigos según Poder. ¡Ataca o defiende un tren p/recompensas!
 - Luchadores: Consigue a Rams en Mono Supremo y a D-Generado Dave en Rueda de la Fortuna.
&lt;/es-419&gt;
&lt;ru-RU&gt;
- Кланы: теперь банды могут свободно менять кланы. Игро"&amp;"ки из одного клана не могут нападать друг на друга, но они могут атаковать руины, занятые другими бандами из того же клана.
- Карта: удалено разделение между кланами, и теперь вы с самого начала можете телепортироваться куда угодно. Удалено строительство "&amp;"рельсов и управление поездами. Поезда и рельсы будут появляться только во время состязаний за превосходство. Изменены типы и количество руин, а также награды за них.
- Большие гонки на поездах: союзники и враги для вас подбираются в соответствии с мощью. "&amp;"Атакуйте или защищайте поезд, чтобы получить награды!
- Новые герои: получите Рэмса в событии «Великая обезьяна» и Д-генерата Дэйва из Колеса фортуны.
&lt;/ru-RU&gt;
&lt;tr-TR&gt;
- Klan: Çeteler özgürce Klan değiştirebilir. Aynı Klan oyuncuları birbirine saldıramaz,"&amp;" aynı Klanın Çete harabelerine saldırabilir.
 - Harita: Klanlar arasındaki bölünme kalktı, artık baştan ışınlanabilirsin. Ray inşası, tren sürüşü kaldırıldı. Trenler ve raylar sadece Üst. Müsabakasında görünür. Harabe tür, sayı ve ödülleri değiştirildi.
 "&amp;"- Büyük Tren Yarışı: Güce bağlı olarak müttefik ve düşmanlarla eşleştir. Ödül için trene saldır veya onu savun!
 - Yeni Savaşçılar: En Üstün Maymunla Rams’i; Çarkıfelekle Dejenere Dave’i al.
&lt;/tr-TR&gt;
&lt;vi&gt;
- Bộ Lạc: B.Hội có thể tự do đổi B.Lạc. Trong 1 B."&amp;"Lạc, người chơi không thể tấn công nhau nhưng được tấn công tàn tích của B.Hội.
 - Bản Đồ: xóa ranh giới giữa B.Lạc, bạn có thể tự do di chuyển. Bỏ x.dựng đường ray, lái xe lửa. Xe lửa và đường ray chỉ xuất hiện trong Tranh Hùng Bá Chủ. Thay đổi loại, số "&amp;"lượng tàn tích, và thưởng.
 - Đường Đua Xe Lửa Lớn: ghép cặp đồng minh và kẻ thù theo C.Lực. T.công hoặc p.thủ xe lửa để nhận thưởng!
 - C.Binh mới: Rams qua Chúa Khỉ Tối Cao; Dave-Hạng-D qua Bánh Xe May Mắn.
&lt;/vi&gt;
")</f>
        <v>&lt;en-US&gt;
- Clan: Gangs can now change Clans freely. Same-Clan players can't attack one another but can attack ruins of Gangs of the same Clan.
- Map: removed division between Clans. Removed track-building, train-driving. Trains and tracks will only appear during Supremacy Competition. Changed types &amp; number of ruins, &amp; their rewards.
- Great Train Race: match with allies &amp; enemies based on Power. Attack or defend a train to win rewards!
- New Fighters: get Rams via Ultimate Monkey; get D-Generate Dave via Wheel of Fortune.
&lt;/en-US&gt;
&lt;fr-FR&gt;
- Clan: Les gangs peuvent changer de clan. Les membres du clan ne peuvent pas s'attaquer mais peuvent attaquer les ruines entre gangs.
- Carte: Suppr. de la division entre clans: libre téléportation en début de partie.Modif. des types et du nombre de ruines, et de leurs récompenses.
- Grande course de train: Compét. avec alliés et ennemis en atq ou déf d'un train.
- Nouv. combatt.: Rams (Singe ultime) et Dave D-Généré (Roue de la fortune).
&lt;/fr-FR&gt;
&lt;de-DE&gt;
- Horde: Clans können jetzt die Horde wechseln. Spieler derselben Horde können sich nicht angreifen, aber sie können Ruinen von Clans derselben Horde angreifen.
 - Karte: Trennung zwischen Horden wurde entfernt, anfangs freie Teleportation. Züge und Gleise nur noch beim Vorherrschaft-Wettbewerb. Änderungen bezüglich Art und Anzahl der Ruinen sowie deren Belohnungen.
 - Großes Zugrennen: Mit Verbündeten oder Feinden entsprechend der Stärke. Attackiere/Verteidige Züge für Belohnungen!
 - Neue Kämpfer: Rams über den Ultimativen Affen; D-Generate Dave über das Glücksrad.
&lt;/de-DE&gt;
&lt;pt-BR&gt;
- Clã: gangues podem agora mudar de clã livremente Jogadores do mesmo clã não podem atacar um a outro, mas podem atacar ruínas de gangues do mesmo clã.
 - Mapa: removida a divisão entre clãs, agora é possível se teletransportar livremente desde o início. Remoção de construção de trilho e controle do trem Trens e trilhos agora só aparecem durante Competição pela Supremacia. Alteração dos tipos e número de ruínas, além de suas recompensas.
 - Grande Corrida dos Trens: combinação de aliados e inimigos baseado no poder. Ataque ou defenda um trem para ganhar recompensas!
 - Novos combatentes: obtenha Rams em Macaco Supremo; Dave Degenerado na roda da fortuna.
&lt;/pt-BR&gt;
&lt;zh-HK&gt;
-氏族調整：各個幫派可以自由更換氏族，同氏族玩家通常情況下不能互相攻擊，但可以攻擊同氏族內不同幫派所占領的人類遺跡。
-地圖調整：取消了六大氏族之間的分隔，玩家初期可以任意傳送，移除了修建鐵軌和手動駕駛火車的功能，僅在太空爭霸時才出現。調整了人類遺跡的種類和數量以及對應獎勵。
-火車競賽：根據戰力匹配盟友和敵軍，參與攻擊或守衛火車將獲得超值獎勵！
-新增鬥士：拉姆斯可以通過最強猴子獲得；戴維斯可以通過幸運獎盤獲得；
&lt;/zh-HK&gt;
&lt;id&gt;
- Klan: Geng bebas berganti Klan. Pemain Klan yang sama tak bisa saling menyerang tapi bisa menyerang reruntuhan Geng Klan yang sama.
 - Peta: divisi antara Klan dihapus, kamu bebas berteleportasi di awal. Membuat trek &amp; mengemudi kereta dihapus. Kereta &amp; trek hanya muncul selama Kompetisi Supremasi. Jenis &amp; jumlah reruntuhan &amp; imbalannya diubah.
 - Balap Kereta Hebat: cari sekutu &amp; musuh menurut Kekuatan. Serang/pertahankan kereta untuk mendapat hadiah!
 - Pejuang Baru: dapatkan Rams via Kera Terkuat; dapatkan D-Generate Dave via Roda Keberuntungan
&lt;/id&gt;
&lt;th&gt;
- เผ่า: แก๊งสามารถเปลี่ยนเผ่าได้อย่างอิสระ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ตอนนี้คุณสามารถเทเลพอร์ตได้อย่างอิสระในช่วงต้น นำการสร้างรางและการขับรถไฟออก โดยรถไฟและรางรถไฟจะปรากฏเฉพาะระหว่างการแข่งขันเพื่อชิงอำนาจเท่านั้น อีกยังเปลี่ยนประเภทและจำนวนซากปรักหักพังรวมถึงรางวัลด้วย
 - การแข่งขันรถไฟครั้งยิ่งใหญ่: จับคู่กับพันธมิตรและศัตรูตามค่าพลังของคุณ โจมตีหรือป้องกันรถไฟเพื่อรับรางวัล!
 - นักสู้ใหม่: รับแรมได้จากกิจกรรมลิงที่แข็งแกร่งที่สุด และรับเดฟ ไปเรื่อย ได้จากวงล้อแห่งโชคชะตา
&lt;/th&gt;
&lt;es-419&gt;
- Clan: Bandas pueden cambiar libremente de Clan. Los jugadores del mismo Clan no pueden atacarse entre sí, pueden atacar ruinas de Bandas de su Clan.
 - Mapa: División entre Clanes eliminada, teletransporte libre al inicio. Eliminación: construcción de vías, conducción de trenes. Trenes y vías aparecerán solo en Competencia por la Supremacía. Tipos cambiados, número ruinas y recompensas.
 - Gran Carrera del Tren: empareja aliados y enemigos según Poder. ¡Ataca o defiende un tren p/recompensas!
 - Luchadores: Consigue a Rams en Mono Supremo y a D-Generado Dave en Rueda de la Fortuna.
&lt;/es-419&gt;
&lt;ru-RU&gt;
- Кланы: теперь банды могут свободно менять кланы. Игроки из одного клана не могут нападать друг на друга, но они могут атаковать руины, занятые другими бандами из того же клана.
- Карта: удалено разделение между кланами, и теперь вы с самого начала можете телепортироваться куда угодно. Удалено строительство рельсов и управление поездами. Поезда и рельсы будут появляться только во время состязаний за превосходство. Изменены типы и количество руин, а также награды за них.
- Большие гонки на поездах: союзники и враги для вас подбираются в соответствии с мощью. Атакуйте или защищайте поезд, чтобы получить награды!
- Новые герои: получите Рэмса в событии «Великая обезьяна» и Д-генерата Дэйва из Колеса фортуны.
&lt;/ru-RU&gt;
&lt;tr-TR&gt;
- Klan: Çeteler özgürce Klan değiştirebilir. Aynı Klan oyuncuları birbirine saldıramaz, aynı Klanın Çete harabelerine saldırabilir.
 - Harita: Klanlar arasındaki bölünme kalktı, artık baştan ışınlanabilirsin. Ray inşası, tren sürüşü kaldırıldı. Trenler ve raylar sadece Üst. Müsabakasında görünür. Harabe tür, sayı ve ödülleri değiştirildi.
 - Büyük Tren Yarışı: Güce bağlı olarak müttefik ve düşmanlarla eşleştir. Ödül için trene saldır veya onu savun!
 - Yeni Savaşçılar: En Üstün Maymunla Rams’i; Çarkıfelekle Dejenere Dave’i al.
&lt;/tr-TR&gt;
&lt;vi&gt;
- Bộ Lạc: B.Hội có thể tự do đổi B.Lạc. Trong 1 B.Lạc, người chơi không thể tấn công nhau nhưng được tấn công tàn tích của B.Hội.
 - Bản Đồ: xóa ranh giới giữa B.Lạc, bạn có thể tự do di chuyển. Bỏ x.dựng đường ray, lái xe lửa. Xe lửa và đường ray chỉ xuất hiện trong Tranh Hùng Bá Chủ. Thay đổi loại, số lượng tàn tích, và thưởng.
 - Đường Đua Xe Lửa Lớn: ghép cặp đồng minh và kẻ thù theo C.Lực. T.công hoặc p.thủ xe lửa để nhận thưởng!
 - C.Binh mới: Rams qua Chúa Khỉ Tối Cao; Dave-Hạng-D qua Bánh Xe May Mắn.
&lt;/vi&gt;
</v>
      </c>
      <c r="C40" s="44" t="str">
        <f>IFERROR(__xludf.DUMMYFUNCTION("""COMPUTED_VALUE"""),"-氏族调整：各个帮派可以自由更换氏族，同氏族玩家通常情况下不能互相攻击，但可以攻击同氏族内不同帮派所占领的人类遗迹。
-地图调整：取消了六大氏族之间的分隔，玩家初期可以任意传送，移除了修建铁轨和手动驾驶火车的功能，仅在太空争霸时才出现。调整了人类遗迹的种类和数量以及对应奖励。
-火车竞赛：根据战力匹配盟友和敌军，参与攻击或守卫火车将获得超值奖励！
-新增斗士：拉姆斯可以通过最强猴子获得；戴维斯可以通过幸运奖盘获得；")</f>
        <v>-氏族调整：各个帮派可以自由更换氏族，同氏族玩家通常情况下不能互相攻击，但可以攻击同氏族内不同帮派所占领的人类遗迹。
-地图调整：取消了六大氏族之间的分隔，玩家初期可以任意传送，移除了修建铁轨和手动驾驶火车的功能，仅在太空争霸时才出现。调整了人类遗迹的种类和数量以及对应奖励。
-火车竞赛：根据战力匹配盟友和敌军，参与攻击或守卫火车将获得超值奖励！
-新增斗士：拉姆斯可以通过最强猴子获得；戴维斯可以通过幸运奖盘获得；</v>
      </c>
      <c r="D40" s="159" t="str">
        <f>IFERROR(__xludf.DUMMYFUNCTION("""COMPUTED_VALUE"""),"- Clan: Gangs can now change Clans freely. Same-Clan players can't attack one another but can attack ruins of Gangs of the same Clan.
- Map: removed division between Clans. Removed track-building, train-driving. Trains and tracks will only appear during S"&amp;"upremacy Competition. Changed types &amp; number of ruins, &amp; their rewards.
- Great Train Race: match with allies &amp; enemies based on Power. Attack or defend a train to win rewards!
- New Fighters: get Rams via Ultimate Monkey; get D-Generate Dave via Wheel of"&amp;" Fortune.")</f>
        <v>- Clan: Gangs can now change Clans freely. Same-Clan players can't attack one another but can attack ruins of Gangs of the same Clan.
- Map: removed division between Clans. Removed track-building, train-driving. Trains and tracks will only appear during Supremacy Competition. Changed types &amp; number of ruins, &amp; their rewards.
- Great Train Race: match with allies &amp; enemies based on Power. Attack or defend a train to win rewards!
- New Fighters: get Rams via Ultimate Monkey; get D-Generate Dave via Wheel of Fortune.</v>
      </c>
      <c r="E40" s="159" t="str">
        <f>IFERROR(__xludf.DUMMYFUNCTION("""COMPUTED_VALUE"""),"- Clan: Les gangs peuvent changer de clan. Les membres du clan ne peuvent pas s'attaquer mais peuvent attaquer les ruines entre gangs.
- Carte: Suppr. de la division entre clans: libre téléportation en début de partie.Modif. des types et du nombre de ruin"&amp;"es, et de leurs récompenses.
- Grande course de train: Compét. avec alliés et ennemis en atq ou déf d'un train.
- Nouv. combatt.: Rams (Singe ultime) et Dave D-Généré (Roue de la fortune).")</f>
        <v>- Clan: Les gangs peuvent changer de clan. Les membres du clan ne peuvent pas s'attaquer mais peuvent attaquer les ruines entre gangs.
- Carte: Suppr. de la division entre clans: libre téléportation en début de partie.Modif. des types et du nombre de ruines, et de leurs récompenses.
- Grande course de train: Compét. avec alliés et ennemis en atq ou déf d'un train.
- Nouv. combatt.: Rams (Singe ultime) et Dave D-Généré (Roue de la fortune).</v>
      </c>
      <c r="F40" s="159" t="str">
        <f>IFERROR(__xludf.DUMMYFUNCTION("""COMPUTED_VALUE"""),"- Horde: Clans können jetzt die Horde wechseln. Spieler derselben Horde können sich nicht angreifen, aber sie können Ruinen von Clans derselben Horde angreifen.
 - Karte: Trennung zwischen Horden wurde entfernt, anfangs freie Teleportation. Züge und Gleis"&amp;"e nur noch beim Vorherrschaft-Wettbewerb. Änderungen bezüglich Art und Anzahl der Ruinen sowie deren Belohnungen.
 - Großes Zugrennen: Mit Verbündeten oder Feinden entsprechend der Stärke. Attackiere/Verteidige Züge für Belohnungen!
 - Neue Kämpfer: Rams "&amp;"über den Ultimativen Affen; D-Generate Dave über das Glücksrad.")</f>
        <v>- Horde: Clans können jetzt die Horde wechseln. Spieler derselben Horde können sich nicht angreifen, aber sie können Ruinen von Clans derselben Horde angreifen.
 - Karte: Trennung zwischen Horden wurde entfernt, anfangs freie Teleportation. Züge und Gleise nur noch beim Vorherrschaft-Wettbewerb. Änderungen bezüglich Art und Anzahl der Ruinen sowie deren Belohnungen.
 - Großes Zugrennen: Mit Verbündeten oder Feinden entsprechend der Stärke. Attackiere/Verteidige Züge für Belohnungen!
 - Neue Kämpfer: Rams über den Ultimativen Affen; D-Generate Dave über das Glücksrad.</v>
      </c>
      <c r="G40" s="159" t="str">
        <f>IFERROR(__xludf.DUMMYFUNCTION("""COMPUTED_VALUE"""),"- Clã: gangues podem agora mudar de clã livremente Jogadores do mesmo clã não podem atacar um a outro, mas podem atacar ruínas de gangues do mesmo clã.
 - Mapa: removida a divisão entre clãs, agora é possível se teletransportar livremente desde o início. "&amp;"Remoção de construção de trilho e controle do trem Trens e trilhos agora só aparecem durante Competição pela Supremacia. Alteração dos tipos e número de ruínas, além de suas recompensas.
 - Grande Corrida dos Trens: combinação de aliados e inimigos basead"&amp;"o no poder. Ataque ou defenda um trem para ganhar recompensas!
 - Novos combatentes: obtenha Rams em Macaco Supremo; Dave Degenerado na roda da fortuna.")</f>
        <v>- Clã: gangues podem agora mudar de clã livremente Jogadores do mesmo clã não podem atacar um a outro, mas podem atacar ruínas de gangues do mesmo clã.
 - Mapa: removida a divisão entre clãs, agora é possível se teletransportar livremente desde o início. Remoção de construção de trilho e controle do trem Trens e trilhos agora só aparecem durante Competição pela Supremacia. Alteração dos tipos e número de ruínas, além de suas recompensas.
 - Grande Corrida dos Trens: combinação de aliados e inimigos baseado no poder. Ataque ou defenda um trem para ganhar recompensas!
 - Novos combatentes: obtenha Rams em Macaco Supremo; Dave Degenerado na roda da fortuna.</v>
      </c>
      <c r="H40" s="159" t="str">
        <f>IFERROR(__xludf.DUMMYFUNCTION("""COMPUTED_VALUE"""),"-氏族調整：各個幫派可以自由更換氏族，同氏族玩家通常情況下不能互相攻擊，但可以攻擊同氏族內不同幫派所占領的人類遺跡。
-地圖調整：取消了六大氏族之間的分隔，玩家初期可以任意傳送，移除了修建鐵軌和手動駕駛火車的功能，僅在太空爭霸時才出現。調整了人類遺跡的種類和數量以及對應獎勵。
-火車競賽：根據戰力匹配盟友和敵軍，參與攻擊或守衛火車將獲得超值獎勵！
-新增鬥士：拉姆斯可以通過最強猴子獲得；戴維斯可以通過幸運獎盤獲得；")</f>
        <v>-氏族調整：各個幫派可以自由更換氏族，同氏族玩家通常情況下不能互相攻擊，但可以攻擊同氏族內不同幫派所占領的人類遺跡。
-地圖調整：取消了六大氏族之間的分隔，玩家初期可以任意傳送，移除了修建鐵軌和手動駕駛火車的功能，僅在太空爭霸時才出現。調整了人類遺跡的種類和數量以及對應獎勵。
-火車競賽：根據戰力匹配盟友和敵軍，參與攻擊或守衛火車將獲得超值獎勵！
-新增鬥士：拉姆斯可以通過最強猴子獲得；戴維斯可以通過幸運獎盤獲得；</v>
      </c>
      <c r="I40" s="159" t="str">
        <f>IFERROR(__xludf.DUMMYFUNCTION("""COMPUTED_VALUE"""),"- Klan: Geng bebas berganti Klan. Pemain Klan yang sama tak bisa saling menyerang tapi bisa menyerang reruntuhan Geng Klan yang sama.
 - Peta: divisi antara Klan dihapus, kamu bebas berteleportasi di awal. Membuat trek &amp; mengemudi kereta dihapus. Kereta &amp;"&amp;" trek hanya muncul selama Kompetisi Supremasi. Jenis &amp; jumlah reruntuhan &amp; imbalannya diubah.
 - Balap Kereta Hebat: cari sekutu &amp; musuh menurut Kekuatan. Serang/pertahankan kereta untuk mendapat hadiah!
 - Pejuang Baru: dapatkan Rams via Kera Terkuat; da"&amp;"patkan D-Generate Dave via Roda Keberuntungan")</f>
        <v>- Klan: Geng bebas berganti Klan. Pemain Klan yang sama tak bisa saling menyerang tapi bisa menyerang reruntuhan Geng Klan yang sama.
 - Peta: divisi antara Klan dihapus, kamu bebas berteleportasi di awal. Membuat trek &amp; mengemudi kereta dihapus. Kereta &amp; trek hanya muncul selama Kompetisi Supremasi. Jenis &amp; jumlah reruntuhan &amp; imbalannya diubah.
 - Balap Kereta Hebat: cari sekutu &amp; musuh menurut Kekuatan. Serang/pertahankan kereta untuk mendapat hadiah!
 - Pejuang Baru: dapatkan Rams via Kera Terkuat; dapatkan D-Generate Dave via Roda Keberuntungan</v>
      </c>
      <c r="J40" s="159" t="str">
        <f>IFERROR(__xludf.DUMMYFUNCTION("""COMPUTED_VALUE"""),"- เผ่า: แก๊งสามารถเปลี่ยนเผ่าได้อย่างอิสระ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ตอนนี้คุณสามารถเทเลพอร์ตได้อย่างอิสระในช่วงต้น นำการสร้างรางและการขับรถไฟออก "&amp;"โดยรถไฟและรางรถไฟจะปรากฏเฉพาะระหว่างการแข่งขันเพื่อชิงอำนาจเท่านั้น อีกยังเปลี่ยนประเภทและจำนวนซากปรักหักพังรวมถึงรางวัลด้วย
 - การแข่งขันรถไฟครั้งยิ่งใหญ่: จับคู่กับพันธมิตรและศัตรูตามค่าพลังของคุณ โจมตีหรือป้องกันรถไฟเพื่อรับรางวัล!
 - นักสู้ใหม่: รับแร"&amp;"มได้จากกิจกรรมลิงที่แข็งแกร่งที่สุด และรับเดฟ ไปเรื่อย ได้จากวงล้อแห่งโชคชะตา")</f>
        <v>- เผ่า: แก๊งสามารถเปลี่ยนเผ่าได้อย่างอิสระ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ตอนนี้คุณสามารถเทเลพอร์ตได้อย่างอิสระในช่วงต้น นำการสร้างรางและการขับรถไฟออก โดยรถไฟและรางรถไฟจะปรากฏเฉพาะระหว่างการแข่งขันเพื่อชิงอำนาจเท่านั้น อีกยังเปลี่ยนประเภทและจำนวนซากปรักหักพังรวมถึงรางวัลด้วย
 - การแข่งขันรถไฟครั้งยิ่งใหญ่: จับคู่กับพันธมิตรและศัตรูตามค่าพลังของคุณ โจมตีหรือป้องกันรถไฟเพื่อรับรางวัล!
 - นักสู้ใหม่: รับแรมได้จากกิจกรรมลิงที่แข็งแกร่งที่สุด และรับเดฟ ไปเรื่อย ได้จากวงล้อแห่งโชคชะตา</v>
      </c>
      <c r="K40" s="159" t="str">
        <f>IFERROR(__xludf.DUMMYFUNCTION("""COMPUTED_VALUE"""),"- Clan: Bandas pueden cambiar libremente de Clan. Los jugadores del mismo Clan no pueden atacarse entre sí, pueden atacar ruinas de Bandas de su Clan.
 - Mapa: División entre Clanes eliminada, teletransporte libre al inicio. Eliminación: construcción de v"&amp;"ías, conducción de trenes. Trenes y vías aparecerán solo en Competencia por la Supremacía. Tipos cambiados, número ruinas y recompensas.
 - Gran Carrera del Tren: empareja aliados y enemigos según Poder. ¡Ataca o defiende un tren p/recompensas!
 - Luchado"&amp;"res: Consigue a Rams en Mono Supremo y a D-Generado Dave en Rueda de la Fortuna.")</f>
        <v>- Clan: Bandas pueden cambiar libremente de Clan. Los jugadores del mismo Clan no pueden atacarse entre sí, pueden atacar ruinas de Bandas de su Clan.
 - Mapa: División entre Clanes eliminada, teletransporte libre al inicio. Eliminación: construcción de vías, conducción de trenes. Trenes y vías aparecerán solo en Competencia por la Supremacía. Tipos cambiados, número ruinas y recompensas.
 - Gran Carrera del Tren: empareja aliados y enemigos según Poder. ¡Ataca o defiende un tren p/recompensas!
 - Luchadores: Consigue a Rams en Mono Supremo y a D-Generado Dave en Rueda de la Fortuna.</v>
      </c>
      <c r="L40" s="159" t="str">
        <f>IFERROR(__xludf.DUMMYFUNCTION("""COMPUTED_VALUE"""),"- Кланы: теперь банды могут свободно менять кланы. Игроки из одного клана не могут нападать друг на друга, но они могут атаковать руины, занятые другими бандами из того же клана.
- Карта: удалено разделение между кланами, и теперь вы с самого начала может"&amp;"е телепортироваться куда угодно. Удалено строительство рельсов и управление поездами. Поезда и рельсы будут появляться только во время состязаний за превосходство. Изменены типы и количество руин, а также награды за них.
- Большие гонки на поездах: союзни"&amp;"ки и враги для вас подбираются в соответствии с мощью. Атакуйте или защищайте поезд, чтобы получить награды!
- Новые герои: получите Рэмса в событии «Великая обезьяна» и Д-генерата Дэйва из Колеса фортуны.")</f>
        <v>- Кланы: теперь банды могут свободно менять кланы. Игроки из одного клана не могут нападать друг на друга, но они могут атаковать руины, занятые другими бандами из того же клана.
- Карта: удалено разделение между кланами, и теперь вы с самого начала можете телепортироваться куда угодно. Удалено строительство рельсов и управление поездами. Поезда и рельсы будут появляться только во время состязаний за превосходство. Изменены типы и количество руин, а также награды за них.
- Большие гонки на поездах: союзники и враги для вас подбираются в соответствии с мощью. Атакуйте или защищайте поезд, чтобы получить награды!
- Новые герои: получите Рэмса в событии «Великая обезьяна» и Д-генерата Дэйва из Колеса фортуны.</v>
      </c>
      <c r="M40" s="159" t="str">
        <f>IFERROR(__xludf.DUMMYFUNCTION("""COMPUTED_VALUE"""),"- Klan: Çeteler özgürce Klan değiştirebilir. Aynı Klan oyuncuları birbirine saldıramaz, aynı Klanın Çete harabelerine saldırabilir.
 - Harita: Klanlar arasındaki bölünme kalktı, artık baştan ışınlanabilirsin. Ray inşası, tren sürüşü kaldırıldı. Trenler ve"&amp;" raylar sadece Üst. Müsabakasında görünür. Harabe tür, sayı ve ödülleri değiştirildi.
 - Büyük Tren Yarışı: Güce bağlı olarak müttefik ve düşmanlarla eşleştir. Ödül için trene saldır veya onu savun!
 - Yeni Savaşçılar: En Üstün Maymunla Rams’i; Çarkıfelek"&amp;"le Dejenere Dave’i al.")</f>
        <v>- Klan: Çeteler özgürce Klan değiştirebilir. Aynı Klan oyuncuları birbirine saldıramaz, aynı Klanın Çete harabelerine saldırabilir.
 - Harita: Klanlar arasındaki bölünme kalktı, artık baştan ışınlanabilirsin. Ray inşası, tren sürüşü kaldırıldı. Trenler ve raylar sadece Üst. Müsabakasında görünür. Harabe tür, sayı ve ödülleri değiştirildi.
 - Büyük Tren Yarışı: Güce bağlı olarak müttefik ve düşmanlarla eşleştir. Ödül için trene saldır veya onu savun!
 - Yeni Savaşçılar: En Üstün Maymunla Rams’i; Çarkıfelekle Dejenere Dave’i al.</v>
      </c>
      <c r="N40" s="45" t="str">
        <f>IFERROR(__xludf.DUMMYFUNCTION("""COMPUTED_VALUE"""),"- Bộ Lạc: B.Hội có thể tự do đổi B.Lạc. Trong 1 B.Lạc, người chơi không thể tấn công nhau nhưng được tấn công tàn tích của B.Hội.
 - Bản Đồ: xóa ranh giới giữa B.Lạc, bạn có thể tự do di chuyển. Bỏ x.dựng đường ray, lái xe lửa. Xe lửa và đường ray chỉ xuấ"&amp;"t hiện trong Tranh Hùng Bá Chủ. Thay đổi loại, số lượng tàn tích, và thưởng.
 - Đường Đua Xe Lửa Lớn: ghép cặp đồng minh và kẻ thù theo C.Lực. T.công hoặc p.thủ xe lửa để nhận thưởng!
 - C.Binh mới: Rams qua Chúa Khỉ Tối Cao; Dave-Hạng-D qua Bánh Xe May M"&amp;"ắn.")</f>
        <v>- Bộ Lạc: B.Hội có thể tự do đổi B.Lạc. Trong 1 B.Lạc, người chơi không thể tấn công nhau nhưng được tấn công tàn tích của B.Hội.
 - Bản Đồ: xóa ranh giới giữa B.Lạc, bạn có thể tự do di chuyển. Bỏ x.dựng đường ray, lái xe lửa. Xe lửa và đường ray chỉ xuất hiện trong Tranh Hùng Bá Chủ. Thay đổi loại, số lượng tàn tích, và thưởng.
 - Đường Đua Xe Lửa Lớn: ghép cặp đồng minh và kẻ thù theo C.Lực. T.công hoặc p.thủ xe lửa để nhận thưởng!
 - C.Binh mới: Rams qua Chúa Khỉ Tối Cao; Dave-Hạng-D qua Bánh Xe May Mắn.</v>
      </c>
      <c r="O40" s="45"/>
      <c r="P40" s="34"/>
      <c r="Q40" s="34"/>
      <c r="R40" s="34"/>
      <c r="S40" s="34"/>
      <c r="T40" s="108"/>
      <c r="U40" s="108"/>
      <c r="V40" s="108"/>
      <c r="W40" s="108"/>
      <c r="X40" s="108"/>
      <c r="Y40" s="108"/>
      <c r="Z40" s="108"/>
    </row>
    <row r="41" ht="72.0" customHeight="1">
      <c r="A41" s="149" t="str">
        <f>IFERROR(__xludf.DUMMYFUNCTION("""COMPUTED_VALUE"""),"0.35.0")</f>
        <v>0.35.0</v>
      </c>
      <c r="B41" s="174" t="str">
        <f>IFERROR(__xludf.DUMMYFUNCTION("""COMPUTED_VALUE"""),"&lt;en-US&gt;
- Clan: Gangs can now change Clans freely. Same-Clan players can't attack one another but can attack ruins of Gangs of the same Clan.
- Map: removed division between Clans and changed types &amp; number of ruins, &amp; their rewards.
- Great Train Race: m"&amp;"atch with allies &amp; enemies based on Power. Attack or defend a train to win rewards!
- New Fighters: get Rams via Ultimate Monkey; get D-Generate Dave via Wheel of Fortune.
&lt;/en-US&gt;
&lt;fr-FR&gt;
- Clan: Les gangs peuvent changer de clan. Les membres du clan ne "&amp;"peuvent pas s'attaquer mais peuvent attaquer les ruines entre gangs.
- Carte: Suppr. de la division entre clans. Modif. des types et du nombre de ruines, et de leurs récompenses.
- Grande course de train: Compét. avec alliés et ennemis en atq ou déf d'un "&amp;"train.
- Nouv. combatt.: Rams (Singe ultime) et Dave D-Généré (Roue de la fortune).
&lt;/fr-FR&gt;
&lt;de-DE&gt;
- Horde: Clans können jetzt die Horde wechseln. Spieler derselben Horde können sich nicht angreifen, aber sie können Ruinen von Clans derselben Horde angr"&amp;"eifen.
- Karte: Trennung zwischen Horden wurde entfernt. Änderungen bezüglich Art und Anzahl der Ruinen sowie deren Belohnungen.
- Großes Zugrennen: Mit Verbündeten oder Feinden entsprechend der Stärke. Attackiere/Verteidige Züge für Belohnungen!
- Neue K"&amp;"ämpfer: Rams über den Ultimativen Affen; D-Generate Dave über das Glücksrad.
&lt;/de-DE&gt;
&lt;pt-BR&gt;
- Clã: gangues podem agora mudar de clã livremente Jogadores do mesmo clã não podem atacar um a outro, mas podem atacar ruínas de gangues do mesmo clã.
- Mapa: r"&amp;"emovida a divisão entre clãs. Alteração dos tipos e número de ruínas, além de suas recompensas.
- Grande Corrida dos Trens: combinação de aliados e inimigos baseado no poder. Ataque ou defenda um trem para ganhar recompensas!
- Novos combatentes: obtenha "&amp;"Rams em Macaco Supremo; Dave Degenerado na roda da fortuna.
&lt;/pt-BR&gt;
&lt;zh-HK&gt;
-氏族調整：各個幫派可以自由更換氏族，同氏族玩家通常情況下不能互相攻擊，但可以攻擊同氏族內不同幫派所占領的人類遺跡。
-地圖調整：取消了六大氏族之間的分隔，調整了人類遺跡的種類和數量以及對應獎勵。
-火車競賽：根據戰力匹配盟友和敵軍，參與活動將獲得超值獎勵！
-新增鬥士：拉姆斯可以通過最強猴子獲得；戴維斯可以通過幸運獎盤獲得！
&lt;/zh-HK&gt;
&lt;id&gt;"&amp;"
- Klan: Geng bebas berganti Klan. Pemain Klan yang sama tak bisa saling menyerang tapi bisa menyerang reruntuhan Geng Klan yang sama.
- Peta: divisi antara Klan dihapus. Membuat trek &amp; mengemudi kereta dihapus. Jenis &amp; jumlah reruntuhan &amp; imbalannya diub"&amp;"ah.
- Balap Kereta Hebat: cari sekutu &amp; musuh menurut Kekuatan. Serang/pertahankan kereta untuk mendapat hadiah!
- Pejuang Baru: dapatkan Rams via Kera Terkuat; dapatkan D-Generate Dave via Roda Keberuntungan
&lt;/id&gt;
&lt;th&gt;
- เผ่า: แก๊งสามารถเปลี่ยนเผ่าได้อย่"&amp;"างอิสระ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อีกยังเปลี่ยนประเภทและจำนวนซากปรักหักพังรวมถึงรางวัลด้วย
- การแข่งขันรถไฟครั้งยิ่งใหญ่: จับคู่กับพันธมิตรและศัตรู"&amp;"ตามค่าพลังของคุณ โจมตีหรือป้องกันรถไฟเพื่อรับรางวัล!
- นักสู้ใหม่: รับแรมได้จากกิจกรรมลิงที่แข็งแกร่งที่สุด และรับเดฟ ไปเรื่อย ได้จากวงล้อแห่งโชคชะตา
&lt;/th&gt;
&lt;es-419&gt;
- Clan: Bandas pueden cambiar libremente de Clan. Los jugadores del mismo Clan no pueden a"&amp;"tacarse entre sí, pueden atacar ruinas de Bandas de su Clan.
- Mapa: División entre Clanes eliminada. Tipos cambiados, número ruinas y recompensas.
- Gran Carrera del Tren: empareja aliados y enemigos según Poder. ¡Ataca o defiende un tren p/recompensas!
"&amp;"- Luchadores: Consigue a Rams en Mono Supremo y a D-Generado Dave en Rueda de la Fortuna.
&lt;/es-419&gt;
&lt;ru-RU&gt;
- Кланы: теперь банды могут свободно менять кланы. Игроки из одного клана не могут нападать друг на друга, но они могут атаковать руины, занятые др"&amp;"угими бандами из того же клана.
- Карта: удалено разделение между кланами. Изменены типы и количество руин, а также награды за них
- Большие гонки на поездах: союзники и враги для вас подбираются в соответствии с мощью. Участвуйте, чтобы получить награды!"&amp;"
- Новые герои: получите Рэмса в событии «Великая обезьяна» и Д-генерата Дэйва из Колеса фортуны.
&lt;/ru-RU&gt;
&lt;tr-TR&gt;
- Klan: Çeteler özgürce Klan değiştirebilir. Aynı Klan oyuncuları birbirine saldıramaz, aynı Klanın Çete harabelerine saldırabilir.
- Harita"&amp;": Klanlar arasındaki bölünme kalktı. Harabe tür, sayı ve ödülleri değiştirildi.
- Büyük Tren Yarışı: Güce bağlı olarak müttefik ve düşmanlarla eşleştir. Ödül için trene saldır veya onu savun!
- Yeni Savaşçılar: En Üstün Maymunla Rams’i; Çarkıfelekle Dejen"&amp;"ere Dave’i al.
&lt;/tr-TR&gt;
&lt;vi&gt;
- Bộ Lạc: B.Hội có thể tự do đổi B.Lạc. Trong 1 B.Lạc, người chơi không thể tấn công nhau nhưng được tấn công tàn tích của B.Hội.
- Bản Đồ: xóa ranh giới giữa Bộ Lạc. Thay đổi loại, số lượng tàn tích, và thưởng.
- Đường Đua Xe"&amp;" Lửa Lớn: ghép cặp đồng minh và kẻ thù theo C.Lực. T.công hoặc p.thủ xe lửa để nhận thưởng!
- C.Binh mới: Rams qua Chúa Khỉ Tối Cao; Dave-Hạng-D qua Bánh Xe May Mắn.
&lt;/vi&gt;
")</f>
        <v>&lt;en-US&gt;
- Clan: Gangs can now change Clans freely. Same-Clan players can't attack one another but can attack ruins of Gangs of the same Clan.
- Map: removed division between Clans and changed types &amp; number of ruins, &amp; their rewards.
- Great Train Race: match with allies &amp; enemies based on Power. Attack or defend a train to win rewards!
- New Fighters: get Rams via Ultimate Monkey; get D-Generate Dave via Wheel of Fortune.
&lt;/en-US&gt;
&lt;fr-FR&gt;
- Clan: Les gangs peuvent changer de clan. Les membres du clan ne peuvent pas s'attaquer mais peuvent attaquer les ruines entre gangs.
- Carte: Suppr. de la division entre clans. Modif. des types et du nombre de ruines, et de leurs récompenses.
- Grande course de train: Compét. avec alliés et ennemis en atq ou déf d'un train.
- Nouv. combatt.: Rams (Singe ultime) et Dave D-Généré (Roue de la fortune).
&lt;/fr-FR&gt;
&lt;de-DE&gt;
- Horde: Clans können jetzt die Horde wechseln. Spieler derselben Horde können sich nicht angreifen, aber sie können Ruinen von Clans derselben Horde angreifen.
- Karte: Trennung zwischen Horden wurde entfernt. Änderungen bezüglich Art und Anzahl der Ruinen sowie deren Belohnungen.
- Großes Zugrennen: Mit Verbündeten oder Feinden entsprechend der Stärke. Attackiere/Verteidige Züge für Belohnungen!
- Neue Kämpfer: Rams über den Ultimativen Affen; D-Generate Dave über das Glücksrad.
&lt;/de-DE&gt;
&lt;pt-BR&gt;
- Clã: gangues podem agora mudar de clã livremente Jogadores do mesmo clã não podem atacar um a outro, mas podem atacar ruínas de gangues do mesmo clã.
- Mapa: removida a divisão entre clãs. Alteração dos tipos e número de ruínas, além de suas recompensas.
- Grande Corrida dos Trens: combinação de aliados e inimigos baseado no poder. Ataque ou defenda um trem para ganhar recompensas!
- Novos combatentes: obtenha Rams em Macaco Supremo; Dave Degenerado na roda da fortuna.
&lt;/pt-BR&gt;
&lt;zh-HK&gt;
-氏族調整：各個幫派可以自由更換氏族，同氏族玩家通常情況下不能互相攻擊，但可以攻擊同氏族內不同幫派所占領的人類遺跡。
-地圖調整：取消了六大氏族之間的分隔，調整了人類遺跡的種類和數量以及對應獎勵。
-火車競賽：根據戰力匹配盟友和敵軍，參與活動將獲得超值獎勵！
-新增鬥士：拉姆斯可以通過最強猴子獲得；戴維斯可以通過幸運獎盤獲得！
&lt;/zh-HK&gt;
&lt;id&gt;
- Klan: Geng bebas berganti Klan. Pemain Klan yang sama tak bisa saling menyerang tapi bisa menyerang reruntuhan Geng Klan yang sama.
- Peta: divisi antara Klan dihapus. Membuat trek &amp; mengemudi kereta dihapus. Jenis &amp; jumlah reruntuhan &amp; imbalannya diubah.
- Balap Kereta Hebat: cari sekutu &amp; musuh menurut Kekuatan. Serang/pertahankan kereta untuk mendapat hadiah!
- Pejuang Baru: dapatkan Rams via Kera Terkuat; dapatkan D-Generate Dave via Roda Keberuntungan
&lt;/id&gt;
&lt;th&gt;
- เผ่า: แก๊งสามารถเปลี่ยนเผ่าได้อย่างอิสระ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อีกยังเปลี่ยนประเภทและจำนวนซากปรักหักพังรวมถึงรางวัลด้วย
- การแข่งขันรถไฟครั้งยิ่งใหญ่: จับคู่กับพันธมิตรและศัตรูตามค่าพลังของคุณ โจมตีหรือป้องกันรถไฟเพื่อรับรางวัล!
- นักสู้ใหม่: รับแรมได้จากกิจกรรมลิงที่แข็งแกร่งที่สุด และรับเดฟ ไปเรื่อย ได้จากวงล้อแห่งโชคชะตา
&lt;/th&gt;
&lt;es-419&gt;
- Clan: Bandas pueden cambiar libremente de Clan. Los jugadores del mismo Clan no pueden atacarse entre sí, pueden atacar ruinas de Bandas de su Clan.
- Mapa: División entre Clanes eliminada. Tipos cambiados, número ruinas y recompensas.
- Gran Carrera del Tren: empareja aliados y enemigos según Poder. ¡Ataca o defiende un tren p/recompensas!
- Luchadores: Consigue a Rams en Mono Supremo y a D-Generado Dave en Rueda de la Fortuna.
&lt;/es-419&gt;
&lt;ru-RU&gt;
- Кланы: теперь банды могут свободно менять кланы. Игроки из одного клана не могут нападать друг на друга, но они могут атаковать руины, занятые другими бандами из того же клана.
- Карта: удалено разделение между кланами. Изменены типы и количество руин, а также награды за них
- Большие гонки на поездах: союзники и враги для вас подбираются в соответствии с мощью. Участвуйте, чтобы получить награды!
- Новые герои: получите Рэмса в событии «Великая обезьяна» и Д-генерата Дэйва из Колеса фортуны.
&lt;/ru-RU&gt;
&lt;tr-TR&gt;
- Klan: Çeteler özgürce Klan değiştirebilir. Aynı Klan oyuncuları birbirine saldıramaz, aynı Klanın Çete harabelerine saldırabilir.
- Harita: Klanlar arasındaki bölünme kalktı. Harabe tür, sayı ve ödülleri değiştirildi.
- Büyük Tren Yarışı: Güce bağlı olarak müttefik ve düşmanlarla eşleştir. Ödül için trene saldır veya onu savun!
- Yeni Savaşçılar: En Üstün Maymunla Rams’i; Çarkıfelekle Dejenere Dave’i al.
&lt;/tr-TR&gt;
&lt;vi&gt;
- Bộ Lạc: B.Hội có thể tự do đổi B.Lạc. Trong 1 B.Lạc, người chơi không thể tấn công nhau nhưng được tấn công tàn tích của B.Hội.
- Bản Đồ: xóa ranh giới giữa Bộ Lạc. Thay đổi loại, số lượng tàn tích, và thưởng.
- Đường Đua Xe Lửa Lớn: ghép cặp đồng minh và kẻ thù theo C.Lực. T.công hoặc p.thủ xe lửa để nhận thưởng!
- C.Binh mới: Rams qua Chúa Khỉ Tối Cao; Dave-Hạng-D qua Bánh Xe May Mắn.
&lt;/vi&gt;
</v>
      </c>
      <c r="C41" s="44" t="str">
        <f>IFERROR(__xludf.DUMMYFUNCTION("""COMPUTED_VALUE"""),"-氏族调整：各个帮派可以自由更换氏族，同氏族玩家通常情况下不能互相攻击，但可以攻击同氏族内不同帮派所占领的人类遗迹。
-地图调整：取消了六大氏族之间的分隔，调整了人类遗迹的种类和数量以及对应奖励。
-火车竞赛：根据战力匹配盟友和敌军，参与活动将获得超值奖励！
-新增斗士：拉姆斯可以通过最强猴子获得；戴维斯可以通过幸运奖盘获得！")</f>
        <v>-氏族调整：各个帮派可以自由更换氏族，同氏族玩家通常情况下不能互相攻击，但可以攻击同氏族内不同帮派所占领的人类遗迹。
-地图调整：取消了六大氏族之间的分隔，调整了人类遗迹的种类和数量以及对应奖励。
-火车竞赛：根据战力匹配盟友和敌军，参与活动将获得超值奖励！
-新增斗士：拉姆斯可以通过最强猴子获得；戴维斯可以通过幸运奖盘获得！</v>
      </c>
      <c r="D41" s="159" t="str">
        <f>IFERROR(__xludf.DUMMYFUNCTION("""COMPUTED_VALUE"""),"- Clan: Gangs can now change Clans freely. Same-Clan players can't attack one another but can attack ruins of Gangs of the same Clan.
- Map: removed division between Clans and changed types &amp; number of ruins, &amp; their rewards.
- Great Train Race: match wit"&amp;"h allies &amp; enemies based on Power. Attack or defend a train to win rewards!
- New Fighters: get Rams via Ultimate Monkey; get D-Generate Dave via Wheel of Fortune.")</f>
        <v>- Clan: Gangs can now change Clans freely. Same-Clan players can't attack one another but can attack ruins of Gangs of the same Clan.
- Map: removed division between Clans and changed types &amp; number of ruins, &amp; their rewards.
- Great Train Race: match with allies &amp; enemies based on Power. Attack or defend a train to win rewards!
- New Fighters: get Rams via Ultimate Monkey; get D-Generate Dave via Wheel of Fortune.</v>
      </c>
      <c r="E41" s="159" t="str">
        <f>IFERROR(__xludf.DUMMYFUNCTION("""COMPUTED_VALUE"""),"- Clan: Les gangs peuvent changer de clan. Les membres du clan ne peuvent pas s'attaquer mais peuvent attaquer les ruines entre gangs.
- Carte: Suppr. de la division entre clans. Modif. des types et du nombre de ruines, et de leurs récompenses.
- Grande c"&amp;"ourse de train: Compét. avec alliés et ennemis en atq ou déf d'un train.
- Nouv. combatt.: Rams (Singe ultime) et Dave D-Généré (Roue de la fortune).")</f>
        <v>- Clan: Les gangs peuvent changer de clan. Les membres du clan ne peuvent pas s'attaquer mais peuvent attaquer les ruines entre gangs.
- Carte: Suppr. de la division entre clans. Modif. des types et du nombre de ruines, et de leurs récompenses.
- Grande course de train: Compét. avec alliés et ennemis en atq ou déf d'un train.
- Nouv. combatt.: Rams (Singe ultime) et Dave D-Généré (Roue de la fortune).</v>
      </c>
      <c r="F41" s="159" t="str">
        <f>IFERROR(__xludf.DUMMYFUNCTION("""COMPUTED_VALUE"""),"- Horde: Clans können jetzt die Horde wechseln. Spieler derselben Horde können sich nicht angreifen, aber sie können Ruinen von Clans derselben Horde angreifen.
- Karte: Trennung zwischen Horden wurde entfernt. Änderungen bezüglich Art und Anzahl der Ruin"&amp;"en sowie deren Belohnungen.
- Großes Zugrennen: Mit Verbündeten oder Feinden entsprechend der Stärke. Attackiere/Verteidige Züge für Belohnungen!
- Neue Kämpfer: Rams über den Ultimativen Affen; D-Generate Dave über das Glücksrad.")</f>
        <v>- Horde: Clans können jetzt die Horde wechseln. Spieler derselben Horde können sich nicht angreifen, aber sie können Ruinen von Clans derselben Horde angreifen.
- Karte: Trennung zwischen Horden wurde entfernt. Änderungen bezüglich Art und Anzahl der Ruinen sowie deren Belohnungen.
- Großes Zugrennen: Mit Verbündeten oder Feinden entsprechend der Stärke. Attackiere/Verteidige Züge für Belohnungen!
- Neue Kämpfer: Rams über den Ultimativen Affen; D-Generate Dave über das Glücksrad.</v>
      </c>
      <c r="G41" s="159" t="str">
        <f>IFERROR(__xludf.DUMMYFUNCTION("""COMPUTED_VALUE"""),"- Clã: gangues podem agora mudar de clã livremente Jogadores do mesmo clã não podem atacar um a outro, mas podem atacar ruínas de gangues do mesmo clã.
- Mapa: removida a divisão entre clãs. Alteração dos tipos e número de ruínas, além de suas recompensas"&amp;".
- Grande Corrida dos Trens: combinação de aliados e inimigos baseado no poder. Ataque ou defenda um trem para ganhar recompensas!
- Novos combatentes: obtenha Rams em Macaco Supremo; Dave Degenerado na roda da fortuna.")</f>
        <v>- Clã: gangues podem agora mudar de clã livremente Jogadores do mesmo clã não podem atacar um a outro, mas podem atacar ruínas de gangues do mesmo clã.
- Mapa: removida a divisão entre clãs. Alteração dos tipos e número de ruínas, além de suas recompensas.
- Grande Corrida dos Trens: combinação de aliados e inimigos baseado no poder. Ataque ou defenda um trem para ganhar recompensas!
- Novos combatentes: obtenha Rams em Macaco Supremo; Dave Degenerado na roda da fortuna.</v>
      </c>
      <c r="H41" s="159" t="str">
        <f>IFERROR(__xludf.DUMMYFUNCTION("""COMPUTED_VALUE"""),"-氏族調整：各個幫派可以自由更換氏族，同氏族玩家通常情況下不能互相攻擊，但可以攻擊同氏族內不同幫派所占領的人類遺跡。
-地圖調整：取消了六大氏族之間的分隔，調整了人類遺跡的種類和數量以及對應獎勵。
-火車競賽：根據戰力匹配盟友和敵軍，參與活動將獲得超值獎勵！
-新增鬥士：拉姆斯可以通過最強猴子獲得；戴維斯可以通過幸運獎盤獲得！")</f>
        <v>-氏族調整：各個幫派可以自由更換氏族，同氏族玩家通常情況下不能互相攻擊，但可以攻擊同氏族內不同幫派所占領的人類遺跡。
-地圖調整：取消了六大氏族之間的分隔，調整了人類遺跡的種類和數量以及對應獎勵。
-火車競賽：根據戰力匹配盟友和敵軍，參與活動將獲得超值獎勵！
-新增鬥士：拉姆斯可以通過最強猴子獲得；戴維斯可以通過幸運獎盤獲得！</v>
      </c>
      <c r="I41" s="159" t="str">
        <f>IFERROR(__xludf.DUMMYFUNCTION("""COMPUTED_VALUE"""),"- Klan: Geng bebas berganti Klan. Pemain Klan yang sama tak bisa saling menyerang tapi bisa menyerang reruntuhan Geng Klan yang sama.
- Peta: divisi antara Klan dihapus. Membuat trek &amp; mengemudi kereta dihapus. Jenis &amp; jumlah reruntuhan &amp; imbalannya diuba"&amp;"h.
- Balap Kereta Hebat: cari sekutu &amp; musuh menurut Kekuatan. Serang/pertahankan kereta untuk mendapat hadiah!
- Pejuang Baru: dapatkan Rams via Kera Terkuat; dapatkan D-Generate Dave via Roda Keberuntungan")</f>
        <v>- Klan: Geng bebas berganti Klan. Pemain Klan yang sama tak bisa saling menyerang tapi bisa menyerang reruntuhan Geng Klan yang sama.
- Peta: divisi antara Klan dihapus. Membuat trek &amp; mengemudi kereta dihapus. Jenis &amp; jumlah reruntuhan &amp; imbalannya diubah.
- Balap Kereta Hebat: cari sekutu &amp; musuh menurut Kekuatan. Serang/pertahankan kereta untuk mendapat hadiah!
- Pejuang Baru: dapatkan Rams via Kera Terkuat; dapatkan D-Generate Dave via Roda Keberuntungan</v>
      </c>
      <c r="J41" s="159" t="str">
        <f>IFERROR(__xludf.DUMMYFUNCTION("""COMPUTED_VALUE"""),"- เผ่า: แก๊งสามารถเปลี่ยนเผ่าได้อย่างอิสระ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อีกยังเปลี่ยนประเภทและจำนวนซากปรักหักพังรวมถึงรางวัลด้วย
- การแข่งขันรถไฟครั้ง"&amp;"ยิ่งใหญ่: จับคู่กับพันธมิตรและศัตรูตามค่าพลังของคุณ โจมตีหรือป้องกันรถไฟเพื่อรับรางวัล!
- นักสู้ใหม่: รับแรมได้จากกิจกรรมลิงที่แข็งแกร่งที่สุด และรับเดฟ ไปเรื่อย ได้จากวงล้อแห่งโชคชะตา")</f>
        <v>- เผ่า: แก๊งสามารถเปลี่ยนเผ่าได้อย่างอิสระ โดยผู้เล่นในเผ่าเดียวกันจะไม่สามารถโจมตีกันได้ แต่สามารถโจมตีซากปรักหักพังของแก๊งในเผ่าเดียวกันได้
- แผนที่: นำเส้นแบ่งระหว่างเผ่าออก อีกยังเปลี่ยนประเภทและจำนวนซากปรักหักพังรวมถึงรางวัลด้วย
- การแข่งขันรถไฟครั้งยิ่งใหญ่: จับคู่กับพันธมิตรและศัตรูตามค่าพลังของคุณ โจมตีหรือป้องกันรถไฟเพื่อรับรางวัล!
- นักสู้ใหม่: รับแรมได้จากกิจกรรมลิงที่แข็งแกร่งที่สุด และรับเดฟ ไปเรื่อย ได้จากวงล้อแห่งโชคชะตา</v>
      </c>
      <c r="K41" s="159" t="str">
        <f>IFERROR(__xludf.DUMMYFUNCTION("""COMPUTED_VALUE"""),"- Clan: Bandas pueden cambiar libremente de Clan. Los jugadores del mismo Clan no pueden atacarse entre sí, pueden atacar ruinas de Bandas de su Clan.
- Mapa: División entre Clanes eliminada. Tipos cambiados, número ruinas y recompensas.
- Gran Carrera de"&amp;"l Tren: empareja aliados y enemigos según Poder. ¡Ataca o defiende un tren p/recompensas!
- Luchadores: Consigue a Rams en Mono Supremo y a D-Generado Dave en Rueda de la Fortuna.")</f>
        <v>- Clan: Bandas pueden cambiar libremente de Clan. Los jugadores del mismo Clan no pueden atacarse entre sí, pueden atacar ruinas de Bandas de su Clan.
- Mapa: División entre Clanes eliminada. Tipos cambiados, número ruinas y recompensas.
- Gran Carrera del Tren: empareja aliados y enemigos según Poder. ¡Ataca o defiende un tren p/recompensas!
- Luchadores: Consigue a Rams en Mono Supremo y a D-Generado Dave en Rueda de la Fortuna.</v>
      </c>
      <c r="L41" s="159" t="str">
        <f>IFERROR(__xludf.DUMMYFUNCTION("""COMPUTED_VALUE"""),"- Кланы: теперь банды могут свободно менять кланы. Игроки из одного клана не могут нападать друг на друга, но они могут атаковать руины, занятые другими бандами из того же клана.
- Карта: удалено разделение между кланами. Изменены типы и количество руин, "&amp;"а также награды за них
- Большие гонки на поездах: союзники и враги для вас подбираются в соответствии с мощью. Участвуйте, чтобы получить награды!
- Новые герои: получите Рэмса в событии «Великая обезьяна» и Д-генерата Дэйва из Колеса фортуны.")</f>
        <v>- Кланы: теперь банды могут свободно менять кланы. Игроки из одного клана не могут нападать друг на друга, но они могут атаковать руины, занятые другими бандами из того же клана.
- Карта: удалено разделение между кланами. Изменены типы и количество руин, а также награды за них
- Большие гонки на поездах: союзники и враги для вас подбираются в соответствии с мощью. Участвуйте, чтобы получить награды!
- Новые герои: получите Рэмса в событии «Великая обезьяна» и Д-генерата Дэйва из Колеса фортуны.</v>
      </c>
      <c r="M41" s="159" t="str">
        <f>IFERROR(__xludf.DUMMYFUNCTION("""COMPUTED_VALUE"""),"- Klan: Çeteler özgürce Klan değiştirebilir. Aynı Klan oyuncuları birbirine saldıramaz, aynı Klanın Çete harabelerine saldırabilir.
- Harita: Klanlar arasındaki bölünme kalktı. Harabe tür, sayı ve ödülleri değiştirildi.
- Büyük Tren Yarışı: Güce bağlı ola"&amp;"rak müttefik ve düşmanlarla eşleştir. Ödül için trene saldır veya onu savun!
- Yeni Savaşçılar: En Üstün Maymunla Rams’i; Çarkıfelekle Dejenere Dave’i al.")</f>
        <v>- Klan: Çeteler özgürce Klan değiştirebilir. Aynı Klan oyuncuları birbirine saldıramaz, aynı Klanın Çete harabelerine saldırabilir.
- Harita: Klanlar arasındaki bölünme kalktı. Harabe tür, sayı ve ödülleri değiştirildi.
- Büyük Tren Yarışı: Güce bağlı olarak müttefik ve düşmanlarla eşleştir. Ödül için trene saldır veya onu savun!
- Yeni Savaşçılar: En Üstün Maymunla Rams’i; Çarkıfelekle Dejenere Dave’i al.</v>
      </c>
      <c r="N41" s="45" t="str">
        <f>IFERROR(__xludf.DUMMYFUNCTION("""COMPUTED_VALUE"""),"- Bộ Lạc: B.Hội có thể tự do đổi B.Lạc. Trong 1 B.Lạc, người chơi không thể tấn công nhau nhưng được tấn công tàn tích của B.Hội.
- Bản Đồ: xóa ranh giới giữa Bộ Lạc. Thay đổi loại, số lượng tàn tích, và thưởng.
- Đường Đua Xe Lửa Lớn: ghép cặp đồng minh "&amp;"và kẻ thù theo C.Lực. T.công hoặc p.thủ xe lửa để nhận thưởng!
- C.Binh mới: Rams qua Chúa Khỉ Tối Cao; Dave-Hạng-D qua Bánh Xe May Mắn.")</f>
        <v>- Bộ Lạc: B.Hội có thể tự do đổi B.Lạc. Trong 1 B.Lạc, người chơi không thể tấn công nhau nhưng được tấn công tàn tích của B.Hội.
- Bản Đồ: xóa ranh giới giữa Bộ Lạc. Thay đổi loại, số lượng tàn tích, và thưởng.
- Đường Đua Xe Lửa Lớn: ghép cặp đồng minh và kẻ thù theo C.Lực. T.công hoặc p.thủ xe lửa để nhận thưởng!
- C.Binh mới: Rams qua Chúa Khỉ Tối Cao; Dave-Hạng-D qua Bánh Xe May Mắn.</v>
      </c>
      <c r="O41" s="45"/>
      <c r="P41" s="34"/>
      <c r="Q41" s="34"/>
      <c r="R41" s="34"/>
      <c r="S41" s="34"/>
      <c r="T41" s="108"/>
      <c r="U41" s="108"/>
      <c r="V41" s="108"/>
      <c r="W41" s="108"/>
      <c r="X41" s="108"/>
      <c r="Y41" s="108"/>
      <c r="Z41" s="108"/>
    </row>
    <row r="42" ht="72.0" customHeight="1">
      <c r="A42" s="149" t="str">
        <f>IFERROR(__xludf.DUMMYFUNCTION("""COMPUTED_VALUE"""),"0.35.5")</f>
        <v>0.35.5</v>
      </c>
      <c r="B42" s="174" t="str">
        <f>IFERROR(__xludf.DUMMYFUNCTION("""COMPUTED_VALUE"""),"&lt;en-US&gt;
- Yuletide Surprise now online: draw prizes using Christmas Stockings for a chance to get the Christmas limited-edition city skin! There's also a chance you'll get a massive amount of Stockings all at once!
- Christmas Jubilee now online: particip"&amp;"ate in the event to earn Christmas Bells and deck out the Christmas Tree, and you'll get a chance to win Christmas limited-edition decorations and tons of great rewards!
&lt;/en-US&gt;
&lt;fr-FR&gt;
- Surprise de Noël disponible: utilisez des chaussettes de Noël pour"&amp;" tirer au sort un skin de ville en édition limitée! Vous aurez aussi la possibilité de gagner des tonnes de chaussettes d’un coup!
- Fête de Noël disponible: participez à l’évènement pour obtenir des cloches de Noël et décorer le sapin. Vous aurez la poss"&amp;"ibilité de gagner des décors de Noël exclusifs et des tas de récompenses géniales!
&lt;/fr-FR&gt;
&lt;de-DE&gt;
- Weihnachtsüberraschung jetzt online: Verlosung von Weihnachtsstrümpfen, um die Chance zu erhalten, den limitierten Weihnachts-Stadt-Skin zu erhalten! Auß"&amp;"erdem besteht die Chance, dass du eine riesige Menge an Strümpfen auf einmal erhältst!
- Weihnachtsfreude jetzt online: Nimm an dem Event teil, um dir Weihnachtsglocken zu verdienen und den Weihnachtsbaum zu schmücken, und du erhältst die Chance, limitier"&amp;"te Weihnachtsdekorationen und jede Menge tolle Belohnungen zu erhalten!
&lt;/de-DE&gt;
&lt;pt-BR&gt;
- Surpresa de Natal disponível agora: sorteie prêmios com as Meias de Natal e tenha uma chance de obter uma skin de cidade exclusiva de Natal! Há também uma chance de"&amp;" obter uma quantidade massiva de meias de uma vez!
- O Jubileu de Natal chegou: participe no evento para ganhar Sinos de Natal e decore a Árvore de Natal para ganhar uma chance de obter as decorações de tempo limitado e muitas recompensas!
&lt;/pt-BR&gt;
&lt;zh-HK"&amp;"&gt;
-驚喜聖誕夜上線：消耗聖誕襪進行抽獎，有機會獲得聖誕限定基地皮膚！更有機會一次性獲得巨額聖誕襪！
-聖誕晚會上線：積極參與活動獲得聖誕鈴，裝飾聖誕樹，有機會獲得聖誕節限定裝飾及超多好禮！
&lt;/zh-HK&gt;
&lt;id&gt;
- Kejutan Yuletide sekarang online: undi hadiah menggunakan Stoking Natal untuk kesempatan mendapatkan skin kota edisi terbatas Natal! Ada juga k"&amp;"esempatan mendapatkan Stoking dalam jumlah besar sekaligus!
- Yubileum Natal sekarang online: berpartisipasi dalam acara untuk mendapatkan Lonceng Natal dan menghias Pohon Natal, dan kamu akan mendapatkan kesempatan memenangkan dekorasi Natal edisi terbat"&amp;"as dan banyak hadiah menarik!
&lt;/id&gt;
&lt;th&gt;
- เซอร์ไพรส์แห่งเทศกาลคริสต์มาสออนไลน์แล้ว: ใช้ถุงเท้าคริสต์มาสจับรางวัลแล้วลุ้นรับสกินเมืองรุ่นคริสต์มาสจำนวนจำกัด! ลุคุณยังมีโอกาสได้รับถุงเท้าจำนวนมากในคราวเดียวอีกด้วย!
- งานฉลองครบรอบคริสต์มาสออนไลน์แล้ว: เข้า"&amp;"ร่วมกิจกรรมเพื่อรับระฆังคริสต์มาสสำหรับนำไปประดับต้นคริสต์มาส และคุณยังมีโอกาสได้รับรางวัลอุปกรณ์ตกแต่งวันคริสต์มาสรุ่นจำนวนจำกัดและของรางวัลอีกมากมาย!
&lt;/th&gt;
&lt;es-419&gt;
- Sorpresa Navideña ahora en línea: ¡obtén premios con las Medias Navideñas para tener l"&amp;"a oportunidad de obtener el aspecto de la ciudad de Navidad de edición limitada! ¡También existe la posibilidad de que obtengas una gran cantidad de Medias todas juntas de una sola vez!
- Jubileo de Navidad ahora en línea: Participa en el evento para gana"&amp;"r Campanas de Navidad y decorar el Árbol de Navidad, ¡y tendrás la oportunidad de ganar decoraciones navideñas de edición limitada y montones de fantásticas recompensas!
&lt;/es-419&gt;
&lt;ru-RU&gt;
- Началось событие «Новогодний сюрприз»: выигрывайте призы, использ"&amp;"уя рождественские носки, и у вас будет шанс заполучить коллекционный рождественский облик для города или огромное количество рождественских носков!
- Началось событие «Рождественская вечеринка»: участвуйте в событии, чтобы заработать рождественские колоко"&amp;"льчики и украсить елку, и у вас будет шанс выиграть коллекционные рождественские украшения и множество отличных наград! 
&lt;/ru-RU&gt;
&lt;tr-TR&gt;
- Noel Zamanı Sürprizi artık çevrim içi: sınırlı sayıdaki Yılbaşı şehir görünümünü elde etme şansı için Yılbaşı Çorap"&amp;"larını kullanarak ödüller kazan! Aynı anda büyük miktarda Çorap elde etme şansın da var!
- Yılbaşı Sevinci artık çevrim içi: Yılbaşı Çanları kazanmak ve Yılbaşı Ağacını süslemek için etkinliğe katıl ve sınırlı sayıda Yılbaşı süsü ve tonlarca harika ödül k"&amp;"azanma şansını yakala!
&lt;/tr-TR&gt;
&lt;vi&gt;
- Hiện đã có Bất Ngờ Yuletide trực tuyến: rút thăm trúng thưởng bằng Vớ Giáng Sinh để có cơ hội nhận ngoại trang thành phố Giáng Sinh phiên bản giới hạn! Ngoài ra, còn có cơ hội nhận được một số lượng lớn Vớ cùng lúc!
"&amp;"- Hiện đã có Năm Thánh Giáng Sinh trực tuyến: tham gia sự kiện để kiếm Chuông Giáng Sinh và đồ trang trí Cây thông Noel, bạn cũng sẽ có cơ hội nhận được các món đồ trang trí Giáng Sinh phiên bản giới hạn cùng hàng tấn phần thưởng hấp dẫn khác!
&lt;/vi&gt;
")</f>
        <v>&lt;en-US&gt;
- Yuletide Surprise now online: draw prizes using Christmas Stockings for a chance to get the Christmas limited-edition city skin! There's also a chance you'll get a massive amount of Stockings all at once!
- Christmas Jubilee now online: participate in the event to earn Christmas Bells and deck out the Christmas Tree, and you'll get a chance to win Christmas limited-edition decorations and tons of great rewards!
&lt;/en-US&gt;
&lt;fr-FR&gt;
- Surprise de Noël disponible: utilisez des chaussettes de Noël pour tirer au sort un skin de ville en édition limitée! Vous aurez aussi la possibilité de gagner des tonnes de chaussettes d’un coup!
- Fête de Noël disponible: participez à l’évènement pour obtenir des cloches de Noël et décorer le sapin. Vous aurez la possibilité de gagner des décors de Noël exclusifs et des tas de récompenses géniales!
&lt;/fr-FR&gt;
&lt;de-DE&gt;
- Weihnachtsüberraschung jetzt online: Verlosung von Weihnachtsstrümpfen, um die Chance zu erhalten, den limitierten Weihnachts-Stadt-Skin zu erhalten! Außerdem besteht die Chance, dass du eine riesige Menge an Strümpfen auf einmal erhältst!
- Weihnachtsfreude jetzt online: Nimm an dem Event teil, um dir Weihnachtsglocken zu verdienen und den Weihnachtsbaum zu schmücken, und du erhältst die Chance, limitierte Weihnachtsdekorationen und jede Menge tolle Belohnungen zu erhalten!
&lt;/de-DE&gt;
&lt;pt-BR&gt;
- Surpresa de Natal disponível agora: sorteie prêmios com as Meias de Natal e tenha uma chance de obter uma skin de cidade exclusiva de Natal! Há também uma chance de obter uma quantidade massiva de meias de uma vez!
- O Jubileu de Natal chegou: participe no evento para ganhar Sinos de Natal e decore a Árvore de Natal para ganhar uma chance de obter as decorações de tempo limitado e muitas recompensas!
&lt;/pt-BR&gt;
&lt;zh-HK&gt;
-驚喜聖誕夜上線：消耗聖誕襪進行抽獎，有機會獲得聖誕限定基地皮膚！更有機會一次性獲得巨額聖誕襪！
-聖誕晚會上線：積極參與活動獲得聖誕鈴，裝飾聖誕樹，有機會獲得聖誕節限定裝飾及超多好禮！
&lt;/zh-HK&gt;
&lt;id&gt;
- Kejutan Yuletide sekarang online: undi hadiah menggunakan Stoking Natal untuk kesempatan mendapatkan skin kota edisi terbatas Natal! Ada juga kesempatan mendapatkan Stoking dalam jumlah besar sekaligus!
- Yubileum Natal sekarang online: berpartisipasi dalam acara untuk mendapatkan Lonceng Natal dan menghias Pohon Natal, dan kamu akan mendapatkan kesempatan memenangkan dekorasi Natal edisi terbatas dan banyak hadiah menarik!
&lt;/id&gt;
&lt;th&gt;
- เซอร์ไพรส์แห่งเทศกาลคริสต์มาสออนไลน์แล้ว: ใช้ถุงเท้าคริสต์มาสจับรางวัลแล้วลุ้นรับสกินเมืองรุ่นคริสต์มาสจำนวนจำกัด! ลุคุณยังมีโอกาสได้รับถุงเท้าจำนวนมากในคราวเดียวอีกด้วย!
- งานฉลองครบรอบคริสต์มาสออนไลน์แล้ว: เข้าร่วมกิจกรรมเพื่อรับระฆังคริสต์มาสสำหรับนำไปประดับต้นคริสต์มาส และคุณยังมีโอกาสได้รับรางวัลอุปกรณ์ตกแต่งวันคริสต์มาสรุ่นจำนวนจำกัดและของรางวัลอีกมากมาย!
&lt;/th&gt;
&lt;es-419&gt;
- Sorpresa Navideña ahora en línea: ¡obtén premios con las Medias Navideñas para tener la oportunidad de obtener el aspecto de la ciudad de Navidad de edición limitada! ¡También existe la posibilidad de que obtengas una gran cantidad de Medias todas juntas de una sola vez!
- Jubileo de Navidad ahora en línea: Participa en el evento para ganar Campanas de Navidad y decorar el Árbol de Navidad, ¡y tendrás la oportunidad de ganar decoraciones navideñas de edición limitada y montones de fantásticas recompensas!
&lt;/es-419&gt;
&lt;ru-RU&gt;
- Началось событие «Новогодний сюрприз»: выигрывайте призы, используя рождественские носки, и у вас будет шанс заполучить коллекционный рождественский облик для города или огромное количество рождественских носков!
- Началось событие «Рождественская вечеринка»: участвуйте в событии, чтобы заработать рождественские колокольчики и украсить елку, и у вас будет шанс выиграть коллекционные рождественские украшения и множество отличных наград! 
&lt;/ru-RU&gt;
&lt;tr-TR&gt;
- Noel Zamanı Sürprizi artık çevrim içi: sınırlı sayıdaki Yılbaşı şehir görünümünü elde etme şansı için Yılbaşı Çoraplarını kullanarak ödüller kazan! Aynı anda büyük miktarda Çorap elde etme şansın da var!
- Yılbaşı Sevinci artık çevrim içi: Yılbaşı Çanları kazanmak ve Yılbaşı Ağacını süslemek için etkinliğe katıl ve sınırlı sayıda Yılbaşı süsü ve tonlarca harika ödül kazanma şansını yakala!
&lt;/tr-TR&gt;
&lt;vi&gt;
- Hiện đã có Bất Ngờ Yuletide trực tuyến: rút thăm trúng thưởng bằng Vớ Giáng Sinh để có cơ hội nhận ngoại trang thành phố Giáng Sinh phiên bản giới hạn! Ngoài ra, còn có cơ hội nhận được một số lượng lớn Vớ cùng lúc!
- Hiện đã có Năm Thánh Giáng Sinh trực tuyến: tham gia sự kiện để kiếm Chuông Giáng Sinh và đồ trang trí Cây thông Noel, bạn cũng sẽ có cơ hội nhận được các món đồ trang trí Giáng Sinh phiên bản giới hạn cùng hàng tấn phần thưởng hấp dẫn khác!
&lt;/vi&gt;
</v>
      </c>
      <c r="C42" s="44" t="str">
        <f>IFERROR(__xludf.DUMMYFUNCTION("""COMPUTED_VALUE"""),"-惊喜圣诞夜上线：消耗圣诞袜进行抽奖，有机会获得圣诞限定基地皮肤！更有机会一次性获得巨额圣诞袜！
-圣诞晚会上线：积极参与活动获得圣诞铃，装饰圣诞树，有机会获得圣诞节限定装饰及超多好礼！")</f>
        <v>-惊喜圣诞夜上线：消耗圣诞袜进行抽奖，有机会获得圣诞限定基地皮肤！更有机会一次性获得巨额圣诞袜！
-圣诞晚会上线：积极参与活动获得圣诞铃，装饰圣诞树，有机会获得圣诞节限定装饰及超多好礼！</v>
      </c>
      <c r="D42" s="159" t="str">
        <f>IFERROR(__xludf.DUMMYFUNCTION("""COMPUTED_VALUE"""),"- Yuletide Surprise now online: draw prizes using Christmas Stockings for a chance to get the Christmas limited-edition city skin! There's also a chance you'll get a massive amount of Stockings all at once!
- Christmas Jubilee now online: participate in t"&amp;"he event to earn Christmas Bells and deck out the Christmas Tree, and you'll get a chance to win Christmas limited-edition decorations and tons of great rewards!")</f>
        <v>- Yuletide Surprise now online: draw prizes using Christmas Stockings for a chance to get the Christmas limited-edition city skin! There's also a chance you'll get a massive amount of Stockings all at once!
- Christmas Jubilee now online: participate in the event to earn Christmas Bells and deck out the Christmas Tree, and you'll get a chance to win Christmas limited-edition decorations and tons of great rewards!</v>
      </c>
      <c r="E42" s="159" t="str">
        <f>IFERROR(__xludf.DUMMYFUNCTION("""COMPUTED_VALUE"""),"- Surprise de Noël disponible: utilisez des chaussettes de Noël pour tirer au sort un skin de ville en édition limitée! Vous aurez aussi la possibilité de gagner des tonnes de chaussettes d’un coup!
- Fête de Noël disponible: participez à l’évènement pour"&amp;" obtenir des cloches de Noël et décorer le sapin. Vous aurez la possibilité de gagner des décors de Noël exclusifs et des tas de récompenses géniales!")</f>
        <v>- Surprise de Noël disponible: utilisez des chaussettes de Noël pour tirer au sort un skin de ville en édition limitée! Vous aurez aussi la possibilité de gagner des tonnes de chaussettes d’un coup!
- Fête de Noël disponible: participez à l’évènement pour obtenir des cloches de Noël et décorer le sapin. Vous aurez la possibilité de gagner des décors de Noël exclusifs et des tas de récompenses géniales!</v>
      </c>
      <c r="F42" s="159" t="str">
        <f>IFERROR(__xludf.DUMMYFUNCTION("""COMPUTED_VALUE"""),"- Weihnachtsüberraschung jetzt online: Verlosung von Weihnachtsstrümpfen, um die Chance zu erhalten, den limitierten Weihnachts-Stadt-Skin zu erhalten! Außerdem besteht die Chance, dass du eine riesige Menge an Strümpfen auf einmal erhältst!
- Weihnachtsf"&amp;"reude jetzt online: Nimm an dem Event teil, um dir Weihnachtsglocken zu verdienen und den Weihnachtsbaum zu schmücken, und du erhältst die Chance, limitierte Weihnachtsdekorationen und jede Menge tolle Belohnungen zu erhalten!")</f>
        <v>- Weihnachtsüberraschung jetzt online: Verlosung von Weihnachtsstrümpfen, um die Chance zu erhalten, den limitierten Weihnachts-Stadt-Skin zu erhalten! Außerdem besteht die Chance, dass du eine riesige Menge an Strümpfen auf einmal erhältst!
- Weihnachtsfreude jetzt online: Nimm an dem Event teil, um dir Weihnachtsglocken zu verdienen und den Weihnachtsbaum zu schmücken, und du erhältst die Chance, limitierte Weihnachtsdekorationen und jede Menge tolle Belohnungen zu erhalten!</v>
      </c>
      <c r="G42" s="159" t="str">
        <f>IFERROR(__xludf.DUMMYFUNCTION("""COMPUTED_VALUE"""),"- Surpresa de Natal disponível agora: sorteie prêmios com as Meias de Natal e tenha uma chance de obter uma skin de cidade exclusiva de Natal! Há também uma chance de obter uma quantidade massiva de meias de uma vez!
- O Jubileu de Natal chegou: participe"&amp;" no evento para ganhar Sinos de Natal e decore a Árvore de Natal para ganhar uma chance de obter as decorações de tempo limitado e muitas recompensas!")</f>
        <v>- Surpresa de Natal disponível agora: sorteie prêmios com as Meias de Natal e tenha uma chance de obter uma skin de cidade exclusiva de Natal! Há também uma chance de obter uma quantidade massiva de meias de uma vez!
- O Jubileu de Natal chegou: participe no evento para ganhar Sinos de Natal e decore a Árvore de Natal para ganhar uma chance de obter as decorações de tempo limitado e muitas recompensas!</v>
      </c>
      <c r="H42" s="159" t="str">
        <f>IFERROR(__xludf.DUMMYFUNCTION("""COMPUTED_VALUE"""),"-驚喜聖誕夜上線：消耗聖誕襪進行抽獎，有機會獲得聖誕限定基地皮膚！更有機會一次性獲得巨額聖誕襪！
-聖誕晚會上線：積極參與活動獲得聖誕鈴，裝飾聖誕樹，有機會獲得聖誕節限定裝飾及超多好禮！")</f>
        <v>-驚喜聖誕夜上線：消耗聖誕襪進行抽獎，有機會獲得聖誕限定基地皮膚！更有機會一次性獲得巨額聖誕襪！
-聖誕晚會上線：積極參與活動獲得聖誕鈴，裝飾聖誕樹，有機會獲得聖誕節限定裝飾及超多好禮！</v>
      </c>
      <c r="I42" s="159" t="str">
        <f>IFERROR(__xludf.DUMMYFUNCTION("""COMPUTED_VALUE"""),"- Kejutan Yuletide sekarang online: undi hadiah menggunakan Stoking Natal untuk kesempatan mendapatkan skin kota edisi terbatas Natal! Ada juga kesempatan mendapatkan Stoking dalam jumlah besar sekaligus!
- Yubileum Natal sekarang online: berpartisipasi d"&amp;"alam acara untuk mendapatkan Lonceng Natal dan menghias Pohon Natal, dan kamu akan mendapatkan kesempatan memenangkan dekorasi Natal edisi terbatas dan banyak hadiah menarik!")</f>
        <v>- Kejutan Yuletide sekarang online: undi hadiah menggunakan Stoking Natal untuk kesempatan mendapatkan skin kota edisi terbatas Natal! Ada juga kesempatan mendapatkan Stoking dalam jumlah besar sekaligus!
- Yubileum Natal sekarang online: berpartisipasi dalam acara untuk mendapatkan Lonceng Natal dan menghias Pohon Natal, dan kamu akan mendapatkan kesempatan memenangkan dekorasi Natal edisi terbatas dan banyak hadiah menarik!</v>
      </c>
      <c r="J42" s="159" t="str">
        <f>IFERROR(__xludf.DUMMYFUNCTION("""COMPUTED_VALUE"""),"- เซอร์ไพรส์แห่งเทศกาลคริสต์มาสออนไลน์แล้ว: ใช้ถุงเท้าคริสต์มาสจับรางวัลแล้วลุ้นรับสกินเมืองรุ่นคริสต์มาสจำนวนจำกัด! ลุคุณยังมีโอกาสได้รับถุงเท้าจำนวนมากในคราวเดียวอีกด้วย!
- งานฉลองครบรอบคริสต์มาสออนไลน์แล้ว: เข้าร่วมกิจกรรมเพื่อรับระฆังคริสต์มาสสำหรับนำ"&amp;"ไปประดับต้นคริสต์มาส และคุณยังมีโอกาสได้รับรางวัลอุปกรณ์ตกแต่งวันคริสต์มาสรุ่นจำนวนจำกัดและของรางวัลอีกมากมาย!")</f>
        <v>- เซอร์ไพรส์แห่งเทศกาลคริสต์มาสออนไลน์แล้ว: ใช้ถุงเท้าคริสต์มาสจับรางวัลแล้วลุ้นรับสกินเมืองรุ่นคริสต์มาสจำนวนจำกัด! ลุคุณยังมีโอกาสได้รับถุงเท้าจำนวนมากในคราวเดียวอีกด้วย!
- งานฉลองครบรอบคริสต์มาสออนไลน์แล้ว: เข้าร่วมกิจกรรมเพื่อรับระฆังคริสต์มาสสำหรับนำไปประดับต้นคริสต์มาส และคุณยังมีโอกาสได้รับรางวัลอุปกรณ์ตกแต่งวันคริสต์มาสรุ่นจำนวนจำกัดและของรางวัลอีกมากมาย!</v>
      </c>
      <c r="K42" s="159" t="str">
        <f>IFERROR(__xludf.DUMMYFUNCTION("""COMPUTED_VALUE"""),"- Sorpresa Navideña ahora en línea: ¡obtén premios con las Medias Navideñas para tener la oportunidad de obtener el aspecto de la ciudad de Navidad de edición limitada! ¡También existe la posibilidad de que obtengas una gran cantidad de Medias todas junta"&amp;"s de una sola vez!
- Jubileo de Navidad ahora en línea: Participa en el evento para ganar Campanas de Navidad y decorar el Árbol de Navidad, ¡y tendrás la oportunidad de ganar decoraciones navideñas de edición limitada y montones de fantásticas recompensa"&amp;"s!")</f>
        <v>- Sorpresa Navideña ahora en línea: ¡obtén premios con las Medias Navideñas para tener la oportunidad de obtener el aspecto de la ciudad de Navidad de edición limitada! ¡También existe la posibilidad de que obtengas una gran cantidad de Medias todas juntas de una sola vez!
- Jubileo de Navidad ahora en línea: Participa en el evento para ganar Campanas de Navidad y decorar el Árbol de Navidad, ¡y tendrás la oportunidad de ganar decoraciones navideñas de edición limitada y montones de fantásticas recompensas!</v>
      </c>
      <c r="L42" s="159" t="str">
        <f>IFERROR(__xludf.DUMMYFUNCTION("""COMPUTED_VALUE"""),"- Началось событие «Новогодний сюрприз»: выигрывайте призы, используя рождественские носки, и у вас будет шанс заполучить коллекционный рождественский облик для города или огромное количество рождественских носков!
- Началось событие «Рождественская вечер"&amp;"инка»: участвуйте в событии, чтобы заработать рождественские колокольчики и украсить елку, и у вас будет шанс выиграть коллекционные рождественские украшения и множество отличных наград! ")</f>
        <v>- Началось событие «Новогодний сюрприз»: выигрывайте призы, используя рождественские носки, и у вас будет шанс заполучить коллекционный рождественский облик для города или огромное количество рождественских носков!
- Началось событие «Рождественская вечеринка»: участвуйте в событии, чтобы заработать рождественские колокольчики и украсить елку, и у вас будет шанс выиграть коллекционные рождественские украшения и множество отличных наград! </v>
      </c>
      <c r="M42" s="159" t="str">
        <f>IFERROR(__xludf.DUMMYFUNCTION("""COMPUTED_VALUE"""),"- Noel Zamanı Sürprizi artık çevrim içi: sınırlı sayıdaki Yılbaşı şehir görünümünü elde etme şansı için Yılbaşı Çoraplarını kullanarak ödüller kazan! Aynı anda büyük miktarda Çorap elde etme şansın da var!
- Yılbaşı Sevinci artık çevrim içi: Yılbaşı Çanla"&amp;"rı kazanmak ve Yılbaşı Ağacını süslemek için etkinliğe katıl ve sınırlı sayıda Yılbaşı süsü ve tonlarca harika ödül kazanma şansını yakala!")</f>
        <v>- Noel Zamanı Sürprizi artık çevrim içi: sınırlı sayıdaki Yılbaşı şehir görünümünü elde etme şansı için Yılbaşı Çoraplarını kullanarak ödüller kazan! Aynı anda büyük miktarda Çorap elde etme şansın da var!
- Yılbaşı Sevinci artık çevrim içi: Yılbaşı Çanları kazanmak ve Yılbaşı Ağacını süslemek için etkinliğe katıl ve sınırlı sayıda Yılbaşı süsü ve tonlarca harika ödül kazanma şansını yakala!</v>
      </c>
      <c r="N42" s="45" t="str">
        <f>IFERROR(__xludf.DUMMYFUNCTION("""COMPUTED_VALUE"""),"- Hiện đã có Bất Ngờ Yuletide trực tuyến: rút thăm trúng thưởng bằng Vớ Giáng Sinh để có cơ hội nhận ngoại trang thành phố Giáng Sinh phiên bản giới hạn! Ngoài ra, còn có cơ hội nhận được một số lượng lớn Vớ cùng lúc!
- Hiện đã có Năm Thánh Giáng Sinh trự"&amp;"c tuyến: tham gia sự kiện để kiếm Chuông Giáng Sinh và đồ trang trí Cây thông Noel, bạn cũng sẽ có cơ hội nhận được các món đồ trang trí Giáng Sinh phiên bản giới hạn cùng hàng tấn phần thưởng hấp dẫn khác!")</f>
        <v>- Hiện đã có Bất Ngờ Yuletide trực tuyến: rút thăm trúng thưởng bằng Vớ Giáng Sinh để có cơ hội nhận ngoại trang thành phố Giáng Sinh phiên bản giới hạn! Ngoài ra, còn có cơ hội nhận được một số lượng lớn Vớ cùng lúc!
- Hiện đã có Năm Thánh Giáng Sinh trực tuyến: tham gia sự kiện để kiếm Chuông Giáng Sinh và đồ trang trí Cây thông Noel, bạn cũng sẽ có cơ hội nhận được các món đồ trang trí Giáng Sinh phiên bản giới hạn cùng hàng tấn phần thưởng hấp dẫn khác!</v>
      </c>
      <c r="O42" s="45"/>
      <c r="P42" s="34"/>
      <c r="Q42" s="34"/>
      <c r="R42" s="34"/>
      <c r="S42" s="34"/>
      <c r="T42" s="108"/>
      <c r="U42" s="108"/>
      <c r="V42" s="108"/>
      <c r="W42" s="108"/>
      <c r="X42" s="108"/>
      <c r="Y42" s="108"/>
      <c r="Z42" s="108"/>
    </row>
    <row r="43" ht="72.0" customHeight="1">
      <c r="A43" s="149" t="str">
        <f>IFERROR(__xludf.DUMMYFUNCTION("""COMPUTED_VALUE"""),"0.36.0")</f>
        <v>0.36.0</v>
      </c>
      <c r="B43" s="174" t="str">
        <f>IFERROR(__xludf.DUMMYFUNCTION("""COMPUTED_VALUE"""),"&lt;en-US&gt;
- Early game experience adjusted: new gameplay - gather resources in the city, clear mutant lairs, rescue ape troops.
- New Parade Ground: building determines your march capacity &amp; number of queues.
- New packs: Discount Offers with different cont"&amp;"ent daily! Special offer, limited time only.
-Optimizations: Dr. Hogg's Revenge, beginner-exclusive packs, help &amp; rally functions optimized.
&lt;/en-US&gt;
&lt;fr-FR&gt;
- Nouveautés en début de jeu: collectez des ressources en ville, attaquez des repaires de mutants"&amp;" et sauvez des troupes
- Nouvelle place d'armes: détermine la capacité et le nombre des bataillons
- Packs à prix réduit avec du contenu changeant tous les jours; offres limitées
- Optimisations: Revanche du Dr Hogg, packs réservés aux débutants, fonction"&amp;"s d'aide et de raid
&lt;/fr-FR&gt;
&lt;de-DE&gt;
- Frühe Spielerfahrung wurde überarbeitet: neues Gameplay - sammle Ressourcen in der Stadt, säubere Mutantenverstecke, rette Affentruppen.
- Neuer Truppenübungsplatz: Das Gebäude bestimmt die Marschkapazität und die A"&amp;"nzahl der Warteschlangen.
- Neue Pakete: Rabattangebote mit täglich wechselnden Inhalten! Sonderangebot, nur für begrenzte Zeit.
- Optimierungen: Dr. Hoggs Rache, einsteigerexklusive Pakete, Hilfe- &amp; Sammelangriffsfunktionen wurden optimiert.
&lt;/de-DE&gt;
&lt;pt"&amp;"-BR&gt;
- Ajustes no começo do jogo: novo modo de jogo, colete recursos na cidade, elimine tocas mutantes e resgate as tropas dos macacos.
- Nova Praça de Armas: a estrutura determina sua capacidade de marcha e número de filas.
- Novos pacotes: ofertas de de"&amp;"scontos com diferentes conteúdos diariamente! Oferta especial de tempo limitado.
- Melhorias: Vingança de Dr. Hogg, pacotes exclusivos de iniciante, melhoria das funções de incursão e ajuda.
&lt;/pt-BR&gt;
&lt;zh-HK&gt;
-前期體驗調整：全新前期玩法，玩家可以在城內採集資源，清理變異猴巢穴，拯救被圍困的猿族士兵。
"&amp;"-新增閱兵場：閱兵場將會決定玩家行軍隊列數量及行軍容量。
-新增禮包：折扣特惠。每天禮包內容不同！超值特惠限時購！
-優化內容：優化了霍格博士的複仇、新人專享禮包、幫助和集結功能。 
&lt;/zh-HK&gt;
&lt;id&gt;
- Penyesuaian pengalaman game awal: gameplay baru - kumpulkan sumber daya di kota, bersihkan sarang mutan, dan selamatkan pasukan kera.
- Tempat Para"&amp;"de Baru: bangunan menentukan kapasitas berbaris &amp; jumlah antreanmu.
- Paket baru: Penawaran Diskon dengan konten berbeda setiap hari! Penawaran khusus, hanya untuk waktu terbatas.
- Pengoptimalan: Pembalasan Dr. Hogg, paket eksklusif pemula, fungsi bantua"&amp;"n &amp; reli dioptimalkan.
&lt;/id&gt;
&lt;th&gt;
- ปรับประสบการณ์ช่วงต้นเกม: รูปแบบการเล่นใหม่ - การรวบรวมทรัพยากรในเมือง เคลียร์รังมิวแตนต์ ช่วยเหลือกองทหารลิงที่ถูกล้อม
- ลานเดินทัพใหม่: สิ่งปลูกสร้างจะเป็นตัวกำหนดความสามารถในการเดินทัพและจำนวนขบวนของคุณ
- แพ็กใหม่: ข"&amp;"้อเสนอส่วนลดพร้อมไอเทมที่แตกต่างกันไปทุกวัน! ข้อเสนอพิเศษมีเวลาจำกัด
- การปรับปรุง: การแก้แค้นของ ดร.ฮ็อกก์, แพ็กพิเศษสำหรับผู้เริ่มต้น, การปรับปรุงความช่วยเหลือและฟังก์ชันการยกทัพ
&lt;/th&gt;
&lt;es-419&gt;
- Experiencia inicial del juego ajustada: Nueva jugabilidad"&amp;": colecta recursos en la ciudad, elimina guaridas mutantes, rescata tropas de simios.
- Nueva Plaza de Armas: El edificio determina la capacidad de marcha y el número de filas.
- Nuevos paquetes: ¡Ofertas de descuento con contenido diferente a diario! Ofe"&amp;"rta especial, solo por tiempo limitado.
-Optimizaciones: Venganza del Dr. Hogg, paquetes exclusivos para principiantes, funciones de ayuda y congregación optimizadas.
&lt;/es-419&gt;
&lt;ru-RU&gt;
- Корректировка начала игры: совершенно новый игровой процесс — собира"&amp;"йте ресурсы в городе, зачищайте логова мутантов, спасайте обезьяньи войска.
- Новый парадный плац: эта постройка определяет максимальную численность марша и количество очередей.
- Новые наборы: каждый день новые предложения со скидкой! Особое предложение,"&amp;" доступное в течение ограниченного времени.
- Оптимизации: «Месть доктора Хогга», эксклюзивные наборы для новичков, оптимизированы функции помощи и походов.
&lt;/ru-RU&gt;
&lt;tr-TR&gt;
- Oyunun başlarındaki deneyim düzenlendi: yeni oynanış; şehirde kaynak topla, mut"&amp;"ant inlerini temizle, maymun birliklerini kurtar.
- Yeni Geçit Töreni Yeri: bu bina sefer kapasiteni ve sıraların sayısını belirler.
- Yeni paketler: Her gün farklı içeriklerle İndirim Teklifleri! Özel teklif, yalnızca sınırlı bir süre için.
- Optimizasyo"&amp;"nlar: Dr. Hogg’un İntikamı, yeni başlayanlara özel paketler, yardım ve toplu saldırı işlevleri optimize edildi.
&lt;/tr-TR&gt;
&lt;vi&gt;
- Điều chỉnh trải nghiệm đầu game: lối chơi mới - thu thập tài nguyên trong thành phố, dọn dẹp hang ổ đột biến, giải cứu binh lín"&amp;"h vượn.
- Sân Diễu Hành mới: các công trình quyết định sức chứa hành quân và số lượng hàng chờ của bạn.
- Gói mới: Ưu Đãi Giảm Giá với nội dung khác nhau mỗi ngày! Ưu đãi đặc biệt, thời gian giới hạn.
- Tối ưu hóa: Đã tối ưu các tính năng Trận Phục Thù củ"&amp;"a Tiến Sĩ Hogg, gói độc quyền tân thủ, hỗ trợ và tập hợp.
&lt;/vi&gt;
")</f>
        <v>&lt;en-US&gt;
- Early game experience adjusted: new gameplay - gather resources in the city, clear mutant lairs, rescue ape troops.
- New Parade Ground: building determines your march capacity &amp; number of queues.
- New packs: Discount Offers with different content daily! Special offer, limited time only.
-Optimizations: Dr. Hogg's Revenge, beginner-exclusive packs, help &amp; rally functions optimized.
&lt;/en-US&gt;
&lt;fr-FR&gt;
- Nouveautés en début de jeu: collectez des ressources en ville, attaquez des repaires de mutants et sauvez des troupes
- Nouvelle place d'armes: détermine la capacité et le nombre des bataillons
- Packs à prix réduit avec du contenu changeant tous les jours; offres limitées
- Optimisations: Revanche du Dr Hogg, packs réservés aux débutants, fonctions d'aide et de raid
&lt;/fr-FR&gt;
&lt;de-DE&gt;
- Frühe Spielerfahrung wurde überarbeitet: neues Gameplay - sammle Ressourcen in der Stadt, säubere Mutantenverstecke, rette Affentruppen.
- Neuer Truppenübungsplatz: Das Gebäude bestimmt die Marschkapazität und die Anzahl der Warteschlangen.
- Neue Pakete: Rabattangebote mit täglich wechselnden Inhalten! Sonderangebot, nur für begrenzte Zeit.
- Optimierungen: Dr. Hoggs Rache, einsteigerexklusive Pakete, Hilfe- &amp; Sammelangriffsfunktionen wurden optimiert.
&lt;/de-DE&gt;
&lt;pt-BR&gt;
- Ajustes no começo do jogo: novo modo de jogo, colete recursos na cidade, elimine tocas mutantes e resgate as tropas dos macacos.
- Nova Praça de Armas: a estrutura determina sua capacidade de marcha e número de filas.
- Novos pacotes: ofertas de descontos com diferentes conteúdos diariamente! Oferta especial de tempo limitado.
- Melhorias: Vingança de Dr. Hogg, pacotes exclusivos de iniciante, melhoria das funções de incursão e ajuda.
&lt;/pt-BR&gt;
&lt;zh-HK&gt;
-前期體驗調整：全新前期玩法，玩家可以在城內採集資源，清理變異猴巢穴，拯救被圍困的猿族士兵。
-新增閱兵場：閱兵場將會決定玩家行軍隊列數量及行軍容量。
-新增禮包：折扣特惠。每天禮包內容不同！超值特惠限時購！
-優化內容：優化了霍格博士的複仇、新人專享禮包、幫助和集結功能。 
&lt;/zh-HK&gt;
&lt;id&gt;
- Penyesuaian pengalaman game awal: gameplay baru - kumpulkan sumber daya di kota, bersihkan sarang mutan, dan selamatkan pasukan kera.
- Tempat Parade Baru: bangunan menentukan kapasitas berbaris &amp; jumlah antreanmu.
- Paket baru: Penawaran Diskon dengan konten berbeda setiap hari! Penawaran khusus, hanya untuk waktu terbatas.
- Pengoptimalan: Pembalasan Dr. Hogg, paket eksklusif pemula, fungsi bantuan &amp; reli dioptimalkan.
&lt;/id&gt;
&lt;th&gt;
- ปรับประสบการณ์ช่วงต้นเกม: รูปแบบการเล่นใหม่ - การรวบรวมทรัพยากรในเมือง เคลียร์รังมิวแตนต์ ช่วยเหลือกองทหารลิงที่ถูกล้อม
- ลานเดินทัพใหม่: สิ่งปลูกสร้างจะเป็นตัวกำหนดความสามารถในการเดินทัพและจำนวนขบวนของคุณ
- แพ็กใหม่: ข้อเสนอส่วนลดพร้อมไอเทมที่แตกต่างกันไปทุกวัน! ข้อเสนอพิเศษมีเวลาจำกัด
- การปรับปรุง: การแก้แค้นของ ดร.ฮ็อกก์, แพ็กพิเศษสำหรับผู้เริ่มต้น, การปรับปรุงความช่วยเหลือและฟังก์ชันการยกทัพ
&lt;/th&gt;
&lt;es-419&gt;
- Experiencia inicial del juego ajustada: Nueva jugabilidad: colecta recursos en la ciudad, elimina guaridas mutantes, rescata tropas de simios.
- Nueva Plaza de Armas: El edificio determina la capacidad de marcha y el número de filas.
- Nuevos paquetes: ¡Ofertas de descuento con contenido diferente a diario! Oferta especial, solo por tiempo limitado.
-Optimizaciones: Venganza del Dr. Hogg, paquetes exclusivos para principiantes, funciones de ayuda y congregación optimizadas.
&lt;/es-419&gt;
&lt;ru-RU&gt;
- Корректировка начала игры: совершенно новый игровой процесс — собирайте ресурсы в городе, зачищайте логова мутантов, спасайте обезьяньи войска.
- Новый парадный плац: эта постройка определяет максимальную численность марша и количество очередей.
- Новые наборы: каждый день новые предложения со скидкой! Особое предложение, доступное в течение ограниченного времени.
- Оптимизации: «Месть доктора Хогга», эксклюзивные наборы для новичков, оптимизированы функции помощи и походов.
&lt;/ru-RU&gt;
&lt;tr-TR&gt;
- Oyunun başlarındaki deneyim düzenlendi: yeni oynanış; şehirde kaynak topla, mutant inlerini temizle, maymun birliklerini kurtar.
- Yeni Geçit Töreni Yeri: bu bina sefer kapasiteni ve sıraların sayısını belirler.
- Yeni paketler: Her gün farklı içeriklerle İndirim Teklifleri! Özel teklif, yalnızca sınırlı bir süre için.
- Optimizasyonlar: Dr. Hogg’un İntikamı, yeni başlayanlara özel paketler, yardım ve toplu saldırı işlevleri optimize edildi.
&lt;/tr-TR&gt;
&lt;vi&gt;
- Điều chỉnh trải nghiệm đầu game: lối chơi mới - thu thập tài nguyên trong thành phố, dọn dẹp hang ổ đột biến, giải cứu binh lính vượn.
- Sân Diễu Hành mới: các công trình quyết định sức chứa hành quân và số lượng hàng chờ của bạn.
- Gói mới: Ưu Đãi Giảm Giá với nội dung khác nhau mỗi ngày! Ưu đãi đặc biệt, thời gian giới hạn.
- Tối ưu hóa: Đã tối ưu các tính năng Trận Phục Thù của Tiến Sĩ Hogg, gói độc quyền tân thủ, hỗ trợ và tập hợp.
&lt;/vi&gt;
</v>
      </c>
      <c r="C43" s="156" t="str">
        <f>IFERROR(__xludf.DUMMYFUNCTION("""COMPUTED_VALUE"""),"-前期体验调整：全新前期玩法，玩家可以在城内采集资源，清理变异猴巢穴，拯救被围困的猿族士兵。
-新增阅兵场：阅兵场将会决定玩家行军队列数量及行军容量。
-新增活动：惊喜圣诞夜、圣诞晚会。积极参加活动，获得限定基地皮肤和装饰！
-新增礼包：折扣特惠。每天礼包内容不同！超值特惠限时购！
-优化内容：优化了霍格博士的复仇、新人专享礼包、帮助和集结功能。")</f>
        <v>-前期体验调整：全新前期玩法，玩家可以在城内采集资源，清理变异猴巢穴，拯救被围困的猿族士兵。
-新增阅兵场：阅兵场将会决定玩家行军队列数量及行军容量。
-新增活动：惊喜圣诞夜、圣诞晚会。积极参加活动，获得限定基地皮肤和装饰！
-新增礼包：折扣特惠。每天礼包内容不同！超值特惠限时购！
-优化内容：优化了霍格博士的复仇、新人专享礼包、帮助和集结功能。</v>
      </c>
      <c r="D43" s="160" t="str">
        <f>IFERROR(__xludf.DUMMYFUNCTION("""COMPUTED_VALUE"""),"- Early game experience adjusted: new gameplay - gather resources in the city, clear mutant lairs, rescue ape troops.
- New Parade Ground: building determines your march capacity &amp; number of queues.
- New packs: Discount Offers with different content dail"&amp;"y! Special offer, limited time only.
-Optimizations: Dr. Hogg's Revenge, beginner-exclusive packs, help &amp; rally functions optimized.")</f>
        <v>- Early game experience adjusted: new gameplay - gather resources in the city, clear mutant lairs, rescue ape troops.
- New Parade Ground: building determines your march capacity &amp; number of queues.
- New packs: Discount Offers with different content daily! Special offer, limited time only.
-Optimizations: Dr. Hogg's Revenge, beginner-exclusive packs, help &amp; rally functions optimized.</v>
      </c>
      <c r="E43" s="176" t="str">
        <f>IFERROR(__xludf.DUMMYFUNCTION("""COMPUTED_VALUE"""),"- Nouveautés en début de jeu: collectez des ressources en ville, attaquez des repaires de mutants et sauvez des troupes
- Nouvelle place d'armes: détermine la capacité et le nombre des bataillons
- Packs à prix réduit avec du contenu changeant tous les jo"&amp;"urs; offres limitées
- Optimisations: Revanche du Dr Hogg, packs réservés aux débutants, fonctions d'aide et de raid
")</f>
        <v>- Nouveautés en début de jeu: collectez des ressources en ville, attaquez des repaires de mutants et sauvez des troupes
- Nouvelle place d'armes: détermine la capacité et le nombre des bataillons
- Packs à prix réduit avec du contenu changeant tous les jours; offres limitées
- Optimisations: Revanche du Dr Hogg, packs réservés aux débutants, fonctions d'aide et de raid
</v>
      </c>
      <c r="F43" s="176" t="str">
        <f>IFERROR(__xludf.DUMMYFUNCTION("""COMPUTED_VALUE"""),"- Frühe Spielerfahrung wurde überarbeitet: neues Gameplay - sammle Ressourcen in der Stadt, säubere Mutantenverstecke, rette Affentruppen.
- Neuer Truppenübungsplatz: Das Gebäude bestimmt die Marschkapazität und die Anzahl der Warteschlangen.
- Neue Paket"&amp;"e: Rabattangebote mit täglich wechselnden Inhalten! Sonderangebot, nur für begrenzte Zeit.
- Optimierungen: Dr. Hoggs Rache, einsteigerexklusive Pakete, Hilfe- &amp; Sammelangriffsfunktionen wurden optimiert.")</f>
        <v>- Frühe Spielerfahrung wurde überarbeitet: neues Gameplay - sammle Ressourcen in der Stadt, säubere Mutantenverstecke, rette Affentruppen.
- Neuer Truppenübungsplatz: Das Gebäude bestimmt die Marschkapazität und die Anzahl der Warteschlangen.
- Neue Pakete: Rabattangebote mit täglich wechselnden Inhalten! Sonderangebot, nur für begrenzte Zeit.
- Optimierungen: Dr. Hoggs Rache, einsteigerexklusive Pakete, Hilfe- &amp; Sammelangriffsfunktionen wurden optimiert.</v>
      </c>
      <c r="G43" s="176" t="str">
        <f>IFERROR(__xludf.DUMMYFUNCTION("""COMPUTED_VALUE"""),"- Ajustes no começo do jogo: novo modo de jogo, colete recursos na cidade, elimine tocas mutantes e resgate as tropas dos macacos.
- Nova Praça de Armas: a estrutura determina sua capacidade de marcha e número de filas.
- Novos pacotes: ofertas de descont"&amp;"os com diferentes conteúdos diariamente! Oferta especial de tempo limitado.
- Melhorias: Vingança de Dr. Hogg, pacotes exclusivos de iniciante, melhoria das funções de incursão e ajuda.")</f>
        <v>- Ajustes no começo do jogo: novo modo de jogo, colete recursos na cidade, elimine tocas mutantes e resgate as tropas dos macacos.
- Nova Praça de Armas: a estrutura determina sua capacidade de marcha e número de filas.
- Novos pacotes: ofertas de descontos com diferentes conteúdos diariamente! Oferta especial de tempo limitado.
- Melhorias: Vingança de Dr. Hogg, pacotes exclusivos de iniciante, melhoria das funções de incursão e ajuda.</v>
      </c>
      <c r="H43" s="159" t="str">
        <f>IFERROR(__xludf.DUMMYFUNCTION("""COMPUTED_VALUE"""),"-前期體驗調整：全新前期玩法，玩家可以在城內採集資源，清理變異猴巢穴，拯救被圍困的猿族士兵。
-新增閱兵場：閱兵場將會決定玩家行軍隊列數量及行軍容量。
-新增禮包：折扣特惠。每天禮包內容不同！超值特惠限時購！
-優化內容：優化了霍格博士的複仇、新人專享禮包、幫助和集結功能。 ")</f>
        <v>-前期體驗調整：全新前期玩法，玩家可以在城內採集資源，清理變異猴巢穴，拯救被圍困的猿族士兵。
-新增閱兵場：閱兵場將會決定玩家行軍隊列數量及行軍容量。
-新增禮包：折扣特惠。每天禮包內容不同！超值特惠限時購！
-優化內容：優化了霍格博士的複仇、新人專享禮包、幫助和集結功能。 </v>
      </c>
      <c r="I43" s="176" t="str">
        <f>IFERROR(__xludf.DUMMYFUNCTION("""COMPUTED_VALUE"""),"- Penyesuaian pengalaman game awal: gameplay baru - kumpulkan sumber daya di kota, bersihkan sarang mutan, dan selamatkan pasukan kera.
- Tempat Parade Baru: bangunan menentukan kapasitas berbaris &amp; jumlah antreanmu.
- Paket baru: Penawaran Diskon dengan "&amp;"konten berbeda setiap hari! Penawaran khusus, hanya untuk waktu terbatas.
- Pengoptimalan: Pembalasan Dr. Hogg, paket eksklusif pemula, fungsi bantuan &amp; reli dioptimalkan.")</f>
        <v>- Penyesuaian pengalaman game awal: gameplay baru - kumpulkan sumber daya di kota, bersihkan sarang mutan, dan selamatkan pasukan kera.
- Tempat Parade Baru: bangunan menentukan kapasitas berbaris &amp; jumlah antreanmu.
- Paket baru: Penawaran Diskon dengan konten berbeda setiap hari! Penawaran khusus, hanya untuk waktu terbatas.
- Pengoptimalan: Pembalasan Dr. Hogg, paket eksklusif pemula, fungsi bantuan &amp; reli dioptimalkan.</v>
      </c>
      <c r="J43" s="159" t="str">
        <f>IFERROR(__xludf.DUMMYFUNCTION("""COMPUTED_VALUE"""),"- ปรับประสบการณ์ช่วงต้นเกม: รูปแบบการเล่นใหม่ - การรวบรวมทรัพยากรในเมือง เคลียร์รังมิวแตนต์ ช่วยเหลือกองทหารลิงที่ถูกล้อม
- ลานเดินทัพใหม่: สิ่งปลูกสร้างจะเป็นตัวกำหนดความสามารถในการเดินทัพและจำนวนขบวนของคุณ
- แพ็กใหม่: ข้อเสนอส่วนลดพร้อมไอเทมที่แตกต่างกั"&amp;"นไปทุกวัน! ข้อเสนอพิเศษมีเวลาจำกัด
- การปรับปรุง: การแก้แค้นของ ดร.ฮ็อกก์, แพ็กพิเศษสำหรับผู้เริ่มต้น, การปรับปรุงความช่วยเหลือและฟังก์ชันการยกทัพ")</f>
        <v>- ปรับประสบการณ์ช่วงต้นเกม: รูปแบบการเล่นใหม่ - การรวบรวมทรัพยากรในเมือง เคลียร์รังมิวแตนต์ ช่วยเหลือกองทหารลิงที่ถูกล้อม
- ลานเดินทัพใหม่: สิ่งปลูกสร้างจะเป็นตัวกำหนดความสามารถในการเดินทัพและจำนวนขบวนของคุณ
- แพ็กใหม่: ข้อเสนอส่วนลดพร้อมไอเทมที่แตกต่างกันไปทุกวัน! ข้อเสนอพิเศษมีเวลาจำกัด
- การปรับปรุง: การแก้แค้นของ ดร.ฮ็อกก์, แพ็กพิเศษสำหรับผู้เริ่มต้น, การปรับปรุงความช่วยเหลือและฟังก์ชันการยกทัพ</v>
      </c>
      <c r="K43" s="176" t="str">
        <f>IFERROR(__xludf.DUMMYFUNCTION("""COMPUTED_VALUE"""),"- Experiencia inicial del juego ajustada: Nueva jugabilidad: colecta recursos en la ciudad, elimina guaridas mutantes, rescata tropas de simios.
- Nueva Plaza de Armas: El edificio determina la capacidad de marcha y el número de filas.
- Nuevos paquetes: "&amp;"¡Ofertas de descuento con contenido diferente a diario! Oferta especial, solo por tiempo limitado.
-Optimizaciones: Venganza del Dr. Hogg, paquetes exclusivos para principiantes, funciones de ayuda y congregación optimizadas.")</f>
        <v>- Experiencia inicial del juego ajustada: Nueva jugabilidad: colecta recursos en la ciudad, elimina guaridas mutantes, rescata tropas de simios.
- Nueva Plaza de Armas: El edificio determina la capacidad de marcha y el número de filas.
- Nuevos paquetes: ¡Ofertas de descuento con contenido diferente a diario! Oferta especial, solo por tiempo limitado.
-Optimizaciones: Venganza del Dr. Hogg, paquetes exclusivos para principiantes, funciones de ayuda y congregación optimizadas.</v>
      </c>
      <c r="L43" s="176" t="str">
        <f>IFERROR(__xludf.DUMMYFUNCTION("""COMPUTED_VALUE"""),"- Корректировка начала игры: совершенно новый игровой процесс — собирайте ресурсы в городе, зачищайте логова мутантов, спасайте обезьяньи войска.
- Новый парадный плац: эта постройка определяет максимальную численность марша и количество очередей.
- Новые"&amp;" наборы: каждый день новые предложения со скидкой! Особое предложение, доступное в течение ограниченного времени.
- Оптимизации: «Месть доктора Хогга», эксклюзивные наборы для новичков, оптимизированы функции помощи и походов.")</f>
        <v>- Корректировка начала игры: совершенно новый игровой процесс — собирайте ресурсы в городе, зачищайте логова мутантов, спасайте обезьяньи войска.
- Новый парадный плац: эта постройка определяет максимальную численность марша и количество очередей.
- Новые наборы: каждый день новые предложения со скидкой! Особое предложение, доступное в течение ограниченного времени.
- Оптимизации: «Месть доктора Хогга», эксклюзивные наборы для новичков, оптимизированы функции помощи и походов.</v>
      </c>
      <c r="M43" s="176" t="str">
        <f>IFERROR(__xludf.DUMMYFUNCTION("""COMPUTED_VALUE"""),"- Oyunun başlarındaki deneyim düzenlendi: yeni oynanış; şehirde kaynak topla, mutant inlerini temizle, maymun birliklerini kurtar.
- Yeni Geçit Töreni Yeri: bu bina sefer kapasiteni ve sıraların sayısını belirler.
- Yeni paketler: Her gün farklı içerikler"&amp;"le İndirim Teklifleri! Özel teklif, yalnızca sınırlı bir süre için.
- Optimizasyonlar: Dr. Hogg’un İntikamı, yeni başlayanlara özel paketler, yardım ve toplu saldırı işlevleri optimize edildi.")</f>
        <v>- Oyunun başlarındaki deneyim düzenlendi: yeni oynanış; şehirde kaynak topla, mutant inlerini temizle, maymun birliklerini kurtar.
- Yeni Geçit Töreni Yeri: bu bina sefer kapasiteni ve sıraların sayısını belirler.
- Yeni paketler: Her gün farklı içeriklerle İndirim Teklifleri! Özel teklif, yalnızca sınırlı bir süre için.
- Optimizasyonlar: Dr. Hogg’un İntikamı, yeni başlayanlara özel paketler, yardım ve toplu saldırı işlevleri optimize edildi.</v>
      </c>
      <c r="N43" s="177" t="str">
        <f>IFERROR(__xludf.DUMMYFUNCTION("""COMPUTED_VALUE"""),"- Điều chỉnh trải nghiệm đầu game: lối chơi mới - thu thập tài nguyên trong thành phố, dọn dẹp hang ổ đột biến, giải cứu binh lính vượn.
- Sân Diễu Hành mới: các công trình quyết định sức chứa hành quân và số lượng hàng chờ của bạn.
- Gói mới: Ưu Đãi Giảm"&amp;" Giá với nội dung khác nhau mỗi ngày! Ưu đãi đặc biệt, thời gian giới hạn.
- Tối ưu hóa: Đã tối ưu các tính năng Trận Phục Thù của Tiến Sĩ Hogg, gói độc quyền tân thủ, hỗ trợ và tập hợp.")</f>
        <v>- Điều chỉnh trải nghiệm đầu game: lối chơi mới - thu thập tài nguyên trong thành phố, dọn dẹp hang ổ đột biến, giải cứu binh lính vượn.
- Sân Diễu Hành mới: các công trình quyết định sức chứa hành quân và số lượng hàng chờ của bạn.
- Gói mới: Ưu Đãi Giảm Giá với nội dung khác nhau mỗi ngày! Ưu đãi đặc biệt, thời gian giới hạn.
- Tối ưu hóa: Đã tối ưu các tính năng Trận Phục Thù của Tiến Sĩ Hogg, gói độc quyền tân thủ, hỗ trợ và tập hợp.</v>
      </c>
      <c r="O43" s="45"/>
      <c r="P43" s="34"/>
      <c r="Q43" s="34"/>
      <c r="R43" s="34"/>
      <c r="S43" s="34"/>
      <c r="T43" s="108"/>
      <c r="U43" s="108"/>
      <c r="V43" s="108"/>
      <c r="W43" s="108"/>
      <c r="X43" s="108"/>
      <c r="Y43" s="108"/>
      <c r="Z43" s="108"/>
    </row>
    <row r="44" ht="72.0" customHeight="1">
      <c r="A44" s="149" t="str">
        <f>IFERROR(__xludf.DUMMYFUNCTION("""COMPUTED_VALUE"""),"0.37.0")</f>
        <v>0.37.0</v>
      </c>
      <c r="B44" s="174" t="str">
        <f>IFERROR(__xludf.DUMMYFUNCTION("""COMPUTED_VALUE"""),"&lt;en-US&gt;
- New gameplay: Fortress Takeover. Capture enemy buildings to win.
- New Fighter: Fiona, a fiery female fighter active in the arena.
- New events: Feat of Strength, Mighty Squad. Complete designated quests to win rewards.
- New Spectrum Chip pack:"&amp;" purchase to get more Spectrum Chips.
- Optimizations: improved Great Train Race displays and combined battle reports; improved Mail interface display; improved Praise the Bananas interface display.
&lt;/en-US&gt;
&lt;fr-FR&gt;
- Nouveau gameplay: dans Invasion de fo"&amp;"rteresse, capturez les bâtiments ennemis!
- Nouvelle combattante: la féroce Fiona, championne de l'arène!
- Nouveaux évènements: Preuve de force et Equipe surpuissante. Accomplissez des quêtes pour gagner des récompenses!
- Nouveau pack puce de place d'ar"&amp;"mes: améliorez rapidement votre place d'armes.
- Améliorations: affichage de la Grande course de trains et fusion des rapports de combats; affichage de la messagerie; interface de Louée soit la banane.
&lt;/fr-FR&gt;
&lt;de-DE&gt;
- Neues Gameplay: Festungsübernahme."&amp;" Erobere feindliche Gebäude, um zu gewinnen.
- Neuer Kämpfer: Fiona, eine wilde Kämpferin, die in der Arena aktiv ist.
- Neue Events: Zeichen der Stärke, Mächtige Gruppe. Schließe bestimmte Quests ab, um Belohnungen zu erhalten.
- Neues Spektrumssplitter-"&amp;"Paket: Kaufe es, um mehr Spektrumssplitter zu erhalten.
- Optimierungen: Verbesserte Anzeigen des Großen Zugrennens und zusammengeführte Kampfberichte; verbessertes Mail-Interface; verbessertes ""Gelobt seien die Bananen""-Interface.
&lt;/de-DE&gt;
&lt;pt-BR&gt;
- No"&amp;"vo modo de jogo: Conquista da Fortaleza. Capture as estruturas inimigas para vencer.
- Nova combatente: Fiona, uma feroz lutadora ativa na arena.
- Novos eventos: Feito de Força, Esquadrão Poderoso. Conclua as missões designadas para receber recompensas.
"&amp;"- Novo pacote de chips de espectro: compre para obter mais chips de espectro.
- Otimizações: melhorias nas exibições de Grande Corrida dos Trens, relatórios e batalha. Melhoria na interface de mensagens. Melhoria na interface de exibição de Louvadas Sejam"&amp;" as Bananas.
&lt;/pt-BR&gt;
&lt;zh-HK&gt;
-新增玩法：堡壘對決。占領敵方建築，贏得勝利；
-新增鬥士：活躍在格鬥擂臺的熱血女拳手菲奧娜；
-新增活動：一飛沖天、鋼鐵雄師。完成任務即可領取獎勵；
-新增禮包：光譜芯片禮包。購買禮包獲取更多的光譜芯片；
-優化內容：優化了火車競賽的部分顯示邏輯並合並了戰鬥報告，優化了郵件系統的界面顯示，優化了為香蕉幹杯活動的界面顯示。
&lt;/zh-HK&gt;
&lt;id&gt;
- Gameplay baru, Pengambilalihan Benteng: Tempat"&amp;"i semua bangunan musuh untuk menang!
 - Pejuang Baru: Fiona, pejuang wanita berapi-api yang aktif di arena!
 - Acara baru: Pencapaian Kekuatan, Pasukan Kuat: selesaikan misi yang ditentukan untuk memenangkan hadiah.
 - Paket Chip Spektrum Baru: beli untuk"&amp;" mendapatkan lebih banyak Chip Spektrum.
 - Pengoptimalan: meningkatkan tampilan Perlombaan Kereta Hebat dan menggabungkan laporan pertempuran; meningkatkan tampilan antarmuka Email: meningkatkan tampilan antarmuka Pemujian Pisang.
&lt;/id&gt;
&lt;th&gt;
- รูปแบบการเ"&amp;"ล่นใหม่: การยึดครองป้อมปราการ ยึดสิ่งปลูกสร้างของศัตรูเพื่อคว้าชัย
- นักสู้ใหม่: ฟิโอน่า นักสู้สาวไฟแรงผู้แสนคึกคักในสนามประลอง
- กิจกรรมใหม่:พลังแห่งความแข็งแกร่ง และทีมอันทรงพลัง ทำภารกิจที่กำหนดให้สำเร็จเพื่อรับรางวัล
- แพ็กชิปเครื่องตรวจสเปคตรัมใหม่: "&amp;"ซื้อเพื่อรับชิปเครื่องตรวจสเปคตรัมเพิ่มเติม
- การปรับปรุง: ปรับปรุงการแสดงผลของการแข่งขันรถไฟครั้งยิ่งใหญ่และรายงานการต่อสู้จะเป็นรายงานแบบผสม ปรับปรุงการแสดงอินเทอร์เฟซเมล ปรับปรุงการแสดงอินเทอร์เฟซกิจกรรมกล้วยจงเจริญ
&lt;/th&gt;
&lt;es-419&gt;
- Nueva forma de jueg"&amp;"o: Toma de la Fortaleza. Captura edificios enemigos para ganar.
- Nueva Luchadora: Fiona, una fiera luchadora que está activa en la arena!
- Nuevos eventos: Hazaña de Fortaleza, Escuadrón Poderoso: Completa las misiones designadas para ganar recompensas.
"&amp;"- Nuevo paquete de chips Espectrales: Compra para obtener más Chips Espectrales
- Optimizaciones: Se mejoraron las visualizaciones de la Gran Carrera del Tren y se combinaron los reportes de batalla; mejora en la visualización de la interface de Correo; m"&amp;"ejora en la visualización de la interface de Alabadas sean las Bananas.
&lt;/es-419&gt;
&lt;ru-RU&gt;
- Новый игровой процесс «Захват крепости»: захватывайте вражеские здания, чтобы победить.
- Новый герой: Фиона — яростная воительница на арене.
- Новые события: «Выд"&amp;"ающаяся сила» и «Могучий отряд». Выполняйте задания и получайте награды.
- Новый набор спектральных чипов: купите, чтобы получить больше спектральных чипов.
- Оптимизация: улучшено отображение «Больших гонок на поездах» и отчетов о сражениях; улучшен инте"&amp;"рфейс почты; улучшен интерфейс события «Хвала бананам».
&lt;/ru-RU&gt;
&lt;tr-TR&gt;
- Yeni oynanış: Kaleyi Ele Geçirme. Kazanmak için düşman binalarını ele geçir.
- Yeni Savaşçı: Fiona, arenada çılgın atan kadın bir dövüşçü.
- Yeni etkinlikler: Güç Gösterisi, Kudret"&amp;"li Ekip. Ödüller kazanmak için belirlenen maceraları tamamla.
- Yeni Spektrum Çip paketi: daha fazla Spektrum Çipi almak için satın al.
- Optimizasyonlar: Büyük Tren Yarışı görselleri geliştirildi ve savaş raporları bir araya getirildi; Posta arayüzü görü"&amp;"ntüsü geliştirildi; Muzlara Övgü arayüzünün görünümü geliştirildi.
&lt;/tr-TR&gt;
&lt;vi&gt;
- Lối chơi mới: Tiếp Quản Pháo Đài. Chiếm các công trình địch để giành chiến thắng.
- Chiến Binh mới: Fiona, một nữ chiến binh kiên cường trên đấu trường.
- Sự kiện mới: Nước"&amp;" Lặng Chảy Sâu, Biệt Đội Dũng Mãnh. Hoàn thành các nhiệm vụ được chỉ định để giành thưởng.
- Gói Chip Quang Phổ mới: mua để nhận thêm Chip Quang Phổ.
- Tối ưu hóa: đã cải thiện giao diện Đường Đua Xe Lửa Lớn và kết hợp các báo cáo trận chiến; đã cải thiện"&amp;" giao diện hiển thị Mail; đã cải thiện giao diện hiển thị Xin Ca Ngợi Chuối.
&lt;/vi&gt;
")</f>
        <v>&lt;en-US&gt;
- New gameplay: Fortress Takeover. Capture enemy buildings to win.
- New Fighter: Fiona, a fiery female fighter active in the arena.
- New events: Feat of Strength, Mighty Squad. Complete designated quests to win rewards.
- New Spectrum Chip pack: purchase to get more Spectrum Chips.
- Optimizations: improved Great Train Race displays and combined battle reports; improved Mail interface display; improved Praise the Bananas interface display.
&lt;/en-US&gt;
&lt;fr-FR&gt;
- Nouveau gameplay: dans Invasion de forteresse, capturez les bâtiments ennemis!
- Nouvelle combattante: la féroce Fiona, championne de l'arène!
- Nouveaux évènements: Preuve de force et Equipe surpuissante. Accomplissez des quêtes pour gagner des récompenses!
- Nouveau pack puce de place d'armes: améliorez rapidement votre place d'armes.
- Améliorations: affichage de la Grande course de trains et fusion des rapports de combats; affichage de la messagerie; interface de Louée soit la banane.
&lt;/fr-FR&gt;
&lt;de-DE&gt;
- Neues Gameplay: Festungsübernahme. Erobere feindliche Gebäude, um zu gewinnen.
- Neuer Kämpfer: Fiona, eine wilde Kämpferin, die in der Arena aktiv ist.
- Neue Events: Zeichen der Stärke, Mächtige Gruppe. Schließe bestimmte Quests ab, um Belohnungen zu erhalten.
- Neues Spektrumssplitter-Paket: Kaufe es, um mehr Spektrumssplitter zu erhalten.
- Optimierungen: Verbesserte Anzeigen des Großen Zugrennens und zusammengeführte Kampfberichte; verbessertes Mail-Interface; verbessertes "Gelobt seien die Bananen"-Interface.
&lt;/de-DE&gt;
&lt;pt-BR&gt;
- Novo modo de jogo: Conquista da Fortaleza. Capture as estruturas inimigas para vencer.
- Nova combatente: Fiona, uma feroz lutadora ativa na arena.
- Novos eventos: Feito de Força, Esquadrão Poderoso. Conclua as missões designadas para receber recompensas.
- Novo pacote de chips de espectro: compre para obter mais chips de espectro.
- Otimizações: melhorias nas exibições de Grande Corrida dos Trens, relatórios e batalha. Melhoria na interface de mensagens. Melhoria na interface de exibição de Louvadas Sejam as Bananas.
&lt;/pt-BR&gt;
&lt;zh-HK&gt;
-新增玩法：堡壘對決。占領敵方建築，贏得勝利；
-新增鬥士：活躍在格鬥擂臺的熱血女拳手菲奧娜；
-新增活動：一飛沖天、鋼鐵雄師。完成任務即可領取獎勵；
-新增禮包：光譜芯片禮包。購買禮包獲取更多的光譜芯片；
-優化內容：優化了火車競賽的部分顯示邏輯並合並了戰鬥報告，優化了郵件系統的界面顯示，優化了為香蕉幹杯活動的界面顯示。
&lt;/zh-HK&gt;
&lt;id&gt;
- Gameplay baru, Pengambilalihan Benteng: Tempati semua bangunan musuh untuk menang!
 - Pejuang Baru: Fiona, pejuang wanita berapi-api yang aktif di arena!
 - Acara baru: Pencapaian Kekuatan, Pasukan Kuat: selesaikan misi yang ditentukan untuk memenangkan hadiah.
 - Paket Chip Spektrum Baru: beli untuk mendapatkan lebih banyak Chip Spektrum.
 - Pengoptimalan: meningkatkan tampilan Perlombaan Kereta Hebat dan menggabungkan laporan pertempuran; meningkatkan tampilan antarmuka Email: meningkatkan tampilan antarmuka Pemujian Pisang.
&lt;/id&gt;
&lt;th&gt;
- รูปแบบการเล่นใหม่: การยึดครองป้อมปราการ ยึดสิ่งปลูกสร้างของศัตรูเพื่อคว้าชัย
- นักสู้ใหม่: ฟิโอน่า นักสู้สาวไฟแรงผู้แสนคึกคักในสนามประลอง
- กิจกรรมใหม่:พลังแห่งความแข็งแกร่ง และทีมอันทรงพลัง ทำภารกิจที่กำหนดให้สำเร็จเพื่อรับรางวัล
- แพ็กชิปเครื่องตรวจสเปคตรัมใหม่: ซื้อเพื่อรับชิปเครื่องตรวจสเปคตรัมเพิ่มเติม
- การปรับปรุง: ปรับปรุงการแสดงผลของการแข่งขันรถไฟครั้งยิ่งใหญ่และรายงานการต่อสู้จะเป็นรายงานแบบผสม ปรับปรุงการแสดงอินเทอร์เฟซเมล ปรับปรุงการแสดงอินเทอร์เฟซกิจกรรมกล้วยจงเจริญ
&lt;/th&gt;
&lt;es-419&gt;
- Nueva forma de juego: Toma de la Fortaleza. Captura edificios enemigos para ganar.
- Nueva Luchadora: Fiona, una fiera luchadora que está activa en la arena!
- Nuevos eventos: Hazaña de Fortaleza, Escuadrón Poderoso: Completa las misiones designadas para ganar recompensas.
- Nuevo paquete de chips Espectrales: Compra para obtener más Chips Espectrales
- Optimizaciones: Se mejoraron las visualizaciones de la Gran Carrera del Tren y se combinaron los reportes de batalla; mejora en la visualización de la interface de Correo; mejora en la visualización de la interface de Alabadas sean las Bananas.
&lt;/es-419&gt;
&lt;ru-RU&gt;
- Новый игровой процесс «Захват крепости»: захватывайте вражеские здания, чтобы победить.
- Новый герой: Фиона — яростная воительница на арене.
- Новые события: «Выдающаяся сила» и «Могучий отряд». Выполняйте задания и получайте награды.
- Новый набор спектральных чипов: купите, чтобы получить больше спектральных чипов.
- Оптимизация: улучшено отображение «Больших гонок на поездах» и отчетов о сражениях; улучшен интерфейс почты; улучшен интерфейс события «Хвала бананам».
&lt;/ru-RU&gt;
&lt;tr-TR&gt;
- Yeni oynanış: Kaleyi Ele Geçirme. Kazanmak için düşman binalarını ele geçir.
- Yeni Savaşçı: Fiona, arenada çılgın atan kadın bir dövüşçü.
- Yeni etkinlikler: Güç Gösterisi, Kudretli Ekip. Ödüller kazanmak için belirlenen maceraları tamamla.
- Yeni Spektrum Çip paketi: daha fazla Spektrum Çipi almak için satın al.
- Optimizasyonlar: Büyük Tren Yarışı görselleri geliştirildi ve savaş raporları bir araya getirildi; Posta arayüzü görüntüsü geliştirildi; Muzlara Övgü arayüzünün görünümü geliştirildi.
&lt;/tr-TR&gt;
&lt;vi&gt;
- Lối chơi mới: Tiếp Quản Pháo Đài. Chiếm các công trình địch để giành chiến thắng.
- Chiến Binh mới: Fiona, một nữ chiến binh kiên cường trên đấu trường.
- Sự kiện mới: Nước Lặng Chảy Sâu, Biệt Đội Dũng Mãnh. Hoàn thành các nhiệm vụ được chỉ định để giành thưởng.
- Gói Chip Quang Phổ mới: mua để nhận thêm Chip Quang Phổ.
- Tối ưu hóa: đã cải thiện giao diện Đường Đua Xe Lửa Lớn và kết hợp các báo cáo trận chiến; đã cải thiện giao diện hiển thị Mail; đã cải thiện giao diện hiển thị Xin Ca Ngợi Chuối.
&lt;/vi&gt;
</v>
      </c>
      <c r="C44" s="156" t="str">
        <f>IFERROR(__xludf.DUMMYFUNCTION("""COMPUTED_VALUE"""),"-新增玩法：堡垒对决。占领敌方建筑，赢得胜利；
-新增斗士：活跃在格斗擂台的热血女拳手菲奥娜；
-新增活动：一飞冲天、钢铁雄师。完成任务即可领取奖励；
-新增礼包：光谱芯片礼包。购买礼包获取更多的光谱芯片；
-优化内容：优化了火车竞赛的部分显示逻辑并合并了战斗报告，优化了邮件系统的界面显示，优化了为香蕉干杯活动的界面显示。")</f>
        <v>-新增玩法：堡垒对决。占领敌方建筑，赢得胜利；
-新增斗士：活跃在格斗擂台的热血女拳手菲奥娜；
-新增活动：一飞冲天、钢铁雄师。完成任务即可领取奖励；
-新增礼包：光谱芯片礼包。购买礼包获取更多的光谱芯片；
-优化内容：优化了火车竞赛的部分显示逻辑并合并了战斗报告，优化了邮件系统的界面显示，优化了为香蕉干杯活动的界面显示。</v>
      </c>
      <c r="D44" s="160" t="str">
        <f>IFERROR(__xludf.DUMMYFUNCTION("""COMPUTED_VALUE"""),"- New gameplay: Fortress Takeover. Capture enemy buildings to win.
- New Fighter: Fiona, a fiery female fighter active in the arena.
- New events: Feat of Strength, Mighty Squad. Complete designated quests to win rewards.
- New Spectrum Chip pack: purchas"&amp;"e to get more Spectrum Chips.
- Optimizations: improved Great Train Race displays and combined battle reports; improved Mail interface display; improved Praise the Bananas interface display.")</f>
        <v>- New gameplay: Fortress Takeover. Capture enemy buildings to win.
- New Fighter: Fiona, a fiery female fighter active in the arena.
- New events: Feat of Strength, Mighty Squad. Complete designated quests to win rewards.
- New Spectrum Chip pack: purchase to get more Spectrum Chips.
- Optimizations: improved Great Train Race displays and combined battle reports; improved Mail interface display; improved Praise the Bananas interface display.</v>
      </c>
      <c r="E44" s="160" t="str">
        <f>IFERROR(__xludf.DUMMYFUNCTION("""COMPUTED_VALUE"""),"- Nouveau gameplay: dans Invasion de forteresse, capturez les bâtiments ennemis!
- Nouvelle combattante: la féroce Fiona, championne de l'arène!
- Nouveaux évènements: Preuve de force et Equipe surpuissante. Accomplissez des quêtes pour gagner des récompe"&amp;"nses!
- Nouveau pack puce de place d'armes: améliorez rapidement votre place d'armes.
- Améliorations: affichage de la Grande course de trains et fusion des rapports de combats; affichage de la messagerie; interface de Louée soit la banane.")</f>
        <v>- Nouveau gameplay: dans Invasion de forteresse, capturez les bâtiments ennemis!
- Nouvelle combattante: la féroce Fiona, championne de l'arène!
- Nouveaux évènements: Preuve de force et Equipe surpuissante. Accomplissez des quêtes pour gagner des récompenses!
- Nouveau pack puce de place d'armes: améliorez rapidement votre place d'armes.
- Améliorations: affichage de la Grande course de trains et fusion des rapports de combats; affichage de la messagerie; interface de Louée soit la banane.</v>
      </c>
      <c r="F44" s="176" t="str">
        <f>IFERROR(__xludf.DUMMYFUNCTION("""COMPUTED_VALUE"""),"- Neues Gameplay: Festungsübernahme. Erobere feindliche Gebäude, um zu gewinnen.
- Neuer Kämpfer: Fiona, eine wilde Kämpferin, die in der Arena aktiv ist.
- Neue Events: Zeichen der Stärke, Mächtige Gruppe. Schließe bestimmte Quests ab, um Belohnungen zu "&amp;"erhalten.
- Neues Spektrumssplitter-Paket: Kaufe es, um mehr Spektrumssplitter zu erhalten.
- Optimierungen: Verbesserte Anzeigen des Großen Zugrennens und zusammengeführte Kampfberichte; verbessertes Mail-Interface; verbessertes ""Gelobt seien die Banane"&amp;"n""-Interface.")</f>
        <v>- Neues Gameplay: Festungsübernahme. Erobere feindliche Gebäude, um zu gewinnen.
- Neuer Kämpfer: Fiona, eine wilde Kämpferin, die in der Arena aktiv ist.
- Neue Events: Zeichen der Stärke, Mächtige Gruppe. Schließe bestimmte Quests ab, um Belohnungen zu erhalten.
- Neues Spektrumssplitter-Paket: Kaufe es, um mehr Spektrumssplitter zu erhalten.
- Optimierungen: Verbesserte Anzeigen des Großen Zugrennens und zusammengeführte Kampfberichte; verbessertes Mail-Interface; verbessertes "Gelobt seien die Bananen"-Interface.</v>
      </c>
      <c r="G44" s="176" t="str">
        <f>IFERROR(__xludf.DUMMYFUNCTION("""COMPUTED_VALUE"""),"- Novo modo de jogo: Conquista da Fortaleza. Capture as estruturas inimigas para vencer.
- Nova combatente: Fiona, uma feroz lutadora ativa na arena.
- Novos eventos: Feito de Força, Esquadrão Poderoso. Conclua as missões designadas para receber recompens"&amp;"as.
- Novo pacote de chips de espectro: compre para obter mais chips de espectro.
- Otimizações: melhorias nas exibições de Grande Corrida dos Trens, relatórios e batalha. Melhoria na interface de mensagens. Melhoria na interface de exibição de Louvadas S"&amp;"ejam as Bananas.")</f>
        <v>- Novo modo de jogo: Conquista da Fortaleza. Capture as estruturas inimigas para vencer.
- Nova combatente: Fiona, uma feroz lutadora ativa na arena.
- Novos eventos: Feito de Força, Esquadrão Poderoso. Conclua as missões designadas para receber recompensas.
- Novo pacote de chips de espectro: compre para obter mais chips de espectro.
- Otimizações: melhorias nas exibições de Grande Corrida dos Trens, relatórios e batalha. Melhoria na interface de mensagens. Melhoria na interface de exibição de Louvadas Sejam as Bananas.</v>
      </c>
      <c r="H44" s="159" t="str">
        <f>IFERROR(__xludf.DUMMYFUNCTION("""COMPUTED_VALUE"""),"-新增玩法：堡壘對決。占領敵方建築，贏得勝利；
-新增鬥士：活躍在格鬥擂臺的熱血女拳手菲奧娜；
-新增活動：一飛沖天、鋼鐵雄師。完成任務即可領取獎勵；
-新增禮包：光譜芯片禮包。購買禮包獲取更多的光譜芯片；
-優化內容：優化了火車競賽的部分顯示邏輯並合並了戰鬥報告，優化了郵件系統的界面顯示，優化了為香蕉幹杯活動的界面顯示。")</f>
        <v>-新增玩法：堡壘對決。占領敵方建築，贏得勝利；
-新增鬥士：活躍在格鬥擂臺的熱血女拳手菲奧娜；
-新增活動：一飛沖天、鋼鐵雄師。完成任務即可領取獎勵；
-新增禮包：光譜芯片禮包。購買禮包獲取更多的光譜芯片；
-優化內容：優化了火車競賽的部分顯示邏輯並合並了戰鬥報告，優化了郵件系統的界面顯示，優化了為香蕉幹杯活動的界面顯示。</v>
      </c>
      <c r="I44" s="176" t="str">
        <f>IFERROR(__xludf.DUMMYFUNCTION("""COMPUTED_VALUE"""),"- Gameplay baru, Pengambilalihan Benteng: Tempati semua bangunan musuh untuk menang!
 - Pejuang Baru: Fiona, pejuang wanita berapi-api yang aktif di arena!
 - Acara baru: Pencapaian Kekuatan, Pasukan Kuat: selesaikan misi yang ditentukan untuk memenangkan"&amp;" hadiah.
 - Paket Chip Spektrum Baru: beli untuk mendapatkan lebih banyak Chip Spektrum.
 - Pengoptimalan: meningkatkan tampilan Perlombaan Kereta Hebat dan menggabungkan laporan pertempuran; meningkatkan tampilan antarmuka Email: meningkatkan tampilan an"&amp;"tarmuka Pemujian Pisang.")</f>
        <v>- Gameplay baru, Pengambilalihan Benteng: Tempati semua bangunan musuh untuk menang!
 - Pejuang Baru: Fiona, pejuang wanita berapi-api yang aktif di arena!
 - Acara baru: Pencapaian Kekuatan, Pasukan Kuat: selesaikan misi yang ditentukan untuk memenangkan hadiah.
 - Paket Chip Spektrum Baru: beli untuk mendapatkan lebih banyak Chip Spektrum.
 - Pengoptimalan: meningkatkan tampilan Perlombaan Kereta Hebat dan menggabungkan laporan pertempuran; meningkatkan tampilan antarmuka Email: meningkatkan tampilan antarmuka Pemujian Pisang.</v>
      </c>
      <c r="J44" s="176" t="str">
        <f>IFERROR(__xludf.DUMMYFUNCTION("""COMPUTED_VALUE"""),"- รูปแบบการเล่นใหม่: การยึดครองป้อมปราการ ยึดสิ่งปลูกสร้างของศัตรูเพื่อคว้าชัย
- นักสู้ใหม่: ฟิโอน่า นักสู้สาวไฟแรงผู้แสนคึกคักในสนามประลอง
- กิจกรรมใหม่:พลังแห่งความแข็งแกร่ง และทีมอันทรงพลัง ทำภารกิจที่กำหนดให้สำเร็จเพื่อรับรางวัล
- แพ็กชิปเครื่องตรวจสเ"&amp;"ปคตรัมใหม่: ซื้อเพื่อรับชิปเครื่องตรวจสเปคตรัมเพิ่มเติม
- การปรับปรุง: ปรับปรุงการแสดงผลของการแข่งขันรถไฟครั้งยิ่งใหญ่และรายงานการต่อสู้จะเป็นรายงานแบบผสม ปรับปรุงการแสดงอินเทอร์เฟซเมล ปรับปรุงการแสดงอินเทอร์เฟซกิจกรรมกล้วยจงเจริญ")</f>
        <v>- รูปแบบการเล่นใหม่: การยึดครองป้อมปราการ ยึดสิ่งปลูกสร้างของศัตรูเพื่อคว้าชัย
- นักสู้ใหม่: ฟิโอน่า นักสู้สาวไฟแรงผู้แสนคึกคักในสนามประลอง
- กิจกรรมใหม่:พลังแห่งความแข็งแกร่ง และทีมอันทรงพลัง ทำภารกิจที่กำหนดให้สำเร็จเพื่อรับรางวัล
- แพ็กชิปเครื่องตรวจสเปคตรัมใหม่: ซื้อเพื่อรับชิปเครื่องตรวจสเปคตรัมเพิ่มเติม
- การปรับปรุง: ปรับปรุงการแสดงผลของการแข่งขันรถไฟครั้งยิ่งใหญ่และรายงานการต่อสู้จะเป็นรายงานแบบผสม ปรับปรุงการแสดงอินเทอร์เฟซเมล ปรับปรุงการแสดงอินเทอร์เฟซกิจกรรมกล้วยจงเจริญ</v>
      </c>
      <c r="K44" s="176" t="str">
        <f>IFERROR(__xludf.DUMMYFUNCTION("""COMPUTED_VALUE"""),"- Nueva forma de juego: Toma de la Fortaleza. Captura edificios enemigos para ganar.
- Nueva Luchadora: Fiona, una fiera luchadora que está activa en la arena!
- Nuevos eventos: Hazaña de Fortaleza, Escuadrón Poderoso: Completa las misiones designadas par"&amp;"a ganar recompensas.
- Nuevo paquete de chips Espectrales: Compra para obtener más Chips Espectrales
- Optimizaciones: Se mejoraron las visualizaciones de la Gran Carrera del Tren y se combinaron los reportes de batalla; mejora en la visualización de la i"&amp;"nterface de Correo; mejora en la visualización de la interface de Alabadas sean las Bananas.")</f>
        <v>- Nueva forma de juego: Toma de la Fortaleza. Captura edificios enemigos para ganar.
- Nueva Luchadora: Fiona, una fiera luchadora que está activa en la arena!
- Nuevos eventos: Hazaña de Fortaleza, Escuadrón Poderoso: Completa las misiones designadas para ganar recompensas.
- Nuevo paquete de chips Espectrales: Compra para obtener más Chips Espectrales
- Optimizaciones: Se mejoraron las visualizaciones de la Gran Carrera del Tren y se combinaron los reportes de batalla; mejora en la visualización de la interface de Correo; mejora en la visualización de la interface de Alabadas sean las Bananas.</v>
      </c>
      <c r="L44" s="176" t="str">
        <f>IFERROR(__xludf.DUMMYFUNCTION("""COMPUTED_VALUE"""),"- Новый игровой процесс «Захват крепости»: захватывайте вражеские здания, чтобы победить.
- Новый герой: Фиона — яростная воительница на арене.
- Новые события: «Выдающаяся сила» и «Могучий отряд». Выполняйте задания и получайте награды.
- Новый набор спе"&amp;"ктральных чипов: купите, чтобы получить больше спектральных чипов.
- Оптимизация: улучшено отображение «Больших гонок на поездах» и отчетов о сражениях; улучшен интерфейс почты; улучшен интерфейс события «Хвала бананам».")</f>
        <v>- Новый игровой процесс «Захват крепости»: захватывайте вражеские здания, чтобы победить.
- Новый герой: Фиона — яростная воительница на арене.
- Новые события: «Выдающаяся сила» и «Могучий отряд». Выполняйте задания и получайте награды.
- Новый набор спектральных чипов: купите, чтобы получить больше спектральных чипов.
- Оптимизация: улучшено отображение «Больших гонок на поездах» и отчетов о сражениях; улучшен интерфейс почты; улучшен интерфейс события «Хвала бананам».</v>
      </c>
      <c r="M44" s="176" t="str">
        <f>IFERROR(__xludf.DUMMYFUNCTION("""COMPUTED_VALUE"""),"- Yeni oynanış: Kaleyi Ele Geçirme. Kazanmak için düşman binalarını ele geçir.
- Yeni Savaşçı: Fiona, arenada çılgın atan kadın bir dövüşçü.
- Yeni etkinlikler: Güç Gösterisi, Kudretli Ekip. Ödüller kazanmak için belirlenen maceraları tamamla.
- Yeni Spek"&amp;"trum Çip paketi: daha fazla Spektrum Çipi almak için satın al.
- Optimizasyonlar: Büyük Tren Yarışı görselleri geliştirildi ve savaş raporları bir araya getirildi; Posta arayüzü görüntüsü geliştirildi; Muzlara Övgü arayüzünün görünümü geliştirildi.")</f>
        <v>- Yeni oynanış: Kaleyi Ele Geçirme. Kazanmak için düşman binalarını ele geçir.
- Yeni Savaşçı: Fiona, arenada çılgın atan kadın bir dövüşçü.
- Yeni etkinlikler: Güç Gösterisi, Kudretli Ekip. Ödüller kazanmak için belirlenen maceraları tamamla.
- Yeni Spektrum Çip paketi: daha fazla Spektrum Çipi almak için satın al.
- Optimizasyonlar: Büyük Tren Yarışı görselleri geliştirildi ve savaş raporları bir araya getirildi; Posta arayüzü görüntüsü geliştirildi; Muzlara Övgü arayüzünün görünümü geliştirildi.</v>
      </c>
      <c r="N44" s="177" t="str">
        <f>IFERROR(__xludf.DUMMYFUNCTION("""COMPUTED_VALUE"""),"- Lối chơi mới: Tiếp Quản Pháo Đài. Chiếm các công trình địch để giành chiến thắng.
- Chiến Binh mới: Fiona, một nữ chiến binh kiên cường trên đấu trường.
- Sự kiện mới: Nước Lặng Chảy Sâu, Biệt Đội Dũng Mãnh. Hoàn thành các nhiệm vụ được chỉ định để giàn"&amp;"h thưởng.
- Gói Chip Quang Phổ mới: mua để nhận thêm Chip Quang Phổ.
- Tối ưu hóa: đã cải thiện giao diện Đường Đua Xe Lửa Lớn và kết hợp các báo cáo trận chiến; đã cải thiện giao diện hiển thị Mail; đã cải thiện giao diện hiển thị Xin Ca Ngợi Chuối.")</f>
        <v>- Lối chơi mới: Tiếp Quản Pháo Đài. Chiếm các công trình địch để giành chiến thắng.
- Chiến Binh mới: Fiona, một nữ chiến binh kiên cường trên đấu trường.
- Sự kiện mới: Nước Lặng Chảy Sâu, Biệt Đội Dũng Mãnh. Hoàn thành các nhiệm vụ được chỉ định để giành thưởng.
- Gói Chip Quang Phổ mới: mua để nhận thêm Chip Quang Phổ.
- Tối ưu hóa: đã cải thiện giao diện Đường Đua Xe Lửa Lớn và kết hợp các báo cáo trận chiến; đã cải thiện giao diện hiển thị Mail; đã cải thiện giao diện hiển thị Xin Ca Ngợi Chuối.</v>
      </c>
      <c r="O44" s="45"/>
      <c r="P44" s="34"/>
      <c r="Q44" s="34"/>
      <c r="R44" s="34"/>
      <c r="S44" s="34"/>
      <c r="T44" s="108"/>
      <c r="U44" s="108"/>
      <c r="V44" s="108"/>
      <c r="W44" s="108"/>
      <c r="X44" s="108"/>
      <c r="Y44" s="108"/>
      <c r="Z44" s="108"/>
    </row>
    <row r="45" ht="72.0" customHeight="1">
      <c r="A45" s="149" t="str">
        <f>IFERROR(__xludf.DUMMYFUNCTION("""COMPUTED_VALUE"""),"0.38.0")</f>
        <v>0.38.0</v>
      </c>
      <c r="B45" s="174" t="str">
        <f>IFERROR(__xludf.DUMMYFUNCTION("""COMPUTED_VALUE"""),"&lt;en-US&gt;
- New Fighter: Guard of the Frontier, Alexis. A strong hero of the barbarian tribes. Get him in the Arena.
- Teleport function added in Ultimate Monkey.
- New nameplate feature: Customize your character with exclusive nameplate decorations.
- New "&amp;"events: Valentine's Day events, Gang Treasures, Shoot the Bandit coming soon.
- Optimizations: Improved Planet Wars, Astral Coliseum, Colin's Exploration, Relic Detection, Extreme Hunting, Impasse Trials, and Dr. Hogg's Revenge.
&lt;/en-US&gt;
&lt;fr-FR&gt;
- Nouveau"&amp;" combattant: Alexis le garde-frontière, héros des tribus barbares. Obtenez-le dans l'arène.
- Téléporation ajoutée dans le Singe ultime.
- Plaque nominative: personnalisez votre personnage grâce aux nouvelles plaques décoratives.
- Nouveaux évènements à v"&amp;"enir: Saint-Valentin, Trésors du gang, Abattez le vaisseau.
- Optimisation: Guerre planétaire, Colisée astral, Exploration de Colin, Détection de reliques, Chasse extrême, Epreuves de l'impasse et la Revanche du Dr Hogg's.
&lt;/fr-FR&gt;
&lt;de-DE&gt;
- Neuer Kämpfer"&amp;": Wächter der Grenze, Alexis. Ein starker Held der barbarischen Stämme. Erhalte ihn in der Arena.
 - Teleportationsfunktion bei Ultimativer Affe hinzugefügt.
 - Neues Namensschild-Feature: Passe deinen Charakter mit exklusiven Namensschilddekorationen an."&amp;"
 - Neue Events: Valentinstag-Events, Clan-Schätze, Schieße den Banditen in Kürze.
 - Optimierungen: Verbesserte Planetenkriege, Astral-Kolosseum, Colins Erkundung, Relikt-Ortung, Extrem-Jagd, Sackgassen-Prüfungen und Dr. Hoggs Rache.
&lt;/de-DE&gt;
&lt;pt-BR&gt;
- N"&amp;"ovo Combatente: Guarda da Fronteira, Alexis. Um herói forte das tribos bárbaras. Obtenha-o na arena.
 - Função de teletransporte adicionada ao Macaco Supremo.
 - Novo recurso de tabuleta: customize seu personagem com decorações de tabuleta exclusivas.
 - "&amp;"Novos eventos em breve: Dia dos Namorados, Tesouros da Gangue, Acerte os Bandidos.
 - Melhorias: otimização em Guerra Interplanetária, Coliseu Astral, Exploração de Colin, Detecção de Relíquias, Caça Extrema, Desafios de Impasse e Vingança de Dr. Hogg.
&lt;/"&amp;"pt-BR&gt;
&lt;zh-HK&gt;
-新增鬥士：邊荒守衛亞歷克西斯，孔武有力的蠻猴英雄，可通過擂台獲取；
-最強猴子活動新增傳送功能；
-新增銘牌系統：專屬銘牌裝飾，彰顯猴子們的個性；
-新增活動：情猿節、幫派寶藏、狙擊強盜猿即將開啟；
-優化內容：優化了銀河戰爭、決戰衛星之巔、科林的探索、展覽品探測、極限狩獵、絕地試煉、霍格博士的複仇的活動體驗
&lt;/zh-HK&gt;
&lt;zh-TW&gt;
-新增鬥士：邊荒守衛亞歷克西斯，孔武有力的蠻猴英雄，可通過擂台獲取；
-最強猴子活動新增傳送功能；
-新增銘牌系統：專屬"&amp;"銘牌裝飾，彰顯猴子們的個性；
-新增活動：情猿節、幫派寶藏、狙擊強盜猿即將開啟；
-優化內容：優化了銀河戰爭、決戰衛星之巔、科林的探索、展覽品探測、極限狩獵、絕地試煉、霍格博士的複仇的活動體驗
&lt;/zh-TW&gt;
&lt;id&gt;
- Pejuang Baru: Penjaga Perbatasan, Alexis. Pahlawan kuat dari suku barbar. Bawa dia ke Arena.
 - Fungsi teleportasi ditambahkan dalam Kera Te"&amp;"rkuat.
 - Fitur papan nama baru: Sesuaikan karaktermu dengan dekorasi papan nama eksklusif.
 - Acara baru: Acara Hari Kasih Sayang, Harta Karun Geng, dan Tembak Bandit segera hadir.
 - Pengoptimalan: Peningkatan Perang Planet, Koloseum Astral, Penjelajaha"&amp;"n Colin, Deteksi Relik, Perburuan Ekstrem, Uji Coba Kebuntuan, dan Pembalasan Dr. Hogg.
&lt;/id&gt;
&lt;th&gt;
- นักสู้ใหม่: อเล็กซิส ผู้พิทักษ์ชายแดน ฮีโร่สุดแกร่งของชนเผ่าคนเถื่อน คุณสามารถรับเขาได้ที่สนามต่อสู้
 - เพิ่มฟังก์ชันเทเลพอร์ตในกิจกรรมลิงที่แข็งแกร่งที่ส"&amp;"ุด
 - คุณสมบัติป้ายชื่อใหม่: ปรับแต่งตัวละครของคุณด้วยป้ายชื่อตกแต่งสุดพิเศษ
 - กิจกรรมใหม่: กิจกรรมวันวาเลนไทน์, สมบัติแก๊ง, และยิงจอมโจรเร็ว ๆ นี้
 - การปรับปรุง: ปรับปรุงกิจกรรมสงครามดาวเคราะห์, โคลีเซียมดวงดาว, การสำรวจของโคลิน, การตรวจจับวัตถุโบราณ, "&amp;"การล่าสัตว์ขั้นสุด, การทดสอบ ณ ทางตัน และการแก้แค้นของ ดร. ฮ็อกก์
&lt;/th&gt;
&lt;es-419&gt;
- Nuevo Luchador: Alexis, Guardia de la Frontera. Un poderoso héroe de las tribus bárbaras. Consíguelo en la Arena.
 - Función de teletransporte agregada al Mono Supremo.
 - "&amp;"Nueva función de placa: Personaliza tu personaje con decoraciones exclusivas de placa.
 - Nuevos eventos: Los eventos del Día de San Valentín, Tesoros de la Banda, Dispara al Bandido llegarán pronto.
 - Optimizaciones: Guerras Planetarias mejoradas, Colis"&amp;"eo Astral, Exploración de Colin, Detección de Reliquias, Cacería Extrema, Pruebas de impasse y la Venganza del Dr. Hogg.
&lt;/es-419&gt;
&lt;ru-RU&gt;
- Новый герой: пограничный страж Алексис. Могучий воитель из племени варваров. Получите его на Арене.
- Добавлена фу"&amp;"нкция телепортации в «Великой обезьяне».
- Новая функция именных табличек: настройте своего персонажа с помощью эксклюзивных украшений.
- Новые события: День святого Валентина, «Сокровища банды», «Сбейте бандита».
- Оптимизация: улучшены «Планетарные войн"&amp;"ы», «Астральный Колизей», «Исследования Колина», сканирование реликвий, «Экстремальная охота», «Испытания Тупика» и «Месть доктора Хогга».
&lt;/ru-RU&gt;
&lt;tr-TR&gt;
- Yeni Savaşçı: Sınır Muhafızı Alexis. Barbar kabilelerden güçlü bir kahraman. Onu Arenadan al.
 - "&amp;"En Üstün Maymuna ışınlanma işlevi eklendi.
 - Yeni tabela özelliği: Özel tabela dekorasyonlarıyla karakterini özelleştir.
 - Yeni etkinlikler: Sevgililer Günü etkinlikleri, Çete Hazineleri, Haydutu Vur yakında geliyor.
 - Optimizasyonlar: Gezegen Savaşlar"&amp;"ı, Yıldız Kolezyumu, Colin’in Keşfi, Kalıntı Tespiti, Ekstrem Avlanma, Çıkmaz Durum Denemeleri ve Dr. Hogg’un İntikamı geliştirildi.
&lt;/tr-TR&gt;
&lt;vi&gt;
- Chiến Binh mới: Vệ Binh Biên Giới, Alexis. Một anh hùng dũng mãnh của các bộ tộc hoang dã. Nhận anh ấy tro"&amp;"ng Đấu Trường.
 - Thêm tính năng dịch chuyển trong Chúa Khỉ Tối Cao.
 - Tính năng thẻ tên mới: Tùy chỉnh nhân vật của bạn bằng những món đồ trang trí thẻ tên độc quyền.
 - Sự kiện mới: Sự kiện Lễ Tình Nhân, Kho Báu Bang Hội, Diệt Cướp sẽ sớm ra mắt.
 - Tố"&amp;"i ưu hóa: Cải thiện Chiến Tranh Hành Tinh, Đại Đấu Trường Thiên Thể, Khám Phá Của Colin, Thăm Dò Di Tích, Săn Bắt Cùng Cực, Thí Luyện Tuyệt Địa và Trận Phục Thù của Tiến Sĩ Hogg.
&lt;/vi&gt;
")</f>
        <v>&lt;en-US&gt;
- New Fighter: Guard of the Frontier, Alexis. A strong hero of the barbarian tribes. Get him in the Arena.
- Teleport function added in Ultimate Monkey.
- New nameplate feature: Customize your character with exclusive nameplate decorations.
- New events: Valentine's Day events, Gang Treasures, Shoot the Bandit coming soon.
- Optimizations: Improved Planet Wars, Astral Coliseum, Colin's Exploration, Relic Detection, Extreme Hunting, Impasse Trials, and Dr. Hogg's Revenge.
&lt;/en-US&gt;
&lt;fr-FR&gt;
- Nouveau combattant: Alexis le garde-frontière, héros des tribus barbares. Obtenez-le dans l'arène.
- Téléporation ajoutée dans le Singe ultime.
- Plaque nominative: personnalisez votre personnage grâce aux nouvelles plaques décoratives.
- Nouveaux évènements à venir: Saint-Valentin, Trésors du gang, Abattez le vaisseau.
- Optimisation: Guerre planétaire, Colisée astral, Exploration de Colin, Détection de reliques, Chasse extrême, Epreuves de l'impasse et la Revanche du Dr Hogg's.
&lt;/fr-FR&gt;
&lt;de-DE&gt;
- Neuer Kämpfer: Wächter der Grenze, Alexis. Ein starker Held der barbarischen Stämme. Erhalte ihn in der Arena.
 - Teleportationsfunktion bei Ultimativer Affe hinzugefügt.
 - Neues Namensschild-Feature: Passe deinen Charakter mit exklusiven Namensschilddekorationen an.
 - Neue Events: Valentinstag-Events, Clan-Schätze, Schieße den Banditen in Kürze.
 - Optimierungen: Verbesserte Planetenkriege, Astral-Kolosseum, Colins Erkundung, Relikt-Ortung, Extrem-Jagd, Sackgassen-Prüfungen und Dr. Hoggs Rache.
&lt;/de-DE&gt;
&lt;pt-BR&gt;
- Novo Combatente: Guarda da Fronteira, Alexis. Um herói forte das tribos bárbaras. Obtenha-o na arena.
 - Função de teletransporte adicionada ao Macaco Supremo.
 - Novo recurso de tabuleta: customize seu personagem com decorações de tabuleta exclusivas.
 - Novos eventos em breve: Dia dos Namorados, Tesouros da Gangue, Acerte os Bandidos.
 - Melhorias: otimização em Guerra Interplanetária, Coliseu Astral, Exploração de Colin, Detecção de Relíquias, Caça Extrema, Desafios de Impasse e Vingança de Dr. Hogg.
&lt;/pt-BR&gt;
&lt;zh-HK&gt;
-新增鬥士：邊荒守衛亞歷克西斯，孔武有力的蠻猴英雄，可通過擂台獲取；
-最強猴子活動新增傳送功能；
-新增銘牌系統：專屬銘牌裝飾，彰顯猴子們的個性；
-新增活動：情猿節、幫派寶藏、狙擊強盜猿即將開啟；
-優化內容：優化了銀河戰爭、決戰衛星之巔、科林的探索、展覽品探測、極限狩獵、絕地試煉、霍格博士的複仇的活動體驗
&lt;/zh-HK&gt;
&lt;zh-TW&gt;
-新增鬥士：邊荒守衛亞歷克西斯，孔武有力的蠻猴英雄，可通過擂台獲取；
-最強猴子活動新增傳送功能；
-新增銘牌系統：專屬銘牌裝飾，彰顯猴子們的個性；
-新增活動：情猿節、幫派寶藏、狙擊強盜猿即將開啟；
-優化內容：優化了銀河戰爭、決戰衛星之巔、科林的探索、展覽品探測、極限狩獵、絕地試煉、霍格博士的複仇的活動體驗
&lt;/zh-TW&gt;
&lt;id&gt;
- Pejuang Baru: Penjaga Perbatasan, Alexis. Pahlawan kuat dari suku barbar. Bawa dia ke Arena.
 - Fungsi teleportasi ditambahkan dalam Kera Terkuat.
 - Fitur papan nama baru: Sesuaikan karaktermu dengan dekorasi papan nama eksklusif.
 - Acara baru: Acara Hari Kasih Sayang, Harta Karun Geng, dan Tembak Bandit segera hadir.
 - Pengoptimalan: Peningkatan Perang Planet, Koloseum Astral, Penjelajahan Colin, Deteksi Relik, Perburuan Ekstrem, Uji Coba Kebuntuan, dan Pembalasan Dr. Hogg.
&lt;/id&gt;
&lt;th&gt;
- นักสู้ใหม่: อเล็กซิส ผู้พิทักษ์ชายแดน ฮีโร่สุดแกร่งของชนเผ่าคนเถื่อน คุณสามารถรับเขาได้ที่สนามต่อสู้
 - เพิ่มฟังก์ชันเทเลพอร์ตในกิจกรรมลิงที่แข็งแกร่งที่สุด
 - คุณสมบัติป้ายชื่อใหม่: ปรับแต่งตัวละครของคุณด้วยป้ายชื่อตกแต่งสุดพิเศษ
 - กิจกรรมใหม่: กิจกรรมวันวาเลนไทน์, สมบัติแก๊ง, และยิงจอมโจรเร็ว ๆ นี้
 - การปรับปรุง: ปรับปรุงกิจกรรมสงครามดาวเคราะห์, โคลีเซียมดวงดาว, การสำรวจของโคลิน, การตรวจจับวัตถุโบราณ, การล่าสัตว์ขั้นสุด, การทดสอบ ณ ทางตัน และการแก้แค้นของ ดร. ฮ็อกก์
&lt;/th&gt;
&lt;es-419&gt;
- Nuevo Luchador: Alexis, Guardia de la Frontera. Un poderoso héroe de las tribus bárbaras. Consíguelo en la Arena.
 - Función de teletransporte agregada al Mono Supremo.
 - Nueva función de placa: Personaliza tu personaje con decoraciones exclusivas de placa.
 - Nuevos eventos: Los eventos del Día de San Valentín, Tesoros de la Banda, Dispara al Bandido llegarán pronto.
 - Optimizaciones: Guerras Planetarias mejoradas, Coliseo Astral, Exploración de Colin, Detección de Reliquias, Cacería Extrema, Pruebas de impasse y la Venganza del Dr. Hogg.
&lt;/es-419&gt;
&lt;ru-RU&gt;
- Новый герой: пограничный страж Алексис. Могучий воитель из племени варваров. Получите его на Арене.
- Добавлена функция телепортации в «Великой обезьяне».
- Новая функция именных табличек: настройте своего персонажа с помощью эксклюзивных украшений.
- Новые события: День святого Валентина, «Сокровища банды», «Сбейте бандита».
- Оптимизация: улучшены «Планетарные войны», «Астральный Колизей», «Исследования Колина», сканирование реликвий, «Экстремальная охота», «Испытания Тупика» и «Месть доктора Хогга».
&lt;/ru-RU&gt;
&lt;tr-TR&gt;
- Yeni Savaşçı: Sınır Muhafızı Alexis. Barbar kabilelerden güçlü bir kahraman. Onu Arenadan al.
 - En Üstün Maymuna ışınlanma işlevi eklendi.
 - Yeni tabela özelliği: Özel tabela dekorasyonlarıyla karakterini özelleştir.
 - Yeni etkinlikler: Sevgililer Günü etkinlikleri, Çete Hazineleri, Haydutu Vur yakında geliyor.
 - Optimizasyonlar: Gezegen Savaşları, Yıldız Kolezyumu, Colin’in Keşfi, Kalıntı Tespiti, Ekstrem Avlanma, Çıkmaz Durum Denemeleri ve Dr. Hogg’un İntikamı geliştirildi.
&lt;/tr-TR&gt;
&lt;vi&gt;
- Chiến Binh mới: Vệ Binh Biên Giới, Alexis. Một anh hùng dũng mãnh của các bộ tộc hoang dã. Nhận anh ấy trong Đấu Trường.
 - Thêm tính năng dịch chuyển trong Chúa Khỉ Tối Cao.
 - Tính năng thẻ tên mới: Tùy chỉnh nhân vật của bạn bằng những món đồ trang trí thẻ tên độc quyền.
 - Sự kiện mới: Sự kiện Lễ Tình Nhân, Kho Báu Bang Hội, Diệt Cướp sẽ sớm ra mắt.
 - Tối ưu hóa: Cải thiện Chiến Tranh Hành Tinh, Đại Đấu Trường Thiên Thể, Khám Phá Của Colin, Thăm Dò Di Tích, Săn Bắt Cùng Cực, Thí Luyện Tuyệt Địa và Trận Phục Thù của Tiến Sĩ Hogg.
&lt;/vi&gt;
</v>
      </c>
      <c r="C45" s="44" t="str">
        <f>IFERROR(__xludf.DUMMYFUNCTION("""COMPUTED_VALUE"""),"-新增斗士：边荒守卫亚历克西斯，孔武有力的蛮猴英雄，可通过擂台获取；
-最强猴子活动新增传送功能；
-新增铭牌系统：专属铭牌装饰，彰显猴子们的个性；
-新增活动：情猿节、帮派宝藏、狙击强盗猿即将开启；
-优化内容：优化了银河战争、决战卫星之巅、科林的探索、展览品探测、极限狩猎、绝地试炼、霍格博士的复仇的活动体验")</f>
        <v>-新增斗士：边荒守卫亚历克西斯，孔武有力的蛮猴英雄，可通过擂台获取；
-最强猴子活动新增传送功能；
-新增铭牌系统：专属铭牌装饰，彰显猴子们的个性；
-新增活动：情猿节、帮派宝藏、狙击强盗猿即将开启；
-优化内容：优化了银河战争、决战卫星之巅、科林的探索、展览品探测、极限狩猎、绝地试炼、霍格博士的复仇的活动体验</v>
      </c>
      <c r="D45" s="159" t="str">
        <f>IFERROR(__xludf.DUMMYFUNCTION("""COMPUTED_VALUE"""),"- New Fighter: Guard of the Frontier, Alexis. A strong hero of the barbarian tribes. Get him in the Arena.
- Teleport function added in Ultimate Monkey.
- New nameplate feature: Customize your character with exclusive nameplate decorations.
- New events: "&amp;"Valentine's Day events, Gang Treasures, Shoot the Bandit coming soon.
- Optimizations: Improved Planet Wars, Astral Coliseum, Colin's Exploration, Relic Detection, Extreme Hunting, Impasse Trials, and Dr. Hogg's Revenge.")</f>
        <v>- New Fighter: Guard of the Frontier, Alexis. A strong hero of the barbarian tribes. Get him in the Arena.
- Teleport function added in Ultimate Monkey.
- New nameplate feature: Customize your character with exclusive nameplate decorations.
- New events: Valentine's Day events, Gang Treasures, Shoot the Bandit coming soon.
- Optimizations: Improved Planet Wars, Astral Coliseum, Colin's Exploration, Relic Detection, Extreme Hunting, Impasse Trials, and Dr. Hogg's Revenge.</v>
      </c>
      <c r="E45" s="159" t="str">
        <f>IFERROR(__xludf.DUMMYFUNCTION("""COMPUTED_VALUE"""),"- Nouveau combattant: Alexis le garde-frontière, héros des tribus barbares. Obtenez-le dans l'arène.
- Téléporation ajoutée dans le Singe ultime.
- Plaque nominative: personnalisez votre personnage grâce aux nouvelles plaques décoratives.
- Nouveaux évène"&amp;"ments à venir: Saint-Valentin, Trésors du gang, Abattez le vaisseau.
- Optimisation: Guerre planétaire, Colisée astral, Exploration de Colin, Détection de reliques, Chasse extrême, Epreuves de l'impasse et la Revanche du Dr Hogg's.")</f>
        <v>- Nouveau combattant: Alexis le garde-frontière, héros des tribus barbares. Obtenez-le dans l'arène.
- Téléporation ajoutée dans le Singe ultime.
- Plaque nominative: personnalisez votre personnage grâce aux nouvelles plaques décoratives.
- Nouveaux évènements à venir: Saint-Valentin, Trésors du gang, Abattez le vaisseau.
- Optimisation: Guerre planétaire, Colisée astral, Exploration de Colin, Détection de reliques, Chasse extrême, Epreuves de l'impasse et la Revanche du Dr Hogg's.</v>
      </c>
      <c r="F45" s="159" t="str">
        <f>IFERROR(__xludf.DUMMYFUNCTION("""COMPUTED_VALUE"""),"- Neuer Kämpfer: Wächter der Grenze, Alexis. Ein starker Held der barbarischen Stämme. Erhalte ihn in der Arena.
 - Teleportationsfunktion bei Ultimativer Affe hinzugefügt.
 - Neues Namensschild-Feature: Passe deinen Charakter mit exklusiven Namensschildd"&amp;"ekorationen an.
 - Neue Events: Valentinstag-Events, Clan-Schätze, Schieße den Banditen in Kürze.
 - Optimierungen: Verbesserte Planetenkriege, Astral-Kolosseum, Colins Erkundung, Relikt-Ortung, Extrem-Jagd, Sackgassen-Prüfungen und Dr. Hoggs Rache.")</f>
        <v>- Neuer Kämpfer: Wächter der Grenze, Alexis. Ein starker Held der barbarischen Stämme. Erhalte ihn in der Arena.
 - Teleportationsfunktion bei Ultimativer Affe hinzugefügt.
 - Neues Namensschild-Feature: Passe deinen Charakter mit exklusiven Namensschilddekorationen an.
 - Neue Events: Valentinstag-Events, Clan-Schätze, Schieße den Banditen in Kürze.
 - Optimierungen: Verbesserte Planetenkriege, Astral-Kolosseum, Colins Erkundung, Relikt-Ortung, Extrem-Jagd, Sackgassen-Prüfungen und Dr. Hoggs Rache.</v>
      </c>
      <c r="G45" s="159" t="str">
        <f>IFERROR(__xludf.DUMMYFUNCTION("""COMPUTED_VALUE"""),"- Novo Combatente: Guarda da Fronteira, Alexis. Um herói forte das tribos bárbaras. Obtenha-o na arena.
 - Função de teletransporte adicionada ao Macaco Supremo.
 - Novo recurso de tabuleta: customize seu personagem com decorações de tabuleta exclusivas.
"&amp;" - Novos eventos em breve: Dia dos Namorados, Tesouros da Gangue, Acerte os Bandidos.
 - Melhorias: otimização em Guerra Interplanetária, Coliseu Astral, Exploração de Colin, Detecção de Relíquias, Caça Extrema, Desafios de Impasse e Vingança de Dr. Hogg.")</f>
        <v>- Novo Combatente: Guarda da Fronteira, Alexis. Um herói forte das tribos bárbaras. Obtenha-o na arena.
 - Função de teletransporte adicionada ao Macaco Supremo.
 - Novo recurso de tabuleta: customize seu personagem com decorações de tabuleta exclusivas.
 - Novos eventos em breve: Dia dos Namorados, Tesouros da Gangue, Acerte os Bandidos.
 - Melhorias: otimização em Guerra Interplanetária, Coliseu Astral, Exploração de Colin, Detecção de Relíquias, Caça Extrema, Desafios de Impasse e Vingança de Dr. Hogg.</v>
      </c>
      <c r="H45" s="159" t="str">
        <f>IFERROR(__xludf.DUMMYFUNCTION("""COMPUTED_VALUE"""),"-新增鬥士：邊荒守衛亞歷克西斯，孔武有力的蠻猴英雄，可通過擂台獲取；
-最強猴子活動新增傳送功能；
-新增銘牌系統：專屬銘牌裝飾，彰顯猴子們的個性；
-新增活動：情猿節、幫派寶藏、狙擊強盜猿即將開啟；
-優化內容：優化了銀河戰爭、決戰衛星之巔、科林的探索、展覽品探測、極限狩獵、絕地試煉、霍格博士的複仇的活動體驗")</f>
        <v>-新增鬥士：邊荒守衛亞歷克西斯，孔武有力的蠻猴英雄，可通過擂台獲取；
-最強猴子活動新增傳送功能；
-新增銘牌系統：專屬銘牌裝飾，彰顯猴子們的個性；
-新增活動：情猿節、幫派寶藏、狙擊強盜猿即將開啟；
-優化內容：優化了銀河戰爭、決戰衛星之巔、科林的探索、展覽品探測、極限狩獵、絕地試煉、霍格博士的複仇的活動體驗</v>
      </c>
      <c r="I45" s="159" t="str">
        <f>IFERROR(__xludf.DUMMYFUNCTION("""COMPUTED_VALUE"""),"- Pejuang Baru: Penjaga Perbatasan, Alexis. Pahlawan kuat dari suku barbar. Bawa dia ke Arena.
 - Fungsi teleportasi ditambahkan dalam Kera Terkuat.
 - Fitur papan nama baru: Sesuaikan karaktermu dengan dekorasi papan nama eksklusif.
 - Acara baru: Acara "&amp;"Hari Kasih Sayang, Harta Karun Geng, dan Tembak Bandit segera hadir.
 - Pengoptimalan: Peningkatan Perang Planet, Koloseum Astral, Penjelajahan Colin, Deteksi Relik, Perburuan Ekstrem, Uji Coba Kebuntuan, dan Pembalasan Dr. Hogg.")</f>
        <v>- Pejuang Baru: Penjaga Perbatasan, Alexis. Pahlawan kuat dari suku barbar. Bawa dia ke Arena.
 - Fungsi teleportasi ditambahkan dalam Kera Terkuat.
 - Fitur papan nama baru: Sesuaikan karaktermu dengan dekorasi papan nama eksklusif.
 - Acara baru: Acara Hari Kasih Sayang, Harta Karun Geng, dan Tembak Bandit segera hadir.
 - Pengoptimalan: Peningkatan Perang Planet, Koloseum Astral, Penjelajahan Colin, Deteksi Relik, Perburuan Ekstrem, Uji Coba Kebuntuan, dan Pembalasan Dr. Hogg.</v>
      </c>
      <c r="J45" s="159" t="str">
        <f>IFERROR(__xludf.DUMMYFUNCTION("""COMPUTED_VALUE"""),"- นักสู้ใหม่: อเล็กซิส ผู้พิทักษ์ชายแดน ฮีโร่สุดแกร่งของชนเผ่าคนเถื่อน คุณสามารถรับเขาได้ที่สนามต่อสู้
 - เพิ่มฟังก์ชันเทเลพอร์ตในกิจกรรมลิงที่แข็งแกร่งที่สุด
 - คุณสมบัติป้ายชื่อใหม่: ปรับแต่งตัวละครของคุณด้วยป้ายชื่อตกแต่งสุดพิเศษ
 - กิจกรรมใหม่: กิจกรร"&amp;"มวันวาเลนไทน์, สมบัติแก๊ง, และยิงจอมโจรเร็ว ๆ นี้
 - การปรับปรุง: ปรับปรุงกิจกรรมสงครามดาวเคราะห์, โคลีเซียมดวงดาว, การสำรวจของโคลิน, การตรวจจับวัตถุโบราณ, การล่าสัตว์ขั้นสุด, การทดสอบ ณ ทางตัน และการแก้แค้นของ ดร. ฮ็อกก์")</f>
        <v>- นักสู้ใหม่: อเล็กซิส ผู้พิทักษ์ชายแดน ฮีโร่สุดแกร่งของชนเผ่าคนเถื่อน คุณสามารถรับเขาได้ที่สนามต่อสู้
 - เพิ่มฟังก์ชันเทเลพอร์ตในกิจกรรมลิงที่แข็งแกร่งที่สุด
 - คุณสมบัติป้ายชื่อใหม่: ปรับแต่งตัวละครของคุณด้วยป้ายชื่อตกแต่งสุดพิเศษ
 - กิจกรรมใหม่: กิจกรรมวันวาเลนไทน์, สมบัติแก๊ง, และยิงจอมโจรเร็ว ๆ นี้
 - การปรับปรุง: ปรับปรุงกิจกรรมสงครามดาวเคราะห์, โคลีเซียมดวงดาว, การสำรวจของโคลิน, การตรวจจับวัตถุโบราณ, การล่าสัตว์ขั้นสุด, การทดสอบ ณ ทางตัน และการแก้แค้นของ ดร. ฮ็อกก์</v>
      </c>
      <c r="K45" s="159" t="str">
        <f>IFERROR(__xludf.DUMMYFUNCTION("""COMPUTED_VALUE"""),"- Nuevo Luchador: Alexis, Guardia de la Frontera. Un poderoso héroe de las tribus bárbaras. Consíguelo en la Arena.
 - Función de teletransporte agregada al Mono Supremo.
 - Nueva función de placa: Personaliza tu personaje con decoraciones exclusivas de p"&amp;"laca.
 - Nuevos eventos: Los eventos del Día de San Valentín, Tesoros de la Banda, Dispara al Bandido llegarán pronto.
 - Optimizaciones: Guerras Planetarias mejoradas, Coliseo Astral, Exploración de Colin, Detección de Reliquias, Cacería Extrema, Pruebas"&amp;" de impasse y la Venganza del Dr. Hogg.")</f>
        <v>- Nuevo Luchador: Alexis, Guardia de la Frontera. Un poderoso héroe de las tribus bárbaras. Consíguelo en la Arena.
 - Función de teletransporte agregada al Mono Supremo.
 - Nueva función de placa: Personaliza tu personaje con decoraciones exclusivas de placa.
 - Nuevos eventos: Los eventos del Día de San Valentín, Tesoros de la Banda, Dispara al Bandido llegarán pronto.
 - Optimizaciones: Guerras Planetarias mejoradas, Coliseo Astral, Exploración de Colin, Detección de Reliquias, Cacería Extrema, Pruebas de impasse y la Venganza del Dr. Hogg.</v>
      </c>
      <c r="L45" s="159" t="str">
        <f>IFERROR(__xludf.DUMMYFUNCTION("""COMPUTED_VALUE"""),"- Новый герой: пограничный страж Алексис. Могучий воитель из племени варваров. Получите его на Арене.
- Добавлена функция телепортации в «Великой обезьяне».
- Новая функция именных табличек: настройте своего персонажа с помощью эксклюзивных украшений.
- Н"&amp;"овые события: День святого Валентина, «Сокровища банды», «Сбейте бандита».
- Оптимизация: улучшены «Планетарные войны», «Астральный Колизей», «Исследования Колина», сканирование реликвий, «Экстремальная охота», «Испытания Тупика» и «Месть доктора Хогга».")</f>
        <v>- Новый герой: пограничный страж Алексис. Могучий воитель из племени варваров. Получите его на Арене.
- Добавлена функция телепортации в «Великой обезьяне».
- Новая функция именных табличек: настройте своего персонажа с помощью эксклюзивных украшений.
- Новые события: День святого Валентина, «Сокровища банды», «Сбейте бандита».
- Оптимизация: улучшены «Планетарные войны», «Астральный Колизей», «Исследования Колина», сканирование реликвий, «Экстремальная охота», «Испытания Тупика» и «Месть доктора Хогга».</v>
      </c>
      <c r="M45" s="159" t="str">
        <f>IFERROR(__xludf.DUMMYFUNCTION("""COMPUTED_VALUE"""),"- Yeni Savaşçı: Sınır Muhafızı Alexis. Barbar kabilelerden güçlü bir kahraman. Onu Arenadan al.
 - En Üstün Maymuna ışınlanma işlevi eklendi.
 - Yeni tabela özelliği: Özel tabela dekorasyonlarıyla karakterini özelleştir.
 - Yeni etkinlikler: Sevgililer Gü"&amp;"nü etkinlikleri, Çete Hazineleri, Haydutu Vur yakında geliyor.
 - Optimizasyonlar: Gezegen Savaşları, Yıldız Kolezyumu, Colin’in Keşfi, Kalıntı Tespiti, Ekstrem Avlanma, Çıkmaz Durum Denemeleri ve Dr. Hogg’un İntikamı geliştirildi.")</f>
        <v>- Yeni Savaşçı: Sınır Muhafızı Alexis. Barbar kabilelerden güçlü bir kahraman. Onu Arenadan al.
 - En Üstün Maymuna ışınlanma işlevi eklendi.
 - Yeni tabela özelliği: Özel tabela dekorasyonlarıyla karakterini özelleştir.
 - Yeni etkinlikler: Sevgililer Günü etkinlikleri, Çete Hazineleri, Haydutu Vur yakında geliyor.
 - Optimizasyonlar: Gezegen Savaşları, Yıldız Kolezyumu, Colin’in Keşfi, Kalıntı Tespiti, Ekstrem Avlanma, Çıkmaz Durum Denemeleri ve Dr. Hogg’un İntikamı geliştirildi.</v>
      </c>
      <c r="N45" s="45" t="str">
        <f>IFERROR(__xludf.DUMMYFUNCTION("""COMPUTED_VALUE"""),"- Chiến Binh mới: Vệ Binh Biên Giới, Alexis. Một anh hùng dũng mãnh của các bộ tộc hoang dã. Nhận anh ấy trong Đấu Trường.
 - Thêm tính năng dịch chuyển trong Chúa Khỉ Tối Cao.
 - Tính năng thẻ tên mới: Tùy chỉnh nhân vật của bạn bằng những món đồ trang t"&amp;"rí thẻ tên độc quyền.
 - Sự kiện mới: Sự kiện Lễ Tình Nhân, Kho Báu Bang Hội, Diệt Cướp sẽ sớm ra mắt.
 - Tối ưu hóa: Cải thiện Chiến Tranh Hành Tinh, Đại Đấu Trường Thiên Thể, Khám Phá Của Colin, Thăm Dò Di Tích, Săn Bắt Cùng Cực, Thí Luyện Tuyệt Địa và "&amp;"Trận Phục Thù của Tiến Sĩ Hogg.")</f>
        <v>- Chiến Binh mới: Vệ Binh Biên Giới, Alexis. Một anh hùng dũng mãnh của các bộ tộc hoang dã. Nhận anh ấy trong Đấu Trường.
 - Thêm tính năng dịch chuyển trong Chúa Khỉ Tối Cao.
 - Tính năng thẻ tên mới: Tùy chỉnh nhân vật của bạn bằng những món đồ trang trí thẻ tên độc quyền.
 - Sự kiện mới: Sự kiện Lễ Tình Nhân, Kho Báu Bang Hội, Diệt Cướp sẽ sớm ra mắt.
 - Tối ưu hóa: Cải thiện Chiến Tranh Hành Tinh, Đại Đấu Trường Thiên Thể, Khám Phá Của Colin, Thăm Dò Di Tích, Săn Bắt Cùng Cực, Thí Luyện Tuyệt Địa và Trận Phục Thù của Tiến Sĩ Hogg.</v>
      </c>
      <c r="O45" s="45"/>
      <c r="P45" s="34"/>
      <c r="Q45" s="34"/>
      <c r="R45" s="34"/>
      <c r="S45" s="34"/>
      <c r="T45" s="108"/>
      <c r="U45" s="108"/>
      <c r="V45" s="108"/>
      <c r="W45" s="108"/>
      <c r="X45" s="108"/>
      <c r="Y45" s="108"/>
      <c r="Z45" s="108"/>
    </row>
    <row r="46" ht="72.0" customHeight="1">
      <c r="A46" s="149" t="str">
        <f>IFERROR(__xludf.DUMMYFUNCTION("""COMPUTED_VALUE"""),"0.39.0")</f>
        <v>0.39.0</v>
      </c>
      <c r="B46" s="174" t="str">
        <f>IFERROR(__xludf.DUMMYFUNCTION("""COMPUTED_VALUE"""),"&lt;en-US&gt;
- New Galactic Supremacy gameplay: Bring your best Fighter and go capture launchpads on other planets!
- Tavern optimized: Full renovation and upgrade to the Tavern! The Arena's original function is now incorporated into the Tavern.
- New Fighter "&amp;"Talent Leap feature: Break through the restrictions on Fighter growth and allow them to get even stronger.
- New daily Development Report: New function to help you better gauge development in the city.
- New Fighter: Ace Spies, the Clark Brothers.
&lt;/en-US"&amp;"&gt;
&lt;fr-FR&gt;
- Nouveau gameplay pour la Suprématie galactique: envolez-vous sur d'autres planètes avec votre meilleur combattant pour capturer des pas de tir!
- Optimisation de la taverne, entièrement rénovée et améliorée! L'ancien gameplay de l'arène est ma"&amp;"intenant intégré à la taverne.
- Nouvelle fonctionnalité impulsion de talents: améliorez vos combattants sans restrictions!
- Nouveau rapport quotidien de développement: visualisez plus facilement le développement de votre ville.
- Nouveau combattant: les"&amp;" frères Clark, espions d'élite.
&lt;/fr-FR&gt;
&lt;de-DE&gt;
- Neues Gameplay ""Vorherrschaft in der Galaxis"": Bring deinen besten Kämpfer mit und erobere Startrampen auf anderen Planeten!
 - Optimierung der Taverne: Vollständige Renovierung und Aufwertung der Taver"&amp;"ne! Die ursprüngliche Funktion der Arena ist jetzt in die Taverne integriert.
 - Neues Feature ""Talentsprung"" für Kämpfer: Durchbreche die Beschränkungen für das Wachstum von Kämpfern und erlaube ihnen, noch stärker zu werden.
 - Neuer täglicher Entwick"&amp;"lungsbericht: Eine neue Funktion, mit der du die Entwicklung in der Stadt besser einschätzen kannst.
 - Neue Kämpfer: Die Spionage-Asse, die Clark-Brüder.
&lt;/de-DE&gt;
&lt;pt-BR&gt;
- Novo modo ""Supremacia Galáctica"": traga seu melhor combatente e capture bases d"&amp;"e lançamento em outros planetas!
 - Melhoria na taverna: renovação e melhoria completas na taverna! A função original da arena foi incorporada à taverna.
 - Nova funcionalidade ""Salto de Talento de Combatente"": ultrapasse as restrições da evolução do co"&amp;"mbatente, permitindo que ele se torne mais forte.
 - Novo relatório de desenvolvimento diário: nova funcionalidade que ajudará você entender melhor o desenvolvimento da cidade.
 - Novo combatente: os espiões de elite, os Irmãos Clark.
&lt;/pt-BR&gt;
&lt;zh-HK&gt;
-新增"&amp;"異星爭霸玩法：帶上你最強的鬥士，去其他猩球爭奪發射臺吧；
-酒吧優化：酒吧迎來了全面的裝修升級，原擂臺功能也加入了酒吧；
-新增鬥士天賦突破功能：突破鬥士成長極限，提升鬥士更多實力；
-新增每日發展報告功能：幫助指揮官更好地衡量城市發展水平；
-新增鬥士：傳奇特工克拉克兄弟；
&lt;/zh-HK&gt;
&lt;id&gt;
- Gameplay Supremasi Galaksi baru: Bawa Pejuang terbaikmu dan kuasai landasan luncur planet lain!
 - K"&amp;"edai dioptimalkan: Renovasi penuh dan tingkatkan ke Kedai! Fungsi semula Arena sekarang digabungkan dengan Kedai.
 - Fitur Lompatan Bakat Pejuang baru: Menerobos batas pertumbuhan Pejuang dan menjadikan mereka lebih kuat.
 - Laporan Perkembangan harian ba"&amp;"ru: Fungsi baru untuk membantumu mengukur perkembangan di kota secara lebih baik.
 - Pejuang Baru: Mata-Mata Ulung, Clark Bersaudara.
&lt;/id&gt;
&lt;th&gt;
- กิจกรรมความเป็นหนึ่งในกาแล็กซี่ใหม่: พานักสู้ที่ดีที่สุดของคุณเพื่อไปยึดฐานปล่อยจรวดบนดาวเคราะห์ดวงอื่น!
 - "&amp;"ปรับปรุงโรงแรม: ปรับปรุงโรงแรมและอัปเกรดใหม่ทั้งหมด! ฟังก์ชันดั้งเดิมของสนามต่อสู้จะถูกรวมเข้าไว้ในโรงแรมแล้ว
 - คุณสมบัติใหม่ของนักสู้ การก้าวกระโดดความสามารถ: ฝ่าข้อจำกัดในการเติบโตของนักสู้และทำให้พวกเขาแข็งแกร่งขึ้น
 - รายงานการพัฒนารายวันแบบใหม่: ฟัง"&amp;"ก์ชั่นใหม่เพื่อช่วยให้คุณวัดการพัฒนาในเมืองได้ดียิ่งขึ้น
 - นักสู้ตัวใหม่: พี่น้องคลาร์ก สายลับมือหนึ่ง
&lt;/th&gt;
&lt;es-419&gt;
- Nueva jugabilidad en Supremacía Galáctica: ¡Trae a tu mejor Luchador y lánzate a capturar Plataformas de Lanzamiento en otros planetas"&amp;"!
 - Taberna optimizada: ¡Renovación completa y mejora de la Taberna! La función original de la Arena ahora será incorporada a la Taberna.
 - Nueva función de Ascenso de Talento para el Luchador: Rompe con las restricciones para el crecimiento de los Luch"&amp;"adores y permite que se vuelvan aún más fuertes.
 - Nuevo Informe de Desarrollo diario: Esta nueva función te ayudará a medir mejor el desarrollo de la ciudad.
 - Nuevo luchador: Espías Expertos, los hermanos Clark.
&lt;/es-419&gt;
&lt;ru-RU&gt;
- Новый игровой проце"&amp;"сс: «Галактическое превосходство». Берите лучшего героя и отправляйтесь захватывать стартплощадки на других планетах!
- Оптимизация таверны: полная реконструкция и улучшение таверны! В таверну перенесена изначальная функция арены.
- Новая возможность: ска"&amp;"чок таланта героя. Преодолейте ограничения на развитие героев и позвольте им стать еще сильнее.
- Новый ежедневный отчет о развитии: новая функция, которая поможет вам лучше оценить развитие города.
- Новый герой: Братья Кларк, асы шпионажа.
&lt;/ru-RU&gt;
&lt;tr-"&amp;"TR&gt;
- Yeni Galaktik Üstünlük oynanışı: En iyi Savaşçını getir ve diğer gezegenlerdeki fırlatma rampalarını ele geçir!
 - Taverna optimize edildi: Tavernada kapsamlı yenileme ve yükseltme! Arenanın esas işlevi şimdi Taverna kapsamına dâhil edildi.
 - Yeni "&amp;"Savaşçı Yetenek Sıçraması özelliği: Savaşçı büyümesine ilişkin kısıtlamaları aş ve daha da güçlenmelerini sağla.
 - Yeni günlük Gelişim Raporu: Şehirdeki gelişimi daha iyi ölçmeni sağlayacak yeni işlev.
 - Yeni Savaşçı: Süper Casuslar, Clark Kardeşler.
&lt;/"&amp;"tr-TR&gt;
&lt;vi&gt;
- Lối chơi Bá Chủ Ngân Hà mới: Mang lại cho bạn Chiến Binh giỏi nhất và đi chiếm bệ phóng trên những hành tinh khác!
 - Tối ưu Tửu Quán: Cải tiến toàn bộ và nâng cấp lên Tửu Quán! Chức năng ban đầu của Đấu Trường hiện đã được tích hợp vào Tửu "&amp;"Quán.
 - Tính năng Tài Năng Nhảy Vọt của Chiến Binh mới: Phá vỡ các hạn chế về sự phát triển của Chiến Binh và cho phép họ mạnh hơn.
 - Báo Cáo Phát Triển hàng ngày mới: Chức năng mới để hỗ trợ bạn đo lường sự phát triển trong thành phố tốt hơn.
 - Chiến "&amp;"Binh mới: Anh Em Nhà Clark - Gián Điệp Chủ Bài.
&lt;/vi&gt;
")</f>
        <v>&lt;en-US&gt;
- New Galactic Supremacy gameplay: Bring your best Fighter and go capture launchpads on other planets!
- Tavern optimized: Full renovation and upgrade to the Tavern! The Arena's original function is now incorporated into the Tavern.
- New Fighter Talent Leap feature: Break through the restrictions on Fighter growth and allow them to get even stronger.
- New daily Development Report: New function to help you better gauge development in the city.
- New Fighter: Ace Spies, the Clark Brothers.
&lt;/en-US&gt;
&lt;fr-FR&gt;
- Nouveau gameplay pour la Suprématie galactique: envolez-vous sur d'autres planètes avec votre meilleur combattant pour capturer des pas de tir!
- Optimisation de la taverne, entièrement rénovée et améliorée! L'ancien gameplay de l'arène est maintenant intégré à la taverne.
- Nouvelle fonctionnalité impulsion de talents: améliorez vos combattants sans restrictions!
- Nouveau rapport quotidien de développement: visualisez plus facilement le développement de votre ville.
- Nouveau combattant: les frères Clark, espions d'élite.
&lt;/fr-FR&gt;
&lt;de-DE&gt;
- Neues Gameplay "Vorherrschaft in der Galaxis": Bring deinen besten Kämpfer mit und erobere Startrampen auf anderen Planeten!
 - Optimierung der Taverne: Vollständige Renovierung und Aufwertung der Taverne! Die ursprüngliche Funktion der Arena ist jetzt in die Taverne integriert.
 - Neues Feature "Talentsprung" für Kämpfer: Durchbreche die Beschränkungen für das Wachstum von Kämpfern und erlaube ihnen, noch stärker zu werden.
 - Neuer täglicher Entwicklungsbericht: Eine neue Funktion, mit der du die Entwicklung in der Stadt besser einschätzen kannst.
 - Neue Kämpfer: Die Spionage-Asse, die Clark-Brüder.
&lt;/de-DE&gt;
&lt;pt-BR&gt;
- Novo modo "Supremacia Galáctica": traga seu melhor combatente e capture bases de lançamento em outros planetas!
 - Melhoria na taverna: renovação e melhoria completas na taverna! A função original da arena foi incorporada à taverna.
 - Nova funcionalidade "Salto de Talento de Combatente": ultrapasse as restrições da evolução do combatente, permitindo que ele se torne mais forte.
 - Novo relatório de desenvolvimento diário: nova funcionalidade que ajudará você entender melhor o desenvolvimento da cidade.
 - Novo combatente: os espiões de elite, os Irmãos Clark.
&lt;/pt-BR&gt;
&lt;zh-HK&gt;
-新增異星爭霸玩法：帶上你最強的鬥士，去其他猩球爭奪發射臺吧；
-酒吧優化：酒吧迎來了全面的裝修升級，原擂臺功能也加入了酒吧；
-新增鬥士天賦突破功能：突破鬥士成長極限，提升鬥士更多實力；
-新增每日發展報告功能：幫助指揮官更好地衡量城市發展水平；
-新增鬥士：傳奇特工克拉克兄弟；
&lt;/zh-HK&gt;
&lt;id&gt;
- Gameplay Supremasi Galaksi baru: Bawa Pejuang terbaikmu dan kuasai landasan luncur planet lain!
 - Kedai dioptimalkan: Renovasi penuh dan tingkatkan ke Kedai! Fungsi semula Arena sekarang digabungkan dengan Kedai.
 - Fitur Lompatan Bakat Pejuang baru: Menerobos batas pertumbuhan Pejuang dan menjadikan mereka lebih kuat.
 - Laporan Perkembangan harian baru: Fungsi baru untuk membantumu mengukur perkembangan di kota secara lebih baik.
 - Pejuang Baru: Mata-Mata Ulung, Clark Bersaudara.
&lt;/id&gt;
&lt;th&gt;
- กิจกรรมความเป็นหนึ่งในกาแล็กซี่ใหม่: พานักสู้ที่ดีที่สุดของคุณเพื่อไปยึดฐานปล่อยจรวดบนดาวเคราะห์ดวงอื่น!
 - ปรับปรุงโรงแรม: ปรับปรุงโรงแรมและอัปเกรดใหม่ทั้งหมด! ฟังก์ชันดั้งเดิมของสนามต่อสู้จะถูกรวมเข้าไว้ในโรงแรมแล้ว
 - คุณสมบัติใหม่ของนักสู้ การก้าวกระโดดความสามารถ: ฝ่าข้อจำกัดในการเติบโตของนักสู้และทำให้พวกเขาแข็งแกร่งขึ้น
 - รายงานการพัฒนารายวันแบบใหม่: ฟังก์ชั่นใหม่เพื่อช่วยให้คุณวัดการพัฒนาในเมืองได้ดียิ่งขึ้น
 - นักสู้ตัวใหม่: พี่น้องคลาร์ก สายลับมือหนึ่ง
&lt;/th&gt;
&lt;es-419&gt;
- Nueva jugabilidad en Supremacía Galáctica: ¡Trae a tu mejor Luchador y lánzate a capturar Plataformas de Lanzamiento en otros planetas!
 - Taberna optimizada: ¡Renovación completa y mejora de la Taberna! La función original de la Arena ahora será incorporada a la Taberna.
 - Nueva función de Ascenso de Talento para el Luchador: Rompe con las restricciones para el crecimiento de los Luchadores y permite que se vuelvan aún más fuertes.
 - Nuevo Informe de Desarrollo diario: Esta nueva función te ayudará a medir mejor el desarrollo de la ciudad.
 - Nuevo luchador: Espías Expertos, los hermanos Clark.
&lt;/es-419&gt;
&lt;ru-RU&gt;
- Новый игровой процесс: «Галактическое превосходство». Берите лучшего героя и отправляйтесь захватывать стартплощадки на других планетах!
- Оптимизация таверны: полная реконструкция и улучшение таверны! В таверну перенесена изначальная функция арены.
- Новая возможность: скачок таланта героя. Преодолейте ограничения на развитие героев и позвольте им стать еще сильнее.
- Новый ежедневный отчет о развитии: новая функция, которая поможет вам лучше оценить развитие города.
- Новый герой: Братья Кларк, асы шпионажа.
&lt;/ru-RU&gt;
&lt;tr-TR&gt;
- Yeni Galaktik Üstünlük oynanışı: En iyi Savaşçını getir ve diğer gezegenlerdeki fırlatma rampalarını ele geçir!
 - Taverna optimize edildi: Tavernada kapsamlı yenileme ve yükseltme! Arenanın esas işlevi şimdi Taverna kapsamına dâhil edildi.
 - Yeni Savaşçı Yetenek Sıçraması özelliği: Savaşçı büyümesine ilişkin kısıtlamaları aş ve daha da güçlenmelerini sağla.
 - Yeni günlük Gelişim Raporu: Şehirdeki gelişimi daha iyi ölçmeni sağlayacak yeni işlev.
 - Yeni Savaşçı: Süper Casuslar, Clark Kardeşler.
&lt;/tr-TR&gt;
&lt;vi&gt;
- Lối chơi Bá Chủ Ngân Hà mới: Mang lại cho bạn Chiến Binh giỏi nhất và đi chiếm bệ phóng trên những hành tinh khác!
 - Tối ưu Tửu Quán: Cải tiến toàn bộ và nâng cấp lên Tửu Quán! Chức năng ban đầu của Đấu Trường hiện đã được tích hợp vào Tửu Quán.
 - Tính năng Tài Năng Nhảy Vọt của Chiến Binh mới: Phá vỡ các hạn chế về sự phát triển của Chiến Binh và cho phép họ mạnh hơn.
 - Báo Cáo Phát Triển hàng ngày mới: Chức năng mới để hỗ trợ bạn đo lường sự phát triển trong thành phố tốt hơn.
 - Chiến Binh mới: Anh Em Nhà Clark - Gián Điệp Chủ Bài.
&lt;/vi&gt;
</v>
      </c>
      <c r="C46" s="44" t="str">
        <f>IFERROR(__xludf.DUMMYFUNCTION("""COMPUTED_VALUE"""),"-新增异星争霸玩法：带上你最强的斗士，去其他猩球争夺发射台吧；
-酒吧优化：酒吧迎来了全面的装修升级，原擂台功能也加入了酒吧；
-新增斗士天赋突破功能：突破斗士成长极限，提升斗士更多实力；
-新增每日发展报告功能：帮助指挥官更好地衡量城市发展水平；
-新增斗士：传奇特工克拉克兄弟；")</f>
        <v>-新增异星争霸玩法：带上你最强的斗士，去其他猩球争夺发射台吧；
-酒吧优化：酒吧迎来了全面的装修升级，原擂台功能也加入了酒吧；
-新增斗士天赋突破功能：突破斗士成长极限，提升斗士更多实力；
-新增每日发展报告功能：帮助指挥官更好地衡量城市发展水平；
-新增斗士：传奇特工克拉克兄弟；</v>
      </c>
      <c r="D46" s="160" t="str">
        <f>IFERROR(__xludf.DUMMYFUNCTION("""COMPUTED_VALUE"""),"- New Galactic Supremacy gameplay: Bring your best Fighter and go capture launchpads on other planets!
- Tavern optimized: Full renovation and upgrade to the Tavern! The Arena's original function is now incorporated into the Tavern.
- New Fighter Talent L"&amp;"eap feature: Break through the restrictions on Fighter growth and allow them to get even stronger.
- New daily Development Report: New function to help you better gauge development in the city.
- New Fighter: Ace Spies, the Clark Brothers.")</f>
        <v>- New Galactic Supremacy gameplay: Bring your best Fighter and go capture launchpads on other planets!
- Tavern optimized: Full renovation and upgrade to the Tavern! The Arena's original function is now incorporated into the Tavern.
- New Fighter Talent Leap feature: Break through the restrictions on Fighter growth and allow them to get even stronger.
- New daily Development Report: New function to help you better gauge development in the city.
- New Fighter: Ace Spies, the Clark Brothers.</v>
      </c>
      <c r="E46" s="159" t="str">
        <f>IFERROR(__xludf.DUMMYFUNCTION("""COMPUTED_VALUE"""),"- Nouveau gameplay pour la Suprématie galactique: envolez-vous sur d'autres planètes avec votre meilleur combattant pour capturer des pas de tir!
- Optimisation de la taverne, entièrement rénovée et améliorée! L'ancien gameplay de l'arène est maintenant i"&amp;"ntégré à la taverne.
- Nouvelle fonctionnalité impulsion de talents: améliorez vos combattants sans restrictions!
- Nouveau rapport quotidien de développement: visualisez plus facilement le développement de votre ville.
- Nouveau combattant: les frères Cl"&amp;"ark, espions d'élite.")</f>
        <v>- Nouveau gameplay pour la Suprématie galactique: envolez-vous sur d'autres planètes avec votre meilleur combattant pour capturer des pas de tir!
- Optimisation de la taverne, entièrement rénovée et améliorée! L'ancien gameplay de l'arène est maintenant intégré à la taverne.
- Nouvelle fonctionnalité impulsion de talents: améliorez vos combattants sans restrictions!
- Nouveau rapport quotidien de développement: visualisez plus facilement le développement de votre ville.
- Nouveau combattant: les frères Clark, espions d'élite.</v>
      </c>
      <c r="F46" s="159" t="str">
        <f>IFERROR(__xludf.DUMMYFUNCTION("""COMPUTED_VALUE"""),"- Neues Gameplay ""Vorherrschaft in der Galaxis"": Bring deinen besten Kämpfer mit und erobere Startrampen auf anderen Planeten!
 - Optimierung der Taverne: Vollständige Renovierung und Aufwertung der Taverne! Die ursprüngliche Funktion der Arena ist jetz"&amp;"t in die Taverne integriert.
 - Neues Feature ""Talentsprung"" für Kämpfer: Durchbreche die Beschränkungen für das Wachstum von Kämpfern und erlaube ihnen, noch stärker zu werden.
 - Neuer täglicher Entwicklungsbericht: Eine neue Funktion, mit der du die "&amp;"Entwicklung in der Stadt besser einschätzen kannst.
 - Neue Kämpfer: Die Spionage-Asse, die Clark-Brüder.")</f>
        <v>- Neues Gameplay "Vorherrschaft in der Galaxis": Bring deinen besten Kämpfer mit und erobere Startrampen auf anderen Planeten!
 - Optimierung der Taverne: Vollständige Renovierung und Aufwertung der Taverne! Die ursprüngliche Funktion der Arena ist jetzt in die Taverne integriert.
 - Neues Feature "Talentsprung" für Kämpfer: Durchbreche die Beschränkungen für das Wachstum von Kämpfern und erlaube ihnen, noch stärker zu werden.
 - Neuer täglicher Entwicklungsbericht: Eine neue Funktion, mit der du die Entwicklung in der Stadt besser einschätzen kannst.
 - Neue Kämpfer: Die Spionage-Asse, die Clark-Brüder.</v>
      </c>
      <c r="G46" s="159" t="str">
        <f>IFERROR(__xludf.DUMMYFUNCTION("""COMPUTED_VALUE"""),"- Novo modo ""Supremacia Galáctica"": traga seu melhor combatente e capture bases de lançamento em outros planetas!
 - Melhoria na taverna: renovação e melhoria completas na taverna! A função original da arena foi incorporada à taverna.
 - Nova funcionali"&amp;"dade ""Salto de Talento de Combatente"": ultrapasse as restrições da evolução do combatente, permitindo que ele se torne mais forte.
 - Novo relatório de desenvolvimento diário: nova funcionalidade que ajudará você entender melhor o desenvolvimento da cid"&amp;"ade.
 - Novo combatente: os espiões de elite, os Irmãos Clark.")</f>
        <v>- Novo modo "Supremacia Galáctica": traga seu melhor combatente e capture bases de lançamento em outros planetas!
 - Melhoria na taverna: renovação e melhoria completas na taverna! A função original da arena foi incorporada à taverna.
 - Nova funcionalidade "Salto de Talento de Combatente": ultrapasse as restrições da evolução do combatente, permitindo que ele se torne mais forte.
 - Novo relatório de desenvolvimento diário: nova funcionalidade que ajudará você entender melhor o desenvolvimento da cidade.
 - Novo combatente: os espiões de elite, os Irmãos Clark.</v>
      </c>
      <c r="H46" s="159" t="str">
        <f>IFERROR(__xludf.DUMMYFUNCTION("""COMPUTED_VALUE"""),"-新增異星爭霸玩法：帶上你最強的鬥士，去其他猩球爭奪發射臺吧；
-酒吧優化：酒吧迎來了全面的裝修升級，原擂臺功能也加入了酒吧；
-新增鬥士天賦突破功能：突破鬥士成長極限，提升鬥士更多實力；
-新增每日發展報告功能：幫助指揮官更好地衡量城市發展水平；
-新增鬥士：傳奇特工克拉克兄弟；")</f>
        <v>-新增異星爭霸玩法：帶上你最強的鬥士，去其他猩球爭奪發射臺吧；
-酒吧優化：酒吧迎來了全面的裝修升級，原擂臺功能也加入了酒吧；
-新增鬥士天賦突破功能：突破鬥士成長極限，提升鬥士更多實力；
-新增每日發展報告功能：幫助指揮官更好地衡量城市發展水平；
-新增鬥士：傳奇特工克拉克兄弟；</v>
      </c>
      <c r="I46" s="159" t="str">
        <f>IFERROR(__xludf.DUMMYFUNCTION("""COMPUTED_VALUE"""),"- Gameplay Supremasi Galaksi baru: Bawa Pejuang terbaikmu dan kuasai landasan luncur planet lain!
 - Kedai dioptimalkan: Renovasi penuh dan tingkatkan ke Kedai! Fungsi semula Arena sekarang digabungkan dengan Kedai.
 - Fitur Lompatan Bakat Pejuang baru: M"&amp;"enerobos batas pertumbuhan Pejuang dan menjadikan mereka lebih kuat.
 - Laporan Perkembangan harian baru: Fungsi baru untuk membantumu mengukur perkembangan di kota secara lebih baik.
 - Pejuang Baru: Mata-Mata Ulung, Clark Bersaudara.")</f>
        <v>- Gameplay Supremasi Galaksi baru: Bawa Pejuang terbaikmu dan kuasai landasan luncur planet lain!
 - Kedai dioptimalkan: Renovasi penuh dan tingkatkan ke Kedai! Fungsi semula Arena sekarang digabungkan dengan Kedai.
 - Fitur Lompatan Bakat Pejuang baru: Menerobos batas pertumbuhan Pejuang dan menjadikan mereka lebih kuat.
 - Laporan Perkembangan harian baru: Fungsi baru untuk membantumu mengukur perkembangan di kota secara lebih baik.
 - Pejuang Baru: Mata-Mata Ulung, Clark Bersaudara.</v>
      </c>
      <c r="J46" s="159" t="str">
        <f>IFERROR(__xludf.DUMMYFUNCTION("""COMPUTED_VALUE"""),"- กิจกรรมความเป็นหนึ่งในกาแล็กซี่ใหม่: พานักสู้ที่ดีที่สุดของคุณเพื่อไปยึดฐานปล่อยจรวดบนดาวเคราะห์ดวงอื่น!
 - ปรับปรุงโรงแรม: ปรับปรุงโรงแรมและอัปเกรดใหม่ทั้งหมด! ฟังก์ชันดั้งเดิมของสนามต่อสู้จะถูกรวมเข้าไว้ในโรงแรมแล้ว
 - คุณสมบัติใหม่ของนักสู้ การก้าวกร"&amp;"ะโดดความสามารถ: ฝ่าข้อจำกัดในการเติบโตของนักสู้และทำให้พวกเขาแข็งแกร่งขึ้น
 - รายงานการพัฒนารายวันแบบใหม่: ฟังก์ชั่นใหม่เพื่อช่วยให้คุณวัดการพัฒนาในเมืองได้ดียิ่งขึ้น
 - นักสู้ตัวใหม่: พี่น้องคลาร์ก สายลับมือหนึ่ง")</f>
        <v>- กิจกรรมความเป็นหนึ่งในกาแล็กซี่ใหม่: พานักสู้ที่ดีที่สุดของคุณเพื่อไปยึดฐานปล่อยจรวดบนดาวเคราะห์ดวงอื่น!
 - ปรับปรุงโรงแรม: ปรับปรุงโรงแรมและอัปเกรดใหม่ทั้งหมด! ฟังก์ชันดั้งเดิมของสนามต่อสู้จะถูกรวมเข้าไว้ในโรงแรมแล้ว
 - คุณสมบัติใหม่ของนักสู้ การก้าวกระโดดความสามารถ: ฝ่าข้อจำกัดในการเติบโตของนักสู้และทำให้พวกเขาแข็งแกร่งขึ้น
 - รายงานการพัฒนารายวันแบบใหม่: ฟังก์ชั่นใหม่เพื่อช่วยให้คุณวัดการพัฒนาในเมืองได้ดียิ่งขึ้น
 - นักสู้ตัวใหม่: พี่น้องคลาร์ก สายลับมือหนึ่ง</v>
      </c>
      <c r="K46" s="159" t="str">
        <f>IFERROR(__xludf.DUMMYFUNCTION("""COMPUTED_VALUE"""),"- Nueva jugabilidad en Supremacía Galáctica: ¡Trae a tu mejor Luchador y lánzate a capturar Plataformas de Lanzamiento en otros planetas!
 - Taberna optimizada: ¡Renovación completa y mejora de la Taberna! La función original de la Arena ahora será incorp"&amp;"orada a la Taberna.
 - Nueva función de Ascenso de Talento para el Luchador: Rompe con las restricciones para el crecimiento de los Luchadores y permite que se vuelvan aún más fuertes.
 - Nuevo Informe de Desarrollo diario: Esta nueva función te ayudará a"&amp;" medir mejor el desarrollo de la ciudad.
 - Nuevo luchador: Espías Expertos, los hermanos Clark.")</f>
        <v>- Nueva jugabilidad en Supremacía Galáctica: ¡Trae a tu mejor Luchador y lánzate a capturar Plataformas de Lanzamiento en otros planetas!
 - Taberna optimizada: ¡Renovación completa y mejora de la Taberna! La función original de la Arena ahora será incorporada a la Taberna.
 - Nueva función de Ascenso de Talento para el Luchador: Rompe con las restricciones para el crecimiento de los Luchadores y permite que se vuelvan aún más fuertes.
 - Nuevo Informe de Desarrollo diario: Esta nueva función te ayudará a medir mejor el desarrollo de la ciudad.
 - Nuevo luchador: Espías Expertos, los hermanos Clark.</v>
      </c>
      <c r="L46" s="159" t="str">
        <f>IFERROR(__xludf.DUMMYFUNCTION("""COMPUTED_VALUE"""),"- Новый игровой процесс: «Галактическое превосходство». Берите лучшего героя и отправляйтесь захватывать стартплощадки на других планетах!
- Оптимизация таверны: полная реконструкция и улучшение таверны! В таверну перенесена изначальная функция арены.
- Н"&amp;"овая возможность: скачок таланта героя. Преодолейте ограничения на развитие героев и позвольте им стать еще сильнее.
- Новый ежедневный отчет о развитии: новая функция, которая поможет вам лучше оценить развитие города.
- Новый герой: Братья Кларк, асы шп"&amp;"ионажа.")</f>
        <v>- Новый игровой процесс: «Галактическое превосходство». Берите лучшего героя и отправляйтесь захватывать стартплощадки на других планетах!
- Оптимизация таверны: полная реконструкция и улучшение таверны! В таверну перенесена изначальная функция арены.
- Новая возможность: скачок таланта героя. Преодолейте ограничения на развитие героев и позвольте им стать еще сильнее.
- Новый ежедневный отчет о развитии: новая функция, которая поможет вам лучше оценить развитие города.
- Новый герой: Братья Кларк, асы шпионажа.</v>
      </c>
      <c r="M46" s="159" t="str">
        <f>IFERROR(__xludf.DUMMYFUNCTION("""COMPUTED_VALUE"""),"- Yeni Galaktik Üstünlük oynanışı: En iyi Savaşçını getir ve diğer gezegenlerdeki fırlatma rampalarını ele geçir!
 - Taverna optimize edildi: Tavernada kapsamlı yenileme ve yükseltme! Arenanın esas işlevi şimdi Taverna kapsamına dâhil edildi.
 - Yeni Sava"&amp;"şçı Yetenek Sıçraması özelliği: Savaşçı büyümesine ilişkin kısıtlamaları aş ve daha da güçlenmelerini sağla.
 - Yeni günlük Gelişim Raporu: Şehirdeki gelişimi daha iyi ölçmeni sağlayacak yeni işlev.
 - Yeni Savaşçı: Süper Casuslar, Clark Kardeşler.")</f>
        <v>- Yeni Galaktik Üstünlük oynanışı: En iyi Savaşçını getir ve diğer gezegenlerdeki fırlatma rampalarını ele geçir!
 - Taverna optimize edildi: Tavernada kapsamlı yenileme ve yükseltme! Arenanın esas işlevi şimdi Taverna kapsamına dâhil edildi.
 - Yeni Savaşçı Yetenek Sıçraması özelliği: Savaşçı büyümesine ilişkin kısıtlamaları aş ve daha da güçlenmelerini sağla.
 - Yeni günlük Gelişim Raporu: Şehirdeki gelişimi daha iyi ölçmeni sağlayacak yeni işlev.
 - Yeni Savaşçı: Süper Casuslar, Clark Kardeşler.</v>
      </c>
      <c r="N46" s="45" t="str">
        <f>IFERROR(__xludf.DUMMYFUNCTION("""COMPUTED_VALUE"""),"- Lối chơi Bá Chủ Ngân Hà mới: Mang lại cho bạn Chiến Binh giỏi nhất và đi chiếm bệ phóng trên những hành tinh khác!
 - Tối ưu Tửu Quán: Cải tiến toàn bộ và nâng cấp lên Tửu Quán! Chức năng ban đầu của Đấu Trường hiện đã được tích hợp vào Tửu Quán.
 - Tín"&amp;"h năng Tài Năng Nhảy Vọt của Chiến Binh mới: Phá vỡ các hạn chế về sự phát triển của Chiến Binh và cho phép họ mạnh hơn.
 - Báo Cáo Phát Triển hàng ngày mới: Chức năng mới để hỗ trợ bạn đo lường sự phát triển trong thành phố tốt hơn.
 - Chiến Binh mới: An"&amp;"h Em Nhà Clark - Gián Điệp Chủ Bài.")</f>
        <v>- Lối chơi Bá Chủ Ngân Hà mới: Mang lại cho bạn Chiến Binh giỏi nhất và đi chiếm bệ phóng trên những hành tinh khác!
 - Tối ưu Tửu Quán: Cải tiến toàn bộ và nâng cấp lên Tửu Quán! Chức năng ban đầu của Đấu Trường hiện đã được tích hợp vào Tửu Quán.
 - Tính năng Tài Năng Nhảy Vọt của Chiến Binh mới: Phá vỡ các hạn chế về sự phát triển của Chiến Binh và cho phép họ mạnh hơn.
 - Báo Cáo Phát Triển hàng ngày mới: Chức năng mới để hỗ trợ bạn đo lường sự phát triển trong thành phố tốt hơn.
 - Chiến Binh mới: Anh Em Nhà Clark - Gián Điệp Chủ Bài.</v>
      </c>
      <c r="O46" s="45"/>
      <c r="P46" s="34"/>
      <c r="Q46" s="34"/>
      <c r="R46" s="34"/>
      <c r="S46" s="34"/>
      <c r="T46" s="108"/>
      <c r="U46" s="108"/>
      <c r="V46" s="108"/>
      <c r="W46" s="108"/>
      <c r="X46" s="108"/>
      <c r="Y46" s="108"/>
      <c r="Z46" s="108"/>
    </row>
    <row r="47" ht="72.0" customHeight="1">
      <c r="A47" s="149" t="str">
        <f>IFERROR(__xludf.DUMMYFUNCTION("""COMPUTED_VALUE"""),"0.40.0")</f>
        <v>0.40.0</v>
      </c>
      <c r="B47" s="174" t="str">
        <f>IFERROR(__xludf.DUMMYFUNCTION("""COMPUTED_VALUE"""),"&lt;en-US&gt;
- New ""equipment"" system for Fighters: Introducing battle equipments and how to make them. Equipment provides extra boosts as well as powerful skills.
- New ""Loaded Strike"" gameplay: Defeat enemies in the training ground and get blueprints and"&amp;" materials to make equipments!
- New events: Astral Coliseum ""Invitational,"" ""Shared Renown,"" ""Lucky Eggstravaganza.""
- Optimizations: New VIP levels, improved Ultimate Monkey, Chat, Great Train Race, Parade Grounds, and marching experiences.
&lt;/en-U"&amp;"S&gt;
&lt;fr-FR&gt;
- Nouveau système ""d'équipement"" pour les combattants: découvrez comment fabriquer de l'équipement militaire procurant des bonus supplémentaires et de puissantes compétences.
- Nouveau gameplay de ""la Frappe Chargée"": éliminez des ennemis s"&amp;"ur le terrain d'entraînement pour obtenir les plans et matériaux nécessaires à la fabrication d'équipement!
- Nouveaux évènements: ""Cercle du Colisée astral"", ""Renommée partagée"" et ""Festi-Pâques"".
- Optimisations: nouveaux niveaux VIP, Singe ultime"&amp;", chat, Grande course de train, place d'armes et déplacements améliorés.
&lt;/fr-FR&gt;
&lt;de-DE&gt;
- Neues ""Ausrüstungs""-System für Kämpfer: Einführung und Herstellung von Kampfausrüstungen. Ausrüstungen bieten zusätzliche Verstärkungen und mächtige Fähigkeiten."&amp;"
 - Neues ""Geladener Schlag""-Gameplay: Besiege deine Feinde auf dem Übungsplatz und erhalte Baupläne und Materialien, um Ausrüstungen herzustellen!
 - Neue Events: Astral-Kolosseum-Einladungsturnier, Geteilter Ruhm, Glücksei-Spektakel.
 - Optimierungen:"&amp;" Neue VIP-Level, verbesserter Ultimativer Affe, Chat, Großes Zugrennen, Paradeplätze und Marscherfahrungen.
&lt;/de-DE&gt;
&lt;pt-BR&gt;
- Novo sistema de ""equipamentos"" para combatentes: apresentando equipamentos de batalha e como criá-lo. Os equipamentos fornecem"&amp;" bônus extras, assim como habilidades poderosas.
 - Novo modo ""Ataque Carregado"": derrote inimigos na área de exercício e obtenha diagramas e materiais para fazer equipamentos!
 - Novos eventos: Coliseu Astral ""Para convidados"", ""Renome Compartilhado"&amp;""", ""Caça aos Ovos da Sorte"".
 - Otimizações: novos níveis VIP, melhoria no chat do Macaco Supremo, Grande Corrida dos Trens, Praça de Armas e experiência de marcha.
&lt;/pt-BR&gt;
&lt;zh-HK&gt;
-新增鬥士“戰裝”系統：推出了鬥士可以佩戴的戰鬥裝備及其製造系統，戰裝在提供額外的屬性增益同時，還會生成強大的戰裝技能；
-新增玩法“重裝出"&amp;"擊”：打敗試煉戰場中的敵人，獲得打造特殊戰裝的圖紙和材料！
-新增活動：新增決戰衛星之巔“邀請賽”、新增“齊心揚名”活動、新增“彩蛋節派對”系列活動；
-優化內容：VIP系統開放新等級，優化了最強猴子、聊天系統、火車競賽、閱兵場和行軍相關體驗；
&lt;/zh-HK&gt;
&lt;id&gt;
- Sistem ""peralatan"" baru untuk Pejuang: Memperkenalkan peralatan pertarungan dan cara menggunakannya. Peralatan mem"&amp;"berikan boost tambahan serta skill kuat.
 - Gameplay ""Serangan Penuh"" baru: Kalahkan musuh di medan pelatihan serta dapatkan cetak biru dan material untuk membuat peralatan!
 - Acara baru: Koloseum Astral ""Undangan"", ""Ketenaran Bersama"", ""Eggstrava"&amp;"ganza Keberuntungan"".
 - Pengoptimalan: Level VIP baru, memperbaiki Kera Terhebat, Obrolan, Balapan Kereta Hebat, Lapangan Parade, dan pengalaman berbaris.
&lt;/id&gt;
&lt;th&gt;
- ระบบ ""อุปกรณ์"" ใหม่ของนักสู้: เปิดตัวอุปกรณ์การต่อสู้และวิธีสร้าง โดยอุปกรณ์จะให้บู"&amp;"สต์พิเศษและทักษะอันทรงพลัง
 - รูปแบบการเล่นใหม่ ""กระหน่ำโจมตี"": กำจัดศัตรูในสนามฝึก แล้วรับพิมพ์เขียวและวัสดุเพื่อสร้างอุปกรณ์!
 - กิจกรรมใหม่: ""การเชิญเข้าร่วม"" โคลีเซียมดวงดาว, ""ร่วมประกาศชื่อเสียง"" และ ""ไข่นำโชคสุดอัศจรรย์""
 - การปรับปรุง: ระดั"&amp;"บวีไอพีใหม่, ปรับปรุงกิจกรรมลิงที่แข็งแกร่งที่สุด, แชท, การแข่งขันรถไฟครั้งยิ่งใหญ่, ลานเดินทัพ และประสบการณ์การเดินทัพ
&lt;/th&gt;
&lt;es-419&gt;
- Nuevo sistema de ""equipo"" para Luchadores: Estamos presentando los equipos de batalla y cómo fabricarlos. El equipo "&amp;"proporciona potenciadores adicionales, así como poderosas habilidades.
 - Nueva jugabilidad ""Golpe Cargado"": ¡Derrota a los enemigos en el campo de entrenamiento y obtén planos y materiales para fabricar equipos!
 - Nuevos eventos: “Invitacional” del Co"&amp;"liseo Astral, “Renombre compartido"", ""Espectáculo de los Huevos de la Suerte"".
 - Optimizaciones: Nuevos niveles de VIP, mejoras en el Mono Supremo, Chat, Gran Carrera del Tren, Plaza de Armas y las experiencias de marcha.
&lt;/es-419&gt;
&lt;ru-RU&gt;
- Новая сис"&amp;"тема «снаряжения» для героев: представляем боевое снаряжение и способы его изготовить. Снаряжение дает дополнительные усиления, а также мощные навыки.
- Новый способ игры «Заряженный удар»: побеждайте врагов на тренировочной площадке и получайте чертежи и"&amp;" материалы для изготовления снаряжения!
- Новые события: «Закрытый турнир в Астральном Колизее», «Общая известность» и «Феерия счастливых яиц».
- Оптимизация: новые уровни VIP, улучшения для «Великой обезьяны», чата, «Больших гонок на поездах», парадного "&amp;"плаца и маршей.
&lt;/ru-RU&gt;
&lt;tr-TR&gt;
- Savaşçılar için yeni “ekipman” sistemi: Savaş ekipmanlarının tanıtılması ve yapılma şekilleri. Ekipman ekstra güçlendirmelerin yanı sıra güçlü beceriler sağlar.
 - Yeni “Yüklü Vuruş” oynanışı: Eğitim alanında düşmanları "&amp;"yen ve ekipman elde etmek için planlar ve malzemeler al!
 - Yeni etkinlikler: “Davetli” Yıldız Kolezyumu Etkinliği, “Paylaşılan Ünlü”, “Şanslı Çılgınlık”.
 - Optimizasyonlar: Yeni VIP seviyeleri, geliştirilmiş En Üstün Maymun, Sohbet, Büyük Tren Yarışı, G"&amp;"eçit Töreni Yeri ve sefer deneyimleri.
&lt;/tr-TR&gt;
&lt;vi&gt;
- Hệ thống ""trang bị"" mới cho Chiến Binh: Giới thiệu các trang bị chiến đấu và cách chế tạo. Trang bị cung cấp thêm các hiệu ứng có lợi cũng như những kỹ năng mạnh.
 - Lối chơi ""Tấn Công Đã Tải"" mới"&amp;": Đánh bại kẻ địch trong vòng huấn luyện và nhận bản vẽ cùng các nguyên liệu để tạo trang bị!
 - Sự kiện mới: ""Lời Mời"" Đại Đấu Trường Thiên Thể, ""Danh Tiếng Chung"", ""Tiệc Trứng May Mắn"".
 - Tối ưu hóa: Các cấp VIP mới, cải tiến Chúa Khỉ Tối Cao, Ch"&amp;"at, Đường Đua Xe Lửa Lớn, Sân Diễu Hành và các trải nghiệm hành quân.
&lt;/vi&gt;
")</f>
        <v>&lt;en-US&gt;
- New "equipment" system for Fighters: Introducing battle equipments and how to make them. Equipment provides extra boosts as well as powerful skills.
- New "Loaded Strike" gameplay: Defeat enemies in the training ground and get blueprints and materials to make equipments!
- New events: Astral Coliseum "Invitational," "Shared Renown," "Lucky Eggstravaganza."
- Optimizations: New VIP levels, improved Ultimate Monkey, Chat, Great Train Race, Parade Grounds, and marching experiences.
&lt;/en-US&gt;
&lt;fr-FR&gt;
- Nouveau système "d'équipement" pour les combattants: découvrez comment fabriquer de l'équipement militaire procurant des bonus supplémentaires et de puissantes compétences.
- Nouveau gameplay de "la Frappe Chargée": éliminez des ennemis sur le terrain d'entraînement pour obtenir les plans et matériaux nécessaires à la fabrication d'équipement!
- Nouveaux évènements: "Cercle du Colisée astral", "Renommée partagée" et "Festi-Pâques".
- Optimisations: nouveaux niveaux VIP, Singe ultime, chat, Grande course de train, place d'armes et déplacements améliorés.
&lt;/fr-FR&gt;
&lt;de-DE&gt;
- Neues "Ausrüstungs"-System für Kämpfer: Einführung und Herstellung von Kampfausrüstungen. Ausrüstungen bieten zusätzliche Verstärkungen und mächtige Fähigkeiten.
 - Neues "Geladener Schlag"-Gameplay: Besiege deine Feinde auf dem Übungsplatz und erhalte Baupläne und Materialien, um Ausrüstungen herzustellen!
 - Neue Events: Astral-Kolosseum-Einladungsturnier, Geteilter Ruhm, Glücksei-Spektakel.
 - Optimierungen: Neue VIP-Level, verbesserter Ultimativer Affe, Chat, Großes Zugrennen, Paradeplätze und Marscherfahrungen.
&lt;/de-DE&gt;
&lt;pt-BR&gt;
- Novo sistema de "equipamentos" para combatentes: apresentando equipamentos de batalha e como criá-lo. Os equipamentos fornecem bônus extras, assim como habilidades poderosas.
 - Novo modo "Ataque Carregado": derrote inimigos na área de exercício e obtenha diagramas e materiais para fazer equipamentos!
 - Novos eventos: Coliseu Astral "Para convidados", "Renome Compartilhado", "Caça aos Ovos da Sorte".
 - Otimizações: novos níveis VIP, melhoria no chat do Macaco Supremo, Grande Corrida dos Trens, Praça de Armas e experiência de marcha.
&lt;/pt-BR&gt;
&lt;zh-HK&gt;
-新增鬥士“戰裝”系統：推出了鬥士可以佩戴的戰鬥裝備及其製造系統，戰裝在提供額外的屬性增益同時，還會生成強大的戰裝技能；
-新增玩法“重裝出擊”：打敗試煉戰場中的敵人，獲得打造特殊戰裝的圖紙和材料！
-新增活動：新增決戰衛星之巔“邀請賽”、新增“齊心揚名”活動、新增“彩蛋節派對”系列活動；
-優化內容：VIP系統開放新等級，優化了最強猴子、聊天系統、火車競賽、閱兵場和行軍相關體驗；
&lt;/zh-HK&gt;
&lt;id&gt;
- Sistem "peralatan" baru untuk Pejuang: Memperkenalkan peralatan pertarungan dan cara menggunakannya. Peralatan memberikan boost tambahan serta skill kuat.
 - Gameplay "Serangan Penuh" baru: Kalahkan musuh di medan pelatihan serta dapatkan cetak biru dan material untuk membuat peralatan!
 - Acara baru: Koloseum Astral "Undangan", "Ketenaran Bersama", "Eggstravaganza Keberuntungan".
 - Pengoptimalan: Level VIP baru, memperbaiki Kera Terhebat, Obrolan, Balapan Kereta Hebat, Lapangan Parade, dan pengalaman berbaris.
&lt;/id&gt;
&lt;th&gt;
- ระบบ "อุปกรณ์" ใหม่ของนักสู้: เปิดตัวอุปกรณ์การต่อสู้และวิธีสร้าง โดยอุปกรณ์จะให้บูสต์พิเศษและทักษะอันทรงพลัง
 - รูปแบบการเล่นใหม่ "กระหน่ำโจมตี": กำจัดศัตรูในสนามฝึก แล้วรับพิมพ์เขียวและวัสดุเพื่อสร้างอุปกรณ์!
 - กิจกรรมใหม่: "การเชิญเข้าร่วม" โคลีเซียมดวงดาว, "ร่วมประกาศชื่อเสียง" และ "ไข่นำโชคสุดอัศจรรย์"
 - การปรับปรุง: ระดับวีไอพีใหม่, ปรับปรุงกิจกรรมลิงที่แข็งแกร่งที่สุด, แชท, การแข่งขันรถไฟครั้งยิ่งใหญ่, ลานเดินทัพ และประสบการณ์การเดินทัพ
&lt;/th&gt;
&lt;es-419&gt;
- Nuevo sistema de "equipo" para Luchadores: Estamos presentando los equipos de batalla y cómo fabricarlos. El equipo proporciona potenciadores adicionales, así como poderosas habilidades.
 - Nueva jugabilidad "Golpe Cargado": ¡Derrota a los enemigos en el campo de entrenamiento y obtén planos y materiales para fabricar equipos!
 - Nuevos eventos: “Invitacional” del Coliseo Astral, “Renombre compartido", "Espectáculo de los Huevos de la Suerte".
 - Optimizaciones: Nuevos niveles de VIP, mejoras en el Mono Supremo, Chat, Gran Carrera del Tren, Plaza de Armas y las experiencias de marcha.
&lt;/es-419&gt;
&lt;ru-RU&gt;
- Новая система «снаряжения» для героев: представляем боевое снаряжение и способы его изготовить. Снаряжение дает дополнительные усиления, а также мощные навыки.
- Новый способ игры «Заряженный удар»: побеждайте врагов на тренировочной площадке и получайте чертежи и материалы для изготовления снаряжения!
- Новые события: «Закрытый турнир в Астральном Колизее», «Общая известность» и «Феерия счастливых яиц».
- Оптимизация: новые уровни VIP, улучшения для «Великой обезьяны», чата, «Больших гонок на поездах», парадного плаца и маршей.
&lt;/ru-RU&gt;
&lt;tr-TR&gt;
- Savaşçılar için yeni “ekipman” sistemi: Savaş ekipmanlarının tanıtılması ve yapılma şekilleri. Ekipman ekstra güçlendirmelerin yanı sıra güçlü beceriler sağlar.
 - Yeni “Yüklü Vuruş” oynanışı: Eğitim alanında düşmanları yen ve ekipman elde etmek için planlar ve malzemeler al!
 - Yeni etkinlikler: “Davetli” Yıldız Kolezyumu Etkinliği, “Paylaşılan Ünlü”, “Şanslı Çılgınlık”.
 - Optimizasyonlar: Yeni VIP seviyeleri, geliştirilmiş En Üstün Maymun, Sohbet, Büyük Tren Yarışı, Geçit Töreni Yeri ve sefer deneyimleri.
&lt;/tr-TR&gt;
&lt;vi&gt;
- Hệ thống "trang bị" mới cho Chiến Binh: Giới thiệu các trang bị chiến đấu và cách chế tạo. Trang bị cung cấp thêm các hiệu ứng có lợi cũng như những kỹ năng mạnh.
 - Lối chơi "Tấn Công Đã Tải" mới: Đánh bại kẻ địch trong vòng huấn luyện và nhận bản vẽ cùng các nguyên liệu để tạo trang bị!
 - Sự kiện mới: "Lời Mời" Đại Đấu Trường Thiên Thể, "Danh Tiếng Chung", "Tiệc Trứng May Mắn".
 - Tối ưu hóa: Các cấp VIP mới, cải tiến Chúa Khỉ Tối Cao, Chat, Đường Đua Xe Lửa Lớn, Sân Diễu Hành và các trải nghiệm hành quân.
&lt;/vi&gt;
</v>
      </c>
      <c r="C47" s="44" t="str">
        <f>IFERROR(__xludf.DUMMYFUNCTION("""COMPUTED_VALUE"""),"-新增斗士“战装”系统：推出了斗士可以佩戴的战斗装备及其制造系统，战装在提供额外的属性增益同时，还会生成强大的战装技能；
-新增玩法“重装出击”：打败试炼战场中的敌人，获得打造特殊战装的图纸和材料！
-新增活动：新增决战卫星之巅“邀请赛”、新增“齐心扬名”活动、新增“彩蛋节派对”系列活动；
-优化内容：VIP系统开放新等级，优化了最强猴子、聊天系统、火车竞赛、阅兵场和行军相关体验；")</f>
        <v>-新增斗士“战装”系统：推出了斗士可以佩戴的战斗装备及其制造系统，战装在提供额外的属性增益同时，还会生成强大的战装技能；
-新增玩法“重装出击”：打败试炼战场中的敌人，获得打造特殊战装的图纸和材料！
-新增活动：新增决战卫星之巅“邀请赛”、新增“齐心扬名”活动、新增“彩蛋节派对”系列活动；
-优化内容：VIP系统开放新等级，优化了最强猴子、聊天系统、火车竞赛、阅兵场和行军相关体验；</v>
      </c>
      <c r="D47" s="160" t="str">
        <f>IFERROR(__xludf.DUMMYFUNCTION("""COMPUTED_VALUE"""),"- New ""equipment"" system for Fighters: Introducing battle equipments and how to make them. Equipment provides extra boosts as well as powerful skills.
- New ""Loaded Strike"" gameplay: Defeat enemies in the training ground and get blueprints and materia"&amp;"ls to make equipments!
- New events: Astral Coliseum ""Invitational,"" ""Shared Renown,"" ""Lucky Eggstravaganza.""
- Optimizations: New VIP levels, improved Ultimate Monkey, Chat, Great Train Race, Parade Grounds, and marching experiences.")</f>
        <v>- New "equipment" system for Fighters: Introducing battle equipments and how to make them. Equipment provides extra boosts as well as powerful skills.
- New "Loaded Strike" gameplay: Defeat enemies in the training ground and get blueprints and materials to make equipments!
- New events: Astral Coliseum "Invitational," "Shared Renown," "Lucky Eggstravaganza."
- Optimizations: New VIP levels, improved Ultimate Monkey, Chat, Great Train Race, Parade Grounds, and marching experiences.</v>
      </c>
      <c r="E47" s="159" t="str">
        <f>IFERROR(__xludf.DUMMYFUNCTION("""COMPUTED_VALUE"""),"- Nouveau système ""d'équipement"" pour les combattants: découvrez comment fabriquer de l'équipement militaire procurant des bonus supplémentaires et de puissantes compétences.
- Nouveau gameplay de ""la Frappe Chargée"": éliminez des ennemis sur le terra"&amp;"in d'entraînement pour obtenir les plans et matériaux nécessaires à la fabrication d'équipement!
- Nouveaux évènements: ""Cercle du Colisée astral"", ""Renommée partagée"" et ""Festi-Pâques"".
- Optimisations: nouveaux niveaux VIP, Singe ultime, chat, Gra"&amp;"nde course de train, place d'armes et déplacements améliorés.")</f>
        <v>- Nouveau système "d'équipement" pour les combattants: découvrez comment fabriquer de l'équipement militaire procurant des bonus supplémentaires et de puissantes compétences.
- Nouveau gameplay de "la Frappe Chargée": éliminez des ennemis sur le terrain d'entraînement pour obtenir les plans et matériaux nécessaires à la fabrication d'équipement!
- Nouveaux évènements: "Cercle du Colisée astral", "Renommée partagée" et "Festi-Pâques".
- Optimisations: nouveaux niveaux VIP, Singe ultime, chat, Grande course de train, place d'armes et déplacements améliorés.</v>
      </c>
      <c r="F47" s="159" t="str">
        <f>IFERROR(__xludf.DUMMYFUNCTION("""COMPUTED_VALUE"""),"- Neues ""Ausrüstungs""-System für Kämpfer: Einführung und Herstellung von Kampfausrüstungen. Ausrüstungen bieten zusätzliche Verstärkungen und mächtige Fähigkeiten.
 - Neues ""Geladener Schlag""-Gameplay: Besiege deine Feinde auf dem Übungsplatz und erha"&amp;"lte Baupläne und Materialien, um Ausrüstungen herzustellen!
 - Neue Events: Astral-Kolosseum-Einladungsturnier, Geteilter Ruhm, Glücksei-Spektakel.
 - Optimierungen: Neue VIP-Level, verbesserter Ultimativer Affe, Chat, Großes Zugrennen, Paradeplätze und M"&amp;"arscherfahrungen.")</f>
        <v>- Neues "Ausrüstungs"-System für Kämpfer: Einführung und Herstellung von Kampfausrüstungen. Ausrüstungen bieten zusätzliche Verstärkungen und mächtige Fähigkeiten.
 - Neues "Geladener Schlag"-Gameplay: Besiege deine Feinde auf dem Übungsplatz und erhalte Baupläne und Materialien, um Ausrüstungen herzustellen!
 - Neue Events: Astral-Kolosseum-Einladungsturnier, Geteilter Ruhm, Glücksei-Spektakel.
 - Optimierungen: Neue VIP-Level, verbesserter Ultimativer Affe, Chat, Großes Zugrennen, Paradeplätze und Marscherfahrungen.</v>
      </c>
      <c r="G47" s="159" t="str">
        <f>IFERROR(__xludf.DUMMYFUNCTION("""COMPUTED_VALUE"""),"- Novo sistema de ""equipamentos"" para combatentes: apresentando equipamentos de batalha e como criá-lo. Os equipamentos fornecem bônus extras, assim como habilidades poderosas.
 - Novo modo ""Ataque Carregado"": derrote inimigos na área de exercício e o"&amp;"btenha diagramas e materiais para fazer equipamentos!
 - Novos eventos: Coliseu Astral ""Para convidados"", ""Renome Compartilhado"", ""Caça aos Ovos da Sorte"".
 - Otimizações: novos níveis VIP, melhoria no chat do Macaco Supremo, Grande Corrida dos Tren"&amp;"s, Praça de Armas e experiência de marcha.")</f>
        <v>- Novo sistema de "equipamentos" para combatentes: apresentando equipamentos de batalha e como criá-lo. Os equipamentos fornecem bônus extras, assim como habilidades poderosas.
 - Novo modo "Ataque Carregado": derrote inimigos na área de exercício e obtenha diagramas e materiais para fazer equipamentos!
 - Novos eventos: Coliseu Astral "Para convidados", "Renome Compartilhado", "Caça aos Ovos da Sorte".
 - Otimizações: novos níveis VIP, melhoria no chat do Macaco Supremo, Grande Corrida dos Trens, Praça de Armas e experiência de marcha.</v>
      </c>
      <c r="H47" s="159" t="str">
        <f>IFERROR(__xludf.DUMMYFUNCTION("""COMPUTED_VALUE"""),"-新增鬥士“戰裝”系統：推出了鬥士可以佩戴的戰鬥裝備及其製造系統，戰裝在提供額外的屬性增益同時，還會生成強大的戰裝技能；
-新增玩法“重裝出擊”：打敗試煉戰場中的敵人，獲得打造特殊戰裝的圖紙和材料！
-新增活動：新增決戰衛星之巔“邀請賽”、新增“齊心揚名”活動、新增“彩蛋節派對”系列活動；
-優化內容：VIP系統開放新等級，優化了最強猴子、聊天系統、火車競賽、閱兵場和行軍相關體驗；")</f>
        <v>-新增鬥士“戰裝”系統：推出了鬥士可以佩戴的戰鬥裝備及其製造系統，戰裝在提供額外的屬性增益同時，還會生成強大的戰裝技能；
-新增玩法“重裝出擊”：打敗試煉戰場中的敵人，獲得打造特殊戰裝的圖紙和材料！
-新增活動：新增決戰衛星之巔“邀請賽”、新增“齊心揚名”活動、新增“彩蛋節派對”系列活動；
-優化內容：VIP系統開放新等級，優化了最強猴子、聊天系統、火車競賽、閱兵場和行軍相關體驗；</v>
      </c>
      <c r="I47" s="159" t="str">
        <f>IFERROR(__xludf.DUMMYFUNCTION("""COMPUTED_VALUE"""),"- Sistem ""peralatan"" baru untuk Pejuang: Memperkenalkan peralatan pertarungan dan cara menggunakannya. Peralatan memberikan boost tambahan serta skill kuat.
 - Gameplay ""Serangan Penuh"" baru: Kalahkan musuh di medan pelatihan serta dapatkan cetak biru"&amp;" dan material untuk membuat peralatan!
 - Acara baru: Koloseum Astral ""Undangan"", ""Ketenaran Bersama"", ""Eggstravaganza Keberuntungan"".
 - Pengoptimalan: Level VIP baru, memperbaiki Kera Terhebat, Obrolan, Balapan Kereta Hebat, Lapangan Parade, dan p"&amp;"engalaman berbaris.")</f>
        <v>- Sistem "peralatan" baru untuk Pejuang: Memperkenalkan peralatan pertarungan dan cara menggunakannya. Peralatan memberikan boost tambahan serta skill kuat.
 - Gameplay "Serangan Penuh" baru: Kalahkan musuh di medan pelatihan serta dapatkan cetak biru dan material untuk membuat peralatan!
 - Acara baru: Koloseum Astral "Undangan", "Ketenaran Bersama", "Eggstravaganza Keberuntungan".
 - Pengoptimalan: Level VIP baru, memperbaiki Kera Terhebat, Obrolan, Balapan Kereta Hebat, Lapangan Parade, dan pengalaman berbaris.</v>
      </c>
      <c r="J47" s="159" t="str">
        <f>IFERROR(__xludf.DUMMYFUNCTION("""COMPUTED_VALUE"""),"- ระบบ ""อุปกรณ์"" ใหม่ของนักสู้: เปิดตัวอุปกรณ์การต่อสู้และวิธีสร้าง โดยอุปกรณ์จะให้บูสต์พิเศษและทักษะอันทรงพลัง
 - รูปแบบการเล่นใหม่ ""กระหน่ำโจมตี"": กำจัดศัตรูในสนามฝึก แล้วรับพิมพ์เขียวและวัสดุเพื่อสร้างอุปกรณ์!
 - กิจกรรมใหม่: ""การเชิญเข้าร่วม"" โค"&amp;"ลีเซียมดวงดาว, ""ร่วมประกาศชื่อเสียง"" และ ""ไข่นำโชคสุดอัศจรรย์""
 - การปรับปรุง: ระดับวีไอพีใหม่, ปรับปรุงกิจกรรมลิงที่แข็งแกร่งที่สุด, แชท, การแข่งขันรถไฟครั้งยิ่งใหญ่, ลานเดินทัพ และประสบการณ์การเดินทัพ")</f>
        <v>- ระบบ "อุปกรณ์" ใหม่ของนักสู้: เปิดตัวอุปกรณ์การต่อสู้และวิธีสร้าง โดยอุปกรณ์จะให้บูสต์พิเศษและทักษะอันทรงพลัง
 - รูปแบบการเล่นใหม่ "กระหน่ำโจมตี": กำจัดศัตรูในสนามฝึก แล้วรับพิมพ์เขียวและวัสดุเพื่อสร้างอุปกรณ์!
 - กิจกรรมใหม่: "การเชิญเข้าร่วม" โคลีเซียมดวงดาว, "ร่วมประกาศชื่อเสียง" และ "ไข่นำโชคสุดอัศจรรย์"
 - การปรับปรุง: ระดับวีไอพีใหม่, ปรับปรุงกิจกรรมลิงที่แข็งแกร่งที่สุด, แชท, การแข่งขันรถไฟครั้งยิ่งใหญ่, ลานเดินทัพ และประสบการณ์การเดินทัพ</v>
      </c>
      <c r="K47" s="159" t="str">
        <f>IFERROR(__xludf.DUMMYFUNCTION("""COMPUTED_VALUE"""),"- Nuevo sistema de ""equipo"" para Luchadores: Estamos presentando los equipos de batalla y cómo fabricarlos. El equipo proporciona potenciadores adicionales, así como poderosas habilidades.
 - Nueva jugabilidad ""Golpe Cargado"": ¡Derrota a los enemigos "&amp;"en el campo de entrenamiento y obtén planos y materiales para fabricar equipos!
 - Nuevos eventos: “Invitacional” del Coliseo Astral, “Renombre compartido"", ""Espectáculo de los Huevos de la Suerte"".
 - Optimizaciones: Nuevos niveles de VIP, mejoras en "&amp;"el Mono Supremo, Chat, Gran Carrera del Tren, Plaza de Armas y las experiencias de marcha.")</f>
        <v>- Nuevo sistema de "equipo" para Luchadores: Estamos presentando los equipos de batalla y cómo fabricarlos. El equipo proporciona potenciadores adicionales, así como poderosas habilidades.
 - Nueva jugabilidad "Golpe Cargado": ¡Derrota a los enemigos en el campo de entrenamiento y obtén planos y materiales para fabricar equipos!
 - Nuevos eventos: “Invitacional” del Coliseo Astral, “Renombre compartido", "Espectáculo de los Huevos de la Suerte".
 - Optimizaciones: Nuevos niveles de VIP, mejoras en el Mono Supremo, Chat, Gran Carrera del Tren, Plaza de Armas y las experiencias de marcha.</v>
      </c>
      <c r="L47" s="159" t="str">
        <f>IFERROR(__xludf.DUMMYFUNCTION("""COMPUTED_VALUE"""),"- Новая система «снаряжения» для героев: представляем боевое снаряжение и способы его изготовить. Снаряжение дает дополнительные усиления, а также мощные навыки.
- Новый способ игры «Заряженный удар»: побеждайте врагов на тренировочной площадке и получайт"&amp;"е чертежи и материалы для изготовления снаряжения!
- Новые события: «Закрытый турнир в Астральном Колизее», «Общая известность» и «Феерия счастливых яиц».
- Оптимизация: новые уровни VIP, улучшения для «Великой обезьяны», чата, «Больших гонок на поездах»,"&amp;" парадного плаца и маршей.")</f>
        <v>- Новая система «снаряжения» для героев: представляем боевое снаряжение и способы его изготовить. Снаряжение дает дополнительные усиления, а также мощные навыки.
- Новый способ игры «Заряженный удар»: побеждайте врагов на тренировочной площадке и получайте чертежи и материалы для изготовления снаряжения!
- Новые события: «Закрытый турнир в Астральном Колизее», «Общая известность» и «Феерия счастливых яиц».
- Оптимизация: новые уровни VIP, улучшения для «Великой обезьяны», чата, «Больших гонок на поездах», парадного плаца и маршей.</v>
      </c>
      <c r="M47" s="159" t="str">
        <f>IFERROR(__xludf.DUMMYFUNCTION("""COMPUTED_VALUE"""),"- Savaşçılar için yeni “ekipman” sistemi: Savaş ekipmanlarının tanıtılması ve yapılma şekilleri. Ekipman ekstra güçlendirmelerin yanı sıra güçlü beceriler sağlar.
 - Yeni “Yüklü Vuruş” oynanışı: Eğitim alanında düşmanları yen ve ekipman elde etmek için pl"&amp;"anlar ve malzemeler al!
 - Yeni etkinlikler: “Davetli” Yıldız Kolezyumu Etkinliği, “Paylaşılan Ünlü”, “Şanslı Çılgınlık”.
 - Optimizasyonlar: Yeni VIP seviyeleri, geliştirilmiş En Üstün Maymun, Sohbet, Büyük Tren Yarışı, Geçit Töreni Yeri ve sefer deneyim"&amp;"leri.")</f>
        <v>- Savaşçılar için yeni “ekipman” sistemi: Savaş ekipmanlarının tanıtılması ve yapılma şekilleri. Ekipman ekstra güçlendirmelerin yanı sıra güçlü beceriler sağlar.
 - Yeni “Yüklü Vuruş” oynanışı: Eğitim alanında düşmanları yen ve ekipman elde etmek için planlar ve malzemeler al!
 - Yeni etkinlikler: “Davetli” Yıldız Kolezyumu Etkinliği, “Paylaşılan Ünlü”, “Şanslı Çılgınlık”.
 - Optimizasyonlar: Yeni VIP seviyeleri, geliştirilmiş En Üstün Maymun, Sohbet, Büyük Tren Yarışı, Geçit Töreni Yeri ve sefer deneyimleri.</v>
      </c>
      <c r="N47" s="45" t="str">
        <f>IFERROR(__xludf.DUMMYFUNCTION("""COMPUTED_VALUE"""),"- Hệ thống ""trang bị"" mới cho Chiến Binh: Giới thiệu các trang bị chiến đấu và cách chế tạo. Trang bị cung cấp thêm các hiệu ứng có lợi cũng như những kỹ năng mạnh.
 - Lối chơi ""Tấn Công Đã Tải"" mới: Đánh bại kẻ địch trong vòng huấn luyện và nhận bản "&amp;"vẽ cùng các nguyên liệu để tạo trang bị!
 - Sự kiện mới: ""Lời Mời"" Đại Đấu Trường Thiên Thể, ""Danh Tiếng Chung"", ""Tiệc Trứng May Mắn"".
 - Tối ưu hóa: Các cấp VIP mới, cải tiến Chúa Khỉ Tối Cao, Chat, Đường Đua Xe Lửa Lớn, Sân Diễu Hành và các trải n"&amp;"ghiệm hành quân.")</f>
        <v>- Hệ thống "trang bị" mới cho Chiến Binh: Giới thiệu các trang bị chiến đấu và cách chế tạo. Trang bị cung cấp thêm các hiệu ứng có lợi cũng như những kỹ năng mạnh.
 - Lối chơi "Tấn Công Đã Tải" mới: Đánh bại kẻ địch trong vòng huấn luyện và nhận bản vẽ cùng các nguyên liệu để tạo trang bị!
 - Sự kiện mới: "Lời Mời" Đại Đấu Trường Thiên Thể, "Danh Tiếng Chung", "Tiệc Trứng May Mắn".
 - Tối ưu hóa: Các cấp VIP mới, cải tiến Chúa Khỉ Tối Cao, Chat, Đường Đua Xe Lửa Lớn, Sân Diễu Hành và các trải nghiệm hành quân.</v>
      </c>
      <c r="O47" s="45"/>
      <c r="P47" s="34"/>
      <c r="Q47" s="34"/>
      <c r="R47" s="34"/>
      <c r="S47" s="34"/>
      <c r="T47" s="108"/>
      <c r="U47" s="108"/>
      <c r="V47" s="108"/>
      <c r="W47" s="108"/>
      <c r="X47" s="108"/>
      <c r="Y47" s="108"/>
      <c r="Z47" s="108"/>
    </row>
    <row r="48" ht="72.0" customHeight="1">
      <c r="A48" s="149" t="str">
        <f>IFERROR(__xludf.DUMMYFUNCTION("""COMPUTED_VALUE"""),"0.41.0")</f>
        <v>0.41.0</v>
      </c>
      <c r="B48" s="174" t="str">
        <f>IFERROR(__xludf.DUMMYFUNCTION("""COMPUTED_VALUE"""),"&lt;en-US&gt;
- New march special effects: Give your marching troops cool and eye-catching special effects!
- New Gear visual effects: Upgrade Gears and Weapons to give your troops more striking visual effects!
- New Fighter: Rainbow Rider, Tiffany.
- Optimizat"&amp;"ions: Improved the Gang system, avatar frame interface, Loaded Strike, event access, Attack on Dr. Hogg and Colin's Exploration.
&lt;/en-US&gt;
&lt;fr-FR&gt;
- Nouveaux effets de déplacement: donnez un coup de fouet visuel avec des effets spéciaux pour vos troupes en"&amp;" déplacement!
- Nouveaux effets visuels pour l'équipement: améliorez l'équipement et les armes de vos troupes pour booster leur apparence!
- Nouvelle combattante: Tiffany, la motarde irisée.
- Optimisations du système des gangs, de l'interface des cadres "&amp;"d'avatar, de la Frappe chargée, de l'accès aux évènements, de l'Attaque du Dr Hogg et de l'Exploration de Colin.
&lt;/fr-FR&gt;
&lt;de-DE&gt;
- Neue Marsch-Spezialeffekte: Verleihe deinen marschierenden Truppen aufsehenerregende und coole Spezialeffekte!
- Neue visue"&amp;"lle Effekte für Ausrüstung: Werte Ausrüstungen und Waffen auf, um deinen Truppen auffälligere visuelle Effekte zu verleihen!
- Neue Kämpferin: Die Regenbogenreiterin, Tiffany.
- Optimierungen: Verbessertes Clan-System, Avatarrahmen-Interface, Geladener Sc"&amp;"hlag, Event-Zugang, Angriff auf Dr. Hogg und Colins Erkundung.
&lt;/de-DE&gt;
&lt;pt-BR&gt;
- Novos efeitos especiais de marcha: conceda às suas tropas em marcha um efeito especial estiloso!
- Novos efeitos visuais de equipamento: melhore equipamentos e armas para da"&amp;"r às suas tropas efeitos visuais mais chamativos!
- Nova combatente: Tiffany, Motoqueira Arco-íris
- Otimizações: melhoria no sistema de gangues, interface de moldura de avatar, Ataque Carregado, acesso a eventos, Ataque a Dr. Hogg e Exploração de Colin.
"&amp;"&lt;/pt-BR&gt;
&lt;zh-HK&gt;
-新增行軍特效系統：帶上酷炫的特效行軍出征，成為最靚麗的一猿！
-新增軍備外顯特效：提升軍備武裝等級，為士兵們解鎖更亮眼的特效！
-新增鬥士：彩虹騎士-蒂芙尼；
-優化內容：優化了幫派系統、頭像框界面、重裝出擊、活動入口、討伐霍格博士和科林的探索相關體驗。
&lt;/zh-HK&gt;
&lt;id&gt;
- Efek khusus berbaris baru: Memberikan efek khusus yang keren dan menarik ke pasukanmu yang be"&amp;"rbaris!
- Efek visual Peralatan baru: Tingkatkan Peralatan dan Senjata untuk memberikan pasukanmu efek visual yang lebih mangagumkan!
- Pejuang Baru: Pengendara Pelangi, Tiffany.
- Pengoptimalan: Sistem Geng yang ditingkatkan, antarmuka bingkai avatar, Pu"&amp;"kulan Berisi, akses acara, Penyerangan Dr. Hogg, dan Penjelajahan Colin.
&lt;/id&gt;
&lt;th&gt;
- เอฟเฟกต์การเดินทัพพิเศษ: มอบเอฟเฟกต์พิเศษสุดคูลให้กับกองกำลังของคุณ!
- ภาพเอฟเฟกต์อุปกรณ์ใหม่: อัปเกรดอุปกรณ์และอาวุธ เพื่อให้กองทหารของคุณมีภาพเอฟเฟกต์ที่โดดเด่นยิ่งขึ้"&amp;"น!
- นักสู้ตัวใหม่: ทิฟฟานี่ นักบิดสายรุ้ง
- การปรับปรุง: ปรับปรุงระบบแก๊ง, อินเทอร์เฟซกรอบรูปอวาตาร์, กระหน่ำโจมตี, การเข้าร่วมกิจกรรม, การโจมตี ดร.ฮ็อกก์ และการสำรวจของโคลิน
&lt;/th&gt;
&lt;es-419&gt;
- Nuevos efectos especiales de marcha: ¡Dale a tus tropas en mar"&amp;"cha efectos especiales geniales y vistosos!
- Nuevos efectos visuales para los Equipos: ¡Mejora los Equipos y las Armas para dar a tus tropas efectos visuales más llamativos!
- Nuevo luchador: Tiffany, Jinete del Arcoíris.
- Optimizaciones: Mejora en el s"&amp;"istema de Bandas, interfaz del marco de avatar, Ataque Cargado, acceso a los eventos, Ataque al Dr. Hogg y la Exploración de Colin.
&lt;/es-419&gt;
&lt;ru-RU&gt;
- Новые спецэффекты для марша: украсьте свои войска на марше крутыми и броскими спецэффектами!
- Новые гр"&amp;"афические эффекты снаряжения: улучшайте снаряжение и оружие, чтобы придать своим войскам более яркие графические эффекты!
- Новый боец: Тиффани, Радужная всадница.
- Оптимизации: улучшена система банд, интерфейс рамки аватара, «Заряженный удар», доступ к "&amp;"событиям, «Атака на доктора Хогга» и «Исследования Колина».
&lt;/ru-RU&gt;
&lt;tr-TR&gt;
- Seferlerde yeni özel efektler. Seferdeki birliklerine havalı ve göz alıcı özel efektler ver!
- Yeni Aksesuar görsel efektleri: Birliklerine daha çarpıcı görsel efektler vermek "&amp;"için Aksesuarları ve Silahları yükselt!
- Yeni Savaşçı: Gökkuşağı Binicisi Tiffany.
- Optimizasyonlar: Çete sistemi, avatar çerçevesi arayüzü, Yüklü Vuruş, etkinlik erişimi, Dr. Hogg’a Saldırı ve Colin’in Keşfi iyileştirildi.
&lt;/tr-TR&gt;
&lt;vi&gt;
- Hiệu ứng hành"&amp;" quân đặc biệt mới: Mang lại cho binh lính của bạn các hiệu ứng đặc biệt bắt mắt và cool ngầu!
- Hiệu ứng hình ảnh trang bị mới: Nâng cấp Trang Bị và Vũ Khí để mang lại cho binh lính của bạn thêm nhiều hiệu ứng hình ảnh nổi bật!
- Chiến Binh mới: Tay Đua "&amp;"Cầu Vồng, Tiffany.
- Tối ưu hóa: Cải thiện hệ thống Bang Hội, giao diện khung ảnh đại diện, Tấn Công Đã Tải, truy cập vào sự kiện, Tấn công Tiến Sĩ Hogg và Khám Phá Của Colin.
&lt;/vi&gt;
")</f>
        <v>&lt;en-US&gt;
- New march special effects: Give your marching troops cool and eye-catching special effects!
- New Gear visual effects: Upgrade Gears and Weapons to give your troops more striking visual effects!
- New Fighter: Rainbow Rider, Tiffany.
- Optimizations: Improved the Gang system, avatar frame interface, Loaded Strike, event access, Attack on Dr. Hogg and Colin's Exploration.
&lt;/en-US&gt;
&lt;fr-FR&gt;
- Nouveaux effets de déplacement: donnez un coup de fouet visuel avec des effets spéciaux pour vos troupes en déplacement!
- Nouveaux effets visuels pour l'équipement: améliorez l'équipement et les armes de vos troupes pour booster leur apparence!
- Nouvelle combattante: Tiffany, la motarde irisée.
- Optimisations du système des gangs, de l'interface des cadres d'avatar, de la Frappe chargée, de l'accès aux évènements, de l'Attaque du Dr Hogg et de l'Exploration de Colin.
&lt;/fr-FR&gt;
&lt;de-DE&gt;
- Neue Marsch-Spezialeffekte: Verleihe deinen marschierenden Truppen aufsehenerregende und coole Spezialeffekte!
- Neue visuelle Effekte für Ausrüstung: Werte Ausrüstungen und Waffen auf, um deinen Truppen auffälligere visuelle Effekte zu verleihen!
- Neue Kämpferin: Die Regenbogenreiterin, Tiffany.
- Optimierungen: Verbessertes Clan-System, Avatarrahmen-Interface, Geladener Schlag, Event-Zugang, Angriff auf Dr. Hogg und Colins Erkundung.
&lt;/de-DE&gt;
&lt;pt-BR&gt;
- Novos efeitos especiais de marcha: conceda às suas tropas em marcha um efeito especial estiloso!
- Novos efeitos visuais de equipamento: melhore equipamentos e armas para dar às suas tropas efeitos visuais mais chamativos!
- Nova combatente: Tiffany, Motoqueira Arco-íris
- Otimizações: melhoria no sistema de gangues, interface de moldura de avatar, Ataque Carregado, acesso a eventos, Ataque a Dr. Hogg e Exploração de Colin.
&lt;/pt-BR&gt;
&lt;zh-HK&gt;
-新增行軍特效系統：帶上酷炫的特效行軍出征，成為最靚麗的一猿！
-新增軍備外顯特效：提升軍備武裝等級，為士兵們解鎖更亮眼的特效！
-新增鬥士：彩虹騎士-蒂芙尼；
-優化內容：優化了幫派系統、頭像框界面、重裝出擊、活動入口、討伐霍格博士和科林的探索相關體驗。
&lt;/zh-HK&gt;
&lt;id&gt;
- Efek khusus berbaris baru: Memberikan efek khusus yang keren dan menarik ke pasukanmu yang berbaris!
- Efek visual Peralatan baru: Tingkatkan Peralatan dan Senjata untuk memberikan pasukanmu efek visual yang lebih mangagumkan!
- Pejuang Baru: Pengendara Pelangi, Tiffany.
- Pengoptimalan: Sistem Geng yang ditingkatkan, antarmuka bingkai avatar, Pukulan Berisi, akses acara, Penyerangan Dr. Hogg, dan Penjelajahan Colin.
&lt;/id&gt;
&lt;th&gt;
- เอฟเฟกต์การเดินทัพพิเศษ: มอบเอฟเฟกต์พิเศษสุดคูลให้กับกองกำลังของคุณ!
- ภาพเอฟเฟกต์อุปกรณ์ใหม่: อัปเกรดอุปกรณ์และอาวุธ เพื่อให้กองทหารของคุณมีภาพเอฟเฟกต์ที่โดดเด่นยิ่งขึ้น!
- นักสู้ตัวใหม่: ทิฟฟานี่ นักบิดสายรุ้ง
- การปรับปรุง: ปรับปรุงระบบแก๊ง, อินเทอร์เฟซกรอบรูปอวาตาร์, กระหน่ำโจมตี, การเข้าร่วมกิจกรรม, การโจมตี ดร.ฮ็อกก์ และการสำรวจของโคลิน
&lt;/th&gt;
&lt;es-419&gt;
- Nuevos efectos especiales de marcha: ¡Dale a tus tropas en marcha efectos especiales geniales y vistosos!
- Nuevos efectos visuales para los Equipos: ¡Mejora los Equipos y las Armas para dar a tus tropas efectos visuales más llamativos!
- Nuevo luchador: Tiffany, Jinete del Arcoíris.
- Optimizaciones: Mejora en el sistema de Bandas, interfaz del marco de avatar, Ataque Cargado, acceso a los eventos, Ataque al Dr. Hogg y la Exploración de Colin.
&lt;/es-419&gt;
&lt;ru-RU&gt;
- Новые спецэффекты для марша: украсьте свои войска на марше крутыми и броскими спецэффектами!
- Новые графические эффекты снаряжения: улучшайте снаряжение и оружие, чтобы придать своим войскам более яркие графические эффекты!
- Новый боец: Тиффани, Радужная всадница.
- Оптимизации: улучшена система банд, интерфейс рамки аватара, «Заряженный удар», доступ к событиям, «Атака на доктора Хогга» и «Исследования Колина».
&lt;/ru-RU&gt;
&lt;tr-TR&gt;
- Seferlerde yeni özel efektler. Seferdeki birliklerine havalı ve göz alıcı özel efektler ver!
- Yeni Aksesuar görsel efektleri: Birliklerine daha çarpıcı görsel efektler vermek için Aksesuarları ve Silahları yükselt!
- Yeni Savaşçı: Gökkuşağı Binicisi Tiffany.
- Optimizasyonlar: Çete sistemi, avatar çerçevesi arayüzü, Yüklü Vuruş, etkinlik erişimi, Dr. Hogg’a Saldırı ve Colin’in Keşfi iyileştirildi.
&lt;/tr-TR&gt;
&lt;vi&gt;
- Hiệu ứng hành quân đặc biệt mới: Mang lại cho binh lính của bạn các hiệu ứng đặc biệt bắt mắt và cool ngầu!
- Hiệu ứng hình ảnh trang bị mới: Nâng cấp Trang Bị và Vũ Khí để mang lại cho binh lính của bạn thêm nhiều hiệu ứng hình ảnh nổi bật!
- Chiến Binh mới: Tay Đua Cầu Vồng, Tiffany.
- Tối ưu hóa: Cải thiện hệ thống Bang Hội, giao diện khung ảnh đại diện, Tấn Công Đã Tải, truy cập vào sự kiện, Tấn công Tiến Sĩ Hogg và Khám Phá Của Colin.
&lt;/vi&gt;
</v>
      </c>
      <c r="C48" s="44" t="str">
        <f>IFERROR(__xludf.DUMMYFUNCTION("""COMPUTED_VALUE"""),"-新增行军特效系统：带上酷炫的特效行军出征，成为最靓丽的一猿！
-新增军备外显特效：提升军备武装等级，为士兵们解锁更亮眼的特效！
-新增斗士：彩虹骑士-蒂芙尼；
-优化内容：优化了帮派系统、头像框界面、重装出击、活动入口、讨伐霍格博士和科林的探索相关体验。")</f>
        <v>-新增行军特效系统：带上酷炫的特效行军出征，成为最靓丽的一猿！
-新增军备外显特效：提升军备武装等级，为士兵们解锁更亮眼的特效！
-新增斗士：彩虹骑士-蒂芙尼；
-优化内容：优化了帮派系统、头像框界面、重装出击、活动入口、讨伐霍格博士和科林的探索相关体验。</v>
      </c>
      <c r="D48" s="160" t="str">
        <f>IFERROR(__xludf.DUMMYFUNCTION("""COMPUTED_VALUE"""),"- New march special effects: Give your marching troops cool and eye-catching special effects!
- New Gear visual effects: Upgrade Gears and Weapons to give your troops more striking visual effects!
- New Fighter: Rainbow Rider, Tiffany.
- Optimizations: Im"&amp;"proved the Gang system, avatar frame interface, Loaded Strike, event access, Attack on Dr. Hogg and Colin's Exploration.")</f>
        <v>- New march special effects: Give your marching troops cool and eye-catching special effects!
- New Gear visual effects: Upgrade Gears and Weapons to give your troops more striking visual effects!
- New Fighter: Rainbow Rider, Tiffany.
- Optimizations: Improved the Gang system, avatar frame interface, Loaded Strike, event access, Attack on Dr. Hogg and Colin's Exploration.</v>
      </c>
      <c r="E48" s="159" t="str">
        <f>IFERROR(__xludf.DUMMYFUNCTION("""COMPUTED_VALUE"""),"- Nouveaux effets de déplacement: donnez un coup de fouet visuel avec des effets spéciaux pour vos troupes en déplacement!
- Nouveaux effets visuels pour l'équipement: améliorez l'équipement et les armes de vos troupes pour booster leur apparence!
- Nouve"&amp;"lle combattante: Tiffany, la motarde irisée.
- Optimisations du système des gangs, de l'interface des cadres d'avatar, de la Frappe chargée, de l'accès aux évènements, de l'Attaque du Dr Hogg et de l'Exploration de Colin.")</f>
        <v>- Nouveaux effets de déplacement: donnez un coup de fouet visuel avec des effets spéciaux pour vos troupes en déplacement!
- Nouveaux effets visuels pour l'équipement: améliorez l'équipement et les armes de vos troupes pour booster leur apparence!
- Nouvelle combattante: Tiffany, la motarde irisée.
- Optimisations du système des gangs, de l'interface des cadres d'avatar, de la Frappe chargée, de l'accès aux évènements, de l'Attaque du Dr Hogg et de l'Exploration de Colin.</v>
      </c>
      <c r="F48" s="159" t="str">
        <f>IFERROR(__xludf.DUMMYFUNCTION("""COMPUTED_VALUE"""),"- Neue Marsch-Spezialeffekte: Verleihe deinen marschierenden Truppen aufsehenerregende und coole Spezialeffekte!
- Neue visuelle Effekte für Ausrüstung: Werte Ausrüstungen und Waffen auf, um deinen Truppen auffälligere visuelle Effekte zu verleihen!
- Neu"&amp;"e Kämpferin: Die Regenbogenreiterin, Tiffany.
- Optimierungen: Verbessertes Clan-System, Avatarrahmen-Interface, Geladener Schlag, Event-Zugang, Angriff auf Dr. Hogg und Colins Erkundung.")</f>
        <v>- Neue Marsch-Spezialeffekte: Verleihe deinen marschierenden Truppen aufsehenerregende und coole Spezialeffekte!
- Neue visuelle Effekte für Ausrüstung: Werte Ausrüstungen und Waffen auf, um deinen Truppen auffälligere visuelle Effekte zu verleihen!
- Neue Kämpferin: Die Regenbogenreiterin, Tiffany.
- Optimierungen: Verbessertes Clan-System, Avatarrahmen-Interface, Geladener Schlag, Event-Zugang, Angriff auf Dr. Hogg und Colins Erkundung.</v>
      </c>
      <c r="G48" s="159" t="str">
        <f>IFERROR(__xludf.DUMMYFUNCTION("""COMPUTED_VALUE"""),"- Novos efeitos especiais de marcha: conceda às suas tropas em marcha um efeito especial estiloso!
- Novos efeitos visuais de equipamento: melhore equipamentos e armas para dar às suas tropas efeitos visuais mais chamativos!
- Nova combatente: Tiffany, Mo"&amp;"toqueira Arco-íris
- Otimizações: melhoria no sistema de gangues, interface de moldura de avatar, Ataque Carregado, acesso a eventos, Ataque a Dr. Hogg e Exploração de Colin.")</f>
        <v>- Novos efeitos especiais de marcha: conceda às suas tropas em marcha um efeito especial estiloso!
- Novos efeitos visuais de equipamento: melhore equipamentos e armas para dar às suas tropas efeitos visuais mais chamativos!
- Nova combatente: Tiffany, Motoqueira Arco-íris
- Otimizações: melhoria no sistema de gangues, interface de moldura de avatar, Ataque Carregado, acesso a eventos, Ataque a Dr. Hogg e Exploração de Colin.</v>
      </c>
      <c r="H48" s="159" t="str">
        <f>IFERROR(__xludf.DUMMYFUNCTION("""COMPUTED_VALUE"""),"-新增行軍特效系統：帶上酷炫的特效行軍出征，成為最靚麗的一猿！
-新增軍備外顯特效：提升軍備武裝等級，為士兵們解鎖更亮眼的特效！
-新增鬥士：彩虹騎士-蒂芙尼；
-優化內容：優化了幫派系統、頭像框界面、重裝出擊、活動入口、討伐霍格博士和科林的探索相關體驗。")</f>
        <v>-新增行軍特效系統：帶上酷炫的特效行軍出征，成為最靚麗的一猿！
-新增軍備外顯特效：提升軍備武裝等級，為士兵們解鎖更亮眼的特效！
-新增鬥士：彩虹騎士-蒂芙尼；
-優化內容：優化了幫派系統、頭像框界面、重裝出擊、活動入口、討伐霍格博士和科林的探索相關體驗。</v>
      </c>
      <c r="I48" s="159" t="str">
        <f>IFERROR(__xludf.DUMMYFUNCTION("""COMPUTED_VALUE"""),"- Efek khusus berbaris baru: Memberikan efek khusus yang keren dan menarik ke pasukanmu yang berbaris!
- Efek visual Peralatan baru: Tingkatkan Peralatan dan Senjata untuk memberikan pasukanmu efek visual yang lebih mangagumkan!
- Pejuang Baru: Pengendara"&amp;" Pelangi, Tiffany.
- Pengoptimalan: Sistem Geng yang ditingkatkan, antarmuka bingkai avatar, Pukulan Berisi, akses acara, Penyerangan Dr. Hogg, dan Penjelajahan Colin.")</f>
        <v>- Efek khusus berbaris baru: Memberikan efek khusus yang keren dan menarik ke pasukanmu yang berbaris!
- Efek visual Peralatan baru: Tingkatkan Peralatan dan Senjata untuk memberikan pasukanmu efek visual yang lebih mangagumkan!
- Pejuang Baru: Pengendara Pelangi, Tiffany.
- Pengoptimalan: Sistem Geng yang ditingkatkan, antarmuka bingkai avatar, Pukulan Berisi, akses acara, Penyerangan Dr. Hogg, dan Penjelajahan Colin.</v>
      </c>
      <c r="J48" s="159" t="str">
        <f>IFERROR(__xludf.DUMMYFUNCTION("""COMPUTED_VALUE"""),"- เอฟเฟกต์การเดินทัพพิเศษ: มอบเอฟเฟกต์พิเศษสุดคูลให้กับกองกำลังของคุณ!
- ภาพเอฟเฟกต์อุปกรณ์ใหม่: อัปเกรดอุปกรณ์และอาวุธ เพื่อให้กองทหารของคุณมีภาพเอฟเฟกต์ที่โดดเด่นยิ่งขึ้น!
- นักสู้ตัวใหม่: ทิฟฟานี่ นักบิดสายรุ้ง
- การปรับปรุง: ปรับปรุงระบบแก๊ง, อินเทอร์"&amp;"เฟซกรอบรูปอวาตาร์, กระหน่ำโจมตี, การเข้าร่วมกิจกรรม, การโจมตี ดร.ฮ็อกก์ และการสำรวจของโคลิน")</f>
        <v>- เอฟเฟกต์การเดินทัพพิเศษ: มอบเอฟเฟกต์พิเศษสุดคูลให้กับกองกำลังของคุณ!
- ภาพเอฟเฟกต์อุปกรณ์ใหม่: อัปเกรดอุปกรณ์และอาวุธ เพื่อให้กองทหารของคุณมีภาพเอฟเฟกต์ที่โดดเด่นยิ่งขึ้น!
- นักสู้ตัวใหม่: ทิฟฟานี่ นักบิดสายรุ้ง
- การปรับปรุง: ปรับปรุงระบบแก๊ง, อินเทอร์เฟซกรอบรูปอวาตาร์, กระหน่ำโจมตี, การเข้าร่วมกิจกรรม, การโจมตี ดร.ฮ็อกก์ และการสำรวจของโคลิน</v>
      </c>
      <c r="K48" s="159" t="str">
        <f>IFERROR(__xludf.DUMMYFUNCTION("""COMPUTED_VALUE"""),"- Nuevos efectos especiales de marcha: ¡Dale a tus tropas en marcha efectos especiales geniales y vistosos!
- Nuevos efectos visuales para los Equipos: ¡Mejora los Equipos y las Armas para dar a tus tropas efectos visuales más llamativos!
- Nuevo luchador"&amp;": Tiffany, Jinete del Arcoíris.
- Optimizaciones: Mejora en el sistema de Bandas, interfaz del marco de avatar, Ataque Cargado, acceso a los eventos, Ataque al Dr. Hogg y la Exploración de Colin.")</f>
        <v>- Nuevos efectos especiales de marcha: ¡Dale a tus tropas en marcha efectos especiales geniales y vistosos!
- Nuevos efectos visuales para los Equipos: ¡Mejora los Equipos y las Armas para dar a tus tropas efectos visuales más llamativos!
- Nuevo luchador: Tiffany, Jinete del Arcoíris.
- Optimizaciones: Mejora en el sistema de Bandas, interfaz del marco de avatar, Ataque Cargado, acceso a los eventos, Ataque al Dr. Hogg y la Exploración de Colin.</v>
      </c>
      <c r="L48" s="159" t="str">
        <f>IFERROR(__xludf.DUMMYFUNCTION("""COMPUTED_VALUE"""),"- Новые спецэффекты для марша: украсьте свои войска на марше крутыми и броскими спецэффектами!
- Новые графические эффекты снаряжения: улучшайте снаряжение и оружие, чтобы придать своим войскам более яркие графические эффекты!
- Новый боец: Тиффани, Радуж"&amp;"ная всадница.
- Оптимизации: улучшена система банд, интерфейс рамки аватара, «Заряженный удар», доступ к событиям, «Атака на доктора Хогга» и «Исследования Колина».")</f>
        <v>- Новые спецэффекты для марша: украсьте свои войска на марше крутыми и броскими спецэффектами!
- Новые графические эффекты снаряжения: улучшайте снаряжение и оружие, чтобы придать своим войскам более яркие графические эффекты!
- Новый боец: Тиффани, Радужная всадница.
- Оптимизации: улучшена система банд, интерфейс рамки аватара, «Заряженный удар», доступ к событиям, «Атака на доктора Хогга» и «Исследования Колина».</v>
      </c>
      <c r="M48" s="159" t="str">
        <f>IFERROR(__xludf.DUMMYFUNCTION("""COMPUTED_VALUE"""),"- Seferlerde yeni özel efektler. Seferdeki birliklerine havalı ve göz alıcı özel efektler ver!
- Yeni Aksesuar görsel efektleri: Birliklerine daha çarpıcı görsel efektler vermek için Aksesuarları ve Silahları yükselt!
- Yeni Savaşçı: Gökkuşağı Binicisi Ti"&amp;"ffany.
- Optimizasyonlar: Çete sistemi, avatar çerçevesi arayüzü, Yüklü Vuruş, etkinlik erişimi, Dr. Hogg’a Saldırı ve Colin’in Keşfi iyileştirildi.")</f>
        <v>- Seferlerde yeni özel efektler. Seferdeki birliklerine havalı ve göz alıcı özel efektler ver!
- Yeni Aksesuar görsel efektleri: Birliklerine daha çarpıcı görsel efektler vermek için Aksesuarları ve Silahları yükselt!
- Yeni Savaşçı: Gökkuşağı Binicisi Tiffany.
- Optimizasyonlar: Çete sistemi, avatar çerçevesi arayüzü, Yüklü Vuruş, etkinlik erişimi, Dr. Hogg’a Saldırı ve Colin’in Keşfi iyileştirildi.</v>
      </c>
      <c r="N48" s="45" t="str">
        <f>IFERROR(__xludf.DUMMYFUNCTION("""COMPUTED_VALUE"""),"- Hiệu ứng hành quân đặc biệt mới: Mang lại cho binh lính của bạn các hiệu ứng đặc biệt bắt mắt và cool ngầu!
- Hiệu ứng hình ảnh trang bị mới: Nâng cấp Trang Bị và Vũ Khí để mang lại cho binh lính của bạn thêm nhiều hiệu ứng hình ảnh nổi bật!
- Chiến Bin"&amp;"h mới: Tay Đua Cầu Vồng, Tiffany.
- Tối ưu hóa: Cải thiện hệ thống Bang Hội, giao diện khung ảnh đại diện, Tấn Công Đã Tải, truy cập vào sự kiện, Tấn công Tiến Sĩ Hogg và Khám Phá Của Colin.")</f>
        <v>- Hiệu ứng hành quân đặc biệt mới: Mang lại cho binh lính của bạn các hiệu ứng đặc biệt bắt mắt và cool ngầu!
- Hiệu ứng hình ảnh trang bị mới: Nâng cấp Trang Bị và Vũ Khí để mang lại cho binh lính của bạn thêm nhiều hiệu ứng hình ảnh nổi bật!
- Chiến Binh mới: Tay Đua Cầu Vồng, Tiffany.
- Tối ưu hóa: Cải thiện hệ thống Bang Hội, giao diện khung ảnh đại diện, Tấn Công Đã Tải, truy cập vào sự kiện, Tấn công Tiến Sĩ Hogg và Khám Phá Của Colin.</v>
      </c>
      <c r="O48" s="45"/>
      <c r="P48" s="34"/>
      <c r="Q48" s="34"/>
      <c r="R48" s="34"/>
      <c r="S48" s="34"/>
      <c r="T48" s="108"/>
      <c r="U48" s="108"/>
      <c r="V48" s="108"/>
      <c r="W48" s="108"/>
      <c r="X48" s="108"/>
      <c r="Y48" s="108"/>
      <c r="Z48" s="108"/>
    </row>
    <row r="49" ht="72.0" customHeight="1">
      <c r="A49" s="149" t="str">
        <f>IFERROR(__xludf.DUMMYFUNCTION("""COMPUTED_VALUE"""),"0.42.0")</f>
        <v>0.42.0</v>
      </c>
      <c r="B49" s="174" t="str">
        <f>IFERROR(__xludf.DUMMYFUNCTION("""COMPUTED_VALUE"""),"&lt;en-US&gt;
- New events: a new Planet War pitting thousands of players from different servers against one another; Baby Monkeys' Day events coming soon.
- New Fighter: Get Bazell the Beast from Ultimate Monkey.
- Tavern membership: Activate to get super-valu"&amp;"e benefits.
- Improvements: Optimized Fortress Takeover, Impasse Trials, rallying, Mail, and Items.
&lt;/en-US&gt;
&lt;fr-FR&gt;
- Nouveaux évènements: des milliers de joueurs s’affrontent dans une nouvelle Guerre planétaire interserveurs; bientôt les évènements de l"&amp;"a Journée de l’enfance.
- Nouveau combattant: obtenez Bazell la bête dans le Singe ultime.
- Adhésion à la taverne: activez-la pour obtenir des avantages géniaux!
- Améliorations: optimisation de l’Invasion de forteresse, des Epreuves de l’impasse, des ra"&amp;"ids, de la messagerie et des objets.
&lt;/fr-FR&gt;
&lt;de-DE&gt;
- Neue Events: ein neuer Planetenkrieg mit Tausenden Spielern von verschiedenen Servern, die gegeneinander kämpfen; Kindertag-Events in Kürze.
 - Neuer Kämpfer: Hol dir Bazell die Bestie bei Ultimative"&amp;"r Affe.
 - Tavernen-Mitgliedschaft: Aktivieren, um wertvolle Vorteile zu sichern.
 - Verbesserungen: Festungsübernahme, Sackgassen-Prüfungen, Sammelangriffe, Mails und Gegenstände optimiert.
&lt;/de-DE&gt;
&lt;pt-BR&gt;
- Novos eventos: uma nova edição de Guerra Inte"&amp;"rplanetária está colocando milhares de jogadores de servidores diferentes para lutar um contra o outro; eventos de Dia das Crianças chegam em breve.
 - Novo combatente: obtenha Bazell, a Fera, em Macaco Supremo.
 - Cartão de membro da taverna: ative para "&amp;"obter benefícios valiosos.
 - Melhorias: otimização de Conquista da Fortaleza, Desafios de Impasse, incursões, mensagens e itens.
&lt;/pt-BR&gt;
&lt;zh-HK&gt;
-新增活動：新的銀河戰爭，千人跨服對戰。幼猴節即將開啟。
-新增鬥士：狂獸-巴澤爾，最強猴子可獲取。
-酒館會員卡：可獲取超值權益。
-優化：堡壘對決、絕地試煉；集結、郵件、背包優化
&lt;/zh-HK&gt;
&lt;id&gt;
- "&amp;"Acara baru: Perang Planet baru mengadu ribuan pemain dari server yang berbeda melawan satu dengan yang lain; acara Hari Anak segera hadir.
 - Pejuang Baru: Dapatkan Bazell si Binatang Buas dari Kera Terhebat.
 - Keanggotaan Kedai: Aktifkan untuk mendapatk"&amp;"an keuntungan bernilai tinggi.
 - Peningkatan: Mengoptimalkan Mengambil Benteng, Jalan Buntu, reli, Email, and Item.
&lt;/id&gt;
&lt;th&gt;
- กิจกรรมใหม่: สงครามดาวเคราะห์ครั้งใหม่ที่จะมีผู้เล่นหลายพันคนจากสารพัดเซิร์ฟเวอร์ และกิจกรรมวันเด็กที่จะจัดขึ้นเร็ว ๆ นี้
 - "&amp;"นักสู้ใหม่: รับอสูรบาเซลล์ได้จากกิจกรรมลิงที่แข็งแกร่งที่สุด
 - สมาชิกโรงแรม: เปิดใช้งานเพื่อรับสิทธิประโยชน์สุดคุ้ม
 - การปรับปรุง:ปรับปรุงการยึดป้อมปราการ, การทดสอบ ณ ทางตัน, การยกทัพ, เมล และไอเทม
&lt;/th&gt;
&lt;es-419&gt;
- Nuevos eventos: Una nueva Guerra Plane"&amp;"taria enfrenta a miles de jugadores de diferentes servidores entre sí; los eventos del Día del Niño llegarán pronto.
 - Nuevo luchador: Obtén a Bazell la Bestia del Mono Supremo.
 - Membresía de la Taberna: Actívala para obtener beneficios de gran valor.
"&amp;" - Mejoras: Optimización de Toma de la Fortaleza, Pruebas de Impasse, congregaciones, Correo y en los Artículos.
&lt;/es-419&gt;
&lt;ru-RU&gt;
- Новые события: новая планетарная война, в которой тысячи игроков с разных серверов будут противостоять друг другу; скоро н"&amp;"ачнутся события, посвященные Дню защиты детей.
- Новый герой: получите Базеля по прозвищу Зверь в «Великой обезьяне».
- Членство в таверне: активируйте, чтобы получить ценные преимущества.
- Улучшения: оптимизированы «Испытания Тупика», «Захват крепости»,"&amp;" походы, почта и предметы.
&lt;/ru-RU&gt;
&lt;tr-TR&gt;
- Yeni etkinlikler: Farklı sunuculardan binlerce oyuncuyu karşı karşıya getirecek yeni bir Gezegen Savaşı. Dünya Çocuk Günü etkinlikleri yakında gelecek.
 - Yeni Savaşçı: Canavar Bazell'i En Üstün Maymundan elde"&amp;" et.
 - Taverna üyeliği: Süper değerli ayrıcalıklar için etkinleştir.
 - İyileştirmeler: Kaleyi Ele Geçirme, Çıkmaz Durum Denemeleri, toplu saldırı, Posta ve Eşyalar optimize edildi.
&lt;/tr-TR&gt;
&lt;vi&gt;
- Sự kiện mới: một trận Chiến Tranh Hành Tinh mới tập hợp "&amp;"hàng ngàn người chơi từ những máy chủ khác nhau lại chiến đấu với nhau; sự kiện Ngày Quốc Tế Thiếu Nhi sắp diễn ra.
 - Chiến Binh mới: Nhận Quái Vật Bazell từ Chúa Khỉ Tối Cao.
 - Thẻ thành viên Tửu Quán: Kích hoạt để nhận các quyền lợi siêu giá trị.
 - C"&amp;"ải thiện: Tối ưu hóa Tiếp Quản Pháo Đài, Thí Luyện Tuyệt Địa, tập hợp, thư và các vật phẩm.
&lt;/vi&gt;
")</f>
        <v>&lt;en-US&gt;
- New events: a new Planet War pitting thousands of players from different servers against one another; Baby Monkeys' Day events coming soon.
- New Fighter: Get Bazell the Beast from Ultimate Monkey.
- Tavern membership: Activate to get super-value benefits.
- Improvements: Optimized Fortress Takeover, Impasse Trials, rallying, Mail, and Items.
&lt;/en-US&gt;
&lt;fr-FR&gt;
- Nouveaux évènements: des milliers de joueurs s’affrontent dans une nouvelle Guerre planétaire interserveurs; bientôt les évènements de la Journée de l’enfance.
- Nouveau combattant: obtenez Bazell la bête dans le Singe ultime.
- Adhésion à la taverne: activez-la pour obtenir des avantages géniaux!
- Améliorations: optimisation de l’Invasion de forteresse, des Epreuves de l’impasse, des raids, de la messagerie et des objets.
&lt;/fr-FR&gt;
&lt;de-DE&gt;
- Neue Events: ein neuer Planetenkrieg mit Tausenden Spielern von verschiedenen Servern, die gegeneinander kämpfen; Kindertag-Events in Kürze.
 - Neuer Kämpfer: Hol dir Bazell die Bestie bei Ultimativer Affe.
 - Tavernen-Mitgliedschaft: Aktivieren, um wertvolle Vorteile zu sichern.
 - Verbesserungen: Festungsübernahme, Sackgassen-Prüfungen, Sammelangriffe, Mails und Gegenstände optimiert.
&lt;/de-DE&gt;
&lt;pt-BR&gt;
- Novos eventos: uma nova edição de Guerra Interplanetária está colocando milhares de jogadores de servidores diferentes para lutar um contra o outro; eventos de Dia das Crianças chegam em breve.
 - Novo combatente: obtenha Bazell, a Fera, em Macaco Supremo.
 - Cartão de membro da taverna: ative para obter benefícios valiosos.
 - Melhorias: otimização de Conquista da Fortaleza, Desafios de Impasse, incursões, mensagens e itens.
&lt;/pt-BR&gt;
&lt;zh-HK&gt;
-新增活動：新的銀河戰爭，千人跨服對戰。幼猴節即將開啟。
-新增鬥士：狂獸-巴澤爾，最強猴子可獲取。
-酒館會員卡：可獲取超值權益。
-優化：堡壘對決、絕地試煉；集結、郵件、背包優化
&lt;/zh-HK&gt;
&lt;id&gt;
- Acara baru: Perang Planet baru mengadu ribuan pemain dari server yang berbeda melawan satu dengan yang lain; acara Hari Anak segera hadir.
 - Pejuang Baru: Dapatkan Bazell si Binatang Buas dari Kera Terhebat.
 - Keanggotaan Kedai: Aktifkan untuk mendapatkan keuntungan bernilai tinggi.
 - Peningkatan: Mengoptimalkan Mengambil Benteng, Jalan Buntu, reli, Email, and Item.
&lt;/id&gt;
&lt;th&gt;
- กิจกรรมใหม่: สงครามดาวเคราะห์ครั้งใหม่ที่จะมีผู้เล่นหลายพันคนจากสารพัดเซิร์ฟเวอร์ และกิจกรรมวันเด็กที่จะจัดขึ้นเร็ว ๆ นี้
 - นักสู้ใหม่: รับอสูรบาเซลล์ได้จากกิจกรรมลิงที่แข็งแกร่งที่สุด
 - สมาชิกโรงแรม: เปิดใช้งานเพื่อรับสิทธิประโยชน์สุดคุ้ม
 - การปรับปรุง:ปรับปรุงการยึดป้อมปราการ, การทดสอบ ณ ทางตัน, การยกทัพ, เมล และไอเทม
&lt;/th&gt;
&lt;es-419&gt;
- Nuevos eventos: Una nueva Guerra Planetaria enfrenta a miles de jugadores de diferentes servidores entre sí; los eventos del Día del Niño llegarán pronto.
 - Nuevo luchador: Obtén a Bazell la Bestia del Mono Supremo.
 - Membresía de la Taberna: Actívala para obtener beneficios de gran valor.
 - Mejoras: Optimización de Toma de la Fortaleza, Pruebas de Impasse, congregaciones, Correo y en los Artículos.
&lt;/es-419&gt;
&lt;ru-RU&gt;
- Новые события: новая планетарная война, в которой тысячи игроков с разных серверов будут противостоять друг другу; скоро начнутся события, посвященные Дню защиты детей.
- Новый герой: получите Базеля по прозвищу Зверь в «Великой обезьяне».
- Членство в таверне: активируйте, чтобы получить ценные преимущества.
- Улучшения: оптимизированы «Испытания Тупика», «Захват крепости», походы, почта и предметы.
&lt;/ru-RU&gt;
&lt;tr-TR&gt;
- Yeni etkinlikler: Farklı sunuculardan binlerce oyuncuyu karşı karşıya getirecek yeni bir Gezegen Savaşı. Dünya Çocuk Günü etkinlikleri yakında gelecek.
 - Yeni Savaşçı: Canavar Bazell'i En Üstün Maymundan elde et.
 - Taverna üyeliği: Süper değerli ayrıcalıklar için etkinleştir.
 - İyileştirmeler: Kaleyi Ele Geçirme, Çıkmaz Durum Denemeleri, toplu saldırı, Posta ve Eşyalar optimize edildi.
&lt;/tr-TR&gt;
&lt;vi&gt;
- Sự kiện mới: một trận Chiến Tranh Hành Tinh mới tập hợp hàng ngàn người chơi từ những máy chủ khác nhau lại chiến đấu với nhau; sự kiện Ngày Quốc Tế Thiếu Nhi sắp diễn ra.
 - Chiến Binh mới: Nhận Quái Vật Bazell từ Chúa Khỉ Tối Cao.
 - Thẻ thành viên Tửu Quán: Kích hoạt để nhận các quyền lợi siêu giá trị.
 - Cải thiện: Tối ưu hóa Tiếp Quản Pháo Đài, Thí Luyện Tuyệt Địa, tập hợp, thư và các vật phẩm.
&lt;/vi&gt;
</v>
      </c>
      <c r="C49" s="156" t="str">
        <f>IFERROR(__xludf.DUMMYFUNCTION("""COMPUTED_VALUE"""),"-新增活动：新的银河战争，千人跨服对战。幼猴节即将开启。
-新增斗士：狂兽-巴泽尔，最强猴子可获取。
-酒馆会员卡：可获取超值权益。
-优化：堡垒对决、绝地试炼；集结、邮件、背包优化")</f>
        <v>-新增活动：新的银河战争，千人跨服对战。幼猴节即将开启。
-新增斗士：狂兽-巴泽尔，最强猴子可获取。
-酒馆会员卡：可获取超值权益。
-优化：堡垒对决、绝地试炼；集结、邮件、背包优化</v>
      </c>
      <c r="D49" s="159" t="str">
        <f>IFERROR(__xludf.DUMMYFUNCTION("""COMPUTED_VALUE"""),"- New events: a new Planet War pitting thousands of players from different servers against one another; Baby Monkeys' Day events coming soon.
- New Fighter: Get Bazell the Beast from Ultimate Monkey.
- Tavern membership: Activate to get super-value benefi"&amp;"ts.
- Improvements: Optimized Fortress Takeover, Impasse Trials, rallying, Mail, and Items.")</f>
        <v>- New events: a new Planet War pitting thousands of players from different servers against one another; Baby Monkeys' Day events coming soon.
- New Fighter: Get Bazell the Beast from Ultimate Monkey.
- Tavern membership: Activate to get super-value benefits.
- Improvements: Optimized Fortress Takeover, Impasse Trials, rallying, Mail, and Items.</v>
      </c>
      <c r="E49" s="159" t="str">
        <f>IFERROR(__xludf.DUMMYFUNCTION("""COMPUTED_VALUE"""),"- Nouveaux évènements: des milliers de joueurs s’affrontent dans une nouvelle Guerre planétaire interserveurs; bientôt les évènements de la Journée de l’enfance.
- Nouveau combattant: obtenez Bazell la bête dans le Singe ultime.
- Adhésion à la taverne: a"&amp;"ctivez-la pour obtenir des avantages géniaux!
- Améliorations: optimisation de l’Invasion de forteresse, des Epreuves de l’impasse, des raids, de la messagerie et des objets.")</f>
        <v>- Nouveaux évènements: des milliers de joueurs s’affrontent dans une nouvelle Guerre planétaire interserveurs; bientôt les évènements de la Journée de l’enfance.
- Nouveau combattant: obtenez Bazell la bête dans le Singe ultime.
- Adhésion à la taverne: activez-la pour obtenir des avantages géniaux!
- Améliorations: optimisation de l’Invasion de forteresse, des Epreuves de l’impasse, des raids, de la messagerie et des objets.</v>
      </c>
      <c r="F49" s="159" t="str">
        <f>IFERROR(__xludf.DUMMYFUNCTION("""COMPUTED_VALUE"""),"- Neue Events: ein neuer Planetenkrieg mit Tausenden Spielern von verschiedenen Servern, die gegeneinander kämpfen; Kindertag-Events in Kürze.
 - Neuer Kämpfer: Hol dir Bazell die Bestie bei Ultimativer Affe.
 - Tavernen-Mitgliedschaft: Aktivieren, um wer"&amp;"tvolle Vorteile zu sichern.
 - Verbesserungen: Festungsübernahme, Sackgassen-Prüfungen, Sammelangriffe, Mails und Gegenstände optimiert.")</f>
        <v>- Neue Events: ein neuer Planetenkrieg mit Tausenden Spielern von verschiedenen Servern, die gegeneinander kämpfen; Kindertag-Events in Kürze.
 - Neuer Kämpfer: Hol dir Bazell die Bestie bei Ultimativer Affe.
 - Tavernen-Mitgliedschaft: Aktivieren, um wertvolle Vorteile zu sichern.
 - Verbesserungen: Festungsübernahme, Sackgassen-Prüfungen, Sammelangriffe, Mails und Gegenstände optimiert.</v>
      </c>
      <c r="G49" s="159" t="str">
        <f>IFERROR(__xludf.DUMMYFUNCTION("""COMPUTED_VALUE"""),"- Novos eventos: uma nova edição de Guerra Interplanetária está colocando milhares de jogadores de servidores diferentes para lutar um contra o outro; eventos de Dia das Crianças chegam em breve.
 - Novo combatente: obtenha Bazell, a Fera, em Macaco Supre"&amp;"mo.
 - Cartão de membro da taverna: ative para obter benefícios valiosos.
 - Melhorias: otimização de Conquista da Fortaleza, Desafios de Impasse, incursões, mensagens e itens.")</f>
        <v>- Novos eventos: uma nova edição de Guerra Interplanetária está colocando milhares de jogadores de servidores diferentes para lutar um contra o outro; eventos de Dia das Crianças chegam em breve.
 - Novo combatente: obtenha Bazell, a Fera, em Macaco Supremo.
 - Cartão de membro da taverna: ative para obter benefícios valiosos.
 - Melhorias: otimização de Conquista da Fortaleza, Desafios de Impasse, incursões, mensagens e itens.</v>
      </c>
      <c r="H49" s="159" t="str">
        <f>IFERROR(__xludf.DUMMYFUNCTION("""COMPUTED_VALUE"""),"-新增活動：新的銀河戰爭，千人跨服對戰。幼猴節即將開啟。
-新增鬥士：狂獸-巴澤爾，最強猴子可獲取。
-酒館會員卡：可獲取超值權益。
-優化：堡壘對決、絕地試煉；集結、郵件、背包優化")</f>
        <v>-新增活動：新的銀河戰爭，千人跨服對戰。幼猴節即將開啟。
-新增鬥士：狂獸-巴澤爾，最強猴子可獲取。
-酒館會員卡：可獲取超值權益。
-優化：堡壘對決、絕地試煉；集結、郵件、背包優化</v>
      </c>
      <c r="I49" s="159" t="str">
        <f>IFERROR(__xludf.DUMMYFUNCTION("""COMPUTED_VALUE"""),"- Acara baru: Perang Planet baru mengadu ribuan pemain dari server yang berbeda melawan satu dengan yang lain; acara Hari Anak segera hadir.
 - Pejuang Baru: Dapatkan Bazell si Binatang Buas dari Kera Terhebat.
 - Keanggotaan Kedai: Aktifkan untuk mendapa"&amp;"tkan keuntungan bernilai tinggi.
 - Peningkatan: Mengoptimalkan Mengambil Benteng, Jalan Buntu, reli, Email, and Item.")</f>
        <v>- Acara baru: Perang Planet baru mengadu ribuan pemain dari server yang berbeda melawan satu dengan yang lain; acara Hari Anak segera hadir.
 - Pejuang Baru: Dapatkan Bazell si Binatang Buas dari Kera Terhebat.
 - Keanggotaan Kedai: Aktifkan untuk mendapatkan keuntungan bernilai tinggi.
 - Peningkatan: Mengoptimalkan Mengambil Benteng, Jalan Buntu, reli, Email, and Item.</v>
      </c>
      <c r="J49" s="159" t="str">
        <f>IFERROR(__xludf.DUMMYFUNCTION("""COMPUTED_VALUE"""),"- กิจกรรมใหม่: สงครามดาวเคราะห์ครั้งใหม่ที่จะมีผู้เล่นหลายพันคนจากสารพัดเซิร์ฟเวอร์ และกิจกรรมวันเด็กที่จะจัดขึ้นเร็ว ๆ นี้
 - นักสู้ใหม่: รับอสูรบาเซลล์ได้จากกิจกรรมลิงที่แข็งแกร่งที่สุด
 - สมาชิกโรงแรม: เปิดใช้งานเพื่อรับสิทธิประโยชน์สุดคุ้ม
 - การปรับป"&amp;"รุง:ปรับปรุงการยึดป้อมปราการ, การทดสอบ ณ ทางตัน, การยกทัพ, เมล และไอเทม")</f>
        <v>- กิจกรรมใหม่: สงครามดาวเคราะห์ครั้งใหม่ที่จะมีผู้เล่นหลายพันคนจากสารพัดเซิร์ฟเวอร์ และกิจกรรมวันเด็กที่จะจัดขึ้นเร็ว ๆ นี้
 - นักสู้ใหม่: รับอสูรบาเซลล์ได้จากกิจกรรมลิงที่แข็งแกร่งที่สุด
 - สมาชิกโรงแรม: เปิดใช้งานเพื่อรับสิทธิประโยชน์สุดคุ้ม
 - การปรับปรุง:ปรับปรุงการยึดป้อมปราการ, การทดสอบ ณ ทางตัน, การยกทัพ, เมล และไอเทม</v>
      </c>
      <c r="K49" s="159" t="str">
        <f>IFERROR(__xludf.DUMMYFUNCTION("""COMPUTED_VALUE"""),"- Nuevos eventos: Una nueva Guerra Planetaria enfrenta a miles de jugadores de diferentes servidores entre sí; los eventos del Día del Niño llegarán pronto.
 - Nuevo luchador: Obtén a Bazell la Bestia del Mono Supremo.
 - Membresía de la Taberna: Actívala"&amp;" para obtener beneficios de gran valor.
 - Mejoras: Optimización de Toma de la Fortaleza, Pruebas de Impasse, congregaciones, Correo y en los Artículos.")</f>
        <v>- Nuevos eventos: Una nueva Guerra Planetaria enfrenta a miles de jugadores de diferentes servidores entre sí; los eventos del Día del Niño llegarán pronto.
 - Nuevo luchador: Obtén a Bazell la Bestia del Mono Supremo.
 - Membresía de la Taberna: Actívala para obtener beneficios de gran valor.
 - Mejoras: Optimización de Toma de la Fortaleza, Pruebas de Impasse, congregaciones, Correo y en los Artículos.</v>
      </c>
      <c r="L49" s="159" t="str">
        <f>IFERROR(__xludf.DUMMYFUNCTION("""COMPUTED_VALUE"""),"- Новые события: новая планетарная война, в которой тысячи игроков с разных серверов будут противостоять друг другу; скоро начнутся события, посвященные Дню защиты детей.
- Новый герой: получите Базеля по прозвищу Зверь в «Великой обезьяне».
- Членство в "&amp;"таверне: активируйте, чтобы получить ценные преимущества.
- Улучшения: оптимизированы «Испытания Тупика», «Захват крепости», походы, почта и предметы.")</f>
        <v>- Новые события: новая планетарная война, в которой тысячи игроков с разных серверов будут противостоять друг другу; скоро начнутся события, посвященные Дню защиты детей.
- Новый герой: получите Базеля по прозвищу Зверь в «Великой обезьяне».
- Членство в таверне: активируйте, чтобы получить ценные преимущества.
- Улучшения: оптимизированы «Испытания Тупика», «Захват крепости», походы, почта и предметы.</v>
      </c>
      <c r="M49" s="159" t="str">
        <f>IFERROR(__xludf.DUMMYFUNCTION("""COMPUTED_VALUE"""),"- Yeni etkinlikler: Farklı sunuculardan binlerce oyuncuyu karşı karşıya getirecek yeni bir Gezegen Savaşı. Dünya Çocuk Günü etkinlikleri yakında gelecek.
 - Yeni Savaşçı: Canavar Bazell'i En Üstün Maymundan elde et.
 - Taverna üyeliği: Süper değerli ayrıc"&amp;"alıklar için etkinleştir.
 - İyileştirmeler: Kaleyi Ele Geçirme, Çıkmaz Durum Denemeleri, toplu saldırı, Posta ve Eşyalar optimize edildi.")</f>
        <v>- Yeni etkinlikler: Farklı sunuculardan binlerce oyuncuyu karşı karşıya getirecek yeni bir Gezegen Savaşı. Dünya Çocuk Günü etkinlikleri yakında gelecek.
 - Yeni Savaşçı: Canavar Bazell'i En Üstün Maymundan elde et.
 - Taverna üyeliği: Süper değerli ayrıcalıklar için etkinleştir.
 - İyileştirmeler: Kaleyi Ele Geçirme, Çıkmaz Durum Denemeleri, toplu saldırı, Posta ve Eşyalar optimize edildi.</v>
      </c>
      <c r="N49" s="45" t="str">
        <f>IFERROR(__xludf.DUMMYFUNCTION("""COMPUTED_VALUE"""),"- Sự kiện mới: một trận Chiến Tranh Hành Tinh mới tập hợp hàng ngàn người chơi từ những máy chủ khác nhau lại chiến đấu với nhau; sự kiện Ngày Quốc Tế Thiếu Nhi sắp diễn ra.
 - Chiến Binh mới: Nhận Quái Vật Bazell từ Chúa Khỉ Tối Cao.
 - Thẻ thành viên Tử"&amp;"u Quán: Kích hoạt để nhận các quyền lợi siêu giá trị.
 - Cải thiện: Tối ưu hóa Tiếp Quản Pháo Đài, Thí Luyện Tuyệt Địa, tập hợp, thư và các vật phẩm.")</f>
        <v>- Sự kiện mới: một trận Chiến Tranh Hành Tinh mới tập hợp hàng ngàn người chơi từ những máy chủ khác nhau lại chiến đấu với nhau; sự kiện Ngày Quốc Tế Thiếu Nhi sắp diễn ra.
 - Chiến Binh mới: Nhận Quái Vật Bazell từ Chúa Khỉ Tối Cao.
 - Thẻ thành viên Tửu Quán: Kích hoạt để nhận các quyền lợi siêu giá trị.
 - Cải thiện: Tối ưu hóa Tiếp Quản Pháo Đài, Thí Luyện Tuyệt Địa, tập hợp, thư và các vật phẩm.</v>
      </c>
      <c r="O49" s="45"/>
      <c r="P49" s="34"/>
      <c r="Q49" s="34"/>
      <c r="R49" s="34"/>
      <c r="S49" s="34"/>
      <c r="T49" s="108"/>
      <c r="U49" s="108"/>
      <c r="V49" s="108"/>
      <c r="W49" s="108"/>
      <c r="X49" s="108"/>
      <c r="Y49" s="108"/>
      <c r="Z49" s="108"/>
    </row>
    <row r="50" ht="72.0" customHeight="1">
      <c r="A50" s="149" t="str">
        <f>IFERROR(__xludf.DUMMYFUNCTION("""COMPUTED_VALUE"""),"0.43.0")</f>
        <v>0.43.0</v>
      </c>
      <c r="B50" s="174" t="str">
        <f>IFERROR(__xludf.DUMMYFUNCTION("""COMPUTED_VALUE"""),"&lt;en-US&gt;
- New gameplay: Train Rush, a cross-server competition.
- New Fighters: Carina. Get her from Ultimate Monkey.
- New events: Beach Dance Party coming soon; events for returning players and inviting new players.
- Improvements: Fortress Takeover, Lo"&amp;"aded Strike, resource spots, interface and notifications, troops.
&lt;/en-US&gt;
&lt;fr-FR&gt;
- Nouveau gameplay: la Course de trains, une compétition interserveur.
- Nouvelle combattante: Carina, à obtenir dans le Singe ultime.
- Nouveaux évènements: bientôt la Bea"&amp;"ch Party; des évènements pour le retour d'anciens joueurs et pour l'invitation de nouveaux joueurs.
- Améliorations: Invasion de forteresse, Frappe chargée, points de ressources, troupes, interface et notifications.
&lt;/fr-FR&gt;
&lt;de-DE&gt;
- Neues Gameplay: Zug-"&amp;"Rennen, ein serverübergreifender Wettbewerb.
 - Neue Kämpferin: Carina. Erhalte sie bei Ultimativer Affe.
 - Neue Events: Strand-Tanzparty kommt bald; Events für zurückkehrende Spieler und das Einladen neuer Spieler.
 - Verbesserungen bei: Festungsübernah"&amp;"me, Geladener Schlag, Ressourcenquellen, Benutzeroberfläche und Benachrichtigungen, Truppen.
&lt;/de-DE&gt;
&lt;pt-BR&gt;
- Novo modo de jogo: Corrida do Trem, uma competição entre servidores.
 - Novos combatentes: Carina. Obtenha-a em Macaco Supremo.
 - Novos evento"&amp;"s: Festa de Dança da Praia chega em breve; eventos de jogadores retornantes e convites para novos jogadores.
 - Melhorias: Conquista da Fortaleza, Ataque Carregado, pontos de recursos, interface, notificações e tropas.
&lt;/pt-BR&gt;
&lt;zh-HK&gt;
-新增玩法：火車爭霸，跨服戰場對抗。
"&amp;"-新增鬥士：復仇之箭-卡瑞娜，最強猴子可獲取。
-新增活動：沙灘熱舞節即將開啓、迴歸活動、新玩家邀請活動。
-優化：堡壘對決、重裝出擊、採集點、界面提示、部隊優化。
&lt;/zh-HK&gt;
&lt;zh-TW&gt;
-新增玩法：火車爭霸，跨服戰場對抗。
-新增鬥士：復仇之箭-卡瑞娜，最強猴子可獲取。
-新增活動：沙灘熱舞節即將開啓、迴歸活動、新玩家邀請活動。
-優化：堡壘對決、重裝出擊、採集點、界面提示、部隊優化。
&lt;/zh-TW&gt;
&lt;id&gt;
- Gameplay baru: Hegemoni Kereta, duel "&amp;"medan perang cross-server.
- Pejuang baru: Panah Pembalasan - Karina, diperoleh dari Kera Yang Tangguh.
- Acara baru: Festival Tarian Pantai segera dimulai. Juga tersedia Acara Kembali dan undangan pemain baru.
- Optimalisasi: Penaklukan Benteng, Serangan"&amp;" Terisi, Titik Pengumpulan, Tampilan Halaman, Optimalisasi Pasukan.
&lt;/id&gt;
&lt;th&gt;
- รูปแบบการเล่นเกมใหม่: การแข่งรถไฟ การแข่งขันข้ามเซิร์ฟเวอร์
 - นักสู้คนใหม่: แครินา รับเธอได้จากสุดยอดลิง
 - กิจกรรมใหม่: ปาร์ตี้ระบำชายหาดจะมาเร็วๆ นี้ กิจกรรมสำหรับผู้เล่นท"&amp;"ี่กลับมาและการเชิญผู้เล่นใหม่
 - การปรับปรุง: การยึดครองป้อมปราการ, การโจมตีเต็มรูปแบบ, ตำแหน่งทรัพยากร, อินเตอร์เฟซและการแจ้งเตือน และกองทหาร
&lt;/th&gt;
&lt;es-419&gt;
- Nueva jugabilidad: Fiebre del Tren, una competencia entre servidores.
 - Nueva Luchadora: Carin"&amp;"a. Consíguela del Mono Supremo.
 - Nuevos eventos: Fiesta de Danza en la Playa próximamente, eventos para jugadores que regresan y por invitar nuevos jugadores.
 - Mejoras: Toma de la Fortaleza, Ataque Cargado, puntos de recursos, interfaz y notificacione"&amp;"s, tropas.
&lt;/es-419&gt;
&lt;ru-RU&gt;
- Новый игровой процесс: межсерверное соревнование «Гонки поездов».
- Новые герои: Карина. Получите ее в «Великой обезьяне».
- Новые события: скоро начнется «Пляжная танцевальная вечеринка», а также события для возвращающихся "&amp;"игроков и для приглашения новых игроков.
- Улучшения: «Захват крепости», «Заряженный удар», точки ресурсов, интерфейс и уведомления, войска.
&lt;/ru-RU&gt;
&lt;tr-TR&gt;
- Yeni oynanış: Sunucular arası Trene Hücum yarışı.
 -Yeni Savaşçı: Carina. En Üstün Maymun'dan a"&amp;"labilirsin.
 - Yeni etkinlikler: Sahil Dans Partisi yakında geliyor. Ayrıca dönüş yapan oyuncular ve yeni oyuncuları davet etmek için etkinlikler gelecek.
 - Geliştirmeler: Kaleyi Ele Geçirme, Yüklü Vuruş, kaynak noktaları, arayüz ve bildirimler, birlikle"&amp;"re geliştirmeler getirildi.
&lt;/tr-TR&gt;
&lt;vi&gt;
- Lối Chơi Mới: Xe Lửa Tranh Bá, Chiến Trường Đối Kháng Liên Server.
- Chiến Binh Mới: Mũi Tên Báo Thù - Carina, Chúa Khỉ Tối Cao có thể nhận được.
- Sự Kiện Mới: Vũ Điệu Bãi Biển sắp bắt đầu, Sự Kiện Quay Lại, Sự"&amp;" Kiện Mời Người Chơi Mới.
- Tối Ưu: Tối ưu Tiếp Quản Pháo Đài, Tấn Công Đã Tải, Điểm Tài Nguyên, Giao Diện Nhắc Nhở, Binh Lính.
&lt;/vi&gt;
")</f>
        <v>&lt;en-US&gt;
- New gameplay: Train Rush, a cross-server competition.
- New Fighters: Carina. Get her from Ultimate Monkey.
- New events: Beach Dance Party coming soon; events for returning players and inviting new players.
- Improvements: Fortress Takeover, Loaded Strike, resource spots, interface and notifications, troops.
&lt;/en-US&gt;
&lt;fr-FR&gt;
- Nouveau gameplay: la Course de trains, une compétition interserveur.
- Nouvelle combattante: Carina, à obtenir dans le Singe ultime.
- Nouveaux évènements: bientôt la Beach Party; des évènements pour le retour d'anciens joueurs et pour l'invitation de nouveaux joueurs.
- Améliorations: Invasion de forteresse, Frappe chargée, points de ressources, troupes, interface et notifications.
&lt;/fr-FR&gt;
&lt;de-DE&gt;
- Neues Gameplay: Zug-Rennen, ein serverübergreifender Wettbewerb.
 - Neue Kämpferin: Carina. Erhalte sie bei Ultimativer Affe.
 - Neue Events: Strand-Tanzparty kommt bald; Events für zurückkehrende Spieler und das Einladen neuer Spieler.
 - Verbesserungen bei: Festungsübernahme, Geladener Schlag, Ressourcenquellen, Benutzeroberfläche und Benachrichtigungen, Truppen.
&lt;/de-DE&gt;
&lt;pt-BR&gt;
- Novo modo de jogo: Corrida do Trem, uma competição entre servidores.
 - Novos combatentes: Carina. Obtenha-a em Macaco Supremo.
 - Novos eventos: Festa de Dança da Praia chega em breve; eventos de jogadores retornantes e convites para novos jogadores.
 - Melhorias: Conquista da Fortaleza, Ataque Carregado, pontos de recursos, interface, notificações e tropas.
&lt;/pt-BR&gt;
&lt;zh-HK&gt;
-新增玩法：火車爭霸，跨服戰場對抗。
-新增鬥士：復仇之箭-卡瑞娜，最強猴子可獲取。
-新增活動：沙灘熱舞節即將開啓、迴歸活動、新玩家邀請活動。
-優化：堡壘對決、重裝出擊、採集點、界面提示、部隊優化。
&lt;/zh-HK&gt;
&lt;zh-TW&gt;
-新增玩法：火車爭霸，跨服戰場對抗。
-新增鬥士：復仇之箭-卡瑞娜，最強猴子可獲取。
-新增活動：沙灘熱舞節即將開啓、迴歸活動、新玩家邀請活動。
-優化：堡壘對決、重裝出擊、採集點、界面提示、部隊優化。
&lt;/zh-TW&gt;
&lt;id&gt;
- Gameplay baru: Hegemoni Kereta, duel medan perang cross-server.
- Pejuang baru: Panah Pembalasan - Karina, diperoleh dari Kera Yang Tangguh.
- Acara baru: Festival Tarian Pantai segera dimulai. Juga tersedia Acara Kembali dan undangan pemain baru.
- Optimalisasi: Penaklukan Benteng, Serangan Terisi, Titik Pengumpulan, Tampilan Halaman, Optimalisasi Pasukan.
&lt;/id&gt;
&lt;th&gt;
- รูปแบบการเล่นเกมใหม่: การแข่งรถไฟ การแข่งขันข้ามเซิร์ฟเวอร์
 - นักสู้คนใหม่: แครินา รับเธอได้จากสุดยอดลิง
 - กิจกรรมใหม่: ปาร์ตี้ระบำชายหาดจะมาเร็วๆ นี้ กิจกรรมสำหรับผู้เล่นที่กลับมาและการเชิญผู้เล่นใหม่
 - การปรับปรุง: การยึดครองป้อมปราการ, การโจมตีเต็มรูปแบบ, ตำแหน่งทรัพยากร, อินเตอร์เฟซและการแจ้งเตือน และกองทหาร
&lt;/th&gt;
&lt;es-419&gt;
- Nueva jugabilidad: Fiebre del Tren, una competencia entre servidores.
 - Nueva Luchadora: Carina. Consíguela del Mono Supremo.
 - Nuevos eventos: Fiesta de Danza en la Playa próximamente, eventos para jugadores que regresan y por invitar nuevos jugadores.
 - Mejoras: Toma de la Fortaleza, Ataque Cargado, puntos de recursos, interfaz y notificaciones, tropas.
&lt;/es-419&gt;
&lt;ru-RU&gt;
- Новый игровой процесс: межсерверное соревнование «Гонки поездов».
- Новые герои: Карина. Получите ее в «Великой обезьяне».
- Новые события: скоро начнется «Пляжная танцевальная вечеринка», а также события для возвращающихся игроков и для приглашения новых игроков.
- Улучшения: «Захват крепости», «Заряженный удар», точки ресурсов, интерфейс и уведомления, войска.
&lt;/ru-RU&gt;
&lt;tr-TR&gt;
- Yeni oynanış: Sunucular arası Trene Hücum yarışı.
 -Yeni Savaşçı: Carina. En Üstün Maymun'dan alabilirsin.
 - Yeni etkinlikler: Sahil Dans Partisi yakında geliyor. Ayrıca dönüş yapan oyuncular ve yeni oyuncuları davet etmek için etkinlikler gelecek.
 - Geliştirmeler: Kaleyi Ele Geçirme, Yüklü Vuruş, kaynak noktaları, arayüz ve bildirimler, birliklere geliştirmeler getirildi.
&lt;/tr-TR&gt;
&lt;vi&gt;
- Lối Chơi Mới: Xe Lửa Tranh Bá, Chiến Trường Đối Kháng Liên Server.
- Chiến Binh Mới: Mũi Tên Báo Thù - Carina, Chúa Khỉ Tối Cao có thể nhận được.
- Sự Kiện Mới: Vũ Điệu Bãi Biển sắp bắt đầu, Sự Kiện Quay Lại, Sự Kiện Mời Người Chơi Mới.
- Tối Ưu: Tối ưu Tiếp Quản Pháo Đài, Tấn Công Đã Tải, Điểm Tài Nguyên, Giao Diện Nhắc Nhở, Binh Lính.
&lt;/vi&gt;
</v>
      </c>
      <c r="C50" s="156" t="str">
        <f>IFERROR(__xludf.DUMMYFUNCTION("""COMPUTED_VALUE"""),"-新增玩法：火车争霸，跨服战场对抗。
-新增斗士：复仇之箭-卡瑞娜，最强猴子可获取。
-新增活动：沙滩热舞节即将开启、回归活动、新玩家邀请活动。
-优化：堡垒对决、重装出击、采集点、界面提示、部队优化。")</f>
        <v>-新增玩法：火车争霸，跨服战场对抗。
-新增斗士：复仇之箭-卡瑞娜，最强猴子可获取。
-新增活动：沙滩热舞节即将开启、回归活动、新玩家邀请活动。
-优化：堡垒对决、重装出击、采集点、界面提示、部队优化。</v>
      </c>
      <c r="D50" s="159" t="str">
        <f>IFERROR(__xludf.DUMMYFUNCTION("""COMPUTED_VALUE"""),"- New gameplay: Train Rush, a cross-server competition.
- New Fighters: Carina. Get her from Ultimate Monkey.
- New events: Beach Dance Party coming soon; events for returning players and inviting new players.
- Improvements: Fortress Takeover, Loaded Str"&amp;"ike, resource spots, interface and notifications, troops.")</f>
        <v>- New gameplay: Train Rush, a cross-server competition.
- New Fighters: Carina. Get her from Ultimate Monkey.
- New events: Beach Dance Party coming soon; events for returning players and inviting new players.
- Improvements: Fortress Takeover, Loaded Strike, resource spots, interface and notifications, troops.</v>
      </c>
      <c r="E50" s="159" t="str">
        <f>IFERROR(__xludf.DUMMYFUNCTION("""COMPUTED_VALUE"""),"- Nouveau gameplay: la Course de trains, une compétition interserveur.
- Nouvelle combattante: Carina, à obtenir dans le Singe ultime.
- Nouveaux évènements: bientôt la Beach Party; des évènements pour le retour d'anciens joueurs et pour l'invitation de n"&amp;"ouveaux joueurs.
- Améliorations: Invasion de forteresse, Frappe chargée, points de ressources, troupes, interface et notifications.")</f>
        <v>- Nouveau gameplay: la Course de trains, une compétition interserveur.
- Nouvelle combattante: Carina, à obtenir dans le Singe ultime.
- Nouveaux évènements: bientôt la Beach Party; des évènements pour le retour d'anciens joueurs et pour l'invitation de nouveaux joueurs.
- Améliorations: Invasion de forteresse, Frappe chargée, points de ressources, troupes, interface et notifications.</v>
      </c>
      <c r="F50" s="159" t="str">
        <f>IFERROR(__xludf.DUMMYFUNCTION("""COMPUTED_VALUE"""),"- Neues Gameplay: Zug-Rennen, ein serverübergreifender Wettbewerb.
 - Neue Kämpferin: Carina. Erhalte sie bei Ultimativer Affe.
 - Neue Events: Strand-Tanzparty kommt bald; Events für zurückkehrende Spieler und das Einladen neuer Spieler.
 - Verbesserunge"&amp;"n bei: Festungsübernahme, Geladener Schlag, Ressourcenquellen, Benutzeroberfläche und Benachrichtigungen, Truppen.")</f>
        <v>- Neues Gameplay: Zug-Rennen, ein serverübergreifender Wettbewerb.
 - Neue Kämpferin: Carina. Erhalte sie bei Ultimativer Affe.
 - Neue Events: Strand-Tanzparty kommt bald; Events für zurückkehrende Spieler und das Einladen neuer Spieler.
 - Verbesserungen bei: Festungsübernahme, Geladener Schlag, Ressourcenquellen, Benutzeroberfläche und Benachrichtigungen, Truppen.</v>
      </c>
      <c r="G50" s="159" t="str">
        <f>IFERROR(__xludf.DUMMYFUNCTION("""COMPUTED_VALUE"""),"- Novo modo de jogo: Corrida do Trem, uma competição entre servidores.
 - Novos combatentes: Carina. Obtenha-a em Macaco Supremo.
 - Novos eventos: Festa de Dança da Praia chega em breve; eventos de jogadores retornantes e convites para novos jogadores.
 "&amp;"- Melhorias: Conquista da Fortaleza, Ataque Carregado, pontos de recursos, interface, notificações e tropas.")</f>
        <v>- Novo modo de jogo: Corrida do Trem, uma competição entre servidores.
 - Novos combatentes: Carina. Obtenha-a em Macaco Supremo.
 - Novos eventos: Festa de Dança da Praia chega em breve; eventos de jogadores retornantes e convites para novos jogadores.
 - Melhorias: Conquista da Fortaleza, Ataque Carregado, pontos de recursos, interface, notificações e tropas.</v>
      </c>
      <c r="H50" s="159" t="str">
        <f>IFERROR(__xludf.DUMMYFUNCTION("""COMPUTED_VALUE"""),"-新增玩法：火車爭霸，跨服戰場對抗。
-新增鬥士：復仇之箭-卡瑞娜，最強猴子可獲取。
-新增活動：沙灘熱舞節即將開啓、迴歸活動、新玩家邀請活動。
-優化：堡壘對決、重裝出擊、採集點、界面提示、部隊優化。")</f>
        <v>-新增玩法：火車爭霸，跨服戰場對抗。
-新增鬥士：復仇之箭-卡瑞娜，最強猴子可獲取。
-新增活動：沙灘熱舞節即將開啓、迴歸活動、新玩家邀請活動。
-優化：堡壘對決、重裝出擊、採集點、界面提示、部隊優化。</v>
      </c>
      <c r="I50" s="159" t="str">
        <f>IFERROR(__xludf.DUMMYFUNCTION("""COMPUTED_VALUE"""),"- Gameplay baru: Hegemoni Kereta, duel medan perang cross-server.
- Pejuang baru: Panah Pembalasan - Karina, diperoleh dari Kera Yang Tangguh.
- Acara baru: Festival Tarian Pantai segera dimulai. Juga tersedia Acara Kembali dan undangan pemain baru.
- Opt"&amp;"imalisasi: Penaklukan Benteng, Serangan Terisi, Titik Pengumpulan, Tampilan Halaman, Optimalisasi Pasukan.")</f>
        <v>- Gameplay baru: Hegemoni Kereta, duel medan perang cross-server.
- Pejuang baru: Panah Pembalasan - Karina, diperoleh dari Kera Yang Tangguh.
- Acara baru: Festival Tarian Pantai segera dimulai. Juga tersedia Acara Kembali dan undangan pemain baru.
- Optimalisasi: Penaklukan Benteng, Serangan Terisi, Titik Pengumpulan, Tampilan Halaman, Optimalisasi Pasukan.</v>
      </c>
      <c r="J50" s="159" t="str">
        <f>IFERROR(__xludf.DUMMYFUNCTION("""COMPUTED_VALUE"""),"- รูปแบบการเล่นเกมใหม่: การแข่งรถไฟ การแข่งขันข้ามเซิร์ฟเวอร์
 - นักสู้คนใหม่: แครินา รับเธอได้จากสุดยอดลิง
 - กิจกรรมใหม่: ปาร์ตี้ระบำชายหาดจะมาเร็วๆ นี้ กิจกรรมสำหรับผู้เล่นที่กลับมาและการเชิญผู้เล่นใหม่
 - การปรับปรุง: การยึดครองป้อมปราการ, การโจมตีเต็"&amp;"มรูปแบบ, ตำแหน่งทรัพยากร, อินเตอร์เฟซและการแจ้งเตือน และกองทหาร")</f>
        <v>- รูปแบบการเล่นเกมใหม่: การแข่งรถไฟ การแข่งขันข้ามเซิร์ฟเวอร์
 - นักสู้คนใหม่: แครินา รับเธอได้จากสุดยอดลิง
 - กิจกรรมใหม่: ปาร์ตี้ระบำชายหาดจะมาเร็วๆ นี้ กิจกรรมสำหรับผู้เล่นที่กลับมาและการเชิญผู้เล่นใหม่
 - การปรับปรุง: การยึดครองป้อมปราการ, การโจมตีเต็มรูปแบบ, ตำแหน่งทรัพยากร, อินเตอร์เฟซและการแจ้งเตือน และกองทหาร</v>
      </c>
      <c r="K50" s="159" t="str">
        <f>IFERROR(__xludf.DUMMYFUNCTION("""COMPUTED_VALUE"""),"- Nueva jugabilidad: Fiebre del Tren, una competencia entre servidores.
 - Nueva Luchadora: Carina. Consíguela del Mono Supremo.
 - Nuevos eventos: Fiesta de Danza en la Playa próximamente, eventos para jugadores que regresan y por invitar nuevos jugadore"&amp;"s.
 - Mejoras: Toma de la Fortaleza, Ataque Cargado, puntos de recursos, interfaz y notificaciones, tropas.")</f>
        <v>- Nueva jugabilidad: Fiebre del Tren, una competencia entre servidores.
 - Nueva Luchadora: Carina. Consíguela del Mono Supremo.
 - Nuevos eventos: Fiesta de Danza en la Playa próximamente, eventos para jugadores que regresan y por invitar nuevos jugadores.
 - Mejoras: Toma de la Fortaleza, Ataque Cargado, puntos de recursos, interfaz y notificaciones, tropas.</v>
      </c>
      <c r="L50" s="159" t="str">
        <f>IFERROR(__xludf.DUMMYFUNCTION("""COMPUTED_VALUE"""),"- Новый игровой процесс: межсерверное соревнование «Гонки поездов».
- Новые герои: Карина. Получите ее в «Великой обезьяне».
- Новые события: скоро начнется «Пляжная танцевальная вечеринка», а также события для возвращающихся игроков и для приглашения нов"&amp;"ых игроков.
- Улучшения: «Захват крепости», «Заряженный удар», точки ресурсов, интерфейс и уведомления, войска.")</f>
        <v>- Новый игровой процесс: межсерверное соревнование «Гонки поездов».
- Новые герои: Карина. Получите ее в «Великой обезьяне».
- Новые события: скоро начнется «Пляжная танцевальная вечеринка», а также события для возвращающихся игроков и для приглашения новых игроков.
- Улучшения: «Захват крепости», «Заряженный удар», точки ресурсов, интерфейс и уведомления, войска.</v>
      </c>
      <c r="M50" s="159" t="str">
        <f>IFERROR(__xludf.DUMMYFUNCTION("""COMPUTED_VALUE"""),"- Yeni oynanış: Sunucular arası Trene Hücum yarışı.
 -Yeni Savaşçı: Carina. En Üstün Maymun'dan alabilirsin.
 - Yeni etkinlikler: Sahil Dans Partisi yakında geliyor. Ayrıca dönüş yapan oyuncular ve yeni oyuncuları davet etmek için etkinlikler gelecek.
 - "&amp;"Geliştirmeler: Kaleyi Ele Geçirme, Yüklü Vuruş, kaynak noktaları, arayüz ve bildirimler, birliklere geliştirmeler getirildi.")</f>
        <v>- Yeni oynanış: Sunucular arası Trene Hücum yarışı.
 -Yeni Savaşçı: Carina. En Üstün Maymun'dan alabilirsin.
 - Yeni etkinlikler: Sahil Dans Partisi yakında geliyor. Ayrıca dönüş yapan oyuncular ve yeni oyuncuları davet etmek için etkinlikler gelecek.
 - Geliştirmeler: Kaleyi Ele Geçirme, Yüklü Vuruş, kaynak noktaları, arayüz ve bildirimler, birliklere geliştirmeler getirildi.</v>
      </c>
      <c r="N50" s="45" t="str">
        <f>IFERROR(__xludf.DUMMYFUNCTION("""COMPUTED_VALUE"""),"- Lối Chơi Mới: Xe Lửa Tranh Bá, Chiến Trường Đối Kháng Liên Server.
- Chiến Binh Mới: Mũi Tên Báo Thù - Carina, Chúa Khỉ Tối Cao có thể nhận được.
- Sự Kiện Mới: Vũ Điệu Bãi Biển sắp bắt đầu, Sự Kiện Quay Lại, Sự Kiện Mời Người Chơi Mới.
- Tối Ưu: Tối ưu"&amp;" Tiếp Quản Pháo Đài, Tấn Công Đã Tải, Điểm Tài Nguyên, Giao Diện Nhắc Nhở, Binh Lính.")</f>
        <v>- Lối Chơi Mới: Xe Lửa Tranh Bá, Chiến Trường Đối Kháng Liên Server.
- Chiến Binh Mới: Mũi Tên Báo Thù - Carina, Chúa Khỉ Tối Cao có thể nhận được.
- Sự Kiện Mới: Vũ Điệu Bãi Biển sắp bắt đầu, Sự Kiện Quay Lại, Sự Kiện Mời Người Chơi Mới.
- Tối Ưu: Tối ưu Tiếp Quản Pháo Đài, Tấn Công Đã Tải, Điểm Tài Nguyên, Giao Diện Nhắc Nhở, Binh Lính.</v>
      </c>
      <c r="O50" s="45"/>
      <c r="P50" s="34"/>
      <c r="Q50" s="34"/>
      <c r="R50" s="34"/>
      <c r="S50" s="34"/>
      <c r="T50" s="108"/>
      <c r="U50" s="108"/>
      <c r="V50" s="108"/>
      <c r="W50" s="108"/>
      <c r="X50" s="108"/>
      <c r="Y50" s="108"/>
      <c r="Z50" s="108"/>
    </row>
    <row r="51" ht="72.0" customHeight="1">
      <c r="A51" s="149" t="str">
        <f>IFERROR(__xludf.DUMMYFUNCTION("""COMPUTED_VALUE"""),"0.45.5")</f>
        <v>0.45.5</v>
      </c>
      <c r="B51" s="174" t="str">
        <f>IFERROR(__xludf.DUMMYFUNCTION("""COMPUTED_VALUE"""),"&lt;en-US&gt;
- Fighter equipment improved: enhanced equipment's basic attributes and skill stats; equipment skills are no longer at a fixed level but can be upgraded along with the equipment.
- Also completed the 3D modeling iteration of city buildings (includ"&amp;"ing City Hall skins).
&lt;/en-US&gt;
&lt;fr-FR&gt;
- Amélioration de la Baston des primates: ajout de boosts liés à l’équipement des combattants.
- Modélisation 3D des bâtiments de la ville (notamment les skins de l’hôtel de ville).
&lt;/fr-FR&gt;
&lt;de-DE&gt;
 - Kämpfer-Ausrüs"&amp;"tung optimiert: Die grundlegenden Attribute und Fähigkeiten der Ausrüstung wurden verbessert. die Ausrüstungsfähigkeiten sind nicht mehr auf ein bestimmtes Level festgelegt, sondern können zusammen mit der Ausrüstung aufgewertet werden.
- Außerdem wurde d"&amp;"ie 3D-Modellierung der Gebäude in der Stadt abgeschlossen (einschließlich Rathaus-Skins).
&lt;/de-DE&gt;
&lt;pt-BR&gt;
 - Melhoria no equipamento de combatente: atributos básicos e atributos de habilidade de equipamento melhorados; habilidades de equipamento não tem "&amp;"mais um nível fixo e podem ser melhoradas junto do equipamento.
 - Além disso, foi concluída a iteração de modelagem 3D de estruturas da cidade (incluindo skins de prefeitura).
&lt;/pt-BR&gt;
&lt;zh-HK&gt;
-鬥士裝備優化：增強了裝備的基礎屬性和裝備技能參數，裝備技能由固定等級調整為可隨等級升級。
-對主城建築（含皮膚）進行了3"&amp;"D化叠代。
&lt;/zh-HK&gt;
&lt;zh-TW&gt;
-鬥士裝備優化：增強了裝備的基礎屬性和裝備技能參數，裝備技能由固定等級調整為可隨等級升級。
-對主城建築（含皮膚）進行了3D化叠代。
&lt;/zh-TW&gt;
&lt;id&gt;
- Optimalisasi perlengkapan Pejuang: Peningkatan atribut dasar dan parameter keahlian dari perlengkapan, dan keahlian perlengkapan telah disesuaikan da"&amp;"ri level tetap menjadi level yang dapat ditingkatkan. 
- Iterasi 3D untuk bangunan kota (termasuk skin).
&lt;/id&gt;
&lt;th&gt;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แต่จะสามารถอัปเกรดไ"&amp;"ปพร้อมกับอุปกรณ์ได้
- นอกจากนี้ยังทำซ้ำแบบจำลอง 3 มิติของสิ่งปลูกสร้างในเมืองเสร็จสิ้นแล้วด้วย (รวมถึงสกินศาลากลาง)
&lt;/th&gt;
&lt;es-419&gt;
 - Mejoras en el equipo de Luchador: Mejora en los atributos básicos y estadísticas de habilidad del equipo; las habilidades"&amp;" del equipo ya no tendrán un nivel fijo, sino que se pueden mejorar junto con el equipo.
- También se completó la iteración de modelado 3D de los edificios de la ciudad (incluidas las texturas para el Ayuntamiento).
&lt;/es-419&gt;
&lt;ru-RU&gt;
- Улучшено снаряжение"&amp;" героев: улучшены базовые атрибуты снаряжения и показатели навыков. У навыков снаряжения больше нет фиксированного уровня, они улучшаются вместе со снаряжением.
- Также завершен этап 3D-моделирования городских зданий (включая облики городского совета).
&lt;/"&amp;"ru-RU&gt;
&lt;tr-TR&gt;
 - Savaşçı ekipmanı geliştirildi: Ekipmanın temel nitelikleri ve beceri özellikleri geliştirildi; ekipman becerilerinin artık sabit bir seviyesi olmayacak, beceriler ekipmanla birlikte yükseltilebilecek.
- Ayrıca şehir binalarının üç boyutl"&amp;"u versiyonlarının modellemesi (Meclis görünümleri dahil) tamamlandı.
&lt;/tr-TR&gt;
&lt;vi&gt;
- Tối ưu trang bị Chiến Binh: Tăng cường thuộc tính cơ bản của trang bị và tham số kỹ năng trang bị, kỹ năng trang bị được điều chỉnh từ cấp cố định thành có thể nâng theo "&amp;"cấp. 
- Đối với Công Trình Thành Phố (gồm cả giao diện) tiến hành thay thế 3D.
&lt;/vi&gt;
")</f>
        <v>&lt;en-US&gt;
- Fighter equipment improved: enhanced equipment's basic attributes and skill stats; equipment skills are no longer at a fixed level but can be upgraded along with the equipment.
- Also completed the 3D modeling iteration of city buildings (including City Hall skins).
&lt;/en-US&gt;
&lt;fr-FR&gt;
- Amélioration de la Baston des primates: ajout de boosts liés à l’équipement des combattants.
- Modélisation 3D des bâtiments de la ville (notamment les skins de l’hôtel de ville).
&lt;/fr-FR&gt;
&lt;de-DE&gt;
 - Kämpfer-Ausrüstung optimiert: Die grundlegenden Attribute und Fähigkeiten der Ausrüstung wurden verbessert. die Ausrüstungsfähigkeiten sind nicht mehr auf ein bestimmtes Level festgelegt, sondern können zusammen mit der Ausrüstung aufgewertet werden.
- Außerdem wurde die 3D-Modellierung der Gebäude in der Stadt abgeschlossen (einschließlich Rathaus-Skins).
&lt;/de-DE&gt;
&lt;pt-BR&gt;
 - Melhoria no equipamento de combatente: atributos básicos e atributos de habilidade de equipamento melhorados; habilidades de equipamento não tem mais um nível fixo e podem ser melhoradas junto do equipamento.
 - Além disso, foi concluída a iteração de modelagem 3D de estruturas da cidade (incluindo skins de prefeitura).
&lt;/pt-BR&gt;
&lt;zh-HK&gt;
-鬥士裝備優化：增強了裝備的基礎屬性和裝備技能參數，裝備技能由固定等級調整為可隨等級升級。
-對主城建築（含皮膚）進行了3D化叠代。
&lt;/zh-HK&gt;
&lt;zh-TW&gt;
-鬥士裝備優化：增強了裝備的基礎屬性和裝備技能參數，裝備技能由固定等級調整為可隨等級升級。
-對主城建築（含皮膚）進行了3D化叠代。
&lt;/zh-TW&gt;
&lt;id&gt;
- Optimalisasi perlengkapan Pejuang: Peningkatan atribut dasar dan parameter keahlian dari perlengkapan, dan keahlian perlengkapan telah disesuaikan dari level tetap menjadi level yang dapat ditingkatkan. 
- Iterasi 3D untuk bangunan kota (termasuk skin).
&lt;/id&gt;
&lt;th&gt;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แต่จะสามารถอัปเกรดไปพร้อมกับอุปกรณ์ได้
- นอกจากนี้ยังทำซ้ำแบบจำลอง 3 มิติของสิ่งปลูกสร้างในเมืองเสร็จสิ้นแล้วด้วย (รวมถึงสกินศาลากลาง)
&lt;/th&gt;
&lt;es-419&gt;
 - Mejoras en el equipo de Luchador: Mejora en los atributos básicos y estadísticas de habilidad del equipo; las habilidades del equipo ya no tendrán un nivel fijo, sino que se pueden mejorar junto con el equipo.
- También se completó la iteración de modelado 3D de los edificios de la ciudad (incluidas las texturas para el Ayuntamiento).
&lt;/es-419&gt;
&lt;ru-RU&gt;
- Улучшено снаряжение героев: улучшены базовые атрибуты снаряжения и показатели навыков. У навыков снаряжения больше нет фиксированного уровня, они улучшаются вместе со снаряжением.
- Также завершен этап 3D-моделирования городских зданий (включая облики городского совета).
&lt;/ru-RU&gt;
&lt;tr-TR&gt;
 - Savaşçı ekipmanı geliştirildi: Ekipmanın temel nitelikleri ve beceri özellikleri geliştirildi; ekipman becerilerinin artık sabit bir seviyesi olmayacak, beceriler ekipmanla birlikte yükseltilebilecek.
- Ayrıca şehir binalarının üç boyutlu versiyonlarının modellemesi (Meclis görünümleri dahil) tamamlandı.
&lt;/tr-TR&gt;
&lt;vi&gt;
- Tối ưu trang bị Chiến Binh: Tăng cường thuộc tính cơ bản của trang bị và tham số kỹ năng trang bị, kỹ năng trang bị được điều chỉnh từ cấp cố định thành có thể nâng theo cấp. 
- Đối với Công Trình Thành Phố (gồm cả giao diện) tiến hành thay thế 3D.
&lt;/vi&gt;
</v>
      </c>
      <c r="C51" s="44" t="str">
        <f>IFERROR(__xludf.DUMMYFUNCTION("""COMPUTED_VALUE"""),"-斗士装备优化：增强了装备的基础属性和装备技能参数，装备技能由固定等级调整为可随等级升级。
-对主城建筑（含皮肤）进行了3D化迭代。")</f>
        <v>-斗士装备优化：增强了装备的基础属性和装备技能参数，装备技能由固定等级调整为可随等级升级。
-对主城建筑（含皮肤）进行了3D化迭代。</v>
      </c>
      <c r="D51" s="159" t="str">
        <f>IFERROR(__xludf.DUMMYFUNCTION("""COMPUTED_VALUE"""),"- Fighter equipment improved: enhanced equipment's basic attributes and skill stats; equipment skills are no longer at a fixed level but can be upgraded along with the equipment.
- Also completed the 3D modeling iteration of city buildings (including City"&amp;" Hall skins).")</f>
        <v>- Fighter equipment improved: enhanced equipment's basic attributes and skill stats; equipment skills are no longer at a fixed level but can be upgraded along with the equipment.
- Also completed the 3D modeling iteration of city buildings (including City Hall skins).</v>
      </c>
      <c r="E51" s="159" t="str">
        <f>IFERROR(__xludf.DUMMYFUNCTION("""COMPUTED_VALUE"""),"- Amélioration de la Baston des primates: ajout de boosts liés à l’équipement des combattants.
- Modélisation 3D des bâtiments de la ville (notamment les skins de l’hôtel de ville).")</f>
        <v>- Amélioration de la Baston des primates: ajout de boosts liés à l’équipement des combattants.
- Modélisation 3D des bâtiments de la ville (notamment les skins de l’hôtel de ville).</v>
      </c>
      <c r="F51" s="159" t="str">
        <f>IFERROR(__xludf.DUMMYFUNCTION("""COMPUTED_VALUE""")," - Kämpfer-Ausrüstung optimiert: Die grundlegenden Attribute und Fähigkeiten der Ausrüstung wurden verbessert. die Ausrüstungsfähigkeiten sind nicht mehr auf ein bestimmtes Level festgelegt, sondern können zusammen mit der Ausrüstung aufgewertet werden.
-"&amp;" Außerdem wurde die 3D-Modellierung der Gebäude in der Stadt abgeschlossen (einschließlich Rathaus-Skins).")</f>
        <v> - Kämpfer-Ausrüstung optimiert: Die grundlegenden Attribute und Fähigkeiten der Ausrüstung wurden verbessert. die Ausrüstungsfähigkeiten sind nicht mehr auf ein bestimmtes Level festgelegt, sondern können zusammen mit der Ausrüstung aufgewertet werden.
- Außerdem wurde die 3D-Modellierung der Gebäude in der Stadt abgeschlossen (einschließlich Rathaus-Skins).</v>
      </c>
      <c r="G51" s="159" t="str">
        <f>IFERROR(__xludf.DUMMYFUNCTION("""COMPUTED_VALUE""")," - Melhoria no equipamento de combatente: atributos básicos e atributos de habilidade de equipamento melhorados; habilidades de equipamento não tem mais um nível fixo e podem ser melhoradas junto do equipamento.
 - Além disso, foi concluída a iteração de "&amp;"modelagem 3D de estruturas da cidade (incluindo skins de prefeitura).")</f>
        <v> - Melhoria no equipamento de combatente: atributos básicos e atributos de habilidade de equipamento melhorados; habilidades de equipamento não tem mais um nível fixo e podem ser melhoradas junto do equipamento.
 - Além disso, foi concluída a iteração de modelagem 3D de estruturas da cidade (incluindo skins de prefeitura).</v>
      </c>
      <c r="H51" s="159" t="str">
        <f>IFERROR(__xludf.DUMMYFUNCTION("""COMPUTED_VALUE"""),"-鬥士裝備優化：增強了裝備的基礎屬性和裝備技能參數，裝備技能由固定等級調整為可隨等級升級。
-對主城建築（含皮膚）進行了3D化叠代。")</f>
        <v>-鬥士裝備優化：增強了裝備的基礎屬性和裝備技能參數，裝備技能由固定等級調整為可隨等級升級。
-對主城建築（含皮膚）進行了3D化叠代。</v>
      </c>
      <c r="I51" s="159" t="str">
        <f>IFERROR(__xludf.DUMMYFUNCTION("""COMPUTED_VALUE"""),"- Optimalisasi perlengkapan Pejuang: Peningkatan atribut dasar dan parameter keahlian dari perlengkapan, dan keahlian perlengkapan telah disesuaikan dari level tetap menjadi level yang dapat ditingkatkan. 
- Iterasi 3D untuk bangunan kota (termasuk skin).")</f>
        <v>- Optimalisasi perlengkapan Pejuang: Peningkatan atribut dasar dan parameter keahlian dari perlengkapan, dan keahlian perlengkapan telah disesuaikan dari level tetap menjadi level yang dapat ditingkatkan. 
- Iterasi 3D untuk bangunan kota (termasuk skin).</v>
      </c>
      <c r="J51" s="159" t="str">
        <f>IFERROR(__xludf.DUMMYFUNCTION("""COMPUTED_VALUE"""),"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แต่จะสามารถอัปเกรดไปพร้อมกับอุปกรณ์ได้
- นอกจากนี้ยังทำซ้ำแบบจำลอง 3 มิติของสิ่งปลูกสร้างในเมืองเสร็จสิ้นแล้วด้วย (รวมถึงสกินศาลากลาง)")</f>
        <v> - ปรับปรุงอุปกรณ์ของนักสู้: เสริมคุณสมบัติพื้นฐานของอุปกรณ์และค่าพลังทักษะ ทักษะอุปกรณ์จะไม่เป็นเลเวลที่ตายตัวอีกต่อไป แต่จะสามารถอัปเกรดไปพร้อมกับอุปกรณ์ได้
- นอกจากนี้ยังทำซ้ำแบบจำลอง 3 มิติของสิ่งปลูกสร้างในเมืองเสร็จสิ้นแล้วด้วย (รวมถึงสกินศาลากลาง)</v>
      </c>
      <c r="K51" s="159" t="str">
        <f>IFERROR(__xludf.DUMMYFUNCTION("""COMPUTED_VALUE""")," - Mejoras en el equipo de Luchador: Mejora en los atributos básicos y estadísticas de habilidad del equipo; las habilidades del equipo ya no tendrán un nivel fijo, sino que se pueden mejorar junto con el equipo.
- También se completó la iteración de mode"&amp;"lado 3D de los edificios de la ciudad (incluidas las texturas para el Ayuntamiento).")</f>
        <v> - Mejoras en el equipo de Luchador: Mejora en los atributos básicos y estadísticas de habilidad del equipo; las habilidades del equipo ya no tendrán un nivel fijo, sino que se pueden mejorar junto con el equipo.
- También se completó la iteración de modelado 3D de los edificios de la ciudad (incluidas las texturas para el Ayuntamiento).</v>
      </c>
      <c r="L51" s="159" t="str">
        <f>IFERROR(__xludf.DUMMYFUNCTION("""COMPUTED_VALUE"""),"- Улучшено снаряжение героев: улучшены базовые атрибуты снаряжения и показатели навыков. У навыков снаряжения больше нет фиксированного уровня, они улучшаются вместе со снаряжением.
- Также завершен этап 3D-моделирования городских зданий (включая облики г"&amp;"ородского совета).")</f>
        <v>- Улучшено снаряжение героев: улучшены базовые атрибуты снаряжения и показатели навыков. У навыков снаряжения больше нет фиксированного уровня, они улучшаются вместе со снаряжением.
- Также завершен этап 3D-моделирования городских зданий (включая облики городского совета).</v>
      </c>
      <c r="M51" s="159" t="str">
        <f>IFERROR(__xludf.DUMMYFUNCTION("""COMPUTED_VALUE""")," - Savaşçı ekipmanı geliştirildi: Ekipmanın temel nitelikleri ve beceri özellikleri geliştirildi; ekipman becerilerinin artık sabit bir seviyesi olmayacak, beceriler ekipmanla birlikte yükseltilebilecek.
- Ayrıca şehir binalarının üç boyutlu versiyonların"&amp;"ın modellemesi (Meclis görünümleri dahil) tamamlandı.")</f>
        <v> - Savaşçı ekipmanı geliştirildi: Ekipmanın temel nitelikleri ve beceri özellikleri geliştirildi; ekipman becerilerinin artık sabit bir seviyesi olmayacak, beceriler ekipmanla birlikte yükseltilebilecek.
- Ayrıca şehir binalarının üç boyutlu versiyonlarının modellemesi (Meclis görünümleri dahil) tamamlandı.</v>
      </c>
      <c r="N51" s="45" t="str">
        <f>IFERROR(__xludf.DUMMYFUNCTION("""COMPUTED_VALUE"""),"- Tối ưu trang bị Chiến Binh: Tăng cường thuộc tính cơ bản của trang bị và tham số kỹ năng trang bị, kỹ năng trang bị được điều chỉnh từ cấp cố định thành có thể nâng theo cấp. 
- Đối với Công Trình Thành Phố (gồm cả giao diện) tiến hành thay thế 3D.")</f>
        <v>- Tối ưu trang bị Chiến Binh: Tăng cường thuộc tính cơ bản của trang bị và tham số kỹ năng trang bị, kỹ năng trang bị được điều chỉnh từ cấp cố định thành có thể nâng theo cấp. 
- Đối với Công Trình Thành Phố (gồm cả giao diện) tiến hành thay thế 3D.</v>
      </c>
      <c r="O51" s="45"/>
      <c r="P51" s="34"/>
      <c r="Q51" s="34"/>
      <c r="R51" s="34"/>
      <c r="S51" s="34"/>
      <c r="T51" s="108"/>
      <c r="U51" s="108"/>
      <c r="V51" s="108"/>
      <c r="W51" s="108"/>
      <c r="X51" s="108"/>
      <c r="Y51" s="108"/>
      <c r="Z51" s="108"/>
    </row>
    <row r="52" ht="72.0" customHeight="1">
      <c r="A52" s="149" t="str">
        <f>IFERROR(__xludf.DUMMYFUNCTION("""COMPUTED_VALUE"""),"0.46.0")</f>
        <v>0.46.0</v>
      </c>
      <c r="B52" s="174" t="str">
        <f>IFERROR(__xludf.DUMMYFUNCTION("""COMPUTED_VALUE"""),"&lt;en-US&gt;
- New gameplay: Operation Mutants coming soon! Team up with your friends and work together to defeat the Mutants!
- New friends feature: Add players as your friends. Interact and stay in touch!
- New Fighter: Ken, the Reaper of Souls. A mysterious"&amp;" wildland monkey who walks on stilts and wears dark robes.
&lt;/en-US&gt;
&lt;fr-FR&gt;
- Nouveau gameplay: l'Opération mutants arrive bientôt! Réunissez vos amis pour venir ensemble à bout des mutants!
- Nouvelle fonctionnalité ""amis"": ajoutez des joueurs à votre "&amp;"liste d'amis. Vous pouvez interagir et rester en contact!
- Nouveau combattant: Ken, faucheur d'âmes. Un mystérieux singe des marais qui se déplace sur des échasses et porte une longue robe noire.
&lt;/fr-FR&gt;
&lt;de-DE&gt;
- Neues Gameplay: Operation Mutanten komm"&amp;"t bald! Schließe dich mit deinen Freunden zusammen, um die Mutanten zu besiegen!
 - Neue Freundschaftsfunktion: Füge Spieler als deine Freunde hinzu. Interagiere und bleibe in Kontakt!
 - Neuer Kämpfer: Ken, der Sensenmann der Seelen. Ein geheimnisvoller "&amp;"Affe aus der Wildnis, der auf Stelzen geht und dunkle Gewänder trägt.
&lt;/de-DE&gt;
&lt;pt-BR&gt;
- Novo modo de jogo: Operação Mutantes chega em breve! Una-se a seus amigos e trabalhem juntos para derrotar mutantes!
 - Novo recurso de amigos: adicione jogadores com"&amp;"o seus amigos. Interaja e mantenha contato!
 - Novo combatente: Ken, o Ceifador de Almas. Um macaco misterioso que perambula usando pernas-de-pau e veste togas negras.
&lt;/pt-BR&gt;
&lt;zh-HK&gt;
-新增玩法：圍剿變異猴即將來臨！與你的朋友們組隊，協力消滅變異猴群！
-新增好友繫統：您可以將關繫好的猴子加爲好友，並和他們保持聯繫和互動！"&amp;"
-新增鬥士：靈魂收割者—肯，一個腳踩高蹺、身披長袍，渾身散髮着神秘氣息的荒野猴。
&lt;/zh-HK&gt;
&lt;zh-TW&gt;
-新增玩法：圍剿變異猴即將來臨！與你的朋友們組隊，協力消滅變異猴群！
-新增好友繫統：您可以將關繫好的猴子加爲好友，並和他們保持聯繫和互動！
-新增鬥士：靈魂收割者—肯，一個腳踩高蹺、身披長袍，渾身散髮着神秘氣息的荒野猴。
&lt;/zh-TW&gt;
&lt;id&gt;
-Gameplay baru: Pengepungan Kera Mutan akan segera hadir! Buatlah grup"&amp;" bersama sobatmu, bekerja sama untuk basmi Kera Mutan!
- Menambahkan sistem teman: Anda dapat tambah Kera yang akrab jadi teman, untuk berinteraksi dan pererat hubungan!
- Penambahan Pejuang: Pencabut Nyawa—Ken, Kera Liar dengan pijak kaki tinggi dan juba"&amp;"h, memancarkan aura misterius.
&lt;/id&gt;
&lt;th&gt;
- เกมเพลย์ใหม่: ปฏิบัติการตัวกลายพันธุ์ใกล้มาถึงแล้ว! จัดทีมกับเพื่อนของคุณและร่วมมือกันเอาชนะพวกกลายพันธุ์!
 - ฟีเจอร์เพื่อนใหม่ๆ: เพิ่มผู้เล่นเป็นเพื่อนกับคุณ พูดคุยติดต่อกันได้ตลอด!
 - นักสู้ตัวใหม่: เคน ยมทูตล"&amp;"่าวิญญาณ ลิงแดนเถื่อนลึกลับที่เดินบนไม้ต่อขาและสวมผ้าคลุมสีดำมืด
&lt;/th&gt;
&lt;es-419&gt;
- Nueva jugabilidad: ¡Próximamente llegará la Operación Mutantes! ¡Haz equipo con tus amigos y trabajen en conjunto para derrotar a los Mutantes!
 - Nueva función de amigos: A"&amp;"grega jugadores como tus amigos. ¡Interactúa y mantente en contacto!
 - Nuevo luchador: Ken, el Segador de Almas. Un misterioso mono salvaje que camina sobre zancos y viste túnicas oscuras.
&lt;/es-419&gt;
&lt;ru-RU&gt;
- Новый игровой процесс: скоро начнется операци"&amp;"я «Мутанты»! Объединитесь с друзьями и вместе победите мутантов! 
- Новая функция друзей: добавляйте игроков в друзья, общайтесь и оставайтесь на связи! 
- Новый герой: Кен, Жнец Душ. Таинственный примат из диких земель, который ходит на ходулях и носит т"&amp;"емные одеяния.
&lt;/ru-RU&gt;
&lt;tr-TR&gt;
- Yeni oynanış: Mutant Operasyonları yakında geliyor! Arkadaşlarınla takım olup birlikte çalışarak Mutantları yen!
 - Yeni arkadaş özelliği: Oyuncuları arkadaş olarak ekle. Onlarla etkileşime gir ve iletişimde kal!
 - Yeni "&amp;"Savaşçı: Ölüm Meleği Ken. Ayaklıklarla yürüyen ve kara bir cüppe giyen gizemli bir çorak toprak maymunu.
&lt;/tr-TR&gt;
&lt;vi&gt;
- Lối chơi mới: Vây Quét Khỉ Đột Biến sắp ra mắt! Tổ đội với những người bạn của bạn, hợp lực tiêu diệt Khỉ Đột Biến! 
- Hệ thống bạn bè"&amp;" mới: Bạn có thể thêm những chiến hữu khỉ làm bạn bè, đồng thời giữ liên lạc và tương tác với họ! 
- Chiến Binh mới: Kẻ Kết Liễu Linh Hồn - Ken, một con khỉ hoang dã chân đi cà kheo, người mặc áo dài, toàn thân phát ra mùi hương thần bí. 
&lt;/vi&gt;
")</f>
        <v>&lt;en-US&gt;
- New gameplay: Operation Mutants coming soon! Team up with your friends and work together to defeat the Mutants!
- New friends feature: Add players as your friends. Interact and stay in touch!
- New Fighter: Ken, the Reaper of Souls. A mysterious wildland monkey who walks on stilts and wears dark robes.
&lt;/en-US&gt;
&lt;fr-FR&gt;
- Nouveau gameplay: l'Opération mutants arrive bientôt! Réunissez vos amis pour venir ensemble à bout des mutants!
- Nouvelle fonctionnalité "amis": ajoutez des joueurs à votre liste d'amis. Vous pouvez interagir et rester en contact!
- Nouveau combattant: Ken, faucheur d'âmes. Un mystérieux singe des marais qui se déplace sur des échasses et porte une longue robe noire.
&lt;/fr-FR&gt;
&lt;de-DE&gt;
- Neues Gameplay: Operation Mutanten kommt bald! Schließe dich mit deinen Freunden zusammen, um die Mutanten zu besiegen!
 - Neue Freundschaftsfunktion: Füge Spieler als deine Freunde hinzu. Interagiere und bleibe in Kontakt!
 - Neuer Kämpfer: Ken, der Sensenmann der Seelen. Ein geheimnisvoller Affe aus der Wildnis, der auf Stelzen geht und dunkle Gewänder trägt.
&lt;/de-DE&gt;
&lt;pt-BR&gt;
- Novo modo de jogo: Operação Mutantes chega em breve! Una-se a seus amigos e trabalhem juntos para derrotar mutantes!
 - Novo recurso de amigos: adicione jogadores como seus amigos. Interaja e mantenha contato!
 - Novo combatente: Ken, o Ceifador de Almas. Um macaco misterioso que perambula usando pernas-de-pau e veste togas negras.
&lt;/pt-BR&gt;
&lt;zh-HK&gt;
-新增玩法：圍剿變異猴即將來臨！與你的朋友們組隊，協力消滅變異猴群！
-新增好友繫統：您可以將關繫好的猴子加爲好友，並和他們保持聯繫和互動！
-新增鬥士：靈魂收割者—肯，一個腳踩高蹺、身披長袍，渾身散髮着神秘氣息的荒野猴。
&lt;/zh-HK&gt;
&lt;zh-TW&gt;
-新增玩法：圍剿變異猴即將來臨！與你的朋友們組隊，協力消滅變異猴群！
-新增好友繫統：您可以將關繫好的猴子加爲好友，並和他們保持聯繫和互動！
-新增鬥士：靈魂收割者—肯，一個腳踩高蹺、身披長袍，渾身散髮着神秘氣息的荒野猴。
&lt;/zh-TW&gt;
&lt;id&gt;
-Gameplay baru: Pengepungan Kera Mutan akan segera hadir! Buatlah grup bersama sobatmu, bekerja sama untuk basmi Kera Mutan!
- Menambahkan sistem teman: Anda dapat tambah Kera yang akrab jadi teman, untuk berinteraksi dan pererat hubungan!
- Penambahan Pejuang: Pencabut Nyawa—Ken, Kera Liar dengan pijak kaki tinggi dan jubah, memancarkan aura misterius.
&lt;/id&gt;
&lt;th&gt;
- เกมเพลย์ใหม่: ปฏิบัติการตัวกลายพันธุ์ใกล้มาถึงแล้ว! จัดทีมกับเพื่อนของคุณและร่วมมือกันเอาชนะพวกกลายพันธุ์!
 - ฟีเจอร์เพื่อนใหม่ๆ: เพิ่มผู้เล่นเป็นเพื่อนกับคุณ พูดคุยติดต่อกันได้ตลอด!
 - นักสู้ตัวใหม่: เคน ยมทูตล่าวิญญาณ ลิงแดนเถื่อนลึกลับที่เดินบนไม้ต่อขาและสวมผ้าคลุมสีดำมืด
&lt;/th&gt;
&lt;es-419&gt;
- Nueva jugabilidad: ¡Próximamente llegará la Operación Mutantes! ¡Haz equipo con tus amigos y trabajen en conjunto para derrotar a los Mutantes!
 - Nueva función de amigos: Agrega jugadores como tus amigos. ¡Interactúa y mantente en contacto!
 - Nuevo luchador: Ken, el Segador de Almas. Un misterioso mono salvaje que camina sobre zancos y viste túnicas oscuras.
&lt;/es-419&gt;
&lt;ru-RU&gt;
- Новый игровой процесс: скоро начнется операция «Мутанты»! Объединитесь с друзьями и вместе победите мутантов! 
- Новая функция друзей: добавляйте игроков в друзья, общайтесь и оставайтесь на связи! 
- Новый герой: Кен, Жнец Душ. Таинственный примат из диких земель, который ходит на ходулях и носит темные одеяния.
&lt;/ru-RU&gt;
&lt;tr-TR&gt;
- Yeni oynanış: Mutant Operasyonları yakında geliyor! Arkadaşlarınla takım olup birlikte çalışarak Mutantları yen!
 - Yeni arkadaş özelliği: Oyuncuları arkadaş olarak ekle. Onlarla etkileşime gir ve iletişimde kal!
 - Yeni Savaşçı: Ölüm Meleği Ken. Ayaklıklarla yürüyen ve kara bir cüppe giyen gizemli bir çorak toprak maymunu.
&lt;/tr-TR&gt;
&lt;vi&gt;
- Lối chơi mới: Vây Quét Khỉ Đột Biến sắp ra mắt! Tổ đội với những người bạn của bạn, hợp lực tiêu diệt Khỉ Đột Biến! 
- Hệ thống bạn bè mới: Bạn có thể thêm những chiến hữu khỉ làm bạn bè, đồng thời giữ liên lạc và tương tác với họ! 
- Chiến Binh mới: Kẻ Kết Liễu Linh Hồn - Ken, một con khỉ hoang dã chân đi cà kheo, người mặc áo dài, toàn thân phát ra mùi hương thần bí. 
&lt;/vi&gt;
</v>
      </c>
      <c r="C52" s="44" t="str">
        <f>IFERROR(__xludf.DUMMYFUNCTION("""COMPUTED_VALUE"""),"-新增玩法：围剿变异猴即将来临！与你的朋友们组队，协力消灭变异猴群！
-新增好友系统：您可以将关系好的猴子加为好友，并和他们保持联系和互动！
-新增斗士：灵魂收割者—肯，一个脚踩高跷、身披长袍，浑身散发着神秘气息的荒野猴。")</f>
        <v>-新增玩法：围剿变异猴即将来临！与你的朋友们组队，协力消灭变异猴群！
-新增好友系统：您可以将关系好的猴子加为好友，并和他们保持联系和互动！
-新增斗士：灵魂收割者—肯，一个脚踩高跷、身披长袍，浑身散发着神秘气息的荒野猴。</v>
      </c>
      <c r="D52" s="159" t="str">
        <f>IFERROR(__xludf.DUMMYFUNCTION("""COMPUTED_VALUE"""),"- New gameplay: Operation Mutants coming soon! Team up with your friends and work together to defeat the Mutants!
- New friends feature: Add players as your friends. Interact and stay in touch!
- New Fighter: Ken, the Reaper of Souls. A mysterious wildlan"&amp;"d monkey who walks on stilts and wears dark robes.")</f>
        <v>- New gameplay: Operation Mutants coming soon! Team up with your friends and work together to defeat the Mutants!
- New friends feature: Add players as your friends. Interact and stay in touch!
- New Fighter: Ken, the Reaper of Souls. A mysterious wildland monkey who walks on stilts and wears dark robes.</v>
      </c>
      <c r="E52" s="159" t="str">
        <f>IFERROR(__xludf.DUMMYFUNCTION("""COMPUTED_VALUE"""),"- Nouveau gameplay: l'Opération mutants arrive bientôt! Réunissez vos amis pour venir ensemble à bout des mutants!
- Nouvelle fonctionnalité ""amis"": ajoutez des joueurs à votre liste d'amis. Vous pouvez interagir et rester en contact!
- Nouveau combatta"&amp;"nt: Ken, faucheur d'âmes. Un mystérieux singe des marais qui se déplace sur des échasses et porte une longue robe noire.")</f>
        <v>- Nouveau gameplay: l'Opération mutants arrive bientôt! Réunissez vos amis pour venir ensemble à bout des mutants!
- Nouvelle fonctionnalité "amis": ajoutez des joueurs à votre liste d'amis. Vous pouvez interagir et rester en contact!
- Nouveau combattant: Ken, faucheur d'âmes. Un mystérieux singe des marais qui se déplace sur des échasses et porte une longue robe noire.</v>
      </c>
      <c r="F52" s="159" t="str">
        <f>IFERROR(__xludf.DUMMYFUNCTION("""COMPUTED_VALUE"""),"- Neues Gameplay: Operation Mutanten kommt bald! Schließe dich mit deinen Freunden zusammen, um die Mutanten zu besiegen!
 - Neue Freundschaftsfunktion: Füge Spieler als deine Freunde hinzu. Interagiere und bleibe in Kontakt!
 - Neuer Kämpfer: Ken, der Se"&amp;"nsenmann der Seelen. Ein geheimnisvoller Affe aus der Wildnis, der auf Stelzen geht und dunkle Gewänder trägt.")</f>
        <v>- Neues Gameplay: Operation Mutanten kommt bald! Schließe dich mit deinen Freunden zusammen, um die Mutanten zu besiegen!
 - Neue Freundschaftsfunktion: Füge Spieler als deine Freunde hinzu. Interagiere und bleibe in Kontakt!
 - Neuer Kämpfer: Ken, der Sensenmann der Seelen. Ein geheimnisvoller Affe aus der Wildnis, der auf Stelzen geht und dunkle Gewänder trägt.</v>
      </c>
      <c r="G52" s="159" t="str">
        <f>IFERROR(__xludf.DUMMYFUNCTION("""COMPUTED_VALUE"""),"- Novo modo de jogo: Operação Mutantes chega em breve! Una-se a seus amigos e trabalhem juntos para derrotar mutantes!
 - Novo recurso de amigos: adicione jogadores como seus amigos. Interaja e mantenha contato!
 - Novo combatente: Ken, o Ceifador de Alma"&amp;"s. Um macaco misterioso que perambula usando pernas-de-pau e veste togas negras.")</f>
        <v>- Novo modo de jogo: Operação Mutantes chega em breve! Una-se a seus amigos e trabalhem juntos para derrotar mutantes!
 - Novo recurso de amigos: adicione jogadores como seus amigos. Interaja e mantenha contato!
 - Novo combatente: Ken, o Ceifador de Almas. Um macaco misterioso que perambula usando pernas-de-pau e veste togas negras.</v>
      </c>
      <c r="H52" s="159" t="str">
        <f>IFERROR(__xludf.DUMMYFUNCTION("""COMPUTED_VALUE"""),"-新增玩法：圍剿變異猴即將來臨！與你的朋友們組隊，協力消滅變異猴群！
-新增好友繫統：您可以將關繫好的猴子加爲好友，並和他們保持聯繫和互動！
-新增鬥士：靈魂收割者—肯，一個腳踩高蹺、身披長袍，渾身散髮着神秘氣息的荒野猴。")</f>
        <v>-新增玩法：圍剿變異猴即將來臨！與你的朋友們組隊，協力消滅變異猴群！
-新增好友繫統：您可以將關繫好的猴子加爲好友，並和他們保持聯繫和互動！
-新增鬥士：靈魂收割者—肯，一個腳踩高蹺、身披長袍，渾身散髮着神秘氣息的荒野猴。</v>
      </c>
      <c r="I52" s="159" t="str">
        <f>IFERROR(__xludf.DUMMYFUNCTION("""COMPUTED_VALUE"""),"-Gameplay baru: Pengepungan Kera Mutan akan segera hadir! Buatlah grup bersama sobatmu, bekerja sama untuk basmi Kera Mutan!
- Menambahkan sistem teman: Anda dapat tambah Kera yang akrab jadi teman, untuk berinteraksi dan pererat hubungan!
- Penambahan Pe"&amp;"juang: Pencabut Nyawa—Ken, Kera Liar dengan pijak kaki tinggi dan jubah, memancarkan aura misterius.")</f>
        <v>-Gameplay baru: Pengepungan Kera Mutan akan segera hadir! Buatlah grup bersama sobatmu, bekerja sama untuk basmi Kera Mutan!
- Menambahkan sistem teman: Anda dapat tambah Kera yang akrab jadi teman, untuk berinteraksi dan pererat hubungan!
- Penambahan Pejuang: Pencabut Nyawa—Ken, Kera Liar dengan pijak kaki tinggi dan jubah, memancarkan aura misterius.</v>
      </c>
      <c r="J52" s="159" t="str">
        <f>IFERROR(__xludf.DUMMYFUNCTION("""COMPUTED_VALUE"""),"- เกมเพลย์ใหม่: ปฏิบัติการตัวกลายพันธุ์ใกล้มาถึงแล้ว! จัดทีมกับเพื่อนของคุณและร่วมมือกันเอาชนะพวกกลายพันธุ์!
 - ฟีเจอร์เพื่อนใหม่ๆ: เพิ่มผู้เล่นเป็นเพื่อนกับคุณ พูดคุยติดต่อกันได้ตลอด!
 - นักสู้ตัวใหม่: เคน ยมทูตล่าวิญญาณ ลิงแดนเถื่อนลึกลับที่เดินบนไม้ต่อ"&amp;"ขาและสวมผ้าคลุมสีดำมืด")</f>
        <v>- เกมเพลย์ใหม่: ปฏิบัติการตัวกลายพันธุ์ใกล้มาถึงแล้ว! จัดทีมกับเพื่อนของคุณและร่วมมือกันเอาชนะพวกกลายพันธุ์!
 - ฟีเจอร์เพื่อนใหม่ๆ: เพิ่มผู้เล่นเป็นเพื่อนกับคุณ พูดคุยติดต่อกันได้ตลอด!
 - นักสู้ตัวใหม่: เคน ยมทูตล่าวิญญาณ ลิงแดนเถื่อนลึกลับที่เดินบนไม้ต่อขาและสวมผ้าคลุมสีดำมืด</v>
      </c>
      <c r="K52" s="159" t="str">
        <f>IFERROR(__xludf.DUMMYFUNCTION("""COMPUTED_VALUE"""),"- Nueva jugabilidad: ¡Próximamente llegará la Operación Mutantes! ¡Haz equipo con tus amigos y trabajen en conjunto para derrotar a los Mutantes!
 - Nueva función de amigos: Agrega jugadores como tus amigos. ¡Interactúa y mantente en contacto!
 - Nuevo lu"&amp;"chador: Ken, el Segador de Almas. Un misterioso mono salvaje que camina sobre zancos y viste túnicas oscuras.")</f>
        <v>- Nueva jugabilidad: ¡Próximamente llegará la Operación Mutantes! ¡Haz equipo con tus amigos y trabajen en conjunto para derrotar a los Mutantes!
 - Nueva función de amigos: Agrega jugadores como tus amigos. ¡Interactúa y mantente en contacto!
 - Nuevo luchador: Ken, el Segador de Almas. Un misterioso mono salvaje que camina sobre zancos y viste túnicas oscuras.</v>
      </c>
      <c r="L52" s="159" t="str">
        <f>IFERROR(__xludf.DUMMYFUNCTION("""COMPUTED_VALUE"""),"- Новый игровой процесс: скоро начнется операция «Мутанты»! Объединитесь с друзьями и вместе победите мутантов! 
- Новая функция друзей: добавляйте игроков в друзья, общайтесь и оставайтесь на связи! 
- Новый герой: Кен, Жнец Душ. Таинственный примат из д"&amp;"иких земель, который ходит на ходулях и носит темные одеяния.")</f>
        <v>- Новый игровой процесс: скоро начнется операция «Мутанты»! Объединитесь с друзьями и вместе победите мутантов! 
- Новая функция друзей: добавляйте игроков в друзья, общайтесь и оставайтесь на связи! 
- Новый герой: Кен, Жнец Душ. Таинственный примат из диких земель, который ходит на ходулях и носит темные одеяния.</v>
      </c>
      <c r="M52" s="159" t="str">
        <f>IFERROR(__xludf.DUMMYFUNCTION("""COMPUTED_VALUE"""),"- Yeni oynanış: Mutant Operasyonları yakında geliyor! Arkadaşlarınla takım olup birlikte çalışarak Mutantları yen!
 - Yeni arkadaş özelliği: Oyuncuları arkadaş olarak ekle. Onlarla etkileşime gir ve iletişimde kal!
 - Yeni Savaşçı: Ölüm Meleği Ken. Ayaklı"&amp;"klarla yürüyen ve kara bir cüppe giyen gizemli bir çorak toprak maymunu.")</f>
        <v>- Yeni oynanış: Mutant Operasyonları yakında geliyor! Arkadaşlarınla takım olup birlikte çalışarak Mutantları yen!
 - Yeni arkadaş özelliği: Oyuncuları arkadaş olarak ekle. Onlarla etkileşime gir ve iletişimde kal!
 - Yeni Savaşçı: Ölüm Meleği Ken. Ayaklıklarla yürüyen ve kara bir cüppe giyen gizemli bir çorak toprak maymunu.</v>
      </c>
      <c r="N52" s="45" t="str">
        <f>IFERROR(__xludf.DUMMYFUNCTION("""COMPUTED_VALUE"""),"- Lối chơi mới: Vây Quét Khỉ Đột Biến sắp ra mắt! Tổ đội với những người bạn của bạn, hợp lực tiêu diệt Khỉ Đột Biến! 
- Hệ thống bạn bè mới: Bạn có thể thêm những chiến hữu khỉ làm bạn bè, đồng thời giữ liên lạc và tương tác với họ! 
- Chiến Binh mới: Kẻ"&amp;" Kết Liễu Linh Hồn - Ken, một con khỉ hoang dã chân đi cà kheo, người mặc áo dài, toàn thân phát ra mùi hương thần bí. ")</f>
        <v>- Lối chơi mới: Vây Quét Khỉ Đột Biến sắp ra mắt! Tổ đội với những người bạn của bạn, hợp lực tiêu diệt Khỉ Đột Biến! 
- Hệ thống bạn bè mới: Bạn có thể thêm những chiến hữu khỉ làm bạn bè, đồng thời giữ liên lạc và tương tác với họ! 
- Chiến Binh mới: Kẻ Kết Liễu Linh Hồn - Ken, một con khỉ hoang dã chân đi cà kheo, người mặc áo dài, toàn thân phát ra mùi hương thần bí. </v>
      </c>
      <c r="O52" s="45"/>
      <c r="P52" s="34"/>
      <c r="Q52" s="34"/>
      <c r="R52" s="34"/>
      <c r="S52" s="34"/>
      <c r="T52" s="108"/>
      <c r="U52" s="108"/>
      <c r="V52" s="108"/>
      <c r="W52" s="108"/>
      <c r="X52" s="108"/>
      <c r="Y52" s="108"/>
      <c r="Z52" s="108"/>
    </row>
    <row r="53" ht="72.0" customHeight="1">
      <c r="A53" s="149" t="str">
        <f>IFERROR(__xludf.DUMMYFUNCTION("""COMPUTED_VALUE"""),"0.47.0")</f>
        <v>0.47.0</v>
      </c>
      <c r="B53" s="174" t="str">
        <f>IFERROR(__xludf.DUMMYFUNCTION("""COMPUTED_VALUE"""),"&lt;en-US&gt;
-New Fighter: Elmo, Legendary Pilot Fighter, a brave rider and guardian of the city!
-New Achievement rewards: New Fighter Achievement rewards; go to individual Fighter pages to view.
-Planet Wars: New Power Enhance Mode where each unit type is gi"&amp;"ven special skills, including long-range attacks for Shooters and Wall Breakers.
-Fortress Takeover: Added a new """"island"""" map.
&lt;/en-US&gt;
&lt;fr-FR&gt;
-Nouveau combattant: Elmo, le combattant légendaire, pilote courageux et défenseur de la ville!
-Nouvelle"&amp;"s récompenses pour les prouesses liées aux nouveaux combattants; visibles à la page dédiée aux combattants.
-Invasion de forteresse: ajout d'une carte ""île"".
-Guerre planétaire: nouveau mode surpuissance, dans lequel les unités obtiennent des compétence"&amp;"s selon leur type, notamment des attaques à distance pour les tireurs et les casse-murailles.
&lt;/fr-FR&gt;
&lt;de-DE&gt;
-Neuer Kämpfer: Elmo, legendärer Pilotenkämpfer, mutiger Fahrer und Wächter der Stadt!
-Neue Belohnungen für Erfolge: Neue Belohnungen für Kämpf"&amp;"er-Erfolge; Du kannst sie dir auf der Seite der einzelnen Kämpfer ansehen.
-Festungsübernahme: Neue Insel-Karte hinzugefügt.
-Planetenkriege: Neuer Stärke-Verbesserungsmodus in dem jeden einheitentyp spezielle Fähigkeiten hat, darunter Langstreckenangriff"&amp;"e für Schützen und Mauerbrecher.
&lt;/de-DE&gt;
&lt;pt-BR&gt;
-Novo combatente: Elmo, o lendário combatente piloto, um corajoso guardião da cidade!
-Novas recompensas de conquistas: novas recompensas de conquista de combatente; confira as páginas de combatente indivi"&amp;"duais para visualizar.
-Conquista da Fortaleza: novo mapa de ""ilha"" adicionado.
-Guerra Interplanetária: novo Modo de Poder Aumentado, no qual cada tipo de unidade tem habilidades especiais, incluindo ataques de longo alcance para atiradores e quebra-mu"&amp;"ros.
&lt;/pt-BR&gt;
&lt;zh-HK&gt;
-新增鬥士：埃爾默，飆車族傳說鬥士，守護城市的勇敢騎士！
-新增成就獎勵：新增鬥士成就獎勵，進入每個鬥士界面即可點擊查看。
-銀河戰爭新增：威力加強版劇本，為每個兵種添加了對應的特殊兵種技能，其中射擊手和攻城車可以開啟遠程模式進行戰鬥 。   
-堡壘對決新增：新增堡壘對決『海島』地圖 。 
&lt;/zh-HK&gt;
&lt;zh-TW&gt;
-新增鬥士：埃爾默，飆車族傳說鬥士，守護城市的勇敢騎士！
-新增成就獎勵：新增鬥士成就獎勵，進入每個鬥士界面即可點擊查看。
-銀河戰爭新增"&amp;"：威力加強版劇本，為每個兵種添加了對應的特殊兵種技能，其中射擊手和攻城車可以開啟遠程模式進行戰鬥 。   
-堡壘對決新增：新增堡壘對決『海島』地圖 。 
&lt;/zh-TW&gt;
&lt;id&gt;
-Pejuang baru: Elmo, pejuang legendaris Pilot, pengendara pemberani yang menjaga kota! 
-Hadiah Pencapaian Baru: Hadiah Pencapaian Pejuang baru, klik untuk lihat d"&amp;"i antarmuka setiap Pejuang. 
-Penaklukan Benteng Baru: Peta Penaklukan Benteng ""Pulau"" baru 
-Perang Planet Baru: Skrip versi Power-up, Menambahkan keahlian Pasukan khusus yang sesuai untuk setiap Pasukan, di antaranya Penembak dan Pembobol Tembok dapat"&amp;" menggunakan mode jarak jauh untuk bertarung 
&lt;/id&gt;
&lt;th&gt;
-นักสู้ตัวใหม่: เอลโม นักสู้พลขับระดับตำนาน นักซิ่งผู้กล้าและผู้พิทักษ์ประจำเมือง!
-รางวัลความสำเร็จใหม่: รางวัลความสำเร็จนักสู้ใหม่: ไปดูได้ที่หน้าของนักสู้แต่ละตัว
-ยึดป้อมปราการ: เพิ่มแผนที่ “เกา"&amp;"ะ” เข้ามาใหม่
-สงครามดวงดาว: โหมดเพิ่มพลังใหม่ที่ยูนิตแต่ละประเภทจะได้รับสกิลพิเศษ รวมถึงการโจมตีระยะไกลสำหรับพลยิงและวอลล์เบรกเกอร์
&lt;/th&gt;
&lt;es-419&gt;
-Nuevo Luchador: Elmo, Piloto de Combate Legendario, ¡un valiente aviador y guardián de la ciudad!
-Nuevas "&amp;"Recompensas por logros: Recompensas de nuevos logros de Luchador; ve a las páginas individuales del Luchador para poder verlas.
-Toma de la Fortaleza: Se agregó un nuevo mapa de ""isla"".
-Guerras Planetarias: Nuevo Modo de Mejora de Poder en donde cada t"&amp;"ipo de unidad recibe habilidades especiales, incluidos ataques de largo alcance para los Tiradores y Rompemuros.
&lt;/es-419&gt;
&lt;ru-RU&gt;
-Новый боец: Элмо, легендарный герой-гонщик, отважный ездок и страж города!
-Новые награды за достижения: новые награды за д"&amp;"остижения героев. Перейдите на индивидуальные страницы героев для просмотра.
-«Захват крепости»: добавлена ​​новая «островная» карта.
-«Планетарные войны»: новый режим повышения мощности, в котором каждому типу войск даются особые навыки, включая дальнобо"&amp;"йные атаки для стрелков и стеноломов.
&lt;/ru-RU&gt;
&lt;tr-TR&gt;
-Yeni Savaşçı: Elmo, Efsanevi Pilot Savaşçısı, cesur bir binici ve şehrin koruyucusu!
-Yeni Başarı ödülleri: Yeni Savaşçı Başarı ödülleri; incelemek için Savaşçıların kendi sayfalarına git.
-Gezegen S"&amp;"avaşları: Her birim türüne Nişancılar ve Duvar Kırıcılar için uzun menzilli saldırılar dâhil olmak üzere özel becerilerin verildiği Yeni Güç Geliştirme Modu.
-Yeni tatil etkinlikleri: Sürpriz Şenliği yakında başlıyor. Festival dekorasyonlarını ve diğer öd"&amp;"ülleri kazanmak için katıl!
&lt;/tr-TR&gt;
&lt;vi&gt;
-Chiến Binh Mới: Elmo, Chiến Binh Huyền Thoại Phi Công, kỵ sĩ dũng cảm bảo vệ Thành Phố! 
-Phần thưởng Thành Tựu mới: Thêm phần thưởng Thành Tựu Chiến Binh, vào mỗi giao diện Chiến Binh sẽ có thể nhấn để xem. 
-Th"&amp;"êm mới Tiếp Quản Pháo Đài: Thêm bản đồ Tiếp Quản Pháo Đài “Hải Đảo”
-Thêm mới Chiến Tranh Hành Tinh: Kịch bản tăng sức mạnh, thêm một kỹ năng Binh Chủng đặc biệt tương ứng cho mỗi một binh chủng, trong đó Xạ Thủ và Lính Phá Thành có thể bật chế độ tầm xa "&amp;"tiến hành chiến đấu
&lt;/vi&gt;
")</f>
        <v>&lt;en-US&gt;
-New Fighter: Elmo, Legendary Pilot Fighter, a brave rider and guardian of the city!
-New Achievement rewards: New Fighter Achievement rewards; go to individual Fighter pages to view.
-Planet Wars: New Power Enhance Mode where each unit type is given special skills, including long-range attacks for Shooters and Wall Breakers.
-Fortress Takeover: Added a new ""island"" map.
&lt;/en-US&gt;
&lt;fr-FR&gt;
-Nouveau combattant: Elmo, le combattant légendaire, pilote courageux et défenseur de la ville!
-Nouvelles récompenses pour les prouesses liées aux nouveaux combattants; visibles à la page dédiée aux combattants.
-Invasion de forteresse: ajout d'une carte "île".
-Guerre planétaire: nouveau mode surpuissance, dans lequel les unités obtiennent des compétences selon leur type, notamment des attaques à distance pour les tireurs et les casse-murailles.
&lt;/fr-FR&gt;
&lt;de-DE&gt;
-Neuer Kämpfer: Elmo, legendärer Pilotenkämpfer, mutiger Fahrer und Wächter der Stadt!
-Neue Belohnungen für Erfolge: Neue Belohnungen für Kämpfer-Erfolge; Du kannst sie dir auf der Seite der einzelnen Kämpfer ansehen.
-Festungsübernahme: Neue Insel-Karte hinzugefügt.
-Planetenkriege: Neuer Stärke-Verbesserungsmodus in dem jeden einheitentyp spezielle Fähigkeiten hat, darunter Langstreckenangriffe für Schützen und Mauerbrecher.
&lt;/de-DE&gt;
&lt;pt-BR&gt;
-Novo combatente: Elmo, o lendário combatente piloto, um corajoso guardião da cidade!
-Novas recompensas de conquistas: novas recompensas de conquista de combatente; confira as páginas de combatente individuais para visualizar.
-Conquista da Fortaleza: novo mapa de "ilha" adicionado.
-Guerra Interplanetária: novo Modo de Poder Aumentado, no qual cada tipo de unidade tem habilidades especiais, incluindo ataques de longo alcance para atiradores e quebra-muros.
&lt;/pt-BR&gt;
&lt;zh-HK&gt;
-新增鬥士：埃爾默，飆車族傳說鬥士，守護城市的勇敢騎士！
-新增成就獎勵：新增鬥士成就獎勵，進入每個鬥士界面即可點擊查看。
-銀河戰爭新增：威力加強版劇本，為每個兵種添加了對應的特殊兵種技能，其中射擊手和攻城車可以開啟遠程模式進行戰鬥 。   
-堡壘對決新增：新增堡壘對決『海島』地圖 。 
&lt;/zh-HK&gt;
&lt;zh-TW&gt;
-新增鬥士：埃爾默，飆車族傳說鬥士，守護城市的勇敢騎士！
-新增成就獎勵：新增鬥士成就獎勵，進入每個鬥士界面即可點擊查看。
-銀河戰爭新增：威力加強版劇本，為每個兵種添加了對應的特殊兵種技能，其中射擊手和攻城車可以開啟遠程模式進行戰鬥 。   
-堡壘對決新增：新增堡壘對決『海島』地圖 。 
&lt;/zh-TW&gt;
&lt;id&gt;
-Pejuang baru: Elmo, pejuang legendaris Pilot, pengendara pemberani yang menjaga kota! 
-Hadiah Pencapaian Baru: Hadiah Pencapaian Pejuang baru, klik untuk lihat di antarmuka setiap Pejuang. 
-Penaklukan Benteng Baru: Peta Penaklukan Benteng "Pulau" baru 
-Perang Planet Baru: Skrip versi Power-up, Menambahkan keahlian Pasukan khusus yang sesuai untuk setiap Pasukan, di antaranya Penembak dan Pembobol Tembok dapat menggunakan mode jarak jauh untuk bertarung 
&lt;/id&gt;
&lt;th&gt;
-นักสู้ตัวใหม่: เอลโม นักสู้พลขับระดับตำนาน นักซิ่งผู้กล้าและผู้พิทักษ์ประจำเมือง!
-รางวัลความสำเร็จใหม่: รางวัลความสำเร็จนักสู้ใหม่: ไปดูได้ที่หน้าของนักสู้แต่ละตัว
-ยึดป้อมปราการ: เพิ่มแผนที่ “เกาะ” เข้ามาใหม่
-สงครามดวงดาว: โหมดเพิ่มพลังใหม่ที่ยูนิตแต่ละประเภทจะได้รับสกิลพิเศษ รวมถึงการโจมตีระยะไกลสำหรับพลยิงและวอลล์เบรกเกอร์
&lt;/th&gt;
&lt;es-419&gt;
-Nuevo Luchador: Elmo, Piloto de Combate Legendario, ¡un valiente aviador y guardián de la ciudad!
-Nuevas Recompensas por logros: Recompensas de nuevos logros de Luchador; ve a las páginas individuales del Luchador para poder verlas.
-Toma de la Fortaleza: Se agregó un nuevo mapa de "isla".
-Guerras Planetarias: Nuevo Modo de Mejora de Poder en donde cada tipo de unidad recibe habilidades especiales, incluidos ataques de largo alcance para los Tiradores y Rompemuros.
&lt;/es-419&gt;
&lt;ru-RU&gt;
-Новый боец: Элмо, легендарный герой-гонщик, отважный ездок и страж города!
-Новые награды за достижения: новые награды за достижения героев. Перейдите на индивидуальные страницы героев для просмотра.
-«Захват крепости»: добавлена ​​новая «островная» карта.
-«Планетарные войны»: новый режим повышения мощности, в котором каждому типу войск даются особые навыки, включая дальнобойные атаки для стрелков и стеноломов.
&lt;/ru-RU&gt;
&lt;tr-TR&gt;
-Yeni Savaşçı: Elmo, Efsanevi Pilot Savaşçısı, cesur bir binici ve şehrin koruyucusu!
-Yeni Başarı ödülleri: Yeni Savaşçı Başarı ödülleri; incelemek için Savaşçıların kendi sayfalarına git.
-Gezegen Savaşları: Her birim türüne Nişancılar ve Duvar Kırıcılar için uzun menzilli saldırılar dâhil olmak üzere özel becerilerin verildiği Yeni Güç Geliştirme Modu.
-Yeni tatil etkinlikleri: Sürpriz Şenliği yakında başlıyor. Festival dekorasyonlarını ve diğer ödülleri kazanmak için katıl!
&lt;/tr-TR&gt;
&lt;vi&gt;
-Chiến Binh Mới: Elmo, Chiến Binh Huyền Thoại Phi Công, kỵ sĩ dũng cảm bảo vệ Thành Phố! 
-Phần thưởng Thành Tựu mới: Thêm phần thưởng Thành Tựu Chiến Binh, vào mỗi giao diện Chiến Binh sẽ có thể nhấn để xem. 
-Thêm mới Tiếp Quản Pháo Đài: Thêm bản đồ Tiếp Quản Pháo Đài “Hải Đảo”
-Thêm mới Chiến Tranh Hành Tinh: Kịch bản tăng sức mạnh, thêm một kỹ năng Binh Chủng đặc biệt tương ứng cho mỗi một binh chủng, trong đó Xạ Thủ và Lính Phá Thành có thể bật chế độ tầm xa tiến hành chiến đấu
&lt;/vi&gt;
</v>
      </c>
      <c r="C53" s="44" t="str">
        <f>IFERROR(__xludf.DUMMYFUNCTION("""COMPUTED_VALUE"""),"-新增斗士：埃尔默，飙车族传说斗士，守护城市的勇敢骑士！
-新增成就奖励：新增斗士成就奖励，进入每个斗士界面即可点击查看。
-银河战争新增：威力加强版剧本，为每个兵种添加了对应的特殊兵种技能，其中射击手和攻城车可以开启远程模式进行战斗 。
-堡垒对决新增：新增堡垒对决‘海岛’地图 。 ")</f>
        <v>-新增斗士：埃尔默，飙车族传说斗士，守护城市的勇敢骑士！
-新增成就奖励：新增斗士成就奖励，进入每个斗士界面即可点击查看。
-银河战争新增：威力加强版剧本，为每个兵种添加了对应的特殊兵种技能，其中射击手和攻城车可以开启远程模式进行战斗 。
-堡垒对决新增：新增堡垒对决‘海岛’地图 。 </v>
      </c>
      <c r="D53" s="159" t="str">
        <f>IFERROR(__xludf.DUMMYFUNCTION("""COMPUTED_VALUE"""),"-New Fighter: Elmo, Legendary Pilot Fighter, a brave rider and guardian of the city!
-New Achievement rewards: New Fighter Achievement rewards; go to individual Fighter pages to view.
-Planet Wars: New Power Enhance Mode where each unit type is given spec"&amp;"ial skills, including long-range attacks for Shooters and Wall Breakers.
-Fortress Takeover: Added a new """"island"""" map.")</f>
        <v>-New Fighter: Elmo, Legendary Pilot Fighter, a brave rider and guardian of the city!
-New Achievement rewards: New Fighter Achievement rewards; go to individual Fighter pages to view.
-Planet Wars: New Power Enhance Mode where each unit type is given special skills, including long-range attacks for Shooters and Wall Breakers.
-Fortress Takeover: Added a new ""island"" map.</v>
      </c>
      <c r="E53" s="159" t="str">
        <f>IFERROR(__xludf.DUMMYFUNCTION("""COMPUTED_VALUE"""),"-Nouveau combattant: Elmo, le combattant légendaire, pilote courageux et défenseur de la ville!
-Nouvelles récompenses pour les prouesses liées aux nouveaux combattants; visibles à la page dédiée aux combattants.
-Invasion de forteresse: ajout d'une carte"&amp;" ""île"".
-Guerre planétaire: nouveau mode surpuissance, dans lequel les unités obtiennent des compétences selon leur type, notamment des attaques à distance pour les tireurs et les casse-murailles.")</f>
        <v>-Nouveau combattant: Elmo, le combattant légendaire, pilote courageux et défenseur de la ville!
-Nouvelles récompenses pour les prouesses liées aux nouveaux combattants; visibles à la page dédiée aux combattants.
-Invasion de forteresse: ajout d'une carte "île".
-Guerre planétaire: nouveau mode surpuissance, dans lequel les unités obtiennent des compétences selon leur type, notamment des attaques à distance pour les tireurs et les casse-murailles.</v>
      </c>
      <c r="F53" s="159" t="str">
        <f>IFERROR(__xludf.DUMMYFUNCTION("""COMPUTED_VALUE"""),"-Neuer Kämpfer: Elmo, legendärer Pilotenkämpfer, mutiger Fahrer und Wächter der Stadt!
-Neue Belohnungen für Erfolge: Neue Belohnungen für Kämpfer-Erfolge; Du kannst sie dir auf der Seite der einzelnen Kämpfer ansehen.
-Festungsübernahme: Neue Insel-Karte"&amp;" hinzugefügt.
-Planetenkriege: Neuer Stärke-Verbesserungsmodus in dem jeden einheitentyp spezielle Fähigkeiten hat, darunter Langstreckenangriffe für Schützen und Mauerbrecher.")</f>
        <v>-Neuer Kämpfer: Elmo, legendärer Pilotenkämpfer, mutiger Fahrer und Wächter der Stadt!
-Neue Belohnungen für Erfolge: Neue Belohnungen für Kämpfer-Erfolge; Du kannst sie dir auf der Seite der einzelnen Kämpfer ansehen.
-Festungsübernahme: Neue Insel-Karte hinzugefügt.
-Planetenkriege: Neuer Stärke-Verbesserungsmodus in dem jeden einheitentyp spezielle Fähigkeiten hat, darunter Langstreckenangriffe für Schützen und Mauerbrecher.</v>
      </c>
      <c r="G53" s="159" t="str">
        <f>IFERROR(__xludf.DUMMYFUNCTION("""COMPUTED_VALUE"""),"-Novo combatente: Elmo, o lendário combatente piloto, um corajoso guardião da cidade!
-Novas recompensas de conquistas: novas recompensas de conquista de combatente; confira as páginas de combatente individuais para visualizar.
-Conquista da Fortaleza: no"&amp;"vo mapa de ""ilha"" adicionado.
-Guerra Interplanetária: novo Modo de Poder Aumentado, no qual cada tipo de unidade tem habilidades especiais, incluindo ataques de longo alcance para atiradores e quebra-muros.")</f>
        <v>-Novo combatente: Elmo, o lendário combatente piloto, um corajoso guardião da cidade!
-Novas recompensas de conquistas: novas recompensas de conquista de combatente; confira as páginas de combatente individuais para visualizar.
-Conquista da Fortaleza: novo mapa de "ilha" adicionado.
-Guerra Interplanetária: novo Modo de Poder Aumentado, no qual cada tipo de unidade tem habilidades especiais, incluindo ataques de longo alcance para atiradores e quebra-muros.</v>
      </c>
      <c r="H53" s="159" t="str">
        <f>IFERROR(__xludf.DUMMYFUNCTION("""COMPUTED_VALUE"""),"-新增鬥士：埃爾默，飆車族傳說鬥士，守護城市的勇敢騎士！
-新增成就獎勵：新增鬥士成就獎勵，進入每個鬥士界面即可點擊查看。
-銀河戰爭新增：威力加強版劇本，為每個兵種添加了對應的特殊兵種技能，其中射擊手和攻城車可以開啟遠程模式進行戰鬥 。   
-堡壘對決新增：新增堡壘對決『海島』地圖 。 ")</f>
        <v>-新增鬥士：埃爾默，飆車族傳說鬥士，守護城市的勇敢騎士！
-新增成就獎勵：新增鬥士成就獎勵，進入每個鬥士界面即可點擊查看。
-銀河戰爭新增：威力加強版劇本，為每個兵種添加了對應的特殊兵種技能，其中射擊手和攻城車可以開啟遠程模式進行戰鬥 。   
-堡壘對決新增：新增堡壘對決『海島』地圖 。 </v>
      </c>
      <c r="I53" s="159" t="str">
        <f>IFERROR(__xludf.DUMMYFUNCTION("""COMPUTED_VALUE"""),"-Pejuang baru: Elmo, pejuang legendaris Pilot, pengendara pemberani yang menjaga kota! 
-Hadiah Pencapaian Baru: Hadiah Pencapaian Pejuang baru, klik untuk lihat di antarmuka setiap Pejuang. 
-Penaklukan Benteng Baru: Peta Penaklukan Benteng ""Pulau"" bar"&amp;"u 
-Perang Planet Baru: Skrip versi Power-up, Menambahkan keahlian Pasukan khusus yang sesuai untuk setiap Pasukan, di antaranya Penembak dan Pembobol Tembok dapat menggunakan mode jarak jauh untuk bertarung ")</f>
        <v>-Pejuang baru: Elmo, pejuang legendaris Pilot, pengendara pemberani yang menjaga kota! 
-Hadiah Pencapaian Baru: Hadiah Pencapaian Pejuang baru, klik untuk lihat di antarmuka setiap Pejuang. 
-Penaklukan Benteng Baru: Peta Penaklukan Benteng "Pulau" baru 
-Perang Planet Baru: Skrip versi Power-up, Menambahkan keahlian Pasukan khusus yang sesuai untuk setiap Pasukan, di antaranya Penembak dan Pembobol Tembok dapat menggunakan mode jarak jauh untuk bertarung </v>
      </c>
      <c r="J53" s="159" t="str">
        <f>IFERROR(__xludf.DUMMYFUNCTION("""COMPUTED_VALUE"""),"-นักสู้ตัวใหม่: เอลโม นักสู้พลขับระดับตำนาน นักซิ่งผู้กล้าและผู้พิทักษ์ประจำเมือง!
-รางวัลความสำเร็จใหม่: รางวัลความสำเร็จนักสู้ใหม่: ไปดูได้ที่หน้าของนักสู้แต่ละตัว
-ยึดป้อมปราการ: เพิ่มแผนที่ “เกาะ” เข้ามาใหม่
-สงครามดวงดาว: โหมดเพิ่มพลังใหม่ที่ยูนิตแต่"&amp;"ละประเภทจะได้รับสกิลพิเศษ รวมถึงการโจมตีระยะไกลสำหรับพลยิงและวอลล์เบรกเกอร์")</f>
        <v>-นักสู้ตัวใหม่: เอลโม นักสู้พลขับระดับตำนาน นักซิ่งผู้กล้าและผู้พิทักษ์ประจำเมือง!
-รางวัลความสำเร็จใหม่: รางวัลความสำเร็จนักสู้ใหม่: ไปดูได้ที่หน้าของนักสู้แต่ละตัว
-ยึดป้อมปราการ: เพิ่มแผนที่ “เกาะ” เข้ามาใหม่
-สงครามดวงดาว: โหมดเพิ่มพลังใหม่ที่ยูนิตแต่ละประเภทจะได้รับสกิลพิเศษ รวมถึงการโจมตีระยะไกลสำหรับพลยิงและวอลล์เบรกเกอร์</v>
      </c>
      <c r="K53" s="159" t="str">
        <f>IFERROR(__xludf.DUMMYFUNCTION("""COMPUTED_VALUE"""),"-Nuevo Luchador: Elmo, Piloto de Combate Legendario, ¡un valiente aviador y guardián de la ciudad!
-Nuevas Recompensas por logros: Recompensas de nuevos logros de Luchador; ve a las páginas individuales del Luchador para poder verlas.
-Toma de la Fortalez"&amp;"a: Se agregó un nuevo mapa de ""isla"".
-Guerras Planetarias: Nuevo Modo de Mejora de Poder en donde cada tipo de unidad recibe habilidades especiales, incluidos ataques de largo alcance para los Tiradores y Rompemuros.")</f>
        <v>-Nuevo Luchador: Elmo, Piloto de Combate Legendario, ¡un valiente aviador y guardián de la ciudad!
-Nuevas Recompensas por logros: Recompensas de nuevos logros de Luchador; ve a las páginas individuales del Luchador para poder verlas.
-Toma de la Fortaleza: Se agregó un nuevo mapa de "isla".
-Guerras Planetarias: Nuevo Modo de Mejora de Poder en donde cada tipo de unidad recibe habilidades especiales, incluidos ataques de largo alcance para los Tiradores y Rompemuros.</v>
      </c>
      <c r="L53" s="159" t="str">
        <f>IFERROR(__xludf.DUMMYFUNCTION("""COMPUTED_VALUE"""),"-Новый боец: Элмо, легендарный герой-гонщик, отважный ездок и страж города!
-Новые награды за достижения: новые награды за достижения героев. Перейдите на индивидуальные страницы героев для просмотра.
-«Захват крепости»: добавлена ​​новая «островная» карт"&amp;"а.
-«Планетарные войны»: новый режим повышения мощности, в котором каждому типу войск даются особые навыки, включая дальнобойные атаки для стрелков и стеноломов.")</f>
        <v>-Новый боец: Элмо, легендарный герой-гонщик, отважный ездок и страж города!
-Новые награды за достижения: новые награды за достижения героев. Перейдите на индивидуальные страницы героев для просмотра.
-«Захват крепости»: добавлена ​​новая «островная» карта.
-«Планетарные войны»: новый режим повышения мощности, в котором каждому типу войск даются особые навыки, включая дальнобойные атаки для стрелков и стеноломов.</v>
      </c>
      <c r="M53" s="159" t="str">
        <f>IFERROR(__xludf.DUMMYFUNCTION("""COMPUTED_VALUE"""),"-Yeni Savaşçı: Elmo, Efsanevi Pilot Savaşçısı, cesur bir binici ve şehrin koruyucusu!
-Yeni Başarı ödülleri: Yeni Savaşçı Başarı ödülleri; incelemek için Savaşçıların kendi sayfalarına git.
-Gezegen Savaşları: Her birim türüne Nişancılar ve Duvar Kırıcıla"&amp;"r için uzun menzilli saldırılar dâhil olmak üzere özel becerilerin verildiği Yeni Güç Geliştirme Modu.
-Yeni tatil etkinlikleri: Sürpriz Şenliği yakında başlıyor. Festival dekorasyonlarını ve diğer ödülleri kazanmak için katıl!")</f>
        <v>-Yeni Savaşçı: Elmo, Efsanevi Pilot Savaşçısı, cesur bir binici ve şehrin koruyucusu!
-Yeni Başarı ödülleri: Yeni Savaşçı Başarı ödülleri; incelemek için Savaşçıların kendi sayfalarına git.
-Gezegen Savaşları: Her birim türüne Nişancılar ve Duvar Kırıcılar için uzun menzilli saldırılar dâhil olmak üzere özel becerilerin verildiği Yeni Güç Geliştirme Modu.
-Yeni tatil etkinlikleri: Sürpriz Şenliği yakında başlıyor. Festival dekorasyonlarını ve diğer ödülleri kazanmak için katıl!</v>
      </c>
      <c r="N53" s="45" t="str">
        <f>IFERROR(__xludf.DUMMYFUNCTION("""COMPUTED_VALUE"""),"-Chiến Binh Mới: Elmo, Chiến Binh Huyền Thoại Phi Công, kỵ sĩ dũng cảm bảo vệ Thành Phố! 
-Phần thưởng Thành Tựu mới: Thêm phần thưởng Thành Tựu Chiến Binh, vào mỗi giao diện Chiến Binh sẽ có thể nhấn để xem. 
-Thêm mới Tiếp Quản Pháo Đài: Thêm bản đồ Tiế"&amp;"p Quản Pháo Đài “Hải Đảo”
-Thêm mới Chiến Tranh Hành Tinh: Kịch bản tăng sức mạnh, thêm một kỹ năng Binh Chủng đặc biệt tương ứng cho mỗi một binh chủng, trong đó Xạ Thủ và Lính Phá Thành có thể bật chế độ tầm xa tiến hành chiến đấu")</f>
        <v>-Chiến Binh Mới: Elmo, Chiến Binh Huyền Thoại Phi Công, kỵ sĩ dũng cảm bảo vệ Thành Phố! 
-Phần thưởng Thành Tựu mới: Thêm phần thưởng Thành Tựu Chiến Binh, vào mỗi giao diện Chiến Binh sẽ có thể nhấn để xem. 
-Thêm mới Tiếp Quản Pháo Đài: Thêm bản đồ Tiếp Quản Pháo Đài “Hải Đảo”
-Thêm mới Chiến Tranh Hành Tinh: Kịch bản tăng sức mạnh, thêm một kỹ năng Binh Chủng đặc biệt tương ứng cho mỗi một binh chủng, trong đó Xạ Thủ và Lính Phá Thành có thể bật chế độ tầm xa tiến hành chiến đấu</v>
      </c>
      <c r="O53" s="45"/>
      <c r="P53" s="34"/>
      <c r="Q53" s="34"/>
      <c r="R53" s="34"/>
      <c r="S53" s="34"/>
      <c r="T53" s="108"/>
      <c r="U53" s="108"/>
      <c r="V53" s="108"/>
      <c r="W53" s="108"/>
      <c r="X53" s="108"/>
      <c r="Y53" s="108"/>
      <c r="Z53" s="108"/>
    </row>
    <row r="54" ht="50.25" customHeight="1">
      <c r="A54" s="149" t="str">
        <f>IFERROR(__xludf.DUMMYFUNCTION("""COMPUTED_VALUE"""),"0.48.0")</f>
        <v>0.48.0</v>
      </c>
      <c r="B54" s="174" t="str">
        <f>IFERROR(__xludf.DUMMYFUNCTION("""COMPUTED_VALUE"""),"&lt;en-US&gt;
- New Fighter: Wildland Mechanic, Aldrich, a mighty warrior who fights for justice! Get him from Ultimate Monkey.
- New troop delegation feature: Delegate your troops to friends in your Clan or Gang and allow them to use the units.
- New events: H"&amp;"arvest Feast; Relic-edition of Attack on Dr. Hogg.
&lt;/en-US&gt;
&lt;fr-FR&gt;
- Nouveau combattant: Aldrich, le mécano des terres sauvages et puissant justicier! Obtenez-le dans le Singe ultime.
- Nouvelle fonctionnalité: délégation de troupes. Déléguez des troupes"&amp;" à vos alliés du clan ou du gang. Ces derniers pourront utiliser vos unités.
- Nouvel évènement spécial: le ""Festin des récoltes"" et l'édition relique de l'Attaque du Dr Hogg.
&lt;/fr-FR&gt;
&lt;de-DE&gt;
- Neuer Kämpfer: Der Wildnis-Mechaniker Aldrich, ein mächtig"&amp;"er Kämpfer, der für die Gerechtigkeit kämpft! Erhalte ihn bei Ultimativer Affe.
- Neue Funktion zur Delegierung von Truppen: Delegiere deine Truppen an Freunde in deinem Clan oder deiner Horde und erlaube ihnen, die Einheiten zu benutzen.
- Neue Events: E"&amp;"rnte-Festmahl; Relikt-Edition von Angriff auf Dr. Hogg.
&lt;/de-DE&gt;
&lt;pt-BR&gt;
- Novo combatente: Mecânico da Terra Selvagem, Aldrich, um poderoso guerreiro que luta por justiça! Obtenha-o em Macaco Supremo.
- Novo recurso de delegação de tropas: delegue suas t"&amp;"ropas para amigos de seu clã ou gangue e permita que usem as unidades.
- Novos eventos: Banquete da Colheita, edição das relíquias de Ataque a Dr. Hogg.
&lt;/pt-BR&gt;
&lt;zh-HK&gt;
-新增鬥士：荒野機械師-奧德里奇，可在最強猴子獲得。
-新增部隊託管功能：可以將自己的部隊託管給同陣營好友操作。
-新增活動：新增豐收盛宴活動、新增討伐霍格博士收藏品版。"&amp;" 
&lt;/zh-HK&gt;
&lt;zh-TW&gt;
-新增鬥士：荒野機械師-奧德里奇，可在最強猴子獲得。
-新增部隊託管功能：可以將自己的部隊託管給同陣營好友操作。
-新增活動：新增豐收盛宴活動、新增討伐霍格博士收藏品版。 
&lt;/zh-TW&gt;
&lt;id&gt;
- Pejuang baru: Mekanik Liar - Aldrige, bisa didapat di Kera yang Tangguh.
- Fitur baru Auto Pasukan: Bisa memberikan pasukan untuk dik"&amp;"endalikan teman dari kubu yang sama.
- Event baru: Event Pesta Panen baru dan Serangan terhadap Dr. Hogg versi pusaka.
&lt;/id&gt;
&lt;th&gt;
- นักสู้ตัวใหม่: อัลดริค ช่างกลแดนเถื่อน นักรบผู้กล้าที่ต่อสู้เพื่อความยุติธรรม! รับได้จากลิงอัลติเมท
- ฟีเจอร์ใหม่ การมอบหมา"&amp;"ยกองทหาร: มอบหมายกองทหารของคุณให้กับเพื่อนในแคลนหรือแก๊งของคุณเพื่อให้พวกเขาสามารถใช้ยูนิตนี้ได้
- กิจกรรมใหม่: งานเลี้ยงเก็บเกี่ยว, การโจมตีดร.ฮ็อกก์แบบมีรีลิค
&lt;/th&gt;
&lt;es-419&gt;
- Nuevo Luchador: Aldrich, Mecánico de las Tierras Salvajes, ¡un poderoso guerr"&amp;"ero que lucha por la justicia! Consíguelo en el Mono Supremo.
- Nueva función de delegación de tropas: Delega tus tropas a amigos dentro de tu Clan o a la Banda y permíteles usar las unidades.
- Nuevos eventos: Fiesta de la Cosecha; Edición de Reliquia pa"&amp;"ra el Ataque en el Dr. Hogg.
&lt;/es-419&gt;
&lt;ru-RU&gt;
-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сво"&amp;"его клана или банды, чтобы разрешить им использовать эти отряды.
- Новые события: «Праздник урожая», «Нападение на доктора Хогга» с реликвиями.
&lt;/ru-RU&gt;
&lt;tr-TR&gt;
- Yeni Savaşçı: Çorak Toprakların Teknisyeni Aldrich. Adalet için savaşan kudretli bir savaşçı"&amp;"! Bu savaşçıyı En Üstün Maymun'dan edinebilirsin.
- Yeni birlik görevlendirme özelliği: Klanındaki veya Çetendeki arkadaşların için birliklerini görevlendir ve onların bu birimleri kullanabilmelerini sağla.
- Yeni etkinlikler: Hasat Şöleni, Dr. Hogg'a Sal"&amp;"dırı etkinliğinin Kalıntı sürümü.
&lt;/tr-TR&gt;
&lt;vi&gt;
- Chiến Binh Mới: Kỹ Sư Máy Hoang Dã - Aldrich, có thể nhận được trong Chúa Khỉ Tối Cao. 
- Thêm tính năng Uỷ Thác Binh Lính: Có thể đem binh lính của bản thân uỷ thác cho bạn bè cùng phe điều khiển. 
- Sự K"&amp;"iện Mới: Thêm sự kiện Tiệc Thu Hoạch, thêm phiên bản Di Tích Tấn Công Tiến Sĩ Hogg.
&lt;/vi&gt;
")</f>
        <v>&lt;en-US&gt;
- New Fighter: Wildland Mechanic, Aldrich, a mighty warrior who fights for justice! Get him from Ultimate Monkey.
- New troop delegation feature: Delegate your troops to friends in your Clan or Gang and allow them to use the units.
- New events: Harvest Feast; Relic-edition of Attack on Dr. Hogg.
&lt;/en-US&gt;
&lt;fr-FR&gt;
- Nouveau combattant: Aldrich, le mécano des terres sauvages et puissant justicier! Obtenez-le dans le Singe ultime.
- Nouvelle fonctionnalité: délégation de troupes. Déléguez des troupes à vos alliés du clan ou du gang. Ces derniers pourront utiliser vos unités.
- Nouvel évènement spécial: le "Festin des récoltes" et l'édition relique de l'Attaque du Dr Hogg.
&lt;/fr-FR&gt;
&lt;de-DE&gt;
- Neuer Kämpfer: Der Wildnis-Mechaniker Aldrich, ein mächtiger Kämpfer, der für die Gerechtigkeit kämpft! Erhalte ihn bei Ultimativer Affe.
- Neue Funktion zur Delegierung von Truppen: Delegiere deine Truppen an Freunde in deinem Clan oder deiner Horde und erlaube ihnen, die Einheiten zu benutzen.
- Neue Events: Ernte-Festmahl; Relikt-Edition von Angriff auf Dr. Hogg.
&lt;/de-DE&gt;
&lt;pt-BR&gt;
- Novo combatente: Mecânico da Terra Selvagem, Aldrich, um poderoso guerreiro que luta por justiça! Obtenha-o em Macaco Supremo.
- Novo recurso de delegação de tropas: delegue suas tropas para amigos de seu clã ou gangue e permita que usem as unidades.
- Novos eventos: Banquete da Colheita, edição das relíquias de Ataque a Dr. Hogg.
&lt;/pt-BR&gt;
&lt;zh-HK&gt;
-新增鬥士：荒野機械師-奧德里奇，可在最強猴子獲得。
-新增部隊託管功能：可以將自己的部隊託管給同陣營好友操作。
-新增活動：新增豐收盛宴活動、新增討伐霍格博士收藏品版。 
&lt;/zh-HK&gt;
&lt;zh-TW&gt;
-新增鬥士：荒野機械師-奧德里奇，可在最強猴子獲得。
-新增部隊託管功能：可以將自己的部隊託管給同陣營好友操作。
-新增活動：新增豐收盛宴活動、新增討伐霍格博士收藏品版。 
&lt;/zh-TW&gt;
&lt;id&gt;
- Pejuang baru: Mekanik Liar - Aldrige, bisa didapat di Kera yang Tangguh.
- Fitur baru Auto Pasukan: Bisa memberikan pasukan untuk dikendalikan teman dari kubu yang sama.
- Event baru: Event Pesta Panen baru dan Serangan terhadap Dr. Hogg versi pusaka.
&lt;/id&gt;
&lt;th&gt;
- นักสู้ตัวใหม่: อัลดริค ช่างกลแดนเถื่อน นักรบผู้กล้าที่ต่อสู้เพื่อความยุติธรรม! รับได้จากลิงอัลติเมท
- ฟีเจอร์ใหม่ การมอบหมายกองทหาร: มอบหมายกองทหารของคุณให้กับเพื่อนในแคลนหรือแก๊งของคุณเพื่อให้พวกเขาสามารถใช้ยูนิตนี้ได้
- กิจกรรมใหม่: งานเลี้ยงเก็บเกี่ยว, การโจมตีดร.ฮ็อกก์แบบมีรีลิค
&lt;/th&gt;
&lt;es-419&gt;
- Nuevo Luchador: Aldrich, Mecánico de las Tierras Salvajes, ¡un poderoso guerrero que lucha por la justicia! Consíguelo en el Mono Supremo.
- Nueva función de delegación de tropas: Delega tus tropas a amigos dentro de tu Clan o a la Banda y permíteles usar las unidades.
- Nuevos eventos: Fiesta de la Cosecha; Edición de Reliquia para el Ataque en el Dr. Hogg.
&lt;/es-419&gt;
&lt;ru-RU&gt;
-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своего клана или банды, чтобы разрешить им использовать эти отряды.
- Новые события: «Праздник урожая», «Нападение на доктора Хогга» с реликвиями.
&lt;/ru-RU&gt;
&lt;tr-TR&gt;
- Yeni Savaşçı: Çorak Toprakların Teknisyeni Aldrich. Adalet için savaşan kudretli bir savaşçı! Bu savaşçıyı En Üstün Maymun'dan edinebilirsin.
- Yeni birlik görevlendirme özelliği: Klanındaki veya Çetendeki arkadaşların için birliklerini görevlendir ve onların bu birimleri kullanabilmelerini sağla.
- Yeni etkinlikler: Hasat Şöleni, Dr. Hogg'a Saldırı etkinliğinin Kalıntı sürümü.
&lt;/tr-TR&gt;
&lt;vi&gt;
- Chiến Binh Mới: Kỹ Sư Máy Hoang Dã - Aldrich, có thể nhận được trong Chúa Khỉ Tối Cao. 
- Thêm tính năng Uỷ Thác Binh Lính: Có thể đem binh lính của bản thân uỷ thác cho bạn bè cùng phe điều khiển. 
- Sự Kiện Mới: Thêm sự kiện Tiệc Thu Hoạch, thêm phiên bản Di Tích Tấn Công Tiến Sĩ Hogg.
&lt;/vi&gt;
</v>
      </c>
      <c r="C54" s="44" t="str">
        <f>IFERROR(__xludf.DUMMYFUNCTION("""COMPUTED_VALUE"""),"-新增斗士：荒野机械师-奥德里奇，可在最强猴子获得。
-新增部队托管功能：可以将自己的部队托管给同阵营好友操作。
-新增活动：新增丰收盛宴活动、新增讨伐霍格博士收藏品版。")</f>
        <v>-新增斗士：荒野机械师-奥德里奇，可在最强猴子获得。
-新增部队托管功能：可以将自己的部队托管给同阵营好友操作。
-新增活动：新增丰收盛宴活动、新增讨伐霍格博士收藏品版。</v>
      </c>
      <c r="D54" s="159" t="str">
        <f>IFERROR(__xludf.DUMMYFUNCTION("""COMPUTED_VALUE"""),"- New Fighter: Wildland Mechanic, Aldrich, a mighty warrior who fights for justice! Get him from Ultimate Monkey.
- New troop delegation feature: Delegate your troops to friends in your Clan or Gang and allow them to use the units.
- New events: Harvest F"&amp;"east; Relic-edition of Attack on Dr. Hogg.")</f>
        <v>- New Fighter: Wildland Mechanic, Aldrich, a mighty warrior who fights for justice! Get him from Ultimate Monkey.
- New troop delegation feature: Delegate your troops to friends in your Clan or Gang and allow them to use the units.
- New events: Harvest Feast; Relic-edition of Attack on Dr. Hogg.</v>
      </c>
      <c r="E54" s="159" t="str">
        <f>IFERROR(__xludf.DUMMYFUNCTION("""COMPUTED_VALUE"""),"- Nouveau combattant: Aldrich, le mécano des terres sauvages et puissant justicier! Obtenez-le dans le Singe ultime.
- Nouvelle fonctionnalité: délégation de troupes. Déléguez des troupes à vos alliés du clan ou du gang. Ces derniers pourront utiliser vos"&amp;" unités.
- Nouvel évènement spécial: le ""Festin des récoltes"" et l'édition relique de l'Attaque du Dr Hogg.")</f>
        <v>- Nouveau combattant: Aldrich, le mécano des terres sauvages et puissant justicier! Obtenez-le dans le Singe ultime.
- Nouvelle fonctionnalité: délégation de troupes. Déléguez des troupes à vos alliés du clan ou du gang. Ces derniers pourront utiliser vos unités.
- Nouvel évènement spécial: le "Festin des récoltes" et l'édition relique de l'Attaque du Dr Hogg.</v>
      </c>
      <c r="F54" s="159" t="str">
        <f>IFERROR(__xludf.DUMMYFUNCTION("""COMPUTED_VALUE"""),"- Neuer Kämpfer: Der Wildnis-Mechaniker Aldrich, ein mächtiger Kämpfer, der für die Gerechtigkeit kämpft! Erhalte ihn bei Ultimativer Affe.
- Neue Funktion zur Delegierung von Truppen: Delegiere deine Truppen an Freunde in deinem Clan oder deiner Horde un"&amp;"d erlaube ihnen, die Einheiten zu benutzen.
- Neue Events: Ernte-Festmahl; Relikt-Edition von Angriff auf Dr. Hogg.")</f>
        <v>- Neuer Kämpfer: Der Wildnis-Mechaniker Aldrich, ein mächtiger Kämpfer, der für die Gerechtigkeit kämpft! Erhalte ihn bei Ultimativer Affe.
- Neue Funktion zur Delegierung von Truppen: Delegiere deine Truppen an Freunde in deinem Clan oder deiner Horde und erlaube ihnen, die Einheiten zu benutzen.
- Neue Events: Ernte-Festmahl; Relikt-Edition von Angriff auf Dr. Hogg.</v>
      </c>
      <c r="G54" s="159" t="str">
        <f>IFERROR(__xludf.DUMMYFUNCTION("""COMPUTED_VALUE"""),"- Novo combatente: Mecânico da Terra Selvagem, Aldrich, um poderoso guerreiro que luta por justiça! Obtenha-o em Macaco Supremo.
- Novo recurso de delegação de tropas: delegue suas tropas para amigos de seu clã ou gangue e permita que usem as unidades.
- "&amp;"Novos eventos: Banquete da Colheita, edição das relíquias de Ataque a Dr. Hogg.")</f>
        <v>- Novo combatente: Mecânico da Terra Selvagem, Aldrich, um poderoso guerreiro que luta por justiça! Obtenha-o em Macaco Supremo.
- Novo recurso de delegação de tropas: delegue suas tropas para amigos de seu clã ou gangue e permita que usem as unidades.
- Novos eventos: Banquete da Colheita, edição das relíquias de Ataque a Dr. Hogg.</v>
      </c>
      <c r="H54" s="159" t="str">
        <f>IFERROR(__xludf.DUMMYFUNCTION("""COMPUTED_VALUE"""),"-新增鬥士：荒野機械師-奧德里奇，可在最強猴子獲得。
-新增部隊託管功能：可以將自己的部隊託管給同陣營好友操作。
-新增活動：新增豐收盛宴活動、新增討伐霍格博士收藏品版。 ")</f>
        <v>-新增鬥士：荒野機械師-奧德里奇，可在最強猴子獲得。
-新增部隊託管功能：可以將自己的部隊託管給同陣營好友操作。
-新增活動：新增豐收盛宴活動、新增討伐霍格博士收藏品版。 </v>
      </c>
      <c r="I54" s="159" t="str">
        <f>IFERROR(__xludf.DUMMYFUNCTION("""COMPUTED_VALUE"""),"- Pejuang baru: Mekanik Liar - Aldrige, bisa didapat di Kera yang Tangguh.
- Fitur baru Auto Pasukan: Bisa memberikan pasukan untuk dikendalikan teman dari kubu yang sama.
- Event baru: Event Pesta Panen baru dan Serangan terhadap Dr. Hogg versi pusaka.")</f>
        <v>- Pejuang baru: Mekanik Liar - Aldrige, bisa didapat di Kera yang Tangguh.
- Fitur baru Auto Pasukan: Bisa memberikan pasukan untuk dikendalikan teman dari kubu yang sama.
- Event baru: Event Pesta Panen baru dan Serangan terhadap Dr. Hogg versi pusaka.</v>
      </c>
      <c r="J54" s="159" t="str">
        <f>IFERROR(__xludf.DUMMYFUNCTION("""COMPUTED_VALUE"""),"- นักสู้ตัวใหม่: อัลดริค ช่างกลแดนเถื่อน นักรบผู้กล้าที่ต่อสู้เพื่อความยุติธรรม! รับได้จากลิงอัลติเมท
- ฟีเจอร์ใหม่ การมอบหมายกองทหาร: มอบหมายกองทหารของคุณให้กับเพื่อนในแคลนหรือแก๊งของคุณเพื่อให้พวกเขาสามารถใช้ยูนิตนี้ได้
- กิจกรรมใหม่: งานเลี้ยงเก็บเกี่ย"&amp;"ว, การโจมตีดร.ฮ็อกก์แบบมีรีลิค")</f>
        <v>- นักสู้ตัวใหม่: อัลดริค ช่างกลแดนเถื่อน นักรบผู้กล้าที่ต่อสู้เพื่อความยุติธรรม! รับได้จากลิงอัลติเมท
- ฟีเจอร์ใหม่ การมอบหมายกองทหาร: มอบหมายกองทหารของคุณให้กับเพื่อนในแคลนหรือแก๊งของคุณเพื่อให้พวกเขาสามารถใช้ยูนิตนี้ได้
- กิจกรรมใหม่: งานเลี้ยงเก็บเกี่ยว, การโจมตีดร.ฮ็อกก์แบบมีรีลิค</v>
      </c>
      <c r="K54" s="159" t="str">
        <f>IFERROR(__xludf.DUMMYFUNCTION("""COMPUTED_VALUE"""),"- Nuevo Luchador: Aldrich, Mecánico de las Tierras Salvajes, ¡un poderoso guerrero que lucha por la justicia! Consíguelo en el Mono Supremo.
- Nueva función de delegación de tropas: Delega tus tropas a amigos dentro de tu Clan o a la Banda y permíteles us"&amp;"ar las unidades.
- Nuevos eventos: Fiesta de la Cosecha; Edición de Reliquia para el Ataque en el Dr. Hogg.")</f>
        <v>- Nuevo Luchador: Aldrich, Mecánico de las Tierras Salvajes, ¡un poderoso guerrero que lucha por la justicia! Consíguelo en el Mono Supremo.
- Nueva función de delegación de tropas: Delega tus tropas a amigos dentro de tu Clan o a la Banda y permíteles usar las unidades.
- Nuevos eventos: Fiesta de la Cosecha; Edición de Reliquia para el Ataque en el Dr. Hogg.</v>
      </c>
      <c r="L54" s="159" t="str">
        <f>IFERROR(__xludf.DUMMYFUNCTION("""COMPUTED_VALUE"""),"-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своего клана или банды, чтобы разрешить им использ"&amp;"овать эти отряды.
- Новые события: «Праздник урожая», «Нападение на доктора Хогга» с реликвиями.")</f>
        <v>-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своего клана или банды, чтобы разрешить им использовать эти отряды.
- Новые события: «Праздник урожая», «Нападение на доктора Хогга» с реликвиями.</v>
      </c>
      <c r="M54" s="159" t="str">
        <f>IFERROR(__xludf.DUMMYFUNCTION("""COMPUTED_VALUE"""),"- Yeni Savaşçı: Çorak Toprakların Teknisyeni Aldrich. Adalet için savaşan kudretli bir savaşçı! Bu savaşçıyı En Üstün Maymun'dan edinebilirsin.
- Yeni birlik görevlendirme özelliği: Klanındaki veya Çetendeki arkadaşların için birliklerini görevlendir ve o"&amp;"nların bu birimleri kullanabilmelerini sağla.
- Yeni etkinlikler: Hasat Şöleni, Dr. Hogg'a Saldırı etkinliğinin Kalıntı sürümü.")</f>
        <v>- Yeni Savaşçı: Çorak Toprakların Teknisyeni Aldrich. Adalet için savaşan kudretli bir savaşçı! Bu savaşçıyı En Üstün Maymun'dan edinebilirsin.
- Yeni birlik görevlendirme özelliği: Klanındaki veya Çetendeki arkadaşların için birliklerini görevlendir ve onların bu birimleri kullanabilmelerini sağla.
- Yeni etkinlikler: Hasat Şöleni, Dr. Hogg'a Saldırı etkinliğinin Kalıntı sürümü.</v>
      </c>
      <c r="N54" s="45" t="str">
        <f>IFERROR(__xludf.DUMMYFUNCTION("""COMPUTED_VALUE"""),"- Chiến Binh Mới: Kỹ Sư Máy Hoang Dã - Aldrich, có thể nhận được trong Chúa Khỉ Tối Cao. 
- Thêm tính năng Uỷ Thác Binh Lính: Có thể đem binh lính của bản thân uỷ thác cho bạn bè cùng phe điều khiển. 
- Sự Kiện Mới: Thêm sự kiện Tiệc Thu Hoạch, thêm phiên"&amp;" bản Di Tích Tấn Công Tiến Sĩ Hogg.")</f>
        <v>- Chiến Binh Mới: Kỹ Sư Máy Hoang Dã - Aldrich, có thể nhận được trong Chúa Khỉ Tối Cao. 
- Thêm tính năng Uỷ Thác Binh Lính: Có thể đem binh lính của bản thân uỷ thác cho bạn bè cùng phe điều khiển. 
- Sự Kiện Mới: Thêm sự kiện Tiệc Thu Hoạch, thêm phiên bản Di Tích Tấn Công Tiến Sĩ Hogg.</v>
      </c>
      <c r="O54" s="45" t="str">
        <f>IFERROR(__xludf.DUMMYFUNCTION("""COMPUTED_VALUE"""),"- Nuovo Combattente: il meccanico delle Terre selvagge, Aldrich, un potente guerriero che combatte per la giustizia! Puoi ottenerlo da Scimmia suprema.
- Nuova funzione di delega delle truppe: delega le tue truppe agli amici nel tuo Clan o nella tua Gang,"&amp;" consentendo loro di usare queste unità.
- Nuovi eventi: Banchetto del raccolto; modifica delle Reliquie in Attacco al dottor Hogg.")</f>
        <v>- Nuovo Combattente: il meccanico delle Terre selvagge, Aldrich, un potente guerriero che combatte per la giustizia! Puoi ottenerlo da Scimmia suprema.
- Nuova funzione di delega delle truppe: delega le tue truppe agli amici nel tuo Clan o nella tua Gang, consentendo loro di usare queste unità.
- Nuovi eventi: Banchetto del raccolto; modifica delle Reliquie in Attacco al dottor Hogg.</v>
      </c>
      <c r="P54" s="153" t="str">
        <f>IFERROR(__xludf.DUMMYFUNCTION("""COMPUTED_VALUE"""),"- Nowy Wojownik: Aldrich, Mechanik z Pustkowi: potężny wojownik, który walczy o sprawiedliwość! Można go zdobyć w wydarzeniu Ubermałpa.
- Nowa funkcja przekazywania oddziałów: przekaż swoje oddziały znajomym w Klanie lub Gangu i pozwól im na wykorzystywan"&amp;"ie tych jednostek.
- Nowe wydarzenia: Uczta z okazji zbiorów; Atak na doktora Hogga - edycja z Reliktami.")</f>
        <v>- Nowy Wojownik: Aldrich, Mechanik z Pustkowi: potężny wojownik, który walczy o sprawiedliwość! Można go zdobyć w wydarzeniu Ubermałpa.
- Nowa funkcja przekazywania oddziałów: przekaż swoje oddziały znajomym w Klanie lub Gangu i pozwól im na wykorzystywanie tych jednostek.
- Nowe wydarzenia: Uczta z okazji zbiorów; Atak na doktora Hogga - edycja z Reliktami.</v>
      </c>
      <c r="Q54" s="34" t="str">
        <f>IFERROR(__xludf.DUMMYFUNCTION("""COMPUTED_VALUE"""),"- المقاتل الجديد: ميكانيكي البراري، ألدريتش، محارب جبار يقاتل من أجل العدالة! احصل عليه من القرد الخارق.
- ميزة تفويض القوات الجديدة: قم بتفويض قواتك لأصدقائك في عشيرتك أو عصابتك واسمح لهم باستخدام الوحدات.
- أحداث جديدة: عيد الحصاد. نسخة المقتنيات عند هج"&amp;"وم على الدكتور هوغ.")</f>
        <v>- المقاتل الجديد: ميكانيكي البراري، ألدريتش، محارب جبار يقاتل من أجل العدالة! احصل عليه من القرد الخارق.
- ميزة تفويض القوات الجديدة: قم بتفويض قواتك لأصدقائك في عشيرتك أو عصابتك واسمح لهم باستخدام الوحدات.
- أحداث جديدة: عيد الحصاد. نسخة المقتنيات عند هجوم على الدكتور هوغ.</v>
      </c>
      <c r="R54" s="34"/>
      <c r="S54" s="34"/>
      <c r="T54" s="108"/>
      <c r="U54" s="108"/>
      <c r="V54" s="108"/>
      <c r="W54" s="108"/>
      <c r="X54" s="108"/>
      <c r="Y54" s="108"/>
      <c r="Z54" s="108"/>
    </row>
    <row r="55">
      <c r="A55" s="149" t="str">
        <f>IFERROR(__xludf.DUMMYFUNCTION("""COMPUTED_VALUE"""),"0.49.0")</f>
        <v>0.49.0</v>
      </c>
      <c r="B55" s="174" t="str">
        <f>IFERROR(__xludf.DUMMYFUNCTION("""COMPUTED_VALUE"""),"&lt;en-US&gt;
- New Fighter: Thor, the Flames of Thunder, get him through Ultimate Monkey.
- New ruin buildings: Ruins that can be occupied on the map now have attached outpost buildings. Garrison these outposts to enhance ruin boosts.
- New Gang buildings: Ser"&amp;"vice Station and Super Turret. Service Stations provide Distributors with defense boosts; Super Turrets are upgraded from Distributors and are capable of long-range attacks.
&lt;/en-US&gt;
&lt;fr-FR&gt;
- Nouveau combattant: Thor, les flammes du tonnerre. Obtenez-le "&amp;"via le singe ultime.
- Nouveaux bâtiments: des avant-postes sont rattachés aux ruines pouvant être occupées. Placez-y des troupes en garnison pour obtenir un boost.
- Nouveaux bâtiments de gang: les stations-service procurent un boost défensif aux distrib"&amp;"uteurs; les super tourelles sont obtenues en améliorant les distributeurs et peuvent tirer à longue distance.
&lt;/fr-FR&gt;
&lt;de-DE&gt;
- Neuer Kämpfer: Thor, die Donnerflamme! Erhalte ihn in Ultimativer Affe.
 - Neue Ruinengebäude: Ruinen, die auf der Karte beset"&amp;"zt werden können, haben jetzt Außenpostengebäude angebracht. Garnisonen dieser Außenposten verbessern Ruinen-Boosts.
 - Neue Gang-Gebäude: Service-Station und Super-Turm. Service-Stationen bieten Distributoren Verteidigungs-Boosts; Super-Türme werden von "&amp;"Distributoren verbessert und sind in der Lage, Langstreckenangriffe durchzuführen.
&lt;/de-DE&gt;
&lt;pt-BR&gt;
- Novo combatente: Thor, Chamas do Trovão, obtenha-o através do Macaco Supremo.
- Novas ruínas de estrutura: agora as ruínas do mapa que podem ser ocupadas"&amp;" têm postos avançados anexados. Guarneça esses postos avançados para melhorar os bônus da ruína.
- Novas estruturas de gangue: Posto de Manutenção e Super Torre. Postos de manutenção oferecem distribuidores com bônus de defesa. Super torres são melhorias "&amp;"de distribuidores, e lançam ataques de longa distância.
&lt;/pt-BR&gt;
&lt;zh-HK&gt;
-新增鬥士：霹靂狂焰-索爾，可通過最強猴子獲得。
-新增遺蹟建築：人類遺蹟附屬據點，駐紮在據點中可增加遺蹟建築的增益效果。
-新增幫派建築：機械站與威懾炮塔，機械站可提供防守增益，威懾炮塔可遠程攻擊目標。
&lt;/zh-HK&gt;
&lt;zh-TW&gt;
-新增鬥士：霹靂狂焰-索爾，可通過最強猴子獲得。
-新增遺蹟建築：人類遺蹟附屬據點，駐紮在據點中可增加遺蹟建築的增益效果。
"&amp;"-新增幫派建築：機械站與威懾炮塔，機械站可提供防守增益，威懾炮塔可遠程攻擊目標。
&lt;/zh-TW&gt;
&lt;id&gt;
- Pejuang Baru: Api Petir - Thor, bisa didapat lewat KERA YANG TANGGUH.
- Bangunan Reruntuhan Baru: Menambah Pos Terdepan terkait untuk bangunan reruntuhan manusia. Menempatkan di Pos Terdepan bisa me"&amp;"nambah efek keunggulan bangunan reruntuhan.
- Bangunan Geng Baru: Stasiun Mekanik dan Menara Penghalang. Stasiun Mekanik bisa memberikan keunggulan pertahanan. Menara Penghalang bisa menyerang musuh jarak jauh.
&lt;/id&gt;
&lt;th&gt;
-เพิ่มนักสู้ใหม่: เปลวไฟสายฟ้า-ธอ"&amp;"ร์ ได้รับจากลิงขั้นเทพ
-เพิ่มสิ่งปลูกสร้างซากปรักหักพังใหม่: สิ่งปลูกสร้างซากปรักหักพังของมนุษย์เพิ่มด่านไว้ในนั้น หากประจำการอยู่ในด่านจะสามารถเพิ่มผลบัฟของสิ่งปลูกสร้างซากปรักหักพังได้
-เพิ่มสิ่งปลูกสร้างแก๊งค์ใหม่: สถานีจักรกลและป้อมปืนยิ่งใหญ่ สถานีจั"&amp;"กรกลจะให้บัฟป้องกัน ป้อมปืนยิ่งใหญ่สามารถโจมตีเป้าหมายที่อยู่ระยะไกลได้
&lt;/th&gt;
&lt;es-419&gt;
- Nuevo luchador: Thor, Llamas del Trueno. Obtenlo a través de Mono Supremo. 
- Nuevos edificios en ruinas: Las ruinas ocupables en el mapa ahora tienen edificios de Pu"&amp;"esto de avanzada. Guarnecer estos puestos mejora los potenciadores de ruinas. 
- Nuevos edificios de Banda: Estación de servicio y Supertorreta. Las estaciones de servicio les otorgan a los Distribuidores potenciadores de defensa. Las Supertorretas se mej"&amp;"oran a través de los Distribuidores y pueden realizar ataques de largo alcance.
&lt;/es-419&gt;
&lt;ru-RU&gt;
- Новый герой: Тор, Грозовое Пламя. Получите его в «Великой обезьяне».
- Новые постройки в руинах: к руинам на карте, которые можно захватить, теперь пристро"&amp;"ены аванпосты. Если отправить в эти аванпосты гарнизон, усиления руин увеличиваются.
- Новые здания банды: ремонтная станция и супертурель. Ремонтные станции дают распределителям усиления защиты. Супертурели строятся из распределителей и способны атаковат"&amp;"ь с дальнего расстояния.
&lt;/ru-RU&gt;
&lt;tr-TR&gt;
- Yeni Savaşçı: Yıldırım Alevleri ""Thor"". En Üstün Maymun'dan alınır.
- Yeni harabe binaları: Haritada işgal edilebilir harabelerin artık ek karakol binaları var. Harabe güçlendirmelerini artırmak için bu binala"&amp;"ra birlik yerleştir.
- Yeni Çete binaları: Servis İstasyonu ve Süper Taret. Servis İstasyonları, Distribütörlere savunma güçlendirmesi sağlar. Süper Taretler ise Distribütörler üzerinden yükseltilir ve yüksek menzilli saldırılar yapabilirler.
&lt;/tr-TR&gt;
&lt;vi"&amp;"&gt;
- Chiến Binh Mới: Lửa Sét Điên Cuồng - Sol, nhận được qua Chúa Khỉ Tối Cao.
- Thêm Công Trình Tàn Tích: Thêm Cứ Điểm thuộc về Công Trình Tàn Tích Loài Người, đóng quân ở Cứ Điểm có thể tăng thêm hiệu ứng có lợi của Công Trình Tàn Tích.
- Thêm Công Trình"&amp;" Bang Hội: Trạm Cơ Giới và Tháp Pháo Uy Hiếp, Trạm Cơ Giới có thể cung cấp hiệu ứng có lợi phòng thủ, Tháp Pháo Uy Hiếp có thể tấn công tầm xa mục tiêu.
&lt;/vi&gt;
&lt;it-IT&gt;
- Nuovo Combattente: Thor, le Fiamme del tuono, ottienilo tramite Scimmia suprema.
- Nuo"&amp;"vi edifici dei Ruderi: i Ruderi occupabili sulla mappa ora hanno edifici di avamposto annessi. Presidia questi avamposti per aumentare i bonus dei Ruderi.
- Nuovi edifici della Gang: Stazione di servizio e Super torretta. Le Stazioni di servizio forniscon"&amp;"o bonus difesa ai Distributori; le Super torrette sono potenziate dai Distributori e possono attaccare a lungo raggio.
&lt;/it-IT&gt;
&lt;pl-PL&gt;
- Nowy Wojownik: Thor, Płomienie gromu, do zdobycia w wydarzeniu Ubermałpa.
- Nowe budynki ruin: Ruiny, które można zaj"&amp;"mować na mapie, teraz mają dołączone budynki posterunków. Zajmij te posterunki, aby zwiększyć wzmocnienia z Ruin.
- Nowe budynki Gangu: Stacja serwisowa i Super wieżyczka. Stacje serwisowe zapewniają Dystrybutorom wzmocnienia do obrony; Super wieżyczki są"&amp;" zmodernizowanymi Dystrybutorami, które mogą prowadzić ataki dalekiego zasięgu.
&lt;/pl-PL&gt;
&lt;ar&gt;
- مقاتل جديد: ثور، لهيب الرعد ، حصل عليه من خلال القرد الخارق.
- مباني أنقاض جديدة: أنقاض يمكن احتلالها على الخريطة تحتوي الآن على مباني استيطانية ملحقة. قم بحرا"&amp;"سة هذه المستوطنات لتعزيز الأنقاض.
- مباني العصابة الجديدة: محطة الخدمة والبرج الخارق. محطات الخدمة ستوفر تعزيزات دفاعية لمحطات التوزيع؛ يمكن ترقية الأبراج الخارقة من محطات التوزيع وهي قادرة على شن هجمات بعيدة المدى.
&lt;/ar&gt;
")</f>
        <v>&lt;en-US&gt;
- New Fighter: Thor, the Flames of Thunder, get him through Ultimate Monkey.
- New ruin buildings: Ruins that can be occupied on the map now have attached outpost buildings. Garrison these outposts to enhance ruin boosts.
- New Gang buildings: Service Station and Super Turret. Service Stations provide Distributors with defense boosts; Super Turrets are upgraded from Distributors and are capable of long-range attacks.
&lt;/en-US&gt;
&lt;fr-FR&gt;
- Nouveau combattant: Thor, les flammes du tonnerre. Obtenez-le via le singe ultime.
- Nouveaux bâtiments: des avant-postes sont rattachés aux ruines pouvant être occupées. Placez-y des troupes en garnison pour obtenir un boost.
- Nouveaux bâtiments de gang: les stations-service procurent un boost défensif aux distributeurs; les super tourelles sont obtenues en améliorant les distributeurs et peuvent tirer à longue distance.
&lt;/fr-FR&gt;
&lt;de-DE&gt;
- Neuer Kämpfer: Thor, die Donnerflamme! Erhalte ihn in Ultimativer Affe.
 - Neue Ruinengebäude: Ruinen, die auf der Karte besetzt werden können, haben jetzt Außenpostengebäude angebracht. Garnisonen dieser Außenposten verbessern Ruinen-Boosts.
 - Neue Gang-Gebäude: Service-Station und Super-Turm. Service-Stationen bieten Distributoren Verteidigungs-Boosts; Super-Türme werden von Distributoren verbessert und sind in der Lage, Langstreckenangriffe durchzuführen.
&lt;/de-DE&gt;
&lt;pt-BR&gt;
- Novo combatente: Thor, Chamas do Trovão, obtenha-o através do Macaco Supremo.
- Novas ruínas de estrutura: agora as ruínas do mapa que podem ser ocupadas têm postos avançados anexados. Guarneça esses postos avançados para melhorar os bônus da ruína.
- Novas estruturas de gangue: Posto de Manutenção e Super Torre. Postos de manutenção oferecem distribuidores com bônus de defesa. Super torres são melhorias de distribuidores, e lançam ataques de longa distância.
&lt;/pt-BR&gt;
&lt;zh-HK&gt;
-新增鬥士：霹靂狂焰-索爾，可通過最強猴子獲得。
-新增遺蹟建築：人類遺蹟附屬據點，駐紮在據點中可增加遺蹟建築的增益效果。
-新增幫派建築：機械站與威懾炮塔，機械站可提供防守增益，威懾炮塔可遠程攻擊目標。
&lt;/zh-HK&gt;
&lt;zh-TW&gt;
-新增鬥士：霹靂狂焰-索爾，可通過最強猴子獲得。
-新增遺蹟建築：人類遺蹟附屬據點，駐紮在據點中可增加遺蹟建築的增益效果。
-新增幫派建築：機械站與威懾炮塔，機械站可提供防守增益，威懾炮塔可遠程攻擊目標。
&lt;/zh-TW&gt;
&lt;id&gt;
- Pejuang Baru: Api Petir - Thor, bisa didapat lewat KERA YANG TANGGUH.
- Bangunan Reruntuhan Baru: Menambah Pos Terdepan terkait untuk bangunan reruntuhan manusia. Menempatkan di Pos Terdepan bisa menambah efek keunggulan bangunan reruntuhan.
- Bangunan Geng Baru: Stasiun Mekanik dan Menara Penghalang. Stasiun Mekanik bisa memberikan keunggulan pertahanan. Menara Penghalang bisa menyerang musuh jarak jauh.
&lt;/id&gt;
&lt;th&gt;
-เพิ่มนักสู้ใหม่: เปลวไฟสายฟ้า-ธอร์ ได้รับจากลิงขั้นเทพ
-เพิ่มสิ่งปลูกสร้างซากปรักหักพังใหม่: สิ่งปลูกสร้างซากปรักหักพังของมนุษย์เพิ่มด่านไว้ในนั้น หากประจำการอยู่ในด่านจะสามารถเพิ่มผลบัฟของสิ่งปลูกสร้างซากปรักหักพังได้
-เพิ่มสิ่งปลูกสร้างแก๊งค์ใหม่: สถานีจักรกลและป้อมปืนยิ่งใหญ่ สถานีจักรกลจะให้บัฟป้องกัน ป้อมปืนยิ่งใหญ่สามารถโจมตีเป้าหมายที่อยู่ระยะไกลได้
&lt;/th&gt;
&lt;es-419&gt;
- Nuevo luchador: Thor, Llamas del Trueno. Obtenlo a través de Mono Supremo. 
- Nuevos edificios en ruinas: Las ruinas ocupables en el mapa ahora tienen edificios de Puesto de avanzada. Guarnecer estos puestos mejora los potenciadores de ruinas. 
- Nuevos edificios de Banda: Estación de servicio y Supertorreta. Las estaciones de servicio les otorgan a los Distribuidores potenciadores de defensa. Las Supertorretas se mejoran a través de los Distribuidores y pueden realizar ataques de largo alcance.
&lt;/es-419&gt;
&lt;ru-RU&gt;
- Новый герой: Тор, Грозовое Пламя. Получите его в «Великой обезьяне».
- Новые постройки в руинах: к руинам на карте, которые можно захватить, теперь пристроены аванпосты. Если отправить в эти аванпосты гарнизон, усиления руин увеличиваются.
- Новые здания банды: ремонтная станция и супертурель. Ремонтные станции дают распределителям усиления защиты. Супертурели строятся из распределителей и способны атаковать с дальнего расстояния.
&lt;/ru-RU&gt;
&lt;tr-TR&gt;
- Yeni Savaşçı: Yıldırım Alevleri "Thor". En Üstün Maymun'dan alınır.
- Yeni harabe binaları: Haritada işgal edilebilir harabelerin artık ek karakol binaları var. Harabe güçlendirmelerini artırmak için bu binalara birlik yerleştir.
- Yeni Çete binaları: Servis İstasyonu ve Süper Taret. Servis İstasyonları, Distribütörlere savunma güçlendirmesi sağlar. Süper Taretler ise Distribütörler üzerinden yükseltilir ve yüksek menzilli saldırılar yapabilirler.
&lt;/tr-TR&gt;
&lt;vi&gt;
- Chiến Binh Mới: Lửa Sét Điên Cuồng - Sol, nhận được qua Chúa Khỉ Tối Cao.
- Thêm Công Trình Tàn Tích: Thêm Cứ Điểm thuộc về Công Trình Tàn Tích Loài Người, đóng quân ở Cứ Điểm có thể tăng thêm hiệu ứng có lợi của Công Trình Tàn Tích.
- Thêm Công Trình Bang Hội: Trạm Cơ Giới và Tháp Pháo Uy Hiếp, Trạm Cơ Giới có thể cung cấp hiệu ứng có lợi phòng thủ, Tháp Pháo Uy Hiếp có thể tấn công tầm xa mục tiêu.
&lt;/vi&gt;
&lt;it-IT&gt;
- Nuovo Combattente: Thor, le Fiamme del tuono, ottienilo tramite Scimmia suprema.
- Nuovi edifici dei Ruderi: i Ruderi occupabili sulla mappa ora hanno edifici di avamposto annessi. Presidia questi avamposti per aumentare i bonus dei Ruderi.
- Nuovi edifici della Gang: Stazione di servizio e Super torretta. Le Stazioni di servizio forniscono bonus difesa ai Distributori; le Super torrette sono potenziate dai Distributori e possono attaccare a lungo raggio.
&lt;/it-IT&gt;
&lt;pl-PL&gt;
- Nowy Wojownik: Thor, Płomienie gromu, do zdobycia w wydarzeniu Ubermałpa.
- Nowe budynki ruin: Ruiny, które można zajmować na mapie, teraz mają dołączone budynki posterunków. Zajmij te posterunki, aby zwiększyć wzmocnienia z Ruin.
- Nowe budynki Gangu: Stacja serwisowa i Super wieżyczka. Stacje serwisowe zapewniają Dystrybutorom wzmocnienia do obrony; Super wieżyczki są zmodernizowanymi Dystrybutorami, które mogą prowadzić ataki dalekiego zasięgu.
&lt;/pl-PL&gt;
&lt;ar&gt;
- مقاتل جديد: ثور، لهيب الرعد ، حصل عليه من خلال القرد الخارق.
- مباني أنقاض جديدة: أنقاض يمكن احتلالها على الخريطة تحتوي الآن على مباني استيطانية ملحقة. قم بحراسة هذه المستوطنات لتعزيز الأنقاض.
- مباني العصابة الجديدة: محطة الخدمة والبرج الخارق. محطات الخدمة ستوفر تعزيزات دفاعية لمحطات التوزيع؛ يمكن ترقية الأبراج الخارقة من محطات التوزيع وهي قادرة على شن هجمات بعيدة المدى.
&lt;/ar&gt;
</v>
      </c>
      <c r="C55" s="44" t="str">
        <f>IFERROR(__xludf.DUMMYFUNCTION("""COMPUTED_VALUE"""),"-新增斗士：霹雳狂焰-索尔，可通过最强猴子获得。
-新增遗迹建筑：人类遗迹附属据点，驻扎在据点中可增加遗迹建筑的增益效果。
-新增帮派建筑：机械站与威慑炮塔，机械站可提供防守增益，威慑炮塔可远程攻击目标。")</f>
        <v>-新增斗士：霹雳狂焰-索尔，可通过最强猴子获得。
-新增遗迹建筑：人类遗迹附属据点，驻扎在据点中可增加遗迹建筑的增益效果。
-新增帮派建筑：机械站与威慑炮塔，机械站可提供防守增益，威慑炮塔可远程攻击目标。</v>
      </c>
      <c r="D55" s="159" t="str">
        <f>IFERROR(__xludf.DUMMYFUNCTION("""COMPUTED_VALUE"""),"- New Fighter: Thor, the Flames of Thunder, get him through Ultimate Monkey.
- New ruin buildings: Ruins that can be occupied on the map now have attached outpost buildings. Garrison these outposts to enhance ruin boosts.
- New Gang buildings: Service Sta"&amp;"tion and Super Turret. Service Stations provide Distributors with defense boosts; Super Turrets are upgraded from Distributors and are capable of long-range attacks.")</f>
        <v>- New Fighter: Thor, the Flames of Thunder, get him through Ultimate Monkey.
- New ruin buildings: Ruins that can be occupied on the map now have attached outpost buildings. Garrison these outposts to enhance ruin boosts.
- New Gang buildings: Service Station and Super Turret. Service Stations provide Distributors with defense boosts; Super Turrets are upgraded from Distributors and are capable of long-range attacks.</v>
      </c>
      <c r="E55" s="159" t="str">
        <f>IFERROR(__xludf.DUMMYFUNCTION("""COMPUTED_VALUE"""),"- Nouveau combattant: Thor, les flammes du tonnerre. Obtenez-le via le singe ultime.
- Nouveaux bâtiments: des avant-postes sont rattachés aux ruines pouvant être occupées. Placez-y des troupes en garnison pour obtenir un boost.
- Nouveaux bâtiments de ga"&amp;"ng: les stations-service procurent un boost défensif aux distributeurs; les super tourelles sont obtenues en améliorant les distributeurs et peuvent tirer à longue distance.")</f>
        <v>- Nouveau combattant: Thor, les flammes du tonnerre. Obtenez-le via le singe ultime.
- Nouveaux bâtiments: des avant-postes sont rattachés aux ruines pouvant être occupées. Placez-y des troupes en garnison pour obtenir un boost.
- Nouveaux bâtiments de gang: les stations-service procurent un boost défensif aux distributeurs; les super tourelles sont obtenues en améliorant les distributeurs et peuvent tirer à longue distance.</v>
      </c>
      <c r="F55" s="159" t="str">
        <f>IFERROR(__xludf.DUMMYFUNCTION("""COMPUTED_VALUE"""),"- Neuer Kämpfer: Thor, die Donnerflamme! Erhalte ihn in Ultimativer Affe.
 - Neue Ruinengebäude: Ruinen, die auf der Karte besetzt werden können, haben jetzt Außenpostengebäude angebracht. Garnisonen dieser Außenposten verbessern Ruinen-Boosts.
 - Neue Ga"&amp;"ng-Gebäude: Service-Station und Super-Turm. Service-Stationen bieten Distributoren Verteidigungs-Boosts; Super-Türme werden von Distributoren verbessert und sind in der Lage, Langstreckenangriffe durchzuführen.")</f>
        <v>- Neuer Kämpfer: Thor, die Donnerflamme! Erhalte ihn in Ultimativer Affe.
 - Neue Ruinengebäude: Ruinen, die auf der Karte besetzt werden können, haben jetzt Außenpostengebäude angebracht. Garnisonen dieser Außenposten verbessern Ruinen-Boosts.
 - Neue Gang-Gebäude: Service-Station und Super-Turm. Service-Stationen bieten Distributoren Verteidigungs-Boosts; Super-Türme werden von Distributoren verbessert und sind in der Lage, Langstreckenangriffe durchzuführen.</v>
      </c>
      <c r="G55" s="159" t="str">
        <f>IFERROR(__xludf.DUMMYFUNCTION("""COMPUTED_VALUE"""),"- Novo combatente: Thor, Chamas do Trovão, obtenha-o através do Macaco Supremo.
- Novas ruínas de estrutura: agora as ruínas do mapa que podem ser ocupadas têm postos avançados anexados. Guarneça esses postos avançados para melhorar os bônus da ruína.
- N"&amp;"ovas estruturas de gangue: Posto de Manutenção e Super Torre. Postos de manutenção oferecem distribuidores com bônus de defesa. Super torres são melhorias de distribuidores, e lançam ataques de longa distância.")</f>
        <v>- Novo combatente: Thor, Chamas do Trovão, obtenha-o através do Macaco Supremo.
- Novas ruínas de estrutura: agora as ruínas do mapa que podem ser ocupadas têm postos avançados anexados. Guarneça esses postos avançados para melhorar os bônus da ruína.
- Novas estruturas de gangue: Posto de Manutenção e Super Torre. Postos de manutenção oferecem distribuidores com bônus de defesa. Super torres são melhorias de distribuidores, e lançam ataques de longa distância.</v>
      </c>
      <c r="H55" s="159" t="str">
        <f>IFERROR(__xludf.DUMMYFUNCTION("""COMPUTED_VALUE"""),"-新增鬥士：霹靂狂焰-索爾，可通過最強猴子獲得。
-新增遺蹟建築：人類遺蹟附屬據點，駐紮在據點中可增加遺蹟建築的增益效果。
-新增幫派建築：機械站與威懾炮塔，機械站可提供防守增益，威懾炮塔可遠程攻擊目標。")</f>
        <v>-新增鬥士：霹靂狂焰-索爾，可通過最強猴子獲得。
-新增遺蹟建築：人類遺蹟附屬據點，駐紮在據點中可增加遺蹟建築的增益效果。
-新增幫派建築：機械站與威懾炮塔，機械站可提供防守增益，威懾炮塔可遠程攻擊目標。</v>
      </c>
      <c r="I55" s="159" t="str">
        <f>IFERROR(__xludf.DUMMYFUNCTION("""COMPUTED_VALUE"""),"- Pejuang Baru: Api Petir - Thor, bisa didapat lewat KERA YANG TANGGUH.
- Bangunan Reruntuhan Baru: Menambah Pos Terdepan terkait untuk bangunan reruntuhan manusia. Menempatkan di Pos Terdepan bisa menambah efek keunggulan bangunan reruntuhan.
- Bangunan "&amp;"Geng Baru: Stasiun Mekanik dan Menara Penghalang. Stasiun Mekanik bisa memberikan keunggulan pertahanan. Menara Penghalang bisa menyerang musuh jarak jauh.")</f>
        <v>- Pejuang Baru: Api Petir - Thor, bisa didapat lewat KERA YANG TANGGUH.
- Bangunan Reruntuhan Baru: Menambah Pos Terdepan terkait untuk bangunan reruntuhan manusia. Menempatkan di Pos Terdepan bisa menambah efek keunggulan bangunan reruntuhan.
- Bangunan Geng Baru: Stasiun Mekanik dan Menara Penghalang. Stasiun Mekanik bisa memberikan keunggulan pertahanan. Menara Penghalang bisa menyerang musuh jarak jauh.</v>
      </c>
      <c r="J55" s="159" t="str">
        <f>IFERROR(__xludf.DUMMYFUNCTION("""COMPUTED_VALUE"""),"-เพิ่มนักสู้ใหม่: เปลวไฟสายฟ้า-ธอร์ ได้รับจากลิงขั้นเทพ
-เพิ่มสิ่งปลูกสร้างซากปรักหักพังใหม่: สิ่งปลูกสร้างซากปรักหักพังของมนุษย์เพิ่มด่านไว้ในนั้น หากประจำการอยู่ในด่านจะสามารถเพิ่มผลบัฟของสิ่งปลูกสร้างซากปรักหักพังได้
-เพิ่มสิ่งปลูกสร้างแก๊งค์ใหม่: สถาน"&amp;"ีจักรกลและป้อมปืนยิ่งใหญ่ สถานีจักรกลจะให้บัฟป้องกัน ป้อมปืนยิ่งใหญ่สามารถโจมตีเป้าหมายที่อยู่ระยะไกลได้")</f>
        <v>-เพิ่มนักสู้ใหม่: เปลวไฟสายฟ้า-ธอร์ ได้รับจากลิงขั้นเทพ
-เพิ่มสิ่งปลูกสร้างซากปรักหักพังใหม่: สิ่งปลูกสร้างซากปรักหักพังของมนุษย์เพิ่มด่านไว้ในนั้น หากประจำการอยู่ในด่านจะสามารถเพิ่มผลบัฟของสิ่งปลูกสร้างซากปรักหักพังได้
-เพิ่มสิ่งปลูกสร้างแก๊งค์ใหม่: สถานีจักรกลและป้อมปืนยิ่งใหญ่ สถานีจักรกลจะให้บัฟป้องกัน ป้อมปืนยิ่งใหญ่สามารถโจมตีเป้าหมายที่อยู่ระยะไกลได้</v>
      </c>
      <c r="K55" s="159" t="str">
        <f>IFERROR(__xludf.DUMMYFUNCTION("""COMPUTED_VALUE"""),"- Nuevo luchador: Thor, Llamas del Trueno. Obtenlo a través de Mono Supremo. 
- Nuevos edificios en ruinas: Las ruinas ocupables en el mapa ahora tienen edificios de Puesto de avanzada. Guarnecer estos puestos mejora los potenciadores de ruinas. 
- Nuevos"&amp;" edificios de Banda: Estación de servicio y Supertorreta. Las estaciones de servicio les otorgan a los Distribuidores potenciadores de defensa. Las Supertorretas se mejoran a través de los Distribuidores y pueden realizar ataques de largo alcance.")</f>
        <v>- Nuevo luchador: Thor, Llamas del Trueno. Obtenlo a través de Mono Supremo. 
- Nuevos edificios en ruinas: Las ruinas ocupables en el mapa ahora tienen edificios de Puesto de avanzada. Guarnecer estos puestos mejora los potenciadores de ruinas. 
- Nuevos edificios de Banda: Estación de servicio y Supertorreta. Las estaciones de servicio les otorgan a los Distribuidores potenciadores de defensa. Las Supertorretas se mejoran a través de los Distribuidores y pueden realizar ataques de largo alcance.</v>
      </c>
      <c r="L55" s="159" t="str">
        <f>IFERROR(__xludf.DUMMYFUNCTION("""COMPUTED_VALUE"""),"- Новый герой: Тор, Грозовое Пламя. Получите его в «Великой обезьяне».
- Новые постройки в руинах: к руинам на карте, которые можно захватить, теперь пристроены аванпосты. Если отправить в эти аванпосты гарнизон, усиления руин увеличиваются.
- Новые здани"&amp;"я банды: ремонтная станция и супертурель. Ремонтные станции дают распределителям усиления защиты. Супертурели строятся из распределителей и способны атаковать с дальнего расстояния.")</f>
        <v>- Новый герой: Тор, Грозовое Пламя. Получите его в «Великой обезьяне».
- Новые постройки в руинах: к руинам на карте, которые можно захватить, теперь пристроены аванпосты. Если отправить в эти аванпосты гарнизон, усиления руин увеличиваются.
- Новые здания банды: ремонтная станция и супертурель. Ремонтные станции дают распределителям усиления защиты. Супертурели строятся из распределителей и способны атаковать с дальнего расстояния.</v>
      </c>
      <c r="M55" s="159" t="str">
        <f>IFERROR(__xludf.DUMMYFUNCTION("""COMPUTED_VALUE"""),"- Yeni Savaşçı: Yıldırım Alevleri ""Thor"". En Üstün Maymun'dan alınır.
- Yeni harabe binaları: Haritada işgal edilebilir harabelerin artık ek karakol binaları var. Harabe güçlendirmelerini artırmak için bu binalara birlik yerleştir.
- Yeni Çete binaları:"&amp;" Servis İstasyonu ve Süper Taret. Servis İstasyonları, Distribütörlere savunma güçlendirmesi sağlar. Süper Taretler ise Distribütörler üzerinden yükseltilir ve yüksek menzilli saldırılar yapabilirler.")</f>
        <v>- Yeni Savaşçı: Yıldırım Alevleri "Thor". En Üstün Maymun'dan alınır.
- Yeni harabe binaları: Haritada işgal edilebilir harabelerin artık ek karakol binaları var. Harabe güçlendirmelerini artırmak için bu binalara birlik yerleştir.
- Yeni Çete binaları: Servis İstasyonu ve Süper Taret. Servis İstasyonları, Distribütörlere savunma güçlendirmesi sağlar. Süper Taretler ise Distribütörler üzerinden yükseltilir ve yüksek menzilli saldırılar yapabilirler.</v>
      </c>
      <c r="N55" s="45" t="str">
        <f>IFERROR(__xludf.DUMMYFUNCTION("""COMPUTED_VALUE"""),"- Chiến Binh Mới: Lửa Sét Điên Cuồng - Sol, nhận được qua Chúa Khỉ Tối Cao.
- Thêm Công Trình Tàn Tích: Thêm Cứ Điểm thuộc về Công Trình Tàn Tích Loài Người, đóng quân ở Cứ Điểm có thể tăng thêm hiệu ứng có lợi của Công Trình Tàn Tích.
- Thêm Công Trình B"&amp;"ang Hội: Trạm Cơ Giới và Tháp Pháo Uy Hiếp, Trạm Cơ Giới có thể cung cấp hiệu ứng có lợi phòng thủ, Tháp Pháo Uy Hiếp có thể tấn công tầm xa mục tiêu.")</f>
        <v>- Chiến Binh Mới: Lửa Sét Điên Cuồng - Sol, nhận được qua Chúa Khỉ Tối Cao.
- Thêm Công Trình Tàn Tích: Thêm Cứ Điểm thuộc về Công Trình Tàn Tích Loài Người, đóng quân ở Cứ Điểm có thể tăng thêm hiệu ứng có lợi của Công Trình Tàn Tích.
- Thêm Công Trình Bang Hội: Trạm Cơ Giới và Tháp Pháo Uy Hiếp, Trạm Cơ Giới có thể cung cấp hiệu ứng có lợi phòng thủ, Tháp Pháo Uy Hiếp có thể tấn công tầm xa mục tiêu.</v>
      </c>
      <c r="O55" s="45" t="str">
        <f>IFERROR(__xludf.DUMMYFUNCTION("""COMPUTED_VALUE"""),"- Nuovo Combattente: Thor, le Fiamme del tuono, ottienilo tramite Scimmia suprema.
- Nuovi edifici dei Ruderi: i Ruderi occupabili sulla mappa ora hanno edifici di avamposto annessi. Presidia questi avamposti per aumentare i bonus dei Ruderi.
- Nuovi edif"&amp;"ici della Gang: Stazione di servizio e Super torretta. Le Stazioni di servizio forniscono bonus difesa ai Distributori; le Super torrette sono potenziate dai Distributori e possono attaccare a lungo raggio.")</f>
        <v>- Nuovo Combattente: Thor, le Fiamme del tuono, ottienilo tramite Scimmia suprema.
- Nuovi edifici dei Ruderi: i Ruderi occupabili sulla mappa ora hanno edifici di avamposto annessi. Presidia questi avamposti per aumentare i bonus dei Ruderi.
- Nuovi edifici della Gang: Stazione di servizio e Super torretta. Le Stazioni di servizio forniscono bonus difesa ai Distributori; le Super torrette sono potenziate dai Distributori e possono attaccare a lungo raggio.</v>
      </c>
      <c r="P55" s="34" t="str">
        <f>IFERROR(__xludf.DUMMYFUNCTION("""COMPUTED_VALUE"""),"- Nowy Wojownik: Thor, Płomienie gromu, do zdobycia w wydarzeniu Ubermałpa.
- Nowe budynki ruin: Ruiny, które można zajmować na mapie, teraz mają dołączone budynki posterunków. Zajmij te posterunki, aby zwiększyć wzmocnienia z Ruin.
- Nowe budynki Gangu: "&amp;"Stacja serwisowa i Super wieżyczka. Stacje serwisowe zapewniają Dystrybutorom wzmocnienia do obrony; Super wieżyczki są zmodernizowanymi Dystrybutorami, które mogą prowadzić ataki dalekiego zasięgu.")</f>
        <v>- Nowy Wojownik: Thor, Płomienie gromu, do zdobycia w wydarzeniu Ubermałpa.
- Nowe budynki ruin: Ruiny, które można zajmować na mapie, teraz mają dołączone budynki posterunków. Zajmij te posterunki, aby zwiększyć wzmocnienia z Ruin.
- Nowe budynki Gangu: Stacja serwisowa i Super wieżyczka. Stacje serwisowe zapewniają Dystrybutorom wzmocnienia do obrony; Super wieżyczki są zmodernizowanymi Dystrybutorami, które mogą prowadzić ataki dalekiego zasięgu.</v>
      </c>
      <c r="Q55" s="5" t="str">
        <f>IFERROR(__xludf.DUMMYFUNCTION("""COMPUTED_VALUE"""),"- مقاتل جديد: ثور، لهيب الرعد ، حصل عليه من خلال القرد الخارق.
- مباني أنقاض جديدة: أنقاض يمكن احتلالها على الخريطة تحتوي الآن على مباني استيطانية ملحقة. قم بحراسة هذه المستوطنات لتعزيز الأنقاض.
- مباني العصابة الجديدة: محطة الخدمة والبرج الخارق. محطات ال"&amp;"خدمة ستوفر تعزيزات دفاعية لمحطات التوزيع؛ يمكن ترقية الأبراج الخارقة من محطات التوزيع وهي قادرة على شن هجمات بعيدة المدى.")</f>
        <v>- مقاتل جديد: ثور، لهيب الرعد ، حصل عليه من خلال القرد الخارق.
- مباني أنقاض جديدة: أنقاض يمكن احتلالها على الخريطة تحتوي الآن على مباني استيطانية ملحقة. قم بحراسة هذه المستوطنات لتعزيز الأنقاض.
- مباني العصابة الجديدة: محطة الخدمة والبرج الخارق. محطات الخدمة ستوفر تعزيزات دفاعية لمحطات التوزيع؛ يمكن ترقية الأبراج الخارقة من محطات التوزيع وهي قادرة على شن هجمات بعيدة المدى.</v>
      </c>
      <c r="R55" s="34"/>
      <c r="S55" s="34"/>
      <c r="T55" s="108"/>
      <c r="U55" s="108"/>
      <c r="V55" s="108"/>
      <c r="W55" s="108"/>
      <c r="X55" s="108"/>
      <c r="Y55" s="108"/>
      <c r="Z55" s="108"/>
    </row>
    <row r="56">
      <c r="A56" s="149" t="str">
        <f>IFERROR(__xludf.DUMMYFUNCTION("""COMPUTED_VALUE"""),"0.50.0")</f>
        <v>0.50.0</v>
      </c>
      <c r="B56" s="174" t="str">
        <f>IFERROR(__xludf.DUMMYFUNCTION("""COMPUTED_VALUE"""),"&lt;en-US&gt;
- New Fighter: Wildland Baron, Derick, a popular leader of the Wild Monkeys who lives up to his reputation! This first fighter who excels at leading Wall Breakers will bring an all-new experience.
- New Fighter Statues: The statues for Fiona, Baze"&amp;"ll, D-Generate Dave, and The Clark Brothers are completed! Earn their double talents to unlock them!
- New Fortress Race Event: Duel other monkeys during the event and strive to conquer the fortress as fast as possible!
&lt;/en-US&gt;
&lt;fr-FR&gt;
- Nouveau combatta"&amp;"nt: Derrick, chef des Terres sauvages à la hauteur de sa réputation! Vivez une nouvelle expérience de jeu grâce à ce combattant spécialisé dans les casse-murailles.
- Nouvelles statues de combattants: les statues de Fiona, Bazell, Dave D-Généré et des frè"&amp;"res Clark sont terminées! Débloquez leurs doubles talents pour les déverrouiller!
- Course aux forteresses: affrontez les autres singes dans ce nouvel évènement pour prendre le contrôle de la forteresse le plus vite possible!
&lt;/fr-FR&gt;
&lt;de-DE&gt;
- Neuer Kämp"&amp;"fer: Der Wildnisbaron Derick, ein beliebter Anführer der wilden Affen, der seinem Ruf alle Ehre macht! Dieser erste Kämpfer, der sich durch das Anführen von Mauerbrechern auszeichnet, bietet eine ganz neue Erfahrung.
- Neue Kämpferstatuen: Die Statuen für"&amp;" Fiona, Bazell, D-Generate Dave und die Clark-Brüder sind fertig! Verdiene ihre Doppelbegabung, um sie freizuschalten!
- Neues Festungsrennen-Event: Duelliere dich während des Events mit anderen Affen und versuche, die Festung so schnell wie möglich zu er"&amp;"obern!
&lt;/de-DE&gt;
&lt;pt-BR&gt;
- Novo combatente: Derick, Barão das Terras Selvagens, um líder popular dos Macacos Selvagens que faz jus à reputação! Esse primeiro combatente se destaca na liderança de Quebra-Muros e proporcionará uma experiência completamente n"&amp;"ova.
- Nova estátua de lutador: As estátuas de Fiona, Bazell, Dave Degenerado e dos Irmãos Clark foram concluídas! Ganhe os talentos duplos deles para desbloqueá-las!
- Novo evento Corrida de Fortaleza: Duele contra outros macacos durante o evento e lute "&amp;"para conquistar a fortaleza o mais rápido possível!
&lt;/pt-BR&gt;
&lt;zh-HK&gt;
-新增鬥士： 荒野領主-德裏克，一位眾望所歸、不負使命的荒野猴領袖！首個擅長率領攻城車作戰的鬥士，帶來全新的戰鬥體驗。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
&lt;/zh-HK&gt;
&lt;zh-TW&gt;
-新增鬥士： 荒野領主-德裏克，一位眾望所歸"&amp;"、不負使命的荒野猴領袖！首個擅長率領攻城車作戰的鬥士，帶來全新的戰鬥體驗。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
&lt;/zh-TW&gt;
&lt;id&gt;
- Menambah Pejuang: Tuan Tanah Gurun - Derrick, pemimpin Kera Liar yang menjadi harapan semua orang dan menepati tan"&amp;"ggung jawab sendiri! Pejuang pertama yang ahli dalam memimpin Pembobol Tembok untuk bertarung, memberi pencobaan baru dalam pertarungan.
- Menambah Patung Pejuang: Patung Fiona, Bazell, D-Generate Dave, Clark Bersaudara sudah selesai dibuat. Bisa dibuka s"&amp;"etelah mencapai Bakat Ganda Pejuang!
- Menambah Event Lomba Benteng: Selama Event, duel dengan kera lain, Duduki Benteng dalam waktu tercepat!
&lt;/id&gt;
&lt;th&gt;
- นักสู้ใหม่ : ท่านลอร์ดแดนเถื่อน-เดอร์ริก ผู้นำลิงเถื่อนที่ทุกคนรอคอย กลับมาปฏิบัติภารกิจอีกครั้ง! น"&amp;"ักสู้คนแรกที่ชำนาญการนำวอลล์เบรกเกอร์ไปต่อสู้ ทำให้ทุกท่านได้สัมผัสกับการต่อสู้แบบใหม่!
-รูปปั้นนักสู้ใหม่ : รูปปั้นของฟีโอน่า, บาเซลล์, เดฟ, พี่น้องคลาร์กได้สร้างเสร็จสิ้นแล้ว ปลดล็อกเมื่อบรรลุความสามารถคู่ของนักสู้!
- กิจกรรมค่ายแข่งความเร็วใหม่ : ช่วงก"&amp;"ิจกรรม แรนดอมแข่งขันกับลิงตัวอื่น ยึดครองป้อมปราการให้เร็วที่สุด!
&lt;/th&gt;
&lt;es-419&gt;
- Nuevo Luchador: Derick, Barón las Tierras Salvajes, es un líder popular de los Monos Salvajes que hace honor a su reputación. Este Luchador que se destaca por su liderazgo "&amp;"de los Rompemuros ofrecerá una experiencia totalmente novedosa.
- Nuevas estatuas de Luchadores: Se completaron las estatuas de Fiona, Bazell, D-Generado Dave y los Hermanos Clark. Obtén sus talentos dobles para desbloquearlos.
- Nuevo evento Carrera a la"&amp;" Fortaleza: Enfréntate a otros monos durante el evento y conquista la fortaleza lo más rápido posible.
&lt;/es-419&gt;
&lt;ru-RU&gt;
– Новый герой: барон из диких земель Дерек, знаменитый вождь диких обезьян, который оправдывает свою репутацию! Это первый герой, кото"&amp;"рый лучше всего командует стеноломами, и с ним вы получите совершенно новые впечатления от игры.
– Новые статуи героев: готовы статуи Фионы, Базеля, Д-генерата Дэйва и братьев Кларк! Получите двойные таланты героев, чтобы открыть статуи! 
– Новое событие "&amp;"«Гонки крепости»: состязайтесь с другими обезьянами и постарайтесь захватить крепость как можно быстрее! 
&lt;/ru-RU&gt;
&lt;tr-TR&gt;
- Yeni Savaşçı: Vahşi Maymunların ünlü lideri, Çorak Toprakların Efendisi Derick! Duvar Kırıcılara liderlik etmekte usta olan ilk sa"&amp;"vaşçı olarak oyunculara yepyeni bir deneyim sunacak.
- Yeni Savaşçı Heykelleri: Fiona, Bazell, Dejenere Dave ve Clark Kardeşlerin heykelleri tamamlandı! Savaşçıların çift yeteneklerini elde ederek heykellerin kilidini açabilirsin!
- Yeni Kale Yarışı Etkin"&amp;"liği: Etkinlik sırasında kaleyi olabildiğince kısa sürede ele geçirme yarışında diğer maymunlarla mücadele et!
&lt;/tr-TR&gt;
&lt;vi&gt;
- Chiến Binh mới: Chúa Tể Hoang Dã - Derrick, thủ lĩnh của bầy khỉ hoang dã được mọi người mong đợi và không phụ sứ mệnh! Chiến Bi"&amp;"nh đầu tiên sở trường dẫn đầu Lính Phá Thành chiến đấu, mang lại trải nghiệm chiến đấu hoàn toàn mới. 
- Tượng Chiến Binh mới: Tượng Thần của Fiona, Bazell, Dave-Hạng-D, Anh Em Nhà Clark đã chế tạo xong, thông qua đạt đến Chiến Binh 2 Kỹ Năng để mở khóa! "&amp;"
- Sự kiện Cuộc Đua Pháo Đài mới: Trong thời gian sự kiện, ghép cặp chiến đấu với những chiến binh khỉ khác, dùng thời gian nhanh nhất chiếm đóng Pháo Đài đi! 
&lt;/vi&gt;
&lt;it-IT&gt;
- Nuovo Combattente: il Barone delle Terre selvagge, Derrick, un noto leader dell"&amp;"e Scimmie selvagge che sarà all'altezza della sua reputazione! È il primo Combattente che eccelle nella guida degli Infrangimura e ti garantirà nuove esperienze di gioco!
- Nuove statue dei Combattenti: le statue di Fiona, Bazell, Dave lo Scellerato e i F"&amp;"ratelli Clark sono state completate! Ottieni il doppio dei loro Talenti per sbloccarle!
- Nuovo evento Gara della fortezza: sfida altre scimmie durante l'evento per conquistare la fortezza il più velocemente possibile!
&lt;/it-IT&gt;
&lt;pl-PL&gt;
- Nowy Wojownik: De"&amp;"rick, baron z Dzikiej Krainy i popularny przywódca dzikich małp, w pełni zasługuje na swą reputację! To pierwszy wojownik wprawiony w prowadzeniu Burzycieli, wprowadza zupełnie nową jakość gry.
- Nowe Pomniki Wojowników: Fiona, Bazyli, Dave D-Generat i Br"&amp;"acia Clark mają już ukończone pomniki! Zdobądź ich podwójne umiejętności talentów, aby ich odblokować!
- Nowy Wyścig Fortecy: stań do wyścigu z innymi małpami, starając się zdobyć fortecę, zanim zrobią to inni!
&lt;/pl-PL&gt;
&lt;ar&gt;
- مقاتل جديد: بارون الأرض البر"&amp;"ية، ديريك، زعيم شعبي للقرود البرية الذي يرقى إلى مستوى سمعته! هذا المقاتل الأول الذي يتفوق في قيادة كسارات الجدران سيجلب معه تجربة قتالية جديدة تمامًا.
- تماثيل مقاتل جديدة: تم الانتهاء من تماثيل فيونا وبازيل والمولد ديف والأخوان كلارك! اكسب مواهبهم المزد"&amp;"وجة لفتحهم!
- حدث سباق الحصن الجديد: قم بمبارزة القرود الأخرى خلال الحدث واسعى لغزو الحصن بأسرع ما يمكن!
&lt;/ar&gt;
")</f>
        <v>&lt;en-US&gt;
- New Fighter: Wildland Baron, Derick, a popular leader of the Wild Monkeys who lives up to his reputation! This first fighter who excels at leading Wall Breakers will bring an all-new experience.
- New Fighter Statues: The statues for Fiona, Bazell, D-Generate Dave, and The Clark Brothers are completed! Earn their double talents to unlock them!
- New Fortress Race Event: Duel other monkeys during the event and strive to conquer the fortress as fast as possible!
&lt;/en-US&gt;
&lt;fr-FR&gt;
- Nouveau combattant: Derrick, chef des Terres sauvages à la hauteur de sa réputation! Vivez une nouvelle expérience de jeu grâce à ce combattant spécialisé dans les casse-murailles.
- Nouvelles statues de combattants: les statues de Fiona, Bazell, Dave D-Généré et des frères Clark sont terminées! Débloquez leurs doubles talents pour les déverrouiller!
- Course aux forteresses: affrontez les autres singes dans ce nouvel évènement pour prendre le contrôle de la forteresse le plus vite possible!
&lt;/fr-FR&gt;
&lt;de-DE&gt;
- Neuer Kämpfer: Der Wildnisbaron Derick, ein beliebter Anführer der wilden Affen, der seinem Ruf alle Ehre macht! Dieser erste Kämpfer, der sich durch das Anführen von Mauerbrechern auszeichnet, bietet eine ganz neue Erfahrung.
- Neue Kämpferstatuen: Die Statuen für Fiona, Bazell, D-Generate Dave und die Clark-Brüder sind fertig! Verdiene ihre Doppelbegabung, um sie freizuschalten!
- Neues Festungsrennen-Event: Duelliere dich während des Events mit anderen Affen und versuche, die Festung so schnell wie möglich zu erobern!
&lt;/de-DE&gt;
&lt;pt-BR&gt;
- Novo combatente: Derick, Barão das Terras Selvagens, um líder popular dos Macacos Selvagens que faz jus à reputação! Esse primeiro combatente se destaca na liderança de Quebra-Muros e proporcionará uma experiência completamente nova.
- Nova estátua de lutador: As estátuas de Fiona, Bazell, Dave Degenerado e dos Irmãos Clark foram concluídas! Ganhe os talentos duplos deles para desbloqueá-las!
- Novo evento Corrida de Fortaleza: Duele contra outros macacos durante o evento e lute para conquistar a fortaleza o mais rápido possível!
&lt;/pt-BR&gt;
&lt;zh-HK&gt;
-新增鬥士： 荒野領主-德裏克，一位眾望所歸、不負使命的荒野猴領袖！首個擅長率領攻城車作戰的鬥士，帶來全新的戰鬥體驗。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
&lt;/zh-HK&gt;
&lt;zh-TW&gt;
-新增鬥士： 荒野領主-德裏克，一位眾望所歸、不負使命的荒野猴領袖！首個擅長率領攻城車作戰的鬥士，帶來全新的戰鬥體驗。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
&lt;/zh-TW&gt;
&lt;id&gt;
- Menambah Pejuang: Tuan Tanah Gurun - Derrick, pemimpin Kera Liar yang menjadi harapan semua orang dan menepati tanggung jawab sendiri! Pejuang pertama yang ahli dalam memimpin Pembobol Tembok untuk bertarung, memberi pencobaan baru dalam pertarungan.
- Menambah Patung Pejuang: Patung Fiona, Bazell, D-Generate Dave, Clark Bersaudara sudah selesai dibuat. Bisa dibuka setelah mencapai Bakat Ganda Pejuang!
- Menambah Event Lomba Benteng: Selama Event, duel dengan kera lain, Duduki Benteng dalam waktu tercepat!
&lt;/id&gt;
&lt;th&gt;
- นักสู้ใหม่ : ท่านลอร์ดแดนเถื่อน-เดอร์ริก ผู้นำลิงเถื่อนที่ทุกคนรอคอย กลับมาปฏิบัติภารกิจอีกครั้ง! นักสู้คนแรกที่ชำนาญการนำวอลล์เบรกเกอร์ไปต่อสู้ ทำให้ทุกท่านได้สัมผัสกับการต่อสู้แบบใหม่!
-รูปปั้นนักสู้ใหม่ : รูปปั้นของฟีโอน่า, บาเซลล์, เดฟ, พี่น้องคลาร์กได้สร้างเสร็จสิ้นแล้ว ปลดล็อกเมื่อบรรลุความสามารถคู่ของนักสู้!
- กิจกรรมค่ายแข่งความเร็วใหม่ : ช่วงกิจกรรม แรนดอมแข่งขันกับลิงตัวอื่น ยึดครองป้อมปราการให้เร็วที่สุด!
&lt;/th&gt;
&lt;es-419&gt;
- Nuevo Luchador: Derick, Barón las Tierras Salvajes, es un líder popular de los Monos Salvajes que hace honor a su reputación. Este Luchador que se destaca por su liderazgo de los Rompemuros ofrecerá una experiencia totalmente novedosa.
- Nuevas estatuas de Luchadores: Se completaron las estatuas de Fiona, Bazell, D-Generado Dave y los Hermanos Clark. Obtén sus talentos dobles para desbloquearlos.
- Nuevo evento Carrera a la Fortaleza: Enfréntate a otros monos durante el evento y conquista la fortaleza lo más rápido posible.
&lt;/es-419&gt;
&lt;ru-RU&gt;
– Новый герой: барон из диких земель Дерек, знаменитый вождь диких обезьян, который оправдывает свою репутацию! Это первый герой, который лучше всего командует стеноломами, и с ним вы получите совершенно новые впечатления от игры.
– Новые статуи героев: готовы статуи Фионы, Базеля, Д-генерата Дэйва и братьев Кларк! Получите двойные таланты героев, чтобы открыть статуи! 
– Новое событие «Гонки крепости»: состязайтесь с другими обезьянами и постарайтесь захватить крепость как можно быстрее! 
&lt;/ru-RU&gt;
&lt;tr-TR&gt;
- Yeni Savaşçı: Vahşi Maymunların ünlü lideri, Çorak Toprakların Efendisi Derick! Duvar Kırıcılara liderlik etmekte usta olan ilk savaşçı olarak oyunculara yepyeni bir deneyim sunacak.
- Yeni Savaşçı Heykelleri: Fiona, Bazell, Dejenere Dave ve Clark Kardeşlerin heykelleri tamamlandı! Savaşçıların çift yeteneklerini elde ederek heykellerin kilidini açabilirsin!
- Yeni Kale Yarışı Etkinliği: Etkinlik sırasında kaleyi olabildiğince kısa sürede ele geçirme yarışında diğer maymunlarla mücadele et!
&lt;/tr-TR&gt;
&lt;vi&gt;
- Chiến Binh mới: Chúa Tể Hoang Dã - Derrick, thủ lĩnh của bầy khỉ hoang dã được mọi người mong đợi và không phụ sứ mệnh! Chiến Binh đầu tiên sở trường dẫn đầu Lính Phá Thành chiến đấu, mang lại trải nghiệm chiến đấu hoàn toàn mới. 
- Tượng Chiến Binh mới: Tượng Thần của Fiona, Bazell, Dave-Hạng-D, Anh Em Nhà Clark đã chế tạo xong, thông qua đạt đến Chiến Binh 2 Kỹ Năng để mở khóa! 
- Sự kiện Cuộc Đua Pháo Đài mới: Trong thời gian sự kiện, ghép cặp chiến đấu với những chiến binh khỉ khác, dùng thời gian nhanh nhất chiếm đóng Pháo Đài đi! 
&lt;/vi&gt;
&lt;it-IT&gt;
- Nuovo Combattente: il Barone delle Terre selvagge, Derrick, un noto leader delle Scimmie selvagge che sarà all'altezza della sua reputazione! È il primo Combattente che eccelle nella guida degli Infrangimura e ti garantirà nuove esperienze di gioco!
- Nuove statue dei Combattenti: le statue di Fiona, Bazell, Dave lo Scellerato e i Fratelli Clark sono state completate! Ottieni il doppio dei loro Talenti per sbloccarle!
- Nuovo evento Gara della fortezza: sfida altre scimmie durante l'evento per conquistare la fortezza il più velocemente possibile!
&lt;/it-IT&gt;
&lt;pl-PL&gt;
- Nowy Wojownik: Derick, baron z Dzikiej Krainy i popularny przywódca dzikich małp, w pełni zasługuje na swą reputację! To pierwszy wojownik wprawiony w prowadzeniu Burzycieli, wprowadza zupełnie nową jakość gry.
- Nowe Pomniki Wojowników: Fiona, Bazyli, Dave D-Generat i Bracia Clark mają już ukończone pomniki! Zdobądź ich podwójne umiejętności talentów, aby ich odblokować!
- Nowy Wyścig Fortecy: stań do wyścigu z innymi małpami, starając się zdobyć fortecę, zanim zrobią to inni!
&lt;/pl-PL&gt;
&lt;ar&gt;
- مقاتل جديد: بارون الأرض البرية، ديريك، زعيم شعبي للقرود البرية الذي يرقى إلى مستوى سمعته! هذا المقاتل الأول الذي يتفوق في قيادة كسارات الجدران سيجلب معه تجربة قتالية جديدة تمامًا.
- تماثيل مقاتل جديدة: تم الانتهاء من تماثيل فيونا وبازيل والمولد ديف والأخوان كلارك! اكسب مواهبهم المزدوجة لفتحهم!
- حدث سباق الحصن الجديد: قم بمبارزة القرود الأخرى خلال الحدث واسعى لغزو الحصن بأسرع ما يمكن!
&lt;/ar&gt;
</v>
      </c>
      <c r="C56" s="44" t="str">
        <f>IFERROR(__xludf.DUMMYFUNCTION("""COMPUTED_VALUE"""),"-新增斗士： 荒野领主-德里克，一位众望所归、不负使命的荒野猴领袖！首个擅长率领攻城车作战的斗士，带来全新的战斗体验。
-新增斗士雕像：菲奥娜，巴泽尔，戴维斯，克拉克兄弟的雕像已经打造完毕，通过达成斗士双天赋解锁！
-新增堡垒竞速活动：在活动期间，和其他猴子匹配对决，用最快的时间占领堡垒吧！")</f>
        <v>-新增斗士： 荒野领主-德里克，一位众望所归、不负使命的荒野猴领袖！首个擅长率领攻城车作战的斗士，带来全新的战斗体验。
-新增斗士雕像：菲奥娜，巴泽尔，戴维斯，克拉克兄弟的雕像已经打造完毕，通过达成斗士双天赋解锁！
-新增堡垒竞速活动：在活动期间，和其他猴子匹配对决，用最快的时间占领堡垒吧！</v>
      </c>
      <c r="D56" s="159" t="str">
        <f>IFERROR(__xludf.DUMMYFUNCTION("""COMPUTED_VALUE"""),"- New Fighter: Wildland Baron, Derick, a popular leader of the Wild Monkeys who lives up to his reputation! This first fighter who excels at leading Wall Breakers will bring an all-new experience.
- New Fighter Statues: The statues for Fiona, Bazell, D-Ge"&amp;"nerate Dave, and The Clark Brothers are completed! Earn their double talents to unlock them!
- New Fortress Race Event: Duel other monkeys during the event and strive to conquer the fortress as fast as possible!")</f>
        <v>- New Fighter: Wildland Baron, Derick, a popular leader of the Wild Monkeys who lives up to his reputation! This first fighter who excels at leading Wall Breakers will bring an all-new experience.
- New Fighter Statues: The statues for Fiona, Bazell, D-Generate Dave, and The Clark Brothers are completed! Earn their double talents to unlock them!
- New Fortress Race Event: Duel other monkeys during the event and strive to conquer the fortress as fast as possible!</v>
      </c>
      <c r="E56" s="159" t="str">
        <f>IFERROR(__xludf.DUMMYFUNCTION("""COMPUTED_VALUE"""),"- Nouveau combattant: Derrick, chef des Terres sauvages à la hauteur de sa réputation! Vivez une nouvelle expérience de jeu grâce à ce combattant spécialisé dans les casse-murailles.
- Nouvelles statues de combattants: les statues de Fiona, Bazell, Dave D"&amp;"-Généré et des frères Clark sont terminées! Débloquez leurs doubles talents pour les déverrouiller!
- Course aux forteresses: affrontez les autres singes dans ce nouvel évènement pour prendre le contrôle de la forteresse le plus vite possible!")</f>
        <v>- Nouveau combattant: Derrick, chef des Terres sauvages à la hauteur de sa réputation! Vivez une nouvelle expérience de jeu grâce à ce combattant spécialisé dans les casse-murailles.
- Nouvelles statues de combattants: les statues de Fiona, Bazell, Dave D-Généré et des frères Clark sont terminées! Débloquez leurs doubles talents pour les déverrouiller!
- Course aux forteresses: affrontez les autres singes dans ce nouvel évènement pour prendre le contrôle de la forteresse le plus vite possible!</v>
      </c>
      <c r="F56" s="159" t="str">
        <f>IFERROR(__xludf.DUMMYFUNCTION("""COMPUTED_VALUE"""),"- Neuer Kämpfer: Der Wildnisbaron Derick, ein beliebter Anführer der wilden Affen, der seinem Ruf alle Ehre macht! Dieser erste Kämpfer, der sich durch das Anführen von Mauerbrechern auszeichnet, bietet eine ganz neue Erfahrung.
- Neue Kämpferstatuen: Die"&amp;" Statuen für Fiona, Bazell, D-Generate Dave und die Clark-Brüder sind fertig! Verdiene ihre Doppelbegabung, um sie freizuschalten!
- Neues Festungsrennen-Event: Duelliere dich während des Events mit anderen Affen und versuche, die Festung so schnell wie m"&amp;"öglich zu erobern!")</f>
        <v>- Neuer Kämpfer: Der Wildnisbaron Derick, ein beliebter Anführer der wilden Affen, der seinem Ruf alle Ehre macht! Dieser erste Kämpfer, der sich durch das Anführen von Mauerbrechern auszeichnet, bietet eine ganz neue Erfahrung.
- Neue Kämpferstatuen: Die Statuen für Fiona, Bazell, D-Generate Dave und die Clark-Brüder sind fertig! Verdiene ihre Doppelbegabung, um sie freizuschalten!
- Neues Festungsrennen-Event: Duelliere dich während des Events mit anderen Affen und versuche, die Festung so schnell wie möglich zu erobern!</v>
      </c>
      <c r="G56" s="159" t="str">
        <f>IFERROR(__xludf.DUMMYFUNCTION("""COMPUTED_VALUE"""),"- Novo combatente: Derick, Barão das Terras Selvagens, um líder popular dos Macacos Selvagens que faz jus à reputação! Esse primeiro combatente se destaca na liderança de Quebra-Muros e proporcionará uma experiência completamente nova.
- Nova estátua de l"&amp;"utador: As estátuas de Fiona, Bazell, Dave Degenerado e dos Irmãos Clark foram concluídas! Ganhe os talentos duplos deles para desbloqueá-las!
- Novo evento Corrida de Fortaleza: Duele contra outros macacos durante o evento e lute para conquistar a fortal"&amp;"eza o mais rápido possível!")</f>
        <v>- Novo combatente: Derick, Barão das Terras Selvagens, um líder popular dos Macacos Selvagens que faz jus à reputação! Esse primeiro combatente se destaca na liderança de Quebra-Muros e proporcionará uma experiência completamente nova.
- Nova estátua de lutador: As estátuas de Fiona, Bazell, Dave Degenerado e dos Irmãos Clark foram concluídas! Ganhe os talentos duplos deles para desbloqueá-las!
- Novo evento Corrida de Fortaleza: Duele contra outros macacos durante o evento e lute para conquistar a fortaleza o mais rápido possível!</v>
      </c>
      <c r="H56" s="159" t="str">
        <f>IFERROR(__xludf.DUMMYFUNCTION("""COMPUTED_VALUE"""),"-新增鬥士： 荒野領主-德裏克，一位眾望所歸、不負使命的荒野猴領袖！首個擅長率領攻城車作戰的鬥士，帶來全新的戰鬥體驗。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f>
        <v>-新增鬥士： 荒野領主-德裏克，一位眾望所歸、不負使命的荒野猴領袖！首個擅長率領攻城車作戰的鬥士，帶來全新的戰鬥體驗。
-新增鬥士雕像：菲奧娜，巴澤爾，戴維斯，克拉克兄弟的雕像已經打造完畢，通過達成鬥士雙天賦解鎖！
-新增堡壘競速活動：在活動期間，和其他猴子匹配對決，用最快的時間占領堡壘吧！</v>
      </c>
      <c r="I56" s="159" t="str">
        <f>IFERROR(__xludf.DUMMYFUNCTION("""COMPUTED_VALUE"""),"- Menambah Pejuang: Tuan Tanah Gurun - Derrick, pemimpin Kera Liar yang menjadi harapan semua orang dan menepati tanggung jawab sendiri! Pejuang pertama yang ahli dalam memimpin Pembobol Tembok untuk bertarung, memberi pencobaan baru dalam pertarungan.
- "&amp;"Menambah Patung Pejuang: Patung Fiona, Bazell, D-Generate Dave, Clark Bersaudara sudah selesai dibuat. Bisa dibuka setelah mencapai Bakat Ganda Pejuang!
- Menambah Event Lomba Benteng: Selama Event, duel dengan kera lain, Duduki Benteng dalam waktu tercep"&amp;"at!")</f>
        <v>- Menambah Pejuang: Tuan Tanah Gurun - Derrick, pemimpin Kera Liar yang menjadi harapan semua orang dan menepati tanggung jawab sendiri! Pejuang pertama yang ahli dalam memimpin Pembobol Tembok untuk bertarung, memberi pencobaan baru dalam pertarungan.
- Menambah Patung Pejuang: Patung Fiona, Bazell, D-Generate Dave, Clark Bersaudara sudah selesai dibuat. Bisa dibuka setelah mencapai Bakat Ganda Pejuang!
- Menambah Event Lomba Benteng: Selama Event, duel dengan kera lain, Duduki Benteng dalam waktu tercepat!</v>
      </c>
      <c r="J56" s="159" t="str">
        <f>IFERROR(__xludf.DUMMYFUNCTION("""COMPUTED_VALUE"""),"- นักสู้ใหม่ : ท่านลอร์ดแดนเถื่อน-เดอร์ริก ผู้นำลิงเถื่อนที่ทุกคนรอคอย กลับมาปฏิบัติภารกิจอีกครั้ง! นักสู้คนแรกที่ชำนาญการนำวอลล์เบรกเกอร์ไปต่อสู้ ทำให้ทุกท่านได้สัมผัสกับการต่อสู้แบบใหม่!
-รูปปั้นนักสู้ใหม่ : รูปปั้นของฟีโอน่า, บาเซลล์, เดฟ, พี่น้องคลาร์"&amp;"กได้สร้างเสร็จสิ้นแล้ว ปลดล็อกเมื่อบรรลุความสามารถคู่ของนักสู้!
- กิจกรรมค่ายแข่งความเร็วใหม่ : ช่วงกิจกรรม แรนดอมแข่งขันกับลิงตัวอื่น ยึดครองป้อมปราการให้เร็วที่สุด!")</f>
        <v>- นักสู้ใหม่ : ท่านลอร์ดแดนเถื่อน-เดอร์ริก ผู้นำลิงเถื่อนที่ทุกคนรอคอย กลับมาปฏิบัติภารกิจอีกครั้ง! นักสู้คนแรกที่ชำนาญการนำวอลล์เบรกเกอร์ไปต่อสู้ ทำให้ทุกท่านได้สัมผัสกับการต่อสู้แบบใหม่!
-รูปปั้นนักสู้ใหม่ : รูปปั้นของฟีโอน่า, บาเซลล์, เดฟ, พี่น้องคลาร์กได้สร้างเสร็จสิ้นแล้ว ปลดล็อกเมื่อบรรลุความสามารถคู่ของนักสู้!
- กิจกรรมค่ายแข่งความเร็วใหม่ : ช่วงกิจกรรม แรนดอมแข่งขันกับลิงตัวอื่น ยึดครองป้อมปราการให้เร็วที่สุด!</v>
      </c>
      <c r="K56" s="159" t="str">
        <f>IFERROR(__xludf.DUMMYFUNCTION("""COMPUTED_VALUE"""),"- Nuevo Luchador: Derick, Barón las Tierras Salvajes, es un líder popular de los Monos Salvajes que hace honor a su reputación. Este Luchador que se destaca por su liderazgo de los Rompemuros ofrecerá una experiencia totalmente novedosa.
- Nuevas estatuas"&amp;" de Luchadores: Se completaron las estatuas de Fiona, Bazell, D-Generado Dave y los Hermanos Clark. Obtén sus talentos dobles para desbloquearlos.
- Nuevo evento Carrera a la Fortaleza: Enfréntate a otros monos durante el evento y conquista la fortaleza l"&amp;"o más rápido posible.")</f>
        <v>- Nuevo Luchador: Derick, Barón las Tierras Salvajes, es un líder popular de los Monos Salvajes que hace honor a su reputación. Este Luchador que se destaca por su liderazgo de los Rompemuros ofrecerá una experiencia totalmente novedosa.
- Nuevas estatuas de Luchadores: Se completaron las estatuas de Fiona, Bazell, D-Generado Dave y los Hermanos Clark. Obtén sus talentos dobles para desbloquearlos.
- Nuevo evento Carrera a la Fortaleza: Enfréntate a otros monos durante el evento y conquista la fortaleza lo más rápido posible.</v>
      </c>
      <c r="L56" s="159" t="str">
        <f>IFERROR(__xludf.DUMMYFUNCTION("""COMPUTED_VALUE"""),"– Новый герой: барон из диких земель Дерек, знаменитый вождь диких обезьян, который оправдывает свою репутацию! Это первый герой, который лучше всего командует стеноломами, и с ним вы получите совершенно новые впечатления от игры.
– Новые статуи героев: г"&amp;"отовы статуи Фионы, Базеля, Д-генерата Дэйва и братьев Кларк! Получите двойные таланты героев, чтобы открыть статуи! 
– Новое событие «Гонки крепости»: состязайтесь с другими обезьянами и постарайтесь захватить крепость как можно быстрее! ")</f>
        <v>– Новый герой: барон из диких земель Дерек, знаменитый вождь диких обезьян, который оправдывает свою репутацию! Это первый герой, который лучше всего командует стеноломами, и с ним вы получите совершенно новые впечатления от игры.
– Новые статуи героев: готовы статуи Фионы, Базеля, Д-генерата Дэйва и братьев Кларк! Получите двойные таланты героев, чтобы открыть статуи! 
– Новое событие «Гонки крепости»: состязайтесь с другими обезьянами и постарайтесь захватить крепость как можно быстрее! </v>
      </c>
      <c r="M56" s="159" t="str">
        <f>IFERROR(__xludf.DUMMYFUNCTION("""COMPUTED_VALUE"""),"- Yeni Savaşçı: Vahşi Maymunların ünlü lideri, Çorak Toprakların Efendisi Derick! Duvar Kırıcılara liderlik etmekte usta olan ilk savaşçı olarak oyunculara yepyeni bir deneyim sunacak.
- Yeni Savaşçı Heykelleri: Fiona, Bazell, Dejenere Dave ve Clark Karde"&amp;"şlerin heykelleri tamamlandı! Savaşçıların çift yeteneklerini elde ederek heykellerin kilidini açabilirsin!
- Yeni Kale Yarışı Etkinliği: Etkinlik sırasında kaleyi olabildiğince kısa sürede ele geçirme yarışında diğer maymunlarla mücadele et!")</f>
        <v>- Yeni Savaşçı: Vahşi Maymunların ünlü lideri, Çorak Toprakların Efendisi Derick! Duvar Kırıcılara liderlik etmekte usta olan ilk savaşçı olarak oyunculara yepyeni bir deneyim sunacak.
- Yeni Savaşçı Heykelleri: Fiona, Bazell, Dejenere Dave ve Clark Kardeşlerin heykelleri tamamlandı! Savaşçıların çift yeteneklerini elde ederek heykellerin kilidini açabilirsin!
- Yeni Kale Yarışı Etkinliği: Etkinlik sırasında kaleyi olabildiğince kısa sürede ele geçirme yarışında diğer maymunlarla mücadele et!</v>
      </c>
      <c r="N56" s="45" t="str">
        <f>IFERROR(__xludf.DUMMYFUNCTION("""COMPUTED_VALUE"""),"- Chiến Binh mới: Chúa Tể Hoang Dã - Derrick, thủ lĩnh của bầy khỉ hoang dã được mọi người mong đợi và không phụ sứ mệnh! Chiến Binh đầu tiên sở trường dẫn đầu Lính Phá Thành chiến đấu, mang lại trải nghiệm chiến đấu hoàn toàn mới. 
- Tượng Chiến Binh mới"&amp;": Tượng Thần của Fiona, Bazell, Dave-Hạng-D, Anh Em Nhà Clark đã chế tạo xong, thông qua đạt đến Chiến Binh 2 Kỹ Năng để mở khóa! 
- Sự kiện Cuộc Đua Pháo Đài mới: Trong thời gian sự kiện, ghép cặp chiến đấu với những chiến binh khỉ khác, dùng thời gian n"&amp;"hanh nhất chiếm đóng Pháo Đài đi! ")</f>
        <v>- Chiến Binh mới: Chúa Tể Hoang Dã - Derrick, thủ lĩnh của bầy khỉ hoang dã được mọi người mong đợi và không phụ sứ mệnh! Chiến Binh đầu tiên sở trường dẫn đầu Lính Phá Thành chiến đấu, mang lại trải nghiệm chiến đấu hoàn toàn mới. 
- Tượng Chiến Binh mới: Tượng Thần của Fiona, Bazell, Dave-Hạng-D, Anh Em Nhà Clark đã chế tạo xong, thông qua đạt đến Chiến Binh 2 Kỹ Năng để mở khóa! 
- Sự kiện Cuộc Đua Pháo Đài mới: Trong thời gian sự kiện, ghép cặp chiến đấu với những chiến binh khỉ khác, dùng thời gian nhanh nhất chiếm đóng Pháo Đài đi! </v>
      </c>
      <c r="O56" s="45" t="str">
        <f>IFERROR(__xludf.DUMMYFUNCTION("""COMPUTED_VALUE"""),"- Nuovo Combattente: il Barone delle Terre selvagge, Derrick, un noto leader delle Scimmie selvagge che sarà all'altezza della sua reputazione! È il primo Combattente che eccelle nella guida degli Infrangimura e ti garantirà nuove esperienze di gioco!
- N"&amp;"uove statue dei Combattenti: le statue di Fiona, Bazell, Dave lo Scellerato e i Fratelli Clark sono state completate! Ottieni il doppio dei loro Talenti per sbloccarle!
- Nuovo evento Gara della fortezza: sfida altre scimmie durante l'evento per conquista"&amp;"re la fortezza il più velocemente possibile!")</f>
        <v>- Nuovo Combattente: il Barone delle Terre selvagge, Derrick, un noto leader delle Scimmie selvagge che sarà all'altezza della sua reputazione! È il primo Combattente che eccelle nella guida degli Infrangimura e ti garantirà nuove esperienze di gioco!
- Nuove statue dei Combattenti: le statue di Fiona, Bazell, Dave lo Scellerato e i Fratelli Clark sono state completate! Ottieni il doppio dei loro Talenti per sbloccarle!
- Nuovo evento Gara della fortezza: sfida altre scimmie durante l'evento per conquistare la fortezza il più velocemente possibile!</v>
      </c>
      <c r="P56" s="34" t="str">
        <f>IFERROR(__xludf.DUMMYFUNCTION("""COMPUTED_VALUE"""),"- Nowy Wojownik: Derick, baron z Dzikiej Krainy i popularny przywódca dzikich małp, w pełni zasługuje na swą reputację! To pierwszy wojownik wprawiony w prowadzeniu Burzycieli, wprowadza zupełnie nową jakość gry.
- Nowe Pomniki Wojowników: Fiona, Bazyli, "&amp;"Dave D-Generat i Bracia Clark mają już ukończone pomniki! Zdobądź ich podwójne umiejętności talentów, aby ich odblokować!
- Nowy Wyścig Fortecy: stań do wyścigu z innymi małpami, starając się zdobyć fortecę, zanim zrobią to inni!")</f>
        <v>- Nowy Wojownik: Derick, baron z Dzikiej Krainy i popularny przywódca dzikich małp, w pełni zasługuje na swą reputację! To pierwszy wojownik wprawiony w prowadzeniu Burzycieli, wprowadza zupełnie nową jakość gry.
- Nowe Pomniki Wojowników: Fiona, Bazyli, Dave D-Generat i Bracia Clark mają już ukończone pomniki! Zdobądź ich podwójne umiejętności talentów, aby ich odblokować!
- Nowy Wyścig Fortecy: stań do wyścigu z innymi małpami, starając się zdobyć fortecę, zanim zrobią to inni!</v>
      </c>
      <c r="Q56" s="34" t="str">
        <f>IFERROR(__xludf.DUMMYFUNCTION("""COMPUTED_VALUE"""),"- مقاتل جديد: بارون الأرض البرية، ديريك، زعيم شعبي للقرود البرية الذي يرقى إلى مستوى سمعته! هذا المقاتل الأول الذي يتفوق في قيادة كسارات الجدران سيجلب معه تجربة قتالية جديدة تمامًا.
- تماثيل مقاتل جديدة: تم الانتهاء من تماثيل فيونا وبازيل والمولد ديف والأ"&amp;"خوان كلارك! اكسب مواهبهم المزدوجة لفتحهم!
- حدث سباق الحصن الجديد: قم بمبارزة القرود الأخرى خلال الحدث واسعى لغزو الحصن بأسرع ما يمكن!")</f>
        <v>- مقاتل جديد: بارون الأرض البرية، ديريك، زعيم شعبي للقرود البرية الذي يرقى إلى مستوى سمعته! هذا المقاتل الأول الذي يتفوق في قيادة كسارات الجدران سيجلب معه تجربة قتالية جديدة تمامًا.
- تماثيل مقاتل جديدة: تم الانتهاء من تماثيل فيونا وبازيل والمولد ديف والأخوان كلارك! اكسب مواهبهم المزدوجة لفتحهم!
- حدث سباق الحصن الجديد: قم بمبارزة القرود الأخرى خلال الحدث واسعى لغزو الحصن بأسرع ما يمكن!</v>
      </c>
      <c r="R56" s="34"/>
      <c r="S56" s="34"/>
      <c r="T56" s="108"/>
      <c r="U56" s="108"/>
      <c r="V56" s="108"/>
      <c r="W56" s="108"/>
      <c r="X56" s="108"/>
      <c r="Y56" s="108"/>
      <c r="Z56" s="108"/>
    </row>
    <row r="57">
      <c r="A57" s="149" t="str">
        <f>IFERROR(__xludf.DUMMYFUNCTION("""COMPUTED_VALUE"""),"0.51.0")</f>
        <v>0.51.0</v>
      </c>
      <c r="B57" s="174" t="str">
        <f>IFERROR(__xludf.DUMMYFUNCTION("""COMPUTED_VALUE"""),"&lt;en-US&gt;
- New Fighter: Dynamo Speedster, Cal. He loves bananas and challenging other racers! His Banana car gives him high-damaging AoE attacks!
- Siege &amp; Plunder Mode: A new Gang event where rivaling gangs fight within an abandoned military base to earn"&amp;" points and claim Roland's treasures!
- City Defense Mode: A new early-game mode where you set up defenses and obstacles to prevent the enemy from invading what is yours!
&lt;/en-US&gt;
&lt;fr-FR&gt;
- Nouveau combattant: Cal le pilote de course accro aux bananes et"&amp;" aux courses automobiles. Sa voiture-banane inflige de gros dégâts de zone!
- Mode Siège et pillage: un nouvel évènement pendant lequel les gangs s'affrontent dans une base militaire abandonnée pour obtenir des points et mettre la main sur les trésors de "&amp;"Roland.
- Mode Défense de la ville: un nouveau mode en début de jeu pendant lequel vous devrez empêcher les ennemis d'envahir votre ville en y bâtissant des défenses.
&lt;/fr-FR&gt;
&lt;de-DE&gt;
 - Neuer Fighter: Explosive Speedster, Cal. Er liebt Bananen und forder"&amp;"t andere Rennfahrer heraus! Sein Bananenauto führt zu hochschädlichen AoE-Angriffen!
 - Neuer Belagerungs-Plünderungsmodus: Ein neues Gang-Event, bei dem rivalisierende Banden innerhalb einer verlassenen Militärbasis kämpfen, um Punkte zu verdienen und R"&amp;"olands Schätze einzufordern!
 - Neuer Stadtverteidigungsmodus: Ein neuer Frühspielmodus, in dem du Verteidigung und Hindernisse einrichtest, um zu verhindern, dass der Feind in das eindringt, was dir gehört!
&lt;/de-DE&gt;
&lt;pt-BR&gt;
- Novo combatente: Cal, o vel"&amp;"ocista dinâmico. Ele adora bananas e desafiar outros corredores! Usa o carro em forma de banana para causar poderosos danos de área!
- Novo modo de Cerco e Pilhagem: Um novo evento onde gangues rivais lutam em uma base militar abandonada para obter pontos"&amp;" e reivindicar os tesouros de Roland!
- Novo modo de Defesa da Cidade: Um novo modo do começo do jogo onde você monta defesas e obstáculos para impedir que o inimigo invada seu território!
&lt;/pt-BR&gt;
&lt;zh-HK&gt;
-新增鬥士：爆裂飛車-卡爾，愛香蕉，也愛挑戰極限的賽車手！香蕉戰車帶給卡爾強力的範圍傷害！
-新"&amp;"增攻城掠地玩法： 新的幫派活動玩法，在廢棄軍事基地中，猿族幫派相互攻伐，收集戰略積分、爭奪羅蘭寶藏！
-新增城市防衛玩法：遊戲初期新玩法，合理佈置軍隊與障礙物，阻止敵人入侵城市吧！
&lt;/zh-HK&gt;
&lt;zh-TW&gt;
-新增鬥士：爆裂飛車-卡爾，愛香蕉，也愛挑戰極限的賽車手！香蕉戰車帶給卡爾強力的範圍傷害！
-新增攻城掠地玩法： 新的幫派活動玩法，在廢棄軍事基地中，猿族幫派相互攻伐，收集戰略積分、爭奪羅蘭寶藏！
-新增城市防衛玩法：遊戲初期新玩法，合理佈置軍隊與障礙物，阻止敵人入侵城市吧！
&lt;/zh-"&amp;"TW&gt;
&lt;id&gt;
- Pejuang Baru: Dinamo Kencang - Cal, pembalap yang suka pisang dan menantang limit! Kendaraan Pisang memberikan Cal Damage AoE yang kuat! 
- Baru! Pengepungan Kota: Event geng baru, Geng Kera saling bertarung di dalam balai kota militer terbeng"&amp;"kalai, kumpulkan poin strategi dan rebut harta Roland! 
- Baru! Penjagaan Balai Kota: Mode baru game dasar. Atur prajurit dan penghalang, cegah musuh menyerang kota! 
&lt;/id&gt;
&lt;th&gt;
- นักสู้ใหม่ : รถเหาะระเบิด-แคล นักแข่งรถที่ชอบกินกล้วยและชอบความท้าทาย! รถร"&amp;"บกล้วยทำให้แคลดาเมจในวงกว้างได้มหาศาล!
- เกมเพลย์ใหม่บุกยึดเมือง : กิจกรรมแก๊งค์ใหม่ เป็นการโจมตีระหว่างแก๊งค์ลิงในฐานการทหารร้าง เพื่อชิงขุมทรัพย์ของโรแลนด์!
- เกมเพลย์ปกป้องเมืองใหม่ : เกมเพลย์ใหม่ในช่วงแรกของเกม จัดกองทัพและสิ่งกีดขวางให้เหมาะสม เพื่"&amp;"อขัดขวางการบุกรุกเมืองของศัตรูกันเลย!
&lt;/th&gt;
&lt;es-419&gt;
- Luchador nuevo: Dínamo veloz, Cal. ¡Adora las bananas y desafiar a otros corredores! Su automóvil de banana le permite propinar ataques de AdE que infligen mucho daño.
- Modo Asedio y Saqueo:¡Un even"&amp;"to nuevo en el que bandas rivales luchan en una base militar abandonada con el objetivo de ganar puntos y hacerse con los tesoros de Roland!
- Modo Defensa de ciudad: ¡Un modo de juego reciente en el que estableces defensas y obstáculos para evitar que e"&amp;"l enemigo invada lo que es tuyo! 
&lt;/es-419&gt;
&lt;ru-RU&gt;
– Новый герой: скоростной гонщик Кэл. Он любит бананы и состязаться с другими гонщиками! Его бананомобиль позволяет ему проводить разрушительные атаки по области!
– Режим «Осада и грабеж»: новое событие"&amp;" для банд, в котором соперничающие банды сражаются на территории заброшенной военной базы, зарабатывают очки и захватывают сокровища Роланда!
– Режим «Оборона города»: новый режим для ранних стадий игры, в котором вы устанавливаете оборонительные сооруже"&amp;"ния и препятствия, чтобы не дать врагу захватить вашу собственность!
&lt;/ru-RU&gt;
&lt;tr-TR&gt;
- Yeni Savaşçı: Hız Tutkunu Cal. Kendisi muza ve diğer yarışçılara meydan okumaya bayılır! Muz arabasıyla yüksek Etki Alanı Hasarı verir!
- Yeni Kuşatma ve Yağma Modu: "&amp;"Rakip çetelerin puan toplayıp Roland'ın hazinelerini ele geçirmek için terk edilmiş bir askeri üste savaştığı yeni bir Çete etkinliği!
- Yeni Şehir Savunma Modu: Düşmanların senin bölgeni işgal etmesini engellemek için savunmaya geçip engeller kurduğun b"&amp;"ir oyun başlangıcı modu!
&lt;/tr-TR&gt;
&lt;vi&gt;
- Chiến Binh mới: Tốc Độ Bùng Nổ - Cal, tay đua yêu thích chuối, yêu thích thách thức giới hạn! Chiến Xa Chuối mang lại cho Cal sát thương diện rộng mạnh mẽ! 
- Lối chơi mới Công Thành Đoạt Đất: Lối chơi sự kiện Ban"&amp;"g Hội mới, ở trong căn cứ quân sự bỏ hoang, các Bang Hội Tộc Vượn tấn công lẫn nhau, thu thập Điểm Chiến Lược, tranh đoạt Kho Báu của Roland! 
- Lối chơi Bảo Vệ Thành Phố mới: Lối chơi mới giai đoạn đầu game, hợp lý bố cục quân đội và chướng ngại vật, ng"&amp;"ăn cản kẻ địch xâm lược thành phố nào! 
&lt;/vi&gt;
&lt;it-IT&gt;
- Nuovo Combattente: il Velocista scoppiettante, Cal. Adora le banane e sfidare altri piloti! La sua auto a banana gli conferisce attacchi AdE che infliggono ingenti danni!
- Nuova modalità Assedi e s"&amp;"accheggi: un nuovo evento per le Gang in cui Gang rivali combattono all'interno di una base militare abbandonata per ottenere punti e rivendicare il tesoro di Roland!
- Nuova modalità Difesa della città: una nuova modalità nelle prime fasi del gioco in c"&amp;"ui configuri difese e ostacoli per impedire al nemico di invadere la tua città!
&lt;/it-IT&gt;
&lt;pl-PL&gt;
- Nowy Wojownik: Niepowstrzymany wyścigowiec – Cal. Uwielbia banany i rywalizację z innymi zawodnikami! Jego Bananowóz zapewnia ataki obszarowe o dużej sile r"&amp;"ażenia!
- Tryb Oblegaj i plądruj: Nowe wydarzenie dla Gangów, w którym Gangi rywalizują ze sobą w opuszczonej bazie wojskowej, aby zdobywać punkty i szukać skarbów Rolanda!
- Tryb Obrona miasta: Nowy tryb na wczesnym etapie rozgrywki, w którym ustawiasz"&amp;" obronę i przeszkody, aby uniemożliwić wrogowi inwazję na swój teren!
&lt;/pl-PL&gt;
&lt;ar&gt;
- مقاتل جديد: سرعة الانفجار، كال. يحب الموز ويتحدى المتسابقين الآخرين! سيارته الموزة تمنحه هجمات نطاق شديدة الضرر!
- وضع الحصار والنهب: حدث عصابة جديد حيث تقاتل العصابات "&amp;"المتنافسة داخل قاعدة عسكرية مهجورة لكسب النقاط وربح كنوز رولاند!
- وضع دفاع المدينة: وضع جديد للعبة المبكرة حيث تقوم بإعداد الدفاعات والعقبات لمنع العدو من غزو ما هو لك!
&lt;/ar&gt;
")</f>
        <v>&lt;en-US&gt;
- New Fighter: Dynamo Speedster, Cal. He loves bananas and challenging other racers! His Banana car gives him high-damaging AoE attacks!
- Siege &amp; Plunder Mode: A new Gang event where rivaling gangs fight within an abandoned military base to earn points and claim Roland's treasures!
- City Defense Mode: A new early-game mode where you set up defenses and obstacles to prevent the enemy from invading what is yours!
&lt;/en-US&gt;
&lt;fr-FR&gt;
- Nouveau combattant: Cal le pilote de course accro aux bananes et aux courses automobiles. Sa voiture-banane inflige de gros dégâts de zone!
- Mode Siège et pillage: un nouvel évènement pendant lequel les gangs s'affrontent dans une base militaire abandonnée pour obtenir des points et mettre la main sur les trésors de Roland.
- Mode Défense de la ville: un nouveau mode en début de jeu pendant lequel vous devrez empêcher les ennemis d'envahir votre ville en y bâtissant des défenses.
&lt;/fr-FR&gt;
&lt;de-DE&gt;
 - Neuer Fighter: Explosive Speedster, Cal. Er liebt Bananen und fordert andere Rennfahrer heraus! Sein Bananenauto führt zu hochschädlichen AoE-Angriffen!
 - Neuer Belagerungs-Plünderungsmodus: Ein neues Gang-Event, bei dem rivalisierende Banden innerhalb einer verlassenen Militärbasis kämpfen, um Punkte zu verdienen und Rolands Schätze einzufordern!
 - Neuer Stadtverteidigungsmodus: Ein neuer Frühspielmodus, in dem du Verteidigung und Hindernisse einrichtest, um zu verhindern, dass der Feind in das eindringt, was dir gehört!
&lt;/de-DE&gt;
&lt;pt-BR&gt;
- Novo combatente: Cal, o velocista dinâmico. Ele adora bananas e desafiar outros corredores! Usa o carro em forma de banana para causar poderosos danos de área!
- Novo modo de Cerco e Pilhagem: Um novo evento onde gangues rivais lutam em uma base militar abandonada para obter pontos e reivindicar os tesouros de Roland!
- Novo modo de Defesa da Cidade: Um novo modo do começo do jogo onde você monta defesas e obstáculos para impedir que o inimigo invada seu território!
&lt;/pt-BR&gt;
&lt;zh-HK&gt;
-新增鬥士：爆裂飛車-卡爾，愛香蕉，也愛挑戰極限的賽車手！香蕉戰車帶給卡爾強力的範圍傷害！
-新增攻城掠地玩法： 新的幫派活動玩法，在廢棄軍事基地中，猿族幫派相互攻伐，收集戰略積分、爭奪羅蘭寶藏！
-新增城市防衛玩法：遊戲初期新玩法，合理佈置軍隊與障礙物，阻止敵人入侵城市吧！
&lt;/zh-HK&gt;
&lt;zh-TW&gt;
-新增鬥士：爆裂飛車-卡爾，愛香蕉，也愛挑戰極限的賽車手！香蕉戰車帶給卡爾強力的範圍傷害！
-新增攻城掠地玩法： 新的幫派活動玩法，在廢棄軍事基地中，猿族幫派相互攻伐，收集戰略積分、爭奪羅蘭寶藏！
-新增城市防衛玩法：遊戲初期新玩法，合理佈置軍隊與障礙物，阻止敵人入侵城市吧！
&lt;/zh-TW&gt;
&lt;id&gt;
- Pejuang Baru: Dinamo Kencang - Cal, pembalap yang suka pisang dan menantang limit! Kendaraan Pisang memberikan Cal Damage AoE yang kuat! 
- Baru! Pengepungan Kota: Event geng baru, Geng Kera saling bertarung di dalam balai kota militer terbengkalai, kumpulkan poin strategi dan rebut harta Roland! 
- Baru! Penjagaan Balai Kota: Mode baru game dasar. Atur prajurit dan penghalang, cegah musuh menyerang kota! 
&lt;/id&gt;
&lt;th&gt;
- นักสู้ใหม่ : รถเหาะระเบิด-แคล นักแข่งรถที่ชอบกินกล้วยและชอบความท้าทาย! รถรบกล้วยทำให้แคลดาเมจในวงกว้างได้มหาศาล!
- เกมเพลย์ใหม่บุกยึดเมือง : กิจกรรมแก๊งค์ใหม่ เป็นการโจมตีระหว่างแก๊งค์ลิงในฐานการทหารร้าง เพื่อชิงขุมทรัพย์ของโรแลนด์!
- เกมเพลย์ปกป้องเมืองใหม่ : เกมเพลย์ใหม่ในช่วงแรกของเกม จัดกองทัพและสิ่งกีดขวางให้เหมาะสม เพื่อขัดขวางการบุกรุกเมืองของศัตรูกันเลย!
&lt;/th&gt;
&lt;es-419&gt;
- Luchador nuevo: Dínamo veloz, Cal. ¡Adora las bananas y desafiar a otros corredores! Su automóvil de banana le permite propinar ataques de AdE que infligen mucho daño.
- Modo Asedio y Saqueo:¡Un evento nuevo en el que bandas rivales luchan en una base militar abandonada con el objetivo de ganar puntos y hacerse con los tesoros de Roland!
- Modo Defensa de ciudad: ¡Un modo de juego reciente en el que estableces defensas y obstáculos para evitar que el enemigo invada lo que es tuyo! 
&lt;/es-419&gt;
&lt;ru-RU&gt;
– Новый герой: скоростной гонщик Кэл. Он любит бананы и состязаться с другими гонщиками! Его бананомобиль позволяет ему проводить разрушительные атаки по области!
– Режим «Осада и грабеж»: новое событие для банд, в котором соперничающие банды сражаются на территории заброшенной военной базы, зарабатывают очки и захватывают сокровища Роланда!
– Режим «Оборона города»: новый режим для ранних стадий игры, в котором вы устанавливаете оборонительные сооружения и препятствия, чтобы не дать врагу захватить вашу собственность!
&lt;/ru-RU&gt;
&lt;tr-TR&gt;
- Yeni Savaşçı: Hız Tutkunu Cal. Kendisi muza ve diğer yarışçılara meydan okumaya bayılır! Muz arabasıyla yüksek Etki Alanı Hasarı verir!
- Yeni Kuşatma ve Yağma Modu: Rakip çetelerin puan toplayıp Roland'ın hazinelerini ele geçirmek için terk edilmiş bir askeri üste savaştığı yeni bir Çete etkinliği!
- Yeni Şehir Savunma Modu: Düşmanların senin bölgeni işgal etmesini engellemek için savunmaya geçip engeller kurduğun bir oyun başlangıcı modu!
&lt;/tr-TR&gt;
&lt;vi&gt;
- Chiến Binh mới: Tốc Độ Bùng Nổ - Cal, tay đua yêu thích chuối, yêu thích thách thức giới hạn! Chiến Xa Chuối mang lại cho Cal sát thương diện rộng mạnh mẽ! 
- Lối chơi mới Công Thành Đoạt Đất: Lối chơi sự kiện Bang Hội mới, ở trong căn cứ quân sự bỏ hoang, các Bang Hội Tộc Vượn tấn công lẫn nhau, thu thập Điểm Chiến Lược, tranh đoạt Kho Báu của Roland! 
- Lối chơi Bảo Vệ Thành Phố mới: Lối chơi mới giai đoạn đầu game, hợp lý bố cục quân đội và chướng ngại vật, ngăn cản kẻ địch xâm lược thành phố nào! 
&lt;/vi&gt;
&lt;it-IT&gt;
- Nuovo Combattente: il Velocista scoppiettante, Cal. Adora le banane e sfidare altri piloti! La sua auto a banana gli conferisce attacchi AdE che infliggono ingenti danni!
- Nuova modalità Assedi e saccheggi: un nuovo evento per le Gang in cui Gang rivali combattono all'interno di una base militare abbandonata per ottenere punti e rivendicare il tesoro di Roland!
- Nuova modalità Difesa della città: una nuova modalità nelle prime fasi del gioco in cui configuri difese e ostacoli per impedire al nemico di invadere la tua città!
&lt;/it-IT&gt;
&lt;pl-PL&gt;
- Nowy Wojownik: Niepowstrzymany wyścigowiec – Cal. Uwielbia banany i rywalizację z innymi zawodnikami! Jego Bananowóz zapewnia ataki obszarowe o dużej sile rażenia!
- Tryb Oblegaj i plądruj: Nowe wydarzenie dla Gangów, w którym Gangi rywalizują ze sobą w opuszczonej bazie wojskowej, aby zdobywać punkty i szukać skarbów Rolanda!
- Tryb Obrona miasta: Nowy tryb na wczesnym etapie rozgrywki, w którym ustawiasz obronę i przeszkody, aby uniemożliwić wrogowi inwazję na swój teren!
&lt;/pl-PL&gt;
&lt;ar&gt;
- مقاتل جديد: سرعة الانفجار، كال. يحب الموز ويتحدى المتسابقين الآخرين! سيارته الموزة تمنحه هجمات نطاق شديدة الضرر!
- وضع الحصار والنهب: حدث عصابة جديد حيث تقاتل العصابات المتنافسة داخل قاعدة عسكرية مهجورة لكسب النقاط وربح كنوز رولاند!
- وضع دفاع المدينة: وضع جديد للعبة المبكرة حيث تقوم بإعداد الدفاعات والعقبات لمنع العدو من غزو ما هو لك!
&lt;/ar&gt;
</v>
      </c>
      <c r="C57" s="44" t="str">
        <f>IFERROR(__xludf.DUMMYFUNCTION("""COMPUTED_VALUE"""),"-新增斗士：爆裂飞车-卡尔，爱香蕉，也爱挑战极限的赛车手！香蕉战车带给卡尔强力的范围伤害！ 
-新增攻城掠地玩法： 新的帮派活动玩法，在废弃军事基地中，猿族帮派相互攻伐，收集战略积分、争夺罗兰宝藏！ 
-新增城市防卫玩法：游戏初期新玩法，合理布置军队与障碍物，阻止敌人入侵城市吧！")</f>
        <v>-新增斗士：爆裂飞车-卡尔，爱香蕉，也爱挑战极限的赛车手！香蕉战车带给卡尔强力的范围伤害！ 
-新增攻城掠地玩法： 新的帮派活动玩法，在废弃军事基地中，猿族帮派相互攻伐，收集战略积分、争夺罗兰宝藏！ 
-新增城市防卫玩法：游戏初期新玩法，合理布置军队与障碍物，阻止敌人入侵城市吧！</v>
      </c>
      <c r="D57" s="159" t="str">
        <f>IFERROR(__xludf.DUMMYFUNCTION("""COMPUTED_VALUE"""),"- New Fighter: Dynamo Speedster, Cal. He loves bananas and challenging other racers! His Banana car gives him high-damaging AoE attacks!
- Siege &amp; Plunder Mode: A new Gang event where rivaling gangs fight within an abandoned military base to earn points "&amp;"and claim Roland's treasures!
- City Defense Mode: A new early-game mode where you set up defenses and obstacles to prevent the enemy from invading what is yours!")</f>
        <v>- New Fighter: Dynamo Speedster, Cal. He loves bananas and challenging other racers! His Banana car gives him high-damaging AoE attacks!
- Siege &amp; Plunder Mode: A new Gang event where rivaling gangs fight within an abandoned military base to earn points and claim Roland's treasures!
- City Defense Mode: A new early-game mode where you set up defenses and obstacles to prevent the enemy from invading what is yours!</v>
      </c>
      <c r="E57" s="159" t="str">
        <f>IFERROR(__xludf.DUMMYFUNCTION("""COMPUTED_VALUE"""),"- Nouveau combattant: Cal le pilote de course accro aux bananes et aux courses automobiles. Sa voiture-banane inflige de gros dégâts de zone!
- Mode Siège et pillage: un nouvel évènement pendant lequel les gangs s'affrontent dans une base militaire abando"&amp;"nnée pour obtenir des points et mettre la main sur les trésors de Roland.
- Mode Défense de la ville: un nouveau mode en début de jeu pendant lequel vous devrez empêcher les ennemis d'envahir votre ville en y bâtissant des défenses.")</f>
        <v>- Nouveau combattant: Cal le pilote de course accro aux bananes et aux courses automobiles. Sa voiture-banane inflige de gros dégâts de zone!
- Mode Siège et pillage: un nouvel évènement pendant lequel les gangs s'affrontent dans une base militaire abandonnée pour obtenir des points et mettre la main sur les trésors de Roland.
- Mode Défense de la ville: un nouveau mode en début de jeu pendant lequel vous devrez empêcher les ennemis d'envahir votre ville en y bâtissant des défenses.</v>
      </c>
      <c r="F57" s="159" t="str">
        <f>IFERROR(__xludf.DUMMYFUNCTION("""COMPUTED_VALUE""")," - Neuer Fighter: Explosive Speedster, Cal. Er liebt Bananen und fordert andere Rennfahrer heraus! Sein Bananenauto führt zu hochschädlichen AoE-Angriffen!
 - Neuer Belagerungs-Plünderungsmodus: Ein neues Gang-Event, bei dem rivalisierende Banden innerha"&amp;"lb einer verlassenen Militärbasis kämpfen, um Punkte zu verdienen und Rolands Schätze einzufordern!
 - Neuer Stadtverteidigungsmodus: Ein neuer Frühspielmodus, in dem du Verteidigung und Hindernisse einrichtest, um zu verhindern, dass der Feind in das ei"&amp;"ndringt, was dir gehört!")</f>
        <v> - Neuer Fighter: Explosive Speedster, Cal. Er liebt Bananen und fordert andere Rennfahrer heraus! Sein Bananenauto führt zu hochschädlichen AoE-Angriffen!
 - Neuer Belagerungs-Plünderungsmodus: Ein neues Gang-Event, bei dem rivalisierende Banden innerhalb einer verlassenen Militärbasis kämpfen, um Punkte zu verdienen und Rolands Schätze einzufordern!
 - Neuer Stadtverteidigungsmodus: Ein neuer Frühspielmodus, in dem du Verteidigung und Hindernisse einrichtest, um zu verhindern, dass der Feind in das eindringt, was dir gehört!</v>
      </c>
      <c r="G57" s="159" t="str">
        <f>IFERROR(__xludf.DUMMYFUNCTION("""COMPUTED_VALUE"""),"- Novo combatente: Cal, o velocista dinâmico. Ele adora bananas e desafiar outros corredores! Usa o carro em forma de banana para causar poderosos danos de área!
- Novo modo de Cerco e Pilhagem: Um novo evento onde gangues rivais lutam em uma base militar"&amp;" abandonada para obter pontos e reivindicar os tesouros de Roland!
- Novo modo de Defesa da Cidade: Um novo modo do começo do jogo onde você monta defesas e obstáculos para impedir que o inimigo invada seu território!")</f>
        <v>- Novo combatente: Cal, o velocista dinâmico. Ele adora bananas e desafiar outros corredores! Usa o carro em forma de banana para causar poderosos danos de área!
- Novo modo de Cerco e Pilhagem: Um novo evento onde gangues rivais lutam em uma base militar abandonada para obter pontos e reivindicar os tesouros de Roland!
- Novo modo de Defesa da Cidade: Um novo modo do começo do jogo onde você monta defesas e obstáculos para impedir que o inimigo invada seu território!</v>
      </c>
      <c r="H57" s="159" t="str">
        <f>IFERROR(__xludf.DUMMYFUNCTION("""COMPUTED_VALUE"""),"-新增鬥士：爆裂飛車-卡爾，愛香蕉，也愛挑戰極限的賽車手！香蕉戰車帶給卡爾強力的範圍傷害！
-新增攻城掠地玩法： 新的幫派活動玩法，在廢棄軍事基地中，猿族幫派相互攻伐，收集戰略積分、爭奪羅蘭寶藏！
-新增城市防衛玩法：遊戲初期新玩法，合理佈置軍隊與障礙物，阻止敵人入侵城市吧！")</f>
        <v>-新增鬥士：爆裂飛車-卡爾，愛香蕉，也愛挑戰極限的賽車手！香蕉戰車帶給卡爾強力的範圍傷害！
-新增攻城掠地玩法： 新的幫派活動玩法，在廢棄軍事基地中，猿族幫派相互攻伐，收集戰略積分、爭奪羅蘭寶藏！
-新增城市防衛玩法：遊戲初期新玩法，合理佈置軍隊與障礙物，阻止敵人入侵城市吧！</v>
      </c>
      <c r="I57" s="159" t="str">
        <f>IFERROR(__xludf.DUMMYFUNCTION("""COMPUTED_VALUE"""),"- Pejuang Baru: Dinamo Kencang - Cal, pembalap yang suka pisang dan menantang limit! Kendaraan Pisang memberikan Cal Damage AoE yang kuat! 
- Baru! Pengepungan Kota: Event geng baru, Geng Kera saling bertarung di dalam balai kota militer terbengkalai, ku"&amp;"mpulkan poin strategi dan rebut harta Roland! 
- Baru! Penjagaan Balai Kota: Mode baru game dasar. Atur prajurit dan penghalang, cegah musuh menyerang kota! ")</f>
        <v>- Pejuang Baru: Dinamo Kencang - Cal, pembalap yang suka pisang dan menantang limit! Kendaraan Pisang memberikan Cal Damage AoE yang kuat! 
- Baru! Pengepungan Kota: Event geng baru, Geng Kera saling bertarung di dalam balai kota militer terbengkalai, kumpulkan poin strategi dan rebut harta Roland! 
- Baru! Penjagaan Balai Kota: Mode baru game dasar. Atur prajurit dan penghalang, cegah musuh menyerang kota! </v>
      </c>
      <c r="J57" s="159" t="str">
        <f>IFERROR(__xludf.DUMMYFUNCTION("""COMPUTED_VALUE"""),"- นักสู้ใหม่ : รถเหาะระเบิด-แคล นักแข่งรถที่ชอบกินกล้วยและชอบความท้าทาย! รถรบกล้วยทำให้แคลดาเมจในวงกว้างได้มหาศาล!
- เกมเพลย์ใหม่บุกยึดเมือง : กิจกรรมแก๊งค์ใหม่ เป็นการโจมตีระหว่างแก๊งค์ลิงในฐานการทหารร้าง เพื่อชิงขุมทรัพย์ของโรแลนด์!
- เกมเพลย์ปกป้องเม"&amp;"ืองใหม่ : เกมเพลย์ใหม่ในช่วงแรกของเกม จัดกองทัพและสิ่งกีดขวางให้เหมาะสม เพื่อขัดขวางการบุกรุกเมืองของศัตรูกันเลย!")</f>
        <v>- นักสู้ใหม่ : รถเหาะระเบิด-แคล นักแข่งรถที่ชอบกินกล้วยและชอบความท้าทาย! รถรบกล้วยทำให้แคลดาเมจในวงกว้างได้มหาศาล!
- เกมเพลย์ใหม่บุกยึดเมือง : กิจกรรมแก๊งค์ใหม่ เป็นการโจมตีระหว่างแก๊งค์ลิงในฐานการทหารร้าง เพื่อชิงขุมทรัพย์ของโรแลนด์!
- เกมเพลย์ปกป้องเมืองใหม่ : เกมเพลย์ใหม่ในช่วงแรกของเกม จัดกองทัพและสิ่งกีดขวางให้เหมาะสม เพื่อขัดขวางการบุกรุกเมืองของศัตรูกันเลย!</v>
      </c>
      <c r="K57" s="159" t="str">
        <f>IFERROR(__xludf.DUMMYFUNCTION("""COMPUTED_VALUE"""),"- Luchador nuevo: Dínamo veloz, Cal. ¡Adora las bananas y desafiar a otros corredores! Su automóvil de banana le permite propinar ataques de AdE que infligen mucho daño.
- Modo Asedio y Saqueo:¡Un evento nuevo en el que bandas rivales luchan en una base "&amp;"militar abandonada con el objetivo de ganar puntos y hacerse con los tesoros de Roland!
- Modo Defensa de ciudad: ¡Un modo de juego reciente en el que estableces defensas y obstáculos para evitar que el enemigo invada lo que es tuyo! ")</f>
        <v>- Luchador nuevo: Dínamo veloz, Cal. ¡Adora las bananas y desafiar a otros corredores! Su automóvil de banana le permite propinar ataques de AdE que infligen mucho daño.
- Modo Asedio y Saqueo:¡Un evento nuevo en el que bandas rivales luchan en una base militar abandonada con el objetivo de ganar puntos y hacerse con los tesoros de Roland!
- Modo Defensa de ciudad: ¡Un modo de juego reciente en el que estableces defensas y obstáculos para evitar que el enemigo invada lo que es tuyo! </v>
      </c>
      <c r="L57" s="159" t="str">
        <f>IFERROR(__xludf.DUMMYFUNCTION("""COMPUTED_VALUE"""),"– Новый герой: скоростной гонщик Кэл. Он любит бананы и состязаться с другими гонщиками! Его бананомобиль позволяет ему проводить разрушительные атаки по области!
– Режим «Осада и грабеж»: новое событие для банд, в котором соперничающие банды сражаются н"&amp;"а территории заброшенной военной базы, зарабатывают очки и захватывают сокровища Роланда!
– Режим «Оборона города»: новый режим для ранних стадий игры, в котором вы устанавливаете оборонительные сооружения и препятствия, чтобы не дать врагу захватить ваш"&amp;"у собственность!")</f>
        <v>– Новый герой: скоростной гонщик Кэл. Он любит бананы и состязаться с другими гонщиками! Его бананомобиль позволяет ему проводить разрушительные атаки по области!
– Режим «Осада и грабеж»: новое событие для банд, в котором соперничающие банды сражаются на территории заброшенной военной базы, зарабатывают очки и захватывают сокровища Роланда!
– Режим «Оборона города»: новый режим для ранних стадий игры, в котором вы устанавливаете оборонительные сооружения и препятствия, чтобы не дать врагу захватить вашу собственность!</v>
      </c>
      <c r="M57" s="159" t="str">
        <f>IFERROR(__xludf.DUMMYFUNCTION("""COMPUTED_VALUE"""),"- Yeni Savaşçı: Hız Tutkunu Cal. Kendisi muza ve diğer yarışçılara meydan okumaya bayılır! Muz arabasıyla yüksek Etki Alanı Hasarı verir!
- Yeni Kuşatma ve Yağma Modu: Rakip çetelerin puan toplayıp Roland'ın hazinelerini ele geçirmek için terk edilmiş bi"&amp;"r askeri üste savaştığı yeni bir Çete etkinliği!
- Yeni Şehir Savunma Modu: Düşmanların senin bölgeni işgal etmesini engellemek için savunmaya geçip engeller kurduğun bir oyun başlangıcı modu!")</f>
        <v>- Yeni Savaşçı: Hız Tutkunu Cal. Kendisi muza ve diğer yarışçılara meydan okumaya bayılır! Muz arabasıyla yüksek Etki Alanı Hasarı verir!
- Yeni Kuşatma ve Yağma Modu: Rakip çetelerin puan toplayıp Roland'ın hazinelerini ele geçirmek için terk edilmiş bir askeri üste savaştığı yeni bir Çete etkinliği!
- Yeni Şehir Savunma Modu: Düşmanların senin bölgeni işgal etmesini engellemek için savunmaya geçip engeller kurduğun bir oyun başlangıcı modu!</v>
      </c>
      <c r="N57" s="45" t="str">
        <f>IFERROR(__xludf.DUMMYFUNCTION("""COMPUTED_VALUE"""),"- Chiến Binh mới: Tốc Độ Bùng Nổ - Cal, tay đua yêu thích chuối, yêu thích thách thức giới hạn! Chiến Xa Chuối mang lại cho Cal sát thương diện rộng mạnh mẽ! 
- Lối chơi mới Công Thành Đoạt Đất: Lối chơi sự kiện Bang Hội mới, ở trong căn cứ quân sự bỏ ho"&amp;"ang, các Bang Hội Tộc Vượn tấn công lẫn nhau, thu thập Điểm Chiến Lược, tranh đoạt Kho Báu của Roland! 
- Lối chơi Bảo Vệ Thành Phố mới: Lối chơi mới giai đoạn đầu game, hợp lý bố cục quân đội và chướng ngại vật, ngăn cản kẻ địch xâm lược thành phố nào! ")</f>
        <v>- Chiến Binh mới: Tốc Độ Bùng Nổ - Cal, tay đua yêu thích chuối, yêu thích thách thức giới hạn! Chiến Xa Chuối mang lại cho Cal sát thương diện rộng mạnh mẽ! 
- Lối chơi mới Công Thành Đoạt Đất: Lối chơi sự kiện Bang Hội mới, ở trong căn cứ quân sự bỏ hoang, các Bang Hội Tộc Vượn tấn công lẫn nhau, thu thập Điểm Chiến Lược, tranh đoạt Kho Báu của Roland! 
- Lối chơi Bảo Vệ Thành Phố mới: Lối chơi mới giai đoạn đầu game, hợp lý bố cục quân đội và chướng ngại vật, ngăn cản kẻ địch xâm lược thành phố nào! </v>
      </c>
      <c r="O57" s="45" t="str">
        <f>IFERROR(__xludf.DUMMYFUNCTION("""COMPUTED_VALUE"""),"- Nuovo Combattente: il Velocista scoppiettante, Cal. Adora le banane e sfidare altri piloti! La sua auto a banana gli conferisce attacchi AdE che infliggono ingenti danni!
- Nuova modalità Assedi e saccheggi: un nuovo evento per le Gang in cui Gang riva"&amp;"li combattono all'interno di una base militare abbandonata per ottenere punti e rivendicare il tesoro di Roland!
- Nuova modalità Difesa della città: una nuova modalità nelle prime fasi del gioco in cui configuri difese e ostacoli per impedire al nemico "&amp;"di invadere la tua città!")</f>
        <v>- Nuovo Combattente: il Velocista scoppiettante, Cal. Adora le banane e sfidare altri piloti! La sua auto a banana gli conferisce attacchi AdE che infliggono ingenti danni!
- Nuova modalità Assedi e saccheggi: un nuovo evento per le Gang in cui Gang rivali combattono all'interno di una base militare abbandonata per ottenere punti e rivendicare il tesoro di Roland!
- Nuova modalità Difesa della città: una nuova modalità nelle prime fasi del gioco in cui configuri difese e ostacoli per impedire al nemico di invadere la tua città!</v>
      </c>
      <c r="P57" s="34" t="str">
        <f>IFERROR(__xludf.DUMMYFUNCTION("""COMPUTED_VALUE"""),"- Nowy Wojownik: Niepowstrzymany wyścigowiec – Cal. Uwielbia banany i rywalizację z innymi zawodnikami! Jego Bananowóz zapewnia ataki obszarowe o dużej sile rażenia!
- Tryb Oblegaj i plądruj: Nowe wydarzenie dla Gangów, w którym Gangi rywalizują ze sobą "&amp;"w opuszczonej bazie wojskowej, aby zdobywać punkty i szukać skarbów Rolanda!
- Tryb Obrona miasta: Nowy tryb na wczesnym etapie rozgrywki, w którym ustawiasz obronę i przeszkody, aby uniemożliwić wrogowi inwazję na swój teren!")</f>
        <v>- Nowy Wojownik: Niepowstrzymany wyścigowiec – Cal. Uwielbia banany i rywalizację z innymi zawodnikami! Jego Bananowóz zapewnia ataki obszarowe o dużej sile rażenia!
- Tryb Oblegaj i plądruj: Nowe wydarzenie dla Gangów, w którym Gangi rywalizują ze sobą w opuszczonej bazie wojskowej, aby zdobywać punkty i szukać skarbów Rolanda!
- Tryb Obrona miasta: Nowy tryb na wczesnym etapie rozgrywki, w którym ustawiasz obronę i przeszkody, aby uniemożliwić wrogowi inwazję na swój teren!</v>
      </c>
      <c r="Q57" s="34" t="str">
        <f>IFERROR(__xludf.DUMMYFUNCTION("""COMPUTED_VALUE"""),"- مقاتل جديد: سرعة الانفجار، كال. يحب الموز ويتحدى المتسابقين الآخرين! سيارته الموزة تمنحه هجمات نطاق شديدة الضرر!
- وضع الحصار والنهب: حدث عصابة جديد حيث تقاتل العصابات المتنافسة داخل قاعدة عسكرية مهجورة لكسب النقاط وربح كنوز رولاند!
- وضع دفاع المدينة"&amp;": وضع جديد للعبة المبكرة حيث تقوم بإعداد الدفاعات والعقبات لمنع العدو من غزو ما هو لك!")</f>
        <v>- مقاتل جديد: سرعة الانفجار، كال. يحب الموز ويتحدى المتسابقين الآخرين! سيارته الموزة تمنحه هجمات نطاق شديدة الضرر!
- وضع الحصار والنهب: حدث عصابة جديد حيث تقاتل العصابات المتنافسة داخل قاعدة عسكرية مهجورة لكسب النقاط وربح كنوز رولاند!
- وضع دفاع المدينة: وضع جديد للعبة المبكرة حيث تقوم بإعداد الدفاعات والعقبات لمنع العدو من غزو ما هو لك!</v>
      </c>
      <c r="R57" s="34"/>
      <c r="S57" s="34"/>
      <c r="T57" s="108"/>
      <c r="U57" s="108"/>
      <c r="V57" s="108"/>
      <c r="W57" s="108"/>
      <c r="X57" s="108"/>
      <c r="Y57" s="108"/>
      <c r="Z57" s="108"/>
    </row>
    <row r="58">
      <c r="A58" s="149" t="str">
        <f>IFERROR(__xludf.DUMMYFUNCTION("""COMPUTED_VALUE"""),"0.51.5.0")</f>
        <v>0.51.5.0</v>
      </c>
      <c r="B58" s="174" t="str">
        <f>IFERROR(__xludf.DUMMYFUNCTION("""COMPUTED_VALUE"""),"&lt;en-US&gt;
-New Technology Festival event:
-Ruin Excavation: Explore scientific ruins and win limited deluxe main city skins and other rich rewards!
-Energy Breakthrough: Increase event level and have a chance to get the new marching skinSplendor of Techno"&amp;"logy!
-Giganto Assault: During the Technology Festival, Dr. Hogg's controlled destructive Gigantos are causing chaos everywhere. Attacking them can earn cumulative points rewards!
-New Language: Added Arabic.
&lt;/en-US&gt;
&lt;fr-FR&gt;
-Évènement du Festival de l"&amp;"a Nouvelle Technologie:
-Excavation de ruines: Explorez des ruines scientifiques et gagnez des skins de ville principale de luxe limités et d'autres récompenses riches!
-Saut d'énergie: Augmentez le niveau de l'évènement et ayez une chance d'obtenir le no"&amp;"uveau skin de marche ""Majesté de la Technologie""!
-Attaque des Gigantos: Pendant le Festival de la Technologie, les Gigantos destructeurs contrôlés par le Dr. Hogg causent le chaos partout. Les attaquer peut rapporter des récompenses de points cumulatif"&amp;"s!
-Nouvelle langue: Ajout de l'arabe.
&lt;/fr-FR&gt;
&lt;de-DE&gt;
-Neues Technologie-Festival-Event:
-Ruinen-Grabung: Erforsche wissenschaftliche Ruinen und gewinne limitierte Deluxe-Hauptstadt-Skins und andere reiche Belohnungen!
-Energie-Sprung: Erhöhe das Even"&amp;"t-Level und habe die Chance, den neuen Marsch-Skin ""Legat der Technologie"" zu erhalten!
-Angriff der Gigantos: Während des Technologie-Festivals verursachen Dr. Hoggs kontrollierte zerstörerische Gigantos überall Chaos. Der Angriff auf sie kann kumulat"&amp;"ive Punktebelohnungen verdienen!
-Neue Sprache: Arabisch hinzugefügt.
&lt;/de-DE&gt;
&lt;pt-BR&gt;
Evento do Festival de Nova Tecnologia:
Escavação de Ruínas: Explore ruínas científicas e ganhe skins de cidade principal de luxo limitadas e outras recompensas valios"&amp;"as!
Salto de Energia: Aumente o nível do evento e tenha a chance de obter a nova skin de marcha ""Esplendor da Tecnologia""!
Ataque dos Gigantos: Durante o Festival de Tecnologia, os Gigantos destrutivos controlados pelo Dr. Hogg estão causando caos em "&amp;"todos os lugares. Atacá-los pode render recompensas de pontos cumulativos!
Novo Idioma: Adicionado o árabe.
&lt;/pt-BR&gt;
&lt;zh-HK&gt;
-新增科技節活動：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-新增語言:"&amp;"增加阿拉伯語
&lt;/zh-HK&gt;
&lt;zh-TW&gt;
-新增科技節活動：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-新增語言:增加阿拉伯語
&lt;/zh-TW&gt;
&lt;id&gt;
- Acara Teknologi Baru:
- Eksplorasi Reruntuhan: Jelajahi reruntuhan ilmiah dan "&amp;"menangkan Skin Istana Kota Mewah terbatas dan hadiah lainnya!
- Lompatan Besar Energi: Tingkatkan level acara dan dapatkan Skin Berbaris baru ""Splendor Teknologi""!
- Serangan Gigantos: Selama acara Teknologi, Gigantos kehancuran yang dikendalikan oleh"&amp;" Dr. Hogg menyerang di mana-mana. Seranglah mereka untuk mendapatkan hadiah poin kumulatif!
- Bahasa baru: Menambahkan bahasa Arab.
&lt;/id&gt;
&lt;th&gt;
- เพิ่มกิจกรรมเทคโนโลยีใหม่:
- การขุดสำรวจซากโบราณ: สำรวจซากโบราณวิทยาศาสตร์เพื่อรับสกินหลักเมืองหรูหราและรางว"&amp;"ัลอื่น ๆ ที่หลากหลาย!
- กระโดดสู่อนาคตของพลังงาน: เพิ่มระดับกิจกรรมและมีโอกาสรับสกินเดินทัพใหม่ ""Splendor""!
- ก้าวไกลสู่กิจกรรมกำเนิดวานร: ในช่วงเทศกาลเทคโนโลยีนี้ มหาเศรษฐีที่ควบคุมโดยดร.ฮ็อกก์กำลังทำลายทั่วไป การโจมตีมันจะได้รับรางวัลคะแนนสะสม!
- เ"&amp;"พิ่มภาษาอาหรับ
&lt;/th&gt;
&lt;es-419&gt;
Evento del Festival de Nueva Tecnología:
Excavación de Ruinas: ¡Explora las ruinas científicas y gana pieles de ciudad principales de lujo limitadas y otras recompensas valiosas!
Salto de Energía: ¡Aumenta el nivel del even"&amp;"to y tienes la oportunidad de obtener la nueva piel de marcha ""Esplendor de la Tecnología""!
Ataque de los Gigantos: Durante el Festival de Tecnología, los Gigantos destructivos controlados por el Dr. Hogg están causando caos en todas partes. ¡Atacarlos"&amp;" puede ganar recompensas de puntos acumulativos!
Nuevo Idioma: Se agregó el árabe.
&lt;/es-419&gt;
&lt;ru-RU&gt;
Событие «Фестиваль новых технологий»:
-Раскопки руин: Исследуйте научные руины и выиграйте ограниченные роскошные скины для главного города и другие бог"&amp;"атые награды!
-Энергетический прыжок: Повышайте уровень события и получайте шанс получить новый маршевый скин «Великий вождь технологий»!
-Атака Гиганто: Во время Фестиваля технологий контролируемые доктором Хоггом разрушительные Гиганто вызывают хаос п"&amp;"овсюду. Атакуя их, можно заработать кумулятивные очки наград!
-Новый язык: Добавлен арабский.
&lt;/ru-RU&gt;
&lt;tr-TR&gt;
-Yeni Teknoloji Festivali etkinliği:
-Harabe Kazısı: Bilimsel harabeleri keşfet ve sınırlı sayıda lüks ana şehir görünümü ve diğer zengin ödül"&amp;"leri kazan!
-Enerji Sıçraması: Etkinlik seviyesini artır ve yeni yürüyüş görünümü ""Görkemli Teknoloji""yi kazanma şansı yakala!
-Gigantoların Saldırısı: Teknoloji Festivali sırasında, Dr. Hogg'un kontrolündeki yıkıcı Gigantolar her yerde kaos yaratıyor"&amp;". Onları saldırarak birikimli puan ödülleri kazanabilirsin!
-Yeni Dil: Arapça eklendi.
&lt;/tr-TR&gt;
&lt;vi&gt;
-Thêm sự kiện Công Nghệ:
- Tìm Kiếm Tàn Tích: Khám phá tàn tích khoa học, giành được Màu Hỏa Tiễn giới hạn cho Thành Chính và nhiều phần thưởng phong ph"&amp;"ú khác!
- Bước Nhảy Công Nghệ: Nâng cấp cấp độ sự kiện, có cơ hội nhận được Giao Diện Sảnh Hỏa Tiễn mới cho hành quân!
- Vượn Khổng Lồ Tấn Công: Trong sự kiện Công Nghệ, Vượn Khổng Lồ tàn phá do Tiến Sĩ Hogg kiểm soát, tấn công chúng để nhận được phần t"&amp;"hưởng tích lũy điểm!
- Thêm Ngôn Ngữ: Thêm Tiếng Ả Rập.
&lt;/vi&gt;
&lt;it-IT&gt;
Evento del Festival della Nuova Tecnologia:
Scavo dei Ruderi: Esplora i ruderi scientifici e vinci skin deluxe limitate per la città principale e altre ricche ricompense!
Salto energ"&amp;"etico: Aumenta il livello dell'evento e hai la possibilità di ottenere la nuova skin marciante ""Splendore della Tecnologia""!
Attacco dei Gigagorilla: Durante il Festival della Tecnologia, i distruttivi Gigagorilla controllati dal Dottor Hogg stanno cau"&amp;"sando il caos ovunque. Attaccarli può guadagnare punti cumulativi di ricompensa!
Nuova lingua: Aggiunto l'arabo.
&lt;/it-IT&gt;
&lt;pl-PL&gt;
- Nowe wydarzenie technologiczne:
- Wykopaliska: Odkrywaj naukowe ruiny i zdobywaj limitowane skórki dla swojego miasta ora"&amp;"z inne bogate nagrody!
- Wielki skok energetyczny: Zwiększ poziom wydarzenia i zdobądź nową skórkę marszu ""Splendor""!
- Atak gigantycznych małp: Podczas wydarzenia technologicznego, dr Hogg kontroluje gigantyczne małpy, które atakują na każdym kroku. "&amp;"Atakuj je, aby zdobyć nagrody punktowe!
- Nowy język: Dodano język arabski!
&lt;/pl-PL&gt;
&lt;ar&gt;
""حدث مهرجان التكنولوجيا الجديد:
- حفر الأنقاض: استكشف الأنقاض العلمية واربح الجلود الرئيسية المحدودة الفاخرة للمدينة ومكافآت غنية أخرى!
- قفزة الطاقة: زيادة مستو"&amp;"ى الحدث وفرصة للحصول على جلد المسير الجديد """"الفخامة التكنولوجية""""!
- هجوم القرود العملاقة: خلال مهرجان التكنولوجيا، تسبب القرود العملاقة المدمرة المسيطر عليها من قبل الدكتور هوغ في الفوضى في كل مكان. يمكن الحصول على مكافآت نقاط تراكمية عند مهاجمتهم!"&amp;"
- لغة جديدة: تمت إضافة اللغة العربية.""
&lt;/ar&gt;
")</f>
        <v>&lt;en-US&gt;
-New Technology Festival event:
-Ruin Excavation: Explore scientific ruins and win limited deluxe main city skins and other rich rewards!
-Energy Breakthrough: Increase event level and have a chance to get the new marching skinSplendor of Technology!
-Giganto Assault: During the Technology Festival, Dr. Hogg's controlled destructive Gigantos are causing chaos everywhere. Attacking them can earn cumulative points rewards!
-New Language: Added Arabic.
&lt;/en-US&gt;
&lt;fr-FR&gt;
-Évènement du Festival de la Nouvelle Technologie:
-Excavation de ruines: Explorez des ruines scientifiques et gagnez des skins de ville principale de luxe limités et d'autres récompenses riches!
-Saut d'énergie: Augmentez le niveau de l'évènement et ayez une chance d'obtenir le nouveau skin de marche "Majesté de la Technologie"!
-Attaque des Gigantos: Pendant le Festival de la Technologie, les Gigantos destructeurs contrôlés par le Dr. Hogg causent le chaos partout. Les attaquer peut rapporter des récompenses de points cumulatifs!
-Nouvelle langue: Ajout de l'arabe.
&lt;/fr-FR&gt;
&lt;de-DE&gt;
-Neues Technologie-Festival-Event:
-Ruinen-Grabung: Erforsche wissenschaftliche Ruinen und gewinne limitierte Deluxe-Hauptstadt-Skins und andere reiche Belohnungen!
-Energie-Sprung: Erhöhe das Event-Level und habe die Chance, den neuen Marsch-Skin "Legat der Technologie" zu erhalten!
-Angriff der Gigantos: Während des Technologie-Festivals verursachen Dr. Hoggs kontrollierte zerstörerische Gigantos überall Chaos. Der Angriff auf sie kann kumulative Punktebelohnungen verdienen!
-Neue Sprache: Arabisch hinzugefügt.
&lt;/de-DE&gt;
&lt;pt-BR&gt;
Evento do Festival de Nova Tecnologia:
Escavação de Ruínas: Explore ruínas científicas e ganhe skins de cidade principal de luxo limitadas e outras recompensas valiosas!
Salto de Energia: Aumente o nível do evento e tenha a chance de obter a nova skin de marcha "Esplendor da Tecnologia"!
Ataque dos Gigantos: Durante o Festival de Tecnologia, os Gigantos destrutivos controlados pelo Dr. Hogg estão causando caos em todos os lugares. Atacá-los pode render recompensas de pontos cumulativos!
Novo Idioma: Adicionado o árabe.
&lt;/pt-BR&gt;
&lt;zh-HK&gt;
-新增科技節活動：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-新增語言:增加阿拉伯語
&lt;/zh-HK&gt;
&lt;zh-TW&gt;
-新增科技節活動：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-新增語言:增加阿拉伯語
&lt;/zh-TW&gt;
&lt;id&gt;
- Acara Teknologi Baru:
- Eksplorasi Reruntuhan: Jelajahi reruntuhan ilmiah dan menangkan Skin Istana Kota Mewah terbatas dan hadiah lainnya!
- Lompatan Besar Energi: Tingkatkan level acara dan dapatkan Skin Berbaris baru "Splendor Teknologi"!
- Serangan Gigantos: Selama acara Teknologi, Gigantos kehancuran yang dikendalikan oleh Dr. Hogg menyerang di mana-mana. Seranglah mereka untuk mendapatkan hadiah poin kumulatif!
- Bahasa baru: Menambahkan bahasa Arab.
&lt;/id&gt;
&lt;th&gt;
- เพิ่มกิจกรรมเทคโนโลยีใหม่:
- การขุดสำรวจซากโบราณ: สำรวจซากโบราณวิทยาศาสตร์เพื่อรับสกินหลักเมืองหรูหราและรางวัลอื่น ๆ ที่หลากหลาย!
- กระโดดสู่อนาคตของพลังงาน: เพิ่มระดับกิจกรรมและมีโอกาสรับสกินเดินทัพใหม่ "Splendor"!
- ก้าวไกลสู่กิจกรรมกำเนิดวานร: ในช่วงเทศกาลเทคโนโลยีนี้ มหาเศรษฐีที่ควบคุมโดยดร.ฮ็อกก์กำลังทำลายทั่วไป การโจมตีมันจะได้รับรางวัลคะแนนสะสม!
- เพิ่มภาษาอาหรับ
&lt;/th&gt;
&lt;es-419&gt;
Evento del Festival de Nueva Tecnología:
Excavación de Ruinas: ¡Explora las ruinas científicas y gana pieles de ciudad principales de lujo limitadas y otras recompensas valiosas!
Salto de Energía: ¡Aumenta el nivel del evento y tienes la oportunidad de obtener la nueva piel de marcha "Esplendor de la Tecnología"!
Ataque de los Gigantos: Durante el Festival de Tecnología, los Gigantos destructivos controlados por el Dr. Hogg están causando caos en todas partes. ¡Atacarlos puede ganar recompensas de puntos acumulativos!
Nuevo Idioma: Se agregó el árabe.
&lt;/es-419&gt;
&lt;ru-RU&gt;
Событие «Фестиваль новых технологий»:
-Раскопки руин: Исследуйте научные руины и выиграйте ограниченные роскошные скины для главного города и другие богатые награды!
-Энергетический прыжок: Повышайте уровень события и получайте шанс получить новый маршевый скин «Великий вождь технологий»!
-Атака Гиганто: Во время Фестиваля технологий контролируемые доктором Хоггом разрушительные Гиганто вызывают хаос повсюду. Атакуя их, можно заработать кумулятивные очки наград!
-Новый язык: Добавлен арабский.
&lt;/ru-RU&gt;
&lt;tr-TR&gt;
-Yeni Teknoloji Festivali etkinliği:
-Harabe Kazısı: Bilimsel harabeleri keşfet ve sınırlı sayıda lüks ana şehir görünümü ve diğer zengin ödülleri kazan!
-Enerji Sıçraması: Etkinlik seviyesini artır ve yeni yürüyüş görünümü "Görkemli Teknoloji"yi kazanma şansı yakala!
-Gigantoların Saldırısı: Teknoloji Festivali sırasında, Dr. Hogg'un kontrolündeki yıkıcı Gigantolar her yerde kaos yaratıyor. Onları saldırarak birikimli puan ödülleri kazanabilirsin!
-Yeni Dil: Arapça eklendi.
&lt;/tr-TR&gt;
&lt;vi&gt;
-Thêm sự kiện Công Nghệ:
- Tìm Kiếm Tàn Tích: Khám phá tàn tích khoa học, giành được Màu Hỏa Tiễn giới hạn cho Thành Chính và nhiều phần thưởng phong phú khác!
- Bước Nhảy Công Nghệ: Nâng cấp cấp độ sự kiện, có cơ hội nhận được Giao Diện Sảnh Hỏa Tiễn mới cho hành quân!
- Vượn Khổng Lồ Tấn Công: Trong sự kiện Công Nghệ, Vượn Khổng Lồ tàn phá do Tiến Sĩ Hogg kiểm soát, tấn công chúng để nhận được phần thưởng tích lũy điểm!
- Thêm Ngôn Ngữ: Thêm Tiếng Ả Rập.
&lt;/vi&gt;
&lt;it-IT&gt;
Evento del Festival della Nuova Tecnologia:
Scavo dei Ruderi: Esplora i ruderi scientifici e vinci skin deluxe limitate per la città principale e altre ricche ricompense!
Salto energetico: Aumenta il livello dell'evento e hai la possibilità di ottenere la nuova skin marciante "Splendore della Tecnologia"!
Attacco dei Gigagorilla: Durante il Festival della Tecnologia, i distruttivi Gigagorilla controllati dal Dottor Hogg stanno causando il caos ovunque. Attaccarli può guadagnare punti cumulativi di ricompensa!
Nuova lingua: Aggiunto l'arabo.
&lt;/it-IT&gt;
&lt;pl-PL&gt;
- Nowe wydarzenie technologiczne:
- Wykopaliska: Odkrywaj naukowe ruiny i zdobywaj limitowane skórki dla swojego miasta oraz inne bogate nagrody!
- Wielki skok energetyczny: Zwiększ poziom wydarzenia i zdobądź nową skórkę marszu "Splendor"!
- Atak gigantycznych małp: Podczas wydarzenia technologicznego, dr Hogg kontroluje gigantyczne małpy, które atakują na każdym kroku. Atakuj je, aby zdobyć nagrody punktowe!
- Nowy język: Dodano język arabski!
&lt;/pl-PL&gt;
&lt;ar&gt;
"حدث مهرجان التكنولوجيا الجديد:
- حفر الأنقاض: استكشف الأنقاض العلمية واربح الجلود الرئيسية المحدودة الفاخرة للمدينة ومكافآت غنية أخرى!
- قفزة الطاقة: زيادة مستوى الحدث وفرصة للحصول على جلد المسير الجديد ""الفخامة التكنولوجية""!
- هجوم القرود العملاقة: خلال مهرجان التكنولوجيا، تسبب القرود العملاقة المدمرة المسيطر عليها من قبل الدكتور هوغ في الفوضى في كل مكان. يمكن الحصول على مكافآت نقاط تراكمية عند مهاجمتهم!
- لغة جديدة: تمت إضافة اللغة العربية."
&lt;/ar&gt;
</v>
      </c>
      <c r="C58" s="44" t="str">
        <f>IFERROR(__xludf.DUMMYFUNCTION("""COMPUTED_VALUE"""),"-新增科技节活动：
-遗迹探索：探索科学遗迹，赢取限定豪华主城皮肤和其它丰富奖励！
-能源大飞跃：提升活动等级，有机会获取全新行军皮肤“科技光辉”!
-进击的巨猿：科技节期间，霍格博士控制的毁灭巨猿四处作乱，攻击它可以获得累计积分奖励！
-新增语言:增加阿拉伯语")</f>
        <v>-新增科技节活动：
-遗迹探索：探索科学遗迹，赢取限定豪华主城皮肤和其它丰富奖励！
-能源大飞跃：提升活动等级，有机会获取全新行军皮肤“科技光辉”!
-进击的巨猿：科技节期间，霍格博士控制的毁灭巨猿四处作乱，攻击它可以获得累计积分奖励！
-新增语言:增加阿拉伯语</v>
      </c>
      <c r="D58" s="159" t="str">
        <f>IFERROR(__xludf.DUMMYFUNCTION("""COMPUTED_VALUE"""),"-New Technology Festival event:
-Ruin Excavation: Explore scientific ruins and win limited deluxe main city skins and other rich rewards!
-Energy Breakthrough: Increase event level and have a chance to get the new marching skinSplendor of Technology!
-"&amp;"Giganto Assault: During the Technology Festival, Dr. Hogg's controlled destructive Gigantos are causing chaos everywhere. Attacking them can earn cumulative points rewards!
-New Language: Added Arabic.")</f>
        <v>-New Technology Festival event:
-Ruin Excavation: Explore scientific ruins and win limited deluxe main city skins and other rich rewards!
-Energy Breakthrough: Increase event level and have a chance to get the new marching skinSplendor of Technology!
-Giganto Assault: During the Technology Festival, Dr. Hogg's controlled destructive Gigantos are causing chaos everywhere. Attacking them can earn cumulative points rewards!
-New Language: Added Arabic.</v>
      </c>
      <c r="E58" s="159" t="str">
        <f>IFERROR(__xludf.DUMMYFUNCTION("""COMPUTED_VALUE"""),"-Évènement du Festival de la Nouvelle Technologie:
-Excavation de ruines: Explorez des ruines scientifiques et gagnez des skins de ville principale de luxe limités et d'autres récompenses riches!
-Saut d'énergie: Augmentez le niveau de l'évènement et ayez"&amp;" une chance d'obtenir le nouveau skin de marche ""Majesté de la Technologie""!
-Attaque des Gigantos: Pendant le Festival de la Technologie, les Gigantos destructeurs contrôlés par le Dr. Hogg causent le chaos partout. Les attaquer peut rapporter des réco"&amp;"mpenses de points cumulatifs!
-Nouvelle langue: Ajout de l'arabe.")</f>
        <v>-Évènement du Festival de la Nouvelle Technologie:
-Excavation de ruines: Explorez des ruines scientifiques et gagnez des skins de ville principale de luxe limités et d'autres récompenses riches!
-Saut d'énergie: Augmentez le niveau de l'évènement et ayez une chance d'obtenir le nouveau skin de marche "Majesté de la Technologie"!
-Attaque des Gigantos: Pendant le Festival de la Technologie, les Gigantos destructeurs contrôlés par le Dr. Hogg causent le chaos partout. Les attaquer peut rapporter des récompenses de points cumulatifs!
-Nouvelle langue: Ajout de l'arabe.</v>
      </c>
      <c r="F58" s="159" t="str">
        <f>IFERROR(__xludf.DUMMYFUNCTION("""COMPUTED_VALUE"""),"-Neues Technologie-Festival-Event:
-Ruinen-Grabung: Erforsche wissenschaftliche Ruinen und gewinne limitierte Deluxe-Hauptstadt-Skins und andere reiche Belohnungen!
-Energie-Sprung: Erhöhe das Event-Level und habe die Chance, den neuen Marsch-Skin ""Leg"&amp;"at der Technologie"" zu erhalten!
-Angriff der Gigantos: Während des Technologie-Festivals verursachen Dr. Hoggs kontrollierte zerstörerische Gigantos überall Chaos. Der Angriff auf sie kann kumulative Punktebelohnungen verdienen!
-Neue Sprache: Arabisc"&amp;"h hinzugefügt.")</f>
        <v>-Neues Technologie-Festival-Event:
-Ruinen-Grabung: Erforsche wissenschaftliche Ruinen und gewinne limitierte Deluxe-Hauptstadt-Skins und andere reiche Belohnungen!
-Energie-Sprung: Erhöhe das Event-Level und habe die Chance, den neuen Marsch-Skin "Legat der Technologie" zu erhalten!
-Angriff der Gigantos: Während des Technologie-Festivals verursachen Dr. Hoggs kontrollierte zerstörerische Gigantos überall Chaos. Der Angriff auf sie kann kumulative Punktebelohnungen verdienen!
-Neue Sprache: Arabisch hinzugefügt.</v>
      </c>
      <c r="G58" s="159" t="str">
        <f>IFERROR(__xludf.DUMMYFUNCTION("""COMPUTED_VALUE"""),"Evento do Festival de Nova Tecnologia:
Escavação de Ruínas: Explore ruínas científicas e ganhe skins de cidade principal de luxo limitadas e outras recompensas valiosas!
Salto de Energia: Aumente o nível do evento e tenha a chance de obter a nova skin d"&amp;"e marcha ""Esplendor da Tecnologia""!
Ataque dos Gigantos: Durante o Festival de Tecnologia, os Gigantos destrutivos controlados pelo Dr. Hogg estão causando caos em todos os lugares. Atacá-los pode render recompensas de pontos cumulativos!
Novo Idioma:"&amp;" Adicionado o árabe.")</f>
        <v>Evento do Festival de Nova Tecnologia:
Escavação de Ruínas: Explore ruínas científicas e ganhe skins de cidade principal de luxo limitadas e outras recompensas valiosas!
Salto de Energia: Aumente o nível do evento e tenha a chance de obter a nova skin de marcha "Esplendor da Tecnologia"!
Ataque dos Gigantos: Durante o Festival de Tecnologia, os Gigantos destrutivos controlados pelo Dr. Hogg estão causando caos em todos os lugares. Atacá-los pode render recompensas de pontos cumulativos!
Novo Idioma: Adicionado o árabe.</v>
      </c>
      <c r="H58" s="159" t="str">
        <f>IFERROR(__xludf.DUMMYFUNCTION("""COMPUTED_VALUE"""),"-新增科技節活動：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-新增語言:增加阿拉伯語")</f>
        <v>-新增科技節活動：
-遺跡探索：探索科學遺跡，贏取限定豪華主城皮膚和其它豐富獎勵！
-能源大飛躍：提升活動等級，有機會獲取全新行軍皮膚「科技光輝」!
-進擊的巨猿：科技節期間，霍格博士控製的毀滅巨猿四處作亂，攻擊它可以獲得累計積分獎勵！
-新增語言:增加阿拉伯語</v>
      </c>
      <c r="I58" s="159" t="str">
        <f>IFERROR(__xludf.DUMMYFUNCTION("""COMPUTED_VALUE"""),"- Acara Teknologi Baru:
- Eksplorasi Reruntuhan: Jelajahi reruntuhan ilmiah dan menangkan Skin Istana Kota Mewah terbatas dan hadiah lainnya!
- Lompatan Besar Energi: Tingkatkan level acara dan dapatkan Skin Berbaris baru ""Splendor Teknologi""!
- Sera"&amp;"ngan Gigantos: Selama acara Teknologi, Gigantos kehancuran yang dikendalikan oleh Dr. Hogg menyerang di mana-mana. Seranglah mereka untuk mendapatkan hadiah poin kumulatif!
- Bahasa baru: Menambahkan bahasa Arab.")</f>
        <v>- Acara Teknologi Baru:
- Eksplorasi Reruntuhan: Jelajahi reruntuhan ilmiah dan menangkan Skin Istana Kota Mewah terbatas dan hadiah lainnya!
- Lompatan Besar Energi: Tingkatkan level acara dan dapatkan Skin Berbaris baru "Splendor Teknologi"!
- Serangan Gigantos: Selama acara Teknologi, Gigantos kehancuran yang dikendalikan oleh Dr. Hogg menyerang di mana-mana. Seranglah mereka untuk mendapatkan hadiah poin kumulatif!
- Bahasa baru: Menambahkan bahasa Arab.</v>
      </c>
      <c r="J58" s="159" t="str">
        <f>IFERROR(__xludf.DUMMYFUNCTION("""COMPUTED_VALUE"""),"- เพิ่มกิจกรรมเทคโนโลยีใหม่:
- การขุดสำรวจซากโบราณ: สำรวจซากโบราณวิทยาศาสตร์เพื่อรับสกินหลักเมืองหรูหราและรางวัลอื่น ๆ ที่หลากหลาย!
- กระโดดสู่อนาคตของพลังงาน: เพิ่มระดับกิจกรรมและมีโอกาสรับสกินเดินทัพใหม่ ""Splendor""!
- ก้าวไกลสู่กิจกรรมกำเนิดวานร: ใ"&amp;"นช่วงเทศกาลเทคโนโลยีนี้ มหาเศรษฐีที่ควบคุมโดยดร.ฮ็อกก์กำลังทำลายทั่วไป การโจมตีมันจะได้รับรางวัลคะแนนสะสม!
- เพิ่มภาษาอาหรับ")</f>
        <v>- เพิ่มกิจกรรมเทคโนโลยีใหม่:
- การขุดสำรวจซากโบราณ: สำรวจซากโบราณวิทยาศาสตร์เพื่อรับสกินหลักเมืองหรูหราและรางวัลอื่น ๆ ที่หลากหลาย!
- กระโดดสู่อนาคตของพลังงาน: เพิ่มระดับกิจกรรมและมีโอกาสรับสกินเดินทัพใหม่ "Splendor"!
- ก้าวไกลสู่กิจกรรมกำเนิดวานร: ในช่วงเทศกาลเทคโนโลยีนี้ มหาเศรษฐีที่ควบคุมโดยดร.ฮ็อกก์กำลังทำลายทั่วไป การโจมตีมันจะได้รับรางวัลคะแนนสะสม!
- เพิ่มภาษาอาหรับ</v>
      </c>
      <c r="K58" s="159" t="str">
        <f>IFERROR(__xludf.DUMMYFUNCTION("""COMPUTED_VALUE"""),"Evento del Festival de Nueva Tecnología:
Excavación de Ruinas: ¡Explora las ruinas científicas y gana pieles de ciudad principales de lujo limitadas y otras recompensas valiosas!
Salto de Energía: ¡Aumenta el nivel del evento y tienes la oportunidad de "&amp;"obtener la nueva piel de marcha ""Esplendor de la Tecnología""!
Ataque de los Gigantos: Durante el Festival de Tecnología, los Gigantos destructivos controlados por el Dr. Hogg están causando caos en todas partes. ¡Atacarlos puede ganar recompensas de pu"&amp;"ntos acumulativos!
Nuevo Idioma: Se agregó el árabe.")</f>
        <v>Evento del Festival de Nueva Tecnología:
Excavación de Ruinas: ¡Explora las ruinas científicas y gana pieles de ciudad principales de lujo limitadas y otras recompensas valiosas!
Salto de Energía: ¡Aumenta el nivel del evento y tienes la oportunidad de obtener la nueva piel de marcha "Esplendor de la Tecnología"!
Ataque de los Gigantos: Durante el Festival de Tecnología, los Gigantos destructivos controlados por el Dr. Hogg están causando caos en todas partes. ¡Atacarlos puede ganar recompensas de puntos acumulativos!
Nuevo Idioma: Se agregó el árabe.</v>
      </c>
      <c r="L58" s="159" t="str">
        <f>IFERROR(__xludf.DUMMYFUNCTION("""COMPUTED_VALUE"""),"Событие «Фестиваль новых технологий»:
-Раскопки руин: Исследуйте научные руины и выиграйте ограниченные роскошные скины для главного города и другие богатые награды!
-Энергетический прыжок: Повышайте уровень события и получайте шанс получить новый марше"&amp;"вый скин «Великий вождь технологий»!
-Атака Гиганто: Во время Фестиваля технологий контролируемые доктором Хоггом разрушительные Гиганто вызывают хаос повсюду. Атакуя их, можно заработать кумулятивные очки наград!
-Новый язык: Добавлен арабский.")</f>
        <v>Событие «Фестиваль новых технологий»:
-Раскопки руин: Исследуйте научные руины и выиграйте ограниченные роскошные скины для главного города и другие богатые награды!
-Энергетический прыжок: Повышайте уровень события и получайте шанс получить новый маршевый скин «Великий вождь технологий»!
-Атака Гиганто: Во время Фестиваля технологий контролируемые доктором Хоггом разрушительные Гиганто вызывают хаос повсюду. Атакуя их, можно заработать кумулятивные очки наград!
-Новый язык: Добавлен арабский.</v>
      </c>
      <c r="M58" s="159" t="str">
        <f>IFERROR(__xludf.DUMMYFUNCTION("""COMPUTED_VALUE"""),"-Yeni Teknoloji Festivali etkinliği:
-Harabe Kazısı: Bilimsel harabeleri keşfet ve sınırlı sayıda lüks ana şehir görünümü ve diğer zengin ödülleri kazan!
-Enerji Sıçraması: Etkinlik seviyesini artır ve yeni yürüyüş görünümü ""Görkemli Teknoloji""yi kaza"&amp;"nma şansı yakala!
-Gigantoların Saldırısı: Teknoloji Festivali sırasında, Dr. Hogg'un kontrolündeki yıkıcı Gigantolar her yerde kaos yaratıyor. Onları saldırarak birikimli puan ödülleri kazanabilirsin!
-Yeni Dil: Arapça eklendi.")</f>
        <v>-Yeni Teknoloji Festivali etkinliği:
-Harabe Kazısı: Bilimsel harabeleri keşfet ve sınırlı sayıda lüks ana şehir görünümü ve diğer zengin ödülleri kazan!
-Enerji Sıçraması: Etkinlik seviyesini artır ve yeni yürüyüş görünümü "Görkemli Teknoloji"yi kazanma şansı yakala!
-Gigantoların Saldırısı: Teknoloji Festivali sırasında, Dr. Hogg'un kontrolündeki yıkıcı Gigantolar her yerde kaos yaratıyor. Onları saldırarak birikimli puan ödülleri kazanabilirsin!
-Yeni Dil: Arapça eklendi.</v>
      </c>
      <c r="N58" s="45" t="str">
        <f>IFERROR(__xludf.DUMMYFUNCTION("""COMPUTED_VALUE"""),"-Thêm sự kiện Công Nghệ:
- Tìm Kiếm Tàn Tích: Khám phá tàn tích khoa học, giành được Màu Hỏa Tiễn giới hạn cho Thành Chính và nhiều phần thưởng phong phú khác!
- Bước Nhảy Công Nghệ: Nâng cấp cấp độ sự kiện, có cơ hội nhận được Giao Diện Sảnh Hỏa Tiễn m"&amp;"ới cho hành quân!
- Vượn Khổng Lồ Tấn Công: Trong sự kiện Công Nghệ, Vượn Khổng Lồ tàn phá do Tiến Sĩ Hogg kiểm soát, tấn công chúng để nhận được phần thưởng tích lũy điểm!
- Thêm Ngôn Ngữ: Thêm Tiếng Ả Rập.")</f>
        <v>-Thêm sự kiện Công Nghệ:
- Tìm Kiếm Tàn Tích: Khám phá tàn tích khoa học, giành được Màu Hỏa Tiễn giới hạn cho Thành Chính và nhiều phần thưởng phong phú khác!
- Bước Nhảy Công Nghệ: Nâng cấp cấp độ sự kiện, có cơ hội nhận được Giao Diện Sảnh Hỏa Tiễn mới cho hành quân!
- Vượn Khổng Lồ Tấn Công: Trong sự kiện Công Nghệ, Vượn Khổng Lồ tàn phá do Tiến Sĩ Hogg kiểm soát, tấn công chúng để nhận được phần thưởng tích lũy điểm!
- Thêm Ngôn Ngữ: Thêm Tiếng Ả Rập.</v>
      </c>
      <c r="O58" s="45" t="str">
        <f>IFERROR(__xludf.DUMMYFUNCTION("""COMPUTED_VALUE"""),"Evento del Festival della Nuova Tecnologia:
Scavo dei Ruderi: Esplora i ruderi scientifici e vinci skin deluxe limitate per la città principale e altre ricche ricompense!
Salto energetico: Aumenta il livello dell'evento e hai la possibilità di ottenere "&amp;"la nuova skin marciante ""Splendore della Tecnologia""!
Attacco dei Gigagorilla: Durante il Festival della Tecnologia, i distruttivi Gigagorilla controllati dal Dottor Hogg stanno causando il caos ovunque. Attaccarli può guadagnare punti cumulativi di ri"&amp;"compensa!
Nuova lingua: Aggiunto l'arabo.")</f>
        <v>Evento del Festival della Nuova Tecnologia:
Scavo dei Ruderi: Esplora i ruderi scientifici e vinci skin deluxe limitate per la città principale e altre ricche ricompense!
Salto energetico: Aumenta il livello dell'evento e hai la possibilità di ottenere la nuova skin marciante "Splendore della Tecnologia"!
Attacco dei Gigagorilla: Durante il Festival della Tecnologia, i distruttivi Gigagorilla controllati dal Dottor Hogg stanno causando il caos ovunque. Attaccarli può guadagnare punti cumulativi di ricompensa!
Nuova lingua: Aggiunto l'arabo.</v>
      </c>
      <c r="P58" s="34" t="str">
        <f>IFERROR(__xludf.DUMMYFUNCTION("""COMPUTED_VALUE"""),"- Nowe wydarzenie technologiczne:
- Wykopaliska: Odkrywaj naukowe ruiny i zdobywaj limitowane skórki dla swojego miasta oraz inne bogate nagrody!
- Wielki skok energetyczny: Zwiększ poziom wydarzenia i zdobądź nową skórkę marszu ""Splendor""!
- Atak gi"&amp;"gantycznych małp: Podczas wydarzenia technologicznego, dr Hogg kontroluje gigantyczne małpy, które atakują na każdym kroku. Atakuj je, aby zdobyć nagrody punktowe!
- Nowy język: Dodano język arabski!")</f>
        <v>- Nowe wydarzenie technologiczne:
- Wykopaliska: Odkrywaj naukowe ruiny i zdobywaj limitowane skórki dla swojego miasta oraz inne bogate nagrody!
- Wielki skok energetyczny: Zwiększ poziom wydarzenia i zdobądź nową skórkę marszu "Splendor"!
- Atak gigantycznych małp: Podczas wydarzenia technologicznego, dr Hogg kontroluje gigantyczne małpy, które atakują na każdym kroku. Atakuj je, aby zdobyć nagrody punktowe!
- Nowy język: Dodano język arabski!</v>
      </c>
      <c r="Q58" s="34" t="str">
        <f>IFERROR(__xludf.DUMMYFUNCTION("""COMPUTED_VALUE"""),"""حدث مهرجان التكنولوجيا الجديد:
- حفر الأنقاض: استكشف الأنقاض العلمية واربح الجلود الرئيسية المحدودة الفاخرة للمدينة ومكافآت غنية أخرى!
- قفزة الطاقة: زيادة مستوى الحدث وفرصة للحصول على جلد المسير الجديد """"الفخامة التكنولوجية""""!
- هجوم القرود العم"&amp;"لاقة: خلال مهرجان التكنولوجيا، تسبب القرود العملاقة المدمرة المسيطر عليها من قبل الدكتور هوغ في الفوضى في كل مكان. يمكن الحصول على مكافآت نقاط تراكمية عند مهاجمتهم!
- لغة جديدة: تمت إضافة اللغة العربية.""")</f>
        <v>"حدث مهرجان التكنولوجيا الجديد:
- حفر الأنقاض: استكشف الأنقاض العلمية واربح الجلود الرئيسية المحدودة الفاخرة للمدينة ومكافآت غنية أخرى!
- قفزة الطاقة: زيادة مستوى الحدث وفرصة للحصول على جلد المسير الجديد ""الفخامة التكنولوجية""!
- هجوم القرود العملاقة: خلال مهرجان التكنولوجيا، تسبب القرود العملاقة المدمرة المسيطر عليها من قبل الدكتور هوغ في الفوضى في كل مكان. يمكن الحصول على مكافآت نقاط تراكمية عند مهاجمتهم!
- لغة جديدة: تمت إضافة اللغة العربية."</v>
      </c>
      <c r="R58" s="34"/>
      <c r="S58" s="34"/>
      <c r="T58" s="108"/>
      <c r="U58" s="108"/>
      <c r="V58" s="108"/>
      <c r="W58" s="108"/>
      <c r="X58" s="108"/>
      <c r="Y58" s="108"/>
      <c r="Z58" s="108"/>
    </row>
    <row r="59">
      <c r="A59" s="149" t="str">
        <f>IFERROR(__xludf.DUMMYFUNCTION("""COMPUTED_VALUE"""),"0.52.0")</f>
        <v>0.52.0</v>
      </c>
      <c r="B59" s="174" t="str">
        <f>IFERROR(__xludf.DUMMYFUNCTION("""COMPUTED_VALUE"""),"&lt;en-US&gt;
- New Fighter: Seafarer Hardy - A sailor who braves the waves in search of mysterious treasures! Obtainable through the ""Ultimate Monkey"" event.
- New Relics: Introducing 5 new sets of relics - Bluff &amp; Bluster, Gleaming Gold, Ace Sportsmen, Tre"&amp;"nd &amp; Fashion, and Health Checkup. Obtainable through the ""Surprise Relic Vault"" event.
- New Fortress Looter gameplay: Match with other players and compete for resources through strategic battles.
- New Easter Event: Crack Lucky Eggs to win exclusive "&amp;"deluxe Base skins and other amazing rewards!
&lt;/en-US&gt;
&lt;fr-FR&gt;
Nouveau combattant ajouté : le marin au long cours - Hardy, un marin qui brave les tempêtes pour trouver des trésors mystérieux ! Disponible via l'événement ""Singe ultime"".
Nouvelles relique"&amp;"s: Présentation de 5 nouveaux ensembles de reliques - Fanfaronnade, Dorures, Athlétisme, Mode et Santé. Obtenez-les lors de l'événement ""Coffre-fort de reliques surprise"".
Nouveau gameplay de pillage de forteresse : affrontez d'autres joueurs et rivali"&amp;"sez pour les ressources lors de batailles stratégiques.
Nouvel évènement de Pâques: Cassez les œufs-surprises pour gagner une peau de ville de luxe exclusive et d'autres récompenses riches en surprises!
&lt;/fr-FR&gt;
&lt;de-DE&gt;
Neuer Kämpfer: Der Seefahrer Hardy"&amp;", ein Seemann, der für geheimnisvolle Schätze über die Wellen reitet! Kann durch ""Ultimativer Affe"" erhalten werden.
Neue Relikte: Einführung von 5 neuen Relikt-Sets - Bluff &amp; Bluster, Glänzendes Gold, Top Sportsmänner, Trend &amp; Mode und Gesundheitschec"&amp;"k. Erhältlich durch das Ereignis ""Überraschungs-Relikt-Tresor"".
Neues Fortress Looter Gameplay: Trete gegen andere Spieler an und kämpfe durch strategische Schlachten um Ressourcen.
Neues Oster-Event: Schlage Glückseier und gewinne exklusive Luxus-Sta"&amp;"dtskins und andere tolle Belohnungen!
&lt;/de-DE&gt;
&lt;pt-BR&gt;
Novo lutador adicionado: O Marinheiro Aventureiro - Hardy, um marinheiro destemido que navega pelos mares em busca de tesouros misteriosos! Pode ser obtido através do ""Macaco Supremo"".
Novas Relíqu"&amp;"ias: Apresentando 5 novos conjuntos de relíquias - Blefe e bravata, Ouro reluzente, Estrelas desportistas, Tendência e moda e Exame médico. Obtidas através do evento ""Cofre de Relíquias Surpresa"".
Novo jogo Conquista da Fortaleza: Combine com outros jo"&amp;"gadores e compita por recursos através de batalhas estratégicas.
Novo evento de Páscoa: Quebre os ovos da sorte e ganhe a skin exclusiva de prefeitura de luxo e outras recompensas incríveis!
&lt;/pt-BR&gt;
&lt;zh-HK&gt;
-新增鬥士：遠航水手-哈迪，爲了神祕寶藏，乘風破浪的水手！可通過「最強猴子」獲取。
-新增"&amp;"收藏品：新增【耀武揚威】、【金光燦燦】、【運動先鋒】、【摩登潮流】、【健康檢查】共5套收藏品，可通過「驚喜藏品屋」獲取。
-新增堡壘掠奪玩法：配對其他玩家作戰，通過策略爭奪資源
新增復活節活動：敲擊幸運彩蛋，贏取限定豪華主城皮膚和其他豐富獎勵！
&lt;/zh-HK&gt;
&lt;zh-TW&gt;
-新增鬥士：遠航水手-哈迪，爲了神祕寶藏，乘風破浪的水手！可通過「最強猴子」獲取。
-新增收藏品：新增【耀武揚威】、【金光燦燦】、【運動先鋒】、【摩登潮流】、【健康檢查】共5套收藏品，可通過「驚喜藏品屋」獲取。
-新增堡壘"&amp;"掠奪玩法：配對其他玩家作戰，通過策略爭奪資源
新增復活節活動：敲擊幸運彩蛋，贏取限定豪華主城皮膚和其他豐富獎勵！
&lt;/zh-TW&gt;
&lt;id&gt;
- Pejuang baru: Pelaut Penjelajah Hardy, mengarungi ombak, menjadi pelaut demi harta karun misterius! Dapat diperoleh melalui ""Kera Terkuat"".
- Pusaka Baru: Tambahkan koleksi Anda "&amp;"dengan Pusaka Baru seperti ""Pamer Keahlian"", ""Emas Bersinar"", ""Pelopor Olahraga"", ""Fashion Trendi"", dan ""Pemeriksaan Kesehatan"". Kumpulkan semua Pusaka ini melalui ""RUMAH PUSAKA KEJUTAN"".
-Tambahkan gameplay Penjarahan Benteng: Pertandingan d"&amp;"engan pemain lain, rebut sumber daya dengan strategi.
- Aktivitas Paskah baru: Pecahkan Telur Keberuntungan dan menangkan kulit Kota mewah yang terbatas dan hadiah lainnya yang melimpah!
&lt;/id&gt;
&lt;th&gt;
เพิ่มนักสู้: นักเดินเรือฮาร์ดี้ เพื่อสมบัติลึกลับ กะลาสี"&amp;"ผจญภัยทุกรูปแบบเพื่อขุมทรัพย์ปริศนา! สามารถรับได้ผ่านกิจกรรม ""ลิงที่แข็งแกร่งที่สุด""
เพิ่มวัตถุโบราณใหม่: เพิ่ม【ขี้โม้โอ้อวด】、【ทองอร่าม】、【สายออกำลังกาย】、【แฟชั่นนิสต้า】、【เช็คสุขภาพ】ทั้งหมด 5 ชุด สามารถรับได้จาก【คลังวัตถุโบราณสุดเซอร์ไพรส์】
เพิ่มเกมเพลย"&amp;"์ปล้นป้อมปราการใหม่: จับคู่กับผู้เล่นอื่นเพื่อต่อสู้และแข่งขันกันด้วยกันในการใช้กลยุทธ์เพื่อปล้นทรัพยากร
เพิ่มกิจกรรมวันอีสเตอร์: ตอกไข่นำโชคเพื่อรับรางวัลหนังสือเมืองหลักพิเศษจำนวนจำกัดและรางวัลอื่นๆอีกมากมาย!
&lt;/th&gt;
&lt;es-419&gt;
Nuevo luchador: Navegante Ha"&amp;"rdy, ¡un marinero que surca los mares en busca de tesoros misteriosos! ¡Puede ser obtenido a través de ""Mono Supremo""!
Nuevas Reliquias: Presentamos 5 nuevos conjuntos de reliquias - Engaño y bravuconería, Oro reluciente, Deportistas estrella, Moda y t"&amp;"endencia, y Control de salud. Obténlas a través del evento ""Bóveda de Reliquias Sorpresa"".
Nuevo juego de Toma de la Fortaleza: ¡Emparejate con otros jugadores y compite por recursos a través de batallas estratégicas!
Nuevo evento de Pascua: ¡Rompe lo"&amp;"s huevos de la suerte y gana una apariencia de ciudad de lujo exclusiva y otros fabulosos premios!
&lt;/es-419&gt;
&lt;ru-RU&gt;
Новый боец: мореход Харди - путешественник, плавающий по ветру и волнам в поисках таинственных сокровищ! Можно получить через ""Великую об"&amp;"езьяну"".
Новые реликвии: представляем 5 новых наборов реликвий - Блеф и бравада, Сверкающее золото, Топовые спортсмены, Тренды и мода и Проверка здоровья. Можно получить в рамках события ""Секретный сейф с реликвиями"".
Новый геймплей «Лутер крепости»:"&amp;" Соперничайте с другими игроками и сражайтесь за ресурсы в стратегических битвах.
Новое пасхальное событие: разбейте счастливые яйца и выиграйте эксклюзивную роскошную оболочку для главного города и другие богатые награды!
&lt;/ru-RU&gt;
&lt;tr-TR&gt;
Yeni savaşçı: "&amp;"Uzak Denizci Hardy - Gizemli hazineler için rüzgarı kıran bir denizci! ""En Üstün Maymun"" ile elde edilebilir.
Yeni Kalıntılar: Bluff &amp; Bluster, Parıldayan Altın, Usta Sporcular, Trend ve Moda ve Sağlık Kontrolü olmak üzere 5 yeni kalıntı seti tanıtıldı"&amp;". ""Sürpriz Kalıntı Tresoru"" etkinliği aracılığıyla elde edilebilir.
Yeni Kaleyi Ele Geçirme oyunu: Diğer oyuncularla eşleş ve stratejik savaşlarla kaynaklar için yarış.
Yeni Paskalya etkinliği eklendi: Şanslı Yumurtaları kırın, sınırlı sayıda lüks ana"&amp;" şehir görünümü ve diğer zengin ödülleri kazanın!
&lt;/tr-TR&gt;
&lt;vi&gt;
-MỚI: Chiến Binh Thủy Thủ Viễn Hành - Hardy, Những thủy thủ vì kho báu bí ẩn mà đạp gió rẽ sóng! Có thể nhận được thông qua ""Chúa Khỉ Tối Cao"".
Thêm vào bộ sưu tập: Thêm 5 bộ sưu tập mới g"&amp;"ồm 【Diễu Võ Dương Oai】, 【Ánh Vàng】, 【Tiên Phong Thể Thao】, 【Trào Lưu Hiện Đại】, và 【Kiểm Tra Sức Khỏe】. Các bộ sưu tập này có thể được thu thập thông qua phòng sưu tập bất ngờ.
- Thêm chế độ chơi Cướp Bóc Pháo Đài mới: Tìm đối thủ và chiến đấu với nhau, "&amp;"cạnh tranh tài nguyên bằng chiến thuật.
- Hoạt động Phục Sinh Mới: Đập Trứng May Mắn và giành được Giới Hạn Da Thành Chính Cao Cấp và những phần thưởng phong phú khác!
&lt;/vi&gt;
&lt;it-IT&gt;
Nuovo combattente: il navigante Hardy, un marinaio che attraversa gli oc"&amp;"eani alla ricerca di tesori! Può essere ottenuto tramite ""Scimmia suprema"".
Nuove Reliquie: presentiamo 5 nuovi set di reliquie - Spavalderia e intimidazioni, Oro scintillante, Campioni di sport, Moda e tendenze e Controllo medico. Ottenibili tramite l"&amp;"'evento ""Cofanetto sorpresa delle Reliquie"".
Nuova modalità di gioco Fortress Saccheggiatore: Abbina con altri giocatori e competi per le risorse attraverso battaglie strategiche.
Nuova attività di Pasqua: Rompi le uova fortunate e vinci la skin delux"&amp;"e esclusiva per la città e altre fantastiche ricompense!
&lt;/it-IT&gt;
&lt;pl-PL&gt;
Nowy wojownik: Żeglarz-Hardy, morski podróżnik, który przemierza oceany w poszukiwaniu tajemniczych skarbów! Można go zdobyć poprzez zdobycie tytułu ""Ubermałpy"".
Nowe Relikty: Pr"&amp;"zedstawiamy 5 nowych zestawów reliktów - Insygnia siły, Złoto co się świeci, Sport wyczynowy, Moda i trendy oraz Służba zdrowia. Można je zdobyć podczas wydarzenia ""Niespodziankowa Skarbnica Reliktów"".
Nowa rozgrywka Fortress Looter: Dopasuj się do inn"&amp;"ych graczy i rywalizuj o zasoby poprzez strategiczne bitwy.
Nowa Wielkanocna aktywność: Rozbijaj Szczęśliwe jaja i zdobywaj ekskluzywny skórkę dla miasta oraz inne bogate nagrody!
&lt;/pl-PL&gt;
&lt;ar&gt;
- إضافة مقاتل جديد: بحار الرحلات البعيدة - هادي، البحار الذي"&amp;" يبحث عن الكنوز الغامضة ويتحدى الأمواج! يمكن الحصول عليه من خلال ""القرد الخارق"".
المقتنيات الجديدة: تقديم 5 مجموعات جديدة من المقتنيات - خدعة واختيال، بريق الذهب، رائد في الرياضة، الاتجاه والموضة، وفحص الصحة. يمكن الحصول عليها من خلال حدث ""خزانة المقت"&amp;"نيات المفاجئة"".
لعبة نهب الحصون الجديدة: تواجه لاعبين آخرين وتنافس على الموارد من خلال معارك استراتيجية.
- إضافة نشاط عيد الفصح: اكسر بيض الحظ واربح بشكل حصري جلدة مدينة فاخرة وجوائز أخرى غنية!
&lt;/ar&gt;
")</f>
        <v>&lt;en-US&gt;
- New Fighter: Seafarer Hardy - A sailor who braves the waves in search of mysterious treasures! Obtainable through the "Ultimate Monkey" event.
- New Relics: Introducing 5 new sets of relics - Bluff &amp; Bluster, Gleaming Gold, Ace Sportsmen, Trend &amp; Fashion, and Health Checkup. Obtainable through the "Surprise Relic Vault" event.
- New Fortress Looter gameplay: Match with other players and compete for resources through strategic battles.
- New Easter Event: Crack Lucky Eggs to win exclusive deluxe Base skins and other amazing rewards!
&lt;/en-US&gt;
&lt;fr-FR&gt;
Nouveau combattant ajouté : le marin au long cours - Hardy, un marin qui brave les tempêtes pour trouver des trésors mystérieux ! Disponible via l'événement "Singe ultime".
Nouvelles reliques: Présentation de 5 nouveaux ensembles de reliques - Fanfaronnade, Dorures, Athlétisme, Mode et Santé. Obtenez-les lors de l'événement "Coffre-fort de reliques surprise".
Nouveau gameplay de pillage de forteresse : affrontez d'autres joueurs et rivalisez pour les ressources lors de batailles stratégiques.
Nouvel évènement de Pâques: Cassez les œufs-surprises pour gagner une peau de ville de luxe exclusive et d'autres récompenses riches en surprises!
&lt;/fr-FR&gt;
&lt;de-DE&gt;
Neuer Kämpfer: Der Seefahrer Hardy, ein Seemann, der für geheimnisvolle Schätze über die Wellen reitet! Kann durch "Ultimativer Affe" erhalten werden.
Neue Relikte: Einführung von 5 neuen Relikt-Sets - Bluff &amp; Bluster, Glänzendes Gold, Top Sportsmänner, Trend &amp; Mode und Gesundheitscheck. Erhältlich durch das Ereignis "Überraschungs-Relikt-Tresor".
Neues Fortress Looter Gameplay: Trete gegen andere Spieler an und kämpfe durch strategische Schlachten um Ressourcen.
Neues Oster-Event: Schlage Glückseier und gewinne exklusive Luxus-Stadtskins und andere tolle Belohnungen!
&lt;/de-DE&gt;
&lt;pt-BR&gt;
Novo lutador adicionado: O Marinheiro Aventureiro - Hardy, um marinheiro destemido que navega pelos mares em busca de tesouros misteriosos! Pode ser obtido através do "Macaco Supremo".
Novas Relíquias: Apresentando 5 novos conjuntos de relíquias - Blefe e bravata, Ouro reluzente, Estrelas desportistas, Tendência e moda e Exame médico. Obtidas através do evento "Cofre de Relíquias Surpresa".
Novo jogo Conquista da Fortaleza: Combine com outros jogadores e compita por recursos através de batalhas estratégicas.
Novo evento de Páscoa: Quebre os ovos da sorte e ganhe a skin exclusiva de prefeitura de luxo e outras recompensas incríveis!
&lt;/pt-BR&gt;
&lt;zh-HK&gt;
-新增鬥士：遠航水手-哈迪，爲了神祕寶藏，乘風破浪的水手！可通過「最強猴子」獲取。
-新增收藏品：新增【耀武揚威】、【金光燦燦】、【運動先鋒】、【摩登潮流】、【健康檢查】共5套收藏品，可通過「驚喜藏品屋」獲取。
-新增堡壘掠奪玩法：配對其他玩家作戰，通過策略爭奪資源
新增復活節活動：敲擊幸運彩蛋，贏取限定豪華主城皮膚和其他豐富獎勵！
&lt;/zh-HK&gt;
&lt;zh-TW&gt;
-新增鬥士：遠航水手-哈迪，爲了神祕寶藏，乘風破浪的水手！可通過「最強猴子」獲取。
-新增收藏品：新增【耀武揚威】、【金光燦燦】、【運動先鋒】、【摩登潮流】、【健康檢查】共5套收藏品，可通過「驚喜藏品屋」獲取。
-新增堡壘掠奪玩法：配對其他玩家作戰，通過策略爭奪資源
新增復活節活動：敲擊幸運彩蛋，贏取限定豪華主城皮膚和其他豐富獎勵！
&lt;/zh-TW&gt;
&lt;id&gt;
- Pejuang baru: Pelaut Penjelajah Hardy, mengarungi ombak, menjadi pelaut demi harta karun misterius! Dapat diperoleh melalui "Kera Terkuat".
- Pusaka Baru: Tambahkan koleksi Anda dengan Pusaka Baru seperti "Pamer Keahlian", "Emas Bersinar", "Pelopor Olahraga", "Fashion Trendi", dan "Pemeriksaan Kesehatan". Kumpulkan semua Pusaka ini melalui "RUMAH PUSAKA KEJUTAN".
-Tambahkan gameplay Penjarahan Benteng: Pertandingan dengan pemain lain, rebut sumber daya dengan strategi.
- Aktivitas Paskah baru: Pecahkan Telur Keberuntungan dan menangkan kulit Kota mewah yang terbatas dan hadiah lainnya yang melimpah!
&lt;/id&gt;
&lt;th&gt;
เพิ่มนักสู้: นักเดินเรือฮาร์ดี้ เพื่อสมบัติลึกลับ กะลาสีผจญภัยทุกรูปแบบเพื่อขุมทรัพย์ปริศนา! สามารถรับได้ผ่านกิจกรรม "ลิงที่แข็งแกร่งที่สุด"
เพิ่มวัตถุโบราณใหม่: เพิ่ม【ขี้โม้โอ้อวด】、【ทองอร่าม】、【สายออกำลังกาย】、【แฟชั่นนิสต้า】、【เช็คสุขภาพ】ทั้งหมด 5 ชุด สามารถรับได้จาก【คลังวัตถุโบราณสุดเซอร์ไพรส์】
เพิ่มเกมเพลย์ปล้นป้อมปราการใหม่: จับคู่กับผู้เล่นอื่นเพื่อต่อสู้และแข่งขันกันด้วยกันในการใช้กลยุทธ์เพื่อปล้นทรัพยากร
เพิ่มกิจกรรมวันอีสเตอร์: ตอกไข่นำโชคเพื่อรับรางวัลหนังสือเมืองหลักพิเศษจำนวนจำกัดและรางวัลอื่นๆอีกมากมาย!
&lt;/th&gt;
&lt;es-419&gt;
Nuevo luchador: Navegante Hardy, ¡un marinero que surca los mares en busca de tesoros misteriosos! ¡Puede ser obtenido a través de "Mono Supremo"!
Nuevas Reliquias: Presentamos 5 nuevos conjuntos de reliquias - Engaño y bravuconería, Oro reluciente, Deportistas estrella, Moda y tendencia, y Control de salud. Obténlas a través del evento "Bóveda de Reliquias Sorpresa".
Nuevo juego de Toma de la Fortaleza: ¡Emparejate con otros jugadores y compite por recursos a través de batallas estratégicas!
Nuevo evento de Pascua: ¡Rompe los huevos de la suerte y gana una apariencia de ciudad de lujo exclusiva y otros fabulosos premios!
&lt;/es-419&gt;
&lt;ru-RU&gt;
Новый боец: мореход Харди - путешественник, плавающий по ветру и волнам в поисках таинственных сокровищ! Можно получить через "Великую обезьяну".
Новые реликвии: представляем 5 новых наборов реликвий - Блеф и бравада, Сверкающее золото, Топовые спортсмены, Тренды и мода и Проверка здоровья. Можно получить в рамках события "Секретный сейф с реликвиями".
Новый геймплей «Лутер крепости»: Соперничайте с другими игроками и сражайтесь за ресурсы в стратегических битвах.
Новое пасхальное событие: разбейте счастливые яйца и выиграйте эксклюзивную роскошную оболочку для главного города и другие богатые награды!
&lt;/ru-RU&gt;
&lt;tr-TR&gt;
Yeni savaşçı: Uzak Denizci Hardy - Gizemli hazineler için rüzgarı kıran bir denizci! "En Üstün Maymun" ile elde edilebilir.
Yeni Kalıntılar: Bluff &amp; Bluster, Parıldayan Altın, Usta Sporcular, Trend ve Moda ve Sağlık Kontrolü olmak üzere 5 yeni kalıntı seti tanıtıldı. "Sürpriz Kalıntı Tresoru" etkinliği aracılığıyla elde edilebilir.
Yeni Kaleyi Ele Geçirme oyunu: Diğer oyuncularla eşleş ve stratejik savaşlarla kaynaklar için yarış.
Yeni Paskalya etkinliği eklendi: Şanslı Yumurtaları kırın, sınırlı sayıda lüks ana şehir görünümü ve diğer zengin ödülleri kazanın!
&lt;/tr-TR&gt;
&lt;vi&gt;
-MỚI: Chiến Binh Thủy Thủ Viễn Hành - Hardy, Những thủy thủ vì kho báu bí ẩn mà đạp gió rẽ sóng! Có thể nhận được thông qua "Chúa Khỉ Tối Cao".
Thêm vào bộ sưu tập: Thêm 5 bộ sưu tập mới gồm 【Diễu Võ Dương Oai】, 【Ánh Vàng】, 【Tiên Phong Thể Thao】, 【Trào Lưu Hiện Đại】, và 【Kiểm Tra Sức Khỏe】. Các bộ sưu tập này có thể được thu thập thông qua phòng sưu tập bất ngờ.
- Thêm chế độ chơi Cướp Bóc Pháo Đài mới: Tìm đối thủ và chiến đấu với nhau, cạnh tranh tài nguyên bằng chiến thuật.
- Hoạt động Phục Sinh Mới: Đập Trứng May Mắn và giành được Giới Hạn Da Thành Chính Cao Cấp và những phần thưởng phong phú khác!
&lt;/vi&gt;
&lt;it-IT&gt;
Nuovo combattente: il navigante Hardy, un marinaio che attraversa gli oceani alla ricerca di tesori! Può essere ottenuto tramite "Scimmia suprema".
Nuove Reliquie: presentiamo 5 nuovi set di reliquie - Spavalderia e intimidazioni, Oro scintillante, Campioni di sport, Moda e tendenze e Controllo medico. Ottenibili tramite l'evento "Cofanetto sorpresa delle Reliquie".
Nuova modalità di gioco Fortress Saccheggiatore: Abbina con altri giocatori e competi per le risorse attraverso battaglie strategiche.
Nuova attività di Pasqua: Rompi le uova fortunate e vinci la skin deluxe esclusiva per la città e altre fantastiche ricompense!
&lt;/it-IT&gt;
&lt;pl-PL&gt;
Nowy wojownik: Żeglarz-Hardy, morski podróżnik, który przemierza oceany w poszukiwaniu tajemniczych skarbów! Można go zdobyć poprzez zdobycie tytułu "Ubermałpy".
Nowe Relikty: Przedstawiamy 5 nowych zestawów reliktów - Insygnia siły, Złoto co się świeci, Sport wyczynowy, Moda i trendy oraz Służba zdrowia. Można je zdobyć podczas wydarzenia "Niespodziankowa Skarbnica Reliktów".
Nowa rozgrywka Fortress Looter: Dopasuj się do innych graczy i rywalizuj o zasoby poprzez strategiczne bitwy.
Nowa Wielkanocna aktywność: Rozbijaj Szczęśliwe jaja i zdobywaj ekskluzywny skórkę dla miasta oraz inne bogate nagrody!
&lt;/pl-PL&gt;
&lt;ar&gt;
- إضافة مقاتل جديد: بحار الرحلات البعيدة - هادي، البحار الذي يبحث عن الكنوز الغامضة ويتحدى الأمواج! يمكن الحصول عليه من خلال "القرد الخارق".
المقتنيات الجديدة: تقديم 5 مجموعات جديدة من المقتنيات - خدعة واختيال، بريق الذهب، رائد في الرياضة، الاتجاه والموضة، وفحص الصحة. يمكن الحصول عليها من خلال حدث "خزانة المقتنيات المفاجئة".
لعبة نهب الحصون الجديدة: تواجه لاعبين آخرين وتنافس على الموارد من خلال معارك استراتيجية.
- إضافة نشاط عيد الفصح: اكسر بيض الحظ واربح بشكل حصري جلدة مدينة فاخرة وجوائز أخرى غنية!
&lt;/ar&gt;
</v>
      </c>
      <c r="C59" s="44" t="str">
        <f>IFERROR(__xludf.DUMMYFUNCTION("""COMPUTED_VALUE"""),"-新增斗士：远航水手-哈迪，为了神秘宝藏，乘风破浪的水手！可通过“最强猴子”获取。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-新增复活节活动：敲击幸运彩蛋，赢取限定豪华主城皮肤和其它丰富奖励！")</f>
        <v>-新增斗士：远航水手-哈迪，为了神秘宝藏，乘风破浪的水手！可通过“最强猴子”获取。
-新增收藏品：新增【耀武扬威】、【金光灿灿】、【运动先锋】、【摩登潮流】、【健康检查】共5套收藏品，可通过“惊喜藏品屋”获取。
-新增堡垒竞夺玩法：匹配其他玩家作战，通过策略竞夺资源
-新增复活节活动：敲击幸运彩蛋，赢取限定豪华主城皮肤和其它丰富奖励！</v>
      </c>
      <c r="D59" s="159" t="str">
        <f>IFERROR(__xludf.DUMMYFUNCTION("""COMPUTED_VALUE"""),"- New Fighter: Seafarer Hardy - A sailor who braves the waves in search of mysterious treasures! Obtainable through the ""Ultimate Monkey"" event.
- New Relics: Introducing 5 new sets of relics - Bluff &amp; Bluster, Gleaming Gold, Ace Sportsmen, Trend &amp; Fas"&amp;"hion, and Health Checkup. Obtainable through the ""Surprise Relic Vault"" event.
- New Fortress Looter gameplay: Match with other players and compete for resources through strategic battles.
- New Easter Event: Crack Lucky Eggs to win exclusive deluxe B"&amp;"ase skins and other amazing rewards!")</f>
        <v>- New Fighter: Seafarer Hardy - A sailor who braves the waves in search of mysterious treasures! Obtainable through the "Ultimate Monkey" event.
- New Relics: Introducing 5 new sets of relics - Bluff &amp; Bluster, Gleaming Gold, Ace Sportsmen, Trend &amp; Fashion, and Health Checkup. Obtainable through the "Surprise Relic Vault" event.
- New Fortress Looter gameplay: Match with other players and compete for resources through strategic battles.
- New Easter Event: Crack Lucky Eggs to win exclusive deluxe Base skins and other amazing rewards!</v>
      </c>
      <c r="E59" s="159" t="str">
        <f>IFERROR(__xludf.DUMMYFUNCTION("""COMPUTED_VALUE"""),"Nouveau combattant ajouté : le marin au long cours - Hardy, un marin qui brave les tempêtes pour trouver des trésors mystérieux ! Disponible via l'événement ""Singe ultime"".
Nouvelles reliques: Présentation de 5 nouveaux ensembles de reliques - Fanfaron"&amp;"nade, Dorures, Athlétisme, Mode et Santé. Obtenez-les lors de l'événement ""Coffre-fort de reliques surprise"".
Nouveau gameplay de pillage de forteresse : affrontez d'autres joueurs et rivalisez pour les ressources lors de batailles stratégiques.
Nouve"&amp;"l évènement de Pâques: Cassez les œufs-surprises pour gagner une peau de ville de luxe exclusive et d'autres récompenses riches en surprises!")</f>
        <v>Nouveau combattant ajouté : le marin au long cours - Hardy, un marin qui brave les tempêtes pour trouver des trésors mystérieux ! Disponible via l'événement "Singe ultime".
Nouvelles reliques: Présentation de 5 nouveaux ensembles de reliques - Fanfaronnade, Dorures, Athlétisme, Mode et Santé. Obtenez-les lors de l'événement "Coffre-fort de reliques surprise".
Nouveau gameplay de pillage de forteresse : affrontez d'autres joueurs et rivalisez pour les ressources lors de batailles stratégiques.
Nouvel évènement de Pâques: Cassez les œufs-surprises pour gagner une peau de ville de luxe exclusive et d'autres récompenses riches en surprises!</v>
      </c>
      <c r="F59" s="159" t="str">
        <f>IFERROR(__xludf.DUMMYFUNCTION("""COMPUTED_VALUE"""),"Neuer Kämpfer: Der Seefahrer Hardy, ein Seemann, der für geheimnisvolle Schätze über die Wellen reitet! Kann durch ""Ultimativer Affe"" erhalten werden.
Neue Relikte: Einführung von 5 neuen Relikt-Sets - Bluff &amp; Bluster, Glänzendes Gold, Top Sportsmänner"&amp;", Trend &amp; Mode und Gesundheitscheck. Erhältlich durch das Ereignis ""Überraschungs-Relikt-Tresor"".
Neues Fortress Looter Gameplay: Trete gegen andere Spieler an und kämpfe durch strategische Schlachten um Ressourcen.
Neues Oster-Event: Schlage Glücksei"&amp;"er und gewinne exklusive Luxus-Stadtskins und andere tolle Belohnungen!")</f>
        <v>Neuer Kämpfer: Der Seefahrer Hardy, ein Seemann, der für geheimnisvolle Schätze über die Wellen reitet! Kann durch "Ultimativer Affe" erhalten werden.
Neue Relikte: Einführung von 5 neuen Relikt-Sets - Bluff &amp; Bluster, Glänzendes Gold, Top Sportsmänner, Trend &amp; Mode und Gesundheitscheck. Erhältlich durch das Ereignis "Überraschungs-Relikt-Tresor".
Neues Fortress Looter Gameplay: Trete gegen andere Spieler an und kämpfe durch strategische Schlachten um Ressourcen.
Neues Oster-Event: Schlage Glückseier und gewinne exklusive Luxus-Stadtskins und andere tolle Belohnungen!</v>
      </c>
      <c r="G59" s="159" t="str">
        <f>IFERROR(__xludf.DUMMYFUNCTION("""COMPUTED_VALUE"""),"Novo lutador adicionado: O Marinheiro Aventureiro - Hardy, um marinheiro destemido que navega pelos mares em busca de tesouros misteriosos! Pode ser obtido através do ""Macaco Supremo"".
Novas Relíquias: Apresentando 5 novos conjuntos de relíquias - Blef"&amp;"e e bravata, Ouro reluzente, Estrelas desportistas, Tendência e moda e Exame médico. Obtidas através do evento ""Cofre de Relíquias Surpresa"".
Novo jogo Conquista da Fortaleza: Combine com outros jogadores e compita por recursos através de batalhas estr"&amp;"atégicas.
Novo evento de Páscoa: Quebre os ovos da sorte e ganhe a skin exclusiva de prefeitura de luxo e outras recompensas incríveis!")</f>
        <v>Novo lutador adicionado: O Marinheiro Aventureiro - Hardy, um marinheiro destemido que navega pelos mares em busca de tesouros misteriosos! Pode ser obtido através do "Macaco Supremo".
Novas Relíquias: Apresentando 5 novos conjuntos de relíquias - Blefe e bravata, Ouro reluzente, Estrelas desportistas, Tendência e moda e Exame médico. Obtidas através do evento "Cofre de Relíquias Surpresa".
Novo jogo Conquista da Fortaleza: Combine com outros jogadores e compita por recursos através de batalhas estratégicas.
Novo evento de Páscoa: Quebre os ovos da sorte e ganhe a skin exclusiva de prefeitura de luxo e outras recompensas incríveis!</v>
      </c>
      <c r="H59" s="159" t="str">
        <f>IFERROR(__xludf.DUMMYFUNCTION("""COMPUTED_VALUE"""),"-新增鬥士：遠航水手-哈迪，爲了神祕寶藏，乘風破浪的水手！可通過「最強猴子」獲取。
-新增收藏品：新增【耀武揚威】、【金光燦燦】、【運動先鋒】、【摩登潮流】、【健康檢查】共5套收藏品，可通過「驚喜藏品屋」獲取。
-新增堡壘掠奪玩法：配對其他玩家作戰，通過策略爭奪資源
新增復活節活動：敲擊幸運彩蛋，贏取限定豪華主城皮膚和其他豐富獎勵！")</f>
        <v>-新增鬥士：遠航水手-哈迪，爲了神祕寶藏，乘風破浪的水手！可通過「最強猴子」獲取。
-新增收藏品：新增【耀武揚威】、【金光燦燦】、【運動先鋒】、【摩登潮流】、【健康檢查】共5套收藏品，可通過「驚喜藏品屋」獲取。
-新增堡壘掠奪玩法：配對其他玩家作戰，通過策略爭奪資源
新增復活節活動：敲擊幸運彩蛋，贏取限定豪華主城皮膚和其他豐富獎勵！</v>
      </c>
      <c r="I59" s="159" t="str">
        <f>IFERROR(__xludf.DUMMYFUNCTION("""COMPUTED_VALUE"""),"- Pejuang baru: Pelaut Penjelajah Hardy, mengarungi ombak, menjadi pelaut demi harta karun misterius! Dapat diperoleh melalui ""Kera Terkuat"".
- Pusaka Baru: Tambahkan koleksi Anda dengan Pusaka Baru seperti ""Pamer Keahlian"", ""Emas Bersinar"", ""Pelo"&amp;"por Olahraga"", ""Fashion Trendi"", dan ""Pemeriksaan Kesehatan"". Kumpulkan semua Pusaka ini melalui ""RUMAH PUSAKA KEJUTAN"".
-Tambahkan gameplay Penjarahan Benteng: Pertandingan dengan pemain lain, rebut sumber daya dengan strategi.
- Aktivitas Paska"&amp;"h baru: Pecahkan Telur Keberuntungan dan menangkan kulit Kota mewah yang terbatas dan hadiah lainnya yang melimpah!")</f>
        <v>- Pejuang baru: Pelaut Penjelajah Hardy, mengarungi ombak, menjadi pelaut demi harta karun misterius! Dapat diperoleh melalui "Kera Terkuat".
- Pusaka Baru: Tambahkan koleksi Anda dengan Pusaka Baru seperti "Pamer Keahlian", "Emas Bersinar", "Pelopor Olahraga", "Fashion Trendi", dan "Pemeriksaan Kesehatan". Kumpulkan semua Pusaka ini melalui "RUMAH PUSAKA KEJUTAN".
-Tambahkan gameplay Penjarahan Benteng: Pertandingan dengan pemain lain, rebut sumber daya dengan strategi.
- Aktivitas Paskah baru: Pecahkan Telur Keberuntungan dan menangkan kulit Kota mewah yang terbatas dan hadiah lainnya yang melimpah!</v>
      </c>
      <c r="J59" s="159" t="str">
        <f>IFERROR(__xludf.DUMMYFUNCTION("""COMPUTED_VALUE"""),"เพิ่มนักสู้: นักเดินเรือฮาร์ดี้ เพื่อสมบัติลึกลับ กะลาสีผจญภัยทุกรูปแบบเพื่อขุมทรัพย์ปริศนา! สามารถรับได้ผ่านกิจกรรม ""ลิงที่แข็งแกร่งที่สุด""
เพิ่มวัตถุโบราณใหม่: เพิ่ม【ขี้โม้โอ้อวด】、【ทองอร่าม】、【สายออกำลังกาย】、【แฟชั่นนิสต้า】、【เช็คสุขภาพ】ทั้งหมด 5 ชุด สา"&amp;"มารถรับได้จาก【คลังวัตถุโบราณสุดเซอร์ไพรส์】
เพิ่มเกมเพลย์ปล้นป้อมปราการใหม่: จับคู่กับผู้เล่นอื่นเพื่อต่อสู้และแข่งขันกันด้วยกันในการใช้กลยุทธ์เพื่อปล้นทรัพยากร
เพิ่มกิจกรรมวันอีสเตอร์: ตอกไข่นำโชคเพื่อรับรางวัลหนังสือเมืองหลักพิเศษจำนวนจำกัดและรางวัลอื่"&amp;"นๆอีกมากมาย!")</f>
        <v>เพิ่มนักสู้: นักเดินเรือฮาร์ดี้ เพื่อสมบัติลึกลับ กะลาสีผจญภัยทุกรูปแบบเพื่อขุมทรัพย์ปริศนา! สามารถรับได้ผ่านกิจกรรม "ลิงที่แข็งแกร่งที่สุด"
เพิ่มวัตถุโบราณใหม่: เพิ่ม【ขี้โม้โอ้อวด】、【ทองอร่าม】、【สายออกำลังกาย】、【แฟชั่นนิสต้า】、【เช็คสุขภาพ】ทั้งหมด 5 ชุด สามารถรับได้จาก【คลังวัตถุโบราณสุดเซอร์ไพรส์】
เพิ่มเกมเพลย์ปล้นป้อมปราการใหม่: จับคู่กับผู้เล่นอื่นเพื่อต่อสู้และแข่งขันกันด้วยกันในการใช้กลยุทธ์เพื่อปล้นทรัพยากร
เพิ่มกิจกรรมวันอีสเตอร์: ตอกไข่นำโชคเพื่อรับรางวัลหนังสือเมืองหลักพิเศษจำนวนจำกัดและรางวัลอื่นๆอีกมากมาย!</v>
      </c>
      <c r="K59" s="159" t="str">
        <f>IFERROR(__xludf.DUMMYFUNCTION("""COMPUTED_VALUE"""),"Nuevo luchador: Navegante Hardy, ¡un marinero que surca los mares en busca de tesoros misteriosos! ¡Puede ser obtenido a través de ""Mono Supremo""!
Nuevas Reliquias: Presentamos 5 nuevos conjuntos de reliquias - Engaño y bravuconería, Oro reluciente, De"&amp;"portistas estrella, Moda y tendencia, y Control de salud. Obténlas a través del evento ""Bóveda de Reliquias Sorpresa"".
Nuevo juego de Toma de la Fortaleza: ¡Emparejate con otros jugadores y compite por recursos a través de batallas estratégicas!
Nuevo"&amp;" evento de Pascua: ¡Rompe los huevos de la suerte y gana una apariencia de ciudad de lujo exclusiva y otros fabulosos premios!")</f>
        <v>Nuevo luchador: Navegante Hardy, ¡un marinero que surca los mares en busca de tesoros misteriosos! ¡Puede ser obtenido a través de "Mono Supremo"!
Nuevas Reliquias: Presentamos 5 nuevos conjuntos de reliquias - Engaño y bravuconería, Oro reluciente, Deportistas estrella, Moda y tendencia, y Control de salud. Obténlas a través del evento "Bóveda de Reliquias Sorpresa".
Nuevo juego de Toma de la Fortaleza: ¡Emparejate con otros jugadores y compite por recursos a través de batallas estratégicas!
Nuevo evento de Pascua: ¡Rompe los huevos de la suerte y gana una apariencia de ciudad de lujo exclusiva y otros fabulosos premios!</v>
      </c>
      <c r="L59" s="159" t="str">
        <f>IFERROR(__xludf.DUMMYFUNCTION("""COMPUTED_VALUE"""),"Новый боец: мореход Харди - путешественник, плавающий по ветру и волнам в поисках таинственных сокровищ! Можно получить через ""Великую обезьяну"".
Новые реликвии: представляем 5 новых наборов реликвий - Блеф и бравада, Сверкающее золото, Топовые спортсм"&amp;"ены, Тренды и мода и Проверка здоровья. Можно получить в рамках события ""Секретный сейф с реликвиями"".
Новый геймплей «Лутер крепости»: Соперничайте с другими игроками и сражайтесь за ресурсы в стратегических битвах.
Новое пасхальное событие: разбейте"&amp;" счастливые яйца и выиграйте эксклюзивную роскошную оболочку для главного города и другие богатые награды!")</f>
        <v>Новый боец: мореход Харди - путешественник, плавающий по ветру и волнам в поисках таинственных сокровищ! Можно получить через "Великую обезьяну".
Новые реликвии: представляем 5 новых наборов реликвий - Блеф и бравада, Сверкающее золото, Топовые спортсмены, Тренды и мода и Проверка здоровья. Можно получить в рамках события "Секретный сейф с реликвиями".
Новый геймплей «Лутер крепости»: Соперничайте с другими игроками и сражайтесь за ресурсы в стратегических битвах.
Новое пасхальное событие: разбейте счастливые яйца и выиграйте эксклюзивную роскошную оболочку для главного города и другие богатые награды!</v>
      </c>
      <c r="M59" s="159" t="str">
        <f>IFERROR(__xludf.DUMMYFUNCTION("""COMPUTED_VALUE"""),"Yeni savaşçı: Uzak Denizci Hardy - Gizemli hazineler için rüzgarı kıran bir denizci! ""En Üstün Maymun"" ile elde edilebilir.
Yeni Kalıntılar: Bluff &amp; Bluster, Parıldayan Altın, Usta Sporcular, Trend ve Moda ve Sağlık Kontrolü olmak üzere 5 yeni kalıntı "&amp;"seti tanıtıldı. ""Sürpriz Kalıntı Tresoru"" etkinliği aracılığıyla elde edilebilir.
Yeni Kaleyi Ele Geçirme oyunu: Diğer oyuncularla eşleş ve stratejik savaşlarla kaynaklar için yarış.
Yeni Paskalya etkinliği eklendi: Şanslı Yumurtaları kırın, sınırlı s"&amp;"ayıda lüks ana şehir görünümü ve diğer zengin ödülleri kazanın!")</f>
        <v>Yeni savaşçı: Uzak Denizci Hardy - Gizemli hazineler için rüzgarı kıran bir denizci! "En Üstün Maymun" ile elde edilebilir.
Yeni Kalıntılar: Bluff &amp; Bluster, Parıldayan Altın, Usta Sporcular, Trend ve Moda ve Sağlık Kontrolü olmak üzere 5 yeni kalıntı seti tanıtıldı. "Sürpriz Kalıntı Tresoru" etkinliği aracılığıyla elde edilebilir.
Yeni Kaleyi Ele Geçirme oyunu: Diğer oyuncularla eşleş ve stratejik savaşlarla kaynaklar için yarış.
Yeni Paskalya etkinliği eklendi: Şanslı Yumurtaları kırın, sınırlı sayıda lüks ana şehir görünümü ve diğer zengin ödülleri kazanın!</v>
      </c>
      <c r="N59" s="45" t="str">
        <f>IFERROR(__xludf.DUMMYFUNCTION("""COMPUTED_VALUE"""),"-MỚI: Chiến Binh Thủy Thủ Viễn Hành - Hardy, Những thủy thủ vì kho báu bí ẩn mà đạp gió rẽ sóng! Có thể nhận được thông qua ""Chúa Khỉ Tối Cao"".
Thêm vào bộ sưu tập: Thêm 5 bộ sưu tập mới gồm 【Diễu Võ Dương Oai】, 【Ánh Vàng】, 【Tiên Phong Thể Thao】, 【Trào"&amp;" Lưu Hiện Đại】, và 【Kiểm Tra Sức Khỏe】. Các bộ sưu tập này có thể được thu thập thông qua phòng sưu tập bất ngờ.
- Thêm chế độ chơi Cướp Bóc Pháo Đài mới: Tìm đối thủ và chiến đấu với nhau, cạnh tranh tài nguyên bằng chiến thuật.
- Hoạt động Phục Sinh M"&amp;"ới: Đập Trứng May Mắn và giành được Giới Hạn Da Thành Chính Cao Cấp và những phần thưởng phong phú khác!")</f>
        <v>-MỚI: Chiến Binh Thủy Thủ Viễn Hành - Hardy, Những thủy thủ vì kho báu bí ẩn mà đạp gió rẽ sóng! Có thể nhận được thông qua "Chúa Khỉ Tối Cao".
Thêm vào bộ sưu tập: Thêm 5 bộ sưu tập mới gồm 【Diễu Võ Dương Oai】, 【Ánh Vàng】, 【Tiên Phong Thể Thao】, 【Trào Lưu Hiện Đại】, và 【Kiểm Tra Sức Khỏe】. Các bộ sưu tập này có thể được thu thập thông qua phòng sưu tập bất ngờ.
- Thêm chế độ chơi Cướp Bóc Pháo Đài mới: Tìm đối thủ và chiến đấu với nhau, cạnh tranh tài nguyên bằng chiến thuật.
- Hoạt động Phục Sinh Mới: Đập Trứng May Mắn và giành được Giới Hạn Da Thành Chính Cao Cấp và những phần thưởng phong phú khác!</v>
      </c>
      <c r="O59" s="45" t="str">
        <f>IFERROR(__xludf.DUMMYFUNCTION("""COMPUTED_VALUE"""),"Nuovo combattente: il navigante Hardy, un marinaio che attraversa gli oceani alla ricerca di tesori! Può essere ottenuto tramite ""Scimmia suprema"".
Nuove Reliquie: presentiamo 5 nuovi set di reliquie - Spavalderia e intimidazioni, Oro scintillante, Cam"&amp;"pioni di sport, Moda e tendenze e Controllo medico. Ottenibili tramite l'evento ""Cofanetto sorpresa delle Reliquie"".
Nuova modalità di gioco Fortress Saccheggiatore: Abbina con altri giocatori e competi per le risorse attraverso battaglie strategiche.
"&amp;"
Nuova attività di Pasqua: Rompi le uova fortunate e vinci la skin deluxe esclusiva per la città e altre fantastiche ricompense!")</f>
        <v>Nuovo combattente: il navigante Hardy, un marinaio che attraversa gli oceani alla ricerca di tesori! Può essere ottenuto tramite "Scimmia suprema".
Nuove Reliquie: presentiamo 5 nuovi set di reliquie - Spavalderia e intimidazioni, Oro scintillante, Campioni di sport, Moda e tendenze e Controllo medico. Ottenibili tramite l'evento "Cofanetto sorpresa delle Reliquie".
Nuova modalità di gioco Fortress Saccheggiatore: Abbina con altri giocatori e competi per le risorse attraverso battaglie strategiche.
Nuova attività di Pasqua: Rompi le uova fortunate e vinci la skin deluxe esclusiva per la città e altre fantastiche ricompense!</v>
      </c>
      <c r="P59" s="34" t="str">
        <f>IFERROR(__xludf.DUMMYFUNCTION("""COMPUTED_VALUE"""),"Nowy wojownik: Żeglarz-Hardy, morski podróżnik, który przemierza oceany w poszukiwaniu tajemniczych skarbów! Można go zdobyć poprzez zdobycie tytułu ""Ubermałpy"".
Nowe Relikty: Przedstawiamy 5 nowych zestawów reliktów - Insygnia siły, Złoto co się świec"&amp;"i, Sport wyczynowy, Moda i trendy oraz Służba zdrowia. Można je zdobyć podczas wydarzenia ""Niespodziankowa Skarbnica Reliktów"".
Nowa rozgrywka Fortress Looter: Dopasuj się do innych graczy i rywalizuj o zasoby poprzez strategiczne bitwy.
Nowa Wielkano"&amp;"cna aktywność: Rozbijaj Szczęśliwe jaja i zdobywaj ekskluzywny skórkę dla miasta oraz inne bogate nagrody!")</f>
        <v>Nowy wojownik: Żeglarz-Hardy, morski podróżnik, który przemierza oceany w poszukiwaniu tajemniczych skarbów! Można go zdobyć poprzez zdobycie tytułu "Ubermałpy".
Nowe Relikty: Przedstawiamy 5 nowych zestawów reliktów - Insygnia siły, Złoto co się świeci, Sport wyczynowy, Moda i trendy oraz Służba zdrowia. Można je zdobyć podczas wydarzenia "Niespodziankowa Skarbnica Reliktów".
Nowa rozgrywka Fortress Looter: Dopasuj się do innych graczy i rywalizuj o zasoby poprzez strategiczne bitwy.
Nowa Wielkanocna aktywność: Rozbijaj Szczęśliwe jaja i zdobywaj ekskluzywny skórkę dla miasta oraz inne bogate nagrody!</v>
      </c>
      <c r="Q59" s="34" t="str">
        <f>IFERROR(__xludf.DUMMYFUNCTION("""COMPUTED_VALUE"""),"- إضافة مقاتل جديد: بحار الرحلات البعيدة - هادي، البحار الذي يبحث عن الكنوز الغامضة ويتحدى الأمواج! يمكن الحصول عليه من خلال ""القرد الخارق"".
المقتنيات الجديدة: تقديم 5 مجموعات جديدة من المقتنيات - خدعة واختيال، بريق الذهب، رائد في الرياضة، الاتجاه والم"&amp;"وضة، وفحص الصحة. يمكن الحصول عليها من خلال حدث ""خزانة المقتنيات المفاجئة"".
لعبة نهب الحصون الجديدة: تواجه لاعبين آخرين وتنافس على الموارد من خلال معارك استراتيجية.
- إضافة نشاط عيد الفصح: اكسر بيض الحظ واربح بشكل حصري جلدة مدينة فاخرة وجوائز أخرى غنية"&amp;"!")</f>
        <v>- إضافة مقاتل جديد: بحار الرحلات البعيدة - هادي، البحار الذي يبحث عن الكنوز الغامضة ويتحدى الأمواج! يمكن الحصول عليه من خلال "القرد الخارق".
المقتنيات الجديدة: تقديم 5 مجموعات جديدة من المقتنيات - خدعة واختيال، بريق الذهب، رائد في الرياضة، الاتجاه والموضة، وفحص الصحة. يمكن الحصول عليها من خلال حدث "خزانة المقتنيات المفاجئة".
لعبة نهب الحصون الجديدة: تواجه لاعبين آخرين وتنافس على الموارد من خلال معارك استراتيجية.
- إضافة نشاط عيد الفصح: اكسر بيض الحظ واربح بشكل حصري جلدة مدينة فاخرة وجوائز أخرى غنية!</v>
      </c>
      <c r="R59" s="34"/>
      <c r="S59" s="34"/>
      <c r="T59" s="108"/>
      <c r="U59" s="108"/>
      <c r="V59" s="108"/>
      <c r="W59" s="108"/>
      <c r="X59" s="108"/>
      <c r="Y59" s="108"/>
      <c r="Z59" s="108"/>
    </row>
    <row r="60">
      <c r="A60" s="149" t="str">
        <f>IFERROR(__xludf.DUMMYFUNCTION("""COMPUTED_VALUE"""),"0.52.5")</f>
        <v>0.52.5</v>
      </c>
      <c r="B60" s="174" t="str">
        <f>IFERROR(__xludf.DUMMYFUNCTION("""COMPUTED_VALUE"""),"&lt;en-US&gt;
-New Pioneer Festival Event:
-Mecha Trove: Use the Commemorative Wrench to win limited deluxe Base skins and other rich rewards!
-Operation Pioneer: Complete tasks, light up task cards, and easily obtain limited festival decorations!
-Decoration U"&amp;"pgrade: By participating in the Pioneer Festival Event, you can get new limited decorations and other rich rewards!
-Dig for Victory: Collect drills and win Pioneer Festival rewards!
-Giganto Invasion: New limited-time damage boost and gang rewards; fight"&amp;" to protect the fruits of our labor!
-Limited-time gameplay: Dig for Gold in the Underground
In Dig for Gold, mining ores can earn you Derrick's medals, Legendary Gene Potions, and other rich rewards. Players with high scores will also receive additional "&amp;"ranking rewards!
In addition, there are new mechanisms waiting for you to explore:
-Laser Mining Gun: There is a probability of obtaining it when opening random boxes. This weapon can increase the mining range of workers. Drag it onto any worker to activa"&amp;"te it!
-Bomb Generator: There is a probability of obtaining it when opening random boxes. Digging it up can generate bombs!
-Mutant Invasion: During the event, Mutants will invade at irregular intervals. Defeating them can earn you Research Emulsion!
&lt;/en"&amp;"-US&gt;
&lt;fr-FR&gt;
-Nouvel événement Pioneer Festival :
-TRÉSOR MÉCHA: Utilisez la Clé commémorative pour gagner des skins de Base de luxe limités et d'autres récompenses riches !
-Opération Pioneer : Complétez les tâches, allumez les cartes de tâches et obtene"&amp;"z facilement des décorations de festival limitées !
-Amélioration des décors : En participant à l'événement Pioneer Festival, vous pouvez obtenir de nouvelles décorations limitées et d'autres récompenses riches !
-Creuser pour la Victoire : Collectez des "&amp;"foreuses et gagnez des récompenses du Pioneer Festival !
-Invasion Giganto : Nouveau bonus de dégâts limité dans le temps et récompenses de gang ; combattez pour protéger les fruits de notre travail !
-Gameplay limité dans le temps : Creuser pour de l'Or "&amp;"dans le Sous-terre
Dans Creuser pour de l'Or, l'extraction de minerais peut vous faire gagner des médailles de Derrick, des Potions Génétiques Légendaires et d'autres récompenses riches. Les joueurs ayant des scores élevés recevront également des récompen"&amp;"ses supplémentaires de classement !
De plus, il y a de nouveaux mécanismes qui vous attendent pour les explorer :
-Pistolet de minage laser : Il y a une probabilité de l'obtenir en ouvrant des boîtes aléatoires. Cette arme peut augmenter la portée d'extra"&amp;"ction des travailleurs. Faites-le glisser sur n'importe quel travailleur pour l'activer !
-Générateur de bombes : Il y a une probabilité de l'obtenir en ouvrant des boîtes aléatoires. Le creuser peut générer des bombes !
-Invasion Mutante : Pendant l'évén"&amp;"ement, les Mutants envahiront à intervalles irréguliers. Les vaincre peut vous faire gagner de l'Emulsion de Recherche !
&lt;/fr-FR&gt;
&lt;de-DE&gt;
-Neues Pioneer Festival Event:
-Mecha-Schatzkiste: Verwenden Sie den Gedenkschlüssel, um limitierte Deluxe-Basis-Skin"&amp;"s und andere wertvolle Belohnungen zu gewinnen!
-Operation Pionier: Aufgaben erfüllen, Aufgabenkarten aufleuchten lassen und einfach limitierte Festivaldekorationen erhalten!
-Dekoration Aufwerten: Durch die Teilnahme am Pioneer Festival Event können Sie "&amp;"neue limitierte Dekorationen und andere wertvolle Belohnungen erhalten!
-Grabe nach Sieg: Sammle Bohrer und gewinne Pioneer Festival Belohnungen!
-Giganto Invasion: Neue zeitlich begrenzte Schadensverstärkung und Bandenbelohnungen; kämpfen, um die Früchte"&amp;" unserer Arbeit zu schützen!
-Zeitlich begrenztes Gameplay: Grabe nach Gold im Unterirdischen
Beim Graben nach Gold können Sie durch das Abbauen von Erzen Derricks Medaillen, legendäre Gentränke und andere wertvolle Belohnungen verdienen. Spieler mit hohe"&amp;"n Punktzahlen erhalten auch zusätzliche Ranglistenbelohnungen!
Außerdem gibt es neue Mechanismen, die darauf warten, von Ihnen erkundet zu werden:
-Laser-Bergbaupistole: Es besteht eine Wahrscheinlichkeit, sie beim Öffnen von zufälligen Kisten zu erhalten"&amp;". Diese Waffe kann die Abbau-Reichweite von Arbeitern erhöhen. Ziehen Sie es auf einen beliebigen Arbeiter, um es zu aktivieren!
-Bombengenerator: Es besteht eine Wahrscheinlichkeit, ihn beim Öffnen von zufälligen Kisten zu erhalten. Wenn man ihn ausgräbt"&amp;", kann er Bomben erzeugen!
-Mutanteninvasion: Während des Events werden Mutanten in unregelmäßigen Abständen einfallen. Wenn man sie besiegt, kann man Forschungsemulsion verdienen!
&lt;/de-DE&gt;
&lt;pt-BR&gt;
- Novo Evento do Festival Pioneiro:
- Tesouro Mecha: Use "&amp;"a Chave Comemorativa para ganhar skins de luxo limitadas para a Base e outras recompensas valiosas!
- Operação Pioneira: Complete tarefas, acenda cartões de tarefa e obtenha facilmente decorações de festival limitadas!
- Melhoria de Decoração: Ao particip"&amp;"ar do Evento do Festival Pioneiro, você pode obter novas decorações limitadas e outras recompensas valiosas!
- Cavar pela Vitória: Colete brocas e ganhe recompensas do Festival Pioneiro!
- Invasão Giganto: Novo aumento de dano por tempo limitado e recompe"&amp;"nsas de gangue; lute para proteger os frutos do nosso trabalho!
- Jogabilidade por tempo limitado: Cavar por Ouro no Subterrâneo
Ao cavar por Ouro, a mineração de minérios pode render medalhas de Derrick, Poções de genes Lendárias e outras recompensas val"&amp;"iosas. Jogadores com pontuações altas também receberão recompensas adicionais de classificação!
Além disso, há novos mecanismos esperando por você para explorar:
- Laser Mining Gun: Há uma probabilidade de obtê-lo ao abrir caixas aleatórias. Esta arma pod"&amp;"e aumentar o alcance de mineração dos trabalhadores. Arraste-o para qualquer trabalhador para ativá-lo!
- Gerador de Bombas: Há uma probabilidade de obtê-lo ao abrir caixas aleatórias. Cavar pode gerar bombas!
- Invasão Mutante: Durante o evento, os Mutan"&amp;"tes invadirão em intervalos irregulares. Derrotá-los pode render Emulsão de Pesquisa!
&lt;/pt-BR&gt;
&lt;zh-HK&gt;
-新增拓荒節活動：
-機械秘寶：使用紀念扳手，贏取限定豪華主城皮膚和其它豐富獎勵！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-巨猿入侵：新增限時傷害翻倍增益和幫派獎勵；為了捍衛猿族"&amp;"的勞動果實而戰！
-地下探寶限時玩法：拓荒掘金
在拓荒掘金中開採礦石，可以獲得德里克的獎牌、傳說基因藥水等豐厚獎勵，積分靠前的玩家還將獲得額外的排行獎勵！
此外還有全新機制等待您的探索：
-激光采礦槍：開啟隨機箱時有概率獲得。此武器可以提升工人的挖掘範圍，拖拽至任意工人身上即可生效！
-炸彈生成器：開啟隨機箱時有概率獲得。挖掘它可以生成炸彈！
-變異猴入侵：在活動中，變異猴會不定時入侵，擊敗它們可以獲得研究試劑！ 
&lt;/zh-HK&gt;
&lt;zh-TW&gt;
-新增拓荒節活動：
-機械秘寶：使用紀念扳手，贏取限定豪"&amp;"華主城皮膚和其它豐富獎勵！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-巨猿入侵：新增限時傷害翻倍增益和幫派獎勵；為了捍衛猿族的勞動果實而戰！
-地下探寶限時玩法：拓荒掘金
在拓荒掘金中開採礦石，可以獲得德里克的獎牌、傳說基因藥水等豐厚獎勵，積分靠前的玩家還將獲得額外的排行獎勵！
此外還有全新機制等待您的探索：
-激光采礦槍：開啟隨機箱時有概率獲得。此武器可以提升工人的挖掘範圍，拖拽至"&amp;"任意工人身上即可生效！
-炸彈生成器：開啟隨機箱時有概率獲得。挖掘它可以生成炸彈！
-變異猴入侵：在活動中，變異猴會不定時入侵，擊敗它們可以獲得研究試劑！ 
&lt;/zh-TW&gt;
&lt;id&gt;
-Event Festival Pioneer Baru:
-Mekanik Harta Karun: Gunakan Kunci Ingatan untuk memenangkan kulit Kota mewah terbatas dan hadiah kaya lainnya!
-Operasi Pioneer: S"&amp;"elesaikan tugas, nyalakan kartu tugas, dan dengan mudah dapatkan dekorasi festival terbatas!
-Tingkatkan Dekorasi: Dengan berpartisipasi dalam Event Festival Pioneer, Anda bisa mendapatkan dekorasi terbatas baru dan hadiah kaya lainnya!
-Gali untuk Kemena"&amp;"ngan: Kumpulkan bor dan menangkan hadiah Festival Pioneer!
-Invasi Giganto: Peningkatan kerusakan terbatas baru dan hadiah geng; berjuang untuk melindungi buah dari jerih payah kita!
-Gameplay terbatas waktu: Membuka Penambangan Emas di Bawah Tanah
Dalam "&amp;"Membuka Penambangan Emas, menambang bijih dapat membuat Anda mendapatkan medali Derrick, Ramuan Gen Legendaris, dan hadiah kaya lainnya. Pemain dengan skor tinggi juga akan menerima hadiah peringkat tambahan!
Selain itu, ada mekanisme baru yang menunggu A"&amp;"nda untuk menjelajahi:
-Senapan Penambangan Laser: Ada kemungkinan mendapatkannya saat membuka kotak acak. Senjata ini dapat meningkatkan jangkauan penambangan pekerja. Seret ke pekerja mana saja untuk mengaktifkannya!
-Generator Bom: Ada kemungkinan mend"&amp;"apatkannya saat membuka kotak acak. Menggali itu bisa menghasilkan bom!
-Invasi Mutan: Selama acara, Mutan akan menyerang pada interval yang tidak teratur. Mengalahkan mereka dapat membuat Anda mendapatkan Reagen Penelitian!
&lt;/id&gt;
&lt;th&gt;
-เหตุการณ์เทศกาลนัก"&amp;"บุกเบิกใหม่:
-เครื่องจักรสมบัติลับ: ใช้คีมที่ระลึกเพื่อชนะสกินฐานหรูจำกัดและรางวัลอื่น ๆ ที่อุดมสมบูรณ์!
-การดำเนินงานผู้บุกเบิก: ทำงานเสร็จสิ้น สว่างขึ้นบัตรงาน และง่ายต่อการรับของตกแต่งเทศกาลจำกัด!
-การอัปเกรดของตกแต่ง: โดยการเข้าร่วมในเทศกาลนักบุกเบิก "&amp;"คุณสามารถรับของตกแต่งจำกัดใหม่และรางวัลอื่น ๆ ที่อุดมสมบูรณ์!
-ขุดเพื่อชัยชนะ: สะสมเครื่องเจาะและชนะรางวัลเทศกาลนักบุกเบิก!
-การบุกครั้งใหม่ของกิกันโต: การเพิ่มความเสียหายในเวลาจำกัดและรางวัลแก๊ง; ต่อสู้เพื่อปกป้องผลผลิตของเรา!
-เกมเพลย์เวลาจำกัด: ขุดเจาะ"&amp;"และหาทองใน Underground
ในการขุดเจาะและหาทอง การทำเหมืองแร่สามารถทำให้คุณได้รับเหรียญของเดอร์ริก, น้ำยายีนตำนาน และรางวัลอื่น ๆ ที่อุดมสมบูรณ์ ผู้เล่นที่มี
&lt;/th&gt;
&lt;es-419&gt;
-Nuevo evento del Festival Pionero:
-TESORO MECÁNICO: ¡Usa la Llave Conmemorativa par"&amp;"a ganar pieles de Base de lujo limitadas y otras ricas recompensas!
-Operación Pionera: ¡Completa tareas, ilumina tarjetas de tareas y obtén fácilmente decoraciones de festival limitadas!
-Decoración Mejorada: Al participar en el evento del Festival Pione"&amp;"ro, ¡puedes obtener nuevas decoraciones limitadas y otras ricas recompensas!
-Cavar para la Victoria: ¡Recolecta taladros y gana recompensas del Festival Pionero!
-Invasión Giganto: Nuevo impulso de daño por tiempo limitado y recompensas de pandillas; ¡lu"&amp;"cha para proteger los frutos de nuestro trabajo!
-Juego por tiempo limitado: Cavar en busca de Oro en el Underground
En Cavar en busca de Oro, la extracción de minerales puede hacerte ganar medallas de Derrick, Pociones de Genes Legendarios y otras ricas "&amp;"recompensas. ¡Los jugadores con puntuaciones altas también recibirán recompensas adicionales por clasificación!
Además, hay nuevos mecanismos esperando que los explores:
-Pistola de Minería Láser: Hay una probabilidad de obtenerla al abrir cajas aleatoria"&amp;"s. Esta arma puede aumentar el rango de minería de los trabajadores. ¡Arrástrala sobre cualquier trabajador para activarla!
-Generador de Bombas: Hay una probabilidad de obtenerlo al abrir cajas aleatorias. ¡Cavarlo puede generar bombas!
-Invasión Mutante"&amp;": Durante el evento, los Mutantes invadirán en intervalos irregulares. ¡Derrotarlos puede hacerte ganar Emulsiones de Investigación!
&lt;/es-419&gt;
&lt;ru-RU&gt;
-Новый событие Pioneer Festival:
-Меха-сокровищница: Используйте памятный гаечный ключ, чтобы выиграть о"&amp;"граниченные роскошные скины базы и другие богатые награды!
-Операция Пионер: Завершите задания, зажгите карточки заданий и легко получите ограниченные праздничные украшения!
-Улучшение украшений: Участвуя в событии Pioneer Festival, вы можете получить нов"&amp;"ые ограниченные украшения и другие богатые награды!
-Копать за победу: Соберите дрели и выиграйте награды Pioneer Festival!
-Вторжение Гиганто: Новый ограниченный временной урон и бандитские награды; сражайтесь, чтобы защитить плоды нашего труда!
-Огранич"&amp;"енное время игры: Копать за Золотом в Подземелье
В Копать за Золотом, добыча руды может принести вам медали Деррека, Легендарные Генные эликсиры и другие богатые награды. Игроки с высокими баллами также получат дополнительные награды за рейтинг!
Кроме тог"&amp;"о, есть новые механизмы, которые ждут вас, чтобы исследовать:
-Лазерная горная пушка: Есть вероятность получения при открытии случайных коробок. Это оружие может увеличить диапазон добычи рабочих. Перетащите его на любого рабочего, чтобы активировать его!"&amp;"
-Генератор бомб: Есть вероятность получения при открытии случайных коробок. Рыть его может генерировать бомбы!
-Вторжение мутантов: Во время события мутанты будут вторгаться с нерегулярными интервал
&lt;/ru-RU&gt;
&lt;tr-TR&gt;
-Yeni Pioneer Festival Etkinliği:
-Mec"&amp;"ha Sandığı: Anma Anahtarı ile sınırlı deluxe Üs kaplamaları ve diğer zengin ödüller kazanın!
-Operasyon Pioneer: Görevleri tamamlayın, görev kartlarını aydınlatın ve sınırlı festival dekorasyonlarını kolayca elde edin!
-Dekorasyon Yükseltme: Pioneer Festi"&amp;"val Etkinliğine katılarak yeni sınırlı dekorasyonlar ve diğer zengin ödüller elde edebilirsiniz!
-Zafer için Kazma: Matkapları toplayın ve Pioneer Festival ödüllerini kazanın!
-Giganto İstilası: Yeni sınırlı süreli hasar artışı ve çete ödülleri; emeğimizi"&amp;"n meyvelerini korumak için savaşın!
-Sınırlı süreli oyun: Yer altında Altın ara
Altın ara oyununda, maden cevherlerini çıkararak Derrick'in madalyalarını, Efsanevi Gen İksirlerini ve diğer zengin ödüller kazanabilirsiniz. Yüksek puanlı oyuncular ayrıca ek"&amp;" sıralama ödülleri de alacak!
Ayrıca, keşfetmeniz için yeni mekanizmalar da bulunmaktadır:
-Lazer Madencilik Silahı: Rastgele kutuları açarken elde etme olasılığı vardır. Bu silah, işçilerin madencilik menzilini artırabilir. Bunu etkinleştirmek için herha"&amp;"ngi bir işçinin üzerine sürükleyin!
-Bomba Üreteci: Rastgele kutuları açarken elde etme olasılığı vardır. Kazarak bombalar üretebilir!
-Mutant İstilası: Etkinlik sırasında, Mutantlar düzensiz aralıklarla istila edecek. Onları yenmek, Araştırma Çözeltisi k"&amp;"azandırabilir!
&lt;/tr-TR&gt;
&lt;vi&gt;
-Mới Sự kiện Lễ hội Tiên phong:
-Cơ khí Bảo vật: Sử dụng Cờ lê kỷ niệm để giành chiến thắng các mẫu da Tòa Thị Chính sang trọng giới hạn và những phần thưởng giá trị khác!
-Hoạt động Tiên phong: Hoàn thành nhiệm vụ, thắp sáng "&amp;"thẻ nhiệm vụ và dễ dàng nhận được các vật phẩm trang trí lễ hội giới hạn!
-Nâng cấp Trang Trí: Bằng cách tham gia vào Sự kiện Lễ hội Tiên phong, bạn có thể nhận được các vật phẩm trang trí mới giới hạn và những phần thưởng giá trị khác!
-Đào Bom Chiến Thắ"&amp;"ng: Thu thập khoan và giành phần thưởng Lễ hội Tiên phong!
-Xâm lược Giganto: Tăng sát thương giới hạn thời gian và phần thưởng băng nhóm; chiến đấu để bảo vệ thành quả lao động của chúng ta!
-Lối chơi giới hạn thời gian: Khai hoang đào vàng ở Dưới đất
Tr"&amp;"ong Khai hoang đào vàng, khai thác quặng có thể giúp bạn kiếm được huy chương của Derrick, Thuốc Gen Huyền Thoại và những phần thưởng giá trị khác. Người chơi có điểm số cao cũng sẽ nhận được phần thưởng xếp hạng bổ sung!
Ngoài ra, còn có những cơ chế mới"&amp;" đang chờ bạn khám phá:
-Súng Khoan Laser: Có xác suất nhận được khi mở hộp ngẫu nhiên. Vũ khí này có thể tăng phạm vi khai thác của công nhân. Kéo nó lên bất kỳ công nhân nào để kích hoạt!
-Máy phát Bom: Có xác suất nhận được khi mở hộp ngẫu nhiên. Đào B"&amp;"om nó có thể tạo ra bom
&lt;/vi&gt;
&lt;it-IT&gt;
-Nuovo evento Pioneer Festival:
-TESORO MECCANICO: Usa la Chiave commemorativa per vincere skin di Base deluxe limitate e altre ricche ricompense!
-Operazione Pioneer: Completa le missioni, illumina le carte delle mis"&amp;"sioni e ottieni facilmente decorazioni del festival limitate!
-Decoraz. Potenzia: Partecipando all'evento Pioneer Festival, puoi ottenere nuove decorazioni limitate e altre ricche ricompense!
-Scava per la Vittoria: Raccogli trapani e vinci premi del Pion"&amp;"eer Festival!
-Invasione Gigagorilla: Nuovo potenziamento del danno a tempo limitato e ricompense di gang; combatti per proteggere i frutti del nostro lavoro!
-Gameplay a tempo limitato: Scava per l'Oro nel Sotto terra
Nel Scava per l'Oro, estrarre minera"&amp;"li può farti guadagnare le medaglie di Derrick, Pozioni geniche Leggendarie e altre ricche ricompense. I giocatori con punteggi alti riceveranno anche premi aggiuntivi in classifica!
Inoltre, ci sono nuovi meccanismi in attesa che tu li esplori:
-Pistola "&amp;"da Minatore Laser: C'è una probabilità di ottenerla quando si aprono caselle casuali. Quest'arma può aumentare il raggio di estrazione dei lavoratori. Trascinala su qualsiasi lavoratore per attivarla!
-Generatore di Bombe: C'è una probabilità di ottenerlo"&amp;" quando si aprono caselle casuali. Scavandolo può generare bombe!
-Invasione Mutante: Durante l'evento, i Mutanti invaderanno a intervalli irregolari. Sconfiggerli può farti guadagnare Emulsione di ricerca!
&lt;/it-IT&gt;
&lt;pl-PL&gt;
-Nowe wydarzenie Pioneer Festiv"&amp;"al:
-SKARB MECHA: Użyj pamiątkowego klucza, aby wygrać limitowane luksusowe skórki bazy i inne bogate nagrody!
-Operacja Pioneer: Wykonuj zadania, rozświetlaj karty zadaniami i łatwo zdobądź limitowane dekoracje festiwalowe!
-Modernizacja dekoracji: Biorą"&amp;"c udział w wydarzeniu Pioneer Festival, możesz zdobyć nowe limitowane dekoracje i inne bogate nagrody!
-Kop dla zwycięstwa: Zbieraj wiertła i wygrywaj nagrody Pioneer Festival!
-Inwazja Gigamałpy: Nowe, limitowane w czasie wzmocnienie obrażeń i nagrody dl"&amp;"a gangu; walcz, aby chronić owoce naszej pracy!
-Gameplay limitowany czasowo: Kop w poszukiwaniu złota w Podziemiach
W Kopaniu dla Złota, wydobycie rud może przynieść Ci medale Derricka, Legendarny Eliksiry genowe i inne bogate nagrody. Gracze z wysokimi "&amp;"wynikami otrzymają również dodatkowe nagrody rankingowe!
Ponadto czekają na Ciebie nowe mechanizmy do odkrycia:
-Laserowy karabin górniczy: Istnieje prawdopodobieństwo uzyskania go przy otwieraniu losowych skrzynek. Ta broń może zwiększyć zasięg wydobycia"&amp;" pracowników. Przeciągnij go na dowolnego pracownika, aby go aktywować!
-Generator bomb: Istnieje prawdopodobieństwo uzyskania go przy otwieraniu losowych skrzynek. Wykopując go, można generować bomby!
-Inwazja Mutantów: Podczas wydarzenia Mutanci będą at"&amp;"akować w nieregularnych odstępach czasu. Pokonując ich, można zdobyć Emulsję badawczą!
&lt;/pl-PL&gt;
&lt;ar&gt;
- حدث مهرجان الرائد الجديد:
- ميكا تروف: استخدم مفتاح الذكرى للفوز بقشور القاعدة الفاخرة المحدودة والمكافآت الغنية الأخرى!
- عملية الرائد: أكمل المهام وأض"&amp;"ئ بطاقات المهام واحصل بسهولة على زينة المهرجان المحدودة!
- ترقية الزينة: من خلال المشاركة في حدث مهرجان الرائد، يمكنك الحصول على زينة جديدة محدودة ومكافآت غنية أخرى!
- حفر من أجل النصر: اجمع الحفارات واربح مكافآت مهرجان الرائد!
- غزو القرد العملاق: زيادة "&amp;"الضرر المحدودة الجديدة ومكافآت العصابة؛ قاتل لحماية ثمار عملنا!
- لعب محدود الوقت: حفر للذهب في تحت الأرض
في حفر للذهب، يمكن أن يجني تعدين الخامات لك ميداليات ديريك وجرعات الجينات الأسطورية والمكافآت الغنية الأخرى. سيتلقى اللاعبون ذوو النتائج العالية أيضً"&amp;"ا مكافآت تصنيف إضافية!
بالإضافة إلى ذلك، هناك آليات جديدة تنتظرك لاستكشافها:
- بندقية التعدين بالليزر: هناك احتمالية الحصول عليها عند فتح صناديق عشوائية. يمكن لهذا السلاح زيادة نطاق ت
&lt;/ar&gt;
")</f>
        <v>&lt;en-US&gt;
-New Pioneer Festival Event:
-Mecha Trove: Use the Commemorative Wrench to win limited deluxe Base skins and other rich rewards!
-Operation Pioneer: Complete tasks, light up task cards, and easily obtain limited festival decorations!
-Decoration Upgrade: By participating in the Pioneer Festival Event, you can get new limited decorations and other rich rewards!
-Dig for Victory: Collect drills and win Pioneer Festival rewards!
-Giganto Invasion: New limited-time damage boost and gang rewards; fight to protect the fruits of our labor!
-Limited-time gameplay: Dig for Gold in the Underground
In Dig for Gold, mining ores can earn you Derrick's medals, Legendary Gene Potions, and other rich rewards. Players with high scores will also receive additional ranking rewards!
In addition, there are new mechanisms waiting for you to explore:
-Laser Mining Gun: There is a probability of obtaining it when opening random boxes. This weapon can increase the mining range of workers. Drag it onto any worker to activate it!
-Bomb Generator: There is a probability of obtaining it when opening random boxes. Digging it up can generate bombs!
-Mutant Invasion: During the event, Mutants will invade at irregular intervals. Defeating them can earn you Research Emulsion!
&lt;/en-US&gt;
&lt;fr-FR&gt;
-Nouvel événement Pioneer Festival :
-TRÉSOR MÉCHA: Utilisez la Clé commémorative pour gagner des skins de Base de luxe limités et d'autres récompenses riches !
-Opération Pioneer : Complétez les tâches, allumez les cartes de tâches et obtenez facilement des décorations de festival limitées !
-Amélioration des décors : En participant à l'événement Pioneer Festival, vous pouvez obtenir de nouvelles décorations limitées et d'autres récompenses riches !
-Creuser pour la Victoire : Collectez des foreuses et gagnez des récompenses du Pioneer Festival !
-Invasion Giganto : Nouveau bonus de dégâts limité dans le temps et récompenses de gang ; combattez pour protéger les fruits de notre travail !
-Gameplay limité dans le temps : Creuser pour de l'Or dans le Sous-terre
Dans Creuser pour de l'Or, l'extraction de minerais peut vous faire gagner des médailles de Derrick, des Potions Génétiques Légendaires et d'autres récompenses riches. Les joueurs ayant des scores élevés recevront également des récompenses supplémentaires de classement !
De plus, il y a de nouveaux mécanismes qui vous attendent pour les explorer :
-Pistolet de minage laser : Il y a une probabilité de l'obtenir en ouvrant des boîtes aléatoires. Cette arme peut augmenter la portée d'extraction des travailleurs. Faites-le glisser sur n'importe quel travailleur pour l'activer !
-Générateur de bombes : Il y a une probabilité de l'obtenir en ouvrant des boîtes aléatoires. Le creuser peut générer des bombes !
-Invasion Mutante : Pendant l'événement, les Mutants envahiront à intervalles irréguliers. Les vaincre peut vous faire gagner de l'Emulsion de Recherche !
&lt;/fr-FR&gt;
&lt;de-DE&gt;
-Neues Pioneer Festival Event:
-Mecha-Schatzkiste: Verwenden Sie den Gedenkschlüssel, um limitierte Deluxe-Basis-Skins und andere wertvolle Belohnungen zu gewinnen!
-Operation Pionier: Aufgaben erfüllen, Aufgabenkarten aufleuchten lassen und einfach limitierte Festivaldekorationen erhalten!
-Dekoration Aufwerten: Durch die Teilnahme am Pioneer Festival Event können Sie neue limitierte Dekorationen und andere wertvolle Belohnungen erhalten!
-Grabe nach Sieg: Sammle Bohrer und gewinne Pioneer Festival Belohnungen!
-Giganto Invasion: Neue zeitlich begrenzte Schadensverstärkung und Bandenbelohnungen; kämpfen, um die Früchte unserer Arbeit zu schützen!
-Zeitlich begrenztes Gameplay: Grabe nach Gold im Unterirdischen
Beim Graben nach Gold können Sie durch das Abbauen von Erzen Derricks Medaillen, legendäre Gentränke und andere wertvolle Belohnungen verdienen. Spieler mit hohen Punktzahlen erhalten auch zusätzliche Ranglistenbelohnungen!
Außerdem gibt es neue Mechanismen, die darauf warten, von Ihnen erkundet zu werden:
-Laser-Bergbaupistole: Es besteht eine Wahrscheinlichkeit, sie beim Öffnen von zufälligen Kisten zu erhalten. Diese Waffe kann die Abbau-Reichweite von Arbeitern erhöhen. Ziehen Sie es auf einen beliebigen Arbeiter, um es zu aktivieren!
-Bombengenerator: Es besteht eine Wahrscheinlichkeit, ihn beim Öffnen von zufälligen Kisten zu erhalten. Wenn man ihn ausgräbt, kann er Bomben erzeugen!
-Mutanteninvasion: Während des Events werden Mutanten in unregelmäßigen Abständen einfallen. Wenn man sie besiegt, kann man Forschungsemulsion verdienen!
&lt;/de-DE&gt;
&lt;pt-BR&gt;
- Novo Evento do Festival Pioneiro:
- Tesouro Mecha: Use a Chave Comemorativa para ganhar skins de luxo limitadas para a Base e outras recompensas valiosas!
- Operação Pioneira: Complete tarefas, acenda cartões de tarefa e obtenha facilmente decorações de festival limitadas!
- Melhoria de Decoração: Ao participar do Evento do Festival Pioneiro, você pode obter novas decorações limitadas e outras recompensas valiosas!
- Cavar pela Vitória: Colete brocas e ganhe recompensas do Festival Pioneiro!
- Invasão Giganto: Novo aumento de dano por tempo limitado e recompensas de gangue; lute para proteger os frutos do nosso trabalho!
- Jogabilidade por tempo limitado: Cavar por Ouro no Subterrâneo
Ao cavar por Ouro, a mineração de minérios pode render medalhas de Derrick, Poções de genes Lendárias e outras recompensas valiosas. Jogadores com pontuações altas também receberão recompensas adicionais de classificação!
Além disso, há novos mecanismos esperando por você para explorar:
- Laser Mining Gun: Há uma probabilidade de obtê-lo ao abrir caixas aleatórias. Esta arma pode aumentar o alcance de mineração dos trabalhadores. Arraste-o para qualquer trabalhador para ativá-lo!
- Gerador de Bombas: Há uma probabilidade de obtê-lo ao abrir caixas aleatórias. Cavar pode gerar bombas!
- Invasão Mutante: Durante o evento, os Mutantes invadirão em intervalos irregulares. Derrotá-los pode render Emulsão de Pesquisa!
&lt;/pt-BR&gt;
&lt;zh-HK&gt;
-新增拓荒節活動：
-機械秘寶：使用紀念扳手，贏取限定豪華主城皮膚和其它豐富獎勵！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-巨猿入侵：新增限時傷害翻倍增益和幫派獎勵；為了捍衛猿族的勞動果實而戰！
-地下探寶限時玩法：拓荒掘金
在拓荒掘金中開採礦石，可以獲得德里克的獎牌、傳說基因藥水等豐厚獎勵，積分靠前的玩家還將獲得額外的排行獎勵！
此外還有全新機制等待您的探索：
-激光采礦槍：開啟隨機箱時有概率獲得。此武器可以提升工人的挖掘範圍，拖拽至任意工人身上即可生效！
-炸彈生成器：開啟隨機箱時有概率獲得。挖掘它可以生成炸彈！
-變異猴入侵：在活動中，變異猴會不定時入侵，擊敗它們可以獲得研究試劑！ 
&lt;/zh-HK&gt;
&lt;zh-TW&gt;
-新增拓荒節活動：
-機械秘寶：使用紀念扳手，贏取限定豪華主城皮膚和其它豐富獎勵！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-巨猿入侵：新增限時傷害翻倍增益和幫派獎勵；為了捍衛猿族的勞動果實而戰！
-地下探寶限時玩法：拓荒掘金
在拓荒掘金中開採礦石，可以獲得德里克的獎牌、傳說基因藥水等豐厚獎勵，積分靠前的玩家還將獲得額外的排行獎勵！
此外還有全新機制等待您的探索：
-激光采礦槍：開啟隨機箱時有概率獲得。此武器可以提升工人的挖掘範圍，拖拽至任意工人身上即可生效！
-炸彈生成器：開啟隨機箱時有概率獲得。挖掘它可以生成炸彈！
-變異猴入侵：在活動中，變異猴會不定時入侵，擊敗它們可以獲得研究試劑！ 
&lt;/zh-TW&gt;
&lt;id&gt;
-Event Festival Pioneer Baru:
-Mekanik Harta Karun: Gunakan Kunci Ingatan untuk memenangkan kulit Kota mewah terbatas dan hadiah kaya lainnya!
-Operasi Pioneer: Selesaikan tugas, nyalakan kartu tugas, dan dengan mudah dapatkan dekorasi festival terbatas!
-Tingkatkan Dekorasi: Dengan berpartisipasi dalam Event Festival Pioneer, Anda bisa mendapatkan dekorasi terbatas baru dan hadiah kaya lainnya!
-Gali untuk Kemenangan: Kumpulkan bor dan menangkan hadiah Festival Pioneer!
-Invasi Giganto: Peningkatan kerusakan terbatas baru dan hadiah geng; berjuang untuk melindungi buah dari jerih payah kita!
-Gameplay terbatas waktu: Membuka Penambangan Emas di Bawah Tanah
Dalam Membuka Penambangan Emas, menambang bijih dapat membuat Anda mendapatkan medali Derrick, Ramuan Gen Legendaris, dan hadiah kaya lainnya. Pemain dengan skor tinggi juga akan menerima hadiah peringkat tambahan!
Selain itu, ada mekanisme baru yang menunggu Anda untuk menjelajahi:
-Senapan Penambangan Laser: Ada kemungkinan mendapatkannya saat membuka kotak acak. Senjata ini dapat meningkatkan jangkauan penambangan pekerja. Seret ke pekerja mana saja untuk mengaktifkannya!
-Generator Bom: Ada kemungkinan mendapatkannya saat membuka kotak acak. Menggali itu bisa menghasilkan bom!
-Invasi Mutan: Selama acara, Mutan akan menyerang pada interval yang tidak teratur. Mengalahkan mereka dapat membuat Anda mendapatkan Reagen Penelitian!
&lt;/id&gt;
&lt;th&gt;
-เหตุการณ์เทศกาลนักบุกเบิกใหม่:
-เครื่องจักรสมบัติลับ: ใช้คีมที่ระลึกเพื่อชนะสกินฐานหรูจำกัดและรางวัลอื่น ๆ ที่อุดมสมบูรณ์!
-การดำเนินงานผู้บุกเบิก: ทำงานเสร็จสิ้น สว่างขึ้นบัตรงาน และง่ายต่อการรับของตกแต่งเทศกาลจำกัด!
-การอัปเกรดของตกแต่ง: โดยการเข้าร่วมในเทศกาลนักบุกเบิก คุณสามารถรับของตกแต่งจำกัดใหม่และรางวัลอื่น ๆ ที่อุดมสมบูรณ์!
-ขุดเพื่อชัยชนะ: สะสมเครื่องเจาะและชนะรางวัลเทศกาลนักบุกเบิก!
-การบุกครั้งใหม่ของกิกันโต: การเพิ่มความเสียหายในเวลาจำกัดและรางวัลแก๊ง; ต่อสู้เพื่อปกป้องผลผลิตของเรา!
-เกมเพลย์เวลาจำกัด: ขุดเจาะและหาทองใน Underground
ในการขุดเจาะและหาทอง การทำเหมืองแร่สามารถทำให้คุณได้รับเหรียญของเดอร์ริก, น้ำยายีนตำนาน และรางวัลอื่น ๆ ที่อุดมสมบูรณ์ ผู้เล่นที่มี
&lt;/th&gt;
&lt;es-419&gt;
-Nuevo evento del Festival Pionero:
-TESORO MECÁNICO: ¡Usa la Llave Conmemorativa para ganar pieles de Base de lujo limitadas y otras ricas recompensas!
-Operación Pionera: ¡Completa tareas, ilumina tarjetas de tareas y obtén fácilmente decoraciones de festival limitadas!
-Decoración Mejorada: Al participar en el evento del Festival Pionero, ¡puedes obtener nuevas decoraciones limitadas y otras ricas recompensas!
-Cavar para la Victoria: ¡Recolecta taladros y gana recompensas del Festival Pionero!
-Invasión Giganto: Nuevo impulso de daño por tiempo limitado y recompensas de pandillas; ¡lucha para proteger los frutos de nuestro trabajo!
-Juego por tiempo limitado: Cavar en busca de Oro en el Underground
En Cavar en busca de Oro, la extracción de minerales puede hacerte ganar medallas de Derrick, Pociones de Genes Legendarios y otras ricas recompensas. ¡Los jugadores con puntuaciones altas también recibirán recompensas adicionales por clasificación!
Además, hay nuevos mecanismos esperando que los explores:
-Pistola de Minería Láser: Hay una probabilidad de obtenerla al abrir cajas aleatorias. Esta arma puede aumentar el rango de minería de los trabajadores. ¡Arrástrala sobre cualquier trabajador para activarla!
-Generador de Bombas: Hay una probabilidad de obtenerlo al abrir cajas aleatorias. ¡Cavarlo puede generar bombas!
-Invasión Mutante: Durante el evento, los Mutantes invadirán en intervalos irregulares. ¡Derrotarlos puede hacerte ganar Emulsiones de Investigación!
&lt;/es-419&gt;
&lt;ru-RU&gt;
-Новый событие Pioneer Festival:
-Меха-сокровищница: Используйте памятный гаечный ключ, чтобы выиграть ограниченные роскошные скины базы и другие богатые награды!
-Операция Пионер: Завершите задания, зажгите карточки заданий и легко получите ограниченные праздничные украшения!
-Улучшение украшений: Участвуя в событии Pioneer Festival, вы можете получить новые ограниченные украшения и другие богатые награды!
-Копать за победу: Соберите дрели и выиграйте награды Pioneer Festival!
-Вторжение Гиганто: Новый ограниченный временной урон и бандитские награды; сражайтесь, чтобы защитить плоды нашего труда!
-Ограниченное время игры: Копать за Золотом в Подземелье
В Копать за Золотом, добыча руды может принести вам медали Деррека, Легендарные Генные эликсиры и другие богатые награды. Игроки с высокими баллами также получат дополнительные награды за рейтинг!
Кроме того, есть новые механизмы, которые ждут вас, чтобы исследовать:
-Лазерная горная пушка: Есть вероятность получения при открытии случайных коробок. Это оружие может увеличить диапазон добычи рабочих. Перетащите его на любого рабочего, чтобы активировать его!
-Генератор бомб: Есть вероятность получения при открытии случайных коробок. Рыть его может генерировать бомбы!
-Вторжение мутантов: Во время события мутанты будут вторгаться с нерегулярными интервал
&lt;/ru-RU&gt;
&lt;tr-TR&gt;
-Yeni Pioneer Festival Etkinliği:
-Mecha Sandığı: Anma Anahtarı ile sınırlı deluxe Üs kaplamaları ve diğer zengin ödüller kazanın!
-Operasyon Pioneer: Görevleri tamamlayın, görev kartlarını aydınlatın ve sınırlı festival dekorasyonlarını kolayca elde edin!
-Dekorasyon Yükseltme: Pioneer Festival Etkinliğine katılarak yeni sınırlı dekorasyonlar ve diğer zengin ödüller elde edebilirsiniz!
-Zafer için Kazma: Matkapları toplayın ve Pioneer Festival ödüllerini kazanın!
-Giganto İstilası: Yeni sınırlı süreli hasar artışı ve çete ödülleri; emeğimizin meyvelerini korumak için savaşın!
-Sınırlı süreli oyun: Yer altında Altın ara
Altın ara oyununda, maden cevherlerini çıkararak Derrick'in madalyalarını, Efsanevi Gen İksirlerini ve diğer zengin ödüller kazanabilirsiniz. Yüksek puanlı oyuncular ayrıca ek sıralama ödülleri de alacak!
Ayrıca, keşfetmeniz için yeni mekanizmalar da bulunmaktadır:
-Lazer Madencilik Silahı: Rastgele kutuları açarken elde etme olasılığı vardır. Bu silah, işçilerin madencilik menzilini artırabilir. Bunu etkinleştirmek için herhangi bir işçinin üzerine sürükleyin!
-Bomba Üreteci: Rastgele kutuları açarken elde etme olasılığı vardır. Kazarak bombalar üretebilir!
-Mutant İstilası: Etkinlik sırasında, Mutantlar düzensiz aralıklarla istila edecek. Onları yenmek, Araştırma Çözeltisi kazandırabilir!
&lt;/tr-TR&gt;
&lt;vi&gt;
-Mới Sự kiện Lễ hội Tiên phong:
-Cơ khí Bảo vật: Sử dụng Cờ lê kỷ niệm để giành chiến thắng các mẫu da Tòa Thị Chính sang trọng giới hạn và những phần thưởng giá trị khác!
-Hoạt động Tiên phong: Hoàn thành nhiệm vụ, thắp sáng thẻ nhiệm vụ và dễ dàng nhận được các vật phẩm trang trí lễ hội giới hạn!
-Nâng cấp Trang Trí: Bằng cách tham gia vào Sự kiện Lễ hội Tiên phong, bạn có thể nhận được các vật phẩm trang trí mới giới hạn và những phần thưởng giá trị khác!
-Đào Bom Chiến Thắng: Thu thập khoan và giành phần thưởng Lễ hội Tiên phong!
-Xâm lược Giganto: Tăng sát thương giới hạn thời gian và phần thưởng băng nhóm; chiến đấu để bảo vệ thành quả lao động của chúng ta!
-Lối chơi giới hạn thời gian: Khai hoang đào vàng ở Dưới đất
Trong Khai hoang đào vàng, khai thác quặng có thể giúp bạn kiếm được huy chương của Derrick, Thuốc Gen Huyền Thoại và những phần thưởng giá trị khác. Người chơi có điểm số cao cũng sẽ nhận được phần thưởng xếp hạng bổ sung!
Ngoài ra, còn có những cơ chế mới đang chờ bạn khám phá:
-Súng Khoan Laser: Có xác suất nhận được khi mở hộp ngẫu nhiên. Vũ khí này có thể tăng phạm vi khai thác của công nhân. Kéo nó lên bất kỳ công nhân nào để kích hoạt!
-Máy phát Bom: Có xác suất nhận được khi mở hộp ngẫu nhiên. Đào Bom nó có thể tạo ra bom
&lt;/vi&gt;
&lt;it-IT&gt;
-Nuovo evento Pioneer Festival:
-TESORO MECCANICO: Usa la Chiave commemorativa per vincere skin di Base deluxe limitate e altre ricche ricompense!
-Operazione Pioneer: Completa le missioni, illumina le carte delle missioni e ottieni facilmente decorazioni del festival limitate!
-Decoraz. Potenzia: Partecipando all'evento Pioneer Festival, puoi ottenere nuove decorazioni limitate e altre ricche ricompense!
-Scava per la Vittoria: Raccogli trapani e vinci premi del Pioneer Festival!
-Invasione Gigagorilla: Nuovo potenziamento del danno a tempo limitato e ricompense di gang; combatti per proteggere i frutti del nostro lavoro!
-Gameplay a tempo limitato: Scava per l'Oro nel Sotto terra
Nel Scava per l'Oro, estrarre minerali può farti guadagnare le medaglie di Derrick, Pozioni geniche Leggendarie e altre ricche ricompense. I giocatori con punteggi alti riceveranno anche premi aggiuntivi in classifica!
Inoltre, ci sono nuovi meccanismi in attesa che tu li esplori:
-Pistola da Minatore Laser: C'è una probabilità di ottenerla quando si aprono caselle casuali. Quest'arma può aumentare il raggio di estrazione dei lavoratori. Trascinala su qualsiasi lavoratore per attivarla!
-Generatore di Bombe: C'è una probabilità di ottenerlo quando si aprono caselle casuali. Scavandolo può generare bombe!
-Invasione Mutante: Durante l'evento, i Mutanti invaderanno a intervalli irregolari. Sconfiggerli può farti guadagnare Emulsione di ricerca!
&lt;/it-IT&gt;
&lt;pl-PL&gt;
-Nowe wydarzenie Pioneer Festival:
-SKARB MECHA: Użyj pamiątkowego klucza, aby wygrać limitowane luksusowe skórki bazy i inne bogate nagrody!
-Operacja Pioneer: Wykonuj zadania, rozświetlaj karty zadaniami i łatwo zdobądź limitowane dekoracje festiwalowe!
-Modernizacja dekoracji: Biorąc udział w wydarzeniu Pioneer Festival, możesz zdobyć nowe limitowane dekoracje i inne bogate nagrody!
-Kop dla zwycięstwa: Zbieraj wiertła i wygrywaj nagrody Pioneer Festival!
-Inwazja Gigamałpy: Nowe, limitowane w czasie wzmocnienie obrażeń i nagrody dla gangu; walcz, aby chronić owoce naszej pracy!
-Gameplay limitowany czasowo: Kop w poszukiwaniu złota w Podziemiach
W Kopaniu dla Złota, wydobycie rud może przynieść Ci medale Derricka, Legendarny Eliksiry genowe i inne bogate nagrody. Gracze z wysokimi wynikami otrzymają również dodatkowe nagrody rankingowe!
Ponadto czekają na Ciebie nowe mechanizmy do odkrycia:
-Laserowy karabin górniczy: Istnieje prawdopodobieństwo uzyskania go przy otwieraniu losowych skrzynek. Ta broń może zwiększyć zasięg wydobycia pracowników. Przeciągnij go na dowolnego pracownika, aby go aktywować!
-Generator bomb: Istnieje prawdopodobieństwo uzyskania go przy otwieraniu losowych skrzynek. Wykopując go, można generować bomby!
-Inwazja Mutantów: Podczas wydarzenia Mutanci będą atakować w nieregularnych odstępach czasu. Pokonując ich, można zdobyć Emulsję badawczą!
&lt;/pl-PL&gt;
&lt;ar&gt;
- حدث مهرجان الرائد الجديد:
- ميكا تروف: استخدم مفتاح الذكرى للفوز بقشور القاعدة الفاخرة المحدودة والمكافآت الغنية الأخرى!
- عملية الرائد: أكمل المهام وأضئ بطاقات المهام واحصل بسهولة على زينة المهرجان المحدودة!
- ترقية الزينة: من خلال المشاركة في حدث مهرجان الرائد، يمكنك الحصول على زينة جديدة محدودة ومكافآت غنية أخرى!
- حفر من أجل النصر: اجمع الحفارات واربح مكافآت مهرجان الرائد!
- غزو القرد العملاق: زيادة الضرر المحدودة الجديدة ومكافآت العصابة؛ قاتل لحماية ثمار عملنا!
- لعب محدود الوقت: حفر للذهب في تحت الأرض
في حفر للذهب، يمكن أن يجني تعدين الخامات لك ميداليات ديريك وجرعات الجينات الأسطورية والمكافآت الغنية الأخرى. سيتلقى اللاعبون ذوو النتائج العالية أيضًا مكافآت تصنيف إضافية!
بالإضافة إلى ذلك، هناك آليات جديدة تنتظرك لاستكشافها:
- بندقية التعدين بالليزر: هناك احتمالية الحصول عليها عند فتح صناديق عشوائية. يمكن لهذا السلاح زيادة نطاق ت
&lt;/ar&gt;
</v>
      </c>
      <c r="C60" s="44" t="str">
        <f>IFERROR(__xludf.DUMMYFUNCTION("""COMPUTED_VALUE"""),"-新增拓荒节活动：
-机械秘宝：使用纪念扳手，赢取限定豪华主城皮肤和其它丰富奖励！
-拓荒行动：完成任务，点亮任务牌，轻松获取限定节日装饰！
-装饰升级：通过参与拓荒节活动，获取新增限定装饰及其它丰厚奖励！
-掘地求胜：收集钻头，领取拓荒节奖励！
-巨猿入侵：新增限时伤害翻倍增益和帮派奖励；为了捍卫猿族的劳动果实而战！
-地下探宝限时玩法：拓荒掘金
在拓荒掘金中开采矿石，可以获得德里克的奖牌、传说基因药水等丰厚奖励，积分靠前的玩家还将获得额外的排行奖励！
此外还有全新机制等待您的探索：
-激光采矿枪：开启"&amp;"随机箱时有概率获得。此武器可以提升工人的挖掘范围，拖拽至任意工人身上即可生效！
-炸弹生成器：开启随机箱时有概率获得。挖掘它可以生成炸弹！
-变异猴入侵：在活动中，变异猴会不定时入侵，击败它们可以获得研究试剂！")</f>
        <v>-新增拓荒节活动：
-机械秘宝：使用纪念扳手，赢取限定豪华主城皮肤和其它丰富奖励！
-拓荒行动：完成任务，点亮任务牌，轻松获取限定节日装饰！
-装饰升级：通过参与拓荒节活动，获取新增限定装饰及其它丰厚奖励！
-掘地求胜：收集钻头，领取拓荒节奖励！
-巨猿入侵：新增限时伤害翻倍增益和帮派奖励；为了捍卫猿族的劳动果实而战！
-地下探宝限时玩法：拓荒掘金
在拓荒掘金中开采矿石，可以获得德里克的奖牌、传说基因药水等丰厚奖励，积分靠前的玩家还将获得额外的排行奖励！
此外还有全新机制等待您的探索：
-激光采矿枪：开启随机箱时有概率获得。此武器可以提升工人的挖掘范围，拖拽至任意工人身上即可生效！
-炸弹生成器：开启随机箱时有概率获得。挖掘它可以生成炸弹！
-变异猴入侵：在活动中，变异猴会不定时入侵，击败它们可以获得研究试剂！</v>
      </c>
      <c r="D60" s="159" t="str">
        <f>IFERROR(__xludf.DUMMYFUNCTION("""COMPUTED_VALUE"""),"-New Pioneer Festival Event:
-Mecha Trove: Use the Commemorative Wrench to win limited deluxe Base skins and other rich rewards!
-Operation Pioneer: Complete tasks, light up task cards, and easily obtain limited festival decorations!
-Decoration Upgrade: "&amp;"By participating in the Pioneer Festival Event, you can get new limited decorations and other rich rewards!
-Dig for Victory: Collect drills and win Pioneer Festival rewards!
-Giganto Invasion: New limited-time damage boost and gang rewards; fight to prot"&amp;"ect the fruits of our labor!
-Limited-time gameplay: Dig for Gold in the Underground
In Dig for Gold, mining ores can earn you Derrick's medals, Legendary Gene Potions, and other rich rewards. Players with high scores will also receive additional ranking "&amp;"rewards!
In addition, there are new mechanisms waiting for you to explore:
-Laser Mining Gun: There is a probability of obtaining it when opening random boxes. This weapon can increase the mining range of workers. Drag it onto any worker to activate it!
-"&amp;"Bomb Generator: There is a probability of obtaining it when opening random boxes. Digging it up can generate bombs!
-Mutant Invasion: During the event, Mutants will invade at irregular intervals. Defeating them can earn you Research Emulsion!")</f>
        <v>-New Pioneer Festival Event:
-Mecha Trove: Use the Commemorative Wrench to win limited deluxe Base skins and other rich rewards!
-Operation Pioneer: Complete tasks, light up task cards, and easily obtain limited festival decorations!
-Decoration Upgrade: By participating in the Pioneer Festival Event, you can get new limited decorations and other rich rewards!
-Dig for Victory: Collect drills and win Pioneer Festival rewards!
-Giganto Invasion: New limited-time damage boost and gang rewards; fight to protect the fruits of our labor!
-Limited-time gameplay: Dig for Gold in the Underground
In Dig for Gold, mining ores can earn you Derrick's medals, Legendary Gene Potions, and other rich rewards. Players with high scores will also receive additional ranking rewards!
In addition, there are new mechanisms waiting for you to explore:
-Laser Mining Gun: There is a probability of obtaining it when opening random boxes. This weapon can increase the mining range of workers. Drag it onto any worker to activate it!
-Bomb Generator: There is a probability of obtaining it when opening random boxes. Digging it up can generate bombs!
-Mutant Invasion: During the event, Mutants will invade at irregular intervals. Defeating them can earn you Research Emulsion!</v>
      </c>
      <c r="E60" s="159" t="str">
        <f>IFERROR(__xludf.DUMMYFUNCTION("""COMPUTED_VALUE"""),"-Nouvel événement Pioneer Festival :
-TRÉSOR MÉCHA: Utilisez la Clé commémorative pour gagner des skins de Base de luxe limités et d'autres récompenses riches !
-Opération Pioneer : Complétez les tâches, allumez les cartes de tâches et obtenez facilement "&amp;"des décorations de festival limitées !
-Amélioration des décors : En participant à l'événement Pioneer Festival, vous pouvez obtenir de nouvelles décorations limitées et d'autres récompenses riches !
-Creuser pour la Victoire : Collectez des foreuses et g"&amp;"agnez des récompenses du Pioneer Festival !
-Invasion Giganto : Nouveau bonus de dégâts limité dans le temps et récompenses de gang ; combattez pour protéger les fruits de notre travail !
-Gameplay limité dans le temps : Creuser pour de l'Or dans le Sous-"&amp;"terre
Dans Creuser pour de l'Or, l'extraction de minerais peut vous faire gagner des médailles de Derrick, des Potions Génétiques Légendaires et d'autres récompenses riches. Les joueurs ayant des scores élevés recevront également des récompenses supplémen"&amp;"taires de classement !
De plus, il y a de nouveaux mécanismes qui vous attendent pour les explorer :
-Pistolet de minage laser : Il y a une probabilité de l'obtenir en ouvrant des boîtes aléatoires. Cette arme peut augmenter la portée d'extraction des tra"&amp;"vailleurs. Faites-le glisser sur n'importe quel travailleur pour l'activer !
-Générateur de bombes : Il y a une probabilité de l'obtenir en ouvrant des boîtes aléatoires. Le creuser peut générer des bombes !
-Invasion Mutante : Pendant l'événement, les Mu"&amp;"tants envahiront à intervalles irréguliers. Les vaincre peut vous faire gagner de l'Emulsion de Recherche !")</f>
        <v>-Nouvel événement Pioneer Festival :
-TRÉSOR MÉCHA: Utilisez la Clé commémorative pour gagner des skins de Base de luxe limités et d'autres récompenses riches !
-Opération Pioneer : Complétez les tâches, allumez les cartes de tâches et obtenez facilement des décorations de festival limitées !
-Amélioration des décors : En participant à l'événement Pioneer Festival, vous pouvez obtenir de nouvelles décorations limitées et d'autres récompenses riches !
-Creuser pour la Victoire : Collectez des foreuses et gagnez des récompenses du Pioneer Festival !
-Invasion Giganto : Nouveau bonus de dégâts limité dans le temps et récompenses de gang ; combattez pour protéger les fruits de notre travail !
-Gameplay limité dans le temps : Creuser pour de l'Or dans le Sous-terre
Dans Creuser pour de l'Or, l'extraction de minerais peut vous faire gagner des médailles de Derrick, des Potions Génétiques Légendaires et d'autres récompenses riches. Les joueurs ayant des scores élevés recevront également des récompenses supplémentaires de classement !
De plus, il y a de nouveaux mécanismes qui vous attendent pour les explorer :
-Pistolet de minage laser : Il y a une probabilité de l'obtenir en ouvrant des boîtes aléatoires. Cette arme peut augmenter la portée d'extraction des travailleurs. Faites-le glisser sur n'importe quel travailleur pour l'activer !
-Générateur de bombes : Il y a une probabilité de l'obtenir en ouvrant des boîtes aléatoires. Le creuser peut générer des bombes !
-Invasion Mutante : Pendant l'événement, les Mutants envahiront à intervalles irréguliers. Les vaincre peut vous faire gagner de l'Emulsion de Recherche !</v>
      </c>
      <c r="F60" s="159" t="str">
        <f>IFERROR(__xludf.DUMMYFUNCTION("""COMPUTED_VALUE"""),"-Neues Pioneer Festival Event:
-Mecha-Schatzkiste: Verwenden Sie den Gedenkschlüssel, um limitierte Deluxe-Basis-Skins und andere wertvolle Belohnungen zu gewinnen!
-Operation Pionier: Aufgaben erfüllen, Aufgabenkarten aufleuchten lassen und einfach limit"&amp;"ierte Festivaldekorationen erhalten!
-Dekoration Aufwerten: Durch die Teilnahme am Pioneer Festival Event können Sie neue limitierte Dekorationen und andere wertvolle Belohnungen erhalten!
-Grabe nach Sieg: Sammle Bohrer und gewinne Pioneer Festival Beloh"&amp;"nungen!
-Giganto Invasion: Neue zeitlich begrenzte Schadensverstärkung und Bandenbelohnungen; kämpfen, um die Früchte unserer Arbeit zu schützen!
-Zeitlich begrenztes Gameplay: Grabe nach Gold im Unterirdischen
Beim Graben nach Gold können Sie durch das A"&amp;"bbauen von Erzen Derricks Medaillen, legendäre Gentränke und andere wertvolle Belohnungen verdienen. Spieler mit hohen Punktzahlen erhalten auch zusätzliche Ranglistenbelohnungen!
Außerdem gibt es neue Mechanismen, die darauf warten, von Ihnen erkundet zu"&amp;" werden:
-Laser-Bergbaupistole: Es besteht eine Wahrscheinlichkeit, sie beim Öffnen von zufälligen Kisten zu erhalten. Diese Waffe kann die Abbau-Reichweite von Arbeitern erhöhen. Ziehen Sie es auf einen beliebigen Arbeiter, um es zu aktivieren!
-Bombenge"&amp;"nerator: Es besteht eine Wahrscheinlichkeit, ihn beim Öffnen von zufälligen Kisten zu erhalten. Wenn man ihn ausgräbt, kann er Bomben erzeugen!
-Mutanteninvasion: Während des Events werden Mutanten in unregelmäßigen Abständen einfallen. Wenn man sie besie"&amp;"gt, kann man Forschungsemulsion verdienen!")</f>
        <v>-Neues Pioneer Festival Event:
-Mecha-Schatzkiste: Verwenden Sie den Gedenkschlüssel, um limitierte Deluxe-Basis-Skins und andere wertvolle Belohnungen zu gewinnen!
-Operation Pionier: Aufgaben erfüllen, Aufgabenkarten aufleuchten lassen und einfach limitierte Festivaldekorationen erhalten!
-Dekoration Aufwerten: Durch die Teilnahme am Pioneer Festival Event können Sie neue limitierte Dekorationen und andere wertvolle Belohnungen erhalten!
-Grabe nach Sieg: Sammle Bohrer und gewinne Pioneer Festival Belohnungen!
-Giganto Invasion: Neue zeitlich begrenzte Schadensverstärkung und Bandenbelohnungen; kämpfen, um die Früchte unserer Arbeit zu schützen!
-Zeitlich begrenztes Gameplay: Grabe nach Gold im Unterirdischen
Beim Graben nach Gold können Sie durch das Abbauen von Erzen Derricks Medaillen, legendäre Gentränke und andere wertvolle Belohnungen verdienen. Spieler mit hohen Punktzahlen erhalten auch zusätzliche Ranglistenbelohnungen!
Außerdem gibt es neue Mechanismen, die darauf warten, von Ihnen erkundet zu werden:
-Laser-Bergbaupistole: Es besteht eine Wahrscheinlichkeit, sie beim Öffnen von zufälligen Kisten zu erhalten. Diese Waffe kann die Abbau-Reichweite von Arbeitern erhöhen. Ziehen Sie es auf einen beliebigen Arbeiter, um es zu aktivieren!
-Bombengenerator: Es besteht eine Wahrscheinlichkeit, ihn beim Öffnen von zufälligen Kisten zu erhalten. Wenn man ihn ausgräbt, kann er Bomben erzeugen!
-Mutanteninvasion: Während des Events werden Mutanten in unregelmäßigen Abständen einfallen. Wenn man sie besiegt, kann man Forschungsemulsion verdienen!</v>
      </c>
      <c r="G60" s="159" t="str">
        <f>IFERROR(__xludf.DUMMYFUNCTION("""COMPUTED_VALUE"""),"- Novo Evento do Festival Pioneiro:
- Tesouro Mecha: Use a Chave Comemorativa para ganhar skins de luxo limitadas para a Base e outras recompensas valiosas!
- Operação Pioneira: Complete tarefas, acenda cartões de tarefa e obtenha facilmente decorações de"&amp;" festival limitadas!
- Melhoria de Decoração: Ao participar do Evento do Festival Pioneiro, você pode obter novas decorações limitadas e outras recompensas valiosas!
- Cavar pela Vitória: Colete brocas e ganhe recompensas do Festival Pioneiro!
- Invasão G"&amp;"iganto: Novo aumento de dano por tempo limitado e recompensas de gangue; lute para proteger os frutos do nosso trabalho!
- Jogabilidade por tempo limitado: Cavar por Ouro no Subterrâneo
Ao cavar por Ouro, a mineração de minérios pode render medalhas de De"&amp;"rrick, Poções de genes Lendárias e outras recompensas valiosas. Jogadores com pontuações altas também receberão recompensas adicionais de classificação!
Além disso, há novos mecanismos esperando por você para explorar:
- Laser Mining Gun: Há uma probabili"&amp;"dade de obtê-lo ao abrir caixas aleatórias. Esta arma pode aumentar o alcance de mineração dos trabalhadores. Arraste-o para qualquer trabalhador para ativá-lo!
- Gerador de Bombas: Há uma probabilidade de obtê-lo ao abrir caixas aleatórias. Cavar pode ge"&amp;"rar bombas!
- Invasão Mutante: Durante o evento, os Mutantes invadirão em intervalos irregulares. Derrotá-los pode render Emulsão de Pesquisa!")</f>
        <v>- Novo Evento do Festival Pioneiro:
- Tesouro Mecha: Use a Chave Comemorativa para ganhar skins de luxo limitadas para a Base e outras recompensas valiosas!
- Operação Pioneira: Complete tarefas, acenda cartões de tarefa e obtenha facilmente decorações de festival limitadas!
- Melhoria de Decoração: Ao participar do Evento do Festival Pioneiro, você pode obter novas decorações limitadas e outras recompensas valiosas!
- Cavar pela Vitória: Colete brocas e ganhe recompensas do Festival Pioneiro!
- Invasão Giganto: Novo aumento de dano por tempo limitado e recompensas de gangue; lute para proteger os frutos do nosso trabalho!
- Jogabilidade por tempo limitado: Cavar por Ouro no Subterrâneo
Ao cavar por Ouro, a mineração de minérios pode render medalhas de Derrick, Poções de genes Lendárias e outras recompensas valiosas. Jogadores com pontuações altas também receberão recompensas adicionais de classificação!
Além disso, há novos mecanismos esperando por você para explorar:
- Laser Mining Gun: Há uma probabilidade de obtê-lo ao abrir caixas aleatórias. Esta arma pode aumentar o alcance de mineração dos trabalhadores. Arraste-o para qualquer trabalhador para ativá-lo!
- Gerador de Bombas: Há uma probabilidade de obtê-lo ao abrir caixas aleatórias. Cavar pode gerar bombas!
- Invasão Mutante: Durante o evento, os Mutantes invadirão em intervalos irregulares. Derrotá-los pode render Emulsão de Pesquisa!</v>
      </c>
      <c r="H60" s="159" t="str">
        <f>IFERROR(__xludf.DUMMYFUNCTION("""COMPUTED_VALUE"""),"-新增拓荒節活動：
-機械秘寶：使用紀念扳手，贏取限定豪華主城皮膚和其它豐富獎勵！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-巨猿入侵：新增限時傷害翻倍增益和幫派獎勵；為了捍衛猿族的勞動果實而戰！
-地下探寶限時玩法：拓荒掘金
在拓荒掘金中開採礦石，可以獲得德里克的獎牌、傳說基因藥水等豐厚獎勵，積分靠前的玩家還將獲得額外的排行獎勵！
此外還有全新機制等待您的探索：
-激光采礦槍：開啟"&amp;"隨機箱時有概率獲得。此武器可以提升工人的挖掘範圍，拖拽至任意工人身上即可生效！
-炸彈生成器：開啟隨機箱時有概率獲得。挖掘它可以生成炸彈！
-變異猴入侵：在活動中，變異猴會不定時入侵，擊敗它們可以獲得研究試劑！ ")</f>
        <v>-新增拓荒節活動：
-機械秘寶：使用紀念扳手，贏取限定豪華主城皮膚和其它豐富獎勵！
-拓荒行動：完成任務，點亮任務牌，輕鬆獲取限定節日裝飾！
-裝飾升級：通過參與拓荒節活動，獲取新增限定裝飾及其它豐厚獎勵！
-掘地求勝：收集鑽頭，領取拓荒節獎勵！
-巨猿入侵：新增限時傷害翻倍增益和幫派獎勵；為了捍衛猿族的勞動果實而戰！
-地下探寶限時玩法：拓荒掘金
在拓荒掘金中開採礦石，可以獲得德里克的獎牌、傳說基因藥水等豐厚獎勵，積分靠前的玩家還將獲得額外的排行獎勵！
此外還有全新機制等待您的探索：
-激光采礦槍：開啟隨機箱時有概率獲得。此武器可以提升工人的挖掘範圍，拖拽至任意工人身上即可生效！
-炸彈生成器：開啟隨機箱時有概率獲得。挖掘它可以生成炸彈！
-變異猴入侵：在活動中，變異猴會不定時入侵，擊敗它們可以獲得研究試劑！ </v>
      </c>
      <c r="I60" s="159" t="str">
        <f>IFERROR(__xludf.DUMMYFUNCTION("""COMPUTED_VALUE"""),"-Event Festival Pioneer Baru:
-Mekanik Harta Karun: Gunakan Kunci Ingatan untuk memenangkan kulit Kota mewah terbatas dan hadiah kaya lainnya!
-Operasi Pioneer: Selesaikan tugas, nyalakan kartu tugas, dan dengan mudah dapatkan dekorasi festival terbatas!
"&amp;"-Tingkatkan Dekorasi: Dengan berpartisipasi dalam Event Festival Pioneer, Anda bisa mendapatkan dekorasi terbatas baru dan hadiah kaya lainnya!
-Gali untuk Kemenangan: Kumpulkan bor dan menangkan hadiah Festival Pioneer!
-Invasi Giganto: Peningkatan kerus"&amp;"akan terbatas baru dan hadiah geng; berjuang untuk melindungi buah dari jerih payah kita!
-Gameplay terbatas waktu: Membuka Penambangan Emas di Bawah Tanah
Dalam Membuka Penambangan Emas, menambang bijih dapat membuat Anda mendapatkan medali Derrick, Ramu"&amp;"an Gen Legendaris, dan hadiah kaya lainnya. Pemain dengan skor tinggi juga akan menerima hadiah peringkat tambahan!
Selain itu, ada mekanisme baru yang menunggu Anda untuk menjelajahi:
-Senapan Penambangan Laser: Ada kemungkinan mendapatkannya saat membuk"&amp;"a kotak acak. Senjata ini dapat meningkatkan jangkauan penambangan pekerja. Seret ke pekerja mana saja untuk mengaktifkannya!
-Generator Bom: Ada kemungkinan mendapatkannya saat membuka kotak acak. Menggali itu bisa menghasilkan bom!
-Invasi Mutan: Selama"&amp;" acara, Mutan akan menyerang pada interval yang tidak teratur. Mengalahkan mereka dapat membuat Anda mendapatkan Reagen Penelitian!")</f>
        <v>-Event Festival Pioneer Baru:
-Mekanik Harta Karun: Gunakan Kunci Ingatan untuk memenangkan kulit Kota mewah terbatas dan hadiah kaya lainnya!
-Operasi Pioneer: Selesaikan tugas, nyalakan kartu tugas, dan dengan mudah dapatkan dekorasi festival terbatas!
-Tingkatkan Dekorasi: Dengan berpartisipasi dalam Event Festival Pioneer, Anda bisa mendapatkan dekorasi terbatas baru dan hadiah kaya lainnya!
-Gali untuk Kemenangan: Kumpulkan bor dan menangkan hadiah Festival Pioneer!
-Invasi Giganto: Peningkatan kerusakan terbatas baru dan hadiah geng; berjuang untuk melindungi buah dari jerih payah kita!
-Gameplay terbatas waktu: Membuka Penambangan Emas di Bawah Tanah
Dalam Membuka Penambangan Emas, menambang bijih dapat membuat Anda mendapatkan medali Derrick, Ramuan Gen Legendaris, dan hadiah kaya lainnya. Pemain dengan skor tinggi juga akan menerima hadiah peringkat tambahan!
Selain itu, ada mekanisme baru yang menunggu Anda untuk menjelajahi:
-Senapan Penambangan Laser: Ada kemungkinan mendapatkannya saat membuka kotak acak. Senjata ini dapat meningkatkan jangkauan penambangan pekerja. Seret ke pekerja mana saja untuk mengaktifkannya!
-Generator Bom: Ada kemungkinan mendapatkannya saat membuka kotak acak. Menggali itu bisa menghasilkan bom!
-Invasi Mutan: Selama acara, Mutan akan menyerang pada interval yang tidak teratur. Mengalahkan mereka dapat membuat Anda mendapatkan Reagen Penelitian!</v>
      </c>
      <c r="J60" s="159" t="str">
        <f>IFERROR(__xludf.DUMMYFUNCTION("""COMPUTED_VALUE"""),"-เหตุการณ์เทศกาลนักบุกเบิกใหม่:
-เครื่องจักรสมบัติลับ: ใช้คีมที่ระลึกเพื่อชนะสกินฐานหรูจำกัดและรางวัลอื่น ๆ ที่อุดมสมบูรณ์!
-การดำเนินงานผู้บุกเบิก: ทำงานเสร็จสิ้น สว่างขึ้นบัตรงาน และง่ายต่อการรับของตกแต่งเทศกาลจำกัด!
-การอัปเกรดของตกแต่ง: โดยการเข้าร่วม"&amp;"ในเทศกาลนักบุกเบิก คุณสามารถรับของตกแต่งจำกัดใหม่และรางวัลอื่น ๆ ที่อุดมสมบูรณ์!
-ขุดเพื่อชัยชนะ: สะสมเครื่องเจาะและชนะรางวัลเทศกาลนักบุกเบิก!
-การบุกครั้งใหม่ของกิกันโต: การเพิ่มความเสียหายในเวลาจำกัดและรางวัลแก๊ง; ต่อสู้เพื่อปกป้องผลผลิตของเรา!
-เกมเพลย"&amp;"์เวลาจำกัด: ขุดเจาะและหาทองใน Underground
ในการขุดเจาะและหาทอง การทำเหมืองแร่สามารถทำให้คุณได้รับเหรียญของเดอร์ริก, น้ำยายีนตำนาน และรางวัลอื่น ๆ ที่อุดมสมบูรณ์ ผู้เล่นที่มี")</f>
        <v>-เหตุการณ์เทศกาลนักบุกเบิกใหม่:
-เครื่องจักรสมบัติลับ: ใช้คีมที่ระลึกเพื่อชนะสกินฐานหรูจำกัดและรางวัลอื่น ๆ ที่อุดมสมบูรณ์!
-การดำเนินงานผู้บุกเบิก: ทำงานเสร็จสิ้น สว่างขึ้นบัตรงาน และง่ายต่อการรับของตกแต่งเทศกาลจำกัด!
-การอัปเกรดของตกแต่ง: โดยการเข้าร่วมในเทศกาลนักบุกเบิก คุณสามารถรับของตกแต่งจำกัดใหม่และรางวัลอื่น ๆ ที่อุดมสมบูรณ์!
-ขุดเพื่อชัยชนะ: สะสมเครื่องเจาะและชนะรางวัลเทศกาลนักบุกเบิก!
-การบุกครั้งใหม่ของกิกันโต: การเพิ่มความเสียหายในเวลาจำกัดและรางวัลแก๊ง; ต่อสู้เพื่อปกป้องผลผลิตของเรา!
-เกมเพลย์เวลาจำกัด: ขุดเจาะและหาทองใน Underground
ในการขุดเจาะและหาทอง การทำเหมืองแร่สามารถทำให้คุณได้รับเหรียญของเดอร์ริก, น้ำยายีนตำนาน และรางวัลอื่น ๆ ที่อุดมสมบูรณ์ ผู้เล่นที่มี</v>
      </c>
      <c r="K60" s="159" t="str">
        <f>IFERROR(__xludf.DUMMYFUNCTION("""COMPUTED_VALUE"""),"-Nuevo evento del Festival Pionero:
-TESORO MECÁNICO: ¡Usa la Llave Conmemorativa para ganar pieles de Base de lujo limitadas y otras ricas recompensas!
-Operación Pionera: ¡Completa tareas, ilumina tarjetas de tareas y obtén fácilmente decoraciones de fe"&amp;"stival limitadas!
-Decoración Mejorada: Al participar en el evento del Festival Pionero, ¡puedes obtener nuevas decoraciones limitadas y otras ricas recompensas!
-Cavar para la Victoria: ¡Recolecta taladros y gana recompensas del Festival Pionero!
-Invasi"&amp;"ón Giganto: Nuevo impulso de daño por tiempo limitado y recompensas de pandillas; ¡lucha para proteger los frutos de nuestro trabajo!
-Juego por tiempo limitado: Cavar en busca de Oro en el Underground
En Cavar en busca de Oro, la extracción de minerales "&amp;"puede hacerte ganar medallas de Derrick, Pociones de Genes Legendarios y otras ricas recompensas. ¡Los jugadores con puntuaciones altas también recibirán recompensas adicionales por clasificación!
Además, hay nuevos mecanismos esperando que los explores:
"&amp;"-Pistola de Minería Láser: Hay una probabilidad de obtenerla al abrir cajas aleatorias. Esta arma puede aumentar el rango de minería de los trabajadores. ¡Arrástrala sobre cualquier trabajador para activarla!
-Generador de Bombas: Hay una probabilidad de "&amp;"obtenerlo al abrir cajas aleatorias. ¡Cavarlo puede generar bombas!
-Invasión Mutante: Durante el evento, los Mutantes invadirán en intervalos irregulares. ¡Derrotarlos puede hacerte ganar Emulsiones de Investigación!")</f>
        <v>-Nuevo evento del Festival Pionero:
-TESORO MECÁNICO: ¡Usa la Llave Conmemorativa para ganar pieles de Base de lujo limitadas y otras ricas recompensas!
-Operación Pionera: ¡Completa tareas, ilumina tarjetas de tareas y obtén fácilmente decoraciones de festival limitadas!
-Decoración Mejorada: Al participar en el evento del Festival Pionero, ¡puedes obtener nuevas decoraciones limitadas y otras ricas recompensas!
-Cavar para la Victoria: ¡Recolecta taladros y gana recompensas del Festival Pionero!
-Invasión Giganto: Nuevo impulso de daño por tiempo limitado y recompensas de pandillas; ¡lucha para proteger los frutos de nuestro trabajo!
-Juego por tiempo limitado: Cavar en busca de Oro en el Underground
En Cavar en busca de Oro, la extracción de minerales puede hacerte ganar medallas de Derrick, Pociones de Genes Legendarios y otras ricas recompensas. ¡Los jugadores con puntuaciones altas también recibirán recompensas adicionales por clasificación!
Además, hay nuevos mecanismos esperando que los explores:
-Pistola de Minería Láser: Hay una probabilidad de obtenerla al abrir cajas aleatorias. Esta arma puede aumentar el rango de minería de los trabajadores. ¡Arrástrala sobre cualquier trabajador para activarla!
-Generador de Bombas: Hay una probabilidad de obtenerlo al abrir cajas aleatorias. ¡Cavarlo puede generar bombas!
-Invasión Mutante: Durante el evento, los Mutantes invadirán en intervalos irregulares. ¡Derrotarlos puede hacerte ganar Emulsiones de Investigación!</v>
      </c>
      <c r="L60" s="159" t="str">
        <f>IFERROR(__xludf.DUMMYFUNCTION("""COMPUTED_VALUE"""),"-Новый событие Pioneer Festival:
-Меха-сокровищница: Используйте памятный гаечный ключ, чтобы выиграть ограниченные роскошные скины базы и другие богатые награды!
-Операция Пионер: Завершите задания, зажгите карточки заданий и легко получите ограниченные "&amp;"праздничные украшения!
-Улучшение украшений: Участвуя в событии Pioneer Festival, вы можете получить новые ограниченные украшения и другие богатые награды!
-Копать за победу: Соберите дрели и выиграйте награды Pioneer Festival!
-Вторжение Гиганто: Новый о"&amp;"граниченный временной урон и бандитские награды; сражайтесь, чтобы защитить плоды нашего труда!
-Ограниченное время игры: Копать за Золотом в Подземелье
В Копать за Золотом, добыча руды может принести вам медали Деррека, Легендарные Генные эликсиры и друг"&amp;"ие богатые награды. Игроки с высокими баллами также получат дополнительные награды за рейтинг!
Кроме того, есть новые механизмы, которые ждут вас, чтобы исследовать:
-Лазерная горная пушка: Есть вероятность получения при открытии случайных коробок. Это ор"&amp;"ужие может увеличить диапазон добычи рабочих. Перетащите его на любого рабочего, чтобы активировать его!
-Генератор бомб: Есть вероятность получения при открытии случайных коробок. Рыть его может генерировать бомбы!
-Вторжение мутантов: Во время события м"&amp;"утанты будут вторгаться с нерегулярными интервал")</f>
        <v>-Новый событие Pioneer Festival:
-Меха-сокровищница: Используйте памятный гаечный ключ, чтобы выиграть ограниченные роскошные скины базы и другие богатые награды!
-Операция Пионер: Завершите задания, зажгите карточки заданий и легко получите ограниченные праздничные украшения!
-Улучшение украшений: Участвуя в событии Pioneer Festival, вы можете получить новые ограниченные украшения и другие богатые награды!
-Копать за победу: Соберите дрели и выиграйте награды Pioneer Festival!
-Вторжение Гиганто: Новый ограниченный временной урон и бандитские награды; сражайтесь, чтобы защитить плоды нашего труда!
-Ограниченное время игры: Копать за Золотом в Подземелье
В Копать за Золотом, добыча руды может принести вам медали Деррека, Легендарные Генные эликсиры и другие богатые награды. Игроки с высокими баллами также получат дополнительные награды за рейтинг!
Кроме того, есть новые механизмы, которые ждут вас, чтобы исследовать:
-Лазерная горная пушка: Есть вероятность получения при открытии случайных коробок. Это оружие может увеличить диапазон добычи рабочих. Перетащите его на любого рабочего, чтобы активировать его!
-Генератор бомб: Есть вероятность получения при открытии случайных коробок. Рыть его может генерировать бомбы!
-Вторжение мутантов: Во время события мутанты будут вторгаться с нерегулярными интервал</v>
      </c>
      <c r="M60" s="159" t="str">
        <f>IFERROR(__xludf.DUMMYFUNCTION("""COMPUTED_VALUE"""),"-Yeni Pioneer Festival Etkinliği:
-Mecha Sandığı: Anma Anahtarı ile sınırlı deluxe Üs kaplamaları ve diğer zengin ödüller kazanın!
-Operasyon Pioneer: Görevleri tamamlayın, görev kartlarını aydınlatın ve sınırlı festival dekorasyonlarını kolayca elde edin"&amp;"!
-Dekorasyon Yükseltme: Pioneer Festival Etkinliğine katılarak yeni sınırlı dekorasyonlar ve diğer zengin ödüller elde edebilirsiniz!
-Zafer için Kazma: Matkapları toplayın ve Pioneer Festival ödüllerini kazanın!
-Giganto İstilası: Yeni sınırlı süreli ha"&amp;"sar artışı ve çete ödülleri; emeğimizin meyvelerini korumak için savaşın!
-Sınırlı süreli oyun: Yer altında Altın ara
Altın ara oyununda, maden cevherlerini çıkararak Derrick'in madalyalarını, Efsanevi Gen İksirlerini ve diğer zengin ödüller kazanabilirsi"&amp;"niz. Yüksek puanlı oyuncular ayrıca ek sıralama ödülleri de alacak!
Ayrıca, keşfetmeniz için yeni mekanizmalar da bulunmaktadır:
-Lazer Madencilik Silahı: Rastgele kutuları açarken elde etme olasılığı vardır. Bu silah, işçilerin madencilik menzilini artır"&amp;"abilir. Bunu etkinleştirmek için herhangi bir işçinin üzerine sürükleyin!
-Bomba Üreteci: Rastgele kutuları açarken elde etme olasılığı vardır. Kazarak bombalar üretebilir!
-Mutant İstilası: Etkinlik sırasında, Mutantlar düzensiz aralıklarla istila edecek"&amp;". Onları yenmek, Araştırma Çözeltisi kazandırabilir!")</f>
        <v>-Yeni Pioneer Festival Etkinliği:
-Mecha Sandığı: Anma Anahtarı ile sınırlı deluxe Üs kaplamaları ve diğer zengin ödüller kazanın!
-Operasyon Pioneer: Görevleri tamamlayın, görev kartlarını aydınlatın ve sınırlı festival dekorasyonlarını kolayca elde edin!
-Dekorasyon Yükseltme: Pioneer Festival Etkinliğine katılarak yeni sınırlı dekorasyonlar ve diğer zengin ödüller elde edebilirsiniz!
-Zafer için Kazma: Matkapları toplayın ve Pioneer Festival ödüllerini kazanın!
-Giganto İstilası: Yeni sınırlı süreli hasar artışı ve çete ödülleri; emeğimizin meyvelerini korumak için savaşın!
-Sınırlı süreli oyun: Yer altında Altın ara
Altın ara oyununda, maden cevherlerini çıkararak Derrick'in madalyalarını, Efsanevi Gen İksirlerini ve diğer zengin ödüller kazanabilirsiniz. Yüksek puanlı oyuncular ayrıca ek sıralama ödülleri de alacak!
Ayrıca, keşfetmeniz için yeni mekanizmalar da bulunmaktadır:
-Lazer Madencilik Silahı: Rastgele kutuları açarken elde etme olasılığı vardır. Bu silah, işçilerin madencilik menzilini artırabilir. Bunu etkinleştirmek için herhangi bir işçinin üzerine sürükleyin!
-Bomba Üreteci: Rastgele kutuları açarken elde etme olasılığı vardır. Kazarak bombalar üretebilir!
-Mutant İstilası: Etkinlik sırasında, Mutantlar düzensiz aralıklarla istila edecek. Onları yenmek, Araştırma Çözeltisi kazandırabilir!</v>
      </c>
      <c r="N60" s="45" t="str">
        <f>IFERROR(__xludf.DUMMYFUNCTION("""COMPUTED_VALUE"""),"-Mới Sự kiện Lễ hội Tiên phong:
-Cơ khí Bảo vật: Sử dụng Cờ lê kỷ niệm để giành chiến thắng các mẫu da Tòa Thị Chính sang trọng giới hạn và những phần thưởng giá trị khác!
-Hoạt động Tiên phong: Hoàn thành nhiệm vụ, thắp sáng thẻ nhiệm vụ và dễ dàng nhận "&amp;"được các vật phẩm trang trí lễ hội giới hạn!
-Nâng cấp Trang Trí: Bằng cách tham gia vào Sự kiện Lễ hội Tiên phong, bạn có thể nhận được các vật phẩm trang trí mới giới hạn và những phần thưởng giá trị khác!
-Đào Bom Chiến Thắng: Thu thập khoan và giành p"&amp;"hần thưởng Lễ hội Tiên phong!
-Xâm lược Giganto: Tăng sát thương giới hạn thời gian và phần thưởng băng nhóm; chiến đấu để bảo vệ thành quả lao động của chúng ta!
-Lối chơi giới hạn thời gian: Khai hoang đào vàng ở Dưới đất
Trong Khai hoang đào vàng, khai"&amp;" thác quặng có thể giúp bạn kiếm được huy chương của Derrick, Thuốc Gen Huyền Thoại và những phần thưởng giá trị khác. Người chơi có điểm số cao cũng sẽ nhận được phần thưởng xếp hạng bổ sung!
Ngoài ra, còn có những cơ chế mới đang chờ bạn khám phá:
-Súng"&amp;" Khoan Laser: Có xác suất nhận được khi mở hộp ngẫu nhiên. Vũ khí này có thể tăng phạm vi khai thác của công nhân. Kéo nó lên bất kỳ công nhân nào để kích hoạt!
-Máy phát Bom: Có xác suất nhận được khi mở hộp ngẫu nhiên. Đào Bom nó có thể tạo ra bom")</f>
        <v>-Mới Sự kiện Lễ hội Tiên phong:
-Cơ khí Bảo vật: Sử dụng Cờ lê kỷ niệm để giành chiến thắng các mẫu da Tòa Thị Chính sang trọng giới hạn và những phần thưởng giá trị khác!
-Hoạt động Tiên phong: Hoàn thành nhiệm vụ, thắp sáng thẻ nhiệm vụ và dễ dàng nhận được các vật phẩm trang trí lễ hội giới hạn!
-Nâng cấp Trang Trí: Bằng cách tham gia vào Sự kiện Lễ hội Tiên phong, bạn có thể nhận được các vật phẩm trang trí mới giới hạn và những phần thưởng giá trị khác!
-Đào Bom Chiến Thắng: Thu thập khoan và giành phần thưởng Lễ hội Tiên phong!
-Xâm lược Giganto: Tăng sát thương giới hạn thời gian và phần thưởng băng nhóm; chiến đấu để bảo vệ thành quả lao động của chúng ta!
-Lối chơi giới hạn thời gian: Khai hoang đào vàng ở Dưới đất
Trong Khai hoang đào vàng, khai thác quặng có thể giúp bạn kiếm được huy chương của Derrick, Thuốc Gen Huyền Thoại và những phần thưởng giá trị khác. Người chơi có điểm số cao cũng sẽ nhận được phần thưởng xếp hạng bổ sung!
Ngoài ra, còn có những cơ chế mới đang chờ bạn khám phá:
-Súng Khoan Laser: Có xác suất nhận được khi mở hộp ngẫu nhiên. Vũ khí này có thể tăng phạm vi khai thác của công nhân. Kéo nó lên bất kỳ công nhân nào để kích hoạt!
-Máy phát Bom: Có xác suất nhận được khi mở hộp ngẫu nhiên. Đào Bom nó có thể tạo ra bom</v>
      </c>
      <c r="O60" s="45" t="str">
        <f>IFERROR(__xludf.DUMMYFUNCTION("""COMPUTED_VALUE"""),"-Nuovo evento Pioneer Festival:
-TESORO MECCANICO: Usa la Chiave commemorativa per vincere skin di Base deluxe limitate e altre ricche ricompense!
-Operazione Pioneer: Completa le missioni, illumina le carte delle missioni e ottieni facilmente decorazioni"&amp;" del festival limitate!
-Decoraz. Potenzia: Partecipando all'evento Pioneer Festival, puoi ottenere nuove decorazioni limitate e altre ricche ricompense!
-Scava per la Vittoria: Raccogli trapani e vinci premi del Pioneer Festival!
-Invasione Gigagorilla: "&amp;"Nuovo potenziamento del danno a tempo limitato e ricompense di gang; combatti per proteggere i frutti del nostro lavoro!
-Gameplay a tempo limitato: Scava per l'Oro nel Sotto terra
Nel Scava per l'Oro, estrarre minerali può farti guadagnare le medaglie di"&amp;" Derrick, Pozioni geniche Leggendarie e altre ricche ricompense. I giocatori con punteggi alti riceveranno anche premi aggiuntivi in classifica!
Inoltre, ci sono nuovi meccanismi in attesa che tu li esplori:
-Pistola da Minatore Laser: C'è una probabilità"&amp;" di ottenerla quando si aprono caselle casuali. Quest'arma può aumentare il raggio di estrazione dei lavoratori. Trascinala su qualsiasi lavoratore per attivarla!
-Generatore di Bombe: C'è una probabilità di ottenerlo quando si aprono caselle casuali. Sca"&amp;"vandolo può generare bombe!
-Invasione Mutante: Durante l'evento, i Mutanti invaderanno a intervalli irregolari. Sconfiggerli può farti guadagnare Emulsione di ricerca!")</f>
        <v>-Nuovo evento Pioneer Festival:
-TESORO MECCANICO: Usa la Chiave commemorativa per vincere skin di Base deluxe limitate e altre ricche ricompense!
-Operazione Pioneer: Completa le missioni, illumina le carte delle missioni e ottieni facilmente decorazioni del festival limitate!
-Decoraz. Potenzia: Partecipando all'evento Pioneer Festival, puoi ottenere nuove decorazioni limitate e altre ricche ricompense!
-Scava per la Vittoria: Raccogli trapani e vinci premi del Pioneer Festival!
-Invasione Gigagorilla: Nuovo potenziamento del danno a tempo limitato e ricompense di gang; combatti per proteggere i frutti del nostro lavoro!
-Gameplay a tempo limitato: Scava per l'Oro nel Sotto terra
Nel Scava per l'Oro, estrarre minerali può farti guadagnare le medaglie di Derrick, Pozioni geniche Leggendarie e altre ricche ricompense. I giocatori con punteggi alti riceveranno anche premi aggiuntivi in classifica!
Inoltre, ci sono nuovi meccanismi in attesa che tu li esplori:
-Pistola da Minatore Laser: C'è una probabilità di ottenerla quando si aprono caselle casuali. Quest'arma può aumentare il raggio di estrazione dei lavoratori. Trascinala su qualsiasi lavoratore per attivarla!
-Generatore di Bombe: C'è una probabilità di ottenerlo quando si aprono caselle casuali. Scavandolo può generare bombe!
-Invasione Mutante: Durante l'evento, i Mutanti invaderanno a intervalli irregolari. Sconfiggerli può farti guadagnare Emulsione di ricerca!</v>
      </c>
      <c r="P60" s="34" t="str">
        <f>IFERROR(__xludf.DUMMYFUNCTION("""COMPUTED_VALUE"""),"-Nowe wydarzenie Pioneer Festival:
-SKARB MECHA: Użyj pamiątkowego klucza, aby wygrać limitowane luksusowe skórki bazy i inne bogate nagrody!
-Operacja Pioneer: Wykonuj zadania, rozświetlaj karty zadaniami i łatwo zdobądź limitowane dekoracje festiwalowe!"&amp;"
-Modernizacja dekoracji: Biorąc udział w wydarzeniu Pioneer Festival, możesz zdobyć nowe limitowane dekoracje i inne bogate nagrody!
-Kop dla zwycięstwa: Zbieraj wiertła i wygrywaj nagrody Pioneer Festival!
-Inwazja Gigamałpy: Nowe, limitowane w czasie w"&amp;"zmocnienie obrażeń i nagrody dla gangu; walcz, aby chronić owoce naszej pracy!
-Gameplay limitowany czasowo: Kop w poszukiwaniu złota w Podziemiach
W Kopaniu dla Złota, wydobycie rud może przynieść Ci medale Derricka, Legendarny Eliksiry genowe i inne bog"&amp;"ate nagrody. Gracze z wysokimi wynikami otrzymają również dodatkowe nagrody rankingowe!
Ponadto czekają na Ciebie nowe mechanizmy do odkrycia:
-Laserowy karabin górniczy: Istnieje prawdopodobieństwo uzyskania go przy otwieraniu losowych skrzynek. Ta broń "&amp;"może zwiększyć zasięg wydobycia pracowników. Przeciągnij go na dowolnego pracownika, aby go aktywować!
-Generator bomb: Istnieje prawdopodobieństwo uzyskania go przy otwieraniu losowych skrzynek. Wykopując go, można generować bomby!
-Inwazja Mutantów: Pod"&amp;"czas wydarzenia Mutanci będą atakować w nieregularnych odstępach czasu. Pokonując ich, można zdobyć Emulsję badawczą!")</f>
        <v>-Nowe wydarzenie Pioneer Festival:
-SKARB MECHA: Użyj pamiątkowego klucza, aby wygrać limitowane luksusowe skórki bazy i inne bogate nagrody!
-Operacja Pioneer: Wykonuj zadania, rozświetlaj karty zadaniami i łatwo zdobądź limitowane dekoracje festiwalowe!
-Modernizacja dekoracji: Biorąc udział w wydarzeniu Pioneer Festival, możesz zdobyć nowe limitowane dekoracje i inne bogate nagrody!
-Kop dla zwycięstwa: Zbieraj wiertła i wygrywaj nagrody Pioneer Festival!
-Inwazja Gigamałpy: Nowe, limitowane w czasie wzmocnienie obrażeń i nagrody dla gangu; walcz, aby chronić owoce naszej pracy!
-Gameplay limitowany czasowo: Kop w poszukiwaniu złota w Podziemiach
W Kopaniu dla Złota, wydobycie rud może przynieść Ci medale Derricka, Legendarny Eliksiry genowe i inne bogate nagrody. Gracze z wysokimi wynikami otrzymają również dodatkowe nagrody rankingowe!
Ponadto czekają na Ciebie nowe mechanizmy do odkrycia:
-Laserowy karabin górniczy: Istnieje prawdopodobieństwo uzyskania go przy otwieraniu losowych skrzynek. Ta broń może zwiększyć zasięg wydobycia pracowników. Przeciągnij go na dowolnego pracownika, aby go aktywować!
-Generator bomb: Istnieje prawdopodobieństwo uzyskania go przy otwieraniu losowych skrzynek. Wykopując go, można generować bomby!
-Inwazja Mutantów: Podczas wydarzenia Mutanci będą atakować w nieregularnych odstępach czasu. Pokonując ich, można zdobyć Emulsję badawczą!</v>
      </c>
      <c r="Q60" s="34" t="str">
        <f>IFERROR(__xludf.DUMMYFUNCTION("""COMPUTED_VALUE"""),"- حدث مهرجان الرائد الجديد:
- ميكا تروف: استخدم مفتاح الذكرى للفوز بقشور القاعدة الفاخرة المحدودة والمكافآت الغنية الأخرى!
- عملية الرائد: أكمل المهام وأضئ بطاقات المهام واحصل بسهولة على زينة المهرجان المحدودة!
- ترقية الزينة: من خلال المشاركة في حدث مهرج"&amp;"ان الرائد، يمكنك الحصول على زينة جديدة محدودة ومكافآت غنية أخرى!
- حفر من أجل النصر: اجمع الحفارات واربح مكافآت مهرجان الرائد!
- غزو القرد العملاق: زيادة الضرر المحدودة الجديدة ومكافآت العصابة؛ قاتل لحماية ثمار عملنا!
- لعب محدود الوقت: حفر للذهب في تحت ا"&amp;"لأرض
في حفر للذهب، يمكن أن يجني تعدين الخامات لك ميداليات ديريك وجرعات الجينات الأسطورية والمكافآت الغنية الأخرى. سيتلقى اللاعبون ذوو النتائج العالية أيضًا مكافآت تصنيف إضافية!
بالإضافة إلى ذلك، هناك آليات جديدة تنتظرك لاستكشافها:
- بندقية التعدين بالليزر"&amp;": هناك احتمالية الحصول عليها عند فتح صناديق عشوائية. يمكن لهذا السلاح زيادة نطاق ت")</f>
        <v>- حدث مهرجان الرائد الجديد:
- ميكا تروف: استخدم مفتاح الذكرى للفوز بقشور القاعدة الفاخرة المحدودة والمكافآت الغنية الأخرى!
- عملية الرائد: أكمل المهام وأضئ بطاقات المهام واحصل بسهولة على زينة المهرجان المحدودة!
- ترقية الزينة: من خلال المشاركة في حدث مهرجان الرائد، يمكنك الحصول على زينة جديدة محدودة ومكافآت غنية أخرى!
- حفر من أجل النصر: اجمع الحفارات واربح مكافآت مهرجان الرائد!
- غزو القرد العملاق: زيادة الضرر المحدودة الجديدة ومكافآت العصابة؛ قاتل لحماية ثمار عملنا!
- لعب محدود الوقت: حفر للذهب في تحت الأرض
في حفر للذهب، يمكن أن يجني تعدين الخامات لك ميداليات ديريك وجرعات الجينات الأسطورية والمكافآت الغنية الأخرى. سيتلقى اللاعبون ذوو النتائج العالية أيضًا مكافآت تصنيف إضافية!
بالإضافة إلى ذلك، هناك آليات جديدة تنتظرك لاستكشافها:
- بندقية التعدين بالليزر: هناك احتمالية الحصول عليها عند فتح صناديق عشوائية. يمكن لهذا السلاح زيادة نطاق ت</v>
      </c>
      <c r="R60" s="34"/>
      <c r="S60" s="34"/>
      <c r="T60" s="108"/>
      <c r="U60" s="108"/>
      <c r="V60" s="108"/>
      <c r="W60" s="108"/>
      <c r="X60" s="108"/>
      <c r="Y60" s="108"/>
      <c r="Z60" s="108"/>
    </row>
    <row r="61">
      <c r="A61" s="149" t="str">
        <f>IFERROR(__xludf.DUMMYFUNCTION("""COMPUTED_VALUE"""),"0.53.0")</f>
        <v>0.53.0</v>
      </c>
      <c r="B61" s="174" t="str">
        <f>IFERROR(__xludf.DUMMYFUNCTION("""COMPUTED_VALUE"""),"&lt;en-US&gt;
- New Fighter: Wildland Protector, Raymond. A master of both attack and defense, unequal in firepower! This is the mighty wildland protector revered by all!
- New in Fortress Takeover: new monsters, Cannonball Mutant, Bandit Invader; new building,"&amp;" Healing Tower; new skills, Cycle of Life, Line of Defense.
- New event ""Space Race"": calling all Gang members! Work together to win the limited-edition Distributor skin!
&lt;/en-US&gt;
&lt;fr-FR&gt;
- Nouveau Combattant : Protecteur des Terres sauvages, Raymond. U"&amp;"n maître de l'attaque et de la défense, inégalé en puissance de feu ! Voici le puissant protecteur des terres sauvages, vénéré par tous !
- Nouveautés dans l'Invasion de Forteresse : nouveaux monstres, Boulet de canon mutant, Bandit Envahisseur ; nouveau "&amp;"bâtiment, Tour de Soin ; nouvelles compétences, Cycle de Vie, Ligne de Défense.
- Nouvel événement ""Course à l'Espace"" : appel à tous les membres du Gang ! Travaillez ensemble pour gagner la peau de Distributeur en édition limitée !
&lt;/fr-FR&gt;
&lt;de-DE&gt;
- N"&amp;"euer Kämpfer: Wildland-Beschützer, Raymond. Ein Meister sowohl im Angriff als auch in der Verteidigung, unübertroffen in Feuerkraft! Das ist der mächtige Wildland-Beschützer, der von allen verehrt wird!
- Neu bei Festungsübernahme: neue Monster, Kanonenku"&amp;"gel-Mutant, Bandit Invasor; neues Gebäude, Heilturm; neue Fähigkeiten, Lebenszyklus, Verteidigungslinie.
- Neues Event ""Wettlauf ins All"": Ruft alle Clan-Mitglieder! Arbeitet zusammen, um die limitierte Verteiler-Skin zu gewinnen!
&lt;/de-DE&gt;
&lt;pt-BR&gt;
- Nov"&amp;"o Combatente: Protetor das Terras Selvagens, Raymond. Um mestre tanto no ataque quanto na defesa, incomparável em poder de fogo! Este é o poderoso protetor das terras selvagens reverenciado por todos!
- Novidades na Conquista da Fortaleza: novos monstros,"&amp;" Bola de Canhão Mutante, Bandido Invasor; novo edifício, Torre de Cura; novas habilidades, Ciclo da Vida, Linha de Defesa.
- Novo evento ""Corrida Espacial"": chamando todos os membros da Gangue! Trabalhem juntos para ganhar a skin de Distribuidor de ediç"&amp;"ão limitada!
&lt;/pt-BR&gt;
&lt;zh-HK&gt;
-新增鬥士：荒野守護者雷蒙德，攻防兼備，火力全開，讓所有猿猴敬畏的荒野守護者來了！
-堡壘對決新增怪物砲彈狂猿、入侵暴徒；新增建築物療愈塔；新增技能生命輪轉、鋼鐵防線。
-新增活動“航天奪魁”：幫派全員參與，爭奪限量配送站外觀！
&lt;/zh-HK&gt;
&lt;zh-TW&gt;
-新增鬥士：荒野守護者雷蒙德，攻防兼備，火力全開，讓所有猿猴敬畏的荒野守護者來了！
-堡壘對決新增怪物砲彈狂猿、入侵暴徒；新增建築物療愈塔；新增技能生命輪轉、鋼鐵防線。
-新增活動“航天"&amp;"奪魁”：幫派全員參與，爭奪限量配送站外觀！
&lt;/zh-TW&gt;
&lt;id&gt;
- Pejuang Baru: Pelindung Alam Liar, Raymond. Seorang ahli dalam serangan dan pertahanan, tak tertandingi dalam kekuatan tembakan! Inilah pelindung alam liar yang perkasa yang dihormati oleh semua orang!
- Baru dalam Pe"&amp;"naklukan Benteng: monster baru, Bola Meriam Mutan, Bandit Penyerbu; bangunan baru, Menara Penyembuhan; keterampilan baru, Siklus Kehidupan, Pertahanan Prajurit.
- Acara baru ""Balap Luar Angkasa"": Semua anggota ikut serta! Rebut tampilan Distributor terb"&amp;"atas!
&lt;/id&gt;
&lt;th&gt;
- นักสู้ตัวใหม่: ผู้พิทักษ์แดนเถื่อน, เรย์มอนด์ ผู้เชี่ยวชาญทั้งในการโจมตีและป้องกัน ไม่มีใครเทียบได้ในพลังกระสุน! นี่คือผู้พิทักษ์แดนเถื่อนที่ทรงพลังและได้รับความเคารพจากทุกคน!
- ใหม่ในการยึดป้อมปราการ: มอนสเตอร์ใหม่, ลูกกระสุนปืนใหญ่มิว"&amp;"แตนต์, แบนดิตผู้รุกราน; อาคารใหม่, หอรักษา; ทักษะใหม่, วงจรชีวิต, แนวป้องกัน
- กิจกรรมใหม่ ""การประชิดชิงอวกาศ"": เข้าร่วมทุกคน! แข่งขันเพื่อคว้าสกินหอกระจายแร่จำนวนจำกัด!
&lt;/th&gt;
&lt;es-419&gt;
- Nuevo Luchador: Protector de Tierras Salvajes, Raymond. ¡Un maestr"&amp;"o tanto en ataque como en defensa, inigualable en potencia de fuego! ¡Este es el poderoso protector de las tierras salvajes venerado por todos!
- Novedades en la Toma de la Fortaleza: nuevos monstruos, Bola de Cañón Mutante, Bandido Invasor; nuevo edifici"&amp;"o, Torre de Curación; nuevas habilidades, Ciclo de la Vida, Línea de Defensa.
- Nuevo evento ""Carrera Espacial"": ¡llamando a todos los miembros de la Banda! ¡Trabajen juntos para ganar la apariencia de Distribuidor de edición limitada!
&lt;/es-419&gt;
&lt;ru-RU&gt;"&amp;"
- Новый герой: Защитник диких земель, Раймонд. Мастер как атаки, так и защиты, непревзойденный в огневой мощи! Это могучий защитник диких земель, которого почитают все!
- Новинки в Захвате крепости: новые монстры, Мутант-пушечное ядро, Бандит Захватчик; "&amp;"новое здание, Башня Исцеления; новые навыки, Цикл Жизни, Линия Обороны.
- Новое событие ""Космическая гонка"": всем членам банды! Работайте вместе, чтобы выиграть ограниченную версию скина Распределителя!
&lt;/ru-RU&gt;
&lt;tr-TR&gt;
- Yeni Savaşçı: Çorak Arazi Koruy"&amp;"ucusu, Raymond. Hem saldırıda hem de savunmada ustalaşmış, ateş gücünde eşsiz! İşte tümü tarafından saygı gören güçlü çorak arazi koruyucusu!
- Kaleyi Ele Geçirme'de yenilikler: yeni canavarlar, Top Mermisi Mutant, Haydut İstilacı; yeni bina, İyileştirme "&amp;"Kulesi; yeni beceriler, Yaşam Döngüsü, Savunma Hattı.
- Yeni etkinlik ""Uzay Yarışı"": tüm Çete üyelerine çağrı! Sınırlı sayıda Distribütör görünümünü kazanmak için birlikte çalışın!
&lt;/tr-TR&gt;
&lt;vi&gt;
- Chiến Binh Mới: Bảo Hộ Viên Hoang Dã, Raymond. Một bậc t"&amp;"hầy về cả tấn công và phòng thủ, không ai sánh kịp về sức mạnh hỏa lực! Đây chính là người bảo hộ vùng hoang dã hùng mạnh được tôn kính bởi tất cả!
- Mới trong Tiếp Quản Pháo Đài: quái vật mới, Quả Bóng Đột Biến Súng Thần Công, Kẻ Cướp Xâm Lược; công trìn"&amp;"h mới, Tháp Hồi Phục; kỹ năng mới, Chu kỳ Cuộc sống, Đường Phòng Thủ.
- Sự kiện mới ""Cuộc Đua Không Gian"": kêu gọi tất cả thành viên Bang Hội! Hợp tác để giành chiến thắng giao diện trạm phân phối giới hạn!
&lt;/vi&gt;
&lt;it-IT&gt;
- Nuovo Combattente: Protettore "&amp;"delle Terre Selvagge, Raymond. Un maestro sia nell'attacco che nella difesa, ineguagliabile in potenza di fuoco! Questo è il possente protettore delle Terre selvagge riverito da tutti!
- Novità in Fortress Takeover: nuovi mostri, Palla di Cannone Mutante,"&amp;" Bandito Invasore; nuova costruzione, Torre di Cura; nuove abilità, Ciclo della Vita, Linea di Difesa.
- Nuovo evento ""Gara Spaziale"": chiamando tutti i membri della Gang! Lavorate insieme per vincere la skin del Distributore in edizione limitata!
&lt;/it-"&amp;"IT&gt;
&lt;pl-PL&gt;
- Nowy Wojownik: Obrońca Dzikich Krain, Raymond. Mistrz zarówno ataku, jak i obrony, niezrównany w sile ognia! To potężny obrońca Dzikich Krain, czczony przez wszystkich!
- Nowości w Przejęciu Fortecy: nowe potwory, Kula Armatnia Mutant, Bandy"&amp;"ta Najeźdźca; nowy budynek, Wieża Uzdrowienia; nowe umiejętności, Cykl życia, Linia obrony.
- Nowe wydarzenie ""Kosmiczny Wyścig"": wezwanie dla wszystkich członków Gangu! Pracujcie razem, aby zdobyć limitowaną edycję skórki Dystrybutora!
&lt;/pl-PL&gt;
&lt;ar&gt;
- "&amp;"مقاتل جديد: حامي الأراضي البرية، ريموند. سيد الهجوم والدفاع، لا مثيل له في قوة النيران! هذا هو حامي الأراضي البرية العظيم الذي يبجله الجميع!
- جديد في الاستيلاء على الحصن: وحوش جديدة، كرة مدفع المسوخ، بانديت المقتحم؛ مبنى جديد، برج الشفاء؛ مهارات جديدة، د"&amp;"ورة الحياة، خط الدفاع.
- حدث جديد ""سباق الفضاء"": نداء لجميع أعضاء العصابة! اعملوا معًا للفوز بجلد محطة التوزيع الإصدار المحدود!
&lt;/ar&gt;
")</f>
        <v>&lt;en-US&gt;
- New Fighter: Wildland Protector, Raymond. A master of both attack and defense, unequal in firepower! This is the mighty wildland protector revered by all!
- New in Fortress Takeover: new monsters, Cannonball Mutant, Bandit Invader; new building, Healing Tower; new skills, Cycle of Life, Line of Defense.
- New event "Space Race": calling all Gang members! Work together to win the limited-edition Distributor skin!
&lt;/en-US&gt;
&lt;fr-FR&gt;
- Nouveau Combattant : Protecteur des Terres sauvages, Raymond. Un maître de l'attaque et de la défense, inégalé en puissance de feu ! Voici le puissant protecteur des terres sauvages, vénéré par tous !
- Nouveautés dans l'Invasion de Forteresse : nouveaux monstres, Boulet de canon mutant, Bandit Envahisseur ; nouveau bâtiment, Tour de Soin ; nouvelles compétences, Cycle de Vie, Ligne de Défense.
- Nouvel événement "Course à l'Espace" : appel à tous les membres du Gang ! Travaillez ensemble pour gagner la peau de Distributeur en édition limitée !
&lt;/fr-FR&gt;
&lt;de-DE&gt;
- Neuer Kämpfer: Wildland-Beschützer, Raymond. Ein Meister sowohl im Angriff als auch in der Verteidigung, unübertroffen in Feuerkraft! Das ist der mächtige Wildland-Beschützer, der von allen verehrt wird!
- Neu bei Festungsübernahme: neue Monster, Kanonenkugel-Mutant, Bandit Invasor; neues Gebäude, Heilturm; neue Fähigkeiten, Lebenszyklus, Verteidigungslinie.
- Neues Event "Wettlauf ins All": Ruft alle Clan-Mitglieder! Arbeitet zusammen, um die limitierte Verteiler-Skin zu gewinnen!
&lt;/de-DE&gt;
&lt;pt-BR&gt;
- Novo Combatente: Protetor das Terras Selvagens, Raymond. Um mestre tanto no ataque quanto na defesa, incomparável em poder de fogo! Este é o poderoso protetor das terras selvagens reverenciado por todos!
- Novidades na Conquista da Fortaleza: novos monstros, Bola de Canhão Mutante, Bandido Invasor; novo edifício, Torre de Cura; novas habilidades, Ciclo da Vida, Linha de Defesa.
- Novo evento "Corrida Espacial": chamando todos os membros da Gangue! Trabalhem juntos para ganhar a skin de Distribuidor de edição limitada!
&lt;/pt-BR&gt;
&lt;zh-HK&gt;
-新增鬥士：荒野守護者雷蒙德，攻防兼備，火力全開，讓所有猿猴敬畏的荒野守護者來了！
-堡壘對決新增怪物砲彈狂猿、入侵暴徒；新增建築物療愈塔；新增技能生命輪轉、鋼鐵防線。
-新增活動“航天奪魁”：幫派全員參與，爭奪限量配送站外觀！
&lt;/zh-HK&gt;
&lt;zh-TW&gt;
-新增鬥士：荒野守護者雷蒙德，攻防兼備，火力全開，讓所有猿猴敬畏的荒野守護者來了！
-堡壘對決新增怪物砲彈狂猿、入侵暴徒；新增建築物療愈塔；新增技能生命輪轉、鋼鐵防線。
-新增活動“航天奪魁”：幫派全員參與，爭奪限量配送站外觀！
&lt;/zh-TW&gt;
&lt;id&gt;
- Pejuang Baru: Pelindung Alam Liar, Raymond. Seorang ahli dalam serangan dan pertahanan, tak tertandingi dalam kekuatan tembakan! Inilah pelindung alam liar yang perkasa yang dihormati oleh semua orang!
- Baru dalam Penaklukan Benteng: monster baru, Bola Meriam Mutan, Bandit Penyerbu; bangunan baru, Menara Penyembuhan; keterampilan baru, Siklus Kehidupan, Pertahanan Prajurit.
- Acara baru "Balap Luar Angkasa": Semua anggota ikut serta! Rebut tampilan Distributor terbatas!
&lt;/id&gt;
&lt;th&gt;
- นักสู้ตัวใหม่: ผู้พิทักษ์แดนเถื่อน, เรย์มอนด์ ผู้เชี่ยวชาญทั้งในการโจมตีและป้องกัน ไม่มีใครเทียบได้ในพลังกระสุน! นี่คือผู้พิทักษ์แดนเถื่อนที่ทรงพลังและได้รับความเคารพจากทุกคน!
- ใหม่ในการยึดป้อมปราการ: มอนสเตอร์ใหม่, ลูกกระสุนปืนใหญ่มิวแตนต์, แบนดิตผู้รุกราน; อาคารใหม่, หอรักษา; ทักษะใหม่, วงจรชีวิต, แนวป้องกัน
- กิจกรรมใหม่ "การประชิดชิงอวกาศ": เข้าร่วมทุกคน! แข่งขันเพื่อคว้าสกินหอกระจายแร่จำนวนจำกัด!
&lt;/th&gt;
&lt;es-419&gt;
- Nuevo Luchador: Protector de Tierras Salvajes, Raymond. ¡Un maestro tanto en ataque como en defensa, inigualable en potencia de fuego! ¡Este es el poderoso protector de las tierras salvajes venerado por todos!
- Novedades en la Toma de la Fortaleza: nuevos monstruos, Bola de Cañón Mutante, Bandido Invasor; nuevo edificio, Torre de Curación; nuevas habilidades, Ciclo de la Vida, Línea de Defensa.
- Nuevo evento "Carrera Espacial": ¡llamando a todos los miembros de la Banda! ¡Trabajen juntos para ganar la apariencia de Distribuidor de edición limitada!
&lt;/es-419&gt;
&lt;ru-RU&gt;
- Новый герой: Защитник диких земель, Раймонд. Мастер как атаки, так и защиты, непревзойденный в огневой мощи! Это могучий защитник диких земель, которого почитают все!
- Новинки в Захвате крепости: новые монстры, Мутант-пушечное ядро, Бандит Захватчик; новое здание, Башня Исцеления; новые навыки, Цикл Жизни, Линия Обороны.
- Новое событие "Космическая гонка": всем членам банды! Работайте вместе, чтобы выиграть ограниченную версию скина Распределителя!
&lt;/ru-RU&gt;
&lt;tr-TR&gt;
- Yeni Savaşçı: Çorak Arazi Koruyucusu, Raymond. Hem saldırıda hem de savunmada ustalaşmış, ateş gücünde eşsiz! İşte tümü tarafından saygı gören güçlü çorak arazi koruyucusu!
- Kaleyi Ele Geçirme'de yenilikler: yeni canavarlar, Top Mermisi Mutant, Haydut İstilacı; yeni bina, İyileştirme Kulesi; yeni beceriler, Yaşam Döngüsü, Savunma Hattı.
- Yeni etkinlik "Uzay Yarışı": tüm Çete üyelerine çağrı! Sınırlı sayıda Distribütör görünümünü kazanmak için birlikte çalışın!
&lt;/tr-TR&gt;
&lt;vi&gt;
- Chiến Binh Mới: Bảo Hộ Viên Hoang Dã, Raymond. Một bậc thầy về cả tấn công và phòng thủ, không ai sánh kịp về sức mạnh hỏa lực! Đây chính là người bảo hộ vùng hoang dã hùng mạnh được tôn kính bởi tất cả!
- Mới trong Tiếp Quản Pháo Đài: quái vật mới, Quả Bóng Đột Biến Súng Thần Công, Kẻ Cướp Xâm Lược; công trình mới, Tháp Hồi Phục; kỹ năng mới, Chu kỳ Cuộc sống, Đường Phòng Thủ.
- Sự kiện mới "Cuộc Đua Không Gian": kêu gọi tất cả thành viên Bang Hội! Hợp tác để giành chiến thắng giao diện trạm phân phối giới hạn!
&lt;/vi&gt;
&lt;it-IT&gt;
- Nuovo Combattente: Protettore delle Terre Selvagge, Raymond. Un maestro sia nell'attacco che nella difesa, ineguagliabile in potenza di fuoco! Questo è il possente protettore delle Terre selvagge riverito da tutti!
- Novità in Fortress Takeover: nuovi mostri, Palla di Cannone Mutante, Bandito Invasore; nuova costruzione, Torre di Cura; nuove abilità, Ciclo della Vita, Linea di Difesa.
- Nuovo evento "Gara Spaziale": chiamando tutti i membri della Gang! Lavorate insieme per vincere la skin del Distributore in edizione limitata!
&lt;/it-IT&gt;
&lt;pl-PL&gt;
- Nowy Wojownik: Obrońca Dzikich Krain, Raymond. Mistrz zarówno ataku, jak i obrony, niezrównany w sile ognia! To potężny obrońca Dzikich Krain, czczony przez wszystkich!
- Nowości w Przejęciu Fortecy: nowe potwory, Kula Armatnia Mutant, Bandyta Najeźdźca; nowy budynek, Wieża Uzdrowienia; nowe umiejętności, Cykl życia, Linia obrony.
- Nowe wydarzenie "Kosmiczny Wyścig": wezwanie dla wszystkich członków Gangu! Pracujcie razem, aby zdobyć limitowaną edycję skórki Dystrybutora!
&lt;/pl-PL&gt;
&lt;ar&gt;
- مقاتل جديد: حامي الأراضي البرية، ريموند. سيد الهجوم والدفاع، لا مثيل له في قوة النيران! هذا هو حامي الأراضي البرية العظيم الذي يبجله الجميع!
- جديد في الاستيلاء على الحصن: وحوش جديدة، كرة مدفع المسوخ، بانديت المقتحم؛ مبنى جديد، برج الشفاء؛ مهارات جديدة، دورة الحياة، خط الدفاع.
- حدث جديد "سباق الفضاء": نداء لجميع أعضاء العصابة! اعملوا معًا للفوز بجلد محطة التوزيع الإصدار المحدود!
&lt;/ar&gt;
</v>
      </c>
      <c r="C61" s="44" t="str">
        <f>IFERROR(__xludf.DUMMYFUNCTION("""COMPUTED_VALUE"""),"-新增斗士：荒野守护者雷蒙德，攻防兼备，火力全开，让所有猿猴敬畏的荒野守护者来了！
-堡垒对决新增怪物炮弹狂猿、入侵暴徒；新增建筑物疗愈塔；新增技能生命轮转、钢铁防线。
-新增活动“航天夺魁”：帮派全员参与，争夺限量配送站外观！")</f>
        <v>-新增斗士：荒野守护者雷蒙德，攻防兼备，火力全开，让所有猿猴敬畏的荒野守护者来了！
-堡垒对决新增怪物炮弹狂猿、入侵暴徒；新增建筑物疗愈塔；新增技能生命轮转、钢铁防线。
-新增活动“航天夺魁”：帮派全员参与，争夺限量配送站外观！</v>
      </c>
      <c r="D61" s="159" t="str">
        <f>IFERROR(__xludf.DUMMYFUNCTION("""COMPUTED_VALUE"""),"- New Fighter: Wildland Protector, Raymond. A master of both attack and defense, unequal in firepower! This is the mighty wildland protector revered by all!
- New in Fortress Takeover: new monsters, Cannonball Mutant, Bandit Invader; new building, Healing"&amp;" Tower; new skills, Cycle of Life, Line of Defense.
- New event ""Space Race"": calling all Gang members! Work together to win the limited-edition Distributor skin!")</f>
        <v>- New Fighter: Wildland Protector, Raymond. A master of both attack and defense, unequal in firepower! This is the mighty wildland protector revered by all!
- New in Fortress Takeover: new monsters, Cannonball Mutant, Bandit Invader; new building, Healing Tower; new skills, Cycle of Life, Line of Defense.
- New event "Space Race": calling all Gang members! Work together to win the limited-edition Distributor skin!</v>
      </c>
      <c r="E61" s="159" t="str">
        <f>IFERROR(__xludf.DUMMYFUNCTION("""COMPUTED_VALUE"""),"- Nouveau Combattant : Protecteur des Terres sauvages, Raymond. Un maître de l'attaque et de la défense, inégalé en puissance de feu ! Voici le puissant protecteur des terres sauvages, vénéré par tous !
- Nouveautés dans l'Invasion de Forteresse : nouveau"&amp;"x monstres, Boulet de canon mutant, Bandit Envahisseur ; nouveau bâtiment, Tour de Soin ; nouvelles compétences, Cycle de Vie, Ligne de Défense.
- Nouvel événement ""Course à l'Espace"" : appel à tous les membres du Gang ! Travaillez ensemble pour gagner "&amp;"la peau de Distributeur en édition limitée !")</f>
        <v>- Nouveau Combattant : Protecteur des Terres sauvages, Raymond. Un maître de l'attaque et de la défense, inégalé en puissance de feu ! Voici le puissant protecteur des terres sauvages, vénéré par tous !
- Nouveautés dans l'Invasion de Forteresse : nouveaux monstres, Boulet de canon mutant, Bandit Envahisseur ; nouveau bâtiment, Tour de Soin ; nouvelles compétences, Cycle de Vie, Ligne de Défense.
- Nouvel événement "Course à l'Espace" : appel à tous les membres du Gang ! Travaillez ensemble pour gagner la peau de Distributeur en édition limitée !</v>
      </c>
      <c r="F61" s="159" t="str">
        <f>IFERROR(__xludf.DUMMYFUNCTION("""COMPUTED_VALUE"""),"- Neuer Kämpfer: Wildland-Beschützer, Raymond. Ein Meister sowohl im Angriff als auch in der Verteidigung, unübertroffen in Feuerkraft! Das ist der mächtige Wildland-Beschützer, der von allen verehrt wird!
- Neu bei Festungsübernahme: neue Monster, Kanone"&amp;"nkugel-Mutant, Bandit Invasor; neues Gebäude, Heilturm; neue Fähigkeiten, Lebenszyklus, Verteidigungslinie.
- Neues Event ""Wettlauf ins All"": Ruft alle Clan-Mitglieder! Arbeitet zusammen, um die limitierte Verteiler-Skin zu gewinnen!")</f>
        <v>- Neuer Kämpfer: Wildland-Beschützer, Raymond. Ein Meister sowohl im Angriff als auch in der Verteidigung, unübertroffen in Feuerkraft! Das ist der mächtige Wildland-Beschützer, der von allen verehrt wird!
- Neu bei Festungsübernahme: neue Monster, Kanonenkugel-Mutant, Bandit Invasor; neues Gebäude, Heilturm; neue Fähigkeiten, Lebenszyklus, Verteidigungslinie.
- Neues Event "Wettlauf ins All": Ruft alle Clan-Mitglieder! Arbeitet zusammen, um die limitierte Verteiler-Skin zu gewinnen!</v>
      </c>
      <c r="G61" s="159" t="str">
        <f>IFERROR(__xludf.DUMMYFUNCTION("""COMPUTED_VALUE"""),"- Novo Combatente: Protetor das Terras Selvagens, Raymond. Um mestre tanto no ataque quanto na defesa, incomparável em poder de fogo! Este é o poderoso protetor das terras selvagens reverenciado por todos!
- Novidades na Conquista da Fortaleza: novos mons"&amp;"tros, Bola de Canhão Mutante, Bandido Invasor; novo edifício, Torre de Cura; novas habilidades, Ciclo da Vida, Linha de Defesa.
- Novo evento ""Corrida Espacial"": chamando todos os membros da Gangue! Trabalhem juntos para ganhar a skin de Distribuidor de"&amp;" edição limitada!")</f>
        <v>- Novo Combatente: Protetor das Terras Selvagens, Raymond. Um mestre tanto no ataque quanto na defesa, incomparável em poder de fogo! Este é o poderoso protetor das terras selvagens reverenciado por todos!
- Novidades na Conquista da Fortaleza: novos monstros, Bola de Canhão Mutante, Bandido Invasor; novo edifício, Torre de Cura; novas habilidades, Ciclo da Vida, Linha de Defesa.
- Novo evento "Corrida Espacial": chamando todos os membros da Gangue! Trabalhem juntos para ganhar a skin de Distribuidor de edição limitada!</v>
      </c>
      <c r="H61" s="159" t="str">
        <f>IFERROR(__xludf.DUMMYFUNCTION("""COMPUTED_VALUE"""),"-新增鬥士：荒野守護者雷蒙德，攻防兼備，火力全開，讓所有猿猴敬畏的荒野守護者來了！
-堡壘對決新增怪物砲彈狂猿、入侵暴徒；新增建築物療愈塔；新增技能生命輪轉、鋼鐵防線。
-新增活動“航天奪魁”：幫派全員參與，爭奪限量配送站外觀！")</f>
        <v>-新增鬥士：荒野守護者雷蒙德，攻防兼備，火力全開，讓所有猿猴敬畏的荒野守護者來了！
-堡壘對決新增怪物砲彈狂猿、入侵暴徒；新增建築物療愈塔；新增技能生命輪轉、鋼鐵防線。
-新增活動“航天奪魁”：幫派全員參與，爭奪限量配送站外觀！</v>
      </c>
      <c r="I61" s="159" t="str">
        <f>IFERROR(__xludf.DUMMYFUNCTION("""COMPUTED_VALUE"""),"- Pejuang Baru: Pelindung Alam Liar, Raymond. Seorang ahli dalam serangan dan pertahanan, tak tertandingi dalam kekuatan tembakan! Inilah pelindung alam liar yang perkasa yang dihormati oleh semua orang!
- Baru dalam Penaklukan Benteng: monster baru, Bola"&amp;" Meriam Mutan, Bandit Penyerbu; bangunan baru, Menara Penyembuhan; keterampilan baru, Siklus Kehidupan, Pertahanan Prajurit.
- Acara baru ""Balap Luar Angkasa"": Semua anggota ikut serta! Rebut tampilan Distributor terbatas!")</f>
        <v>- Pejuang Baru: Pelindung Alam Liar, Raymond. Seorang ahli dalam serangan dan pertahanan, tak tertandingi dalam kekuatan tembakan! Inilah pelindung alam liar yang perkasa yang dihormati oleh semua orang!
- Baru dalam Penaklukan Benteng: monster baru, Bola Meriam Mutan, Bandit Penyerbu; bangunan baru, Menara Penyembuhan; keterampilan baru, Siklus Kehidupan, Pertahanan Prajurit.
- Acara baru "Balap Luar Angkasa": Semua anggota ikut serta! Rebut tampilan Distributor terbatas!</v>
      </c>
      <c r="J61" s="159" t="str">
        <f>IFERROR(__xludf.DUMMYFUNCTION("""COMPUTED_VALUE"""),"- นักสู้ตัวใหม่: ผู้พิทักษ์แดนเถื่อน, เรย์มอนด์ ผู้เชี่ยวชาญทั้งในการโจมตีและป้องกัน ไม่มีใครเทียบได้ในพลังกระสุน! นี่คือผู้พิทักษ์แดนเถื่อนที่ทรงพลังและได้รับความเคารพจากทุกคน!
- ใหม่ในการยึดป้อมปราการ: มอนสเตอร์ใหม่, ลูกกระสุนปืนใหญ่มิวแตนต์, แบนดิตผู้ร"&amp;"ุกราน; อาคารใหม่, หอรักษา; ทักษะใหม่, วงจรชีวิต, แนวป้องกัน
- กิจกรรมใหม่ ""การประชิดชิงอวกาศ"": เข้าร่วมทุกคน! แข่งขันเพื่อคว้าสกินหอกระจายแร่จำนวนจำกัด!")</f>
        <v>- นักสู้ตัวใหม่: ผู้พิทักษ์แดนเถื่อน, เรย์มอนด์ ผู้เชี่ยวชาญทั้งในการโจมตีและป้องกัน ไม่มีใครเทียบได้ในพลังกระสุน! นี่คือผู้พิทักษ์แดนเถื่อนที่ทรงพลังและได้รับความเคารพจากทุกคน!
- ใหม่ในการยึดป้อมปราการ: มอนสเตอร์ใหม่, ลูกกระสุนปืนใหญ่มิวแตนต์, แบนดิตผู้รุกราน; อาคารใหม่, หอรักษา; ทักษะใหม่, วงจรชีวิต, แนวป้องกัน
- กิจกรรมใหม่ "การประชิดชิงอวกาศ": เข้าร่วมทุกคน! แข่งขันเพื่อคว้าสกินหอกระจายแร่จำนวนจำกัด!</v>
      </c>
      <c r="K61" s="159" t="str">
        <f>IFERROR(__xludf.DUMMYFUNCTION("""COMPUTED_VALUE"""),"- Nuevo Luchador: Protector de Tierras Salvajes, Raymond. ¡Un maestro tanto en ataque como en defensa, inigualable en potencia de fuego! ¡Este es el poderoso protector de las tierras salvajes venerado por todos!
- Novedades en la Toma de la Fortaleza: nue"&amp;"vos monstruos, Bola de Cañón Mutante, Bandido Invasor; nuevo edificio, Torre de Curación; nuevas habilidades, Ciclo de la Vida, Línea de Defensa.
- Nuevo evento ""Carrera Espacial"": ¡llamando a todos los miembros de la Banda! ¡Trabajen juntos para ganar "&amp;"la apariencia de Distribuidor de edición limitada!")</f>
        <v>- Nuevo Luchador: Protector de Tierras Salvajes, Raymond. ¡Un maestro tanto en ataque como en defensa, inigualable en potencia de fuego! ¡Este es el poderoso protector de las tierras salvajes venerado por todos!
- Novedades en la Toma de la Fortaleza: nuevos monstruos, Bola de Cañón Mutante, Bandido Invasor; nuevo edificio, Torre de Curación; nuevas habilidades, Ciclo de la Vida, Línea de Defensa.
- Nuevo evento "Carrera Espacial": ¡llamando a todos los miembros de la Banda! ¡Trabajen juntos para ganar la apariencia de Distribuidor de edición limitada!</v>
      </c>
      <c r="L61" s="159" t="str">
        <f>IFERROR(__xludf.DUMMYFUNCTION("""COMPUTED_VALUE"""),"- Новый герой: Защитник диких земель, Раймонд. Мастер как атаки, так и защиты, непревзойденный в огневой мощи! Это могучий защитник диких земель, которого почитают все!
- Новинки в Захвате крепости: новые монстры, Мутант-пушечное ядро, Бандит Захватчик; н"&amp;"овое здание, Башня Исцеления; новые навыки, Цикл Жизни, Линия Обороны.
- Новое событие ""Космическая гонка"": всем членам банды! Работайте вместе, чтобы выиграть ограниченную версию скина Распределителя!")</f>
        <v>- Новый герой: Защитник диких земель, Раймонд. Мастер как атаки, так и защиты, непревзойденный в огневой мощи! Это могучий защитник диких земель, которого почитают все!
- Новинки в Захвате крепости: новые монстры, Мутант-пушечное ядро, Бандит Захватчик; новое здание, Башня Исцеления; новые навыки, Цикл Жизни, Линия Обороны.
- Новое событие "Космическая гонка": всем членам банды! Работайте вместе, чтобы выиграть ограниченную версию скина Распределителя!</v>
      </c>
      <c r="M61" s="159" t="str">
        <f>IFERROR(__xludf.DUMMYFUNCTION("""COMPUTED_VALUE"""),"- Yeni Savaşçı: Çorak Arazi Koruyucusu, Raymond. Hem saldırıda hem de savunmada ustalaşmış, ateş gücünde eşsiz! İşte tümü tarafından saygı gören güçlü çorak arazi koruyucusu!
- Kaleyi Ele Geçirme'de yenilikler: yeni canavarlar, Top Mermisi Mutant, Haydut "&amp;"İstilacı; yeni bina, İyileştirme Kulesi; yeni beceriler, Yaşam Döngüsü, Savunma Hattı.
- Yeni etkinlik ""Uzay Yarışı"": tüm Çete üyelerine çağrı! Sınırlı sayıda Distribütör görünümünü kazanmak için birlikte çalışın!")</f>
        <v>- Yeni Savaşçı: Çorak Arazi Koruyucusu, Raymond. Hem saldırıda hem de savunmada ustalaşmış, ateş gücünde eşsiz! İşte tümü tarafından saygı gören güçlü çorak arazi koruyucusu!
- Kaleyi Ele Geçirme'de yenilikler: yeni canavarlar, Top Mermisi Mutant, Haydut İstilacı; yeni bina, İyileştirme Kulesi; yeni beceriler, Yaşam Döngüsü, Savunma Hattı.
- Yeni etkinlik "Uzay Yarışı": tüm Çete üyelerine çağrı! Sınırlı sayıda Distribütör görünümünü kazanmak için birlikte çalışın!</v>
      </c>
      <c r="N61" s="45" t="str">
        <f>IFERROR(__xludf.DUMMYFUNCTION("""COMPUTED_VALUE"""),"- Chiến Binh Mới: Bảo Hộ Viên Hoang Dã, Raymond. Một bậc thầy về cả tấn công và phòng thủ, không ai sánh kịp về sức mạnh hỏa lực! Đây chính là người bảo hộ vùng hoang dã hùng mạnh được tôn kính bởi tất cả!
- Mới trong Tiếp Quản Pháo Đài: quái vật mới, Quả"&amp;" Bóng Đột Biến Súng Thần Công, Kẻ Cướp Xâm Lược; công trình mới, Tháp Hồi Phục; kỹ năng mới, Chu kỳ Cuộc sống, Đường Phòng Thủ.
- Sự kiện mới ""Cuộc Đua Không Gian"": kêu gọi tất cả thành viên Bang Hội! Hợp tác để giành chiến thắng giao diện trạm phân phố"&amp;"i giới hạn!")</f>
        <v>- Chiến Binh Mới: Bảo Hộ Viên Hoang Dã, Raymond. Một bậc thầy về cả tấn công và phòng thủ, không ai sánh kịp về sức mạnh hỏa lực! Đây chính là người bảo hộ vùng hoang dã hùng mạnh được tôn kính bởi tất cả!
- Mới trong Tiếp Quản Pháo Đài: quái vật mới, Quả Bóng Đột Biến Súng Thần Công, Kẻ Cướp Xâm Lược; công trình mới, Tháp Hồi Phục; kỹ năng mới, Chu kỳ Cuộc sống, Đường Phòng Thủ.
- Sự kiện mới "Cuộc Đua Không Gian": kêu gọi tất cả thành viên Bang Hội! Hợp tác để giành chiến thắng giao diện trạm phân phối giới hạn!</v>
      </c>
      <c r="O61" s="45" t="str">
        <f>IFERROR(__xludf.DUMMYFUNCTION("""COMPUTED_VALUE"""),"- Nuovo Combattente: Protettore delle Terre Selvagge, Raymond. Un maestro sia nell'attacco che nella difesa, ineguagliabile in potenza di fuoco! Questo è il possente protettore delle Terre selvagge riverito da tutti!
- Novità in Fortress Takeover: nuovi m"&amp;"ostri, Palla di Cannone Mutante, Bandito Invasore; nuova costruzione, Torre di Cura; nuove abilità, Ciclo della Vita, Linea di Difesa.
- Nuovo evento ""Gara Spaziale"": chiamando tutti i membri della Gang! Lavorate insieme per vincere la skin del Distribu"&amp;"tore in edizione limitata!")</f>
        <v>- Nuovo Combattente: Protettore delle Terre Selvagge, Raymond. Un maestro sia nell'attacco che nella difesa, ineguagliabile in potenza di fuoco! Questo è il possente protettore delle Terre selvagge riverito da tutti!
- Novità in Fortress Takeover: nuovi mostri, Palla di Cannone Mutante, Bandito Invasore; nuova costruzione, Torre di Cura; nuove abilità, Ciclo della Vita, Linea di Difesa.
- Nuovo evento "Gara Spaziale": chiamando tutti i membri della Gang! Lavorate insieme per vincere la skin del Distributore in edizione limitata!</v>
      </c>
      <c r="P61" s="34" t="str">
        <f>IFERROR(__xludf.DUMMYFUNCTION("""COMPUTED_VALUE"""),"- Nowy Wojownik: Obrońca Dzikich Krain, Raymond. Mistrz zarówno ataku, jak i obrony, niezrównany w sile ognia! To potężny obrońca Dzikich Krain, czczony przez wszystkich!
- Nowości w Przejęciu Fortecy: nowe potwory, Kula Armatnia Mutant, Bandyta Najeźdźca"&amp;"; nowy budynek, Wieża Uzdrowienia; nowe umiejętności, Cykl życia, Linia obrony.
- Nowe wydarzenie ""Kosmiczny Wyścig"": wezwanie dla wszystkich członków Gangu! Pracujcie razem, aby zdobyć limitowaną edycję skórki Dystrybutora!")</f>
        <v>- Nowy Wojownik: Obrońca Dzikich Krain, Raymond. Mistrz zarówno ataku, jak i obrony, niezrównany w sile ognia! To potężny obrońca Dzikich Krain, czczony przez wszystkich!
- Nowości w Przejęciu Fortecy: nowe potwory, Kula Armatnia Mutant, Bandyta Najeźdźca; nowy budynek, Wieża Uzdrowienia; nowe umiejętności, Cykl życia, Linia obrony.
- Nowe wydarzenie "Kosmiczny Wyścig": wezwanie dla wszystkich członków Gangu! Pracujcie razem, aby zdobyć limitowaną edycję skórki Dystrybutora!</v>
      </c>
      <c r="Q61" s="34" t="str">
        <f>IFERROR(__xludf.DUMMYFUNCTION("""COMPUTED_VALUE"""),"- مقاتل جديد: حامي الأراضي البرية، ريموند. سيد الهجوم والدفاع، لا مثيل له في قوة النيران! هذا هو حامي الأراضي البرية العظيم الذي يبجله الجميع!
- جديد في الاستيلاء على الحصن: وحوش جديدة، كرة مدفع المسوخ، بانديت المقتحم؛ مبنى جديد، برج الشفاء؛ مهارات جديدة،"&amp;" دورة الحياة، خط الدفاع.
- حدث جديد ""سباق الفضاء"": نداء لجميع أعضاء العصابة! اعملوا معًا للفوز بجلد محطة التوزيع الإصدار المحدود!")</f>
        <v>- مقاتل جديد: حامي الأراضي البرية، ريموند. سيد الهجوم والدفاع، لا مثيل له في قوة النيران! هذا هو حامي الأراضي البرية العظيم الذي يبجله الجميع!
- جديد في الاستيلاء على الحصن: وحوش جديدة، كرة مدفع المسوخ، بانديت المقتحم؛ مبنى جديد، برج الشفاء؛ مهارات جديدة، دورة الحياة، خط الدفاع.
- حدث جديد "سباق الفضاء": نداء لجميع أعضاء العصابة! اعملوا معًا للفوز بجلد محطة التوزيع الإصدار المحدود!</v>
      </c>
      <c r="R61" s="34"/>
      <c r="S61" s="34"/>
      <c r="T61" s="108"/>
      <c r="U61" s="108"/>
      <c r="V61" s="108"/>
      <c r="W61" s="108"/>
      <c r="X61" s="108"/>
      <c r="Y61" s="108"/>
      <c r="Z61" s="108"/>
    </row>
    <row r="62">
      <c r="A62" s="149" t="str">
        <f>IFERROR(__xludf.DUMMYFUNCTION("""COMPUTED_VALUE"""),"0.54.0")</f>
        <v>0.54.0</v>
      </c>
      <c r="B62" s="174" t="str">
        <f>IFERROR(__xludf.DUMMYFUNCTION("""COMPUTED_VALUE"""),"&lt;en-US&gt;
- Planet Wars: new story - Coral Star.
- New Fighter: Shade Hunter, Tassia, the master mechanic and protector of justice! Get her from Planet Wars.
- New Legendary Mech - Primatus: a super powerful, massive siege machine with unparalleled strength"&amp;". Complete the required activation quests to get it.
- Banana Fight is here! Unlock the mini-game after completing chapter 16 quests and fight against multiple opponents. Grab more bananas to knock out your opponents and be the first to the podium to get "&amp;"tons of rewards! New item feature: pick up items to help you in the game.
&lt;/en-US&gt;
&lt;fr-FR&gt;
- Guerre Planétaire : nouvelle histoire - Étoile de Corail.
- Nouveau Combattant : Chasseur d'Ombre, Tassia, la maître mécanicienne et protectrice de la justice ! O"&amp;"btenez-la dans la Guerre Planétaire.
- Nouveau Mécha Légendaire - Primatus : une machine de siège super puissante et massive avec une force inégalée. Terminez les quêtes d'activation requises pour l'obtenir.
- La Bataille des Bananes est là ! Débloquez le"&amp;" mini-jeu après avoir terminé les quêtes du chapitre 16 et affrontez plusieurs adversaires. Attrapez plus de bananes pour éliminer vos adversaires et soyez le premier sur le podium pour obtenir des tonnes de récompenses ! Nouvelle fonctionnalité d'objet :"&amp;" ramassez des objets pour vous aider dans le jeu.- 50 nouveaux niveaux d'Invasion de forteresses : relevez le défi des 50 nouveaux niveaux !
&lt;/fr-FR&gt;
&lt;de-DE&gt;
- Galaxienkriege: Neues Szenario hinzugefügt - Korallenstern.
- Neuer Kämpfer: Schattenjäger - Ta"&amp;"ssia, herausragende Mechanikerin und Beschützerin der Gerechtigkeit! Erhältlich durch die Galaxienkriege.
- Neuer legendärer King Kong Mech: Mächtige Belagerungswaffe, gewaltige Statur und enorme Kraft. Erhältlich durch Abschluss der Aktivierungsmissionen"&amp;" für den King Kong Mech.
- Neue Bananenkampf-Spielweise: Schließe die Missionen von Kapitel 16 ab und schalte die neue Spielweise ""Bananenkampf"" frei! Tritt gegen mehrere Gegner an, sammle mehr Bananen, um sie auszuschalten, und erreiche als Erster das "&amp;"Siegertreppchen, um viele Belohnungen zu erhalten!
&lt;/de-DE&gt;
&lt;pt-BR&gt;
- Guerras Interplanetárias: nova história - Estrela Coral.
- Nova Combatente: Caçadora Sombria, Tassia, a mestre mecânica e protetora da justiça! Adquira-a nas Guerras Interplanetárias.
-"&amp;" Novo Meca Lendário - Primatus: uma máquina de cerco super poderosa e massiva com força incomparável. Complete as missões de ativação necessárias para obtê-lo.
- Batalha das Bananas chegou! Desbloqueie o mini-jogo após completar as missões do capítulo 16 "&amp;"e lute contra vários oponentes. Pegue mais bananas para nocautear seus adversários e seja o primeiro no pódio para ganhar muitas recompensas! Nova funcionalidade de item: pegue itens para ajudá-lo no jogo.- 50 novos níveis de Conquista de Fortaleza: enfre"&amp;"nte 50 novos níveis!
&lt;/pt-BR&gt;
&lt;zh-HK&gt;
-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全新道具機制：在遊戲對局當中，您可以拾取道具來"&amp;"輔助競技。-新增堡壘對決50關：堡壘對決新增50個全新關卡，歡迎指揮官挑戰！
&lt;/zh-HK&gt;
&lt;zh-TW&gt;
-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全新道具機"&amp;"制：在遊戲對局當中，您可以拾取道具來輔助競技。-新增堡壘對決50關：堡壘對決新增50個全新關卡，歡迎指揮官挑戰！
&lt;/zh-TW&gt;
&lt;id&gt;
- Perang Galaksi: menambahkan skenario baru Perang Galaksi - Bintang Karang.
- Pejuang Baru: Umbra Hunter - Tassia, mekanik yang luar biasa, pelindung keadilan! Dapat diperoleh melalui"&amp;" Perang Galaksi.
- Mekanik Legendaris Baru: King Kong, senjata pengepungan yang kuat, berukuran besar, dan kekuatan tak terbatas. Dapatkan dengan menyelesaikan misi aktivasi King Kong.
- Permainan Baru: Perang Pisang: Setelah menyelesaikan misi Babak 16, "&amp;"buka permainan baru: Perang Pisang! Anda akan bersaing dengan beberapa lawan dalam pertandingan, rebut lebih banyak pisang untuk mengalahkan musuh, dan jadilah yang pertama mencapai podium untuk mendapatkan banyak hadiah! Mekanisme item baru: Anda dapat m"&amp;"engambil item untuk membantu Anda dalam pertandingan.- 50 Level Baru Penaklukan Benteng: hadapi 50 level baru!
&lt;/id&gt;
&lt;th&gt;
- สงครามดาวเคราะห์: เพิ่มบทใหม่ของสงครามดาวเคราะห์ - ดาวปะการัง
- นักสู้ใหม่: ฮันเตอร์เงา - ทาสเซีย, ช่างเครื่องกลยอดเยี่ยม, ผู้ปกป้อ"&amp;"งความยุติธรรม! สามารถรับได้จากสงครามดาวเคราะห์
- เมคตำนานคุณภาพใหม่: สร้างเครื่องป้อมยักษ์ที่มีพลังที่ยิ่งใหญ่และแข็งแกร่ง, สามารถรับได้จากการทำภารกิจเปิดใช้งานเมค
- เพิ่มเกมเพลย์ Banana Fight: เมื่อเสร็จภารกิจบทที่ 16, ปลดล็อกเกมเพลย์ใหม่: Banana Fight! "&amp;"คุณจะแข่งขันกับศัตรูหลายคนในเกม, ชิงกล้วยเพื่อทำให้ศัตรู KO, แข่งขันเพื่อขึ้นเวทีรับรางวัลมากมาย! 
กลไกไอเทมใหม่: ในเกม, คุณสามารถเก็บไอเทมเพื่อช่วยเสริมการแข่งขัน- 50 ระดับการครอบครองป้อมใหม่: ต่อสู้ใน 50 ระดับใหม่!
&lt;/th&gt;
&lt;es-419&gt;
- Guerras Planetarias: "&amp;"nueva historia - Estrella de Coral.
- Nuevo Luchador: Cazadora de Sombras, Tassia, la maestra mecánica y protectora de la justicia. Obténla en las Guerras Planetarias.
- Nuevo Meca Legendario - Primatus: una máquina de asedio súper poderosa y masiva con u"&amp;"na fuerza sin igual. Completa las misiones de activación requeridas para obtenerlo.
- ¡Llega la Pelea de Bananas! Desbloquea el minijuego después de completar las misiones del capítulo 16 y lucha contra múltiples oponentes. ¡Agarra más bananas para noquea"&amp;"r a tus oponentes y sé el primero en el podio para obtener montones de recompensas! Nueva función de objetos: recoge objetos para ayudarte en el juego.- 50 nuevos niveles de Toma de la Fortaleza: ¡enfréntate a 50 nuevos niveles!
&lt;/es-419&gt;
&lt;ru-RU&gt;
- Планет"&amp;"арные войны: новая история - Коралловая Звезда.
- Новый герой: Теневой Охотник, Тассия, мастер-механик и защитник справедливости! Получите ее из Планетарных войн.
- Новый легендарный мех - Приматус: сверхмощная, массивная осадная машина с непревзойденной "&amp;"силой. Завершите необходимые задания по активации, чтобы получить его.
- Битва Бананов здесь! Разблокируйте мини-игру после выполнения заданий главы 16 и сражайтесь против нескольких противников. Собирайте больше бананов, чтобы выбить своих соперников и п"&amp;"ервым добраться до пьедестала, чтобы получить массу наград! Новая функция предметов: подбирайте предметы, чтобы помочь вам в игре.- 50 новых уровней захвата крепости: пройдите 50 новых уровней!
&lt;/ru-RU&gt;
&lt;tr-TR&gt;
- Gezegen Savaşları: yeni hikaye - Mercan Yı"&amp;"ldızı.
- Yeni Savaşçı: Gölge Avcısı, Tassia, adaletin koruyucusu ve ustalık mekanik! Onu Gezegen Savaşları'ndan alın.
- Yeni Efsanevi Meka - Primatus: eşsiz güce sahip, süper güçlü ve devasa bir kuşatma makinesi. Onu elde etmek için gerekli etkinleştirme "&amp;"görevlerini tamamlayın.
- Muz Savaşı burada! Bölüm 16 görevlerini tamamladıktan sonra mini oyunu açın ve birden fazla rakibe karşı savaşın. Daha fazla muz kaparak rakiplerinizi devre dışı bırakın ve ödüller için ilk sıraya yerleşin! Yeni eşya özelliği: oy"&amp;"un sırasında size yardımcı olacak eşyaları toplayın.- 50 Yeni Kale Savaşı seviyeleri: 50 yeni seviye ekleniyor, komutanlar meydan okumaya hoş geldiniz!
&lt;/tr-TR&gt;
&lt;vi&gt;
- Chiến Tranh Hành Tinh: thêm kịch bản Chiến Tranh Hành Tinh mới - Sao San Hô.
- Chiến Bi"&amp;"nh mới: Umbra Hunter - Tassia, cơ khí gia xuất sắc, bảo vệ công lý! Có thể nhận được từ Chiến Tranh Hành Tinh.
- Cơ Khí Huyền Thoại mới: Primatus - vũ khí bao vây mạnh mẽ, hình dáng uy nghi, sức mạnh to lớn, có thể nhận được bằng cách hoàn thành nhiệm vụ "&amp;"kích hoạt của Primatus.
- Thêm trò chơi Banana Fight: sau khi hoàn thành nhiệm vụ chương 16, mở khóa trò chơi mới: Banana Fight! Bạn sẽ cạnh tranh với nhiều kẻ thù trong trận đấu, giành lấy nhiều chuối hơn để đánh bại đối thủ, vượt lên đầu tiên trên bục n"&amp;"hận thưởng và nhận được nhiều phần thưởng! 
&lt;/vi&gt;
&lt;it-IT&gt;
- Guerre Planetarie: nuova storia - Stella di Corallo.
- Nuovo Combattente: Shade Hunter, Tassia, la maestra meccanica e protettrice della giustizia! Ottienila dalle Guerre Planetarie.
- Nuovo Mech"&amp;" Leggendario - Primatus: una macchina d'assedio super potente e massiccia con una forza senza pari. Completa le missioni di attivazione richieste per ottenerlo.
- Banana Fight è arrivato! Sblocca il mini-gioco dopo aver completato le missioni del capitolo"&amp;" 16 e combatti contro più avversari. Afferra più banane per mettere KO i tuoi avversari e essere il primo sul podio per ottenere tantissime ricompense! Nuova funzionalità degli oggetti: raccogli oggetti per aiutarti nel gioco.- 50 Nuovi livelli di Conquis"&amp;"ta della Fortezza: affronta 50 nuovi livelli!
&lt;/it-IT&gt;
&lt;pl-PL&gt;
- Wojny Galaktyczne: dodano nowy scenariusz Wojen Galaktycznych - Gwiazda Koralowa.
- Nowy Wojownik: Łowca Cieni - Tassia, wybitna mechanik, parasol sprawiedliwości! Można zdobyć poprzez Wojny"&amp;" Galaktyczne.
- Nowy Legendarny Mech: potężna machina oblężnicza o imponującej posturze i nieograniczonej sile. Można zdobyć, wykonując zadania aktywacyjne dla tego mecha.
- Nowa rozgrywka Bananowa Bitwa: po ukończeniu zadań z 16. rozdziału, odblokuj nową"&amp;" rozgrywkę: Bananowa Bitwa! Będziesz rywalizować z wieloma przeciwnikami, zdobywając więcej bananów, aby pokonać wrogów i jako pierwszy stanąć na podium, zdobywając mnóstwo nagród!
Nowy mechanizm przedmiotów: podczas gry możesz zbierać przedmioty, które p"&amp;"omogą Ci w rywalizacji.- 50 nowych poziomów zdobywania twierdzy: przygotuj się na 50 całkowicie nowych poziomów, którym będą musieli stawić czoła dowódcy!
&lt;/pl-PL&gt;
&lt;ar&gt;
- حروب المجرة: سيناريو جديد لحروب المجرة - نجمة المرجان.
- مقاتل جديد: صياد الظل - تاس"&amp;"يا، ميكانيكي متميز وحامي العدالة! يمكن الحصول عليها من خلال حروب المجرة.
- ميكا أسطوري جديد: آلة حصار عملاقة وقوية بقوة لا حدود لها، يمكن الحصول عليها من خلال إكمال مهام تفعيل ميكا الأسطوري.
- طريقة لعب جديدة: معركة الموز: بعد إكمال مهام الفصل 16، ستفتح ط"&amp;"ريقة لعب جديدة: معركة الموز! ستتنافس مع عدة خصوم في المباراة، اجمع المزيد من الموز لضرب الأعداء وتصدر المنصة للحصول على العديد من المكافآت! آلية جديدة للعناصر: يمكنك جمع العناصر أثناء المباراة لمساعدتك في التنافس.- 50 مستوى جديد لاقتحام القلعة: خوض 50 مست"&amp;"وى جديد!
&lt;/ar&gt;
")</f>
        <v>&lt;en-US&gt;
- Planet Wars: new story - Coral Star.
- New Fighter: Shade Hunter, Tassia, the master mechanic and protector of justice! Get her from Planet Wars.
- New Legendary Mech - Primatus: a super powerful, massive siege machine with unparalleled strength. Complete the required activation quests to get it.
- Banana Fight is here! Unlock the mini-game after completing chapter 16 quests and fight against multiple opponents. Grab more bananas to knock out your opponents and be the first to the podium to get tons of rewards! New item feature: pick up items to help you in the game.
&lt;/en-US&gt;
&lt;fr-FR&gt;
- Guerre Planétaire : nouvelle histoire - Étoile de Corail.
- Nouveau Combattant : Chasseur d'Ombre, Tassia, la maître mécanicienne et protectrice de la justice ! Obtenez-la dans la Guerre Planétaire.
- Nouveau Mécha Légendaire - Primatus : une machine de siège super puissante et massive avec une force inégalée. Terminez les quêtes d'activation requises pour l'obtenir.
- La Bataille des Bananes est là ! Débloquez le mini-jeu après avoir terminé les quêtes du chapitre 16 et affrontez plusieurs adversaires. Attrapez plus de bananes pour éliminer vos adversaires et soyez le premier sur le podium pour obtenir des tonnes de récompenses ! Nouvelle fonctionnalité d'objet : ramassez des objets pour vous aider dans le jeu.- 50 nouveaux niveaux d'Invasion de forteresses : relevez le défi des 50 nouveaux niveaux !
&lt;/fr-FR&gt;
&lt;de-DE&gt;
- Galaxienkriege: Neues Szenario hinzugefügt - Korallenstern.
- Neuer Kämpfer: Schattenjäger - Tassia, herausragende Mechanikerin und Beschützerin der Gerechtigkeit! Erhältlich durch die Galaxienkriege.
- Neuer legendärer King Kong Mech: Mächtige Belagerungswaffe, gewaltige Statur und enorme Kraft. Erhältlich durch Abschluss der Aktivierungsmissionen für den King Kong Mech.
- Neue Bananenkampf-Spielweise: Schließe die Missionen von Kapitel 16 ab und schalte die neue Spielweise "Bananenkampf" frei! Tritt gegen mehrere Gegner an, sammle mehr Bananen, um sie auszuschalten, und erreiche als Erster das Siegertreppchen, um viele Belohnungen zu erhalten!
&lt;/de-DE&gt;
&lt;pt-BR&gt;
- Guerras Interplanetárias: nova história - Estrela Coral.
- Nova Combatente: Caçadora Sombria, Tassia, a mestre mecânica e protetora da justiça! Adquira-a nas Guerras Interplanetárias.
- Novo Meca Lendário - Primatus: uma máquina de cerco super poderosa e massiva com força incomparável. Complete as missões de ativação necessárias para obtê-lo.
- Batalha das Bananas chegou! Desbloqueie o mini-jogo após completar as missões do capítulo 16 e lute contra vários oponentes. Pegue mais bananas para nocautear seus adversários e seja o primeiro no pódio para ganhar muitas recompensas! Nova funcionalidade de item: pegue itens para ajudá-lo no jogo.- 50 novos níveis de Conquista de Fortaleza: enfrente 50 novos níveis!
&lt;/pt-BR&gt;
&lt;zh-HK&gt;
-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全新道具機制：在遊戲對局當中，您可以拾取道具來輔助競技。-新增堡壘對決50關：堡壘對決新增50個全新關卡，歡迎指揮官挑戰！
&lt;/zh-HK&gt;
&lt;zh-TW&gt;
-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全新道具機制：在遊戲對局當中，您可以拾取道具來輔助競技。-新增堡壘對決50關：堡壘對決新增50個全新關卡，歡迎指揮官挑戰！
&lt;/zh-TW&gt;
&lt;id&gt;
- Perang Galaksi: menambahkan skenario baru Perang Galaksi - Bintang Karang.
- Pejuang Baru: Umbra Hunter - Tassia, mekanik yang luar biasa, pelindung keadilan! Dapat diperoleh melalui Perang Galaksi.
- Mekanik Legendaris Baru: King Kong, senjata pengepungan yang kuat, berukuran besar, dan kekuatan tak terbatas. Dapatkan dengan menyelesaikan misi aktivasi King Kong.
- Permainan Baru: Perang Pisang: Setelah menyelesaikan misi Babak 16, buka permainan baru: Perang Pisang! Anda akan bersaing dengan beberapa lawan dalam pertandingan, rebut lebih banyak pisang untuk mengalahkan musuh, dan jadilah yang pertama mencapai podium untuk mendapatkan banyak hadiah! Mekanisme item baru: Anda dapat mengambil item untuk membantu Anda dalam pertandingan.- 50 Level Baru Penaklukan Benteng: hadapi 50 level baru!
&lt;/id&gt;
&lt;th&gt;
- สงครามดาวเคราะห์: เพิ่มบทใหม่ของสงครามดาวเคราะห์ - ดาวปะการัง
- นักสู้ใหม่: ฮันเตอร์เงา - ทาสเซีย, ช่างเครื่องกลยอดเยี่ยม, ผู้ปกป้องความยุติธรรม! สามารถรับได้จากสงครามดาวเคราะห์
- เมคตำนานคุณภาพใหม่: สร้างเครื่องป้อมยักษ์ที่มีพลังที่ยิ่งใหญ่และแข็งแกร่ง, สามารถรับได้จากการทำภารกิจเปิดใช้งานเมค
- เพิ่มเกมเพลย์ Banana Fight: เมื่อเสร็จภารกิจบทที่ 16, ปลดล็อกเกมเพลย์ใหม่: Banana Fight! คุณจะแข่งขันกับศัตรูหลายคนในเกม, ชิงกล้วยเพื่อทำให้ศัตรู KO, แข่งขันเพื่อขึ้นเวทีรับรางวัลมากมาย! 
กลไกไอเทมใหม่: ในเกม, คุณสามารถเก็บไอเทมเพื่อช่วยเสริมการแข่งขัน- 50 ระดับการครอบครองป้อมใหม่: ต่อสู้ใน 50 ระดับใหม่!
&lt;/th&gt;
&lt;es-419&gt;
- Guerras Planetarias: nueva historia - Estrella de Coral.
- Nuevo Luchador: Cazadora de Sombras, Tassia, la maestra mecánica y protectora de la justicia. Obténla en las Guerras Planetarias.
- Nuevo Meca Legendario - Primatus: una máquina de asedio súper poderosa y masiva con una fuerza sin igual. Completa las misiones de activación requeridas para obtenerlo.
- ¡Llega la Pelea de Bananas! Desbloquea el minijuego después de completar las misiones del capítulo 16 y lucha contra múltiples oponentes. ¡Agarra más bananas para noquear a tus oponentes y sé el primero en el podio para obtener montones de recompensas! Nueva función de objetos: recoge objetos para ayudarte en el juego.- 50 nuevos niveles de Toma de la Fortaleza: ¡enfréntate a 50 nuevos niveles!
&lt;/es-419&gt;
&lt;ru-RU&gt;
- Планетарные войны: новая история - Коралловая Звезда.
- Новый герой: Теневой Охотник, Тассия, мастер-механик и защитник справедливости! Получите ее из Планетарных войн.
- Новый легендарный мех - Приматус: сверхмощная, массивная осадная машина с непревзойденной силой. Завершите необходимые задания по активации, чтобы получить его.
- Битва Бананов здесь! Разблокируйте мини-игру после выполнения заданий главы 16 и сражайтесь против нескольких противников. Собирайте больше бананов, чтобы выбить своих соперников и первым добраться до пьедестала, чтобы получить массу наград! Новая функция предметов: подбирайте предметы, чтобы помочь вам в игре.- 50 новых уровней захвата крепости: пройдите 50 новых уровней!
&lt;/ru-RU&gt;
&lt;tr-TR&gt;
- Gezegen Savaşları: yeni hikaye - Mercan Yıldızı.
- Yeni Savaşçı: Gölge Avcısı, Tassia, adaletin koruyucusu ve ustalık mekanik! Onu Gezegen Savaşları'ndan alın.
- Yeni Efsanevi Meka - Primatus: eşsiz güce sahip, süper güçlü ve devasa bir kuşatma makinesi. Onu elde etmek için gerekli etkinleştirme görevlerini tamamlayın.
- Muz Savaşı burada! Bölüm 16 görevlerini tamamladıktan sonra mini oyunu açın ve birden fazla rakibe karşı savaşın. Daha fazla muz kaparak rakiplerinizi devre dışı bırakın ve ödüller için ilk sıraya yerleşin! Yeni eşya özelliği: oyun sırasında size yardımcı olacak eşyaları toplayın.- 50 Yeni Kale Savaşı seviyeleri: 50 yeni seviye ekleniyor, komutanlar meydan okumaya hoş geldiniz!
&lt;/tr-TR&gt;
&lt;vi&gt;
- Chiến Tranh Hành Tinh: thêm kịch bản Chiến Tranh Hành Tinh mới - Sao San Hô.
- Chiến Binh mới: Umbra Hunter - Tassia, cơ khí gia xuất sắc, bảo vệ công lý! Có thể nhận được từ Chiến Tranh Hành Tinh.
- Cơ Khí Huyền Thoại mới: Primatus - vũ khí bao vây mạnh mẽ, hình dáng uy nghi, sức mạnh to lớn, có thể nhận được bằng cách hoàn thành nhiệm vụ kích hoạt của Primatus.
- Thêm trò chơi Banana Fight: sau khi hoàn thành nhiệm vụ chương 16, mở khóa trò chơi mới: Banana Fight! Bạn sẽ cạnh tranh với nhiều kẻ thù trong trận đấu, giành lấy nhiều chuối hơn để đánh bại đối thủ, vượt lên đầu tiên trên bục nhận thưởng và nhận được nhiều phần thưởng! 
&lt;/vi&gt;
&lt;it-IT&gt;
- Guerre Planetarie: nuova storia - Stella di Corallo.
- Nuovo Combattente: Shade Hunter, Tassia, la maestra meccanica e protettrice della giustizia! Ottienila dalle Guerre Planetarie.
- Nuovo Mech Leggendario - Primatus: una macchina d'assedio super potente e massiccia con una forza senza pari. Completa le missioni di attivazione richieste per ottenerlo.
- Banana Fight è arrivato! Sblocca il mini-gioco dopo aver completato le missioni del capitolo 16 e combatti contro più avversari. Afferra più banane per mettere KO i tuoi avversari e essere il primo sul podio per ottenere tantissime ricompense! Nuova funzionalità degli oggetti: raccogli oggetti per aiutarti nel gioco.- 50 Nuovi livelli di Conquista della Fortezza: affronta 50 nuovi livelli!
&lt;/it-IT&gt;
&lt;pl-PL&gt;
- Wojny Galaktyczne: dodano nowy scenariusz Wojen Galaktycznych - Gwiazda Koralowa.
- Nowy Wojownik: Łowca Cieni - Tassia, wybitna mechanik, parasol sprawiedliwości! Można zdobyć poprzez Wojny Galaktyczne.
- Nowy Legendarny Mech: potężna machina oblężnicza o imponującej posturze i nieograniczonej sile. Można zdobyć, wykonując zadania aktywacyjne dla tego mecha.
- Nowa rozgrywka Bananowa Bitwa: po ukończeniu zadań z 16. rozdziału, odblokuj nową rozgrywkę: Bananowa Bitwa! Będziesz rywalizować z wieloma przeciwnikami, zdobywając więcej bananów, aby pokonać wrogów i jako pierwszy stanąć na podium, zdobywając mnóstwo nagród!
Nowy mechanizm przedmiotów: podczas gry możesz zbierać przedmioty, które pomogą Ci w rywalizacji.- 50 nowych poziomów zdobywania twierdzy: przygotuj się na 50 całkowicie nowych poziomów, którym będą musieli stawić czoła dowódcy!
&lt;/pl-PL&gt;
&lt;ar&gt;
- حروب المجرة: سيناريو جديد لحروب المجرة - نجمة المرجان.
- مقاتل جديد: صياد الظل - تاسيا، ميكانيكي متميز وحامي العدالة! يمكن الحصول عليها من خلال حروب المجرة.
- ميكا أسطوري جديد: آلة حصار عملاقة وقوية بقوة لا حدود لها، يمكن الحصول عليها من خلال إكمال مهام تفعيل ميكا الأسطوري.
- طريقة لعب جديدة: معركة الموز: بعد إكمال مهام الفصل 16، ستفتح طريقة لعب جديدة: معركة الموز! ستتنافس مع عدة خصوم في المباراة، اجمع المزيد من الموز لضرب الأعداء وتصدر المنصة للحصول على العديد من المكافآت! آلية جديدة للعناصر: يمكنك جمع العناصر أثناء المباراة لمساعدتك في التنافس.- 50 مستوى جديد لاقتحام القلعة: خوض 50 مستوى جديد!
&lt;/ar&gt;
</v>
      </c>
      <c r="C62" s="44" t="str">
        <f>IFERROR(__xludf.DUMMYFUNCTION("""COMPUTED_VALUE"""),"-银河战争：增加了全新的银河战争剧本-珊瑚星。
-新增斗士：伞影猎手-塔西娅，杰出的机械师，正义的保护伞！可通过银河战争获取。
-新增传说品质金刚机甲：强大的攻城造物，身型伟岸，力大无穷，可通过完成金刚机甲的激活任务获得。
-新增香蕉大战玩法：完成章节任务第16章时，解锁全新玩法：香蕉大战！您将在对局中与多位敌人展开竞技，夺取更多香蕉KO敌人，率先冲上领奖台，获取大量奖励吧！")</f>
        <v>-银河战争：增加了全新的银河战争剧本-珊瑚星。
-新增斗士：伞影猎手-塔西娅，杰出的机械师，正义的保护伞！可通过银河战争获取。
-新增传说品质金刚机甲：强大的攻城造物，身型伟岸，力大无穷，可通过完成金刚机甲的激活任务获得。
-新增香蕉大战玩法：完成章节任务第16章时，解锁全新玩法：香蕉大战！您将在对局中与多位敌人展开竞技，夺取更多香蕉KO敌人，率先冲上领奖台，获取大量奖励吧！</v>
      </c>
      <c r="D62" s="159" t="str">
        <f>IFERROR(__xludf.DUMMYFUNCTION("""COMPUTED_VALUE"""),"- Planet Wars: new story - Coral Star.
- New Fighter: Shade Hunter, Tassia, the master mechanic and protector of justice! Get her from Planet Wars.
- New Legendary Mech - Primatus: a super powerful, massive siege machine with unparalleled strength. Comple"&amp;"te the required activation quests to get it.
- Banana Fight is here! Unlock the mini-game after completing chapter 16 quests and fight against multiple opponents. Grab more bananas to knock out your opponents and be the first to the podium to get tons of "&amp;"rewards! New item feature: pick up items to help you in the game.")</f>
        <v>- Planet Wars: new story - Coral Star.
- New Fighter: Shade Hunter, Tassia, the master mechanic and protector of justice! Get her from Planet Wars.
- New Legendary Mech - Primatus: a super powerful, massive siege machine with unparalleled strength. Complete the required activation quests to get it.
- Banana Fight is here! Unlock the mini-game after completing chapter 16 quests and fight against multiple opponents. Grab more bananas to knock out your opponents and be the first to the podium to get tons of rewards! New item feature: pick up items to help you in the game.</v>
      </c>
      <c r="E62" s="159" t="str">
        <f>IFERROR(__xludf.DUMMYFUNCTION("""COMPUTED_VALUE"""),"- Guerre Planétaire : nouvelle histoire - Étoile de Corail.
- Nouveau Combattant : Chasseur d'Ombre, Tassia, la maître mécanicienne et protectrice de la justice ! Obtenez-la dans la Guerre Planétaire.
- Nouveau Mécha Légendaire - Primatus : une machine de"&amp;" siège super puissante et massive avec une force inégalée. Terminez les quêtes d'activation requises pour l'obtenir.
- La Bataille des Bananes est là ! Débloquez le mini-jeu après avoir terminé les quêtes du chapitre 16 et affrontez plusieurs adversaires."&amp;" Attrapez plus de bananes pour éliminer vos adversaires et soyez le premier sur le podium pour obtenir des tonnes de récompenses ! Nouvelle fonctionnalité d'objet : ramassez des objets pour vous aider dans le jeu.- 50 nouveaux niveaux d'Invasion de forter"&amp;"esses : relevez le défi des 50 nouveaux niveaux !")</f>
        <v>- Guerre Planétaire : nouvelle histoire - Étoile de Corail.
- Nouveau Combattant : Chasseur d'Ombre, Tassia, la maître mécanicienne et protectrice de la justice ! Obtenez-la dans la Guerre Planétaire.
- Nouveau Mécha Légendaire - Primatus : une machine de siège super puissante et massive avec une force inégalée. Terminez les quêtes d'activation requises pour l'obtenir.
- La Bataille des Bananes est là ! Débloquez le mini-jeu après avoir terminé les quêtes du chapitre 16 et affrontez plusieurs adversaires. Attrapez plus de bananes pour éliminer vos adversaires et soyez le premier sur le podium pour obtenir des tonnes de récompenses ! Nouvelle fonctionnalité d'objet : ramassez des objets pour vous aider dans le jeu.- 50 nouveaux niveaux d'Invasion de forteresses : relevez le défi des 50 nouveaux niveaux !</v>
      </c>
      <c r="F62" s="159" t="str">
        <f>IFERROR(__xludf.DUMMYFUNCTION("""COMPUTED_VALUE"""),"- Galaxienkriege: Neues Szenario hinzugefügt - Korallenstern.
- Neuer Kämpfer: Schattenjäger - Tassia, herausragende Mechanikerin und Beschützerin der Gerechtigkeit! Erhältlich durch die Galaxienkriege.
- Neuer legendärer King Kong Mech: Mächtige Belageru"&amp;"ngswaffe, gewaltige Statur und enorme Kraft. Erhältlich durch Abschluss der Aktivierungsmissionen für den King Kong Mech.
- Neue Bananenkampf-Spielweise: Schließe die Missionen von Kapitel 16 ab und schalte die neue Spielweise ""Bananenkampf"" frei! Tritt"&amp;" gegen mehrere Gegner an, sammle mehr Bananen, um sie auszuschalten, und erreiche als Erster das Siegertreppchen, um viele Belohnungen zu erhalten!")</f>
        <v>- Galaxienkriege: Neues Szenario hinzugefügt - Korallenstern.
- Neuer Kämpfer: Schattenjäger - Tassia, herausragende Mechanikerin und Beschützerin der Gerechtigkeit! Erhältlich durch die Galaxienkriege.
- Neuer legendärer King Kong Mech: Mächtige Belagerungswaffe, gewaltige Statur und enorme Kraft. Erhältlich durch Abschluss der Aktivierungsmissionen für den King Kong Mech.
- Neue Bananenkampf-Spielweise: Schließe die Missionen von Kapitel 16 ab und schalte die neue Spielweise "Bananenkampf" frei! Tritt gegen mehrere Gegner an, sammle mehr Bananen, um sie auszuschalten, und erreiche als Erster das Siegertreppchen, um viele Belohnungen zu erhalten!</v>
      </c>
      <c r="G62" s="159" t="str">
        <f>IFERROR(__xludf.DUMMYFUNCTION("""COMPUTED_VALUE"""),"- Guerras Interplanetárias: nova história - Estrela Coral.
- Nova Combatente: Caçadora Sombria, Tassia, a mestre mecânica e protetora da justiça! Adquira-a nas Guerras Interplanetárias.
- Novo Meca Lendário - Primatus: uma máquina de cerco super poderosa "&amp;"e massiva com força incomparável. Complete as missões de ativação necessárias para obtê-lo.
- Batalha das Bananas chegou! Desbloqueie o mini-jogo após completar as missões do capítulo 16 e lute contra vários oponentes. Pegue mais bananas para nocautear se"&amp;"us adversários e seja o primeiro no pódio para ganhar muitas recompensas! Nova funcionalidade de item: pegue itens para ajudá-lo no jogo.- 50 novos níveis de Conquista de Fortaleza: enfrente 50 novos níveis!")</f>
        <v>- Guerras Interplanetárias: nova história - Estrela Coral.
- Nova Combatente: Caçadora Sombria, Tassia, a mestre mecânica e protetora da justiça! Adquira-a nas Guerras Interplanetárias.
- Novo Meca Lendário - Primatus: uma máquina de cerco super poderosa e massiva com força incomparável. Complete as missões de ativação necessárias para obtê-lo.
- Batalha das Bananas chegou! Desbloqueie o mini-jogo após completar as missões do capítulo 16 e lute contra vários oponentes. Pegue mais bananas para nocautear seus adversários e seja o primeiro no pódio para ganhar muitas recompensas! Nova funcionalidade de item: pegue itens para ajudá-lo no jogo.- 50 novos níveis de Conquista de Fortaleza: enfrente 50 novos níveis!</v>
      </c>
      <c r="H62" s="159" t="str">
        <f>IFERROR(__xludf.DUMMYFUNCTION("""COMPUTED_VALUE"""),"-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全新道具機制：在遊戲對局當中，您可以拾取道具來輔助競技。-新增堡壘對決50關：堡壘對決新增50個全新關卡，歡迎指揮官挑戰！")</f>
        <v>- 銀河戰爭：增加了全新的銀河戰爭劇本—珊瑚星。
- 新增鬥士：傘影獵手-塔西婭，傑出的機械師，正義的保護傘！可通過銀河戰爭獲取。
- 新增傳說品質金剛機甲：強大的攻城造物，身型偉岸，力大無窮，可通過完成金剛機甲的激活任務獲得。
- 新增香蕉大戰玩法：完成章節任務第16章時，解鎖全新玩法：香蕉大戰！您將在對局中與多位敵人展開競技，奪取更多香蕉KO敵人，率先衝上領獎台，獲取大量獎勵吧！
全新道具機制：在遊戲對局當中，您可以拾取道具來輔助競技。-新增堡壘對決50關：堡壘對決新增50個全新關卡，歡迎指揮官挑戰！</v>
      </c>
      <c r="I62" s="159" t="str">
        <f>IFERROR(__xludf.DUMMYFUNCTION("""COMPUTED_VALUE"""),"- Perang Galaksi: menambahkan skenario baru Perang Galaksi - Bintang Karang.
- Pejuang Baru: Umbra Hunter - Tassia, mekanik yang luar biasa, pelindung keadilan! Dapat diperoleh melalui Perang Galaksi.
- Mekanik Legendaris Baru: King Kong, senjata pengepun"&amp;"gan yang kuat, berukuran besar, dan kekuatan tak terbatas. Dapatkan dengan menyelesaikan misi aktivasi King Kong.
- Permainan Baru: Perang Pisang: Setelah menyelesaikan misi Babak 16, buka permainan baru: Perang Pisang! Anda akan bersaing dengan beberapa "&amp;"lawan dalam pertandingan, rebut lebih banyak pisang untuk mengalahkan musuh, dan jadilah yang pertama mencapai podium untuk mendapatkan banyak hadiah! Mekanisme item baru: Anda dapat mengambil item untuk membantu Anda dalam pertandingan.- 50 Level Baru Pe"&amp;"naklukan Benteng: hadapi 50 level baru!")</f>
        <v>- Perang Galaksi: menambahkan skenario baru Perang Galaksi - Bintang Karang.
- Pejuang Baru: Umbra Hunter - Tassia, mekanik yang luar biasa, pelindung keadilan! Dapat diperoleh melalui Perang Galaksi.
- Mekanik Legendaris Baru: King Kong, senjata pengepungan yang kuat, berukuran besar, dan kekuatan tak terbatas. Dapatkan dengan menyelesaikan misi aktivasi King Kong.
- Permainan Baru: Perang Pisang: Setelah menyelesaikan misi Babak 16, buka permainan baru: Perang Pisang! Anda akan bersaing dengan beberapa lawan dalam pertandingan, rebut lebih banyak pisang untuk mengalahkan musuh, dan jadilah yang pertama mencapai podium untuk mendapatkan banyak hadiah! Mekanisme item baru: Anda dapat mengambil item untuk membantu Anda dalam pertandingan.- 50 Level Baru Penaklukan Benteng: hadapi 50 level baru!</v>
      </c>
      <c r="J62" s="159" t="str">
        <f>IFERROR(__xludf.DUMMYFUNCTION("""COMPUTED_VALUE"""),"- สงครามดาวเคราะห์: เพิ่มบทใหม่ของสงครามดาวเคราะห์ - ดาวปะการัง
- นักสู้ใหม่: ฮันเตอร์เงา - ทาสเซีย, ช่างเครื่องกลยอดเยี่ยม, ผู้ปกป้องความยุติธรรม! สามารถรับได้จากสงครามดาวเคราะห์
- เมคตำนานคุณภาพใหม่: สร้างเครื่องป้อมยักษ์ที่มีพลังที่ยิ่งใหญ่และแข็งแกร่ง"&amp;", สามารถรับได้จากการทำภารกิจเปิดใช้งานเมค
- เพิ่มเกมเพลย์ Banana Fight: เมื่อเสร็จภารกิจบทที่ 16, ปลดล็อกเกมเพลย์ใหม่: Banana Fight! คุณจะแข่งขันกับศัตรูหลายคนในเกม, ชิงกล้วยเพื่อทำให้ศัตรู KO, แข่งขันเพื่อขึ้นเวทีรับรางวัลมากมาย! 
กลไกไอเทมใหม่: ในเกม, ค"&amp;"ุณสามารถเก็บไอเทมเพื่อช่วยเสริมการแข่งขัน- 50 ระดับการครอบครองป้อมใหม่: ต่อสู้ใน 50 ระดับใหม่!")</f>
        <v>- สงครามดาวเคราะห์: เพิ่มบทใหม่ของสงครามดาวเคราะห์ - ดาวปะการัง
- นักสู้ใหม่: ฮันเตอร์เงา - ทาสเซีย, ช่างเครื่องกลยอดเยี่ยม, ผู้ปกป้องความยุติธรรม! สามารถรับได้จากสงครามดาวเคราะห์
- เมคตำนานคุณภาพใหม่: สร้างเครื่องป้อมยักษ์ที่มีพลังที่ยิ่งใหญ่และแข็งแกร่ง, สามารถรับได้จากการทำภารกิจเปิดใช้งานเมค
- เพิ่มเกมเพลย์ Banana Fight: เมื่อเสร็จภารกิจบทที่ 16, ปลดล็อกเกมเพลย์ใหม่: Banana Fight! คุณจะแข่งขันกับศัตรูหลายคนในเกม, ชิงกล้วยเพื่อทำให้ศัตรู KO, แข่งขันเพื่อขึ้นเวทีรับรางวัลมากมาย! 
กลไกไอเทมใหม่: ในเกม, คุณสามารถเก็บไอเทมเพื่อช่วยเสริมการแข่งขัน- 50 ระดับการครอบครองป้อมใหม่: ต่อสู้ใน 50 ระดับใหม่!</v>
      </c>
      <c r="K62" s="159" t="str">
        <f>IFERROR(__xludf.DUMMYFUNCTION("""COMPUTED_VALUE"""),"- Guerras Planetarias: nueva historia - Estrella de Coral.
- Nuevo Luchador: Cazadora de Sombras, Tassia, la maestra mecánica y protectora de la justicia. Obténla en las Guerras Planetarias.
- Nuevo Meca Legendario - Primatus: una máquina de asedio súper "&amp;"poderosa y masiva con una fuerza sin igual. Completa las misiones de activación requeridas para obtenerlo.
- ¡Llega la Pelea de Bananas! Desbloquea el minijuego después de completar las misiones del capítulo 16 y lucha contra múltiples oponentes. ¡Agarra "&amp;"más bananas para noquear a tus oponentes y sé el primero en el podio para obtener montones de recompensas! Nueva función de objetos: recoge objetos para ayudarte en el juego.- 50 nuevos niveles de Toma de la Fortaleza: ¡enfréntate a 50 nuevos niveles!")</f>
        <v>- Guerras Planetarias: nueva historia - Estrella de Coral.
- Nuevo Luchador: Cazadora de Sombras, Tassia, la maestra mecánica y protectora de la justicia. Obténla en las Guerras Planetarias.
- Nuevo Meca Legendario - Primatus: una máquina de asedio súper poderosa y masiva con una fuerza sin igual. Completa las misiones de activación requeridas para obtenerlo.
- ¡Llega la Pelea de Bananas! Desbloquea el minijuego después de completar las misiones del capítulo 16 y lucha contra múltiples oponentes. ¡Agarra más bananas para noquear a tus oponentes y sé el primero en el podio para obtener montones de recompensas! Nueva función de objetos: recoge objetos para ayudarte en el juego.- 50 nuevos niveles de Toma de la Fortaleza: ¡enfréntate a 50 nuevos niveles!</v>
      </c>
      <c r="L62" s="159" t="str">
        <f>IFERROR(__xludf.DUMMYFUNCTION("""COMPUTED_VALUE"""),"- Планетарные войны: новая история - Коралловая Звезда.
- Новый герой: Теневой Охотник, Тассия, мастер-механик и защитник справедливости! Получите ее из Планетарных войн.
- Новый легендарный мех - Приматус: сверхмощная, массивная осадная машина с непревзо"&amp;"йденной силой. Завершите необходимые задания по активации, чтобы получить его.
- Битва Бананов здесь! Разблокируйте мини-игру после выполнения заданий главы 16 и сражайтесь против нескольких противников. Собирайте больше бананов, чтобы выбить своих соперн"&amp;"иков и первым добраться до пьедестала, чтобы получить массу наград! Новая функция предметов: подбирайте предметы, чтобы помочь вам в игре.- 50 новых уровней захвата крепости: пройдите 50 новых уровней!")</f>
        <v>- Планетарные войны: новая история - Коралловая Звезда.
- Новый герой: Теневой Охотник, Тассия, мастер-механик и защитник справедливости! Получите ее из Планетарных войн.
- Новый легендарный мех - Приматус: сверхмощная, массивная осадная машина с непревзойденной силой. Завершите необходимые задания по активации, чтобы получить его.
- Битва Бананов здесь! Разблокируйте мини-игру после выполнения заданий главы 16 и сражайтесь против нескольких противников. Собирайте больше бананов, чтобы выбить своих соперников и первым добраться до пьедестала, чтобы получить массу наград! Новая функция предметов: подбирайте предметы, чтобы помочь вам в игре.- 50 новых уровней захвата крепости: пройдите 50 новых уровней!</v>
      </c>
      <c r="M62" s="159" t="str">
        <f>IFERROR(__xludf.DUMMYFUNCTION("""COMPUTED_VALUE"""),"- Gezegen Savaşları: yeni hikaye - Mercan Yıldızı.
- Yeni Savaşçı: Gölge Avcısı, Tassia, adaletin koruyucusu ve ustalık mekanik! Onu Gezegen Savaşları'ndan alın.
- Yeni Efsanevi Meka - Primatus: eşsiz güce sahip, süper güçlü ve devasa bir kuşatma makinesi"&amp;". Onu elde etmek için gerekli etkinleştirme görevlerini tamamlayın.
- Muz Savaşı burada! Bölüm 16 görevlerini tamamladıktan sonra mini oyunu açın ve birden fazla rakibe karşı savaşın. Daha fazla muz kaparak rakiplerinizi devre dışı bırakın ve ödüller için"&amp;" ilk sıraya yerleşin! Yeni eşya özelliği: oyun sırasında size yardımcı olacak eşyaları toplayın.- 50 Yeni Kale Savaşı seviyeleri: 50 yeni seviye ekleniyor, komutanlar meydan okumaya hoş geldiniz!")</f>
        <v>- Gezegen Savaşları: yeni hikaye - Mercan Yıldızı.
- Yeni Savaşçı: Gölge Avcısı, Tassia, adaletin koruyucusu ve ustalık mekanik! Onu Gezegen Savaşları'ndan alın.
- Yeni Efsanevi Meka - Primatus: eşsiz güce sahip, süper güçlü ve devasa bir kuşatma makinesi. Onu elde etmek için gerekli etkinleştirme görevlerini tamamlayın.
- Muz Savaşı burada! Bölüm 16 görevlerini tamamladıktan sonra mini oyunu açın ve birden fazla rakibe karşı savaşın. Daha fazla muz kaparak rakiplerinizi devre dışı bırakın ve ödüller için ilk sıraya yerleşin! Yeni eşya özelliği: oyun sırasında size yardımcı olacak eşyaları toplayın.- 50 Yeni Kale Savaşı seviyeleri: 50 yeni seviye ekleniyor, komutanlar meydan okumaya hoş geldiniz!</v>
      </c>
      <c r="N62" s="45" t="str">
        <f>IFERROR(__xludf.DUMMYFUNCTION("""COMPUTED_VALUE"""),"- Chiến Tranh Hành Tinh: thêm kịch bản Chiến Tranh Hành Tinh mới - Sao San Hô.
- Chiến Binh mới: Umbra Hunter - Tassia, cơ khí gia xuất sắc, bảo vệ công lý! Có thể nhận được từ Chiến Tranh Hành Tinh.
- Cơ Khí Huyền Thoại mới: Primatus - vũ khí bao vây mạn"&amp;"h mẽ, hình dáng uy nghi, sức mạnh to lớn, có thể nhận được bằng cách hoàn thành nhiệm vụ kích hoạt của Primatus.
- Thêm trò chơi Banana Fight: sau khi hoàn thành nhiệm vụ chương 16, mở khóa trò chơi mới: Banana Fight! Bạn sẽ cạnh tranh với nhiều kẻ thù tr"&amp;"ong trận đấu, giành lấy nhiều chuối hơn để đánh bại đối thủ, vượt lên đầu tiên trên bục nhận thưởng và nhận được nhiều phần thưởng! ")</f>
        <v>- Chiến Tranh Hành Tinh: thêm kịch bản Chiến Tranh Hành Tinh mới - Sao San Hô.
- Chiến Binh mới: Umbra Hunter - Tassia, cơ khí gia xuất sắc, bảo vệ công lý! Có thể nhận được từ Chiến Tranh Hành Tinh.
- Cơ Khí Huyền Thoại mới: Primatus - vũ khí bao vây mạnh mẽ, hình dáng uy nghi, sức mạnh to lớn, có thể nhận được bằng cách hoàn thành nhiệm vụ kích hoạt của Primatus.
- Thêm trò chơi Banana Fight: sau khi hoàn thành nhiệm vụ chương 16, mở khóa trò chơi mới: Banana Fight! Bạn sẽ cạnh tranh với nhiều kẻ thù trong trận đấu, giành lấy nhiều chuối hơn để đánh bại đối thủ, vượt lên đầu tiên trên bục nhận thưởng và nhận được nhiều phần thưởng! </v>
      </c>
      <c r="O62" s="45" t="str">
        <f>IFERROR(__xludf.DUMMYFUNCTION("""COMPUTED_VALUE"""),"- Guerre Planetarie: nuova storia - Stella di Corallo.
- Nuovo Combattente: Shade Hunter, Tassia, la maestra meccanica e protettrice della giustizia! Ottienila dalle Guerre Planetarie.
- Nuovo Mech Leggendario - Primatus: una macchina d'assedio super pote"&amp;"nte e massiccia con una forza senza pari. Completa le missioni di attivazione richieste per ottenerlo.
- Banana Fight è arrivato! Sblocca il mini-gioco dopo aver completato le missioni del capitolo 16 e combatti contro più avversari. Afferra più banane pe"&amp;"r mettere KO i tuoi avversari e essere il primo sul podio per ottenere tantissime ricompense! Nuova funzionalità degli oggetti: raccogli oggetti per aiutarti nel gioco.- 50 Nuovi livelli di Conquista della Fortezza: affronta 50 nuovi livelli!")</f>
        <v>- Guerre Planetarie: nuova storia - Stella di Corallo.
- Nuovo Combattente: Shade Hunter, Tassia, la maestra meccanica e protettrice della giustizia! Ottienila dalle Guerre Planetarie.
- Nuovo Mech Leggendario - Primatus: una macchina d'assedio super potente e massiccia con una forza senza pari. Completa le missioni di attivazione richieste per ottenerlo.
- Banana Fight è arrivato! Sblocca il mini-gioco dopo aver completato le missioni del capitolo 16 e combatti contro più avversari. Afferra più banane per mettere KO i tuoi avversari e essere il primo sul podio per ottenere tantissime ricompense! Nuova funzionalità degli oggetti: raccogli oggetti per aiutarti nel gioco.- 50 Nuovi livelli di Conquista della Fortezza: affronta 50 nuovi livelli!</v>
      </c>
      <c r="P62" s="34" t="str">
        <f>IFERROR(__xludf.DUMMYFUNCTION("""COMPUTED_VALUE"""),"- Wojny Galaktyczne: dodano nowy scenariusz Wojen Galaktycznych - Gwiazda Koralowa.
- Nowy Wojownik: Łowca Cieni - Tassia, wybitna mechanik, parasol sprawiedliwości! Można zdobyć poprzez Wojny Galaktyczne.
- Nowy Legendarny Mech: potężna machina oblężnicz"&amp;"a o imponującej posturze i nieograniczonej sile. Można zdobyć, wykonując zadania aktywacyjne dla tego mecha.
- Nowa rozgrywka Bananowa Bitwa: po ukończeniu zadań z 16. rozdziału, odblokuj nową rozgrywkę: Bananowa Bitwa! Będziesz rywalizować z wieloma prze"&amp;"ciwnikami, zdobywając więcej bananów, aby pokonać wrogów i jako pierwszy stanąć na podium, zdobywając mnóstwo nagród!
Nowy mechanizm przedmiotów: podczas gry możesz zbierać przedmioty, które pomogą Ci w rywalizacji.- 50 nowych poziomów zdobywania twierdzy"&amp;": przygotuj się na 50 całkowicie nowych poziomów, którym będą musieli stawić czoła dowódcy!")</f>
        <v>- Wojny Galaktyczne: dodano nowy scenariusz Wojen Galaktycznych - Gwiazda Koralowa.
- Nowy Wojownik: Łowca Cieni - Tassia, wybitna mechanik, parasol sprawiedliwości! Można zdobyć poprzez Wojny Galaktyczne.
- Nowy Legendarny Mech: potężna machina oblężnicza o imponującej posturze i nieograniczonej sile. Można zdobyć, wykonując zadania aktywacyjne dla tego mecha.
- Nowa rozgrywka Bananowa Bitwa: po ukończeniu zadań z 16. rozdziału, odblokuj nową rozgrywkę: Bananowa Bitwa! Będziesz rywalizować z wieloma przeciwnikami, zdobywając więcej bananów, aby pokonać wrogów i jako pierwszy stanąć na podium, zdobywając mnóstwo nagród!
Nowy mechanizm przedmiotów: podczas gry możesz zbierać przedmioty, które pomogą Ci w rywalizacji.- 50 nowych poziomów zdobywania twierdzy: przygotuj się na 50 całkowicie nowych poziomów, którym będą musieli stawić czoła dowódcy!</v>
      </c>
      <c r="Q62" s="34" t="str">
        <f>IFERROR(__xludf.DUMMYFUNCTION("""COMPUTED_VALUE"""),"- حروب المجرة: سيناريو جديد لحروب المجرة - نجمة المرجان.
- مقاتل جديد: صياد الظل - تاسيا، ميكانيكي متميز وحامي العدالة! يمكن الحصول عليها من خلال حروب المجرة.
- ميكا أسطوري جديد: آلة حصار عملاقة وقوية بقوة لا حدود لها، يمكن الحصول عليها من خلال إكمال مهام"&amp;" تفعيل ميكا الأسطوري.
- طريقة لعب جديدة: معركة الموز: بعد إكمال مهام الفصل 16، ستفتح طريقة لعب جديدة: معركة الموز! ستتنافس مع عدة خصوم في المباراة، اجمع المزيد من الموز لضرب الأعداء وتصدر المنصة للحصول على العديد من المكافآت! آلية جديدة للعناصر: يمكنك جمع"&amp;" العناصر أثناء المباراة لمساعدتك في التنافس.- 50 مستوى جديد لاقتحام القلعة: خوض 50 مستوى جديد!")</f>
        <v>- حروب المجرة: سيناريو جديد لحروب المجرة - نجمة المرجان.
- مقاتل جديد: صياد الظل - تاسيا، ميكانيكي متميز وحامي العدالة! يمكن الحصول عليها من خلال حروب المجرة.
- ميكا أسطوري جديد: آلة حصار عملاقة وقوية بقوة لا حدود لها، يمكن الحصول عليها من خلال إكمال مهام تفعيل ميكا الأسطوري.
- طريقة لعب جديدة: معركة الموز: بعد إكمال مهام الفصل 16، ستفتح طريقة لعب جديدة: معركة الموز! ستتنافس مع عدة خصوم في المباراة، اجمع المزيد من الموز لضرب الأعداء وتصدر المنصة للحصول على العديد من المكافآت! آلية جديدة للعناصر: يمكنك جمع العناصر أثناء المباراة لمساعدتك في التنافس.- 50 مستوى جديد لاقتحام القلعة: خوض 50 مستوى جديد!</v>
      </c>
      <c r="R62" s="34"/>
      <c r="S62" s="34"/>
      <c r="T62" s="108"/>
      <c r="U62" s="108"/>
      <c r="V62" s="108"/>
      <c r="W62" s="108"/>
      <c r="X62" s="108"/>
      <c r="Y62" s="108"/>
      <c r="Z62" s="108"/>
    </row>
    <row r="63">
      <c r="A63" s="149" t="str">
        <f>IFERROR(__xludf.DUMMYFUNCTION("""COMPUTED_VALUE"""),"0.55.0")</f>
        <v>0.55.0</v>
      </c>
      <c r="B63" s="174" t="str">
        <f>IFERROR(__xludf.DUMMYFUNCTION("""COMPUTED_VALUE"""),"&lt;en-US&gt;
- New Fighter: Whiz of the Sky - Boyce! A whiz of the air, champion of dogfights! The roly-poly pilot has landed!
- Three new equipment sets: Creator, Vanquisher, and Hunter, for Pilots, Hitters, and Shooters, respectively. Get them from ""Wonderl"&amp;"and Adventure.""
- Four new equipment skills: “Power of the Taunt,"" ""Blast Hour,"" ""Frost &amp; Ice,"" and ""Wind at Your Back."" Get them with the three new equipment sets.
&lt;/en-US&gt;
&lt;fr-FR&gt;
- Nouveau combattant: As de l'air - Boyce! As de l'air, champion "&amp;"des combats aériens! Le pilote rondouillard a atterri!
- Trois nouveaux ensembles d'équipement: Créateur, Vanquisher et Chasseur, respectivement pour les Pilotes, les Bastonneurs et les Tireurs. Obtenez-les à partir de ""Merveilleuse aventure"".
- Quatre "&amp;"nouvelles compétences d'équipement: ""Pouvoir de la Provocation"", ""Heure de l'Explosion"", ""Gel &amp; Glace"" et ""Vent dans le Dos"". Obtenez-les avec les trois nouveaux ensembles d'équipement.
&lt;/fr-FR&gt;
&lt;de-DE&gt;
- Neuer Kämpfer: Wunderkind des Himmels - Bo"&amp;"yce! Ein Wunderkind der Lüfte, Champion der Luftkämpfe! Der rundliche Pilot ist gelandet!
- Drei neue Ausrüstungssets: Schöpfer, Bezwinger und Jäger, jeweils für Piloten, Schläger und Schützen. Holen Sie sie sich vom ""Wunderland-Abenteuer"".
- Vier neue "&amp;"Ausrüstungsfähigkeiten: ""Macht des Spotts"", ""Explosionsstunde"", ""Frost &amp; Eis"" und ""Wind im Rücken"". Erhalte sie mit den drei neuen Ausrüstungssets.
&lt;/de-DE&gt;
&lt;pt-BR&gt;
- Novo Combatente: Prodígio do Céu - Boyce! Um prodígio do ar, campeão de combates"&amp;" aéreos! O piloto roliço pousou!
- Três novos conjuntos de equipamentos: Criador, Conquistador e Caçador, para Pilotos, Golpeadores e Atiradores, respectivamente. Obtenha-os na ""Aventura no Reino das Maravilhas"".
- Quatro novas habilidades de equipament"&amp;"o: ""Poder da Provocação"", ""Hora da Explosão"", ""Gelo &amp; Neve"" e ""Vento às Suas Costas"". Obtenha-os com os três novos conjuntos de equipamentos.
&lt;/pt-BR&gt;
&lt;zh-HK&gt;
-新增鬥士：空戰神童-博伊斯，制霸空中戰場的神童，胖萌飛行員來襲！
-新增三套戰裝：締造者套裝、霸者套裝和狩獵者套裝，分別對應飆車族、打擊手和射擊手使用；可通過[秘境探險]獲取"&amp;"。
-新增四個戰裝技能：“嘲諷之力”、“爆破時刻”、“寒霜颶風”和“疾風加護”，可通過三套新戰裝獲得。
&lt;/zh-HK&gt;
&lt;zh-TW&gt;
-新增鬥士：空戰神童-博伊斯，制霸空中戰場的神童，胖萌飛行員來襲！
-新增三套戰裝：締造者套裝、霸者套裝和狩獵者套裝，分別對應飆車族、打擊手和射擊手使用；可通過[秘境探險]獲取。
-新增四個戰裝技能：“嘲諷之力”、“爆破時刻”、“寒霜颶風”和“疾風加護”，可通過三套新戰裝獲得。
&lt;/zh-TW&gt;
&lt;id&gt;
-Pejuang Baru: Ahli Langit - Boy"&amp;"ce! Ahli udara, juara pertarungan udara! Pilot gemuk telah mendarat!
-Tiga set perlengkapan baru: Creator, Vanquisher, dan Hunter, untuk Pilot, Pemukul, dan Penembak, masing-masing. Dapatkan mereka dari ""Petualangan Wonderland.""
-Empat skill perlengkapa"&amp;"n baru: ""Kekuatan Ejekan,"" ""Jam Ledakan,"" ""Es &amp; Salju,"" dan ""Angin di Punggungmu."" Dapatkan mereka dengan tiga set perlengkapan baru.
&lt;/id&gt;
&lt;th&gt;
- นักสู้ใหม่: ผู้เชี่ยวชาญแห่งท้องฟ้า - บอยซ์! ผู้เชี่ยวชาญแห่งท้องฟ้า แชมป์แห่งการต่อสู้ในอากาศ! นักบ"&amp;"ินรอลลี่ที่อ้วนกลมได้ลงจอดแล้ว!
- ชุดอุปกรณ์ใหม่สามชุด: สร้างสรรค์, ผู้ทำลาย, และนักล่า, สำหรับนักบิน, ฮิตเตอร์, และชูตเตอร์ ตามลำดับ รับได้จาก ""ผจญภัยในมิติ""
- สกิลอุปกรณ์ใหม่สี่อย่าง: ""พลังของการดุดัน"", ""ชั่วโมงระเบิด"", ""ฟรอสต์และน้ำแข็ง"", และ "&amp;"""ลมที่หลังของคุณ"" รับได้ด้วยชุดอุปกรณ์ใหม่สามชุด
&lt;/th&gt;
&lt;es-419&gt;
- Nuevo Luchador: Prodigio del Cielo - Boyce! ¡Prodigio del aire, campeón de las batallas aéreas! ¡El piloto rechoncho ha aterrizado! - Tres nuevos conjuntos de equipo: Creador, Vencedor y "&amp;"Cazador, para Pilotos, Golpeadores y Tiradores, respectivamente. Consíguelos en ""Aventura en la Tierra de las Maravillas"". - Cuatro nuevas habilidades de equipo: ""Poder de la Provocación"", ""Hora de la Explosión"", ""Hielo y Escarcha"" y ""Viento a tu"&amp;" Espalda"". Consíguelos con los tres nuevos conjuntos de equipo.
&lt;/es-419&gt;
&lt;ru-RU&gt;
- Новый герой: Вундеркинд небес - Бойс! Вундеркинд небес, чемпион воздушных боев! Пухлый гонщик приземлился!
- Три новых комплекта снаряжения: Создатель, Победитель и Охотн"&amp;"ик, для Гонщиков, Громил и Стрелков соответственно. Получите их в ""Приключении в стране чудес.""
- Четыре новых навыка снаряжения: ""Сила насмешки"", ""Час взрыва"", ""Мороз и лед"" и ""Ветер в спину"". Получите их с тремя новыми комплектами снаряжения.
"&amp;"&lt;/ru-RU&gt;
&lt;tr-TR&gt;
- Yeni Savaşçı: Gökyüzünün Dehası - Boyce! Hava dehası, hava savaşlarının şampiyonu! Yuvarlak pilot iniş yaptı!
- Üç yeni ekipman seti: Yaratıcı, Yenilmez ve Avcı, sırasıyla Pilotlar, Vurucular ve Nişancılar için. Onları ""Harikalar Diyar"&amp;"ı Macerası""ndan alın.
- Dört yeni ekipman becerisi: ""Alayın Gücü,"" ""Patlama Saati,"" ""Buz &amp; Kar,"" ve ""Sırtınızda Rüzgar."" Bu üç yeni ekipman setiyle onları alın.
&lt;/tr-TR&gt;
&lt;vi&gt;
- Chiến Binh mới: Thần đồng của bầu trời - Boyce! Thần đồng của bầu trờ"&amp;"i, nhà vô địch của các trận chiến không kích! Phi công mập mạp đã hạ cánh!
- Ba bộ trang bị mới: Creator, Vanquisher và Hunter, dành cho Phi Công, Lính Tấn Công và Xạ Thủ, tương ứng. Nhận chúng từ ""Thám Hiểm Bí Cảnh.""
- Bốn kỹ năng trang bị mới: ""Sức m"&amp;"ạnh của lời chế giễu"", ""Giờ Phát Nổ"", ""Băng &amp; Lửa"" và ""Gió Ở Phía Sau Lưng Bạn"". Nhận chúng với ba bộ trang bị mới.
&lt;/vi&gt;
&lt;it-IT&gt;
- Nuovo Combattente: Prodigio del Cielo - Boyce! Un prodigio dell'aria, campione dei duelli aerei! Il pilota rotondett"&amp;"o è atterrato!
- Tre nuovi set di equipaggiamento: Creatore, Conquistatore e Cacciatore, rispettivamente per Piloti, Picchiatori e Cecchini. Ottienili da ""Avventura nel Paese incantato.""
- Quattro nuove abilità di equipaggiamento: ""Potere della Derisio"&amp;"ne"", ""Ora dell'Esplosione"", ""Gelo &amp; Ghiaccio"" e ""Vento alle Spalle"". Ottienile con i tre nuovi set di equipaggiamento.
&lt;/it-IT&gt;
&lt;pl-PL&gt;
- Nowy Wojownik: Geniusz Nieba - Boyce! Geniusz panujący na polu powietrznej bitwy, uroczy, pulchny pilot nadcho"&amp;"dzi!
- Trzy nowe zestawy wyposażenia: Twórca, Zwycięzca i Łowca, odpowiednio dla Pilotów, Łupaczy i Strzelców. Zdobądź je z ""Przygody w Krainie Cudów"".
- Cztery nowe umiejętności wyposażenia: ""Siła Prowokacji"", ""Godzina Wybuchu"", ""Mróz i Lód"" oraz"&amp;" ""Wiatr za Twoimi Plecami"". Zdobądź je z trzema nowymi zestawami wyposażenia.
&lt;/pl-PL&gt;
&lt;ar&gt;
- مقاتل جديد: عبقري السماء - بويس! عبقري الجو، بطل المعارك الجوية! هبط الطيار الدائري الجسم!
- ثلاث مجموعات معدات جديدة: الخالق، الفاتح، والصياد، للطيارين، الضار"&amp;"بين، والرماة، على التوالي. احصل عليهم من ""مغامرة بلاد العجائب"".
- أربع مهارات معدات جديدة: ""قوة الاستفزاز""، ""ساعة الانفجار""، ""الصقيع والجليد""، و""الرياح في ظهرك"". احصل عليهم مع المجموعات الثلاث للمعدات الجديدة.
- وظيفة معدات مسبقة جديدة: التبديل "&amp;"بين تكوينات المعدات بسهولة أكبر!
&lt;/ar&gt;
")</f>
        <v>&lt;en-US&gt;
- New Fighter: Whiz of the Sky - Boyce! A whiz of the air, champion of dogfights! The roly-poly pilot has landed!
- Three new equipment sets: Creator, Vanquisher, and Hunter, for Pilots, Hitters, and Shooters, respectively. Get them from "Wonderland Adventure."
- Four new equipment skills: “Power of the Taunt," "Blast Hour," "Frost &amp; Ice," and "Wind at Your Back." Get them with the three new equipment sets.
&lt;/en-US&gt;
&lt;fr-FR&gt;
- Nouveau combattant: As de l'air - Boyce! As de l'air, champion des combats aériens! Le pilote rondouillard a atterri!
- Trois nouveaux ensembles d'équipement: Créateur, Vanquisher et Chasseur, respectivement pour les Pilotes, les Bastonneurs et les Tireurs. Obtenez-les à partir de "Merveilleuse aventure".
- Quatre nouvelles compétences d'équipement: "Pouvoir de la Provocation", "Heure de l'Explosion", "Gel &amp; Glace" et "Vent dans le Dos". Obtenez-les avec les trois nouveaux ensembles d'équipement.
&lt;/fr-FR&gt;
&lt;de-DE&gt;
- Neuer Kämpfer: Wunderkind des Himmels - Boyce! Ein Wunderkind der Lüfte, Champion der Luftkämpfe! Der rundliche Pilot ist gelandet!
- Drei neue Ausrüstungssets: Schöpfer, Bezwinger und Jäger, jeweils für Piloten, Schläger und Schützen. Holen Sie sie sich vom "Wunderland-Abenteuer".
- Vier neue Ausrüstungsfähigkeiten: "Macht des Spotts", "Explosionsstunde", "Frost &amp; Eis" und "Wind im Rücken". Erhalte sie mit den drei neuen Ausrüstungssets.
&lt;/de-DE&gt;
&lt;pt-BR&gt;
- Novo Combatente: Prodígio do Céu - Boyce! Um prodígio do ar, campeão de combates aéreos! O piloto roliço pousou!
- Três novos conjuntos de equipamentos: Criador, Conquistador e Caçador, para Pilotos, Golpeadores e Atiradores, respectivamente. Obtenha-os na "Aventura no Reino das Maravilhas".
- Quatro novas habilidades de equipamento: "Poder da Provocação", "Hora da Explosão", "Gelo &amp; Neve" e "Vento às Suas Costas". Obtenha-os com os três novos conjuntos de equipamentos.
&lt;/pt-BR&gt;
&lt;zh-HK&gt;
-新增鬥士：空戰神童-博伊斯，制霸空中戰場的神童，胖萌飛行員來襲！
-新增三套戰裝：締造者套裝、霸者套裝和狩獵者套裝，分別對應飆車族、打擊手和射擊手使用；可通過[秘境探險]獲取。
-新增四個戰裝技能：“嘲諷之力”、“爆破時刻”、“寒霜颶風”和“疾風加護”，可通過三套新戰裝獲得。
&lt;/zh-HK&gt;
&lt;zh-TW&gt;
-新增鬥士：空戰神童-博伊斯，制霸空中戰場的神童，胖萌飛行員來襲！
-新增三套戰裝：締造者套裝、霸者套裝和狩獵者套裝，分別對應飆車族、打擊手和射擊手使用；可通過[秘境探險]獲取。
-新增四個戰裝技能：“嘲諷之力”、“爆破時刻”、“寒霜颶風”和“疾風加護”，可通過三套新戰裝獲得。
&lt;/zh-TW&gt;
&lt;id&gt;
-Pejuang Baru: Ahli Langit - Boyce! Ahli udara, juara pertarungan udara! Pilot gemuk telah mendarat!
-Tiga set perlengkapan baru: Creator, Vanquisher, dan Hunter, untuk Pilot, Pemukul, dan Penembak, masing-masing. Dapatkan mereka dari "Petualangan Wonderland."
-Empat skill perlengkapan baru: "Kekuatan Ejekan," "Jam Ledakan," "Es &amp; Salju," dan "Angin di Punggungmu." Dapatkan mereka dengan tiga set perlengkapan baru.
&lt;/id&gt;
&lt;th&gt;
- นักสู้ใหม่: ผู้เชี่ยวชาญแห่งท้องฟ้า - บอยซ์! ผู้เชี่ยวชาญแห่งท้องฟ้า แชมป์แห่งการต่อสู้ในอากาศ! นักบินรอลลี่ที่อ้วนกลมได้ลงจอดแล้ว!
- ชุดอุปกรณ์ใหม่สามชุด: สร้างสรรค์, ผู้ทำลาย, และนักล่า, สำหรับนักบิน, ฮิตเตอร์, และชูตเตอร์ ตามลำดับ รับได้จาก "ผจญภัยในมิติ"
- สกิลอุปกรณ์ใหม่สี่อย่าง: "พลังของการดุดัน", "ชั่วโมงระเบิด", "ฟรอสต์และน้ำแข็ง", และ "ลมที่หลังของคุณ" รับได้ด้วยชุดอุปกรณ์ใหม่สามชุด
&lt;/th&gt;
&lt;es-419&gt;
- Nuevo Luchador: Prodigio del Cielo - Boyce! ¡Prodigio del aire, campeón de las batallas aéreas! ¡El piloto rechoncho ha aterrizado! - Tres nuevos conjuntos de equipo: Creador, Vencedor y Cazador, para Pilotos, Golpeadores y Tiradores, respectivamente. Consíguelos en "Aventura en la Tierra de las Maravillas". - Cuatro nuevas habilidades de equipo: "Poder de la Provocación", "Hora de la Explosión", "Hielo y Escarcha" y "Viento a tu Espalda". Consíguelos con los tres nuevos conjuntos de equipo.
&lt;/es-419&gt;
&lt;ru-RU&gt;
- Новый герой: Вундеркинд небес - Бойс! Вундеркинд небес, чемпион воздушных боев! Пухлый гонщик приземлился!
- Три новых комплекта снаряжения: Создатель, Победитель и Охотник, для Гонщиков, Громил и Стрелков соответственно. Получите их в "Приключении в стране чудес."
- Четыре новых навыка снаряжения: "Сила насмешки", "Час взрыва", "Мороз и лед" и "Ветер в спину". Получите их с тремя новыми комплектами снаряжения.
&lt;/ru-RU&gt;
&lt;tr-TR&gt;
- Yeni Savaşçı: Gökyüzünün Dehası - Boyce! Hava dehası, hava savaşlarının şampiyonu! Yuvarlak pilot iniş yaptı!
- Üç yeni ekipman seti: Yaratıcı, Yenilmez ve Avcı, sırasıyla Pilotlar, Vurucular ve Nişancılar için. Onları "Harikalar Diyarı Macerası"ndan alın.
- Dört yeni ekipman becerisi: "Alayın Gücü," "Patlama Saati," "Buz &amp; Kar," ve "Sırtınızda Rüzgar." Bu üç yeni ekipman setiyle onları alın.
&lt;/tr-TR&gt;
&lt;vi&gt;
- Chiến Binh mới: Thần đồng của bầu trời - Boyce! Thần đồng của bầu trời, nhà vô địch của các trận chiến không kích! Phi công mập mạp đã hạ cánh!
- Ba bộ trang bị mới: Creator, Vanquisher và Hunter, dành cho Phi Công, Lính Tấn Công và Xạ Thủ, tương ứng. Nhận chúng từ "Thám Hiểm Bí Cảnh."
- Bốn kỹ năng trang bị mới: "Sức mạnh của lời chế giễu", "Giờ Phát Nổ", "Băng &amp; Lửa" và "Gió Ở Phía Sau Lưng Bạn". Nhận chúng với ba bộ trang bị mới.
&lt;/vi&gt;
&lt;it-IT&gt;
- Nuovo Combattente: Prodigio del Cielo - Boyce! Un prodigio dell'aria, campione dei duelli aerei! Il pilota rotondetto è atterrato!
- Tre nuovi set di equipaggiamento: Creatore, Conquistatore e Cacciatore, rispettivamente per Piloti, Picchiatori e Cecchini. Ottienili da "Avventura nel Paese incantato."
- Quattro nuove abilità di equipaggiamento: "Potere della Derisione", "Ora dell'Esplosione", "Gelo &amp; Ghiaccio" e "Vento alle Spalle". Ottienile con i tre nuovi set di equipaggiamento.
&lt;/it-IT&gt;
&lt;pl-PL&gt;
- Nowy Wojownik: Geniusz Nieba - Boyce! Geniusz panujący na polu powietrznej bitwy, uroczy, pulchny pilot nadchodzi!
- Trzy nowe zestawy wyposażenia: Twórca, Zwycięzca i Łowca, odpowiednio dla Pilotów, Łupaczy i Strzelców. Zdobądź je z "Przygody w Krainie Cudów".
- Cztery nowe umiejętności wyposażenia: "Siła Prowokacji", "Godzina Wybuchu", "Mróz i Lód" oraz "Wiatr za Twoimi Plecami". Zdobądź je z trzema nowymi zestawami wyposażenia.
&lt;/pl-PL&gt;
&lt;ar&gt;
- مقاتل جديد: عبقري السماء - بويس! عبقري الجو، بطل المعارك الجوية! هبط الطيار الدائري الجسم!
- ثلاث مجموعات معدات جديدة: الخالق، الفاتح، والصياد، للطيارين، الضاربين، والرماة، على التوالي. احصل عليهم من "مغامرة بلاد العجائب".
- أربع مهارات معدات جديدة: "قوة الاستفزاز"، "ساعة الانفجار"، "الصقيع والجليد"، و"الرياح في ظهرك". احصل عليهم مع المجموعات الثلاث للمعدات الجديدة.
- وظيفة معدات مسبقة جديدة: التبديل بين تكوينات المعدات بسهولة أكبر!
&lt;/ar&gt;
</v>
      </c>
      <c r="C63" s="44" t="str">
        <f>IFERROR(__xludf.DUMMYFUNCTION("""COMPUTED_VALUE"""),"-新增斗士：空战神童-博伊斯，制霸空中战场的神童，胖萌飞行员来袭！
-新增三套战装：缔造者套装、霸者套装和狩猎者套装，分别对应突击手、打击手和射击手使用；可通过[秘境探险]获取。
-新增四个战装技能：“嘲讽之力”、“爆破时刻”、“寒霜飓风”和“疾风加护”，可通过三套新战装获得。")</f>
        <v>-新增斗士：空战神童-博伊斯，制霸空中战场的神童，胖萌飞行员来袭！
-新增三套战装：缔造者套装、霸者套装和狩猎者套装，分别对应突击手、打击手和射击手使用；可通过[秘境探险]获取。
-新增四个战装技能：“嘲讽之力”、“爆破时刻”、“寒霜飓风”和“疾风加护”，可通过三套新战装获得。</v>
      </c>
      <c r="D63" s="159" t="str">
        <f>IFERROR(__xludf.DUMMYFUNCTION("""COMPUTED_VALUE"""),"- New Fighter: Whiz of the Sky - Boyce! A whiz of the air, champion of dogfights! The roly-poly pilot has landed!
- Three new equipment sets: Creator, Vanquisher, and Hunter, for Pilots, Hitters, and Shooters, respectively. Get them from ""Wonderland Adve"&amp;"nture.""
- Four new equipment skills: “Power of the Taunt,"" ""Blast Hour,"" ""Frost &amp; Ice,"" and ""Wind at Your Back."" Get them with the three new equipment sets.")</f>
        <v>- New Fighter: Whiz of the Sky - Boyce! A whiz of the air, champion of dogfights! The roly-poly pilot has landed!
- Three new equipment sets: Creator, Vanquisher, and Hunter, for Pilots, Hitters, and Shooters, respectively. Get them from "Wonderland Adventure."
- Four new equipment skills: “Power of the Taunt," "Blast Hour," "Frost &amp; Ice," and "Wind at Your Back." Get them with the three new equipment sets.</v>
      </c>
      <c r="E63" s="159" t="str">
        <f>IFERROR(__xludf.DUMMYFUNCTION("""COMPUTED_VALUE"""),"- Nouveau combattant: As de l'air - Boyce! As de l'air, champion des combats aériens! Le pilote rondouillard a atterri!
- Trois nouveaux ensembles d'équipement: Créateur, Vanquisher et Chasseur, respectivement pour les Pilotes, les Bastonneurs et les Tire"&amp;"urs. Obtenez-les à partir de ""Merveilleuse aventure"".
- Quatre nouvelles compétences d'équipement: ""Pouvoir de la Provocation"", ""Heure de l'Explosion"", ""Gel &amp; Glace"" et ""Vent dans le Dos"". Obtenez-les avec les trois nouveaux ensembles d'équipeme"&amp;"nt.")</f>
        <v>- Nouveau combattant: As de l'air - Boyce! As de l'air, champion des combats aériens! Le pilote rondouillard a atterri!
- Trois nouveaux ensembles d'équipement: Créateur, Vanquisher et Chasseur, respectivement pour les Pilotes, les Bastonneurs et les Tireurs. Obtenez-les à partir de "Merveilleuse aventure".
- Quatre nouvelles compétences d'équipement: "Pouvoir de la Provocation", "Heure de l'Explosion", "Gel &amp; Glace" et "Vent dans le Dos". Obtenez-les avec les trois nouveaux ensembles d'équipement.</v>
      </c>
      <c r="F63" s="159" t="str">
        <f>IFERROR(__xludf.DUMMYFUNCTION("""COMPUTED_VALUE"""),"- Neuer Kämpfer: Wunderkind des Himmels - Boyce! Ein Wunderkind der Lüfte, Champion der Luftkämpfe! Der rundliche Pilot ist gelandet!
- Drei neue Ausrüstungssets: Schöpfer, Bezwinger und Jäger, jeweils für Piloten, Schläger und Schützen. Holen Sie sie sic"&amp;"h vom ""Wunderland-Abenteuer"".
- Vier neue Ausrüstungsfähigkeiten: ""Macht des Spotts"", ""Explosionsstunde"", ""Frost &amp; Eis"" und ""Wind im Rücken"". Erhalte sie mit den drei neuen Ausrüstungssets.")</f>
        <v>- Neuer Kämpfer: Wunderkind des Himmels - Boyce! Ein Wunderkind der Lüfte, Champion der Luftkämpfe! Der rundliche Pilot ist gelandet!
- Drei neue Ausrüstungssets: Schöpfer, Bezwinger und Jäger, jeweils für Piloten, Schläger und Schützen. Holen Sie sie sich vom "Wunderland-Abenteuer".
- Vier neue Ausrüstungsfähigkeiten: "Macht des Spotts", "Explosionsstunde", "Frost &amp; Eis" und "Wind im Rücken". Erhalte sie mit den drei neuen Ausrüstungssets.</v>
      </c>
      <c r="G63" s="159" t="str">
        <f>IFERROR(__xludf.DUMMYFUNCTION("""COMPUTED_VALUE"""),"- Novo Combatente: Prodígio do Céu - Boyce! Um prodígio do ar, campeão de combates aéreos! O piloto roliço pousou!
- Três novos conjuntos de equipamentos: Criador, Conquistador e Caçador, para Pilotos, Golpeadores e Atiradores, respectivamente. Obtenha-os"&amp;" na ""Aventura no Reino das Maravilhas"".
- Quatro novas habilidades de equipamento: ""Poder da Provocação"", ""Hora da Explosão"", ""Gelo &amp; Neve"" e ""Vento às Suas Costas"". Obtenha-os com os três novos conjuntos de equipamentos.")</f>
        <v>- Novo Combatente: Prodígio do Céu - Boyce! Um prodígio do ar, campeão de combates aéreos! O piloto roliço pousou!
- Três novos conjuntos de equipamentos: Criador, Conquistador e Caçador, para Pilotos, Golpeadores e Atiradores, respectivamente. Obtenha-os na "Aventura no Reino das Maravilhas".
- Quatro novas habilidades de equipamento: "Poder da Provocação", "Hora da Explosão", "Gelo &amp; Neve" e "Vento às Suas Costas". Obtenha-os com os três novos conjuntos de equipamentos.</v>
      </c>
      <c r="H63" s="159" t="str">
        <f>IFERROR(__xludf.DUMMYFUNCTION("""COMPUTED_VALUE"""),"-新增鬥士：空戰神童-博伊斯，制霸空中戰場的神童，胖萌飛行員來襲！
-新增三套戰裝：締造者套裝、霸者套裝和狩獵者套裝，分別對應飆車族、打擊手和射擊手使用；可通過[秘境探險]獲取。
-新增四個戰裝技能：“嘲諷之力”、“爆破時刻”、“寒霜颶風”和“疾風加護”，可通過三套新戰裝獲得。")</f>
        <v>-新增鬥士：空戰神童-博伊斯，制霸空中戰場的神童，胖萌飛行員來襲！
-新增三套戰裝：締造者套裝、霸者套裝和狩獵者套裝，分別對應飆車族、打擊手和射擊手使用；可通過[秘境探險]獲取。
-新增四個戰裝技能：“嘲諷之力”、“爆破時刻”、“寒霜颶風”和“疾風加護”，可通過三套新戰裝獲得。</v>
      </c>
      <c r="I63" s="159" t="str">
        <f>IFERROR(__xludf.DUMMYFUNCTION("""COMPUTED_VALUE"""),"-Pejuang Baru: Ahli Langit - Boyce! Ahli udara, juara pertarungan udara! Pilot gemuk telah mendarat!
-Tiga set perlengkapan baru: Creator, Vanquisher, dan Hunter, untuk Pilot, Pemukul, dan Penembak, masing-masing. Dapatkan mereka dari ""Petualangan Wonder"&amp;"land.""
-Empat skill perlengkapan baru: ""Kekuatan Ejekan,"" ""Jam Ledakan,"" ""Es &amp; Salju,"" dan ""Angin di Punggungmu."" Dapatkan mereka dengan tiga set perlengkapan baru.")</f>
        <v>-Pejuang Baru: Ahli Langit - Boyce! Ahli udara, juara pertarungan udara! Pilot gemuk telah mendarat!
-Tiga set perlengkapan baru: Creator, Vanquisher, dan Hunter, untuk Pilot, Pemukul, dan Penembak, masing-masing. Dapatkan mereka dari "Petualangan Wonderland."
-Empat skill perlengkapan baru: "Kekuatan Ejekan," "Jam Ledakan," "Es &amp; Salju," dan "Angin di Punggungmu." Dapatkan mereka dengan tiga set perlengkapan baru.</v>
      </c>
      <c r="J63" s="159" t="str">
        <f>IFERROR(__xludf.DUMMYFUNCTION("""COMPUTED_VALUE"""),"- นักสู้ใหม่: ผู้เชี่ยวชาญแห่งท้องฟ้า - บอยซ์! ผู้เชี่ยวชาญแห่งท้องฟ้า แชมป์แห่งการต่อสู้ในอากาศ! นักบินรอลลี่ที่อ้วนกลมได้ลงจอดแล้ว!
- ชุดอุปกรณ์ใหม่สามชุด: สร้างสรรค์, ผู้ทำลาย, และนักล่า, สำหรับนักบิน, ฮิตเตอร์, และชูตเตอร์ ตามลำดับ รับได้จาก ""ผจญภัยใ"&amp;"นมิติ""
- สกิลอุปกรณ์ใหม่สี่อย่าง: ""พลังของการดุดัน"", ""ชั่วโมงระเบิด"", ""ฟรอสต์และน้ำแข็ง"", และ ""ลมที่หลังของคุณ"" รับได้ด้วยชุดอุปกรณ์ใหม่สามชุด")</f>
        <v>- นักสู้ใหม่: ผู้เชี่ยวชาญแห่งท้องฟ้า - บอยซ์! ผู้เชี่ยวชาญแห่งท้องฟ้า แชมป์แห่งการต่อสู้ในอากาศ! นักบินรอลลี่ที่อ้วนกลมได้ลงจอดแล้ว!
- ชุดอุปกรณ์ใหม่สามชุด: สร้างสรรค์, ผู้ทำลาย, และนักล่า, สำหรับนักบิน, ฮิตเตอร์, และชูตเตอร์ ตามลำดับ รับได้จาก "ผจญภัยในมิติ"
- สกิลอุปกรณ์ใหม่สี่อย่าง: "พลังของการดุดัน", "ชั่วโมงระเบิด", "ฟรอสต์และน้ำแข็ง", และ "ลมที่หลังของคุณ" รับได้ด้วยชุดอุปกรณ์ใหม่สามชุด</v>
      </c>
      <c r="K63" s="159" t="str">
        <f>IFERROR(__xludf.DUMMYFUNCTION("""COMPUTED_VALUE"""),"- Nuevo Luchador: Prodigio del Cielo - Boyce! ¡Prodigio del aire, campeón de las batallas aéreas! ¡El piloto rechoncho ha aterrizado! - Tres nuevos conjuntos de equipo: Creador, Vencedor y Cazador, para Pilotos, Golpeadores y Tiradores, respectivamente. C"&amp;"onsíguelos en ""Aventura en la Tierra de las Maravillas"". - Cuatro nuevas habilidades de equipo: ""Poder de la Provocación"", ""Hora de la Explosión"", ""Hielo y Escarcha"" y ""Viento a tu Espalda"". Consíguelos con los tres nuevos conjuntos de equipo.")</f>
        <v>- Nuevo Luchador: Prodigio del Cielo - Boyce! ¡Prodigio del aire, campeón de las batallas aéreas! ¡El piloto rechoncho ha aterrizado! - Tres nuevos conjuntos de equipo: Creador, Vencedor y Cazador, para Pilotos, Golpeadores y Tiradores, respectivamente. Consíguelos en "Aventura en la Tierra de las Maravillas". - Cuatro nuevas habilidades de equipo: "Poder de la Provocación", "Hora de la Explosión", "Hielo y Escarcha" y "Viento a tu Espalda". Consíguelos con los tres nuevos conjuntos de equipo.</v>
      </c>
      <c r="L63" s="159" t="str">
        <f>IFERROR(__xludf.DUMMYFUNCTION("""COMPUTED_VALUE"""),"- Новый герой: Вундеркинд небес - Бойс! Вундеркинд небес, чемпион воздушных боев! Пухлый гонщик приземлился!
- Три новых комплекта снаряжения: Создатель, Победитель и Охотник, для Гонщиков, Громил и Стрелков соответственно. Получите их в ""Приключении в с"&amp;"тране чудес.""
- Четыре новых навыка снаряжения: ""Сила насмешки"", ""Час взрыва"", ""Мороз и лед"" и ""Ветер в спину"". Получите их с тремя новыми комплектами снаряжения.")</f>
        <v>- Новый герой: Вундеркинд небес - Бойс! Вундеркинд небес, чемпион воздушных боев! Пухлый гонщик приземлился!
- Три новых комплекта снаряжения: Создатель, Победитель и Охотник, для Гонщиков, Громил и Стрелков соответственно. Получите их в "Приключении в стране чудес."
- Четыре новых навыка снаряжения: "Сила насмешки", "Час взрыва", "Мороз и лед" и "Ветер в спину". Получите их с тремя новыми комплектами снаряжения.</v>
      </c>
      <c r="M63" s="159" t="str">
        <f>IFERROR(__xludf.DUMMYFUNCTION("""COMPUTED_VALUE"""),"- Yeni Savaşçı: Gökyüzünün Dehası - Boyce! Hava dehası, hava savaşlarının şampiyonu! Yuvarlak pilot iniş yaptı!
- Üç yeni ekipman seti: Yaratıcı, Yenilmez ve Avcı, sırasıyla Pilotlar, Vurucular ve Nişancılar için. Onları ""Harikalar Diyarı Macerası""ndan "&amp;"alın.
- Dört yeni ekipman becerisi: ""Alayın Gücü,"" ""Patlama Saati,"" ""Buz &amp; Kar,"" ve ""Sırtınızda Rüzgar."" Bu üç yeni ekipman setiyle onları alın.")</f>
        <v>- Yeni Savaşçı: Gökyüzünün Dehası - Boyce! Hava dehası, hava savaşlarının şampiyonu! Yuvarlak pilot iniş yaptı!
- Üç yeni ekipman seti: Yaratıcı, Yenilmez ve Avcı, sırasıyla Pilotlar, Vurucular ve Nişancılar için. Onları "Harikalar Diyarı Macerası"ndan alın.
- Dört yeni ekipman becerisi: "Alayın Gücü," "Patlama Saati," "Buz &amp; Kar," ve "Sırtınızda Rüzgar." Bu üç yeni ekipman setiyle onları alın.</v>
      </c>
      <c r="N63" s="45" t="str">
        <f>IFERROR(__xludf.DUMMYFUNCTION("""COMPUTED_VALUE"""),"- Chiến Binh mới: Thần đồng của bầu trời - Boyce! Thần đồng của bầu trời, nhà vô địch của các trận chiến không kích! Phi công mập mạp đã hạ cánh!
- Ba bộ trang bị mới: Creator, Vanquisher và Hunter, dành cho Phi Công, Lính Tấn Công và Xạ Thủ, tương ứng. N"&amp;"hận chúng từ ""Thám Hiểm Bí Cảnh.""
- Bốn kỹ năng trang bị mới: ""Sức mạnh của lời chế giễu"", ""Giờ Phát Nổ"", ""Băng &amp; Lửa"" và ""Gió Ở Phía Sau Lưng Bạn"". Nhận chúng với ba bộ trang bị mới.")</f>
        <v>- Chiến Binh mới: Thần đồng của bầu trời - Boyce! Thần đồng của bầu trời, nhà vô địch của các trận chiến không kích! Phi công mập mạp đã hạ cánh!
- Ba bộ trang bị mới: Creator, Vanquisher và Hunter, dành cho Phi Công, Lính Tấn Công và Xạ Thủ, tương ứng. Nhận chúng từ "Thám Hiểm Bí Cảnh."
- Bốn kỹ năng trang bị mới: "Sức mạnh của lời chế giễu", "Giờ Phát Nổ", "Băng &amp; Lửa" và "Gió Ở Phía Sau Lưng Bạn". Nhận chúng với ba bộ trang bị mới.</v>
      </c>
      <c r="O63" s="45" t="str">
        <f>IFERROR(__xludf.DUMMYFUNCTION("""COMPUTED_VALUE"""),"- Nuovo Combattente: Prodigio del Cielo - Boyce! Un prodigio dell'aria, campione dei duelli aerei! Il pilota rotondetto è atterrato!
- Tre nuovi set di equipaggiamento: Creatore, Conquistatore e Cacciatore, rispettivamente per Piloti, Picchiatori e Cecchi"&amp;"ni. Ottienili da ""Avventura nel Paese incantato.""
- Quattro nuove abilità di equipaggiamento: ""Potere della Derisione"", ""Ora dell'Esplosione"", ""Gelo &amp; Ghiaccio"" e ""Vento alle Spalle"". Ottienile con i tre nuovi set di equipaggiamento.")</f>
        <v>- Nuovo Combattente: Prodigio del Cielo - Boyce! Un prodigio dell'aria, campione dei duelli aerei! Il pilota rotondetto è atterrato!
- Tre nuovi set di equipaggiamento: Creatore, Conquistatore e Cacciatore, rispettivamente per Piloti, Picchiatori e Cecchini. Ottienili da "Avventura nel Paese incantato."
- Quattro nuove abilità di equipaggiamento: "Potere della Derisione", "Ora dell'Esplosione", "Gelo &amp; Ghiaccio" e "Vento alle Spalle". Ottienile con i tre nuovi set di equipaggiamento.</v>
      </c>
      <c r="P63" s="34" t="str">
        <f>IFERROR(__xludf.DUMMYFUNCTION("""COMPUTED_VALUE"""),"- Nowy Wojownik: Geniusz Nieba - Boyce! Geniusz panujący na polu powietrznej bitwy, uroczy, pulchny pilot nadchodzi!
- Trzy nowe zestawy wyposażenia: Twórca, Zwycięzca i Łowca, odpowiednio dla Pilotów, Łupaczy i Strzelców. Zdobądź je z ""Przygody w Kraini"&amp;"e Cudów"".
- Cztery nowe umiejętności wyposażenia: ""Siła Prowokacji"", ""Godzina Wybuchu"", ""Mróz i Lód"" oraz ""Wiatr za Twoimi Plecami"". Zdobądź je z trzema nowymi zestawami wyposażenia.")</f>
        <v>- Nowy Wojownik: Geniusz Nieba - Boyce! Geniusz panujący na polu powietrznej bitwy, uroczy, pulchny pilot nadchodzi!
- Trzy nowe zestawy wyposażenia: Twórca, Zwycięzca i Łowca, odpowiednio dla Pilotów, Łupaczy i Strzelców. Zdobądź je z "Przygody w Krainie Cudów".
- Cztery nowe umiejętności wyposażenia: "Siła Prowokacji", "Godzina Wybuchu", "Mróz i Lód" oraz "Wiatr za Twoimi Plecami". Zdobądź je z trzema nowymi zestawami wyposażenia.</v>
      </c>
      <c r="Q63" s="34" t="str">
        <f>IFERROR(__xludf.DUMMYFUNCTION("""COMPUTED_VALUE"""),"- مقاتل جديد: عبقري السماء - بويس! عبقري الجو، بطل المعارك الجوية! هبط الطيار الدائري الجسم!
- ثلاث مجموعات معدات جديدة: الخالق، الفاتح، والصياد، للطيارين، الضاربين، والرماة، على التوالي. احصل عليهم من ""مغامرة بلاد العجائب"".
- أربع مهارات معدات جديدة: "&amp;"""قوة الاستفزاز""، ""ساعة الانفجار""، ""الصقيع والجليد""، و""الرياح في ظهرك"". احصل عليهم مع المجموعات الثلاث للمعدات الجديدة.
- وظيفة معدات مسبقة جديدة: التبديل بين تكوينات المعدات بسهولة أكبر!")</f>
        <v>- مقاتل جديد: عبقري السماء - بويس! عبقري الجو، بطل المعارك الجوية! هبط الطيار الدائري الجسم!
- ثلاث مجموعات معدات جديدة: الخالق، الفاتح، والصياد، للطيارين، الضاربين، والرماة، على التوالي. احصل عليهم من "مغامرة بلاد العجائب".
- أربع مهارات معدات جديدة: "قوة الاستفزاز"، "ساعة الانفجار"، "الصقيع والجليد"، و"الرياح في ظهرك". احصل عليهم مع المجموعات الثلاث للمعدات الجديدة.
- وظيفة معدات مسبقة جديدة: التبديل بين تكوينات المعدات بسهولة أكبر!</v>
      </c>
      <c r="R63" s="34"/>
      <c r="S63" s="34"/>
      <c r="T63" s="108"/>
      <c r="U63" s="108"/>
      <c r="V63" s="108"/>
      <c r="W63" s="108"/>
      <c r="X63" s="108"/>
      <c r="Y63" s="108"/>
      <c r="Z63" s="108"/>
    </row>
    <row r="64">
      <c r="A64" s="149" t="str">
        <f>IFERROR(__xludf.DUMMYFUNCTION("""COMPUTED_VALUE"""),"0.56.0")</f>
        <v>0.56.0</v>
      </c>
      <c r="B64" s="174" t="str">
        <f>IFERROR(__xludf.DUMMYFUNCTION("""COMPUTED_VALUE"""),"&lt;en-US&gt;
- New Fighter: Chainsaw Sweetheart, Doris. Sweet on the outside, savage on the inside - it's chainsaw girl!
- New Fighter: Brewmaster, Vance. Cheers! From the most legendary brewmaster on the planet. Ready to spirit up?
- New Relic: Wall Breaker s"&amp;"et - Nowhere to Hide (includes Homing Cannon, Mag Shield, and Onboard Locator).
- New battlefield: Astral Coliseum - Mech Rising. Get ready for a brand-new battle experience!
&lt;/en-US&gt;
&lt;fr-FR&gt;
- Nouveau combattant : Douceur à la tronçonneuse, Doris. Douce "&amp;"à l'extérieur, sauvage à l'intérieur - c'est la fille à la tronçonneuse!
- Nouveau combattant : Maître brasseur, Vance. Santé! Du brasseur le plus légendaire de la planète. Prêt à vous enivrer?
- Nouvelle Relique : Ensemble Brise-Mur - Nulle part où se ca"&amp;"cher (comprend le Canon à guidage, le Bouclier Mag et le Localisateur embarqué).
- Nouveau champ de bataille : Colisée astral - Mécha en ascension. Préparez-vous pour une toute nouvelle expérience de combat!
&lt;/fr-FR&gt;
&lt;de-DE&gt;
- Neuer Kämpfer: Kettensägen-S"&amp;"chätzchen, Doris. Süß von außen, wild von innen - es ist das Kettensägenmädchen!
- Neuer Kämpfer: Braumeister, Vance. Prost! Vom legendärsten Braumeister des Planeten. Bereit, um in Stimmung zu kommen?
- Neues Relikt: Wall Breaker Set - Nirgendwo zu verst"&amp;"ecken (beinhaltet Homing-Kanone, Mag Shield und Onboard-Locator).
- Neues Schlachtfeld: Astral-Kolosseum - Mech-Aufstieg. Mach dich bereit für ein brandneues Kampferlebnis!
&lt;/de-DE&gt;
&lt;pt-BR&gt;
- Novo Combatente: Doce Motosserra, Doris. Doce por fora, selvage"&amp;"m por dentro - é a garota motosserra!
- Novo Combatente: Mestre Cervejeiro, Vance. Saúde! Do mais lendário mestre cervejeiro do planeta. Pronto para animar?
- Nova Relíquia: Conjunto Quebra-Muros - Sem Lugar para se Esconder (inclui Canhão Teleguiado, Esc"&amp;"udo Mag e Localizador a Bordo).
- Novo campo de batalha: Coliseu Astral - Ascensão do Mech. Prepare-se para uma experiência de batalha totalmente nova!
&lt;/pt-BR&gt;
&lt;zh-HK&gt;
--新增鬥士：狂鋸甜心-桃樂絲，集甜美外表與暴力於一身的電鋸少女！
--新增鬥士：釀造大師-萬斯，猩球傳奇釀造師與你乾杯，激發你的豪邁情懷！
--新增古代遺物：攻城車套裝-"&amp;"無所遁形（包含追蹤炮，磁力護盾，車載定位儀）。
--新增戰場：決戰衛星之巔-機甲風暴，全新版本的戰場體驗，即將到來！
&lt;/zh-HK&gt;
&lt;zh-TW&gt;
--新增鬥士：狂鋸甜心-桃樂絲，集甜美外表與暴力於一身的電鋸少女！
--新增鬥士：釀造大師-萬斯，猩球傳奇釀造師與你乾杯，激發你的豪邁情懷！
--新增古代遺物：攻城車套裝-無所遁形（包含追蹤炮，磁力護盾，車載定位儀）。
--新增戰場：決戰衛星之巔-機甲風暴，全新版本的戰場體驗，即將到來！
&lt;/zh-TW&gt;
&lt;id&gt;
- Pejuang Baru: Chai"&amp;"nsaw Sweetheart, Doris. Manis di luar, ganas di dalam - dia adalah gadis gergaji rantai!
- Pejuang Baru: Brewmaster, Vance. Bersulang! Dari ahli pembuat bir paling legendaris di planet ini. Siap untuk semangat naik?
- Pusaka Baru: Set Wall Breaker - Tak A"&amp;"da Tempat untuk Bersembunyi (termasuk Meriam Homing, Mag Shield, dan Onboard Locator).
- Medan Perang Baru: Koloseum Astral - Mekanik Bangkit. Siapkan diri untuk pengalaman pertempuran yang baru!
&lt;/id&gt;
&lt;th&gt;
- นักสู้ตัวใหม่: ดอริส, สาวเลื่อยโซ่ที่หวานน่ารั"&amp;"กด้านนอก, ดุด่านใน - นี่คือสาวเลื่อยโซ่!
- นักสู้ตัวใหม่: แวนซ์, ผู้ชำนาญการทำเบียร์. ไชโย! จากผู้ชำนาญการทำเบียร์ที่ยิ่งใหญ่ที่สุดในโลก พร้อมที่จะเติมพลังใจหรือยัง?
- วัตถุโบราณชิ้นใหม่: ชุด วอลล์เบรกเกอร์ - ไม่มีที่ซ่อนตัว (รวมถึง ปืนใหญ่ลำจรจัด, โล่แม่"&amp;"เหล็ก, และ ตัวค้นหาบนเรือ).
- สนามรบใหม่: โคลีเซียมดวงดาว - เมคกำลังคืนชีพ. เตรียมตัวให้พร้อมสำหรับประสบการณ์การต่อสู้ที่แสนใหม่!
&lt;/th&gt;
&lt;es-419&gt;
- Nuevo Luchador: Dulzura de Motosierra, Doris. Dulce por fuera, salvaje por dentro - ¡es la chica de la motos"&amp;"ierra!
- Nuevo Luchador: Maestro Cervecero, Vance. ¡Brindis! Del maestro cervecero más legendario del planeta. ¿Listo para animarte?
- Nueva Reliquia: Conjunto Rompe Muros - No hay dónde esconderse (incluye Cañón de Guiado, Escudo Mag, y Localizador a Bor"&amp;"do).
- Nuevo campo de batalla: Coliseo Astral - Ascenso del Meca. ¡Prepárate para una experiencia de batalla completamente nueva!
&lt;/es-419&gt;
&lt;ru-RU&gt;
- Новый герой: Сладкая сердцем, Дорис. Сладкая снаружи, свирепая внутри - это девушка с бензопилой!
- Новый"&amp;" герой: Пивовар, Вэнс. Твое здоровье! От самого легендарного пивовара на планете. Готов поднять бокал?
- Новая реликвия: Набор ""Прорыв стены"" - Негде прятаться (включает в себя самонаводящуюся пушку, магнитный щит и бортовой локатор).
- Новое поле боя: "&amp;"Астральный Колизей - Восстание Мехов. Подготовьтесь к совершенно новому боевому опыту!
&lt;/ru-RU&gt;
&lt;tr-TR&gt;
- Yeni Savaşçı: Elektrikli Testere Sevgilisi, Doris. Dışı tatlı, içi vahşi - işte elektrikli testere kız!
- Yeni Savaşçı: Bira Ustası, Vance. Şerefe! G"&amp;"ezegendeki en efsanevi bira ustasından. Ruhunu canlandırmaya hazır mısın?
- Yeni Kalıntı: Duvar Kırıcı seti - Saklanacak Yer Yok (Homing Cannon, Mag Shield ve Onboard Locator dahil).
- Yeni savaş alanı: Yıldız Kolezyumu - Meka Yükselişi. Yepyeni bir savaş"&amp;" deneyimine hazır olun!
&lt;/tr-TR&gt;
&lt;vi&gt;
- Chiến Binh Mới: Ngọt Ngào Điện Cưa, Doris. Ngọt ngào bên ngoài, dữ dội bên trong - đó là cô gái điện cưa!
- Chiến Binh Mới: Thầy Pha Chế, Vance. Chúc mừng! Từ thầy pha chế huyền thoại nhất trên hành tinh. Sẵn sàng đ"&amp;"ể lên tinh thần chưa?
- Di Tích Mới: Bộ Phá Bức Tường - Không Nơi Nào Để Trốn (bao gồm Pháo Công Nghệ Cao, Mag Shield, và Onboard Locator).
- Chiến Trường Mới: Đại Đấu Trường Thiên Thể - Cơ Khí Trỗi Dậy. Hãy chuẩn bị cho một trải nghiệm chiến đấu hoàn toà"&amp;"n mới!
&lt;/vi&gt;
&lt;it-IT&gt;
- Nuovo Combattente: Dolcezza Motosega, Doris. Dolce all'esterno, selvaggia all'interno - è la ragazza della motosega!
- Nuovo Combattente: Mastro Birraio, Vance. Salute! Dal più leggendario mastro birraio del pianeta. Pronto a rinvig"&amp;"orirti?
- Nuova Reliquia: Set Distruttore di Muri - Nessun Posto Dove Nascondersi (include Cannone a Ricerca, Scudo Mag, e Localizzatore di Bordo).
- Nuovo campo di battaglia: Colosseo Astrale - Mech in Ascesa. Preparati per una nuovissima esperienza di b"&amp;"attaglia!
&lt;/it-IT&gt;
&lt;pl-PL&gt;
- Nowy Wojownik: Słodka Piłkarka, Doris. Słodka na zewnątrz, dzika w środku - to dziewczyna z piłą łańcuchową!
- Nowy Wojownik: Mistrz Warzenia, Vance. Na zdrowie! Od najbardziej legendarnego mistrza warzenia na planecie. Gotowy"&amp;" na ducha?
- Nowe Relikt: Zestaw Przełamywacz Ścian - Nigdzie się nie schowasz (zawiera Działo Samonaprowadzające, Mag Shield i Lokator Pokładowy).
- Nowe pole bitwy: Gwiezdne Koloseum - Mech Wstaje. Przygotuj się na zupełnie nowe doświadczenie bitewne!
&lt;"&amp;"/pl-PL&gt;
&lt;ar&gt;
- مقاتل جديد: الحبيبة بالمنشار، دوريس. حلوة من الخارج، متوحشة من الداخل - إنها فتاة المنشار!
- مقاتل جديد: سيد الخمر، فانس. هتافات! من أسطوري سيد الخمر على الكوكب. هل أنت جاهز للروح؟
- مقتنيات جديدة: مجموعة كسارة الجدران - لا مكان للإختباء (ت"&amp;"تضمن المدفعية الموجهة، الدرع المغناطيسي، والمحدد على متن السفينة).
- ساحة المعركة الجديدة: مدرج النجوم - صعود الميكا. استعد لتجربة معركة جديدة تمامًا!
&lt;/ar&gt;
")</f>
        <v>&lt;en-US&gt;
- New Fighter: Chainsaw Sweetheart, Doris. Sweet on the outside, savage on the inside - it's chainsaw girl!
- New Fighter: Brewmaster, Vance. Cheers! From the most legendary brewmaster on the planet. Ready to spirit up?
- New Relic: Wall Breaker set - Nowhere to Hide (includes Homing Cannon, Mag Shield, and Onboard Locator).
- New battlefield: Astral Coliseum - Mech Rising. Get ready for a brand-new battle experience!
&lt;/en-US&gt;
&lt;fr-FR&gt;
- Nouveau combattant : Douceur à la tronçonneuse, Doris. Douce à l'extérieur, sauvage à l'intérieur - c'est la fille à la tronçonneuse!
- Nouveau combattant : Maître brasseur, Vance. Santé! Du brasseur le plus légendaire de la planète. Prêt à vous enivrer?
- Nouvelle Relique : Ensemble Brise-Mur - Nulle part où se cacher (comprend le Canon à guidage, le Bouclier Mag et le Localisateur embarqué).
- Nouveau champ de bataille : Colisée astral - Mécha en ascension. Préparez-vous pour une toute nouvelle expérience de combat!
&lt;/fr-FR&gt;
&lt;de-DE&gt;
- Neuer Kämpfer: Kettensägen-Schätzchen, Doris. Süß von außen, wild von innen - es ist das Kettensägenmädchen!
- Neuer Kämpfer: Braumeister, Vance. Prost! Vom legendärsten Braumeister des Planeten. Bereit, um in Stimmung zu kommen?
- Neues Relikt: Wall Breaker Set - Nirgendwo zu verstecken (beinhaltet Homing-Kanone, Mag Shield und Onboard-Locator).
- Neues Schlachtfeld: Astral-Kolosseum - Mech-Aufstieg. Mach dich bereit für ein brandneues Kampferlebnis!
&lt;/de-DE&gt;
&lt;pt-BR&gt;
- Novo Combatente: Doce Motosserra, Doris. Doce por fora, selvagem por dentro - é a garota motosserra!
- Novo Combatente: Mestre Cervejeiro, Vance. Saúde! Do mais lendário mestre cervejeiro do planeta. Pronto para animar?
- Nova Relíquia: Conjunto Quebra-Muros - Sem Lugar para se Esconder (inclui Canhão Teleguiado, Escudo Mag e Localizador a Bordo).
- Novo campo de batalha: Coliseu Astral - Ascensão do Mech. Prepare-se para uma experiência de batalha totalmente nova!
&lt;/pt-BR&gt;
&lt;zh-HK&gt;
--新增鬥士：狂鋸甜心-桃樂絲，集甜美外表與暴力於一身的電鋸少女！
--新增鬥士：釀造大師-萬斯，猩球傳奇釀造師與你乾杯，激發你的豪邁情懷！
--新增古代遺物：攻城車套裝-無所遁形（包含追蹤炮，磁力護盾，車載定位儀）。
--新增戰場：決戰衛星之巔-機甲風暴，全新版本的戰場體驗，即將到來！
&lt;/zh-HK&gt;
&lt;zh-TW&gt;
--新增鬥士：狂鋸甜心-桃樂絲，集甜美外表與暴力於一身的電鋸少女！
--新增鬥士：釀造大師-萬斯，猩球傳奇釀造師與你乾杯，激發你的豪邁情懷！
--新增古代遺物：攻城車套裝-無所遁形（包含追蹤炮，磁力護盾，車載定位儀）。
--新增戰場：決戰衛星之巔-機甲風暴，全新版本的戰場體驗，即將到來！
&lt;/zh-TW&gt;
&lt;id&gt;
- Pejuang Baru: Chainsaw Sweetheart, Doris. Manis di luar, ganas di dalam - dia adalah gadis gergaji rantai!
- Pejuang Baru: Brewmaster, Vance. Bersulang! Dari ahli pembuat bir paling legendaris di planet ini. Siap untuk semangat naik?
- Pusaka Baru: Set Wall Breaker - Tak Ada Tempat untuk Bersembunyi (termasuk Meriam Homing, Mag Shield, dan Onboard Locator).
- Medan Perang Baru: Koloseum Astral - Mekanik Bangkit. Siapkan diri untuk pengalaman pertempuran yang baru!
&lt;/id&gt;
&lt;th&gt;
- นักสู้ตัวใหม่: ดอริส, สาวเลื่อยโซ่ที่หวานน่ารักด้านนอก, ดุด่านใน - นี่คือสาวเลื่อยโซ่!
- นักสู้ตัวใหม่: แวนซ์, ผู้ชำนาญการทำเบียร์. ไชโย! จากผู้ชำนาญการทำเบียร์ที่ยิ่งใหญ่ที่สุดในโลก พร้อมที่จะเติมพลังใจหรือยัง?
- วัตถุโบราณชิ้นใหม่: ชุด วอลล์เบรกเกอร์ - ไม่มีที่ซ่อนตัว (รวมถึง ปืนใหญ่ลำจรจัด, โล่แม่เหล็ก, และ ตัวค้นหาบนเรือ).
- สนามรบใหม่: โคลีเซียมดวงดาว - เมคกำลังคืนชีพ. เตรียมตัวให้พร้อมสำหรับประสบการณ์การต่อสู้ที่แสนใหม่!
&lt;/th&gt;
&lt;es-419&gt;
- Nuevo Luchador: Dulzura de Motosierra, Doris. Dulce por fuera, salvaje por dentro - ¡es la chica de la motosierra!
- Nuevo Luchador: Maestro Cervecero, Vance. ¡Brindis! Del maestro cervecero más legendario del planeta. ¿Listo para animarte?
- Nueva Reliquia: Conjunto Rompe Muros - No hay dónde esconderse (incluye Cañón de Guiado, Escudo Mag, y Localizador a Bordo).
- Nuevo campo de batalla: Coliseo Astral - Ascenso del Meca. ¡Prepárate para una experiencia de batalla completamente nueva!
&lt;/es-419&gt;
&lt;ru-RU&gt;
- Новый герой: Сладкая сердцем, Дорис. Сладкая снаружи, свирепая внутри - это девушка с бензопилой!
- Новый герой: Пивовар, Вэнс. Твое здоровье! От самого легендарного пивовара на планете. Готов поднять бокал?
- Новая реликвия: Набор "Прорыв стены" - Негде прятаться (включает в себя самонаводящуюся пушку, магнитный щит и бортовой локатор).
- Новое поле боя: Астральный Колизей - Восстание Мехов. Подготовьтесь к совершенно новому боевому опыту!
&lt;/ru-RU&gt;
&lt;tr-TR&gt;
- Yeni Savaşçı: Elektrikli Testere Sevgilisi, Doris. Dışı tatlı, içi vahşi - işte elektrikli testere kız!
- Yeni Savaşçı: Bira Ustası, Vance. Şerefe! Gezegendeki en efsanevi bira ustasından. Ruhunu canlandırmaya hazır mısın?
- Yeni Kalıntı: Duvar Kırıcı seti - Saklanacak Yer Yok (Homing Cannon, Mag Shield ve Onboard Locator dahil).
- Yeni savaş alanı: Yıldız Kolezyumu - Meka Yükselişi. Yepyeni bir savaş deneyimine hazır olun!
&lt;/tr-TR&gt;
&lt;vi&gt;
- Chiến Binh Mới: Ngọt Ngào Điện Cưa, Doris. Ngọt ngào bên ngoài, dữ dội bên trong - đó là cô gái điện cưa!
- Chiến Binh Mới: Thầy Pha Chế, Vance. Chúc mừng! Từ thầy pha chế huyền thoại nhất trên hành tinh. Sẵn sàng để lên tinh thần chưa?
- Di Tích Mới: Bộ Phá Bức Tường - Không Nơi Nào Để Trốn (bao gồm Pháo Công Nghệ Cao, Mag Shield, và Onboard Locator).
- Chiến Trường Mới: Đại Đấu Trường Thiên Thể - Cơ Khí Trỗi Dậy. Hãy chuẩn bị cho một trải nghiệm chiến đấu hoàn toàn mới!
&lt;/vi&gt;
&lt;it-IT&gt;
- Nuovo Combattente: Dolcezza Motosega, Doris. Dolce all'esterno, selvaggia all'interno - è la ragazza della motosega!
- Nuovo Combattente: Mastro Birraio, Vance. Salute! Dal più leggendario mastro birraio del pianeta. Pronto a rinvigorirti?
- Nuova Reliquia: Set Distruttore di Muri - Nessun Posto Dove Nascondersi (include Cannone a Ricerca, Scudo Mag, e Localizzatore di Bordo).
- Nuovo campo di battaglia: Colosseo Astrale - Mech in Ascesa. Preparati per una nuovissima esperienza di battaglia!
&lt;/it-IT&gt;
&lt;pl-PL&gt;
- Nowy Wojownik: Słodka Piłkarka, Doris. Słodka na zewnątrz, dzika w środku - to dziewczyna z piłą łańcuchową!
- Nowy Wojownik: Mistrz Warzenia, Vance. Na zdrowie! Od najbardziej legendarnego mistrza warzenia na planecie. Gotowy na ducha?
- Nowe Relikt: Zestaw Przełamywacz Ścian - Nigdzie się nie schowasz (zawiera Działo Samonaprowadzające, Mag Shield i Lokator Pokładowy).
- Nowe pole bitwy: Gwiezdne Koloseum - Mech Wstaje. Przygotuj się na zupełnie nowe doświadczenie bitewne!
&lt;/pl-PL&gt;
&lt;ar&gt;
- مقاتل جديد: الحبيبة بالمنشار، دوريس. حلوة من الخارج، متوحشة من الداخل - إنها فتاة المنشار!
- مقاتل جديد: سيد الخمر، فانس. هتافات! من أسطوري سيد الخمر على الكوكب. هل أنت جاهز للروح؟
- مقتنيات جديدة: مجموعة كسارة الجدران - لا مكان للإختباء (تتضمن المدفعية الموجهة، الدرع المغناطيسي، والمحدد على متن السفينة).
- ساحة المعركة الجديدة: مدرج النجوم - صعود الميكا. استعد لتجربة معركة جديدة تمامًا!
&lt;/ar&gt;
</v>
      </c>
      <c r="C64" s="44" t="str">
        <f>IFERROR(__xludf.DUMMYFUNCTION("""COMPUTED_VALUE"""),"--新增斗士：狂锯甜心-桃乐丝，集甜美外表与暴力于一身的电锯少女！
--新增斗士：酿造大师-万斯，猩球传奇酿造师与你干杯，激发你的豪迈情怀！
--新增收藏品：攻城车套装-无所遁形（包含追踪炮，磁力护盾，车载定位仪）。
--新增战场：决战卫星之巅-机甲风暴，全新版本的战场体验，即将到来！")</f>
        <v>--新增斗士：狂锯甜心-桃乐丝，集甜美外表与暴力于一身的电锯少女！
--新增斗士：酿造大师-万斯，猩球传奇酿造师与你干杯，激发你的豪迈情怀！
--新增收藏品：攻城车套装-无所遁形（包含追踪炮，磁力护盾，车载定位仪）。
--新增战场：决战卫星之巅-机甲风暴，全新版本的战场体验，即将到来！</v>
      </c>
      <c r="D64" s="159" t="str">
        <f>IFERROR(__xludf.DUMMYFUNCTION("""COMPUTED_VALUE"""),"- New Fighter: Chainsaw Sweetheart, Doris. Sweet on the outside, savage on the inside - it's chainsaw girl!
- New Fighter: Brewmaster, Vance. Cheers! From the most legendary brewmaster on the planet. Ready to spirit up?
- New Relic: Wall Breaker set - Now"&amp;"here to Hide (includes Homing Cannon, Mag Shield, and Onboard Locator).
- New battlefield: Astral Coliseum - Mech Rising. Get ready for a brand-new battle experience!")</f>
        <v>- New Fighter: Chainsaw Sweetheart, Doris. Sweet on the outside, savage on the inside - it's chainsaw girl!
- New Fighter: Brewmaster, Vance. Cheers! From the most legendary brewmaster on the planet. Ready to spirit up?
- New Relic: Wall Breaker set - Nowhere to Hide (includes Homing Cannon, Mag Shield, and Onboard Locator).
- New battlefield: Astral Coliseum - Mech Rising. Get ready for a brand-new battle experience!</v>
      </c>
      <c r="E64" s="159" t="str">
        <f>IFERROR(__xludf.DUMMYFUNCTION("""COMPUTED_VALUE"""),"- Nouveau combattant : Douceur à la tronçonneuse, Doris. Douce à l'extérieur, sauvage à l'intérieur - c'est la fille à la tronçonneuse!
- Nouveau combattant : Maître brasseur, Vance. Santé! Du brasseur le plus légendaire de la planète. Prêt à vous enivrer"&amp;"?
- Nouvelle Relique : Ensemble Brise-Mur - Nulle part où se cacher (comprend le Canon à guidage, le Bouclier Mag et le Localisateur embarqué).
- Nouveau champ de bataille : Colisée astral - Mécha en ascension. Préparez-vous pour une toute nouvelle expéri"&amp;"ence de combat!")</f>
        <v>- Nouveau combattant : Douceur à la tronçonneuse, Doris. Douce à l'extérieur, sauvage à l'intérieur - c'est la fille à la tronçonneuse!
- Nouveau combattant : Maître brasseur, Vance. Santé! Du brasseur le plus légendaire de la planète. Prêt à vous enivrer?
- Nouvelle Relique : Ensemble Brise-Mur - Nulle part où se cacher (comprend le Canon à guidage, le Bouclier Mag et le Localisateur embarqué).
- Nouveau champ de bataille : Colisée astral - Mécha en ascension. Préparez-vous pour une toute nouvelle expérience de combat!</v>
      </c>
      <c r="F64" s="159" t="str">
        <f>IFERROR(__xludf.DUMMYFUNCTION("""COMPUTED_VALUE"""),"- Neuer Kämpfer: Kettensägen-Schätzchen, Doris. Süß von außen, wild von innen - es ist das Kettensägenmädchen!
- Neuer Kämpfer: Braumeister, Vance. Prost! Vom legendärsten Braumeister des Planeten. Bereit, um in Stimmung zu kommen?
- Neues Relikt: Wall Br"&amp;"eaker Set - Nirgendwo zu verstecken (beinhaltet Homing-Kanone, Mag Shield und Onboard-Locator).
- Neues Schlachtfeld: Astral-Kolosseum - Mech-Aufstieg. Mach dich bereit für ein brandneues Kampferlebnis!")</f>
        <v>- Neuer Kämpfer: Kettensägen-Schätzchen, Doris. Süß von außen, wild von innen - es ist das Kettensägenmädchen!
- Neuer Kämpfer: Braumeister, Vance. Prost! Vom legendärsten Braumeister des Planeten. Bereit, um in Stimmung zu kommen?
- Neues Relikt: Wall Breaker Set - Nirgendwo zu verstecken (beinhaltet Homing-Kanone, Mag Shield und Onboard-Locator).
- Neues Schlachtfeld: Astral-Kolosseum - Mech-Aufstieg. Mach dich bereit für ein brandneues Kampferlebnis!</v>
      </c>
      <c r="G64" s="159" t="str">
        <f>IFERROR(__xludf.DUMMYFUNCTION("""COMPUTED_VALUE"""),"- Novo Combatente: Doce Motosserra, Doris. Doce por fora, selvagem por dentro - é a garota motosserra!
- Novo Combatente: Mestre Cervejeiro, Vance. Saúde! Do mais lendário mestre cervejeiro do planeta. Pronto para animar?
- Nova Relíquia: Conjunto Quebra-"&amp;"Muros - Sem Lugar para se Esconder (inclui Canhão Teleguiado, Escudo Mag e Localizador a Bordo).
- Novo campo de batalha: Coliseu Astral - Ascensão do Mech. Prepare-se para uma experiência de batalha totalmente nova!")</f>
        <v>- Novo Combatente: Doce Motosserra, Doris. Doce por fora, selvagem por dentro - é a garota motosserra!
- Novo Combatente: Mestre Cervejeiro, Vance. Saúde! Do mais lendário mestre cervejeiro do planeta. Pronto para animar?
- Nova Relíquia: Conjunto Quebra-Muros - Sem Lugar para se Esconder (inclui Canhão Teleguiado, Escudo Mag e Localizador a Bordo).
- Novo campo de batalha: Coliseu Astral - Ascensão do Mech. Prepare-se para uma experiência de batalha totalmente nova!</v>
      </c>
      <c r="H64" s="159" t="str">
        <f>IFERROR(__xludf.DUMMYFUNCTION("""COMPUTED_VALUE"""),"--新增鬥士：狂鋸甜心-桃樂絲，集甜美外表與暴力於一身的電鋸少女！
--新增鬥士：釀造大師-萬斯，猩球傳奇釀造師與你乾杯，激發你的豪邁情懷！
--新增古代遺物：攻城車套裝-無所遁形（包含追蹤炮，磁力護盾，車載定位儀）。
--新增戰場：決戰衛星之巔-機甲風暴，全新版本的戰場體驗，即將到來！")</f>
        <v>--新增鬥士：狂鋸甜心-桃樂絲，集甜美外表與暴力於一身的電鋸少女！
--新增鬥士：釀造大師-萬斯，猩球傳奇釀造師與你乾杯，激發你的豪邁情懷！
--新增古代遺物：攻城車套裝-無所遁形（包含追蹤炮，磁力護盾，車載定位儀）。
--新增戰場：決戰衛星之巔-機甲風暴，全新版本的戰場體驗，即將到來！</v>
      </c>
      <c r="I64" s="159" t="str">
        <f>IFERROR(__xludf.DUMMYFUNCTION("""COMPUTED_VALUE"""),"- Pejuang Baru: Chainsaw Sweetheart, Doris. Manis di luar, ganas di dalam - dia adalah gadis gergaji rantai!
- Pejuang Baru: Brewmaster, Vance. Bersulang! Dari ahli pembuat bir paling legendaris di planet ini. Siap untuk semangat naik?
- Pusaka Baru: Set "&amp;"Wall Breaker - Tak Ada Tempat untuk Bersembunyi (termasuk Meriam Homing, Mag Shield, dan Onboard Locator).
- Medan Perang Baru: Koloseum Astral - Mekanik Bangkit. Siapkan diri untuk pengalaman pertempuran yang baru!")</f>
        <v>- Pejuang Baru: Chainsaw Sweetheart, Doris. Manis di luar, ganas di dalam - dia adalah gadis gergaji rantai!
- Pejuang Baru: Brewmaster, Vance. Bersulang! Dari ahli pembuat bir paling legendaris di planet ini. Siap untuk semangat naik?
- Pusaka Baru: Set Wall Breaker - Tak Ada Tempat untuk Bersembunyi (termasuk Meriam Homing, Mag Shield, dan Onboard Locator).
- Medan Perang Baru: Koloseum Astral - Mekanik Bangkit. Siapkan diri untuk pengalaman pertempuran yang baru!</v>
      </c>
      <c r="J64" s="159" t="str">
        <f>IFERROR(__xludf.DUMMYFUNCTION("""COMPUTED_VALUE"""),"- นักสู้ตัวใหม่: ดอริส, สาวเลื่อยโซ่ที่หวานน่ารักด้านนอก, ดุด่านใน - นี่คือสาวเลื่อยโซ่!
- นักสู้ตัวใหม่: แวนซ์, ผู้ชำนาญการทำเบียร์. ไชโย! จากผู้ชำนาญการทำเบียร์ที่ยิ่งใหญ่ที่สุดในโลก พร้อมที่จะเติมพลังใจหรือยัง?
- วัตถุโบราณชิ้นใหม่: ชุด วอลล์เบรกเกอร์ "&amp;"- ไม่มีที่ซ่อนตัว (รวมถึง ปืนใหญ่ลำจรจัด, โล่แม่เหล็ก, และ ตัวค้นหาบนเรือ).
- สนามรบใหม่: โคลีเซียมดวงดาว - เมคกำลังคืนชีพ. เตรียมตัวให้พร้อมสำหรับประสบการณ์การต่อสู้ที่แสนใหม่!")</f>
        <v>- นักสู้ตัวใหม่: ดอริส, สาวเลื่อยโซ่ที่หวานน่ารักด้านนอก, ดุด่านใน - นี่คือสาวเลื่อยโซ่!
- นักสู้ตัวใหม่: แวนซ์, ผู้ชำนาญการทำเบียร์. ไชโย! จากผู้ชำนาญการทำเบียร์ที่ยิ่งใหญ่ที่สุดในโลก พร้อมที่จะเติมพลังใจหรือยัง?
- วัตถุโบราณชิ้นใหม่: ชุด วอลล์เบรกเกอร์ - ไม่มีที่ซ่อนตัว (รวมถึง ปืนใหญ่ลำจรจัด, โล่แม่เหล็ก, และ ตัวค้นหาบนเรือ).
- สนามรบใหม่: โคลีเซียมดวงดาว - เมคกำลังคืนชีพ. เตรียมตัวให้พร้อมสำหรับประสบการณ์การต่อสู้ที่แสนใหม่!</v>
      </c>
      <c r="K64" s="159" t="str">
        <f>IFERROR(__xludf.DUMMYFUNCTION("""COMPUTED_VALUE"""),"- Nuevo Luchador: Dulzura de Motosierra, Doris. Dulce por fuera, salvaje por dentro - ¡es la chica de la motosierra!
- Nuevo Luchador: Maestro Cervecero, Vance. ¡Brindis! Del maestro cervecero más legendario del planeta. ¿Listo para animarte?
- Nueva Reli"&amp;"quia: Conjunto Rompe Muros - No hay dónde esconderse (incluye Cañón de Guiado, Escudo Mag, y Localizador a Bordo).
- Nuevo campo de batalla: Coliseo Astral - Ascenso del Meca. ¡Prepárate para una experiencia de batalla completamente nueva!")</f>
        <v>- Nuevo Luchador: Dulzura de Motosierra, Doris. Dulce por fuera, salvaje por dentro - ¡es la chica de la motosierra!
- Nuevo Luchador: Maestro Cervecero, Vance. ¡Brindis! Del maestro cervecero más legendario del planeta. ¿Listo para animarte?
- Nueva Reliquia: Conjunto Rompe Muros - No hay dónde esconderse (incluye Cañón de Guiado, Escudo Mag, y Localizador a Bordo).
- Nuevo campo de batalla: Coliseo Astral - Ascenso del Meca. ¡Prepárate para una experiencia de batalla completamente nueva!</v>
      </c>
      <c r="L64" s="159" t="str">
        <f>IFERROR(__xludf.DUMMYFUNCTION("""COMPUTED_VALUE"""),"- Новый герой: Сладкая сердцем, Дорис. Сладкая снаружи, свирепая внутри - это девушка с бензопилой!
- Новый герой: Пивовар, Вэнс. Твое здоровье! От самого легендарного пивовара на планете. Готов поднять бокал?
- Новая реликвия: Набор ""Прорыв стены"" - Не"&amp;"где прятаться (включает в себя самонаводящуюся пушку, магнитный щит и бортовой локатор).
- Новое поле боя: Астральный Колизей - Восстание Мехов. Подготовьтесь к совершенно новому боевому опыту!")</f>
        <v>- Новый герой: Сладкая сердцем, Дорис. Сладкая снаружи, свирепая внутри - это девушка с бензопилой!
- Новый герой: Пивовар, Вэнс. Твое здоровье! От самого легендарного пивовара на планете. Готов поднять бокал?
- Новая реликвия: Набор "Прорыв стены" - Негде прятаться (включает в себя самонаводящуюся пушку, магнитный щит и бортовой локатор).
- Новое поле боя: Астральный Колизей - Восстание Мехов. Подготовьтесь к совершенно новому боевому опыту!</v>
      </c>
      <c r="M64" s="159" t="str">
        <f>IFERROR(__xludf.DUMMYFUNCTION("""COMPUTED_VALUE"""),"- Yeni Savaşçı: Elektrikli Testere Sevgilisi, Doris. Dışı tatlı, içi vahşi - işte elektrikli testere kız!
- Yeni Savaşçı: Bira Ustası, Vance. Şerefe! Gezegendeki en efsanevi bira ustasından. Ruhunu canlandırmaya hazır mısın?
- Yeni Kalıntı: Duvar Kırıcı s"&amp;"eti - Saklanacak Yer Yok (Homing Cannon, Mag Shield ve Onboard Locator dahil).
- Yeni savaş alanı: Yıldız Kolezyumu - Meka Yükselişi. Yepyeni bir savaş deneyimine hazır olun!")</f>
        <v>- Yeni Savaşçı: Elektrikli Testere Sevgilisi, Doris. Dışı tatlı, içi vahşi - işte elektrikli testere kız!
- Yeni Savaşçı: Bira Ustası, Vance. Şerefe! Gezegendeki en efsanevi bira ustasından. Ruhunu canlandırmaya hazır mısın?
- Yeni Kalıntı: Duvar Kırıcı seti - Saklanacak Yer Yok (Homing Cannon, Mag Shield ve Onboard Locator dahil).
- Yeni savaş alanı: Yıldız Kolezyumu - Meka Yükselişi. Yepyeni bir savaş deneyimine hazır olun!</v>
      </c>
      <c r="N64" s="45" t="str">
        <f>IFERROR(__xludf.DUMMYFUNCTION("""COMPUTED_VALUE"""),"- Chiến Binh Mới: Ngọt Ngào Điện Cưa, Doris. Ngọt ngào bên ngoài, dữ dội bên trong - đó là cô gái điện cưa!
- Chiến Binh Mới: Thầy Pha Chế, Vance. Chúc mừng! Từ thầy pha chế huyền thoại nhất trên hành tinh. Sẵn sàng để lên tinh thần chưa?
- Di Tích Mới: B"&amp;"ộ Phá Bức Tường - Không Nơi Nào Để Trốn (bao gồm Pháo Công Nghệ Cao, Mag Shield, và Onboard Locator).
- Chiến Trường Mới: Đại Đấu Trường Thiên Thể - Cơ Khí Trỗi Dậy. Hãy chuẩn bị cho một trải nghiệm chiến đấu hoàn toàn mới!")</f>
        <v>- Chiến Binh Mới: Ngọt Ngào Điện Cưa, Doris. Ngọt ngào bên ngoài, dữ dội bên trong - đó là cô gái điện cưa!
- Chiến Binh Mới: Thầy Pha Chế, Vance. Chúc mừng! Từ thầy pha chế huyền thoại nhất trên hành tinh. Sẵn sàng để lên tinh thần chưa?
- Di Tích Mới: Bộ Phá Bức Tường - Không Nơi Nào Để Trốn (bao gồm Pháo Công Nghệ Cao, Mag Shield, và Onboard Locator).
- Chiến Trường Mới: Đại Đấu Trường Thiên Thể - Cơ Khí Trỗi Dậy. Hãy chuẩn bị cho một trải nghiệm chiến đấu hoàn toàn mới!</v>
      </c>
      <c r="O64" s="45" t="str">
        <f>IFERROR(__xludf.DUMMYFUNCTION("""COMPUTED_VALUE"""),"- Nuovo Combattente: Dolcezza Motosega, Doris. Dolce all'esterno, selvaggia all'interno - è la ragazza della motosega!
- Nuovo Combattente: Mastro Birraio, Vance. Salute! Dal più leggendario mastro birraio del pianeta. Pronto a rinvigorirti?
- Nuova Reliq"&amp;"uia: Set Distruttore di Muri - Nessun Posto Dove Nascondersi (include Cannone a Ricerca, Scudo Mag, e Localizzatore di Bordo).
- Nuovo campo di battaglia: Colosseo Astrale - Mech in Ascesa. Preparati per una nuovissima esperienza di battaglia!")</f>
        <v>- Nuovo Combattente: Dolcezza Motosega, Doris. Dolce all'esterno, selvaggia all'interno - è la ragazza della motosega!
- Nuovo Combattente: Mastro Birraio, Vance. Salute! Dal più leggendario mastro birraio del pianeta. Pronto a rinvigorirti?
- Nuova Reliquia: Set Distruttore di Muri - Nessun Posto Dove Nascondersi (include Cannone a Ricerca, Scudo Mag, e Localizzatore di Bordo).
- Nuovo campo di battaglia: Colosseo Astrale - Mech in Ascesa. Preparati per una nuovissima esperienza di battaglia!</v>
      </c>
      <c r="P64" s="34" t="str">
        <f>IFERROR(__xludf.DUMMYFUNCTION("""COMPUTED_VALUE"""),"- Nowy Wojownik: Słodka Piłkarka, Doris. Słodka na zewnątrz, dzika w środku - to dziewczyna z piłą łańcuchową!
- Nowy Wojownik: Mistrz Warzenia, Vance. Na zdrowie! Od najbardziej legendarnego mistrza warzenia na planecie. Gotowy na ducha?
- Nowe Relikt: Z"&amp;"estaw Przełamywacz Ścian - Nigdzie się nie schowasz (zawiera Działo Samonaprowadzające, Mag Shield i Lokator Pokładowy).
- Nowe pole bitwy: Gwiezdne Koloseum - Mech Wstaje. Przygotuj się na zupełnie nowe doświadczenie bitewne!")</f>
        <v>- Nowy Wojownik: Słodka Piłkarka, Doris. Słodka na zewnątrz, dzika w środku - to dziewczyna z piłą łańcuchową!
- Nowy Wojownik: Mistrz Warzenia, Vance. Na zdrowie! Od najbardziej legendarnego mistrza warzenia na planecie. Gotowy na ducha?
- Nowe Relikt: Zestaw Przełamywacz Ścian - Nigdzie się nie schowasz (zawiera Działo Samonaprowadzające, Mag Shield i Lokator Pokładowy).
- Nowe pole bitwy: Gwiezdne Koloseum - Mech Wstaje. Przygotuj się na zupełnie nowe doświadczenie bitewne!</v>
      </c>
      <c r="Q64" s="34" t="str">
        <f>IFERROR(__xludf.DUMMYFUNCTION("""COMPUTED_VALUE"""),"- مقاتل جديد: الحبيبة بالمنشار، دوريس. حلوة من الخارج، متوحشة من الداخل - إنها فتاة المنشار!
- مقاتل جديد: سيد الخمر، فانس. هتافات! من أسطوري سيد الخمر على الكوكب. هل أنت جاهز للروح؟
- مقتنيات جديدة: مجموعة كسارة الجدران - لا مكان للإختباء (تتضمن المدفعية"&amp;" الموجهة، الدرع المغناطيسي، والمحدد على متن السفينة).
- ساحة المعركة الجديدة: مدرج النجوم - صعود الميكا. استعد لتجربة معركة جديدة تمامًا!")</f>
        <v>- مقاتل جديد: الحبيبة بالمنشار، دوريس. حلوة من الخارج، متوحشة من الداخل - إنها فتاة المنشار!
- مقاتل جديد: سيد الخمر، فانس. هتافات! من أسطوري سيد الخمر على الكوكب. هل أنت جاهز للروح؟
- مقتنيات جديدة: مجموعة كسارة الجدران - لا مكان للإختباء (تتضمن المدفعية الموجهة، الدرع المغناطيسي، والمحدد على متن السفينة).
- ساحة المعركة الجديدة: مدرج النجوم - صعود الميكا. استعد لتجربة معركة جديدة تمامًا!</v>
      </c>
      <c r="R64" s="34"/>
      <c r="S64" s="34"/>
      <c r="T64" s="108"/>
      <c r="U64" s="108"/>
      <c r="V64" s="108"/>
      <c r="W64" s="108"/>
      <c r="X64" s="108"/>
      <c r="Y64" s="108"/>
      <c r="Z64" s="108"/>
    </row>
    <row r="65">
      <c r="A65" s="149" t="str">
        <f>IFERROR(__xludf.DUMMYFUNCTION("""COMPUTED_VALUE"""),"0.57.0")</f>
        <v>0.57.0</v>
      </c>
      <c r="B65" s="174" t="str">
        <f>IFERROR(__xludf.DUMMYFUNCTION("""COMPUTED_VALUE"""),"&lt;en-US&gt;
- New unit types: new VI units (Steelriders, Earthshakers, Skyrenders, Infinity Tanks).
- Building level cap raised: the level cap for City Hall, Research Lab, Warehouse, Camps, was raised to Lv. 35 once the server has been open for a certain time"&amp;".
- New building level, research, and VI units-related quests.
- New Fighter: Felix, the Siege Gunner. A research fanatic and explosives expert igniting a banana blaze!
&lt;/en-US&gt;
&lt;fr-FR&gt;
- Nouveaux types d'unités : nouvelles unités VI (Aciermotards, Secoue"&amp;"urs de Terre, Célestes, Réservoirs Infinis)
- Limite du niveau de bâtiment augmentée : la limite de niveau pour l'Hôtel de ville, le Labo de recherche, l'Entrepôt, les Camps, a été augmentée à Lv. 35 une fois que le serveur a été ouvert pendant un certain"&amp;" temps.
- Nouvelles quêtes liées au niveau de bâtiment, à la recherche et aux unités VI.
- Nouveau combattant : Felix, le Canonnier de siège. Un fanatique de la recherche et expert en explosifs allumant une banane flamboyante!
&lt;/fr-FR&gt;
&lt;de-DE&gt;
- Neue Einh"&amp;"eitentypen: neue VI Einheiten (Stahlreiter, Erderschütterer, Himmelsdarsteller, Unendliche Panzer)
- Gebäude-Level-Obergrenze erhöht: Die Level-Obergrenze für Rathaus, Forschungslabor, Lagerhaus, Lager, wurde auf Lv. 35 erhöht, sobald der Server für eine "&amp;"bestimmte Zeit geöffnet wurde.
- Neue Gebäudelevel-, Forschungs- und VI-Einheiten-bezogene Quests.
- Neuer Kämpfer: Felix, der Belagerungskanonier. Ein Forschungsfanatiker und Sprengstoffexperte entfacht eine Bananen-Blaze!
&lt;/de-DE&gt;
&lt;pt-BR&gt;
- Novos tipo"&amp;"s de unidades: novas unidades VI (Aço Pilotos, Abaladores da Terra, Destruidores do Céu, Tanques Infinitos)
- Limite de nível de construção aumentado: o limite de nível para a Prefeitura, Laboratório de Pesquisa, Depósito, Acampamentos, foi aumentado para"&amp;" Lv. 35 uma vez que o servidor esteja aberto por um certo tempo.
- Novo nível de construção, pesquisa e missões relacionadas às unidades VI.
- Novo combatente: Felix, o Atirador de Cerco. Um fanático por pesquisa e especialista em explosivos provocando "&amp;"uma chama de banana!
&lt;/pt-BR&gt;
&lt;zh-HK&gt;
--新增兵種：全新兵種來襲！新增VI級兵種（鋼甲戰騎、震地者、破空者、永恒能量戰車）；
--新增建造等級上限：基地、研究所、倉庫、兵營，均可在伺服器達到一定時間後，升級至35級；
--新增全新建造等級、科技、VI級兵種等相關任務；
--新增破城炮手-菲利克斯，沉迷科研的狂熱分子，引燃香蕉狂風的火藥專家！
&lt;/zh-HK&gt;
&lt;zh-TW&gt;
--新增兵種：全新兵種來襲！新增VI級兵種（鋼甲戰騎、震地者、破空者、永恒能量戰車）；
-"&amp;"-新增建造等級上限：基地、研究所、倉庫、兵營，均可在伺服器達到一定時間後，升級至35級；
--新增全新建造等級、科技、VI級兵種等相關任務；
--新增破城炮手-菲利克斯，沉迷科研的狂熱分子，引燃香蕉狂風的火藥專家！
&lt;/zh-TW&gt;
&lt;id&gt;
- Jenis unit baru: unit VI baru (Pengendara Baja, Pengguncang Bumi, Pemecah Langit, Tangki Tak Terbatas)
- Batas level bangunan dit"&amp;"ingkatkan: batas level untuk Balai Kota, Lab Penelitian, Warehouse, Kamp, telah ditingkatkan menjadi Lv. 35 setelah server dibuka selama waktu tertentu.
- Misi baru terkait level bangunan, penelitian, dan unit VI.
- Pejuang Baru: Felix, Penembak Meriam Pe"&amp;"ngepungan. Seorang fanatik penelitian dan ahli peledak yang menyalakan api pisang!
&lt;/id&gt;
&lt;th&gt;
- ประเภทหน่วยใหม่: หน่วย VI ใหม่ (นักซิ่งเหล็ก, ผู้สะเทือนแผ่นดิน, ท้องฟ้าที่ถูกแยกส่วน, ถังอนันต์)
- เพิ่มขีดจำกัดเลเวลของสิ่งก่อสร้าง: ขีดจำกัดเลเวลสำหรับศาลาก"&amp;"ลางเมือง, ห้องวิจัย, โกดัง, ค่าย, ถูกเพิ่มเป็น Lv. 35 เมื่อเซิร์ฟเวอร์ถูกเปิดเป็นระยะเวลาที่กำหนด
- เควสต์ที่เกี่ยวข้องกับเลเวลสิ่งก่อสร้างใหม่, การวิจัย, และหน่วย VI ใหม่
- นักสู้ใหม่: Felix, นักยิงปืนที่ตีเมือง. นักวิจัยที่หลงไหลและผู้เชี่ยวชาญด้านวัตถุ"&amp;"ระเบิดกำลังจุดระเบิดเบลซ์กล้วย!
&lt;/th&gt;
&lt;es-419&gt;
- Nuevos tipos de unidades: nuevas unidades VI (Jinetes de Acero, Sacudidores de Tierra, Desgarradores del Cielo, Tanques Infinitos)
- Límite de nivel de edificio aumentado: el límite de nivel para el Ayuntam"&amp;"iento, Laboratorio de Investigación, Almacén, Campamentos, se ha aumentado a Lv. 35 una vez que el servidor ha estado abierto durante un cierto tiempo.
- Nuevas misiones relacionadas con el nivel de construcción, investigación y unidades VI.
- Nuevo Lucha"&amp;"dor: Felix, el Artillero de Asedio. ¡Un fanático de la investigación y experto en explosivos encendiendo una llamarada de banana!
&lt;/es-419&gt;
&lt;ru-RU&gt;
- Новые типы отрядов: новые отряды VI ранга (Стальные всадники, Трясущие Землю, Небесные Разрушители, Беско"&amp;"нечные Танки)
- Повышен максимальный уровень постройки: максимальный уровень для Городского совета, Лаборатории, Склада, Лагерей, был повышен до 35 уровня после того, как сервер был открыт в течение определенного времени.
- Новые задания, связанные с уров"&amp;"нем построек, исследованиями и отрядами VI ранга.
- Новый герой: Феликс, Осадный стрелок. Фанат исследований и эксперт по взрывчатке, зажигающий банановое пламя!
&lt;/ru-RU&gt;
&lt;tr-TR&gt;
- Yeni birim türleri: yeni VI birimler (Çelikbiniciler, Yer Sarsıcılar, Göky"&amp;"üzü Yaratıcıları, Sonsuz Tanklar)
- Bina seviye sınırı yükseltildi: Meclis, Araştırma Laboratuvarı, Depo, Kamplar için seviye sınırı, sunucu belirli bir süre açık kaldıktan sonra Lv. 35'e yükseltildi.
- Yeni bina seviyesi, araştırma ve VI birimleri ile il"&amp;"gili görevler.
- Yeni Savaşçı: Kuşatma Silahşörü Felix. Bir araştırma fanatiği ve patlayıcı uzmanı bir muz alevi ateşliyor!
&lt;/tr-TR&gt;
&lt;vi&gt;
- Các loại đơn vị mới: đơn vị VI mới (Kỵ Sĩ Thép, Kẻ Rung Chuyển Trái Đất, Chế Ngự Bầu Trời, Xe Tăng Vô Tận)
- Giới h"&amp;"ạn cấp độ công trình đã được nâng lên: giới hạn cấp độ cho Tòa Thị Chính, Phòng Thí Nghiệm Nghiên Cứu, Nhà Kho, Trại, đã được nâng lên đến Lv. 35 sau một thời gian máy chủ được mở.
- Nhiệm vụ mới liên quan đến cấp độ công trình, nghiên cứu, và đơn vị VI.
"&amp;"- Chiến Binh Mới: Felix, người súng bắn pháo. Một người cuồng nghiên cứu và chuyên gia vụ nổ đang đốt cháy một trận lửa chuối!
&lt;/vi&gt;
&lt;it-IT&gt;
- Nuovi tipi di unità: nuove unità VI (Cavalieri d'acciaio, Scuotitori di Terra, Distruttori del Cielo, Carri dell"&amp;"'Infinito)
- Limite di livello della costruzione aumentato: il limite di livello per il Municipio, il Laboratorio di ricerca, il Magazzino, i Campi, è stato aumentato a Lv. 35 una volta che il server è stato aperto per un certo periodo di tempo.
- Nuove m"&amp;"issioni relative al livello di costruzione, alla ricerca e alle unità VI.
- Nuovo Combattente: Felix, il Cannone da Assedio. Un fanatico della ricerca e un esperto di esplosivi che accendono una fiamma banana!
&lt;/it-IT&gt;
&lt;pl-PL&gt;
- Nowe typy jednostek: nowe "&amp;"jednostki VI (Stalowi Jeźdźcy, Trzęsący Ziemią, Niebogłosy, Czołgi Nieskończoności)
- Limit poziomu budynku podniesiony: limit poziomu dla Ratusza, Laboratorium, Magazynu, Obozów, został podniesiony do Lv. 35 po pewnym czasie od otwarcia serwera.
- Nowe z"&amp;"adania związane z poziomem budynku, badaniami i jednostkami VI.
- Nowy Wojownik: Felix, Oblężniczy Strzelec. Fanatyk badań i ekspert od materiałów wybuchowych rozpalający bananowy płomień!
&lt;/pl-PL&gt;
&lt;ar&gt;
- أنواع الوحدات الجديدة: وحدات السادسة الجديدة (فرسا"&amp;"ن الصلب، هزازات الأرض، مُقدمو السماء، دبابات اللانهاية)
- تم رفع سقف مستوى البناء: تم رفع سقف المستوى لقاعة المدينة، مختبر الأبحاث، المستودع، المعسكرات، إلى المستوى 35 بمجرد فتح السيرفر لفترة معينة.
- مهام جديدة تتعلق بمستوى البناء، البحث، ووحدات السادسة."&amp;"
- المقاتل الجديد: فيليكس، الجندي المحاصر. متحمس للبحث وخبير في المتفجرات يشعل لهيب الموز!
&lt;/ar&gt;
&lt;jp&gt;
- 新しいユニットタイプ：新たなVIユニット（スチールライダー、アースシェイカー、空を切り裂く者たち、無限のタンク）
- 建築レベル上限が上がりました：サーバーが一定時間開放された後、基地、研究所、倉庫、キャンプのレベル上限がLv. 35に上がりました。
- 新しい建築レベル、研究、およびVIユニット関連"&amp;"のクエスト。
- 新しいファイター：フェリックス、攻城ガンナー。研究狂で爆発物の専門家がバナナブレイズを点火中！
&lt;/jp&gt;
&lt;kr&gt;
- 새로운 유닛 유형: 새로운 VI 유닛 (스틸라이더들, 지진을 일으키는 자들, 하늘을 찢는 자들, 무한 탱크)
- 건물 레벨 상한이 올려졌습니다: 서버가 일정 시간 열린 후에 기지, 연구소, 창고, 캠프의 레벨 상한이 Lv. 35로 올려졌습니다.
- 새로운 건물 레벨, 연구, 그리고 VI 유닛 관련 퀘스트.
- 새로운 전사: 공성포"&amp;"병 펠릭스. 연구에 열광하고 폭발물 전문가가 바나나 블레이즈를 점화하는 중입니다!
&lt;/kr&gt;
")</f>
        <v>&lt;en-US&gt;
- New unit types: new VI units (Steelriders, Earthshakers, Skyrenders, Infinity Tanks).
- Building level cap raised: the level cap for City Hall, Research Lab, Warehouse, Camps, was raised to Lv. 35 once the server has been open for a certain time.
- New building level, research, and VI units-related quests.
- New Fighter: Felix, the Siege Gunner. A research fanatic and explosives expert igniting a banana blaze!
&lt;/en-US&gt;
&lt;fr-FR&gt;
- Nouveaux types d'unités : nouvelles unités VI (Aciermotards, Secoueurs de Terre, Célestes, Réservoirs Infinis)
- Limite du niveau de bâtiment augmentée : la limite de niveau pour l'Hôtel de ville, le Labo de recherche, l'Entrepôt, les Camps, a été augmentée à Lv. 35 une fois que le serveur a été ouvert pendant un certain temps.
- Nouvelles quêtes liées au niveau de bâtiment, à la recherche et aux unités VI.
- Nouveau combattant : Felix, le Canonnier de siège. Un fanatique de la recherche et expert en explosifs allumant une banane flamboyante!
&lt;/fr-FR&gt;
&lt;de-DE&gt;
- Neue Einheitentypen: neue VI Einheiten (Stahlreiter, Erderschütterer, Himmelsdarsteller, Unendliche Panzer)
- Gebäude-Level-Obergrenze erhöht: Die Level-Obergrenze für Rathaus, Forschungslabor, Lagerhaus, Lager, wurde auf Lv. 35 erhöht, sobald der Server für eine bestimmte Zeit geöffnet wurde.
- Neue Gebäudelevel-, Forschungs- und VI-Einheiten-bezogene Quests.
- Neuer Kämpfer: Felix, der Belagerungskanonier. Ein Forschungsfanatiker und Sprengstoffexperte entfacht eine Bananen-Blaze!
&lt;/de-DE&gt;
&lt;pt-BR&gt;
- Novos tipos de unidades: novas unidades VI (Aço Pilotos, Abaladores da Terra, Destruidores do Céu, Tanques Infinitos)
- Limite de nível de construção aumentado: o limite de nível para a Prefeitura, Laboratório de Pesquisa, Depósito, Acampamentos, foi aumentado para Lv. 35 uma vez que o servidor esteja aberto por um certo tempo.
- Novo nível de construção, pesquisa e missões relacionadas às unidades VI.
- Novo combatente: Felix, o Atirador de Cerco. Um fanático por pesquisa e especialista em explosivos provocando uma chama de banana!
&lt;/pt-BR&gt;
&lt;zh-HK&gt;
--新增兵種：全新兵種來襲！新增VI級兵種（鋼甲戰騎、震地者、破空者、永恒能量戰車）；
--新增建造等級上限：基地、研究所、倉庫、兵營，均可在伺服器達到一定時間後，升級至35級；
--新增全新建造等級、科技、VI級兵種等相關任務；
--新增破城炮手-菲利克斯，沉迷科研的狂熱分子，引燃香蕉狂風的火藥專家！
&lt;/zh-HK&gt;
&lt;zh-TW&gt;
--新增兵種：全新兵種來襲！新增VI級兵種（鋼甲戰騎、震地者、破空者、永恒能量戰車）；
--新增建造等級上限：基地、研究所、倉庫、兵營，均可在伺服器達到一定時間後，升級至35級；
--新增全新建造等級、科技、VI級兵種等相關任務；
--新增破城炮手-菲利克斯，沉迷科研的狂熱分子，引燃香蕉狂風的火藥專家！
&lt;/zh-TW&gt;
&lt;id&gt;
- Jenis unit baru: unit VI baru (Pengendara Baja, Pengguncang Bumi, Pemecah Langit, Tangki Tak Terbatas)
- Batas level bangunan ditingkatkan: batas level untuk Balai Kota, Lab Penelitian, Warehouse, Kamp, telah ditingkatkan menjadi Lv. 35 setelah server dibuka selama waktu tertentu.
- Misi baru terkait level bangunan, penelitian, dan unit VI.
- Pejuang Baru: Felix, Penembak Meriam Pengepungan. Seorang fanatik penelitian dan ahli peledak yang menyalakan api pisang!
&lt;/id&gt;
&lt;th&gt;
- ประเภทหน่วยใหม่: หน่วย VI ใหม่ (นักซิ่งเหล็ก, ผู้สะเทือนแผ่นดิน, ท้องฟ้าที่ถูกแยกส่วน, ถังอนันต์)
- เพิ่มขีดจำกัดเลเวลของสิ่งก่อสร้าง: ขีดจำกัดเลเวลสำหรับศาลากลางเมือง, ห้องวิจัย, โกดัง, ค่าย, ถูกเพิ่มเป็น Lv. 35 เมื่อเซิร์ฟเวอร์ถูกเปิดเป็นระยะเวลาที่กำหนด
- เควสต์ที่เกี่ยวข้องกับเลเวลสิ่งก่อสร้างใหม่, การวิจัย, และหน่วย VI ใหม่
- นักสู้ใหม่: Felix, นักยิงปืนที่ตีเมือง. นักวิจัยที่หลงไหลและผู้เชี่ยวชาญด้านวัตถุระเบิดกำลังจุดระเบิดเบลซ์กล้วย!
&lt;/th&gt;
&lt;es-419&gt;
- Nuevos tipos de unidades: nuevas unidades VI (Jinetes de Acero, Sacudidores de Tierra, Desgarradores del Cielo, Tanques Infinitos)
- Límite de nivel de edificio aumentado: el límite de nivel para el Ayuntamiento, Laboratorio de Investigación, Almacén, Campamentos, se ha aumentado a Lv. 35 una vez que el servidor ha estado abierto durante un cierto tiempo.
- Nuevas misiones relacionadas con el nivel de construcción, investigación y unidades VI.
- Nuevo Luchador: Felix, el Artillero de Asedio. ¡Un fanático de la investigación y experto en explosivos encendiendo una llamarada de banana!
&lt;/es-419&gt;
&lt;ru-RU&gt;
- Новые типы отрядов: новые отряды VI ранга (Стальные всадники, Трясущие Землю, Небесные Разрушители, Бесконечные Танки)
- Повышен максимальный уровень постройки: максимальный уровень для Городского совета, Лаборатории, Склада, Лагерей, был повышен до 35 уровня после того, как сервер был открыт в течение определенного времени.
- Новые задания, связанные с уровнем построек, исследованиями и отрядами VI ранга.
- Новый герой: Феликс, Осадный стрелок. Фанат исследований и эксперт по взрывчатке, зажигающий банановое пламя!
&lt;/ru-RU&gt;
&lt;tr-TR&gt;
- Yeni birim türleri: yeni VI birimler (Çelikbiniciler, Yer Sarsıcılar, Gökyüzü Yaratıcıları, Sonsuz Tanklar)
- Bina seviye sınırı yükseltildi: Meclis, Araştırma Laboratuvarı, Depo, Kamplar için seviye sınırı, sunucu belirli bir süre açık kaldıktan sonra Lv. 35'e yükseltildi.
- Yeni bina seviyesi, araştırma ve VI birimleri ile ilgili görevler.
- Yeni Savaşçı: Kuşatma Silahşörü Felix. Bir araştırma fanatiği ve patlayıcı uzmanı bir muz alevi ateşliyor!
&lt;/tr-TR&gt;
&lt;vi&gt;
- Các loại đơn vị mới: đơn vị VI mới (Kỵ Sĩ Thép, Kẻ Rung Chuyển Trái Đất, Chế Ngự Bầu Trời, Xe Tăng Vô Tận)
- Giới hạn cấp độ công trình đã được nâng lên: giới hạn cấp độ cho Tòa Thị Chính, Phòng Thí Nghiệm Nghiên Cứu, Nhà Kho, Trại, đã được nâng lên đến Lv. 35 sau một thời gian máy chủ được mở.
- Nhiệm vụ mới liên quan đến cấp độ công trình, nghiên cứu, và đơn vị VI.
- Chiến Binh Mới: Felix, người súng bắn pháo. Một người cuồng nghiên cứu và chuyên gia vụ nổ đang đốt cháy một trận lửa chuối!
&lt;/vi&gt;
&lt;it-IT&gt;
- Nuovi tipi di unità: nuove unità VI (Cavalieri d'acciaio, Scuotitori di Terra, Distruttori del Cielo, Carri dell'Infinito)
- Limite di livello della costruzione aumentato: il limite di livello per il Municipio, il Laboratorio di ricerca, il Magazzino, i Campi, è stato aumentato a Lv. 35 una volta che il server è stato aperto per un certo periodo di tempo.
- Nuove missioni relative al livello di costruzione, alla ricerca e alle unità VI.
- Nuovo Combattente: Felix, il Cannone da Assedio. Un fanatico della ricerca e un esperto di esplosivi che accendono una fiamma banana!
&lt;/it-IT&gt;
&lt;pl-PL&gt;
- Nowe typy jednostek: nowe jednostki VI (Stalowi Jeźdźcy, Trzęsący Ziemią, Niebogłosy, Czołgi Nieskończoności)
- Limit poziomu budynku podniesiony: limit poziomu dla Ratusza, Laboratorium, Magazynu, Obozów, został podniesiony do Lv. 35 po pewnym czasie od otwarcia serwera.
- Nowe zadania związane z poziomem budynku, badaniami i jednostkami VI.
- Nowy Wojownik: Felix, Oblężniczy Strzelec. Fanatyk badań i ekspert od materiałów wybuchowych rozpalający bananowy płomień!
&lt;/pl-PL&gt;
&lt;ar&gt;
- أنواع الوحدات الجديدة: وحدات السادسة الجديدة (فرسان الصلب، هزازات الأرض، مُقدمو السماء، دبابات اللانهاية)
- تم رفع سقف مستوى البناء: تم رفع سقف المستوى لقاعة المدينة، مختبر الأبحاث، المستودع، المعسكرات، إلى المستوى 35 بمجرد فتح السيرفر لفترة معينة.
- مهام جديدة تتعلق بمستوى البناء، البحث، ووحدات السادسة.
- المقاتل الجديد: فيليكس، الجندي المحاصر. متحمس للبحث وخبير في المتفجرات يشعل لهيب الموز!
&lt;/ar&gt;
&lt;jp&gt;
- 新しいユニットタイプ：新たなVIユニット（スチールライダー、アースシェイカー、空を切り裂く者たち、無限のタンク）
- 建築レベル上限が上がりました：サーバーが一定時間開放された後、基地、研究所、倉庫、キャンプのレベル上限がLv. 35に上がりました。
- 新しい建築レベル、研究、およびVIユニット関連のクエスト。
- 新しいファイター：フェリックス、攻城ガンナー。研究狂で爆発物の専門家がバナナブレイズを点火中！
&lt;/jp&gt;
&lt;kr&gt;
- 새로운 유닛 유형: 새로운 VI 유닛 (스틸라이더들, 지진을 일으키는 자들, 하늘을 찢는 자들, 무한 탱크)
- 건물 레벨 상한이 올려졌습니다: 서버가 일정 시간 열린 후에 기지, 연구소, 창고, 캠프의 레벨 상한이 Lv. 35로 올려졌습니다.
- 새로운 건물 레벨, 연구, 그리고 VI 유닛 관련 퀘스트.
- 새로운 전사: 공성포병 펠릭스. 연구에 열광하고 폭발물 전문가가 바나나 블레이즈를 점화하는 중입니다!
&lt;/kr&gt;
</v>
      </c>
      <c r="C65" s="44" t="str">
        <f>IFERROR(__xludf.DUMMYFUNCTION("""COMPUTED_VALUE"""),"--新增兵种：全新兵种来袭！新增VI级兵种（钢甲战骑、撼地者、裂空者、永恒能量战车）；
--新增建筑等级上限：基地、研究所、仓库、兵营，均可在服务器达到一定时间后，升级至35级；
--新增全新建筑等级、科技、VI级兵种等相关任务；
--新增破城炮手-菲利克斯，沉迷科研的狂热分子，引燃香蕉风暴的火药专家！")</f>
        <v>--新增兵种：全新兵种来袭！新增VI级兵种（钢甲战骑、撼地者、裂空者、永恒能量战车）；
--新增建筑等级上限：基地、研究所、仓库、兵营，均可在服务器达到一定时间后，升级至35级；
--新增全新建筑等级、科技、VI级兵种等相关任务；
--新增破城炮手-菲利克斯，沉迷科研的狂热分子，引燃香蕉风暴的火药专家！</v>
      </c>
      <c r="D65" s="159" t="str">
        <f>IFERROR(__xludf.DUMMYFUNCTION("""COMPUTED_VALUE"""),"- New unit types: new VI units (Steelriders, Earthshakers, Skyrenders, Infinity Tanks).
- Building level cap raised: the level cap for City Hall, Research Lab, Warehouse, Camps, was raised to Lv. 35 once the server has been open for a certain time.
- New "&amp;"building level, research, and VI units-related quests.
- New Fighter: Felix, the Siege Gunner. A research fanatic and explosives expert igniting a banana blaze!")</f>
        <v>- New unit types: new VI units (Steelriders, Earthshakers, Skyrenders, Infinity Tanks).
- Building level cap raised: the level cap for City Hall, Research Lab, Warehouse, Camps, was raised to Lv. 35 once the server has been open for a certain time.
- New building level, research, and VI units-related quests.
- New Fighter: Felix, the Siege Gunner. A research fanatic and explosives expert igniting a banana blaze!</v>
      </c>
      <c r="E65" s="159" t="str">
        <f>IFERROR(__xludf.DUMMYFUNCTION("""COMPUTED_VALUE"""),"- Nouveaux types d'unités : nouvelles unités VI (Aciermotards, Secoueurs de Terre, Célestes, Réservoirs Infinis)
- Limite du niveau de bâtiment augmentée : la limite de niveau pour l'Hôtel de ville, le Labo de recherche, l'Entrepôt, les Camps, a été augme"&amp;"ntée à Lv. 35 une fois que le serveur a été ouvert pendant un certain temps.
- Nouvelles quêtes liées au niveau de bâtiment, à la recherche et aux unités VI.
- Nouveau combattant : Felix, le Canonnier de siège. Un fanatique de la recherche et expert en ex"&amp;"plosifs allumant une banane flamboyante!")</f>
        <v>- Nouveaux types d'unités : nouvelles unités VI (Aciermotards, Secoueurs de Terre, Célestes, Réservoirs Infinis)
- Limite du niveau de bâtiment augmentée : la limite de niveau pour l'Hôtel de ville, le Labo de recherche, l'Entrepôt, les Camps, a été augmentée à Lv. 35 une fois que le serveur a été ouvert pendant un certain temps.
- Nouvelles quêtes liées au niveau de bâtiment, à la recherche et aux unités VI.
- Nouveau combattant : Felix, le Canonnier de siège. Un fanatique de la recherche et expert en explosifs allumant une banane flamboyante!</v>
      </c>
      <c r="F65" s="159" t="str">
        <f>IFERROR(__xludf.DUMMYFUNCTION("""COMPUTED_VALUE"""),"- Neue Einheitentypen: neue VI Einheiten (Stahlreiter, Erderschütterer, Himmelsdarsteller, Unendliche Panzer)
- Gebäude-Level-Obergrenze erhöht: Die Level-Obergrenze für Rathaus, Forschungslabor, Lagerhaus, Lager, wurde auf Lv. 35 erhöht, sobald der Serve"&amp;"r für eine bestimmte Zeit geöffnet wurde.
- Neue Gebäudelevel-, Forschungs- und VI-Einheiten-bezogene Quests.
- Neuer Kämpfer: Felix, der Belagerungskanonier. Ein Forschungsfanatiker und Sprengstoffexperte entfacht eine Bananen-Blaze!")</f>
        <v>- Neue Einheitentypen: neue VI Einheiten (Stahlreiter, Erderschütterer, Himmelsdarsteller, Unendliche Panzer)
- Gebäude-Level-Obergrenze erhöht: Die Level-Obergrenze für Rathaus, Forschungslabor, Lagerhaus, Lager, wurde auf Lv. 35 erhöht, sobald der Server für eine bestimmte Zeit geöffnet wurde.
- Neue Gebäudelevel-, Forschungs- und VI-Einheiten-bezogene Quests.
- Neuer Kämpfer: Felix, der Belagerungskanonier. Ein Forschungsfanatiker und Sprengstoffexperte entfacht eine Bananen-Blaze!</v>
      </c>
      <c r="G65" s="159" t="str">
        <f>IFERROR(__xludf.DUMMYFUNCTION("""COMPUTED_VALUE"""),"- Novos tipos de unidades: novas unidades VI (Aço Pilotos, Abaladores da Terra, Destruidores do Céu, Tanques Infinitos)
- Limite de nível de construção aumentado: o limite de nível para a Prefeitura, Laboratório de Pesquisa, Depósito, Acampamentos, foi au"&amp;"mentado para Lv. 35 uma vez que o servidor esteja aberto por um certo tempo.
- Novo nível de construção, pesquisa e missões relacionadas às unidades VI.
- Novo combatente: Felix, o Atirador de Cerco. Um fanático por pesquisa e especialista em explosivos"&amp;" provocando uma chama de banana!")</f>
        <v>- Novos tipos de unidades: novas unidades VI (Aço Pilotos, Abaladores da Terra, Destruidores do Céu, Tanques Infinitos)
- Limite de nível de construção aumentado: o limite de nível para a Prefeitura, Laboratório de Pesquisa, Depósito, Acampamentos, foi aumentado para Lv. 35 uma vez que o servidor esteja aberto por um certo tempo.
- Novo nível de construção, pesquisa e missões relacionadas às unidades VI.
- Novo combatente: Felix, o Atirador de Cerco. Um fanático por pesquisa e especialista em explosivos provocando uma chama de banana!</v>
      </c>
      <c r="H65" s="159" t="str">
        <f>IFERROR(__xludf.DUMMYFUNCTION("""COMPUTED_VALUE"""),"--新增兵種：全新兵種來襲！新增VI級兵種（鋼甲戰騎、震地者、破空者、永恒能量戰車）；
--新增建造等級上限：基地、研究所、倉庫、兵營，均可在伺服器達到一定時間後，升級至35級；
--新增全新建造等級、科技、VI級兵種等相關任務；
--新增破城炮手-菲利克斯，沉迷科研的狂熱分子，引燃香蕉狂風的火藥專家！")</f>
        <v>--新增兵種：全新兵種來襲！新增VI級兵種（鋼甲戰騎、震地者、破空者、永恒能量戰車）；
--新增建造等級上限：基地、研究所、倉庫、兵營，均可在伺服器達到一定時間後，升級至35級；
--新增全新建造等級、科技、VI級兵種等相關任務；
--新增破城炮手-菲利克斯，沉迷科研的狂熱分子，引燃香蕉狂風的火藥專家！</v>
      </c>
      <c r="I65" s="159" t="str">
        <f>IFERROR(__xludf.DUMMYFUNCTION("""COMPUTED_VALUE"""),"- Jenis unit baru: unit VI baru (Pengendara Baja, Pengguncang Bumi, Pemecah Langit, Tangki Tak Terbatas)
- Batas level bangunan ditingkatkan: batas level untuk Balai Kota, Lab Penelitian, Warehouse, Kamp, telah ditingkatkan menjadi Lv. 35 setelah server d"&amp;"ibuka selama waktu tertentu.
- Misi baru terkait level bangunan, penelitian, dan unit VI.
- Pejuang Baru: Felix, Penembak Meriam Pengepungan. Seorang fanatik penelitian dan ahli peledak yang menyalakan api pisang!")</f>
        <v>- Jenis unit baru: unit VI baru (Pengendara Baja, Pengguncang Bumi, Pemecah Langit, Tangki Tak Terbatas)
- Batas level bangunan ditingkatkan: batas level untuk Balai Kota, Lab Penelitian, Warehouse, Kamp, telah ditingkatkan menjadi Lv. 35 setelah server dibuka selama waktu tertentu.
- Misi baru terkait level bangunan, penelitian, dan unit VI.
- Pejuang Baru: Felix, Penembak Meriam Pengepungan. Seorang fanatik penelitian dan ahli peledak yang menyalakan api pisang!</v>
      </c>
      <c r="J65" s="159" t="str">
        <f>IFERROR(__xludf.DUMMYFUNCTION("""COMPUTED_VALUE"""),"- ประเภทหน่วยใหม่: หน่วย VI ใหม่ (นักซิ่งเหล็ก, ผู้สะเทือนแผ่นดิน, ท้องฟ้าที่ถูกแยกส่วน, ถังอนันต์)
- เพิ่มขีดจำกัดเลเวลของสิ่งก่อสร้าง: ขีดจำกัดเลเวลสำหรับศาลากลางเมือง, ห้องวิจัย, โกดัง, ค่าย, ถูกเพิ่มเป็น Lv. 35 เมื่อเซิร์ฟเวอร์ถูกเปิดเป็นระยะเวลาที่กำ"&amp;"หนด
- เควสต์ที่เกี่ยวข้องกับเลเวลสิ่งก่อสร้างใหม่, การวิจัย, และหน่วย VI ใหม่
- นักสู้ใหม่: Felix, นักยิงปืนที่ตีเมือง. นักวิจัยที่หลงไหลและผู้เชี่ยวชาญด้านวัตถุระเบิดกำลังจุดระเบิดเบลซ์กล้วย!")</f>
        <v>- ประเภทหน่วยใหม่: หน่วย VI ใหม่ (นักซิ่งเหล็ก, ผู้สะเทือนแผ่นดิน, ท้องฟ้าที่ถูกแยกส่วน, ถังอนันต์)
- เพิ่มขีดจำกัดเลเวลของสิ่งก่อสร้าง: ขีดจำกัดเลเวลสำหรับศาลากลางเมือง, ห้องวิจัย, โกดัง, ค่าย, ถูกเพิ่มเป็น Lv. 35 เมื่อเซิร์ฟเวอร์ถูกเปิดเป็นระยะเวลาที่กำหนด
- เควสต์ที่เกี่ยวข้องกับเลเวลสิ่งก่อสร้างใหม่, การวิจัย, และหน่วย VI ใหม่
- นักสู้ใหม่: Felix, นักยิงปืนที่ตีเมือง. นักวิจัยที่หลงไหลและผู้เชี่ยวชาญด้านวัตถุระเบิดกำลังจุดระเบิดเบลซ์กล้วย!</v>
      </c>
      <c r="K65" s="159" t="str">
        <f>IFERROR(__xludf.DUMMYFUNCTION("""COMPUTED_VALUE"""),"- Nuevos tipos de unidades: nuevas unidades VI (Jinetes de Acero, Sacudidores de Tierra, Desgarradores del Cielo, Tanques Infinitos)
- Límite de nivel de edificio aumentado: el límite de nivel para el Ayuntamiento, Laboratorio de Investigación, Almacén, C"&amp;"ampamentos, se ha aumentado a Lv. 35 una vez que el servidor ha estado abierto durante un cierto tiempo.
- Nuevas misiones relacionadas con el nivel de construcción, investigación y unidades VI.
- Nuevo Luchador: Felix, el Artillero de Asedio. ¡Un fanátic"&amp;"o de la investigación y experto en explosivos encendiendo una llamarada de banana!")</f>
        <v>- Nuevos tipos de unidades: nuevas unidades VI (Jinetes de Acero, Sacudidores de Tierra, Desgarradores del Cielo, Tanques Infinitos)
- Límite de nivel de edificio aumentado: el límite de nivel para el Ayuntamiento, Laboratorio de Investigación, Almacén, Campamentos, se ha aumentado a Lv. 35 una vez que el servidor ha estado abierto durante un cierto tiempo.
- Nuevas misiones relacionadas con el nivel de construcción, investigación y unidades VI.
- Nuevo Luchador: Felix, el Artillero de Asedio. ¡Un fanático de la investigación y experto en explosivos encendiendo una llamarada de banana!</v>
      </c>
      <c r="L65" s="159" t="str">
        <f>IFERROR(__xludf.DUMMYFUNCTION("""COMPUTED_VALUE"""),"- Новые типы отрядов: новые отряды VI ранга (Стальные всадники, Трясущие Землю, Небесные Разрушители, Бесконечные Танки)
- Повышен максимальный уровень постройки: максимальный уровень для Городского совета, Лаборатории, Склада, Лагерей, был повышен до 35 "&amp;"уровня после того, как сервер был открыт в течение определенного времени.
- Новые задания, связанные с уровнем построек, исследованиями и отрядами VI ранга.
- Новый герой: Феликс, Осадный стрелок. Фанат исследований и эксперт по взрывчатке, зажигающий бан"&amp;"ановое пламя!")</f>
        <v>- Новые типы отрядов: новые отряды VI ранга (Стальные всадники, Трясущие Землю, Небесные Разрушители, Бесконечные Танки)
- Повышен максимальный уровень постройки: максимальный уровень для Городского совета, Лаборатории, Склада, Лагерей, был повышен до 35 уровня после того, как сервер был открыт в течение определенного времени.
- Новые задания, связанные с уровнем построек, исследованиями и отрядами VI ранга.
- Новый герой: Феликс, Осадный стрелок. Фанат исследований и эксперт по взрывчатке, зажигающий банановое пламя!</v>
      </c>
      <c r="M65" s="159" t="str">
        <f>IFERROR(__xludf.DUMMYFUNCTION("""COMPUTED_VALUE"""),"- Yeni birim türleri: yeni VI birimler (Çelikbiniciler, Yer Sarsıcılar, Gökyüzü Yaratıcıları, Sonsuz Tanklar)
- Bina seviye sınırı yükseltildi: Meclis, Araştırma Laboratuvarı, Depo, Kamplar için seviye sınırı, sunucu belirli bir süre açık kaldıktan sonra "&amp;"Lv. 35'e yükseltildi.
- Yeni bina seviyesi, araştırma ve VI birimleri ile ilgili görevler.
- Yeni Savaşçı: Kuşatma Silahşörü Felix. Bir araştırma fanatiği ve patlayıcı uzmanı bir muz alevi ateşliyor!")</f>
        <v>- Yeni birim türleri: yeni VI birimler (Çelikbiniciler, Yer Sarsıcılar, Gökyüzü Yaratıcıları, Sonsuz Tanklar)
- Bina seviye sınırı yükseltildi: Meclis, Araştırma Laboratuvarı, Depo, Kamplar için seviye sınırı, sunucu belirli bir süre açık kaldıktan sonra Lv. 35'e yükseltildi.
- Yeni bina seviyesi, araştırma ve VI birimleri ile ilgili görevler.
- Yeni Savaşçı: Kuşatma Silahşörü Felix. Bir araştırma fanatiği ve patlayıcı uzmanı bir muz alevi ateşliyor!</v>
      </c>
      <c r="N65" s="45" t="str">
        <f>IFERROR(__xludf.DUMMYFUNCTION("""COMPUTED_VALUE"""),"- Các loại đơn vị mới: đơn vị VI mới (Kỵ Sĩ Thép, Kẻ Rung Chuyển Trái Đất, Chế Ngự Bầu Trời, Xe Tăng Vô Tận)
- Giới hạn cấp độ công trình đã được nâng lên: giới hạn cấp độ cho Tòa Thị Chính, Phòng Thí Nghiệm Nghiên Cứu, Nhà Kho, Trại, đã được nâng lên đến"&amp;" Lv. 35 sau một thời gian máy chủ được mở.
- Nhiệm vụ mới liên quan đến cấp độ công trình, nghiên cứu, và đơn vị VI.
- Chiến Binh Mới: Felix, người súng bắn pháo. Một người cuồng nghiên cứu và chuyên gia vụ nổ đang đốt cháy một trận lửa chuối!")</f>
        <v>- Các loại đơn vị mới: đơn vị VI mới (Kỵ Sĩ Thép, Kẻ Rung Chuyển Trái Đất, Chế Ngự Bầu Trời, Xe Tăng Vô Tận)
- Giới hạn cấp độ công trình đã được nâng lên: giới hạn cấp độ cho Tòa Thị Chính, Phòng Thí Nghiệm Nghiên Cứu, Nhà Kho, Trại, đã được nâng lên đến Lv. 35 sau một thời gian máy chủ được mở.
- Nhiệm vụ mới liên quan đến cấp độ công trình, nghiên cứu, và đơn vị VI.
- Chiến Binh Mới: Felix, người súng bắn pháo. Một người cuồng nghiên cứu và chuyên gia vụ nổ đang đốt cháy một trận lửa chuối!</v>
      </c>
      <c r="O65" s="45" t="str">
        <f>IFERROR(__xludf.DUMMYFUNCTION("""COMPUTED_VALUE"""),"- Nuovi tipi di unità: nuove unità VI (Cavalieri d'acciaio, Scuotitori di Terra, Distruttori del Cielo, Carri dell'Infinito)
- Limite di livello della costruzione aumentato: il limite di livello per il Municipio, il Laboratorio di ricerca, il Magazzino, i"&amp;" Campi, è stato aumentato a Lv. 35 una volta che il server è stato aperto per un certo periodo di tempo.
- Nuove missioni relative al livello di costruzione, alla ricerca e alle unità VI.
- Nuovo Combattente: Felix, il Cannone da Assedio. Un fanatico dell"&amp;"a ricerca e un esperto di esplosivi che accendono una fiamma banana!")</f>
        <v>- Nuovi tipi di unità: nuove unità VI (Cavalieri d'acciaio, Scuotitori di Terra, Distruttori del Cielo, Carri dell'Infinito)
- Limite di livello della costruzione aumentato: il limite di livello per il Municipio, il Laboratorio di ricerca, il Magazzino, i Campi, è stato aumentato a Lv. 35 una volta che il server è stato aperto per un certo periodo di tempo.
- Nuove missioni relative al livello di costruzione, alla ricerca e alle unità VI.
- Nuovo Combattente: Felix, il Cannone da Assedio. Un fanatico della ricerca e un esperto di esplosivi che accendono una fiamma banana!</v>
      </c>
      <c r="P65" s="34" t="str">
        <f>IFERROR(__xludf.DUMMYFUNCTION("""COMPUTED_VALUE"""),"- Nowe typy jednostek: nowe jednostki VI (Stalowi Jeźdźcy, Trzęsący Ziemią, Niebogłosy, Czołgi Nieskończoności)
- Limit poziomu budynku podniesiony: limit poziomu dla Ratusza, Laboratorium, Magazynu, Obozów, został podniesiony do Lv. 35 po pewnym czasie o"&amp;"d otwarcia serwera.
- Nowe zadania związane z poziomem budynku, badaniami i jednostkami VI.
- Nowy Wojownik: Felix, Oblężniczy Strzelec. Fanatyk badań i ekspert od materiałów wybuchowych rozpalający bananowy płomień!")</f>
        <v>- Nowe typy jednostek: nowe jednostki VI (Stalowi Jeźdźcy, Trzęsący Ziemią, Niebogłosy, Czołgi Nieskończoności)
- Limit poziomu budynku podniesiony: limit poziomu dla Ratusza, Laboratorium, Magazynu, Obozów, został podniesiony do Lv. 35 po pewnym czasie od otwarcia serwera.
- Nowe zadania związane z poziomem budynku, badaniami i jednostkami VI.
- Nowy Wojownik: Felix, Oblężniczy Strzelec. Fanatyk badań i ekspert od materiałów wybuchowych rozpalający bananowy płomień!</v>
      </c>
      <c r="Q65" s="34" t="str">
        <f>IFERROR(__xludf.DUMMYFUNCTION("""COMPUTED_VALUE"""),"- أنواع الوحدات الجديدة: وحدات السادسة الجديدة (فرسان الصلب، هزازات الأرض، مُقدمو السماء، دبابات اللانهاية)
- تم رفع سقف مستوى البناء: تم رفع سقف المستوى لقاعة المدينة، مختبر الأبحاث، المستودع، المعسكرات، إلى المستوى 35 بمجرد فتح السيرفر لفترة معينة.
- مه"&amp;"ام جديدة تتعلق بمستوى البناء، البحث، ووحدات السادسة.
- المقاتل الجديد: فيليكس، الجندي المحاصر. متحمس للبحث وخبير في المتفجرات يشعل لهيب الموز!")</f>
        <v>- أنواع الوحدات الجديدة: وحدات السادسة الجديدة (فرسان الصلب، هزازات الأرض، مُقدمو السماء، دبابات اللانهاية)
- تم رفع سقف مستوى البناء: تم رفع سقف المستوى لقاعة المدينة، مختبر الأبحاث، المستودع، المعسكرات، إلى المستوى 35 بمجرد فتح السيرفر لفترة معينة.
- مهام جديدة تتعلق بمستوى البناء، البحث، ووحدات السادسة.
- المقاتل الجديد: فيليكس، الجندي المحاصر. متحمس للبحث وخبير في المتفجرات يشعل لهيب الموز!</v>
      </c>
      <c r="R65" s="34" t="str">
        <f>IFERROR(__xludf.DUMMYFUNCTION("""COMPUTED_VALUE"""),"- 新しいユニットタイプ：新たなVIユニット（スチールライダー、アースシェイカー、空を切り裂く者たち、無限のタンク）
- 建築レベル上限が上がりました：サーバーが一定時間開放された後、基地、研究所、倉庫、キャンプのレベル上限がLv. 35に上がりました。
- 新しい建築レベル、研究、およびVIユニット関連のクエスト。
- 新しいファイター：フェリックス、攻城ガンナー。研究狂で爆発物の専門家がバナナブレイズを点火中！")</f>
        <v>- 新しいユニットタイプ：新たなVIユニット（スチールライダー、アースシェイカー、空を切り裂く者たち、無限のタンク）
- 建築レベル上限が上がりました：サーバーが一定時間開放された後、基地、研究所、倉庫、キャンプのレベル上限がLv. 35に上がりました。
- 新しい建築レベル、研究、およびVIユニット関連のクエスト。
- 新しいファイター：フェリックス、攻城ガンナー。研究狂で爆発物の専門家がバナナブレイズを点火中！</v>
      </c>
      <c r="S65" s="34" t="str">
        <f>IFERROR(__xludf.DUMMYFUNCTION("""COMPUTED_VALUE"""),"- 새로운 유닛 유형: 새로운 VI 유닛 (스틸라이더들, 지진을 일으키는 자들, 하늘을 찢는 자들, 무한 탱크)
- 건물 레벨 상한이 올려졌습니다: 서버가 일정 시간 열린 후에 기지, 연구소, 창고, 캠프의 레벨 상한이 Lv. 35로 올려졌습니다.
- 새로운 건물 레벨, 연구, 그리고 VI 유닛 관련 퀘스트.
- 새로운 전사: 공성포병 펠릭스. 연구에 열광하고 폭발물 전문가가 바나나 블레이즈를 점화하는 중입니다!")</f>
        <v>- 새로운 유닛 유형: 새로운 VI 유닛 (스틸라이더들, 지진을 일으키는 자들, 하늘을 찢는 자들, 무한 탱크)
- 건물 레벨 상한이 올려졌습니다: 서버가 일정 시간 열린 후에 기지, 연구소, 창고, 캠프의 레벨 상한이 Lv. 35로 올려졌습니다.
- 새로운 건물 레벨, 연구, 그리고 VI 유닛 관련 퀘스트.
- 새로운 전사: 공성포병 펠릭스. 연구에 열광하고 폭발물 전문가가 바나나 블레이즈를 점화하는 중입니다!</v>
      </c>
      <c r="T65" s="108"/>
      <c r="U65" s="108"/>
      <c r="V65" s="108"/>
      <c r="W65" s="108"/>
      <c r="X65" s="108"/>
      <c r="Y65" s="108"/>
      <c r="Z65" s="108"/>
    </row>
    <row r="66">
      <c r="A66" s="149" t="str">
        <f>IFERROR(__xludf.DUMMYFUNCTION("""COMPUTED_VALUE"""),"0.57.5")</f>
        <v>0.57.5</v>
      </c>
      <c r="B66" s="174" t="str">
        <f>IFERROR(__xludf.DUMMYFUNCTION("""COMPUTED_VALUE"""),"&lt;en-US&gt;
- Spirit Soiree Events
Festival of Frights: Use Candy Jars to play, and win tons of resources and a chance to get the special Halloween city skin!
Trick or Treat: Knock knock! Offer your Pumpkin Coins to the neighbors to redeem rare Halloween deco"&amp;"rations, march effects, special nameplates, and more!
Phantom Showdown: Dress up your city in special appearances during Spirit Soiree! Players are grouped into two teams every day - go to the map to find cities with the opponent's appearances to earn poi"&amp;"nts and team rewards at the end of the day. Ready or not, here I come!
Spook Mine: Beware of ghosts! Proceed with caution. Play new Treasure Dig levels during the event to get amazing rewards!
Midnight Haggling: Chat and bargain with the mysterious Pumpki"&amp;"n Vendor during the event to get amazing discounts!
&lt;/en-US&gt;
&lt;fr-FR&gt;
- Événements de la Soirée de l'Esprit
Festival des Frissons: Utilisez des Pots à bonbons pour jouer, et gagnez des tonnes de ressources et une chance d'obtenir la peau spéciale de la vil"&amp;"le d'Halloween!
Farce ou Friandise: Toc Toc! Offrez vos Pièces Citrouille aux voisins pour échanger contre des décorations d'Halloween rares, des effets de déplacement, des plaques spéciales, et plus encore!
Phantom Showdown: Habillez votre ville avec des"&amp;" apparences spéciales pendant la Soirée de l'Esprit! Les joueurs sont regroupés en deux équipes chaque jour - allez sur la carte pour trouver des villes avec les apparences de l'adversaire pour gagner des points et des récompenses d'équipe à la fin de la "&amp;"journée. Prêt ou pas, me voici!
Mine Hantée: Attention aux fantômes! Avancez avec prudence. Jouez à de nouveaux niveaux de Fouille de Trésor pendant l'événement pour obtenir des récompenses incroyables!
Marchandage de Minuit: Discutez et marchandez avec l"&amp;"e mystérieux Vendeur de Citrouilles pendant l'événement pour obtenir des réductions incroyables!
&lt;/fr-FR&gt;
&lt;de-DE&gt;
- Geister-Soiree Events
Festival der Schrecken: Benutze Bonbongläser zum Spielen und gewinne jede Menge Ressourcen und die Chance, die spezie"&amp;"lle Halloween-Stadt-Skin zu bekommen!
Süßes oder Saures: Klopf klopf! Biete deine Kürbismünzen den Nachbarn an, um seltene Halloween-Dekorationen, Marscheffekte, spezielle Namensschilder und mehr einzulösen!
Phantom Showdown: Kleide deine Stadt während de"&amp;"r Geister-Soiree in speziellen Auftritten! Spieler werden jeden Tag in zwei Teams eingeteilt - gehe zur Karte, um Städte mit den Auftritten des Gegners zu finden, um Punkte und Team-Belohnungen am Ende des Tages zu verdienen. Bereit oder nicht, hier komme"&amp;" ich!
Spuk-Mine: Vorsicht vor Geistern! Geh mit Vorsicht vor. Spiele neue Schatzgrab-Level während des Events, um erstaunliche Belohnungen zu bekommen!
Mitternächtliches Feilschen: Chatte und handele mit dem geheimnisvollen Kürbisverkäufer während des Eve"&amp;"nts, um erstaunliche Rabatte zu bekommen!
&lt;/de-DE&gt;
&lt;pt-BR&gt;
- Eventos Soirée Espiritual
Festival dos Sustos: Use Potes de Doces para jogar e ganhe toneladas de recursos e a chance de obter a skin especial da cidade do Halloween!
Travessuras ou Gostosuras: "&amp;"Toc toc! Ofereça suas Moedas de Abóbora aos vizinhos para resgatar decorações raras de Halloween, efeitos de marcha, tabuletas especiais e muito mais!
Confronto Fantasma: Vista sua cidade com aparências especiais durante o Soirée Espiritual! Os jogadores "&amp;"são agrupados em duas equipes todos os dias - vá ao mapa para encontrar cidades com as aparências do oponente para ganhar pontos e recompensas da equipe no final do dia. Pronto ou não, lá vou eu!
Mina Assustadora: Cuidado com os fantasmas! Prossiga com ca"&amp;"utela. Jogue novos níveis de Escavação do Tesouro durante o evento para obter recompensas incríveis!
Pechincha da Meia-Noite: Bata-papo e pechinche com o misterioso Vendedor de Abóboras durante o evento para obter descontos incríveis!
&lt;/pt-BR&gt;
&lt;zh-HK&gt;
- 新"&amp;"增祖靈節活動：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魅影對決：祖靈節期間，主城將可以裝飾神秘“驚奇外觀”，每日玩家分為兩個陣營，前往大地圖找到已僞裝的敵方陣營玩家主城，即可獲取積分獎勵和結算後的陣營獎勵。你藏我猜，快來參與！
暗夜礦場：幽靈出沒，小心施工！祖靈節期間參與全新地下探寶活動關卡，可獲得豐厚的獎勵！
午夜討價還價：祖靈節期間"&amp;"，琢磨不透的南瓜商人將會現身，你可以與其直接對話，大膽砍價！還有可能拿到超低折扣哦！
&lt;/zh-HK&gt;
&lt;zh-TW&gt;
- 新增祖靈節活動：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魅影對決：祖靈節期間，主城將可以裝飾神秘“驚奇外觀”，每日玩家分為兩個陣營，前往大地圖找到已僞裝的敵方陣營玩家主城，即可獲取積分獎勵和結算後的陣營獎勵。你藏我"&amp;"猜，快來參與！
暗夜礦場：幽靈出沒，小心施工！祖靈節期間參與全新地下探寶活動關卡，可獲得豐厚的獎勵！
午夜討價還價：祖靈節期間，琢磨不透的南瓜商人將會現身，你可以與其直接對話，大膽砍價！還有可能拿到超低折扣哦！
&lt;/zh-TW&gt;
&lt;id&gt;
- Event Pesta Semangat
Festival Ketakutan: Gunakan Toples Permen untuk bermain, dan menangkan ton sumber daya dan kesempatan untuk mend"&amp;"apatkan skin kota Halloween khusus!
Trick or Treat: Ketuk pintu! Tawarkan Koin Labu Anda kepada tetangga untuk menukarkan dekorasi Halloween langka, efek berbaris, papan nama khusus, dan lainnya!
Pertunjukan Hantu: Hiasi kota Anda dengan penampilan khusus"&amp;" selama Pesta Semangat! Pemain dikelompokkan menjadi dua tim setiap hari - pergi ke peta untuk menemukan kota dengan penampilan lawan untuk mendapatkan poin dan hadiah tim di akhir hari. Siap atau tidak, aku datang!
Tambang Hantu: Waspada terhadap hantu! "&amp;"Maju dengan hati-hati. Mainkan level Gali Harta Karun baru selama event untuk mendapatkan hadiah yang luar biasa!
Tawar-Menawar Tengah Malam: Obrolan dan tawar-menawar dengan Penjual Labu misterius selama event untuk mendapatkan diskon yang luar biasa!
&lt;/"&amp;"id&gt;
&lt;th&gt;
- งานเลี้ยงจิตวิญญาณ
เทศกาลแห่งความหวาดกลัว: ใช้กระปุกลูกอมเพื่อเล่น, และชนะทรัพยากรมากมายและมีโอกาสได้รับสกินเมืองฮาโลวีนพิเศษ!
ทริกออร์ทรีต: ก๊อก ก๊อก! นำเหรียญฟักทองของคุณไปให้เพื่อนบ้านเพื่อแลกเปลี่ยนการตกแต่งฮาโลวีนที่หายาก, เอฟเฟกต์การเดินท"&amp;"ัพ, ป้ายชื่อพิเศษ, และอื่น ๆ อีกมากมาย!
การชิงชัยแห่งแรงจิต: แต่งตัวเมืองของคุณในลักษณะพิเศษระหว่างงานเลี้ยงจิตวิญญาณ! ผู้เล่นจะถูกจัดเป็นสองทีมทุกวัน - ไปที่แผนที่เพื่อค้นหาเมืองที่มีลักษณะของคู่แข่งเพื่อทำคะแนนและรางวัลทีมในสิ้นวัน. พร้อมหรือไม่ ฉันกำลั"&amp;"งจะมา!
เหมืองผี: ระวังผี! ดำเนินการด้วยความระมัดระวัง. เล่นเลเวลขุดสมบัติใหม่ระหว่างกิจกรรมเพื่อรับรางวัลที่น่าทึ่ง!
การต่อรองกลางคืน: แชทและต่อรองกับผู้ขายฟักทองลึกลับระหว่างกิจกรรมเพื่อรับส่วนลดที่น่าทึ่ง!
&lt;/th&gt;
&lt;es-419&gt;
- Eventos de la Fiesta del Espír"&amp;"itu
Festival de los Sustos: ¡Usa los Tarros de Dulces para jugar, y gana toneladas de recursos y la oportunidad de obtener la apariencia especial de la ciudad de Halloween!
Truco o Trato: ¡Toc, toc! Ofrece tus Monedas de Calabaza a los vecinos para canjea"&amp;"r decoraciones de Halloween raras, efectos de marcha, placas especiales, ¡y más!
Enfrentamiento Fantasma: ¡Viste tu ciudad con apariencias especiales durante la Fiesta del Espíritu! Los jugadores se agrupan en dos equipos cada día - ve al mapa para encont"&amp;"rar ciudades con las apariencias del oponente para ganar puntos y recompensas de equipo al final del día. ¡Listo o no, aquí voy!
Mina Espeluznante: ¡Cuidado con los fantasmas! Continúa con precaución. Juega nuevos niveles de Búsqueda de Tesoros durante el"&amp;" evento para obtener recompensas increíbles!
Regateo de Medianoche: ¡Chatea y regatea con el misterioso Vendedor de Calabazas durante el evento para obtener descuentos increíbles!
&lt;/es-419&gt;
&lt;ru-RU&gt;
- События Вечера Духов
Фестиваль Ужасов: Используйте банк"&amp;"и с конфетами для игры и выиграйте тонны ресурсов и возможность получить специальный городской скин на Хэллоуин!
Шалость или сладость: Тук-тук! Предложите свои тыквенные монеты соседям, чтобы обменять их на редкие украшения на Хэллоуин, эффекты марша, спе"&amp;"циальные именные таблички и многое другое!
Фантомное противостояние: Украсьте свой город специальными образами во время Вечера Духов! Игроки каждый день разделяются на две команды - отправляйтесь на карту, чтобы найти города с образами соперников, чтобы з"&amp;"аработать очки и командные награды в конце дня. Готовы или нет, я иду!
Шахта Ужасов: Остерегайтесь призраков! Действуйте с осторожностью. Играйте на новых уровнях ""Поиск сокровищ"" во время события, чтобы получить удивительные награды!
Торг у полуночи: О"&amp;"бщайтесь и торгуйтесь с таинственным торговцем тыквами во время события, чтобы получить удивительные скидки!
&lt;/ru-RU&gt;
&lt;tr-TR&gt;
- Ruh Toplantısı Etkinlikleri
Korku Festivali: Şeker Kavanozlarını kullanarak oyna ve tonlarca kaynak ile özel Halloween şehir gö"&amp;"rünümü elde etme şansı kazan!
Şeker mi Şaka mı?: Tık tık! Bal Kabağı Paralarını komşularına teklif et ve nadir Halloween süslemeleri, sefer efektleri, özel tabelalar ve daha fazlasını elde et!
Hayalet Karşılaşma: Ruh Toplantısı sırasında şehrinizi özel gö"&amp;"rünümlerle süsleyin! Oyuncular her gün iki takıma ayrılır - rakibin görünümlerine sahip şehirleri bulmak için haritaya gidin ve günün sonunda puan ve takım ödülleri kazanın. Hazır olun ya da olmayın, işte geliyorum!
Hayalet Madeni: Hayaletlere dikkat et! "&amp;"Dikkatli bir şekilde devam et. Etkinlik sırasında yeni Hazine Kazı seviyelerini oyna ve harika ödüller kazan!
Gece Yarısı Pazarlık: Etkinlik sırasında gizemli Bal Kabağı Satıcısı ile sohbet edin ve harika indirimler elde edin!
&lt;/tr-TR&gt;
&lt;vi&gt;
- Sự kiện Tiệc"&amp;" Tùng Linh Hồn
Lễ hội Kinh Dị: Sử dụng Hũ Kẹo để chơi, và giành được hàng tấn tài nguyên và cơ hội nhận được skin thành phố Halloween đặc biệt!
Kẹo hay ghẹo: Ai ở nhà không! Đưa Xu Bí Ngô của bạn cho hàng xóm để đổi lấy đồ trang trí Halloween hiếm, hiệu ứ"&amp;"ng hành quân, thẻ tên đặc biệt, và nhiều hơn nữa!
Đối đầu Ma Quỷ: Trang trí thành phố của bạn với những hình dạng đặc biệt trong suốt Tiệc Tùng Linh Hồn! Người chơi được chia thành hai đội mỗi ngày - đi đến bản đồ để tìm các thành phố với hình dạng của đố"&amp;"i thủ để kiếm điểm và phần thưởng đội vào cuối ngày. Sẵn sàng hay không, tôi đến đây!
Mỏ Ma Quỷ: Hãy cẩn thận với những hồn ma! Tiến lên một cách thận trọng. Chơi các cấp độ Đào Kho Báu mới trong suốt sự kiện để nhận được phần thưởng tuyệt vời!
Mặc Cả Nửa"&amp;" Đêm: Trò chuyện và mặc cả với Người Bán Bí Ngô bí ẩn trong suốt sự kiện để nhận được những giảm giá tuyệt vời!
&lt;/vi&gt;
&lt;it-IT&gt;
- Eventi della Festa dello Spirito
Festival degli Spaventi: Usa i Barattoli di Caramelle per giocare e vinci tonnellate di risors"&amp;"e e la possibilità di ottenere la speciale skin della città di Halloween!
Dolcetto o Scherzetto: Knock knock! Offri le tue Monete Zucca ai vicini per riscattare rare decorazioni di Halloween, effetti di marcia, targhette speciali e altro!
Scontro Fantasma"&amp;": Vesti la tua città con aspetti speciali durante la Festa dello Spirito! I giocatori vengono raggruppati in due squadre ogni giorno - vai alla mappa per trovare città con le apparenze dell'avversario per guadagnare punti e ricompense di squadra alla fine"&amp;" della giornata. Pronto o no, ecco che arrivo!
Miniera Spaventosa: Attenzione ai fantasmi! Procedi con cautela. Gioca a nuovi livelli di Scavo del Tesoro durante l'evento per ottenere ricompense sorprendenti!
Contrattazione a Mezzanotte: Chatta e contratt"&amp;"a con il misterioso Venditore di Zucche durante l'evento per ottenere sconti sorprendenti!
&lt;/it-IT&gt;
&lt;pl-PL&gt;
- Wydarzenia Soiree Ducha
Festiwal Strachów: Użyj Słoików na cukierki, aby grać i wygrać mnóstwo zasobów oraz szansę na zdobycie specjalnej skórki "&amp;"miasta na Halloween!
Cukierek albo Psikus: Knock knock! Zaoferuj swoje Monety dyniowe sąsiadom, aby wymienić je na rzadkie dekoracje Halloween, efekty marszu, specjalne dymki i więcej!
Phantom Showdown: Przyodziej swoje miasto w specjalne stroje podczas S"&amp;"oiree Ducha! Gracze są grupowani w dwie drużyny każdego dnia - idź na mapę, aby znaleźć miasta z wyglądem przeciwnika, aby zdobyć punkty i nagrody drużynowe na koniec dnia. Gotowy czy nie, nadchodzę!
Spook Mine: Uważaj na duchy! Postępuj ostrożnie. Graj w"&amp;" nowe poziomy Treasure Dig podczas wydarzenia, aby zdobyć niesamowite nagrody!
Targowanie o Północy: Czatuj i targuj się z tajemniczym Sprzedawcą Dyni podczas wydarzenia, aby uzyskać niesamowite zniżki!
&lt;/pl-PL&gt;
&lt;ar&gt;
- أحداث حفلة الروح
مهرجان الرعب: استخد"&amp;"م برطمانات الحلوى للعب، واربح الكثير من الموارد وفرصة للحصول على جلد المدينة الخاص بالهالوين!
خدعة أم حلوى: Knock knock! قدم عملات اليقطين الخاصة بك للجيران لاستبدال الديكورات النادرة للهالوين، تأثيرات المسيرة، لوحات الأسماء الخاصة، والمزيد!
مواجهة الشبح:"&amp;" زين مدينتك بمظاهر خاصة خلال حفلة الروح! يتم تجميع اللاعبين في فريقين كل يوم - اذهب إلى الخريطة للعثور على المدن التي تحمل مظاهر الخصم لكسب النقاط وجوائز الفريق في نهاية اليوم. جاهز أم لا، ها أنا آتي!
منجم الرعب: احذر من الأشباح! تقدم بحذر. العب مستويات ح"&amp;"فر الكنز الجديدة خلال الحدث للحصول على مكافآت مدهشة!
المساومة منتصف الليل: دردش وتفاوض مع بائع اليقطين الغامض خلال الحدث للحصول على خصومات مدهشة!
&lt;/ar&gt;
&lt;jp&gt;
- スピリットソワレイベント
恐怖の祭り：キャンディジャーを使用してプレイし、大量のリソースと特別なハロウィン都市スキンを手に入れるチャンスを勝ち取りましょう！
トリック・オア・トリート：ノックノ"&amp;"ック！パンプキンコインを近所の人に提供して、レアなハロウィンの装飾品、行軍エフェクト、特別なネームプレートなどを引き換えましょう！
ファントムショーダウン：スピリットソワレ期間中に都市を特別な外観で飾りましょう！プレイヤーは毎日2つのチームに分けられます - マップに行って、敵の外観を持つ都市を見つけてポイントを獲得し、一日の終わりにチーム報酬を得ましょう。準備ができているかどうか、ここに来ます！
スプークマイン：幽霊に注意してください！慎重に進んでください。イベント期間中に新しい地底の宝探しレベルをプレ"&amp;"イして、素晴らしい報酬を手に入れましょう！
真夜中の交渉：イベント期間中に神秘的なパンプキンベンダーとチャットして交渉し、驚くほどの割引を手に入れましょう！
&lt;/jp&gt;
&lt;kr&gt;
- 정신의 소셜 파티 이벤트
공포의 축제: 캔디 항아리를 사용하여 게임을 즐기고, 대량의 자원과 특별한 할로윈 도시 스킨을 얻을 기회를 잡으세요!
트릭 오어 트릿: 똑똑! 당신의 호박 동전을 이웃에게 제공하여 희귀한 할로윈 장식, 행군 이펙트, 특별한 명패 등을 교환하세요!
팬텀 대결: 정신의 "&amp;"소셜 파티 동안 당신의 도시를 특별한 외관으로 꾸미세요! 매일 플레이어들은 두 팀으로 나뉘며 - 지도로 가서 상대 팀의 외관을 가진 도시를 찾아 점수를 얻고 하루가 끝날 때 팀 보상을 받으세요. 준비가 되었든, 되지 않았든, 나가서 찾아보세요!
스푸크 광산: 유령을 조심하세요! 주의해서 진행하십시오. 이벤트 기간 동안 새로운 보물찾기 레벨을 플레이하여 놀라운 보상을 받으세요!
자정의 흥정: 이벤트 기간 동안 신비한 호박 상인과 채팅하고 흥정하여 놀라운 "&amp;"할인 혜택을 받으세요!
&lt;/kr&gt;
")</f>
        <v>&lt;en-US&gt;
- Spirit Soiree Events
Festival of Frights: Use Candy Jars to play, and win tons of resources and a chance to get the special Halloween city skin!
Trick or Treat: Knock knock! Offer your Pumpkin Coins to the neighbors to redeem rare Halloween decorations, march effects, special nameplates, and more!
Phantom Showdown: Dress up your city in special appearances during Spirit Soiree! Players are grouped into two teams every day - go to the map to find cities with the opponent's appearances to earn points and team rewards at the end of the day. Ready or not, here I come!
Spook Mine: Beware of ghosts! Proceed with caution. Play new Treasure Dig levels during the event to get amazing rewards!
Midnight Haggling: Chat and bargain with the mysterious Pumpkin Vendor during the event to get amazing discounts!
&lt;/en-US&gt;
&lt;fr-FR&gt;
- Événements de la Soirée de l'Esprit
Festival des Frissons: Utilisez des Pots à bonbons pour jouer, et gagnez des tonnes de ressources et une chance d'obtenir la peau spéciale de la ville d'Halloween!
Farce ou Friandise: Toc Toc! Offrez vos Pièces Citrouille aux voisins pour échanger contre des décorations d'Halloween rares, des effets de déplacement, des plaques spéciales, et plus encore!
Phantom Showdown: Habillez votre ville avec des apparences spéciales pendant la Soirée de l'Esprit! Les joueurs sont regroupés en deux équipes chaque jour - allez sur la carte pour trouver des villes avec les apparences de l'adversaire pour gagner des points et des récompenses d'équipe à la fin de la journée. Prêt ou pas, me voici!
Mine Hantée: Attention aux fantômes! Avancez avec prudence. Jouez à de nouveaux niveaux de Fouille de Trésor pendant l'événement pour obtenir des récompenses incroyables!
Marchandage de Minuit: Discutez et marchandez avec le mystérieux Vendeur de Citrouilles pendant l'événement pour obtenir des réductions incroyables!
&lt;/fr-FR&gt;
&lt;de-DE&gt;
- Geister-Soiree Events
Festival der Schrecken: Benutze Bonbongläser zum Spielen und gewinne jede Menge Ressourcen und die Chance, die spezielle Halloween-Stadt-Skin zu bekommen!
Süßes oder Saures: Klopf klopf! Biete deine Kürbismünzen den Nachbarn an, um seltene Halloween-Dekorationen, Marscheffekte, spezielle Namensschilder und mehr einzulösen!
Phantom Showdown: Kleide deine Stadt während der Geister-Soiree in speziellen Auftritten! Spieler werden jeden Tag in zwei Teams eingeteilt - gehe zur Karte, um Städte mit den Auftritten des Gegners zu finden, um Punkte und Team-Belohnungen am Ende des Tages zu verdienen. Bereit oder nicht, hier komme ich!
Spuk-Mine: Vorsicht vor Geistern! Geh mit Vorsicht vor. Spiele neue Schatzgrab-Level während des Events, um erstaunliche Belohnungen zu bekommen!
Mitternächtliches Feilschen: Chatte und handele mit dem geheimnisvollen Kürbisverkäufer während des Events, um erstaunliche Rabatte zu bekommen!
&lt;/de-DE&gt;
&lt;pt-BR&gt;
- Eventos Soirée Espiritual
Festival dos Sustos: Use Potes de Doces para jogar e ganhe toneladas de recursos e a chance de obter a skin especial da cidade do Halloween!
Travessuras ou Gostosuras: Toc toc! Ofereça suas Moedas de Abóbora aos vizinhos para resgatar decorações raras de Halloween, efeitos de marcha, tabuletas especiais e muito mais!
Confronto Fantasma: Vista sua cidade com aparências especiais durante o Soirée Espiritual! Os jogadores são agrupados em duas equipes todos os dias - vá ao mapa para encontrar cidades com as aparências do oponente para ganhar pontos e recompensas da equipe no final do dia. Pronto ou não, lá vou eu!
Mina Assustadora: Cuidado com os fantasmas! Prossiga com cautela. Jogue novos níveis de Escavação do Tesouro durante o evento para obter recompensas incríveis!
Pechincha da Meia-Noite: Bata-papo e pechinche com o misterioso Vendedor de Abóboras durante o evento para obter descontos incríveis!
&lt;/pt-BR&gt;
&lt;zh-HK&gt;
- 新增祖靈節活動：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魅影對決：祖靈節期間，主城將可以裝飾神秘“驚奇外觀”，每日玩家分為兩個陣營，前往大地圖找到已僞裝的敵方陣營玩家主城，即可獲取積分獎勵和結算後的陣營獎勵。你藏我猜，快來參與！
暗夜礦場：幽靈出沒，小心施工！祖靈節期間參與全新地下探寶活動關卡，可獲得豐厚的獎勵！
午夜討價還價：祖靈節期間，琢磨不透的南瓜商人將會現身，你可以與其直接對話，大膽砍價！還有可能拿到超低折扣哦！
&lt;/zh-HK&gt;
&lt;zh-TW&gt;
- 新增祖靈節活動：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魅影對決：祖靈節期間，主城將可以裝飾神秘“驚奇外觀”，每日玩家分為兩個陣營，前往大地圖找到已僞裝的敵方陣營玩家主城，即可獲取積分獎勵和結算後的陣營獎勵。你藏我猜，快來參與！
暗夜礦場：幽靈出沒，小心施工！祖靈節期間參與全新地下探寶活動關卡，可獲得豐厚的獎勵！
午夜討價還價：祖靈節期間，琢磨不透的南瓜商人將會現身，你可以與其直接對話，大膽砍價！還有可能拿到超低折扣哦！
&lt;/zh-TW&gt;
&lt;id&gt;
- Event Pesta Semangat
Festival Ketakutan: Gunakan Toples Permen untuk bermain, dan menangkan ton sumber daya dan kesempatan untuk mendapatkan skin kota Halloween khusus!
Trick or Treat: Ketuk pintu! Tawarkan Koin Labu Anda kepada tetangga untuk menukarkan dekorasi Halloween langka, efek berbaris, papan nama khusus, dan lainnya!
Pertunjukan Hantu: Hiasi kota Anda dengan penampilan khusus selama Pesta Semangat! Pemain dikelompokkan menjadi dua tim setiap hari - pergi ke peta untuk menemukan kota dengan penampilan lawan untuk mendapatkan poin dan hadiah tim di akhir hari. Siap atau tidak, aku datang!
Tambang Hantu: Waspada terhadap hantu! Maju dengan hati-hati. Mainkan level Gali Harta Karun baru selama event untuk mendapatkan hadiah yang luar biasa!
Tawar-Menawar Tengah Malam: Obrolan dan tawar-menawar dengan Penjual Labu misterius selama event untuk mendapatkan diskon yang luar biasa!
&lt;/id&gt;
&lt;th&gt;
- งานเลี้ยงจิตวิญญาณ
เทศกาลแห่งความหวาดกลัว: ใช้กระปุกลูกอมเพื่อเล่น, และชนะทรัพยากรมากมายและมีโอกาสได้รับสกินเมืองฮาโลวีนพิเศษ!
ทริกออร์ทรีต: ก๊อก ก๊อก! นำเหรียญฟักทองของคุณไปให้เพื่อนบ้านเพื่อแลกเปลี่ยนการตกแต่งฮาโลวีนที่หายาก, เอฟเฟกต์การเดินทัพ, ป้ายชื่อพิเศษ, และอื่น ๆ อีกมากมาย!
การชิงชัยแห่งแรงจิต: แต่งตัวเมืองของคุณในลักษณะพิเศษระหว่างงานเลี้ยงจิตวิญญาณ! ผู้เล่นจะถูกจัดเป็นสองทีมทุกวัน - ไปที่แผนที่เพื่อค้นหาเมืองที่มีลักษณะของคู่แข่งเพื่อทำคะแนนและรางวัลทีมในสิ้นวัน. พร้อมหรือไม่ ฉันกำลังจะมา!
เหมืองผี: ระวังผี! ดำเนินการด้วยความระมัดระวัง. เล่นเลเวลขุดสมบัติใหม่ระหว่างกิจกรรมเพื่อรับรางวัลที่น่าทึ่ง!
การต่อรองกลางคืน: แชทและต่อรองกับผู้ขายฟักทองลึกลับระหว่างกิจกรรมเพื่อรับส่วนลดที่น่าทึ่ง!
&lt;/th&gt;
&lt;es-419&gt;
- Eventos de la Fiesta del Espíritu
Festival de los Sustos: ¡Usa los Tarros de Dulces para jugar, y gana toneladas de recursos y la oportunidad de obtener la apariencia especial de la ciudad de Halloween!
Truco o Trato: ¡Toc, toc! Ofrece tus Monedas de Calabaza a los vecinos para canjear decoraciones de Halloween raras, efectos de marcha, placas especiales, ¡y más!
Enfrentamiento Fantasma: ¡Viste tu ciudad con apariencias especiales durante la Fiesta del Espíritu! Los jugadores se agrupan en dos equipos cada día - ve al mapa para encontrar ciudades con las apariencias del oponente para ganar puntos y recompensas de equipo al final del día. ¡Listo o no, aquí voy!
Mina Espeluznante: ¡Cuidado con los fantasmas! Continúa con precaución. Juega nuevos niveles de Búsqueda de Tesoros durante el evento para obtener recompensas increíbles!
Regateo de Medianoche: ¡Chatea y regatea con el misterioso Vendedor de Calabazas durante el evento para obtener descuentos increíbles!
&lt;/es-419&gt;
&lt;ru-RU&gt;
- События Вечера Духов
Фестиваль Ужасов: Используйте банки с конфетами для игры и выиграйте тонны ресурсов и возможность получить специальный городской скин на Хэллоуин!
Шалость или сладость: Тук-тук! Предложите свои тыквенные монеты соседям, чтобы обменять их на редкие украшения на Хэллоуин, эффекты марша, специальные именные таблички и многое другое!
Фантомное противостояние: Украсьте свой город специальными образами во время Вечера Духов! Игроки каждый день разделяются на две команды - отправляйтесь на карту, чтобы найти города с образами соперников, чтобы заработать очки и командные награды в конце дня. Готовы или нет, я иду!
Шахта Ужасов: Остерегайтесь призраков! Действуйте с осторожностью. Играйте на новых уровнях "Поиск сокровищ" во время события, чтобы получить удивительные награды!
Торг у полуночи: Общайтесь и торгуйтесь с таинственным торговцем тыквами во время события, чтобы получить удивительные скидки!
&lt;/ru-RU&gt;
&lt;tr-TR&gt;
- Ruh Toplantısı Etkinlikleri
Korku Festivali: Şeker Kavanozlarını kullanarak oyna ve tonlarca kaynak ile özel Halloween şehir görünümü elde etme şansı kazan!
Şeker mi Şaka mı?: Tık tık! Bal Kabağı Paralarını komşularına teklif et ve nadir Halloween süslemeleri, sefer efektleri, özel tabelalar ve daha fazlasını elde et!
Hayalet Karşılaşma: Ruh Toplantısı sırasında şehrinizi özel görünümlerle süsleyin! Oyuncular her gün iki takıma ayrılır - rakibin görünümlerine sahip şehirleri bulmak için haritaya gidin ve günün sonunda puan ve takım ödülleri kazanın. Hazır olun ya da olmayın, işte geliyorum!
Hayalet Madeni: Hayaletlere dikkat et! Dikkatli bir şekilde devam et. Etkinlik sırasında yeni Hazine Kazı seviyelerini oyna ve harika ödüller kazan!
Gece Yarısı Pazarlık: Etkinlik sırasında gizemli Bal Kabağı Satıcısı ile sohbet edin ve harika indirimler elde edin!
&lt;/tr-TR&gt;
&lt;vi&gt;
- Sự kiện Tiệc Tùng Linh Hồn
Lễ hội Kinh Dị: Sử dụng Hũ Kẹo để chơi, và giành được hàng tấn tài nguyên và cơ hội nhận được skin thành phố Halloween đặc biệt!
Kẹo hay ghẹo: Ai ở nhà không! Đưa Xu Bí Ngô của bạn cho hàng xóm để đổi lấy đồ trang trí Halloween hiếm, hiệu ứng hành quân, thẻ tên đặc biệt, và nhiều hơn nữa!
Đối đầu Ma Quỷ: Trang trí thành phố của bạn với những hình dạng đặc biệt trong suốt Tiệc Tùng Linh Hồn! Người chơi được chia thành hai đội mỗi ngày - đi đến bản đồ để tìm các thành phố với hình dạng của đối thủ để kiếm điểm và phần thưởng đội vào cuối ngày. Sẵn sàng hay không, tôi đến đây!
Mỏ Ma Quỷ: Hãy cẩn thận với những hồn ma! Tiến lên một cách thận trọng. Chơi các cấp độ Đào Kho Báu mới trong suốt sự kiện để nhận được phần thưởng tuyệt vời!
Mặc Cả Nửa Đêm: Trò chuyện và mặc cả với Người Bán Bí Ngô bí ẩn trong suốt sự kiện để nhận được những giảm giá tuyệt vời!
&lt;/vi&gt;
&lt;it-IT&gt;
- Eventi della Festa dello Spirito
Festival degli Spaventi: Usa i Barattoli di Caramelle per giocare e vinci tonnellate di risorse e la possibilità di ottenere la speciale skin della città di Halloween!
Dolcetto o Scherzetto: Knock knock! Offri le tue Monete Zucca ai vicini per riscattare rare decorazioni di Halloween, effetti di marcia, targhette speciali e altro!
Scontro Fantasma: Vesti la tua città con aspetti speciali durante la Festa dello Spirito! I giocatori vengono raggruppati in due squadre ogni giorno - vai alla mappa per trovare città con le apparenze dell'avversario per guadagnare punti e ricompense di squadra alla fine della giornata. Pronto o no, ecco che arrivo!
Miniera Spaventosa: Attenzione ai fantasmi! Procedi con cautela. Gioca a nuovi livelli di Scavo del Tesoro durante l'evento per ottenere ricompense sorprendenti!
Contrattazione a Mezzanotte: Chatta e contratta con il misterioso Venditore di Zucche durante l'evento per ottenere sconti sorprendenti!
&lt;/it-IT&gt;
&lt;pl-PL&gt;
- Wydarzenia Soiree Ducha
Festiwal Strachów: Użyj Słoików na cukierki, aby grać i wygrać mnóstwo zasobów oraz szansę na zdobycie specjalnej skórki miasta na Halloween!
Cukierek albo Psikus: Knock knock! Zaoferuj swoje Monety dyniowe sąsiadom, aby wymienić je na rzadkie dekoracje Halloween, efekty marszu, specjalne dymki i więcej!
Phantom Showdown: Przyodziej swoje miasto w specjalne stroje podczas Soiree Ducha! Gracze są grupowani w dwie drużyny każdego dnia - idź na mapę, aby znaleźć miasta z wyglądem przeciwnika, aby zdobyć punkty i nagrody drużynowe na koniec dnia. Gotowy czy nie, nadchodzę!
Spook Mine: Uważaj na duchy! Postępuj ostrożnie. Graj w nowe poziomy Treasure Dig podczas wydarzenia, aby zdobyć niesamowite nagrody!
Targowanie o Północy: Czatuj i targuj się z tajemniczym Sprzedawcą Dyni podczas wydarzenia, aby uzyskać niesamowite zniżki!
&lt;/pl-PL&gt;
&lt;ar&gt;
- أحداث حفلة الروح
مهرجان الرعب: استخدم برطمانات الحلوى للعب، واربح الكثير من الموارد وفرصة للحصول على جلد المدينة الخاص بالهالوين!
خدعة أم حلوى: Knock knock! قدم عملات اليقطين الخاصة بك للجيران لاستبدال الديكورات النادرة للهالوين، تأثيرات المسيرة، لوحات الأسماء الخاصة، والمزيد!
مواجهة الشبح: زين مدينتك بمظاهر خاصة خلال حفلة الروح! يتم تجميع اللاعبين في فريقين كل يوم - اذهب إلى الخريطة للعثور على المدن التي تحمل مظاهر الخصم لكسب النقاط وجوائز الفريق في نهاية اليوم. جاهز أم لا، ها أنا آتي!
منجم الرعب: احذر من الأشباح! تقدم بحذر. العب مستويات حفر الكنز الجديدة خلال الحدث للحصول على مكافآت مدهشة!
المساومة منتصف الليل: دردش وتفاوض مع بائع اليقطين الغامض خلال الحدث للحصول على خصومات مدهشة!
&lt;/ar&gt;
&lt;jp&gt;
- スピリットソワレイベント
恐怖の祭り：キャンディジャーを使用してプレイし、大量のリソースと特別なハロウィン都市スキンを手に入れるチャンスを勝ち取りましょう！
トリック・オア・トリート：ノックノック！パンプキンコインを近所の人に提供して、レアなハロウィンの装飾品、行軍エフェクト、特別なネームプレートなどを引き換えましょう！
ファントムショーダウン：スピリットソワレ期間中に都市を特別な外観で飾りましょう！プレイヤーは毎日2つのチームに分けられます - マップに行って、敵の外観を持つ都市を見つけてポイントを獲得し、一日の終わりにチーム報酬を得ましょう。準備ができているかどうか、ここに来ます！
スプークマイン：幽霊に注意してください！慎重に進んでください。イベント期間中に新しい地底の宝探しレベルをプレイして、素晴らしい報酬を手に入れましょう！
真夜中の交渉：イベント期間中に神秘的なパンプキンベンダーとチャットして交渉し、驚くほどの割引を手に入れましょう！
&lt;/jp&gt;
&lt;kr&gt;
- 정신의 소셜 파티 이벤트
공포의 축제: 캔디 항아리를 사용하여 게임을 즐기고, 대량의 자원과 특별한 할로윈 도시 스킨을 얻을 기회를 잡으세요!
트릭 오어 트릿: 똑똑! 당신의 호박 동전을 이웃에게 제공하여 희귀한 할로윈 장식, 행군 이펙트, 특별한 명패 등을 교환하세요!
팬텀 대결: 정신의 소셜 파티 동안 당신의 도시를 특별한 외관으로 꾸미세요! 매일 플레이어들은 두 팀으로 나뉘며 - 지도로 가서 상대 팀의 외관을 가진 도시를 찾아 점수를 얻고 하루가 끝날 때 팀 보상을 받으세요. 준비가 되었든, 되지 않았든, 나가서 찾아보세요!
스푸크 광산: 유령을 조심하세요! 주의해서 진행하십시오. 이벤트 기간 동안 새로운 보물찾기 레벨을 플레이하여 놀라운 보상을 받으세요!
자정의 흥정: 이벤트 기간 동안 신비한 호박 상인과 채팅하고 흥정하여 놀라운 할인 혜택을 받으세요!
&lt;/kr&gt;
</v>
      </c>
      <c r="C66" s="44" t="str">
        <f>IFERROR(__xludf.DUMMYFUNCTION("""COMPUTED_VALUE"""),"-新增祖灵节活动：
惊奇派对：消耗一定数量的糖果罐入场派对，大量资源等你来拿，还有机会获得万圣节主题基地皮肤！
不给糖就捣蛋：快去其他猴子家敲敲门，拿出珍贵的南瓜币给大家，就可以兑换稀有的万圣节装饰物、行军特效、纪念铭牌等奖励哦！
魅影对决：祖灵节期间，主城将可以装扮神秘“惊奇外观”，每日玩家分为两个阵营，前往大地图找到已伪装的敌对阵营玩家主城，即可获得积分奖励和结算后的阵营奖励。你藏我猜，快来参与！
暗夜矿场：幽灵出没，小心施工！祖灵节期间参与全新地下探宝活动关卡，可获得丰厚的奖励！
[此条仅国际服！]"&amp;"午夜讨价还价：祖灵节期间，琢磨不透的南瓜商人将会现身，你可以与其直接对话，大胆砍价！还有可能拿到超低折扣哦！")</f>
        <v>-新增祖灵节活动：
惊奇派对：消耗一定数量的糖果罐入场派对，大量资源等你来拿，还有机会获得万圣节主题基地皮肤！
不给糖就捣蛋：快去其他猴子家敲敲门，拿出珍贵的南瓜币给大家，就可以兑换稀有的万圣节装饰物、行军特效、纪念铭牌等奖励哦！
魅影对决：祖灵节期间，主城将可以装扮神秘“惊奇外观”，每日玩家分为两个阵营，前往大地图找到已伪装的敌对阵营玩家主城，即可获得积分奖励和结算后的阵营奖励。你藏我猜，快来参与！
暗夜矿场：幽灵出没，小心施工！祖灵节期间参与全新地下探宝活动关卡，可获得丰厚的奖励！
[此条仅国际服！]午夜讨价还价：祖灵节期间，琢磨不透的南瓜商人将会现身，你可以与其直接对话，大胆砍价！还有可能拿到超低折扣哦！</v>
      </c>
      <c r="D66" s="159" t="str">
        <f>IFERROR(__xludf.DUMMYFUNCTION("""COMPUTED_VALUE"""),"- Spirit Soiree Events
Festival of Frights: Use Candy Jars to play, and win tons of resources and a chance to get the special Halloween city skin!
Trick or Treat: Knock knock! Offer your Pumpkin Coins to the neighbors to redeem rare Halloween decorations,"&amp;" march effects, special nameplates, and more!
Phantom Showdown: Dress up your city in special appearances during Spirit Soiree! Players are grouped into two teams every day - go to the map to find cities with the opponent's appearances to earn points and "&amp;"team rewards at the end of the day. Ready or not, here I come!
Spook Mine: Beware of ghosts! Proceed with caution. Play new Treasure Dig levels during the event to get amazing rewards!
Midnight Haggling: Chat and bargain with the mysterious Pumpkin Vendor"&amp;" during the event to get amazing discounts!")</f>
        <v>- Spirit Soiree Events
Festival of Frights: Use Candy Jars to play, and win tons of resources and a chance to get the special Halloween city skin!
Trick or Treat: Knock knock! Offer your Pumpkin Coins to the neighbors to redeem rare Halloween decorations, march effects, special nameplates, and more!
Phantom Showdown: Dress up your city in special appearances during Spirit Soiree! Players are grouped into two teams every day - go to the map to find cities with the opponent's appearances to earn points and team rewards at the end of the day. Ready or not, here I come!
Spook Mine: Beware of ghosts! Proceed with caution. Play new Treasure Dig levels during the event to get amazing rewards!
Midnight Haggling: Chat and bargain with the mysterious Pumpkin Vendor during the event to get amazing discounts!</v>
      </c>
      <c r="E66" s="159" t="str">
        <f>IFERROR(__xludf.DUMMYFUNCTION("""COMPUTED_VALUE"""),"- Événements de la Soirée de l'Esprit
Festival des Frissons: Utilisez des Pots à bonbons pour jouer, et gagnez des tonnes de ressources et une chance d'obtenir la peau spéciale de la ville d'Halloween!
Farce ou Friandise: Toc Toc! Offrez vos Pièces Citrou"&amp;"ille aux voisins pour échanger contre des décorations d'Halloween rares, des effets de déplacement, des plaques spéciales, et plus encore!
Phantom Showdown: Habillez votre ville avec des apparences spéciales pendant la Soirée de l'Esprit! Les joueurs sont"&amp;" regroupés en deux équipes chaque jour - allez sur la carte pour trouver des villes avec les apparences de l'adversaire pour gagner des points et des récompenses d'équipe à la fin de la journée. Prêt ou pas, me voici!
Mine Hantée: Attention aux fantômes! "&amp;"Avancez avec prudence. Jouez à de nouveaux niveaux de Fouille de Trésor pendant l'événement pour obtenir des récompenses incroyables!
Marchandage de Minuit: Discutez et marchandez avec le mystérieux Vendeur de Citrouilles pendant l'événement pour obtenir "&amp;"des réductions incroyables!")</f>
        <v>- Événements de la Soirée de l'Esprit
Festival des Frissons: Utilisez des Pots à bonbons pour jouer, et gagnez des tonnes de ressources et une chance d'obtenir la peau spéciale de la ville d'Halloween!
Farce ou Friandise: Toc Toc! Offrez vos Pièces Citrouille aux voisins pour échanger contre des décorations d'Halloween rares, des effets de déplacement, des plaques spéciales, et plus encore!
Phantom Showdown: Habillez votre ville avec des apparences spéciales pendant la Soirée de l'Esprit! Les joueurs sont regroupés en deux équipes chaque jour - allez sur la carte pour trouver des villes avec les apparences de l'adversaire pour gagner des points et des récompenses d'équipe à la fin de la journée. Prêt ou pas, me voici!
Mine Hantée: Attention aux fantômes! Avancez avec prudence. Jouez à de nouveaux niveaux de Fouille de Trésor pendant l'événement pour obtenir des récompenses incroyables!
Marchandage de Minuit: Discutez et marchandez avec le mystérieux Vendeur de Citrouilles pendant l'événement pour obtenir des réductions incroyables!</v>
      </c>
      <c r="F66" s="159" t="str">
        <f>IFERROR(__xludf.DUMMYFUNCTION("""COMPUTED_VALUE"""),"- Geister-Soiree Events
Festival der Schrecken: Benutze Bonbongläser zum Spielen und gewinne jede Menge Ressourcen und die Chance, die spezielle Halloween-Stadt-Skin zu bekommen!
Süßes oder Saures: Klopf klopf! Biete deine Kürbismünzen den Nachbarn an, um"&amp;" seltene Halloween-Dekorationen, Marscheffekte, spezielle Namensschilder und mehr einzulösen!
Phantom Showdown: Kleide deine Stadt während der Geister-Soiree in speziellen Auftritten! Spieler werden jeden Tag in zwei Teams eingeteilt - gehe zur Karte, um "&amp;"Städte mit den Auftritten des Gegners zu finden, um Punkte und Team-Belohnungen am Ende des Tages zu verdienen. Bereit oder nicht, hier komme ich!
Spuk-Mine: Vorsicht vor Geistern! Geh mit Vorsicht vor. Spiele neue Schatzgrab-Level während des Events, um "&amp;"erstaunliche Belohnungen zu bekommen!
Mitternächtliches Feilschen: Chatte und handele mit dem geheimnisvollen Kürbisverkäufer während des Events, um erstaunliche Rabatte zu bekommen!")</f>
        <v>- Geister-Soiree Events
Festival der Schrecken: Benutze Bonbongläser zum Spielen und gewinne jede Menge Ressourcen und die Chance, die spezielle Halloween-Stadt-Skin zu bekommen!
Süßes oder Saures: Klopf klopf! Biete deine Kürbismünzen den Nachbarn an, um seltene Halloween-Dekorationen, Marscheffekte, spezielle Namensschilder und mehr einzulösen!
Phantom Showdown: Kleide deine Stadt während der Geister-Soiree in speziellen Auftritten! Spieler werden jeden Tag in zwei Teams eingeteilt - gehe zur Karte, um Städte mit den Auftritten des Gegners zu finden, um Punkte und Team-Belohnungen am Ende des Tages zu verdienen. Bereit oder nicht, hier komme ich!
Spuk-Mine: Vorsicht vor Geistern! Geh mit Vorsicht vor. Spiele neue Schatzgrab-Level während des Events, um erstaunliche Belohnungen zu bekommen!
Mitternächtliches Feilschen: Chatte und handele mit dem geheimnisvollen Kürbisverkäufer während des Events, um erstaunliche Rabatte zu bekommen!</v>
      </c>
      <c r="G66" s="159" t="str">
        <f>IFERROR(__xludf.DUMMYFUNCTION("""COMPUTED_VALUE"""),"- Eventos Soirée Espiritual
Festival dos Sustos: Use Potes de Doces para jogar e ganhe toneladas de recursos e a chance de obter a skin especial da cidade do Halloween!
Travessuras ou Gostosuras: Toc toc! Ofereça suas Moedas de Abóbora aos vizinhos para r"&amp;"esgatar decorações raras de Halloween, efeitos de marcha, tabuletas especiais e muito mais!
Confronto Fantasma: Vista sua cidade com aparências especiais durante o Soirée Espiritual! Os jogadores são agrupados em duas equipes todos os dias - vá ao mapa pa"&amp;"ra encontrar cidades com as aparências do oponente para ganhar pontos e recompensas da equipe no final do dia. Pronto ou não, lá vou eu!
Mina Assustadora: Cuidado com os fantasmas! Prossiga com cautela. Jogue novos níveis de Escavação do Tesouro durante o"&amp;" evento para obter recompensas incríveis!
Pechincha da Meia-Noite: Bata-papo e pechinche com o misterioso Vendedor de Abóboras durante o evento para obter descontos incríveis!")</f>
        <v>- Eventos Soirée Espiritual
Festival dos Sustos: Use Potes de Doces para jogar e ganhe toneladas de recursos e a chance de obter a skin especial da cidade do Halloween!
Travessuras ou Gostosuras: Toc toc! Ofereça suas Moedas de Abóbora aos vizinhos para resgatar decorações raras de Halloween, efeitos de marcha, tabuletas especiais e muito mais!
Confronto Fantasma: Vista sua cidade com aparências especiais durante o Soirée Espiritual! Os jogadores são agrupados em duas equipes todos os dias - vá ao mapa para encontrar cidades com as aparências do oponente para ganhar pontos e recompensas da equipe no final do dia. Pronto ou não, lá vou eu!
Mina Assustadora: Cuidado com os fantasmas! Prossiga com cautela. Jogue novos níveis de Escavação do Tesouro durante o evento para obter recompensas incríveis!
Pechincha da Meia-Noite: Bata-papo e pechinche com o misterioso Vendedor de Abóboras durante o evento para obter descontos incríveis!</v>
      </c>
      <c r="H66" s="159" t="str">
        <f>IFERROR(__xludf.DUMMYFUNCTION("""COMPUTED_VALUE"""),"- 新增祖靈節活動：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魅影對決：祖靈節期間，主城將可以裝飾神秘“驚奇外觀”，每日玩家分為兩個陣營，前往大地圖找到已僞裝的敵方陣營玩家主城，即可獲取積分獎勵和結算後的陣營獎勵。你藏我猜，快來參與！
暗夜礦場：幽靈出沒，小心施工！祖靈節期間參與全新地下探寶活動關卡，可獲得豐厚的獎勵！
午夜討價還價：祖靈"&amp;"節期間，琢磨不透的南瓜商人將會現身，你可以與其直接對話，大膽砍價！還有可能拿到超低折扣哦！")</f>
        <v>- 新增祖靈節活動：
驚奇派對：費用一定數量的糖果罐入場派對，大量資源等你來拿，還有機會取得萬聖節主題基地皮膚！
不給糖就搗蛋：快去其他猴子家敲敲門，拿出珍貴的南瓜幣給大家，就可以交換稀有的萬聖節裝飾、行軍特效、紀念銘牌等獎勵哦！
魅影對決：祖靈節期間，主城將可以裝飾神秘“驚奇外觀”，每日玩家分為兩個陣營，前往大地圖找到已僞裝的敵方陣營玩家主城，即可獲取積分獎勵和結算後的陣營獎勵。你藏我猜，快來參與！
暗夜礦場：幽靈出沒，小心施工！祖靈節期間參與全新地下探寶活動關卡，可獲得豐厚的獎勵！
午夜討價還價：祖靈節期間，琢磨不透的南瓜商人將會現身，你可以與其直接對話，大膽砍價！還有可能拿到超低折扣哦！</v>
      </c>
      <c r="I66" s="159" t="str">
        <f>IFERROR(__xludf.DUMMYFUNCTION("""COMPUTED_VALUE"""),"- Event Pesta Semangat
Festival Ketakutan: Gunakan Toples Permen untuk bermain, dan menangkan ton sumber daya dan kesempatan untuk mendapatkan skin kota Halloween khusus!
Trick or Treat: Ketuk pintu! Tawarkan Koin Labu Anda kepada tetangga untuk menukarka"&amp;"n dekorasi Halloween langka, efek berbaris, papan nama khusus, dan lainnya!
Pertunjukan Hantu: Hiasi kota Anda dengan penampilan khusus selama Pesta Semangat! Pemain dikelompokkan menjadi dua tim setiap hari - pergi ke peta untuk menemukan kota dengan pen"&amp;"ampilan lawan untuk mendapatkan poin dan hadiah tim di akhir hari. Siap atau tidak, aku datang!
Tambang Hantu: Waspada terhadap hantu! Maju dengan hati-hati. Mainkan level Gali Harta Karun baru selama event untuk mendapatkan hadiah yang luar biasa!
Tawar-"&amp;"Menawar Tengah Malam: Obrolan dan tawar-menawar dengan Penjual Labu misterius selama event untuk mendapatkan diskon yang luar biasa!")</f>
        <v>- Event Pesta Semangat
Festival Ketakutan: Gunakan Toples Permen untuk bermain, dan menangkan ton sumber daya dan kesempatan untuk mendapatkan skin kota Halloween khusus!
Trick or Treat: Ketuk pintu! Tawarkan Koin Labu Anda kepada tetangga untuk menukarkan dekorasi Halloween langka, efek berbaris, papan nama khusus, dan lainnya!
Pertunjukan Hantu: Hiasi kota Anda dengan penampilan khusus selama Pesta Semangat! Pemain dikelompokkan menjadi dua tim setiap hari - pergi ke peta untuk menemukan kota dengan penampilan lawan untuk mendapatkan poin dan hadiah tim di akhir hari. Siap atau tidak, aku datang!
Tambang Hantu: Waspada terhadap hantu! Maju dengan hati-hati. Mainkan level Gali Harta Karun baru selama event untuk mendapatkan hadiah yang luar biasa!
Tawar-Menawar Tengah Malam: Obrolan dan tawar-menawar dengan Penjual Labu misterius selama event untuk mendapatkan diskon yang luar biasa!</v>
      </c>
      <c r="J66" s="159" t="str">
        <f>IFERROR(__xludf.DUMMYFUNCTION("""COMPUTED_VALUE"""),"- งานเลี้ยงจิตวิญญาณ
เทศกาลแห่งความหวาดกลัว: ใช้กระปุกลูกอมเพื่อเล่น, และชนะทรัพยากรมากมายและมีโอกาสได้รับสกินเมืองฮาโลวีนพิเศษ!
ทริกออร์ทรีต: ก๊อก ก๊อก! นำเหรียญฟักทองของคุณไปให้เพื่อนบ้านเพื่อแลกเปลี่ยนการตกแต่งฮาโลวีนที่หายาก, เอฟเฟกต์การเดินทัพ, ป้ายช"&amp;"ื่อพิเศษ, และอื่น ๆ อีกมากมาย!
การชิงชัยแห่งแรงจิต: แต่งตัวเมืองของคุณในลักษณะพิเศษระหว่างงานเลี้ยงจิตวิญญาณ! ผู้เล่นจะถูกจัดเป็นสองทีมทุกวัน - ไปที่แผนที่เพื่อค้นหาเมืองที่มีลักษณะของคู่แข่งเพื่อทำคะแนนและรางวัลทีมในสิ้นวัน. พร้อมหรือไม่ ฉันกำลังจะมา!
เห"&amp;"มืองผี: ระวังผี! ดำเนินการด้วยความระมัดระวัง. เล่นเลเวลขุดสมบัติใหม่ระหว่างกิจกรรมเพื่อรับรางวัลที่น่าทึ่ง!
การต่อรองกลางคืน: แชทและต่อรองกับผู้ขายฟักทองลึกลับระหว่างกิจกรรมเพื่อรับส่วนลดที่น่าทึ่ง!")</f>
        <v>- งานเลี้ยงจิตวิญญาณ
เทศกาลแห่งความหวาดกลัว: ใช้กระปุกลูกอมเพื่อเล่น, และชนะทรัพยากรมากมายและมีโอกาสได้รับสกินเมืองฮาโลวีนพิเศษ!
ทริกออร์ทรีต: ก๊อก ก๊อก! นำเหรียญฟักทองของคุณไปให้เพื่อนบ้านเพื่อแลกเปลี่ยนการตกแต่งฮาโลวีนที่หายาก, เอฟเฟกต์การเดินทัพ, ป้ายชื่อพิเศษ, และอื่น ๆ อีกมากมาย!
การชิงชัยแห่งแรงจิต: แต่งตัวเมืองของคุณในลักษณะพิเศษระหว่างงานเลี้ยงจิตวิญญาณ! ผู้เล่นจะถูกจัดเป็นสองทีมทุกวัน - ไปที่แผนที่เพื่อค้นหาเมืองที่มีลักษณะของคู่แข่งเพื่อทำคะแนนและรางวัลทีมในสิ้นวัน. พร้อมหรือไม่ ฉันกำลังจะมา!
เหมืองผี: ระวังผี! ดำเนินการด้วยความระมัดระวัง. เล่นเลเวลขุดสมบัติใหม่ระหว่างกิจกรรมเพื่อรับรางวัลที่น่าทึ่ง!
การต่อรองกลางคืน: แชทและต่อรองกับผู้ขายฟักทองลึกลับระหว่างกิจกรรมเพื่อรับส่วนลดที่น่าทึ่ง!</v>
      </c>
      <c r="K66" s="159" t="str">
        <f>IFERROR(__xludf.DUMMYFUNCTION("""COMPUTED_VALUE"""),"- Eventos de la Fiesta del Espíritu
Festival de los Sustos: ¡Usa los Tarros de Dulces para jugar, y gana toneladas de recursos y la oportunidad de obtener la apariencia especial de la ciudad de Halloween!
Truco o Trato: ¡Toc, toc! Ofrece tus Monedas de Ca"&amp;"labaza a los vecinos para canjear decoraciones de Halloween raras, efectos de marcha, placas especiales, ¡y más!
Enfrentamiento Fantasma: ¡Viste tu ciudad con apariencias especiales durante la Fiesta del Espíritu! Los jugadores se agrupan en dos equipos c"&amp;"ada día - ve al mapa para encontrar ciudades con las apariencias del oponente para ganar puntos y recompensas de equipo al final del día. ¡Listo o no, aquí voy!
Mina Espeluznante: ¡Cuidado con los fantasmas! Continúa con precaución. Juega nuevos niveles d"&amp;"e Búsqueda de Tesoros durante el evento para obtener recompensas increíbles!
Regateo de Medianoche: ¡Chatea y regatea con el misterioso Vendedor de Calabazas durante el evento para obtener descuentos increíbles!")</f>
        <v>- Eventos de la Fiesta del Espíritu
Festival de los Sustos: ¡Usa los Tarros de Dulces para jugar, y gana toneladas de recursos y la oportunidad de obtener la apariencia especial de la ciudad de Halloween!
Truco o Trato: ¡Toc, toc! Ofrece tus Monedas de Calabaza a los vecinos para canjear decoraciones de Halloween raras, efectos de marcha, placas especiales, ¡y más!
Enfrentamiento Fantasma: ¡Viste tu ciudad con apariencias especiales durante la Fiesta del Espíritu! Los jugadores se agrupan en dos equipos cada día - ve al mapa para encontrar ciudades con las apariencias del oponente para ganar puntos y recompensas de equipo al final del día. ¡Listo o no, aquí voy!
Mina Espeluznante: ¡Cuidado con los fantasmas! Continúa con precaución. Juega nuevos niveles de Búsqueda de Tesoros durante el evento para obtener recompensas increíbles!
Regateo de Medianoche: ¡Chatea y regatea con el misterioso Vendedor de Calabazas durante el evento para obtener descuentos increíbles!</v>
      </c>
      <c r="L66" s="159" t="str">
        <f>IFERROR(__xludf.DUMMYFUNCTION("""COMPUTED_VALUE"""),"- События Вечера Духов
Фестиваль Ужасов: Используйте банки с конфетами для игры и выиграйте тонны ресурсов и возможность получить специальный городской скин на Хэллоуин!
Шалость или сладость: Тук-тук! Предложите свои тыквенные монеты соседям, чтобы обменя"&amp;"ть их на редкие украшения на Хэллоуин, эффекты марша, специальные именные таблички и многое другое!
Фантомное противостояние: Украсьте свой город специальными образами во время Вечера Духов! Игроки каждый день разделяются на две команды - отправляйтесь на"&amp;" карту, чтобы найти города с образами соперников, чтобы заработать очки и командные награды в конце дня. Готовы или нет, я иду!
Шахта Ужасов: Остерегайтесь призраков! Действуйте с осторожностью. Играйте на новых уровнях ""Поиск сокровищ"" во время события"&amp;", чтобы получить удивительные награды!
Торг у полуночи: Общайтесь и торгуйтесь с таинственным торговцем тыквами во время события, чтобы получить удивительные скидки!")</f>
        <v>- События Вечера Духов
Фестиваль Ужасов: Используйте банки с конфетами для игры и выиграйте тонны ресурсов и возможность получить специальный городской скин на Хэллоуин!
Шалость или сладость: Тук-тук! Предложите свои тыквенные монеты соседям, чтобы обменять их на редкие украшения на Хэллоуин, эффекты марша, специальные именные таблички и многое другое!
Фантомное противостояние: Украсьте свой город специальными образами во время Вечера Духов! Игроки каждый день разделяются на две команды - отправляйтесь на карту, чтобы найти города с образами соперников, чтобы заработать очки и командные награды в конце дня. Готовы или нет, я иду!
Шахта Ужасов: Остерегайтесь призраков! Действуйте с осторожностью. Играйте на новых уровнях "Поиск сокровищ" во время события, чтобы получить удивительные награды!
Торг у полуночи: Общайтесь и торгуйтесь с таинственным торговцем тыквами во время события, чтобы получить удивительные скидки!</v>
      </c>
      <c r="M66" s="159" t="str">
        <f>IFERROR(__xludf.DUMMYFUNCTION("""COMPUTED_VALUE"""),"- Ruh Toplantısı Etkinlikleri
Korku Festivali: Şeker Kavanozlarını kullanarak oyna ve tonlarca kaynak ile özel Halloween şehir görünümü elde etme şansı kazan!
Şeker mi Şaka mı?: Tık tık! Bal Kabağı Paralarını komşularına teklif et ve nadir Halloween süsle"&amp;"meleri, sefer efektleri, özel tabelalar ve daha fazlasını elde et!
Hayalet Karşılaşma: Ruh Toplantısı sırasında şehrinizi özel görünümlerle süsleyin! Oyuncular her gün iki takıma ayrılır - rakibin görünümlerine sahip şehirleri bulmak için haritaya gidin v"&amp;"e günün sonunda puan ve takım ödülleri kazanın. Hazır olun ya da olmayın, işte geliyorum!
Hayalet Madeni: Hayaletlere dikkat et! Dikkatli bir şekilde devam et. Etkinlik sırasında yeni Hazine Kazı seviyelerini oyna ve harika ödüller kazan!
Gece Yarısı Paza"&amp;"rlık: Etkinlik sırasında gizemli Bal Kabağı Satıcısı ile sohbet edin ve harika indirimler elde edin!")</f>
        <v>- Ruh Toplantısı Etkinlikleri
Korku Festivali: Şeker Kavanozlarını kullanarak oyna ve tonlarca kaynak ile özel Halloween şehir görünümü elde etme şansı kazan!
Şeker mi Şaka mı?: Tık tık! Bal Kabağı Paralarını komşularına teklif et ve nadir Halloween süslemeleri, sefer efektleri, özel tabelalar ve daha fazlasını elde et!
Hayalet Karşılaşma: Ruh Toplantısı sırasında şehrinizi özel görünümlerle süsleyin! Oyuncular her gün iki takıma ayrılır - rakibin görünümlerine sahip şehirleri bulmak için haritaya gidin ve günün sonunda puan ve takım ödülleri kazanın. Hazır olun ya da olmayın, işte geliyorum!
Hayalet Madeni: Hayaletlere dikkat et! Dikkatli bir şekilde devam et. Etkinlik sırasında yeni Hazine Kazı seviyelerini oyna ve harika ödüller kazan!
Gece Yarısı Pazarlık: Etkinlik sırasında gizemli Bal Kabağı Satıcısı ile sohbet edin ve harika indirimler elde edin!</v>
      </c>
      <c r="N66" s="45" t="str">
        <f>IFERROR(__xludf.DUMMYFUNCTION("""COMPUTED_VALUE"""),"- Sự kiện Tiệc Tùng Linh Hồn
Lễ hội Kinh Dị: Sử dụng Hũ Kẹo để chơi, và giành được hàng tấn tài nguyên và cơ hội nhận được skin thành phố Halloween đặc biệt!
Kẹo hay ghẹo: Ai ở nhà không! Đưa Xu Bí Ngô của bạn cho hàng xóm để đổi lấy đồ trang trí Hallowee"&amp;"n hiếm, hiệu ứng hành quân, thẻ tên đặc biệt, và nhiều hơn nữa!
Đối đầu Ma Quỷ: Trang trí thành phố của bạn với những hình dạng đặc biệt trong suốt Tiệc Tùng Linh Hồn! Người chơi được chia thành hai đội mỗi ngày - đi đến bản đồ để tìm các thành phố với hì"&amp;"nh dạng của đối thủ để kiếm điểm và phần thưởng đội vào cuối ngày. Sẵn sàng hay không, tôi đến đây!
Mỏ Ma Quỷ: Hãy cẩn thận với những hồn ma! Tiến lên một cách thận trọng. Chơi các cấp độ Đào Kho Báu mới trong suốt sự kiện để nhận được phần thưởng tuyệt v"&amp;"ời!
Mặc Cả Nửa Đêm: Trò chuyện và mặc cả với Người Bán Bí Ngô bí ẩn trong suốt sự kiện để nhận được những giảm giá tuyệt vời!")</f>
        <v>- Sự kiện Tiệc Tùng Linh Hồn
Lễ hội Kinh Dị: Sử dụng Hũ Kẹo để chơi, và giành được hàng tấn tài nguyên và cơ hội nhận được skin thành phố Halloween đặc biệt!
Kẹo hay ghẹo: Ai ở nhà không! Đưa Xu Bí Ngô của bạn cho hàng xóm để đổi lấy đồ trang trí Halloween hiếm, hiệu ứng hành quân, thẻ tên đặc biệt, và nhiều hơn nữa!
Đối đầu Ma Quỷ: Trang trí thành phố của bạn với những hình dạng đặc biệt trong suốt Tiệc Tùng Linh Hồn! Người chơi được chia thành hai đội mỗi ngày - đi đến bản đồ để tìm các thành phố với hình dạng của đối thủ để kiếm điểm và phần thưởng đội vào cuối ngày. Sẵn sàng hay không, tôi đến đây!
Mỏ Ma Quỷ: Hãy cẩn thận với những hồn ma! Tiến lên một cách thận trọng. Chơi các cấp độ Đào Kho Báu mới trong suốt sự kiện để nhận được phần thưởng tuyệt vời!
Mặc Cả Nửa Đêm: Trò chuyện và mặc cả với Người Bán Bí Ngô bí ẩn trong suốt sự kiện để nhận được những giảm giá tuyệt vời!</v>
      </c>
      <c r="O66" s="45" t="str">
        <f>IFERROR(__xludf.DUMMYFUNCTION("""COMPUTED_VALUE"""),"- Eventi della Festa dello Spirito
Festival degli Spaventi: Usa i Barattoli di Caramelle per giocare e vinci tonnellate di risorse e la possibilità di ottenere la speciale skin della città di Halloween!
Dolcetto o Scherzetto: Knock knock! Offri le tue Mon"&amp;"ete Zucca ai vicini per riscattare rare decorazioni di Halloween, effetti di marcia, targhette speciali e altro!
Scontro Fantasma: Vesti la tua città con aspetti speciali durante la Festa dello Spirito! I giocatori vengono raggruppati in due squadre ogni "&amp;"giorno - vai alla mappa per trovare città con le apparenze dell'avversario per guadagnare punti e ricompense di squadra alla fine della giornata. Pronto o no, ecco che arrivo!
Miniera Spaventosa: Attenzione ai fantasmi! Procedi con cautela. Gioca a nuovi "&amp;"livelli di Scavo del Tesoro durante l'evento per ottenere ricompense sorprendenti!
Contrattazione a Mezzanotte: Chatta e contratta con il misterioso Venditore di Zucche durante l'evento per ottenere sconti sorprendenti!")</f>
        <v>- Eventi della Festa dello Spirito
Festival degli Spaventi: Usa i Barattoli di Caramelle per giocare e vinci tonnellate di risorse e la possibilità di ottenere la speciale skin della città di Halloween!
Dolcetto o Scherzetto: Knock knock! Offri le tue Monete Zucca ai vicini per riscattare rare decorazioni di Halloween, effetti di marcia, targhette speciali e altro!
Scontro Fantasma: Vesti la tua città con aspetti speciali durante la Festa dello Spirito! I giocatori vengono raggruppati in due squadre ogni giorno - vai alla mappa per trovare città con le apparenze dell'avversario per guadagnare punti e ricompense di squadra alla fine della giornata. Pronto o no, ecco che arrivo!
Miniera Spaventosa: Attenzione ai fantasmi! Procedi con cautela. Gioca a nuovi livelli di Scavo del Tesoro durante l'evento per ottenere ricompense sorprendenti!
Contrattazione a Mezzanotte: Chatta e contratta con il misterioso Venditore di Zucche durante l'evento per ottenere sconti sorprendenti!</v>
      </c>
      <c r="P66" s="34" t="str">
        <f>IFERROR(__xludf.DUMMYFUNCTION("""COMPUTED_VALUE"""),"- Wydarzenia Soiree Ducha
Festiwal Strachów: Użyj Słoików na cukierki, aby grać i wygrać mnóstwo zasobów oraz szansę na zdobycie specjalnej skórki miasta na Halloween!
Cukierek albo Psikus: Knock knock! Zaoferuj swoje Monety dyniowe sąsiadom, aby wymienić"&amp;" je na rzadkie dekoracje Halloween, efekty marszu, specjalne dymki i więcej!
Phantom Showdown: Przyodziej swoje miasto w specjalne stroje podczas Soiree Ducha! Gracze są grupowani w dwie drużyny każdego dnia - idź na mapę, aby znaleźć miasta z wyglądem pr"&amp;"zeciwnika, aby zdobyć punkty i nagrody drużynowe na koniec dnia. Gotowy czy nie, nadchodzę!
Spook Mine: Uważaj na duchy! Postępuj ostrożnie. Graj w nowe poziomy Treasure Dig podczas wydarzenia, aby zdobyć niesamowite nagrody!
Targowanie o Północy: Czatuj "&amp;"i targuj się z tajemniczym Sprzedawcą Dyni podczas wydarzenia, aby uzyskać niesamowite zniżki!")</f>
        <v>- Wydarzenia Soiree Ducha
Festiwal Strachów: Użyj Słoików na cukierki, aby grać i wygrać mnóstwo zasobów oraz szansę na zdobycie specjalnej skórki miasta na Halloween!
Cukierek albo Psikus: Knock knock! Zaoferuj swoje Monety dyniowe sąsiadom, aby wymienić je na rzadkie dekoracje Halloween, efekty marszu, specjalne dymki i więcej!
Phantom Showdown: Przyodziej swoje miasto w specjalne stroje podczas Soiree Ducha! Gracze są grupowani w dwie drużyny każdego dnia - idź na mapę, aby znaleźć miasta z wyglądem przeciwnika, aby zdobyć punkty i nagrody drużynowe na koniec dnia. Gotowy czy nie, nadchodzę!
Spook Mine: Uważaj na duchy! Postępuj ostrożnie. Graj w nowe poziomy Treasure Dig podczas wydarzenia, aby zdobyć niesamowite nagrody!
Targowanie o Północy: Czatuj i targuj się z tajemniczym Sprzedawcą Dyni podczas wydarzenia, aby uzyskać niesamowite zniżki!</v>
      </c>
      <c r="Q66" s="34" t="str">
        <f>IFERROR(__xludf.DUMMYFUNCTION("""COMPUTED_VALUE"""),"- أحداث حفلة الروح
مهرجان الرعب: استخدم برطمانات الحلوى للعب، واربح الكثير من الموارد وفرصة للحصول على جلد المدينة الخاص بالهالوين!
خدعة أم حلوى: Knock knock! قدم عملات اليقطين الخاصة بك للجيران لاستبدال الديكورات النادرة للهالوين، تأثيرات المسيرة، لوحات "&amp;"الأسماء الخاصة، والمزيد!
مواجهة الشبح: زين مدينتك بمظاهر خاصة خلال حفلة الروح! يتم تجميع اللاعبين في فريقين كل يوم - اذهب إلى الخريطة للعثور على المدن التي تحمل مظاهر الخصم لكسب النقاط وجوائز الفريق في نهاية اليوم. جاهز أم لا، ها أنا آتي!
منجم الرعب: احذر"&amp;" من الأشباح! تقدم بحذر. العب مستويات حفر الكنز الجديدة خلال الحدث للحصول على مكافآت مدهشة!
المساومة منتصف الليل: دردش وتفاوض مع بائع اليقطين الغامض خلال الحدث للحصول على خصومات مدهشة!")</f>
        <v>- أحداث حفلة الروح
مهرجان الرعب: استخدم برطمانات الحلوى للعب، واربح الكثير من الموارد وفرصة للحصول على جلد المدينة الخاص بالهالوين!
خدعة أم حلوى: Knock knock! قدم عملات اليقطين الخاصة بك للجيران لاستبدال الديكورات النادرة للهالوين، تأثيرات المسيرة، لوحات الأسماء الخاصة، والمزيد!
مواجهة الشبح: زين مدينتك بمظاهر خاصة خلال حفلة الروح! يتم تجميع اللاعبين في فريقين كل يوم - اذهب إلى الخريطة للعثور على المدن التي تحمل مظاهر الخصم لكسب النقاط وجوائز الفريق في نهاية اليوم. جاهز أم لا، ها أنا آتي!
منجم الرعب: احذر من الأشباح! تقدم بحذر. العب مستويات حفر الكنز الجديدة خلال الحدث للحصول على مكافآت مدهشة!
المساومة منتصف الليل: دردش وتفاوض مع بائع اليقطين الغامض خلال الحدث للحصول على خصومات مدهشة!</v>
      </c>
      <c r="R66" s="34" t="str">
        <f>IFERROR(__xludf.DUMMYFUNCTION("""COMPUTED_VALUE"""),"- スピリットソワレイベント
恐怖の祭り：キャンディジャーを使用してプレイし、大量のリソースと特別なハロウィン都市スキンを手に入れるチャンスを勝ち取りましょう！
トリック・オア・トリート：ノックノック！パンプキンコインを近所の人に提供して、レアなハロウィンの装飾品、行軍エフェクト、特別なネームプレートなどを引き換えましょう！
ファントムショーダウン：スピリットソワレ期間中に都市を特別な外観で飾りましょう！プレイヤーは毎日2つのチームに分けられます - マップに行って、敵の外観を持つ都市を見つけてポイントを"&amp;"獲得し、一日の終わりにチーム報酬を得ましょう。準備ができているかどうか、ここに来ます！
スプークマイン：幽霊に注意してください！慎重に進んでください。イベント期間中に新しい地底の宝探しレベルをプレイして、素晴らしい報酬を手に入れましょう！
真夜中の交渉：イベント期間中に神秘的なパンプキンベンダーとチャットして交渉し、驚くほどの割引を手に入れましょう！")</f>
        <v>- スピリットソワレイベント
恐怖の祭り：キャンディジャーを使用してプレイし、大量のリソースと特別なハロウィン都市スキンを手に入れるチャンスを勝ち取りましょう！
トリック・オア・トリート：ノックノック！パンプキンコインを近所の人に提供して、レアなハロウィンの装飾品、行軍エフェクト、特別なネームプレートなどを引き換えましょう！
ファントムショーダウン：スピリットソワレ期間中に都市を特別な外観で飾りましょう！プレイヤーは毎日2つのチームに分けられます - マップに行って、敵の外観を持つ都市を見つけてポイントを獲得し、一日の終わりにチーム報酬を得ましょう。準備ができているかどうか、ここに来ます！
スプークマイン：幽霊に注意してください！慎重に進んでください。イベント期間中に新しい地底の宝探しレベルをプレイして、素晴らしい報酬を手に入れましょう！
真夜中の交渉：イベント期間中に神秘的なパンプキンベンダーとチャットして交渉し、驚くほどの割引を手に入れましょう！</v>
      </c>
      <c r="S66" s="34" t="str">
        <f>IFERROR(__xludf.DUMMYFUNCTION("""COMPUTED_VALUE"""),"- 정신의 소셜 파티 이벤트
공포의 축제: 캔디 항아리를 사용하여 게임을 즐기고, 대량의 자원과 특별한 할로윈 도시 스킨을 얻을 기회를 잡으세요!
트릭 오어 트릿: 똑똑! 당신의 호박 동전을 이웃에게 제공하여 희귀한 할로윈 장식, 행군 이펙트, 특별한 명패 등을 교환하세요!
팬텀 대결: 정신의 소셜 파티 동안 당신의 도시를 특별한 외관으로 꾸미세요! 매일 플레이어들은 두 팀으로 나뉘며 - 지도로 가서 상대 팀의 외관을 가진 도시를 찾아 점수를 얻고 하루"&amp;"가 끝날 때 팀 보상을 받으세요. 준비가 되었든, 되지 않았든, 나가서 찾아보세요!
스푸크 광산: 유령을 조심하세요! 주의해서 진행하십시오. 이벤트 기간 동안 새로운 보물찾기 레벨을 플레이하여 놀라운 보상을 받으세요!
자정의 흥정: 이벤트 기간 동안 신비한 호박 상인과 채팅하고 흥정하여 놀라운 할인 혜택을 받으세요!")</f>
        <v>- 정신의 소셜 파티 이벤트
공포의 축제: 캔디 항아리를 사용하여 게임을 즐기고, 대량의 자원과 특별한 할로윈 도시 스킨을 얻을 기회를 잡으세요!
트릭 오어 트릿: 똑똑! 당신의 호박 동전을 이웃에게 제공하여 희귀한 할로윈 장식, 행군 이펙트, 특별한 명패 등을 교환하세요!
팬텀 대결: 정신의 소셜 파티 동안 당신의 도시를 특별한 외관으로 꾸미세요! 매일 플레이어들은 두 팀으로 나뉘며 - 지도로 가서 상대 팀의 외관을 가진 도시를 찾아 점수를 얻고 하루가 끝날 때 팀 보상을 받으세요. 준비가 되었든, 되지 않았든, 나가서 찾아보세요!
스푸크 광산: 유령을 조심하세요! 주의해서 진행하십시오. 이벤트 기간 동안 새로운 보물찾기 레벨을 플레이하여 놀라운 보상을 받으세요!
자정의 흥정: 이벤트 기간 동안 신비한 호박 상인과 채팅하고 흥정하여 놀라운 할인 혜택을 받으세요!</v>
      </c>
      <c r="T66" s="108"/>
      <c r="U66" s="108"/>
      <c r="V66" s="108"/>
      <c r="W66" s="108"/>
      <c r="X66" s="108"/>
      <c r="Y66" s="108"/>
      <c r="Z66" s="108"/>
    </row>
    <row r="67">
      <c r="A67" s="149" t="str">
        <f>IFERROR(__xludf.DUMMYFUNCTION("""COMPUTED_VALUE"""),"0.58.0")</f>
        <v>0.58.0</v>
      </c>
      <c r="B67" s="174" t="str">
        <f>IFERROR(__xludf.DUMMYFUNCTION("""COMPUTED_VALUE"""),"&lt;en-US&gt;
- New mech: Lightning - Cheetah, a killer skilled in hiding in the wild.
- New research: new entries added to Weapons Technology that grant T6 units domination bonuses against T5 and lower troops.
- New statue: Chivalry Lives - Elmo, dual talent l"&amp;"eap statue added.
- New levels: 100 challenge levels added to Banana Fight; 50 challenge levels added to Fortress Takeover; new T6 levels in Gear Expedition, unlock T6 gears to play.
&lt;/en-US&gt;
&lt;fr-FR&gt;
- Nouveau mécha : Éclair - Guépard, un tueur expert en "&amp;"camouflage dans la nature.
- Nouvelle recherche : nouvelles entrées ajoutées à la Technologie Armée qui accordent aux unités T6 des bonus de domination contre les troupes T5 et inférieures.
- Nouvelle statue : La chevalerie vit - Elmo, statue d'IMPULSION "&amp;"DE TALENT ajoutée.
- Nouveaux niveaux : 100 niveaux de défi ajoutés à Banana Fight ; 50 niveaux de défi ajoutés à l'Invasion de forteresse ; nouveaux niveaux T6 dans Gear Expedition, débloquez les équipements T6 pour jouer.
&lt;/fr-FR&gt;
&lt;de-DE&gt;
- Neuer Mech: "&amp;"Blitz - Gepard, ein Killer, der sich im Wilden zu verstecken versteht.
- Neue Forschung: Neue Einträge zur Bewaffneten Technologie hinzugefügt, die T6-Einheiten Überlegenheitsboni gegen T5 und niedrigere Truppen gewähren.
- Neue Statue: Ritterlichkeit leb"&amp;"t - Elmo, Doppel-TALENTSPRUNG-Statue hinzugefügt.
- Neue Levels: 100 Herausforderungslevel zur Bananenschlacht hinzugefügt; 50 Herausforderungslevel zur Festungsübernahme hinzugefügt; neue T6-Level in Gear Expedition, schalte T6-Ausrüstungen frei, um zu s"&amp;"pielen.
&lt;/de-DE&gt;
&lt;pt-BR&gt;
- Novo mech: Lightning - Cheetah, um assassino especializado em se esconder na selva.
- Nova pesquisa: novas entradas adicionadas à Tecnologia Armada que concedem às unidades T6 bônus de dominação contra tropas T5 e inferiores.
- "&amp;"Nova estátua: Chivalry Lives - Elmo, estátua de avanço de talento duplo adicionada.
- Novos níveis: 100 níveis de desafio adicionados ao Banana Fight; 50 níveis de desafio adicionados à Conquista da Fortaleza; novos níveis T6 na Expedição de Engrenagens, "&amp;"desbloqueie engrenagens T6 para jogar.
&lt;/pt-BR&gt;
&lt;zh-HK&gt;
-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
&lt;/zh-HK&gt;
&lt;zh-TW&gt;
- 新增機甲：閃電-獵豹，"&amp;"善於在野外隱藏行跡的致命殺手！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
&lt;/zh-TW&gt;
&lt;id&gt;
- Mech baru: Lightning - Cheetah, seorang pembunuh terampil yang ahli dalam bersembun"&amp;"yi di alam liar.
- Penelitian baru: entri baru ditambahkan ke Teknologi Senjata yang memberikan bonus dominasi unit T6 terhadap pasukan T5 dan lebih rendah.
- Patung baru: Chivalry Lives - Elmo, patung lompatan bakat ganda ditambahkan.
- Level baru: 100 l"&amp;"evel tantangan ditambahkan ke Banana Fight; 50 level tantangan ditambahkan ke Penaklukan Benteng; level T6 baru dalam Gear Expedition, buka peralatan T6 untuk bermain.
&lt;/id&gt;
&lt;th&gt;
- เมคใหม่: Lightning - Cheetah, ฆาตกรที่มีทักษะในการซ่อนตัวในที่รกร้าง
- การ"&amp;"วิจัยใหม่: เพิ่มรายการใหม่ในเทคโนโลยีที่มาพร้อมอาวุธ ที่ให้หน่วย T6 ครองสมรภูมิโบนัสต่อกองทหาร T5 และต่ำกว่า
- รูปปั้นใหม่: Chivalry Lives - Elmo, เพิ่มรูปปั้นการก้าวกระโดดความสามารถคู่
- เลเวลใหม่: เพิ่ม 100 เลเวลท้าทายใน Banana Fight; เพิ่ม 50 เลเวลท้าท"&amp;"ายในการยึดป้อมปราการ; เลเวล T6 ใหม่ใน Gear Expedition, ปลดล็อกเกียร์ T6 เพื่อเล่น
&lt;/th&gt;
&lt;es-419&gt;
- Nuevo mech: Lightning - Guepardo, un asesino experto en esconderse en la naturaleza.
- Nueva investigación: se han añadido nuevas entradas a la Tecnología A"&amp;"rmada que otorgan a las unidades T6 bonificaciones de dominación contra las tropas T5 y inferiores.
- Nueva estatua: Chivalry Lives - Elmo, se ha añadido una estatua de ascenso de doble talento.
- Nuevos niveles: se han añadido 100 niveles de desafío a Ba"&amp;"nana Fight; se han añadido 50 niveles de desafío a la Toma de la Fortaleza; nuevos niveles T6 en Gear Expedition, desbloquea los engranajes T6 para jugar.
&lt;/es-419&gt;
&lt;ru-RU&gt;
- Новый мех: Молния - Гепард, убийца, специализирующийся на скрытности в дикой при"&amp;"роде.
- Новое исследование: в Вооружённые технологии добавлены новые записи, которые предоставляют отрядам T6 бонусы превосходства против войск T5 и ниже.
- Новая статуя: Живая рыцарская честь - Элмо, добавлена статуя с двойным скачком таланта.
- Новые ур"&amp;"овни: добавлено 100 уровней вызова в Банановую битву; 50 уровней вызова добавлено в Захват крепости; новые уровни T6 в Экспедиции по снаряжению, откройте снаряжение T6 для игры.
&lt;/ru-RU&gt;
&lt;tr-TR&gt;
- Yeni meka: Lightning - Çita, vahşi doğada saklanmakta yete"&amp;"nekli bir katil.
- Yeni araştırma: Silahlı Teknolojiye eklenen yeni girişler, T6 birimlerine T5 ve daha düşük birliklere karşı hâkimiyet bonusları verir.
- Yeni heykel: Şövalyelik Yaşıyor - Elmo, çift yetenek sıçraması heykeli eklendi.
- Yeni seviyeler: M"&amp;"uz Savaşına 100 meydan okuma seviyesi eklendi; Kaleyi Ele Geçirme'ye 50 meydan okuma seviyesi eklendi; Dişli Keşif'te yeni T6 seviyeleri, T6 dişlileri oynamak için kilidini açın.
&lt;/tr-TR&gt;
&lt;vi&gt;
- Mới cơ khí: Lightning - Báo Đốm, một kẻ giết người giỏi ẩn m"&amp;"ình trong hoang dã.
- Nghiên cứu mới: thêm mục mới vào Công Nghệ Vũ Trang cho phép đơn vị T6 có thưởng thống trị đối với binh lính T5 và thấp hơn.
- Tượng mới: Chivalry Lives - Elmo, thêm tượng KỸ NĂNG VƯỢT kép.
- Cấp độ mới: thêm 100 cấp khiêu chiến vào "&amp;"Banana Fight; thêm 50 cấp khiêu chiến vào Tiếp Quản Pháo Đài; cấp T6 mới trong Gear Expedition, mở khóa đồ T6 để chơi.
&lt;/vi&gt;
&lt;it-IT&gt;
- Nuovo mech: Fulmine - Ghepardo, un killer esperto nel nascondersi in natura.
- Nuova ricerca: nuove voci aggiunte alla T"&amp;"ecnologia Armata che concedono alle unità T6 bonus di dominazione contro le truppe T5 e inferiori.
- Nuova statua: La Cavalleria Vive - Elmo, statua con doppio salto di talento aggiunta.
- Nuovi livelli: aggiunti 100 livelli di sfida a Banana Fight; 50 li"&amp;"velli di sfida aggiunti a Conquista di Fortezze; nuovi livelli T6 in Gear Expedition, sblocca le attrezzature T6 per giocare.
&lt;/it-IT&gt;
&lt;pl-PL&gt;
- Nowy mech: Błyskawica - Gepard, zabójca specjalizujący się w ukrywaniu się na dziko.
- Nowe badania: do Techno"&amp;"logii Uzbrojonej dodano nowe pozycje, które nadają jednostkom T6 bonusy dominacji przeciwko jednostkom T5 i niższym.
- Nowy posąg: Żyje Rycerskość - Elmo, dodano posąg z podwójnym skokiem talentu.
- Nowe poziomy: do Walki Bananowej dodano 100 poziomów wyz"&amp;"wań; do Przejęcia Fortecy dodano 50 poziomów wyzwań; nowe poziomy T6 w Ekspedycji Sprzętowej, odblokuj sprzęt T6, aby grać.
&lt;/pl-PL&gt;
&lt;ar&gt;
- ميكا جديد: البرق - الفهد، قاتل ماهر في الاختباء في البرية.
- بحث جديد: تمت إضافة إدخالات جديدة إلى تكنولوجيا المسلح"&amp;"ة التي تمنح وحدات T6 مكافآت الهيمنة ضد الوحدات T5 والأقل.
- تمثال جديد: الشهامة مستمرة - إلمو، تم إضافة تمثال قفزة المواهب المزدوجة.
- مستويات جديدة: تمت إضافة 100 مستوى تحدي إلى معركة الموز؛ تمت إضافة 50 مستوى تحدي إلى الاستيلاء على الحصن؛ مستويات T6 جدي"&amp;"دة في بعثة التروس، فتح التروس T6 للعب.
&lt;/ar&gt;
&lt;ja-JP&gt;
- 新メカ：雷 - チーター、野生で隠れるのが得意なキラー。
- 新研究：アームドテクノロジーに新たなエントリーが追加され、T6ユニットがT5以下のユニットに対して圧迫ボーナスを得ることができます。
- 新像：シバルリーライブズ - エルモ、デュアルアビリティ突破像が追加されました。
- 新レベル：バナナウォーズに100の挑戦レベルが追加され、要塞バトルに50の挑戦レベルが追加され、軍備遠征に新たなT"&amp;"6レベルが登場し、T6ギアをアンロックしてプレイします。
&lt;/ja-JP&gt;
&lt;ko-KR&gt;
- 새로운 메카: 번개 - 치타, 야생에서 숨기는 데 능숙한 킬러.
- 새로운 연구: T6 유닛에게 T5 및 그 이하의 유닛에 대한 압박 보너스를 부여하는 무장된 기술에 새로운 항목이 추가되었습니다.
- 새로운 조각상: 기사도 살아있다 - 엘모, 이중 재능 돌파 조각상이 추가되었습니다.
- 새로운 레벨: 바나나 대전에 100개의 도전 레벨이 추가되었고; 요새 대결에 50개"&amp;"의 도전 레벨이 추가되었습니다; 군용품 원정에서 새로운 T6 레벨, T6 장비를 잠금 해제하여 플레이하세요.
&lt;/ko-KR&gt;
")</f>
        <v>&lt;en-US&gt;
- New mech: Lightning - Cheetah, a killer skilled in hiding in the wild.
- New research: new entries added to Weapons Technology that grant T6 units domination bonuses against T5 and lower troops.
- New statue: Chivalry Lives - Elmo, dual talent leap statue added.
- New levels: 100 challenge levels added to Banana Fight; 50 challenge levels added to Fortress Takeover; new T6 levels in Gear Expedition, unlock T6 gears to play.
&lt;/en-US&gt;
&lt;fr-FR&gt;
- Nouveau mécha : Éclair - Guépard, un tueur expert en camouflage dans la nature.
- Nouvelle recherche : nouvelles entrées ajoutées à la Technologie Armée qui accordent aux unités T6 des bonus de domination contre les troupes T5 et inférieures.
- Nouvelle statue : La chevalerie vit - Elmo, statue d'IMPULSION DE TALENT ajoutée.
- Nouveaux niveaux : 100 niveaux de défi ajoutés à Banana Fight ; 50 niveaux de défi ajoutés à l'Invasion de forteresse ; nouveaux niveaux T6 dans Gear Expedition, débloquez les équipements T6 pour jouer.
&lt;/fr-FR&gt;
&lt;de-DE&gt;
- Neuer Mech: Blitz - Gepard, ein Killer, der sich im Wilden zu verstecken versteht.
- Neue Forschung: Neue Einträge zur Bewaffneten Technologie hinzugefügt, die T6-Einheiten Überlegenheitsboni gegen T5 und niedrigere Truppen gewähren.
- Neue Statue: Ritterlichkeit lebt - Elmo, Doppel-TALENTSPRUNG-Statue hinzugefügt.
- Neue Levels: 100 Herausforderungslevel zur Bananenschlacht hinzugefügt; 50 Herausforderungslevel zur Festungsübernahme hinzugefügt; neue T6-Level in Gear Expedition, schalte T6-Ausrüstungen frei, um zu spielen.
&lt;/de-DE&gt;
&lt;pt-BR&gt;
- Novo mech: Lightning - Cheetah, um assassino especializado em se esconder na selva.
- Nova pesquisa: novas entradas adicionadas à Tecnologia Armada que concedem às unidades T6 bônus de dominação contra tropas T5 e inferiores.
- Nova estátua: Chivalry Lives - Elmo, estátua de avanço de talento duplo adicionada.
- Novos níveis: 100 níveis de desafio adicionados ao Banana Fight; 50 níveis de desafio adicionados à Conquista da Fortaleza; novos níveis T6 na Expedição de Engrenagens, desbloqueie engrenagens T6 para jogar.
&lt;/pt-BR&gt;
&lt;zh-HK&gt;
-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
&lt;/zh-HK&gt;
&lt;zh-TW&gt;
-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
&lt;/zh-TW&gt;
&lt;id&gt;
- Mech baru: Lightning - Cheetah, seorang pembunuh terampil yang ahli dalam bersembunyi di alam liar.
- Penelitian baru: entri baru ditambahkan ke Teknologi Senjata yang memberikan bonus dominasi unit T6 terhadap pasukan T5 dan lebih rendah.
- Patung baru: Chivalry Lives - Elmo, patung lompatan bakat ganda ditambahkan.
- Level baru: 100 level tantangan ditambahkan ke Banana Fight; 50 level tantangan ditambahkan ke Penaklukan Benteng; level T6 baru dalam Gear Expedition, buka peralatan T6 untuk bermain.
&lt;/id&gt;
&lt;th&gt;
- เมคใหม่: Lightning - Cheetah, ฆาตกรที่มีทักษะในการซ่อนตัวในที่รกร้าง
- การวิจัยใหม่: เพิ่มรายการใหม่ในเทคโนโลยีที่มาพร้อมอาวุธ ที่ให้หน่วย T6 ครองสมรภูมิโบนัสต่อกองทหาร T5 และต่ำกว่า
- รูปปั้นใหม่: Chivalry Lives - Elmo, เพิ่มรูปปั้นการก้าวกระโดดความสามารถคู่
- เลเวลใหม่: เพิ่ม 100 เลเวลท้าทายใน Banana Fight; เพิ่ม 50 เลเวลท้าทายในการยึดป้อมปราการ; เลเวล T6 ใหม่ใน Gear Expedition, ปลดล็อกเกียร์ T6 เพื่อเล่น
&lt;/th&gt;
&lt;es-419&gt;
- Nuevo mech: Lightning - Guepardo, un asesino experto en esconderse en la naturaleza.
- Nueva investigación: se han añadido nuevas entradas a la Tecnología Armada que otorgan a las unidades T6 bonificaciones de dominación contra las tropas T5 y inferiores.
- Nueva estatua: Chivalry Lives - Elmo, se ha añadido una estatua de ascenso de doble talento.
- Nuevos niveles: se han añadido 100 niveles de desafío a Banana Fight; se han añadido 50 niveles de desafío a la Toma de la Fortaleza; nuevos niveles T6 en Gear Expedition, desbloquea los engranajes T6 para jugar.
&lt;/es-419&gt;
&lt;ru-RU&gt;
- Новый мех: Молния - Гепард, убийца, специализирующийся на скрытности в дикой природе.
- Новое исследование: в Вооружённые технологии добавлены новые записи, которые предоставляют отрядам T6 бонусы превосходства против войск T5 и ниже.
- Новая статуя: Живая рыцарская честь - Элмо, добавлена статуя с двойным скачком таланта.
- Новые уровни: добавлено 100 уровней вызова в Банановую битву; 50 уровней вызова добавлено в Захват крепости; новые уровни T6 в Экспедиции по снаряжению, откройте снаряжение T6 для игры.
&lt;/ru-RU&gt;
&lt;tr-TR&gt;
- Yeni meka: Lightning - Çita, vahşi doğada saklanmakta yetenekli bir katil.
- Yeni araştırma: Silahlı Teknolojiye eklenen yeni girişler, T6 birimlerine T5 ve daha düşük birliklere karşı hâkimiyet bonusları verir.
- Yeni heykel: Şövalyelik Yaşıyor - Elmo, çift yetenek sıçraması heykeli eklendi.
- Yeni seviyeler: Muz Savaşına 100 meydan okuma seviyesi eklendi; Kaleyi Ele Geçirme'ye 50 meydan okuma seviyesi eklendi; Dişli Keşif'te yeni T6 seviyeleri, T6 dişlileri oynamak için kilidini açın.
&lt;/tr-TR&gt;
&lt;vi&gt;
- Mới cơ khí: Lightning - Báo Đốm, một kẻ giết người giỏi ẩn mình trong hoang dã.
- Nghiên cứu mới: thêm mục mới vào Công Nghệ Vũ Trang cho phép đơn vị T6 có thưởng thống trị đối với binh lính T5 và thấp hơn.
- Tượng mới: Chivalry Lives - Elmo, thêm tượng KỸ NĂNG VƯỢT kép.
- Cấp độ mới: thêm 100 cấp khiêu chiến vào Banana Fight; thêm 50 cấp khiêu chiến vào Tiếp Quản Pháo Đài; cấp T6 mới trong Gear Expedition, mở khóa đồ T6 để chơi.
&lt;/vi&gt;
&lt;it-IT&gt;
- Nuovo mech: Fulmine - Ghepardo, un killer esperto nel nascondersi in natura.
- Nuova ricerca: nuove voci aggiunte alla Tecnologia Armata che concedono alle unità T6 bonus di dominazione contro le truppe T5 e inferiori.
- Nuova statua: La Cavalleria Vive - Elmo, statua con doppio salto di talento aggiunta.
- Nuovi livelli: aggiunti 100 livelli di sfida a Banana Fight; 50 livelli di sfida aggiunti a Conquista di Fortezze; nuovi livelli T6 in Gear Expedition, sblocca le attrezzature T6 per giocare.
&lt;/it-IT&gt;
&lt;pl-PL&gt;
- Nowy mech: Błyskawica - Gepard, zabójca specjalizujący się w ukrywaniu się na dziko.
- Nowe badania: do Technologii Uzbrojonej dodano nowe pozycje, które nadają jednostkom T6 bonusy dominacji przeciwko jednostkom T5 i niższym.
- Nowy posąg: Żyje Rycerskość - Elmo, dodano posąg z podwójnym skokiem talentu.
- Nowe poziomy: do Walki Bananowej dodano 100 poziomów wyzwań; do Przejęcia Fortecy dodano 50 poziomów wyzwań; nowe poziomy T6 w Ekspedycji Sprzętowej, odblokuj sprzęt T6, aby grać.
&lt;/pl-PL&gt;
&lt;ar&gt;
- ميكا جديد: البرق - الفهد، قاتل ماهر في الاختباء في البرية.
- بحث جديد: تمت إضافة إدخالات جديدة إلى تكنولوجيا المسلحة التي تمنح وحدات T6 مكافآت الهيمنة ضد الوحدات T5 والأقل.
- تمثال جديد: الشهامة مستمرة - إلمو، تم إضافة تمثال قفزة المواهب المزدوجة.
- مستويات جديدة: تمت إضافة 100 مستوى تحدي إلى معركة الموز؛ تمت إضافة 50 مستوى تحدي إلى الاستيلاء على الحصن؛ مستويات T6 جديدة في بعثة التروس، فتح التروس T6 للعب.
&lt;/ar&gt;
&lt;ja-JP&gt;
- 新メカ：雷 - チーター、野生で隠れるのが得意なキラー。
- 新研究：アームドテクノロジーに新たなエントリーが追加され、T6ユニットがT5以下のユニットに対して圧迫ボーナスを得ることができます。
- 新像：シバルリーライブズ - エルモ、デュアルアビリティ突破像が追加されました。
- 新レベル：バナナウォーズに100の挑戦レベルが追加され、要塞バトルに50の挑戦レベルが追加され、軍備遠征に新たなT6レベルが登場し、T6ギアをアンロックしてプレイします。
&lt;/ja-JP&gt;
&lt;ko-KR&gt;
- 새로운 메카: 번개 - 치타, 야생에서 숨기는 데 능숙한 킬러.
- 새로운 연구: T6 유닛에게 T5 및 그 이하의 유닛에 대한 압박 보너스를 부여하는 무장된 기술에 새로운 항목이 추가되었습니다.
- 새로운 조각상: 기사도 살아있다 - 엘모, 이중 재능 돌파 조각상이 추가되었습니다.
- 새로운 레벨: 바나나 대전에 100개의 도전 레벨이 추가되었고; 요새 대결에 50개의 도전 레벨이 추가되었습니다; 군용품 원정에서 새로운 T6 레벨, T6 장비를 잠금 해제하여 플레이하세요.
&lt;/ko-KR&gt;
</v>
      </c>
      <c r="C67" s="44" t="str">
        <f>IFERROR(__xludf.DUMMYFUNCTION("""COMPUTED_VALUE"""),"- 新增机甲：闪电-猎豹，善于在野外隐藏行迹的致命杀手！
- 新增科技：在武装科技页签中增加科技，T6士兵攻击T5及以下低级士兵时将产生额外压制增益；
- 新增雕像：骑士精神-埃尔默，双天赋突破雕像已增加；
- 新增关卡：香蕉大战新增100个挑战关卡；堡垒对决新增了50个挑战关卡；新增加了T6军备远征关卡，可在解锁T6军备后进行体验；")</f>
        <v>- 新增机甲：闪电-猎豹，善于在野外隐藏行迹的致命杀手！
- 新增科技：在武装科技页签中增加科技，T6士兵攻击T5及以下低级士兵时将产生额外压制增益；
- 新增雕像：骑士精神-埃尔默，双天赋突破雕像已增加；
- 新增关卡：香蕉大战新增100个挑战关卡；堡垒对决新增了50个挑战关卡；新增加了T6军备远征关卡，可在解锁T6军备后进行体验；</v>
      </c>
      <c r="D67" s="159" t="str">
        <f>IFERROR(__xludf.DUMMYFUNCTION("""COMPUTED_VALUE"""),"- New mech: Lightning - Cheetah, a killer skilled in hiding in the wild.
- New research: new entries added to Weapons Technology that grant T6 units domination bonuses against T5 and lower troops.
- New statue: Chivalry Lives - Elmo, dual talent leap stat"&amp;"ue added.
- New levels: 100 challenge levels added to Banana Fight; 50 challenge levels added to Fortress Takeover; new T6 levels in Gear Expedition, unlock T6 gears to play.")</f>
        <v>- New mech: Lightning - Cheetah, a killer skilled in hiding in the wild.
- New research: new entries added to Weapons Technology that grant T6 units domination bonuses against T5 and lower troops.
- New statue: Chivalry Lives - Elmo, dual talent leap statue added.
- New levels: 100 challenge levels added to Banana Fight; 50 challenge levels added to Fortress Takeover; new T6 levels in Gear Expedition, unlock T6 gears to play.</v>
      </c>
      <c r="E67" s="159" t="str">
        <f>IFERROR(__xludf.DUMMYFUNCTION("""COMPUTED_VALUE"""),"- Nouveau mécha : Éclair - Guépard, un tueur expert en camouflage dans la nature.
- Nouvelle recherche : nouvelles entrées ajoutées à la Technologie Armée qui accordent aux unités T6 des bonus de domination contre les troupes T5 et inférieures.
- Nouvelle"&amp;" statue : La chevalerie vit - Elmo, statue d'IMPULSION DE TALENT ajoutée.
- Nouveaux niveaux : 100 niveaux de défi ajoutés à Banana Fight ; 50 niveaux de défi ajoutés à l'Invasion de forteresse ; nouveaux niveaux T6 dans Gear Expedition, débloquez les équ"&amp;"ipements T6 pour jouer.")</f>
        <v>- Nouveau mécha : Éclair - Guépard, un tueur expert en camouflage dans la nature.
- Nouvelle recherche : nouvelles entrées ajoutées à la Technologie Armée qui accordent aux unités T6 des bonus de domination contre les troupes T5 et inférieures.
- Nouvelle statue : La chevalerie vit - Elmo, statue d'IMPULSION DE TALENT ajoutée.
- Nouveaux niveaux : 100 niveaux de défi ajoutés à Banana Fight ; 50 niveaux de défi ajoutés à l'Invasion de forteresse ; nouveaux niveaux T6 dans Gear Expedition, débloquez les équipements T6 pour jouer.</v>
      </c>
      <c r="F67" s="159" t="str">
        <f>IFERROR(__xludf.DUMMYFUNCTION("""COMPUTED_VALUE"""),"- Neuer Mech: Blitz - Gepard, ein Killer, der sich im Wilden zu verstecken versteht.
- Neue Forschung: Neue Einträge zur Bewaffneten Technologie hinzugefügt, die T6-Einheiten Überlegenheitsboni gegen T5 und niedrigere Truppen gewähren.
- Neue Statue: Ritt"&amp;"erlichkeit lebt - Elmo, Doppel-TALENTSPRUNG-Statue hinzugefügt.
- Neue Levels: 100 Herausforderungslevel zur Bananenschlacht hinzugefügt; 50 Herausforderungslevel zur Festungsübernahme hinzugefügt; neue T6-Level in Gear Expedition, schalte T6-Ausrüstungen"&amp;" frei, um zu spielen.")</f>
        <v>- Neuer Mech: Blitz - Gepard, ein Killer, der sich im Wilden zu verstecken versteht.
- Neue Forschung: Neue Einträge zur Bewaffneten Technologie hinzugefügt, die T6-Einheiten Überlegenheitsboni gegen T5 und niedrigere Truppen gewähren.
- Neue Statue: Ritterlichkeit lebt - Elmo, Doppel-TALENTSPRUNG-Statue hinzugefügt.
- Neue Levels: 100 Herausforderungslevel zur Bananenschlacht hinzugefügt; 50 Herausforderungslevel zur Festungsübernahme hinzugefügt; neue T6-Level in Gear Expedition, schalte T6-Ausrüstungen frei, um zu spielen.</v>
      </c>
      <c r="G67" s="159" t="str">
        <f>IFERROR(__xludf.DUMMYFUNCTION("""COMPUTED_VALUE"""),"- Novo mech: Lightning - Cheetah, um assassino especializado em se esconder na selva.
- Nova pesquisa: novas entradas adicionadas à Tecnologia Armada que concedem às unidades T6 bônus de dominação contra tropas T5 e inferiores.
- Nova estátua: Chivalry Li"&amp;"ves - Elmo, estátua de avanço de talento duplo adicionada.
- Novos níveis: 100 níveis de desafio adicionados ao Banana Fight; 50 níveis de desafio adicionados à Conquista da Fortaleza; novos níveis T6 na Expedição de Engrenagens, desbloqueie engrenagens T"&amp;"6 para jogar.")</f>
        <v>- Novo mech: Lightning - Cheetah, um assassino especializado em se esconder na selva.
- Nova pesquisa: novas entradas adicionadas à Tecnologia Armada que concedem às unidades T6 bônus de dominação contra tropas T5 e inferiores.
- Nova estátua: Chivalry Lives - Elmo, estátua de avanço de talento duplo adicionada.
- Novos níveis: 100 níveis de desafio adicionados ao Banana Fight; 50 níveis de desafio adicionados à Conquista da Fortaleza; novos níveis T6 na Expedição de Engrenagens, desbloqueie engrenagens T6 para jogar.</v>
      </c>
      <c r="H67" s="159" t="str">
        <f>IFERROR(__xludf.DUMMYFUNCTION("""COMPUTED_VALUE"""),"-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f>
        <v>-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v>
      </c>
      <c r="I67" s="159" t="str">
        <f>IFERROR(__xludf.DUMMYFUNCTION("""COMPUTED_VALUE"""),"- Mech baru: Lightning - Cheetah, seorang pembunuh terampil yang ahli dalam bersembunyi di alam liar.
- Penelitian baru: entri baru ditambahkan ke Teknologi Senjata yang memberikan bonus dominasi unit T6 terhadap pasukan T5 dan lebih rendah.
- Patung baru"&amp;": Chivalry Lives - Elmo, patung lompatan bakat ganda ditambahkan.
- Level baru: 100 level tantangan ditambahkan ke Banana Fight; 50 level tantangan ditambahkan ke Penaklukan Benteng; level T6 baru dalam Gear Expedition, buka peralatan T6 untuk bermain.")</f>
        <v>- Mech baru: Lightning - Cheetah, seorang pembunuh terampil yang ahli dalam bersembunyi di alam liar.
- Penelitian baru: entri baru ditambahkan ke Teknologi Senjata yang memberikan bonus dominasi unit T6 terhadap pasukan T5 dan lebih rendah.
- Patung baru: Chivalry Lives - Elmo, patung lompatan bakat ganda ditambahkan.
- Level baru: 100 level tantangan ditambahkan ke Banana Fight; 50 level tantangan ditambahkan ke Penaklukan Benteng; level T6 baru dalam Gear Expedition, buka peralatan T6 untuk bermain.</v>
      </c>
      <c r="J67" s="159" t="str">
        <f>IFERROR(__xludf.DUMMYFUNCTION("""COMPUTED_VALUE"""),"- เมคใหม่: Lightning - Cheetah, ฆาตกรที่มีทักษะในการซ่อนตัวในที่รกร้าง
- การวิจัยใหม่: เพิ่มรายการใหม่ในเทคโนโลยีที่มาพร้อมอาวุธ ที่ให้หน่วย T6 ครองสมรภูมิโบนัสต่อกองทหาร T5 และต่ำกว่า
- รูปปั้นใหม่: Chivalry Lives - Elmo, เพิ่มรูปปั้นการก้าวกระโดดความสาม"&amp;"ารถคู่
- เลเวลใหม่: เพิ่ม 100 เลเวลท้าทายใน Banana Fight; เพิ่ม 50 เลเวลท้าทายในการยึดป้อมปราการ; เลเวล T6 ใหม่ใน Gear Expedition, ปลดล็อกเกียร์ T6 เพื่อเล่น")</f>
        <v>- เมคใหม่: Lightning - Cheetah, ฆาตกรที่มีทักษะในการซ่อนตัวในที่รกร้าง
- การวิจัยใหม่: เพิ่มรายการใหม่ในเทคโนโลยีที่มาพร้อมอาวุธ ที่ให้หน่วย T6 ครองสมรภูมิโบนัสต่อกองทหาร T5 และต่ำกว่า
- รูปปั้นใหม่: Chivalry Lives - Elmo, เพิ่มรูปปั้นการก้าวกระโดดความสามารถคู่
- เลเวลใหม่: เพิ่ม 100 เลเวลท้าทายใน Banana Fight; เพิ่ม 50 เลเวลท้าทายในการยึดป้อมปราการ; เลเวล T6 ใหม่ใน Gear Expedition, ปลดล็อกเกียร์ T6 เพื่อเล่น</v>
      </c>
      <c r="K67" s="159" t="str">
        <f>IFERROR(__xludf.DUMMYFUNCTION("""COMPUTED_VALUE"""),"- Nuevo mech: Lightning - Guepardo, un asesino experto en esconderse en la naturaleza.
- Nueva investigación: se han añadido nuevas entradas a la Tecnología Armada que otorgan a las unidades T6 bonificaciones de dominación contra las tropas T5 y inferiore"&amp;"s.
- Nueva estatua: Chivalry Lives - Elmo, se ha añadido una estatua de ascenso de doble talento.
- Nuevos niveles: se han añadido 100 niveles de desafío a Banana Fight; se han añadido 50 niveles de desafío a la Toma de la Fortaleza; nuevos niveles T6 en "&amp;"Gear Expedition, desbloquea los engranajes T6 para jugar.")</f>
        <v>- Nuevo mech: Lightning - Guepardo, un asesino experto en esconderse en la naturaleza.
- Nueva investigación: se han añadido nuevas entradas a la Tecnología Armada que otorgan a las unidades T6 bonificaciones de dominación contra las tropas T5 y inferiores.
- Nueva estatua: Chivalry Lives - Elmo, se ha añadido una estatua de ascenso de doble talento.
- Nuevos niveles: se han añadido 100 niveles de desafío a Banana Fight; se han añadido 50 niveles de desafío a la Toma de la Fortaleza; nuevos niveles T6 en Gear Expedition, desbloquea los engranajes T6 para jugar.</v>
      </c>
      <c r="L67" s="159" t="str">
        <f>IFERROR(__xludf.DUMMYFUNCTION("""COMPUTED_VALUE"""),"- Новый мех: Молния - Гепард, убийца, специализирующийся на скрытности в дикой природе.
- Новое исследование: в Вооружённые технологии добавлены новые записи, которые предоставляют отрядам T6 бонусы превосходства против войск T5 и ниже.
- Новая статуя: Жи"&amp;"вая рыцарская честь - Элмо, добавлена статуя с двойным скачком таланта.
- Новые уровни: добавлено 100 уровней вызова в Банановую битву; 50 уровней вызова добавлено в Захват крепости; новые уровни T6 в Экспедиции по снаряжению, откройте снаряжение T6 для и"&amp;"гры.")</f>
        <v>- Новый мех: Молния - Гепард, убийца, специализирующийся на скрытности в дикой природе.
- Новое исследование: в Вооружённые технологии добавлены новые записи, которые предоставляют отрядам T6 бонусы превосходства против войск T5 и ниже.
- Новая статуя: Живая рыцарская честь - Элмо, добавлена статуя с двойным скачком таланта.
- Новые уровни: добавлено 100 уровней вызова в Банановую битву; 50 уровней вызова добавлено в Захват крепости; новые уровни T6 в Экспедиции по снаряжению, откройте снаряжение T6 для игры.</v>
      </c>
      <c r="M67" s="159" t="str">
        <f>IFERROR(__xludf.DUMMYFUNCTION("""COMPUTED_VALUE"""),"- Yeni meka: Lightning - Çita, vahşi doğada saklanmakta yetenekli bir katil.
- Yeni araştırma: Silahlı Teknolojiye eklenen yeni girişler, T6 birimlerine T5 ve daha düşük birliklere karşı hâkimiyet bonusları verir.
- Yeni heykel: Şövalyelik Yaşıyor - Elmo,"&amp;" çift yetenek sıçraması heykeli eklendi.
- Yeni seviyeler: Muz Savaşına 100 meydan okuma seviyesi eklendi; Kaleyi Ele Geçirme'ye 50 meydan okuma seviyesi eklendi; Dişli Keşif'te yeni T6 seviyeleri, T6 dişlileri oynamak için kilidini açın.")</f>
        <v>- Yeni meka: Lightning - Çita, vahşi doğada saklanmakta yetenekli bir katil.
- Yeni araştırma: Silahlı Teknolojiye eklenen yeni girişler, T6 birimlerine T5 ve daha düşük birliklere karşı hâkimiyet bonusları verir.
- Yeni heykel: Şövalyelik Yaşıyor - Elmo, çift yetenek sıçraması heykeli eklendi.
- Yeni seviyeler: Muz Savaşına 100 meydan okuma seviyesi eklendi; Kaleyi Ele Geçirme'ye 50 meydan okuma seviyesi eklendi; Dişli Keşif'te yeni T6 seviyeleri, T6 dişlileri oynamak için kilidini açın.</v>
      </c>
      <c r="N67" s="45" t="str">
        <f>IFERROR(__xludf.DUMMYFUNCTION("""COMPUTED_VALUE"""),"- Mới cơ khí: Lightning - Báo Đốm, một kẻ giết người giỏi ẩn mình trong hoang dã.
- Nghiên cứu mới: thêm mục mới vào Công Nghệ Vũ Trang cho phép đơn vị T6 có thưởng thống trị đối với binh lính T5 và thấp hơn.
- Tượng mới: Chivalry Lives - Elmo, thêm tượng"&amp;" KỸ NĂNG VƯỢT kép.
- Cấp độ mới: thêm 100 cấp khiêu chiến vào Banana Fight; thêm 50 cấp khiêu chiến vào Tiếp Quản Pháo Đài; cấp T6 mới trong Gear Expedition, mở khóa đồ T6 để chơi.")</f>
        <v>- Mới cơ khí: Lightning - Báo Đốm, một kẻ giết người giỏi ẩn mình trong hoang dã.
- Nghiên cứu mới: thêm mục mới vào Công Nghệ Vũ Trang cho phép đơn vị T6 có thưởng thống trị đối với binh lính T5 và thấp hơn.
- Tượng mới: Chivalry Lives - Elmo, thêm tượng KỸ NĂNG VƯỢT kép.
- Cấp độ mới: thêm 100 cấp khiêu chiến vào Banana Fight; thêm 50 cấp khiêu chiến vào Tiếp Quản Pháo Đài; cấp T6 mới trong Gear Expedition, mở khóa đồ T6 để chơi.</v>
      </c>
      <c r="O67" s="45" t="str">
        <f>IFERROR(__xludf.DUMMYFUNCTION("""COMPUTED_VALUE"""),"- Nuovo mech: Fulmine - Ghepardo, un killer esperto nel nascondersi in natura.
- Nuova ricerca: nuove voci aggiunte alla Tecnologia Armata che concedono alle unità T6 bonus di dominazione contro le truppe T5 e inferiori.
- Nuova statua: La Cavalleria Vive"&amp;" - Elmo, statua con doppio salto di talento aggiunta.
- Nuovi livelli: aggiunti 100 livelli di sfida a Banana Fight; 50 livelli di sfida aggiunti a Conquista di Fortezze; nuovi livelli T6 in Gear Expedition, sblocca le attrezzature T6 per giocare.")</f>
        <v>- Nuovo mech: Fulmine - Ghepardo, un killer esperto nel nascondersi in natura.
- Nuova ricerca: nuove voci aggiunte alla Tecnologia Armata che concedono alle unità T6 bonus di dominazione contro le truppe T5 e inferiori.
- Nuova statua: La Cavalleria Vive - Elmo, statua con doppio salto di talento aggiunta.
- Nuovi livelli: aggiunti 100 livelli di sfida a Banana Fight; 50 livelli di sfida aggiunti a Conquista di Fortezze; nuovi livelli T6 in Gear Expedition, sblocca le attrezzature T6 per giocare.</v>
      </c>
      <c r="P67" s="34" t="str">
        <f>IFERROR(__xludf.DUMMYFUNCTION("""COMPUTED_VALUE"""),"- Nowy mech: Błyskawica - Gepard, zabójca specjalizujący się w ukrywaniu się na dziko.
- Nowe badania: do Technologii Uzbrojonej dodano nowe pozycje, które nadają jednostkom T6 bonusy dominacji przeciwko jednostkom T5 i niższym.
- Nowy posąg: Żyje Rycersk"&amp;"ość - Elmo, dodano posąg z podwójnym skokiem talentu.
- Nowe poziomy: do Walki Bananowej dodano 100 poziomów wyzwań; do Przejęcia Fortecy dodano 50 poziomów wyzwań; nowe poziomy T6 w Ekspedycji Sprzętowej, odblokuj sprzęt T6, aby grać.")</f>
        <v>- Nowy mech: Błyskawica - Gepard, zabójca specjalizujący się w ukrywaniu się na dziko.
- Nowe badania: do Technologii Uzbrojonej dodano nowe pozycje, które nadają jednostkom T6 bonusy dominacji przeciwko jednostkom T5 i niższym.
- Nowy posąg: Żyje Rycerskość - Elmo, dodano posąg z podwójnym skokiem talentu.
- Nowe poziomy: do Walki Bananowej dodano 100 poziomów wyzwań; do Przejęcia Fortecy dodano 50 poziomów wyzwań; nowe poziomy T6 w Ekspedycji Sprzętowej, odblokuj sprzęt T6, aby grać.</v>
      </c>
      <c r="Q67" s="34" t="str">
        <f>IFERROR(__xludf.DUMMYFUNCTION("""COMPUTED_VALUE"""),"- ميكا جديد: البرق - الفهد، قاتل ماهر في الاختباء في البرية.
- بحث جديد: تمت إضافة إدخالات جديدة إلى تكنولوجيا المسلحة التي تمنح وحدات T6 مكافآت الهيمنة ضد الوحدات T5 والأقل.
- تمثال جديد: الشهامة مستمرة - إلمو، تم إضافة تمثال قفزة المواهب المزدوجة.
- مست"&amp;"ويات جديدة: تمت إضافة 100 مستوى تحدي إلى معركة الموز؛ تمت إضافة 50 مستوى تحدي إلى الاستيلاء على الحصن؛ مستويات T6 جديدة في بعثة التروس، فتح التروس T6 للعب.")</f>
        <v>- ميكا جديد: البرق - الفهد، قاتل ماهر في الاختباء في البرية.
- بحث جديد: تمت إضافة إدخالات جديدة إلى تكنولوجيا المسلحة التي تمنح وحدات T6 مكافآت الهيمنة ضد الوحدات T5 والأقل.
- تمثال جديد: الشهامة مستمرة - إلمو، تم إضافة تمثال قفزة المواهب المزدوجة.
- مستويات جديدة: تمت إضافة 100 مستوى تحدي إلى معركة الموز؛ تمت إضافة 50 مستوى تحدي إلى الاستيلاء على الحصن؛ مستويات T6 جديدة في بعثة التروس، فتح التروس T6 للعب.</v>
      </c>
      <c r="R67" s="34" t="str">
        <f>IFERROR(__xludf.DUMMYFUNCTION("""COMPUTED_VALUE"""),"- 新メカ：雷 - チーター、野生で隠れるのが得意なキラー。
- 新研究：アームドテクノロジーに新たなエントリーが追加され、T6ユニットがT5以下のユニットに対して圧迫ボーナスを得ることができます。
- 新像：シバルリーライブズ - エルモ、デュアルアビリティ突破像が追加されました。
- 新レベル：バナナウォーズに100の挑戦レベルが追加され、要塞バトルに50の挑戦レベルが追加され、軍備遠征に新たなT6レベルが登場し、T6ギアをアンロックしてプレイします。")</f>
        <v>- 新メカ：雷 - チーター、野生で隠れるのが得意なキラー。
- 新研究：アームドテクノロジーに新たなエントリーが追加され、T6ユニットがT5以下のユニットに対して圧迫ボーナスを得ることができます。
- 新像：シバルリーライブズ - エルモ、デュアルアビリティ突破像が追加されました。
- 新レベル：バナナウォーズに100の挑戦レベルが追加され、要塞バトルに50の挑戦レベルが追加され、軍備遠征に新たなT6レベルが登場し、T6ギアをアンロックしてプレイします。</v>
      </c>
      <c r="S67" s="34" t="str">
        <f>IFERROR(__xludf.DUMMYFUNCTION("""COMPUTED_VALUE"""),"- 새로운 메카: 번개 - 치타, 야생에서 숨기는 데 능숙한 킬러.
- 새로운 연구: T6 유닛에게 T5 및 그 이하의 유닛에 대한 압박 보너스를 부여하는 무장된 기술에 새로운 항목이 추가되었습니다.
- 새로운 조각상: 기사도 살아있다 - 엘모, 이중 재능 돌파 조각상이 추가되었습니다.
- 새로운 레벨: 바나나 대전에 100개의 도전 레벨이 추가되었고; 요새 대결에 50개의 도전 레벨이 추가되었습니다; 군용품 원정에서 새로운 T6 레벨, T6 장비를 잠"&amp;"금 해제하여 플레이하세요.")</f>
        <v>- 새로운 메카: 번개 - 치타, 야생에서 숨기는 데 능숙한 킬러.
- 새로운 연구: T6 유닛에게 T5 및 그 이하의 유닛에 대한 압박 보너스를 부여하는 무장된 기술에 새로운 항목이 추가되었습니다.
- 새로운 조각상: 기사도 살아있다 - 엘모, 이중 재능 돌파 조각상이 추가되었습니다.
- 새로운 레벨: 바나나 대전에 100개의 도전 레벨이 추가되었고; 요새 대결에 50개의 도전 레벨이 추가되었습니다; 군용품 원정에서 새로운 T6 레벨, T6 장비를 잠금 해제하여 플레이하세요.</v>
      </c>
      <c r="T67" s="108"/>
      <c r="U67" s="108"/>
      <c r="V67" s="108"/>
      <c r="W67" s="108"/>
      <c r="X67" s="108"/>
      <c r="Y67" s="108"/>
      <c r="Z67" s="108"/>
    </row>
    <row r="68">
      <c r="A68" s="149" t="str">
        <f>IFERROR(__xludf.DUMMYFUNCTION("""COMPUTED_VALUE"""),"0.59.0")</f>
        <v>0.59.0</v>
      </c>
      <c r="B68" s="174" t="str">
        <f>IFERROR(__xludf.DUMMYFUNCTION("""COMPUTED_VALUE"""),"&lt;en-US&gt;
- New, subterra-related plays added to Planet Wars: roam the underground world to earn powerful boosts and destroy enemy Distributors!
- New feature, Mech Clash: a special battlefield for mechs! Choose different mechs and pit them against others t"&amp;"o win rewards!
- Added 5th level in Wonder Emporium: special booth for Super Relics only. Display these Relics to power up!
- New Super Relic collections: Moon Landing Memories, Space Fantasia, Vintage Fashion, and Interstellar Connection. Get them from S"&amp;"urprise Relic Vault.
- New Fighter: Flash Cop, Grant. The speedster cop, protector of peace and justice!
&lt;/en-US&gt;
&lt;fr-FR&gt;
- Nouveautés, des jeux liés à la subterra ajoutés à la Guerre planétaire : parcourez le monde souterrain pour obtenir des boosts puis"&amp;"sants et détruire les Distributeurs ennemis !
- Nouvelle fonctionnalité, Mech Clash : un champ de bataille spécial pour les méchas ! Choisissez différents méchas et affrontez-les contre d'autres pour gagner des récompenses !
- Ajout du 5ème niveau dans la"&amp;" Halle aux Merveilles : stand spécial pour les Super Reliques uniquement. Exposez ces Reliques pour augmenter votre puissance !
- Nouvelles collections de Super Reliques : Souvenirs de l'Alunissage, Fantaisie Spatiale, Mode Vintage et Connexion Interstell"&amp;"aire. Obtenez-les depuis la Surprise Relic Vault.
- Nouveau combattant : Flic éclair, Grant. Le flic éclair, protecteur de la paix et de la justice !
&lt;/fr-FR&gt;
&lt;de-DE&gt;
- Neue, unterirdische Spielzüge zu Planetenkriege hinzugefügt: Streife durch die unterir"&amp;"dische Welt, um mächtige Boosts zu verdienen und feindliche Verteiler zu zerstören!
- Neue Funktion, Mech Clash: ein besonderes Schlachtfeld für Mechs! Wähle verschiedene Mechs und trete gegen andere an, um Belohnungen zu gewinnen!
- 5. Level im Wunderlad"&amp;"en hinzugefügt: Spezieller Stand nur für Superrelikte. Stelle diese Relikte aus, um deine Stärke zu erhöhen!
- Neue Superreliktsammlungen: Mondlandungserinnerungen, Weltraum-Fantasie, Vintage-Mode und Interstellare Verbindung. Erhalte sie aus dem Überrasc"&amp;"hungsreliktschließfach.
- Neuer Kämpfer: Blitzpolizist, Grant. Der flinke Polizist, Beschützer von Frieden und Gerechtigkeit!
&lt;/de-DE&gt;
&lt;pt-BR&gt;
- Novos jogos relacionados ao subterrâneo adicionados à Guerra Interplanetária: percorra o mundo subterrâneo par"&amp;"a ganhar bônus poderosos e destruir Distribuidores inimigos!
- Nova funcionalidade, Mech Clash: um campo de batalha especial para mechs! Escolha diferentes mechs e coloque-os em confronto com outros para ganhar recompensas!
- Adicionado 5º nível no Empóri"&amp;"o Maravilha: estande especial apenas para Super Relíquias. Exiba essas Relíquias para aumentar o poder!
- Novas coleções de Super Relíquias: Memórias do Pouso na Lua, Fantasia Espacial, Moda Vintage e Conexão Interestelar. Obtenha-as do Cofre Surpresa de "&amp;"Relíquias.
- Novo Combatente: Policial Relâmpago, Grant. O policial velocista, protetor da paz e da justiça!
&lt;/pt-BR&gt;
&lt;zh-HK&gt;
-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新增展覽館第五層：專為超凡收藏品打造，可放置超凡收藏品"&amp;"，增強實力！
- 新增超凡收藏品：登月紀念、太空暢想、復古潮流、星際對接。可通過驚喜藏品屋取得。
- 新英雄：飆速戰警-格蘭特，維護正義與和平的飆速戰警！
&lt;/zh-HK&gt;
&lt;zh-TW&gt;
-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新增展覽館第五層：專為超凡收藏品打造，可放置超凡收藏品，增強實力！
- 新增超凡收藏品：登月紀念、太空暢想、復古潮流"&amp;"、星際對接。可通過驚喜藏品屋取得。
- 新英雄：飆速戰警-格蘭特，維護正義與和平的飆速戰警！
&lt;/zh-TW&gt;
&lt;id&gt;
- Tambahkan permainan baru yang terkait dengan subterra ke Perang Planet: jelajahi Dunia Bawah Tanah untuk mendapatkan Faktor Bonus yang kuat dan hancurkan Distributor musuh!
- Fitur baru, Mech "&amp;"Clash: medan perang khusus untuk mekanik! Pilih mekanik yang berbeda dan adu mereka melawan yang lain untuk memenangkan hadiah!
- Ditambahkan level ke-5 di Emporium Megah: booth khusus hanya untuk Super Relik. Tampilkan Relik ini untuk menambah kekuatan!
"&amp;"- Koleksi Super Relik baru: Kenangan Pendaratan Bulan, Fantasia Angkasa, Mode Vintage, dan Sambungan Antarbintang. Dapatkan mereka dari Surprise Relic Vault.
- Pejuang Baru: Polisi Kilat, Grant. Polisi yang gesit, pelindung perdamaian dan keadilan!
&lt;/id&gt;
"&amp;"&lt;th&gt;
- เพิ่มการเล่นที่เกี่ยวข้องกับโลกใต้พิภพใหม่ในสงครามดาวเคราะห์: สำรวจโลกใต้ดินเพื่อรับบูสต์ที่ทรงพลังและทำลายศัตรูผู้บริจาค!
- ฟีเจอร์ใหม่, Mech Clash: สนามรบพิเศษสำหรับเมค! เลือกเมคที่แตกต่างกันและให้พวกมันต่อสู้กับคนอื่นเพื่อชนะรางวัล!
- เพิ่มเลเวล"&amp;"ที่ 5 ในศูนย์การค้าพิศวง: บูธใหม่สำหรับวัตถุโบราณซูเปอร์เท่านั้น แสดงวัตถุโบราณเหล่านี้เพื่อเพิ่มพลัง!
- คอลเลกชันวัตถุโบราณซูเปอร์ใหม่: ความทรงจำของการลงจอดบนดวงจันทร์, แฟนตาเซียอวกาศ, แฟชั่นวินเทจ และการเชื่อมต่อระหว่างดวงดาว รับพวกมันจาก Surprise Relic"&amp;" Vault
- นักสู้ใหม่: ตำรวจแสงสว่าง, แกรนท์ ตำรวจจอมเร็ว, ผู้พิทักษ์สันติภาพและความยุติธรรม!
&lt;/th&gt;
&lt;es-419&gt;
- Nuevas jugadas relacionadas con el subterráneo añadidas a Guerras Planetarias: ¡explora el mundo subterráneo para obtener potenciadores poderosos "&amp;"y destruir Distribuidores enemigos!
- Nueva característica, Choque de Mechs: ¡un campo de batalla especial para mechs! Elige diferentes mechs y enfréntalos contra otros para ganar recompensas.
- Añadido el 5º nivel en el Emporio de Maravillas: estante esp"&amp;"ecial solo para Super Reliquias. ¡Despliega estas Reliquias para aumentar poder!
- Nuevas colecciones de Super Reliquias: Recuerdos del Aterrizaje Lunar, Fantasía Espacial, Moda Vintage y Conexión Interestelar. Consíguelas del Cofre de Reliquias Sorpresa."&amp;"
- Nuevo Luchador: Policía Relámpago, Grant. ¡El policía velocista, protector de la paz y la justicia!
&lt;/es-419&gt;
&lt;ru-RU&gt;
- Добавлены новые, связанные с подземельем игровые возможности в Планетарные войны: исследуйте подземный мир, чтобы получить мощные ус"&amp;"иления и уничтожить распределители врага!
- Новая функция, Механическое Столкновение: особое поле боя для мехов! Выбирайте различных мехов и сражайтесь с другими, чтобы выиграть награды!
- Добавлен 5-й уровень в Чудо-Магазин: специальный стенд только для "&amp;"Супер Реликвий. Выставляйте эти Реликвии, чтобы усилиться!
- Новые коллекции Супер Реликвий: Воспоминания о Посадке на Луну, Космическая фантазия, Винтажная мода и Межзвездное Соединение. Получите их из Сюрпризного хранилища реликвий.
- Новый Герой: Вспыш"&amp;"ечный полицейский, Грант. Быстроногий полицейский, защитник мира и справедливости!
&lt;/ru-RU&gt;
&lt;tr-TR&gt;
- Gezegen Savaşları'na yeni, yer altı ile ilgili oyunlar eklendi: yer altı dünyasında dolaşın, güçlü güçlendirmeler kazanın ve düşman Distribütörlerini yok"&amp;" edin!
- Yeni özellik, Meka Çatışması: mekalar için özel savaş meydanı! Farklı mekaları seçin ve ödüller kazanmak için diğerleriyle dövüştürün!
- Harikalar Dükkânı'na 5. seviye eklendi: sadece Süper Kalıntılar için özel yeni odacık. Bu Kalıntıları sergile"&amp;"yerek güçlenin!
- Yeni Süper Kalıntı koleksiyonları: Ay İnişi Anıları, Uzay Fantazyası, Eski Moda ve Yıldızlararası Bağlantı. Sürpriz Kalıntı Kasasından onları alın.
- Yeni Savaşçı: Flaş Polis, Grant. Hızlı polis, barış ve adaletin koruyucusu!
&lt;/tr-TR&gt;
&lt;v"&amp;"i&gt;
- Đã thêm các trò chơi mới liên quan đến subterra vào Chiến Tranh Hành Tinh: lang thang trong Thế Giới Ngầm để kiếm được Hệ Số Tăng Thêm mạnh mẽ và phá hủy Trạm Phân Phối của kẻ địch!
- Tính năng mới, Mech Clash: một Chiến Trường Đặc Biệt dành cho cơ k"&amp;"hí! Chọn các cơ khí khác nhau và đưa chúng vào chiến đấu với nhau để giành phần thưởng!
- Đã thêm cấp 5 trong CỬA HÀNG DIỆU KỲ: Gian Hàng Mới chỉ dành cho Super Relics. Trưng bày những Di Tích này để Tăng Chiến Lực!
- Bộ sưu tập Super Relic mới: Ký Ức Đáp"&amp;" Trăng, Fantasyland Không Gian, Thời Trang Cổ Điển, và Kết Nối Liên Sao. Nhận chúng từ Surprise Relic Vault.
- Chiến Binh Mới: Cảnh Sát Chớp, Grant. Cảnh sát tốc độ, người bảo vệ hòa bình và công lý!
&lt;/vi&gt;
&lt;it-IT&gt;
- Nuovi giochi legati al sottosuolo aggiu"&amp;"nti alle Guerre planetarie: esplora il mondo sotterraneo per ottenere potenziamenti potenti e distruggi i Distributori nemici!
- Nuova funzionalità, Scontro Mech: un campo di battaglia speciale per i mech! Scegli diversi mech e fai combattere loro contro "&amp;"altri per vincere ricompense!
- Aggiunto il 5° livello nell'Emporio Meraviglie: stand speciale solo per Super Reliquie. Esibisci queste Reliquie per aumentare la potenza!
- Nuove collezioni di Super Reliquie: Ricordi dell'Atterraggio sulla Luna, Fantasia "&amp;"Spaziale, Moda Vintage e Connessione Interstellare. Ottienile dalla Sorpresa Reliquia Vault.
- Nuovo Combattente: Poliziotto Lampo, Grant. Il poliziotto velocista, protettore di pace e giustizia!
&lt;/it-IT&gt;
&lt;pl-PL&gt;
- Nuovi giochi legati al sottosuolo aggiun"&amp;"ti alle Guerre planetarie: esplora il mondo sotterraneo per ottenere potenziamenti potenti e distruggi i Distributori nemici!
- Nuova funzionalità, Scontro Mech: un campo di battaglia speciale per i mech! Scegli diversi mech e fai combattere loro contro a"&amp;"ltri per vincere ricompense!
- Aggiunto il 5° livello nell'Emporio Meraviglie: stand speciale solo per Super Reliquie. Esibisci queste Reliquie per aumentare la potenza!
- Nuove collezioni di Super Reliquie: Ricordi dell'Atterraggio sulla Luna, Fantasia S"&amp;"paziale, Moda Vintage e Connessione Interstellare. Ottienile dalla Sorpresa Reliquia Vault.
- Nuovo Combattente: Poliziotto Lampo, Grant. Il poliziotto velocista, protettore di pace e giustizia!
&lt;/pl-PL&gt;
&lt;ar&gt;
- تم إضافة ألعاب جديدة متعلقة بالعالم السفلي إ"&amp;"لى حروب الكوكب: تجول في العالم تحت الأرض لكسب تعزيزات قوية وهدم محطات التوزيع العدو!
- ميزة جديدة، اشتباك الميكا: ساحة معركة خاصة للميكا! اختر ميكا مختلفة وقاتل بها ضد الآخرين للفوز بالجوائز!
- تم إضافة المستوى الخامس في معرض العجائب: كشك خاص للمقتنيات ال"&amp;"أسطورية فقط. عرض هذه المقتنيات لرفع القوة!
- مجموعات مقتنيات أسطورية جديدة: ذكريات الهبوط على القمر، فانتازيا الفضاء، أزياء قديمة، والاتصال بين النجوم. احصل عليها من خزنة المقتنيات المفاجئة.
- مقاتل جديد: شرطي الفلاش، جرانت. الشرطي السريع، حامي السلام وال"&amp;"عدالة!
&lt;/ar&gt;
&lt;ja-JP&gt;
- 新しい、地下世界関連のプレイがプラネットウォーズに追加されました：地下世界を探索して強力なバフを獲得し、敵の配送所を破壊しましょう！
- 新機能、メカクラッシュ：メカ専用の特殊な戦場！異なるメカを選択し、他のメカと戦って報酬を勝ち取りましょう！
- 展示館に5番目のレベルが追加されました：スーパーレリック専用のブースです。これらのレリックを展示して戦力アップしましょう！
- 新たなスーパーレリックコレクション：月面着陸の思い出、スペースファンタジア、ヴィンテー"&amp;"ジファッション、星間接続。驚きの遺物ボールトから入手しましょう。
- 新しいファイター：閃光警官、グラント。閃光警官、平和と正義の守護者！
&lt;/ja-JP&gt;
&lt;ko-KR&gt;
- 은하 전쟁에 새로운, 지하 세계 관련 플레이 추가: 지하 세계를 누비며 강력한 부스터를 얻고 적의 갱 배달 스테이션 수를 파괴하세요!
- 새로운 기능, 메카 대결: 메카를 위한 특수 전장! 다양한 메카를 선택하고 다른 메카와 대결하여 보상을 획득하세요!
- 전시관에 5번째 레벨 추가: 슈퍼 유물만"&amp;"을 위한 특별 부스. 이 유물들을 디스플레이하여 파워 업하세요!
- 새로운 슈퍼 유물 컬렉션: 달 착륙의 기억, 우주 환상곡, 빈티지 패션, 별 사이의 연결. 기습 유물 금고에서 획득하세요.
- 새로운 전사: 섬광 순경, 그랜트. 속도 순경, 평화와 정의의 수호자!
&lt;/ko-KR&gt;
")</f>
        <v>&lt;en-US&gt;
- New, subterra-related plays added to Planet Wars: roam the underground world to earn powerful boosts and destroy enemy Distributors!
- New feature, Mech Clash: a special battlefield for mechs! Choose different mechs and pit them against others to win rewards!
- Added 5th level in Wonder Emporium: special booth for Super Relics only. Display these Relics to power up!
- New Super Relic collections: Moon Landing Memories, Space Fantasia, Vintage Fashion, and Interstellar Connection. Get them from Surprise Relic Vault.
- New Fighter: Flash Cop, Grant. The speedster cop, protector of peace and justice!
&lt;/en-US&gt;
&lt;fr-FR&gt;
- Nouveautés, des jeux liés à la subterra ajoutés à la Guerre planétaire : parcourez le monde souterrain pour obtenir des boosts puissants et détruire les Distributeurs ennemis !
- Nouvelle fonctionnalité, Mech Clash : un champ de bataille spécial pour les méchas ! Choisissez différents méchas et affrontez-les contre d'autres pour gagner des récompenses !
- Ajout du 5ème niveau dans la Halle aux Merveilles : stand spécial pour les Super Reliques uniquement. Exposez ces Reliques pour augmenter votre puissance !
- Nouvelles collections de Super Reliques : Souvenirs de l'Alunissage, Fantaisie Spatiale, Mode Vintage et Connexion Interstellaire. Obtenez-les depuis la Surprise Relic Vault.
- Nouveau combattant : Flic éclair, Grant. Le flic éclair, protecteur de la paix et de la justice !
&lt;/fr-FR&gt;
&lt;de-DE&gt;
- Neue, unterirdische Spielzüge zu Planetenkriege hinzugefügt: Streife durch die unterirdische Welt, um mächtige Boosts zu verdienen und feindliche Verteiler zu zerstören!
- Neue Funktion, Mech Clash: ein besonderes Schlachtfeld für Mechs! Wähle verschiedene Mechs und trete gegen andere an, um Belohnungen zu gewinnen!
- 5. Level im Wunderladen hinzugefügt: Spezieller Stand nur für Superrelikte. Stelle diese Relikte aus, um deine Stärke zu erhöhen!
- Neue Superreliktsammlungen: Mondlandungserinnerungen, Weltraum-Fantasie, Vintage-Mode und Interstellare Verbindung. Erhalte sie aus dem Überraschungsreliktschließfach.
- Neuer Kämpfer: Blitzpolizist, Grant. Der flinke Polizist, Beschützer von Frieden und Gerechtigkeit!
&lt;/de-DE&gt;
&lt;pt-BR&gt;
- Novos jogos relacionados ao subterrâneo adicionados à Guerra Interplanetária: percorra o mundo subterrâneo para ganhar bônus poderosos e destruir Distribuidores inimigos!
- Nova funcionalidade, Mech Clash: um campo de batalha especial para mechs! Escolha diferentes mechs e coloque-os em confronto com outros para ganhar recompensas!
- Adicionado 5º nível no Empório Maravilha: estande especial apenas para Super Relíquias. Exiba essas Relíquias para aumentar o poder!
- Novas coleções de Super Relíquias: Memórias do Pouso na Lua, Fantasia Espacial, Moda Vintage e Conexão Interestelar. Obtenha-as do Cofre Surpresa de Relíquias.
- Novo Combatente: Policial Relâmpago, Grant. O policial velocista, protetor da paz e da justiça!
&lt;/pt-BR&gt;
&lt;zh-HK&gt;
-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新增展覽館第五層：專為超凡收藏品打造，可放置超凡收藏品，增強實力！
- 新增超凡收藏品：登月紀念、太空暢想、復古潮流、星際對接。可通過驚喜藏品屋取得。
- 新英雄：飆速戰警-格蘭特，維護正義與和平的飆速戰警！
&lt;/zh-HK&gt;
&lt;zh-TW&gt;
-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新增展覽館第五層：專為超凡收藏品打造，可放置超凡收藏品，增強實力！
- 新增超凡收藏品：登月紀念、太空暢想、復古潮流、星際對接。可通過驚喜藏品屋取得。
- 新英雄：飆速戰警-格蘭特，維護正義與和平的飆速戰警！
&lt;/zh-TW&gt;
&lt;id&gt;
- Tambahkan permainan baru yang terkait dengan subterra ke Perang Planet: jelajahi Dunia Bawah Tanah untuk mendapatkan Faktor Bonus yang kuat dan hancurkan Distributor musuh!
- Fitur baru, Mech Clash: medan perang khusus untuk mekanik! Pilih mekanik yang berbeda dan adu mereka melawan yang lain untuk memenangkan hadiah!
- Ditambahkan level ke-5 di Emporium Megah: booth khusus hanya untuk Super Relik. Tampilkan Relik ini untuk menambah kekuatan!
- Koleksi Super Relik baru: Kenangan Pendaratan Bulan, Fantasia Angkasa, Mode Vintage, dan Sambungan Antarbintang. Dapatkan mereka dari Surprise Relic Vault.
- Pejuang Baru: Polisi Kilat, Grant. Polisi yang gesit, pelindung perdamaian dan keadilan!
&lt;/id&gt;
&lt;th&gt;
- เพิ่มการเล่นที่เกี่ยวข้องกับโลกใต้พิภพใหม่ในสงครามดาวเคราะห์: สำรวจโลกใต้ดินเพื่อรับบูสต์ที่ทรงพลังและทำลายศัตรูผู้บริจาค!
- ฟีเจอร์ใหม่, Mech Clash: สนามรบพิเศษสำหรับเมค! เลือกเมคที่แตกต่างกันและให้พวกมันต่อสู้กับคนอื่นเพื่อชนะรางวัล!
- เพิ่มเลเวลที่ 5 ในศูนย์การค้าพิศวง: บูธใหม่สำหรับวัตถุโบราณซูเปอร์เท่านั้น แสดงวัตถุโบราณเหล่านี้เพื่อเพิ่มพลัง!
- คอลเลกชันวัตถุโบราณซูเปอร์ใหม่: ความทรงจำของการลงจอดบนดวงจันทร์, แฟนตาเซียอวกาศ, แฟชั่นวินเทจ และการเชื่อมต่อระหว่างดวงดาว รับพวกมันจาก Surprise Relic Vault
- นักสู้ใหม่: ตำรวจแสงสว่าง, แกรนท์ ตำรวจจอมเร็ว, ผู้พิทักษ์สันติภาพและความยุติธรรม!
&lt;/th&gt;
&lt;es-419&gt;
- Nuevas jugadas relacionadas con el subterráneo añadidas a Guerras Planetarias: ¡explora el mundo subterráneo para obtener potenciadores poderosos y destruir Distribuidores enemigos!
- Nueva característica, Choque de Mechs: ¡un campo de batalla especial para mechs! Elige diferentes mechs y enfréntalos contra otros para ganar recompensas.
- Añadido el 5º nivel en el Emporio de Maravillas: estante especial solo para Super Reliquias. ¡Despliega estas Reliquias para aumentar poder!
- Nuevas colecciones de Super Reliquias: Recuerdos del Aterrizaje Lunar, Fantasía Espacial, Moda Vintage y Conexión Interestelar. Consíguelas del Cofre de Reliquias Sorpresa.
- Nuevo Luchador: Policía Relámpago, Grant. ¡El policía velocista, protector de la paz y la justicia!
&lt;/es-419&gt;
&lt;ru-RU&gt;
- Добавлены новые, связанные с подземельем игровые возможности в Планетарные войны: исследуйте подземный мир, чтобы получить мощные усиления и уничтожить распределители врага!
- Новая функция, Механическое Столкновение: особое поле боя для мехов! Выбирайте различных мехов и сражайтесь с другими, чтобы выиграть награды!
- Добавлен 5-й уровень в Чудо-Магазин: специальный стенд только для Супер Реликвий. Выставляйте эти Реликвии, чтобы усилиться!
- Новые коллекции Супер Реликвий: Воспоминания о Посадке на Луну, Космическая фантазия, Винтажная мода и Межзвездное Соединение. Получите их из Сюрпризного хранилища реликвий.
- Новый Герой: Вспышечный полицейский, Грант. Быстроногий полицейский, защитник мира и справедливости!
&lt;/ru-RU&gt;
&lt;tr-TR&gt;
- Gezegen Savaşları'na yeni, yer altı ile ilgili oyunlar eklendi: yer altı dünyasında dolaşın, güçlü güçlendirmeler kazanın ve düşman Distribütörlerini yok edin!
- Yeni özellik, Meka Çatışması: mekalar için özel savaş meydanı! Farklı mekaları seçin ve ödüller kazanmak için diğerleriyle dövüştürün!
- Harikalar Dükkânı'na 5. seviye eklendi: sadece Süper Kalıntılar için özel yeni odacık. Bu Kalıntıları sergileyerek güçlenin!
- Yeni Süper Kalıntı koleksiyonları: Ay İnişi Anıları, Uzay Fantazyası, Eski Moda ve Yıldızlararası Bağlantı. Sürpriz Kalıntı Kasasından onları alın.
- Yeni Savaşçı: Flaş Polis, Grant. Hızlı polis, barış ve adaletin koruyucusu!
&lt;/tr-TR&gt;
&lt;vi&gt;
- Đã thêm các trò chơi mới liên quan đến subterra vào Chiến Tranh Hành Tinh: lang thang trong Thế Giới Ngầm để kiếm được Hệ Số Tăng Thêm mạnh mẽ và phá hủy Trạm Phân Phối của kẻ địch!
- Tính năng mới, Mech Clash: một Chiến Trường Đặc Biệt dành cho cơ khí! Chọn các cơ khí khác nhau và đưa chúng vào chiến đấu với nhau để giành phần thưởng!
- Đã thêm cấp 5 trong CỬA HÀNG DIỆU KỲ: Gian Hàng Mới chỉ dành cho Super Relics. Trưng bày những Di Tích này để Tăng Chiến Lực!
- Bộ sưu tập Super Relic mới: Ký Ức Đáp Trăng, Fantasyland Không Gian, Thời Trang Cổ Điển, và Kết Nối Liên Sao. Nhận chúng từ Surprise Relic Vault.
- Chiến Binh Mới: Cảnh Sát Chớp, Grant. Cảnh sát tốc độ, người bảo vệ hòa bình và công lý!
&lt;/vi&gt;
&lt;it-IT&gt;
- Nuovi giochi legati al sottosuolo aggiunti alle Guerre planetarie: esplora il mondo sotterraneo per ottenere potenziamenti potenti e distruggi i Distributori nemici!
- Nuova funzionalità, Scontro Mech: un campo di battaglia speciale per i mech! Scegli diversi mech e fai combattere loro contro altri per vincere ricompense!
- Aggiunto il 5° livello nell'Emporio Meraviglie: stand speciale solo per Super Reliquie. Esibisci queste Reliquie per aumentare la potenza!
- Nuove collezioni di Super Reliquie: Ricordi dell'Atterraggio sulla Luna, Fantasia Spaziale, Moda Vintage e Connessione Interstellare. Ottienile dalla Sorpresa Reliquia Vault.
- Nuovo Combattente: Poliziotto Lampo, Grant. Il poliziotto velocista, protettore di pace e giustizia!
&lt;/it-IT&gt;
&lt;pl-PL&gt;
- Nuovi giochi legati al sottosuolo aggiunti alle Guerre planetarie: esplora il mondo sotterraneo per ottenere potenziamenti potenti e distruggi i Distributori nemici!
- Nuova funzionalità, Scontro Mech: un campo di battaglia speciale per i mech! Scegli diversi mech e fai combattere loro contro altri per vincere ricompense!
- Aggiunto il 5° livello nell'Emporio Meraviglie: stand speciale solo per Super Reliquie. Esibisci queste Reliquie per aumentare la potenza!
- Nuove collezioni di Super Reliquie: Ricordi dell'Atterraggio sulla Luna, Fantasia Spaziale, Moda Vintage e Connessione Interstellare. Ottienile dalla Sorpresa Reliquia Vault.
- Nuovo Combattente: Poliziotto Lampo, Grant. Il poliziotto velocista, protettore di pace e giustizia!
&lt;/pl-PL&gt;
&lt;ar&gt;
- تم إضافة ألعاب جديدة متعلقة بالعالم السفلي إلى حروب الكوكب: تجول في العالم تحت الأرض لكسب تعزيزات قوية وهدم محطات التوزيع العدو!
- ميزة جديدة، اشتباك الميكا: ساحة معركة خاصة للميكا! اختر ميكا مختلفة وقاتل بها ضد الآخرين للفوز بالجوائز!
- تم إضافة المستوى الخامس في معرض العجائب: كشك خاص للمقتنيات الأسطورية فقط. عرض هذه المقتنيات لرفع القوة!
- مجموعات مقتنيات أسطورية جديدة: ذكريات الهبوط على القمر، فانتازيا الفضاء، أزياء قديمة، والاتصال بين النجوم. احصل عليها من خزنة المقتنيات المفاجئة.
- مقاتل جديد: شرطي الفلاش، جرانت. الشرطي السريع، حامي السلام والعدالة!
&lt;/ar&gt;
&lt;ja-JP&gt;
- 新しい、地下世界関連のプレイがプラネットウォーズに追加されました：地下世界を探索して強力なバフを獲得し、敵の配送所を破壊しましょう！
- 新機能、メカクラッシュ：メカ専用の特殊な戦場！異なるメカを選択し、他のメカと戦って報酬を勝ち取りましょう！
- 展示館に5番目のレベルが追加されました：スーパーレリック専用のブースです。これらのレリックを展示して戦力アップしましょう！
- 新たなスーパーレリックコレクション：月面着陸の思い出、スペースファンタジア、ヴィンテージファッション、星間接続。驚きの遺物ボールトから入手しましょう。
- 新しいファイター：閃光警官、グラント。閃光警官、平和と正義の守護者！
&lt;/ja-JP&gt;
&lt;ko-KR&gt;
- 은하 전쟁에 새로운, 지하 세계 관련 플레이 추가: 지하 세계를 누비며 강력한 부스터를 얻고 적의 갱 배달 스테이션 수를 파괴하세요!
- 새로운 기능, 메카 대결: 메카를 위한 특수 전장! 다양한 메카를 선택하고 다른 메카와 대결하여 보상을 획득하세요!
- 전시관에 5번째 레벨 추가: 슈퍼 유물만을 위한 특별 부스. 이 유물들을 디스플레이하여 파워 업하세요!
- 새로운 슈퍼 유물 컬렉션: 달 착륙의 기억, 우주 환상곡, 빈티지 패션, 별 사이의 연결. 기습 유물 금고에서 획득하세요.
- 새로운 전사: 섬광 순경, 그랜트. 속도 순경, 평화와 정의의 수호자!
&lt;/ko-KR&gt;
</v>
      </c>
      <c r="C68" s="44" t="str">
        <f>IFERROR(__xludf.DUMMYFUNCTION("""COMPUTED_VALUE"""),"- 银河战争新增地底战记的相关玩法：指挥官们可以通过在地下游玩，获得强大的增益，并摧毁敌人的配送站！
- 新增机甲战场：独属于机甲争斗的战场，选择并体验不同机甲的战斗，在战场内畅快对战，赢得奖励吧！
- 新增展览馆第五层：专为超凡收藏品打造，可放置超凡收藏品，增强实力！ 
- 新增超凡收藏品：登月纪念、太空畅想、复古潮流、星际对接。可通过惊喜藏品屋获得。
- 新斗士：飚速战警-格兰特，维护正义与和平的飚速战警！")</f>
        <v>- 银河战争新增地底战记的相关玩法：指挥官们可以通过在地下游玩，获得强大的增益，并摧毁敌人的配送站！
- 新增机甲战场：独属于机甲争斗的战场，选择并体验不同机甲的战斗，在战场内畅快对战，赢得奖励吧！
- 新增展览馆第五层：专为超凡收藏品打造，可放置超凡收藏品，增强实力！ 
- 新增超凡收藏品：登月纪念、太空畅想、复古潮流、星际对接。可通过惊喜藏品屋获得。
- 新斗士：飚速战警-格兰特，维护正义与和平的飚速战警！</v>
      </c>
      <c r="D68" s="159" t="str">
        <f>IFERROR(__xludf.DUMMYFUNCTION("""COMPUTED_VALUE"""),"- New, subterra-related plays added to Planet Wars: roam the underground world to earn powerful boosts and destroy enemy Distributors!
- New feature, Mech Clash: a special battlefield for mechs! Choose different mechs and pit them against others to win re"&amp;"wards!
- Added 5th level in Wonder Emporium: special booth for Super Relics only. Display these Relics to power up!
- New Super Relic collections: Moon Landing Memories, Space Fantasia, Vintage Fashion, and Interstellar Connection. Get them from Surprise "&amp;"Relic Vault.
- New Fighter: Flash Cop, Grant. The speedster cop, protector of peace and justice!")</f>
        <v>- New, subterra-related plays added to Planet Wars: roam the underground world to earn powerful boosts and destroy enemy Distributors!
- New feature, Mech Clash: a special battlefield for mechs! Choose different mechs and pit them against others to win rewards!
- Added 5th level in Wonder Emporium: special booth for Super Relics only. Display these Relics to power up!
- New Super Relic collections: Moon Landing Memories, Space Fantasia, Vintage Fashion, and Interstellar Connection. Get them from Surprise Relic Vault.
- New Fighter: Flash Cop, Grant. The speedster cop, protector of peace and justice!</v>
      </c>
      <c r="E68" s="159" t="str">
        <f>IFERROR(__xludf.DUMMYFUNCTION("""COMPUTED_VALUE"""),"- Nouveautés, des jeux liés à la subterra ajoutés à la Guerre planétaire : parcourez le monde souterrain pour obtenir des boosts puissants et détruire les Distributeurs ennemis !
- Nouvelle fonctionnalité, Mech Clash : un champ de bataille spécial pour le"&amp;"s méchas ! Choisissez différents méchas et affrontez-les contre d'autres pour gagner des récompenses !
- Ajout du 5ème niveau dans la Halle aux Merveilles : stand spécial pour les Super Reliques uniquement. Exposez ces Reliques pour augmenter votre puissa"&amp;"nce !
- Nouvelles collections de Super Reliques : Souvenirs de l'Alunissage, Fantaisie Spatiale, Mode Vintage et Connexion Interstellaire. Obtenez-les depuis la Surprise Relic Vault.
- Nouveau combattant : Flic éclair, Grant. Le flic éclair, protecteur de"&amp;" la paix et de la justice !")</f>
        <v>- Nouveautés, des jeux liés à la subterra ajoutés à la Guerre planétaire : parcourez le monde souterrain pour obtenir des boosts puissants et détruire les Distributeurs ennemis !
- Nouvelle fonctionnalité, Mech Clash : un champ de bataille spécial pour les méchas ! Choisissez différents méchas et affrontez-les contre d'autres pour gagner des récompenses !
- Ajout du 5ème niveau dans la Halle aux Merveilles : stand spécial pour les Super Reliques uniquement. Exposez ces Reliques pour augmenter votre puissance !
- Nouvelles collections de Super Reliques : Souvenirs de l'Alunissage, Fantaisie Spatiale, Mode Vintage et Connexion Interstellaire. Obtenez-les depuis la Surprise Relic Vault.
- Nouveau combattant : Flic éclair, Grant. Le flic éclair, protecteur de la paix et de la justice !</v>
      </c>
      <c r="F68" s="159" t="str">
        <f>IFERROR(__xludf.DUMMYFUNCTION("""COMPUTED_VALUE"""),"- Neue, unterirdische Spielzüge zu Planetenkriege hinzugefügt: Streife durch die unterirdische Welt, um mächtige Boosts zu verdienen und feindliche Verteiler zu zerstören!
- Neue Funktion, Mech Clash: ein besonderes Schlachtfeld für Mechs! Wähle verschied"&amp;"ene Mechs und trete gegen andere an, um Belohnungen zu gewinnen!
- 5. Level im Wunderladen hinzugefügt: Spezieller Stand nur für Superrelikte. Stelle diese Relikte aus, um deine Stärke zu erhöhen!
- Neue Superreliktsammlungen: Mondlandungserinnerungen, We"&amp;"ltraum-Fantasie, Vintage-Mode und Interstellare Verbindung. Erhalte sie aus dem Überraschungsreliktschließfach.
- Neuer Kämpfer: Blitzpolizist, Grant. Der flinke Polizist, Beschützer von Frieden und Gerechtigkeit!")</f>
        <v>- Neue, unterirdische Spielzüge zu Planetenkriege hinzugefügt: Streife durch die unterirdische Welt, um mächtige Boosts zu verdienen und feindliche Verteiler zu zerstören!
- Neue Funktion, Mech Clash: ein besonderes Schlachtfeld für Mechs! Wähle verschiedene Mechs und trete gegen andere an, um Belohnungen zu gewinnen!
- 5. Level im Wunderladen hinzugefügt: Spezieller Stand nur für Superrelikte. Stelle diese Relikte aus, um deine Stärke zu erhöhen!
- Neue Superreliktsammlungen: Mondlandungserinnerungen, Weltraum-Fantasie, Vintage-Mode und Interstellare Verbindung. Erhalte sie aus dem Überraschungsreliktschließfach.
- Neuer Kämpfer: Blitzpolizist, Grant. Der flinke Polizist, Beschützer von Frieden und Gerechtigkeit!</v>
      </c>
      <c r="G68" s="159" t="str">
        <f>IFERROR(__xludf.DUMMYFUNCTION("""COMPUTED_VALUE"""),"- Novos jogos relacionados ao subterrâneo adicionados à Guerra Interplanetária: percorra o mundo subterrâneo para ganhar bônus poderosos e destruir Distribuidores inimigos!
- Nova funcionalidade, Mech Clash: um campo de batalha especial para mechs! Escolh"&amp;"a diferentes mechs e coloque-os em confronto com outros para ganhar recompensas!
- Adicionado 5º nível no Empório Maravilha: estande especial apenas para Super Relíquias. Exiba essas Relíquias para aumentar o poder!
- Novas coleções de Super Relíquias: Me"&amp;"mórias do Pouso na Lua, Fantasia Espacial, Moda Vintage e Conexão Interestelar. Obtenha-as do Cofre Surpresa de Relíquias.
- Novo Combatente: Policial Relâmpago, Grant. O policial velocista, protetor da paz e da justiça!")</f>
        <v>- Novos jogos relacionados ao subterrâneo adicionados à Guerra Interplanetária: percorra o mundo subterrâneo para ganhar bônus poderosos e destruir Distribuidores inimigos!
- Nova funcionalidade, Mech Clash: um campo de batalha especial para mechs! Escolha diferentes mechs e coloque-os em confronto com outros para ganhar recompensas!
- Adicionado 5º nível no Empório Maravilha: estande especial apenas para Super Relíquias. Exiba essas Relíquias para aumentar o poder!
- Novas coleções de Super Relíquias: Memórias do Pouso na Lua, Fantasia Espacial, Moda Vintage e Conexão Interestelar. Obtenha-as do Cofre Surpresa de Relíquias.
- Novo Combatente: Policial Relâmpago, Grant. O policial velocista, protetor da paz e da justiça!</v>
      </c>
      <c r="H68" s="159" t="str">
        <f>IFERROR(__xludf.DUMMYFUNCTION("""COMPUTED_VALUE"""),"-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新增展覽館第五層：專為超凡收藏品打造，可放置超凡收藏品，增強實力！
- 新增超凡收藏品：登月紀念、太空暢想、復古潮流、星際對接。可通過驚喜藏品屋取得。
- 新英雄：飆速戰警-格蘭特，維護正義與和平的飆速戰警！")</f>
        <v>- 銀河戰爭新增地底戰記的相關玩法：指揮官們可以通過在地下遊玩，取得強大的增益，並摧毀敵人的配送站！
- 新增機甲戰場：獨屬於機甲爭鬥的戰場，選擇並體驗不同機甲的戰鬥，在戰場內暢快對戰，贏得獎勵吧！
- 新增展覽館第五層：專為超凡收藏品打造，可放置超凡收藏品，增強實力！
- 新增超凡收藏品：登月紀念、太空暢想、復古潮流、星際對接。可通過驚喜藏品屋取得。
- 新英雄：飆速戰警-格蘭特，維護正義與和平的飆速戰警！</v>
      </c>
      <c r="I68" s="159" t="str">
        <f>IFERROR(__xludf.DUMMYFUNCTION("""COMPUTED_VALUE"""),"- Tambahkan permainan baru yang terkait dengan subterra ke Perang Planet: jelajahi Dunia Bawah Tanah untuk mendapatkan Faktor Bonus yang kuat dan hancurkan Distributor musuh!
- Fitur baru, Mech Clash: medan perang khusus untuk mekanik! Pilih mekanik yang "&amp;"berbeda dan adu mereka melawan yang lain untuk memenangkan hadiah!
- Ditambahkan level ke-5 di Emporium Megah: booth khusus hanya untuk Super Relik. Tampilkan Relik ini untuk menambah kekuatan!
- Koleksi Super Relik baru: Kenangan Pendaratan Bulan, Fantas"&amp;"ia Angkasa, Mode Vintage, dan Sambungan Antarbintang. Dapatkan mereka dari Surprise Relic Vault.
- Pejuang Baru: Polisi Kilat, Grant. Polisi yang gesit, pelindung perdamaian dan keadilan!")</f>
        <v>- Tambahkan permainan baru yang terkait dengan subterra ke Perang Planet: jelajahi Dunia Bawah Tanah untuk mendapatkan Faktor Bonus yang kuat dan hancurkan Distributor musuh!
- Fitur baru, Mech Clash: medan perang khusus untuk mekanik! Pilih mekanik yang berbeda dan adu mereka melawan yang lain untuk memenangkan hadiah!
- Ditambahkan level ke-5 di Emporium Megah: booth khusus hanya untuk Super Relik. Tampilkan Relik ini untuk menambah kekuatan!
- Koleksi Super Relik baru: Kenangan Pendaratan Bulan, Fantasia Angkasa, Mode Vintage, dan Sambungan Antarbintang. Dapatkan mereka dari Surprise Relic Vault.
- Pejuang Baru: Polisi Kilat, Grant. Polisi yang gesit, pelindung perdamaian dan keadilan!</v>
      </c>
      <c r="J68" s="159" t="str">
        <f>IFERROR(__xludf.DUMMYFUNCTION("""COMPUTED_VALUE"""),"- เพิ่มการเล่นที่เกี่ยวข้องกับโลกใต้พิภพใหม่ในสงครามดาวเคราะห์: สำรวจโลกใต้ดินเพื่อรับบูสต์ที่ทรงพลังและทำลายศัตรูผู้บริจาค!
- ฟีเจอร์ใหม่, Mech Clash: สนามรบพิเศษสำหรับเมค! เลือกเมคที่แตกต่างกันและให้พวกมันต่อสู้กับคนอื่นเพื่อชนะรางวัล!
- เพิ่มเลเวลที่ 5"&amp;" ในศูนย์การค้าพิศวง: บูธใหม่สำหรับวัตถุโบราณซูเปอร์เท่านั้น แสดงวัตถุโบราณเหล่านี้เพื่อเพิ่มพลัง!
- คอลเลกชันวัตถุโบราณซูเปอร์ใหม่: ความทรงจำของการลงจอดบนดวงจันทร์, แฟนตาเซียอวกาศ, แฟชั่นวินเทจ และการเชื่อมต่อระหว่างดวงดาว รับพวกมันจาก Surprise Relic Vaul"&amp;"t
- นักสู้ใหม่: ตำรวจแสงสว่าง, แกรนท์ ตำรวจจอมเร็ว, ผู้พิทักษ์สันติภาพและความยุติธรรม!")</f>
        <v>- เพิ่มการเล่นที่เกี่ยวข้องกับโลกใต้พิภพใหม่ในสงครามดาวเคราะห์: สำรวจโลกใต้ดินเพื่อรับบูสต์ที่ทรงพลังและทำลายศัตรูผู้บริจาค!
- ฟีเจอร์ใหม่, Mech Clash: สนามรบพิเศษสำหรับเมค! เลือกเมคที่แตกต่างกันและให้พวกมันต่อสู้กับคนอื่นเพื่อชนะรางวัล!
- เพิ่มเลเวลที่ 5 ในศูนย์การค้าพิศวง: บูธใหม่สำหรับวัตถุโบราณซูเปอร์เท่านั้น แสดงวัตถุโบราณเหล่านี้เพื่อเพิ่มพลัง!
- คอลเลกชันวัตถุโบราณซูเปอร์ใหม่: ความทรงจำของการลงจอดบนดวงจันทร์, แฟนตาเซียอวกาศ, แฟชั่นวินเทจ และการเชื่อมต่อระหว่างดวงดาว รับพวกมันจาก Surprise Relic Vault
- นักสู้ใหม่: ตำรวจแสงสว่าง, แกรนท์ ตำรวจจอมเร็ว, ผู้พิทักษ์สันติภาพและความยุติธรรม!</v>
      </c>
      <c r="K68" s="159" t="str">
        <f>IFERROR(__xludf.DUMMYFUNCTION("""COMPUTED_VALUE"""),"- Nuevas jugadas relacionadas con el subterráneo añadidas a Guerras Planetarias: ¡explora el mundo subterráneo para obtener potenciadores poderosos y destruir Distribuidores enemigos!
- Nueva característica, Choque de Mechs: ¡un campo de batalla especial "&amp;"para mechs! Elige diferentes mechs y enfréntalos contra otros para ganar recompensas.
- Añadido el 5º nivel en el Emporio de Maravillas: estante especial solo para Super Reliquias. ¡Despliega estas Reliquias para aumentar poder!
- Nuevas colecciones de Su"&amp;"per Reliquias: Recuerdos del Aterrizaje Lunar, Fantasía Espacial, Moda Vintage y Conexión Interestelar. Consíguelas del Cofre de Reliquias Sorpresa.
- Nuevo Luchador: Policía Relámpago, Grant. ¡El policía velocista, protector de la paz y la justicia!")</f>
        <v>- Nuevas jugadas relacionadas con el subterráneo añadidas a Guerras Planetarias: ¡explora el mundo subterráneo para obtener potenciadores poderosos y destruir Distribuidores enemigos!
- Nueva característica, Choque de Mechs: ¡un campo de batalla especial para mechs! Elige diferentes mechs y enfréntalos contra otros para ganar recompensas.
- Añadido el 5º nivel en el Emporio de Maravillas: estante especial solo para Super Reliquias. ¡Despliega estas Reliquias para aumentar poder!
- Nuevas colecciones de Super Reliquias: Recuerdos del Aterrizaje Lunar, Fantasía Espacial, Moda Vintage y Conexión Interestelar. Consíguelas del Cofre de Reliquias Sorpresa.
- Nuevo Luchador: Policía Relámpago, Grant. ¡El policía velocista, protector de la paz y la justicia!</v>
      </c>
      <c r="L68" s="159" t="str">
        <f>IFERROR(__xludf.DUMMYFUNCTION("""COMPUTED_VALUE"""),"- Добавлены новые, связанные с подземельем игровые возможности в Планетарные войны: исследуйте подземный мир, чтобы получить мощные усиления и уничтожить распределители врага!
- Новая функция, Механическое Столкновение: особое поле боя для мехов! Выбирайт"&amp;"е различных мехов и сражайтесь с другими, чтобы выиграть награды!
- Добавлен 5-й уровень в Чудо-Магазин: специальный стенд только для Супер Реликвий. Выставляйте эти Реликвии, чтобы усилиться!
- Новые коллекции Супер Реликвий: Воспоминания о Посадке на Лу"&amp;"ну, Космическая фантазия, Винтажная мода и Межзвездное Соединение. Получите их из Сюрпризного хранилища реликвий.
- Новый Герой: Вспышечный полицейский, Грант. Быстроногий полицейский, защитник мира и справедливости!")</f>
        <v>- Добавлены новые, связанные с подземельем игровые возможности в Планетарные войны: исследуйте подземный мир, чтобы получить мощные усиления и уничтожить распределители врага!
- Новая функция, Механическое Столкновение: особое поле боя для мехов! Выбирайте различных мехов и сражайтесь с другими, чтобы выиграть награды!
- Добавлен 5-й уровень в Чудо-Магазин: специальный стенд только для Супер Реликвий. Выставляйте эти Реликвии, чтобы усилиться!
- Новые коллекции Супер Реликвий: Воспоминания о Посадке на Луну, Космическая фантазия, Винтажная мода и Межзвездное Соединение. Получите их из Сюрпризного хранилища реликвий.
- Новый Герой: Вспышечный полицейский, Грант. Быстроногий полицейский, защитник мира и справедливости!</v>
      </c>
      <c r="M68" s="159" t="str">
        <f>IFERROR(__xludf.DUMMYFUNCTION("""COMPUTED_VALUE"""),"- Gezegen Savaşları'na yeni, yer altı ile ilgili oyunlar eklendi: yer altı dünyasında dolaşın, güçlü güçlendirmeler kazanın ve düşman Distribütörlerini yok edin!
- Yeni özellik, Meka Çatışması: mekalar için özel savaş meydanı! Farklı mekaları seçin ve ödü"&amp;"ller kazanmak için diğerleriyle dövüştürün!
- Harikalar Dükkânı'na 5. seviye eklendi: sadece Süper Kalıntılar için özel yeni odacık. Bu Kalıntıları sergileyerek güçlenin!
- Yeni Süper Kalıntı koleksiyonları: Ay İnişi Anıları, Uzay Fantazyası, Eski Moda ve"&amp;" Yıldızlararası Bağlantı. Sürpriz Kalıntı Kasasından onları alın.
- Yeni Savaşçı: Flaş Polis, Grant. Hızlı polis, barış ve adaletin koruyucusu!")</f>
        <v>- Gezegen Savaşları'na yeni, yer altı ile ilgili oyunlar eklendi: yer altı dünyasında dolaşın, güçlü güçlendirmeler kazanın ve düşman Distribütörlerini yok edin!
- Yeni özellik, Meka Çatışması: mekalar için özel savaş meydanı! Farklı mekaları seçin ve ödüller kazanmak için diğerleriyle dövüştürün!
- Harikalar Dükkânı'na 5. seviye eklendi: sadece Süper Kalıntılar için özel yeni odacık. Bu Kalıntıları sergileyerek güçlenin!
- Yeni Süper Kalıntı koleksiyonları: Ay İnişi Anıları, Uzay Fantazyası, Eski Moda ve Yıldızlararası Bağlantı. Sürpriz Kalıntı Kasasından onları alın.
- Yeni Savaşçı: Flaş Polis, Grant. Hızlı polis, barış ve adaletin koruyucusu!</v>
      </c>
      <c r="N68" s="45" t="str">
        <f>IFERROR(__xludf.DUMMYFUNCTION("""COMPUTED_VALUE"""),"- Đã thêm các trò chơi mới liên quan đến subterra vào Chiến Tranh Hành Tinh: lang thang trong Thế Giới Ngầm để kiếm được Hệ Số Tăng Thêm mạnh mẽ và phá hủy Trạm Phân Phối của kẻ địch!
- Tính năng mới, Mech Clash: một Chiến Trường Đặc Biệt dành cho cơ khí!"&amp;" Chọn các cơ khí khác nhau và đưa chúng vào chiến đấu với nhau để giành phần thưởng!
- Đã thêm cấp 5 trong CỬA HÀNG DIỆU KỲ: Gian Hàng Mới chỉ dành cho Super Relics. Trưng bày những Di Tích này để Tăng Chiến Lực!
- Bộ sưu tập Super Relic mới: Ký Ức Đáp Tr"&amp;"ăng, Fantasyland Không Gian, Thời Trang Cổ Điển, và Kết Nối Liên Sao. Nhận chúng từ Surprise Relic Vault.
- Chiến Binh Mới: Cảnh Sát Chớp, Grant. Cảnh sát tốc độ, người bảo vệ hòa bình và công lý!")</f>
        <v>- Đã thêm các trò chơi mới liên quan đến subterra vào Chiến Tranh Hành Tinh: lang thang trong Thế Giới Ngầm để kiếm được Hệ Số Tăng Thêm mạnh mẽ và phá hủy Trạm Phân Phối của kẻ địch!
- Tính năng mới, Mech Clash: một Chiến Trường Đặc Biệt dành cho cơ khí! Chọn các cơ khí khác nhau và đưa chúng vào chiến đấu với nhau để giành phần thưởng!
- Đã thêm cấp 5 trong CỬA HÀNG DIỆU KỲ: Gian Hàng Mới chỉ dành cho Super Relics. Trưng bày những Di Tích này để Tăng Chiến Lực!
- Bộ sưu tập Super Relic mới: Ký Ức Đáp Trăng, Fantasyland Không Gian, Thời Trang Cổ Điển, và Kết Nối Liên Sao. Nhận chúng từ Surprise Relic Vault.
- Chiến Binh Mới: Cảnh Sát Chớp, Grant. Cảnh sát tốc độ, người bảo vệ hòa bình và công lý!</v>
      </c>
      <c r="O68" s="45" t="str">
        <f>IFERROR(__xludf.DUMMYFUNCTION("""COMPUTED_VALUE"""),"- Nuovi giochi legati al sottosuolo aggiunti alle Guerre planetarie: esplora il mondo sotterraneo per ottenere potenziamenti potenti e distruggi i Distributori nemici!
- Nuova funzionalità, Scontro Mech: un campo di battaglia speciale per i mech! Scegli d"&amp;"iversi mech e fai combattere loro contro altri per vincere ricompense!
- Aggiunto il 5° livello nell'Emporio Meraviglie: stand speciale solo per Super Reliquie. Esibisci queste Reliquie per aumentare la potenza!
- Nuove collezioni di Super Reliquie: Ricor"&amp;"di dell'Atterraggio sulla Luna, Fantasia Spaziale, Moda Vintage e Connessione Interstellare. Ottienile dalla Sorpresa Reliquia Vault.
- Nuovo Combattente: Poliziotto Lampo, Grant. Il poliziotto velocista, protettore di pace e giustizia!")</f>
        <v>- Nuovi giochi legati al sottosuolo aggiunti alle Guerre planetarie: esplora il mondo sotterraneo per ottenere potenziamenti potenti e distruggi i Distributori nemici!
- Nuova funzionalità, Scontro Mech: un campo di battaglia speciale per i mech! Scegli diversi mech e fai combattere loro contro altri per vincere ricompense!
- Aggiunto il 5° livello nell'Emporio Meraviglie: stand speciale solo per Super Reliquie. Esibisci queste Reliquie per aumentare la potenza!
- Nuove collezioni di Super Reliquie: Ricordi dell'Atterraggio sulla Luna, Fantasia Spaziale, Moda Vintage e Connessione Interstellare. Ottienile dalla Sorpresa Reliquia Vault.
- Nuovo Combattente: Poliziotto Lampo, Grant. Il poliziotto velocista, protettore di pace e giustizia!</v>
      </c>
      <c r="P68" s="34" t="str">
        <f>IFERROR(__xludf.DUMMYFUNCTION("""COMPUTED_VALUE"""),"- Nuovi giochi legati al sottosuolo aggiunti alle Guerre planetarie: esplora il mondo sotterraneo per ottenere potenziamenti potenti e distruggi i Distributori nemici!
- Nuova funzionalità, Scontro Mech: un campo di battaglia speciale per i mech! Scegli d"&amp;"iversi mech e fai combattere loro contro altri per vincere ricompense!
- Aggiunto il 5° livello nell'Emporio Meraviglie: stand speciale solo per Super Reliquie. Esibisci queste Reliquie per aumentare la potenza!
- Nuove collezioni di Super Reliquie: Ricor"&amp;"di dell'Atterraggio sulla Luna, Fantasia Spaziale, Moda Vintage e Connessione Interstellare. Ottienile dalla Sorpresa Reliquia Vault.
- Nuovo Combattente: Poliziotto Lampo, Grant. Il poliziotto velocista, protettore di pace e giustizia!")</f>
        <v>- Nuovi giochi legati al sottosuolo aggiunti alle Guerre planetarie: esplora il mondo sotterraneo per ottenere potenziamenti potenti e distruggi i Distributori nemici!
- Nuova funzionalità, Scontro Mech: un campo di battaglia speciale per i mech! Scegli diversi mech e fai combattere loro contro altri per vincere ricompense!
- Aggiunto il 5° livello nell'Emporio Meraviglie: stand speciale solo per Super Reliquie. Esibisci queste Reliquie per aumentare la potenza!
- Nuove collezioni di Super Reliquie: Ricordi dell'Atterraggio sulla Luna, Fantasia Spaziale, Moda Vintage e Connessione Interstellare. Ottienile dalla Sorpresa Reliquia Vault.
- Nuovo Combattente: Poliziotto Lampo, Grant. Il poliziotto velocista, protettore di pace e giustizia!</v>
      </c>
      <c r="Q68" s="34" t="str">
        <f>IFERROR(__xludf.DUMMYFUNCTION("""COMPUTED_VALUE"""),"- تم إضافة ألعاب جديدة متعلقة بالعالم السفلي إلى حروب الكوكب: تجول في العالم تحت الأرض لكسب تعزيزات قوية وهدم محطات التوزيع العدو!
- ميزة جديدة، اشتباك الميكا: ساحة معركة خاصة للميكا! اختر ميكا مختلفة وقاتل بها ضد الآخرين للفوز بالجوائز!
- تم إضافة المستو"&amp;"ى الخامس في معرض العجائب: كشك خاص للمقتنيات الأسطورية فقط. عرض هذه المقتنيات لرفع القوة!
- مجموعات مقتنيات أسطورية جديدة: ذكريات الهبوط على القمر، فانتازيا الفضاء، أزياء قديمة، والاتصال بين النجوم. احصل عليها من خزنة المقتنيات المفاجئة.
- مقاتل جديد: شرطي"&amp;" الفلاش، جرانت. الشرطي السريع، حامي السلام والعدالة!")</f>
        <v>- تم إضافة ألعاب جديدة متعلقة بالعالم السفلي إلى حروب الكوكب: تجول في العالم تحت الأرض لكسب تعزيزات قوية وهدم محطات التوزيع العدو!
- ميزة جديدة، اشتباك الميكا: ساحة معركة خاصة للميكا! اختر ميكا مختلفة وقاتل بها ضد الآخرين للفوز بالجوائز!
- تم إضافة المستوى الخامس في معرض العجائب: كشك خاص للمقتنيات الأسطورية فقط. عرض هذه المقتنيات لرفع القوة!
- مجموعات مقتنيات أسطورية جديدة: ذكريات الهبوط على القمر، فانتازيا الفضاء، أزياء قديمة، والاتصال بين النجوم. احصل عليها من خزنة المقتنيات المفاجئة.
- مقاتل جديد: شرطي الفلاش، جرانت. الشرطي السريع، حامي السلام والعدالة!</v>
      </c>
      <c r="R68" s="34" t="str">
        <f>IFERROR(__xludf.DUMMYFUNCTION("""COMPUTED_VALUE"""),"- 新しい、地下世界関連のプレイがプラネットウォーズに追加されました：地下世界を探索して強力なバフを獲得し、敵の配送所を破壊しましょう！
- 新機能、メカクラッシュ：メカ専用の特殊な戦場！異なるメカを選択し、他のメカと戦って報酬を勝ち取りましょう！
- 展示館に5番目のレベルが追加されました：スーパーレリック専用のブースです。これらのレリックを展示して戦力アップしましょう！
- 新たなスーパーレリックコレクション：月面着陸の思い出、スペースファンタジア、ヴィンテージファッション、星間接続。驚きの遺物ボール"&amp;"トから入手しましょう。
- 新しいファイター：閃光警官、グラント。閃光警官、平和と正義の守護者！")</f>
        <v>- 新しい、地下世界関連のプレイがプラネットウォーズに追加されました：地下世界を探索して強力なバフを獲得し、敵の配送所を破壊しましょう！
- 新機能、メカクラッシュ：メカ専用の特殊な戦場！異なるメカを選択し、他のメカと戦って報酬を勝ち取りましょう！
- 展示館に5番目のレベルが追加されました：スーパーレリック専用のブースです。これらのレリックを展示して戦力アップしましょう！
- 新たなスーパーレリックコレクション：月面着陸の思い出、スペースファンタジア、ヴィンテージファッション、星間接続。驚きの遺物ボールトから入手しましょう。
- 新しいファイター：閃光警官、グラント。閃光警官、平和と正義の守護者！</v>
      </c>
      <c r="S68" s="34" t="str">
        <f>IFERROR(__xludf.DUMMYFUNCTION("""COMPUTED_VALUE"""),"- 은하 전쟁에 새로운, 지하 세계 관련 플레이 추가: 지하 세계를 누비며 강력한 부스터를 얻고 적의 갱 배달 스테이션 수를 파괴하세요!
- 새로운 기능, 메카 대결: 메카를 위한 특수 전장! 다양한 메카를 선택하고 다른 메카와 대결하여 보상을 획득하세요!
- 전시관에 5번째 레벨 추가: 슈퍼 유물만을 위한 특별 부스. 이 유물들을 디스플레이하여 파워 업하세요!
- 새로운 슈퍼 유물 컬렉션: 달 착륙의 기억, 우주 환상곡, 빈티지 패션, 별 사이의 연결"&amp;". 기습 유물 금고에서 획득하세요.
- 새로운 전사: 섬광 순경, 그랜트. 속도 순경, 평화와 정의의 수호자!")</f>
        <v>- 은하 전쟁에 새로운, 지하 세계 관련 플레이 추가: 지하 세계를 누비며 강력한 부스터를 얻고 적의 갱 배달 스테이션 수를 파괴하세요!
- 새로운 기능, 메카 대결: 메카를 위한 특수 전장! 다양한 메카를 선택하고 다른 메카와 대결하여 보상을 획득하세요!
- 전시관에 5번째 레벨 추가: 슈퍼 유물만을 위한 특별 부스. 이 유물들을 디스플레이하여 파워 업하세요!
- 새로운 슈퍼 유물 컬렉션: 달 착륙의 기억, 우주 환상곡, 빈티지 패션, 별 사이의 연결. 기습 유물 금고에서 획득하세요.
- 새로운 전사: 섬광 순경, 그랜트. 속도 순경, 평화와 정의의 수호자!</v>
      </c>
      <c r="T68" s="108"/>
      <c r="U68" s="108"/>
      <c r="V68" s="108"/>
      <c r="W68" s="108"/>
      <c r="X68" s="108"/>
      <c r="Y68" s="108"/>
      <c r="Z68" s="108"/>
    </row>
    <row r="69">
      <c r="A69" s="149" t="str">
        <f>IFERROR(__xludf.DUMMYFUNCTION("""COMPUTED_VALUE"""),"0.60.0")</f>
        <v>0.60.0</v>
      </c>
      <c r="B69" s="174" t="str">
        <f>IFERROR(__xludf.DUMMYFUNCTION("""COMPUTED_VALUE"""),"&lt;en-US&gt;
-New Fighter: Herculean Ape - Kane. Dreaming of space travel, a Herculean ape wielding a Rocket hammer!
-New Robber Ape: Will randomly appear in all levels, defeating it gives you extra rewards.
-Battle Report: Added Highlight Reel, recording the "&amp;"deployment of troop equipment skills and unit skills.
-Research: Added a second research queue, unlockable by purchasing packs.
-Operation Mutants:New BOSS: Lava Berserker, will appear at levels 21-25.
&lt;/en-US&gt;
&lt;fr-FR&gt;
-Nouveau combattant : Singe Hercule "&amp;"- Kane. Rêvant de voyages spatiaux, un singe Hercule maniant un marteau FUSEE !
-Nouveau Voleur primate : Apparaîtra aléatoirement dans tous les niveaux, le vaincre vous donne des récompenses supplémentaires.
-Rapport de bataille : Ajout d'une Bobine des "&amp;"temps forts, enregistrant le déploiement des compétences d'équipement et des compétences d'unité.
-Recherche : Ajout d'une seconde file d'attente de recherche, déblocable en achetant des packs.
-Opération mutants : NOUV. BOSS : Berserker de Lave, apparaît"&amp;"ra aux niveaux 21-25.
&lt;/fr-FR&gt;
&lt;de-DE&gt;
-Neuer Kämpfer: Herkulesaffe - Kane. Träumend von der Raumfahrt, ein Herkulesaffe, der einen RAKETE-Hammer schwingt!
-Neuer Räuber-Affe: Erscheint zufällig auf allen Leveln, seine Niederlage bringt dir Extra-Belohnun"&amp;"gen.
-Kampfbericht: Highlight-Zusammenfassung hinzugefügt, zeichnet den Einsatz von Ausrüstungsfähigkeiten und Einheiten-Fähigkeiten der Truppen auf.
-Forschung: Eine zweite Forschungswarteschlange hinzugefügt, freischaltbar durch den Kauf von Paketen.
-O"&amp;"peration Mutanten: NEUER BOSS: Lava-Berserker, erscheint auf den Leveln 21-25.
&lt;/de-DE&gt;
&lt;pt-BR&gt;
-Novo combatente: Macaco Hercúleo - Kane. Sonhando com viagens espaciais, um Macaco Hercúleo empunhando um martelo FOGUETE!
-Novo Macaco Assaltante: Aparecerá "&amp;"aleatoriamente em todos os níveis, derrotá-lo concede recompensas extras.
-Relatório da batalha: Adicionada Bobina de Destaques, registrando o destacamento de habilidades de equipamento de tropas e habilidades de unidade.
-Pesquisa: Adicionada uma segunda"&amp;" fila de pesquisa, desbloqueável pela compra de pacotes.
-Operação Mutantes: NOVO CHEFE: Frenesi de Lava, aparecerá nos níveis 21-25.
&lt;/pt-BR&gt;
&lt;zh-HK&gt;
-新增鬥士：大力神猿-凱恩，心懷航天夢，肩扛火箭槌的大力神猿！;
-新增盜寶猴：將在所有難度中隨機出現，擊敗可獲得額外獎勵；
-戰報：新增高光時刻，記錄部隊戰裝技能和兵種技能的釋放情況；
-科研：新增科研第二"&amp;"隊列，購買禮包即可解鎖；
-圍剿變異猴：新增BOSS：熔岩狂暴者，將在難度21-25出現；
&lt;/zh-HK&gt;
&lt;zh-TW&gt;
-新增鬥士：大力神猿-凱恩，心懷航天夢，肩扛火箭槌的大力神猿！;
-新增盜寶猴：將在所有難度中隨機出現，擊敗可獲得額外獎勵；
-戰報：新增高光時刻，記錄部隊戰裝技能和兵種技能的釋放情況；
-科研：新增科研第二隊列，購買禮包即可解鎖；
-圍剿變異猴：新增BOSS：熔岩狂暴者，將在難度21-25出現；
&lt;/zh-TW&gt;
&lt;id&gt;
-Pejuang Baru: Kera Perkasa "&amp;"- Kane. Bermimpi tentang perjalanan luar angkasa, seekor Kera Perkasa mengayunkan palu ROKET!
-Perampok Kera Baru: Akan muncul secara acak di semua level, mengalahkannya memberikan hadiah ekstra.
-Laporan Pertempuran: Menambahkan Reel Sorotan, merekam pen"&amp;"yebaran keahlian peralatan pasukan dan keahlian unit.
-Penelitian: Menambahkan antrian penelitian kedua, dapat dibuka dengan membeli paket.
-Pengepungan Kera Mutan: BOSS BARU: Lava Amuk, akan muncul pada level 21-25.
&lt;/id&gt;
&lt;th&gt;
-นักสู้ตัวใหม่: ลิงแกร่งเฮอ"&amp;"ร์คิวลีส - เคน ฝันถึงการเดินทางในอวกาศ ลิงแกร่งเฮอร์คิวลีสถือค้อนจรวด!
-โม่งลิงใหม่: จะปรากฏขึ้นแบบสุ่มในทุกเลเวล การกำจัดมันจะให้รางวัลพิเศษแก่คุณ
-รายงานการต่อสู้: เพิ่มรีลไฮไลท์ บันทึกการออกสนามรบของทักษะอุปกรณ์และทักษะของหน่วย
-การวิจัย: เพิ่มคิววิจัย"&amp;"ที่สอง สามารถปลดล็อกได้โดยการซื้อแพ็ก
-ปฏิบัติการตัวกลายพันธุ์:บอสใหม่: ลาวาคลั่ง, จะปรากฏในเลเวล 21-25.
&lt;/th&gt;
&lt;es-419&gt;
-Nuevo Luchador: Mono Herculino - Kane. ¡Soñando con viajes espaciales, un Mono Herculino empuñando un martillo Cohete!
-Nuevo Ladrón S"&amp;"imio: Aparecerá aleatoriamente en todos los niveles, al derrotarlo te otorga recompensas extra.
-Informe de la batalla: Se añadió Bobina de Destacados, registrando el despliegue de habilidades de equipo y habilidades de unidad.
-Investigación: Se añadió u"&amp;"na segunda cola de investigación, desbloqueable mediante la compra de paquetes.
-Operación Mutantes: NUEVO JEFE: Bersérker de Lava, aparecerá en los niveles 21-25.
&lt;/es-419&gt;
&lt;ru-RU&gt;
-Новый герой: Геркулесова Обезьяна - Кейн. Мечтая о космических путешеств"&amp;"иях, Геркулесова Обезьяна с молотом Ракета!
-Новый Грабитель Обезьяна: Будет случайно появляться на всех уровнях, победа над ним дает дополнительные награды.
-Отчет о бое: Добавлена Подборка Лучших Моментов, записывающая использование навыков снаряжения в"&amp;"ойск и навыков отрядов.
-Исследование: Добавлена вторая очередь исследований, доступная для разблокировки путем покупки наборов.
-Операция «Мутанты»: НОВОЕ: Босс Лавовый Берсерк появится на уровнях 21-25.
&lt;/ru-RU&gt;
&lt;tr-TR&gt;
-Yeni Savaşçı: Herkül Maymun - Ka"&amp;"ne. Uzay seyahati hayali kuran, bir Roket çekiç sallayan Herkül Maymun!
-Yeni Soyguncu Maymun: Tüm seviyelerde rastgele belirecek, yenilmesi size ekstra ödüller kazandırır.
-Savaş Raporu: Öne Çıkanlar eklendi, birlik ekipman becerilerinin ve birim beceril"&amp;"erinin kullanımını kaydediyor.
-Araştırma: İkinci bir araştırma kuyruğu eklendi, paket satın alarak kilidini açabilirsiniz.
-Mutant Operasyonu:Yeni PATRON: Lav Çılgını, 21-25 seviyelerinde belirecek.
&lt;/tr-TR&gt;
&lt;vi&gt;
-Chiến Binh Mới: Khỉ Sức Mạnh Huyền Thoại"&amp;" - Kane. Mơ ước về chuyến du hành không gian, một Khỉ Sức Mạnh Huyền Thoại cầm chiếc búa Hỏa Tiễn!
-Kẻ Cướp Vượn Mới: Sẽ xuất hiện ngẫu nhiên ở tất cả các cấp độ, đánh bại chúng sẽ nhận được phần thưởng thêm.
-Chiến Báo: Đã thêm Cuốn Phim Nổi Bật, ghi lại"&amp;" việc triển khai kỹ năng trang bị và kỹ năng binh chủng của quân đội.
-Nghiên Cứu: Đã thêm hàng đợi nghiên cứu thứ hai, có thể mở khóa bằng cách mua gói.
-Vây Quét Khỉ Đột Biến: BOSS MỚI: Cuồng Hầu Dung Nham, sẽ xuất hiện ở cấp 21-25.
&lt;/vi&gt;
&lt;it-IT&gt;
-Nuovo"&amp;" Combattente: Scimmia Ercole - Kane. Sognando il viaggio spaziale, una Scimmia Ercole che brandisce un martello Razzo!
-Nuovo Ladro Scimmia: Apparirà casualmente in tutti i livelli, sconfiggerlo ti darà ricompense extra.
-Rapporto battaglia: Aggiunta Rass"&amp;"egna dei momenti salienti, che registra lo schieramento delle abilità di equipaggiamento delle truppe e delle abilità dell'unità.
-Ricerca: Aggiunta una seconda coda di ricerca, sbloccabile acquistando pacchetti.
-Operazione Mutanti: NUOVO BOSS: Berserker"&amp;" Lavico, apparirà ai livelli 21-25.
&lt;/it-IT&gt;
&lt;pl-PL&gt;
-Nowy Wojownik: Herkulesowa Małpa - Kane. Marząc o podróży kosmicznej, Herkulesowa Małpa dzierżąca Młot Rakieta!
-Nowy Rabuś Małpa: Będzie pojawiał się losowo na wszystkich poziomach, jego pokonanie zap"&amp;"ewnia dodatkowe nagrody.
-Raport z bitwy: Dodano Skrót Najważniejszych Momentów, rejestrujący rozmieszczenie umiejętności wyposażenia oddziałów i umiejętności jednostek.
-Badania: Dodano drugą kolejkę badań, możliwą do odblokowania poprzez zakup pakietów."&amp;"
-Operacja Mutanty: NOWY BOSS: Berserker Lawy, pojawi się na poziomach 21-25.
&lt;/pl-PL&gt;
&lt;ar&gt;
-مقاتل جديد: قرد هرقل - كين. يحلم بالسفر إلى الفضاء، قرد هرقل يتقلد مطرقة الصاروخ!
-قرد السارق الجديد: سيظهر بشكل عشوائي في جميع المستويات، هزيمته تمنحك مكافآت إضا"&amp;"فية.
-تقرير المعركة: تم إضافة شريط الأبرز، يسجل نشر مهارات تجهيز القوات ومهارات الوحدة.
-البحث: تم إضافة قائمة بحث ثانية، يمكن فتحها عن طريق شراء الباقات.
-عملية المسوخ: رئيس جديد: الهيجان البركاني، سيظهر في المستويات 21-25.
&lt;/ar&gt;
&lt;ja-JP&gt;
-新しいファイター: ヘラクレス"&amp;"エイプ - カネ。宇宙旅行を夢見る、ロケットハンマーを振るうヘラクレスエイプ！
-新しい強盗エイプ: 全てのレベルでランダムに出現し、倒すと追加報酬がもらえます。
-戦闘報告書: ハイライトリールを追加し、部隊の装備スキルとユニットスキルの配置を記録します。
-研究: パックを購入することでアンロック可能な、第二の研究キューを追加しました。
-変異エイプ殲滅作戦:NEW BOSS: 溶岩バーサーカーがレベル21-25に登場します。
&lt;/ja-JP&gt;
&lt;ko-KR&gt;
-새로운 전사: 헤라클레스 원숭이 -"&amp;" 케인. 우주 여행을 꿈꾸는, 로켓 망치를 휘두르는 헤라클레스 원숭이!
-새로운 강도 원숭이: 모든 레벨에서 무작위로 나타나며, 패배시 추가 보상을 줍니다.
-전투 보고서: 하이라이트 리얼 추가, 부대 장비 스킬과 유닛 스킬의 배치를 기록합니다.
-연구: 두 번째 연구 대기열 추가, 패키지들을 구매하여 잠금 해제할 수 있습니다.
-변이 원숭이 토벌:새로운 보스: 용암 난폭한, 레벨 21-25에서 등장합니다.
&lt;/ko-KR&gt;
")</f>
        <v>&lt;en-US&gt;
-New Fighter: Herculean Ape - Kane. Dreaming of space travel, a Herculean ape wielding a Rocket hammer!
-New Robber Ape: Will randomly appear in all levels, defeating it gives you extra rewards.
-Battle Report: Added Highlight Reel, recording the deployment of troop equipment skills and unit skills.
-Research: Added a second research queue, unlockable by purchasing packs.
-Operation Mutants:New BOSS: Lava Berserker, will appear at levels 21-25.
&lt;/en-US&gt;
&lt;fr-FR&gt;
-Nouveau combattant : Singe Hercule - Kane. Rêvant de voyages spatiaux, un singe Hercule maniant un marteau FUSEE !
-Nouveau Voleur primate : Apparaîtra aléatoirement dans tous les niveaux, le vaincre vous donne des récompenses supplémentaires.
-Rapport de bataille : Ajout d'une Bobine des temps forts, enregistrant le déploiement des compétences d'équipement et des compétences d'unité.
-Recherche : Ajout d'une seconde file d'attente de recherche, déblocable en achetant des packs.
-Opération mutants : NOUV. BOSS : Berserker de Lave, apparaîtra aux niveaux 21-25.
&lt;/fr-FR&gt;
&lt;de-DE&gt;
-Neuer Kämpfer: Herkulesaffe - Kane. Träumend von der Raumfahrt, ein Herkulesaffe, der einen RAKETE-Hammer schwingt!
-Neuer Räuber-Affe: Erscheint zufällig auf allen Leveln, seine Niederlage bringt dir Extra-Belohnungen.
-Kampfbericht: Highlight-Zusammenfassung hinzugefügt, zeichnet den Einsatz von Ausrüstungsfähigkeiten und Einheiten-Fähigkeiten der Truppen auf.
-Forschung: Eine zweite Forschungswarteschlange hinzugefügt, freischaltbar durch den Kauf von Paketen.
-Operation Mutanten: NEUER BOSS: Lava-Berserker, erscheint auf den Leveln 21-25.
&lt;/de-DE&gt;
&lt;pt-BR&gt;
-Novo combatente: Macaco Hercúleo - Kane. Sonhando com viagens espaciais, um Macaco Hercúleo empunhando um martelo FOGUETE!
-Novo Macaco Assaltante: Aparecerá aleatoriamente em todos os níveis, derrotá-lo concede recompensas extras.
-Relatório da batalha: Adicionada Bobina de Destaques, registrando o destacamento de habilidades de equipamento de tropas e habilidades de unidade.
-Pesquisa: Adicionada uma segunda fila de pesquisa, desbloqueável pela compra de pacotes.
-Operação Mutantes: NOVO CHEFE: Frenesi de Lava, aparecerá nos níveis 21-25.
&lt;/pt-BR&gt;
&lt;zh-HK&gt;
-新增鬥士：大力神猿-凱恩，心懷航天夢，肩扛火箭槌的大力神猿！;
-新增盜寶猴：將在所有難度中隨機出現，擊敗可獲得額外獎勵；
-戰報：新增高光時刻，記錄部隊戰裝技能和兵種技能的釋放情況；
-科研：新增科研第二隊列，購買禮包即可解鎖；
-圍剿變異猴：新增BOSS：熔岩狂暴者，將在難度21-25出現；
&lt;/zh-HK&gt;
&lt;zh-TW&gt;
-新增鬥士：大力神猿-凱恩，心懷航天夢，肩扛火箭槌的大力神猿！;
-新增盜寶猴：將在所有難度中隨機出現，擊敗可獲得額外獎勵；
-戰報：新增高光時刻，記錄部隊戰裝技能和兵種技能的釋放情況；
-科研：新增科研第二隊列，購買禮包即可解鎖；
-圍剿變異猴：新增BOSS：熔岩狂暴者，將在難度21-25出現；
&lt;/zh-TW&gt;
&lt;id&gt;
-Pejuang Baru: Kera Perkasa - Kane. Bermimpi tentang perjalanan luar angkasa, seekor Kera Perkasa mengayunkan palu ROKET!
-Perampok Kera Baru: Akan muncul secara acak di semua level, mengalahkannya memberikan hadiah ekstra.
-Laporan Pertempuran: Menambahkan Reel Sorotan, merekam penyebaran keahlian peralatan pasukan dan keahlian unit.
-Penelitian: Menambahkan antrian penelitian kedua, dapat dibuka dengan membeli paket.
-Pengepungan Kera Mutan: BOSS BARU: Lava Amuk, akan muncul pada level 21-25.
&lt;/id&gt;
&lt;th&gt;
-นักสู้ตัวใหม่: ลิงแกร่งเฮอร์คิวลีส - เคน ฝันถึงการเดินทางในอวกาศ ลิงแกร่งเฮอร์คิวลีสถือค้อนจรวด!
-โม่งลิงใหม่: จะปรากฏขึ้นแบบสุ่มในทุกเลเวล การกำจัดมันจะให้รางวัลพิเศษแก่คุณ
-รายงานการต่อสู้: เพิ่มรีลไฮไลท์ บันทึกการออกสนามรบของทักษะอุปกรณ์และทักษะของหน่วย
-การวิจัย: เพิ่มคิววิจัยที่สอง สามารถปลดล็อกได้โดยการซื้อแพ็ก
-ปฏิบัติการตัวกลายพันธุ์:บอสใหม่: ลาวาคลั่ง, จะปรากฏในเลเวล 21-25.
&lt;/th&gt;
&lt;es-419&gt;
-Nuevo Luchador: Mono Herculino - Kane. ¡Soñando con viajes espaciales, un Mono Herculino empuñando un martillo Cohete!
-Nuevo Ladrón Simio: Aparecerá aleatoriamente en todos los niveles, al derrotarlo te otorga recompensas extra.
-Informe de la batalla: Se añadió Bobina de Destacados, registrando el despliegue de habilidades de equipo y habilidades de unidad.
-Investigación: Se añadió una segunda cola de investigación, desbloqueable mediante la compra de paquetes.
-Operación Mutantes: NUEVO JEFE: Bersérker de Lava, aparecerá en los niveles 21-25.
&lt;/es-419&gt;
&lt;ru-RU&gt;
-Новый герой: Геркулесова Обезьяна - Кейн. Мечтая о космических путешествиях, Геркулесова Обезьяна с молотом Ракета!
-Новый Грабитель Обезьяна: Будет случайно появляться на всех уровнях, победа над ним дает дополнительные награды.
-Отчет о бое: Добавлена Подборка Лучших Моментов, записывающая использование навыков снаряжения войск и навыков отрядов.
-Исследование: Добавлена вторая очередь исследований, доступная для разблокировки путем покупки наборов.
-Операция «Мутанты»: НОВОЕ: Босс Лавовый Берсерк появится на уровнях 21-25.
&lt;/ru-RU&gt;
&lt;tr-TR&gt;
-Yeni Savaşçı: Herkül Maymun - Kane. Uzay seyahati hayali kuran, bir Roket çekiç sallayan Herkül Maymun!
-Yeni Soyguncu Maymun: Tüm seviyelerde rastgele belirecek, yenilmesi size ekstra ödüller kazandırır.
-Savaş Raporu: Öne Çıkanlar eklendi, birlik ekipman becerilerinin ve birim becerilerinin kullanımını kaydediyor.
-Araştırma: İkinci bir araştırma kuyruğu eklendi, paket satın alarak kilidini açabilirsiniz.
-Mutant Operasyonu:Yeni PATRON: Lav Çılgını, 21-25 seviyelerinde belirecek.
&lt;/tr-TR&gt;
&lt;vi&gt;
-Chiến Binh Mới: Khỉ Sức Mạnh Huyền Thoại - Kane. Mơ ước về chuyến du hành không gian, một Khỉ Sức Mạnh Huyền Thoại cầm chiếc búa Hỏa Tiễn!
-Kẻ Cướp Vượn Mới: Sẽ xuất hiện ngẫu nhiên ở tất cả các cấp độ, đánh bại chúng sẽ nhận được phần thưởng thêm.
-Chiến Báo: Đã thêm Cuốn Phim Nổi Bật, ghi lại việc triển khai kỹ năng trang bị và kỹ năng binh chủng của quân đội.
-Nghiên Cứu: Đã thêm hàng đợi nghiên cứu thứ hai, có thể mở khóa bằng cách mua gói.
-Vây Quét Khỉ Đột Biến: BOSS MỚI: Cuồng Hầu Dung Nham, sẽ xuất hiện ở cấp 21-25.
&lt;/vi&gt;
&lt;it-IT&gt;
-Nuovo Combattente: Scimmia Ercole - Kane. Sognando il viaggio spaziale, una Scimmia Ercole che brandisce un martello Razzo!
-Nuovo Ladro Scimmia: Apparirà casualmente in tutti i livelli, sconfiggerlo ti darà ricompense extra.
-Rapporto battaglia: Aggiunta Rassegna dei momenti salienti, che registra lo schieramento delle abilità di equipaggiamento delle truppe e delle abilità dell'unità.
-Ricerca: Aggiunta una seconda coda di ricerca, sbloccabile acquistando pacchetti.
-Operazione Mutanti: NUOVO BOSS: Berserker Lavico, apparirà ai livelli 21-25.
&lt;/it-IT&gt;
&lt;pl-PL&gt;
-Nowy Wojownik: Herkulesowa Małpa - Kane. Marząc o podróży kosmicznej, Herkulesowa Małpa dzierżąca Młot Rakieta!
-Nowy Rabuś Małpa: Będzie pojawiał się losowo na wszystkich poziomach, jego pokonanie zapewnia dodatkowe nagrody.
-Raport z bitwy: Dodano Skrót Najważniejszych Momentów, rejestrujący rozmieszczenie umiejętności wyposażenia oddziałów i umiejętności jednostek.
-Badania: Dodano drugą kolejkę badań, możliwą do odblokowania poprzez zakup pakietów.
-Operacja Mutanty: NOWY BOSS: Berserker Lawy, pojawi się na poziomach 21-25.
&lt;/pl-PL&gt;
&lt;ar&gt;
-مقاتل جديد: قرد هرقل - كين. يحلم بالسفر إلى الفضاء، قرد هرقل يتقلد مطرقة الصاروخ!
-قرد السارق الجديد: سيظهر بشكل عشوائي في جميع المستويات، هزيمته تمنحك مكافآت إضافية.
-تقرير المعركة: تم إضافة شريط الأبرز، يسجل نشر مهارات تجهيز القوات ومهارات الوحدة.
-البحث: تم إضافة قائمة بحث ثانية، يمكن فتحها عن طريق شراء الباقات.
-عملية المسوخ: رئيس جديد: الهيجان البركاني، سيظهر في المستويات 21-25.
&lt;/ar&gt;
&lt;ja-JP&gt;
-新しいファイター: ヘラクレスエイプ - カネ。宇宙旅行を夢見る、ロケットハンマーを振るうヘラクレスエイプ！
-新しい強盗エイプ: 全てのレベルでランダムに出現し、倒すと追加報酬がもらえます。
-戦闘報告書: ハイライトリールを追加し、部隊の装備スキルとユニットスキルの配置を記録します。
-研究: パックを購入することでアンロック可能な、第二の研究キューを追加しました。
-変異エイプ殲滅作戦:NEW BOSS: 溶岩バーサーカーがレベル21-25に登場します。
&lt;/ja-JP&gt;
&lt;ko-KR&gt;
-새로운 전사: 헤라클레스 원숭이 - 케인. 우주 여행을 꿈꾸는, 로켓 망치를 휘두르는 헤라클레스 원숭이!
-새로운 강도 원숭이: 모든 레벨에서 무작위로 나타나며, 패배시 추가 보상을 줍니다.
-전투 보고서: 하이라이트 리얼 추가, 부대 장비 스킬과 유닛 스킬의 배치를 기록합니다.
-연구: 두 번째 연구 대기열 추가, 패키지들을 구매하여 잠금 해제할 수 있습니다.
-변이 원숭이 토벌:새로운 보스: 용암 난폭한, 레벨 21-25에서 등장합니다.
&lt;/ko-KR&gt;
</v>
      </c>
      <c r="C69" s="44" t="str">
        <f>IFERROR(__xludf.DUMMYFUNCTION("""COMPUTED_VALUE"""),"-新增斗士：大力神猿-凯恩，心怀航天梦，肩扛火箭槌的大力神猿！;
-新增盗宝猴：将在所有难度中随机出现，击败可获得额外奖励；
-战报：新增高光时刻，记录部队战装技能和兵种技能的释放情况；
-科研：新增科研第二队列，购买礼包即可解锁；
-围剿变异猴：新增BOSS：熔岩狂暴者，将在难度21-25出现；")</f>
        <v>-新增斗士：大力神猿-凯恩，心怀航天梦，肩扛火箭槌的大力神猿！;
-新增盗宝猴：将在所有难度中随机出现，击败可获得额外奖励；
-战报：新增高光时刻，记录部队战装技能和兵种技能的释放情况；
-科研：新增科研第二队列，购买礼包即可解锁；
-围剿变异猴：新增BOSS：熔岩狂暴者，将在难度21-25出现；</v>
      </c>
      <c r="D69" s="159" t="str">
        <f>IFERROR(__xludf.DUMMYFUNCTION("""COMPUTED_VALUE"""),"-New Fighter: Herculean Ape - Kane. Dreaming of space travel, a Herculean ape wielding a Rocket hammer!
-New Robber Ape: Will randomly appear in all levels, defeating it gives you extra rewards.
-Battle Report: Added Highlight Reel, recording the deployme"&amp;"nt of troop equipment skills and unit skills.
-Research: Added a second research queue, unlockable by purchasing packs.
-Operation Mutants:New BOSS: Lava Berserker, will appear at levels 21-25.")</f>
        <v>-New Fighter: Herculean Ape - Kane. Dreaming of space travel, a Herculean ape wielding a Rocket hammer!
-New Robber Ape: Will randomly appear in all levels, defeating it gives you extra rewards.
-Battle Report: Added Highlight Reel, recording the deployment of troop equipment skills and unit skills.
-Research: Added a second research queue, unlockable by purchasing packs.
-Operation Mutants:New BOSS: Lava Berserker, will appear at levels 21-25.</v>
      </c>
      <c r="E69" s="159" t="str">
        <f>IFERROR(__xludf.DUMMYFUNCTION("""COMPUTED_VALUE"""),"-Nouveau combattant : Singe Hercule - Kane. Rêvant de voyages spatiaux, un singe Hercule maniant un marteau FUSEE !
-Nouveau Voleur primate : Apparaîtra aléatoirement dans tous les niveaux, le vaincre vous donne des récompenses supplémentaires.
-Rapport d"&amp;"e bataille : Ajout d'une Bobine des temps forts, enregistrant le déploiement des compétences d'équipement et des compétences d'unité.
-Recherche : Ajout d'une seconde file d'attente de recherche, déblocable en achetant des packs.
-Opération mutants : NOUV"&amp;". BOSS : Berserker de Lave, apparaîtra aux niveaux 21-25.")</f>
        <v>-Nouveau combattant : Singe Hercule - Kane. Rêvant de voyages spatiaux, un singe Hercule maniant un marteau FUSEE !
-Nouveau Voleur primate : Apparaîtra aléatoirement dans tous les niveaux, le vaincre vous donne des récompenses supplémentaires.
-Rapport de bataille : Ajout d'une Bobine des temps forts, enregistrant le déploiement des compétences d'équipement et des compétences d'unité.
-Recherche : Ajout d'une seconde file d'attente de recherche, déblocable en achetant des packs.
-Opération mutants : NOUV. BOSS : Berserker de Lave, apparaîtra aux niveaux 21-25.</v>
      </c>
      <c r="F69" s="159" t="str">
        <f>IFERROR(__xludf.DUMMYFUNCTION("""COMPUTED_VALUE"""),"-Neuer Kämpfer: Herkulesaffe - Kane. Träumend von der Raumfahrt, ein Herkulesaffe, der einen RAKETE-Hammer schwingt!
-Neuer Räuber-Affe: Erscheint zufällig auf allen Leveln, seine Niederlage bringt dir Extra-Belohnungen.
-Kampfbericht: Highlight-Zusammenf"&amp;"assung hinzugefügt, zeichnet den Einsatz von Ausrüstungsfähigkeiten und Einheiten-Fähigkeiten der Truppen auf.
-Forschung: Eine zweite Forschungswarteschlange hinzugefügt, freischaltbar durch den Kauf von Paketen.
-Operation Mutanten: NEUER BOSS: Lava-Ber"&amp;"serker, erscheint auf den Leveln 21-25.")</f>
        <v>-Neuer Kämpfer: Herkulesaffe - Kane. Träumend von der Raumfahrt, ein Herkulesaffe, der einen RAKETE-Hammer schwingt!
-Neuer Räuber-Affe: Erscheint zufällig auf allen Leveln, seine Niederlage bringt dir Extra-Belohnungen.
-Kampfbericht: Highlight-Zusammenfassung hinzugefügt, zeichnet den Einsatz von Ausrüstungsfähigkeiten und Einheiten-Fähigkeiten der Truppen auf.
-Forschung: Eine zweite Forschungswarteschlange hinzugefügt, freischaltbar durch den Kauf von Paketen.
-Operation Mutanten: NEUER BOSS: Lava-Berserker, erscheint auf den Leveln 21-25.</v>
      </c>
      <c r="G69" s="159" t="str">
        <f>IFERROR(__xludf.DUMMYFUNCTION("""COMPUTED_VALUE"""),"-Novo combatente: Macaco Hercúleo - Kane. Sonhando com viagens espaciais, um Macaco Hercúleo empunhando um martelo FOGUETE!
-Novo Macaco Assaltante: Aparecerá aleatoriamente em todos os níveis, derrotá-lo concede recompensas extras.
-Relatório da batalha:"&amp;" Adicionada Bobina de Destaques, registrando o destacamento de habilidades de equipamento de tropas e habilidades de unidade.
-Pesquisa: Adicionada uma segunda fila de pesquisa, desbloqueável pela compra de pacotes.
-Operação Mutantes: NOVO CHEFE: Frenesi"&amp;" de Lava, aparecerá nos níveis 21-25.")</f>
        <v>-Novo combatente: Macaco Hercúleo - Kane. Sonhando com viagens espaciais, um Macaco Hercúleo empunhando um martelo FOGUETE!
-Novo Macaco Assaltante: Aparecerá aleatoriamente em todos os níveis, derrotá-lo concede recompensas extras.
-Relatório da batalha: Adicionada Bobina de Destaques, registrando o destacamento de habilidades de equipamento de tropas e habilidades de unidade.
-Pesquisa: Adicionada uma segunda fila de pesquisa, desbloqueável pela compra de pacotes.
-Operação Mutantes: NOVO CHEFE: Frenesi de Lava, aparecerá nos níveis 21-25.</v>
      </c>
      <c r="H69" s="159" t="str">
        <f>IFERROR(__xludf.DUMMYFUNCTION("""COMPUTED_VALUE"""),"-新增鬥士：大力神猿-凱恩，心懷航天夢，肩扛火箭槌的大力神猿！;
-新增盜寶猴：將在所有難度中隨機出現，擊敗可獲得額外獎勵；
-戰報：新增高光時刻，記錄部隊戰裝技能和兵種技能的釋放情況；
-科研：新增科研第二隊列，購買禮包即可解鎖；
-圍剿變異猴：新增BOSS：熔岩狂暴者，將在難度21-25出現；")</f>
        <v>-新增鬥士：大力神猿-凱恩，心懷航天夢，肩扛火箭槌的大力神猿！;
-新增盜寶猴：將在所有難度中隨機出現，擊敗可獲得額外獎勵；
-戰報：新增高光時刻，記錄部隊戰裝技能和兵種技能的釋放情況；
-科研：新增科研第二隊列，購買禮包即可解鎖；
-圍剿變異猴：新增BOSS：熔岩狂暴者，將在難度21-25出現；</v>
      </c>
      <c r="I69" s="159" t="str">
        <f>IFERROR(__xludf.DUMMYFUNCTION("""COMPUTED_VALUE"""),"-Pejuang Baru: Kera Perkasa - Kane. Bermimpi tentang perjalanan luar angkasa, seekor Kera Perkasa mengayunkan palu ROKET!
-Perampok Kera Baru: Akan muncul secara acak di semua level, mengalahkannya memberikan hadiah ekstra.
-Laporan Pertempuran: Menambahk"&amp;"an Reel Sorotan, merekam penyebaran keahlian peralatan pasukan dan keahlian unit.
-Penelitian: Menambahkan antrian penelitian kedua, dapat dibuka dengan membeli paket.
-Pengepungan Kera Mutan: BOSS BARU: Lava Amuk, akan muncul pada level 21-25.")</f>
        <v>-Pejuang Baru: Kera Perkasa - Kane. Bermimpi tentang perjalanan luar angkasa, seekor Kera Perkasa mengayunkan palu ROKET!
-Perampok Kera Baru: Akan muncul secara acak di semua level, mengalahkannya memberikan hadiah ekstra.
-Laporan Pertempuran: Menambahkan Reel Sorotan, merekam penyebaran keahlian peralatan pasukan dan keahlian unit.
-Penelitian: Menambahkan antrian penelitian kedua, dapat dibuka dengan membeli paket.
-Pengepungan Kera Mutan: BOSS BARU: Lava Amuk, akan muncul pada level 21-25.</v>
      </c>
      <c r="J69" s="159" t="str">
        <f>IFERROR(__xludf.DUMMYFUNCTION("""COMPUTED_VALUE"""),"-นักสู้ตัวใหม่: ลิงแกร่งเฮอร์คิวลีส - เคน ฝันถึงการเดินทางในอวกาศ ลิงแกร่งเฮอร์คิวลีสถือค้อนจรวด!
-โม่งลิงใหม่: จะปรากฏขึ้นแบบสุ่มในทุกเลเวล การกำจัดมันจะให้รางวัลพิเศษแก่คุณ
-รายงานการต่อสู้: เพิ่มรีลไฮไลท์ บันทึกการออกสนามรบของทักษะอุปกรณ์และทักษะของหน่"&amp;"วย
-การวิจัย: เพิ่มคิววิจัยที่สอง สามารถปลดล็อกได้โดยการซื้อแพ็ก
-ปฏิบัติการตัวกลายพันธุ์:บอสใหม่: ลาวาคลั่ง, จะปรากฏในเลเวล 21-25.")</f>
        <v>-นักสู้ตัวใหม่: ลิงแกร่งเฮอร์คิวลีส - เคน ฝันถึงการเดินทางในอวกาศ ลิงแกร่งเฮอร์คิวลีสถือค้อนจรวด!
-โม่งลิงใหม่: จะปรากฏขึ้นแบบสุ่มในทุกเลเวล การกำจัดมันจะให้รางวัลพิเศษแก่คุณ
-รายงานการต่อสู้: เพิ่มรีลไฮไลท์ บันทึกการออกสนามรบของทักษะอุปกรณ์และทักษะของหน่วย
-การวิจัย: เพิ่มคิววิจัยที่สอง สามารถปลดล็อกได้โดยการซื้อแพ็ก
-ปฏิบัติการตัวกลายพันธุ์:บอสใหม่: ลาวาคลั่ง, จะปรากฏในเลเวล 21-25.</v>
      </c>
      <c r="K69" s="159" t="str">
        <f>IFERROR(__xludf.DUMMYFUNCTION("""COMPUTED_VALUE"""),"-Nuevo Luchador: Mono Herculino - Kane. ¡Soñando con viajes espaciales, un Mono Herculino empuñando un martillo Cohete!
-Nuevo Ladrón Simio: Aparecerá aleatoriamente en todos los niveles, al derrotarlo te otorga recompensas extra.
-Informe de la batalla: "&amp;"Se añadió Bobina de Destacados, registrando el despliegue de habilidades de equipo y habilidades de unidad.
-Investigación: Se añadió una segunda cola de investigación, desbloqueable mediante la compra de paquetes.
-Operación Mutantes: NUEVO JEFE: Bersérk"&amp;"er de Lava, aparecerá en los niveles 21-25.")</f>
        <v>-Nuevo Luchador: Mono Herculino - Kane. ¡Soñando con viajes espaciales, un Mono Herculino empuñando un martillo Cohete!
-Nuevo Ladrón Simio: Aparecerá aleatoriamente en todos los niveles, al derrotarlo te otorga recompensas extra.
-Informe de la batalla: Se añadió Bobina de Destacados, registrando el despliegue de habilidades de equipo y habilidades de unidad.
-Investigación: Se añadió una segunda cola de investigación, desbloqueable mediante la compra de paquetes.
-Operación Mutantes: NUEVO JEFE: Bersérker de Lava, aparecerá en los niveles 21-25.</v>
      </c>
      <c r="L69" s="159" t="str">
        <f>IFERROR(__xludf.DUMMYFUNCTION("""COMPUTED_VALUE"""),"-Новый герой: Геркулесова Обезьяна - Кейн. Мечтая о космических путешествиях, Геркулесова Обезьяна с молотом Ракета!
-Новый Грабитель Обезьяна: Будет случайно появляться на всех уровнях, победа над ним дает дополнительные награды.
-Отчет о бое: Добавлена "&amp;"Подборка Лучших Моментов, записывающая использование навыков снаряжения войск и навыков отрядов.
-Исследование: Добавлена вторая очередь исследований, доступная для разблокировки путем покупки наборов.
-Операция «Мутанты»: НОВОЕ: Босс Лавовый Берсерк появ"&amp;"ится на уровнях 21-25.")</f>
        <v>-Новый герой: Геркулесова Обезьяна - Кейн. Мечтая о космических путешествиях, Геркулесова Обезьяна с молотом Ракета!
-Новый Грабитель Обезьяна: Будет случайно появляться на всех уровнях, победа над ним дает дополнительные награды.
-Отчет о бое: Добавлена Подборка Лучших Моментов, записывающая использование навыков снаряжения войск и навыков отрядов.
-Исследование: Добавлена вторая очередь исследований, доступная для разблокировки путем покупки наборов.
-Операция «Мутанты»: НОВОЕ: Босс Лавовый Берсерк появится на уровнях 21-25.</v>
      </c>
      <c r="M69" s="159" t="str">
        <f>IFERROR(__xludf.DUMMYFUNCTION("""COMPUTED_VALUE"""),"-Yeni Savaşçı: Herkül Maymun - Kane. Uzay seyahati hayali kuran, bir Roket çekiç sallayan Herkül Maymun!
-Yeni Soyguncu Maymun: Tüm seviyelerde rastgele belirecek, yenilmesi size ekstra ödüller kazandırır.
-Savaş Raporu: Öne Çıkanlar eklendi, birlik ekipm"&amp;"an becerilerinin ve birim becerilerinin kullanımını kaydediyor.
-Araştırma: İkinci bir araştırma kuyruğu eklendi, paket satın alarak kilidini açabilirsiniz.
-Mutant Operasyonu:Yeni PATRON: Lav Çılgını, 21-25 seviyelerinde belirecek.")</f>
        <v>-Yeni Savaşçı: Herkül Maymun - Kane. Uzay seyahati hayali kuran, bir Roket çekiç sallayan Herkül Maymun!
-Yeni Soyguncu Maymun: Tüm seviyelerde rastgele belirecek, yenilmesi size ekstra ödüller kazandırır.
-Savaş Raporu: Öne Çıkanlar eklendi, birlik ekipman becerilerinin ve birim becerilerinin kullanımını kaydediyor.
-Araştırma: İkinci bir araştırma kuyruğu eklendi, paket satın alarak kilidini açabilirsiniz.
-Mutant Operasyonu:Yeni PATRON: Lav Çılgını, 21-25 seviyelerinde belirecek.</v>
      </c>
      <c r="N69" s="45" t="str">
        <f>IFERROR(__xludf.DUMMYFUNCTION("""COMPUTED_VALUE"""),"-Chiến Binh Mới: Khỉ Sức Mạnh Huyền Thoại - Kane. Mơ ước về chuyến du hành không gian, một Khỉ Sức Mạnh Huyền Thoại cầm chiếc búa Hỏa Tiễn!
-Kẻ Cướp Vượn Mới: Sẽ xuất hiện ngẫu nhiên ở tất cả các cấp độ, đánh bại chúng sẽ nhận được phần thưởng thêm.
-Chiế"&amp;"n Báo: Đã thêm Cuốn Phim Nổi Bật, ghi lại việc triển khai kỹ năng trang bị và kỹ năng binh chủng của quân đội.
-Nghiên Cứu: Đã thêm hàng đợi nghiên cứu thứ hai, có thể mở khóa bằng cách mua gói.
-Vây Quét Khỉ Đột Biến: BOSS MỚI: Cuồng Hầu Dung Nham, sẽ xu"&amp;"ất hiện ở cấp 21-25.")</f>
        <v>-Chiến Binh Mới: Khỉ Sức Mạnh Huyền Thoại - Kane. Mơ ước về chuyến du hành không gian, một Khỉ Sức Mạnh Huyền Thoại cầm chiếc búa Hỏa Tiễn!
-Kẻ Cướp Vượn Mới: Sẽ xuất hiện ngẫu nhiên ở tất cả các cấp độ, đánh bại chúng sẽ nhận được phần thưởng thêm.
-Chiến Báo: Đã thêm Cuốn Phim Nổi Bật, ghi lại việc triển khai kỹ năng trang bị và kỹ năng binh chủng của quân đội.
-Nghiên Cứu: Đã thêm hàng đợi nghiên cứu thứ hai, có thể mở khóa bằng cách mua gói.
-Vây Quét Khỉ Đột Biến: BOSS MỚI: Cuồng Hầu Dung Nham, sẽ xuất hiện ở cấp 21-25.</v>
      </c>
      <c r="O69" s="45" t="str">
        <f>IFERROR(__xludf.DUMMYFUNCTION("""COMPUTED_VALUE"""),"-Nuovo Combattente: Scimmia Ercole - Kane. Sognando il viaggio spaziale, una Scimmia Ercole che brandisce un martello Razzo!
-Nuovo Ladro Scimmia: Apparirà casualmente in tutti i livelli, sconfiggerlo ti darà ricompense extra.
-Rapporto battaglia: Aggiunt"&amp;"a Rassegna dei momenti salienti, che registra lo schieramento delle abilità di equipaggiamento delle truppe e delle abilità dell'unità.
-Ricerca: Aggiunta una seconda coda di ricerca, sbloccabile acquistando pacchetti.
-Operazione Mutanti: NUOVO BOSS: Ber"&amp;"serker Lavico, apparirà ai livelli 21-25.")</f>
        <v>-Nuovo Combattente: Scimmia Ercole - Kane. Sognando il viaggio spaziale, una Scimmia Ercole che brandisce un martello Razzo!
-Nuovo Ladro Scimmia: Apparirà casualmente in tutti i livelli, sconfiggerlo ti darà ricompense extra.
-Rapporto battaglia: Aggiunta Rassegna dei momenti salienti, che registra lo schieramento delle abilità di equipaggiamento delle truppe e delle abilità dell'unità.
-Ricerca: Aggiunta una seconda coda di ricerca, sbloccabile acquistando pacchetti.
-Operazione Mutanti: NUOVO BOSS: Berserker Lavico, apparirà ai livelli 21-25.</v>
      </c>
      <c r="P69" s="34" t="str">
        <f>IFERROR(__xludf.DUMMYFUNCTION("""COMPUTED_VALUE"""),"-Nowy Wojownik: Herkulesowa Małpa - Kane. Marząc o podróży kosmicznej, Herkulesowa Małpa dzierżąca Młot Rakieta!
-Nowy Rabuś Małpa: Będzie pojawiał się losowo na wszystkich poziomach, jego pokonanie zapewnia dodatkowe nagrody.
-Raport z bitwy: Dodano Skró"&amp;"t Najważniejszych Momentów, rejestrujący rozmieszczenie umiejętności wyposażenia oddziałów i umiejętności jednostek.
-Badania: Dodano drugą kolejkę badań, możliwą do odblokowania poprzez zakup pakietów.
-Operacja Mutanty: NOWY BOSS: Berserker Lawy, pojawi"&amp;" się na poziomach 21-25.")</f>
        <v>-Nowy Wojownik: Herkulesowa Małpa - Kane. Marząc o podróży kosmicznej, Herkulesowa Małpa dzierżąca Młot Rakieta!
-Nowy Rabuś Małpa: Będzie pojawiał się losowo na wszystkich poziomach, jego pokonanie zapewnia dodatkowe nagrody.
-Raport z bitwy: Dodano Skrót Najważniejszych Momentów, rejestrujący rozmieszczenie umiejętności wyposażenia oddziałów i umiejętności jednostek.
-Badania: Dodano drugą kolejkę badań, możliwą do odblokowania poprzez zakup pakietów.
-Operacja Mutanty: NOWY BOSS: Berserker Lawy, pojawi się na poziomach 21-25.</v>
      </c>
      <c r="Q69" s="34" t="str">
        <f>IFERROR(__xludf.DUMMYFUNCTION("""COMPUTED_VALUE"""),"-مقاتل جديد: قرد هرقل - كين. يحلم بالسفر إلى الفضاء، قرد هرقل يتقلد مطرقة الصاروخ!
-قرد السارق الجديد: سيظهر بشكل عشوائي في جميع المستويات، هزيمته تمنحك مكافآت إضافية.
-تقرير المعركة: تم إضافة شريط الأبرز، يسجل نشر مهارات تجهيز القوات ومهارات الوحدة.
-الب"&amp;"حث: تم إضافة قائمة بحث ثانية، يمكن فتحها عن طريق شراء الباقات.
-عملية المسوخ: رئيس جديد: الهيجان البركاني، سيظهر في المستويات 21-25.")</f>
        <v>-مقاتل جديد: قرد هرقل - كين. يحلم بالسفر إلى الفضاء، قرد هرقل يتقلد مطرقة الصاروخ!
-قرد السارق الجديد: سيظهر بشكل عشوائي في جميع المستويات، هزيمته تمنحك مكافآت إضافية.
-تقرير المعركة: تم إضافة شريط الأبرز، يسجل نشر مهارات تجهيز القوات ومهارات الوحدة.
-البحث: تم إضافة قائمة بحث ثانية، يمكن فتحها عن طريق شراء الباقات.
-عملية المسوخ: رئيس جديد: الهيجان البركاني، سيظهر في المستويات 21-25.</v>
      </c>
      <c r="R69" s="34" t="str">
        <f>IFERROR(__xludf.DUMMYFUNCTION("""COMPUTED_VALUE"""),"-新しいファイター: ヘラクレスエイプ - カネ。宇宙旅行を夢見る、ロケットハンマーを振るうヘラクレスエイプ！
-新しい強盗エイプ: 全てのレベルでランダムに出現し、倒すと追加報酬がもらえます。
-戦闘報告書: ハイライトリールを追加し、部隊の装備スキルとユニットスキルの配置を記録します。
-研究: パックを購入することでアンロック可能な、第二の研究キューを追加しました。
-変異エイプ殲滅作戦:NEW BOSS: 溶岩バーサーカーがレベル21-25に登場します。")</f>
        <v>-新しいファイター: ヘラクレスエイプ - カネ。宇宙旅行を夢見る、ロケットハンマーを振るうヘラクレスエイプ！
-新しい強盗エイプ: 全てのレベルでランダムに出現し、倒すと追加報酬がもらえます。
-戦闘報告書: ハイライトリールを追加し、部隊の装備スキルとユニットスキルの配置を記録します。
-研究: パックを購入することでアンロック可能な、第二の研究キューを追加しました。
-変異エイプ殲滅作戦:NEW BOSS: 溶岩バーサーカーがレベル21-25に登場します。</v>
      </c>
      <c r="S69" s="34" t="str">
        <f>IFERROR(__xludf.DUMMYFUNCTION("""COMPUTED_VALUE"""),"-새로운 전사: 헤라클레스 원숭이 - 케인. 우주 여행을 꿈꾸는, 로켓 망치를 휘두르는 헤라클레스 원숭이!
-새로운 강도 원숭이: 모든 레벨에서 무작위로 나타나며, 패배시 추가 보상을 줍니다.
-전투 보고서: 하이라이트 리얼 추가, 부대 장비 스킬과 유닛 스킬의 배치를 기록합니다.
-연구: 두 번째 연구 대기열 추가, 패키지들을 구매하여 잠금 해제할 수 있습니다.
-변이 원숭이 토벌:새로운 보스: 용암 난폭한, 레벨 21-25에서 등장합니다.")</f>
        <v>-새로운 전사: 헤라클레스 원숭이 - 케인. 우주 여행을 꿈꾸는, 로켓 망치를 휘두르는 헤라클레스 원숭이!
-새로운 강도 원숭이: 모든 레벨에서 무작위로 나타나며, 패배시 추가 보상을 줍니다.
-전투 보고서: 하이라이트 리얼 추가, 부대 장비 스킬과 유닛 스킬의 배치를 기록합니다.
-연구: 두 번째 연구 대기열 추가, 패키지들을 구매하여 잠금 해제할 수 있습니다.
-변이 원숭이 토벌:새로운 보스: 용암 난폭한, 레벨 21-25에서 등장합니다.</v>
      </c>
      <c r="T69" s="108"/>
      <c r="U69" s="108"/>
      <c r="V69" s="108"/>
      <c r="W69" s="108"/>
      <c r="X69" s="108"/>
      <c r="Y69" s="108"/>
      <c r="Z69" s="108"/>
    </row>
    <row r="70">
      <c r="A70" s="149" t="str">
        <f>IFERROR(__xludf.DUMMYFUNCTION("""COMPUTED_VALUE"""),"0.61.0")</f>
        <v>0.61.0</v>
      </c>
      <c r="B70" s="174" t="str">
        <f>IFERROR(__xludf.DUMMYFUNCTION("""COMPUTED_VALUE"""),"&lt;en-US&gt;
- New feature, Apex Clash.
- New Fighter: Gustave the Arms Baron. Cunning and resourceful, this arms baron is the ultimate anti-hero!
&lt;/en-US&gt;
&lt;fr-FR&gt;
- Nouvelle fonctionnalité, Apex Clash.
- Nouveau combattant : Gustave le Baron d'armes. Rusé et "&amp;"ingénieux, ce baron d'armes est l'anti-héros ultime !
&lt;/fr-FR&gt;
&lt;de-DE&gt;
- Neue Funktion, Apex-Konflikt.
- Neuer Kämpfer: Gustave der Waffenbaron. Gerissen und einfallsreich, dieser Waffenbaron ist der ultimative Anti-Held!
&lt;/de-DE&gt;
&lt;pt-BR&gt;
- Nova funcional"&amp;"idade, Confronto Ápice.
- Novo combatente: Gustave, o Barão das Armas. Astuto e engenhoso, este barão das armas é o anti-herói definitivo!
&lt;/pt-BR&gt;
&lt;zh-HK&gt;
-新增巔峰戰場玩法；
-新增鬥士：軍火大亨-古斯塔夫，老謀深算、亦正亦邪的軍火商頭目！
&lt;/zh-HK&gt;
&lt;zh-TW&gt;
-新增巔峰戰場玩法；
-新增鬥士：軍火大亨-古斯塔夫，老謀深算、亦正亦邪的"&amp;"軍火商頭目！
&lt;/zh-TW&gt;
&lt;id&gt;
- Fitur baru, Apex Clash.
- Pejuang Baru: Gustave si Baron Senjata. Licik dan penuh akal, baron senjata ini adalah anti-hero yang utama!
&lt;/id&gt;
&lt;th&gt;
- ฟีเจอร์ใหม่, การปะทะยอดสูง
- นักสู้ตัวใหม่: กุสตาฟ เจ้าพ่ออาวุธ ผู้แสนไหวพริบและมีท"&amp;"รัพยากรมากมาย นี่คือตัวละครตัวร้ายสุดยอด!
&lt;/th&gt;
&lt;es-419&gt;
- Nueva característica, Choque Apex.
- Nuevo Luchador: Gustave el Barón de Armas. ¡Astuto y hábil, este Barón de Armas es el anti-héroe definitivo!
&lt;/es-419&gt;
&lt;ru-RU&gt;
- Новая функция, Верховное Проти"&amp;"востояние.
- Новый герой: Гюстав Барон Оружия. Хитрый и находчивый, этот барон оружия - идеальный антигерой!
&lt;/ru-RU&gt;
&lt;tr-TR&gt;
- Yeni özellik, Zirve Çatışması.
- Yeni Savaşçı: Silah Baronu Gustave. Kurnaz ve becerikli, bu silah baronu nihai anti-kahraman!
"&amp;"&lt;/tr-TR&gt;
&lt;vi&gt;
- Tính năng mới, Đỉnh Cao Tranh Đấu.
- Chiến Binh Mới: Gustave Trùm Vũ Khí. Xảo quyệt và tài trí, Trùm Vũ Khí này chính là kẻ phản anh hùng tối thượng!
&lt;/vi&gt;
&lt;it-IT&gt;
- Nuova funzionalità, Scontro Apex.
- Nuovo Combattente: Gustave il Barone "&amp;"d'Armi. Astuto e ingegnoso, questo Barone d'Armi è l'anti-eroe definitivo!
&lt;/it-IT&gt;
&lt;pl-PL&gt;
- Nowa funkcja, Szczytowy Starcie.
- Nowy Wojownik: Gustave, Baron Uzbrojenia. Przebiegły i pomysłowy, ten baron uzbrojenia to najwyższy z antybohaterów!
&lt;/pl-PL&gt;
"&amp;"&lt;ar&gt;
- ميزة جديدة، صدام القمة.
- المقاتل الجديد: غوستاف بارون الأسلحة. ماكر ومبتكر، هذا بارون الأسلحة هو البطل المضاد الأمثل!
&lt;/ar&gt;
&lt;ja-JP&gt;
- 新機能、エイプの頂点対決。
- 新しいファイター：武器男爵グスターヴ。狡猾で賢い、この武器男爵は究極のアンチヒーローです！
&lt;/ja-JP&gt;
&lt;ko-KR&gt;
- 새로운 기능, 원숭이의 정점 대결.
- 새로운 전사: 무기"&amp;" 남작 구스타브. 교활하고 재치 있는 이 무기 남작은 궁극의 반(反) 영웅입니다!
&lt;/ko-KR&gt;
")</f>
        <v>&lt;en-US&gt;
- New feature, Apex Clash.
- New Fighter: Gustave the Arms Baron. Cunning and resourceful, this arms baron is the ultimate anti-hero!
&lt;/en-US&gt;
&lt;fr-FR&gt;
- Nouvelle fonctionnalité, Apex Clash.
- Nouveau combattant : Gustave le Baron d'armes. Rusé et ingénieux, ce baron d'armes est l'anti-héros ultime !
&lt;/fr-FR&gt;
&lt;de-DE&gt;
- Neue Funktion, Apex-Konflikt.
- Neuer Kämpfer: Gustave der Waffenbaron. Gerissen und einfallsreich, dieser Waffenbaron ist der ultimative Anti-Held!
&lt;/de-DE&gt;
&lt;pt-BR&gt;
- Nova funcionalidade, Confronto Ápice.
- Novo combatente: Gustave, o Barão das Armas. Astuto e engenhoso, este barão das armas é o anti-herói definitivo!
&lt;/pt-BR&gt;
&lt;zh-HK&gt;
-新增巔峰戰場玩法；
-新增鬥士：軍火大亨-古斯塔夫，老謀深算、亦正亦邪的軍火商頭目！
&lt;/zh-HK&gt;
&lt;zh-TW&gt;
-新增巔峰戰場玩法；
-新增鬥士：軍火大亨-古斯塔夫，老謀深算、亦正亦邪的軍火商頭目！
&lt;/zh-TW&gt;
&lt;id&gt;
- Fitur baru, Apex Clash.
- Pejuang Baru: Gustave si Baron Senjata. Licik dan penuh akal, baron senjata ini adalah anti-hero yang utama!
&lt;/id&gt;
&lt;th&gt;
- ฟีเจอร์ใหม่, การปะทะยอดสูง
- นักสู้ตัวใหม่: กุสตาฟ เจ้าพ่ออาวุธ ผู้แสนไหวพริบและมีทรัพยากรมากมาย นี่คือตัวละครตัวร้ายสุดยอด!
&lt;/th&gt;
&lt;es-419&gt;
- Nueva característica, Choque Apex.
- Nuevo Luchador: Gustave el Barón de Armas. ¡Astuto y hábil, este Barón de Armas es el anti-héroe definitivo!
&lt;/es-419&gt;
&lt;ru-RU&gt;
- Новая функция, Верховное Противостояние.
- Новый герой: Гюстав Барон Оружия. Хитрый и находчивый, этот барон оружия - идеальный антигерой!
&lt;/ru-RU&gt;
&lt;tr-TR&gt;
- Yeni özellik, Zirve Çatışması.
- Yeni Savaşçı: Silah Baronu Gustave. Kurnaz ve becerikli, bu silah baronu nihai anti-kahraman!
&lt;/tr-TR&gt;
&lt;vi&gt;
- Tính năng mới, Đỉnh Cao Tranh Đấu.
- Chiến Binh Mới: Gustave Trùm Vũ Khí. Xảo quyệt và tài trí, Trùm Vũ Khí này chính là kẻ phản anh hùng tối thượng!
&lt;/vi&gt;
&lt;it-IT&gt;
- Nuova funzionalità, Scontro Apex.
- Nuovo Combattente: Gustave il Barone d'Armi. Astuto e ingegnoso, questo Barone d'Armi è l'anti-eroe definitivo!
&lt;/it-IT&gt;
&lt;pl-PL&gt;
- Nowa funkcja, Szczytowy Starcie.
- Nowy Wojownik: Gustave, Baron Uzbrojenia. Przebiegły i pomysłowy, ten baron uzbrojenia to najwyższy z antybohaterów!
&lt;/pl-PL&gt;
&lt;ar&gt;
- ميزة جديدة، صدام القمة.
- المقاتل الجديد: غوستاف بارون الأسلحة. ماكر ومبتكر، هذا بارون الأسلحة هو البطل المضاد الأمثل!
&lt;/ar&gt;
&lt;ja-JP&gt;
- 新機能、エイプの頂点対決。
- 新しいファイター：武器男爵グスターヴ。狡猾で賢い、この武器男爵は究極のアンチヒーローです！
&lt;/ja-JP&gt;
&lt;ko-KR&gt;
- 새로운 기능, 원숭이의 정점 대결.
- 새로운 전사: 무기 남작 구스타브. 교활하고 재치 있는 이 무기 남작은 궁극의 반(反) 영웅입니다!
&lt;/ko-KR&gt;
</v>
      </c>
      <c r="C70" s="44" t="str">
        <f>IFERROR(__xludf.DUMMYFUNCTION("""COMPUTED_VALUE"""),"-新增巅峰战场玩法；
-新增斗士：军火大亨-古斯塔夫，老谋深算、亦正亦邪的军火商头目！
")</f>
        <v>-新增巅峰战场玩法；
-新增斗士：军火大亨-古斯塔夫，老谋深算、亦正亦邪的军火商头目！
</v>
      </c>
      <c r="D70" s="176" t="str">
        <f>IFERROR(__xludf.DUMMYFUNCTION("""COMPUTED_VALUE"""),"- New feature, Apex Clash.
- New Fighter: Gustave the Arms Baron. Cunning and resourceful, this arms baron is the ultimate anti-hero!")</f>
        <v>- New feature, Apex Clash.
- New Fighter: Gustave the Arms Baron. Cunning and resourceful, this arms baron is the ultimate anti-hero!</v>
      </c>
      <c r="E70" s="159" t="str">
        <f>IFERROR(__xludf.DUMMYFUNCTION("""COMPUTED_VALUE"""),"- Nouvelle fonctionnalité, Apex Clash.
- Nouveau combattant : Gustave le Baron d'armes. Rusé et ingénieux, ce baron d'armes est l'anti-héros ultime !")</f>
        <v>- Nouvelle fonctionnalité, Apex Clash.
- Nouveau combattant : Gustave le Baron d'armes. Rusé et ingénieux, ce baron d'armes est l'anti-héros ultime !</v>
      </c>
      <c r="F70" s="159" t="str">
        <f>IFERROR(__xludf.DUMMYFUNCTION("""COMPUTED_VALUE"""),"- Neue Funktion, Apex-Konflikt.
- Neuer Kämpfer: Gustave der Waffenbaron. Gerissen und einfallsreich, dieser Waffenbaron ist der ultimative Anti-Held!")</f>
        <v>- Neue Funktion, Apex-Konflikt.
- Neuer Kämpfer: Gustave der Waffenbaron. Gerissen und einfallsreich, dieser Waffenbaron ist der ultimative Anti-Held!</v>
      </c>
      <c r="G70" s="159" t="str">
        <f>IFERROR(__xludf.DUMMYFUNCTION("""COMPUTED_VALUE"""),"- Nova funcionalidade, Confronto Ápice.
- Novo combatente: Gustave, o Barão das Armas. Astuto e engenhoso, este barão das armas é o anti-herói definitivo!")</f>
        <v>- Nova funcionalidade, Confronto Ápice.
- Novo combatente: Gustave, o Barão das Armas. Astuto e engenhoso, este barão das armas é o anti-herói definitivo!</v>
      </c>
      <c r="H70" s="159" t="str">
        <f>IFERROR(__xludf.DUMMYFUNCTION("""COMPUTED_VALUE"""),"-新增巔峰戰場玩法；
-新增鬥士：軍火大亨-古斯塔夫，老謀深算、亦正亦邪的軍火商頭目！
")</f>
        <v>-新增巔峰戰場玩法；
-新增鬥士：軍火大亨-古斯塔夫，老謀深算、亦正亦邪的軍火商頭目！
</v>
      </c>
      <c r="I70" s="159" t="str">
        <f>IFERROR(__xludf.DUMMYFUNCTION("""COMPUTED_VALUE"""),"- Fitur baru, Apex Clash.
- Pejuang Baru: Gustave si Baron Senjata. Licik dan penuh akal, baron senjata ini adalah anti-hero yang utama!")</f>
        <v>- Fitur baru, Apex Clash.
- Pejuang Baru: Gustave si Baron Senjata. Licik dan penuh akal, baron senjata ini adalah anti-hero yang utama!</v>
      </c>
      <c r="J70" s="159" t="str">
        <f>IFERROR(__xludf.DUMMYFUNCTION("""COMPUTED_VALUE"""),"- ฟีเจอร์ใหม่, การปะทะยอดสูง
- นักสู้ตัวใหม่: กุสตาฟ เจ้าพ่ออาวุธ ผู้แสนไหวพริบและมีทรัพยากรมากมาย นี่คือตัวละครตัวร้ายสุดยอด!")</f>
        <v>- ฟีเจอร์ใหม่, การปะทะยอดสูง
- นักสู้ตัวใหม่: กุสตาฟ เจ้าพ่ออาวุธ ผู้แสนไหวพริบและมีทรัพยากรมากมาย นี่คือตัวละครตัวร้ายสุดยอด!</v>
      </c>
      <c r="K70" s="159" t="str">
        <f>IFERROR(__xludf.DUMMYFUNCTION("""COMPUTED_VALUE"""),"- Nueva característica, Choque Apex.
- Nuevo Luchador: Gustave el Barón de Armas. ¡Astuto y hábil, este Barón de Armas es el anti-héroe definitivo!")</f>
        <v>- Nueva característica, Choque Apex.
- Nuevo Luchador: Gustave el Barón de Armas. ¡Astuto y hábil, este Barón de Armas es el anti-héroe definitivo!</v>
      </c>
      <c r="L70" s="159" t="str">
        <f>IFERROR(__xludf.DUMMYFUNCTION("""COMPUTED_VALUE"""),"- Новая функция, Верховное Противостояние.
- Новый герой: Гюстав Барон Оружия. Хитрый и находчивый, этот барон оружия - идеальный антигерой!")</f>
        <v>- Новая функция, Верховное Противостояние.
- Новый герой: Гюстав Барон Оружия. Хитрый и находчивый, этот барон оружия - идеальный антигерой!</v>
      </c>
      <c r="M70" s="159" t="str">
        <f>IFERROR(__xludf.DUMMYFUNCTION("""COMPUTED_VALUE"""),"- Yeni özellik, Zirve Çatışması.
- Yeni Savaşçı: Silah Baronu Gustave. Kurnaz ve becerikli, bu silah baronu nihai anti-kahraman!")</f>
        <v>- Yeni özellik, Zirve Çatışması.
- Yeni Savaşçı: Silah Baronu Gustave. Kurnaz ve becerikli, bu silah baronu nihai anti-kahraman!</v>
      </c>
      <c r="N70" s="45" t="str">
        <f>IFERROR(__xludf.DUMMYFUNCTION("""COMPUTED_VALUE"""),"- Tính năng mới, Đỉnh Cao Tranh Đấu.
- Chiến Binh Mới: Gustave Trùm Vũ Khí. Xảo quyệt và tài trí, Trùm Vũ Khí này chính là kẻ phản anh hùng tối thượng!")</f>
        <v>- Tính năng mới, Đỉnh Cao Tranh Đấu.
- Chiến Binh Mới: Gustave Trùm Vũ Khí. Xảo quyệt và tài trí, Trùm Vũ Khí này chính là kẻ phản anh hùng tối thượng!</v>
      </c>
      <c r="O70" s="45" t="str">
        <f>IFERROR(__xludf.DUMMYFUNCTION("""COMPUTED_VALUE"""),"- Nuova funzionalità, Scontro Apex.
- Nuovo Combattente: Gustave il Barone d'Armi. Astuto e ingegnoso, questo Barone d'Armi è l'anti-eroe definitivo!")</f>
        <v>- Nuova funzionalità, Scontro Apex.
- Nuovo Combattente: Gustave il Barone d'Armi. Astuto e ingegnoso, questo Barone d'Armi è l'anti-eroe definitivo!</v>
      </c>
      <c r="P70" s="34" t="str">
        <f>IFERROR(__xludf.DUMMYFUNCTION("""COMPUTED_VALUE"""),"- Nowa funkcja, Szczytowy Starcie.
- Nowy Wojownik: Gustave, Baron Uzbrojenia. Przebiegły i pomysłowy, ten baron uzbrojenia to najwyższy z antybohaterów!")</f>
        <v>- Nowa funkcja, Szczytowy Starcie.
- Nowy Wojownik: Gustave, Baron Uzbrojenia. Przebiegły i pomysłowy, ten baron uzbrojenia to najwyższy z antybohaterów!</v>
      </c>
      <c r="Q70" s="34" t="str">
        <f>IFERROR(__xludf.DUMMYFUNCTION("""COMPUTED_VALUE"""),"- ميزة جديدة، صدام القمة.
- المقاتل الجديد: غوستاف بارون الأسلحة. ماكر ومبتكر، هذا بارون الأسلحة هو البطل المضاد الأمثل!")</f>
        <v>- ميزة جديدة، صدام القمة.
- المقاتل الجديد: غوستاف بارون الأسلحة. ماكر ومبتكر، هذا بارون الأسلحة هو البطل المضاد الأمثل!</v>
      </c>
      <c r="R70" s="34" t="str">
        <f>IFERROR(__xludf.DUMMYFUNCTION("""COMPUTED_VALUE"""),"- 新機能、エイプの頂点対決。
- 新しいファイター：武器男爵グスターヴ。狡猾で賢い、この武器男爵は究極のアンチヒーローです！")</f>
        <v>- 新機能、エイプの頂点対決。
- 新しいファイター：武器男爵グスターヴ。狡猾で賢い、この武器男爵は究極のアンチヒーローです！</v>
      </c>
      <c r="S70" s="34" t="str">
        <f>IFERROR(__xludf.DUMMYFUNCTION("""COMPUTED_VALUE"""),"- 새로운 기능, 원숭이의 정점 대결.
- 새로운 전사: 무기 남작 구스타브. 교활하고 재치 있는 이 무기 남작은 궁극의 반(反) 영웅입니다!")</f>
        <v>- 새로운 기능, 원숭이의 정점 대결.
- 새로운 전사: 무기 남작 구스타브. 교활하고 재치 있는 이 무기 남작은 궁극의 반(反) 영웅입니다!</v>
      </c>
      <c r="T70" s="108"/>
      <c r="U70" s="108"/>
      <c r="V70" s="108"/>
      <c r="W70" s="108"/>
      <c r="X70" s="108"/>
      <c r="Y70" s="108"/>
      <c r="Z70" s="108"/>
    </row>
    <row r="71">
      <c r="A71" s="149" t="str">
        <f>IFERROR(__xludf.DUMMYFUNCTION("""COMPUTED_VALUE"""),"0.62.0")</f>
        <v>0.62.0</v>
      </c>
      <c r="B71" s="174" t="str">
        <f>IFERROR(__xludf.DUMMYFUNCTION("""COMPUTED_VALUE"""),"&lt;en-US&gt;
-New Fighter: Dr. Frost - Herman, a genius climatologist and mech engineer with a sharp tongue.
-Mech Operators: Mech cockpits are now available. Assign different operators to the cockpits to create unique mechs with special attribute sets. Recrui"&amp;"t operators now
- Planet Wars: Glacier Land, a new star for a new Planet War!
&lt;/en-US&gt;
&lt;fr-FR&gt;
-Nouveau combattant : Dr. Frost - Herman, un climatologue de génie et ingénieur méca à la langue bien pendue.
-Opérateurs de Méchas : Les cockpits mécha sont dé"&amp;"sormais disponibles. Affectez différents opérateurs aux cockpits pour créer des méchas uniques avec des ensembles d'attributs spéciaux. Recrutez des opérateurs maintenant
- Guerre planétaire : Terre Glaciaire, une nouvelle étoile pour une nouvelle Guerre "&amp;"planétaire !
&lt;/fr-FR&gt;
&lt;de-DE&gt;
-Neuer Kämpfer: Dr. Frost - Herman, ein genialer Klimatologe und Mech-Ingenieur mit scharfer Zunge.
-Mech-Operatoren: Mech-Cockpits sind jetzt verfügbar. Weise verschiedenen Operatoren die Cockpits zu, um einzigartige Mechs m"&amp;"it speziellen Attributsätzen zu erstellen. Rekrutiere jetzt Operatoren
- Planetenkriege: Gletscherland, ein neuer Stern für einen neuen Planetenkrieg!
&lt;/de-DE&gt;
&lt;pt-BR&gt;
-Novo Combatente: Dr. Frost - Herman, um gênio climatologista e engenheiro de mechs com"&amp;" uma língua afiada.
-Operadores de Mechs: Cabines de Mech estão disponíveis agora. Atribua diferentes operadores às cabines para criar mechas únicas com conjuntos de atributos especiais. Recrute operadores agora
- Guerra Interplanetária: Terra Glacial, um"&amp;"a nova estrela para uma nova Guerra Interplanetária!
&lt;/pt-BR&gt;
&lt;zh-HK&gt;
-新增鬥士：冰霜博士-赫爾曼，天才的氣候學博士，冷漠毒舌的機甲工程師！
-機甲機師：現在開放機甲的各類型駕駛艙，指揮官可參賽不同的機師，組合出不同特性的專屬機甲，快去招募不同的機師吧！
-銀河戰爭：增加了全新的銀河戰爭劇本-寒冰星！
&lt;/zh-HK&gt;
&lt;zh-TW&gt;
-新增鬥士：冰霜博士-赫爾曼，天才的氣候學博士，冷漠毒舌的機甲工程師！
-機甲機師：現在開放機甲的各類"&amp;"型駕駛艙，指揮官可參賽不同的機師，組合出不同特性的專屬機甲，快去招募不同的機師吧！
-銀河戰爭：增加了全新的銀河戰爭劇本-寒冰星！
&lt;/zh-TW&gt;
&lt;id&gt;
-Pejuang Baru: Dr. Frost - Herman, seorang klimatolog jenius dan insinyur mekanik dengan lidah yang tajam.
-Operator Mekanik: Kokpit Mekanik sekarang tersedia. Tugaskan operat"&amp;"or yang berbeda ke kokpit untuk menciptakan mekanik unik dengan set atribut khusus. Rekrut operator sekarang
- Perang Planet: Tanah Gletser, bintang baru untuk Perang Planet yang baru!
&lt;/id&gt;
&lt;th&gt;
-นักสู้ตัวใหม่: ดร.ฟรอสต์ - เฮอร์มัน, อัจฉริยะด้านอุตุนิยมว"&amp;"ิทยาและวิศวกรเมคที่มีคำพูดร้ายแรง
-ผู้ปฏิบัติการเมค: ห้องนักบินเมคพร้อมให้บริการแล้ว จัดสรรผู้ปฏิบัติการต่างๆ ไปยังห้องนักบินเพื่อสร้างเมคที่มีคุณลักษณะพิเศษแตกต่างกัน รับสมัครผู้ปฏิบัติการเลย
- สงครามดาวเคราะห์: ดินแดนน้ำแข็ง, ดาวดวงใหม่สำหรับสงครามดาวเค"&amp;"ราะห์ใหม่!
&lt;/th&gt;
&lt;es-419&gt;
-Nuevo Luchador: Dr. Frost - Herman, un genio climatólogo e ingeniero de mecas con una lengua afilada.
-Operadores de Mecas: Las cabinas de meca están disponibles ahora. Designa diferentes operadores a las cabinas para crear meca"&amp;"s únicos con conjuntos de atributos especiales. Recluta operadores ahora.
- Guerras Planetarias: Tierra Glaciar, ¡una nueva estrella para una nueva Guerra Planetaria!
&lt;/es-419&gt;
&lt;ru-RU&gt;
-Новый герой: Доктор Мороз - Герман, гениальный климатолог и механик-и"&amp;"нженер с острым языком.
-Операторы Мехов: Кабины Меха теперь доступны. Назначьте разных операторов в кабины, чтобы создать уникальных мехов со специальными наборами атрибутов. Нанимайте операторов сейчас.
- Планетарные войны: Ледниковая Земля, новая звезд"&amp;"а для новой Планетарной Войны!
&lt;/ru-RU&gt;
&lt;tr-TR&gt;
-Yeni Savaşçı: Dr. Frost - Herman, keskin dilli bir dâhi klimatolog ve meka mühendisi.
-Meka Operatörleri: Meka kokpitleri şimdi kullanılabilir. Kokpitlere farklı operatörler atayarak özel nitelik setlerine "&amp;"sahip benzersiz mekalar oluşturun. Operatörleri şimdi acemi er olarak alın
- Gezegen Savaşları: Buzul Toprağı, yeni bir Gezegen Savaşı için yeni bir yıldız!
&lt;/tr-TR&gt;
&lt;vi&gt;
- Chiến Binh Mới: Tiến Sĩ Frost - Herman, một nhà khí tượng học thiên tài và kỹ sư c"&amp;"ơ khí với lối nói sắc sảo.
- Người Điều Khiển Cơ Khí: Buồng Lái Cơ Khí hiện đã khả dụng. Chiếm Đóng các người điều khiển khác nhau vào buồng lái để tạo ra những cơ khí độc đáo với các bộ thuộc tính đặc biệt. Tuyển mộ người điều khiển ngay bây giờ.
- Chiến"&amp;" Tranh Hành Tinh: Vùng Đất Băng Hà, một ngôi sao mới cho một Chiến Tranh Hành Tinh mới!
&lt;/vi&gt;
&lt;it-IT&gt;
-Nuovo Combattente: Dottor Frost - Herman, un geniale climatologo e ingegnere meccanico dalla lingua tagliente.
-Operatori Mech: Cabine di pilotaggio Mec"&amp;"h ora disponibili. Assegna diversi operatori alle cabine per creare Mech unici con set di attributi speciali. Recluta ora gli operatori
- Guerre planetarie: Terra Glaciale, una nuova stella per una nuova Guerra planetaria!
&lt;/it-IT&gt;
&lt;pl-PL&gt;
-Nowy Wojownik:"&amp;" Dr. Frost - Herman, geniusz klimatolog i inżynier mechów o bystrym języku.
-Operatorzy Mechów: Kokpity Mecha są już dostępne. Przypisz różnych operatorów do kokpitów, aby stworzyć unikalne mechy z zestawami specjalnych atrybutów. Rekrutuj operatorów już "&amp;"teraz.
- Wojny Planet: Lodowa Kraina, nowa gwiazda dla nowej Wojny Planet!
&lt;/pl-PL&gt;
&lt;ar&gt;
-مقاتل جديد: دكتور فروست - هيرمان، عالم مناخ عبقري ومهندس ميكا ذو لسان حاد.
-مشغلو الميكا: قمرة قيادة الميكا متوفرة الآن. عيّن مشغلين مختلفين لقمرات القيادة لإنشاء آل"&amp;"يات ميكا فريدة بمجموعات خصائص خاصة. تجنيد المشغلين الآن
- حروب الكوكب: أرض الأنهار الجليدية، نجم جديد لحرب كوكب جديدة!
&lt;/ar&gt;
&lt;ja-JP&gt;
- 新しいファイター: ドクターフロスト - 鋭い舌を持つ天才気象学者兼メカエンジニアのハーマン。
- メカオペレーター: メカコックピットが今利用可能です。異なるオペレーターをコックピットに割り当てて、特別な属性セットを持つユニークなメカを作"&amp;"成します。今すぐオペレーターを新兵しましょう。
- プラネットウォーズ: 氷河の土地、新しいプラネットウォーのための新しい星！
&lt;/ja-JP&gt;
&lt;ko-KR&gt;
-새로운 전사: 닥터 프로스트 - 날카로운 혀를 가진 천재 기후학자이자 메카 엔지니어인 허먼.
-메카 조종사: 메카 조종석이 이제 사용 가능합니다. 조종석에 다양한 조종사를 배정하여 특별한 속성 세트를 가진 독특한 메카들을 창조하세요. 지금 조종사를 모집하세요
- 은하 전쟁: 빙하 땅, 새로운 은하 전쟁을 위한"&amp;" 새로운 별!
&lt;/ko-KR&gt;
")</f>
        <v>&lt;en-US&gt;
-New Fighter: Dr. Frost - Herman, a genius climatologist and mech engineer with a sharp tongue.
-Mech Operators: Mech cockpits are now available. Assign different operators to the cockpits to create unique mechs with special attribute sets. Recruit operators now
- Planet Wars: Glacier Land, a new star for a new Planet War!
&lt;/en-US&gt;
&lt;fr-FR&gt;
-Nouveau combattant : Dr. Frost - Herman, un climatologue de génie et ingénieur méca à la langue bien pendue.
-Opérateurs de Méchas : Les cockpits mécha sont désormais disponibles. Affectez différents opérateurs aux cockpits pour créer des méchas uniques avec des ensembles d'attributs spéciaux. Recrutez des opérateurs maintenant
- Guerre planétaire : Terre Glaciaire, une nouvelle étoile pour une nouvelle Guerre planétaire !
&lt;/fr-FR&gt;
&lt;de-DE&gt;
-Neuer Kämpfer: Dr. Frost - Herman, ein genialer Klimatologe und Mech-Ingenieur mit scharfer Zunge.
-Mech-Operatoren: Mech-Cockpits sind jetzt verfügbar. Weise verschiedenen Operatoren die Cockpits zu, um einzigartige Mechs mit speziellen Attributsätzen zu erstellen. Rekrutiere jetzt Operatoren
- Planetenkriege: Gletscherland, ein neuer Stern für einen neuen Planetenkrieg!
&lt;/de-DE&gt;
&lt;pt-BR&gt;
-Novo Combatente: Dr. Frost - Herman, um gênio climatologista e engenheiro de mechs com uma língua afiada.
-Operadores de Mechs: Cabines de Mech estão disponíveis agora. Atribua diferentes operadores às cabines para criar mechas únicas com conjuntos de atributos especiais. Recrute operadores agora
- Guerra Interplanetária: Terra Glacial, uma nova estrela para uma nova Guerra Interplanetária!
&lt;/pt-BR&gt;
&lt;zh-HK&gt;
-新增鬥士：冰霜博士-赫爾曼，天才的氣候學博士，冷漠毒舌的機甲工程師！
-機甲機師：現在開放機甲的各類型駕駛艙，指揮官可參賽不同的機師，組合出不同特性的專屬機甲，快去招募不同的機師吧！
-銀河戰爭：增加了全新的銀河戰爭劇本-寒冰星！
&lt;/zh-HK&gt;
&lt;zh-TW&gt;
-新增鬥士：冰霜博士-赫爾曼，天才的氣候學博士，冷漠毒舌的機甲工程師！
-機甲機師：現在開放機甲的各類型駕駛艙，指揮官可參賽不同的機師，組合出不同特性的專屬機甲，快去招募不同的機師吧！
-銀河戰爭：增加了全新的銀河戰爭劇本-寒冰星！
&lt;/zh-TW&gt;
&lt;id&gt;
-Pejuang Baru: Dr. Frost - Herman, seorang klimatolog jenius dan insinyur mekanik dengan lidah yang tajam.
-Operator Mekanik: Kokpit Mekanik sekarang tersedia. Tugaskan operator yang berbeda ke kokpit untuk menciptakan mekanik unik dengan set atribut khusus. Rekrut operator sekarang
- Perang Planet: Tanah Gletser, bintang baru untuk Perang Planet yang baru!
&lt;/id&gt;
&lt;th&gt;
-นักสู้ตัวใหม่: ดร.ฟรอสต์ - เฮอร์มัน, อัจฉริยะด้านอุตุนิยมวิทยาและวิศวกรเมคที่มีคำพูดร้ายแรง
-ผู้ปฏิบัติการเมค: ห้องนักบินเมคพร้อมให้บริการแล้ว จัดสรรผู้ปฏิบัติการต่างๆ ไปยังห้องนักบินเพื่อสร้างเมคที่มีคุณลักษณะพิเศษแตกต่างกัน รับสมัครผู้ปฏิบัติการเลย
- สงครามดาวเคราะห์: ดินแดนน้ำแข็ง, ดาวดวงใหม่สำหรับสงครามดาวเคราะห์ใหม่!
&lt;/th&gt;
&lt;es-419&gt;
-Nuevo Luchador: Dr. Frost - Herman, un genio climatólogo e ingeniero de mecas con una lengua afilada.
-Operadores de Mecas: Las cabinas de meca están disponibles ahora. Designa diferentes operadores a las cabinas para crear mecas únicos con conjuntos de atributos especiales. Recluta operadores ahora.
- Guerras Planetarias: Tierra Glaciar, ¡una nueva estrella para una nueva Guerra Planetaria!
&lt;/es-419&gt;
&lt;ru-RU&gt;
-Новый герой: Доктор Мороз - Герман, гениальный климатолог и механик-инженер с острым языком.
-Операторы Мехов: Кабины Меха теперь доступны. Назначьте разных операторов в кабины, чтобы создать уникальных мехов со специальными наборами атрибутов. Нанимайте операторов сейчас.
- Планетарные войны: Ледниковая Земля, новая звезда для новой Планетарной Войны!
&lt;/ru-RU&gt;
&lt;tr-TR&gt;
-Yeni Savaşçı: Dr. Frost - Herman, keskin dilli bir dâhi klimatolog ve meka mühendisi.
-Meka Operatörleri: Meka kokpitleri şimdi kullanılabilir. Kokpitlere farklı operatörler atayarak özel nitelik setlerine sahip benzersiz mekalar oluşturun. Operatörleri şimdi acemi er olarak alın
- Gezegen Savaşları: Buzul Toprağı, yeni bir Gezegen Savaşı için yeni bir yıldız!
&lt;/tr-TR&gt;
&lt;vi&gt;
- Chiến Binh Mới: Tiến Sĩ Frost - Herman, một nhà khí tượng học thiên tài và kỹ sư cơ khí với lối nói sắc sảo.
- Người Điều Khiển Cơ Khí: Buồng Lái Cơ Khí hiện đã khả dụng. Chiếm Đóng các người điều khiển khác nhau vào buồng lái để tạo ra những cơ khí độc đáo với các bộ thuộc tính đặc biệt. Tuyển mộ người điều khiển ngay bây giờ.
- Chiến Tranh Hành Tinh: Vùng Đất Băng Hà, một ngôi sao mới cho một Chiến Tranh Hành Tinh mới!
&lt;/vi&gt;
&lt;it-IT&gt;
-Nuovo Combattente: Dottor Frost - Herman, un geniale climatologo e ingegnere meccanico dalla lingua tagliente.
-Operatori Mech: Cabine di pilotaggio Mech ora disponibili. Assegna diversi operatori alle cabine per creare Mech unici con set di attributi speciali. Recluta ora gli operatori
- Guerre planetarie: Terra Glaciale, una nuova stella per una nuova Guerra planetaria!
&lt;/it-IT&gt;
&lt;pl-PL&gt;
-Nowy Wojownik: Dr. Frost - Herman, geniusz klimatolog i inżynier mechów o bystrym języku.
-Operatorzy Mechów: Kokpity Mecha są już dostępne. Przypisz różnych operatorów do kokpitów, aby stworzyć unikalne mechy z zestawami specjalnych atrybutów. Rekrutuj operatorów już teraz.
- Wojny Planet: Lodowa Kraina, nowa gwiazda dla nowej Wojny Planet!
&lt;/pl-PL&gt;
&lt;ar&gt;
-مقاتل جديد: دكتور فروست - هيرمان، عالم مناخ عبقري ومهندس ميكا ذو لسان حاد.
-مشغلو الميكا: قمرة قيادة الميكا متوفرة الآن. عيّن مشغلين مختلفين لقمرات القيادة لإنشاء آليات ميكا فريدة بمجموعات خصائص خاصة. تجنيد المشغلين الآن
- حروب الكوكب: أرض الأنهار الجليدية، نجم جديد لحرب كوكب جديدة!
&lt;/ar&gt;
&lt;ja-JP&gt;
- 新しいファイター: ドクターフロスト - 鋭い舌を持つ天才気象学者兼メカエンジニアのハーマン。
- メカオペレーター: メカコックピットが今利用可能です。異なるオペレーターをコックピットに割り当てて、特別な属性セットを持つユニークなメカを作成します。今すぐオペレーターを新兵しましょう。
- プラネットウォーズ: 氷河の土地、新しいプラネットウォーのための新しい星！
&lt;/ja-JP&gt;
&lt;ko-KR&gt;
-새로운 전사: 닥터 프로스트 - 날카로운 혀를 가진 천재 기후학자이자 메카 엔지니어인 허먼.
-메카 조종사: 메카 조종석이 이제 사용 가능합니다. 조종석에 다양한 조종사를 배정하여 특별한 속성 세트를 가진 독특한 메카들을 창조하세요. 지금 조종사를 모집하세요
- 은하 전쟁: 빙하 땅, 새로운 은하 전쟁을 위한 새로운 별!
&lt;/ko-KR&gt;
</v>
      </c>
      <c r="C71" s="44" t="str">
        <f>IFERROR(__xludf.DUMMYFUNCTION("""COMPUTED_VALUE"""),"-新增斗士：冰霜博士-赫尔曼，天才的气候学博士，冷漠毒舌的机甲工程师！
-机甲机师：现在开放机甲的各类型驾驶舱，指挥官可上阵不同的机师，组合出不同特性的专属机甲，快去招募不同的机师吧！
-银河战争：增加了全新的银河战争剧本-寒冰星！")</f>
        <v>-新增斗士：冰霜博士-赫尔曼，天才的气候学博士，冷漠毒舌的机甲工程师！
-机甲机师：现在开放机甲的各类型驾驶舱，指挥官可上阵不同的机师，组合出不同特性的专属机甲，快去招募不同的机师吧！
-银河战争：增加了全新的银河战争剧本-寒冰星！</v>
      </c>
      <c r="D71" s="160" t="str">
        <f>IFERROR(__xludf.DUMMYFUNCTION("""COMPUTED_VALUE"""),"-New Fighter: Dr. Frost - Herman, a genius climatologist and mech engineer with a sharp tongue.
-Mech Operators: Mech cockpits are now available. Assign different operators to the cockpits to create unique mechs with special attribute sets. Recruit operat"&amp;"ors now
- Planet Wars: Glacier Land, a new star for a new Planet War!")</f>
        <v>-New Fighter: Dr. Frost - Herman, a genius climatologist and mech engineer with a sharp tongue.
-Mech Operators: Mech cockpits are now available. Assign different operators to the cockpits to create unique mechs with special attribute sets. Recruit operators now
- Planet Wars: Glacier Land, a new star for a new Planet War!</v>
      </c>
      <c r="E71" s="159" t="str">
        <f>IFERROR(__xludf.DUMMYFUNCTION("""COMPUTED_VALUE"""),"-Nouveau combattant : Dr. Frost - Herman, un climatologue de génie et ingénieur méca à la langue bien pendue.
-Opérateurs de Méchas : Les cockpits mécha sont désormais disponibles. Affectez différents opérateurs aux cockpits pour créer des méchas uniques "&amp;"avec des ensembles d'attributs spéciaux. Recrutez des opérateurs maintenant
- Guerre planétaire : Terre Glaciaire, une nouvelle étoile pour une nouvelle Guerre planétaire !")</f>
        <v>-Nouveau combattant : Dr. Frost - Herman, un climatologue de génie et ingénieur méca à la langue bien pendue.
-Opérateurs de Méchas : Les cockpits mécha sont désormais disponibles. Affectez différents opérateurs aux cockpits pour créer des méchas uniques avec des ensembles d'attributs spéciaux. Recrutez des opérateurs maintenant
- Guerre planétaire : Terre Glaciaire, une nouvelle étoile pour une nouvelle Guerre planétaire !</v>
      </c>
      <c r="F71" s="159" t="str">
        <f>IFERROR(__xludf.DUMMYFUNCTION("""COMPUTED_VALUE"""),"-Neuer Kämpfer: Dr. Frost - Herman, ein genialer Klimatologe und Mech-Ingenieur mit scharfer Zunge.
-Mech-Operatoren: Mech-Cockpits sind jetzt verfügbar. Weise verschiedenen Operatoren die Cockpits zu, um einzigartige Mechs mit speziellen Attributsätzen z"&amp;"u erstellen. Rekrutiere jetzt Operatoren
- Planetenkriege: Gletscherland, ein neuer Stern für einen neuen Planetenkrieg!")</f>
        <v>-Neuer Kämpfer: Dr. Frost - Herman, ein genialer Klimatologe und Mech-Ingenieur mit scharfer Zunge.
-Mech-Operatoren: Mech-Cockpits sind jetzt verfügbar. Weise verschiedenen Operatoren die Cockpits zu, um einzigartige Mechs mit speziellen Attributsätzen zu erstellen. Rekrutiere jetzt Operatoren
- Planetenkriege: Gletscherland, ein neuer Stern für einen neuen Planetenkrieg!</v>
      </c>
      <c r="G71" s="159" t="str">
        <f>IFERROR(__xludf.DUMMYFUNCTION("""COMPUTED_VALUE"""),"-Novo Combatente: Dr. Frost - Herman, um gênio climatologista e engenheiro de mechs com uma língua afiada.
-Operadores de Mechs: Cabines de Mech estão disponíveis agora. Atribua diferentes operadores às cabines para criar mechas únicas com conjuntos de at"&amp;"ributos especiais. Recrute operadores agora
- Guerra Interplanetária: Terra Glacial, uma nova estrela para uma nova Guerra Interplanetária!")</f>
        <v>-Novo Combatente: Dr. Frost - Herman, um gênio climatologista e engenheiro de mechs com uma língua afiada.
-Operadores de Mechs: Cabines de Mech estão disponíveis agora. Atribua diferentes operadores às cabines para criar mechas únicas com conjuntos de atributos especiais. Recrute operadores agora
- Guerra Interplanetária: Terra Glacial, uma nova estrela para uma nova Guerra Interplanetária!</v>
      </c>
      <c r="H71" s="159" t="str">
        <f>IFERROR(__xludf.DUMMYFUNCTION("""COMPUTED_VALUE"""),"-新增鬥士：冰霜博士-赫爾曼，天才的氣候學博士，冷漠毒舌的機甲工程師！
-機甲機師：現在開放機甲的各類型駕駛艙，指揮官可參賽不同的機師，組合出不同特性的專屬機甲，快去招募不同的機師吧！
-銀河戰爭：增加了全新的銀河戰爭劇本-寒冰星！")</f>
        <v>-新增鬥士：冰霜博士-赫爾曼，天才的氣候學博士，冷漠毒舌的機甲工程師！
-機甲機師：現在開放機甲的各類型駕駛艙，指揮官可參賽不同的機師，組合出不同特性的專屬機甲，快去招募不同的機師吧！
-銀河戰爭：增加了全新的銀河戰爭劇本-寒冰星！</v>
      </c>
      <c r="I71" s="159" t="str">
        <f>IFERROR(__xludf.DUMMYFUNCTION("""COMPUTED_VALUE"""),"-Pejuang Baru: Dr. Frost - Herman, seorang klimatolog jenius dan insinyur mekanik dengan lidah yang tajam.
-Operator Mekanik: Kokpit Mekanik sekarang tersedia. Tugaskan operator yang berbeda ke kokpit untuk menciptakan mekanik unik dengan set atribut khus"&amp;"us. Rekrut operator sekarang
- Perang Planet: Tanah Gletser, bintang baru untuk Perang Planet yang baru!")</f>
        <v>-Pejuang Baru: Dr. Frost - Herman, seorang klimatolog jenius dan insinyur mekanik dengan lidah yang tajam.
-Operator Mekanik: Kokpit Mekanik sekarang tersedia. Tugaskan operator yang berbeda ke kokpit untuk menciptakan mekanik unik dengan set atribut khusus. Rekrut operator sekarang
- Perang Planet: Tanah Gletser, bintang baru untuk Perang Planet yang baru!</v>
      </c>
      <c r="J71" s="159" t="str">
        <f>IFERROR(__xludf.DUMMYFUNCTION("""COMPUTED_VALUE"""),"-นักสู้ตัวใหม่: ดร.ฟรอสต์ - เฮอร์มัน, อัจฉริยะด้านอุตุนิยมวิทยาและวิศวกรเมคที่มีคำพูดร้ายแรง
-ผู้ปฏิบัติการเมค: ห้องนักบินเมคพร้อมให้บริการแล้ว จัดสรรผู้ปฏิบัติการต่างๆ ไปยังห้องนักบินเพื่อสร้างเมคที่มีคุณลักษณะพิเศษแตกต่างกัน รับสมัครผู้ปฏิบัติการเลย
- ส"&amp;"งครามดาวเคราะห์: ดินแดนน้ำแข็ง, ดาวดวงใหม่สำหรับสงครามดาวเคราะห์ใหม่!")</f>
        <v>-นักสู้ตัวใหม่: ดร.ฟรอสต์ - เฮอร์มัน, อัจฉริยะด้านอุตุนิยมวิทยาและวิศวกรเมคที่มีคำพูดร้ายแรง
-ผู้ปฏิบัติการเมค: ห้องนักบินเมคพร้อมให้บริการแล้ว จัดสรรผู้ปฏิบัติการต่างๆ ไปยังห้องนักบินเพื่อสร้างเมคที่มีคุณลักษณะพิเศษแตกต่างกัน รับสมัครผู้ปฏิบัติการเลย
- สงครามดาวเคราะห์: ดินแดนน้ำแข็ง, ดาวดวงใหม่สำหรับสงครามดาวเคราะห์ใหม่!</v>
      </c>
      <c r="K71" s="159" t="str">
        <f>IFERROR(__xludf.DUMMYFUNCTION("""COMPUTED_VALUE"""),"-Nuevo Luchador: Dr. Frost - Herman, un genio climatólogo e ingeniero de mecas con una lengua afilada.
-Operadores de Mecas: Las cabinas de meca están disponibles ahora. Designa diferentes operadores a las cabinas para crear mecas únicos con conjuntos de "&amp;"atributos especiales. Recluta operadores ahora.
- Guerras Planetarias: Tierra Glaciar, ¡una nueva estrella para una nueva Guerra Planetaria!")</f>
        <v>-Nuevo Luchador: Dr. Frost - Herman, un genio climatólogo e ingeniero de mecas con una lengua afilada.
-Operadores de Mecas: Las cabinas de meca están disponibles ahora. Designa diferentes operadores a las cabinas para crear mecas únicos con conjuntos de atributos especiales. Recluta operadores ahora.
- Guerras Planetarias: Tierra Glaciar, ¡una nueva estrella para una nueva Guerra Planetaria!</v>
      </c>
      <c r="L71" s="159" t="str">
        <f>IFERROR(__xludf.DUMMYFUNCTION("""COMPUTED_VALUE"""),"-Новый герой: Доктор Мороз - Герман, гениальный климатолог и механик-инженер с острым языком.
-Операторы Мехов: Кабины Меха теперь доступны. Назначьте разных операторов в кабины, чтобы создать уникальных мехов со специальными наборами атрибутов. Нанимайте"&amp;" операторов сейчас.
- Планетарные войны: Ледниковая Земля, новая звезда для новой Планетарной Войны!")</f>
        <v>-Новый герой: Доктор Мороз - Герман, гениальный климатолог и механик-инженер с острым языком.
-Операторы Мехов: Кабины Меха теперь доступны. Назначьте разных операторов в кабины, чтобы создать уникальных мехов со специальными наборами атрибутов. Нанимайте операторов сейчас.
- Планетарные войны: Ледниковая Земля, новая звезда для новой Планетарной Войны!</v>
      </c>
      <c r="M71" s="159" t="str">
        <f>IFERROR(__xludf.DUMMYFUNCTION("""COMPUTED_VALUE"""),"-Yeni Savaşçı: Dr. Frost - Herman, keskin dilli bir dâhi klimatolog ve meka mühendisi.
-Meka Operatörleri: Meka kokpitleri şimdi kullanılabilir. Kokpitlere farklı operatörler atayarak özel nitelik setlerine sahip benzersiz mekalar oluşturun. Operatörleri "&amp;"şimdi acemi er olarak alın
- Gezegen Savaşları: Buzul Toprağı, yeni bir Gezegen Savaşı için yeni bir yıldız!")</f>
        <v>-Yeni Savaşçı: Dr. Frost - Herman, keskin dilli bir dâhi klimatolog ve meka mühendisi.
-Meka Operatörleri: Meka kokpitleri şimdi kullanılabilir. Kokpitlere farklı operatörler atayarak özel nitelik setlerine sahip benzersiz mekalar oluşturun. Operatörleri şimdi acemi er olarak alın
- Gezegen Savaşları: Buzul Toprağı, yeni bir Gezegen Savaşı için yeni bir yıldız!</v>
      </c>
      <c r="N71" s="45" t="str">
        <f>IFERROR(__xludf.DUMMYFUNCTION("""COMPUTED_VALUE"""),"- Chiến Binh Mới: Tiến Sĩ Frost - Herman, một nhà khí tượng học thiên tài và kỹ sư cơ khí với lối nói sắc sảo.
- Người Điều Khiển Cơ Khí: Buồng Lái Cơ Khí hiện đã khả dụng. Chiếm Đóng các người điều khiển khác nhau vào buồng lái để tạo ra những cơ khí độc"&amp;" đáo với các bộ thuộc tính đặc biệt. Tuyển mộ người điều khiển ngay bây giờ.
- Chiến Tranh Hành Tinh: Vùng Đất Băng Hà, một ngôi sao mới cho một Chiến Tranh Hành Tinh mới!")</f>
        <v>- Chiến Binh Mới: Tiến Sĩ Frost - Herman, một nhà khí tượng học thiên tài và kỹ sư cơ khí với lối nói sắc sảo.
- Người Điều Khiển Cơ Khí: Buồng Lái Cơ Khí hiện đã khả dụng. Chiếm Đóng các người điều khiển khác nhau vào buồng lái để tạo ra những cơ khí độc đáo với các bộ thuộc tính đặc biệt. Tuyển mộ người điều khiển ngay bây giờ.
- Chiến Tranh Hành Tinh: Vùng Đất Băng Hà, một ngôi sao mới cho một Chiến Tranh Hành Tinh mới!</v>
      </c>
      <c r="O71" s="45" t="str">
        <f>IFERROR(__xludf.DUMMYFUNCTION("""COMPUTED_VALUE"""),"-Nuovo Combattente: Dottor Frost - Herman, un geniale climatologo e ingegnere meccanico dalla lingua tagliente.
-Operatori Mech: Cabine di pilotaggio Mech ora disponibili. Assegna diversi operatori alle cabine per creare Mech unici con set di attributi sp"&amp;"eciali. Recluta ora gli operatori
- Guerre planetarie: Terra Glaciale, una nuova stella per una nuova Guerra planetaria!")</f>
        <v>-Nuovo Combattente: Dottor Frost - Herman, un geniale climatologo e ingegnere meccanico dalla lingua tagliente.
-Operatori Mech: Cabine di pilotaggio Mech ora disponibili. Assegna diversi operatori alle cabine per creare Mech unici con set di attributi speciali. Recluta ora gli operatori
- Guerre planetarie: Terra Glaciale, una nuova stella per una nuova Guerra planetaria!</v>
      </c>
      <c r="P71" s="34" t="str">
        <f>IFERROR(__xludf.DUMMYFUNCTION("""COMPUTED_VALUE"""),"-Nowy Wojownik: Dr. Frost - Herman, geniusz klimatolog i inżynier mechów o bystrym języku.
-Operatorzy Mechów: Kokpity Mecha są już dostępne. Przypisz różnych operatorów do kokpitów, aby stworzyć unikalne mechy z zestawami specjalnych atrybutów. Rekrutuj "&amp;"operatorów już teraz.
- Wojny Planet: Lodowa Kraina, nowa gwiazda dla nowej Wojny Planet!")</f>
        <v>-Nowy Wojownik: Dr. Frost - Herman, geniusz klimatolog i inżynier mechów o bystrym języku.
-Operatorzy Mechów: Kokpity Mecha są już dostępne. Przypisz różnych operatorów do kokpitów, aby stworzyć unikalne mechy z zestawami specjalnych atrybutów. Rekrutuj operatorów już teraz.
- Wojny Planet: Lodowa Kraina, nowa gwiazda dla nowej Wojny Planet!</v>
      </c>
      <c r="Q71" s="34" t="str">
        <f>IFERROR(__xludf.DUMMYFUNCTION("""COMPUTED_VALUE"""),"-مقاتل جديد: دكتور فروست - هيرمان، عالم مناخ عبقري ومهندس ميكا ذو لسان حاد.
-مشغلو الميكا: قمرة قيادة الميكا متوفرة الآن. عيّن مشغلين مختلفين لقمرات القيادة لإنشاء آليات ميكا فريدة بمجموعات خصائص خاصة. تجنيد المشغلين الآن
- حروب الكوكب: أرض الأنهار الجليد"&amp;"ية، نجم جديد لحرب كوكب جديدة!")</f>
        <v>-مقاتل جديد: دكتور فروست - هيرمان، عالم مناخ عبقري ومهندس ميكا ذو لسان حاد.
-مشغلو الميكا: قمرة قيادة الميكا متوفرة الآن. عيّن مشغلين مختلفين لقمرات القيادة لإنشاء آليات ميكا فريدة بمجموعات خصائص خاصة. تجنيد المشغلين الآن
- حروب الكوكب: أرض الأنهار الجليدية، نجم جديد لحرب كوكب جديدة!</v>
      </c>
      <c r="R71" s="34" t="str">
        <f>IFERROR(__xludf.DUMMYFUNCTION("""COMPUTED_VALUE"""),"- 新しいファイター: ドクターフロスト - 鋭い舌を持つ天才気象学者兼メカエンジニアのハーマン。
- メカオペレーター: メカコックピットが今利用可能です。異なるオペレーターをコックピットに割り当てて、特別な属性セットを持つユニークなメカを作成します。今すぐオペレーターを新兵しましょう。
- プラネットウォーズ: 氷河の土地、新しいプラネットウォーのための新しい星！")</f>
        <v>- 新しいファイター: ドクターフロスト - 鋭い舌を持つ天才気象学者兼メカエンジニアのハーマン。
- メカオペレーター: メカコックピットが今利用可能です。異なるオペレーターをコックピットに割り当てて、特別な属性セットを持つユニークなメカを作成します。今すぐオペレーターを新兵しましょう。
- プラネットウォーズ: 氷河の土地、新しいプラネットウォーのための新しい星！</v>
      </c>
      <c r="S71" s="34" t="str">
        <f>IFERROR(__xludf.DUMMYFUNCTION("""COMPUTED_VALUE"""),"-새로운 전사: 닥터 프로스트 - 날카로운 혀를 가진 천재 기후학자이자 메카 엔지니어인 허먼.
-메카 조종사: 메카 조종석이 이제 사용 가능합니다. 조종석에 다양한 조종사를 배정하여 특별한 속성 세트를 가진 독특한 메카들을 창조하세요. 지금 조종사를 모집하세요
- 은하 전쟁: 빙하 땅, 새로운 은하 전쟁을 위한 새로운 별!")</f>
        <v>-새로운 전사: 닥터 프로스트 - 날카로운 혀를 가진 천재 기후학자이자 메카 엔지니어인 허먼.
-메카 조종사: 메카 조종석이 이제 사용 가능합니다. 조종석에 다양한 조종사를 배정하여 특별한 속성 세트를 가진 독특한 메카들을 창조하세요. 지금 조종사를 모집하세요
- 은하 전쟁: 빙하 땅, 새로운 은하 전쟁을 위한 새로운 별!</v>
      </c>
      <c r="T71" s="108"/>
      <c r="U71" s="108"/>
      <c r="V71" s="108"/>
      <c r="W71" s="108"/>
      <c r="X71" s="108"/>
      <c r="Y71" s="108"/>
      <c r="Z71" s="108"/>
    </row>
    <row r="72">
      <c r="A72" s="149" t="str">
        <f>IFERROR(__xludf.DUMMYFUNCTION("""COMPUTED_VALUE"""),"0.63.0")</f>
        <v>0.63.0</v>
      </c>
      <c r="B72" s="174" t="str">
        <f>IFERROR(__xludf.DUMMYFUNCTION("""COMPUTED_VALUE"""),"&lt;en-US&gt;
-New Fighter: Veronica the Windwalker. An emissary with all the velocity and fearlessness of the wind!
-New breakthrough option for relics: Unlock this feature to upgrade Epic relics to Legendary quality!
-New Fortress Takeover levels: levels 1101"&amp;"-1150.
-New event, Operator Expedition: Use mechs provided by the system and your own operators to win upgrade items for operators!
&lt;/en-US&gt;
&lt;fr-FR&gt;
-Nouveau combattant : Veronica la Marcheuse du Vent. Un émissaire avec toute la vélocité et l'audace du ve"&amp;"nt !
-Nouvelle option de percée pour les reliques : Débloquez cette fonctionnalité pour améliorer les reliques Épiques en qualité Légendaire !
-Nouveaux niveaux d'Invasion de forteresse : niveaux 1101-1150.
-Nouvel évènement, Expédition d'Opérateur : Util"&amp;"isez des méchas fournis par le système et vos propres opérateurs pour gagner des objets d'amélioration pour les opérateurs !
&lt;/fr-FR&gt;
&lt;de-DE&gt;
-Neuer Kämpfer: Veronica die Windläuferin. Ein Gesandter mit der Geschwindigkeit und Furchtlosigkeit des Windes!
"&amp;"-Neue Durchbruchsoption für Relikte: Schalte diese Funktion frei, um epische Relikte auf legendäre Qualität aufzuwerten!
-Neue Festungsübernahme-Level: Level 1101-1150.
-Neues Event, Bediener-Expedition: Verwende von dem System bereitgestellte Mechs und d"&amp;"eine eigenen Bediener, um Upgrade-Items für Bediener zu gewinnen!
&lt;/de-DE&gt;
&lt;pt-BR&gt;
-Novo combatente: Veronica, a Caminhante do Vento. Uma emissária com toda a velocidade e destemor do vento!
-Nova opção de avanço para relíquias: Desbloqueie este recurso p"&amp;"ara melhorar relíquias Épicas para qualidade Lendária!
-Novos níveis de Conquista da Fortaleza: níveis 1101-1150.
-Novo evento, Expedição de Operador: Use mecas fornecidas pelo sistema e seus próprios operadores para ganhar itens de melhoria para operador"&amp;"es!
&lt;/pt-BR&gt;
&lt;zh-HK&gt;
-新增鬥士：風行使者-維羅妮卡，速度與勇氣並存，來去如風的外交使者！
-新增收藏品突破功能：功能解鎖後，玩家可以將史詩收藏品升級到傳說品質！
-新增堡壘對決關卡：1101-1150關；
-新增機師遠征：遠征由系統提供固定機甲，玩家可參賽機師進行闖關，獲取機師養成獎勵！
&lt;/zh-HK&gt;
&lt;zh-TW&gt;
-新增鬥士：風行使者-維羅妮卡，速度與勇氣並存，來去如風的外交使者！
-新增收藏品突破功能：功能解鎖後，玩家可以將史詩收藏品升級到傳說品質！
-新增堡壘對決關卡：1"&amp;"101-1150關；
-新增機師遠征：遠征由系統提供固定機甲，玩家可參賽機師進行闖關，獲取機師養成獎勵！
&lt;/zh-TW&gt;
&lt;id&gt;
-Pejuang Baru: Veronica Pengendara Angin. Seorang utusan dengan semua kecepatan dan keberanian seperti angin!
-Opsi terobosan baru untuk relik: Buka fitur ini untuk meningkatkan relik Epik"&amp;" menjadi kualitas Legendaris!
-Level Penaklukan Benteng baru: level 1101-1150.
-Event baru, Ekspedisi Operator: Gunakan mekanik yang disediakan oleh sistem dan operator Anda sendiri untuk memenangkan item peningkatan untuk operator!
&lt;/id&gt;
&lt;th&gt;
-นักสู้ตัวใ"&amp;"หม่: เวโรนิก้า นักเดินลม ผู้ส่งสารที่มีความเร็วและความกล้าหาญเหมือนลมที่พัดผ่าน!
-ตัวเลือกการพัฒนาใหม่สำหรับวัตถุโบราณ: ปลดล็อกฟีเจอร์นี้เพื่ออัปเกรดวัตถุโบราณระดับมหากาพย์ให้กลายเป็นระดับตำนาน!
-ระดับการยึดป้อมปราการใหม่: เลเวล 1101-1150
-กิจกรรมใหม่, กา"&amp;"รสำรวจผู้ปฏิบัติการ: ใช้เมคที่ระบบให้มาและผู้ปฏิบัติการของคุณเองเพื่อชนะไอเทมอัปเกรดสำหรับผู้ปฏิบัติการ!
&lt;/th&gt;
&lt;es-419&gt;
-Nuevo Luchador: Veronica la Caminante del Viento. ¡Un emisario con toda la velocidad e intrepidez del viento!
-Nueva opción de avance "&amp;"para reliquias: ¡Desbloquea esta característica para mejorar reliquias Épicas a calidad Legendario!
-Nuevos niveles de Toma de la Fortaleza: niveles 1101-1150.
-Nuevo evento, Expedición de Operadores: ¡Usa mecas proporcionados por el sistema y tus propios"&amp;" operadores para ganar artículos de mejora para operadores!
&lt;/es-419&gt;
&lt;ru-RU&gt;
-Новый герой: Вероника Ветроход. Посланник со всей скоростью и бесстрашием ветра!
-Новая возможность прорыва для реликвий: Откройте эту функцию, чтобы улучшить Эпические реликви"&amp;"и до Легендарного качества!
-Новые уровни Захвата крепости: уровни 1101-1150.
-Новое событие, Операторская Экспедиция: Используйте мехов, предоставленных системой, и ваших операторов, чтобы выиграть предметы для улучшения операторов!
&lt;/ru-RU&gt;
&lt;tr-TR&gt;
-Yen"&amp;"i Savaşçı: Rüzgar Yürüyücüsü Veronica. Rüzgarın tüm hızı ve korkusuzluğuyla bir elçi!
-Kalıntılar için yeni gelişim seçeneği: Bu özelliği açarak Epik kalıntıları Efsanevi kaliteye yükseltin!
-Yeni Kaleyi Ele Geçirme seviyeleri: 1101-1150 seviyeleri.
-Yeni"&amp;" etkinlik, Operatör Gezisi: Sistem tarafından sağlanan mekaları ve kendi operatörlerinizi kullanarak operatörler için yükseltme eşyaları kazanın!
&lt;/tr-TR&gt;
&lt;vi&gt;
-Chiến Binh Mới: Veronica Người Đi Gió. Một sứ giả với tốc độ và lòng không sợ hãi như cơn gió!"&amp;"
-Tính năng đột phá mới cho Di Tích: Mở khóa tính năng này để nâng cấp Di Tích Cực Phẩm lên Phẩm Chất Huyền Thoại!
-Cấp độ mới Tiếp Quản Pháo Đài: cấp độ 1101-1150.
-Sự Kiện mới, VIỄN CHINH ĐIỀU HÀNH: Sử dụng Cơ Khí do hệ thống cung cấp và các điều hành v"&amp;"iên của bạn để giành lấy vật phẩm nâng cấp cho điều hành viên!
&lt;/vi&gt;
&lt;it-IT&gt;
-Nuovo Combattente: Veronica la Camminatrice del Vento. Un'emissaria con tutta la velocità e l'impavidezza del vento!
-Nuova opzione di avanzamento per le reliquie: Sblocca quest"&amp;"a funzionalità per potenziare le reliquie Epiche a qualità Leggendaria!
-Nuovi livelli di Conquista di Fortezze: livelli 1101-1150.
-Nuovo evento, Esplorazione Operatore: Utilizza i mech forniti dal sistema e i tuoi operatori per vincere oggetti di potenz"&amp;"iamento per gli operatori!
&lt;/it-IT&gt;
&lt;pl-PL&gt;
-Nowy Wojownik: Veronica Wędrowiec Wiatru. Posłaniec z szybkością i nieustraszeniem wiatru!
-Nowa opcja przełomu dla relikwii: Odblokuj tę funkcję, aby ulepszyć Rzadkie Wyposażenie do jakości Legendarnego!
-Nowe"&amp;" poziomy Przejęcia Fortecy: poziomy 1101-1150.
-Nowe wydarzenie, Wyprawa Operatora: Użyj mechów dostarczonych przez system oraz własnych operatorów, aby wygrać przedmioty do ulepszania operatorów!
&lt;/pl-PL&gt;
&lt;ar&gt;
-مقاتل جديد: فيرونيكا متسابق الرياح. رسول بك"&amp;"ل سرعة وشجاعة الريح!
-خيار اختراق جديد للمقتنيات: فتح هذه الميزة لترقية المقتنيات الملحمية إلى جودة أسطورية!
-مستويات جديدة للاستيلاء على الحصن: المستويات 1101-1150.
-حدث جديد، رحلة المشغل الاستكشافية: استخدم آليات الميكا المقدمة من النظام ومشغليك الخاصين"&amp;" للفوز بعناصر ترقية للمشغلين!
&lt;/ar&gt;
&lt;ja-JP&gt;
-新しいファイター: 風歩きのヴェロニカ。全ての速さと恐怖を知らぬ風のような使者！
-遺物の新たな突破オプション: この機能をアンロックして、エピック遺物をレジェンダリー品質にアップグレードしよう！
-新しい要塞バトルレベル: レベル1101-1150。
-新イベント、オペレーター遠征: システム提供のメックと自分のオペレーターを使って、オペレーターのアップグレードアイテムを勝ち取ろう！
&lt;/ja-JP&gt;
&lt;ko-KR"&amp;"&gt;
-새로운 전사: 바람걷는 자 베로니카. 바람의 질주와 용감함을 모두 갖춘 사절!
-유물의 새로운 돌파구 옵션: 이 기능을 잠금 해제하여 영웅적인 유물을 전설 배율로 업그레이드하세요!
-새로운 요새 대결 레벨: 레벨 1101-1150.
-새로운 이벤트, 운영자 원정: 시스템이 제공하는 메카와 당신의 운영자를 사용하여 운영자를 위한 업그레이드 아이템을 획득하세요!
&lt;/ko-KR&gt;
")</f>
        <v>&lt;en-US&gt;
-New Fighter: Veronica the Windwalker. An emissary with all the velocity and fearlessness of the wind!
-New breakthrough option for relics: Unlock this feature to upgrade Epic relics to Legendary quality!
-New Fortress Takeover levels: levels 1101-1150.
-New event, Operator Expedition: Use mechs provided by the system and your own operators to win upgrade items for operators!
&lt;/en-US&gt;
&lt;fr-FR&gt;
-Nouveau combattant : Veronica la Marcheuse du Vent. Un émissaire avec toute la vélocité et l'audace du vent !
-Nouvelle option de percée pour les reliques : Débloquez cette fonctionnalité pour améliorer les reliques Épiques en qualité Légendaire !
-Nouveaux niveaux d'Invasion de forteresse : niveaux 1101-1150.
-Nouvel évènement, Expédition d'Opérateur : Utilisez des méchas fournis par le système et vos propres opérateurs pour gagner des objets d'amélioration pour les opérateurs !
&lt;/fr-FR&gt;
&lt;de-DE&gt;
-Neuer Kämpfer: Veronica die Windläuferin. Ein Gesandter mit der Geschwindigkeit und Furchtlosigkeit des Windes!
-Neue Durchbruchsoption für Relikte: Schalte diese Funktion frei, um epische Relikte auf legendäre Qualität aufzuwerten!
-Neue Festungsübernahme-Level: Level 1101-1150.
-Neues Event, Bediener-Expedition: Verwende von dem System bereitgestellte Mechs und deine eigenen Bediener, um Upgrade-Items für Bediener zu gewinnen!
&lt;/de-DE&gt;
&lt;pt-BR&gt;
-Novo combatente: Veronica, a Caminhante do Vento. Uma emissária com toda a velocidade e destemor do vento!
-Nova opção de avanço para relíquias: Desbloqueie este recurso para melhorar relíquias Épicas para qualidade Lendária!
-Novos níveis de Conquista da Fortaleza: níveis 1101-1150.
-Novo evento, Expedição de Operador: Use mecas fornecidas pelo sistema e seus próprios operadores para ganhar itens de melhoria para operadores!
&lt;/pt-BR&gt;
&lt;zh-HK&gt;
-新增鬥士：風行使者-維羅妮卡，速度與勇氣並存，來去如風的外交使者！
-新增收藏品突破功能：功能解鎖後，玩家可以將史詩收藏品升級到傳說品質！
-新增堡壘對決關卡：1101-1150關；
-新增機師遠征：遠征由系統提供固定機甲，玩家可參賽機師進行闖關，獲取機師養成獎勵！
&lt;/zh-HK&gt;
&lt;zh-TW&gt;
-新增鬥士：風行使者-維羅妮卡，速度與勇氣並存，來去如風的外交使者！
-新增收藏品突破功能：功能解鎖後，玩家可以將史詩收藏品升級到傳說品質！
-新增堡壘對決關卡：1101-1150關；
-新增機師遠征：遠征由系統提供固定機甲，玩家可參賽機師進行闖關，獲取機師養成獎勵！
&lt;/zh-TW&gt;
&lt;id&gt;
-Pejuang Baru: Veronica Pengendara Angin. Seorang utusan dengan semua kecepatan dan keberanian seperti angin!
-Opsi terobosan baru untuk relik: Buka fitur ini untuk meningkatkan relik Epik menjadi kualitas Legendaris!
-Level Penaklukan Benteng baru: level 1101-1150.
-Event baru, Ekspedisi Operator: Gunakan mekanik yang disediakan oleh sistem dan operator Anda sendiri untuk memenangkan item peningkatan untuk operator!
&lt;/id&gt;
&lt;th&gt;
-นักสู้ตัวใหม่: เวโรนิก้า นักเดินลม ผู้ส่งสารที่มีความเร็วและความกล้าหาญเหมือนลมที่พัดผ่าน!
-ตัวเลือกการพัฒนาใหม่สำหรับวัตถุโบราณ: ปลดล็อกฟีเจอร์นี้เพื่ออัปเกรดวัตถุโบราณระดับมหากาพย์ให้กลายเป็นระดับตำนาน!
-ระดับการยึดป้อมปราการใหม่: เลเวล 1101-1150
-กิจกรรมใหม่, การสำรวจผู้ปฏิบัติการ: ใช้เมคที่ระบบให้มาและผู้ปฏิบัติการของคุณเองเพื่อชนะไอเทมอัปเกรดสำหรับผู้ปฏิบัติการ!
&lt;/th&gt;
&lt;es-419&gt;
-Nuevo Luchador: Veronica la Caminante del Viento. ¡Un emisario con toda la velocidad e intrepidez del viento!
-Nueva opción de avance para reliquias: ¡Desbloquea esta característica para mejorar reliquias Épicas a calidad Legendario!
-Nuevos niveles de Toma de la Fortaleza: niveles 1101-1150.
-Nuevo evento, Expedición de Operadores: ¡Usa mecas proporcionados por el sistema y tus propios operadores para ganar artículos de mejora para operadores!
&lt;/es-419&gt;
&lt;ru-RU&gt;
-Новый герой: Вероника Ветроход. Посланник со всей скоростью и бесстрашием ветра!
-Новая возможность прорыва для реликвий: Откройте эту функцию, чтобы улучшить Эпические реликвии до Легендарного качества!
-Новые уровни Захвата крепости: уровни 1101-1150.
-Новое событие, Операторская Экспедиция: Используйте мехов, предоставленных системой, и ваших операторов, чтобы выиграть предметы для улучшения операторов!
&lt;/ru-RU&gt;
&lt;tr-TR&gt;
-Yeni Savaşçı: Rüzgar Yürüyücüsü Veronica. Rüzgarın tüm hızı ve korkusuzluğuyla bir elçi!
-Kalıntılar için yeni gelişim seçeneği: Bu özelliği açarak Epik kalıntıları Efsanevi kaliteye yükseltin!
-Yeni Kaleyi Ele Geçirme seviyeleri: 1101-1150 seviyeleri.
-Yeni etkinlik, Operatör Gezisi: Sistem tarafından sağlanan mekaları ve kendi operatörlerinizi kullanarak operatörler için yükseltme eşyaları kazanın!
&lt;/tr-TR&gt;
&lt;vi&gt;
-Chiến Binh Mới: Veronica Người Đi Gió. Một sứ giả với tốc độ và lòng không sợ hãi như cơn gió!
-Tính năng đột phá mới cho Di Tích: Mở khóa tính năng này để nâng cấp Di Tích Cực Phẩm lên Phẩm Chất Huyền Thoại!
-Cấp độ mới Tiếp Quản Pháo Đài: cấp độ 1101-1150.
-Sự Kiện mới, VIỄN CHINH ĐIỀU HÀNH: Sử dụng Cơ Khí do hệ thống cung cấp và các điều hành viên của bạn để giành lấy vật phẩm nâng cấp cho điều hành viên!
&lt;/vi&gt;
&lt;it-IT&gt;
-Nuovo Combattente: Veronica la Camminatrice del Vento. Un'emissaria con tutta la velocità e l'impavidezza del vento!
-Nuova opzione di avanzamento per le reliquie: Sblocca questa funzionalità per potenziare le reliquie Epiche a qualità Leggendaria!
-Nuovi livelli di Conquista di Fortezze: livelli 1101-1150.
-Nuovo evento, Esplorazione Operatore: Utilizza i mech forniti dal sistema e i tuoi operatori per vincere oggetti di potenziamento per gli operatori!
&lt;/it-IT&gt;
&lt;pl-PL&gt;
-Nowy Wojownik: Veronica Wędrowiec Wiatru. Posłaniec z szybkością i nieustraszeniem wiatru!
-Nowa opcja przełomu dla relikwii: Odblokuj tę funkcję, aby ulepszyć Rzadkie Wyposażenie do jakości Legendarnego!
-Nowe poziomy Przejęcia Fortecy: poziomy 1101-1150.
-Nowe wydarzenie, Wyprawa Operatora: Użyj mechów dostarczonych przez system oraz własnych operatorów, aby wygrać przedmioty do ulepszania operatorów!
&lt;/pl-PL&gt;
&lt;ar&gt;
-مقاتل جديد: فيرونيكا متسابق الرياح. رسول بكل سرعة وشجاعة الريح!
-خيار اختراق جديد للمقتنيات: فتح هذه الميزة لترقية المقتنيات الملحمية إلى جودة أسطورية!
-مستويات جديدة للاستيلاء على الحصن: المستويات 1101-1150.
-حدث جديد، رحلة المشغل الاستكشافية: استخدم آليات الميكا المقدمة من النظام ومشغليك الخاصين للفوز بعناصر ترقية للمشغلين!
&lt;/ar&gt;
&lt;ja-JP&gt;
-新しいファイター: 風歩きのヴェロニカ。全ての速さと恐怖を知らぬ風のような使者！
-遺物の新たな突破オプション: この機能をアンロックして、エピック遺物をレジェンダリー品質にアップグレードしよう！
-新しい要塞バトルレベル: レベル1101-1150。
-新イベント、オペレーター遠征: システム提供のメックと自分のオペレーターを使って、オペレーターのアップグレードアイテムを勝ち取ろう！
&lt;/ja-JP&gt;
&lt;ko-KR&gt;
-새로운 전사: 바람걷는 자 베로니카. 바람의 질주와 용감함을 모두 갖춘 사절!
-유물의 새로운 돌파구 옵션: 이 기능을 잠금 해제하여 영웅적인 유물을 전설 배율로 업그레이드하세요!
-새로운 요새 대결 레벨: 레벨 1101-1150.
-새로운 이벤트, 운영자 원정: 시스템이 제공하는 메카와 당신의 운영자를 사용하여 운영자를 위한 업그레이드 아이템을 획득하세요!
&lt;/ko-KR&gt;
</v>
      </c>
      <c r="C72" s="44" t="str">
        <f>IFERROR(__xludf.DUMMYFUNCTION("""COMPUTED_VALUE"""),"-新增斗士：风行使者-维罗妮卡，速度与勇气并存，来去如风的外交使者！
-新增收藏品突破功能：功能解锁后，玩家可以将史诗收藏品升级到传说品质！
-新增堡垒对决关卡：1101-1150关；
-新增机师远征：远征由系统提供固定机甲，玩家可上阵机师进行闯关，获取机师养成奖励！")</f>
        <v>-新增斗士：风行使者-维罗妮卡，速度与勇气并存，来去如风的外交使者！
-新增收藏品突破功能：功能解锁后，玩家可以将史诗收藏品升级到传说品质！
-新增堡垒对决关卡：1101-1150关；
-新增机师远征：远征由系统提供固定机甲，玩家可上阵机师进行闯关，获取机师养成奖励！</v>
      </c>
      <c r="D72" s="159" t="str">
        <f>IFERROR(__xludf.DUMMYFUNCTION("""COMPUTED_VALUE"""),"-New Fighter: Veronica the Windwalker. An emissary with all the velocity and fearlessness of the wind!
-New breakthrough option for relics: Unlock this feature to upgrade Epic relics to Legendary quality!
-New Fortress Takeover levels: levels 1101-1150.
-"&amp;"New event, Operator Expedition: Use mechs provided by the system and your own operators to win upgrade items for operators!")</f>
        <v>-New Fighter: Veronica the Windwalker. An emissary with all the velocity and fearlessness of the wind!
-New breakthrough option for relics: Unlock this feature to upgrade Epic relics to Legendary quality!
-New Fortress Takeover levels: levels 1101-1150.
-New event, Operator Expedition: Use mechs provided by the system and your own operators to win upgrade items for operators!</v>
      </c>
      <c r="E72" s="159" t="str">
        <f>IFERROR(__xludf.DUMMYFUNCTION("""COMPUTED_VALUE"""),"-Nouveau combattant : Veronica la Marcheuse du Vent. Un émissaire avec toute la vélocité et l'audace du vent !
-Nouvelle option de percée pour les reliques : Débloquez cette fonctionnalité pour améliorer les reliques Épiques en qualité Légendaire !
-Nouve"&amp;"aux niveaux d'Invasion de forteresse : niveaux 1101-1150.
-Nouvel évènement, Expédition d'Opérateur : Utilisez des méchas fournis par le système et vos propres opérateurs pour gagner des objets d'amélioration pour les opérateurs !")</f>
        <v>-Nouveau combattant : Veronica la Marcheuse du Vent. Un émissaire avec toute la vélocité et l'audace du vent !
-Nouvelle option de percée pour les reliques : Débloquez cette fonctionnalité pour améliorer les reliques Épiques en qualité Légendaire !
-Nouveaux niveaux d'Invasion de forteresse : niveaux 1101-1150.
-Nouvel évènement, Expédition d'Opérateur : Utilisez des méchas fournis par le système et vos propres opérateurs pour gagner des objets d'amélioration pour les opérateurs !</v>
      </c>
      <c r="F72" s="159" t="str">
        <f>IFERROR(__xludf.DUMMYFUNCTION("""COMPUTED_VALUE"""),"-Neuer Kämpfer: Veronica die Windläuferin. Ein Gesandter mit der Geschwindigkeit und Furchtlosigkeit des Windes!
-Neue Durchbruchsoption für Relikte: Schalte diese Funktion frei, um epische Relikte auf legendäre Qualität aufzuwerten!
-Neue Festungsübernah"&amp;"me-Level: Level 1101-1150.
-Neues Event, Bediener-Expedition: Verwende von dem System bereitgestellte Mechs und deine eigenen Bediener, um Upgrade-Items für Bediener zu gewinnen!")</f>
        <v>-Neuer Kämpfer: Veronica die Windläuferin. Ein Gesandter mit der Geschwindigkeit und Furchtlosigkeit des Windes!
-Neue Durchbruchsoption für Relikte: Schalte diese Funktion frei, um epische Relikte auf legendäre Qualität aufzuwerten!
-Neue Festungsübernahme-Level: Level 1101-1150.
-Neues Event, Bediener-Expedition: Verwende von dem System bereitgestellte Mechs und deine eigenen Bediener, um Upgrade-Items für Bediener zu gewinnen!</v>
      </c>
      <c r="G72" s="159" t="str">
        <f>IFERROR(__xludf.DUMMYFUNCTION("""COMPUTED_VALUE"""),"-Novo combatente: Veronica, a Caminhante do Vento. Uma emissária com toda a velocidade e destemor do vento!
-Nova opção de avanço para relíquias: Desbloqueie este recurso para melhorar relíquias Épicas para qualidade Lendária!
-Novos níveis de Conquista d"&amp;"a Fortaleza: níveis 1101-1150.
-Novo evento, Expedição de Operador: Use mecas fornecidas pelo sistema e seus próprios operadores para ganhar itens de melhoria para operadores!")</f>
        <v>-Novo combatente: Veronica, a Caminhante do Vento. Uma emissária com toda a velocidade e destemor do vento!
-Nova opção de avanço para relíquias: Desbloqueie este recurso para melhorar relíquias Épicas para qualidade Lendária!
-Novos níveis de Conquista da Fortaleza: níveis 1101-1150.
-Novo evento, Expedição de Operador: Use mecas fornecidas pelo sistema e seus próprios operadores para ganhar itens de melhoria para operadores!</v>
      </c>
      <c r="H72" s="159" t="str">
        <f>IFERROR(__xludf.DUMMYFUNCTION("""COMPUTED_VALUE"""),"-新增鬥士：風行使者-維羅妮卡，速度與勇氣並存，來去如風的外交使者！
-新增收藏品突破功能：功能解鎖後，玩家可以將史詩收藏品升級到傳說品質！
-新增堡壘對決關卡：1101-1150關；
-新增機師遠征：遠征由系統提供固定機甲，玩家可參賽機師進行闖關，獲取機師養成獎勵！")</f>
        <v>-新增鬥士：風行使者-維羅妮卡，速度與勇氣並存，來去如風的外交使者！
-新增收藏品突破功能：功能解鎖後，玩家可以將史詩收藏品升級到傳說品質！
-新增堡壘對決關卡：1101-1150關；
-新增機師遠征：遠征由系統提供固定機甲，玩家可參賽機師進行闖關，獲取機師養成獎勵！</v>
      </c>
      <c r="I72" s="159" t="str">
        <f>IFERROR(__xludf.DUMMYFUNCTION("""COMPUTED_VALUE"""),"-Pejuang Baru: Veronica Pengendara Angin. Seorang utusan dengan semua kecepatan dan keberanian seperti angin!
-Opsi terobosan baru untuk relik: Buka fitur ini untuk meningkatkan relik Epik menjadi kualitas Legendaris!
-Level Penaklukan Benteng baru: level"&amp;" 1101-1150.
-Event baru, Ekspedisi Operator: Gunakan mekanik yang disediakan oleh sistem dan operator Anda sendiri untuk memenangkan item peningkatan untuk operator!")</f>
        <v>-Pejuang Baru: Veronica Pengendara Angin. Seorang utusan dengan semua kecepatan dan keberanian seperti angin!
-Opsi terobosan baru untuk relik: Buka fitur ini untuk meningkatkan relik Epik menjadi kualitas Legendaris!
-Level Penaklukan Benteng baru: level 1101-1150.
-Event baru, Ekspedisi Operator: Gunakan mekanik yang disediakan oleh sistem dan operator Anda sendiri untuk memenangkan item peningkatan untuk operator!</v>
      </c>
      <c r="J72" s="159" t="str">
        <f>IFERROR(__xludf.DUMMYFUNCTION("""COMPUTED_VALUE"""),"-นักสู้ตัวใหม่: เวโรนิก้า นักเดินลม ผู้ส่งสารที่มีความเร็วและความกล้าหาญเหมือนลมที่พัดผ่าน!
-ตัวเลือกการพัฒนาใหม่สำหรับวัตถุโบราณ: ปลดล็อกฟีเจอร์นี้เพื่ออัปเกรดวัตถุโบราณระดับมหากาพย์ให้กลายเป็นระดับตำนาน!
-ระดับการยึดป้อมปราการใหม่: เลเวล 1101-1150
-กิจก"&amp;"รรมใหม่, การสำรวจผู้ปฏิบัติการ: ใช้เมคที่ระบบให้มาและผู้ปฏิบัติการของคุณเองเพื่อชนะไอเทมอัปเกรดสำหรับผู้ปฏิบัติการ!")</f>
        <v>-นักสู้ตัวใหม่: เวโรนิก้า นักเดินลม ผู้ส่งสารที่มีความเร็วและความกล้าหาญเหมือนลมที่พัดผ่าน!
-ตัวเลือกการพัฒนาใหม่สำหรับวัตถุโบราณ: ปลดล็อกฟีเจอร์นี้เพื่ออัปเกรดวัตถุโบราณระดับมหากาพย์ให้กลายเป็นระดับตำนาน!
-ระดับการยึดป้อมปราการใหม่: เลเวล 1101-1150
-กิจกรรมใหม่, การสำรวจผู้ปฏิบัติการ: ใช้เมคที่ระบบให้มาและผู้ปฏิบัติการของคุณเองเพื่อชนะไอเทมอัปเกรดสำหรับผู้ปฏิบัติการ!</v>
      </c>
      <c r="K72" s="159" t="str">
        <f>IFERROR(__xludf.DUMMYFUNCTION("""COMPUTED_VALUE"""),"-Nuevo Luchador: Veronica la Caminante del Viento. ¡Un emisario con toda la velocidad e intrepidez del viento!
-Nueva opción de avance para reliquias: ¡Desbloquea esta característica para mejorar reliquias Épicas a calidad Legendario!
-Nuevos niveles de T"&amp;"oma de la Fortaleza: niveles 1101-1150.
-Nuevo evento, Expedición de Operadores: ¡Usa mecas proporcionados por el sistema y tus propios operadores para ganar artículos de mejora para operadores!")</f>
        <v>-Nuevo Luchador: Veronica la Caminante del Viento. ¡Un emisario con toda la velocidad e intrepidez del viento!
-Nueva opción de avance para reliquias: ¡Desbloquea esta característica para mejorar reliquias Épicas a calidad Legendario!
-Nuevos niveles de Toma de la Fortaleza: niveles 1101-1150.
-Nuevo evento, Expedición de Operadores: ¡Usa mecas proporcionados por el sistema y tus propios operadores para ganar artículos de mejora para operadores!</v>
      </c>
      <c r="L72" s="159" t="str">
        <f>IFERROR(__xludf.DUMMYFUNCTION("""COMPUTED_VALUE"""),"-Новый герой: Вероника Ветроход. Посланник со всей скоростью и бесстрашием ветра!
-Новая возможность прорыва для реликвий: Откройте эту функцию, чтобы улучшить Эпические реликвии до Легендарного качества!
-Новые уровни Захвата крепости: уровни 1101-1150.
"&amp;"-Новое событие, Операторская Экспедиция: Используйте мехов, предоставленных системой, и ваших операторов, чтобы выиграть предметы для улучшения операторов!")</f>
        <v>-Новый герой: Вероника Ветроход. Посланник со всей скоростью и бесстрашием ветра!
-Новая возможность прорыва для реликвий: Откройте эту функцию, чтобы улучшить Эпические реликвии до Легендарного качества!
-Новые уровни Захвата крепости: уровни 1101-1150.
-Новое событие, Операторская Экспедиция: Используйте мехов, предоставленных системой, и ваших операторов, чтобы выиграть предметы для улучшения операторов!</v>
      </c>
      <c r="M72" s="159" t="str">
        <f>IFERROR(__xludf.DUMMYFUNCTION("""COMPUTED_VALUE"""),"-Yeni Savaşçı: Rüzgar Yürüyücüsü Veronica. Rüzgarın tüm hızı ve korkusuzluğuyla bir elçi!
-Kalıntılar için yeni gelişim seçeneği: Bu özelliği açarak Epik kalıntıları Efsanevi kaliteye yükseltin!
-Yeni Kaleyi Ele Geçirme seviyeleri: 1101-1150 seviyeleri.
-"&amp;"Yeni etkinlik, Operatör Gezisi: Sistem tarafından sağlanan mekaları ve kendi operatörlerinizi kullanarak operatörler için yükseltme eşyaları kazanın!")</f>
        <v>-Yeni Savaşçı: Rüzgar Yürüyücüsü Veronica. Rüzgarın tüm hızı ve korkusuzluğuyla bir elçi!
-Kalıntılar için yeni gelişim seçeneği: Bu özelliği açarak Epik kalıntıları Efsanevi kaliteye yükseltin!
-Yeni Kaleyi Ele Geçirme seviyeleri: 1101-1150 seviyeleri.
-Yeni etkinlik, Operatör Gezisi: Sistem tarafından sağlanan mekaları ve kendi operatörlerinizi kullanarak operatörler için yükseltme eşyaları kazanın!</v>
      </c>
      <c r="N72" s="45" t="str">
        <f>IFERROR(__xludf.DUMMYFUNCTION("""COMPUTED_VALUE"""),"-Chiến Binh Mới: Veronica Người Đi Gió. Một sứ giả với tốc độ và lòng không sợ hãi như cơn gió!
-Tính năng đột phá mới cho Di Tích: Mở khóa tính năng này để nâng cấp Di Tích Cực Phẩm lên Phẩm Chất Huyền Thoại!
-Cấp độ mới Tiếp Quản Pháo Đài: cấp độ 1101-1"&amp;"150.
-Sự Kiện mới, VIỄN CHINH ĐIỀU HÀNH: Sử dụng Cơ Khí do hệ thống cung cấp và các điều hành viên của bạn để giành lấy vật phẩm nâng cấp cho điều hành viên!")</f>
        <v>-Chiến Binh Mới: Veronica Người Đi Gió. Một sứ giả với tốc độ và lòng không sợ hãi như cơn gió!
-Tính năng đột phá mới cho Di Tích: Mở khóa tính năng này để nâng cấp Di Tích Cực Phẩm lên Phẩm Chất Huyền Thoại!
-Cấp độ mới Tiếp Quản Pháo Đài: cấp độ 1101-1150.
-Sự Kiện mới, VIỄN CHINH ĐIỀU HÀNH: Sử dụng Cơ Khí do hệ thống cung cấp và các điều hành viên của bạn để giành lấy vật phẩm nâng cấp cho điều hành viên!</v>
      </c>
      <c r="O72" s="45" t="str">
        <f>IFERROR(__xludf.DUMMYFUNCTION("""COMPUTED_VALUE"""),"-Nuovo Combattente: Veronica la Camminatrice del Vento. Un'emissaria con tutta la velocità e l'impavidezza del vento!
-Nuova opzione di avanzamento per le reliquie: Sblocca questa funzionalità per potenziare le reliquie Epiche a qualità Leggendaria!
-Nuov"&amp;"i livelli di Conquista di Fortezze: livelli 1101-1150.
-Nuovo evento, Esplorazione Operatore: Utilizza i mech forniti dal sistema e i tuoi operatori per vincere oggetti di potenziamento per gli operatori!")</f>
        <v>-Nuovo Combattente: Veronica la Camminatrice del Vento. Un'emissaria con tutta la velocità e l'impavidezza del vento!
-Nuova opzione di avanzamento per le reliquie: Sblocca questa funzionalità per potenziare le reliquie Epiche a qualità Leggendaria!
-Nuovi livelli di Conquista di Fortezze: livelli 1101-1150.
-Nuovo evento, Esplorazione Operatore: Utilizza i mech forniti dal sistema e i tuoi operatori per vincere oggetti di potenziamento per gli operatori!</v>
      </c>
      <c r="P72" s="34" t="str">
        <f>IFERROR(__xludf.DUMMYFUNCTION("""COMPUTED_VALUE"""),"-Nowy Wojownik: Veronica Wędrowiec Wiatru. Posłaniec z szybkością i nieustraszeniem wiatru!
-Nowa opcja przełomu dla relikwii: Odblokuj tę funkcję, aby ulepszyć Rzadkie Wyposażenie do jakości Legendarnego!
-Nowe poziomy Przejęcia Fortecy: poziomy 1101-115"&amp;"0.
-Nowe wydarzenie, Wyprawa Operatora: Użyj mechów dostarczonych przez system oraz własnych operatorów, aby wygrać przedmioty do ulepszania operatorów!")</f>
        <v>-Nowy Wojownik: Veronica Wędrowiec Wiatru. Posłaniec z szybkością i nieustraszeniem wiatru!
-Nowa opcja przełomu dla relikwii: Odblokuj tę funkcję, aby ulepszyć Rzadkie Wyposażenie do jakości Legendarnego!
-Nowe poziomy Przejęcia Fortecy: poziomy 1101-1150.
-Nowe wydarzenie, Wyprawa Operatora: Użyj mechów dostarczonych przez system oraz własnych operatorów, aby wygrać przedmioty do ulepszania operatorów!</v>
      </c>
      <c r="Q72" s="34" t="str">
        <f>IFERROR(__xludf.DUMMYFUNCTION("""COMPUTED_VALUE"""),"-مقاتل جديد: فيرونيكا متسابق الرياح. رسول بكل سرعة وشجاعة الريح!
-خيار اختراق جديد للمقتنيات: فتح هذه الميزة لترقية المقتنيات الملحمية إلى جودة أسطورية!
-مستويات جديدة للاستيلاء على الحصن: المستويات 1101-1150.
-حدث جديد، رحلة المشغل الاستكشافية: استخدم آل"&amp;"يات الميكا المقدمة من النظام ومشغليك الخاصين للفوز بعناصر ترقية للمشغلين!")</f>
        <v>-مقاتل جديد: فيرونيكا متسابق الرياح. رسول بكل سرعة وشجاعة الريح!
-خيار اختراق جديد للمقتنيات: فتح هذه الميزة لترقية المقتنيات الملحمية إلى جودة أسطورية!
-مستويات جديدة للاستيلاء على الحصن: المستويات 1101-1150.
-حدث جديد، رحلة المشغل الاستكشافية: استخدم آليات الميكا المقدمة من النظام ومشغليك الخاصين للفوز بعناصر ترقية للمشغلين!</v>
      </c>
      <c r="R72" s="34" t="str">
        <f>IFERROR(__xludf.DUMMYFUNCTION("""COMPUTED_VALUE"""),"-新しいファイター: 風歩きのヴェロニカ。全ての速さと恐怖を知らぬ風のような使者！
-遺物の新たな突破オプション: この機能をアンロックして、エピック遺物をレジェンダリー品質にアップグレードしよう！
-新しい要塞バトルレベル: レベル1101-1150。
-新イベント、オペレーター遠征: システム提供のメックと自分のオペレーターを使って、オペレーターのアップグレードアイテムを勝ち取ろう！")</f>
        <v>-新しいファイター: 風歩きのヴェロニカ。全ての速さと恐怖を知らぬ風のような使者！
-遺物の新たな突破オプション: この機能をアンロックして、エピック遺物をレジェンダリー品質にアップグレードしよう！
-新しい要塞バトルレベル: レベル1101-1150。
-新イベント、オペレーター遠征: システム提供のメックと自分のオペレーターを使って、オペレーターのアップグレードアイテムを勝ち取ろう！</v>
      </c>
      <c r="S72" s="34" t="str">
        <f>IFERROR(__xludf.DUMMYFUNCTION("""COMPUTED_VALUE"""),"-새로운 전사: 바람걷는 자 베로니카. 바람의 질주와 용감함을 모두 갖춘 사절!
-유물의 새로운 돌파구 옵션: 이 기능을 잠금 해제하여 영웅적인 유물을 전설 배율로 업그레이드하세요!
-새로운 요새 대결 레벨: 레벨 1101-1150.
-새로운 이벤트, 운영자 원정: 시스템이 제공하는 메카와 당신의 운영자를 사용하여 운영자를 위한 업그레이드 아이템을 획득하세요!")</f>
        <v>-새로운 전사: 바람걷는 자 베로니카. 바람의 질주와 용감함을 모두 갖춘 사절!
-유물의 새로운 돌파구 옵션: 이 기능을 잠금 해제하여 영웅적인 유물을 전설 배율로 업그레이드하세요!
-새로운 요새 대결 레벨: 레벨 1101-1150.
-새로운 이벤트, 운영자 원정: 시스템이 제공하는 메카와 당신의 운영자를 사용하여 운영자를 위한 업그레이드 아이템을 획득하세요!</v>
      </c>
      <c r="T72" s="108"/>
      <c r="U72" s="108"/>
      <c r="V72" s="108"/>
      <c r="W72" s="108"/>
      <c r="X72" s="108"/>
      <c r="Y72" s="108"/>
      <c r="Z72" s="108"/>
    </row>
    <row r="73">
      <c r="A73" s="149" t="str">
        <f>IFERROR(__xludf.DUMMYFUNCTION("""COMPUTED_VALUE"""),"0.64.0")</f>
        <v>0.64.0</v>
      </c>
      <c r="B73" s="174" t="str">
        <f>IFERROR(__xludf.DUMMYFUNCTION("""COMPUTED_VALUE"""),"&lt;en-US&gt;
- New Fighter: Noah, the Shieldwielder, is always there to support and protect with his super radar!
- New ""comeback"" event: invite friends back to the game to win rewards. Players who haven't been online for a while can also get a reward by en"&amp;"tering a reunion code!
- Unit skills modified: slow effect (up to 50% speed reduction) added to Shooter gear skill.
- New Fighter Expedition event: find out how strong your Fighters are and win rewards at the same time!
&lt;/en-US&gt;
&lt;fr-FR&gt;
- Nouveau combat"&amp;"tant : Noah, le Marcheur du Vent, est toujours là pour soutenir et protéger avec son super radar !
- Nouvel évènement ""comeback"" : inviter des amis à revenir dans le jeu pour gagner des récompenses. Les joueurs qui n'ont pas été en ligne depuis un mome"&amp;"nt peuvent également obtenir une récompense en saisissant un code de réunion !
- Compétences d'unité modifiées : effet de ralentissement (jusqu'à 50% de réduction de vitesse) ajouté à la compétence d'équipement de Shooter.
- Nouvel évènement Expédition "&amp;"de Combattant : découvrez la force de vos Combattants et gagnez des récompenses en même temps !
&lt;/fr-FR&gt;
&lt;de-DE&gt;
- Neuer Kämpfer: Noah, der Schildträger, ist immer da, um mit seinem Super-Radar zu unterstützen und zu schützen!
- Neues ""Comeback""-Event:"&amp;" Lade Freunde zurück ins Spiel ein, um Belohnungen zu gewinnen. Spieler, die schon eine Weile nicht online waren, können auch eine Belohnung erhalten, indem sie einen Wiedervereinigungscode eingeben!
- Fähigkeiten der Einheit modifiziert: Verlangsamungse"&amp;"ffekt (bis zu 50% Geschwindigkeitsreduktion) zur Schützenausrüstungsfähigkeit hinzugefügt.
- Neues Kämpfer-Expedition-Event: Finde heraus, wie stark deine Kämpfer sind und gewinne gleichzeitig Belohnungen!
&lt;/de-DE&gt;
&lt;pt-BR&gt;
- Novo combatente: Noé, O Porta"&amp;"dor do Escudo, está sempre lá para apoiar e proteger com seu super radar!
- Novo evento de ""retorno"": convide amigos de volta ao jogo para ganhar recompensas. Jogadores que não estiveram online por um tempo também podem obter uma recompensa ao entrar co"&amp;"m um código de reunião!
- Habilidades de unidade modificadas: efeito de lentidão (redução de velocidade de até 50%) adicionado à habilidade de equipamento do Atirador.
- Novo evento Expedição de Combatente: descubra quão fortes são seus Combatentes e ganh"&amp;"e recompensas ao mesmo tempo!
&lt;/pt-BR&gt;
&lt;zh-HK&gt;
-新增鬥士：光盾勇士-諾亞，用超級雷達提供支援的守護者，讓所有戰友安心！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
&lt;/zh-HK&gt;
&lt;zh-TW&gt;
-新增鬥士：光盾勇士-諾亞，用超級雷達提供支援的守護者，"&amp;"讓所有戰友安心！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
&lt;/zh-TW&gt;
&lt;id&gt;
- Pejuang Baru: Noah, Pemegang Perisai, selalu ada untuk mendukung dan melindungi dengan radar super milik"&amp;"nya!
- Event ""comeback"" baru: undang teman kembali ke dalam permainan untuk memenangkan hadiah. Pemain yang sudah lama tidak online juga bisa mendapatkan hadiah dengan memasukkan kode reuni!
- Keahlian pasukan dimodifikasi: efek lambat (pengurangan ke"&amp;"cepatan hingga 50%) ditambahkan ke skill gear Shooter.
- Event Ekspedisi Pejuang baru: temukan seberapa kuat Pejuangmu dan menangkan hadiah pada saat yang bersamaan!
&lt;/id&gt;
&lt;th&gt;
- นักสู้ตัวใหม่: โนอาห์ นักสู้ผู้ถือโล่ พร้อมเสมอที่จะสนับสนุนและป้องกันด้วยเ"&amp;"รดาร์สุดพิเศษของเขา!
- กิจกรรม ""กลับมาใหม่"": เชิญเพื่อนกลับมาเล่นเกมเพื่อชนะรางวัล ผู้เล่นที่ไม่ได้เข้าเกมมาสักพักสามารถรับรางวัลได้โดยการใส่รหัสรวมกลุ่ม!
- ทักษะของหน่วยได้รับการปรับเปลี่ยน: เพิ่มผลลดความเร็ว (สูงสุด 50%) ในทักษะของอุปกรณ์นักยิง.
- กิจ"&amp;"กรรมการสำรวจของนักสู้ตัวใหม่: ค้นหาว่านักสู้ของคุณแข็งแกร่งแค่ไหนและชนะรางวัลในเวลาเดียวกัน!
&lt;/th&gt;
&lt;es-419&gt;
- Nuevo Luchador: Noé, el Portaescudos, siempre está ahí para apoyar y proteger con su súper radar.
- Nuevo evento de ""regreso"": invitar amigos d"&amp;"e vuelta al juego para ganar recompensas. ¡Los jugadores que no han estado en línea durante un tiempo también pueden obtener una recompensa ingresando un código de reunión!
- Habilidades de unidad modificadas: efecto de lentitud (hasta un 50% de reducción"&amp;" de velocidad) añadido a la habilidad de equipo de Shooter.
- Nuevo evento Expedición de Luchadores: ¡descubre cuán fuertes son tus Luchadores y gana recompensas al mismo tiempo!
&lt;/es-419&gt;
&lt;ru-RU&gt;
- Новый герой: Ной, Щитоносец, всегда готов поддержать и з"&amp;"ащитить с помощью своего супер радара!
- Новое событие ""возвращение"": пригласите друзей вернуться в игру, чтобы выиграть награды. Игроки, которые давно не были в сети, также могут получить награду, введя код воссоединения!
- Изменения в навыках отряда: "&amp;"к навыку снаряжения Стрелка добавлен эффект замедления (до 50% снижения скорости).
- Новое событие Экспедиция героя: узнайте, насколько сильны ваши Герои, и одновременно выигрывайте награды!
&lt;/ru-RU&gt;
&lt;tr-TR&gt;
- Yeni Savaşçı: Nuh, Kalkan Taşıyıcı, süper rad"&amp;"arı ile her zaman destek olmak ve korumak için oradadır!
- Yeni ""geri dönüş"" etkinliği: ödüller kazanmak için arkadaşlarını oyuna geri davet et. Bir süredir çevrim içi olmayan oyuncular da birleşme kodu girerek ödül alabilirler!
- Birim becerileri değiş"&amp;"tirildi: Nişancı ekipman becerisine yavaşlatma efekti eklendi (hızı %50'ye kadar azaltma).
- Yeni Savaşçı Gezisi etkinliği: Savaşçılarınızın ne kadar güçlü olduğunu keşfedin ve aynı zamanda ödüller kazanın!
&lt;/tr-TR&gt;
&lt;vi&gt;
- Chiến Binh Mới: Noah, Người Cầm "&amp;"Khiên, luôn sẵn sàng hỗ trợ và bảo vệ với siêu ra-đa của mình!
- Sự kiện ""trở lại"" mới: mời bạn bè quay trở lại trò chơi để giành phần thưởng. Người chơi đã không trực tuyến trong một thời gian cũng có thể nhận phần thưởng bằng cách nhập mã hội ngộ!
-"&amp;" Kỹ năng đơn vị được chỉnh sửa: hiệu ứng chậm (giảm tốc độ tới 50%) được thêm vào kỹ năng trang bị Shooter.
- Sự kiện Cuộc Thám Hiểm Chiến Binh mới: khám phá xem Chiến Binh của bạn mạnh mẽ đến đâu và giành phần thưởng cùng lúc!
&lt;/vi&gt;
&lt;it-IT&gt;
- Nuovo Comb"&amp;"attente: Noè, il Portascudo, è sempre pronto a supportare e proteggere con il suo super radar!
- Nuovo evento ""ritorno"": invita amici a ritornare nel gioco per vincere ricompense. Anche i giocatori che non sono stati online per un po' possono ottenere u"&amp;"na ricompensa inserendo un codice di riunione!
- Abilità dell'unità modificate: effetto rallentamento (riduzione della velocità fino al 50%) aggiunto all'abilità dell'equipaggiamento del Tiratore.
- Nuovo evento Esplorazione Combattente: scopri quanto son"&amp;"o forti i tuoi Combattenti e vinci ricompense allo stesso tempo!
&lt;/it-IT&gt;
&lt;pl-PL&gt;
- Nowy Wojownik: Noah, Władca Tarczy, jest zawsze gotowy do wsparcia i ochrony dzięki swojemu super radarowi!
- Nowe wydarzenie ""powrót"": zaproś znajomych z powrotem do g"&amp;"ry, aby wygrać nagrody. Gracze, którzy nie byli online od jakiegoś czasu, mogą również otrzymać nagrodę, wprowadzając kod reaktywacji!
- Zmodyfikowano umiejętności jednostek: dodano efekt spowolnienia (do 50% redukcji szybkości) do umiejętności sprzętu S"&amp;"trzelca.
- Nowe wydarzenie WYPRAWA WOJOWNIKA: sprawdź, jak silni są twoi Wojownicy i wygrywaj nagrody jednocześnie!
&lt;/pl-PL&gt;
&lt;ar&gt;
- مقاتل جديد: نوح، حامل الدرع، دائمًا ما يكون هناك للدعم والحماية براداره الخارق!
- حدث ""العودة"" الجديد: دعوة الأصدقاء لل"&amp;"عودة إلى اللعبة للفوز بالجوائز. اللاعبون الذين لم يكونوا متصلين منذ فترة يمكنهم أيضًا الحصول على جائزة عن طريق إدخال رمز اللم الشمل!
- تم تعديل مهارات الوحدة: تم إضافة تأثير البطء (حتى 50% تقليل السرعة) إلى مهارة تجهيز الرامي.
- حدث رحلة المقاتل الجديد:"&amp;" اكتشف مدى قوة مقاتليك واربح الجوائز في نفس الوقت!
&lt;/ar&gt;
&lt;ja-JP&gt;
- 新しいファイター: ノア、シールドウィルダーは、スーパーレーダーでいつでもサポートと保護を提供します！
- 新たな「カムバック」イベント: ゲームに友達を招待して報酬を獲得しましょう。しばらくオンラインになっていないプレイヤーも、再会コードを入力することで報酬を得られます！
- ユニットスキルの変更: シューターの軍備スキルに遅延効果（最大50%の速度減少）が追加されま"&amp;"した。
- 新しいファイター遠征イベント: ファイターの強さを確かめ、同時に報酬を勝ち取りましょう！
&lt;/ja-JP&gt;
&lt;ko-KR&gt;
- 새로운 전사: 실드 용사 노아는 항상 그의 초능력 탐지기로 지원하고 보호하는 데 있어서 빠지지 않습니다!
- 새로운 ""복귀"" 이벤트: 친구들을 게임으로 다시 초대하여 보상을 획득하세요. 오랜만에 온라인이 아니었던 플레이어들도 재회 코드를 입력하면 보상을 받을 수 있습니다!
- 유닛 스킬 수정: 슈터 기어 스킬에 느려짐 효"&amp;"과(최대 50% 속도 감소)가 추가되었습니다.
- 새로운 전사 원정 이벤트: 당신의 전사들이 얼마나 강한지 알아보고 동시에 보상을 획득하세요!
&lt;/ko-KR&gt;
")</f>
        <v>&lt;en-US&gt;
- New Fighter: Noah, the Shieldwielder, is always there to support and protect with his super radar!
- New "comeback" event: invite friends back to the game to win rewards. Players who haven't been online for a while can also get a reward by entering a reunion code!
- Unit skills modified: slow effect (up to 50% speed reduction) added to Shooter gear skill.
- New Fighter Expedition event: find out how strong your Fighters are and win rewards at the same time!
&lt;/en-US&gt;
&lt;fr-FR&gt;
- Nouveau combattant : Noah, le Marcheur du Vent, est toujours là pour soutenir et protéger avec son super radar !
- Nouvel évènement "comeback" : inviter des amis à revenir dans le jeu pour gagner des récompenses. Les joueurs qui n'ont pas été en ligne depuis un moment peuvent également obtenir une récompense en saisissant un code de réunion !
- Compétences d'unité modifiées : effet de ralentissement (jusqu'à 50% de réduction de vitesse) ajouté à la compétence d'équipement de Shooter.
- Nouvel évènement Expédition de Combattant : découvrez la force de vos Combattants et gagnez des récompenses en même temps !
&lt;/fr-FR&gt;
&lt;de-DE&gt;
- Neuer Kämpfer: Noah, der Schildträger, ist immer da, um mit seinem Super-Radar zu unterstützen und zu schützen!
- Neues "Comeback"-Event: Lade Freunde zurück ins Spiel ein, um Belohnungen zu gewinnen. Spieler, die schon eine Weile nicht online waren, können auch eine Belohnung erhalten, indem sie einen Wiedervereinigungscode eingeben!
- Fähigkeiten der Einheit modifiziert: Verlangsamungseffekt (bis zu 50% Geschwindigkeitsreduktion) zur Schützenausrüstungsfähigkeit hinzugefügt.
- Neues Kämpfer-Expedition-Event: Finde heraus, wie stark deine Kämpfer sind und gewinne gleichzeitig Belohnungen!
&lt;/de-DE&gt;
&lt;pt-BR&gt;
- Novo combatente: Noé, O Portador do Escudo, está sempre lá para apoiar e proteger com seu super radar!
- Novo evento de "retorno": convide amigos de volta ao jogo para ganhar recompensas. Jogadores que não estiveram online por um tempo também podem obter uma recompensa ao entrar com um código de reunião!
- Habilidades de unidade modificadas: efeito de lentidão (redução de velocidade de até 50%) adicionado à habilidade de equipamento do Atirador.
- Novo evento Expedição de Combatente: descubra quão fortes são seus Combatentes e ganhe recompensas ao mesmo tempo!
&lt;/pt-BR&gt;
&lt;zh-HK&gt;
-新增鬥士：光盾勇士-諾亞，用超級雷達提供支援的守護者，讓所有戰友安心！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
&lt;/zh-HK&gt;
&lt;zh-TW&gt;
-新增鬥士：光盾勇士-諾亞，用超級雷達提供支援的守護者，讓所有戰友安心！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
&lt;/zh-TW&gt;
&lt;id&gt;
- Pejuang Baru: Noah, Pemegang Perisai, selalu ada untuk mendukung dan melindungi dengan radar super miliknya!
- Event "comeback" baru: undang teman kembali ke dalam permainan untuk memenangkan hadiah. Pemain yang sudah lama tidak online juga bisa mendapatkan hadiah dengan memasukkan kode reuni!
- Keahlian pasukan dimodifikasi: efek lambat (pengurangan kecepatan hingga 50%) ditambahkan ke skill gear Shooter.
- Event Ekspedisi Pejuang baru: temukan seberapa kuat Pejuangmu dan menangkan hadiah pada saat yang bersamaan!
&lt;/id&gt;
&lt;th&gt;
- นักสู้ตัวใหม่: โนอาห์ นักสู้ผู้ถือโล่ พร้อมเสมอที่จะสนับสนุนและป้องกันด้วยเรดาร์สุดพิเศษของเขา!
- กิจกรรม "กลับมาใหม่": เชิญเพื่อนกลับมาเล่นเกมเพื่อชนะรางวัล ผู้เล่นที่ไม่ได้เข้าเกมมาสักพักสามารถรับรางวัลได้โดยการใส่รหัสรวมกลุ่ม!
- ทักษะของหน่วยได้รับการปรับเปลี่ยน: เพิ่มผลลดความเร็ว (สูงสุด 50%) ในทักษะของอุปกรณ์นักยิง.
- กิจกรรมการสำรวจของนักสู้ตัวใหม่: ค้นหาว่านักสู้ของคุณแข็งแกร่งแค่ไหนและชนะรางวัลในเวลาเดียวกัน!
&lt;/th&gt;
&lt;es-419&gt;
- Nuevo Luchador: Noé, el Portaescudos, siempre está ahí para apoyar y proteger con su súper radar.
- Nuevo evento de "regreso": invitar amigos de vuelta al juego para ganar recompensas. ¡Los jugadores que no han estado en línea durante un tiempo también pueden obtener una recompensa ingresando un código de reunión!
- Habilidades de unidad modificadas: efecto de lentitud (hasta un 50% de reducción de velocidad) añadido a la habilidad de equipo de Shooter.
- Nuevo evento Expedición de Luchadores: ¡descubre cuán fuertes son tus Luchadores y gana recompensas al mismo tiempo!
&lt;/es-419&gt;
&lt;ru-RU&gt;
- Новый герой: Ной, Щитоносец, всегда готов поддержать и защитить с помощью своего супер радара!
- Новое событие "возвращение": пригласите друзей вернуться в игру, чтобы выиграть награды. Игроки, которые давно не были в сети, также могут получить награду, введя код воссоединения!
- Изменения в навыках отряда: к навыку снаряжения Стрелка добавлен эффект замедления (до 50% снижения скорости).
- Новое событие Экспедиция героя: узнайте, насколько сильны ваши Герои, и одновременно выигрывайте награды!
&lt;/ru-RU&gt;
&lt;tr-TR&gt;
- Yeni Savaşçı: Nuh, Kalkan Taşıyıcı, süper radarı ile her zaman destek olmak ve korumak için oradadır!
- Yeni "geri dönüş" etkinliği: ödüller kazanmak için arkadaşlarını oyuna geri davet et. Bir süredir çevrim içi olmayan oyuncular da birleşme kodu girerek ödül alabilirler!
- Birim becerileri değiştirildi: Nişancı ekipman becerisine yavaşlatma efekti eklendi (hızı %50'ye kadar azaltma).
- Yeni Savaşçı Gezisi etkinliği: Savaşçılarınızın ne kadar güçlü olduğunu keşfedin ve aynı zamanda ödüller kazanın!
&lt;/tr-TR&gt;
&lt;vi&gt;
- Chiến Binh Mới: Noah, Người Cầm Khiên, luôn sẵn sàng hỗ trợ và bảo vệ với siêu ra-đa của mình!
- Sự kiện "trở lại" mới: mời bạn bè quay trở lại trò chơi để giành phần thưởng. Người chơi đã không trực tuyến trong một thời gian cũng có thể nhận phần thưởng bằng cách nhập mã hội ngộ!
- Kỹ năng đơn vị được chỉnh sửa: hiệu ứng chậm (giảm tốc độ tới 50%) được thêm vào kỹ năng trang bị Shooter.
- Sự kiện Cuộc Thám Hiểm Chiến Binh mới: khám phá xem Chiến Binh của bạn mạnh mẽ đến đâu và giành phần thưởng cùng lúc!
&lt;/vi&gt;
&lt;it-IT&gt;
- Nuovo Combattente: Noè, il Portascudo, è sempre pronto a supportare e proteggere con il suo super radar!
- Nuovo evento "ritorno": invita amici a ritornare nel gioco per vincere ricompense. Anche i giocatori che non sono stati online per un po' possono ottenere una ricompensa inserendo un codice di riunione!
- Abilità dell'unità modificate: effetto rallentamento (riduzione della velocità fino al 50%) aggiunto all'abilità dell'equipaggiamento del Tiratore.
- Nuovo evento Esplorazione Combattente: scopri quanto sono forti i tuoi Combattenti e vinci ricompense allo stesso tempo!
&lt;/it-IT&gt;
&lt;pl-PL&gt;
- Nowy Wojownik: Noah, Władca Tarczy, jest zawsze gotowy do wsparcia i ochrony dzięki swojemu super radarowi!
- Nowe wydarzenie "powrót": zaproś znajomych z powrotem do gry, aby wygrać nagrody. Gracze, którzy nie byli online od jakiegoś czasu, mogą również otrzymać nagrodę, wprowadzając kod reaktywacji!
- Zmodyfikowano umiejętności jednostek: dodano efekt spowolnienia (do 50% redukcji szybkości) do umiejętności sprzętu Strzelca.
- Nowe wydarzenie WYPRAWA WOJOWNIKA: sprawdź, jak silni są twoi Wojownicy i wygrywaj nagrody jednocześnie!
&lt;/pl-PL&gt;
&lt;ar&gt;
- مقاتل جديد: نوح، حامل الدرع، دائمًا ما يكون هناك للدعم والحماية براداره الخارق!
- حدث "العودة" الجديد: دعوة الأصدقاء للعودة إلى اللعبة للفوز بالجوائز. اللاعبون الذين لم يكونوا متصلين منذ فترة يمكنهم أيضًا الحصول على جائزة عن طريق إدخال رمز اللم الشمل!
- تم تعديل مهارات الوحدة: تم إضافة تأثير البطء (حتى 50% تقليل السرعة) إلى مهارة تجهيز الرامي.
- حدث رحلة المقاتل الجديد: اكتشف مدى قوة مقاتليك واربح الجوائز في نفس الوقت!
&lt;/ar&gt;
&lt;ja-JP&gt;
- 新しいファイター: ノア、シールドウィルダーは、スーパーレーダーでいつでもサポートと保護を提供します！
- 新たな「カムバック」イベント: ゲームに友達を招待して報酬を獲得しましょう。しばらくオンラインになっていないプレイヤーも、再会コードを入力することで報酬を得られます！
- ユニットスキルの変更: シューターの軍備スキルに遅延効果（最大50%の速度減少）が追加されました。
- 新しいファイター遠征イベント: ファイターの強さを確かめ、同時に報酬を勝ち取りましょう！
&lt;/ja-JP&gt;
&lt;ko-KR&gt;
- 새로운 전사: 실드 용사 노아는 항상 그의 초능력 탐지기로 지원하고 보호하는 데 있어서 빠지지 않습니다!
- 새로운 "복귀" 이벤트: 친구들을 게임으로 다시 초대하여 보상을 획득하세요. 오랜만에 온라인이 아니었던 플레이어들도 재회 코드를 입력하면 보상을 받을 수 있습니다!
- 유닛 스킬 수정: 슈터 기어 스킬에 느려짐 효과(최대 50% 속도 감소)가 추가되었습니다.
- 새로운 전사 원정 이벤트: 당신의 전사들이 얼마나 강한지 알아보고 동시에 보상을 획득하세요!
&lt;/ko-KR&gt;
</v>
      </c>
      <c r="C73" s="44" t="str">
        <f>IFERROR(__xludf.DUMMYFUNCTION("""COMPUTED_VALUE"""),"-新增斗士：光盾勇士-诺亚，用超级雷达提供支援的守护者，让所有战友安心！
-新增回归活动：指挥官可以通过召回其他玩家获得奖励，离开猩球很久的指挥官也可通过填写召回码获得回归奖励！
-调整兵种技能：射击手军备技能新增减速效果，最高可减速50%。
-新增斗士远征活动：指挥官可以在该活动中验证斗士的作战强度，获取丰厚奖励。")</f>
        <v>-新增斗士：光盾勇士-诺亚，用超级雷达提供支援的守护者，让所有战友安心！
-新增回归活动：指挥官可以通过召回其他玩家获得奖励，离开猩球很久的指挥官也可通过填写召回码获得回归奖励！
-调整兵种技能：射击手军备技能新增减速效果，最高可减速50%。
-新增斗士远征活动：指挥官可以在该活动中验证斗士的作战强度，获取丰厚奖励。</v>
      </c>
      <c r="D73" s="159" t="str">
        <f>IFERROR(__xludf.DUMMYFUNCTION("""COMPUTED_VALUE"""),"- New Fighter: Noah, the Shieldwielder, is always there to support and protect with his super radar!
- New ""comeback"" event: invite friends back to the game to win rewards. Players who haven't been online for a while can also get a reward by entering a"&amp;" reunion code!
- Unit skills modified: slow effect (up to 50% speed reduction) added to Shooter gear skill.
- New Fighter Expedition event: find out how strong your Fighters are and win rewards at the same time!")</f>
        <v>- New Fighter: Noah, the Shieldwielder, is always there to support and protect with his super radar!
- New "comeback" event: invite friends back to the game to win rewards. Players who haven't been online for a while can also get a reward by entering a reunion code!
- Unit skills modified: slow effect (up to 50% speed reduction) added to Shooter gear skill.
- New Fighter Expedition event: find out how strong your Fighters are and win rewards at the same time!</v>
      </c>
      <c r="E73" s="159" t="str">
        <f>IFERROR(__xludf.DUMMYFUNCTION("""COMPUTED_VALUE"""),"- Nouveau combattant : Noah, le Marcheur du Vent, est toujours là pour soutenir et protéger avec son super radar !
- Nouvel évènement ""comeback"" : inviter des amis à revenir dans le jeu pour gagner des récompenses. Les joueurs qui n'ont pas été en lign"&amp;"e depuis un moment peuvent également obtenir une récompense en saisissant un code de réunion !
- Compétences d'unité modifiées : effet de ralentissement (jusqu'à 50% de réduction de vitesse) ajouté à la compétence d'équipement de Shooter.
- Nouvel évène"&amp;"ment Expédition de Combattant : découvrez la force de vos Combattants et gagnez des récompenses en même temps !")</f>
        <v>- Nouveau combattant : Noah, le Marcheur du Vent, est toujours là pour soutenir et protéger avec son super radar !
- Nouvel évènement "comeback" : inviter des amis à revenir dans le jeu pour gagner des récompenses. Les joueurs qui n'ont pas été en ligne depuis un moment peuvent également obtenir une récompense en saisissant un code de réunion !
- Compétences d'unité modifiées : effet de ralentissement (jusqu'à 50% de réduction de vitesse) ajouté à la compétence d'équipement de Shooter.
- Nouvel évènement Expédition de Combattant : découvrez la force de vos Combattants et gagnez des récompenses en même temps !</v>
      </c>
      <c r="F73" s="159" t="str">
        <f>IFERROR(__xludf.DUMMYFUNCTION("""COMPUTED_VALUE"""),"- Neuer Kämpfer: Noah, der Schildträger, ist immer da, um mit seinem Super-Radar zu unterstützen und zu schützen!
- Neues ""Comeback""-Event: Lade Freunde zurück ins Spiel ein, um Belohnungen zu gewinnen. Spieler, die schon eine Weile nicht online waren,"&amp;" können auch eine Belohnung erhalten, indem sie einen Wiedervereinigungscode eingeben!
- Fähigkeiten der Einheit modifiziert: Verlangsamungseffekt (bis zu 50% Geschwindigkeitsreduktion) zur Schützenausrüstungsfähigkeit hinzugefügt.
- Neues Kämpfer-Exped"&amp;"ition-Event: Finde heraus, wie stark deine Kämpfer sind und gewinne gleichzeitig Belohnungen!")</f>
        <v>- Neuer Kämpfer: Noah, der Schildträger, ist immer da, um mit seinem Super-Radar zu unterstützen und zu schützen!
- Neues "Comeback"-Event: Lade Freunde zurück ins Spiel ein, um Belohnungen zu gewinnen. Spieler, die schon eine Weile nicht online waren, können auch eine Belohnung erhalten, indem sie einen Wiedervereinigungscode eingeben!
- Fähigkeiten der Einheit modifiziert: Verlangsamungseffekt (bis zu 50% Geschwindigkeitsreduktion) zur Schützenausrüstungsfähigkeit hinzugefügt.
- Neues Kämpfer-Expedition-Event: Finde heraus, wie stark deine Kämpfer sind und gewinne gleichzeitig Belohnungen!</v>
      </c>
      <c r="G73" s="159" t="str">
        <f>IFERROR(__xludf.DUMMYFUNCTION("""COMPUTED_VALUE"""),"- Novo combatente: Noé, O Portador do Escudo, está sempre lá para apoiar e proteger com seu super radar!
- Novo evento de ""retorno"": convide amigos de volta ao jogo para ganhar recompensas. Jogadores que não estiveram online por um tempo também podem ob"&amp;"ter uma recompensa ao entrar com um código de reunião!
- Habilidades de unidade modificadas: efeito de lentidão (redução de velocidade de até 50%) adicionado à habilidade de equipamento do Atirador.
- Novo evento Expedição de Combatente: descubra quão for"&amp;"tes são seus Combatentes e ganhe recompensas ao mesmo tempo!")</f>
        <v>- Novo combatente: Noé, O Portador do Escudo, está sempre lá para apoiar e proteger com seu super radar!
- Novo evento de "retorno": convide amigos de volta ao jogo para ganhar recompensas. Jogadores que não estiveram online por um tempo também podem obter uma recompensa ao entrar com um código de reunião!
- Habilidades de unidade modificadas: efeito de lentidão (redução de velocidade de até 50%) adicionado à habilidade de equipamento do Atirador.
- Novo evento Expedição de Combatente: descubra quão fortes são seus Combatentes e ganhe recompensas ao mesmo tempo!</v>
      </c>
      <c r="H73" s="159" t="str">
        <f>IFERROR(__xludf.DUMMYFUNCTION("""COMPUTED_VALUE"""),"-新增鬥士：光盾勇士-諾亞，用超級雷達提供支援的守護者，讓所有戰友安心！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f>
        <v>-新增鬥士：光盾勇士-諾亞，用超級雷達提供支援的守護者，讓所有戰友安心！
-新增回歸活動：指揮官可以通過召回其他玩家獲得獎勵，離開猩球很久的指揮官也可通過填寫召回碼獲得回歸獎勵！
-調整兵種技能：射擊手軍備技能新增減速效果，最高可減速50%。
-新增鬥士遠征活動：指揮官可以在該活動中驗證鬥士的作戰強度，獲取豐厚獎勵。</v>
      </c>
      <c r="I73" s="159" t="str">
        <f>IFERROR(__xludf.DUMMYFUNCTION("""COMPUTED_VALUE"""),"- Pejuang Baru: Noah, Pemegang Perisai, selalu ada untuk mendukung dan melindungi dengan radar super miliknya!
- Event ""comeback"" baru: undang teman kembali ke dalam permainan untuk memenangkan hadiah. Pemain yang sudah lama tidak online juga bisa mend"&amp;"apatkan hadiah dengan memasukkan kode reuni!
- Keahlian pasukan dimodifikasi: efek lambat (pengurangan kecepatan hingga 50%) ditambahkan ke skill gear Shooter.
- Event Ekspedisi Pejuang baru: temukan seberapa kuat Pejuangmu dan menangkan hadiah pada saa"&amp;"t yang bersamaan!")</f>
        <v>- Pejuang Baru: Noah, Pemegang Perisai, selalu ada untuk mendukung dan melindungi dengan radar super miliknya!
- Event "comeback" baru: undang teman kembali ke dalam permainan untuk memenangkan hadiah. Pemain yang sudah lama tidak online juga bisa mendapatkan hadiah dengan memasukkan kode reuni!
- Keahlian pasukan dimodifikasi: efek lambat (pengurangan kecepatan hingga 50%) ditambahkan ke skill gear Shooter.
- Event Ekspedisi Pejuang baru: temukan seberapa kuat Pejuangmu dan menangkan hadiah pada saat yang bersamaan!</v>
      </c>
      <c r="J73" s="159" t="str">
        <f>IFERROR(__xludf.DUMMYFUNCTION("""COMPUTED_VALUE"""),"- นักสู้ตัวใหม่: โนอาห์ นักสู้ผู้ถือโล่ พร้อมเสมอที่จะสนับสนุนและป้องกันด้วยเรดาร์สุดพิเศษของเขา!
- กิจกรรม ""กลับมาใหม่"": เชิญเพื่อนกลับมาเล่นเกมเพื่อชนะรางวัล ผู้เล่นที่ไม่ได้เข้าเกมมาสักพักสามารถรับรางวัลได้โดยการใส่รหัสรวมกลุ่ม!
- ทักษะของหน่วยได้รับ"&amp;"การปรับเปลี่ยน: เพิ่มผลลดความเร็ว (สูงสุด 50%) ในทักษะของอุปกรณ์นักยิง.
- กิจกรรมการสำรวจของนักสู้ตัวใหม่: ค้นหาว่านักสู้ของคุณแข็งแกร่งแค่ไหนและชนะรางวัลในเวลาเดียวกัน!")</f>
        <v>- นักสู้ตัวใหม่: โนอาห์ นักสู้ผู้ถือโล่ พร้อมเสมอที่จะสนับสนุนและป้องกันด้วยเรดาร์สุดพิเศษของเขา!
- กิจกรรม "กลับมาใหม่": เชิญเพื่อนกลับมาเล่นเกมเพื่อชนะรางวัล ผู้เล่นที่ไม่ได้เข้าเกมมาสักพักสามารถรับรางวัลได้โดยการใส่รหัสรวมกลุ่ม!
- ทักษะของหน่วยได้รับการปรับเปลี่ยน: เพิ่มผลลดความเร็ว (สูงสุด 50%) ในทักษะของอุปกรณ์นักยิง.
- กิจกรรมการสำรวจของนักสู้ตัวใหม่: ค้นหาว่านักสู้ของคุณแข็งแกร่งแค่ไหนและชนะรางวัลในเวลาเดียวกัน!</v>
      </c>
      <c r="K73" s="159" t="str">
        <f>IFERROR(__xludf.DUMMYFUNCTION("""COMPUTED_VALUE"""),"- Nuevo Luchador: Noé, el Portaescudos, siempre está ahí para apoyar y proteger con su súper radar.
- Nuevo evento de ""regreso"": invitar amigos de vuelta al juego para ganar recompensas. ¡Los jugadores que no han estado en línea durante un tiempo tambié"&amp;"n pueden obtener una recompensa ingresando un código de reunión!
- Habilidades de unidad modificadas: efecto de lentitud (hasta un 50% de reducción de velocidad) añadido a la habilidad de equipo de Shooter.
- Nuevo evento Expedición de Luchadores: ¡descub"&amp;"re cuán fuertes son tus Luchadores y gana recompensas al mismo tiempo!")</f>
        <v>- Nuevo Luchador: Noé, el Portaescudos, siempre está ahí para apoyar y proteger con su súper radar.
- Nuevo evento de "regreso": invitar amigos de vuelta al juego para ganar recompensas. ¡Los jugadores que no han estado en línea durante un tiempo también pueden obtener una recompensa ingresando un código de reunión!
- Habilidades de unidad modificadas: efecto de lentitud (hasta un 50% de reducción de velocidad) añadido a la habilidad de equipo de Shooter.
- Nuevo evento Expedición de Luchadores: ¡descubre cuán fuertes son tus Luchadores y gana recompensas al mismo tiempo!</v>
      </c>
      <c r="L73" s="159" t="str">
        <f>IFERROR(__xludf.DUMMYFUNCTION("""COMPUTED_VALUE"""),"- Новый герой: Ной, Щитоносец, всегда готов поддержать и защитить с помощью своего супер радара!
- Новое событие ""возвращение"": пригласите друзей вернуться в игру, чтобы выиграть награды. Игроки, которые давно не были в сети, также могут получить наград"&amp;"у, введя код воссоединения!
- Изменения в навыках отряда: к навыку снаряжения Стрелка добавлен эффект замедления (до 50% снижения скорости).
- Новое событие Экспедиция героя: узнайте, насколько сильны ваши Герои, и одновременно выигрывайте награды!")</f>
        <v>- Новый герой: Ной, Щитоносец, всегда готов поддержать и защитить с помощью своего супер радара!
- Новое событие "возвращение": пригласите друзей вернуться в игру, чтобы выиграть награды. Игроки, которые давно не были в сети, также могут получить награду, введя код воссоединения!
- Изменения в навыках отряда: к навыку снаряжения Стрелка добавлен эффект замедления (до 50% снижения скорости).
- Новое событие Экспедиция героя: узнайте, насколько сильны ваши Герои, и одновременно выигрывайте награды!</v>
      </c>
      <c r="M73" s="159" t="str">
        <f>IFERROR(__xludf.DUMMYFUNCTION("""COMPUTED_VALUE"""),"- Yeni Savaşçı: Nuh, Kalkan Taşıyıcı, süper radarı ile her zaman destek olmak ve korumak için oradadır!
- Yeni ""geri dönüş"" etkinliği: ödüller kazanmak için arkadaşlarını oyuna geri davet et. Bir süredir çevrim içi olmayan oyuncular da birleşme kodu gir"&amp;"erek ödül alabilirler!
- Birim becerileri değiştirildi: Nişancı ekipman becerisine yavaşlatma efekti eklendi (hızı %50'ye kadar azaltma).
- Yeni Savaşçı Gezisi etkinliği: Savaşçılarınızın ne kadar güçlü olduğunu keşfedin ve aynı zamanda ödüller kazanın!")</f>
        <v>- Yeni Savaşçı: Nuh, Kalkan Taşıyıcı, süper radarı ile her zaman destek olmak ve korumak için oradadır!
- Yeni "geri dönüş" etkinliği: ödüller kazanmak için arkadaşlarını oyuna geri davet et. Bir süredir çevrim içi olmayan oyuncular da birleşme kodu girerek ödül alabilirler!
- Birim becerileri değiştirildi: Nişancı ekipman becerisine yavaşlatma efekti eklendi (hızı %50'ye kadar azaltma).
- Yeni Savaşçı Gezisi etkinliği: Savaşçılarınızın ne kadar güçlü olduğunu keşfedin ve aynı zamanda ödüller kazanın!</v>
      </c>
      <c r="N73" s="45" t="str">
        <f>IFERROR(__xludf.DUMMYFUNCTION("""COMPUTED_VALUE"""),"- Chiến Binh Mới: Noah, Người Cầm Khiên, luôn sẵn sàng hỗ trợ và bảo vệ với siêu ra-đa của mình!
- Sự kiện ""trở lại"" mới: mời bạn bè quay trở lại trò chơi để giành phần thưởng. Người chơi đã không trực tuyến trong một thời gian cũng có thể nhận phần th"&amp;"ưởng bằng cách nhập mã hội ngộ!
- Kỹ năng đơn vị được chỉnh sửa: hiệu ứng chậm (giảm tốc độ tới 50%) được thêm vào kỹ năng trang bị Shooter.
- Sự kiện Cuộc Thám Hiểm Chiến Binh mới: khám phá xem Chiến Binh của bạn mạnh mẽ đến đâu và giành phần thưởng cù"&amp;"ng lúc!")</f>
        <v>- Chiến Binh Mới: Noah, Người Cầm Khiên, luôn sẵn sàng hỗ trợ và bảo vệ với siêu ra-đa của mình!
- Sự kiện "trở lại" mới: mời bạn bè quay trở lại trò chơi để giành phần thưởng. Người chơi đã không trực tuyến trong một thời gian cũng có thể nhận phần thưởng bằng cách nhập mã hội ngộ!
- Kỹ năng đơn vị được chỉnh sửa: hiệu ứng chậm (giảm tốc độ tới 50%) được thêm vào kỹ năng trang bị Shooter.
- Sự kiện Cuộc Thám Hiểm Chiến Binh mới: khám phá xem Chiến Binh của bạn mạnh mẽ đến đâu và giành phần thưởng cùng lúc!</v>
      </c>
      <c r="O73" s="45" t="str">
        <f>IFERROR(__xludf.DUMMYFUNCTION("""COMPUTED_VALUE"""),"- Nuovo Combattente: Noè, il Portascudo, è sempre pronto a supportare e proteggere con il suo super radar!
- Nuovo evento ""ritorno"": invita amici a ritornare nel gioco per vincere ricompense. Anche i giocatori che non sono stati online per un po' posson"&amp;"o ottenere una ricompensa inserendo un codice di riunione!
- Abilità dell'unità modificate: effetto rallentamento (riduzione della velocità fino al 50%) aggiunto all'abilità dell'equipaggiamento del Tiratore.
- Nuovo evento Esplorazione Combattente: scopr"&amp;"i quanto sono forti i tuoi Combattenti e vinci ricompense allo stesso tempo!")</f>
        <v>- Nuovo Combattente: Noè, il Portascudo, è sempre pronto a supportare e proteggere con il suo super radar!
- Nuovo evento "ritorno": invita amici a ritornare nel gioco per vincere ricompense. Anche i giocatori che non sono stati online per un po' possono ottenere una ricompensa inserendo un codice di riunione!
- Abilità dell'unità modificate: effetto rallentamento (riduzione della velocità fino al 50%) aggiunto all'abilità dell'equipaggiamento del Tiratore.
- Nuovo evento Esplorazione Combattente: scopri quanto sono forti i tuoi Combattenti e vinci ricompense allo stesso tempo!</v>
      </c>
      <c r="P73" s="34" t="str">
        <f>IFERROR(__xludf.DUMMYFUNCTION("""COMPUTED_VALUE"""),"- Nowy Wojownik: Noah, Władca Tarczy, jest zawsze gotowy do wsparcia i ochrony dzięki swojemu super radarowi!
- Nowe wydarzenie ""powrót"": zaproś znajomych z powrotem do gry, aby wygrać nagrody. Gracze, którzy nie byli online od jakiegoś czasu, mogą rów"&amp;"nież otrzymać nagrodę, wprowadzając kod reaktywacji!
- Zmodyfikowano umiejętności jednostek: dodano efekt spowolnienia (do 50% redukcji szybkości) do umiejętności sprzętu Strzelca.
- Nowe wydarzenie WYPRAWA WOJOWNIKA: sprawdź, jak silni są twoi Wojownic"&amp;"y i wygrywaj nagrody jednocześnie!")</f>
        <v>- Nowy Wojownik: Noah, Władca Tarczy, jest zawsze gotowy do wsparcia i ochrony dzięki swojemu super radarowi!
- Nowe wydarzenie "powrót": zaproś znajomych z powrotem do gry, aby wygrać nagrody. Gracze, którzy nie byli online od jakiegoś czasu, mogą również otrzymać nagrodę, wprowadzając kod reaktywacji!
- Zmodyfikowano umiejętności jednostek: dodano efekt spowolnienia (do 50% redukcji szybkości) do umiejętności sprzętu Strzelca.
- Nowe wydarzenie WYPRAWA WOJOWNIKA: sprawdź, jak silni są twoi Wojownicy i wygrywaj nagrody jednocześnie!</v>
      </c>
      <c r="Q73" s="34" t="str">
        <f>IFERROR(__xludf.DUMMYFUNCTION("""COMPUTED_VALUE"""),"- مقاتل جديد: نوح، حامل الدرع، دائمًا ما يكون هناك للدعم والحماية براداره الخارق!
- حدث ""العودة"" الجديد: دعوة الأصدقاء للعودة إلى اللعبة للفوز بالجوائز. اللاعبون الذين لم يكونوا متصلين منذ فترة يمكنهم أيضًا الحصول على جائزة عن طريق إدخال رمز اللم الشمل"&amp;"!
- تم تعديل مهارات الوحدة: تم إضافة تأثير البطء (حتى 50% تقليل السرعة) إلى مهارة تجهيز الرامي.
- حدث رحلة المقاتل الجديد: اكتشف مدى قوة مقاتليك واربح الجوائز في نفس الوقت!")</f>
        <v>- مقاتل جديد: نوح، حامل الدرع، دائمًا ما يكون هناك للدعم والحماية براداره الخارق!
- حدث "العودة" الجديد: دعوة الأصدقاء للعودة إلى اللعبة للفوز بالجوائز. اللاعبون الذين لم يكونوا متصلين منذ فترة يمكنهم أيضًا الحصول على جائزة عن طريق إدخال رمز اللم الشمل!
- تم تعديل مهارات الوحدة: تم إضافة تأثير البطء (حتى 50% تقليل السرعة) إلى مهارة تجهيز الرامي.
- حدث رحلة المقاتل الجديد: اكتشف مدى قوة مقاتليك واربح الجوائز في نفس الوقت!</v>
      </c>
      <c r="R73" s="34" t="str">
        <f>IFERROR(__xludf.DUMMYFUNCTION("""COMPUTED_VALUE"""),"- 新しいファイター: ノア、シールドウィルダーは、スーパーレーダーでいつでもサポートと保護を提供します！
- 新たな「カムバック」イベント: ゲームに友達を招待して報酬を獲得しましょう。しばらくオンラインになっていないプレイヤーも、再会コードを入力することで報酬を得られます！
- ユニットスキルの変更: シューターの軍備スキルに遅延効果（最大50%の速度減少）が追加されました。
- 新しいファイター遠征イベント: ファイターの強さを確かめ、同時に報酬を勝ち取りましょう！")</f>
        <v>- 新しいファイター: ノア、シールドウィルダーは、スーパーレーダーでいつでもサポートと保護を提供します！
- 新たな「カムバック」イベント: ゲームに友達を招待して報酬を獲得しましょう。しばらくオンラインになっていないプレイヤーも、再会コードを入力することで報酬を得られます！
- ユニットスキルの変更: シューターの軍備スキルに遅延効果（最大50%の速度減少）が追加されました。
- 新しいファイター遠征イベント: ファイターの強さを確かめ、同時に報酬を勝ち取りましょう！</v>
      </c>
      <c r="S73" s="34" t="str">
        <f>IFERROR(__xludf.DUMMYFUNCTION("""COMPUTED_VALUE"""),"- 새로운 전사: 실드 용사 노아는 항상 그의 초능력 탐지기로 지원하고 보호하는 데 있어서 빠지지 않습니다!
- 새로운 ""복귀"" 이벤트: 친구들을 게임으로 다시 초대하여 보상을 획득하세요. 오랜만에 온라인이 아니었던 플레이어들도 재회 코드를 입력하면 보상을 받을 수 있습니다!
- 유닛 스킬 수정: 슈터 기어 스킬에 느려짐 효과(최대 50% 속도 감소)가 추가되었습니다.
- 새로운 전사 원정 이벤트: 당신의 전사들이 얼마나 강한지 알아보고 동시에"&amp;" 보상을 획득하세요!")</f>
        <v>- 새로운 전사: 실드 용사 노아는 항상 그의 초능력 탐지기로 지원하고 보호하는 데 있어서 빠지지 않습니다!
- 새로운 "복귀" 이벤트: 친구들을 게임으로 다시 초대하여 보상을 획득하세요. 오랜만에 온라인이 아니었던 플레이어들도 재회 코드를 입력하면 보상을 받을 수 있습니다!
- 유닛 스킬 수정: 슈터 기어 스킬에 느려짐 효과(최대 50% 속도 감소)가 추가되었습니다.
- 새로운 전사 원정 이벤트: 당신의 전사들이 얼마나 강한지 알아보고 동시에 보상을 획득하세요!</v>
      </c>
      <c r="T73" s="108"/>
      <c r="U73" s="108"/>
      <c r="V73" s="108"/>
      <c r="W73" s="108"/>
      <c r="X73" s="108"/>
      <c r="Y73" s="108"/>
      <c r="Z73" s="108"/>
    </row>
    <row r="74">
      <c r="A74" s="149" t="str">
        <f>IFERROR(__xludf.DUMMYFUNCTION("""COMPUTED_VALUE"""),"0.65.0")</f>
        <v>0.65.0</v>
      </c>
      <c r="B74" s="174" t="str">
        <f>IFERROR(__xludf.DUMMYFUNCTION("""COMPUTED_VALUE"""),"&lt;en-US&gt;
- New Fighter: Vic aka Phantom Eye. A genius sniper with extraordinary vision!
- New gameplay: Factories are now available in Treasure Dig! Manage buildings, complete orders, and make more products in the factories!
- Fighter worker: Station Fight"&amp;"ers in Foundries and Element Refiners to unlock their worker versions. These special workers offer powerful passive skills for more productive digs!
- March queues: Now shows troop health in real-time for easier battle monitoring and assessment.
&lt;/en-US&gt;"&amp;"
&lt;fr-FR&gt;
- Nouveau combattant : Vic alias Œil Fantôme. Un sniper de génie à la vision extraordinaire !
- Nouveau gameplay : Les usines sont maintenant disponibles dans la chasse aux trésors ! Gérez les bâtiments, complétez les commandes et fabriquez plus "&amp;"de produits dans les usines !
- Ouvrier combattant : Stationnez des combattants dans les fonderies et les raffineries d'éléments pour débloquer leurs versions ouvrières. Ces ouvriers spéciaux offrent des compétences passives puissantes pour des fouilles p"&amp;"lus productives !
- Files de bataillon : Affiche maintenant la santé des troupes en temps réel pour une surveillance et une évaluation plus faciles des batailles
&lt;/fr-FR&gt;
&lt;de-DE&gt;
- Neuer Kämpfer: Vic alias Phantomauge. Ein genialer Scharfschütze mit außer"&amp;"gewöhnlicher Sehkraft!
- Neues Gameplay: Fabriken sind jetzt in Schatzgrabungen verfügbar! Verwalte Gebäude, erfülle Bestellungen und stelle mehr Produkte in den Fabriken her!
- Kämpfer-Arbeiter: Stationiere Kämpfer in Gießereien und Elementveredlern, um "&amp;"ihre Arbeiter-Versionen freizuschalten. Diese speziellen Arbeiter bieten mächtige passive Fähigkeiten für produktivere Ausgrabungen!
- Marsch-Warteschlangen: Zeigt jetzt die Gesundheit der Truppen in Echtzeit für eine einfachere Schlachtüberwachung und -b"&amp;"ewertung an.
&lt;/de-DE&gt;
&lt;pt-BR&gt;
- Novo Combatente: Vic, também conhecido como Olho Fantasma. Um atirador de elite genial com visão extraordinária!
- Nova mecânica do jogo: Fábricas agora estão disponíveis na Escavação de Tesouros! Gerencie estruturas, compl"&amp;"ete pedidos e produza mais produtos nas fábricas!
- Combatente trabalhador: Guarneça Combatentes em Fundições e Refinadores de Elementos para desbloquear suas versões de trabalhadores. Esses trabalhadores especiais oferecem habilidades passivas poderosas "&amp;"para escavações mais produtivas!
- Filas de Marcha: Agora mostra a saúde das tropas em tempo real para facilitar o monitoramento e a avaliação da batalha.
&lt;/pt-BR&gt;
&lt;zh-HK&gt;
-新增鬥士：狙擊天才-維克，視力超群、年少成名的小小狙擊手！
-新增玩法：地下探寶解鎖生產工廠了！調配生產建築、完成訂單，讓生產工廠製造的物品又多又快吧！
-鬥士礦工"&amp;"：將地下探寶的鬥士放置在元素裝置上，可以生成對應的鬥士礦工了！鬥士礦工擁有強大的被動技能，更高效地幫助指揮官挖礦！
-行軍佇列：行軍佇列新增部隊實時生命值顯示功能，指揮官可以更輕鬆地檢查自己部隊戰鬥時的實時情況，及時做出判斷。
&lt;/zh-HK&gt;
&lt;zh-TW&gt;
-新增鬥士：狙擊天才-維克，視力超群、年少成名的小小狙擊手！
-新增玩法：地下探寶解鎖生產工廠了！調配生產建築、完成訂單，讓生產工廠製造的物品又多又快吧！
-鬥士礦工：將地下探寶的鬥士放置在元素裝置上，可以生成對應的鬥士礦工了！鬥士礦工擁有強大的"&amp;"被動技能，更高效地幫助指揮官挖礦！
-行軍佇列：行軍佇列新增部隊實時生命值顯示功能，指揮官可以更輕鬆地檢查自己部隊戰鬥時的實時情況，及時做出判斷。
&lt;/zh-TW&gt;
&lt;id&gt;
- Pejuang Baru: Vic alias Mata Phantom. Seorang penembak jitu jenius dengan penglihatan yang luar biasa!
- Gameplay baru: Pabrik sekarang tersedia di Penggalian Harta"&amp;" Karun! Kelola bangunan, selesaikan pesanan, dan buat lebih banyak produk di pabrik!
- Pekerja pejuang: Tempatkan Pejuang di Pengecoran dan Pemurni Elemen untuk membuka versi pekerja mereka. Pekerja khusus ini menawarkan keahlian pasif yang kuat untuk pen"&amp;"ggalian yang lebih produktif!
- Antrean berbaris: Sekarang menunjukkan kesehatan pasukan secara real-time untuk memudahkan pemantauan dan penilaian pertempuran.
&lt;/id&gt;
&lt;th&gt;
- นักสู้ตัวใหม่: วิค หรือที่รู้จักในนาม ตาวิญญาณ อัจฉริยะสไนเปอร์ที่มีสายตาพิเศษอั"&amp;"นไม่ธรรมดา!
- การเล่นเกมใหม่: โรงงานพร้อมใช้งานใน การขุดสมบัติ! จัดการสิ่งก่อสร้าง, เสร็จสิ้นคำสั่งซื้อ, และผลิตผลิตภัณฑ์เพิ่มเติมในโรงงาน!
- นักสู้คนงาน: ประจำนักสู้ในโรงหล่อและเครื่องกลั่นธาตุเพื่อปลดล็อกเวอร์ชันคนงานของพวกเขา คนงานพิเศษเหล่านี้มีทักษะท"&amp;"างอ้อมที่ทรงพลังเพื่อการขุดที่มีประสิทธิภาพมากขึ้น!
- คิวการเดินทัพ: ตอนนี้แสดงพลังชีวิตของกองทหารแบบเรียลไทม์เพื่อการตรวจสอบและประเมินการต่อสู้ที่ง่ายขึ้น
&lt;/th&gt;
&lt;es-419&gt;
- Nuevo Luchador: Vic alias Ojo Fantasma. ¡Un francotirador genio con una visión ex"&amp;"traordinaria!
- Nueva forma de juego: ¡Las fábricas ahora están disponibles en Excavación de Tesoros! Gestiona edificios, completa órdenes y fabrica más productos en las fábricas.
- Trabajador luchador: Estaciona Luchadores en Fundiciones y Refinadores de"&amp;" Elementos para desbloquear sus versiones de trabajador. ¡Estos trabajadores especiales ofrecen habilidades pasivas poderosas para excavaciones más productivas!
- Filas de marcha: Ahora muestra la salud de las tropas en tiempo real para un monitoreo y eva"&amp;"luación de la batalla más fácil.
&lt;/es-419&gt;
&lt;ru-RU&gt;
- Новый герой: Вик, он же Призрачный Глаз. Гениальный снайпер с исключительным зрением!
- Новый геймплей: Фабрики теперь доступны в Раскопках Сокровищ! Управляйте зданиями, выполняйте заказы и производите"&amp;" больше продукции на фабриках!
- Герой-работник: Размещайте героев на литейных заводах и в переработчиках элементов, чтобы разблокировать их версии работников. Эти специальные работники предлагают мощные пассивные навыки для более продуктивных раскопок!
-"&amp;" Очереди марша: Теперь показывают здоровье войск в реальном времени для облегчения мониторинга и оценки боя.
&lt;/ru-RU&gt;
&lt;tr-TR&gt;
- Yeni Savaşçı: Vic namıdiğer Hayalet Göz. Olağanüstü görüşe sahip bir dâhi keskin nişancı!
- Yeni oynanış: Hazine Kazısında art"&amp;"ık Fabrikalar mevcut! Binaları yönetin, emirleri tamamlayın ve fabrikalarda daha fazla ürün üretin!
- Savaşçı işçi: Dökümhanelerde ve Element Rafinerilerinde Savaşçıları görevlendirerek işçi versiyonlarını açın. Bu özel işçiler, daha verimli kazılar için "&amp;"güçlü pasif beceriler sunar!
- Sefer sıraları: Artık birlik sağlığını gerçek zamanlı olarak göstererek savaş takibini ve değerlendirmesini kolaylaştırır.
&lt;/tr-TR&gt;
&lt;vi&gt;
- Chiến Binh Mới: Vic aka Mắt Mị Ảnh. Một xạ thủ thiên tài với tầm nhìn phi thường!
- T"&amp;"rò chơi mới: Các nhà máy hiện đã có sẵn trong Đào Kho Báu! Quản lý công trình, hoàn thành đơn hàng, và sản xuất thêm sản phẩm trong các nhà máy!
- Công nhân Chiến Binh: Đóng quân Chiến Binh tại Xưởng Đúc và Lò Tinh Luyện Nguyên Tố để mở khóa phiên bản côn"&amp;"g nhân của họ. Những công nhân đặc biệt này cung cấp kỹ năng bị động mạnh mẽ để đào kho báu hiệu quả hơn!
- Hàng chờ Hành Quân: Hiện hiển thị sinh lực binh lính theo thời gian thực để dễ dàng theo dõi và đánh giá trận chiến.
&lt;/vi&gt;
&lt;it-IT&gt;
- Nuovo Combatt"&amp;"ente: Vic alias Occhio Fantasma. Un cecchino geniale con una visione straordinaria!
- Nuovo gameplay: Le fabbriche sono ora disponibili in Scavi del Tesoro! Gestisci edifici, completa ordini e produci più prodotti nelle fabbriche!
- Lavoratore combattente"&amp;": Presidia i Combattenti nelle Fonderie e nei Raffinatori di Elementi per sbloccare le loro versioni lavorative. Questi lavoratori speciali offrono potenti abilità passive per scavi più produttivi!
- Code di marcia: Ora mostra la salute delle truppe in te"&amp;"mpo reale per un monitoraggio e una valutazione della battaglia più facili.
&lt;/it-IT&gt;
&lt;pl-PL&gt;
- Nowy Wojownik: Vic aka Oko Widma. Geniusz snajper o niezwykłym wzroku!
- Nowa rozgrywka: Fabryki są teraz dostępne w Wykopaliskach Skarbów! Zarządzaj budynka"&amp;"mi, realizuj zamówienia i produkuj więcej produktów w fabrykach!
- Wojownik pracownik: Stacjonuj Wojowników w Odlewniach i Rafineriach Żywiołów, aby odblokować ich wersje pracowników. Ci specjalni pracownicy oferują potężne umiejętności pasywne dla bardzi"&amp;"ej produktywnych wykopalisk!
- Kolejki marszu: Teraz pokazuje zdrowie oddziałów w czasie rzeczywistym dla łatwiejszego monitorowania i oceny bitwy.
&lt;/pl-PL&gt;
&lt;ar&gt;
- مقاتل جديد: فيك المعروف باسم عين الشبح. قناص عبقري ذو رؤية استثنائية!
- طريقة لعب جديدة:"&amp;" المصانع متوفرة الآن في حفر الكنوز! إدارة المباني، إكمال الأوامر، وصنع المزيد من المنتجات في المصانع!
- عامل المقاتل: تمركز المقاتلين في المصاهر ومصافي العناصر لفتح نسخهم كعمال. هؤلاء العمال الخاصون يقدمون مهارات سلبية قوية لحفريات أكثر إنتاجية!
- طوابير "&amp;"المسيرة: الآن تعرض صحة القوات في الوقت الحقيقي لتسهيل مراقبة المعركة والتقييم.
&lt;/ar&gt;
&lt;ja-JP&gt;
- 新しいファイター: ヴィック別名ファントムアイ。驚異的な視力を持つ天才スナイパー！
- 新しいプレイデータ: 宝探しの旅に工場が利用可能になりました！建物を管理し、注文を完了し、工場でより多くの製品を作りましょう！
- ファイター労働者: 鋳造所や元素精製機にファイターを駐屯させて、彼らの労働者バージョンをアンロック"&amp;"しましょう。これらの特別な労働者は、より生産的な掘削のための強力なパッシブスキルを提供します！
- 行軍スロット: 戦闘の監視と評価を容易にするために、部隊のHPがリアルタイムで表示されるようになりました。
&lt;/ja-JP&gt;
&lt;ko-KR&gt;
- 새로운 전사: 빅 일명 팬텀 아이. 비범한 시력을 가진 천재 저격수!
- 새로운 게임플레이: 이제 보물찾기에서 공장이 사용 가능합니다! 건물을 관리하고, 주문을 완료하고, 공장에서 더 많은 제품을 만드세요!
- 전사 작업자: 주조소와"&amp;" 원소 정련기에 전사를 주둔시켜 작업자 버전을 잠금 해제하세요. 이 특별한 작업자들은 더 생산적인 굴착을 위한 강력한 패시브 스킬을 제공합니다!
- 행군 대기열: 이제 전투 모니터링과 평가를 쉽게 하기 위해 실시간으로 부대 체력을 표시합니다.
&lt;/ko-KR&gt;
")</f>
        <v>&lt;en-US&gt;
- New Fighter: Vic aka Phantom Eye. A genius sniper with extraordinary vision!
- New gameplay: Factories are now available in Treasure Dig! Manage buildings, complete orders, and make more products in the factories!
- Fighter worker: Station Fighters in Foundries and Element Refiners to unlock their worker versions. These special workers offer powerful passive skills for more productive digs!
- March queues: Now shows troop health in real-time for easier battle monitoring and assessment.
&lt;/en-US&gt;
&lt;fr-FR&gt;
- Nouveau combattant : Vic alias Œil Fantôme. Un sniper de génie à la vision extraordinaire !
- Nouveau gameplay : Les usines sont maintenant disponibles dans la chasse aux trésors ! Gérez les bâtiments, complétez les commandes et fabriquez plus de produits dans les usines !
- Ouvrier combattant : Stationnez des combattants dans les fonderies et les raffineries d'éléments pour débloquer leurs versions ouvrières. Ces ouvriers spéciaux offrent des compétences passives puissantes pour des fouilles plus productives !
- Files de bataillon : Affiche maintenant la santé des troupes en temps réel pour une surveillance et une évaluation plus faciles des batailles
&lt;/fr-FR&gt;
&lt;de-DE&gt;
- Neuer Kämpfer: Vic alias Phantomauge. Ein genialer Scharfschütze mit außergewöhnlicher Sehkraft!
- Neues Gameplay: Fabriken sind jetzt in Schatzgrabungen verfügbar! Verwalte Gebäude, erfülle Bestellungen und stelle mehr Produkte in den Fabriken her!
- Kämpfer-Arbeiter: Stationiere Kämpfer in Gießereien und Elementveredlern, um ihre Arbeiter-Versionen freizuschalten. Diese speziellen Arbeiter bieten mächtige passive Fähigkeiten für produktivere Ausgrabungen!
- Marsch-Warteschlangen: Zeigt jetzt die Gesundheit der Truppen in Echtzeit für eine einfachere Schlachtüberwachung und -bewertung an.
&lt;/de-DE&gt;
&lt;pt-BR&gt;
- Novo Combatente: Vic, também conhecido como Olho Fantasma. Um atirador de elite genial com visão extraordinária!
- Nova mecânica do jogo: Fábricas agora estão disponíveis na Escavação de Tesouros! Gerencie estruturas, complete pedidos e produza mais produtos nas fábricas!
- Combatente trabalhador: Guarneça Combatentes em Fundições e Refinadores de Elementos para desbloquear suas versões de trabalhadores. Esses trabalhadores especiais oferecem habilidades passivas poderosas para escavações mais produtivas!
- Filas de Marcha: Agora mostra a saúde das tropas em tempo real para facilitar o monitoramento e a avaliação da batalha.
&lt;/pt-BR&gt;
&lt;zh-HK&gt;
-新增鬥士：狙擊天才-維克，視力超群、年少成名的小小狙擊手！
-新增玩法：地下探寶解鎖生產工廠了！調配生產建築、完成訂單，讓生產工廠製造的物品又多又快吧！
-鬥士礦工：將地下探寶的鬥士放置在元素裝置上，可以生成對應的鬥士礦工了！鬥士礦工擁有強大的被動技能，更高效地幫助指揮官挖礦！
-行軍佇列：行軍佇列新增部隊實時生命值顯示功能，指揮官可以更輕鬆地檢查自己部隊戰鬥時的實時情況，及時做出判斷。
&lt;/zh-HK&gt;
&lt;zh-TW&gt;
-新增鬥士：狙擊天才-維克，視力超群、年少成名的小小狙擊手！
-新增玩法：地下探寶解鎖生產工廠了！調配生產建築、完成訂單，讓生產工廠製造的物品又多又快吧！
-鬥士礦工：將地下探寶的鬥士放置在元素裝置上，可以生成對應的鬥士礦工了！鬥士礦工擁有強大的被動技能，更高效地幫助指揮官挖礦！
-行軍佇列：行軍佇列新增部隊實時生命值顯示功能，指揮官可以更輕鬆地檢查自己部隊戰鬥時的實時情況，及時做出判斷。
&lt;/zh-TW&gt;
&lt;id&gt;
- Pejuang Baru: Vic alias Mata Phantom. Seorang penembak jitu jenius dengan penglihatan yang luar biasa!
- Gameplay baru: Pabrik sekarang tersedia di Penggalian Harta Karun! Kelola bangunan, selesaikan pesanan, dan buat lebih banyak produk di pabrik!
- Pekerja pejuang: Tempatkan Pejuang di Pengecoran dan Pemurni Elemen untuk membuka versi pekerja mereka. Pekerja khusus ini menawarkan keahlian pasif yang kuat untuk penggalian yang lebih produktif!
- Antrean berbaris: Sekarang menunjukkan kesehatan pasukan secara real-time untuk memudahkan pemantauan dan penilaian pertempuran.
&lt;/id&gt;
&lt;th&gt;
- นักสู้ตัวใหม่: วิค หรือที่รู้จักในนาม ตาวิญญาณ อัจฉริยะสไนเปอร์ที่มีสายตาพิเศษอันไม่ธรรมดา!
- การเล่นเกมใหม่: โรงงานพร้อมใช้งานใน การขุดสมบัติ! จัดการสิ่งก่อสร้าง, เสร็จสิ้นคำสั่งซื้อ, และผลิตผลิตภัณฑ์เพิ่มเติมในโรงงาน!
- นักสู้คนงาน: ประจำนักสู้ในโรงหล่อและเครื่องกลั่นธาตุเพื่อปลดล็อกเวอร์ชันคนงานของพวกเขา คนงานพิเศษเหล่านี้มีทักษะทางอ้อมที่ทรงพลังเพื่อการขุดที่มีประสิทธิภาพมากขึ้น!
- คิวการเดินทัพ: ตอนนี้แสดงพลังชีวิตของกองทหารแบบเรียลไทม์เพื่อการตรวจสอบและประเมินการต่อสู้ที่ง่ายขึ้น
&lt;/th&gt;
&lt;es-419&gt;
- Nuevo Luchador: Vic alias Ojo Fantasma. ¡Un francotirador genio con una visión extraordinaria!
- Nueva forma de juego: ¡Las fábricas ahora están disponibles en Excavación de Tesoros! Gestiona edificios, completa órdenes y fabrica más productos en las fábricas.
- Trabajador luchador: Estaciona Luchadores en Fundiciones y Refinadores de Elementos para desbloquear sus versiones de trabajador. ¡Estos trabajadores especiales ofrecen habilidades pasivas poderosas para excavaciones más productivas!
- Filas de marcha: Ahora muestra la salud de las tropas en tiempo real para un monitoreo y evaluación de la batalla más fácil.
&lt;/es-419&gt;
&lt;ru-RU&gt;
- Новый герой: Вик, он же Призрачный Глаз. Гениальный снайпер с исключительным зрением!
- Новый геймплей: Фабрики теперь доступны в Раскопках Сокровищ! Управляйте зданиями, выполняйте заказы и производите больше продукции на фабриках!
- Герой-работник: Размещайте героев на литейных заводах и в переработчиках элементов, чтобы разблокировать их версии работников. Эти специальные работники предлагают мощные пассивные навыки для более продуктивных раскопок!
- Очереди марша: Теперь показывают здоровье войск в реальном времени для облегчения мониторинга и оценки боя.
&lt;/ru-RU&gt;
&lt;tr-TR&gt;
- Yeni Savaşçı: Vic namıdiğer Hayalet Göz. Olağanüstü görüşe sahip bir dâhi keskin nişancı!
- Yeni oynanış: Hazine Kazısında artık Fabrikalar mevcut! Binaları yönetin, emirleri tamamlayın ve fabrikalarda daha fazla ürün üretin!
- Savaşçı işçi: Dökümhanelerde ve Element Rafinerilerinde Savaşçıları görevlendirerek işçi versiyonlarını açın. Bu özel işçiler, daha verimli kazılar için güçlü pasif beceriler sunar!
- Sefer sıraları: Artık birlik sağlığını gerçek zamanlı olarak göstererek savaş takibini ve değerlendirmesini kolaylaştırır.
&lt;/tr-TR&gt;
&lt;vi&gt;
- Chiến Binh Mới: Vic aka Mắt Mị Ảnh. Một xạ thủ thiên tài với tầm nhìn phi thường!
- Trò chơi mới: Các nhà máy hiện đã có sẵn trong Đào Kho Báu! Quản lý công trình, hoàn thành đơn hàng, và sản xuất thêm sản phẩm trong các nhà máy!
- Công nhân Chiến Binh: Đóng quân Chiến Binh tại Xưởng Đúc và Lò Tinh Luyện Nguyên Tố để mở khóa phiên bản công nhân của họ. Những công nhân đặc biệt này cung cấp kỹ năng bị động mạnh mẽ để đào kho báu hiệu quả hơn!
- Hàng chờ Hành Quân: Hiện hiển thị sinh lực binh lính theo thời gian thực để dễ dàng theo dõi và đánh giá trận chiến.
&lt;/vi&gt;
&lt;it-IT&gt;
- Nuovo Combattente: Vic alias Occhio Fantasma. Un cecchino geniale con una visione straordinaria!
- Nuovo gameplay: Le fabbriche sono ora disponibili in Scavi del Tesoro! Gestisci edifici, completa ordini e produci più prodotti nelle fabbriche!
- Lavoratore combattente: Presidia i Combattenti nelle Fonderie e nei Raffinatori di Elementi per sbloccare le loro versioni lavorative. Questi lavoratori speciali offrono potenti abilità passive per scavi più produttivi!
- Code di marcia: Ora mostra la salute delle truppe in tempo reale per un monitoraggio e una valutazione della battaglia più facili.
&lt;/it-IT&gt;
&lt;pl-PL&gt;
- Nowy Wojownik: Vic aka Oko Widma. Geniusz snajper o niezwykłym wzroku!
- Nowa rozgrywka: Fabryki są teraz dostępne w Wykopaliskach Skarbów! Zarządzaj budynkami, realizuj zamówienia i produkuj więcej produktów w fabrykach!
- Wojownik pracownik: Stacjonuj Wojowników w Odlewniach i Rafineriach Żywiołów, aby odblokować ich wersje pracowników. Ci specjalni pracownicy oferują potężne umiejętności pasywne dla bardziej produktywnych wykopalisk!
- Kolejki marszu: Teraz pokazuje zdrowie oddziałów w czasie rzeczywistym dla łatwiejszego monitorowania i oceny bitwy.
&lt;/pl-PL&gt;
&lt;ar&gt;
- مقاتل جديد: فيك المعروف باسم عين الشبح. قناص عبقري ذو رؤية استثنائية!
- طريقة لعب جديدة: المصانع متوفرة الآن في حفر الكنوز! إدارة المباني، إكمال الأوامر، وصنع المزيد من المنتجات في المصانع!
- عامل المقاتل: تمركز المقاتلين في المصاهر ومصافي العناصر لفتح نسخهم كعمال. هؤلاء العمال الخاصون يقدمون مهارات سلبية قوية لحفريات أكثر إنتاجية!
- طوابير المسيرة: الآن تعرض صحة القوات في الوقت الحقيقي لتسهيل مراقبة المعركة والتقييم.
&lt;/ar&gt;
&lt;ja-JP&gt;
- 新しいファイター: ヴィック別名ファントムアイ。驚異的な視力を持つ天才スナイパー！
- 新しいプレイデータ: 宝探しの旅に工場が利用可能になりました！建物を管理し、注文を完了し、工場でより多くの製品を作りましょう！
- ファイター労働者: 鋳造所や元素精製機にファイターを駐屯させて、彼らの労働者バージョンをアンロックしましょう。これらの特別な労働者は、より生産的な掘削のための強力なパッシブスキルを提供します！
- 行軍スロット: 戦闘の監視と評価を容易にするために、部隊のHPがリアルタイムで表示されるようになりました。
&lt;/ja-JP&gt;
&lt;ko-KR&gt;
- 새로운 전사: 빅 일명 팬텀 아이. 비범한 시력을 가진 천재 저격수!
- 새로운 게임플레이: 이제 보물찾기에서 공장이 사용 가능합니다! 건물을 관리하고, 주문을 완료하고, 공장에서 더 많은 제품을 만드세요!
- 전사 작업자: 주조소와 원소 정련기에 전사를 주둔시켜 작업자 버전을 잠금 해제하세요. 이 특별한 작업자들은 더 생산적인 굴착을 위한 강력한 패시브 스킬을 제공합니다!
- 행군 대기열: 이제 전투 모니터링과 평가를 쉽게 하기 위해 실시간으로 부대 체력을 표시합니다.
&lt;/ko-KR&gt;
</v>
      </c>
      <c r="C74" s="44" t="str">
        <f>IFERROR(__xludf.DUMMYFUNCTION("""COMPUTED_VALUE"""),"-新增斗士：狙击天才-维克，视力超群、年少成名的小小狙击手！
-新增玩法：地下探宝解锁生产工厂了！调配生产建筑、完成订单，让生产工厂制造的物品又多又快吧！
-斗士矿工：将地下探宝的斗士放置在元素装置上，可以生成对应的斗士矿工了！斗士矿工拥有强大的被动技能，更高效地帮助指挥官挖矿！
-行军队列：行军队列新增部队实时血量显示功能，指挥官可以更轻松地查看自己部队战斗时的实时情况，及时做出判断；
")</f>
        <v>-新增斗士：狙击天才-维克，视力超群、年少成名的小小狙击手！
-新增玩法：地下探宝解锁生产工厂了！调配生产建筑、完成订单，让生产工厂制造的物品又多又快吧！
-斗士矿工：将地下探宝的斗士放置在元素装置上，可以生成对应的斗士矿工了！斗士矿工拥有强大的被动技能，更高效地帮助指挥官挖矿！
-行军队列：行军队列新增部队实时血量显示功能，指挥官可以更轻松地查看自己部队战斗时的实时情况，及时做出判断；
</v>
      </c>
      <c r="D74" s="160" t="str">
        <f>IFERROR(__xludf.DUMMYFUNCTION("""COMPUTED_VALUE"""),"- New Fighter: Vic aka Phantom Eye. A genius sniper with extraordinary vision!
- New gameplay: Factories are now available in Treasure Dig! Manage buildings, complete orders, and make more products in the factories!
- Fighter worker: Station Fighters in F"&amp;"oundries and Element Refiners to unlock their worker versions. These special workers offer powerful passive skills for more productive digs!
- March queues: Now shows troop health in real-time for easier battle monitoring and assessment.
")</f>
        <v>- New Fighter: Vic aka Phantom Eye. A genius sniper with extraordinary vision!
- New gameplay: Factories are now available in Treasure Dig! Manage buildings, complete orders, and make more products in the factories!
- Fighter worker: Station Fighters in Foundries and Element Refiners to unlock their worker versions. These special workers offer powerful passive skills for more productive digs!
- March queues: Now shows troop health in real-time for easier battle monitoring and assessment.
</v>
      </c>
      <c r="E74" s="159" t="str">
        <f>IFERROR(__xludf.DUMMYFUNCTION("""COMPUTED_VALUE"""),"- Nouveau combattant : Vic alias Œil Fantôme. Un sniper de génie à la vision extraordinaire !
- Nouveau gameplay : Les usines sont maintenant disponibles dans la chasse aux trésors ! Gérez les bâtiments, complétez les commandes et fabriquez plus de produi"&amp;"ts dans les usines !
- Ouvrier combattant : Stationnez des combattants dans les fonderies et les raffineries d'éléments pour débloquer leurs versions ouvrières. Ces ouvriers spéciaux offrent des compétences passives puissantes pour des fouilles plus produ"&amp;"ctives !
- Files de bataillon : Affiche maintenant la santé des troupes en temps réel pour une surveillance et une évaluation plus faciles des batailles")</f>
        <v>- Nouveau combattant : Vic alias Œil Fantôme. Un sniper de génie à la vision extraordinaire !
- Nouveau gameplay : Les usines sont maintenant disponibles dans la chasse aux trésors ! Gérez les bâtiments, complétez les commandes et fabriquez plus de produits dans les usines !
- Ouvrier combattant : Stationnez des combattants dans les fonderies et les raffineries d'éléments pour débloquer leurs versions ouvrières. Ces ouvriers spéciaux offrent des compétences passives puissantes pour des fouilles plus productives !
- Files de bataillon : Affiche maintenant la santé des troupes en temps réel pour une surveillance et une évaluation plus faciles des batailles</v>
      </c>
      <c r="F74" s="159" t="str">
        <f>IFERROR(__xludf.DUMMYFUNCTION("""COMPUTED_VALUE"""),"- Neuer Kämpfer: Vic alias Phantomauge. Ein genialer Scharfschütze mit außergewöhnlicher Sehkraft!
- Neues Gameplay: Fabriken sind jetzt in Schatzgrabungen verfügbar! Verwalte Gebäude, erfülle Bestellungen und stelle mehr Produkte in den Fabriken her!
- K"&amp;"ämpfer-Arbeiter: Stationiere Kämpfer in Gießereien und Elementveredlern, um ihre Arbeiter-Versionen freizuschalten. Diese speziellen Arbeiter bieten mächtige passive Fähigkeiten für produktivere Ausgrabungen!
- Marsch-Warteschlangen: Zeigt jetzt die Gesun"&amp;"dheit der Truppen in Echtzeit für eine einfachere Schlachtüberwachung und -bewertung an.")</f>
        <v>- Neuer Kämpfer: Vic alias Phantomauge. Ein genialer Scharfschütze mit außergewöhnlicher Sehkraft!
- Neues Gameplay: Fabriken sind jetzt in Schatzgrabungen verfügbar! Verwalte Gebäude, erfülle Bestellungen und stelle mehr Produkte in den Fabriken her!
- Kämpfer-Arbeiter: Stationiere Kämpfer in Gießereien und Elementveredlern, um ihre Arbeiter-Versionen freizuschalten. Diese speziellen Arbeiter bieten mächtige passive Fähigkeiten für produktivere Ausgrabungen!
- Marsch-Warteschlangen: Zeigt jetzt die Gesundheit der Truppen in Echtzeit für eine einfachere Schlachtüberwachung und -bewertung an.</v>
      </c>
      <c r="G74" s="159" t="str">
        <f>IFERROR(__xludf.DUMMYFUNCTION("""COMPUTED_VALUE"""),"- Novo Combatente: Vic, também conhecido como Olho Fantasma. Um atirador de elite genial com visão extraordinária!
- Nova mecânica do jogo: Fábricas agora estão disponíveis na Escavação de Tesouros! Gerencie estruturas, complete pedidos e produza mais pro"&amp;"dutos nas fábricas!
- Combatente trabalhador: Guarneça Combatentes em Fundições e Refinadores de Elementos para desbloquear suas versões de trabalhadores. Esses trabalhadores especiais oferecem habilidades passivas poderosas para escavações mais produtiva"&amp;"s!
- Filas de Marcha: Agora mostra a saúde das tropas em tempo real para facilitar o monitoramento e a avaliação da batalha.")</f>
        <v>- Novo Combatente: Vic, também conhecido como Olho Fantasma. Um atirador de elite genial com visão extraordinária!
- Nova mecânica do jogo: Fábricas agora estão disponíveis na Escavação de Tesouros! Gerencie estruturas, complete pedidos e produza mais produtos nas fábricas!
- Combatente trabalhador: Guarneça Combatentes em Fundições e Refinadores de Elementos para desbloquear suas versões de trabalhadores. Esses trabalhadores especiais oferecem habilidades passivas poderosas para escavações mais produtivas!
- Filas de Marcha: Agora mostra a saúde das tropas em tempo real para facilitar o monitoramento e a avaliação da batalha.</v>
      </c>
      <c r="H74" s="159" t="str">
        <f>IFERROR(__xludf.DUMMYFUNCTION("""COMPUTED_VALUE"""),"-新增鬥士：狙擊天才-維克，視力超群、年少成名的小小狙擊手！
-新增玩法：地下探寶解鎖生產工廠了！調配生產建築、完成訂單，讓生產工廠製造的物品又多又快吧！
-鬥士礦工：將地下探寶的鬥士放置在元素裝置上，可以生成對應的鬥士礦工了！鬥士礦工擁有強大的被動技能，更高效地幫助指揮官挖礦！
-行軍佇列：行軍佇列新增部隊實時生命值顯示功能，指揮官可以更輕鬆地檢查自己部隊戰鬥時的實時情況，及時做出判斷。
")</f>
        <v>-新增鬥士：狙擊天才-維克，視力超群、年少成名的小小狙擊手！
-新增玩法：地下探寶解鎖生產工廠了！調配生產建築、完成訂單，讓生產工廠製造的物品又多又快吧！
-鬥士礦工：將地下探寶的鬥士放置在元素裝置上，可以生成對應的鬥士礦工了！鬥士礦工擁有強大的被動技能，更高效地幫助指揮官挖礦！
-行軍佇列：行軍佇列新增部隊實時生命值顯示功能，指揮官可以更輕鬆地檢查自己部隊戰鬥時的實時情況，及時做出判斷。
</v>
      </c>
      <c r="I74" s="159" t="str">
        <f>IFERROR(__xludf.DUMMYFUNCTION("""COMPUTED_VALUE"""),"- Pejuang Baru: Vic alias Mata Phantom. Seorang penembak jitu jenius dengan penglihatan yang luar biasa!
- Gameplay baru: Pabrik sekarang tersedia di Penggalian Harta Karun! Kelola bangunan, selesaikan pesanan, dan buat lebih banyak produk di pabrik!
- Pe"&amp;"kerja pejuang: Tempatkan Pejuang di Pengecoran dan Pemurni Elemen untuk membuka versi pekerja mereka. Pekerja khusus ini menawarkan keahlian pasif yang kuat untuk penggalian yang lebih produktif!
- Antrean berbaris: Sekarang menunjukkan kesehatan pasukan "&amp;"secara real-time untuk memudahkan pemantauan dan penilaian pertempuran.
")</f>
        <v>- Pejuang Baru: Vic alias Mata Phantom. Seorang penembak jitu jenius dengan penglihatan yang luar biasa!
- Gameplay baru: Pabrik sekarang tersedia di Penggalian Harta Karun! Kelola bangunan, selesaikan pesanan, dan buat lebih banyak produk di pabrik!
- Pekerja pejuang: Tempatkan Pejuang di Pengecoran dan Pemurni Elemen untuk membuka versi pekerja mereka. Pekerja khusus ini menawarkan keahlian pasif yang kuat untuk penggalian yang lebih produktif!
- Antrean berbaris: Sekarang menunjukkan kesehatan pasukan secara real-time untuk memudahkan pemantauan dan penilaian pertempuran.
</v>
      </c>
      <c r="J74" s="159" t="str">
        <f>IFERROR(__xludf.DUMMYFUNCTION("""COMPUTED_VALUE"""),"- นักสู้ตัวใหม่: วิค หรือที่รู้จักในนาม ตาวิญญาณ อัจฉริยะสไนเปอร์ที่มีสายตาพิเศษอันไม่ธรรมดา!
- การเล่นเกมใหม่: โรงงานพร้อมใช้งานใน การขุดสมบัติ! จัดการสิ่งก่อสร้าง, เสร็จสิ้นคำสั่งซื้อ, และผลิตผลิตภัณฑ์เพิ่มเติมในโรงงาน!
- นักสู้คนงาน: ประจำนักสู้ในโรงหล"&amp;"่อและเครื่องกลั่นธาตุเพื่อปลดล็อกเวอร์ชันคนงานของพวกเขา คนงานพิเศษเหล่านี้มีทักษะทางอ้อมที่ทรงพลังเพื่อการขุดที่มีประสิทธิภาพมากขึ้น!
- คิวการเดินทัพ: ตอนนี้แสดงพลังชีวิตของกองทหารแบบเรียลไทม์เพื่อการตรวจสอบและประเมินการต่อสู้ที่ง่ายขึ้น
")</f>
        <v>- นักสู้ตัวใหม่: วิค หรือที่รู้จักในนาม ตาวิญญาณ อัจฉริยะสไนเปอร์ที่มีสายตาพิเศษอันไม่ธรรมดา!
- การเล่นเกมใหม่: โรงงานพร้อมใช้งานใน การขุดสมบัติ! จัดการสิ่งก่อสร้าง, เสร็จสิ้นคำสั่งซื้อ, และผลิตผลิตภัณฑ์เพิ่มเติมในโรงงาน!
- นักสู้คนงาน: ประจำนักสู้ในโรงหล่อและเครื่องกลั่นธาตุเพื่อปลดล็อกเวอร์ชันคนงานของพวกเขา คนงานพิเศษเหล่านี้มีทักษะทางอ้อมที่ทรงพลังเพื่อการขุดที่มีประสิทธิภาพมากขึ้น!
- คิวการเดินทัพ: ตอนนี้แสดงพลังชีวิตของกองทหารแบบเรียลไทม์เพื่อการตรวจสอบและประเมินการต่อสู้ที่ง่ายขึ้น
</v>
      </c>
      <c r="K74" s="159" t="str">
        <f>IFERROR(__xludf.DUMMYFUNCTION("""COMPUTED_VALUE"""),"- Nuevo Luchador: Vic alias Ojo Fantasma. ¡Un francotirador genio con una visión extraordinaria!
- Nueva forma de juego: ¡Las fábricas ahora están disponibles en Excavación de Tesoros! Gestiona edificios, completa órdenes y fabrica más productos en las fá"&amp;"bricas.
- Trabajador luchador: Estaciona Luchadores en Fundiciones y Refinadores de Elementos para desbloquear sus versiones de trabajador. ¡Estos trabajadores especiales ofrecen habilidades pasivas poderosas para excavaciones más productivas!
- Filas de "&amp;"marcha: Ahora muestra la salud de las tropas en tiempo real para un monitoreo y evaluación de la batalla más fácil.")</f>
        <v>- Nuevo Luchador: Vic alias Ojo Fantasma. ¡Un francotirador genio con una visión extraordinaria!
- Nueva forma de juego: ¡Las fábricas ahora están disponibles en Excavación de Tesoros! Gestiona edificios, completa órdenes y fabrica más productos en las fábricas.
- Trabajador luchador: Estaciona Luchadores en Fundiciones y Refinadores de Elementos para desbloquear sus versiones de trabajador. ¡Estos trabajadores especiales ofrecen habilidades pasivas poderosas para excavaciones más productivas!
- Filas de marcha: Ahora muestra la salud de las tropas en tiempo real para un monitoreo y evaluación de la batalla más fácil.</v>
      </c>
      <c r="L74" s="159" t="str">
        <f>IFERROR(__xludf.DUMMYFUNCTION("""COMPUTED_VALUE"""),"- Новый герой: Вик, он же Призрачный Глаз. Гениальный снайпер с исключительным зрением!
- Новый геймплей: Фабрики теперь доступны в Раскопках Сокровищ! Управляйте зданиями, выполняйте заказы и производите больше продукции на фабриках!
- Герой-работник: Ра"&amp;"змещайте героев на литейных заводах и в переработчиках элементов, чтобы разблокировать их версии работников. Эти специальные работники предлагают мощные пассивные навыки для более продуктивных раскопок!
- Очереди марша: Теперь показывают здоровье войск в "&amp;"реальном времени для облегчения мониторинга и оценки боя.
")</f>
        <v>- Новый герой: Вик, он же Призрачный Глаз. Гениальный снайпер с исключительным зрением!
- Новый геймплей: Фабрики теперь доступны в Раскопках Сокровищ! Управляйте зданиями, выполняйте заказы и производите больше продукции на фабриках!
- Герой-работник: Размещайте героев на литейных заводах и в переработчиках элементов, чтобы разблокировать их версии работников. Эти специальные работники предлагают мощные пассивные навыки для более продуктивных раскопок!
- Очереди марша: Теперь показывают здоровье войск в реальном времени для облегчения мониторинга и оценки боя.
</v>
      </c>
      <c r="M74" s="159" t="str">
        <f>IFERROR(__xludf.DUMMYFUNCTION("""COMPUTED_VALUE"""),"- Yeni Savaşçı: Vic namıdiğer Hayalet Göz. Olağanüstü görüşe sahip bir dâhi keskin nişancı!
- Yeni oynanış: Hazine Kazısında artık Fabrikalar mevcut! Binaları yönetin, emirleri tamamlayın ve fabrikalarda daha fazla ürün üretin!
- Savaşçı işçi: Dökümhanele"&amp;"rde ve Element Rafinerilerinde Savaşçıları görevlendirerek işçi versiyonlarını açın. Bu özel işçiler, daha verimli kazılar için güçlü pasif beceriler sunar!
- Sefer sıraları: Artık birlik sağlığını gerçek zamanlı olarak göstererek savaş takibini ve değerl"&amp;"endirmesini kolaylaştırır.")</f>
        <v>- Yeni Savaşçı: Vic namıdiğer Hayalet Göz. Olağanüstü görüşe sahip bir dâhi keskin nişancı!
- Yeni oynanış: Hazine Kazısında artık Fabrikalar mevcut! Binaları yönetin, emirleri tamamlayın ve fabrikalarda daha fazla ürün üretin!
- Savaşçı işçi: Dökümhanelerde ve Element Rafinerilerinde Savaşçıları görevlendirerek işçi versiyonlarını açın. Bu özel işçiler, daha verimli kazılar için güçlü pasif beceriler sunar!
- Sefer sıraları: Artık birlik sağlığını gerçek zamanlı olarak göstererek savaş takibini ve değerlendirmesini kolaylaştırır.</v>
      </c>
      <c r="N74" s="45" t="str">
        <f>IFERROR(__xludf.DUMMYFUNCTION("""COMPUTED_VALUE"""),"- Chiến Binh Mới: Vic aka Mắt Mị Ảnh. Một xạ thủ thiên tài với tầm nhìn phi thường!
- Trò chơi mới: Các nhà máy hiện đã có sẵn trong Đào Kho Báu! Quản lý công trình, hoàn thành đơn hàng, và sản xuất thêm sản phẩm trong các nhà máy!
- Công nhân Chiến Binh:"&amp;" Đóng quân Chiến Binh tại Xưởng Đúc và Lò Tinh Luyện Nguyên Tố để mở khóa phiên bản công nhân của họ. Những công nhân đặc biệt này cung cấp kỹ năng bị động mạnh mẽ để đào kho báu hiệu quả hơn!
- Hàng chờ Hành Quân: Hiện hiển thị sinh lực binh lính theo th"&amp;"ời gian thực để dễ dàng theo dõi và đánh giá trận chiến.
")</f>
        <v>- Chiến Binh Mới: Vic aka Mắt Mị Ảnh. Một xạ thủ thiên tài với tầm nhìn phi thường!
- Trò chơi mới: Các nhà máy hiện đã có sẵn trong Đào Kho Báu! Quản lý công trình, hoàn thành đơn hàng, và sản xuất thêm sản phẩm trong các nhà máy!
- Công nhân Chiến Binh: Đóng quân Chiến Binh tại Xưởng Đúc và Lò Tinh Luyện Nguyên Tố để mở khóa phiên bản công nhân của họ. Những công nhân đặc biệt này cung cấp kỹ năng bị động mạnh mẽ để đào kho báu hiệu quả hơn!
- Hàng chờ Hành Quân: Hiện hiển thị sinh lực binh lính theo thời gian thực để dễ dàng theo dõi và đánh giá trận chiến.
</v>
      </c>
      <c r="O74" s="45" t="str">
        <f>IFERROR(__xludf.DUMMYFUNCTION("""COMPUTED_VALUE"""),"- Nuovo Combattente: Vic alias Occhio Fantasma. Un cecchino geniale con una visione straordinaria!
- Nuovo gameplay: Le fabbriche sono ora disponibili in Scavi del Tesoro! Gestisci edifici, completa ordini e produci più prodotti nelle fabbriche!
- Lavorat"&amp;"ore combattente: Presidia i Combattenti nelle Fonderie e nei Raffinatori di Elementi per sbloccare le loro versioni lavorative. Questi lavoratori speciali offrono potenti abilità passive per scavi più produttivi!
- Code di marcia: Ora mostra la salute del"&amp;"le truppe in tempo reale per un monitoraggio e una valutazione della battaglia più facili.
")</f>
        <v>- Nuovo Combattente: Vic alias Occhio Fantasma. Un cecchino geniale con una visione straordinaria!
- Nuovo gameplay: Le fabbriche sono ora disponibili in Scavi del Tesoro! Gestisci edifici, completa ordini e produci più prodotti nelle fabbriche!
- Lavoratore combattente: Presidia i Combattenti nelle Fonderie e nei Raffinatori di Elementi per sbloccare le loro versioni lavorative. Questi lavoratori speciali offrono potenti abilità passive per scavi più produttivi!
- Code di marcia: Ora mostra la salute delle truppe in tempo reale per un monitoraggio e una valutazione della battaglia più facili.
</v>
      </c>
      <c r="P74" s="34" t="str">
        <f>IFERROR(__xludf.DUMMYFUNCTION("""COMPUTED_VALUE"""),"- Nowy Wojownik: Vic aka Oko Widma. Geniusz snajper o niezwykłym wzroku!
- Nowa rozgrywka: Fabryki są teraz dostępne w Wykopaliskach Skarbów! Zarządzaj budynkami, realizuj zamówienia i produkuj więcej produktów w fabrykach!
- Wojownik pracownik: Stacjonuj"&amp;" Wojowników w Odlewniach i Rafineriach Żywiołów, aby odblokować ich wersje pracowników. Ci specjalni pracownicy oferują potężne umiejętności pasywne dla bardziej produktywnych wykopalisk!
- Kolejki marszu: Teraz pokazuje zdrowie oddziałów w czasie rzeczyw"&amp;"istym dla łatwiejszego monitorowania i oceny bitwy.
")</f>
        <v>- Nowy Wojownik: Vic aka Oko Widma. Geniusz snajper o niezwykłym wzroku!
- Nowa rozgrywka: Fabryki są teraz dostępne w Wykopaliskach Skarbów! Zarządzaj budynkami, realizuj zamówienia i produkuj więcej produktów w fabrykach!
- Wojownik pracownik: Stacjonuj Wojowników w Odlewniach i Rafineriach Żywiołów, aby odblokować ich wersje pracowników. Ci specjalni pracownicy oferują potężne umiejętności pasywne dla bardziej produktywnych wykopalisk!
- Kolejki marszu: Teraz pokazuje zdrowie oddziałów w czasie rzeczywistym dla łatwiejszego monitorowania i oceny bitwy.
</v>
      </c>
      <c r="Q74" s="34" t="str">
        <f>IFERROR(__xludf.DUMMYFUNCTION("""COMPUTED_VALUE"""),"- مقاتل جديد: فيك المعروف باسم عين الشبح. قناص عبقري ذو رؤية استثنائية!
- طريقة لعب جديدة: المصانع متوفرة الآن في حفر الكنوز! إدارة المباني، إكمال الأوامر، وصنع المزيد من المنتجات في المصانع!
- عامل المقاتل: تمركز المقاتلين في المصاهر ومصافي العناصر لفتح "&amp;"نسخهم كعمال. هؤلاء العمال الخاصون يقدمون مهارات سلبية قوية لحفريات أكثر إنتاجية!
- طوابير المسيرة: الآن تعرض صحة القوات في الوقت الحقيقي لتسهيل مراقبة المعركة والتقييم.
")</f>
        <v>- مقاتل جديد: فيك المعروف باسم عين الشبح. قناص عبقري ذو رؤية استثنائية!
- طريقة لعب جديدة: المصانع متوفرة الآن في حفر الكنوز! إدارة المباني، إكمال الأوامر، وصنع المزيد من المنتجات في المصانع!
- عامل المقاتل: تمركز المقاتلين في المصاهر ومصافي العناصر لفتح نسخهم كعمال. هؤلاء العمال الخاصون يقدمون مهارات سلبية قوية لحفريات أكثر إنتاجية!
- طوابير المسيرة: الآن تعرض صحة القوات في الوقت الحقيقي لتسهيل مراقبة المعركة والتقييم.
</v>
      </c>
      <c r="R74" s="34" t="str">
        <f>IFERROR(__xludf.DUMMYFUNCTION("""COMPUTED_VALUE"""),"- 新しいファイター: ヴィック別名ファントムアイ。驚異的な視力を持つ天才スナイパー！
- 新しいプレイデータ: 宝探しの旅に工場が利用可能になりました！建物を管理し、注文を完了し、工場でより多くの製品を作りましょう！
- ファイター労働者: 鋳造所や元素精製機にファイターを駐屯させて、彼らの労働者バージョンをアンロックしましょう。これらの特別な労働者は、より生産的な掘削のための強力なパッシブスキルを提供します！
- 行軍スロット: 戦闘の監視と評価を容易にするために、部隊のHPがリアルタイムで表示される"&amp;"ようになりました。
")</f>
        <v>- 新しいファイター: ヴィック別名ファントムアイ。驚異的な視力を持つ天才スナイパー！
- 新しいプレイデータ: 宝探しの旅に工場が利用可能になりました！建物を管理し、注文を完了し、工場でより多くの製品を作りましょう！
- ファイター労働者: 鋳造所や元素精製機にファイターを駐屯させて、彼らの労働者バージョンをアンロックしましょう。これらの特別な労働者は、より生産的な掘削のための強力なパッシブスキルを提供します！
- 行軍スロット: 戦闘の監視と評価を容易にするために、部隊のHPがリアルタイムで表示されるようになりました。
</v>
      </c>
      <c r="S74" s="34" t="str">
        <f>IFERROR(__xludf.DUMMYFUNCTION("""COMPUTED_VALUE"""),"- 새로운 전사: 빅 일명 팬텀 아이. 비범한 시력을 가진 천재 저격수!
- 새로운 게임플레이: 이제 보물찾기에서 공장이 사용 가능합니다! 건물을 관리하고, 주문을 완료하고, 공장에서 더 많은 제품을 만드세요!
- 전사 작업자: 주조소와 원소 정련기에 전사를 주둔시켜 작업자 버전을 잠금 해제하세요. 이 특별한 작업자들은 더 생산적인 굴착을 위한 강력한 패시브 스킬을 제공합니다!
- 행군 대기열: 이제 전투 모니터링과 평가를 쉽게 하기 위해 실시간으로 부"&amp;"대 체력을 표시합니다.
")</f>
        <v>- 새로운 전사: 빅 일명 팬텀 아이. 비범한 시력을 가진 천재 저격수!
- 새로운 게임플레이: 이제 보물찾기에서 공장이 사용 가능합니다! 건물을 관리하고, 주문을 완료하고, 공장에서 더 많은 제품을 만드세요!
- 전사 작업자: 주조소와 원소 정련기에 전사를 주둔시켜 작업자 버전을 잠금 해제하세요. 이 특별한 작업자들은 더 생산적인 굴착을 위한 강력한 패시브 스킬을 제공합니다!
- 행군 대기열: 이제 전투 모니터링과 평가를 쉽게 하기 위해 실시간으로 부대 체력을 표시합니다.
</v>
      </c>
      <c r="T74" s="108"/>
      <c r="U74" s="108"/>
      <c r="V74" s="108"/>
      <c r="W74" s="108"/>
      <c r="X74" s="108"/>
      <c r="Y74" s="108"/>
      <c r="Z74" s="108"/>
    </row>
    <row r="75">
      <c r="A75" s="149" t="str">
        <f>IFERROR(__xludf.DUMMYFUNCTION("""COMPUTED_VALUE"""),"0.66.0")</f>
        <v>0.66.0</v>
      </c>
      <c r="B75" s="174" t="str">
        <f>IFERROR(__xludf.DUMMYFUNCTION("""COMPUTED_VALUE"""),"&lt;en-US&gt;
-New Battlefield - Mech Brawl: Mech enthusiasts unite! Choose your skills and mechs provided by the system to engage in exhilarating battles on a new battlefield!
-New Free Carrier: The Infinite Valor, capable of continuously transporting units wh"&amp;"ile possessing high-efficiency gathering abilities.
-New Beach Season Events:
Free-Flowing Summer: Use Drink Tickets to win big prizes, including exclusive Beach Season skins!
Beach Superstar: Collect Tambourines to support the Beach Superstar and earn ge"&amp;"nerous rewards!
Discounted Packs: Limited-time gifts, the more you buy, the more you get!
Recharge Rewards: Make a single recharge to receive bountiful rewards!
Dance Mania: Complete daily quests to earn Drink Tickets!
Tambourine Hustle: Defeat Mutants an"&amp;"d Gigantos for a chance to obtain Tambourines and other generous rewards!
Summer Gacha: Increase your power to earn Summer Gacha Coins and spin for surprise rewards!
Beach Season Weekly Card: Holiday special Weekly Card with daily rewards, claim continuou"&amp;"sly for 7 days!
-New Astral Coliseum Tournament
&lt;/en-US&gt;
&lt;fr-FR&gt;
-Nouveau Champ de Bataille - Baston Mécha : Les passionnés de méchas s'unissent ! Choisissez vos compétences et méchas fournis par le système pour vous engager dans des combats exaltants sur"&amp;" un nouveau champ de bataille !
-Nouveau Transporteur Gratuit : La Valeur Infinie, capable de transporter continuellement des unités tout en possédant des capacités de collecte à haute efficacité.
-Nouveaux Événements de la Saison de la Plage :
Été Libre "&amp;": Utilisez des Coupons pour boisson rafraîchissante pour gagner de gros prix, y compris des skins exclusifs de la Saison de la Plage !
Star des Plages : Collectez des Tambourins pour soutenir la Star des Plages et gagner des récompenses généreuses !
Packs"&amp;" à Prix Réduit : Cadeaux en édition limitée, plus vous achetez, plus vous recevez !
Récompenses de Recharge : Effectuez une seule recharge pour recevoir des récompenses abondantes !
Mania de la Danse : Complétez des quêtes quotidiennes pour gagner des Cou"&amp;"pons pour boisson rafraîchissante !
Course aux Tambourins : Éliminez des Mutants et des Gigantos pour avoir une chance d'obtenir des Tambourins et d'autres récompenses généreuses !
Gacha d'Été : Augmentez votre puissance pour gagner des Pièces de Gacha d'"&amp;"Été et tournez pour des récompenses surprises !
Carte Hebdomadaire de la Saison de la Plage : Carte Hebdomadaire spéciale pour les vacances avec des récompenses quotidiennes, réclamez continuellement pendant 7 jours !
-Nouveau Tournoi du Colisée Astral
&lt;/"&amp;"fr-FR&gt;
&lt;de-DE&gt;
-Neues Schlachtfeld - Mech-Krawall: Mech-Enthusiasten vereinigt euch! Wählt eure Fähigkeiten und Mechs, die vom System bereitgestellt werden, um aufregende Kämpfe auf einem neuen Schlachtfeld zu führen!
-Neuer Kostenloser Träger: Der Unendl"&amp;"iche Wert, fähig, kontinuierlich Einheiten zu transportieren und dabei hocheffiziente Sammelfähigkeiten zu besitzen.
-Neue Strand-Saison-Events:
Freifließender Sommer: Verwende Erfrischungsgetränk-Gutscheine, um große Preise zu gewinnen, einschließlich ex"&amp;"klusiver Strand-Saison-Skins!
Strand-Superstar: Sammle Tamburine, um den Strand-Superstar zu unterstützen und großzügige Belohnungen zu verdienen!
Rabattierte Pakete: Zeitlich begrenzte Geschenke, je mehr du kaufst, desto mehr bekommst du!
Auflade-Belohnu"&amp;"ngen: Lade einmalig auf, um reichliche Belohnungen zu erhalten!
Tanz-Manie: Schließe tägliche Quests ab, um Erfrischungsgetränk-Gutscheine zu verdienen!
Tamburin-Trubel: Besiege Mutanten und Gigantos, um die Chance zu haben, Tamburine und andere großzügig"&amp;"e Belohnungen zu erhalten!
Sommer-Gacha: Erhöhe deine Stärke, um Sommer-Gacha-Münzen zu verdienen und für Überraschungsbelohnungen zu drehen!
Strand-Saison-Wochenkarte: Feiertags-Spezial-Wochenkarte mit täglichen Belohnungen, beanspruche sie 7 Tage lang k"&amp;"ontinuierlich!
-Neues Astral-Kolosseum-Turnier
&lt;/de-DE&gt;
&lt;pt-BR&gt;
-Novo Campo de Batalha - Briga de Mech: Entusiastas de Mech, unam-se! Escolha suas habilidades e mechs fornecidos pelo sistema para se envolver em batalhas emocionantes em um novo campo de ba"&amp;"talha!
-Novo Transportador Grátis: O Valor Infinito, capaz de transportar unidades continuamente enquanto possui habilidades de coleta de alta eficiência.
-Novos Eventos da Temporada de Praia:
Verão Livre: Use Bilhetes de Bebida Refrescante para ganhar gr"&amp;"andes prêmios, incluindo skins exclusivas da Temporada de Praia!
Estrela da Praia: Colete Pandeiros para apoiar a Estrela da Praia e ganhar recompensas generosas!
Pacotes com Desconto: Presentes por tempo limitado, quanto mais você compra, mais você ganha"&amp;"!
Recompensas de Recarga: Faça uma única recarga para receber recompensas abundantes!
Mania de Dança: Complete missões diárias para ganhar Bilhetes de Bebida Refrescante!
Festa do Pandeiro: Derrote Mutantes e Gigantos para ter a chance de obter Pandeiros "&amp;"e outras recompensas generosas!
Gacha de Verão: Aumente seu poder para ganhar Moedas de Gacha de Verão e gire para prêmios surpresa!
Cartão Semanal da Temporada de Praia: Cartão Semanal especial de férias com recompensas diárias, resgate continuamente por"&amp;" 7 dias!
-Novo Torneio do Coliseu Astral
&lt;/pt-BR&gt;
&lt;zh-HK&gt;
-新增戰場-機甲亂鬥：機甲迷集結！自由選擇技能和系統提供的機甲在新的戰場中進行酣暢淋漓的對戰！
-新增免費戰車：英勇不屈號，可以源源不斷運送士兵，同時擁有高效的採集能力；
-新增沙灘節活動：
夏日暢飲：使用冰爽暢飲券，贏取豪華大獎，更有沙灘節限定皮膚等你來拿！
沙灘之星：收集沙灘搖鈴，助力沙灘之星，可以獲得豐厚獎勵！
折扣禮包：限時好禮，多買多送！
充值豪禮：單次充值，獲取豐厚獎"&amp;"勵！
狂歡舞動：完成每日任務，領取豐厚冰爽暢飲券！
搖鈴大作戰：擊敗變異猴與變異巨猿，即有可能拿到沙灘搖鈴及其它豐厚獎勵！
夏日扭蛋機：提升戰力獲得夏日扭蛋幣，搖出驚喜獎勵！
沙灘節周卡：節日特惠周卡，每日自選獎勵，連續領7天！
-新增賽事活動-衛星之巔聯賽
&lt;/zh-HK&gt;
&lt;zh-TW&gt;
-新增戰場-機甲亂鬥：機甲迷集結！自由選擇技能和系統提供的機甲在新的戰場中進行酣暢淋漓的對戰！
-新增免費戰車：英勇不屈號，可以源源不斷運送士兵，同時擁有高效的採集能力；
-新增沙灘節活動：
夏日暢飲"&amp;"：使用冰爽暢飲券，贏取豪華大獎，更有沙灘節限定皮膚等你來拿！
沙灘之星：收集沙灘搖鈴，助力沙灘之星，可以獲得豐厚獎勵！
折扣禮包：限時好禮，多買多送！
充值豪禮：單次充值，獲取豐厚獎勵！
狂歡舞動：完成每日任務，領取豐厚冰爽暢飲券！
搖鈴大作戰：擊敗變異猴與變異巨猿，即有可能拿到沙灘搖鈴及其它豐厚獎勵！
夏日扭蛋機：提升戰力獲得夏日扭蛋幣，搖出驚喜獎勵！
沙灘節周卡：節日特惠周卡，每日自選獎勵，連續領7天！
-新增賽事活動-衛星之巔聯賽
&lt;/zh-TW&gt;
&lt;id&gt;
-Medan Peran"&amp;"g Baru - Perkelahian Mekanik:&lt;/b&gt; Penggemar mekanik bersatu! Pilih keahlian dan mekanik yang disediakan oleh sistem untuk terlibat dalam pertempuran yang mendebarkan di medan perang baru!
-Pengangkut Gratis Baru:&lt;/b&gt; Keberanian Tak Terbatas, mampu mengan"&amp;"gkut unit secara terus-menerus sambil memiliki kemampuan pengumpulan yang efisien.
-Acara Musim Pantai Baru:&lt;/b&gt;
Musim Panas Mengalir Bebas: Gunakan Kupon Minuman Segar untuk memenangkan hadiah besar, termasuk skin eksklusif Musim Pantai!
Bintang Panta"&amp;"i: Kumpulkan Tambourine untuk mendukung Bintang Pantai dan dapatkan hadiah yang melimpah!
Paket Diskon: Hadiah terbatas waktu, semakin banyak Anda membeli, semakin banyak yang Anda dapatkan!
Hadiah Isi Ulang: Lakukan satu kali isi ulang untuk menerima h"&amp;"adiah yang melimpah!
Mania Menari: Selesaikan tantangan harian untuk mendapatkan Kupon Minuman Segar!
Pertempuran Bel: Kalahkan Kera Mutan dan Giganto untuk kesempatan mendapatkan Tambourine dan hadiah melimpah lainnya!
Gacha Musim Panas: Tingkatkan ke"&amp;"kuatan Anda untuk mendapatkan Koin Gacha Musim Panas dan putar untuk hadiah kejutan!
Kartu Mingguan Musim Pantai
&lt;/id&gt;
&lt;th&gt;
-สนามรบใหม่ - การวิวาทเมค: ผู้ที่ชื่นชอบเมครวมตัวกัน! เลือกทักษะและเมคที่ระบบจัดให้เพื่อเข้าร่วมการต่อสู้อันน่าตื่นเต้นบนสนามรบใหม"&amp;"่!
-ผู้ขนส่งฟรีใหม่: วาโลร์ไม่มีที่สิ้นสุด, สามารถขนส่งหน่วยได้อย่างต่อเนื่องพร้อมกับความสามารถในการเก็บรวบรวมที่มีประสิทธิภาพสูง
-กิจกรรมฤดูร้อนริมหาดใหม่:
ฤดูร้อนที่ไหลลื่น: ใช้ตั๋วเครื่องดื่มเพื่อชิงรางวัลใหญ่ รวมถึงสกินฤดูร้อนริมหาดพิเศษ!
ซูเปอร์ส"&amp;"ตาร์ริมหาด: เก็บแทมโบรีนเพื่อสนับสนุนซูเปอร์สตาร์ริมหาดและรับรางวัลมากมาย!
แพ็กส่วนลด: ของขวัญจำกัดเวลา, ยิ่งซื้อยิ่งได้มาก!
รางวัลการเติมเงิน: ทำการเติมเงินครั้งเดียวเพื่อรับรางวัลมากมาย!
การเต้นบ้าคลั่ง: ทำเควสต์รายวันเพื่อรับตั๋วเครื่องดื่ม!
การเร่"&amp;"งแทมโบรีน: กำจัดมิวแตนด์และกิกันโตเพื่อมีโอกาสได้รับแทมโบรีนและรางวัลอื่นๆ มากมาย!
กาชาฤดูร้อน: เพิ่มพลังงานของคุณเพื่อรับเหรียญกาชาฤดูร้อนและหมุนเพื่อรับรางวัลเซอร์ไพรส์!
บัตรรายสัปดาห์ฤดูร้อนริมหาด: บัตรรายสัปดาห์พิเศษในช่วงวันหยุดพร้อมรางวัลรายวัน, ร"&amp;"ับต่อเนื่องเป็นเวลา 7 วัน!
-การแข่งขันโคลีเซียมดวงดาวใหม่
&lt;/th&gt;
&lt;es-419&gt;
-Nuevo Campo de Batalla - Pelea de Meca: ¡Entusiastas de los mecas, únanse! Elige tus habilidades y mecas proporcionados por el sistema para participar en emocionantes batallas en u"&amp;"n nuevo campo de batalla!
-Nuevo Transportador Gratis: El Valor Infinito, capaz de transportar unidades continuamente mientras posee habilidades de recolección de alta eficiencia.
-Nuevos Eventos de la Temporada de Playa:
Verano Fluido: ¡Usa Cupones de"&amp;" Bebida Refrescante para ganar grandes premios, incluyendo skins exclusivas de la Temporada de Playa!
Superestrella de la Playa: ¡Recolecta Panderetas para apoyar a la Superestrella de la Playa y ganar generosas recompensas!
Paquetes con Descuento: Rega"&amp;"los por tiempo limitado, ¡cuanto más compras, más obtienes!
Recompensas de Recarga: ¡Haz una recarga única para recibir abundantes recompensas!
Manía de Baile: ¡Completa misiones diarias para ganar Cupones de Bebida Refrescante!
Ajetreo de la Pandereta"&amp;": ¡Derrota a Mutantes y Gigantos para tener la oportunidad de obtener Panderetas y otras generosas recompensas!
Gacha de Verano: ¡Aumenta tu poder para ganar Monedas de Gacha de Verano y gira para obtener recompensas sorpresa!
Tarjeta Semanal de la Temp"&amp;"orada de Playa: Tarjeta Semanal especial de vacaciones con recompensas diarias, ¡reclama continuamente durante 7 días!
-Nuevo Torneo del Coliseo Astral
&lt;/es-419&gt;
&lt;ru-RU&gt;
-Новое Поле Боя - Потасовка Мехов: Энтузиасты мехов, объединяйтесь! Выбирайте навыки"&amp;" и мехов, предоставленных системой, чтобы участвовать в захватывающих битвах на новом поле боя!
-Новый Бесплатный Перевозчик: Валор, способный непрерывно транспортировать отряды, обладая при этом высокоэффективными способностями сбора.
-Новые События Пл"&amp;"яжного Сезона:
Свободное Лето: Используйте Билеты на прохладительный напиток, чтобы выиграть крупные призы, включая эксклюзивные скины Пляжного Сезона!
Звезда Пляжа: Собирайте Бубны, чтобы поддержать Звезду Пляжа и заработать щедрые награды!
Скидочные "&amp;"Наборы: Подарки с ограниченным сроком действия, чем больше покупаете, тем больше получаете!
Награды за Пополнение: Сделайте одно пополнение, чтобы получить щедрые награды!
Танцевальная Мания: Выполняйте ежедневные задания, чтобы заработать Билеты на про"&amp;"хладительный напиток!
Бубно-Драйв: Побеждайте Мутантов и Гигантопитеков, чтобы получить Бубны и другие щедрые награды!
Летняя Гача: Увеличивайте свою силу, чтобы заработать Монеты летней гачи и крутить для получения сюрпризных наград!
Еженедельная Карт"&amp;"а Пляжного Сезона: Специальная праздничная Еженедельная Карта с ежедневными наградами, забирайте непрерывно в течение 7 дней!
-Новый Турнир Астрального Колизея
&lt;/ru-RU&gt;
&lt;tr-TR&gt;
-Yeni Savaş Meydanı - Meka Kavgası: Meka meraklıları birleşin! Sistem tarafın"&amp;"dan sağlanan becerileri ve mekaları seçerek yeni bir savaş meydanında heyecan verici savaşlara katılın!
-Yeni Ücretsiz Taşıyıcı: Sonsuz Değer, yüksek verimli toplama yeteneklerine sahipken birimleri sürekli olarak taşıyabilen bir taşıyıcı.
-Yeni Sahil S"&amp;"ezonu Etkinlikleri:
Özgür Akan Yaz: Soğuk İçecek Kuponlarını kullanarak, özel Sahil Sezonu kostümleri de dahil olmak üzere büyük ödüller kazanın!
Sahil Süperstarı: Sahil Süperstarını desteklemek için Tefleri toplayın ve cömert ödüller kazanın!
İndiriml"&amp;"i Paketler: Sınırlı süreli hediyeler, ne kadar çok satın alırsanız o kadar çok kazanırsınız!
Şarj Etme Ödülleri: Tek bir şarj yaparak bol ödüller kazanın!
Dans Çılgınlığı: Günlük görevleri tamamlayarak Soğuk İçecek Kuponları kazanın!
Tef Telaşı: Mutant"&amp;"ları ve Gigantoları yenerek Tefler ve diğer cömert ödüller kazanma şansı elde edin!
Yaz Gacha: Gücünüzü artırarak Yaz Gacha Paraları kazanın ve sürpriz ödüller için çevirin!
Sahil Sezonu Haftalık Kartı: Tatil özel Haftalık Kartı ile günlük ödüller, 7 gü"&amp;"n boyunca sürekli olarak alın!
-Yeni Yıldız Kolezyumu Turnuvası
&lt;/tr-TR&gt;
&lt;vi&gt;
-Chiến Trường Mới - Đấu Trường Cơ Khí:&lt;/b&gt; Những người đam mê cơ khí hãy đoàn kết! Chọn kỹ năng và cơ khí do hệ thống cung cấp để tham gia vào các trận chiến đầy hứng khởi trên"&amp;" chiến trường mới!
-Người Vận Chuyển Miễn Phí Mới:&lt;/b&gt; Dũng Khí Vô Hạn, có khả năng vận chuyển đơn vị liên tục trong khi sở hữu khả năng thu thập hiệu quả cao.
-Sự Kiện Mùa Bãi Biển Mới:&lt;/b&gt;
Miễn Phí Mùa Hè: Sử dụng Vé Rượu để giành giải thưởng lớn, ba"&amp;"o gồm các trang phục độc quyền Mùa Bãi Biển!
Ngôi Sao Bãi Biển: Thu thập Lục Lạc Bãi Biển để ủng hộ Ngôi Sao Bãi Biển và nhận phần thưởng hào phóng!
Gói Giảm Giá: Quà tặng giới hạn thời gian, mua càng nhiều, nhận càng nhiều!
Phần Thưởng Nạp Năng Lượng:"&amp;" Thực hiện một lần nạp để nhận phần thưởng phong phú!
Cuồng Nhiệt Nhảy Múa: Hoàn thành nhiệm vụ hàng ngày để nhận Vé Rượu!
Đại Chiến Rung Chuông: Đánh bại Khỉ Đột Biến và Vượn Khổng Lồ để có cơ hội nhận Lục Lạc Bãi Biển và các phần thưởng hào phóng khác"&amp;"!
Gacha Mùa Hè: Tăng chiến lực của bạn để nhận Xu Gacha Mùa Hè và quay để nhận phần thưởng bất ngờ!
Thẻ Tuần Mùa Bãi Biển: Thẻ Tuần đặc biệt trong kỳ nghỉ với phần thưởng hàng ngày, nhận liên tục trong 7 ngày!
-Giải Đấu Đại Đấu Trường Thiên Thể Mới:&lt;/b"&amp;"&gt;
&lt;/vi&gt;
&lt;it-IT&gt;
-Nuovo Campo di Battaglia - Rissa Mech: Appassionati di Mech unitevi! Scegli le tue abilità e i mech forniti dal sistema per impegnarti in battaglie emozionanti su un nuovo campo di battaglia!
-Nuovo Trasportatore Gratuito: Il Valore Infi"&amp;"nito, capace di trasportare unità continuamente mentre possiede abilità di raccolta ad alta efficienza.
-Nuovi Eventi della Stagione Estiva:
Estate Libera: Usa i Biglietti Bevanda per vincere grandi premi, inclusi skin esclusivi della Stagione Estiva!
"&amp;"Star della Spiaggia: Raccogli Tamburelli per supportare la Star della Spiaggia e guadagnare generose ricompense!
Pacchetti Scontati: Regali a tempo limitato, più acquisti, più ottieni!
Ricompense di Ricarica: Effettua una singola ricarica per ricevere a"&amp;"bbondanti ricompense!
Febbre di Ballo: Completa missioni giornaliere per guadagnare Biglietti Bevanda!
Febbre di Tamburelli: Sconfiggi Mutanti e Gigagorilla per avere la possibilità di ottenere Tamburelli e altre generose ricompense!
Gacha Estivo: Aume"&amp;"nta la tua potenza per guadagnare Monete Gacha Estive e girare per ricompense a sorpresa!
Carta Settimanale della Stagione Estiva: Carta Settimanale speciale per le vacanze con ricompense giornaliere, riscatta continuamente per 7 giorni!
-Nuovo Torneo d"&amp;"el Colosseo Astrale
&lt;/it-IT&gt;
&lt;pl-PL&gt;
-Nowe Pole Bitwy - Bijatyka Mechów: Entuzjaści mechów, łączcie się! Wybierz umiejętności i mechy dostarczone przez system, aby wziąć udział w ekscytujących bitwach na nowym polu bitwy!
-Nowy Darmowy Transportowiec: Nie"&amp;"skończona Wartość, zdolna do ciągłego transportu jednostek, posiadająca jednocześnie wysoką efektywność zbierania.
-Nowe Wydarzenia Sezonu Plażowego:
Swobodnie Płynące Lato: Użyj Biletów na Orzeźwiający Napój, aby wygrać wielkie nagrody, w tym ekskluzywne"&amp;" skórki Sezonu Plażowego!
Plażowa Supergwiazda: Zbieraj Tamburyny, aby wspierać Plażową Supergwiazdę i zdobywać hojne nagrody!
Pakiety z Rabatem: Prezenty na ograniczony czas, im więcej kupujesz, tym więcej dostajesz!
Nagrody za Doładowanie: Wykonaj jedno"&amp;" doładowanie, aby otrzymać obfite nagrody!
Mania Tańca: Wykonuj codzienne zadania, aby zdobywać Bilety na Orzeźwiający Napój!
Tamburynowy Szał: Pokonaj Mutanty i Gigamałpy, aby mieć szansę na zdobycie Tamburynów i innych hojnych nagród!
Letnia Gacha: Zwię"&amp;"ksz swoją siłę, aby zdobywać Monety Letniej Gachy i kręcić kołem po niespodziankowe nagrody!
Karta Tygodniowa Sezonu Plażowego: Specjalna Karta Tygodniowa na wakacje z codziennymi nagrodami, odbieraj nieprzerwanie przez 7 dni!
-Nowy Turniej Gwiezdnego Kol"&amp;"oseum
&lt;/pl-PL&gt;
&lt;ar&gt;
-ساحة معركة جديدة - حلبة الميكا: عشاق الميكا يتحدون! اختر مهاراتك وآليات الميكا المقدمة من النظام للمشاركة في معارك مثيرة على ساحة معركة جديدة!
-حامل جديد مجاني: الشجاعة اللامتناهية، القادرة على نقل الوحدات باستمرار مع امتلاك قدرات جمع"&amp;" عالية الكفاءة.
-أحداث موسم الشاطئ الجديدة:
صيف متدفق: استخدم تذاكر الشراب للفوز بجوائز كبيرة، بما في ذلك جلود حصرية لموسم الشاطئ!
نجم الشاطئ: اجمع الدفوف لدعم نجم الشاطئ واحصل على مكافآت سخية!
باقات مخفضة: هدايا محدودة الوقت، كلما اشتريت أكثر، حصلت على ا"&amp;"لمزيد!
مكافآت الشحن: قم بشحن واحد للحصول على مكافآت وفيرة!
جنون الرقص: أكمل المهام اليومية للحصول على تذاكر الشراب!
صخب الدف: اهزم المسوخ والقرود العملاقة للحصول على فرصة للحصول على دفوف ومكافآت سخية أخرى!
سمر غاشا: زد قوتك للحصول على عملات سمر غاشا ولف ا"&amp;"لعجلة للحصول على مكافآت مفاجئة!
بطاقة أسبوعية لموسم الشاطئ: بطاقة أسبوعية خاصة بالعطلات مع مكافآت يومية، احصل عليها بشكل مستمر لمدة 7 أيام!
-بطولة مدرج النجوم الجديدة
&lt;/ar&gt;
&lt;ja-JP&gt;
-新しい戦場 - メカ乱闘: メカ愛好家たちよ、集まれ！システムが提供するスキルとメカを選んで、新しい戦場でエキサイティングな戦闘に挑もう！
-新"&amp;"しい無料キャリア: バロール、ユニットを連続して輸送できるだけでなく、高効率の収集能力も持つ。
-新しいビーチシーズンイベント:
自由な流れの夏: 飲み物チケットを使って、ビーチシーズン限定スキンを含む豪華賞品を獲得しよう！
海辺のスター: タンバリンを集めて海辺のスターを応援し、豪華な報酬を手に入れよう！
割引パック: 限定ギフト、購入すればするほど多くの報酬がもらえる！
リチャージ報酬: 一度のリチャージで豊富な報酬を受け取ろう！
ダンスマニア: デイリークエストを完了して飲み物チケットを"&amp;"獲得しよう！
ハンドベル大作戦: 変異エイプと変異ギガントを倒して、タンバリンやその他の豪華報酬を手に入れよう！
サマーガチャ: 戦力を上げて夏のガチャコインを獲得し、サプライズ報酬を回そう！
ビーチシーズンウィークリーカード: 休日特別ウィークリーカード、毎日の報酬を7日間連続で受け取ろう！
-新しいアストラルコロシアムトーナメント
&lt;/ja-JP&gt;
&lt;ko-KR&gt;
-새로운 전장 - 메카 투기장: 메카 애호가들이여, 단결하라! 시스템이 제공하는 스킬과 메카를 선택하여 새로운 전장에"&amp;"서 짜릿한 전투에 참여하세요!
-새로운 무료 캐리어: 용맹, 유닛을 지속적으로 수송할 수 있으며 고효율 수집 능력을 갖춘 캐리어.
-새로운 해변 시즌 이벤트:
자유로운 여름: 음료 티켓을 사용하여 독점 해변 시즌 스킨을 포함한 큰 상을 획득하세요!
해변의 스타: 방울을 모아 해변의 스타를 지원하고 풍성한 보상을 받으세요!
할인 패키지: 한정 시간 선물, 많이 구매할수록 더 많이 얻습니다!
충전 보상: 단일 충전을 통해 풍성한 보상을 받으세요!"&amp;"
댄스 매니아: 일일 임무를 완료하여 음료 티켓을 획득하세요!
방울 대작전: 변이 원숭이와 변이 원숭이를 물리쳐 방울과 기타 풍성한 보상을 획득할 기회를 잡으세요!
여름 가챠: 전투력을 높여 여름 가챠 코인을 얻고 깜짝 보상을 회전하세요!
해변 시즌 주간 카드: 휴일 특별 주간 카드로 일일 보상을 받고 7일 연속으로 청구하세요!
-새로운 별의 사투 토너먼트
&lt;/ko-KR&gt;
")</f>
        <v>&lt;en-US&gt;
-New Battlefield - Mech Brawl: Mech enthusiasts unite! Choose your skills and mechs provided by the system to engage in exhilarating battles on a new battlefield!
-New Free Carrier: The Infinite Valor, capable of continuously transporting units while possessing high-efficiency gathering abilities.
-New Beach Season Events:
Free-Flowing Summer: Use Drink Tickets to win big prizes, including exclusive Beach Season skins!
Beach Superstar: Collect Tambourines to support the Beach Superstar and earn generous rewards!
Discounted Packs: Limited-time gifts, the more you buy, the more you get!
Recharge Rewards: Make a single recharge to receive bountiful rewards!
Dance Mania: Complete daily quests to earn Drink Tickets!
Tambourine Hustle: Defeat Mutants and Gigantos for a chance to obtain Tambourines and other generous rewards!
Summer Gacha: Increase your power to earn Summer Gacha Coins and spin for surprise rewards!
Beach Season Weekly Card: Holiday special Weekly Card with daily rewards, claim continuously for 7 days!
-New Astral Coliseum Tournament
&lt;/en-US&gt;
&lt;fr-FR&gt;
-Nouveau Champ de Bataille - Baston Mécha : Les passionnés de méchas s'unissent ! Choisissez vos compétences et méchas fournis par le système pour vous engager dans des combats exaltants sur un nouveau champ de bataille !
-Nouveau Transporteur Gratuit : La Valeur Infinie, capable de transporter continuellement des unités tout en possédant des capacités de collecte à haute efficacité.
-Nouveaux Événements de la Saison de la Plage :
Été Libre : Utilisez des Coupons pour boisson rafraîchissante pour gagner de gros prix, y compris des skins exclusifs de la Saison de la Plage !
Star des Plages : Collectez des Tambourins pour soutenir la Star des Plages et gagner des récompenses généreuses !
Packs à Prix Réduit : Cadeaux en édition limitée, plus vous achetez, plus vous recevez !
Récompenses de Recharge : Effectuez une seule recharge pour recevoir des récompenses abondantes !
Mania de la Danse : Complétez des quêtes quotidiennes pour gagner des Coupons pour boisson rafraîchissante !
Course aux Tambourins : Éliminez des Mutants et des Gigantos pour avoir une chance d'obtenir des Tambourins et d'autres récompenses généreuses !
Gacha d'Été : Augmentez votre puissance pour gagner des Pièces de Gacha d'Été et tournez pour des récompenses surprises !
Carte Hebdomadaire de la Saison de la Plage : Carte Hebdomadaire spéciale pour les vacances avec des récompenses quotidiennes, réclamez continuellement pendant 7 jours !
-Nouveau Tournoi du Colisée Astral
&lt;/fr-FR&gt;
&lt;de-DE&gt;
-Neues Schlachtfeld - Mech-Krawall: Mech-Enthusiasten vereinigt euch! Wählt eure Fähigkeiten und Mechs, die vom System bereitgestellt werden, um aufregende Kämpfe auf einem neuen Schlachtfeld zu führen!
-Neuer Kostenloser Träger: Der Unendliche Wert, fähig, kontinuierlich Einheiten zu transportieren und dabei hocheffiziente Sammelfähigkeiten zu besitzen.
-Neue Strand-Saison-Events:
Freifließender Sommer: Verwende Erfrischungsgetränk-Gutscheine, um große Preise zu gewinnen, einschließlich exklusiver Strand-Saison-Skins!
Strand-Superstar: Sammle Tamburine, um den Strand-Superstar zu unterstützen und großzügige Belohnungen zu verdienen!
Rabattierte Pakete: Zeitlich begrenzte Geschenke, je mehr du kaufst, desto mehr bekommst du!
Auflade-Belohnungen: Lade einmalig auf, um reichliche Belohnungen zu erhalten!
Tanz-Manie: Schließe tägliche Quests ab, um Erfrischungsgetränk-Gutscheine zu verdienen!
Tamburin-Trubel: Besiege Mutanten und Gigantos, um die Chance zu haben, Tamburine und andere großzügige Belohnungen zu erhalten!
Sommer-Gacha: Erhöhe deine Stärke, um Sommer-Gacha-Münzen zu verdienen und für Überraschungsbelohnungen zu drehen!
Strand-Saison-Wochenkarte: Feiertags-Spezial-Wochenkarte mit täglichen Belohnungen, beanspruche sie 7 Tage lang kontinuierlich!
-Neues Astral-Kolosseum-Turnier
&lt;/de-DE&gt;
&lt;pt-BR&gt;
-Novo Campo de Batalha - Briga de Mech: Entusiastas de Mech, unam-se! Escolha suas habilidades e mechs fornecidos pelo sistema para se envolver em batalhas emocionantes em um novo campo de batalha!
-Novo Transportador Grátis: O Valor Infinito, capaz de transportar unidades continuamente enquanto possui habilidades de coleta de alta eficiência.
-Novos Eventos da Temporada de Praia:
Verão Livre: Use Bilhetes de Bebida Refrescante para ganhar grandes prêmios, incluindo skins exclusivas da Temporada de Praia!
Estrela da Praia: Colete Pandeiros para apoiar a Estrela da Praia e ganhar recompensas generosas!
Pacotes com Desconto: Presentes por tempo limitado, quanto mais você compra, mais você ganha!
Recompensas de Recarga: Faça uma única recarga para receber recompensas abundantes!
Mania de Dança: Complete missões diárias para ganhar Bilhetes de Bebida Refrescante!
Festa do Pandeiro: Derrote Mutantes e Gigantos para ter a chance de obter Pandeiros e outras recompensas generosas!
Gacha de Verão: Aumente seu poder para ganhar Moedas de Gacha de Verão e gire para prêmios surpresa!
Cartão Semanal da Temporada de Praia: Cartão Semanal especial de férias com recompensas diárias, resgate continuamente por 7 dias!
-Novo Torneio do Coliseu Astral
&lt;/pt-BR&gt;
&lt;zh-HK&gt;
-新增戰場-機甲亂鬥：機甲迷集結！自由選擇技能和系統提供的機甲在新的戰場中進行酣暢淋漓的對戰！
-新增免費戰車：英勇不屈號，可以源源不斷運送士兵，同時擁有高效的採集能力；
-新增沙灘節活動：
夏日暢飲：使用冰爽暢飲券，贏取豪華大獎，更有沙灘節限定皮膚等你來拿！
沙灘之星：收集沙灘搖鈴，助力沙灘之星，可以獲得豐厚獎勵！
折扣禮包：限時好禮，多買多送！
充值豪禮：單次充值，獲取豐厚獎勵！
狂歡舞動：完成每日任務，領取豐厚冰爽暢飲券！
搖鈴大作戰：擊敗變異猴與變異巨猿，即有可能拿到沙灘搖鈴及其它豐厚獎勵！
夏日扭蛋機：提升戰力獲得夏日扭蛋幣，搖出驚喜獎勵！
沙灘節周卡：節日特惠周卡，每日自選獎勵，連續領7天！
-新增賽事活動-衛星之巔聯賽
&lt;/zh-HK&gt;
&lt;zh-TW&gt;
-新增戰場-機甲亂鬥：機甲迷集結！自由選擇技能和系統提供的機甲在新的戰場中進行酣暢淋漓的對戰！
-新增免費戰車：英勇不屈號，可以源源不斷運送士兵，同時擁有高效的採集能力；
-新增沙灘節活動：
夏日暢飲：使用冰爽暢飲券，贏取豪華大獎，更有沙灘節限定皮膚等你來拿！
沙灘之星：收集沙灘搖鈴，助力沙灘之星，可以獲得豐厚獎勵！
折扣禮包：限時好禮，多買多送！
充值豪禮：單次充值，獲取豐厚獎勵！
狂歡舞動：完成每日任務，領取豐厚冰爽暢飲券！
搖鈴大作戰：擊敗變異猴與變異巨猿，即有可能拿到沙灘搖鈴及其它豐厚獎勵！
夏日扭蛋機：提升戰力獲得夏日扭蛋幣，搖出驚喜獎勵！
沙灘節周卡：節日特惠周卡，每日自選獎勵，連續領7天！
-新增賽事活動-衛星之巔聯賽
&lt;/zh-TW&gt;
&lt;id&gt;
-Medan Perang Baru - Perkelahian Mekanik:&lt;/b&gt; Penggemar mekanik bersatu! Pilih keahlian dan mekanik yang disediakan oleh sistem untuk terlibat dalam pertempuran yang mendebarkan di medan perang baru!
-Pengangkut Gratis Baru:&lt;/b&gt; Keberanian Tak Terbatas, mampu mengangkut unit secara terus-menerus sambil memiliki kemampuan pengumpulan yang efisien.
-Acara Musim Pantai Baru:&lt;/b&gt;
Musim Panas Mengalir Bebas: Gunakan Kupon Minuman Segar untuk memenangkan hadiah besar, termasuk skin eksklusif Musim Pantai!
Bintang Pantai: Kumpulkan Tambourine untuk mendukung Bintang Pantai dan dapatkan hadiah yang melimpah!
Paket Diskon: Hadiah terbatas waktu, semakin banyak Anda membeli, semakin banyak yang Anda dapatkan!
Hadiah Isi Ulang: Lakukan satu kali isi ulang untuk menerima hadiah yang melimpah!
Mania Menari: Selesaikan tantangan harian untuk mendapatkan Kupon Minuman Segar!
Pertempuran Bel: Kalahkan Kera Mutan dan Giganto untuk kesempatan mendapatkan Tambourine dan hadiah melimpah lainnya!
Gacha Musim Panas: Tingkatkan kekuatan Anda untuk mendapatkan Koin Gacha Musim Panas dan putar untuk hadiah kejutan!
Kartu Mingguan Musim Pantai
&lt;/id&gt;
&lt;th&gt;
-สนามรบใหม่ - การวิวาทเมค: ผู้ที่ชื่นชอบเมครวมตัวกัน! เลือกทักษะและเมคที่ระบบจัดให้เพื่อเข้าร่วมการต่อสู้อันน่าตื่นเต้นบนสนามรบใหม่!
-ผู้ขนส่งฟรีใหม่: วาโลร์ไม่มีที่สิ้นสุด, สามารถขนส่งหน่วยได้อย่างต่อเนื่องพร้อมกับความสามารถในการเก็บรวบรวมที่มีประสิทธิภาพสูง
-กิจกรรมฤดูร้อนริมหาดใหม่:
ฤดูร้อนที่ไหลลื่น: ใช้ตั๋วเครื่องดื่มเพื่อชิงรางวัลใหญ่ รวมถึงสกินฤดูร้อนริมหาดพิเศษ!
ซูเปอร์สตาร์ริมหาด: เก็บแทมโบรีนเพื่อสนับสนุนซูเปอร์สตาร์ริมหาดและรับรางวัลมากมาย!
แพ็กส่วนลด: ของขวัญจำกัดเวลา, ยิ่งซื้อยิ่งได้มาก!
รางวัลการเติมเงิน: ทำการเติมเงินครั้งเดียวเพื่อรับรางวัลมากมาย!
การเต้นบ้าคลั่ง: ทำเควสต์รายวันเพื่อรับตั๋วเครื่องดื่ม!
การเร่งแทมโบรีน: กำจัดมิวแตนด์และกิกันโตเพื่อมีโอกาสได้รับแทมโบรีนและรางวัลอื่นๆ มากมาย!
กาชาฤดูร้อน: เพิ่มพลังงานของคุณเพื่อรับเหรียญกาชาฤดูร้อนและหมุนเพื่อรับรางวัลเซอร์ไพรส์!
บัตรรายสัปดาห์ฤดูร้อนริมหาด: บัตรรายสัปดาห์พิเศษในช่วงวันหยุดพร้อมรางวัลรายวัน, รับต่อเนื่องเป็นเวลา 7 วัน!
-การแข่งขันโคลีเซียมดวงดาวใหม่
&lt;/th&gt;
&lt;es-419&gt;
-Nuevo Campo de Batalla - Pelea de Meca: ¡Entusiastas de los mecas, únanse! Elige tus habilidades y mecas proporcionados por el sistema para participar en emocionantes batallas en un nuevo campo de batalla!
-Nuevo Transportador Gratis: El Valor Infinito, capaz de transportar unidades continuamente mientras posee habilidades de recolección de alta eficiencia.
-Nuevos Eventos de la Temporada de Playa:
Verano Fluido: ¡Usa Cupones de Bebida Refrescante para ganar grandes premios, incluyendo skins exclusivas de la Temporada de Playa!
Superestrella de la Playa: ¡Recolecta Panderetas para apoyar a la Superestrella de la Playa y ganar generosas recompensas!
Paquetes con Descuento: Regalos por tiempo limitado, ¡cuanto más compras, más obtienes!
Recompensas de Recarga: ¡Haz una recarga única para recibir abundantes recompensas!
Manía de Baile: ¡Completa misiones diarias para ganar Cupones de Bebida Refrescante!
Ajetreo de la Pandereta: ¡Derrota a Mutantes y Gigantos para tener la oportunidad de obtener Panderetas y otras generosas recompensas!
Gacha de Verano: ¡Aumenta tu poder para ganar Monedas de Gacha de Verano y gira para obtener recompensas sorpresa!
Tarjeta Semanal de la Temporada de Playa: Tarjeta Semanal especial de vacaciones con recompensas diarias, ¡reclama continuamente durante 7 días!
-Nuevo Torneo del Coliseo Astral
&lt;/es-419&gt;
&lt;ru-RU&gt;
-Новое Поле Боя - Потасовка Мехов: Энтузиасты мехов, объединяйтесь! Выбирайте навыки и мехов, предоставленных системой, чтобы участвовать в захватывающих битвах на новом поле боя!
-Новый Бесплатный Перевозчик: Валор, способный непрерывно транспортировать отряды, обладая при этом высокоэффективными способностями сбора.
-Новые События Пляжного Сезона:
Свободное Лето: Используйте Билеты на прохладительный напиток, чтобы выиграть крупные призы, включая эксклюзивные скины Пляжного Сезона!
Звезда Пляжа: Собирайте Бубны, чтобы поддержать Звезду Пляжа и заработать щедрые награды!
Скидочные Наборы: Подарки с ограниченным сроком действия, чем больше покупаете, тем больше получаете!
Награды за Пополнение: Сделайте одно пополнение, чтобы получить щедрые награды!
Танцевальная Мания: Выполняйте ежедневные задания, чтобы заработать Билеты на прохладительный напиток!
Бубно-Драйв: Побеждайте Мутантов и Гигантопитеков, чтобы получить Бубны и другие щедрые награды!
Летняя Гача: Увеличивайте свою силу, чтобы заработать Монеты летней гачи и крутить для получения сюрпризных наград!
Еженедельная Карта Пляжного Сезона: Специальная праздничная Еженедельная Карта с ежедневными наградами, забирайте непрерывно в течение 7 дней!
-Новый Турнир Астрального Колизея
&lt;/ru-RU&gt;
&lt;tr-TR&gt;
-Yeni Savaş Meydanı - Meka Kavgası: Meka meraklıları birleşin! Sistem tarafından sağlanan becerileri ve mekaları seçerek yeni bir savaş meydanında heyecan verici savaşlara katılın!
-Yeni Ücretsiz Taşıyıcı: Sonsuz Değer, yüksek verimli toplama yeteneklerine sahipken birimleri sürekli olarak taşıyabilen bir taşıyıcı.
-Yeni Sahil Sezonu Etkinlikleri:
Özgür Akan Yaz: Soğuk İçecek Kuponlarını kullanarak, özel Sahil Sezonu kostümleri de dahil olmak üzere büyük ödüller kazanın!
Sahil Süperstarı: Sahil Süperstarını desteklemek için Tefleri toplayın ve cömert ödüller kazanın!
İndirimli Paketler: Sınırlı süreli hediyeler, ne kadar çok satın alırsanız o kadar çok kazanırsınız!
Şarj Etme Ödülleri: Tek bir şarj yaparak bol ödüller kazanın!
Dans Çılgınlığı: Günlük görevleri tamamlayarak Soğuk İçecek Kuponları kazanın!
Tef Telaşı: Mutantları ve Gigantoları yenerek Tefler ve diğer cömert ödüller kazanma şansı elde edin!
Yaz Gacha: Gücünüzü artırarak Yaz Gacha Paraları kazanın ve sürpriz ödüller için çevirin!
Sahil Sezonu Haftalık Kartı: Tatil özel Haftalık Kartı ile günlük ödüller, 7 gün boyunca sürekli olarak alın!
-Yeni Yıldız Kolezyumu Turnuvası
&lt;/tr-TR&gt;
&lt;vi&gt;
-Chiến Trường Mới - Đấu Trường Cơ Khí:&lt;/b&gt; Những người đam mê cơ khí hãy đoàn kết! Chọn kỹ năng và cơ khí do hệ thống cung cấp để tham gia vào các trận chiến đầy hứng khởi trên chiến trường mới!
-Người Vận Chuyển Miễn Phí Mới:&lt;/b&gt; Dũng Khí Vô Hạn, có khả năng vận chuyển đơn vị liên tục trong khi sở hữu khả năng thu thập hiệu quả cao.
-Sự Kiện Mùa Bãi Biển Mới:&lt;/b&gt;
Miễn Phí Mùa Hè: Sử dụng Vé Rượu để giành giải thưởng lớn, bao gồm các trang phục độc quyền Mùa Bãi Biển!
Ngôi Sao Bãi Biển: Thu thập Lục Lạc Bãi Biển để ủng hộ Ngôi Sao Bãi Biển và nhận phần thưởng hào phóng!
Gói Giảm Giá: Quà tặng giới hạn thời gian, mua càng nhiều, nhận càng nhiều!
Phần Thưởng Nạp Năng Lượng: Thực hiện một lần nạp để nhận phần thưởng phong phú!
Cuồng Nhiệt Nhảy Múa: Hoàn thành nhiệm vụ hàng ngày để nhận Vé Rượu!
Đại Chiến Rung Chuông: Đánh bại Khỉ Đột Biến và Vượn Khổng Lồ để có cơ hội nhận Lục Lạc Bãi Biển và các phần thưởng hào phóng khác!
Gacha Mùa Hè: Tăng chiến lực của bạn để nhận Xu Gacha Mùa Hè và quay để nhận phần thưởng bất ngờ!
Thẻ Tuần Mùa Bãi Biển: Thẻ Tuần đặc biệt trong kỳ nghỉ với phần thưởng hàng ngày, nhận liên tục trong 7 ngày!
-Giải Đấu Đại Đấu Trường Thiên Thể Mới:&lt;/b&gt;
&lt;/vi&gt;
&lt;it-IT&gt;
-Nuovo Campo di Battaglia - Rissa Mech: Appassionati di Mech unitevi! Scegli le tue abilità e i mech forniti dal sistema per impegnarti in battaglie emozionanti su un nuovo campo di battaglia!
-Nuovo Trasportatore Gratuito: Il Valore Infinito, capace di trasportare unità continuamente mentre possiede abilità di raccolta ad alta efficienza.
-Nuovi Eventi della Stagione Estiva:
Estate Libera: Usa i Biglietti Bevanda per vincere grandi premi, inclusi skin esclusivi della Stagione Estiva!
Star della Spiaggia: Raccogli Tamburelli per supportare la Star della Spiaggia e guadagnare generose ricompense!
Pacchetti Scontati: Regali a tempo limitato, più acquisti, più ottieni!
Ricompense di Ricarica: Effettua una singola ricarica per ricevere abbondanti ricompense!
Febbre di Ballo: Completa missioni giornaliere per guadagnare Biglietti Bevanda!
Febbre di Tamburelli: Sconfiggi Mutanti e Gigagorilla per avere la possibilità di ottenere Tamburelli e altre generose ricompense!
Gacha Estivo: Aumenta la tua potenza per guadagnare Monete Gacha Estive e girare per ricompense a sorpresa!
Carta Settimanale della Stagione Estiva: Carta Settimanale speciale per le vacanze con ricompense giornaliere, riscatta continuamente per 7 giorni!
-Nuovo Torneo del Colosseo Astrale
&lt;/it-IT&gt;
&lt;pl-PL&gt;
-Nowe Pole Bitwy - Bijatyka Mechów: Entuzjaści mechów, łączcie się! Wybierz umiejętności i mechy dostarczone przez system, aby wziąć udział w ekscytujących bitwach na nowym polu bitwy!
-Nowy Darmowy Transportowiec: Nieskończona Wartość, zdolna do ciągłego transportu jednostek, posiadająca jednocześnie wysoką efektywność zbierania.
-Nowe Wydarzenia Sezonu Plażowego:
Swobodnie Płynące Lato: Użyj Biletów na Orzeźwiający Napój, aby wygrać wielkie nagrody, w tym ekskluzywne skórki Sezonu Plażowego!
Plażowa Supergwiazda: Zbieraj Tamburyny, aby wspierać Plażową Supergwiazdę i zdobywać hojne nagrody!
Pakiety z Rabatem: Prezenty na ograniczony czas, im więcej kupujesz, tym więcej dostajesz!
Nagrody za Doładowanie: Wykonaj jedno doładowanie, aby otrzymać obfite nagrody!
Mania Tańca: Wykonuj codzienne zadania, aby zdobywać Bilety na Orzeźwiający Napój!
Tamburynowy Szał: Pokonaj Mutanty i Gigamałpy, aby mieć szansę na zdobycie Tamburynów i innych hojnych nagród!
Letnia Gacha: Zwiększ swoją siłę, aby zdobywać Monety Letniej Gachy i kręcić kołem po niespodziankowe nagrody!
Karta Tygodniowa Sezonu Plażowego: Specjalna Karta Tygodniowa na wakacje z codziennymi nagrodami, odbieraj nieprzerwanie przez 7 dni!
-Nowy Turniej Gwiezdnego Koloseum
&lt;/pl-PL&gt;
&lt;ar&gt;
-ساحة معركة جديدة - حلبة الميكا: عشاق الميكا يتحدون! اختر مهاراتك وآليات الميكا المقدمة من النظام للمشاركة في معارك مثيرة على ساحة معركة جديدة!
-حامل جديد مجاني: الشجاعة اللامتناهية، القادرة على نقل الوحدات باستمرار مع امتلاك قدرات جمع عالية الكفاءة.
-أحداث موسم الشاطئ الجديدة:
صيف متدفق: استخدم تذاكر الشراب للفوز بجوائز كبيرة، بما في ذلك جلود حصرية لموسم الشاطئ!
نجم الشاطئ: اجمع الدفوف لدعم نجم الشاطئ واحصل على مكافآت سخية!
باقات مخفضة: هدايا محدودة الوقت، كلما اشتريت أكثر، حصلت على المزيد!
مكافآت الشحن: قم بشحن واحد للحصول على مكافآت وفيرة!
جنون الرقص: أكمل المهام اليومية للحصول على تذاكر الشراب!
صخب الدف: اهزم المسوخ والقرود العملاقة للحصول على فرصة للحصول على دفوف ومكافآت سخية أخرى!
سمر غاشا: زد قوتك للحصول على عملات سمر غاشا ولف العجلة للحصول على مكافآت مفاجئة!
بطاقة أسبوعية لموسم الشاطئ: بطاقة أسبوعية خاصة بالعطلات مع مكافآت يومية، احصل عليها بشكل مستمر لمدة 7 أيام!
-بطولة مدرج النجوم الجديدة
&lt;/ar&gt;
&lt;ja-JP&gt;
-新しい戦場 - メカ乱闘: メカ愛好家たちよ、集まれ！システムが提供するスキルとメカを選んで、新しい戦場でエキサイティングな戦闘に挑もう！
-新しい無料キャリア: バロール、ユニットを連続して輸送できるだけでなく、高効率の収集能力も持つ。
-新しいビーチシーズンイベント:
自由な流れの夏: 飲み物チケットを使って、ビーチシーズン限定スキンを含む豪華賞品を獲得しよう！
海辺のスター: タンバリンを集めて海辺のスターを応援し、豪華な報酬を手に入れよう！
割引パック: 限定ギフト、購入すればするほど多くの報酬がもらえる！
リチャージ報酬: 一度のリチャージで豊富な報酬を受け取ろう！
ダンスマニア: デイリークエストを完了して飲み物チケットを獲得しよう！
ハンドベル大作戦: 変異エイプと変異ギガントを倒して、タンバリンやその他の豪華報酬を手に入れよう！
サマーガチャ: 戦力を上げて夏のガチャコインを獲得し、サプライズ報酬を回そう！
ビーチシーズンウィークリーカード: 休日特別ウィークリーカード、毎日の報酬を7日間連続で受け取ろう！
-新しいアストラルコロシアムトーナメント
&lt;/ja-JP&gt;
&lt;ko-KR&gt;
-새로운 전장 - 메카 투기장: 메카 애호가들이여, 단결하라! 시스템이 제공하는 스킬과 메카를 선택하여 새로운 전장에서 짜릿한 전투에 참여하세요!
-새로운 무료 캐리어: 용맹, 유닛을 지속적으로 수송할 수 있으며 고효율 수집 능력을 갖춘 캐리어.
-새로운 해변 시즌 이벤트:
자유로운 여름: 음료 티켓을 사용하여 독점 해변 시즌 스킨을 포함한 큰 상을 획득하세요!
해변의 스타: 방울을 모아 해변의 스타를 지원하고 풍성한 보상을 받으세요!
할인 패키지: 한정 시간 선물, 많이 구매할수록 더 많이 얻습니다!
충전 보상: 단일 충전을 통해 풍성한 보상을 받으세요!
댄스 매니아: 일일 임무를 완료하여 음료 티켓을 획득하세요!
방울 대작전: 변이 원숭이와 변이 원숭이를 물리쳐 방울과 기타 풍성한 보상을 획득할 기회를 잡으세요!
여름 가챠: 전투력을 높여 여름 가챠 코인을 얻고 깜짝 보상을 회전하세요!
해변 시즌 주간 카드: 휴일 특별 주간 카드로 일일 보상을 받고 7일 연속으로 청구하세요!
-새로운 별의 사투 토너먼트
&lt;/ko-KR&gt;
</v>
      </c>
      <c r="C75" s="44" t="str">
        <f>IFERROR(__xludf.DUMMYFUNCTION("""COMPUTED_VALUE"""),"-新增战场-机甲乱斗：机甲迷集结！自由选择技能和系统提供的机甲在新的战场中进行酣畅淋漓的对战！
-新增免费战车：英勇不屈号，可以源源不断运输士兵，同时拥有高效的采集能力；
-新增沙滩节活动：
夏日畅饮：使用冰爽畅饮券，赢取豪华大奖，更有沙滩节限定皮肤等你来拿！
沙滩之星：收集沙滩摇铃，助力沙滩之星，可以获得丰厚奖励！
折扣礼包：限时好礼，多买多送！
夏日扭蛋机：提升战力获得夏日扭蛋币，摇出惊喜奖励！
沙滩节周卡：节日特惠周卡，每日自选奖励，连续领7天！
-新增赛事活动-卫星之巅联赛")</f>
        <v>-新增战场-机甲乱斗：机甲迷集结！自由选择技能和系统提供的机甲在新的战场中进行酣畅淋漓的对战！
-新增免费战车：英勇不屈号，可以源源不断运输士兵，同时拥有高效的采集能力；
-新增沙滩节活动：
夏日畅饮：使用冰爽畅饮券，赢取豪华大奖，更有沙滩节限定皮肤等你来拿！
沙滩之星：收集沙滩摇铃，助力沙滩之星，可以获得丰厚奖励！
折扣礼包：限时好礼，多买多送！
夏日扭蛋机：提升战力获得夏日扭蛋币，摇出惊喜奖励！
沙滩节周卡：节日特惠周卡，每日自选奖励，连续领7天！
-新增赛事活动-卫星之巅联赛</v>
      </c>
      <c r="D75" s="159" t="str">
        <f>IFERROR(__xludf.DUMMYFUNCTION("""COMPUTED_VALUE"""),"-New Battlefield - Mech Brawl: Mech enthusiasts unite! Choose your skills and mechs provided by the system to engage in exhilarating battles on a new battlefield!
-New Free Carrier: The Infinite Valor, capable of continuously transporting units while poss"&amp;"essing high-efficiency gathering abilities.
-New Beach Season Events:
Free-Flowing Summer: Use Drink Tickets to win big prizes, including exclusive Beach Season skins!
Beach Superstar: Collect Tambourines to support the Beach Superstar and earn generous r"&amp;"ewards!
Discounted Packs: Limited-time gifts, the more you buy, the more you get!
Recharge Rewards: Make a single recharge to receive bountiful rewards!
Dance Mania: Complete daily quests to earn Drink Tickets!
Tambourine Hustle: Defeat Mutants and Gigant"&amp;"os for a chance to obtain Tambourines and other generous rewards!
Summer Gacha: Increase your power to earn Summer Gacha Coins and spin for surprise rewards!
Beach Season Weekly Card: Holiday special Weekly Card with daily rewards, claim continuously for "&amp;"7 days!
-New Astral Coliseum Tournament")</f>
        <v>-New Battlefield - Mech Brawl: Mech enthusiasts unite! Choose your skills and mechs provided by the system to engage in exhilarating battles on a new battlefield!
-New Free Carrier: The Infinite Valor, capable of continuously transporting units while possessing high-efficiency gathering abilities.
-New Beach Season Events:
Free-Flowing Summer: Use Drink Tickets to win big prizes, including exclusive Beach Season skins!
Beach Superstar: Collect Tambourines to support the Beach Superstar and earn generous rewards!
Discounted Packs: Limited-time gifts, the more you buy, the more you get!
Recharge Rewards: Make a single recharge to receive bountiful rewards!
Dance Mania: Complete daily quests to earn Drink Tickets!
Tambourine Hustle: Defeat Mutants and Gigantos for a chance to obtain Tambourines and other generous rewards!
Summer Gacha: Increase your power to earn Summer Gacha Coins and spin for surprise rewards!
Beach Season Weekly Card: Holiday special Weekly Card with daily rewards, claim continuously for 7 days!
-New Astral Coliseum Tournament</v>
      </c>
      <c r="E75" s="159" t="str">
        <f>IFERROR(__xludf.DUMMYFUNCTION("""COMPUTED_VALUE"""),"-Nouveau Champ de Bataille - Baston Mécha : Les passionnés de méchas s'unissent ! Choisissez vos compétences et méchas fournis par le système pour vous engager dans des combats exaltants sur un nouveau champ de bataille !
-Nouveau Transporteur Gratuit : L"&amp;"a Valeur Infinie, capable de transporter continuellement des unités tout en possédant des capacités de collecte à haute efficacité.
-Nouveaux Événements de la Saison de la Plage :
Été Libre : Utilisez des Coupons pour boisson rafraîchissante pour gagner d"&amp;"e gros prix, y compris des skins exclusifs de la Saison de la Plage !
Star des Plages : Collectez des Tambourins pour soutenir la Star des Plages et gagner des récompenses généreuses !
Packs à Prix Réduit : Cadeaux en édition limitée, plus vous achetez, p"&amp;"lus vous recevez !
Récompenses de Recharge : Effectuez une seule recharge pour recevoir des récompenses abondantes !
Mania de la Danse : Complétez des quêtes quotidiennes pour gagner des Coupons pour boisson rafraîchissante !
Course aux Tambourins : Élimi"&amp;"nez des Mutants et des Gigantos pour avoir une chance d'obtenir des Tambourins et d'autres récompenses généreuses !
Gacha d'Été : Augmentez votre puissance pour gagner des Pièces de Gacha d'Été et tournez pour des récompenses surprises !
Carte Hebdomadair"&amp;"e de la Saison de la Plage : Carte Hebdomadaire spéciale pour les vacances avec des récompenses quotidiennes, réclamez continuellement pendant 7 jours !
-Nouveau Tournoi du Colisée Astral")</f>
        <v>-Nouveau Champ de Bataille - Baston Mécha : Les passionnés de méchas s'unissent ! Choisissez vos compétences et méchas fournis par le système pour vous engager dans des combats exaltants sur un nouveau champ de bataille !
-Nouveau Transporteur Gratuit : La Valeur Infinie, capable de transporter continuellement des unités tout en possédant des capacités de collecte à haute efficacité.
-Nouveaux Événements de la Saison de la Plage :
Été Libre : Utilisez des Coupons pour boisson rafraîchissante pour gagner de gros prix, y compris des skins exclusifs de la Saison de la Plage !
Star des Plages : Collectez des Tambourins pour soutenir la Star des Plages et gagner des récompenses généreuses !
Packs à Prix Réduit : Cadeaux en édition limitée, plus vous achetez, plus vous recevez !
Récompenses de Recharge : Effectuez une seule recharge pour recevoir des récompenses abondantes !
Mania de la Danse : Complétez des quêtes quotidiennes pour gagner des Coupons pour boisson rafraîchissante !
Course aux Tambourins : Éliminez des Mutants et des Gigantos pour avoir une chance d'obtenir des Tambourins et d'autres récompenses généreuses !
Gacha d'Été : Augmentez votre puissance pour gagner des Pièces de Gacha d'Été et tournez pour des récompenses surprises !
Carte Hebdomadaire de la Saison de la Plage : Carte Hebdomadaire spéciale pour les vacances avec des récompenses quotidiennes, réclamez continuellement pendant 7 jours !
-Nouveau Tournoi du Colisée Astral</v>
      </c>
      <c r="F75" s="159" t="str">
        <f>IFERROR(__xludf.DUMMYFUNCTION("""COMPUTED_VALUE"""),"-Neues Schlachtfeld - Mech-Krawall: Mech-Enthusiasten vereinigt euch! Wählt eure Fähigkeiten und Mechs, die vom System bereitgestellt werden, um aufregende Kämpfe auf einem neuen Schlachtfeld zu führen!
-Neuer Kostenloser Träger: Der Unendliche Wert, fähi"&amp;"g, kontinuierlich Einheiten zu transportieren und dabei hocheffiziente Sammelfähigkeiten zu besitzen.
-Neue Strand-Saison-Events:
Freifließender Sommer: Verwende Erfrischungsgetränk-Gutscheine, um große Preise zu gewinnen, einschließlich exklusiver Strand"&amp;"-Saison-Skins!
Strand-Superstar: Sammle Tamburine, um den Strand-Superstar zu unterstützen und großzügige Belohnungen zu verdienen!
Rabattierte Pakete: Zeitlich begrenzte Geschenke, je mehr du kaufst, desto mehr bekommst du!
Auflade-Belohnungen: Lade einm"&amp;"alig auf, um reichliche Belohnungen zu erhalten!
Tanz-Manie: Schließe tägliche Quests ab, um Erfrischungsgetränk-Gutscheine zu verdienen!
Tamburin-Trubel: Besiege Mutanten und Gigantos, um die Chance zu haben, Tamburine und andere großzügige Belohnungen z"&amp;"u erhalten!
Sommer-Gacha: Erhöhe deine Stärke, um Sommer-Gacha-Münzen zu verdienen und für Überraschungsbelohnungen zu drehen!
Strand-Saison-Wochenkarte: Feiertags-Spezial-Wochenkarte mit täglichen Belohnungen, beanspruche sie 7 Tage lang kontinuierlich!
"&amp;"-Neues Astral-Kolosseum-Turnier")</f>
        <v>-Neues Schlachtfeld - Mech-Krawall: Mech-Enthusiasten vereinigt euch! Wählt eure Fähigkeiten und Mechs, die vom System bereitgestellt werden, um aufregende Kämpfe auf einem neuen Schlachtfeld zu führen!
-Neuer Kostenloser Träger: Der Unendliche Wert, fähig, kontinuierlich Einheiten zu transportieren und dabei hocheffiziente Sammelfähigkeiten zu besitzen.
-Neue Strand-Saison-Events:
Freifließender Sommer: Verwende Erfrischungsgetränk-Gutscheine, um große Preise zu gewinnen, einschließlich exklusiver Strand-Saison-Skins!
Strand-Superstar: Sammle Tamburine, um den Strand-Superstar zu unterstützen und großzügige Belohnungen zu verdienen!
Rabattierte Pakete: Zeitlich begrenzte Geschenke, je mehr du kaufst, desto mehr bekommst du!
Auflade-Belohnungen: Lade einmalig auf, um reichliche Belohnungen zu erhalten!
Tanz-Manie: Schließe tägliche Quests ab, um Erfrischungsgetränk-Gutscheine zu verdienen!
Tamburin-Trubel: Besiege Mutanten und Gigantos, um die Chance zu haben, Tamburine und andere großzügige Belohnungen zu erhalten!
Sommer-Gacha: Erhöhe deine Stärke, um Sommer-Gacha-Münzen zu verdienen und für Überraschungsbelohnungen zu drehen!
Strand-Saison-Wochenkarte: Feiertags-Spezial-Wochenkarte mit täglichen Belohnungen, beanspruche sie 7 Tage lang kontinuierlich!
-Neues Astral-Kolosseum-Turnier</v>
      </c>
      <c r="G75" s="159" t="str">
        <f>IFERROR(__xludf.DUMMYFUNCTION("""COMPUTED_VALUE"""),"-Novo Campo de Batalha - Briga de Mech: Entusiastas de Mech, unam-se! Escolha suas habilidades e mechs fornecidos pelo sistema para se envolver em batalhas emocionantes em um novo campo de batalha!
-Novo Transportador Grátis: O Valor Infinito, capaz de tr"&amp;"ansportar unidades continuamente enquanto possui habilidades de coleta de alta eficiência.
-Novos Eventos da Temporada de Praia:
Verão Livre: Use Bilhetes de Bebida Refrescante para ganhar grandes prêmios, incluindo skins exclusivas da Temporada de Praia!"&amp;"
Estrela da Praia: Colete Pandeiros para apoiar a Estrela da Praia e ganhar recompensas generosas!
Pacotes com Desconto: Presentes por tempo limitado, quanto mais você compra, mais você ganha!
Recompensas de Recarga: Faça uma única recarga para receber re"&amp;"compensas abundantes!
Mania de Dança: Complete missões diárias para ganhar Bilhetes de Bebida Refrescante!
Festa do Pandeiro: Derrote Mutantes e Gigantos para ter a chance de obter Pandeiros e outras recompensas generosas!
Gacha de Verão: Aumente seu pode"&amp;"r para ganhar Moedas de Gacha de Verão e gire para prêmios surpresa!
Cartão Semanal da Temporada de Praia: Cartão Semanal especial de férias com recompensas diárias, resgate continuamente por 7 dias!
-Novo Torneio do Coliseu Astral")</f>
        <v>-Novo Campo de Batalha - Briga de Mech: Entusiastas de Mech, unam-se! Escolha suas habilidades e mechs fornecidos pelo sistema para se envolver em batalhas emocionantes em um novo campo de batalha!
-Novo Transportador Grátis: O Valor Infinito, capaz de transportar unidades continuamente enquanto possui habilidades de coleta de alta eficiência.
-Novos Eventos da Temporada de Praia:
Verão Livre: Use Bilhetes de Bebida Refrescante para ganhar grandes prêmios, incluindo skins exclusivas da Temporada de Praia!
Estrela da Praia: Colete Pandeiros para apoiar a Estrela da Praia e ganhar recompensas generosas!
Pacotes com Desconto: Presentes por tempo limitado, quanto mais você compra, mais você ganha!
Recompensas de Recarga: Faça uma única recarga para receber recompensas abundantes!
Mania de Dança: Complete missões diárias para ganhar Bilhetes de Bebida Refrescante!
Festa do Pandeiro: Derrote Mutantes e Gigantos para ter a chance de obter Pandeiros e outras recompensas generosas!
Gacha de Verão: Aumente seu poder para ganhar Moedas de Gacha de Verão e gire para prêmios surpresa!
Cartão Semanal da Temporada de Praia: Cartão Semanal especial de férias com recompensas diárias, resgate continuamente por 7 dias!
-Novo Torneio do Coliseu Astral</v>
      </c>
      <c r="H75" s="159" t="str">
        <f>IFERROR(__xludf.DUMMYFUNCTION("""COMPUTED_VALUE"""),"-新增戰場-機甲亂鬥：機甲迷集結！自由選擇技能和系統提供的機甲在新的戰場中進行酣暢淋漓的對戰！
-新增免費戰車：英勇不屈號，可以源源不斷運送士兵，同時擁有高效的採集能力；
-新增沙灘節活動：
夏日暢飲：使用冰爽暢飲券，贏取豪華大獎，更有沙灘節限定皮膚等你來拿！
沙灘之星：收集沙灘搖鈴，助力沙灘之星，可以獲得豐厚獎勵！
折扣禮包：限時好禮，多買多送！
充值豪禮：單次充值，獲取豐厚獎勵！
狂歡舞動：完成每日任務，領取豐厚冰爽暢飲券！
搖鈴大作戰：擊敗變異猴與變異巨猿，即有可能拿到沙灘搖鈴及其它"&amp;"豐厚獎勵！
夏日扭蛋機：提升戰力獲得夏日扭蛋幣，搖出驚喜獎勵！
沙灘節周卡：節日特惠周卡，每日自選獎勵，連續領7天！
-新增賽事活動-衛星之巔聯賽")</f>
        <v>-新增戰場-機甲亂鬥：機甲迷集結！自由選擇技能和系統提供的機甲在新的戰場中進行酣暢淋漓的對戰！
-新增免費戰車：英勇不屈號，可以源源不斷運送士兵，同時擁有高效的採集能力；
-新增沙灘節活動：
夏日暢飲：使用冰爽暢飲券，贏取豪華大獎，更有沙灘節限定皮膚等你來拿！
沙灘之星：收集沙灘搖鈴，助力沙灘之星，可以獲得豐厚獎勵！
折扣禮包：限時好禮，多買多送！
充值豪禮：單次充值，獲取豐厚獎勵！
狂歡舞動：完成每日任務，領取豐厚冰爽暢飲券！
搖鈴大作戰：擊敗變異猴與變異巨猿，即有可能拿到沙灘搖鈴及其它豐厚獎勵！
夏日扭蛋機：提升戰力獲得夏日扭蛋幣，搖出驚喜獎勵！
沙灘節周卡：節日特惠周卡，每日自選獎勵，連續領7天！
-新增賽事活動-衛星之巔聯賽</v>
      </c>
      <c r="I75" s="159" t="str">
        <f>IFERROR(__xludf.DUMMYFUNCTION("""COMPUTED_VALUE"""),"-Medan Perang Baru - Perkelahian Mekanik:&lt;/b&gt; Penggemar mekanik bersatu! Pilih keahlian dan mekanik yang disediakan oleh sistem untuk terlibat dalam pertempuran yang mendebarkan di medan perang baru!
-Pengangkut Gratis Baru:&lt;/b&gt; Keberanian Tak Terbatas, "&amp;"mampu mengangkut unit secara terus-menerus sambil memiliki kemampuan pengumpulan yang efisien.
-Acara Musim Pantai Baru:&lt;/b&gt;
Musim Panas Mengalir Bebas: Gunakan Kupon Minuman Segar untuk memenangkan hadiah besar, termasuk skin eksklusif Musim Pantai!
B"&amp;"intang Pantai: Kumpulkan Tambourine untuk mendukung Bintang Pantai dan dapatkan hadiah yang melimpah!
Paket Diskon: Hadiah terbatas waktu, semakin banyak Anda membeli, semakin banyak yang Anda dapatkan!
Hadiah Isi Ulang: Lakukan satu kali isi ulang untu"&amp;"k menerima hadiah yang melimpah!
Mania Menari: Selesaikan tantangan harian untuk mendapatkan Kupon Minuman Segar!
Pertempuran Bel: Kalahkan Kera Mutan dan Giganto untuk kesempatan mendapatkan Tambourine dan hadiah melimpah lainnya!
Gacha Musim Panas: T"&amp;"ingkatkan kekuatan Anda untuk mendapatkan Koin Gacha Musim Panas dan putar untuk hadiah kejutan!
Kartu Mingguan Musim Pantai")</f>
        <v>-Medan Perang Baru - Perkelahian Mekanik:&lt;/b&gt; Penggemar mekanik bersatu! Pilih keahlian dan mekanik yang disediakan oleh sistem untuk terlibat dalam pertempuran yang mendebarkan di medan perang baru!
-Pengangkut Gratis Baru:&lt;/b&gt; Keberanian Tak Terbatas, mampu mengangkut unit secara terus-menerus sambil memiliki kemampuan pengumpulan yang efisien.
-Acara Musim Pantai Baru:&lt;/b&gt;
Musim Panas Mengalir Bebas: Gunakan Kupon Minuman Segar untuk memenangkan hadiah besar, termasuk skin eksklusif Musim Pantai!
Bintang Pantai: Kumpulkan Tambourine untuk mendukung Bintang Pantai dan dapatkan hadiah yang melimpah!
Paket Diskon: Hadiah terbatas waktu, semakin banyak Anda membeli, semakin banyak yang Anda dapatkan!
Hadiah Isi Ulang: Lakukan satu kali isi ulang untuk menerima hadiah yang melimpah!
Mania Menari: Selesaikan tantangan harian untuk mendapatkan Kupon Minuman Segar!
Pertempuran Bel: Kalahkan Kera Mutan dan Giganto untuk kesempatan mendapatkan Tambourine dan hadiah melimpah lainnya!
Gacha Musim Panas: Tingkatkan kekuatan Anda untuk mendapatkan Koin Gacha Musim Panas dan putar untuk hadiah kejutan!
Kartu Mingguan Musim Pantai</v>
      </c>
      <c r="J75" s="159" t="str">
        <f>IFERROR(__xludf.DUMMYFUNCTION("""COMPUTED_VALUE"""),"-สนามรบใหม่ - การวิวาทเมค: ผู้ที่ชื่นชอบเมครวมตัวกัน! เลือกทักษะและเมคที่ระบบจัดให้เพื่อเข้าร่วมการต่อสู้อันน่าตื่นเต้นบนสนามรบใหม่!
-ผู้ขนส่งฟรีใหม่: วาโลร์ไม่มีที่สิ้นสุด, สามารถขนส่งหน่วยได้อย่างต่อเนื่องพร้อมกับความสามารถในการเก็บรวบรวมที่มีประสิทธิภ"&amp;"าพสูง
-กิจกรรมฤดูร้อนริมหาดใหม่:
ฤดูร้อนที่ไหลลื่น: ใช้ตั๋วเครื่องดื่มเพื่อชิงรางวัลใหญ่ รวมถึงสกินฤดูร้อนริมหาดพิเศษ!
ซูเปอร์สตาร์ริมหาด: เก็บแทมโบรีนเพื่อสนับสนุนซูเปอร์สตาร์ริมหาดและรับรางวัลมากมาย!
แพ็กส่วนลด: ของขวัญจำกัดเวลา, ยิ่งซื้อยิ่งได้มาก!"&amp;"
รางวัลการเติมเงิน: ทำการเติมเงินครั้งเดียวเพื่อรับรางวัลมากมาย!
การเต้นบ้าคลั่ง: ทำเควสต์รายวันเพื่อรับตั๋วเครื่องดื่ม!
การเร่งแทมโบรีน: กำจัดมิวแตนด์และกิกันโตเพื่อมีโอกาสได้รับแทมโบรีนและรางวัลอื่นๆ มากมาย!
กาชาฤดูร้อน: เพิ่มพลังงานของคุณเพื่อรับเห"&amp;"รียญกาชาฤดูร้อนและหมุนเพื่อรับรางวัลเซอร์ไพรส์!
บัตรรายสัปดาห์ฤดูร้อนริมหาด: บัตรรายสัปดาห์พิเศษในช่วงวันหยุดพร้อมรางวัลรายวัน, รับต่อเนื่องเป็นเวลา 7 วัน!
-การแข่งขันโคลีเซียมดวงดาวใหม่")</f>
        <v>-สนามรบใหม่ - การวิวาทเมค: ผู้ที่ชื่นชอบเมครวมตัวกัน! เลือกทักษะและเมคที่ระบบจัดให้เพื่อเข้าร่วมการต่อสู้อันน่าตื่นเต้นบนสนามรบใหม่!
-ผู้ขนส่งฟรีใหม่: วาโลร์ไม่มีที่สิ้นสุด, สามารถขนส่งหน่วยได้อย่างต่อเนื่องพร้อมกับความสามารถในการเก็บรวบรวมที่มีประสิทธิภาพสูง
-กิจกรรมฤดูร้อนริมหาดใหม่:
ฤดูร้อนที่ไหลลื่น: ใช้ตั๋วเครื่องดื่มเพื่อชิงรางวัลใหญ่ รวมถึงสกินฤดูร้อนริมหาดพิเศษ!
ซูเปอร์สตาร์ริมหาด: เก็บแทมโบรีนเพื่อสนับสนุนซูเปอร์สตาร์ริมหาดและรับรางวัลมากมาย!
แพ็กส่วนลด: ของขวัญจำกัดเวลา, ยิ่งซื้อยิ่งได้มาก!
รางวัลการเติมเงิน: ทำการเติมเงินครั้งเดียวเพื่อรับรางวัลมากมาย!
การเต้นบ้าคลั่ง: ทำเควสต์รายวันเพื่อรับตั๋วเครื่องดื่ม!
การเร่งแทมโบรีน: กำจัดมิวแตนด์และกิกันโตเพื่อมีโอกาสได้รับแทมโบรีนและรางวัลอื่นๆ มากมาย!
กาชาฤดูร้อน: เพิ่มพลังงานของคุณเพื่อรับเหรียญกาชาฤดูร้อนและหมุนเพื่อรับรางวัลเซอร์ไพรส์!
บัตรรายสัปดาห์ฤดูร้อนริมหาด: บัตรรายสัปดาห์พิเศษในช่วงวันหยุดพร้อมรางวัลรายวัน, รับต่อเนื่องเป็นเวลา 7 วัน!
-การแข่งขันโคลีเซียมดวงดาวใหม่</v>
      </c>
      <c r="K75" s="159" t="str">
        <f>IFERROR(__xludf.DUMMYFUNCTION("""COMPUTED_VALUE"""),"-Nuevo Campo de Batalla - Pelea de Meca: ¡Entusiastas de los mecas, únanse! Elige tus habilidades y mecas proporcionados por el sistema para participar en emocionantes batallas en un nuevo campo de batalla!
-Nuevo Transportador Gratis: El Valor Infinito,"&amp;" capaz de transportar unidades continuamente mientras posee habilidades de recolección de alta eficiencia.
-Nuevos Eventos de la Temporada de Playa:
Verano Fluido: ¡Usa Cupones de Bebida Refrescante para ganar grandes premios, incluyendo skins exclusiva"&amp;"s de la Temporada de Playa!
Superestrella de la Playa: ¡Recolecta Panderetas para apoyar a la Superestrella de la Playa y ganar generosas recompensas!
Paquetes con Descuento: Regalos por tiempo limitado, ¡cuanto más compras, más obtienes!
Recompensas d"&amp;"e Recarga: ¡Haz una recarga única para recibir abundantes recompensas!
Manía de Baile: ¡Completa misiones diarias para ganar Cupones de Bebida Refrescante!
Ajetreo de la Pandereta: ¡Derrota a Mutantes y Gigantos para tener la oportunidad de obtener Pand"&amp;"eretas y otras generosas recompensas!
Gacha de Verano: ¡Aumenta tu poder para ganar Monedas de Gacha de Verano y gira para obtener recompensas sorpresa!
Tarjeta Semanal de la Temporada de Playa: Tarjeta Semanal especial de vacaciones con recompensas dia"&amp;"rias, ¡reclama continuamente durante 7 días!
-Nuevo Torneo del Coliseo Astral")</f>
        <v>-Nuevo Campo de Batalla - Pelea de Meca: ¡Entusiastas de los mecas, únanse! Elige tus habilidades y mecas proporcionados por el sistema para participar en emocionantes batallas en un nuevo campo de batalla!
-Nuevo Transportador Gratis: El Valor Infinito, capaz de transportar unidades continuamente mientras posee habilidades de recolección de alta eficiencia.
-Nuevos Eventos de la Temporada de Playa:
Verano Fluido: ¡Usa Cupones de Bebida Refrescante para ganar grandes premios, incluyendo skins exclusivas de la Temporada de Playa!
Superestrella de la Playa: ¡Recolecta Panderetas para apoyar a la Superestrella de la Playa y ganar generosas recompensas!
Paquetes con Descuento: Regalos por tiempo limitado, ¡cuanto más compras, más obtienes!
Recompensas de Recarga: ¡Haz una recarga única para recibir abundantes recompensas!
Manía de Baile: ¡Completa misiones diarias para ganar Cupones de Bebida Refrescante!
Ajetreo de la Pandereta: ¡Derrota a Mutantes y Gigantos para tener la oportunidad de obtener Panderetas y otras generosas recompensas!
Gacha de Verano: ¡Aumenta tu poder para ganar Monedas de Gacha de Verano y gira para obtener recompensas sorpresa!
Tarjeta Semanal de la Temporada de Playa: Tarjeta Semanal especial de vacaciones con recompensas diarias, ¡reclama continuamente durante 7 días!
-Nuevo Torneo del Coliseo Astral</v>
      </c>
      <c r="L75" s="159" t="str">
        <f>IFERROR(__xludf.DUMMYFUNCTION("""COMPUTED_VALUE"""),"-Новое Поле Боя - Потасовка Мехов: Энтузиасты мехов, объединяйтесь! Выбирайте навыки и мехов, предоставленных системой, чтобы участвовать в захватывающих битвах на новом поле боя!
-Новый Бесплатный Перевозчик: Валор, способный непрерывно транспортировать"&amp;" отряды, обладая при этом высокоэффективными способностями сбора.
-Новые События Пляжного Сезона:
Свободное Лето: Используйте Билеты на прохладительный напиток, чтобы выиграть крупные призы, включая эксклюзивные скины Пляжного Сезона!
Звезда Пляжа: Соб"&amp;"ирайте Бубны, чтобы поддержать Звезду Пляжа и заработать щедрые награды!
Скидочные Наборы: Подарки с ограниченным сроком действия, чем больше покупаете, тем больше получаете!
Награды за Пополнение: Сделайте одно пополнение, чтобы получить щедрые награды"&amp;"!
Танцевальная Мания: Выполняйте ежедневные задания, чтобы заработать Билеты на прохладительный напиток!
Бубно-Драйв: Побеждайте Мутантов и Гигантопитеков, чтобы получить Бубны и другие щедрые награды!
Летняя Гача: Увеличивайте свою силу, чтобы заработ"&amp;"ать Монеты летней гачи и крутить для получения сюрпризных наград!
Еженедельная Карта Пляжного Сезона: Специальная праздничная Еженедельная Карта с ежедневными наградами, забирайте непрерывно в течение 7 дней!
-Новый Турнир Астрального Колизея")</f>
        <v>-Новое Поле Боя - Потасовка Мехов: Энтузиасты мехов, объединяйтесь! Выбирайте навыки и мехов, предоставленных системой, чтобы участвовать в захватывающих битвах на новом поле боя!
-Новый Бесплатный Перевозчик: Валор, способный непрерывно транспортировать отряды, обладая при этом высокоэффективными способностями сбора.
-Новые События Пляжного Сезона:
Свободное Лето: Используйте Билеты на прохладительный напиток, чтобы выиграть крупные призы, включая эксклюзивные скины Пляжного Сезона!
Звезда Пляжа: Собирайте Бубны, чтобы поддержать Звезду Пляжа и заработать щедрые награды!
Скидочные Наборы: Подарки с ограниченным сроком действия, чем больше покупаете, тем больше получаете!
Награды за Пополнение: Сделайте одно пополнение, чтобы получить щедрые награды!
Танцевальная Мания: Выполняйте ежедневные задания, чтобы заработать Билеты на прохладительный напиток!
Бубно-Драйв: Побеждайте Мутантов и Гигантопитеков, чтобы получить Бубны и другие щедрые награды!
Летняя Гача: Увеличивайте свою силу, чтобы заработать Монеты летней гачи и крутить для получения сюрпризных наград!
Еженедельная Карта Пляжного Сезона: Специальная праздничная Еженедельная Карта с ежедневными наградами, забирайте непрерывно в течение 7 дней!
-Новый Турнир Астрального Колизея</v>
      </c>
      <c r="M75" s="159" t="str">
        <f>IFERROR(__xludf.DUMMYFUNCTION("""COMPUTED_VALUE"""),"-Yeni Savaş Meydanı - Meka Kavgası: Meka meraklıları birleşin! Sistem tarafından sağlanan becerileri ve mekaları seçerek yeni bir savaş meydanında heyecan verici savaşlara katılın!
-Yeni Ücretsiz Taşıyıcı: Sonsuz Değer, yüksek verimli toplama yetenekleri"&amp;"ne sahipken birimleri sürekli olarak taşıyabilen bir taşıyıcı.
-Yeni Sahil Sezonu Etkinlikleri:
Özgür Akan Yaz: Soğuk İçecek Kuponlarını kullanarak, özel Sahil Sezonu kostümleri de dahil olmak üzere büyük ödüller kazanın!
Sahil Süperstarı: Sahil Süpers"&amp;"tarını desteklemek için Tefleri toplayın ve cömert ödüller kazanın!
İndirimli Paketler: Sınırlı süreli hediyeler, ne kadar çok satın alırsanız o kadar çok kazanırsınız!
Şarj Etme Ödülleri: Tek bir şarj yaparak bol ödüller kazanın!
Dans Çılgınlığı: Günl"&amp;"ük görevleri tamamlayarak Soğuk İçecek Kuponları kazanın!
Tef Telaşı: Mutantları ve Gigantoları yenerek Tefler ve diğer cömert ödüller kazanma şansı elde edin!
Yaz Gacha: Gücünüzü artırarak Yaz Gacha Paraları kazanın ve sürpriz ödüller için çevirin!
Sa"&amp;"hil Sezonu Haftalık Kartı: Tatil özel Haftalık Kartı ile günlük ödüller, 7 gün boyunca sürekli olarak alın!
-Yeni Yıldız Kolezyumu Turnuvası")</f>
        <v>-Yeni Savaş Meydanı - Meka Kavgası: Meka meraklıları birleşin! Sistem tarafından sağlanan becerileri ve mekaları seçerek yeni bir savaş meydanında heyecan verici savaşlara katılın!
-Yeni Ücretsiz Taşıyıcı: Sonsuz Değer, yüksek verimli toplama yeteneklerine sahipken birimleri sürekli olarak taşıyabilen bir taşıyıcı.
-Yeni Sahil Sezonu Etkinlikleri:
Özgür Akan Yaz: Soğuk İçecek Kuponlarını kullanarak, özel Sahil Sezonu kostümleri de dahil olmak üzere büyük ödüller kazanın!
Sahil Süperstarı: Sahil Süperstarını desteklemek için Tefleri toplayın ve cömert ödüller kazanın!
İndirimli Paketler: Sınırlı süreli hediyeler, ne kadar çok satın alırsanız o kadar çok kazanırsınız!
Şarj Etme Ödülleri: Tek bir şarj yaparak bol ödüller kazanın!
Dans Çılgınlığı: Günlük görevleri tamamlayarak Soğuk İçecek Kuponları kazanın!
Tef Telaşı: Mutantları ve Gigantoları yenerek Tefler ve diğer cömert ödüller kazanma şansı elde edin!
Yaz Gacha: Gücünüzü artırarak Yaz Gacha Paraları kazanın ve sürpriz ödüller için çevirin!
Sahil Sezonu Haftalık Kartı: Tatil özel Haftalık Kartı ile günlük ödüller, 7 gün boyunca sürekli olarak alın!
-Yeni Yıldız Kolezyumu Turnuvası</v>
      </c>
      <c r="N75" s="45" t="str">
        <f>IFERROR(__xludf.DUMMYFUNCTION("""COMPUTED_VALUE"""),"-Chiến Trường Mới - Đấu Trường Cơ Khí:&lt;/b&gt; Những người đam mê cơ khí hãy đoàn kết! Chọn kỹ năng và cơ khí do hệ thống cung cấp để tham gia vào các trận chiến đầy hứng khởi trên chiến trường mới!
-Người Vận Chuyển Miễn Phí Mới:&lt;/b&gt; Dũng Khí Vô Hạn, có khả"&amp;" năng vận chuyển đơn vị liên tục trong khi sở hữu khả năng thu thập hiệu quả cao.
-Sự Kiện Mùa Bãi Biển Mới:&lt;/b&gt;
Miễn Phí Mùa Hè: Sử dụng Vé Rượu để giành giải thưởng lớn, bao gồm các trang phục độc quyền Mùa Bãi Biển!
Ngôi Sao Bãi Biển: Thu thập Lục L"&amp;"ạc Bãi Biển để ủng hộ Ngôi Sao Bãi Biển và nhận phần thưởng hào phóng!
Gói Giảm Giá: Quà tặng giới hạn thời gian, mua càng nhiều, nhận càng nhiều!
Phần Thưởng Nạp Năng Lượng: Thực hiện một lần nạp để nhận phần thưởng phong phú!
Cuồng Nhiệt Nhảy Múa: Ho"&amp;"àn thành nhiệm vụ hàng ngày để nhận Vé Rượu!
Đại Chiến Rung Chuông: Đánh bại Khỉ Đột Biến và Vượn Khổng Lồ để có cơ hội nhận Lục Lạc Bãi Biển và các phần thưởng hào phóng khác!
Gacha Mùa Hè: Tăng chiến lực của bạn để nhận Xu Gacha Mùa Hè và quay để nhận"&amp;" phần thưởng bất ngờ!
Thẻ Tuần Mùa Bãi Biển: Thẻ Tuần đặc biệt trong kỳ nghỉ với phần thưởng hàng ngày, nhận liên tục trong 7 ngày!
-Giải Đấu Đại Đấu Trường Thiên Thể Mới:&lt;/b&gt;")</f>
        <v>-Chiến Trường Mới - Đấu Trường Cơ Khí:&lt;/b&gt; Những người đam mê cơ khí hãy đoàn kết! Chọn kỹ năng và cơ khí do hệ thống cung cấp để tham gia vào các trận chiến đầy hứng khởi trên chiến trường mới!
-Người Vận Chuyển Miễn Phí Mới:&lt;/b&gt; Dũng Khí Vô Hạn, có khả năng vận chuyển đơn vị liên tục trong khi sở hữu khả năng thu thập hiệu quả cao.
-Sự Kiện Mùa Bãi Biển Mới:&lt;/b&gt;
Miễn Phí Mùa Hè: Sử dụng Vé Rượu để giành giải thưởng lớn, bao gồm các trang phục độc quyền Mùa Bãi Biển!
Ngôi Sao Bãi Biển: Thu thập Lục Lạc Bãi Biển để ủng hộ Ngôi Sao Bãi Biển và nhận phần thưởng hào phóng!
Gói Giảm Giá: Quà tặng giới hạn thời gian, mua càng nhiều, nhận càng nhiều!
Phần Thưởng Nạp Năng Lượng: Thực hiện một lần nạp để nhận phần thưởng phong phú!
Cuồng Nhiệt Nhảy Múa: Hoàn thành nhiệm vụ hàng ngày để nhận Vé Rượu!
Đại Chiến Rung Chuông: Đánh bại Khỉ Đột Biến và Vượn Khổng Lồ để có cơ hội nhận Lục Lạc Bãi Biển và các phần thưởng hào phóng khác!
Gacha Mùa Hè: Tăng chiến lực của bạn để nhận Xu Gacha Mùa Hè và quay để nhận phần thưởng bất ngờ!
Thẻ Tuần Mùa Bãi Biển: Thẻ Tuần đặc biệt trong kỳ nghỉ với phần thưởng hàng ngày, nhận liên tục trong 7 ngày!
-Giải Đấu Đại Đấu Trường Thiên Thể Mới:&lt;/b&gt;</v>
      </c>
      <c r="O75" s="45" t="str">
        <f>IFERROR(__xludf.DUMMYFUNCTION("""COMPUTED_VALUE"""),"-Nuovo Campo di Battaglia - Rissa Mech: Appassionati di Mech unitevi! Scegli le tue abilità e i mech forniti dal sistema per impegnarti in battaglie emozionanti su un nuovo campo di battaglia!
-Nuovo Trasportatore Gratuito: Il Valore Infinito, capace di "&amp;"trasportare unità continuamente mentre possiede abilità di raccolta ad alta efficienza.
-Nuovi Eventi della Stagione Estiva:
Estate Libera: Usa i Biglietti Bevanda per vincere grandi premi, inclusi skin esclusivi della Stagione Estiva!
Star della Spiag"&amp;"gia: Raccogli Tamburelli per supportare la Star della Spiaggia e guadagnare generose ricompense!
Pacchetti Scontati: Regali a tempo limitato, più acquisti, più ottieni!
Ricompense di Ricarica: Effettua una singola ricarica per ricevere abbondanti ricomp"&amp;"ense!
Febbre di Ballo: Completa missioni giornaliere per guadagnare Biglietti Bevanda!
Febbre di Tamburelli: Sconfiggi Mutanti e Gigagorilla per avere la possibilità di ottenere Tamburelli e altre generose ricompense!
Gacha Estivo: Aumenta la tua poten"&amp;"za per guadagnare Monete Gacha Estive e girare per ricompense a sorpresa!
Carta Settimanale della Stagione Estiva: Carta Settimanale speciale per le vacanze con ricompense giornaliere, riscatta continuamente per 7 giorni!
-Nuovo Torneo del Colosseo Astr"&amp;"ale")</f>
        <v>-Nuovo Campo di Battaglia - Rissa Mech: Appassionati di Mech unitevi! Scegli le tue abilità e i mech forniti dal sistema per impegnarti in battaglie emozionanti su un nuovo campo di battaglia!
-Nuovo Trasportatore Gratuito: Il Valore Infinito, capace di trasportare unità continuamente mentre possiede abilità di raccolta ad alta efficienza.
-Nuovi Eventi della Stagione Estiva:
Estate Libera: Usa i Biglietti Bevanda per vincere grandi premi, inclusi skin esclusivi della Stagione Estiva!
Star della Spiaggia: Raccogli Tamburelli per supportare la Star della Spiaggia e guadagnare generose ricompense!
Pacchetti Scontati: Regali a tempo limitato, più acquisti, più ottieni!
Ricompense di Ricarica: Effettua una singola ricarica per ricevere abbondanti ricompense!
Febbre di Ballo: Completa missioni giornaliere per guadagnare Biglietti Bevanda!
Febbre di Tamburelli: Sconfiggi Mutanti e Gigagorilla per avere la possibilità di ottenere Tamburelli e altre generose ricompense!
Gacha Estivo: Aumenta la tua potenza per guadagnare Monete Gacha Estive e girare per ricompense a sorpresa!
Carta Settimanale della Stagione Estiva: Carta Settimanale speciale per le vacanze con ricompense giornaliere, riscatta continuamente per 7 giorni!
-Nuovo Torneo del Colosseo Astrale</v>
      </c>
      <c r="P75" s="34" t="str">
        <f>IFERROR(__xludf.DUMMYFUNCTION("""COMPUTED_VALUE"""),"-Nowe Pole Bitwy - Bijatyka Mechów: Entuzjaści mechów, łączcie się! Wybierz umiejętności i mechy dostarczone przez system, aby wziąć udział w ekscytujących bitwach na nowym polu bitwy!
-Nowy Darmowy Transportowiec: Nieskończona Wartość, zdolna do ciągłego"&amp;" transportu jednostek, posiadająca jednocześnie wysoką efektywność zbierania.
-Nowe Wydarzenia Sezonu Plażowego:
Swobodnie Płynące Lato: Użyj Biletów na Orzeźwiający Napój, aby wygrać wielkie nagrody, w tym ekskluzywne skórki Sezonu Plażowego!
Plażowa Sup"&amp;"ergwiazda: Zbieraj Tamburyny, aby wspierać Plażową Supergwiazdę i zdobywać hojne nagrody!
Pakiety z Rabatem: Prezenty na ograniczony czas, im więcej kupujesz, tym więcej dostajesz!
Nagrody za Doładowanie: Wykonaj jedno doładowanie, aby otrzymać obfite nag"&amp;"rody!
Mania Tańca: Wykonuj codzienne zadania, aby zdobywać Bilety na Orzeźwiający Napój!
Tamburynowy Szał: Pokonaj Mutanty i Gigamałpy, aby mieć szansę na zdobycie Tamburynów i innych hojnych nagród!
Letnia Gacha: Zwiększ swoją siłę, aby zdobywać Monety L"&amp;"etniej Gachy i kręcić kołem po niespodziankowe nagrody!
Karta Tygodniowa Sezonu Plażowego: Specjalna Karta Tygodniowa na wakacje z codziennymi nagrodami, odbieraj nieprzerwanie przez 7 dni!
-Nowy Turniej Gwiezdnego Koloseum")</f>
        <v>-Nowe Pole Bitwy - Bijatyka Mechów: Entuzjaści mechów, łączcie się! Wybierz umiejętności i mechy dostarczone przez system, aby wziąć udział w ekscytujących bitwach na nowym polu bitwy!
-Nowy Darmowy Transportowiec: Nieskończona Wartość, zdolna do ciągłego transportu jednostek, posiadająca jednocześnie wysoką efektywność zbierania.
-Nowe Wydarzenia Sezonu Plażowego:
Swobodnie Płynące Lato: Użyj Biletów na Orzeźwiający Napój, aby wygrać wielkie nagrody, w tym ekskluzywne skórki Sezonu Plażowego!
Plażowa Supergwiazda: Zbieraj Tamburyny, aby wspierać Plażową Supergwiazdę i zdobywać hojne nagrody!
Pakiety z Rabatem: Prezenty na ograniczony czas, im więcej kupujesz, tym więcej dostajesz!
Nagrody za Doładowanie: Wykonaj jedno doładowanie, aby otrzymać obfite nagrody!
Mania Tańca: Wykonuj codzienne zadania, aby zdobywać Bilety na Orzeźwiający Napój!
Tamburynowy Szał: Pokonaj Mutanty i Gigamałpy, aby mieć szansę na zdobycie Tamburynów i innych hojnych nagród!
Letnia Gacha: Zwiększ swoją siłę, aby zdobywać Monety Letniej Gachy i kręcić kołem po niespodziankowe nagrody!
Karta Tygodniowa Sezonu Plażowego: Specjalna Karta Tygodniowa na wakacje z codziennymi nagrodami, odbieraj nieprzerwanie przez 7 dni!
-Nowy Turniej Gwiezdnego Koloseum</v>
      </c>
      <c r="Q75" s="34" t="str">
        <f>IFERROR(__xludf.DUMMYFUNCTION("""COMPUTED_VALUE"""),"-ساحة معركة جديدة - حلبة الميكا: عشاق الميكا يتحدون! اختر مهاراتك وآليات الميكا المقدمة من النظام للمشاركة في معارك مثيرة على ساحة معركة جديدة!
-حامل جديد مجاني: الشجاعة اللامتناهية، القادرة على نقل الوحدات باستمرار مع امتلاك قدرات جمع عالية الكفاءة.
-أحد"&amp;"اث موسم الشاطئ الجديدة:
صيف متدفق: استخدم تذاكر الشراب للفوز بجوائز كبيرة، بما في ذلك جلود حصرية لموسم الشاطئ!
نجم الشاطئ: اجمع الدفوف لدعم نجم الشاطئ واحصل على مكافآت سخية!
باقات مخفضة: هدايا محدودة الوقت، كلما اشتريت أكثر، حصلت على المزيد!
مكافآت الشحن:"&amp;" قم بشحن واحد للحصول على مكافآت وفيرة!
جنون الرقص: أكمل المهام اليومية للحصول على تذاكر الشراب!
صخب الدف: اهزم المسوخ والقرود العملاقة للحصول على فرصة للحصول على دفوف ومكافآت سخية أخرى!
سمر غاشا: زد قوتك للحصول على عملات سمر غاشا ولف العجلة للحصول على مكا"&amp;"فآت مفاجئة!
بطاقة أسبوعية لموسم الشاطئ: بطاقة أسبوعية خاصة بالعطلات مع مكافآت يومية، احصل عليها بشكل مستمر لمدة 7 أيام!
-بطولة مدرج النجوم الجديدة")</f>
        <v>-ساحة معركة جديدة - حلبة الميكا: عشاق الميكا يتحدون! اختر مهاراتك وآليات الميكا المقدمة من النظام للمشاركة في معارك مثيرة على ساحة معركة جديدة!
-حامل جديد مجاني: الشجاعة اللامتناهية، القادرة على نقل الوحدات باستمرار مع امتلاك قدرات جمع عالية الكفاءة.
-أحداث موسم الشاطئ الجديدة:
صيف متدفق: استخدم تذاكر الشراب للفوز بجوائز كبيرة، بما في ذلك جلود حصرية لموسم الشاطئ!
نجم الشاطئ: اجمع الدفوف لدعم نجم الشاطئ واحصل على مكافآت سخية!
باقات مخفضة: هدايا محدودة الوقت، كلما اشتريت أكثر، حصلت على المزيد!
مكافآت الشحن: قم بشحن واحد للحصول على مكافآت وفيرة!
جنون الرقص: أكمل المهام اليومية للحصول على تذاكر الشراب!
صخب الدف: اهزم المسوخ والقرود العملاقة للحصول على فرصة للحصول على دفوف ومكافآت سخية أخرى!
سمر غاشا: زد قوتك للحصول على عملات سمر غاشا ولف العجلة للحصول على مكافآت مفاجئة!
بطاقة أسبوعية لموسم الشاطئ: بطاقة أسبوعية خاصة بالعطلات مع مكافآت يومية، احصل عليها بشكل مستمر لمدة 7 أيام!
-بطولة مدرج النجوم الجديدة</v>
      </c>
      <c r="R75" s="34" t="str">
        <f>IFERROR(__xludf.DUMMYFUNCTION("""COMPUTED_VALUE"""),"-新しい戦場 - メカ乱闘: メカ愛好家たちよ、集まれ！システムが提供するスキルとメカを選んで、新しい戦場でエキサイティングな戦闘に挑もう！
-新しい無料キャリア: バロール、ユニットを連続して輸送できるだけでなく、高効率の収集能力も持つ。
-新しいビーチシーズンイベント:
自由な流れの夏: 飲み物チケットを使って、ビーチシーズン限定スキンを含む豪華賞品を獲得しよう！
海辺のスター: タンバリンを集めて海辺のスターを応援し、豪華な報酬を手に入れよう！
割引パック: 限定ギフト、購入すればするほど"&amp;"多くの報酬がもらえる！
リチャージ報酬: 一度のリチャージで豊富な報酬を受け取ろう！
ダンスマニア: デイリークエストを完了して飲み物チケットを獲得しよう！
ハンドベル大作戦: 変異エイプと変異ギガントを倒して、タンバリンやその他の豪華報酬を手に入れよう！
サマーガチャ: 戦力を上げて夏のガチャコインを獲得し、サプライズ報酬を回そう！
ビーチシーズンウィークリーカード: 休日特別ウィークリーカード、毎日の報酬を7日間連続で受け取ろう！
-新しいアストラルコロシアムトーナメント")</f>
        <v>-新しい戦場 - メカ乱闘: メカ愛好家たちよ、集まれ！システムが提供するスキルとメカを選んで、新しい戦場でエキサイティングな戦闘に挑もう！
-新しい無料キャリア: バロール、ユニットを連続して輸送できるだけでなく、高効率の収集能力も持つ。
-新しいビーチシーズンイベント:
自由な流れの夏: 飲み物チケットを使って、ビーチシーズン限定スキンを含む豪華賞品を獲得しよう！
海辺のスター: タンバリンを集めて海辺のスターを応援し、豪華な報酬を手に入れよう！
割引パック: 限定ギフト、購入すればするほど多くの報酬がもらえる！
リチャージ報酬: 一度のリチャージで豊富な報酬を受け取ろう！
ダンスマニア: デイリークエストを完了して飲み物チケットを獲得しよう！
ハンドベル大作戦: 変異エイプと変異ギガントを倒して、タンバリンやその他の豪華報酬を手に入れよう！
サマーガチャ: 戦力を上げて夏のガチャコインを獲得し、サプライズ報酬を回そう！
ビーチシーズンウィークリーカード: 休日特別ウィークリーカード、毎日の報酬を7日間連続で受け取ろう！
-新しいアストラルコロシアムトーナメント</v>
      </c>
      <c r="S75" s="34" t="str">
        <f>IFERROR(__xludf.DUMMYFUNCTION("""COMPUTED_VALUE"""),"-새로운 전장 - 메카 투기장: 메카 애호가들이여, 단결하라! 시스템이 제공하는 스킬과 메카를 선택하여 새로운 전장에서 짜릿한 전투에 참여하세요!
-새로운 무료 캐리어: 용맹, 유닛을 지속적으로 수송할 수 있으며 고효율 수집 능력을 갖춘 캐리어.
-새로운 해변 시즌 이벤트:
자유로운 여름: 음료 티켓을 사용하여 독점 해변 시즌 스킨을 포함한 큰 상을 획득하세요!
해변의 스타: 방울을 모아 해변의 스타를 지원하고 풍성한 보상을 받으세요!
할인 패"&amp;"키지: 한정 시간 선물, 많이 구매할수록 더 많이 얻습니다!
충전 보상: 단일 충전을 통해 풍성한 보상을 받으세요!
댄스 매니아: 일일 임무를 완료하여 음료 티켓을 획득하세요!
방울 대작전: 변이 원숭이와 변이 원숭이를 물리쳐 방울과 기타 풍성한 보상을 획득할 기회를 잡으세요!
여름 가챠: 전투력을 높여 여름 가챠 코인을 얻고 깜짝 보상을 회전하세요!
해변 시즌 주간 카드: 휴일 특별 주간 카드로 일일 보상을 받고 7일 연속으로 청구하세요!
"&amp;"-새로운 별의 사투 토너먼트")</f>
        <v>-새로운 전장 - 메카 투기장: 메카 애호가들이여, 단결하라! 시스템이 제공하는 스킬과 메카를 선택하여 새로운 전장에서 짜릿한 전투에 참여하세요!
-새로운 무료 캐리어: 용맹, 유닛을 지속적으로 수송할 수 있으며 고효율 수집 능력을 갖춘 캐리어.
-새로운 해변 시즌 이벤트:
자유로운 여름: 음료 티켓을 사용하여 독점 해변 시즌 스킨을 포함한 큰 상을 획득하세요!
해변의 스타: 방울을 모아 해변의 스타를 지원하고 풍성한 보상을 받으세요!
할인 패키지: 한정 시간 선물, 많이 구매할수록 더 많이 얻습니다!
충전 보상: 단일 충전을 통해 풍성한 보상을 받으세요!
댄스 매니아: 일일 임무를 완료하여 음료 티켓을 획득하세요!
방울 대작전: 변이 원숭이와 변이 원숭이를 물리쳐 방울과 기타 풍성한 보상을 획득할 기회를 잡으세요!
여름 가챠: 전투력을 높여 여름 가챠 코인을 얻고 깜짝 보상을 회전하세요!
해변 시즌 주간 카드: 휴일 특별 주간 카드로 일일 보상을 받고 7일 연속으로 청구하세요!
-새로운 별의 사투 토너먼트</v>
      </c>
      <c r="T75" s="108"/>
      <c r="U75" s="108"/>
      <c r="V75" s="108"/>
      <c r="W75" s="108"/>
      <c r="X75" s="108"/>
      <c r="Y75" s="108"/>
      <c r="Z75" s="108"/>
    </row>
    <row r="76">
      <c r="A76" s="149" t="str">
        <f>IFERROR(__xludf.DUMMYFUNCTION("""COMPUTED_VALUE"""),"0.67.0")</f>
        <v>0.67.0</v>
      </c>
      <c r="B76" s="174" t="str">
        <f>IFERROR(__xludf.DUMMYFUNCTION("""COMPUTED_VALUE"""),"&lt;en-US&gt;
- New Fighter: Lone Ranger - Sam, a fearless bounty hunter with a sharp sense of justice!
- New Fighter: Blasting Drummer - Emma, the powerful drummer whose beats will be your best ally!
- New Carrier: Steel Ambition, with immense carrying capac"&amp;"ity, capable of leading and joining rallies, and defending positions.
&lt;/en-US&gt;
&lt;fr-FR&gt;
- Nouveau combattant : Cow-boy solitaire - Sam, un chasseur de primes intrépide avec un sens aigu de la justice !
- Nouveau combattant : Batteur Explosif - Emma, la bat"&amp;"teuse puissante dont les rythmes seront votre meilleur allié !
- Nouveau transporteur : Ambition d'acier, avec une capacité de transport immense, capable de diriger et de rejoindre des rassemblements, et de défendre des positions.
&lt;/fr-FR&gt;
&lt;de-DE&gt;
- Neuer"&amp;" Kämpfer: Einzelkämpfer - Sam, ein furchtloser Kopfgeldjäger mit einem ausgeprägten Sinn für Gerechtigkeit!
- Neuer Kämpfer: Explosiver Trommler - Emma, die mächtige Trommlerin, deren Beats dein bester Verbündeter sein werden!
- Neuer Träger: Stählerner E"&amp;"hrgeiz, mit enormer Tragekapazität, fähig, Rallyes zu führen und beizutreten, und Positionen zu verteidigen.
&lt;/de-DE&gt;
&lt;pt-BR&gt;
- Novo combatente: Lobo Solitário - Sam, um caçador de recompensas destemido com um forte senso de justiça!
- Novo combatente: Ba"&amp;"terista Explosivo - Emma, a poderosa baterista cujas batidas serão seu melhor aliado!
- Novo transportador: Ambição de Aço, com imensa capacidade de carga, capaz de liderar e participar de incursões, e defender posições.
&lt;/pt-BR&gt;
&lt;zh-HK&gt;
-新增鬥士：孤膽飛俠-薩姆，嫉惡如"&amp;"仇、英姿颯爽的賞金獵人！
-新增鬥士：爆裂鼓手-艾瑪，聲震四方的女鼓手，你的最佳隊友！
-新增戰車：聯賽詳情，超強的運載能力，可以發起和參與集結，也可以進行駐防。
&lt;/zh-HK&gt;
&lt;zh-TW&gt;
-新增鬥士：孤膽飛俠-薩姆，嫉惡如仇、英姿颯爽的賞金獵人！
-新增鬥士：爆裂鼓手-艾瑪，聲震四方的女鼓手，你的最佳隊友！
-新增戰車：聯賽詳情，超強的運載能力，可以發起和參與集結，也可以進行駐防。
&lt;/zh-TW&gt;
&lt;id&gt;
- Pejuang Baru: Penjaga Tunggal - Sam, seor"&amp;"ang pemburu hadiah yang tak kenal takut dengan rasa keadilan yang tajam!
- Pejuang Baru: Drummer Peledak - Emma, drummer kuat yang iramanya akan menjadi sekutu terbaikmu!
- Pengangkut Baru: Ambisi Baja, dengan kapasitas angkut yang besar, mampu memimpin d"&amp;"an bergabung dalam serangan, serta mempertahankan posisi.
&lt;/id&gt;
&lt;th&gt;
- นักสู้ตัวใหม่: โลนเรนเจอร์ - แซม, นักล่าค่าหัวไร้ความกลัวที่มีความยุติธรรมอย่างเฉียบขาด!
- นักสู้ตัวใหม่: มือกลองระเบิด - เอ็มม่า, มือกลองทรงพลังที่จังหวะของเธอจะเป็นพันธมิตรที่ดีที่สุ"&amp;"ดของคุณ!
- ลิงขนส่งใหม่: ความทะเยอทะยานแห่งโลหะ, มีความจุในการขนส่งมหาศาล, สามารถนำและเข้าร่วมการชุมนุม, และป้องกันตำแหน่ง.
&lt;/th&gt;
&lt;es-419&gt;
- Nuevo Luchador: Llanera Solitaria - Sam, una intrépida cazarrecompensas con un agudo sentido de la justicia!
- Nue"&amp;"vo Luchador: Baterista Explosivo - Emma, la poderosa baterista cuyos ritmos serán tu mejor aliado!
- Nuevo Transportador: Ambición de Acero, con una inmensa capacidad de carga, capaz de liderar y unirse a congregaciones, y defender posiciones.
&lt;/es-419&gt;
&lt;"&amp;"ru-RU&gt;
- Новый герой: Одинокий рейнджер - Сэм, бесстрашный охотник за головами с острым чувством справедливости!
- Новый герой: Взрывной барабанщик - Эмма, мощный барабанщик, чьи ритмы станут вашим лучшим союзником!
- Новый носитель: Стальные амбиции, с о"&amp;"громной вместимостью, способный вести и присоединяться к митингам, а также защищать позиции.
&lt;/ru-RU&gt;
&lt;tr-TR&gt;
- Yeni Savaşçı: Yalnız Korucu - Sam, keskin bir adalet duygusuna sahip korkusuz bir ödül avcısı!
- Yeni Savaşçı: Patlayan Davulcu - Emma, ritimle"&amp;"ri en iyi müttefikiniz olacak güçlü davulcu!
- Yeni Taşıyıcı: Çelik Hırs, muazzam taşıma kapasitesine sahip, mitinglere liderlik edebilen ve katılabilen, konumları savunabilen.
&lt;/tr-TR&gt;
&lt;vi&gt;
- Chiến Binh Mới: Kiểm Lâm Đơn Độc - Sam, một kẻ săn tiền thưởng"&amp;" không sợ hãi với cảm giác công lý sắc bén!
- Chiến Binh Mới: Tay Trống Nổ - Emma, tay trống mạnh mẽ mà nhịp điệu của cô ấy sẽ là đồng minh tốt nhất của bạn!
- Người Vận Chuyển Mới: Tham Vọng Thép, với sức chứa khổng lồ, có khả năng dẫn dắt và tham gia cá"&amp;"c cuộc tập hợp, và bảo vệ các vị trí.
&lt;/vi&gt;
&lt;it-IT&gt;
- Nuovo Combattente: Ranger solitaria - Sam, un impavido cacciatore di taglie con un acuto senso della giustizia!
- Nuovo Combattente: Batterista Esplosivo - Emma, la potente batterista i cui ritmi saran"&amp;"no il tuo miglior alleato!
- Nuovo trasportatore: Ambizione ferrea, con un'enorme capacità di carico, capace di guidare e partecipare ad adunate, e difendere posizioni.
&lt;/it-IT&gt;
&lt;pl-PL&gt;
- Nowy Wojownik: Dobry, zły i piękna - Sam, nieustraszony łowca nagró"&amp;"d z wyostrzonym poczuciem sprawiedliwości!
- Nowy Wojownik: Perkusista Wybuchowy - Emma, potężna perkusistka, której rytmy będą twoim najlepszym sojusznikiem!
- Nowy przenośnik: Stalowa ambicja, z ogromną pojemnością, zdolny do prowadzenia i dołączania do"&amp;" rajdów oraz obrony pozycji.
&lt;/pl-PL&gt;
&lt;ar&gt;
- مقاتل جديد: لون الحارس - سام، صياد مكافآت شجاع ذو إحساس حاد بالعدالة!
- مقاتل جديد: عازف الطبول المتفجر - إيما، عازفة الطبول القوية التي ستكون أفضل حليف لك!
- ناقلة جديدة: طموح الصلب، بسعة حمل هائلة، قادرة على "&amp;"القيادة والانضمام إلى التجمعات، والدفاع عن المواقع.
&lt;/ar&gt;
&lt;ja-JP&gt;
- 新しいファイター: 荒野のガンマン - サム、鋭い正義感を持つ無畏の賞金稼ぎ！
- 新しいファイター: 爆発ドラマー - エマ、その強力なビートがあなたの最高の味方になる！
- 新しいキャリア: 高揚、巨大な運搬容量を持ち、ラリーを指揮し参加し、ポジションを防御する能力を持つ。
&lt;/ja-JP&gt;
&lt;ko-KR&gt;
- 새로운 전사: 황야의 레인저 - 샘, 날카로운 정의"&amp;"감을 가진 두려움을 모르는 현상금 사냥꾼!
- 새로운 전사: 블라스팅 드러머 - 엠마, 당신의 최고의 동맹이 될 강력한 드러머!
- 새로운 운반선: 세찬 기세, 엄청난 운반 용량을 가지고 있으며, 집결을 이끌고 참여하며, 위치를 방어할 수 있습니다.
&lt;/ko-KR&gt;
")</f>
        <v>&lt;en-US&gt;
- New Fighter: Lone Ranger - Sam, a fearless bounty hunter with a sharp sense of justice!
- New Fighter: Blasting Drummer - Emma, the powerful drummer whose beats will be your best ally!
- New Carrier: Steel Ambition, with immense carrying capacity, capable of leading and joining rallies, and defending positions.
&lt;/en-US&gt;
&lt;fr-FR&gt;
- Nouveau combattant : Cow-boy solitaire - Sam, un chasseur de primes intrépide avec un sens aigu de la justice !
- Nouveau combattant : Batteur Explosif - Emma, la batteuse puissante dont les rythmes seront votre meilleur allié !
- Nouveau transporteur : Ambition d'acier, avec une capacité de transport immense, capable de diriger et de rejoindre des rassemblements, et de défendre des positions.
&lt;/fr-FR&gt;
&lt;de-DE&gt;
- Neuer Kämpfer: Einzelkämpfer - Sam, ein furchtloser Kopfgeldjäger mit einem ausgeprägten Sinn für Gerechtigkeit!
- Neuer Kämpfer: Explosiver Trommler - Emma, die mächtige Trommlerin, deren Beats dein bester Verbündeter sein werden!
- Neuer Träger: Stählerner Ehrgeiz, mit enormer Tragekapazität, fähig, Rallyes zu führen und beizutreten, und Positionen zu verteidigen.
&lt;/de-DE&gt;
&lt;pt-BR&gt;
- Novo combatente: Lobo Solitário - Sam, um caçador de recompensas destemido com um forte senso de justiça!
- Novo combatente: Baterista Explosivo - Emma, a poderosa baterista cujas batidas serão seu melhor aliado!
- Novo transportador: Ambição de Aço, com imensa capacidade de carga, capaz de liderar e participar de incursões, e defender posições.
&lt;/pt-BR&gt;
&lt;zh-HK&gt;
-新增鬥士：孤膽飛俠-薩姆，嫉惡如仇、英姿颯爽的賞金獵人！
-新增鬥士：爆裂鼓手-艾瑪，聲震四方的女鼓手，你的最佳隊友！
-新增戰車：聯賽詳情，超強的運載能力，可以發起和參與集結，也可以進行駐防。
&lt;/zh-HK&gt;
&lt;zh-TW&gt;
-新增鬥士：孤膽飛俠-薩姆，嫉惡如仇、英姿颯爽的賞金獵人！
-新增鬥士：爆裂鼓手-艾瑪，聲震四方的女鼓手，你的最佳隊友！
-新增戰車：聯賽詳情，超強的運載能力，可以發起和參與集結，也可以進行駐防。
&lt;/zh-TW&gt;
&lt;id&gt;
- Pejuang Baru: Penjaga Tunggal - Sam, seorang pemburu hadiah yang tak kenal takut dengan rasa keadilan yang tajam!
- Pejuang Baru: Drummer Peledak - Emma, drummer kuat yang iramanya akan menjadi sekutu terbaikmu!
- Pengangkut Baru: Ambisi Baja, dengan kapasitas angkut yang besar, mampu memimpin dan bergabung dalam serangan, serta mempertahankan posisi.
&lt;/id&gt;
&lt;th&gt;
- นักสู้ตัวใหม่: โลนเรนเจอร์ - แซม, นักล่าค่าหัวไร้ความกลัวที่มีความยุติธรรมอย่างเฉียบขาด!
- นักสู้ตัวใหม่: มือกลองระเบิด - เอ็มม่า, มือกลองทรงพลังที่จังหวะของเธอจะเป็นพันธมิตรที่ดีที่สุดของคุณ!
- ลิงขนส่งใหม่: ความทะเยอทะยานแห่งโลหะ, มีความจุในการขนส่งมหาศาล, สามารถนำและเข้าร่วมการชุมนุม, และป้องกันตำแหน่ง.
&lt;/th&gt;
&lt;es-419&gt;
- Nuevo Luchador: Llanera Solitaria - Sam, una intrépida cazarrecompensas con un agudo sentido de la justicia!
- Nuevo Luchador: Baterista Explosivo - Emma, la poderosa baterista cuyos ritmos serán tu mejor aliado!
- Nuevo Transportador: Ambición de Acero, con una inmensa capacidad de carga, capaz de liderar y unirse a congregaciones, y defender posiciones.
&lt;/es-419&gt;
&lt;ru-RU&gt;
- Новый герой: Одинокий рейнджер - Сэм, бесстрашный охотник за головами с острым чувством справедливости!
- Новый герой: Взрывной барабанщик - Эмма, мощный барабанщик, чьи ритмы станут вашим лучшим союзником!
- Новый носитель: Стальные амбиции, с огромной вместимостью, способный вести и присоединяться к митингам, а также защищать позиции.
&lt;/ru-RU&gt;
&lt;tr-TR&gt;
- Yeni Savaşçı: Yalnız Korucu - Sam, keskin bir adalet duygusuna sahip korkusuz bir ödül avcısı!
- Yeni Savaşçı: Patlayan Davulcu - Emma, ritimleri en iyi müttefikiniz olacak güçlü davulcu!
- Yeni Taşıyıcı: Çelik Hırs, muazzam taşıma kapasitesine sahip, mitinglere liderlik edebilen ve katılabilen, konumları savunabilen.
&lt;/tr-TR&gt;
&lt;vi&gt;
- Chiến Binh Mới: Kiểm Lâm Đơn Độc - Sam, một kẻ săn tiền thưởng không sợ hãi với cảm giác công lý sắc bén!
- Chiến Binh Mới: Tay Trống Nổ - Emma, tay trống mạnh mẽ mà nhịp điệu của cô ấy sẽ là đồng minh tốt nhất của bạn!
- Người Vận Chuyển Mới: Tham Vọng Thép, với sức chứa khổng lồ, có khả năng dẫn dắt và tham gia các cuộc tập hợp, và bảo vệ các vị trí.
&lt;/vi&gt;
&lt;it-IT&gt;
- Nuovo Combattente: Ranger solitaria - Sam, un impavido cacciatore di taglie con un acuto senso della giustizia!
- Nuovo Combattente: Batterista Esplosivo - Emma, la potente batterista i cui ritmi saranno il tuo miglior alleato!
- Nuovo trasportatore: Ambizione ferrea, con un'enorme capacità di carico, capace di guidare e partecipare ad adunate, e difendere posizioni.
&lt;/it-IT&gt;
&lt;pl-PL&gt;
- Nowy Wojownik: Dobry, zły i piękna - Sam, nieustraszony łowca nagród z wyostrzonym poczuciem sprawiedliwości!
- Nowy Wojownik: Perkusista Wybuchowy - Emma, potężna perkusistka, której rytmy będą twoim najlepszym sojusznikiem!
- Nowy przenośnik: Stalowa ambicja, z ogromną pojemnością, zdolny do prowadzenia i dołączania do rajdów oraz obrony pozycji.
&lt;/pl-PL&gt;
&lt;ar&gt;
- مقاتل جديد: لون الحارس - سام، صياد مكافآت شجاع ذو إحساس حاد بالعدالة!
- مقاتل جديد: عازف الطبول المتفجر - إيما، عازفة الطبول القوية التي ستكون أفضل حليف لك!
- ناقلة جديدة: طموح الصلب، بسعة حمل هائلة، قادرة على القيادة والانضمام إلى التجمعات، والدفاع عن المواقع.
&lt;/ar&gt;
&lt;ja-JP&gt;
- 新しいファイター: 荒野のガンマン - サム、鋭い正義感を持つ無畏の賞金稼ぎ！
- 新しいファイター: 爆発ドラマー - エマ、その強力なビートがあなたの最高の味方になる！
- 新しいキャリア: 高揚、巨大な運搬容量を持ち、ラリーを指揮し参加し、ポジションを防御する能力を持つ。
&lt;/ja-JP&gt;
&lt;ko-KR&gt;
- 새로운 전사: 황야의 레인저 - 샘, 날카로운 정의감을 가진 두려움을 모르는 현상금 사냥꾼!
- 새로운 전사: 블라스팅 드러머 - 엠마, 당신의 최고의 동맹이 될 강력한 드러머!
- 새로운 운반선: 세찬 기세, 엄청난 운반 용량을 가지고 있으며, 집결을 이끌고 참여하며, 위치를 방어할 수 있습니다.
&lt;/ko-KR&gt;
</v>
      </c>
      <c r="C76" s="44" t="str">
        <f>IFERROR(__xludf.DUMMYFUNCTION("""COMPUTED_VALUE"""),"-新增斗士：孤胆飞侠-萨姆，嫉恶如仇、英姿飒爽的赏金猎人！
-新增斗士：爆裂鼓手-艾玛，声震四方的女鼓手，你的最佳队友！
-新增战车：钢甲雄心号，超强的运载能力，可以发起和参与集结，也可以进行驻防。")</f>
        <v>-新增斗士：孤胆飞侠-萨姆，嫉恶如仇、英姿飒爽的赏金猎人！
-新增斗士：爆裂鼓手-艾玛，声震四方的女鼓手，你的最佳队友！
-新增战车：钢甲雄心号，超强的运载能力，可以发起和参与集结，也可以进行驻防。</v>
      </c>
      <c r="D76" s="159" t="str">
        <f>IFERROR(__xludf.DUMMYFUNCTION("""COMPUTED_VALUE"""),"- New Fighter: Lone Ranger - Sam, a fearless bounty hunter with a sharp sense of justice!
- New Fighter: Blasting Drummer - Emma, the powerful drummer whose beats will be your best ally!
- New Carrier: Steel Ambition, with immense carrying capacity, cap"&amp;"able of leading and joining rallies, and defending positions.")</f>
        <v>- New Fighter: Lone Ranger - Sam, a fearless bounty hunter with a sharp sense of justice!
- New Fighter: Blasting Drummer - Emma, the powerful drummer whose beats will be your best ally!
- New Carrier: Steel Ambition, with immense carrying capacity, capable of leading and joining rallies, and defending positions.</v>
      </c>
      <c r="E76" s="159" t="str">
        <f>IFERROR(__xludf.DUMMYFUNCTION("""COMPUTED_VALUE"""),"- Nouveau combattant : Cow-boy solitaire - Sam, un chasseur de primes intrépide avec un sens aigu de la justice !
- Nouveau combattant : Batteur Explosif - Emma, la batteuse puissante dont les rythmes seront votre meilleur allié !
- Nouveau transporteur :"&amp;" Ambition d'acier, avec une capacité de transport immense, capable de diriger et de rejoindre des rassemblements, et de défendre des positions.")</f>
        <v>- Nouveau combattant : Cow-boy solitaire - Sam, un chasseur de primes intrépide avec un sens aigu de la justice !
- Nouveau combattant : Batteur Explosif - Emma, la batteuse puissante dont les rythmes seront votre meilleur allié !
- Nouveau transporteur : Ambition d'acier, avec une capacité de transport immense, capable de diriger et de rejoindre des rassemblements, et de défendre des positions.</v>
      </c>
      <c r="F76" s="159" t="str">
        <f>IFERROR(__xludf.DUMMYFUNCTION("""COMPUTED_VALUE"""),"- Neuer Kämpfer: Einzelkämpfer - Sam, ein furchtloser Kopfgeldjäger mit einem ausgeprägten Sinn für Gerechtigkeit!
- Neuer Kämpfer: Explosiver Trommler - Emma, die mächtige Trommlerin, deren Beats dein bester Verbündeter sein werden!
- Neuer Träger: Stähl"&amp;"erner Ehrgeiz, mit enormer Tragekapazität, fähig, Rallyes zu führen und beizutreten, und Positionen zu verteidigen.")</f>
        <v>- Neuer Kämpfer: Einzelkämpfer - Sam, ein furchtloser Kopfgeldjäger mit einem ausgeprägten Sinn für Gerechtigkeit!
- Neuer Kämpfer: Explosiver Trommler - Emma, die mächtige Trommlerin, deren Beats dein bester Verbündeter sein werden!
- Neuer Träger: Stählerner Ehrgeiz, mit enormer Tragekapazität, fähig, Rallyes zu führen und beizutreten, und Positionen zu verteidigen.</v>
      </c>
      <c r="G76" s="159" t="str">
        <f>IFERROR(__xludf.DUMMYFUNCTION("""COMPUTED_VALUE"""),"- Novo combatente: Lobo Solitário - Sam, um caçador de recompensas destemido com um forte senso de justiça!
- Novo combatente: Baterista Explosivo - Emma, a poderosa baterista cujas batidas serão seu melhor aliado!
- Novo transportador: Ambição de Aço, co"&amp;"m imensa capacidade de carga, capaz de liderar e participar de incursões, e defender posições.")</f>
        <v>- Novo combatente: Lobo Solitário - Sam, um caçador de recompensas destemido com um forte senso de justiça!
- Novo combatente: Baterista Explosivo - Emma, a poderosa baterista cujas batidas serão seu melhor aliado!
- Novo transportador: Ambição de Aço, com imensa capacidade de carga, capaz de liderar e participar de incursões, e defender posições.</v>
      </c>
      <c r="H76" s="159" t="str">
        <f>IFERROR(__xludf.DUMMYFUNCTION("""COMPUTED_VALUE"""),"-新增鬥士：孤膽飛俠-薩姆，嫉惡如仇、英姿颯爽的賞金獵人！
-新增鬥士：爆裂鼓手-艾瑪，聲震四方的女鼓手，你的最佳隊友！
-新增戰車：聯賽詳情，超強的運載能力，可以發起和參與集結，也可以進行駐防。")</f>
        <v>-新增鬥士：孤膽飛俠-薩姆，嫉惡如仇、英姿颯爽的賞金獵人！
-新增鬥士：爆裂鼓手-艾瑪，聲震四方的女鼓手，你的最佳隊友！
-新增戰車：聯賽詳情，超強的運載能力，可以發起和參與集結，也可以進行駐防。</v>
      </c>
      <c r="I76" s="159" t="str">
        <f>IFERROR(__xludf.DUMMYFUNCTION("""COMPUTED_VALUE"""),"- Pejuang Baru: Penjaga Tunggal - Sam, seorang pemburu hadiah yang tak kenal takut dengan rasa keadilan yang tajam!
- Pejuang Baru: Drummer Peledak - Emma, drummer kuat yang iramanya akan menjadi sekutu terbaikmu!
- Pengangkut Baru: Ambisi Baja, dengan ka"&amp;"pasitas angkut yang besar, mampu memimpin dan bergabung dalam serangan, serta mempertahankan posisi.")</f>
        <v>- Pejuang Baru: Penjaga Tunggal - Sam, seorang pemburu hadiah yang tak kenal takut dengan rasa keadilan yang tajam!
- Pejuang Baru: Drummer Peledak - Emma, drummer kuat yang iramanya akan menjadi sekutu terbaikmu!
- Pengangkut Baru: Ambisi Baja, dengan kapasitas angkut yang besar, mampu memimpin dan bergabung dalam serangan, serta mempertahankan posisi.</v>
      </c>
      <c r="J76" s="159" t="str">
        <f>IFERROR(__xludf.DUMMYFUNCTION("""COMPUTED_VALUE"""),"- นักสู้ตัวใหม่: โลนเรนเจอร์ - แซม, นักล่าค่าหัวไร้ความกลัวที่มีความยุติธรรมอย่างเฉียบขาด!
- นักสู้ตัวใหม่: มือกลองระเบิด - เอ็มม่า, มือกลองทรงพลังที่จังหวะของเธอจะเป็นพันธมิตรที่ดีที่สุดของคุณ!
- ลิงขนส่งใหม่: ความทะเยอทะยานแห่งโลหะ, มีความจุในการขนส่งมห"&amp;"าศาล, สามารถนำและเข้าร่วมการชุมนุม, และป้องกันตำแหน่ง.")</f>
        <v>- นักสู้ตัวใหม่: โลนเรนเจอร์ - แซม, นักล่าค่าหัวไร้ความกลัวที่มีความยุติธรรมอย่างเฉียบขาด!
- นักสู้ตัวใหม่: มือกลองระเบิด - เอ็มม่า, มือกลองทรงพลังที่จังหวะของเธอจะเป็นพันธมิตรที่ดีที่สุดของคุณ!
- ลิงขนส่งใหม่: ความทะเยอทะยานแห่งโลหะ, มีความจุในการขนส่งมหาศาล, สามารถนำและเข้าร่วมการชุมนุม, และป้องกันตำแหน่ง.</v>
      </c>
      <c r="K76" s="159" t="str">
        <f>IFERROR(__xludf.DUMMYFUNCTION("""COMPUTED_VALUE"""),"- Nuevo Luchador: Llanera Solitaria - Sam, una intrépida cazarrecompensas con un agudo sentido de la justicia!
- Nuevo Luchador: Baterista Explosivo - Emma, la poderosa baterista cuyos ritmos serán tu mejor aliado!
- Nuevo Transportador: Ambición de Acero"&amp;", con una inmensa capacidad de carga, capaz de liderar y unirse a congregaciones, y defender posiciones.")</f>
        <v>- Nuevo Luchador: Llanera Solitaria - Sam, una intrépida cazarrecompensas con un agudo sentido de la justicia!
- Nuevo Luchador: Baterista Explosivo - Emma, la poderosa baterista cuyos ritmos serán tu mejor aliado!
- Nuevo Transportador: Ambición de Acero, con una inmensa capacidad de carga, capaz de liderar y unirse a congregaciones, y defender posiciones.</v>
      </c>
      <c r="L76" s="159" t="str">
        <f>IFERROR(__xludf.DUMMYFUNCTION("""COMPUTED_VALUE"""),"- Новый герой: Одинокий рейнджер - Сэм, бесстрашный охотник за головами с острым чувством справедливости!
- Новый герой: Взрывной барабанщик - Эмма, мощный барабанщик, чьи ритмы станут вашим лучшим союзником!
- Новый носитель: Стальные амбиции, с огромной"&amp;" вместимостью, способный вести и присоединяться к митингам, а также защищать позиции.")</f>
        <v>- Новый герой: Одинокий рейнджер - Сэм, бесстрашный охотник за головами с острым чувством справедливости!
- Новый герой: Взрывной барабанщик - Эмма, мощный барабанщик, чьи ритмы станут вашим лучшим союзником!
- Новый носитель: Стальные амбиции, с огромной вместимостью, способный вести и присоединяться к митингам, а также защищать позиции.</v>
      </c>
      <c r="M76" s="159" t="str">
        <f>IFERROR(__xludf.DUMMYFUNCTION("""COMPUTED_VALUE"""),"- Yeni Savaşçı: Yalnız Korucu - Sam, keskin bir adalet duygusuna sahip korkusuz bir ödül avcısı!
- Yeni Savaşçı: Patlayan Davulcu - Emma, ritimleri en iyi müttefikiniz olacak güçlü davulcu!
- Yeni Taşıyıcı: Çelik Hırs, muazzam taşıma kapasitesine sahip, m"&amp;"itinglere liderlik edebilen ve katılabilen, konumları savunabilen.")</f>
        <v>- Yeni Savaşçı: Yalnız Korucu - Sam, keskin bir adalet duygusuna sahip korkusuz bir ödül avcısı!
- Yeni Savaşçı: Patlayan Davulcu - Emma, ritimleri en iyi müttefikiniz olacak güçlü davulcu!
- Yeni Taşıyıcı: Çelik Hırs, muazzam taşıma kapasitesine sahip, mitinglere liderlik edebilen ve katılabilen, konumları savunabilen.</v>
      </c>
      <c r="N76" s="45" t="str">
        <f>IFERROR(__xludf.DUMMYFUNCTION("""COMPUTED_VALUE"""),"- Chiến Binh Mới: Kiểm Lâm Đơn Độc - Sam, một kẻ săn tiền thưởng không sợ hãi với cảm giác công lý sắc bén!
- Chiến Binh Mới: Tay Trống Nổ - Emma, tay trống mạnh mẽ mà nhịp điệu của cô ấy sẽ là đồng minh tốt nhất của bạn!
- Người Vận Chuyển Mới: Tham Vọng"&amp;" Thép, với sức chứa khổng lồ, có khả năng dẫn dắt và tham gia các cuộc tập hợp, và bảo vệ các vị trí.")</f>
        <v>- Chiến Binh Mới: Kiểm Lâm Đơn Độc - Sam, một kẻ săn tiền thưởng không sợ hãi với cảm giác công lý sắc bén!
- Chiến Binh Mới: Tay Trống Nổ - Emma, tay trống mạnh mẽ mà nhịp điệu của cô ấy sẽ là đồng minh tốt nhất của bạn!
- Người Vận Chuyển Mới: Tham Vọng Thép, với sức chứa khổng lồ, có khả năng dẫn dắt và tham gia các cuộc tập hợp, và bảo vệ các vị trí.</v>
      </c>
      <c r="O76" s="45" t="str">
        <f>IFERROR(__xludf.DUMMYFUNCTION("""COMPUTED_VALUE"""),"- Nuovo Combattente: Ranger solitaria - Sam, un impavido cacciatore di taglie con un acuto senso della giustizia!
- Nuovo Combattente: Batterista Esplosivo - Emma, la potente batterista i cui ritmi saranno il tuo miglior alleato!
- Nuovo trasportatore: Am"&amp;"bizione ferrea, con un'enorme capacità di carico, capace di guidare e partecipare ad adunate, e difendere posizioni.")</f>
        <v>- Nuovo Combattente: Ranger solitaria - Sam, un impavido cacciatore di taglie con un acuto senso della giustizia!
- Nuovo Combattente: Batterista Esplosivo - Emma, la potente batterista i cui ritmi saranno il tuo miglior alleato!
- Nuovo trasportatore: Ambizione ferrea, con un'enorme capacità di carico, capace di guidare e partecipare ad adunate, e difendere posizioni.</v>
      </c>
      <c r="P76" s="34" t="str">
        <f>IFERROR(__xludf.DUMMYFUNCTION("""COMPUTED_VALUE"""),"- Nowy Wojownik: Dobry, zły i piękna - Sam, nieustraszony łowca nagród z wyostrzonym poczuciem sprawiedliwości!
- Nowy Wojownik: Perkusista Wybuchowy - Emma, potężna perkusistka, której rytmy będą twoim najlepszym sojusznikiem!
- Nowy przenośnik: Stalowa "&amp;"ambicja, z ogromną pojemnością, zdolny do prowadzenia i dołączania do rajdów oraz obrony pozycji.")</f>
        <v>- Nowy Wojownik: Dobry, zły i piękna - Sam, nieustraszony łowca nagród z wyostrzonym poczuciem sprawiedliwości!
- Nowy Wojownik: Perkusista Wybuchowy - Emma, potężna perkusistka, której rytmy będą twoim najlepszym sojusznikiem!
- Nowy przenośnik: Stalowa ambicja, z ogromną pojemnością, zdolny do prowadzenia i dołączania do rajdów oraz obrony pozycji.</v>
      </c>
      <c r="Q76" s="34" t="str">
        <f>IFERROR(__xludf.DUMMYFUNCTION("""COMPUTED_VALUE"""),"- مقاتل جديد: لون الحارس - سام، صياد مكافآت شجاع ذو إحساس حاد بالعدالة!
- مقاتل جديد: عازف الطبول المتفجر - إيما، عازفة الطبول القوية التي ستكون أفضل حليف لك!
- ناقلة جديدة: طموح الصلب، بسعة حمل هائلة، قادرة على القيادة والانضمام إلى التجمعات، والدفاع عن "&amp;"المواقع.")</f>
        <v>- مقاتل جديد: لون الحارس - سام، صياد مكافآت شجاع ذو إحساس حاد بالعدالة!
- مقاتل جديد: عازف الطبول المتفجر - إيما، عازفة الطبول القوية التي ستكون أفضل حليف لك!
- ناقلة جديدة: طموح الصلب، بسعة حمل هائلة، قادرة على القيادة والانضمام إلى التجمعات، والدفاع عن المواقع.</v>
      </c>
      <c r="R76" s="34" t="str">
        <f>IFERROR(__xludf.DUMMYFUNCTION("""COMPUTED_VALUE"""),"- 新しいファイター: 荒野のガンマン - サム、鋭い正義感を持つ無畏の賞金稼ぎ！
- 新しいファイター: 爆発ドラマー - エマ、その強力なビートがあなたの最高の味方になる！
- 新しいキャリア: 高揚、巨大な運搬容量を持ち、ラリーを指揮し参加し、ポジションを防御する能力を持つ。")</f>
        <v>- 新しいファイター: 荒野のガンマン - サム、鋭い正義感を持つ無畏の賞金稼ぎ！
- 新しいファイター: 爆発ドラマー - エマ、その強力なビートがあなたの最高の味方になる！
- 新しいキャリア: 高揚、巨大な運搬容量を持ち、ラリーを指揮し参加し、ポジションを防御する能力を持つ。</v>
      </c>
      <c r="S76" s="34" t="str">
        <f>IFERROR(__xludf.DUMMYFUNCTION("""COMPUTED_VALUE"""),"- 새로운 전사: 황야의 레인저 - 샘, 날카로운 정의감을 가진 두려움을 모르는 현상금 사냥꾼!
- 새로운 전사: 블라스팅 드러머 - 엠마, 당신의 최고의 동맹이 될 강력한 드러머!
- 새로운 운반선: 세찬 기세, 엄청난 운반 용량을 가지고 있으며, 집결을 이끌고 참여하며, 위치를 방어할 수 있습니다.")</f>
        <v>- 새로운 전사: 황야의 레인저 - 샘, 날카로운 정의감을 가진 두려움을 모르는 현상금 사냥꾼!
- 새로운 전사: 블라스팅 드러머 - 엠마, 당신의 최고의 동맹이 될 강력한 드러머!
- 새로운 운반선: 세찬 기세, 엄청난 운반 용량을 가지고 있으며, 집결을 이끌고 참여하며, 위치를 방어할 수 있습니다.</v>
      </c>
      <c r="T76" s="108" t="str">
        <f>IFERROR(__xludf.DUMMYFUNCTION("""COMPUTED_VALUE"""),"-新增斗士：孤胆飞侠-萨姆，嫉恶如仇、英姿飒爽的赏金猎人！
-新增斗士：爆裂鼓手-艾玛，声震四方的女鼓手，你的最佳队友！
-新增战车：钢甲雄心号，超强的运载能力，可以发起和参与集结，也可以进行驻防。")</f>
        <v>-新增斗士：孤胆飞侠-萨姆，嫉恶如仇、英姿飒爽的赏金猎人！
-新增斗士：爆裂鼓手-艾玛，声震四方的女鼓手，你的最佳队友！
-新增战车：钢甲雄心号，超强的运载能力，可以发起和参与集结，也可以进行驻防。</v>
      </c>
      <c r="U76" s="108"/>
      <c r="V76" s="108"/>
      <c r="W76" s="108"/>
      <c r="X76" s="108"/>
      <c r="Y76" s="108"/>
      <c r="Z76" s="108"/>
    </row>
    <row r="77">
      <c r="A77" s="149" t="str">
        <f>IFERROR(__xludf.DUMMYFUNCTION("""COMPUTED_VALUE"""),"0.68.0")</f>
        <v>0.68.0</v>
      </c>
      <c r="B77" s="174" t="str">
        <f>IFERROR(__xludf.DUMMYFUNCTION("""COMPUTED_VALUE"""),"&lt;en-US&gt;
- New Fighter Added: The Iron Monk - Master Hong, The stoic monk of the wild, whose presence alone commands respect!
- New Moon Landing Festival Events:
- New Buildings: The First Aid Station, where soldiers not yet healed in the Cryo Chamber an"&amp;"d Medical Pod will be moved, helping commanders reduce battle losses.
&lt;/en-US&gt;
&lt;fr-FR&gt;
- Nouveau combattant ajouté : Le Moine de Fer - Maître Hong, le moine stoïque des terres sauvages, dont la seule présence impose le respect !
- Nouveaux évènements du "&amp;"Festival de l'Atterrissage sur la Lune :
- Nouveaux bâtiments : La Station de Premiers Secours, où les soldats non encore soignés dans la Chambre Cryogénique et la Capsule Médicale seront déplacés, aidant les commandants à réduire les pertes de bataille.
"&amp;"&lt;/fr-FR&gt;
&lt;de-DE&gt;
- Neuer Kämpfer hinzugefügt: Der Eiserne Mönch - Meister Hong, Der stoische Mönch der Wildnis, dessen bloße Anwesenheit Respekt einflößt!
- Neue Mondlandungsfest-Events:
- Neue Gebäude: Die Erste-Hilfe-Station, wo Soldaten, die noch nicht"&amp;" in der Kryokammer und Heilkapsel geheilt wurden, verlegt werden, um Kommandanten zu helfen, Kampfverluste zu reduzieren.
&lt;/de-DE&gt;
&lt;pt-BR&gt;
- Novo combatente adicionado: O Monge de Ferro - Mestre Hong, o monge estoico das terras selvagens, cuja presença po"&amp;"r si só comanda respeito!
- Novos eventos do Festival de Pouso na Lua:
- Novas estruturas: O Posto de Primeiros Socorros, onde soldados ainda não curados na Câmara Criogênica e no Módulo Médico serão movidos, ajudando os comandantes a reduzir as perdas na"&amp;" batalha.
&lt;/pt-BR&gt;
&lt;zh-HK&gt;
-新增鬥士：鐵血武僧-洪大師，荒野中的修行者，不怒自威的武學大師！
-新增登月節系列活動
-新增建築：生命監護站，急救冷凍倉和空投救護站中未治癒的士兵將移入此建築，協助指揮官們降低戰鬥的損失
&lt;/zh-HK&gt;
&lt;zh-TW&gt;
-新增鬥士：鐵血武僧-洪大師，荒野中的修行者，不怒自威的武學大師！
-新增登月節系列活動
-新增建築：生命監護站，急救冷凍倉和空投救護站中未治癒的士兵將移入此建築，協助指揮官們降低戰鬥的損失
&lt;/zh-TW&gt;
&lt;id&gt;
- Pej"&amp;"uang Baru Ditambahkan: Biksu Besi - Ketua Hong, Biksu stoik dari alam liar, yang kehadirannya saja memerintahkan rasa hormat!
- Event Festival Pendaratan Bulan Baru:
- Bangunan Baru: Stasiun Pertolongan Pertama, tempat prajurit yang belum dipulihkan di Ka"&amp;"mar Krio dan Pod Medis akan dipindahkan, membantu komandan mengurangi jumlah yang dihancurkan dalam pertempuran.
&lt;/id&gt;
&lt;th&gt;
- นักสู้ตัวใหม่เพิ่มแล้ว: พระเหล็ก - มาสเตอร์ฮง, พระสงฆ์ผู้เคร่งขรึมแห่งแดนเถื่อน ผู้ที่เพียงแค่ปรากฏตัวก็ได้รับความเคารพ!
- กิจกรร"&amp;"มเทศกาลลงจันทร์ใหม่:
- สิ่งก่อสร้างใหม่: สถานีปฐมพยาบาล, ที่ซึ่งทหารที่ยังไม่ได้รับการรักษาในห้องแช่แข็งและห้องการแพทย์จะถูกย้ายไป, ช่วยผู้บัญชาการลดการสูญเสียในการต่อสู้.
&lt;/th&gt;
&lt;es-419&gt;
- Nuevo Luchador Agregado: El Monje de Hierro - Maestro Hong, ¡El mo"&amp;"nje estoico de la naturaleza, cuya sola presencia impone respeto!
- Nuevos Eventos del Festival de Aterrizaje Lunar:
- Nuevos Edificios: La Estación de Primeros Auxilios, donde los soldados que aún no han sido curados en la Cámara Criogénica y la Cápsula "&amp;"Médica serán trasladados, ayudando a los comandantes a reducir las pérdidas de batalla.
&lt;/es-419&gt;
&lt;ru-RU&gt;
- Добавлен новый герой: Железный монах - Мастер Хонг, стойкий монах диких земель, чье одно лишь присутствие внушает уважение!
- Новые события фестива"&amp;"ля высадки на Луну:
- Новые постройки: Пункт первой помощи, куда будут перемещены солдаты, еще не вылеченные в криокамере и медкапсуле, помогая командирам уменьшить потери в битве.
&lt;/ru-RU&gt;
&lt;tr-TR&gt;
- Yeni Savaşçı Eklendi: Demir Keşiş - Usta Hong, Vahşi do"&amp;"ğanın stoik keşişi, varlığıyla bile saygı uyandıran!
- Yeni Ay İniş Festivali Etkinlikleri:
- Yeni Binalar: Kriyo Odası ve Tedavi Kapsülünde henüz iyileşmemiş askerlerin taşınacağı İlk Yardım İstasyonu, komutanların savaş kayıplarını azaltmasına yardımcı "&amp;"olur.
&lt;/tr-TR&gt;
&lt;vi&gt;
- Chiến Binh Mới Được Thêm: Nhà Sư Sắt - Chủ Tướng Hong, Nhà sư điềm tĩnh của vùng hoang dã, chỉ cần sự hiện diện của ông cũng đủ để khiến người khác kính nể!
- Sự Kiện Mới Của Lễ Hội Hạ Cánh Trăng Mới:
- Công Trình Mới: Trạm Sơ Cứu, n"&amp;"ơi các binh sĩ chưa được trị thương trong Buồng Cryo và Pod Y Tế sẽ được di chuyển, giúp các chỉ huy giảm số lượng tử trận.
&lt;/vi&gt;
&lt;it-IT&gt;
- Nuovo Combattente Aggiunto: Il Monaco di Ferro - Maestro Hong, Il monaco stoico delle Terre selvagge, la cui sola p"&amp;"resenza comanda rispetto!
- Nuovi Eventi del Festival dell'Atterraggio Lunare:
- Nuovi Edifici: La Stazione di Pronto Soccorso, dove i soldati non ancora guariti nella Camera Criogenica e nella Capsula medica saranno spostati, aiutando i comandanti a ridu"&amp;"rre le perdite di battaglia.
&lt;/it-IT&gt;
&lt;pl-PL&gt;
- Nowy Wojownik Dodany: Żelazny Mnich - Mistrz Hong, Stoicki mnich dzikich krain, którego sama obecność budzi szacunek!
- Nowe Wydarzenia Festiwalu Lądowania na Księżycu:
- Nowe Budynki: Stacja Pierwszej Pomoc"&amp;"y, gdzie żołnierze, którzy nie zostali jeszcze wyleczeni w Komorze Krio i Kapsule medycznej, zostaną przeniesieni, pomagając dowódcom zmniejszyć straty w bitwie.
&lt;/pl-PL&gt;
&lt;ar&gt;
- تمت إضافة مقاتل جديد: الراهب الحديدي - سيد هونغ، الراهب الصامد في البرية، حضو"&amp;"ره وحده يفرض الاحترام!
- أحداث جديدة لمهرجان الهبوط على القمر:
- مباني جديدة: محطة الإسعافات الأولية، حيث سيتم نقل الجنود الذين لم يتم علاجهم بعد في غرفة التجميد ومحطة الإسعافات، مما يساعد القادة على تقليل خسائر المعركة.
&lt;/ar&gt;
&lt;ja-JP&gt;
- 新しいファイター追加: 鉄の僧侶 -"&amp;" マスター・ホン、荒野の厳格な僧侶、その存在だけで尊敬を集める！
- 新しい月面着陸祭イベント:
- 新しい建築物: 応急処置所、冷凍チャンバーや医療ポッドでまだ治癒されていない兵士が移動され、指揮官が戦闘損失を減らすのを助けます。
&lt;/ja-JP&gt;
&lt;ko-KR&gt;
- 새로운 전사 추가: 철의 수도승 - 마스터 홍, 황야의 냉철한 수도승, 그의 존재만으로도 존경을 불러일으킵니다!
- 새로운 달 착륙 축제 이벤트:
- 새로운 건물: 응급 처치소, 크라이오 챔버와 에어드랍 구호소에서"&amp;" 아직 치유되지 않은 병사들이 이동하여 지휘관이 전투 손실을 줄이는 데 도움을 줍니다.
&lt;/ko-KR&gt;
")</f>
        <v>&lt;en-US&gt;
- New Fighter Added: The Iron Monk - Master Hong, The stoic monk of the wild, whose presence alone commands respect!
- New Moon Landing Festival Events:
- New Buildings: The First Aid Station, where soldiers not yet healed in the Cryo Chamber and Medical Pod will be moved, helping commanders reduce battle losses.
&lt;/en-US&gt;
&lt;fr-FR&gt;
- Nouveau combattant ajouté : Le Moine de Fer - Maître Hong, le moine stoïque des terres sauvages, dont la seule présence impose le respect !
- Nouveaux évènements du Festival de l'Atterrissage sur la Lune :
- Nouveaux bâtiments : La Station de Premiers Secours, où les soldats non encore soignés dans la Chambre Cryogénique et la Capsule Médicale seront déplacés, aidant les commandants à réduire les pertes de bataille.
&lt;/fr-FR&gt;
&lt;de-DE&gt;
- Neuer Kämpfer hinzugefügt: Der Eiserne Mönch - Meister Hong, Der stoische Mönch der Wildnis, dessen bloße Anwesenheit Respekt einflößt!
- Neue Mondlandungsfest-Events:
- Neue Gebäude: Die Erste-Hilfe-Station, wo Soldaten, die noch nicht in der Kryokammer und Heilkapsel geheilt wurden, verlegt werden, um Kommandanten zu helfen, Kampfverluste zu reduzieren.
&lt;/de-DE&gt;
&lt;pt-BR&gt;
- Novo combatente adicionado: O Monge de Ferro - Mestre Hong, o monge estoico das terras selvagens, cuja presença por si só comanda respeito!
- Novos eventos do Festival de Pouso na Lua:
- Novas estruturas: O Posto de Primeiros Socorros, onde soldados ainda não curados na Câmara Criogênica e no Módulo Médico serão movidos, ajudando os comandantes a reduzir as perdas na batalha.
&lt;/pt-BR&gt;
&lt;zh-HK&gt;
-新增鬥士：鐵血武僧-洪大師，荒野中的修行者，不怒自威的武學大師！
-新增登月節系列活動
-新增建築：生命監護站，急救冷凍倉和空投救護站中未治癒的士兵將移入此建築，協助指揮官們降低戰鬥的損失
&lt;/zh-HK&gt;
&lt;zh-TW&gt;
-新增鬥士：鐵血武僧-洪大師，荒野中的修行者，不怒自威的武學大師！
-新增登月節系列活動
-新增建築：生命監護站，急救冷凍倉和空投救護站中未治癒的士兵將移入此建築，協助指揮官們降低戰鬥的損失
&lt;/zh-TW&gt;
&lt;id&gt;
- Pejuang Baru Ditambahkan: Biksu Besi - Ketua Hong, Biksu stoik dari alam liar, yang kehadirannya saja memerintahkan rasa hormat!
- Event Festival Pendaratan Bulan Baru:
- Bangunan Baru: Stasiun Pertolongan Pertama, tempat prajurit yang belum dipulihkan di Kamar Krio dan Pod Medis akan dipindahkan, membantu komandan mengurangi jumlah yang dihancurkan dalam pertempuran.
&lt;/id&gt;
&lt;th&gt;
- นักสู้ตัวใหม่เพิ่มแล้ว: พระเหล็ก - มาสเตอร์ฮง, พระสงฆ์ผู้เคร่งขรึมแห่งแดนเถื่อน ผู้ที่เพียงแค่ปรากฏตัวก็ได้รับความเคารพ!
- กิจกรรมเทศกาลลงจันทร์ใหม่:
- สิ่งก่อสร้างใหม่: สถานีปฐมพยาบาล, ที่ซึ่งทหารที่ยังไม่ได้รับการรักษาในห้องแช่แข็งและห้องการแพทย์จะถูกย้ายไป, ช่วยผู้บัญชาการลดการสูญเสียในการต่อสู้.
&lt;/th&gt;
&lt;es-419&gt;
- Nuevo Luchador Agregado: El Monje de Hierro - Maestro Hong, ¡El monje estoico de la naturaleza, cuya sola presencia impone respeto!
- Nuevos Eventos del Festival de Aterrizaje Lunar:
- Nuevos Edificios: La Estación de Primeros Auxilios, donde los soldados que aún no han sido curados en la Cámara Criogénica y la Cápsula Médica serán trasladados, ayudando a los comandantes a reducir las pérdidas de batalla.
&lt;/es-419&gt;
&lt;ru-RU&gt;
- Добавлен новый герой: Железный монах - Мастер Хонг, стойкий монах диких земель, чье одно лишь присутствие внушает уважение!
- Новые события фестиваля высадки на Луну:
- Новые постройки: Пункт первой помощи, куда будут перемещены солдаты, еще не вылеченные в криокамере и медкапсуле, помогая командирам уменьшить потери в битве.
&lt;/ru-RU&gt;
&lt;tr-TR&gt;
- Yeni Savaşçı Eklendi: Demir Keşiş - Usta Hong, Vahşi doğanın stoik keşişi, varlığıyla bile saygı uyandıran!
- Yeni Ay İniş Festivali Etkinlikleri:
- Yeni Binalar: Kriyo Odası ve Tedavi Kapsülünde henüz iyileşmemiş askerlerin taşınacağı İlk Yardım İstasyonu, komutanların savaş kayıplarını azaltmasına yardımcı olur.
&lt;/tr-TR&gt;
&lt;vi&gt;
- Chiến Binh Mới Được Thêm: Nhà Sư Sắt - Chủ Tướng Hong, Nhà sư điềm tĩnh của vùng hoang dã, chỉ cần sự hiện diện của ông cũng đủ để khiến người khác kính nể!
- Sự Kiện Mới Của Lễ Hội Hạ Cánh Trăng Mới:
- Công Trình Mới: Trạm Sơ Cứu, nơi các binh sĩ chưa được trị thương trong Buồng Cryo và Pod Y Tế sẽ được di chuyển, giúp các chỉ huy giảm số lượng tử trận.
&lt;/vi&gt;
&lt;it-IT&gt;
- Nuovo Combattente Aggiunto: Il Monaco di Ferro - Maestro Hong, Il monaco stoico delle Terre selvagge, la cui sola presenza comanda rispetto!
- Nuovi Eventi del Festival dell'Atterraggio Lunare:
- Nuovi Edifici: La Stazione di Pronto Soccorso, dove i soldati non ancora guariti nella Camera Criogenica e nella Capsula medica saranno spostati, aiutando i comandanti a ridurre le perdite di battaglia.
&lt;/it-IT&gt;
&lt;pl-PL&gt;
- Nowy Wojownik Dodany: Żelazny Mnich - Mistrz Hong, Stoicki mnich dzikich krain, którego sama obecność budzi szacunek!
- Nowe Wydarzenia Festiwalu Lądowania na Księżycu:
- Nowe Budynki: Stacja Pierwszej Pomocy, gdzie żołnierze, którzy nie zostali jeszcze wyleczeni w Komorze Krio i Kapsule medycznej, zostaną przeniesieni, pomagając dowódcom zmniejszyć straty w bitwie.
&lt;/pl-PL&gt;
&lt;ar&gt;
- تمت إضافة مقاتل جديد: الراهب الحديدي - سيد هونغ، الراهب الصامد في البرية، حضوره وحده يفرض الاحترام!
- أحداث جديدة لمهرجان الهبوط على القمر:
- مباني جديدة: محطة الإسعافات الأولية، حيث سيتم نقل الجنود الذين لم يتم علاجهم بعد في غرفة التجميد ومحطة الإسعافات، مما يساعد القادة على تقليل خسائر المعركة.
&lt;/ar&gt;
&lt;ja-JP&gt;
- 新しいファイター追加: 鉄の僧侶 - マスター・ホン、荒野の厳格な僧侶、その存在だけで尊敬を集める！
- 新しい月面着陸祭イベント:
- 新しい建築物: 応急処置所、冷凍チャンバーや医療ポッドでまだ治癒されていない兵士が移動され、指揮官が戦闘損失を減らすのを助けます。
&lt;/ja-JP&gt;
&lt;ko-KR&gt;
- 새로운 전사 추가: 철의 수도승 - 마스터 홍, 황야의 냉철한 수도승, 그의 존재만으로도 존경을 불러일으킵니다!
- 새로운 달 착륙 축제 이벤트:
- 새로운 건물: 응급 처치소, 크라이오 챔버와 에어드랍 구호소에서 아직 치유되지 않은 병사들이 이동하여 지휘관이 전투 손실을 줄이는 데 도움을 줍니다.
&lt;/ko-KR&gt;
</v>
      </c>
      <c r="C77" s="44" t="str">
        <f>IFERROR(__xludf.DUMMYFUNCTION("""COMPUTED_VALUE"""),"-新增斗士：铁血武僧-洪大师，荒野中的修行者，不怒自威的武学大师！
-新增登月节系列活动
-新增建筑：生命监护站，急救冷冻仓和空投救护站中未治愈的士兵将移入此建筑，帮助指挥官们降低战斗的损失")</f>
        <v>-新增斗士：铁血武僧-洪大师，荒野中的修行者，不怒自威的武学大师！
-新增登月节系列活动
-新增建筑：生命监护站，急救冷冻仓和空投救护站中未治愈的士兵将移入此建筑，帮助指挥官们降低战斗的损失</v>
      </c>
      <c r="D77" s="63" t="str">
        <f>IFERROR(__xludf.DUMMYFUNCTION("""COMPUTED_VALUE"""),"- New Fighter Added: The Iron Monk - Master Hong, The stoic monk of the wild, whose presence alone commands respect!
- New Moon Landing Festival Events:
- New Buildings: The First Aid Station, where soldiers not yet healed in the Cryo Chamber and Medica"&amp;"l Pod will be moved, helping commanders reduce battle losses.
")</f>
        <v>- New Fighter Added: The Iron Monk - Master Hong, The stoic monk of the wild, whose presence alone commands respect!
- New Moon Landing Festival Events:
- New Buildings: The First Aid Station, where soldiers not yet healed in the Cryo Chamber and Medical Pod will be moved, helping commanders reduce battle losses.
</v>
      </c>
      <c r="E77" s="159" t="str">
        <f>IFERROR(__xludf.DUMMYFUNCTION("""COMPUTED_VALUE"""),"- Nouveau combattant ajouté : Le Moine de Fer - Maître Hong, le moine stoïque des terres sauvages, dont la seule présence impose le respect !
- Nouveaux évènements du Festival de l'Atterrissage sur la Lune :
- Nouveaux bâtiments : La Station de Premiers S"&amp;"ecours, où les soldats non encore soignés dans la Chambre Cryogénique et la Capsule Médicale seront déplacés, aidant les commandants à réduire les pertes de bataille.")</f>
        <v>- Nouveau combattant ajouté : Le Moine de Fer - Maître Hong, le moine stoïque des terres sauvages, dont la seule présence impose le respect !
- Nouveaux évènements du Festival de l'Atterrissage sur la Lune :
- Nouveaux bâtiments : La Station de Premiers Secours, où les soldats non encore soignés dans la Chambre Cryogénique et la Capsule Médicale seront déplacés, aidant les commandants à réduire les pertes de bataille.</v>
      </c>
      <c r="F77" s="159" t="str">
        <f>IFERROR(__xludf.DUMMYFUNCTION("""COMPUTED_VALUE"""),"- Neuer Kämpfer hinzugefügt: Der Eiserne Mönch - Meister Hong, Der stoische Mönch der Wildnis, dessen bloße Anwesenheit Respekt einflößt!
- Neue Mondlandungsfest-Events:
- Neue Gebäude: Die Erste-Hilfe-Station, wo Soldaten, die noch nicht in der Kryokamme"&amp;"r und Heilkapsel geheilt wurden, verlegt werden, um Kommandanten zu helfen, Kampfverluste zu reduzieren.")</f>
        <v>- Neuer Kämpfer hinzugefügt: Der Eiserne Mönch - Meister Hong, Der stoische Mönch der Wildnis, dessen bloße Anwesenheit Respekt einflößt!
- Neue Mondlandungsfest-Events:
- Neue Gebäude: Die Erste-Hilfe-Station, wo Soldaten, die noch nicht in der Kryokammer und Heilkapsel geheilt wurden, verlegt werden, um Kommandanten zu helfen, Kampfverluste zu reduzieren.</v>
      </c>
      <c r="G77" s="159" t="str">
        <f>IFERROR(__xludf.DUMMYFUNCTION("""COMPUTED_VALUE"""),"- Novo combatente adicionado: O Monge de Ferro - Mestre Hong, o monge estoico das terras selvagens, cuja presença por si só comanda respeito!
- Novos eventos do Festival de Pouso na Lua:
- Novas estruturas: O Posto de Primeiros Socorros, onde soldados ain"&amp;"da não curados na Câmara Criogênica e no Módulo Médico serão movidos, ajudando os comandantes a reduzir as perdas na batalha.")</f>
        <v>- Novo combatente adicionado: O Monge de Ferro - Mestre Hong, o monge estoico das terras selvagens, cuja presença por si só comanda respeito!
- Novos eventos do Festival de Pouso na Lua:
- Novas estruturas: O Posto de Primeiros Socorros, onde soldados ainda não curados na Câmara Criogênica e no Módulo Médico serão movidos, ajudando os comandantes a reduzir as perdas na batalha.</v>
      </c>
      <c r="H77" s="159" t="str">
        <f>IFERROR(__xludf.DUMMYFUNCTION("""COMPUTED_VALUE"""),"-新增鬥士：鐵血武僧-洪大師，荒野中的修行者，不怒自威的武學大師！
-新增登月節系列活動
-新增建築：生命監護站，急救冷凍倉和空投救護站中未治癒的士兵將移入此建築，協助指揮官們降低戰鬥的損失")</f>
        <v>-新增鬥士：鐵血武僧-洪大師，荒野中的修行者，不怒自威的武學大師！
-新增登月節系列活動
-新增建築：生命監護站，急救冷凍倉和空投救護站中未治癒的士兵將移入此建築，協助指揮官們降低戰鬥的損失</v>
      </c>
      <c r="I77" s="159" t="str">
        <f>IFERROR(__xludf.DUMMYFUNCTION("""COMPUTED_VALUE"""),"- Pejuang Baru Ditambahkan: Biksu Besi - Ketua Hong, Biksu stoik dari alam liar, yang kehadirannya saja memerintahkan rasa hormat!
- Event Festival Pendaratan Bulan Baru:
- Bangunan Baru: Stasiun Pertolongan Pertama, tempat prajurit yang belum dipulihkan "&amp;"di Kamar Krio dan Pod Medis akan dipindahkan, membantu komandan mengurangi jumlah yang dihancurkan dalam pertempuran.")</f>
        <v>- Pejuang Baru Ditambahkan: Biksu Besi - Ketua Hong, Biksu stoik dari alam liar, yang kehadirannya saja memerintahkan rasa hormat!
- Event Festival Pendaratan Bulan Baru:
- Bangunan Baru: Stasiun Pertolongan Pertama, tempat prajurit yang belum dipulihkan di Kamar Krio dan Pod Medis akan dipindahkan, membantu komandan mengurangi jumlah yang dihancurkan dalam pertempuran.</v>
      </c>
      <c r="J77" s="159" t="str">
        <f>IFERROR(__xludf.DUMMYFUNCTION("""COMPUTED_VALUE"""),"- นักสู้ตัวใหม่เพิ่มแล้ว: พระเหล็ก - มาสเตอร์ฮง, พระสงฆ์ผู้เคร่งขรึมแห่งแดนเถื่อน ผู้ที่เพียงแค่ปรากฏตัวก็ได้รับความเคารพ!
- กิจกรรมเทศกาลลงจันทร์ใหม่:
- สิ่งก่อสร้างใหม่: สถานีปฐมพยาบาล, ที่ซึ่งทหารที่ยังไม่ได้รับการรักษาในห้องแช่แข็งและห้องการแพทย์จะถูก"&amp;"ย้ายไป, ช่วยผู้บัญชาการลดการสูญเสียในการต่อสู้.")</f>
        <v>- นักสู้ตัวใหม่เพิ่มแล้ว: พระเหล็ก - มาสเตอร์ฮง, พระสงฆ์ผู้เคร่งขรึมแห่งแดนเถื่อน ผู้ที่เพียงแค่ปรากฏตัวก็ได้รับความเคารพ!
- กิจกรรมเทศกาลลงจันทร์ใหม่:
- สิ่งก่อสร้างใหม่: สถานีปฐมพยาบาล, ที่ซึ่งทหารที่ยังไม่ได้รับการรักษาในห้องแช่แข็งและห้องการแพทย์จะถูกย้ายไป, ช่วยผู้บัญชาการลดการสูญเสียในการต่อสู้.</v>
      </c>
      <c r="K77" s="159" t="str">
        <f>IFERROR(__xludf.DUMMYFUNCTION("""COMPUTED_VALUE"""),"- Nuevo Luchador Agregado: El Monje de Hierro - Maestro Hong, ¡El monje estoico de la naturaleza, cuya sola presencia impone respeto!
- Nuevos Eventos del Festival de Aterrizaje Lunar:
- Nuevos Edificios: La Estación de Primeros Auxilios, donde los soldad"&amp;"os que aún no han sido curados en la Cámara Criogénica y la Cápsula Médica serán trasladados, ayudando a los comandantes a reducir las pérdidas de batalla.")</f>
        <v>- Nuevo Luchador Agregado: El Monje de Hierro - Maestro Hong, ¡El monje estoico de la naturaleza, cuya sola presencia impone respeto!
- Nuevos Eventos del Festival de Aterrizaje Lunar:
- Nuevos Edificios: La Estación de Primeros Auxilios, donde los soldados que aún no han sido curados en la Cámara Criogénica y la Cápsula Médica serán trasladados, ayudando a los comandantes a reducir las pérdidas de batalla.</v>
      </c>
      <c r="L77" s="159" t="str">
        <f>IFERROR(__xludf.DUMMYFUNCTION("""COMPUTED_VALUE"""),"- Добавлен новый герой: Железный монах - Мастер Хонг, стойкий монах диких земель, чье одно лишь присутствие внушает уважение!
- Новые события фестиваля высадки на Луну:
- Новые постройки: Пункт первой помощи, куда будут перемещены солдаты, еще не вылеченн"&amp;"ые в криокамере и медкапсуле, помогая командирам уменьшить потери в битве.")</f>
        <v>- Добавлен новый герой: Железный монах - Мастер Хонг, стойкий монах диких земель, чье одно лишь присутствие внушает уважение!
- Новые события фестиваля высадки на Луну:
- Новые постройки: Пункт первой помощи, куда будут перемещены солдаты, еще не вылеченные в криокамере и медкапсуле, помогая командирам уменьшить потери в битве.</v>
      </c>
      <c r="M77" s="159" t="str">
        <f>IFERROR(__xludf.DUMMYFUNCTION("""COMPUTED_VALUE"""),"- Yeni Savaşçı Eklendi: Demir Keşiş - Usta Hong, Vahşi doğanın stoik keşişi, varlığıyla bile saygı uyandıran!
- Yeni Ay İniş Festivali Etkinlikleri:
- Yeni Binalar: Kriyo Odası ve Tedavi Kapsülünde henüz iyileşmemiş askerlerin taşınacağı İlk Yardım İstasy"&amp;"onu, komutanların savaş kayıplarını azaltmasına yardımcı olur.")</f>
        <v>- Yeni Savaşçı Eklendi: Demir Keşiş - Usta Hong, Vahşi doğanın stoik keşişi, varlığıyla bile saygı uyandıran!
- Yeni Ay İniş Festivali Etkinlikleri:
- Yeni Binalar: Kriyo Odası ve Tedavi Kapsülünde henüz iyileşmemiş askerlerin taşınacağı İlk Yardım İstasyonu, komutanların savaş kayıplarını azaltmasına yardımcı olur.</v>
      </c>
      <c r="N77" s="45" t="str">
        <f>IFERROR(__xludf.DUMMYFUNCTION("""COMPUTED_VALUE"""),"- Chiến Binh Mới Được Thêm: Nhà Sư Sắt - Chủ Tướng Hong, Nhà sư điềm tĩnh của vùng hoang dã, chỉ cần sự hiện diện của ông cũng đủ để khiến người khác kính nể!
- Sự Kiện Mới Của Lễ Hội Hạ Cánh Trăng Mới:
- Công Trình Mới: Trạm Sơ Cứu, nơi các binh sĩ chưa "&amp;"được trị thương trong Buồng Cryo và Pod Y Tế sẽ được di chuyển, giúp các chỉ huy giảm số lượng tử trận.")</f>
        <v>- Chiến Binh Mới Được Thêm: Nhà Sư Sắt - Chủ Tướng Hong, Nhà sư điềm tĩnh của vùng hoang dã, chỉ cần sự hiện diện của ông cũng đủ để khiến người khác kính nể!
- Sự Kiện Mới Của Lễ Hội Hạ Cánh Trăng Mới:
- Công Trình Mới: Trạm Sơ Cứu, nơi các binh sĩ chưa được trị thương trong Buồng Cryo và Pod Y Tế sẽ được di chuyển, giúp các chỉ huy giảm số lượng tử trận.</v>
      </c>
      <c r="O77" s="45" t="str">
        <f>IFERROR(__xludf.DUMMYFUNCTION("""COMPUTED_VALUE"""),"- Nuovo Combattente Aggiunto: Il Monaco di Ferro - Maestro Hong, Il monaco stoico delle Terre selvagge, la cui sola presenza comanda rispetto!
- Nuovi Eventi del Festival dell'Atterraggio Lunare:
- Nuovi Edifici: La Stazione di Pronto Soccorso, dove i sol"&amp;"dati non ancora guariti nella Camera Criogenica e nella Capsula medica saranno spostati, aiutando i comandanti a ridurre le perdite di battaglia.")</f>
        <v>- Nuovo Combattente Aggiunto: Il Monaco di Ferro - Maestro Hong, Il monaco stoico delle Terre selvagge, la cui sola presenza comanda rispetto!
- Nuovi Eventi del Festival dell'Atterraggio Lunare:
- Nuovi Edifici: La Stazione di Pronto Soccorso, dove i soldati non ancora guariti nella Camera Criogenica e nella Capsula medica saranno spostati, aiutando i comandanti a ridurre le perdite di battaglia.</v>
      </c>
      <c r="P77" s="34" t="str">
        <f>IFERROR(__xludf.DUMMYFUNCTION("""COMPUTED_VALUE"""),"- Nowy Wojownik Dodany: Żelazny Mnich - Mistrz Hong, Stoicki mnich dzikich krain, którego sama obecność budzi szacunek!
- Nowe Wydarzenia Festiwalu Lądowania na Księżycu:
- Nowe Budynki: Stacja Pierwszej Pomocy, gdzie żołnierze, którzy nie zostali jeszcze"&amp;" wyleczeni w Komorze Krio i Kapsule medycznej, zostaną przeniesieni, pomagając dowódcom zmniejszyć straty w bitwie.")</f>
        <v>- Nowy Wojownik Dodany: Żelazny Mnich - Mistrz Hong, Stoicki mnich dzikich krain, którego sama obecność budzi szacunek!
- Nowe Wydarzenia Festiwalu Lądowania na Księżycu:
- Nowe Budynki: Stacja Pierwszej Pomocy, gdzie żołnierze, którzy nie zostali jeszcze wyleczeni w Komorze Krio i Kapsule medycznej, zostaną przeniesieni, pomagając dowódcom zmniejszyć straty w bitwie.</v>
      </c>
      <c r="Q77" s="34" t="str">
        <f>IFERROR(__xludf.DUMMYFUNCTION("""COMPUTED_VALUE"""),"- تمت إضافة مقاتل جديد: الراهب الحديدي - سيد هونغ، الراهب الصامد في البرية، حضوره وحده يفرض الاحترام!
- أحداث جديدة لمهرجان الهبوط على القمر:
- مباني جديدة: محطة الإسعافات الأولية، حيث سيتم نقل الجنود الذين لم يتم علاجهم بعد في غرفة التجميد ومحطة الإسعافا"&amp;"ت، مما يساعد القادة على تقليل خسائر المعركة.")</f>
        <v>- تمت إضافة مقاتل جديد: الراهب الحديدي - سيد هونغ، الراهب الصامد في البرية، حضوره وحده يفرض الاحترام!
- أحداث جديدة لمهرجان الهبوط على القمر:
- مباني جديدة: محطة الإسعافات الأولية، حيث سيتم نقل الجنود الذين لم يتم علاجهم بعد في غرفة التجميد ومحطة الإسعافات، مما يساعد القادة على تقليل خسائر المعركة.</v>
      </c>
      <c r="R77" s="34" t="str">
        <f>IFERROR(__xludf.DUMMYFUNCTION("""COMPUTED_VALUE"""),"- 新しいファイター追加: 鉄の僧侶 - マスター・ホン、荒野の厳格な僧侶、その存在だけで尊敬を集める！
- 新しい月面着陸祭イベント:
- 新しい建築物: 応急処置所、冷凍チャンバーや医療ポッドでまだ治癒されていない兵士が移動され、指揮官が戦闘損失を減らすのを助けます。")</f>
        <v>- 新しいファイター追加: 鉄の僧侶 - マスター・ホン、荒野の厳格な僧侶、その存在だけで尊敬を集める！
- 新しい月面着陸祭イベント:
- 新しい建築物: 応急処置所、冷凍チャンバーや医療ポッドでまだ治癒されていない兵士が移動され、指揮官が戦闘損失を減らすのを助けます。</v>
      </c>
      <c r="S77" s="34" t="str">
        <f>IFERROR(__xludf.DUMMYFUNCTION("""COMPUTED_VALUE"""),"- 새로운 전사 추가: 철의 수도승 - 마스터 홍, 황야의 냉철한 수도승, 그의 존재만으로도 존경을 불러일으킵니다!
- 새로운 달 착륙 축제 이벤트:
- 새로운 건물: 응급 처치소, 크라이오 챔버와 에어드랍 구호소에서 아직 치유되지 않은 병사들이 이동하여 지휘관이 전투 손실을 줄이는 데 도움을 줍니다.")</f>
        <v>- 새로운 전사 추가: 철의 수도승 - 마스터 홍, 황야의 냉철한 수도승, 그의 존재만으로도 존경을 불러일으킵니다!
- 새로운 달 착륙 축제 이벤트:
- 새로운 건물: 응급 처치소, 크라이오 챔버와 에어드랍 구호소에서 아직 치유되지 않은 병사들이 이동하여 지휘관이 전투 손실을 줄이는 데 도움을 줍니다.</v>
      </c>
      <c r="T77" s="108" t="str">
        <f>IFERROR(__xludf.DUMMYFUNCTION("""COMPUTED_VALUE"""),"-新增斗士：铁血武僧-洪大师，荒野中的修行者，不怒自威的武学大师！
-新增登月节系列活动
-新增建筑：生命监护站，急救冷冻仓和空投救护站中未治愈的士兵将移入此建筑，帮助指挥官们降低战斗的损失")</f>
        <v>-新增斗士：铁血武僧-洪大师，荒野中的修行者，不怒自威的武学大师！
-新增登月节系列活动
-新增建筑：生命监护站，急救冷冻仓和空投救护站中未治愈的士兵将移入此建筑，帮助指挥官们降低战斗的损失</v>
      </c>
      <c r="U77" s="108"/>
      <c r="V77" s="108"/>
      <c r="W77" s="108"/>
      <c r="X77" s="108"/>
      <c r="Y77" s="108"/>
      <c r="Z77" s="108"/>
    </row>
    <row r="78">
      <c r="A78" s="149" t="str">
        <f>IFERROR(__xludf.DUMMYFUNCTION("""COMPUTED_VALUE"""),"0.69.0")</f>
        <v>0.69.0</v>
      </c>
      <c r="B78" s="174" t="str">
        <f>IFERROR(__xludf.DUMMYFUNCTION("""COMPUTED_VALUE"""),"&lt;en-US&gt;
- New Fighter: Introducing the Bloodstained Godfather-Blake! The kingpin of the underground, a godfather forged through blood and battle!
- New Fighter Statue: Grant;
-Factory: Introducing the Map Exchange Factory—Commanders can now acquire new la"&amp;"nd plots daily to expand their factory territory. Also added the Clear All feature for workers. 
&lt;/en-US&gt;
&lt;fr-FR&gt;
- Nouveau combattant : Présentation du Parrain ensanglanté-Blake ! Le baron du souterrain, un parrain forgé dans le sang et les batailles !
-"&amp;" Nouvelle statue de combattant : Accorder ;
- Usine : Présentation de l'Usine d'échange de cartes—Les commandants peuvent désormais acquérir de nouvelles parcelles de terrain quotidiennement pour étendre leur territoire d'usine. Ajout également de la fonc"&amp;"tionnalité Effacer tout pour les ouvriers.
&lt;/fr-FR&gt;
&lt;de-DE&gt;
- Neuer Kämpfer: Einführung des Blutbefleckten Paten-Blake! Der König des Untergrunds, ein Pate, der durch Blut und Kampf geschmiedet wurde!
- Neue Kämpfer-Statue: Verleihen;
- Fabrik: Einführung"&amp;" der Kartentauschfabrik—Kommandanten können nun täglich neue Landparzellen erwerben, um ihr Fabrikterritorium zu erweitern. Außerdem wurde die Funktion ""Alles Löschen"" für Arbeiter hinzugefügt.
&lt;/de-DE&gt;
&lt;pt-BR&gt;
- Novo Combatente: Apresentando o Padrinho"&amp;" Ensanguentado-Blake! O chefão do subterrâneo, um padrinho forjado através do sangue e da batalha!
- Nova Estátua Combatente: Conceder;
-Fábrica: Apresentando a Fábrica de Troca de Mapas—Comandantes agora podem adquirir novos terrenos diariamente para exp"&amp;"andir o território da fábrica. Também foi adicionada a função Limpar Tudo para os trabalhadores.
&lt;/pt-BR&gt;
&lt;zh-HK&gt;
-新增鬥士：浴血教父-布雷克震撼登場！來自地下世界的梟雄，浴血奮戰多年的幫派教父！
-新增鬥士雕像：格蘭特；
-生產工廠：新增地圖置換工廠，指揮官可以每日併購新的地塊，擴大工廠版圖；新增工猴一鍵清除、快速調整功能；
&lt;/zh-HK&gt;
&lt;zh-TW&gt;
-新增鬥士：浴血教父-布雷克震撼"&amp;"登場！來自地下世界的梟雄，浴血奮戰多年的幫派教父！
-新增鬥士雕像：格蘭特；
-生產工廠：新增地圖置換工廠，指揮官可以每日併購新的地塊，擴大工廠版圖；新增工猴一鍵清除、快速調整功能；
&lt;/zh-TW&gt;
&lt;id&gt;
- Pejuang Baru: Memperkenalkan Godfather Berlumuran Darah-Blake! Gembong bawah tanah, seorang godfather yang ditempa melalui darah dan pertempuran!
-"&amp;" Patung Pejuang Baru: Memberikan;
- Pabrik: Memperkenalkan Pabrik Pertukaran Peta—Komandan sekarang dapat memperoleh plot tanah baru setiap hari untuk memperluas wilayah pabrik mereka. Juga ditambahkan fitur Hapus Semua untuk pekerja.
&lt;/id&gt;
&lt;th&gt;
- นักสู้ต"&amp;"ัวใหม่: แนะนำเจ้าพ่อเปื้อนเลือด-เบลค! เจ้าพ่อตลาดมืดใต้ดิน ผู้เป็นเจ้าพ่อที่หลอมด้วยเลือดและการต่อสู้!
- รูปปั้นนักสู้ใหม่: ให้;
- โรงงาน: แนะนำโรงงานแลกเปลี่ยนแผนที่—ผู้บัญชาการสามารถได้ที่ดินใหม่ทุกวันเพื่อขยายอาณาเขตโรงงานของพวกเขา นอกจากนี้ยังเพิ่มฟีเ"&amp;"จอร์ล้างทั้งหมดสำหรับคนงาน
&lt;/th&gt;
&lt;es-419&gt;
- Nuevo Luchador: ¡Presentando al Padrino Ensangrentado-Blake! El capo del subterráneo, un padrino forjado en sangre y batalla!
- Nueva Estatua del Luchador: Conceder;
-Fábrica: Presentando la Fábrica de Intercamb"&amp;"io de Mapas—Los comandantes ahora pueden adquirir nuevas parcelas de tierra diariamente para expandir su territorio de fábrica. También se agregó la función de Borrar Todo para los trabajadores.
&lt;/es-419&gt;
&lt;ru-RU&gt;
- Новый герой: Представляем Кровавого крес"&amp;"тного отца — Блейка! Главарь подпольного мира, крестный отец, закаленный в крови и битвах!
- Новая статуя героя: Грант;
-Фабрика: Представляем фабрику обмена картами — теперь командиры могут ежедневно приобретать новые участки земли для расширения террито"&amp;"рии фабрики. Также добавлена функция ""Очистить все"" для рабочих.
&lt;/ru-RU&gt;
&lt;tr-TR&gt;
- Yeni Savaşçı: Kanlı Baba-Blake'i Tanıtıyoruz! Yeraltının elebaşı, kan ve savaşla yoğrulmuş bir baba!
- Yeni Savaşçı Heykeli: Ver;
- Fabrika: Harita Takas Fabrikasını Tan"&amp;"ıtıyoruz—Komutanlar artık günlük olarak yeni arazi parselleri edinebilir ve fabrika bölgelerini genişletebilir. Ayrıca işçiler için Tümünü Temizle özelliği eklendi.
&lt;/tr-TR&gt;
&lt;vi&gt;
- Chiến Binh Mới: Giới thiệu Bố Già Nhuốm Máu-Blake! Ông trùm của thế giới n"&amp;"gầm, một bố già được rèn giũa qua máu và chiến đấu!
- Tượng Chiến Binh Mới: Cấp;
- Nhà Máy: Giới thiệu Nhà Máy Đổi Bản Đồ—Chỉ Huy giờ đây có thể nhận được các mảnh đất mới hàng ngày để mở rộng lãnh thổ nhà máy của họ. Cũng đã thêm tính năng Hoàn Thành Tất"&amp;" Cả cho công nhân.
&lt;/vi&gt;
&lt;it-IT&gt;
- Nuovo Combattente: Presentiamo il Padrino Insanguinato-Blake! Il boss del sotterraneo, un padrino forgiato nel sangue e nelle battaglie!
- Nuova Statua del Combattente: Concedi;
-Fabbrica: Presentiamo la Fabbrica di Scam"&amp;"bio Mappa—i comandanti possono ora acquisire nuove trame di terra giornalmente per espandere il territorio della fabbrica. Aggiunta anche la funzione Cancella Tutto per i lavoratori.
&lt;/it-IT&gt;
&lt;pl-PL&gt;
- Nowy Wojownik: Przedstawiamy Krwawego Ojca Chrzestneg"&amp;"o-Blake'a! Król podziemia, ojciec chrzestny wykuty w krwi i bitwie!
- Nowy Pomnik Wojownika: Grant;
-Fabryka: Przedstawiamy Fabrykę Wymiany Map—Dowódcy mogą teraz codziennie zdobywać nowe działki, aby rozszerzyć terytorium swojej fabryki. Dodano również f"&amp;"unkcję Wyczyść Wszystko dla pracowników.
&lt;/pl-PL&gt;
&lt;ar&gt;
- مقاتل جديد: تقديم العراب الملطخ بالدماء - بليك! زعيم تحت الأرض، عراب مزور بالدم والمعركة!
- تمثال المقاتل الجديد: منح;
- مصنع: تقديم مصنع تبادل الخرائط - يمكن للقادة الآن الحصول على قطع أراضي جديدة "&amp;"يوميًا لتوسيع إقليم المصنع. تم أيضًا إضافة ميزة ""إزالة الكل"" للعمال.
&lt;/ar&gt;
&lt;ja-JP&gt;
- 新しいファイター: 血塗られたゴッドファーザー-ブレイクを紹介！地下の大物、血と戦闘によって鍛えられたゴッドファーザー！
- 新しいファイターの像: 助成;
- 工場: マップ交換工場を紹介—指揮官は毎日新しい土地を取得して工場の領土を拡大できます。また、労働者のための「すべてクリア」機能を追加しました。
&lt;/ja-JP&gt;
&lt;ko-K"&amp;"R&gt;
- 새로운 전사: 피로 물든 대부-블레이크를 소개합니다! 지하 세계의 킹핀, 피와 전투로 벼려진 대부!
- 새로운 전사 석상: 그랜트;
- 공장: 지도 교환 공장을 소개합니다—이제 지휘관들은 매일 새로운 땅을 획득하여 공장 영토를 확장할 수 있습니다. 또한 작업자들을 위한 전체 클리어 기능이 추가되었습니다.
&lt;/ko-KR&gt;
")</f>
        <v>&lt;en-US&gt;
- New Fighter: Introducing the Bloodstained Godfather-Blake! The kingpin of the underground, a godfather forged through blood and battle!
- New Fighter Statue: Grant;
-Factory: Introducing the Map Exchange Factory—Commanders can now acquire new land plots daily to expand their factory territory. Also added the Clear All feature for workers. 
&lt;/en-US&gt;
&lt;fr-FR&gt;
- Nouveau combattant : Présentation du Parrain ensanglanté-Blake ! Le baron du souterrain, un parrain forgé dans le sang et les batailles !
- Nouvelle statue de combattant : Accorder ;
- Usine : Présentation de l'Usine d'échange de cartes—Les commandants peuvent désormais acquérir de nouvelles parcelles de terrain quotidiennement pour étendre leur territoire d'usine. Ajout également de la fonctionnalité Effacer tout pour les ouvriers.
&lt;/fr-FR&gt;
&lt;de-DE&gt;
- Neuer Kämpfer: Einführung des Blutbefleckten Paten-Blake! Der König des Untergrunds, ein Pate, der durch Blut und Kampf geschmiedet wurde!
- Neue Kämpfer-Statue: Verleihen;
- Fabrik: Einführung der Kartentauschfabrik—Kommandanten können nun täglich neue Landparzellen erwerben, um ihr Fabrikterritorium zu erweitern. Außerdem wurde die Funktion "Alles Löschen" für Arbeiter hinzugefügt.
&lt;/de-DE&gt;
&lt;pt-BR&gt;
- Novo Combatente: Apresentando o Padrinho Ensanguentado-Blake! O chefão do subterrâneo, um padrinho forjado através do sangue e da batalha!
- Nova Estátua Combatente: Conceder;
-Fábrica: Apresentando a Fábrica de Troca de Mapas—Comandantes agora podem adquirir novos terrenos diariamente para expandir o território da fábrica. Também foi adicionada a função Limpar Tudo para os trabalhadores.
&lt;/pt-BR&gt;
&lt;zh-HK&gt;
-新增鬥士：浴血教父-布雷克震撼登場！來自地下世界的梟雄，浴血奮戰多年的幫派教父！
-新增鬥士雕像：格蘭特；
-生產工廠：新增地圖置換工廠，指揮官可以每日併購新的地塊，擴大工廠版圖；新增工猴一鍵清除、快速調整功能；
&lt;/zh-HK&gt;
&lt;zh-TW&gt;
-新增鬥士：浴血教父-布雷克震撼登場！來自地下世界的梟雄，浴血奮戰多年的幫派教父！
-新增鬥士雕像：格蘭特；
-生產工廠：新增地圖置換工廠，指揮官可以每日併購新的地塊，擴大工廠版圖；新增工猴一鍵清除、快速調整功能；
&lt;/zh-TW&gt;
&lt;id&gt;
- Pejuang Baru: Memperkenalkan Godfather Berlumuran Darah-Blake! Gembong bawah tanah, seorang godfather yang ditempa melalui darah dan pertempuran!
- Patung Pejuang Baru: Memberikan;
- Pabrik: Memperkenalkan Pabrik Pertukaran Peta—Komandan sekarang dapat memperoleh plot tanah baru setiap hari untuk memperluas wilayah pabrik mereka. Juga ditambahkan fitur Hapus Semua untuk pekerja.
&lt;/id&gt;
&lt;th&gt;
- นักสู้ตัวใหม่: แนะนำเจ้าพ่อเปื้อนเลือด-เบลค! เจ้าพ่อตลาดมืดใต้ดิน ผู้เป็นเจ้าพ่อที่หลอมด้วยเลือดและการต่อสู้!
- รูปปั้นนักสู้ใหม่: ให้;
- โรงงาน: แนะนำโรงงานแลกเปลี่ยนแผนที่—ผู้บัญชาการสามารถได้ที่ดินใหม่ทุกวันเพื่อขยายอาณาเขตโรงงานของพวกเขา นอกจากนี้ยังเพิ่มฟีเจอร์ล้างทั้งหมดสำหรับคนงาน
&lt;/th&gt;
&lt;es-419&gt;
- Nuevo Luchador: ¡Presentando al Padrino Ensangrentado-Blake! El capo del subterráneo, un padrino forjado en sangre y batalla!
- Nueva Estatua del Luchador: Conceder;
-Fábrica: Presentando la Fábrica de Intercambio de Mapas—Los comandantes ahora pueden adquirir nuevas parcelas de tierra diariamente para expandir su territorio de fábrica. También se agregó la función de Borrar Todo para los trabajadores.
&lt;/es-419&gt;
&lt;ru-RU&gt;
- Новый герой: Представляем Кровавого крестного отца — Блейка! Главарь подпольного мира, крестный отец, закаленный в крови и битвах!
- Новая статуя героя: Грант;
-Фабрика: Представляем фабрику обмена картами — теперь командиры могут ежедневно приобретать новые участки земли для расширения территории фабрики. Также добавлена функция "Очистить все" для рабочих.
&lt;/ru-RU&gt;
&lt;tr-TR&gt;
- Yeni Savaşçı: Kanlı Baba-Blake'i Tanıtıyoruz! Yeraltının elebaşı, kan ve savaşla yoğrulmuş bir baba!
- Yeni Savaşçı Heykeli: Ver;
- Fabrika: Harita Takas Fabrikasını Tanıtıyoruz—Komutanlar artık günlük olarak yeni arazi parselleri edinebilir ve fabrika bölgelerini genişletebilir. Ayrıca işçiler için Tümünü Temizle özelliği eklendi.
&lt;/tr-TR&gt;
&lt;vi&gt;
- Chiến Binh Mới: Giới thiệu Bố Già Nhuốm Máu-Blake! Ông trùm của thế giới ngầm, một bố già được rèn giũa qua máu và chiến đấu!
- Tượng Chiến Binh Mới: Cấp;
- Nhà Máy: Giới thiệu Nhà Máy Đổi Bản Đồ—Chỉ Huy giờ đây có thể nhận được các mảnh đất mới hàng ngày để mở rộng lãnh thổ nhà máy của họ. Cũng đã thêm tính năng Hoàn Thành Tất Cả cho công nhân.
&lt;/vi&gt;
&lt;it-IT&gt;
- Nuovo Combattente: Presentiamo il Padrino Insanguinato-Blake! Il boss del sotterraneo, un padrino forgiato nel sangue e nelle battaglie!
- Nuova Statua del Combattente: Concedi;
-Fabbrica: Presentiamo la Fabbrica di Scambio Mappa—i comandanti possono ora acquisire nuove trame di terra giornalmente per espandere il territorio della fabbrica. Aggiunta anche la funzione Cancella Tutto per i lavoratori.
&lt;/it-IT&gt;
&lt;pl-PL&gt;
- Nowy Wojownik: Przedstawiamy Krwawego Ojca Chrzestnego-Blake'a! Król podziemia, ojciec chrzestny wykuty w krwi i bitwie!
- Nowy Pomnik Wojownika: Grant;
-Fabryka: Przedstawiamy Fabrykę Wymiany Map—Dowódcy mogą teraz codziennie zdobywać nowe działki, aby rozszerzyć terytorium swojej fabryki. Dodano również funkcję Wyczyść Wszystko dla pracowników.
&lt;/pl-PL&gt;
&lt;ar&gt;
- مقاتل جديد: تقديم العراب الملطخ بالدماء - بليك! زعيم تحت الأرض، عراب مزور بالدم والمعركة!
- تمثال المقاتل الجديد: منح;
- مصنع: تقديم مصنع تبادل الخرائط - يمكن للقادة الآن الحصول على قطع أراضي جديدة يوميًا لتوسيع إقليم المصنع. تم أيضًا إضافة ميزة "إزالة الكل" للعمال.
&lt;/ar&gt;
&lt;ja-JP&gt;
- 新しいファイター: 血塗られたゴッドファーザー-ブレイクを紹介！地下の大物、血と戦闘によって鍛えられたゴッドファーザー！
- 新しいファイターの像: 助成;
- 工場: マップ交換工場を紹介—指揮官は毎日新しい土地を取得して工場の領土を拡大できます。また、労働者のための「すべてクリア」機能を追加しました。
&lt;/ja-JP&gt;
&lt;ko-KR&gt;
- 새로운 전사: 피로 물든 대부-블레이크를 소개합니다! 지하 세계의 킹핀, 피와 전투로 벼려진 대부!
- 새로운 전사 석상: 그랜트;
- 공장: 지도 교환 공장을 소개합니다—이제 지휘관들은 매일 새로운 땅을 획득하여 공장 영토를 확장할 수 있습니다. 또한 작업자들을 위한 전체 클리어 기능이 추가되었습니다.
&lt;/ko-KR&gt;
</v>
      </c>
      <c r="C78" s="44" t="str">
        <f>IFERROR(__xludf.DUMMYFUNCTION("""COMPUTED_VALUE"""),"-新增斗士：浴血教父-布雷克震撼登场！来自地下世界的枭雄，浴血奋战多年的帮派教父！
-新增斗士雕像：格兰特；
-生产工厂：新增地图置换工厂，指挥官可以每日并购新的地块，扩大工厂版图；新增工猴一键清空、快速调整功能；")</f>
        <v>-新增斗士：浴血教父-布雷克震撼登场！来自地下世界的枭雄，浴血奋战多年的帮派教父！
-新增斗士雕像：格兰特；
-生产工厂：新增地图置换工厂，指挥官可以每日并购新的地块，扩大工厂版图；新增工猴一键清空、快速调整功能；</v>
      </c>
      <c r="D78" s="159" t="str">
        <f>IFERROR(__xludf.DUMMYFUNCTION("""COMPUTED_VALUE"""),"- New Fighter: Introducing the Bloodstained Godfather-Blake! The kingpin of the underground, a godfather forged through blood and battle!
- New Fighter Statue: Grant;
-Factory: Introducing the Map Exchange Factory—Commanders can now acquire new land plots"&amp;" daily to expand their factory territory. Also added the Clear All feature for workers. ")</f>
        <v>- New Fighter: Introducing the Bloodstained Godfather-Blake! The kingpin of the underground, a godfather forged through blood and battle!
- New Fighter Statue: Grant;
-Factory: Introducing the Map Exchange Factory—Commanders can now acquire new land plots daily to expand their factory territory. Also added the Clear All feature for workers. </v>
      </c>
      <c r="E78" s="159" t="str">
        <f>IFERROR(__xludf.DUMMYFUNCTION("""COMPUTED_VALUE"""),"- Nouveau combattant : Présentation du Parrain ensanglanté-Blake ! Le baron du souterrain, un parrain forgé dans le sang et les batailles !
- Nouvelle statue de combattant : Accorder ;
- Usine : Présentation de l'Usine d'échange de cartes—Les commandants "&amp;"peuvent désormais acquérir de nouvelles parcelles de terrain quotidiennement pour étendre leur territoire d'usine. Ajout également de la fonctionnalité Effacer tout pour les ouvriers.")</f>
        <v>- Nouveau combattant : Présentation du Parrain ensanglanté-Blake ! Le baron du souterrain, un parrain forgé dans le sang et les batailles !
- Nouvelle statue de combattant : Accorder ;
- Usine : Présentation de l'Usine d'échange de cartes—Les commandants peuvent désormais acquérir de nouvelles parcelles de terrain quotidiennement pour étendre leur territoire d'usine. Ajout également de la fonctionnalité Effacer tout pour les ouvriers.</v>
      </c>
      <c r="F78" s="159" t="str">
        <f>IFERROR(__xludf.DUMMYFUNCTION("""COMPUTED_VALUE"""),"- Neuer Kämpfer: Einführung des Blutbefleckten Paten-Blake! Der König des Untergrunds, ein Pate, der durch Blut und Kampf geschmiedet wurde!
- Neue Kämpfer-Statue: Verleihen;
- Fabrik: Einführung der Kartentauschfabrik—Kommandanten können nun täglich neue"&amp;" Landparzellen erwerben, um ihr Fabrikterritorium zu erweitern. Außerdem wurde die Funktion ""Alles Löschen"" für Arbeiter hinzugefügt.")</f>
        <v>- Neuer Kämpfer: Einführung des Blutbefleckten Paten-Blake! Der König des Untergrunds, ein Pate, der durch Blut und Kampf geschmiedet wurde!
- Neue Kämpfer-Statue: Verleihen;
- Fabrik: Einführung der Kartentauschfabrik—Kommandanten können nun täglich neue Landparzellen erwerben, um ihr Fabrikterritorium zu erweitern. Außerdem wurde die Funktion "Alles Löschen" für Arbeiter hinzugefügt.</v>
      </c>
      <c r="G78" s="159" t="str">
        <f>IFERROR(__xludf.DUMMYFUNCTION("""COMPUTED_VALUE"""),"- Novo Combatente: Apresentando o Padrinho Ensanguentado-Blake! O chefão do subterrâneo, um padrinho forjado através do sangue e da batalha!
- Nova Estátua Combatente: Conceder;
-Fábrica: Apresentando a Fábrica de Troca de Mapas—Comandantes agora podem ad"&amp;"quirir novos terrenos diariamente para expandir o território da fábrica. Também foi adicionada a função Limpar Tudo para os trabalhadores.")</f>
        <v>- Novo Combatente: Apresentando o Padrinho Ensanguentado-Blake! O chefão do subterrâneo, um padrinho forjado através do sangue e da batalha!
- Nova Estátua Combatente: Conceder;
-Fábrica: Apresentando a Fábrica de Troca de Mapas—Comandantes agora podem adquirir novos terrenos diariamente para expandir o território da fábrica. Também foi adicionada a função Limpar Tudo para os trabalhadores.</v>
      </c>
      <c r="H78" s="159" t="str">
        <f>IFERROR(__xludf.DUMMYFUNCTION("""COMPUTED_VALUE"""),"-新增鬥士：浴血教父-布雷克震撼登場！來自地下世界的梟雄，浴血奮戰多年的幫派教父！
-新增鬥士雕像：格蘭特；
-生產工廠：新增地圖置換工廠，指揮官可以每日併購新的地塊，擴大工廠版圖；新增工猴一鍵清除、快速調整功能；")</f>
        <v>-新增鬥士：浴血教父-布雷克震撼登場！來自地下世界的梟雄，浴血奮戰多年的幫派教父！
-新增鬥士雕像：格蘭特；
-生產工廠：新增地圖置換工廠，指揮官可以每日併購新的地塊，擴大工廠版圖；新增工猴一鍵清除、快速調整功能；</v>
      </c>
      <c r="I78" s="159" t="str">
        <f>IFERROR(__xludf.DUMMYFUNCTION("""COMPUTED_VALUE"""),"- Pejuang Baru: Memperkenalkan Godfather Berlumuran Darah-Blake! Gembong bawah tanah, seorang godfather yang ditempa melalui darah dan pertempuran!
- Patung Pejuang Baru: Memberikan;
- Pabrik: Memperkenalkan Pabrik Pertukaran Peta—Komandan sekarang dapat "&amp;"memperoleh plot tanah baru setiap hari untuk memperluas wilayah pabrik mereka. Juga ditambahkan fitur Hapus Semua untuk pekerja.")</f>
        <v>- Pejuang Baru: Memperkenalkan Godfather Berlumuran Darah-Blake! Gembong bawah tanah, seorang godfather yang ditempa melalui darah dan pertempuran!
- Patung Pejuang Baru: Memberikan;
- Pabrik: Memperkenalkan Pabrik Pertukaran Peta—Komandan sekarang dapat memperoleh plot tanah baru setiap hari untuk memperluas wilayah pabrik mereka. Juga ditambahkan fitur Hapus Semua untuk pekerja.</v>
      </c>
      <c r="J78" s="159" t="str">
        <f>IFERROR(__xludf.DUMMYFUNCTION("""COMPUTED_VALUE"""),"- นักสู้ตัวใหม่: แนะนำเจ้าพ่อเปื้อนเลือด-เบลค! เจ้าพ่อตลาดมืดใต้ดิน ผู้เป็นเจ้าพ่อที่หลอมด้วยเลือดและการต่อสู้!
- รูปปั้นนักสู้ใหม่: ให้;
- โรงงาน: แนะนำโรงงานแลกเปลี่ยนแผนที่—ผู้บัญชาการสามารถได้ที่ดินใหม่ทุกวันเพื่อขยายอาณาเขตโรงงานของพวกเขา นอกจากนี้ยั"&amp;"งเพิ่มฟีเจอร์ล้างทั้งหมดสำหรับคนงาน")</f>
        <v>- นักสู้ตัวใหม่: แนะนำเจ้าพ่อเปื้อนเลือด-เบลค! เจ้าพ่อตลาดมืดใต้ดิน ผู้เป็นเจ้าพ่อที่หลอมด้วยเลือดและการต่อสู้!
- รูปปั้นนักสู้ใหม่: ให้;
- โรงงาน: แนะนำโรงงานแลกเปลี่ยนแผนที่—ผู้บัญชาการสามารถได้ที่ดินใหม่ทุกวันเพื่อขยายอาณาเขตโรงงานของพวกเขา นอกจากนี้ยังเพิ่มฟีเจอร์ล้างทั้งหมดสำหรับคนงาน</v>
      </c>
      <c r="K78" s="159" t="str">
        <f>IFERROR(__xludf.DUMMYFUNCTION("""COMPUTED_VALUE"""),"- Nuevo Luchador: ¡Presentando al Padrino Ensangrentado-Blake! El capo del subterráneo, un padrino forjado en sangre y batalla!
- Nueva Estatua del Luchador: Conceder;
-Fábrica: Presentando la Fábrica de Intercambio de Mapas—Los comandantes ahora pueden a"&amp;"dquirir nuevas parcelas de tierra diariamente para expandir su territorio de fábrica. También se agregó la función de Borrar Todo para los trabajadores.")</f>
        <v>- Nuevo Luchador: ¡Presentando al Padrino Ensangrentado-Blake! El capo del subterráneo, un padrino forjado en sangre y batalla!
- Nueva Estatua del Luchador: Conceder;
-Fábrica: Presentando la Fábrica de Intercambio de Mapas—Los comandantes ahora pueden adquirir nuevas parcelas de tierra diariamente para expandir su territorio de fábrica. También se agregó la función de Borrar Todo para los trabajadores.</v>
      </c>
      <c r="L78" s="159" t="str">
        <f>IFERROR(__xludf.DUMMYFUNCTION("""COMPUTED_VALUE"""),"- Новый герой: Представляем Кровавого крестного отца — Блейка! Главарь подпольного мира, крестный отец, закаленный в крови и битвах!
- Новая статуя героя: Грант;
-Фабрика: Представляем фабрику обмена картами — теперь командиры могут ежедневно приобретать "&amp;"новые участки земли для расширения территории фабрики. Также добавлена функция ""Очистить все"" для рабочих.")</f>
        <v>- Новый герой: Представляем Кровавого крестного отца — Блейка! Главарь подпольного мира, крестный отец, закаленный в крови и битвах!
- Новая статуя героя: Грант;
-Фабрика: Представляем фабрику обмена картами — теперь командиры могут ежедневно приобретать новые участки земли для расширения территории фабрики. Также добавлена функция "Очистить все" для рабочих.</v>
      </c>
      <c r="M78" s="159" t="str">
        <f>IFERROR(__xludf.DUMMYFUNCTION("""COMPUTED_VALUE"""),"- Yeni Savaşçı: Kanlı Baba-Blake'i Tanıtıyoruz! Yeraltının elebaşı, kan ve savaşla yoğrulmuş bir baba!
- Yeni Savaşçı Heykeli: Ver;
- Fabrika: Harita Takas Fabrikasını Tanıtıyoruz—Komutanlar artık günlük olarak yeni arazi parselleri edinebilir ve fabrika "&amp;"bölgelerini genişletebilir. Ayrıca işçiler için Tümünü Temizle özelliği eklendi.")</f>
        <v>- Yeni Savaşçı: Kanlı Baba-Blake'i Tanıtıyoruz! Yeraltının elebaşı, kan ve savaşla yoğrulmuş bir baba!
- Yeni Savaşçı Heykeli: Ver;
- Fabrika: Harita Takas Fabrikasını Tanıtıyoruz—Komutanlar artık günlük olarak yeni arazi parselleri edinebilir ve fabrika bölgelerini genişletebilir. Ayrıca işçiler için Tümünü Temizle özelliği eklendi.</v>
      </c>
      <c r="N78" s="45" t="str">
        <f>IFERROR(__xludf.DUMMYFUNCTION("""COMPUTED_VALUE"""),"- Chiến Binh Mới: Giới thiệu Bố Già Nhuốm Máu-Blake! Ông trùm của thế giới ngầm, một bố già được rèn giũa qua máu và chiến đấu!
- Tượng Chiến Binh Mới: Cấp;
- Nhà Máy: Giới thiệu Nhà Máy Đổi Bản Đồ—Chỉ Huy giờ đây có thể nhận được các mảnh đất mới hàng ng"&amp;"ày để mở rộng lãnh thổ nhà máy của họ. Cũng đã thêm tính năng Hoàn Thành Tất Cả cho công nhân.")</f>
        <v>- Chiến Binh Mới: Giới thiệu Bố Già Nhuốm Máu-Blake! Ông trùm của thế giới ngầm, một bố già được rèn giũa qua máu và chiến đấu!
- Tượng Chiến Binh Mới: Cấp;
- Nhà Máy: Giới thiệu Nhà Máy Đổi Bản Đồ—Chỉ Huy giờ đây có thể nhận được các mảnh đất mới hàng ngày để mở rộng lãnh thổ nhà máy của họ. Cũng đã thêm tính năng Hoàn Thành Tất Cả cho công nhân.</v>
      </c>
      <c r="O78" s="45" t="str">
        <f>IFERROR(__xludf.DUMMYFUNCTION("""COMPUTED_VALUE"""),"- Nuovo Combattente: Presentiamo il Padrino Insanguinato-Blake! Il boss del sotterraneo, un padrino forgiato nel sangue e nelle battaglie!
- Nuova Statua del Combattente: Concedi;
-Fabbrica: Presentiamo la Fabbrica di Scambio Mappa—i comandanti possono or"&amp;"a acquisire nuove trame di terra giornalmente per espandere il territorio della fabbrica. Aggiunta anche la funzione Cancella Tutto per i lavoratori.")</f>
        <v>- Nuovo Combattente: Presentiamo il Padrino Insanguinato-Blake! Il boss del sotterraneo, un padrino forgiato nel sangue e nelle battaglie!
- Nuova Statua del Combattente: Concedi;
-Fabbrica: Presentiamo la Fabbrica di Scambio Mappa—i comandanti possono ora acquisire nuove trame di terra giornalmente per espandere il territorio della fabbrica. Aggiunta anche la funzione Cancella Tutto per i lavoratori.</v>
      </c>
      <c r="P78" s="34" t="str">
        <f>IFERROR(__xludf.DUMMYFUNCTION("""COMPUTED_VALUE"""),"- Nowy Wojownik: Przedstawiamy Krwawego Ojca Chrzestnego-Blake'a! Król podziemia, ojciec chrzestny wykuty w krwi i bitwie!
- Nowy Pomnik Wojownika: Grant;
-Fabryka: Przedstawiamy Fabrykę Wymiany Map—Dowódcy mogą teraz codziennie zdobywać nowe działki, aby"&amp;" rozszerzyć terytorium swojej fabryki. Dodano również funkcję Wyczyść Wszystko dla pracowników.")</f>
        <v>- Nowy Wojownik: Przedstawiamy Krwawego Ojca Chrzestnego-Blake'a! Król podziemia, ojciec chrzestny wykuty w krwi i bitwie!
- Nowy Pomnik Wojownika: Grant;
-Fabryka: Przedstawiamy Fabrykę Wymiany Map—Dowódcy mogą teraz codziennie zdobywać nowe działki, aby rozszerzyć terytorium swojej fabryki. Dodano również funkcję Wyczyść Wszystko dla pracowników.</v>
      </c>
      <c r="Q78" s="34" t="str">
        <f>IFERROR(__xludf.DUMMYFUNCTION("""COMPUTED_VALUE"""),"- مقاتل جديد: تقديم العراب الملطخ بالدماء - بليك! زعيم تحت الأرض، عراب مزور بالدم والمعركة!
- تمثال المقاتل الجديد: منح;
- مصنع: تقديم مصنع تبادل الخرائط - يمكن للقادة الآن الحصول على قطع أراضي جديدة يوميًا لتوسيع إقليم المصنع. تم أيضًا إضافة ميزة ""إزالة"&amp;" الكل"" للعمال.")</f>
        <v>- مقاتل جديد: تقديم العراب الملطخ بالدماء - بليك! زعيم تحت الأرض، عراب مزور بالدم والمعركة!
- تمثال المقاتل الجديد: منح;
- مصنع: تقديم مصنع تبادل الخرائط - يمكن للقادة الآن الحصول على قطع أراضي جديدة يوميًا لتوسيع إقليم المصنع. تم أيضًا إضافة ميزة "إزالة الكل" للعمال.</v>
      </c>
      <c r="R78" s="34" t="str">
        <f>IFERROR(__xludf.DUMMYFUNCTION("""COMPUTED_VALUE"""),"- 新しいファイター: 血塗られたゴッドファーザー-ブレイクを紹介！地下の大物、血と戦闘によって鍛えられたゴッドファーザー！
- 新しいファイターの像: 助成;
- 工場: マップ交換工場を紹介—指揮官は毎日新しい土地を取得して工場の領土を拡大できます。また、労働者のための「すべてクリア」機能を追加しました。")</f>
        <v>- 新しいファイター: 血塗られたゴッドファーザー-ブレイクを紹介！地下の大物、血と戦闘によって鍛えられたゴッドファーザー！
- 新しいファイターの像: 助成;
- 工場: マップ交換工場を紹介—指揮官は毎日新しい土地を取得して工場の領土を拡大できます。また、労働者のための「すべてクリア」機能を追加しました。</v>
      </c>
      <c r="S78" s="34" t="str">
        <f>IFERROR(__xludf.DUMMYFUNCTION("""COMPUTED_VALUE"""),"- 새로운 전사: 피로 물든 대부-블레이크를 소개합니다! 지하 세계의 킹핀, 피와 전투로 벼려진 대부!
- 새로운 전사 석상: 그랜트;
- 공장: 지도 교환 공장을 소개합니다—이제 지휘관들은 매일 새로운 땅을 획득하여 공장 영토를 확장할 수 있습니다. 또한 작업자들을 위한 전체 클리어 기능이 추가되었습니다.")</f>
        <v>- 새로운 전사: 피로 물든 대부-블레이크를 소개합니다! 지하 세계의 킹핀, 피와 전투로 벼려진 대부!
- 새로운 전사 석상: 그랜트;
- 공장: 지도 교환 공장을 소개합니다—이제 지휘관들은 매일 새로운 땅을 획득하여 공장 영토를 확장할 수 있습니다. 또한 작업자들을 위한 전체 클리어 기능이 추가되었습니다.</v>
      </c>
      <c r="T78" s="108"/>
      <c r="U78" s="108"/>
      <c r="V78" s="108"/>
      <c r="W78" s="108"/>
      <c r="X78" s="108"/>
      <c r="Y78" s="108"/>
      <c r="Z78" s="108"/>
    </row>
    <row r="79">
      <c r="A79" s="149" t="str">
        <f>IFERROR(__xludf.DUMMYFUNCTION("""COMPUTED_VALUE"""),"0.70.0")</f>
        <v>0.70.0</v>
      </c>
      <c r="B79" s="174" t="str">
        <f>IFERROR(__xludf.DUMMYFUNCTION("""COMPUTED_VALUE"""),"&lt;en-US&gt;
-New Fighter: Shadow Knight—Charlotte Rossi. Those heinous fugitives will face judgment under the moonlight!
-New Mech: Heart of Bastion—WarTurtle. Ultimate defense that crushes all enemy delusions!
-New Fighter Statue: Kane. Add more brilliance t"&amp;"o your city!
-New Talent Tree: Withstand—a powerful means of defending your territory and the best choice to strike invaders!
-New Thanksgiving Events
&lt;/en-US&gt;
&lt;fr-FR&gt;
-Nouveau combattant : Chevalier de l'Ombre—Charlotte Rossi. Ces fugitifs odieux feront "&amp;"face au jugement sous le clair de lune !
-Nouveau Mécha : Cœur du Bastion—Tortue de Guerre. Défense ultime qui écrase toutes les illusions ennemies !
-Nouvelle statue du combattant : Kane. Ajoutez plus d'éclat à votre ville !
-Nouvel arbre de talents : Ré"&amp;"sister—un moyen puissant de défendre votre territoire et le meilleur choix pour frapper les envahisseurs !
-Nouveaux événements de Thanksgiving
&lt;/fr-FR&gt;
&lt;de-DE&gt;
-Neuer Kämpfer: Schattenritter—Charlotte Rossi. Diese abscheulichen Flüchtlinge werden im Mond"&amp;"licht gerichtet!
-Neuer Mech: Herz der Bastion—KriegsSchildkröte. Ultimative Verteidigung, die alle feindlichen Illusionen zerschmettert!
-Neue Kämpfer-Statue: Kane. Füge deiner Stadt mehr Glanz hinzu!
-Neuer Talentbaum: Widerstehen—ein mächtiges Mittel z"&amp;"ur Verteidigung deines Territoriums und die beste Wahl, um Invasoren zu schlagen!
-Neue Thanksgiving-Events
&lt;/de-DE&gt;
&lt;pt-BR&gt;
-Novo Combatente: Cavaleiro Sombrio—Charlotte Rossi. Aqueles fugitivos hediondos enfrentarão o julgamento sob o luar!
-Novo Mech: "&amp;"Coração do Bastião—GuerraTartaruga. Defesa suprema que esmaga todas as ilusões do inimigo!
-Nova Estátua Combatente: Kane. Adicione mais brilho à sua cidade!
-Nova Árvore de Talento: Resistir—um meio poderoso de defender seu território e a melhor escolha "&amp;"para atacar invasores!
-Novos Eventos de Ação de Graças
&lt;/pt-BR&gt;
&lt;zh-HK&gt;
-新增鬥士：暗影騎士-夏洛特·羅西，那些罪大惡極的逃犯，必將在月光下得到審判！
-新增機甲：堅壘之心-戰龜，極致的防禦，摧毀敵人的一切妄想！
-新增鬥士雕像：凱恩，來為你的城鎮等級增添更多光彩吧！
-新增天賦樹：抗擊，捍衛領土的強硬手段，痛擊來犯者的最佳之選！
-新增豐收節活動
&lt;/zh-HK&gt;
&lt;zh-TW&gt;
-新增鬥士：暗影騎士-夏洛特·羅西，那些罪大惡極的"&amp;"逃犯，必將在月光下得到審判！
-新增機甲：堅壘之心-戰龜，極致的防禦，摧毀敵人的一切妄想！
-新增鬥士雕像：凱恩，來為你的城鎮等級增添更多光彩吧！
-新增天賦樹：抗擊，捍衛領土的強硬手段，痛擊來犯者的最佳之選！
-新增豐收節活動
&lt;/zh-TW&gt;
&lt;id&gt;
-Pejuang Baru: Ksatria Bayangan—Charlotte Rossi. Para buronan keji itu akan menghadapi penghakiman di bawah sinar bulan!
-Meka"&amp;"nik Baru: Hati Benteng—Kura-Kura Perang. Pertahanan pamungkas yang menghancurkan semua delusi musuh!
-Patung Pejuang Baru: Kane. Tambahkan lebih banyak kemegahan ke kota kamu!
-Pohon Bakat Baru: Menahan—cara yang kuat untuk mempertahankan wilayah kamu dan"&amp;" pilihan terbaik untuk menyerang penyusup!
-Event Thanksgiving Baru
&lt;/id&gt;
&lt;th&gt;
-นักสู้ตัวใหม่: อัศวินเงา—ชาร์ล็อตต์ รอสซี่. ผู้หลบหนีที่ชั่วร้ายเหล่านั้นจะต้องเผชิญกับการตัดสินภายใต้แสงจันทร์!
-เมคใหม่: หัวใจแห่งปราการ—เต่าศึก. การป้องกันขั้นสูงสุดที่บดขย"&amp;"ี้ความเพ้อฝันของศัตรูทั้งหมด!
-รูปปั้นนักสู้ตัวใหม่: เคน. เพิ่มความสว่างไสวให้กับเมืองของคุณ!
-ต้นไม้ความสามารถใหม่: ทนทาน—วิธีการป้องกันอาณาเขตของคุณที่ทรงพลังและเป็นตัวเลือกที่ดีที่สุดในการโจมตีผู้รุกราน!
-กิจกรรมวันขอบคุณพระเจ้าใหม่
&lt;/th&gt;
&lt;es-419&gt;
-Nue"&amp;"vo Luchador: Caballero de Sombra—Charlotte Rossi. ¡Esos fugitivos viles enfrentarán el juicio bajo la luz de la luna!
-Nuevo Meca: Corazón del Bastión—Tortuga de Guerra. ¡Defensa definitiva que aplasta todas las ilusiones enemigas!
-Nueva Estatua del Luch"&amp;"ador: Kane. ¡Agrega más brillo a tu ciudad!
-Nuevo Árbol de Talento: Resistir—un medio poderoso para defender tu territorio y la mejor opción para atacar a los invasores!
-Nuevos Eventos de Acción de Gracias
&lt;/es-419&gt;
&lt;ru-RU&gt;
-Новый герой: Рыцарь Тени—Шар"&amp;"лотта Росси. Эти гнусные беглецы встретят правосудие под лунным светом!
-Новый Мех: Сердце оплота—Военная Черепаха. Абсолютная защита, разрушающая все иллюзии врага!
-Новая статуя героя: Кейн. Добавьте больше блеска вашему городу!
-Новое дерево талантов: "&amp;"Выдержать—мощное средство защиты вашей территории и лучший выбор для удара по захватчикам!
-Новые события на День благодарения
&lt;/ru-RU&gt;
&lt;tr-TR&gt;
-Yeni Savaşçı: Gölge Şövalye—Charlotte Rossi. O alçak kaçaklar ay ışığında yargılanacak!
-Yeni Meka: Burç Kalbi"&amp;"—SavaşKaplumbağası. Tüm düşman hayallerini ezip geçen nihai savunma!
-Yeni Savaşçı Heykeli: Kane. Şehrine daha fazla parlaklık kat!
-Yeni Yetenek Ağacı: Karşıla—bölgeni savunmanın güçlü bir yolu ve istilacılara karşı en iyi seçim!
-Yeni Şükran Günü Etkinl"&amp;"ikleri
&lt;/tr-TR&gt;
&lt;vi&gt;
-Chiến Binh Mới: Kỵ Sĩ Bóng Đêm—Charlotte Rossi. Những tên tội phạm ghê tởm đó sẽ phải đối mặt với phán xét dưới ánh trăng!
-Cơ Khí Mới: Trái Tim Pháo Đài—Rùa Chiến. Phòng thủ tối thượng nghiền nát mọi ảo tưởng của kẻ địch!
-Tượng Chi"&amp;"ến Binh Mới: Kane. Thêm sự rực rỡ cho thành phố của bạn!
-Cây Tài Năng Mới: Chịu Đựng—một phương tiện mạnh mẽ để bảo vệ lãnh thổ của bạn và là lựa chọn tốt nhất để đánh bại kẻ xâm lược!
-Sự Kiện Lễ Tạ Ơn Mới
&lt;/vi&gt;
&lt;it-IT&gt;
-Nuovo Combattente: Cavaliere Omb"&amp;"ra—Charlotte Rossi. Quei malvagi fuggitivi affronteranno il giudizio sotto la luce della luna!
-Nuovo Mech: Cuore del Bastione—Tartaruga da Guerra. Difesa suprema che schiaccia tutte le illusioni nemiche!
-Nuova Statua del Combattente: Kane. Aggiungi più "&amp;"splendore alla tua città!
-Nuovo Albero dei Talenti: Resistere—un potente mezzo per difendere il tuo territorio e la scelta migliore per colpire gli invasori!
-Nuovi Eventi del Ringraziamento
&lt;/it-IT&gt;
&lt;pl-PL&gt;
-Nowy Wojownik: Rycerz Cienia—Charlotte Rossi."&amp;" Ci nikczemni uciekinierzy staną przed sądem w świetle księżyca!
-Nowy Mech: Serce Bastionu—Wojenny Żółw. Ostateczna obrona, która miażdży wszystkie złudzenia wroga!
-Nowy Pomnik Wojownika: Kane. Dodaj więcej blasku swojemu miastu!
-Nowe Drzewo Talentów: "&amp;"Wytrzymać—potężny sposób obrony swojego terytorium i najlepszy wybór do atakowania najeźdźców!
-Nowe Wydarzenia Dziękczynne
&lt;/pl-PL&gt;
&lt;ar&gt;
-مقاتل جديد: فارس الظل—شارلوت روسي. سيواجه هؤلاء الهاربون الأشرار الحكم تحت ضوء القمر!
-ميكا جديد: قلب الحصن—سلحفاة ا"&amp;"لحرب. الدفاع النهائي الذي يسحق كل أوهام العدو!
-تمثال مقاتل جديد: كين. أضف المزيد من التألق إلى مدينتك!
-شجرة مواهب جديدة: تحمل—وسيلة قوية للدفاع عن إقليمك وأفضل خيار لضرب المقتحمين!
-أحداث عيد الشكر الجديدة
&lt;/ar&gt;
&lt;ja-JP&gt;
-新しいファイター: シャドウナイト—シャーロット・ロッシ。あの凶"&amp;"悪な逃亡者たちは月光の下で裁きを受けるだろう！
-新しいメカ: バスティオンの心—ウォータートル。すべての敵の妄想を打ち砕く究極の防御！
-新しいファイターの像: カネ。あなたの都市にさらなる輝きを追加しよう！
-新しいアビリティツリー: 耐える—領土を防御する強力な手段であり、侵略者を撃退するための最良の選択！
-新しい感謝祭イベント
&lt;/ja-JP&gt;
&lt;ko-KR&gt;
-새로운 전사: 섀도우 나이트—샬럿 로시. 그 악랄한 도망자들은 달빛 아래에서 심판을 받을 것이다!
-새로운 메카: 요새의"&amp;" 마음—전쟁 거북이. 모든 적의 망상을 무너뜨리는 궁극의 방어!
-새로운 전사 석상: 케인. 당신의 도시에 더 많은 빛을 추가하세요!
-새로운 재능 나무: 견디다—당신의 영토를 방어하는 강력한 수단이자 침입자를 공격하는 최고의 선택!
-새로운 추수감사절 이벤트
&lt;/ko-KR&gt;
")</f>
        <v>&lt;en-US&gt;
-New Fighter: Shadow Knight—Charlotte Rossi. Those heinous fugitives will face judgment under the moonlight!
-New Mech: Heart of Bastion—WarTurtle. Ultimate defense that crushes all enemy delusions!
-New Fighter Statue: Kane. Add more brilliance to your city!
-New Talent Tree: Withstand—a powerful means of defending your territory and the best choice to strike invaders!
-New Thanksgiving Events
&lt;/en-US&gt;
&lt;fr-FR&gt;
-Nouveau combattant : Chevalier de l'Ombre—Charlotte Rossi. Ces fugitifs odieux feront face au jugement sous le clair de lune !
-Nouveau Mécha : Cœur du Bastion—Tortue de Guerre. Défense ultime qui écrase toutes les illusions ennemies !
-Nouvelle statue du combattant : Kane. Ajoutez plus d'éclat à votre ville !
-Nouvel arbre de talents : Résister—un moyen puissant de défendre votre territoire et le meilleur choix pour frapper les envahisseurs !
-Nouveaux événements de Thanksgiving
&lt;/fr-FR&gt;
&lt;de-DE&gt;
-Neuer Kämpfer: Schattenritter—Charlotte Rossi. Diese abscheulichen Flüchtlinge werden im Mondlicht gerichtet!
-Neuer Mech: Herz der Bastion—KriegsSchildkröte. Ultimative Verteidigung, die alle feindlichen Illusionen zerschmettert!
-Neue Kämpfer-Statue: Kane. Füge deiner Stadt mehr Glanz hinzu!
-Neuer Talentbaum: Widerstehen—ein mächtiges Mittel zur Verteidigung deines Territoriums und die beste Wahl, um Invasoren zu schlagen!
-Neue Thanksgiving-Events
&lt;/de-DE&gt;
&lt;pt-BR&gt;
-Novo Combatente: Cavaleiro Sombrio—Charlotte Rossi. Aqueles fugitivos hediondos enfrentarão o julgamento sob o luar!
-Novo Mech: Coração do Bastião—GuerraTartaruga. Defesa suprema que esmaga todas as ilusões do inimigo!
-Nova Estátua Combatente: Kane. Adicione mais brilho à sua cidade!
-Nova Árvore de Talento: Resistir—um meio poderoso de defender seu território e a melhor escolha para atacar invasores!
-Novos Eventos de Ação de Graças
&lt;/pt-BR&gt;
&lt;zh-HK&gt;
-新增鬥士：暗影騎士-夏洛特·羅西，那些罪大惡極的逃犯，必將在月光下得到審判！
-新增機甲：堅壘之心-戰龜，極致的防禦，摧毀敵人的一切妄想！
-新增鬥士雕像：凱恩，來為你的城鎮等級增添更多光彩吧！
-新增天賦樹：抗擊，捍衛領土的強硬手段，痛擊來犯者的最佳之選！
-新增豐收節活動
&lt;/zh-HK&gt;
&lt;zh-TW&gt;
-新增鬥士：暗影騎士-夏洛特·羅西，那些罪大惡極的逃犯，必將在月光下得到審判！
-新增機甲：堅壘之心-戰龜，極致的防禦，摧毀敵人的一切妄想！
-新增鬥士雕像：凱恩，來為你的城鎮等級增添更多光彩吧！
-新增天賦樹：抗擊，捍衛領土的強硬手段，痛擊來犯者的最佳之選！
-新增豐收節活動
&lt;/zh-TW&gt;
&lt;id&gt;
-Pejuang Baru: Ksatria Bayangan—Charlotte Rossi. Para buronan keji itu akan menghadapi penghakiman di bawah sinar bulan!
-Mekanik Baru: Hati Benteng—Kura-Kura Perang. Pertahanan pamungkas yang menghancurkan semua delusi musuh!
-Patung Pejuang Baru: Kane. Tambahkan lebih banyak kemegahan ke kota kamu!
-Pohon Bakat Baru: Menahan—cara yang kuat untuk mempertahankan wilayah kamu dan pilihan terbaik untuk menyerang penyusup!
-Event Thanksgiving Baru
&lt;/id&gt;
&lt;th&gt;
-นักสู้ตัวใหม่: อัศวินเงา—ชาร์ล็อตต์ รอสซี่. ผู้หลบหนีที่ชั่วร้ายเหล่านั้นจะต้องเผชิญกับการตัดสินภายใต้แสงจันทร์!
-เมคใหม่: หัวใจแห่งปราการ—เต่าศึก. การป้องกันขั้นสูงสุดที่บดขยี้ความเพ้อฝันของศัตรูทั้งหมด!
-รูปปั้นนักสู้ตัวใหม่: เคน. เพิ่มความสว่างไสวให้กับเมืองของคุณ!
-ต้นไม้ความสามารถใหม่: ทนทาน—วิธีการป้องกันอาณาเขตของคุณที่ทรงพลังและเป็นตัวเลือกที่ดีที่สุดในการโจมตีผู้รุกราน!
-กิจกรรมวันขอบคุณพระเจ้าใหม่
&lt;/th&gt;
&lt;es-419&gt;
-Nuevo Luchador: Caballero de Sombra—Charlotte Rossi. ¡Esos fugitivos viles enfrentarán el juicio bajo la luz de la luna!
-Nuevo Meca: Corazón del Bastión—Tortuga de Guerra. ¡Defensa definitiva que aplasta todas las ilusiones enemigas!
-Nueva Estatua del Luchador: Kane. ¡Agrega más brillo a tu ciudad!
-Nuevo Árbol de Talento: Resistir—un medio poderoso para defender tu territorio y la mejor opción para atacar a los invasores!
-Nuevos Eventos de Acción de Gracias
&lt;/es-419&gt;
&lt;ru-RU&gt;
-Новый герой: Рыцарь Тени—Шарлотта Росси. Эти гнусные беглецы встретят правосудие под лунным светом!
-Новый Мех: Сердце оплота—Военная Черепаха. Абсолютная защита, разрушающая все иллюзии врага!
-Новая статуя героя: Кейн. Добавьте больше блеска вашему городу!
-Новое дерево талантов: Выдержать—мощное средство защиты вашей территории и лучший выбор для удара по захватчикам!
-Новые события на День благодарения
&lt;/ru-RU&gt;
&lt;tr-TR&gt;
-Yeni Savaşçı: Gölge Şövalye—Charlotte Rossi. O alçak kaçaklar ay ışığında yargılanacak!
-Yeni Meka: Burç Kalbi—SavaşKaplumbağası. Tüm düşman hayallerini ezip geçen nihai savunma!
-Yeni Savaşçı Heykeli: Kane. Şehrine daha fazla parlaklık kat!
-Yeni Yetenek Ağacı: Karşıla—bölgeni savunmanın güçlü bir yolu ve istilacılara karşı en iyi seçim!
-Yeni Şükran Günü Etkinlikleri
&lt;/tr-TR&gt;
&lt;vi&gt;
-Chiến Binh Mới: Kỵ Sĩ Bóng Đêm—Charlotte Rossi. Những tên tội phạm ghê tởm đó sẽ phải đối mặt với phán xét dưới ánh trăng!
-Cơ Khí Mới: Trái Tim Pháo Đài—Rùa Chiến. Phòng thủ tối thượng nghiền nát mọi ảo tưởng của kẻ địch!
-Tượng Chiến Binh Mới: Kane. Thêm sự rực rỡ cho thành phố của bạn!
-Cây Tài Năng Mới: Chịu Đựng—một phương tiện mạnh mẽ để bảo vệ lãnh thổ của bạn và là lựa chọn tốt nhất để đánh bại kẻ xâm lược!
-Sự Kiện Lễ Tạ Ơn Mới
&lt;/vi&gt;
&lt;it-IT&gt;
-Nuovo Combattente: Cavaliere Ombra—Charlotte Rossi. Quei malvagi fuggitivi affronteranno il giudizio sotto la luce della luna!
-Nuovo Mech: Cuore del Bastione—Tartaruga da Guerra. Difesa suprema che schiaccia tutte le illusioni nemiche!
-Nuova Statua del Combattente: Kane. Aggiungi più splendore alla tua città!
-Nuovo Albero dei Talenti: Resistere—un potente mezzo per difendere il tuo territorio e la scelta migliore per colpire gli invasori!
-Nuovi Eventi del Ringraziamento
&lt;/it-IT&gt;
&lt;pl-PL&gt;
-Nowy Wojownik: Rycerz Cienia—Charlotte Rossi. Ci nikczemni uciekinierzy staną przed sądem w świetle księżyca!
-Nowy Mech: Serce Bastionu—Wojenny Żółw. Ostateczna obrona, która miażdży wszystkie złudzenia wroga!
-Nowy Pomnik Wojownika: Kane. Dodaj więcej blasku swojemu miastu!
-Nowe Drzewo Talentów: Wytrzymać—potężny sposób obrony swojego terytorium i najlepszy wybór do atakowania najeźdźców!
-Nowe Wydarzenia Dziękczynne
&lt;/pl-PL&gt;
&lt;ar&gt;
-مقاتل جديد: فارس الظل—شارلوت روسي. سيواجه هؤلاء الهاربون الأشرار الحكم تحت ضوء القمر!
-ميكا جديد: قلب الحصن—سلحفاة الحرب. الدفاع النهائي الذي يسحق كل أوهام العدو!
-تمثال مقاتل جديد: كين. أضف المزيد من التألق إلى مدينتك!
-شجرة مواهب جديدة: تحمل—وسيلة قوية للدفاع عن إقليمك وأفضل خيار لضرب المقتحمين!
-أحداث عيد الشكر الجديدة
&lt;/ar&gt;
&lt;ja-JP&gt;
-新しいファイター: シャドウナイト—シャーロット・ロッシ。あの凶悪な逃亡者たちは月光の下で裁きを受けるだろう！
-新しいメカ: バスティオンの心—ウォータートル。すべての敵の妄想を打ち砕く究極の防御！
-新しいファイターの像: カネ。あなたの都市にさらなる輝きを追加しよう！
-新しいアビリティツリー: 耐える—領土を防御する強力な手段であり、侵略者を撃退するための最良の選択！
-新しい感謝祭イベント
&lt;/ja-JP&gt;
&lt;ko-KR&gt;
-새로운 전사: 섀도우 나이트—샬럿 로시. 그 악랄한 도망자들은 달빛 아래에서 심판을 받을 것이다!
-새로운 메카: 요새의 마음—전쟁 거북이. 모든 적의 망상을 무너뜨리는 궁극의 방어!
-새로운 전사 석상: 케인. 당신의 도시에 더 많은 빛을 추가하세요!
-새로운 재능 나무: 견디다—당신의 영토를 방어하는 강력한 수단이자 침입자를 공격하는 최고의 선택!
-새로운 추수감사절 이벤트
&lt;/ko-KR&gt;
</v>
      </c>
      <c r="C79" s="44" t="str">
        <f>IFERROR(__xludf.DUMMYFUNCTION("""COMPUTED_VALUE"""),"-新增斗士：暗影骑士-夏洛特·罗西，那些罪大恶极的逃犯，必将在月光下得到审判！
-新增机甲：坚垒之心-战龟，极致的防御，摧毁敌人的一切妄想！
-新增斗士雕像：凯恩，来为你的城市增添更多光彩吧！
-新增天赋树：抗击，捍卫领土的强硬手段，痛击来犯者的最佳之选！
-新增丰收节活动")</f>
        <v>-新增斗士：暗影骑士-夏洛特·罗西，那些罪大恶极的逃犯，必将在月光下得到审判！
-新增机甲：坚垒之心-战龟，极致的防御，摧毁敌人的一切妄想！
-新增斗士雕像：凯恩，来为你的城市增添更多光彩吧！
-新增天赋树：抗击，捍卫领土的强硬手段，痛击来犯者的最佳之选！
-新增丰收节活动</v>
      </c>
      <c r="D79" s="159" t="str">
        <f>IFERROR(__xludf.DUMMYFUNCTION("""COMPUTED_VALUE"""),"-New Fighter: Shadow Knight—Charlotte Rossi. Those heinous fugitives will face judgment under the moonlight!
-New Mech: Heart of Bastion—WarTurtle. Ultimate defense that crushes all enemy delusions!
-New Fighter Statue: Kane. Add more brilliance to your c"&amp;"ity!
-New Talent Tree: Withstand—a powerful means of defending your territory and the best choice to strike invaders!
-New Thanksgiving Events")</f>
        <v>-New Fighter: Shadow Knight—Charlotte Rossi. Those heinous fugitives will face judgment under the moonlight!
-New Mech: Heart of Bastion—WarTurtle. Ultimate defense that crushes all enemy delusions!
-New Fighter Statue: Kane. Add more brilliance to your city!
-New Talent Tree: Withstand—a powerful means of defending your territory and the best choice to strike invaders!
-New Thanksgiving Events</v>
      </c>
      <c r="E79" s="159" t="str">
        <f>IFERROR(__xludf.DUMMYFUNCTION("""COMPUTED_VALUE"""),"-Nouveau combattant : Chevalier de l'Ombre—Charlotte Rossi. Ces fugitifs odieux feront face au jugement sous le clair de lune !
-Nouveau Mécha : Cœur du Bastion—Tortue de Guerre. Défense ultime qui écrase toutes les illusions ennemies !
-Nouvelle statue d"&amp;"u combattant : Kane. Ajoutez plus d'éclat à votre ville !
-Nouvel arbre de talents : Résister—un moyen puissant de défendre votre territoire et le meilleur choix pour frapper les envahisseurs !
-Nouveaux événements de Thanksgiving")</f>
        <v>-Nouveau combattant : Chevalier de l'Ombre—Charlotte Rossi. Ces fugitifs odieux feront face au jugement sous le clair de lune !
-Nouveau Mécha : Cœur du Bastion—Tortue de Guerre. Défense ultime qui écrase toutes les illusions ennemies !
-Nouvelle statue du combattant : Kane. Ajoutez plus d'éclat à votre ville !
-Nouvel arbre de talents : Résister—un moyen puissant de défendre votre territoire et le meilleur choix pour frapper les envahisseurs !
-Nouveaux événements de Thanksgiving</v>
      </c>
      <c r="F79" s="159" t="str">
        <f>IFERROR(__xludf.DUMMYFUNCTION("""COMPUTED_VALUE"""),"-Neuer Kämpfer: Schattenritter—Charlotte Rossi. Diese abscheulichen Flüchtlinge werden im Mondlicht gerichtet!
-Neuer Mech: Herz der Bastion—KriegsSchildkröte. Ultimative Verteidigung, die alle feindlichen Illusionen zerschmettert!
-Neue Kämpfer-Statue: K"&amp;"ane. Füge deiner Stadt mehr Glanz hinzu!
-Neuer Talentbaum: Widerstehen—ein mächtiges Mittel zur Verteidigung deines Territoriums und die beste Wahl, um Invasoren zu schlagen!
-Neue Thanksgiving-Events")</f>
        <v>-Neuer Kämpfer: Schattenritter—Charlotte Rossi. Diese abscheulichen Flüchtlinge werden im Mondlicht gerichtet!
-Neuer Mech: Herz der Bastion—KriegsSchildkröte. Ultimative Verteidigung, die alle feindlichen Illusionen zerschmettert!
-Neue Kämpfer-Statue: Kane. Füge deiner Stadt mehr Glanz hinzu!
-Neuer Talentbaum: Widerstehen—ein mächtiges Mittel zur Verteidigung deines Territoriums und die beste Wahl, um Invasoren zu schlagen!
-Neue Thanksgiving-Events</v>
      </c>
      <c r="G79" s="159" t="str">
        <f>IFERROR(__xludf.DUMMYFUNCTION("""COMPUTED_VALUE"""),"-Novo Combatente: Cavaleiro Sombrio—Charlotte Rossi. Aqueles fugitivos hediondos enfrentarão o julgamento sob o luar!
-Novo Mech: Coração do Bastião—GuerraTartaruga. Defesa suprema que esmaga todas as ilusões do inimigo!
-Nova Estátua Combatente: Kane. Ad"&amp;"icione mais brilho à sua cidade!
-Nova Árvore de Talento: Resistir—um meio poderoso de defender seu território e a melhor escolha para atacar invasores!
-Novos Eventos de Ação de Graças")</f>
        <v>-Novo Combatente: Cavaleiro Sombrio—Charlotte Rossi. Aqueles fugitivos hediondos enfrentarão o julgamento sob o luar!
-Novo Mech: Coração do Bastião—GuerraTartaruga. Defesa suprema que esmaga todas as ilusões do inimigo!
-Nova Estátua Combatente: Kane. Adicione mais brilho à sua cidade!
-Nova Árvore de Talento: Resistir—um meio poderoso de defender seu território e a melhor escolha para atacar invasores!
-Novos Eventos de Ação de Graças</v>
      </c>
      <c r="H79" s="159" t="str">
        <f>IFERROR(__xludf.DUMMYFUNCTION("""COMPUTED_VALUE"""),"-新增鬥士：暗影騎士-夏洛特·羅西，那些罪大惡極的逃犯，必將在月光下得到審判！
-新增機甲：堅壘之心-戰龜，極致的防禦，摧毀敵人的一切妄想！
-新增鬥士雕像：凱恩，來為你的城鎮等級增添更多光彩吧！
-新增天賦樹：抗擊，捍衛領土的強硬手段，痛擊來犯者的最佳之選！
-新增豐收節活動")</f>
        <v>-新增鬥士：暗影騎士-夏洛特·羅西，那些罪大惡極的逃犯，必將在月光下得到審判！
-新增機甲：堅壘之心-戰龜，極致的防禦，摧毀敵人的一切妄想！
-新增鬥士雕像：凱恩，來為你的城鎮等級增添更多光彩吧！
-新增天賦樹：抗擊，捍衛領土的強硬手段，痛擊來犯者的最佳之選！
-新增豐收節活動</v>
      </c>
      <c r="I79" s="159" t="str">
        <f>IFERROR(__xludf.DUMMYFUNCTION("""COMPUTED_VALUE"""),"-Pejuang Baru: Ksatria Bayangan—Charlotte Rossi. Para buronan keji itu akan menghadapi penghakiman di bawah sinar bulan!
-Mekanik Baru: Hati Benteng—Kura-Kura Perang. Pertahanan pamungkas yang menghancurkan semua delusi musuh!
-Patung Pejuang Baru: Kane. "&amp;"Tambahkan lebih banyak kemegahan ke kota kamu!
-Pohon Bakat Baru: Menahan—cara yang kuat untuk mempertahankan wilayah kamu dan pilihan terbaik untuk menyerang penyusup!
-Event Thanksgiving Baru")</f>
        <v>-Pejuang Baru: Ksatria Bayangan—Charlotte Rossi. Para buronan keji itu akan menghadapi penghakiman di bawah sinar bulan!
-Mekanik Baru: Hati Benteng—Kura-Kura Perang. Pertahanan pamungkas yang menghancurkan semua delusi musuh!
-Patung Pejuang Baru: Kane. Tambahkan lebih banyak kemegahan ke kota kamu!
-Pohon Bakat Baru: Menahan—cara yang kuat untuk mempertahankan wilayah kamu dan pilihan terbaik untuk menyerang penyusup!
-Event Thanksgiving Baru</v>
      </c>
      <c r="J79" s="159" t="str">
        <f>IFERROR(__xludf.DUMMYFUNCTION("""COMPUTED_VALUE"""),"-นักสู้ตัวใหม่: อัศวินเงา—ชาร์ล็อตต์ รอสซี่. ผู้หลบหนีที่ชั่วร้ายเหล่านั้นจะต้องเผชิญกับการตัดสินภายใต้แสงจันทร์!
-เมคใหม่: หัวใจแห่งปราการ—เต่าศึก. การป้องกันขั้นสูงสุดที่บดขยี้ความเพ้อฝันของศัตรูทั้งหมด!
-รูปปั้นนักสู้ตัวใหม่: เคน. เพิ่มความสว่างไสวให้ก"&amp;"ับเมืองของคุณ!
-ต้นไม้ความสามารถใหม่: ทนทาน—วิธีการป้องกันอาณาเขตของคุณที่ทรงพลังและเป็นตัวเลือกที่ดีที่สุดในการโจมตีผู้รุกราน!
-กิจกรรมวันขอบคุณพระเจ้าใหม่")</f>
        <v>-นักสู้ตัวใหม่: อัศวินเงา—ชาร์ล็อตต์ รอสซี่. ผู้หลบหนีที่ชั่วร้ายเหล่านั้นจะต้องเผชิญกับการตัดสินภายใต้แสงจันทร์!
-เมคใหม่: หัวใจแห่งปราการ—เต่าศึก. การป้องกันขั้นสูงสุดที่บดขยี้ความเพ้อฝันของศัตรูทั้งหมด!
-รูปปั้นนักสู้ตัวใหม่: เคน. เพิ่มความสว่างไสวให้กับเมืองของคุณ!
-ต้นไม้ความสามารถใหม่: ทนทาน—วิธีการป้องกันอาณาเขตของคุณที่ทรงพลังและเป็นตัวเลือกที่ดีที่สุดในการโจมตีผู้รุกราน!
-กิจกรรมวันขอบคุณพระเจ้าใหม่</v>
      </c>
      <c r="K79" s="159" t="str">
        <f>IFERROR(__xludf.DUMMYFUNCTION("""COMPUTED_VALUE"""),"-Nuevo Luchador: Caballero de Sombra—Charlotte Rossi. ¡Esos fugitivos viles enfrentarán el juicio bajo la luz de la luna!
-Nuevo Meca: Corazón del Bastión—Tortuga de Guerra. ¡Defensa definitiva que aplasta todas las ilusiones enemigas!
-Nueva Estatua del "&amp;"Luchador: Kane. ¡Agrega más brillo a tu ciudad!
-Nuevo Árbol de Talento: Resistir—un medio poderoso para defender tu territorio y la mejor opción para atacar a los invasores!
-Nuevos Eventos de Acción de Gracias")</f>
        <v>-Nuevo Luchador: Caballero de Sombra—Charlotte Rossi. ¡Esos fugitivos viles enfrentarán el juicio bajo la luz de la luna!
-Nuevo Meca: Corazón del Bastión—Tortuga de Guerra. ¡Defensa definitiva que aplasta todas las ilusiones enemigas!
-Nueva Estatua del Luchador: Kane. ¡Agrega más brillo a tu ciudad!
-Nuevo Árbol de Talento: Resistir—un medio poderoso para defender tu territorio y la mejor opción para atacar a los invasores!
-Nuevos Eventos de Acción de Gracias</v>
      </c>
      <c r="L79" s="159" t="str">
        <f>IFERROR(__xludf.DUMMYFUNCTION("""COMPUTED_VALUE"""),"-Новый герой: Рыцарь Тени—Шарлотта Росси. Эти гнусные беглецы встретят правосудие под лунным светом!
-Новый Мех: Сердце оплота—Военная Черепаха. Абсолютная защита, разрушающая все иллюзии врага!
-Новая статуя героя: Кейн. Добавьте больше блеска вашему гор"&amp;"оду!
-Новое дерево талантов: Выдержать—мощное средство защиты вашей территории и лучший выбор для удара по захватчикам!
-Новые события на День благодарения")</f>
        <v>-Новый герой: Рыцарь Тени—Шарлотта Росси. Эти гнусные беглецы встретят правосудие под лунным светом!
-Новый Мех: Сердце оплота—Военная Черепаха. Абсолютная защита, разрушающая все иллюзии врага!
-Новая статуя героя: Кейн. Добавьте больше блеска вашему городу!
-Новое дерево талантов: Выдержать—мощное средство защиты вашей территории и лучший выбор для удара по захватчикам!
-Новые события на День благодарения</v>
      </c>
      <c r="M79" s="159" t="str">
        <f>IFERROR(__xludf.DUMMYFUNCTION("""COMPUTED_VALUE"""),"-Yeni Savaşçı: Gölge Şövalye—Charlotte Rossi. O alçak kaçaklar ay ışığında yargılanacak!
-Yeni Meka: Burç Kalbi—SavaşKaplumbağası. Tüm düşman hayallerini ezip geçen nihai savunma!
-Yeni Savaşçı Heykeli: Kane. Şehrine daha fazla parlaklık kat!
-Yeni Yetene"&amp;"k Ağacı: Karşıla—bölgeni savunmanın güçlü bir yolu ve istilacılara karşı en iyi seçim!
-Yeni Şükran Günü Etkinlikleri")</f>
        <v>-Yeni Savaşçı: Gölge Şövalye—Charlotte Rossi. O alçak kaçaklar ay ışığında yargılanacak!
-Yeni Meka: Burç Kalbi—SavaşKaplumbağası. Tüm düşman hayallerini ezip geçen nihai savunma!
-Yeni Savaşçı Heykeli: Kane. Şehrine daha fazla parlaklık kat!
-Yeni Yetenek Ağacı: Karşıla—bölgeni savunmanın güçlü bir yolu ve istilacılara karşı en iyi seçim!
-Yeni Şükran Günü Etkinlikleri</v>
      </c>
      <c r="N79" s="45" t="str">
        <f>IFERROR(__xludf.DUMMYFUNCTION("""COMPUTED_VALUE"""),"-Chiến Binh Mới: Kỵ Sĩ Bóng Đêm—Charlotte Rossi. Những tên tội phạm ghê tởm đó sẽ phải đối mặt với phán xét dưới ánh trăng!
-Cơ Khí Mới: Trái Tim Pháo Đài—Rùa Chiến. Phòng thủ tối thượng nghiền nát mọi ảo tưởng của kẻ địch!
-Tượng Chiến Binh Mới: Kane. Th"&amp;"êm sự rực rỡ cho thành phố của bạn!
-Cây Tài Năng Mới: Chịu Đựng—một phương tiện mạnh mẽ để bảo vệ lãnh thổ của bạn và là lựa chọn tốt nhất để đánh bại kẻ xâm lược!
-Sự Kiện Lễ Tạ Ơn Mới")</f>
        <v>-Chiến Binh Mới: Kỵ Sĩ Bóng Đêm—Charlotte Rossi. Những tên tội phạm ghê tởm đó sẽ phải đối mặt với phán xét dưới ánh trăng!
-Cơ Khí Mới: Trái Tim Pháo Đài—Rùa Chiến. Phòng thủ tối thượng nghiền nát mọi ảo tưởng của kẻ địch!
-Tượng Chiến Binh Mới: Kane. Thêm sự rực rỡ cho thành phố của bạn!
-Cây Tài Năng Mới: Chịu Đựng—một phương tiện mạnh mẽ để bảo vệ lãnh thổ của bạn và là lựa chọn tốt nhất để đánh bại kẻ xâm lược!
-Sự Kiện Lễ Tạ Ơn Mới</v>
      </c>
      <c r="O79" s="45" t="str">
        <f>IFERROR(__xludf.DUMMYFUNCTION("""COMPUTED_VALUE"""),"-Nuovo Combattente: Cavaliere Ombra—Charlotte Rossi. Quei malvagi fuggitivi affronteranno il giudizio sotto la luce della luna!
-Nuovo Mech: Cuore del Bastione—Tartaruga da Guerra. Difesa suprema che schiaccia tutte le illusioni nemiche!
-Nuova Statua del"&amp;" Combattente: Kane. Aggiungi più splendore alla tua città!
-Nuovo Albero dei Talenti: Resistere—un potente mezzo per difendere il tuo territorio e la scelta migliore per colpire gli invasori!
-Nuovi Eventi del Ringraziamento")</f>
        <v>-Nuovo Combattente: Cavaliere Ombra—Charlotte Rossi. Quei malvagi fuggitivi affronteranno il giudizio sotto la luce della luna!
-Nuovo Mech: Cuore del Bastione—Tartaruga da Guerra. Difesa suprema che schiaccia tutte le illusioni nemiche!
-Nuova Statua del Combattente: Kane. Aggiungi più splendore alla tua città!
-Nuovo Albero dei Talenti: Resistere—un potente mezzo per difendere il tuo territorio e la scelta migliore per colpire gli invasori!
-Nuovi Eventi del Ringraziamento</v>
      </c>
      <c r="P79" s="34" t="str">
        <f>IFERROR(__xludf.DUMMYFUNCTION("""COMPUTED_VALUE"""),"-Nowy Wojownik: Rycerz Cienia—Charlotte Rossi. Ci nikczemni uciekinierzy staną przed sądem w świetle księżyca!
-Nowy Mech: Serce Bastionu—Wojenny Żółw. Ostateczna obrona, która miażdży wszystkie złudzenia wroga!
-Nowy Pomnik Wojownika: Kane. Dodaj więcej "&amp;"blasku swojemu miastu!
-Nowe Drzewo Talentów: Wytrzymać—potężny sposób obrony swojego terytorium i najlepszy wybór do atakowania najeźdźców!
-Nowe Wydarzenia Dziękczynne")</f>
        <v>-Nowy Wojownik: Rycerz Cienia—Charlotte Rossi. Ci nikczemni uciekinierzy staną przed sądem w świetle księżyca!
-Nowy Mech: Serce Bastionu—Wojenny Żółw. Ostateczna obrona, która miażdży wszystkie złudzenia wroga!
-Nowy Pomnik Wojownika: Kane. Dodaj więcej blasku swojemu miastu!
-Nowe Drzewo Talentów: Wytrzymać—potężny sposób obrony swojego terytorium i najlepszy wybór do atakowania najeźdźców!
-Nowe Wydarzenia Dziękczynne</v>
      </c>
      <c r="Q79" s="34" t="str">
        <f>IFERROR(__xludf.DUMMYFUNCTION("""COMPUTED_VALUE"""),"-مقاتل جديد: فارس الظل—شارلوت روسي. سيواجه هؤلاء الهاربون الأشرار الحكم تحت ضوء القمر!
-ميكا جديد: قلب الحصن—سلحفاة الحرب. الدفاع النهائي الذي يسحق كل أوهام العدو!
-تمثال مقاتل جديد: كين. أضف المزيد من التألق إلى مدينتك!
-شجرة مواهب جديدة: تحمل—وسيلة قوية"&amp;" للدفاع عن إقليمك وأفضل خيار لضرب المقتحمين!
-أحداث عيد الشكر الجديدة")</f>
        <v>-مقاتل جديد: فارس الظل—شارلوت روسي. سيواجه هؤلاء الهاربون الأشرار الحكم تحت ضوء القمر!
-ميكا جديد: قلب الحصن—سلحفاة الحرب. الدفاع النهائي الذي يسحق كل أوهام العدو!
-تمثال مقاتل جديد: كين. أضف المزيد من التألق إلى مدينتك!
-شجرة مواهب جديدة: تحمل—وسيلة قوية للدفاع عن إقليمك وأفضل خيار لضرب المقتحمين!
-أحداث عيد الشكر الجديدة</v>
      </c>
      <c r="R79" s="34" t="str">
        <f>IFERROR(__xludf.DUMMYFUNCTION("""COMPUTED_VALUE"""),"-新しいファイター: シャドウナイト—シャーロット・ロッシ。あの凶悪な逃亡者たちは月光の下で裁きを受けるだろう！
-新しいメカ: バスティオンの心—ウォータートル。すべての敵の妄想を打ち砕く究極の防御！
-新しいファイターの像: カネ。あなたの都市にさらなる輝きを追加しよう！
-新しいアビリティツリー: 耐える—領土を防御する強力な手段であり、侵略者を撃退するための最良の選択！
-新しい感謝祭イベント")</f>
        <v>-新しいファイター: シャドウナイト—シャーロット・ロッシ。あの凶悪な逃亡者たちは月光の下で裁きを受けるだろう！
-新しいメカ: バスティオンの心—ウォータートル。すべての敵の妄想を打ち砕く究極の防御！
-新しいファイターの像: カネ。あなたの都市にさらなる輝きを追加しよう！
-新しいアビリティツリー: 耐える—領土を防御する強力な手段であり、侵略者を撃退するための最良の選択！
-新しい感謝祭イベント</v>
      </c>
      <c r="S79" s="34" t="str">
        <f>IFERROR(__xludf.DUMMYFUNCTION("""COMPUTED_VALUE"""),"-새로운 전사: 섀도우 나이트—샬럿 로시. 그 악랄한 도망자들은 달빛 아래에서 심판을 받을 것이다!
-새로운 메카: 요새의 마음—전쟁 거북이. 모든 적의 망상을 무너뜨리는 궁극의 방어!
-새로운 전사 석상: 케인. 당신의 도시에 더 많은 빛을 추가하세요!
-새로운 재능 나무: 견디다—당신의 영토를 방어하는 강력한 수단이자 침입자를 공격하는 최고의 선택!
-새로운 추수감사절 이벤트")</f>
        <v>-새로운 전사: 섀도우 나이트—샬럿 로시. 그 악랄한 도망자들은 달빛 아래에서 심판을 받을 것이다!
-새로운 메카: 요새의 마음—전쟁 거북이. 모든 적의 망상을 무너뜨리는 궁극의 방어!
-새로운 전사 석상: 케인. 당신의 도시에 더 많은 빛을 추가하세요!
-새로운 재능 나무: 견디다—당신의 영토를 방어하는 강력한 수단이자 침입자를 공격하는 최고의 선택!
-새로운 추수감사절 이벤트</v>
      </c>
      <c r="T79" s="108"/>
      <c r="U79" s="108"/>
      <c r="V79" s="108"/>
      <c r="W79" s="108"/>
      <c r="X79" s="108"/>
      <c r="Y79" s="108"/>
      <c r="Z79" s="108"/>
    </row>
    <row r="80">
      <c r="A80" s="149" t="str">
        <f>IFERROR(__xludf.DUMMYFUNCTION("""COMPUTED_VALUE"""),"0.71.0")</f>
        <v>0.71.0</v>
      </c>
      <c r="B80" s="174" t="str">
        <f>IFERROR(__xludf.DUMMYFUNCTION("""COMPUTED_VALUE"""),"&lt;en-US&gt;
- New Fighter: Meet Reynold Schmidt, the Steel Commander! A mentor of triumph, the iron fist that commands the battlefield!
- New Fighter Statue: Gustave joins your city—add some flair!
- New Talent Tree: ""Destruction"" - Obliterate enemy Gangs' "&amp;"buildings and cities!
&lt;/en-US&gt;
&lt;fr-FR&gt;
- Nouveau combattant : Rencontrez Reynold Schmidt, le Commandant d'Acier ! Un mentor de la victoire, le poing de fer qui commande le champ de bataille !
- Nouvelle statue de combattant : Gustave rejoint votre ville—a"&amp;"joutez une touche de style !
- Nouvel arbre de talents : ""Destruction"" - Anéantissez les bâtiments et les villes des gangs ennemis !
&lt;/fr-FR&gt;
&lt;de-DE&gt;
- Neuer Kämpfer: Treffen Sie Reynold Schmidt, den Stahlkommandanten! Ein Mentor des Triumphs, die eiser"&amp;"ne Faust, die das Schlachtfeld beherrscht!
- Neue Kämpfer-Statue: Gustave schließt sich deiner Stadt an – füge etwas Flair hinzu!
- Neuer Talentbaum: ""Zerstörung"" - Vernichte die Gebäude und Städte feindlicher Clans!
&lt;/de-DE&gt;
&lt;pt-BR&gt;
- Novo Combatente: "&amp;"Conheça Reynold Schmidt, o Comandante de Aço! Um mentor do triunfo, o punho de ferro que comanda o campo de batalha!
- Nova Estátua Combatente: Gustave se junta à sua cidade—adicione um toque especial!
- Nova Árvore de Talentos: ""Destruição"" - Destrua o"&amp;"s edifícios e cidades das Gangues inimigas!
&lt;/pt-BR&gt;
&lt;zh-HK&gt;
-新增鬥士：鐵面教官-雷諾·施密特登場！鑄就勝利的教官，硝煙中的鐵拳戰士！
-新增鬥士雕像：古斯塔夫，來為你的城鎮等級增添更多光彩吧！
-新增天賦樹：“摧毀”-粉碎一切，讓敵方幫派的建造和城鎮等級化為烏有！
&lt;/zh-HK&gt;
&lt;zh-TW&gt;
-新增鬥士：鐵面教官-雷諾·施密特登場！鑄就勝利的教官，硝煙中的鐵拳戰士！
-新增鬥士雕像：古斯塔夫，來為你的城鎮等級增添更多光彩吧！
-新增天賦"&amp;"樹：“摧毀”-粉碎一切，讓敵方幫派的建造和城鎮等級化為烏有！
&lt;/zh-TW&gt;
&lt;id&gt;
- Pejuang Baru: Temui Reynold Schmidt, Komandan Baja! Seorang mentor kemenangan, tinju besi yang memimpin medan perang!
- Patung Pejuang Baru: Gustave bergabung dengan kota kamu—tambahkan sedikit gaya!
- Pohon "&amp;"Bakat Baru: ""Penghancuran"" - Hancurkan bangunan dan kota Geng musuh!
&lt;/id&gt;
&lt;th&gt;
- นักสู้ตัวใหม่: พบกับ เรย์โนลด์ ชมิดท์, ผู้บัญชาการเหล็ก! ผู้ให้คำปรึกษาแห่งชัยชนะ, กำปั้นเหล็กที่ควบคุมสนามรบ!
- รูปปั้นนักสู้ตัวใหม่: กุสตาฟเข้าร่วมเมืองของคุณ—เพิ่มความโ"&amp;"ดดเด่น!
- ต้นไม้ความสามารถใหม่: ""ทำลายล้าง"" - ทำลายสิ่งก่อสร้างและเมืองของแก๊งศัตรู!
&lt;/th&gt;
&lt;es-419&gt;
- Nuevo Luchador: ¡Conoce a Reynold Schmidt, el Comandante de Acero! ¡Un mentor del triunfo, el puño de hierro que comanda el campo de batalla!
- Nueva E"&amp;"statua del Luchador: Gustave se une a tu ciudad—¡añade un toque de estilo!
- Nuevo Árbol de Talento: ""Destrucción"" - ¡Destruye los edificios y ciudades de las Bandas enemigas!
&lt;/es-419&gt;
&lt;ru-RU&gt;
- Новый герой: Встречайте Рейнольда Шмидта, Стального коман"&amp;"дира! Наставник победы, железный кулак, командующий полем боя!
- Новая статуя героя: Гюстав присоединяется к вашему городу — добавьте немного стиля!
- Новое дерево талантов: ""Разрушение"" - Уничтожайте здания и города вражеских банд!
&lt;/ru-RU&gt;
&lt;tr-TR&gt;
- Y"&amp;"eni Savaşçı: Reynold Schmidt, Çelik Komutanı ile tanışın! Zaferin akıl hocası, savaş meydanına hükmeden demir yumruk!
- Yeni Savaşçı Heykeli: Gustave şehrinize katılıyor—biraz şıklık katın!
- Yeni Yetenek Ağacı: ""Yıkım"" - Düşman Çetelerinin binalarını v"&amp;"e şehirlerini yok edin!
&lt;/tr-TR&gt;
&lt;vi&gt;
- Chiến Binh Mới: Gặp Reynold Schmidt, Chỉ Huy Thép! Một người thầy của chiến thắng, nắm đấm sắt chỉ huy chiến trường!
- Tượng Chiến Binh Mới: Gustave gia nhập thành phố của bạn—thêm chút phong cách!
- Cây Tài Năng Mớ"&amp;"i: ""Sự Phá Hủy"" - Phá hủy các công trình và thành phố của Bang Hội địch!
&lt;/vi&gt;
&lt;it-IT&gt;
- Nuovo Combattente: Incontra Reynold Schmidt, il Comandante d'Acciaio! Un mentore del trionfo, il pugno di ferro che comanda il campo di battaglia!
- Nuova Statua de"&amp;"l Combattente: Gustave si unisce alla tua città—aggiungi un tocco di stile!
- Nuovo Albero dei Talenti: ""Distruzione"" - Distruggi gli edifici e le città delle Gang nemiche!
&lt;/it-IT&gt;
&lt;pl-PL&gt;
- Nowy Wojownik: Poznaj Reynolda Schmidta, Stalowego Dowódcę! M"&amp;"entor triumfu, żelazna pięść dowodząca polem bitwy!
- Nowy Pomnik Wojownika: Gustave dołącza do twojego miasta—dodaj trochę stylu!
- Nowe Drzewo Talentów: ""Zniszczenie"" - Zniszcz budynki i miasta wrogich Gangów!
&lt;/pl-PL&gt;
&lt;ar&gt;
- مقاتل جديد: قابل رينولد ش"&amp;"ميت، القائد الصلب! مرشد النصر، القبضة الحديدية التي تأمر ساحة المعركة!
- تمثال مقاتل جديد: غوستاف ينضم إلى مدينتك - أضف بعض الأناقة!
- شجرة مواهب جديدة: ""التدمير"" - دمر مباني ومدن العصابات العدوة!
&lt;/ar&gt;
&lt;ja-JP&gt;
- 新しいファイター: レイノルド・シュミット、鋼鉄の指揮官に会いましょう！勝利の師"&amp;"、戦場を指揮する鉄拳！
- 新しいファイターの像: グスターヴがあなたの都市に参加—少しの華やかさを追加しましょう！
- 新しいアビリティツリー: 「破壊」 - 敵ギルドの建物と都市を壊滅させましょう！
&lt;/ja-JP&gt;
&lt;ko-KR&gt;
- 새로운 전사: 강철 지휘관 레이놀드 슈미트를 만나보세요! 승리의 멘토, 전장을 지휘하는 강철 주먹!
- 새로운 전사 석상: 구스타브가 당신의 도시에 합류합니다—약간의 멋을 더해보세요!
- 새로운 재능 나무: ""파괴"" - 적 무리의 건물과"&amp;" 도시를 파괴하세요!
&lt;/ko-KR&gt;
")</f>
        <v>&lt;en-US&gt;
- New Fighter: Meet Reynold Schmidt, the Steel Commander! A mentor of triumph, the iron fist that commands the battlefield!
- New Fighter Statue: Gustave joins your city—add some flair!
- New Talent Tree: "Destruction" - Obliterate enemy Gangs' buildings and cities!
&lt;/en-US&gt;
&lt;fr-FR&gt;
- Nouveau combattant : Rencontrez Reynold Schmidt, le Commandant d'Acier ! Un mentor de la victoire, le poing de fer qui commande le champ de bataille !
- Nouvelle statue de combattant : Gustave rejoint votre ville—ajoutez une touche de style !
- Nouvel arbre de talents : "Destruction" - Anéantissez les bâtiments et les villes des gangs ennemis !
&lt;/fr-FR&gt;
&lt;de-DE&gt;
- Neuer Kämpfer: Treffen Sie Reynold Schmidt, den Stahlkommandanten! Ein Mentor des Triumphs, die eiserne Faust, die das Schlachtfeld beherrscht!
- Neue Kämpfer-Statue: Gustave schließt sich deiner Stadt an – füge etwas Flair hinzu!
- Neuer Talentbaum: "Zerstörung" - Vernichte die Gebäude und Städte feindlicher Clans!
&lt;/de-DE&gt;
&lt;pt-BR&gt;
- Novo Combatente: Conheça Reynold Schmidt, o Comandante de Aço! Um mentor do triunfo, o punho de ferro que comanda o campo de batalha!
- Nova Estátua Combatente: Gustave se junta à sua cidade—adicione um toque especial!
- Nova Árvore de Talentos: "Destruição" - Destrua os edifícios e cidades das Gangues inimigas!
&lt;/pt-BR&gt;
&lt;zh-HK&gt;
-新增鬥士：鐵面教官-雷諾·施密特登場！鑄就勝利的教官，硝煙中的鐵拳戰士！
-新增鬥士雕像：古斯塔夫，來為你的城鎮等級增添更多光彩吧！
-新增天賦樹：“摧毀”-粉碎一切，讓敵方幫派的建造和城鎮等級化為烏有！
&lt;/zh-HK&gt;
&lt;zh-TW&gt;
-新增鬥士：鐵面教官-雷諾·施密特登場！鑄就勝利的教官，硝煙中的鐵拳戰士！
-新增鬥士雕像：古斯塔夫，來為你的城鎮等級增添更多光彩吧！
-新增天賦樹：“摧毀”-粉碎一切，讓敵方幫派的建造和城鎮等級化為烏有！
&lt;/zh-TW&gt;
&lt;id&gt;
- Pejuang Baru: Temui Reynold Schmidt, Komandan Baja! Seorang mentor kemenangan, tinju besi yang memimpin medan perang!
- Patung Pejuang Baru: Gustave bergabung dengan kota kamu—tambahkan sedikit gaya!
- Pohon Bakat Baru: "Penghancuran" - Hancurkan bangunan dan kota Geng musuh!
&lt;/id&gt;
&lt;th&gt;
- นักสู้ตัวใหม่: พบกับ เรย์โนลด์ ชมิดท์, ผู้บัญชาการเหล็ก! ผู้ให้คำปรึกษาแห่งชัยชนะ, กำปั้นเหล็กที่ควบคุมสนามรบ!
- รูปปั้นนักสู้ตัวใหม่: กุสตาฟเข้าร่วมเมืองของคุณ—เพิ่มความโดดเด่น!
- ต้นไม้ความสามารถใหม่: "ทำลายล้าง" - ทำลายสิ่งก่อสร้างและเมืองของแก๊งศัตรู!
&lt;/th&gt;
&lt;es-419&gt;
- Nuevo Luchador: ¡Conoce a Reynold Schmidt, el Comandante de Acero! ¡Un mentor del triunfo, el puño de hierro que comanda el campo de batalla!
- Nueva Estatua del Luchador: Gustave se une a tu ciudad—¡añade un toque de estilo!
- Nuevo Árbol de Talento: "Destrucción" - ¡Destruye los edificios y ciudades de las Bandas enemigas!
&lt;/es-419&gt;
&lt;ru-RU&gt;
- Новый герой: Встречайте Рейнольда Шмидта, Стального командира! Наставник победы, железный кулак, командующий полем боя!
- Новая статуя героя: Гюстав присоединяется к вашему городу — добавьте немного стиля!
- Новое дерево талантов: "Разрушение" - Уничтожайте здания и города вражеских банд!
&lt;/ru-RU&gt;
&lt;tr-TR&gt;
- Yeni Savaşçı: Reynold Schmidt, Çelik Komutanı ile tanışın! Zaferin akıl hocası, savaş meydanına hükmeden demir yumruk!
- Yeni Savaşçı Heykeli: Gustave şehrinize katılıyor—biraz şıklık katın!
- Yeni Yetenek Ağacı: "Yıkım" - Düşman Çetelerinin binalarını ve şehirlerini yok edin!
&lt;/tr-TR&gt;
&lt;vi&gt;
- Chiến Binh Mới: Gặp Reynold Schmidt, Chỉ Huy Thép! Một người thầy của chiến thắng, nắm đấm sắt chỉ huy chiến trường!
- Tượng Chiến Binh Mới: Gustave gia nhập thành phố của bạn—thêm chút phong cách!
- Cây Tài Năng Mới: "Sự Phá Hủy" - Phá hủy các công trình và thành phố của Bang Hội địch!
&lt;/vi&gt;
&lt;it-IT&gt;
- Nuovo Combattente: Incontra Reynold Schmidt, il Comandante d'Acciaio! Un mentore del trionfo, il pugno di ferro che comanda il campo di battaglia!
- Nuova Statua del Combattente: Gustave si unisce alla tua città—aggiungi un tocco di stile!
- Nuovo Albero dei Talenti: "Distruzione" - Distruggi gli edifici e le città delle Gang nemiche!
&lt;/it-IT&gt;
&lt;pl-PL&gt;
- Nowy Wojownik: Poznaj Reynolda Schmidta, Stalowego Dowódcę! Mentor triumfu, żelazna pięść dowodząca polem bitwy!
- Nowy Pomnik Wojownika: Gustave dołącza do twojego miasta—dodaj trochę stylu!
- Nowe Drzewo Talentów: "Zniszczenie" - Zniszcz budynki i miasta wrogich Gangów!
&lt;/pl-PL&gt;
&lt;ar&gt;
- مقاتل جديد: قابل رينولد شميت، القائد الصلب! مرشد النصر، القبضة الحديدية التي تأمر ساحة المعركة!
- تمثال مقاتل جديد: غوستاف ينضم إلى مدينتك - أضف بعض الأناقة!
- شجرة مواهب جديدة: "التدمير" - دمر مباني ومدن العصابات العدوة!
&lt;/ar&gt;
&lt;ja-JP&gt;
- 新しいファイター: レイノルド・シュミット、鋼鉄の指揮官に会いましょう！勝利の師、戦場を指揮する鉄拳！
- 新しいファイターの像: グスターヴがあなたの都市に参加—少しの華やかさを追加しましょう！
- 新しいアビリティツリー: 「破壊」 - 敵ギルドの建物と都市を壊滅させましょう！
&lt;/ja-JP&gt;
&lt;ko-KR&gt;
- 새로운 전사: 강철 지휘관 레이놀드 슈미트를 만나보세요! 승리의 멘토, 전장을 지휘하는 강철 주먹!
- 새로운 전사 석상: 구스타브가 당신의 도시에 합류합니다—약간의 멋을 더해보세요!
- 새로운 재능 나무: "파괴" - 적 무리의 건물과 도시를 파괴하세요!
&lt;/ko-KR&gt;
</v>
      </c>
      <c r="C80" s="44" t="str">
        <f>IFERROR(__xludf.DUMMYFUNCTION("""COMPUTED_VALUE"""),"-新增斗士：铁面教官-雷诺·施密特登场！铸就胜利的教官，硝烟中的铁拳战士！
-新增斗士雕像：古斯塔夫，来为你的城市增添更多光彩吧！
-新增天赋树：“摧毁”-粉碎一切，让敌对帮派的建筑和城市化为乌有！")</f>
        <v>-新增斗士：铁面教官-雷诺·施密特登场！铸就胜利的教官，硝烟中的铁拳战士！
-新增斗士雕像：古斯塔夫，来为你的城市增添更多光彩吧！
-新增天赋树：“摧毁”-粉碎一切，让敌对帮派的建筑和城市化为乌有！</v>
      </c>
      <c r="D80" s="159" t="str">
        <f>IFERROR(__xludf.DUMMYFUNCTION("""COMPUTED_VALUE"""),"- New Fighter: Meet Reynold Schmidt, the Steel Commander! A mentor of triumph, the iron fist that commands the battlefield!
- New Fighter Statue: Gustave joins your city—add some flair!
- New Talent Tree: ""Destruction"" - Obliterate enemy Gangs' building"&amp;"s and cities!")</f>
        <v>- New Fighter: Meet Reynold Schmidt, the Steel Commander! A mentor of triumph, the iron fist that commands the battlefield!
- New Fighter Statue: Gustave joins your city—add some flair!
- New Talent Tree: "Destruction" - Obliterate enemy Gangs' buildings and cities!</v>
      </c>
      <c r="E80" s="159" t="str">
        <f>IFERROR(__xludf.DUMMYFUNCTION("""COMPUTED_VALUE"""),"- Nouveau combattant : Rencontrez Reynold Schmidt, le Commandant d'Acier ! Un mentor de la victoire, le poing de fer qui commande le champ de bataille !
- Nouvelle statue de combattant : Gustave rejoint votre ville—ajoutez une touche de style !
- Nouvel a"&amp;"rbre de talents : ""Destruction"" - Anéantissez les bâtiments et les villes des gangs ennemis !")</f>
        <v>- Nouveau combattant : Rencontrez Reynold Schmidt, le Commandant d'Acier ! Un mentor de la victoire, le poing de fer qui commande le champ de bataille !
- Nouvelle statue de combattant : Gustave rejoint votre ville—ajoutez une touche de style !
- Nouvel arbre de talents : "Destruction" - Anéantissez les bâtiments et les villes des gangs ennemis !</v>
      </c>
      <c r="F80" s="159" t="str">
        <f>IFERROR(__xludf.DUMMYFUNCTION("""COMPUTED_VALUE"""),"- Neuer Kämpfer: Treffen Sie Reynold Schmidt, den Stahlkommandanten! Ein Mentor des Triumphs, die eiserne Faust, die das Schlachtfeld beherrscht!
- Neue Kämpfer-Statue: Gustave schließt sich deiner Stadt an – füge etwas Flair hinzu!
- Neuer Talentbaum: """&amp;"Zerstörung"" - Vernichte die Gebäude und Städte feindlicher Clans!")</f>
        <v>- Neuer Kämpfer: Treffen Sie Reynold Schmidt, den Stahlkommandanten! Ein Mentor des Triumphs, die eiserne Faust, die das Schlachtfeld beherrscht!
- Neue Kämpfer-Statue: Gustave schließt sich deiner Stadt an – füge etwas Flair hinzu!
- Neuer Talentbaum: "Zerstörung" - Vernichte die Gebäude und Städte feindlicher Clans!</v>
      </c>
      <c r="G80" s="159" t="str">
        <f>IFERROR(__xludf.DUMMYFUNCTION("""COMPUTED_VALUE"""),"- Novo Combatente: Conheça Reynold Schmidt, o Comandante de Aço! Um mentor do triunfo, o punho de ferro que comanda o campo de batalha!
- Nova Estátua Combatente: Gustave se junta à sua cidade—adicione um toque especial!
- Nova Árvore de Talentos: ""Destr"&amp;"uição"" - Destrua os edifícios e cidades das Gangues inimigas!")</f>
        <v>- Novo Combatente: Conheça Reynold Schmidt, o Comandante de Aço! Um mentor do triunfo, o punho de ferro que comanda o campo de batalha!
- Nova Estátua Combatente: Gustave se junta à sua cidade—adicione um toque especial!
- Nova Árvore de Talentos: "Destruição" - Destrua os edifícios e cidades das Gangues inimigas!</v>
      </c>
      <c r="H80" s="159" t="str">
        <f>IFERROR(__xludf.DUMMYFUNCTION("""COMPUTED_VALUE"""),"-新增鬥士：鐵面教官-雷諾·施密特登場！鑄就勝利的教官，硝煙中的鐵拳戰士！
-新增鬥士雕像：古斯塔夫，來為你的城鎮等級增添更多光彩吧！
-新增天賦樹：“摧毀”-粉碎一切，讓敵方幫派的建造和城鎮等級化為烏有！")</f>
        <v>-新增鬥士：鐵面教官-雷諾·施密特登場！鑄就勝利的教官，硝煙中的鐵拳戰士！
-新增鬥士雕像：古斯塔夫，來為你的城鎮等級增添更多光彩吧！
-新增天賦樹：“摧毀”-粉碎一切，讓敵方幫派的建造和城鎮等級化為烏有！</v>
      </c>
      <c r="I80" s="159" t="str">
        <f>IFERROR(__xludf.DUMMYFUNCTION("""COMPUTED_VALUE"""),"- Pejuang Baru: Temui Reynold Schmidt, Komandan Baja! Seorang mentor kemenangan, tinju besi yang memimpin medan perang!
- Patung Pejuang Baru: Gustave bergabung dengan kota kamu—tambahkan sedikit gaya!
- Pohon Bakat Baru: ""Penghancuran"" - Hancurkan bang"&amp;"unan dan kota Geng musuh!")</f>
        <v>- Pejuang Baru: Temui Reynold Schmidt, Komandan Baja! Seorang mentor kemenangan, tinju besi yang memimpin medan perang!
- Patung Pejuang Baru: Gustave bergabung dengan kota kamu—tambahkan sedikit gaya!
- Pohon Bakat Baru: "Penghancuran" - Hancurkan bangunan dan kota Geng musuh!</v>
      </c>
      <c r="J80" s="159" t="str">
        <f>IFERROR(__xludf.DUMMYFUNCTION("""COMPUTED_VALUE"""),"- นักสู้ตัวใหม่: พบกับ เรย์โนลด์ ชมิดท์, ผู้บัญชาการเหล็ก! ผู้ให้คำปรึกษาแห่งชัยชนะ, กำปั้นเหล็กที่ควบคุมสนามรบ!
- รูปปั้นนักสู้ตัวใหม่: กุสตาฟเข้าร่วมเมืองของคุณ—เพิ่มความโดดเด่น!
- ต้นไม้ความสามารถใหม่: ""ทำลายล้าง"" - ทำลายสิ่งก่อสร้างและเมืองของแก๊งศั"&amp;"ตรู!")</f>
        <v>- นักสู้ตัวใหม่: พบกับ เรย์โนลด์ ชมิดท์, ผู้บัญชาการเหล็ก! ผู้ให้คำปรึกษาแห่งชัยชนะ, กำปั้นเหล็กที่ควบคุมสนามรบ!
- รูปปั้นนักสู้ตัวใหม่: กุสตาฟเข้าร่วมเมืองของคุณ—เพิ่มความโดดเด่น!
- ต้นไม้ความสามารถใหม่: "ทำลายล้าง" - ทำลายสิ่งก่อสร้างและเมืองของแก๊งศัตรู!</v>
      </c>
      <c r="K80" s="159" t="str">
        <f>IFERROR(__xludf.DUMMYFUNCTION("""COMPUTED_VALUE"""),"- Nuevo Luchador: ¡Conoce a Reynold Schmidt, el Comandante de Acero! ¡Un mentor del triunfo, el puño de hierro que comanda el campo de batalla!
- Nueva Estatua del Luchador: Gustave se une a tu ciudad—¡añade un toque de estilo!
- Nuevo Árbol de Talento: "&amp;"""Destrucción"" - ¡Destruye los edificios y ciudades de las Bandas enemigas!")</f>
        <v>- Nuevo Luchador: ¡Conoce a Reynold Schmidt, el Comandante de Acero! ¡Un mentor del triunfo, el puño de hierro que comanda el campo de batalla!
- Nueva Estatua del Luchador: Gustave se une a tu ciudad—¡añade un toque de estilo!
- Nuevo Árbol de Talento: "Destrucción" - ¡Destruye los edificios y ciudades de las Bandas enemigas!</v>
      </c>
      <c r="L80" s="159" t="str">
        <f>IFERROR(__xludf.DUMMYFUNCTION("""COMPUTED_VALUE"""),"- Новый герой: Встречайте Рейнольда Шмидта, Стального командира! Наставник победы, железный кулак, командующий полем боя!
- Новая статуя героя: Гюстав присоединяется к вашему городу — добавьте немного стиля!
- Новое дерево талантов: ""Разрушение"" - Уничт"&amp;"ожайте здания и города вражеских банд!")</f>
        <v>- Новый герой: Встречайте Рейнольда Шмидта, Стального командира! Наставник победы, железный кулак, командующий полем боя!
- Новая статуя героя: Гюстав присоединяется к вашему городу — добавьте немного стиля!
- Новое дерево талантов: "Разрушение" - Уничтожайте здания и города вражеских банд!</v>
      </c>
      <c r="M80" s="159" t="str">
        <f>IFERROR(__xludf.DUMMYFUNCTION("""COMPUTED_VALUE"""),"- Yeni Savaşçı: Reynold Schmidt, Çelik Komutanı ile tanışın! Zaferin akıl hocası, savaş meydanına hükmeden demir yumruk!
- Yeni Savaşçı Heykeli: Gustave şehrinize katılıyor—biraz şıklık katın!
- Yeni Yetenek Ağacı: ""Yıkım"" - Düşman Çetelerinin binaların"&amp;"ı ve şehirlerini yok edin!")</f>
        <v>- Yeni Savaşçı: Reynold Schmidt, Çelik Komutanı ile tanışın! Zaferin akıl hocası, savaş meydanına hükmeden demir yumruk!
- Yeni Savaşçı Heykeli: Gustave şehrinize katılıyor—biraz şıklık katın!
- Yeni Yetenek Ağacı: "Yıkım" - Düşman Çetelerinin binalarını ve şehirlerini yok edin!</v>
      </c>
      <c r="N80" s="45" t="str">
        <f>IFERROR(__xludf.DUMMYFUNCTION("""COMPUTED_VALUE"""),"- Chiến Binh Mới: Gặp Reynold Schmidt, Chỉ Huy Thép! Một người thầy của chiến thắng, nắm đấm sắt chỉ huy chiến trường!
- Tượng Chiến Binh Mới: Gustave gia nhập thành phố của bạn—thêm chút phong cách!
- Cây Tài Năng Mới: ""Sự Phá Hủy"" - Phá hủy các công t"&amp;"rình và thành phố của Bang Hội địch!")</f>
        <v>- Chiến Binh Mới: Gặp Reynold Schmidt, Chỉ Huy Thép! Một người thầy của chiến thắng, nắm đấm sắt chỉ huy chiến trường!
- Tượng Chiến Binh Mới: Gustave gia nhập thành phố của bạn—thêm chút phong cách!
- Cây Tài Năng Mới: "Sự Phá Hủy" - Phá hủy các công trình và thành phố của Bang Hội địch!</v>
      </c>
      <c r="O80" s="45" t="str">
        <f>IFERROR(__xludf.DUMMYFUNCTION("""COMPUTED_VALUE"""),"- Nuovo Combattente: Incontra Reynold Schmidt, il Comandante d'Acciaio! Un mentore del trionfo, il pugno di ferro che comanda il campo di battaglia!
- Nuova Statua del Combattente: Gustave si unisce alla tua città—aggiungi un tocco di stile!
- Nuovo Alber"&amp;"o dei Talenti: ""Distruzione"" - Distruggi gli edifici e le città delle Gang nemiche!")</f>
        <v>- Nuovo Combattente: Incontra Reynold Schmidt, il Comandante d'Acciaio! Un mentore del trionfo, il pugno di ferro che comanda il campo di battaglia!
- Nuova Statua del Combattente: Gustave si unisce alla tua città—aggiungi un tocco di stile!
- Nuovo Albero dei Talenti: "Distruzione" - Distruggi gli edifici e le città delle Gang nemiche!</v>
      </c>
      <c r="P80" s="34" t="str">
        <f>IFERROR(__xludf.DUMMYFUNCTION("""COMPUTED_VALUE"""),"- Nowy Wojownik: Poznaj Reynolda Schmidta, Stalowego Dowódcę! Mentor triumfu, żelazna pięść dowodząca polem bitwy!
- Nowy Pomnik Wojownika: Gustave dołącza do twojego miasta—dodaj trochę stylu!
- Nowe Drzewo Talentów: ""Zniszczenie"" - Zniszcz budynki i m"&amp;"iasta wrogich Gangów!")</f>
        <v>- Nowy Wojownik: Poznaj Reynolda Schmidta, Stalowego Dowódcę! Mentor triumfu, żelazna pięść dowodząca polem bitwy!
- Nowy Pomnik Wojownika: Gustave dołącza do twojego miasta—dodaj trochę stylu!
- Nowe Drzewo Talentów: "Zniszczenie" - Zniszcz budynki i miasta wrogich Gangów!</v>
      </c>
      <c r="Q80" s="34" t="str">
        <f>IFERROR(__xludf.DUMMYFUNCTION("""COMPUTED_VALUE"""),"- مقاتل جديد: قابل رينولد شميت، القائد الصلب! مرشد النصر، القبضة الحديدية التي تأمر ساحة المعركة!
- تمثال مقاتل جديد: غوستاف ينضم إلى مدينتك - أضف بعض الأناقة!
- شجرة مواهب جديدة: ""التدمير"" - دمر مباني ومدن العصابات العدوة!")</f>
        <v>- مقاتل جديد: قابل رينولد شميت، القائد الصلب! مرشد النصر، القبضة الحديدية التي تأمر ساحة المعركة!
- تمثال مقاتل جديد: غوستاف ينضم إلى مدينتك - أضف بعض الأناقة!
- شجرة مواهب جديدة: "التدمير" - دمر مباني ومدن العصابات العدوة!</v>
      </c>
      <c r="R80" s="34" t="str">
        <f>IFERROR(__xludf.DUMMYFUNCTION("""COMPUTED_VALUE"""),"- 新しいファイター: レイノルド・シュミット、鋼鉄の指揮官に会いましょう！勝利の師、戦場を指揮する鉄拳！
- 新しいファイターの像: グスターヴがあなたの都市に参加—少しの華やかさを追加しましょう！
- 新しいアビリティツリー: 「破壊」 - 敵ギルドの建物と都市を壊滅させましょう！")</f>
        <v>- 新しいファイター: レイノルド・シュミット、鋼鉄の指揮官に会いましょう！勝利の師、戦場を指揮する鉄拳！
- 新しいファイターの像: グスターヴがあなたの都市に参加—少しの華やかさを追加しましょう！
- 新しいアビリティツリー: 「破壊」 - 敵ギルドの建物と都市を壊滅させましょう！</v>
      </c>
      <c r="S80" s="34" t="str">
        <f>IFERROR(__xludf.DUMMYFUNCTION("""COMPUTED_VALUE"""),"- 새로운 전사: 강철 지휘관 레이놀드 슈미트를 만나보세요! 승리의 멘토, 전장을 지휘하는 강철 주먹!
- 새로운 전사 석상: 구스타브가 당신의 도시에 합류합니다—약간의 멋을 더해보세요!
- 새로운 재능 나무: ""파괴"" - 적 무리의 건물과 도시를 파괴하세요!")</f>
        <v>- 새로운 전사: 강철 지휘관 레이놀드 슈미트를 만나보세요! 승리의 멘토, 전장을 지휘하는 강철 주먹!
- 새로운 전사 석상: 구스타브가 당신의 도시에 합류합니다—약간의 멋을 더해보세요!
- 새로운 재능 나무: "파괴" - 적 무리의 건물과 도시를 파괴하세요!</v>
      </c>
      <c r="T80" s="108"/>
      <c r="U80" s="108"/>
      <c r="V80" s="108"/>
      <c r="W80" s="108"/>
      <c r="X80" s="108"/>
      <c r="Y80" s="108"/>
      <c r="Z80" s="108"/>
    </row>
    <row r="81">
      <c r="A81" s="149" t="str">
        <f>IFERROR(__xludf.DUMMYFUNCTION("""COMPUTED_VALUE"""),"0.74.0")</f>
        <v>0.74.0</v>
      </c>
      <c r="B81" s="108" t="str">
        <f>IFERROR(__xludf.DUMMYFUNCTION("""COMPUTED_VALUE"""),"&lt;en-US&gt;
- New Fighter Added: Introducing a brand-new fighter type—the Staff Officer! Professor Kim, the Electromagnetic Mentor, is a wise and kindly mentor whose teachings have flourished far and wide!
- New Fighter Statue: Noah. Add more brilliance to yo"&amp;"ur city!
- New Mech Skin Added: Cheetah Skin – Bladejaw Beast. Upgraded by the Apes, this cheetah mech dramatically boosts attack efficiency with raw power and fierce agility.
&lt;/en-US&gt;
&lt;fr-FR&gt;
- Nouveau combattant ajouté : Présentation d'un tout nouveau t"&amp;"ype de combattant—l'officier d'état-major ! Le professeur Kim, le mentor électromagnétique, est un mentor sage et bienveillant dont les enseignements se sont épanouis partout !
- Nouvelle statue de combattant : Noah. Ajoutez plus d'éclat à votre ville !
-"&amp;" Nouvelle peau de mécha ajoutée : Peau de guépard – Bête à Mâchoires de Lame. Amélioré par les singes, ce mécha guépard augmente considérablement l'efficacité des attaques avec une puissance brute et une agilité féroce.
&lt;/fr-FR&gt;
&lt;de-DE&gt;
- Neuer Kämpfer hi"&amp;"nzugefügt: Einführung eines brandneuen Kämpfertyps – der Stabsoffizier! Professor Kim, der Elektromagnetische Mentor, ist ein weiser und gütiger Mentor, dessen Lehren weit und breit aufgeblüht sind!
- Neue Kämpfer-Statue: Noah. Füge deiner Stadt mehr Glan"&amp;"z hinzu!
- Neue Mech-Skin hinzugefügt: Gepard-Skin – Klingenmaul-Bestie. Aufgewertet von den Affen, steigert dieser Gepard-Mech die Angriffseffizienz dramatisch mit roher Kraft und wilder Agilität.
&lt;/de-DE&gt;
&lt;pt-BR&gt;
- Novo Combatente Adicionado: Apresentan"&amp;"do um novo tipo de combatente—o Oficial de Equipe! Professor Kim, o Mentor Eletromagnético, é um mentor sábio e gentil cujos ensinamentos floresceram por toda parte!
- Nova Estátua Combatente: Noé. Adicione mais brilho à sua cidade!
- Nova Pele de Mech Ad"&amp;"icionada: Pele de Chita – Fera Mandíbula Afiada. Melhorado pelos Macacos, este mech de chita aumenta dramaticamente a eficiência do ataque com poder bruto e agilidade feroz.
&lt;/pt-BR&gt;
&lt;zh-HK&gt;
-新增鬥士：新的鬥士類型——參謀！電磁導師-金教授，睿智而和藹的教授，桃李滿天下的導師！
-新增鬥士雕像：諾亞，來為你的城市增添"&amp;"更多光彩吧！
-新增機甲皮膚：獵豹皮膚-劍齒兇獸，經過猿族改裝，獵豹機甲大幅提高了攻擊效率，蘊含著原始的力量，兇暴而矯捷。
&lt;/zh-HK&gt;
&lt;zh-TW&gt;
-新增鬥士：新的鬥士類型——參謀！電磁導師-金教授，睿智而和藹的教授，桃李滿天下的導師！
-新增鬥士雕像：諾亞，來為你的城市增添更多光彩吧！
-新增機甲皮膚：獵豹皮膚-劍齒兇獸，經過猿族改裝，獵豹機甲大幅提高了攻擊效率，蘊含著原始的力量，兇暴而矯捷。
&lt;/zh-TW&gt;
&lt;id&gt;
- Pejuang Baru Ditambahkan: Memperke"&amp;"nalkan tipe pejuang baru—Petugas Staf! Profesor Kim, Mentor Elektromagnetik, adalah seorang mentor yang bijaksana dan baik hati yang ajarannya telah berkembang luas!
- Patung Pejuang Baru: Noah. Tambahkan lebih banyak kecemerlangan ke kota kamu!
- Kulit M"&amp;"ekanik Baru Ditambahkan: Kulit Cheetah – Binatang Rahang Pedang. Ditingkatkan oleh Kera, mekanik cheetah ini secara dramatis meningkatkan efisiensi serangan dengan kekuatan mentah dan kelincahan yang ganas.
&lt;/id&gt;
&lt;th&gt;
- เพิ่มนักสู้ใหม่: แนะนำประเภทนักสู้ใ"&amp;"หม่—นายทหารฝ่ายเสนาธิการ! ศาสตราจารย์คิม ผู้ให้คำปรึกษาแม่เหล็กไฟฟ้า เป็นผู้ให้คำปรึกษาผู้ชาญฉลาดและใจดีที่คำสอนของเขาได้แพร่หลายไปทั่ว!
- รูปปั้นนักสู้ใหม่: โนอาห์ เพิ่มความสว่างไสวให้กับเมืองของคุณ!
- เพิ่มสกินเมคใหม่: สกินเสือชีตาห์ – อสูรขากรรไกรใบมีด"&amp;" อัปเกรดโดยเหล่าลิง เมคเสือชีตาห์นี้เพิ่มประสิทธิภาพการโจมตีอย่างมากด้วยพลังดิบและความคล่องตัวที่ดุเดือด
&lt;/th&gt;
&lt;es-419&gt;
- Nuevo Luchador Añadido: ¡Presentamos un nuevo tipo de luchador—el Oficial de Estado Mayor! El Profesor Kim, el Mentor Electromagnétic"&amp;"o, es un mentor sabio y amable cuyas enseñanzas han florecido por todas partes.
- Nueva Estatua del Luchador: Noé. ¡Añade más brillo a tu ciudad!
- Nueva Piel de Meca Añadida: Piel de Guepardo – Bestia Mandíbula de Hoja. Mejorado por los Simios, este meca"&amp;" guepardo aumenta dramáticamente la eficiencia de ataque con poder bruto y agilidad feroz.
&lt;/es-419&gt;
&lt;ru-RU&gt;
- Добавлен новый герой: Представляем новый тип героя — Штабной офицер! Профессор Ким, Электромагнитный наставник, мудрый и добрый наставник, чьи у"&amp;"чения распространились повсюду!
- Новая статуя героя: Ной. Добавьте больше блеска вашему городу!
- Добавлен новый скин меха: Скин Гепарда – Зверь-Клинок. Улучшенный Обезьянами, этот мех-гепард значительно повышает эффективность атаки благодаря своей мощно"&amp;"й силе и яростной ловкости.
&lt;/ru-RU&gt;
&lt;tr-TR&gt;
- Yeni Savaşçı Eklendi: Yepyeni bir savaşçı türü tanıtıldı—Kurmay Subay! Elektromanyetik Akıl Hocası Profesör Kim, öğretileri geniş çapta yayılmış bilge ve nazik bir akıl hocasıdır!
- Yeni Savaşçı Heykeli: Nuh."&amp;" Şehrine daha fazla parlaklık kat!
- Yeni Meka Derisi Eklendi: Çita Derisi – Bıçakçene Canavarı. Maymunlar tarafından yükseltilen bu çita meka, ham güç ve vahşi çeviklikle saldırı verimliliğini büyük ölçüde artırır.
&lt;/tr-TR&gt;
&lt;vi&gt;
- Chiến Binh Mới Được Thê"&amp;"m: Giới thiệu loại chiến binh hoàn toàn mới—Tham Mưu! Giáo sư Kim, Huấn Luyện Viên Điện Từ, là một người thầy thông thái và nhân từ với những bài giảng đã lan tỏa khắp nơi!
- Tượng Chiến Binh Mới: Noah. Thêm phần rực rỡ cho thành phố của bạn!
- Da Cơ Khí "&amp;"Mới Được Thêm: Da Báo Đốm – Quái Vật Hàm Lưỡi Kiếm. Được nâng cấp bởi Bầy Khỉ, cơ khí báo đốm này tăng cường hiệu quả tấn công với sức mạnh thô và sự nhanh nhẹn dữ dội.
&lt;/vi&gt;
&lt;it-IT&gt;
- Nuovo Combattente Aggiunto: Introducendo un nuovo tipo di combattente—"&amp;"il Maggiore! Professore Kim, il Mentore elettromagnetico, è un mentore saggio e gentile i cui insegnamenti si sono diffusi ovunque!
- Nuova Statua del Combattente: Noè. Aggiungi più brillantezza alla tua città!
- Nuova Skin Mech Aggiunta: Skin Ghepardo – "&amp;"Bestia Mascella di Lama. Potenziato dalle Scimmie, questo mech ghepardo aumenta drasticamente l'efficienza dell'attacco con potenza grezza e agilità feroce.
&lt;/it-IT&gt;
&lt;pl-PL&gt;
- Nowy Wojownik Dodany: Wprowadzenie nowego typu wojownika—Oficer Sztabowy! Profe"&amp;"sor Kim, Mentor Elektromagnetyczny, to mądry i życzliwy mentor, którego nauki rozkwitły daleko i szeroko!
- Nowy Pomnik Wojownika: Noah. Dodaj więcej blasku do swojego miasta!
- Nowa Skórka Mecha Dodana: Skórka Geparda – Bestia Ostrzopaszcza. Ulepszony pr"&amp;"zez Małpy, ten gepardowy mech dramatycznie zwiększa efektywność ataku dzięki surowej sile i dzikiej zwinności.
&lt;/pl-PL&gt;
&lt;ar&gt;
- إضافة مقاتل جديد: تقديم نوع جديد من المقاتلين - ضابط الأركان! البروفيسور كيم، المرشد الكهرومغناطيسي، هو مرشد حكيم ولطيف انتشرت ت"&amp;"عاليمه على نطاق واسع!
- تمثال المقاتل الجديد: نوح. أضف المزيد من التألق إلى مدينتك!
- إضافة جلد ميكا جديد: جلد الفهد - وحش فك النصل. تم ترقيته بواسطة القرود، هذا الميكا الفهد يعزز بشكل كبير كفاءة الهجوم بالقوة الخام والرشاقة الشديدة.
&lt;/ar&gt;
&lt;ja-JP&gt;
- 新しいファ"&amp;"イター追加: 新しいファイタータイプ—参謀を紹介します！電磁メンターのキム教授は、賢明で親切なメンターで、その教えは広く行き渡っています！
- 新しいファイターの像: ノア。あなたの都市にさらなる輝きを追加しましょう！
- 新しいメカスキン追加: チーターのスキン – ブレードジョービースト。エイプによってアップグレードされたこのチーターメカは、圧倒的な戦力と俊敏さで攻撃効率を劇的に向上させます。
&lt;/ja-JP&gt;
&lt;ko-KR&gt;
- 새로운 전사 추가: 새로운 전사 유형 - 군단 참모! 전자기 멘"&amp;"토 김 교수는 지혜롭고 친절한 멘토로, 그의 가르침은 널리 퍼졌습니다!
- 새로운 전사 석상: 노아. 당신의 도시에 더 많은 빛을 더하세요!
- 새로운 메카 스킨 추가: 치타 스킨 - 칼날턱 야수. 원숭이들에 의해 업그레이드된 이 치타 메카는 강력한 힘과 날카로운 민첩성으로 공격 효율을 극대화합니다.
&lt;/ko-KR&gt;
")</f>
        <v>&lt;en-US&gt;
- New Fighter Added: Introducing a brand-new fighter type—the Staff Officer! Professor Kim, the Electromagnetic Mentor, is a wise and kindly mentor whose teachings have flourished far and wide!
- New Fighter Statue: Noah. Add more brilliance to your city!
- New Mech Skin Added: Cheetah Skin – Bladejaw Beast. Upgraded by the Apes, this cheetah mech dramatically boosts attack efficiency with raw power and fierce agility.
&lt;/en-US&gt;
&lt;fr-FR&gt;
- Nouveau combattant ajouté : Présentation d'un tout nouveau type de combattant—l'officier d'état-major ! Le professeur Kim, le mentor électromagnétique, est un mentor sage et bienveillant dont les enseignements se sont épanouis partout !
- Nouvelle statue de combattant : Noah. Ajoutez plus d'éclat à votre ville !
- Nouvelle peau de mécha ajoutée : Peau de guépard – Bête à Mâchoires de Lame. Amélioré par les singes, ce mécha guépard augmente considérablement l'efficacité des attaques avec une puissance brute et une agilité féroce.
&lt;/fr-FR&gt;
&lt;de-DE&gt;
- Neuer Kämpfer hinzugefügt: Einführung eines brandneuen Kämpfertyps – der Stabsoffizier! Professor Kim, der Elektromagnetische Mentor, ist ein weiser und gütiger Mentor, dessen Lehren weit und breit aufgeblüht sind!
- Neue Kämpfer-Statue: Noah. Füge deiner Stadt mehr Glanz hinzu!
- Neue Mech-Skin hinzugefügt: Gepard-Skin – Klingenmaul-Bestie. Aufgewertet von den Affen, steigert dieser Gepard-Mech die Angriffseffizienz dramatisch mit roher Kraft und wilder Agilität.
&lt;/de-DE&gt;
&lt;pt-BR&gt;
- Novo Combatente Adicionado: Apresentando um novo tipo de combatente—o Oficial de Equipe! Professor Kim, o Mentor Eletromagnético, é um mentor sábio e gentil cujos ensinamentos floresceram por toda parte!
- Nova Estátua Combatente: Noé. Adicione mais brilho à sua cidade!
- Nova Pele de Mech Adicionada: Pele de Chita – Fera Mandíbula Afiada. Melhorado pelos Macacos, este mech de chita aumenta dramaticamente a eficiência do ataque com poder bruto e agilidade feroz.
&lt;/pt-BR&gt;
&lt;zh-HK&gt;
-新增鬥士：新的鬥士類型——參謀！電磁導師-金教授，睿智而和藹的教授，桃李滿天下的導師！
-新增鬥士雕像：諾亞，來為你的城市增添更多光彩吧！
-新增機甲皮膚：獵豹皮膚-劍齒兇獸，經過猿族改裝，獵豹機甲大幅提高了攻擊效率，蘊含著原始的力量，兇暴而矯捷。
&lt;/zh-HK&gt;
&lt;zh-TW&gt;
-新增鬥士：新的鬥士類型——參謀！電磁導師-金教授，睿智而和藹的教授，桃李滿天下的導師！
-新增鬥士雕像：諾亞，來為你的城市增添更多光彩吧！
-新增機甲皮膚：獵豹皮膚-劍齒兇獸，經過猿族改裝，獵豹機甲大幅提高了攻擊效率，蘊含著原始的力量，兇暴而矯捷。
&lt;/zh-TW&gt;
&lt;id&gt;
- Pejuang Baru Ditambahkan: Memperkenalkan tipe pejuang baru—Petugas Staf! Profesor Kim, Mentor Elektromagnetik, adalah seorang mentor yang bijaksana dan baik hati yang ajarannya telah berkembang luas!
- Patung Pejuang Baru: Noah. Tambahkan lebih banyak kecemerlangan ke kota kamu!
- Kulit Mekanik Baru Ditambahkan: Kulit Cheetah – Binatang Rahang Pedang. Ditingkatkan oleh Kera, mekanik cheetah ini secara dramatis meningkatkan efisiensi serangan dengan kekuatan mentah dan kelincahan yang ganas.
&lt;/id&gt;
&lt;th&gt;
- เพิ่มนักสู้ใหม่: แนะนำประเภทนักสู้ใหม่—นายทหารฝ่ายเสนาธิการ! ศาสตราจารย์คิม ผู้ให้คำปรึกษาแม่เหล็กไฟฟ้า เป็นผู้ให้คำปรึกษาผู้ชาญฉลาดและใจดีที่คำสอนของเขาได้แพร่หลายไปทั่ว!
- รูปปั้นนักสู้ใหม่: โนอาห์ เพิ่มความสว่างไสวให้กับเมืองของคุณ!
- เพิ่มสกินเมคใหม่: สกินเสือชีตาห์ – อสูรขากรรไกรใบมีด อัปเกรดโดยเหล่าลิง เมคเสือชีตาห์นี้เพิ่มประสิทธิภาพการโจมตีอย่างมากด้วยพลังดิบและความคล่องตัวที่ดุเดือด
&lt;/th&gt;
&lt;es-419&gt;
- Nuevo Luchador Añadido: ¡Presentamos un nuevo tipo de luchador—el Oficial de Estado Mayor! El Profesor Kim, el Mentor Electromagnético, es un mentor sabio y amable cuyas enseñanzas han florecido por todas partes.
- Nueva Estatua del Luchador: Noé. ¡Añade más brillo a tu ciudad!
- Nueva Piel de Meca Añadida: Piel de Guepardo – Bestia Mandíbula de Hoja. Mejorado por los Simios, este meca guepardo aumenta dramáticamente la eficiencia de ataque con poder bruto y agilidad feroz.
&lt;/es-419&gt;
&lt;ru-RU&gt;
- Добавлен новый герой: Представляем новый тип героя — Штабной офицер! Профессор Ким, Электромагнитный наставник, мудрый и добрый наставник, чьи учения распространились повсюду!
- Новая статуя героя: Ной. Добавьте больше блеска вашему городу!
- Добавлен новый скин меха: Скин Гепарда – Зверь-Клинок. Улучшенный Обезьянами, этот мех-гепард значительно повышает эффективность атаки благодаря своей мощной силе и яростной ловкости.
&lt;/ru-RU&gt;
&lt;tr-TR&gt;
- Yeni Savaşçı Eklendi: Yepyeni bir savaşçı türü tanıtıldı—Kurmay Subay! Elektromanyetik Akıl Hocası Profesör Kim, öğretileri geniş çapta yayılmış bilge ve nazik bir akıl hocasıdır!
- Yeni Savaşçı Heykeli: Nuh. Şehrine daha fazla parlaklık kat!
- Yeni Meka Derisi Eklendi: Çita Derisi – Bıçakçene Canavarı. Maymunlar tarafından yükseltilen bu çita meka, ham güç ve vahşi çeviklikle saldırı verimliliğini büyük ölçüde artırır.
&lt;/tr-TR&gt;
&lt;vi&gt;
- Chiến Binh Mới Được Thêm: Giới thiệu loại chiến binh hoàn toàn mới—Tham Mưu! Giáo sư Kim, Huấn Luyện Viên Điện Từ, là một người thầy thông thái và nhân từ với những bài giảng đã lan tỏa khắp nơi!
- Tượng Chiến Binh Mới: Noah. Thêm phần rực rỡ cho thành phố của bạn!
- Da Cơ Khí Mới Được Thêm: Da Báo Đốm – Quái Vật Hàm Lưỡi Kiếm. Được nâng cấp bởi Bầy Khỉ, cơ khí báo đốm này tăng cường hiệu quả tấn công với sức mạnh thô và sự nhanh nhẹn dữ dội.
&lt;/vi&gt;
&lt;it-IT&gt;
- Nuovo Combattente Aggiunto: Introducendo un nuovo tipo di combattente—il Maggiore! Professore Kim, il Mentore elettromagnetico, è un mentore saggio e gentile i cui insegnamenti si sono diffusi ovunque!
- Nuova Statua del Combattente: Noè. Aggiungi più brillantezza alla tua città!
- Nuova Skin Mech Aggiunta: Skin Ghepardo – Bestia Mascella di Lama. Potenziato dalle Scimmie, questo mech ghepardo aumenta drasticamente l'efficienza dell'attacco con potenza grezza e agilità feroce.
&lt;/it-IT&gt;
&lt;pl-PL&gt;
- Nowy Wojownik Dodany: Wprowadzenie nowego typu wojownika—Oficer Sztabowy! Profesor Kim, Mentor Elektromagnetyczny, to mądry i życzliwy mentor, którego nauki rozkwitły daleko i szeroko!
- Nowy Pomnik Wojownika: Noah. Dodaj więcej blasku do swojego miasta!
- Nowa Skórka Mecha Dodana: Skórka Geparda – Bestia Ostrzopaszcza. Ulepszony przez Małpy, ten gepardowy mech dramatycznie zwiększa efektywność ataku dzięki surowej sile i dzikiej zwinności.
&lt;/pl-PL&gt;
&lt;ar&gt;
- إضافة مقاتل جديد: تقديم نوع جديد من المقاتلين - ضابط الأركان! البروفيسور كيم، المرشد الكهرومغناطيسي، هو مرشد حكيم ولطيف انتشرت تعاليمه على نطاق واسع!
- تمثال المقاتل الجديد: نوح. أضف المزيد من التألق إلى مدينتك!
- إضافة جلد ميكا جديد: جلد الفهد - وحش فك النصل. تم ترقيته بواسطة القرود، هذا الميكا الفهد يعزز بشكل كبير كفاءة الهجوم بالقوة الخام والرشاقة الشديدة.
&lt;/ar&gt;
&lt;ja-JP&gt;
- 新しいファイター追加: 新しいファイタータイプ—参謀を紹介します！電磁メンターのキム教授は、賢明で親切なメンターで、その教えは広く行き渡っています！
- 新しいファイターの像: ノア。あなたの都市にさらなる輝きを追加しましょう！
- 新しいメカスキン追加: チーターのスキン – ブレードジョービースト。エイプによってアップグレードされたこのチーターメカは、圧倒的な戦力と俊敏さで攻撃効率を劇的に向上させます。
&lt;/ja-JP&gt;
&lt;ko-KR&gt;
- 새로운 전사 추가: 새로운 전사 유형 - 군단 참모! 전자기 멘토 김 교수는 지혜롭고 친절한 멘토로, 그의 가르침은 널리 퍼졌습니다!
- 새로운 전사 석상: 노아. 당신의 도시에 더 많은 빛을 더하세요!
- 새로운 메카 스킨 추가: 치타 스킨 - 칼날턱 야수. 원숭이들에 의해 업그레이드된 이 치타 메카는 강력한 힘과 날카로운 민첩성으로 공격 효율을 극대화합니다.
&lt;/ko-KR&gt;
</v>
      </c>
      <c r="C81" s="108" t="str">
        <f>IFERROR(__xludf.DUMMYFUNCTION("""COMPUTED_VALUE"""),"-新增斗士：新的斗士类型——参谋！电磁导师-金教授，睿智而和蔼的教授，桃李满天下的导师！
-新增斗士雕像：诺亚，来为你的城市增添更多光彩吧！
-新增机甲皮肤：猎豹皮肤-剑齿凶兽，经过猿族改装，猎豹机甲大幅提高了攻击效率，蕴含着原始的力量，凶暴而矫捷。")</f>
        <v>-新增斗士：新的斗士类型——参谋！电磁导师-金教授，睿智而和蔼的教授，桃李满天下的导师！
-新增斗士雕像：诺亚，来为你的城市增添更多光彩吧！
-新增机甲皮肤：猎豹皮肤-剑齿凶兽，经过猿族改装，猎豹机甲大幅提高了攻击效率，蕴含着原始的力量，凶暴而矫捷。</v>
      </c>
      <c r="D81" s="108" t="str">
        <f>IFERROR(__xludf.DUMMYFUNCTION("""COMPUTED_VALUE"""),"- New Fighter Added: Introducing a brand-new fighter type—the Staff Officer! Professor Kim, the Electromagnetic Mentor, is a wise and kindly mentor whose teachings have flourished far and wide!
- New Fighter Statue: Noah. Add more brilliance to your city!"&amp;"
- New Mech Skin Added: Cheetah Skin – Bladejaw Beast. Upgraded by the Apes, this cheetah mech dramatically boosts attack efficiency with raw power and fierce agility.")</f>
        <v>- New Fighter Added: Introducing a brand-new fighter type—the Staff Officer! Professor Kim, the Electromagnetic Mentor, is a wise and kindly mentor whose teachings have flourished far and wide!
- New Fighter Statue: Noah. Add more brilliance to your city!
- New Mech Skin Added: Cheetah Skin – Bladejaw Beast. Upgraded by the Apes, this cheetah mech dramatically boosts attack efficiency with raw power and fierce agility.</v>
      </c>
      <c r="E81" s="108" t="str">
        <f>IFERROR(__xludf.DUMMYFUNCTION("""COMPUTED_VALUE"""),"- Nouveau combattant ajouté : Présentation d'un tout nouveau type de combattant—l'officier d'état-major ! Le professeur Kim, le mentor électromagnétique, est un mentor sage et bienveillant dont les enseignements se sont épanouis partout !
- Nouvelle statu"&amp;"e de combattant : Noah. Ajoutez plus d'éclat à votre ville !
- Nouvelle peau de mécha ajoutée : Peau de guépard – Bête à Mâchoires de Lame. Amélioré par les singes, ce mécha guépard augmente considérablement l'efficacité des attaques avec une puissance br"&amp;"ute et une agilité féroce.")</f>
        <v>- Nouveau combattant ajouté : Présentation d'un tout nouveau type de combattant—l'officier d'état-major ! Le professeur Kim, le mentor électromagnétique, est un mentor sage et bienveillant dont les enseignements se sont épanouis partout !
- Nouvelle statue de combattant : Noah. Ajoutez plus d'éclat à votre ville !
- Nouvelle peau de mécha ajoutée : Peau de guépard – Bête à Mâchoires de Lame. Amélioré par les singes, ce mécha guépard augmente considérablement l'efficacité des attaques avec une puissance brute et une agilité féroce.</v>
      </c>
      <c r="F81" s="108" t="str">
        <f>IFERROR(__xludf.DUMMYFUNCTION("""COMPUTED_VALUE"""),"- Neuer Kämpfer hinzugefügt: Einführung eines brandneuen Kämpfertyps – der Stabsoffizier! Professor Kim, der Elektromagnetische Mentor, ist ein weiser und gütiger Mentor, dessen Lehren weit und breit aufgeblüht sind!
- Neue Kämpfer-Statue: Noah. Füge dein"&amp;"er Stadt mehr Glanz hinzu!
- Neue Mech-Skin hinzugefügt: Gepard-Skin – Klingenmaul-Bestie. Aufgewertet von den Affen, steigert dieser Gepard-Mech die Angriffseffizienz dramatisch mit roher Kraft und wilder Agilität.")</f>
        <v>- Neuer Kämpfer hinzugefügt: Einführung eines brandneuen Kämpfertyps – der Stabsoffizier! Professor Kim, der Elektromagnetische Mentor, ist ein weiser und gütiger Mentor, dessen Lehren weit und breit aufgeblüht sind!
- Neue Kämpfer-Statue: Noah. Füge deiner Stadt mehr Glanz hinzu!
- Neue Mech-Skin hinzugefügt: Gepard-Skin – Klingenmaul-Bestie. Aufgewertet von den Affen, steigert dieser Gepard-Mech die Angriffseffizienz dramatisch mit roher Kraft und wilder Agilität.</v>
      </c>
      <c r="G81" s="108" t="str">
        <f>IFERROR(__xludf.DUMMYFUNCTION("""COMPUTED_VALUE"""),"- Novo Combatente Adicionado: Apresentando um novo tipo de combatente—o Oficial de Equipe! Professor Kim, o Mentor Eletromagnético, é um mentor sábio e gentil cujos ensinamentos floresceram por toda parte!
- Nova Estátua Combatente: Noé. Adicione mais bri"&amp;"lho à sua cidade!
- Nova Pele de Mech Adicionada: Pele de Chita – Fera Mandíbula Afiada. Melhorado pelos Macacos, este mech de chita aumenta dramaticamente a eficiência do ataque com poder bruto e agilidade feroz.")</f>
        <v>- Novo Combatente Adicionado: Apresentando um novo tipo de combatente—o Oficial de Equipe! Professor Kim, o Mentor Eletromagnético, é um mentor sábio e gentil cujos ensinamentos floresceram por toda parte!
- Nova Estátua Combatente: Noé. Adicione mais brilho à sua cidade!
- Nova Pele de Mech Adicionada: Pele de Chita – Fera Mandíbula Afiada. Melhorado pelos Macacos, este mech de chita aumenta dramaticamente a eficiência do ataque com poder bruto e agilidade feroz.</v>
      </c>
      <c r="H81" s="108" t="str">
        <f>IFERROR(__xludf.DUMMYFUNCTION("""COMPUTED_VALUE"""),"-新增鬥士：新的鬥士類型——參謀！電磁導師-金教授，睿智而和藹的教授，桃李滿天下的導師！
-新增鬥士雕像：諾亞，來為你的城市增添更多光彩吧！
-新增機甲皮膚：獵豹皮膚-劍齒兇獸，經過猿族改裝，獵豹機甲大幅提高了攻擊效率，蘊含著原始的力量，兇暴而矯捷。")</f>
        <v>-新增鬥士：新的鬥士類型——參謀！電磁導師-金教授，睿智而和藹的教授，桃李滿天下的導師！
-新增鬥士雕像：諾亞，來為你的城市增添更多光彩吧！
-新增機甲皮膚：獵豹皮膚-劍齒兇獸，經過猿族改裝，獵豹機甲大幅提高了攻擊效率，蘊含著原始的力量，兇暴而矯捷。</v>
      </c>
      <c r="I81" s="108" t="str">
        <f>IFERROR(__xludf.DUMMYFUNCTION("""COMPUTED_VALUE"""),"- Pejuang Baru Ditambahkan: Memperkenalkan tipe pejuang baru—Petugas Staf! Profesor Kim, Mentor Elektromagnetik, adalah seorang mentor yang bijaksana dan baik hati yang ajarannya telah berkembang luas!
- Patung Pejuang Baru: Noah. Tambahkan lebih banyak k"&amp;"ecemerlangan ke kota kamu!
- Kulit Mekanik Baru Ditambahkan: Kulit Cheetah – Binatang Rahang Pedang. Ditingkatkan oleh Kera, mekanik cheetah ini secara dramatis meningkatkan efisiensi serangan dengan kekuatan mentah dan kelincahan yang ganas.")</f>
        <v>- Pejuang Baru Ditambahkan: Memperkenalkan tipe pejuang baru—Petugas Staf! Profesor Kim, Mentor Elektromagnetik, adalah seorang mentor yang bijaksana dan baik hati yang ajarannya telah berkembang luas!
- Patung Pejuang Baru: Noah. Tambahkan lebih banyak kecemerlangan ke kota kamu!
- Kulit Mekanik Baru Ditambahkan: Kulit Cheetah – Binatang Rahang Pedang. Ditingkatkan oleh Kera, mekanik cheetah ini secara dramatis meningkatkan efisiensi serangan dengan kekuatan mentah dan kelincahan yang ganas.</v>
      </c>
      <c r="J81" s="108" t="str">
        <f>IFERROR(__xludf.DUMMYFUNCTION("""COMPUTED_VALUE"""),"- เพิ่มนักสู้ใหม่: แนะนำประเภทนักสู้ใหม่—นายทหารฝ่ายเสนาธิการ! ศาสตราจารย์คิม ผู้ให้คำปรึกษาแม่เหล็กไฟฟ้า เป็นผู้ให้คำปรึกษาผู้ชาญฉลาดและใจดีที่คำสอนของเขาได้แพร่หลายไปทั่ว!
- รูปปั้นนักสู้ใหม่: โนอาห์ เพิ่มความสว่างไสวให้กับเมืองของคุณ!
- เพิ่มสกินเมคใหม"&amp;"่: สกินเสือชีตาห์ – อสูรขากรรไกรใบมีด อัปเกรดโดยเหล่าลิง เมคเสือชีตาห์นี้เพิ่มประสิทธิภาพการโจมตีอย่างมากด้วยพลังดิบและความคล่องตัวที่ดุเดือด")</f>
        <v>- เพิ่มนักสู้ใหม่: แนะนำประเภทนักสู้ใหม่—นายทหารฝ่ายเสนาธิการ! ศาสตราจารย์คิม ผู้ให้คำปรึกษาแม่เหล็กไฟฟ้า เป็นผู้ให้คำปรึกษาผู้ชาญฉลาดและใจดีที่คำสอนของเขาได้แพร่หลายไปทั่ว!
- รูปปั้นนักสู้ใหม่: โนอาห์ เพิ่มความสว่างไสวให้กับเมืองของคุณ!
- เพิ่มสกินเมคใหม่: สกินเสือชีตาห์ – อสูรขากรรไกรใบมีด อัปเกรดโดยเหล่าลิง เมคเสือชีตาห์นี้เพิ่มประสิทธิภาพการโจมตีอย่างมากด้วยพลังดิบและความคล่องตัวที่ดุเดือด</v>
      </c>
      <c r="K81" s="108" t="str">
        <f>IFERROR(__xludf.DUMMYFUNCTION("""COMPUTED_VALUE"""),"- Nuevo Luchador Añadido: ¡Presentamos un nuevo tipo de luchador—el Oficial de Estado Mayor! El Profesor Kim, el Mentor Electromagnético, es un mentor sabio y amable cuyas enseñanzas han florecido por todas partes.
- Nueva Estatua del Luchador: Noé. ¡Añad"&amp;"e más brillo a tu ciudad!
- Nueva Piel de Meca Añadida: Piel de Guepardo – Bestia Mandíbula de Hoja. Mejorado por los Simios, este meca guepardo aumenta dramáticamente la eficiencia de ataque con poder bruto y agilidad feroz.")</f>
        <v>- Nuevo Luchador Añadido: ¡Presentamos un nuevo tipo de luchador—el Oficial de Estado Mayor! El Profesor Kim, el Mentor Electromagnético, es un mentor sabio y amable cuyas enseñanzas han florecido por todas partes.
- Nueva Estatua del Luchador: Noé. ¡Añade más brillo a tu ciudad!
- Nueva Piel de Meca Añadida: Piel de Guepardo – Bestia Mandíbula de Hoja. Mejorado por los Simios, este meca guepardo aumenta dramáticamente la eficiencia de ataque con poder bruto y agilidad feroz.</v>
      </c>
      <c r="L81" s="108" t="str">
        <f>IFERROR(__xludf.DUMMYFUNCTION("""COMPUTED_VALUE"""),"- Добавлен новый герой: Представляем новый тип героя — Штабной офицер! Профессор Ким, Электромагнитный наставник, мудрый и добрый наставник, чьи учения распространились повсюду!
- Новая статуя героя: Ной. Добавьте больше блеска вашему городу!
- Добавлен н"&amp;"овый скин меха: Скин Гепарда – Зверь-Клинок. Улучшенный Обезьянами, этот мех-гепард значительно повышает эффективность атаки благодаря своей мощной силе и яростной ловкости.")</f>
        <v>- Добавлен новый герой: Представляем новый тип героя — Штабной офицер! Профессор Ким, Электромагнитный наставник, мудрый и добрый наставник, чьи учения распространились повсюду!
- Новая статуя героя: Ной. Добавьте больше блеска вашему городу!
- Добавлен новый скин меха: Скин Гепарда – Зверь-Клинок. Улучшенный Обезьянами, этот мех-гепард значительно повышает эффективность атаки благодаря своей мощной силе и яростной ловкости.</v>
      </c>
      <c r="M81" s="108" t="str">
        <f>IFERROR(__xludf.DUMMYFUNCTION("""COMPUTED_VALUE"""),"- Yeni Savaşçı Eklendi: Yepyeni bir savaşçı türü tanıtıldı—Kurmay Subay! Elektromanyetik Akıl Hocası Profesör Kim, öğretileri geniş çapta yayılmış bilge ve nazik bir akıl hocasıdır!
- Yeni Savaşçı Heykeli: Nuh. Şehrine daha fazla parlaklık kat!
- Yeni Mek"&amp;"a Derisi Eklendi: Çita Derisi – Bıçakçene Canavarı. Maymunlar tarafından yükseltilen bu çita meka, ham güç ve vahşi çeviklikle saldırı verimliliğini büyük ölçüde artırır.")</f>
        <v>- Yeni Savaşçı Eklendi: Yepyeni bir savaşçı türü tanıtıldı—Kurmay Subay! Elektromanyetik Akıl Hocası Profesör Kim, öğretileri geniş çapta yayılmış bilge ve nazik bir akıl hocasıdır!
- Yeni Savaşçı Heykeli: Nuh. Şehrine daha fazla parlaklık kat!
- Yeni Meka Derisi Eklendi: Çita Derisi – Bıçakçene Canavarı. Maymunlar tarafından yükseltilen bu çita meka, ham güç ve vahşi çeviklikle saldırı verimliliğini büyük ölçüde artırır.</v>
      </c>
      <c r="N81" s="108" t="str">
        <f>IFERROR(__xludf.DUMMYFUNCTION("""COMPUTED_VALUE"""),"- Chiến Binh Mới Được Thêm: Giới thiệu loại chiến binh hoàn toàn mới—Tham Mưu! Giáo sư Kim, Huấn Luyện Viên Điện Từ, là một người thầy thông thái và nhân từ với những bài giảng đã lan tỏa khắp nơi!
- Tượng Chiến Binh Mới: Noah. Thêm phần rực rỡ cho thành "&amp;"phố của bạn!
- Da Cơ Khí Mới Được Thêm: Da Báo Đốm – Quái Vật Hàm Lưỡi Kiếm. Được nâng cấp bởi Bầy Khỉ, cơ khí báo đốm này tăng cường hiệu quả tấn công với sức mạnh thô và sự nhanh nhẹn dữ dội.")</f>
        <v>- Chiến Binh Mới Được Thêm: Giới thiệu loại chiến binh hoàn toàn mới—Tham Mưu! Giáo sư Kim, Huấn Luyện Viên Điện Từ, là một người thầy thông thái và nhân từ với những bài giảng đã lan tỏa khắp nơi!
- Tượng Chiến Binh Mới: Noah. Thêm phần rực rỡ cho thành phố của bạn!
- Da Cơ Khí Mới Được Thêm: Da Báo Đốm – Quái Vật Hàm Lưỡi Kiếm. Được nâng cấp bởi Bầy Khỉ, cơ khí báo đốm này tăng cường hiệu quả tấn công với sức mạnh thô và sự nhanh nhẹn dữ dội.</v>
      </c>
      <c r="O81" s="108" t="str">
        <f>IFERROR(__xludf.DUMMYFUNCTION("""COMPUTED_VALUE"""),"- Nuovo Combattente Aggiunto: Introducendo un nuovo tipo di combattente—il Maggiore! Professore Kim, il Mentore elettromagnetico, è un mentore saggio e gentile i cui insegnamenti si sono diffusi ovunque!
- Nuova Statua del Combattente: Noè. Aggiungi più b"&amp;"rillantezza alla tua città!
- Nuova Skin Mech Aggiunta: Skin Ghepardo – Bestia Mascella di Lama. Potenziato dalle Scimmie, questo mech ghepardo aumenta drasticamente l'efficienza dell'attacco con potenza grezza e agilità feroce.")</f>
        <v>- Nuovo Combattente Aggiunto: Introducendo un nuovo tipo di combattente—il Maggiore! Professore Kim, il Mentore elettromagnetico, è un mentore saggio e gentile i cui insegnamenti si sono diffusi ovunque!
- Nuova Statua del Combattente: Noè. Aggiungi più brillantezza alla tua città!
- Nuova Skin Mech Aggiunta: Skin Ghepardo – Bestia Mascella di Lama. Potenziato dalle Scimmie, questo mech ghepardo aumenta drasticamente l'efficienza dell'attacco con potenza grezza e agilità feroce.</v>
      </c>
      <c r="P81" s="34" t="str">
        <f>IFERROR(__xludf.DUMMYFUNCTION("""COMPUTED_VALUE"""),"- Nowy Wojownik Dodany: Wprowadzenie nowego typu wojownika—Oficer Sztabowy! Profesor Kim, Mentor Elektromagnetyczny, to mądry i życzliwy mentor, którego nauki rozkwitły daleko i szeroko!
- Nowy Pomnik Wojownika: Noah. Dodaj więcej blasku do swojego miasta"&amp;"!
- Nowa Skórka Mecha Dodana: Skórka Geparda – Bestia Ostrzopaszcza. Ulepszony przez Małpy, ten gepardowy mech dramatycznie zwiększa efektywność ataku dzięki surowej sile i dzikiej zwinności.")</f>
        <v>- Nowy Wojownik Dodany: Wprowadzenie nowego typu wojownika—Oficer Sztabowy! Profesor Kim, Mentor Elektromagnetyczny, to mądry i życzliwy mentor, którego nauki rozkwitły daleko i szeroko!
- Nowy Pomnik Wojownika: Noah. Dodaj więcej blasku do swojego miasta!
- Nowa Skórka Mecha Dodana: Skórka Geparda – Bestia Ostrzopaszcza. Ulepszony przez Małpy, ten gepardowy mech dramatycznie zwiększa efektywność ataku dzięki surowej sile i dzikiej zwinności.</v>
      </c>
      <c r="Q81" s="34" t="str">
        <f>IFERROR(__xludf.DUMMYFUNCTION("""COMPUTED_VALUE"""),"- إضافة مقاتل جديد: تقديم نوع جديد من المقاتلين - ضابط الأركان! البروفيسور كيم، المرشد الكهرومغناطيسي، هو مرشد حكيم ولطيف انتشرت تعاليمه على نطاق واسع!
- تمثال المقاتل الجديد: نوح. أضف المزيد من التألق إلى مدينتك!
- إضافة جلد ميكا جديد: جلد الفهد - وحش فك"&amp;" النصل. تم ترقيته بواسطة القرود، هذا الميكا الفهد يعزز بشكل كبير كفاءة الهجوم بالقوة الخام والرشاقة الشديدة.")</f>
        <v>- إضافة مقاتل جديد: تقديم نوع جديد من المقاتلين - ضابط الأركان! البروفيسور كيم، المرشد الكهرومغناطيسي، هو مرشد حكيم ولطيف انتشرت تعاليمه على نطاق واسع!
- تمثال المقاتل الجديد: نوح. أضف المزيد من التألق إلى مدينتك!
- إضافة جلد ميكا جديد: جلد الفهد - وحش فك النصل. تم ترقيته بواسطة القرود، هذا الميكا الفهد يعزز بشكل كبير كفاءة الهجوم بالقوة الخام والرشاقة الشديدة.</v>
      </c>
      <c r="R81" s="34" t="str">
        <f>IFERROR(__xludf.DUMMYFUNCTION("""COMPUTED_VALUE"""),"- 新しいファイター追加: 新しいファイタータイプ—参謀を紹介します！電磁メンターのキム教授は、賢明で親切なメンターで、その教えは広く行き渡っています！
- 新しいファイターの像: ノア。あなたの都市にさらなる輝きを追加しましょう！
- 新しいメカスキン追加: チーターのスキン – ブレードジョービースト。エイプによってアップグレードされたこのチーターメカは、圧倒的な戦力と俊敏さで攻撃効率を劇的に向上させます。")</f>
        <v>- 新しいファイター追加: 新しいファイタータイプ—参謀を紹介します！電磁メンターのキム教授は、賢明で親切なメンターで、その教えは広く行き渡っています！
- 新しいファイターの像: ノア。あなたの都市にさらなる輝きを追加しましょう！
- 新しいメカスキン追加: チーターのスキン – ブレードジョービースト。エイプによってアップグレードされたこのチーターメカは、圧倒的な戦力と俊敏さで攻撃効率を劇的に向上させます。</v>
      </c>
      <c r="S81" s="34" t="str">
        <f>IFERROR(__xludf.DUMMYFUNCTION("""COMPUTED_VALUE"""),"- 새로운 전사 추가: 새로운 전사 유형 - 군단 참모! 전자기 멘토 김 교수는 지혜롭고 친절한 멘토로, 그의 가르침은 널리 퍼졌습니다!
- 새로운 전사 석상: 노아. 당신의 도시에 더 많은 빛을 더하세요!
- 새로운 메카 스킨 추가: 치타 스킨 - 칼날턱 야수. 원숭이들에 의해 업그레이드된 이 치타 메카는 강력한 힘과 날카로운 민첩성으로 공격 효율을 극대화합니다.")</f>
        <v>- 새로운 전사 추가: 새로운 전사 유형 - 군단 참모! 전자기 멘토 김 교수는 지혜롭고 친절한 멘토로, 그의 가르침은 널리 퍼졌습니다!
- 새로운 전사 석상: 노아. 당신의 도시에 더 많은 빛을 더하세요!
- 새로운 메카 스킨 추가: 치타 스킨 - 칼날턱 야수. 원숭이들에 의해 업그레이드된 이 치타 메카는 강력한 힘과 날카로운 민첩성으로 공격 효율을 극대화합니다.</v>
      </c>
      <c r="T81" s="108"/>
      <c r="U81" s="108"/>
      <c r="V81" s="108"/>
      <c r="W81" s="108"/>
      <c r="X81" s="108"/>
      <c r="Y81" s="108"/>
      <c r="Z81" s="108"/>
    </row>
    <row r="82">
      <c r="A82" s="149" t="str">
        <f>IFERROR(__xludf.DUMMYFUNCTION("""COMPUTED_VALUE"""),"0.75.0")</f>
        <v>0.75.0</v>
      </c>
      <c r="B82" s="108" t="str">
        <f>IFERROR(__xludf.DUMMYFUNCTION("""COMPUTED_VALUE"""),"&lt;en-US&gt;
-New Fighter: The White-Browed Detective – Vidoc, a keen-eyed sage and master sleuth who untangles the toughest mysteries!
-New Mech: Venom Hunter – Spider, a high-tech mech dripping with lethal toxins to hunt enemies on the battlefield!  
-New Ca"&amp;"rrier Skin: Infinite Valor – Ice Cream Cart, solve all troubles with creamy sweetness.
&lt;/en-US&gt;
&lt;fr-FR&gt;
-Nouveau combattant : Le Détective aux Sourcils Blancs – Vidoc, un sage aux yeux perçants et maître détective qui résout les mystères les plus complexe"&amp;"s !
-Nouveau Mécha : Chasseur de Venin – Araignée, un mécha high-tech dégoulinant de toxines mortelles pour chasser les ennemis sur le champ de bataille !
-Nouvelle Peau de Transporteur : Valeur Infinie – Chariot de crème glacée, résolvez tous les problèm"&amp;"es avec une douceur crémeuse.
&lt;/fr-FR&gt;
&lt;de-DE&gt;
-Neuer Kämpfer: Der Weißbrauen-Detektiv – Vidoc, ein scharfsichtiger Weiser und Meisterdetektiv, der die schwierigsten Rätsel löst!
-Neuer Mech: Giftjäger – Spinne, ein High-Tech-Mech, der mit tödlichen Gifte"&amp;"n tropft, um Feinde auf dem Schlachtfeld zu jagen!
-Neue Träger-Haut: Unendlicher Wert – Eiscreme-Wagen, löse alle Probleme mit cremiger Süße.
&lt;/de-DE&gt;
&lt;pt-BR&gt;
-Novo Combatente: O Detetive de Sobrancelhas Brancas – Vidoc, um sábio de olhos aguçados e mest"&amp;"re detetive que desvenda os mistérios mais difíceis!
-Novo Mech: Caçador Venenoso – Aranha, um mech de alta tecnologia gotejando toxinas letais para caçar inimigos no campo de batalha!
-Nova Skin de Transportador: Valor Infinito – Carrinho de Sorvete, res"&amp;"olva todos os problemas com doçura cremosa.
&lt;/pt-BR&gt;
&lt;zh-HK&gt;
-新增鬥士：白眉神探-維多克，洞察秋毫的智者，破解謎團的名偵探！
-新增機甲：劇毒獵手-蜘蛛，操控致命毒素的新型機甲，戰場上的無情獵手！
-新增戰車皮膚：英勇不屈號-冰淇淋販售車，用香甜的奶油解決一切煩惱；
&lt;/zh-HK&gt;
&lt;zh-TW&gt;
-新增鬥士：白眉神探-維多克，洞察秋毫的智者，破解謎團的名偵探！
-新增機甲：劇毒獵手-蜘蛛，操控致命毒素的新型機甲，戰場上的無情獵手！
-新增戰"&amp;"車皮膚：英勇不屈號-冰淇淋販售車，用香甜的奶油解決一切煩惱；
&lt;/zh-TW&gt;
&lt;id&gt;
-Pejuang Baru: Detektif Alis Putih – Vidoc, seorang bijak bermata tajam dan ahli detektif yang mengurai misteri paling sulit!
-Mekanik Baru: Pemburu Racun – Laba-laba, mekanik berteknologi tinggi yang meneteska"&amp;"n racun mematikan untuk memburu musuh di medan perang!  
-Kulit Pengangkut Baru: Keberanian Tak Terbatas – Gerobak Es Krim, selesaikan semua masalah dengan manisnya krim.
&lt;/id&gt;
&lt;th&gt;
-นักสู้ตัวใหม่: นักสืบคิ้วขาว – วิดอค, นักปราชญ์ตาแหลมและนักสืบผู้เชี่ยวช"&amp;"าญที่ไขปริศนาที่ยากที่สุด!
-เมคใหม่: นักล่าพิษ – แมงมุม, เมคไฮเทคที่เต็มไปด้วยพิษร้ายแรงเพื่อไล่ล่าศัตรูในสนามรบ!
-สกินลิงขนส่งใหม่: วาโลร์ไม่มีที่สิ้นสุด – รถเข็นไอศกรีม, แก้ปัญหาทั้งหมดด้วยความหวานของไอศกรีม.
&lt;/th&gt;
&lt;es-419&gt;
-Nuevo Luchador: El Detective"&amp;" de Cejas Blancas – Vidoc, un sabio de mirada aguda y maestro detective que desentraña los misterios más difíciles!
-Nuevo Meca: Cazador de Veneno – Araña, un meca de alta tecnología que gotea toxinas letales para cazar enemigos en el campo de batalla!  
"&amp;"-Nueva Piel de Transportador: Valor Infinito – Carro de Helados, resuelve todos los problemas con dulce cremosidad.
&lt;/es-419&gt;
&lt;ru-RU&gt;
-Новый герой: Белобровый детектив – Видок, проницательный мудрец и мастер-сыщик, который распутывает самые сложные загадк"&amp;"и!
-Новый Мех: Охотник за ядом – Паук, высокотехнологичный мех, капающий смертельными токсинами для охоты на врагов на поле боя!
-Новый облик носителя: Валор – Тележка с мороженым, решите все проблемы с кремовой сладостью.
&lt;/ru-RU&gt;
&lt;tr-TR&gt;
-Yeni Savaşçı: "&amp;"Beyaz Kaşlı Dedektif – Vidoc, keskin gözlü bir bilge ve en zorlu gizemleri çözen usta bir dedektif!
-Yeni Meka: Zehir Avcısı – Örümcek, savaş meydanında düşmanları avlamak için ölümcül toksinlerle dolu yüksek teknoloji meka!
-Yeni Taşıyıcı Görünümü: Sonsu"&amp;"z Değer – Dondurma Arabası, tüm sorunları kremalı tatlılıkla çöz.
&lt;/tr-TR&gt;
&lt;vi&gt;
- Chiến Binh Mới: Thám Tử Mày Trắng – Vidoc, một nhà hiền triết tinh mắt và bậc thầy thám tử giải mã những bí ẩn khó khăn nhất!
- Cơ Khí Mới: Thợ Săn Độc Tố – Nhện, một cơ khí"&amp;" công nghệ cao nhỏ giọt với độc tố chết người để săn lùng kẻ thù trên chiến trường!
- Ngoại Trang Người Vận Chuyển Mới: Dũng Khí Vô Hạn – Xe Đẩy Kem, giải quyết mọi rắc rối với sự ngọt ngào của kem.
&lt;/vi&gt;
&lt;it-IT&gt;
-Nuovo Combattente: Il Detective dalle Sop"&amp;"racciglia Bianche – Vidoc, un saggio dagli occhi acuti e maestro investigatore che risolve i misteri più difficili!
-Nuovo Mech: Cacciatore Velenoso – Ragno, un mech ad alta tecnologia che gocciola di tossine letali per cacciare i nemici sul campo di batt"&amp;"aglia!
-Nuovo Aspetto del Trasportatore: Valore Infinito – Carrello del Gelato, risolvi tutti i problemi con dolcezza cremosa.
&lt;/it-IT&gt;
&lt;pl-PL&gt;
-Nowy Wojownik: Detektyw Białobrewy – Vidoc, bystry mędrzec i mistrz detektyw, który rozwiązuje najtrudniejsze "&amp;"zagadki!
-Nowy Mech: Łowca Trucizn – Pająk, zaawansowany technologicznie mech ociekający śmiertelnymi toksynami, aby polować na wrogów na polu bitwy!  
-Nowa Skórka Przenośnika: Nieskończona Wartość – Wózek z lodami, rozwiąż wszystkie problemy kremową sło"&amp;"dyczą.
&lt;/pl-PL&gt;
&lt;ar&gt;
-مقاتل جديد: المحقق ذو الحاجبين الأبيضين – فيدوك، حكيم ذو عين ثاقبة ومحقق بارع يحل أصعب الألغاز!
-ميكا جديد: صياد السم – العنكبوت، ميكا عالي التقنية مليء بالسموم القاتلة لصيد الأعداء في ساحة المعركة!
-زينة ناقلة جديدة: الشجاعة اللامتن"&amp;"اهية – عربة الآيس كريم، حل جميع المشاكل بحلاوة كريمية.
&lt;/ar&gt;
&lt;ja-JP&gt;
-新しいファイター: 白い眉の探偵 – ビドック、鋭い目を持つ賢者であり、最も難解な謎を解き明かす名探偵！
-新しいメカ: ヴェノムハンター – スパイダー、戦場で敵を狩るために致命的な毒を滴らせるハイテクメカ！
-新しいキャリアスキン: バロール – アイスクリームカート、クリーミーな甘さで全てのトラブルを解決。
&lt;/ja-JP&gt;
&lt;ko-KR&gt;
-새로운 전사: 하"&amp;"얀 눈썹 탐정 – 비독, 예리한 눈을 가진 현자이자 가장 어려운 수수께끼를 푸는 명탐정!
-새로운 메카: 독 헌터 – 거미, 전장에서 적을 사냥하기 위해 치명적인 독소를 흘리는 첨단 메카!
-새로운 운반선 스킨: 용맹 – 아이스크림 카트, 크리미한 달콤함으로 모든 문제를 해결하세요.
&lt;/ko-KR&gt;
")</f>
        <v>&lt;en-US&gt;
-New Fighter: The White-Browed Detective – Vidoc, a keen-eyed sage and master sleuth who untangles the toughest mysteries!
-New Mech: Venom Hunter – Spider, a high-tech mech dripping with lethal toxins to hunt enemies on the battlefield!  
-New Carrier Skin: Infinite Valor – Ice Cream Cart, solve all troubles with creamy sweetness.
&lt;/en-US&gt;
&lt;fr-FR&gt;
-Nouveau combattant : Le Détective aux Sourcils Blancs – Vidoc, un sage aux yeux perçants et maître détective qui résout les mystères les plus complexes !
-Nouveau Mécha : Chasseur de Venin – Araignée, un mécha high-tech dégoulinant de toxines mortelles pour chasser les ennemis sur le champ de bataille !
-Nouvelle Peau de Transporteur : Valeur Infinie – Chariot de crème glacée, résolvez tous les problèmes avec une douceur crémeuse.
&lt;/fr-FR&gt;
&lt;de-DE&gt;
-Neuer Kämpfer: Der Weißbrauen-Detektiv – Vidoc, ein scharfsichtiger Weiser und Meisterdetektiv, der die schwierigsten Rätsel löst!
-Neuer Mech: Giftjäger – Spinne, ein High-Tech-Mech, der mit tödlichen Giften tropft, um Feinde auf dem Schlachtfeld zu jagen!
-Neue Träger-Haut: Unendlicher Wert – Eiscreme-Wagen, löse alle Probleme mit cremiger Süße.
&lt;/de-DE&gt;
&lt;pt-BR&gt;
-Novo Combatente: O Detetive de Sobrancelhas Brancas – Vidoc, um sábio de olhos aguçados e mestre detetive que desvenda os mistérios mais difíceis!
-Novo Mech: Caçador Venenoso – Aranha, um mech de alta tecnologia gotejando toxinas letais para caçar inimigos no campo de batalha!
-Nova Skin de Transportador: Valor Infinito – Carrinho de Sorvete, resolva todos os problemas com doçura cremosa.
&lt;/pt-BR&gt;
&lt;zh-HK&gt;
-新增鬥士：白眉神探-維多克，洞察秋毫的智者，破解謎團的名偵探！
-新增機甲：劇毒獵手-蜘蛛，操控致命毒素的新型機甲，戰場上的無情獵手！
-新增戰車皮膚：英勇不屈號-冰淇淋販售車，用香甜的奶油解決一切煩惱；
&lt;/zh-HK&gt;
&lt;zh-TW&gt;
-新增鬥士：白眉神探-維多克，洞察秋毫的智者，破解謎團的名偵探！
-新增機甲：劇毒獵手-蜘蛛，操控致命毒素的新型機甲，戰場上的無情獵手！
-新增戰車皮膚：英勇不屈號-冰淇淋販售車，用香甜的奶油解決一切煩惱；
&lt;/zh-TW&gt;
&lt;id&gt;
-Pejuang Baru: Detektif Alis Putih – Vidoc, seorang bijak bermata tajam dan ahli detektif yang mengurai misteri paling sulit!
-Mekanik Baru: Pemburu Racun – Laba-laba, mekanik berteknologi tinggi yang meneteskan racun mematikan untuk memburu musuh di medan perang!  
-Kulit Pengangkut Baru: Keberanian Tak Terbatas – Gerobak Es Krim, selesaikan semua masalah dengan manisnya krim.
&lt;/id&gt;
&lt;th&gt;
-นักสู้ตัวใหม่: นักสืบคิ้วขาว – วิดอค, นักปราชญ์ตาแหลมและนักสืบผู้เชี่ยวชาญที่ไขปริศนาที่ยากที่สุด!
-เมคใหม่: นักล่าพิษ – แมงมุม, เมคไฮเทคที่เต็มไปด้วยพิษร้ายแรงเพื่อไล่ล่าศัตรูในสนามรบ!
-สกินลิงขนส่งใหม่: วาโลร์ไม่มีที่สิ้นสุด – รถเข็นไอศกรีม, แก้ปัญหาทั้งหมดด้วยความหวานของไอศกรีม.
&lt;/th&gt;
&lt;es-419&gt;
-Nuevo Luchador: El Detective de Cejas Blancas – Vidoc, un sabio de mirada aguda y maestro detective que desentraña los misterios más difíciles!
-Nuevo Meca: Cazador de Veneno – Araña, un meca de alta tecnología que gotea toxinas letales para cazar enemigos en el campo de batalla!  
-Nueva Piel de Transportador: Valor Infinito – Carro de Helados, resuelve todos los problemas con dulce cremosidad.
&lt;/es-419&gt;
&lt;ru-RU&gt;
-Новый герой: Белобровый детектив – Видок, проницательный мудрец и мастер-сыщик, который распутывает самые сложные загадки!
-Новый Мех: Охотник за ядом – Паук, высокотехнологичный мех, капающий смертельными токсинами для охоты на врагов на поле боя!
-Новый облик носителя: Валор – Тележка с мороженым, решите все проблемы с кремовой сладостью.
&lt;/ru-RU&gt;
&lt;tr-TR&gt;
-Yeni Savaşçı: Beyaz Kaşlı Dedektif – Vidoc, keskin gözlü bir bilge ve en zorlu gizemleri çözen usta bir dedektif!
-Yeni Meka: Zehir Avcısı – Örümcek, savaş meydanında düşmanları avlamak için ölümcül toksinlerle dolu yüksek teknoloji meka!
-Yeni Taşıyıcı Görünümü: Sonsuz Değer – Dondurma Arabası, tüm sorunları kremalı tatlılıkla çöz.
&lt;/tr-TR&gt;
&lt;vi&gt;
- Chiến Binh Mới: Thám Tử Mày Trắng – Vidoc, một nhà hiền triết tinh mắt và bậc thầy thám tử giải mã những bí ẩn khó khăn nhất!
- Cơ Khí Mới: Thợ Săn Độc Tố – Nhện, một cơ khí công nghệ cao nhỏ giọt với độc tố chết người để săn lùng kẻ thù trên chiến trường!
- Ngoại Trang Người Vận Chuyển Mới: Dũng Khí Vô Hạn – Xe Đẩy Kem, giải quyết mọi rắc rối với sự ngọt ngào của kem.
&lt;/vi&gt;
&lt;it-IT&gt;
-Nuovo Combattente: Il Detective dalle Sopracciglia Bianche – Vidoc, un saggio dagli occhi acuti e maestro investigatore che risolve i misteri più difficili!
-Nuovo Mech: Cacciatore Velenoso – Ragno, un mech ad alta tecnologia che gocciola di tossine letali per cacciare i nemici sul campo di battaglia!
-Nuovo Aspetto del Trasportatore: Valore Infinito – Carrello del Gelato, risolvi tutti i problemi con dolcezza cremosa.
&lt;/it-IT&gt;
&lt;pl-PL&gt;
-Nowy Wojownik: Detektyw Białobrewy – Vidoc, bystry mędrzec i mistrz detektyw, który rozwiązuje najtrudniejsze zagadki!
-Nowy Mech: Łowca Trucizn – Pająk, zaawansowany technologicznie mech ociekający śmiertelnymi toksynami, aby polować na wrogów na polu bitwy!  
-Nowa Skórka Przenośnika: Nieskończona Wartość – Wózek z lodami, rozwiąż wszystkie problemy kremową słodyczą.
&lt;/pl-PL&gt;
&lt;ar&gt;
-مقاتل جديد: المحقق ذو الحاجبين الأبيضين – فيدوك، حكيم ذو عين ثاقبة ومحقق بارع يحل أصعب الألغاز!
-ميكا جديد: صياد السم – العنكبوت، ميكا عالي التقنية مليء بالسموم القاتلة لصيد الأعداء في ساحة المعركة!
-زينة ناقلة جديدة: الشجاعة اللامتناهية – عربة الآيس كريم، حل جميع المشاكل بحلاوة كريمية.
&lt;/ar&gt;
&lt;ja-JP&gt;
-新しいファイター: 白い眉の探偵 – ビドック、鋭い目を持つ賢者であり、最も難解な謎を解き明かす名探偵！
-新しいメカ: ヴェノムハンター – スパイダー、戦場で敵を狩るために致命的な毒を滴らせるハイテクメカ！
-新しいキャリアスキン: バロール – アイスクリームカート、クリーミーな甘さで全てのトラブルを解決。
&lt;/ja-JP&gt;
&lt;ko-KR&gt;
-새로운 전사: 하얀 눈썹 탐정 – 비독, 예리한 눈을 가진 현자이자 가장 어려운 수수께끼를 푸는 명탐정!
-새로운 메카: 독 헌터 – 거미, 전장에서 적을 사냥하기 위해 치명적인 독소를 흘리는 첨단 메카!
-새로운 운반선 스킨: 용맹 – 아이스크림 카트, 크리미한 달콤함으로 모든 문제를 해결하세요.
&lt;/ko-KR&gt;
</v>
      </c>
      <c r="C82" s="108" t="str">
        <f>IFERROR(__xludf.DUMMYFUNCTION("""COMPUTED_VALUE"""),"-新增斗士：白眉神探-维多克，洞察秋毫的智者，破解谜团的名侦探！
-新增机甲：剧毒猎手-蜘蛛，操控致命毒素的新型机甲，战场上的无情猎手！
-新增战车皮肤：英勇不屈号-冰淇淋贩售车，用香甜的奶油解决一切烦恼；")</f>
        <v>-新增斗士：白眉神探-维多克，洞察秋毫的智者，破解谜团的名侦探！
-新增机甲：剧毒猎手-蜘蛛，操控致命毒素的新型机甲，战场上的无情猎手！
-新增战车皮肤：英勇不屈号-冰淇淋贩售车，用香甜的奶油解决一切烦恼；</v>
      </c>
      <c r="D82" s="108" t="str">
        <f>IFERROR(__xludf.DUMMYFUNCTION("""COMPUTED_VALUE"""),"-New Fighter: The White-Browed Detective – Vidoc, a keen-eyed sage and master sleuth who untangles the toughest mysteries!
-New Mech: Venom Hunter – Spider, a high-tech mech dripping with lethal toxins to hunt enemies on the battlefield!  
-New Carrier Sk"&amp;"in: Infinite Valor – Ice Cream Cart, solve all troubles with creamy sweetness.")</f>
        <v>-New Fighter: The White-Browed Detective – Vidoc, a keen-eyed sage and master sleuth who untangles the toughest mysteries!
-New Mech: Venom Hunter – Spider, a high-tech mech dripping with lethal toxins to hunt enemies on the battlefield!  
-New Carrier Skin: Infinite Valor – Ice Cream Cart, solve all troubles with creamy sweetness.</v>
      </c>
      <c r="E82" s="108" t="str">
        <f>IFERROR(__xludf.DUMMYFUNCTION("""COMPUTED_VALUE"""),"-Nouveau combattant : Le Détective aux Sourcils Blancs – Vidoc, un sage aux yeux perçants et maître détective qui résout les mystères les plus complexes !
-Nouveau Mécha : Chasseur de Venin – Araignée, un mécha high-tech dégoulinant de toxines mortelles p"&amp;"our chasser les ennemis sur le champ de bataille !
-Nouvelle Peau de Transporteur : Valeur Infinie – Chariot de crème glacée, résolvez tous les problèmes avec une douceur crémeuse.")</f>
        <v>-Nouveau combattant : Le Détective aux Sourcils Blancs – Vidoc, un sage aux yeux perçants et maître détective qui résout les mystères les plus complexes !
-Nouveau Mécha : Chasseur de Venin – Araignée, un mécha high-tech dégoulinant de toxines mortelles pour chasser les ennemis sur le champ de bataille !
-Nouvelle Peau de Transporteur : Valeur Infinie – Chariot de crème glacée, résolvez tous les problèmes avec une douceur crémeuse.</v>
      </c>
      <c r="F82" s="108" t="str">
        <f>IFERROR(__xludf.DUMMYFUNCTION("""COMPUTED_VALUE"""),"-Neuer Kämpfer: Der Weißbrauen-Detektiv – Vidoc, ein scharfsichtiger Weiser und Meisterdetektiv, der die schwierigsten Rätsel löst!
-Neuer Mech: Giftjäger – Spinne, ein High-Tech-Mech, der mit tödlichen Giften tropft, um Feinde auf dem Schlachtfeld zu jag"&amp;"en!
-Neue Träger-Haut: Unendlicher Wert – Eiscreme-Wagen, löse alle Probleme mit cremiger Süße.")</f>
        <v>-Neuer Kämpfer: Der Weißbrauen-Detektiv – Vidoc, ein scharfsichtiger Weiser und Meisterdetektiv, der die schwierigsten Rätsel löst!
-Neuer Mech: Giftjäger – Spinne, ein High-Tech-Mech, der mit tödlichen Giften tropft, um Feinde auf dem Schlachtfeld zu jagen!
-Neue Träger-Haut: Unendlicher Wert – Eiscreme-Wagen, löse alle Probleme mit cremiger Süße.</v>
      </c>
      <c r="G82" s="108" t="str">
        <f>IFERROR(__xludf.DUMMYFUNCTION("""COMPUTED_VALUE"""),"-Novo Combatente: O Detetive de Sobrancelhas Brancas – Vidoc, um sábio de olhos aguçados e mestre detetive que desvenda os mistérios mais difíceis!
-Novo Mech: Caçador Venenoso – Aranha, um mech de alta tecnologia gotejando toxinas letais para caçar inimi"&amp;"gos no campo de batalha!
-Nova Skin de Transportador: Valor Infinito – Carrinho de Sorvete, resolva todos os problemas com doçura cremosa.")</f>
        <v>-Novo Combatente: O Detetive de Sobrancelhas Brancas – Vidoc, um sábio de olhos aguçados e mestre detetive que desvenda os mistérios mais difíceis!
-Novo Mech: Caçador Venenoso – Aranha, um mech de alta tecnologia gotejando toxinas letais para caçar inimigos no campo de batalha!
-Nova Skin de Transportador: Valor Infinito – Carrinho de Sorvete, resolva todos os problemas com doçura cremosa.</v>
      </c>
      <c r="H82" s="108" t="str">
        <f>IFERROR(__xludf.DUMMYFUNCTION("""COMPUTED_VALUE"""),"-新增鬥士：白眉神探-維多克，洞察秋毫的智者，破解謎團的名偵探！
-新增機甲：劇毒獵手-蜘蛛，操控致命毒素的新型機甲，戰場上的無情獵手！
-新增戰車皮膚：英勇不屈號-冰淇淋販售車，用香甜的奶油解決一切煩惱；")</f>
        <v>-新增鬥士：白眉神探-維多克，洞察秋毫的智者，破解謎團的名偵探！
-新增機甲：劇毒獵手-蜘蛛，操控致命毒素的新型機甲，戰場上的無情獵手！
-新增戰車皮膚：英勇不屈號-冰淇淋販售車，用香甜的奶油解決一切煩惱；</v>
      </c>
      <c r="I82" s="108" t="str">
        <f>IFERROR(__xludf.DUMMYFUNCTION("""COMPUTED_VALUE"""),"-Pejuang Baru: Detektif Alis Putih – Vidoc, seorang bijak bermata tajam dan ahli detektif yang mengurai misteri paling sulit!
-Mekanik Baru: Pemburu Racun – Laba-laba, mekanik berteknologi tinggi yang meneteskan racun mematikan untuk memburu musuh di meda"&amp;"n perang!  
-Kulit Pengangkut Baru: Keberanian Tak Terbatas – Gerobak Es Krim, selesaikan semua masalah dengan manisnya krim.")</f>
        <v>-Pejuang Baru: Detektif Alis Putih – Vidoc, seorang bijak bermata tajam dan ahli detektif yang mengurai misteri paling sulit!
-Mekanik Baru: Pemburu Racun – Laba-laba, mekanik berteknologi tinggi yang meneteskan racun mematikan untuk memburu musuh di medan perang!  
-Kulit Pengangkut Baru: Keberanian Tak Terbatas – Gerobak Es Krim, selesaikan semua masalah dengan manisnya krim.</v>
      </c>
      <c r="J82" s="108" t="str">
        <f>IFERROR(__xludf.DUMMYFUNCTION("""COMPUTED_VALUE"""),"-นักสู้ตัวใหม่: นักสืบคิ้วขาว – วิดอค, นักปราชญ์ตาแหลมและนักสืบผู้เชี่ยวชาญที่ไขปริศนาที่ยากที่สุด!
-เมคใหม่: นักล่าพิษ – แมงมุม, เมคไฮเทคที่เต็มไปด้วยพิษร้ายแรงเพื่อไล่ล่าศัตรูในสนามรบ!
-สกินลิงขนส่งใหม่: วาโลร์ไม่มีที่สิ้นสุด – รถเข็นไอศกรีม, แก้ปัญหาทั"&amp;"้งหมดด้วยความหวานของไอศกรีม.")</f>
        <v>-นักสู้ตัวใหม่: นักสืบคิ้วขาว – วิดอค, นักปราชญ์ตาแหลมและนักสืบผู้เชี่ยวชาญที่ไขปริศนาที่ยากที่สุด!
-เมคใหม่: นักล่าพิษ – แมงมุม, เมคไฮเทคที่เต็มไปด้วยพิษร้ายแรงเพื่อไล่ล่าศัตรูในสนามรบ!
-สกินลิงขนส่งใหม่: วาโลร์ไม่มีที่สิ้นสุด – รถเข็นไอศกรีม, แก้ปัญหาทั้งหมดด้วยความหวานของไอศกรีม.</v>
      </c>
      <c r="K82" s="108" t="str">
        <f>IFERROR(__xludf.DUMMYFUNCTION("""COMPUTED_VALUE"""),"-Nuevo Luchador: El Detective de Cejas Blancas – Vidoc, un sabio de mirada aguda y maestro detective que desentraña los misterios más difíciles!
-Nuevo Meca: Cazador de Veneno – Araña, un meca de alta tecnología que gotea toxinas letales para cazar enemig"&amp;"os en el campo de batalla!  
-Nueva Piel de Transportador: Valor Infinito – Carro de Helados, resuelve todos los problemas con dulce cremosidad.")</f>
        <v>-Nuevo Luchador: El Detective de Cejas Blancas – Vidoc, un sabio de mirada aguda y maestro detective que desentraña los misterios más difíciles!
-Nuevo Meca: Cazador de Veneno – Araña, un meca de alta tecnología que gotea toxinas letales para cazar enemigos en el campo de batalla!  
-Nueva Piel de Transportador: Valor Infinito – Carro de Helados, resuelve todos los problemas con dulce cremosidad.</v>
      </c>
      <c r="L82" s="108" t="str">
        <f>IFERROR(__xludf.DUMMYFUNCTION("""COMPUTED_VALUE"""),"-Новый герой: Белобровый детектив – Видок, проницательный мудрец и мастер-сыщик, который распутывает самые сложные загадки!
-Новый Мех: Охотник за ядом – Паук, высокотехнологичный мех, капающий смертельными токсинами для охоты на врагов на поле боя!
-Новы"&amp;"й облик носителя: Валор – Тележка с мороженым, решите все проблемы с кремовой сладостью.")</f>
        <v>-Новый герой: Белобровый детектив – Видок, проницательный мудрец и мастер-сыщик, который распутывает самые сложные загадки!
-Новый Мех: Охотник за ядом – Паук, высокотехнологичный мех, капающий смертельными токсинами для охоты на врагов на поле боя!
-Новый облик носителя: Валор – Тележка с мороженым, решите все проблемы с кремовой сладостью.</v>
      </c>
      <c r="M82" s="108" t="str">
        <f>IFERROR(__xludf.DUMMYFUNCTION("""COMPUTED_VALUE"""),"-Yeni Savaşçı: Beyaz Kaşlı Dedektif – Vidoc, keskin gözlü bir bilge ve en zorlu gizemleri çözen usta bir dedektif!
-Yeni Meka: Zehir Avcısı – Örümcek, savaş meydanında düşmanları avlamak için ölümcül toksinlerle dolu yüksek teknoloji meka!
-Yeni Taşıyıcı "&amp;"Görünümü: Sonsuz Değer – Dondurma Arabası, tüm sorunları kremalı tatlılıkla çöz.")</f>
        <v>-Yeni Savaşçı: Beyaz Kaşlı Dedektif – Vidoc, keskin gözlü bir bilge ve en zorlu gizemleri çözen usta bir dedektif!
-Yeni Meka: Zehir Avcısı – Örümcek, savaş meydanında düşmanları avlamak için ölümcül toksinlerle dolu yüksek teknoloji meka!
-Yeni Taşıyıcı Görünümü: Sonsuz Değer – Dondurma Arabası, tüm sorunları kremalı tatlılıkla çöz.</v>
      </c>
      <c r="N82" s="108" t="str">
        <f>IFERROR(__xludf.DUMMYFUNCTION("""COMPUTED_VALUE"""),"- Chiến Binh Mới: Thám Tử Mày Trắng – Vidoc, một nhà hiền triết tinh mắt và bậc thầy thám tử giải mã những bí ẩn khó khăn nhất!
- Cơ Khí Mới: Thợ Săn Độc Tố – Nhện, một cơ khí công nghệ cao nhỏ giọt với độc tố chết người để săn lùng kẻ thù trên chiến trườ"&amp;"ng!
- Ngoại Trang Người Vận Chuyển Mới: Dũng Khí Vô Hạn – Xe Đẩy Kem, giải quyết mọi rắc rối với sự ngọt ngào của kem.")</f>
        <v>- Chiến Binh Mới: Thám Tử Mày Trắng – Vidoc, một nhà hiền triết tinh mắt và bậc thầy thám tử giải mã những bí ẩn khó khăn nhất!
- Cơ Khí Mới: Thợ Săn Độc Tố – Nhện, một cơ khí công nghệ cao nhỏ giọt với độc tố chết người để săn lùng kẻ thù trên chiến trường!
- Ngoại Trang Người Vận Chuyển Mới: Dũng Khí Vô Hạn – Xe Đẩy Kem, giải quyết mọi rắc rối với sự ngọt ngào của kem.</v>
      </c>
      <c r="O82" s="108" t="str">
        <f>IFERROR(__xludf.DUMMYFUNCTION("""COMPUTED_VALUE"""),"-Nuovo Combattente: Il Detective dalle Sopracciglia Bianche – Vidoc, un saggio dagli occhi acuti e maestro investigatore che risolve i misteri più difficili!
-Nuovo Mech: Cacciatore Velenoso – Ragno, un mech ad alta tecnologia che gocciola di tossine leta"&amp;"li per cacciare i nemici sul campo di battaglia!
-Nuovo Aspetto del Trasportatore: Valore Infinito – Carrello del Gelato, risolvi tutti i problemi con dolcezza cremosa.")</f>
        <v>-Nuovo Combattente: Il Detective dalle Sopracciglia Bianche – Vidoc, un saggio dagli occhi acuti e maestro investigatore che risolve i misteri più difficili!
-Nuovo Mech: Cacciatore Velenoso – Ragno, un mech ad alta tecnologia che gocciola di tossine letali per cacciare i nemici sul campo di battaglia!
-Nuovo Aspetto del Trasportatore: Valore Infinito – Carrello del Gelato, risolvi tutti i problemi con dolcezza cremosa.</v>
      </c>
      <c r="P82" s="34" t="str">
        <f>IFERROR(__xludf.DUMMYFUNCTION("""COMPUTED_VALUE"""),"-Nowy Wojownik: Detektyw Białobrewy – Vidoc, bystry mędrzec i mistrz detektyw, który rozwiązuje najtrudniejsze zagadki!
-Nowy Mech: Łowca Trucizn – Pająk, zaawansowany technologicznie mech ociekający śmiertelnymi toksynami, aby polować na wrogów na polu b"&amp;"itwy!  
-Nowa Skórka Przenośnika: Nieskończona Wartość – Wózek z lodami, rozwiąż wszystkie problemy kremową słodyczą.")</f>
        <v>-Nowy Wojownik: Detektyw Białobrewy – Vidoc, bystry mędrzec i mistrz detektyw, który rozwiązuje najtrudniejsze zagadki!
-Nowy Mech: Łowca Trucizn – Pająk, zaawansowany technologicznie mech ociekający śmiertelnymi toksynami, aby polować na wrogów na polu bitwy!  
-Nowa Skórka Przenośnika: Nieskończona Wartość – Wózek z lodami, rozwiąż wszystkie problemy kremową słodyczą.</v>
      </c>
      <c r="Q82" s="34" t="str">
        <f>IFERROR(__xludf.DUMMYFUNCTION("""COMPUTED_VALUE"""),"-مقاتل جديد: المحقق ذو الحاجبين الأبيضين – فيدوك، حكيم ذو عين ثاقبة ومحقق بارع يحل أصعب الألغاز!
-ميكا جديد: صياد السم – العنكبوت، ميكا عالي التقنية مليء بالسموم القاتلة لصيد الأعداء في ساحة المعركة!
-زينة ناقلة جديدة: الشجاعة اللامتناهية – عربة الآيس كري"&amp;"م، حل جميع المشاكل بحلاوة كريمية.")</f>
        <v>-مقاتل جديد: المحقق ذو الحاجبين الأبيضين – فيدوك، حكيم ذو عين ثاقبة ومحقق بارع يحل أصعب الألغاز!
-ميكا جديد: صياد السم – العنكبوت، ميكا عالي التقنية مليء بالسموم القاتلة لصيد الأعداء في ساحة المعركة!
-زينة ناقلة جديدة: الشجاعة اللامتناهية – عربة الآيس كريم، حل جميع المشاكل بحلاوة كريمية.</v>
      </c>
      <c r="R82" s="34" t="str">
        <f>IFERROR(__xludf.DUMMYFUNCTION("""COMPUTED_VALUE"""),"-新しいファイター: 白い眉の探偵 – ビドック、鋭い目を持つ賢者であり、最も難解な謎を解き明かす名探偵！
-新しいメカ: ヴェノムハンター – スパイダー、戦場で敵を狩るために致命的な毒を滴らせるハイテクメカ！
-新しいキャリアスキン: バロール – アイスクリームカート、クリーミーな甘さで全てのトラブルを解決。")</f>
        <v>-新しいファイター: 白い眉の探偵 – ビドック、鋭い目を持つ賢者であり、最も難解な謎を解き明かす名探偵！
-新しいメカ: ヴェノムハンター – スパイダー、戦場で敵を狩るために致命的な毒を滴らせるハイテクメカ！
-新しいキャリアスキン: バロール – アイスクリームカート、クリーミーな甘さで全てのトラブルを解決。</v>
      </c>
      <c r="S82" s="34" t="str">
        <f>IFERROR(__xludf.DUMMYFUNCTION("""COMPUTED_VALUE"""),"-새로운 전사: 하얀 눈썹 탐정 – 비독, 예리한 눈을 가진 현자이자 가장 어려운 수수께끼를 푸는 명탐정!
-새로운 메카: 독 헌터 – 거미, 전장에서 적을 사냥하기 위해 치명적인 독소를 흘리는 첨단 메카!
-새로운 운반선 스킨: 용맹 – 아이스크림 카트, 크리미한 달콤함으로 모든 문제를 해결하세요.
")</f>
        <v>-새로운 전사: 하얀 눈썹 탐정 – 비독, 예리한 눈을 가진 현자이자 가장 어려운 수수께끼를 푸는 명탐정!
-새로운 메카: 독 헌터 – 거미, 전장에서 적을 사냥하기 위해 치명적인 독소를 흘리는 첨단 메카!
-새로운 운반선 스킨: 용맹 – 아이스크림 카트, 크리미한 달콤함으로 모든 문제를 해결하세요.
</v>
      </c>
      <c r="T82" s="108" t="str">
        <f>IFERROR(__xludf.DUMMYFUNCTION("""COMPUTED_VALUE"""),"-新增斗士：白眉神探-维多克，洞察秋毫的智者，破解谜团的名侦探！
-新增机甲：剧毒猎手-蜘蛛，操控致命毒素的新型机甲，战场上的无情猎手！
-新增战车皮肤：英勇不屈号-冰淇淋贩售车，用香甜的奶油解决一切烦恼；")</f>
        <v>-新增斗士：白眉神探-维多克，洞察秋毫的智者，破解谜团的名侦探！
-新增机甲：剧毒猎手-蜘蛛，操控致命毒素的新型机甲，战场上的无情猎手！
-新增战车皮肤：英勇不屈号-冰淇淋贩售车，用香甜的奶油解决一切烦恼；</v>
      </c>
      <c r="U82" s="108"/>
      <c r="V82" s="108"/>
      <c r="W82" s="108"/>
      <c r="X82" s="108"/>
      <c r="Y82" s="108"/>
      <c r="Z82" s="108"/>
    </row>
    <row r="83">
      <c r="A83" s="149" t="str">
        <f>IFERROR(__xludf.DUMMYFUNCTION("""COMPUTED_VALUE"""),"0.76.0")</f>
        <v>0.76.0</v>
      </c>
      <c r="B83" s="108" t="str">
        <f>IFERROR(__xludf.DUMMYFUNCTION("""COMPUTED_VALUE"""),"&lt;en-US&gt;
- New Fighter: Top Gamer - Axel storms in from the VR arena to the real battle. Obtainable through the Ultimate Monkey event.
- New Mech Skin: Mantis Skin – Gloomscythe Captain. To chase island riches, the Apes rebuilt the Mantis Mech with old hum"&amp;"an sailing charts, giving it unique sea power.
- New Fighter Statues: Emma and Sam. Add more brilliance to your city!
&lt;/en-US&gt;
&lt;fr-FR&gt;
- Nouveau Combattant : Meilleur Joueur - Axel arrive de l'arène VR à la vraie bataille. Obtenable via l'événement Singe "&amp;"Ultime.
- Nouveau Skin de Mécha : Peau de Mante – Chef Gloomscythe. Pour chasser les richesses des îles, les Primates ont reconstruit le Mécha Mante avec d'anciennes cartes de navigation humaines, lui conférant une puissance maritime unique.
- Nouvelles S"&amp;"tatues de Combattant : Emma et Sam. Ajoutez plus de brillance à votre ville !
&lt;/fr-FR&gt;
&lt;de-DE&gt;
- Neuer Kämpfer: Top-Spieler - Axel stürmt aus der VR-Arena in den echten Kampf. Erhältlich durch das Ultimativer Affe Event.
- Neuer Mech-Skin: Mantis-Skin – G"&amp;"loomsense-Kapitän. Um Inselreichtümer zu jagen, haben die Affen den Mantis-Mech mit alten menschlichen Segelkarten umgebaut und ihm einzigartige Meereskraft verliehen.
- Neue Kämpfer-Statuen: Emma und Sam. Füge deiner Stadt mehr Glanz hinzu!
&lt;/de-DE&gt;
&lt;pt-"&amp;"BR&gt;
- Novo Combatente: Gamer de Elite - Axel chega da arena de VR para a batalha real. Obtível através do evento Macaco Supremo.
- Nova Skin de Mech: Skin Louva-a-deus – Capitão Foice das Trevas. Para perseguir riquezas insulares, os Macacos reconstruíram"&amp;" o Mech Louva-a-deus com antigos mapas de navegação humanos, dando-lhe um poder marítimo único.
- Novas Estátuas de Combatente: Emma e Sam. Adicione mais brilho à sua cidade!
&lt;/pt-BR&gt;
&lt;zh-HK&gt;
-新增鬥士：頭號玩家-阿克塞爾，縱橫虛擬世界，玩轉現實戰場的超級玩家！可通過“最強猴子”活動獲取。
-新增機甲皮膚：螳螂皮膚-"&amp;"幽鐮船長，為了探尋海島的寶藏，猿族根據人類留下的航海資料改裝了螳螂機甲，使它擁有獨特的海上作戰能力。
-新增鬥士雕像：艾瑪、薩姆，來為你的城市增添更多光彩吧！
&lt;/zh-HK&gt;
&lt;zh-TW&gt;
-新增鬥士：頭號玩家-阿克塞爾，縱橫虛擬世界，玩轉現實戰場的超級玩家！可通過“最強猴子”活動獲取。
-新增機甲皮膚：螳螂皮膚-幽鐮船長，為了探尋海島的寶藏，猿族根據人類留下的航海資料改裝了螳螂機甲，使它擁有獨特的海上作戰能力。
-新增鬥士雕像：艾瑪、薩姆，來為你的城市增添更多光彩吧！
&lt;/zh-TW&gt;
&lt;id&gt;
-"&amp;" Pejuang Baru: Pemain Teratas - Axel menyerbu dari arena VR ke pertempuran nyata. Dapat diperoleh melalui acara Kera yang Tangguh.
- Skin Mekanik Baru: Kulit Belalang Sembah – Kapten Sabit Kesuraman. Untuk mengejar kekayaan pulau, Kera membangun kembali M"&amp;"ekanik Belalang Sembah dengan peta pelayaran manusia kuno, memberikan kekuatan laut yang unik.
- Patung Pejuang Baru: Emma dan Sam. Tambahkan lebih banyak kemegahan ke kota kamu!
&lt;/id&gt;
&lt;th&gt;
- นักสู้ตัวใหม่: นักเล่นเกมระดับท็อป - แอ็กเซลพุ่งเข้ามาจากสนามต่"&amp;"อสู้ VR สู่การต่อสู้จริง สามารถรับได้ผ่านกิจกรรมลิงขั้นเทพ
- สกินเมคใหม่: สกินตั๊กแตนตำข้าว – กัปตันเคียวแห่งความเศร้าโศก เพื่อตามล่าสมบัติบนเกาะ วานรได้สร้างเมคตั๊กแตนตำข้าวขึ้นใหม่ด้วยแผนที่การเดินเรือของมนุษย์โบราณ ทำให้มันมีพลังทะเลที่ไม่เหมือนใคร
- ร"&amp;"ูปปั้นนักสู้ใหม่: เอ็มม่าและแซม เพิ่มความงดงามให้กับเมืองของคุณ!
&lt;/th&gt;
&lt;es-419&gt;
- Nuevo Luchador: Mejor Jugador - Axel irrumpe desde la arena de VR a la batalla real. Obtenible a través del evento Mono Supremo.
- Nueva Textura de Meca: Textura de Mantis –"&amp;" Capitán Guadaña de Oscuridad. Para perseguir las riquezas de la isla, los Simios reconstruyeron el Meca Mantis con antiguos mapas de navegación humanos, dándole un poder marítimo único.
- Nuevas Estatuas de Luchadores: Emma y Sam. ¡Añade más brillo a tu "&amp;"ciudad!
&lt;/es-419&gt;
&lt;ru-RU&gt;
- Новый герой: Топ Игрок - Аксель выходит из VR арены в реальную битву. Доступен через событие Великая Обезьяна.
- Новый облик Меха: Облик Богомола – Капитан Мрачной Косы. Чтобы преследовать островные богатства, Обезьяны перестро"&amp;"или Мех Богомола, используя старые человеческие морские карты, наделив его уникальной морской силой.
- Новые статуи героев: Эмма и Сэм. Добавьте больше блеска вашему городу!
&lt;/ru-RU&gt;
&lt;tr-TR&gt;
- Yeni Savaşçı: Zirvedeki Oyuncu - Axel, VR arenasından gerçek s"&amp;"avaşa fırtına gibi geliyor. En Üstün Maymun etkinliği ile elde edilebilir.
- Yeni Meka Görünümü: Peygamber Devesi Görünümü – Kasvetorak Kaptanı. Ada zenginliklerinin peşinden gitmek için, Maymunlar Peygamber Devesi Mekanı eski insan denizcilik haritalarıy"&amp;"la yeniden inşa ettiler ve ona benzersiz deniz gücü verdiler.
- Yeni Savaşçı Heykelleri: Emma ve Sam. Şehrinize daha fazla parlaklık katın!
&lt;/tr-TR&gt;
&lt;vi&gt;
- Chiến Binh Mới: Game Thủ Đứng Đầu - Axel từ đấu trường VR đến trận chiến thực tế. Có thể nhận được "&amp;"thông qua sự kiện Chúa Khỉ Tối Cao.
- Ngoại Trang Cơ Khí Mới: Ngoại Trang Bọ Ngựa – Chủ Tướng Lưỡi Hái U Ám. Để truy tìm kho báu trên đảo, loài khỉ đã tái tạo lại Cơ Khí Bọ Ngựa với các bản đồ hàng hải cũ của con người, mang lại cho nó sức mạnh biển độc đ"&amp;"áo.
- Tượng Chiến Binh Mới: Emma và Sam. Thêm sự rực rỡ cho thành phố của bạn!
&lt;/vi&gt;
&lt;it-IT&gt;
- Nuovo Combattente: Giocatore di vertice - Axel arriva dall'arena VR alla battaglia reale. Ottenibile tramite l'evento Scimmia Suprema.
- Nuovo Aspetto Mech: Asp"&amp;"etto Mantide – Capitano Falce delle Tenebre. Per inseguire le ricchezze dell'isola, le scimmie hanno ricostruito il Mech Mantide con vecchie carte nautiche umane, conferendogli un potere marino unico.
- Nuove Statue del Combattente: Emma e Sam. Aggiungi p"&amp;"iù brillantezza alla tua città!
&lt;/it-IT&gt;
&lt;pl-PL&gt;
- Nowy Wojownik: Najlepszy Gracz - Axel wkracza z areny VR do prawdziwej bitwy. Dostępny poprzez wydarzenie Ubermałpa.
- Nowa Skórka Mecha: Skórka Modliszki – Kapitan Kosy Mroku. Aby zdobyć bogactwa wysp, M"&amp;"ałpy przebudowały Mecha Modliszkę, korzystając ze starych ludzkich map żeglarskich, nadając mu unikalną moc morską.
- Nowe Pomniki Wojowników: Emma i Sam. Dodaj więcej blasku swojemu miastu!
&lt;/pl-PL&gt;
&lt;ar&gt;
- مقاتل جديد: أعلى لاعب - أكسل يقتحم من الحلبة الا"&amp;"فتراضية إلى المعركة الحقيقية. يمكن الحصول عليه من خلال حدث القرد الخارق.
- زينة ميكا جديدة: زينة فرس النبي - كابتن منجل الكآبة. لمطاردة ثروات الجزر، أعادت القرود بناء ميكا فرس النبي باستخدام خرائط الإبحار البشرية القديمة، مما يمنحه قوة بحرية فريدة.
- تماث"&amp;"يل مقاتلين جديدة: إيما وسام. أضف المزيد من التألق إلى مدينتك!
&lt;/ar&gt;
&lt;ja-JP&gt;
- 新しいファイター: トップゲーマー - アクセルがVRアリーナから実戦に登場。究極のエイプイベントで入手可能。
- 新しいメカスキン: マンティススキン – グルームサイズキャプテン。島の財宝を追い求めるために、エイプたちは古い人間の航海図を使ってマンティスメカを再建し、独自の海の力を与えました。
- 新しいファイターの像: エマとサム。あなたの都市に"&amp;"さらなる輝きを追加！
&lt;/ja-JP&gt;
&lt;ko-KR&gt;
- 새로운 전사: 탑 게이머 - 악셀이 VR 아레나에서 실제 전투로 돌진합니다. 최강 원숭이 이벤트를 통해 획득 가능합니다.
- 새로운 메카 스킨: 사마귀 스킨 – 어둠의 낫 대장. 섬의 부를 쫓기 위해, 원숭이들은 오래된 인간의 항해 지도를 사용하여 사마귀 메카를 재건하여 독특한 바다의 힘을 부여했습니다.
- 새로운 전사 석상: 엠마와 샘. 당신의 도시에 더 많은 빛을 추가하세요!
&lt;/ko-KR&gt;
")</f>
        <v>&lt;en-US&gt;
- New Fighter: Top Gamer - Axel storms in from the VR arena to the real battle. Obtainable through the Ultimate Monkey event.
- New Mech Skin: Mantis Skin – Gloomscythe Captain. To chase island riches, the Apes rebuilt the Mantis Mech with old human sailing charts, giving it unique sea power.
- New Fighter Statues: Emma and Sam. Add more brilliance to your city!
&lt;/en-US&gt;
&lt;fr-FR&gt;
- Nouveau Combattant : Meilleur Joueur - Axel arrive de l'arène VR à la vraie bataille. Obtenable via l'événement Singe Ultime.
- Nouveau Skin de Mécha : Peau de Mante – Chef Gloomscythe. Pour chasser les richesses des îles, les Primates ont reconstruit le Mécha Mante avec d'anciennes cartes de navigation humaines, lui conférant une puissance maritime unique.
- Nouvelles Statues de Combattant : Emma et Sam. Ajoutez plus de brillance à votre ville !
&lt;/fr-FR&gt;
&lt;de-DE&gt;
- Neuer Kämpfer: Top-Spieler - Axel stürmt aus der VR-Arena in den echten Kampf. Erhältlich durch das Ultimativer Affe Event.
- Neuer Mech-Skin: Mantis-Skin – Gloomsense-Kapitän. Um Inselreichtümer zu jagen, haben die Affen den Mantis-Mech mit alten menschlichen Segelkarten umgebaut und ihm einzigartige Meereskraft verliehen.
- Neue Kämpfer-Statuen: Emma und Sam. Füge deiner Stadt mehr Glanz hinzu!
&lt;/de-DE&gt;
&lt;pt-BR&gt;
- Novo Combatente: Gamer de Elite - Axel chega da arena de VR para a batalha real. Obtível através do evento Macaco Supremo.
- Nova Skin de Mech: Skin Louva-a-deus – Capitão Foice das Trevas. Para perseguir riquezas insulares, os Macacos reconstruíram o Mech Louva-a-deus com antigos mapas de navegação humanos, dando-lhe um poder marítimo único.
- Novas Estátuas de Combatente: Emma e Sam. Adicione mais brilho à sua cidade!
&lt;/pt-BR&gt;
&lt;zh-HK&gt;
-新增鬥士：頭號玩家-阿克塞爾，縱橫虛擬世界，玩轉現實戰場的超級玩家！可通過“最強猴子”活動獲取。
-新增機甲皮膚：螳螂皮膚-幽鐮船長，為了探尋海島的寶藏，猿族根據人類留下的航海資料改裝了螳螂機甲，使它擁有獨特的海上作戰能力。
-新增鬥士雕像：艾瑪、薩姆，來為你的城市增添更多光彩吧！
&lt;/zh-HK&gt;
&lt;zh-TW&gt;
-新增鬥士：頭號玩家-阿克塞爾，縱橫虛擬世界，玩轉現實戰場的超級玩家！可通過“最強猴子”活動獲取。
-新增機甲皮膚：螳螂皮膚-幽鐮船長，為了探尋海島的寶藏，猿族根據人類留下的航海資料改裝了螳螂機甲，使它擁有獨特的海上作戰能力。
-新增鬥士雕像：艾瑪、薩姆，來為你的城市增添更多光彩吧！
&lt;/zh-TW&gt;
&lt;id&gt;
- Pejuang Baru: Pemain Teratas - Axel menyerbu dari arena VR ke pertempuran nyata. Dapat diperoleh melalui acara Kera yang Tangguh.
- Skin Mekanik Baru: Kulit Belalang Sembah – Kapten Sabit Kesuraman. Untuk mengejar kekayaan pulau, Kera membangun kembali Mekanik Belalang Sembah dengan peta pelayaran manusia kuno, memberikan kekuatan laut yang unik.
- Patung Pejuang Baru: Emma dan Sam. Tambahkan lebih banyak kemegahan ke kota kamu!
&lt;/id&gt;
&lt;th&gt;
- นักสู้ตัวใหม่: นักเล่นเกมระดับท็อป - แอ็กเซลพุ่งเข้ามาจากสนามต่อสู้ VR สู่การต่อสู้จริง สามารถรับได้ผ่านกิจกรรมลิงขั้นเทพ
- สกินเมคใหม่: สกินตั๊กแตนตำข้าว – กัปตันเคียวแห่งความเศร้าโศก เพื่อตามล่าสมบัติบนเกาะ วานรได้สร้างเมคตั๊กแตนตำข้าวขึ้นใหม่ด้วยแผนที่การเดินเรือของมนุษย์โบราณ ทำให้มันมีพลังทะเลที่ไม่เหมือนใคร
- รูปปั้นนักสู้ใหม่: เอ็มม่าและแซม เพิ่มความงดงามให้กับเมืองของคุณ!
&lt;/th&gt;
&lt;es-419&gt;
- Nuevo Luchador: Mejor Jugador - Axel irrumpe desde la arena de VR a la batalla real. Obtenible a través del evento Mono Supremo.
- Nueva Textura de Meca: Textura de Mantis – Capitán Guadaña de Oscuridad. Para perseguir las riquezas de la isla, los Simios reconstruyeron el Meca Mantis con antiguos mapas de navegación humanos, dándole un poder marítimo único.
- Nuevas Estatuas de Luchadores: Emma y Sam. ¡Añade más brillo a tu ciudad!
&lt;/es-419&gt;
&lt;ru-RU&gt;
- Новый герой: Топ Игрок - Аксель выходит из VR арены в реальную битву. Доступен через событие Великая Обезьяна.
- Новый облик Меха: Облик Богомола – Капитан Мрачной Косы. Чтобы преследовать островные богатства, Обезьяны перестроили Мех Богомола, используя старые человеческие морские карты, наделив его уникальной морской силой.
- Новые статуи героев: Эмма и Сэм. Добавьте больше блеска вашему городу!
&lt;/ru-RU&gt;
&lt;tr-TR&gt;
- Yeni Savaşçı: Zirvedeki Oyuncu - Axel, VR arenasından gerçek savaşa fırtına gibi geliyor. En Üstün Maymun etkinliği ile elde edilebilir.
- Yeni Meka Görünümü: Peygamber Devesi Görünümü – Kasvetorak Kaptanı. Ada zenginliklerinin peşinden gitmek için, Maymunlar Peygamber Devesi Mekanı eski insan denizcilik haritalarıyla yeniden inşa ettiler ve ona benzersiz deniz gücü verdiler.
- Yeni Savaşçı Heykelleri: Emma ve Sam. Şehrinize daha fazla parlaklık katın!
&lt;/tr-TR&gt;
&lt;vi&gt;
- Chiến Binh Mới: Game Thủ Đứng Đầu - Axel từ đấu trường VR đến trận chiến thực tế. Có thể nhận được thông qua sự kiện Chúa Khỉ Tối Cao.
- Ngoại Trang Cơ Khí Mới: Ngoại Trang Bọ Ngựa – Chủ Tướng Lưỡi Hái U Ám. Để truy tìm kho báu trên đảo, loài khỉ đã tái tạo lại Cơ Khí Bọ Ngựa với các bản đồ hàng hải cũ của con người, mang lại cho nó sức mạnh biển độc đáo.
- Tượng Chiến Binh Mới: Emma và Sam. Thêm sự rực rỡ cho thành phố của bạn!
&lt;/vi&gt;
&lt;it-IT&gt;
- Nuovo Combattente: Giocatore di vertice - Axel arriva dall'arena VR alla battaglia reale. Ottenibile tramite l'evento Scimmia Suprema.
- Nuovo Aspetto Mech: Aspetto Mantide – Capitano Falce delle Tenebre. Per inseguire le ricchezze dell'isola, le scimmie hanno ricostruito il Mech Mantide con vecchie carte nautiche umane, conferendogli un potere marino unico.
- Nuove Statue del Combattente: Emma e Sam. Aggiungi più brillantezza alla tua città!
&lt;/it-IT&gt;
&lt;pl-PL&gt;
- Nowy Wojownik: Najlepszy Gracz - Axel wkracza z areny VR do prawdziwej bitwy. Dostępny poprzez wydarzenie Ubermałpa.
- Nowa Skórka Mecha: Skórka Modliszki – Kapitan Kosy Mroku. Aby zdobyć bogactwa wysp, Małpy przebudowały Mecha Modliszkę, korzystając ze starych ludzkich map żeglarskich, nadając mu unikalną moc morską.
- Nowe Pomniki Wojowników: Emma i Sam. Dodaj więcej blasku swojemu miastu!
&lt;/pl-PL&gt;
&lt;ar&gt;
- مقاتل جديد: أعلى لاعب - أكسل يقتحم من الحلبة الافتراضية إلى المعركة الحقيقية. يمكن الحصول عليه من خلال حدث القرد الخارق.
- زينة ميكا جديدة: زينة فرس النبي - كابتن منجل الكآبة. لمطاردة ثروات الجزر، أعادت القرود بناء ميكا فرس النبي باستخدام خرائط الإبحار البشرية القديمة، مما يمنحه قوة بحرية فريدة.
- تماثيل مقاتلين جديدة: إيما وسام. أضف المزيد من التألق إلى مدينتك!
&lt;/ar&gt;
&lt;ja-JP&gt;
- 新しいファイター: トップゲーマー - アクセルがVRアリーナから実戦に登場。究極のエイプイベントで入手可能。
- 新しいメカスキン: マンティススキン – グルームサイズキャプテン。島の財宝を追い求めるために、エイプたちは古い人間の航海図を使ってマンティスメカを再建し、独自の海の力を与えました。
- 新しいファイターの像: エマとサム。あなたの都市にさらなる輝きを追加！
&lt;/ja-JP&gt;
&lt;ko-KR&gt;
- 새로운 전사: 탑 게이머 - 악셀이 VR 아레나에서 실제 전투로 돌진합니다. 최강 원숭이 이벤트를 통해 획득 가능합니다.
- 새로운 메카 스킨: 사마귀 스킨 – 어둠의 낫 대장. 섬의 부를 쫓기 위해, 원숭이들은 오래된 인간의 항해 지도를 사용하여 사마귀 메카를 재건하여 독특한 바다의 힘을 부여했습니다.
- 새로운 전사 석상: 엠마와 샘. 당신의 도시에 더 많은 빛을 추가하세요!
&lt;/ko-KR&gt;
</v>
      </c>
      <c r="C83" s="108" t="str">
        <f>IFERROR(__xludf.DUMMYFUNCTION("""COMPUTED_VALUE"""),"-新增斗士：头号玩家-阿克塞尔，纵横虚拟世界，玩转现实战场的超级玩家！可通过“最强猴子”活动获取。
-新增机甲皮肤：螳螂皮肤-幽镰船长，为了探寻海岛的宝藏，猿族根据人类留下的航海资料改装了螳螂机甲，使它拥有独特的海上作战能力。
-新增斗士雕像：艾玛、萨姆，来为你的城市增添更多光彩吧！")</f>
        <v>-新增斗士：头号玩家-阿克塞尔，纵横虚拟世界，玩转现实战场的超级玩家！可通过“最强猴子”活动获取。
-新增机甲皮肤：螳螂皮肤-幽镰船长，为了探寻海岛的宝藏，猿族根据人类留下的航海资料改装了螳螂机甲，使它拥有独特的海上作战能力。
-新增斗士雕像：艾玛、萨姆，来为你的城市增添更多光彩吧！</v>
      </c>
      <c r="D83" s="108" t="str">
        <f>IFERROR(__xludf.DUMMYFUNCTION("""COMPUTED_VALUE"""),"- New Fighter: Top Gamer - Axel storms in from the VR arena to the real battle. Obtainable through the Ultimate Monkey event.
- New Mech Skin: Mantis Skin – Gloomscythe Captain. To chase island riches, the Apes rebuilt the Mantis Mech with old human saili"&amp;"ng charts, giving it unique sea power.
- New Fighter Statues: Emma and Sam. Add more brilliance to your city!")</f>
        <v>- New Fighter: Top Gamer - Axel storms in from the VR arena to the real battle. Obtainable through the Ultimate Monkey event.
- New Mech Skin: Mantis Skin – Gloomscythe Captain. To chase island riches, the Apes rebuilt the Mantis Mech with old human sailing charts, giving it unique sea power.
- New Fighter Statues: Emma and Sam. Add more brilliance to your city!</v>
      </c>
      <c r="E83" s="108" t="str">
        <f>IFERROR(__xludf.DUMMYFUNCTION("""COMPUTED_VALUE"""),"- Nouveau Combattant : Meilleur Joueur - Axel arrive de l'arène VR à la vraie bataille. Obtenable via l'événement Singe Ultime.
- Nouveau Skin de Mécha : Peau de Mante – Chef Gloomscythe. Pour chasser les richesses des îles, les Primates ont reconstruit l"&amp;"e Mécha Mante avec d'anciennes cartes de navigation humaines, lui conférant une puissance maritime unique.
- Nouvelles Statues de Combattant : Emma et Sam. Ajoutez plus de brillance à votre ville !")</f>
        <v>- Nouveau Combattant : Meilleur Joueur - Axel arrive de l'arène VR à la vraie bataille. Obtenable via l'événement Singe Ultime.
- Nouveau Skin de Mécha : Peau de Mante – Chef Gloomscythe. Pour chasser les richesses des îles, les Primates ont reconstruit le Mécha Mante avec d'anciennes cartes de navigation humaines, lui conférant une puissance maritime unique.
- Nouvelles Statues de Combattant : Emma et Sam. Ajoutez plus de brillance à votre ville !</v>
      </c>
      <c r="F83" s="108" t="str">
        <f>IFERROR(__xludf.DUMMYFUNCTION("""COMPUTED_VALUE"""),"- Neuer Kämpfer: Top-Spieler - Axel stürmt aus der VR-Arena in den echten Kampf. Erhältlich durch das Ultimativer Affe Event.
- Neuer Mech-Skin: Mantis-Skin – Gloomsense-Kapitän. Um Inselreichtümer zu jagen, haben die Affen den Mantis-Mech mit alten mensc"&amp;"hlichen Segelkarten umgebaut und ihm einzigartige Meereskraft verliehen.
- Neue Kämpfer-Statuen: Emma und Sam. Füge deiner Stadt mehr Glanz hinzu!")</f>
        <v>- Neuer Kämpfer: Top-Spieler - Axel stürmt aus der VR-Arena in den echten Kampf. Erhältlich durch das Ultimativer Affe Event.
- Neuer Mech-Skin: Mantis-Skin – Gloomsense-Kapitän. Um Inselreichtümer zu jagen, haben die Affen den Mantis-Mech mit alten menschlichen Segelkarten umgebaut und ihm einzigartige Meereskraft verliehen.
- Neue Kämpfer-Statuen: Emma und Sam. Füge deiner Stadt mehr Glanz hinzu!</v>
      </c>
      <c r="G83" s="108" t="str">
        <f>IFERROR(__xludf.DUMMYFUNCTION("""COMPUTED_VALUE"""),"- Novo Combatente: Gamer de Elite - Axel chega da arena de VR para a batalha real. Obtível através do evento Macaco Supremo.
- Nova Skin de Mech: Skin Louva-a-deus – Capitão Foice das Trevas. Para perseguir riquezas insulares, os Macacos reconstruíram o M"&amp;"ech Louva-a-deus com antigos mapas de navegação humanos, dando-lhe um poder marítimo único.
- Novas Estátuas de Combatente: Emma e Sam. Adicione mais brilho à sua cidade!")</f>
        <v>- Novo Combatente: Gamer de Elite - Axel chega da arena de VR para a batalha real. Obtível através do evento Macaco Supremo.
- Nova Skin de Mech: Skin Louva-a-deus – Capitão Foice das Trevas. Para perseguir riquezas insulares, os Macacos reconstruíram o Mech Louva-a-deus com antigos mapas de navegação humanos, dando-lhe um poder marítimo único.
- Novas Estátuas de Combatente: Emma e Sam. Adicione mais brilho à sua cidade!</v>
      </c>
      <c r="H83" s="108" t="str">
        <f>IFERROR(__xludf.DUMMYFUNCTION("""COMPUTED_VALUE"""),"-新增鬥士：頭號玩家-阿克塞爾，縱橫虛擬世界，玩轉現實戰場的超級玩家！可通過“最強猴子”活動獲取。
-新增機甲皮膚：螳螂皮膚-幽鐮船長，為了探尋海島的寶藏，猿族根據人類留下的航海資料改裝了螳螂機甲，使它擁有獨特的海上作戰能力。
-新增鬥士雕像：艾瑪、薩姆，來為你的城市增添更多光彩吧！")</f>
        <v>-新增鬥士：頭號玩家-阿克塞爾，縱橫虛擬世界，玩轉現實戰場的超級玩家！可通過“最強猴子”活動獲取。
-新增機甲皮膚：螳螂皮膚-幽鐮船長，為了探尋海島的寶藏，猿族根據人類留下的航海資料改裝了螳螂機甲，使它擁有獨特的海上作戰能力。
-新增鬥士雕像：艾瑪、薩姆，來為你的城市增添更多光彩吧！</v>
      </c>
      <c r="I83" s="108" t="str">
        <f>IFERROR(__xludf.DUMMYFUNCTION("""COMPUTED_VALUE"""),"- Pejuang Baru: Pemain Teratas - Axel menyerbu dari arena VR ke pertempuran nyata. Dapat diperoleh melalui acara Kera yang Tangguh.
- Skin Mekanik Baru: Kulit Belalang Sembah – Kapten Sabit Kesuraman. Untuk mengejar kekayaan pulau, Kera membangun kembali "&amp;"Mekanik Belalang Sembah dengan peta pelayaran manusia kuno, memberikan kekuatan laut yang unik.
- Patung Pejuang Baru: Emma dan Sam. Tambahkan lebih banyak kemegahan ke kota kamu!")</f>
        <v>- Pejuang Baru: Pemain Teratas - Axel menyerbu dari arena VR ke pertempuran nyata. Dapat diperoleh melalui acara Kera yang Tangguh.
- Skin Mekanik Baru: Kulit Belalang Sembah – Kapten Sabit Kesuraman. Untuk mengejar kekayaan pulau, Kera membangun kembali Mekanik Belalang Sembah dengan peta pelayaran manusia kuno, memberikan kekuatan laut yang unik.
- Patung Pejuang Baru: Emma dan Sam. Tambahkan lebih banyak kemegahan ke kota kamu!</v>
      </c>
      <c r="J83" s="108" t="str">
        <f>IFERROR(__xludf.DUMMYFUNCTION("""COMPUTED_VALUE"""),"- นักสู้ตัวใหม่: นักเล่นเกมระดับท็อป - แอ็กเซลพุ่งเข้ามาจากสนามต่อสู้ VR สู่การต่อสู้จริง สามารถรับได้ผ่านกิจกรรมลิงขั้นเทพ
- สกินเมคใหม่: สกินตั๊กแตนตำข้าว – กัปตันเคียวแห่งความเศร้าโศก เพื่อตามล่าสมบัติบนเกาะ วานรได้สร้างเมคตั๊กแตนตำข้าวขึ้นใหม่ด้วยแผนท"&amp;"ี่การเดินเรือของมนุษย์โบราณ ทำให้มันมีพลังทะเลที่ไม่เหมือนใคร
- รูปปั้นนักสู้ใหม่: เอ็มม่าและแซม เพิ่มความงดงามให้กับเมืองของคุณ!")</f>
        <v>- นักสู้ตัวใหม่: นักเล่นเกมระดับท็อป - แอ็กเซลพุ่งเข้ามาจากสนามต่อสู้ VR สู่การต่อสู้จริง สามารถรับได้ผ่านกิจกรรมลิงขั้นเทพ
- สกินเมคใหม่: สกินตั๊กแตนตำข้าว – กัปตันเคียวแห่งความเศร้าโศก เพื่อตามล่าสมบัติบนเกาะ วานรได้สร้างเมคตั๊กแตนตำข้าวขึ้นใหม่ด้วยแผนที่การเดินเรือของมนุษย์โบราณ ทำให้มันมีพลังทะเลที่ไม่เหมือนใคร
- รูปปั้นนักสู้ใหม่: เอ็มม่าและแซม เพิ่มความงดงามให้กับเมืองของคุณ!</v>
      </c>
      <c r="K83" s="108" t="str">
        <f>IFERROR(__xludf.DUMMYFUNCTION("""COMPUTED_VALUE"""),"- Nuevo Luchador: Mejor Jugador - Axel irrumpe desde la arena de VR a la batalla real. Obtenible a través del evento Mono Supremo.
- Nueva Textura de Meca: Textura de Mantis – Capitán Guadaña de Oscuridad. Para perseguir las riquezas de la isla, los Simio"&amp;"s reconstruyeron el Meca Mantis con antiguos mapas de navegación humanos, dándole un poder marítimo único.
- Nuevas Estatuas de Luchadores: Emma y Sam. ¡Añade más brillo a tu ciudad!")</f>
        <v>- Nuevo Luchador: Mejor Jugador - Axel irrumpe desde la arena de VR a la batalla real. Obtenible a través del evento Mono Supremo.
- Nueva Textura de Meca: Textura de Mantis – Capitán Guadaña de Oscuridad. Para perseguir las riquezas de la isla, los Simios reconstruyeron el Meca Mantis con antiguos mapas de navegación humanos, dándole un poder marítimo único.
- Nuevas Estatuas de Luchadores: Emma y Sam. ¡Añade más brillo a tu ciudad!</v>
      </c>
      <c r="L83" s="108" t="str">
        <f>IFERROR(__xludf.DUMMYFUNCTION("""COMPUTED_VALUE"""),"- Новый герой: Топ Игрок - Аксель выходит из VR арены в реальную битву. Доступен через событие Великая Обезьяна.
- Новый облик Меха: Облик Богомола – Капитан Мрачной Косы. Чтобы преследовать островные богатства, Обезьяны перестроили Мех Богомола, использу"&amp;"я старые человеческие морские карты, наделив его уникальной морской силой.
- Новые статуи героев: Эмма и Сэм. Добавьте больше блеска вашему городу!")</f>
        <v>- Новый герой: Топ Игрок - Аксель выходит из VR арены в реальную битву. Доступен через событие Великая Обезьяна.
- Новый облик Меха: Облик Богомола – Капитан Мрачной Косы. Чтобы преследовать островные богатства, Обезьяны перестроили Мех Богомола, используя старые человеческие морские карты, наделив его уникальной морской силой.
- Новые статуи героев: Эмма и Сэм. Добавьте больше блеска вашему городу!</v>
      </c>
      <c r="M83" s="108" t="str">
        <f>IFERROR(__xludf.DUMMYFUNCTION("""COMPUTED_VALUE"""),"- Yeni Savaşçı: Zirvedeki Oyuncu - Axel, VR arenasından gerçek savaşa fırtına gibi geliyor. En Üstün Maymun etkinliği ile elde edilebilir.
- Yeni Meka Görünümü: Peygamber Devesi Görünümü – Kasvetorak Kaptanı. Ada zenginliklerinin peşinden gitmek için, May"&amp;"munlar Peygamber Devesi Mekanı eski insan denizcilik haritalarıyla yeniden inşa ettiler ve ona benzersiz deniz gücü verdiler.
- Yeni Savaşçı Heykelleri: Emma ve Sam. Şehrinize daha fazla parlaklık katın!")</f>
        <v>- Yeni Savaşçı: Zirvedeki Oyuncu - Axel, VR arenasından gerçek savaşa fırtına gibi geliyor. En Üstün Maymun etkinliği ile elde edilebilir.
- Yeni Meka Görünümü: Peygamber Devesi Görünümü – Kasvetorak Kaptanı. Ada zenginliklerinin peşinden gitmek için, Maymunlar Peygamber Devesi Mekanı eski insan denizcilik haritalarıyla yeniden inşa ettiler ve ona benzersiz deniz gücü verdiler.
- Yeni Savaşçı Heykelleri: Emma ve Sam. Şehrinize daha fazla parlaklık katın!</v>
      </c>
      <c r="N83" s="108" t="str">
        <f>IFERROR(__xludf.DUMMYFUNCTION("""COMPUTED_VALUE"""),"- Chiến Binh Mới: Game Thủ Đứng Đầu - Axel từ đấu trường VR đến trận chiến thực tế. Có thể nhận được thông qua sự kiện Chúa Khỉ Tối Cao.
- Ngoại Trang Cơ Khí Mới: Ngoại Trang Bọ Ngựa – Chủ Tướng Lưỡi Hái U Ám. Để truy tìm kho báu trên đảo, loài khỉ đã tái"&amp;" tạo lại Cơ Khí Bọ Ngựa với các bản đồ hàng hải cũ của con người, mang lại cho nó sức mạnh biển độc đáo.
- Tượng Chiến Binh Mới: Emma và Sam. Thêm sự rực rỡ cho thành phố của bạn!")</f>
        <v>- Chiến Binh Mới: Game Thủ Đứng Đầu - Axel từ đấu trường VR đến trận chiến thực tế. Có thể nhận được thông qua sự kiện Chúa Khỉ Tối Cao.
- Ngoại Trang Cơ Khí Mới: Ngoại Trang Bọ Ngựa – Chủ Tướng Lưỡi Hái U Ám. Để truy tìm kho báu trên đảo, loài khỉ đã tái tạo lại Cơ Khí Bọ Ngựa với các bản đồ hàng hải cũ của con người, mang lại cho nó sức mạnh biển độc đáo.
- Tượng Chiến Binh Mới: Emma và Sam. Thêm sự rực rỡ cho thành phố của bạn!</v>
      </c>
      <c r="O83" s="108" t="str">
        <f>IFERROR(__xludf.DUMMYFUNCTION("""COMPUTED_VALUE"""),"- Nuovo Combattente: Giocatore di vertice - Axel arriva dall'arena VR alla battaglia reale. Ottenibile tramite l'evento Scimmia Suprema.
- Nuovo Aspetto Mech: Aspetto Mantide – Capitano Falce delle Tenebre. Per inseguire le ricchezze dell'isola, le scimmi"&amp;"e hanno ricostruito il Mech Mantide con vecchie carte nautiche umane, conferendogli un potere marino unico.
- Nuove Statue del Combattente: Emma e Sam. Aggiungi più brillantezza alla tua città!")</f>
        <v>- Nuovo Combattente: Giocatore di vertice - Axel arriva dall'arena VR alla battaglia reale. Ottenibile tramite l'evento Scimmia Suprema.
- Nuovo Aspetto Mech: Aspetto Mantide – Capitano Falce delle Tenebre. Per inseguire le ricchezze dell'isola, le scimmie hanno ricostruito il Mech Mantide con vecchie carte nautiche umane, conferendogli un potere marino unico.
- Nuove Statue del Combattente: Emma e Sam. Aggiungi più brillantezza alla tua città!</v>
      </c>
      <c r="P83" s="34" t="str">
        <f>IFERROR(__xludf.DUMMYFUNCTION("""COMPUTED_VALUE"""),"- Nowy Wojownik: Najlepszy Gracz - Axel wkracza z areny VR do prawdziwej bitwy. Dostępny poprzez wydarzenie Ubermałpa.
- Nowa Skórka Mecha: Skórka Modliszki – Kapitan Kosy Mroku. Aby zdobyć bogactwa wysp, Małpy przebudowały Mecha Modliszkę, korzystając ze"&amp;" starych ludzkich map żeglarskich, nadając mu unikalną moc morską.
- Nowe Pomniki Wojowników: Emma i Sam. Dodaj więcej blasku swojemu miastu!")</f>
        <v>- Nowy Wojownik: Najlepszy Gracz - Axel wkracza z areny VR do prawdziwej bitwy. Dostępny poprzez wydarzenie Ubermałpa.
- Nowa Skórka Mecha: Skórka Modliszki – Kapitan Kosy Mroku. Aby zdobyć bogactwa wysp, Małpy przebudowały Mecha Modliszkę, korzystając ze starych ludzkich map żeglarskich, nadając mu unikalną moc morską.
- Nowe Pomniki Wojowników: Emma i Sam. Dodaj więcej blasku swojemu miastu!</v>
      </c>
      <c r="Q83" s="34" t="str">
        <f>IFERROR(__xludf.DUMMYFUNCTION("""COMPUTED_VALUE"""),"- مقاتل جديد: أعلى لاعب - أكسل يقتحم من الحلبة الافتراضية إلى المعركة الحقيقية. يمكن الحصول عليه من خلال حدث القرد الخارق.
- زينة ميكا جديدة: زينة فرس النبي - كابتن منجل الكآبة. لمطاردة ثروات الجزر، أعادت القرود بناء ميكا فرس النبي باستخدام خرائط الإبحار "&amp;"البشرية القديمة، مما يمنحه قوة بحرية فريدة.
- تماثيل مقاتلين جديدة: إيما وسام. أضف المزيد من التألق إلى مدينتك!")</f>
        <v>- مقاتل جديد: أعلى لاعب - أكسل يقتحم من الحلبة الافتراضية إلى المعركة الحقيقية. يمكن الحصول عليه من خلال حدث القرد الخارق.
- زينة ميكا جديدة: زينة فرس النبي - كابتن منجل الكآبة. لمطاردة ثروات الجزر، أعادت القرود بناء ميكا فرس النبي باستخدام خرائط الإبحار البشرية القديمة، مما يمنحه قوة بحرية فريدة.
- تماثيل مقاتلين جديدة: إيما وسام. أضف المزيد من التألق إلى مدينتك!</v>
      </c>
      <c r="R83" s="34" t="str">
        <f>IFERROR(__xludf.DUMMYFUNCTION("""COMPUTED_VALUE"""),"- 新しいファイター: トップゲーマー - アクセルがVRアリーナから実戦に登場。究極のエイプイベントで入手可能。
- 新しいメカスキン: マンティススキン – グルームサイズキャプテン。島の財宝を追い求めるために、エイプたちは古い人間の航海図を使ってマンティスメカを再建し、独自の海の力を与えました。
- 新しいファイターの像: エマとサム。あなたの都市にさらなる輝きを追加！")</f>
        <v>- 新しいファイター: トップゲーマー - アクセルがVRアリーナから実戦に登場。究極のエイプイベントで入手可能。
- 新しいメカスキン: マンティススキン – グルームサイズキャプテン。島の財宝を追い求めるために、エイプたちは古い人間の航海図を使ってマンティスメカを再建し、独自の海の力を与えました。
- 新しいファイターの像: エマとサム。あなたの都市にさらなる輝きを追加！</v>
      </c>
      <c r="S83" s="34" t="str">
        <f>IFERROR(__xludf.DUMMYFUNCTION("""COMPUTED_VALUE"""),"- 새로운 전사: 탑 게이머 - 악셀이 VR 아레나에서 실제 전투로 돌진합니다. 최강 원숭이 이벤트를 통해 획득 가능합니다.
- 새로운 메카 스킨: 사마귀 스킨 – 어둠의 낫 대장. 섬의 부를 쫓기 위해, 원숭이들은 오래된 인간의 항해 지도를 사용하여 사마귀 메카를 재건하여 독특한 바다의 힘을 부여했습니다.
- 새로운 전사 석상: 엠마와 샘. 당신의 도시에 더 많은 빛을 추가하세요!")</f>
        <v>- 새로운 전사: 탑 게이머 - 악셀이 VR 아레나에서 실제 전투로 돌진합니다. 최강 원숭이 이벤트를 통해 획득 가능합니다.
- 새로운 메카 스킨: 사마귀 스킨 – 어둠의 낫 대장. 섬의 부를 쫓기 위해, 원숭이들은 오래된 인간의 항해 지도를 사용하여 사마귀 메카를 재건하여 독특한 바다의 힘을 부여했습니다.
- 새로운 전사 석상: 엠마와 샘. 당신의 도시에 더 많은 빛을 추가하세요!</v>
      </c>
      <c r="T83" s="108"/>
      <c r="U83" s="108"/>
      <c r="V83" s="108"/>
      <c r="W83" s="108"/>
      <c r="X83" s="108"/>
      <c r="Y83" s="108"/>
      <c r="Z83" s="108"/>
    </row>
    <row r="84">
      <c r="A84" s="149" t="str">
        <f>IFERROR(__xludf.DUMMYFUNCTION("""COMPUTED_VALUE"""),"0.77.0")</f>
        <v>0.77.0</v>
      </c>
      <c r="B84" s="108" t="str">
        <f>IFERROR(__xludf.DUMMYFUNCTION("""COMPUTED_VALUE"""),"&lt;en-US&gt;
- New Fighter: Restoring Hand - Wrench—Savior of battered Mechs, the battlefield roaming mechanic! Unlock through the Ultimate Monkey event.
- New Fighter Statues: Master Hong and Blake. Add more brilliance to your city!
- New Parade Ground Upgrad"&amp;"es: Parade Ground VI arrives on early servers, plus a Spectrum Chip rental that grants temporary March Capacity.
&lt;/en-US&gt;
&lt;fr-FR&gt;
- Nouveau combattant : Main Restauratrice - Clé — Ange de vie des Méchas endommagés, le mécanicien errant du champ de bataill"&amp;"e ! Débloquez-le via l'événement LE SINGE ULTIME.
- Nouvelles statues de combattants : Maître Hong et Blake. Ajoutez plus d'éclat à votre ville !
- Nouvelles améliorations de la Place d'armes : Place d'armes VI arrive sur les serveurs précoces, plus une l"&amp;"ocation de Puce Spectrum qui accorde une Capacité du Bataillon temporaire.
&lt;/fr-FR&gt;
&lt;de-DE&gt;
- Neuer Kämpfer: Wiederherstellende Hand - Schraubenschlüssel—Lebensengel der ramponierten Mechs, der auf dem Schlachtfeld umherziehende Mechaniker! Freischalten d"&amp;"urch das Ultimate Monkey Event.
- Neue Kämpfer-Statuen: Meister Hong und Blake. Bringen Sie mehr Glanz in Ihre Stadt!
- Neue Paradeplatz-Aufwertungen: Paradeplatz VI erscheint auf frühen Servern, plus ein Spectrum-Chip-Verleih, der temporäre Marsch-Kapazi"&amp;"tät gewährt.
&lt;/de-DE&gt;
&lt;pt-BR&gt;
- Novo Combatente: Mão Restauradora - Chave Inglesa—Anjo da vida dos Mechas danificados, o mecânico errante do campo de batalha! Desbloqueie através do evento Macaco Supremo.
- Novas Estátuas de Combatentes: Mestre Hong e Bla"&amp;"ke. Adicione mais brilho à sua cidade!
- Novas Melhorias na Praça de Armas: Praça de Armas VI chega aos servidores iniciais, além de um aluguel de Chip Spectrum que concede Capacidade de Marcha temporária.
&lt;/pt-BR&gt;
&lt;zh-HK&gt;
-新增鬥士：重塑之手-倫奇，已被破壞機甲的救星，穿梭於戰場的維修"&amp;"師！可透過「最強猴子」活動獲取。
-新增鬥士雕像：洪大師、布萊克，來為你的城市增添更多光彩吧！
-新增閱兵場升級：部分開放時間較早的伺服器新增閱兵場Ⅵ，並新增部隊容量租賃功能，可以消耗光譜晶片獲得臨時部隊容量增益；
&lt;/zh-HK&gt;
&lt;zh-TW&gt;
-新增鬥士：重塑之手-倫奇，已被破壞機甲的救星，穿梭於戰場的維修師！可透過「最強猴子」活動獲取。
-新增鬥士雕像：洪大師、布萊克，來為你的城市增添更多光彩吧！
-新增閱兵場升級：部分開放時間較早的伺服器新增閱兵場Ⅵ，並新增部隊容量租賃功能，可以消耗光譜晶片獲得"&amp;"臨時部隊容量增益；
&lt;/zh-TW&gt;
&lt;id&gt;
- Pejuang Baru: Tangan yang Dipulihkan - Kunci Inggris—Pemberi Kehidupan bagi Mekanik yang rusak, mekanik yang berkeliaran di medan perang! Buka melalui event Kera yang Tangguh.
- Patung Pejuang Baru: Ketua Hong dan Blake. Tambahka"&amp;"n lebih banyak kemegahan ke kotamu!
- Peningkatan Tempat Parade Baru: Tempat Parade VI hadir di server awal, plus sewa Chip Spektrum yang memberikan Kapasitas Barisan sementara.
&lt;/id&gt;
&lt;th&gt;
- นักสู้ตัวใหม่: มือฟื้นฟู - ประแจ—นางฟ้าแห่งชีวิตของเมคที่ถูกทำลา"&amp;"ย, ช่างกลที่ท่องไปในสนามรบ! ปลดล็อกผ่านกิจกรรมลิงขั้นเทพ
- รูปปั้นนักสู้ใหม่: มาสเตอร์ฮง และ เบลค เพิ่มความโดดเด่นให้กับเมืองของคุณ!
- อัปเกรดลานเดินทัพใหม่: ลานเดินทัพ VI มาแล้วบนเซิร์ฟเวอร์เปิดใหม่ พร้อมแผ่นชิปสเปกตรัมให้เช่าที่เพิ่มขนาดการเดินทัพชั่วคร"&amp;"าว
&lt;/th&gt;
&lt;es-419&gt;
- Nuevo Luchador: Mano Restauradora - Llave inglesa—¡Salvador de Mecas maltrechos, el mecánico errante del campo de batalla! Desbloquea a través del evento Mono Supremo.
- Nuevas Estatuas de Luchadores: Maestro Hong y Blake. ¡Añade más b"&amp;"rillo a tu ciudad!
- Nuevas Mejoras en la Plaza de Armas: Llega Plaza de Armas VI en servidores tempranos, además de un alquiler de Chip Espectro que otorga Capacidad de Marcha temporal.
&lt;/es-419&gt;
&lt;ru-RU&gt;
- Новый герой: Восстанавливающая рука - Гаечный кл"&amp;"юч — Ангел жизни потрепанных Мехов, механик, бродящий по полю боя! Открывается через событие ВЕЛИКАЯ ОБЕЗЬЯНА.
- Новые статуи героев: Мастер Хонг и Блейк. Добавьте больше блеска вашему городу!
- Новые улучшения Парадного плаца: Парадный плац VI доступен н"&amp;"а ранних серверах, а также аренда Чипа Спектра, дающего временную Вместимость марша.
&lt;/ru-RU&gt;
&lt;tr-TR&gt;
- Yeni Savaşçı: Yenileyici El - Anahtar—Yıpranmış Mekaların kurtarıcısı, savaş meydanında dolaşan mekanikçi! En Üstün Maymun etkinliğiyle kilidini açın.
"&amp;"- Yeni Savaşçı Heykelleri: Usta Hong ve Blake. Şehrinize daha fazla parlaklık katın!
- Yeni Geçit Töreni Yeri Yükseltmeleri: Geçit Töreni Yeri VI erken sunucularda geliyor, ayrıca geçici Sefer Kapasitesi sağlayan Spektrum Çipi kiralama.
&lt;/tr-TR&gt;
&lt;vi&gt;
- Ch"&amp;"iến Binh Mới: Bàn Tay Khôi Phục - Cờ Lê—Thiên Thần Sinh Mạng của những Cơ Khí bị tổn thương, thợ máy lang thang trên chiến trường! Mở khóa qua sự kiện CHÚA KHỈ TỐI CAO.
- Tượng Chiến Binh Mới: Chủ Tướng Hong và Blake. Thêm rực rỡ cho thành phố của bạn!
- "&amp;"Nâng Cấp Sân Diễu Hành Mới: Sân Diễu Hành VI xuất hiện trên các máy chủ sớm, cùng với thuê Chip Spectrum cho phép tăng tạm thời Sức Chứa Hành Quân.
&lt;/vi&gt;
&lt;it-IT&gt;
- Nuovo Combattente: Mano Ripristinata - Chiave inglese—Salvatore dei Mech malconci, il mecca"&amp;"nico errante del campo di battaglia! Sblocca tramite l'evento SCIMMIA SUPREMA.
- Nuove Statue del Combattente: Maestro Hong e Blake. Aggiungi più splendore alla tua città!
- Nuovi Potenziamenti della Capacità di Marcia: Capacità di Marcia VI arriva sui se"&amp;"rver anticipati, più un noleggio Chip Spectrum che concede temporaneamente Capacità di Marcia.
&lt;/it-IT&gt;
&lt;pl-PL&gt;
- Nowy Wojownik: Przywracająca Ręka - Klucz — Zbawca zniszczonych Mechów, mechanik przemierzający pole bitwy! Odblokuj podczas wydarzenia UBERM"&amp;"AŁPA.
- Nowe Pomniki Wojowników: Mistrz Hong i Blake. Dodaj blasku swojemu miastu!
- Nowe Ulepszenia Pojemności: Pojemność VI dostępna na wczesnych serwerach, plus wynajem Układu Spektrum, który tymczasowo zwiększa Liczbę maszerujących.
&lt;/pl-PL&gt;
&lt;ar&gt;
- مق"&amp;"اتل جديد: استعادة اليد - مفتاح الربط—المنقذ للميكاترونيات المتضررة، الميكانيكي المتجول في ساحة المعركة! افتح من خلال حدث القرد الخارق.
- تماثيل مقاتلين جدد: سيد هونغ وبليك. أضف المزيد من التألق إلى مدينتك!
- ترقيات جديدة لساحة العرض: ساحة العرض VI تصل إلى"&amp;" السيرفرات المبكرة، بالإضافة إلى استئجار رقاقة الطيف التي تمنح سعة مسيرة مؤقتة.
&lt;/ar&gt;
&lt;ja-JP&gt;
- 新しいファイター：回復の手 - レンチ—傷ついたメカの救世主、戦場を駆け巡るメカニック！究極のエイプイベントでアンロック。
- 新しいファイターの像：マスター・ホンとブレイク。あなたの都市にさらなる輝きを！
- 新しい閲兵場アップグレード：閲兵場VIが早期サーバーに登場、さらに一時的に行軍容量を付与するスペクトラムチ"&amp;"ップのレンタルも。
&lt;/ja-JP&gt;
&lt;ko-KR&gt;
- 새로운 전사: 복원하는 손 - 렌치—고장난 메카들의 구원자, 전장을 떠도는 메카닉! 최강 원숭이 이벤트를 통해 잠금 해제하세요.
- 새로운 전사 석상: 마스터 홍과 블레이크. 당신의 도시에 더 많은 빛을 더하세요!
- 새로운 연병장 업그레이드: 초기 서버에 연병장 VI가 도착하며, 임시 행군 수용력을 부여하는 스펙트럼 칩 대여도 추가됩니다.
&lt;/ko-KR&gt;
")</f>
        <v>&lt;en-US&gt;
- New Fighter: Restoring Hand - Wrench—Savior of battered Mechs, the battlefield roaming mechanic! Unlock through the Ultimate Monkey event.
- New Fighter Statues: Master Hong and Blake. Add more brilliance to your city!
- New Parade Ground Upgrades: Parade Ground VI arrives on early servers, plus a Spectrum Chip rental that grants temporary March Capacity.
&lt;/en-US&gt;
&lt;fr-FR&gt;
- Nouveau combattant : Main Restauratrice - Clé — Ange de vie des Méchas endommagés, le mécanicien errant du champ de bataille ! Débloquez-le via l'événement LE SINGE ULTIME.
- Nouvelles statues de combattants : Maître Hong et Blake. Ajoutez plus d'éclat à votre ville !
- Nouvelles améliorations de la Place d'armes : Place d'armes VI arrive sur les serveurs précoces, plus une location de Puce Spectrum qui accorde une Capacité du Bataillon temporaire.
&lt;/fr-FR&gt;
&lt;de-DE&gt;
- Neuer Kämpfer: Wiederherstellende Hand - Schraubenschlüssel—Lebensengel der ramponierten Mechs, der auf dem Schlachtfeld umherziehende Mechaniker! Freischalten durch das Ultimate Monkey Event.
- Neue Kämpfer-Statuen: Meister Hong und Blake. Bringen Sie mehr Glanz in Ihre Stadt!
- Neue Paradeplatz-Aufwertungen: Paradeplatz VI erscheint auf frühen Servern, plus ein Spectrum-Chip-Verleih, der temporäre Marsch-Kapazität gewährt.
&lt;/de-DE&gt;
&lt;pt-BR&gt;
- Novo Combatente: Mão Restauradora - Chave Inglesa—Anjo da vida dos Mechas danificados, o mecânico errante do campo de batalha! Desbloqueie através do evento Macaco Supremo.
- Novas Estátuas de Combatentes: Mestre Hong e Blake. Adicione mais brilho à sua cidade!
- Novas Melhorias na Praça de Armas: Praça de Armas VI chega aos servidores iniciais, além de um aluguel de Chip Spectrum que concede Capacidade de Marcha temporária.
&lt;/pt-BR&gt;
&lt;zh-HK&gt;
-新增鬥士：重塑之手-倫奇，已被破壞機甲的救星，穿梭於戰場的維修師！可透過「最強猴子」活動獲取。
-新增鬥士雕像：洪大師、布萊克，來為你的城市增添更多光彩吧！
-新增閱兵場升級：部分開放時間較早的伺服器新增閱兵場Ⅵ，並新增部隊容量租賃功能，可以消耗光譜晶片獲得臨時部隊容量增益；
&lt;/zh-HK&gt;
&lt;zh-TW&gt;
-新增鬥士：重塑之手-倫奇，已被破壞機甲的救星，穿梭於戰場的維修師！可透過「最強猴子」活動獲取。
-新增鬥士雕像：洪大師、布萊克，來為你的城市增添更多光彩吧！
-新增閱兵場升級：部分開放時間較早的伺服器新增閱兵場Ⅵ，並新增部隊容量租賃功能，可以消耗光譜晶片獲得臨時部隊容量增益；
&lt;/zh-TW&gt;
&lt;id&gt;
- Pejuang Baru: Tangan yang Dipulihkan - Kunci Inggris—Pemberi Kehidupan bagi Mekanik yang rusak, mekanik yang berkeliaran di medan perang! Buka melalui event Kera yang Tangguh.
- Patung Pejuang Baru: Ketua Hong dan Blake. Tambahkan lebih banyak kemegahan ke kotamu!
- Peningkatan Tempat Parade Baru: Tempat Parade VI hadir di server awal, plus sewa Chip Spektrum yang memberikan Kapasitas Barisan sementara.
&lt;/id&gt;
&lt;th&gt;
- นักสู้ตัวใหม่: มือฟื้นฟู - ประแจ—นางฟ้าแห่งชีวิตของเมคที่ถูกทำลาย, ช่างกลที่ท่องไปในสนามรบ! ปลดล็อกผ่านกิจกรรมลิงขั้นเทพ
- รูปปั้นนักสู้ใหม่: มาสเตอร์ฮง และ เบลค เพิ่มความโดดเด่นให้กับเมืองของคุณ!
- อัปเกรดลานเดินทัพใหม่: ลานเดินทัพ VI มาแล้วบนเซิร์ฟเวอร์เปิดใหม่ พร้อมแผ่นชิปสเปกตรัมให้เช่าที่เพิ่มขนาดการเดินทัพชั่วคราว
&lt;/th&gt;
&lt;es-419&gt;
- Nuevo Luchador: Mano Restauradora - Llave inglesa—¡Salvador de Mecas maltrechos, el mecánico errante del campo de batalla! Desbloquea a través del evento Mono Supremo.
- Nuevas Estatuas de Luchadores: Maestro Hong y Blake. ¡Añade más brillo a tu ciudad!
- Nuevas Mejoras en la Plaza de Armas: Llega Plaza de Armas VI en servidores tempranos, además de un alquiler de Chip Espectro que otorga Capacidad de Marcha temporal.
&lt;/es-419&gt;
&lt;ru-RU&gt;
- Новый герой: Восстанавливающая рука - Гаечный ключ — Ангел жизни потрепанных Мехов, механик, бродящий по полю боя! Открывается через событие ВЕЛИКАЯ ОБЕЗЬЯНА.
- Новые статуи героев: Мастер Хонг и Блейк. Добавьте больше блеска вашему городу!
- Новые улучшения Парадного плаца: Парадный плац VI доступен на ранних серверах, а также аренда Чипа Спектра, дающего временную Вместимость марша.
&lt;/ru-RU&gt;
&lt;tr-TR&gt;
- Yeni Savaşçı: Yenileyici El - Anahtar—Yıpranmış Mekaların kurtarıcısı, savaş meydanında dolaşan mekanikçi! En Üstün Maymun etkinliğiyle kilidini açın.
- Yeni Savaşçı Heykelleri: Usta Hong ve Blake. Şehrinize daha fazla parlaklık katın!
- Yeni Geçit Töreni Yeri Yükseltmeleri: Geçit Töreni Yeri VI erken sunucularda geliyor, ayrıca geçici Sefer Kapasitesi sağlayan Spektrum Çipi kiralama.
&lt;/tr-TR&gt;
&lt;vi&gt;
- Chiến Binh Mới: Bàn Tay Khôi Phục - Cờ Lê—Thiên Thần Sinh Mạng của những Cơ Khí bị tổn thương, thợ máy lang thang trên chiến trường! Mở khóa qua sự kiện CHÚA KHỈ TỐI CAO.
- Tượng Chiến Binh Mới: Chủ Tướng Hong và Blake. Thêm rực rỡ cho thành phố của bạn!
- Nâng Cấp Sân Diễu Hành Mới: Sân Diễu Hành VI xuất hiện trên các máy chủ sớm, cùng với thuê Chip Spectrum cho phép tăng tạm thời Sức Chứa Hành Quân.
&lt;/vi&gt;
&lt;it-IT&gt;
- Nuovo Combattente: Mano Ripristinata - Chiave inglese—Salvatore dei Mech malconci, il meccanico errante del campo di battaglia! Sblocca tramite l'evento SCIMMIA SUPREMA.
- Nuove Statue del Combattente: Maestro Hong e Blake. Aggiungi più splendore alla tua città!
- Nuovi Potenziamenti della Capacità di Marcia: Capacità di Marcia VI arriva sui server anticipati, più un noleggio Chip Spectrum che concede temporaneamente Capacità di Marcia.
&lt;/it-IT&gt;
&lt;pl-PL&gt;
- Nowy Wojownik: Przywracająca Ręka - Klucz — Zbawca zniszczonych Mechów, mechanik przemierzający pole bitwy! Odblokuj podczas wydarzenia UBERMAŁPA.
- Nowe Pomniki Wojowników: Mistrz Hong i Blake. Dodaj blasku swojemu miastu!
- Nowe Ulepszenia Pojemności: Pojemność VI dostępna na wczesnych serwerach, plus wynajem Układu Spektrum, który tymczasowo zwiększa Liczbę maszerujących.
&lt;/pl-PL&gt;
&lt;ar&gt;
- مقاتل جديد: استعادة اليد - مفتاح الربط—المنقذ للميكاترونيات المتضررة، الميكانيكي المتجول في ساحة المعركة! افتح من خلال حدث القرد الخارق.
- تماثيل مقاتلين جدد: سيد هونغ وبليك. أضف المزيد من التألق إلى مدينتك!
- ترقيات جديدة لساحة العرض: ساحة العرض VI تصل إلى السيرفرات المبكرة، بالإضافة إلى استئجار رقاقة الطيف التي تمنح سعة مسيرة مؤقتة.
&lt;/ar&gt;
&lt;ja-JP&gt;
- 新しいファイター：回復の手 - レンチ—傷ついたメカの救世主、戦場を駆け巡るメカニック！究極のエイプイベントでアンロック。
- 新しいファイターの像：マスター・ホンとブレイク。あなたの都市にさらなる輝きを！
- 新しい閲兵場アップグレード：閲兵場VIが早期サーバーに登場、さらに一時的に行軍容量を付与するスペクトラムチップのレンタルも。
&lt;/ja-JP&gt;
&lt;ko-KR&gt;
- 새로운 전사: 복원하는 손 - 렌치—고장난 메카들의 구원자, 전장을 떠도는 메카닉! 최강 원숭이 이벤트를 통해 잠금 해제하세요.
- 새로운 전사 석상: 마스터 홍과 블레이크. 당신의 도시에 더 많은 빛을 더하세요!
- 새로운 연병장 업그레이드: 초기 서버에 연병장 VI가 도착하며, 임시 행군 수용력을 부여하는 스펙트럼 칩 대여도 추가됩니다.
&lt;/ko-KR&gt;
</v>
      </c>
      <c r="C84" s="108" t="str">
        <f>IFERROR(__xludf.DUMMYFUNCTION("""COMPUTED_VALUE"""),"-新增斗士：重塑之手-伦奇，破损机甲的救星，穿梭于战场的维修师！可通过“最强猴子”活动获取。
-新增斗士雕像：洪大师、布莱克，来为你的城市增添更多光彩吧！
-新增阅兵场升级：部分开放时间较早的服务器新增阅兵场Ⅵ，并新增部队容量租赁功能，可以消耗光谱芯片获得临时部队容量增益；")</f>
        <v>-新增斗士：重塑之手-伦奇，破损机甲的救星，穿梭于战场的维修师！可通过“最强猴子”活动获取。
-新增斗士雕像：洪大师、布莱克，来为你的城市增添更多光彩吧！
-新增阅兵场升级：部分开放时间较早的服务器新增阅兵场Ⅵ，并新增部队容量租赁功能，可以消耗光谱芯片获得临时部队容量增益；</v>
      </c>
      <c r="D84" s="108" t="str">
        <f>IFERROR(__xludf.DUMMYFUNCTION("""COMPUTED_VALUE"""),"- New Fighter: Restoring Hand - Wrench—Savior of battered Mechs, the battlefield roaming mechanic! Unlock through the Ultimate Monkey event.
- New Fighter Statues: Master Hong and Blake. Add more brilliance to your city!
- New Parade Ground Upgrades: Para"&amp;"de Ground VI arrives on early servers, plus a Spectrum Chip rental that grants temporary March Capacity.")</f>
        <v>- New Fighter: Restoring Hand - Wrench—Savior of battered Mechs, the battlefield roaming mechanic! Unlock through the Ultimate Monkey event.
- New Fighter Statues: Master Hong and Blake. Add more brilliance to your city!
- New Parade Ground Upgrades: Parade Ground VI arrives on early servers, plus a Spectrum Chip rental that grants temporary March Capacity.</v>
      </c>
      <c r="E84" s="108" t="str">
        <f>IFERROR(__xludf.DUMMYFUNCTION("""COMPUTED_VALUE"""),"- Nouveau combattant : Main Restauratrice - Clé — Ange de vie des Méchas endommagés, le mécanicien errant du champ de bataille ! Débloquez-le via l'événement LE SINGE ULTIME.
- Nouvelles statues de combattants : Maître Hong et Blake. Ajoutez plus d'éclat "&amp;"à votre ville !
- Nouvelles améliorations de la Place d'armes : Place d'armes VI arrive sur les serveurs précoces, plus une location de Puce Spectrum qui accorde une Capacité du Bataillon temporaire.")</f>
        <v>- Nouveau combattant : Main Restauratrice - Clé — Ange de vie des Méchas endommagés, le mécanicien errant du champ de bataille ! Débloquez-le via l'événement LE SINGE ULTIME.
- Nouvelles statues de combattants : Maître Hong et Blake. Ajoutez plus d'éclat à votre ville !
- Nouvelles améliorations de la Place d'armes : Place d'armes VI arrive sur les serveurs précoces, plus une location de Puce Spectrum qui accorde une Capacité du Bataillon temporaire.</v>
      </c>
      <c r="F84" s="108" t="str">
        <f>IFERROR(__xludf.DUMMYFUNCTION("""COMPUTED_VALUE"""),"- Neuer Kämpfer: Wiederherstellende Hand - Schraubenschlüssel—Lebensengel der ramponierten Mechs, der auf dem Schlachtfeld umherziehende Mechaniker! Freischalten durch das Ultimate Monkey Event.
- Neue Kämpfer-Statuen: Meister Hong und Blake. Bringen Sie "&amp;"mehr Glanz in Ihre Stadt!
- Neue Paradeplatz-Aufwertungen: Paradeplatz VI erscheint auf frühen Servern, plus ein Spectrum-Chip-Verleih, der temporäre Marsch-Kapazität gewährt.")</f>
        <v>- Neuer Kämpfer: Wiederherstellende Hand - Schraubenschlüssel—Lebensengel der ramponierten Mechs, der auf dem Schlachtfeld umherziehende Mechaniker! Freischalten durch das Ultimate Monkey Event.
- Neue Kämpfer-Statuen: Meister Hong und Blake. Bringen Sie mehr Glanz in Ihre Stadt!
- Neue Paradeplatz-Aufwertungen: Paradeplatz VI erscheint auf frühen Servern, plus ein Spectrum-Chip-Verleih, der temporäre Marsch-Kapazität gewährt.</v>
      </c>
      <c r="G84" s="108" t="str">
        <f>IFERROR(__xludf.DUMMYFUNCTION("""COMPUTED_VALUE"""),"- Novo Combatente: Mão Restauradora - Chave Inglesa—Anjo da vida dos Mechas danificados, o mecânico errante do campo de batalha! Desbloqueie através do evento Macaco Supremo.
- Novas Estátuas de Combatentes: Mestre Hong e Blake. Adicione mais brilho à sua"&amp;" cidade!
- Novas Melhorias na Praça de Armas: Praça de Armas VI chega aos servidores iniciais, além de um aluguel de Chip Spectrum que concede Capacidade de Marcha temporária.")</f>
        <v>- Novo Combatente: Mão Restauradora - Chave Inglesa—Anjo da vida dos Mechas danificados, o mecânico errante do campo de batalha! Desbloqueie através do evento Macaco Supremo.
- Novas Estátuas de Combatentes: Mestre Hong e Blake. Adicione mais brilho à sua cidade!
- Novas Melhorias na Praça de Armas: Praça de Armas VI chega aos servidores iniciais, além de um aluguel de Chip Spectrum que concede Capacidade de Marcha temporária.</v>
      </c>
      <c r="H84" s="108" t="str">
        <f>IFERROR(__xludf.DUMMYFUNCTION("""COMPUTED_VALUE"""),"-新增鬥士：重塑之手-倫奇，已被破壞機甲的救星，穿梭於戰場的維修師！可透過「最強猴子」活動獲取。
-新增鬥士雕像：洪大師、布萊克，來為你的城市增添更多光彩吧！
-新增閱兵場升級：部分開放時間較早的伺服器新增閱兵場Ⅵ，並新增部隊容量租賃功能，可以消耗光譜晶片獲得臨時部隊容量增益；")</f>
        <v>-新增鬥士：重塑之手-倫奇，已被破壞機甲的救星，穿梭於戰場的維修師！可透過「最強猴子」活動獲取。
-新增鬥士雕像：洪大師、布萊克，來為你的城市增添更多光彩吧！
-新增閱兵場升級：部分開放時間較早的伺服器新增閱兵場Ⅵ，並新增部隊容量租賃功能，可以消耗光譜晶片獲得臨時部隊容量增益；</v>
      </c>
      <c r="I84" s="108" t="str">
        <f>IFERROR(__xludf.DUMMYFUNCTION("""COMPUTED_VALUE"""),"- Pejuang Baru: Tangan yang Dipulihkan - Kunci Inggris—Pemberi Kehidupan bagi Mekanik yang rusak, mekanik yang berkeliaran di medan perang! Buka melalui event Kera yang Tangguh.
- Patung Pejuang Baru: Ketua Hong dan Blake. Tambahkan lebih banyak kemegahan"&amp;" ke kotamu!
- Peningkatan Tempat Parade Baru: Tempat Parade VI hadir di server awal, plus sewa Chip Spektrum yang memberikan Kapasitas Barisan sementara.")</f>
        <v>- Pejuang Baru: Tangan yang Dipulihkan - Kunci Inggris—Pemberi Kehidupan bagi Mekanik yang rusak, mekanik yang berkeliaran di medan perang! Buka melalui event Kera yang Tangguh.
- Patung Pejuang Baru: Ketua Hong dan Blake. Tambahkan lebih banyak kemegahan ke kotamu!
- Peningkatan Tempat Parade Baru: Tempat Parade VI hadir di server awal, plus sewa Chip Spektrum yang memberikan Kapasitas Barisan sementara.</v>
      </c>
      <c r="J84" s="108" t="str">
        <f>IFERROR(__xludf.DUMMYFUNCTION("""COMPUTED_VALUE"""),"- นักสู้ตัวใหม่: มือฟื้นฟู - ประแจ—นางฟ้าแห่งชีวิตของเมคที่ถูกทำลาย, ช่างกลที่ท่องไปในสนามรบ! ปลดล็อกผ่านกิจกรรมลิงขั้นเทพ
- รูปปั้นนักสู้ใหม่: มาสเตอร์ฮง และ เบลค เพิ่มความโดดเด่นให้กับเมืองของคุณ!
- อัปเกรดลานเดินทัพใหม่: ลานเดินทัพ VI มาแล้วบนเซิร์ฟเวอ"&amp;"ร์เปิดใหม่ พร้อมแผ่นชิปสเปกตรัมให้เช่าที่เพิ่มขนาดการเดินทัพชั่วคราว")</f>
        <v>- นักสู้ตัวใหม่: มือฟื้นฟู - ประแจ—นางฟ้าแห่งชีวิตของเมคที่ถูกทำลาย, ช่างกลที่ท่องไปในสนามรบ! ปลดล็อกผ่านกิจกรรมลิงขั้นเทพ
- รูปปั้นนักสู้ใหม่: มาสเตอร์ฮง และ เบลค เพิ่มความโดดเด่นให้กับเมืองของคุณ!
- อัปเกรดลานเดินทัพใหม่: ลานเดินทัพ VI มาแล้วบนเซิร์ฟเวอร์เปิดใหม่ พร้อมแผ่นชิปสเปกตรัมให้เช่าที่เพิ่มขนาดการเดินทัพชั่วคราว</v>
      </c>
      <c r="K84" s="108" t="str">
        <f>IFERROR(__xludf.DUMMYFUNCTION("""COMPUTED_VALUE"""),"- Nuevo Luchador: Mano Restauradora - Llave inglesa—¡Salvador de Mecas maltrechos, el mecánico errante del campo de batalla! Desbloquea a través del evento Mono Supremo.
- Nuevas Estatuas de Luchadores: Maestro Hong y Blake. ¡Añade más brillo a tu ciudad!"&amp;"
- Nuevas Mejoras en la Plaza de Armas: Llega Plaza de Armas VI en servidores tempranos, además de un alquiler de Chip Espectro que otorga Capacidad de Marcha temporal.")</f>
        <v>- Nuevo Luchador: Mano Restauradora - Llave inglesa—¡Salvador de Mecas maltrechos, el mecánico errante del campo de batalla! Desbloquea a través del evento Mono Supremo.
- Nuevas Estatuas de Luchadores: Maestro Hong y Blake. ¡Añade más brillo a tu ciudad!
- Nuevas Mejoras en la Plaza de Armas: Llega Plaza de Armas VI en servidores tempranos, además de un alquiler de Chip Espectro que otorga Capacidad de Marcha temporal.</v>
      </c>
      <c r="L84" s="108" t="str">
        <f>IFERROR(__xludf.DUMMYFUNCTION("""COMPUTED_VALUE"""),"- Новый герой: Восстанавливающая рука - Гаечный ключ — Ангел жизни потрепанных Мехов, механик, бродящий по полю боя! Открывается через событие ВЕЛИКАЯ ОБЕЗЬЯНА.
- Новые статуи героев: Мастер Хонг и Блейк. Добавьте больше блеска вашему городу!
- Новые улуч"&amp;"шения Парадного плаца: Парадный плац VI доступен на ранних серверах, а также аренда Чипа Спектра, дающего временную Вместимость марша.")</f>
        <v>- Новый герой: Восстанавливающая рука - Гаечный ключ — Ангел жизни потрепанных Мехов, механик, бродящий по полю боя! Открывается через событие ВЕЛИКАЯ ОБЕЗЬЯНА.
- Новые статуи героев: Мастер Хонг и Блейк. Добавьте больше блеска вашему городу!
- Новые улучшения Парадного плаца: Парадный плац VI доступен на ранних серверах, а также аренда Чипа Спектра, дающего временную Вместимость марша.</v>
      </c>
      <c r="M84" s="108" t="str">
        <f>IFERROR(__xludf.DUMMYFUNCTION("""COMPUTED_VALUE"""),"- Yeni Savaşçı: Yenileyici El - Anahtar—Yıpranmış Mekaların kurtarıcısı, savaş meydanında dolaşan mekanikçi! En Üstün Maymun etkinliğiyle kilidini açın.
- Yeni Savaşçı Heykelleri: Usta Hong ve Blake. Şehrinize daha fazla parlaklık katın!
- Yeni Geçit Töre"&amp;"ni Yeri Yükseltmeleri: Geçit Töreni Yeri VI erken sunucularda geliyor, ayrıca geçici Sefer Kapasitesi sağlayan Spektrum Çipi kiralama.")</f>
        <v>- Yeni Savaşçı: Yenileyici El - Anahtar—Yıpranmış Mekaların kurtarıcısı, savaş meydanında dolaşan mekanikçi! En Üstün Maymun etkinliğiyle kilidini açın.
- Yeni Savaşçı Heykelleri: Usta Hong ve Blake. Şehrinize daha fazla parlaklık katın!
- Yeni Geçit Töreni Yeri Yükseltmeleri: Geçit Töreni Yeri VI erken sunucularda geliyor, ayrıca geçici Sefer Kapasitesi sağlayan Spektrum Çipi kiralama.</v>
      </c>
      <c r="N84" s="108" t="str">
        <f>IFERROR(__xludf.DUMMYFUNCTION("""COMPUTED_VALUE"""),"- Chiến Binh Mới: Bàn Tay Khôi Phục - Cờ Lê—Thiên Thần Sinh Mạng của những Cơ Khí bị tổn thương, thợ máy lang thang trên chiến trường! Mở khóa qua sự kiện CHÚA KHỈ TỐI CAO.
- Tượng Chiến Binh Mới: Chủ Tướng Hong và Blake. Thêm rực rỡ cho thành phố của bạn"&amp;"!
- Nâng Cấp Sân Diễu Hành Mới: Sân Diễu Hành VI xuất hiện trên các máy chủ sớm, cùng với thuê Chip Spectrum cho phép tăng tạm thời Sức Chứa Hành Quân.")</f>
        <v>- Chiến Binh Mới: Bàn Tay Khôi Phục - Cờ Lê—Thiên Thần Sinh Mạng của những Cơ Khí bị tổn thương, thợ máy lang thang trên chiến trường! Mở khóa qua sự kiện CHÚA KHỈ TỐI CAO.
- Tượng Chiến Binh Mới: Chủ Tướng Hong và Blake. Thêm rực rỡ cho thành phố của bạn!
- Nâng Cấp Sân Diễu Hành Mới: Sân Diễu Hành VI xuất hiện trên các máy chủ sớm, cùng với thuê Chip Spectrum cho phép tăng tạm thời Sức Chứa Hành Quân.</v>
      </c>
      <c r="O84" s="108" t="str">
        <f>IFERROR(__xludf.DUMMYFUNCTION("""COMPUTED_VALUE"""),"- Nuovo Combattente: Mano Ripristinata - Chiave inglese—Salvatore dei Mech malconci, il meccanico errante del campo di battaglia! Sblocca tramite l'evento SCIMMIA SUPREMA.
- Nuove Statue del Combattente: Maestro Hong e Blake. Aggiungi più splendore alla t"&amp;"ua città!
- Nuovi Potenziamenti della Capacità di Marcia: Capacità di Marcia VI arriva sui server anticipati, più un noleggio Chip Spectrum che concede temporaneamente Capacità di Marcia.")</f>
        <v>- Nuovo Combattente: Mano Ripristinata - Chiave inglese—Salvatore dei Mech malconci, il meccanico errante del campo di battaglia! Sblocca tramite l'evento SCIMMIA SUPREMA.
- Nuove Statue del Combattente: Maestro Hong e Blake. Aggiungi più splendore alla tua città!
- Nuovi Potenziamenti della Capacità di Marcia: Capacità di Marcia VI arriva sui server anticipati, più un noleggio Chip Spectrum che concede temporaneamente Capacità di Marcia.</v>
      </c>
      <c r="P84" s="34" t="str">
        <f>IFERROR(__xludf.DUMMYFUNCTION("""COMPUTED_VALUE"""),"- Nowy Wojownik: Przywracająca Ręka - Klucz — Zbawca zniszczonych Mechów, mechanik przemierzający pole bitwy! Odblokuj podczas wydarzenia UBERMAŁPA.
- Nowe Pomniki Wojowników: Mistrz Hong i Blake. Dodaj blasku swojemu miastu!
- Nowe Ulepszenia Pojemności:"&amp;" Pojemność VI dostępna na wczesnych serwerach, plus wynajem Układu Spektrum, który tymczasowo zwiększa Liczbę maszerujących.")</f>
        <v>- Nowy Wojownik: Przywracająca Ręka - Klucz — Zbawca zniszczonych Mechów, mechanik przemierzający pole bitwy! Odblokuj podczas wydarzenia UBERMAŁPA.
- Nowe Pomniki Wojowników: Mistrz Hong i Blake. Dodaj blasku swojemu miastu!
- Nowe Ulepszenia Pojemności: Pojemność VI dostępna na wczesnych serwerach, plus wynajem Układu Spektrum, który tymczasowo zwiększa Liczbę maszerujących.</v>
      </c>
      <c r="Q84" s="34" t="str">
        <f>IFERROR(__xludf.DUMMYFUNCTION("""COMPUTED_VALUE"""),"- مقاتل جديد: استعادة اليد - مفتاح الربط—المنقذ للميكاترونيات المتضررة، الميكانيكي المتجول في ساحة المعركة! افتح من خلال حدث القرد الخارق.
- تماثيل مقاتلين جدد: سيد هونغ وبليك. أضف المزيد من التألق إلى مدينتك!
- ترقيات جديدة لساحة العرض: ساحة العرض VI تصل"&amp;" إلى السيرفرات المبكرة، بالإضافة إلى استئجار رقاقة الطيف التي تمنح سعة مسيرة مؤقتة.")</f>
        <v>- مقاتل جديد: استعادة اليد - مفتاح الربط—المنقذ للميكاترونيات المتضررة، الميكانيكي المتجول في ساحة المعركة! افتح من خلال حدث القرد الخارق.
- تماثيل مقاتلين جدد: سيد هونغ وبليك. أضف المزيد من التألق إلى مدينتك!
- ترقيات جديدة لساحة العرض: ساحة العرض VI تصل إلى السيرفرات المبكرة، بالإضافة إلى استئجار رقاقة الطيف التي تمنح سعة مسيرة مؤقتة.</v>
      </c>
      <c r="R84" s="34" t="str">
        <f>IFERROR(__xludf.DUMMYFUNCTION("""COMPUTED_VALUE"""),"- 新しいファイター：回復の手 - レンチ—傷ついたメカの救世主、戦場を駆け巡るメカニック！究極のエイプイベントでアンロック。
- 新しいファイターの像：マスター・ホンとブレイク。あなたの都市にさらなる輝きを！
- 新しい閲兵場アップグレード：閲兵場VIが早期サーバーに登場、さらに一時的に行軍容量を付与するスペクトラムチップのレンタルも。")</f>
        <v>- 新しいファイター：回復の手 - レンチ—傷ついたメカの救世主、戦場を駆け巡るメカニック！究極のエイプイベントでアンロック。
- 新しいファイターの像：マスター・ホンとブレイク。あなたの都市にさらなる輝きを！
- 新しい閲兵場アップグレード：閲兵場VIが早期サーバーに登場、さらに一時的に行軍容量を付与するスペクトラムチップのレンタルも。</v>
      </c>
      <c r="S84" s="34" t="str">
        <f>IFERROR(__xludf.DUMMYFUNCTION("""COMPUTED_VALUE"""),"- 새로운 전사: 복원하는 손 - 렌치—고장난 메카들의 구원자, 전장을 떠도는 메카닉! 최강 원숭이 이벤트를 통해 잠금 해제하세요.
- 새로운 전사 석상: 마스터 홍과 블레이크. 당신의 도시에 더 많은 빛을 더하세요!
- 새로운 연병장 업그레이드: 초기 서버에 연병장 VI가 도착하며, 임시 행군 수용력을 부여하는 스펙트럼 칩 대여도 추가됩니다.")</f>
        <v>- 새로운 전사: 복원하는 손 - 렌치—고장난 메카들의 구원자, 전장을 떠도는 메카닉! 최강 원숭이 이벤트를 통해 잠금 해제하세요.
- 새로운 전사 석상: 마스터 홍과 블레이크. 당신의 도시에 더 많은 빛을 더하세요!
- 새로운 연병장 업그레이드: 초기 서버에 연병장 VI가 도착하며, 임시 행군 수용력을 부여하는 스펙트럼 칩 대여도 추가됩니다.</v>
      </c>
      <c r="T84" s="108"/>
      <c r="U84" s="108"/>
      <c r="V84" s="108"/>
      <c r="W84" s="108"/>
      <c r="X84" s="108"/>
      <c r="Y84" s="108"/>
      <c r="Z84" s="108"/>
    </row>
    <row r="85">
      <c r="A85" s="108" t="str">
        <f>IFERROR(__xludf.DUMMYFUNCTION("""COMPUTED_VALUE"""),"0.78.0")</f>
        <v>0.78.0</v>
      </c>
      <c r="B85" s="108" t="str">
        <f>IFERROR(__xludf.DUMMYFUNCTION("""COMPUTED_VALUE"""),"&lt;en-US&gt;
- New Fighter Statues: Charlotte Rossi and Reynold Schmidt arrive. Add more brilliance to your city!
- New Mech Skin: Primatus Skin “Toybox Guardian.” For the coming festival, the Apes styled the Primatus mech after beloved childhood toys, wrappin"&amp;"g it in pure cheer.
- New Ultimate Partners Event: Train any Partner fighter during the event to grab a mountain of rewards.
&lt;/en-US&gt;
&lt;fr-FR&gt;
- Nouvelles Statues de Combattants : Charlotte Rossi et Reynold Schmidt arrivent. Ajoutez plus d’éclat à votre vi"&amp;"lle !
- Nouveau Skin Mécha : Skin Primatus « Gardien de la Boîte à Jouets ». Pour le festival à venir, les Primates ont stylisé le mécha Primatus d'après les jouets d'enfance adorés, l'enveloppant de pure joie.
- Nouvel Événement Partenaires Ultimes : Ent"&amp;"raînez n'importe quel combattant Partenaire pendant l'événement pour décrocher une montagne de récompenses.
&lt;/fr-FR&gt;
&lt;de-DE&gt;
- Neue Kämpfer-Statuen: Charlotte Rossi und Reynold Schmidt kommen an. Bringen Sie mehr Glanz in Ihre Stadt!
- Neuer Mech-Skin: Pr"&amp;"imatus-Skin „Spielzeugkasten-Wächter“. Für das kommende Festival haben die Affen den Primatus-Mech nach geliebten Kindheitsspielzeugen gestaltet und ihn in pure Freude gehüllt.
- Neues Ultimative Partner-Event: Trainiere während des Events jeden Partner-K"&amp;"ämpfer, um einen Berg von Belohnungen zu ergattern.
&lt;/de-DE&gt;
&lt;pt-BR&gt;
- Novas Estátuas Combatentes: Charlotte Rossi e Reynold Schmidt chegam. Adicione mais brilho à sua cidade!
- Nova Skin de Mech: Skin Primatus “Guardião da Caixa de Brinquedos.” Para o pr"&amp;"óximo festival, os Macacos estilizaram o mech Primatus inspirado em amados brinquedos de infância, envolvendo-o em pura alegria.
- Novo Evento Parceiros Supremos: Treine qualquer combatente Parceiro durante o evento para conquistar uma montanha de recompe"&amp;"nsas.
&lt;/pt-BR&gt;
&lt;zh-HK&gt;
-新增鬥士雕像：夏洛特·羅西、雷諾·施密特，來為你的城市增添更多光彩吧！
-新增機甲皮膚：金剛皮膚-童趣衛士，為了迎接慶典的到來，猿族參考童年玩具的設計對金剛機甲進行改裝，使它融入歡樂的氛圍！
-新增無雙拍檔活動：活動開啟期間，訓練拍檔鬥士即可獲得豐厚獎勵！
&lt;/zh-HK&gt;
&lt;zh-TW&gt;
-新增鬥士雕像：夏洛特·羅西、雷諾·施密特，來為你的城市增添更多光彩吧！
-新增機甲皮膚：金剛皮膚-童趣衛士，為了迎接慶典的到來，猿族參考童年玩具的設計對金剛機甲進行改裝"&amp;"，使它融入歡樂的氛圍！
-新增無雙拍檔活動：活動開啟期間，訓練拍檔鬥士即可獲得豐厚獎勵！
&lt;/zh-TW&gt;
&lt;id&gt;
- Patung Pejuang Baru: Charlotte Rossi dan Reynold Schmidt tiba. Tambahkan lebih banyak kemilau ke kotamu!
- Skin Mekanik Baru: Skin Primatus ""Penjaga Kotak Mainan."" Untuk festival yang akan dat"&amp;"ang, Kera menata mekanik Primatus berdasarkan mainan masa kecil yang dicintai, membungkusnya dengan keceriaan murni.
- Event Mitra Terbaik Baru: Latih pejuang Mitra mana pun selama event untuk mendapatkan tumpukan hadiah.
&lt;/id&gt;
&lt;th&gt;
- รูปปั้นนักสู้ใหม่: ช"&amp;"าร์ลอตต์ รอสซี และ เรย์โนลด์ ชมิดท์ มาถึงแล้ว เพิ่มความเจิดจรัสให้กับเมืองของคุณ!
- สกินเมคใหม่: สกินพริมาตัส “ผู้พิทักษ์กล่องของเล่น” สำหรับเทศกาลที่กำลังจะมาถึง วานรได้ออกแบบเมคพริมาตัสตามของเล่นปฐมวัยที่รัก ห่อหุ้มด้วยความร่าเริงบริสุทธิ์
- กิจกรรมพันธ"&amp;"มิตรขั้นสุดยอดใหม่: ฝึกฝนนักสู้พันธมิตรใดก็ได้ในช่วงกิจกรรมเพื่อรับรางวัลมากมาย
&lt;/th&gt;
&lt;es-419&gt;
- Nuevas Estatuas de Luchador: Charlotte Rossi y Reynold Schmidt llegan. ¡Añade más brillo a tu ciudad!
- Nueva Textura de Meca: Textura Primatus “Guardián de l"&amp;"a Caja de Juguetes.” Para el próximo festival, los Simios diseñaron el mech Primatus inspirado en los queridos juguetes de la infancia, envolviéndolo en pura alegría.
- Nuevo Evento de Socios Supremos: Entrena a cualquier luchador Socio durante el evento "&amp;"para obtener una montaña de recompensas.
&lt;/es-419&gt;
&lt;ru-RU&gt;
- Новые статуи героев: Шарлотта Росси и Рейнольд Шмидт прибывают. Добавьте больше блеска вашему городу!  
- Новый облик меха: Облик Приматус «Страж игрушечной коробки». На предстоящий фестиваль Об"&amp;"езьяны стилизовали мех Приматус под любимые детские игрушки, окутывая его чистой радостью.  
- Новое событие «Великие партнеры»: Обучайте любого героя-партнера во время события, чтобы получить гору наград.  
&lt;/ru-RU&gt;
&lt;tr-TR&gt;
- Yeni Savaşçı Heykelleri: Cha"&amp;"rlotte Rossi ve Reynold Schmidt geliyor. Şehrinize daha fazla parlaklık katın!
- Yeni Meka Görünümü: Primatus Görünümü “Oyuncak Kutu Muhafızı.” Yaklaşan festival için, Maymunlar Primatus mekasını sevilen çocukluk oyuncaklarına benzeterek saf neşe ile süsl"&amp;"ediler.
- Yeni En Üstün Ortaklar Etkinliği: Etkinlik sırasında herhangi bir Ortak savaşçıyı eğitin ve bir dağ kadar ödül kazanın.
&lt;/tr-TR&gt;
&lt;vi&gt;
- Tượng Chiến Binh Mới: Charlotte Rossi và Reynold Schmidt xuất hiện. Thêm rực rỡ cho thành phố của bạn!
- Giao"&amp;" Diện Cơ Khí Mới: Giao diện Primatus “Thủ Hộ Viên Hộp Đồ Chơi.” Với lễ hội sắp tới, loài Vượn đã tạo hình Cơ Khí Primatus theo những món đồ chơi thời thơ ấu yêu thích, bao bọc nó trong niềm vui thuần khiết.
- Sự Kiện Đối Tác Tối Thượng Mới: Huấn luyện bất"&amp;" kỳ Chiến Binh Đối Tác nào trong sự kiện để nhận vô số phần thưởng.
&lt;/vi&gt;
&lt;it-IT&gt;
- Nuove Statue dei Combattenti: Charlotte Rossi e Reynold Schmidt arrivano. Aggiungi più splendore alla tua città!
- Nuovo Aspetto Mech: Aspetto Primatus “Guardiano della Sc"&amp;"atola dei Giocattoli.” Per il prossimo festival, le scimmie hanno modellato il mech Primatus ispirandosi ai giocattoli d'infanzia più amati, avvolgendolo in pura allegria.
- Nuovo Evento Partner Supremi: Addestra qualsiasi combattente Partner durante l'ev"&amp;"ento per ottenere una montagna di ricompense.
&lt;/it-IT&gt;
&lt;pl-PL&gt;
- Nowe Pomniki Wojowników: Charlotte Rossi i Reynold Schmidt nadchodzą. Dodaj więcej blasku swojemu miastu!
- Nowa Skórka Mecha: Skórka Primatus „Strażnik Zabawek”. Na nadchodzący festiwal, Ma"&amp;"łpy wystylizowały mecha Primatusa na ukochane zabawki z dzieciństwa, otaczając go czystą radością.
- Nowe Wydarzenie Uberpartnerów: Szkol dowolnego wojownika partnera podczas wydarzenia, aby zdobyć górę nagród.
&lt;/pl-PL&gt;
&lt;ar&gt;
- تماثيل مقاتلين جديدة: شارلوت"&amp;" روسي ورينولد شميت يصلان. أضف المزيد من التألق إلى مدينتك!
- زينة ميكا جديدة: زينة الرئيسيات ""حارس صندوق الألعاب"". للمهرجان القادم، قامت القرود بتصميم ميكا الرئيسيات على غرار الألعاب المحبوبة من الطفولة، مغلفة إياه بالبهجة الخالصة.
- حدث الشركاء الخارقو"&amp;"ن الجديد: درب أي مقاتل شريك خلال الحدث لتحصل على جبل من الجوائز.
&lt;/ar&gt;
&lt;ja-JP&gt;
- 新しいファイターの像：シャーロット・ロッシとレイノルド・シュミットが登場。あなたの都市にさらなる輝きを加えましょう！
- 新しいメカスキン：プライマトススキン「トイボックスガーディアン」。来る祭りのために、エイプたちはプライマトスメカを愛される少年時代のおもちゃのようにデザインし、純粋な喜びで包みました。
- 新しい究極のパートナーイベント：イベ"&amp;"ント期間中に任意のパートナーファイターを訓練して、山のような報酬を手に入れましょう。
&lt;/ja-JP&gt;
&lt;ko-KR&gt;
- 새로운 전사 석상: 샬롯 로시와 레이놀드 슈미트가 도착했습니다. 당신의 도시에 더 많은 빛을 더하세요!
- 새로운 메카 스킨: 강철 원숭이 스킨 “장난감 상자 수호자.” 다가오는 축제를 위해, 원숭이들은 어린 시절 사랑받던 장난감을 본따 강철 원숭이 메카를 디자인하고 순수한 기쁨으로 감쌌습니다.
- 새로운 최강 파트너 이벤트: 이벤트 기간 동안"&amp;" 어떤 파트너 전사든 훈련시켜 산더미 같은 보상을 획득하세요.
&lt;/ko-KR&gt;
")</f>
        <v>&lt;en-US&gt;
- New Fighter Statues: Charlotte Rossi and Reynold Schmidt arrive. Add more brilliance to your city!
- New Mech Skin: Primatus Skin “Toybox Guardian.” For the coming festival, the Apes styled the Primatus mech after beloved childhood toys, wrapping it in pure cheer.
- New Ultimate Partners Event: Train any Partner fighter during the event to grab a mountain of rewards.
&lt;/en-US&gt;
&lt;fr-FR&gt;
- Nouvelles Statues de Combattants : Charlotte Rossi et Reynold Schmidt arrivent. Ajoutez plus d’éclat à votre ville !
- Nouveau Skin Mécha : Skin Primatus « Gardien de la Boîte à Jouets ». Pour le festival à venir, les Primates ont stylisé le mécha Primatus d'après les jouets d'enfance adorés, l'enveloppant de pure joie.
- Nouvel Événement Partenaires Ultimes : Entraînez n'importe quel combattant Partenaire pendant l'événement pour décrocher une montagne de récompenses.
&lt;/fr-FR&gt;
&lt;de-DE&gt;
- Neue Kämpfer-Statuen: Charlotte Rossi und Reynold Schmidt kommen an. Bringen Sie mehr Glanz in Ihre Stadt!
- Neuer Mech-Skin: Primatus-Skin „Spielzeugkasten-Wächter“. Für das kommende Festival haben die Affen den Primatus-Mech nach geliebten Kindheitsspielzeugen gestaltet und ihn in pure Freude gehüllt.
- Neues Ultimative Partner-Event: Trainiere während des Events jeden Partner-Kämpfer, um einen Berg von Belohnungen zu ergattern.
&lt;/de-DE&gt;
&lt;pt-BR&gt;
- Novas Estátuas Combatentes: Charlotte Rossi e Reynold Schmidt chegam. Adicione mais brilho à sua cidade!
- Nova Skin de Mech: Skin Primatus “Guardião da Caixa de Brinquedos.” Para o próximo festival, os Macacos estilizaram o mech Primatus inspirado em amados brinquedos de infância, envolvendo-o em pura alegria.
- Novo Evento Parceiros Supremos: Treine qualquer combatente Parceiro durante o evento para conquistar uma montanha de recompensas.
&lt;/pt-BR&gt;
&lt;zh-HK&gt;
-新增鬥士雕像：夏洛特·羅西、雷諾·施密特，來為你的城市增添更多光彩吧！
-新增機甲皮膚：金剛皮膚-童趣衛士，為了迎接慶典的到來，猿族參考童年玩具的設計對金剛機甲進行改裝，使它融入歡樂的氛圍！
-新增無雙拍檔活動：活動開啟期間，訓練拍檔鬥士即可獲得豐厚獎勵！
&lt;/zh-HK&gt;
&lt;zh-TW&gt;
-新增鬥士雕像：夏洛特·羅西、雷諾·施密特，來為你的城市增添更多光彩吧！
-新增機甲皮膚：金剛皮膚-童趣衛士，為了迎接慶典的到來，猿族參考童年玩具的設計對金剛機甲進行改裝，使它融入歡樂的氛圍！
-新增無雙拍檔活動：活動開啟期間，訓練拍檔鬥士即可獲得豐厚獎勵！
&lt;/zh-TW&gt;
&lt;id&gt;
- Patung Pejuang Baru: Charlotte Rossi dan Reynold Schmidt tiba. Tambahkan lebih banyak kemilau ke kotamu!
- Skin Mekanik Baru: Skin Primatus "Penjaga Kotak Mainan." Untuk festival yang akan datang, Kera menata mekanik Primatus berdasarkan mainan masa kecil yang dicintai, membungkusnya dengan keceriaan murni.
- Event Mitra Terbaik Baru: Latih pejuang Mitra mana pun selama event untuk mendapatkan tumpukan hadiah.
&lt;/id&gt;
&lt;th&gt;
- รูปปั้นนักสู้ใหม่: ชาร์ลอตต์ รอสซี และ เรย์โนลด์ ชมิดท์ มาถึงแล้ว เพิ่มความเจิดจรัสให้กับเมืองของคุณ!
- สกินเมคใหม่: สกินพริมาตัส “ผู้พิทักษ์กล่องของเล่น” สำหรับเทศกาลที่กำลังจะมาถึง วานรได้ออกแบบเมคพริมาตัสตามของเล่นปฐมวัยที่รัก ห่อหุ้มด้วยความร่าเริงบริสุทธิ์
- กิจกรรมพันธมิตรขั้นสุดยอดใหม่: ฝึกฝนนักสู้พันธมิตรใดก็ได้ในช่วงกิจกรรมเพื่อรับรางวัลมากมาย
&lt;/th&gt;
&lt;es-419&gt;
- Nuevas Estatuas de Luchador: Charlotte Rossi y Reynold Schmidt llegan. ¡Añade más brillo a tu ciudad!
- Nueva Textura de Meca: Textura Primatus “Guardián de la Caja de Juguetes.” Para el próximo festival, los Simios diseñaron el mech Primatus inspirado en los queridos juguetes de la infancia, envolviéndolo en pura alegría.
- Nuevo Evento de Socios Supremos: Entrena a cualquier luchador Socio durante el evento para obtener una montaña de recompensas.
&lt;/es-419&gt;
&lt;ru-RU&gt;
- Новые статуи героев: Шарлотта Росси и Рейнольд Шмидт прибывают. Добавьте больше блеска вашему городу!  
- Новый облик меха: Облик Приматус «Страж игрушечной коробки». На предстоящий фестиваль Обезьяны стилизовали мех Приматус под любимые детские игрушки, окутывая его чистой радостью.  
- Новое событие «Великие партнеры»: Обучайте любого героя-партнера во время события, чтобы получить гору наград.  
&lt;/ru-RU&gt;
&lt;tr-TR&gt;
- Yeni Savaşçı Heykelleri: Charlotte Rossi ve Reynold Schmidt geliyor. Şehrinize daha fazla parlaklık katın!
- Yeni Meka Görünümü: Primatus Görünümü “Oyuncak Kutu Muhafızı.” Yaklaşan festival için, Maymunlar Primatus mekasını sevilen çocukluk oyuncaklarına benzeterek saf neşe ile süslediler.
- Yeni En Üstün Ortaklar Etkinliği: Etkinlik sırasında herhangi bir Ortak savaşçıyı eğitin ve bir dağ kadar ödül kazanın.
&lt;/tr-TR&gt;
&lt;vi&gt;
- Tượng Chiến Binh Mới: Charlotte Rossi và Reynold Schmidt xuất hiện. Thêm rực rỡ cho thành phố của bạn!
- Giao Diện Cơ Khí Mới: Giao diện Primatus “Thủ Hộ Viên Hộp Đồ Chơi.” Với lễ hội sắp tới, loài Vượn đã tạo hình Cơ Khí Primatus theo những món đồ chơi thời thơ ấu yêu thích, bao bọc nó trong niềm vui thuần khiết.
- Sự Kiện Đối Tác Tối Thượng Mới: Huấn luyện bất kỳ Chiến Binh Đối Tác nào trong sự kiện để nhận vô số phần thưởng.
&lt;/vi&gt;
&lt;it-IT&gt;
- Nuove Statue dei Combattenti: Charlotte Rossi e Reynold Schmidt arrivano. Aggiungi più splendore alla tua città!
- Nuovo Aspetto Mech: Aspetto Primatus “Guardiano della Scatola dei Giocattoli.” Per il prossimo festival, le scimmie hanno modellato il mech Primatus ispirandosi ai giocattoli d'infanzia più amati, avvolgendolo in pura allegria.
- Nuovo Evento Partner Supremi: Addestra qualsiasi combattente Partner durante l'evento per ottenere una montagna di ricompense.
&lt;/it-IT&gt;
&lt;pl-PL&gt;
- Nowe Pomniki Wojowników: Charlotte Rossi i Reynold Schmidt nadchodzą. Dodaj więcej blasku swojemu miastu!
- Nowa Skórka Mecha: Skórka Primatus „Strażnik Zabawek”. Na nadchodzący festiwal, Małpy wystylizowały mecha Primatusa na ukochane zabawki z dzieciństwa, otaczając go czystą radością.
- Nowe Wydarzenie Uberpartnerów: Szkol dowolnego wojownika partnera podczas wydarzenia, aby zdobyć górę nagród.
&lt;/pl-PL&gt;
&lt;ar&gt;
- تماثيل مقاتلين جديدة: شارلوت روسي ورينولد شميت يصلان. أضف المزيد من التألق إلى مدينتك!
- زينة ميكا جديدة: زينة الرئيسيات "حارس صندوق الألعاب". للمهرجان القادم، قامت القرود بتصميم ميكا الرئيسيات على غرار الألعاب المحبوبة من الطفولة، مغلفة إياه بالبهجة الخالصة.
- حدث الشركاء الخارقون الجديد: درب أي مقاتل شريك خلال الحدث لتحصل على جبل من الجوائز.
&lt;/ar&gt;
&lt;ja-JP&gt;
- 新しいファイターの像：シャーロット・ロッシとレイノルド・シュミットが登場。あなたの都市にさらなる輝きを加えましょう！
- 新しいメカスキン：プライマトススキン「トイボックスガーディアン」。来る祭りのために、エイプたちはプライマトスメカを愛される少年時代のおもちゃのようにデザインし、純粋な喜びで包みました。
- 新しい究極のパートナーイベント：イベント期間中に任意のパートナーファイターを訓練して、山のような報酬を手に入れましょう。
&lt;/ja-JP&gt;
&lt;ko-KR&gt;
- 새로운 전사 석상: 샬롯 로시와 레이놀드 슈미트가 도착했습니다. 당신의 도시에 더 많은 빛을 더하세요!
- 새로운 메카 스킨: 강철 원숭이 스킨 “장난감 상자 수호자.” 다가오는 축제를 위해, 원숭이들은 어린 시절 사랑받던 장난감을 본따 강철 원숭이 메카를 디자인하고 순수한 기쁨으로 감쌌습니다.
- 새로운 최강 파트너 이벤트: 이벤트 기간 동안 어떤 파트너 전사든 훈련시켜 산더미 같은 보상을 획득하세요.
&lt;/ko-KR&gt;
</v>
      </c>
      <c r="C85" s="108" t="str">
        <f>IFERROR(__xludf.DUMMYFUNCTION("""COMPUTED_VALUE"""),"-新增斗士雕像：夏洛特·罗西、雷诺·施密特，来为你的城市增添更多光彩吧！
-新增机甲皮肤：金刚皮肤-童趣卫士，为了迎接庆典的到来，猿族参考童年玩具的设计对金刚机甲进行改装，使它融入欢乐的氛围！
-新增无双拍档活动：活动开启期间，培养拍档斗士即可获得丰厚奖励！")</f>
        <v>-新增斗士雕像：夏洛特·罗西、雷诺·施密特，来为你的城市增添更多光彩吧！
-新增机甲皮肤：金刚皮肤-童趣卫士，为了迎接庆典的到来，猿族参考童年玩具的设计对金刚机甲进行改装，使它融入欢乐的氛围！
-新增无双拍档活动：活动开启期间，培养拍档斗士即可获得丰厚奖励！</v>
      </c>
      <c r="D85" s="108" t="str">
        <f>IFERROR(__xludf.DUMMYFUNCTION("""COMPUTED_VALUE"""),"- New Fighter Statues: Charlotte Rossi and Reynold Schmidt arrive. Add more brilliance to your city!
- New Mech Skin: Primatus Skin “Toybox Guardian.” For the coming festival, the Apes styled the Primatus mech after beloved childhood toys, wrapping it in "&amp;"pure cheer.
- New Ultimate Partners Event: Train any Partner fighter during the event to grab a mountain of rewards.")</f>
        <v>- New Fighter Statues: Charlotte Rossi and Reynold Schmidt arrive. Add more brilliance to your city!
- New Mech Skin: Primatus Skin “Toybox Guardian.” For the coming festival, the Apes styled the Primatus mech after beloved childhood toys, wrapping it in pure cheer.
- New Ultimate Partners Event: Train any Partner fighter during the event to grab a mountain of rewards.</v>
      </c>
      <c r="E85" s="108" t="str">
        <f>IFERROR(__xludf.DUMMYFUNCTION("""COMPUTED_VALUE"""),"- Nouvelles Statues de Combattants : Charlotte Rossi et Reynold Schmidt arrivent. Ajoutez plus d’éclat à votre ville !
- Nouveau Skin Mécha : Skin Primatus « Gardien de la Boîte à Jouets ». Pour le festival à venir, les Primates ont stylisé le mécha Prima"&amp;"tus d'après les jouets d'enfance adorés, l'enveloppant de pure joie.
- Nouvel Événement Partenaires Ultimes : Entraînez n'importe quel combattant Partenaire pendant l'événement pour décrocher une montagne de récompenses.")</f>
        <v>- Nouvelles Statues de Combattants : Charlotte Rossi et Reynold Schmidt arrivent. Ajoutez plus d’éclat à votre ville !
- Nouveau Skin Mécha : Skin Primatus « Gardien de la Boîte à Jouets ». Pour le festival à venir, les Primates ont stylisé le mécha Primatus d'après les jouets d'enfance adorés, l'enveloppant de pure joie.
- Nouvel Événement Partenaires Ultimes : Entraînez n'importe quel combattant Partenaire pendant l'événement pour décrocher une montagne de récompenses.</v>
      </c>
      <c r="F85" s="108" t="str">
        <f>IFERROR(__xludf.DUMMYFUNCTION("""COMPUTED_VALUE"""),"- Neue Kämpfer-Statuen: Charlotte Rossi und Reynold Schmidt kommen an. Bringen Sie mehr Glanz in Ihre Stadt!
- Neuer Mech-Skin: Primatus-Skin „Spielzeugkasten-Wächter“. Für das kommende Festival haben die Affen den Primatus-Mech nach geliebten Kindheitssp"&amp;"ielzeugen gestaltet und ihn in pure Freude gehüllt.
- Neues Ultimative Partner-Event: Trainiere während des Events jeden Partner-Kämpfer, um einen Berg von Belohnungen zu ergattern.")</f>
        <v>- Neue Kämpfer-Statuen: Charlotte Rossi und Reynold Schmidt kommen an. Bringen Sie mehr Glanz in Ihre Stadt!
- Neuer Mech-Skin: Primatus-Skin „Spielzeugkasten-Wächter“. Für das kommende Festival haben die Affen den Primatus-Mech nach geliebten Kindheitsspielzeugen gestaltet und ihn in pure Freude gehüllt.
- Neues Ultimative Partner-Event: Trainiere während des Events jeden Partner-Kämpfer, um einen Berg von Belohnungen zu ergattern.</v>
      </c>
      <c r="G85" s="108" t="str">
        <f>IFERROR(__xludf.DUMMYFUNCTION("""COMPUTED_VALUE"""),"- Novas Estátuas Combatentes: Charlotte Rossi e Reynold Schmidt chegam. Adicione mais brilho à sua cidade!
- Nova Skin de Mech: Skin Primatus “Guardião da Caixa de Brinquedos.” Para o próximo festival, os Macacos estilizaram o mech Primatus inspirado em a"&amp;"mados brinquedos de infância, envolvendo-o em pura alegria.
- Novo Evento Parceiros Supremos: Treine qualquer combatente Parceiro durante o evento para conquistar uma montanha de recompensas.")</f>
        <v>- Novas Estátuas Combatentes: Charlotte Rossi e Reynold Schmidt chegam. Adicione mais brilho à sua cidade!
- Nova Skin de Mech: Skin Primatus “Guardião da Caixa de Brinquedos.” Para o próximo festival, os Macacos estilizaram o mech Primatus inspirado em amados brinquedos de infância, envolvendo-o em pura alegria.
- Novo Evento Parceiros Supremos: Treine qualquer combatente Parceiro durante o evento para conquistar uma montanha de recompensas.</v>
      </c>
      <c r="H85" s="108" t="str">
        <f>IFERROR(__xludf.DUMMYFUNCTION("""COMPUTED_VALUE"""),"-新增鬥士雕像：夏洛特·羅西、雷諾·施密特，來為你的城市增添更多光彩吧！
-新增機甲皮膚：金剛皮膚-童趣衛士，為了迎接慶典的到來，猿族參考童年玩具的設計對金剛機甲進行改裝，使它融入歡樂的氛圍！
-新增無雙拍檔活動：活動開啟期間，訓練拍檔鬥士即可獲得豐厚獎勵！")</f>
        <v>-新增鬥士雕像：夏洛特·羅西、雷諾·施密特，來為你的城市增添更多光彩吧！
-新增機甲皮膚：金剛皮膚-童趣衛士，為了迎接慶典的到來，猿族參考童年玩具的設計對金剛機甲進行改裝，使它融入歡樂的氛圍！
-新增無雙拍檔活動：活動開啟期間，訓練拍檔鬥士即可獲得豐厚獎勵！</v>
      </c>
      <c r="I85" s="108" t="str">
        <f>IFERROR(__xludf.DUMMYFUNCTION("""COMPUTED_VALUE"""),"- Patung Pejuang Baru: Charlotte Rossi dan Reynold Schmidt tiba. Tambahkan lebih banyak kemilau ke kotamu!
- Skin Mekanik Baru: Skin Primatus ""Penjaga Kotak Mainan."" Untuk festival yang akan datang, Kera menata mekanik Primatus berdasarkan mainan masa k"&amp;"ecil yang dicintai, membungkusnya dengan keceriaan murni.
- Event Mitra Terbaik Baru: Latih pejuang Mitra mana pun selama event untuk mendapatkan tumpukan hadiah.")</f>
        <v>- Patung Pejuang Baru: Charlotte Rossi dan Reynold Schmidt tiba. Tambahkan lebih banyak kemilau ke kotamu!
- Skin Mekanik Baru: Skin Primatus "Penjaga Kotak Mainan." Untuk festival yang akan datang, Kera menata mekanik Primatus berdasarkan mainan masa kecil yang dicintai, membungkusnya dengan keceriaan murni.
- Event Mitra Terbaik Baru: Latih pejuang Mitra mana pun selama event untuk mendapatkan tumpukan hadiah.</v>
      </c>
      <c r="J85" s="108" t="str">
        <f>IFERROR(__xludf.DUMMYFUNCTION("""COMPUTED_VALUE"""),"- รูปปั้นนักสู้ใหม่: ชาร์ลอตต์ รอสซี และ เรย์โนลด์ ชมิดท์ มาถึงแล้ว เพิ่มความเจิดจรัสให้กับเมืองของคุณ!
- สกินเมคใหม่: สกินพริมาตัส “ผู้พิทักษ์กล่องของเล่น” สำหรับเทศกาลที่กำลังจะมาถึง วานรได้ออกแบบเมคพริมาตัสตามของเล่นปฐมวัยที่รัก ห่อหุ้มด้วยความร่าเริงบ"&amp;"ริสุทธิ์
- กิจกรรมพันธมิตรขั้นสุดยอดใหม่: ฝึกฝนนักสู้พันธมิตรใดก็ได้ในช่วงกิจกรรมเพื่อรับรางวัลมากมาย")</f>
        <v>- รูปปั้นนักสู้ใหม่: ชาร์ลอตต์ รอสซี และ เรย์โนลด์ ชมิดท์ มาถึงแล้ว เพิ่มความเจิดจรัสให้กับเมืองของคุณ!
- สกินเมคใหม่: สกินพริมาตัส “ผู้พิทักษ์กล่องของเล่น” สำหรับเทศกาลที่กำลังจะมาถึง วานรได้ออกแบบเมคพริมาตัสตามของเล่นปฐมวัยที่รัก ห่อหุ้มด้วยความร่าเริงบริสุทธิ์
- กิจกรรมพันธมิตรขั้นสุดยอดใหม่: ฝึกฝนนักสู้พันธมิตรใดก็ได้ในช่วงกิจกรรมเพื่อรับรางวัลมากมาย</v>
      </c>
      <c r="K85" s="108" t="str">
        <f>IFERROR(__xludf.DUMMYFUNCTION("""COMPUTED_VALUE"""),"- Nuevas Estatuas de Luchador: Charlotte Rossi y Reynold Schmidt llegan. ¡Añade más brillo a tu ciudad!
- Nueva Textura de Meca: Textura Primatus “Guardián de la Caja de Juguetes.” Para el próximo festival, los Simios diseñaron el mech Primatus inspirado "&amp;"en los queridos juguetes de la infancia, envolviéndolo en pura alegría.
- Nuevo Evento de Socios Supremos: Entrena a cualquier luchador Socio durante el evento para obtener una montaña de recompensas.")</f>
        <v>- Nuevas Estatuas de Luchador: Charlotte Rossi y Reynold Schmidt llegan. ¡Añade más brillo a tu ciudad!
- Nueva Textura de Meca: Textura Primatus “Guardián de la Caja de Juguetes.” Para el próximo festival, los Simios diseñaron el mech Primatus inspirado en los queridos juguetes de la infancia, envolviéndolo en pura alegría.
- Nuevo Evento de Socios Supremos: Entrena a cualquier luchador Socio durante el evento para obtener una montaña de recompensas.</v>
      </c>
      <c r="L85" s="108" t="str">
        <f>IFERROR(__xludf.DUMMYFUNCTION("""COMPUTED_VALUE"""),"- Новые статуи героев: Шарлотта Росси и Рейнольд Шмидт прибывают. Добавьте больше блеска вашему городу!  
- Новый облик меха: Облик Приматус «Страж игрушечной коробки». На предстоящий фестиваль Обезьяны стилизовали мех Приматус под любимые детские игрушки"&amp;", окутывая его чистой радостью.  
- Новое событие «Великие партнеры»: Обучайте любого героя-партнера во время события, чтобы получить гору наград.  ")</f>
        <v>- Новые статуи героев: Шарлотта Росси и Рейнольд Шмидт прибывают. Добавьте больше блеска вашему городу!  
- Новый облик меха: Облик Приматус «Страж игрушечной коробки». На предстоящий фестиваль Обезьяны стилизовали мех Приматус под любимые детские игрушки, окутывая его чистой радостью.  
- Новое событие «Великие партнеры»: Обучайте любого героя-партнера во время события, чтобы получить гору наград.  </v>
      </c>
      <c r="M85" s="108" t="str">
        <f>IFERROR(__xludf.DUMMYFUNCTION("""COMPUTED_VALUE"""),"- Yeni Savaşçı Heykelleri: Charlotte Rossi ve Reynold Schmidt geliyor. Şehrinize daha fazla parlaklık katın!
- Yeni Meka Görünümü: Primatus Görünümü “Oyuncak Kutu Muhafızı.” Yaklaşan festival için, Maymunlar Primatus mekasını sevilen çocukluk oyuncakların"&amp;"a benzeterek saf neşe ile süslediler.
- Yeni En Üstün Ortaklar Etkinliği: Etkinlik sırasında herhangi bir Ortak savaşçıyı eğitin ve bir dağ kadar ödül kazanın.")</f>
        <v>- Yeni Savaşçı Heykelleri: Charlotte Rossi ve Reynold Schmidt geliyor. Şehrinize daha fazla parlaklık katın!
- Yeni Meka Görünümü: Primatus Görünümü “Oyuncak Kutu Muhafızı.” Yaklaşan festival için, Maymunlar Primatus mekasını sevilen çocukluk oyuncaklarına benzeterek saf neşe ile süslediler.
- Yeni En Üstün Ortaklar Etkinliği: Etkinlik sırasında herhangi bir Ortak savaşçıyı eğitin ve bir dağ kadar ödül kazanın.</v>
      </c>
      <c r="N85" s="108" t="str">
        <f>IFERROR(__xludf.DUMMYFUNCTION("""COMPUTED_VALUE"""),"- Tượng Chiến Binh Mới: Charlotte Rossi và Reynold Schmidt xuất hiện. Thêm rực rỡ cho thành phố của bạn!
- Giao Diện Cơ Khí Mới: Giao diện Primatus “Thủ Hộ Viên Hộp Đồ Chơi.” Với lễ hội sắp tới, loài Vượn đã tạo hình Cơ Khí Primatus theo những món đồ chơi"&amp;" thời thơ ấu yêu thích, bao bọc nó trong niềm vui thuần khiết.
- Sự Kiện Đối Tác Tối Thượng Mới: Huấn luyện bất kỳ Chiến Binh Đối Tác nào trong sự kiện để nhận vô số phần thưởng.")</f>
        <v>- Tượng Chiến Binh Mới: Charlotte Rossi và Reynold Schmidt xuất hiện. Thêm rực rỡ cho thành phố của bạn!
- Giao Diện Cơ Khí Mới: Giao diện Primatus “Thủ Hộ Viên Hộp Đồ Chơi.” Với lễ hội sắp tới, loài Vượn đã tạo hình Cơ Khí Primatus theo những món đồ chơi thời thơ ấu yêu thích, bao bọc nó trong niềm vui thuần khiết.
- Sự Kiện Đối Tác Tối Thượng Mới: Huấn luyện bất kỳ Chiến Binh Đối Tác nào trong sự kiện để nhận vô số phần thưởng.</v>
      </c>
      <c r="O85" s="108" t="str">
        <f>IFERROR(__xludf.DUMMYFUNCTION("""COMPUTED_VALUE"""),"- Nuove Statue dei Combattenti: Charlotte Rossi e Reynold Schmidt arrivano. Aggiungi più splendore alla tua città!
- Nuovo Aspetto Mech: Aspetto Primatus “Guardiano della Scatola dei Giocattoli.” Per il prossimo festival, le scimmie hanno modellato il mec"&amp;"h Primatus ispirandosi ai giocattoli d'infanzia più amati, avvolgendolo in pura allegria.
- Nuovo Evento Partner Supremi: Addestra qualsiasi combattente Partner durante l'evento per ottenere una montagna di ricompense.")</f>
        <v>- Nuove Statue dei Combattenti: Charlotte Rossi e Reynold Schmidt arrivano. Aggiungi più splendore alla tua città!
- Nuovo Aspetto Mech: Aspetto Primatus “Guardiano della Scatola dei Giocattoli.” Per il prossimo festival, le scimmie hanno modellato il mech Primatus ispirandosi ai giocattoli d'infanzia più amati, avvolgendolo in pura allegria.
- Nuovo Evento Partner Supremi: Addestra qualsiasi combattente Partner durante l'evento per ottenere una montagna di ricompense.</v>
      </c>
      <c r="P85" s="34" t="str">
        <f>IFERROR(__xludf.DUMMYFUNCTION("""COMPUTED_VALUE"""),"- Nowe Pomniki Wojowników: Charlotte Rossi i Reynold Schmidt nadchodzą. Dodaj więcej blasku swojemu miastu!
- Nowa Skórka Mecha: Skórka Primatus „Strażnik Zabawek”. Na nadchodzący festiwal, Małpy wystylizowały mecha Primatusa na ukochane zabawki z dzieciń"&amp;"stwa, otaczając go czystą radością.
- Nowe Wydarzenie Uberpartnerów: Szkol dowolnego wojownika partnera podczas wydarzenia, aby zdobyć górę nagród.")</f>
        <v>- Nowe Pomniki Wojowników: Charlotte Rossi i Reynold Schmidt nadchodzą. Dodaj więcej blasku swojemu miastu!
- Nowa Skórka Mecha: Skórka Primatus „Strażnik Zabawek”. Na nadchodzący festiwal, Małpy wystylizowały mecha Primatusa na ukochane zabawki z dzieciństwa, otaczając go czystą radością.
- Nowe Wydarzenie Uberpartnerów: Szkol dowolnego wojownika partnera podczas wydarzenia, aby zdobyć górę nagród.</v>
      </c>
      <c r="Q85" s="34" t="str">
        <f>IFERROR(__xludf.DUMMYFUNCTION("""COMPUTED_VALUE"""),"- تماثيل مقاتلين جديدة: شارلوت روسي ورينولد شميت يصلان. أضف المزيد من التألق إلى مدينتك!
- زينة ميكا جديدة: زينة الرئيسيات ""حارس صندوق الألعاب"". للمهرجان القادم، قامت القرود بتصميم ميكا الرئيسيات على غرار الألعاب المحبوبة من الطفولة، مغلفة إياه بالبهجة "&amp;"الخالصة.
- حدث الشركاء الخارقون الجديد: درب أي مقاتل شريك خلال الحدث لتحصل على جبل من الجوائز.")</f>
        <v>- تماثيل مقاتلين جديدة: شارلوت روسي ورينولد شميت يصلان. أضف المزيد من التألق إلى مدينتك!
- زينة ميكا جديدة: زينة الرئيسيات "حارس صندوق الألعاب". للمهرجان القادم، قامت القرود بتصميم ميكا الرئيسيات على غرار الألعاب المحبوبة من الطفولة، مغلفة إياه بالبهجة الخالصة.
- حدث الشركاء الخارقون الجديد: درب أي مقاتل شريك خلال الحدث لتحصل على جبل من الجوائز.</v>
      </c>
      <c r="R85" s="34" t="str">
        <f>IFERROR(__xludf.DUMMYFUNCTION("""COMPUTED_VALUE"""),"- 新しいファイターの像：シャーロット・ロッシとレイノルド・シュミットが登場。あなたの都市にさらなる輝きを加えましょう！
- 新しいメカスキン：プライマトススキン「トイボックスガーディアン」。来る祭りのために、エイプたちはプライマトスメカを愛される少年時代のおもちゃのようにデザインし、純粋な喜びで包みました。
- 新しい究極のパートナーイベント：イベント期間中に任意のパートナーファイターを訓練して、山のような報酬を手に入れましょう。")</f>
        <v>- 新しいファイターの像：シャーロット・ロッシとレイノルド・シュミットが登場。あなたの都市にさらなる輝きを加えましょう！
- 新しいメカスキン：プライマトススキン「トイボックスガーディアン」。来る祭りのために、エイプたちはプライマトスメカを愛される少年時代のおもちゃのようにデザインし、純粋な喜びで包みました。
- 新しい究極のパートナーイベント：イベント期間中に任意のパートナーファイターを訓練して、山のような報酬を手に入れましょう。</v>
      </c>
      <c r="S85" s="34" t="str">
        <f>IFERROR(__xludf.DUMMYFUNCTION("""COMPUTED_VALUE"""),"- 새로운 전사 석상: 샬롯 로시와 레이놀드 슈미트가 도착했습니다. 당신의 도시에 더 많은 빛을 더하세요!
- 새로운 메카 스킨: 강철 원숭이 스킨 “장난감 상자 수호자.” 다가오는 축제를 위해, 원숭이들은 어린 시절 사랑받던 장난감을 본따 강철 원숭이 메카를 디자인하고 순수한 기쁨으로 감쌌습니다.
- 새로운 최강 파트너 이벤트: 이벤트 기간 동안 어떤 파트너 전사든 훈련시켜 산더미 같은 보상을 획득하세요.")</f>
        <v>- 새로운 전사 석상: 샬롯 로시와 레이놀드 슈미트가 도착했습니다. 당신의 도시에 더 많은 빛을 더하세요!
- 새로운 메카 스킨: 강철 원숭이 스킨 “장난감 상자 수호자.” 다가오는 축제를 위해, 원숭이들은 어린 시절 사랑받던 장난감을 본따 강철 원숭이 메카를 디자인하고 순수한 기쁨으로 감쌌습니다.
- 새로운 최강 파트너 이벤트: 이벤트 기간 동안 어떤 파트너 전사든 훈련시켜 산더미 같은 보상을 획득하세요.</v>
      </c>
      <c r="T85" s="108"/>
      <c r="U85" s="108"/>
      <c r="V85" s="108"/>
      <c r="W85" s="108"/>
      <c r="X85" s="108"/>
      <c r="Y85" s="108"/>
      <c r="Z85" s="108"/>
    </row>
    <row r="86">
      <c r="A86" s="108" t="str">
        <f>IFERROR(__xludf.DUMMYFUNCTION("""COMPUTED_VALUE"""),"0.79.0")</f>
        <v>0.79.0</v>
      </c>
      <c r="B86" s="108" t="str">
        <f>IFERROR(__xludf.DUMMYFUNCTION("""COMPUTED_VALUE"""),"&lt;en-US&gt;
- New Fighter: Steel Sentinel—Hilda. A warrior forged of steel—the mechs’ faithful guardian! Obtainable through the Ultimate Monkey event.
- New Fighter Statue: Ollin. Add more brilliance to your city!
&lt;/en-US&gt;
&lt;fr-FR&gt;
- Nouveau combattant : Senti"&amp;"nelle d’Acier—Hilda. Un guerrier forgé d'acier—le gardien fidèle des méchas ! Obtenable via l'évènement LE SINGE ULTIME.
- Nouvelle statue de combattant : Ollin. Ajoutez plus d’éclat à votre ville !
&lt;/fr-FR&gt;
&lt;de-DE&gt;
- Neuer Kämpfer: Steel Sentinel—Hilda. "&amp;"Ein aus Stahl geschmiedeter Krieger – der treue Wächter der Mechs! Erhältlich über das Ultimate Monkey Event.
- Neue Kämpfer-Statue: Ollin. Füge deiner Stadt noch mehr Glanz hinzu!
&lt;/de-DE&gt;
&lt;pt-BR&gt;
- Novo Combatente: Sentinela de Aço—Hilda. Um guerreiro f"&amp;"orjado em aço—o fiel protetor dos mechas! Obtível através do evento MACACO SUPREMO.
- Nova Estátua Combatente: Ollin. Adicione mais brilho à sua cidade!
&lt;/pt-BR&gt;
&lt;zh-HK&gt;
-新增鬥士：鋼鐵護衛-希爾達，擁有鋼鐵之軀的戰士，忠誠的機甲守護神！可通過「最強猴子」活動獲取。
-新增鬥士雕像：奧林，來為你的城市增光添彩吧！
&lt;/zh-HK&gt;
&lt;zh"&amp;"-TW&gt;
-新增鬥士：鋼鐵護衛-希爾達，擁有鋼鐵之軀的戰士，忠誠的機甲守護神！可通過「最強猴子」活動獲取。
-新增鬥士雕像：奧林，來為你的城市增光添彩吧！
&lt;/zh-TW&gt;
&lt;id&gt;
- Pejuang Baru: Steel Sentinel—Hilda. Seorang pejuang yang ditempa dari baja—penjaga setia mekanik! Dapat diperoleh melalui event KERA YANG TANGGUH.
- Patung Pejua"&amp;"ng Baru: Ollin. Tambahkan lebih banyak kemilau ke kota kamu!
&lt;/id&gt;
&lt;th&gt;
- นักสู้ตัวใหม่: สตีล เซนทิเนล—ฮิลด้า นักรบเหล็ก—ผู้พิทักษ์ผู้ซื่อสัตย์ของเมค! รับได้จากกิจกรรมลิงขั้นเทพ
- รูปปั้นนักสู้ตัวใหม่: โอลิน เพิ่มความโดดเด่นให้เมืองของคุณ!
&lt;/th&gt;
&lt;es-419&gt;
"&amp;"- Nuevo Luchador: Centinela de Acero—Hilda. ¡Un guerrero forjado en acero—el guardián fiel de los mecas! Obtenible a través del evento MONO SUPREMO.
- Nueva Estatua del Luchador: Ollin. ¡Añade más brillo a tu ciudad!
&lt;/es-419&gt;
&lt;ru-RU&gt;
- Новый герой: Сталь"&amp;"ной Страж — Хильда. Воин, выкованный из стали — верный защитник мехов! Получаемо через событие ВЕЛИКАЯ ОБЕЗЬЯНА.
- Новая статуя героя: Оллин. Добавьте больше блеска вашему городу!
&lt;/ru-RU&gt;
&lt;tr-TR&gt;
- Yeni Savaşçı: Çelik Muhafız—Hilda. Çelikten dövülmüş bi"&amp;"r savaşçı—mekaların sadık koruyucusu! EN ÜSTÜN MAYMUN etkinliğiyle edinilebilir.
- Yeni Savaşçı Heykeli: Ollin. Şehrine daha fazla parlaklık kat!
&lt;/tr-TR&gt;
&lt;vi&gt;
- Chiến Binh Mới: Steel Sentinel—Hilda. Một chiến binh rèn bằng thép—người bảo vệ trung thành c"&amp;"ủa những cơ khí! Có thể nhận được thông qua sự kiện CHÚA KHỈ TỐI CAO.
- Tượng Chiến Binh Mới: Ollin. Thêm sự rực rỡ cho THÀNH PHỐ của bạn!
&lt;/vi&gt;
&lt;it-IT&gt;
- Nuovo Combattente: Sentinella d’Acciaio—Hilda. Un guerriero forgiato nell'acciaio—il fedele guardian"&amp;"o dei mech! Ottenibile tramite l’evento SCIMMIA SUPREMA.
- Nuova Statua del Combattente: Ollin. Aggiungi più splendore alla tua città!
&lt;/it-IT&gt;
&lt;pl-PL&gt;
- Nowy Wojownik: Stalowy Strażnik—Hilda. Wojownik wykuty ze stali—wierny strażnik mechów! Możliwe do uz"&amp;"yskania podczas wydarzenia UBERMAŁPA.
- Nowy Pomnik Wojownika: Ollin. Dodaj więcej blasku swojemu miastu!
&lt;/pl-PL&gt;
&lt;ar&gt;
- مقاتل جديد: الحارس الفولاذي—هيلدا. محارب مصنوع من الفولاذ—الحارس الوفي للآليات! قابل للحصول عليه من خلال حدث القرد الخارق.
- حالة مقا"&amp;"تل جديدة: أولين. أضف المزيد من التألق إلى مدينتك!
&lt;/ar&gt;
&lt;ja-JP&gt;
- 新しいファイター：スチール・センチネル—ヒルダ。鋼で鍛えられた戦士—メックの忠実な守護者！究極のエイプイベントで入手可能。
- 新しいファイターの像：オーリン。あなたの都市にさらなる輝きを！
&lt;/ja-JP&gt;
&lt;ko-KR&gt;
- 새로운 전사: 강철 감시자—힐다. 강철로 단련된 전사—메카들의 충실한 수호자! 최강 원숭이 이벤트에서 획득 가능.
- 새로운 전사 "&amp;"석상: 올린. 당신의 도시에 더 많은 빛을 더하세요!
&lt;/ko-KR&gt;
")</f>
        <v>&lt;en-US&gt;
- New Fighter: Steel Sentinel—Hilda. A warrior forged of steel—the mechs’ faithful guardian! Obtainable through the Ultimate Monkey event.
- New Fighter Statue: Ollin. Add more brilliance to your city!
&lt;/en-US&gt;
&lt;fr-FR&gt;
- Nouveau combattant : Sentinelle d’Acier—Hilda. Un guerrier forgé d'acier—le gardien fidèle des méchas ! Obtenable via l'évènement LE SINGE ULTIME.
- Nouvelle statue de combattant : Ollin. Ajoutez plus d’éclat à votre ville !
&lt;/fr-FR&gt;
&lt;de-DE&gt;
- Neuer Kämpfer: Steel Sentinel—Hilda. Ein aus Stahl geschmiedeter Krieger – der treue Wächter der Mechs! Erhältlich über das Ultimate Monkey Event.
- Neue Kämpfer-Statue: Ollin. Füge deiner Stadt noch mehr Glanz hinzu!
&lt;/de-DE&gt;
&lt;pt-BR&gt;
- Novo Combatente: Sentinela de Aço—Hilda. Um guerreiro forjado em aço—o fiel protetor dos mechas! Obtível através do evento MACACO SUPREMO.
- Nova Estátua Combatente: Ollin. Adicione mais brilho à sua cidade!
&lt;/pt-BR&gt;
&lt;zh-HK&gt;
-新增鬥士：鋼鐵護衛-希爾達，擁有鋼鐵之軀的戰士，忠誠的機甲守護神！可通過「最強猴子」活動獲取。
-新增鬥士雕像：奧林，來為你的城市增光添彩吧！
&lt;/zh-HK&gt;
&lt;zh-TW&gt;
-新增鬥士：鋼鐵護衛-希爾達，擁有鋼鐵之軀的戰士，忠誠的機甲守護神！可通過「最強猴子」活動獲取。
-新增鬥士雕像：奧林，來為你的城市增光添彩吧！
&lt;/zh-TW&gt;
&lt;id&gt;
- Pejuang Baru: Steel Sentinel—Hilda. Seorang pejuang yang ditempa dari baja—penjaga setia mekanik! Dapat diperoleh melalui event KERA YANG TANGGUH.
- Patung Pejuang Baru: Ollin. Tambahkan lebih banyak kemilau ke kota kamu!
&lt;/id&gt;
&lt;th&gt;
- นักสู้ตัวใหม่: สตีล เซนทิเนล—ฮิลด้า นักรบเหล็ก—ผู้พิทักษ์ผู้ซื่อสัตย์ของเมค! รับได้จากกิจกรรมลิงขั้นเทพ
- รูปปั้นนักสู้ตัวใหม่: โอลิน เพิ่มความโดดเด่นให้เมืองของคุณ!
&lt;/th&gt;
&lt;es-419&gt;
- Nuevo Luchador: Centinela de Acero—Hilda. ¡Un guerrero forjado en acero—el guardián fiel de los mecas! Obtenible a través del evento MONO SUPREMO.
- Nueva Estatua del Luchador: Ollin. ¡Añade más brillo a tu ciudad!
&lt;/es-419&gt;
&lt;ru-RU&gt;
- Новый герой: Стальной Страж — Хильда. Воин, выкованный из стали — верный защитник мехов! Получаемо через событие ВЕЛИКАЯ ОБЕЗЬЯНА.
- Новая статуя героя: Оллин. Добавьте больше блеска вашему городу!
&lt;/ru-RU&gt;
&lt;tr-TR&gt;
- Yeni Savaşçı: Çelik Muhafız—Hilda. Çelikten dövülmüş bir savaşçı—mekaların sadık koruyucusu! EN ÜSTÜN MAYMUN etkinliğiyle edinilebilir.
- Yeni Savaşçı Heykeli: Ollin. Şehrine daha fazla parlaklık kat!
&lt;/tr-TR&gt;
&lt;vi&gt;
- Chiến Binh Mới: Steel Sentinel—Hilda. Một chiến binh rèn bằng thép—người bảo vệ trung thành của những cơ khí! Có thể nhận được thông qua sự kiện CHÚA KHỈ TỐI CAO.
- Tượng Chiến Binh Mới: Ollin. Thêm sự rực rỡ cho THÀNH PHỐ của bạn!
&lt;/vi&gt;
&lt;it-IT&gt;
- Nuovo Combattente: Sentinella d’Acciaio—Hilda. Un guerriero forgiato nell'acciaio—il fedele guardiano dei mech! Ottenibile tramite l’evento SCIMMIA SUPREMA.
- Nuova Statua del Combattente: Ollin. Aggiungi più splendore alla tua città!
&lt;/it-IT&gt;
&lt;pl-PL&gt;
- Nowy Wojownik: Stalowy Strażnik—Hilda. Wojownik wykuty ze stali—wierny strażnik mechów! Możliwe do uzyskania podczas wydarzenia UBERMAŁPA.
- Nowy Pomnik Wojownika: Ollin. Dodaj więcej blasku swojemu miastu!
&lt;/pl-PL&gt;
&lt;ar&gt;
- مقاتل جديد: الحارس الفولاذي—هيلدا. محارب مصنوع من الفولاذ—الحارس الوفي للآليات! قابل للحصول عليه من خلال حدث القرد الخارق.
- حالة مقاتل جديدة: أولين. أضف المزيد من التألق إلى مدينتك!
&lt;/ar&gt;
&lt;ja-JP&gt;
- 新しいファイター：スチール・センチネル—ヒルダ。鋼で鍛えられた戦士—メックの忠実な守護者！究極のエイプイベントで入手可能。
- 新しいファイターの像：オーリン。あなたの都市にさらなる輝きを！
&lt;/ja-JP&gt;
&lt;ko-KR&gt;
- 새로운 전사: 강철 감시자—힐다. 강철로 단련된 전사—메카들의 충실한 수호자! 최강 원숭이 이벤트에서 획득 가능.
- 새로운 전사 석상: 올린. 당신의 도시에 더 많은 빛을 더하세요!
&lt;/ko-KR&gt;
</v>
      </c>
      <c r="C86" s="108" t="str">
        <f>IFERROR(__xludf.DUMMYFUNCTION("""COMPUTED_VALUE"""),"-新增斗士：钢铁护卫-希尔达，拥有钢铁之躯的战士，忠诚的机甲守护神！可通过“最强猴子”活动获取。
-新增斗士雕像：奥林，来为你的城市增光添彩吧！")</f>
        <v>-新增斗士：钢铁护卫-希尔达，拥有钢铁之躯的战士，忠诚的机甲守护神！可通过“最强猴子”活动获取。
-新增斗士雕像：奥林，来为你的城市增光添彩吧！</v>
      </c>
      <c r="D86" s="108" t="str">
        <f>IFERROR(__xludf.DUMMYFUNCTION("""COMPUTED_VALUE"""),"- New Fighter: Steel Sentinel—Hilda. A warrior forged of steel—the mechs’ faithful guardian! Obtainable through the Ultimate Monkey event.
- New Fighter Statue: Ollin. Add more brilliance to your city!")</f>
        <v>- New Fighter: Steel Sentinel—Hilda. A warrior forged of steel—the mechs’ faithful guardian! Obtainable through the Ultimate Monkey event.
- New Fighter Statue: Ollin. Add more brilliance to your city!</v>
      </c>
      <c r="E86" s="108" t="str">
        <f>IFERROR(__xludf.DUMMYFUNCTION("""COMPUTED_VALUE"""),"- Nouveau combattant : Sentinelle d’Acier—Hilda. Un guerrier forgé d'acier—le gardien fidèle des méchas ! Obtenable via l'évènement LE SINGE ULTIME.
- Nouvelle statue de combattant : Ollin. Ajoutez plus d’éclat à votre ville !")</f>
        <v>- Nouveau combattant : Sentinelle d’Acier—Hilda. Un guerrier forgé d'acier—le gardien fidèle des méchas ! Obtenable via l'évènement LE SINGE ULTIME.
- Nouvelle statue de combattant : Ollin. Ajoutez plus d’éclat à votre ville !</v>
      </c>
      <c r="F86" s="108" t="str">
        <f>IFERROR(__xludf.DUMMYFUNCTION("""COMPUTED_VALUE"""),"- Neuer Kämpfer: Steel Sentinel—Hilda. Ein aus Stahl geschmiedeter Krieger – der treue Wächter der Mechs! Erhältlich über das Ultimate Monkey Event.
- Neue Kämpfer-Statue: Ollin. Füge deiner Stadt noch mehr Glanz hinzu!")</f>
        <v>- Neuer Kämpfer: Steel Sentinel—Hilda. Ein aus Stahl geschmiedeter Krieger – der treue Wächter der Mechs! Erhältlich über das Ultimate Monkey Event.
- Neue Kämpfer-Statue: Ollin. Füge deiner Stadt noch mehr Glanz hinzu!</v>
      </c>
      <c r="G86" s="108" t="str">
        <f>IFERROR(__xludf.DUMMYFUNCTION("""COMPUTED_VALUE"""),"- Novo Combatente: Sentinela de Aço—Hilda. Um guerreiro forjado em aço—o fiel protetor dos mechas! Obtível através do evento MACACO SUPREMO.
- Nova Estátua Combatente: Ollin. Adicione mais brilho à sua cidade!")</f>
        <v>- Novo Combatente: Sentinela de Aço—Hilda. Um guerreiro forjado em aço—o fiel protetor dos mechas! Obtível através do evento MACACO SUPREMO.
- Nova Estátua Combatente: Ollin. Adicione mais brilho à sua cidade!</v>
      </c>
      <c r="H86" s="108" t="str">
        <f>IFERROR(__xludf.DUMMYFUNCTION("""COMPUTED_VALUE"""),"-新增鬥士：鋼鐵護衛-希爾達，擁有鋼鐵之軀的戰士，忠誠的機甲守護神！可通過「最強猴子」活動獲取。
-新增鬥士雕像：奧林，來為你的城市增光添彩吧！")</f>
        <v>-新增鬥士：鋼鐵護衛-希爾達，擁有鋼鐵之軀的戰士，忠誠的機甲守護神！可通過「最強猴子」活動獲取。
-新增鬥士雕像：奧林，來為你的城市增光添彩吧！</v>
      </c>
      <c r="I86" s="108" t="str">
        <f>IFERROR(__xludf.DUMMYFUNCTION("""COMPUTED_VALUE"""),"- Pejuang Baru: Steel Sentinel—Hilda. Seorang pejuang yang ditempa dari baja—penjaga setia mekanik! Dapat diperoleh melalui event KERA YANG TANGGUH.
- Patung Pejuang Baru: Ollin. Tambahkan lebih banyak kemilau ke kota kamu!")</f>
        <v>- Pejuang Baru: Steel Sentinel—Hilda. Seorang pejuang yang ditempa dari baja—penjaga setia mekanik! Dapat diperoleh melalui event KERA YANG TANGGUH.
- Patung Pejuang Baru: Ollin. Tambahkan lebih banyak kemilau ke kota kamu!</v>
      </c>
      <c r="J86" s="108" t="str">
        <f>IFERROR(__xludf.DUMMYFUNCTION("""COMPUTED_VALUE"""),"- นักสู้ตัวใหม่: สตีล เซนทิเนล—ฮิลด้า นักรบเหล็ก—ผู้พิทักษ์ผู้ซื่อสัตย์ของเมค! รับได้จากกิจกรรมลิงขั้นเทพ
- รูปปั้นนักสู้ตัวใหม่: โอลิน เพิ่มความโดดเด่นให้เมืองของคุณ!")</f>
        <v>- นักสู้ตัวใหม่: สตีล เซนทิเนล—ฮิลด้า นักรบเหล็ก—ผู้พิทักษ์ผู้ซื่อสัตย์ของเมค! รับได้จากกิจกรรมลิงขั้นเทพ
- รูปปั้นนักสู้ตัวใหม่: โอลิน เพิ่มความโดดเด่นให้เมืองของคุณ!</v>
      </c>
      <c r="K86" s="108" t="str">
        <f>IFERROR(__xludf.DUMMYFUNCTION("""COMPUTED_VALUE"""),"- Nuevo Luchador: Centinela de Acero—Hilda. ¡Un guerrero forjado en acero—el guardián fiel de los mecas! Obtenible a través del evento MONO SUPREMO.
- Nueva Estatua del Luchador: Ollin. ¡Añade más brillo a tu ciudad!")</f>
        <v>- Nuevo Luchador: Centinela de Acero—Hilda. ¡Un guerrero forjado en acero—el guardián fiel de los mecas! Obtenible a través del evento MONO SUPREMO.
- Nueva Estatua del Luchador: Ollin. ¡Añade más brillo a tu ciudad!</v>
      </c>
      <c r="L86" s="108" t="str">
        <f>IFERROR(__xludf.DUMMYFUNCTION("""COMPUTED_VALUE"""),"- Новый герой: Стальной Страж — Хильда. Воин, выкованный из стали — верный защитник мехов! Получаемо через событие ВЕЛИКАЯ ОБЕЗЬЯНА.
- Новая статуя героя: Оллин. Добавьте больше блеска вашему городу!
")</f>
        <v>- Новый герой: Стальной Страж — Хильда. Воин, выкованный из стали — верный защитник мехов! Получаемо через событие ВЕЛИКАЯ ОБЕЗЬЯНА.
- Новая статуя героя: Оллин. Добавьте больше блеска вашему городу!
</v>
      </c>
      <c r="M86" s="108" t="str">
        <f>IFERROR(__xludf.DUMMYFUNCTION("""COMPUTED_VALUE"""),"- Yeni Savaşçı: Çelik Muhafız—Hilda. Çelikten dövülmüş bir savaşçı—mekaların sadık koruyucusu! EN ÜSTÜN MAYMUN etkinliğiyle edinilebilir.
- Yeni Savaşçı Heykeli: Ollin. Şehrine daha fazla parlaklık kat!")</f>
        <v>- Yeni Savaşçı: Çelik Muhafız—Hilda. Çelikten dövülmüş bir savaşçı—mekaların sadık koruyucusu! EN ÜSTÜN MAYMUN etkinliğiyle edinilebilir.
- Yeni Savaşçı Heykeli: Ollin. Şehrine daha fazla parlaklık kat!</v>
      </c>
      <c r="N86" s="108" t="str">
        <f>IFERROR(__xludf.DUMMYFUNCTION("""COMPUTED_VALUE"""),"- Chiến Binh Mới: Steel Sentinel—Hilda. Một chiến binh rèn bằng thép—người bảo vệ trung thành của những cơ khí! Có thể nhận được thông qua sự kiện CHÚA KHỈ TỐI CAO.
- Tượng Chiến Binh Mới: Ollin. Thêm sự rực rỡ cho THÀNH PHỐ của bạn!")</f>
        <v>- Chiến Binh Mới: Steel Sentinel—Hilda. Một chiến binh rèn bằng thép—người bảo vệ trung thành của những cơ khí! Có thể nhận được thông qua sự kiện CHÚA KHỈ TỐI CAO.
- Tượng Chiến Binh Mới: Ollin. Thêm sự rực rỡ cho THÀNH PHỐ của bạn!</v>
      </c>
      <c r="O86" s="108" t="str">
        <f>IFERROR(__xludf.DUMMYFUNCTION("""COMPUTED_VALUE"""),"- Nuovo Combattente: Sentinella d’Acciaio—Hilda. Un guerriero forgiato nell'acciaio—il fedele guardiano dei mech! Ottenibile tramite l’evento SCIMMIA SUPREMA.
- Nuova Statua del Combattente: Ollin. Aggiungi più splendore alla tua città!")</f>
        <v>- Nuovo Combattente: Sentinella d’Acciaio—Hilda. Un guerriero forgiato nell'acciaio—il fedele guardiano dei mech! Ottenibile tramite l’evento SCIMMIA SUPREMA.
- Nuova Statua del Combattente: Ollin. Aggiungi più splendore alla tua città!</v>
      </c>
      <c r="P86" s="34" t="str">
        <f>IFERROR(__xludf.DUMMYFUNCTION("""COMPUTED_VALUE"""),"- Nowy Wojownik: Stalowy Strażnik—Hilda. Wojownik wykuty ze stali—wierny strażnik mechów! Możliwe do uzyskania podczas wydarzenia UBERMAŁPA.
- Nowy Pomnik Wojownika: Ollin. Dodaj więcej blasku swojemu miastu!")</f>
        <v>- Nowy Wojownik: Stalowy Strażnik—Hilda. Wojownik wykuty ze stali—wierny strażnik mechów! Możliwe do uzyskania podczas wydarzenia UBERMAŁPA.
- Nowy Pomnik Wojownika: Ollin. Dodaj więcej blasku swojemu miastu!</v>
      </c>
      <c r="Q86" s="34" t="str">
        <f>IFERROR(__xludf.DUMMYFUNCTION("""COMPUTED_VALUE"""),"- مقاتل جديد: الحارس الفولاذي—هيلدا. محارب مصنوع من الفولاذ—الحارس الوفي للآليات! قابل للحصول عليه من خلال حدث القرد الخارق.
- حالة مقاتل جديدة: أولين. أضف المزيد من التألق إلى مدينتك!
")</f>
        <v>- مقاتل جديد: الحارس الفولاذي—هيلدا. محارب مصنوع من الفولاذ—الحارس الوفي للآليات! قابل للحصول عليه من خلال حدث القرد الخارق.
- حالة مقاتل جديدة: أولين. أضف المزيد من التألق إلى مدينتك!
</v>
      </c>
      <c r="R86" s="34" t="str">
        <f>IFERROR(__xludf.DUMMYFUNCTION("""COMPUTED_VALUE"""),"- 新しいファイター：スチール・センチネル—ヒルダ。鋼で鍛えられた戦士—メックの忠実な守護者！究極のエイプイベントで入手可能。
- 新しいファイターの像：オーリン。あなたの都市にさらなる輝きを！")</f>
        <v>- 新しいファイター：スチール・センチネル—ヒルダ。鋼で鍛えられた戦士—メックの忠実な守護者！究極のエイプイベントで入手可能。
- 新しいファイターの像：オーリン。あなたの都市にさらなる輝きを！</v>
      </c>
      <c r="S86" s="34" t="str">
        <f>IFERROR(__xludf.DUMMYFUNCTION("""COMPUTED_VALUE"""),"- 새로운 전사: 강철 감시자—힐다. 강철로 단련된 전사—메카들의 충실한 수호자! 최강 원숭이 이벤트에서 획득 가능.
- 새로운 전사 석상: 올린. 당신의 도시에 더 많은 빛을 더하세요!")</f>
        <v>- 새로운 전사: 강철 감시자—힐다. 강철로 단련된 전사—메카들의 충실한 수호자! 최강 원숭이 이벤트에서 획득 가능.
- 새로운 전사 석상: 올린. 당신의 도시에 더 많은 빛을 더하세요!</v>
      </c>
      <c r="T86" s="108" t="str">
        <f>IFERROR(__xludf.DUMMYFUNCTION("""COMPUTED_VALUE"""),"-新增斗士：钢铁护卫-希尔达，拥有钢铁之躯的战士，忠诚的机甲守护神！可通过“最强猴子”活动获取。
-新增斗士雕像：奥林，来为你的城市增光添彩吧！")</f>
        <v>-新增斗士：钢铁护卫-希尔达，拥有钢铁之躯的战士，忠诚的机甲守护神！可通过“最强猴子”活动获取。
-新增斗士雕像：奥林，来为你的城市增光添彩吧！</v>
      </c>
      <c r="U86" s="108"/>
      <c r="V86" s="108"/>
      <c r="W86" s="108"/>
      <c r="X86" s="108"/>
      <c r="Y86" s="108"/>
      <c r="Z86" s="108"/>
    </row>
    <row r="87">
      <c r="A87" s="108" t="str">
        <f>IFERROR(__xludf.DUMMYFUNCTION("""COMPUTED_VALUE"""),"0.80.0")</f>
        <v>0.80.0</v>
      </c>
      <c r="B87" s="108" t="str">
        <f>IFERROR(__xludf.DUMMYFUNCTION("""COMPUTED_VALUE"""),"&lt;en-US&gt;
-New Fighter Statue: Ollin. Add more brilliance to your city!
-New Mech: Rendtooth — Croc—razor-teeth on legs, built to shred battle lines
-New Relics: Introducing new red relics featuring Pilots, Hitters, Shooters, and Wall Breakers!
&lt;/en-US&gt;
&lt;fr"&amp;"-FR&gt;
-Nouvelle Statue du combattant : Ollin. Ajoutez encore plus de splendeur à votre ville !
-Nouveau Mécha : Dentfend — Croc—des dents acérées sur pattes, conçu pour déchirer les lignes de bataille
-Nouvelles Reliques : Découvrez les nouvelles reliques "&amp;"rouges mettant en vedette Pilotes, Bastonneurs, Tireurs et Casses Murailles !
&lt;/fr-FR&gt;
&lt;de-DE&gt;
-Neue Kämpfer-Statue: Ollin. Verleihe deiner Stadt noch mehr Glanz!
-Neuer Mech: Reißzahn — Croc—Rasiermesserscharfe Zähne auf Beinen, gebaut, um Kampflinien zu"&amp;" zerreißen
-Neue Relikte: Neue rote Relikte mit Piloten, Schlägern, Schützen und Mauerbrechern!
&lt;/de-DE&gt;
&lt;pt-BR&gt;
-Nova Estátua Combatente: Ollin. Adicione ainda mais brilho à sua cidade!
-Novo Mech: Denterras — Crocodilo—dentes afiados sobre pernas, feito"&amp;" para rasgar linhas de batalha
-Novas Relíquias: Apresentando novas relíquias vermelhas com Pilotos, Golpeadores, Atiradores e Quebra-muros!
&lt;/pt-BR&gt;
&lt;zh-HK&gt;
-新增鬥士雕像：奧林，來為你的城市增添更多光彩吧！
-新增機甲：撕裂之牙-鱷魚，撕裂一切的利齒，掀起戰場上的血雨腥風！
-新增收藏品：新增飆車族、打擊手、射擊手、攻城車屬性相關紅色收藏品。
&lt;/"&amp;"zh-HK&gt;
&lt;zh-TW&gt;
-新增鬥士雕像：奧林，來為你的城市增添更多光彩吧！
-新增機甲：撕裂之牙-鱷魚，撕裂一切的利齒，掀起戰場上的血雨腥風！
-新增收藏品：新增飆車族、打擊手、射擊手、攻城車屬性相關紅色收藏品。
&lt;/zh-TW&gt;
&lt;id&gt;
-Patung Pejuang Baru: Ollin. Tambahkan lebih banyak kemegahan ke kotamu!
-Mekanik Baru: Gigi Robek — Croc—gigi tajam di atas kaki, "&amp;"dibuat untuk merobek barisan pertempuran
-Relik Baru: Memperkenalkan relik merah baru yang menampilkan Pilot, Pemukul, Penembak, dan Pembobol Tembok!
&lt;/id&gt;
&lt;th&gt;
-รูปปั้นนักสู้ตัวใหม่: โอลิน เพิ่มความโดดเด่นให้กับเมืองของคุณ!
-เมคใหม่: เขี้ยวขย้ำ — จระเข้—"&amp;"เขี้ยวคมบนขา สร้างมาเพื่อฉีกแนวรบ
-วัตถุโบราณใหม่: แนะนำวัตถุโบราณสีแดงใหม่ที่มีนักบิน, ฮิตเตอร์, ชูตเตอร์ และวอลล์เบรกเกอร์!
&lt;/th&gt;
&lt;es-419&gt;
-Nueva Estatua del Luchador: Ollin. ¡Añade más brillo a tu ciudad!
-Nuevo Meca: Dientefilo — Cocodrilo—dientes afi"&amp;"lados sobre patas, construido para destrozar líneas de batalla
-Nuevas Reliquias: ¡Presentamos nuevas reliquias rojas con Pilotos, Golpeadores, Tiradores y Rompemuros!
&lt;/es-419&gt;
&lt;ru-RU&gt;
-Новая статуя героя: Оллин. Добавьте больше блеска вашему городу!
-Но"&amp;"вый Мех: Рвущий Зуб — Крок — бритвенно-острые зубы на ногах, создан для разрыва боевых линий
-Новые реликвии: Представляем новые красные реликвии с Гонщиками, Громилами, Стрелками и Стеноломами!
&lt;/ru-RU&gt;
&lt;tr-TR&gt;
-Yeni Savaşçı Heykeli: Ollin. Şehrine daha "&amp;"fazla parlaklık kat!
-Yeni Meka: Dişparçalayan — Timsah—bıçak gibi dişlere sahip, savaş hatlarını parçalamak için tasarlandı
-Yeni Kalıntılar: Pilotlar, Vurucular, Nişancılar ve Duvar Kırıcıları içeren yeni kırmızı kalıntılar geliyor!
&lt;/tr-TR&gt;
&lt;vi&gt;
-Tượng"&amp;" Chiến Binh Mới: Ollin. Thêm rực rỡ cho thành phố của bạn!
-Cơ Khí Mới: Răng Xé — Cá Sấu—hàm răng sắc bén trên bốn chân, được chế tạo để xé nát phòng tuyến kẻ địch
-Di Tích Mới: Ra mắt các di tích đỏ mới với chủ đề Phi Công, Lính Tấn Công, Xạ Thủ và Lính "&amp;"Phá Thành!
&lt;/vi&gt;
&lt;it-IT&gt;
-Nuova Statua del Combattente: Ollin. Dona ancora più splendore alla tua città!
-Nuovo Mech: Dente Affilato — Croc—denti affilati su zampe, costruito per fare a pezzi le linee di battaglia
-Nuove Reliquie: Arrivano le nuove reliqu"&amp;"ie rosse con Piloti, Picchiatori, Cecchini e Infrangimura!
&lt;/it-IT&gt;
&lt;pl-PL&gt;
-Nowy Pomnik Wojownika: Ollin. Dodaj jeszcze więcej blasku swojemu miastu!
-Nowy Mech: Rozszarpiacz — Krokodyl—ostrze zębów na nogach, stworzony do rozszarpywania linii wroga
-Now"&amp;"e Relikty: Wprowadzenie nowych czerwonych reliktów z Pilotami, Łupaczami, Strzelcami i Burzycielami!
&lt;/pl-PL&gt;
&lt;ar&gt;
- تمثال المقاتل الجديد: أولين. أضف المزيد من التألق إلى مدينتك!
- ميكا جديد: سن الافتراس — كروك—أسنان حادة على أرجل، صُمم لتمزيق خطوط المعرك"&amp;"ة
- مقتنيات جديدة: نقدم مقتنيات حمراء جديدة تضم الطيارين، الضاربين، الرماة، وكسارات الجدران!
&lt;/ar&gt;
&lt;ja-JP&gt;
-新しいファイターの像：オーリン。あなたの都市にさらなる輝きを！
-新しいメック：レンドトゥース — クロック—脚にカミソリの歯を持ち、戦線を切り裂くために作られた
-新たなレリック：パイロット、アタッカー、シューター、テクニカルをフィーチャーした新しい赤の遺物が登場！
&lt;/ja-JP&gt;
&lt;ko"&amp;"-KR&gt;
-새로운 전사 석상: 올린. 당신의 도시에 더 많은 화려함을 더하세요!
-새로운 메카: 렌드투스 — 크로크—다리 달린 면도날 이빨, 전선을 갈기갈기 찢기 위해 만들어졌습니다
-새로운 유물들: 폭주족, 방망이꾼, 사수, 공성차가 포함된 새로운 레드 유물 등장!
&lt;/ko-KR&gt;
")</f>
        <v>&lt;en-US&gt;
-New Fighter Statue: Ollin. Add more brilliance to your city!
-New Mech: Rendtooth — Croc—razor-teeth on legs, built to shred battle lines
-New Relics: Introducing new red relics featuring Pilots, Hitters, Shooters, and Wall Breakers!
&lt;/en-US&gt;
&lt;fr-FR&gt;
-Nouvelle Statue du combattant : Ollin. Ajoutez encore plus de splendeur à votre ville !
-Nouveau Mécha : Dentfend — Croc—des dents acérées sur pattes, conçu pour déchirer les lignes de bataille
-Nouvelles Reliques : Découvrez les nouvelles reliques rouges mettant en vedette Pilotes, Bastonneurs, Tireurs et Casses Murailles !
&lt;/fr-FR&gt;
&lt;de-DE&gt;
-Neue Kämpfer-Statue: Ollin. Verleihe deiner Stadt noch mehr Glanz!
-Neuer Mech: Reißzahn — Croc—Rasiermesserscharfe Zähne auf Beinen, gebaut, um Kampflinien zu zerreißen
-Neue Relikte: Neue rote Relikte mit Piloten, Schlägern, Schützen und Mauerbrechern!
&lt;/de-DE&gt;
&lt;pt-BR&gt;
-Nova Estátua Combatente: Ollin. Adicione ainda mais brilho à sua cidade!
-Novo Mech: Denterras — Crocodilo—dentes afiados sobre pernas, feito para rasgar linhas de batalha
-Novas Relíquias: Apresentando novas relíquias vermelhas com Pilotos, Golpeadores, Atiradores e Quebra-muros!
&lt;/pt-BR&gt;
&lt;zh-HK&gt;
-新增鬥士雕像：奧林，來為你的城市增添更多光彩吧！
-新增機甲：撕裂之牙-鱷魚，撕裂一切的利齒，掀起戰場上的血雨腥風！
-新增收藏品：新增飆車族、打擊手、射擊手、攻城車屬性相關紅色收藏品。
&lt;/zh-HK&gt;
&lt;zh-TW&gt;
-新增鬥士雕像：奧林，來為你的城市增添更多光彩吧！
-新增機甲：撕裂之牙-鱷魚，撕裂一切的利齒，掀起戰場上的血雨腥風！
-新增收藏品：新增飆車族、打擊手、射擊手、攻城車屬性相關紅色收藏品。
&lt;/zh-TW&gt;
&lt;id&gt;
-Patung Pejuang Baru: Ollin. Tambahkan lebih banyak kemegahan ke kotamu!
-Mekanik Baru: Gigi Robek — Croc—gigi tajam di atas kaki, dibuat untuk merobek barisan pertempuran
-Relik Baru: Memperkenalkan relik merah baru yang menampilkan Pilot, Pemukul, Penembak, dan Pembobol Tembok!
&lt;/id&gt;
&lt;th&gt;
-รูปปั้นนักสู้ตัวใหม่: โอลิน เพิ่มความโดดเด่นให้กับเมืองของคุณ!
-เมคใหม่: เขี้ยวขย้ำ — จระเข้—เขี้ยวคมบนขา สร้างมาเพื่อฉีกแนวรบ
-วัตถุโบราณใหม่: แนะนำวัตถุโบราณสีแดงใหม่ที่มีนักบิน, ฮิตเตอร์, ชูตเตอร์ และวอลล์เบรกเกอร์!
&lt;/th&gt;
&lt;es-419&gt;
-Nueva Estatua del Luchador: Ollin. ¡Añade más brillo a tu ciudad!
-Nuevo Meca: Dientefilo — Cocodrilo—dientes afilados sobre patas, construido para destrozar líneas de batalla
-Nuevas Reliquias: ¡Presentamos nuevas reliquias rojas con Pilotos, Golpeadores, Tiradores y Rompemuros!
&lt;/es-419&gt;
&lt;ru-RU&gt;
-Новая статуя героя: Оллин. Добавьте больше блеска вашему городу!
-Новый Мех: Рвущий Зуб — Крок — бритвенно-острые зубы на ногах, создан для разрыва боевых линий
-Новые реликвии: Представляем новые красные реликвии с Гонщиками, Громилами, Стрелками и Стеноломами!
&lt;/ru-RU&gt;
&lt;tr-TR&gt;
-Yeni Savaşçı Heykeli: Ollin. Şehrine daha fazla parlaklık kat!
-Yeni Meka: Dişparçalayan — Timsah—bıçak gibi dişlere sahip, savaş hatlarını parçalamak için tasarlandı
-Yeni Kalıntılar: Pilotlar, Vurucular, Nişancılar ve Duvar Kırıcıları içeren yeni kırmızı kalıntılar geliyor!
&lt;/tr-TR&gt;
&lt;vi&gt;
-Tượng Chiến Binh Mới: Ollin. Thêm rực rỡ cho thành phố của bạn!
-Cơ Khí Mới: Răng Xé — Cá Sấu—hàm răng sắc bén trên bốn chân, được chế tạo để xé nát phòng tuyến kẻ địch
-Di Tích Mới: Ra mắt các di tích đỏ mới với chủ đề Phi Công, Lính Tấn Công, Xạ Thủ và Lính Phá Thành!
&lt;/vi&gt;
&lt;it-IT&gt;
-Nuova Statua del Combattente: Ollin. Dona ancora più splendore alla tua città!
-Nuovo Mech: Dente Affilato — Croc—denti affilati su zampe, costruito per fare a pezzi le linee di battaglia
-Nuove Reliquie: Arrivano le nuove reliquie rosse con Piloti, Picchiatori, Cecchini e Infrangimura!
&lt;/it-IT&gt;
&lt;pl-PL&gt;
-Nowy Pomnik Wojownika: Ollin. Dodaj jeszcze więcej blasku swojemu miastu!
-Nowy Mech: Rozszarpiacz — Krokodyl—ostrze zębów na nogach, stworzony do rozszarpywania linii wroga
-Nowe Relikty: Wprowadzenie nowych czerwonych reliktów z Pilotami, Łupaczami, Strzelcami i Burzycielami!
&lt;/pl-PL&gt;
&lt;ar&gt;
- تمثال المقاتل الجديد: أولين. أضف المزيد من التألق إلى مدينتك!
- ميكا جديد: سن الافتراس — كروك—أسنان حادة على أرجل، صُمم لتمزيق خطوط المعركة
- مقتنيات جديدة: نقدم مقتنيات حمراء جديدة تضم الطيارين، الضاربين، الرماة، وكسارات الجدران!
&lt;/ar&gt;
&lt;ja-JP&gt;
-新しいファイターの像：オーリン。あなたの都市にさらなる輝きを！
-新しいメック：レンドトゥース — クロック—脚にカミソリの歯を持ち、戦線を切り裂くために作られた
-新たなレリック：パイロット、アタッカー、シューター、テクニカルをフィーチャーした新しい赤の遺物が登場！
&lt;/ja-JP&gt;
&lt;ko-KR&gt;
-새로운 전사 석상: 올린. 당신의 도시에 더 많은 화려함을 더하세요!
-새로운 메카: 렌드투스 — 크로크—다리 달린 면도날 이빨, 전선을 갈기갈기 찢기 위해 만들어졌습니다
-새로운 유물들: 폭주족, 방망이꾼, 사수, 공성차가 포함된 새로운 레드 유물 등장!
&lt;/ko-KR&gt;
</v>
      </c>
      <c r="C87" s="108" t="str">
        <f>IFERROR(__xludf.DUMMYFUNCTION("""COMPUTED_VALUE"""),"-新增斗士雕像：奥林，来为你的城市增添更多光彩吧！
-新增机甲：撕裂之牙-鳄鱼，撕裂一切的利齿，掀起战场上的血雨腥风！
-新增收藏品：新增飙车族、打击手、射击手、攻城车属性相关红色收藏品。")</f>
        <v>-新增斗士雕像：奥林，来为你的城市增添更多光彩吧！
-新增机甲：撕裂之牙-鳄鱼，撕裂一切的利齿，掀起战场上的血雨腥风！
-新增收藏品：新增飙车族、打击手、射击手、攻城车属性相关红色收藏品。</v>
      </c>
      <c r="D87" s="108" t="str">
        <f>IFERROR(__xludf.DUMMYFUNCTION("""COMPUTED_VALUE"""),"-New Fighter Statue: Ollin. Add more brilliance to your city!
-New Mech: Rendtooth — Croc—razor-teeth on legs, built to shred battle lines
-New Relics: Introducing new red relics featuring Pilots, Hitters, Shooters, and Wall Breakers!")</f>
        <v>-New Fighter Statue: Ollin. Add more brilliance to your city!
-New Mech: Rendtooth — Croc—razor-teeth on legs, built to shred battle lines
-New Relics: Introducing new red relics featuring Pilots, Hitters, Shooters, and Wall Breakers!</v>
      </c>
      <c r="E87" s="108" t="str">
        <f>IFERROR(__xludf.DUMMYFUNCTION("""COMPUTED_VALUE"""),"-Nouvelle Statue du combattant : Ollin. Ajoutez encore plus de splendeur à votre ville !
-Nouveau Mécha : Dentfend — Croc—des dents acérées sur pattes, conçu pour déchirer les lignes de bataille
-Nouvelles Reliques : Découvrez les nouvelles reliques rouge"&amp;"s mettant en vedette Pilotes, Bastonneurs, Tireurs et Casses Murailles !")</f>
        <v>-Nouvelle Statue du combattant : Ollin. Ajoutez encore plus de splendeur à votre ville !
-Nouveau Mécha : Dentfend — Croc—des dents acérées sur pattes, conçu pour déchirer les lignes de bataille
-Nouvelles Reliques : Découvrez les nouvelles reliques rouges mettant en vedette Pilotes, Bastonneurs, Tireurs et Casses Murailles !</v>
      </c>
      <c r="F87" s="108" t="str">
        <f>IFERROR(__xludf.DUMMYFUNCTION("""COMPUTED_VALUE"""),"-Neue Kämpfer-Statue: Ollin. Verleihe deiner Stadt noch mehr Glanz!
-Neuer Mech: Reißzahn — Croc—Rasiermesserscharfe Zähne auf Beinen, gebaut, um Kampflinien zu zerreißen
-Neue Relikte: Neue rote Relikte mit Piloten, Schlägern, Schützen und Mauerbrechern!")</f>
        <v>-Neue Kämpfer-Statue: Ollin. Verleihe deiner Stadt noch mehr Glanz!
-Neuer Mech: Reißzahn — Croc—Rasiermesserscharfe Zähne auf Beinen, gebaut, um Kampflinien zu zerreißen
-Neue Relikte: Neue rote Relikte mit Piloten, Schlägern, Schützen und Mauerbrechern!</v>
      </c>
      <c r="G87" s="108" t="str">
        <f>IFERROR(__xludf.DUMMYFUNCTION("""COMPUTED_VALUE"""),"-Nova Estátua Combatente: Ollin. Adicione ainda mais brilho à sua cidade!
-Novo Mech: Denterras — Crocodilo—dentes afiados sobre pernas, feito para rasgar linhas de batalha
-Novas Relíquias: Apresentando novas relíquias vermelhas com Pilotos, Golpeadores,"&amp;" Atiradores e Quebra-muros!")</f>
        <v>-Nova Estátua Combatente: Ollin. Adicione ainda mais brilho à sua cidade!
-Novo Mech: Denterras — Crocodilo—dentes afiados sobre pernas, feito para rasgar linhas de batalha
-Novas Relíquias: Apresentando novas relíquias vermelhas com Pilotos, Golpeadores, Atiradores e Quebra-muros!</v>
      </c>
      <c r="H87" s="108" t="str">
        <f>IFERROR(__xludf.DUMMYFUNCTION("""COMPUTED_VALUE"""),"-新增鬥士雕像：奧林，來為你的城市增添更多光彩吧！
-新增機甲：撕裂之牙-鱷魚，撕裂一切的利齒，掀起戰場上的血雨腥風！
-新增收藏品：新增飆車族、打擊手、射擊手、攻城車屬性相關紅色收藏品。")</f>
        <v>-新增鬥士雕像：奧林，來為你的城市增添更多光彩吧！
-新增機甲：撕裂之牙-鱷魚，撕裂一切的利齒，掀起戰場上的血雨腥風！
-新增收藏品：新增飆車族、打擊手、射擊手、攻城車屬性相關紅色收藏品。</v>
      </c>
      <c r="I87" s="108" t="str">
        <f>IFERROR(__xludf.DUMMYFUNCTION("""COMPUTED_VALUE"""),"-Patung Pejuang Baru: Ollin. Tambahkan lebih banyak kemegahan ke kotamu!
-Mekanik Baru: Gigi Robek — Croc—gigi tajam di atas kaki, dibuat untuk merobek barisan pertempuran
-Relik Baru: Memperkenalkan relik merah baru yang menampilkan Pilot, Pemukul, Penem"&amp;"bak, dan Pembobol Tembok!")</f>
        <v>-Patung Pejuang Baru: Ollin. Tambahkan lebih banyak kemegahan ke kotamu!
-Mekanik Baru: Gigi Robek — Croc—gigi tajam di atas kaki, dibuat untuk merobek barisan pertempuran
-Relik Baru: Memperkenalkan relik merah baru yang menampilkan Pilot, Pemukul, Penembak, dan Pembobol Tembok!</v>
      </c>
      <c r="J87" s="108" t="str">
        <f>IFERROR(__xludf.DUMMYFUNCTION("""COMPUTED_VALUE"""),"-รูปปั้นนักสู้ตัวใหม่: โอลิน เพิ่มความโดดเด่นให้กับเมืองของคุณ!
-เมคใหม่: เขี้ยวขย้ำ — จระเข้—เขี้ยวคมบนขา สร้างมาเพื่อฉีกแนวรบ
-วัตถุโบราณใหม่: แนะนำวัตถุโบราณสีแดงใหม่ที่มีนักบิน, ฮิตเตอร์, ชูตเตอร์ และวอลล์เบรกเกอร์!")</f>
        <v>-รูปปั้นนักสู้ตัวใหม่: โอลิน เพิ่มความโดดเด่นให้กับเมืองของคุณ!
-เมคใหม่: เขี้ยวขย้ำ — จระเข้—เขี้ยวคมบนขา สร้างมาเพื่อฉีกแนวรบ
-วัตถุโบราณใหม่: แนะนำวัตถุโบราณสีแดงใหม่ที่มีนักบิน, ฮิตเตอร์, ชูตเตอร์ และวอลล์เบรกเกอร์!</v>
      </c>
      <c r="K87" s="108" t="str">
        <f>IFERROR(__xludf.DUMMYFUNCTION("""COMPUTED_VALUE"""),"-Nueva Estatua del Luchador: Ollin. ¡Añade más brillo a tu ciudad!
-Nuevo Meca: Dientefilo — Cocodrilo—dientes afilados sobre patas, construido para destrozar líneas de batalla
-Nuevas Reliquias: ¡Presentamos nuevas reliquias rojas con Pilotos, Golpeadore"&amp;"s, Tiradores y Rompemuros!")</f>
        <v>-Nueva Estatua del Luchador: Ollin. ¡Añade más brillo a tu ciudad!
-Nuevo Meca: Dientefilo — Cocodrilo—dientes afilados sobre patas, construido para destrozar líneas de batalla
-Nuevas Reliquias: ¡Presentamos nuevas reliquias rojas con Pilotos, Golpeadores, Tiradores y Rompemuros!</v>
      </c>
      <c r="L87" s="108" t="str">
        <f>IFERROR(__xludf.DUMMYFUNCTION("""COMPUTED_VALUE"""),"-Новая статуя героя: Оллин. Добавьте больше блеска вашему городу!
-Новый Мех: Рвущий Зуб — Крок — бритвенно-острые зубы на ногах, создан для разрыва боевых линий
-Новые реликвии: Представляем новые красные реликвии с Гонщиками, Громилами, Стрелками и Стен"&amp;"оломами!")</f>
        <v>-Новая статуя героя: Оллин. Добавьте больше блеска вашему городу!
-Новый Мех: Рвущий Зуб — Крок — бритвенно-острые зубы на ногах, создан для разрыва боевых линий
-Новые реликвии: Представляем новые красные реликвии с Гонщиками, Громилами, Стрелками и Стеноломами!</v>
      </c>
      <c r="M87" s="108" t="str">
        <f>IFERROR(__xludf.DUMMYFUNCTION("""COMPUTED_VALUE"""),"-Yeni Savaşçı Heykeli: Ollin. Şehrine daha fazla parlaklık kat!
-Yeni Meka: Dişparçalayan — Timsah—bıçak gibi dişlere sahip, savaş hatlarını parçalamak için tasarlandı
-Yeni Kalıntılar: Pilotlar, Vurucular, Nişancılar ve Duvar Kırıcıları içeren yeni kırmı"&amp;"zı kalıntılar geliyor!")</f>
        <v>-Yeni Savaşçı Heykeli: Ollin. Şehrine daha fazla parlaklık kat!
-Yeni Meka: Dişparçalayan — Timsah—bıçak gibi dişlere sahip, savaş hatlarını parçalamak için tasarlandı
-Yeni Kalıntılar: Pilotlar, Vurucular, Nişancılar ve Duvar Kırıcıları içeren yeni kırmızı kalıntılar geliyor!</v>
      </c>
      <c r="N87" s="108" t="str">
        <f>IFERROR(__xludf.DUMMYFUNCTION("""COMPUTED_VALUE"""),"-Tượng Chiến Binh Mới: Ollin. Thêm rực rỡ cho thành phố của bạn!
-Cơ Khí Mới: Răng Xé — Cá Sấu—hàm răng sắc bén trên bốn chân, được chế tạo để xé nát phòng tuyến kẻ địch
-Di Tích Mới: Ra mắt các di tích đỏ mới với chủ đề Phi Công, Lính Tấn Công, Xạ Thủ và"&amp;" Lính Phá Thành!")</f>
        <v>-Tượng Chiến Binh Mới: Ollin. Thêm rực rỡ cho thành phố của bạn!
-Cơ Khí Mới: Răng Xé — Cá Sấu—hàm răng sắc bén trên bốn chân, được chế tạo để xé nát phòng tuyến kẻ địch
-Di Tích Mới: Ra mắt các di tích đỏ mới với chủ đề Phi Công, Lính Tấn Công, Xạ Thủ và Lính Phá Thành!</v>
      </c>
      <c r="O87" s="108" t="str">
        <f>IFERROR(__xludf.DUMMYFUNCTION("""COMPUTED_VALUE"""),"-Nuova Statua del Combattente: Ollin. Dona ancora più splendore alla tua città!
-Nuovo Mech: Dente Affilato — Croc—denti affilati su zampe, costruito per fare a pezzi le linee di battaglia
-Nuove Reliquie: Arrivano le nuove reliquie rosse con Piloti, Picc"&amp;"hiatori, Cecchini e Infrangimura!")</f>
        <v>-Nuova Statua del Combattente: Ollin. Dona ancora più splendore alla tua città!
-Nuovo Mech: Dente Affilato — Croc—denti affilati su zampe, costruito per fare a pezzi le linee di battaglia
-Nuove Reliquie: Arrivano le nuove reliquie rosse con Piloti, Picchiatori, Cecchini e Infrangimura!</v>
      </c>
      <c r="P87" s="34" t="str">
        <f>IFERROR(__xludf.DUMMYFUNCTION("""COMPUTED_VALUE"""),"-Nowy Pomnik Wojownika: Ollin. Dodaj jeszcze więcej blasku swojemu miastu!
-Nowy Mech: Rozszarpiacz — Krokodyl—ostrze zębów na nogach, stworzony do rozszarpywania linii wroga
-Nowe Relikty: Wprowadzenie nowych czerwonych reliktów z Pilotami, Łupaczami, St"&amp;"rzelcami i Burzycielami!")</f>
        <v>-Nowy Pomnik Wojownika: Ollin. Dodaj jeszcze więcej blasku swojemu miastu!
-Nowy Mech: Rozszarpiacz — Krokodyl—ostrze zębów na nogach, stworzony do rozszarpywania linii wroga
-Nowe Relikty: Wprowadzenie nowych czerwonych reliktów z Pilotami, Łupaczami, Strzelcami i Burzycielami!</v>
      </c>
      <c r="Q87" s="34" t="str">
        <f>IFERROR(__xludf.DUMMYFUNCTION("""COMPUTED_VALUE"""),"- تمثال المقاتل الجديد: أولين. أضف المزيد من التألق إلى مدينتك!
- ميكا جديد: سن الافتراس — كروك—أسنان حادة على أرجل، صُمم لتمزيق خطوط المعركة
- مقتنيات جديدة: نقدم مقتنيات حمراء جديدة تضم الطيارين، الضاربين، الرماة، وكسارات الجدران!")</f>
        <v>- تمثال المقاتل الجديد: أولين. أضف المزيد من التألق إلى مدينتك!
- ميكا جديد: سن الافتراس — كروك—أسنان حادة على أرجل، صُمم لتمزيق خطوط المعركة
- مقتنيات جديدة: نقدم مقتنيات حمراء جديدة تضم الطيارين، الضاربين، الرماة، وكسارات الجدران!</v>
      </c>
      <c r="R87" s="34" t="str">
        <f>IFERROR(__xludf.DUMMYFUNCTION("""COMPUTED_VALUE"""),"-新しいファイターの像：オーリン。あなたの都市にさらなる輝きを！
-新しいメック：レンドトゥース — クロック—脚にカミソリの歯を持ち、戦線を切り裂くために作られた
-新たなレリック：パイロット、アタッカー、シューター、テクニカルをフィーチャーした新しい赤の遺物が登場！")</f>
        <v>-新しいファイターの像：オーリン。あなたの都市にさらなる輝きを！
-新しいメック：レンドトゥース — クロック—脚にカミソリの歯を持ち、戦線を切り裂くために作られた
-新たなレリック：パイロット、アタッカー、シューター、テクニカルをフィーチャーした新しい赤の遺物が登場！</v>
      </c>
      <c r="S87" s="34" t="str">
        <f>IFERROR(__xludf.DUMMYFUNCTION("""COMPUTED_VALUE"""),"-새로운 전사 석상: 올린. 당신의 도시에 더 많은 화려함을 더하세요!
-새로운 메카: 렌드투스 — 크로크—다리 달린 면도날 이빨, 전선을 갈기갈기 찢기 위해 만들어졌습니다
-새로운 유물들: 폭주족, 방망이꾼, 사수, 공성차가 포함된 새로운 레드 유물 등장!")</f>
        <v>-새로운 전사 석상: 올린. 당신의 도시에 더 많은 화려함을 더하세요!
-새로운 메카: 렌드투스 — 크로크—다리 달린 면도날 이빨, 전선을 갈기갈기 찢기 위해 만들어졌습니다
-새로운 유물들: 폭주족, 방망이꾼, 사수, 공성차가 포함된 새로운 레드 유물 등장!</v>
      </c>
      <c r="T87" s="108"/>
      <c r="U87" s="108"/>
      <c r="V87" s="108"/>
      <c r="W87" s="108"/>
      <c r="X87" s="108"/>
      <c r="Y87" s="108"/>
      <c r="Z87" s="108"/>
    </row>
    <row r="88">
      <c r="A88" s="108" t="str">
        <f>IFERROR(__xludf.DUMMYFUNCTION("""COMPUTED_VALUE"""),"0.81.0")</f>
        <v>0.81.0</v>
      </c>
      <c r="B88" s="108" t="str">
        <f>IFERROR(__xludf.DUMMYFUNCTION("""COMPUTED_VALUE"""),"&lt;en-US&gt;
- New Fighter: Theodore, the Lethal Chemist—teams up with the Spider Mech; a master of toxins who fights for justice! Obtainable via the “Ultimate Monkey” event.
- New Gang Summon: In Gang Management, the leader can pin a Gang Summon Point so memb"&amp;"ers regroup fast.
- Planet Wars:
&lt;/en-US&gt;
&lt;fr-FR&gt;
- Nouveau combattant : Theodore, le Chimiste Mortel—fait équipe avec le Mécha Araignée ; un maître des toxines qui combat pour la justice ! Obtenable via l’évènement « LE SINGE ULTIME ».
- Nouvelle Invocat"&amp;"ion de gang : Dans la Gestion de gang, le chef peut épingler un Point d’invocation de gang pour que les membres se regroupent rapidement.
- Guerre planétaire :
&lt;/fr-FR&gt;
&lt;de-DE&gt;
- Neuer Kämpfer: Theodore, der Tödliche Chemiker—schließt sich mit dem Spider-"&amp;"MECH zusammen; ein Meister der Gifte, der für Gerechtigkeit kämpft! Erhältlich über das „ULTIMATIVER AFFE“-Event.
- Neuer Clan-RUFEN!: In der Clanverwaltung kann der Anführer einen Clan-RUFEN!-Punkt anheften, damit sich Mitglieder schnell wieder versammel"&amp;"n.
- Planetenkriege:
&lt;/de-DE&gt;
&lt;pt-BR&gt;
- Novo combatente: Theodore, o Químico Letal—se une ao Mech Aranha; um mestre das toxinas que luta por justiça! Obtível através do evento “MACACO SUPREMO”.
- Nova Invocação da gangue: Em Gerenciamento da Gangue, o líd"&amp;"er pode fixar um Ponto de Invocação da Gangue para que os membros se reagrupem rapidamente.
- Guerra Interplanetária:
&lt;/pt-BR&gt;
&lt;zh-HK&gt;
-新增鬥士：致命化學家-西奧多，與蜘蛛機甲協同作戰，劇毒的掌控者，為正義而戰的化學家！可通過「最強猴子」活動獲取。
-新增首領召集功能：在管理中，首領可標註幫派聚集點，方便成員匯合。
-銀河戰爭：
&lt;/zh-HK&gt;
&lt;zh-TW&gt;
-新增鬥"&amp;"士：致命化學家-西奧多，與蜘蛛機甲協同作戰，劇毒的掌控者，為正義而戰的化學家！可通過「最強猴子」活動獲取。
-新增首領召集功能：在管理中，首領可標註幫派聚集點，方便成員匯合。
-銀河戰爭：
&lt;/zh-TW&gt;
&lt;id&gt;
- Pejuang Baru: Theodore, Ahli Kimia Mematikan—berkolaborasi dengan Mekanik Laba-laba; seorang ahli racun yang berjuang demi keadilan! Dapat diper"&amp;"oleh melalui event “KERA YANG TANGGUH”.
- Panggil Geng Baru: Dalam Kelola Geng, kapten dapat menyematkan Titik Panggil Geng agar anggota dapat berkumpul kembali dengan cepat.
- Perang Planet:
&lt;/id&gt;
&lt;th&gt;
- นักสู้ตัวใหม่: ธีโอดอร์ นักเคมีร้ายแรง—จับทีมกับเม"&amp;"คแมงมุม; ผู้เชี่ยวชาญด้านพิษที่ต่อสู้เพื่อความยุติธรรม! รับได้จากกิจกรรม “ลิงขั้นเทพ”
- อัญเชิญแก๊งค์ใหม่: ในการจัดการแก๊ง ผู้นำสามารถปักหมุดจุดอัญเชิญแก๊งค์เพื่อให้สมาชิกกลับมารวมกลุ่มได้อย่างรวดเร็ว
- สงครามดาวเคราะห์:
&lt;/th&gt;
&lt;es-419&gt;
- Nuevo Luchador: T"&amp;"heodore, el Químico Letal—se une al Meca Araña; un maestro de toxinas que lucha por la justicia. ¡Obtenible a través del evento “MONO SUPREMO”!
- Nueva Invocación de Banda: En la Administración de Banda, el líder puede fijar un Punto de Invocación de Band"&amp;"a para que los miembros se reagrupen rápidamente.
- Guerras Planetarias:
&lt;/es-419&gt;
&lt;ru-RU&gt;
- Новый герой: Теодор, Смертельный химик — объединяется с Мехом-пауком; мастер ядов, сражающийся за справедливость! Получаемо через событие «ВЕЛИКАЯ ОБЕЗЬЯНА».
- Но"&amp;"вый призыв банды: В управлении бандой лидер может закрепить точку призыва банды, чтобы участники быстрее собирались.
- Планетарные войны:
&lt;/ru-RU&gt;
&lt;tr-TR&gt;
- Yeni Savaşçı: Theodore, Ölümcül Kimyager—MEKA ile takım oluyor; adalet için savaşan bir toksin ust"&amp;"ası! “EN ÜSTÜN MAYMUN” etkinliğinden edinilebilir.
- Yeni Çete Çağırma: Çete Yönetimi’nde, lider bir Çete Çağırma Noktası sabitleyebilir, böylece üyeler hızlıca toplanır.
- Gezegen Savaşları:
&lt;/tr-TR&gt;
&lt;vi&gt;
- Chiến Binh Mới: Theodore, Nhà Hóa Học Chết Ngườ"&amp;"i—hợp tác cùng Cơ Khí Nhện; bậc thầy chất độc chiến đấu vì công lý! Có thể nhận được qua sự kiện “CHÚA KHỈ TỐI CAO”.
- Triệu Hồi Bang Hội Mới: Trong Quản Lý Bang Hội, Đội Trưởng có thể ghim Điểm Triệu Hồi Bang Hội để các Thành Viên tập hợp nhanh chóng.
- "&amp;"Chiến Tranh Hành Tinh:
&lt;/vi&gt;
&lt;it-IT&gt;
- Nuovo Combattente: Theodore, il Chimico Letale—fa squadra con lo Spider Mech; un maestro delle tossine che combatte per la giustizia! Ottenibile tramite l’evento “SCIMMIA SUPREMA”.
- Nuova Evocazione della Gang: In G"&amp;"estione Gang, il leader può fissare un Punto di Evocazione della Gang così i membri si raggruppano rapidamente.
- Guerre planetarie:
&lt;/it-IT&gt;
&lt;pl-PL&gt;
- Nowy Wojownik: Theodore, Śmiercionośny Chemik — współpracuje z Mechem Pająkiem; mistrz toksyn walczący "&amp;"o sprawiedliwość! Możliwy do uzyskania podczas wydarzenia „UBERMAŁPA”.
- Nowe Przywołanie Gangu: W Zarządzaniu Gangiem dowódca może przypiąć Punkt Przywołania Gangu, aby członkowie szybko się zgrupowali.
- Wojny planet:
&lt;/pl-PL&gt;
&lt;ar&gt;
- مقاتل جديد: ثيودور،"&amp;" الكيميائي القاتل—يتحالف مع ميكا العنكبوت؛ سيد السموم الذي يقاتل من أجل العدالة! قابل للحصول عليه عبر حدث ""القرد الخارق"".
- استدعاء عصابة جديد: في إدارة العصابة، يمكن للقائد تثبيت نقطة استدعاء العصابة ليتمكن الأعضاء من التجمع بسرعة.
- حروب الكوكب:
&lt;/ar&gt;"&amp;"
&lt;ja-JP&gt;
- 新しいファイター：セオドア、リーサルケミスト—スパイダーメックとチームを組む、正義のために戦う毒の達人！「究極のエイプ」イベントで入手可能。
- 新しいギルド召喚：ギルド管理で、リーダーがギルド召喚ポイントをピン留めでき、メンバーが素早く集結可能に。
- プラネットウォーズ：
&lt;/ja-JP&gt;
&lt;ko-KR&gt;
- 새로운 전사: 시어도어, 치명적인 화학자—스파이더 메카와 팀을 이루고, 정의를 위해 싸우는 독의 달인! “최강 원숭이” 이벤트에서 획득 가능.
- 새로운 "&amp;"무리 소환: 무리 관리에서 리더가 무리 소환 포인트를 고정하여 회원들이 빠르게 집결할 수 있습니다.
- 은하 전쟁:
&lt;/ko-KR&gt;
")</f>
        <v>&lt;en-US&gt;
- New Fighter: Theodore, the Lethal Chemist—teams up with the Spider Mech; a master of toxins who fights for justice! Obtainable via the “Ultimate Monkey” event.
- New Gang Summon: In Gang Management, the leader can pin a Gang Summon Point so members regroup fast.
- Planet Wars:
&lt;/en-US&gt;
&lt;fr-FR&gt;
- Nouveau combattant : Theodore, le Chimiste Mortel—fait équipe avec le Mécha Araignée ; un maître des toxines qui combat pour la justice ! Obtenable via l’évènement « LE SINGE ULTIME ».
- Nouvelle Invocation de gang : Dans la Gestion de gang, le chef peut épingler un Point d’invocation de gang pour que les membres se regroupent rapidement.
- Guerre planétaire :
&lt;/fr-FR&gt;
&lt;de-DE&gt;
- Neuer Kämpfer: Theodore, der Tödliche Chemiker—schließt sich mit dem Spider-MECH zusammen; ein Meister der Gifte, der für Gerechtigkeit kämpft! Erhältlich über das „ULTIMATIVER AFFE“-Event.
- Neuer Clan-RUFEN!: In der Clanverwaltung kann der Anführer einen Clan-RUFEN!-Punkt anheften, damit sich Mitglieder schnell wieder versammeln.
- Planetenkriege:
&lt;/de-DE&gt;
&lt;pt-BR&gt;
- Novo combatente: Theodore, o Químico Letal—se une ao Mech Aranha; um mestre das toxinas que luta por justiça! Obtível através do evento “MACACO SUPREMO”.
- Nova Invocação da gangue: Em Gerenciamento da Gangue, o líder pode fixar um Ponto de Invocação da Gangue para que os membros se reagrupem rapidamente.
- Guerra Interplanetária:
&lt;/pt-BR&gt;
&lt;zh-HK&gt;
-新增鬥士：致命化學家-西奧多，與蜘蛛機甲協同作戰，劇毒的掌控者，為正義而戰的化學家！可通過「最強猴子」活動獲取。
-新增首領召集功能：在管理中，首領可標註幫派聚集點，方便成員匯合。
-銀河戰爭：
&lt;/zh-HK&gt;
&lt;zh-TW&gt;
-新增鬥士：致命化學家-西奧多，與蜘蛛機甲協同作戰，劇毒的掌控者，為正義而戰的化學家！可通過「最強猴子」活動獲取。
-新增首領召集功能：在管理中，首領可標註幫派聚集點，方便成員匯合。
-銀河戰爭：
&lt;/zh-TW&gt;
&lt;id&gt;
- Pejuang Baru: Theodore, Ahli Kimia Mematikan—berkolaborasi dengan Mekanik Laba-laba; seorang ahli racun yang berjuang demi keadilan! Dapat diperoleh melalui event “KERA YANG TANGGUH”.
- Panggil Geng Baru: Dalam Kelola Geng, kapten dapat menyematkan Titik Panggil Geng agar anggota dapat berkumpul kembali dengan cepat.
- Perang Planet:
&lt;/id&gt;
&lt;th&gt;
- นักสู้ตัวใหม่: ธีโอดอร์ นักเคมีร้ายแรง—จับทีมกับเมคแมงมุม; ผู้เชี่ยวชาญด้านพิษที่ต่อสู้เพื่อความยุติธรรม! รับได้จากกิจกรรม “ลิงขั้นเทพ”
- อัญเชิญแก๊งค์ใหม่: ในการจัดการแก๊ง ผู้นำสามารถปักหมุดจุดอัญเชิญแก๊งค์เพื่อให้สมาชิกกลับมารวมกลุ่มได้อย่างรวดเร็ว
- สงครามดาวเคราะห์:
&lt;/th&gt;
&lt;es-419&gt;
- Nuevo Luchador: Theodore, el Químico Letal—se une al Meca Araña; un maestro de toxinas que lucha por la justicia. ¡Obtenible a través del evento “MONO SUPREMO”!
- Nueva Invocación de Banda: En la Administración de Banda, el líder puede fijar un Punto de Invocación de Banda para que los miembros se reagrupen rápidamente.
- Guerras Planetarias:
&lt;/es-419&gt;
&lt;ru-RU&gt;
- Новый герой: Теодор, Смертельный химик — объединяется с Мехом-пауком; мастер ядов, сражающийся за справедливость! Получаемо через событие «ВЕЛИКАЯ ОБЕЗЬЯНА».
- Новый призыв банды: В управлении бандой лидер может закрепить точку призыва банды, чтобы участники быстрее собирались.
- Планетарные войны:
&lt;/ru-RU&gt;
&lt;tr-TR&gt;
- Yeni Savaşçı: Theodore, Ölümcül Kimyager—MEKA ile takım oluyor; adalet için savaşan bir toksin ustası! “EN ÜSTÜN MAYMUN” etkinliğinden edinilebilir.
- Yeni Çete Çağırma: Çete Yönetimi’nde, lider bir Çete Çağırma Noktası sabitleyebilir, böylece üyeler hızlıca toplanır.
- Gezegen Savaşları:
&lt;/tr-TR&gt;
&lt;vi&gt;
- Chiến Binh Mới: Theodore, Nhà Hóa Học Chết Người—hợp tác cùng Cơ Khí Nhện; bậc thầy chất độc chiến đấu vì công lý! Có thể nhận được qua sự kiện “CHÚA KHỈ TỐI CAO”.
- Triệu Hồi Bang Hội Mới: Trong Quản Lý Bang Hội, Đội Trưởng có thể ghim Điểm Triệu Hồi Bang Hội để các Thành Viên tập hợp nhanh chóng.
- Chiến Tranh Hành Tinh:
&lt;/vi&gt;
&lt;it-IT&gt;
- Nuovo Combattente: Theodore, il Chimico Letale—fa squadra con lo Spider Mech; un maestro delle tossine che combatte per la giustizia! Ottenibile tramite l’evento “SCIMMIA SUPREMA”.
- Nuova Evocazione della Gang: In Gestione Gang, il leader può fissare un Punto di Evocazione della Gang così i membri si raggruppano rapidamente.
- Guerre planetarie:
&lt;/it-IT&gt;
&lt;pl-PL&gt;
- Nowy Wojownik: Theodore, Śmiercionośny Chemik — współpracuje z Mechem Pająkiem; mistrz toksyn walczący o sprawiedliwość! Możliwy do uzyskania podczas wydarzenia „UBERMAŁPA”.
- Nowe Przywołanie Gangu: W Zarządzaniu Gangiem dowódca może przypiąć Punkt Przywołania Gangu, aby członkowie szybko się zgrupowali.
- Wojny planet:
&lt;/pl-PL&gt;
&lt;ar&gt;
- مقاتل جديد: ثيودور، الكيميائي القاتل—يتحالف مع ميكا العنكبوت؛ سيد السموم الذي يقاتل من أجل العدالة! قابل للحصول عليه عبر حدث "القرد الخارق".
- استدعاء عصابة جديد: في إدارة العصابة، يمكن للقائد تثبيت نقطة استدعاء العصابة ليتمكن الأعضاء من التجمع بسرعة.
- حروب الكوكب:
&lt;/ar&gt;
&lt;ja-JP&gt;
- 新しいファイター：セオドア、リーサルケミスト—スパイダーメックとチームを組む、正義のために戦う毒の達人！「究極のエイプ」イベントで入手可能。
- 新しいギルド召喚：ギルド管理で、リーダーがギルド召喚ポイントをピン留めでき、メンバーが素早く集結可能に。
- プラネットウォーズ：
&lt;/ja-JP&gt;
&lt;ko-KR&gt;
- 새로운 전사: 시어도어, 치명적인 화학자—스파이더 메카와 팀을 이루고, 정의를 위해 싸우는 독의 달인! “최강 원숭이” 이벤트에서 획득 가능.
- 새로운 무리 소환: 무리 관리에서 리더가 무리 소환 포인트를 고정하여 회원들이 빠르게 집결할 수 있습니다.
- 은하 전쟁:
&lt;/ko-KR&gt;
</v>
      </c>
      <c r="C88" s="108" t="str">
        <f>IFERROR(__xludf.DUMMYFUNCTION("""COMPUTED_VALUE"""),"-新增斗士：致命化学家-西奥多，与蜘蛛机甲协同作战，剧毒的掌控者，为正义而战的化学家！可通过“最强猴子”活动获取。
-新增魁首召集功能：在帮派管理中，魁首可标注帮派聚集点，方便帮派成员汇合。
-银河战争：新增基因存储仓：在银河战争玩法中，把基因放入存储仓，可获得多倍收益！")</f>
        <v>-新增斗士：致命化学家-西奥多，与蜘蛛机甲协同作战，剧毒的掌控者，为正义而战的化学家！可通过“最强猴子”活动获取。
-新增魁首召集功能：在帮派管理中，魁首可标注帮派聚集点，方便帮派成员汇合。
-银河战争：新增基因存储仓：在银河战争玩法中，把基因放入存储仓，可获得多倍收益！</v>
      </c>
      <c r="D88" s="108" t="str">
        <f>IFERROR(__xludf.DUMMYFUNCTION("""COMPUTED_VALUE"""),"- New Fighter: Theodore, the Lethal Chemist—teams up with the Spider Mech; a master of toxins who fights for justice! Obtainable via the “Ultimate Monkey” event.
- New Gang Summon: In Gang Management, the leader can pin a Gang Summon Point so members regr"&amp;"oup fast.
- Planet Wars:")</f>
        <v>- New Fighter: Theodore, the Lethal Chemist—teams up with the Spider Mech; a master of toxins who fights for justice! Obtainable via the “Ultimate Monkey” event.
- New Gang Summon: In Gang Management, the leader can pin a Gang Summon Point so members regroup fast.
- Planet Wars:</v>
      </c>
      <c r="E88" s="108" t="str">
        <f>IFERROR(__xludf.DUMMYFUNCTION("""COMPUTED_VALUE"""),"- Nouveau combattant : Theodore, le Chimiste Mortel—fait équipe avec le Mécha Araignée ; un maître des toxines qui combat pour la justice ! Obtenable via l’évènement « LE SINGE ULTIME ».
- Nouvelle Invocation de gang : Dans la Gestion de gang, le chef peu"&amp;"t épingler un Point d’invocation de gang pour que les membres se regroupent rapidement.
- Guerre planétaire :")</f>
        <v>- Nouveau combattant : Theodore, le Chimiste Mortel—fait équipe avec le Mécha Araignée ; un maître des toxines qui combat pour la justice ! Obtenable via l’évènement « LE SINGE ULTIME ».
- Nouvelle Invocation de gang : Dans la Gestion de gang, le chef peut épingler un Point d’invocation de gang pour que les membres se regroupent rapidement.
- Guerre planétaire :</v>
      </c>
      <c r="F88" s="108" t="str">
        <f>IFERROR(__xludf.DUMMYFUNCTION("""COMPUTED_VALUE"""),"- Neuer Kämpfer: Theodore, der Tödliche Chemiker—schließt sich mit dem Spider-MECH zusammen; ein Meister der Gifte, der für Gerechtigkeit kämpft! Erhältlich über das „ULTIMATIVER AFFE“-Event.
- Neuer Clan-RUFEN!: In der Clanverwaltung kann der Anführer ei"&amp;"nen Clan-RUFEN!-Punkt anheften, damit sich Mitglieder schnell wieder versammeln.
- Planetenkriege:")</f>
        <v>- Neuer Kämpfer: Theodore, der Tödliche Chemiker—schließt sich mit dem Spider-MECH zusammen; ein Meister der Gifte, der für Gerechtigkeit kämpft! Erhältlich über das „ULTIMATIVER AFFE“-Event.
- Neuer Clan-RUFEN!: In der Clanverwaltung kann der Anführer einen Clan-RUFEN!-Punkt anheften, damit sich Mitglieder schnell wieder versammeln.
- Planetenkriege:</v>
      </c>
      <c r="G88" s="108" t="str">
        <f>IFERROR(__xludf.DUMMYFUNCTION("""COMPUTED_VALUE"""),"- Novo combatente: Theodore, o Químico Letal—se une ao Mech Aranha; um mestre das toxinas que luta por justiça! Obtível através do evento “MACACO SUPREMO”.
- Nova Invocação da gangue: Em Gerenciamento da Gangue, o líder pode fixar um Ponto de Invocação da"&amp;" Gangue para que os membros se reagrupem rapidamente.
- Guerra Interplanetária:")</f>
        <v>- Novo combatente: Theodore, o Químico Letal—se une ao Mech Aranha; um mestre das toxinas que luta por justiça! Obtível através do evento “MACACO SUPREMO”.
- Nova Invocação da gangue: Em Gerenciamento da Gangue, o líder pode fixar um Ponto de Invocação da Gangue para que os membros se reagrupem rapidamente.
- Guerra Interplanetária:</v>
      </c>
      <c r="H88" s="108" t="str">
        <f>IFERROR(__xludf.DUMMYFUNCTION("""COMPUTED_VALUE"""),"-新增鬥士：致命化學家-西奧多，與蜘蛛機甲協同作戰，劇毒的掌控者，為正義而戰的化學家！可通過「最強猴子」活動獲取。
-新增首領召集功能：在管理中，首領可標註幫派聚集點，方便成員匯合。
-銀河戰爭：")</f>
        <v>-新增鬥士：致命化學家-西奧多，與蜘蛛機甲協同作戰，劇毒的掌控者，為正義而戰的化學家！可通過「最強猴子」活動獲取。
-新增首領召集功能：在管理中，首領可標註幫派聚集點，方便成員匯合。
-銀河戰爭：</v>
      </c>
      <c r="I88" s="108" t="str">
        <f>IFERROR(__xludf.DUMMYFUNCTION("""COMPUTED_VALUE"""),"- Pejuang Baru: Theodore, Ahli Kimia Mematikan—berkolaborasi dengan Mekanik Laba-laba; seorang ahli racun yang berjuang demi keadilan! Dapat diperoleh melalui event “KERA YANG TANGGUH”.
- Panggil Geng Baru: Dalam Kelola Geng, kapten dapat menyematkan Titi"&amp;"k Panggil Geng agar anggota dapat berkumpul kembali dengan cepat.
- Perang Planet:")</f>
        <v>- Pejuang Baru: Theodore, Ahli Kimia Mematikan—berkolaborasi dengan Mekanik Laba-laba; seorang ahli racun yang berjuang demi keadilan! Dapat diperoleh melalui event “KERA YANG TANGGUH”.
- Panggil Geng Baru: Dalam Kelola Geng, kapten dapat menyematkan Titik Panggil Geng agar anggota dapat berkumpul kembali dengan cepat.
- Perang Planet:</v>
      </c>
      <c r="J88" s="108" t="str">
        <f>IFERROR(__xludf.DUMMYFUNCTION("""COMPUTED_VALUE"""),"- นักสู้ตัวใหม่: ธีโอดอร์ นักเคมีร้ายแรง—จับทีมกับเมคแมงมุม; ผู้เชี่ยวชาญด้านพิษที่ต่อสู้เพื่อความยุติธรรม! รับได้จากกิจกรรม “ลิงขั้นเทพ”
- อัญเชิญแก๊งค์ใหม่: ในการจัดการแก๊ง ผู้นำสามารถปักหมุดจุดอัญเชิญแก๊งค์เพื่อให้สมาชิกกลับมารวมกลุ่มได้อย่างรวดเร็ว
- "&amp;"สงครามดาวเคราะห์:")</f>
        <v>- นักสู้ตัวใหม่: ธีโอดอร์ นักเคมีร้ายแรง—จับทีมกับเมคแมงมุม; ผู้เชี่ยวชาญด้านพิษที่ต่อสู้เพื่อความยุติธรรม! รับได้จากกิจกรรม “ลิงขั้นเทพ”
- อัญเชิญแก๊งค์ใหม่: ในการจัดการแก๊ง ผู้นำสามารถปักหมุดจุดอัญเชิญแก๊งค์เพื่อให้สมาชิกกลับมารวมกลุ่มได้อย่างรวดเร็ว
- สงครามดาวเคราะห์:</v>
      </c>
      <c r="K88" s="108" t="str">
        <f>IFERROR(__xludf.DUMMYFUNCTION("""COMPUTED_VALUE"""),"- Nuevo Luchador: Theodore, el Químico Letal—se une al Meca Araña; un maestro de toxinas que lucha por la justicia. ¡Obtenible a través del evento “MONO SUPREMO”!
- Nueva Invocación de Banda: En la Administración de Banda, el líder puede fijar un Punto de"&amp;" Invocación de Banda para que los miembros se reagrupen rápidamente.
- Guerras Planetarias:")</f>
        <v>- Nuevo Luchador: Theodore, el Químico Letal—se une al Meca Araña; un maestro de toxinas que lucha por la justicia. ¡Obtenible a través del evento “MONO SUPREMO”!
- Nueva Invocación de Banda: En la Administración de Banda, el líder puede fijar un Punto de Invocación de Banda para que los miembros se reagrupen rápidamente.
- Guerras Planetarias:</v>
      </c>
      <c r="L88" s="108" t="str">
        <f>IFERROR(__xludf.DUMMYFUNCTION("""COMPUTED_VALUE"""),"- Новый герой: Теодор, Смертельный химик — объединяется с Мехом-пауком; мастер ядов, сражающийся за справедливость! Получаемо через событие «ВЕЛИКАЯ ОБЕЗЬЯНА».
- Новый призыв банды: В управлении бандой лидер может закрепить точку призыва банды, чтобы учас"&amp;"тники быстрее собирались.
- Планетарные войны:")</f>
        <v>- Новый герой: Теодор, Смертельный химик — объединяется с Мехом-пауком; мастер ядов, сражающийся за справедливость! Получаемо через событие «ВЕЛИКАЯ ОБЕЗЬЯНА».
- Новый призыв банды: В управлении бандой лидер может закрепить точку призыва банды, чтобы участники быстрее собирались.
- Планетарные войны:</v>
      </c>
      <c r="M88" s="108" t="str">
        <f>IFERROR(__xludf.DUMMYFUNCTION("""COMPUTED_VALUE"""),"- Yeni Savaşçı: Theodore, Ölümcül Kimyager—MEKA ile takım oluyor; adalet için savaşan bir toksin ustası! “EN ÜSTÜN MAYMUN” etkinliğinden edinilebilir.
- Yeni Çete Çağırma: Çete Yönetimi’nde, lider bir Çete Çağırma Noktası sabitleyebilir, böylece üyeler hı"&amp;"zlıca toplanır.
- Gezegen Savaşları:")</f>
        <v>- Yeni Savaşçı: Theodore, Ölümcül Kimyager—MEKA ile takım oluyor; adalet için savaşan bir toksin ustası! “EN ÜSTÜN MAYMUN” etkinliğinden edinilebilir.
- Yeni Çete Çağırma: Çete Yönetimi’nde, lider bir Çete Çağırma Noktası sabitleyebilir, böylece üyeler hızlıca toplanır.
- Gezegen Savaşları:</v>
      </c>
      <c r="N88" s="108" t="str">
        <f>IFERROR(__xludf.DUMMYFUNCTION("""COMPUTED_VALUE"""),"- Chiến Binh Mới: Theodore, Nhà Hóa Học Chết Người—hợp tác cùng Cơ Khí Nhện; bậc thầy chất độc chiến đấu vì công lý! Có thể nhận được qua sự kiện “CHÚA KHỈ TỐI CAO”.
- Triệu Hồi Bang Hội Mới: Trong Quản Lý Bang Hội, Đội Trưởng có thể ghim Điểm Triệu Hồi B"&amp;"ang Hội để các Thành Viên tập hợp nhanh chóng.
- Chiến Tranh Hành Tinh:")</f>
        <v>- Chiến Binh Mới: Theodore, Nhà Hóa Học Chết Người—hợp tác cùng Cơ Khí Nhện; bậc thầy chất độc chiến đấu vì công lý! Có thể nhận được qua sự kiện “CHÚA KHỈ TỐI CAO”.
- Triệu Hồi Bang Hội Mới: Trong Quản Lý Bang Hội, Đội Trưởng có thể ghim Điểm Triệu Hồi Bang Hội để các Thành Viên tập hợp nhanh chóng.
- Chiến Tranh Hành Tinh:</v>
      </c>
      <c r="O88" s="108" t="str">
        <f>IFERROR(__xludf.DUMMYFUNCTION("""COMPUTED_VALUE"""),"- Nuovo Combattente: Theodore, il Chimico Letale—fa squadra con lo Spider Mech; un maestro delle tossine che combatte per la giustizia! Ottenibile tramite l’evento “SCIMMIA SUPREMA”.
- Nuova Evocazione della Gang: In Gestione Gang, il leader può fissare u"&amp;"n Punto di Evocazione della Gang così i membri si raggruppano rapidamente.
- Guerre planetarie:")</f>
        <v>- Nuovo Combattente: Theodore, il Chimico Letale—fa squadra con lo Spider Mech; un maestro delle tossine che combatte per la giustizia! Ottenibile tramite l’evento “SCIMMIA SUPREMA”.
- Nuova Evocazione della Gang: In Gestione Gang, il leader può fissare un Punto di Evocazione della Gang così i membri si raggruppano rapidamente.
- Guerre planetarie:</v>
      </c>
      <c r="P88" s="34" t="str">
        <f>IFERROR(__xludf.DUMMYFUNCTION("""COMPUTED_VALUE"""),"- Nowy Wojownik: Theodore, Śmiercionośny Chemik — współpracuje z Mechem Pająkiem; mistrz toksyn walczący o sprawiedliwość! Możliwy do uzyskania podczas wydarzenia „UBERMAŁPA”.
- Nowe Przywołanie Gangu: W Zarządzaniu Gangiem dowódca może przypiąć Punkt Prz"&amp;"ywołania Gangu, aby członkowie szybko się zgrupowali.
- Wojny planet:")</f>
        <v>- Nowy Wojownik: Theodore, Śmiercionośny Chemik — współpracuje z Mechem Pająkiem; mistrz toksyn walczący o sprawiedliwość! Możliwy do uzyskania podczas wydarzenia „UBERMAŁPA”.
- Nowe Przywołanie Gangu: W Zarządzaniu Gangiem dowódca może przypiąć Punkt Przywołania Gangu, aby członkowie szybko się zgrupowali.
- Wojny planet:</v>
      </c>
      <c r="Q88" s="34" t="str">
        <f>IFERROR(__xludf.DUMMYFUNCTION("""COMPUTED_VALUE"""),"- مقاتل جديد: ثيودور، الكيميائي القاتل—يتحالف مع ميكا العنكبوت؛ سيد السموم الذي يقاتل من أجل العدالة! قابل للحصول عليه عبر حدث ""القرد الخارق"".
- استدعاء عصابة جديد: في إدارة العصابة، يمكن للقائد تثبيت نقطة استدعاء العصابة ليتمكن الأعضاء من التجمع بسرعة."&amp;"
- حروب الكوكب:")</f>
        <v>- مقاتل جديد: ثيودور، الكيميائي القاتل—يتحالف مع ميكا العنكبوت؛ سيد السموم الذي يقاتل من أجل العدالة! قابل للحصول عليه عبر حدث "القرد الخارق".
- استدعاء عصابة جديد: في إدارة العصابة، يمكن للقائد تثبيت نقطة استدعاء العصابة ليتمكن الأعضاء من التجمع بسرعة.
- حروب الكوكب:</v>
      </c>
      <c r="R88" s="34" t="str">
        <f>IFERROR(__xludf.DUMMYFUNCTION("""COMPUTED_VALUE"""),"- 新しいファイター：セオドア、リーサルケミスト—スパイダーメックとチームを組む、正義のために戦う毒の達人！「究極のエイプ」イベントで入手可能。
- 新しいギルド召喚：ギルド管理で、リーダーがギルド召喚ポイントをピン留めでき、メンバーが素早く集結可能に。
- プラネットウォーズ：")</f>
        <v>- 新しいファイター：セオドア、リーサルケミスト—スパイダーメックとチームを組む、正義のために戦う毒の達人！「究極のエイプ」イベントで入手可能。
- 新しいギルド召喚：ギルド管理で、リーダーがギルド召喚ポイントをピン留めでき、メンバーが素早く集結可能に。
- プラネットウォーズ：</v>
      </c>
      <c r="S88" s="34" t="str">
        <f>IFERROR(__xludf.DUMMYFUNCTION("""COMPUTED_VALUE"""),"- 새로운 전사: 시어도어, 치명적인 화학자—스파이더 메카와 팀을 이루고, 정의를 위해 싸우는 독의 달인! “최강 원숭이” 이벤트에서 획득 가능.
- 새로운 무리 소환: 무리 관리에서 리더가 무리 소환 포인트를 고정하여 회원들이 빠르게 집결할 수 있습니다.
- 은하 전쟁:")</f>
        <v>- 새로운 전사: 시어도어, 치명적인 화학자—스파이더 메카와 팀을 이루고, 정의를 위해 싸우는 독의 달인! “최강 원숭이” 이벤트에서 획득 가능.
- 새로운 무리 소환: 무리 관리에서 리더가 무리 소환 포인트를 고정하여 회원들이 빠르게 집결할 수 있습니다.
- 은하 전쟁:</v>
      </c>
      <c r="T88" s="108"/>
      <c r="U88" s="108"/>
      <c r="V88" s="108"/>
      <c r="W88" s="108"/>
      <c r="X88" s="108"/>
      <c r="Y88" s="108"/>
      <c r="Z88" s="108"/>
    </row>
    <row r="89">
      <c r="A89" s="108" t="str">
        <f>IFERROR(__xludf.DUMMYFUNCTION("""COMPUTED_VALUE"""),"0.82.0")</f>
        <v>0.82.0</v>
      </c>
      <c r="B89" s="108" t="str">
        <f>IFERROR(__xludf.DUMMYFUNCTION("""COMPUTED_VALUE"""),"&lt;en-US&gt;
--New Card Album: Collect different cards, trade with other players to complete sets, and unlock skins!
--Gang System: Info related to the Earthquaker is now recorded in the Gang Log.
--Colin’s Exploration: Icons for ongoing quests now change colo"&amp;"r, making them easier to spot.
--Convoy Mode: Convoy rewards are no longer sent by mail—you receive them automatically once the convoy is complete.
&lt;/en-US&gt;
&lt;fr-FR&gt;
--Nouvel Album de Cartes : Collectionnez différentes cartes, échangez avec d'autres joueu"&amp;"rs pour compléter les collections et débloquer des skins !  
--Système de Gang : Les informations liées au Earthquaker sont désormais enregistrées dans le Journal du Gang.  
--Exploration de Colin : Les icônes des quêtes en cours changent désormais de cou"&amp;"leur, ce qui les rend plus faciles à repérer.  
--Mode Convoi : Les récompenses de convoi ne sont plus envoyées par mail—vous les recevez automatiquement une fois le convoi terminé.
&lt;/fr-FR&gt;
&lt;de-DE&gt;
--Neues Kartenalbum: Sammle verschiedene Karten, tausche"&amp;" mit anderen Spielern, um Sets zu vervollständigen, und schalte Skins frei!  
--Clan-System: Infos zum Earthquaker werden jetzt im Clan-Logbuch protokolliert.  
--Colins Erkundung: Die Symbole für laufende Quests ändern jetzt die Farbe, sodass sie leichte"&amp;"r zu erkennen sind.  
--Konvoi-Modus: Konvoi-Belohnungen werden nicht mehr per Mail gesendet – du erhältst sie automatisch, sobald der Konvoi abgeschlossen ist.
&lt;/de-DE&gt;
&lt;pt-BR&gt;
--Novo Álbum de Cartão: Colete diferentes cartões, troque com outros jogadore"&amp;"s para completar conjuntos e desbloqueie skins!  
--Sistema de Gangue: Informações relacionadas ao Earthquaker agora são registradas no Registro da Gangue.  
--Exploração do Colin: Ícones para missões em andamento agora mudam de cor, tornando-os mais fáce"&amp;"is de identificar.  
--Modo Comboio: As recompensas de Comboio não são mais enviadas por correio—você as recebe automaticamente assim que o comboio for concluído.
&lt;/pt-BR&gt;
&lt;zh-HK&gt;
--新增集卡冊系統：玩家可以收集不同的卡牌，與其他玩家交換來集齊套卡，取得外觀獎勵！
--幫派系統優化：現在地震機的相關資訊會在幫派日誌中記載了。
-"&amp;"-科林的探索優化：進行中的任務圖示會改變顏色，協助玩家識別。
--車隊運送玩法優化：車隊運送獎勵不再通過郵件分配，車隊運送任務完成後自動取得獎勵。
&lt;/zh-HK&gt;
&lt;zh-TW&gt;
--新增集卡冊系統：玩家可以收集不同的卡牌，與其他玩家交換來集齊套卡，取得外觀獎勵！
--幫派系統優化：現在地震機的相關資訊會在幫派日誌中記載了。
--科林的探索優化：進行中的任務圖示會改變顏色，協助玩家識別。
--車隊運送玩法優化：車隊運送獎勵不再通過郵件分配，車隊運送任務完成後自動取得獎勵。
&lt;/zh-TW&gt;
&lt;id&gt;
-"&amp;"-Album Kartu Baru: Kumpulkan berbagai kartu, ganti dengan pemain lain untuk melengkapi set, dan buka kulit!
--Sistem Geng: Informasi terkait Earthquaker sekarang dicatat di LOG GENG.
--Eksplorasi Colin: Ikon untuk tantangan yang sedang berlangsung sekaran"&amp;"g berubah warna, sehingga lebih mudah ditemukan.
--Mode Konvoi: Hadiah Konvoi tidak lagi dikirim melalui surat—Anda menerima hadiah secara otomatis setelah konvoi selesai.
&lt;/id&gt;
&lt;th&gt;
--อัลบั้มการ์ดใหม่: เก็บการ์ดต่างๆ แลกเปลี่ยนกับผู้เล่นคนอื่นเพื่อสะสมชุ"&amp;"ดให้ครบ และปลดล็อกสกิน!
--ระบบแก๊ง: ข้อมูลที่เกี่ยวข้องกับ Earthquaker จะถูกบันทึกไว้ในบันทึกแก๊งแล้ว
--การสำรวจของโคลิน: ไอคอนสำหรับเควสต์ที่กำลังทำการท้าทายจะเปลี่ยนสี ทำให้สังเกตได้ง่ายขึ้น
--โหมดรถคอนวอย: รางวัลการขนรถคอนวอยสำเร็จจะไม่ได้รับทางจดหมายอ"&amp;"ีกต่อไป—คุณจะได้รับรางวัลโดยอัตโนมัติเมื่อรถคอนวอยเสร็จสิ้น
&lt;/th&gt;
&lt;es-419&gt;
--Nuevo Álbum de Tarjetas: Recolecta diferentes tarjetas, intercambia con otros jugadores para completar colecciones y desbloquea texturas.&lt;br&gt;--Sistema de Banda: La información re"&amp;"lacionada con el Earthquaker ahora se registra en el Registro de la Banda.&lt;br&gt;--Exploración de Colin: Los íconos de las misiones en curso ahora cambian de color, lo que facilita su identificación.&lt;br&gt;--Modo Escolta: Las recompensas de la escolta ya no se "&amp;"envían por correo; las recibes automáticamente una vez que la escolta se completa.
&lt;/es-419&gt;
&lt;ru-RU&gt;
--Новый альбом карт: Собирайте разные карты, обменивайтесь с другими игроками, чтобы завершить коллекции, и открывайте облики!
--Система банд: Сведения, с"&amp;"вязанные с Землетрясателем, теперь записываются в журнал банды.
--Исследование Колина: Значки для идущих заданий теперь меняют цвет, чтобы их было легче заметить.
--Режим каравана: Награды каравана больше не отправляются по почте — вы получаете их автомат"&amp;"ически после завершения каравана.
&lt;/ru-RU&gt;
&lt;tr-TR&gt;
--Yeni Kart Albümü: Farklı kartları topla, diğer oyuncularla takas et, setleri tamamla ve görünümlerin kilidini aç!
--Çete Sistemi: Depremci ile ilgili bilgiler artık Çete Günlüğü'nde kaydediliyor.
--Coli"&amp;"n’in Macerası: Devam eden maceralar için simgelerin rengi artık değişiyor, böylece onları fark etmek daha kolay.
--Konvoy Modu: Konvoy ödülleri artık posta ile gönderilmiyor—konvoy tamamlandığında ödülleri otomatik olarak alıyorsun.
&lt;/tr-TR&gt;
&lt;vi&gt;
--Album "&amp;"Thẻ Mới: Thu thập các thẻ khác nhau, thay thế với người chơi khác để hoàn thành bộ sưu tập, và mở khóa ngoại trang!
--Hệ Thống Bang Hội: Thông tin liên quan đến Earthquaker hiện đã được ghi lại trong Nhật Ký Bang Hội.
--Khám Phá của Colin: Biểu tượng cho "&amp;"các nhiệm vụ đang diễn ra giờ sẽ thay đổi màu sắc, giúp bạn dễ dàng nhận biết hơn.
--Chế Độ Xe Chuyên Chở: Phần thưởng Xe Chuyên Chở sẽ không còn được gửi qua thư—bạn nhận được tự động khi xe chuyên chở hoàn thành.
&lt;/vi&gt;
&lt;it-IT&gt;
--Nuovo Album di Carte: Ra"&amp;"ccogli carte diverse, scambia con altri giocatori per completare i set e sbloccare aspetti!
--Sistema Gang: Le informazioni relative all’Earthquaker sono ora registrate nel Registro della Gang.
--Esplorazione di Colin: Le icone delle missioni in corso ora"&amp;" cambiano colore, rendendole più facili da individuare.
--Modalità Convoglio: Le ricompense del convoglio non vengono più inviate tramite posta—le ricevi automaticamente una volta completato il convoglio.
&lt;/it-IT&gt;
&lt;pl-PL&gt;
--Nowy Album Kart: Zbieraj różne "&amp;"karty, wymieniaj się z innymi graczami, aby skompletować zestawy i odblokować skórki!
--System Gangów: Informacje związane z Earthquakerem są teraz rejestrowane w Dzienniku Gangu.
--Eksploracja Colina: Ikony zadań w toku teraz zmieniają kolor, co ułatwia "&amp;"ich zauważenie.
--Tryb Konwoju: Nagrody za Konwój nie są już wysyłane przez pocztę—otrzymujesz je automatycznie po ukończeniu konwoju.
&lt;/pl-PL&gt;
&lt;ar&gt;
--ألبوم البطاقات الجديد: جمع بطاقات مختلفة، وتاجر مع اللاعبين الآخرين لإكمال المجموعات، وفتح الزينة!
--نظا"&amp;"م العصابة: معلومات متعلقة بـ Earthquaker يتم تسجيلها الآن في سجل العصابة.
--استكشاف كولن: أيقونات المهام قيد التنفيذ تغير اللون الآن، مما يجعل من السهل ملاحظتها.
--وضع القافلة: مكافآت القافلة لم تعد تُرسل عبر البريد—تستلمها تلقائيًا عند اكتمال القافلة.
&lt;/"&amp;"ar&gt;
&lt;ja-JP&gt;
--新しいカードアルバム：様々なカードを収集し、他のプレイヤーと取引してセットを完成させ、スキンをアンロックしよう！
--ギルドシステム：アースクエイカーに関する情報がギルド日誌に記録されるようになりました。
--コリンの探索：進行中のクエストのアイコンがカラーで変化し、より見つけやすくなりました。
--輸送車モード：輸送車の報酬はメールで送信されなくなり、輸送車が完了すると自動的にあなたが受け取ります。
&lt;/ja-JP&gt;
&lt;ko-KR&gt;
--새로운 카드 앨범: 다양한 카드를 "&amp;"수집하고, 다른 플레이어들과 거래하여 세트를 완성하고, 스킨을 잠금 해제하세요!
--무리 시스템: 지진자와 관련된 정보가 이제 무리 일지에 기록됩니다.
--콜린의 탐험: 진행 중인 임무의 아이콘 색상이 변경되어 더 쉽게 찾을 수 있습니다.
--수송차 모드: 수송차 보상은 더 이상 메일로 보내지지 않으며, 수송차가 완료되면 자동으로 받기 처리됩니다.
&lt;/ko-KR&gt;
")</f>
        <v>&lt;en-US&gt;
--New Card Album: Collect different cards, trade with other players to complete sets, and unlock skins!
--Gang System: Info related to the Earthquaker is now recorded in the Gang Log.
--Colin’s Exploration: Icons for ongoing quests now change color, making them easier to spot.
--Convoy Mode: Convoy rewards are no longer sent by mail—you receive them automatically once the convoy is complete.
&lt;/en-US&gt;
&lt;fr-FR&gt;
--Nouvel Album de Cartes : Collectionnez différentes cartes, échangez avec d'autres joueurs pour compléter les collections et débloquer des skins !  
--Système de Gang : Les informations liées au Earthquaker sont désormais enregistrées dans le Journal du Gang.  
--Exploration de Colin : Les icônes des quêtes en cours changent désormais de couleur, ce qui les rend plus faciles à repérer.  
--Mode Convoi : Les récompenses de convoi ne sont plus envoyées par mail—vous les recevez automatiquement une fois le convoi terminé.
&lt;/fr-FR&gt;
&lt;de-DE&gt;
--Neues Kartenalbum: Sammle verschiedene Karten, tausche mit anderen Spielern, um Sets zu vervollständigen, und schalte Skins frei!  
--Clan-System: Infos zum Earthquaker werden jetzt im Clan-Logbuch protokolliert.  
--Colins Erkundung: Die Symbole für laufende Quests ändern jetzt die Farbe, sodass sie leichter zu erkennen sind.  
--Konvoi-Modus: Konvoi-Belohnungen werden nicht mehr per Mail gesendet – du erhältst sie automatisch, sobald der Konvoi abgeschlossen ist.
&lt;/de-DE&gt;
&lt;pt-BR&gt;
--Novo Álbum de Cartão: Colete diferentes cartões, troque com outros jogadores para completar conjuntos e desbloqueie skins!  
--Sistema de Gangue: Informações relacionadas ao Earthquaker agora são registradas no Registro da Gangue.  
--Exploração do Colin: Ícones para missões em andamento agora mudam de cor, tornando-os mais fáceis de identificar.  
--Modo Comboio: As recompensas de Comboio não são mais enviadas por correio—você as recebe automaticamente assim que o comboio for concluído.
&lt;/pt-BR&gt;
&lt;zh-HK&gt;
--新增集卡冊系統：玩家可以收集不同的卡牌，與其他玩家交換來集齊套卡，取得外觀獎勵！
--幫派系統優化：現在地震機的相關資訊會在幫派日誌中記載了。
--科林的探索優化：進行中的任務圖示會改變顏色，協助玩家識別。
--車隊運送玩法優化：車隊運送獎勵不再通過郵件分配，車隊運送任務完成後自動取得獎勵。
&lt;/zh-HK&gt;
&lt;zh-TW&gt;
--新增集卡冊系統：玩家可以收集不同的卡牌，與其他玩家交換來集齊套卡，取得外觀獎勵！
--幫派系統優化：現在地震機的相關資訊會在幫派日誌中記載了。
--科林的探索優化：進行中的任務圖示會改變顏色，協助玩家識別。
--車隊運送玩法優化：車隊運送獎勵不再通過郵件分配，車隊運送任務完成後自動取得獎勵。
&lt;/zh-TW&gt;
&lt;id&gt;
--Album Kartu Baru: Kumpulkan berbagai kartu, ganti dengan pemain lain untuk melengkapi set, dan buka kulit!
--Sistem Geng: Informasi terkait Earthquaker sekarang dicatat di LOG GENG.
--Eksplorasi Colin: Ikon untuk tantangan yang sedang berlangsung sekarang berubah warna, sehingga lebih mudah ditemukan.
--Mode Konvoi: Hadiah Konvoi tidak lagi dikirim melalui surat—Anda menerima hadiah secara otomatis setelah konvoi selesai.
&lt;/id&gt;
&lt;th&gt;
--อัลบั้มการ์ดใหม่: เก็บการ์ดต่างๆ แลกเปลี่ยนกับผู้เล่นคนอื่นเพื่อสะสมชุดให้ครบ และปลดล็อกสกิน!
--ระบบแก๊ง: ข้อมูลที่เกี่ยวข้องกับ Earthquaker จะถูกบันทึกไว้ในบันทึกแก๊งแล้ว
--การสำรวจของโคลิน: ไอคอนสำหรับเควสต์ที่กำลังทำการท้าทายจะเปลี่ยนสี ทำให้สังเกตได้ง่ายขึ้น
--โหมดรถคอนวอย: รางวัลการขนรถคอนวอยสำเร็จจะไม่ได้รับทางจดหมายอีกต่อไป—คุณจะได้รับรางวัลโดยอัตโนมัติเมื่อรถคอนวอยเสร็จสิ้น
&lt;/th&gt;
&lt;es-419&gt;
--Nuevo Álbum de Tarjetas: Recolecta diferentes tarjetas, intercambia con otros jugadores para completar colecciones y desbloquea texturas.&lt;br&gt;--Sistema de Banda: La información relacionada con el Earthquaker ahora se registra en el Registro de la Banda.&lt;br&gt;--Exploración de Colin: Los íconos de las misiones en curso ahora cambian de color, lo que facilita su identificación.&lt;br&gt;--Modo Escolta: Las recompensas de la escolta ya no se envían por correo; las recibes automáticamente una vez que la escolta se completa.
&lt;/es-419&gt;
&lt;ru-RU&gt;
--Новый альбом карт: Собирайте разные карты, обменивайтесь с другими игроками, чтобы завершить коллекции, и открывайте облики!
--Система банд: Сведения, связанные с Землетрясателем, теперь записываются в журнал банды.
--Исследование Колина: Значки для идущих заданий теперь меняют цвет, чтобы их было легче заметить.
--Режим каравана: Награды каравана больше не отправляются по почте — вы получаете их автоматически после завершения каравана.
&lt;/ru-RU&gt;
&lt;tr-TR&gt;
--Yeni Kart Albümü: Farklı kartları topla, diğer oyuncularla takas et, setleri tamamla ve görünümlerin kilidini aç!
--Çete Sistemi: Depremci ile ilgili bilgiler artık Çete Günlüğü'nde kaydediliyor.
--Colin’in Macerası: Devam eden maceralar için simgelerin rengi artık değişiyor, böylece onları fark etmek daha kolay.
--Konvoy Modu: Konvoy ödülleri artık posta ile gönderilmiyor—konvoy tamamlandığında ödülleri otomatik olarak alıyorsun.
&lt;/tr-TR&gt;
&lt;vi&gt;
--Album Thẻ Mới: Thu thập các thẻ khác nhau, thay thế với người chơi khác để hoàn thành bộ sưu tập, và mở khóa ngoại trang!
--Hệ Thống Bang Hội: Thông tin liên quan đến Earthquaker hiện đã được ghi lại trong Nhật Ký Bang Hội.
--Khám Phá của Colin: Biểu tượng cho các nhiệm vụ đang diễn ra giờ sẽ thay đổi màu sắc, giúp bạn dễ dàng nhận biết hơn.
--Chế Độ Xe Chuyên Chở: Phần thưởng Xe Chuyên Chở sẽ không còn được gửi qua thư—bạn nhận được tự động khi xe chuyên chở hoàn thành.
&lt;/vi&gt;
&lt;it-IT&gt;
--Nuovo Album di Carte: Raccogli carte diverse, scambia con altri giocatori per completare i set e sbloccare aspetti!
--Sistema Gang: Le informazioni relative all’Earthquaker sono ora registrate nel Registro della Gang.
--Esplorazione di Colin: Le icone delle missioni in corso ora cambiano colore, rendendole più facili da individuare.
--Modalità Convoglio: Le ricompense del convoglio non vengono più inviate tramite posta—le ricevi automaticamente una volta completato il convoglio.
&lt;/it-IT&gt;
&lt;pl-PL&gt;
--Nowy Album Kart: Zbieraj różne karty, wymieniaj się z innymi graczami, aby skompletować zestawy i odblokować skórki!
--System Gangów: Informacje związane z Earthquakerem są teraz rejestrowane w Dzienniku Gangu.
--Eksploracja Colina: Ikony zadań w toku teraz zmieniają kolor, co ułatwia ich zauważenie.
--Tryb Konwoju: Nagrody za Konwój nie są już wysyłane przez pocztę—otrzymujesz je automatycznie po ukończeniu konwoju.
&lt;/pl-PL&gt;
&lt;ar&gt;
--ألبوم البطاقات الجديد: جمع بطاقات مختلفة، وتاجر مع اللاعبين الآخرين لإكمال المجموعات، وفتح الزينة!
--نظام العصابة: معلومات متعلقة بـ Earthquaker يتم تسجيلها الآن في سجل العصابة.
--استكشاف كولن: أيقونات المهام قيد التنفيذ تغير اللون الآن، مما يجعل من السهل ملاحظتها.
--وضع القافلة: مكافآت القافلة لم تعد تُرسل عبر البريد—تستلمها تلقائيًا عند اكتمال القافلة.
&lt;/ar&gt;
&lt;ja-JP&gt;
--新しいカードアルバム：様々なカードを収集し、他のプレイヤーと取引してセットを完成させ、スキンをアンロックしよう！
--ギルドシステム：アースクエイカーに関する情報がギルド日誌に記録されるようになりました。
--コリンの探索：進行中のクエストのアイコンがカラーで変化し、より見つけやすくなりました。
--輸送車モード：輸送車の報酬はメールで送信されなくなり、輸送車が完了すると自動的にあなたが受け取ります。
&lt;/ja-JP&gt;
&lt;ko-KR&gt;
--새로운 카드 앨범: 다양한 카드를 수집하고, 다른 플레이어들과 거래하여 세트를 완성하고, 스킨을 잠금 해제하세요!
--무리 시스템: 지진자와 관련된 정보가 이제 무리 일지에 기록됩니다.
--콜린의 탐험: 진행 중인 임무의 아이콘 색상이 변경되어 더 쉽게 찾을 수 있습니다.
--수송차 모드: 수송차 보상은 더 이상 메일로 보내지지 않으며, 수송차가 완료되면 자동으로 받기 처리됩니다.
&lt;/ko-KR&gt;
</v>
      </c>
      <c r="C89" s="108" t="str">
        <f>IFERROR(__xludf.DUMMYFUNCTION("""COMPUTED_VALUE"""),"--新增集卡册系统：玩家可以收集不同的卡牌，与其他玩家交换来集齐套卡，获得外观奖励！
--帮派系统优化：现在地震机的相关信息会在帮派日志中记载了。
--科林的探索优化：正在进行中的任务图标会改变颜色，帮助玩家识别。
--押运玩法优化：押运奖励不再通过邮件发放，押运完成后自动获得奖励。")</f>
        <v>--新增集卡册系统：玩家可以收集不同的卡牌，与其他玩家交换来集齐套卡，获得外观奖励！
--帮派系统优化：现在地震机的相关信息会在帮派日志中记载了。
--科林的探索优化：正在进行中的任务图标会改变颜色，帮助玩家识别。
--押运玩法优化：押运奖励不再通过邮件发放，押运完成后自动获得奖励。</v>
      </c>
      <c r="D89" s="108" t="str">
        <f>IFERROR(__xludf.DUMMYFUNCTION("""COMPUTED_VALUE"""),"--New Card Album: Collect different cards, trade with other players to complete sets, and unlock skins!
--Gang System: Info related to the Earthquaker is now recorded in the Gang Log.
--Colin’s Exploration: Icons for ongoing quests now change color, makin"&amp;"g them easier to spot.
--Convoy Mode: Convoy rewards are no longer sent by mail—you receive them automatically once the convoy is complete.
")</f>
        <v>--New Card Album: Collect different cards, trade with other players to complete sets, and unlock skins!
--Gang System: Info related to the Earthquaker is now recorded in the Gang Log.
--Colin’s Exploration: Icons for ongoing quests now change color, making them easier to spot.
--Convoy Mode: Convoy rewards are no longer sent by mail—you receive them automatically once the convoy is complete.
</v>
      </c>
      <c r="E89" s="108" t="str">
        <f>IFERROR(__xludf.DUMMYFUNCTION("""COMPUTED_VALUE"""),"--Nouvel Album de Cartes : Collectionnez différentes cartes, échangez avec d'autres joueurs pour compléter les collections et débloquer des skins !  
--Système de Gang : Les informations liées au Earthquaker sont désormais enregistrées dans le Journal du "&amp;"Gang.  
--Exploration de Colin : Les icônes des quêtes en cours changent désormais de couleur, ce qui les rend plus faciles à repérer.  
--Mode Convoi : Les récompenses de convoi ne sont plus envoyées par mail—vous les recevez automatiquement une fois le "&amp;"convoi terminé.")</f>
        <v>--Nouvel Album de Cartes : Collectionnez différentes cartes, échangez avec d'autres joueurs pour compléter les collections et débloquer des skins !  
--Système de Gang : Les informations liées au Earthquaker sont désormais enregistrées dans le Journal du Gang.  
--Exploration de Colin : Les icônes des quêtes en cours changent désormais de couleur, ce qui les rend plus faciles à repérer.  
--Mode Convoi : Les récompenses de convoi ne sont plus envoyées par mail—vous les recevez automatiquement une fois le convoi terminé.</v>
      </c>
      <c r="F89" s="108" t="str">
        <f>IFERROR(__xludf.DUMMYFUNCTION("""COMPUTED_VALUE"""),"--Neues Kartenalbum: Sammle verschiedene Karten, tausche mit anderen Spielern, um Sets zu vervollständigen, und schalte Skins frei!  
--Clan-System: Infos zum Earthquaker werden jetzt im Clan-Logbuch protokolliert.  
--Colins Erkundung: Die Symbole für la"&amp;"ufende Quests ändern jetzt die Farbe, sodass sie leichter zu erkennen sind.  
--Konvoi-Modus: Konvoi-Belohnungen werden nicht mehr per Mail gesendet – du erhältst sie automatisch, sobald der Konvoi abgeschlossen ist.")</f>
        <v>--Neues Kartenalbum: Sammle verschiedene Karten, tausche mit anderen Spielern, um Sets zu vervollständigen, und schalte Skins frei!  
--Clan-System: Infos zum Earthquaker werden jetzt im Clan-Logbuch protokolliert.  
--Colins Erkundung: Die Symbole für laufende Quests ändern jetzt die Farbe, sodass sie leichter zu erkennen sind.  
--Konvoi-Modus: Konvoi-Belohnungen werden nicht mehr per Mail gesendet – du erhältst sie automatisch, sobald der Konvoi abgeschlossen ist.</v>
      </c>
      <c r="G89" s="108" t="str">
        <f>IFERROR(__xludf.DUMMYFUNCTION("""COMPUTED_VALUE"""),"--Novo Álbum de Cartão: Colete diferentes cartões, troque com outros jogadores para completar conjuntos e desbloqueie skins!  
--Sistema de Gangue: Informações relacionadas ao Earthquaker agora são registradas no Registro da Gangue.  
--Exploração do Coli"&amp;"n: Ícones para missões em andamento agora mudam de cor, tornando-os mais fáceis de identificar.  
--Modo Comboio: As recompensas de Comboio não são mais enviadas por correio—você as recebe automaticamente assim que o comboio for concluído.")</f>
        <v>--Novo Álbum de Cartão: Colete diferentes cartões, troque com outros jogadores para completar conjuntos e desbloqueie skins!  
--Sistema de Gangue: Informações relacionadas ao Earthquaker agora são registradas no Registro da Gangue.  
--Exploração do Colin: Ícones para missões em andamento agora mudam de cor, tornando-os mais fáceis de identificar.  
--Modo Comboio: As recompensas de Comboio não são mais enviadas por correio—você as recebe automaticamente assim que o comboio for concluído.</v>
      </c>
      <c r="H89" s="108" t="str">
        <f>IFERROR(__xludf.DUMMYFUNCTION("""COMPUTED_VALUE"""),"--新增集卡冊系統：玩家可以收集不同的卡牌，與其他玩家交換來集齊套卡，取得外觀獎勵！
--幫派系統優化：現在地震機的相關資訊會在幫派日誌中記載了。
--科林的探索優化：進行中的任務圖示會改變顏色，協助玩家識別。
--車隊運送玩法優化：車隊運送獎勵不再通過郵件分配，車隊運送任務完成後自動取得獎勵。")</f>
        <v>--新增集卡冊系統：玩家可以收集不同的卡牌，與其他玩家交換來集齊套卡，取得外觀獎勵！
--幫派系統優化：現在地震機的相關資訊會在幫派日誌中記載了。
--科林的探索優化：進行中的任務圖示會改變顏色，協助玩家識別。
--車隊運送玩法優化：車隊運送獎勵不再通過郵件分配，車隊運送任務完成後自動取得獎勵。</v>
      </c>
      <c r="I89" s="108" t="str">
        <f>IFERROR(__xludf.DUMMYFUNCTION("""COMPUTED_VALUE"""),"--Album Kartu Baru: Kumpulkan berbagai kartu, ganti dengan pemain lain untuk melengkapi set, dan buka kulit!
--Sistem Geng: Informasi terkait Earthquaker sekarang dicatat di LOG GENG.
--Eksplorasi Colin: Ikon untuk tantangan yang sedang berlangsung sekara"&amp;"ng berubah warna, sehingga lebih mudah ditemukan.
--Mode Konvoi: Hadiah Konvoi tidak lagi dikirim melalui surat—Anda menerima hadiah secara otomatis setelah konvoi selesai.")</f>
        <v>--Album Kartu Baru: Kumpulkan berbagai kartu, ganti dengan pemain lain untuk melengkapi set, dan buka kulit!
--Sistem Geng: Informasi terkait Earthquaker sekarang dicatat di LOG GENG.
--Eksplorasi Colin: Ikon untuk tantangan yang sedang berlangsung sekarang berubah warna, sehingga lebih mudah ditemukan.
--Mode Konvoi: Hadiah Konvoi tidak lagi dikirim melalui surat—Anda menerima hadiah secara otomatis setelah konvoi selesai.</v>
      </c>
      <c r="J89" s="108" t="str">
        <f>IFERROR(__xludf.DUMMYFUNCTION("""COMPUTED_VALUE"""),"--อัลบั้มการ์ดใหม่: เก็บการ์ดต่างๆ แลกเปลี่ยนกับผู้เล่นคนอื่นเพื่อสะสมชุดให้ครบ และปลดล็อกสกิน!
--ระบบแก๊ง: ข้อมูลที่เกี่ยวข้องกับ Earthquaker จะถูกบันทึกไว้ในบันทึกแก๊งแล้ว
--การสำรวจของโคลิน: ไอคอนสำหรับเควสต์ที่กำลังทำการท้าทายจะเปลี่ยนสี ทำให้สังเกตได"&amp;"้ง่ายขึ้น
--โหมดรถคอนวอย: รางวัลการขนรถคอนวอยสำเร็จจะไม่ได้รับทางจดหมายอีกต่อไป—คุณจะได้รับรางวัลโดยอัตโนมัติเมื่อรถคอนวอยเสร็จสิ้น")</f>
        <v>--อัลบั้มการ์ดใหม่: เก็บการ์ดต่างๆ แลกเปลี่ยนกับผู้เล่นคนอื่นเพื่อสะสมชุดให้ครบ และปลดล็อกสกิน!
--ระบบแก๊ง: ข้อมูลที่เกี่ยวข้องกับ Earthquaker จะถูกบันทึกไว้ในบันทึกแก๊งแล้ว
--การสำรวจของโคลิน: ไอคอนสำหรับเควสต์ที่กำลังทำการท้าทายจะเปลี่ยนสี ทำให้สังเกตได้ง่ายขึ้น
--โหมดรถคอนวอย: รางวัลการขนรถคอนวอยสำเร็จจะไม่ได้รับทางจดหมายอีกต่อไป—คุณจะได้รับรางวัลโดยอัตโนมัติเมื่อรถคอนวอยเสร็จสิ้น</v>
      </c>
      <c r="K89" s="108" t="str">
        <f>IFERROR(__xludf.DUMMYFUNCTION("""COMPUTED_VALUE"""),"--Nuevo Álbum de Tarjetas: Recolecta diferentes tarjetas, intercambia con otros jugadores para completar colecciones y desbloquea texturas.&lt;br&gt;--Sistema de Banda: La información relacionada con el Earthquaker ahora se registra en el Registro de la Banda.&lt;"&amp;"br&gt;--Exploración de Colin: Los íconos de las misiones en curso ahora cambian de color, lo que facilita su identificación.&lt;br&gt;--Modo Escolta: Las recompensas de la escolta ya no se envían por correo; las recibes automáticamente una vez que la escolta se co"&amp;"mpleta.")</f>
        <v>--Nuevo Álbum de Tarjetas: Recolecta diferentes tarjetas, intercambia con otros jugadores para completar colecciones y desbloquea texturas.&lt;br&gt;--Sistema de Banda: La información relacionada con el Earthquaker ahora se registra en el Registro de la Banda.&lt;br&gt;--Exploración de Colin: Los íconos de las misiones en curso ahora cambian de color, lo que facilita su identificación.&lt;br&gt;--Modo Escolta: Las recompensas de la escolta ya no se envían por correo; las recibes automáticamente una vez que la escolta se completa.</v>
      </c>
      <c r="L89" s="108" t="str">
        <f>IFERROR(__xludf.DUMMYFUNCTION("""COMPUTED_VALUE"""),"--Новый альбом карт: Собирайте разные карты, обменивайтесь с другими игроками, чтобы завершить коллекции, и открывайте облики!
--Система банд: Сведения, связанные с Землетрясателем, теперь записываются в журнал банды.
--Исследование Колина: Значки для иду"&amp;"щих заданий теперь меняют цвет, чтобы их было легче заметить.
--Режим каравана: Награды каравана больше не отправляются по почте — вы получаете их автоматически после завершения каравана.")</f>
        <v>--Новый альбом карт: Собирайте разные карты, обменивайтесь с другими игроками, чтобы завершить коллекции, и открывайте облики!
--Система банд: Сведения, связанные с Землетрясателем, теперь записываются в журнал банды.
--Исследование Колина: Значки для идущих заданий теперь меняют цвет, чтобы их было легче заметить.
--Режим каравана: Награды каравана больше не отправляются по почте — вы получаете их автоматически после завершения каравана.</v>
      </c>
      <c r="M89" s="108" t="str">
        <f>IFERROR(__xludf.DUMMYFUNCTION("""COMPUTED_VALUE"""),"--Yeni Kart Albümü: Farklı kartları topla, diğer oyuncularla takas et, setleri tamamla ve görünümlerin kilidini aç!
--Çete Sistemi: Depremci ile ilgili bilgiler artık Çete Günlüğü'nde kaydediliyor.
--Colin’in Macerası: Devam eden maceralar için simgelerin"&amp;" rengi artık değişiyor, böylece onları fark etmek daha kolay.
--Konvoy Modu: Konvoy ödülleri artık posta ile gönderilmiyor—konvoy tamamlandığında ödülleri otomatik olarak alıyorsun.")</f>
        <v>--Yeni Kart Albümü: Farklı kartları topla, diğer oyuncularla takas et, setleri tamamla ve görünümlerin kilidini aç!
--Çete Sistemi: Depremci ile ilgili bilgiler artık Çete Günlüğü'nde kaydediliyor.
--Colin’in Macerası: Devam eden maceralar için simgelerin rengi artık değişiyor, böylece onları fark etmek daha kolay.
--Konvoy Modu: Konvoy ödülleri artık posta ile gönderilmiyor—konvoy tamamlandığında ödülleri otomatik olarak alıyorsun.</v>
      </c>
      <c r="N89" s="108" t="str">
        <f>IFERROR(__xludf.DUMMYFUNCTION("""COMPUTED_VALUE"""),"--Album Thẻ Mới: Thu thập các thẻ khác nhau, thay thế với người chơi khác để hoàn thành bộ sưu tập, và mở khóa ngoại trang!
--Hệ Thống Bang Hội: Thông tin liên quan đến Earthquaker hiện đã được ghi lại trong Nhật Ký Bang Hội.
--Khám Phá của Colin: Biểu tư"&amp;"ợng cho các nhiệm vụ đang diễn ra giờ sẽ thay đổi màu sắc, giúp bạn dễ dàng nhận biết hơn.
--Chế Độ Xe Chuyên Chở: Phần thưởng Xe Chuyên Chở sẽ không còn được gửi qua thư—bạn nhận được tự động khi xe chuyên chở hoàn thành.")</f>
        <v>--Album Thẻ Mới: Thu thập các thẻ khác nhau, thay thế với người chơi khác để hoàn thành bộ sưu tập, và mở khóa ngoại trang!
--Hệ Thống Bang Hội: Thông tin liên quan đến Earthquaker hiện đã được ghi lại trong Nhật Ký Bang Hội.
--Khám Phá của Colin: Biểu tượng cho các nhiệm vụ đang diễn ra giờ sẽ thay đổi màu sắc, giúp bạn dễ dàng nhận biết hơn.
--Chế Độ Xe Chuyên Chở: Phần thưởng Xe Chuyên Chở sẽ không còn được gửi qua thư—bạn nhận được tự động khi xe chuyên chở hoàn thành.</v>
      </c>
      <c r="O89" s="108" t="str">
        <f>IFERROR(__xludf.DUMMYFUNCTION("""COMPUTED_VALUE"""),"--Nuovo Album di Carte: Raccogli carte diverse, scambia con altri giocatori per completare i set e sbloccare aspetti!
--Sistema Gang: Le informazioni relative all’Earthquaker sono ora registrate nel Registro della Gang.
--Esplorazione di Colin: Le icone d"&amp;"elle missioni in corso ora cambiano colore, rendendole più facili da individuare.
--Modalità Convoglio: Le ricompense del convoglio non vengono più inviate tramite posta—le ricevi automaticamente una volta completato il convoglio.")</f>
        <v>--Nuovo Album di Carte: Raccogli carte diverse, scambia con altri giocatori per completare i set e sbloccare aspetti!
--Sistema Gang: Le informazioni relative all’Earthquaker sono ora registrate nel Registro della Gang.
--Esplorazione di Colin: Le icone delle missioni in corso ora cambiano colore, rendendole più facili da individuare.
--Modalità Convoglio: Le ricompense del convoglio non vengono più inviate tramite posta—le ricevi automaticamente una volta completato il convoglio.</v>
      </c>
      <c r="P89" s="34" t="str">
        <f>IFERROR(__xludf.DUMMYFUNCTION("""COMPUTED_VALUE"""),"--Nowy Album Kart: Zbieraj różne karty, wymieniaj się z innymi graczami, aby skompletować zestawy i odblokować skórki!
--System Gangów: Informacje związane z Earthquakerem są teraz rejestrowane w Dzienniku Gangu.
--Eksploracja Colina: Ikony zadań w toku t"&amp;"eraz zmieniają kolor, co ułatwia ich zauważenie.
--Tryb Konwoju: Nagrody za Konwój nie są już wysyłane przez pocztę—otrzymujesz je automatycznie po ukończeniu konwoju.")</f>
        <v>--Nowy Album Kart: Zbieraj różne karty, wymieniaj się z innymi graczami, aby skompletować zestawy i odblokować skórki!
--System Gangów: Informacje związane z Earthquakerem są teraz rejestrowane w Dzienniku Gangu.
--Eksploracja Colina: Ikony zadań w toku teraz zmieniają kolor, co ułatwia ich zauważenie.
--Tryb Konwoju: Nagrody za Konwój nie są już wysyłane przez pocztę—otrzymujesz je automatycznie po ukończeniu konwoju.</v>
      </c>
      <c r="Q89" s="34" t="str">
        <f>IFERROR(__xludf.DUMMYFUNCTION("""COMPUTED_VALUE"""),"--ألبوم البطاقات الجديد: جمع بطاقات مختلفة، وتاجر مع اللاعبين الآخرين لإكمال المجموعات، وفتح الزينة!
--نظام العصابة: معلومات متعلقة بـ Earthquaker يتم تسجيلها الآن في سجل العصابة.
--استكشاف كولن: أيقونات المهام قيد التنفيذ تغير اللون الآن، مما يجعل من الس"&amp;"هل ملاحظتها.
--وضع القافلة: مكافآت القافلة لم تعد تُرسل عبر البريد—تستلمها تلقائيًا عند اكتمال القافلة.")</f>
        <v>--ألبوم البطاقات الجديد: جمع بطاقات مختلفة، وتاجر مع اللاعبين الآخرين لإكمال المجموعات، وفتح الزينة!
--نظام العصابة: معلومات متعلقة بـ Earthquaker يتم تسجيلها الآن في سجل العصابة.
--استكشاف كولن: أيقونات المهام قيد التنفيذ تغير اللون الآن، مما يجعل من السهل ملاحظتها.
--وضع القافلة: مكافآت القافلة لم تعد تُرسل عبر البريد—تستلمها تلقائيًا عند اكتمال القافلة.</v>
      </c>
      <c r="R89" s="34" t="str">
        <f>IFERROR(__xludf.DUMMYFUNCTION("""COMPUTED_VALUE"""),"--新しいカードアルバム：様々なカードを収集し、他のプレイヤーと取引してセットを完成させ、スキンをアンロックしよう！
--ギルドシステム：アースクエイカーに関する情報がギルド日誌に記録されるようになりました。
--コリンの探索：進行中のクエストのアイコンがカラーで変化し、より見つけやすくなりました。
--輸送車モード：輸送車の報酬はメールで送信されなくなり、輸送車が完了すると自動的にあなたが受け取ります。")</f>
        <v>--新しいカードアルバム：様々なカードを収集し、他のプレイヤーと取引してセットを完成させ、スキンをアンロックしよう！
--ギルドシステム：アースクエイカーに関する情報がギルド日誌に記録されるようになりました。
--コリンの探索：進行中のクエストのアイコンがカラーで変化し、より見つけやすくなりました。
--輸送車モード：輸送車の報酬はメールで送信されなくなり、輸送車が完了すると自動的にあなたが受け取ります。</v>
      </c>
      <c r="S89" s="34" t="str">
        <f>IFERROR(__xludf.DUMMYFUNCTION("""COMPUTED_VALUE"""),"--새로운 카드 앨범: 다양한 카드를 수집하고, 다른 플레이어들과 거래하여 세트를 완성하고, 스킨을 잠금 해제하세요!
--무리 시스템: 지진자와 관련된 정보가 이제 무리 일지에 기록됩니다.
--콜린의 탐험: 진행 중인 임무의 아이콘 색상이 변경되어 더 쉽게 찾을 수 있습니다.
--수송차 모드: 수송차 보상은 더 이상 메일로 보내지지 않으며, 수송차가 완료되면 자동으로 받기 처리됩니다.")</f>
        <v>--새로운 카드 앨범: 다양한 카드를 수집하고, 다른 플레이어들과 거래하여 세트를 완성하고, 스킨을 잠금 해제하세요!
--무리 시스템: 지진자와 관련된 정보가 이제 무리 일지에 기록됩니다.
--콜린의 탐험: 진행 중인 임무의 아이콘 색상이 변경되어 더 쉽게 찾을 수 있습니다.
--수송차 모드: 수송차 보상은 더 이상 메일로 보내지지 않으며, 수송차가 완료되면 자동으로 받기 처리됩니다.</v>
      </c>
      <c r="T89" s="108"/>
      <c r="U89" s="108"/>
      <c r="V89" s="108"/>
      <c r="W89" s="108"/>
      <c r="X89" s="108"/>
      <c r="Y89" s="108"/>
      <c r="Z89" s="108"/>
    </row>
    <row r="90">
      <c r="A90" s="108" t="str">
        <f>IFERROR(__xludf.DUMMYFUNCTION("""COMPUTED_VALUE"""),"0.83.0")</f>
        <v>0.83.0</v>
      </c>
      <c r="B90" s="108" t="str">
        <f>IFERROR(__xludf.DUMMYFUNCTION("""COMPUTED_VALUE"""),"&lt;en-US&gt;
-New Fighter: Cosmic Pathfinder-Elliot, A mysterious streak of light across the night sky, chasing dreams beyond the stars! Can be obtained from the ""Ultimate Monkey"" event.
-New Tank Destroyer: Devastator, a counter-carrier specialist that deal"&amp;"s heavy damage and slows enemy carriers!
-New Fighter Statues: Professor Kim, Vidoc, and Axel. Add more brilliance to your city!
-Equipment System: Added Memory Reforge mode. In Memory Reforge, the value range of locked attributes will now be refreshed at"&amp;" random.
-Gang System: Improved the automatic leadership transfer rules for the Gang Leader.
-Champion Brawl: Fixed an issue where Towers could not be attacked properly to gain buff effects.
&lt;/en-US&gt;
&lt;fr-FR&gt;
-Nouveau combattant : Éclaireur cosmique-Elliot"&amp;", une mystérieuse traînée de lumière traverse le ciel nocturne, poursuivant des rêves au-delà des étoiles ! Peut être obtenu lors de l'évènement ""LE SINGE ULTIME"".
-Nouveau destructeur de char : Dévastateur, un spécialiste anti-transporteurs qui inflige"&amp;" de lourds dégâts et ralentit les transporteurs ennemis !
-Nouvelles statues de combattant : Professeur Kim, Vidoc et Axel. Ajoutez plus d’éclat à votre ville !
-Système d’équipement : Ajout du mode Reforge Mémoire. En Reforge Mémoire, la plage de valeur "&amp;"des attributs verrouillés sera désormais actualisée aléatoirement.
-Système de gang : Amélioration des règles de transfert automatique du chef du gang.
-Choc des champions : Correction d’un problème où les tours ne pouvaient pas être attaquées correctemen"&amp;"t pour obtenir des effets de boost.
&lt;/fr-FR&gt;
&lt;de-DE&gt;
-Neuer Kämpfer: Kosmischer Pfadfinder-Elliot, ein geheimnisvoller Lichtstreif am Nachthimmel, der Träumen jenseits der Sterne nachjagt! Kann im „Ultimativer Affe“-Event erhalten werden.
-Neuer Panzer-Ze"&amp;"rstörer: Verwüster, ein Gegen-Träger-Spezialist, der Massivschaden verursacht und feindliche Träger verlangsamt!
-Neue Kämpfer-Statuen: Professor Kim, Vidoc und Axel. Füge deiner Stadt noch mehr Glanz hinzu!
-Ausrüstungssystem: Modus „Memory Reforge“ hinz"&amp;"ugefügt. Im Memory Reforge wird der Wertebereich gesperrter Attribute nun zufällig aktualisiert.
-Clan-System: Die Regeln für die automatische Führungsübertragung des Clan-Anführers wurden verbessert.
-Champion-Schlägerei: Ein Problem wurde behoben, bei d"&amp;"em Türme nicht richtig angegriffen werden konnten, um Buff-Effekte zu erhalten.
&lt;/de-DE&gt;
&lt;pt-BR&gt;
-Novo combatente: Desbravador Cósmico-Elliot, Um misterioso rastro de luz atravessa o céu noturno, perseguindo sonhos além das estrelas! Pode ser obtido no ev"&amp;"ento ""MACACO SUPREMO"".
-Novo Destruidor de Tanques: Devastador, um especialista contra transportadores que causa dano pesado e retarda os transportadores inimigos!
-Novas Estátuas Combatentes: Professor Kim, Vidoc e Axel. Adicione mais brilho à sua cida"&amp;"de!
-Sistema de Equipamentos: Adicionado o modo Reforjar Memória. No Reforjar Memória, o intervalo de valor dos atributos trancados agora será renovado aleatoriamente.
-Sistema de Gangue: Melhoradas as regras de transferência automática de liderança para "&amp;"o Líder da gangue.
-Briga de Campeões: Corrigido um problema onde as Torres não podiam ser atacadas corretamente para obter efeitos de auxílio.
&lt;/pt-BR&gt;
&lt;zh-HK&gt;
-新增鬥士：天外探索者-艾里奧特，夜空中的謎之閃光，遨遊天外的追夢者！可通過「最強猴子」活動取得。
-新增反裝甲戰車：破壞者號，能反制敵方戰車，造成高額傷害和減速效果！
-新增鬥士雕像：金"&amp;"教授、維多克、阿克塞爾，來為你的城市增添更多光彩吧！
-戰裝系統：新增記憶重鑄模式。記憶重鑄模式下，鎖定屬性的數值範圍將會被隨機刷新。
-幫派系統優化：優化了幫派首領的自動轉讓機制。
-精英競技場優化：修復地圖中無法正常攻擊防禦塔取得增益效果的問題。
&lt;/zh-HK&gt;
&lt;zh-TW&gt;
-新增鬥士：天外探索者-艾里奧特，夜空中的謎之閃光，遨遊天外的追夢者！可通過「最強猴子」活動取得。
-新增反裝甲戰車：破壞者號，能反制敵方戰車，造成高額傷害和減速效果！
-新增鬥士雕像：金教授、維多克、阿克塞爾，來為你的城市"&amp;"增添更多光彩吧！
-戰裝系統：新增記憶重鑄模式。記憶重鑄模式下，鎖定屬性的數值範圍將會被隨機刷新。
-幫派系統優化：優化了幫派首領的自動轉讓機制。
-精英競技場優化：修復地圖中無法正常攻擊防禦塔取得增益效果的問題。
&lt;/zh-TW&gt;
&lt;id&gt;
-Pejuang Baru: Perintis Kosmik-Elliot, Garis cahaya misterius melintasi langit malam, mengejar mimpi di luar bintang-bintang! Dapat d"&amp;"iperoleh dari event ""KERA YANG TANGGUH"".
-Penghancur Tank Baru: Penghancur Dahsyat, spesialis counter-pembawa barang yang memberikan rusak parah dan memperlambat pembawa barang musuh!
-Patung Pejuang Baru: Professor Kim, Vidoc, dan Axel. Tambahkan lebih"&amp;" banyak kemilau ke kota kamu!
-Sistem Peralatan: Mode Memory Reforge telah ditambahkan. Dalam Memory Reforge, rentang nilai atribut yang dikunci sekarang akan di-refresh secara acak.
-Sistem Geng: Meningkatkan peraturan transfer otomatis kepemimpinan untu"&amp;"k Kapten Geng.
-Perkelahian Elite: Memperbaiki masalah di mana Menara tidak dapat diserang dengan benar untuk mendapatkan efek keunggulan.
&lt;/id&gt;
&lt;th&gt;
-นักสู้ตัวใหม่: นักบุกเบิกแห่งคอสโม-เอลเลียต, แสงลึกลับพาดผ่านท้องฟ้ายามค่ำคืน ไล่ตามความฝันที่อยู่เหนือด"&amp;"วงดาว! สามารถรับได้จากกิจกรรม ""ลิงขั้นเทพ""
-จอมทำลายรถถังตัวใหม่: จอมทำลายล้าง, ผู้เชี่ยวชาญในการต่อต้านลิงขนส่งที่สร้างแดเมจรุนแรงและทำให้ลิงขนส่งของศัตรูเคลื่อนที่ช้าลง!
-รูปปั้นนักสู้ใหม่: ศาสตราจารย์คิม, วิโดค และแอ็กเซล เพิ่มความโดดเด่นให้กับเมืองข"&amp;"องคุณ!
-ระบบอุปกรณ์: เพิ่มโหมดรีฟอร์จความทรงจำ ในโหมดนี้ ช่วงมูลค่าของคุณสมบัติที่ล็อกจะถูกรีเฟรชแบบสุ่ม
-ระบบแก๊ง: ปรับปรุงกฎการโอนผู้นำแก๊งค์อัตโนมัติให้ดีขึ้น
-อารีน่าอีลิท: แก้ไขปัญหาที่หอคอยไม่สามารถถูกโจมตีเพื่อรับบัฟได้อย่างถูกต้อง
&lt;/th&gt;
&lt;es-419&gt;
-"&amp;"Nuevo Luchador: Pionero Cósmico-Elliot, ¡Una misteriosa estela de luz cruza el cielo nocturno, persiguiendo sueños más allá de las estrellas! Se puede obtener en el evento ""MONO SUPREMO"".
-Nuevo Destructor de Tanques: Devastador, un especialista contra "&amp;"transportadores que inflige alto daño y ralentiza los transportadores enemigos.
-Nuevas Estatuas de Luchador: Profesor Kim, Vidoc y Axel. ¡Añade más brillo a tu ciudad!
-Sistema de Equipamiento: Se añadió el modo de Reforja de Memoria. En Reforja de Memor"&amp;"ia, el rango de valor de los atributos bloqueados ahora se actualizará al azar.
-Sistema de Banda: Se mejoraron las reglas de transferencia automática de liderazgo para el Líder de la Banda.
-Pelea de campeones: Se solucionó un problema donde las Torres n"&amp;"o podían ser atacadas correctamente para obtener efectos de mejora.
&lt;/es-419&gt;
&lt;ru-RU&gt;
-Новый герой: Космический Первопроходец — Эллиот. Таинственная полоса света в ночном небе, преследующая мечты за пределами звезд! Можно получить на событии «ВЕЛИКАЯ ОБЕЗ"&amp;"ЬЯНА».
-Новый Уничтожитель танков: Опустошитель — специалист по борьбе с перевозчиками, наносит тяжелый урон и замедляет вражеские перевозчики!
-Новые статуи героев: Профессор Ким, Видок и Аксель. Добавьте еще больше блеска вашему городу!
-Система экипиро"&amp;"вки: добавлен режим Перековки памяти. В Перековке памяти диапазон значений заблокированных показателей теперь будет обновляться случайным образом.
-Система банд: улучшены правила автоматической передачи лидерства Лидеру банды.
-Потасовка чемпионов: исправ"&amp;"лена проблема, из-за которой Башни нельзя было правильно атаковать для получения эффектов усиления.
&lt;/ru-RU&gt;
&lt;tr-TR&gt;
-Yeni Savaşçı: Kozmik Yol Bulucu-Elliot, gece gökyüzünde gizemli bir ışık çizgisi, yıldızların ötesindeki hayallerin peşinde! ""En Üstün M"&amp;"aymun"" etkinliğinden edinilebilir.
-Yeni Tank Yok Edici: Yıkıcı, ağır hasar veren ve düşman taşıyıcılarını yavaşlatan bir karşı-taşıyıcı uzmanı!
-Yeni Savaşçı Heykelleri: Profesör Kim, Vidoc ve Axel. Şehrine daha fazla parlaklık kat!
-Ekipman Sistemi: Be"&amp;"llek Yeniden Dövme modu eklendi. Bellek Yeniden Dövme’de, kilitli niteliklerin değer aralığı artık rastgele yenilenecek.
-Çete Sistemi: Çete Lideri için otomatik liderlik devri kuralları geliştirildi.
-Şampiyonlar Kavgası: Kulelerin düzgün şekilde saldırı"&amp;"lamayarak güçlendirici etkiler kazanılamaması sorunu düzeltildi.
&lt;/tr-TR&gt;
&lt;vi&gt;
-Chiến Binh Mới: Người Dò Đường Vũ Trụ-Elliot, Một vệt sáng bí ẩn băng qua bầu trời đêm, theo đuổi những giấc mơ vượt ra ngoài các vì sao! Có thể nhận được từ sự kiện ""CHÚA KH"&amp;"Ỉ TỐI CAO"".
-Kẻ Hủy Diệt Xe Tăng Mới: Kẻ Tàn Phá, chuyên gia phản công người vận chuyển, gây S.Thương Nặng và làm chậm người vận chuyển của địch!
-Tượng Chiến Binh Mới: Giáo Sư Kim, Vidoc, và Axel. Thêm sự rực rỡ cho THÀNH PHỐ của bạn!
-Hệ Thống Trang Bị"&amp;": Đã thêm chế độ Rèn Ký Ức. Trong Rèn Ký Ức, phạm vi giá trị của thuộc tính đã khóa sẽ được làm mới ngẫu nhiên.
-Hệ Thống Bang Hội: Cải thiện quy tắc chuyển giao Đội Trưởng tự động cho Thủ Lĩnh Bang Hội.
-Đấu Trường Tinh Anh: Đã sửa lỗi khiến Tháp không t"&amp;"hể bị tấn công đúng cách để nhận hiệu ứng Hiệu Ứng Có Lợi.
&lt;/vi&gt;
&lt;it-IT&gt;
-Nuovo Combattente: Pioniere Cosmico-Elliot, una misteriosa scia di luce attraversa il cielo notturno, inseguendo sogni oltre le stelle! Può essere ottenuto dall’evento ""SCIMMIA SUP"&amp;"REMA"".
-Nuovo Distruttore di carri armati: Devastatore, uno specialista anti-trasportatori che infligge danni pesanti e rallenta i trasportatori nemici!
-Nuove Statue dei Combattenti: Professor Kim, Vidoc e Axel. Dona ancora più splendore alla tua città!"&amp;"
-Sistema Equipaggiamento: Aggiunta la modalità Riforgiatura della Memoria. In Riforgiatura della Memoria, il valore dell’intervallo degli attributi bloccati verrà ora aggiornato casualmente.
-Sistema Gang: Migliorate le regole di trasferimento automatico"&amp;" della leadership per il Leader della Gang.
-Rissa dei campioni: Risolto un problema per cui le Torri non potevano essere attaccate correttamente per ottenere effetti beneficio.
&lt;/it-IT&gt;
&lt;pl-PL&gt;
-Nowy Wojownik: Kosmiczny Pionier-Elliot, tajemniczy ślad św"&amp;"iatła na nocnym niebie, goniący marzenia poza gwiazdami! Można go uzyskać podczas wydarzenia ""UBERMAŁPA"".
-Nowy Niszczyciel czołgów: Dewastator, specjalista do walki z transportowcami, który zadaje ciężkie uszkodzenia i spowalnia wrogie transportowce!
-"&amp;"Nowe Pomniki Wojownika: Profesor Kim, Vidoc i Axel. Dodaj więcej blasku swojemu miastu!
-System Ekwipunku: Dodano tryb Przekształcania Pamięci. W Przekształcaniu Pamięci zakres wartości zablokowanych atrybutów będzie teraz odświeżany losowo.
-System Gangu"&amp;": Ulepszono reguły automatycznego przekazywania przywództwa Przywódcy Gangu.
-Bijatyka Mistrzów: Naprawiono problem, w którym Wieże nie mogły być prawidłowo atakowane w celu uzyskania efektów wzmocnienia.
&lt;/pl-PL&gt;
&lt;ar&gt;
-مقاتل جديد: مكتشف المسارات الكوني-إ"&amp;"ليوت، شعاع غامض من الضوء يعبر سماء الليل، يطارد الأحلام خلف النجوم! يمكن الحصول عليه من حدث ""القرد الخارق"".
-مدمر دبابات جديد: المدمر، متخصص في مواجهة الناقلات يسبب أضرارًا جسيمة ويبطئ ناقلات العدو!
-تماثيل مقاتلين جديدة: البروفيسور كيم، فيدوك، وأكسل. أ"&amp;"ضف المزيد من التألق إلى مدينتك!
-نظام المعدات: تمت إضافة وضع إعادة تشكيل الذاكرة. في إعادة تشكيل الذاكرة، سيتم الآن تحديث نطاق قيمة السمات المقفلة بشكل عشوائي.
-نظام العصابة: تم تحسين قواعد نقل القيادة التلقائي لقائد العصابة.
-حلبة الأبطال: تم إصلاح مشكلة"&amp;" عدم إمكانية مهاجمة الأبراج بشكل صحيح للحصول على تأثيرات التعزيز.
&lt;/ar&gt;
&lt;ja-JP&gt;
-新しいファイター：コズミック開拓者-エリオット、夜空を横切る神秘的な光の軌跡、星々の彼方の夢を追いかけて！「究極のエイプ」イベントで取得可能です。
-新しいタンクデストロイヤー：デバステーター、重傷を与え、敵キャリアを減速させるカウンターキャリアスペシャリスト！
-新しいファイターの像：プロフェッサー・キム、ヴィドック、アクセル。あなたの都市にさ"&amp;"らなる輝きを追加！
-装備システム：メモリーリフォージモードを追加しました。メモリーリフォージでは、ロックされた属性の価値範囲がランダムに更新されます。
-ギルドシステム：ギルドリーダーの自動リーダーシップ移譲ルールを改善しました。
-エリート闘技場：タワーが正しく攻撃されずバフ効果を得られない問題を修正しました。
&lt;/ja-JP&gt;
&lt;ko-KR&gt;
-새로운 전사: 코즈믹 개척자-엘리엇, 밤하늘을 가로지르는 신비로운 빛줄기, 별 너머의 꿈을 쫓다! ""최강 원숭이"" 이벤트에서 획득할 수 "&amp;"있습니다.
-새로운 탱크 파괴자: 파괴자, 중상을 입히고 적 운반선 감속 효과를 가진 대운반선 전문가!
-새로운 전사 석상: 김 교수, 비독, 그리고 악셀. 당신의 도시에 더 많은 빛을 더하세요!
-장비 시스템: 메모리 리포지 모드가 추가되었습니다. 메모리 리포지에서는 잠금된 속성의 가치 사정거리가 이제 무작위로 갱신됩니다.
-무리 시스템: 무리 리더의 자동 리더십 이전 규칙이 개선되었습니다.
-정예 스타디움: 타워를 제대로 공격하여 버프 효과를 얻을 "&amp;"수 없는 문제를 수정했습니다.
&lt;/ko-KR&gt;
")</f>
        <v>&lt;en-US&gt;
-New Fighter: Cosmic Pathfinder-Elliot, A mysterious streak of light across the night sky, chasing dreams beyond the stars! Can be obtained from the "Ultimate Monkey" event.
-New Tank Destroyer: Devastator, a counter-carrier specialist that deals heavy damage and slows enemy carriers!
-New Fighter Statues: Professor Kim, Vidoc, and Axel. Add more brilliance to your city!
-Equipment System: Added Memory Reforge mode. In Memory Reforge, the value range of locked attributes will now be refreshed at random.
-Gang System: Improved the automatic leadership transfer rules for the Gang Leader.
-Champion Brawl: Fixed an issue where Towers could not be attacked properly to gain buff effects.
&lt;/en-US&gt;
&lt;fr-FR&gt;
-Nouveau combattant : Éclaireur cosmique-Elliot, une mystérieuse traînée de lumière traverse le ciel nocturne, poursuivant des rêves au-delà des étoiles ! Peut être obtenu lors de l'évènement "LE SINGE ULTIME".
-Nouveau destructeur de char : Dévastateur, un spécialiste anti-transporteurs qui inflige de lourds dégâts et ralentit les transporteurs ennemis !
-Nouvelles statues de combattant : Professeur Kim, Vidoc et Axel. Ajoutez plus d’éclat à votre ville !
-Système d’équipement : Ajout du mode Reforge Mémoire. En Reforge Mémoire, la plage de valeur des attributs verrouillés sera désormais actualisée aléatoirement.
-Système de gang : Amélioration des règles de transfert automatique du chef du gang.
-Choc des champions : Correction d’un problème où les tours ne pouvaient pas être attaquées correctement pour obtenir des effets de boost.
&lt;/fr-FR&gt;
&lt;de-DE&gt;
-Neuer Kämpfer: Kosmischer Pfadfinder-Elliot, ein geheimnisvoller Lichtstreif am Nachthimmel, der Träumen jenseits der Sterne nachjagt! Kann im „Ultimativer Affe“-Event erhalten werden.
-Neuer Panzer-Zerstörer: Verwüster, ein Gegen-Träger-Spezialist, der Massivschaden verursacht und feindliche Träger verlangsamt!
-Neue Kämpfer-Statuen: Professor Kim, Vidoc und Axel. Füge deiner Stadt noch mehr Glanz hinzu!
-Ausrüstungssystem: Modus „Memory Reforge“ hinzugefügt. Im Memory Reforge wird der Wertebereich gesperrter Attribute nun zufällig aktualisiert.
-Clan-System: Die Regeln für die automatische Führungsübertragung des Clan-Anführers wurden verbessert.
-Champion-Schlägerei: Ein Problem wurde behoben, bei dem Türme nicht richtig angegriffen werden konnten, um Buff-Effekte zu erhalten.
&lt;/de-DE&gt;
&lt;pt-BR&gt;
-Novo combatente: Desbravador Cósmico-Elliot, Um misterioso rastro de luz atravessa o céu noturno, perseguindo sonhos além das estrelas! Pode ser obtido no evento "MACACO SUPREMO".
-Novo Destruidor de Tanques: Devastador, um especialista contra transportadores que causa dano pesado e retarda os transportadores inimigos!
-Novas Estátuas Combatentes: Professor Kim, Vidoc e Axel. Adicione mais brilho à sua cidade!
-Sistema de Equipamentos: Adicionado o modo Reforjar Memória. No Reforjar Memória, o intervalo de valor dos atributos trancados agora será renovado aleatoriamente.
-Sistema de Gangue: Melhoradas as regras de transferência automática de liderança para o Líder da gangue.
-Briga de Campeões: Corrigido um problema onde as Torres não podiam ser atacadas corretamente para obter efeitos de auxílio.
&lt;/pt-BR&gt;
&lt;zh-HK&gt;
-新增鬥士：天外探索者-艾里奧特，夜空中的謎之閃光，遨遊天外的追夢者！可通過「最強猴子」活動取得。
-新增反裝甲戰車：破壞者號，能反制敵方戰車，造成高額傷害和減速效果！
-新增鬥士雕像：金教授、維多克、阿克塞爾，來為你的城市增添更多光彩吧！
-戰裝系統：新增記憶重鑄模式。記憶重鑄模式下，鎖定屬性的數值範圍將會被隨機刷新。
-幫派系統優化：優化了幫派首領的自動轉讓機制。
-精英競技場優化：修復地圖中無法正常攻擊防禦塔取得增益效果的問題。
&lt;/zh-HK&gt;
&lt;zh-TW&gt;
-新增鬥士：天外探索者-艾里奧特，夜空中的謎之閃光，遨遊天外的追夢者！可通過「最強猴子」活動取得。
-新增反裝甲戰車：破壞者號，能反制敵方戰車，造成高額傷害和減速效果！
-新增鬥士雕像：金教授、維多克、阿克塞爾，來為你的城市增添更多光彩吧！
-戰裝系統：新增記憶重鑄模式。記憶重鑄模式下，鎖定屬性的數值範圍將會被隨機刷新。
-幫派系統優化：優化了幫派首領的自動轉讓機制。
-精英競技場優化：修復地圖中無法正常攻擊防禦塔取得增益效果的問題。
&lt;/zh-TW&gt;
&lt;id&gt;
-Pejuang Baru: Perintis Kosmik-Elliot, Garis cahaya misterius melintasi langit malam, mengejar mimpi di luar bintang-bintang! Dapat diperoleh dari event "KERA YANG TANGGUH".
-Penghancur Tank Baru: Penghancur Dahsyat, spesialis counter-pembawa barang yang memberikan rusak parah dan memperlambat pembawa barang musuh!
-Patung Pejuang Baru: Professor Kim, Vidoc, dan Axel. Tambahkan lebih banyak kemilau ke kota kamu!
-Sistem Peralatan: Mode Memory Reforge telah ditambahkan. Dalam Memory Reforge, rentang nilai atribut yang dikunci sekarang akan di-refresh secara acak.
-Sistem Geng: Meningkatkan peraturan transfer otomatis kepemimpinan untuk Kapten Geng.
-Perkelahian Elite: Memperbaiki masalah di mana Menara tidak dapat diserang dengan benar untuk mendapatkan efek keunggulan.
&lt;/id&gt;
&lt;th&gt;
-นักสู้ตัวใหม่: นักบุกเบิกแห่งคอสโม-เอลเลียต, แสงลึกลับพาดผ่านท้องฟ้ายามค่ำคืน ไล่ตามความฝันที่อยู่เหนือดวงดาว! สามารถรับได้จากกิจกรรม "ลิงขั้นเทพ"
-จอมทำลายรถถังตัวใหม่: จอมทำลายล้าง, ผู้เชี่ยวชาญในการต่อต้านลิงขนส่งที่สร้างแดเมจรุนแรงและทำให้ลิงขนส่งของศัตรูเคลื่อนที่ช้าลง!
-รูปปั้นนักสู้ใหม่: ศาสตราจารย์คิม, วิโดค และแอ็กเซล เพิ่มความโดดเด่นให้กับเมืองของคุณ!
-ระบบอุปกรณ์: เพิ่มโหมดรีฟอร์จความทรงจำ ในโหมดนี้ ช่วงมูลค่าของคุณสมบัติที่ล็อกจะถูกรีเฟรชแบบสุ่ม
-ระบบแก๊ง: ปรับปรุงกฎการโอนผู้นำแก๊งค์อัตโนมัติให้ดีขึ้น
-อารีน่าอีลิท: แก้ไขปัญหาที่หอคอยไม่สามารถถูกโจมตีเพื่อรับบัฟได้อย่างถูกต้อง
&lt;/th&gt;
&lt;es-419&gt;
-Nuevo Luchador: Pionero Cósmico-Elliot, ¡Una misteriosa estela de luz cruza el cielo nocturno, persiguiendo sueños más allá de las estrellas! Se puede obtener en el evento "MONO SUPREMO".
-Nuevo Destructor de Tanques: Devastador, un especialista contra transportadores que inflige alto daño y ralentiza los transportadores enemigos.
-Nuevas Estatuas de Luchador: Profesor Kim, Vidoc y Axel. ¡Añade más brillo a tu ciudad!
-Sistema de Equipamiento: Se añadió el modo de Reforja de Memoria. En Reforja de Memoria, el rango de valor de los atributos bloqueados ahora se actualizará al azar.
-Sistema de Banda: Se mejoraron las reglas de transferencia automática de liderazgo para el Líder de la Banda.
-Pelea de campeones: Se solucionó un problema donde las Torres no podían ser atacadas correctamente para obtener efectos de mejora.
&lt;/es-419&gt;
&lt;ru-RU&gt;
-Новый герой: Космический Первопроходец — Эллиот. Таинственная полоса света в ночном небе, преследующая мечты за пределами звезд! Можно получить на событии «ВЕЛИКАЯ ОБЕЗЬЯНА».
-Новый Уничтожитель танков: Опустошитель — специалист по борьбе с перевозчиками, наносит тяжелый урон и замедляет вражеские перевозчики!
-Новые статуи героев: Профессор Ким, Видок и Аксель. Добавьте еще больше блеска вашему городу!
-Система экипировки: добавлен режим Перековки памяти. В Перековке памяти диапазон значений заблокированных показателей теперь будет обновляться случайным образом.
-Система банд: улучшены правила автоматической передачи лидерства Лидеру банды.
-Потасовка чемпионов: исправлена проблема, из-за которой Башни нельзя было правильно атаковать для получения эффектов усиления.
&lt;/ru-RU&gt;
&lt;tr-TR&gt;
-Yeni Savaşçı: Kozmik Yol Bulucu-Elliot, gece gökyüzünde gizemli bir ışık çizgisi, yıldızların ötesindeki hayallerin peşinde! "En Üstün Maymun" etkinliğinden edinilebilir.
-Yeni Tank Yok Edici: Yıkıcı, ağır hasar veren ve düşman taşıyıcılarını yavaşlatan bir karşı-taşıyıcı uzmanı!
-Yeni Savaşçı Heykelleri: Profesör Kim, Vidoc ve Axel. Şehrine daha fazla parlaklık kat!
-Ekipman Sistemi: Bellek Yeniden Dövme modu eklendi. Bellek Yeniden Dövme’de, kilitli niteliklerin değer aralığı artık rastgele yenilenecek.
-Çete Sistemi: Çete Lideri için otomatik liderlik devri kuralları geliştirildi.
-Şampiyonlar Kavgası: Kulelerin düzgün şekilde saldırılamayarak güçlendirici etkiler kazanılamaması sorunu düzeltildi.
&lt;/tr-TR&gt;
&lt;vi&gt;
-Chiến Binh Mới: Người Dò Đường Vũ Trụ-Elliot, Một vệt sáng bí ẩn băng qua bầu trời đêm, theo đuổi những giấc mơ vượt ra ngoài các vì sao! Có thể nhận được từ sự kiện "CHÚA KHỈ TỐI CAO".
-Kẻ Hủy Diệt Xe Tăng Mới: Kẻ Tàn Phá, chuyên gia phản công người vận chuyển, gây S.Thương Nặng và làm chậm người vận chuyển của địch!
-Tượng Chiến Binh Mới: Giáo Sư Kim, Vidoc, và Axel. Thêm sự rực rỡ cho THÀNH PHỐ của bạn!
-Hệ Thống Trang Bị: Đã thêm chế độ Rèn Ký Ức. Trong Rèn Ký Ức, phạm vi giá trị của thuộc tính đã khóa sẽ được làm mới ngẫu nhiên.
-Hệ Thống Bang Hội: Cải thiện quy tắc chuyển giao Đội Trưởng tự động cho Thủ Lĩnh Bang Hội.
-Đấu Trường Tinh Anh: Đã sửa lỗi khiến Tháp không thể bị tấn công đúng cách để nhận hiệu ứng Hiệu Ứng Có Lợi.
&lt;/vi&gt;
&lt;it-IT&gt;
-Nuovo Combattente: Pioniere Cosmico-Elliot, una misteriosa scia di luce attraversa il cielo notturno, inseguendo sogni oltre le stelle! Può essere ottenuto dall’evento "SCIMMIA SUPREMA".
-Nuovo Distruttore di carri armati: Devastatore, uno specialista anti-trasportatori che infligge danni pesanti e rallenta i trasportatori nemici!
-Nuove Statue dei Combattenti: Professor Kim, Vidoc e Axel. Dona ancora più splendore alla tua città!
-Sistema Equipaggiamento: Aggiunta la modalità Riforgiatura della Memoria. In Riforgiatura della Memoria, il valore dell’intervallo degli attributi bloccati verrà ora aggiornato casualmente.
-Sistema Gang: Migliorate le regole di trasferimento automatico della leadership per il Leader della Gang.
-Rissa dei campioni: Risolto un problema per cui le Torri non potevano essere attaccate correttamente per ottenere effetti beneficio.
&lt;/it-IT&gt;
&lt;pl-PL&gt;
-Nowy Wojownik: Kosmiczny Pionier-Elliot, tajemniczy ślad światła na nocnym niebie, goniący marzenia poza gwiazdami! Można go uzyskać podczas wydarzenia "UBERMAŁPA".
-Nowy Niszczyciel czołgów: Dewastator, specjalista do walki z transportowcami, który zadaje ciężkie uszkodzenia i spowalnia wrogie transportowce!
-Nowe Pomniki Wojownika: Profesor Kim, Vidoc i Axel. Dodaj więcej blasku swojemu miastu!
-System Ekwipunku: Dodano tryb Przekształcania Pamięci. W Przekształcaniu Pamięci zakres wartości zablokowanych atrybutów będzie teraz odświeżany losowo.
-System Gangu: Ulepszono reguły automatycznego przekazywania przywództwa Przywódcy Gangu.
-Bijatyka Mistrzów: Naprawiono problem, w którym Wieże nie mogły być prawidłowo atakowane w celu uzyskania efektów wzmocnienia.
&lt;/pl-PL&gt;
&lt;ar&gt;
-مقاتل جديد: مكتشف المسارات الكوني-إليوت، شعاع غامض من الضوء يعبر سماء الليل، يطارد الأحلام خلف النجوم! يمكن الحصول عليه من حدث "القرد الخارق".
-مدمر دبابات جديد: المدمر، متخصص في مواجهة الناقلات يسبب أضرارًا جسيمة ويبطئ ناقلات العدو!
-تماثيل مقاتلين جديدة: البروفيسور كيم، فيدوك، وأكسل. أضف المزيد من التألق إلى مدينتك!
-نظام المعدات: تمت إضافة وضع إعادة تشكيل الذاكرة. في إعادة تشكيل الذاكرة، سيتم الآن تحديث نطاق قيمة السمات المقفلة بشكل عشوائي.
-نظام العصابة: تم تحسين قواعد نقل القيادة التلقائي لقائد العصابة.
-حلبة الأبطال: تم إصلاح مشكلة عدم إمكانية مهاجمة الأبراج بشكل صحيح للحصول على تأثيرات التعزيز.
&lt;/ar&gt;
&lt;ja-JP&gt;
-新しいファイター：コズミック開拓者-エリオット、夜空を横切る神秘的な光の軌跡、星々の彼方の夢を追いかけて！「究極のエイプ」イベントで取得可能です。
-新しいタンクデストロイヤー：デバステーター、重傷を与え、敵キャリアを減速させるカウンターキャリアスペシャリスト！
-新しいファイターの像：プロフェッサー・キム、ヴィドック、アクセル。あなたの都市にさらなる輝きを追加！
-装備システム：メモリーリフォージモードを追加しました。メモリーリフォージでは、ロックされた属性の価値範囲がランダムに更新されます。
-ギルドシステム：ギルドリーダーの自動リーダーシップ移譲ルールを改善しました。
-エリート闘技場：タワーが正しく攻撃されずバフ効果を得られない問題を修正しました。
&lt;/ja-JP&gt;
&lt;ko-KR&gt;
-새로운 전사: 코즈믹 개척자-엘리엇, 밤하늘을 가로지르는 신비로운 빛줄기, 별 너머의 꿈을 쫓다! "최강 원숭이" 이벤트에서 획득할 수 있습니다.
-새로운 탱크 파괴자: 파괴자, 중상을 입히고 적 운반선 감속 효과를 가진 대운반선 전문가!
-새로운 전사 석상: 김 교수, 비독, 그리고 악셀. 당신의 도시에 더 많은 빛을 더하세요!
-장비 시스템: 메모리 리포지 모드가 추가되었습니다. 메모리 리포지에서는 잠금된 속성의 가치 사정거리가 이제 무작위로 갱신됩니다.
-무리 시스템: 무리 리더의 자동 리더십 이전 규칙이 개선되었습니다.
-정예 스타디움: 타워를 제대로 공격하여 버프 효과를 얻을 수 없는 문제를 수정했습니다.
&lt;/ko-KR&gt;
</v>
      </c>
      <c r="C90" s="169" t="str">
        <f>IFERROR(__xludf.DUMMYFUNCTION("""COMPUTED_VALUE"""),"-新增斗士：天外探索者-艾里奥特，夜空中的谜之闪光，遨游天外的追梦者！可通过“最强猴子”活动获取。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f>
        <v>-新增斗士：天外探索者-艾里奥特，夜空中的谜之闪光，遨游天外的追梦者！可通过“最强猴子”活动获取。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v>
      </c>
      <c r="D90" s="169" t="str">
        <f>IFERROR(__xludf.DUMMYFUNCTION("""COMPUTED_VALUE"""),"-New Fighter: Cosmic Pathfinder-Elliot, A mysterious streak of light across the night sky, chasing dreams beyond the stars! Can be obtained from the ""Ultimate Monkey"" event.
-New Tank Destroyer: Devastator, a counter-carrier specialist that deals heavy "&amp;"damage and slows enemy carriers!
-New Fighter Statues: Professor Kim, Vidoc, and Axel. Add more brilliance to your city!
-Equipment System: Added Memory Reforge mode. In Memory Reforge, the value range of locked attributes will now be refreshed at random."&amp;"
-Gang System: Improved the automatic leadership transfer rules for the Gang Leader.
-Champion Brawl: Fixed an issue where Towers could not be attacked properly to gain buff effects.")</f>
        <v>-New Fighter: Cosmic Pathfinder-Elliot, A mysterious streak of light across the night sky, chasing dreams beyond the stars! Can be obtained from the "Ultimate Monkey" event.
-New Tank Destroyer: Devastator, a counter-carrier specialist that deals heavy damage and slows enemy carriers!
-New Fighter Statues: Professor Kim, Vidoc, and Axel. Add more brilliance to your city!
-Equipment System: Added Memory Reforge mode. In Memory Reforge, the value range of locked attributes will now be refreshed at random.
-Gang System: Improved the automatic leadership transfer rules for the Gang Leader.
-Champion Brawl: Fixed an issue where Towers could not be attacked properly to gain buff effects.</v>
      </c>
      <c r="E90" s="169" t="str">
        <f>IFERROR(__xludf.DUMMYFUNCTION("""COMPUTED_VALUE"""),"-Nouveau combattant : Éclaireur cosmique-Elliot, une mystérieuse traînée de lumière traverse le ciel nocturne, poursuivant des rêves au-delà des étoiles ! Peut être obtenu lors de l'évènement ""LE SINGE ULTIME"".
-Nouveau destructeur de char : Dévastateur"&amp;", un spécialiste anti-transporteurs qui inflige de lourds dégâts et ralentit les transporteurs ennemis !
-Nouvelles statues de combattant : Professeur Kim, Vidoc et Axel. Ajoutez plus d’éclat à votre ville !
-Système d’équipement : Ajout du mode Reforge M"&amp;"émoire. En Reforge Mémoire, la plage de valeur des attributs verrouillés sera désormais actualisée aléatoirement.
-Système de gang : Amélioration des règles de transfert automatique du chef du gang.
-Choc des champions : Correction d’un problème où les to"&amp;"urs ne pouvaient pas être attaquées correctement pour obtenir des effets de boost.")</f>
        <v>-Nouveau combattant : Éclaireur cosmique-Elliot, une mystérieuse traînée de lumière traverse le ciel nocturne, poursuivant des rêves au-delà des étoiles ! Peut être obtenu lors de l'évènement "LE SINGE ULTIME".
-Nouveau destructeur de char : Dévastateur, un spécialiste anti-transporteurs qui inflige de lourds dégâts et ralentit les transporteurs ennemis !
-Nouvelles statues de combattant : Professeur Kim, Vidoc et Axel. Ajoutez plus d’éclat à votre ville !
-Système d’équipement : Ajout du mode Reforge Mémoire. En Reforge Mémoire, la plage de valeur des attributs verrouillés sera désormais actualisée aléatoirement.
-Système de gang : Amélioration des règles de transfert automatique du chef du gang.
-Choc des champions : Correction d’un problème où les tours ne pouvaient pas être attaquées correctement pour obtenir des effets de boost.</v>
      </c>
      <c r="F90" s="169" t="str">
        <f>IFERROR(__xludf.DUMMYFUNCTION("""COMPUTED_VALUE"""),"-Neuer Kämpfer: Kosmischer Pfadfinder-Elliot, ein geheimnisvoller Lichtstreif am Nachthimmel, der Träumen jenseits der Sterne nachjagt! Kann im „Ultimativer Affe“-Event erhalten werden.
-Neuer Panzer-Zerstörer: Verwüster, ein Gegen-Träger-Spezialist, der "&amp;"Massivschaden verursacht und feindliche Träger verlangsamt!
-Neue Kämpfer-Statuen: Professor Kim, Vidoc und Axel. Füge deiner Stadt noch mehr Glanz hinzu!
-Ausrüstungssystem: Modus „Memory Reforge“ hinzugefügt. Im Memory Reforge wird der Wertebereich gesp"&amp;"errter Attribute nun zufällig aktualisiert.
-Clan-System: Die Regeln für die automatische Führungsübertragung des Clan-Anführers wurden verbessert.
-Champion-Schlägerei: Ein Problem wurde behoben, bei dem Türme nicht richtig angegriffen werden konnten, um"&amp;" Buff-Effekte zu erhalten.")</f>
        <v>-Neuer Kämpfer: Kosmischer Pfadfinder-Elliot, ein geheimnisvoller Lichtstreif am Nachthimmel, der Träumen jenseits der Sterne nachjagt! Kann im „Ultimativer Affe“-Event erhalten werden.
-Neuer Panzer-Zerstörer: Verwüster, ein Gegen-Träger-Spezialist, der Massivschaden verursacht und feindliche Träger verlangsamt!
-Neue Kämpfer-Statuen: Professor Kim, Vidoc und Axel. Füge deiner Stadt noch mehr Glanz hinzu!
-Ausrüstungssystem: Modus „Memory Reforge“ hinzugefügt. Im Memory Reforge wird der Wertebereich gesperrter Attribute nun zufällig aktualisiert.
-Clan-System: Die Regeln für die automatische Führungsübertragung des Clan-Anführers wurden verbessert.
-Champion-Schlägerei: Ein Problem wurde behoben, bei dem Türme nicht richtig angegriffen werden konnten, um Buff-Effekte zu erhalten.</v>
      </c>
      <c r="G90" s="169" t="str">
        <f>IFERROR(__xludf.DUMMYFUNCTION("""COMPUTED_VALUE"""),"-Novo combatente: Desbravador Cósmico-Elliot, Um misterioso rastro de luz atravessa o céu noturno, perseguindo sonhos além das estrelas! Pode ser obtido no evento ""MACACO SUPREMO"".
-Novo Destruidor de Tanques: Devastador, um especialista contra transpor"&amp;"tadores que causa dano pesado e retarda os transportadores inimigos!
-Novas Estátuas Combatentes: Professor Kim, Vidoc e Axel. Adicione mais brilho à sua cidade!
-Sistema de Equipamentos: Adicionado o modo Reforjar Memória. No Reforjar Memória, o interval"&amp;"o de valor dos atributos trancados agora será renovado aleatoriamente.
-Sistema de Gangue: Melhoradas as regras de transferência automática de liderança para o Líder da gangue.
-Briga de Campeões: Corrigido um problema onde as Torres não podiam ser atacad"&amp;"as corretamente para obter efeitos de auxílio.")</f>
        <v>-Novo combatente: Desbravador Cósmico-Elliot, Um misterioso rastro de luz atravessa o céu noturno, perseguindo sonhos além das estrelas! Pode ser obtido no evento "MACACO SUPREMO".
-Novo Destruidor de Tanques: Devastador, um especialista contra transportadores que causa dano pesado e retarda os transportadores inimigos!
-Novas Estátuas Combatentes: Professor Kim, Vidoc e Axel. Adicione mais brilho à sua cidade!
-Sistema de Equipamentos: Adicionado o modo Reforjar Memória. No Reforjar Memória, o intervalo de valor dos atributos trancados agora será renovado aleatoriamente.
-Sistema de Gangue: Melhoradas as regras de transferência automática de liderança para o Líder da gangue.
-Briga de Campeões: Corrigido um problema onde as Torres não podiam ser atacadas corretamente para obter efeitos de auxílio.</v>
      </c>
      <c r="H90" s="169" t="str">
        <f>IFERROR(__xludf.DUMMYFUNCTION("""COMPUTED_VALUE"""),"-新增鬥士：天外探索者-艾里奧特，夜空中的謎之閃光，遨遊天外的追夢者！可通過「最強猴子」活動取得。
-新增反裝甲戰車：破壞者號，能反制敵方戰車，造成高額傷害和減速效果！
-新增鬥士雕像：金教授、維多克、阿克塞爾，來為你的城市增添更多光彩吧！
-戰裝系統：新增記憶重鑄模式。記憶重鑄模式下，鎖定屬性的數值範圍將會被隨機刷新。
-幫派系統優化：優化了幫派首領的自動轉讓機制。
-精英競技場優化：修復地圖中無法正常攻擊防禦塔取得增益效果的問題。")</f>
        <v>-新增鬥士：天外探索者-艾里奧特，夜空中的謎之閃光，遨遊天外的追夢者！可通過「最強猴子」活動取得。
-新增反裝甲戰車：破壞者號，能反制敵方戰車，造成高額傷害和減速效果！
-新增鬥士雕像：金教授、維多克、阿克塞爾，來為你的城市增添更多光彩吧！
-戰裝系統：新增記憶重鑄模式。記憶重鑄模式下，鎖定屬性的數值範圍將會被隨機刷新。
-幫派系統優化：優化了幫派首領的自動轉讓機制。
-精英競技場優化：修復地圖中無法正常攻擊防禦塔取得增益效果的問題。</v>
      </c>
      <c r="I90" s="169" t="str">
        <f>IFERROR(__xludf.DUMMYFUNCTION("""COMPUTED_VALUE"""),"-Pejuang Baru: Perintis Kosmik-Elliot, Garis cahaya misterius melintasi langit malam, mengejar mimpi di luar bintang-bintang! Dapat diperoleh dari event ""KERA YANG TANGGUH"".
-Penghancur Tank Baru: Penghancur Dahsyat, spesialis counter-pembawa barang yan"&amp;"g memberikan rusak parah dan memperlambat pembawa barang musuh!
-Patung Pejuang Baru: Professor Kim, Vidoc, dan Axel. Tambahkan lebih banyak kemilau ke kota kamu!
-Sistem Peralatan: Mode Memory Reforge telah ditambahkan. Dalam Memory Reforge, rentang nila"&amp;"i atribut yang dikunci sekarang akan di-refresh secara acak.
-Sistem Geng: Meningkatkan peraturan transfer otomatis kepemimpinan untuk Kapten Geng.
-Perkelahian Elite: Memperbaiki masalah di mana Menara tidak dapat diserang dengan benar untuk mendapatkan "&amp;"efek keunggulan.")</f>
        <v>-Pejuang Baru: Perintis Kosmik-Elliot, Garis cahaya misterius melintasi langit malam, mengejar mimpi di luar bintang-bintang! Dapat diperoleh dari event "KERA YANG TANGGUH".
-Penghancur Tank Baru: Penghancur Dahsyat, spesialis counter-pembawa barang yang memberikan rusak parah dan memperlambat pembawa barang musuh!
-Patung Pejuang Baru: Professor Kim, Vidoc, dan Axel. Tambahkan lebih banyak kemilau ke kota kamu!
-Sistem Peralatan: Mode Memory Reforge telah ditambahkan. Dalam Memory Reforge, rentang nilai atribut yang dikunci sekarang akan di-refresh secara acak.
-Sistem Geng: Meningkatkan peraturan transfer otomatis kepemimpinan untuk Kapten Geng.
-Perkelahian Elite: Memperbaiki masalah di mana Menara tidak dapat diserang dengan benar untuk mendapatkan efek keunggulan.</v>
      </c>
      <c r="J90" s="169" t="str">
        <f>IFERROR(__xludf.DUMMYFUNCTION("""COMPUTED_VALUE"""),"-นักสู้ตัวใหม่: นักบุกเบิกแห่งคอสโม-เอลเลียต, แสงลึกลับพาดผ่านท้องฟ้ายามค่ำคืน ไล่ตามความฝันที่อยู่เหนือดวงดาว! สามารถรับได้จากกิจกรรม ""ลิงขั้นเทพ""
-จอมทำลายรถถังตัวใหม่: จอมทำลายล้าง, ผู้เชี่ยวชาญในการต่อต้านลิงขนส่งที่สร้างแดเมจรุนแรงและทำให้ลิงขนส่งข"&amp;"องศัตรูเคลื่อนที่ช้าลง!
-รูปปั้นนักสู้ใหม่: ศาสตราจารย์คิม, วิโดค และแอ็กเซล เพิ่มความโดดเด่นให้กับเมืองของคุณ!
-ระบบอุปกรณ์: เพิ่มโหมดรีฟอร์จความทรงจำ ในโหมดนี้ ช่วงมูลค่าของคุณสมบัติที่ล็อกจะถูกรีเฟรชแบบสุ่ม
-ระบบแก๊ง: ปรับปรุงกฎการโอนผู้นำแก๊งค์อัตโนมั"&amp;"ติให้ดีขึ้น
-อารีน่าอีลิท: แก้ไขปัญหาที่หอคอยไม่สามารถถูกโจมตีเพื่อรับบัฟได้อย่างถูกต้อง")</f>
        <v>-นักสู้ตัวใหม่: นักบุกเบิกแห่งคอสโม-เอลเลียต, แสงลึกลับพาดผ่านท้องฟ้ายามค่ำคืน ไล่ตามความฝันที่อยู่เหนือดวงดาว! สามารถรับได้จากกิจกรรม "ลิงขั้นเทพ"
-จอมทำลายรถถังตัวใหม่: จอมทำลายล้าง, ผู้เชี่ยวชาญในการต่อต้านลิงขนส่งที่สร้างแดเมจรุนแรงและทำให้ลิงขนส่งของศัตรูเคลื่อนที่ช้าลง!
-รูปปั้นนักสู้ใหม่: ศาสตราจารย์คิม, วิโดค และแอ็กเซล เพิ่มความโดดเด่นให้กับเมืองของคุณ!
-ระบบอุปกรณ์: เพิ่มโหมดรีฟอร์จความทรงจำ ในโหมดนี้ ช่วงมูลค่าของคุณสมบัติที่ล็อกจะถูกรีเฟรชแบบสุ่ม
-ระบบแก๊ง: ปรับปรุงกฎการโอนผู้นำแก๊งค์อัตโนมัติให้ดีขึ้น
-อารีน่าอีลิท: แก้ไขปัญหาที่หอคอยไม่สามารถถูกโจมตีเพื่อรับบัฟได้อย่างถูกต้อง</v>
      </c>
      <c r="K90" s="169" t="str">
        <f>IFERROR(__xludf.DUMMYFUNCTION("""COMPUTED_VALUE"""),"-Nuevo Luchador: Pionero Cósmico-Elliot, ¡Una misteriosa estela de luz cruza el cielo nocturno, persiguiendo sueños más allá de las estrellas! Se puede obtener en el evento ""MONO SUPREMO"".
-Nuevo Destructor de Tanques: Devastador, un especialista contra"&amp;" transportadores que inflige alto daño y ralentiza los transportadores enemigos.
-Nuevas Estatuas de Luchador: Profesor Kim, Vidoc y Axel. ¡Añade más brillo a tu ciudad!
-Sistema de Equipamiento: Se añadió el modo de Reforja de Memoria. En Reforja de Memo"&amp;"ria, el rango de valor de los atributos bloqueados ahora se actualizará al azar.
-Sistema de Banda: Se mejoraron las reglas de transferencia automática de liderazgo para el Líder de la Banda.
-Pelea de campeones: Se solucionó un problema donde las Torres "&amp;"no podían ser atacadas correctamente para obtener efectos de mejora.")</f>
        <v>-Nuevo Luchador: Pionero Cósmico-Elliot, ¡Una misteriosa estela de luz cruza el cielo nocturno, persiguiendo sueños más allá de las estrellas! Se puede obtener en el evento "MONO SUPREMO".
-Nuevo Destructor de Tanques: Devastador, un especialista contra transportadores que inflige alto daño y ralentiza los transportadores enemigos.
-Nuevas Estatuas de Luchador: Profesor Kim, Vidoc y Axel. ¡Añade más brillo a tu ciudad!
-Sistema de Equipamiento: Se añadió el modo de Reforja de Memoria. En Reforja de Memoria, el rango de valor de los atributos bloqueados ahora se actualizará al azar.
-Sistema de Banda: Se mejoraron las reglas de transferencia automática de liderazgo para el Líder de la Banda.
-Pelea de campeones: Se solucionó un problema donde las Torres no podían ser atacadas correctamente para obtener efectos de mejora.</v>
      </c>
      <c r="L90" s="169" t="str">
        <f>IFERROR(__xludf.DUMMYFUNCTION("""COMPUTED_VALUE"""),"-Новый герой: Космический Первопроходец — Эллиот. Таинственная полоса света в ночном небе, преследующая мечты за пределами звезд! Можно получить на событии «ВЕЛИКАЯ ОБЕЗЬЯНА».
-Новый Уничтожитель танков: Опустошитель — специалист по борьбе с перевозчиками"&amp;", наносит тяжелый урон и замедляет вражеские перевозчики!
-Новые статуи героев: Профессор Ким, Видок и Аксель. Добавьте еще больше блеска вашему городу!
-Система экипировки: добавлен режим Перековки памяти. В Перековке памяти диапазон значений заблокирова"&amp;"нных показателей теперь будет обновляться случайным образом.
-Система банд: улучшены правила автоматической передачи лидерства Лидеру банды.
-Потасовка чемпионов: исправлена проблема, из-за которой Башни нельзя было правильно атаковать для получения эффек"&amp;"тов усиления.")</f>
        <v>-Новый герой: Космический Первопроходец — Эллиот. Таинственная полоса света в ночном небе, преследующая мечты за пределами звезд! Можно получить на событии «ВЕЛИКАЯ ОБЕЗЬЯНА».
-Новый Уничтожитель танков: Опустошитель — специалист по борьбе с перевозчиками, наносит тяжелый урон и замедляет вражеские перевозчики!
-Новые статуи героев: Профессор Ким, Видок и Аксель. Добавьте еще больше блеска вашему городу!
-Система экипировки: добавлен режим Перековки памяти. В Перековке памяти диапазон значений заблокированных показателей теперь будет обновляться случайным образом.
-Система банд: улучшены правила автоматической передачи лидерства Лидеру банды.
-Потасовка чемпионов: исправлена проблема, из-за которой Башни нельзя было правильно атаковать для получения эффектов усиления.</v>
      </c>
      <c r="M90" s="169" t="str">
        <f>IFERROR(__xludf.DUMMYFUNCTION("""COMPUTED_VALUE"""),"-Yeni Savaşçı: Kozmik Yol Bulucu-Elliot, gece gökyüzünde gizemli bir ışık çizgisi, yıldızların ötesindeki hayallerin peşinde! ""En Üstün Maymun"" etkinliğinden edinilebilir.
-Yeni Tank Yok Edici: Yıkıcı, ağır hasar veren ve düşman taşıyıcılarını yavaşlata"&amp;"n bir karşı-taşıyıcı uzmanı!
-Yeni Savaşçı Heykelleri: Profesör Kim, Vidoc ve Axel. Şehrine daha fazla parlaklık kat!
-Ekipman Sistemi: Bellek Yeniden Dövme modu eklendi. Bellek Yeniden Dövme’de, kilitli niteliklerin değer aralığı artık rastgele yenilenec"&amp;"ek.
-Çete Sistemi: Çete Lideri için otomatik liderlik devri kuralları geliştirildi.
-Şampiyonlar Kavgası: Kulelerin düzgün şekilde saldırılamayarak güçlendirici etkiler kazanılamaması sorunu düzeltildi.")</f>
        <v>-Yeni Savaşçı: Kozmik Yol Bulucu-Elliot, gece gökyüzünde gizemli bir ışık çizgisi, yıldızların ötesindeki hayallerin peşinde! "En Üstün Maymun" etkinliğinden edinilebilir.
-Yeni Tank Yok Edici: Yıkıcı, ağır hasar veren ve düşman taşıyıcılarını yavaşlatan bir karşı-taşıyıcı uzmanı!
-Yeni Savaşçı Heykelleri: Profesör Kim, Vidoc ve Axel. Şehrine daha fazla parlaklık kat!
-Ekipman Sistemi: Bellek Yeniden Dövme modu eklendi. Bellek Yeniden Dövme’de, kilitli niteliklerin değer aralığı artık rastgele yenilenecek.
-Çete Sistemi: Çete Lideri için otomatik liderlik devri kuralları geliştirildi.
-Şampiyonlar Kavgası: Kulelerin düzgün şekilde saldırılamayarak güçlendirici etkiler kazanılamaması sorunu düzeltildi.</v>
      </c>
      <c r="N90" s="169" t="str">
        <f>IFERROR(__xludf.DUMMYFUNCTION("""COMPUTED_VALUE"""),"-Chiến Binh Mới: Người Dò Đường Vũ Trụ-Elliot, Một vệt sáng bí ẩn băng qua bầu trời đêm, theo đuổi những giấc mơ vượt ra ngoài các vì sao! Có thể nhận được từ sự kiện ""CHÚA KHỈ TỐI CAO"".
-Kẻ Hủy Diệt Xe Tăng Mới: Kẻ Tàn Phá, chuyên gia phản công người v"&amp;"ận chuyển, gây S.Thương Nặng và làm chậm người vận chuyển của địch!
-Tượng Chiến Binh Mới: Giáo Sư Kim, Vidoc, và Axel. Thêm sự rực rỡ cho THÀNH PHỐ của bạn!
-Hệ Thống Trang Bị: Đã thêm chế độ Rèn Ký Ức. Trong Rèn Ký Ức, phạm vi giá trị của thuộc tính đã "&amp;"khóa sẽ được làm mới ngẫu nhiên.
-Hệ Thống Bang Hội: Cải thiện quy tắc chuyển giao Đội Trưởng tự động cho Thủ Lĩnh Bang Hội.
-Đấu Trường Tinh Anh: Đã sửa lỗi khiến Tháp không thể bị tấn công đúng cách để nhận hiệu ứng Hiệu Ứng Có Lợi.")</f>
        <v>-Chiến Binh Mới: Người Dò Đường Vũ Trụ-Elliot, Một vệt sáng bí ẩn băng qua bầu trời đêm, theo đuổi những giấc mơ vượt ra ngoài các vì sao! Có thể nhận được từ sự kiện "CHÚA KHỈ TỐI CAO".
-Kẻ Hủy Diệt Xe Tăng Mới: Kẻ Tàn Phá, chuyên gia phản công người vận chuyển, gây S.Thương Nặng và làm chậm người vận chuyển của địch!
-Tượng Chiến Binh Mới: Giáo Sư Kim, Vidoc, và Axel. Thêm sự rực rỡ cho THÀNH PHỐ của bạn!
-Hệ Thống Trang Bị: Đã thêm chế độ Rèn Ký Ức. Trong Rèn Ký Ức, phạm vi giá trị của thuộc tính đã khóa sẽ được làm mới ngẫu nhiên.
-Hệ Thống Bang Hội: Cải thiện quy tắc chuyển giao Đội Trưởng tự động cho Thủ Lĩnh Bang Hội.
-Đấu Trường Tinh Anh: Đã sửa lỗi khiến Tháp không thể bị tấn công đúng cách để nhận hiệu ứng Hiệu Ứng Có Lợi.</v>
      </c>
      <c r="O90" s="169" t="str">
        <f>IFERROR(__xludf.DUMMYFUNCTION("""COMPUTED_VALUE"""),"-Nuovo Combattente: Pioniere Cosmico-Elliot, una misteriosa scia di luce attraversa il cielo notturno, inseguendo sogni oltre le stelle! Può essere ottenuto dall’evento ""SCIMMIA SUPREMA"".
-Nuovo Distruttore di carri armati: Devastatore, uno specialista "&amp;"anti-trasportatori che infligge danni pesanti e rallenta i trasportatori nemici!
-Nuove Statue dei Combattenti: Professor Kim, Vidoc e Axel. Dona ancora più splendore alla tua città!
-Sistema Equipaggiamento: Aggiunta la modalità Riforgiatura della Memori"&amp;"a. In Riforgiatura della Memoria, il valore dell’intervallo degli attributi bloccati verrà ora aggiornato casualmente.
-Sistema Gang: Migliorate le regole di trasferimento automatico della leadership per il Leader della Gang.
-Rissa dei campioni: Risolto "&amp;"un problema per cui le Torri non potevano essere attaccate correttamente per ottenere effetti beneficio.")</f>
        <v>-Nuovo Combattente: Pioniere Cosmico-Elliot, una misteriosa scia di luce attraversa il cielo notturno, inseguendo sogni oltre le stelle! Può essere ottenuto dall’evento "SCIMMIA SUPREMA".
-Nuovo Distruttore di carri armati: Devastatore, uno specialista anti-trasportatori che infligge danni pesanti e rallenta i trasportatori nemici!
-Nuove Statue dei Combattenti: Professor Kim, Vidoc e Axel. Dona ancora più splendore alla tua città!
-Sistema Equipaggiamento: Aggiunta la modalità Riforgiatura della Memoria. In Riforgiatura della Memoria, il valore dell’intervallo degli attributi bloccati verrà ora aggiornato casualmente.
-Sistema Gang: Migliorate le regole di trasferimento automatico della leadership per il Leader della Gang.
-Rissa dei campioni: Risolto un problema per cui le Torri non potevano essere attaccate correttamente per ottenere effetti beneficio.</v>
      </c>
      <c r="P90" s="153" t="str">
        <f>IFERROR(__xludf.DUMMYFUNCTION("""COMPUTED_VALUE"""),"-Nowy Wojownik: Kosmiczny Pionier-Elliot, tajemniczy ślad światła na nocnym niebie, goniący marzenia poza gwiazdami! Można go uzyskać podczas wydarzenia ""UBERMAŁPA"".
-Nowy Niszczyciel czołgów: Dewastator, specjalista do walki z transportowcami, który za"&amp;"daje ciężkie uszkodzenia i spowalnia wrogie transportowce!
-Nowe Pomniki Wojownika: Profesor Kim, Vidoc i Axel. Dodaj więcej blasku swojemu miastu!
-System Ekwipunku: Dodano tryb Przekształcania Pamięci. W Przekształcaniu Pamięci zakres wartości zablokowa"&amp;"nych atrybutów będzie teraz odświeżany losowo.
-System Gangu: Ulepszono reguły automatycznego przekazywania przywództwa Przywódcy Gangu.
-Bijatyka Mistrzów: Naprawiono problem, w którym Wieże nie mogły być prawidłowo atakowane w celu uzyskania efektów wzm"&amp;"ocnienia.")</f>
        <v>-Nowy Wojownik: Kosmiczny Pionier-Elliot, tajemniczy ślad światła na nocnym niebie, goniący marzenia poza gwiazdami! Można go uzyskać podczas wydarzenia "UBERMAŁPA".
-Nowy Niszczyciel czołgów: Dewastator, specjalista do walki z transportowcami, który zadaje ciężkie uszkodzenia i spowalnia wrogie transportowce!
-Nowe Pomniki Wojownika: Profesor Kim, Vidoc i Axel. Dodaj więcej blasku swojemu miastu!
-System Ekwipunku: Dodano tryb Przekształcania Pamięci. W Przekształcaniu Pamięci zakres wartości zablokowanych atrybutów będzie teraz odświeżany losowo.
-System Gangu: Ulepszono reguły automatycznego przekazywania przywództwa Przywódcy Gangu.
-Bijatyka Mistrzów: Naprawiono problem, w którym Wieże nie mogły być prawidłowo atakowane w celu uzyskania efektów wzmocnienia.</v>
      </c>
      <c r="Q90" s="153" t="str">
        <f>IFERROR(__xludf.DUMMYFUNCTION("""COMPUTED_VALUE"""),"-مقاتل جديد: مكتشف المسارات الكوني-إليوت، شعاع غامض من الضوء يعبر سماء الليل، يطارد الأحلام خلف النجوم! يمكن الحصول عليه من حدث ""القرد الخارق"".
-مدمر دبابات جديد: المدمر، متخصص في مواجهة الناقلات يسبب أضرارًا جسيمة ويبطئ ناقلات العدو!
-تماثيل مقاتلين جد"&amp;"يدة: البروفيسور كيم، فيدوك، وأكسل. أضف المزيد من التألق إلى مدينتك!
-نظام المعدات: تمت إضافة وضع إعادة تشكيل الذاكرة. في إعادة تشكيل الذاكرة، سيتم الآن تحديث نطاق قيمة السمات المقفلة بشكل عشوائي.
-نظام العصابة: تم تحسين قواعد نقل القيادة التلقائي لقائد ال"&amp;"عصابة.
-حلبة الأبطال: تم إصلاح مشكلة عدم إمكانية مهاجمة الأبراج بشكل صحيح للحصول على تأثيرات التعزيز.")</f>
        <v>-مقاتل جديد: مكتشف المسارات الكوني-إليوت، شعاع غامض من الضوء يعبر سماء الليل، يطارد الأحلام خلف النجوم! يمكن الحصول عليه من حدث "القرد الخارق".
-مدمر دبابات جديد: المدمر، متخصص في مواجهة الناقلات يسبب أضرارًا جسيمة ويبطئ ناقلات العدو!
-تماثيل مقاتلين جديدة: البروفيسور كيم، فيدوك، وأكسل. أضف المزيد من التألق إلى مدينتك!
-نظام المعدات: تمت إضافة وضع إعادة تشكيل الذاكرة. في إعادة تشكيل الذاكرة، سيتم الآن تحديث نطاق قيمة السمات المقفلة بشكل عشوائي.
-نظام العصابة: تم تحسين قواعد نقل القيادة التلقائي لقائد العصابة.
-حلبة الأبطال: تم إصلاح مشكلة عدم إمكانية مهاجمة الأبراج بشكل صحيح للحصول على تأثيرات التعزيز.</v>
      </c>
      <c r="R90" s="153" t="str">
        <f>IFERROR(__xludf.DUMMYFUNCTION("""COMPUTED_VALUE"""),"-新しいファイター：コズミック開拓者-エリオット、夜空を横切る神秘的な光の軌跡、星々の彼方の夢を追いかけて！「究極のエイプ」イベントで取得可能です。
-新しいタンクデストロイヤー：デバステーター、重傷を与え、敵キャリアを減速させるカウンターキャリアスペシャリスト！
-新しいファイターの像：プロフェッサー・キム、ヴィドック、アクセル。あなたの都市にさらなる輝きを追加！
-装備システム：メモリーリフォージモードを追加しました。メモリーリフォージでは、ロックされた属性の価値範囲がランダムに更新されます。
-ギル"&amp;"ドシステム：ギルドリーダーの自動リーダーシップ移譲ルールを改善しました。
-エリート闘技場：タワーが正しく攻撃されずバフ効果を得られない問題を修正しました。")</f>
        <v>-新しいファイター：コズミック開拓者-エリオット、夜空を横切る神秘的な光の軌跡、星々の彼方の夢を追いかけて！「究極のエイプ」イベントで取得可能です。
-新しいタンクデストロイヤー：デバステーター、重傷を与え、敵キャリアを減速させるカウンターキャリアスペシャリスト！
-新しいファイターの像：プロフェッサー・キム、ヴィドック、アクセル。あなたの都市にさらなる輝きを追加！
-装備システム：メモリーリフォージモードを追加しました。メモリーリフォージでは、ロックされた属性の価値範囲がランダムに更新されます。
-ギルドシステム：ギルドリーダーの自動リーダーシップ移譲ルールを改善しました。
-エリート闘技場：タワーが正しく攻撃されずバフ効果を得られない問題を修正しました。</v>
      </c>
      <c r="S90" s="153" t="str">
        <f>IFERROR(__xludf.DUMMYFUNCTION("""COMPUTED_VALUE"""),"-새로운 전사: 코즈믹 개척자-엘리엇, 밤하늘을 가로지르는 신비로운 빛줄기, 별 너머의 꿈을 쫓다! ""최강 원숭이"" 이벤트에서 획득할 수 있습니다.
-새로운 탱크 파괴자: 파괴자, 중상을 입히고 적 운반선 감속 효과를 가진 대운반선 전문가!
-새로운 전사 석상: 김 교수, 비독, 그리고 악셀. 당신의 도시에 더 많은 빛을 더하세요!
-장비 시스템: 메모리 리포지 모드가 추가되었습니다. 메모리 리포지에서는 잠금된 속성의 가치 사정거리가 이제 무작위로 "&amp;"갱신됩니다.
-무리 시스템: 무리 리더의 자동 리더십 이전 규칙이 개선되었습니다.
-정예 스타디움: 타워를 제대로 공격하여 버프 효과를 얻을 수 없는 문제를 수정했습니다.")</f>
        <v>-새로운 전사: 코즈믹 개척자-엘리엇, 밤하늘을 가로지르는 신비로운 빛줄기, 별 너머의 꿈을 쫓다! "최강 원숭이" 이벤트에서 획득할 수 있습니다.
-새로운 탱크 파괴자: 파괴자, 중상을 입히고 적 운반선 감속 효과를 가진 대운반선 전문가!
-새로운 전사 석상: 김 교수, 비독, 그리고 악셀. 당신의 도시에 더 많은 빛을 더하세요!
-장비 시스템: 메모리 리포지 모드가 추가되었습니다. 메모리 리포지에서는 잠금된 속성의 가치 사정거리가 이제 무작위로 갱신됩니다.
-무리 시스템: 무리 리더의 자동 리더십 이전 규칙이 개선되었습니다.
-정예 스타디움: 타워를 제대로 공격하여 버프 효과를 얻을 수 없는 문제를 수정했습니다.</v>
      </c>
      <c r="T90" s="169" t="str">
        <f>IFERROR(__xludf.DUMMYFUNCTION("""COMPUTED_VALUE"""),"-新增斗士：天外探索者-艾里奥特，夜空中的谜之闪光，遨游天外的追梦者！可通过“最强猴子”活动获取。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f>
        <v>-新增斗士：天外探索者-艾里奥特，夜空中的谜之闪光，遨游天外的追梦者！可通过“最强猴子”活动获取。
-新增反装甲战车：毁灭者号，能反制敌方战车，造成高额伤害和减速效果！
-新增斗士雕像：金教授、维多克、阿克塞尔，来为你的城市增添更多光彩吧！
-战装系统：新增记忆重铸模式。记忆重铸模式下，锁定属性的数值范围将会被随机刷新。
-帮派系统优化：优化了帮派魁首的自动转让机制。
-精英竞技场优化：修复地图中无法正常攻击防御塔获取增益效果的问题。</v>
      </c>
      <c r="U90" s="108"/>
      <c r="V90" s="108"/>
      <c r="W90" s="108"/>
      <c r="X90" s="108"/>
      <c r="Y90" s="108"/>
      <c r="Z90" s="108"/>
    </row>
    <row r="91">
      <c r="A91" s="108" t="str">
        <f>IFERROR(__xludf.DUMMYFUNCTION("""COMPUTED_VALUE"""),"0.84.0")</f>
        <v>0.84.0</v>
      </c>
      <c r="B91" s="108" t="str">
        <f>IFERROR(__xludf.DUMMYFUNCTION("""COMPUTED_VALUE"""),"&lt;en-US&gt;
-New Wounded Capacity Alert: when your Medical Station’s wounded capacity exceeds 50%, a wounded icon will appear in the top-left of the screen and you’ll also receive a reminder mail.
-New Fighter Statue: Wrench has arrived. Add more brilliance t"&amp;"o your city!
-Subterra Update: several feature prompts in the Subterra have been refined.
&lt;/en-US&gt;
&lt;fr-FR&gt;
-Nouvelle alerte de capacité de blessés : lorsque la capacité de blessés de votre infirmerie dépasse 50 %, une icône de blessé apparaîtra en haut à "&amp;"gauche de l’écran et vous recevrez également un mail de rappel.
-Nouvelle statue du combattant : Wrench est arrivé. Ajoutez encore plus d’éclat à votre ville !
-Mise à jour Subterra : plusieurs messages d’aide dans la Subterra ont été améliorés.
&lt;/fr-FR&gt;
"&amp;"&lt;de-DE&gt;
-Neue Verwundeten-Kapazitätswarnung: Wenn die Verwundeten-Kapazität deines Lazaretts 50 % überschreitet, erscheint ein Verwundeten-Symbol oben links auf dem Bildschirm und du erhältst außerdem eine Erinnerungs-Mail.
-Neue Kämpfer-Statue: Wrench is"&amp;"t angekommen. Füge deiner Stadt noch mehr Glanz hinzu!
-Subterra-Aktualisierung: Mehrere Funktionshinweise in der Subterra wurden überarbeitet.
&lt;/de-DE&gt;
&lt;pt-BR&gt;
-Novo alerta de capacidade de feridos: quando a capacidade de feridos do seu posto médico ultr"&amp;"apassar 50%, um ícone de feridos aparecerá no canto superior esquerdo da tela e você também receberá um correio de lembrete.
-Nova estátua combatente: Wrench chegou. Adicione mais brilho à sua cidade!
-Atualização Subterra: vários avisos de recursos na Su"&amp;"bterra foram aprimorados.
&lt;/pt-BR&gt;
&lt;zh-HK&gt;
- 新增醫療站傷兵容量貼士：醫療站傷兵容量超過50%時，遊戲介面左上角會顯示醫療站傷兵標誌，且玩家會收到容量貼士郵件。
- 新增鬥士雕像：倫奇，來為你的城市增添更多光彩吧！
- 地下世界優化：優化了地下世界部分功能貼士。
&lt;/zh-HK&gt;
&lt;zh-TW&gt;
- 新增醫療站傷兵容量貼士：醫療站傷兵容量超過50%時，遊戲介面左上角會顯示醫療站傷兵標誌，且玩家會收到容量貼士郵件。
- 新增鬥士雕像：倫奇，來為你的城市增添更多光彩"&amp;"吧！
- 地下世界優化：優化了地下世界部分功能貼士。
&lt;/zh-TW&gt;
&lt;id&gt;
-Peringatan Kapasitas Luka Baru: ketika kapasitas unit terluka di Stasiun Medis melebihi 50%, ikon luka akan muncul di kiri atas layar dan kamu juga akan menerima surat pengingat.
-Patung Pejuang Baru: Wrench telah"&amp;" tiba. Tambahkan lebih banyak kemegahan ke kota kamu!
-Pembaruan Subterra: beberapa prompt fitur di Subterra telah diperbarui.
&lt;/id&gt;
&lt;th&gt;
-แจ้งเตือนความจุผู้บาดเจ็บใหม่: เมื่อความจุผู้บาดเจ็บของสถานีพยาบาลของคุณเกิน 50% จะมีไอคอนผู้บาดเจ็บปรากฏที่มุมบนซ้า"&amp;"ยของหน้าจอ และคุณจะได้รับจดหมายแจ้งเตือนด้วย
-รูปปั้นนักสู้ใหม่: Wrench มาถึงแล้ว เพิ่มความโดดเด่นให้กับเมืองของคุณ!
-อัปเดต Subterra: ปรับปรุงข้อความแจ้งเตือนฟีเจอร์หลายรายการใน Subterra
&lt;/th&gt;
&lt;es-419&gt;
-Nueva alerta de capacidad de heridos: cuando la cap"&amp;"acidad de heridos de tu estación médica supere el 50%, aparecerá un icono de herido en la parte superior izquierda de la pantalla y también recibirás un correo de recordatorio.
-Nueva estatua del luchador: Wrench ha llegado. ¡Añade más brillo a tu ciudad!"&amp;"
-Actualización de Subterra: se han mejorado varios avisos de funciones en Subterra.
&lt;/es-419&gt;
&lt;ru-RU&gt;
-Новое оповещение о вместимости раненых: когда вместимость раненых в вашем медпункте превышает 50%, в левом верхнем углу экрана появится значок раненого"&amp;", а также вы получите напоминание по почте.
-Новая статуя героя: Ключ прибыл. Добавьте больше блеска вашему городу!
-Обновление Subterra: несколько подсказок функций в Subterra были улучшены.
&lt;/ru-RU&gt;
&lt;tr-TR&gt;
-Yeni Yaralı Kapasite Uyarısı: Tedavi Merkezin"&amp;"in yaralı kapasitesi %50’yi aştığında, ekranın sol üstünde bir yaralı simgesi belirecek ve ayrıca bir hatırlatma postası alacaksın.
-Yeni Savaşçı Heykeli: İngiliz anahtarı vardı. Şehrine daha fazla parlaklık ekle!
-Subterra Güncellemesi: Subterra’daki çeş"&amp;"itli özellik bildirimleri geliştirildi.
&lt;/tr-TR&gt;
&lt;vi&gt;
-Cảnh báo sức chứa thương binh mới: Khi sức chứa thương binh của trạm y tế vượt quá 50%, một biểu tượng thương binh sẽ xuất hiện ở góc trên bên trái màn hình và bạn cũng sẽ nhận được một thư nhắc nhở.
"&amp;"-Tượng chiến binh mới: Wrench đã đến nơi. Thêm phần rực rỡ cho thành phố của bạn!
-Cập nhật Subterra: Một số thông báo tính năng trong Subterra đã được cải thiện.
&lt;/vi&gt;
&lt;it-IT&gt;
- Nuovo avviso capacità feriti: quando la capacità di feriti della tua Stazion"&amp;"e medica supera il 50%, apparirà un'icona dei feriti in alto a sinistra dello schermo e riceverai anche una posta di promemoria.
- Nuova statua del combattente: Wrench è arrivato. Aggiungi più splendore alla tua città!
- Aggiornamento Subterra: diversi su"&amp;"ggerimenti delle funzionalità nella Subterra sono stati perfezionati.
&lt;/it-IT&gt;
&lt;pl-PL&gt;
-Nowy alert o pojemności dla rannych: gdy pojemność rannych w stacji medycznej przekroczy 50%, w lewym górnym rogu ekranu pojawi się ikona rannego, a także otrzymasz pr"&amp;"zypomnienie w poczcie.
-Nowy pomnik wojownika: Klucz pojawił się na miejscu. Dodaj więcej blasku swojemu miastu!
-Aktualizacja Subterra: kilka komunikatów funkcji w Subterra zostało ulepszonych.
&lt;/pl-PL&gt;
&lt;ar&gt;
-تنبيه جديد لسعة الجرحى: عندما تتجاوز سعة الجر"&amp;"حى في المحطة الطبية 50%، سيظهر رمز جريح في أعلى يسار الشاشة وستتلقى أيضًا رسالة تذكير عبر البريد.
-تمثال مقاتل جديد: لقد وصل رينش. أضف المزيد من التألق إلى مدينتك!
-تحديث سبتيرا: تم تحسين عدة إشعارات للميزات في سبتيرا.
&lt;/ar&gt;
&lt;ja-JP&gt;
-新しい重傷者容量アラート：医療所の重傷者容"&amp;"量が50%を超えると、画面の左上に重傷アイコンが表示され、リマインダーメールも届きます。
-新しいファイターの像：レンチが到着しました。あなたの都市にさらなる輝きを追加しましょう！
-サブテラの更新：サブテラ内のいくつかの機能プロンプトが改善されました。
&lt;/ja-JP&gt;
&lt;ko-KR&gt;
-새로운 중상 용량 알림: 진료소의 중상 용량이 50%를 초과하면 화면 왼쪽 상단에 중상 아이콘이 표시되고, 알림 메일도 받게 됩니다.
-새로운 전사 석상: 렌치가 도착했습니다. 당신의 도시에 더 "&amp;"많은 빛을 추가하세요!
-서브테라 업데이트: 서브테라의 여러 기능 안내가 개선되었습니다.
&lt;/ko-KR&gt;
")</f>
        <v>&lt;en-US&gt;
-New Wounded Capacity Alert: when your Medical Station’s wounded capacity exceeds 50%, a wounded icon will appear in the top-left of the screen and you’ll also receive a reminder mail.
-New Fighter Statue: Wrench has arrived. Add more brilliance to your city!
-Subterra Update: several feature prompts in the Subterra have been refined.
&lt;/en-US&gt;
&lt;fr-FR&gt;
-Nouvelle alerte de capacité de blessés : lorsque la capacité de blessés de votre infirmerie dépasse 50 %, une icône de blessé apparaîtra en haut à gauche de l’écran et vous recevrez également un mail de rappel.
-Nouvelle statue du combattant : Wrench est arrivé. Ajoutez encore plus d’éclat à votre ville !
-Mise à jour Subterra : plusieurs messages d’aide dans la Subterra ont été améliorés.
&lt;/fr-FR&gt;
&lt;de-DE&gt;
-Neue Verwundeten-Kapazitätswarnung: Wenn die Verwundeten-Kapazität deines Lazaretts 50 % überschreitet, erscheint ein Verwundeten-Symbol oben links auf dem Bildschirm und du erhältst außerdem eine Erinnerungs-Mail.
-Neue Kämpfer-Statue: Wrench ist angekommen. Füge deiner Stadt noch mehr Glanz hinzu!
-Subterra-Aktualisierung: Mehrere Funktionshinweise in der Subterra wurden überarbeitet.
&lt;/de-DE&gt;
&lt;pt-BR&gt;
-Novo alerta de capacidade de feridos: quando a capacidade de feridos do seu posto médico ultrapassar 50%, um ícone de feridos aparecerá no canto superior esquerdo da tela e você também receberá um correio de lembrete.
-Nova estátua combatente: Wrench chegou. Adicione mais brilho à sua cidade!
-Atualização Subterra: vários avisos de recursos na Subterra foram aprimorados.
&lt;/pt-BR&gt;
&lt;zh-HK&gt;
- 新增醫療站傷兵容量貼士：醫療站傷兵容量超過50%時，遊戲介面左上角會顯示醫療站傷兵標誌，且玩家會收到容量貼士郵件。
- 新增鬥士雕像：倫奇，來為你的城市增添更多光彩吧！
- 地下世界優化：優化了地下世界部分功能貼士。
&lt;/zh-HK&gt;
&lt;zh-TW&gt;
- 新增醫療站傷兵容量貼士：醫療站傷兵容量超過50%時，遊戲介面左上角會顯示醫療站傷兵標誌，且玩家會收到容量貼士郵件。
- 新增鬥士雕像：倫奇，來為你的城市增添更多光彩吧！
- 地下世界優化：優化了地下世界部分功能貼士。
&lt;/zh-TW&gt;
&lt;id&gt;
-Peringatan Kapasitas Luka Baru: ketika kapasitas unit terluka di Stasiun Medis melebihi 50%, ikon luka akan muncul di kiri atas layar dan kamu juga akan menerima surat pengingat.
-Patung Pejuang Baru: Wrench telah tiba. Tambahkan lebih banyak kemegahan ke kota kamu!
-Pembaruan Subterra: beberapa prompt fitur di Subterra telah diperbarui.
&lt;/id&gt;
&lt;th&gt;
-แจ้งเตือนความจุผู้บาดเจ็บใหม่: เมื่อความจุผู้บาดเจ็บของสถานีพยาบาลของคุณเกิน 50% จะมีไอคอนผู้บาดเจ็บปรากฏที่มุมบนซ้ายของหน้าจอ และคุณจะได้รับจดหมายแจ้งเตือนด้วย
-รูปปั้นนักสู้ใหม่: Wrench มาถึงแล้ว เพิ่มความโดดเด่นให้กับเมืองของคุณ!
-อัปเดต Subterra: ปรับปรุงข้อความแจ้งเตือนฟีเจอร์หลายรายการใน Subterra
&lt;/th&gt;
&lt;es-419&gt;
-Nueva alerta de capacidad de heridos: cuando la capacidad de heridos de tu estación médica supere el 50%, aparecerá un icono de herido en la parte superior izquierda de la pantalla y también recibirás un correo de recordatorio.
-Nueva estatua del luchador: Wrench ha llegado. ¡Añade más brillo a tu ciudad!
-Actualización de Subterra: se han mejorado varios avisos de funciones en Subterra.
&lt;/es-419&gt;
&lt;ru-RU&gt;
-Новое оповещение о вместимости раненых: когда вместимость раненых в вашем медпункте превышает 50%, в левом верхнем углу экрана появится значок раненого, а также вы получите напоминание по почте.
-Новая статуя героя: Ключ прибыл. Добавьте больше блеска вашему городу!
-Обновление Subterra: несколько подсказок функций в Subterra были улучшены.
&lt;/ru-RU&gt;
&lt;tr-TR&gt;
-Yeni Yaralı Kapasite Uyarısı: Tedavi Merkezinin yaralı kapasitesi %50’yi aştığında, ekranın sol üstünde bir yaralı simgesi belirecek ve ayrıca bir hatırlatma postası alacaksın.
-Yeni Savaşçı Heykeli: İngiliz anahtarı vardı. Şehrine daha fazla parlaklık ekle!
-Subterra Güncellemesi: Subterra’daki çeşitli özellik bildirimleri geliştirildi.
&lt;/tr-TR&gt;
&lt;vi&gt;
-Cảnh báo sức chứa thương binh mới: Khi sức chứa thương binh của trạm y tế vượt quá 50%, một biểu tượng thương binh sẽ xuất hiện ở góc trên bên trái màn hình và bạn cũng sẽ nhận được một thư nhắc nhở.
-Tượng chiến binh mới: Wrench đã đến nơi. Thêm phần rực rỡ cho thành phố của bạn!
-Cập nhật Subterra: Một số thông báo tính năng trong Subterra đã được cải thiện.
&lt;/vi&gt;
&lt;it-IT&gt;
- Nuovo avviso capacità feriti: quando la capacità di feriti della tua Stazione medica supera il 50%, apparirà un'icona dei feriti in alto a sinistra dello schermo e riceverai anche una posta di promemoria.
- Nuova statua del combattente: Wrench è arrivato. Aggiungi più splendore alla tua città!
- Aggiornamento Subterra: diversi suggerimenti delle funzionalità nella Subterra sono stati perfezionati.
&lt;/it-IT&gt;
&lt;pl-PL&gt;
-Nowy alert o pojemności dla rannych: gdy pojemność rannych w stacji medycznej przekroczy 50%, w lewym górnym rogu ekranu pojawi się ikona rannego, a także otrzymasz przypomnienie w poczcie.
-Nowy pomnik wojownika: Klucz pojawił się na miejscu. Dodaj więcej blasku swojemu miastu!
-Aktualizacja Subterra: kilka komunikatów funkcji w Subterra zostało ulepszonych.
&lt;/pl-PL&gt;
&lt;ar&gt;
-تنبيه جديد لسعة الجرحى: عندما تتجاوز سعة الجرحى في المحطة الطبية 50%، سيظهر رمز جريح في أعلى يسار الشاشة وستتلقى أيضًا رسالة تذكير عبر البريد.
-تمثال مقاتل جديد: لقد وصل رينش. أضف المزيد من التألق إلى مدينتك!
-تحديث سبتيرا: تم تحسين عدة إشعارات للميزات في سبتيرا.
&lt;/ar&gt;
&lt;ja-JP&gt;
-新しい重傷者容量アラート：医療所の重傷者容量が50%を超えると、画面の左上に重傷アイコンが表示され、リマインダーメールも届きます。
-新しいファイターの像：レンチが到着しました。あなたの都市にさらなる輝きを追加しましょう！
-サブテラの更新：サブテラ内のいくつかの機能プロンプトが改善されました。
&lt;/ja-JP&gt;
&lt;ko-KR&gt;
-새로운 중상 용량 알림: 진료소의 중상 용량이 50%를 초과하면 화면 왼쪽 상단에 중상 아이콘이 표시되고, 알림 메일도 받게 됩니다.
-새로운 전사 석상: 렌치가 도착했습니다. 당신의 도시에 더 많은 빛을 추가하세요!
-서브테라 업데이트: 서브테라의 여러 기능 안내가 개선되었습니다.
&lt;/ko-KR&gt;
</v>
      </c>
      <c r="C91" s="169" t="str">
        <f>IFERROR(__xludf.DUMMYFUNCTION("""COMPUTED_VALUE"""),"-新增医疗站伤兵容量提示：医疗站伤兵容量超过50%时，游戏界面左上角会显示医疗站伤兵标志，且玩家会收到容量提示邮件。
-新增斗士雕像：伦奇，来为你的城市增添更多光彩吧！
-地下世界优化：优化了地下世界部分功能提示。")</f>
        <v>-新增医疗站伤兵容量提示：医疗站伤兵容量超过50%时，游戏界面左上角会显示医疗站伤兵标志，且玩家会收到容量提示邮件。
-新增斗士雕像：伦奇，来为你的城市增添更多光彩吧！
-地下世界优化：优化了地下世界部分功能提示。</v>
      </c>
      <c r="D91" s="169" t="str">
        <f>IFERROR(__xludf.DUMMYFUNCTION("""COMPUTED_VALUE"""),"-New Wounded Capacity Alert: when your Medical Station’s wounded capacity exceeds 50%, a wounded icon will appear in the top-left of the screen and you’ll also receive a reminder mail.
-New Fighter Statue: Wrench has arrived. Add more brilliance to your c"&amp;"ity!
-Subterra Update: several feature prompts in the Subterra have been refined.")</f>
        <v>-New Wounded Capacity Alert: when your Medical Station’s wounded capacity exceeds 50%, a wounded icon will appear in the top-left of the screen and you’ll also receive a reminder mail.
-New Fighter Statue: Wrench has arrived. Add more brilliance to your city!
-Subterra Update: several feature prompts in the Subterra have been refined.</v>
      </c>
      <c r="E91" s="108" t="str">
        <f>IFERROR(__xludf.DUMMYFUNCTION("""COMPUTED_VALUE"""),"-Nouvelle alerte de capacité de blessés : lorsque la capacité de blessés de votre infirmerie dépasse 50 %, une icône de blessé apparaîtra en haut à gauche de l’écran et vous recevrez également un mail de rappel.
-Nouvelle statue du combattant : Wrench est"&amp;" arrivé. Ajoutez encore plus d’éclat à votre ville !
-Mise à jour Subterra : plusieurs messages d’aide dans la Subterra ont été améliorés.")</f>
        <v>-Nouvelle alerte de capacité de blessés : lorsque la capacité de blessés de votre infirmerie dépasse 50 %, une icône de blessé apparaîtra en haut à gauche de l’écran et vous recevrez également un mail de rappel.
-Nouvelle statue du combattant : Wrench est arrivé. Ajoutez encore plus d’éclat à votre ville !
-Mise à jour Subterra : plusieurs messages d’aide dans la Subterra ont été améliorés.</v>
      </c>
      <c r="F91" s="108" t="str">
        <f>IFERROR(__xludf.DUMMYFUNCTION("""COMPUTED_VALUE"""),"-Neue Verwundeten-Kapazitätswarnung: Wenn die Verwundeten-Kapazität deines Lazaretts 50 % überschreitet, erscheint ein Verwundeten-Symbol oben links auf dem Bildschirm und du erhältst außerdem eine Erinnerungs-Mail.
-Neue Kämpfer-Statue: Wrench ist angeko"&amp;"mmen. Füge deiner Stadt noch mehr Glanz hinzu!
-Subterra-Aktualisierung: Mehrere Funktionshinweise in der Subterra wurden überarbeitet.")</f>
        <v>-Neue Verwundeten-Kapazitätswarnung: Wenn die Verwundeten-Kapazität deines Lazaretts 50 % überschreitet, erscheint ein Verwundeten-Symbol oben links auf dem Bildschirm und du erhältst außerdem eine Erinnerungs-Mail.
-Neue Kämpfer-Statue: Wrench ist angekommen. Füge deiner Stadt noch mehr Glanz hinzu!
-Subterra-Aktualisierung: Mehrere Funktionshinweise in der Subterra wurden überarbeitet.</v>
      </c>
      <c r="G91" s="108" t="str">
        <f>IFERROR(__xludf.DUMMYFUNCTION("""COMPUTED_VALUE"""),"-Novo alerta de capacidade de feridos: quando a capacidade de feridos do seu posto médico ultrapassar 50%, um ícone de feridos aparecerá no canto superior esquerdo da tela e você também receberá um correio de lembrete.
-Nova estátua combatente: Wrench che"&amp;"gou. Adicione mais brilho à sua cidade!
-Atualização Subterra: vários avisos de recursos na Subterra foram aprimorados.")</f>
        <v>-Novo alerta de capacidade de feridos: quando a capacidade de feridos do seu posto médico ultrapassar 50%, um ícone de feridos aparecerá no canto superior esquerdo da tela e você também receberá um correio de lembrete.
-Nova estátua combatente: Wrench chegou. Adicione mais brilho à sua cidade!
-Atualização Subterra: vários avisos de recursos na Subterra foram aprimorados.</v>
      </c>
      <c r="H91" s="108" t="str">
        <f>IFERROR(__xludf.DUMMYFUNCTION("""COMPUTED_VALUE"""),"- 新增醫療站傷兵容量貼士：醫療站傷兵容量超過50%時，遊戲介面左上角會顯示醫療站傷兵標誌，且玩家會收到容量貼士郵件。
- 新增鬥士雕像：倫奇，來為你的城市增添更多光彩吧！
- 地下世界優化：優化了地下世界部分功能貼士。")</f>
        <v>- 新增醫療站傷兵容量貼士：醫療站傷兵容量超過50%時，遊戲介面左上角會顯示醫療站傷兵標誌，且玩家會收到容量貼士郵件。
- 新增鬥士雕像：倫奇，來為你的城市增添更多光彩吧！
- 地下世界優化：優化了地下世界部分功能貼士。</v>
      </c>
      <c r="I91" s="108" t="str">
        <f>IFERROR(__xludf.DUMMYFUNCTION("""COMPUTED_VALUE"""),"-Peringatan Kapasitas Luka Baru: ketika kapasitas unit terluka di Stasiun Medis melebihi 50%, ikon luka akan muncul di kiri atas layar dan kamu juga akan menerima surat pengingat.
-Patung Pejuang Baru: Wrench telah tiba. Tambahkan lebih banyak kemegahan k"&amp;"e kota kamu!
-Pembaruan Subterra: beberapa prompt fitur di Subterra telah diperbarui.")</f>
        <v>-Peringatan Kapasitas Luka Baru: ketika kapasitas unit terluka di Stasiun Medis melebihi 50%, ikon luka akan muncul di kiri atas layar dan kamu juga akan menerima surat pengingat.
-Patung Pejuang Baru: Wrench telah tiba. Tambahkan lebih banyak kemegahan ke kota kamu!
-Pembaruan Subterra: beberapa prompt fitur di Subterra telah diperbarui.</v>
      </c>
      <c r="J91" s="108" t="str">
        <f>IFERROR(__xludf.DUMMYFUNCTION("""COMPUTED_VALUE"""),"-แจ้งเตือนความจุผู้บาดเจ็บใหม่: เมื่อความจุผู้บาดเจ็บของสถานีพยาบาลของคุณเกิน 50% จะมีไอคอนผู้บาดเจ็บปรากฏที่มุมบนซ้ายของหน้าจอ และคุณจะได้รับจดหมายแจ้งเตือนด้วย
-รูปปั้นนักสู้ใหม่: Wrench มาถึงแล้ว เพิ่มความโดดเด่นให้กับเมืองของคุณ!
-อัปเดต Subterra: ปรั"&amp;"บปรุงข้อความแจ้งเตือนฟีเจอร์หลายรายการใน Subterra")</f>
        <v>-แจ้งเตือนความจุผู้บาดเจ็บใหม่: เมื่อความจุผู้บาดเจ็บของสถานีพยาบาลของคุณเกิน 50% จะมีไอคอนผู้บาดเจ็บปรากฏที่มุมบนซ้ายของหน้าจอ และคุณจะได้รับจดหมายแจ้งเตือนด้วย
-รูปปั้นนักสู้ใหม่: Wrench มาถึงแล้ว เพิ่มความโดดเด่นให้กับเมืองของคุณ!
-อัปเดต Subterra: ปรับปรุงข้อความแจ้งเตือนฟีเจอร์หลายรายการใน Subterra</v>
      </c>
      <c r="K91" s="108" t="str">
        <f>IFERROR(__xludf.DUMMYFUNCTION("""COMPUTED_VALUE"""),"-Nueva alerta de capacidad de heridos: cuando la capacidad de heridos de tu estación médica supere el 50%, aparecerá un icono de herido en la parte superior izquierda de la pantalla y también recibirás un correo de recordatorio.
-Nueva estatua del luchado"&amp;"r: Wrench ha llegado. ¡Añade más brillo a tu ciudad!
-Actualización de Subterra: se han mejorado varios avisos de funciones en Subterra.")</f>
        <v>-Nueva alerta de capacidad de heridos: cuando la capacidad de heridos de tu estación médica supere el 50%, aparecerá un icono de herido en la parte superior izquierda de la pantalla y también recibirás un correo de recordatorio.
-Nueva estatua del luchador: Wrench ha llegado. ¡Añade más brillo a tu ciudad!
-Actualización de Subterra: se han mejorado varios avisos de funciones en Subterra.</v>
      </c>
      <c r="L91" s="108" t="str">
        <f>IFERROR(__xludf.DUMMYFUNCTION("""COMPUTED_VALUE"""),"-Новое оповещение о вместимости раненых: когда вместимость раненых в вашем медпункте превышает 50%, в левом верхнем углу экрана появится значок раненого, а также вы получите напоминание по почте.
-Новая статуя героя: Ключ прибыл. Добавьте больше блеска ва"&amp;"шему городу!
-Обновление Subterra: несколько подсказок функций в Subterra были улучшены.")</f>
        <v>-Новое оповещение о вместимости раненых: когда вместимость раненых в вашем медпункте превышает 50%, в левом верхнем углу экрана появится значок раненого, а также вы получите напоминание по почте.
-Новая статуя героя: Ключ прибыл. Добавьте больше блеска вашему городу!
-Обновление Subterra: несколько подсказок функций в Subterra были улучшены.</v>
      </c>
      <c r="M91" s="108" t="str">
        <f>IFERROR(__xludf.DUMMYFUNCTION("""COMPUTED_VALUE"""),"-Yeni Yaralı Kapasite Uyarısı: Tedavi Merkezinin yaralı kapasitesi %50’yi aştığında, ekranın sol üstünde bir yaralı simgesi belirecek ve ayrıca bir hatırlatma postası alacaksın.
-Yeni Savaşçı Heykeli: İngiliz anahtarı vardı. Şehrine daha fazla parlaklık e"&amp;"kle!
-Subterra Güncellemesi: Subterra’daki çeşitli özellik bildirimleri geliştirildi.")</f>
        <v>-Yeni Yaralı Kapasite Uyarısı: Tedavi Merkezinin yaralı kapasitesi %50’yi aştığında, ekranın sol üstünde bir yaralı simgesi belirecek ve ayrıca bir hatırlatma postası alacaksın.
-Yeni Savaşçı Heykeli: İngiliz anahtarı vardı. Şehrine daha fazla parlaklık ekle!
-Subterra Güncellemesi: Subterra’daki çeşitli özellik bildirimleri geliştirildi.</v>
      </c>
      <c r="N91" s="108" t="str">
        <f>IFERROR(__xludf.DUMMYFUNCTION("""COMPUTED_VALUE"""),"-Cảnh báo sức chứa thương binh mới: Khi sức chứa thương binh của trạm y tế vượt quá 50%, một biểu tượng thương binh sẽ xuất hiện ở góc trên bên trái màn hình và bạn cũng sẽ nhận được một thư nhắc nhở.
-Tượng chiến binh mới: Wrench đã đến nơi. Thêm phần rự"&amp;"c rỡ cho thành phố của bạn!
-Cập nhật Subterra: Một số thông báo tính năng trong Subterra đã được cải thiện.")</f>
        <v>-Cảnh báo sức chứa thương binh mới: Khi sức chứa thương binh của trạm y tế vượt quá 50%, một biểu tượng thương binh sẽ xuất hiện ở góc trên bên trái màn hình và bạn cũng sẽ nhận được một thư nhắc nhở.
-Tượng chiến binh mới: Wrench đã đến nơi. Thêm phần rực rỡ cho thành phố của bạn!
-Cập nhật Subterra: Một số thông báo tính năng trong Subterra đã được cải thiện.</v>
      </c>
      <c r="O91" s="108" t="str">
        <f>IFERROR(__xludf.DUMMYFUNCTION("""COMPUTED_VALUE"""),"- Nuovo avviso capacità feriti: quando la capacità di feriti della tua Stazione medica supera il 50%, apparirà un'icona dei feriti in alto a sinistra dello schermo e riceverai anche una posta di promemoria.
- Nuova statua del combattente: Wrench è arrivat"&amp;"o. Aggiungi più splendore alla tua città!
- Aggiornamento Subterra: diversi suggerimenti delle funzionalità nella Subterra sono stati perfezionati.")</f>
        <v>- Nuovo avviso capacità feriti: quando la capacità di feriti della tua Stazione medica supera il 50%, apparirà un'icona dei feriti in alto a sinistra dello schermo e riceverai anche una posta di promemoria.
- Nuova statua del combattente: Wrench è arrivato. Aggiungi più splendore alla tua città!
- Aggiornamento Subterra: diversi suggerimenti delle funzionalità nella Subterra sono stati perfezionati.</v>
      </c>
      <c r="P91" s="34" t="str">
        <f>IFERROR(__xludf.DUMMYFUNCTION("""COMPUTED_VALUE"""),"-Nowy alert o pojemności dla rannych: gdy pojemność rannych w stacji medycznej przekroczy 50%, w lewym górnym rogu ekranu pojawi się ikona rannego, a także otrzymasz przypomnienie w poczcie.
-Nowy pomnik wojownika: Klucz pojawił się na miejscu. Dodaj więc"&amp;"ej blasku swojemu miastu!
-Aktualizacja Subterra: kilka komunikatów funkcji w Subterra zostało ulepszonych.")</f>
        <v>-Nowy alert o pojemności dla rannych: gdy pojemność rannych w stacji medycznej przekroczy 50%, w lewym górnym rogu ekranu pojawi się ikona rannego, a także otrzymasz przypomnienie w poczcie.
-Nowy pomnik wojownika: Klucz pojawił się na miejscu. Dodaj więcej blasku swojemu miastu!
-Aktualizacja Subterra: kilka komunikatów funkcji w Subterra zostało ulepszonych.</v>
      </c>
      <c r="Q91" s="34" t="str">
        <f>IFERROR(__xludf.DUMMYFUNCTION("""COMPUTED_VALUE"""),"-تنبيه جديد لسعة الجرحى: عندما تتجاوز سعة الجرحى في المحطة الطبية 50%، سيظهر رمز جريح في أعلى يسار الشاشة وستتلقى أيضًا رسالة تذكير عبر البريد.
-تمثال مقاتل جديد: لقد وصل رينش. أضف المزيد من التألق إلى مدينتك!
-تحديث سبتيرا: تم تحسين عدة إشعارات للميزات ف"&amp;"ي سبتيرا.")</f>
        <v>-تنبيه جديد لسعة الجرحى: عندما تتجاوز سعة الجرحى في المحطة الطبية 50%، سيظهر رمز جريح في أعلى يسار الشاشة وستتلقى أيضًا رسالة تذكير عبر البريد.
-تمثال مقاتل جديد: لقد وصل رينش. أضف المزيد من التألق إلى مدينتك!
-تحديث سبتيرا: تم تحسين عدة إشعارات للميزات في سبتيرا.</v>
      </c>
      <c r="R91" s="34" t="str">
        <f>IFERROR(__xludf.DUMMYFUNCTION("""COMPUTED_VALUE"""),"-新しい重傷者容量アラート：医療所の重傷者容量が50%を超えると、画面の左上に重傷アイコンが表示され、リマインダーメールも届きます。
-新しいファイターの像：レンチが到着しました。あなたの都市にさらなる輝きを追加しましょう！
-サブテラの更新：サブテラ内のいくつかの機能プロンプトが改善されました。")</f>
        <v>-新しい重傷者容量アラート：医療所の重傷者容量が50%を超えると、画面の左上に重傷アイコンが表示され、リマインダーメールも届きます。
-新しいファイターの像：レンチが到着しました。あなたの都市にさらなる輝きを追加しましょう！
-サブテラの更新：サブテラ内のいくつかの機能プロンプトが改善されました。</v>
      </c>
      <c r="S91" s="34" t="str">
        <f>IFERROR(__xludf.DUMMYFUNCTION("""COMPUTED_VALUE"""),"-새로운 중상 용량 알림: 진료소의 중상 용량이 50%를 초과하면 화면 왼쪽 상단에 중상 아이콘이 표시되고, 알림 메일도 받게 됩니다.
-새로운 전사 석상: 렌치가 도착했습니다. 당신의 도시에 더 많은 빛을 추가하세요!
-서브테라 업데이트: 서브테라의 여러 기능 안내가 개선되었습니다.")</f>
        <v>-새로운 중상 용량 알림: 진료소의 중상 용량이 50%를 초과하면 화면 왼쪽 상단에 중상 아이콘이 표시되고, 알림 메일도 받게 됩니다.
-새로운 전사 석상: 렌치가 도착했습니다. 당신의 도시에 더 많은 빛을 추가하세요!
-서브테라 업데이트: 서브테라의 여러 기능 안내가 개선되었습니다.</v>
      </c>
      <c r="T91" s="108" t="str">
        <f>IFERROR(__xludf.DUMMYFUNCTION("""COMPUTED_VALUE"""),"-新增医疗站伤兵容量提示：医疗站伤兵容量超过50%时，游戏界面左上角会显示医疗站伤兵标志，且玩家会收到容量提示邮件。
-新增斗士雕像：伦奇，来为你的城市增添更多光彩吧！
-地下世界优化：优化了地下世界部分功能提示。")</f>
        <v>-新增医疗站伤兵容量提示：医疗站伤兵容量超过50%时，游戏界面左上角会显示医疗站伤兵标志，且玩家会收到容量提示邮件。
-新增斗士雕像：伦奇，来为你的城市增添更多光彩吧！
-地下世界优化：优化了地下世界部分功能提示。</v>
      </c>
      <c r="U91" s="108"/>
      <c r="V91" s="108"/>
      <c r="W91" s="108"/>
      <c r="X91" s="108"/>
      <c r="Y91" s="108"/>
      <c r="Z91" s="108"/>
    </row>
    <row r="92">
      <c r="A92" s="108"/>
      <c r="B92" s="108" t="str">
        <f>IFERROR(__xludf.DUMMYFUNCTION("""COMPUTED_VALUE"""),"&lt;en-US&gt;
-Fighter System: New Super Fighter ‘Cosmic Pathfinder - Elliot’! Elliot can Sync with any Legendary Fighter to gain that Fighter’s abilities.
-Gene Quests: Planet Wars now includes Gene Fragment Quests. Complete them to claim tier rewards.
-New Fi"&amp;"ghter Statue: Hilda. Add more brilliance to your city!
-Colin’s Exploration: Join the event to win Radar decorations and unlock special buffs!
&lt;/en-US&gt;
&lt;fr-FR&gt;
- Système de combattant : Nouveau super combattant « Éclaireur cosmique - Elliot » ! Elliot pe"&amp;"ut synchroniser avec tous les combattants légendaires pour obtenir leurs capacités.
- Quêtes de gène : Guerre planétaire inclut désormais des quêtes de fragment génétique. Terminez-les pour recevoir des récompenses de palier.
- Nouvelle statue du combatta"&amp;"nt : Hilda. Ajoutez plus de brillance à votre ville !
- Exploration de Colin : Rejoignez l’événement pour gagner des décorations radar et débloquer des boosts spéciaux !
&lt;/fr-FR&gt;
&lt;de-DE&gt;
- Kämpfer-System: Neuer Super-Kämpfer „Kosmischer Pfadfinder - Ellio"&amp;"t“! Elliot kann sich mit jedem legendären Kämpfer synchronisieren, um dessen Fähigkeiten zu erhalten.
- Gen-Quests: Planetenkriege enthalten jetzt Gen-Fragment-Quests. Schließe sie ab, um Stufenbelohnungen zu beanspruchen.
- Neue Kämpfer-Statue: Hilda. Fü"&amp;"ge deiner Stadt noch mehr Glanz hinzu!
- Colins Erkundung: Nimm am Event teil, um Radar-Dekorationen zu gewinnen und spezielle Buffs freizuschalten!
&lt;/de-DE&gt;
&lt;pt-BR&gt;
-Sistema de Combatente: Novo Super Combatente ‘Desbravador Cósmico - Elliot’! Elliot pode"&amp;" sincronizar com qualquer Combatente Lendário para obter as habilidades desse Combatente.
-Missões de Genes: Guerra Interplanetária agora inclui Missões de Fragmento de Genes. Complete-as para resgatar recompensas de nível.
-Nova Estátua Combatente: Hilda"&amp;". Adicione mais brilho à sua cidade!
-Exploração de Colin: Entre no evento para ganhar decorações de Radar e desbloquear auxílios especiais!
&lt;/pt-BR&gt;
&lt;zh-HK&gt;
-鬥士系統：新增超凡品質鬥士「天外探索者-艾里奧特」！艾里奧特可與任意傳說英雄進行同頻，取得該鬥士的能力。
-基因任務：銀河戰爭玩法新增基因消耗任務，完成後可領取對應檔位獎勵。
-新增鬥士雕像："&amp;"希爾達，來為你的城市增添更多光彩吧！
-科林的探索：參與活動贏取雷達裝飾，解鎖特殊增益效果！
&lt;/zh-HK&gt;
&lt;zh-TW&gt;
-鬥士系統：新增超凡品質鬥士「天外探索者-艾里奧特」！艾里奧特可與任意傳說英雄進行同頻，取得該鬥士的能力。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&lt;/zh-TW&gt;
&lt;id&gt;
-Sistem Pejuang: Pejuang Super Ba"&amp;"ru ‘Perintis Kosmik - Elliot’! Elliot dapat Sinkronisasi dengan Pejuang Legendaris mana pun untuk mendapatkan kemampuan Pejuang tersebut.
-Tantangan Gen: Perang Planet sekarang mencakup Tantangan Potongan Gen. Selesaikan untuk klaim hadiah tingkat.
-Patun"&amp;"g Pejuang Baru: Hilda. Tambahkan lebih banyak kemegahan ke kota kamu!
-Eksplorasi Colin: Bergabunglah dalam event untuk memenangkan dekorasi Radar dan buka keunggulan spesial!
&lt;/id&gt;
&lt;th&gt;
-ระบบนักสู้: นักสู้ซูเปอร์ตัวใหม่ ‘นักบุกเบิกแห่งคอสโม - เอลเลียต’! "&amp;"เอลเลียตสามารถซิงค์กับนักสู้ระดับตำนานใดๆ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-รูปปั้นนักสู้ใหม่: ฮิลดา เพิ่มความโดดเด่นให้เมืองของคุณ!  
-การสำรวจของโคลิน: เข้า"&amp;"ร่วมกิจกรรมเพื่อชิงรางวัลการตกแต่งเรดาร์และปลดล็อกบัฟพิเศษ!
&lt;/th&gt;
&lt;es-419&gt;
-Sistema de Luchador: ¡Nuevo Súper Luchador ‘Pionero Cósmico - Elliot’! Elliot puede sincronizarse con cualquier Luchador Legendario para obtener las habilidades de ese Luchador.
-"&amp;"Misiones de Gen: Guerras Planetarias ahora incluye Misiones de Fragmento de Gen. Complétalas para reclamar recompensas de nivel.
-Nueva Estatua del Luchador: Hilda. ¡Añade más brillo a tu ciudad!
-Exploración de Colin: Únete al evento para ganar decoracio"&amp;"nes de Radar y desbloquear bonificaciones especiales.
&lt;/es-419&gt;
&lt;ru-RU&gt;
-Система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"&amp;"Планетарных войнах теперь доступны задания на фрагменты гена. Завершайте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"&amp;"открыть специальные усиления!
&lt;/ru-RU&gt;
&lt;tr-TR&gt;
-Savaşçı Sistemi: Yeni Süper Savaşçı ‘Kozmik Yol Bulucu - Elliot’! Elliot, herhangi bir Efsanevi Savaşçı ile Senkronize olarak o Savaşçının yeteneklerini kazanabilir.
-Gen Maceraları: Gezegen Savaşları artık "&amp;"Gen Parçası Maceralarını içeriyor. Tamamla ve kademe ödüllerini al.
-Yeni Savaşçı Heykeli: Hilda. Şehrine daha fazla parlaklık kat!
-Colin’in Keşfi: Etkinliğe katıl, Radar süslemeleri kazan ve özel güçlendiricilerin kilidini aç!
&lt;/tr-TR&gt;
&lt;vi&gt;
-Hệ Thống Ch"&amp;"iến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nhận thưởng "&amp;"bậc.
-Tượng Chiến Binh Mới: Hilda. Thêm rực rỡ cho thành phố của bạn!
-Khám Phá Của Colin: Tham gia sự kiện để nhận đồ trang trí Ra-đa và mở khóa hiệu ứng có lợi đặc biệt!
&lt;/vi&gt;
&lt;it-IT&gt;
-Sistema Combattente: Nuovo super combattente """"Pioniere Cosmico - "&amp;"Elliot""""! Elliot può sincronizzarsi con qualsiasi combattente leggendario per ottenere le sue abilità.
-Missioni Gene: Guerre Planetarie ora include Missioni Frammento di Gene. Completale per riscattare ricompense di classe.
-Nuova Statua del Combattent"&amp;"e: Hilda. Aggiungi ancora più brillantezza alla tua città!
-Esplorazione di Colin: Partecipa all'evento per vincere decorazioni radar e sbloccare benefici speciali!
&lt;/it-IT&gt;
&lt;pl-PL&gt;
-System Wojowników: Nowy super wojownik „Kosmiczny Pionier - Elliot”! Ell"&amp;"iot może synchronizować z dowolnym legendarnym wojownikiem, aby zdobyć jego umiejętności.
-Zadania Genów: Wojny Planet teraz obejmują zadania na fragmenty genów. Wykonaj je, aby odebrać nagrody za poziom.
-Nowy Pomnik Wojownika: Hilda. Dodaj więcej blasku"&amp;" swojemu miastu!
-Ekspedycja Colina: Dołącz do wydarzenia, aby wygrać dekoracje radaru i odblokować specjalne wzmocnienia!
&lt;/pl-PL&gt;
&lt;ar&gt;
-نظام المقاتلون: المقاتل الخارق الجديد ""مكتشف المسارات الكونية - إليوت""! يمكن لإليوت مزامنة مع أي مقاتل أسطوري لاكتس"&amp;"اب قدرات ذلك المقاتل.
-مهام الجينات: حروب الكوكب تتضمن الآن مهام شظية الجينات. اكملها لاكتساب جوائز المستوى.
-حالة المقاتل الجديدة: هيلدا. أضف المزيد من التألق إلى مدينتك!
-استكشاف كولن: انضم إلى الحدث للفوز بزينة الرادار وفتح التعزيزات الخاصة!
&lt;/ar&gt;
&lt;ja-"&amp;"JP&gt;
-ファイターシステム：新しいスーパー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
&lt;/ja-JP&gt;
&lt;ko-KR&gt;
-전사"&amp;"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
&lt;/ko-KR&gt;
")</f>
        <v>&lt;en-US&gt;
-Fighter System: New Super Fighter ‘Cosmic Pathfinder - Elliot’! Elliot can Sync with any Legendary Fighter to gain that Fighter’s abilities.
-Gene Quests: Planet Wars now includes Gene Fragment Quests. Complete them to claim tier rewards.
-New Fighter Statue: Hilda. Add more brilliance to your city!
-Colin’s Exploration: Join the event to win Radar decorations and unlock special buffs!
&lt;/en-US&gt;
&lt;fr-FR&gt;
- Système de combattant : Nouveau super combattant « Éclaireur cosmique - Elliot » ! Elliot peut synchroniser avec tous les combattants légendaires pour obtenir leurs capacités.
- Quêtes de gène : Guerre planétaire inclut désormais des quêtes de fragment génétique. Terminez-les pour recevoir des récompenses de palier.
- Nouvelle statue du combattant : Hilda. Ajoutez plus de brillance à votre ville !
- Exploration de Colin : Rejoignez l’événement pour gagner des décorations radar et débloquer des boosts spéciaux !
&lt;/fr-FR&gt;
&lt;de-DE&gt;
- Kämpfer-System: Neuer Super-Kämpfer „Kosmischer Pfadfinder - Elliot“! Elliot kann sich mit jedem legendären Kämpfer synchronisieren, um dessen Fähigkeiten zu erhalten.
- Gen-Quests: Planetenkriege enthalten jetzt Gen-Fragment-Quests. Schließe sie ab, um Stufenbelohnungen zu beanspruchen.
- Neue Kämpfer-Statue: Hilda. Füge deiner Stadt noch mehr Glanz hinzu!
- Colins Erkundung: Nimm am Event teil, um Radar-Dekorationen zu gewinnen und spezielle Buffs freizuschalten!
&lt;/de-DE&gt;
&lt;pt-BR&gt;
-Sistema de Combatente: Novo Super Combatente ‘Desbravador Cósmico - Elliot’! Elliot pode sincronizar com qualquer Combatente Lendário para obter as habilidades desse Combatente.
-Missões de Genes: Guerra Interplanetária agora inclui Missões de Fragmento de Genes. Complete-as para resgatar recompensas de nível.
-Nova Estátua Combatente: Hilda. Adicione mais brilho à sua cidade!
-Exploração de Colin: Entre no evento para ganhar decorações de Radar e desbloquear auxílios especiais!
&lt;/pt-BR&gt;
&lt;zh-HK&gt;
-鬥士系統：新增超凡品質鬥士「天外探索者-艾里奧特」！艾里奧特可與任意傳說英雄進行同頻，取得該鬥士的能力。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&lt;/zh-HK&gt;
&lt;zh-TW&gt;
-鬥士系統：新增超凡品質鬥士「天外探索者-艾里奧特」！艾里奧特可與任意傳說英雄進行同頻，取得該鬥士的能力。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&lt;/zh-TW&gt;
&lt;id&gt;
-Sistem Pejuang: Pejuang Super Baru ‘Perintis Kosmik - Elliot’! Elliot dapat Sinkronisasi dengan Pejuang Legendaris mana pun untuk mendapatkan kemampuan Pejuang tersebut.
-Tantangan Gen: Perang Planet sekarang mencakup Tantangan Potongan Gen. Selesaikan untuk klaim hadiah tingkat.
-Patung Pejuang Baru: Hilda. Tambahkan lebih banyak kemegahan ke kota kamu!
-Eksplorasi Colin: Bergabunglah dalam event untuk memenangkan dekorasi Radar dan buka keunggulan spesial!
&lt;/id&gt;
&lt;th&gt;
-ระบบนักสู้: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
&lt;/th&gt;
&lt;es-419&gt;
-Sistema de Luchador: ¡Nuevo Súper Luchador ‘Pionero Cósmico - Elliot’! Elliot puede sincronizarse con cualquier Luchador Legendario para obtener las habilidades de ese Luchador.
-Misiones de Gen: Guerras Planetarias ahora incluye Misiones de Fragmento de Gen. Complétalas para reclamar recompensas de nivel.
-Nueva Estatua del Luchador: Hilda. ¡Añade más brillo a tu ciudad!
-Exploración de Colin: Únete al evento para ganar decoraciones de Radar y desbloquear bonificaciones especiales.
&lt;/es-419&gt;
&lt;ru-RU&gt;
-Система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
&lt;/ru-RU&gt;
&lt;tr-TR&gt;
-Savaşçı Sistemi: Yeni Süper Savaşçı ‘Kozmik Yol Bulucu - Elliot’! Elliot, herhangi bir Efsanevi Savaşçı ile Senkronize olarak o Savaşçının yeteneklerini kazanabilir.
-Gen Maceraları: Gezegen Savaşları artık Gen Parçası Maceralarını içeriyor. Tamamla ve kademe ödüllerini al.
-Yeni Savaşçı Heykeli: Hilda. Şehrine daha fazla parlaklık kat!
-Colin’in Keşfi: Etkinliğe katıl, Radar süslemeleri kazan ve özel güçlendiricilerin kilidini aç!
&lt;/tr-TR&gt;
&lt;vi&gt;
-Hệ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nhận thưởng bậc.
-Tượng Chiến Binh Mới: Hilda. Thêm rực rỡ cho thành phố của bạn!
-Khám Phá Của Colin: Tham gia sự kiện để nhận đồ trang trí Ra-đa và mở khóa hiệu ứng có lợi đặc biệt!
&lt;/vi&gt;
&lt;it-IT&gt;
-Sistema Combattente: Nuovo super combattente ""Pioniere Cosmico - Elliot""! Elliot può sincronizzarsi con qualsiasi combattente leggendario per ottenere le sue abilità.
-Missioni Gene: Guerre Planetarie ora include Missioni Frammento di Gene. Completale per riscattare ricompense di classe.
-Nuova Statua del Combattente: Hilda. Aggiungi ancora più brillantezza alla tua città!
-Esplorazione di Colin: Partecipa all'evento per vincere decorazioni radar e sbloccare benefici speciali!
&lt;/it-IT&gt;
&lt;pl-PL&gt;
-System Wojowników: Nowy super wojownik „Kosmiczny Pionier - Elliot”! Elliot może synchronizować z dowolnym legendarnym wojownikiem, aby zdobyć jego umiejętności.
-Zadania Genów: Wojny Planet teraz obejmują zadania na fragmenty genów. Wykonaj je, aby odebrać nagrody za poziom.
-Nowy Pomnik Wojownika: Hilda. Dodaj więcej blasku swojemu miastu!
-Ekspedycja Colina: Dołącz do wydarzenia, aby wygrać dekoracje radaru i odblokować specjalne wzmocnienia!
&lt;/pl-PL&gt;
&lt;ar&gt;
-نظام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 أضف المزيد من التألق إلى مدينتك!
-استكشاف كولن: انضم إلى الحدث للفوز بزينة الرادار وفتح التعزيزات الخاصة!
&lt;/ar&gt;
&lt;ja-JP&gt;
-ファイターシステム：新しいスーパー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
&lt;/ja-JP&gt;
&lt;ko-KR&gt;
-전사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
&lt;/ko-KR&gt;
</v>
      </c>
      <c r="C92" s="108" t="str">
        <f>IFERROR(__xludf.DUMMYFUNCTION("""COMPUTED_VALUE"""),"-斗士系统：新增超凡品质斗士“天外探索者-艾里奥特”！艾里奥特可与任意传说斗士进行同频，获取该斗士的能力。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f>
        <v>-斗士系统：新增超凡品质斗士“天外探索者-艾里奥特”！艾里奥特可与任意传说斗士进行同频，获取该斗士的能力。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v>
      </c>
      <c r="D92" s="108" t="str">
        <f>IFERROR(__xludf.DUMMYFUNCTION("""COMPUTED_VALUE"""),"-Fighter System: New Super Fighter ‘Cosmic Pathfinder - Elliot’! Elliot can Sync with any Legendary Fighter to gain that Fighter’s abilities.
-Gene Quests: Planet Wars now includes Gene Fragment Quests. Complete them to claim tier rewards.
-New Fighter St"&amp;"atue: Hilda. Add more brilliance to your city!
-Colin’s Exploration: Join the event to win Radar decorations and unlock special buffs!
")</f>
        <v>-Fighter System: New Super Fighter ‘Cosmic Pathfinder - Elliot’! Elliot can Sync with any Legendary Fighter to gain that Fighter’s abilities.
-Gene Quests: Planet Wars now includes Gene Fragment Quests. Complete them to claim tier rewards.
-New Fighter Statue: Hilda. Add more brilliance to your city!
-Colin’s Exploration: Join the event to win Radar decorations and unlock special buffs!
</v>
      </c>
      <c r="E92" s="108" t="str">
        <f>IFERROR(__xludf.DUMMYFUNCTION("""COMPUTED_VALUE"""),"- Système de combattant : Nouveau super combattant « Éclaireur cosmique - Elliot » ! Elliot peut synchroniser avec tous les combattants légendaires pour obtenir leurs capacités.
- Quêtes de gène : Guerre planétaire inclut désormais des quêtes de fragment "&amp;"génétique. Terminez-les pour recevoir des récompenses de palier.
- Nouvelle statue du combattant : Hilda. Ajoutez plus de brillance à votre ville !
- Exploration de Colin : Rejoignez l’événement pour gagner des décorations radar et débloquer des boosts sp"&amp;"éciaux !")</f>
        <v>- Système de combattant : Nouveau super combattant « Éclaireur cosmique - Elliot » ! Elliot peut synchroniser avec tous les combattants légendaires pour obtenir leurs capacités.
- Quêtes de gène : Guerre planétaire inclut désormais des quêtes de fragment génétique. Terminez-les pour recevoir des récompenses de palier.
- Nouvelle statue du combattant : Hilda. Ajoutez plus de brillance à votre ville !
- Exploration de Colin : Rejoignez l’événement pour gagner des décorations radar et débloquer des boosts spéciaux !</v>
      </c>
      <c r="F92" s="108" t="str">
        <f>IFERROR(__xludf.DUMMYFUNCTION("""COMPUTED_VALUE"""),"- Kämpfer-System: Neuer Super-Kämpfer „Kosmischer Pfadfinder - Elliot“! Elliot kann sich mit jedem legendären Kämpfer synchronisieren, um dessen Fähigkeiten zu erhalten.
- Gen-Quests: Planetenkriege enthalten jetzt Gen-Fragment-Quests. Schließe sie ab, um"&amp;" Stufenbelohnungen zu beanspruchen.
- Neue Kämpfer-Statue: Hilda. Füge deiner Stadt noch mehr Glanz hinzu!
- Colins Erkundung: Nimm am Event teil, um Radar-Dekorationen zu gewinnen und spezielle Buffs freizuschalten!")</f>
        <v>- Kämpfer-System: Neuer Super-Kämpfer „Kosmischer Pfadfinder - Elliot“! Elliot kann sich mit jedem legendären Kämpfer synchronisieren, um dessen Fähigkeiten zu erhalten.
- Gen-Quests: Planetenkriege enthalten jetzt Gen-Fragment-Quests. Schließe sie ab, um Stufenbelohnungen zu beanspruchen.
- Neue Kämpfer-Statue: Hilda. Füge deiner Stadt noch mehr Glanz hinzu!
- Colins Erkundung: Nimm am Event teil, um Radar-Dekorationen zu gewinnen und spezielle Buffs freizuschalten!</v>
      </c>
      <c r="G92" s="108" t="str">
        <f>IFERROR(__xludf.DUMMYFUNCTION("""COMPUTED_VALUE"""),"-Sistema de Combatente: Novo Super Combatente ‘Desbravador Cósmico - Elliot’! Elliot pode sincronizar com qualquer Combatente Lendário para obter as habilidades desse Combatente.
-Missões de Genes: Guerra Interplanetária agora inclui Missões de Fragmento "&amp;"de Genes. Complete-as para resgatar recompensas de nível.
-Nova Estátua Combatente: Hilda. Adicione mais brilho à sua cidade!
-Exploração de Colin: Entre no evento para ganhar decorações de Radar e desbloquear auxílios especiais!")</f>
        <v>-Sistema de Combatente: Novo Super Combatente ‘Desbravador Cósmico - Elliot’! Elliot pode sincronizar com qualquer Combatente Lendário para obter as habilidades desse Combatente.
-Missões de Genes: Guerra Interplanetária agora inclui Missões de Fragmento de Genes. Complete-as para resgatar recompensas de nível.
-Nova Estátua Combatente: Hilda. Adicione mais brilho à sua cidade!
-Exploração de Colin: Entre no evento para ganhar decorações de Radar e desbloquear auxílios especiais!</v>
      </c>
      <c r="H92" s="108" t="str">
        <f>IFERROR(__xludf.DUMMYFUNCTION("""COMPUTED_VALUE"""),"-鬥士系統：新增超凡品質鬥士「天外探索者-艾里奧特」！艾里奧特可與任意傳說英雄進行同頻，取得該鬥士的能力。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f>
        <v>-鬥士系統：新增超凡品質鬥士「天外探索者-艾里奧特」！艾里奧特可與任意傳說英雄進行同頻，取得該鬥士的能力。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v>
      </c>
      <c r="I92" s="108" t="str">
        <f>IFERROR(__xludf.DUMMYFUNCTION("""COMPUTED_VALUE"""),"-Sistem Pejuang: Pejuang Super Baru ‘Perintis Kosmik - Elliot’! Elliot dapat Sinkronisasi dengan Pejuang Legendaris mana pun untuk mendapatkan kemampuan Pejuang tersebut.
-Tantangan Gen: Perang Planet sekarang mencakup Tantangan Potongan Gen. Selesaikan u"&amp;"ntuk klaim hadiah tingkat.
-Patung Pejuang Baru: Hilda. Tambahkan lebih banyak kemegahan ke kota kamu!
-Eksplorasi Colin: Bergabunglah dalam event untuk memenangkan dekorasi Radar dan buka keunggulan spesial!")</f>
        <v>-Sistem Pejuang: Pejuang Super Baru ‘Perintis Kosmik - Elliot’! Elliot dapat Sinkronisasi dengan Pejuang Legendaris mana pun untuk mendapatkan kemampuan Pejuang tersebut.
-Tantangan Gen: Perang Planet sekarang mencakup Tantangan Potongan Gen. Selesaikan untuk klaim hadiah tingkat.
-Patung Pejuang Baru: Hilda. Tambahkan lebih banyak kemegahan ke kota kamu!
-Eksplorasi Colin: Bergabunglah dalam event untuk memenangkan dekorasi Radar dan buka keunggulan spesial!</v>
      </c>
      <c r="J92" s="108" t="str">
        <f>IFERROR(__xludf.DUMMYFUNCTION("""COMPUTED_VALUE"""),"-ระบบนักสู้: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-รูปปั้นนักสู้ใ"&amp;"หม่: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f>
        <v>-ระบบนักสู้: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v>
      </c>
      <c r="K92" s="108" t="str">
        <f>IFERROR(__xludf.DUMMYFUNCTION("""COMPUTED_VALUE"""),"-Sistema de Luchador: ¡Nuevo Súper Luchador ‘Pionero Cósmico - Elliot’! Elliot puede sincronizarse con cualquier Luchador Legendario para obtener las habilidades de ese Luchador.
-Misiones de Gen: Guerras Planetarias ahora incluye Misiones de Fragmento de"&amp;" Gen. Complétalas para reclamar recompensas de nivel.
-Nueva Estatua del Luchador: Hilda. ¡Añade más brillo a tu ciudad!
-Exploración de Colin: Únete al evento para ganar decoraciones de Radar y desbloquear bonificaciones especiales.")</f>
        <v>-Sistema de Luchador: ¡Nuevo Súper Luchador ‘Pionero Cósmico - Elliot’! Elliot puede sincronizarse con cualquier Luchador Legendario para obtener las habilidades de ese Luchador.
-Misiones de Gen: Guerras Planetarias ahora incluye Misiones de Fragmento de Gen. Complétalas para reclamar recompensas de nivel.
-Nueva Estatua del Luchador: Hilda. ¡Añade más brillo a tu ciudad!
-Exploración de Colin: Únete al evento para ganar decoraciones de Radar y desbloquear bonificaciones especiales.</v>
      </c>
      <c r="L92" s="108" t="str">
        <f>IFERROR(__xludf.DUMMYFUNCTION("""COMPUTED_VALUE"""),"-Система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Завершайте"&amp;"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f>
        <v>-Система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v>
      </c>
      <c r="M92" s="108" t="str">
        <f>IFERROR(__xludf.DUMMYFUNCTION("""COMPUTED_VALUE"""),"-Savaşçı Sistemi: Yeni Süper Savaşçı ‘Kozmik Yol Bulucu - Elliot’! Elliot, herhangi bir Efsanevi Savaşçı ile Senkronize olarak o Savaşçının yeteneklerini kazanabilir.
-Gen Maceraları: Gezegen Savaşları artık Gen Parçası Maceralarını içeriyor. Tamamla ve k"&amp;"ademe ödüllerini al.
-Yeni Savaşçı Heykeli: Hilda. Şehrine daha fazla parlaklık kat!
-Colin’in Keşfi: Etkinliğe katıl, Radar süslemeleri kazan ve özel güçlendiricilerin kilidini aç!")</f>
        <v>-Savaşçı Sistemi: Yeni Süper Savaşçı ‘Kozmik Yol Bulucu - Elliot’! Elliot, herhangi bir Efsanevi Savaşçı ile Senkronize olarak o Savaşçının yeteneklerini kazanabilir.
-Gen Maceraları: Gezegen Savaşları artık Gen Parçası Maceralarını içeriyor. Tamamla ve kademe ödüllerini al.
-Yeni Savaşçı Heykeli: Hilda. Şehrine daha fazla parlaklık kat!
-Colin’in Keşfi: Etkinliğe katıl, Radar süslemeleri kazan ve özel güçlendiricilerin kilidini aç!</v>
      </c>
      <c r="N92" s="108" t="str">
        <f>IFERROR(__xludf.DUMMYFUNCTION("""COMPUTED_VALUE"""),"-Hệ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"&amp;"nhận thưởng bậc.
-Tượng Chiến Binh Mới: Hilda. Thêm rực rỡ cho thành phố của bạn!
-Khám Phá Của Colin: Tham gia sự kiện để nhận đồ trang trí Ra-đa và mở khóa hiệu ứng có lợi đặc biệt!")</f>
        <v>-Hệ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nhận thưởng bậc.
-Tượng Chiến Binh Mới: Hilda. Thêm rực rỡ cho thành phố của bạn!
-Khám Phá Của Colin: Tham gia sự kiện để nhận đồ trang trí Ra-đa và mở khóa hiệu ứng có lợi đặc biệt!</v>
      </c>
      <c r="O92" s="108" t="str">
        <f>IFERROR(__xludf.DUMMYFUNCTION("""COMPUTED_VALUE"""),"-Sistema Combattente: Nuovo super combattente """"Pioniere Cosmico - Elliot""""! Elliot può sincronizzarsi con qualsiasi combattente leggendario per ottenere le sue abilità.
-Missioni Gene: Guerre Planetarie ora include Missioni Frammento di Gene. Complet"&amp;"ale per riscattare ricompense di classe.
-Nuova Statua del Combattente: Hilda. Aggiungi ancora più brillantezza alla tua città!
-Esplorazione di Colin: Partecipa all'evento per vincere decorazioni radar e sbloccare benefici speciali!")</f>
        <v>-Sistema Combattente: Nuovo super combattente ""Pioniere Cosmico - Elliot""! Elliot può sincronizzarsi con qualsiasi combattente leggendario per ottenere le sue abilità.
-Missioni Gene: Guerre Planetarie ora include Missioni Frammento di Gene. Completale per riscattare ricompense di classe.
-Nuova Statua del Combattente: Hilda. Aggiungi ancora più brillantezza alla tua città!
-Esplorazione di Colin: Partecipa all'evento per vincere decorazioni radar e sbloccare benefici speciali!</v>
      </c>
      <c r="P92" s="34" t="str">
        <f>IFERROR(__xludf.DUMMYFUNCTION("""COMPUTED_VALUE"""),"-System Wojowników: Nowy super wojownik „Kosmiczny Pionier - Elliot”! Elliot może synchronizować z dowolnym legendarnym wojownikiem, aby zdobyć jego umiejętności.
-Zadania Genów: Wojny Planet teraz obejmują zadania na fragmenty genów. Wykonaj je, aby odeb"&amp;"rać nagrody za poziom.
-Nowy Pomnik Wojownika: Hilda. Dodaj więcej blasku swojemu miastu!
-Ekspedycja Colina: Dołącz do wydarzenia, aby wygrać dekoracje radaru i odblokować specjalne wzmocnienia!")</f>
        <v>-System Wojowników: Nowy super wojownik „Kosmiczny Pionier - Elliot”! Elliot może synchronizować z dowolnym legendarnym wojownikiem, aby zdobyć jego umiejętności.
-Zadania Genów: Wojny Planet teraz obejmują zadania na fragmenty genów. Wykonaj je, aby odebrać nagrody za poziom.
-Nowy Pomnik Wojownika: Hilda. Dodaj więcej blasku swojemu miastu!
-Ekspedycja Colina: Dołącz do wydarzenia, aby wygrać dekoracje radaru i odblokować specjalne wzmocnienia!</v>
      </c>
      <c r="Q92" s="34" t="str">
        <f>IFERROR(__xludf.DUMMYFUNCTION("""COMPUTED_VALUE"""),"-نظام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هيلدا"&amp;". أضف المزيد من التألق إلى مدينتك!
-استكشاف كولن: انضم إلى الحدث للفوز بزينة الرادار وفتح التعزيزات الخاصة!")</f>
        <v>-نظام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 أضف المزيد من التألق إلى مدينتك!
-استكشاف كولن: انضم إلى الحدث للفوز بزينة الرادار وفتح التعزيزات الخاصة!</v>
      </c>
      <c r="R92" s="34" t="str">
        <f>IFERROR(__xludf.DUMMYFUNCTION("""COMPUTED_VALUE"""),"-ファイターシステム：新しいスーパー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f>
        <v>-ファイターシステム：新しいスーパー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v>
      </c>
      <c r="S92" s="34" t="str">
        <f>IFERROR(__xludf.DUMMYFUNCTION("""COMPUTED_VALUE"""),"-전사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f>
        <v>-전사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v>
      </c>
      <c r="T92" s="108" t="str">
        <f>IFERROR(__xludf.DUMMYFUNCTION("""COMPUTED_VALUE"""),"-斗士系统：新增超凡品质斗士“天外探索者-艾里奥特”！艾里奥特可与任意传说斗士进行同频，获取该斗士的能力。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f>
        <v>-斗士系统：新增超凡品质斗士“天外探索者-艾里奥特”！艾里奥特可与任意传说斗士进行同频，获取该斗士的能力。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v>
      </c>
      <c r="U92" s="108"/>
      <c r="V92" s="108"/>
      <c r="W92" s="108"/>
      <c r="X92" s="108"/>
      <c r="Y92" s="108"/>
      <c r="Z92" s="108"/>
    </row>
    <row r="93">
      <c r="A93" s="108"/>
      <c r="B93" s="108"/>
      <c r="C93" s="108"/>
      <c r="D93" s="108"/>
      <c r="E93" s="108"/>
      <c r="F93" s="108"/>
      <c r="G93" s="108"/>
      <c r="H93" s="108"/>
      <c r="I93" s="108"/>
      <c r="J93" s="108"/>
      <c r="K93" s="108"/>
      <c r="L93" s="108"/>
      <c r="M93" s="108"/>
      <c r="N93" s="108"/>
      <c r="O93" s="108"/>
      <c r="P93" s="34"/>
      <c r="Q93" s="34"/>
      <c r="R93" s="34"/>
      <c r="S93" s="34"/>
      <c r="T93" s="108"/>
      <c r="U93" s="108"/>
      <c r="V93" s="108"/>
      <c r="W93" s="108"/>
      <c r="X93" s="108"/>
      <c r="Y93" s="108"/>
      <c r="Z93" s="108"/>
    </row>
    <row r="94">
      <c r="A94" s="108"/>
      <c r="B94" s="108"/>
      <c r="C94" s="108"/>
      <c r="D94" s="108"/>
      <c r="E94" s="108"/>
      <c r="F94" s="108"/>
      <c r="G94" s="108"/>
      <c r="H94" s="108"/>
      <c r="I94" s="108"/>
      <c r="J94" s="108"/>
      <c r="K94" s="108"/>
      <c r="L94" s="108"/>
      <c r="M94" s="108"/>
      <c r="N94" s="108"/>
      <c r="O94" s="108"/>
      <c r="P94" s="34"/>
      <c r="Q94" s="34"/>
      <c r="R94" s="34"/>
      <c r="S94" s="34"/>
      <c r="T94" s="108"/>
      <c r="U94" s="108"/>
      <c r="V94" s="108"/>
      <c r="W94" s="108"/>
      <c r="X94" s="108"/>
      <c r="Y94" s="108"/>
      <c r="Z94" s="108"/>
    </row>
    <row r="95">
      <c r="A95" s="108"/>
      <c r="B95" s="108"/>
      <c r="C95" s="108"/>
      <c r="D95" s="108"/>
      <c r="E95" s="108"/>
      <c r="F95" s="108"/>
      <c r="G95" s="108"/>
      <c r="H95" s="108"/>
      <c r="I95" s="108"/>
      <c r="J95" s="108"/>
      <c r="K95" s="108"/>
      <c r="L95" s="108"/>
      <c r="M95" s="108"/>
      <c r="N95" s="108"/>
      <c r="O95" s="108"/>
      <c r="P95" s="34"/>
      <c r="Q95" s="34"/>
      <c r="R95" s="34"/>
      <c r="S95" s="34"/>
      <c r="T95" s="108"/>
      <c r="U95" s="108"/>
      <c r="V95" s="108"/>
      <c r="W95" s="108"/>
      <c r="X95" s="108"/>
      <c r="Y95" s="108"/>
      <c r="Z95" s="108"/>
    </row>
    <row r="96">
      <c r="A96" s="108"/>
      <c r="B96" s="108"/>
      <c r="C96" s="108"/>
      <c r="D96" s="108"/>
      <c r="E96" s="108"/>
      <c r="F96" s="108"/>
      <c r="G96" s="108"/>
      <c r="H96" s="108"/>
      <c r="I96" s="108"/>
      <c r="J96" s="108"/>
      <c r="K96" s="108"/>
      <c r="L96" s="108"/>
      <c r="M96" s="108"/>
      <c r="N96" s="108"/>
      <c r="O96" s="108"/>
      <c r="P96" s="34"/>
      <c r="Q96" s="34"/>
      <c r="R96" s="34"/>
      <c r="S96" s="34"/>
      <c r="T96" s="108"/>
      <c r="U96" s="108"/>
      <c r="V96" s="108"/>
      <c r="W96" s="108"/>
      <c r="X96" s="108"/>
      <c r="Y96" s="108"/>
      <c r="Z96" s="108"/>
    </row>
    <row r="97">
      <c r="A97" s="108"/>
      <c r="B97" s="108"/>
      <c r="C97" s="108"/>
      <c r="D97" s="108"/>
      <c r="E97" s="108"/>
      <c r="F97" s="108"/>
      <c r="G97" s="108"/>
      <c r="H97" s="108"/>
      <c r="I97" s="108"/>
      <c r="J97" s="108"/>
      <c r="K97" s="108"/>
      <c r="L97" s="108"/>
      <c r="M97" s="108"/>
      <c r="N97" s="108"/>
      <c r="O97" s="108"/>
      <c r="P97" s="34"/>
      <c r="Q97" s="34"/>
      <c r="R97" s="34"/>
      <c r="S97" s="34"/>
      <c r="T97" s="108"/>
      <c r="U97" s="108"/>
      <c r="V97" s="108"/>
      <c r="W97" s="108"/>
      <c r="X97" s="108"/>
      <c r="Y97" s="108"/>
      <c r="Z97" s="108"/>
    </row>
    <row r="98">
      <c r="A98" s="108"/>
      <c r="B98" s="108"/>
      <c r="C98" s="108"/>
      <c r="D98" s="108"/>
      <c r="E98" s="108"/>
      <c r="F98" s="108"/>
      <c r="G98" s="108"/>
      <c r="H98" s="108"/>
      <c r="I98" s="108"/>
      <c r="J98" s="108"/>
      <c r="K98" s="108"/>
      <c r="L98" s="108"/>
      <c r="M98" s="108"/>
      <c r="N98" s="108"/>
      <c r="O98" s="108"/>
      <c r="P98" s="34"/>
      <c r="Q98" s="34"/>
      <c r="R98" s="34"/>
      <c r="S98" s="34"/>
      <c r="T98" s="108"/>
      <c r="U98" s="108"/>
      <c r="V98" s="108"/>
      <c r="W98" s="108"/>
      <c r="X98" s="108"/>
      <c r="Y98" s="108"/>
      <c r="Z98" s="108"/>
    </row>
    <row r="99">
      <c r="A99" s="108"/>
      <c r="B99" s="108"/>
      <c r="C99" s="108"/>
      <c r="D99" s="108"/>
      <c r="E99" s="108"/>
      <c r="F99" s="108"/>
      <c r="G99" s="108"/>
      <c r="H99" s="108"/>
      <c r="I99" s="108"/>
      <c r="J99" s="108"/>
      <c r="K99" s="108"/>
      <c r="L99" s="108"/>
      <c r="M99" s="108"/>
      <c r="N99" s="108"/>
      <c r="O99" s="108"/>
      <c r="P99" s="34"/>
      <c r="Q99" s="34"/>
      <c r="R99" s="34"/>
      <c r="S99" s="34"/>
      <c r="T99" s="108"/>
      <c r="U99" s="108"/>
      <c r="V99" s="108"/>
      <c r="W99" s="108"/>
      <c r="X99" s="108"/>
      <c r="Y99" s="108"/>
      <c r="Z99" s="108"/>
    </row>
    <row r="100">
      <c r="A100" s="108"/>
      <c r="B100" s="108"/>
      <c r="C100" s="108"/>
      <c r="D100" s="108"/>
      <c r="E100" s="108"/>
      <c r="F100" s="108"/>
      <c r="G100" s="108"/>
      <c r="H100" s="108"/>
      <c r="I100" s="108"/>
      <c r="J100" s="108"/>
      <c r="K100" s="108"/>
      <c r="L100" s="108"/>
      <c r="M100" s="108"/>
      <c r="N100" s="108"/>
      <c r="O100" s="108"/>
      <c r="P100" s="34"/>
      <c r="Q100" s="34"/>
      <c r="R100" s="34"/>
      <c r="S100" s="34"/>
      <c r="T100" s="108"/>
      <c r="U100" s="108"/>
      <c r="V100" s="108"/>
      <c r="W100" s="108"/>
      <c r="X100" s="108"/>
      <c r="Y100" s="108"/>
      <c r="Z100" s="108"/>
    </row>
    <row r="101">
      <c r="A101" s="108"/>
      <c r="B101" s="108"/>
      <c r="C101" s="108"/>
      <c r="D101" s="108"/>
      <c r="E101" s="108"/>
      <c r="F101" s="108"/>
      <c r="G101" s="108"/>
      <c r="H101" s="108"/>
      <c r="I101" s="108"/>
      <c r="J101" s="108"/>
      <c r="K101" s="108"/>
      <c r="L101" s="108"/>
      <c r="M101" s="108"/>
      <c r="N101" s="108"/>
      <c r="O101" s="108"/>
      <c r="P101" s="34"/>
      <c r="Q101" s="34"/>
      <c r="R101" s="34"/>
      <c r="S101" s="34"/>
      <c r="T101" s="108"/>
      <c r="U101" s="108"/>
      <c r="V101" s="108"/>
      <c r="W101" s="108"/>
      <c r="X101" s="108"/>
      <c r="Y101" s="108"/>
      <c r="Z101" s="108"/>
    </row>
    <row r="102">
      <c r="A102" s="108"/>
      <c r="B102" s="108"/>
      <c r="C102" s="108"/>
      <c r="D102" s="108"/>
      <c r="E102" s="108"/>
      <c r="F102" s="108"/>
      <c r="G102" s="108"/>
      <c r="H102" s="108"/>
      <c r="I102" s="108"/>
      <c r="J102" s="108"/>
      <c r="K102" s="108"/>
      <c r="L102" s="108"/>
      <c r="M102" s="108"/>
      <c r="N102" s="108"/>
      <c r="O102" s="108"/>
      <c r="P102" s="34"/>
      <c r="Q102" s="34"/>
      <c r="R102" s="34"/>
      <c r="S102" s="34"/>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34"/>
      <c r="Q103" s="34"/>
      <c r="R103" s="34"/>
      <c r="S103" s="34"/>
      <c r="T103" s="108"/>
      <c r="U103" s="108"/>
      <c r="V103" s="108"/>
      <c r="W103" s="108"/>
      <c r="X103" s="108"/>
      <c r="Y103" s="108"/>
      <c r="Z103" s="108"/>
    </row>
    <row r="104">
      <c r="A104" s="108"/>
      <c r="B104" s="108"/>
      <c r="C104" s="108"/>
      <c r="D104" s="108"/>
      <c r="E104" s="108"/>
      <c r="F104" s="108"/>
      <c r="G104" s="108"/>
      <c r="H104" s="108"/>
      <c r="I104" s="108"/>
      <c r="J104" s="108"/>
      <c r="K104" s="108"/>
      <c r="L104" s="108"/>
      <c r="M104" s="108"/>
      <c r="N104" s="108"/>
      <c r="O104" s="108"/>
      <c r="P104" s="34"/>
      <c r="Q104" s="34"/>
      <c r="R104" s="34"/>
      <c r="S104" s="34"/>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34"/>
      <c r="Q105" s="34"/>
      <c r="R105" s="34"/>
      <c r="S105" s="34"/>
      <c r="T105" s="108"/>
      <c r="U105" s="108"/>
      <c r="V105" s="108"/>
      <c r="W105" s="108"/>
      <c r="X105" s="108"/>
      <c r="Y105" s="108"/>
      <c r="Z105" s="108"/>
    </row>
    <row r="106">
      <c r="A106" s="108"/>
      <c r="B106" s="108"/>
      <c r="C106" s="108"/>
      <c r="D106" s="108"/>
      <c r="E106" s="108"/>
      <c r="F106" s="108"/>
      <c r="G106" s="108"/>
      <c r="H106" s="108"/>
      <c r="I106" s="108"/>
      <c r="J106" s="108"/>
      <c r="K106" s="108"/>
      <c r="L106" s="108"/>
      <c r="M106" s="108"/>
      <c r="N106" s="108"/>
      <c r="O106" s="108"/>
      <c r="P106" s="34"/>
      <c r="Q106" s="34"/>
      <c r="R106" s="34"/>
      <c r="S106" s="34"/>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34"/>
      <c r="Q107" s="34"/>
      <c r="R107" s="34"/>
      <c r="S107" s="34"/>
      <c r="T107" s="108"/>
      <c r="U107" s="108"/>
      <c r="V107" s="108"/>
      <c r="W107" s="108"/>
      <c r="X107" s="108"/>
      <c r="Y107" s="108"/>
      <c r="Z107" s="108"/>
    </row>
    <row r="108">
      <c r="A108" s="108"/>
      <c r="B108" s="108"/>
      <c r="C108" s="108"/>
      <c r="D108" s="108"/>
      <c r="E108" s="108"/>
      <c r="F108" s="108"/>
      <c r="G108" s="108"/>
      <c r="H108" s="108"/>
      <c r="I108" s="108"/>
      <c r="J108" s="108"/>
      <c r="K108" s="108"/>
      <c r="L108" s="108"/>
      <c r="M108" s="108"/>
      <c r="N108" s="108"/>
      <c r="O108" s="108"/>
      <c r="P108" s="34"/>
      <c r="Q108" s="34"/>
      <c r="R108" s="34"/>
      <c r="S108" s="34"/>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34"/>
      <c r="Q109" s="34"/>
      <c r="R109" s="34"/>
      <c r="S109" s="34"/>
      <c r="T109" s="108"/>
      <c r="U109" s="108"/>
      <c r="V109" s="108"/>
      <c r="W109" s="108"/>
      <c r="X109" s="108"/>
      <c r="Y109" s="108"/>
      <c r="Z109" s="108"/>
    </row>
    <row r="110">
      <c r="A110" s="108"/>
      <c r="B110" s="108"/>
      <c r="C110" s="108"/>
      <c r="D110" s="108"/>
      <c r="E110" s="108"/>
      <c r="F110" s="108"/>
      <c r="G110" s="108"/>
      <c r="H110" s="108"/>
      <c r="I110" s="108"/>
      <c r="J110" s="108"/>
      <c r="K110" s="108"/>
      <c r="L110" s="108"/>
      <c r="M110" s="108"/>
      <c r="N110" s="108"/>
      <c r="O110" s="108"/>
      <c r="P110" s="34"/>
      <c r="Q110" s="34"/>
      <c r="R110" s="34"/>
      <c r="S110" s="34"/>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34"/>
      <c r="Q111" s="34"/>
      <c r="R111" s="34"/>
      <c r="S111" s="34"/>
      <c r="T111" s="108"/>
      <c r="U111" s="108"/>
      <c r="V111" s="108"/>
      <c r="W111" s="108"/>
      <c r="X111" s="108"/>
      <c r="Y111" s="108"/>
      <c r="Z111" s="108"/>
    </row>
    <row r="112">
      <c r="A112" s="108"/>
      <c r="B112" s="108"/>
      <c r="C112" s="108"/>
      <c r="D112" s="108"/>
      <c r="E112" s="108"/>
      <c r="F112" s="108"/>
      <c r="G112" s="108"/>
      <c r="H112" s="108"/>
      <c r="I112" s="108"/>
      <c r="J112" s="108"/>
      <c r="K112" s="108"/>
      <c r="L112" s="108"/>
      <c r="M112" s="108"/>
      <c r="N112" s="108"/>
      <c r="O112" s="108"/>
      <c r="P112" s="34"/>
      <c r="Q112" s="34"/>
      <c r="R112" s="34"/>
      <c r="S112" s="34"/>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34"/>
      <c r="Q113" s="34"/>
      <c r="R113" s="34"/>
      <c r="S113" s="34"/>
      <c r="T113" s="108"/>
      <c r="U113" s="108"/>
      <c r="V113" s="108"/>
      <c r="W113" s="108"/>
      <c r="X113" s="108"/>
      <c r="Y113" s="108"/>
      <c r="Z113" s="108"/>
    </row>
    <row r="114">
      <c r="A114" s="108"/>
      <c r="B114" s="108"/>
      <c r="C114" s="108"/>
      <c r="D114" s="108"/>
      <c r="E114" s="108"/>
      <c r="F114" s="108"/>
      <c r="G114" s="108"/>
      <c r="H114" s="108"/>
      <c r="I114" s="108"/>
      <c r="J114" s="108"/>
      <c r="K114" s="108"/>
      <c r="L114" s="108"/>
      <c r="M114" s="108"/>
      <c r="N114" s="108"/>
      <c r="O114" s="108"/>
      <c r="P114" s="34"/>
      <c r="Q114" s="34"/>
      <c r="R114" s="34"/>
      <c r="S114" s="34"/>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34"/>
      <c r="Q115" s="34"/>
      <c r="R115" s="34"/>
      <c r="S115" s="34"/>
      <c r="T115" s="108"/>
      <c r="U115" s="108"/>
      <c r="V115" s="108"/>
      <c r="W115" s="108"/>
      <c r="X115" s="108"/>
      <c r="Y115" s="108"/>
      <c r="Z115" s="108"/>
    </row>
    <row r="116">
      <c r="A116" s="108"/>
      <c r="B116" s="108"/>
      <c r="C116" s="108"/>
      <c r="D116" s="108"/>
      <c r="E116" s="108"/>
      <c r="F116" s="108"/>
      <c r="G116" s="108"/>
      <c r="H116" s="108"/>
      <c r="I116" s="108"/>
      <c r="J116" s="108"/>
      <c r="K116" s="108"/>
      <c r="L116" s="108"/>
      <c r="M116" s="108"/>
      <c r="N116" s="108"/>
      <c r="O116" s="108"/>
      <c r="P116" s="34"/>
      <c r="Q116" s="34"/>
      <c r="R116" s="34"/>
      <c r="S116" s="34"/>
      <c r="T116" s="108"/>
      <c r="U116" s="108"/>
      <c r="V116" s="108"/>
      <c r="W116" s="108"/>
      <c r="X116" s="108"/>
      <c r="Y116" s="108"/>
      <c r="Z116" s="108"/>
    </row>
    <row r="117">
      <c r="A117" s="108"/>
      <c r="B117" s="108"/>
      <c r="C117" s="108"/>
      <c r="D117" s="108"/>
      <c r="E117" s="108"/>
      <c r="F117" s="108"/>
      <c r="G117" s="108"/>
      <c r="H117" s="108"/>
      <c r="I117" s="108"/>
      <c r="J117" s="108"/>
      <c r="K117" s="108"/>
      <c r="L117" s="108"/>
      <c r="M117" s="108"/>
      <c r="N117" s="108"/>
      <c r="O117" s="108"/>
      <c r="P117" s="34"/>
      <c r="Q117" s="34"/>
      <c r="R117" s="34"/>
      <c r="S117" s="34"/>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34"/>
      <c r="Q118" s="34"/>
      <c r="R118" s="34"/>
      <c r="S118" s="34"/>
      <c r="T118" s="108"/>
      <c r="U118" s="108"/>
      <c r="V118" s="108"/>
      <c r="W118" s="108"/>
      <c r="X118" s="108"/>
      <c r="Y118" s="108"/>
      <c r="Z118" s="108"/>
    </row>
    <row r="119">
      <c r="A119" s="108"/>
      <c r="B119" s="108"/>
      <c r="C119" s="108"/>
      <c r="D119" s="108"/>
      <c r="E119" s="108"/>
      <c r="F119" s="108"/>
      <c r="G119" s="108"/>
      <c r="H119" s="108"/>
      <c r="I119" s="108"/>
      <c r="J119" s="108"/>
      <c r="K119" s="108"/>
      <c r="L119" s="108"/>
      <c r="M119" s="108"/>
      <c r="N119" s="108"/>
      <c r="O119" s="108"/>
      <c r="P119" s="34"/>
      <c r="Q119" s="34"/>
      <c r="R119" s="34"/>
      <c r="S119" s="34"/>
      <c r="T119" s="108"/>
      <c r="U119" s="108"/>
      <c r="V119" s="108"/>
      <c r="W119" s="108"/>
      <c r="X119" s="108"/>
      <c r="Y119" s="108"/>
      <c r="Z119" s="108"/>
    </row>
    <row r="120">
      <c r="A120" s="108"/>
      <c r="B120" s="108"/>
      <c r="C120" s="108"/>
      <c r="D120" s="108"/>
      <c r="E120" s="108"/>
      <c r="F120" s="108"/>
      <c r="G120" s="108"/>
      <c r="H120" s="108"/>
      <c r="I120" s="108"/>
      <c r="J120" s="108"/>
      <c r="K120" s="108"/>
      <c r="L120" s="108"/>
      <c r="M120" s="108"/>
      <c r="N120" s="108"/>
      <c r="O120" s="108"/>
      <c r="P120" s="34"/>
      <c r="Q120" s="34"/>
      <c r="R120" s="34"/>
      <c r="S120" s="34"/>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34"/>
      <c r="Q121" s="34"/>
      <c r="R121" s="34"/>
      <c r="S121" s="34"/>
      <c r="T121" s="108"/>
      <c r="U121" s="108"/>
      <c r="V121" s="108"/>
      <c r="W121" s="108"/>
      <c r="X121" s="108"/>
      <c r="Y121" s="108"/>
      <c r="Z121" s="108"/>
    </row>
    <row r="122">
      <c r="A122" s="108"/>
      <c r="B122" s="108"/>
      <c r="C122" s="108"/>
      <c r="D122" s="108"/>
      <c r="E122" s="108"/>
      <c r="F122" s="108"/>
      <c r="G122" s="108"/>
      <c r="H122" s="108"/>
      <c r="I122" s="108"/>
      <c r="J122" s="108"/>
      <c r="K122" s="108"/>
      <c r="L122" s="108"/>
      <c r="M122" s="108"/>
      <c r="N122" s="108"/>
      <c r="O122" s="108"/>
      <c r="P122" s="34"/>
      <c r="Q122" s="34"/>
      <c r="R122" s="34"/>
      <c r="S122" s="34"/>
      <c r="T122" s="108"/>
      <c r="U122" s="108"/>
      <c r="V122" s="108"/>
      <c r="W122" s="108"/>
      <c r="X122" s="108"/>
      <c r="Y122" s="108"/>
      <c r="Z122" s="108"/>
    </row>
    <row r="123">
      <c r="A123" s="108"/>
      <c r="B123" s="108"/>
      <c r="C123" s="108"/>
      <c r="D123" s="108"/>
      <c r="E123" s="108"/>
      <c r="F123" s="108"/>
      <c r="G123" s="108"/>
      <c r="H123" s="108"/>
      <c r="I123" s="108"/>
      <c r="J123" s="108"/>
      <c r="K123" s="108"/>
      <c r="L123" s="108"/>
      <c r="M123" s="108"/>
      <c r="N123" s="108"/>
      <c r="O123" s="108"/>
      <c r="P123" s="34"/>
      <c r="Q123" s="34"/>
      <c r="R123" s="34"/>
      <c r="S123" s="34"/>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34"/>
      <c r="Q124" s="34"/>
      <c r="R124" s="34"/>
      <c r="S124" s="34"/>
      <c r="T124" s="108"/>
      <c r="U124" s="108"/>
      <c r="V124" s="108"/>
      <c r="W124" s="108"/>
      <c r="X124" s="108"/>
      <c r="Y124" s="108"/>
      <c r="Z124" s="108"/>
    </row>
    <row r="125">
      <c r="A125" s="108"/>
      <c r="B125" s="108"/>
      <c r="C125" s="108"/>
      <c r="D125" s="108"/>
      <c r="E125" s="108"/>
      <c r="F125" s="108"/>
      <c r="G125" s="108"/>
      <c r="H125" s="108"/>
      <c r="I125" s="108"/>
      <c r="J125" s="108"/>
      <c r="K125" s="108"/>
      <c r="L125" s="108"/>
      <c r="M125" s="108"/>
      <c r="N125" s="108"/>
      <c r="O125" s="108"/>
      <c r="P125" s="34"/>
      <c r="Q125" s="34"/>
      <c r="R125" s="34"/>
      <c r="S125" s="34"/>
      <c r="T125" s="108"/>
      <c r="U125" s="108"/>
      <c r="V125" s="108"/>
      <c r="W125" s="108"/>
      <c r="X125" s="108"/>
      <c r="Y125" s="108"/>
      <c r="Z125" s="108"/>
    </row>
    <row r="126">
      <c r="A126" s="108"/>
      <c r="B126" s="108"/>
      <c r="C126" s="108"/>
      <c r="D126" s="108"/>
      <c r="E126" s="108"/>
      <c r="F126" s="108"/>
      <c r="G126" s="108"/>
      <c r="H126" s="108"/>
      <c r="I126" s="108"/>
      <c r="J126" s="108"/>
      <c r="K126" s="108"/>
      <c r="L126" s="108"/>
      <c r="M126" s="108"/>
      <c r="N126" s="108"/>
      <c r="O126" s="108"/>
      <c r="P126" s="34"/>
      <c r="Q126" s="34"/>
      <c r="R126" s="34"/>
      <c r="S126" s="34"/>
      <c r="T126" s="108"/>
      <c r="U126" s="108"/>
      <c r="V126" s="108"/>
      <c r="W126" s="108"/>
      <c r="X126" s="108"/>
      <c r="Y126" s="108"/>
      <c r="Z126" s="108"/>
    </row>
    <row r="127">
      <c r="A127" s="108"/>
      <c r="B127" s="108"/>
      <c r="C127" s="108"/>
      <c r="D127" s="108"/>
      <c r="E127" s="108"/>
      <c r="F127" s="108"/>
      <c r="G127" s="108"/>
      <c r="H127" s="108"/>
      <c r="I127" s="108"/>
      <c r="J127" s="108"/>
      <c r="K127" s="108"/>
      <c r="L127" s="108"/>
      <c r="M127" s="108"/>
      <c r="N127" s="108"/>
      <c r="O127" s="108"/>
      <c r="P127" s="34"/>
      <c r="Q127" s="34"/>
      <c r="R127" s="34"/>
      <c r="S127" s="34"/>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34"/>
      <c r="Q128" s="34"/>
      <c r="R128" s="34"/>
      <c r="S128" s="34"/>
      <c r="T128" s="108"/>
      <c r="U128" s="108"/>
      <c r="V128" s="108"/>
      <c r="W128" s="108"/>
      <c r="X128" s="108"/>
      <c r="Y128" s="108"/>
      <c r="Z128" s="108"/>
    </row>
    <row r="129">
      <c r="A129" s="108"/>
      <c r="B129" s="108"/>
      <c r="C129" s="108"/>
      <c r="D129" s="108"/>
      <c r="E129" s="108"/>
      <c r="F129" s="108"/>
      <c r="G129" s="108"/>
      <c r="H129" s="108"/>
      <c r="I129" s="108"/>
      <c r="J129" s="108"/>
      <c r="K129" s="108"/>
      <c r="L129" s="108"/>
      <c r="M129" s="108"/>
      <c r="N129" s="108"/>
      <c r="O129" s="108"/>
      <c r="P129" s="34"/>
      <c r="Q129" s="34"/>
      <c r="R129" s="34"/>
      <c r="S129" s="34"/>
      <c r="T129" s="108"/>
      <c r="U129" s="108"/>
      <c r="V129" s="108"/>
      <c r="W129" s="108"/>
      <c r="X129" s="108"/>
      <c r="Y129" s="108"/>
      <c r="Z129" s="108"/>
    </row>
    <row r="130">
      <c r="A130" s="108"/>
      <c r="B130" s="108"/>
      <c r="C130" s="108"/>
      <c r="D130" s="108"/>
      <c r="E130" s="108"/>
      <c r="F130" s="108"/>
      <c r="G130" s="108"/>
      <c r="H130" s="108"/>
      <c r="I130" s="108"/>
      <c r="J130" s="108"/>
      <c r="K130" s="108"/>
      <c r="L130" s="108"/>
      <c r="M130" s="108"/>
      <c r="N130" s="108"/>
      <c r="O130" s="108"/>
      <c r="P130" s="34"/>
      <c r="Q130" s="34"/>
      <c r="R130" s="34"/>
      <c r="S130" s="34"/>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34"/>
      <c r="Q131" s="34"/>
      <c r="R131" s="34"/>
      <c r="S131" s="34"/>
      <c r="T131" s="108"/>
      <c r="U131" s="108"/>
      <c r="V131" s="108"/>
      <c r="W131" s="108"/>
      <c r="X131" s="108"/>
      <c r="Y131" s="108"/>
      <c r="Z131" s="108"/>
    </row>
    <row r="132">
      <c r="A132" s="108"/>
      <c r="B132" s="108"/>
      <c r="C132" s="108"/>
      <c r="D132" s="108"/>
      <c r="E132" s="108"/>
      <c r="F132" s="108"/>
      <c r="G132" s="108"/>
      <c r="H132" s="108"/>
      <c r="I132" s="108"/>
      <c r="J132" s="108"/>
      <c r="K132" s="108"/>
      <c r="L132" s="108"/>
      <c r="M132" s="108"/>
      <c r="N132" s="108"/>
      <c r="O132" s="108"/>
      <c r="P132" s="34"/>
      <c r="Q132" s="34"/>
      <c r="R132" s="34"/>
      <c r="S132" s="34"/>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34"/>
      <c r="Q133" s="34"/>
      <c r="R133" s="34"/>
      <c r="S133" s="34"/>
      <c r="T133" s="108"/>
      <c r="U133" s="108"/>
      <c r="V133" s="108"/>
      <c r="W133" s="108"/>
      <c r="X133" s="108"/>
      <c r="Y133" s="108"/>
      <c r="Z133" s="108"/>
    </row>
    <row r="134">
      <c r="A134" s="108"/>
      <c r="B134" s="108"/>
      <c r="C134" s="108"/>
      <c r="D134" s="108"/>
      <c r="E134" s="108"/>
      <c r="F134" s="108"/>
      <c r="G134" s="108"/>
      <c r="H134" s="108"/>
      <c r="I134" s="108"/>
      <c r="J134" s="108"/>
      <c r="K134" s="108"/>
      <c r="L134" s="108"/>
      <c r="M134" s="108"/>
      <c r="N134" s="108"/>
      <c r="O134" s="108"/>
      <c r="P134" s="34"/>
      <c r="Q134" s="34"/>
      <c r="R134" s="34"/>
      <c r="S134" s="34"/>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34"/>
      <c r="Q135" s="34"/>
      <c r="R135" s="34"/>
      <c r="S135" s="34"/>
      <c r="T135" s="108"/>
      <c r="U135" s="108"/>
      <c r="V135" s="108"/>
      <c r="W135" s="108"/>
      <c r="X135" s="108"/>
      <c r="Y135" s="108"/>
      <c r="Z135" s="108"/>
    </row>
    <row r="136">
      <c r="A136" s="108"/>
      <c r="B136" s="108"/>
      <c r="C136" s="108"/>
      <c r="D136" s="108"/>
      <c r="E136" s="108"/>
      <c r="F136" s="108"/>
      <c r="G136" s="108"/>
      <c r="H136" s="108"/>
      <c r="I136" s="108"/>
      <c r="J136" s="108"/>
      <c r="K136" s="108"/>
      <c r="L136" s="108"/>
      <c r="M136" s="108"/>
      <c r="N136" s="108"/>
      <c r="O136" s="108"/>
      <c r="P136" s="34"/>
      <c r="Q136" s="34"/>
      <c r="R136" s="34"/>
      <c r="S136" s="34"/>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34"/>
      <c r="Q137" s="34"/>
      <c r="R137" s="34"/>
      <c r="S137" s="34"/>
      <c r="T137" s="108"/>
      <c r="U137" s="108"/>
      <c r="V137" s="108"/>
      <c r="W137" s="108"/>
      <c r="X137" s="108"/>
      <c r="Y137" s="108"/>
      <c r="Z137" s="108"/>
    </row>
    <row r="138">
      <c r="A138" s="108"/>
      <c r="B138" s="108"/>
      <c r="C138" s="108"/>
      <c r="D138" s="108"/>
      <c r="E138" s="108"/>
      <c r="F138" s="108"/>
      <c r="G138" s="108"/>
      <c r="H138" s="108"/>
      <c r="I138" s="108"/>
      <c r="J138" s="108"/>
      <c r="K138" s="108"/>
      <c r="L138" s="108"/>
      <c r="M138" s="108"/>
      <c r="N138" s="108"/>
      <c r="O138" s="108"/>
      <c r="P138" s="34"/>
      <c r="Q138" s="34"/>
      <c r="R138" s="34"/>
      <c r="S138" s="34"/>
      <c r="T138" s="108"/>
      <c r="U138" s="108"/>
      <c r="V138" s="108"/>
      <c r="W138" s="108"/>
      <c r="X138" s="108"/>
      <c r="Y138" s="108"/>
      <c r="Z138" s="108"/>
    </row>
    <row r="139">
      <c r="A139" s="108"/>
      <c r="B139" s="108"/>
      <c r="C139" s="108"/>
      <c r="D139" s="108"/>
      <c r="E139" s="108"/>
      <c r="F139" s="108"/>
      <c r="G139" s="108"/>
      <c r="H139" s="108"/>
      <c r="I139" s="108"/>
      <c r="J139" s="108"/>
      <c r="K139" s="108"/>
      <c r="L139" s="108"/>
      <c r="M139" s="108"/>
      <c r="N139" s="108"/>
      <c r="O139" s="108"/>
      <c r="P139" s="34"/>
      <c r="Q139" s="34"/>
      <c r="R139" s="34"/>
      <c r="S139" s="34"/>
      <c r="T139" s="108"/>
      <c r="U139" s="108"/>
      <c r="V139" s="108"/>
      <c r="W139" s="108"/>
      <c r="X139" s="108"/>
      <c r="Y139" s="108"/>
      <c r="Z139" s="108"/>
    </row>
    <row r="140">
      <c r="A140" s="108"/>
      <c r="B140" s="108"/>
      <c r="C140" s="108"/>
      <c r="D140" s="108"/>
      <c r="E140" s="108"/>
      <c r="F140" s="108"/>
      <c r="G140" s="108"/>
      <c r="H140" s="108"/>
      <c r="I140" s="108"/>
      <c r="J140" s="108"/>
      <c r="K140" s="108"/>
      <c r="L140" s="108"/>
      <c r="M140" s="108"/>
      <c r="N140" s="108"/>
      <c r="O140" s="108"/>
      <c r="P140" s="34"/>
      <c r="Q140" s="34"/>
      <c r="R140" s="34"/>
      <c r="S140" s="34"/>
      <c r="T140" s="108"/>
      <c r="U140" s="108"/>
      <c r="V140" s="108"/>
      <c r="W140" s="108"/>
      <c r="X140" s="108"/>
      <c r="Y140" s="108"/>
      <c r="Z140" s="108"/>
    </row>
    <row r="141">
      <c r="A141" s="108"/>
      <c r="B141" s="108"/>
      <c r="C141" s="108"/>
      <c r="D141" s="108"/>
      <c r="E141" s="108"/>
      <c r="F141" s="108"/>
      <c r="G141" s="108"/>
      <c r="H141" s="108"/>
      <c r="I141" s="108"/>
      <c r="J141" s="108"/>
      <c r="K141" s="108"/>
      <c r="L141" s="108"/>
      <c r="M141" s="108"/>
      <c r="N141" s="108"/>
      <c r="O141" s="108"/>
      <c r="P141" s="34"/>
      <c r="Q141" s="34"/>
      <c r="R141" s="34"/>
      <c r="S141" s="34"/>
      <c r="T141" s="108"/>
      <c r="U141" s="108"/>
      <c r="V141" s="108"/>
      <c r="W141" s="108"/>
      <c r="X141" s="108"/>
      <c r="Y141" s="108"/>
      <c r="Z141" s="108"/>
    </row>
    <row r="142">
      <c r="A142" s="108"/>
      <c r="B142" s="108"/>
      <c r="C142" s="108"/>
      <c r="D142" s="108"/>
      <c r="E142" s="108"/>
      <c r="F142" s="108"/>
      <c r="G142" s="108"/>
      <c r="H142" s="108"/>
      <c r="I142" s="108"/>
      <c r="J142" s="108"/>
      <c r="K142" s="108"/>
      <c r="L142" s="108"/>
      <c r="M142" s="108"/>
      <c r="N142" s="108"/>
      <c r="O142" s="108"/>
      <c r="P142" s="34"/>
      <c r="Q142" s="34"/>
      <c r="R142" s="34"/>
      <c r="S142" s="34"/>
      <c r="T142" s="108"/>
      <c r="U142" s="108"/>
      <c r="V142" s="108"/>
      <c r="W142" s="108"/>
      <c r="X142" s="108"/>
      <c r="Y142" s="108"/>
      <c r="Z142" s="108"/>
    </row>
    <row r="143">
      <c r="A143" s="108"/>
      <c r="B143" s="108"/>
      <c r="C143" s="108"/>
      <c r="D143" s="108"/>
      <c r="E143" s="108"/>
      <c r="F143" s="108"/>
      <c r="G143" s="108"/>
      <c r="H143" s="108"/>
      <c r="I143" s="108"/>
      <c r="J143" s="108"/>
      <c r="K143" s="108"/>
      <c r="L143" s="108"/>
      <c r="M143" s="108"/>
      <c r="N143" s="108"/>
      <c r="O143" s="108"/>
      <c r="P143" s="34"/>
      <c r="Q143" s="34"/>
      <c r="R143" s="34"/>
      <c r="S143" s="34"/>
      <c r="T143" s="108"/>
      <c r="U143" s="108"/>
      <c r="V143" s="108"/>
      <c r="W143" s="108"/>
      <c r="X143" s="108"/>
      <c r="Y143" s="108"/>
      <c r="Z143" s="108"/>
    </row>
    <row r="144">
      <c r="A144" s="108"/>
      <c r="B144" s="108"/>
      <c r="C144" s="108"/>
      <c r="D144" s="108"/>
      <c r="E144" s="108"/>
      <c r="F144" s="108"/>
      <c r="G144" s="108"/>
      <c r="H144" s="108"/>
      <c r="I144" s="108"/>
      <c r="J144" s="108"/>
      <c r="K144" s="108"/>
      <c r="L144" s="108"/>
      <c r="M144" s="108"/>
      <c r="N144" s="108"/>
      <c r="O144" s="108"/>
      <c r="P144" s="34"/>
      <c r="Q144" s="34"/>
      <c r="R144" s="34"/>
      <c r="S144" s="34"/>
      <c r="T144" s="108"/>
      <c r="U144" s="108"/>
      <c r="V144" s="108"/>
      <c r="W144" s="108"/>
      <c r="X144" s="108"/>
      <c r="Y144" s="108"/>
      <c r="Z144" s="108"/>
    </row>
    <row r="145">
      <c r="A145" s="108"/>
      <c r="B145" s="108"/>
      <c r="C145" s="108"/>
      <c r="D145" s="108"/>
      <c r="E145" s="108"/>
      <c r="F145" s="108"/>
      <c r="G145" s="108"/>
      <c r="H145" s="108"/>
      <c r="I145" s="108"/>
      <c r="J145" s="108"/>
      <c r="K145" s="108"/>
      <c r="L145" s="108"/>
      <c r="M145" s="108"/>
      <c r="N145" s="108"/>
      <c r="O145" s="108"/>
      <c r="P145" s="34"/>
      <c r="Q145" s="34"/>
      <c r="R145" s="34"/>
      <c r="S145" s="34"/>
      <c r="T145" s="108"/>
      <c r="U145" s="108"/>
      <c r="V145" s="108"/>
      <c r="W145" s="108"/>
      <c r="X145" s="108"/>
      <c r="Y145" s="108"/>
      <c r="Z145" s="108"/>
    </row>
    <row r="146">
      <c r="A146" s="108"/>
      <c r="B146" s="108"/>
      <c r="C146" s="108"/>
      <c r="D146" s="108"/>
      <c r="E146" s="108"/>
      <c r="F146" s="108"/>
      <c r="G146" s="108"/>
      <c r="H146" s="108"/>
      <c r="I146" s="108"/>
      <c r="J146" s="108"/>
      <c r="K146" s="108"/>
      <c r="L146" s="108"/>
      <c r="M146" s="108"/>
      <c r="N146" s="108"/>
      <c r="O146" s="108"/>
      <c r="P146" s="34"/>
      <c r="Q146" s="34"/>
      <c r="R146" s="34"/>
      <c r="S146" s="34"/>
      <c r="T146" s="108"/>
      <c r="U146" s="108"/>
      <c r="V146" s="108"/>
      <c r="W146" s="108"/>
      <c r="X146" s="108"/>
      <c r="Y146" s="108"/>
      <c r="Z146" s="108"/>
    </row>
    <row r="147">
      <c r="A147" s="108"/>
      <c r="B147" s="108"/>
      <c r="C147" s="108"/>
      <c r="D147" s="108"/>
      <c r="E147" s="108"/>
      <c r="F147" s="108"/>
      <c r="G147" s="108"/>
      <c r="H147" s="108"/>
      <c r="I147" s="108"/>
      <c r="J147" s="108"/>
      <c r="K147" s="108"/>
      <c r="L147" s="108"/>
      <c r="M147" s="108"/>
      <c r="N147" s="108"/>
      <c r="O147" s="108"/>
      <c r="P147" s="34"/>
      <c r="Q147" s="34"/>
      <c r="R147" s="34"/>
      <c r="S147" s="34"/>
      <c r="T147" s="108"/>
      <c r="U147" s="108"/>
      <c r="V147" s="108"/>
      <c r="W147" s="108"/>
      <c r="X147" s="108"/>
      <c r="Y147" s="108"/>
      <c r="Z147" s="108"/>
    </row>
    <row r="148">
      <c r="A148" s="108"/>
      <c r="B148" s="108"/>
      <c r="C148" s="108"/>
      <c r="D148" s="108"/>
      <c r="E148" s="108"/>
      <c r="F148" s="108"/>
      <c r="G148" s="108"/>
      <c r="H148" s="108"/>
      <c r="I148" s="108"/>
      <c r="J148" s="108"/>
      <c r="K148" s="108"/>
      <c r="L148" s="108"/>
      <c r="M148" s="108"/>
      <c r="N148" s="108"/>
      <c r="O148" s="108"/>
      <c r="P148" s="34"/>
      <c r="Q148" s="34"/>
      <c r="R148" s="34"/>
      <c r="S148" s="34"/>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34"/>
      <c r="Q149" s="34"/>
      <c r="R149" s="34"/>
      <c r="S149" s="34"/>
      <c r="T149" s="108"/>
      <c r="U149" s="108"/>
      <c r="V149" s="108"/>
      <c r="W149" s="108"/>
      <c r="X149" s="108"/>
      <c r="Y149" s="108"/>
      <c r="Z149" s="108"/>
    </row>
    <row r="150">
      <c r="A150" s="108"/>
      <c r="B150" s="108"/>
      <c r="C150" s="108"/>
      <c r="D150" s="108"/>
      <c r="E150" s="108"/>
      <c r="F150" s="108"/>
      <c r="G150" s="108"/>
      <c r="H150" s="108"/>
      <c r="I150" s="108"/>
      <c r="J150" s="108"/>
      <c r="K150" s="108"/>
      <c r="L150" s="108"/>
      <c r="M150" s="108"/>
      <c r="N150" s="108"/>
      <c r="O150" s="108"/>
      <c r="P150" s="34"/>
      <c r="Q150" s="34"/>
      <c r="R150" s="34"/>
      <c r="S150" s="34"/>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34"/>
      <c r="Q151" s="34"/>
      <c r="R151" s="34"/>
      <c r="S151" s="34"/>
      <c r="T151" s="108"/>
      <c r="U151" s="108"/>
      <c r="V151" s="108"/>
      <c r="W151" s="108"/>
      <c r="X151" s="108"/>
      <c r="Y151" s="108"/>
      <c r="Z151" s="108"/>
    </row>
    <row r="152">
      <c r="A152" s="108"/>
      <c r="B152" s="108"/>
      <c r="C152" s="108"/>
      <c r="D152" s="108"/>
      <c r="E152" s="108"/>
      <c r="F152" s="108"/>
      <c r="G152" s="108"/>
      <c r="H152" s="108"/>
      <c r="I152" s="108"/>
      <c r="J152" s="108"/>
      <c r="K152" s="108"/>
      <c r="L152" s="108"/>
      <c r="M152" s="108"/>
      <c r="N152" s="108"/>
      <c r="O152" s="108"/>
      <c r="P152" s="34"/>
      <c r="Q152" s="34"/>
      <c r="R152" s="34"/>
      <c r="S152" s="34"/>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34"/>
      <c r="Q153" s="34"/>
      <c r="R153" s="34"/>
      <c r="S153" s="34"/>
      <c r="T153" s="108"/>
      <c r="U153" s="108"/>
      <c r="V153" s="108"/>
      <c r="W153" s="108"/>
      <c r="X153" s="108"/>
      <c r="Y153" s="108"/>
      <c r="Z153" s="108"/>
    </row>
    <row r="154">
      <c r="A154" s="108"/>
      <c r="B154" s="108"/>
      <c r="C154" s="108"/>
      <c r="D154" s="108"/>
      <c r="E154" s="108"/>
      <c r="F154" s="108"/>
      <c r="G154" s="108"/>
      <c r="H154" s="108"/>
      <c r="I154" s="108"/>
      <c r="J154" s="108"/>
      <c r="K154" s="108"/>
      <c r="L154" s="108"/>
      <c r="M154" s="108"/>
      <c r="N154" s="108"/>
      <c r="O154" s="108"/>
      <c r="P154" s="34"/>
      <c r="Q154" s="34"/>
      <c r="R154" s="34"/>
      <c r="S154" s="34"/>
      <c r="T154" s="108"/>
      <c r="U154" s="108"/>
      <c r="V154" s="108"/>
      <c r="W154" s="108"/>
      <c r="X154" s="108"/>
      <c r="Y154" s="108"/>
      <c r="Z154" s="108"/>
    </row>
    <row r="155">
      <c r="A155" s="108"/>
      <c r="B155" s="108"/>
      <c r="C155" s="108"/>
      <c r="D155" s="108"/>
      <c r="E155" s="108"/>
      <c r="F155" s="108"/>
      <c r="G155" s="108"/>
      <c r="H155" s="108"/>
      <c r="I155" s="108"/>
      <c r="J155" s="108"/>
      <c r="K155" s="108"/>
      <c r="L155" s="108"/>
      <c r="M155" s="108"/>
      <c r="N155" s="108"/>
      <c r="O155" s="108"/>
      <c r="P155" s="34"/>
      <c r="Q155" s="34"/>
      <c r="R155" s="34"/>
      <c r="S155" s="34"/>
      <c r="T155" s="108"/>
      <c r="U155" s="108"/>
      <c r="V155" s="108"/>
      <c r="W155" s="108"/>
      <c r="X155" s="108"/>
      <c r="Y155" s="108"/>
      <c r="Z155" s="108"/>
    </row>
    <row r="156">
      <c r="A156" s="108"/>
      <c r="B156" s="108"/>
      <c r="C156" s="108"/>
      <c r="D156" s="108"/>
      <c r="E156" s="108"/>
      <c r="F156" s="108"/>
      <c r="G156" s="108"/>
      <c r="H156" s="108"/>
      <c r="I156" s="108"/>
      <c r="J156" s="108"/>
      <c r="K156" s="108"/>
      <c r="L156" s="108"/>
      <c r="M156" s="108"/>
      <c r="N156" s="108"/>
      <c r="O156" s="108"/>
      <c r="P156" s="34"/>
      <c r="Q156" s="34"/>
      <c r="R156" s="34"/>
      <c r="S156" s="34"/>
      <c r="T156" s="108"/>
      <c r="U156" s="108"/>
      <c r="V156" s="108"/>
      <c r="W156" s="108"/>
      <c r="X156" s="108"/>
      <c r="Y156" s="108"/>
      <c r="Z156" s="108"/>
    </row>
    <row r="157">
      <c r="A157" s="108"/>
      <c r="B157" s="108"/>
      <c r="C157" s="108"/>
      <c r="D157" s="108"/>
      <c r="E157" s="108"/>
      <c r="F157" s="108"/>
      <c r="G157" s="108"/>
      <c r="H157" s="108"/>
      <c r="I157" s="108"/>
      <c r="J157" s="108"/>
      <c r="K157" s="108"/>
      <c r="L157" s="108"/>
      <c r="M157" s="108"/>
      <c r="N157" s="108"/>
      <c r="O157" s="108"/>
      <c r="P157" s="34"/>
      <c r="Q157" s="34"/>
      <c r="R157" s="34"/>
      <c r="S157" s="34"/>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34"/>
      <c r="Q158" s="34"/>
      <c r="R158" s="34"/>
      <c r="S158" s="34"/>
      <c r="T158" s="108"/>
      <c r="U158" s="108"/>
      <c r="V158" s="108"/>
      <c r="W158" s="108"/>
      <c r="X158" s="108"/>
      <c r="Y158" s="108"/>
      <c r="Z158" s="108"/>
    </row>
    <row r="159">
      <c r="A159" s="108"/>
      <c r="B159" s="108"/>
      <c r="C159" s="108"/>
      <c r="D159" s="108"/>
      <c r="E159" s="108"/>
      <c r="F159" s="108"/>
      <c r="G159" s="108"/>
      <c r="H159" s="108"/>
      <c r="I159" s="108"/>
      <c r="J159" s="108"/>
      <c r="K159" s="108"/>
      <c r="L159" s="108"/>
      <c r="M159" s="108"/>
      <c r="N159" s="108"/>
      <c r="O159" s="108"/>
      <c r="P159" s="34"/>
      <c r="Q159" s="34"/>
      <c r="R159" s="34"/>
      <c r="S159" s="34"/>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34"/>
      <c r="Q160" s="34"/>
      <c r="R160" s="34"/>
      <c r="S160" s="34"/>
      <c r="T160" s="108"/>
      <c r="U160" s="108"/>
      <c r="V160" s="108"/>
      <c r="W160" s="108"/>
      <c r="X160" s="108"/>
      <c r="Y160" s="108"/>
      <c r="Z160" s="108"/>
    </row>
    <row r="161">
      <c r="A161" s="108"/>
      <c r="B161" s="108"/>
      <c r="C161" s="108"/>
      <c r="D161" s="108"/>
      <c r="E161" s="108"/>
      <c r="F161" s="108"/>
      <c r="G161" s="108"/>
      <c r="H161" s="108"/>
      <c r="I161" s="108"/>
      <c r="J161" s="108"/>
      <c r="K161" s="108"/>
      <c r="L161" s="108"/>
      <c r="M161" s="108"/>
      <c r="N161" s="108"/>
      <c r="O161" s="108"/>
      <c r="P161" s="34"/>
      <c r="Q161" s="34"/>
      <c r="R161" s="34"/>
      <c r="S161" s="34"/>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34"/>
      <c r="Q162" s="34"/>
      <c r="R162" s="34"/>
      <c r="S162" s="34"/>
      <c r="T162" s="108"/>
      <c r="U162" s="108"/>
      <c r="V162" s="108"/>
      <c r="W162" s="108"/>
      <c r="X162" s="108"/>
      <c r="Y162" s="108"/>
      <c r="Z162" s="108"/>
    </row>
    <row r="163">
      <c r="A163" s="108"/>
      <c r="B163" s="108"/>
      <c r="C163" s="108"/>
      <c r="D163" s="108"/>
      <c r="E163" s="108"/>
      <c r="F163" s="108"/>
      <c r="G163" s="108"/>
      <c r="H163" s="108"/>
      <c r="I163" s="108"/>
      <c r="J163" s="108"/>
      <c r="K163" s="108"/>
      <c r="L163" s="108"/>
      <c r="M163" s="108"/>
      <c r="N163" s="108"/>
      <c r="O163" s="108"/>
      <c r="P163" s="34"/>
      <c r="Q163" s="34"/>
      <c r="R163" s="34"/>
      <c r="S163" s="34"/>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34"/>
      <c r="Q164" s="34"/>
      <c r="R164" s="34"/>
      <c r="S164" s="34"/>
      <c r="T164" s="108"/>
      <c r="U164" s="108"/>
      <c r="V164" s="108"/>
      <c r="W164" s="108"/>
      <c r="X164" s="108"/>
      <c r="Y164" s="108"/>
      <c r="Z164" s="108"/>
    </row>
    <row r="165">
      <c r="A165" s="108"/>
      <c r="B165" s="108"/>
      <c r="C165" s="108"/>
      <c r="D165" s="108"/>
      <c r="E165" s="108"/>
      <c r="F165" s="108"/>
      <c r="G165" s="108"/>
      <c r="H165" s="108"/>
      <c r="I165" s="108"/>
      <c r="J165" s="108"/>
      <c r="K165" s="108"/>
      <c r="L165" s="108"/>
      <c r="M165" s="108"/>
      <c r="N165" s="108"/>
      <c r="O165" s="108"/>
      <c r="P165" s="34"/>
      <c r="Q165" s="34"/>
      <c r="R165" s="34"/>
      <c r="S165" s="34"/>
      <c r="T165" s="108"/>
      <c r="U165" s="108"/>
      <c r="V165" s="108"/>
      <c r="W165" s="108"/>
      <c r="X165" s="108"/>
      <c r="Y165" s="108"/>
      <c r="Z165" s="108"/>
    </row>
    <row r="166">
      <c r="A166" s="108"/>
      <c r="B166" s="108"/>
      <c r="C166" s="108"/>
      <c r="D166" s="108"/>
      <c r="E166" s="108"/>
      <c r="F166" s="108"/>
      <c r="G166" s="108"/>
      <c r="H166" s="108"/>
      <c r="I166" s="108"/>
      <c r="J166" s="108"/>
      <c r="K166" s="108"/>
      <c r="L166" s="108"/>
      <c r="M166" s="108"/>
      <c r="N166" s="108"/>
      <c r="O166" s="108"/>
      <c r="P166" s="34"/>
      <c r="Q166" s="34"/>
      <c r="R166" s="34"/>
      <c r="S166" s="34"/>
      <c r="T166" s="108"/>
      <c r="U166" s="108"/>
      <c r="V166" s="108"/>
      <c r="W166" s="108"/>
      <c r="X166" s="108"/>
      <c r="Y166" s="108"/>
      <c r="Z166" s="108"/>
    </row>
    <row r="167">
      <c r="A167" s="108"/>
      <c r="B167" s="108"/>
      <c r="C167" s="108"/>
      <c r="D167" s="108"/>
      <c r="E167" s="108"/>
      <c r="F167" s="108"/>
      <c r="G167" s="108"/>
      <c r="H167" s="108"/>
      <c r="I167" s="108"/>
      <c r="J167" s="108"/>
      <c r="K167" s="108"/>
      <c r="L167" s="108"/>
      <c r="M167" s="108"/>
      <c r="N167" s="108"/>
      <c r="O167" s="108"/>
      <c r="P167" s="34"/>
      <c r="Q167" s="34"/>
      <c r="R167" s="34"/>
      <c r="S167" s="34"/>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34"/>
      <c r="Q168" s="34"/>
      <c r="R168" s="34"/>
      <c r="S168" s="34"/>
      <c r="T168" s="108"/>
      <c r="U168" s="108"/>
      <c r="V168" s="108"/>
      <c r="W168" s="108"/>
      <c r="X168" s="108"/>
      <c r="Y168" s="108"/>
      <c r="Z168" s="108"/>
    </row>
    <row r="169">
      <c r="A169" s="108"/>
      <c r="B169" s="108"/>
      <c r="C169" s="108"/>
      <c r="D169" s="108"/>
      <c r="E169" s="108"/>
      <c r="F169" s="108"/>
      <c r="G169" s="108"/>
      <c r="H169" s="108"/>
      <c r="I169" s="108"/>
      <c r="J169" s="108"/>
      <c r="K169" s="108"/>
      <c r="L169" s="108"/>
      <c r="M169" s="108"/>
      <c r="N169" s="108"/>
      <c r="O169" s="108"/>
      <c r="P169" s="34"/>
      <c r="Q169" s="34"/>
      <c r="R169" s="34"/>
      <c r="S169" s="34"/>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34"/>
      <c r="Q170" s="34"/>
      <c r="R170" s="34"/>
      <c r="S170" s="34"/>
      <c r="T170" s="108"/>
      <c r="U170" s="108"/>
      <c r="V170" s="108"/>
      <c r="W170" s="108"/>
      <c r="X170" s="108"/>
      <c r="Y170" s="108"/>
      <c r="Z170" s="108"/>
    </row>
    <row r="171">
      <c r="A171" s="108"/>
      <c r="B171" s="108"/>
      <c r="C171" s="108"/>
      <c r="D171" s="108"/>
      <c r="E171" s="108"/>
      <c r="F171" s="108"/>
      <c r="G171" s="108"/>
      <c r="H171" s="108"/>
      <c r="I171" s="108"/>
      <c r="J171" s="108"/>
      <c r="K171" s="108"/>
      <c r="L171" s="108"/>
      <c r="M171" s="108"/>
      <c r="N171" s="108"/>
      <c r="O171" s="108"/>
      <c r="P171" s="34"/>
      <c r="Q171" s="34"/>
      <c r="R171" s="34"/>
      <c r="S171" s="34"/>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34"/>
      <c r="Q172" s="34"/>
      <c r="R172" s="34"/>
      <c r="S172" s="34"/>
      <c r="T172" s="108"/>
      <c r="U172" s="108"/>
      <c r="V172" s="108"/>
      <c r="W172" s="108"/>
      <c r="X172" s="108"/>
      <c r="Y172" s="108"/>
      <c r="Z172" s="108"/>
    </row>
    <row r="173">
      <c r="A173" s="108"/>
      <c r="B173" s="108"/>
      <c r="C173" s="108"/>
      <c r="D173" s="108"/>
      <c r="E173" s="108"/>
      <c r="F173" s="108"/>
      <c r="G173" s="108"/>
      <c r="H173" s="108"/>
      <c r="I173" s="108"/>
      <c r="J173" s="108"/>
      <c r="K173" s="108"/>
      <c r="L173" s="108"/>
      <c r="M173" s="108"/>
      <c r="N173" s="108"/>
      <c r="O173" s="108"/>
      <c r="P173" s="34"/>
      <c r="Q173" s="34"/>
      <c r="R173" s="34"/>
      <c r="S173" s="34"/>
      <c r="T173" s="108"/>
      <c r="U173" s="108"/>
      <c r="V173" s="108"/>
      <c r="W173" s="108"/>
      <c r="X173" s="108"/>
      <c r="Y173" s="108"/>
      <c r="Z173" s="108"/>
    </row>
    <row r="174">
      <c r="A174" s="108"/>
      <c r="B174" s="108"/>
      <c r="C174" s="108"/>
      <c r="D174" s="108"/>
      <c r="E174" s="108"/>
      <c r="F174" s="108"/>
      <c r="G174" s="108"/>
      <c r="H174" s="108"/>
      <c r="I174" s="108"/>
      <c r="J174" s="108"/>
      <c r="K174" s="108"/>
      <c r="L174" s="108"/>
      <c r="M174" s="108"/>
      <c r="N174" s="108"/>
      <c r="O174" s="108"/>
      <c r="P174" s="34"/>
      <c r="Q174" s="34"/>
      <c r="R174" s="34"/>
      <c r="S174" s="34"/>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34"/>
      <c r="Q175" s="34"/>
      <c r="R175" s="34"/>
      <c r="S175" s="34"/>
      <c r="T175" s="108"/>
      <c r="U175" s="108"/>
      <c r="V175" s="108"/>
      <c r="W175" s="108"/>
      <c r="X175" s="108"/>
      <c r="Y175" s="108"/>
      <c r="Z175" s="108"/>
    </row>
    <row r="176">
      <c r="A176" s="108"/>
      <c r="B176" s="108"/>
      <c r="C176" s="108"/>
      <c r="D176" s="108"/>
      <c r="E176" s="108"/>
      <c r="F176" s="108"/>
      <c r="G176" s="108"/>
      <c r="H176" s="108"/>
      <c r="I176" s="108"/>
      <c r="J176" s="108"/>
      <c r="K176" s="108"/>
      <c r="L176" s="108"/>
      <c r="M176" s="108"/>
      <c r="N176" s="108"/>
      <c r="O176" s="108"/>
      <c r="P176" s="34"/>
      <c r="Q176" s="34"/>
      <c r="R176" s="34"/>
      <c r="S176" s="34"/>
      <c r="T176" s="108"/>
      <c r="U176" s="108"/>
      <c r="V176" s="108"/>
      <c r="W176" s="108"/>
      <c r="X176" s="108"/>
      <c r="Y176" s="108"/>
      <c r="Z176" s="108"/>
    </row>
    <row r="177">
      <c r="A177" s="108"/>
      <c r="B177" s="108"/>
      <c r="C177" s="108"/>
      <c r="D177" s="108"/>
      <c r="E177" s="108"/>
      <c r="F177" s="108"/>
      <c r="G177" s="108"/>
      <c r="H177" s="108"/>
      <c r="I177" s="108"/>
      <c r="J177" s="108"/>
      <c r="K177" s="108"/>
      <c r="L177" s="108"/>
      <c r="M177" s="108"/>
      <c r="N177" s="108"/>
      <c r="O177" s="108"/>
      <c r="P177" s="34"/>
      <c r="Q177" s="34"/>
      <c r="R177" s="34"/>
      <c r="S177" s="34"/>
      <c r="T177" s="108"/>
      <c r="U177" s="108"/>
      <c r="V177" s="108"/>
      <c r="W177" s="108"/>
      <c r="X177" s="108"/>
      <c r="Y177" s="108"/>
      <c r="Z177" s="108"/>
    </row>
    <row r="178">
      <c r="A178" s="108"/>
      <c r="B178" s="108"/>
      <c r="C178" s="108"/>
      <c r="D178" s="108"/>
      <c r="E178" s="108"/>
      <c r="F178" s="108"/>
      <c r="G178" s="108"/>
      <c r="H178" s="108"/>
      <c r="I178" s="108"/>
      <c r="J178" s="108"/>
      <c r="K178" s="108"/>
      <c r="L178" s="108"/>
      <c r="M178" s="108"/>
      <c r="N178" s="108"/>
      <c r="O178" s="108"/>
      <c r="P178" s="34"/>
      <c r="Q178" s="34"/>
      <c r="R178" s="34"/>
      <c r="S178" s="34"/>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34"/>
      <c r="Q179" s="34"/>
      <c r="R179" s="34"/>
      <c r="S179" s="34"/>
      <c r="T179" s="108"/>
      <c r="U179" s="108"/>
      <c r="V179" s="108"/>
      <c r="W179" s="108"/>
      <c r="X179" s="108"/>
      <c r="Y179" s="108"/>
      <c r="Z179" s="108"/>
    </row>
    <row r="180">
      <c r="A180" s="108"/>
      <c r="B180" s="108"/>
      <c r="C180" s="108"/>
      <c r="D180" s="108"/>
      <c r="E180" s="108"/>
      <c r="F180" s="108"/>
      <c r="G180" s="108"/>
      <c r="H180" s="108"/>
      <c r="I180" s="108"/>
      <c r="J180" s="108"/>
      <c r="K180" s="108"/>
      <c r="L180" s="108"/>
      <c r="M180" s="108"/>
      <c r="N180" s="108"/>
      <c r="O180" s="108"/>
      <c r="P180" s="34"/>
      <c r="Q180" s="34"/>
      <c r="R180" s="34"/>
      <c r="S180" s="34"/>
      <c r="T180" s="108"/>
      <c r="U180" s="108"/>
      <c r="V180" s="108"/>
      <c r="W180" s="108"/>
      <c r="X180" s="108"/>
      <c r="Y180" s="108"/>
      <c r="Z180" s="108"/>
    </row>
    <row r="181">
      <c r="A181" s="108"/>
      <c r="B181" s="108"/>
      <c r="C181" s="108"/>
      <c r="D181" s="108"/>
      <c r="E181" s="108"/>
      <c r="F181" s="108"/>
      <c r="G181" s="108"/>
      <c r="H181" s="108"/>
      <c r="I181" s="108"/>
      <c r="J181" s="108"/>
      <c r="K181" s="108"/>
      <c r="L181" s="108"/>
      <c r="M181" s="108"/>
      <c r="N181" s="108"/>
      <c r="O181" s="108"/>
      <c r="P181" s="34"/>
      <c r="Q181" s="34"/>
      <c r="R181" s="34"/>
      <c r="S181" s="34"/>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34"/>
      <c r="Q182" s="34"/>
      <c r="R182" s="34"/>
      <c r="S182" s="34"/>
      <c r="T182" s="108"/>
      <c r="U182" s="108"/>
      <c r="V182" s="108"/>
      <c r="W182" s="108"/>
      <c r="X182" s="108"/>
      <c r="Y182" s="108"/>
      <c r="Z182" s="108"/>
    </row>
    <row r="183">
      <c r="A183" s="108"/>
      <c r="B183" s="108"/>
      <c r="C183" s="108"/>
      <c r="D183" s="108"/>
      <c r="E183" s="108"/>
      <c r="F183" s="108"/>
      <c r="G183" s="108"/>
      <c r="H183" s="108"/>
      <c r="I183" s="108"/>
      <c r="J183" s="108"/>
      <c r="K183" s="108"/>
      <c r="L183" s="108"/>
      <c r="M183" s="108"/>
      <c r="N183" s="108"/>
      <c r="O183" s="108"/>
      <c r="P183" s="34"/>
      <c r="Q183" s="34"/>
      <c r="R183" s="34"/>
      <c r="S183" s="34"/>
      <c r="T183" s="108"/>
      <c r="U183" s="108"/>
      <c r="V183" s="108"/>
      <c r="W183" s="108"/>
      <c r="X183" s="108"/>
      <c r="Y183" s="108"/>
      <c r="Z183" s="108"/>
    </row>
    <row r="184">
      <c r="A184" s="108"/>
      <c r="B184" s="108"/>
      <c r="C184" s="108"/>
      <c r="D184" s="108"/>
      <c r="E184" s="108"/>
      <c r="F184" s="108"/>
      <c r="G184" s="108"/>
      <c r="H184" s="108"/>
      <c r="I184" s="108"/>
      <c r="J184" s="108"/>
      <c r="K184" s="108"/>
      <c r="L184" s="108"/>
      <c r="M184" s="108"/>
      <c r="N184" s="108"/>
      <c r="O184" s="108"/>
      <c r="P184" s="34"/>
      <c r="Q184" s="34"/>
      <c r="R184" s="34"/>
      <c r="S184" s="34"/>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34"/>
      <c r="Q185" s="34"/>
      <c r="R185" s="34"/>
      <c r="S185" s="34"/>
      <c r="T185" s="108"/>
      <c r="U185" s="108"/>
      <c r="V185" s="108"/>
      <c r="W185" s="108"/>
      <c r="X185" s="108"/>
      <c r="Y185" s="108"/>
      <c r="Z185" s="108"/>
    </row>
    <row r="186">
      <c r="A186" s="108"/>
      <c r="B186" s="108"/>
      <c r="C186" s="108"/>
      <c r="D186" s="108"/>
      <c r="E186" s="108"/>
      <c r="F186" s="108"/>
      <c r="G186" s="108"/>
      <c r="H186" s="108"/>
      <c r="I186" s="108"/>
      <c r="J186" s="108"/>
      <c r="K186" s="108"/>
      <c r="L186" s="108"/>
      <c r="M186" s="108"/>
      <c r="N186" s="108"/>
      <c r="O186" s="108"/>
      <c r="P186" s="34"/>
      <c r="Q186" s="34"/>
      <c r="R186" s="34"/>
      <c r="S186" s="34"/>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34"/>
      <c r="Q187" s="34"/>
      <c r="R187" s="34"/>
      <c r="S187" s="34"/>
      <c r="T187" s="108"/>
      <c r="U187" s="108"/>
      <c r="V187" s="108"/>
      <c r="W187" s="108"/>
      <c r="X187" s="108"/>
      <c r="Y187" s="108"/>
      <c r="Z187" s="108"/>
    </row>
    <row r="188">
      <c r="A188" s="108"/>
      <c r="B188" s="108"/>
      <c r="C188" s="108"/>
      <c r="D188" s="108"/>
      <c r="E188" s="108"/>
      <c r="F188" s="108"/>
      <c r="G188" s="108"/>
      <c r="H188" s="108"/>
      <c r="I188" s="108"/>
      <c r="J188" s="108"/>
      <c r="K188" s="108"/>
      <c r="L188" s="108"/>
      <c r="M188" s="108"/>
      <c r="N188" s="108"/>
      <c r="O188" s="108"/>
      <c r="P188" s="34"/>
      <c r="Q188" s="34"/>
      <c r="R188" s="34"/>
      <c r="S188" s="34"/>
      <c r="T188" s="108"/>
      <c r="U188" s="108"/>
      <c r="V188" s="108"/>
      <c r="W188" s="108"/>
      <c r="X188" s="108"/>
      <c r="Y188" s="108"/>
      <c r="Z188" s="108"/>
    </row>
    <row r="189">
      <c r="A189" s="108"/>
      <c r="B189" s="108"/>
      <c r="C189" s="108"/>
      <c r="D189" s="108"/>
      <c r="E189" s="108"/>
      <c r="F189" s="108"/>
      <c r="G189" s="108"/>
      <c r="H189" s="108"/>
      <c r="I189" s="108"/>
      <c r="J189" s="108"/>
      <c r="K189" s="108"/>
      <c r="L189" s="108"/>
      <c r="M189" s="108"/>
      <c r="N189" s="108"/>
      <c r="O189" s="108"/>
      <c r="P189" s="34"/>
      <c r="Q189" s="34"/>
      <c r="R189" s="34"/>
      <c r="S189" s="34"/>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34"/>
      <c r="Q190" s="34"/>
      <c r="R190" s="34"/>
      <c r="S190" s="34"/>
      <c r="T190" s="108"/>
      <c r="U190" s="108"/>
      <c r="V190" s="108"/>
      <c r="W190" s="108"/>
      <c r="X190" s="108"/>
      <c r="Y190" s="108"/>
      <c r="Z190" s="108"/>
    </row>
    <row r="191">
      <c r="A191" s="108"/>
      <c r="B191" s="108"/>
      <c r="C191" s="108"/>
      <c r="D191" s="108"/>
      <c r="E191" s="108"/>
      <c r="F191" s="108"/>
      <c r="G191" s="108"/>
      <c r="H191" s="108"/>
      <c r="I191" s="108"/>
      <c r="J191" s="108"/>
      <c r="K191" s="108"/>
      <c r="L191" s="108"/>
      <c r="M191" s="108"/>
      <c r="N191" s="108"/>
      <c r="O191" s="108"/>
      <c r="P191" s="34"/>
      <c r="Q191" s="34"/>
      <c r="R191" s="34"/>
      <c r="S191" s="34"/>
      <c r="T191" s="108"/>
      <c r="U191" s="108"/>
      <c r="V191" s="108"/>
      <c r="W191" s="108"/>
      <c r="X191" s="108"/>
      <c r="Y191" s="108"/>
      <c r="Z191" s="108"/>
    </row>
    <row r="192">
      <c r="A192" s="108"/>
      <c r="B192" s="108"/>
      <c r="C192" s="108"/>
      <c r="D192" s="108"/>
      <c r="E192" s="108"/>
      <c r="F192" s="108"/>
      <c r="G192" s="108"/>
      <c r="H192" s="108"/>
      <c r="I192" s="108"/>
      <c r="J192" s="108"/>
      <c r="K192" s="108"/>
      <c r="L192" s="108"/>
      <c r="M192" s="108"/>
      <c r="N192" s="108"/>
      <c r="O192" s="108"/>
      <c r="P192" s="34"/>
      <c r="Q192" s="34"/>
      <c r="R192" s="34"/>
      <c r="S192" s="34"/>
      <c r="T192" s="108"/>
      <c r="U192" s="108"/>
      <c r="V192" s="108"/>
      <c r="W192" s="108"/>
      <c r="X192" s="108"/>
      <c r="Y192" s="108"/>
      <c r="Z192" s="108"/>
    </row>
    <row r="193">
      <c r="A193" s="108"/>
      <c r="B193" s="108"/>
      <c r="C193" s="108"/>
      <c r="D193" s="108"/>
      <c r="E193" s="108"/>
      <c r="F193" s="108"/>
      <c r="G193" s="108"/>
      <c r="H193" s="108"/>
      <c r="I193" s="108"/>
      <c r="J193" s="108"/>
      <c r="K193" s="108"/>
      <c r="L193" s="108"/>
      <c r="M193" s="108"/>
      <c r="N193" s="108"/>
      <c r="O193" s="108"/>
      <c r="P193" s="34"/>
      <c r="Q193" s="34"/>
      <c r="R193" s="34"/>
      <c r="S193" s="34"/>
      <c r="T193" s="108"/>
      <c r="U193" s="108"/>
      <c r="V193" s="108"/>
      <c r="W193" s="108"/>
      <c r="X193" s="108"/>
      <c r="Y193" s="108"/>
      <c r="Z193" s="108"/>
    </row>
    <row r="194">
      <c r="A194" s="108"/>
      <c r="B194" s="108"/>
      <c r="C194" s="108"/>
      <c r="D194" s="108"/>
      <c r="E194" s="108"/>
      <c r="F194" s="108"/>
      <c r="G194" s="108"/>
      <c r="H194" s="108"/>
      <c r="I194" s="108"/>
      <c r="J194" s="108"/>
      <c r="K194" s="108"/>
      <c r="L194" s="108"/>
      <c r="M194" s="108"/>
      <c r="N194" s="108"/>
      <c r="O194" s="108"/>
      <c r="P194" s="34"/>
      <c r="Q194" s="34"/>
      <c r="R194" s="34"/>
      <c r="S194" s="34"/>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34"/>
      <c r="Q195" s="34"/>
      <c r="R195" s="34"/>
      <c r="S195" s="34"/>
      <c r="T195" s="108"/>
      <c r="U195" s="108"/>
      <c r="V195" s="108"/>
      <c r="W195" s="108"/>
      <c r="X195" s="108"/>
      <c r="Y195" s="108"/>
      <c r="Z195" s="108"/>
    </row>
    <row r="196">
      <c r="A196" s="108"/>
      <c r="B196" s="108"/>
      <c r="C196" s="108"/>
      <c r="D196" s="108"/>
      <c r="E196" s="108"/>
      <c r="F196" s="108"/>
      <c r="G196" s="108"/>
      <c r="H196" s="108"/>
      <c r="I196" s="108"/>
      <c r="J196" s="108"/>
      <c r="K196" s="108"/>
      <c r="L196" s="108"/>
      <c r="M196" s="108"/>
      <c r="N196" s="108"/>
      <c r="O196" s="108"/>
      <c r="P196" s="34"/>
      <c r="Q196" s="34"/>
      <c r="R196" s="34"/>
      <c r="S196" s="34"/>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34"/>
      <c r="Q197" s="34"/>
      <c r="R197" s="34"/>
      <c r="S197" s="34"/>
      <c r="T197" s="108"/>
      <c r="U197" s="108"/>
      <c r="V197" s="108"/>
      <c r="W197" s="108"/>
      <c r="X197" s="108"/>
      <c r="Y197" s="108"/>
      <c r="Z197" s="108"/>
    </row>
    <row r="198">
      <c r="A198" s="108"/>
      <c r="B198" s="108"/>
      <c r="C198" s="108"/>
      <c r="D198" s="108"/>
      <c r="E198" s="108"/>
      <c r="F198" s="108"/>
      <c r="G198" s="108"/>
      <c r="H198" s="108"/>
      <c r="I198" s="108"/>
      <c r="J198" s="108"/>
      <c r="K198" s="108"/>
      <c r="L198" s="108"/>
      <c r="M198" s="108"/>
      <c r="N198" s="108"/>
      <c r="O198" s="108"/>
      <c r="P198" s="34"/>
      <c r="Q198" s="34"/>
      <c r="R198" s="34"/>
      <c r="S198" s="34"/>
      <c r="T198" s="108"/>
      <c r="U198" s="108"/>
      <c r="V198" s="108"/>
      <c r="W198" s="108"/>
      <c r="X198" s="108"/>
      <c r="Y198" s="108"/>
      <c r="Z198" s="108"/>
    </row>
    <row r="199">
      <c r="A199" s="108"/>
      <c r="B199" s="108"/>
      <c r="C199" s="108"/>
      <c r="D199" s="108"/>
      <c r="E199" s="108"/>
      <c r="F199" s="108"/>
      <c r="G199" s="108"/>
      <c r="H199" s="108"/>
      <c r="I199" s="108"/>
      <c r="J199" s="108"/>
      <c r="K199" s="108"/>
      <c r="L199" s="108"/>
      <c r="M199" s="108"/>
      <c r="N199" s="108"/>
      <c r="O199" s="108"/>
      <c r="P199" s="34"/>
      <c r="Q199" s="34"/>
      <c r="R199" s="34"/>
      <c r="S199" s="34"/>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34"/>
      <c r="Q200" s="34"/>
      <c r="R200" s="34"/>
      <c r="S200" s="34"/>
      <c r="T200" s="108"/>
      <c r="U200" s="108"/>
      <c r="V200" s="108"/>
      <c r="W200" s="108"/>
      <c r="X200" s="108"/>
      <c r="Y200" s="108"/>
      <c r="Z200" s="108"/>
    </row>
    <row r="201">
      <c r="A201" s="108"/>
      <c r="B201" s="108"/>
      <c r="C201" s="108"/>
      <c r="D201" s="108"/>
      <c r="E201" s="108"/>
      <c r="F201" s="108"/>
      <c r="G201" s="108"/>
      <c r="H201" s="108"/>
      <c r="I201" s="108"/>
      <c r="J201" s="108"/>
      <c r="K201" s="108"/>
      <c r="L201" s="108"/>
      <c r="M201" s="108"/>
      <c r="N201" s="108"/>
      <c r="O201" s="108"/>
      <c r="P201" s="34"/>
      <c r="Q201" s="34"/>
      <c r="R201" s="34"/>
      <c r="S201" s="34"/>
      <c r="T201" s="108"/>
      <c r="U201" s="108"/>
      <c r="V201" s="108"/>
      <c r="W201" s="108"/>
      <c r="X201" s="108"/>
      <c r="Y201" s="108"/>
      <c r="Z201" s="108"/>
    </row>
    <row r="202">
      <c r="A202" s="108"/>
      <c r="B202" s="108"/>
      <c r="C202" s="108"/>
      <c r="D202" s="108"/>
      <c r="E202" s="108"/>
      <c r="F202" s="108"/>
      <c r="G202" s="108"/>
      <c r="H202" s="108"/>
      <c r="I202" s="108"/>
      <c r="J202" s="108"/>
      <c r="K202" s="108"/>
      <c r="L202" s="108"/>
      <c r="M202" s="108"/>
      <c r="N202" s="108"/>
      <c r="O202" s="108"/>
      <c r="P202" s="34"/>
      <c r="Q202" s="34"/>
      <c r="R202" s="34"/>
      <c r="S202" s="34"/>
      <c r="T202" s="108"/>
      <c r="U202" s="108"/>
      <c r="V202" s="108"/>
      <c r="W202" s="108"/>
      <c r="X202" s="108"/>
      <c r="Y202" s="108"/>
      <c r="Z202" s="108"/>
    </row>
    <row r="203">
      <c r="A203" s="108"/>
      <c r="B203" s="108"/>
      <c r="C203" s="108"/>
      <c r="D203" s="108"/>
      <c r="E203" s="108"/>
      <c r="F203" s="108"/>
      <c r="G203" s="108"/>
      <c r="H203" s="108"/>
      <c r="I203" s="108"/>
      <c r="J203" s="108"/>
      <c r="K203" s="108"/>
      <c r="L203" s="108"/>
      <c r="M203" s="108"/>
      <c r="N203" s="108"/>
      <c r="O203" s="108"/>
      <c r="P203" s="34"/>
      <c r="Q203" s="34"/>
      <c r="R203" s="34"/>
      <c r="S203" s="34"/>
      <c r="T203" s="108"/>
      <c r="U203" s="108"/>
      <c r="V203" s="108"/>
      <c r="W203" s="108"/>
      <c r="X203" s="108"/>
      <c r="Y203" s="108"/>
      <c r="Z203" s="108"/>
    </row>
    <row r="204">
      <c r="A204" s="108"/>
      <c r="B204" s="108"/>
      <c r="C204" s="108"/>
      <c r="D204" s="108"/>
      <c r="E204" s="108"/>
      <c r="F204" s="108"/>
      <c r="G204" s="108"/>
      <c r="H204" s="108"/>
      <c r="I204" s="108"/>
      <c r="J204" s="108"/>
      <c r="K204" s="108"/>
      <c r="L204" s="108"/>
      <c r="M204" s="108"/>
      <c r="N204" s="108"/>
      <c r="O204" s="108"/>
      <c r="P204" s="34"/>
      <c r="Q204" s="34"/>
      <c r="R204" s="34"/>
      <c r="S204" s="34"/>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34"/>
      <c r="Q205" s="34"/>
      <c r="R205" s="34"/>
      <c r="S205" s="34"/>
      <c r="T205" s="108"/>
      <c r="U205" s="108"/>
      <c r="V205" s="108"/>
      <c r="W205" s="108"/>
      <c r="X205" s="108"/>
      <c r="Y205" s="108"/>
      <c r="Z205" s="108"/>
    </row>
    <row r="206">
      <c r="A206" s="108"/>
      <c r="B206" s="108"/>
      <c r="C206" s="108"/>
      <c r="D206" s="108"/>
      <c r="E206" s="108"/>
      <c r="F206" s="108"/>
      <c r="G206" s="108"/>
      <c r="H206" s="108"/>
      <c r="I206" s="108"/>
      <c r="J206" s="108"/>
      <c r="K206" s="108"/>
      <c r="L206" s="108"/>
      <c r="M206" s="108"/>
      <c r="N206" s="108"/>
      <c r="O206" s="108"/>
      <c r="P206" s="34"/>
      <c r="Q206" s="34"/>
      <c r="R206" s="34"/>
      <c r="S206" s="34"/>
      <c r="T206" s="108"/>
      <c r="U206" s="108"/>
      <c r="V206" s="108"/>
      <c r="W206" s="108"/>
      <c r="X206" s="108"/>
      <c r="Y206" s="108"/>
      <c r="Z206" s="108"/>
    </row>
    <row r="207">
      <c r="A207" s="108"/>
      <c r="B207" s="108"/>
      <c r="C207" s="108"/>
      <c r="D207" s="108"/>
      <c r="E207" s="108"/>
      <c r="F207" s="108"/>
      <c r="G207" s="108"/>
      <c r="H207" s="108"/>
      <c r="I207" s="108"/>
      <c r="J207" s="108"/>
      <c r="K207" s="108"/>
      <c r="L207" s="108"/>
      <c r="M207" s="108"/>
      <c r="N207" s="108"/>
      <c r="O207" s="108"/>
      <c r="P207" s="34"/>
      <c r="Q207" s="34"/>
      <c r="R207" s="34"/>
      <c r="S207" s="34"/>
      <c r="T207" s="108"/>
      <c r="U207" s="108"/>
      <c r="V207" s="108"/>
      <c r="W207" s="108"/>
      <c r="X207" s="108"/>
      <c r="Y207" s="108"/>
      <c r="Z207" s="108"/>
    </row>
    <row r="208">
      <c r="A208" s="108"/>
      <c r="B208" s="108"/>
      <c r="C208" s="108"/>
      <c r="D208" s="108"/>
      <c r="E208" s="108"/>
      <c r="F208" s="108"/>
      <c r="G208" s="108"/>
      <c r="H208" s="108"/>
      <c r="I208" s="108"/>
      <c r="J208" s="108"/>
      <c r="K208" s="108"/>
      <c r="L208" s="108"/>
      <c r="M208" s="108"/>
      <c r="N208" s="108"/>
      <c r="O208" s="108"/>
      <c r="P208" s="34"/>
      <c r="Q208" s="34"/>
      <c r="R208" s="34"/>
      <c r="S208" s="34"/>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34"/>
      <c r="Q209" s="34"/>
      <c r="R209" s="34"/>
      <c r="S209" s="34"/>
      <c r="T209" s="108"/>
      <c r="U209" s="108"/>
      <c r="V209" s="108"/>
      <c r="W209" s="108"/>
      <c r="X209" s="108"/>
      <c r="Y209" s="108"/>
      <c r="Z209" s="108"/>
    </row>
    <row r="210">
      <c r="A210" s="108"/>
      <c r="B210" s="108"/>
      <c r="C210" s="108"/>
      <c r="D210" s="108"/>
      <c r="E210" s="108"/>
      <c r="F210" s="108"/>
      <c r="G210" s="108"/>
      <c r="H210" s="108"/>
      <c r="I210" s="108"/>
      <c r="J210" s="108"/>
      <c r="K210" s="108"/>
      <c r="L210" s="108"/>
      <c r="M210" s="108"/>
      <c r="N210" s="108"/>
      <c r="O210" s="108"/>
      <c r="P210" s="34"/>
      <c r="Q210" s="34"/>
      <c r="R210" s="34"/>
      <c r="S210" s="34"/>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34"/>
      <c r="Q211" s="34"/>
      <c r="R211" s="34"/>
      <c r="S211" s="34"/>
      <c r="T211" s="108"/>
      <c r="U211" s="108"/>
      <c r="V211" s="108"/>
      <c r="W211" s="108"/>
      <c r="X211" s="108"/>
      <c r="Y211" s="108"/>
      <c r="Z211" s="108"/>
    </row>
    <row r="212">
      <c r="A212" s="108"/>
      <c r="B212" s="108"/>
      <c r="C212" s="108"/>
      <c r="D212" s="108"/>
      <c r="E212" s="108"/>
      <c r="F212" s="108"/>
      <c r="G212" s="108"/>
      <c r="H212" s="108"/>
      <c r="I212" s="108"/>
      <c r="J212" s="108"/>
      <c r="K212" s="108"/>
      <c r="L212" s="108"/>
      <c r="M212" s="108"/>
      <c r="N212" s="108"/>
      <c r="O212" s="108"/>
      <c r="P212" s="34"/>
      <c r="Q212" s="34"/>
      <c r="R212" s="34"/>
      <c r="S212" s="34"/>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34"/>
      <c r="Q213" s="34"/>
      <c r="R213" s="34"/>
      <c r="S213" s="34"/>
      <c r="T213" s="108"/>
      <c r="U213" s="108"/>
      <c r="V213" s="108"/>
      <c r="W213" s="108"/>
      <c r="X213" s="108"/>
      <c r="Y213" s="108"/>
      <c r="Z213" s="108"/>
    </row>
    <row r="214">
      <c r="A214" s="108"/>
      <c r="B214" s="108"/>
      <c r="C214" s="108"/>
      <c r="D214" s="108"/>
      <c r="E214" s="108"/>
      <c r="F214" s="108"/>
      <c r="G214" s="108"/>
      <c r="H214" s="108"/>
      <c r="I214" s="108"/>
      <c r="J214" s="108"/>
      <c r="K214" s="108"/>
      <c r="L214" s="108"/>
      <c r="M214" s="108"/>
      <c r="N214" s="108"/>
      <c r="O214" s="108"/>
      <c r="P214" s="34"/>
      <c r="Q214" s="34"/>
      <c r="R214" s="34"/>
      <c r="S214" s="34"/>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34"/>
      <c r="Q215" s="34"/>
      <c r="R215" s="34"/>
      <c r="S215" s="34"/>
      <c r="T215" s="108"/>
      <c r="U215" s="108"/>
      <c r="V215" s="108"/>
      <c r="W215" s="108"/>
      <c r="X215" s="108"/>
      <c r="Y215" s="108"/>
      <c r="Z215" s="108"/>
    </row>
    <row r="216">
      <c r="A216" s="108"/>
      <c r="B216" s="108"/>
      <c r="C216" s="108"/>
      <c r="D216" s="108"/>
      <c r="E216" s="108"/>
      <c r="F216" s="108"/>
      <c r="G216" s="108"/>
      <c r="H216" s="108"/>
      <c r="I216" s="108"/>
      <c r="J216" s="108"/>
      <c r="K216" s="108"/>
      <c r="L216" s="108"/>
      <c r="M216" s="108"/>
      <c r="N216" s="108"/>
      <c r="O216" s="108"/>
      <c r="P216" s="34"/>
      <c r="Q216" s="34"/>
      <c r="R216" s="34"/>
      <c r="S216" s="34"/>
      <c r="T216" s="108"/>
      <c r="U216" s="108"/>
      <c r="V216" s="108"/>
      <c r="W216" s="108"/>
      <c r="X216" s="108"/>
      <c r="Y216" s="108"/>
      <c r="Z216" s="108"/>
    </row>
    <row r="217">
      <c r="A217" s="108"/>
      <c r="B217" s="108"/>
      <c r="C217" s="108"/>
      <c r="D217" s="108"/>
      <c r="E217" s="108"/>
      <c r="F217" s="108"/>
      <c r="G217" s="108"/>
      <c r="H217" s="108"/>
      <c r="I217" s="108"/>
      <c r="J217" s="108"/>
      <c r="K217" s="108"/>
      <c r="L217" s="108"/>
      <c r="M217" s="108"/>
      <c r="N217" s="108"/>
      <c r="O217" s="108"/>
      <c r="P217" s="34"/>
      <c r="Q217" s="34"/>
      <c r="R217" s="34"/>
      <c r="S217" s="34"/>
      <c r="T217" s="108"/>
      <c r="U217" s="108"/>
      <c r="V217" s="108"/>
      <c r="W217" s="108"/>
      <c r="X217" s="108"/>
      <c r="Y217" s="108"/>
      <c r="Z217" s="108"/>
    </row>
    <row r="218">
      <c r="A218" s="108"/>
      <c r="B218" s="108"/>
      <c r="C218" s="108"/>
      <c r="D218" s="108"/>
      <c r="E218" s="108"/>
      <c r="F218" s="108"/>
      <c r="G218" s="108"/>
      <c r="H218" s="108"/>
      <c r="I218" s="108"/>
      <c r="J218" s="108"/>
      <c r="K218" s="108"/>
      <c r="L218" s="108"/>
      <c r="M218" s="108"/>
      <c r="N218" s="108"/>
      <c r="O218" s="108"/>
      <c r="P218" s="34"/>
      <c r="Q218" s="34"/>
      <c r="R218" s="34"/>
      <c r="S218" s="34"/>
      <c r="T218" s="108"/>
      <c r="U218" s="108"/>
      <c r="V218" s="108"/>
      <c r="W218" s="108"/>
      <c r="X218" s="108"/>
      <c r="Y218" s="108"/>
      <c r="Z218" s="108"/>
    </row>
    <row r="219">
      <c r="A219" s="108"/>
      <c r="B219" s="108"/>
      <c r="C219" s="108"/>
      <c r="D219" s="108"/>
      <c r="E219" s="108"/>
      <c r="F219" s="108"/>
      <c r="G219" s="108"/>
      <c r="H219" s="108"/>
      <c r="I219" s="108"/>
      <c r="J219" s="108"/>
      <c r="K219" s="108"/>
      <c r="L219" s="108"/>
      <c r="M219" s="108"/>
      <c r="N219" s="108"/>
      <c r="O219" s="108"/>
      <c r="P219" s="34"/>
      <c r="Q219" s="34"/>
      <c r="R219" s="34"/>
      <c r="S219" s="34"/>
      <c r="T219" s="108"/>
      <c r="U219" s="108"/>
      <c r="V219" s="108"/>
      <c r="W219" s="108"/>
      <c r="X219" s="108"/>
      <c r="Y219" s="108"/>
      <c r="Z219" s="108"/>
    </row>
    <row r="220">
      <c r="A220" s="108"/>
      <c r="B220" s="108"/>
      <c r="C220" s="108"/>
      <c r="D220" s="108"/>
      <c r="E220" s="108"/>
      <c r="F220" s="108"/>
      <c r="G220" s="108"/>
      <c r="H220" s="108"/>
      <c r="I220" s="108"/>
      <c r="J220" s="108"/>
      <c r="K220" s="108"/>
      <c r="L220" s="108"/>
      <c r="M220" s="108"/>
      <c r="N220" s="108"/>
      <c r="O220" s="108"/>
      <c r="P220" s="34"/>
      <c r="Q220" s="34"/>
      <c r="R220" s="34"/>
      <c r="S220" s="34"/>
      <c r="T220" s="108"/>
      <c r="U220" s="108"/>
      <c r="V220" s="108"/>
      <c r="W220" s="108"/>
      <c r="X220" s="108"/>
      <c r="Y220" s="108"/>
      <c r="Z220" s="108"/>
    </row>
    <row r="221">
      <c r="A221" s="108"/>
      <c r="B221" s="108"/>
      <c r="C221" s="108"/>
      <c r="D221" s="108"/>
      <c r="E221" s="108"/>
      <c r="F221" s="108"/>
      <c r="G221" s="108"/>
      <c r="H221" s="108"/>
      <c r="I221" s="108"/>
      <c r="J221" s="108"/>
      <c r="K221" s="108"/>
      <c r="L221" s="108"/>
      <c r="M221" s="108"/>
      <c r="N221" s="108"/>
      <c r="O221" s="108"/>
      <c r="P221" s="34"/>
      <c r="Q221" s="34"/>
      <c r="R221" s="34"/>
      <c r="S221" s="34"/>
      <c r="T221" s="108"/>
      <c r="U221" s="108"/>
      <c r="V221" s="108"/>
      <c r="W221" s="108"/>
      <c r="X221" s="108"/>
      <c r="Y221" s="108"/>
      <c r="Z221" s="108"/>
    </row>
    <row r="222">
      <c r="A222" s="108"/>
      <c r="B222" s="108"/>
      <c r="C222" s="108"/>
      <c r="D222" s="108"/>
      <c r="E222" s="108"/>
      <c r="F222" s="108"/>
      <c r="G222" s="108"/>
      <c r="H222" s="108"/>
      <c r="I222" s="108"/>
      <c r="J222" s="108"/>
      <c r="K222" s="108"/>
      <c r="L222" s="108"/>
      <c r="M222" s="108"/>
      <c r="N222" s="108"/>
      <c r="O222" s="108"/>
      <c r="P222" s="34"/>
      <c r="Q222" s="34"/>
      <c r="R222" s="34"/>
      <c r="S222" s="34"/>
      <c r="T222" s="108"/>
      <c r="U222" s="108"/>
      <c r="V222" s="108"/>
      <c r="W222" s="108"/>
      <c r="X222" s="108"/>
      <c r="Y222" s="108"/>
      <c r="Z222" s="108"/>
    </row>
    <row r="223">
      <c r="A223" s="108"/>
      <c r="B223" s="108"/>
      <c r="C223" s="108"/>
      <c r="D223" s="108"/>
      <c r="E223" s="108"/>
      <c r="F223" s="108"/>
      <c r="G223" s="108"/>
      <c r="H223" s="108"/>
      <c r="I223" s="108"/>
      <c r="J223" s="108"/>
      <c r="K223" s="108"/>
      <c r="L223" s="108"/>
      <c r="M223" s="108"/>
      <c r="N223" s="108"/>
      <c r="O223" s="108"/>
      <c r="P223" s="34"/>
      <c r="Q223" s="34"/>
      <c r="R223" s="34"/>
      <c r="S223" s="34"/>
      <c r="T223" s="108"/>
      <c r="U223" s="108"/>
      <c r="V223" s="108"/>
      <c r="W223" s="108"/>
      <c r="X223" s="108"/>
      <c r="Y223" s="108"/>
      <c r="Z223" s="108"/>
    </row>
    <row r="224">
      <c r="A224" s="108"/>
      <c r="B224" s="108"/>
      <c r="C224" s="108"/>
      <c r="D224" s="108"/>
      <c r="E224" s="108"/>
      <c r="F224" s="108"/>
      <c r="G224" s="108"/>
      <c r="H224" s="108"/>
      <c r="I224" s="108"/>
      <c r="J224" s="108"/>
      <c r="K224" s="108"/>
      <c r="L224" s="108"/>
      <c r="M224" s="108"/>
      <c r="N224" s="108"/>
      <c r="O224" s="108"/>
      <c r="P224" s="34"/>
      <c r="Q224" s="34"/>
      <c r="R224" s="34"/>
      <c r="S224" s="34"/>
      <c r="T224" s="108"/>
      <c r="U224" s="108"/>
      <c r="V224" s="108"/>
      <c r="W224" s="108"/>
      <c r="X224" s="108"/>
      <c r="Y224" s="108"/>
      <c r="Z224" s="108"/>
    </row>
    <row r="225">
      <c r="A225" s="108"/>
      <c r="B225" s="108"/>
      <c r="C225" s="108"/>
      <c r="D225" s="108"/>
      <c r="E225" s="108"/>
      <c r="F225" s="108"/>
      <c r="G225" s="108"/>
      <c r="H225" s="108"/>
      <c r="I225" s="108"/>
      <c r="J225" s="108"/>
      <c r="K225" s="108"/>
      <c r="L225" s="108"/>
      <c r="M225" s="108"/>
      <c r="N225" s="108"/>
      <c r="O225" s="108"/>
      <c r="P225" s="34"/>
      <c r="Q225" s="34"/>
      <c r="R225" s="34"/>
      <c r="S225" s="34"/>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34"/>
      <c r="Q226" s="34"/>
      <c r="R226" s="34"/>
      <c r="S226" s="34"/>
      <c r="T226" s="108"/>
      <c r="U226" s="108"/>
      <c r="V226" s="108"/>
      <c r="W226" s="108"/>
      <c r="X226" s="108"/>
      <c r="Y226" s="108"/>
      <c r="Z226" s="108"/>
    </row>
    <row r="227">
      <c r="A227" s="108"/>
      <c r="B227" s="108"/>
      <c r="C227" s="108"/>
      <c r="D227" s="108"/>
      <c r="E227" s="108"/>
      <c r="F227" s="108"/>
      <c r="G227" s="108"/>
      <c r="H227" s="108"/>
      <c r="I227" s="108"/>
      <c r="J227" s="108"/>
      <c r="K227" s="108"/>
      <c r="L227" s="108"/>
      <c r="M227" s="108"/>
      <c r="N227" s="108"/>
      <c r="O227" s="108"/>
      <c r="P227" s="34"/>
      <c r="Q227" s="34"/>
      <c r="R227" s="34"/>
      <c r="S227" s="34"/>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34"/>
      <c r="Q228" s="34"/>
      <c r="R228" s="34"/>
      <c r="S228" s="34"/>
      <c r="T228" s="108"/>
      <c r="U228" s="108"/>
      <c r="V228" s="108"/>
      <c r="W228" s="108"/>
      <c r="X228" s="108"/>
      <c r="Y228" s="108"/>
      <c r="Z228" s="108"/>
    </row>
    <row r="229">
      <c r="A229" s="108"/>
      <c r="B229" s="108"/>
      <c r="C229" s="108"/>
      <c r="D229" s="108"/>
      <c r="E229" s="108"/>
      <c r="F229" s="108"/>
      <c r="G229" s="108"/>
      <c r="H229" s="108"/>
      <c r="I229" s="108"/>
      <c r="J229" s="108"/>
      <c r="K229" s="108"/>
      <c r="L229" s="108"/>
      <c r="M229" s="108"/>
      <c r="N229" s="108"/>
      <c r="O229" s="108"/>
      <c r="P229" s="34"/>
      <c r="Q229" s="34"/>
      <c r="R229" s="34"/>
      <c r="S229" s="34"/>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34"/>
      <c r="Q230" s="34"/>
      <c r="R230" s="34"/>
      <c r="S230" s="34"/>
      <c r="T230" s="108"/>
      <c r="U230" s="108"/>
      <c r="V230" s="108"/>
      <c r="W230" s="108"/>
      <c r="X230" s="108"/>
      <c r="Y230" s="108"/>
      <c r="Z230" s="108"/>
    </row>
    <row r="231">
      <c r="A231" s="108"/>
      <c r="B231" s="108"/>
      <c r="C231" s="108"/>
      <c r="D231" s="108"/>
      <c r="E231" s="108"/>
      <c r="F231" s="108"/>
      <c r="G231" s="108"/>
      <c r="H231" s="108"/>
      <c r="I231" s="108"/>
      <c r="J231" s="108"/>
      <c r="K231" s="108"/>
      <c r="L231" s="108"/>
      <c r="M231" s="108"/>
      <c r="N231" s="108"/>
      <c r="O231" s="108"/>
      <c r="P231" s="34"/>
      <c r="Q231" s="34"/>
      <c r="R231" s="34"/>
      <c r="S231" s="34"/>
      <c r="T231" s="108"/>
      <c r="U231" s="108"/>
      <c r="V231" s="108"/>
      <c r="W231" s="108"/>
      <c r="X231" s="108"/>
      <c r="Y231" s="108"/>
      <c r="Z231" s="108"/>
    </row>
    <row r="232">
      <c r="A232" s="108"/>
      <c r="B232" s="108"/>
      <c r="C232" s="108"/>
      <c r="D232" s="108"/>
      <c r="E232" s="108"/>
      <c r="F232" s="108"/>
      <c r="G232" s="108"/>
      <c r="H232" s="108"/>
      <c r="I232" s="108"/>
      <c r="J232" s="108"/>
      <c r="K232" s="108"/>
      <c r="L232" s="108"/>
      <c r="M232" s="108"/>
      <c r="N232" s="108"/>
      <c r="O232" s="108"/>
      <c r="P232" s="34"/>
      <c r="Q232" s="34"/>
      <c r="R232" s="34"/>
      <c r="S232" s="34"/>
      <c r="T232" s="108"/>
      <c r="U232" s="108"/>
      <c r="V232" s="108"/>
      <c r="W232" s="108"/>
      <c r="X232" s="108"/>
      <c r="Y232" s="108"/>
      <c r="Z232" s="108"/>
    </row>
    <row r="233">
      <c r="A233" s="108"/>
      <c r="B233" s="108"/>
      <c r="C233" s="108"/>
      <c r="D233" s="108"/>
      <c r="E233" s="108"/>
      <c r="F233" s="108"/>
      <c r="G233" s="108"/>
      <c r="H233" s="108"/>
      <c r="I233" s="108"/>
      <c r="J233" s="108"/>
      <c r="K233" s="108"/>
      <c r="L233" s="108"/>
      <c r="M233" s="108"/>
      <c r="N233" s="108"/>
      <c r="O233" s="108"/>
      <c r="P233" s="34"/>
      <c r="Q233" s="34"/>
      <c r="R233" s="34"/>
      <c r="S233" s="34"/>
      <c r="T233" s="108"/>
      <c r="U233" s="108"/>
      <c r="V233" s="108"/>
      <c r="W233" s="108"/>
      <c r="X233" s="108"/>
      <c r="Y233" s="108"/>
      <c r="Z233" s="108"/>
    </row>
    <row r="234">
      <c r="A234" s="108"/>
      <c r="B234" s="108"/>
      <c r="C234" s="108"/>
      <c r="D234" s="108"/>
      <c r="E234" s="108"/>
      <c r="F234" s="108"/>
      <c r="G234" s="108"/>
      <c r="H234" s="108"/>
      <c r="I234" s="108"/>
      <c r="J234" s="108"/>
      <c r="K234" s="108"/>
      <c r="L234" s="108"/>
      <c r="M234" s="108"/>
      <c r="N234" s="108"/>
      <c r="O234" s="108"/>
      <c r="P234" s="34"/>
      <c r="Q234" s="34"/>
      <c r="R234" s="34"/>
      <c r="S234" s="34"/>
      <c r="T234" s="108"/>
      <c r="U234" s="108"/>
      <c r="V234" s="108"/>
      <c r="W234" s="108"/>
      <c r="X234" s="108"/>
      <c r="Y234" s="108"/>
      <c r="Z234" s="108"/>
    </row>
    <row r="235">
      <c r="A235" s="108"/>
      <c r="B235" s="108"/>
      <c r="C235" s="108"/>
      <c r="D235" s="108"/>
      <c r="E235" s="108"/>
      <c r="F235" s="108"/>
      <c r="G235" s="108"/>
      <c r="H235" s="108"/>
      <c r="I235" s="108"/>
      <c r="J235" s="108"/>
      <c r="K235" s="108"/>
      <c r="L235" s="108"/>
      <c r="M235" s="108"/>
      <c r="N235" s="108"/>
      <c r="O235" s="108"/>
      <c r="P235" s="34"/>
      <c r="Q235" s="34"/>
      <c r="R235" s="34"/>
      <c r="S235" s="34"/>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34"/>
      <c r="Q236" s="34"/>
      <c r="R236" s="34"/>
      <c r="S236" s="34"/>
      <c r="T236" s="108"/>
      <c r="U236" s="108"/>
      <c r="V236" s="108"/>
      <c r="W236" s="108"/>
      <c r="X236" s="108"/>
      <c r="Y236" s="108"/>
      <c r="Z236" s="108"/>
    </row>
    <row r="237">
      <c r="A237" s="108"/>
      <c r="B237" s="108"/>
      <c r="C237" s="108"/>
      <c r="D237" s="108"/>
      <c r="E237" s="108"/>
      <c r="F237" s="108"/>
      <c r="G237" s="108"/>
      <c r="H237" s="108"/>
      <c r="I237" s="108"/>
      <c r="J237" s="108"/>
      <c r="K237" s="108"/>
      <c r="L237" s="108"/>
      <c r="M237" s="108"/>
      <c r="N237" s="108"/>
      <c r="O237" s="108"/>
      <c r="P237" s="34"/>
      <c r="Q237" s="34"/>
      <c r="R237" s="34"/>
      <c r="S237" s="34"/>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34"/>
      <c r="Q238" s="34"/>
      <c r="R238" s="34"/>
      <c r="S238" s="34"/>
      <c r="T238" s="108"/>
      <c r="U238" s="108"/>
      <c r="V238" s="108"/>
      <c r="W238" s="108"/>
      <c r="X238" s="108"/>
      <c r="Y238" s="108"/>
      <c r="Z238" s="108"/>
    </row>
    <row r="239">
      <c r="A239" s="108"/>
      <c r="B239" s="108"/>
      <c r="C239" s="108"/>
      <c r="D239" s="108"/>
      <c r="E239" s="108"/>
      <c r="F239" s="108"/>
      <c r="G239" s="108"/>
      <c r="H239" s="108"/>
      <c r="I239" s="108"/>
      <c r="J239" s="108"/>
      <c r="K239" s="108"/>
      <c r="L239" s="108"/>
      <c r="M239" s="108"/>
      <c r="N239" s="108"/>
      <c r="O239" s="108"/>
      <c r="P239" s="34"/>
      <c r="Q239" s="34"/>
      <c r="R239" s="34"/>
      <c r="S239" s="34"/>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34"/>
      <c r="Q240" s="34"/>
      <c r="R240" s="34"/>
      <c r="S240" s="34"/>
      <c r="T240" s="108"/>
      <c r="U240" s="108"/>
      <c r="V240" s="108"/>
      <c r="W240" s="108"/>
      <c r="X240" s="108"/>
      <c r="Y240" s="108"/>
      <c r="Z240" s="108"/>
    </row>
    <row r="241">
      <c r="A241" s="108"/>
      <c r="B241" s="108"/>
      <c r="C241" s="108"/>
      <c r="D241" s="108"/>
      <c r="E241" s="108"/>
      <c r="F241" s="108"/>
      <c r="G241" s="108"/>
      <c r="H241" s="108"/>
      <c r="I241" s="108"/>
      <c r="J241" s="108"/>
      <c r="K241" s="108"/>
      <c r="L241" s="108"/>
      <c r="M241" s="108"/>
      <c r="N241" s="108"/>
      <c r="O241" s="108"/>
      <c r="P241" s="34"/>
      <c r="Q241" s="34"/>
      <c r="R241" s="34"/>
      <c r="S241" s="34"/>
      <c r="T241" s="108"/>
      <c r="U241" s="108"/>
      <c r="V241" s="108"/>
      <c r="W241" s="108"/>
      <c r="X241" s="108"/>
      <c r="Y241" s="108"/>
      <c r="Z241" s="108"/>
    </row>
    <row r="242">
      <c r="A242" s="108"/>
      <c r="B242" s="108"/>
      <c r="C242" s="108"/>
      <c r="D242" s="108"/>
      <c r="E242" s="108"/>
      <c r="F242" s="108"/>
      <c r="G242" s="108"/>
      <c r="H242" s="108"/>
      <c r="I242" s="108"/>
      <c r="J242" s="108"/>
      <c r="K242" s="108"/>
      <c r="L242" s="108"/>
      <c r="M242" s="108"/>
      <c r="N242" s="108"/>
      <c r="O242" s="108"/>
      <c r="P242" s="34"/>
      <c r="Q242" s="34"/>
      <c r="R242" s="34"/>
      <c r="S242" s="34"/>
      <c r="T242" s="108"/>
      <c r="U242" s="108"/>
      <c r="V242" s="108"/>
      <c r="W242" s="108"/>
      <c r="X242" s="108"/>
      <c r="Y242" s="108"/>
      <c r="Z242" s="108"/>
    </row>
    <row r="243">
      <c r="A243" s="108"/>
      <c r="B243" s="108"/>
      <c r="C243" s="108"/>
      <c r="D243" s="108"/>
      <c r="E243" s="108"/>
      <c r="F243" s="108"/>
      <c r="G243" s="108"/>
      <c r="H243" s="108"/>
      <c r="I243" s="108"/>
      <c r="J243" s="108"/>
      <c r="K243" s="108"/>
      <c r="L243" s="108"/>
      <c r="M243" s="108"/>
      <c r="N243" s="108"/>
      <c r="O243" s="108"/>
      <c r="P243" s="34"/>
      <c r="Q243" s="34"/>
      <c r="R243" s="34"/>
      <c r="S243" s="34"/>
      <c r="T243" s="108"/>
      <c r="U243" s="108"/>
      <c r="V243" s="108"/>
      <c r="W243" s="108"/>
      <c r="X243" s="108"/>
      <c r="Y243" s="108"/>
      <c r="Z243" s="108"/>
    </row>
    <row r="244">
      <c r="A244" s="108"/>
      <c r="B244" s="108"/>
      <c r="C244" s="108"/>
      <c r="D244" s="108"/>
      <c r="E244" s="108"/>
      <c r="F244" s="108"/>
      <c r="G244" s="108"/>
      <c r="H244" s="108"/>
      <c r="I244" s="108"/>
      <c r="J244" s="108"/>
      <c r="K244" s="108"/>
      <c r="L244" s="108"/>
      <c r="M244" s="108"/>
      <c r="N244" s="108"/>
      <c r="O244" s="108"/>
      <c r="P244" s="34"/>
      <c r="Q244" s="34"/>
      <c r="R244" s="34"/>
      <c r="S244" s="34"/>
      <c r="T244" s="108"/>
      <c r="U244" s="108"/>
      <c r="V244" s="108"/>
      <c r="W244" s="108"/>
      <c r="X244" s="108"/>
      <c r="Y244" s="108"/>
      <c r="Z244" s="108"/>
    </row>
    <row r="245">
      <c r="A245" s="108"/>
      <c r="B245" s="108"/>
      <c r="C245" s="108"/>
      <c r="D245" s="108"/>
      <c r="E245" s="108"/>
      <c r="F245" s="108"/>
      <c r="G245" s="108"/>
      <c r="H245" s="108"/>
      <c r="I245" s="108"/>
      <c r="J245" s="108"/>
      <c r="K245" s="108"/>
      <c r="L245" s="108"/>
      <c r="M245" s="108"/>
      <c r="N245" s="108"/>
      <c r="O245" s="108"/>
      <c r="P245" s="34"/>
      <c r="Q245" s="34"/>
      <c r="R245" s="34"/>
      <c r="S245" s="34"/>
      <c r="T245" s="108"/>
      <c r="U245" s="108"/>
      <c r="V245" s="108"/>
      <c r="W245" s="108"/>
      <c r="X245" s="108"/>
      <c r="Y245" s="108"/>
      <c r="Z245" s="108"/>
    </row>
    <row r="246">
      <c r="A246" s="108"/>
      <c r="B246" s="108"/>
      <c r="C246" s="108"/>
      <c r="D246" s="108"/>
      <c r="E246" s="108"/>
      <c r="F246" s="108"/>
      <c r="G246" s="108"/>
      <c r="H246" s="108"/>
      <c r="I246" s="108"/>
      <c r="J246" s="108"/>
      <c r="K246" s="108"/>
      <c r="L246" s="108"/>
      <c r="M246" s="108"/>
      <c r="N246" s="108"/>
      <c r="O246" s="108"/>
      <c r="P246" s="34"/>
      <c r="Q246" s="34"/>
      <c r="R246" s="34"/>
      <c r="S246" s="34"/>
      <c r="T246" s="108"/>
      <c r="U246" s="108"/>
      <c r="V246" s="108"/>
      <c r="W246" s="108"/>
      <c r="X246" s="108"/>
      <c r="Y246" s="108"/>
      <c r="Z246" s="108"/>
    </row>
    <row r="247">
      <c r="A247" s="108"/>
      <c r="B247" s="108"/>
      <c r="C247" s="108"/>
      <c r="D247" s="108"/>
      <c r="E247" s="108"/>
      <c r="F247" s="108"/>
      <c r="G247" s="108"/>
      <c r="H247" s="108"/>
      <c r="I247" s="108"/>
      <c r="J247" s="108"/>
      <c r="K247" s="108"/>
      <c r="L247" s="108"/>
      <c r="M247" s="108"/>
      <c r="N247" s="108"/>
      <c r="O247" s="108"/>
      <c r="P247" s="34"/>
      <c r="Q247" s="34"/>
      <c r="R247" s="34"/>
      <c r="S247" s="34"/>
      <c r="T247" s="108"/>
      <c r="U247" s="108"/>
      <c r="V247" s="108"/>
      <c r="W247" s="108"/>
      <c r="X247" s="108"/>
      <c r="Y247" s="108"/>
      <c r="Z247" s="108"/>
    </row>
    <row r="248">
      <c r="A248" s="108"/>
      <c r="B248" s="108"/>
      <c r="C248" s="108"/>
      <c r="D248" s="108"/>
      <c r="E248" s="108"/>
      <c r="F248" s="108"/>
      <c r="G248" s="108"/>
      <c r="H248" s="108"/>
      <c r="I248" s="108"/>
      <c r="J248" s="108"/>
      <c r="K248" s="108"/>
      <c r="L248" s="108"/>
      <c r="M248" s="108"/>
      <c r="N248" s="108"/>
      <c r="O248" s="108"/>
      <c r="P248" s="34"/>
      <c r="Q248" s="34"/>
      <c r="R248" s="34"/>
      <c r="S248" s="34"/>
      <c r="T248" s="108"/>
      <c r="U248" s="108"/>
      <c r="V248" s="108"/>
      <c r="W248" s="108"/>
      <c r="X248" s="108"/>
      <c r="Y248" s="108"/>
      <c r="Z248" s="108"/>
    </row>
    <row r="249">
      <c r="A249" s="108"/>
      <c r="B249" s="108"/>
      <c r="C249" s="108"/>
      <c r="D249" s="108"/>
      <c r="E249" s="108"/>
      <c r="F249" s="108"/>
      <c r="G249" s="108"/>
      <c r="H249" s="108"/>
      <c r="I249" s="108"/>
      <c r="J249" s="108"/>
      <c r="K249" s="108"/>
      <c r="L249" s="108"/>
      <c r="M249" s="108"/>
      <c r="N249" s="108"/>
      <c r="O249" s="108"/>
      <c r="P249" s="34"/>
      <c r="Q249" s="34"/>
      <c r="R249" s="34"/>
      <c r="S249" s="34"/>
      <c r="T249" s="108"/>
      <c r="U249" s="108"/>
      <c r="V249" s="108"/>
      <c r="W249" s="108"/>
      <c r="X249" s="108"/>
      <c r="Y249" s="108"/>
      <c r="Z249" s="108"/>
    </row>
    <row r="250">
      <c r="A250" s="108"/>
      <c r="B250" s="108"/>
      <c r="C250" s="108"/>
      <c r="D250" s="108"/>
      <c r="E250" s="108"/>
      <c r="F250" s="108"/>
      <c r="G250" s="108"/>
      <c r="H250" s="108"/>
      <c r="I250" s="108"/>
      <c r="J250" s="108"/>
      <c r="K250" s="108"/>
      <c r="L250" s="108"/>
      <c r="M250" s="108"/>
      <c r="N250" s="108"/>
      <c r="O250" s="108"/>
      <c r="P250" s="34"/>
      <c r="Q250" s="34"/>
      <c r="R250" s="34"/>
      <c r="S250" s="34"/>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34"/>
      <c r="Q251" s="34"/>
      <c r="R251" s="34"/>
      <c r="S251" s="34"/>
      <c r="T251" s="108"/>
      <c r="U251" s="108"/>
      <c r="V251" s="108"/>
      <c r="W251" s="108"/>
      <c r="X251" s="108"/>
      <c r="Y251" s="108"/>
      <c r="Z251" s="108"/>
    </row>
    <row r="252">
      <c r="A252" s="108"/>
      <c r="B252" s="108"/>
      <c r="C252" s="108"/>
      <c r="D252" s="108"/>
      <c r="E252" s="108"/>
      <c r="F252" s="108"/>
      <c r="G252" s="108"/>
      <c r="H252" s="108"/>
      <c r="I252" s="108"/>
      <c r="J252" s="108"/>
      <c r="K252" s="108"/>
      <c r="L252" s="108"/>
      <c r="M252" s="108"/>
      <c r="N252" s="108"/>
      <c r="O252" s="108"/>
      <c r="P252" s="34"/>
      <c r="Q252" s="34"/>
      <c r="R252" s="34"/>
      <c r="S252" s="34"/>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34"/>
      <c r="Q253" s="34"/>
      <c r="R253" s="34"/>
      <c r="S253" s="34"/>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34"/>
      <c r="Q254" s="34"/>
      <c r="R254" s="34"/>
      <c r="S254" s="34"/>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34"/>
      <c r="Q255" s="34"/>
      <c r="R255" s="34"/>
      <c r="S255" s="34"/>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34"/>
      <c r="Q256" s="34"/>
      <c r="R256" s="34"/>
      <c r="S256" s="34"/>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34"/>
      <c r="Q257" s="34"/>
      <c r="R257" s="34"/>
      <c r="S257" s="34"/>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34"/>
      <c r="Q258" s="34"/>
      <c r="R258" s="34"/>
      <c r="S258" s="34"/>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34"/>
      <c r="Q259" s="34"/>
      <c r="R259" s="34"/>
      <c r="S259" s="34"/>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34"/>
      <c r="Q260" s="34"/>
      <c r="R260" s="34"/>
      <c r="S260" s="34"/>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34"/>
      <c r="Q261" s="34"/>
      <c r="R261" s="34"/>
      <c r="S261" s="34"/>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34"/>
      <c r="Q262" s="34"/>
      <c r="R262" s="34"/>
      <c r="S262" s="34"/>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34"/>
      <c r="Q263" s="34"/>
      <c r="R263" s="34"/>
      <c r="S263" s="34"/>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34"/>
      <c r="Q264" s="34"/>
      <c r="R264" s="34"/>
      <c r="S264" s="34"/>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34"/>
      <c r="Q265" s="34"/>
      <c r="R265" s="34"/>
      <c r="S265" s="34"/>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34"/>
      <c r="Q266" s="34"/>
      <c r="R266" s="34"/>
      <c r="S266" s="34"/>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34"/>
      <c r="Q267" s="34"/>
      <c r="R267" s="34"/>
      <c r="S267" s="34"/>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34"/>
      <c r="Q268" s="34"/>
      <c r="R268" s="34"/>
      <c r="S268" s="34"/>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34"/>
      <c r="Q269" s="34"/>
      <c r="R269" s="34"/>
      <c r="S269" s="34"/>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34"/>
      <c r="Q270" s="34"/>
      <c r="R270" s="34"/>
      <c r="S270" s="34"/>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34"/>
      <c r="Q271" s="34"/>
      <c r="R271" s="34"/>
      <c r="S271" s="34"/>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34"/>
      <c r="Q272" s="34"/>
      <c r="R272" s="34"/>
      <c r="S272" s="34"/>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34"/>
      <c r="Q273" s="34"/>
      <c r="R273" s="34"/>
      <c r="S273" s="34"/>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34"/>
      <c r="Q274" s="34"/>
      <c r="R274" s="34"/>
      <c r="S274" s="34"/>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34"/>
      <c r="Q275" s="34"/>
      <c r="R275" s="34"/>
      <c r="S275" s="34"/>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34"/>
      <c r="Q276" s="34"/>
      <c r="R276" s="34"/>
      <c r="S276" s="34"/>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34"/>
      <c r="Q277" s="34"/>
      <c r="R277" s="34"/>
      <c r="S277" s="34"/>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34"/>
      <c r="Q278" s="34"/>
      <c r="R278" s="34"/>
      <c r="S278" s="34"/>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34"/>
      <c r="Q279" s="34"/>
      <c r="R279" s="34"/>
      <c r="S279" s="34"/>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34"/>
      <c r="Q280" s="34"/>
      <c r="R280" s="34"/>
      <c r="S280" s="34"/>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34"/>
      <c r="Q281" s="34"/>
      <c r="R281" s="34"/>
      <c r="S281" s="34"/>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34"/>
      <c r="Q282" s="34"/>
      <c r="R282" s="34"/>
      <c r="S282" s="34"/>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34"/>
      <c r="Q283" s="34"/>
      <c r="R283" s="34"/>
      <c r="S283" s="34"/>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34"/>
      <c r="Q284" s="34"/>
      <c r="R284" s="34"/>
      <c r="S284" s="34"/>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34"/>
      <c r="Q285" s="34"/>
      <c r="R285" s="34"/>
      <c r="S285" s="34"/>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34"/>
      <c r="Q286" s="34"/>
      <c r="R286" s="34"/>
      <c r="S286" s="34"/>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34"/>
      <c r="Q287" s="34"/>
      <c r="R287" s="34"/>
      <c r="S287" s="34"/>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34"/>
      <c r="Q288" s="34"/>
      <c r="R288" s="34"/>
      <c r="S288" s="34"/>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34"/>
      <c r="Q289" s="34"/>
      <c r="R289" s="34"/>
      <c r="S289" s="34"/>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34"/>
      <c r="Q290" s="34"/>
      <c r="R290" s="34"/>
      <c r="S290" s="34"/>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34"/>
      <c r="Q291" s="34"/>
      <c r="R291" s="34"/>
      <c r="S291" s="34"/>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34"/>
      <c r="Q292" s="34"/>
      <c r="R292" s="34"/>
      <c r="S292" s="34"/>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34"/>
      <c r="Q293" s="34"/>
      <c r="R293" s="34"/>
      <c r="S293" s="34"/>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34"/>
      <c r="Q294" s="34"/>
      <c r="R294" s="34"/>
      <c r="S294" s="34"/>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34"/>
      <c r="Q295" s="34"/>
      <c r="R295" s="34"/>
      <c r="S295" s="34"/>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34"/>
      <c r="Q296" s="34"/>
      <c r="R296" s="34"/>
      <c r="S296" s="34"/>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34"/>
      <c r="Q297" s="34"/>
      <c r="R297" s="34"/>
      <c r="S297" s="34"/>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34"/>
      <c r="Q298" s="34"/>
      <c r="R298" s="34"/>
      <c r="S298" s="34"/>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34"/>
      <c r="Q299" s="34"/>
      <c r="R299" s="34"/>
      <c r="S299" s="34"/>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34"/>
      <c r="Q300" s="34"/>
      <c r="R300" s="34"/>
      <c r="S300" s="34"/>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34"/>
      <c r="Q301" s="34"/>
      <c r="R301" s="34"/>
      <c r="S301" s="34"/>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34"/>
      <c r="Q302" s="34"/>
      <c r="R302" s="34"/>
      <c r="S302" s="34"/>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34"/>
      <c r="Q303" s="34"/>
      <c r="R303" s="34"/>
      <c r="S303" s="34"/>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34"/>
      <c r="Q304" s="34"/>
      <c r="R304" s="34"/>
      <c r="S304" s="34"/>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34"/>
      <c r="Q305" s="34"/>
      <c r="R305" s="34"/>
      <c r="S305" s="34"/>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34"/>
      <c r="Q306" s="34"/>
      <c r="R306" s="34"/>
      <c r="S306" s="34"/>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34"/>
      <c r="Q307" s="34"/>
      <c r="R307" s="34"/>
      <c r="S307" s="34"/>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34"/>
      <c r="Q308" s="34"/>
      <c r="R308" s="34"/>
      <c r="S308" s="34"/>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34"/>
      <c r="Q309" s="34"/>
      <c r="R309" s="34"/>
      <c r="S309" s="34"/>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34"/>
      <c r="Q310" s="34"/>
      <c r="R310" s="34"/>
      <c r="S310" s="34"/>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34"/>
      <c r="Q311" s="34"/>
      <c r="R311" s="34"/>
      <c r="S311" s="34"/>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34"/>
      <c r="Q312" s="34"/>
      <c r="R312" s="34"/>
      <c r="S312" s="34"/>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34"/>
      <c r="Q313" s="34"/>
      <c r="R313" s="34"/>
      <c r="S313" s="34"/>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34"/>
      <c r="Q314" s="34"/>
      <c r="R314" s="34"/>
      <c r="S314" s="34"/>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34"/>
      <c r="Q315" s="34"/>
      <c r="R315" s="34"/>
      <c r="S315" s="34"/>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34"/>
      <c r="Q316" s="34"/>
      <c r="R316" s="34"/>
      <c r="S316" s="34"/>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34"/>
      <c r="Q317" s="34"/>
      <c r="R317" s="34"/>
      <c r="S317" s="34"/>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34"/>
      <c r="Q318" s="34"/>
      <c r="R318" s="34"/>
      <c r="S318" s="34"/>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34"/>
      <c r="Q319" s="34"/>
      <c r="R319" s="34"/>
      <c r="S319" s="34"/>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34"/>
      <c r="Q320" s="34"/>
      <c r="R320" s="34"/>
      <c r="S320" s="34"/>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34"/>
      <c r="Q321" s="34"/>
      <c r="R321" s="34"/>
      <c r="S321" s="34"/>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34"/>
      <c r="Q322" s="34"/>
      <c r="R322" s="34"/>
      <c r="S322" s="34"/>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34"/>
      <c r="Q323" s="34"/>
      <c r="R323" s="34"/>
      <c r="S323" s="34"/>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34"/>
      <c r="Q324" s="34"/>
      <c r="R324" s="34"/>
      <c r="S324" s="34"/>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34"/>
      <c r="Q325" s="34"/>
      <c r="R325" s="34"/>
      <c r="S325" s="34"/>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34"/>
      <c r="Q326" s="34"/>
      <c r="R326" s="34"/>
      <c r="S326" s="34"/>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34"/>
      <c r="Q327" s="34"/>
      <c r="R327" s="34"/>
      <c r="S327" s="34"/>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34"/>
      <c r="Q328" s="34"/>
      <c r="R328" s="34"/>
      <c r="S328" s="34"/>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34"/>
      <c r="Q329" s="34"/>
      <c r="R329" s="34"/>
      <c r="S329" s="34"/>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34"/>
      <c r="Q330" s="34"/>
      <c r="R330" s="34"/>
      <c r="S330" s="34"/>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34"/>
      <c r="Q331" s="34"/>
      <c r="R331" s="34"/>
      <c r="S331" s="34"/>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34"/>
      <c r="Q332" s="34"/>
      <c r="R332" s="34"/>
      <c r="S332" s="34"/>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34"/>
      <c r="Q333" s="34"/>
      <c r="R333" s="34"/>
      <c r="S333" s="34"/>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34"/>
      <c r="Q334" s="34"/>
      <c r="R334" s="34"/>
      <c r="S334" s="34"/>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34"/>
      <c r="Q335" s="34"/>
      <c r="R335" s="34"/>
      <c r="S335" s="34"/>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34"/>
      <c r="Q336" s="34"/>
      <c r="R336" s="34"/>
      <c r="S336" s="34"/>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34"/>
      <c r="Q337" s="34"/>
      <c r="R337" s="34"/>
      <c r="S337" s="34"/>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34"/>
      <c r="Q338" s="34"/>
      <c r="R338" s="34"/>
      <c r="S338" s="34"/>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34"/>
      <c r="Q339" s="34"/>
      <c r="R339" s="34"/>
      <c r="S339" s="34"/>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34"/>
      <c r="Q340" s="34"/>
      <c r="R340" s="34"/>
      <c r="S340" s="34"/>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34"/>
      <c r="Q341" s="34"/>
      <c r="R341" s="34"/>
      <c r="S341" s="34"/>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34"/>
      <c r="Q342" s="34"/>
      <c r="R342" s="34"/>
      <c r="S342" s="34"/>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34"/>
      <c r="Q343" s="34"/>
      <c r="R343" s="34"/>
      <c r="S343" s="34"/>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34"/>
      <c r="Q344" s="34"/>
      <c r="R344" s="34"/>
      <c r="S344" s="34"/>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34"/>
      <c r="Q345" s="34"/>
      <c r="R345" s="34"/>
      <c r="S345" s="34"/>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34"/>
      <c r="Q346" s="34"/>
      <c r="R346" s="34"/>
      <c r="S346" s="34"/>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34"/>
      <c r="Q347" s="34"/>
      <c r="R347" s="34"/>
      <c r="S347" s="34"/>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34"/>
      <c r="Q348" s="34"/>
      <c r="R348" s="34"/>
      <c r="S348" s="34"/>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34"/>
      <c r="Q349" s="34"/>
      <c r="R349" s="34"/>
      <c r="S349" s="34"/>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34"/>
      <c r="Q350" s="34"/>
      <c r="R350" s="34"/>
      <c r="S350" s="34"/>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34"/>
      <c r="Q351" s="34"/>
      <c r="R351" s="34"/>
      <c r="S351" s="34"/>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34"/>
      <c r="Q352" s="34"/>
      <c r="R352" s="34"/>
      <c r="S352" s="34"/>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34"/>
      <c r="Q353" s="34"/>
      <c r="R353" s="34"/>
      <c r="S353" s="34"/>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34"/>
      <c r="Q354" s="34"/>
      <c r="R354" s="34"/>
      <c r="S354" s="34"/>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34"/>
      <c r="Q355" s="34"/>
      <c r="R355" s="34"/>
      <c r="S355" s="34"/>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34"/>
      <c r="Q356" s="34"/>
      <c r="R356" s="34"/>
      <c r="S356" s="34"/>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34"/>
      <c r="Q357" s="34"/>
      <c r="R357" s="34"/>
      <c r="S357" s="34"/>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34"/>
      <c r="Q358" s="34"/>
      <c r="R358" s="34"/>
      <c r="S358" s="34"/>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34"/>
      <c r="Q359" s="34"/>
      <c r="R359" s="34"/>
      <c r="S359" s="34"/>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34"/>
      <c r="Q360" s="34"/>
      <c r="R360" s="34"/>
      <c r="S360" s="34"/>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34"/>
      <c r="Q361" s="34"/>
      <c r="R361" s="34"/>
      <c r="S361" s="34"/>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34"/>
      <c r="Q362" s="34"/>
      <c r="R362" s="34"/>
      <c r="S362" s="34"/>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34"/>
      <c r="Q363" s="34"/>
      <c r="R363" s="34"/>
      <c r="S363" s="34"/>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34"/>
      <c r="Q364" s="34"/>
      <c r="R364" s="34"/>
      <c r="S364" s="34"/>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34"/>
      <c r="Q365" s="34"/>
      <c r="R365" s="34"/>
      <c r="S365" s="34"/>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34"/>
      <c r="Q366" s="34"/>
      <c r="R366" s="34"/>
      <c r="S366" s="34"/>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34"/>
      <c r="Q367" s="34"/>
      <c r="R367" s="34"/>
      <c r="S367" s="34"/>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34"/>
      <c r="Q368" s="34"/>
      <c r="R368" s="34"/>
      <c r="S368" s="34"/>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34"/>
      <c r="Q369" s="34"/>
      <c r="R369" s="34"/>
      <c r="S369" s="34"/>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34"/>
      <c r="Q370" s="34"/>
      <c r="R370" s="34"/>
      <c r="S370" s="34"/>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34"/>
      <c r="Q371" s="34"/>
      <c r="R371" s="34"/>
      <c r="S371" s="34"/>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34"/>
      <c r="Q372" s="34"/>
      <c r="R372" s="34"/>
      <c r="S372" s="34"/>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34"/>
      <c r="Q373" s="34"/>
      <c r="R373" s="34"/>
      <c r="S373" s="34"/>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34"/>
      <c r="Q374" s="34"/>
      <c r="R374" s="34"/>
      <c r="S374" s="34"/>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34"/>
      <c r="Q375" s="34"/>
      <c r="R375" s="34"/>
      <c r="S375" s="34"/>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34"/>
      <c r="Q376" s="34"/>
      <c r="R376" s="34"/>
      <c r="S376" s="34"/>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34"/>
      <c r="Q377" s="34"/>
      <c r="R377" s="34"/>
      <c r="S377" s="34"/>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34"/>
      <c r="Q378" s="34"/>
      <c r="R378" s="34"/>
      <c r="S378" s="34"/>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34"/>
      <c r="Q379" s="34"/>
      <c r="R379" s="34"/>
      <c r="S379" s="34"/>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34"/>
      <c r="Q380" s="34"/>
      <c r="R380" s="34"/>
      <c r="S380" s="34"/>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34"/>
      <c r="Q381" s="34"/>
      <c r="R381" s="34"/>
      <c r="S381" s="34"/>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34"/>
      <c r="Q382" s="34"/>
      <c r="R382" s="34"/>
      <c r="S382" s="34"/>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34"/>
      <c r="Q383" s="34"/>
      <c r="R383" s="34"/>
      <c r="S383" s="34"/>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34"/>
      <c r="Q384" s="34"/>
      <c r="R384" s="34"/>
      <c r="S384" s="34"/>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34"/>
      <c r="Q385" s="34"/>
      <c r="R385" s="34"/>
      <c r="S385" s="34"/>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34"/>
      <c r="Q386" s="34"/>
      <c r="R386" s="34"/>
      <c r="S386" s="34"/>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34"/>
      <c r="Q387" s="34"/>
      <c r="R387" s="34"/>
      <c r="S387" s="34"/>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34"/>
      <c r="Q388" s="34"/>
      <c r="R388" s="34"/>
      <c r="S388" s="34"/>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34"/>
      <c r="Q389" s="34"/>
      <c r="R389" s="34"/>
      <c r="S389" s="34"/>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34"/>
      <c r="Q390" s="34"/>
      <c r="R390" s="34"/>
      <c r="S390" s="34"/>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34"/>
      <c r="Q391" s="34"/>
      <c r="R391" s="34"/>
      <c r="S391" s="34"/>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34"/>
      <c r="Q392" s="34"/>
      <c r="R392" s="34"/>
      <c r="S392" s="34"/>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34"/>
      <c r="Q393" s="34"/>
      <c r="R393" s="34"/>
      <c r="S393" s="34"/>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34"/>
      <c r="Q394" s="34"/>
      <c r="R394" s="34"/>
      <c r="S394" s="34"/>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34"/>
      <c r="Q395" s="34"/>
      <c r="R395" s="34"/>
      <c r="S395" s="34"/>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34"/>
      <c r="Q396" s="34"/>
      <c r="R396" s="34"/>
      <c r="S396" s="34"/>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34"/>
      <c r="Q397" s="34"/>
      <c r="R397" s="34"/>
      <c r="S397" s="34"/>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34"/>
      <c r="Q398" s="34"/>
      <c r="R398" s="34"/>
      <c r="S398" s="34"/>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34"/>
      <c r="Q399" s="34"/>
      <c r="R399" s="34"/>
      <c r="S399" s="34"/>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34"/>
      <c r="Q400" s="34"/>
      <c r="R400" s="34"/>
      <c r="S400" s="34"/>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34"/>
      <c r="Q401" s="34"/>
      <c r="R401" s="34"/>
      <c r="S401" s="34"/>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34"/>
      <c r="Q402" s="34"/>
      <c r="R402" s="34"/>
      <c r="S402" s="34"/>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34"/>
      <c r="Q403" s="34"/>
      <c r="R403" s="34"/>
      <c r="S403" s="34"/>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34"/>
      <c r="Q404" s="34"/>
      <c r="R404" s="34"/>
      <c r="S404" s="34"/>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34"/>
      <c r="Q405" s="34"/>
      <c r="R405" s="34"/>
      <c r="S405" s="34"/>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34"/>
      <c r="Q406" s="34"/>
      <c r="R406" s="34"/>
      <c r="S406" s="34"/>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34"/>
      <c r="Q407" s="34"/>
      <c r="R407" s="34"/>
      <c r="S407" s="34"/>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34"/>
      <c r="Q408" s="34"/>
      <c r="R408" s="34"/>
      <c r="S408" s="34"/>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34"/>
      <c r="Q409" s="34"/>
      <c r="R409" s="34"/>
      <c r="S409" s="34"/>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34"/>
      <c r="Q410" s="34"/>
      <c r="R410" s="34"/>
      <c r="S410" s="34"/>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34"/>
      <c r="Q411" s="34"/>
      <c r="R411" s="34"/>
      <c r="S411" s="34"/>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34"/>
      <c r="Q412" s="34"/>
      <c r="R412" s="34"/>
      <c r="S412" s="34"/>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34"/>
      <c r="Q413" s="34"/>
      <c r="R413" s="34"/>
      <c r="S413" s="34"/>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34"/>
      <c r="Q414" s="34"/>
      <c r="R414" s="34"/>
      <c r="S414" s="34"/>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34"/>
      <c r="Q415" s="34"/>
      <c r="R415" s="34"/>
      <c r="S415" s="34"/>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34"/>
      <c r="Q416" s="34"/>
      <c r="R416" s="34"/>
      <c r="S416" s="34"/>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34"/>
      <c r="Q417" s="34"/>
      <c r="R417" s="34"/>
      <c r="S417" s="34"/>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34"/>
      <c r="Q418" s="34"/>
      <c r="R418" s="34"/>
      <c r="S418" s="34"/>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34"/>
      <c r="Q419" s="34"/>
      <c r="R419" s="34"/>
      <c r="S419" s="34"/>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34"/>
      <c r="Q420" s="34"/>
      <c r="R420" s="34"/>
      <c r="S420" s="34"/>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34"/>
      <c r="Q421" s="34"/>
      <c r="R421" s="34"/>
      <c r="S421" s="34"/>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34"/>
      <c r="Q422" s="34"/>
      <c r="R422" s="34"/>
      <c r="S422" s="34"/>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34"/>
      <c r="Q423" s="34"/>
      <c r="R423" s="34"/>
      <c r="S423" s="34"/>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34"/>
      <c r="Q424" s="34"/>
      <c r="R424" s="34"/>
      <c r="S424" s="34"/>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34"/>
      <c r="Q425" s="34"/>
      <c r="R425" s="34"/>
      <c r="S425" s="34"/>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34"/>
      <c r="Q426" s="34"/>
      <c r="R426" s="34"/>
      <c r="S426" s="34"/>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34"/>
      <c r="Q427" s="34"/>
      <c r="R427" s="34"/>
      <c r="S427" s="34"/>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34"/>
      <c r="Q428" s="34"/>
      <c r="R428" s="34"/>
      <c r="S428" s="34"/>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34"/>
      <c r="Q429" s="34"/>
      <c r="R429" s="34"/>
      <c r="S429" s="34"/>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34"/>
      <c r="Q430" s="34"/>
      <c r="R430" s="34"/>
      <c r="S430" s="34"/>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34"/>
      <c r="Q431" s="34"/>
      <c r="R431" s="34"/>
      <c r="S431" s="34"/>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34"/>
      <c r="Q432" s="34"/>
      <c r="R432" s="34"/>
      <c r="S432" s="34"/>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34"/>
      <c r="Q433" s="34"/>
      <c r="R433" s="34"/>
      <c r="S433" s="34"/>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34"/>
      <c r="Q434" s="34"/>
      <c r="R434" s="34"/>
      <c r="S434" s="34"/>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34"/>
      <c r="Q435" s="34"/>
      <c r="R435" s="34"/>
      <c r="S435" s="34"/>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34"/>
      <c r="Q436" s="34"/>
      <c r="R436" s="34"/>
      <c r="S436" s="34"/>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34"/>
      <c r="Q437" s="34"/>
      <c r="R437" s="34"/>
      <c r="S437" s="34"/>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34"/>
      <c r="Q438" s="34"/>
      <c r="R438" s="34"/>
      <c r="S438" s="34"/>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34"/>
      <c r="Q439" s="34"/>
      <c r="R439" s="34"/>
      <c r="S439" s="34"/>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34"/>
      <c r="Q440" s="34"/>
      <c r="R440" s="34"/>
      <c r="S440" s="34"/>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34"/>
      <c r="Q441" s="34"/>
      <c r="R441" s="34"/>
      <c r="S441" s="34"/>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34"/>
      <c r="Q442" s="34"/>
      <c r="R442" s="34"/>
      <c r="S442" s="34"/>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34"/>
      <c r="Q443" s="34"/>
      <c r="R443" s="34"/>
      <c r="S443" s="34"/>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34"/>
      <c r="Q444" s="34"/>
      <c r="R444" s="34"/>
      <c r="S444" s="34"/>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34"/>
      <c r="Q445" s="34"/>
      <c r="R445" s="34"/>
      <c r="S445" s="34"/>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34"/>
      <c r="Q446" s="34"/>
      <c r="R446" s="34"/>
      <c r="S446" s="34"/>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34"/>
      <c r="Q447" s="34"/>
      <c r="R447" s="34"/>
      <c r="S447" s="34"/>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34"/>
      <c r="Q448" s="34"/>
      <c r="R448" s="34"/>
      <c r="S448" s="34"/>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34"/>
      <c r="Q449" s="34"/>
      <c r="R449" s="34"/>
      <c r="S449" s="34"/>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34"/>
      <c r="Q450" s="34"/>
      <c r="R450" s="34"/>
      <c r="S450" s="34"/>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34"/>
      <c r="Q451" s="34"/>
      <c r="R451" s="34"/>
      <c r="S451" s="34"/>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34"/>
      <c r="Q452" s="34"/>
      <c r="R452" s="34"/>
      <c r="S452" s="34"/>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34"/>
      <c r="Q453" s="34"/>
      <c r="R453" s="34"/>
      <c r="S453" s="34"/>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34"/>
      <c r="Q454" s="34"/>
      <c r="R454" s="34"/>
      <c r="S454" s="34"/>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34"/>
      <c r="Q455" s="34"/>
      <c r="R455" s="34"/>
      <c r="S455" s="34"/>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34"/>
      <c r="Q456" s="34"/>
      <c r="R456" s="34"/>
      <c r="S456" s="34"/>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34"/>
      <c r="Q457" s="34"/>
      <c r="R457" s="34"/>
      <c r="S457" s="34"/>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34"/>
      <c r="Q458" s="34"/>
      <c r="R458" s="34"/>
      <c r="S458" s="34"/>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34"/>
      <c r="Q459" s="34"/>
      <c r="R459" s="34"/>
      <c r="S459" s="34"/>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34"/>
      <c r="Q460" s="34"/>
      <c r="R460" s="34"/>
      <c r="S460" s="34"/>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34"/>
      <c r="Q461" s="34"/>
      <c r="R461" s="34"/>
      <c r="S461" s="34"/>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34"/>
      <c r="Q462" s="34"/>
      <c r="R462" s="34"/>
      <c r="S462" s="34"/>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34"/>
      <c r="Q463" s="34"/>
      <c r="R463" s="34"/>
      <c r="S463" s="34"/>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34"/>
      <c r="Q464" s="34"/>
      <c r="R464" s="34"/>
      <c r="S464" s="34"/>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34"/>
      <c r="Q465" s="34"/>
      <c r="R465" s="34"/>
      <c r="S465" s="34"/>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34"/>
      <c r="Q466" s="34"/>
      <c r="R466" s="34"/>
      <c r="S466" s="34"/>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34"/>
      <c r="Q467" s="34"/>
      <c r="R467" s="34"/>
      <c r="S467" s="34"/>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34"/>
      <c r="Q468" s="34"/>
      <c r="R468" s="34"/>
      <c r="S468" s="34"/>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34"/>
      <c r="Q469" s="34"/>
      <c r="R469" s="34"/>
      <c r="S469" s="34"/>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34"/>
      <c r="Q470" s="34"/>
      <c r="R470" s="34"/>
      <c r="S470" s="34"/>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34"/>
      <c r="Q471" s="34"/>
      <c r="R471" s="34"/>
      <c r="S471" s="34"/>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34"/>
      <c r="Q472" s="34"/>
      <c r="R472" s="34"/>
      <c r="S472" s="34"/>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34"/>
      <c r="Q473" s="34"/>
      <c r="R473" s="34"/>
      <c r="S473" s="34"/>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34"/>
      <c r="Q474" s="34"/>
      <c r="R474" s="34"/>
      <c r="S474" s="34"/>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34"/>
      <c r="Q475" s="34"/>
      <c r="R475" s="34"/>
      <c r="S475" s="34"/>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34"/>
      <c r="Q476" s="34"/>
      <c r="R476" s="34"/>
      <c r="S476" s="34"/>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34"/>
      <c r="Q477" s="34"/>
      <c r="R477" s="34"/>
      <c r="S477" s="34"/>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34"/>
      <c r="Q478" s="34"/>
      <c r="R478" s="34"/>
      <c r="S478" s="34"/>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34"/>
      <c r="Q479" s="34"/>
      <c r="R479" s="34"/>
      <c r="S479" s="34"/>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34"/>
      <c r="Q480" s="34"/>
      <c r="R480" s="34"/>
      <c r="S480" s="34"/>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34"/>
      <c r="Q481" s="34"/>
      <c r="R481" s="34"/>
      <c r="S481" s="34"/>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34"/>
      <c r="Q482" s="34"/>
      <c r="R482" s="34"/>
      <c r="S482" s="34"/>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34"/>
      <c r="Q483" s="34"/>
      <c r="R483" s="34"/>
      <c r="S483" s="34"/>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34"/>
      <c r="Q484" s="34"/>
      <c r="R484" s="34"/>
      <c r="S484" s="34"/>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34"/>
      <c r="Q485" s="34"/>
      <c r="R485" s="34"/>
      <c r="S485" s="34"/>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34"/>
      <c r="Q486" s="34"/>
      <c r="R486" s="34"/>
      <c r="S486" s="34"/>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34"/>
      <c r="Q487" s="34"/>
      <c r="R487" s="34"/>
      <c r="S487" s="34"/>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34"/>
      <c r="Q488" s="34"/>
      <c r="R488" s="34"/>
      <c r="S488" s="34"/>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34"/>
      <c r="Q489" s="34"/>
      <c r="R489" s="34"/>
      <c r="S489" s="34"/>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34"/>
      <c r="Q490" s="34"/>
      <c r="R490" s="34"/>
      <c r="S490" s="34"/>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34"/>
      <c r="Q491" s="34"/>
      <c r="R491" s="34"/>
      <c r="S491" s="34"/>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34"/>
      <c r="Q492" s="34"/>
      <c r="R492" s="34"/>
      <c r="S492" s="34"/>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34"/>
      <c r="Q493" s="34"/>
      <c r="R493" s="34"/>
      <c r="S493" s="34"/>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34"/>
      <c r="Q494" s="34"/>
      <c r="R494" s="34"/>
      <c r="S494" s="34"/>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34"/>
      <c r="Q495" s="34"/>
      <c r="R495" s="34"/>
      <c r="S495" s="34"/>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34"/>
      <c r="Q496" s="34"/>
      <c r="R496" s="34"/>
      <c r="S496" s="34"/>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34"/>
      <c r="Q497" s="34"/>
      <c r="R497" s="34"/>
      <c r="S497" s="34"/>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34"/>
      <c r="Q498" s="34"/>
      <c r="R498" s="34"/>
      <c r="S498" s="34"/>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34"/>
      <c r="Q499" s="34"/>
      <c r="R499" s="34"/>
      <c r="S499" s="34"/>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34"/>
      <c r="Q500" s="34"/>
      <c r="R500" s="34"/>
      <c r="S500" s="34"/>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34"/>
      <c r="Q501" s="34"/>
      <c r="R501" s="34"/>
      <c r="S501" s="34"/>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34"/>
      <c r="Q502" s="34"/>
      <c r="R502" s="34"/>
      <c r="S502" s="34"/>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34"/>
      <c r="Q503" s="34"/>
      <c r="R503" s="34"/>
      <c r="S503" s="34"/>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34"/>
      <c r="Q504" s="34"/>
      <c r="R504" s="34"/>
      <c r="S504" s="34"/>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34"/>
      <c r="Q505" s="34"/>
      <c r="R505" s="34"/>
      <c r="S505" s="34"/>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34"/>
      <c r="Q506" s="34"/>
      <c r="R506" s="34"/>
      <c r="S506" s="34"/>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34"/>
      <c r="Q507" s="34"/>
      <c r="R507" s="34"/>
      <c r="S507" s="34"/>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34"/>
      <c r="Q508" s="34"/>
      <c r="R508" s="34"/>
      <c r="S508" s="34"/>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34"/>
      <c r="Q509" s="34"/>
      <c r="R509" s="34"/>
      <c r="S509" s="34"/>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34"/>
      <c r="Q510" s="34"/>
      <c r="R510" s="34"/>
      <c r="S510" s="34"/>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34"/>
      <c r="Q511" s="34"/>
      <c r="R511" s="34"/>
      <c r="S511" s="34"/>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34"/>
      <c r="Q512" s="34"/>
      <c r="R512" s="34"/>
      <c r="S512" s="34"/>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34"/>
      <c r="Q513" s="34"/>
      <c r="R513" s="34"/>
      <c r="S513" s="34"/>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34"/>
      <c r="Q514" s="34"/>
      <c r="R514" s="34"/>
      <c r="S514" s="34"/>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34"/>
      <c r="Q515" s="34"/>
      <c r="R515" s="34"/>
      <c r="S515" s="34"/>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34"/>
      <c r="Q516" s="34"/>
      <c r="R516" s="34"/>
      <c r="S516" s="34"/>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34"/>
      <c r="Q517" s="34"/>
      <c r="R517" s="34"/>
      <c r="S517" s="34"/>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34"/>
      <c r="Q518" s="34"/>
      <c r="R518" s="34"/>
      <c r="S518" s="34"/>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34"/>
      <c r="Q519" s="34"/>
      <c r="R519" s="34"/>
      <c r="S519" s="34"/>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34"/>
      <c r="Q520" s="34"/>
      <c r="R520" s="34"/>
      <c r="S520" s="34"/>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34"/>
      <c r="Q521" s="34"/>
      <c r="R521" s="34"/>
      <c r="S521" s="34"/>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34"/>
      <c r="Q522" s="34"/>
      <c r="R522" s="34"/>
      <c r="S522" s="34"/>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34"/>
      <c r="Q523" s="34"/>
      <c r="R523" s="34"/>
      <c r="S523" s="34"/>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34"/>
      <c r="Q524" s="34"/>
      <c r="R524" s="34"/>
      <c r="S524" s="34"/>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34"/>
      <c r="Q525" s="34"/>
      <c r="R525" s="34"/>
      <c r="S525" s="34"/>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34"/>
      <c r="Q526" s="34"/>
      <c r="R526" s="34"/>
      <c r="S526" s="34"/>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34"/>
      <c r="Q527" s="34"/>
      <c r="R527" s="34"/>
      <c r="S527" s="34"/>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34"/>
      <c r="Q528" s="34"/>
      <c r="R528" s="34"/>
      <c r="S528" s="34"/>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34"/>
      <c r="Q529" s="34"/>
      <c r="R529" s="34"/>
      <c r="S529" s="34"/>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34"/>
      <c r="Q530" s="34"/>
      <c r="R530" s="34"/>
      <c r="S530" s="34"/>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34"/>
      <c r="Q531" s="34"/>
      <c r="R531" s="34"/>
      <c r="S531" s="34"/>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34"/>
      <c r="Q532" s="34"/>
      <c r="R532" s="34"/>
      <c r="S532" s="34"/>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34"/>
      <c r="Q533" s="34"/>
      <c r="R533" s="34"/>
      <c r="S533" s="34"/>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34"/>
      <c r="Q534" s="34"/>
      <c r="R534" s="34"/>
      <c r="S534" s="34"/>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34"/>
      <c r="Q535" s="34"/>
      <c r="R535" s="34"/>
      <c r="S535" s="34"/>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34"/>
      <c r="Q536" s="34"/>
      <c r="R536" s="34"/>
      <c r="S536" s="34"/>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34"/>
      <c r="Q537" s="34"/>
      <c r="R537" s="34"/>
      <c r="S537" s="34"/>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34"/>
      <c r="Q538" s="34"/>
      <c r="R538" s="34"/>
      <c r="S538" s="34"/>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34"/>
      <c r="Q539" s="34"/>
      <c r="R539" s="34"/>
      <c r="S539" s="34"/>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34"/>
      <c r="Q540" s="34"/>
      <c r="R540" s="34"/>
      <c r="S540" s="34"/>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34"/>
      <c r="Q541" s="34"/>
      <c r="R541" s="34"/>
      <c r="S541" s="34"/>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34"/>
      <c r="Q542" s="34"/>
      <c r="R542" s="34"/>
      <c r="S542" s="34"/>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34"/>
      <c r="Q543" s="34"/>
      <c r="R543" s="34"/>
      <c r="S543" s="34"/>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34"/>
      <c r="Q544" s="34"/>
      <c r="R544" s="34"/>
      <c r="S544" s="34"/>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34"/>
      <c r="Q545" s="34"/>
      <c r="R545" s="34"/>
      <c r="S545" s="34"/>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34"/>
      <c r="Q546" s="34"/>
      <c r="R546" s="34"/>
      <c r="S546" s="34"/>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34"/>
      <c r="Q547" s="34"/>
      <c r="R547" s="34"/>
      <c r="S547" s="34"/>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34"/>
      <c r="Q548" s="34"/>
      <c r="R548" s="34"/>
      <c r="S548" s="34"/>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34"/>
      <c r="Q549" s="34"/>
      <c r="R549" s="34"/>
      <c r="S549" s="34"/>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34"/>
      <c r="Q550" s="34"/>
      <c r="R550" s="34"/>
      <c r="S550" s="34"/>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34"/>
      <c r="Q551" s="34"/>
      <c r="R551" s="34"/>
      <c r="S551" s="34"/>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34"/>
      <c r="Q552" s="34"/>
      <c r="R552" s="34"/>
      <c r="S552" s="34"/>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34"/>
      <c r="Q553" s="34"/>
      <c r="R553" s="34"/>
      <c r="S553" s="34"/>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34"/>
      <c r="Q554" s="34"/>
      <c r="R554" s="34"/>
      <c r="S554" s="34"/>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34"/>
      <c r="Q555" s="34"/>
      <c r="R555" s="34"/>
      <c r="S555" s="34"/>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34"/>
      <c r="Q556" s="34"/>
      <c r="R556" s="34"/>
      <c r="S556" s="34"/>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34"/>
      <c r="Q557" s="34"/>
      <c r="R557" s="34"/>
      <c r="S557" s="34"/>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34"/>
      <c r="Q558" s="34"/>
      <c r="R558" s="34"/>
      <c r="S558" s="34"/>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34"/>
      <c r="Q559" s="34"/>
      <c r="R559" s="34"/>
      <c r="S559" s="34"/>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34"/>
      <c r="Q560" s="34"/>
      <c r="R560" s="34"/>
      <c r="S560" s="34"/>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34"/>
      <c r="Q561" s="34"/>
      <c r="R561" s="34"/>
      <c r="S561" s="34"/>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34"/>
      <c r="Q562" s="34"/>
      <c r="R562" s="34"/>
      <c r="S562" s="34"/>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34"/>
      <c r="Q563" s="34"/>
      <c r="R563" s="34"/>
      <c r="S563" s="34"/>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34"/>
      <c r="Q564" s="34"/>
      <c r="R564" s="34"/>
      <c r="S564" s="34"/>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34"/>
      <c r="Q565" s="34"/>
      <c r="R565" s="34"/>
      <c r="S565" s="34"/>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34"/>
      <c r="Q566" s="34"/>
      <c r="R566" s="34"/>
      <c r="S566" s="34"/>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34"/>
      <c r="Q567" s="34"/>
      <c r="R567" s="34"/>
      <c r="S567" s="34"/>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34"/>
      <c r="Q568" s="34"/>
      <c r="R568" s="34"/>
      <c r="S568" s="34"/>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34"/>
      <c r="Q569" s="34"/>
      <c r="R569" s="34"/>
      <c r="S569" s="34"/>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34"/>
      <c r="Q570" s="34"/>
      <c r="R570" s="34"/>
      <c r="S570" s="34"/>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34"/>
      <c r="Q571" s="34"/>
      <c r="R571" s="34"/>
      <c r="S571" s="34"/>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34"/>
      <c r="Q572" s="34"/>
      <c r="R572" s="34"/>
      <c r="S572" s="34"/>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34"/>
      <c r="Q573" s="34"/>
      <c r="R573" s="34"/>
      <c r="S573" s="34"/>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34"/>
      <c r="Q574" s="34"/>
      <c r="R574" s="34"/>
      <c r="S574" s="34"/>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34"/>
      <c r="Q575" s="34"/>
      <c r="R575" s="34"/>
      <c r="S575" s="34"/>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34"/>
      <c r="Q576" s="34"/>
      <c r="R576" s="34"/>
      <c r="S576" s="34"/>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34"/>
      <c r="Q577" s="34"/>
      <c r="R577" s="34"/>
      <c r="S577" s="34"/>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34"/>
      <c r="Q578" s="34"/>
      <c r="R578" s="34"/>
      <c r="S578" s="34"/>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34"/>
      <c r="Q579" s="34"/>
      <c r="R579" s="34"/>
      <c r="S579" s="34"/>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34"/>
      <c r="Q580" s="34"/>
      <c r="R580" s="34"/>
      <c r="S580" s="34"/>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34"/>
      <c r="Q581" s="34"/>
      <c r="R581" s="34"/>
      <c r="S581" s="34"/>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34"/>
      <c r="Q582" s="34"/>
      <c r="R582" s="34"/>
      <c r="S582" s="34"/>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34"/>
      <c r="Q583" s="34"/>
      <c r="R583" s="34"/>
      <c r="S583" s="34"/>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34"/>
      <c r="Q584" s="34"/>
      <c r="R584" s="34"/>
      <c r="S584" s="34"/>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34"/>
      <c r="Q585" s="34"/>
      <c r="R585" s="34"/>
      <c r="S585" s="34"/>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34"/>
      <c r="Q586" s="34"/>
      <c r="R586" s="34"/>
      <c r="S586" s="34"/>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34"/>
      <c r="Q587" s="34"/>
      <c r="R587" s="34"/>
      <c r="S587" s="34"/>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34"/>
      <c r="Q588" s="34"/>
      <c r="R588" s="34"/>
      <c r="S588" s="34"/>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34"/>
      <c r="Q589" s="34"/>
      <c r="R589" s="34"/>
      <c r="S589" s="34"/>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34"/>
      <c r="Q590" s="34"/>
      <c r="R590" s="34"/>
      <c r="S590" s="34"/>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34"/>
      <c r="Q591" s="34"/>
      <c r="R591" s="34"/>
      <c r="S591" s="34"/>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34"/>
      <c r="Q592" s="34"/>
      <c r="R592" s="34"/>
      <c r="S592" s="34"/>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34"/>
      <c r="Q593" s="34"/>
      <c r="R593" s="34"/>
      <c r="S593" s="34"/>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34"/>
      <c r="Q594" s="34"/>
      <c r="R594" s="34"/>
      <c r="S594" s="34"/>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34"/>
      <c r="Q595" s="34"/>
      <c r="R595" s="34"/>
      <c r="S595" s="34"/>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34"/>
      <c r="Q596" s="34"/>
      <c r="R596" s="34"/>
      <c r="S596" s="34"/>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34"/>
      <c r="Q597" s="34"/>
      <c r="R597" s="34"/>
      <c r="S597" s="34"/>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34"/>
      <c r="Q598" s="34"/>
      <c r="R598" s="34"/>
      <c r="S598" s="34"/>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34"/>
      <c r="Q599" s="34"/>
      <c r="R599" s="34"/>
      <c r="S599" s="34"/>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34"/>
      <c r="Q600" s="34"/>
      <c r="R600" s="34"/>
      <c r="S600" s="34"/>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34"/>
      <c r="Q601" s="34"/>
      <c r="R601" s="34"/>
      <c r="S601" s="34"/>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34"/>
      <c r="Q602" s="34"/>
      <c r="R602" s="34"/>
      <c r="S602" s="34"/>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34"/>
      <c r="Q603" s="34"/>
      <c r="R603" s="34"/>
      <c r="S603" s="34"/>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34"/>
      <c r="Q604" s="34"/>
      <c r="R604" s="34"/>
      <c r="S604" s="34"/>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34"/>
      <c r="Q605" s="34"/>
      <c r="R605" s="34"/>
      <c r="S605" s="34"/>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34"/>
      <c r="Q606" s="34"/>
      <c r="R606" s="34"/>
      <c r="S606" s="34"/>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34"/>
      <c r="Q607" s="34"/>
      <c r="R607" s="34"/>
      <c r="S607" s="34"/>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34"/>
      <c r="Q608" s="34"/>
      <c r="R608" s="34"/>
      <c r="S608" s="34"/>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34"/>
      <c r="Q609" s="34"/>
      <c r="R609" s="34"/>
      <c r="S609" s="34"/>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34"/>
      <c r="Q610" s="34"/>
      <c r="R610" s="34"/>
      <c r="S610" s="34"/>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34"/>
      <c r="Q611" s="34"/>
      <c r="R611" s="34"/>
      <c r="S611" s="34"/>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34"/>
      <c r="Q612" s="34"/>
      <c r="R612" s="34"/>
      <c r="S612" s="34"/>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34"/>
      <c r="Q613" s="34"/>
      <c r="R613" s="34"/>
      <c r="S613" s="34"/>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34"/>
      <c r="Q614" s="34"/>
      <c r="R614" s="34"/>
      <c r="S614" s="34"/>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34"/>
      <c r="Q615" s="34"/>
      <c r="R615" s="34"/>
      <c r="S615" s="34"/>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34"/>
      <c r="Q616" s="34"/>
      <c r="R616" s="34"/>
      <c r="S616" s="34"/>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34"/>
      <c r="Q617" s="34"/>
      <c r="R617" s="34"/>
      <c r="S617" s="34"/>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34"/>
      <c r="Q618" s="34"/>
      <c r="R618" s="34"/>
      <c r="S618" s="34"/>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34"/>
      <c r="Q619" s="34"/>
      <c r="R619" s="34"/>
      <c r="S619" s="34"/>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34"/>
      <c r="Q620" s="34"/>
      <c r="R620" s="34"/>
      <c r="S620" s="34"/>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34"/>
      <c r="Q621" s="34"/>
      <c r="R621" s="34"/>
      <c r="S621" s="34"/>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34"/>
      <c r="Q622" s="34"/>
      <c r="R622" s="34"/>
      <c r="S622" s="34"/>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34"/>
      <c r="Q623" s="34"/>
      <c r="R623" s="34"/>
      <c r="S623" s="34"/>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34"/>
      <c r="Q624" s="34"/>
      <c r="R624" s="34"/>
      <c r="S624" s="34"/>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34"/>
      <c r="Q625" s="34"/>
      <c r="R625" s="34"/>
      <c r="S625" s="34"/>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34"/>
      <c r="Q626" s="34"/>
      <c r="R626" s="34"/>
      <c r="S626" s="34"/>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34"/>
      <c r="Q627" s="34"/>
      <c r="R627" s="34"/>
      <c r="S627" s="34"/>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34"/>
      <c r="Q628" s="34"/>
      <c r="R628" s="34"/>
      <c r="S628" s="34"/>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34"/>
      <c r="Q629" s="34"/>
      <c r="R629" s="34"/>
      <c r="S629" s="34"/>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34"/>
      <c r="Q630" s="34"/>
      <c r="R630" s="34"/>
      <c r="S630" s="34"/>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34"/>
      <c r="Q631" s="34"/>
      <c r="R631" s="34"/>
      <c r="S631" s="34"/>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34"/>
      <c r="Q632" s="34"/>
      <c r="R632" s="34"/>
      <c r="S632" s="34"/>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34"/>
      <c r="Q633" s="34"/>
      <c r="R633" s="34"/>
      <c r="S633" s="34"/>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34"/>
      <c r="Q634" s="34"/>
      <c r="R634" s="34"/>
      <c r="S634" s="34"/>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34"/>
      <c r="Q635" s="34"/>
      <c r="R635" s="34"/>
      <c r="S635" s="34"/>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34"/>
      <c r="Q636" s="34"/>
      <c r="R636" s="34"/>
      <c r="S636" s="34"/>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34"/>
      <c r="Q637" s="34"/>
      <c r="R637" s="34"/>
      <c r="S637" s="34"/>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34"/>
      <c r="Q638" s="34"/>
      <c r="R638" s="34"/>
      <c r="S638" s="34"/>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34"/>
      <c r="Q639" s="34"/>
      <c r="R639" s="34"/>
      <c r="S639" s="34"/>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34"/>
      <c r="Q640" s="34"/>
      <c r="R640" s="34"/>
      <c r="S640" s="34"/>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34"/>
      <c r="Q641" s="34"/>
      <c r="R641" s="34"/>
      <c r="S641" s="34"/>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34"/>
      <c r="Q642" s="34"/>
      <c r="R642" s="34"/>
      <c r="S642" s="34"/>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34"/>
      <c r="Q643" s="34"/>
      <c r="R643" s="34"/>
      <c r="S643" s="34"/>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34"/>
      <c r="Q644" s="34"/>
      <c r="R644" s="34"/>
      <c r="S644" s="34"/>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34"/>
      <c r="Q645" s="34"/>
      <c r="R645" s="34"/>
      <c r="S645" s="34"/>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34"/>
      <c r="Q646" s="34"/>
      <c r="R646" s="34"/>
      <c r="S646" s="34"/>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34"/>
      <c r="Q647" s="34"/>
      <c r="R647" s="34"/>
      <c r="S647" s="34"/>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34"/>
      <c r="Q648" s="34"/>
      <c r="R648" s="34"/>
      <c r="S648" s="34"/>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34"/>
      <c r="Q649" s="34"/>
      <c r="R649" s="34"/>
      <c r="S649" s="34"/>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34"/>
      <c r="Q650" s="34"/>
      <c r="R650" s="34"/>
      <c r="S650" s="34"/>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34"/>
      <c r="Q651" s="34"/>
      <c r="R651" s="34"/>
      <c r="S651" s="34"/>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34"/>
      <c r="Q652" s="34"/>
      <c r="R652" s="34"/>
      <c r="S652" s="34"/>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34"/>
      <c r="Q653" s="34"/>
      <c r="R653" s="34"/>
      <c r="S653" s="34"/>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34"/>
      <c r="Q654" s="34"/>
      <c r="R654" s="34"/>
      <c r="S654" s="34"/>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34"/>
      <c r="Q655" s="34"/>
      <c r="R655" s="34"/>
      <c r="S655" s="34"/>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34"/>
      <c r="Q656" s="34"/>
      <c r="R656" s="34"/>
      <c r="S656" s="34"/>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34"/>
      <c r="Q657" s="34"/>
      <c r="R657" s="34"/>
      <c r="S657" s="34"/>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34"/>
      <c r="Q658" s="34"/>
      <c r="R658" s="34"/>
      <c r="S658" s="34"/>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34"/>
      <c r="Q659" s="34"/>
      <c r="R659" s="34"/>
      <c r="S659" s="34"/>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34"/>
      <c r="Q660" s="34"/>
      <c r="R660" s="34"/>
      <c r="S660" s="34"/>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34"/>
      <c r="Q661" s="34"/>
      <c r="R661" s="34"/>
      <c r="S661" s="34"/>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34"/>
      <c r="Q662" s="34"/>
      <c r="R662" s="34"/>
      <c r="S662" s="34"/>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34"/>
      <c r="Q663" s="34"/>
      <c r="R663" s="34"/>
      <c r="S663" s="34"/>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34"/>
      <c r="Q664" s="34"/>
      <c r="R664" s="34"/>
      <c r="S664" s="34"/>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34"/>
      <c r="Q665" s="34"/>
      <c r="R665" s="34"/>
      <c r="S665" s="34"/>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34"/>
      <c r="Q666" s="34"/>
      <c r="R666" s="34"/>
      <c r="S666" s="34"/>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34"/>
      <c r="Q667" s="34"/>
      <c r="R667" s="34"/>
      <c r="S667" s="34"/>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34"/>
      <c r="Q668" s="34"/>
      <c r="R668" s="34"/>
      <c r="S668" s="34"/>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34"/>
      <c r="Q669" s="34"/>
      <c r="R669" s="34"/>
      <c r="S669" s="34"/>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34"/>
      <c r="Q670" s="34"/>
      <c r="R670" s="34"/>
      <c r="S670" s="34"/>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34"/>
      <c r="Q671" s="34"/>
      <c r="R671" s="34"/>
      <c r="S671" s="34"/>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34"/>
      <c r="Q672" s="34"/>
      <c r="R672" s="34"/>
      <c r="S672" s="34"/>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34"/>
      <c r="Q673" s="34"/>
      <c r="R673" s="34"/>
      <c r="S673" s="34"/>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34"/>
      <c r="Q674" s="34"/>
      <c r="R674" s="34"/>
      <c r="S674" s="34"/>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34"/>
      <c r="Q675" s="34"/>
      <c r="R675" s="34"/>
      <c r="S675" s="34"/>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34"/>
      <c r="Q676" s="34"/>
      <c r="R676" s="34"/>
      <c r="S676" s="34"/>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34"/>
      <c r="Q677" s="34"/>
      <c r="R677" s="34"/>
      <c r="S677" s="34"/>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34"/>
      <c r="Q678" s="34"/>
      <c r="R678" s="34"/>
      <c r="S678" s="34"/>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34"/>
      <c r="Q679" s="34"/>
      <c r="R679" s="34"/>
      <c r="S679" s="34"/>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34"/>
      <c r="Q680" s="34"/>
      <c r="R680" s="34"/>
      <c r="S680" s="34"/>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34"/>
      <c r="Q681" s="34"/>
      <c r="R681" s="34"/>
      <c r="S681" s="34"/>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34"/>
      <c r="Q682" s="34"/>
      <c r="R682" s="34"/>
      <c r="S682" s="34"/>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34"/>
      <c r="Q683" s="34"/>
      <c r="R683" s="34"/>
      <c r="S683" s="34"/>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34"/>
      <c r="Q684" s="34"/>
      <c r="R684" s="34"/>
      <c r="S684" s="34"/>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34"/>
      <c r="Q685" s="34"/>
      <c r="R685" s="34"/>
      <c r="S685" s="34"/>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34"/>
      <c r="Q686" s="34"/>
      <c r="R686" s="34"/>
      <c r="S686" s="34"/>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34"/>
      <c r="Q687" s="34"/>
      <c r="R687" s="34"/>
      <c r="S687" s="34"/>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34"/>
      <c r="Q688" s="34"/>
      <c r="R688" s="34"/>
      <c r="S688" s="34"/>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34"/>
      <c r="Q689" s="34"/>
      <c r="R689" s="34"/>
      <c r="S689" s="34"/>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34"/>
      <c r="Q690" s="34"/>
      <c r="R690" s="34"/>
      <c r="S690" s="34"/>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34"/>
      <c r="Q691" s="34"/>
      <c r="R691" s="34"/>
      <c r="S691" s="34"/>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34"/>
      <c r="Q692" s="34"/>
      <c r="R692" s="34"/>
      <c r="S692" s="34"/>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34"/>
      <c r="Q693" s="34"/>
      <c r="R693" s="34"/>
      <c r="S693" s="34"/>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34"/>
      <c r="Q694" s="34"/>
      <c r="R694" s="34"/>
      <c r="S694" s="34"/>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34"/>
      <c r="Q695" s="34"/>
      <c r="R695" s="34"/>
      <c r="S695" s="34"/>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34"/>
      <c r="Q696" s="34"/>
      <c r="R696" s="34"/>
      <c r="S696" s="34"/>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34"/>
      <c r="Q697" s="34"/>
      <c r="R697" s="34"/>
      <c r="S697" s="34"/>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34"/>
      <c r="Q698" s="34"/>
      <c r="R698" s="34"/>
      <c r="S698" s="34"/>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34"/>
      <c r="Q699" s="34"/>
      <c r="R699" s="34"/>
      <c r="S699" s="34"/>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34"/>
      <c r="Q700" s="34"/>
      <c r="R700" s="34"/>
      <c r="S700" s="34"/>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34"/>
      <c r="Q701" s="34"/>
      <c r="R701" s="34"/>
      <c r="S701" s="34"/>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34"/>
      <c r="Q702" s="34"/>
      <c r="R702" s="34"/>
      <c r="S702" s="34"/>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34"/>
      <c r="Q703" s="34"/>
      <c r="R703" s="34"/>
      <c r="S703" s="34"/>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34"/>
      <c r="Q704" s="34"/>
      <c r="R704" s="34"/>
      <c r="S704" s="34"/>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34"/>
      <c r="Q705" s="34"/>
      <c r="R705" s="34"/>
      <c r="S705" s="34"/>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34"/>
      <c r="Q706" s="34"/>
      <c r="R706" s="34"/>
      <c r="S706" s="34"/>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34"/>
      <c r="Q707" s="34"/>
      <c r="R707" s="34"/>
      <c r="S707" s="34"/>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34"/>
      <c r="Q708" s="34"/>
      <c r="R708" s="34"/>
      <c r="S708" s="34"/>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34"/>
      <c r="Q709" s="34"/>
      <c r="R709" s="34"/>
      <c r="S709" s="34"/>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34"/>
      <c r="Q710" s="34"/>
      <c r="R710" s="34"/>
      <c r="S710" s="34"/>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34"/>
      <c r="Q711" s="34"/>
      <c r="R711" s="34"/>
      <c r="S711" s="34"/>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34"/>
      <c r="Q712" s="34"/>
      <c r="R712" s="34"/>
      <c r="S712" s="34"/>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34"/>
      <c r="Q713" s="34"/>
      <c r="R713" s="34"/>
      <c r="S713" s="34"/>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34"/>
      <c r="Q714" s="34"/>
      <c r="R714" s="34"/>
      <c r="S714" s="34"/>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34"/>
      <c r="Q715" s="34"/>
      <c r="R715" s="34"/>
      <c r="S715" s="34"/>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34"/>
      <c r="Q716" s="34"/>
      <c r="R716" s="34"/>
      <c r="S716" s="34"/>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34"/>
      <c r="Q717" s="34"/>
      <c r="R717" s="34"/>
      <c r="S717" s="34"/>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34"/>
      <c r="Q718" s="34"/>
      <c r="R718" s="34"/>
      <c r="S718" s="34"/>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34"/>
      <c r="Q719" s="34"/>
      <c r="R719" s="34"/>
      <c r="S719" s="34"/>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34"/>
      <c r="Q720" s="34"/>
      <c r="R720" s="34"/>
      <c r="S720" s="34"/>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34"/>
      <c r="Q721" s="34"/>
      <c r="R721" s="34"/>
      <c r="S721" s="34"/>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34"/>
      <c r="Q722" s="34"/>
      <c r="R722" s="34"/>
      <c r="S722" s="34"/>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34"/>
      <c r="Q723" s="34"/>
      <c r="R723" s="34"/>
      <c r="S723" s="34"/>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34"/>
      <c r="Q724" s="34"/>
      <c r="R724" s="34"/>
      <c r="S724" s="34"/>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34"/>
      <c r="Q725" s="34"/>
      <c r="R725" s="34"/>
      <c r="S725" s="34"/>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34"/>
      <c r="Q726" s="34"/>
      <c r="R726" s="34"/>
      <c r="S726" s="34"/>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34"/>
      <c r="Q727" s="34"/>
      <c r="R727" s="34"/>
      <c r="S727" s="34"/>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34"/>
      <c r="Q728" s="34"/>
      <c r="R728" s="34"/>
      <c r="S728" s="34"/>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34"/>
      <c r="Q729" s="34"/>
      <c r="R729" s="34"/>
      <c r="S729" s="34"/>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34"/>
      <c r="Q730" s="34"/>
      <c r="R730" s="34"/>
      <c r="S730" s="34"/>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34"/>
      <c r="Q731" s="34"/>
      <c r="R731" s="34"/>
      <c r="S731" s="34"/>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34"/>
      <c r="Q732" s="34"/>
      <c r="R732" s="34"/>
      <c r="S732" s="34"/>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34"/>
      <c r="Q733" s="34"/>
      <c r="R733" s="34"/>
      <c r="S733" s="34"/>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34"/>
      <c r="Q734" s="34"/>
      <c r="R734" s="34"/>
      <c r="S734" s="34"/>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34"/>
      <c r="Q735" s="34"/>
      <c r="R735" s="34"/>
      <c r="S735" s="34"/>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34"/>
      <c r="Q736" s="34"/>
      <c r="R736" s="34"/>
      <c r="S736" s="34"/>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34"/>
      <c r="Q737" s="34"/>
      <c r="R737" s="34"/>
      <c r="S737" s="34"/>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34"/>
      <c r="Q738" s="34"/>
      <c r="R738" s="34"/>
      <c r="S738" s="34"/>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34"/>
      <c r="Q739" s="34"/>
      <c r="R739" s="34"/>
      <c r="S739" s="34"/>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34"/>
      <c r="Q740" s="34"/>
      <c r="R740" s="34"/>
      <c r="S740" s="34"/>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34"/>
      <c r="Q741" s="34"/>
      <c r="R741" s="34"/>
      <c r="S741" s="34"/>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34"/>
      <c r="Q742" s="34"/>
      <c r="R742" s="34"/>
      <c r="S742" s="34"/>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34"/>
      <c r="Q743" s="34"/>
      <c r="R743" s="34"/>
      <c r="S743" s="34"/>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34"/>
      <c r="Q744" s="34"/>
      <c r="R744" s="34"/>
      <c r="S744" s="34"/>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34"/>
      <c r="Q745" s="34"/>
      <c r="R745" s="34"/>
      <c r="S745" s="34"/>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34"/>
      <c r="Q746" s="34"/>
      <c r="R746" s="34"/>
      <c r="S746" s="34"/>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34"/>
      <c r="Q747" s="34"/>
      <c r="R747" s="34"/>
      <c r="S747" s="34"/>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34"/>
      <c r="Q748" s="34"/>
      <c r="R748" s="34"/>
      <c r="S748" s="34"/>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34"/>
      <c r="Q749" s="34"/>
      <c r="R749" s="34"/>
      <c r="S749" s="34"/>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34"/>
      <c r="Q750" s="34"/>
      <c r="R750" s="34"/>
      <c r="S750" s="34"/>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34"/>
      <c r="Q751" s="34"/>
      <c r="R751" s="34"/>
      <c r="S751" s="34"/>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34"/>
      <c r="Q752" s="34"/>
      <c r="R752" s="34"/>
      <c r="S752" s="34"/>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34"/>
      <c r="Q753" s="34"/>
      <c r="R753" s="34"/>
      <c r="S753" s="34"/>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34"/>
      <c r="Q754" s="34"/>
      <c r="R754" s="34"/>
      <c r="S754" s="34"/>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34"/>
      <c r="Q755" s="34"/>
      <c r="R755" s="34"/>
      <c r="S755" s="34"/>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34"/>
      <c r="Q756" s="34"/>
      <c r="R756" s="34"/>
      <c r="S756" s="34"/>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34"/>
      <c r="Q757" s="34"/>
      <c r="R757" s="34"/>
      <c r="S757" s="34"/>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34"/>
      <c r="Q758" s="34"/>
      <c r="R758" s="34"/>
      <c r="S758" s="34"/>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34"/>
      <c r="Q759" s="34"/>
      <c r="R759" s="34"/>
      <c r="S759" s="34"/>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34"/>
      <c r="Q760" s="34"/>
      <c r="R760" s="34"/>
      <c r="S760" s="34"/>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34"/>
      <c r="Q761" s="34"/>
      <c r="R761" s="34"/>
      <c r="S761" s="34"/>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34"/>
      <c r="Q762" s="34"/>
      <c r="R762" s="34"/>
      <c r="S762" s="34"/>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34"/>
      <c r="Q763" s="34"/>
      <c r="R763" s="34"/>
      <c r="S763" s="34"/>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34"/>
      <c r="Q764" s="34"/>
      <c r="R764" s="34"/>
      <c r="S764" s="34"/>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34"/>
      <c r="Q765" s="34"/>
      <c r="R765" s="34"/>
      <c r="S765" s="34"/>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34"/>
      <c r="Q766" s="34"/>
      <c r="R766" s="34"/>
      <c r="S766" s="34"/>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34"/>
      <c r="Q767" s="34"/>
      <c r="R767" s="34"/>
      <c r="S767" s="34"/>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34"/>
      <c r="Q768" s="34"/>
      <c r="R768" s="34"/>
      <c r="S768" s="34"/>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34"/>
      <c r="Q769" s="34"/>
      <c r="R769" s="34"/>
      <c r="S769" s="34"/>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34"/>
      <c r="Q770" s="34"/>
      <c r="R770" s="34"/>
      <c r="S770" s="34"/>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34"/>
      <c r="Q771" s="34"/>
      <c r="R771" s="34"/>
      <c r="S771" s="34"/>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34"/>
      <c r="Q772" s="34"/>
      <c r="R772" s="34"/>
      <c r="S772" s="34"/>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34"/>
      <c r="Q773" s="34"/>
      <c r="R773" s="34"/>
      <c r="S773" s="34"/>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34"/>
      <c r="Q774" s="34"/>
      <c r="R774" s="34"/>
      <c r="S774" s="34"/>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34"/>
      <c r="Q775" s="34"/>
      <c r="R775" s="34"/>
      <c r="S775" s="34"/>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34"/>
      <c r="Q776" s="34"/>
      <c r="R776" s="34"/>
      <c r="S776" s="34"/>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34"/>
      <c r="Q777" s="34"/>
      <c r="R777" s="34"/>
      <c r="S777" s="34"/>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34"/>
      <c r="Q778" s="34"/>
      <c r="R778" s="34"/>
      <c r="S778" s="34"/>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34"/>
      <c r="Q779" s="34"/>
      <c r="R779" s="34"/>
      <c r="S779" s="34"/>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34"/>
      <c r="Q780" s="34"/>
      <c r="R780" s="34"/>
      <c r="S780" s="34"/>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34"/>
      <c r="Q781" s="34"/>
      <c r="R781" s="34"/>
      <c r="S781" s="34"/>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34"/>
      <c r="Q782" s="34"/>
      <c r="R782" s="34"/>
      <c r="S782" s="34"/>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34"/>
      <c r="Q783" s="34"/>
      <c r="R783" s="34"/>
      <c r="S783" s="34"/>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34"/>
      <c r="Q784" s="34"/>
      <c r="R784" s="34"/>
      <c r="S784" s="34"/>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34"/>
      <c r="Q785" s="34"/>
      <c r="R785" s="34"/>
      <c r="S785" s="34"/>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34"/>
      <c r="Q786" s="34"/>
      <c r="R786" s="34"/>
      <c r="S786" s="34"/>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34"/>
      <c r="Q787" s="34"/>
      <c r="R787" s="34"/>
      <c r="S787" s="34"/>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34"/>
      <c r="Q788" s="34"/>
      <c r="R788" s="34"/>
      <c r="S788" s="34"/>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34"/>
      <c r="Q789" s="34"/>
      <c r="R789" s="34"/>
      <c r="S789" s="34"/>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34"/>
      <c r="Q790" s="34"/>
      <c r="R790" s="34"/>
      <c r="S790" s="34"/>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34"/>
      <c r="Q791" s="34"/>
      <c r="R791" s="34"/>
      <c r="S791" s="34"/>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34"/>
      <c r="Q792" s="34"/>
      <c r="R792" s="34"/>
      <c r="S792" s="34"/>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34"/>
      <c r="Q793" s="34"/>
      <c r="R793" s="34"/>
      <c r="S793" s="34"/>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34"/>
      <c r="Q794" s="34"/>
      <c r="R794" s="34"/>
      <c r="S794" s="34"/>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34"/>
      <c r="Q795" s="34"/>
      <c r="R795" s="34"/>
      <c r="S795" s="34"/>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34"/>
      <c r="Q796" s="34"/>
      <c r="R796" s="34"/>
      <c r="S796" s="34"/>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34"/>
      <c r="Q797" s="34"/>
      <c r="R797" s="34"/>
      <c r="S797" s="34"/>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34"/>
      <c r="Q798" s="34"/>
      <c r="R798" s="34"/>
      <c r="S798" s="34"/>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34"/>
      <c r="Q799" s="34"/>
      <c r="R799" s="34"/>
      <c r="S799" s="34"/>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34"/>
      <c r="Q800" s="34"/>
      <c r="R800" s="34"/>
      <c r="S800" s="34"/>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34"/>
      <c r="Q801" s="34"/>
      <c r="R801" s="34"/>
      <c r="S801" s="34"/>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34"/>
      <c r="Q802" s="34"/>
      <c r="R802" s="34"/>
      <c r="S802" s="34"/>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34"/>
      <c r="Q803" s="34"/>
      <c r="R803" s="34"/>
      <c r="S803" s="34"/>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34"/>
      <c r="Q804" s="34"/>
      <c r="R804" s="34"/>
      <c r="S804" s="34"/>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34"/>
      <c r="Q805" s="34"/>
      <c r="R805" s="34"/>
      <c r="S805" s="34"/>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34"/>
      <c r="Q806" s="34"/>
      <c r="R806" s="34"/>
      <c r="S806" s="34"/>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34"/>
      <c r="Q807" s="34"/>
      <c r="R807" s="34"/>
      <c r="S807" s="34"/>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34"/>
      <c r="Q808" s="34"/>
      <c r="R808" s="34"/>
      <c r="S808" s="34"/>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34"/>
      <c r="Q809" s="34"/>
      <c r="R809" s="34"/>
      <c r="S809" s="34"/>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34"/>
      <c r="Q810" s="34"/>
      <c r="R810" s="34"/>
      <c r="S810" s="34"/>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34"/>
      <c r="Q811" s="34"/>
      <c r="R811" s="34"/>
      <c r="S811" s="34"/>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34"/>
      <c r="Q812" s="34"/>
      <c r="R812" s="34"/>
      <c r="S812" s="34"/>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34"/>
      <c r="Q813" s="34"/>
      <c r="R813" s="34"/>
      <c r="S813" s="34"/>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34"/>
      <c r="Q814" s="34"/>
      <c r="R814" s="34"/>
      <c r="S814" s="34"/>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34"/>
      <c r="Q815" s="34"/>
      <c r="R815" s="34"/>
      <c r="S815" s="34"/>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34"/>
      <c r="Q816" s="34"/>
      <c r="R816" s="34"/>
      <c r="S816" s="34"/>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34"/>
      <c r="Q817" s="34"/>
      <c r="R817" s="34"/>
      <c r="S817" s="34"/>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34"/>
      <c r="Q818" s="34"/>
      <c r="R818" s="34"/>
      <c r="S818" s="34"/>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34"/>
      <c r="Q819" s="34"/>
      <c r="R819" s="34"/>
      <c r="S819" s="34"/>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34"/>
      <c r="Q820" s="34"/>
      <c r="R820" s="34"/>
      <c r="S820" s="34"/>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34"/>
      <c r="Q821" s="34"/>
      <c r="R821" s="34"/>
      <c r="S821" s="34"/>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34"/>
      <c r="Q822" s="34"/>
      <c r="R822" s="34"/>
      <c r="S822" s="34"/>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34"/>
      <c r="Q823" s="34"/>
      <c r="R823" s="34"/>
      <c r="S823" s="34"/>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34"/>
      <c r="Q824" s="34"/>
      <c r="R824" s="34"/>
      <c r="S824" s="34"/>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34"/>
      <c r="Q825" s="34"/>
      <c r="R825" s="34"/>
      <c r="S825" s="34"/>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34"/>
      <c r="Q826" s="34"/>
      <c r="R826" s="34"/>
      <c r="S826" s="34"/>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34"/>
      <c r="Q827" s="34"/>
      <c r="R827" s="34"/>
      <c r="S827" s="34"/>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34"/>
      <c r="Q828" s="34"/>
      <c r="R828" s="34"/>
      <c r="S828" s="34"/>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34"/>
      <c r="Q829" s="34"/>
      <c r="R829" s="34"/>
      <c r="S829" s="34"/>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34"/>
      <c r="Q830" s="34"/>
      <c r="R830" s="34"/>
      <c r="S830" s="34"/>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34"/>
      <c r="Q831" s="34"/>
      <c r="R831" s="34"/>
      <c r="S831" s="34"/>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34"/>
      <c r="Q832" s="34"/>
      <c r="R832" s="34"/>
      <c r="S832" s="34"/>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34"/>
      <c r="Q833" s="34"/>
      <c r="R833" s="34"/>
      <c r="S833" s="34"/>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34"/>
      <c r="Q834" s="34"/>
      <c r="R834" s="34"/>
      <c r="S834" s="34"/>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34"/>
      <c r="Q835" s="34"/>
      <c r="R835" s="34"/>
      <c r="S835" s="34"/>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34"/>
      <c r="Q836" s="34"/>
      <c r="R836" s="34"/>
      <c r="S836" s="34"/>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34"/>
      <c r="Q837" s="34"/>
      <c r="R837" s="34"/>
      <c r="S837" s="34"/>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34"/>
      <c r="Q838" s="34"/>
      <c r="R838" s="34"/>
      <c r="S838" s="34"/>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34"/>
      <c r="Q839" s="34"/>
      <c r="R839" s="34"/>
      <c r="S839" s="34"/>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34"/>
      <c r="Q840" s="34"/>
      <c r="R840" s="34"/>
      <c r="S840" s="34"/>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34"/>
      <c r="Q841" s="34"/>
      <c r="R841" s="34"/>
      <c r="S841" s="34"/>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34"/>
      <c r="Q842" s="34"/>
      <c r="R842" s="34"/>
      <c r="S842" s="34"/>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34"/>
      <c r="Q843" s="34"/>
      <c r="R843" s="34"/>
      <c r="S843" s="34"/>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34"/>
      <c r="Q844" s="34"/>
      <c r="R844" s="34"/>
      <c r="S844" s="34"/>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34"/>
      <c r="Q845" s="34"/>
      <c r="R845" s="34"/>
      <c r="S845" s="34"/>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34"/>
      <c r="Q846" s="34"/>
      <c r="R846" s="34"/>
      <c r="S846" s="34"/>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34"/>
      <c r="Q847" s="34"/>
      <c r="R847" s="34"/>
      <c r="S847" s="34"/>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34"/>
      <c r="Q848" s="34"/>
      <c r="R848" s="34"/>
      <c r="S848" s="34"/>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34"/>
      <c r="Q849" s="34"/>
      <c r="R849" s="34"/>
      <c r="S849" s="34"/>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34"/>
      <c r="Q850" s="34"/>
      <c r="R850" s="34"/>
      <c r="S850" s="34"/>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34"/>
      <c r="Q851" s="34"/>
      <c r="R851" s="34"/>
      <c r="S851" s="34"/>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34"/>
      <c r="Q852" s="34"/>
      <c r="R852" s="34"/>
      <c r="S852" s="34"/>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34"/>
      <c r="Q853" s="34"/>
      <c r="R853" s="34"/>
      <c r="S853" s="34"/>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34"/>
      <c r="Q854" s="34"/>
      <c r="R854" s="34"/>
      <c r="S854" s="34"/>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34"/>
      <c r="Q855" s="34"/>
      <c r="R855" s="34"/>
      <c r="S855" s="34"/>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34"/>
      <c r="Q856" s="34"/>
      <c r="R856" s="34"/>
      <c r="S856" s="34"/>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34"/>
      <c r="Q857" s="34"/>
      <c r="R857" s="34"/>
      <c r="S857" s="34"/>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34"/>
      <c r="Q858" s="34"/>
      <c r="R858" s="34"/>
      <c r="S858" s="34"/>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34"/>
      <c r="Q859" s="34"/>
      <c r="R859" s="34"/>
      <c r="S859" s="34"/>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34"/>
      <c r="Q860" s="34"/>
      <c r="R860" s="34"/>
      <c r="S860" s="34"/>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34"/>
      <c r="Q861" s="34"/>
      <c r="R861" s="34"/>
      <c r="S861" s="34"/>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34"/>
      <c r="Q862" s="34"/>
      <c r="R862" s="34"/>
      <c r="S862" s="34"/>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34"/>
      <c r="Q863" s="34"/>
      <c r="R863" s="34"/>
      <c r="S863" s="34"/>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34"/>
      <c r="Q864" s="34"/>
      <c r="R864" s="34"/>
      <c r="S864" s="34"/>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34"/>
      <c r="Q865" s="34"/>
      <c r="R865" s="34"/>
      <c r="S865" s="34"/>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34"/>
      <c r="Q866" s="34"/>
      <c r="R866" s="34"/>
      <c r="S866" s="34"/>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34"/>
      <c r="Q867" s="34"/>
      <c r="R867" s="34"/>
      <c r="S867" s="34"/>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34"/>
      <c r="Q868" s="34"/>
      <c r="R868" s="34"/>
      <c r="S868" s="34"/>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34"/>
      <c r="Q869" s="34"/>
      <c r="R869" s="34"/>
      <c r="S869" s="34"/>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34"/>
      <c r="Q870" s="34"/>
      <c r="R870" s="34"/>
      <c r="S870" s="34"/>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34"/>
      <c r="Q871" s="34"/>
      <c r="R871" s="34"/>
      <c r="S871" s="34"/>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34"/>
      <c r="Q872" s="34"/>
      <c r="R872" s="34"/>
      <c r="S872" s="34"/>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34"/>
      <c r="Q873" s="34"/>
      <c r="R873" s="34"/>
      <c r="S873" s="34"/>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34"/>
      <c r="Q874" s="34"/>
      <c r="R874" s="34"/>
      <c r="S874" s="34"/>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34"/>
      <c r="Q875" s="34"/>
      <c r="R875" s="34"/>
      <c r="S875" s="34"/>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34"/>
      <c r="Q876" s="34"/>
      <c r="R876" s="34"/>
      <c r="S876" s="34"/>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34"/>
      <c r="Q877" s="34"/>
      <c r="R877" s="34"/>
      <c r="S877" s="34"/>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34"/>
      <c r="Q878" s="34"/>
      <c r="R878" s="34"/>
      <c r="S878" s="34"/>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34"/>
      <c r="Q879" s="34"/>
      <c r="R879" s="34"/>
      <c r="S879" s="34"/>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34"/>
      <c r="Q880" s="34"/>
      <c r="R880" s="34"/>
      <c r="S880" s="34"/>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34"/>
      <c r="Q881" s="34"/>
      <c r="R881" s="34"/>
      <c r="S881" s="34"/>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34"/>
      <c r="Q882" s="34"/>
      <c r="R882" s="34"/>
      <c r="S882" s="34"/>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34"/>
      <c r="Q883" s="34"/>
      <c r="R883" s="34"/>
      <c r="S883" s="34"/>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34"/>
      <c r="Q884" s="34"/>
      <c r="R884" s="34"/>
      <c r="S884" s="34"/>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34"/>
      <c r="Q885" s="34"/>
      <c r="R885" s="34"/>
      <c r="S885" s="34"/>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34"/>
      <c r="Q886" s="34"/>
      <c r="R886" s="34"/>
      <c r="S886" s="34"/>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34"/>
      <c r="Q887" s="34"/>
      <c r="R887" s="34"/>
      <c r="S887" s="34"/>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34"/>
      <c r="Q888" s="34"/>
      <c r="R888" s="34"/>
      <c r="S888" s="34"/>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34"/>
      <c r="Q889" s="34"/>
      <c r="R889" s="34"/>
      <c r="S889" s="34"/>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34"/>
      <c r="Q890" s="34"/>
      <c r="R890" s="34"/>
      <c r="S890" s="34"/>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34"/>
      <c r="Q891" s="34"/>
      <c r="R891" s="34"/>
      <c r="S891" s="34"/>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34"/>
      <c r="Q892" s="34"/>
      <c r="R892" s="34"/>
      <c r="S892" s="34"/>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34"/>
      <c r="Q893" s="34"/>
      <c r="R893" s="34"/>
      <c r="S893" s="34"/>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34"/>
      <c r="Q894" s="34"/>
      <c r="R894" s="34"/>
      <c r="S894" s="34"/>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34"/>
      <c r="Q895" s="34"/>
      <c r="R895" s="34"/>
      <c r="S895" s="34"/>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34"/>
      <c r="Q896" s="34"/>
      <c r="R896" s="34"/>
      <c r="S896" s="34"/>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34"/>
      <c r="Q897" s="34"/>
      <c r="R897" s="34"/>
      <c r="S897" s="34"/>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34"/>
      <c r="Q898" s="34"/>
      <c r="R898" s="34"/>
      <c r="S898" s="34"/>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34"/>
      <c r="Q899" s="34"/>
      <c r="R899" s="34"/>
      <c r="S899" s="34"/>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34"/>
      <c r="Q900" s="34"/>
      <c r="R900" s="34"/>
      <c r="S900" s="34"/>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34"/>
      <c r="Q901" s="34"/>
      <c r="R901" s="34"/>
      <c r="S901" s="34"/>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34"/>
      <c r="Q902" s="34"/>
      <c r="R902" s="34"/>
      <c r="S902" s="34"/>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34"/>
      <c r="Q903" s="34"/>
      <c r="R903" s="34"/>
      <c r="S903" s="34"/>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34"/>
      <c r="Q904" s="34"/>
      <c r="R904" s="34"/>
      <c r="S904" s="34"/>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34"/>
      <c r="Q905" s="34"/>
      <c r="R905" s="34"/>
      <c r="S905" s="34"/>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34"/>
      <c r="Q906" s="34"/>
      <c r="R906" s="34"/>
      <c r="S906" s="34"/>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34"/>
      <c r="Q907" s="34"/>
      <c r="R907" s="34"/>
      <c r="S907" s="34"/>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34"/>
      <c r="Q908" s="34"/>
      <c r="R908" s="34"/>
      <c r="S908" s="34"/>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34"/>
      <c r="Q909" s="34"/>
      <c r="R909" s="34"/>
      <c r="S909" s="34"/>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34"/>
      <c r="Q910" s="34"/>
      <c r="R910" s="34"/>
      <c r="S910" s="34"/>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34"/>
      <c r="Q911" s="34"/>
      <c r="R911" s="34"/>
      <c r="S911" s="34"/>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34"/>
      <c r="Q912" s="34"/>
      <c r="R912" s="34"/>
      <c r="S912" s="34"/>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34"/>
      <c r="Q913" s="34"/>
      <c r="R913" s="34"/>
      <c r="S913" s="34"/>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34"/>
      <c r="Q914" s="34"/>
      <c r="R914" s="34"/>
      <c r="S914" s="34"/>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34"/>
      <c r="Q915" s="34"/>
      <c r="R915" s="34"/>
      <c r="S915" s="34"/>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34"/>
      <c r="Q916" s="34"/>
      <c r="R916" s="34"/>
      <c r="S916" s="34"/>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34"/>
      <c r="Q917" s="34"/>
      <c r="R917" s="34"/>
      <c r="S917" s="34"/>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34"/>
      <c r="Q918" s="34"/>
      <c r="R918" s="34"/>
      <c r="S918" s="34"/>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34"/>
      <c r="Q919" s="34"/>
      <c r="R919" s="34"/>
      <c r="S919" s="34"/>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34"/>
      <c r="Q920" s="34"/>
      <c r="R920" s="34"/>
      <c r="S920" s="34"/>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34"/>
      <c r="Q921" s="34"/>
      <c r="R921" s="34"/>
      <c r="S921" s="34"/>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34"/>
      <c r="Q922" s="34"/>
      <c r="R922" s="34"/>
      <c r="S922" s="34"/>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34"/>
      <c r="Q923" s="34"/>
      <c r="R923" s="34"/>
      <c r="S923" s="34"/>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34"/>
      <c r="Q924" s="34"/>
      <c r="R924" s="34"/>
      <c r="S924" s="34"/>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34"/>
      <c r="Q925" s="34"/>
      <c r="R925" s="34"/>
      <c r="S925" s="34"/>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34"/>
      <c r="Q926" s="34"/>
      <c r="R926" s="34"/>
      <c r="S926" s="34"/>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34"/>
      <c r="Q927" s="34"/>
      <c r="R927" s="34"/>
      <c r="S927" s="34"/>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34"/>
      <c r="Q928" s="34"/>
      <c r="R928" s="34"/>
      <c r="S928" s="34"/>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34"/>
      <c r="Q929" s="34"/>
      <c r="R929" s="34"/>
      <c r="S929" s="34"/>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34"/>
      <c r="Q930" s="34"/>
      <c r="R930" s="34"/>
      <c r="S930" s="34"/>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34"/>
      <c r="Q931" s="34"/>
      <c r="R931" s="34"/>
      <c r="S931" s="34"/>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34"/>
      <c r="Q932" s="34"/>
      <c r="R932" s="34"/>
      <c r="S932" s="34"/>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34"/>
      <c r="Q933" s="34"/>
      <c r="R933" s="34"/>
      <c r="S933" s="34"/>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34"/>
      <c r="Q934" s="34"/>
      <c r="R934" s="34"/>
      <c r="S934" s="34"/>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34"/>
      <c r="Q935" s="34"/>
      <c r="R935" s="34"/>
      <c r="S935" s="34"/>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34"/>
      <c r="Q936" s="34"/>
      <c r="R936" s="34"/>
      <c r="S936" s="34"/>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34"/>
      <c r="Q937" s="34"/>
      <c r="R937" s="34"/>
      <c r="S937" s="34"/>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34"/>
      <c r="Q938" s="34"/>
      <c r="R938" s="34"/>
      <c r="S938" s="34"/>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34"/>
      <c r="Q939" s="34"/>
      <c r="R939" s="34"/>
      <c r="S939" s="34"/>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34"/>
      <c r="Q940" s="34"/>
      <c r="R940" s="34"/>
      <c r="S940" s="34"/>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34"/>
      <c r="Q941" s="34"/>
      <c r="R941" s="34"/>
      <c r="S941" s="34"/>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34"/>
      <c r="Q942" s="34"/>
      <c r="R942" s="34"/>
      <c r="S942" s="34"/>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34"/>
      <c r="Q943" s="34"/>
      <c r="R943" s="34"/>
      <c r="S943" s="34"/>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34"/>
      <c r="Q944" s="34"/>
      <c r="R944" s="34"/>
      <c r="S944" s="34"/>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34"/>
      <c r="Q945" s="34"/>
      <c r="R945" s="34"/>
      <c r="S945" s="34"/>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34"/>
      <c r="Q946" s="34"/>
      <c r="R946" s="34"/>
      <c r="S946" s="34"/>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34"/>
      <c r="Q947" s="34"/>
      <c r="R947" s="34"/>
      <c r="S947" s="34"/>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34"/>
      <c r="Q948" s="34"/>
      <c r="R948" s="34"/>
      <c r="S948" s="34"/>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34"/>
      <c r="Q949" s="34"/>
      <c r="R949" s="34"/>
      <c r="S949" s="34"/>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34"/>
      <c r="Q950" s="34"/>
      <c r="R950" s="34"/>
      <c r="S950" s="34"/>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34"/>
      <c r="Q951" s="34"/>
      <c r="R951" s="34"/>
      <c r="S951" s="34"/>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34"/>
      <c r="Q952" s="34"/>
      <c r="R952" s="34"/>
      <c r="S952" s="34"/>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34"/>
      <c r="Q953" s="34"/>
      <c r="R953" s="34"/>
      <c r="S953" s="34"/>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34"/>
      <c r="Q954" s="34"/>
      <c r="R954" s="34"/>
      <c r="S954" s="34"/>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34"/>
      <c r="Q955" s="34"/>
      <c r="R955" s="34"/>
      <c r="S955" s="34"/>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34"/>
      <c r="Q956" s="34"/>
      <c r="R956" s="34"/>
      <c r="S956" s="34"/>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34"/>
      <c r="Q957" s="34"/>
      <c r="R957" s="34"/>
      <c r="S957" s="34"/>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34"/>
      <c r="Q958" s="34"/>
      <c r="R958" s="34"/>
      <c r="S958" s="34"/>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34"/>
      <c r="Q959" s="34"/>
      <c r="R959" s="34"/>
      <c r="S959" s="34"/>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34"/>
      <c r="Q960" s="34"/>
      <c r="R960" s="34"/>
      <c r="S960" s="34"/>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34"/>
      <c r="Q961" s="34"/>
      <c r="R961" s="34"/>
      <c r="S961" s="34"/>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34"/>
      <c r="Q962" s="34"/>
      <c r="R962" s="34"/>
      <c r="S962" s="34"/>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34"/>
      <c r="Q963" s="34"/>
      <c r="R963" s="34"/>
      <c r="S963" s="34"/>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34"/>
      <c r="Q964" s="34"/>
      <c r="R964" s="34"/>
      <c r="S964" s="34"/>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34"/>
      <c r="Q965" s="34"/>
      <c r="R965" s="34"/>
      <c r="S965" s="34"/>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34"/>
      <c r="Q966" s="34"/>
      <c r="R966" s="34"/>
      <c r="S966" s="34"/>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34"/>
      <c r="Q967" s="34"/>
      <c r="R967" s="34"/>
      <c r="S967" s="34"/>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34"/>
      <c r="Q968" s="34"/>
      <c r="R968" s="34"/>
      <c r="S968" s="34"/>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34"/>
      <c r="Q969" s="34"/>
      <c r="R969" s="34"/>
      <c r="S969" s="34"/>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34"/>
      <c r="Q970" s="34"/>
      <c r="R970" s="34"/>
      <c r="S970" s="34"/>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34"/>
      <c r="Q971" s="34"/>
      <c r="R971" s="34"/>
      <c r="S971" s="34"/>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34"/>
      <c r="Q972" s="34"/>
      <c r="R972" s="34"/>
      <c r="S972" s="34"/>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34"/>
      <c r="Q973" s="34"/>
      <c r="R973" s="34"/>
      <c r="S973" s="34"/>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34"/>
      <c r="Q974" s="34"/>
      <c r="R974" s="34"/>
      <c r="S974" s="34"/>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34"/>
      <c r="Q975" s="34"/>
      <c r="R975" s="34"/>
      <c r="S975" s="34"/>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34"/>
      <c r="Q976" s="34"/>
      <c r="R976" s="34"/>
      <c r="S976" s="34"/>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34"/>
      <c r="Q977" s="34"/>
      <c r="R977" s="34"/>
      <c r="S977" s="34"/>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34"/>
      <c r="Q978" s="34"/>
      <c r="R978" s="34"/>
      <c r="S978" s="34"/>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34"/>
      <c r="Q979" s="34"/>
      <c r="R979" s="34"/>
      <c r="S979" s="34"/>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34"/>
      <c r="Q980" s="34"/>
      <c r="R980" s="34"/>
      <c r="S980" s="34"/>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34"/>
      <c r="Q981" s="34"/>
      <c r="R981" s="34"/>
      <c r="S981" s="34"/>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34"/>
      <c r="Q982" s="34"/>
      <c r="R982" s="34"/>
      <c r="S982" s="34"/>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34"/>
      <c r="Q983" s="34"/>
      <c r="R983" s="34"/>
      <c r="S983" s="34"/>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34"/>
      <c r="Q984" s="34"/>
      <c r="R984" s="34"/>
      <c r="S984" s="34"/>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34"/>
      <c r="Q985" s="34"/>
      <c r="R985" s="34"/>
      <c r="S985" s="34"/>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34"/>
      <c r="Q986" s="34"/>
      <c r="R986" s="34"/>
      <c r="S986" s="34"/>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34"/>
      <c r="Q987" s="34"/>
      <c r="R987" s="34"/>
      <c r="S987" s="34"/>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34"/>
      <c r="Q988" s="34"/>
      <c r="R988" s="34"/>
      <c r="S988" s="34"/>
      <c r="T988" s="108"/>
      <c r="U988" s="108"/>
      <c r="V988" s="108"/>
      <c r="W988" s="108"/>
      <c r="X988" s="108"/>
      <c r="Y988" s="108"/>
      <c r="Z988" s="108"/>
    </row>
    <row r="989">
      <c r="A989" s="108"/>
      <c r="B989" s="108"/>
      <c r="C989" s="108"/>
      <c r="D989" s="108"/>
      <c r="E989" s="108"/>
      <c r="F989" s="108"/>
      <c r="G989" s="108"/>
      <c r="H989" s="108"/>
      <c r="I989" s="108"/>
      <c r="J989" s="108"/>
      <c r="K989" s="108"/>
      <c r="L989" s="108"/>
      <c r="M989" s="108"/>
      <c r="N989" s="108"/>
      <c r="O989" s="108"/>
      <c r="P989" s="34"/>
      <c r="Q989" s="34"/>
      <c r="R989" s="34"/>
      <c r="S989" s="34"/>
      <c r="T989" s="108"/>
      <c r="U989" s="108"/>
      <c r="V989" s="108"/>
      <c r="W989" s="108"/>
      <c r="X989" s="108"/>
      <c r="Y989" s="108"/>
      <c r="Z989" s="108"/>
    </row>
    <row r="990">
      <c r="A990" s="108"/>
      <c r="B990" s="108"/>
      <c r="C990" s="108"/>
      <c r="D990" s="108"/>
      <c r="E990" s="108"/>
      <c r="F990" s="108"/>
      <c r="G990" s="108"/>
      <c r="H990" s="108"/>
      <c r="I990" s="108"/>
      <c r="J990" s="108"/>
      <c r="K990" s="108"/>
      <c r="L990" s="108"/>
      <c r="M990" s="108"/>
      <c r="N990" s="108"/>
      <c r="O990" s="108"/>
      <c r="P990" s="34"/>
      <c r="Q990" s="34"/>
      <c r="R990" s="34"/>
      <c r="S990" s="34"/>
      <c r="T990" s="108"/>
      <c r="U990" s="108"/>
      <c r="V990" s="108"/>
      <c r="W990" s="108"/>
      <c r="X990" s="108"/>
      <c r="Y990" s="108"/>
      <c r="Z990" s="108"/>
    </row>
    <row r="991">
      <c r="A991" s="108"/>
      <c r="B991" s="108"/>
      <c r="C991" s="108"/>
      <c r="D991" s="108"/>
      <c r="E991" s="108"/>
      <c r="F991" s="108"/>
      <c r="G991" s="108"/>
      <c r="H991" s="108"/>
      <c r="I991" s="108"/>
      <c r="J991" s="108"/>
      <c r="K991" s="108"/>
      <c r="L991" s="108"/>
      <c r="M991" s="108"/>
      <c r="N991" s="108"/>
      <c r="O991" s="108"/>
      <c r="P991" s="34"/>
      <c r="Q991" s="34"/>
      <c r="R991" s="34"/>
      <c r="S991" s="34"/>
      <c r="T991" s="108"/>
      <c r="U991" s="108"/>
      <c r="V991" s="108"/>
      <c r="W991" s="108"/>
      <c r="X991" s="108"/>
      <c r="Y991" s="108"/>
      <c r="Z991" s="108"/>
    </row>
    <row r="992">
      <c r="A992" s="108"/>
      <c r="B992" s="108"/>
      <c r="C992" s="108"/>
      <c r="D992" s="108"/>
      <c r="E992" s="108"/>
      <c r="F992" s="108"/>
      <c r="G992" s="108"/>
      <c r="H992" s="108"/>
      <c r="I992" s="108"/>
      <c r="J992" s="108"/>
      <c r="K992" s="108"/>
      <c r="L992" s="108"/>
      <c r="M992" s="108"/>
      <c r="N992" s="108"/>
      <c r="O992" s="108"/>
      <c r="P992" s="34"/>
      <c r="Q992" s="34"/>
      <c r="R992" s="34"/>
      <c r="S992" s="34"/>
      <c r="T992" s="108"/>
      <c r="U992" s="108"/>
      <c r="V992" s="108"/>
      <c r="W992" s="108"/>
      <c r="X992" s="108"/>
      <c r="Y992" s="108"/>
      <c r="Z992" s="108"/>
    </row>
    <row r="993">
      <c r="A993" s="108"/>
      <c r="B993" s="108"/>
      <c r="C993" s="108"/>
      <c r="D993" s="108"/>
      <c r="E993" s="108"/>
      <c r="F993" s="108"/>
      <c r="G993" s="108"/>
      <c r="H993" s="108"/>
      <c r="I993" s="108"/>
      <c r="J993" s="108"/>
      <c r="K993" s="108"/>
      <c r="L993" s="108"/>
      <c r="M993" s="108"/>
      <c r="N993" s="108"/>
      <c r="O993" s="108"/>
      <c r="P993" s="34"/>
      <c r="Q993" s="34"/>
      <c r="R993" s="34"/>
      <c r="S993" s="34"/>
      <c r="T993" s="108"/>
      <c r="U993" s="108"/>
      <c r="V993" s="108"/>
      <c r="W993" s="108"/>
      <c r="X993" s="108"/>
      <c r="Y993" s="108"/>
      <c r="Z993" s="108"/>
    </row>
    <row r="994">
      <c r="A994" s="108"/>
      <c r="B994" s="108"/>
      <c r="C994" s="108"/>
      <c r="D994" s="108"/>
      <c r="E994" s="108"/>
      <c r="F994" s="108"/>
      <c r="G994" s="108"/>
      <c r="H994" s="108"/>
      <c r="I994" s="108"/>
      <c r="J994" s="108"/>
      <c r="K994" s="108"/>
      <c r="L994" s="108"/>
      <c r="M994" s="108"/>
      <c r="N994" s="108"/>
      <c r="O994" s="108"/>
      <c r="P994" s="34"/>
      <c r="Q994" s="34"/>
      <c r="R994" s="34"/>
      <c r="S994" s="34"/>
      <c r="T994" s="108"/>
      <c r="U994" s="108"/>
      <c r="V994" s="108"/>
      <c r="W994" s="108"/>
      <c r="X994" s="108"/>
      <c r="Y994" s="108"/>
      <c r="Z994" s="108"/>
    </row>
    <row r="995">
      <c r="A995" s="108"/>
      <c r="B995" s="108"/>
      <c r="C995" s="108"/>
      <c r="D995" s="108"/>
      <c r="E995" s="108"/>
      <c r="F995" s="108"/>
      <c r="G995" s="108"/>
      <c r="H995" s="108"/>
      <c r="I995" s="108"/>
      <c r="J995" s="108"/>
      <c r="K995" s="108"/>
      <c r="L995" s="108"/>
      <c r="M995" s="108"/>
      <c r="N995" s="108"/>
      <c r="O995" s="108"/>
      <c r="P995" s="34"/>
      <c r="Q995" s="34"/>
      <c r="R995" s="34"/>
      <c r="S995" s="34"/>
      <c r="T995" s="108"/>
      <c r="U995" s="108"/>
      <c r="V995" s="108"/>
      <c r="W995" s="108"/>
      <c r="X995" s="108"/>
      <c r="Y995" s="108"/>
      <c r="Z995" s="108"/>
    </row>
    <row r="996">
      <c r="A996" s="108"/>
      <c r="B996" s="108"/>
      <c r="C996" s="108"/>
      <c r="D996" s="108"/>
      <c r="E996" s="108"/>
      <c r="F996" s="108"/>
      <c r="G996" s="108"/>
      <c r="H996" s="108"/>
      <c r="I996" s="108"/>
      <c r="J996" s="108"/>
      <c r="K996" s="108"/>
      <c r="L996" s="108"/>
      <c r="M996" s="108"/>
      <c r="N996" s="108"/>
      <c r="O996" s="108"/>
      <c r="P996" s="34"/>
      <c r="Q996" s="34"/>
      <c r="R996" s="34"/>
      <c r="S996" s="34"/>
      <c r="T996" s="108"/>
      <c r="U996" s="108"/>
      <c r="V996" s="108"/>
      <c r="W996" s="108"/>
      <c r="X996" s="108"/>
      <c r="Y996" s="108"/>
      <c r="Z996" s="108"/>
    </row>
    <row r="997">
      <c r="A997" s="108"/>
      <c r="B997" s="108"/>
      <c r="C997" s="108"/>
      <c r="D997" s="108"/>
      <c r="E997" s="108"/>
      <c r="F997" s="108"/>
      <c r="G997" s="108"/>
      <c r="H997" s="108"/>
      <c r="I997" s="108"/>
      <c r="J997" s="108"/>
      <c r="K997" s="108"/>
      <c r="L997" s="108"/>
      <c r="M997" s="108"/>
      <c r="N997" s="108"/>
      <c r="O997" s="108"/>
      <c r="P997" s="34"/>
      <c r="Q997" s="34"/>
      <c r="R997" s="34"/>
      <c r="S997" s="34"/>
      <c r="T997" s="108"/>
      <c r="U997" s="108"/>
      <c r="V997" s="108"/>
      <c r="W997" s="108"/>
      <c r="X997" s="108"/>
      <c r="Y997" s="108"/>
      <c r="Z997" s="108"/>
    </row>
    <row r="998">
      <c r="A998" s="108"/>
      <c r="B998" s="108"/>
      <c r="C998" s="108"/>
      <c r="D998" s="108"/>
      <c r="E998" s="108"/>
      <c r="F998" s="108"/>
      <c r="G998" s="108"/>
      <c r="H998" s="108"/>
      <c r="I998" s="108"/>
      <c r="J998" s="108"/>
      <c r="K998" s="108"/>
      <c r="L998" s="108"/>
      <c r="M998" s="108"/>
      <c r="N998" s="108"/>
      <c r="O998" s="108"/>
      <c r="P998" s="34"/>
      <c r="Q998" s="34"/>
      <c r="R998" s="34"/>
      <c r="S998" s="34"/>
      <c r="T998" s="108"/>
      <c r="U998" s="108"/>
      <c r="V998" s="108"/>
      <c r="W998" s="108"/>
      <c r="X998" s="108"/>
      <c r="Y998" s="108"/>
      <c r="Z998" s="108"/>
    </row>
    <row r="999">
      <c r="A999" s="108"/>
      <c r="B999" s="108"/>
      <c r="C999" s="108"/>
      <c r="D999" s="108"/>
      <c r="E999" s="108"/>
      <c r="F999" s="108"/>
      <c r="G999" s="108"/>
      <c r="H999" s="108"/>
      <c r="I999" s="108"/>
      <c r="J999" s="108"/>
      <c r="K999" s="108"/>
      <c r="L999" s="108"/>
      <c r="M999" s="108"/>
      <c r="N999" s="108"/>
      <c r="O999" s="108"/>
      <c r="P999" s="34"/>
      <c r="Q999" s="34"/>
      <c r="R999" s="34"/>
      <c r="S999" s="34"/>
      <c r="T999" s="108"/>
      <c r="U999" s="108"/>
      <c r="V999" s="108"/>
      <c r="W999" s="108"/>
      <c r="X999" s="108"/>
      <c r="Y999" s="108"/>
      <c r="Z999" s="108"/>
    </row>
    <row r="1000">
      <c r="A1000" s="108"/>
      <c r="B1000" s="108"/>
      <c r="C1000" s="108"/>
      <c r="D1000" s="108"/>
      <c r="E1000" s="108"/>
      <c r="F1000" s="108"/>
      <c r="G1000" s="108"/>
      <c r="H1000" s="108"/>
      <c r="I1000" s="108"/>
      <c r="J1000" s="108"/>
      <c r="K1000" s="108"/>
      <c r="L1000" s="108"/>
      <c r="M1000" s="108"/>
      <c r="N1000" s="108"/>
      <c r="O1000" s="108"/>
      <c r="P1000" s="34"/>
      <c r="Q1000" s="34"/>
      <c r="R1000" s="34"/>
      <c r="S1000" s="34"/>
      <c r="T1000" s="108"/>
      <c r="U1000" s="108"/>
      <c r="V1000" s="108"/>
      <c r="W1000" s="108"/>
      <c r="X1000" s="108"/>
      <c r="Y1000" s="108"/>
      <c r="Z1000" s="108"/>
    </row>
    <row r="1001">
      <c r="A1001" s="108"/>
      <c r="B1001" s="108"/>
      <c r="C1001" s="108"/>
      <c r="D1001" s="108"/>
      <c r="E1001" s="108"/>
      <c r="F1001" s="108"/>
      <c r="G1001" s="108"/>
      <c r="H1001" s="108"/>
      <c r="I1001" s="108"/>
      <c r="J1001" s="108"/>
      <c r="K1001" s="108"/>
      <c r="L1001" s="108"/>
      <c r="M1001" s="108"/>
      <c r="N1001" s="108"/>
      <c r="O1001" s="108"/>
      <c r="P1001" s="34"/>
      <c r="Q1001" s="34"/>
      <c r="R1001" s="34"/>
      <c r="S1001" s="34"/>
      <c r="T1001" s="108"/>
      <c r="U1001" s="108"/>
      <c r="V1001" s="108"/>
      <c r="W1001" s="108"/>
      <c r="X1001" s="108"/>
      <c r="Y1001" s="108"/>
      <c r="Z1001" s="10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56.63"/>
    <col customWidth="1" min="3" max="3" width="54.88"/>
    <col customWidth="1" min="4" max="11" width="22.13"/>
    <col customWidth="1" min="12" max="12" width="42.25"/>
    <col customWidth="1" min="13" max="13" width="22.13"/>
    <col customWidth="1" min="14" max="14" width="33.75"/>
    <col customWidth="1" min="15" max="15" width="30.13"/>
    <col customWidth="1" min="16" max="18" width="22.13"/>
  </cols>
  <sheetData>
    <row r="1" ht="15.0" customHeight="1">
      <c r="A1" s="178" t="s">
        <v>1002</v>
      </c>
      <c r="B1" s="179" t="s">
        <v>1003</v>
      </c>
      <c r="C1" s="179" t="s">
        <v>1004</v>
      </c>
      <c r="D1" s="179" t="s">
        <v>1005</v>
      </c>
      <c r="E1" s="179" t="s">
        <v>1006</v>
      </c>
      <c r="F1" s="179" t="s">
        <v>1007</v>
      </c>
      <c r="G1" s="179" t="s">
        <v>1008</v>
      </c>
      <c r="H1" s="179" t="s">
        <v>1009</v>
      </c>
      <c r="I1" s="179" t="s">
        <v>1010</v>
      </c>
      <c r="J1" s="180" t="s">
        <v>1011</v>
      </c>
      <c r="K1" s="181" t="s">
        <v>1012</v>
      </c>
      <c r="L1" s="180" t="s">
        <v>1013</v>
      </c>
      <c r="M1" s="180" t="s">
        <v>1014</v>
      </c>
      <c r="N1" s="182" t="s">
        <v>1015</v>
      </c>
      <c r="O1" s="182" t="s">
        <v>1016</v>
      </c>
      <c r="P1" s="183" t="s">
        <v>1017</v>
      </c>
      <c r="Q1" s="182" t="s">
        <v>1018</v>
      </c>
      <c r="R1" s="182" t="s">
        <v>1019</v>
      </c>
    </row>
    <row r="2" ht="25.5" hidden="1" customHeight="1">
      <c r="A2" s="184" t="s">
        <v>1020</v>
      </c>
      <c r="B2" s="185" t="s">
        <v>1021</v>
      </c>
      <c r="C2" s="185" t="s">
        <v>1022</v>
      </c>
      <c r="D2" s="185" t="s">
        <v>1023</v>
      </c>
      <c r="E2" s="185" t="s">
        <v>1024</v>
      </c>
      <c r="F2" s="185" t="s">
        <v>1025</v>
      </c>
      <c r="G2" s="185" t="s">
        <v>1026</v>
      </c>
      <c r="H2" s="185" t="s">
        <v>1027</v>
      </c>
      <c r="I2" s="185" t="s">
        <v>1028</v>
      </c>
      <c r="J2" s="185" t="s">
        <v>1029</v>
      </c>
      <c r="K2" s="185" t="s">
        <v>1030</v>
      </c>
      <c r="L2" s="185" t="s">
        <v>1031</v>
      </c>
      <c r="M2" s="185" t="s">
        <v>1032</v>
      </c>
      <c r="N2" s="185"/>
      <c r="O2" s="185"/>
      <c r="P2" s="186"/>
      <c r="Q2" s="185"/>
      <c r="R2" s="185"/>
    </row>
    <row r="3" ht="220.5" hidden="1" customHeight="1">
      <c r="A3" s="187" t="s">
        <v>1033</v>
      </c>
      <c r="B3" s="188" t="s">
        <v>1034</v>
      </c>
      <c r="C3" s="55" t="s">
        <v>1035</v>
      </c>
      <c r="D3" s="55" t="s">
        <v>1036</v>
      </c>
      <c r="E3" s="55" t="s">
        <v>1037</v>
      </c>
      <c r="F3" s="55" t="s">
        <v>1038</v>
      </c>
      <c r="G3" s="189" t="s">
        <v>1039</v>
      </c>
      <c r="H3" s="55" t="s">
        <v>1040</v>
      </c>
      <c r="I3" s="55" t="s">
        <v>1041</v>
      </c>
      <c r="J3" s="55" t="s">
        <v>1042</v>
      </c>
      <c r="K3" s="190" t="s">
        <v>1043</v>
      </c>
      <c r="L3" s="190" t="s">
        <v>1044</v>
      </c>
      <c r="M3" s="55" t="s">
        <v>1045</v>
      </c>
      <c r="N3" s="191"/>
      <c r="O3" s="191"/>
      <c r="P3" s="67"/>
      <c r="Q3" s="191"/>
      <c r="R3" s="191"/>
    </row>
    <row r="4" ht="220.5" hidden="1" customHeight="1">
      <c r="A4" s="192" t="s">
        <v>1046</v>
      </c>
      <c r="B4" s="188" t="s">
        <v>1047</v>
      </c>
      <c r="C4" s="55" t="s">
        <v>1048</v>
      </c>
      <c r="D4" s="55" t="s">
        <v>1049</v>
      </c>
      <c r="E4" s="55" t="s">
        <v>1050</v>
      </c>
      <c r="F4" s="55" t="s">
        <v>1051</v>
      </c>
      <c r="G4" s="189" t="s">
        <v>1052</v>
      </c>
      <c r="H4" s="55" t="s">
        <v>1053</v>
      </c>
      <c r="I4" s="55" t="s">
        <v>1054</v>
      </c>
      <c r="J4" s="55" t="s">
        <v>1055</v>
      </c>
      <c r="K4" s="190" t="s">
        <v>1056</v>
      </c>
      <c r="L4" s="190" t="s">
        <v>1057</v>
      </c>
      <c r="M4" s="55" t="s">
        <v>1058</v>
      </c>
      <c r="N4" s="191"/>
      <c r="O4" s="191"/>
      <c r="P4" s="67"/>
      <c r="Q4" s="191"/>
      <c r="R4" s="191"/>
    </row>
    <row r="5" ht="181.5" hidden="1" customHeight="1">
      <c r="A5" s="193" t="s">
        <v>1059</v>
      </c>
      <c r="B5" s="55" t="s">
        <v>1060</v>
      </c>
      <c r="C5" s="55" t="s">
        <v>1061</v>
      </c>
      <c r="D5" s="55" t="s">
        <v>1062</v>
      </c>
      <c r="E5" s="55" t="s">
        <v>1063</v>
      </c>
      <c r="F5" s="55" t="s">
        <v>1064</v>
      </c>
      <c r="G5" s="189" t="s">
        <v>1065</v>
      </c>
      <c r="H5" s="55" t="s">
        <v>1066</v>
      </c>
      <c r="I5" s="55" t="s">
        <v>1067</v>
      </c>
      <c r="J5" s="55" t="s">
        <v>1068</v>
      </c>
      <c r="K5" s="55" t="s">
        <v>1069</v>
      </c>
      <c r="L5" s="190" t="s">
        <v>1070</v>
      </c>
      <c r="M5" s="55" t="s">
        <v>1071</v>
      </c>
      <c r="N5" s="191"/>
      <c r="O5" s="191"/>
      <c r="P5" s="67"/>
      <c r="Q5" s="191"/>
      <c r="R5" s="191"/>
    </row>
    <row r="6" ht="288.75" hidden="1" customHeight="1">
      <c r="A6" s="194" t="s">
        <v>1072</v>
      </c>
      <c r="B6" s="55" t="s">
        <v>1073</v>
      </c>
      <c r="C6" s="55" t="s">
        <v>1074</v>
      </c>
      <c r="D6" s="55" t="s">
        <v>1075</v>
      </c>
      <c r="E6" s="55" t="s">
        <v>1076</v>
      </c>
      <c r="F6" s="55" t="s">
        <v>1077</v>
      </c>
      <c r="G6" s="189" t="s">
        <v>1078</v>
      </c>
      <c r="H6" s="55" t="s">
        <v>1079</v>
      </c>
      <c r="I6" s="55" t="s">
        <v>1080</v>
      </c>
      <c r="J6" s="55" t="s">
        <v>1081</v>
      </c>
      <c r="K6" s="55" t="s">
        <v>1082</v>
      </c>
      <c r="L6" s="190" t="s">
        <v>1083</v>
      </c>
      <c r="M6" s="55" t="s">
        <v>1084</v>
      </c>
      <c r="N6" s="191"/>
      <c r="O6" s="191"/>
      <c r="P6" s="67"/>
      <c r="Q6" s="191"/>
      <c r="R6" s="191"/>
    </row>
    <row r="7" hidden="1">
      <c r="N7" s="191"/>
      <c r="O7" s="191"/>
      <c r="P7" s="67"/>
      <c r="Q7" s="191"/>
      <c r="R7" s="191"/>
    </row>
    <row r="8" hidden="1">
      <c r="N8" s="191"/>
      <c r="O8" s="191"/>
      <c r="P8" s="67"/>
      <c r="Q8" s="191"/>
      <c r="R8" s="191"/>
    </row>
    <row r="9" ht="25.5" hidden="1" customHeight="1">
      <c r="A9" s="184" t="s">
        <v>1020</v>
      </c>
      <c r="B9" s="185" t="s">
        <v>1085</v>
      </c>
      <c r="C9" s="185" t="s">
        <v>1086</v>
      </c>
      <c r="D9" s="185" t="s">
        <v>1087</v>
      </c>
      <c r="E9" s="185" t="s">
        <v>1088</v>
      </c>
      <c r="F9" s="185" t="s">
        <v>1089</v>
      </c>
      <c r="G9" s="185" t="s">
        <v>1090</v>
      </c>
      <c r="H9" s="185" t="s">
        <v>1091</v>
      </c>
      <c r="I9" s="185" t="s">
        <v>1092</v>
      </c>
      <c r="J9" s="185" t="s">
        <v>1093</v>
      </c>
      <c r="K9" s="185" t="s">
        <v>1094</v>
      </c>
      <c r="L9" s="185" t="s">
        <v>1095</v>
      </c>
      <c r="M9" s="185" t="s">
        <v>1096</v>
      </c>
      <c r="N9" s="191" t="s">
        <v>1097</v>
      </c>
      <c r="O9" s="191" t="s">
        <v>1098</v>
      </c>
      <c r="P9" s="67" t="s">
        <v>1099</v>
      </c>
      <c r="Q9" s="89" t="s">
        <v>1100</v>
      </c>
      <c r="R9" s="89" t="s">
        <v>1101</v>
      </c>
    </row>
    <row r="10" ht="220.5" hidden="1" customHeight="1">
      <c r="A10" s="195" t="s">
        <v>1046</v>
      </c>
      <c r="B10" s="188" t="s">
        <v>1102</v>
      </c>
      <c r="C10" s="55" t="s">
        <v>1103</v>
      </c>
      <c r="D10" s="55" t="s">
        <v>1104</v>
      </c>
      <c r="E10" s="55" t="s">
        <v>1105</v>
      </c>
      <c r="F10" s="55" t="s">
        <v>1106</v>
      </c>
      <c r="G10" s="189" t="s">
        <v>1107</v>
      </c>
      <c r="H10" s="55" t="s">
        <v>1108</v>
      </c>
      <c r="I10" s="55" t="s">
        <v>1109</v>
      </c>
      <c r="J10" s="55" t="s">
        <v>1110</v>
      </c>
      <c r="K10" s="190" t="s">
        <v>1111</v>
      </c>
      <c r="L10" s="190" t="s">
        <v>1112</v>
      </c>
      <c r="M10" s="55" t="s">
        <v>1113</v>
      </c>
      <c r="N10" s="68" t="s">
        <v>1114</v>
      </c>
      <c r="O10" s="190" t="s">
        <v>1115</v>
      </c>
      <c r="P10" s="196" t="s">
        <v>1116</v>
      </c>
      <c r="Q10" s="68" t="s">
        <v>1117</v>
      </c>
      <c r="R10" s="68" t="s">
        <v>1118</v>
      </c>
    </row>
    <row r="11">
      <c r="A11" s="197" t="s">
        <v>1046</v>
      </c>
      <c r="B11" s="198"/>
      <c r="C11" s="198"/>
      <c r="D11" s="198"/>
      <c r="E11" s="198"/>
      <c r="F11" s="198"/>
      <c r="G11" s="198"/>
      <c r="H11" s="198"/>
      <c r="I11" s="198"/>
      <c r="J11" s="198"/>
      <c r="K11" s="198"/>
      <c r="L11" s="198"/>
      <c r="M11" s="198"/>
      <c r="N11" s="191"/>
      <c r="O11" s="191"/>
      <c r="P11" s="67"/>
      <c r="Q11" s="191"/>
      <c r="R11" s="191"/>
    </row>
    <row r="12">
      <c r="A12" s="14" t="s">
        <v>1119</v>
      </c>
      <c r="B12" s="14" t="s">
        <v>1120</v>
      </c>
      <c r="N12" s="191"/>
      <c r="O12" s="191"/>
      <c r="P12" s="67"/>
      <c r="Q12" s="191"/>
      <c r="R12" s="191"/>
    </row>
    <row r="13">
      <c r="A13" s="14" t="s">
        <v>1121</v>
      </c>
      <c r="B13" s="199" t="s">
        <v>1122</v>
      </c>
      <c r="N13" s="191"/>
      <c r="O13" s="191"/>
      <c r="P13" s="67"/>
      <c r="Q13" s="191"/>
      <c r="R13" s="191"/>
    </row>
    <row r="14">
      <c r="A14" s="14" t="s">
        <v>1123</v>
      </c>
      <c r="B14" s="199" t="s">
        <v>1124</v>
      </c>
      <c r="N14" s="191"/>
      <c r="O14" s="191"/>
      <c r="P14" s="67"/>
      <c r="Q14" s="191"/>
      <c r="R14" s="191"/>
    </row>
    <row r="15">
      <c r="A15" s="14" t="s">
        <v>1125</v>
      </c>
      <c r="B15" s="199" t="s">
        <v>1126</v>
      </c>
      <c r="N15" s="191"/>
      <c r="O15" s="191"/>
      <c r="P15" s="67"/>
      <c r="Q15" s="191"/>
      <c r="R15" s="191"/>
    </row>
    <row r="16">
      <c r="A16" s="14" t="s">
        <v>1127</v>
      </c>
      <c r="B16" s="199" t="s">
        <v>1128</v>
      </c>
      <c r="N16" s="191"/>
      <c r="O16" s="191"/>
      <c r="P16" s="67"/>
      <c r="Q16" s="191"/>
      <c r="R16" s="191"/>
    </row>
    <row r="17">
      <c r="A17" s="14" t="s">
        <v>1129</v>
      </c>
      <c r="B17" s="199" t="s">
        <v>1130</v>
      </c>
      <c r="N17" s="191"/>
      <c r="O17" s="191"/>
      <c r="P17" s="67"/>
      <c r="Q17" s="191"/>
      <c r="R17" s="191"/>
    </row>
    <row r="18">
      <c r="A18" s="14" t="s">
        <v>1131</v>
      </c>
      <c r="B18" s="199" t="s">
        <v>1132</v>
      </c>
      <c r="N18" s="191"/>
      <c r="O18" s="191"/>
      <c r="P18" s="67"/>
      <c r="Q18" s="191"/>
      <c r="R18" s="191"/>
    </row>
    <row r="19">
      <c r="N19" s="191"/>
      <c r="O19" s="191"/>
      <c r="P19" s="67"/>
      <c r="Q19" s="191"/>
      <c r="R19" s="191"/>
    </row>
    <row r="20" hidden="1">
      <c r="A20" s="105" t="s">
        <v>1133</v>
      </c>
      <c r="B20" s="191" t="str">
        <f t="shared" ref="B20:R20" si="1">SUBSTITUTE(B10,"aaa",$B$12)</f>
        <v>亲爱的指挥官：
为了给大家带来更好的游戏体验，我们预计在&lt;color=#ffa200&gt;UTC时间bbb年ccc月ddd日eee:fff&lt;/color&gt;进行0.85.0版本更新。届时服务器将进行&lt;color=#ffa200&gt;ggg分钟&lt;/color&gt;维护，维护结束后猴子们可以选择适当的网络环境更新版本。
【更新时间】&lt;color=#ffa200&gt;bbb年ccc月ddd日UTCeee:fff&lt;/color&gt;，届时您将无法进入游戏。
【预计维护时长】&lt;color=#ffa200&gt;ggg分钟&lt;/color&gt;
【0.85.0更新内容】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0" s="191" t="str">
        <f t="shared" si="1"/>
        <v>Dear Captain,
In order to bring you a better gaming experience, we plan to release the version 0.85.0 update on &lt;color=#ffa200&gt;bbb-ccc-ddd at eee:fff UTC&lt;/color&gt;. At that time, we will conduct server maintenance lasting approximately &lt;color=#ffa200&gt;ggg minutes&lt;/color&gt;. You may update the game once server maintenance is complete. 
[Update Time]
eee:fff UTC, bbb-ccc-ddd; you will not be able to access the game during this time.
[Estimated Maintenance Duration]
&lt;color=#ffa200&gt;ggg minutes&lt;/color&gt;
[0.85.0 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0" s="191" t="str">
        <f t="shared" si="1"/>
        <v>Cher capitaine,
Afin d’améliorer votre expérience de jeu, nous prévoyons le lancement de la mise à jour 0.85.0 le &lt;color=#ffa200&gt; eee:fff UTC, ddd-ccc-bbb &lt;/color&gt;. Nous procéderons alors à une maintenance des serveurs qui durera environ &lt;color=#ffa200&gt;ggg minutes&lt;/color&gt;. Une fois les opérations terminées, vous pourrez mettre votre jeu à jour. 
[Horaire de mise à jour]
 eee:fff UTC, ddd-ccc-bbb(TU). Pendant le déploiement, vous ne pourrez plus accéder au jeu.
[Durée estimée de la maintenance]
&lt;color=#ffa200&gt;ggg minutes&lt;/color&gt;
[Détails de la mise à jour 0.85.0]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0" s="191" t="str">
        <f t="shared" si="1"/>
        <v>Lieber Captain,
 Um dir ein besseres Spielerlebnis zu bieten, werden wir am &lt;color=#ffa200&gt;ddd.ccc.bbb um eee:fff UTC&lt;/color&gt; das Update auf Version 0.85.0 durchzuführen. Wir werden zu diesem Zeitpunkt eine Serverwartung durchführen, die etwa &lt;color=#ffa200&gt;ggg Minuten&lt;/color&gt; dauern wird. Du kannst das Spiel aktualisieren, sobald die Serverwartung abgeschlossen ist. 
 [Update-Zeit]
 ddd.ccc.bbb, eee:fff UTC; du wirst während dieser Zeit nicht auf das Spiel zugreifen können. 
 [Geschätzte Wartungsdauer]
 &lt;color=#ffa200&gt;ggg Minuten&lt;/color&gt;
 [0.85.0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0" s="191" t="str">
        <f t="shared" si="1"/>
        <v>Caro Capitão,
 Para melhorar a experiência de jogo, planejamos lançar a atualização 0.85.0 em &lt;color=#ffa200&gt;ddd/ccc/bbb às eee:fff (fuso UTC)&lt;/color&gt;. No momento, estamos fazendo a manutenção do jogo, que durará cerca de &lt;color=#ffa200&gt;ggg minutos&lt;/color&gt;. Você poderá atualizar o jogo assim que a manutenção do servidor for concluída.
 [Horário da atualização]
 ddd/ccc/bbb, às eee:fff (fuso UTC). Não será possível acessar o jogo durante este período. 
 [Tempo de manutenção estimado]
 &lt;color=#ffa200&gt;ggg minutos&lt;/color&gt;
 [Detalhes da atualização 0.85.0]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0" s="191" t="str">
        <f t="shared" si="1"/>
        <v>親愛的指揮官：
為了給大家帶來更好的遊戲體驗，我們預計在&lt;color=#ffa200&gt;UTC時間bbb年ccc月ddd日eee:fff&lt;/color&gt;進行0.85.0版本更新。屆時服務器將進行&lt;color=#ffa200&gt;ggg分鐘&lt;/color&gt;維護，維護結束後猴子們可以選擇適當的網絡環境更新版本。
【更新時間】&lt;color=#ffa200&gt;bbb年ccc月ddd日UTCeee:fff&lt;/color&gt;，屆時您將無法進入遊戲。
【預計維護時長】&lt;color=#ffa200&gt;ggg分鐘&lt;/color&gt;
【0.85.0更新內容】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0" s="191" t="str">
        <f t="shared" si="1"/>
        <v>Kapten yang terhormat,
 Untuk memberikanmu pengalaman bermain yang lebih baik, kami berencana untuk merilis pembaruan versi 0.85.0 pada &lt;color=#ffa200&gt;bbb-ccc-ddd pukul eee:fff UTC&lt;/color&gt;. Pada saat itu, kami akan melakukan pemeliharaan server yang berlangsung kira-kira &lt;color=#ffa200&gt;ggg menit&lt;/color&gt;. Kamu bisa memperbarui game setelah pemeliharaan server selesai. 
 [Waktu Pembaruan]
 eee:fff UTC, bbb-ccc-ddd; kamu tidak akan bisa mengakses game selama waktu tersebut. 
 [Perkiraan Durasi Pemeliharaan]
 &lt;color=#ffa200&gt;ggg menit&lt;/color&gt;
 [0.85.0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0" s="191" t="str">
        <f t="shared" si="1"/>
        <v>ถึงท่านผู้บัญชาการ
 เพื่อให้นายได้รับประสบการณ์การเล่นเกมที่ดีขึ้น เราวางแผนที่จะปล่อยอัปเดตเวอร์ชัน 0.85.0 ในวันที่ &lt;color=#ffa200&gt;bbb-ccc-ddd ในเวลา eee:fff ตามเวลา UTC&lt;/color&gt; ซึ่งในเวลาดังกล่าว เราจะทำการบำรุงรักษาเซิร์ฟเวอร์เป็นเวลาประมาณ &lt;color=#ffa200&gt;ggg นาที&lt;/color&gt; นายจะสามารถอัปเดตเกมได้เมื่อเราทำการบำรุงรักษาเซิร์ฟเวอร์เสร็จสิ้นแล้ว
 [เวลาอัปเดต]
 eee:fff UTC bbb-ccc-ddd; นายจะไม่สามารถเข้าเล่นเกมได้ในช่วงเวลานี้ 
 [ระยะเวลาการบำรุงรักษาโดยประมาณ]
 &lt;color=#ffa200&gt;ggg นาที&lt;/color&gt;
 [0.85.0 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0" s="191" t="str">
        <f t="shared" si="1"/>
        <v>Querido Capitán,
 Para poder brindarte una mejor experiencia de juego, planeamos liberar una actualización a la versión 0.85.0 el &lt;color=#ffa200&gt;ddd-ccc-bbb a las eee:fff UTC&lt;/color&gt;. En ese momento, realizaremos un mantenimiento de servidor que tendrá una duración aproximada de &lt;color=#ffa200&gt;ggg minutos&lt;/color&gt;. Podrás actualizar el juego una vez que el mantenimiento del servidor esté completo.
 [Hora de la Actualización]
 eee:fff UTC, ddd-ccc-bbb; no podrás acceder al juego durante esta hora. 
 [Duración Estimada del Mantenimiento]
 &lt;color=#ffa200&gt;ggg minutos&lt;/color&gt;
 [Detalles de la actualización 0.85.0]
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0" s="191" t="str">
        <f t="shared" si="1"/>
        <v>Уважаемый капитан!
Для того чтобы подарить вам наилучшие впечатления от игры, мы планируем выпустить обновление версии 0.85.0 &lt;color=#ffa200&gt;ddd.ccc.bbb в eee:fff UTC&lt;/color&gt;. Мы проведем техническое обслуживание сервера, которое продлится примерно &lt;color=#ffa200&gt;ggg минут&lt;/color&gt;. Вы сможете обновить игру, когда обслуживание закончится.
[Время обновления]
ddd.ccc.bbb, eee:fff UTC. Во время обновления вы не сможете получить доступ к игре. 
[Ожидаемая длительность обслуживания]
&lt;color=#ffa200&gt;ggg минут&lt;/color&gt;
[Детали обновления 0.85.0]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0" s="191" t="str">
        <f t="shared" si="1"/>
        <v>Sevgili Kaptan,
 Sana daha iyi bir oyun deneyimi sunmak adına sürüm 0.85.0 güncellemesini &lt;color=#ffa200&gt;ddd.ccc.bbb saat eee.fff’da (UTC)&lt;/color&gt; yayımlamayı planlıyoruz. O esnada yaklaşık &lt;color=#ffa200&gt;ggg dakika&lt;/color&gt; sürecek bir sunucu bakımı gerçekleştireceğiz. Sunucu bakımı tamamlanınca oyunu güncelleyebilirsin.
 [Güncelleme Zamanı]
 eee.fff (UTC), ddd.ccc.bbb; bu sırada oyuna erişim sağlayamayacaksın. 
 [Tahmini Bakım Süresi]
 &lt;color=#ffa200&gt;ggg dakika&lt;/color&gt;
 [0.85.0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0" s="191" t="str">
        <f t="shared" si="1"/>
        <v>Thưa Thủ Lĩnh,
 Để đem lại cho bạn trải nghiệm chơi game tốt hơn, chúng tôi dự định sẽ phát hành bản cập nhật 0.85.0 vào lúc &lt;color=#ffa200&gt;eee:fff UTC ngày ddd/ccc/bbb&lt;/color&gt;. Cùng lúc đó, chúng tôi cũng sẽ thực hiện bảo trì máy chủ kéo dài khoảng &lt;color=#ffa200&gt;ggg phút&lt;/color&gt;. Bạn có thể cập nhật lại game khi quá trình bảo trì máy chủ được hoàn tất.
 [Thời gian cập nhật]
 eee:fff UTC, ngày ddd/ccc/bbb; bạn sẽ không thể truy cập vào game trong khoảng thời gian này. 
 [Thời lượng bảo trì ước tính]
 &lt;color=#ffa200&gt;ggg phút&lt;/color&gt;
 [Thông tin bản cập nhật 0.85.0]
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0" s="191" t="str">
        <f t="shared" si="1"/>
        <v>Caro Capitano,
Per offrirti un'esperienza di gioco migliore, abbiamo pianificato di rilasciare l'aggiornamento alla versione 0.85.0 il &lt;color=#ffa200&gt;bbb-ccc-ddd alle eee:fff UTC&lt;/color&gt;. In quel momento, effettueremo una manutenzione del server della durata approssimativa di &lt;color=#ffa200&gt;ggg minuti&lt;/color&gt;. Potrai aggiornare il gioco una volta completata la manutenzione del server.
[Orario di aggiornamento]
eee:fff UTC, bbb-ccc-ddd; durante questo periodo non potrai accedere al gioco.
[Durata stimata della manutenzione]
&lt;color=#ffa200&gt;ggg minuti&lt;/color&gt;
[Dettagli dell'aggiornamento 0.85.0]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0" s="191" t="str">
        <f t="shared" si="1"/>
        <v>Szanowny Kapitanie,
Aby zapewnić ci lepsze wrażenia z gry, planujemy wydać aktualizację wersji 0.85.0 dnia bbb-ccc-ddd o godzinie eee:fff UTC. W tym czasie przeprowadzimy konserwację serwera trwającą około ggg minut. Po zakończeniu konserwacji serwera możesz zaktualizować grę.
[Czas aktualizacji]
eee:fff UTC, bbb-ccc-ddd; w tym czasie nie będziesz mógł uzyskać dostępu do gry.
[Przewidywany czas trwania konserwacji]
&lt;color=#ffa200&gt;ggg minut&lt;/color&gt;
[Szczegóły aktualizacji 0.85.0]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0" s="67" t="str">
        <f t="shared" si="1"/>
        <v>عزيزي الزعيم،\nمن أجل تقديم تجربة لعب أفضل، نخطط لإصدار تحديث إصدار 0.85.0 في &lt;color=#ffa200&gt;bbb-ccc-ddd في الساعة eee:fff UTC&lt;/color&gt;. في ذلك الوقت، سنقوم بإجراء صيانة للخادم تستغرق حوالي &lt;color=#ffa200&gt;ggg دقائق&lt;/color&gt;.   يرجى تنزيل إصدار اللعبة الجديد وتسجيل الدخول إلى اللعبة للحصول على المكافأة في بريدك.\n[وقت التحديث]\neee:fff UTC، bbb-ccc-ddd؛ لن تتمكن من الوصول إلى اللعبة خلال هذا الوقت.\n[المدة المتوقعة للصيانة]\n&lt;color=#ffa200&gt;ggg دقائق&lt;/color&gt;\n[تفاصيل تحديث 0.85.0]\nhhh\nيرجى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0" s="67" t="str">
        <f t="shared" si="1"/>
        <v>尊敬する指揮官どの、
より良いゲーム体験を提供するために、&lt;color=#ffa200&gt;bbb-ccc-dddのeee:fff UTC&lt;/color&gt;にバージョン0.85.0更新をリリースする予定です。その時点で、約&lt;color=#ffa200&gt;ggg分間&lt;/color&gt;のサーバーメンテナンスを実施します。サーバーメンテナンスが完了次第、ゲームのアップデートが可能になります。
[アップデート時間]
eee:fff UTC, bbb-ccc-ddd; この時間帯はゲームにアクセスできません。
[予想メンテナンス時間]
&lt;color=#ffa200&gt;ggg分間&lt;/color&gt;
[0.85.0更新の詳細]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0" s="67" t="str">
        <f t="shared" si="1"/>
        <v>친애하는 대장님,
더 나은 게임 경험을 제공하기 위해, 우리는 &lt;color=#ffa200&gt;bbb-ccc-ddd eee:fff UTC&lt;/color&gt;에 버전 0.85.0 업데이트를 출시할 계획입니다. 그 시간에 우리는 약 &lt;color=#ffa200&gt;ggg분&lt;/color&gt; 동안 서버 유지보수를 진행할 것입니다. 서버 유지보수가 완료되면 게임을 업데이트할 수 있습니다.
[업데이트 시간]
eee:fff UTC, bbb-ccc-ddd; 이 시간 동안 게임에 접속할 수 없습니다.
[예상 유지보수 기간]
&lt;color=#ffa200&gt;ggg분&lt;/color&gt;
[0.85.0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1" hidden="1">
      <c r="A21" s="14" t="s">
        <v>1134</v>
      </c>
      <c r="B21" s="191" t="str">
        <f t="shared" ref="B21:R21" si="2">SUBSTITUTE(B20,"bbb",$B$13)</f>
        <v>亲爱的指挥官：
为了给大家带来更好的游戏体验，我们预计在&lt;color=#ffa200&gt;UTC时间2026年ccc月ddd日eee:fff&lt;/color&gt;进行0.85.0版本更新。届时服务器将进行&lt;color=#ffa200&gt;ggg分钟&lt;/color&gt;维护，维护结束后猴子们可以选择适当的网络环境更新版本。
【更新时间】&lt;color=#ffa200&gt;2026年ccc月ddd日UTCeee:fff&lt;/color&gt;，届时您将无法进入游戏。
【预计维护时长】&lt;color=#ffa200&gt;ggg分钟&lt;/color&gt;
【0.85.0更新内容】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1" s="191" t="str">
        <f t="shared" si="2"/>
        <v>Dear Captain,
In order to bring you a better gaming experience, we plan to release the version 0.85.0 update on &lt;color=#ffa200&gt;2026-ccc-ddd at eee:fff UTC&lt;/color&gt;. At that time, we will conduct server maintenance lasting approximately &lt;color=#ffa200&gt;ggg minutes&lt;/color&gt;. You may update the game once server maintenance is complete. 
[Update Time]
eee:fff UTC, 2026-ccc-ddd; you will not be able to access the game during this time.
[Estimated Maintenance Duration]
&lt;color=#ffa200&gt;ggg minutes&lt;/color&gt;
[0.85.0 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1" s="191" t="str">
        <f t="shared" si="2"/>
        <v>Cher capitaine,
Afin d’améliorer votre expérience de jeu, nous prévoyons le lancement de la mise à jour 0.85.0 le &lt;color=#ffa200&gt; eee:fff UTC, ddd-ccc-2026 &lt;/color&gt;. Nous procéderons alors à une maintenance des serveurs qui durera environ &lt;color=#ffa200&gt;ggg minutes&lt;/color&gt;. Une fois les opérations terminées, vous pourrez mettre votre jeu à jour. 
[Horaire de mise à jour]
 eee:fff UTC, ddd-ccc-2026(TU). Pendant le déploiement, vous ne pourrez plus accéder au jeu.
[Durée estimée de la maintenance]
&lt;color=#ffa200&gt;ggg minutes&lt;/color&gt;
[Détails de la mise à jour 0.85.0]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1" s="191" t="str">
        <f t="shared" si="2"/>
        <v>Lieber Captain,
 Um dir ein besseres Spielerlebnis zu bieten, werden wir am &lt;color=#ffa200&gt;ddd.ccc.2026 um eee:fff UTC&lt;/color&gt; das Update auf Version 0.85.0 durchzuführen. Wir werden zu diesem Zeitpunkt eine Serverwartung durchführen, die etwa &lt;color=#ffa200&gt;ggg Minuten&lt;/color&gt; dauern wird. Du kannst das Spiel aktualisieren, sobald die Serverwartung abgeschlossen ist. 
 [Update-Zeit]
 ddd.ccc.2026, eee:fff UTC; du wirst während dieser Zeit nicht auf das Spiel zugreifen können. 
 [Geschätzte Wartungsdauer]
 &lt;color=#ffa200&gt;ggg Minuten&lt;/color&gt;
 [0.85.0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1" s="191" t="str">
        <f t="shared" si="2"/>
        <v>Caro Capitão,
 Para melhorar a experiência de jogo, planejamos lançar a atualização 0.85.0 em &lt;color=#ffa200&gt;ddd/ccc/2026 às eee:fff (fuso UTC)&lt;/color&gt;. No momento, estamos fazendo a manutenção do jogo, que durará cerca de &lt;color=#ffa200&gt;ggg minutos&lt;/color&gt;. Você poderá atualizar o jogo assim que a manutenção do servidor for concluída.
 [Horário da atualização]
 ddd/ccc/2026, às eee:fff (fuso UTC). Não será possível acessar o jogo durante este período. 
 [Tempo de manutenção estimado]
 &lt;color=#ffa200&gt;ggg minutos&lt;/color&gt;
 [Detalhes da atualização 0.85.0]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1" s="191" t="str">
        <f t="shared" si="2"/>
        <v>親愛的指揮官：
為了給大家帶來更好的遊戲體驗，我們預計在&lt;color=#ffa200&gt;UTC時間2026年ccc月ddd日eee:fff&lt;/color&gt;進行0.85.0版本更新。屆時服務器將進行&lt;color=#ffa200&gt;ggg分鐘&lt;/color&gt;維護，維護結束後猴子們可以選擇適當的網絡環境更新版本。
【更新時間】&lt;color=#ffa200&gt;2026年ccc月ddd日UTCeee:fff&lt;/color&gt;，屆時您將無法進入遊戲。
【預計維護時長】&lt;color=#ffa200&gt;ggg分鐘&lt;/color&gt;
【0.85.0更新內容】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1" s="191" t="str">
        <f t="shared" si="2"/>
        <v>Kapten yang terhormat,
 Untuk memberikanmu pengalaman bermain yang lebih baik, kami berencana untuk merilis pembaruan versi 0.85.0 pada &lt;color=#ffa200&gt;2026-ccc-ddd pukul eee:fff UTC&lt;/color&gt;. Pada saat itu, kami akan melakukan pemeliharaan server yang berlangsung kira-kira &lt;color=#ffa200&gt;ggg menit&lt;/color&gt;. Kamu bisa memperbarui game setelah pemeliharaan server selesai. 
 [Waktu Pembaruan]
 eee:fff UTC, 2026-ccc-ddd; kamu tidak akan bisa mengakses game selama waktu tersebut. 
 [Perkiraan Durasi Pemeliharaan]
 &lt;color=#ffa200&gt;ggg menit&lt;/color&gt;
 [0.85.0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1" s="191" t="str">
        <f t="shared" si="2"/>
        <v>ถึงท่านผู้บัญชาการ
 เพื่อให้นายได้รับประสบการณ์การเล่นเกมที่ดีขึ้น เราวางแผนที่จะปล่อยอัปเดตเวอร์ชัน 0.85.0 ในวันที่ &lt;color=#ffa200&gt;2026-ccc-ddd ในเวลา eee:fff ตามเวลา UTC&lt;/color&gt; ซึ่งในเวลาดังกล่าว เราจะทำการบำรุงรักษาเซิร์ฟเวอร์เป็นเวลาประมาณ &lt;color=#ffa200&gt;ggg นาที&lt;/color&gt; นายจะสามารถอัปเดตเกมได้เมื่อเราทำการบำรุงรักษาเซิร์ฟเวอร์เสร็จสิ้นแล้ว
 [เวลาอัปเดต]
 eee:fff UTC 2026-ccc-ddd; นายจะไม่สามารถเข้าเล่นเกมได้ในช่วงเวลานี้ 
 [ระยะเวลาการบำรุงรักษาโดยประมาณ]
 &lt;color=#ffa200&gt;ggg นาที&lt;/color&gt;
 [0.85.0 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1" s="191" t="str">
        <f t="shared" si="2"/>
        <v>Querido Capitán,
 Para poder brindarte una mejor experiencia de juego, planeamos liberar una actualización a la versión 0.85.0 el &lt;color=#ffa200&gt;ddd-ccc-2026 a las eee:fff UTC&lt;/color&gt;. En ese momento, realizaremos un mantenimiento de servidor que tendrá una duración aproximada de &lt;color=#ffa200&gt;ggg minutos&lt;/color&gt;. Podrás actualizar el juego una vez que el mantenimiento del servidor esté completo.
 [Hora de la Actualización]
 eee:fff UTC, ddd-ccc-2026; no podrás acceder al juego durante esta hora. 
 [Duración Estimada del Mantenimiento]
 &lt;color=#ffa200&gt;ggg minutos&lt;/color&gt;
 [Detalles de la actualización 0.85.0]
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1" s="191" t="str">
        <f t="shared" si="2"/>
        <v>Уважаемый капитан!
Для того чтобы подарить вам наилучшие впечатления от игры, мы планируем выпустить обновление версии 0.85.0 &lt;color=#ffa200&gt;ddd.ccc.2026 в eee:fff UTC&lt;/color&gt;. Мы проведем техническое обслуживание сервера, которое продлится примерно &lt;color=#ffa200&gt;ggg минут&lt;/color&gt;. Вы сможете обновить игру, когда обслуживание закончится.
[Время обновления]
ddd.ccc.2026, eee:fff UTC. Во время обновления вы не сможете получить доступ к игре. 
[Ожидаемая длительность обслуживания]
&lt;color=#ffa200&gt;ggg минут&lt;/color&gt;
[Детали обновления 0.85.0]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1" s="191" t="str">
        <f t="shared" si="2"/>
        <v>Sevgili Kaptan,
 Sana daha iyi bir oyun deneyimi sunmak adına sürüm 0.85.0 güncellemesini &lt;color=#ffa200&gt;ddd.ccc.2026 saat eee.fff’da (UTC)&lt;/color&gt; yayımlamayı planlıyoruz. O esnada yaklaşık &lt;color=#ffa200&gt;ggg dakika&lt;/color&gt; sürecek bir sunucu bakımı gerçekleştireceğiz. Sunucu bakımı tamamlanınca oyunu güncelleyebilirsin.
 [Güncelleme Zamanı]
 eee.fff (UTC), ddd.ccc.2026; bu sırada oyuna erişim sağlayamayacaksın. 
 [Tahmini Bakım Süresi]
 &lt;color=#ffa200&gt;ggg dakika&lt;/color&gt;
 [0.85.0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1" s="191" t="str">
        <f t="shared" si="2"/>
        <v>Thưa Thủ Lĩnh,
 Để đem lại cho bạn trải nghiệm chơi game tốt hơn, chúng tôi dự định sẽ phát hành bản cập nhật 0.85.0 vào lúc &lt;color=#ffa200&gt;eee:fff UTC ngày ddd/ccc/2026&lt;/color&gt;. Cùng lúc đó, chúng tôi cũng sẽ thực hiện bảo trì máy chủ kéo dài khoảng &lt;color=#ffa200&gt;ggg phút&lt;/color&gt;. Bạn có thể cập nhật lại game khi quá trình bảo trì máy chủ được hoàn tất.
 [Thời gian cập nhật]
 eee:fff UTC, ngày ddd/ccc/2026; bạn sẽ không thể truy cập vào game trong khoảng thời gian này. 
 [Thời lượng bảo trì ước tính]
 &lt;color=#ffa200&gt;ggg phút&lt;/color&gt;
 [Thông tin bản cập nhật 0.85.0]
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1" s="191" t="str">
        <f t="shared" si="2"/>
        <v>Caro Capitano,
Per offrirti un'esperienza di gioco migliore, abbiamo pianificato di rilasciare l'aggiornamento alla versione 0.85.0 il &lt;color=#ffa200&gt;2026-ccc-ddd alle eee:fff UTC&lt;/color&gt;. In quel momento, effettueremo una manutenzione del server della durata approssimativa di &lt;color=#ffa200&gt;ggg minuti&lt;/color&gt;. Potrai aggiornare il gioco una volta completata la manutenzione del server.
[Orario di aggiornamento]
eee:fff UTC, 2026-ccc-ddd; durante questo periodo non potrai accedere al gioco.
[Durata stimata della manutenzione]
&lt;color=#ffa200&gt;ggg minuti&lt;/color&gt;
[Dettagli dell'aggiornamento 0.85.0]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1" s="191" t="str">
        <f t="shared" si="2"/>
        <v>Szanowny Kapitanie,
Aby zapewnić ci lepsze wrażenia z gry, planujemy wydać aktualizację wersji 0.85.0 dnia 2026-ccc-ddd o godzinie eee:fff UTC. W tym czasie przeprowadzimy konserwację serwera trwającą około ggg minut. Po zakończeniu konserwacji serwera możesz zaktualizować grę.
[Czas aktualizacji]
eee:fff UTC, 2026-ccc-ddd; w tym czasie nie będziesz mógł uzyskać dostępu do gry.
[Przewidywany czas trwania konserwacji]
&lt;color=#ffa200&gt;ggg minut&lt;/color&gt;
[Szczegóły aktualizacji 0.85.0]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1" s="67" t="str">
        <f t="shared" si="2"/>
        <v>عزيزي الزعيم،\nمن أجل تقديم تجربة لعب أفضل، نخطط لإصدار تحديث إصدار 0.85.0 في &lt;color=#ffa200&gt;2026-ccc-ddd في الساعة eee:fff UTC&lt;/color&gt;. في ذلك الوقت، سنقوم بإجراء صيانة للخادم تستغرق حوالي &lt;color=#ffa200&gt;ggg دقائق&lt;/color&gt;.   يرجى تنزيل إصدار اللعبة الجديد وتسجيل الدخول إلى اللعبة للحصول على المكافأة في بريدك.\n[وقت التحديث]\neee:fff UTC، 2026-ccc-ddd؛ لن تتمكن من الوصول إلى اللعبة خلال هذا الوقت.\n[المدة المتوقعة للصيانة]\n&lt;color=#ffa200&gt;ggg دقائق&lt;/color&gt;\n[تفاصيل تحديث 0.85.0]\nhhh\nيرجى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1" s="67" t="str">
        <f t="shared" si="2"/>
        <v>尊敬する指揮官どの、
より良いゲーム体験を提供するために、&lt;color=#ffa200&gt;2026-ccc-dddのeee:fff UTC&lt;/color&gt;にバージョン0.85.0更新をリリースする予定です。その時点で、約&lt;color=#ffa200&gt;ggg分間&lt;/color&gt;のサーバーメンテナンスを実施します。サーバーメンテナンスが完了次第、ゲームのアップデートが可能になります。
[アップデート時間]
eee:fff UTC, 2026-ccc-ddd; この時間帯はゲームにアクセスできません。
[予想メンテナンス時間]
&lt;color=#ffa200&gt;ggg分間&lt;/color&gt;
[0.85.0更新の詳細]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1" s="67" t="str">
        <f t="shared" si="2"/>
        <v>친애하는 대장님,
더 나은 게임 경험을 제공하기 위해, 우리는 &lt;color=#ffa200&gt;2026-ccc-ddd eee:fff UTC&lt;/color&gt;에 버전 0.85.0 업데이트를 출시할 계획입니다. 그 시간에 우리는 약 &lt;color=#ffa200&gt;ggg분&lt;/color&gt; 동안 서버 유지보수를 진행할 것입니다. 서버 유지보수가 완료되면 게임을 업데이트할 수 있습니다.
[업데이트 시간]
eee:fff UTC, 2026-ccc-ddd; 이 시간 동안 게임에 접속할 수 없습니다.
[예상 유지보수 기간]
&lt;color=#ffa200&gt;ggg분&lt;/color&gt;
[0.85.0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2" hidden="1">
      <c r="A22" s="14" t="s">
        <v>1135</v>
      </c>
      <c r="B22" s="191" t="str">
        <f t="shared" ref="B22:R22" si="3">SUBSTITUTE(B21,"ccc",$B$14)</f>
        <v>亲爱的指挥官：
为了给大家带来更好的游戏体验，我们预计在&lt;color=#ffa200&gt;UTC时间2026年02月ddd日eee:fff&lt;/color&gt;进行0.85.0版本更新。届时服务器将进行&lt;color=#ffa200&gt;ggg分钟&lt;/color&gt;维护，维护结束后猴子们可以选择适当的网络环境更新版本。
【更新时间】&lt;color=#ffa200&gt;2026年02月ddd日UTCeee:fff&lt;/color&gt;，届时您将无法进入游戏。
【预计维护时长】&lt;color=#ffa200&gt;ggg分钟&lt;/color&gt;
【0.85.0更新内容】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2" s="191" t="str">
        <f t="shared" si="3"/>
        <v>Dear Captain,
In order to bring you a better gaming experience, we plan to release the version 0.85.0 update on &lt;color=#ffa200&gt;2026-02-ddd at eee:fff UTC&lt;/color&gt;. At that time, we will conduct server maintenance lasting approximately &lt;color=#ffa200&gt;ggg minutes&lt;/color&gt;. You may update the game once server maintenance is complete. 
[Update Time]
eee:fff UTC, 2026-02-ddd; you will not be able to access the game during this time.
[Estimated Maintenance Duration]
&lt;color=#ffa200&gt;ggg minutes&lt;/color&gt;
[0.85.0 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2" s="191" t="str">
        <f t="shared" si="3"/>
        <v>Cher capitaine,
Afin d’améliorer votre expérience de jeu, nous prévoyons le lancement de la mise à jour 0.85.0 le &lt;color=#ffa200&gt; eee:fff UTC, ddd-02-2026 &lt;/color&gt;. Nous procéderons alors à une maintenance des serveurs qui durera environ &lt;color=#ffa200&gt;ggg minutes&lt;/color&gt;. Une fois les opérations terminées, vous pourrez mettre votre jeu à jour. 
[Horaire de mise à jour]
 eee:fff UTC, ddd-02-2026(TU). Pendant le déploiement, vous ne pourrez plus accéder au jeu.
[Durée estimée de la maintenance]
&lt;color=#ffa200&gt;ggg minutes&lt;/color&gt;
[Détails de la mise à jour 0.85.0]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2" s="191" t="str">
        <f t="shared" si="3"/>
        <v>Lieber Captain,
 Um dir ein besseres Spielerlebnis zu bieten, werden wir am &lt;color=#ffa200&gt;ddd.02.2026 um eee:fff UTC&lt;/color&gt; das Update auf Version 0.85.0 durchzuführen. Wir werden zu diesem Zeitpunkt eine Serverwartung durchführen, die etwa &lt;color=#ffa200&gt;ggg Minuten&lt;/color&gt; dauern wird. Du kannst das Spiel aktualisieren, sobald die Serverwartung abgeschlossen ist. 
 [Update-Zeit]
 ddd.02.2026, eee:fff UTC; du wirst während dieser Zeit nicht auf das Spiel zugreifen können. 
 [Geschätzte Wartungsdauer]
 &lt;color=#ffa200&gt;ggg Minuten&lt;/color&gt;
 [0.85.0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2" s="191" t="str">
        <f t="shared" si="3"/>
        <v>Caro Capitão,
 Para melhorar a experiência de jogo, planejamos lançar a atualização 0.85.0 em &lt;color=#ffa200&gt;ddd/02/2026 às eee:fff (fuso UTC)&lt;/color&gt;. No momento, estamos fazendo a manutenção do jogo, que durará cerca de &lt;color=#ffa200&gt;ggg minutos&lt;/color&gt;. Você poderá atualizar o jogo assim que a manutenção do servidor for concluída.
 [Horário da atualização]
 ddd/02/2026, às eee:fff (fuso UTC). Não será possível acessar o jogo durante este período. 
 [Tempo de manutenção estimado]
 &lt;color=#ffa200&gt;ggg minutos&lt;/color&gt;
 [Detalhes da atualização 0.85.0]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2" s="191" t="str">
        <f t="shared" si="3"/>
        <v>親愛的指揮官：
為了給大家帶來更好的遊戲體驗，我們預計在&lt;color=#ffa200&gt;UTC時間2026年02月ddd日eee:fff&lt;/color&gt;進行0.85.0版本更新。屆時服務器將進行&lt;color=#ffa200&gt;ggg分鐘&lt;/color&gt;維護，維護結束後猴子們可以選擇適當的網絡環境更新版本。
【更新時間】&lt;color=#ffa200&gt;2026年02月ddd日UTCeee:fff&lt;/color&gt;，屆時您將無法進入遊戲。
【預計維護時長】&lt;color=#ffa200&gt;ggg分鐘&lt;/color&gt;
【0.85.0更新內容】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2" s="191" t="str">
        <f t="shared" si="3"/>
        <v>Kapten yang terhormat,
 Untuk memberikanmu pengalaman bermain yang lebih baik, kami berencana untuk merilis pembaruan versi 0.85.0 pada &lt;color=#ffa200&gt;2026-02-ddd pukul eee:fff UTC&lt;/color&gt;. Pada saat itu, kami akan melakukan pemeliharaan server yang berlangsung kira-kira &lt;color=#ffa200&gt;ggg menit&lt;/color&gt;. Kamu bisa memperbarui game setelah pemeliharaan server selesai. 
 [Waktu Pembaruan]
 eee:fff UTC, 2026-02-ddd; kamu tidak akan bisa mengakses game selama waktu tersebut. 
 [Perkiraan Durasi Pemeliharaan]
 &lt;color=#ffa200&gt;ggg menit&lt;/color&gt;
 [0.85.0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2" s="191" t="str">
        <f t="shared" si="3"/>
        <v>ถึงท่านผู้บัญชาการ
 เพื่อให้นายได้รับประสบการณ์การเล่นเกมที่ดีขึ้น เราวางแผนที่จะปล่อยอัปเดตเวอร์ชัน 0.85.0 ในวันที่ &lt;color=#ffa200&gt;2026-02-ddd ในเวลา eee:fff ตามเวลา UTC&lt;/color&gt; ซึ่งในเวลาดังกล่าว เราจะทำการบำรุงรักษาเซิร์ฟเวอร์เป็นเวลาประมาณ &lt;color=#ffa200&gt;ggg นาที&lt;/color&gt; นายจะสามารถอัปเดตเกมได้เมื่อเราทำการบำรุงรักษาเซิร์ฟเวอร์เสร็จสิ้นแล้ว
 [เวลาอัปเดต]
 eee:fff UTC 2026-02-ddd; นายจะไม่สามารถเข้าเล่นเกมได้ในช่วงเวลานี้ 
 [ระยะเวลาการบำรุงรักษาโดยประมาณ]
 &lt;color=#ffa200&gt;ggg นาที&lt;/color&gt;
 [0.85.0 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2" s="191" t="str">
        <f t="shared" si="3"/>
        <v>Querido Capitán,
 Para poder brindarte una mejor experiencia de juego, planeamos liberar una actualización a la versión 0.85.0 el &lt;color=#ffa200&gt;ddd-02-2026 a las eee:fff UTC&lt;/color&gt;. En ese momento, realizaremos un mantenimiento de servidor que tendrá una duración aproximada de &lt;color=#ffa200&gt;ggg minutos&lt;/color&gt;. Podrás actualizar el juego una vez que el mantenimiento del servidor esté completo.
 [Hora de la Actualización]
 eee:fff UTC, ddd-02-2026; no podrás acceder al juego durante esta hora. 
 [Duración Estimada del Mantenimiento]
 &lt;color=#ffa200&gt;ggg minutos&lt;/color&gt;
 [Detalles de la actualización 0.85.0]
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2" s="191" t="str">
        <f t="shared" si="3"/>
        <v>Уважаемый капитан!
Для того чтобы подарить вам наилучшие впечатления от игры, мы планируем выпустить обновление версии 0.85.0 &lt;color=#ffa200&gt;ddd.02.2026 в eee:fff UTC&lt;/color&gt;. Мы проведем техническое обслуживание сервера, которое продлится примерно &lt;color=#ffa200&gt;ggg минут&lt;/color&gt;. Вы сможете обновить игру, когда обслуживание закончится.
[Время обновления]
ddd.02.2026, eee:fff UTC. Во время обновления вы не сможете получить доступ к игре. 
[Ожидаемая длительность обслуживания]
&lt;color=#ffa200&gt;ggg минут&lt;/color&gt;
[Детали обновления 0.85.0]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2" s="191" t="str">
        <f t="shared" si="3"/>
        <v>Sevgili Kaptan,
 Sana daha iyi bir oyun deneyimi sunmak adına sürüm 0.85.0 güncellemesini &lt;color=#ffa200&gt;ddd.02.2026 saat eee.fff’da (UTC)&lt;/color&gt; yayımlamayı planlıyoruz. O esnada yaklaşık &lt;color=#ffa200&gt;ggg dakika&lt;/color&gt; sürecek bir sunucu bakımı gerçekleştireceğiz. Sunucu bakımı tamamlanınca oyunu güncelleyebilirsin.
 [Güncelleme Zamanı]
 eee.fff (UTC), ddd.02.2026; bu sırada oyuna erişim sağlayamayacaksın. 
 [Tahmini Bakım Süresi]
 &lt;color=#ffa200&gt;ggg dakika&lt;/color&gt;
 [0.85.0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2" s="191" t="str">
        <f t="shared" si="3"/>
        <v>Thưa Thủ Lĩnh,
 Để đem lại cho bạn trải nghiệm chơi game tốt hơn, chúng tôi dự định sẽ phát hành bản cập nhật 0.85.0 vào lúc &lt;color=#ffa200&gt;eee:fff UTC ngày ddd/02/2026&lt;/color&gt;. Cùng lúc đó, chúng tôi cũng sẽ thực hiện bảo trì máy chủ kéo dài khoảng &lt;color=#ffa200&gt;ggg phút&lt;/color&gt;. Bạn có thể cập nhật lại game khi quá trình bảo trì máy chủ được hoàn tất.
 [Thời gian cập nhật]
 eee:fff UTC, ngày ddd/02/2026; bạn sẽ không thể truy cập vào game trong khoảng thời gian này. 
 [Thời lượng bảo trì ước tính]
 &lt;color=#ffa200&gt;ggg phút&lt;/color&gt;
 [Thông tin bản cập nhật 0.85.0]
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2" s="191" t="str">
        <f t="shared" si="3"/>
        <v>Caro Capitano,
Per offrirti un'esperienza di gioco migliore, abbiamo pianificato di rilasciare l'aggiornamento alla versione 0.85.0 il &lt;color=#ffa200&gt;2026-02-ddd alle eee:fff UTC&lt;/color&gt;. In quel momento, effettueremo una manutenzione del server della durata approssimativa di &lt;color=#ffa200&gt;ggg minuti&lt;/color&gt;. Potrai aggiornare il gioco una volta completata la manutenzione del server.
[Orario di aggiornamento]
eee:fff UTC, 2026-02-ddd; durante questo periodo non potrai accedere al gioco.
[Durata stimata della manutenzione]
&lt;color=#ffa200&gt;ggg minuti&lt;/color&gt;
[Dettagli dell'aggiornamento 0.85.0]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2" s="191" t="str">
        <f t="shared" si="3"/>
        <v>Szanowny Kapitanie,
Aby zapewnić ci lepsze wrażenia z gry, planujemy wydać aktualizację wersji 0.85.0 dnia 2026-02-ddd o godzinie eee:fff UTC. W tym czasie przeprowadzimy konserwację serwera trwającą około ggg minut. Po zakończeniu konserwacji serwera możesz zaktualizować grę.
[Czas aktualizacji]
eee:fff UTC, 2026-02-ddd; w tym czasie nie będziesz mógł uzyskać dostępu do gry.
[Przewidywany czas trwania konserwacji]
&lt;color=#ffa200&gt;ggg minut&lt;/color&gt;
[Szczegóły aktualizacji 0.85.0]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2" s="67" t="str">
        <f t="shared" si="3"/>
        <v>عزيزي الزعيم،\nمن أجل تقديم تجربة لعب أفضل، نخطط لإصدار تحديث إصدار 0.85.0 في &lt;color=#ffa200&gt;2026-02-ddd في الساعة eee:fff UTC&lt;/color&gt;. في ذلك الوقت، سنقوم بإجراء صيانة للخادم تستغرق حوالي &lt;color=#ffa200&gt;ggg دقائق&lt;/color&gt;.   يرجى تنزيل إصدار اللعبة الجديد وتسجيل الدخول إلى اللعبة للحصول على المكافأة في بريدك.\n[وقت التحديث]\neee:fff UTC، 2026-02-ddd؛ لن تتمكن من الوصول إلى اللعبة خلال هذا الوقت.\n[المدة المتوقعة للصيانة]\n&lt;color=#ffa200&gt;ggg دقائق&lt;/color&gt;\n[تفاصيل تحديث 0.85.0]\nhhh\nيرجى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2" s="67" t="str">
        <f t="shared" si="3"/>
        <v>尊敬する指揮官どの、
より良いゲーム体験を提供するために、&lt;color=#ffa200&gt;2026-02-dddのeee:fff UTC&lt;/color&gt;にバージョン0.85.0更新をリリースする予定です。その時点で、約&lt;color=#ffa200&gt;ggg分間&lt;/color&gt;のサーバーメンテナンスを実施します。サーバーメンテナンスが完了次第、ゲームのアップデートが可能になります。
[アップデート時間]
eee:fff UTC, 2026-02-ddd; この時間帯はゲームにアクセスできません。
[予想メンテナンス時間]
&lt;color=#ffa200&gt;ggg分間&lt;/color&gt;
[0.85.0更新の詳細]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2" s="67" t="str">
        <f t="shared" si="3"/>
        <v>친애하는 대장님,
더 나은 게임 경험을 제공하기 위해, 우리는 &lt;color=#ffa200&gt;2026-02-ddd eee:fff UTC&lt;/color&gt;에 버전 0.85.0 업데이트를 출시할 계획입니다. 그 시간에 우리는 약 &lt;color=#ffa200&gt;ggg분&lt;/color&gt; 동안 서버 유지보수를 진행할 것입니다. 서버 유지보수가 완료되면 게임을 업데이트할 수 있습니다.
[업데이트 시간]
eee:fff UTC, 2026-02-ddd; 이 시간 동안 게임에 접속할 수 없습니다.
[예상 유지보수 기간]
&lt;color=#ffa200&gt;ggg분&lt;/color&gt;
[0.85.0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3" hidden="1">
      <c r="A23" s="14" t="s">
        <v>1136</v>
      </c>
      <c r="B23" s="191" t="str">
        <f t="shared" ref="B23:R23" si="4">SUBSTITUTE(B22,"ddd",$B$15)</f>
        <v>亲爱的指挥官：
为了给大家带来更好的游戏体验，我们预计在&lt;color=#ffa200&gt;UTC时间2026年02月10日eee:fff&lt;/color&gt;进行0.85.0版本更新。届时服务器将进行&lt;color=#ffa200&gt;ggg分钟&lt;/color&gt;维护，维护结束后猴子们可以选择适当的网络环境更新版本。
【更新时间】&lt;color=#ffa200&gt;2026年02月10日UTCeee:fff&lt;/color&gt;，届时您将无法进入游戏。
【预计维护时长】&lt;color=#ffa200&gt;ggg分钟&lt;/color&gt;
【0.85.0更新内容】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3" s="191" t="str">
        <f t="shared" si="4"/>
        <v>Dear Captain,
In order to bring you a better gaming experience, we plan to release the version 0.85.0 update on &lt;color=#ffa200&gt;2026-02-10 at eee:fff UTC&lt;/color&gt;. At that time, we will conduct server maintenance lasting approximately &lt;color=#ffa200&gt;ggg minutes&lt;/color&gt;. You may update the game once server maintenance is complete. 
[Update Time]
eee:fff UTC, 2026-02-10; you will not be able to access the game during this time.
[Estimated Maintenance Duration]
&lt;color=#ffa200&gt;ggg minutes&lt;/color&gt;
[0.85.0 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3" s="191" t="str">
        <f t="shared" si="4"/>
        <v>Cher capitaine,
Afin d’améliorer votre expérience de jeu, nous prévoyons le lancement de la mise à jour 0.85.0 le &lt;color=#ffa200&gt; eee:fff UTC, 10-02-2026 &lt;/color&gt;. Nous procéderons alors à une maintenance des serveurs qui durera environ &lt;color=#ffa200&gt;ggg minutes&lt;/color&gt;. Une fois les opérations terminées, vous pourrez mettre votre jeu à jour. 
[Horaire de mise à jour]
 eee:fff UTC, 10-02-2026(TU). Pendant le déploiement, vous ne pourrez plus accéder au jeu.
[Durée estimée de la maintenance]
&lt;color=#ffa200&gt;ggg minutes&lt;/color&gt;
[Détails de la mise à jour 0.85.0]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3" s="191" t="str">
        <f t="shared" si="4"/>
        <v>Lieber Captain,
 Um dir ein besseres Spielerlebnis zu bieten, werden wir am &lt;color=#ffa200&gt;10.02.2026 um eee:fff UTC&lt;/color&gt; das Update auf Version 0.85.0 durchzuführen. Wir werden zu diesem Zeitpunkt eine Serverwartung durchführen, die etwa &lt;color=#ffa200&gt;ggg Minuten&lt;/color&gt; dauern wird. Du kannst das Spiel aktualisieren, sobald die Serverwartung abgeschlossen ist. 
 [Update-Zeit]
 10.02.2026, eee:fff UTC; du wirst während dieser Zeit nicht auf das Spiel zugreifen können. 
 [Geschätzte Wartungsdauer]
 &lt;color=#ffa200&gt;ggg Minuten&lt;/color&gt;
 [0.85.0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3" s="191" t="str">
        <f t="shared" si="4"/>
        <v>Caro Capitão,
 Para melhorar a experiência de jogo, planejamos lançar a atualização 0.85.0 em &lt;color=#ffa200&gt;10/02/2026 às eee:fff (fuso UTC)&lt;/color&gt;. No momento, estamos fazendo a manutenção do jogo, que durará cerca de &lt;color=#ffa200&gt;ggg minutos&lt;/color&gt;. Você poderá atualizar o jogo assim que a manutenção do servidor for concluída.
 [Horário da atualização]
 10/02/2026, às eee:fff (fuso UTC). Não será possível acessar o jogo durante este período. 
 [Tempo de manutenção estimado]
 &lt;color=#ffa200&gt;ggg minutos&lt;/color&gt;
 [Detalhes da atualização 0.85.0]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3" s="191" t="str">
        <f t="shared" si="4"/>
        <v>親愛的指揮官：
為了給大家帶來更好的遊戲體驗，我們預計在&lt;color=#ffa200&gt;UTC時間2026年02月10日eee:fff&lt;/color&gt;進行0.85.0版本更新。屆時服務器將進行&lt;color=#ffa200&gt;ggg分鐘&lt;/color&gt;維護，維護結束後猴子們可以選擇適當的網絡環境更新版本。
【更新時間】&lt;color=#ffa200&gt;2026年02月10日UTCeee:fff&lt;/color&gt;，屆時您將無法進入遊戲。
【預計維護時長】&lt;color=#ffa200&gt;ggg分鐘&lt;/color&gt;
【0.85.0更新內容】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3" s="191" t="str">
        <f t="shared" si="4"/>
        <v>Kapten yang terhormat,
 Untuk memberikanmu pengalaman bermain yang lebih baik, kami berencana untuk merilis pembaruan versi 0.85.0 pada &lt;color=#ffa200&gt;2026-02-10 pukul eee:fff UTC&lt;/color&gt;. Pada saat itu, kami akan melakukan pemeliharaan server yang berlangsung kira-kira &lt;color=#ffa200&gt;ggg menit&lt;/color&gt;. Kamu bisa memperbarui game setelah pemeliharaan server selesai. 
 [Waktu Pembaruan]
 eee:fff UTC, 2026-02-10; kamu tidak akan bisa mengakses game selama waktu tersebut. 
 [Perkiraan Durasi Pemeliharaan]
 &lt;color=#ffa200&gt;ggg menit&lt;/color&gt;
 [0.85.0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3" s="191" t="str">
        <f t="shared" si="4"/>
        <v>ถึงท่านผู้บัญชาการ
 เพื่อให้นายได้รับประสบการณ์การเล่นเกมที่ดีขึ้น เราวางแผนที่จะปล่อยอัปเดตเวอร์ชัน 0.85.0 ในวันที่ &lt;color=#ffa200&gt;2026-02-10 ในเวลา eee:fff ตามเวลา UTC&lt;/color&gt; ซึ่งในเวลาดังกล่าว เราจะทำการบำรุงรักษาเซิร์ฟเวอร์เป็นเวลาประมาณ &lt;color=#ffa200&gt;ggg นาที&lt;/color&gt; นายจะสามารถอัปเดตเกมได้เมื่อเราทำการบำรุงรักษาเซิร์ฟเวอร์เสร็จสิ้นแล้ว
 [เวลาอัปเดต]
 eee:fff UTC 2026-02-10; นายจะไม่สามารถเข้าเล่นเกมได้ในช่วงเวลานี้ 
 [ระยะเวลาการบำรุงรักษาโดยประมาณ]
 &lt;color=#ffa200&gt;ggg นาที&lt;/color&gt;
 [0.85.0 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3" s="191" t="str">
        <f t="shared" si="4"/>
        <v>Querido Capitán,
 Para poder brindarte una mejor experiencia de juego, planeamos liberar una actualización a la versión 0.85.0 el &lt;color=#ffa200&gt;10-02-2026 a las eee:fff UTC&lt;/color&gt;. En ese momento, realizaremos un mantenimiento de servidor que tendrá una duración aproximada de &lt;color=#ffa200&gt;ggg minutos&lt;/color&gt;. Podrás actualizar el juego una vez que el mantenimiento del servidor esté completo.
 [Hora de la Actualización]
 eee:fff UTC, 10-02-2026; no podrás acceder al juego durante esta hora. 
 [Duración Estimada del Mantenimiento]
 &lt;color=#ffa200&gt;ggg minutos&lt;/color&gt;
 [Detalles de la actualización 0.85.0]
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3" s="191" t="str">
        <f t="shared" si="4"/>
        <v>Уважаемый капитан!
Для того чтобы подарить вам наилучшие впечатления от игры, мы планируем выпустить обновление версии 0.85.0 &lt;color=#ffa200&gt;10.02.2026 в eee:fff UTC&lt;/color&gt;. Мы проведем техническое обслуживание сервера, которое продлится примерно &lt;color=#ffa200&gt;ggg минут&lt;/color&gt;. Вы сможете обновить игру, когда обслуживание закончится.
[Время обновления]
10.02.2026, eee:fff UTC. Во время обновления вы не сможете получить доступ к игре. 
[Ожидаемая длительность обслуживания]
&lt;color=#ffa200&gt;ggg минут&lt;/color&gt;
[Детали обновления 0.85.0]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3" s="191" t="str">
        <f t="shared" si="4"/>
        <v>Sevgili Kaptan,
 Sana daha iyi bir oyun deneyimi sunmak adına sürüm 0.85.0 güncellemesini &lt;color=#ffa200&gt;10.02.2026 saat eee.fff’da (UTC)&lt;/color&gt; yayımlamayı planlıyoruz. O esnada yaklaşık &lt;color=#ffa200&gt;ggg dakika&lt;/color&gt; sürecek bir sunucu bakımı gerçekleştireceğiz. Sunucu bakımı tamamlanınca oyunu güncelleyebilirsin.
 [Güncelleme Zamanı]
 eee.fff (UTC), 10.02.2026; bu sırada oyuna erişim sağlayamayacaksın. 
 [Tahmini Bakım Süresi]
 &lt;color=#ffa200&gt;ggg dakika&lt;/color&gt;
 [0.85.0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3" s="191" t="str">
        <f t="shared" si="4"/>
        <v>Thưa Thủ Lĩnh,
 Để đem lại cho bạn trải nghiệm chơi game tốt hơn, chúng tôi dự định sẽ phát hành bản cập nhật 0.85.0 vào lúc &lt;color=#ffa200&gt;eee:fff UTC ngày 10/02/2026&lt;/color&gt;. Cùng lúc đó, chúng tôi cũng sẽ thực hiện bảo trì máy chủ kéo dài khoảng &lt;color=#ffa200&gt;ggg phút&lt;/color&gt;. Bạn có thể cập nhật lại game khi quá trình bảo trì máy chủ được hoàn tất.
 [Thời gian cập nhật]
 eee:fff UTC, ngày 10/02/2026; bạn sẽ không thể truy cập vào game trong khoảng thời gian này. 
 [Thời lượng bảo trì ước tính]
 &lt;color=#ffa200&gt;ggg phút&lt;/color&gt;
 [Thông tin bản cập nhật 0.85.0]
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3" s="191" t="str">
        <f t="shared" si="4"/>
        <v>Caro Capitano,
Per offrirti un'esperienza di gioco migliore, abbiamo pianificato di rilasciare l'aggiornamento alla versione 0.85.0 il &lt;color=#ffa200&gt;2026-02-10 alle eee:fff UTC&lt;/color&gt;. In quel momento, effettueremo una manutenzione del server della durata approssimativa di &lt;color=#ffa200&gt;ggg minuti&lt;/color&gt;. Potrai aggiornare il gioco una volta completata la manutenzione del server.
[Orario di aggiornamento]
eee:fff UTC, 2026-02-10; durante questo periodo non potrai accedere al gioco.
[Durata stimata della manutenzione]
&lt;color=#ffa200&gt;ggg minuti&lt;/color&gt;
[Dettagli dell'aggiornamento 0.85.0]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3" s="191" t="str">
        <f t="shared" si="4"/>
        <v>Szanowny Kapitanie,
Aby zapewnić ci lepsze wrażenia z gry, planujemy wydać aktualizację wersji 0.85.0 dnia 2026-02-10 o godzinie eee:fff UTC. W tym czasie przeprowadzimy konserwację serwera trwającą około ggg minut. Po zakończeniu konserwacji serwera możesz zaktualizować grę.
[Czas aktualizacji]
eee:fff UTC, 2026-02-10; w tym czasie nie będziesz mógł uzyskać dostępu do gry.
[Przewidywany czas trwania konserwacji]
&lt;color=#ffa200&gt;ggg minut&lt;/color&gt;
[Szczegóły aktualizacji 0.85.0]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3" s="67" t="str">
        <f t="shared" si="4"/>
        <v>عزيزي الزعيم،\nمن أجل تقديم تجربة لعب أفضل، نخطط لإصدار تحديث إصدار 0.85.0 في &lt;color=#ffa200&gt;2026-02-10 في الساعة eee:fff UTC&lt;/color&gt;. في ذلك الوقت، سنقوم بإجراء صيانة للخادم تستغرق حوالي &lt;color=#ffa200&gt;ggg دقائق&lt;/color&gt;.   يرجى تنزيل إصدار اللعبة الجديد وتسجيل الدخول إلى اللعبة للحصول على المكافأة في بريدك.\n[وقت التحديث]\neee:fff UTC، 2026-02-10؛ لن تتمكن من الوصول إلى اللعبة خلال هذا الوقت.\n[المدة المتوقعة للصيانة]\n&lt;color=#ffa200&gt;ggg دقائق&lt;/color&gt;\n[تفاصيل تحديث 0.85.0]\nhhh\nيرجى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3" s="67" t="str">
        <f t="shared" si="4"/>
        <v>尊敬する指揮官どの、
より良いゲーム体験を提供するために、&lt;color=#ffa200&gt;2026-02-10のeee:fff UTC&lt;/color&gt;にバージョン0.85.0更新をリリースする予定です。その時点で、約&lt;color=#ffa200&gt;ggg分間&lt;/color&gt;のサーバーメンテナンスを実施します。サーバーメンテナンスが完了次第、ゲームのアップデートが可能になります。
[アップデート時間]
eee:fff UTC, 2026-02-10; この時間帯はゲームにアクセスできません。
[予想メンテナンス時間]
&lt;color=#ffa200&gt;ggg分間&lt;/color&gt;
[0.85.0更新の詳細]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3" s="67" t="str">
        <f t="shared" si="4"/>
        <v>친애하는 대장님,
더 나은 게임 경험을 제공하기 위해, 우리는 &lt;color=#ffa200&gt;2026-02-10 eee:fff UTC&lt;/color&gt;에 버전 0.85.0 업데이트를 출시할 계획입니다. 그 시간에 우리는 약 &lt;color=#ffa200&gt;ggg분&lt;/color&gt; 동안 서버 유지보수를 진행할 것입니다. 서버 유지보수가 완료되면 게임을 업데이트할 수 있습니다.
[업데이트 시간]
eee:fff UTC, 2026-02-10; 이 시간 동안 게임에 접속할 수 없습니다.
[예상 유지보수 기간]
&lt;color=#ffa200&gt;ggg분&lt;/color&gt;
[0.85.0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4" hidden="1">
      <c r="A24" s="14" t="s">
        <v>1137</v>
      </c>
      <c r="B24" s="191" t="str">
        <f t="shared" ref="B24:R24" si="5">SUBSTITUTE(B23,"eee",$B$16)</f>
        <v>亲爱的指挥官：
为了给大家带来更好的游戏体验，我们预计在&lt;color=#ffa200&gt;UTC时间2026年02月10日06:fff&lt;/color&gt;进行0.85.0版本更新。届时服务器将进行&lt;color=#ffa200&gt;ggg分钟&lt;/color&gt;维护，维护结束后猴子们可以选择适当的网络环境更新版本。
【更新时间】&lt;color=#ffa200&gt;2026年02月10日UTC06:fff&lt;/color&gt;，届时您将无法进入游戏。
【预计维护时长】&lt;color=#ffa200&gt;ggg分钟&lt;/color&gt;
【0.85.0更新内容】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4" s="191" t="str">
        <f t="shared" si="5"/>
        <v>Dear Captain,
In order to bring you a better gaming experience, we plan to release the version 0.85.0 update on &lt;color=#ffa200&gt;2026-02-10 at 06:fff UTC&lt;/color&gt;. At that time, we will conduct server maintenance lasting approximately &lt;color=#ffa200&gt;ggg minutes&lt;/color&gt;. You may update the game once server maintenance is complete. 
[Update Time]
06:fff UTC, 2026-02-10; you will not be able to access the game during this time.
[Estimated Maintenance Duration]
&lt;color=#ffa200&gt;ggg minutes&lt;/color&gt;
[0.85.0 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4" s="191" t="str">
        <f t="shared" si="5"/>
        <v>Cher capitaine,
Afin d’améliorer votre expérience de jeu, nous prévoyons le lancement de la mise à jour 0.85.0 le &lt;color=#ffa200&gt; 06:fff UTC, 10-02-2026 &lt;/color&gt;. Nous procéderons alors à une maintenance des serveurs qui durera environ &lt;color=#ffa200&gt;ggg minutes&lt;/color&gt;. Une fois les opérations terminées, vous pourrez mettre votre jeu à jour. 
[Horaire de mise à jour]
 06:fff UTC, 10-02-2026(TU). Pendant le déploiement, vous ne pourrez plus accéder au jeu.
[Durée estimée de la maintenance]
&lt;color=#ffa200&gt;ggg minutes&lt;/color&gt;
[Détails de la mise à jour 0.85.0]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4" s="191" t="str">
        <f t="shared" si="5"/>
        <v>Lieber Captain,
 Um dir ein besseres Spielerlebnis zu bieten, werden wir am &lt;color=#ffa200&gt;10.02.2026 um 06:fff UTC&lt;/color&gt; das Update auf Version 0.85.0 durchzuführen. Wir werden zu diesem Zeitpunkt eine Serverwartung durchführen, die etwa &lt;color=#ffa200&gt;ggg Minuten&lt;/color&gt; dauern wird. Du kannst das Spiel aktualisieren, sobald die Serverwartung abgeschlossen ist. 
 [Update-Zeit]
 10.02.2026, 06:fff UTC; du wirst während dieser Zeit nicht auf das Spiel zugreifen können. 
 [Geschätzte Wartungsdauer]
 &lt;color=#ffa200&gt;ggg Minuten&lt;/color&gt;
 [0.85.0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4" s="191" t="str">
        <f t="shared" si="5"/>
        <v>Caro Capitão,
 Para melhorar a experiência de jogo, planejamos lançar a atualização 0.85.0 em &lt;color=#ffa200&gt;10/02/2026 às 06:fff (fuso UTC)&lt;/color&gt;. No momento, estamos fazendo a manutenção do jogo, que durará cerca de &lt;color=#ffa200&gt;ggg minutos&lt;/color&gt;. Você poderá atualizar o jogo assim que a manutenção do servidor for concluída.
 [Horário da atualização]
 10/02/2026, às 06:fff (fuso UTC). Não será possível acessar o jogo durante este período. 
 [Tempo de manutenção estimado]
 &lt;color=#ffa200&gt;ggg minutos&lt;/color&gt;
 [Detalhes da atualização 0.85.0]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4" s="191" t="str">
        <f t="shared" si="5"/>
        <v>親愛的指揮官：
為了給大家帶來更好的遊戲體驗，我們預計在&lt;color=#ffa200&gt;UTC時間2026年02月10日06:fff&lt;/color&gt;進行0.85.0版本更新。屆時服務器將進行&lt;color=#ffa200&gt;ggg分鐘&lt;/color&gt;維護，維護結束後猴子們可以選擇適當的網絡環境更新版本。
【更新時間】&lt;color=#ffa200&gt;2026年02月10日UTC06:fff&lt;/color&gt;，屆時您將無法進入遊戲。
【預計維護時長】&lt;color=#ffa200&gt;ggg分鐘&lt;/color&gt;
【0.85.0更新內容】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4" s="191" t="str">
        <f t="shared" si="5"/>
        <v>Kapten yang terhormat,
 Untuk memberikanmu pengalaman bermain yang lebih baik, kami berencana untuk merilis pembaruan versi 0.85.0 pada &lt;color=#ffa200&gt;2026-02-10 pukul 06:fff UTC&lt;/color&gt;. Pada saat itu, kami akan melakukan pemeliharaan server yang berlangsung kira-kira &lt;color=#ffa200&gt;ggg menit&lt;/color&gt;. Kamu bisa memperbarui game setelah pemeliharaan server selesai. 
 [Waktu Pembaruan]
 06:fff UTC, 2026-02-10; kamu tidak akan bisa mengakses game selama waktu tersebut. 
 [Perkiraan Durasi Pemeliharaan]
 &lt;color=#ffa200&gt;ggg menit&lt;/color&gt;
 [0.85.0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4" s="191" t="str">
        <f t="shared" si="5"/>
        <v>ถึงท่านผู้บัญชาการ
 เพื่อให้นายได้รับประสบการณ์การเล่นเกมที่ดีขึ้น เราวางแผนที่จะปล่อยอัปเดตเวอร์ชัน 0.85.0 ในวันที่ &lt;color=#ffa200&gt;2026-02-10 ในเวลา 06:fff ตามเวลา UTC&lt;/color&gt; ซึ่งในเวลาดังกล่าว เราจะทำการบำรุงรักษาเซิร์ฟเวอร์เป็นเวลาประมาณ &lt;color=#ffa200&gt;ggg นาที&lt;/color&gt; นายจะสามารถอัปเดตเกมได้เมื่อเราทำการบำรุงรักษาเซิร์ฟเวอร์เสร็จสิ้นแล้ว
 [เวลาอัปเดต]
 06:fff UTC 2026-02-10; นายจะไม่สามารถเข้าเล่นเกมได้ในช่วงเวลานี้ 
 [ระยะเวลาการบำรุงรักษาโดยประมาณ]
 &lt;color=#ffa200&gt;ggg นาที&lt;/color&gt;
 [0.85.0 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4" s="191" t="str">
        <f t="shared" si="5"/>
        <v>Querido Capitán,
 Para poder brindarte una mejor experiencia de juego, planeamos liberar una actualización a la versión 0.85.0 el &lt;color=#ffa200&gt;10-02-2026 a las 06:fff UTC&lt;/color&gt;. En ese momento, realizaremos un mantenimiento de servidor que tendrá una duración aproximada de &lt;color=#ffa200&gt;ggg minutos&lt;/color&gt;. Podrás actualizar el juego una vez que el mantenimiento del servidor esté completo.
 [Hora de la Actualización]
 06:fff UTC, 10-02-2026; no podrás acceder al juego durante esta hora. 
 [Duración Estimada del Mantenimiento]
 &lt;color=#ffa200&gt;ggg minutos&lt;/color&gt;
 [Detalles de la actualización 0.85.0]
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4" s="191" t="str">
        <f t="shared" si="5"/>
        <v>Уважаемый капитан!
Для того чтобы подарить вам наилучшие впечатления от игры, мы планируем выпустить обновление версии 0.85.0 &lt;color=#ffa200&gt;10.02.2026 в 06:fff UTC&lt;/color&gt;. Мы проведем техническое обслуживание сервера, которое продлится примерно &lt;color=#ffa200&gt;ggg минут&lt;/color&gt;. Вы сможете обновить игру, когда обслуживание закончится.
[Время обновления]
10.02.2026, 06:fff UTC. Во время обновления вы не сможете получить доступ к игре. 
[Ожидаемая длительность обслуживания]
&lt;color=#ffa200&gt;ggg минут&lt;/color&gt;
[Детали обновления 0.85.0]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4" s="191" t="str">
        <f t="shared" si="5"/>
        <v>Sevgili Kaptan,
 Sana daha iyi bir oyun deneyimi sunmak adına sürüm 0.85.0 güncellemesini &lt;color=#ffa200&gt;10.02.2026 saat 06.fff’da (UTC)&lt;/color&gt; yayımlamayı planlıyoruz. O esnada yaklaşık &lt;color=#ffa200&gt;ggg dakika&lt;/color&gt; sürecek bir sunucu bakımı gerçekleştireceğiz. Sunucu bakımı tamamlanınca oyunu güncelleyebilirsin.
 [Güncelleme Zamanı]
 06.fff (UTC), 10.02.2026; bu sırada oyuna erişim sağlayamayacaksın. 
 [Tahmini Bakım Süresi]
 &lt;color=#ffa200&gt;ggg dakika&lt;/color&gt;
 [0.85.0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4" s="191" t="str">
        <f t="shared" si="5"/>
        <v>Thưa Thủ Lĩnh,
 Để đem lại cho bạn trải nghiệm chơi game tốt hơn, chúng tôi dự định sẽ phát hành bản cập nhật 0.85.0 vào lúc &lt;color=#ffa200&gt;06:fff UTC ngày 10/02/2026&lt;/color&gt;. Cùng lúc đó, chúng tôi cũng sẽ thực hiện bảo trì máy chủ kéo dài khoảng &lt;color=#ffa200&gt;ggg phút&lt;/color&gt;. Bạn có thể cập nhật lại game khi quá trình bảo trì máy chủ được hoàn tất.
 [Thời gian cập nhật]
 06:fff UTC, ngày 10/02/2026; bạn sẽ không thể truy cập vào game trong khoảng thời gian này. 
 [Thời lượng bảo trì ước tính]
 &lt;color=#ffa200&gt;ggg phút&lt;/color&gt;
 [Thông tin bản cập nhật 0.85.0]
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4" s="191" t="str">
        <f t="shared" si="5"/>
        <v>Caro Capitano,
Per offrirti un'esperienza di gioco migliore, abbiamo pianificato di rilasciare l'aggiornamento alla versione 0.85.0 il &lt;color=#ffa200&gt;2026-02-10 alle 06:fff UTC&lt;/color&gt;. In quel momento, effettueremo una manutenzione del server della durata approssimativa di &lt;color=#ffa200&gt;ggg minuti&lt;/color&gt;. Potrai aggiornare il gioco una volta completata la manutenzione del server.
[Orario di aggiornamento]
06:fff UTC, 2026-02-10; durante questo periodo non potrai accedere al gioco.
[Durata stimata della manutenzione]
&lt;color=#ffa200&gt;ggg minuti&lt;/color&gt;
[Dettagli dell'aggiornamento 0.85.0]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4" s="191" t="str">
        <f t="shared" si="5"/>
        <v>Szanowny Kapitanie,
Aby zapewnić ci lepsze wrażenia z gry, planujemy wydać aktualizację wersji 0.85.0 dnia 2026-02-10 o godzinie 06:fff UTC. W tym czasie przeprowadzimy konserwację serwera trwającą około ggg minut. Po zakończeniu konserwacji serwera możesz zaktualizować grę.
[Czas aktualizacji]
06:fff UTC, 2026-02-10; w tym czasie nie będziesz mógł uzyskać dostępu do gry.
[Przewidywany czas trwania konserwacji]
&lt;color=#ffa200&gt;ggg minut&lt;/color&gt;
[Szczegóły aktualizacji 0.85.0]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4" s="67" t="str">
        <f t="shared" si="5"/>
        <v>عزيزي الزعيم،\nمن أجل تقديم تجربة لعب أفضل، نخطط لإصدار تحديث إصدار 0.85.0 في &lt;color=#ffa200&gt;2026-02-10 في الساعة 06:fff UTC&lt;/color&gt;. في ذلك الوقت، سنقوم بإجراء صيانة للخادم تستغرق حوالي &lt;color=#ffa200&gt;ggg دقائق&lt;/color&gt;.   يرجى تنزيل إصدار اللعبة الجديد وتسجيل الدخول إلى اللعبة للحصول على المكافأة في بريدك.\n[وقت التحديث]\n06:fff UTC، 2026-02-10؛ لن تتمكن من الوصول إلى اللعبة خلال هذا الوقت.\n[المدة المتوقعة للصيانة]\n&lt;color=#ffa200&gt;ggg دقائق&lt;/color&gt;\n[تفاصيل تحديث 0.85.0]\nhhh\nيرجى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4" s="67" t="str">
        <f t="shared" si="5"/>
        <v>尊敬する指揮官どの、
より良いゲーム体験を提供するために、&lt;color=#ffa200&gt;2026-02-10の06:fff UTC&lt;/color&gt;にバージョン0.85.0更新をリリースする予定です。その時点で、約&lt;color=#ffa200&gt;ggg分間&lt;/color&gt;のサーバーメンテナンスを実施します。サーバーメンテナンスが完了次第、ゲームのアップデートが可能になります。
[アップデート時間]
06:fff UTC, 2026-02-10; この時間帯はゲームにアクセスできません。
[予想メンテナンス時間]
&lt;color=#ffa200&gt;ggg分間&lt;/color&gt;
[0.85.0更新の詳細]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4" s="67" t="str">
        <f t="shared" si="5"/>
        <v>친애하는 대장님,
더 나은 게임 경험을 제공하기 위해, 우리는 &lt;color=#ffa200&gt;2026-02-10 06:fff UTC&lt;/color&gt;에 버전 0.85.0 업데이트를 출시할 계획입니다. 그 시간에 우리는 약 &lt;color=#ffa200&gt;ggg분&lt;/color&gt; 동안 서버 유지보수를 진행할 것입니다. 서버 유지보수가 완료되면 게임을 업데이트할 수 있습니다.
[업데이트 시간]
06:fff UTC, 2026-02-10; 이 시간 동안 게임에 접속할 수 없습니다.
[예상 유지보수 기간]
&lt;color=#ffa200&gt;ggg분&lt;/color&gt;
[0.85.0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5" hidden="1">
      <c r="A25" s="14" t="s">
        <v>1138</v>
      </c>
      <c r="B25" s="191" t="str">
        <f t="shared" ref="B25:R25" si="6">SUBSTITUTE(B24,"fff",$B$17)</f>
        <v>亲爱的指挥官：
为了给大家带来更好的游戏体验，我们预计在&lt;color=#ffa200&gt;UTC时间2026年02月10日06:00&lt;/color&gt;进行0.85.0版本更新。届时服务器将进行&lt;color=#ffa200&gt;ggg分钟&lt;/color&gt;维护，维护结束后猴子们可以选择适当的网络环境更新版本。
【更新时间】&lt;color=#ffa200&gt;2026年02月10日UTC06:00&lt;/color&gt;，届时您将无法进入游戏。
【预计维护时长】&lt;color=#ffa200&gt;ggg分钟&lt;/color&gt;
【0.85.0更新内容】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5" s="191" t="str">
        <f t="shared" si="6"/>
        <v>Dear Captain,
In order to bring you a better gaming experience, we plan to release the version 0.85.0 update on &lt;color=#ffa200&gt;2026-02-10 at 06:00 UTC&lt;/color&gt;. At that time, we will conduct server maintenance lasting approximately &lt;color=#ffa200&gt;ggg minutes&lt;/color&gt;. You may update the game once server maintenance is complete. 
[Update Time]
06:00 UTC, 2026-02-10; you will not be able to access the game during this time.
[Estimated Maintenance Duration]
&lt;color=#ffa200&gt;ggg minutes&lt;/color&gt;
[0.85.0 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5" s="191" t="str">
        <f t="shared" si="6"/>
        <v>Cher capitaine,
Afin d’améliorer votre expérience de jeu, nous prévoyons le lancement de la mise à jour 0.85.0 le &lt;color=#ffa200&gt; 06:00 UTC, 10-02-2026 &lt;/color&gt;. Nous procéderons alors à une maintenance des serveurs qui durera environ &lt;color=#ffa200&gt;ggg minutes&lt;/color&gt;. Une fois les opérations terminées, vous pourrez mettre votre jeu à jour. 
[Horaire de mise à jour]
 06:00 UTC, 10-02-2026(TU). Pendant le déploiement, vous ne pourrez plus accéder au jeu.
[Durée estimée de la maintenance]
&lt;color=#ffa200&gt;ggg minutes&lt;/color&gt;
[Détails de la mise à jour 0.85.0]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5" s="191" t="str">
        <f t="shared" si="6"/>
        <v>Lieber Captain,
 Um dir ein besseres Spielerlebnis zu bieten, werden wir am &lt;color=#ffa200&gt;10.02.2026 um 06:00 UTC&lt;/color&gt; das Update auf Version 0.85.0 durchzuführen. Wir werden zu diesem Zeitpunkt eine Serverwartung durchführen, die etwa &lt;color=#ffa200&gt;ggg Minuten&lt;/color&gt; dauern wird. Du kannst das Spiel aktualisieren, sobald die Serverwartung abgeschlossen ist. 
 [Update-Zeit]
 10.02.2026, 06:00 UTC; du wirst während dieser Zeit nicht auf das Spiel zugreifen können. 
 [Geschätzte Wartungsdauer]
 &lt;color=#ffa200&gt;ggg Minuten&lt;/color&gt;
 [0.85.0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5" s="191" t="str">
        <f t="shared" si="6"/>
        <v>Caro Capitão,
 Para melhorar a experiência de jogo, planejamos lançar a atualização 0.85.0 em &lt;color=#ffa200&gt;10/02/2026 às 06:00 (fuso UTC)&lt;/color&gt;. No momento, estamos fazendo a manutenção do jogo, que durará cerca de &lt;color=#ffa200&gt;ggg minutos&lt;/color&gt;. Você poderá atualizar o jogo assim que a manutenção do servidor for concluída.
 [Horário da atualização]
 10/02/2026, às 06:00 (fuso UTC). Não será possível acessar o jogo durante este período. 
 [Tempo de manutenção estimado]
 &lt;color=#ffa200&gt;ggg minutos&lt;/color&gt;
 [Detalhes da atualização 0.85.0]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5" s="191" t="str">
        <f t="shared" si="6"/>
        <v>親愛的指揮官：
為了給大家帶來更好的遊戲體驗，我們預計在&lt;color=#ffa200&gt;UTC時間2026年02月10日06:00&lt;/color&gt;進行0.85.0版本更新。屆時服務器將進行&lt;color=#ffa200&gt;ggg分鐘&lt;/color&gt;維護，維護結束後猴子們可以選擇適當的網絡環境更新版本。
【更新時間】&lt;color=#ffa200&gt;2026年02月10日UTC06:00&lt;/color&gt;，屆時您將無法進入遊戲。
【預計維護時長】&lt;color=#ffa200&gt;ggg分鐘&lt;/color&gt;
【0.85.0更新內容】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5" s="191" t="str">
        <f t="shared" si="6"/>
        <v>Kapten yang terhormat,
 Untuk memberikanmu pengalaman bermain yang lebih baik, kami berencana untuk merilis pembaruan versi 0.85.0 pada &lt;color=#ffa200&gt;2026-02-10 pukul 06:00 UTC&lt;/color&gt;. Pada saat itu, kami akan melakukan pemeliharaan server yang berlangsung kira-kira &lt;color=#ffa200&gt;ggg menit&lt;/color&gt;. Kamu bisa memperbarui game setelah pemeliharaan server selesai. 
 [Waktu Pembaruan]
 06:00 UTC, 2026-02-10; kamu tidak akan bisa mengakses game selama waktu tersebut. 
 [Perkiraan Durasi Pemeliharaan]
 &lt;color=#ffa200&gt;ggg menit&lt;/color&gt;
 [0.85.0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5" s="191" t="str">
        <f t="shared" si="6"/>
        <v>ถึงท่านผู้บัญชาการ
 เพื่อให้นายได้รับประสบการณ์การเล่นเกมที่ดีขึ้น เราวางแผนที่จะปล่อยอัปเดตเวอร์ชัน 0.85.0 ในวันที่ &lt;color=#ffa200&gt;2026-02-10 ในเวลา 06:00 ตามเวลา UTC&lt;/color&gt; ซึ่งในเวลาดังกล่าว เราจะทำการบำรุงรักษาเซิร์ฟเวอร์เป็นเวลาประมาณ &lt;color=#ffa200&gt;ggg นาที&lt;/color&gt; นายจะสามารถอัปเดตเกมได้เมื่อเราทำการบำรุงรักษาเซิร์ฟเวอร์เสร็จสิ้นแล้ว
 [เวลาอัปเดต]
 06:00 UTC 2026-02-10; นายจะไม่สามารถเข้าเล่นเกมได้ในช่วงเวลานี้ 
 [ระยะเวลาการบำรุงรักษาโดยประมาณ]
 &lt;color=#ffa200&gt;ggg นาที&lt;/color&gt;
 [0.85.0 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5" s="191" t="str">
        <f t="shared" si="6"/>
        <v>Querido Capitán,
 Para poder brindarte una mejor experiencia de juego, planeamos liberar una actualización a la versión 0.85.0 el &lt;color=#ffa200&gt;10-02-2026 a las 06:00 UTC&lt;/color&gt;. En ese momento, realizaremos un mantenimiento de servidor que tendrá una duración aproximada de &lt;color=#ffa200&gt;ggg minutos&lt;/color&gt;. Podrás actualizar el juego una vez que el mantenimiento del servidor esté completo.
 [Hora de la Actualización]
 06:00 UTC, 10-02-2026; no podrás acceder al juego durante esta hora. 
 [Duración Estimada del Mantenimiento]
 &lt;color=#ffa200&gt;ggg minutos&lt;/color&gt;
 [Detalles de la actualización 0.85.0]
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5" s="191" t="str">
        <f t="shared" si="6"/>
        <v>Уважаемый капитан!
Для того чтобы подарить вам наилучшие впечатления от игры, мы планируем выпустить обновление версии 0.85.0 &lt;color=#ffa200&gt;10.02.2026 в 06:00 UTC&lt;/color&gt;. Мы проведем техническое обслуживание сервера, которое продлится примерно &lt;color=#ffa200&gt;ggg минут&lt;/color&gt;. Вы сможете обновить игру, когда обслуживание закончится.
[Время обновления]
10.02.2026, 06:00 UTC. Во время обновления вы не сможете получить доступ к игре. 
[Ожидаемая длительность обслуживания]
&lt;color=#ffa200&gt;ggg минут&lt;/color&gt;
[Детали обновления 0.85.0]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5" s="191" t="str">
        <f t="shared" si="6"/>
        <v>Sevgili Kaptan,
 Sana daha iyi bir oyun deneyimi sunmak adına sürüm 0.85.0 güncellemesini &lt;color=#ffa200&gt;10.02.2026 saat 06.00’da (UTC)&lt;/color&gt; yayımlamayı planlıyoruz. O esnada yaklaşık &lt;color=#ffa200&gt;ggg dakika&lt;/color&gt; sürecek bir sunucu bakımı gerçekleştireceğiz. Sunucu bakımı tamamlanınca oyunu güncelleyebilirsin.
 [Güncelleme Zamanı]
 06.00 (UTC), 10.02.2026; bu sırada oyuna erişim sağlayamayacaksın. 
 [Tahmini Bakım Süresi]
 &lt;color=#ffa200&gt;ggg dakika&lt;/color&gt;
 [0.85.0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5" s="191" t="str">
        <f t="shared" si="6"/>
        <v>Thưa Thủ Lĩnh,
 Để đem lại cho bạn trải nghiệm chơi game tốt hơn, chúng tôi dự định sẽ phát hành bản cập nhật 0.85.0 vào lúc &lt;color=#ffa200&gt;06:00 UTC ngày 10/02/2026&lt;/color&gt;. Cùng lúc đó, chúng tôi cũng sẽ thực hiện bảo trì máy chủ kéo dài khoảng &lt;color=#ffa200&gt;ggg phút&lt;/color&gt;. Bạn có thể cập nhật lại game khi quá trình bảo trì máy chủ được hoàn tất.
 [Thời gian cập nhật]
 06:00 UTC, ngày 10/02/2026; bạn sẽ không thể truy cập vào game trong khoảng thời gian này. 
 [Thời lượng bảo trì ước tính]
 &lt;color=#ffa200&gt;ggg phút&lt;/color&gt;
 [Thông tin bản cập nhật 0.85.0]
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5" s="191" t="str">
        <f t="shared" si="6"/>
        <v>Caro Capitano,
Per offrirti un'esperienza di gioco migliore, abbiamo pianificato di rilasciare l'aggiornamento alla versione 0.85.0 il &lt;color=#ffa200&gt;2026-02-10 alle 06:00 UTC&lt;/color&gt;. In quel momento, effettueremo una manutenzione del server della durata approssimativa di &lt;color=#ffa200&gt;ggg minuti&lt;/color&gt;. Potrai aggiornare il gioco una volta completata la manutenzione del server.
[Orario di aggiornamento]
06:00 UTC, 2026-02-10; durante questo periodo non potrai accedere al gioco.
[Durata stimata della manutenzione]
&lt;color=#ffa200&gt;ggg minuti&lt;/color&gt;
[Dettagli dell'aggiornamento 0.85.0]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5" s="191" t="str">
        <f t="shared" si="6"/>
        <v>Szanowny Kapitanie,
Aby zapewnić ci lepsze wrażenia z gry, planujemy wydać aktualizację wersji 0.85.0 dnia 2026-02-10 o godzinie 06:00 UTC. W tym czasie przeprowadzimy konserwację serwera trwającą około ggg minut. Po zakończeniu konserwacji serwera możesz zaktualizować grę.
[Czas aktualizacji]
06:00 UTC, 2026-02-10; w tym czasie nie będziesz mógł uzyskać dostępu do gry.
[Przewidywany czas trwania konserwacji]
&lt;color=#ffa200&gt;ggg minut&lt;/color&gt;
[Szczegóły aktualizacji 0.85.0]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5" s="67" t="str">
        <f t="shared" si="6"/>
        <v>عزيزي الزعيم،\nمن أجل تقديم تجربة لعب أفضل، نخطط لإصدار تحديث إصدار 0.85.0 في &lt;color=#ffa200&gt;2026-02-10 في الساعة 06:00 UTC&lt;/color&gt;. في ذلك الوقت، سنقوم بإجراء صيانة للخادم تستغرق حوالي &lt;color=#ffa200&gt;ggg دقائق&lt;/color&gt;.   يرجى تنزيل إصدار اللعبة الجديد وتسجيل الدخول إلى اللعبة للحصول على المكافأة في بريدك.\n[وقت التحديث]\n06:00 UTC، 2026-02-10؛ لن تتمكن من الوصول إلى اللعبة خلال هذا الوقت.\n[المدة المتوقعة للصيانة]\n&lt;color=#ffa200&gt;ggg دقائق&lt;/color&gt;\n[تفاصيل تحديث 0.85.0]\nhhh\nيرجى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5" s="67" t="str">
        <f t="shared" si="6"/>
        <v>尊敬する指揮官どの、
より良いゲーム体験を提供するために、&lt;color=#ffa200&gt;2026-02-10の06:00 UTC&lt;/color&gt;にバージョン0.85.0更新をリリースする予定です。その時点で、約&lt;color=#ffa200&gt;ggg分間&lt;/color&gt;のサーバーメンテナンスを実施します。サーバーメンテナンスが完了次第、ゲームのアップデートが可能になります。
[アップデート時間]
06:00 UTC, 2026-02-10; この時間帯はゲームにアクセスできません。
[予想メンテナンス時間]
&lt;color=#ffa200&gt;ggg分間&lt;/color&gt;
[0.85.0更新の詳細]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5" s="67" t="str">
        <f t="shared" si="6"/>
        <v>친애하는 대장님,
더 나은 게임 경험을 제공하기 위해, 우리는 &lt;color=#ffa200&gt;2026-02-10 06:00 UTC&lt;/color&gt;에 버전 0.85.0 업데이트를 출시할 계획입니다. 그 시간에 우리는 약 &lt;color=#ffa200&gt;ggg분&lt;/color&gt; 동안 서버 유지보수를 진행할 것입니다. 서버 유지보수가 완료되면 게임을 업데이트할 수 있습니다.
[업데이트 시간]
06:00 UTC, 2026-02-10; 이 시간 동안 게임에 접속할 수 없습니다.
[예상 유지보수 기간]
&lt;color=#ffa200&gt;ggg분&lt;/color&gt;
[0.85.0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6" hidden="1">
      <c r="A26" s="14" t="s">
        <v>1139</v>
      </c>
      <c r="B26" s="191" t="str">
        <f t="shared" ref="B26:R26" si="7">SUBSTITUTE(B25,"ggg",$B$18)</f>
        <v>亲爱的指挥官：
为了给大家带来更好的游戏体验，我们预计在&lt;color=#ffa200&gt;UTC时间2026年02月10日06:00&lt;/color&gt;进行0.85.0版本更新。届时服务器将进行&lt;color=#ffa200&gt;60分钟&lt;/color&gt;维护，维护结束后猴子们可以选择适当的网络环境更新版本。
【更新时间】&lt;color=#ffa200&gt;2026年02月10日UTC06:00&lt;/color&gt;，届时您将无法进入游戏。
【预计维护时长】&lt;color=#ffa200&gt;60分钟&lt;/color&gt;
【0.85.0更新内容】
hhh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6" s="191" t="str">
        <f t="shared" si="7"/>
        <v>Dear Captain,
In order to bring you a better gaming experience, we plan to release the version 0.85.0 update on &lt;color=#ffa200&gt;2026-02-10 at 06:00 UTC&lt;/color&gt;. At that time, we will conduct server maintenance lasting approximately &lt;color=#ffa200&gt;60 minutes&lt;/color&gt;. You may update the game once server maintenance is complete. 
[Update Time]
06:00 UTC, 2026-02-10; you will not be able to access the game during this time.
[Estimated Maintenance Duration]
&lt;color=#ffa200&gt;60 minutes&lt;/color&gt;
[0.85.0 Update Details]
hhh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6" s="191" t="str">
        <f t="shared" si="7"/>
        <v>Cher capitaine,
Afin d’améliorer votre expérience de jeu, nous prévoyons le lancement de la mise à jour 0.85.0 le &lt;color=#ffa200&gt; 06:00 UTC, 10-02-2026 &lt;/color&gt;. Nous procéderons alors à une maintenance des serveurs qui durera environ &lt;color=#ffa200&gt;60 minutes&lt;/color&gt;. Une fois les opérations terminées, vous pourrez mettre votre jeu à jour. 
[Horaire de mise à jour]
 06:00 UTC, 10-02-2026(TU). Pendant le déploiement, vous ne pourrez plus accéder au jeu.
[Durée estimée de la maintenance]
&lt;color=#ffa200&gt;60 minutes&lt;/color&gt;
[Détails de la mise à jour 0.85.0]
hhh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6" s="191" t="str">
        <f t="shared" si="7"/>
        <v>Lieber Captain,
 Um dir ein besseres Spielerlebnis zu bieten, werden wir am &lt;color=#ffa200&gt;10.02.2026 um 06:00 UTC&lt;/color&gt; das Update auf Version 0.85.0 durchzuführen. Wir werden zu diesem Zeitpunkt eine Serverwartung durchführen, die etwa &lt;color=#ffa200&gt;60 Minuten&lt;/color&gt; dauern wird. Du kannst das Spiel aktualisieren, sobald die Serverwartung abgeschlossen ist. 
 [Update-Zeit]
 10.02.2026, 06:00 UTC; du wirst während dieser Zeit nicht auf das Spiel zugreifen können. 
 [Geschätzte Wartungsdauer]
 &lt;color=#ffa200&gt;60 Minuten&lt;/color&gt;
 [0.85.0 Update-Details]
hhh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6" s="191" t="str">
        <f t="shared" si="7"/>
        <v>Caro Capitão,
 Para melhorar a experiência de jogo, planejamos lançar a atualização 0.85.0 em &lt;color=#ffa200&gt;10/02/2026 às 06:00 (fuso UTC)&lt;/color&gt;. No momento, estamos fazendo a manutenção do jogo, que durará cerca de &lt;color=#ffa200&gt;60 minutos&lt;/color&gt;. Você poderá atualizar o jogo assim que a manutenção do servidor for concluída.
 [Horário da atualização]
 10/02/2026, às 06:00 (fuso UTC). Não será possível acessar o jogo durante este período. 
 [Tempo de manutenção estimado]
 &lt;color=#ffa200&gt;60 minutos&lt;/color&gt;
 [Detalhes da atualização 0.85.0]
 hhh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6" s="191" t="str">
        <f t="shared" si="7"/>
        <v>親愛的指揮官：
為了給大家帶來更好的遊戲體驗，我們預計在&lt;color=#ffa200&gt;UTC時間2026年02月10日06:00&lt;/color&gt;進行0.85.0版本更新。屆時服務器將進行&lt;color=#ffa200&gt;60分鐘&lt;/color&gt;維護，維護結束後猴子們可以選擇適當的網絡環境更新版本。
【更新時間】&lt;color=#ffa200&gt;2026年02月10日UTC06:00&lt;/color&gt;，屆時您將無法進入遊戲。
【預計維護時長】&lt;color=#ffa200&gt;60分鐘&lt;/color&gt;
【0.85.0更新內容】
hhh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6" s="191" t="str">
        <f t="shared" si="7"/>
        <v>Kapten yang terhormat,
 Untuk memberikanmu pengalaman bermain yang lebih baik, kami berencana untuk merilis pembaruan versi 0.85.0 pada &lt;color=#ffa200&gt;2026-02-10 pukul 06:00 UTC&lt;/color&gt;. Pada saat itu, kami akan melakukan pemeliharaan server yang berlangsung kira-kira &lt;color=#ffa200&gt;60 menit&lt;/color&gt;. Kamu bisa memperbarui game setelah pemeliharaan server selesai. 
 [Waktu Pembaruan]
 06:00 UTC, 2026-02-10; kamu tidak akan bisa mengakses game selama waktu tersebut. 
 [Perkiraan Durasi Pemeliharaan]
 &lt;color=#ffa200&gt;60 menit&lt;/color&gt;
 [0.85.0 Rincian Pembaruan]
hhh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6" s="191" t="str">
        <f t="shared" si="7"/>
        <v>ถึงท่านผู้บัญชาการ
 เพื่อให้นายได้รับประสบการณ์การเล่นเกมที่ดีขึ้น เราวางแผนที่จะปล่อยอัปเดตเวอร์ชัน 0.85.0 ในวันที่ &lt;color=#ffa200&gt;2026-02-10 ในเวลา 06:00 ตามเวลา UTC&lt;/color&gt; ซึ่งในเวลาดังกล่าว เราจะทำการบำรุงรักษาเซิร์ฟเวอร์เป็นเวลาประมาณ &lt;color=#ffa200&gt;60 นาที&lt;/color&gt; นายจะสามารถอัปเดตเกมได้เมื่อเราทำการบำรุงรักษาเซิร์ฟเวอร์เสร็จสิ้นแล้ว
 [เวลาอัปเดต]
 06:00 UTC 2026-02-10; นายจะไม่สามารถเข้าเล่นเกมได้ในช่วงเวลานี้ 
 [ระยะเวลาการบำรุงรักษาโดยประมาณ]
 &lt;color=#ffa200&gt;60 นาที&lt;/color&gt;
 [0.85.0 รายละเอียดการอัปเดต]
hhh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6" s="191" t="str">
        <f t="shared" si="7"/>
        <v>Querido Capitán,
 Para poder brindarte una mejor experiencia de juego, planeamos liberar una actualización a la versión 0.85.0 el &lt;color=#ffa200&gt;10-02-2026 a las 06:00 UTC&lt;/color&gt;. En ese momento, realizaremos un mantenimiento de servidor que tendrá una duración aproximada de &lt;color=#ffa200&gt;60 minutos&lt;/color&gt;. Podrás actualizar el juego una vez que el mantenimiento del servidor esté completo.
 [Hora de la Actualización]
 06:00 UTC, 10-02-2026; no podrás acceder al juego durante esta hora. 
 [Duración Estimada del Mantenimiento]
 &lt;color=#ffa200&gt;60 minutos&lt;/color&gt;
 [Detalles de la actualización 0.85.0]
hhh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6" s="191" t="str">
        <f t="shared" si="7"/>
        <v>Уважаемый капитан!
Для того чтобы подарить вам наилучшие впечатления от игры, мы планируем выпустить обновление версии 0.85.0 &lt;color=#ffa200&gt;10.02.2026 в 06:00 UTC&lt;/color&gt;. Мы проведем техническое обслуживание сервера, которое продлится примерно &lt;color=#ffa200&gt;60 минут&lt;/color&gt;. Вы сможете обновить игру, когда обслуживание закончится.
[Время обновления]
10.02.2026, 06:00 UTC. Во время обновления вы не сможете получить доступ к игре. 
[Ожидаемая длительность обслуживания]
&lt;color=#ffa200&gt;60 минут&lt;/color&gt;
[Детали обновления 0.85.0]
hhh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6" s="191" t="str">
        <f t="shared" si="7"/>
        <v>Sevgili Kaptan,
 Sana daha iyi bir oyun deneyimi sunmak adına sürüm 0.85.0 güncellemesini &lt;color=#ffa200&gt;10.02.2026 saat 06.00’da (UTC)&lt;/color&gt; yayımlamayı planlıyoruz. O esnada yaklaşık &lt;color=#ffa200&gt;60 dakika&lt;/color&gt; sürecek bir sunucu bakımı gerçekleştireceğiz. Sunucu bakımı tamamlanınca oyunu güncelleyebilirsin.
 [Güncelleme Zamanı]
 06.00 (UTC), 10.02.2026; bu sırada oyuna erişim sağlayamayacaksın. 
 [Tahmini Bakım Süresi]
 &lt;color=#ffa200&gt;60 dakika&lt;/color&gt;
 [0.85.0 Güncelleme Bilgileri]
hhh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6" s="191" t="str">
        <f t="shared" si="7"/>
        <v>Thưa Thủ Lĩnh,
 Để đem lại cho bạn trải nghiệm chơi game tốt hơn, chúng tôi dự định sẽ phát hành bản cập nhật 0.85.0 vào lúc &lt;color=#ffa200&gt;06:00 UTC ngày 10/02/2026&lt;/color&gt;. Cùng lúc đó, chúng tôi cũng sẽ thực hiện bảo trì máy chủ kéo dài khoảng &lt;color=#ffa200&gt;60 phút&lt;/color&gt;. Bạn có thể cập nhật lại game khi quá trình bảo trì máy chủ được hoàn tất.
 [Thời gian cập nhật]
 06:00 UTC, ngày 10/02/2026; bạn sẽ không thể truy cập vào game trong khoảng thời gian này. 
 [Thời lượng bảo trì ước tính]
 &lt;color=#ffa200&gt;60 phút&lt;/color&gt;
 [Thông tin bản cập nhật 0.85.0]
hhh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6" s="191" t="str">
        <f t="shared" si="7"/>
        <v>Caro Capitano,
Per offrirti un'esperienza di gioco migliore, abbiamo pianificato di rilasciare l'aggiornamento alla versione 0.85.0 il &lt;color=#ffa200&gt;2026-02-10 alle 06:00 UTC&lt;/color&gt;. In quel momento, effettueremo una manutenzione del server della durata approssimativa di &lt;color=#ffa200&gt;60 minuti&lt;/color&gt;. Potrai aggiornare il gioco una volta completata la manutenzione del server.
[Orario di aggiornamento]
06:00 UTC, 2026-02-10; durante questo periodo non potrai accedere al gioco.
[Durata stimata della manutenzione]
&lt;color=#ffa200&gt;60 minuti&lt;/color&gt;
[Dettagli dell'aggiornamento 0.85.0]
hhh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6" s="191" t="str">
        <f t="shared" si="7"/>
        <v>Szanowny Kapitanie,
Aby zapewnić ci lepsze wrażenia z gry, planujemy wydać aktualizację wersji 0.85.0 dnia 2026-02-10 o godzinie 06:00 UTC. W tym czasie przeprowadzimy konserwację serwera trwającą około 60 minut. Po zakończeniu konserwacji serwera możesz zaktualizować grę.
[Czas aktualizacji]
06:00 UTC, 2026-02-10; w tym czasie nie będziesz mógł uzyskać dostępu do gry.
[Przewidywany czas trwania konserwacji]
&lt;color=#ffa200&gt;60 minut&lt;/color&gt;
[Szczegóły aktualizacji 0.85.0]
hhh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6" s="67" t="str">
        <f t="shared" si="7"/>
        <v>عزيزي الزعيم،\nمن أجل تقديم تجربة لعب أفضل، نخطط لإصدار تحديث إصدار 0.85.0 في &lt;color=#ffa200&gt;2026-02-10 في الساعة 06:00 UTC&lt;/color&gt;. في ذلك الوقت، سنقوم بإجراء صيانة للخادم تستغرق حوالي &lt;color=#ffa200&gt;60 دقائق&lt;/color&gt;.   يرجى تنزيل إصدار اللعبة الجديد وتسجيل الدخول إلى اللعبة للحصول على المكافأة في بريدك.\n[وقت التحديث]\n06:00 UTC، 2026-02-10؛ لن تتمكن من الوصول إلى اللعبة خلال هذا الوقت.\n[المدة المتوقعة للصيانة]\n&lt;color=#ffa200&gt;60 دقائق&lt;/color&gt;\n[تفاصيل تحديث 0.85.0]\nhhh\nيرجى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6" s="67" t="str">
        <f t="shared" si="7"/>
        <v>尊敬する指揮官どの、
より良いゲーム体験を提供するために、&lt;color=#ffa200&gt;2026-02-10の06:00 UTC&lt;/color&gt;にバージョン0.85.0更新をリリースする予定です。その時点で、約&lt;color=#ffa200&gt;60分間&lt;/color&gt;のサーバーメンテナンスを実施します。サーバーメンテナンスが完了次第、ゲームのアップデートが可能になります。
[アップデート時間]
06:00 UTC, 2026-02-10; この時間帯はゲームにアクセスできません。
[予想メンテナンス時間]
&lt;color=#ffa200&gt;60分間&lt;/color&gt;
[0.85.0更新の詳細]
hhh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6" s="67" t="str">
        <f t="shared" si="7"/>
        <v>친애하는 대장님,
더 나은 게임 경험을 제공하기 위해, 우리는 &lt;color=#ffa200&gt;2026-02-10 06:00 UTC&lt;/color&gt;에 버전 0.85.0 업데이트를 출시할 계획입니다. 그 시간에 우리는 약 &lt;color=#ffa200&gt;60분&lt;/color&gt; 동안 서버 유지보수를 진행할 것입니다. 서버 유지보수가 완료되면 게임을 업데이트할 수 있습니다.
[업데이트 시간]
06:00 UTC, 2026-02-10; 이 시간 동안 게임에 접속할 수 없습니다.
[예상 유지보수 기간]
&lt;color=#ffa200&gt;60분&lt;/color&gt;
[0.85.0 업데이트 세부 사항]
hhh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7" hidden="1">
      <c r="A27" s="108"/>
      <c r="B27" s="108" t="str">
        <f>SUBSTITUTE(B26,"hhh",VLOOKUP($B$12,'4、长版whats new'!$A:$M,2,0))</f>
        <v>亲爱的指挥官：
为了给大家带来更好的游戏体验，我们预计在&lt;color=#ffa200&gt;UTC时间2026年02月10日06:00&lt;/color&gt;进行0.85.0版本更新。届时服务器将进行&lt;color=#ffa200&gt;60分钟&lt;/color&gt;维护，维护结束后猴子们可以选择适当的网络环境更新版本。
【更新时间】&lt;color=#ffa200&gt;2026年02月10日UTC06:00&lt;/color&gt;，届时您将无法进入游戏。
【预计维护时长】&lt;color=#ffa200&gt;60分钟&lt;/color&gt;
【0.85.0更新内容】
-斗士系统：新增超凡品质斗士“天外探索者-艾里奥特”！艾里奥特可与任意传说斗士进行同频，获取该斗士的能力。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
-科研优化：调整个人科研解锁条件。
-集卡册优化：调整卡片获取途径，优化解锁条件。
-战车优化：无畏之心号战车增加新特性，受到治疗效果后获得攻击力加成。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27" s="108" t="str">
        <f>SUBSTITUTE(C26,"hhh",VLOOKUP($B$12,'4、长版whats new'!$A:$M,3,0))</f>
        <v>Dear Captain,
In order to bring you a better gaming experience, we plan to release the version 0.85.0 update on &lt;color=#ffa200&gt;2026-02-10 at 06:00 UTC&lt;/color&gt;. At that time, we will conduct server maintenance lasting approximately &lt;color=#ffa200&gt;60 minutes&lt;/color&gt;. You may update the game once server maintenance is complete. 
[Update Time]
06:00 UTC, 2026-02-10; you will not be able to access the game during this time.
[Estimated Maintenance Duration]
&lt;color=#ffa200&gt;60 minutes&lt;/color&gt;
[0.85.0 Update Details]
-Fighter System: New Super Fighter ‘Cosmic Pathfinder - Elliot’! Elliot can Sync with any Legendary Fighter to gain that Fighter’s abilities.
-Gene Quests: Planet Wars now includes Gene Fragment Quests. Complete them to claim tier rewards.
-New Fighter Statue: Hilda. Add more brilliance to your city!
-Colin’s Exploration: Join the event to win Radar decorations and unlock special buffs!
-Research Optimization: Adjusted unlock requirements for Personal Research.
-Card Album Optimization: Adjusted card sources and optimized unlock requirements.
-Carrier Optimization: The “Intrepid Heart” now gains a new trait—after receiving healing, it grants an attack bonus.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27" s="108" t="str">
        <f>SUBSTITUTE(D26,"hhh",VLOOKUP($B$12,'4、长版whats new'!$A:$M,4,0))</f>
        <v>Cher capitaine,
Afin d’améliorer votre expérience de jeu, nous prévoyons le lancement de la mise à jour 0.85.0 le &lt;color=#ffa200&gt; 06:00 UTC, 10-02-2026 &lt;/color&gt;. Nous procéderons alors à une maintenance des serveurs qui durera environ &lt;color=#ffa200&gt;60 minutes&lt;/color&gt;. Une fois les opérations terminées, vous pourrez mettre votre jeu à jour. 
[Horaire de mise à jour]
 06:00 UTC, 10-02-2026(TU). Pendant le déploiement, vous ne pourrez plus accéder au jeu.
[Durée estimée de la maintenance]
&lt;color=#ffa200&gt;60 minutes&lt;/color&gt;
[Détails de la mise à jour 0.85.0]
- Système de combattant : Nouveau super combattant « Éclaireur cosmique - Elliot » ! Elliot peut synchroniser avec tous les combattants légendaires pour obtenir leurs capacités.
- Quêtes de gène : Guerre planétaire inclut désormais des quêtes de fragment génétique. Terminez-les pour recevoir des récompenses de palier.
- Nouvelle statue du combattant : Hilda. Ajoutez plus de brillance à votre ville !
- Exploration de Colin : Rejoignez l’événement pour gagner des décorations radar et débloquer des boosts spéciaux !
-Optimisation de la recherche : Conditions de déblocage ajustées pour la Recherche Perso.
-Optimisation de l’album de cartes : Sources de cartes ajustées et conditions de déblocage optimisées.
-Optimisation du transporteur : Le « Cœur intrépide » obtient désormais un nouveau trait : après avoir été soigné, il accorde un bonus d’attaque.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27" s="108" t="str">
        <f>SUBSTITUTE(E26,"hhh",VLOOKUP($B$12,'4、长版whats new'!$A:$M,5,0))</f>
        <v>Lieber Captain,
 Um dir ein besseres Spielerlebnis zu bieten, werden wir am &lt;color=#ffa200&gt;10.02.2026 um 06:00 UTC&lt;/color&gt; das Update auf Version 0.85.0 durchzuführen. Wir werden zu diesem Zeitpunkt eine Serverwartung durchführen, die etwa &lt;color=#ffa200&gt;60 Minuten&lt;/color&gt; dauern wird. Du kannst das Spiel aktualisieren, sobald die Serverwartung abgeschlossen ist. 
 [Update-Zeit]
 10.02.2026, 06:00 UTC; du wirst während dieser Zeit nicht auf das Spiel zugreifen können. 
 [Geschätzte Wartungsdauer]
 &lt;color=#ffa200&gt;60 Minuten&lt;/color&gt;
 [0.85.0 Update-Details]
- Kämpfer-System: Neuer Super-Kämpfer „Kosmischer Pfadfinder - Elliot“! Elliot kann sich mit jedem legendären Kämpfer synchronisieren, um dessen Fähigkeiten zu erhalten.
- Gen-Quests: Planetenkriege enthalten jetzt Gen-Fragment-Quests. Schließe sie ab, um Stufenbelohnungen zu beanspruchen.
- Neue Kämpfer-Statue: Hilda. Füge deiner Stadt noch mehr Glanz hinzu!
- Colins Erkundung: Nimm am Event teil, um Radar-Dekorationen zu gewinnen und spezielle Buffs freizuschalten!
- Forschungsoptimierung: Anforderungen zum Freischalten der Persönlichen Forschung angepasst.
- Kartenalbum-Optimierung: Kartenquellen angepasst und Anforderungen zum Freischalten optimiert.
- Träger-Optimierung: Das „Furchtloses Herz“ erhält nun eine neue Eigenschaft – nach dem Erhalt von Heilung verleiht es einen Angriffsbonus.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27" s="108" t="str">
        <f>SUBSTITUTE(F26,"hhh",VLOOKUP($B$12,'4、长版whats new'!$A:$M,6,0))</f>
        <v>Caro Capitão,
 Para melhorar a experiência de jogo, planejamos lançar a atualização 0.85.0 em &lt;color=#ffa200&gt;10/02/2026 às 06:00 (fuso UTC)&lt;/color&gt;. No momento, estamos fazendo a manutenção do jogo, que durará cerca de &lt;color=#ffa200&gt;60 minutos&lt;/color&gt;. Você poderá atualizar o jogo assim que a manutenção do servidor for concluída.
 [Horário da atualização]
 10/02/2026, às 06:00 (fuso UTC). Não será possível acessar o jogo durante este período. 
 [Tempo de manutenção estimado]
 &lt;color=#ffa200&gt;60 minutos&lt;/color&gt;
 [Detalhes da atualização 0.85.0]
 -Sistema de Combatente: Novo Super Combatente ‘Desbravador Cósmico - Elliot’! Elliot pode sincronizar com qualquer Combatente Lendário para obter as habilidades desse Combatente.
-Missões de Genes: Guerra Interplanetária agora inclui Missões de Fragmento de Genes. Complete-as para resgatar recompensas de nível.
-Nova Estátua Combatente: Hilda. Adicione mais brilho à sua cidade!
-Exploração de Colin: Entre no evento para ganhar decorações de Radar e desbloquear auxílios especiais!
- Otimização de Pesquisa: Ajustados os requisitos de desbloqueio para Pesquisa Individual.
- Otimização do Álbum de Cartão: Ajustadas as fontes de cartão e otimizados os requisitos de desbloqueio.
- Otimização do Porta-Aviões: O “Coração Corajoso” agora ganha um novo atributo—após receber cura, concede um bônus de ataque.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27" s="108" t="str">
        <f>SUBSTITUTE(G26,"hhh",VLOOKUP($B$12,'4、长版whats new'!$A:$M,7,0))</f>
        <v>親愛的指揮官：
為了給大家帶來更好的遊戲體驗，我們預計在&lt;color=#ffa200&gt;UTC時間2026年02月10日06:00&lt;/color&gt;進行0.85.0版本更新。屆時服務器將進行&lt;color=#ffa200&gt;60分鐘&lt;/color&gt;維護，維護結束後猴子們可以選擇適當的網絡環境更新版本。
【更新時間】&lt;color=#ffa200&gt;2026年02月10日UTC06:00&lt;/color&gt;，屆時您將無法進入遊戲。
【預計維護時長】&lt;color=#ffa200&gt;60分鐘&lt;/color&gt;
【0.85.0更新內容】
-鬥士系統：新增超凡品質鬥士「天外探索者-艾里奧特」！艾里奧特可與任意傳說英雄進行同頻，取得該鬥士的能力。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-研究優化：調整個人研究開啟條件。
-集卡冊優化：調整卡片獲取途徑，優化開啟條件。
-戰車優化：無畏之心號戰車增加新特性，治療效果後獲得攻擊力加成。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27" s="108" t="str">
        <f>SUBSTITUTE(H26,"hhh",VLOOKUP($B$12,'4、长版whats new'!$A:$M,8,0))</f>
        <v>Kapten yang terhormat,
 Untuk memberikanmu pengalaman bermain yang lebih baik, kami berencana untuk merilis pembaruan versi 0.85.0 pada &lt;color=#ffa200&gt;2026-02-10 pukul 06:00 UTC&lt;/color&gt;. Pada saat itu, kami akan melakukan pemeliharaan server yang berlangsung kira-kira &lt;color=#ffa200&gt;60 menit&lt;/color&gt;. Kamu bisa memperbarui game setelah pemeliharaan server selesai. 
 [Waktu Pembaruan]
 06:00 UTC, 2026-02-10; kamu tidak akan bisa mengakses game selama waktu tersebut. 
 [Perkiraan Durasi Pemeliharaan]
 &lt;color=#ffa200&gt;60 menit&lt;/color&gt;
 [0.85.0 Rincian Pembaruan]
-Sistem Pejuang: Pejuang Super Baru ‘Perintis Kosmik - Elliot’! Elliot dapat Sinkronisasi dengan Pejuang Legendaris mana pun untuk mendapatkan kemampuan Pejuang tersebut.
-Tantangan Gen: Perang Planet sekarang mencakup Tantangan Potongan Gen. Selesaikan untuk klaim hadiah tingkat.
-Patung Pejuang Baru: Hilda. Tambahkan lebih banyak kemegahan ke kota kamu!
-Eksplorasi Colin: Bergabunglah dalam event untuk memenangkan dekorasi Radar dan buka keunggulan spesial!
-Optimasi Penelitian: Persyaratan buka untuk Penelitian Individu telah disesuaikan.
-Optimasi Album Kartu: Sumber kartu disesuaikan dan persyaratan buka dioptimalkan.
-Optimasi Pembawa: ""Hati Pemberani"" kini mendapatkan sifat baru—setelah menerima pemulihan, memberikan bonus serangan.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27" s="108" t="str">
        <f>SUBSTITUTE(I26,"hhh",VLOOKUP($B$12,'4、长版whats new'!$A:$M,9,0))</f>
        <v>ถึงท่านผู้บัญชาการ
 เพื่อให้นายได้รับประสบการณ์การเล่นเกมที่ดีขึ้น เราวางแผนที่จะปล่อยอัปเดตเวอร์ชัน 0.85.0 ในวันที่ &lt;color=#ffa200&gt;2026-02-10 ในเวลา 06:00 ตามเวลา UTC&lt;/color&gt; ซึ่งในเวลาดังกล่าว เราจะทำการบำรุงรักษาเซิร์ฟเวอร์เป็นเวลาประมาณ &lt;color=#ffa200&gt;60 นาที&lt;/color&gt; นายจะสามารถอัปเดตเกมได้เมื่อเราทำการบำรุงรักษาเซิร์ฟเวอร์เสร็จสิ้นแล้ว
 [เวลาอัปเดต]
 06:00 UTC 2026-02-10; นายจะไม่สามารถเข้าเล่นเกมได้ในช่วงเวลานี้ 
 [ระยะเวลาการบำรุงรักษาโดยประมาณ]
 &lt;color=#ffa200&gt;60 นาที&lt;/color&gt;
 [0.85.0 รายละเอียดการอัปเดต]
-ระบบนักสู้: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
-ปรับปรุงการวิจัย: ปรับข้อกำหนดการปลดล็อกสำหรับการวิจัยส่วนบุคคล  
-ปรับปรุงอัลบั้มการ์ด: ปรับแหล่งที่มาของการ์ดและปรับข้อกำหนดการปลดล็อกให้เหมาะสม  
-ปรับปรุงลิงขนส่ง: ""หัวใจแห่งความกล้าหาญ"" จะได้รับคุณสมบัติใหม่—หลังจากได้รับการรักษาแล้ว จะให้โบนัสการโจมตี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27" s="108" t="str">
        <f>SUBSTITUTE(J26,"hhh",VLOOKUP($B$12,'4、长版whats new'!$A:$M,10,0))</f>
        <v>Querido Capitán,
 Para poder brindarte una mejor experiencia de juego, planeamos liberar una actualización a la versión 0.85.0 el &lt;color=#ffa200&gt;10-02-2026 a las 06:00 UTC&lt;/color&gt;. En ese momento, realizaremos un mantenimiento de servidor que tendrá una duración aproximada de &lt;color=#ffa200&gt;60 minutos&lt;/color&gt;. Podrás actualizar el juego una vez que el mantenimiento del servidor esté completo.
 [Hora de la Actualización]
 06:00 UTC, 10-02-2026; no podrás acceder al juego durante esta hora. 
 [Duración Estimada del Mantenimiento]
 &lt;color=#ffa200&gt;60 minutos&lt;/color&gt;
 [Detalles de la actualización 0.85.0]
-Sistema de Luchador: ¡Nuevo Súper Luchador ‘Pionero Cósmico - Elliot’! Elliot puede sincronizarse con cualquier Luchador Legendario para obtener las habilidades de ese Luchador.
-Misiones de Gen: Guerras Planetarias ahora incluye Misiones de Fragmento de Gen. Complétalas para reclamar recompensas de nivel.
-Nueva Estatua del Luchador: Hilda. ¡Añade más brillo a tu ciudad!
-Exploración de Colin: Únete al evento para ganar decoraciones de Radar y desbloquear bonificaciones especiales.
-Optimización de Investigación: Se ajustaron los requisitos de desbloqueo para la Investigación Personal.
-Optimización del Álbum de Tarjetas: Se ajustaron las fuentes de tarjetas y se optimizaron los requisitos de desbloqueo.
-Optimización de Portador: El “Corazón Intrépido” ahora obtiene un nuevo rasgo—después de recibir curación, concede una bonificación de ataque.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27" s="108" t="str">
        <f>SUBSTITUTE(K26,"hhh",VLOOKUP($B$12,'4、长版whats new'!$A:$M,11,0))</f>
        <v>Уважаемый капитан!
Для того чтобы подарить вам наилучшие впечатления от игры, мы планируем выпустить обновление версии 0.85.0 &lt;color=#ffa200&gt;10.02.2026 в 06:00 UTC&lt;/color&gt;. Мы проведем техническое обслуживание сервера, которое продлится примерно &lt;color=#ffa200&gt;60 минут&lt;/color&gt;. Вы сможете обновить игру, когда обслуживание закончится.
[Время обновления]
10.02.2026, 06:00 UTC. Во время обновления вы не сможете получить доступ к игре. 
[Ожидаемая длительность обслуживания]
&lt;color=#ffa200&gt;60 минут&lt;/color&gt;
[Детали обновления 0.85.0]
-Система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
-Оптимизация исследования: скорректированы требования для открытия Личного исследования.
-Оптимизация альбома карт: изменены источники карт и оптимизированы требования для открытия.
-Оптимизация авианосца: «Бесстрашное сердце» теперь получает новую особенность — после получения лечения оно дает бонус к атаке.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27" s="108" t="str">
        <f>SUBSTITUTE(L26,"hhh",VLOOKUP($B$12,'4、长版whats new'!$A:$M,12,0))</f>
        <v>Sevgili Kaptan,
 Sana daha iyi bir oyun deneyimi sunmak adına sürüm 0.85.0 güncellemesini &lt;color=#ffa200&gt;10.02.2026 saat 06.00’da (UTC)&lt;/color&gt; yayımlamayı planlıyoruz. O esnada yaklaşık &lt;color=#ffa200&gt;60 dakika&lt;/color&gt; sürecek bir sunucu bakımı gerçekleştireceğiz. Sunucu bakımı tamamlanınca oyunu güncelleyebilirsin.
 [Güncelleme Zamanı]
 06.00 (UTC), 10.02.2026; bu sırada oyuna erişim sağlayamayacaksın. 
 [Tahmini Bakım Süresi]
 &lt;color=#ffa200&gt;60 dakika&lt;/color&gt;
 [0.85.0 Güncelleme Bilgileri]
-Savaşçı Sistemi: Yeni Süper Savaşçı ‘Kozmik Yol Bulucu - Elliot’! Elliot, herhangi bir Efsanevi Savaşçı ile Senkronize olarak o Savaşçının yeteneklerini kazanabilir.
-Gen Maceraları: Gezegen Savaşları artık Gen Parçası Maceralarını içeriyor. Tamamla ve kademe ödüllerini al.
-Yeni Savaşçı Heykeli: Hilda. Şehrine daha fazla parlaklık kat!
-Colin’in Keşfi: Etkinliğe katıl, Radar süslemeleri kazan ve özel güçlendiricilerin kilidini aç!
- Araştırma Optimizasyonu: Kişisel Araştırma için kilit açma gereklilikleri ayarlandı.
- Kart Albümü Optimizasyonu: Kart kaynakları ayarlandı ve kilit açma gereklilikleri optimize edildi.
- Taşıyıcı Optimizasyonu: ""Cesur Yürek"" artık yeni bir özellik kazanıyor—iyileştirildikten sonra saldırı bonusu veriyor.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27" s="108" t="str">
        <f>SUBSTITUTE(M26,"hhh",VLOOKUP($B$12,'4、长版whats new'!$A:$M,13,0))</f>
        <v>Thưa Thủ Lĩnh,
 Để đem lại cho bạn trải nghiệm chơi game tốt hơn, chúng tôi dự định sẽ phát hành bản cập nhật 0.85.0 vào lúc &lt;color=#ffa200&gt;06:00 UTC ngày 10/02/2026&lt;/color&gt;. Cùng lúc đó, chúng tôi cũng sẽ thực hiện bảo trì máy chủ kéo dài khoảng &lt;color=#ffa200&gt;60 phút&lt;/color&gt;. Bạn có thể cập nhật lại game khi quá trình bảo trì máy chủ được hoàn tất.
 [Thời gian cập nhật]
 06:00 UTC, ngày 10/02/2026; bạn sẽ không thể truy cập vào game trong khoảng thời gian này. 
 [Thời lượng bảo trì ước tính]
 &lt;color=#ffa200&gt;60 phút&lt;/color&gt;
 [Thông tin bản cập nhật 0.85.0]
-Hệ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nhận thưởng bậc.
-Tượng Chiến Binh Mới: Hilda. Thêm rực rỡ cho thành phố của bạn!
-Khám Phá Của Colin: Tham gia sự kiện để nhận đồ trang trí Ra-đa và mở khóa hiệu ứng có lợi đặc biệt!
-Điều Chỉnh Nghiên Cứu: Đã điều chỉnh yêu cầu mở khóa cho Nghiên Cứu Cá Nhân.
-Tối Ưu Album Thẻ: Đã điều chỉnh nguồn thẻ và tối ưu yêu cầu mở khóa.
-Tối Ưu Tàu Sân Bay: “Trái Tim Gan Dạ” giờ có thêm đặc tính mới—sau khi nhận trị thương, sẽ cấp thưởng tấn công.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27" s="108" t="str">
        <f>SUBSTITUTE(N26,"hhh",VLOOKUP($B$12,'4、长版whats new'!$A:$O,14,0))</f>
        <v>Caro Capitano,
Per offrirti un'esperienza di gioco migliore, abbiamo pianificato di rilasciare l'aggiornamento alla versione 0.85.0 il &lt;color=#ffa200&gt;2026-02-10 alle 06:00 UTC&lt;/color&gt;. In quel momento, effettueremo una manutenzione del server della durata approssimativa di &lt;color=#ffa200&gt;60 minuti&lt;/color&gt;. Potrai aggiornare il gioco una volta completata la manutenzione del server.
[Orario di aggiornamento]
06:00 UTC, 2026-02-10; durante questo periodo non potrai accedere al gioco.
[Durata stimata della manutenzione]
&lt;color=#ffa200&gt;60 minuti&lt;/color&gt;
[Dettagli dell'aggiornamento 0.85.0]
-Sistema Combattente: Nuovo super combattente ""Pioniere Cosmico - Elliot""! Elliot può sincronizzarsi con qualsiasi combattente leggendario per ottenere le sue abilità.
-Missioni Gene: Guerre Planetarie ora include Missioni Frammento di Gene. Completale per riscattare ricompense di classe.
-Nuova Statua del Combattente: Hilda. Aggiungi ancora più brillantezza alla tua città!
-Esplorazione di Colin: Partecipa all'evento per vincere decorazioni radar e sbloccare benefici speciali!
- Ottimizzazione della ricerca: regolati i requisiti di sblocco per la ricerca individ.
- Ottimizzazione album di carte: regolate le fonti delle carte e ottimizzati i requisiti di sblocco.
- Ottimizzazione portaerei: il ""Cuore intrepido"" ora ottiene una nuova caratteristica—dopo aver ricevuto guarigione, concede un bonus attacco.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27" s="108" t="str">
        <f>SUBSTITUTE(O26,"hhh",VLOOKUP($B$12,'4、长版whats new'!$A:$O,15,0))</f>
        <v>Szanowny Kapitanie,
Aby zapewnić ci lepsze wrażenia z gry, planujemy wydać aktualizację wersji 0.85.0 dnia 2026-02-10 o godzinie 06:00 UTC. W tym czasie przeprowadzimy konserwację serwera trwającą około 60 minut. Po zakończeniu konserwacji serwera możesz zaktualizować grę.
[Czas aktualizacji]
06:00 UTC, 2026-02-10; w tym czasie nie będziesz mógł uzyskać dostępu do gry.
[Przewidywany czas trwania konserwacji]
&lt;color=#ffa200&gt;60 minut&lt;/color&gt;
[Szczegóły aktualizacji 0.85.0]
-System Wojowników: Nowy super wojownik „Kosmiczny Pionier - Elliot”! Elliot może synchronizować z dowolnym legendarnym wojownikiem, aby zdobyć jego umiejętności.
-Zadania Genów: Wojny Planet teraz obejmują zadania na fragmenty genów. Wykonaj je, aby odebrać nagrody za poziom.
-Nowy Pomnik Wojownika: Hilda. Dodaj więcej blasku swojemu miastu!
-Ekspedycja Colina: Dołącz do wydarzenia, aby wygrać dekoracje radaru i odblokować specjalne wzmocnienia!
-Optymalizacja badań: Dostosowano wymagania odblokowania dla Osobistych Badań.
-Optymalizacja albumu kart: Dostosowano źródła kart i zoptymalizowano wymagania odblokowania.
-Optymalizacja lotniskowca: „Nieustraszone Serce” zyskuje teraz nową cechę—po otrzymaniu leczenia udziela premii do ataku.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27" s="67" t="str">
        <f>SUBSTITUTE(P26,"hhh",VLOOKUP($B$12,'4、长版whats new'!$A:$P,16,0))</f>
        <v>عزيزي الزعيم،\nمن أجل تقديم تجربة لعب أفضل، نخطط لإصدار تحديث إصدار 0.85.0 في &lt;color=#ffa200&gt;2026-02-10 في الساعة 06:00 UTC&lt;/color&gt;. في ذلك الوقت، سنقوم بإجراء صيانة للخادم تستغرق حوالي &lt;color=#ffa200&gt;60 دقائق&lt;/color&gt;.   يرجى تنزيل إصدار اللعبة الجديد وتسجيل الدخول إلى اللعبة للحصول على المكافأة في بريدك.\n[وقت التحديث]\n06:00 UTC، 2026-02-10؛ لن تتمكن من الوصول إلى اللعبة خلال هذا الوقت.\n[المدة المتوقعة للصيانة]\n&lt;color=#ffa200&gt;60 دقائق&lt;/color&gt;\n[تفاصيل تحديث 0.85.0]\n-نظام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 أضف المزيد من التألق إلى مدينتك!
-استكشاف كولن: انضم إلى الحدث للفوز بزينة الرادار وفتح التعزيزات الخاصة!
-تَحْسِين البَحْث: تَم تَعْدِيل المُتَطَلَّبَات لِفَتْح البَحْث الفَرْدِي.
-تَحْسِين أَلْبُوم البِطَاقَات: تَم تَعْدِيل مَصَادِر البِطَاقَات وَتَحْسِين مُتَطَلَّبَات الفَتْح.
-تَحْسِين الحَامِلَة: الحَامِلَة ""قلب الباسل"" تَحْصُل الآن على سِمَة جَدِيدَة—بَعْد تَلَقِّي العِلاج، تَمْنَح هَدِيَة هُجُوم.\nيرجى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27" s="67" t="str">
        <f>SUBSTITUTE(Q26,"hhh",VLOOKUP($B$12,'4、长版whats new'!$A:$R,17,0))</f>
        <v>尊敬する指揮官どの、
より良いゲーム体験を提供するために、&lt;color=#ffa200&gt;2026-02-10の06:00 UTC&lt;/color&gt;にバージョン0.85.0更新をリリースする予定です。その時点で、約&lt;color=#ffa200&gt;60分間&lt;/color&gt;のサーバーメンテナンスを実施します。サーバーメンテナンスが完了次第、ゲームのアップデートが可能になります。
[アップデート時間]
06:00 UTC, 2026-02-10; この時間帯はゲームにアクセスできません。
[予想メンテナンス時間]
&lt;color=#ffa200&gt;60分間&lt;/color&gt;
[0.85.0更新の詳細]
-ファイターシステム：新しいスーパー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
-研究最適化：個人研究のアンロック要件を調整しました。  
-カードアルバム最適化：カードの入手先を調整し、アンロック要件を最適化しました。  
-キャリア最適化：「勇敢な心」は新たな特性を獲得しました—治療を受けた後、攻撃ボーナスを助成します。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27" s="67" t="str">
        <f>SUBSTITUTE(R26,"hhh",VLOOKUP($B$12,'4、长版whats new'!$A:$R,18,0))</f>
        <v>친애하는 대장님,
더 나은 게임 경험을 제공하기 위해, 우리는 &lt;color=#ffa200&gt;2026-02-10 06:00 UTC&lt;/color&gt;에 버전 0.85.0 업데이트를 출시할 계획입니다. 그 시간에 우리는 약 &lt;color=#ffa200&gt;60분&lt;/color&gt; 동안 서버 유지보수를 진행할 것입니다. 서버 유지보수가 완료되면 게임을 업데이트할 수 있습니다.
[업데이트 시간]
06:00 UTC, 2026-02-10; 이 시간 동안 게임에 접속할 수 없습니다.
[예상 유지보수 기간]
&lt;color=#ffa200&gt;60분&lt;/color&gt;
[0.85.0 업데이트 세부 사항]
-전사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
-연구 최적화: 개인 연구의 잠금 해제 요구 사항이 조정되었습니다.
-카드 앨범 최적화: 카드 획득처가 조정되고 잠금 해제 요구 사항이 최적화되었습니다.
-운반선 최적화: ""용감한 마음""이 이제 새로운 특성을 획득합니다—치료를 받은 후 공격 보너스를 부여합니다.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28">
      <c r="N28" s="67"/>
      <c r="O28" s="67"/>
      <c r="P28" s="67"/>
      <c r="Q28" s="67"/>
      <c r="R28" s="67"/>
    </row>
    <row r="29">
      <c r="A29" s="200" t="s">
        <v>1140</v>
      </c>
      <c r="N29" s="67"/>
      <c r="O29" s="67"/>
      <c r="P29" s="67"/>
      <c r="Q29" s="67"/>
      <c r="R29" s="67"/>
    </row>
    <row r="30">
      <c r="A30" s="14" t="s">
        <v>1141</v>
      </c>
      <c r="B30" s="148" t="str">
        <f t="shared" ref="B30:R30" si="8">SUBSTITUTE(B9,"aaa",$B$12)</f>
        <v>0.85.0版本更新介绍</v>
      </c>
      <c r="C30" s="148" t="str">
        <f t="shared" si="8"/>
        <v>Version 0.85.0 Update</v>
      </c>
      <c r="D30" s="148" t="str">
        <f t="shared" si="8"/>
        <v>Mise à jour 0.85.0</v>
      </c>
      <c r="E30" s="148" t="str">
        <f t="shared" si="8"/>
        <v>Update auf Version 0.85.0</v>
      </c>
      <c r="F30" s="148" t="str">
        <f t="shared" si="8"/>
        <v>Atualização da versão 0.85.0</v>
      </c>
      <c r="G30" s="148" t="str">
        <f t="shared" si="8"/>
        <v>版本 0.85.0 更新</v>
      </c>
      <c r="H30" s="148" t="str">
        <f t="shared" si="8"/>
        <v>Pembaruan Versi 0.85.0</v>
      </c>
      <c r="I30" s="148" t="str">
        <f t="shared" si="8"/>
        <v>อัปเดตเวอร์ชัน 0.85.0</v>
      </c>
      <c r="J30" s="148" t="str">
        <f t="shared" si="8"/>
        <v>Actualización a la versión 0.85.0</v>
      </c>
      <c r="K30" s="148" t="str">
        <f t="shared" si="8"/>
        <v>Обновление до версии 0.85.0</v>
      </c>
      <c r="L30" s="148" t="str">
        <f t="shared" si="8"/>
        <v>Sürüm 0.85.0 Güncellemesi</v>
      </c>
      <c r="M30" s="148" t="str">
        <f t="shared" si="8"/>
        <v>Cập nhật Phiên bản 0.85.0</v>
      </c>
      <c r="N30" s="67" t="str">
        <f t="shared" si="8"/>
        <v>Versione 0.85.0 Aggiornamento</v>
      </c>
      <c r="O30" s="67" t="str">
        <f t="shared" si="8"/>
        <v>Wersja 0.85.0 Aktualizacja</v>
      </c>
      <c r="P30" s="67" t="str">
        <f t="shared" si="8"/>
        <v>تحديث إصدار 0.85.0</v>
      </c>
      <c r="Q30" s="67" t="str">
        <f t="shared" si="8"/>
        <v>バージョン0.85.0更新</v>
      </c>
      <c r="R30" s="67" t="str">
        <f t="shared" si="8"/>
        <v>버전 0.85.0 업데이트</v>
      </c>
    </row>
    <row r="31" ht="766.5" customHeight="1">
      <c r="A31" s="201" t="s">
        <v>1142</v>
      </c>
      <c r="B31" s="202" t="str">
        <f t="shared" ref="B31:R31" si="9">B27</f>
        <v>亲爱的指挥官：
为了给大家带来更好的游戏体验，我们预计在&lt;color=#ffa200&gt;UTC时间2026年02月10日06:00&lt;/color&gt;进行0.85.0版本更新。届时服务器将进行&lt;color=#ffa200&gt;60分钟&lt;/color&gt;维护，维护结束后猴子们可以选择适当的网络环境更新版本。
【更新时间】&lt;color=#ffa200&gt;2026年02月10日UTC06:00&lt;/color&gt;，届时您将无法进入游戏。
【预计维护时长】&lt;color=#ffa200&gt;60分钟&lt;/color&gt;
【0.85.0更新内容】
-斗士系统：新增超凡品质斗士“天外探索者-艾里奥特”！艾里奥特可与任意传说斗士进行同频，获取该斗士的能力。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
-科研优化：调整个人科研解锁条件。
-集卡册优化：调整卡片获取途径，优化解锁条件。
-战车优化：无畏之心号战车增加新特性，受到治疗效果后获得攻击力加成。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C31" s="202" t="str">
        <f t="shared" si="9"/>
        <v>Dear Captain,
In order to bring you a better gaming experience, we plan to release the version 0.85.0 update on &lt;color=#ffa200&gt;2026-02-10 at 06:00 UTC&lt;/color&gt;. At that time, we will conduct server maintenance lasting approximately &lt;color=#ffa200&gt;60 minutes&lt;/color&gt;. You may update the game once server maintenance is complete. 
[Update Time]
06:00 UTC, 2026-02-10; you will not be able to access the game during this time.
[Estimated Maintenance Duration]
&lt;color=#ffa200&gt;60 minutes&lt;/color&gt;
[0.85.0 Update Details]
-Fighter System: New Super Fighter ‘Cosmic Pathfinder - Elliot’! Elliot can Sync with any Legendary Fighter to gain that Fighter’s abilities.
-Gene Quests: Planet Wars now includes Gene Fragment Quests. Complete them to claim tier rewards.
-New Fighter Statue: Hilda. Add more brilliance to your city!
-Colin’s Exploration: Join the event to win Radar decorations and unlock special buffs!
-Research Optimization: Adjusted unlock requirements for Personal Research.
-Card Album Optimization: Adjusted card sources and optimized unlock requirements.
-Carrier Optimization: The “Intrepid Heart” now gains a new trait—after receiving healing, it grants an attack bonus.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D31" s="202" t="str">
        <f t="shared" si="9"/>
        <v>Cher capitaine,
Afin d’améliorer votre expérience de jeu, nous prévoyons le lancement de la mise à jour 0.85.0 le &lt;color=#ffa200&gt; 06:00 UTC, 10-02-2026 &lt;/color&gt;. Nous procéderons alors à une maintenance des serveurs qui durera environ &lt;color=#ffa200&gt;60 minutes&lt;/color&gt;. Une fois les opérations terminées, vous pourrez mettre votre jeu à jour. 
[Horaire de mise à jour]
 06:00 UTC, 10-02-2026(TU). Pendant le déploiement, vous ne pourrez plus accéder au jeu.
[Durée estimée de la maintenance]
&lt;color=#ffa200&gt;60 minutes&lt;/color&gt;
[Détails de la mise à jour 0.85.0]
- Système de combattant : Nouveau super combattant « Éclaireur cosmique - Elliot » ! Elliot peut synchroniser avec tous les combattants légendaires pour obtenir leurs capacités.
- Quêtes de gène : Guerre planétaire inclut désormais des quêtes de fragment génétique. Terminez-les pour recevoir des récompenses de palier.
- Nouvelle statue du combattant : Hilda. Ajoutez plus de brillance à votre ville !
- Exploration de Colin : Rejoignez l’événement pour gagner des décorations radar et débloquer des boosts spéciaux !
-Optimisation de la recherche : Conditions de déblocage ajustées pour la Recherche Perso.
-Optimisation de l’album de cartes : Sources de cartes ajustées et conditions de déblocage optimisées.
-Optimisation du transporteur : Le « Cœur intrépide » obtient désormais un nouveau trait : après avoir été soigné, il accorde un bonus d’attaque.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E31" s="202" t="str">
        <f t="shared" si="9"/>
        <v>Lieber Captain,
 Um dir ein besseres Spielerlebnis zu bieten, werden wir am &lt;color=#ffa200&gt;10.02.2026 um 06:00 UTC&lt;/color&gt; das Update auf Version 0.85.0 durchzuführen. Wir werden zu diesem Zeitpunkt eine Serverwartung durchführen, die etwa &lt;color=#ffa200&gt;60 Minuten&lt;/color&gt; dauern wird. Du kannst das Spiel aktualisieren, sobald die Serverwartung abgeschlossen ist. 
 [Update-Zeit]
 10.02.2026, 06:00 UTC; du wirst während dieser Zeit nicht auf das Spiel zugreifen können. 
 [Geschätzte Wartungsdauer]
 &lt;color=#ffa200&gt;60 Minuten&lt;/color&gt;
 [0.85.0 Update-Details]
- Kämpfer-System: Neuer Super-Kämpfer „Kosmischer Pfadfinder - Elliot“! Elliot kann sich mit jedem legendären Kämpfer synchronisieren, um dessen Fähigkeiten zu erhalten.
- Gen-Quests: Planetenkriege enthalten jetzt Gen-Fragment-Quests. Schließe sie ab, um Stufenbelohnungen zu beanspruchen.
- Neue Kämpfer-Statue: Hilda. Füge deiner Stadt noch mehr Glanz hinzu!
- Colins Erkundung: Nimm am Event teil, um Radar-Dekorationen zu gewinnen und spezielle Buffs freizuschalten!
- Forschungsoptimierung: Anforderungen zum Freischalten der Persönlichen Forschung angepasst.
- Kartenalbum-Optimierung: Kartenquellen angepasst und Anforderungen zum Freischalten optimiert.
- Träger-Optimierung: Das „Furchtloses Herz“ erhält nun eine neue Eigenschaft – nach dem Erhalt von Heilung verleiht es einen Angriffsbonus.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F31" s="202" t="str">
        <f t="shared" si="9"/>
        <v>Caro Capitão,
 Para melhorar a experiência de jogo, planejamos lançar a atualização 0.85.0 em &lt;color=#ffa200&gt;10/02/2026 às 06:00 (fuso UTC)&lt;/color&gt;. No momento, estamos fazendo a manutenção do jogo, que durará cerca de &lt;color=#ffa200&gt;60 minutos&lt;/color&gt;. Você poderá atualizar o jogo assim que a manutenção do servidor for concluída.
 [Horário da atualização]
 10/02/2026, às 06:00 (fuso UTC). Não será possível acessar o jogo durante este período. 
 [Tempo de manutenção estimado]
 &lt;color=#ffa200&gt;60 minutos&lt;/color&gt;
 [Detalhes da atualização 0.85.0]
 -Sistema de Combatente: Novo Super Combatente ‘Desbravador Cósmico - Elliot’! Elliot pode sincronizar com qualquer Combatente Lendário para obter as habilidades desse Combatente.
-Missões de Genes: Guerra Interplanetária agora inclui Missões de Fragmento de Genes. Complete-as para resgatar recompensas de nível.
-Nova Estátua Combatente: Hilda. Adicione mais brilho à sua cidade!
-Exploração de Colin: Entre no evento para ganhar decorações de Radar e desbloquear auxílios especiais!
- Otimização de Pesquisa: Ajustados os requisitos de desbloqueio para Pesquisa Individual.
- Otimização do Álbum de Cartão: Ajustadas as fontes de cartão e otimizados os requisitos de desbloqueio.
- Otimização do Porta-Aviões: O “Coração Corajoso” agora ganha um novo atributo—após receber cura, concede um bônus de ataque.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G31" s="202" t="str">
        <f t="shared" si="9"/>
        <v>親愛的指揮官：
為了給大家帶來更好的遊戲體驗，我們預計在&lt;color=#ffa200&gt;UTC時間2026年02月10日06:00&lt;/color&gt;進行0.85.0版本更新。屆時服務器將進行&lt;color=#ffa200&gt;60分鐘&lt;/color&gt;維護，維護結束後猴子們可以選擇適當的網絡環境更新版本。
【更新時間】&lt;color=#ffa200&gt;2026年02月10日UTC06:00&lt;/color&gt;，屆時您將無法進入遊戲。
【預計維護時長】&lt;color=#ffa200&gt;60分鐘&lt;/color&gt;
【0.85.0更新內容】
-鬥士系統：新增超凡品質鬥士「天外探索者-艾里奧特」！艾里奧特可與任意傳說英雄進行同頻，取得該鬥士的能力。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-研究優化：調整個人研究開啟條件。
-集卡冊優化：調整卡片獲取途徑，優化開啟條件。
-戰車優化：無畏之心號戰車增加新特性，治療效果後獲得攻擊力加成。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H31" s="202" t="str">
        <f t="shared" si="9"/>
        <v>Kapten yang terhormat,
 Untuk memberikanmu pengalaman bermain yang lebih baik, kami berencana untuk merilis pembaruan versi 0.85.0 pada &lt;color=#ffa200&gt;2026-02-10 pukul 06:00 UTC&lt;/color&gt;. Pada saat itu, kami akan melakukan pemeliharaan server yang berlangsung kira-kira &lt;color=#ffa200&gt;60 menit&lt;/color&gt;. Kamu bisa memperbarui game setelah pemeliharaan server selesai. 
 [Waktu Pembaruan]
 06:00 UTC, 2026-02-10; kamu tidak akan bisa mengakses game selama waktu tersebut. 
 [Perkiraan Durasi Pemeliharaan]
 &lt;color=#ffa200&gt;60 menit&lt;/color&gt;
 [0.85.0 Rincian Pembaruan]
-Sistem Pejuang: Pejuang Super Baru ‘Perintis Kosmik - Elliot’! Elliot dapat Sinkronisasi dengan Pejuang Legendaris mana pun untuk mendapatkan kemampuan Pejuang tersebut.
-Tantangan Gen: Perang Planet sekarang mencakup Tantangan Potongan Gen. Selesaikan untuk klaim hadiah tingkat.
-Patung Pejuang Baru: Hilda. Tambahkan lebih banyak kemegahan ke kota kamu!
-Eksplorasi Colin: Bergabunglah dalam event untuk memenangkan dekorasi Radar dan buka keunggulan spesial!
-Optimasi Penelitian: Persyaratan buka untuk Penelitian Individu telah disesuaikan.
-Optimasi Album Kartu: Sumber kartu disesuaikan dan persyaratan buka dioptimalkan.
-Optimasi Pembawa: ""Hati Pemberani"" kini mendapatkan sifat baru—setelah menerima pemulihan, memberikan bonus serangan.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I31" s="202" t="str">
        <f t="shared" si="9"/>
        <v>ถึงท่านผู้บัญชาการ
 เพื่อให้นายได้รับประสบการณ์การเล่นเกมที่ดีขึ้น เราวางแผนที่จะปล่อยอัปเดตเวอร์ชัน 0.85.0 ในวันที่ &lt;color=#ffa200&gt;2026-02-10 ในเวลา 06:00 ตามเวลา UTC&lt;/color&gt; ซึ่งในเวลาดังกล่าว เราจะทำการบำรุงรักษาเซิร์ฟเวอร์เป็นเวลาประมาณ &lt;color=#ffa200&gt;60 นาที&lt;/color&gt; นายจะสามารถอัปเดตเกมได้เมื่อเราทำการบำรุงรักษาเซิร์ฟเวอร์เสร็จสิ้นแล้ว
 [เวลาอัปเดต]
 06:00 UTC 2026-02-10; นายจะไม่สามารถเข้าเล่นเกมได้ในช่วงเวลานี้ 
 [ระยะเวลาการบำรุงรักษาโดยประมาณ]
 &lt;color=#ffa200&gt;60 นาที&lt;/color&gt;
 [0.85.0 รายละเอียดการอัปเดต]
-ระบบนักสู้: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
-ปรับปรุงการวิจัย: ปรับข้อกำหนดการปลดล็อกสำหรับการวิจัยส่วนบุคคล  
-ปรับปรุงอัลบั้มการ์ด: ปรับแหล่งที่มาของการ์ดและปรับข้อกำหนดการปลดล็อกให้เหมาะสม  
-ปรับปรุงลิงขนส่ง: ""หัวใจแห่งความกล้าหาญ"" จะได้รับคุณสมบัติใหม่—หลังจากได้รับการรักษาแล้ว จะให้โบนัสการโจมตี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31" s="202" t="str">
        <f t="shared" si="9"/>
        <v>Querido Capitán,
 Para poder brindarte una mejor experiencia de juego, planeamos liberar una actualización a la versión 0.85.0 el &lt;color=#ffa200&gt;10-02-2026 a las 06:00 UTC&lt;/color&gt;. En ese momento, realizaremos un mantenimiento de servidor que tendrá una duración aproximada de &lt;color=#ffa200&gt;60 minutos&lt;/color&gt;. Podrás actualizar el juego una vez que el mantenimiento del servidor esté completo.
 [Hora de la Actualización]
 06:00 UTC, 10-02-2026; no podrás acceder al juego durante esta hora. 
 [Duración Estimada del Mantenimiento]
 &lt;color=#ffa200&gt;60 minutos&lt;/color&gt;
 [Detalles de la actualización 0.85.0]
-Sistema de Luchador: ¡Nuevo Súper Luchador ‘Pionero Cósmico - Elliot’! Elliot puede sincronizarse con cualquier Luchador Legendario para obtener las habilidades de ese Luchador.
-Misiones de Gen: Guerras Planetarias ahora incluye Misiones de Fragmento de Gen. Complétalas para reclamar recompensas de nivel.
-Nueva Estatua del Luchador: Hilda. ¡Añade más brillo a tu ciudad!
-Exploración de Colin: Únete al evento para ganar decoraciones de Radar y desbloquear bonificaciones especiales.
-Optimización de Investigación: Se ajustaron los requisitos de desbloqueo para la Investigación Personal.
-Optimización del Álbum de Tarjetas: Se ajustaron las fuentes de tarjetas y se optimizaron los requisitos de desbloqueo.
-Optimización de Portador: El “Corazón Intrépido” ahora obtiene un nuevo rasgo—después de recibir curación, concede una bonificación de ataque.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31" s="202" t="str">
        <f t="shared" si="9"/>
        <v>Уважаемый капитан!
Для того чтобы подарить вам наилучшие впечатления от игры, мы планируем выпустить обновление версии 0.85.0 &lt;color=#ffa200&gt;10.02.2026 в 06:00 UTC&lt;/color&gt;. Мы проведем техническое обслуживание сервера, которое продлится примерно &lt;color=#ffa200&gt;60 минут&lt;/color&gt;. Вы сможете обновить игру, когда обслуживание закончится.
[Время обновления]
10.02.2026, 06:00 UTC. Во время обновления вы не сможете получить доступ к игре. 
[Ожидаемая длительность обслуживания]
&lt;color=#ffa200&gt;60 минут&lt;/color&gt;
[Детали обновления 0.85.0]
-Система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
-Оптимизация исследования: скорректированы требования для открытия Личного исследования.
-Оптимизация альбома карт: изменены источники карт и оптимизированы требования для открытия.
-Оптимизация авианосца: «Бесстрашное сердце» теперь получает новую особенность — после получения лечения оно дает бонус к атаке.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31" s="202" t="str">
        <f t="shared" si="9"/>
        <v>Sevgili Kaptan,
 Sana daha iyi bir oyun deneyimi sunmak adına sürüm 0.85.0 güncellemesini &lt;color=#ffa200&gt;10.02.2026 saat 06.00’da (UTC)&lt;/color&gt; yayımlamayı planlıyoruz. O esnada yaklaşık &lt;color=#ffa200&gt;60 dakika&lt;/color&gt; sürecek bir sunucu bakımı gerçekleştireceğiz. Sunucu bakımı tamamlanınca oyunu güncelleyebilirsin.
 [Güncelleme Zamanı]
 06.00 (UTC), 10.02.2026; bu sırada oyuna erişim sağlayamayacaksın. 
 [Tahmini Bakım Süresi]
 &lt;color=#ffa200&gt;60 dakika&lt;/color&gt;
 [0.85.0 Güncelleme Bilgileri]
-Savaşçı Sistemi: Yeni Süper Savaşçı ‘Kozmik Yol Bulucu - Elliot’! Elliot, herhangi bir Efsanevi Savaşçı ile Senkronize olarak o Savaşçının yeteneklerini kazanabilir.
-Gen Maceraları: Gezegen Savaşları artık Gen Parçası Maceralarını içeriyor. Tamamla ve kademe ödüllerini al.
-Yeni Savaşçı Heykeli: Hilda. Şehrine daha fazla parlaklık kat!
-Colin’in Keşfi: Etkinliğe katıl, Radar süslemeleri kazan ve özel güçlendiricilerin kilidini aç!
- Araştırma Optimizasyonu: Kişisel Araştırma için kilit açma gereklilikleri ayarlandı.
- Kart Albümü Optimizasyonu: Kart kaynakları ayarlandı ve kilit açma gereklilikleri optimize edildi.
- Taşıyıcı Optimizasyonu: ""Cesur Yürek"" artık yeni bir özellik kazanıyor—iyileştirildikten sonra saldırı bonusu veriyor.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M31" s="202" t="str">
        <f t="shared" si="9"/>
        <v>Thưa Thủ Lĩnh,
 Để đem lại cho bạn trải nghiệm chơi game tốt hơn, chúng tôi dự định sẽ phát hành bản cập nhật 0.85.0 vào lúc &lt;color=#ffa200&gt;06:00 UTC ngày 10/02/2026&lt;/color&gt;. Cùng lúc đó, chúng tôi cũng sẽ thực hiện bảo trì máy chủ kéo dài khoảng &lt;color=#ffa200&gt;60 phút&lt;/color&gt;. Bạn có thể cập nhật lại game khi quá trình bảo trì máy chủ được hoàn tất.
 [Thời gian cập nhật]
 06:00 UTC, ngày 10/02/2026; bạn sẽ không thể truy cập vào game trong khoảng thời gian này. 
 [Thời lượng bảo trì ước tính]
 &lt;color=#ffa200&gt;60 phút&lt;/color&gt;
 [Thông tin bản cập nhật 0.85.0]
-Hệ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nhận thưởng bậc.
-Tượng Chiến Binh Mới: Hilda. Thêm rực rỡ cho thành phố của bạn!
-Khám Phá Của Colin: Tham gia sự kiện để nhận đồ trang trí Ra-đa và mở khóa hiệu ứng có lợi đặc biệt!
-Điều Chỉnh Nghiên Cứu: Đã điều chỉnh yêu cầu mở khóa cho Nghiên Cứu Cá Nhân.
-Tối Ưu Album Thẻ: Đã điều chỉnh nguồn thẻ và tối ưu yêu cầu mở khóa.
-Tối Ưu Tàu Sân Bay: “Trái Tim Gan Dạ” giờ có thêm đặc tính mới—sau khi nhận trị thương, sẽ cấp thưởng tấn công.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N31" s="202" t="str">
        <f t="shared" si="9"/>
        <v>Caro Capitano,
Per offrirti un'esperienza di gioco migliore, abbiamo pianificato di rilasciare l'aggiornamento alla versione 0.85.0 il &lt;color=#ffa200&gt;2026-02-10 alle 06:00 UTC&lt;/color&gt;. In quel momento, effettueremo una manutenzione del server della durata approssimativa di &lt;color=#ffa200&gt;60 minuti&lt;/color&gt;. Potrai aggiornare il gioco una volta completata la manutenzione del server.
[Orario di aggiornamento]
06:00 UTC, 2026-02-10; durante questo periodo non potrai accedere al gioco.
[Durata stimata della manutenzione]
&lt;color=#ffa200&gt;60 minuti&lt;/color&gt;
[Dettagli dell'aggiornamento 0.85.0]
-Sistema Combattente: Nuovo super combattente ""Pioniere Cosmico - Elliot""! Elliot può sincronizzarsi con qualsiasi combattente leggendario per ottenere le sue abilità.
-Missioni Gene: Guerre Planetarie ora include Missioni Frammento di Gene. Completale per riscattare ricompense di classe.
-Nuova Statua del Combattente: Hilda. Aggiungi ancora più brillantezza alla tua città!
-Esplorazione di Colin: Partecipa all'evento per vincere decorazioni radar e sbloccare benefici speciali!
- Ottimizzazione della ricerca: regolati i requisiti di sblocco per la ricerca individ.
- Ottimizzazione album di carte: regolate le fonti delle carte e ottimizzati i requisiti di sblocco.
- Ottimizzazione portaerei: il ""Cuore intrepido"" ora ottiene una nuova caratteristica—dopo aver ricevuto guarigione, concede un bonus attacco.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O31" s="202" t="str">
        <f t="shared" si="9"/>
        <v>Szanowny Kapitanie,
Aby zapewnić ci lepsze wrażenia z gry, planujemy wydać aktualizację wersji 0.85.0 dnia 2026-02-10 o godzinie 06:00 UTC. W tym czasie przeprowadzimy konserwację serwera trwającą około 60 minut. Po zakończeniu konserwacji serwera możesz zaktualizować grę.
[Czas aktualizacji]
06:00 UTC, 2026-02-10; w tym czasie nie będziesz mógł uzyskać dostępu do gry.
[Przewidywany czas trwania konserwacji]
&lt;color=#ffa200&gt;60 minut&lt;/color&gt;
[Szczegóły aktualizacji 0.85.0]
-System Wojowników: Nowy super wojownik „Kosmiczny Pionier - Elliot”! Elliot może synchronizować z dowolnym legendarnym wojownikiem, aby zdobyć jego umiejętności.
-Zadania Genów: Wojny Planet teraz obejmują zadania na fragmenty genów. Wykonaj je, aby odebrać nagrody za poziom.
-Nowy Pomnik Wojownika: Hilda. Dodaj więcej blasku swojemu miastu!
-Ekspedycja Colina: Dołącz do wydarzenia, aby wygrać dekoracje radaru i odblokować specjalne wzmocnienia!
-Optymalizacja badań: Dostosowano wymagania odblokowania dla Osobistych Badań.
-Optymalizacja albumu kart: Dostosowano źródła kart i zoptymalizowano wymagania odblokowania.
-Optymalizacja lotniskowca: „Nieustraszone Serce” zyskuje teraz nową cechę—po otrzymaniu leczenia udziela premii do ataku.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c r="P31" s="202" t="str">
        <f t="shared" si="9"/>
        <v>عزيزي الزعيم،\nمن أجل تقديم تجربة لعب أفضل، نخطط لإصدار تحديث إصدار 0.85.0 في &lt;color=#ffa200&gt;2026-02-10 في الساعة 06:00 UTC&lt;/color&gt;. في ذلك الوقت، سنقوم بإجراء صيانة للخادم تستغرق حوالي &lt;color=#ffa200&gt;60 دقائق&lt;/color&gt;.   يرجى تنزيل إصدار اللعبة الجديد وتسجيل الدخول إلى اللعبة للحصول على المكافأة في بريدك.\n[وقت التحديث]\n06:00 UTC، 2026-02-10؛ لن تتمكن من الوصول إلى اللعبة خلال هذا الوقت.\n[المدة المتوقعة للصيانة]\n&lt;color=#ffa200&gt;60 دقائق&lt;/color&gt;\n[تفاصيل تحديث 0.85.0]\n-نظام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 أضف المزيد من التألق إلى مدينتك!
-استكشاف كولن: انضم إلى الحدث للفوز بزينة الرادار وفتح التعزيزات الخاصة!
-تَحْسِين البَحْث: تَم تَعْدِيل المُتَطَلَّبَات لِفَتْح البَحْث الفَرْدِي.
-تَحْسِين أَلْبُوم البِطَاقَات: تَم تَعْدِيل مَصَادِر البِطَاقَات وَتَحْسِين مُتَطَلَّبَات الفَتْح.
-تَحْسِين الحَامِلَة: الحَامِلَة ""قلب الباسل"" تَحْصُل الآن على سِمَة جَدِيدَة—بَعْد تَلَقِّي العِلاج، تَمْنَح هَدِيَة هُجُوم.\nيرجى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Q31" s="202" t="str">
        <f t="shared" si="9"/>
        <v>尊敬する指揮官どの、
より良いゲーム体験を提供するために、&lt;color=#ffa200&gt;2026-02-10の06:00 UTC&lt;/color&gt;にバージョン0.85.0更新をリリースする予定です。その時点で、約&lt;color=#ffa200&gt;60分間&lt;/color&gt;のサーバーメンテナンスを実施します。サーバーメンテナンスが完了次第、ゲームのアップデートが可能になります。
[アップデート時間]
06:00 UTC, 2026-02-10; この時間帯はゲームにアクセスできません。
[予想メンテナンス時間]
&lt;color=#ffa200&gt;60分間&lt;/color&gt;
[0.85.0更新の詳細]
-ファイターシステム：新しいスーパー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
-研究最適化：個人研究のアンロック要件を調整しました。  
-カードアルバム最適化：カードの入手先を調整し、アンロック要件を最適化しました。  
-キャリア最適化：「勇敢な心」は新たな特性を獲得しました—治療を受けた後、攻撃ボーナスを助成します。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R31" s="202" t="str">
        <f t="shared" si="9"/>
        <v>친애하는 대장님,
더 나은 게임 경험을 제공하기 위해, 우리는 &lt;color=#ffa200&gt;2026-02-10 06:00 UTC&lt;/color&gt;에 버전 0.85.0 업데이트를 출시할 계획입니다. 그 시간에 우리는 약 &lt;color=#ffa200&gt;60분&lt;/color&gt; 동안 서버 유지보수를 진행할 것입니다. 서버 유지보수가 완료되면 게임을 업데이트할 수 있습니다.
[업데이트 시간]
06:00 UTC, 2026-02-10; 이 시간 동안 게임에 접속할 수 없습니다.
[예상 유지보수 기간]
&lt;color=#ffa200&gt;60분&lt;/color&gt;
[0.85.0 업데이트 세부 사항]
-전사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
-연구 최적화: 개인 연구의 잠금 해제 요구 사항이 조정되었습니다.
-카드 앨범 최적화: 카드 획득처가 조정되고 잠금 해제 요구 사항이 최적화되었습니다.
-운반선 최적화: ""용감한 마음""이 이제 새로운 특성을 획득합니다—치료를 받은 후 공격 보너스를 부여합니다.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row>
    <row r="32">
      <c r="N32" s="105"/>
      <c r="O32" s="105"/>
      <c r="P32" s="68"/>
      <c r="Q32" s="105"/>
      <c r="R32" s="105"/>
    </row>
    <row r="33">
      <c r="P33" s="67"/>
    </row>
    <row r="34">
      <c r="K34" s="202"/>
      <c r="P34" s="67"/>
    </row>
    <row r="35" hidden="1">
      <c r="A35" s="203" t="s">
        <v>1143</v>
      </c>
      <c r="P35" s="67"/>
    </row>
    <row r="36" hidden="1">
      <c r="A36" s="204" t="s">
        <v>1059</v>
      </c>
      <c r="B36" s="205"/>
      <c r="C36" s="205"/>
      <c r="D36" s="205"/>
      <c r="E36" s="205"/>
      <c r="F36" s="205"/>
      <c r="G36" s="205"/>
      <c r="H36" s="205"/>
      <c r="I36" s="205"/>
      <c r="J36" s="205"/>
      <c r="K36" s="205"/>
      <c r="L36" s="205"/>
      <c r="M36" s="205"/>
      <c r="N36" s="205"/>
      <c r="O36" s="205"/>
      <c r="P36" s="206"/>
      <c r="Q36" s="205"/>
      <c r="R36" s="205"/>
    </row>
    <row r="37" hidden="1">
      <c r="A37" s="207"/>
      <c r="B37" s="185" t="s">
        <v>1144</v>
      </c>
      <c r="C37" s="185" t="s">
        <v>1145</v>
      </c>
      <c r="D37" s="185" t="s">
        <v>1146</v>
      </c>
      <c r="E37" s="185" t="s">
        <v>1147</v>
      </c>
      <c r="F37" s="185" t="s">
        <v>1148</v>
      </c>
      <c r="G37" s="185" t="s">
        <v>1149</v>
      </c>
      <c r="H37" s="185" t="s">
        <v>1150</v>
      </c>
      <c r="I37" s="185" t="s">
        <v>1151</v>
      </c>
      <c r="J37" s="185" t="s">
        <v>1152</v>
      </c>
      <c r="K37" s="185" t="s">
        <v>1153</v>
      </c>
      <c r="L37" s="185" t="s">
        <v>1154</v>
      </c>
      <c r="M37" s="185" t="s">
        <v>1155</v>
      </c>
      <c r="N37" s="185"/>
      <c r="O37" s="185"/>
      <c r="P37" s="186"/>
      <c r="Q37" s="185"/>
      <c r="R37" s="185"/>
    </row>
    <row r="38" ht="181.5" hidden="1" customHeight="1">
      <c r="A38" s="208" t="s">
        <v>1059</v>
      </c>
      <c r="B38" s="63" t="s">
        <v>1156</v>
      </c>
      <c r="C38" s="63" t="s">
        <v>1157</v>
      </c>
      <c r="D38" s="63" t="s">
        <v>1158</v>
      </c>
      <c r="E38" s="63" t="s">
        <v>1159</v>
      </c>
      <c r="F38" s="63" t="s">
        <v>1160</v>
      </c>
      <c r="G38" s="63" t="s">
        <v>1161</v>
      </c>
      <c r="H38" s="63" t="s">
        <v>1162</v>
      </c>
      <c r="I38" s="63" t="s">
        <v>1163</v>
      </c>
      <c r="J38" s="63" t="s">
        <v>1164</v>
      </c>
      <c r="K38" s="63" t="s">
        <v>1165</v>
      </c>
      <c r="L38" s="65" t="s">
        <v>1166</v>
      </c>
      <c r="M38" s="63" t="s">
        <v>1167</v>
      </c>
      <c r="N38" s="63"/>
      <c r="O38" s="63"/>
      <c r="P38" s="55"/>
      <c r="Q38" s="63"/>
      <c r="R38" s="63"/>
    </row>
    <row r="39" hidden="1">
      <c r="A39" s="108"/>
      <c r="B39" s="108" t="str">
        <f t="shared" ref="B39:M39" si="10">SUBSTITUTE(B38,"aaa",$B$47)</f>
        <v>亲爱的指挥官：
为了给大家带来更好的游戏体验，我们预计在&lt;color=#ffa200&gt;UTC时间 bbb年ccc月ddd日UTCeee:fff&lt;/color&gt;进行0.48.0版本更新。届时服务器将进行&lt;color=#ffa200&gt;ggg分钟&lt;/color&gt;的维护，为了确保所有玩家都有相同的游戏体验并享受最新的内容，本次更新为&lt;color=#ffa200&gt;强制更新&lt;/color&gt;，维护结束后，客户端版本号低于0.48.0的猴子们将无法进入游戏。我们将在版本更新后8小时内为您送来更新礼包，届时请您下载新版本后登录游戏在邮件处领取。
【更新时间】&lt;color=#ffa200&gt; bbb年ccc月ddd日UTCeee:fff&lt;/color&gt;，届时您将无法进入游戏。
【预计维护时长】&lt;color=#ffa200&gt;ggg分钟&lt;/color&gt;
【0.48.0更新内容】
xxxxx
本次维护不排除延迟开启的可能，如若延迟，则请关注社区发布的具体开服时间。[-1#点击加入Discord社区](herf=https://discord.gg/fK3gtph)
我们将继续修复游戏中的一些问题，同时给大家带来更多的新内容。敬请期待，享受你的香蕉盛宴吧！
罗杰副官</v>
      </c>
      <c r="C39" s="108" t="str">
        <f t="shared" si="10"/>
        <v>Dear Captain,
In order to bring you a better gaming experience, we plan to release the version 0.48.0 update on &lt;color=#ffa200&gt;bbb-ccc-ddd at eee:fff UTC&lt;/color&gt;. At that time, we will conduct server maintenance lasting approximately &lt;color=#ffa200&gt;ggg minutes&lt;/color&gt;. To ensure a common gaming experience and to allow all players to enjoy the latest game content, this will be a &lt;color=#ffa200&gt;mandatory update&lt;/color&gt;. Players running versions older than 0.48.0 will no longer be able to access the game after this maintenance is complete. We will issue an update pack within 8 hours after the update. Please download the new game version and log into the game to claim the reward in your Mail.
[Update Time]
eee:fff UTC, bbb-ccc-ddd; you will not be able to access the game during this time. 
[Estimated Maintenance Duration]
&lt;color=#ffa200&gt;ggg minutes&lt;/color&gt;
[0.48.0 Update Details]
xxxxx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v>
      </c>
      <c r="D39" s="108" t="str">
        <f t="shared" si="10"/>
        <v>Cher capitaine,
Afin d’améliorer votre expérience de jeu, nous prévoyons le lancement de la mise à jour 0.48.0 le &lt;color=#ffa200&gt;eee:fff UTC, ddd-ccc-bbb &lt;/color&gt;. Nous procèderons alors à une maintenance des serveurs qui durera environ &lt;color=#ffa200&gt;ggg minutes&lt;/color&gt;. Pour garantir l’homogénéité de l’expérience et garantir à tous l’accès au contenu le plus récent, il s’agira d’une &lt;color=#ffa200&gt;mise à jour obligatoire &lt;/color&gt;. A l’issue de cette maintenance, les joueurs utilisant une version antérieure à la 0.48.0 ne pourrons plus accéder au jeu. Nous lancerons un pack de mise à jour dans les 8 heures suivant la maintenance. Merci de télécharger la nouvelle version et de vous connecter pour récupérer la récompense dans votre messagerie. 
[Horaire de mise à jour]
Le eee:fff UTC, ddd-ccc-bbb. Pendant le déploiement, vous ne pourrez plus accéder au jeu. 
[Durée estimée de la maintenance]
&lt;color=#ffa200&gt;ggg minutes&lt;/color&gt;
[Détails de la mise à jour 0.48.0]
xxxxx
Suivez notre communauté officielle sur Discord pour connaître les éventuels retards dans la maintenance des serveurs et, le cas échéant, l’horaire corrigé du redémarrage des serveurs. [-1# Appuyez pour rejoindre notre serveur Discord officiel](herf=https://discord.gg/RncnPNw)
Nous poursuivons le travail pour résoudre les dysfonctionnements et vous proposer du nouveau contenu génial. Restez à l’écoute et à bientôt à la taverne!
Roger l'assistant</v>
      </c>
      <c r="E39" s="108" t="str">
        <f t="shared" si="10"/>
        <v>Lieber Captain,
 Um dir ein besseres Spielerlebnis zu bieten, werden wir am &lt;color=#ffa200&gt;ddd.ccc.bbb um eee:fff UTC&lt;/color&gt; das Update auf Version 0.48.0 durchzuführen. Wir werden zu diesem Zeitpunkt eine Serverwartung durchführen, die etwa &lt;color=#ffa200&gt;ggg 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ddd.ccc.bbb, 08:00 UTC; du wirst während dieser Zeit nicht auf das Spiel zugreifen können. 
 [Geschätzte Wartungsdauer]
 &lt;color=#ffa200&gt;ggg Minuten&lt;/color&gt;
 [0.48.0 Update-Details]
 xxxxx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v>
      </c>
      <c r="F39" s="108" t="str">
        <f t="shared" si="10"/>
        <v>Caro Capitão,
 Para melhorar a experiência de jogo, planejamos lançar a atualização 0.48.0 em &lt;color=#ffa200&gt;ddd/ccc/bbb às eee:fff (fuso UTC)&lt;/color&gt;. No momento, estamos fazendo a manutenção do jogo, que durará cerca de &lt;color=#ffa200&gt;ggg minutos&lt;/color&gt;. Para garantir a equidade da experiência de jogo e permitir que os jogadores aproveitem o conteúdo mais recente do jogo, esta será uma &lt;color=#ffa200&gt;atualização obrigatória&lt;/color&gt;. Jogadores que estiverem usando versões anteriores à 0.48.0 não poderão mais acessar o jogo após a manutenção. Lançaremos um pacote de atualização dentro de 8 horas após a atualização. Faça o download da nova versão e entre no jogo para resgatar as recompensas enviadas.
 [Horário da atualização]
ddd/ccc/bbb, às eee:fff (fuso UTC). Não será possível acessar o jogo durante este período. 
 [Tempo de manutenção estimado]
 &lt;color=#ffa200&gt;ggg minutos&lt;/color&gt;
 [Detalhes da atualização 0.48.0]
xxxxx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v>
      </c>
      <c r="G39" s="108" t="str">
        <f t="shared" si="10"/>
        <v>親愛的指揮官：
為了給大家帶來更好的遊戲體驗，我們預計在&lt;color=#ffa200&gt;UTC時間 bbb年6月ddd日 eee:fff&lt;/color&gt;進行0.48.0版本更新。屆時服務器將進行&lt;color=#ffa200&gt;ggg分鐘&lt;/color&gt;的維護，為了確保所有玩家都有相同的遊戲體驗並享受最新的內容，本次更新為&lt;color=#ffa200&gt;強制更新&lt;/color &gt;，維護結束後，客戶端版本號低於0.48.0的猴子們將無法進入遊戲。我們將在版本更新後8小時內為您送來更新禮包，屆時請您下載新版本後登錄遊戲在郵件處領取。
【更新時間】&lt;color=#ffa200&gt;bbb年6月ddd日UTCeee:fff&lt;/color&gt;，屆時您將無法進入遊戲。
【預計維護時長】&lt;color=#ffa200&gt;ggg分鐘&lt;/color&gt;
【0.48.0更新內容】
xxxxx
本次維護不排除延遲開啟的可能，如若延遲，則請關注社區發布的具體開服時間。 [-1#點擊加入Discord社區](herf=https://discord.gg/fK3gtph)
我們將繼續修復遊戲中的一些問題，同時給大家帶來更多的新內容。敬請期待，享受你的香蕉盛宴吧！
羅傑副官</v>
      </c>
      <c r="H39" s="108" t="str">
        <f t="shared" si="10"/>
        <v>Kapten yang terhormat,
 Untuk memberikanmu pengalaman bermain yang lebih baik, kami berencana untuk merilis pembaruan versi 0.48.0 pada &lt;color=#ffa200&gt;bbb-ccc-ddd pukul eee:fff UTC&lt;/color&gt;. Pada saat itu, kami akan melakukan pemeliharaan server yang berlangsung kira-kira &lt;color=#ffa200&gt;ggg menit&lt;/color&gt;. Untuk memastikan pengalaman bermain game yang normal dan memungkinkan semua pemain menikmati konten game terbaru, hal ini akan menjadi &lt;color=#ffa200&gt;pembaruan wajib&lt;/color&gt;. Pemain yang menjalankan versi lebih lama dari 0.48.0 tidak bisa lagi mengakses game setelah pemeliharaan ini selesai.Kami akan mengeluarkan paket pembaruan dalam 8 jam setelah pembaruan. Unduh versi game baru dan masuk ke dalam game untuk mengklaim hadiah dalam Emailmu.
 [Waktu Pembaruan]
 eee:fff UTC, bbb-ccc-ddd; kamu tidak akan bisa mengakses game selama waktu tersebut. 
 [Perkiraan Durasi Pemeliharaan]
 &lt;color=#ffa200&gt;ggg menit&lt;/color&gt;
 [0.48.0 Rincian Pembaruan]
xxxxx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v>
      </c>
      <c r="I39" s="108" t="str">
        <f t="shared" si="10"/>
        <v>ถึงท่านผู้บัญชาการ
 เพื่อให้นายได้รับประสบการณ์การเล่นเกมที่ดีขึ้น เราวางแผนที่จะปล่อยอัปเดตเวอร์ชัน 0.48.0 ในวันที่ &lt;color=#ffa200&gt;bbb-ccc-ddd ในเวลา eee:fff ตามเวลา UTC&lt;/color&gt; ซึ่งในเวลาดังกล่าว เราจะทำการบำรุงรักษาเซิร์ฟเวอร์เป็นเวลาประมาณ &lt;color=#ffa200&gt;ggg นาที&lt;/color&gt; เพื่อให้มั่นใจว่าประสบการณ์การเล่นเกมของทุกท่านเป็นไปด้วยดี และเพื่อให้ผู้เล่นทุกคนได้เพลิดเพลินไปกับเนื้อหาเกมล่าสุด ในกรณีนี้จะเป็น&lt;color=#ffa200&gt;การอัปเดตภาคบังคับ&lt;/color&gt; ซึ่งผู้เล่นที่ใช้เวอร์ชันเก่ากว่า 0.48.0 จะไม่สามารถเข้าสู่เกมได้หลังจากการบำรุงรักษานี้เสร็จสมบูรณ์
 [เวลาอัปเดต]
 eee:fff UTC bbb-ccc-ddd; 
 [ระยะเวลาการบำรุงรักษาโดยประมาณ]
 &lt;color=#ffa200&gt;ggg นาที&lt;/color&gt;
 [0.48.0 รายละเอียดการอัปเดต]
xxxxx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39" s="108" t="str">
        <f t="shared" si="10"/>
        <v>Querido Capitán,
 Para poder brindarte una mejor experiencia de juego, planeamos liberar una actualización a la versión 0.48.0 el &lt;color=#ffa200&gt;bbb-ccc-ddd a las eee:fff UTC&lt;/color&gt;. En ese momento, realizaremos un mantenimiento de servidor que tendrá una duración aproximada de &lt;color=#ffa200&gt;ggg minutos&lt;/color&gt;. Para asegurarnos de que la experiencia de juego sea común y para permitir que todos los jugadores disfruten del contenido más actualizado del juego esta será una &lt;color=#ffa200&gt;actualización obligatoria&lt;/color&gt;. Los jugadores que estén utilizando versiones más viejas a la 0.48.0 ya no podrán acceder al juego después de que este mantenimiento esté completo. Liberaremos un paquete de actualización dentro de las siguientes 8 horas después de la actualización. Por favor, descarga la nueva versión del juego y conéctate al juego para reclamar la recompensa en tu Correo. 
 [Hora de la Actualización]
 eee:fff UTC, bbb-ccc-ddd; no podrás acceder al juego durante esta hora. 
 [Duración Estimada del Mantenimiento]
 &lt;color=#ffa200&gt;ggg minutos&lt;/color&gt;
 [Detalles de la actualización 0.48.0]
xxxxx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v>
      </c>
      <c r="K39" s="108" t="str">
        <f t="shared" si="10"/>
        <v>Уважаемый капитан!
Для того чтобы подарить вам наилучшие впечатления от игры, мы планируем выпустить обновление версии 0.48.0 &lt;color=#ffa200&gt; ddd.ccc.bbb в eee:fff UTC&lt;/color&gt;. Мы проведем техническое обслуживание сервера, которое продлится примерно &lt;color=#ffa200&gt;ggg минут&lt;/color&gt;. Для того чтобы игра работала одинаково у всех игроков и все игроки могли наслаждаться новейшим игровым контентом, мы делаем это обновление &lt;color=#ffa200&gt;обязательным&lt;/color&gt;. Игроки с версиями игры, отличными от 0.48.0, не смогут получить доступ к игре после завершения обслуживания.Мы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ddd.ccc.bbb, eee:fff UTC. Во время обновления вы не сможете получить доступ к игре. 
[Ожидаемая длительность обслуживания]
&lt;color=#ffa200&gt;ggg минут&lt;/color&gt;
[Детали обновления 0.48.0]
xxxxx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39" s="108" t="str">
        <f t="shared" si="10"/>
        <v>Sevgili Kaptan,
 Sana daha iyi bir oyun deneyimi sunmak adına sürüm 0.48.0 güncellemesini &lt;color=#ffa200&gt; ddd.ccc.bbb saat eee.fff’da (UTC)&lt;/color&gt; yayımlamayı planlıyoruz. O esnada yaklaşık &lt;color=#ffa200&gt;ggg dakika&lt;/color&gt; sürecek bir sunucu bakımı gerçekleştireceğiz. Ortak bir oyun deneyimi sunmak ve tüm oyuncuların oyunun en yeni içeriklerinden faydalanmasını sağlamak için bu &lt;color=#ffa200&gt;zorunlu bir güncelleme&lt;/color&gt; olacak. 0.48.0’dan daha eski sürümleri kullanan oyuncular, bu bakımın tamamlanmasının ardından bir daha oyuna erişim sağlayamayacaklar. Güncellemenin ardından 8 saat içinde bir güncelleme paketi yayımlayacağız. Lütfen oyunun yeni sürümünü indir ve oyuna giriş yaparak Postandan ödülünü al.
 [Güncelleme Zamanı]
 eee.fff (UTC),  ddd.ccc.bbb; bu sırada oyuna erişim sağlayamayacaksın. 
 [Tahmini Bakım Süresi]
 &lt;color=#ffa200&gt;ggg dakika&lt;/color&gt;
 [0.48.0 Güncelleme Bilgileri]
xxxxx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v>
      </c>
      <c r="M39" s="108" t="str">
        <f t="shared" si="10"/>
        <v>Thưa Thủ Lĩnh,
 Để đem lại cho bạn trải nghiệm chơi game tốt hơn, chúng tôi dự định sẽ phát hành bản cập nhật 0.48.0 vào lúc &lt;color=#ffa200&gt;eee:fff UTC ngày ddd/ccc/bbb&lt;/color&gt;. Cùng lúc đó, chúng tôi cũng sẽ thực hiện bảo trì máy chủ kéo dài khoảng &lt;color=#ffa200&gt;ggg phút&lt;/color&gt;. Để đảm bảo trải nghiệm game chung và cho phép tất cả người chơi tận hưởng nội dung game mới nhất, đây sẽ là một &lt;color=#ffa200&gt;bản cập nhật bắt buộc&lt;/color&gt;. Những người chơi chạy phiên bản cũ hơn 0.48.0 sẽ không thể truy cập vào game nữa sau khi quá trình bảo trì này hoàn tất. Chúng tôi sẽ phát hành gói cập nhật trong vòng 8 tiếng sau khi cập nhật. Hãy tải phiên bản game mới và đăng nhập lại vào game để nhận thưởng trong Mail nhé.
 [Thời gian cập nhật]
 eee:fff UTC, ngày ddd/ccc/bbb; bạn sẽ không thể truy cập vào game trong khoảng thời gian này. 
 [Thời lượng bảo trì ước tính]
 &lt;color=#ffa200&gt;ggg phút&lt;/color&gt;
 [Thông tin bản cập nhật 0.48.0]
xxxxx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v>
      </c>
      <c r="N39" s="108"/>
      <c r="O39" s="108"/>
      <c r="P39" s="67"/>
      <c r="Q39" s="108"/>
      <c r="R39" s="108"/>
    </row>
    <row r="40" hidden="1">
      <c r="A40" s="105"/>
      <c r="B40" s="209" t="str">
        <f t="shared" ref="B40:M40" si="11">SUBSTITUTE( SUBSTITUTE(SUBSTITUTE(SUBSTITUTE(SUBSTITUTE(SUBSTITUTE(B39,"bbb",$B$48),"ccc",$B$49),"ddd",$B$50),"eee",$B$51),"fff",$B$52),"ggg",$B$53)</f>
        <v>亲爱的指挥官：
为了给大家带来更好的游戏体验，我们预计在&lt;color=#ffa200&gt;UTC时间 2022年10月31日UTC07:00&lt;/color&gt;进行0.48.0版本更新。届时服务器将进行&lt;color=#ffa200&gt;120分钟&lt;/color&gt;的维护，为了确保所有玩家都有相同的游戏体验并享受最新的内容，本次更新为&lt;color=#ffa200&gt;强制更新&lt;/color&gt;，维护结束后，客户端版本号低于0.48.0的猴子们将无法进入游戏。我们将在版本更新后8小时内为您送来更新礼包，届时请您下载新版本后登录游戏在邮件处领取。
【更新时间】&lt;color=#ffa200&gt; 2022年10月31日UTC07:00&lt;/color&gt;，届时您将无法进入游戏。
【预计维护时长】&lt;color=#ffa200&gt;120分钟&lt;/color&gt;
【0.48.0更新内容】
xxxxx
本次维护不排除延迟开启的可能，如若延迟，则请关注社区发布的具体开服时间。[-1#点击加入Discord社区](herf=https://discord.gg/fK3gtph)
我们将继续修复游戏中的一些问题，同时给大家带来更多的新内容。敬请期待，享受你的香蕉盛宴吧！
罗杰副官</v>
      </c>
      <c r="C40" s="209" t="str">
        <f t="shared" si="11"/>
        <v>Dear Captain,
In order to bring you a better gaming experience, we plan to release the version 0.48.0 update on &lt;color=#ffa200&gt;2022-10-31 at 07:00 UTC&lt;/color&gt;. At that time, we will conduct server maintenance lasting approximately &lt;color=#ffa200&gt;120 minutes&lt;/color&gt;. To ensure a common gaming experience and to allow all players to enjoy the latest game content, this will be a &lt;color=#ffa200&gt;mandatory update&lt;/color&gt;. Players running versions older than 0.48.0 will no longer be able to access the game after this maintenance is complete. We will issue an update pack within 8 hours after the update. Please download the new game version and log into the game to claim the reward in your Mail.
[Update Time]
07:00 UTC, 2022-10-31; you will not be able to access the game during this time. 
[Estimated Maintenance Duration]
&lt;color=#ffa200&gt;120 minutes&lt;/color&gt;
[0.48.0 Update Details]
xxxxx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v>
      </c>
      <c r="D40" s="209" t="str">
        <f t="shared" si="11"/>
        <v>Cher capitaine,
Afin d’améliorer votre expérience de jeu, nous prévoyons le lancement de la mise à jour 0.48.0 le &lt;color=#ffa200&gt;07:00 UTC, 31-10-2022 &lt;/color&gt;. Nous procèderons alors à une maintenance des serveurs qui durera environ &lt;color=#ffa200&gt;120 minutes&lt;/color&gt;. Pour garantir l’homogénéité de l’expérience et garantir à tous l’accès au contenu le plus récent, il s’agira d’une &lt;color=#ffa200&gt;mise à jour obligatoire &lt;/color&gt;. A l’issue de cette maintenance, les joueurs utilisant une version antérieure à la 0.48.0 ne pourrons plus accéder au jeu. Nous lancerons un pack de mise à jour dans les 8 heures suivant la maintenance. Merci de télécharger la nouvelle version et de vous connecter pour récupérer la récompense dans votre messagerie. 
[Horaire de mise à jour]
Le 07:00 UTC, 31-10-2022. Pendant le déploiement, vous ne pourrez plus accéder au jeu. 
[Durée estimée de la maintenance]
&lt;color=#ffa200&gt;120 minutes&lt;/color&gt;
[Détails de la mise à jour 0.48.0]
xxxxx
Suivez notre communauté officielle sur Discord pour connaître les éventuels retards dans la maintenance des serveurs et, le cas échéant, l’horaire corrigé du redémarrage des serveurs. [-1# Appuyez pour rejoindre notre serveur Discord officiel](herf=https://discord.gg/RncnPNw)
Nous poursuivons le travail pour résoudre les dysfonctionnements et vous proposer du nouveau contenu génial. Restez à l’écoute et à bientôt à la taverne!
Roger l'assistant</v>
      </c>
      <c r="E40" s="209" t="str">
        <f t="shared" si="11"/>
        <v>Lieber Captain,
 Um dir ein besseres Spielerlebnis zu bieten, werden wir am &lt;color=#ffa200&gt;31.10.2022 um 07:00 UTC&lt;/color&gt; das Update auf Version 0.48.0 durchzuführen. Wir werden zu diesem Zeitpunkt eine Serverwartung durchführen, die etwa &lt;color=#ffa200&gt;120 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31.10.2022, 08:00 UTC; du wirst während dieser Zeit nicht auf das Spiel zugreifen können. 
 [Geschätzte Wartungsdauer]
 &lt;color=#ffa200&gt;120 Minuten&lt;/color&gt;
 [0.48.0 Update-Details]
 xxxxx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v>
      </c>
      <c r="F40" s="209" t="str">
        <f t="shared" si="11"/>
        <v>Caro Capitão,
 Para melhorar a experiência de jogo, planejamos lançar a atualização 0.48.0 em &lt;color=#ffa200&gt;31/10/2022 às 07:00 (fuso UTC)&lt;/color&gt;. No momento, estamos fazendo a manutenção do jogo, que durará cerca de &lt;color=#ffa200&gt;120 minutos&lt;/color&gt;. Para garantir a equidade da experiência de jogo e permitir que os jogadores aproveitem o conteúdo mais recente do jogo, esta será uma &lt;color=#ffa200&gt;atualização obrigatória&lt;/color&gt;. Jogadores que estiverem usando versões anteriores à 0.48.0 não poderão mais acessar o jogo após a manutenção. Lançaremos um pacote de atualização dentro de 8 horas após a atualização. Faça o download da nova versão e entre no jogo para resgatar as recompensas enviadas.
 [Horário da atualização]
31/10/2022, às 07:00 (fuso UTC). Não será possível acessar o jogo durante este período. 
 [Tempo de manutenção estimado]
 &lt;color=#ffa200&gt;120 minutos&lt;/color&gt;
 [Detalhes da atualização 0.48.0]
xxxxx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v>
      </c>
      <c r="G40" s="209" t="str">
        <f t="shared" si="11"/>
        <v>親愛的指揮官：
為了給大家帶來更好的遊戲體驗，我們預計在&lt;color=#ffa200&gt;UTC時間 2022年6月31日 07:00&lt;/color&gt;進行0.48.0版本更新。屆時服務器將進行&lt;color=#ffa200&gt;120分鐘&lt;/color&gt;的維護，為了確保所有玩家都有相同的遊戲體驗並享受最新的內容，本次更新為&lt;color=#ffa200&gt;強制更新&lt;/color &gt;，維護結束後，客戶端版本號低於0.48.0的猴子們將無法進入遊戲。我們將在版本更新後8小時內為您送來更新禮包，屆時請您下載新版本後登錄遊戲在郵件處領取。
【更新時間】&lt;color=#ffa200&gt;2022年6月31日UTC07:00&lt;/color&gt;，屆時您將無法進入遊戲。
【預計維護時長】&lt;color=#ffa200&gt;120分鐘&lt;/color&gt;
【0.48.0更新內容】
xxxxx
本次維護不排除延遲開啟的可能，如若延遲，則請關注社區發布的具體開服時間。 [-1#點擊加入Discord社區](herf=https://discord.gg/fK3gtph)
我們將繼續修復遊戲中的一些問題，同時給大家帶來更多的新內容。敬請期待，享受你的香蕉盛宴吧！
羅傑副官</v>
      </c>
      <c r="H40" s="209" t="str">
        <f t="shared" si="11"/>
        <v>Kapten yang terhormat,
 Untuk memberikanmu pengalaman bermain yang lebih baik, kami berencana untuk merilis pembaruan versi 0.48.0 pada &lt;color=#ffa200&gt;2022-10-31 pukul 07:00 UTC&lt;/color&gt;. Pada saat itu, kami akan melakukan pemeliharaan server yang berlangsung kira-kira &lt;color=#ffa200&gt;120 menit&lt;/color&gt;. Untuk memastikan pengalaman bermain game yang normal dan memungkinkan semua pemain menikmati konten game terbaru, hal ini akan menjadi &lt;color=#ffa200&gt;pembaruan wajib&lt;/color&gt;. Pemain yang menjalankan versi lebih lama dari 0.48.0 tidak bisa lagi mengakses game setelah pemeliharaan ini selesai.Kami akan mengeluarkan paket pembaruan dalam 8 jam setelah pembaruan. Unduh versi game baru dan masuk ke dalam game untuk mengklaim hadiah dalam Emailmu.
 [Waktu Pembaruan]
 07:00 UTC, 2022-10-31; kamu tidak akan bisa mengakses game selama waktu tersebut. 
 [Perkiraan Durasi Pemeliharaan]
 &lt;color=#ffa200&gt;120 menit&lt;/color&gt;
 [0.48.0 Rincian Pembaruan]
xxxxx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v>
      </c>
      <c r="I40" s="209" t="str">
        <f t="shared" si="11"/>
        <v>ถึงท่านผู้บัญชาการ
 เพื่อให้นายได้รับประสบการณ์การเล่นเกมที่ดีขึ้น เราวางแผนที่จะปล่อยอัปเดตเวอร์ชัน 0.48.0 ในวันที่ &lt;color=#ffa200&gt;2022-10-31 ในเวลา 07:00 ตามเวลา UTC&lt;/color&gt; ซึ่งในเวลาดังกล่าว เราจะทำการบำรุงรักษาเซิร์ฟเวอร์เป็นเวลาประมาณ &lt;color=#ffa200&gt;120 นาที&lt;/color&gt; เพื่อให้มั่นใจว่าประสบการณ์การเล่นเกมของทุกท่านเป็นไปด้วยดี และเพื่อให้ผู้เล่นทุกคนได้เพลิดเพลินไปกับเนื้อหาเกมล่าสุด ในกรณีนี้จะเป็น&lt;color=#ffa200&gt;การอัปเดตภาคบังคับ&lt;/color&gt; ซึ่งผู้เล่นที่ใช้เวอร์ชันเก่ากว่า 0.48.0 จะไม่สามารถเข้าสู่เกมได้หลังจากการบำรุงรักษานี้เสร็จสมบูรณ์
 [เวลาอัปเดต]
 07:00 UTC 2022-10-31; 
 [ระยะเวลาการบำรุงรักษาโดยประมาณ]
 &lt;color=#ffa200&gt;120 นาที&lt;/color&gt;
 [0.48.0 รายละเอียดการอัปเดต]
xxxxx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40" s="209" t="str">
        <f t="shared" si="11"/>
        <v>Querido Capitán,
 Para poder brindarte una mejor experiencia de juego, planeamos liberar una actualización a la versión 0.48.0 el &lt;color=#ffa200&gt;2022-10-31 a las 07:00 UTC&lt;/color&gt;. En ese momento, realizaremos un mantenimiento de servidor que tendrá una duración aproximada de &lt;color=#ffa200&gt;120 minutos&lt;/color&gt;. Para asegurarnos de que la experiencia de juego sea común y para permitir que todos los jugadores disfruten del contenido más actualizado del juego esta será una &lt;color=#ffa200&gt;actualización obligatoria&lt;/color&gt;. Los jugadores que estén utilizando versiones más viejas a la 0.48.0 ya no podrán acceder al juego después de que este mantenimiento esté completo. Liberaremos un paquete de actualización dentro de las siguientes 8 horas después de la actualización. Por favor, descarga la nueva versión del juego y conéctate al juego para reclamar la recompensa en tu Correo. 
 [Hora de la Actualización]
 07:00 UTC, 2022-10-31; no podrás acceder al juego durante esta hora. 
 [Duración Estimada del Mantenimiento]
 &lt;color=#ffa200&gt;120 minutos&lt;/color&gt;
 [Detalles de la actualización 0.48.0]
xxxxx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v>
      </c>
      <c r="K40" s="209" t="str">
        <f t="shared" si="11"/>
        <v>Уважаемый капитан!
Для того чтобы подарить вам наилучшие впечатления от игры, мы планируем выпустить обновление версии 0.48.0 &lt;color=#ffa200&gt; 31.10.2022 в 07:00 UTC&lt;/color&gt;. Мы проведем техническое обслуживание сервера, которое продлится примерно &lt;color=#ffa200&gt;120 минут&lt;/color&gt;. Для того чтобы игра работала одинаково у всех игроков и все игроки могли наслаждаться новейшим игровым контентом, мы делаем это обновление &lt;color=#ffa200&gt;обязательным&lt;/color&gt;. Игроки с версиями игры, отличными от 0.48.0, не смогут получить доступ к игре после завершения обслуживания.Мы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31.10.2022, 07:00 UTC. Во время обновления вы не сможете получить доступ к игре. 
[Ожидаемая длительность обслуживания]
&lt;color=#ffa200&gt;120 минут&lt;/color&gt;
[Детали обновления 0.48.0]
xxxxx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40" s="209" t="str">
        <f t="shared" si="11"/>
        <v>Sevgili Kaptan,
 Sana daha iyi bir oyun deneyimi sunmak adına sürüm 0.48.0 güncellemesini &lt;color=#ffa200&gt; 31.10.2022 saat 07.00’da (UTC)&lt;/color&gt; yayımlamayı planlıyoruz. O esnada yaklaşık &lt;color=#ffa200&gt;120 dakika&lt;/color&gt; sürecek bir sunucu bakımı gerçekleştireceğiz. Ortak bir oyun deneyimi sunmak ve tüm oyuncuların oyunun en yeni içeriklerinden faydalanmasını sağlamak için bu &lt;color=#ffa200&gt;zorunlu bir güncelleme&lt;/color&gt; olacak. 0.48.0’dan daha eski sürümleri kullanan oyuncular, bu bakımın tamamlanmasının ardından bir daha oyuna erişim sağlayamayacaklar. Güncellemenin ardından 8 saat içinde bir güncelleme paketi yayımlayacağız. Lütfen oyunun yeni sürümünü indir ve oyuna giriş yaparak Postandan ödülünü al.
 [Güncelleme Zamanı]
 07.00 (UTC),  31.10.2022; bu sırada oyuna erişim sağlayamayacaksın. 
 [Tahmini Bakım Süresi]
 &lt;color=#ffa200&gt;120 dakika&lt;/color&gt;
 [0.48.0 Güncelleme Bilgileri]
xxxxx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v>
      </c>
      <c r="M40" s="209" t="str">
        <f t="shared" si="11"/>
        <v>Thưa Thủ Lĩnh,
 Để đem lại cho bạn trải nghiệm chơi game tốt hơn, chúng tôi dự định sẽ phát hành bản cập nhật 0.48.0 vào lúc &lt;color=#ffa200&gt;07:00 UTC ngày 31/10/2022&lt;/color&gt;. Cùng lúc đó, chúng tôi cũng sẽ thực hiện bảo trì máy chủ kéo dài khoảng &lt;color=#ffa200&gt;120 phút&lt;/color&gt;. Để đảm bảo trải nghiệm game chung và cho phép tất cả người chơi tận hưởng nội dung game mới nhất, đây sẽ là một &lt;color=#ffa200&gt;bản cập nhật bắt buộc&lt;/color&gt;. Những người chơi chạy phiên bản cũ hơn 0.48.0 sẽ không thể truy cập vào game nữa sau khi quá trình bảo trì này hoàn tất. Chúng tôi sẽ phát hành gói cập nhật trong vòng 8 tiếng sau khi cập nhật. Hãy tải phiên bản game mới và đăng nhập lại vào game để nhận thưởng trong Mail nhé.
 [Thời gian cập nhật]
 07:00 UTC, ngày 31/10/2022; bạn sẽ không thể truy cập vào game trong khoảng thời gian này. 
 [Thời lượng bảo trì ước tính]
 &lt;color=#ffa200&gt;120 phút&lt;/color&gt;
 [Thông tin bản cập nhật 0.48.0]
xxxxx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v>
      </c>
      <c r="N40" s="209"/>
      <c r="O40" s="209"/>
      <c r="P40" s="210"/>
      <c r="Q40" s="209"/>
      <c r="R40" s="209"/>
    </row>
    <row r="41" hidden="1">
      <c r="A41" s="13"/>
      <c r="B41" s="152" t="str">
        <f>SUBSTITUTE(B40,"xxxxx",VLOOKUP($B$47,'4、长版whats new'!$A:$M,2,0))</f>
        <v>亲爱的指挥官：
为了给大家带来更好的游戏体验，我们预计在&lt;color=#ffa200&gt;UTC时间 2022年10月31日UTC07:00&lt;/color&gt;进行0.48.0版本更新。届时服务器将进行&lt;color=#ffa200&gt;120分钟&lt;/color&gt;的维护，为了确保所有玩家都有相同的游戏体验并享受最新的内容，本次更新为&lt;color=#ffa200&gt;强制更新&lt;/color&gt;，维护结束后，客户端版本号低于0.48.0的猴子们将无法进入游戏。我们将在版本更新后8小时内为您送来更新礼包，届时请您下载新版本后登录游戏在邮件处领取。
【更新时间】&lt;color=#ffa200&gt; 2022年10月31日UTC07:00&lt;/color&gt;，届时您将无法进入游戏。
【预计维护时长】&lt;color=#ffa200&gt;120分钟&lt;/color&gt;
【0.48.0更新内容】
-新增斗士：荒野机械师-奥德里奇，在荒野中行侠仗义的强大战士！可通过最强猴子获取。
-新增功能：部队托管。可以从作战中心进入，将自己的部队托管给同氏族或同帮派的好友控制。
-新增功能：讨伐霍格博士活动中新增限时玩法，现在可以强化收藏品，对霍格博士造成更高伤害了！
-新增节日活动：“丰收盛宴”活动即将开启，参与活动，赢取节日限定主城皮肤和其他丰富奖励！
-狂飙拉力赛优化：新增典藏补给站、拉力赛专属增益等新鲜内容。更长的赛季周期，更多的活动奖励，超多惊喜，助你一猴当先！
-围剿变异猴优化：新增了排行榜，优化了界面显示和体验，挑战过程中切到后台或离线将不再退出副本。
-新增功能：新增一套射击手属性的斗士战装。“堡垒对决”玩法新增矿洞场景和图鉴功能，关卡数量增加300关。游戏新增了一批橙色斗士雕像。增加了霸主“猩球印记”相关头衔的聊天展示。增加了在霍格博士与竞技场中点击部队头像编辑功能。
-界面及体验优化：优化了飞艇击落战、决战卫星之巅、排行榜、集结界面、占领建筑提示、猩球纪元、艾文寻宝记、帮派邀请弹窗、斗士形象展示界面、快速使用资源等功能的体验和界面表现。
本次维护不排除延迟开启的可能，如若延迟，则请关注社区发布的具体开服时间。[-1#点击加入Discord社区](herf=https://discord.gg/fK3gtph)
我们将继续修复游戏中的一些问题，同时给大家带来更多的新内容。敬请期待，享受你的香蕉盛宴吧！
罗杰副官</v>
      </c>
      <c r="C41" s="152" t="str">
        <f>SUBSTITUTE(C40,"xxxxx",VLOOKUP($B$47,'4、长版whats new'!$A:$M,3,0))</f>
        <v>Dear Captain,
In order to bring you a better gaming experience, we plan to release the version 0.48.0 update on &lt;color=#ffa200&gt;2022-10-31 at 07:00 UTC&lt;/color&gt;. At that time, we will conduct server maintenance lasting approximately &lt;color=#ffa200&gt;120 minutes&lt;/color&gt;. To ensure a common gaming experience and to allow all players to enjoy the latest game content, this will be a &lt;color=#ffa200&gt;mandatory update&lt;/color&gt;. Players running versions older than 0.48.0 will no longer be able to access the game after this maintenance is complete. We will issue an update pack within 8 hours after the update. Please download the new game version and log into the game to claim the reward in your Mail.
[Update Time]
07:00 UTC, 2022-10-31; you will not be able to access the game during this time. 
[Estimated Maintenance Duration]
&lt;color=#ffa200&gt;120 minutes&lt;/color&gt;
[0.48.0 Update Details]
- New Fighter: Wildland Mechanic, Aldrich, a mighty warrior who fights for justice! Get him from Ultimate Monkey.
- New feature: Delegate troops. Delegate troops to friends in your Clan or Gang and allow them to use these units. Access this feature from the Command Center.
- New feature: Time limit mode added to Attack on Dr. Hogg. You can now enhance Relics and deal more damage to the boss!
- New special event: "Harvest Feast" starts soon! Participate to win special-edition city skin and other rewards!
- Cyclone Rally optimized: Added new features including Supreme Supply Stations, exclusive boosts, and more! Get ahead with a longer event season and more rewards!
- Operation Mutants optimized: Leaderboard added; improved the interface display and experience; now you won't exit the gameplay when you log out or have the app running in the background.
- New features: New set of Fighter equipment with Hitter stats added. For "Fortress Takeover," added a new guide feature and cave scenes, and expanded levels to 300. Legendary Fighter statues added to the game. Added chat icons of the "Seal of Supremacy" titles distributed by the Overlord. You can now tap the troop avatar to edit formations in Dr. Hogg and Primate Brawl.
- Interface and user experience optimizations: Improved the interface displays and functional experience of various features including Airship Shootdown, Astral Coliseum, leaderboards, rally interface, tip for occupied buildings, Planet Milestone, Alvin's Treasure Hunt, Gang invite pop-up window, Fighter display page, auto-using resources, and more.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v>
      </c>
      <c r="D41" s="152" t="str">
        <f>SUBSTITUTE(D40,"xxxxx",VLOOKUP($B$47,'4、长版whats new'!$A:$M,4,0))</f>
        <v>Cher capitaine,
Afin d’améliorer votre expérience de jeu, nous prévoyons le lancement de la mise à jour 0.48.0 le &lt;color=#ffa200&gt;07:00 UTC, 31-10-2022 &lt;/color&gt;. Nous procèderons alors à une maintenance des serveurs qui durera environ &lt;color=#ffa200&gt;120 minutes&lt;/color&gt;. Pour garantir l’homogénéité de l’expérience et garantir à tous l’accès au contenu le plus récent, il s’agira d’une &lt;color=#ffa200&gt;mise à jour obligatoire &lt;/color&gt;. A l’issue de cette maintenance, les joueurs utilisant une version antérieure à la 0.48.0 ne pourrons plus accéder au jeu. Nous lancerons un pack de mise à jour dans les 8 heures suivant la maintenance. Merci de télécharger la nouvelle version et de vous connecter pour récupérer la récompense dans votre messagerie. 
[Horaire de mise à jour]
Le 07:00 UTC, 31-10-2022. Pendant le déploiement, vous ne pourrez plus accéder au jeu. 
[Durée estimée de la maintenance]
&lt;color=#ffa200&gt;120 minutes&lt;/color&gt;
[Détails de la mise à jour 0.48.0]
- Nouveau combattant: Aldrich, le mécano des terres sauvages et puissant justicier! Obtenez-le dans le Singe ultime.
- Nouvelle fonctionnalité: délégation de troupes. Déléguez des troupes à vos alliés du clan ou du gang. Ces derniers pourront utiliser vos unités. Rendez-vous dans le centre de commandement pour accéder à cette fonctionnalité.
- Nouvelle fonctionnalité: mode durée limitée ajouté à l'Attaque du Dr Hogg. Vous pouvez désormais améliorer vos reliques et infliger plus de dégâts au boss!
- Nouvel évènement spécial: le "Festin des récoltes" va bientôt démarrer! Prenez part aux festivités pour gagner un skin de ville exclusif et d'autres récompenses!
- Optimisation du Rallye du cyclone: ajout de nouvelles stations d'appro ultimes, de bonus exclusifs et plus encore! L'évènement dure maintenant plus longtemps pour vous permettre d'obtenir encore plus de récompenses!
- Optimisation de l'Opération mutants: nouveau classement. Amélioration de l'interface et de l'expérience joueu. Désormais, vous ne quittez plus l'évènement lorsque vous vous déconnectez ou que vous mettez l'application en arrière-plan.
- Nouvelles fonctionnalités: ajout d'un nouvel ensemble d'équipement pour combattant avec des statistiques destinées aux bastonneurs. Ajout d'un guide et de scènes dans la grotte, et augmentation des niveaux jusqu'à 300 dans "l'Invasion de forteresse". Ajout de statues de combattants légendaires. Ajout d'icônes de chat liées aux "badges de suprématie" distribués par le Souverain. Dans Dr Hogg et la Baston des primates, vous pouvez désormais cliquer sur l'avatar des troupes pour modifier leur formation.
- Optimisation de l'interface et de l'expérience utilisateur: amélioration de l’interface d’Abattez le dirigeable, du Colisée Astral, des classements, de l'interface des raids, des astuces pour les bâtiments occupés, des évènements planétaires, de la Chasse aux trésors d'Alvin, des fenêtres pop-up d'invitation de gang, de la page des combattants, de l'utilisation automatique de ressources, et plus encore.
Suivez notre communauté officielle sur Discord pour connaître les éventuels retards dans la maintenance des serveurs et, le cas échéant, l’horaire corrigé du redémarrage des serveurs. [-1# Appuyez pour rejoindre notre serveur Discord officiel](herf=https://discord.gg/RncnPNw)
Nous poursuivons le travail pour résoudre les dysfonctionnements et vous proposer du nouveau contenu génial. Restez à l’écoute et à bientôt à la taverne!
Roger l'assistant</v>
      </c>
      <c r="E41" s="152" t="str">
        <f>SUBSTITUTE(E40,"xxxxx",VLOOKUP($B$47,'4、长版whats new'!$A:$M,5,0))</f>
        <v>Lieber Captain,
 Um dir ein besseres Spielerlebnis zu bieten, werden wir am &lt;color=#ffa200&gt;31.10.2022 um 07:00 UTC&lt;/color&gt; das Update auf Version 0.48.0 durchzuführen. Wir werden zu diesem Zeitpunkt eine Serverwartung durchführen, die etwa &lt;color=#ffa200&gt;120 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31.10.2022, 08:00 UTC; du wirst während dieser Zeit nicht auf das Spiel zugreifen können. 
 [Geschätzte Wartungsdauer]
 &lt;color=#ffa200&gt;120 Minuten&lt;/color&gt;
 [0.48.0 Update-Details]
 - Neuer Kämpfer: Der Wildnis-Mechaniker Aldrich, ein mächtiger Kämpfer, der für die Gerechtigkeit kämpft! Erhalte ihn bei Ultimativer Affe.
 - Neue Funktion: Truppen delegieren. Delegiere Truppen an Freunde in deinem Clan oder deiner Horde und erlaube ihnen, diese Einheiten zu benutzen. Du erreichst diese Funktion über das Kommandozentrum.
 - Neue Funktion: Zeitlimit-Modus für den Angriff auf Dr. Hogg hinzugefügt. Du kannst jetzt Relikte verbessern und dem Boss mehr Schaden verursachen!
 - Neues spezielles Event: Das "Ernte-Festmahl" beginnt bald! Nimm teil und gewinne eine Spezialedition Stadt-Skin und andere Belohnungen!
 - Das Zyklon-Rennen wurde optimiert: Neue Features wie Überragende Versorgungsstationen, exklusive Boosts und mehr! Mit einer längeren Event-Saison und mehr Belohnungen bist du ganz vorne mit dabei!
 - Operation Mutanten wurde optimiert: Eine Rangliste wurde hinzugefügt; Interface und Spielerlebnis wurden optimiert; jetzt wird das Spiel nicht mehr beendet, wenn du dich ausloggst oder die App im Hintergrund laufen lässt.
 - Neue Funktionen: Neues Ausrüstungsset für Kämpfer mit Schläger-Statistiken hinzugefügt. Für "Festungsübernahme" wurden eine Anleitung und Höhlenszenen hinzugefügt und die Anzahl der Level auf 300 erhöht. Legendäre Kämpfer-Statuen wurden dem Spiel hinzugefügt. Chat-Symbole für die "Vorherrschaft-Siegel"-Titel, die vom Overlord verteilt werden, wurden hinzugefügt. Du kannst jetzt auf den Truppen-Avatar tippen, um Formationen bei Dr. Hogg und Primatenkrawall zu bearbeiten.
 - Optimierungen des Interfaces und der Benutzerfreundlichkeit: Die Interface-Anzeigen und die Funktionsweise verschiedener Funktionen wurden optimiert, darunter Luftschiff-Abschuss, Astral-Kolosseum, Ranglisten, Sammelangriff-Interface, Tipps für besetzte Gebäude, Planeten-Meilenstein, Alvins Schatzsuche, Clan-Einladungs-Pop-Ups, Kämpfer-Anzeigeseite, automatische Nutzung von Ressourcen und mehr.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v>
      </c>
      <c r="F41" s="152" t="str">
        <f>SUBSTITUTE(F40,"xxxxx",VLOOKUP($B$47,'4、长版whats new'!$A:$M,6,0))</f>
        <v>Caro Capitão,
 Para melhorar a experiência de jogo, planejamos lançar a atualização 0.48.0 em &lt;color=#ffa200&gt;31/10/2022 às 07:00 (fuso UTC)&lt;/color&gt;. No momento, estamos fazendo a manutenção do jogo, que durará cerca de &lt;color=#ffa200&gt;120 minutos&lt;/color&gt;. Para garantir a equidade da experiência de jogo e permitir que os jogadores aproveitem o conteúdo mais recente do jogo, esta será uma &lt;color=#ffa200&gt;atualização obrigatória&lt;/color&gt;. Jogadores que estiverem usando versões anteriores à 0.48.0 não poderão mais acessar o jogo após a manutenção. Lançaremos um pacote de atualização dentro de 8 horas após a atualização. Faça o download da nova versão e entre no jogo para resgatar as recompensas enviadas.
 [Horário da atualização]
31/10/2022, às 07:00 (fuso UTC). Não será possível acessar o jogo durante este período. 
 [Tempo de manutenção estimado]
 &lt;color=#ffa200&gt;120 minutos&lt;/color&gt;
 [Detalhes da atualização 0.48.0]
- Novo combatente: Mecânico da Terra Selvagem, Aldrich, um poderoso guerreiro que luta por justiça! Obtenha-o em Macaco Supremo.
- Novo recurso: Delegar tropas. Delegue tropas a amigos do seu clã ou gangue e permita que usem essas unidades. Acesse o recurso no Centro de Comando.
- Novo recurso: modo de limite de tempo adicionado em Ataque a Dr. Hogg. Agora você pode melhorar relíquias e causar mais dano no chefe!
- Novo evento especial: "Banquete da Colheita" começa em breve! Participe para ganhar uma edição especial de uma skin de cidade e outras recompensas!
- Incursão Ciclone otimizada: novos recursos adicionados, Estações de Suprimentos Supremos, bônus exclusivos e mais! Saia na frente de uma temporada de eventos mais longa com mais recompensas!
- Operação Mutantes otimizada: adição do placar, melhoria na exibição e experiência na interface. Agora você não sai mais do modo quando sair do jogo ou o app estiver em segundo plano.
- Novos recursos: novo conjunto de equipamentos de combatente com atributos de golpeador adicionados. Em "Conquista da Fortaleza" foram adicionados um novo guia e cenas de caverna, além da expansão dos níveis até o 300. Estátuas de combatentes lendários foram adicionadas. Adicionados ícones de chat em títulos do "Selo da Supremacia" distribuídos ao Soberano. Agora você pode tocar no avatar da tropa para editar formações em Dr. Hogg e Briga Primata.
- Otimizações na experiência de usuário e interfaces: melhoria na exibição de interfaces e experiência de uso de vários recursos, incluindo Ataque do Dirigível, Coliseu Astral, placares, interface de incursões, dicas para estruturas ocupadas, Marco Planetário, Caça ao Tesouro de Alvin, janela de pop-up de convite de gangue, página de exibição do combatente, uso automático de recursos e mais.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v>
      </c>
      <c r="G41" s="152" t="str">
        <f>SUBSTITUTE(G40,"xxxxx",VLOOKUP($B$47,'4、长版whats new'!$A:$M,7,0))</f>
        <v>親愛的指揮官：
為了給大家帶來更好的遊戲體驗，我們預計在&lt;color=#ffa200&gt;UTC時間 2022年6月31日 07:00&lt;/color&gt;進行0.48.0版本更新。屆時服務器將進行&lt;color=#ffa200&gt;120分鐘&lt;/color&gt;的維護，為了確保所有玩家都有相同的遊戲體驗並享受最新的內容，本次更新為&lt;color=#ffa200&gt;強制更新&lt;/color &gt;，維護結束後，客戶端版本號低於0.48.0的猴子們將無法進入遊戲。我們將在版本更新後8小時內為您送來更新禮包，屆時請您下載新版本後登錄遊戲在郵件處領取。
【更新時間】&lt;color=#ffa200&gt;2022年6月31日UTC07:00&lt;/color&gt;，屆時您將無法進入遊戲。
【預計維護時長】&lt;color=#ffa200&gt;120分鐘&lt;/color&gt;
【0.48.0更新內容】
-新增鬥士：荒野機械師-奧德里奇，在荒野中行俠仗義的強大戰士！可通過最強猴子獲取。
-新增功能：部隊託管。可以從作戰中心進入，將自己的部隊託管給同氏族或同幫派的好友控制。
-新增功能：討伐霍格博士活動中新增限時玩法，現在可以強化收藏品，對霍格博士造成更高傷害了！
-新增節日活動：“豐收盛宴”活動即將開啟，參與活動，贏取節日限定主城皮膚和其他豐富獎勵！
-狂飆拉力賽優化：新增典藏補給站、拉力賽專屬增益等新鮮內容。更長的賽季週期，更多的活動獎勵，超多驚喜，助你一猴當先！
-圍剿變異猴優化：新增了排行榜，優化了界面顯示和體驗，挑戰過程中切到後台或離線將不再退出副本。
-新增功能：新增一套射擊手屬性的鬥士戰裝。 “堡壘對決”玩法新增礦洞場景和圖鑑功能，關卡數量增加300關。遊戲新增了一批橙色鬥士雕像。增加了霸主“猩球印記”相關頭銜的聊天展示。增加了在霍格博士與競技場中點擊部隊頭像編輯功能。
-界面及體驗優化：優化了飛艇擊落戰、決戰衛星之巔、排行榜、集結界面、佔領建築提示、猩球紀元、艾文尋寶記、幫派邀請彈窗、鬥士形象展示界面、快速使用資源等功能的體驗和界面表現。 
本次維護不排除延遲開啟的可能，如若延遲，則請關注社區發布的具體開服時間。 [-1#點擊加入Discord社區](herf=https://discord.gg/fK3gtph)
我們將繼續修復遊戲中的一些問題，同時給大家帶來更多的新內容。敬請期待，享受你的香蕉盛宴吧！
羅傑副官</v>
      </c>
      <c r="H41" s="152" t="str">
        <f>SUBSTITUTE(H40,"xxxxx",VLOOKUP($B$47,'4、长版whats new'!$A:$M,8,0))</f>
        <v>Kapten yang terhormat,
 Untuk memberikanmu pengalaman bermain yang lebih baik, kami berencana untuk merilis pembaruan versi 0.48.0 pada &lt;color=#ffa200&gt;2022-10-31 pukul 07:00 UTC&lt;/color&gt;. Pada saat itu, kami akan melakukan pemeliharaan server yang berlangsung kira-kira &lt;color=#ffa200&gt;120 menit&lt;/color&gt;. Untuk memastikan pengalaman bermain game yang normal dan memungkinkan semua pemain menikmati konten game terbaru, hal ini akan menjadi &lt;color=#ffa200&gt;pembaruan wajib&lt;/color&gt;. Pemain yang menjalankan versi lebih lama dari 0.48.0 tidak bisa lagi mengakses game setelah pemeliharaan ini selesai.Kami akan mengeluarkan paket pembaruan dalam 8 jam setelah pembaruan. Unduh versi game baru dan masuk ke dalam game untuk mengklaim hadiah dalam Emailmu.
 [Waktu Pembaruan]
 07:00 UTC, 2022-10-31; kamu tidak akan bisa mengakses game selama waktu tersebut. 
 [Perkiraan Durasi Pemeliharaan]
 &lt;color=#ffa200&gt;120 menit&lt;/color&gt;
 [0.48.0 Rincian Pembaruan]
- Pejuang baru: Mekanik Liar - Aldrige, seorang prajurit perkasa di padang gurun! Dapat diperoleh dari Kera Yang Tangguh.
- Fitur baru: Auto Pasukan Bisa masuk lewat pusat komando, pasukan bisa diserahkan untuk dikendalikan teman dari Klan atau Geng yang sama.
- Fitur baru: Tambahan game terbatas di event Serangan terhadap Dr. Hogg, sekaran bisa tingkatkan pusaka, damage pada Dr. Hogg semakin kuat!
- Event Liburan baru: Event “Pesta Panen” segera dimulai, partisipasi Event dan menangkan Skin Kota terbatas serta hadiah mewah lainnya!
- Peningkatan Reli Topan: Terminal Pasokan Klasik baru, keunggulan baru khusus Reli. Periode musim yang lebih panjang, lebih banyak hadiah event, lebih banyak kejutan. Semoga beruntung!
- Peningkatan Pengepungan Kera Mutan: Tambahan Peringkat, meningkatkan tampilan dan pengalaman. Ubah ke sistem atau offline selama tantangan tidak akan keluar dungeon.
- Fitur baru: Tambahan perlengkapan Pejuang khusus Penembak. Tambahan fitur skenario tambang dan relik “Penaklukan Benteng”, wilayah kera bertambah 300 stage. Game menambah sejumlah Patung Pejuang oranye. Menambah Gelar dan obrolan “Tanda Utama” Maharaja Menambah fitur edit avatar pasukan di duel dengan Dr. Hogg.
- Peningkatan tampilan dan pengalaman: Meningkatkan Penembakan Kapal Udara, Koloseum Astral, peringkat, tampilan ikuti reli, tips menduduki bangunan, Riwayat Gorila, Perburuan Harta Karun Alvin, jendela undangan Geng, tampilan menunjukkan Pejuang, tampilan dan pengalaman fitur memakai cepat material.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v>
      </c>
      <c r="I41" s="152" t="str">
        <f>SUBSTITUTE(I40,"xxxxx",VLOOKUP($B$47,'4、长版whats new'!$A:$M,9,0))</f>
        <v>ถึงท่านผู้บัญชาการ
 เพื่อให้นายได้รับประสบการณ์การเล่นเกมที่ดีขึ้น เราวางแผนที่จะปล่อยอัปเดตเวอร์ชัน 0.48.0 ในวันที่ &lt;color=#ffa200&gt;2022-10-31 ในเวลา 07:00 ตามเวลา UTC&lt;/color&gt; ซึ่งในเวลาดังกล่าว เราจะทำการบำรุงรักษาเซิร์ฟเวอร์เป็นเวลาประมาณ &lt;color=#ffa200&gt;120 นาที&lt;/color&gt; เพื่อให้มั่นใจว่าประสบการณ์การเล่นเกมของทุกท่านเป็นไปด้วยดี และเพื่อให้ผู้เล่นทุกคนได้เพลิดเพลินไปกับเนื้อหาเกมล่าสุด ในกรณีนี้จะเป็น&lt;color=#ffa200&gt;การอัปเดตภาคบังคับ&lt;/color&gt; ซึ่งผู้เล่นที่ใช้เวอร์ชันเก่ากว่า 0.48.0 จะไม่สามารถเข้าสู่เกมได้หลังจากการบำรุงรักษานี้เสร็จสมบูรณ์
 [เวลาอัปเดต]
 07:00 UTC 2022-10-31; 
 [ระยะเวลาการบำรุงรักษาโดยประมาณ]
 &lt;color=#ffa200&gt;120 นาที&lt;/color&gt;
 [0.48.0 รายละเอียดการอัปเดต]
- นักสู้ตัวใหม่: อัลดริค ช่างกลแดนเถื่อน นักรบผู้กล้าที่ต่อสู้เพื่อความยุติธรรม! รับได้จากลิงอัลติเมท
 - ฟีเจอร์ใหม่: มอบหมายกองทหาร มอบหมายกองทหารให้กับเพื่อนในแคลนหรือแก๊งของคุณเพื่อให้พวกเขาสามารถใช้ยูนิตเหล่านี้ได้ เข้าใช้งานฟีเจอร์นี้ได้จากศูนย์บัญชาการ
 - ฟีเจอร์ใหม่: เพิ่มโหมดจำกัดเวลาในการโจมตี ดร.ฮ็อกก์ ตอนนี้คุณสามารถเสริมพลังรีลิคและทำความเสียหายใส่บอสได้แรงขึ้นแล้ว!
 - กิจกรรมพิเศษใหม่: “งานเลี้ยงเก็บเกี่ยว” ใกล้จะเริ่มขึ้นแล้ว! เข้าร่วมชิงสกินเมืองรุ่นพิเศษและของรางวัลอื่นๆ!
 - ปรับระบบไซโคลนแรลลี่: เพิ่มฟีเจอร์ใหม่ๆ รวมถึงสถานีเสบียงสุพรีม บูสต์สุดพิเศษ และอีกมากมาย! ก้าวไปให้ไกลด้วยฤดูกาลกิจกรรมที่นานขึ้นและของรางวัลมากขึ้น!
 - ปรับระบบปฏิบัติการตัวกลายพันธุ์: เพิ่มระบบกระดานผู้นำ ปรับปรุงการแสดงและใช้งานอินเทอร์เฟซ ตอนนี้คุณจะไม่ออกจากเกมเพลย์เมื่อคุณล็อกเอาท์หรือมีแอปที่รันอยู่เบื้องหลังแล้ว
 - ฟีเจอร์ใหม่: เพิ่มอุปกรณ์นักสู้ชุดใหม่ที่เพิ่มค่าสถานะให้กับฮิตเตอร์ “ยึดป้อมปราการ” จะเพิ่มฟีเจอร์คำแนะนำใหม่และฉากถ้ำ รวมถึงเพิ่มเลเวลถึง 300 เพิ่มรูปปั้นนักสู้ระดับตำนานเข้ามาในเกม เพิ่มไอคอนแชทของฉายา “ตราประทับแห่งความเป็นใหญ่” ที่แจกให้โดยโอเวอร์ลอร์ด ตอนนี้คุณสามารถแตะที่อวาตาร์ของกองทหารเพื่อแก้ไขการจัดทัพใน ดร.ฮ็อกก์และวิวาทวานรได้แล้ว
 - ปรับระบบอินเทอร์เฟซและประสบการณ์ผู้ใช้: ปรับการแสดงอินเทอร์เฟซและประสบการณ์ใช้งานฟังก์ชันในฟีเจอร์ต่างๆ รวมถึงการยิงเรือเหาะ, แอสทรัลโคลิเซียม, กระดานผู้นำ, อินเทอร์เฟซแรลลี่, คำแนะนำอาคารที่ยอดครอง, หมุดหมายดวงดาว, กิจกรรมล่าสมบัติของอัลวิน, หน้าต่างป็อปอัพเชิญเข้าแก๊ง, หน้าแสดงนักสู้, การใช้ทรัพยากรอัตโนมัติ และอีกมากมาย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41" s="152" t="str">
        <f>SUBSTITUTE(J40,"xxxxx",VLOOKUP($B$47,'4、长版whats new'!$A:$M,10,0))</f>
        <v>Querido Capitán,
 Para poder brindarte una mejor experiencia de juego, planeamos liberar una actualización a la versión 0.48.0 el &lt;color=#ffa200&gt;2022-10-31 a las 07:00 UTC&lt;/color&gt;. En ese momento, realizaremos un mantenimiento de servidor que tendrá una duración aproximada de &lt;color=#ffa200&gt;120 minutos&lt;/color&gt;. Para asegurarnos de que la experiencia de juego sea común y para permitir que todos los jugadores disfruten del contenido más actualizado del juego esta será una &lt;color=#ffa200&gt;actualización obligatoria&lt;/color&gt;. Los jugadores que estén utilizando versiones más viejas a la 0.48.0 ya no podrán acceder al juego después de que este mantenimiento esté completo. Liberaremos un paquete de actualización dentro de las siguientes 8 horas después de la actualización. Por favor, descarga la nueva versión del juego y conéctate al juego para reclamar la recompensa en tu Correo. 
 [Hora de la Actualización]
 07:00 UTC, 2022-10-31; no podrás acceder al juego durante esta hora. 
 [Duración Estimada del Mantenimiento]
 &lt;color=#ffa200&gt;120 minutos&lt;/color&gt;
 [Detalles de la actualización 0.48.0]
- Nuevo Luchador: Aldrich, Mecánico de las Tierras Salvajes, ¡un poderoso guerrero que lucha por la justicia! Consíguelo en el Mono Supremo.
- Nueva función: Delegar tropas. Delega tropas a amigos en tu Clan o Banda y permíteles usar estas unidades. Accede a esta función desde el Centro de Comando.
- Nueva función: Modo de límite de tiempo agregado al Ataque al Dr. Hogg. ¡Ahora puedes mejorar las Reliquias y ejercer más daño al jefe!
- Nuevo evento especial: ¡La "Fiesta de la Cosecha" comenzará pronto! ¡Participa para ganar un aspecto de ciudad de edición especial y otras recompensas!
- Rally del Ciclón optimizado: ¡Se agregaron nuevas características que incluyen la Estación de Suministros Suprema, potenciadores exclusivos y más! ¡Avanza con una temporada de eventos más larga y con más recompensas!
- Operación Mutantes optimizada: Tabla de Posiciones añadida; se mejoró la visualización y la experiencia de la interfaz; ahora no saldrás del juego cuando cierres sesión o tengas la aplicación ejecutándose en segundo plano.
- Nuevas características: Nuevo conjunto de equipo de Luchador con estadísticas del Golpeador añadidas. Para la "Toma de la Fortaleza", se agregó una nueva función de guía y escenarios de cuevas además se expandieron los niveles a 300. Se agregaron estatuas de Luchadores Legendarios al juego. Se agregaron íconos de chat de los títulos del "Sello de Supremacía" distribuidos por el Líder Supremo. Ahora puedes tocar en el avatar de la tropa para editar formaciones en el Dr. Hogg y Lucha de Primates.
- Optimizaciones de la interfaz y la experiencia del usuario: Se mejoraron las pantallas de la interfaz y la experiencia funcional de varias funciones, incluyendo Derribo de la Aeronave, Coliseo Astral, tablas de posiciones, interfaz del rally, consejos para los edificios ocupados, Logros Planetarios, Cacería del Tesoro de Alvin, ventana emergente de invitación de la Banda, página de despliegue del Luchador, uso automático de recursos y más.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v>
      </c>
      <c r="K41" s="152" t="str">
        <f>SUBSTITUTE(K40,"xxxxx",VLOOKUP($B$47,'4、长版whats new'!$A:$M,11,0))</f>
        <v>Уважаемый капитан!
Для того чтобы подарить вам наилучшие впечатления от игры, мы планируем выпустить обновление версии 0.48.0 &lt;color=#ffa200&gt; 31.10.2022 в 07:00 UTC&lt;/color&gt;. Мы проведем техническое обслуживание сервера, которое продлится примерно &lt;color=#ffa200&gt;120 минут&lt;/color&gt;. Для того чтобы игра работала одинаково у всех игроков и все игроки могли наслаждаться новейшим игровым контентом, мы делаем это обновление &lt;color=#ffa200&gt;обязательным&lt;/color&gt;. Игроки с версиями игры, отличными от 0.48.0, не смогут получить доступ к игре после завершения обслуживания.Мы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31.10.2022, 07:00 UTC. Во время обновления вы не сможете получить доступ к игре. 
[Ожидаемая длительность обслуживания]
&lt;color=#ffa200&gt;120 минут&lt;/color&gt;
[Детали обновления 0.48.0]
-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своего клана или банды, чтобы разрешить им использовать эти отряды. Эта функция доступна через командный центр.
- Новая функция: к режиму «Атака на доктора Хогга» добавлен лимит времени. Теперь вы можете усиливать реликвии и наносить больше урона боссу!
- Новое особое событие: скоро начнется праздник урожая! Участвуйте, чтобы выиграть уникальный облик города и другие награды!
- Оптимизация «Ураганных гонок»: добавлены новые функции, такие как превосходные станции снабжения, эксклюзивные усиления и так далее! Вырывайтесь вперед в продленном по времени сезоне и заработайте больше наград!
- Оптимизация «Операции „Мутанты”»: добавлена таблица лидеров; улучшены отображение и работа интерфейса; теперь ваше участие не прерывается, когда вы выходите из игры или оставляете ее в фоновом режиме.
- Новые функции: добавлен новый комплект снаряжения героя с показателями для громил. Для режима «Захват крепости» добавлена функция руководства, сцены в пещере, а количество уровней увеличено до 300. В игру добавлены статуи легендарных героев. В чат добавлены значки для титулов «Печать превосходства», которые распределяет Владыка. Вы можете нажать на значок войска, чтобы поменять построение в режимах «Доктор Хогг» и «Потасовка приматов».
- Оптимизация интерфейса и работы игры: улучшено отображение интерфейса и общая функциональность таких элементов игры, как «Сбить дирижабль», Астральный Колизей, таблицы лидеров, интерфейс походов, подсказки для оккупированных построек, «Планетарный рубеж», «Охота за сокровищами Альвина», всплывающее окно приглашения в банду, страница отображения героя, автоматическое использование ресурсов и так далее.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41" s="152" t="str">
        <f>SUBSTITUTE(L40,"xxxxx",VLOOKUP($B$47,'4、长版whats new'!$A:$M,12,0))</f>
        <v>Sevgili Kaptan,
 Sana daha iyi bir oyun deneyimi sunmak adına sürüm 0.48.0 güncellemesini &lt;color=#ffa200&gt; 31.10.2022 saat 07.00’da (UTC)&lt;/color&gt; yayımlamayı planlıyoruz. O esnada yaklaşık &lt;color=#ffa200&gt;120 dakika&lt;/color&gt; sürecek bir sunucu bakımı gerçekleştireceğiz. Ortak bir oyun deneyimi sunmak ve tüm oyuncuların oyunun en yeni içeriklerinden faydalanmasını sağlamak için bu &lt;color=#ffa200&gt;zorunlu bir güncelleme&lt;/color&gt; olacak. 0.48.0’dan daha eski sürümleri kullanan oyuncular, bu bakımın tamamlanmasının ardından bir daha oyuna erişim sağlayamayacaklar. Güncellemenin ardından 8 saat içinde bir güncelleme paketi yayımlayacağız. Lütfen oyunun yeni sürümünü indir ve oyuna giriş yaparak Postandan ödülünü al.
 [Güncelleme Zamanı]
 07.00 (UTC),  31.10.2022; bu sırada oyuna erişim sağlayamayacaksın. 
 [Tahmini Bakım Süresi]
 &lt;color=#ffa200&gt;120 dakika&lt;/color&gt;
 [0.48.0 Güncelleme Bilgileri]
- Yeni Savaşçı: Çorak Toprakların Teknisyeni Aldrich. Adalet için savaşan kudretli bir savaşçı! Bu savaşçıyı En Üstün Maymun'dan edinebilirsin.
- Yeni özellik: Birlik görevlendirme. Klanındaki veya Çetendeki arkadaşların için birliklerini görevlendir ve bu birimleri kullanabilmelerini sağla. Bu özelliğe Komuta Merkezinden ulaşabilirsin.
- Yeni özellik: Dr. Hogg'a Saldırı etkinliğine süre sınırlı mod eklendi. Artık Kalıntıları geliştirebilir ve Dr. Hogg'a daha fazla hasar verebilirsin!
- Yeni özel etkinlik: "Hasat Şöleni" yakında başlıyor! Özel şehir görünümünü ve diğer ödülleri kazanmak için etkinliğe katıl!
- Tufan Toplu Saldırısı optimize edildi: Üstün Tedarik İstasyonları, özel güçlendirmeler ve daha fazlasını içeren yeni özellikler eklendi! Daha uzun bir etkinlik sezonu ve daha fazla ödüllerle öne geç!
- Mutant Operasyonu optimize edildi: Liderlik tablosu eklendi, arayüz görünümü ve deneyimi geliştirildi. Artık uygulamadan çıktığında veya uygulamayı arka planda çalıştırdığında oyundan çıkmayacaksın.
- Yeni özellikler: Vurucu özelliklerini içeren yeni bir Savaşçı ekipman seti eklendi. "Kaleyi Ele Geçirme" için yeni bir kılavuz özelliği ve mağara sahneleri eklendi, ayrıca seviyeler 300 olarak artırıldı. Oyuna Efsanevi Savaşçı heykelleri eklendi. Büyük Lordun dağıttığı "Üstünlük Mührü" unvanlarının sohbet simgeleri eklendi. Artık Dr. Hogg ve Primat Kavgasında birlik avatarına dokunarak formasyonları düzenleyebilirsin.
- Arayüz ve kullanıcı deneyimi optimizasyonları: Arayüz görünümleri ve Zeplin Vurma, Yıldız Kolezyumu, liderlik tabloları, toplu saldırı arayüzü, işgal edilen bina ipuçları, Gezegen Dönüm Noktası, Alvin'in Hazine Avı, Çete daveti açılır penceresi, Savaşçı görüntüleme sayfası, kaynakları otomatik kullanma gibi birçok özelliğin işlevsel deneyimi geliştirildi.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v>
      </c>
      <c r="M41" s="152" t="str">
        <f>SUBSTITUTE(M40,"xxxxx",VLOOKUP($B$47,'4、长版whats new'!$A:$M,13,0))</f>
        <v>Thưa Thủ Lĩnh,
 Để đem lại cho bạn trải nghiệm chơi game tốt hơn, chúng tôi dự định sẽ phát hành bản cập nhật 0.48.0 vào lúc &lt;color=#ffa200&gt;07:00 UTC ngày 31/10/2022&lt;/color&gt;. Cùng lúc đó, chúng tôi cũng sẽ thực hiện bảo trì máy chủ kéo dài khoảng &lt;color=#ffa200&gt;120 phút&lt;/color&gt;. Để đảm bảo trải nghiệm game chung và cho phép tất cả người chơi tận hưởng nội dung game mới nhất, đây sẽ là một &lt;color=#ffa200&gt;bản cập nhật bắt buộc&lt;/color&gt;. Những người chơi chạy phiên bản cũ hơn 0.48.0 sẽ không thể truy cập vào game nữa sau khi quá trình bảo trì này hoàn tất. Chúng tôi sẽ phát hành gói cập nhật trong vòng 8 tiếng sau khi cập nhật. Hãy tải phiên bản game mới và đăng nhập lại vào game để nhận thưởng trong Mail nhé.
 [Thời gian cập nhật]
 07:00 UTC, ngày 31/10/2022; bạn sẽ không thể truy cập vào game trong khoảng thời gian này. 
 [Thời lượng bảo trì ước tính]
 &lt;color=#ffa200&gt;120 phút&lt;/color&gt;
 [Thông tin bản cập nhật 0.48.0]
- Chiến Binh Mới: Kỹ Sư Máy Hoang Dã - Aldrich, Chiến binh dũng mãnh hành hiệp trượng nghĩa trong vùng hoang dã! Có thể nhận được thông qua Chúa Khỉ Tối Cao. 
- Tính năng mới: Uỷ thác quản lý. Có thể vào từ Trung Tâm Chỉ Huy, đem binh lính của bản thân uỷ thác cho bạn bè cùng Bộ Lạc/Bang Hội điều khiển. 
- Tính năng mới: Thêm lối chơi giới hạn thời gian trong hoạt động Tấn Công Tiến Sĩ Hogg, hiện tại có thể cường hoá Di Tích, gây ra sát thương cao hơn cho Tiến Sĩ Hogg! 
- Sự Kiện Ngày Lễ Mới: Sự kiện “Tiệc Thu Hoạch” sắp mở, tham gia sự kiện, giành được Trang Phục Toà Thị Chính và phần thưởng đặc biệt trong các sự kiện ngày lễ! 
- Tối ưu Tập Hợp Lốc Xoáy: Thêm các nội dung mới mẻ như Trạm Cung Ứng Cổ Điển, Tăng Cường Đặc Biệt của Tập Hợp. Thời gian mùa giải dài hơn, phần thưởng sự kiện nhiều hơn, rất nhiều, rất nhiều bất ngờ, giúp bạn vươn lên dẫn đầu! 
- Tối ưu Vây Quét Khỉ Đột Biến: Thêm Bảng Xếp Hạng, tối ưu giao diện hiển thị và trải nghiệm, chuyển sang chế độ nền hoặc offline trong quá trình khiêu chiến sẽ không thoát khỏi phụ bản nữa. 
- Tính năng mới: Thêm một bộ trang bị Chiến Binh thuộc tính Xạ Thủ. Lối chơi “Tiếp Quản Pháo Đài” thêm cảnh Hầm Mỏ và tính năng Sổ Tay, số lượng Cửa Ải tăng thêm 300 ải. Game đã thêm một lô Tượng Chiến Binh Vàng. Thêm Chat hiển thị tiêu đề liên quan đến Lãnh Chúa "Con Dấu Bá Chủ". Thêm tính năng chỉnh sửa ảnh đại diện khi nhấn vào binh lính trong Tiến Sĩ Hogg và Đấu Trường. 
- Tối ưu giao diện và trải nghiệm: Tối ưu trải nghiệm và giao diện của các tính năng như Bắn Hạ Tàu Bay, Đại Đấu Trường Thiên Thể, Bảng Xếp Hạng, giao diện Tập Hợp, nhắc chiếm đóng Công Trình, Lịch Sử Khỉ Đột, Săn Kho Báu của Alvin, cửa sổ bật lên khi mời Bang Hội, giao diện hiển thị hình tượng Chiến Binh, dùng nhanh tài nguyên.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v>
      </c>
      <c r="N41" s="152"/>
      <c r="O41" s="152"/>
      <c r="P41" s="201"/>
      <c r="Q41" s="152"/>
      <c r="R41" s="152"/>
    </row>
    <row r="42" hidden="1">
      <c r="A42" s="105"/>
      <c r="B42" s="209"/>
      <c r="C42" s="108"/>
      <c r="D42" s="108"/>
      <c r="E42" s="108"/>
      <c r="F42" s="108"/>
      <c r="G42" s="108"/>
      <c r="H42" s="108"/>
      <c r="I42" s="108"/>
      <c r="J42" s="108"/>
      <c r="K42" s="108"/>
      <c r="L42" s="108"/>
      <c r="M42" s="108"/>
      <c r="N42" s="108"/>
      <c r="O42" s="108"/>
      <c r="P42" s="67"/>
      <c r="Q42" s="108"/>
      <c r="R42" s="108"/>
    </row>
    <row r="43" hidden="1">
      <c r="A43" s="14"/>
      <c r="B43" s="199"/>
      <c r="P43" s="67"/>
    </row>
    <row r="44" hidden="1">
      <c r="A44" s="14"/>
      <c r="B44" s="199"/>
      <c r="P44" s="67"/>
    </row>
    <row r="45" hidden="1">
      <c r="A45" s="14"/>
      <c r="B45" s="199"/>
      <c r="P45" s="67"/>
    </row>
    <row r="46" hidden="1">
      <c r="A46" s="14"/>
      <c r="B46" s="199"/>
      <c r="P46" s="67"/>
    </row>
    <row r="47" hidden="1">
      <c r="A47" s="14" t="s">
        <v>1168</v>
      </c>
      <c r="B47" s="199" t="s">
        <v>1169</v>
      </c>
      <c r="P47" s="67"/>
    </row>
    <row r="48" hidden="1">
      <c r="A48" s="14" t="s">
        <v>1170</v>
      </c>
      <c r="B48" s="199" t="s">
        <v>1171</v>
      </c>
      <c r="P48" s="67"/>
    </row>
    <row r="49" hidden="1">
      <c r="A49" s="14" t="s">
        <v>1172</v>
      </c>
      <c r="B49" s="199" t="s">
        <v>1126</v>
      </c>
      <c r="P49" s="67"/>
    </row>
    <row r="50" hidden="1">
      <c r="A50" s="14" t="s">
        <v>1173</v>
      </c>
      <c r="B50" s="199" t="s">
        <v>1174</v>
      </c>
      <c r="P50" s="67"/>
    </row>
    <row r="51" hidden="1">
      <c r="A51" s="14" t="s">
        <v>1175</v>
      </c>
      <c r="B51" s="199" t="s">
        <v>1176</v>
      </c>
      <c r="P51" s="67"/>
    </row>
    <row r="52" hidden="1">
      <c r="A52" s="14" t="s">
        <v>1177</v>
      </c>
      <c r="B52" s="199" t="s">
        <v>1130</v>
      </c>
      <c r="P52" s="67"/>
    </row>
    <row r="53" hidden="1">
      <c r="A53" s="14" t="s">
        <v>1178</v>
      </c>
      <c r="B53" s="199" t="s">
        <v>1179</v>
      </c>
      <c r="P53" s="67"/>
    </row>
    <row r="54" hidden="1">
      <c r="P54" s="67"/>
    </row>
    <row r="55" hidden="1">
      <c r="A55" s="211" t="s">
        <v>1180</v>
      </c>
      <c r="P55" s="67"/>
    </row>
    <row r="56" hidden="1">
      <c r="A56" s="14" t="s">
        <v>1181</v>
      </c>
      <c r="B56" s="148" t="str">
        <f t="shared" ref="B56:M56" si="12">SUBSTITUTE(B37,"aaa",$B$47)</f>
        <v>0.48.0版本更新介绍</v>
      </c>
      <c r="C56" s="148" t="str">
        <f t="shared" si="12"/>
        <v>Version 0.48.0 Update</v>
      </c>
      <c r="D56" s="148" t="str">
        <f t="shared" si="12"/>
        <v>Mise à jour 0.48.0</v>
      </c>
      <c r="E56" s="148" t="str">
        <f t="shared" si="12"/>
        <v>Update auf Version 0.48.0</v>
      </c>
      <c r="F56" s="148" t="str">
        <f t="shared" si="12"/>
        <v>Atualização da versão 0.48.0</v>
      </c>
      <c r="G56" s="148" t="str">
        <f t="shared" si="12"/>
        <v>版本 0.48.0 更新</v>
      </c>
      <c r="H56" s="148" t="str">
        <f t="shared" si="12"/>
        <v>Pembaruan Versi 0.48.0</v>
      </c>
      <c r="I56" s="148" t="str">
        <f t="shared" si="12"/>
        <v>อัปเดตเวอร์ชัน 0.48.0</v>
      </c>
      <c r="J56" s="148" t="str">
        <f t="shared" si="12"/>
        <v>Actualización a la versión 0.48.0</v>
      </c>
      <c r="K56" s="148" t="str">
        <f t="shared" si="12"/>
        <v>Обновление до версии 0.48.0</v>
      </c>
      <c r="L56" s="148" t="str">
        <f t="shared" si="12"/>
        <v>Sürüm 0.48.0 Güncellemesi</v>
      </c>
      <c r="M56" s="148" t="str">
        <f t="shared" si="12"/>
        <v>Cập nhật Phiên bản 0.48.0</v>
      </c>
      <c r="P56" s="67"/>
    </row>
    <row r="57" hidden="1">
      <c r="A57" s="12" t="s">
        <v>1182</v>
      </c>
      <c r="B57" s="212" t="str">
        <f t="shared" ref="B57:M57" si="13">B41</f>
        <v>亲爱的指挥官：
为了给大家带来更好的游戏体验，我们预计在&lt;color=#ffa200&gt;UTC时间 2022年10月31日UTC07:00&lt;/color&gt;进行0.48.0版本更新。届时服务器将进行&lt;color=#ffa200&gt;120分钟&lt;/color&gt;的维护，为了确保所有玩家都有相同的游戏体验并享受最新的内容，本次更新为&lt;color=#ffa200&gt;强制更新&lt;/color&gt;，维护结束后，客户端版本号低于0.48.0的猴子们将无法进入游戏。我们将在版本更新后8小时内为您送来更新礼包，届时请您下载新版本后登录游戏在邮件处领取。
【更新时间】&lt;color=#ffa200&gt; 2022年10月31日UTC07:00&lt;/color&gt;，届时您将无法进入游戏。
【预计维护时长】&lt;color=#ffa200&gt;120分钟&lt;/color&gt;
【0.48.0更新内容】
-新增斗士：荒野机械师-奥德里奇，在荒野中行侠仗义的强大战士！可通过最强猴子获取。
-新增功能：部队托管。可以从作战中心进入，将自己的部队托管给同氏族或同帮派的好友控制。
-新增功能：讨伐霍格博士活动中新增限时玩法，现在可以强化收藏品，对霍格博士造成更高伤害了！
-新增节日活动：“丰收盛宴”活动即将开启，参与活动，赢取节日限定主城皮肤和其他丰富奖励！
-狂飙拉力赛优化：新增典藏补给站、拉力赛专属增益等新鲜内容。更长的赛季周期，更多的活动奖励，超多惊喜，助你一猴当先！
-围剿变异猴优化：新增了排行榜，优化了界面显示和体验，挑战过程中切到后台或离线将不再退出副本。
-新增功能：新增一套射击手属性的斗士战装。“堡垒对决”玩法新增矿洞场景和图鉴功能，关卡数量增加300关。游戏新增了一批橙色斗士雕像。增加了霸主“猩球印记”相关头衔的聊天展示。增加了在霍格博士与竞技场中点击部队头像编辑功能。
-界面及体验优化：优化了飞艇击落战、决战卫星之巅、排行榜、集结界面、占领建筑提示、猩球纪元、艾文寻宝记、帮派邀请弹窗、斗士形象展示界面、快速使用资源等功能的体验和界面表现。
本次维护不排除延迟开启的可能，如若延迟，则请关注社区发布的具体开服时间。[-1#点击加入Discord社区](herf=https://discord.gg/fK3gtph)
我们将继续修复游戏中的一些问题，同时给大家带来更多的新内容。敬请期待，享受你的香蕉盛宴吧！
罗杰副官</v>
      </c>
      <c r="C57" s="164" t="str">
        <f t="shared" si="13"/>
        <v>Dear Captain,
In order to bring you a better gaming experience, we plan to release the version 0.48.0 update on &lt;color=#ffa200&gt;2022-10-31 at 07:00 UTC&lt;/color&gt;. At that time, we will conduct server maintenance lasting approximately &lt;color=#ffa200&gt;120 minutes&lt;/color&gt;. To ensure a common gaming experience and to allow all players to enjoy the latest game content, this will be a &lt;color=#ffa200&gt;mandatory update&lt;/color&gt;. Players running versions older than 0.48.0 will no longer be able to access the game after this maintenance is complete. We will issue an update pack within 8 hours after the update. Please download the new game version and log into the game to claim the reward in your Mail.
[Update Time]
07:00 UTC, 2022-10-31; you will not be able to access the game during this time. 
[Estimated Maintenance Duration]
&lt;color=#ffa200&gt;120 minutes&lt;/color&gt;
[0.48.0 Update Details]
- New Fighter: Wildland Mechanic, Aldrich, a mighty warrior who fights for justice! Get him from Ultimate Monkey.
- New feature: Delegate troops. Delegate troops to friends in your Clan or Gang and allow them to use these units. Access this feature from the Command Center.
- New feature: Time limit mode added to Attack on Dr. Hogg. You can now enhance Relics and deal more damage to the boss!
- New special event: "Harvest Feast" starts soon! Participate to win special-edition city skin and other rewards!
- Cyclone Rally optimized: Added new features including Supreme Supply Stations, exclusive boosts, and more! Get ahead with a longer event season and more rewards!
- Operation Mutants optimized: Leaderboard added; improved the interface display and experience; now you won't exit the gameplay when you log out or have the app running in the background.
- New features: New set of Fighter equipment with Hitter stats added. For "Fortress Takeover," added a new guide feature and cave scenes, and expanded levels to 300. Legendary Fighter statues added to the game. Added chat icons of the "Seal of Supremacy" titles distributed by the Overlord. You can now tap the troop avatar to edit formations in Dr. Hogg and Primate Brawl.
- Interface and user experience optimizations: Improved the interface displays and functional experience of various features including Airship Shootdown, Astral Coliseum, leaderboards, rally interface, tip for occupied buildings, Planet Milestone, Alvin's Treasure Hunt, Gang invite pop-up window, Fighter display page, auto-using resources, and more.
Please follow our official Discord community to find out if there are any delays in the server maintenance and, if so, the updated server restart time. [-1# Tap to enter the Official Discord community](herf=https://discord.gg/RncnPNw)
We will continue to work hard to resolve bugs and bring you great new content. Stay tuned and see you around the Tavern!
Deputy Roger</v>
      </c>
      <c r="D57" s="164" t="str">
        <f t="shared" si="13"/>
        <v>Cher capitaine,
Afin d’améliorer votre expérience de jeu, nous prévoyons le lancement de la mise à jour 0.48.0 le &lt;color=#ffa200&gt;07:00 UTC, 31-10-2022 &lt;/color&gt;. Nous procèderons alors à une maintenance des serveurs qui durera environ &lt;color=#ffa200&gt;120 minutes&lt;/color&gt;. Pour garantir l’homogénéité de l’expérience et garantir à tous l’accès au contenu le plus récent, il s’agira d’une &lt;color=#ffa200&gt;mise à jour obligatoire &lt;/color&gt;. A l’issue de cette maintenance, les joueurs utilisant une version antérieure à la 0.48.0 ne pourrons plus accéder au jeu. Nous lancerons un pack de mise à jour dans les 8 heures suivant la maintenance. Merci de télécharger la nouvelle version et de vous connecter pour récupérer la récompense dans votre messagerie. 
[Horaire de mise à jour]
Le 07:00 UTC, 31-10-2022. Pendant le déploiement, vous ne pourrez plus accéder au jeu. 
[Durée estimée de la maintenance]
&lt;color=#ffa200&gt;120 minutes&lt;/color&gt;
[Détails de la mise à jour 0.48.0]
- Nouveau combattant: Aldrich, le mécano des terres sauvages et puissant justicier! Obtenez-le dans le Singe ultime.
- Nouvelle fonctionnalité: délégation de troupes. Déléguez des troupes à vos alliés du clan ou du gang. Ces derniers pourront utiliser vos unités. Rendez-vous dans le centre de commandement pour accéder à cette fonctionnalité.
- Nouvelle fonctionnalité: mode durée limitée ajouté à l'Attaque du Dr Hogg. Vous pouvez désormais améliorer vos reliques et infliger plus de dégâts au boss!
- Nouvel évènement spécial: le "Festin des récoltes" va bientôt démarrer! Prenez part aux festivités pour gagner un skin de ville exclusif et d'autres récompenses!
- Optimisation du Rallye du cyclone: ajout de nouvelles stations d'appro ultimes, de bonus exclusifs et plus encore! L'évènement dure maintenant plus longtemps pour vous permettre d'obtenir encore plus de récompenses!
- Optimisation de l'Opération mutants: nouveau classement. Amélioration de l'interface et de l'expérience joueu. Désormais, vous ne quittez plus l'évènement lorsque vous vous déconnectez ou que vous mettez l'application en arrière-plan.
- Nouvelles fonctionnalités: ajout d'un nouvel ensemble d'équipement pour combattant avec des statistiques destinées aux bastonneurs. Ajout d'un guide et de scènes dans la grotte, et augmentation des niveaux jusqu'à 300 dans "l'Invasion de forteresse". Ajout de statues de combattants légendaires. Ajout d'icônes de chat liées aux "badges de suprématie" distribués par le Souverain. Dans Dr Hogg et la Baston des primates, vous pouvez désormais cliquer sur l'avatar des troupes pour modifier leur formation.
- Optimisation de l'interface et de l'expérience utilisateur: amélioration de l’interface d’Abattez le dirigeable, du Colisée Astral, des classements, de l'interface des raids, des astuces pour les bâtiments occupés, des évènements planétaires, de la Chasse aux trésors d'Alvin, des fenêtres pop-up d'invitation de gang, de la page des combattants, de l'utilisation automatique de ressources, et plus encore.
Suivez notre communauté officielle sur Discord pour connaître les éventuels retards dans la maintenance des serveurs et, le cas échéant, l’horaire corrigé du redémarrage des serveurs. [-1# Appuyez pour rejoindre notre serveur Discord officiel](herf=https://discord.gg/RncnPNw)
Nous poursuivons le travail pour résoudre les dysfonctionnements et vous proposer du nouveau contenu génial. Restez à l’écoute et à bientôt à la taverne!
Roger l'assistant</v>
      </c>
      <c r="E57" s="164" t="str">
        <f t="shared" si="13"/>
        <v>Lieber Captain,
 Um dir ein besseres Spielerlebnis zu bieten, werden wir am &lt;color=#ffa200&gt;31.10.2022 um 07:00 UTC&lt;/color&gt; das Update auf Version 0.48.0 durchzuführen. Wir werden zu diesem Zeitpunkt eine Serverwartung durchführen, die etwa &lt;color=#ffa200&gt;120 Minuten&lt;/color&gt; dauern wird. Du kannst das Spiel aktualisieren, sobald die Serverwartung abgeschlossen ist. Wir werden innerhalb von 8 Stunden nach dem Update ein Update-Paket herausgeben. Bitte lade die neue Spielversion herunter und logge dich in das Spiel ein, um die Belohnung in deiner Mail einzufordern.
 [Update-Zeit]
 31.10.2022, 08:00 UTC; du wirst während dieser Zeit nicht auf das Spiel zugreifen können. 
 [Geschätzte Wartungsdauer]
 &lt;color=#ffa200&gt;120 Minuten&lt;/color&gt;
 [0.48.0 Update-Details]
 - Neuer Kämpfer: Der Wildnis-Mechaniker Aldrich, ein mächtiger Kämpfer, der für die Gerechtigkeit kämpft! Erhalte ihn bei Ultimativer Affe.
 - Neue Funktion: Truppen delegieren. Delegiere Truppen an Freunde in deinem Clan oder deiner Horde und erlaube ihnen, diese Einheiten zu benutzen. Du erreichst diese Funktion über das Kommandozentrum.
 - Neue Funktion: Zeitlimit-Modus für den Angriff auf Dr. Hogg hinzugefügt. Du kannst jetzt Relikte verbessern und dem Boss mehr Schaden verursachen!
 - Neues spezielles Event: Das "Ernte-Festmahl" beginnt bald! Nimm teil und gewinne eine Spezialedition Stadt-Skin und andere Belohnungen!
 - Das Zyklon-Rennen wurde optimiert: Neue Features wie Überragende Versorgungsstationen, exklusive Boosts und mehr! Mit einer längeren Event-Saison und mehr Belohnungen bist du ganz vorne mit dabei!
 - Operation Mutanten wurde optimiert: Eine Rangliste wurde hinzugefügt; Interface und Spielerlebnis wurden optimiert; jetzt wird das Spiel nicht mehr beendet, wenn du dich ausloggst oder die App im Hintergrund laufen lässt.
 - Neue Funktionen: Neues Ausrüstungsset für Kämpfer mit Schläger-Statistiken hinzugefügt. Für "Festungsübernahme" wurden eine Anleitung und Höhlenszenen hinzugefügt und die Anzahl der Level auf 300 erhöht. Legendäre Kämpfer-Statuen wurden dem Spiel hinzugefügt. Chat-Symbole für die "Vorherrschaft-Siegel"-Titel, die vom Overlord verteilt werden, wurden hinzugefügt. Du kannst jetzt auf den Truppen-Avatar tippen, um Formationen bei Dr. Hogg und Primatenkrawall zu bearbeiten.
 - Optimierungen des Interfaces und der Benutzerfreundlichkeit: Die Interface-Anzeigen und die Funktionsweise verschiedener Funktionen wurden optimiert, darunter Luftschiff-Abschuss, Astral-Kolosseum, Ranglisten, Sammelangriff-Interface, Tipps für besetzte Gebäude, Planeten-Meilenstein, Alvins Schatzsuche, Clan-Einladungs-Pop-Ups, Kämpfer-Anzeigeseite, automatische Nutzung von Ressourcen und mehr.
 Bitte folge unserer offiziellen Discord-Community, um zu erfahren, ob es Verzögerungen bei der Serverwartung gibt und, falls ja, die aktualisierte Server-Neustartzeit. [-1# Tippe, um die offizielle Discord Community zu betreten](herf=https://discord.gg/RncnPNw)
 Wir werden weiterhin hart daran arbeiten, Programmfehler zu beheben und euch großartige neue Inhalte zu bieten. Bleib dabei und wir sehen uns in der Taverne!
Adjudant Roger</v>
      </c>
      <c r="F57" s="164" t="str">
        <f t="shared" si="13"/>
        <v>Caro Capitão,
 Para melhorar a experiência de jogo, planejamos lançar a atualização 0.48.0 em &lt;color=#ffa200&gt;31/10/2022 às 07:00 (fuso UTC)&lt;/color&gt;. No momento, estamos fazendo a manutenção do jogo, que durará cerca de &lt;color=#ffa200&gt;120 minutos&lt;/color&gt;. Para garantir a equidade da experiência de jogo e permitir que os jogadores aproveitem o conteúdo mais recente do jogo, esta será uma &lt;color=#ffa200&gt;atualização obrigatória&lt;/color&gt;. Jogadores que estiverem usando versões anteriores à 0.48.0 não poderão mais acessar o jogo após a manutenção. Lançaremos um pacote de atualização dentro de 8 horas após a atualização. Faça o download da nova versão e entre no jogo para resgatar as recompensas enviadas.
 [Horário da atualização]
31/10/2022, às 07:00 (fuso UTC). Não será possível acessar o jogo durante este período. 
 [Tempo de manutenção estimado]
 &lt;color=#ffa200&gt;120 minutos&lt;/color&gt;
 [Detalhes da atualização 0.48.0]
- Novo combatente: Mecânico da Terra Selvagem, Aldrich, um poderoso guerreiro que luta por justiça! Obtenha-o em Macaco Supremo.
- Novo recurso: Delegar tropas. Delegue tropas a amigos do seu clã ou gangue e permita que usem essas unidades. Acesse o recurso no Centro de Comando.
- Novo recurso: modo de limite de tempo adicionado em Ataque a Dr. Hogg. Agora você pode melhorar relíquias e causar mais dano no chefe!
- Novo evento especial: "Banquete da Colheita" começa em breve! Participe para ganhar uma edição especial de uma skin de cidade e outras recompensas!
- Incursão Ciclone otimizada: novos recursos adicionados, Estações de Suprimentos Supremos, bônus exclusivos e mais! Saia na frente de uma temporada de eventos mais longa com mais recompensas!
- Operação Mutantes otimizada: adição do placar, melhoria na exibição e experiência na interface. Agora você não sai mais do modo quando sair do jogo ou o app estiver em segundo plano.
- Novos recursos: novo conjunto de equipamentos de combatente com atributos de golpeador adicionados. Em "Conquista da Fortaleza" foram adicionados um novo guia e cenas de caverna, além da expansão dos níveis até o 300. Estátuas de combatentes lendários foram adicionadas. Adicionados ícones de chat em títulos do "Selo da Supremacia" distribuídos ao Soberano. Agora você pode tocar no avatar da tropa para editar formações em Dr. Hogg e Briga Primata.
- Otimizações na experiência de usuário e interfaces: melhoria na exibição de interfaces e experiência de uso de vários recursos, incluindo Ataque do Dirigível, Coliseu Astral, placares, interface de incursões, dicas para estruturas ocupadas, Marco Planetário, Caça ao Tesouro de Alvin, janela de pop-up de convite de gangue, página de exibição do combatente, uso automático de recursos e mais.
 Siga nossa comunidade oficial no Discord para ficar sabendo de eventuais atrasos na manutenção do servidor e do horário de reinício do servidor atualizado, caso necessário. [-1# Toque para entrar na comunidade oficial do Discord](herf=https://discord.gg/RncnPNw)
 Continuaremos trabalhando muito para resolver bugs e trazer novos conteúdos para você. Fique por dentro. Nos vemos na taverna!
Delegado Roger</v>
      </c>
      <c r="G57" s="164" t="str">
        <f t="shared" si="13"/>
        <v>親愛的指揮官：
為了給大家帶來更好的遊戲體驗，我們預計在&lt;color=#ffa200&gt;UTC時間 2022年6月31日 07:00&lt;/color&gt;進行0.48.0版本更新。屆時服務器將進行&lt;color=#ffa200&gt;120分鐘&lt;/color&gt;的維護，為了確保所有玩家都有相同的遊戲體驗並享受最新的內容，本次更新為&lt;color=#ffa200&gt;強制更新&lt;/color &gt;，維護結束後，客戶端版本號低於0.48.0的猴子們將無法進入遊戲。我們將在版本更新後8小時內為您送來更新禮包，屆時請您下載新版本後登錄遊戲在郵件處領取。
【更新時間】&lt;color=#ffa200&gt;2022年6月31日UTC07:00&lt;/color&gt;，屆時您將無法進入遊戲。
【預計維護時長】&lt;color=#ffa200&gt;120分鐘&lt;/color&gt;
【0.48.0更新內容】
-新增鬥士：荒野機械師-奧德里奇，在荒野中行俠仗義的強大戰士！可通過最強猴子獲取。
-新增功能：部隊託管。可以從作戰中心進入，將自己的部隊託管給同氏族或同幫派的好友控制。
-新增功能：討伐霍格博士活動中新增限時玩法，現在可以強化收藏品，對霍格博士造成更高傷害了！
-新增節日活動：“豐收盛宴”活動即將開啟，參與活動，贏取節日限定主城皮膚和其他豐富獎勵！
-狂飆拉力賽優化：新增典藏補給站、拉力賽專屬增益等新鮮內容。更長的賽季週期，更多的活動獎勵，超多驚喜，助你一猴當先！
-圍剿變異猴優化：新增了排行榜，優化了界面顯示和體驗，挑戰過程中切到後台或離線將不再退出副本。
-新增功能：新增一套射擊手屬性的鬥士戰裝。 “堡壘對決”玩法新增礦洞場景和圖鑑功能，關卡數量增加300關。遊戲新增了一批橙色鬥士雕像。增加了霸主“猩球印記”相關頭銜的聊天展示。增加了在霍格博士與競技場中點擊部隊頭像編輯功能。
-界面及體驗優化：優化了飛艇擊落戰、決戰衛星之巔、排行榜、集結界面、佔領建築提示、猩球紀元、艾文尋寶記、幫派邀請彈窗、鬥士形象展示界面、快速使用資源等功能的體驗和界面表現。 
本次維護不排除延遲開啟的可能，如若延遲，則請關注社區發布的具體開服時間。 [-1#點擊加入Discord社區](herf=https://discord.gg/fK3gtph)
我們將繼續修復遊戲中的一些問題，同時給大家帶來更多的新內容。敬請期待，享受你的香蕉盛宴吧！
羅傑副官</v>
      </c>
      <c r="H57" s="164" t="str">
        <f t="shared" si="13"/>
        <v>Kapten yang terhormat,
 Untuk memberikanmu pengalaman bermain yang lebih baik, kami berencana untuk merilis pembaruan versi 0.48.0 pada &lt;color=#ffa200&gt;2022-10-31 pukul 07:00 UTC&lt;/color&gt;. Pada saat itu, kami akan melakukan pemeliharaan server yang berlangsung kira-kira &lt;color=#ffa200&gt;120 menit&lt;/color&gt;. Untuk memastikan pengalaman bermain game yang normal dan memungkinkan semua pemain menikmati konten game terbaru, hal ini akan menjadi &lt;color=#ffa200&gt;pembaruan wajib&lt;/color&gt;. Pemain yang menjalankan versi lebih lama dari 0.48.0 tidak bisa lagi mengakses game setelah pemeliharaan ini selesai.Kami akan mengeluarkan paket pembaruan dalam 8 jam setelah pembaruan. Unduh versi game baru dan masuk ke dalam game untuk mengklaim hadiah dalam Emailmu.
 [Waktu Pembaruan]
 07:00 UTC, 2022-10-31; kamu tidak akan bisa mengakses game selama waktu tersebut. 
 [Perkiraan Durasi Pemeliharaan]
 &lt;color=#ffa200&gt;120 menit&lt;/color&gt;
 [0.48.0 Rincian Pembaruan]
- Pejuang baru: Mekanik Liar - Aldrige, seorang prajurit perkasa di padang gurun! Dapat diperoleh dari Kera Yang Tangguh.
- Fitur baru: Auto Pasukan Bisa masuk lewat pusat komando, pasukan bisa diserahkan untuk dikendalikan teman dari Klan atau Geng yang sama.
- Fitur baru: Tambahan game terbatas di event Serangan terhadap Dr. Hogg, sekaran bisa tingkatkan pusaka, damage pada Dr. Hogg semakin kuat!
- Event Liburan baru: Event “Pesta Panen” segera dimulai, partisipasi Event dan menangkan Skin Kota terbatas serta hadiah mewah lainnya!
- Peningkatan Reli Topan: Terminal Pasokan Klasik baru, keunggulan baru khusus Reli. Periode musim yang lebih panjang, lebih banyak hadiah event, lebih banyak kejutan. Semoga beruntung!
- Peningkatan Pengepungan Kera Mutan: Tambahan Peringkat, meningkatkan tampilan dan pengalaman. Ubah ke sistem atau offline selama tantangan tidak akan keluar dungeon.
- Fitur baru: Tambahan perlengkapan Pejuang khusus Penembak. Tambahan fitur skenario tambang dan relik “Penaklukan Benteng”, wilayah kera bertambah 300 stage. Game menambah sejumlah Patung Pejuang oranye. Menambah Gelar dan obrolan “Tanda Utama” Maharaja Menambah fitur edit avatar pasukan di duel dengan Dr. Hogg.
- Peningkatan tampilan dan pengalaman: Meningkatkan Penembakan Kapal Udara, Koloseum Astral, peringkat, tampilan ikuti reli, tips menduduki bangunan, Riwayat Gorila, Perburuan Harta Karun Alvin, jendela undangan Geng, tampilan menunjukkan Pejuang, tampilan dan pengalaman fitur memakai cepat material.
 Ikuti komunitas Discord resmi kami untuk mengetahui jika ada penundaan dalam pemeliharaan server dan, jika demikian, waktu mulai ulang pembaruan server. [-1# Ketuk untuk masuk ke komunitas Discord Resmi] (herf=https://discord.gg/RncnPNw)
 Kami akan terus bekerja keras untuk mengatasi bug dan menghadirkan konten baru yang keren untukmu. Tetap di sini dan sampai jumpa di sekitar Kedai!
 Deputi Roger</v>
      </c>
      <c r="I57" s="164" t="str">
        <f t="shared" si="13"/>
        <v>ถึงท่านผู้บัญชาการ
 เพื่อให้นายได้รับประสบการณ์การเล่นเกมที่ดีขึ้น เราวางแผนที่จะปล่อยอัปเดตเวอร์ชัน 0.48.0 ในวันที่ &lt;color=#ffa200&gt;2022-10-31 ในเวลา 07:00 ตามเวลา UTC&lt;/color&gt; ซึ่งในเวลาดังกล่าว เราจะทำการบำรุงรักษาเซิร์ฟเวอร์เป็นเวลาประมาณ &lt;color=#ffa200&gt;120 นาที&lt;/color&gt; เพื่อให้มั่นใจว่าประสบการณ์การเล่นเกมของทุกท่านเป็นไปด้วยดี และเพื่อให้ผู้เล่นทุกคนได้เพลิดเพลินไปกับเนื้อหาเกมล่าสุด ในกรณีนี้จะเป็น&lt;color=#ffa200&gt;การอัปเดตภาคบังคับ&lt;/color&gt; ซึ่งผู้เล่นที่ใช้เวอร์ชันเก่ากว่า 0.48.0 จะไม่สามารถเข้าสู่เกมได้หลังจากการบำรุงรักษานี้เสร็จสมบูรณ์
 [เวลาอัปเดต]
 07:00 UTC 2022-10-31; 
 [ระยะเวลาการบำรุงรักษาโดยประมาณ]
 &lt;color=#ffa200&gt;120 นาที&lt;/color&gt;
 [0.48.0 รายละเอียดการอัปเดต]
- นักสู้ตัวใหม่: อัลดริค ช่างกลแดนเถื่อน นักรบผู้กล้าที่ต่อสู้เพื่อความยุติธรรม! รับได้จากลิงอัลติเมท
 - ฟีเจอร์ใหม่: มอบหมายกองทหาร มอบหมายกองทหารให้กับเพื่อนในแคลนหรือแก๊งของคุณเพื่อให้พวกเขาสามารถใช้ยูนิตเหล่านี้ได้ เข้าใช้งานฟีเจอร์นี้ได้จากศูนย์บัญชาการ
 - ฟีเจอร์ใหม่: เพิ่มโหมดจำกัดเวลาในการโจมตี ดร.ฮ็อกก์ ตอนนี้คุณสามารถเสริมพลังรีลิคและทำความเสียหายใส่บอสได้แรงขึ้นแล้ว!
 - กิจกรรมพิเศษใหม่: “งานเลี้ยงเก็บเกี่ยว” ใกล้จะเริ่มขึ้นแล้ว! เข้าร่วมชิงสกินเมืองรุ่นพิเศษและของรางวัลอื่นๆ!
 - ปรับระบบไซโคลนแรลลี่: เพิ่มฟีเจอร์ใหม่ๆ รวมถึงสถานีเสบียงสุพรีม บูสต์สุดพิเศษ และอีกมากมาย! ก้าวไปให้ไกลด้วยฤดูกาลกิจกรรมที่นานขึ้นและของรางวัลมากขึ้น!
 - ปรับระบบปฏิบัติการตัวกลายพันธุ์: เพิ่มระบบกระดานผู้นำ ปรับปรุงการแสดงและใช้งานอินเทอร์เฟซ ตอนนี้คุณจะไม่ออกจากเกมเพลย์เมื่อคุณล็อกเอาท์หรือมีแอปที่รันอยู่เบื้องหลังแล้ว
 - ฟีเจอร์ใหม่: เพิ่มอุปกรณ์นักสู้ชุดใหม่ที่เพิ่มค่าสถานะให้กับฮิตเตอร์ “ยึดป้อมปราการ” จะเพิ่มฟีเจอร์คำแนะนำใหม่และฉากถ้ำ รวมถึงเพิ่มเลเวลถึง 300 เพิ่มรูปปั้นนักสู้ระดับตำนานเข้ามาในเกม เพิ่มไอคอนแชทของฉายา “ตราประทับแห่งความเป็นใหญ่” ที่แจกให้โดยโอเวอร์ลอร์ด ตอนนี้คุณสามารถแตะที่อวาตาร์ของกองทหารเพื่อแก้ไขการจัดทัพใน ดร.ฮ็อกก์และวิวาทวานรได้แล้ว
 - ปรับระบบอินเทอร์เฟซและประสบการณ์ผู้ใช้: ปรับการแสดงอินเทอร์เฟซและประสบการณ์ใช้งานฟังก์ชันในฟีเจอร์ต่างๆ รวมถึงการยิงเรือเหาะ, แอสทรัลโคลิเซียม, กระดานผู้นำ, อินเทอร์เฟซแรลลี่, คำแนะนำอาคารที่ยอดครอง, หมุดหมายดวงดาว, กิจกรรมล่าสมบัติของอัลวิน, หน้าต่างป็อปอัพเชิญเข้าแก๊ง, หน้าแสดงนักสู้, การใช้ทรัพยากรอัตโนมัติ และอีกมากมาย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J57" s="164" t="str">
        <f t="shared" si="13"/>
        <v>Querido Capitán,
 Para poder brindarte una mejor experiencia de juego, planeamos liberar una actualización a la versión 0.48.0 el &lt;color=#ffa200&gt;2022-10-31 a las 07:00 UTC&lt;/color&gt;. En ese momento, realizaremos un mantenimiento de servidor que tendrá una duración aproximada de &lt;color=#ffa200&gt;120 minutos&lt;/color&gt;. Para asegurarnos de que la experiencia de juego sea común y para permitir que todos los jugadores disfruten del contenido más actualizado del juego esta será una &lt;color=#ffa200&gt;actualización obligatoria&lt;/color&gt;. Los jugadores que estén utilizando versiones más viejas a la 0.48.0 ya no podrán acceder al juego después de que este mantenimiento esté completo. Liberaremos un paquete de actualización dentro de las siguientes 8 horas después de la actualización. Por favor, descarga la nueva versión del juego y conéctate al juego para reclamar la recompensa en tu Correo. 
 [Hora de la Actualización]
 07:00 UTC, 2022-10-31; no podrás acceder al juego durante esta hora. 
 [Duración Estimada del Mantenimiento]
 &lt;color=#ffa200&gt;120 minutos&lt;/color&gt;
 [Detalles de la actualización 0.48.0]
- Nuevo Luchador: Aldrich, Mecánico de las Tierras Salvajes, ¡un poderoso guerrero que lucha por la justicia! Consíguelo en el Mono Supremo.
- Nueva función: Delegar tropas. Delega tropas a amigos en tu Clan o Banda y permíteles usar estas unidades. Accede a esta función desde el Centro de Comando.
- Nueva función: Modo de límite de tiempo agregado al Ataque al Dr. Hogg. ¡Ahora puedes mejorar las Reliquias y ejercer más daño al jefe!
- Nuevo evento especial: ¡La "Fiesta de la Cosecha" comenzará pronto! ¡Participa para ganar un aspecto de ciudad de edición especial y otras recompensas!
- Rally del Ciclón optimizado: ¡Se agregaron nuevas características que incluyen la Estación de Suministros Suprema, potenciadores exclusivos y más! ¡Avanza con una temporada de eventos más larga y con más recompensas!
- Operación Mutantes optimizada: Tabla de Posiciones añadida; se mejoró la visualización y la experiencia de la interfaz; ahora no saldrás del juego cuando cierres sesión o tengas la aplicación ejecutándose en segundo plano.
- Nuevas características: Nuevo conjunto de equipo de Luchador con estadísticas del Golpeador añadidas. Para la "Toma de la Fortaleza", se agregó una nueva función de guía y escenarios de cuevas además se expandieron los niveles a 300. Se agregaron estatuas de Luchadores Legendarios al juego. Se agregaron íconos de chat de los títulos del "Sello de Supremacía" distribuidos por el Líder Supremo. Ahora puedes tocar en el avatar de la tropa para editar formaciones en el Dr. Hogg y Lucha de Primates.
- Optimizaciones de la interfaz y la experiencia del usuario: Se mejoraron las pantallas de la interfaz y la experiencia funcional de varias funciones, incluyendo Derribo de la Aeronave, Coliseo Astral, tablas de posiciones, interfaz del rally, consejos para los edificios ocupados, Logros Planetarios, Cacería del Tesoro de Alvin, ventana emergente de invitación de la Banda, página de despliegue del Luchador, uso automático de recursos y más.
 Por favor, sigue a nuestra comunidad en Discord para saber si existe algún retraso en el mantenimiento del servidor y, si ese es el caso, la hora de reinicio del servidor. [-1# Toca para entrar en la comunidad oficial de Discord](herf=https://discord.gg/RncnPNw)
 Continuaremos trabajando duro para resolver cualquier falla y traerte contenido nuevo increíble. Mantente sintonizado y, ¡nos vemos en la Taberna!
Comisario Roger</v>
      </c>
      <c r="K57" s="164" t="str">
        <f t="shared" si="13"/>
        <v>Уважаемый капитан!
Для того чтобы подарить вам наилучшие впечатления от игры, мы планируем выпустить обновление версии 0.48.0 &lt;color=#ffa200&gt; 31.10.2022 в 07:00 UTC&lt;/color&gt;. Мы проведем техническое обслуживание сервера, которое продлится примерно &lt;color=#ffa200&gt;120 минут&lt;/color&gt;. Для того чтобы игра работала одинаково у всех игроков и все игроки могли наслаждаться новейшим игровым контентом, мы делаем это обновление &lt;color=#ffa200&gt;обязательным&lt;/color&gt;. Игроки с версиями игры, отличными от 0.48.0, не смогут получить доступ к игре после завершения обслуживания.Мы отправим вам набор обновления в течение 8 часов после обновления. Загрузите новую версию игры и зайдите в игру, чтобы получить награду в почте.
[Время обновления]
 31.10.2022, 07:00 UTC. Во время обновления вы не сможете получить доступ к игре. 
[Ожидаемая длительность обслуживания]
&lt;color=#ffa200&gt;120 минут&lt;/color&gt;
[Детали обновления 0.48.0]
- Новый герой: механик из диких земель Олдрич, могучий воин, который сражается за справедливость! Получите его в событии «Великая обезьяна».
- Новая функция: передать войска. Передавайте войска друзьям из своего клана или банды, чтобы разрешить им использовать эти отряды. Эта функция доступна через командный центр.
- Новая функция: к режиму «Атака на доктора Хогга» добавлен лимит времени. Теперь вы можете усиливать реликвии и наносить больше урона боссу!
- Новое особое событие: скоро начнется праздник урожая! Участвуйте, чтобы выиграть уникальный облик города и другие награды!
- Оптимизация «Ураганных гонок»: добавлены новые функции, такие как превосходные станции снабжения, эксклюзивные усиления и так далее! Вырывайтесь вперед в продленном по времени сезоне и заработайте больше наград!
- Оптимизация «Операции „Мутанты”»: добавлена таблица лидеров; улучшены отображение и работа интерфейса; теперь ваше участие не прерывается, когда вы выходите из игры или оставляете ее в фоновом режиме.
- Новые функции: добавлен новый комплект снаряжения героя с показателями для громил. Для режима «Захват крепости» добавлена функция руководства, сцены в пещере, а количество уровней увеличено до 300. В игру добавлены статуи легендарных героев. В чат добавлены значки для титулов «Печать превосходства», которые распределяет Владыка. Вы можете нажать на значок войска, чтобы поменять построение в режимах «Доктор Хогг» и «Потасовка приматов».
- Оптимизация интерфейса и работы игры: улучшено отображение интерфейса и общая функциональность таких элементов игры, как «Сбить дирижабль», Астральный Колизей, таблицы лидеров, интерфейс походов, подсказки для оккупированных построек, «Планетарный рубеж», «Охота за сокровищами Альвина», всплывающее окно приглашения в банду, страница отображения героя, автоматическое использование ресурсов и так далее.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L57" s="164" t="str">
        <f t="shared" si="13"/>
        <v>Sevgili Kaptan,
 Sana daha iyi bir oyun deneyimi sunmak adına sürüm 0.48.0 güncellemesini &lt;color=#ffa200&gt; 31.10.2022 saat 07.00’da (UTC)&lt;/color&gt; yayımlamayı planlıyoruz. O esnada yaklaşık &lt;color=#ffa200&gt;120 dakika&lt;/color&gt; sürecek bir sunucu bakımı gerçekleştireceğiz. Ortak bir oyun deneyimi sunmak ve tüm oyuncuların oyunun en yeni içeriklerinden faydalanmasını sağlamak için bu &lt;color=#ffa200&gt;zorunlu bir güncelleme&lt;/color&gt; olacak. 0.48.0’dan daha eski sürümleri kullanan oyuncular, bu bakımın tamamlanmasının ardından bir daha oyuna erişim sağlayamayacaklar. Güncellemenin ardından 8 saat içinde bir güncelleme paketi yayımlayacağız. Lütfen oyunun yeni sürümünü indir ve oyuna giriş yaparak Postandan ödülünü al.
 [Güncelleme Zamanı]
 07.00 (UTC),  31.10.2022; bu sırada oyuna erişim sağlayamayacaksın. 
 [Tahmini Bakım Süresi]
 &lt;color=#ffa200&gt;120 dakika&lt;/color&gt;
 [0.48.0 Güncelleme Bilgileri]
- Yeni Savaşçı: Çorak Toprakların Teknisyeni Aldrich. Adalet için savaşan kudretli bir savaşçı! Bu savaşçıyı En Üstün Maymun'dan edinebilirsin.
- Yeni özellik: Birlik görevlendirme. Klanındaki veya Çetendeki arkadaşların için birliklerini görevlendir ve bu birimleri kullanabilmelerini sağla. Bu özelliğe Komuta Merkezinden ulaşabilirsin.
- Yeni özellik: Dr. Hogg'a Saldırı etkinliğine süre sınırlı mod eklendi. Artık Kalıntıları geliştirebilir ve Dr. Hogg'a daha fazla hasar verebilirsin!
- Yeni özel etkinlik: "Hasat Şöleni" yakında başlıyor! Özel şehir görünümünü ve diğer ödülleri kazanmak için etkinliğe katıl!
- Tufan Toplu Saldırısı optimize edildi: Üstün Tedarik İstasyonları, özel güçlendirmeler ve daha fazlasını içeren yeni özellikler eklendi! Daha uzun bir etkinlik sezonu ve daha fazla ödüllerle öne geç!
- Mutant Operasyonu optimize edildi: Liderlik tablosu eklendi, arayüz görünümü ve deneyimi geliştirildi. Artık uygulamadan çıktığında veya uygulamayı arka planda çalıştırdığında oyundan çıkmayacaksın.
- Yeni özellikler: Vurucu özelliklerini içeren yeni bir Savaşçı ekipman seti eklendi. "Kaleyi Ele Geçirme" için yeni bir kılavuz özelliği ve mağara sahneleri eklendi, ayrıca seviyeler 300 olarak artırıldı. Oyuna Efsanevi Savaşçı heykelleri eklendi. Büyük Lordun dağıttığı "Üstünlük Mührü" unvanlarının sohbet simgeleri eklendi. Artık Dr. Hogg ve Primat Kavgasında birlik avatarına dokunarak formasyonları düzenleyebilirsin.
- Arayüz ve kullanıcı deneyimi optimizasyonları: Arayüz görünümleri ve Zeplin Vurma, Yıldız Kolezyumu, liderlik tabloları, toplu saldırı arayüzü, işgal edilen bina ipuçları, Gezegen Dönüm Noktası, Alvin'in Hazine Avı, Çete daveti açılır penceresi, Savaşçı görüntüleme sayfası, kaynakları otomatik kullanma gibi birçok özelliğin işlevsel deneyimi geliştirildi.
 Sunucu bakımında gecikmeler olup olmadığını ve eğer olduysa sunucunun güncellenen yeniden başlatma zamanını öğrenmek için lütfen resmî Discord topluluğumuzu takip et. [-1# Resmî Discord topluluğuna girmek için dokun](herf=https://discord.gg/RncnPNw)
 Sorunları çözmek ve sana yeni içerikler sunmak için çok çalışmaya devam edeceğiz. Takipte kal, Tavernada görüşürüz!
 Yardımcı Roger</v>
      </c>
      <c r="M57" s="164" t="str">
        <f t="shared" si="13"/>
        <v>Thưa Thủ Lĩnh,
 Để đem lại cho bạn trải nghiệm chơi game tốt hơn, chúng tôi dự định sẽ phát hành bản cập nhật 0.48.0 vào lúc &lt;color=#ffa200&gt;07:00 UTC ngày 31/10/2022&lt;/color&gt;. Cùng lúc đó, chúng tôi cũng sẽ thực hiện bảo trì máy chủ kéo dài khoảng &lt;color=#ffa200&gt;120 phút&lt;/color&gt;. Để đảm bảo trải nghiệm game chung và cho phép tất cả người chơi tận hưởng nội dung game mới nhất, đây sẽ là một &lt;color=#ffa200&gt;bản cập nhật bắt buộc&lt;/color&gt;. Những người chơi chạy phiên bản cũ hơn 0.48.0 sẽ không thể truy cập vào game nữa sau khi quá trình bảo trì này hoàn tất. Chúng tôi sẽ phát hành gói cập nhật trong vòng 8 tiếng sau khi cập nhật. Hãy tải phiên bản game mới và đăng nhập lại vào game để nhận thưởng trong Mail nhé.
 [Thời gian cập nhật]
 07:00 UTC, ngày 31/10/2022; bạn sẽ không thể truy cập vào game trong khoảng thời gian này. 
 [Thời lượng bảo trì ước tính]
 &lt;color=#ffa200&gt;120 phút&lt;/color&gt;
 [Thông tin bản cập nhật 0.48.0]
- Chiến Binh Mới: Kỹ Sư Máy Hoang Dã - Aldrich, Chiến binh dũng mãnh hành hiệp trượng nghĩa trong vùng hoang dã! Có thể nhận được thông qua Chúa Khỉ Tối Cao. 
- Tính năng mới: Uỷ thác quản lý. Có thể vào từ Trung Tâm Chỉ Huy, đem binh lính của bản thân uỷ thác cho bạn bè cùng Bộ Lạc/Bang Hội điều khiển. 
- Tính năng mới: Thêm lối chơi giới hạn thời gian trong hoạt động Tấn Công Tiến Sĩ Hogg, hiện tại có thể cường hoá Di Tích, gây ra sát thương cao hơn cho Tiến Sĩ Hogg! 
- Sự Kiện Ngày Lễ Mới: Sự kiện “Tiệc Thu Hoạch” sắp mở, tham gia sự kiện, giành được Trang Phục Toà Thị Chính và phần thưởng đặc biệt trong các sự kiện ngày lễ! 
- Tối ưu Tập Hợp Lốc Xoáy: Thêm các nội dung mới mẻ như Trạm Cung Ứng Cổ Điển, Tăng Cường Đặc Biệt của Tập Hợp. Thời gian mùa giải dài hơn, phần thưởng sự kiện nhiều hơn, rất nhiều, rất nhiều bất ngờ, giúp bạn vươn lên dẫn đầu! 
- Tối ưu Vây Quét Khỉ Đột Biến: Thêm Bảng Xếp Hạng, tối ưu giao diện hiển thị và trải nghiệm, chuyển sang chế độ nền hoặc offline trong quá trình khiêu chiến sẽ không thoát khỏi phụ bản nữa. 
- Tính năng mới: Thêm một bộ trang bị Chiến Binh thuộc tính Xạ Thủ. Lối chơi “Tiếp Quản Pháo Đài” thêm cảnh Hầm Mỏ và tính năng Sổ Tay, số lượng Cửa Ải tăng thêm 300 ải. Game đã thêm một lô Tượng Chiến Binh Vàng. Thêm Chat hiển thị tiêu đề liên quan đến Lãnh Chúa "Con Dấu Bá Chủ". Thêm tính năng chỉnh sửa ảnh đại diện khi nhấn vào binh lính trong Tiến Sĩ Hogg và Đấu Trường. 
- Tối ưu giao diện và trải nghiệm: Tối ưu trải nghiệm và giao diện của các tính năng như Bắn Hạ Tàu Bay, Đại Đấu Trường Thiên Thể, Bảng Xếp Hạng, giao diện Tập Hợp, nhắc chiếm đóng Công Trình, Lịch Sử Khỉ Đột, Săn Kho Báu của Alvin, cửa sổ bật lên khi mời Bang Hội, giao diện hiển thị hình tượng Chiến Binh, dùng nhanh tài nguyên.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Chúng tôi sẽ tiếp tục làm việc chăm chỉ để vá lỗi và đem lại cho các bạn nội dung hấp dẫn mới. Hãy cập nhật và hẹn gặp lại ở Tửu Quán nhé!
 Phụ tá Roger</v>
      </c>
      <c r="N57" s="5"/>
      <c r="O57" s="5"/>
      <c r="P57" s="37"/>
      <c r="Q57" s="5"/>
      <c r="R57" s="5"/>
    </row>
    <row r="58" hidden="1">
      <c r="P58" s="67"/>
    </row>
    <row r="59" hidden="1">
      <c r="A59" s="197" t="s">
        <v>1183</v>
      </c>
      <c r="B59" s="198"/>
      <c r="C59" s="198"/>
      <c r="D59" s="198"/>
      <c r="E59" s="198"/>
      <c r="F59" s="198"/>
      <c r="G59" s="198"/>
      <c r="H59" s="198"/>
      <c r="I59" s="198"/>
      <c r="J59" s="198"/>
      <c r="K59" s="198"/>
      <c r="L59" s="198"/>
      <c r="M59" s="198"/>
      <c r="N59" s="191"/>
      <c r="O59" s="191"/>
      <c r="P59" s="67"/>
      <c r="Q59" s="191"/>
      <c r="R59" s="191"/>
    </row>
    <row r="60" hidden="1">
      <c r="P60" s="67"/>
    </row>
    <row r="61" hidden="1">
      <c r="A61" s="14">
        <v>53.0</v>
      </c>
      <c r="B61" s="14" t="s">
        <v>1184</v>
      </c>
      <c r="P61" s="67"/>
    </row>
    <row r="62" ht="224.25" hidden="1" customHeight="1">
      <c r="B62" s="213" t="s">
        <v>1185</v>
      </c>
      <c r="C62" s="67"/>
      <c r="D62" s="67"/>
      <c r="E62" s="67"/>
      <c r="F62" s="67"/>
      <c r="G62" s="67"/>
      <c r="H62" s="67"/>
      <c r="I62" s="67"/>
      <c r="J62" s="67"/>
      <c r="K62" s="67"/>
      <c r="L62" s="67"/>
      <c r="M62" s="67"/>
      <c r="N62" s="67"/>
      <c r="O62" s="67"/>
      <c r="P62" s="67"/>
      <c r="Q62" s="67"/>
      <c r="R62" s="67"/>
    </row>
    <row r="63" hidden="1">
      <c r="P63" s="67"/>
    </row>
    <row r="64" hidden="1">
      <c r="P64" s="67"/>
    </row>
    <row r="65" hidden="1">
      <c r="P65" s="67"/>
    </row>
    <row r="66" hidden="1">
      <c r="P66" s="67"/>
    </row>
    <row r="67" hidden="1">
      <c r="P67" s="67"/>
    </row>
    <row r="68" hidden="1">
      <c r="P68" s="67"/>
    </row>
    <row r="69" hidden="1">
      <c r="P69" s="67"/>
    </row>
    <row r="70" hidden="1">
      <c r="P70" s="67"/>
    </row>
    <row r="71" hidden="1">
      <c r="P71" s="67"/>
    </row>
    <row r="72" hidden="1">
      <c r="P72" s="67"/>
    </row>
    <row r="73" hidden="1">
      <c r="P73" s="67"/>
    </row>
    <row r="74" hidden="1">
      <c r="P74" s="67"/>
    </row>
    <row r="75" hidden="1">
      <c r="P75" s="67"/>
    </row>
    <row r="76" hidden="1">
      <c r="P76" s="67"/>
    </row>
    <row r="77" hidden="1">
      <c r="P77" s="67"/>
    </row>
    <row r="78" hidden="1">
      <c r="P78" s="67"/>
    </row>
    <row r="79" hidden="1">
      <c r="P79" s="67"/>
    </row>
    <row r="80" hidden="1">
      <c r="P80" s="67"/>
    </row>
    <row r="81" hidden="1">
      <c r="P81" s="67"/>
    </row>
    <row r="82" hidden="1">
      <c r="P82" s="67"/>
    </row>
    <row r="83" hidden="1">
      <c r="P83" s="67"/>
    </row>
    <row r="84">
      <c r="P84" s="67"/>
    </row>
    <row r="85">
      <c r="P85" s="67"/>
    </row>
    <row r="86">
      <c r="P86" s="67"/>
    </row>
    <row r="87">
      <c r="P87" s="67"/>
    </row>
    <row r="88">
      <c r="P88" s="67"/>
    </row>
    <row r="89">
      <c r="P89" s="67"/>
    </row>
    <row r="90">
      <c r="P90" s="67"/>
    </row>
    <row r="91">
      <c r="P91" s="67"/>
    </row>
    <row r="92">
      <c r="P92" s="67"/>
    </row>
    <row r="93">
      <c r="P93" s="67"/>
    </row>
    <row r="94">
      <c r="P94" s="67"/>
    </row>
    <row r="95">
      <c r="P95" s="67"/>
    </row>
    <row r="96">
      <c r="P96" s="67"/>
    </row>
    <row r="97">
      <c r="P97" s="67"/>
    </row>
    <row r="98">
      <c r="P98" s="67"/>
    </row>
    <row r="99">
      <c r="P99" s="67"/>
    </row>
    <row r="100">
      <c r="P100" s="67"/>
    </row>
    <row r="101">
      <c r="P101" s="67"/>
    </row>
    <row r="102">
      <c r="P102" s="67"/>
    </row>
    <row r="103">
      <c r="P103" s="67"/>
    </row>
    <row r="104">
      <c r="P104" s="67"/>
    </row>
    <row r="105">
      <c r="P105" s="67"/>
    </row>
    <row r="106">
      <c r="P106" s="67"/>
    </row>
    <row r="107">
      <c r="P107" s="67"/>
    </row>
    <row r="108">
      <c r="P108" s="67"/>
    </row>
    <row r="109">
      <c r="P109" s="67"/>
    </row>
    <row r="110">
      <c r="P110" s="67"/>
    </row>
    <row r="111">
      <c r="P111" s="67"/>
    </row>
    <row r="112">
      <c r="P112" s="67"/>
    </row>
    <row r="113">
      <c r="P113" s="67"/>
    </row>
    <row r="114">
      <c r="P114" s="67"/>
    </row>
    <row r="115">
      <c r="P115" s="67"/>
    </row>
    <row r="116">
      <c r="P116" s="67"/>
    </row>
    <row r="117">
      <c r="P117" s="67"/>
    </row>
    <row r="118">
      <c r="P118" s="67"/>
    </row>
    <row r="119">
      <c r="P119" s="67"/>
    </row>
    <row r="120">
      <c r="P120" s="67"/>
    </row>
    <row r="121">
      <c r="P121" s="67"/>
    </row>
    <row r="122">
      <c r="P122" s="67"/>
    </row>
    <row r="123">
      <c r="P123" s="67"/>
    </row>
    <row r="124">
      <c r="P124" s="67"/>
    </row>
    <row r="125">
      <c r="P125" s="67"/>
    </row>
    <row r="126">
      <c r="P126" s="67"/>
    </row>
    <row r="127">
      <c r="P127" s="67"/>
    </row>
    <row r="128">
      <c r="P128" s="67"/>
    </row>
    <row r="129">
      <c r="P129" s="67"/>
    </row>
    <row r="130">
      <c r="P130" s="67"/>
    </row>
    <row r="131">
      <c r="P131" s="67"/>
    </row>
    <row r="132">
      <c r="P132" s="67"/>
    </row>
    <row r="133">
      <c r="P133" s="67"/>
    </row>
    <row r="134">
      <c r="P134" s="67"/>
    </row>
    <row r="135">
      <c r="P135" s="67"/>
    </row>
    <row r="136">
      <c r="P136" s="67"/>
    </row>
    <row r="137">
      <c r="P137" s="67"/>
    </row>
    <row r="138">
      <c r="P138" s="67"/>
    </row>
    <row r="139">
      <c r="P139" s="67"/>
    </row>
    <row r="140">
      <c r="P140" s="67"/>
    </row>
    <row r="141">
      <c r="P141" s="67"/>
    </row>
    <row r="142">
      <c r="P142" s="67"/>
    </row>
    <row r="143">
      <c r="P143" s="67"/>
    </row>
    <row r="144">
      <c r="P144" s="67"/>
    </row>
    <row r="145">
      <c r="P145" s="67"/>
    </row>
    <row r="146">
      <c r="P146" s="67"/>
    </row>
    <row r="147">
      <c r="P147" s="67"/>
    </row>
    <row r="148">
      <c r="P148" s="67"/>
    </row>
    <row r="149">
      <c r="P149" s="67"/>
    </row>
    <row r="150">
      <c r="P150" s="67"/>
    </row>
    <row r="151">
      <c r="P151" s="67"/>
    </row>
    <row r="152">
      <c r="P152" s="67"/>
    </row>
    <row r="153">
      <c r="P153" s="67"/>
    </row>
    <row r="154">
      <c r="P154" s="67"/>
    </row>
    <row r="155">
      <c r="P155" s="67"/>
    </row>
    <row r="156">
      <c r="P156" s="67"/>
    </row>
    <row r="157">
      <c r="P157" s="67"/>
    </row>
    <row r="158">
      <c r="P158" s="67"/>
    </row>
    <row r="159">
      <c r="P159" s="67"/>
    </row>
    <row r="160">
      <c r="P160" s="67"/>
    </row>
    <row r="161">
      <c r="P161" s="67"/>
    </row>
    <row r="162">
      <c r="P162" s="67"/>
    </row>
    <row r="163">
      <c r="P163" s="67"/>
    </row>
    <row r="164">
      <c r="P164" s="67"/>
    </row>
    <row r="165">
      <c r="P165" s="67"/>
    </row>
    <row r="166">
      <c r="P166" s="67"/>
    </row>
    <row r="167">
      <c r="P167" s="67"/>
    </row>
    <row r="168">
      <c r="P168" s="67"/>
    </row>
    <row r="169">
      <c r="P169" s="67"/>
    </row>
    <row r="170">
      <c r="P170" s="67"/>
    </row>
    <row r="171">
      <c r="P171" s="67"/>
    </row>
    <row r="172">
      <c r="P172" s="67"/>
    </row>
    <row r="173">
      <c r="P173" s="67"/>
    </row>
    <row r="174">
      <c r="P174" s="67"/>
    </row>
    <row r="175">
      <c r="P175" s="67"/>
    </row>
    <row r="176">
      <c r="P176" s="67"/>
    </row>
    <row r="177">
      <c r="P177" s="67"/>
    </row>
    <row r="178">
      <c r="P178" s="67"/>
    </row>
    <row r="179">
      <c r="P179" s="67"/>
    </row>
    <row r="180">
      <c r="P180" s="67"/>
    </row>
    <row r="181">
      <c r="P181" s="67"/>
    </row>
    <row r="182">
      <c r="P182" s="67"/>
    </row>
    <row r="183">
      <c r="P183" s="67"/>
    </row>
    <row r="184">
      <c r="P184" s="67"/>
    </row>
    <row r="185">
      <c r="P185" s="67"/>
    </row>
    <row r="186">
      <c r="P186" s="67"/>
    </row>
    <row r="187">
      <c r="P187" s="67"/>
    </row>
    <row r="188">
      <c r="P188" s="67"/>
    </row>
    <row r="189">
      <c r="P189" s="67"/>
    </row>
    <row r="190">
      <c r="P190" s="67"/>
    </row>
    <row r="191">
      <c r="P191" s="67"/>
    </row>
    <row r="192">
      <c r="P192" s="67"/>
    </row>
    <row r="193">
      <c r="P193" s="67"/>
    </row>
    <row r="194">
      <c r="P194" s="67"/>
    </row>
    <row r="195">
      <c r="P195" s="67"/>
    </row>
    <row r="196">
      <c r="P196" s="67"/>
    </row>
    <row r="197">
      <c r="P197" s="67"/>
    </row>
    <row r="198">
      <c r="P198" s="67"/>
    </row>
    <row r="199">
      <c r="P199" s="67"/>
    </row>
    <row r="200">
      <c r="P200" s="67"/>
    </row>
    <row r="201">
      <c r="P201" s="67"/>
    </row>
    <row r="202">
      <c r="P202" s="67"/>
    </row>
    <row r="203">
      <c r="P203" s="67"/>
    </row>
    <row r="204">
      <c r="P204" s="67"/>
    </row>
    <row r="205">
      <c r="P205" s="67"/>
    </row>
    <row r="206">
      <c r="P206" s="67"/>
    </row>
    <row r="207">
      <c r="P207" s="67"/>
    </row>
    <row r="208">
      <c r="P208" s="67"/>
    </row>
    <row r="209">
      <c r="P209" s="67"/>
    </row>
    <row r="210">
      <c r="P210" s="67"/>
    </row>
    <row r="211">
      <c r="P211" s="67"/>
    </row>
    <row r="212">
      <c r="P212" s="67"/>
    </row>
    <row r="213">
      <c r="P213" s="67"/>
    </row>
    <row r="214">
      <c r="P214" s="67"/>
    </row>
    <row r="215">
      <c r="P215" s="67"/>
    </row>
    <row r="216">
      <c r="P216" s="67"/>
    </row>
    <row r="217">
      <c r="P217" s="67"/>
    </row>
    <row r="218">
      <c r="P218" s="67"/>
    </row>
    <row r="219">
      <c r="P219" s="67"/>
    </row>
    <row r="220">
      <c r="P220" s="67"/>
    </row>
    <row r="221">
      <c r="P221" s="67"/>
    </row>
    <row r="222">
      <c r="P222" s="67"/>
    </row>
    <row r="223">
      <c r="P223" s="67"/>
    </row>
    <row r="224">
      <c r="P224" s="67"/>
    </row>
    <row r="225">
      <c r="P225" s="67"/>
    </row>
    <row r="226">
      <c r="P226" s="67"/>
    </row>
    <row r="227">
      <c r="P227" s="67"/>
    </row>
    <row r="228">
      <c r="P228" s="67"/>
    </row>
    <row r="229">
      <c r="P229" s="67"/>
    </row>
    <row r="230">
      <c r="P230" s="67"/>
    </row>
    <row r="231">
      <c r="P231" s="67"/>
    </row>
    <row r="232">
      <c r="P232" s="67"/>
    </row>
    <row r="233">
      <c r="P233" s="67"/>
    </row>
    <row r="234">
      <c r="P234" s="67"/>
    </row>
    <row r="235">
      <c r="P235" s="67"/>
    </row>
    <row r="236">
      <c r="P236" s="67"/>
    </row>
    <row r="237">
      <c r="P237" s="67"/>
    </row>
    <row r="238">
      <c r="P238" s="67"/>
    </row>
    <row r="239">
      <c r="P239" s="67"/>
    </row>
    <row r="240">
      <c r="P240" s="67"/>
    </row>
    <row r="241">
      <c r="P241" s="67"/>
    </row>
    <row r="242">
      <c r="P242" s="67"/>
    </row>
    <row r="243">
      <c r="P243" s="67"/>
    </row>
    <row r="244">
      <c r="P244" s="67"/>
    </row>
    <row r="245">
      <c r="P245" s="67"/>
    </row>
    <row r="246">
      <c r="P246" s="67"/>
    </row>
    <row r="247">
      <c r="P247" s="67"/>
    </row>
    <row r="248">
      <c r="P248" s="67"/>
    </row>
    <row r="249">
      <c r="P249" s="67"/>
    </row>
    <row r="250">
      <c r="P250" s="67"/>
    </row>
    <row r="251">
      <c r="P251" s="67"/>
    </row>
    <row r="252">
      <c r="P252" s="67"/>
    </row>
    <row r="253">
      <c r="P253" s="67"/>
    </row>
    <row r="254">
      <c r="P254" s="67"/>
    </row>
    <row r="255">
      <c r="P255" s="67"/>
    </row>
    <row r="256">
      <c r="P256" s="67"/>
    </row>
    <row r="257">
      <c r="P257" s="67"/>
    </row>
    <row r="258">
      <c r="P258" s="67"/>
    </row>
    <row r="259">
      <c r="P259" s="67"/>
    </row>
    <row r="260">
      <c r="P260" s="67"/>
    </row>
    <row r="261">
      <c r="P261" s="67"/>
    </row>
    <row r="262">
      <c r="P262" s="67"/>
    </row>
    <row r="263">
      <c r="P263" s="67"/>
    </row>
    <row r="264">
      <c r="P264" s="67"/>
    </row>
    <row r="265">
      <c r="P265" s="67"/>
    </row>
    <row r="266">
      <c r="P266" s="67"/>
    </row>
    <row r="267">
      <c r="P267" s="67"/>
    </row>
    <row r="268">
      <c r="P268" s="67"/>
    </row>
    <row r="269">
      <c r="P269" s="67"/>
    </row>
    <row r="270">
      <c r="P270" s="67"/>
    </row>
    <row r="271">
      <c r="P271" s="67"/>
    </row>
    <row r="272">
      <c r="P272" s="67"/>
    </row>
    <row r="273">
      <c r="P273" s="67"/>
    </row>
    <row r="274">
      <c r="P274" s="67"/>
    </row>
    <row r="275">
      <c r="P275" s="67"/>
    </row>
    <row r="276">
      <c r="P276" s="67"/>
    </row>
    <row r="277">
      <c r="P277" s="67"/>
    </row>
    <row r="278">
      <c r="P278" s="67"/>
    </row>
    <row r="279">
      <c r="P279" s="67"/>
    </row>
    <row r="280">
      <c r="P280" s="67"/>
    </row>
    <row r="281">
      <c r="P281" s="67"/>
    </row>
    <row r="282">
      <c r="P282" s="67"/>
    </row>
    <row r="283">
      <c r="P283" s="67"/>
    </row>
    <row r="284">
      <c r="P284" s="67"/>
    </row>
    <row r="285">
      <c r="P285" s="67"/>
    </row>
    <row r="286">
      <c r="P286" s="67"/>
    </row>
    <row r="287">
      <c r="P287" s="67"/>
    </row>
    <row r="288">
      <c r="P288" s="67"/>
    </row>
    <row r="289">
      <c r="P289" s="67"/>
    </row>
    <row r="290">
      <c r="P290" s="67"/>
    </row>
    <row r="291">
      <c r="P291" s="67"/>
    </row>
    <row r="292">
      <c r="P292" s="67"/>
    </row>
    <row r="293">
      <c r="P293" s="67"/>
    </row>
    <row r="294">
      <c r="P294" s="67"/>
    </row>
    <row r="295">
      <c r="P295" s="67"/>
    </row>
    <row r="296">
      <c r="P296" s="67"/>
    </row>
    <row r="297">
      <c r="P297" s="67"/>
    </row>
    <row r="298">
      <c r="P298" s="67"/>
    </row>
    <row r="299">
      <c r="P299" s="67"/>
    </row>
    <row r="300">
      <c r="P300" s="67"/>
    </row>
    <row r="301">
      <c r="P301" s="67"/>
    </row>
    <row r="302">
      <c r="P302" s="67"/>
    </row>
    <row r="303">
      <c r="P303" s="67"/>
    </row>
    <row r="304">
      <c r="P304" s="67"/>
    </row>
    <row r="305">
      <c r="P305" s="67"/>
    </row>
    <row r="306">
      <c r="P306" s="67"/>
    </row>
    <row r="307">
      <c r="P307" s="67"/>
    </row>
    <row r="308">
      <c r="P308" s="67"/>
    </row>
    <row r="309">
      <c r="P309" s="67"/>
    </row>
    <row r="310">
      <c r="P310" s="67"/>
    </row>
    <row r="311">
      <c r="P311" s="67"/>
    </row>
    <row r="312">
      <c r="P312" s="67"/>
    </row>
    <row r="313">
      <c r="P313" s="67"/>
    </row>
    <row r="314">
      <c r="P314" s="67"/>
    </row>
    <row r="315">
      <c r="P315" s="67"/>
    </row>
    <row r="316">
      <c r="P316" s="67"/>
    </row>
    <row r="317">
      <c r="P317" s="67"/>
    </row>
    <row r="318">
      <c r="P318" s="67"/>
    </row>
    <row r="319">
      <c r="P319" s="67"/>
    </row>
    <row r="320">
      <c r="P320" s="67"/>
    </row>
    <row r="321">
      <c r="P321" s="67"/>
    </row>
    <row r="322">
      <c r="P322" s="67"/>
    </row>
    <row r="323">
      <c r="P323" s="67"/>
    </row>
    <row r="324">
      <c r="P324" s="67"/>
    </row>
    <row r="325">
      <c r="P325" s="67"/>
    </row>
    <row r="326">
      <c r="P326" s="67"/>
    </row>
    <row r="327">
      <c r="P327" s="67"/>
    </row>
    <row r="328">
      <c r="P328" s="67"/>
    </row>
    <row r="329">
      <c r="P329" s="67"/>
    </row>
    <row r="330">
      <c r="P330" s="67"/>
    </row>
    <row r="331">
      <c r="P331" s="67"/>
    </row>
    <row r="332">
      <c r="P332" s="67"/>
    </row>
    <row r="333">
      <c r="P333" s="67"/>
    </row>
    <row r="334">
      <c r="P334" s="67"/>
    </row>
    <row r="335">
      <c r="P335" s="67"/>
    </row>
    <row r="336">
      <c r="P336" s="67"/>
    </row>
    <row r="337">
      <c r="P337" s="67"/>
    </row>
    <row r="338">
      <c r="P338" s="67"/>
    </row>
    <row r="339">
      <c r="P339" s="67"/>
    </row>
    <row r="340">
      <c r="P340" s="67"/>
    </row>
    <row r="341">
      <c r="P341" s="67"/>
    </row>
    <row r="342">
      <c r="P342" s="67"/>
    </row>
    <row r="343">
      <c r="P343" s="67"/>
    </row>
    <row r="344">
      <c r="P344" s="67"/>
    </row>
    <row r="345">
      <c r="P345" s="67"/>
    </row>
    <row r="346">
      <c r="P346" s="67"/>
    </row>
    <row r="347">
      <c r="P347" s="67"/>
    </row>
    <row r="348">
      <c r="P348" s="67"/>
    </row>
    <row r="349">
      <c r="P349" s="67"/>
    </row>
    <row r="350">
      <c r="P350" s="67"/>
    </row>
    <row r="351">
      <c r="P351" s="67"/>
    </row>
    <row r="352">
      <c r="P352" s="67"/>
    </row>
    <row r="353">
      <c r="P353" s="67"/>
    </row>
    <row r="354">
      <c r="P354" s="67"/>
    </row>
    <row r="355">
      <c r="P355" s="67"/>
    </row>
    <row r="356">
      <c r="P356" s="67"/>
    </row>
    <row r="357">
      <c r="P357" s="67"/>
    </row>
    <row r="358">
      <c r="P358" s="67"/>
    </row>
    <row r="359">
      <c r="P359" s="67"/>
    </row>
    <row r="360">
      <c r="P360" s="67"/>
    </row>
    <row r="361">
      <c r="P361" s="67"/>
    </row>
    <row r="362">
      <c r="P362" s="67"/>
    </row>
    <row r="363">
      <c r="P363" s="67"/>
    </row>
    <row r="364">
      <c r="P364" s="67"/>
    </row>
    <row r="365">
      <c r="P365" s="67"/>
    </row>
    <row r="366">
      <c r="P366" s="67"/>
    </row>
    <row r="367">
      <c r="P367" s="67"/>
    </row>
    <row r="368">
      <c r="P368" s="67"/>
    </row>
    <row r="369">
      <c r="P369" s="67"/>
    </row>
    <row r="370">
      <c r="P370" s="67"/>
    </row>
    <row r="371">
      <c r="P371" s="67"/>
    </row>
    <row r="372">
      <c r="P372" s="67"/>
    </row>
    <row r="373">
      <c r="P373" s="67"/>
    </row>
    <row r="374">
      <c r="P374" s="67"/>
    </row>
    <row r="375">
      <c r="P375" s="67"/>
    </row>
    <row r="376">
      <c r="P376" s="67"/>
    </row>
    <row r="377">
      <c r="P377" s="67"/>
    </row>
    <row r="378">
      <c r="P378" s="67"/>
    </row>
    <row r="379">
      <c r="P379" s="67"/>
    </row>
    <row r="380">
      <c r="P380" s="67"/>
    </row>
    <row r="381">
      <c r="P381" s="67"/>
    </row>
    <row r="382">
      <c r="P382" s="67"/>
    </row>
    <row r="383">
      <c r="P383" s="67"/>
    </row>
    <row r="384">
      <c r="P384" s="67"/>
    </row>
    <row r="385">
      <c r="P385" s="67"/>
    </row>
    <row r="386">
      <c r="P386" s="67"/>
    </row>
    <row r="387">
      <c r="P387" s="67"/>
    </row>
    <row r="388">
      <c r="P388" s="67"/>
    </row>
    <row r="389">
      <c r="P389" s="67"/>
    </row>
    <row r="390">
      <c r="P390" s="67"/>
    </row>
    <row r="391">
      <c r="P391" s="67"/>
    </row>
    <row r="392">
      <c r="P392" s="67"/>
    </row>
    <row r="393">
      <c r="P393" s="67"/>
    </row>
    <row r="394">
      <c r="P394" s="67"/>
    </row>
    <row r="395">
      <c r="P395" s="67"/>
    </row>
    <row r="396">
      <c r="P396" s="67"/>
    </row>
    <row r="397">
      <c r="P397" s="67"/>
    </row>
    <row r="398">
      <c r="P398" s="67"/>
    </row>
    <row r="399">
      <c r="P399" s="67"/>
    </row>
    <row r="400">
      <c r="P400" s="67"/>
    </row>
    <row r="401">
      <c r="P401" s="67"/>
    </row>
    <row r="402">
      <c r="P402" s="67"/>
    </row>
    <row r="403">
      <c r="P403" s="67"/>
    </row>
    <row r="404">
      <c r="P404" s="67"/>
    </row>
    <row r="405">
      <c r="P405" s="67"/>
    </row>
    <row r="406">
      <c r="P406" s="67"/>
    </row>
    <row r="407">
      <c r="P407" s="67"/>
    </row>
    <row r="408">
      <c r="P408" s="67"/>
    </row>
    <row r="409">
      <c r="P409" s="67"/>
    </row>
    <row r="410">
      <c r="P410" s="67"/>
    </row>
    <row r="411">
      <c r="P411" s="67"/>
    </row>
    <row r="412">
      <c r="P412" s="67"/>
    </row>
    <row r="413">
      <c r="P413" s="67"/>
    </row>
    <row r="414">
      <c r="P414" s="67"/>
    </row>
    <row r="415">
      <c r="P415" s="67"/>
    </row>
    <row r="416">
      <c r="P416" s="67"/>
    </row>
    <row r="417">
      <c r="P417" s="67"/>
    </row>
    <row r="418">
      <c r="P418" s="67"/>
    </row>
    <row r="419">
      <c r="P419" s="67"/>
    </row>
    <row r="420">
      <c r="P420" s="67"/>
    </row>
    <row r="421">
      <c r="P421" s="67"/>
    </row>
    <row r="422">
      <c r="P422" s="67"/>
    </row>
    <row r="423">
      <c r="P423" s="67"/>
    </row>
    <row r="424">
      <c r="P424" s="67"/>
    </row>
    <row r="425">
      <c r="P425" s="67"/>
    </row>
    <row r="426">
      <c r="P426" s="67"/>
    </row>
    <row r="427">
      <c r="P427" s="67"/>
    </row>
    <row r="428">
      <c r="P428" s="67"/>
    </row>
    <row r="429">
      <c r="P429" s="67"/>
    </row>
    <row r="430">
      <c r="P430" s="67"/>
    </row>
    <row r="431">
      <c r="P431" s="67"/>
    </row>
    <row r="432">
      <c r="P432" s="67"/>
    </row>
    <row r="433">
      <c r="P433" s="67"/>
    </row>
    <row r="434">
      <c r="P434" s="67"/>
    </row>
    <row r="435">
      <c r="P435" s="67"/>
    </row>
    <row r="436">
      <c r="P436" s="67"/>
    </row>
    <row r="437">
      <c r="P437" s="67"/>
    </row>
    <row r="438">
      <c r="P438" s="67"/>
    </row>
    <row r="439">
      <c r="P439" s="67"/>
    </row>
    <row r="440">
      <c r="P440" s="67"/>
    </row>
    <row r="441">
      <c r="P441" s="67"/>
    </row>
    <row r="442">
      <c r="P442" s="67"/>
    </row>
    <row r="443">
      <c r="P443" s="67"/>
    </row>
    <row r="444">
      <c r="P444" s="67"/>
    </row>
    <row r="445">
      <c r="P445" s="67"/>
    </row>
    <row r="446">
      <c r="P446" s="67"/>
    </row>
    <row r="447">
      <c r="P447" s="67"/>
    </row>
    <row r="448">
      <c r="P448" s="67"/>
    </row>
    <row r="449">
      <c r="P449" s="67"/>
    </row>
    <row r="450">
      <c r="P450" s="67"/>
    </row>
    <row r="451">
      <c r="P451" s="67"/>
    </row>
    <row r="452">
      <c r="P452" s="67"/>
    </row>
    <row r="453">
      <c r="P453" s="67"/>
    </row>
    <row r="454">
      <c r="P454" s="67"/>
    </row>
    <row r="455">
      <c r="P455" s="67"/>
    </row>
    <row r="456">
      <c r="P456" s="67"/>
    </row>
    <row r="457">
      <c r="P457" s="67"/>
    </row>
    <row r="458">
      <c r="P458" s="67"/>
    </row>
    <row r="459">
      <c r="P459" s="67"/>
    </row>
    <row r="460">
      <c r="P460" s="67"/>
    </row>
    <row r="461">
      <c r="P461" s="67"/>
    </row>
    <row r="462">
      <c r="P462" s="67"/>
    </row>
    <row r="463">
      <c r="P463" s="67"/>
    </row>
    <row r="464">
      <c r="P464" s="67"/>
    </row>
    <row r="465">
      <c r="P465" s="67"/>
    </row>
    <row r="466">
      <c r="P466" s="67"/>
    </row>
    <row r="467">
      <c r="P467" s="67"/>
    </row>
    <row r="468">
      <c r="P468" s="67"/>
    </row>
    <row r="469">
      <c r="P469" s="67"/>
    </row>
    <row r="470">
      <c r="P470" s="67"/>
    </row>
    <row r="471">
      <c r="P471" s="67"/>
    </row>
    <row r="472">
      <c r="P472" s="67"/>
    </row>
    <row r="473">
      <c r="P473" s="67"/>
    </row>
    <row r="474">
      <c r="P474" s="67"/>
    </row>
    <row r="475">
      <c r="P475" s="67"/>
    </row>
    <row r="476">
      <c r="P476" s="67"/>
    </row>
    <row r="477">
      <c r="P477" s="67"/>
    </row>
    <row r="478">
      <c r="P478" s="67"/>
    </row>
    <row r="479">
      <c r="P479" s="67"/>
    </row>
    <row r="480">
      <c r="P480" s="67"/>
    </row>
    <row r="481">
      <c r="P481" s="67"/>
    </row>
    <row r="482">
      <c r="P482" s="67"/>
    </row>
    <row r="483">
      <c r="P483" s="67"/>
    </row>
    <row r="484">
      <c r="P484" s="67"/>
    </row>
    <row r="485">
      <c r="P485" s="67"/>
    </row>
    <row r="486">
      <c r="P486" s="67"/>
    </row>
    <row r="487">
      <c r="P487" s="67"/>
    </row>
    <row r="488">
      <c r="P488" s="67"/>
    </row>
    <row r="489">
      <c r="P489" s="67"/>
    </row>
    <row r="490">
      <c r="P490" s="67"/>
    </row>
    <row r="491">
      <c r="P491" s="67"/>
    </row>
    <row r="492">
      <c r="P492" s="67"/>
    </row>
    <row r="493">
      <c r="P493" s="67"/>
    </row>
    <row r="494">
      <c r="P494" s="67"/>
    </row>
    <row r="495">
      <c r="P495" s="67"/>
    </row>
    <row r="496">
      <c r="P496" s="67"/>
    </row>
    <row r="497">
      <c r="P497" s="67"/>
    </row>
    <row r="498">
      <c r="P498" s="67"/>
    </row>
    <row r="499">
      <c r="P499" s="67"/>
    </row>
    <row r="500">
      <c r="P500" s="67"/>
    </row>
    <row r="501">
      <c r="P501" s="67"/>
    </row>
    <row r="502">
      <c r="P502" s="67"/>
    </row>
    <row r="503">
      <c r="P503" s="67"/>
    </row>
    <row r="504">
      <c r="P504" s="67"/>
    </row>
    <row r="505">
      <c r="P505" s="67"/>
    </row>
    <row r="506">
      <c r="P506" s="67"/>
    </row>
    <row r="507">
      <c r="P507" s="67"/>
    </row>
    <row r="508">
      <c r="P508" s="67"/>
    </row>
    <row r="509">
      <c r="P509" s="67"/>
    </row>
    <row r="510">
      <c r="P510" s="67"/>
    </row>
    <row r="511">
      <c r="P511" s="67"/>
    </row>
    <row r="512">
      <c r="P512" s="67"/>
    </row>
    <row r="513">
      <c r="P513" s="67"/>
    </row>
    <row r="514">
      <c r="P514" s="67"/>
    </row>
    <row r="515">
      <c r="P515" s="67"/>
    </row>
    <row r="516">
      <c r="P516" s="67"/>
    </row>
    <row r="517">
      <c r="P517" s="67"/>
    </row>
    <row r="518">
      <c r="P518" s="67"/>
    </row>
    <row r="519">
      <c r="P519" s="67"/>
    </row>
    <row r="520">
      <c r="P520" s="67"/>
    </row>
    <row r="521">
      <c r="P521" s="67"/>
    </row>
    <row r="522">
      <c r="P522" s="67"/>
    </row>
    <row r="523">
      <c r="P523" s="67"/>
    </row>
    <row r="524">
      <c r="P524" s="67"/>
    </row>
    <row r="525">
      <c r="P525" s="67"/>
    </row>
    <row r="526">
      <c r="P526" s="67"/>
    </row>
    <row r="527">
      <c r="P527" s="67"/>
    </row>
    <row r="528">
      <c r="P528" s="67"/>
    </row>
    <row r="529">
      <c r="P529" s="67"/>
    </row>
    <row r="530">
      <c r="P530" s="67"/>
    </row>
    <row r="531">
      <c r="P531" s="67"/>
    </row>
    <row r="532">
      <c r="P532" s="67"/>
    </row>
    <row r="533">
      <c r="P533" s="67"/>
    </row>
    <row r="534">
      <c r="P534" s="67"/>
    </row>
    <row r="535">
      <c r="P535" s="67"/>
    </row>
    <row r="536">
      <c r="P536" s="67"/>
    </row>
    <row r="537">
      <c r="P537" s="67"/>
    </row>
    <row r="538">
      <c r="P538" s="67"/>
    </row>
    <row r="539">
      <c r="P539" s="67"/>
    </row>
    <row r="540">
      <c r="P540" s="67"/>
    </row>
    <row r="541">
      <c r="P541" s="67"/>
    </row>
    <row r="542">
      <c r="P542" s="67"/>
    </row>
    <row r="543">
      <c r="P543" s="67"/>
    </row>
    <row r="544">
      <c r="P544" s="67"/>
    </row>
    <row r="545">
      <c r="P545" s="67"/>
    </row>
    <row r="546">
      <c r="P546" s="67"/>
    </row>
    <row r="547">
      <c r="P547" s="67"/>
    </row>
    <row r="548">
      <c r="P548" s="67"/>
    </row>
    <row r="549">
      <c r="P549" s="67"/>
    </row>
    <row r="550">
      <c r="P550" s="67"/>
    </row>
    <row r="551">
      <c r="P551" s="67"/>
    </row>
    <row r="552">
      <c r="P552" s="67"/>
    </row>
    <row r="553">
      <c r="P553" s="67"/>
    </row>
    <row r="554">
      <c r="P554" s="67"/>
    </row>
    <row r="555">
      <c r="P555" s="67"/>
    </row>
    <row r="556">
      <c r="P556" s="67"/>
    </row>
    <row r="557">
      <c r="P557" s="67"/>
    </row>
    <row r="558">
      <c r="P558" s="67"/>
    </row>
    <row r="559">
      <c r="P559" s="67"/>
    </row>
    <row r="560">
      <c r="P560" s="67"/>
    </row>
    <row r="561">
      <c r="P561" s="67"/>
    </row>
    <row r="562">
      <c r="P562" s="67"/>
    </row>
    <row r="563">
      <c r="P563" s="67"/>
    </row>
    <row r="564">
      <c r="P564" s="67"/>
    </row>
    <row r="565">
      <c r="P565" s="67"/>
    </row>
    <row r="566">
      <c r="P566" s="67"/>
    </row>
    <row r="567">
      <c r="P567" s="67"/>
    </row>
    <row r="568">
      <c r="P568" s="67"/>
    </row>
    <row r="569">
      <c r="P569" s="67"/>
    </row>
    <row r="570">
      <c r="P570" s="67"/>
    </row>
    <row r="571">
      <c r="P571" s="67"/>
    </row>
    <row r="572">
      <c r="P572" s="67"/>
    </row>
    <row r="573">
      <c r="P573" s="67"/>
    </row>
    <row r="574">
      <c r="P574" s="67"/>
    </row>
    <row r="575">
      <c r="P575" s="67"/>
    </row>
    <row r="576">
      <c r="P576" s="67"/>
    </row>
    <row r="577">
      <c r="P577" s="67"/>
    </row>
    <row r="578">
      <c r="P578" s="67"/>
    </row>
    <row r="579">
      <c r="P579" s="67"/>
    </row>
    <row r="580">
      <c r="P580" s="67"/>
    </row>
    <row r="581">
      <c r="P581" s="67"/>
    </row>
    <row r="582">
      <c r="P582" s="67"/>
    </row>
    <row r="583">
      <c r="P583" s="67"/>
    </row>
    <row r="584">
      <c r="P584" s="67"/>
    </row>
    <row r="585">
      <c r="P585" s="67"/>
    </row>
    <row r="586">
      <c r="P586" s="67"/>
    </row>
    <row r="587">
      <c r="P587" s="67"/>
    </row>
    <row r="588">
      <c r="P588" s="67"/>
    </row>
    <row r="589">
      <c r="P589" s="67"/>
    </row>
    <row r="590">
      <c r="P590" s="67"/>
    </row>
    <row r="591">
      <c r="P591" s="67"/>
    </row>
    <row r="592">
      <c r="P592" s="67"/>
    </row>
    <row r="593">
      <c r="P593" s="67"/>
    </row>
    <row r="594">
      <c r="P594" s="67"/>
    </row>
    <row r="595">
      <c r="P595" s="67"/>
    </row>
    <row r="596">
      <c r="P596" s="67"/>
    </row>
    <row r="597">
      <c r="P597" s="67"/>
    </row>
    <row r="598">
      <c r="P598" s="67"/>
    </row>
    <row r="599">
      <c r="P599" s="67"/>
    </row>
    <row r="600">
      <c r="P600" s="67"/>
    </row>
    <row r="601">
      <c r="P601" s="67"/>
    </row>
    <row r="602">
      <c r="P602" s="67"/>
    </row>
    <row r="603">
      <c r="P603" s="67"/>
    </row>
    <row r="604">
      <c r="P604" s="67"/>
    </row>
    <row r="605">
      <c r="P605" s="67"/>
    </row>
    <row r="606">
      <c r="P606" s="67"/>
    </row>
    <row r="607">
      <c r="P607" s="67"/>
    </row>
    <row r="608">
      <c r="P608" s="67"/>
    </row>
    <row r="609">
      <c r="P609" s="67"/>
    </row>
    <row r="610">
      <c r="P610" s="67"/>
    </row>
    <row r="611">
      <c r="P611" s="67"/>
    </row>
    <row r="612">
      <c r="P612" s="67"/>
    </row>
    <row r="613">
      <c r="P613" s="67"/>
    </row>
    <row r="614">
      <c r="P614" s="67"/>
    </row>
    <row r="615">
      <c r="P615" s="67"/>
    </row>
    <row r="616">
      <c r="P616" s="67"/>
    </row>
    <row r="617">
      <c r="P617" s="67"/>
    </row>
    <row r="618">
      <c r="P618" s="67"/>
    </row>
    <row r="619">
      <c r="P619" s="67"/>
    </row>
    <row r="620">
      <c r="P620" s="67"/>
    </row>
    <row r="621">
      <c r="P621" s="67"/>
    </row>
    <row r="622">
      <c r="P622" s="67"/>
    </row>
    <row r="623">
      <c r="P623" s="67"/>
    </row>
    <row r="624">
      <c r="P624" s="67"/>
    </row>
    <row r="625">
      <c r="P625" s="67"/>
    </row>
    <row r="626">
      <c r="P626" s="67"/>
    </row>
    <row r="627">
      <c r="P627" s="67"/>
    </row>
    <row r="628">
      <c r="P628" s="67"/>
    </row>
    <row r="629">
      <c r="P629" s="67"/>
    </row>
    <row r="630">
      <c r="P630" s="67"/>
    </row>
    <row r="631">
      <c r="P631" s="67"/>
    </row>
    <row r="632">
      <c r="P632" s="67"/>
    </row>
    <row r="633">
      <c r="P633" s="67"/>
    </row>
    <row r="634">
      <c r="P634" s="67"/>
    </row>
    <row r="635">
      <c r="P635" s="67"/>
    </row>
    <row r="636">
      <c r="P636" s="67"/>
    </row>
    <row r="637">
      <c r="P637" s="67"/>
    </row>
    <row r="638">
      <c r="P638" s="67"/>
    </row>
    <row r="639">
      <c r="P639" s="67"/>
    </row>
    <row r="640">
      <c r="P640" s="67"/>
    </row>
    <row r="641">
      <c r="P641" s="67"/>
    </row>
    <row r="642">
      <c r="P642" s="67"/>
    </row>
    <row r="643">
      <c r="P643" s="67"/>
    </row>
    <row r="644">
      <c r="P644" s="67"/>
    </row>
    <row r="645">
      <c r="P645" s="67"/>
    </row>
    <row r="646">
      <c r="P646" s="67"/>
    </row>
    <row r="647">
      <c r="P647" s="67"/>
    </row>
    <row r="648">
      <c r="P648" s="67"/>
    </row>
    <row r="649">
      <c r="P649" s="67"/>
    </row>
    <row r="650">
      <c r="P650" s="67"/>
    </row>
    <row r="651">
      <c r="P651" s="67"/>
    </row>
    <row r="652">
      <c r="P652" s="67"/>
    </row>
    <row r="653">
      <c r="P653" s="67"/>
    </row>
    <row r="654">
      <c r="P654" s="67"/>
    </row>
    <row r="655">
      <c r="P655" s="67"/>
    </row>
    <row r="656">
      <c r="P656" s="67"/>
    </row>
    <row r="657">
      <c r="P657" s="67"/>
    </row>
    <row r="658">
      <c r="P658" s="67"/>
    </row>
    <row r="659">
      <c r="P659" s="67"/>
    </row>
    <row r="660">
      <c r="P660" s="67"/>
    </row>
    <row r="661">
      <c r="P661" s="67"/>
    </row>
    <row r="662">
      <c r="P662" s="67"/>
    </row>
    <row r="663">
      <c r="P663" s="67"/>
    </row>
    <row r="664">
      <c r="P664" s="67"/>
    </row>
    <row r="665">
      <c r="P665" s="67"/>
    </row>
    <row r="666">
      <c r="P666" s="67"/>
    </row>
    <row r="667">
      <c r="P667" s="67"/>
    </row>
    <row r="668">
      <c r="P668" s="67"/>
    </row>
    <row r="669">
      <c r="P669" s="67"/>
    </row>
    <row r="670">
      <c r="P670" s="67"/>
    </row>
    <row r="671">
      <c r="P671" s="67"/>
    </row>
    <row r="672">
      <c r="P672" s="67"/>
    </row>
    <row r="673">
      <c r="P673" s="67"/>
    </row>
    <row r="674">
      <c r="P674" s="67"/>
    </row>
    <row r="675">
      <c r="P675" s="67"/>
    </row>
    <row r="676">
      <c r="P676" s="67"/>
    </row>
    <row r="677">
      <c r="P677" s="67"/>
    </row>
    <row r="678">
      <c r="P678" s="67"/>
    </row>
    <row r="679">
      <c r="P679" s="67"/>
    </row>
    <row r="680">
      <c r="P680" s="67"/>
    </row>
    <row r="681">
      <c r="P681" s="67"/>
    </row>
    <row r="682">
      <c r="P682" s="67"/>
    </row>
    <row r="683">
      <c r="P683" s="67"/>
    </row>
    <row r="684">
      <c r="P684" s="67"/>
    </row>
    <row r="685">
      <c r="P685" s="67"/>
    </row>
    <row r="686">
      <c r="P686" s="67"/>
    </row>
    <row r="687">
      <c r="P687" s="67"/>
    </row>
    <row r="688">
      <c r="P688" s="67"/>
    </row>
    <row r="689">
      <c r="P689" s="67"/>
    </row>
    <row r="690">
      <c r="P690" s="67"/>
    </row>
    <row r="691">
      <c r="P691" s="67"/>
    </row>
    <row r="692">
      <c r="P692" s="67"/>
    </row>
    <row r="693">
      <c r="P693" s="67"/>
    </row>
    <row r="694">
      <c r="P694" s="67"/>
    </row>
    <row r="695">
      <c r="P695" s="67"/>
    </row>
    <row r="696">
      <c r="P696" s="67"/>
    </row>
    <row r="697">
      <c r="P697" s="67"/>
    </row>
    <row r="698">
      <c r="P698" s="67"/>
    </row>
    <row r="699">
      <c r="P699" s="67"/>
    </row>
    <row r="700">
      <c r="P700" s="67"/>
    </row>
    <row r="701">
      <c r="P701" s="67"/>
    </row>
    <row r="702">
      <c r="P702" s="67"/>
    </row>
    <row r="703">
      <c r="P703" s="67"/>
    </row>
    <row r="704">
      <c r="P704" s="67"/>
    </row>
    <row r="705">
      <c r="P705" s="67"/>
    </row>
    <row r="706">
      <c r="P706" s="67"/>
    </row>
    <row r="707">
      <c r="P707" s="67"/>
    </row>
    <row r="708">
      <c r="P708" s="67"/>
    </row>
    <row r="709">
      <c r="P709" s="67"/>
    </row>
    <row r="710">
      <c r="P710" s="67"/>
    </row>
    <row r="711">
      <c r="P711" s="67"/>
    </row>
    <row r="712">
      <c r="P712" s="67"/>
    </row>
    <row r="713">
      <c r="P713" s="67"/>
    </row>
    <row r="714">
      <c r="P714" s="67"/>
    </row>
    <row r="715">
      <c r="P715" s="67"/>
    </row>
    <row r="716">
      <c r="P716" s="67"/>
    </row>
    <row r="717">
      <c r="P717" s="67"/>
    </row>
    <row r="718">
      <c r="P718" s="67"/>
    </row>
    <row r="719">
      <c r="P719" s="67"/>
    </row>
    <row r="720">
      <c r="P720" s="67"/>
    </row>
    <row r="721">
      <c r="P721" s="67"/>
    </row>
    <row r="722">
      <c r="P722" s="67"/>
    </row>
    <row r="723">
      <c r="P723" s="67"/>
    </row>
    <row r="724">
      <c r="P724" s="67"/>
    </row>
    <row r="725">
      <c r="P725" s="67"/>
    </row>
    <row r="726">
      <c r="P726" s="67"/>
    </row>
    <row r="727">
      <c r="P727" s="67"/>
    </row>
    <row r="728">
      <c r="P728" s="67"/>
    </row>
    <row r="729">
      <c r="P729" s="67"/>
    </row>
    <row r="730">
      <c r="P730" s="67"/>
    </row>
    <row r="731">
      <c r="P731" s="67"/>
    </row>
    <row r="732">
      <c r="P732" s="67"/>
    </row>
    <row r="733">
      <c r="P733" s="67"/>
    </row>
    <row r="734">
      <c r="P734" s="67"/>
    </row>
    <row r="735">
      <c r="P735" s="67"/>
    </row>
    <row r="736">
      <c r="P736" s="67"/>
    </row>
    <row r="737">
      <c r="P737" s="67"/>
    </row>
    <row r="738">
      <c r="P738" s="67"/>
    </row>
    <row r="739">
      <c r="P739" s="67"/>
    </row>
    <row r="740">
      <c r="P740" s="67"/>
    </row>
    <row r="741">
      <c r="P741" s="67"/>
    </row>
    <row r="742">
      <c r="P742" s="67"/>
    </row>
    <row r="743">
      <c r="P743" s="67"/>
    </row>
    <row r="744">
      <c r="P744" s="67"/>
    </row>
    <row r="745">
      <c r="P745" s="67"/>
    </row>
    <row r="746">
      <c r="P746" s="67"/>
    </row>
    <row r="747">
      <c r="P747" s="67"/>
    </row>
    <row r="748">
      <c r="P748" s="67"/>
    </row>
    <row r="749">
      <c r="P749" s="67"/>
    </row>
    <row r="750">
      <c r="P750" s="67"/>
    </row>
    <row r="751">
      <c r="P751" s="67"/>
    </row>
    <row r="752">
      <c r="P752" s="67"/>
    </row>
    <row r="753">
      <c r="P753" s="67"/>
    </row>
    <row r="754">
      <c r="P754" s="67"/>
    </row>
    <row r="755">
      <c r="P755" s="67"/>
    </row>
    <row r="756">
      <c r="P756" s="67"/>
    </row>
    <row r="757">
      <c r="P757" s="67"/>
    </row>
    <row r="758">
      <c r="P758" s="67"/>
    </row>
    <row r="759">
      <c r="P759" s="67"/>
    </row>
    <row r="760">
      <c r="P760" s="67"/>
    </row>
    <row r="761">
      <c r="P761" s="67"/>
    </row>
    <row r="762">
      <c r="P762" s="67"/>
    </row>
    <row r="763">
      <c r="P763" s="67"/>
    </row>
    <row r="764">
      <c r="P764" s="67"/>
    </row>
    <row r="765">
      <c r="P765" s="67"/>
    </row>
    <row r="766">
      <c r="P766" s="67"/>
    </row>
    <row r="767">
      <c r="P767" s="67"/>
    </row>
    <row r="768">
      <c r="P768" s="67"/>
    </row>
    <row r="769">
      <c r="P769" s="67"/>
    </row>
    <row r="770">
      <c r="P770" s="67"/>
    </row>
    <row r="771">
      <c r="P771" s="67"/>
    </row>
    <row r="772">
      <c r="P772" s="67"/>
    </row>
    <row r="773">
      <c r="P773" s="67"/>
    </row>
    <row r="774">
      <c r="P774" s="67"/>
    </row>
    <row r="775">
      <c r="P775" s="67"/>
    </row>
    <row r="776">
      <c r="P776" s="67"/>
    </row>
    <row r="777">
      <c r="P777" s="67"/>
    </row>
    <row r="778">
      <c r="P778" s="67"/>
    </row>
    <row r="779">
      <c r="P779" s="67"/>
    </row>
    <row r="780">
      <c r="P780" s="67"/>
    </row>
    <row r="781">
      <c r="P781" s="67"/>
    </row>
    <row r="782">
      <c r="P782" s="67"/>
    </row>
    <row r="783">
      <c r="P783" s="67"/>
    </row>
    <row r="784">
      <c r="P784" s="67"/>
    </row>
    <row r="785">
      <c r="P785" s="67"/>
    </row>
    <row r="786">
      <c r="P786" s="67"/>
    </row>
    <row r="787">
      <c r="P787" s="67"/>
    </row>
    <row r="788">
      <c r="P788" s="67"/>
    </row>
    <row r="789">
      <c r="P789" s="67"/>
    </row>
    <row r="790">
      <c r="P790" s="67"/>
    </row>
    <row r="791">
      <c r="P791" s="67"/>
    </row>
    <row r="792">
      <c r="P792" s="67"/>
    </row>
    <row r="793">
      <c r="P793" s="67"/>
    </row>
    <row r="794">
      <c r="P794" s="67"/>
    </row>
    <row r="795">
      <c r="P795" s="67"/>
    </row>
    <row r="796">
      <c r="P796" s="67"/>
    </row>
    <row r="797">
      <c r="P797" s="67"/>
    </row>
    <row r="798">
      <c r="P798" s="67"/>
    </row>
    <row r="799">
      <c r="P799" s="67"/>
    </row>
    <row r="800">
      <c r="P800" s="67"/>
    </row>
    <row r="801">
      <c r="P801" s="67"/>
    </row>
    <row r="802">
      <c r="P802" s="67"/>
    </row>
    <row r="803">
      <c r="P803" s="67"/>
    </row>
    <row r="804">
      <c r="P804" s="67"/>
    </row>
    <row r="805">
      <c r="P805" s="67"/>
    </row>
    <row r="806">
      <c r="P806" s="67"/>
    </row>
    <row r="807">
      <c r="P807" s="67"/>
    </row>
    <row r="808">
      <c r="P808" s="67"/>
    </row>
    <row r="809">
      <c r="P809" s="67"/>
    </row>
    <row r="810">
      <c r="P810" s="67"/>
    </row>
    <row r="811">
      <c r="P811" s="67"/>
    </row>
    <row r="812">
      <c r="P812" s="67"/>
    </row>
    <row r="813">
      <c r="P813" s="67"/>
    </row>
    <row r="814">
      <c r="P814" s="67"/>
    </row>
    <row r="815">
      <c r="P815" s="67"/>
    </row>
    <row r="816">
      <c r="P816" s="67"/>
    </row>
    <row r="817">
      <c r="P817" s="67"/>
    </row>
    <row r="818">
      <c r="P818" s="67"/>
    </row>
    <row r="819">
      <c r="P819" s="67"/>
    </row>
    <row r="820">
      <c r="P820" s="67"/>
    </row>
    <row r="821">
      <c r="P821" s="67"/>
    </row>
    <row r="822">
      <c r="P822" s="67"/>
    </row>
    <row r="823">
      <c r="P823" s="67"/>
    </row>
    <row r="824">
      <c r="P824" s="67"/>
    </row>
    <row r="825">
      <c r="P825" s="67"/>
    </row>
    <row r="826">
      <c r="P826" s="67"/>
    </row>
    <row r="827">
      <c r="P827" s="67"/>
    </row>
    <row r="828">
      <c r="P828" s="67"/>
    </row>
    <row r="829">
      <c r="P829" s="67"/>
    </row>
    <row r="830">
      <c r="P830" s="67"/>
    </row>
    <row r="831">
      <c r="P831" s="67"/>
    </row>
    <row r="832">
      <c r="P832" s="67"/>
    </row>
    <row r="833">
      <c r="P833" s="67"/>
    </row>
    <row r="834">
      <c r="P834" s="67"/>
    </row>
    <row r="835">
      <c r="P835" s="67"/>
    </row>
    <row r="836">
      <c r="P836" s="67"/>
    </row>
    <row r="837">
      <c r="P837" s="67"/>
    </row>
    <row r="838">
      <c r="P838" s="67"/>
    </row>
    <row r="839">
      <c r="P839" s="67"/>
    </row>
    <row r="840">
      <c r="P840" s="67"/>
    </row>
    <row r="841">
      <c r="P841" s="67"/>
    </row>
    <row r="842">
      <c r="P842" s="67"/>
    </row>
    <row r="843">
      <c r="P843" s="67"/>
    </row>
    <row r="844">
      <c r="P844" s="67"/>
    </row>
    <row r="845">
      <c r="P845" s="67"/>
    </row>
    <row r="846">
      <c r="P846" s="67"/>
    </row>
    <row r="847">
      <c r="P847" s="67"/>
    </row>
    <row r="848">
      <c r="P848" s="67"/>
    </row>
    <row r="849">
      <c r="P849" s="67"/>
    </row>
    <row r="850">
      <c r="P850" s="67"/>
    </row>
    <row r="851">
      <c r="P851" s="67"/>
    </row>
    <row r="852">
      <c r="P852" s="67"/>
    </row>
    <row r="853">
      <c r="P853" s="67"/>
    </row>
    <row r="854">
      <c r="P854" s="67"/>
    </row>
    <row r="855">
      <c r="P855" s="67"/>
    </row>
    <row r="856">
      <c r="P856" s="67"/>
    </row>
    <row r="857">
      <c r="P857" s="67"/>
    </row>
    <row r="858">
      <c r="P858" s="67"/>
    </row>
    <row r="859">
      <c r="P859" s="67"/>
    </row>
    <row r="860">
      <c r="P860" s="67"/>
    </row>
    <row r="861">
      <c r="P861" s="67"/>
    </row>
    <row r="862">
      <c r="P862" s="67"/>
    </row>
    <row r="863">
      <c r="P863" s="67"/>
    </row>
    <row r="864">
      <c r="P864" s="67"/>
    </row>
    <row r="865">
      <c r="P865" s="67"/>
    </row>
    <row r="866">
      <c r="P866" s="67"/>
    </row>
    <row r="867">
      <c r="P867" s="67"/>
    </row>
    <row r="868">
      <c r="P868" s="67"/>
    </row>
    <row r="869">
      <c r="P869" s="67"/>
    </row>
    <row r="870">
      <c r="P870" s="67"/>
    </row>
    <row r="871">
      <c r="P871" s="67"/>
    </row>
    <row r="872">
      <c r="P872" s="67"/>
    </row>
    <row r="873">
      <c r="P873" s="67"/>
    </row>
    <row r="874">
      <c r="P874" s="67"/>
    </row>
    <row r="875">
      <c r="P875" s="67"/>
    </row>
    <row r="876">
      <c r="P876" s="67"/>
    </row>
    <row r="877">
      <c r="P877" s="67"/>
    </row>
    <row r="878">
      <c r="P878" s="67"/>
    </row>
    <row r="879">
      <c r="P879" s="67"/>
    </row>
    <row r="880">
      <c r="P880" s="67"/>
    </row>
    <row r="881">
      <c r="P881" s="67"/>
    </row>
    <row r="882">
      <c r="P882" s="67"/>
    </row>
    <row r="883">
      <c r="P883" s="67"/>
    </row>
    <row r="884">
      <c r="P884" s="67"/>
    </row>
    <row r="885">
      <c r="P885" s="67"/>
    </row>
    <row r="886">
      <c r="P886" s="67"/>
    </row>
    <row r="887">
      <c r="P887" s="67"/>
    </row>
    <row r="888">
      <c r="P888" s="67"/>
    </row>
    <row r="889">
      <c r="P889" s="67"/>
    </row>
    <row r="890">
      <c r="P890" s="67"/>
    </row>
    <row r="891">
      <c r="P891" s="67"/>
    </row>
    <row r="892">
      <c r="P892" s="67"/>
    </row>
    <row r="893">
      <c r="P893" s="67"/>
    </row>
    <row r="894">
      <c r="P894" s="67"/>
    </row>
    <row r="895">
      <c r="P895" s="67"/>
    </row>
    <row r="896">
      <c r="P896" s="67"/>
    </row>
    <row r="897">
      <c r="P897" s="67"/>
    </row>
    <row r="898">
      <c r="P898" s="67"/>
    </row>
    <row r="899">
      <c r="P899" s="67"/>
    </row>
    <row r="900">
      <c r="P900" s="67"/>
    </row>
    <row r="901">
      <c r="P901" s="67"/>
    </row>
    <row r="902">
      <c r="P902" s="67"/>
    </row>
    <row r="903">
      <c r="P903" s="67"/>
    </row>
    <row r="904">
      <c r="P904" s="67"/>
    </row>
    <row r="905">
      <c r="P905" s="67"/>
    </row>
    <row r="906">
      <c r="P906" s="67"/>
    </row>
    <row r="907">
      <c r="P907" s="67"/>
    </row>
    <row r="908">
      <c r="P908" s="67"/>
    </row>
    <row r="909">
      <c r="P909" s="67"/>
    </row>
    <row r="910">
      <c r="P910" s="67"/>
    </row>
    <row r="911">
      <c r="P911" s="67"/>
    </row>
    <row r="912">
      <c r="P912" s="67"/>
    </row>
    <row r="913">
      <c r="P913" s="67"/>
    </row>
    <row r="914">
      <c r="P914" s="67"/>
    </row>
    <row r="915">
      <c r="P915" s="67"/>
    </row>
    <row r="916">
      <c r="P916" s="67"/>
    </row>
    <row r="917">
      <c r="P917" s="67"/>
    </row>
    <row r="918">
      <c r="P918" s="67"/>
    </row>
    <row r="919">
      <c r="P919" s="67"/>
    </row>
    <row r="920">
      <c r="P920" s="67"/>
    </row>
    <row r="921">
      <c r="P921" s="67"/>
    </row>
    <row r="922">
      <c r="P922" s="67"/>
    </row>
    <row r="923">
      <c r="P923" s="67"/>
    </row>
    <row r="924">
      <c r="P924" s="67"/>
    </row>
    <row r="925">
      <c r="P925" s="67"/>
    </row>
    <row r="926">
      <c r="P926" s="67"/>
    </row>
    <row r="927">
      <c r="P927" s="67"/>
    </row>
    <row r="928">
      <c r="P928" s="67"/>
    </row>
    <row r="929">
      <c r="P929" s="67"/>
    </row>
    <row r="930">
      <c r="P930" s="67"/>
    </row>
    <row r="931">
      <c r="P931" s="67"/>
    </row>
    <row r="932">
      <c r="P932" s="67"/>
    </row>
    <row r="933">
      <c r="P933" s="67"/>
    </row>
    <row r="934">
      <c r="P934" s="67"/>
    </row>
    <row r="935">
      <c r="P935" s="67"/>
    </row>
    <row r="936">
      <c r="P936" s="67"/>
    </row>
    <row r="937">
      <c r="P937" s="67"/>
    </row>
    <row r="938">
      <c r="P938" s="67"/>
    </row>
    <row r="939">
      <c r="P939" s="67"/>
    </row>
    <row r="940">
      <c r="P940" s="67"/>
    </row>
    <row r="941">
      <c r="P941" s="67"/>
    </row>
    <row r="942">
      <c r="P942" s="67"/>
    </row>
    <row r="943">
      <c r="P943" s="67"/>
    </row>
    <row r="944">
      <c r="P944" s="67"/>
    </row>
    <row r="945">
      <c r="P945" s="67"/>
    </row>
    <row r="946">
      <c r="P946" s="67"/>
    </row>
    <row r="947">
      <c r="P947" s="67"/>
    </row>
    <row r="948">
      <c r="P948" s="67"/>
    </row>
    <row r="949">
      <c r="P949" s="67"/>
    </row>
    <row r="950">
      <c r="P950" s="67"/>
    </row>
    <row r="951">
      <c r="P951" s="67"/>
    </row>
    <row r="952">
      <c r="P952" s="67"/>
    </row>
    <row r="953">
      <c r="P953" s="67"/>
    </row>
    <row r="954">
      <c r="P954" s="67"/>
    </row>
    <row r="955">
      <c r="P955" s="67"/>
    </row>
    <row r="956">
      <c r="P956" s="67"/>
    </row>
    <row r="957">
      <c r="P957" s="67"/>
    </row>
    <row r="958">
      <c r="P958" s="67"/>
    </row>
    <row r="959">
      <c r="P959" s="67"/>
    </row>
    <row r="960">
      <c r="P960" s="67"/>
    </row>
    <row r="961">
      <c r="P961" s="67"/>
    </row>
    <row r="962">
      <c r="P962" s="67"/>
    </row>
    <row r="963">
      <c r="P963" s="67"/>
    </row>
    <row r="964">
      <c r="P964" s="67"/>
    </row>
    <row r="965">
      <c r="P965" s="67"/>
    </row>
    <row r="966">
      <c r="P966" s="67"/>
    </row>
    <row r="967">
      <c r="P967" s="67"/>
    </row>
    <row r="968">
      <c r="P968" s="67"/>
    </row>
    <row r="969">
      <c r="P969" s="67"/>
    </row>
    <row r="970">
      <c r="P970" s="67"/>
    </row>
    <row r="971">
      <c r="P971" s="67"/>
    </row>
    <row r="972">
      <c r="P972" s="67"/>
    </row>
    <row r="973">
      <c r="P973" s="67"/>
    </row>
    <row r="974">
      <c r="P974" s="67"/>
    </row>
    <row r="975">
      <c r="P975" s="67"/>
    </row>
    <row r="976">
      <c r="P976" s="67"/>
    </row>
    <row r="977">
      <c r="P977" s="67"/>
    </row>
    <row r="978">
      <c r="P978" s="67"/>
    </row>
    <row r="979">
      <c r="P979" s="67"/>
    </row>
    <row r="980">
      <c r="P980" s="67"/>
    </row>
    <row r="981">
      <c r="P981" s="67"/>
    </row>
    <row r="982">
      <c r="P982" s="67"/>
    </row>
    <row r="983">
      <c r="P983" s="67"/>
    </row>
    <row r="984">
      <c r="P984" s="67"/>
    </row>
    <row r="985">
      <c r="P985" s="67"/>
    </row>
    <row r="986">
      <c r="P986" s="67"/>
    </row>
    <row r="987">
      <c r="P987" s="67"/>
    </row>
    <row r="988">
      <c r="P988" s="67"/>
    </row>
    <row r="989">
      <c r="P989" s="67"/>
    </row>
    <row r="990">
      <c r="P990" s="67"/>
    </row>
    <row r="991">
      <c r="P991" s="67"/>
    </row>
    <row r="992">
      <c r="P992" s="67"/>
    </row>
    <row r="993">
      <c r="P993" s="67"/>
    </row>
    <row r="994">
      <c r="P994" s="67"/>
    </row>
    <row r="995">
      <c r="P995" s="67"/>
    </row>
    <row r="996">
      <c r="P996" s="67"/>
    </row>
    <row r="997">
      <c r="P997" s="67"/>
    </row>
    <row r="998">
      <c r="P998" s="67"/>
    </row>
    <row r="999">
      <c r="P999" s="67"/>
    </row>
    <row r="1000">
      <c r="P1000" s="67"/>
    </row>
    <row r="1001">
      <c r="P1001" s="67"/>
    </row>
    <row r="1002">
      <c r="P1002" s="67"/>
    </row>
    <row r="1003">
      <c r="P1003" s="67"/>
    </row>
    <row r="1004">
      <c r="P1004" s="67"/>
    </row>
    <row r="1005">
      <c r="P1005" s="67"/>
    </row>
    <row r="1006">
      <c r="P1006" s="67"/>
    </row>
    <row r="1007">
      <c r="P1007" s="67"/>
    </row>
    <row r="1008">
      <c r="P1008" s="67"/>
    </row>
    <row r="1009">
      <c r="P1009" s="67"/>
    </row>
    <row r="1010">
      <c r="P1010" s="67"/>
    </row>
    <row r="1011">
      <c r="P1011" s="67"/>
    </row>
    <row r="1012">
      <c r="P1012" s="67"/>
    </row>
    <row r="1013">
      <c r="P1013" s="67"/>
    </row>
    <row r="1014">
      <c r="P1014" s="67"/>
    </row>
    <row r="1015">
      <c r="P1015" s="67"/>
    </row>
  </sheetData>
  <mergeCells count="1">
    <mergeCell ref="A61:A62"/>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1.0" topLeftCell="A12" activePane="bottomLeft" state="frozen"/>
      <selection activeCell="B13" sqref="B13" pane="bottomLeft"/>
    </sheetView>
  </sheetViews>
  <sheetFormatPr customHeight="1" defaultColWidth="12.63" defaultRowHeight="15.75"/>
  <cols>
    <col customWidth="1" min="1" max="1" width="17.13"/>
    <col customWidth="1" min="2" max="2" width="78.38"/>
    <col customWidth="1" min="3" max="3" width="14.75"/>
    <col customWidth="1" min="7" max="7" width="21.75"/>
  </cols>
  <sheetData>
    <row r="1">
      <c r="A1" s="214" t="s">
        <v>1186</v>
      </c>
      <c r="B1" s="179" t="s">
        <v>1003</v>
      </c>
      <c r="C1" s="179" t="s">
        <v>1004</v>
      </c>
      <c r="D1" s="179" t="s">
        <v>1005</v>
      </c>
      <c r="E1" s="179" t="s">
        <v>1006</v>
      </c>
      <c r="F1" s="179" t="s">
        <v>1007</v>
      </c>
      <c r="G1" s="179" t="s">
        <v>1008</v>
      </c>
      <c r="H1" s="179" t="s">
        <v>1009</v>
      </c>
      <c r="I1" s="179" t="s">
        <v>1010</v>
      </c>
      <c r="J1" s="180" t="s">
        <v>1011</v>
      </c>
      <c r="K1" s="181" t="s">
        <v>1012</v>
      </c>
      <c r="L1" s="180" t="s">
        <v>1013</v>
      </c>
      <c r="M1" s="180" t="s">
        <v>1014</v>
      </c>
      <c r="N1" s="182" t="s">
        <v>1015</v>
      </c>
      <c r="O1" s="182" t="s">
        <v>1016</v>
      </c>
      <c r="P1" s="183" t="s">
        <v>1017</v>
      </c>
      <c r="Q1" s="182" t="s">
        <v>1018</v>
      </c>
      <c r="R1" s="182" t="s">
        <v>1019</v>
      </c>
      <c r="S1" s="215"/>
      <c r="T1" s="215"/>
      <c r="U1" s="215"/>
      <c r="V1" s="215"/>
      <c r="W1" s="215"/>
      <c r="X1" s="215"/>
      <c r="Y1" s="215"/>
      <c r="Z1" s="215"/>
    </row>
    <row r="2">
      <c r="A2" s="216"/>
      <c r="B2" s="62" t="s">
        <v>1187</v>
      </c>
      <c r="C2" s="62" t="s">
        <v>1188</v>
      </c>
      <c r="D2" s="217" t="s">
        <v>1189</v>
      </c>
      <c r="E2" s="62" t="s">
        <v>1190</v>
      </c>
      <c r="F2" s="62" t="s">
        <v>1191</v>
      </c>
      <c r="G2" s="217" t="s">
        <v>1192</v>
      </c>
      <c r="H2" s="62" t="s">
        <v>1193</v>
      </c>
      <c r="I2" s="62" t="s">
        <v>1194</v>
      </c>
      <c r="J2" s="62" t="s">
        <v>1195</v>
      </c>
      <c r="K2" s="62" t="s">
        <v>1196</v>
      </c>
      <c r="L2" s="62" t="s">
        <v>1197</v>
      </c>
      <c r="M2" s="62" t="s">
        <v>1198</v>
      </c>
      <c r="N2" s="218" t="s">
        <v>1199</v>
      </c>
      <c r="O2" s="218" t="s">
        <v>1200</v>
      </c>
      <c r="P2" s="219" t="s">
        <v>1201</v>
      </c>
      <c r="Q2" s="220" t="s">
        <v>1202</v>
      </c>
      <c r="R2" s="220" t="s">
        <v>1203</v>
      </c>
      <c r="S2" s="215"/>
      <c r="T2" s="215"/>
      <c r="U2" s="215"/>
      <c r="V2" s="215"/>
      <c r="W2" s="215"/>
      <c r="X2" s="215"/>
      <c r="Y2" s="215"/>
      <c r="Z2" s="215"/>
    </row>
    <row r="3">
      <c r="A3" s="221"/>
      <c r="B3" s="217" t="s">
        <v>1204</v>
      </c>
      <c r="C3" s="62" t="s">
        <v>1205</v>
      </c>
      <c r="D3" s="217" t="s">
        <v>1206</v>
      </c>
      <c r="E3" s="62" t="s">
        <v>1207</v>
      </c>
      <c r="F3" s="62" t="s">
        <v>1208</v>
      </c>
      <c r="G3" s="217" t="s">
        <v>1209</v>
      </c>
      <c r="H3" s="62" t="s">
        <v>1210</v>
      </c>
      <c r="I3" s="62" t="s">
        <v>1211</v>
      </c>
      <c r="J3" s="62" t="s">
        <v>1212</v>
      </c>
      <c r="K3" s="62" t="s">
        <v>1213</v>
      </c>
      <c r="L3" s="62" t="s">
        <v>1214</v>
      </c>
      <c r="M3" s="62" t="s">
        <v>1215</v>
      </c>
      <c r="N3" s="218" t="s">
        <v>1216</v>
      </c>
      <c r="O3" s="218" t="s">
        <v>1217</v>
      </c>
      <c r="P3" s="219" t="s">
        <v>1218</v>
      </c>
      <c r="Q3" s="218" t="s">
        <v>1219</v>
      </c>
      <c r="R3" s="220" t="s">
        <v>1220</v>
      </c>
      <c r="S3" s="215"/>
      <c r="T3" s="215"/>
      <c r="U3" s="215"/>
      <c r="V3" s="215"/>
      <c r="W3" s="215"/>
      <c r="X3" s="215"/>
      <c r="Y3" s="215"/>
      <c r="Z3" s="215"/>
    </row>
    <row r="4">
      <c r="A4" s="221"/>
      <c r="B4" s="217"/>
      <c r="C4" s="62"/>
      <c r="D4" s="217"/>
      <c r="E4" s="62"/>
      <c r="F4" s="62"/>
      <c r="G4" s="217"/>
      <c r="H4" s="62"/>
      <c r="I4" s="62"/>
      <c r="J4" s="62"/>
      <c r="K4" s="62"/>
      <c r="L4" s="62"/>
      <c r="M4" s="62"/>
      <c r="N4" s="215"/>
      <c r="O4" s="215"/>
      <c r="P4" s="215"/>
      <c r="Q4" s="215"/>
      <c r="R4" s="215"/>
      <c r="S4" s="215"/>
      <c r="T4" s="215"/>
      <c r="U4" s="215"/>
      <c r="V4" s="215"/>
      <c r="W4" s="215"/>
      <c r="X4" s="215"/>
      <c r="Y4" s="215"/>
      <c r="Z4" s="215"/>
    </row>
    <row r="5">
      <c r="A5" s="222" t="s">
        <v>1221</v>
      </c>
      <c r="B5" s="217"/>
      <c r="C5" s="62"/>
      <c r="D5" s="217"/>
      <c r="E5" s="62"/>
      <c r="F5" s="62"/>
      <c r="G5" s="217"/>
      <c r="H5" s="62"/>
      <c r="I5" s="62"/>
      <c r="J5" s="62"/>
      <c r="K5" s="62"/>
      <c r="L5" s="62"/>
      <c r="M5" s="62"/>
      <c r="N5" s="215"/>
      <c r="O5" s="215"/>
      <c r="P5" s="215"/>
      <c r="Q5" s="215"/>
      <c r="R5" s="215"/>
      <c r="S5" s="215"/>
      <c r="T5" s="215"/>
      <c r="U5" s="215"/>
      <c r="V5" s="215"/>
      <c r="W5" s="215"/>
      <c r="X5" s="215"/>
      <c r="Y5" s="215"/>
      <c r="Z5" s="215"/>
    </row>
    <row r="6">
      <c r="A6" s="223" t="s">
        <v>1222</v>
      </c>
      <c r="B6" s="224" t="s">
        <v>1223</v>
      </c>
      <c r="C6" s="225"/>
      <c r="D6" s="225"/>
      <c r="E6" s="225"/>
      <c r="F6" s="225"/>
      <c r="G6" s="225"/>
      <c r="H6" s="225"/>
      <c r="I6" s="225"/>
      <c r="J6" s="225"/>
      <c r="K6" s="225"/>
      <c r="L6" s="225"/>
      <c r="M6" s="225"/>
      <c r="N6" s="225"/>
      <c r="O6" s="225"/>
      <c r="P6" s="225"/>
      <c r="Q6" s="225"/>
      <c r="R6" s="225"/>
      <c r="S6" s="225"/>
      <c r="T6" s="225"/>
      <c r="U6" s="225"/>
      <c r="V6" s="225"/>
      <c r="W6" s="225"/>
      <c r="X6" s="225"/>
      <c r="Y6" s="225"/>
      <c r="Z6" s="225"/>
    </row>
    <row r="7">
      <c r="A7" s="222" t="s">
        <v>1224</v>
      </c>
      <c r="B7" s="224"/>
      <c r="C7" s="225"/>
      <c r="D7" s="225"/>
      <c r="E7" s="225"/>
      <c r="F7" s="225"/>
      <c r="G7" s="225"/>
      <c r="H7" s="225"/>
      <c r="I7" s="225"/>
      <c r="J7" s="225"/>
      <c r="K7" s="225"/>
      <c r="L7" s="225"/>
      <c r="M7" s="225"/>
      <c r="N7" s="225"/>
      <c r="O7" s="225"/>
      <c r="P7" s="225"/>
      <c r="Q7" s="225"/>
      <c r="R7" s="225"/>
      <c r="S7" s="225"/>
      <c r="T7" s="225"/>
      <c r="U7" s="225"/>
      <c r="V7" s="225"/>
      <c r="W7" s="225"/>
      <c r="X7" s="225"/>
      <c r="Y7" s="225"/>
      <c r="Z7" s="225"/>
    </row>
    <row r="8">
      <c r="A8" s="221" t="s">
        <v>1181</v>
      </c>
      <c r="B8" s="226" t="str">
        <f t="shared" ref="B8:R8" si="1">SUBSTITUTE(B2,"aaa",$B$6)</f>
        <v>0.84.0版本平衡性调整说明</v>
      </c>
      <c r="C8" s="226" t="str">
        <f t="shared" si="1"/>
        <v>Version 0.84.0 Balance Adjustments</v>
      </c>
      <c r="D8" s="226" t="str">
        <f t="shared" si="1"/>
        <v>Equilibrage version 0.84.0</v>
      </c>
      <c r="E8" s="226" t="str">
        <f t="shared" si="1"/>
        <v>Version 0.84.0 Balance-Anpassungen</v>
      </c>
      <c r="F8" s="226" t="str">
        <f t="shared" si="1"/>
        <v>Ajustes de balanceamento da versão 0.84.0</v>
      </c>
      <c r="G8" s="226" t="str">
        <f t="shared" si="1"/>
        <v>0.84.0版本平衡性調整說明</v>
      </c>
      <c r="H8" s="226" t="str">
        <f t="shared" si="1"/>
        <v>Penyesuaian Saldo Versi 0.84.0</v>
      </c>
      <c r="I8" s="226" t="str">
        <f t="shared" si="1"/>
        <v>เวอร์ชัน 0.84.0 การปรับสมดุล</v>
      </c>
      <c r="J8" s="226" t="str">
        <f t="shared" si="1"/>
        <v>Ajustes de Balance para la Versión 0.84.0</v>
      </c>
      <c r="K8" s="226" t="str">
        <f t="shared" si="1"/>
        <v>Настройки баланса в версии 0.84.0</v>
      </c>
      <c r="L8" s="226" t="str">
        <f t="shared" si="1"/>
        <v>Sürüm 0.84.0 Denge Düzenlemeleri</v>
      </c>
      <c r="M8" s="226" t="str">
        <f t="shared" si="1"/>
        <v>Điều Chỉnh Cân Bằng Phiên Bản 0.84.0</v>
      </c>
      <c r="N8" s="226" t="str">
        <f t="shared" si="1"/>
        <v>Versione 0.84.0 Modifiche di equilibrio</v>
      </c>
      <c r="O8" s="226" t="str">
        <f t="shared" si="1"/>
        <v>Wersja 0.84.0 Zmiany w zrównoważeniu</v>
      </c>
      <c r="P8" s="226" t="str">
        <f t="shared" si="1"/>
        <v>الإصدار 0.84.0 تعديلات متوازنة</v>
      </c>
      <c r="Q8" s="226" t="str">
        <f t="shared" si="1"/>
        <v>バージョン0.84.0バランス調整</v>
      </c>
      <c r="R8" s="226" t="str">
        <f t="shared" si="1"/>
        <v>버전 0.84.0 밸런스 조정</v>
      </c>
      <c r="S8" s="225"/>
      <c r="T8" s="225"/>
      <c r="U8" s="225"/>
      <c r="V8" s="225"/>
      <c r="W8" s="225"/>
      <c r="X8" s="225"/>
      <c r="Y8" s="225"/>
      <c r="Z8" s="225"/>
    </row>
    <row r="9" ht="87.0" customHeight="1">
      <c r="A9" s="221" t="s">
        <v>1182</v>
      </c>
      <c r="B9" s="72" t="str">
        <f>SUBSTITUTE(SUBSTITUTE(B3,"aaa",$B$6),"xxxxx",VLOOKUP($B$6,$A$11:$M$1005,2,0))</f>
        <v>亲爱的指挥官：\n\n为了确保整体的游戏平衡，我们在即将更新的0.84.0版本进行了以下&lt;color=#ffa200&gt;数值调整&lt;/color&gt;：\n\n-解锁任意机甲涂装后额外获得属性增益，拥有机甲涂装越多，属性越强！
-银河战争中，所有中立建筑的占领难度，随着星球更替难度提升。\n\n\n谢谢您对我们的支持，我们将不断改进，希望能得到您的理解和支持，下一次在酒馆中再次干杯!\n\n罗杰副官</v>
      </c>
      <c r="C9" s="227" t="str">
        <f>SUBSTITUTE(SUBSTITUTE(C3,"aaa",$B$6),"xxxxx",VLOOKUP($B$6,$A$11:$M$1005,3,0))</f>
        <v>Dear Captain,\n\nIn order to increase overall balance in the game, the upcoming 0.84.0 version update will include the following &lt;color=#ffa200&gt;stat adjustments&lt;/color&gt;:\n\n-Unlock any mech lacquer to gain an extra attribute bonus—the more lacquers you own, the stronger your attributes get!
-In Planet Wars, the difficulty of capturing neutral buildings increases as you advance to newer planets.
\n\nThank you for your understanding and support as we continue to improve. See you around the Tavern!\n\nDeputy Roger</v>
      </c>
      <c r="D9" s="227" t="str">
        <f>SUBSTITUTE(SUBSTITUTE(D3,"aaa",$B$6),"xxxxx",VLOOKUP($B$6,$A$11:$M$1005,4,0))</f>
        <v>Cher capitaine,\n\nAfin d'équilibrer globalement le jeu, les &lt;color=#ffa200&gt;modifications des statistiques&lt;/color&gt; suivantes prendront effet dans la prochaine mise à jour 0.84.0 du jeu:\n\n-Débloquez n'importe quelle laque de mécha pour obtenir un bonus d'attribut supplémentaire—plus vous possédez de laques, plus vos attributs deviennent forts !
-Dans la Guerre planétaire, la difficulté de capture des bâtiments neutres augmente à mesure que vous développez vers de nouvelles planètes.\n\nMerci pour votre compréhension et votre soutien. Nous mettons tout en œuvre pour continuer à progresser et améliorer le jeu. \n\nOn se retrouve à la taverne!\n\nRoger l'assistant</v>
      </c>
      <c r="E9" s="227" t="str">
        <f>SUBSTITUTE(SUBSTITUTE(E3,"aaa",$B$6),"xxxxx",VLOOKUP($B$6,$A$11:$M$1005,5,0))</f>
        <v>Lieber Captain,\n\nUm die allgemeine Balance im Spiel zu erhöhen, wird das kommende Versionsupdate 0.84.0 die folgenden &lt;color=#ffa200&gt;Balance-Anpassungen&lt;/color&gt; beinhalten:\n\n-Schalte beliebigen Mech-Lack frei, um einen zusätzlichen Attributbonus zu erhalten – je mehr Lacke du besitzt, desto stärker werden deine Attribute!
-In den Planetenkriegen steigt die Schwierigkeit, neutrale Gebäude einzunehmen, je weiter du auf neue Planeten fortschreitest.\n\nVielen Dank für dein Verständnis und deine Unterstützung, während wir uns weiter verbessern. Wir sehen uns in der Taverne!\n\nAdjudant Roger</v>
      </c>
      <c r="F9" s="227" t="str">
        <f>SUBSTITUTE(SUBSTITUTE(F3,"aaa",$B$6),"xxxxx",VLOOKUP($B$6,$A$11:$M$1005,6,0))</f>
        <v>Caro Capitão,\n\nPara melhorar o balanceamento geral dentro do jogo, a versão 0.84.0 incluirá os seguintes &lt;color=#ffa200&gt;ajustes de atributos&lt;/color&gt;:\n\n-Desbloqueie qualquer laca de mech para ganhar um bônus de atributo extra—quanto mais lacas você possuir, mais fortes ficam seus atributos!
-Em Guerra Interplanetária, a dificuldade de capturar estruturas neutras aumenta conforme você avança para novos planetas.\n\nAgradecemos pela sua compreensão e suporte ao passo que continuamos melhorando. Vemos você na taverna!\n\nDelegado Roger</v>
      </c>
      <c r="G9" s="227" t="str">
        <f>SUBSTITUTE(SUBSTITUTE(G3,"aaa",$B$6),"xxxxx",VLOOKUP($B$6,$A$11:$M$1005,7,0))</f>
        <v>親愛的指揮官：\n\n為了確保整體的遊戲平衡，我們在即將更新的0.84.0版本進行了以下&lt;color=#ffa200&gt;數值調整&lt;/color&gt;：\n\n-解鎖任意機甲塗裝後額外獲得屬性增益，擁有機甲塗裝越多，屬性越強！
-銀河戰爭中，所有中立建築的佔領難度，隨著星球更替難度提升。\n\n\n謝謝您對我們的支持，我們將不斷改進，希望能得到您的理解和支持，下一次在酒館中再次乾杯!\n\n羅傑副官</v>
      </c>
      <c r="H9" s="227" t="str">
        <f>SUBSTITUTE(SUBSTITUTE(H3,"aaa",$B$6),"xxxxx",VLOOKUP($B$6,$A$11:$M$1005,8,0))</f>
        <v>Kapten yang terhormat,\n\nUntuk meningkatkan keseimbangan keseluruhan dalam game, pembaruan versi 0.84.0 mendatang akan mencakup &lt;color=#ffa200&gt;penyesuaian status&lt;/color&gt; berikut ini:\n\n-Buka pernis mekanik apa pun untuk mendapatkan bonus atribut ekstra—semakin banyak pernis yang kamu miliki, semakin kuat atributmu!
-Dalam Perang Planet, tingkat kesulitan merebut bangunan netral akan meningkat seiring kamu maju ke planet-planet baru.\n\nTerima kasih atas pengertian dan dukunganmu sementara kami terus meningkatkan game. Sampai jumpa di sekitar Kedai!\n\nDeputi Roger</v>
      </c>
      <c r="I9" s="227" t="str">
        <f>SUBSTITUTE(SUBSTITUTE(I3,"aaa",$B$6),"xxxxx",VLOOKUP($B$6,$A$11:$M$1005,9,0))</f>
        <v>ถึงท่านผู้บัญชาการ\n\nเพื่อเพิ่มความสมดุลโดยรวมในเกม การอัปเดตเวอร์ชัน 0.84.0 ที่กำลังจะมีขึ้นจะมีการปรับ&lt;color=#ffa200&gt;ค่าพลัง&lt;/color&gt;ดังต่อไปนี้:\n\n-ปลดล็อกแลคเกอร์เมคใดๆ เพื่อรับโบนัสคุณสมบัติเพิ่มเติม—ยิ่งคุณมีแลคเกอร์มากเท่าไหร่ คุณสมบัติก็ยิ่งแข็งแกร่งมากขึ้น!
-ในสงครามดาวเคราะห์ ความยากในการยึดสิ่งปลูกสร้างที่ไม่มีใครครอบครองจะเพิ่มขึ้นเมื่อคุณเดินหน้าสู่ดาวเคราะห์ใหม่ๆ\n\nขอขอบคุณสำหรับความเข้าใจและการสนับสนุนในการปรับปรุงอย่างต่อเนื่องของเรา แล้วไว้เจอกันแถว ๆ โรงแรมนะ!\n\nท่านรองโรเจอร์</v>
      </c>
      <c r="J9" s="227" t="str">
        <f>SUBSTITUTE(SUBSTITUTE(J3,"aaa",$B$6),"xxxxx",VLOOKUP($B$6,$A$11:$M$1005,10,0))</f>
        <v>Querido Capitán, \n\nPara poder aumentar el balance en general dentro del juego, la próxima actualización del juego a la versión 0.84.0 incluirá el siguiente &lt;color=#ffa200&gt;ajuste de estadísticas&lt;/color&gt;:\n\n-Desbloquea cualquier laca de mecha para obtener una bonificación de atributo extra—cuantas más lacas poseas, más fuertes serán tus atributos.
-En Guerras Planetarias, la dificultad para capturar edificios neutrales aumenta a medida que avanzas a planetas nuevos.\n\nGracias por tu comprensión y apoyo mientras continuamos mejorando. ¡Nos vemos en la Taberna!\n\nComisario Roger</v>
      </c>
      <c r="K9" s="227" t="str">
        <f>SUBSTITUTE(SUBSTITUTE(K3,"aaa",$B$6),"xxxxx",VLOOKUP($B$6,$A$11:$M$1005,11,0))</f>
        <v>Уважаемый капитан!\n\nВ целях улучшения общего баланса игры мы вносим следующие &lt;color=#ffa200&gt;изменения показателей&lt;/color&gt; в обновлении до версии 0.84.0:\n\n-Откройте любой лак для меха, чтобы получить дополнительный бонус к показателям — чем больше лаков у вас есть, тем сильнее становятся ваши показатели!
-В Планетарных войнах сложность захвата нейтральных зданий увеличивается по мере продвижения на новые планеты.\n\nСпасибо за понимание и поддержку наших мер по улучшению игры. Увидимся в таверне!\n\nПомощник Роджер</v>
      </c>
      <c r="L9" s="227" t="str">
        <f>SUBSTITUTE(SUBSTITUTE(L3,"aaa",$B$6),"xxxxx",VLOOKUP($B$6,$A$11:$M$1005,12,0))</f>
        <v>Sevgili Kaptan,\n\nOyundaki genel dengeyi artırmak için, sunulacak 0.84.0 sürüm güncellemesi şu &lt;color=#ffa200&gt;özellik düzenlemelerini&lt;/color&gt; içerecek:\n\n-Herhangi bir meka cilasının kilidini açarak ekstra nitelik bonusu kazanırsın—ne kadar çok cila sahibi olursan, niteliklerin o kadar güçlü olur!
-Gezegen Savaşlarında, yeni gezegenlere ilerledikçe tarafsız binaları ele geçirmenin zorluğu artar.\n\nGelişme sürecimizdeki anlayışın ve desteğin için teşekkürler. Tavernada görüşürüz!\n\nYardımcı Roger</v>
      </c>
      <c r="M9" s="227" t="str">
        <f>SUBSTITUTE(SUBSTITUTE(M3,"aaa",$B$6),"xxxxx",VLOOKUP($B$6,$A$11:$M$1005,13,0))</f>
        <v>Thưa Thủ Lĩnh,\n\nĐể tăng cân bằng tổng thể trong trò chơi, bản cập nhật phiên bản 0.84.0 sắp tới sẽ bao gồm những &lt;color=#ffa200&gt;điều chỉnh chỉ số&lt;/color&gt; sau:\n\n-Mở khóa bất kỳ sơn mài cơ khí nào để nhận thêm thưởng thuộc tính—bạn sở hữu càng nhiều sơn mài, thuộc tính của bạn càng mạnh mẽ!
-Trong Chiến Tranh Hành Tinh, độ khó khi chiếm các công trình trung lập sẽ tăng lên khi bạn tiến đến các hành tinh mới.\n\nCảm ơn các bạn đã thông cảm và ủng hộ trong thời gian chúng tôi tiếp tục cải thiện trò chơi. Hẹn gặp lại ở Tửu Quán nhé!\n\nPhụ tá Roger</v>
      </c>
      <c r="N9" s="227" t="str">
        <f>SUBSTITUTE(SUBSTITUTE(N3,"aaa",$B$6),"xxxxx",VLOOKUP($B$6,$A$11:$P$1005,14,0))</f>
        <v>Caro Capitano,\nPer aumentare l'equilibrio generale nel gioco, il prossimo aggiornamento della versione 0.84.0 includerà i seguenti &lt;color=#ffa200&gt;aggiustamenti di statistiche&lt;/color&gt;:\n-Sblocca qualsiasi lacca per mech per ottenere un bonus attributo extra: più lacche possiedi, più forti diventano i tuoi attributi!
-Nelle Guerre planetarie, la difficoltà di catturare edifici neutrali aumenta man mano che avanzi verso nuovi pianeti.\nGrazie per la comprensione e il supporto mentre continuiamo a migliorare. Ci vediamo alla Taverna!\nSottotenente Roger</v>
      </c>
      <c r="O9" s="227" t="str">
        <f>SUBSTITUTE(SUBSTITUTE(O3,"aaa",$B$6),"xxxxx",VLOOKUP($B$6,$A$11:$P$1005,15,0))</f>
        <v>Szanowny Kapitanie,\nAby zwiększyć ogólną równowagę w grze, nadchodząca aktualizacja wersji 0.84.0 będzie zawierać następujące &lt;color=#ffa200&gt;zmiany w statystykach&lt;/color&gt;:\n-Odblokuj dowolny lakier mecha, aby uzyskać dodatkową premię atrybutu—im więcej lakierów posiadasz, tym silniejsze stają się twoje atrybuty!
-W Wojnach Planet trudność przejmowania neutralnych budynków wzrasta wraz z awansem na nowe planety.\nDziękujemy za zrozumienie i wsparcie – ciągle staramy się doskonalić system. Do zobaczenia w Tawernie!\nZastępca Roger</v>
      </c>
      <c r="P9" s="227" t="str">
        <f>SUBSTITUTE(SUBSTITUTE(P3,"aaa",$B$6),"xxxxx",VLOOKUP($B$6,$A$11:$P$1005,16,0))</f>
        <v>عزيزي الزعيم،\nمن أجل زيادة التوازن العام في اللعبة، سيتضمن التحديث القادم لإصدار 0.84.0 التالي &lt;color=#ffa200&gt;تعديلات الإحصائيات&lt;/color&gt; التالية:\n-افتح أي لكر ميكا لتحصل على مكافأة سمة إضافية—كلما امتلكت المزيد من الطلاءات، أصبحت سماتك أقوى!
-في حروب الكوكب، تزداد صعوبة الاستيلاء على المباني المحايدة كلما تقدمت إلى كواكب أحدث.\nشكرا لتفهمك ودعمك ونحن نواصل التحسينات. أراك حول المقهى!\nالنائب روجر</v>
      </c>
      <c r="Q9" s="227" t="str">
        <f>SUBSTITUTE(SUBSTITUTE(Q3,"aaa",$B$6),"xxxxx",VLOOKUP($B$6,$A$11:$R$1005,17,0))</f>
        <v>親愛なるキャプテン、\n\nゲーム全体のバランスを向上させるため、次回の0.84.0バージョン更新には以下の&lt;color=#ffa200&gt;ステータス調整&lt;/color&gt;が含まれます：\n\n-任意のメカラッカーをアンロックすると追加の属性ボーナスを獲得できます。所有する漆製品が多いほど、属性がより強力になります！
-プラネットウォーズでは、新しい惑星に進行するにつれて中立建築の占領難易度が上昇します。\n\n\n私たちは改善を続ける中で、あなたの理解とサポートに感謝します。酒場でお会いしましょう！\n\n副指揮官ロジャー</v>
      </c>
      <c r="R9" s="227" t="str">
        <f>SUBSTITUTE(SUBSTITUTE(R3,"aaa",$B$6),"xxxxx",VLOOKUP($B$6,$A$11:$R$1005,18,0))</f>
        <v>친애하는 대장님,\n\n게임의 전반적인 밸런스를 높이기 위해, 다가오는 0.84.0 버전 업데이트에는 다음과 같은 &lt;color=#ffa200&gt;통계 조정&lt;/color&gt;이 포함될 것입니다:\n\n-아무 메카 래커를 잠금 해제하면 추가 속성 보너스를 얻을 수 있습니다—래커를 많이 소유할수록 속성이 더 강해집니다!
-은하 전쟁에서, 더 새로운 행성으로 진출할수록 중립 건물 점령 난이도가 높아집니다.\n\n\n우리가 계속해서 개선해 나가는 동안 당신의 이해와 지원에 감사드립니다. 선술집에서 만나요!\n\n부관 로저</v>
      </c>
      <c r="S9" s="227"/>
      <c r="T9" s="227"/>
      <c r="U9" s="227"/>
      <c r="V9" s="227"/>
      <c r="W9" s="227"/>
      <c r="X9" s="227"/>
      <c r="Y9" s="227"/>
      <c r="Z9" s="227"/>
    </row>
    <row r="10">
      <c r="A10" s="221"/>
      <c r="B10" s="225"/>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5"/>
    </row>
    <row r="11">
      <c r="A11" s="228" t="str">
        <f>IFERROR(__xludf.DUMMYFUNCTION("IMPORTRANGE(""https://docs.google.com/spreadsheets/d/1hnDXdyVS4aonZPp7X5xvrh_3tDY3h-VQ3eDvhBz5-ws/edit#gid=0"",""汇总-平衡性调整!A1:R200"")"),"")</f>
        <v/>
      </c>
      <c r="B11" s="229" t="str">
        <f>IFERROR(__xludf.DUMMYFUNCTION("""COMPUTED_VALUE"""),"CN")</f>
        <v>CN</v>
      </c>
      <c r="C11" s="229" t="str">
        <f>IFERROR(__xludf.DUMMYFUNCTION("""COMPUTED_VALUE"""),"EN")</f>
        <v>EN</v>
      </c>
      <c r="D11" s="229" t="str">
        <f>IFERROR(__xludf.DUMMYFUNCTION("""COMPUTED_VALUE"""),"FR")</f>
        <v>FR</v>
      </c>
      <c r="E11" s="229" t="str">
        <f>IFERROR(__xludf.DUMMYFUNCTION("""COMPUTED_VALUE"""),"DE")</f>
        <v>DE</v>
      </c>
      <c r="F11" s="229" t="str">
        <f>IFERROR(__xludf.DUMMYFUNCTION("""COMPUTED_VALUE"""),"PO")</f>
        <v>PO</v>
      </c>
      <c r="G11" s="229" t="str">
        <f>IFERROR(__xludf.DUMMYFUNCTION("""COMPUTED_VALUE"""),"ZH")</f>
        <v>ZH</v>
      </c>
      <c r="H11" s="229" t="str">
        <f>IFERROR(__xludf.DUMMYFUNCTION("""COMPUTED_VALUE"""),"ID")</f>
        <v>ID</v>
      </c>
      <c r="I11" s="229" t="str">
        <f>IFERROR(__xludf.DUMMYFUNCTION("""COMPUTED_VALUE"""),"TH")</f>
        <v>TH</v>
      </c>
      <c r="J11" s="229" t="str">
        <f>IFERROR(__xludf.DUMMYFUNCTION("""COMPUTED_VALUE"""),"SP")</f>
        <v>SP</v>
      </c>
      <c r="K11" s="229" t="str">
        <f>IFERROR(__xludf.DUMMYFUNCTION("""COMPUTED_VALUE"""),"RU")</f>
        <v>RU</v>
      </c>
      <c r="L11" s="229" t="str">
        <f>IFERROR(__xludf.DUMMYFUNCTION("""COMPUTED_VALUE"""),"TR")</f>
        <v>TR</v>
      </c>
      <c r="M11" s="229" t="str">
        <f>IFERROR(__xludf.DUMMYFUNCTION("""COMPUTED_VALUE"""),"VI")</f>
        <v>VI</v>
      </c>
      <c r="N11" s="228" t="str">
        <f>IFERROR(__xludf.DUMMYFUNCTION("""COMPUTED_VALUE"""),"it")</f>
        <v>it</v>
      </c>
      <c r="O11" s="228" t="str">
        <f>IFERROR(__xludf.DUMMYFUNCTION("""COMPUTED_VALUE"""),"pl")</f>
        <v>pl</v>
      </c>
      <c r="P11" s="228" t="str">
        <f>IFERROR(__xludf.DUMMYFUNCTION("""COMPUTED_VALUE"""),"ar")</f>
        <v>ar</v>
      </c>
      <c r="Q11" s="228" t="str">
        <f>IFERROR(__xludf.DUMMYFUNCTION("""COMPUTED_VALUE"""),"JP")</f>
        <v>JP</v>
      </c>
      <c r="R11" s="228" t="str">
        <f>IFERROR(__xludf.DUMMYFUNCTION("""COMPUTED_VALUE"""),"KR")</f>
        <v>KR</v>
      </c>
      <c r="S11" s="228"/>
      <c r="T11" s="228"/>
      <c r="U11" s="228"/>
      <c r="V11" s="228"/>
      <c r="W11" s="228"/>
      <c r="X11" s="228"/>
      <c r="Y11" s="228"/>
      <c r="Z11" s="228"/>
    </row>
    <row r="12">
      <c r="A12" s="108" t="str">
        <f>IFERROR(__xludf.DUMMYFUNCTION("""COMPUTED_VALUE"""),"0.28.0")</f>
        <v>0.28.0</v>
      </c>
      <c r="B12" s="108" t="str">
        <f>IFERROR(__xludf.DUMMYFUNCTION("""COMPUTED_VALUE"""),"-主线任务中基地升级任务奖励调整
-野怪的部队推荐数量优化
-地图中立建筑首占奖励调整
-战利品分配上限调整
-英雄技能系数调整
-旗帜灭火条件修改
-调整了氏族捐献宝箱的奖励
-调整了能量恢复速度
-擂台抽奖提高了橙色斗士的获取概率")</f>
        <v>-主线任务中基地升级任务奖励调整
-野怪的部队推荐数量优化
-地图中立建筑首占奖励调整
-战利品分配上限调整
-英雄技能系数调整
-旗帜灭火条件修改
-调整了氏族捐献宝箱的奖励
-调整了能量恢复速度
-擂台抽奖提高了橙色斗士的获取概率</v>
      </c>
      <c r="C12" s="108"/>
      <c r="D12" s="108"/>
      <c r="E12" s="108"/>
      <c r="F12" s="108"/>
      <c r="G12" s="108"/>
      <c r="H12" s="108"/>
      <c r="I12" s="108"/>
      <c r="J12" s="108"/>
      <c r="K12" s="108"/>
      <c r="L12" s="108"/>
      <c r="M12" s="108"/>
      <c r="N12" s="108"/>
      <c r="O12" s="108"/>
      <c r="P12" s="108"/>
      <c r="Q12" s="108"/>
      <c r="R12" s="108"/>
      <c r="S12" s="108"/>
      <c r="T12" s="108"/>
      <c r="U12" s="108"/>
      <c r="V12" s="108"/>
      <c r="W12" s="108"/>
      <c r="X12" s="108"/>
      <c r="Y12" s="108"/>
      <c r="Z12" s="108"/>
    </row>
    <row r="13">
      <c r="A13" s="108" t="str">
        <f>IFERROR(__xludf.DUMMYFUNCTION("""COMPUTED_VALUE"""),"0.29.0")</f>
        <v>0.29.0</v>
      </c>
      <c r="B13" s="230" t="str">
        <f>IFERROR(__xludf.DUMMYFUNCTION("""COMPUTED_VALUE"""),"-已有的VIP经验同步新版VIP调整
-VIP商店商品调整
-提升全能竞技场的奖励
-调整了集结野怪的经验掉落
-减少多个联盟科技的研究用时
-斗士升星不能使用奖牌")</f>
        <v>-已有的VIP经验同步新版VIP调整
-VIP商店商品调整
-提升全能竞技场的奖励
-调整了集结野怪的经验掉落
-减少多个联盟科技的研究用时
-斗士升星不能使用奖牌</v>
      </c>
      <c r="C13" s="108" t="str">
        <f>IFERROR(__xludf.DUMMYFUNCTION("""COMPUTED_VALUE"""),"- Current VIP EXP will be adjusted according to the new VIP system.
- Primate Brawl rewards upgraded.
- Adjusted EXP received from rally against neutral units.
- Reduced the time it takes to conduct certain Gang Research.
- Medals cannot be used for Fight"&amp;"er star upgrades.
- VIP Shop items adjusted")</f>
        <v>- Current VIP EXP will be adjusted according to the new VIP system.
- Primate Brawl rewards upgraded.
- Adjusted EXP received from rally against neutral units.
- Reduced the time it takes to conduct certain Gang Research.
- Medals cannot be used for Fighter star upgrades.
- VIP Shop items adjusted</v>
      </c>
      <c r="D13" s="108" t="str">
        <f>IFERROR(__xludf.DUMMYFUNCTION("""COMPUTED_VALUE"""),"- L'expérience VIP actuelle va être ajustée conformément au nouveau système VIP
- Amélioration des récompenses de la Baston des primates
- Ajustement de l'expérience reçue lors des raids contre les unités neutres
- Réduction du temps de recherche de certa"&amp;"ines technologies du gang
- Médailles non utilisables pour améliorer le niveau d'étoiles des combattants
- Optimisation des objets de la boutique VIP")</f>
        <v>- L'expérience VIP actuelle va être ajustée conformément au nouveau système VIP
- Amélioration des récompenses de la Baston des primates
- Ajustement de l'expérience reçue lors des raids contre les unités neutres
- Réduction du temps de recherche de certaines technologies du gang
- Médailles non utilisables pour améliorer le niveau d'étoiles des combattants
- Optimisation des objets de la boutique VIP</v>
      </c>
      <c r="E13" s="108" t="str">
        <f>IFERROR(__xludf.DUMMYFUNCTION("""COMPUTED_VALUE"""),"- Aktuelle VIP-EP wird entsprechend dem neuen VIP-System angepasst.
- Belohnungen für Primatenkrawall aufgewertet.
- Die EP, die man bei Sammelangriffen gegen neutrale Einheiten erhält, wurden angepasst.
- Die Zeit für bestimmte Clan-Forschung wurde reduz"&amp;"iert.
- Orden können nicht für Kämpfer-Stern-Aufwertungen verwendet werden.
- Gegenstände für VIP-Shop angepasst")</f>
        <v>- Aktuelle VIP-EP wird entsprechend dem neuen VIP-System angepasst.
- Belohnungen für Primatenkrawall aufgewertet.
- Die EP, die man bei Sammelangriffen gegen neutrale Einheiten erhält, wurden angepasst.
- Die Zeit für bestimmte Clan-Forschung wurde reduziert.
- Orden können nicht für Kämpfer-Stern-Aufwertungen verwendet werden.
- Gegenstände für VIP-Shop angepasst</v>
      </c>
      <c r="F13" s="108" t="str">
        <f>IFERROR(__xludf.DUMMYFUNCTION("""COMPUTED_VALUE"""),"- EXP VIP atual será ajustada de acordo com o novo sistema.
- Recompensas da Briga Primata foram atualizadas.
- Ajustes de EXP recebidos ao realizar incursões contra unidades neutras.
- O tempo para conduzir algumas pesquisas de gangue foi reduzido.
- Med"&amp;"alhas não podem ser usadas para melhorias de estrela de combatentes.
- Ajustes nos itens da Loja VIP")</f>
        <v>- EXP VIP atual será ajustada de acordo com o novo sistema.
- Recompensas da Briga Primata foram atualizadas.
- Ajustes de EXP recebidos ao realizar incursões contra unidades neutras.
- O tempo para conduzir algumas pesquisas de gangue foi reduzido.
- Medalhas não podem ser usadas para melhorias de estrela de combatentes.
- Ajustes nos itens da Loja VIP</v>
      </c>
      <c r="G13" s="108" t="str">
        <f>IFERROR(__xludf.DUMMYFUNCTION("""COMPUTED_VALUE"""),"-已有的VIP經驗同步新版VIP調整
-VIP商店商品調整
-提升全能競技場的獎勵
-調整了集結野怪的經驗掉落
-減少多個聯盟科技的研究用時
-鬥士升星不能使用獎牌")</f>
        <v>-已有的VIP經驗同步新版VIP調整
-VIP商店商品調整
-提升全能競技場的獎勵
-調整了集結野怪的經驗掉落
-減少多個聯盟科技的研究用時
-鬥士升星不能使用獎牌</v>
      </c>
      <c r="H13" s="108" t="str">
        <f>IFERROR(__xludf.DUMMYFUNCTION("""COMPUTED_VALUE"""),"- EXP VIP saat ini akan disesuaikan dengan sistem VIP baru.
- Hadiah Perkelahian Primata ditingkatkan.
- Penyesuaian EXP yang diterima dari reli melawan unit netral.
- Mengurangi waktu yang dibutuhkan untuk melakukan Penelitian Geng tertentu.
- Medali tid"&amp;"ak bisa digunakan untuk peningkatan bintang Pejuang
- Item Toko VIP disesuaikan")</f>
        <v>- EXP VIP saat ini akan disesuaikan dengan sistem VIP baru.
- Hadiah Perkelahian Primata ditingkatkan.
- Penyesuaian EXP yang diterima dari reli melawan unit netral.
- Mengurangi waktu yang dibutuhkan untuk melakukan Penelitian Geng tertentu.
- Medali tidak bisa digunakan untuk peningkatan bintang Pejuang
- Item Toko VIP disesuaikan</v>
      </c>
      <c r="I13" s="108" t="str">
        <f>IFERROR(__xludf.DUMMYFUNCTION("""COMPUTED_VALUE"""),"- ค่าประสบการณ์ของวีไอพีในปัจจุบันจะถูกปรับตามระบบวีไอพีใหม่
- อัปเกรดรางวัลการวิวาทของเหล่าวานรแล้ว
- ปรับค่าประสบการณ์ที่ได้รับจากการยกทัพเข้าต่อสู้กับหน่วยศัตรูที่ไม่ฝักใฝ่ฝ่ายใด
- ลดเวลาที่ใช้ในการวิจัยของแก๊ง
- เหรียญตราไม่สามารถใช้อัปเกรดดาวของนักสู"&amp;"้ได้
- ปรับไอเทมในร้านวีไอพี")</f>
        <v>- ค่าประสบการณ์ของวีไอพีในปัจจุบันจะถูกปรับตามระบบวีไอพีใหม่
- อัปเกรดรางวัลการวิวาทของเหล่าวานรแล้ว
- ปรับค่าประสบการณ์ที่ได้รับจากการยกทัพเข้าต่อสู้กับหน่วยศัตรูที่ไม่ฝักใฝ่ฝ่ายใด
- ลดเวลาที่ใช้ในการวิจัยของแก๊ง
- เหรียญตราไม่สามารถใช้อัปเกรดดาวของนักสู้ได้
- ปรับไอเทมในร้านวีไอพี</v>
      </c>
      <c r="J13" s="108" t="str">
        <f>IFERROR(__xludf.DUMMYFUNCTION("""COMPUTED_VALUE"""),"- Las EXP VIP actual será ajustada de acuerdo al nuevo sistema VIP.
- Mejoras en las recompensas de Lucha de Primates. 
- Ajustes en la EXP recibida de las incursiones contra unidades neutrales. 
- Se reduce el tiempo que toma realizar determinadas Invest"&amp;"igaciones de la Banda.
- Las Medallas no pueden usarse para mejoras de estrella del Luchador.
- Artículos de la Tienda VIP ajustados")</f>
        <v>- Las EXP VIP actual será ajustada de acuerdo al nuevo sistema VIP.
- Mejoras en las recompensas de Lucha de Primates. 
- Ajustes en la EXP recibida de las incursiones contra unidades neutrales. 
- Se reduce el tiempo que toma realizar determinadas Investigaciones de la Banda.
- Las Medallas no pueden usarse para mejoras de estrella del Luchador.
- Artículos de la Tienda VIP ajustados</v>
      </c>
      <c r="K13" s="108" t="str">
        <f>IFERROR(__xludf.DUMMYFUNCTION("""COMPUTED_VALUE"""),"— Текущий опыт VIP будет скорректирован в соответствии с новой системой VIP.
— Повышена награда за «Потасовку приматов».
— Скорректировано получение опыта за походы против нейтральных отрядов.
— Уменьшено время, требуемое на некоторые исследования банд.
—"&amp;" Медали нельзя использовать на повышение звезд у героя.
— Скорректированы предметы VIP-магазина")</f>
        <v>— Текущий опыт VIP будет скорректирован в соответствии с новой системой VIP.
— Повышена награда за «Потасовку приматов».
— Скорректировано получение опыта за походы против нейтральных отрядов.
— Уменьшено время, требуемое на некоторые исследования банд.
— Медали нельзя использовать на повышение звезд у героя.
— Скорректированы предметы VIP-магазина</v>
      </c>
      <c r="L13" s="108" t="str">
        <f>IFERROR(__xludf.DUMMYFUNCTION("""COMPUTED_VALUE"""),"- Mevcut VIP deneyimi yeni VIP sistemine göre düzenlenecek.
- Primat Kavgası ödülleri yükseltildi.
- Düzenlenen deneyim tarafsız birimlere yönelik toplu saldırılardan alındı.
- Belirli Çete Araştırmalarını gerçekleştirmek için gerekli süreler azaltıldı.
-"&amp;" Madalyalar Savaşçı yıldızı yükseltmeleri için kullanılamaz.
- VIP Mağazası eşyaları düzenlendi")</f>
        <v>- Mevcut VIP deneyimi yeni VIP sistemine göre düzenlenecek.
- Primat Kavgası ödülleri yükseltildi.
- Düzenlenen deneyim tarafsız birimlere yönelik toplu saldırılardan alındı.
- Belirli Çete Araştırmalarını gerçekleştirmek için gerekli süreler azaltıldı.
- Madalyalar Savaşçı yıldızı yükseltmeleri için kullanılamaz.
- VIP Mağazası eşyaları düzenlendi</v>
      </c>
      <c r="M13" s="108" t="str">
        <f>IFERROR(__xludf.DUMMYFUNCTION("""COMPUTED_VALUE"""),"- EXP VIP hiện tại sẽ được điều chỉnh theo hệ thống VIP mới.
- Đã nâng cấp các phần thưởng Linh Trưởng Brawl.
- Đã điều chỉnh EXP nhận từ tập hợp chống lại các đơn vị trung lập.
- Giảm thời gian cần để thực hiện Nghiên Cứu Bang Hội.
- Không thể sử dụng hu"&amp;"y hiệu để nâng cấp sao Chiến Binh.
- Đã điều chỉnh các vật phẩm Cửa Hàng VIP")</f>
        <v>- EXP VIP hiện tại sẽ được điều chỉnh theo hệ thống VIP mới.
- Đã nâng cấp các phần thưởng Linh Trưởng Brawl.
- Đã điều chỉnh EXP nhận từ tập hợp chống lại các đơn vị trung lập.
- Giảm thời gian cần để thực hiện Nghiên Cứu Bang Hội.
- Không thể sử dụng huy hiệu để nâng cấp sao Chiến Binh.
- Đã điều chỉnh các vật phẩm Cửa Hàng VIP</v>
      </c>
      <c r="N13" s="108"/>
      <c r="O13" s="108"/>
      <c r="P13" s="108"/>
      <c r="Q13" s="108"/>
      <c r="R13" s="108"/>
      <c r="S13" s="108"/>
      <c r="T13" s="108"/>
      <c r="U13" s="108"/>
      <c r="V13" s="108"/>
      <c r="W13" s="108"/>
      <c r="X13" s="108"/>
      <c r="Y13" s="108"/>
      <c r="Z13" s="108"/>
    </row>
    <row r="14">
      <c r="A14" s="108" t="str">
        <f>IFERROR(__xludf.DUMMYFUNCTION("""COMPUTED_VALUE"""),"0.30.0")</f>
        <v>0.30.0</v>
      </c>
      <c r="B14" s="108" t="str">
        <f>IFERROR(__xludf.DUMMYFUNCTION("""COMPUTED_VALUE"""),"-火箭皮肤增益调整：使用火箭皮增益由打击手攻击、防御、血量提升3%，调整为：部队所有兵种的攻击提升2%，部队行军速度提升2%。
-军事科技中，兵种研究从上到下显示顺序由从打击手、飙车族、射击手、攻城车，调整为飙车族、打击手、射击手、攻城车
-电子科技中，兵种属性相关研究从左到右显示顺序由打击手、射击手、飙车族，调整为飙车族、打击手、射击手；
-为了配合新版本章节任务上线，删除了部分主线任务、新增了部分主线任务，调整了主线任务出现顺序，整体优化了主线任务的奖励，以更好地匹配前期节奏；
-略微增加了玩家在进行"&amp;"城市传送时的能量消耗，避免玩家在战斗中低成本地进行传送和骚扰；解决了需求消耗能量过多导致玩家无法传送的问题，当玩家满能量时可以进行任意条件传送；
-优化了迈尔瑞克的主动技能，使其更具有攻击性；加强了盖文，科兹摩的技能强度；
-部队容量调整为由主副将同时决定，加强了副将的作用，并且增加了副将战斗时获取怒气的速度；
-将科鲁托皮天赋调整为：领袖、驻防、技能；福斯卡特天赋调整为：领袖、驻防、辅助；罗德里格斯天赋调整为：领袖、攻城、进攻；洛朗天赋调整为：领袖、采集、辅助；美妮天赋调整为：飙车族、狩猎、技能；罗尼·"&amp;"贾天赋调整为：打击手、驻防、技能；强尼天赋调整为：领袖、全能、辅助；同时优化了这些英雄的部分技能和天赋技能，使天赋和技能搭配更加契合，玩法更加丰富。
-调整了地图，添加了边境区域，微调了部分人类遗迹的位置。这可能导致您丢失某些占领的地图单位、修建的帮派建筑、氏族铁轨，或基地被移动。我们会根据造成的损失单独发放补偿，请留意系统邮件。
-版本更新后相关斗士的天赋技能将被重置；")</f>
        <v>-火箭皮肤增益调整：使用火箭皮增益由打击手攻击、防御、血量提升3%，调整为：部队所有兵种的攻击提升2%，部队行军速度提升2%。
-军事科技中，兵种研究从上到下显示顺序由从打击手、飙车族、射击手、攻城车，调整为飙车族、打击手、射击手、攻城车
-电子科技中，兵种属性相关研究从左到右显示顺序由打击手、射击手、飙车族，调整为飙车族、打击手、射击手；
-为了配合新版本章节任务上线，删除了部分主线任务、新增了部分主线任务，调整了主线任务出现顺序，整体优化了主线任务的奖励，以更好地匹配前期节奏；
-略微增加了玩家在进行城市传送时的能量消耗，避免玩家在战斗中低成本地进行传送和骚扰；解决了需求消耗能量过多导致玩家无法传送的问题，当玩家满能量时可以进行任意条件传送；
-优化了迈尔瑞克的主动技能，使其更具有攻击性；加强了盖文，科兹摩的技能强度；
-部队容量调整为由主副将同时决定，加强了副将的作用，并且增加了副将战斗时获取怒气的速度；
-将科鲁托皮天赋调整为：领袖、驻防、技能；福斯卡特天赋调整为：领袖、驻防、辅助；罗德里格斯天赋调整为：领袖、攻城、进攻；洛朗天赋调整为：领袖、采集、辅助；美妮天赋调整为：飙车族、狩猎、技能；罗尼·贾天赋调整为：打击手、驻防、技能；强尼天赋调整为：领袖、全能、辅助；同时优化了这些英雄的部分技能和天赋技能，使天赋和技能搭配更加契合，玩法更加丰富。
-调整了地图，添加了边境区域，微调了部分人类遗迹的位置。这可能导致您丢失某些占领的地图单位、修建的帮派建筑、氏族铁轨，或基地被移动。我们会根据造成的损失单独发放补偿，请留意系统邮件。
-版本更新后相关斗士的天赋技能将被重置；</v>
      </c>
      <c r="C14" s="108" t="str">
        <f>IFERROR(__xludf.DUMMYFUNCTION("""COMPUTED_VALUE"""),"- Rocket Hall skin boosts adjusted: boosts from using the Rocket Hall skins changed from: increasing Hitters’ Attack, Hitter's DEF, and Hitter's Health by 3%, to: increasing Attack of all troop types and troop Marching Speed by 2%.
- In Military Technolog"&amp;"y, the order of troop research, from top to bottom, was changed from Hitters, Pilots, Shooters, Wall Breakers, to Pilots, Hitters, Shooters, Wall Breakers.
- In Electronic Technology, the order of troop attribute-related technologies, from left to right, "&amp;"was changed from Hitters, Shooters, Pilots, to Pilots, Hitters, Shooters.
- To coordinate with the new version of chapter quests, some main quests were deleted while new main quests were added. The order of main quests was adjusted and their rewards were "&amp;"optimized to improve early-stage pacing.
- Slightly increased the Energy required for City teleports to prevent players from teleporting without cost and engaging in harassment battle play; solved the issue of players not being able to teleport due to the"&amp;" required Energy exceeding players’ max Energy, allowing players to teleport freely when their Energy gauge is full.
- Optimized Maverick's active skills to increase his attack power; boosted the skill factors for Genesis and Baby Cosmo.
- Troop Capacity "&amp;"is now determined by both the Master and Deputy Fighter, extending the Deputy Fighter's role; also increased the Rage recovery speed of Deputy Fighters during battle.
- Korutopi's talents changed to Leader, Garrison, Skill; Fuscata's talents changed to Le"&amp;"ader, Garrison, Support; Rodriguez's talents changed to Leader, Conqueror, Attacker; Laurent's talents changed to Leader, Gatherer, Support; T.Ny's talents changed to Pilot, Hunter, Skill; Rony Jaa's talents changed to Hitter, Garrison, Skill; Sergeant Bu"&amp;"zz's talents changed to Leader, Balanced, Support. Also optimized certain skills and talent skills for these fighters so that their talents and skills are better matched.
- Adjusted the map, adding border regions. Made slight adjustments to the location o"&amp;"f certain Ruins. This may have caused you to lose certain occupied map units or Gang buildings, Clan Railway tracks, or to have your City moved. We will provide compensation based on the losses incurred, these will be issued via Mail.
- Related Fighter Ta"&amp;"lent Skills will be reset after the version update;")</f>
        <v>- Rocket Hall skin boosts adjusted: boosts from using the Rocket Hall skins changed from: increasing Hitters’ Attack, Hitter's DEF, and Hitter's Health by 3%, to: increasing Attack of all troop types and troop Marching Speed by 2%.
- In Military Technology, the order of troop research, from top to bottom, was changed from Hitters, Pilots, Shooters, Wall Breakers, to Pilots, Hitters, Shooters, Wall Breakers.
- In Electronic Technology, the order of troop attribute-related technologies, from left to right, was changed from Hitters, Shooters, Pilots, to Pilots, Hitters, Shooters.
- To coordinate with the new version of chapter quests, some main quests were deleted while new main quests were added. The order of main quests was adjusted and their rewards were optimized to improve early-stage pacing.
- Slightly increased the Energy required for City teleports to prevent players from teleporting without cost and engaging in harassment battle play; solved the issue of players not being able to teleport due to the required Energy exceeding players’ max Energy, allowing players to teleport freely when their Energy gauge is full.
- Optimized Maverick's active skills to increase his attack power; boosted the skill factors for Genesis and Baby Cosmo.
- Troop Capacity is now determined by both the Master and Deputy Fighter, extending the Deputy Fighter's role; also increased the Rage recovery speed of Deputy Fighters during battle.
- Korutopi's talents changed to Leader, Garrison, Skill; Fuscata's talents changed to Leader, Garrison, Support; Rodriguez's talents changed to Leader, Conqueror, Attacker; Laurent's talents changed to Leader, Gatherer, Support; T.Ny's talents changed to Pilot, Hunter, Skill; Rony Jaa's talents changed to Hitter, Garrison, Skill; Sergeant Buzz's talents changed to Leader, Balanced, Support. Also optimized certain skills and talent skills for these fighters so that their talents and skills are better matched.
- Adjusted the map, adding border regions. Made slight adjustments to the location of certain Ruins. This may have caused you to lose certain occupied map units or Gang buildings, Clan Railway tracks, or to have your City moved. We will provide compensation based on the losses incurred, these will be issued via Mail.
- Related Fighter Talent Skills will be reset after the version update;</v>
      </c>
      <c r="D14" s="108" t="str">
        <f>IFERROR(__xludf.DUMMYFUNCTION("""COMPUTED_VALUE"""),"- Modification des boosts liés au skin fusée de l'hôtel de ville: l'augmentation de 3% de l'attaque, de la défense et de la santé des bastonneurs est remplacée par l'augmentation de 2% de l'attaque de tous les types d'unités et de la vitesse de déplacemen"&amp;"t des troupes.
- Recherche militaire: l'ordre vertical des troupes est passé de Bastonneurs, Pilotes, Tireurs, Casse-murailles à Pilotes, Bastonneurs, Tireurs, Casse-murailles.
- Recherche électronique: l'ordre horizontal des attributs des troupes est pas"&amp;"sé de Bastonneurs, Tireurs, Pilotes à Pilotes, Bastonneurs, Tireurs.
- Pour correspondre à la nouvelle version des quêtes du chapitre, certaines quêtes principales ont été supprimées et d'autres ajoutées. L'ordre des quêtes principales et les récompenses "&amp;"associées ont été optimisés pour améliorer le rythme des premières phases de jeu.
- L'énergie requise pour la téléportation de la ville a été légèrement augmentée, afin de limiter la téléportation à outrance et les stratégies de guérilla. Le problème de t"&amp;"éléportation impossible, dû au coût en énergie dépassant le maximum du joueur, a été résolu; les joueurs peuvent désormais se téléporter quand leur jauge d'énergie est pleine.
- Optimisation des compétences actives de Maverick pour augmenter sa puissance "&amp;"d'attaque; augmentation des ratios des compétences de Genesis et Bébé Cosmo.
- L'effectif d'une troupe est désormais déterminé par les deux combattants: principal et secondaire, ce qui renforce le rôle de ce dernier. La vitesse de récupération de rage des"&amp;" combattants secondaires a également été augmentée pendant les combats.
- Les talents de Korutopi sont désormais Meneur, Garnison, Compétence. Les talents de Fuscata sont désormais Meneur, Garnison, Soutien. Les talents de Rodriguez sont désormais Meneur,"&amp;" Siège, Attaque. Les talents de Laurent sont désormais Meneur, Collecte, Soutien. Les talents de T.Ny sont désormais Pilote, Chasse, Compétence. Les talents de Rony Jaa sont désormais Bastonneur, Garnison, Compétence. Les talents de Sergent Buzz sont déso"&amp;"rmais Meneur, Global, Soutien. Certains talents et compétences ont également été optimisés pour une meilleure adéquation.
- Ajout des zones frontalières sur la carte et déplacement de certaines ruines. Ces changements peuvent avoir entraîné le déplacement"&amp;" de votre ville ou la perte de certaines unités ou bâtiments de gang occupés et de chemins de fer de clan. Le cas échéant, nous vous enverrons par message des compensations selon les pertes subies.
- Les compétences de talent des combattants concernées se"&amp;"ront réinitialisées suite à la mise à jour.")</f>
        <v>- Modification des boosts liés au skin fusée de l'hôtel de ville: l'augmentation de 3% de l'attaque, de la défense et de la santé des bastonneurs est remplacée par l'augmentation de 2% de l'attaque de tous les types d'unités et de la vitesse de déplacement des troupes.
- Recherche militaire: l'ordre vertical des troupes est passé de Bastonneurs, Pilotes, Tireurs, Casse-murailles à Pilotes, Bastonneurs, Tireurs, Casse-murailles.
- Recherche électronique: l'ordre horizontal des attributs des troupes est passé de Bastonneurs, Tireurs, Pilotes à Pilotes, Bastonneurs, Tireurs.
- Pour correspondre à la nouvelle version des quêtes du chapitre, certaines quêtes principales ont été supprimées et d'autres ajoutées. L'ordre des quêtes principales et les récompenses associées ont été optimisés pour améliorer le rythme des premières phases de jeu.
- L'énergie requise pour la téléportation de la ville a été légèrement augmentée, afin de limiter la téléportation à outrance et les stratégies de guérilla. Le problème de téléportation impossible, dû au coût en énergie dépassant le maximum du joueur, a été résolu; les joueurs peuvent désormais se téléporter quand leur jauge d'énergie est pleine.
- Optimisation des compétences actives de Maverick pour augmenter sa puissance d'attaque; augmentation des ratios des compétences de Genesis et Bébé Cosmo.
- L'effectif d'une troupe est désormais déterminé par les deux combattants: principal et secondaire, ce qui renforce le rôle de ce dernier. La vitesse de récupération de rage des combattants secondaires a également été augmentée pendant les combats.
- Les talents de Korutopi sont désormais Meneur, Garnison, Compétence. Les talents de Fuscata sont désormais Meneur, Garnison, Soutien. Les talents de Rodriguez sont désormais Meneur, Siège, Attaque. Les talents de Laurent sont désormais Meneur, Collecte, Soutien. Les talents de T.Ny sont désormais Pilote, Chasse, Compétence. Les talents de Rony Jaa sont désormais Bastonneur, Garnison, Compétence. Les talents de Sergent Buzz sont désormais Meneur, Global, Soutien. Certains talents et compétences ont également été optimisés pour une meilleure adéquation.
- Ajout des zones frontalières sur la carte et déplacement de certaines ruines. Ces changements peuvent avoir entraîné le déplacement de votre ville ou la perte de certaines unités ou bâtiments de gang occupés et de chemins de fer de clan. Le cas échéant, nous vous enverrons par message des compensations selon les pertes subies.
- Les compétences de talent des combattants concernées seront réinitialisées suite à la mise à jour.</v>
      </c>
      <c r="E14" s="108" t="str">
        <f>IFERROR(__xludf.DUMMYFUNCTION("""COMPUTED_VALUE"""),"- In Militär-Technologie wurde die Reihenfolge der Truppenforschung von oben nach unten von Schläger, Piloten, Schützen, Mauerbrecher, zu Piloten, Schläger, Schützen, Mauerbrecher geändert.
 - In Elektronische-Technologie wurde die Reihenfolge der Truppen"&amp;"attribut-bezogenen Technologien von links nach rechts von Schläger, Schützen, Piloten, zu Piloten, Schläger, Schützen geändert.
 - Zur Abstimmung der neuen Version der Kapitel-Quests wurden einige Haupt-Quests entfernt und andere hinzugefügt. Die Reihenfo"&amp;"lge der Haupt-Quests wurde angepasst und die Belohnungen optimiert, um den Anfangsablauf zu verbessern.
 - Die Energie für Stadt-Teleports wurde leicht erhöht, um zu verhindern, dass Spieler ohne Kosten teleportieren und so andere Spieler behindern können"&amp;"; Ein Problem wurde beseitigt, bei dem Spieler nicht teleportieren konnten, da die benötigte Energie höher war als ihre Maximalenergie. Spieler können frei teleportieren, wenn ihre Energieanzeige voll ist.
 - Aktive Fähigkeiten für Maverick optimiert, um "&amp;"seine Angriffsstärke zu verbessern; Fähigkeitsfaktoren für Genesis und Baby Cosmo gesteigert..
 - Truppenkapazität wird jetzt durch den Meisterkämpfer und den Vertreter bestimmt, um die Rolle des Vertreters auszubauen; Außerdem wurde die Geschwindigkeit d"&amp;"er Zornregeneration von Vertretern im Kampf erhöht.
 - Korutopis Talente geändert auf Anführer, Garnison, Fähigkeiten; Fuscatas Talente geändert auf Anführer, Garnison, Unterstützen; Rodriguezs Talente geändert auf Anführer, Eroberer, Angreifer; Laurents "&amp;"Talente geändert auf Anführer, Sammler, Unterstützen; T.Nys Talente geändert auf Pilot, Jäger, Fähigkeiten; Rony Jaas Talente geändert auf Schläger, Garnison, Fähigkeiten; Sergeant Buzz' Talente geändert auf Anführer, Allmächtig, Unterstützen. Außerdem wu"&amp;"rden bestimmte Fähigkeiten und Talentfähigkeiten für diese Kämpfer optimiert, damit ihre Talente und Fähigkeiten besser ausbalanciert sind.
")</f>
        <v>- In Militär-Technologie wurde die Reihenfolge der Truppenforschung von oben nach unten von Schläger, Piloten, Schützen, Mauerbrecher, zu Piloten, Schläger, Schützen, Mauerbrecher geändert.
 - In Elektronische-Technologie wurde die Reihenfolge der Truppenattribut-bezogenen Technologien von links nach rechts von Schläger, Schützen, Piloten, zu Piloten, Schläger, Schützen geändert.
 - Zur Abstimmung der neuen Version der Kapitel-Quests wurden einige Haupt-Quests entfernt und andere hinzugefügt. Die Reihenfolge der Haupt-Quests wurde angepasst und die Belohnungen optimiert, um den Anfangsablauf zu verbessern.
 - Die Energie für Stadt-Teleports wurde leicht erhöht, um zu verhindern, dass Spieler ohne Kosten teleportieren und so andere Spieler behindern können; Ein Problem wurde beseitigt, bei dem Spieler nicht teleportieren konnten, da die benötigte Energie höher war als ihre Maximalenergie. Spieler können frei teleportieren, wenn ihre Energieanzeige voll ist.
 - Aktive Fähigkeiten für Maverick optimiert, um seine Angriffsstärke zu verbessern; Fähigkeitsfaktoren für Genesis und Baby Cosmo gesteigert..
 - Truppenkapazität wird jetzt durch den Meisterkämpfer und den Vertreter bestimmt, um die Rolle des Vertreters auszubauen; Außerdem wurde die Geschwindigkeit der Zornregeneration von Vertretern im Kampf erhöht.
 - Korutopis Talente geändert auf Anführer, Garnison, Fähigkeiten; Fuscatas Talente geändert auf Anführer, Garnison, Unterstützen; Rodriguezs Talente geändert auf Anführer, Eroberer, Angreifer; Laurents Talente geändert auf Anführer, Sammler, Unterstützen; T.Nys Talente geändert auf Pilot, Jäger, Fähigkeiten; Rony Jaas Talente geändert auf Schläger, Garnison, Fähigkeiten; Sergeant Buzz' Talente geändert auf Anführer, Allmächtig, Unterstützen. Außerdem wurden bestimmte Fähigkeiten und Talentfähigkeiten für diese Kämpfer optimiert, damit ihre Talente und Fähigkeiten besser ausbalanciert sind.
</v>
      </c>
      <c r="F14" s="108" t="str">
        <f>IFERROR(__xludf.DUMMYFUNCTION("""COMPUTED_VALUE"""),"- Na Tecnologia militar, a ordem de pesquisa de tropas, em ordem decrescente, foi alterada de golpeadores, pilotos, atiradores e quebra-muros para pilotos, golpeadores, atiradores e quebra-muros.
 - Na Tecnologia eletrônica, a ordem das tecnologias relaci"&amp;"onadas a atributos de tropas, da esquerda para direita, foi alterada de golpeadores, atiradores e pilotos para pilotos, golpeadores e atiradores.
 - Para se adequar à nova versão das missões de capítulo, algumas missões principais foram removidas e outras"&amp;", adicionadas. A ordem das missões principais foi ajustada e as respectivas recompensas foram otimizadas para melhorar o ritmo inicial do jogo.
 - Pequeno aumento de energia necessária para teletransportar cidades a fim de evitar que jogadores se teletran"&amp;"sportem sem custos, impedindo abusos em batalhas. Resolvido o problema em que jogadores não conseguiam se teletransportar porque a energia necessária excedia a energia máxima deles, o que permitia que jogadores se teletransportassem sem gastos quando o in"&amp;"dicador de energia estivesse cheio.
 - Melhoria nas habilidades ativas de Maverick, a fim de aumentar seu poder de ataque; aumentos nos fatores de habilidade para Gênesis e Bebê Cosmo.
 - Agora a capacidade de tropas é determinada pelo combatente tenente "&amp;"e pelo combatente mestre, o que amplia o papel do combatente tenente. Além disso, foi aumentada a velocidade de recuperação de raiva dos combatentes tenentes durante batalhas.
 - Talentos de Korutopi alterados para Líder, Guarnição e Habilidade. Talentos "&amp;"de Fuscata alterados para Líder, Guarnição e Suporte. Talentos de Rodriguez alterados para Líder, Conquistador e Atacante. Talentos de Laurent alterados para Líder, Coletor e Suporte. Talentos de T.Ny alterados para Piloto, Caçador e Habilidade. Talentos "&amp;"de Rony Jaa alterados para Golpeador, Guarnição e Habilidade. Talentos de Sargento Buzz alterados para Líder, Balanceado e Suporte. Além disso, foram otimizadas algumas habilidades e habilidades talento para tais combatentes para que fiquem melhor combina"&amp;"das.
")</f>
        <v>- Na Tecnologia militar, a ordem de pesquisa de tropas, em ordem decrescente, foi alterada de golpeadores, pilotos, atiradores e quebra-muros para pilotos, golpeadores, atiradores e quebra-muros.
 - Na Tecnologia eletrônica, a ordem das tecnologias relacionadas a atributos de tropas, da esquerda para direita, foi alterada de golpeadores, atiradores e pilotos para pilotos, golpeadores e atiradores.
 - Para se adequar à nova versão das missões de capítulo, algumas missões principais foram removidas e outras, adicionadas. A ordem das missões principais foi ajustada e as respectivas recompensas foram otimizadas para melhorar o ritmo inicial do jogo.
 - Pequeno aumento de energia necessária para teletransportar cidades a fim de evitar que jogadores se teletransportem sem custos, impedindo abusos em batalhas. Resolvido o problema em que jogadores não conseguiam se teletransportar porque a energia necessária excedia a energia máxima deles, o que permitia que jogadores se teletransportassem sem gastos quando o indicador de energia estivesse cheio.
 - Melhoria nas habilidades ativas de Maverick, a fim de aumentar seu poder de ataque; aumentos nos fatores de habilidade para Gênesis e Bebê Cosmo.
 - Agora a capacidade de tropas é determinada pelo combatente tenente e pelo combatente mestre, o que amplia o papel do combatente tenente. Além disso, foi aumentada a velocidade de recuperação de raiva dos combatentes tenentes durante batalhas.
 - Talentos de Korutopi alterados para Líder, Guarnição e Habilidade. Talentos de Fuscata alterados para Líder, Guarnição e Suporte. Talentos de Rodriguez alterados para Líder, Conquistador e Atacante. Talentos de Laurent alterados para Líder, Coletor e Suporte. Talentos de T.Ny alterados para Piloto, Caçador e Habilidade. Talentos de Rony Jaa alterados para Golpeador, Guarnição e Habilidade. Talentos de Sargento Buzz alterados para Líder, Balanceado e Suporte. Além disso, foram otimizadas algumas habilidades e habilidades talento para tais combatentes para que fiquem melhor combinadas.
</v>
      </c>
      <c r="G14" s="108" t="str">
        <f>IFERROR(__xludf.DUMMYFUNCTION("""COMPUTED_VALUE"""),"-火箭皮膚增益調整：使用火箭皮增益由打擊手攻擊、防禦、血量提升3%，調整為：部隊所有兵種的攻擊提升2%，部隊行軍速度提升2%。
-軍事科技中，兵種研究從上到下顯示順序由從打擊手、飆車族、射擊手、攻城車，調整為飆車族、打擊手、射擊手、攻城車
-電子科技中，兵種屬性相關研究從左到右顯示順序由打擊手、射擊手、飆車族，調整為飆車族、打擊手、射擊手；
-為了配合新版本章節任務上線，刪除了部分主線任務、新增了部分主線任務，調整了主線任務出現順序，整體優化了主線任務的獎勵，以更好地匹配前期節奏；
-略微增加了玩家在進行"&amp;"城市傳送時的能量消耗，避免玩家在戰鬥中無成本地進行傳送和騷擾戰鬥；解決了需求消耗能量過多導致玩家無法傳送的問題，當玩家滿能量時可以進行任意條件傳送；
-優化了邁爾瑞克的主動技能，使其更具有攻擊性；加強了蓋文，科茲摩的技能強度；
-部隊容量調整為由主副將同時決定，加強了副將的作用，並且增加了副將戰鬥時獲取怒氣的速度；
-將科魯托皮天賦調整為：領袖、駐防、技能；福斯卡特天賦調整為：領袖、駐防、輔助；羅德里格斯天賦調整為：領袖、攻城、進攻；洛朗天賦調整為：領袖、採集、輔助；美妮天賦調整為：飆車族、狩獵、技能；羅"&amp;"尼·賈天賦調整為：打擊手、駐防、技能；強尼天賦調整為：領袖、全能、輔助；同時優化了這些英雄的部分技能和天賦技能，使天賦和技能搭配更加契合，玩法更加豐富；
-調整了地圖，添加了邊境區域，微調了部分人類遺蹟的位置。這可能導致您丟失某些佔領的地圖單位、修建的幫派建築、氏族鐵軌，或基地被移動。我們會根據造成的損失單獨發放補償，請留意系統郵件。
-版本更新後相關鬥士的天賦技能將被重置；")</f>
        <v>-火箭皮膚增益調整：使用火箭皮增益由打擊手攻擊、防禦、血量提升3%，調整為：部隊所有兵種的攻擊提升2%，部隊行軍速度提升2%。
-軍事科技中，兵種研究從上到下顯示順序由從打擊手、飆車族、射擊手、攻城車，調整為飆車族、打擊手、射擊手、攻城車
-電子科技中，兵種屬性相關研究從左到右顯示順序由打擊手、射擊手、飆車族，調整為飆車族、打擊手、射擊手；
-為了配合新版本章節任務上線，刪除了部分主線任務、新增了部分主線任務，調整了主線任務出現順序，整體優化了主線任務的獎勵，以更好地匹配前期節奏；
-略微增加了玩家在進行城市傳送時的能量消耗，避免玩家在戰鬥中無成本地進行傳送和騷擾戰鬥；解決了需求消耗能量過多導致玩家無法傳送的問題，當玩家滿能量時可以進行任意條件傳送；
-優化了邁爾瑞克的主動技能，使其更具有攻擊性；加強了蓋文，科茲摩的技能強度；
-部隊容量調整為由主副將同時決定，加強了副將的作用，並且增加了副將戰鬥時獲取怒氣的速度；
-將科魯托皮天賦調整為：領袖、駐防、技能；福斯卡特天賦調整為：領袖、駐防、輔助；羅德里格斯天賦調整為：領袖、攻城、進攻；洛朗天賦調整為：領袖、採集、輔助；美妮天賦調整為：飆車族、狩獵、技能；羅尼·賈天賦調整為：打擊手、駐防、技能；強尼天賦調整為：領袖、全能、輔助；同時優化了這些英雄的部分技能和天賦技能，使天賦和技能搭配更加契合，玩法更加豐富；
-調整了地圖，添加了邊境區域，微調了部分人類遺蹟的位置。這可能導致您丟失某些佔領的地圖單位、修建的幫派建築、氏族鐵軌，或基地被移動。我們會根據造成的損失單獨發放補償，請留意系統郵件。
-版本更新後相關鬥士的天賦技能將被重置；</v>
      </c>
      <c r="H14" s="108" t="str">
        <f>IFERROR(__xludf.DUMMYFUNCTION("""COMPUTED_VALUE"""),"- Dalam Teknologi Militer, urutan penelitian pasukan, dari atas ke bawah, diubah dari Pemukul, Pilot, Penembak, Pembobol Tembok, menjadi Pilot, Pemukul, Penembak, Pembobol Tembok.
 - Dalam Teknologi Elektronik, urutan teknologi terkait atribut pasukan, da"&amp;"ri kiri ke kanan, diubah dari Pemukul, Penembak, Pilot, menjadi Pilot, Pemukul, Penembak.
 - Untuk berkoordinasi dengan misi babak versi baru, beberapa misi utama dihapus sementara misi utama baru ditambahkan. Urutan misi utama disesuaikan dan hadiahnya d"&amp;"ioptimalkan untuk meningkatkan kecepatan tahap awal.
 - Sedikit meningkatkan Energi yang diperlukan untuk teleportasi Kota agar dapat mencegah pemain berteleportasi tanpa biaya dan terlibat dalam pelecehan permainan pertempuran; mengatasi masalah pemain y"&amp;"ang tidak bisa berteleportasi karena Energi yang dibutuhkan melebihi Energi maksimal pemain, memungkinkan pemain untuk berteleportasi dengan bebas saat ukuran Energinya penuh.
 - Mengoptimalkan keahlian aktif Maverick untuk meningkatkan kekuatan serangann"&amp;"ya; meningkatkan faktor keahlian untuk Genesis dan Baby Cosmo.
 - Kapasitas Pasukan sekarang ditentukan oleh Master dan Deputi Pejuang, memperluas peran Deputi Pejuang; juga meningkatkan kecepatan pemulihan Amukan dari Deputi Pejuang selama pertempuran.
 "&amp;"- Bakat Korutopi berubah menjadi Pemimipin, Garnisun, Keahlian; Bakat Fuscata berubah menjadi Pemimipin, Garnisun, Pendukung; Bakat Rodriguez berubah menjadi Pemimipin, Penakluk, Penyerang; Bakat Laurent berubah menjadi Pemimipin, Pengumpul, Pendukung; Ba"&amp;"kat T.Ny berubah menjadi Pilot, Pemburu, Keahlian; Bakat Rony Jaa berubah menjadi Pemukul, Ganisun, Keahlian; Bakat Sergeant Buzz berubah menjadi Pemimipin, Seimbang, Pendukung. Juga mengoptimalkan keahlian dan keahlian bakat tertentu untuk para pejuang i"&amp;"ni agar bakat dan keahliannya lebih sesuai.
")</f>
        <v>- Dalam Teknologi Militer, urutan penelitian pasukan, dari atas ke bawah, diubah dari Pemukul, Pilot, Penembak, Pembobol Tembok, menjadi Pilot, Pemukul, Penembak, Pembobol Tembok.
 - Dalam Teknologi Elektronik, urutan teknologi terkait atribut pasukan, dari kiri ke kanan, diubah dari Pemukul, Penembak, Pilot, menjadi Pilot, Pemukul, Penembak.
 - Untuk berkoordinasi dengan misi babak versi baru, beberapa misi utama dihapus sementara misi utama baru ditambahkan. Urutan misi utama disesuaikan dan hadiahnya dioptimalkan untuk meningkatkan kecepatan tahap awal.
 - Sedikit meningkatkan Energi yang diperlukan untuk teleportasi Kota agar dapat mencegah pemain berteleportasi tanpa biaya dan terlibat dalam pelecehan permainan pertempuran; mengatasi masalah pemain yang tidak bisa berteleportasi karena Energi yang dibutuhkan melebihi Energi maksimal pemain, memungkinkan pemain untuk berteleportasi dengan bebas saat ukuran Energinya penuh.
 - Mengoptimalkan keahlian aktif Maverick untuk meningkatkan kekuatan serangannya; meningkatkan faktor keahlian untuk Genesis dan Baby Cosmo.
 - Kapasitas Pasukan sekarang ditentukan oleh Master dan Deputi Pejuang, memperluas peran Deputi Pejuang; juga meningkatkan kecepatan pemulihan Amukan dari Deputi Pejuang selama pertempuran.
 - Bakat Korutopi berubah menjadi Pemimipin, Garnisun, Keahlian; Bakat Fuscata berubah menjadi Pemimipin, Garnisun, Pendukung; Bakat Rodriguez berubah menjadi Pemimipin, Penakluk, Penyerang; Bakat Laurent berubah menjadi Pemimipin, Pengumpul, Pendukung; Bakat T.Ny berubah menjadi Pilot, Pemburu, Keahlian; Bakat Rony Jaa berubah menjadi Pemukul, Ganisun, Keahlian; Bakat Sergeant Buzz berubah menjadi Pemimipin, Seimbang, Pendukung. Juga mengoptimalkan keahlian dan keahlian bakat tertentu untuk para pejuang ini agar bakat dan keahliannya lebih sesuai.
</v>
      </c>
      <c r="I14" s="108" t="str">
        <f>IFERROR(__xludf.DUMMYFUNCTION("""COMPUTED_VALUE"""),"- ในเทคโนโลยีทางทหาร ลำดับการวิจัยกองทหารจากบนลงล่างจะเปลี่ยนจากฮิตเตอร์, นักบิน, ชูตเตอร์, วอลล์เบรกเกอร์ เป็นนักบิน, ฮิตเตอร์, ชูตเตอร์, วอลล์เบรกเกอร์
 - ในเทคโนโลยีอิเล็กทรอนิกส์ ลำดับของเทคโนโลยีที่เกี่ยวข้องกับคุณวมบัติของกองทหารจากซ้ายไปขวาจะเปลี่ย"&amp;"นจากฮิตเตอร์, ชูตเตอร์, นักบิน เป็นนักบิน, ฮิตเตอร์, ชูตเตอร์
 - เพื่อให้เข้ากับเควสต์ประจำบทเวอร์ชันใหม่ เควสต์หลักบางเควสต์จะถูกลบออกไป โดยเพิ่มเควสต์หลักใหม่ ปรับลำดับเควสต์หลัก รวมถึงปรับรางวัลของเควสต์ให้เหมาะสม เพื่อปรับปรุงจังหวะการเล่นในช่วงเริ่มต"&amp;"้น
 - เพิ่มพลังงานที่จำเป็นสำหรับการเทเลพอร์ตเมืองเล็กน้อย เพื่อป้องกันไม่ให้ผู้เล่นเทเลพอร์ตได้โดยไม่ต้องเสียสิ่งใด และสามารถเข้าร่วมในการต่อสู้เพื่อก่อกวนได้, แก้ไขปัญหาที่ผู้เล่นไม่สามารถเทเลพอร์ตได้เนื่องจากพลังงานที่ต้องใช้เกินพลังงานสูงสุดของผู้เล่น"&amp;" ทำให้ผู้เล่นสามารถเทเลพอร์ตได้อย่างอิสระเมื่อแถบพลังงานเต็ม
 - ปรับปรุงทักษะทางตรงของมาเวอริกเพื่อเพิ่มพลังโจมตี เพิ่มปัจจัยทักษะของเจเนซิสและเบบี้คอสโม่
 - ในขณะนี้ ขนาดของกองทหารจะกำหนดจากทั้งนักสู้ตัวหลักและนักสู้ตัวรอง เพิ่มบทบาทให้กับรองนักสู้ รวมถึ"&amp;"งเพิ่มความเร็วในการฟื้นฟูความโกรธของรองนักสู้ระหว่างการต่อสู้
 - ความสามารถของโครุโทปิจะเปลี่ยนเป็นผู้นำ, การรักษาการณ์, ทักษะ; ความสามารถของฟูซาตาจะเปลี่ยนเป็นผู้นำ, การรักษาการณ์, การสนับสนุน; ความสามารถของโรดริเกซจะเปลี่ยนเป็นผู้นำ, ผู้ยึดครอง. นักโจมต"&amp;"ี; ความสามารถของโลรองต์จะเปลี่ยนเป็นผู้นำ, นักเก็บรวบรวม, การสนับสนุน; ความสามารถของทีนี่จะเปลี่ยนเป็นนักบิน, นักล่า, ทักษะ; ความสามารถของโรนี่ จาจะเปลี่ยนเป็นฮิตเตอร์, การรักษาการณ์, ทักษะ; ความสามารถของจ่า บัซซ์จะเปลี่ยนเป็นผู้นำ, สมดุล, การสนับสนุน รวม"&amp;"ถึงได้ปรับปรุงทักษะและความสามารถบางอย่างของนักสู้เหล่านี้เพื่อให้ทักษะและความสามารถของพวกเขาเข้าคู่กันได้ดีขึ้น
")</f>
        <v>- ในเทคโนโลยีทางทหาร ลำดับการวิจัยกองทหารจากบนลงล่างจะเปลี่ยนจากฮิตเตอร์, นักบิน, ชูตเตอร์, วอลล์เบรกเกอร์ เป็นนักบิน, ฮิตเตอร์, ชูตเตอร์, วอลล์เบรกเกอร์
 - ในเทคโนโลยีอิเล็กทรอนิกส์ ลำดับของเทคโนโลยีที่เกี่ยวข้องกับคุณวมบัติของกองทหารจากซ้ายไปขวาจะเปลี่ยนจากฮิตเตอร์, ชูตเตอร์, นักบิน เป็นนักบิน, ฮิตเตอร์, ชูตเตอร์
 - เพื่อให้เข้ากับเควสต์ประจำบทเวอร์ชันใหม่ เควสต์หลักบางเควสต์จะถูกลบออกไป โดยเพิ่มเควสต์หลักใหม่ ปรับลำดับเควสต์หลัก รวมถึงปรับรางวัลของเควสต์ให้เหมาะสม เพื่อปรับปรุงจังหวะการเล่นในช่วงเริ่มต้น
 - เพิ่มพลังงานที่จำเป็นสำหรับการเทเลพอร์ตเมืองเล็กน้อย เพื่อป้องกันไม่ให้ผู้เล่นเทเลพอร์ตได้โดยไม่ต้องเสียสิ่งใด และสามารถเข้าร่วมในการต่อสู้เพื่อก่อกวนได้, แก้ไขปัญหาที่ผู้เล่นไม่สามารถเทเลพอร์ตได้เนื่องจากพลังงานที่ต้องใช้เกินพลังงานสูงสุดของผู้เล่น ทำให้ผู้เล่นสามารถเทเลพอร์ตได้อย่างอิสระเมื่อแถบพลังงานเต็ม
 - ปรับปรุงทักษะทางตรงของมาเวอริกเพื่อเพิ่มพลังโจมตี เพิ่มปัจจัยทักษะของเจเนซิสและเบบี้คอสโม่
 - ในขณะนี้ ขนาดของกองทหารจะกำหนดจากทั้งนักสู้ตัวหลักและนักสู้ตัวรอง เพิ่มบทบาทให้กับรองนักสู้ รวมถึงเพิ่มความเร็วในการฟื้นฟูความโกรธของรองนักสู้ระหว่างการต่อสู้
 - ความสามารถของโครุโทปิจะเปลี่ยนเป็นผู้นำ, การรักษาการณ์, ทักษะ; ความสามารถของฟูซาตาจะเปลี่ยนเป็นผู้นำ, การรักษาการณ์, การสนับสนุน; ความสามารถของโรดริเกซจะเปลี่ยนเป็นผู้นำ, ผู้ยึดครอง. นักโจมตี; ความสามารถของโลรองต์จะเปลี่ยนเป็นผู้นำ, นักเก็บรวบรวม, การสนับสนุน; ความสามารถของทีนี่จะเปลี่ยนเป็นนักบิน, นักล่า, ทักษะ; ความสามารถของโรนี่ จาจะเปลี่ยนเป็นฮิตเตอร์, การรักษาการณ์, ทักษะ; ความสามารถของจ่า บัซซ์จะเปลี่ยนเป็นผู้นำ, สมดุล, การสนับสนุน รวมถึงได้ปรับปรุงทักษะและความสามารถบางอย่างของนักสู้เหล่านี้เพื่อให้ทักษะและความสามารถของพวกเขาเข้าคู่กันได้ดีขึ้น
</v>
      </c>
      <c r="J14" s="108" t="str">
        <f>IFERROR(__xludf.DUMMYFUNCTION("""COMPUTED_VALUE"""),"- En Tecnología Militar, el orden de investigación de tropas, desde arriba hasta abajo, fue cambiado de Golpeadores, Pilotos, Tiradores, Rompe Paredes; a Pilotos, Golpeadores, Tiradores, Rompe Paredes.
 - En Tecnología Electrónica, el orden de tecnologías"&amp;" de las tropas relacionadas con sus atributos, de izquierda a derecha, fue cambiada de Golpeadores, Tiradores, Pilotos; a Pilotos, Golpeadores, Tiradores.
 - Para coordinar con la nueva versión de misiones de capítulo, algunas de las misiones principales "&amp;"fueron borradas, al mismo tiempo, nuevas misiones principales fueron agregadas. El orden de las misiones principales fue ajustado y sus recompensas fueron optimizadas para mejorar el ritmo de la etapa inicial. 
 - Se aumento ligeramente la Energía requeri"&amp;"da para los teletransportes de Ciudad para impedir que los jugadores se teletransporten sin costo y realicen juegos de batallas de hostigamiento; se resolvió un problema en que los jugadores no se podían teletransportar debido a que la Energía requerida e"&amp;"xcedía el máximo de Energía de los jugadores, permitiendo que los jugadores se teletransportaran libremente cuando su medidor de Energía estaba lleno. 
 - Se optimizaron las habilidades activas de Maverick para aumentar el poder de ataque; se potenciaron "&amp;"los factores de habilidad para Génesis y el Bebé Cosmo. 
 - La Capacidad de Tropas ahora está determinada por ambos, el Luchador Principal y el Secundario, lo que extiende el papel del Luchador Secundario; se incrementó además la velocidad de recuperación"&amp;" de Furia de los Luchadores Secundarios durante la batalla. 
 - Los talentos de Korutopi se cambiaron a Líder, Guarnición, Habilidad; los talentos de Fuscata cambiaron a Líder, Guarnición, Soporte; los talentos de Rodríguez cambiaron a Líder, Conquistador"&amp;", Atacante; los Talentos de Laurent's cambiaron a Líder Recolector, Soporte; los talentos de T.Ny's cambiaron a Piloto, Cazador, Habilidad; los talentos de Rony Jaa's cambiaron a Golpeador, Guarnición Habilidad; los talentos del Sargento Buzz cambiaron a "&amp;"Líder, Balanceo, Soporte. También se optimizaron algunas habilidades y habilidades de talento para estos luchadores de manera que sus habilidades y talentos estén mejor emparejados.
")</f>
        <v>- En Tecnología Militar, el orden de investigación de tropas, desde arriba hasta abajo, fue cambiado de Golpeadores, Pilotos, Tiradores, Rompe Paredes; a Pilotos, Golpeadores, Tiradores, Rompe Paredes.
 - En Tecnología Electrónica, el orden de tecnologías de las tropas relacionadas con sus atributos, de izquierda a derecha, fue cambiada de Golpeadores, Tiradores, Pilotos; a Pilotos, Golpeadores, Tiradores.
 - Para coordinar con la nueva versión de misiones de capítulo, algunas de las misiones principales fueron borradas, al mismo tiempo, nuevas misiones principales fueron agregadas. El orden de las misiones principales fue ajustado y sus recompensas fueron optimizadas para mejorar el ritmo de la etapa inicial. 
 - Se aumento ligeramente la Energía requerida para los teletransportes de Ciudad para impedir que los jugadores se teletransporten sin costo y realicen juegos de batallas de hostigamiento; se resolvió un problema en que los jugadores no se podían teletransportar debido a que la Energía requerida excedía el máximo de Energía de los jugadores, permitiendo que los jugadores se teletransportaran libremente cuando su medidor de Energía estaba lleno. 
 - Se optimizaron las habilidades activas de Maverick para aumentar el poder de ataque; se potenciaron los factores de habilidad para Génesis y el Bebé Cosmo. 
 - La Capacidad de Tropas ahora está determinada por ambos, el Luchador Principal y el Secundario, lo que extiende el papel del Luchador Secundario; se incrementó además la velocidad de recuperación de Furia de los Luchadores Secundarios durante la batalla. 
 - Los talentos de Korutopi se cambiaron a Líder, Guarnición, Habilidad; los talentos de Fuscata cambiaron a Líder, Guarnición, Soporte; los talentos de Rodríguez cambiaron a Líder, Conquistador, Atacante; los Talentos de Laurent's cambiaron a Líder Recolector, Soporte; los talentos de T.Ny's cambiaron a Piloto, Cazador, Habilidad; los talentos de Rony Jaa's cambiaron a Golpeador, Guarnición Habilidad; los talentos del Sargento Buzz cambiaron a Líder, Balanceo, Soporte. También se optimizaron algunas habilidades y habilidades de talento para estos luchadores de manera que sus habilidades y talentos estén mejor emparejados.
</v>
      </c>
      <c r="K14" s="108" t="str">
        <f>IFERROR(__xludf.DUMMYFUNCTION("""COMPUTED_VALUE"""),"- Скорректировано усиление облика «Ракетный город»: теперь вместо повышения атаки громил, защиты громил и здоровья громил на 3% оно увеличивает атаку всех типов войск и скорость марша войск на 2%.
- В военных технологиях изменен порядок исследований войск"&amp;" (сверху вниз): с «громилы, гонщики, стрелки, стеноломы» на «гонщики, громилы, стрелки, стеноломы».
- В электронных технологиях изменен порядок исследований технологий, относящихся к показателям войск (слева направо): с «громилы, стрелки, гонщики» на «гон"&amp;"щики, громилы, стрелки».
- Для координации с новой версией заданий глав некоторые основные задания были удалены и добавлены новые. Порядок основных заданий скорректирован, а награды оптимизированы, чтобы повысить темп игры на ранней стадии.
- Немного увел"&amp;"ичена энергия, необходимая для телепортации города, чтобы игроки не могли телепортироваться без затрат и постоянно нападать на других. Решена проблема, из-за которой игроки не могли телепортироваться, когда требуемая энергия превышала их максимальный запа"&amp;"с. Теперь игрок в любом случае сможет телепортироваться, если его шкала энергии заполнена.
- Оптимизированы активные навыки Мэверика, чтобы увеличить его силу атаки; также увеличены показатели навыков для Генезис и Малыша Космо. 
- На максимальную численн"&amp;"ость войск теперь влияет и основной герой, и его помощник, что расширяет роль помощника. Кроме того, у помощника героя увеличена скорость восстановления ярости в бою.
- Таланты Корутопи изменены на «Лидер, гарнизон, навыки»; таланты Фускаты изменены на «Л"&amp;"идер, гарнизон, поддержка»; таланты Родригеса изменены на «Лидер, захватчик, воитель»; таланты Лорана изменены на «Лидер, сборщик, поддержка»; таланты К.Рохи изменены на «Гонщик, охотник, навыки»; таланты Рони Джаа изменены на «Громила, гарнизон, навыки»;"&amp;" таланты сержанта Базза изменены на «Лидер, баланс, поддержка». Также оптимизирован ряд навыков и талантов для этих героев, чтобы их таланты и навыки лучше сочетались.
- Скорректирована карта, добавлены приграничные регионы. Внесены небольшие изменения в "&amp;"расположение некоторых руин. Это может привести к тому, что вы потеряете какие-либо оккупированные постройки на карте или постройки банды, железнодорожные пути клана, или к тому, что ваш город переместится. В зависимости от ваших потерь мы предоставим ком"&amp;"пенсацию, которая будет выслана по почте.
- Соответствующие навыки талантов героев будут сброшены после обновления версии.")</f>
        <v>- Скорректировано усиление облика «Ракетный город»: теперь вместо повышения атаки громил, защиты громил и здоровья громил на 3% оно увеличивает атаку всех типов войск и скорость марша войск на 2%.
- В военных технологиях изменен порядок исследований войск (сверху вниз): с «громилы, гонщики, стрелки, стеноломы» на «гонщики, громилы, стрелки, стеноломы».
- В электронных технологиях изменен порядок исследований технологий, относящихся к показателям войск (слева направо): с «громилы, стрелки, гонщики» на «гонщики, громилы, стрелки».
- Для координации с новой версией заданий глав некоторые основные задания были удалены и добавлены новые. Порядок основных заданий скорректирован, а награды оптимизированы, чтобы повысить темп игры на ранней стадии.
- Немного увеличена энергия, необходимая для телепортации города, чтобы игроки не могли телепортироваться без затрат и постоянно нападать на других. Решена проблема, из-за которой игроки не могли телепортироваться, когда требуемая энергия превышала их максимальный запас. Теперь игрок в любом случае сможет телепортироваться, если его шкала энергии заполнена.
- Оптимизированы активные навыки Мэверика, чтобы увеличить его силу атаки; также увеличены показатели навыков для Генезис и Малыша Космо. 
- На максимальную численность войск теперь влияет и основной герой, и его помощник, что расширяет роль помощника. Кроме того, у помощника героя увеличена скорость восстановления ярости в бою.
- Таланты Корутопи изменены на «Лидер, гарнизон, навыки»; таланты Фускаты изменены на «Лидер, гарнизон, поддержка»; таланты Родригеса изменены на «Лидер, захватчик, воитель»; таланты Лорана изменены на «Лидер, сборщик, поддержка»; таланты К.Рохи изменены на «Гонщик, охотник, навыки»; таланты Рони Джаа изменены на «Громила, гарнизон, навыки»; таланты сержанта Базза изменены на «Лидер, баланс, поддержка». Также оптимизирован ряд навыков и талантов для этих героев, чтобы их таланты и навыки лучше сочетались.
- Скорректирована карта, добавлены приграничные регионы. Внесены небольшие изменения в расположение некоторых руин. Это может привести к тому, что вы потеряете какие-либо оккупированные постройки на карте или постройки банды, железнодорожные пути клана, или к тому, что ваш город переместится. В зависимости от ваших потерь мы предоставим компенсацию, которая будет выслана по почте.
- Соответствующие навыки талантов героев будут сброшены после обновления версии.</v>
      </c>
      <c r="L14" s="108" t="str">
        <f>IFERROR(__xludf.DUMMYFUNCTION("""COMPUTED_VALUE"""),"- Askerî Teknolojide, birlik araştırmasının yukarıdan aşağıya sırası Vurucular, Pilotlar, Nişancılar, Duvar Kırıcılardan; Pilotlar, Vurucular, Nişancılar, Duvar Kırıcılar olarak değiştirildi.
 - Elektronik Teknolojide, birlik özellikleri ile ilgili teknol"&amp;"ojilerin sırası, soldan sağa Vurucular, Nişancılar, Pilotlardan; Pilotlar, Vurucular, Nişancılar olarak değiştirildi.
 - Bölüm maceralarının yeni versiyonuyla koordine olması için bazı ana maceralar silinirken yeni ana maceralar eklendi. Ana maceraların s"&amp;"ırası düzenlendi ve ödülleri, erken aşamadaki ilerleme hızını geliştirmek için optimize edildi.
 - Oyuncuların ücretsiz olarak ışınlanmasını ve taciz savaş oyununa katılmasını önlemek için Şehir ışınlanmaları için gereken Enerji biraz artırıldı; Gerekli E"&amp;"nerjinin oyuncuların maksimum Enerjisini aşması nedeniyle oyuncuların ışınlanamaması sorunu çözüldü ve oyuncuların Enerji Ayarı dolduğunda özgürce ışınlanmalarına izin verildi.
 - Saldırı gücünü artırmak için Maverick’in aktif becerileri optimize edildi; "&amp;"Genesis ve Bebek Cosmo için beceri faktörleri artırıldı.
 - Birlik Kapasitesi artık hem Usta hem de Yardımcı Savaşçı tarafından belirleniyor ve Yardımcı Savaşçının rolünü genişletiyor; ayrıca savaş sırasında Yardımcı Savaşçıların Öfke iyileşme hızı da art"&amp;"ırıldı.
 - Korutopi’nin yetenekleri Lider, Garnizon, Beceri olarak değiştirildi; Fuscata’nın yetenekleri Lider, Garnizon, Destek olarak değiştirildi; Rodriguez’in yetenekleri Lider, Fatih, Saldırgan olarak değiştirildi; Laurent’in yetenekleri Lider, Topla"&amp;"yıcı, Destek olarak değiştirildi; T.Ny’ın yetenekleri Pilot, Avcı, Beceri olarak değiştirildi; Rony Jaa’nın yetenekleri Vurucu, Garnizon, Beceri olarak değiştirildi; Çavuş Buzz’ın yetenekleri Lider, Dengeli, Destek olarak değiştirildi. Ayrıca bu savaşçıla"&amp;"rın belirli becerileri ve yetenekleri optimize edilerek, yetenek ve becerilerinin daha iyi eşleşmesi sağlandı.
")</f>
        <v>- Askerî Teknolojide, birlik araştırmasının yukarıdan aşağıya sırası Vurucular, Pilotlar, Nişancılar, Duvar Kırıcılardan; Pilotlar, Vurucular, Nişancılar, Duvar Kırıcılar olarak değiştirildi.
 - Elektronik Teknolojide, birlik özellikleri ile ilgili teknolojilerin sırası, soldan sağa Vurucular, Nişancılar, Pilotlardan; Pilotlar, Vurucular, Nişancılar olarak değiştirildi.
 - Bölüm maceralarının yeni versiyonuyla koordine olması için bazı ana maceralar silinirken yeni ana maceralar eklendi. Ana maceraların sırası düzenlendi ve ödülleri, erken aşamadaki ilerleme hızını geliştirmek için optimize edildi.
 - Oyuncuların ücretsiz olarak ışınlanmasını ve taciz savaş oyununa katılmasını önlemek için Şehir ışınlanmaları için gereken Enerji biraz artırıldı; Gerekli Enerjinin oyuncuların maksimum Enerjisini aşması nedeniyle oyuncuların ışınlanamaması sorunu çözüldü ve oyuncuların Enerji Ayarı dolduğunda özgürce ışınlanmalarına izin verildi.
 - Saldırı gücünü artırmak için Maverick’in aktif becerileri optimize edildi; Genesis ve Bebek Cosmo için beceri faktörleri artırıldı.
 - Birlik Kapasitesi artık hem Usta hem de Yardımcı Savaşçı tarafından belirleniyor ve Yardımcı Savaşçının rolünü genişletiyor; ayrıca savaş sırasında Yardımcı Savaşçıların Öfke iyileşme hızı da artırıldı.
 - Korutopi’nin yetenekleri Lider, Garnizon, Beceri olarak değiştirildi; Fuscata’nın yetenekleri Lider, Garnizon, Destek olarak değiştirildi; Rodriguez’in yetenekleri Lider, Fatih, Saldırgan olarak değiştirildi; Laurent’in yetenekleri Lider, Toplayıcı, Destek olarak değiştirildi; T.Ny’ın yetenekleri Pilot, Avcı, Beceri olarak değiştirildi; Rony Jaa’nın yetenekleri Vurucu, Garnizon, Beceri olarak değiştirildi; Çavuş Buzz’ın yetenekleri Lider, Dengeli, Destek olarak değiştirildi. Ayrıca bu savaşçıların belirli becerileri ve yetenekleri optimize edilerek, yetenek ve becerilerinin daha iyi eşleşmesi sağlandı.
</v>
      </c>
      <c r="M14" s="108" t="str">
        <f>IFERROR(__xludf.DUMMYFUNCTION("""COMPUTED_VALUE"""),"- Trong Công Nghệ Quân Sự, thứ tự nghiên cứu binh lính, từ trên xuống dưới, được thay đổi từ Lính Tấn Công, Phi Công, Xạ Thủ, Lính Phá Thành sang thành Phi Công, Lính Tấn Công, Xạ Thủ, Lính Phá Thành.
 - Trong Công Nghệ Điện Tử, thứ tự công nghệ liên quan"&amp;" đến thuộc tính binh lính, từ trái sang phải, được thay đổi từ Lính Tấn Công, Xạ Thủ, Phi Công sang thành Phi Công, Lính Tấn Công, Xạ Thủ.
 - Để tương thích với phiên bản nhiệm vụ chương mới, một số nhiệm vụ chính đã bị xóa và thêm vào một số nhiệm vụ chí"&amp;"nh mới. Thứ tự các nhiệm vụ chính đã được điều chỉnh và phần thưởng đã được tối ưu hóa để cải thiện nhịp độ ở giai đoạn đầu.
 - Đã tăng Năng Lượng cần để dịch chuyển Thành Phố lên một chút để ngăn cản việc người chơi dịch chuyển thành phố mà không tốn phí"&amp;" và tham gia quấy rối; đã giải quyết vấn đề người chơi không thể dịch chuyển vì Năng Lượng cần có vượt quá Năng Lượng tối đa của người chơi, cho phép người chơi dịch chuyển tự do khi thanh Năng Lượng đầy.
 - Đã tối ưu kỹ năng chủ động của Maverick để tăng"&amp;" chiến lực tấn công của anh ấy; tăng cường các hệ số kỹ năng cho Genesis và Bé Cosmo.
 - Bây giờ sức chứa binh lính được xác định bởi cả Chiến Binh Chỉ Huy và Chiến Binh Chỉ Huy Phó, mở rộng vai trò của Chiến Binh Chỉ Huy Phó; ngoài ra cũng tăng tốc độ hồ"&amp;"i Nộ Khí của Chiến Binh Chỉ Huy Phó trong trận chiến.
 - Tài năng của Korutopi chuyển thành Thủ Lĩnh, Đóng Quân, Kỹ Năng; Tài năng của Fuscata chuyển thành Thủ Lĩnh, Đóng Quân, Hỗ Trợ; Tài năng của Rodriguez chuyển thành Thủ Lĩnh, Kẻ Chinh Phục, Kẻ Tấn Cô"&amp;"ng; Tài năng của Laurent chuyển thành Thủ Lĩnh, Người Thu Thập, Hỗ Trợ; Tài năng của T.Ny chuyển thành Phi Công, Thợ Săn, Kỹ Năng; Tài năng của Rony Jaa chuyển thành Lính Tấn Công, Đóng Quân, Kỹ Năng; Tài năng của Sergeant Buzz chuyển thành Thủ Lĩnh, Cân "&amp;"Bằng, Hỗ Trợ. Đồng thời tối ưu hóa một số kỹ năng và tài năng nhất định cho những chiến binh đó để các tài năng và kỹ năng của họ phù hợp hơn.
")</f>
        <v>- Trong Công Nghệ Quân Sự, thứ tự nghiên cứu binh lính, từ trên xuống dưới, được thay đổi từ Lính Tấn Công, Phi Công, Xạ Thủ, Lính Phá Thành sang thành Phi Công, Lính Tấn Công, Xạ Thủ, Lính Phá Thành.
 - Trong Công Nghệ Điện Tử, thứ tự công nghệ liên quan đến thuộc tính binh lính, từ trái sang phải, được thay đổi từ Lính Tấn Công, Xạ Thủ, Phi Công sang thành Phi Công, Lính Tấn Công, Xạ Thủ.
 - Để tương thích với phiên bản nhiệm vụ chương mới, một số nhiệm vụ chính đã bị xóa và thêm vào một số nhiệm vụ chính mới. Thứ tự các nhiệm vụ chính đã được điều chỉnh và phần thưởng đã được tối ưu hóa để cải thiện nhịp độ ở giai đoạn đầu.
 - Đã tăng Năng Lượng cần để dịch chuyển Thành Phố lên một chút để ngăn cản việc người chơi dịch chuyển thành phố mà không tốn phí và tham gia quấy rối; đã giải quyết vấn đề người chơi không thể dịch chuyển vì Năng Lượng cần có vượt quá Năng Lượng tối đa của người chơi, cho phép người chơi dịch chuyển tự do khi thanh Năng Lượng đầy.
 - Đã tối ưu kỹ năng chủ động của Maverick để tăng chiến lực tấn công của anh ấy; tăng cường các hệ số kỹ năng cho Genesis và Bé Cosmo.
 - Bây giờ sức chứa binh lính được xác định bởi cả Chiến Binh Chỉ Huy và Chiến Binh Chỉ Huy Phó, mở rộng vai trò của Chiến Binh Chỉ Huy Phó; ngoài ra cũng tăng tốc độ hồi Nộ Khí của Chiến Binh Chỉ Huy Phó trong trận chiến.
 - Tài năng của Korutopi chuyển thành Thủ Lĩnh, Đóng Quân, Kỹ Năng; Tài năng của Fuscata chuyển thành Thủ Lĩnh, Đóng Quân, Hỗ Trợ; Tài năng của Rodriguez chuyển thành Thủ Lĩnh, Kẻ Chinh Phục, Kẻ Tấn Công; Tài năng của Laurent chuyển thành Thủ Lĩnh, Người Thu Thập, Hỗ Trợ; Tài năng của T.Ny chuyển thành Phi Công, Thợ Săn, Kỹ Năng; Tài năng của Rony Jaa chuyển thành Lính Tấn Công, Đóng Quân, Kỹ Năng; Tài năng của Sergeant Buzz chuyển thành Thủ Lĩnh, Cân Bằng, Hỗ Trợ. Đồng thời tối ưu hóa một số kỹ năng và tài năng nhất định cho những chiến binh đó để các tài năng và kỹ năng của họ phù hợp hơn.
</v>
      </c>
      <c r="N14" s="108"/>
      <c r="O14" s="108"/>
      <c r="P14" s="108"/>
      <c r="Q14" s="108"/>
      <c r="R14" s="108"/>
      <c r="S14" s="108"/>
      <c r="T14" s="108"/>
      <c r="U14" s="108"/>
      <c r="V14" s="108"/>
      <c r="W14" s="108"/>
      <c r="X14" s="108"/>
      <c r="Y14" s="108"/>
      <c r="Z14" s="108"/>
    </row>
    <row r="15">
      <c r="A15" s="108" t="str">
        <f>IFERROR(__xludf.DUMMYFUNCTION("""COMPUTED_VALUE"""),"0.31.0")</f>
        <v>0.31.0</v>
      </c>
      <c r="B15" s="108" t="str">
        <f>IFERROR(__xludf.DUMMYFUNCTION("""COMPUTED_VALUE"""),"-边境夺宝：增加了击杀钢拳队长的奖励产出，增加了采集变异猴巢穴和避难所争夺的CD奖励产出；
-霍格博士的复仇：增加了活动玩法的奖励产出，新增了历史最高伤害的奖励类型，每达到一个伤害档位，即可领取奖励；降低了低等级时的boss血量，使玩家能更快的击败低等级的boss；优化了整体的boss难度；
-英雄调整：罗尼贾的主动技能由单体伤害调整为群体对3个目标造成伤害，杰克的主动技能系数由1200加强为1500，并略微削弱了主动技能附加的减速效果，肖恩的主动技能由对群体3个目标造成伤害调整为对群体5个目标造成伤害；"&amp;"
-收藏品属性调整：展览属性条目从1条增加到2条，属性大大加强；收藏品的附加战斗力大量增加，尤其是高品质收藏品战斗力，并且添加了一个排行榜；去掉了收藏品组合属性，替换为战斗力激活属性；
-科林的探索调整：新增探索任务类型，大幅提升了奖励价值，增加了英雄相关核心道具的产出；
-部分礼包调整：收藏品礼包增加了CD投放；科研和建筑加速礼包只包含对应功能的加速道具；
-狂飙拉力赛：下调了部分周任务的难度，增加了部分周任务可获得的氮气值；")</f>
        <v>-边境夺宝：增加了击杀钢拳队长的奖励产出，增加了采集变异猴巢穴和避难所争夺的CD奖励产出；
-霍格博士的复仇：增加了活动玩法的奖励产出，新增了历史最高伤害的奖励类型，每达到一个伤害档位，即可领取奖励；降低了低等级时的boss血量，使玩家能更快的击败低等级的boss；优化了整体的boss难度；
-英雄调整：罗尼贾的主动技能由单体伤害调整为群体对3个目标造成伤害，杰克的主动技能系数由1200加强为1500，并略微削弱了主动技能附加的减速效果，肖恩的主动技能由对群体3个目标造成伤害调整为对群体5个目标造成伤害；
-收藏品属性调整：展览属性条目从1条增加到2条，属性大大加强；收藏品的附加战斗力大量增加，尤其是高品质收藏品战斗力，并且添加了一个排行榜；去掉了收藏品组合属性，替换为战斗力激活属性；
-科林的探索调整：新增探索任务类型，大幅提升了奖励价值，增加了英雄相关核心道具的产出；
-部分礼包调整：收藏品礼包增加了CD投放；科研和建筑加速礼包只包含对应功能的加速道具；
-狂飙拉力赛：下调了部分周任务的难度，增加了部分周任务可获得的氮气值；</v>
      </c>
      <c r="C15" s="169" t="str">
        <f>IFERROR(__xludf.DUMMYFUNCTION("""COMPUTED_VALUE"""),"- Border Raids: increased rewards for defeating Captain Ironfist; increased CD rewards from gathering in Mutant Lairs and occupying Border Shelters.
- Dr. Hogg's Revenge: increased event rewards; added a reward for highest damage - get a reward for each t"&amp;"ier of damage reached; reduced the HP of low-level monsters so that players can defeat these more quickly; optimized the overall difficulty of monsters.
- Fighter adjustments: Rony Jaa's active skill changed from dealing damage to a single target to deali"&amp;"ng damage to 3 targets; Electro Jack's active skill damage factor increased from 1200 to 1500; Duke Sean's active skill changed from dealing damage to 3 targets to dealing damage to 5 targets.
- Relic attributes adjusted: increased the number of Relic att"&amp;"ributes from 1 to 2, greatly enhancing their strengths; greatly increased the Power accompanying Relics, especially for high-quality Relics, and added a related ranking; eliminated Relic set attributes which have been replaced with an activation Power att"&amp;"ribute.
- Colin's Exploration adjusted: added exploration-type quests and greatly increased the value of rewards; added the amount of Fighter-related essential items in the rewards.
-Pack adjustment: added CDs to Relic packs; research and building speedup"&amp;" packs now only include the corresponding speedup items.
- Cyclone Rally: decreased the difficulty of certain weekly quests; increased the amount of Nitrogen received from certain weekly quests.")</f>
        <v>- Border Raids: increased rewards for defeating Captain Ironfist; increased CD rewards from gathering in Mutant Lairs and occupying Border Shelters.
- Dr. Hogg's Revenge: increased event rewards; added a reward for highest damage - get a reward for each tier of damage reached; reduced the HP of low-level monsters so that players can defeat these more quickly; optimized the overall difficulty of monsters.
- Fighter adjustments: Rony Jaa's active skill changed from dealing damage to a single target to dealing damage to 3 targets; Electro Jack's active skill damage factor increased from 1200 to 1500; Duke Sean's active skill changed from dealing damage to 3 targets to dealing damage to 5 targets.
- Relic attributes adjusted: increased the number of Relic attributes from 1 to 2, greatly enhancing their strengths; greatly increased the Power accompanying Relics, especially for high-quality Relics, and added a related ranking; eliminated Relic set attributes which have been replaced with an activation Power attribute.
- Colin's Exploration adjusted: added exploration-type quests and greatly increased the value of rewards; added the amount of Fighter-related essential items in the rewards.
-Pack adjustment: added CDs to Relic packs; research and building speedup packs now only include the corresponding speedup items.
- Cyclone Rally: decreased the difficulty of certain weekly quests; increased the amount of Nitrogen received from certain weekly quests.</v>
      </c>
      <c r="D15" s="169" t="str">
        <f>IFERROR(__xludf.DUMMYFUNCTION("""COMPUTED_VALUE"""),"- Raids frontaliers: augmentation des récompenses obtenues lors de l’élimination du Capitaine Poindacier; augmentation des CD obtenus lors de l’occupation d’abris frontaliers et de la collecte dans les repaires de mutants. 
- La revanche du Dr Hogg: augme"&amp;"ntation du nombre de récompenses; ajout d’une récompense selon les dégâts infligés (une récompense à chaque palier de dégâts atteint); réduction de la santé des mutants de bas niveaux pour faciliter leur élimination; équilibrage du niveau de difficulté gé"&amp;"néral des mutants. 
- Equilibrage des combattants: la compétence active de Rony Jaa inflige des dégâts à 3 cibles au lieu d’une; le ratio de dégâts de la capacité active d'Electro Jack passe de 1200 à 1500; la capacité active de Duke Sean inflige des dégâ"&amp;"ts à 5 cibles au lieu de 3. 
- Optimisation des attributs des reliques: elles possèdent 2 attributs au lieu d’un, ce qui augmente considérablement leur force; forte augmentation de leurs pouvoirs, notamment pour les reliques de haute qualité, avec l'ajout"&amp;" d'un classement associé; suppression des attributs des ensembles de reliques, remplacé par un attribut d’activation de pouvoir. 
- Modification de l'exploration de Colin: nouvelles quêtes d'exploration avec de meilleures récompenses à la clé; ajout à la "&amp;"récompense d’objets essentiels pour les combattants. 
- Equilibrage des packs: encore plus de CD dans les packs de reliques; les packs d'accélérateurs de recherche et construction ne contiennent plus que les accélérateurs correspondants. 
- Rallye du cycl"&amp;"one: certaines quêtes hebdo sont maintenant plus faciles; augmentation de la quantité de nitro obtenue dans certaines quêtes hebdo.")</f>
        <v>- Raids frontaliers: augmentation des récompenses obtenues lors de l’élimination du Capitaine Poindacier; augmentation des CD obtenus lors de l’occupation d’abris frontaliers et de la collecte dans les repaires de mutants. 
- La revanche du Dr Hogg: augmentation du nombre de récompenses; ajout d’une récompense selon les dégâts infligés (une récompense à chaque palier de dégâts atteint); réduction de la santé des mutants de bas niveaux pour faciliter leur élimination; équilibrage du niveau de difficulté général des mutants. 
- Equilibrage des combattants: la compétence active de Rony Jaa inflige des dégâts à 3 cibles au lieu d’une; le ratio de dégâts de la capacité active d'Electro Jack passe de 1200 à 1500; la capacité active de Duke Sean inflige des dégâts à 5 cibles au lieu de 3. 
- Optimisation des attributs des reliques: elles possèdent 2 attributs au lieu d’un, ce qui augmente considérablement leur force; forte augmentation de leurs pouvoirs, notamment pour les reliques de haute qualité, avec l'ajout d'un classement associé; suppression des attributs des ensembles de reliques, remplacé par un attribut d’activation de pouvoir. 
- Modification de l'exploration de Colin: nouvelles quêtes d'exploration avec de meilleures récompenses à la clé; ajout à la récompense d’objets essentiels pour les combattants. 
- Equilibrage des packs: encore plus de CD dans les packs de reliques; les packs d'accélérateurs de recherche et construction ne contiennent plus que les accélérateurs correspondants. 
- Rallye du cyclone: certaines quêtes hebdo sont maintenant plus faciles; augmentation de la quantité de nitro obtenue dans certaines quêtes hebdo.</v>
      </c>
      <c r="E15" s="169" t="str">
        <f>IFERROR(__xludf.DUMMYFUNCTION("""COMPUTED_VALUE"""),"- Grenzüberfälle: Belohnungen für das Besiegen von Captain Eisenfaust erhöht; CD-Belohnungen für das Sammeln in Mutantenhöhlen und das Besetzen von Grenz-Unterschlüpfen erhöht.
- Dr. Hoggs Rache: Event-Belohnungen erhöht; eine Belohnung für den höchsten S"&amp;"chaden hinzugefügt - erhalte eine Belohnung für jede erreichte Schadensstufe; die Gesundheit von niedrigstufigen Monstern wurde reduziert, damit Spieler sie schneller besiegen können; der Gesamtschwierigkeitsgrad von Monstern wurde optimiert.
- Kämpfer-An"&amp;"passungen: Rony Jaas aktive Fähigkeit wurde von Schaden an einem einzelnen Ziel auf Schaden an 3 Zielen geändert; der Schadensfaktor der aktiven Fähigkeit von Electro Jack wurde von 1200 auf 1500 erhöht; Duke Seans aktive Fähigkeit wurde von Schaden an 3 "&amp;"Zielen auf Schaden an 5 Zielen geändert.
- Relikt-Attribute angepasst: Die Anzahl der Relikt-Attribute wurde von 1 auf 2 erhöht, was ihre Stärken stark verbessert; die Stärke im Zusammenhang mit Relikten wurde stark erhöht, vor allem bei hochwertigen Reli"&amp;"kten, und eine entsprechende Rangliste wurde hinzugefügt; die Attribute von Relikt-Sets wurden entfernt und durch ein Aktivierungsstärke-Attribut ersetzt.
- Colins Erkundung angepasst: Quests vom Typ Erkundung hinzugefügt und den Wert der Belohnungen star"&amp;"k erhöht; die Menge der für Kämpfer wichtigen Items in den Belohnungen wurde erhöht.
 -Paket-Anpassung: CDs zu Relikt-Paketen hinzugefügt; Forschungs- und Bau-Beschleuniger-Pakete enthalten jetzt nur noch die entsprechenden Beschleuniger-Items.
- Zyklon-R"&amp;"ennen: Der Schwierigkeitsgrad bestimmter wöchentlicher Quests wurde reduziert; die Menge an Nitro, die man von bestimmten wöchentlichen Quests erhält, wurde erhöht.")</f>
        <v>- Grenzüberfälle: Belohnungen für das Besiegen von Captain Eisenfaust erhöht; CD-Belohnungen für das Sammeln in Mutantenhöhlen und das Besetzen von Grenz-Unterschlüpfen erhöht.
- Dr. Hoggs Rache: Event-Belohnungen erhöht; eine Belohnung für den höchsten Schaden hinzugefügt - erhalte eine Belohnung für jede erreichte Schadensstufe; die Gesundheit von niedrigstufigen Monstern wurde reduziert, damit Spieler sie schneller besiegen können; der Gesamtschwierigkeitsgrad von Monstern wurde optimiert.
- Kämpfer-Anpassungen: Rony Jaas aktive Fähigkeit wurde von Schaden an einem einzelnen Ziel auf Schaden an 3 Zielen geändert; der Schadensfaktor der aktiven Fähigkeit von Electro Jack wurde von 1200 auf 1500 erhöht; Duke Seans aktive Fähigkeit wurde von Schaden an 3 Zielen auf Schaden an 5 Zielen geändert.
- Relikt-Attribute angepasst: Die Anzahl der Relikt-Attribute wurde von 1 auf 2 erhöht, was ihre Stärken stark verbessert; die Stärke im Zusammenhang mit Relikten wurde stark erhöht, vor allem bei hochwertigen Relikten, und eine entsprechende Rangliste wurde hinzugefügt; die Attribute von Relikt-Sets wurden entfernt und durch ein Aktivierungsstärke-Attribut ersetzt.
- Colins Erkundung angepasst: Quests vom Typ Erkundung hinzugefügt und den Wert der Belohnungen stark erhöht; die Menge der für Kämpfer wichtigen Items in den Belohnungen wurde erhöht.
 -Paket-Anpassung: CDs zu Relikt-Paketen hinzugefügt; Forschungs- und Bau-Beschleuniger-Pakete enthalten jetzt nur noch die entsprechenden Beschleuniger-Items.
- Zyklon-Rennen: Der Schwierigkeitsgrad bestimmter wöchentlicher Quests wurde reduziert; die Menge an Nitro, die man von bestimmten wöchentlichen Quests erhält, wurde erhöht.</v>
      </c>
      <c r="F15" s="169" t="str">
        <f>IFERROR(__xludf.DUMMYFUNCTION("""COMPUTED_VALUE"""),"- Raides de Fronteira: aumento nas recompensas ao derrotar o Capitão Punho de Ferro; aumento nas recompensas de CDs ao coletar em tocas mutantes e ocupar abrigos de fronteira.
- Vingança de Dr. Hogg: aumento nas recompensas do evento; adicionada a recompe"&amp;"nsa por maior dano - obtenha uma recompensa para cada nível de dano alcançado; redução de PV de monstros de nível baixo para que jogadores possam derrotá-los mais rapidamente; melhoria geral na dificuldade dos monstros.
- Ajustes de combatentes: a habilid"&amp;"ade ativa de Rony Jaa foi alterada para causar mais dano de um único alvo para 3 alvos; fator de dano da habilidade ativa de Jack Elétrico aumentada de 1200 para 1500; habilidade ativa de Duke Sean alterada para causar dano de 3 alvos para 5 alvos agora.
"&amp;"- Ajuste de atributo de relíquias: aumento no número de atributos de relíquia de 1 para 2, aumentando em muito seus pontos fortes; grande aumento de poder acompanhando relíquias, especialmente nas de alta qualidade, além da adição de classificação corresp"&amp;"ondente; remoção de atributos de relíquias que foram substituídos com um atributo de poder de ativação.
- Ajustes na Exploração de Colin: adicionadas missões de exploração e grande aumento no valor das recompensas; adição de itens essenciais relacionados "&amp;"a combatentes nas recompensas.
- Ajuste de pacotes: adicionados CDs aos pacotes de relíquias; pacotes de aceleradores de pesquisa e construção agora incluem os itens de aceleradores correspondentes.
- Incursão Ciclone: a dificuldade de determinadas missõe"&amp;"s semanais diminuiu; aumento na quantidade de nitrogênio recebido de determinadas missões semanais.")</f>
        <v>- Raides de Fronteira: aumento nas recompensas ao derrotar o Capitão Punho de Ferro; aumento nas recompensas de CDs ao coletar em tocas mutantes e ocupar abrigos de fronteira.
- Vingança de Dr. Hogg: aumento nas recompensas do evento; adicionada a recompensa por maior dano - obtenha uma recompensa para cada nível de dano alcançado; redução de PV de monstros de nível baixo para que jogadores possam derrotá-los mais rapidamente; melhoria geral na dificuldade dos monstros.
- Ajustes de combatentes: a habilidade ativa de Rony Jaa foi alterada para causar mais dano de um único alvo para 3 alvos; fator de dano da habilidade ativa de Jack Elétrico aumentada de 1200 para 1500; habilidade ativa de Duke Sean alterada para causar dano de 3 alvos para 5 alvos agora.
- Ajuste de atributo de relíquias: aumento no número de atributos de relíquia de 1 para 2, aumentando em muito seus pontos fortes; grande aumento de poder acompanhando relíquias, especialmente nas de alta qualidade, além da adição de classificação correspondente; remoção de atributos de relíquias que foram substituídos com um atributo de poder de ativação.
- Ajustes na Exploração de Colin: adicionadas missões de exploração e grande aumento no valor das recompensas; adição de itens essenciais relacionados a combatentes nas recompensas.
- Ajuste de pacotes: adicionados CDs aos pacotes de relíquias; pacotes de aceleradores de pesquisa e construção agora incluem os itens de aceleradores correspondentes.
- Incursão Ciclone: a dificuldade de determinadas missões semanais diminuiu; aumento na quantidade de nitrogênio recebido de determinadas missões semanais.</v>
      </c>
      <c r="G15" s="108" t="str">
        <f>IFERROR(__xludf.DUMMYFUNCTION("""COMPUTED_VALUE"""),"-邊境奪寶：增加了擊殺鋼拳隊長的獎勵產出，增加了采集變異猴巢穴和避難所爭奪的CD獎勵產出；
-霍格博士的復仇：增加了活動玩法的獎勵產出，新增了歷史最高傷害的獎勵類型，每達到一個傷害檔位，即可領取獎勵；降低了低等級時的boss血量，使玩家能更快的擊敗低等級的boss；優化了整體的boss難度；
-英雄調整：羅尼賈的主動技能由單體傷害調整為群體對3個目標造成傷害，傑克的主動技能系數由1200加強為1500，並略微削弱了主動技能附加的減速效果，肖恩的主動技能由對群體3個目標造成傷害調整為對群體5個目標造成傷害；"&amp;"
-收藏品屬性調整：展覽屬性條目從1條增加到2條，屬性大大加強；收藏品的附加戰鬥力大量增加，尤其是高品質收藏品戰鬥力，並且添加了一個排行榜；去掉了收藏品組合屬性，替換為戰鬥力激活屬性；
-科林的探索調整：新增探索任務類型，大幅提升了獎勵價值，增加了英雄相關核心道具的產出；
-部分禮包調整：收藏品禮包增加了CD投放；科研和建築加速禮包只包含對應功能的加速道具；
-狂飆拉力賽：下調了部分周任務的難度，增加了部分周任務可獲得的氮氣值；")</f>
        <v>-邊境奪寶：增加了擊殺鋼拳隊長的獎勵產出，增加了采集變異猴巢穴和避難所爭奪的CD獎勵產出；
-霍格博士的復仇：增加了活動玩法的獎勵產出，新增了歷史最高傷害的獎勵類型，每達到一個傷害檔位，即可領取獎勵；降低了低等級時的boss血量，使玩家能更快的擊敗低等級的boss；優化了整體的boss難度；
-英雄調整：羅尼賈的主動技能由單體傷害調整為群體對3個目標造成傷害，傑克的主動技能系數由1200加強為1500，並略微削弱了主動技能附加的減速效果，肖恩的主動技能由對群體3個目標造成傷害調整為對群體5個目標造成傷害；
-收藏品屬性調整：展覽屬性條目從1條增加到2條，屬性大大加強；收藏品的附加戰鬥力大量增加，尤其是高品質收藏品戰鬥力，並且添加了一個排行榜；去掉了收藏品組合屬性，替換為戰鬥力激活屬性；
-科林的探索調整：新增探索任務類型，大幅提升了獎勵價值，增加了英雄相關核心道具的產出；
-部分禮包調整：收藏品禮包增加了CD投放；科研和建築加速禮包只包含對應功能的加速道具；
-狂飆拉力賽：下調了部分周任務的難度，增加了部分周任務可獲得的氮氣值；</v>
      </c>
      <c r="H15" s="169" t="str">
        <f>IFERROR(__xludf.DUMMYFUNCTION("""COMPUTED_VALUE"""),"- Serangan Perbatasan: meningkatkan hadiah untuk mengalahkan Captain Ironfist; meningkatkan hadiah CD dari mengumpulkan di Sarang Mutan dan menduduki Penampungan Perbatasan.
- Pembalasan Dr. Hogg: meningkatkan hadiah acara; menambahkan hadiah untuk kerusa"&amp;"kan tertinggi - dapatkan hadiah untuk setiap tingaktan kerusakan yang dicapai; mengurangi HP monster level rendah sehingga pemain bisa mengalahkannya lebih cepat; mengoptimalkan kesulitan monster secara keseluruhan.
- Penyesuaian Pejuang: keahlian aktif R"&amp;"ony Jaa berubah dari mengakibatkan kerusakan ke satu target menjadi mengakibatkan kerusakan ke 3 target; faktor kerusakan keahlian aktif Electro Jack meningkat dari 1200 menjadi 1500; keahlian aktif Duke Sean berubah dari mengakibatkan kerusakan ke 3 targ"&amp;"et menjadi mengakibatkan kerusakan ke 5 target.
- Penyesuaian atribut Relik: meningkatkan jumlah atribut Relik dari 1 menjadi 2, meningkatkan kekuatan atribut Relik; meningkatkan Kekuatan yang menyertai Relik, terutama untuk Relik berkualitas tinggi, dan "&amp;"menambahkan peringkat terkait; menghilangkan atribut set Relik yang telah diganti dengan atribut Power aktivasi.
- Penyesuaian Penjelajahan Colin: menambahkan misi jenis penjelajahan and meningkatkan nilai hadiah; menambahkan jumlah item penting terkait P"&amp;"ejuang dalam hadiah.
-Penyesuaian Paket: menambahkan CD ke paket Relik; paket percepatan penelitian dan bangunan kini hanya menyertakan item percepatan yang sesuai.
- Reli Topan: mengurangi kesulitan misi mingguan tertentu; meningkatkan jumlah Nitrogen ya"&amp;"ng diterima dari misi mingguan tertentu.")</f>
        <v>- Serangan Perbatasan: meningkatkan hadiah untuk mengalahkan Captain Ironfist; meningkatkan hadiah CD dari mengumpulkan di Sarang Mutan dan menduduki Penampungan Perbatasan.
- Pembalasan Dr. Hogg: meningkatkan hadiah acara; menambahkan hadiah untuk kerusakan tertinggi - dapatkan hadiah untuk setiap tingaktan kerusakan yang dicapai; mengurangi HP monster level rendah sehingga pemain bisa mengalahkannya lebih cepat; mengoptimalkan kesulitan monster secara keseluruhan.
- Penyesuaian Pejuang: keahlian aktif Rony Jaa berubah dari mengakibatkan kerusakan ke satu target menjadi mengakibatkan kerusakan ke 3 target; faktor kerusakan keahlian aktif Electro Jack meningkat dari 1200 menjadi 1500; keahlian aktif Duke Sean berubah dari mengakibatkan kerusakan ke 3 target menjadi mengakibatkan kerusakan ke 5 target.
- Penyesuaian atribut Relik: meningkatkan jumlah atribut Relik dari 1 menjadi 2, meningkatkan kekuatan atribut Relik; meningkatkan Kekuatan yang menyertai Relik, terutama untuk Relik berkualitas tinggi, dan menambahkan peringkat terkait; menghilangkan atribut set Relik yang telah diganti dengan atribut Power aktivasi.
- Penyesuaian Penjelajahan Colin: menambahkan misi jenis penjelajahan and meningkatkan nilai hadiah; menambahkan jumlah item penting terkait Pejuang dalam hadiah.
-Penyesuaian Paket: menambahkan CD ke paket Relik; paket percepatan penelitian dan bangunan kini hanya menyertakan item percepatan yang sesuai.
- Reli Topan: mengurangi kesulitan misi mingguan tertentu; meningkatkan jumlah Nitrogen yang diterima dari misi mingguan tertentu.</v>
      </c>
      <c r="I15" s="108" t="str">
        <f>IFERROR(__xludf.DUMMYFUNCTION("""COMPUTED_VALUE"""),"- การจู่โจมที่ชายแดน: เพิ่มรางวัลสำหรับการเอาชนะกัปตันกำปั้นเหล็ก, เพิ่มรางวัลซีดีจากการเก็บรวบรวมในรังมิวแตนต์ และครอบครองที่พักริมชายแดน
- การแก้แค้นของ ดร.ฮ็อกก์: เพิ่มรางวัลกิจกรรม, เพิ่มรางวัลสำหรับการสร้างแดเมจสูงสุด - รับรางวัลสำหรับความเสียหายแต่ล"&amp;"ะระดับที่ทำได้, ลดพลังชีวิตของมอนสเตอร์ระดับต่ำลง เพื่อให้ผู้เล่นสามารถเอาชนะศัตรูเหล่านี้ได้รวดเร็วยิ่งขึ้น, ปรับปรุงความยากโดยรวมของมอนสเตอร์ให้เหมาะสม
- การปรับนักสู้: ทักษะทางตรงของโรนี่ จาจะเปลี่ยนจากสร้างความเสียหายต่อเป้าหมายเดียวเป็นสร้างความเสียห"&amp;"ายต่อ 3 เป้าหมาย ปัจจัยความเสียหายของทักษะทางตรงของอิเล็กโตร แจ็กเพิ่มขึ้นจาก 1200 เป็น 1500, ทักษะทางตรงของดุ๊ก ฌอณเปลี่ยนจากสร้างความเสียหาย 3 เป้าหมายเป็นสร้างความเสียหาย 5 เป้าหมาย
- ปรับคุณสมบัติวัตถุโบราณ: เพิ่มจำนวนของคุณสมบัติของวัตถุโบราณจาก 1 เป"&amp;"็น 2 คุณสมบัติเพื่อเพิ่มความแข็งแกร่งให้มากขึ้น, เพิ่มพลังให้กับวัตถุโบราณให้มากขึ้นอย่างมาก โดยเฉพาะอย่างยิ่งสำหรับวัตถุโบราณคุณภาพสูง และเพิ่มอันดับที่เกี่ยวข้อง, นำคุณสมบัติของชุดวัตถุโบราณที่ถูกแทนที่ด้วยคุณสมบัติที่เกี่ยวกับการใช้พลังออก
- ปรับการสำร"&amp;"วจของโคลิน: เพิ่มเควสต์ประเภทการสำรวจและเพิ่มมูลค่าของรางวัลให้มากขึ้นเป็นอย่างมาก, เพิ่มจำนวนไอเทมสำคัญที่เกี่ยวข้องกับนักสู้ในรางวัล
- การปรับแพ็ก: เพิ่มซีดีลงในแพ็กวัตถุโบราณ รวมถึงแพ็กการเร่งการวิจัยและการก่อสร้าง ที่ในปัจจุบันในแพ็กจะมีแค่ไอเทมการเร่"&amp;"งความเร็วที่เกี่ยวข้องเท่านั้น
- แรลลี่ไซโคลน: ลดความยากของเควสต์ในบางสัปดาห์, เพิ่มปริมาณไนโตรเจนที่ได้รับจากภารกิจรายสัปดาห์บางภารกิจ")</f>
        <v>- การจู่โจมที่ชายแดน: เพิ่มรางวัลสำหรับการเอาชนะกัปตันกำปั้นเหล็ก, เพิ่มรางวัลซีดีจากการเก็บรวบรวมในรังมิวแตนต์ และครอบครองที่พักริมชายแดน
- การแก้แค้นของ ดร.ฮ็อกก์: เพิ่มรางวัลกิจกรรม, เพิ่มรางวัลสำหรับการสร้างแดเมจสูงสุด - รับรางวัลสำหรับความเสียหายแต่ละระดับที่ทำได้, ลดพลังชีวิตของมอนสเตอร์ระดับต่ำลง เพื่อให้ผู้เล่นสามารถเอาชนะศัตรูเหล่านี้ได้รวดเร็วยิ่งขึ้น, ปรับปรุงความยากโดยรวมของมอนสเตอร์ให้เหมาะสม
- การปรับนักสู้: ทักษะทางตรงของโรนี่ จาจะเปลี่ยนจากสร้างความเสียหายต่อเป้าหมายเดียวเป็นสร้างความเสียหายต่อ 3 เป้าหมาย ปัจจัยความเสียหายของทักษะทางตรงของอิเล็กโตร แจ็กเพิ่มขึ้นจาก 1200 เป็น 1500, ทักษะทางตรงของดุ๊ก ฌอณเปลี่ยนจากสร้างความเสียหาย 3 เป้าหมายเป็นสร้างความเสียหาย 5 เป้าหมาย
- ปรับคุณสมบัติวัตถุโบราณ: เพิ่มจำนวนของคุณสมบัติของวัตถุโบราณจาก 1 เป็น 2 คุณสมบัติเพื่อเพิ่มความแข็งแกร่งให้มากขึ้น, เพิ่มพลังให้กับวัตถุโบราณให้มากขึ้นอย่างมาก โดยเฉพาะอย่างยิ่งสำหรับวัตถุโบราณคุณภาพสูง และเพิ่มอันดับที่เกี่ยวข้อง, นำคุณสมบัติของชุดวัตถุโบราณที่ถูกแทนที่ด้วยคุณสมบัติที่เกี่ยวกับการใช้พลังออก
- ปรับการสำรวจของโคลิน: เพิ่มเควสต์ประเภทการสำรวจและเพิ่มมูลค่าของรางวัลให้มากขึ้นเป็นอย่างมาก, เพิ่มจำนวนไอเทมสำคัญที่เกี่ยวข้องกับนักสู้ในรางวัล
- การปรับแพ็ก: เพิ่มซีดีลงในแพ็กวัตถุโบราณ รวมถึงแพ็กการเร่งการวิจัยและการก่อสร้าง ที่ในปัจจุบันในแพ็กจะมีแค่ไอเทมการเร่งความเร็วที่เกี่ยวข้องเท่านั้น
- แรลลี่ไซโคลน: ลดความยากของเควสต์ในบางสัปดาห์, เพิ่มปริมาณไนโตรเจนที่ได้รับจากภารกิจรายสัปดาห์บางภารกิจ</v>
      </c>
      <c r="J15" s="169" t="str">
        <f>IFERROR(__xludf.DUMMYFUNCTION("""COMPUTED_VALUE"""),"- Incursiones Fronterizas: Recompensas aumentadas por derrotar al Capitán Puño de Hierro; aumento en las recompensas de CD por recolección en las Guaridas Mutantes y ocupar los Refugios Fronterizos. 
- Venganza del Dr. Hogg: Aumento en las recompensas del"&amp;" evento; se agregó una recompensa por el daño más alto - obtén una recompensa por cada nivel de daño alcanzado; reducción de los PV de los monstruos de bajo nivel para que los jugadores puedan derrotarlos más rápidamente; optimización de la dificultad en "&amp;"general de los monstruos. 
- Ajustes en los Luchadores: La habilidad activa de Rony Jaa se cambió de ejercer daño a un solo objetivo a ejercer daño a 3 objetivos; el factor de daño de la habilidad activa de Electro Jack aumentó de 1200 a 1500; la habilida"&amp;"d activa de Duke Sean cambio de ejercer daño a 3 objetivos a ejercer daño a 5 objetivos. 
- Ajuste en los atributos de las Reliquias: aumento del número de atributos de las Reliquias de 1 a 2, mejorando enormemente sus fortalezas; se aumento enormemente e"&amp;"l Poder que acompaña a las Reliquias; especialmente a las Reliquias de alta calidad y se les agrego una clasificación relacionada; se eliminaron los atributos establecidos de Reliquia que han sido reemplazados con un atributo de activación de Poder. 
- Aj"&amp;"uste en la Exploración de Colin: se agregaron misiones de exploración y se incremento enormemente el valor de las recompensas; se agregó a las recompensas la cantidad de artículos esenciales de relacionados con el Luchador. 
- Ajuste de Paquete: se agrega"&amp;"ron CD a los paquetes de Reliquia; los aceleradores de investigación y construcción ahora solamente incluyen los artículos aceleradores correspondientes.
- Rally del Ciclón: Reducción en la dificultad de algunas misiones semanales; se aumentó la cantidad "&amp;"de Nitrógeno recibido para algunas misiones semanales.")</f>
        <v>- Incursiones Fronterizas: Recompensas aumentadas por derrotar al Capitán Puño de Hierro; aumento en las recompensas de CD por recolección en las Guaridas Mutantes y ocupar los Refugios Fronterizos. 
- Venganza del Dr. Hogg: Aumento en las recompensas del evento; se agregó una recompensa por el daño más alto - obtén una recompensa por cada nivel de daño alcanzado; reducción de los PV de los monstruos de bajo nivel para que los jugadores puedan derrotarlos más rápidamente; optimización de la dificultad en general de los monstruos. 
- Ajustes en los Luchadores: La habilidad activa de Rony Jaa se cambió de ejercer daño a un solo objetivo a ejercer daño a 3 objetivos; el factor de daño de la habilidad activa de Electro Jack aumentó de 1200 a 1500; la habilidad activa de Duke Sean cambio de ejercer daño a 3 objetivos a ejercer daño a 5 objetivos. 
- Ajuste en los atributos de las Reliquias: aumento del número de atributos de las Reliquias de 1 a 2, mejorando enormemente sus fortalezas; se aumento enormemente el Poder que acompaña a las Reliquias; especialmente a las Reliquias de alta calidad y se les agrego una clasificación relacionada; se eliminaron los atributos establecidos de Reliquia que han sido reemplazados con un atributo de activación de Poder. 
- Ajuste en la Exploración de Colin: se agregaron misiones de exploración y se incremento enormemente el valor de las recompensas; se agregó a las recompensas la cantidad de artículos esenciales de relacionados con el Luchador. 
- Ajuste de Paquete: se agregaron CD a los paquetes de Reliquia; los aceleradores de investigación y construcción ahora solamente incluyen los artículos aceleradores correspondientes.
- Rally del Ciclón: Reducción en la dificultad de algunas misiones semanales; se aumentó la cantidad de Nitrógeno recibido para algunas misiones semanales.</v>
      </c>
      <c r="K15" s="169" t="str">
        <f>IFERROR(__xludf.DUMMYFUNCTION("""COMPUTED_VALUE"""),"- Пограничные рейды: увеличены награды за победу над капитаном Железный Кулак; увеличены награды CD за сбор в логовах мутантов и оккупацию пограничных убежищ.
- Месть доктора Хогга: увеличены награды за события; добавлена награда за самый высокий урон — п"&amp;"олучайте награду за каждый достигнутый ранг урона. Уменьшено здоровье низкоуровневых монстров, чтобы игроки могли победить их быстрее; оптимизирована общая сложность монстров.
- Корректировка героев: активный навык Рони Джаа изменен с нанесения урона одно"&amp;"й цели на нанесение урона трем целям. Показатель урона активного навыка Электро-Джека увеличен с 1200 до 1500. Активный навык Герцога Шона изменен с нанесения урона трем целям на нанесение урона пяти целям.
- Изменены показатели реликвий: количество показ"&amp;"ателей реликвий увеличено с 1 до 2, что значительно повышает их силу. Значительно увеличена соответствующая реликвиям мощь, особенно для реликвий высокого качества, и добавлен соответствующий рейтинг. Показатели комплектов реликвий удалены и заменены пока"&amp;"зателем мощи активации.
- Скорректированы «Исследования Колина»: добавлены задания на исследования и значительно увеличена ценность наград; в наградах увеличено количество необходимых предметов, связанных с героями.
- Скорректированы наборы: в наборы рели"&amp;"квий добавлены CD; в наборы ускорителей исследований и строительства теперь входят только соответствующие предметы-ускорители.
- Ураганные гонки: снижена сложность некоторых еженедельных заданий; увеличено количество азота, которое дается за выполнение не"&amp;"которых еженедельных заданий.")</f>
        <v>- Пограничные рейды: увеличены награды за победу над капитаном Железный Кулак; увеличены награды CD за сбор в логовах мутантов и оккупацию пограничных убежищ.
- Месть доктора Хогга: увеличены награды за события; добавлена награда за самый высокий урон — получайте награду за каждый достигнутый ранг урона. Уменьшено здоровье низкоуровневых монстров, чтобы игроки могли победить их быстрее; оптимизирована общая сложность монстров.
- Корректировка героев: активный навык Рони Джаа изменен с нанесения урона одной цели на нанесение урона трем целям. Показатель урона активного навыка Электро-Джека увеличен с 1200 до 1500. Активный навык Герцога Шона изменен с нанесения урона трем целям на нанесение урона пяти целям.
- Изменены показатели реликвий: количество показателей реликвий увеличено с 1 до 2, что значительно повышает их силу. Значительно увеличена соответствующая реликвиям мощь, особенно для реликвий высокого качества, и добавлен соответствующий рейтинг. Показатели комплектов реликвий удалены и заменены показателем мощи активации.
- Скорректированы «Исследования Колина»: добавлены задания на исследования и значительно увеличена ценность наград; в наградах увеличено количество необходимых предметов, связанных с героями.
- Скорректированы наборы: в наборы реликвий добавлены CD; в наборы ускорителей исследований и строительства теперь входят только соответствующие предметы-ускорители.
- Ураганные гонки: снижена сложность некоторых еженедельных заданий; увеличено количество азота, которое дается за выполнение некоторых еженедельных заданий.</v>
      </c>
      <c r="L15" s="169" t="str">
        <f>IFERROR(__xludf.DUMMYFUNCTION("""COMPUTED_VALUE"""),"- Sınır Akınları: Kaptan Demiryumruk’u yenme ödülleri artırıldı; Mutant İnlerinde toplanma ve Sınır Barınaklarını işgal etme CD ödülleri artırıldı.
- Dr. Hogg’un İntikamı: etkinlik ödülleri artırıldı; en yüksek hasar için bir ödül eklendi - ulaşılan her h"&amp;"asar kademesi için bir ödül kazanın; düşük seviyeli canavarların SP’si azaltıldı böylece oyuncular bunları daha hızlı yenebilecek; canavarların genel zorluğu optimize edildi.
- Savaşçı düzenlemeleri: Rony Jaa’nın aktif becerisi, tek bir hedefe hasar verme"&amp;"kten 3 hedefe hasar vermek olarak değiştirildi; Elektro Jack’in aktif beceri hasar faktörü 1200’den 1500’e yükseltildi; Duke Sean’in aktif becerisi 3 hedefe hasar vermekten 5 hedefe hasar vermek olarak değiştirildi.
- Kalıntı nitelikleri düzenlendi: Kalın"&amp;"tı niteliklerinin sayısı 1’den 2’ye yükseltilerek güçleri büyük ölçüde artırıldı; özellikle yüksek kaliteli Kalıntılar için, Kalıntılara eşlik eden Güç büyük ölçüde artırıldı ve ilgili bir sıralama eklendi; bir etkinleştirme Gücü niteliği ile değiştirilen"&amp;" Kalıntı seti nitelikleri ortadan kaldırıldı.
- Colin’in Keşfi düzenlendi: keşif türünde maceralar eklendi ve ödüllerin değeri büyük ölçüde artırıldı; ödüllere Savaşçı ile ilgili önemli eşyaların miktarı eklendi.
- Paket düzenlemesi: Kalıntı paketlerine C"&amp;"D’ler eklendi; araştırma ve inşa hızlandırıcı paketleri artık yalnızca ilgili hızlandırıcı eşyalar içeriyor.
- Tufan Toplu Saldırısı: belirli haftalık maceraların zorluğu azaltıldı; belirli haftalık maceralardan alınan Nitrojen miktarı artırıldı.")</f>
        <v>- Sınır Akınları: Kaptan Demiryumruk’u yenme ödülleri artırıldı; Mutant İnlerinde toplanma ve Sınır Barınaklarını işgal etme CD ödülleri artırıldı.
- Dr. Hogg’un İntikamı: etkinlik ödülleri artırıldı; en yüksek hasar için bir ödül eklendi - ulaşılan her hasar kademesi için bir ödül kazanın; düşük seviyeli canavarların SP’si azaltıldı böylece oyuncular bunları daha hızlı yenebilecek; canavarların genel zorluğu optimize edildi.
- Savaşçı düzenlemeleri: Rony Jaa’nın aktif becerisi, tek bir hedefe hasar vermekten 3 hedefe hasar vermek olarak değiştirildi; Elektro Jack’in aktif beceri hasar faktörü 1200’den 1500’e yükseltildi; Duke Sean’in aktif becerisi 3 hedefe hasar vermekten 5 hedefe hasar vermek olarak değiştirildi.
- Kalıntı nitelikleri düzenlendi: Kalıntı niteliklerinin sayısı 1’den 2’ye yükseltilerek güçleri büyük ölçüde artırıldı; özellikle yüksek kaliteli Kalıntılar için, Kalıntılara eşlik eden Güç büyük ölçüde artırıldı ve ilgili bir sıralama eklendi; bir etkinleştirme Gücü niteliği ile değiştirilen Kalıntı seti nitelikleri ortadan kaldırıldı.
- Colin’in Keşfi düzenlendi: keşif türünde maceralar eklendi ve ödüllerin değeri büyük ölçüde artırıldı; ödüllere Savaşçı ile ilgili önemli eşyaların miktarı eklendi.
- Paket düzenlemesi: Kalıntı paketlerine CD’ler eklendi; araştırma ve inşa hızlandırıcı paketleri artık yalnızca ilgili hızlandırıcı eşyalar içeriyor.
- Tufan Toplu Saldırısı: belirli haftalık maceraların zorluğu azaltıldı; belirli haftalık maceralardan alınan Nitrojen miktarı artırıldı.</v>
      </c>
      <c r="M15" s="169" t="str">
        <f>IFERROR(__xludf.DUMMYFUNCTION("""COMPUTED_VALUE"""),"- Đột Kích Biên Giới: tăng phần thưởng khi đánh bại Thủ Lĩnh Thiết Quyền; tăng phần thưởng CD khi thu thập trong Hang Ổ Đột Biến và chiếm đóng Nơi Trú Ẩn Biên Giới.
- Trận Phục Thù của Tiến Sĩ Hogg: tăng phần thưởng sự kiện; thêm một phần thưởng cho sát t"&amp;"hương cao nhất - nhận phần thưởng cho mỗi bậc sát thương đạt được; giảm HP của quái vật cấp thấp nhất để người chơi có thể đánh bại chúng nhanh hơn; tối ưu hóa độ khó tổng quan của quái vật.
- Điều chỉnh chiến binh: Kỹ năng chủ động của Rony Jaa thay đổi "&amp;"từ gây sát thương lên một mục tiêu đơn thành gây sát thương lên 3 mục tiêu; hệ số sát thương kỹ năng chủ động của Electro Jack tăng từ 1200 lên 1500; kỹ năng chủ động của Duke Sean thay đổi từ gây sát thương lên 3 mục tiêu thành gây sát thương lên 5 mục t"&amp;"iêu.
- Điều chỉnh thuộc tính Di Tích: tăng số lượng thuộc tính Di Tích từ 1 lên 2, tăng cường sức mạnh của chúng đáng kể; tăng đáng kể Chiến Lực theo Di Tích, đặc biệt là những Di Tích chất lượng cao, và thêm xếp hạng liên quan; loại bỏ các thuộc tính bộ "&amp;"Di Tích đã được thay thế bằng một thuộc tính Chiến Lực kích hoạt.
- Điều chỉnh Khám Phá Của Colin: thêm các nhiệm vụ loại khám phá và tăng đáng kể giá trị của phần thưởng; tăng số lượng vật phẩm cần thiết liên quan đến Chiến Binh trong phần thưởng.
- Điều"&amp;" chỉnh gói: Thêm CD vào gói Di Tích; gói tăng tốc xây dựng và nghiên cứu hiện chỉ chứa các vật phẩm tăng tốc tương ứng.
- Tập Hợp Lốc Xoáy: giảm độ khó của những nhiệm vụ hàng tuần nhất định; tăng lượng khí Ni-tơ nhận được từ các nhiệm vụ hàng tuần nhất đ"&amp;"ịnh.")</f>
        <v>- Đột Kích Biên Giới: tăng phần thưởng khi đánh bại Thủ Lĩnh Thiết Quyền; tăng phần thưởng CD khi thu thập trong Hang Ổ Đột Biến và chiếm đóng Nơi Trú Ẩn Biên Giới.
- Trận Phục Thù của Tiến Sĩ Hogg: tăng phần thưởng sự kiện; thêm một phần thưởng cho sát thương cao nhất - nhận phần thưởng cho mỗi bậc sát thương đạt được; giảm HP của quái vật cấp thấp nhất để người chơi có thể đánh bại chúng nhanh hơn; tối ưu hóa độ khó tổng quan của quái vật.
- Điều chỉnh chiến binh: Kỹ năng chủ động của Rony Jaa thay đổi từ gây sát thương lên một mục tiêu đơn thành gây sát thương lên 3 mục tiêu; hệ số sát thương kỹ năng chủ động của Electro Jack tăng từ 1200 lên 1500; kỹ năng chủ động của Duke Sean thay đổi từ gây sát thương lên 3 mục tiêu thành gây sát thương lên 5 mục tiêu.
- Điều chỉnh thuộc tính Di Tích: tăng số lượng thuộc tính Di Tích từ 1 lên 2, tăng cường sức mạnh của chúng đáng kể; tăng đáng kể Chiến Lực theo Di Tích, đặc biệt là những Di Tích chất lượng cao, và thêm xếp hạng liên quan; loại bỏ các thuộc tính bộ Di Tích đã được thay thế bằng một thuộc tính Chiến Lực kích hoạt.
- Điều chỉnh Khám Phá Của Colin: thêm các nhiệm vụ loại khám phá và tăng đáng kể giá trị của phần thưởng; tăng số lượng vật phẩm cần thiết liên quan đến Chiến Binh trong phần thưởng.
- Điều chỉnh gói: Thêm CD vào gói Di Tích; gói tăng tốc xây dựng và nghiên cứu hiện chỉ chứa các vật phẩm tăng tốc tương ứng.
- Tập Hợp Lốc Xoáy: giảm độ khó của những nhiệm vụ hàng tuần nhất định; tăng lượng khí Ni-tơ nhận được từ các nhiệm vụ hàng tuần nhất định.</v>
      </c>
      <c r="N15" s="108"/>
      <c r="O15" s="108"/>
      <c r="P15" s="108"/>
      <c r="Q15" s="108"/>
      <c r="R15" s="108"/>
      <c r="S15" s="108"/>
      <c r="T15" s="108"/>
      <c r="U15" s="108"/>
      <c r="V15" s="108"/>
      <c r="W15" s="108"/>
      <c r="X15" s="108"/>
      <c r="Y15" s="108"/>
      <c r="Z15" s="108"/>
    </row>
    <row r="16">
      <c r="A16" s="108" t="str">
        <f>IFERROR(__xludf.DUMMYFUNCTION("""COMPUTED_VALUE"""),"0.32.0")</f>
        <v>0.32.0</v>
      </c>
      <c r="B16" s="108" t="str">
        <f>IFERROR(__xludf.DUMMYFUNCTION("""COMPUTED_VALUE"""),"-调整基地等级解锁行军队列的数量：1~9级为2队，10~17级为3队，18~25级为4队，26~30级为5队；
-收藏品属性：加强了部分收藏品的第一条展览属性数值；
-氏族押运：调整了押镖刷新权重；降低了10-13级氏族押运的难度；
-科林的探索：调整了探索任务的出现频率，降低了探索条件的难度，并增加了探索任务的奖励；调整了挑战任务的难度；
-建筑升级：调整了部分建筑的升级消耗资源和时间；
-艾文寻宝记：调整了艾文寻宝记的产出，降低了挑战关卡的前置条件；
-降低了部分T3科研需求的建筑等级，更容易达到T3"&amp;"；")</f>
        <v>-调整基地等级解锁行军队列的数量：1~9级为2队，10~17级为3队，18~25级为4队，26~30级为5队；
-收藏品属性：加强了部分收藏品的第一条展览属性数值；
-氏族押运：调整了押镖刷新权重；降低了10-13级氏族押运的难度；
-科林的探索：调整了探索任务的出现频率，降低了探索条件的难度，并增加了探索任务的奖励；调整了挑战任务的难度；
-建筑升级：调整了部分建筑的升级消耗资源和时间；
-艾文寻宝记：调整了艾文寻宝记的产出，降低了挑战关卡的前置条件；
-降低了部分T3科研需求的建筑等级，更容易达到T3；</v>
      </c>
      <c r="C16" s="169" t="str">
        <f>IFERROR(__xludf.DUMMYFUNCTION("""COMPUTED_VALUE"""),"- Modified the number of march queues unlocked at various City levels: Lv. 1-9 = 2 queues; Lv. 10-17 = 3 queues; Lv. 18-25 = 4 queues; Lv. 26-30 = 5 queues.
- Relic attributes: enhanced the first display attribute of certain Relics.
- Convoy: adjusted the"&amp;" importance of refreshing Convoys; reduced the difficulty of Lv. 10-13 Convoys.
- Colin's Exploration: adjusted the frequency of exploration quests, reduced the difficulty of exploration conditions, increased exploration quest rewards, adjusted the diffic"&amp;"ulty of challenge quests.
- Building upgrades: adjusted the resource and time cost to upgrade certain buildings.
- Alvin's Treasure Hunt: adjusted the rewards from Alvin's Treasure Hunt, reduced prerequisite conditions for challenge levels.
- Reduced the "&amp;"building level of T3, now it's easier to reach T3;")</f>
        <v>- Modified the number of march queues unlocked at various City levels: Lv. 1-9 = 2 queues; Lv. 10-17 = 3 queues; Lv. 18-25 = 4 queues; Lv. 26-30 = 5 queues.
- Relic attributes: enhanced the first display attribute of certain Relics.
- Convoy: adjusted the importance of refreshing Convoys; reduced the difficulty of Lv. 10-13 Convoys.
- Colin's Exploration: adjusted the frequency of exploration quests, reduced the difficulty of exploration conditions, increased exploration quest rewards, adjusted the difficulty of challenge quests.
- Building upgrades: adjusted the resource and time cost to upgrade certain buildings.
- Alvin's Treasure Hunt: adjusted the rewards from Alvin's Treasure Hunt, reduced prerequisite conditions for challenge levels.
- Reduced the building level of T3, now it's easier to reach T3;</v>
      </c>
      <c r="D16" s="231" t="str">
        <f>IFERROR(__xludf.DUMMYFUNCTION("""COMPUTED_VALUE"""),"- Modification du nombre de bataillons déverrouillés selon le niveau de votre ville: niv. 1-9 = 2 bataillons; niv. 10-17 = 3 bataillons; niv. 18-25 = 4 bataillons; niv. 26-30 = 5 bataillons. 
- Attributs des reliques: amélioration du premier attribut affi"&amp;"ché de certaines reliques. 
- Convoi: ajustement de l'importance des réinitialisations de convois; difficulté réduite des convois de niv. 10-13. 
- Exploration de Colin: ajustement de la fréquence des quêtes d'exploration; réduction de la difficulté des c"&amp;"onditions d'exploration; augmentation des récompenses dans les quêtes d'exploration; équilibrage de la difficulté des quêtes de défi. 
- Amélioration des bâtiments: ajustement du coût en ressources et du temps nécessaire pour l'amélioration de certains bâ"&amp;"timents. 
- Chasse aux trésors d'Alvin: ajustement des récompenses; baisse des conditions prérequises pour les niveaux défi. ")</f>
        <v>- Modification du nombre de bataillons déverrouillés selon le niveau de votre ville: niv. 1-9 = 2 bataillons; niv. 10-17 = 3 bataillons; niv. 18-25 = 4 bataillons; niv. 26-30 = 5 bataillons. 
- Attributs des reliques: amélioration du premier attribut affiché de certaines reliques. 
- Convoi: ajustement de l'importance des réinitialisations de convois; difficulté réduite des convois de niv. 10-13. 
- Exploration de Colin: ajustement de la fréquence des quêtes d'exploration; réduction de la difficulté des conditions d'exploration; augmentation des récompenses dans les quêtes d'exploration; équilibrage de la difficulté des quêtes de défi. 
- Amélioration des bâtiments: ajustement du coût en ressources et du temps nécessaire pour l'amélioration de certains bâtiments. 
- Chasse aux trésors d'Alvin: ajustement des récompenses; baisse des conditions prérequises pour les niveaux défi. </v>
      </c>
      <c r="E16" s="231" t="str">
        <f>IFERROR(__xludf.DUMMYFUNCTION("""COMPUTED_VALUE"""),"- Die mit bestimmten Stadtlevels freigeschaltete Anzahl Marschwarteschlangen wurde geändert: 2 Warteschlangen bei Lv. 1-9, 3 Warteschlangen bei Lv. 10-17, 4 Warteschlangen bei Lv. 18-25, 5 Warteschlangen bei Lv. 26-30.
 - Relikt-Attribute: Das zuerst ange"&amp;"zeigte Attribut bestimmter Relikte wurde verbessert.
 - Konvois: Die Bedeutung des Aktualisierens von Konvois wurde angepasst und die Schwierigkeit von Konvois der Level 10-13 reduziert.
 - Colins Erkundung: Die Häufigkeit von Erkundungsquests wurde angep"&amp;"asst und ihre Belohnungen erhöht; die Schwierigkeit von Herausforderungsquests ebenfalls angepasst.
 - Gebäudeaufwertungen: Die Zeit- und Ressourcenkosten für die Aufwertung bestimmter Gebäude wurden angepasst.
 - Alvins Schatzsuche: Die Belohnungen aus A"&amp;"lvins Schatzsuche wurden angepasst und die Voraussetzungen für Herausforderungsstufen reduziert.")</f>
        <v>- Die mit bestimmten Stadtlevels freigeschaltete Anzahl Marschwarteschlangen wurde geändert: 2 Warteschlangen bei Lv. 1-9, 3 Warteschlangen bei Lv. 10-17, 4 Warteschlangen bei Lv. 18-25, 5 Warteschlangen bei Lv. 26-30.
 - Relikt-Attribute: Das zuerst angezeigte Attribut bestimmter Relikte wurde verbessert.
 - Konvois: Die Bedeutung des Aktualisierens von Konvois wurde angepasst und die Schwierigkeit von Konvois der Level 10-13 reduziert.
 - Colins Erkundung: Die Häufigkeit von Erkundungsquests wurde angepasst und ihre Belohnungen erhöht; die Schwierigkeit von Herausforderungsquests ebenfalls angepasst.
 - Gebäudeaufwertungen: Die Zeit- und Ressourcenkosten für die Aufwertung bestimmter Gebäude wurden angepasst.
 - Alvins Schatzsuche: Die Belohnungen aus Alvins Schatzsuche wurden angepasst und die Voraussetzungen für Herausforderungsstufen reduziert.</v>
      </c>
      <c r="F16" s="231" t="str">
        <f>IFERROR(__xludf.DUMMYFUNCTION("""COMPUTED_VALUE"""),"- Modificação no número de filas de marcha desbloqueadas em vários níveis de cidade: Nv.1-9 = 2 filas; Nv.10-17 = 3 filas; Nv.18-25 = 4 filas; Nv.26-30 = 5 filas.
 - Atributos de relíquias: melhoria no primeiro atributo de exibição de certas relíquias.
 -"&amp;" Comboio: ajuste de relevância da renovação de comboios; redução da dificuldade dos comboios Nv.10-13.
 - Exploração de Colin: ajustes na frequência das missões de exploração, redução da dificuldade das condições de exploração, aumento das recompensas de "&amp;"missões de exploração, ajuste da dificuldade das missões de desafio.
 - Ajustes de estruturas: ajustes nos custo de recursos e de tempo para melhorar determinadas estruturas.
 - Caça ao Tesouro de Alvin: melhoria nas recompensas de Caça ao Tesouro de Alvi"&amp;"n, redução dos pré-requisitos dos níveis de desafio.")</f>
        <v>- Modificação no número de filas de marcha desbloqueadas em vários níveis de cidade: Nv.1-9 = 2 filas; Nv.10-17 = 3 filas; Nv.18-25 = 4 filas; Nv.26-30 = 5 filas.
 - Atributos de relíquias: melhoria no primeiro atributo de exibição de certas relíquias.
 - Comboio: ajuste de relevância da renovação de comboios; redução da dificuldade dos comboios Nv.10-13.
 - Exploração de Colin: ajustes na frequência das missões de exploração, redução da dificuldade das condições de exploração, aumento das recompensas de missões de exploração, ajuste da dificuldade das missões de desafio.
 - Ajustes de estruturas: ajustes nos custo de recursos e de tempo para melhorar determinadas estruturas.
 - Caça ao Tesouro de Alvin: melhoria nas recompensas de Caça ao Tesouro de Alvin, redução dos pré-requisitos dos níveis de desafio.</v>
      </c>
      <c r="G16" s="108" t="str">
        <f>IFERROR(__xludf.DUMMYFUNCTION("""COMPUTED_VALUE"""),"-調整基地等級解鎖行軍隊列的數量：1~9級為2隊，10~17級為3隊，18~25級為4隊，26~30級為5隊；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-科林的探索：調整了探索任務的出現頻率，降低了探索條件的難度，並增加了探索任務的獎勵；調整了挑戰任務的難度；
-建築升級：調整了部分建築的升級消耗資源和時間；
-艾文尋寶記：調整了艾文尋寶記的產出，降低了挑戰關卡的前置條件；
-降低了部分T3科研需求的建築等級，更容易達到T3"&amp;"；")</f>
        <v>-調整基地等級解鎖行軍隊列的數量：1~9級為2隊，10~17級為3隊，18~25級為4隊，26~30級為5隊；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-科林的探索：調整了探索任務的出現頻率，降低了探索條件的難度，並增加了探索任務的獎勵；調整了挑戰任務的難度；
-建築升級：調整了部分建築的升級消耗資源和時間；
-艾文尋寶記：調整了艾文尋寶記的產出，降低了挑戰關卡的前置條件；
-降低了部分T3科研需求的建築等級，更容易達到T3；</v>
      </c>
      <c r="H16" s="231" t="str">
        <f>IFERROR(__xludf.DUMMYFUNCTION("""COMPUTED_VALUE"""),"- Memodifikasi jumlah antrean berbaris yang dibuka di berbagai level Kota: Lv. 1-9 = 2 antrean; Lv. 10-17 = 3 antrean; Lv. 18-25 = 4 antrean; Lv. 26-30 = 5 antrean.
- Atribut Relik: meningkatkan atribut tampilan pertama dari Relik tertentu.
- Konvoi: meny"&amp;"esuaikan pentingnya me-refresh Konvoi; mengurangi kesulitan Konvoi Lv. 10-13.
- Penjelajahan Colin: menyesuaikan frekuensi penjelajahan misi, mengurangi kesulitan kondisi penjelajahan, meningkatkan hadiah misi penjelajahan, menyesuaikan kesulitan misi tan"&amp;"tangan.
- Peningkatan bangunan: menyesuaikan sumber daya dan waktu yang digunakan untuk meningkatkan bangunan tertentu.
- Perburuan Harta Karun Alvin: menyesuaikan hadiah dari Perburuan Harta Karun Alvin, mengurangi kondisi prasyarat untuk level tantangan"&amp;".")</f>
        <v>- Memodifikasi jumlah antrean berbaris yang dibuka di berbagai level Kota: Lv. 1-9 = 2 antrean; Lv. 10-17 = 3 antrean; Lv. 18-25 = 4 antrean; Lv. 26-30 = 5 antrean.
- Atribut Relik: meningkatkan atribut tampilan pertama dari Relik tertentu.
- Konvoi: menyesuaikan pentingnya me-refresh Konvoi; mengurangi kesulitan Konvoi Lv. 10-13.
- Penjelajahan Colin: menyesuaikan frekuensi penjelajahan misi, mengurangi kesulitan kondisi penjelajahan, meningkatkan hadiah misi penjelajahan, menyesuaikan kesulitan misi tantangan.
- Peningkatan bangunan: menyesuaikan sumber daya dan waktu yang digunakan untuk meningkatkan bangunan tertentu.
- Perburuan Harta Karun Alvin: menyesuaikan hadiah dari Perburuan Harta Karun Alvin, mengurangi kondisi prasyarat untuk level tantangan.</v>
      </c>
      <c r="I16" s="108" t="str">
        <f>IFERROR(__xludf.DUMMYFUNCTION("""COMPUTED_VALUE"""),"- แก้ไขจำนวนคิวการเดินทัพที่ปลดล็อกตามเลเวลเมืองต่าง ๆ: เลเวล 1-9 = 2 คิว; เลเวล 10-17 = 3 คิว; เลเวล 18-25 = 4 คิว; เลเวล 26-30 = 5 คิว
 - คุณสมบัติของวัตถุโบราณ: ปรับปรุงคุณสมบัติการแสดงผลครั้งแรกของวัตถุโบราณ บางชิ้น
 - คอนวอย: ปรับความสำคัญของการรีเฟร"&amp;"ชคอนวอย; ลดความยากของคอนวอยเลเวล 10-13
 - การสำรวจของโคลิน: ปรับความถี่ของเควสต์สำรวจ, ลดความยากของเงื่อนไขการสำรวจ, เพิ่มรางวัลเควสต์สำรวจ, ปรับความยากของเควสต์ท้าทาย
 - การอัปเกรดสิ่งปลูกสร้าง: ปรับทรัพยากรและเวลาที่ใช้ในการอัปเกรดสิ่งปลูกสร้างบางประเภท"&amp;"
 - การล่าสมบัติของอัลวิน: ปรับรางวัลในการล่าสมบัติของอัลวิน, ลดเงื่อนไขเบื้องต้นของเลเวลความท้าทาย")</f>
        <v>- แก้ไขจำนวนคิวการเดินทัพที่ปลดล็อกตามเลเวลเมืองต่าง ๆ: เลเวล 1-9 = 2 คิว; เลเวล 10-17 = 3 คิว; เลเวล 18-25 = 4 คิว; เลเวล 26-30 = 5 คิว
 - คุณสมบัติของวัตถุโบราณ: ปรับปรุงคุณสมบัติการแสดงผลครั้งแรกของวัตถุโบราณ บางชิ้น
 - คอนวอย: ปรับความสำคัญของการรีเฟรชคอนวอย; ลดความยากของคอนวอยเลเวล 10-13
 - การสำรวจของโคลิน: ปรับความถี่ของเควสต์สำรวจ, ลดความยากของเงื่อนไขการสำรวจ, เพิ่มรางวัลเควสต์สำรวจ, ปรับความยากของเควสต์ท้าทาย
 - การอัปเกรดสิ่งปลูกสร้าง: ปรับทรัพยากรและเวลาที่ใช้ในการอัปเกรดสิ่งปลูกสร้างบางประเภท
 - การล่าสมบัติของอัลวิน: ปรับรางวัลในการล่าสมบัติของอัลวิน, ลดเงื่อนไขเบื้องต้นของเลเวลความท้าทาย</v>
      </c>
      <c r="J16" s="231" t="str">
        <f>IFERROR(__xludf.DUMMYFUNCTION("""COMPUTED_VALUE"""),"- Modificación del número de filas de marcha desbloqueadas en diversos niveles de Ciudad: Nvl. 1-9 = 2 filas; Nvl. 10-17 = 3 filas; Nvl. 18-25 = 4 filas; Nvl. 26-30 = 5 filas.
 - Atributos de las Reliquias: mejora en el primer atributo de visualización de"&amp;" ciertas Reliquias. 
 - Convoy: Ajustes en la importancia de actualizar Convoyes; reducción en la dificultad de los Convoyes de Nvl. 10-13
 - Exploración de Colin: Ajustes en la frecuencia de las misiones de exploración, reducción en la dificultad de las "&amp;"condiciones de exploración, aumento en las recompensas de misiones de exploración, ajustes en la dificultad de las misiones de reto.
 - Mejoras en edificios: Ajustes en los recursos y el costo en tiempo de mejorar algunos edificios. 
 - Búsqueda del Tesor"&amp;"o de Alvin: ajustes en las recompensas de la Búsqueda del Tesoro de Alvin, reducción en las condiciones de prerrequisito para algunos retos de nivel.")</f>
        <v>- Modificación del número de filas de marcha desbloqueadas en diversos niveles de Ciudad: Nvl. 1-9 = 2 filas; Nvl. 10-17 = 3 filas; Nvl. 18-25 = 4 filas; Nvl. 26-30 = 5 filas.
 - Atributos de las Reliquias: mejora en el primer atributo de visualización de ciertas Reliquias. 
 - Convoy: Ajustes en la importancia de actualizar Convoyes; reducción en la dificultad de los Convoyes de Nvl. 10-13
 - Exploración de Colin: Ajustes en la frecuencia de las misiones de exploración, reducción en la dificultad de las condiciones de exploración, aumento en las recompensas de misiones de exploración, ajustes en la dificultad de las misiones de reto.
 - Mejoras en edificios: Ajustes en los recursos y el costo en tiempo de mejorar algunos edificios. 
 - Búsqueda del Tesoro de Alvin: ajustes en las recompensas de la Búsqueda del Tesoro de Alvin, reducción en las condiciones de prerrequisito para algunos retos de nivel.</v>
      </c>
      <c r="K16" s="231" t="str">
        <f>IFERROR(__xludf.DUMMYFUNCTION("""COMPUTED_VALUE"""),"- Изменено количество очередей марша, которые открываются на разных уровнях города: уровни 1-9 = 2 очереди; уровни 10-17 = 3 очереди; уровни 18-25 = 4 очереди; уровни 26-30 = 5 очередей.
- Показатели реликвий: улучшен первый бонус к показателям за выставл"&amp;"ение некоторых реликвий.
- Караваны: изменена важность обновления караванов; снижена сложность караванов уровней 10-13.
- Исследования Колина: изменена частота заданий исследования, снижена сложность условий исследования, увеличена награда за задания иссл"&amp;"едования, изменена сложность заданий вызова.
- Улучшение зданий: изменена стоимость в ресурсах и время улучшения некоторых зданий.
- Охота за сокровищами Альвина: изменена награда за «Охоту за сокровищами Альвина», снижены предварительные условия для уров"&amp;"ней испытания.")</f>
        <v>- Изменено количество очередей марша, которые открываются на разных уровнях города: уровни 1-9 = 2 очереди; уровни 10-17 = 3 очереди; уровни 18-25 = 4 очереди; уровни 26-30 = 5 очередей.
- Показатели реликвий: улучшен первый бонус к показателям за выставление некоторых реликвий.
- Караваны: изменена важность обновления караванов; снижена сложность караванов уровней 10-13.
- Исследования Колина: изменена частота заданий исследования, снижена сложность условий исследования, увеличена награда за задания исследования, изменена сложность заданий вызова.
- Улучшение зданий: изменена стоимость в ресурсах и время улучшения некоторых зданий.
- Охота за сокровищами Альвина: изменена награда за «Охоту за сокровищами Альвина», снижены предварительные условия для уровней испытания.</v>
      </c>
      <c r="L16" s="231" t="str">
        <f>IFERROR(__xludf.DUMMYFUNCTION("""COMPUTED_VALUE"""),"- Çeşitli Şehir seviyelerinde açılan sefer sıralarının sayısı değiştirildi: 1.-9. Sv. = 2 sıra; 10.-17. Sv. = 3 sıra; 18.-25. Sv. = 4 sıra; 26.-30. Sv. = 5 sıra.
 - Kalıntı nitelikleri: belirli Kalıntıların ilk görüntüleme niteliği geliştirildi.
 - Konvoy"&amp;": Konvoyları yenilemenin önemi ayarlandı; 10.-13. Sv. Konvoyların zorluğu azaltıldı. 
 - Colin’in Keşfi: keşif maceralarının sıklığı ayarlandı, keşif koşullarının zorluğu azaltıldı, keşif macerası ödülleri artırıldı, meydan okuma maceralarının zorluğu aya"&amp;"rlandı.
 - Bina yükseltmeleri: belirli binaları yükseltmek için kaynak ve zaman maliyeti ayarlandı.
 - Alvin’in Hazine Avı: Alvin’in Hazine Avından gelen ödüller ayarlandı, meydan okuma seviyeleri için ön koşullar azaltıldı.")</f>
        <v>- Çeşitli Şehir seviyelerinde açılan sefer sıralarının sayısı değiştirildi: 1.-9. Sv. = 2 sıra; 10.-17. Sv. = 3 sıra; 18.-25. Sv. = 4 sıra; 26.-30. Sv. = 5 sıra.
 - Kalıntı nitelikleri: belirli Kalıntıların ilk görüntüleme niteliği geliştirildi.
 - Konvoy: Konvoyları yenilemenin önemi ayarlandı; 10.-13. Sv. Konvoyların zorluğu azaltıldı. 
 - Colin’in Keşfi: keşif maceralarının sıklığı ayarlandı, keşif koşullarının zorluğu azaltıldı, keşif macerası ödülleri artırıldı, meydan okuma maceralarının zorluğu ayarlandı.
 - Bina yükseltmeleri: belirli binaları yükseltmek için kaynak ve zaman maliyeti ayarlandı.
 - Alvin’in Hazine Avı: Alvin’in Hazine Avından gelen ödüller ayarlandı, meydan okuma seviyeleri için ön koşullar azaltıldı.</v>
      </c>
      <c r="M16" s="231" t="str">
        <f>IFERROR(__xludf.DUMMYFUNCTION("""COMPUTED_VALUE"""),"- Đã điều chỉnh số lượng hàng chờ hành quân được mở khóa ở các cấp Thành Phố: Cấp 1-9 = 2 hàng chờ; Cấp 10-17 = 3 hàng chờ; Cấp 18-25 = 4 hàng chờ; Cấp 26-30 = 5 hàng chờ.
 - Phẩm chất Di Tích: tăng cường thuộc tính hiển thị đầu tiên của một số Di Tích nh"&amp;"ất định.
 - Xe Chuyên Chở: đã điều chỉnh tầm quan trọng của việc làm mới Xe Chuyên Chở; giảm độ khó của Xe Chuyên Chở cấp 10-13.
 - Khám Phá Của Colin: đã điều chỉnh tần suất của các nhiệm vụ khám phá, giảm độ khó của các điều kiện khám phá, tăng thưởng n"&amp;"hiệm vụ khám phá, điều chỉnh độ khó của các nhiệm vụ thử thách.
 - Nâng cấp công trình: đã điều chỉnh chi phí tài nguyên và thời gian để nâng cấp một số công trình nhất định.
 - Săn Kho Báu của Alvin: đã điều chỉnh phần thưởng từ Săn Kho Báu của Alvin, gi"&amp;"ảm các điều kiện tiên quyết của các cấp độ thách thức.")</f>
        <v>- Đã điều chỉnh số lượng hàng chờ hành quân được mở khóa ở các cấp Thành Phố: Cấp 1-9 = 2 hàng chờ; Cấp 10-17 = 3 hàng chờ; Cấp 18-25 = 4 hàng chờ; Cấp 26-30 = 5 hàng chờ.
 - Phẩm chất Di Tích: tăng cường thuộc tính hiển thị đầu tiên của một số Di Tích nhất định.
 - Xe Chuyên Chở: đã điều chỉnh tầm quan trọng của việc làm mới Xe Chuyên Chở; giảm độ khó của Xe Chuyên Chở cấp 10-13.
 - Khám Phá Của Colin: đã điều chỉnh tần suất của các nhiệm vụ khám phá, giảm độ khó của các điều kiện khám phá, tăng thưởng nhiệm vụ khám phá, điều chỉnh độ khó của các nhiệm vụ thử thách.
 - Nâng cấp công trình: đã điều chỉnh chi phí tài nguyên và thời gian để nâng cấp một số công trình nhất định.
 - Săn Kho Báu của Alvin: đã điều chỉnh phần thưởng từ Săn Kho Báu của Alvin, giảm các điều kiện tiên quyết của các cấp độ thách thức.</v>
      </c>
      <c r="N16" s="108"/>
      <c r="O16" s="108"/>
      <c r="P16" s="108"/>
      <c r="Q16" s="108"/>
      <c r="R16" s="108"/>
      <c r="S16" s="108"/>
      <c r="T16" s="108"/>
      <c r="U16" s="108"/>
      <c r="V16" s="108"/>
      <c r="W16" s="108"/>
      <c r="X16" s="108"/>
      <c r="Y16" s="108"/>
      <c r="Z16" s="108"/>
    </row>
    <row r="17">
      <c r="A17" s="108" t="str">
        <f>IFERROR(__xludf.DUMMYFUNCTION("""COMPUTED_VALUE"""),"0.33.0")</f>
        <v>0.33.0</v>
      </c>
      <c r="B17" s="108" t="str">
        <f>IFERROR(__xludf.DUMMYFUNCTION("""COMPUTED_VALUE"""),"-调整了英雄的战力，现在英雄的战力更能够体现出英雄的实力了；
-太空争霸开放周期调整：太空争霸的开放周期更改为两周一次；
-优化了一网打尽活动的活动奖励，在挑战奖励和排行榜奖励中添加了大量的军备强化道具；
-调整了一网打尽活动的难度和波次的计时时间，现在玩家有更多的挑战时间；
-氏族押运活动调整：可以通过提升仓库等级来提高奖励，并且提高了每日获得护卫奖励的次数上限；
-收藏品探测活动奖励调整：将收藏品探测前10次的额外奖励调整至猴子收藏家活动中，提升了猴子收藏家活动部分档位奖励；")</f>
        <v>-调整了英雄的战力，现在英雄的战力更能够体现出英雄的实力了；
-太空争霸开放周期调整：太空争霸的开放周期更改为两周一次；
-优化了一网打尽活动的活动奖励，在挑战奖励和排行榜奖励中添加了大量的军备强化道具；
-调整了一网打尽活动的难度和波次的计时时间，现在玩家有更多的挑战时间；
-氏族押运活动调整：可以通过提升仓库等级来提高奖励，并且提高了每日获得护卫奖励的次数上限；
-收藏品探测活动奖励调整：将收藏品探测前10次的额外奖励调整至猴子收藏家活动中，提升了猴子收藏家活动部分档位奖励；</v>
      </c>
      <c r="C17" s="169" t="str">
        <f>IFERROR(__xludf.DUMMYFUNCTION("""COMPUTED_VALUE"""),"- Adjusted Fighter Power so that it’s now more reflective of the Fighter's strengths.
- Supremacy Competition event period adjusted: the event will now take place once every two weeks.
- Optimized rewards for One Fell Swoop, adding a large number of Gear-"&amp;"enhancing items to the challenge and ranking rewards.
- Adjusted the difficulty and timing of Mutant waves in One Fell Swoop, players will now have more time to complete the challenge.
- Clan Convoy modified: you may now increase rewards by upgrading the "&amp;"Warehouse; raised the limit for the number of escort rewards you can receive per day.
- Relic Detection rewards adjusted: the bonus rewards from the first 10 Relic Detections moved to the Primate Collector event, also enhanced certain reward tiers in Prim"&amp;"ate Collector.")</f>
        <v>- Adjusted Fighter Power so that it’s now more reflective of the Fighter's strengths.
- Supremacy Competition event period adjusted: the event will now take place once every two weeks.
- Optimized rewards for One Fell Swoop, adding a large number of Gear-enhancing items to the challenge and ranking rewards.
- Adjusted the difficulty and timing of Mutant waves in One Fell Swoop, players will now have more time to complete the challenge.
- Clan Convoy modified: you may now increase rewards by upgrading the Warehouse; raised the limit for the number of escort rewards you can receive per day.
- Relic Detection rewards adjusted: the bonus rewards from the first 10 Relic Detections moved to the Primate Collector event, also enhanced certain reward tiers in Primate Collector.</v>
      </c>
      <c r="D17" s="231" t="str">
        <f>IFERROR(__xludf.DUMMYFUNCTION("""COMPUTED_VALUE"""),"- Nouveau système d’équipements: équipez vos troupes d’armes pour augmenter leur puissance.
- Optimisation de la Course à la suprématie: un gameplay plus fluide, permettant à chaque joueur de contribuer au lancement de la fusée du clan; ajout de récompens"&amp;"es.
- Nouvelle combattante: Darcy, une voleuse surnommée le fantôme de Bandibourg. Cette héroïne est ultra rapide! Obtenez-la grâce aux 7 jours de test de Darcy ou dans l’arène.
- Optimisation de la Chasse aux trésors: ajout de niveaux.
- Optimisation des"&amp;" conditions de réussite des quêtes et ajout de catégories dans l’Exploration de Colin.
- Optimisation du Rallye du cyclone: vous pouvez désormais choisir un cadre d’avatar.
- Optimisations des performances du menu d’utilisation des objets, de l’interface "&amp;"des convois de clan, de l’amélioration de l’hôtel de ville, et des conseils pour les changements de pouvoirs.
- Optimisation du tutoriel: ajout ou modification de certaines informations pour vous aider à comprendre plus rapidement le gameplay.
")</f>
        <v>- Nouveau système d’équipements: équipez vos troupes d’armes pour augmenter leur puissance.
- Optimisation de la Course à la suprématie: un gameplay plus fluide, permettant à chaque joueur de contribuer au lancement de la fusée du clan; ajout de récompenses.
- Nouvelle combattante: Darcy, une voleuse surnommée le fantôme de Bandibourg. Cette héroïne est ultra rapide! Obtenez-la grâce aux 7 jours de test de Darcy ou dans l’arène.
- Optimisation de la Chasse aux trésors: ajout de niveaux.
- Optimisation des conditions de réussite des quêtes et ajout de catégories dans l’Exploration de Colin.
- Optimisation du Rallye du cyclone: vous pouvez désormais choisir un cadre d’avatar.
- Optimisations des performances du menu d’utilisation des objets, de l’interface des convois de clan, de l’amélioration de l’hôtel de ville, et des conseils pour les changements de pouvoirs.
- Optimisation du tutoriel: ajout ou modification de certaines informations pour vous aider à comprendre plus rapidement le gameplay.
</v>
      </c>
      <c r="E17" s="231" t="str">
        <f>IFERROR(__xludf.DUMMYFUNCTION("""COMPUTED_VALUE"""),"- Neues Ausrüstungssystem: Rüste deine Truppen mit Ausrüstung aus, um sie stärker zu machen.
 - Vorherrschaft-Wettbewerb optimiert: der Spieleablauf wurde verbessert, so dass jeder Spieler zum Raketenstart der Horde beitragen kann; mehr Belohnungen hinzug"&amp;"efügt.
 - Neuer Kämpfer: eine heldenhafte Diebin, bekannt als das Phantom von Wildtown - Darcy. Geschwindigkeit ist ihr zweiter Vorname! Du erhältst sie über die 7-tägige Bewertungsphase von Darcy oder in der Arena.
 - Schatzsuche optimiert: neue Level hi"&amp;"nzugefügt.
 - Colins Erkundung optimiert: Quest-Anforderungen optimiert, Kategorien hinzugefügt.
 - Zyklon-Rennen optimiert: Du kannst jetzt einen Avatarrahmen auswählen.
 - Interface-Optimierungen: Optimierte Leistung des Interfaces zur Verwendung von Ge"&amp;"genständen, des Interfaces für Horden-Konvois, des Interfaces zum Aufwerten des Rathauses und des Stärkeänderungstipps.
 - Optimierung des Tutorials: Bestimmte Tutorial-Elemente wurden hinzugefügt oder angepasst, damit du die damit verbundenen Spielelemen"&amp;"te schneller verstehen kannst.")</f>
        <v>- Neues Ausrüstungssystem: Rüste deine Truppen mit Ausrüstung aus, um sie stärker zu machen.
 - Vorherrschaft-Wettbewerb optimiert: der Spieleablauf wurde verbessert, so dass jeder Spieler zum Raketenstart der Horde beitragen kann; mehr Belohnungen hinzugefügt.
 - Neuer Kämpfer: eine heldenhafte Diebin, bekannt als das Phantom von Wildtown - Darcy. Geschwindigkeit ist ihr zweiter Vorname! Du erhältst sie über die 7-tägige Bewertungsphase von Darcy oder in der Arena.
 - Schatzsuche optimiert: neue Level hinzugefügt.
 - Colins Erkundung optimiert: Quest-Anforderungen optimiert, Kategorien hinzugefügt.
 - Zyklon-Rennen optimiert: Du kannst jetzt einen Avatarrahmen auswählen.
 - Interface-Optimierungen: Optimierte Leistung des Interfaces zur Verwendung von Gegenständen, des Interfaces für Horden-Konvois, des Interfaces zum Aufwerten des Rathauses und des Stärkeänderungstipps.
 - Optimierung des Tutorials: Bestimmte Tutorial-Elemente wurden hinzugefügt oder angepasst, damit du die damit verbundenen Spielelemente schneller verstehen kannst.</v>
      </c>
      <c r="F17" s="231" t="str">
        <f>IFERROR(__xludf.DUMMYFUNCTION("""COMPUTED_VALUE"""),"- Novo sistema de equipamentos: prepare suas tropas com equipamentos para torná-las mais poderosas.
 - Melhoria em Competição pela Supremacia: ritmo de jogo melhorado, de modo que cada jogador possa contribuir no lançamento do foguete do clã, além de mais"&amp;" recompensas adicionadas.
 - Nova combatente: a heroína e ladra conhecida como ""Fantasma da Cidade Selvagem"", Darcy. Seu sobrenome é velocidade! Obtenha-a por meio da avaliação de 7 dias de Darcy ou na arena.
 - Melhoria em Caça ao Tesouro: novos níveis"&amp;" adicionados.
 - Exploração de Colin otimizada: melhoria nos requisitos da missão, categorias adicionadas.
 - Melhoria em Incursão Ciclone: agora é possível escolher uma moldura de avatar.
 - Melhorias de Interface: melhorias do desempenho da interface de"&amp;" itens, interfaces de comboios do clã e de melhoria da prefeitura, além de dicas de mudança de poder.
 - Melhoria no tutorial: adições e mudanças em determinados elementos do tutorial para ajudar na compreensão mais rápida dos modos de jogo.")</f>
        <v>- Novo sistema de equipamentos: prepare suas tropas com equipamentos para torná-las mais poderosas.
 - Melhoria em Competição pela Supremacia: ritmo de jogo melhorado, de modo que cada jogador possa contribuir no lançamento do foguete do clã, além de mais recompensas adicionadas.
 - Nova combatente: a heroína e ladra conhecida como "Fantasma da Cidade Selvagem", Darcy. Seu sobrenome é velocidade! Obtenha-a por meio da avaliação de 7 dias de Darcy ou na arena.
 - Melhoria em Caça ao Tesouro: novos níveis adicionados.
 - Exploração de Colin otimizada: melhoria nos requisitos da missão, categorias adicionadas.
 - Melhoria em Incursão Ciclone: agora é possível escolher uma moldura de avatar.
 - Melhorias de Interface: melhorias do desempenho da interface de itens, interfaces de comboios do clã e de melhoria da prefeitura, além de dicas de mudança de poder.
 - Melhoria no tutorial: adições e mudanças em determinados elementos do tutorial para ajudar na compreensão mais rápida dos modos de jogo.</v>
      </c>
      <c r="G17" s="108" t="str">
        <f>IFERROR(__xludf.DUMMYFUNCTION("""COMPUTED_VALUE"""),"-調整基地等級解鎖行軍隊列的數量：1~9級為2隊，10~17級為3隊，18~25級為4隊，26~30級為5隊；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-科林的探索：調整了探索任務的出現頻率，降低了探索條件的難度，並增加了探索任務的獎勵；調整了挑戰任務的難度；
-建築升級：調整了部分建築的升級消耗資源和時間；
-艾文尋寶記：調整了艾文尋寶記的產出，降低了挑戰關卡的前置條件；
-降低了部分T3科研需求的建築等級，更容易達到T3"&amp;"；")</f>
        <v>-調整基地等級解鎖行軍隊列的數量：1~9級為2隊，10~17級為3隊，18~25級為4隊，26~30級為5隊；
-收藏品屬性：加強了部分收藏品的第一條展覽屬性數值；
-氏族押運：調整了押鏢刷新權重；降低了10-13級氏族押運的難度；
-科林的探索：調整了探索任務的出現頻率，降低了探索條件的難度，並增加了探索任務的獎勵；調整了挑戰任務的難度；
-建築升級：調整了部分建築的升級消耗資源和時間；
-艾文尋寶記：調整了艾文尋寶記的產出，降低了挑戰關卡的前置條件；
-降低了部分T3科研需求的建築等級，更容易達到T3；</v>
      </c>
      <c r="H17" s="231" t="str">
        <f>IFERROR(__xludf.DUMMYFUNCTION("""COMPUTED_VALUE"""),"- Sistem Perlengkapan Baru: lengkapi pasukanmu dengan Perlengkapan untuk membuatnya lebih kuat.
 - Mengoptimalkan Kompetisi Supremasi: memperkaya alur gameplay sehingga setiap pemain bisa berkontribusi pada peluncuran Roket Klan; menambahkan lebih banyak "&amp;"hadiah.
 -Pejuang Baru: pahlawan wanita pencuri yang dikenal sebagai Phantom of Wildtown-Darcy. Kecepatan adalah nama tengahnya! Dapatkan Darcy melalui Evaluasi 7 Hari Darcy atau Arena.
 - Mengoptimalkan Perburuan Harta Karun: level baru ditambahkan.
 - M"&amp;"engoptimalkan Penjelajahan Colin: mengoptimalkan persyaratan misi, menambahkan Kategori.
 - Mengoptimalkan Reli Topan: Kamu sekarang bisa memilih bingkai avatar.
 - Pengoptimalan antarmuka: mengoptimalkan performa antarmuka penggunaan item, antarmuka Konv"&amp;"oi Klan, antarmuka peningkatan Balai Kota, dan tip perubahan kekuatan.
 - Mengoptimalkan tutorial: menambahkan atau mengubah elemen tutorial tertentu untuk membantumu memahami gameplay terkait lebih cepat.")</f>
        <v>- Sistem Perlengkapan Baru: lengkapi pasukanmu dengan Perlengkapan untuk membuatnya lebih kuat.
 - Mengoptimalkan Kompetisi Supremasi: memperkaya alur gameplay sehingga setiap pemain bisa berkontribusi pada peluncuran Roket Klan; menambahkan lebih banyak hadiah.
 -Pejuang Baru: pahlawan wanita pencuri yang dikenal sebagai Phantom of Wildtown-Darcy. Kecepatan adalah nama tengahnya! Dapatkan Darcy melalui Evaluasi 7 Hari Darcy atau Arena.
 - Mengoptimalkan Perburuan Harta Karun: level baru ditambahkan.
 - Mengoptimalkan Penjelajahan Colin: mengoptimalkan persyaratan misi, menambahkan Kategori.
 - Mengoptimalkan Reli Topan: Kamu sekarang bisa memilih bingkai avatar.
 - Pengoptimalan antarmuka: mengoptimalkan performa antarmuka penggunaan item, antarmuka Konvoi Klan, antarmuka peningkatan Balai Kota, dan tip perubahan kekuatan.
 - Mengoptimalkan tutorial: menambahkan atau mengubah elemen tutorial tertentu untuk membantumu memahami gameplay terkait lebih cepat.</v>
      </c>
      <c r="I17" s="108" t="str">
        <f>IFERROR(__xludf.DUMMYFUNCTION("""COMPUTED_VALUE"""),"- ระบบอุปกรณ์ใหม่: สวมใส่อุปกรณ์ให้กองทหารของคุณเพื่อให้มีพลังมากขึ้น
 - ปรับปรุงการแข่งขันเพื่อชิงอำนาจ: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วีรสตรีจอมโจรที่รู้จักกัน"&amp;"ในชื่อดาร์ซี่ เงามืดแห่งไวลด์ทาวน์ ที่เธอมีชื่อกลางว่าเร็วจัด ๆ! คุณสามารถได้ตัวเธอมาจากการผ่านการประเมิน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
 - ปรั"&amp;"บปรุงไซโคลนแรลลี่: คุณสามารถเลือกกรอบรูปอวาตาร์ได้แล้ว
 - การปรับปรุงอินเตอร์เฟซ: ปรับปรุงอินเตอร์เฟซการใช้ไอเท็ม อินเตอร์เฟซรถคอนวอยของเผ่า อินเตอร์เฟซการอัปเกรดศาลากลาง และเคล็ดลับการเปลี่ยนพลังงาน
 - ปรับปรุงบทแนะนำ: เพิ่มหรือเปลี่ยนองค์ประกอบการสอนบาง"&amp;"ส่วน เพื่อช่วยให้คุณสามารถเข้าใจการเล่นเกมได้เร็วขึ้น")</f>
        <v>- ระบบอุปกรณ์ใหม่: สวมใส่อุปกรณ์ให้กองทหารของคุณเพื่อให้มีพลังมากขึ้น
 - ปรับปรุงการแข่งขันเพื่อชิงอำนาจ: ปรับปรุงขั้นตอนการเล่น เพื่อให้ผู้เล่นทุกคนสามารถมีส่วนร่วมในการปล่อยจรวดของเผ่าได้ และเพิ่มรางวัลมากขึ้น
 - นักสู้รายใหม่: วีรสตรีจอมโจรที่รู้จักกันในชื่อดาร์ซี่ เงามืดแห่งไวลด์ทาวน์ ที่เธอมีชื่อกลางว่าเร็วจัด ๆ! คุณสามารถได้ตัวเธอมาจากการผ่านการประเมิน 7 วันของดาร์ซี่หรือสนามต่อสู้
 - ความเร็วการล่าขุมทรัพย์: เพิ่มระดับใหม่
 - ความเร็วการสำรวจของโคลิน: ปรับปรุงข้อกำหนดของภารกิจ, เพิ่มหมวดหมู่
 - ปรับปรุงไซโคลนแรลลี่: คุณสามารถเลือกกรอบรูปอวาตาร์ได้แล้ว
 - การปรับปรุงอินเตอร์เฟซ: ปรับปรุงอินเตอร์เฟซการใช้ไอเท็ม อินเตอร์เฟซรถคอนวอยของเผ่า อินเตอร์เฟซการอัปเกรดศาลากลาง และเคล็ดลับการเปลี่ยนพลังงาน
 - ปรับปรุงบทแนะนำ: เพิ่มหรือเปลี่ยนองค์ประกอบการสอนบางส่วน เพื่อช่วยให้คุณสามารถเข้าใจการเล่นเกมได้เร็วขึ้น</v>
      </c>
      <c r="J17" s="231" t="str">
        <f>IFERROR(__xludf.DUMMYFUNCTION("""COMPUTED_VALUE"""),"- Nuevo Sistema de Equipo: Equipa a tus tropas con Equipos para hacerlas más poderosas.
 - Optimización de la Competencia por la Supremacía: Se enriqueció el flujo del juego para que cada jugador pueda contribuir al lanzamiento del Cohete del Clan; se agr"&amp;"egaron más recompensas. 
 - Nuevo Luchador: Darcy - Una ladrona heroína conocida como el Fantasma del Pueblo Salvaje. ¡la velocidad es su apellido! Consíguela mediante la Evaluación de Darcy de 7 días o en la Arena. 
 - Optimización de Cacería del Tesoro:"&amp;" Se agregaron nuevos niveles.
 - Optimización de la Exploración de Colin: Optimización de los requerimientos de misión, se agregaron Categorías.
 - Optimización del Rally del Ciclón: Ahora puedes seleccionar un marco de avatar. 
 - Optimizaciones de inter"&amp;"fase: Optimizaciones de desempeño en la interfase de uso de artículos, interfase de Convoy del Clan, mejora en la interfase del Ayuntamiento y consejos para cambios de poder. 
 - Optimización de Tutorial: Se agregaron o cambiaron algunos elementos del tut"&amp;"orial para ayudarte a entender formas de juego relacionadas más rápido.")</f>
        <v>- Nuevo Sistema de Equipo: Equipa a tus tropas con Equipos para hacerlas más poderosas.
 - Optimización de la Competencia por la Supremacía: Se enriqueció el flujo del juego para que cada jugador pueda contribuir al lanzamiento del Cohete del Clan; se agregaron más recompensas. 
 - Nuevo Luchador: Darcy - Una ladrona heroína conocida como el Fantasma del Pueblo Salvaje. ¡la velocidad es su apellido! Consíguela mediante la Evaluación de Darcy de 7 días o en la Arena. 
 - Optimización de Cacería del Tesoro: Se agregaron nuevos niveles.
 - Optimización de la Exploración de Colin: Optimización de los requerimientos de misión, se agregaron Categorías.
 - Optimización del Rally del Ciclón: Ahora puedes seleccionar un marco de avatar. 
 - Optimizaciones de interfase: Optimizaciones de desempeño en la interfase de uso de artículos, interfase de Convoy del Clan, mejora en la interfase del Ayuntamiento y consejos para cambios de poder. 
 - Optimización de Tutorial: Se agregaron o cambiaron algunos elementos del tutorial para ayudarte a entender formas de juego relacionadas más rápido.</v>
      </c>
      <c r="K17" s="231" t="str">
        <f>IFERROR(__xludf.DUMMYFUNCTION("""COMPUTED_VALUE"""),"-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каждый игрок мог внести свой вклад в запуск ракеты клана; добавлено больше наград"&amp;".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 сокровищами: добавлены новые уровни.
- Оптимизированы «Исследования Колина»: усо"&amp;"вершенствованы требования к заданиям, добавлены категории.
- Оптимизированы «Ураганные гонки»: теперь вы можете выбрать рамку аватара.
- Оптимизирован интерфейс: повышено быстродействие интерфейса использования предметов, интерфейса каравана клана, интерф"&amp;"ейса улучшения городского совета и подсказок об изменении мощи.
- Оптимизировано обучение: определенные элементы обучения добавлены или изменены, чтобы помочь вам быстрее разобраться в соответствующих игровых процессах.")</f>
        <v>- Новая система снаряжения: оснастите свои войска снаряжением, чтобы сделать их более мощными.
- Оптимизировано «Состязание за превосходство»: улучшен игровой процесс, чтобы каждый игрок мог внести свой вклад в запуск ракеты клана; добавлено больше наград.
- Новая героиня: воровка по прозвищу Призрак Дикого Города — Дарси. Скорость — ее второе имя! Получите ее в семидневной оценке Дарси или на арене.
- Оптимизирована охота за сокровищами: добавлены новые уровни.
- Оптимизированы «Исследования Колина»: усовершенствованы требования к заданиям, добавлены категории.
- Оптимизированы «Ураганные гонки»: теперь вы можете выбрать рамку аватара.
- Оптимизирован интерфейс: повышено быстродействие интерфейса использования предметов, интерфейса каравана клана, интерфейса улучшения городского совета и подсказок об изменении мощи.
- Оптимизировано обучение: определенные элементы обучения добавлены или изменены, чтобы помочь вам быстрее разобраться в соответствующих игровых процессах.</v>
      </c>
      <c r="L17" s="231" t="str">
        <f>IFERROR(__xludf.DUMMYFUNCTION("""COMPUTED_VALUE"""),"- Yeni Aksesuar sistemi: birliklerini güçlendirmek için onları Aksesuarlarla donat.
 - Üstünlük Müsabakası optimize edildi: her oyuncunun Klanın Roket fırlatmasına katkıda bulunabilmesi için oynanış zenginleştirildi; daha fazla ödül eklendi.
 - Yeni Savaş"&amp;"çı: Wildtown’ın Hayaleti - Darcy olarak bilinen kahraman bir hırsız. Hız onun göbek adı! Onu Darcy’nin 7 Günlük Değerlendirmesinden veya Arenadan elde et.
 - Hazine Avı optimize edildi: yeni seviyeler eklendi.
 - Colin’in Keşfi optimize edildi: görev gere"&amp;"ksinimleri optimize edildi, Kategoriler eklendi.
 - Tufan Toplu Saldırısı optimize edildi: artık bir avatar çerçevesi seçebilirsin.
 - Arayüz optimizasyonları: eşya kullanım arayüzü, Klan Konvoyu arayüzü, Meclis yükseltme arayüzü ve güç değişikliği ipucu "&amp;"performansları optimize edildi.
 - Öğretici optimize edildi: ilgili oynanışları daha hızlı anlamana yardımcı olmak için belirli öğretici elementleri eklendi veya değiştirildi.")</f>
        <v>- Yeni Aksesuar sistemi: birliklerini güçlendirmek için onları Aksesuarlarla donat.
 - Üstünlük Müsabakası optimize edildi: her oyuncunun Klanın Roket fırlatmasına katkıda bulunabilmesi için oynanış zenginleştirildi; daha fazla ödül eklendi.
 - Yeni Savaşçı: Wildtown’ın Hayaleti - Darcy olarak bilinen kahraman bir hırsız. Hız onun göbek adı! Onu Darcy’nin 7 Günlük Değerlendirmesinden veya Arenadan elde et.
 - Hazine Avı optimize edildi: yeni seviyeler eklendi.
 - Colin’in Keşfi optimize edildi: görev gereksinimleri optimize edildi, Kategoriler eklendi.
 - Tufan Toplu Saldırısı optimize edildi: artık bir avatar çerçevesi seçebilirsin.
 - Arayüz optimizasyonları: eşya kullanım arayüzü, Klan Konvoyu arayüzü, Meclis yükseltme arayüzü ve güç değişikliği ipucu performansları optimize edildi.
 - Öğretici optimize edildi: ilgili oynanışları daha hızlı anlamana yardımcı olmak için belirli öğretici elementleri eklendi veya değiştirildi.</v>
      </c>
      <c r="M17" s="231" t="str">
        <f>IFERROR(__xludf.DUMMYFUNCTION("""COMPUTED_VALUE"""),"- Hệ thống Trang Bị mới: trang bị cho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-"&amp;" Chiến Binh mới: nữ cướp anh hùng nổi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ưu"&amp;" các yêu cầu nhiệm vụ, đã thêm các Hạng Mục.
 - Đã tối ưu Tập Hợp Lốc Xoáy: hiện bạn có thể chọn một khung ảnh đại diện.
 - Đã tối ưu giao diện: đã tối ưu hiệu suất của giao diện sử dụng vật phẩm, giao diện Xe Chuyên Chở Bộ Lạc, giao diện nâng cấp Tòa Thị"&amp;" Chính, và mẹo thay đổi chiến lực.
 - Đã tối ưu hướng dẫn: đã thêm hoặc thay đổi một số yếu tố hướng dẫn để giúp bạn hiểu lối chơi liên quan nhanh hơn.")</f>
        <v>- Hệ thống Trang Bị mới: trang bị cho các binh lính của bạn những Trang Bị để họ dũng mãnh hơn.
 - Đã tối ưu Tranh Hùng Bá Chủ: đa dạng hóa lối chơi để tất cả người chơi có thể đóng góp vào nhiệm vụ phóng Hỏa Tiễn của Bộ Lạc; đã thêm nhiều phần thưởng.
 - Chiến Binh mới: nữ cướp anh hùng nổi danh tới tên gọi Mị Ảnh Hoang Thành - Darcy. Tốc độ là tên đệm của cô ấy! Nhận cô ấy qua Đánh giá Darcy 7 ngày hoặc Đấu Trường.
 - Đã tối ưu Săn Kho Báu: đã thêm các cấp mới.
 - Đã tối ưu Khám Phá Của Colin: đã tối ưu các yêu cầu nhiệm vụ, đã thêm các Hạng Mục.
 - Đã tối ưu Tập Hợp Lốc Xoáy: hiện bạn có thể chọn một khung ảnh đại diện.
 - Đã tối ưu giao diện: đã tối ưu hiệu suất của giao diện sử dụng vật phẩm, giao diện Xe Chuyên Chở Bộ Lạc, giao diện nâng cấp Tòa Thị Chính, và mẹo thay đổi chiến lực.
 - Đã tối ưu hướng dẫn: đã thêm hoặc thay đổi một số yếu tố hướng dẫn để giúp bạn hiểu lối chơi liên quan nhanh hơn.</v>
      </c>
      <c r="N17" s="108"/>
      <c r="O17" s="108"/>
      <c r="P17" s="108"/>
      <c r="Q17" s="108"/>
      <c r="R17" s="108"/>
      <c r="S17" s="108"/>
      <c r="T17" s="108"/>
      <c r="U17" s="108"/>
      <c r="V17" s="108"/>
      <c r="W17" s="108"/>
      <c r="X17" s="108"/>
      <c r="Y17" s="108"/>
      <c r="Z17" s="108"/>
    </row>
    <row r="18">
      <c r="A18" s="108" t="str">
        <f>IFERROR(__xludf.DUMMYFUNCTION("""COMPUTED_VALUE"""),"0.34.0")</f>
        <v>0.34.0</v>
      </c>
      <c r="B18" s="108" t="str">
        <f>IFERROR(__xludf.DUMMYFUNCTION("""COMPUTED_VALUE"""),"-氏族增益属性调整：帮助更好的平衡氏族之间的实力。
-VIP礼包斗士奖牌调整：帮助玩家在前期更快培养VIP专属斗士。
-泳池派对活动兑换数值调整：调整了贝壳兑换道具的数值，并补充了军备相关道具。
-发射准备活动数值调整：优化了第一档奖励的完成条件。
-科林的探索调整：探索任务中，需求士兵等级的条件难度降低，移除了需要5级士兵的条件。
-每日任务活跃宝箱增加军备材料产出，荣誉币商店中增加了军备材料的售卖。")</f>
        <v>-氏族增益属性调整：帮助更好的平衡氏族之间的实力。
-VIP礼包斗士奖牌调整：帮助玩家在前期更快培养VIP专属斗士。
-泳池派对活动兑换数值调整：调整了贝壳兑换道具的数值，并补充了军备相关道具。
-发射准备活动数值调整：优化了第一档奖励的完成条件。
-科林的探索调整：探索任务中，需求士兵等级的条件难度降低，移除了需要5级士兵的条件。
-每日任务活跃宝箱增加军备材料产出，荣誉币商店中增加了军备材料的售卖。</v>
      </c>
      <c r="C18" s="169" t="str">
        <f>IFERROR(__xludf.DUMMYFUNCTION("""COMPUTED_VALUE"""),"- Clan Buff attributes adjusted to better balance the strength of different Clans.
- VIP packs' Fighter Medals adjusted to help players develop VIP-exclusive Fighters faster in the early stages of the game.
- Pool Party exchange rates adjusted: adjusted t"&amp;"he cost of Seashells when exchanging for items; added Gear-related items.
- Prepare to Launch values adjusted: optimized the conditions for completing quests to get the first tier of rewards.
- Colin's Exploration adjusted: loosened the troop level requir"&amp;"ements in exploration quests, Lv. 5 units are no longer required.
- Gear materials now available in daily quest action chests and for purchase in the Honor Coin Shop.")</f>
        <v>- Clan Buff attributes adjusted to better balance the strength of different Clans.
- VIP packs' Fighter Medals adjusted to help players develop VIP-exclusive Fighters faster in the early stages of the game.
- Pool Party exchange rates adjusted: adjusted the cost of Seashells when exchanging for items; added Gear-related items.
- Prepare to Launch values adjusted: optimized the conditions for completing quests to get the first tier of rewards.
- Colin's Exploration adjusted: loosened the troop level requirements in exploration quests, Lv. 5 units are no longer required.
- Gear materials now available in daily quest action chests and for purchase in the Honor Coin Shop.</v>
      </c>
      <c r="D18" s="231" t="str">
        <f>IFERROR(__xludf.DUMMYFUNCTION("""COMPUTED_VALUE"""),"- Modification des boosts de clan pour mieux équilibrer la puissance des clans.
 - Modification des médailles de combattants issus des packs VIP, afin de développer plus rapidement les combattants réservés aux VIP dans les premières phases du jeu.
 - Pool"&amp;" party: optimisation de la valeur des coquillages dans les échanges contre des objets; ajout d’objets liés à l’équipement.
 - Préparation au lancement: optimisation des conditions de réussite des quêtes pour obtenir le premier niveau de récompenses.
 - Ex"&amp;"ploration de Colin: réduction du niveau requis des troupes dans les quêtes d’exploration (les unités de niv.5 ne sont plus nécessaires). 
- Les packs de matériaux d'équipements sont désormais disponibles dans les coffres de quêtes quotidiennes et dans la "&amp;"boutique de pièces d'honneur.")</f>
        <v>- Modification des boosts de clan pour mieux équilibrer la puissance des clans.
 - Modification des médailles de combattants issus des packs VIP, afin de développer plus rapidement les combattants réservés aux VIP dans les premières phases du jeu.
 - Pool party: optimisation de la valeur des coquillages dans les échanges contre des objets; ajout d’objets liés à l’équipement.
 - Préparation au lancement: optimisation des conditions de réussite des quêtes pour obtenir le premier niveau de récompenses.
 - Exploration de Colin: réduction du niveau requis des troupes dans les quêtes d’exploration (les unités de niv.5 ne sont plus nécessaires). 
- Les packs de matériaux d'équipements sont désormais disponibles dans les coffres de quêtes quotidiennes et dans la boutique de pièces d'honneur.</v>
      </c>
      <c r="E18" s="231" t="str">
        <f>IFERROR(__xludf.DUMMYFUNCTION("""COMPUTED_VALUE"""),"- Die Horden-Buff-Attribute wurden angepasst, um die Stärke der verschiedenen Horden besser auszubalancieren.
 - Die Kämpfer-Orden der VIP-Pakete wurden angepasst, damit Spieler in den frühen Stufen des Spiels schneller VIP-exklusive Kämpfer entwickeln kö"&amp;"nnen.
 - Pool-Party-Tauschraten angepasst: Die Kosten für Muscheln beim Eintauschen von Gegenständen wurden angepasst; Ausrüstungsbezogene Gegenstände wurden hinzugefügt.
 - Werte bei ""Startvorbereitungen"" angepasst: Die Bedingungen für das Abschließen "&amp;"von Quests, um die erste Stufe der Belohnungen zu erhalten, wurden optimiert.
 - Colins Erkundung angepasst: Die Anforderungen an das Level der Truppen in Erkundungsquests wurden verringert, Einheiten mit Level 5 sind nicht mehr erforderlich.
- Ausrüstung"&amp;"smaterialien sind jetzt in täglichen Quest-Aktionstruhen und als Kaufartikel im Ehrenmünzen-Shop verfügbar.")</f>
        <v>- Die Horden-Buff-Attribute wurden angepasst, um die Stärke der verschiedenen Horden besser auszubalancieren.
 - Die Kämpfer-Orden der VIP-Pakete wurden angepasst, damit Spieler in den frühen Stufen des Spiels schneller VIP-exklusive Kämpfer entwickeln können.
 - Pool-Party-Tauschraten angepasst: Die Kosten für Muscheln beim Eintauschen von Gegenständen wurden angepasst; Ausrüstungsbezogene Gegenstände wurden hinzugefügt.
 - Werte bei "Startvorbereitungen" angepasst: Die Bedingungen für das Abschließen von Quests, um die erste Stufe der Belohnungen zu erhalten, wurden optimiert.
 - Colins Erkundung angepasst: Die Anforderungen an das Level der Truppen in Erkundungsquests wurden verringert, Einheiten mit Level 5 sind nicht mehr erforderlich.
- Ausrüstungsmaterialien sind jetzt in täglichen Quest-Aktionstruhen und als Kaufartikel im Ehrenmünzen-Shop verfügbar.</v>
      </c>
      <c r="F18" s="231" t="str">
        <f>IFERROR(__xludf.DUMMYFUNCTION("""COMPUTED_VALUE"""),"- Atributos de auxílios do clã foram ajustados para balancear a força entre clãs diferentes.
 - As medalhas de combatente dos pacotes VIP foram ajustados para ajudar os jogadores a desenvolver combatentes exclusivos VIP mais rapidamente nas fases iniciais"&amp;" do jogo.
 - Ajuste das taxas de troca da Festa da Piscina: o custo de conchas ao trocar itens foi ajustado; itens relacionados a equipamentos foram adicionados.
 - Valores de Prepare-se para o Lançamento ajustados: melhorias nas condições para concluir m"&amp;"issões e obter o primeiro nível de recompensas.
 - Exploração de Colin otimizada: simplificação dos requisitos de nível da tropa nas missões de exploração, unidades Nv. 5 não são mais necessárias.
- Materiais de equipamentos agora ficam disponíveis nos ba"&amp;"ús de missões diárias e nas compras na loja de moedas de honra.")</f>
        <v>- Atributos de auxílios do clã foram ajustados para balancear a força entre clãs diferentes.
 - As medalhas de combatente dos pacotes VIP foram ajustados para ajudar os jogadores a desenvolver combatentes exclusivos VIP mais rapidamente nas fases iniciais do jogo.
 - Ajuste das taxas de troca da Festa da Piscina: o custo de conchas ao trocar itens foi ajustado; itens relacionados a equipamentos foram adicionados.
 - Valores de Prepare-se para o Lançamento ajustados: melhorias nas condições para concluir missões e obter o primeiro nível de recompensas.
 - Exploração de Colin otimizada: simplificação dos requisitos de nível da tropa nas missões de exploração, unidades Nv. 5 não são mais necessárias.
- Materiais de equipamentos agora ficam disponíveis nos baús de missões diárias e nas compras na loja de moedas de honra.</v>
      </c>
      <c r="G18" s="108" t="str">
        <f>IFERROR(__xludf.DUMMYFUNCTION("""COMPUTED_VALUE"""),"-氏族增益屬性調整：幫助更好的平衡氏族之間的實力。
-VIP禮包鬥士獎牌調整：幫助玩家在前期更快培養VIP專屬鬥士。
-泳池派對活動兌換數值調整：調整了貝殼兌換道具的數值，並補充了軍備相關道具。
-發射準備活動數值調整：優化了第一檔獎勵的完成條件。
-科林的探索調整：探索任務中，需求士兵等級的條件難度降低，移除了需要5級士兵的條件。
-每日任務活躍寶箱增加軍備材料產出，榮譽幣商店中增加了軍備材料的售賣。")</f>
        <v>-氏族增益屬性調整：幫助更好的平衡氏族之間的實力。
-VIP禮包鬥士獎牌調整：幫助玩家在前期更快培養VIP專屬鬥士。
-泳池派對活動兌換數值調整：調整了貝殼兌換道具的數值，並補充了軍備相關道具。
-發射準備活動數值調整：優化了第一檔獎勵的完成條件。
-科林的探索調整：探索任務中，需求士兵等級的條件難度降低，移除了需要5級士兵的條件。
-每日任務活躍寶箱增加軍備材料產出，榮譽幣商店中增加了軍備材料的售賣。</v>
      </c>
      <c r="H18" s="231" t="str">
        <f>IFERROR(__xludf.DUMMYFUNCTION("""COMPUTED_VALUE"""),"- Atribut Buff Klan disesuaikan untuk lebih menyeimbangkan kekuatan Klan yang berbeda.
 - Medali Pejuang paket VIP disesuaikan untuk membantu pemain mengembangkan Pejuang VIP eksklusif lebih cepat pada tahapan awal game.
 - Tingkat penukaran Pesta Kolam R"&amp;"enang disesuaikan: menyesuaikan biaya Kerang Laut saat menukarkan dengan item; menambahkan item yang terkait dengan Perlengkapan.
 - Nilai Bersiap untuk Meluncurkan disesuaikan: mengoptimalkan kondisi untuk menyelesaikan tantangan untuk mendapatkan hadiah"&amp;" tingkat pertama.
 - Penjelajahan Colin disesuaikan: mengurangi persyaratan level pasukan di tantangan penjelajahan, unit Lv. 5 tidak lagi diperlukan.
- Materi perlengkapan kini tersedia di peti tindakan tantangan dan untuk pembelian di Toko Koin Kehormat"&amp;"an.")</f>
        <v>- Atribut Buff Klan disesuaikan untuk lebih menyeimbangkan kekuatan Klan yang berbeda.
 - Medali Pejuang paket VIP disesuaikan untuk membantu pemain mengembangkan Pejuang VIP eksklusif lebih cepat pada tahapan awal game.
 - Tingkat penukaran Pesta Kolam Renang disesuaikan: menyesuaikan biaya Kerang Laut saat menukarkan dengan item; menambahkan item yang terkait dengan Perlengkapan.
 - Nilai Bersiap untuk Meluncurkan disesuaikan: mengoptimalkan kondisi untuk menyelesaikan tantangan untuk mendapatkan hadiah tingkat pertama.
 - Penjelajahan Colin disesuaikan: mengurangi persyaratan level pasukan di tantangan penjelajahan, unit Lv. 5 tidak lagi diperlukan.
- Materi perlengkapan kini tersedia di peti tindakan tantangan dan untuk pembelian di Toko Koin Kehormatan.</v>
      </c>
      <c r="I18" s="108" t="str">
        <f>IFERROR(__xludf.DUMMYFUNCTION("""COMPUTED_VALUE"""),"- ปรับปรุงคุณสมบัติบัฟฟ์ของเผ่าเพื่อให้มีสมดุลระหว่างความแข็งแกร่งของเผ่าต่าง ๆ
 - ปรับเหรียญตรานักสู้ในแพ็ก VIP เพื่อช่วยให้ผู้เล่นพัฒนานักสู้พิเศษสำหรับ VIP โดยเฉพาะได้เร็วขึ้นในช่วงแรกของเกม
 - ปรับอัตราแลกเปลี่ยนในปาร์ตี้ริมสระน้ำ: ปรับการใช้เปลือกหอย"&amp;"เมื่อแลกเปลี่ยนเป็นไอเทม เพิ่มไอเทมที่เกี่ยวกับอุปกรณ์
 - ปรับค่ากิจกรรมเตรียมตัวบุก: ปรับเงื่อนไขในการทำภารกิจให้สำเร็จเพื่อรับรางวัลระดับแรก
 - ปรับการสำรวจของโคลิน: ผ่อนปรนข้อกำหนดด้านเลเวลของกองทหารในภารกิจการสำรวจ ทำให้ไม่จำเป็นต้องใช้กองทหารเลเวล 5 "&amp;"อีกต่อไป
- ในขณะนี้ วัสดุสำหรับอุปกรณ์พร้อมให้รับได้ในในหีบเควสต์รายวันและซื้อในร้านค้าเหรียญเกียรติยศแล้ว")</f>
        <v>- ปรับปรุงคุณสมบัติบัฟฟ์ของเผ่าเพื่อให้มีสมดุลระหว่างความแข็งแกร่งของเผ่าต่าง ๆ
 - ปรับเหรียญตรานักสู้ในแพ็ก VIP เพื่อช่วยให้ผู้เล่นพัฒนานักสู้พิเศษสำหรับ VIP โดยเฉพาะได้เร็วขึ้นในช่วงแรกของเกม
 - ปรับอัตราแลกเปลี่ยนในปาร์ตี้ริมสระน้ำ: ปรับการใช้เปลือกหอยเมื่อแลกเปลี่ยนเป็นไอเทม เพิ่มไอเทมที่เกี่ยวกับอุปกรณ์
 - ปรับค่ากิจกรรมเตรียมตัวบุก: ปรับเงื่อนไขในการทำภารกิจให้สำเร็จเพื่อรับรางวัลระดับแรก
 - ปรับการสำรวจของโคลิน: ผ่อนปรนข้อกำหนดด้านเลเวลของกองทหารในภารกิจการสำรวจ ทำให้ไม่จำเป็นต้องใช้กองทหารเลเวล 5 อีกต่อไป
- ในขณะนี้ วัสดุสำหรับอุปกรณ์พร้อมให้รับได้ในในหีบเควสต์รายวันและซื้อในร้านค้าเหรียญเกียรติยศแล้ว</v>
      </c>
      <c r="J18" s="231" t="str">
        <f>IFERROR(__xludf.DUMMYFUNCTION("""COMPUTED_VALUE"""),"- Atributos de Mejora de clan ajustados para equilibrar mejor la fuerza de diferentes clanes.
 - Paquetes VIP de Medallas de Luchador ajustadas para ayudar a los jugadores a desarrollar luchadores VIP exclusivos más rápido en las primeras etapas del juego"&amp;".
 - Tasas de intercambio de la Fiesta en la Piscina ajustadas: Se ajustó el costo de las Conchas Marinas cuando se intercambian por artículos; se agregaron artículos relacionados con el Equipo.
 - Valores en Preparación para el Lanzamiento ajustados: Se "&amp;"optimizaron las condiciones para completar misiones y obtener el primer nivel de recompensas.
 - Exploración de Colin ajustada: Se redujeron los requisitos de nivel de tropa en las misiones de exploración, Ya no se requieren unidades de Nvl. 5.
- Los mate"&amp;"riales de Equipo ahora están disponibles en los cofres de acción de misiones diarias y para comprar en la Tienda de Monedas de Honor.")</f>
        <v>- Atributos de Mejora de clan ajustados para equilibrar mejor la fuerza de diferentes clanes.
 - Paquetes VIP de Medallas de Luchador ajustadas para ayudar a los jugadores a desarrollar luchadores VIP exclusivos más rápido en las primeras etapas del juego.
 - Tasas de intercambio de la Fiesta en la Piscina ajustadas: Se ajustó el costo de las Conchas Marinas cuando se intercambian por artículos; se agregaron artículos relacionados con el Equipo.
 - Valores en Preparación para el Lanzamiento ajustados: Se optimizaron las condiciones para completar misiones y obtener el primer nivel de recompensas.
 - Exploración de Colin ajustada: Se redujeron los requisitos de nivel de tropa en las misiones de exploración, Ya no se requieren unidades de Nvl. 5.
- Los materiales de Equipo ahora están disponibles en los cofres de acción de misiones diarias y para comprar en la Tienda de Monedas de Honor.</v>
      </c>
      <c r="K18" s="231" t="str">
        <f>IFERROR(__xludf.DUMMYFUNCTION("""COMPUTED_VALUE"""),"- Скорректированы показатели усиления клана, чтобы лучше сбалансировать силу различных кланов.
- Медали героев в VIP-наборах скорректированы, чтобы помочь игрокам быстрее развивать эксклюзивных для VIP героев на ранних стадиях игры.
- Скорректированы курс"&amp;"ы обмена в «Вечеринке в бассейне»: скорректирована стоимость ракушек при обмене на предметы; добавлены связанные со снаряжением предметы.
- Скорректированы параметры события «Подготовка к запуску»: оптимизированы условия по выполнению заданий для получени"&amp;"я первого уровня наград.
- Скорректированы «Исследования Колина»: снижены требования к уровню войск в заданиях на исследование. Войска ур. 5 больше не требуются.
- Материалы для снаряжения теперь можно получить из ящиков за ежедневные действия и купить в "&amp;"магазине чести.")</f>
        <v>- Скорректированы показатели усиления клана, чтобы лучше сбалансировать силу различных кланов.
- Медали героев в VIP-наборах скорректированы, чтобы помочь игрокам быстрее развивать эксклюзивных для VIP героев на ранних стадиях игры.
- Скорректированы курсы обмена в «Вечеринке в бассейне»: скорректирована стоимость ракушек при обмене на предметы; добавлены связанные со снаряжением предметы.
- Скорректированы параметры события «Подготовка к запуску»: оптимизированы условия по выполнению заданий для получения первого уровня наград.
- Скорректированы «Исследования Колина»: снижены требования к уровню войск в заданиях на исследование. Войска ур. 5 больше не требуются.
- Материалы для снаряжения теперь можно получить из ящиков за ежедневные действия и купить в магазине чести.</v>
      </c>
      <c r="L18" s="231" t="str">
        <f>IFERROR(__xludf.DUMMYFUNCTION("""COMPUTED_VALUE"""),"- Klan Güçlendirici özellikleri, farklı Klanların gücünü daha iyi dengelemek için ayarlandı.
 - VIP paketlerinin Savaşçı Madalyaları, oyuncuların oyunun ilk aşamalarında VIP’e özel Savaşçıları daha hızlı geliştirmelerine yardımcı olacak şekilde ayarlandı."&amp;"
 - Havuz Partisi takas oranları ayarlandı: eşya takası sırasında Deniz Kabuklarının maliyeti ayarlandı; Aksesuar ile ilgili eşyalar eklendi.
 - Fırlatmaya Hazır Ol etkinliğinin değerleri ayarlandı: birinci kademe ödülleri almak için maceraları tamamlama "&amp;"koşulları optimize edildi.
 - Colin’in Keşfi düzenlendi: keşif maceralarında birlik seviyesi gereklilikleri hafifletildi, 5. Sv. birimler artık gerekli değil.
- Aksesuar Materyalleri artık günlük macera eylem sandıklarından alınabilir ve Onur Parası Mağaz"&amp;"asından satın alınabilir.")</f>
        <v>- Klan Güçlendirici özellikleri, farklı Klanların gücünü daha iyi dengelemek için ayarlandı.
 - VIP paketlerinin Savaşçı Madalyaları, oyuncuların oyunun ilk aşamalarında VIP’e özel Savaşçıları daha hızlı geliştirmelerine yardımcı olacak şekilde ayarlandı.
 - Havuz Partisi takas oranları ayarlandı: eşya takası sırasında Deniz Kabuklarının maliyeti ayarlandı; Aksesuar ile ilgili eşyalar eklendi.
 - Fırlatmaya Hazır Ol etkinliğinin değerleri ayarlandı: birinci kademe ödülleri almak için maceraları tamamlama koşulları optimize edildi.
 - Colin’in Keşfi düzenlendi: keşif maceralarında birlik seviyesi gereklilikleri hafifletildi, 5. Sv. birimler artık gerekli değil.
- Aksesuar Materyalleri artık günlük macera eylem sandıklarından alınabilir ve Onur Parası Mağazasından satın alınabilir.</v>
      </c>
      <c r="M18" s="231" t="str">
        <f>IFERROR(__xludf.DUMMYFUNCTION("""COMPUTED_VALUE"""),"- Các thuộc tính Hiệu Ứng Có Lợi Bộ Lạc được điều chỉnh để cân bằng sức mạnh với các Bộ Lạc khác tốt hơn.
 - Huy chương chiến binh của gói VIP đã được điều chỉnh để giúp người chơi phát triển Chiến Binh độc quyền VIP nhanh hơn trong các giai đoạn đầu trò "&amp;"chơi.
 - Điều chỉnh tỉ lệ trao đổi Bữa Tiệc Hồ Bơi: điều chỉnh chi phí Vỏ Sò khi trao đổi các vật phẩm; đã thêm các vật phẩm liên quan đến Trang Bị.
 - Điều chỉnh các giá trị Chuẩn Bị Phóng: tối ưu các điều kiện để hoàn thành nhiệm vụ để nhận bậc thưởng đ"&amp;"ầu tiên.
 - Điều chỉnh Khám Phá Của Colin: Nới lỏng các yêu cầu cấp bậc binh lính trong các nhiệm vụ khám phá, không bắt buộc phải có đơn vị Cấp 5 nữa.
- Hiện tại, nguyên liệu trang bị đã có trong các rương hoạt động nhiệm vụ hàng ngày và có thể mua trong"&amp;" Cửa Hàng Xu Danh Dự.")</f>
        <v>- Các thuộc tính Hiệu Ứng Có Lợi Bộ Lạc được điều chỉnh để cân bằng sức mạnh với các Bộ Lạc khác tốt hơn.
 - Huy chương chiến binh của gói VIP đã được điều chỉnh để giúp người chơi phát triển Chiến Binh độc quyền VIP nhanh hơn trong các giai đoạn đầu trò chơi.
 - Điều chỉnh tỉ lệ trao đổi Bữa Tiệc Hồ Bơi: điều chỉnh chi phí Vỏ Sò khi trao đổi các vật phẩm; đã thêm các vật phẩm liên quan đến Trang Bị.
 - Điều chỉnh các giá trị Chuẩn Bị Phóng: tối ưu các điều kiện để hoàn thành nhiệm vụ để nhận bậc thưởng đầu tiên.
 - Điều chỉnh Khám Phá Của Colin: Nới lỏng các yêu cầu cấp bậc binh lính trong các nhiệm vụ khám phá, không bắt buộc phải có đơn vị Cấp 5 nữa.
- Hiện tại, nguyên liệu trang bị đã có trong các rương hoạt động nhiệm vụ hàng ngày và có thể mua trong Cửa Hàng Xu Danh Dự.</v>
      </c>
      <c r="N18" s="108"/>
      <c r="O18" s="108"/>
      <c r="P18" s="108"/>
      <c r="Q18" s="108"/>
      <c r="R18" s="108"/>
      <c r="S18" s="108"/>
      <c r="T18" s="108"/>
      <c r="U18" s="108"/>
      <c r="V18" s="108"/>
      <c r="W18" s="108"/>
      <c r="X18" s="108"/>
      <c r="Y18" s="108"/>
      <c r="Z18" s="108"/>
    </row>
    <row r="19">
      <c r="A19" s="108" t="str">
        <f>IFERROR(__xludf.DUMMYFUNCTION("""COMPUTED_VALUE"""),"0.35.0")</f>
        <v>0.35.0</v>
      </c>
      <c r="B19" s="108" t="str">
        <f>IFERROR(__xludf.DUMMYFUNCTION("""COMPUTED_VALUE"""),"-火箭发射调整：去除了非占领氏族发射火箭时占领氏族可获得的酬劳，提升了霸主部落发射火箭的奖励。
-荣誉币相关调整：修改了荣誉币商店内部分商品的刷新规则和补货数量，玩家单次可通过帮派帮助获取的荣誉币调整为100，上限为10000。
-帮派相关数值调整：调整了提高帮派人数上限的方式和具体数值，减少了帮派配送站与帮派总部的建造消耗；减少了部分帮派科技的研究经验消耗。帮派超市和帮派钢铁厂的归属由氏族调整为帮派；提升了帮派成员提供的基础资源收益
-中立建筑调整：取消火车通过中立建筑时增益翻倍的机制
-银河战争：星爵"&amp;"积分个人排行榜增加基地皮肤奖励")</f>
        <v>-火箭发射调整：去除了非占领氏族发射火箭时占领氏族可获得的酬劳，提升了霸主部落发射火箭的奖励。
-荣誉币相关调整：修改了荣誉币商店内部分商品的刷新规则和补货数量，玩家单次可通过帮派帮助获取的荣誉币调整为100，上限为10000。
-帮派相关数值调整：调整了提高帮派人数上限的方式和具体数值，减少了帮派配送站与帮派总部的建造消耗；减少了部分帮派科技的研究经验消耗。帮派超市和帮派钢铁厂的归属由氏族调整为帮派；提升了帮派成员提供的基础资源收益
-中立建筑调整：取消火车通过中立建筑时增益翻倍的机制
-银河战争：星爵积分个人排行榜增加基地皮肤奖励</v>
      </c>
      <c r="C19" s="108" t="str">
        <f>IFERROR(__xludf.DUMMYFUNCTION("""COMPUTED_VALUE"""),"- Rocket launch changes: removed rewards received by the occupying Clan when non-occupying Clans launch their rockets. Enhanced the reward received by the Overlord's Clan for launching their rocket.
- Honor Coin adjustments: changed the refresh rule and r"&amp;"estock quantity of certain items in the Honor Shop. Now, players get 100 Honor Coins at a time through Gang Help, up to 10,000 max.
- Gang stat adjustments: changed the method and specific values for increasing Gang member capacity. Reduced the cost of bu"&amp;"ilding Gang Distributors and Headquarters. Reduced the Research EXP cost of certain Gang Research. Mega Markets and Mega Junkyards now belong to Gangs, not Clans. Increased the base resource income provided by Gang members.
- Neutral building adjustment: "&amp;"removed the rule that grants double the boost when a train passes through neutral buildings.
- Planet Wars: city skin added to personal Starlord points ranking rewards.")</f>
        <v>- Rocket launch changes: removed rewards received by the occupying Clan when non-occupying Clans launch their rockets. Enhanced the reward received by the Overlord's Clan for launching their rocket.
- Honor Coin adjustments: changed the refresh rule and restock quantity of certain items in the Honor Shop. Now, players get 100 Honor Coins at a time through Gang Help, up to 10,000 max.
- Gang stat adjustments: changed the method and specific values for increasing Gang member capacity. Reduced the cost of building Gang Distributors and Headquarters. Reduced the Research EXP cost of certain Gang Research. Mega Markets and Mega Junkyards now belong to Gangs, not Clans. Increased the base resource income provided by Gang members.
- Neutral building adjustment: removed the rule that grants double the boost when a train passes through neutral buildings.
- Planet Wars: city skin added to personal Starlord points ranking rewards.</v>
      </c>
      <c r="D19" s="108" t="str">
        <f>IFERROR(__xludf.DUMMYFUNCTION("""COMPUTED_VALUE"""),"- Modification du lancement de la fusée: Le clan occupant ne reçoit plus de récompenses au décollage de la fusée des non-occupants. Le clan du souverain reçoit de meilleures récompenses au décollage de sa fusée.
- Modification des pièces d'honneur: La règ"&amp;"le d'actualisation de la boutique d'honneur a été modifiée, ainsi que le réapprovisionnement de certains articles. Désormais, les joueurs obtiennent 100 pièces d'honneur à la fois via l'aide du gang (10 000 max).
- Statistiques du gang: Le mode de changem"&amp;"ent de la capacité d'un gang a été modifié, ainsi que les valeurs associées. Réduction du coût de construction des distributeurs et QG du gang. Réduction du coût en expérience de recherche pour certaines recherches du gang. Les méga-supermarchés et méga-d"&amp;"écharges n'appartiennent plus aux clans, mais aux gangs. Augmentation des revenus de base en ressources apportés par les membres du gang.
- Modification des bâtiments neutres: Suppression de la règle doublant le boost quand un train passe par un bâtiment "&amp;"neutre.
- Guerre planétaire: Ajout d'un skin de ville en récompense pour le classement des scores de commandeur.")</f>
        <v>- Modification du lancement de la fusée: Le clan occupant ne reçoit plus de récompenses au décollage de la fusée des non-occupants. Le clan du souverain reçoit de meilleures récompenses au décollage de sa fusée.
- Modification des pièces d'honneur: La règle d'actualisation de la boutique d'honneur a été modifiée, ainsi que le réapprovisionnement de certains articles. Désormais, les joueurs obtiennent 100 pièces d'honneur à la fois via l'aide du gang (10 000 max).
- Statistiques du gang: Le mode de changement de la capacité d'un gang a été modifié, ainsi que les valeurs associées. Réduction du coût de construction des distributeurs et QG du gang. Réduction du coût en expérience de recherche pour certaines recherches du gang. Les méga-supermarchés et méga-décharges n'appartiennent plus aux clans, mais aux gangs. Augmentation des revenus de base en ressources apportés par les membres du gang.
- Modification des bâtiments neutres: Suppression de la règle doublant le boost quand un train passe par un bâtiment neutre.
- Guerre planétaire: Ajout d'un skin de ville en récompense pour le classement des scores de commandeur.</v>
      </c>
      <c r="E19" s="108" t="str">
        <f>IFERROR(__xludf.DUMMYFUNCTION("""COMPUTED_VALUE"""),"- Änderungen am Raketenstart: Belohnungen, die die besetzende Horde erhält, wenn nicht besetzende Horden ihre Raketen starten, wurden entfernt. Die Belohnung, die die Horde des Overlords für den Start ihrer Rakete erhält, wurde verbessert.
 - Anpassungen "&amp;"bei den Ehrenmünzen: Die Aktualisierungsregel und die Auffüllmenge für bestimmte Gegenstände im Ehrenmünzen-Shop wurden geändert. Spieler erhalten jetzt durch die Clan-Hilfe jeweils 100 Ehrenmünzen, bis zu einem Maximum von 10.000.
 - Anpassungen der Clan"&amp;"-Statistiken: Die Methode und die spezifischen Werte zur Erhöhung der Clan-Mitgliederkapazität wurden geändert. Die Kosten für das Bauen von Clan-Verteilern und Hauptquartieren wurden reduziert. Die EP-Kosten für bestimmte Clan-Forschungen wurden reduzier"&amp;"t. Mega-Supermärkte und Mega-Schrottplätze gehören jetzt zu Clans, nicht mehr zu Horden. Das Grund-Ressourceneinkommen durch die Clan-Mitglieder wurde erhöht.
 - Anpassung der neutralen Gebäude: Die Regel, die einen doppelten Boost gewährt, wenn ein Zug d"&amp;"urch neutrale Gebäude fährt, wurde entfernt.
 - Planetenkriege: Stadt-Skin wurde zu den Ranglistenbelohnungen für persönliche Starlord-Punkte hinzugefügt.")</f>
        <v>- Änderungen am Raketenstart: Belohnungen, die die besetzende Horde erhält, wenn nicht besetzende Horden ihre Raketen starten, wurden entfernt. Die Belohnung, die die Horde des Overlords für den Start ihrer Rakete erhält, wurde verbessert.
 - Anpassungen bei den Ehrenmünzen: Die Aktualisierungsregel und die Auffüllmenge für bestimmte Gegenstände im Ehrenmünzen-Shop wurden geändert. Spieler erhalten jetzt durch die Clan-Hilfe jeweils 100 Ehrenmünzen, bis zu einem Maximum von 10.000.
 - Anpassungen der Clan-Statistiken: Die Methode und die spezifischen Werte zur Erhöhung der Clan-Mitgliederkapazität wurden geändert. Die Kosten für das Bauen von Clan-Verteilern und Hauptquartieren wurden reduziert. Die EP-Kosten für bestimmte Clan-Forschungen wurden reduziert. Mega-Supermärkte und Mega-Schrottplätze gehören jetzt zu Clans, nicht mehr zu Horden. Das Grund-Ressourceneinkommen durch die Clan-Mitglieder wurde erhöht.
 - Anpassung der neutralen Gebäude: Die Regel, die einen doppelten Boost gewährt, wenn ein Zug durch neutrale Gebäude fährt, wurde entfernt.
 - Planetenkriege: Stadt-Skin wurde zu den Ranglistenbelohnungen für persönliche Starlord-Punkte hinzugefügt.</v>
      </c>
      <c r="F19" s="108" t="str">
        <f>IFERROR(__xludf.DUMMYFUNCTION("""COMPUTED_VALUE"""),"- Alteração no lançamento do foguete: foram removidas as recompensas do clã ocupante quando clãs não ocupantes lançam seus foguetes. Melhoria na recompensa recebida pelo clã do soberano por ter lançado o foguete.
 - Ajustes nas moedas de honra: alteração "&amp;"na regra de atualização e quantidade de reabastecimento de determinados itens na loja de honras. Agora os jogadores obtém 100 moedas de honra de uma vez por meio da ajuda da gangue, limite de 10.000.
 - Ajustes nos atributos da gangue: alteração no método"&amp;" e nos valores específicos a partir dos quais a capacidade de membros da gangue aumenta. Reduzido o custo para construir distribuidores e a sede da gangue. Reduzido o custo de EXP de pesquisa de determinadas pesquisas de gangue. Mega mercados e mega ferro"&amp;"s-velhos agora pertence a gangues, não a clãs. Aumento na produção de recursos base fornecida por membros da gangue.
 - Ajustes nas estruturas neutras: remoção da regra que concede o dobro de bônus quando um trem passa por estruturas neutras.
 - Guerra In"&amp;"terplanetária: visual de cidade adicionado às recompensas de classificação de pontos de senhor das estrelas individual.")</f>
        <v>- Alteração no lançamento do foguete: foram removidas as recompensas do clã ocupante quando clãs não ocupantes lançam seus foguetes. Melhoria na recompensa recebida pelo clã do soberano por ter lançado o foguete.
 - Ajustes nas moedas de honra: alteração na regra de atualização e quantidade de reabastecimento de determinados itens na loja de honras. Agora os jogadores obtém 100 moedas de honra de uma vez por meio da ajuda da gangue, limite de 10.000.
 - Ajustes nos atributos da gangue: alteração no método e nos valores específicos a partir dos quais a capacidade de membros da gangue aumenta. Reduzido o custo para construir distribuidores e a sede da gangue. Reduzido o custo de EXP de pesquisa de determinadas pesquisas de gangue. Mega mercados e mega ferros-velhos agora pertence a gangues, não a clãs. Aumento na produção de recursos base fornecida por membros da gangue.
 - Ajustes nas estruturas neutras: remoção da regra que concede o dobro de bônus quando um trem passa por estruturas neutras.
 - Guerra Interplanetária: visual de cidade adicionado às recompensas de classificação de pontos de senhor das estrelas individual.</v>
      </c>
      <c r="G19" s="108" t="str">
        <f>IFERROR(__xludf.DUMMYFUNCTION("""COMPUTED_VALUE"""),"-火箭發射調整：去除了非占領氏族發射火箭時占領氏族可獲得的酬勞，提升了霸主部落發射火箭的獎勵。
-榮譽幣相關調整：修改了榮譽幣商店內部分商品的刷新規則和補貨數量，玩家單次可通過幫派幫助獲取的榮譽幣調整為100，上限為10000。
-幫派相關數值調整：調整了提高幫派人數上限的方式和具體數值，減少了幫派配送站與幫派總部的建造消耗；減少了部分幫派科技的研究經驗消耗。幫派超市和幫派鋼鐵廠的歸屬由氏族調整為幫派；提升了幫派成員提供的基礎資源收益
-中立建築調整：取消火車通過中立建築時增益翻倍的機製
-銀河戰爭：星爵"&amp;"積分個人排行榜增加基地皮膚獎勵")</f>
        <v>-火箭發射調整：去除了非占領氏族發射火箭時占領氏族可獲得的酬勞，提升了霸主部落發射火箭的獎勵。
-榮譽幣相關調整：修改了榮譽幣商店內部分商品的刷新規則和補貨數量，玩家單次可通過幫派幫助獲取的榮譽幣調整為100，上限為10000。
-幫派相關數值調整：調整了提高幫派人數上限的方式和具體數值，減少了幫派配送站與幫派總部的建造消耗；減少了部分幫派科技的研究經驗消耗。幫派超市和幫派鋼鐵廠的歸屬由氏族調整為幫派；提升了幫派成員提供的基礎資源收益
-中立建築調整：取消火車通過中立建築時增益翻倍的機製
-銀河戰爭：星爵積分個人排行榜增加基地皮膚獎勵</v>
      </c>
      <c r="H19" s="108" t="str">
        <f>IFERROR(__xludf.DUMMYFUNCTION("""COMPUTED_VALUE"""),"- Perubahan peluncuran roket: menghapus hadiah yang diterima oleh Klan yang menduduki saat Klan yang tidak menduduki meluncurkan roket mereka. Meningkatkan hadiah yang diterima oleh Klan Maharaja karena meluncurkan roket mereka.
 - Penyesuaian Koin Kehorm"&amp;"atan: mengubah aturan refresh dan mengisi kembali jumlah item tertentu di Toko Kehormatan. Sekarang, pemain mendapatkan 100 Koin Kehormatan sekaligus melalui Bantuan Geng, hingga maksimum 10.000.
 - Penyesuaian stat Geng: mengubah metode dan nilai khusus "&amp;"untuk meningkatkan kapasitas anggota Geng. Mengurangi biaya pembangunan Distributor dan Markas Besar Geng. Mengurangi biaya EXP Penelitian dari Penelitian Geng tertentu. Pasar Besar dan Tempat Rongsokan Besar sekarang menjadi milik Geng, bukan Klan. Menin"&amp;"gkatkan pendapatan sumber daya dasar yang disediakan oleh anggota Geng.
 - Penyesuaian bangunan netral: menghapus aturan yang memberikan peningkatan dua kali lipat saat kereta melewati bangunan netral.
 - Perang Planet: skin kota ditambahkan ke hadiah per"&amp;"ingkat poin Starlord individu.")</f>
        <v>- Perubahan peluncuran roket: menghapus hadiah yang diterima oleh Klan yang menduduki saat Klan yang tidak menduduki meluncurkan roket mereka. Meningkatkan hadiah yang diterima oleh Klan Maharaja karena meluncurkan roket mereka.
 - Penyesuaian Koin Kehormatan: mengubah aturan refresh dan mengisi kembali jumlah item tertentu di Toko Kehormatan. Sekarang, pemain mendapatkan 100 Koin Kehormatan sekaligus melalui Bantuan Geng, hingga maksimum 10.000.
 - Penyesuaian stat Geng: mengubah metode dan nilai khusus untuk meningkatkan kapasitas anggota Geng. Mengurangi biaya pembangunan Distributor dan Markas Besar Geng. Mengurangi biaya EXP Penelitian dari Penelitian Geng tertentu. Pasar Besar dan Tempat Rongsokan Besar sekarang menjadi milik Geng, bukan Klan. Meningkatkan pendapatan sumber daya dasar yang disediakan oleh anggota Geng.
 - Penyesuaian bangunan netral: menghapus aturan yang memberikan peningkatan dua kali lipat saat kereta melewati bangunan netral.
 - Perang Planet: skin kota ditambahkan ke hadiah peringkat poin Starlord individu.</v>
      </c>
      <c r="I19" s="108" t="str">
        <f>IFERROR(__xludf.DUMMYFUNCTION("""COMPUTED_VALUE"""),"- การเปลี่ยนแปลงในการปล่อยจรวด: นำรางวัลที่ได้รับสำหรับเผ่าที่ครอบครองออก เมื่อเผ่าที่ไม่ได้ครอบครองฐานสามารถปล่อยจรวดได้ ปรับปรุงรางวัลที่ได้รับจากเผ่าของจ้าวแห่งลิงสำหรับการปล่อยจรวด
 - การปรับเหรียญเกียรติยศ: เปลี่ยนกฎการรีเฟรชและจำนวนสินค้าในสต็อกร้าน"&amp;"เกียรติยศ โดยในปัจจุบัน ผู้เล่นจะได้รับเหรียญเกียรติยศ 100 เหรียญต่อครั้งจากการช่วยเหลือแก๊ง โดยรับได้สูงสุด 10,000 เหรียญ
 - การปรับค่าสถานะแก๊ง: เปลี่ยนวิธีการและค่าเฉพาะสำหรับการเพิ่มขนาดสมาชิกแก๊ง ลดค่าใช้จ่ายในการสร้างหอกระจายแร่และสำนักงานใหญ่ ลดการ"&amp;"ใช้ค่าประสบการณ์ในการวิจัยในบางการวิจัยของแก๊ง ในปัจจุบัน เมก้ามาร์เก็ตและป่าช้าของเก่าขนาดใหญ่จะเป็นของแก๊ง ไม่ใช่ของเผ่า และเพิ่มรายได้จากทรัพยากรพื้นฐานจากสมาชิกแก๊ง
 - การปรับสิ่งปลูกสร้างส่วนกลาง: ลบกฎการให้บูสต์เพิ่มขึ้นสองเท่า เมื่อรถไฟวิ่งผ่านสิ่ง"&amp;"ปลูกสร้างส่วนกลาง
 - สงครามดาวเคราะห์: เพิ่มสกินเมืองลงในรางวัลการจัดอันดับสตาร์ลอร์ดส่วนบุคคล")</f>
        <v>- การเปลี่ยนแปลงในการปล่อยจรวด: นำรางวัลที่ได้รับสำหรับเผ่าที่ครอบครองออก เมื่อเผ่าที่ไม่ได้ครอบครองฐานสามารถปล่อยจรวดได้ ปรับปรุงรางวัลที่ได้รับจากเผ่าของจ้าวแห่งลิงสำหรับการปล่อยจรวด
 - การปรับเหรียญเกียรติยศ: เปลี่ยนกฎการรีเฟรชและจำนวนสินค้าในสต็อกร้านเกียรติยศ โดยในปัจจุบัน ผู้เล่นจะได้รับเหรียญเกียรติยศ 100 เหรียญต่อครั้งจากการช่วยเหลือแก๊ง โดยรับได้สูงสุด 10,000 เหรียญ
 - การปรับค่าสถานะแก๊ง: เปลี่ยนวิธีการและค่าเฉพาะสำหรับการเพิ่มขนาดสมาชิกแก๊ง ลดค่าใช้จ่ายในการสร้างหอกระจายแร่และสำนักงานใหญ่ ลดการใช้ค่าประสบการณ์ในการวิจัยในบางการวิจัยของแก๊ง ในปัจจุบัน เมก้ามาร์เก็ตและป่าช้าของเก่าขนาดใหญ่จะเป็นของแก๊ง ไม่ใช่ของเผ่า และเพิ่มรายได้จากทรัพยากรพื้นฐานจากสมาชิกแก๊ง
 - การปรับสิ่งปลูกสร้างส่วนกลาง: ลบกฎการให้บูสต์เพิ่มขึ้นสองเท่า เมื่อรถไฟวิ่งผ่านสิ่งปลูกสร้างส่วนกลาง
 - สงครามดาวเคราะห์: เพิ่มสกินเมืองลงในรางวัลการจัดอันดับสตาร์ลอร์ดส่วนบุคคล</v>
      </c>
      <c r="J19" s="108" t="str">
        <f>IFERROR(__xludf.DUMMYFUNCTION("""COMPUTED_VALUE"""),"- Cambios en el lanzamiento de cohetes: Se eliminaron las recompensas recibidas por el Clan ocupante cuando los Clanes no ocupantes lanzan sus cohetes. Se mejoró la recompensa recibida por el Clan del Señor Supremo por lanzar su cohete.
 - Ajustes en las "&amp;"Monedas de Honor: Se modificaron las reglas de actualización y la cantidad de reabastecimiento de ciertos artículos en la Tienda de honor. Ahora, los jugadores obtienen 100 Monedas de Honor a la vez mediante la Ayuda de la Banda, hasta un máximo de 10,000"&amp;".
 - Ajustes en las estadísticas de Bandas: Se cambió el método y los valores específicos para aumentar la capacidad de los miembros de la Banda. Reducción en el costo de construcción de Distribuidores de Bandas y Cuarteles Generales. Se redujo el costo d"&amp;"e EXP de Investigación para algunas Investigaciones de la Banda. Los Mega Mercados y las Mega Chatarrerías ahora pertenecen a las Bandas, no a los Clanes. Se aumentaron los ingresos por recursos base provistos por los miembros de la Banda.
 - Ajuste en lo"&amp;"s edificios neutrales: Se eliminó la regla que otorga un doble potenciador cuando un tren pasaba a través de los edificios neutrales.
 - Guerras Planetarias: Se agregó una textura de ciudad a las recompensas por puntos personales de clasificación de Starl"&amp;"ord.")</f>
        <v>- Cambios en el lanzamiento de cohetes: Se eliminaron las recompensas recibidas por el Clan ocupante cuando los Clanes no ocupantes lanzan sus cohetes. Se mejoró la recompensa recibida por el Clan del Señor Supremo por lanzar su cohete.
 - Ajustes en las Monedas de Honor: Se modificaron las reglas de actualización y la cantidad de reabastecimiento de ciertos artículos en la Tienda de honor. Ahora, los jugadores obtienen 100 Monedas de Honor a la vez mediante la Ayuda de la Banda, hasta un máximo de 10,000.
 - Ajustes en las estadísticas de Bandas: Se cambió el método y los valores específicos para aumentar la capacidad de los miembros de la Banda. Reducción en el costo de construcción de Distribuidores de Bandas y Cuarteles Generales. Se redujo el costo de EXP de Investigación para algunas Investigaciones de la Banda. Los Mega Mercados y las Mega Chatarrerías ahora pertenecen a las Bandas, no a los Clanes. Se aumentaron los ingresos por recursos base provistos por los miembros de la Banda.
 - Ajuste en los edificios neutrales: Se eliminó la regla que otorga un doble potenciador cuando un tren pasaba a través de los edificios neutrales.
 - Guerras Planetarias: Se agregó una textura de ciudad a las recompensas por puntos personales de clasificación de Starlord.</v>
      </c>
      <c r="K19" s="108" t="str">
        <f>IFERROR(__xludf.DUMMYFUNCTION("""COMPUTED_VALUE"""),"- Изменения в запуске ракет: убраны награды, которые получал занимающий стартплощадку клан, когда другие кланы запускали свои ракеты.
- Корректировка монет чести: изменены правила обновления и пополнения запасов некоторых предметов в магазине чести. Тепер"&amp;"ь игроки получают 100 монет чести каждый раз, когда помогают банде, до максимума в 10 000.
- Корректировка показателей банды: изменен метод расчета и конкретные значения для повышения макс. численности банды. Уменьшена стоимость строительства распределите"&amp;"лей и центра банды. Уменьшены затраты опыта исследований на определенные исследования банды. Мегарынки и мегасвалки теперь принадлежат бандам, а не кланам. Увеличен базовый доход ресурсов, который получают участники банды.
- Корректировка нейтральных здан"&amp;"ий: убрано правило, дающее двойное усиление, когда поезд проходит через нейтральные здания.
- Планетарные войны: к наградам за личные очки Звездного властелина добавлен облик города.")</f>
        <v>- Изменения в запуске ракет: убраны награды, которые получал занимающий стартплощадку клан, когда другие кланы запускали свои ракеты.
- Корректировка монет чести: изменены правила обновления и пополнения запасов некоторых предметов в магазине чести. Теперь игроки получают 100 монет чести каждый раз, когда помогают банде, до максимума в 10 000.
- Корректировка показателей банды: изменен метод расчета и конкретные значения для повышения макс. численности банды. Уменьшена стоимость строительства распределителей и центра банды. Уменьшены затраты опыта исследований на определенные исследования банды. Мегарынки и мегасвалки теперь принадлежат бандам, а не кланам. Увеличен базовый доход ресурсов, который получают участники банды.
- Корректировка нейтральных зданий: убрано правило, дающее двойное усиление, когда поезд проходит через нейтральные здания.
- Планетарные войны: к наградам за личные очки Звездного властелина добавлен облик города.</v>
      </c>
      <c r="L19" s="108" t="str">
        <f>IFERROR(__xludf.DUMMYFUNCTION("""COMPUTED_VALUE"""),"- Roket fırlatma değişiklikleri: işgalci olmayan Klanlar roketlerini fırlattığında işgalci Klanın aldığı ödüller kaldırıldı. Büyük Lordun Klanının roketini fırlatma karşılığında aldığı ödül geliştirildi.
 - Onur Parası düzenlemeleri: Onur Mağazasındaki ba"&amp;"zı eşyaların yenileme kuralı ve yeniden stok miktarı değiştirildi. Artık oyuncular Çete Yardımı aracılığıyla bir seferde maks. 10.000’e kadar 100 Onur Parası alıyor.
 - Çete Özellikleri düzenlemeleri: Çete üye kapasitesini artırma yöntemi ve belirli değer"&amp;"leri değiştirildi. Çete Distribütörleri ve Karargâh inşa etme maliyeti düşürüldü. Belirli Çete Araştırmalarının Araştırma DEN maliyeti düşürüldü. Mega Marketler ve Mega Hurdalıklar artık Klanlara değil Çetelere ait. Çete üyeleri tarafından sağlanan üs kay"&amp;"nak geliri artırıldı.
 - Tarafsız bina düzenlemesi: bir tren tarafsız binalardan geçtiğinde iki kat destek sağlayan kural kaldırıldı.
 - Gezegen Savaşları: kişisel Yıldız Lordu puan sıralaması ödüllerine şehir görünümü eklendi.")</f>
        <v>- Roket fırlatma değişiklikleri: işgalci olmayan Klanlar roketlerini fırlattığında işgalci Klanın aldığı ödüller kaldırıldı. Büyük Lordun Klanının roketini fırlatma karşılığında aldığı ödül geliştirildi.
 - Onur Parası düzenlemeleri: Onur Mağazasındaki bazı eşyaların yenileme kuralı ve yeniden stok miktarı değiştirildi. Artık oyuncular Çete Yardımı aracılığıyla bir seferde maks. 10.000’e kadar 100 Onur Parası alıyor.
 - Çete Özellikleri düzenlemeleri: Çete üye kapasitesini artırma yöntemi ve belirli değerleri değiştirildi. Çete Distribütörleri ve Karargâh inşa etme maliyeti düşürüldü. Belirli Çete Araştırmalarının Araştırma DEN maliyeti düşürüldü. Mega Marketler ve Mega Hurdalıklar artık Klanlara değil Çetelere ait. Çete üyeleri tarafından sağlanan üs kaynak geliri artırıldı.
 - Tarafsız bina düzenlemesi: bir tren tarafsız binalardan geçtiğinde iki kat destek sağlayan kural kaldırıldı.
 - Gezegen Savaşları: kişisel Yıldız Lordu puan sıralaması ödüllerine şehir görünümü eklendi.</v>
      </c>
      <c r="M19" s="108" t="str">
        <f>IFERROR(__xludf.DUMMYFUNCTION("""COMPUTED_VALUE"""),"- Thay đổi phóng Hỏa Tiễn: bỏ thưởng mà Bộ Lạc đang chiếm đóng nhận được khi Bộ Lạc không chiếm đóng phóng hỏa tiễn của họ. Tăng cường thưởng mà Bộ Lạc của Lãnh Chúa nhận được khi phóng hỏa tiễn của họ.
 - Điều chỉnh Xu Vinh Dự: thay đổi quy tắc làm mới v"&amp;"à bổ sung số lượng của một số vật phẩm trong Cửa Hàng Vinh Dự. Hiện tại, những người chơi sẽ được 100 Xu Danh Dự mỗi lần thông qua Trợ Giúp Bang Hội, tối đa 10.000 xu. 
 - Điều chỉnh chỉ số Bang Hội: thay đổi phương thức và giá trị cụ thể để tăng số lượng"&amp;" thành viên Bang Hội. Giảm chi phí xây dựng Trạm Phân Phối Bang Hội và Trụ Sở Chính. Giảm chi phí EXP Nghiên Cứu của một số Nghiên Cứu Bang Hội nhất định. Siêu Thị Lớn và Bãi Phế Liệu Lớn giờ thuộc về Bang Hội, không phải Bộ Lạc. Tăng thu nhập tài nguyên "&amp;"cơ bản mà các thành viên Bang Hội cung cấp.
 - Điều chỉnh công trình trung lập: bỏ quy tắc gấp đôi hiệu ứng tăng cường khi một xe lửa vượt qua các công trình trung lập.H4
 - Chiến tranh Hành Tinh: ngoại hình thành phố đã được thêm vào thưởng thứ hạng điểm"&amp;" Lãnh Chúa cá nhân.")</f>
        <v>- Thay đổi phóng Hỏa Tiễn: bỏ thưởng mà Bộ Lạc đang chiếm đóng nhận được khi Bộ Lạc không chiếm đóng phóng hỏa tiễn của họ. Tăng cường thưởng mà Bộ Lạc của Lãnh Chúa nhận được khi phóng hỏa tiễn của họ.
 - Điều chỉnh Xu Vinh Dự: thay đổi quy tắc làm mới và bổ sung số lượng của một số vật phẩm trong Cửa Hàng Vinh Dự. Hiện tại, những người chơi sẽ được 100 Xu Danh Dự mỗi lần thông qua Trợ Giúp Bang Hội, tối đa 10.000 xu. 
 - Điều chỉnh chỉ số Bang Hội: thay đổi phương thức và giá trị cụ thể để tăng số lượng thành viên Bang Hội. Giảm chi phí xây dựng Trạm Phân Phối Bang Hội và Trụ Sở Chính. Giảm chi phí EXP Nghiên Cứu của một số Nghiên Cứu Bang Hội nhất định. Siêu Thị Lớn và Bãi Phế Liệu Lớn giờ thuộc về Bang Hội, không phải Bộ Lạc. Tăng thu nhập tài nguyên cơ bản mà các thành viên Bang Hội cung cấp.
 - Điều chỉnh công trình trung lập: bỏ quy tắc gấp đôi hiệu ứng tăng cường khi một xe lửa vượt qua các công trình trung lập.H4
 - Chiến tranh Hành Tinh: ngoại hình thành phố đã được thêm vào thưởng thứ hạng điểm Lãnh Chúa cá nhân.</v>
      </c>
      <c r="N19" s="108"/>
      <c r="O19" s="108"/>
      <c r="P19" s="108"/>
      <c r="Q19" s="108"/>
      <c r="R19" s="108"/>
      <c r="S19" s="108"/>
      <c r="T19" s="108"/>
      <c r="U19" s="108"/>
      <c r="V19" s="108"/>
      <c r="W19" s="108"/>
      <c r="X19" s="108"/>
      <c r="Y19" s="108"/>
      <c r="Z19" s="108"/>
    </row>
    <row r="20">
      <c r="A20" s="108" t="str">
        <f>IFERROR(__xludf.DUMMYFUNCTION("""COMPUTED_VALUE"""),"0.36.0")</f>
        <v>0.36.0</v>
      </c>
      <c r="B20" s="169" t="str">
        <f>IFERROR(__xludf.DUMMYFUNCTION("""COMPUTED_VALUE"""),"-调整建筑功能：调整城市中建筑“基地”和“香蕉光谱仪”的外观、名称和功能。调整后，“香蕉光谱仪”更名为“阅兵场”，将会决定玩家的行军队列数以及行军容量上限，此外，玩家能通过阅兵场更加直观地看到当前总兵力。同时，我们取消了原本由基地等级决定的行军队列数以及行军容量上限，也配合调整了斗士等级提供的行军容量数值。原本由“香蕉光谱仪”提供的资源生产功能移到了基地建筑上。
-行军侦察队列调整：侦察猴不再占用阅兵场提供的行军队列的数量，根据情报站等级额外计算；玩家可派出的所有队列上限依旧为5。
-任务相关调整：根据城"&amp;"内新增玩法调整了章节任务、主线任务和支线任务的部分设定。
-每日任务：新增艾文寻宝记、绝地试炼、火车竞赛相关的每日任务，优化了每日任务排序和活跃度。
-中立建筑：增强了部分大地图人类遗迹建筑和关卡的初始强度，并为关卡增加了强度衰减机制。
-建造配送站消耗：调整了建造配送站消耗的资源数量，已建造的配送站越多，消耗将越高。
-科林的探索：等级上限提高到40级，新增pvp任务类型，调整已有任务的难度。
-绝地试炼：调整部分关卡的难度和扫荡奖励。
-收藏品：新增1个橙色收藏品系列，为兵种提供属性加成。
-为匹配前"&amp;"期城内玩法，调整了部分等级的野蛮猴难度，也调整了部分等级的押运难度。
-香蕉光谱仪的资源产出转移至主城。
-改造猴的威胁优化：简单难度中的改造猴暴君数量由3个减少到了1个。")</f>
        <v>-调整建筑功能：调整城市中建筑“基地”和“香蕉光谱仪”的外观、名称和功能。调整后，“香蕉光谱仪”更名为“阅兵场”，将会决定玩家的行军队列数以及行军容量上限，此外，玩家能通过阅兵场更加直观地看到当前总兵力。同时，我们取消了原本由基地等级决定的行军队列数以及行军容量上限，也配合调整了斗士等级提供的行军容量数值。原本由“香蕉光谱仪”提供的资源生产功能移到了基地建筑上。
-行军侦察队列调整：侦察猴不再占用阅兵场提供的行军队列的数量，根据情报站等级额外计算；玩家可派出的所有队列上限依旧为5。
-任务相关调整：根据城内新增玩法调整了章节任务、主线任务和支线任务的部分设定。
-每日任务：新增艾文寻宝记、绝地试炼、火车竞赛相关的每日任务，优化了每日任务排序和活跃度。
-中立建筑：增强了部分大地图人类遗迹建筑和关卡的初始强度，并为关卡增加了强度衰减机制。
-建造配送站消耗：调整了建造配送站消耗的资源数量，已建造的配送站越多，消耗将越高。
-科林的探索：等级上限提高到40级，新增pvp任务类型，调整已有任务的难度。
-绝地试炼：调整部分关卡的难度和扫荡奖励。
-收藏品：新增1个橙色收藏品系列，为兵种提供属性加成。
-为匹配前期城内玩法，调整了部分等级的野蛮猴难度，也调整了部分等级的押运难度。
-香蕉光谱仪的资源产出转移至主城。
-改造猴的威胁优化：简单难度中的改造猴暴君数量由3个减少到了1个。</v>
      </c>
      <c r="C20" s="169" t="str">
        <f>IFERROR(__xludf.DUMMYFUNCTION("""COMPUTED_VALUE"""),"- Building function adjustments: changed the appearances, names, and functions of ""City Hall"" and ""Banana Spectrometer"" in the city. The ""Banana Spectrometer"" is now the ""Parade Ground,"" which determines your march capacity and the number of march"&amp;" queues. Your overall troop strength will also be displayed more intuitively in the Parade Ground. City Hall levels no longer determine your march capacity or queues, and the march capacity stats provided by fighter levels have been adjusted accordingly. "&amp;"Banana Spectrometer's resource production function is now provided by the City Hall.
- Scout queue adjustment: scouts no longer take up march queues provided by the Parade Ground. Instead, scout queues are determined by the level of your Intel Station. Th"&amp;"e max number of queues you can deploy at one time is still 5.
- Quest adjustments: modified certain chapter quest, main quest, and sub-quest settings according to the new city gameplay.
- Daily tasks: added new daily tasks related to Alvin's Treasure Hunt"&amp;", Impasse Trials, and Great Train Race. Improved daily task order and activeness.
- Neutral buildings: increased the initial difficulty of some ruins and passes on the map. Difficulty reduction mechanism added for passes.
- Distributor building cost: adju"&amp;"sted the resource cost of building a Distributor. The more Distributors already built, the higher the cost.
- Colin's Exploration: level cap increased to 40; new PvP quests added; adjusted the difficulty of current quests.
- Impasse Trials: adjusted the d"&amp;"ifficulty and raid rewards of certain levels.
- Relics: added 1 new set of Legendary Relics that will provide stat boosts for different troop types.
- Adjusted the difficulty of certain mutant levels and convoy levels according to the new city gameplay.
-"&amp;" Resource output from the Banana Spectrometer moved to the City Hall.
- Threat of the Modified Monkeys improved: the number of Modified Gigantos in easy mode reduced from 3 to 1.")</f>
        <v>- Building function adjustments: changed the appearances, names, and functions of "City Hall" and "Banana Spectrometer" in the city. The "Banana Spectrometer" is now the "Parade Ground," which determines your march capacity and the number of march queues. Your overall troop strength will also be displayed more intuitively in the Parade Ground. City Hall levels no longer determine your march capacity or queues, and the march capacity stats provided by fighter levels have been adjusted accordingly. Banana Spectrometer's resource production function is now provided by the City Hall.
- Scout queue adjustment: scouts no longer take up march queues provided by the Parade Ground. Instead, scout queues are determined by the level of your Intel Station. The max number of queues you can deploy at one time is still 5.
- Quest adjustments: modified certain chapter quest, main quest, and sub-quest settings according to the new city gameplay.
- Daily tasks: added new daily tasks related to Alvin's Treasure Hunt, Impasse Trials, and Great Train Race. Improved daily task order and activeness.
- Neutral buildings: increased the initial difficulty of some ruins and passes on the map. Difficulty reduction mechanism added for passes.
- Distributor building cost: adjusted the resource cost of building a Distributor. The more Distributors already built, the higher the cost.
- Colin's Exploration: level cap increased to 40; new PvP quests added; adjusted the difficulty of current quests.
- Impasse Trials: adjusted the difficulty and raid rewards of certain levels.
- Relics: added 1 new set of Legendary Relics that will provide stat boosts for different troop types.
- Adjusted the difficulty of certain mutant levels and convoy levels according to the new city gameplay.
- Resource output from the Banana Spectrometer moved to the City Hall.
- Threat of the Modified Monkeys improved: the number of Modified Gigantos in easy mode reduced from 3 to 1.</v>
      </c>
      <c r="D20" s="231" t="str">
        <f>IFERROR(__xludf.DUMMYFUNCTION("""COMPUTED_VALUE"""),"- Modification des bâtiments: apparence, nom, fonctions de l’hôtel de ville. Le spectromètre banane devient la place d’armes et détermine le nombre et la capacité de vos bataillons. La puissance globale de vos troupes est consultable de façon plus intuiti"&amp;"ve dans la place d’armes. Le niveau de l’hôtel de ville ne détermine plus la capacité et le nombre de bataillons. Les statistiques des bataillons, déterminées par le niveau des combattants, ont été modifiées en conséquence. La fonction de production de re"&amp;"ssources du spectromètre banane est désormais associée à l’hôtel de ville.
- Modification des éclaireurs: les éclaireurs n’utilisent pas les files de la place d’armes, mais sont déterminés par le niveau de votre centre de renseignement. Le nombre d’éclair"&amp;"eurs simultanés reste limité à 5.
- Modification de certaines quêtes de chapitre, quêtes principales et conditions des quêtes secondaires, conformément aux modifications apportées à la ville.
- Tâches quotidiennes: ajout de tâches pour la Chasse aux tréso"&amp;"rs d’Alvin, les Epreuves de l’Impasse et la Grande course de train. Optimisation de l’ordre et de la disponibilité des tâches quotidiennes.
- Bâtiments neutres: augmentation de la difficulté initiale de certains barrages et ruines sur la carte. Ajout de m"&amp;"écanismes de réduction de la difficulté pour les barrages.
- Modification du coût en ressources pour la construction d’un distributeur. Le coût augmente avec le nombre de distributeurs construits.
- Exploration de Colin: le niveau maximum passe à 40; ajou"&amp;"t de quêtes en joueurs contre joueurs; modification de la difficulté des quêtes actuelles.
- Epreuves de l’Impasse: modification de la difficulté et des récompenses des raids pour certains niveaux.
- Reliques: ajout d’un ensemble de reliques légendaires p"&amp;"rocurant des boosts pour différents types d’unités.
- Modification de la difficulté de certains niveaux de mutants et de convois, conformément aux modifications apportées à la ville.
- Les ressources produites par le spectromètre banane sont maintenant is"&amp;"sues de l’hôtel de ville.
- Amélioration de la Menace des primates expérimentaux: en mode facile, le nombre de gigantos expérimentaux passe de 3 à 1.")</f>
        <v>- Modification des bâtiments: apparence, nom, fonctions de l’hôtel de ville. Le spectromètre banane devient la place d’armes et détermine le nombre et la capacité de vos bataillons. La puissance globale de vos troupes est consultable de façon plus intuitive dans la place d’armes. Le niveau de l’hôtel de ville ne détermine plus la capacité et le nombre de bataillons. Les statistiques des bataillons, déterminées par le niveau des combattants, ont été modifiées en conséquence. La fonction de production de ressources du spectromètre banane est désormais associée à l’hôtel de ville.
- Modification des éclaireurs: les éclaireurs n’utilisent pas les files de la place d’armes, mais sont déterminés par le niveau de votre centre de renseignement. Le nombre d’éclaireurs simultanés reste limité à 5.
- Modification de certaines quêtes de chapitre, quêtes principales et conditions des quêtes secondaires, conformément aux modifications apportées à la ville.
- Tâches quotidiennes: ajout de tâches pour la Chasse aux trésors d’Alvin, les Epreuves de l’Impasse et la Grande course de train. Optimisation de l’ordre et de la disponibilité des tâches quotidiennes.
- Bâtiments neutres: augmentation de la difficulté initiale de certains barrages et ruines sur la carte. Ajout de mécanismes de réduction de la difficulté pour les barrages.
- Modification du coût en ressources pour la construction d’un distributeur. Le coût augmente avec le nombre de distributeurs construits.
- Exploration de Colin: le niveau maximum passe à 40; ajout de quêtes en joueurs contre joueurs; modification de la difficulté des quêtes actuelles.
- Epreuves de l’Impasse: modification de la difficulté et des récompenses des raids pour certains niveaux.
- Reliques: ajout d’un ensemble de reliques légendaires procurant des boosts pour différents types d’unités.
- Modification de la difficulté de certains niveaux de mutants et de convois, conformément aux modifications apportées à la ville.
- Les ressources produites par le spectromètre banane sont maintenant issues de l’hôtel de ville.
- Amélioration de la Menace des primates expérimentaux: en mode facile, le nombre de gigantos expérimentaux passe de 3 à 1.</v>
      </c>
      <c r="E20" s="231" t="str">
        <f>IFERROR(__xludf.DUMMYFUNCTION("""COMPUTED_VALUE"""),"- Anpassung der Gebäudefunktionen: Das Aussehen, die Namen und die Funktionen des ""Rathauses"" und des ""Bananen-Spektrometers"" in der Stadt wurden geändert. Das ""Bananen-Spektrometer"" ist jetzt der ""Truppenübungsplatz"", der deine Marschkapazität un"&amp;"d die Anzahl der Marschschlangen bestimmt. Außerdem wird deine Gesamttruppenstärke auf dem Truppenübungsplatz nun intuitiver angezeigt. Das Rathaus-Level bestimmt jetzt nicht mehr die Marschkapazität und -Warteschlangen, und die Marschkapazitätswerte der "&amp;"Kämpfer-Level wurden entsprechend angepasst. Die Ressourcenproduktionsfunktion des Bananen-Spektrometers wird jetzt vom Rathaus bereitgestellt.
- Anpassung der Späher-Warteschlangen: Späher nehmen nicht mehr die Marschwarteschlangen des Truppenübungsplatz"&amp;"es in Anspruch. Stattdessen richten sich die Warteschlangen der Späher nach dem Level deines Späherlagers. Die maximale Anzahl an Warteschlangen, die du gleichzeitig einsetzen kannst, beträgt weiterhin 5.
- Quest-Anpassungen: Bestimmte Einstellungen für K"&amp;"apitel-Quests, Haupt-Quests und Sub-Quests wurden an das neue Stadt-Gameplay angepasst.
- Tägliche Aufgaben: Es wurden neue tägliche Aufgaben im Zusammenhang mit Alvins Schatzsuche, Sackgassen-Prüfungen und dem Großen Zugrennen hinzugefügt. Die Reihenfolg"&amp;"e der täglichen Aufgaben und die Aktivität wurden verbessert.
- Neutrale Gebäude: Die Anfangsschwierigkeit einiger Ruinen und Tore auf der Karte wurde erhöht. Ein Mechanismus zur Schwierigkeitsreduzierung für Tore wurde hinzugefügt.
- Kosten für den Bau v"&amp;"on Verteilern: Die Ressourcenkosten für den Bau eines Verteilers wurden angepasst. Je mehr Verteiler bereits gebaut wurden, desto höher sind die Kosten.
- Colins Erkundung: Level-Cap auf 40 erhöht; neue PvP-Quests hinzugefügt; Schwierigkeitsgrad der aktue"&amp;"llen Quests wurde angepasst.
- Sackgassen-Prüfungen: Der Schwierigkeitsgrad und die Belohnungen für Schlachtzüge bestimmter Level wurden angepasst.
- Relikte: Es wurde 1 neues Set legendärer Relikte hinzugefügt, das verschiedene Truppentypen mit zusätzlic"&amp;"hen Werten ausstattet.
- Der Schwierigkeitsgrad bestimmter Mutanten-Level und Konvoi-Level wurde an das neue Stadt-Gameplay angepasst.
- Die Ressourcenausgabe des Bananen-Spektrometers wurde ins Rathaus verlegt.
- Bedrohung durch modifizierte Affen wurde "&amp;"verbessert: Die Anzahl der modifizierten Gigantos im einfachen Modus wurde von 3 auf 1 reduziert.")</f>
        <v>- Anpassung der Gebäudefunktionen: Das Aussehen, die Namen und die Funktionen des "Rathauses" und des "Bananen-Spektrometers" in der Stadt wurden geändert. Das "Bananen-Spektrometer" ist jetzt der "Truppenübungsplatz", der deine Marschkapazität und die Anzahl der Marschschlangen bestimmt. Außerdem wird deine Gesamttruppenstärke auf dem Truppenübungsplatz nun intuitiver angezeigt. Das Rathaus-Level bestimmt jetzt nicht mehr die Marschkapazität und -Warteschlangen, und die Marschkapazitätswerte der Kämpfer-Level wurden entsprechend angepasst. Die Ressourcenproduktionsfunktion des Bananen-Spektrometers wird jetzt vom Rathaus bereitgestellt.
- Anpassung der Späher-Warteschlangen: Späher nehmen nicht mehr die Marschwarteschlangen des Truppenübungsplatzes in Anspruch. Stattdessen richten sich die Warteschlangen der Späher nach dem Level deines Späherlagers. Die maximale Anzahl an Warteschlangen, die du gleichzeitig einsetzen kannst, beträgt weiterhin 5.
- Quest-Anpassungen: Bestimmte Einstellungen für Kapitel-Quests, Haupt-Quests und Sub-Quests wurden an das neue Stadt-Gameplay angepasst.
- Tägliche Aufgaben: Es wurden neue tägliche Aufgaben im Zusammenhang mit Alvins Schatzsuche, Sackgassen-Prüfungen und dem Großen Zugrennen hinzugefügt. Die Reihenfolge der täglichen Aufgaben und die Aktivität wurden verbessert.
- Neutrale Gebäude: Die Anfangsschwierigkeit einiger Ruinen und Tore auf der Karte wurde erhöht. Ein Mechanismus zur Schwierigkeitsreduzierung für Tore wurde hinzugefügt.
- Kosten für den Bau von Verteilern: Die Ressourcenkosten für den Bau eines Verteilers wurden angepasst. Je mehr Verteiler bereits gebaut wurden, desto höher sind die Kosten.
- Colins Erkundung: Level-Cap auf 40 erhöht; neue PvP-Quests hinzugefügt; Schwierigkeitsgrad der aktuellen Quests wurde angepasst.
- Sackgassen-Prüfungen: Der Schwierigkeitsgrad und die Belohnungen für Schlachtzüge bestimmter Level wurden angepasst.
- Relikte: Es wurde 1 neues Set legendärer Relikte hinzugefügt, das verschiedene Truppentypen mit zusätzlichen Werten ausstattet.
- Der Schwierigkeitsgrad bestimmter Mutanten-Level und Konvoi-Level wurde an das neue Stadt-Gameplay angepasst.
- Die Ressourcenausgabe des Bananen-Spektrometers wurde ins Rathaus verlegt.
- Bedrohung durch modifizierte Affen wurde verbessert: Die Anzahl der modifizierten Gigantos im einfachen Modus wurde von 3 auf 1 reduziert.</v>
      </c>
      <c r="F20" s="231" t="str">
        <f>IFERROR(__xludf.DUMMYFUNCTION("""COMPUTED_VALUE"""),"- Ajustes na função de construção: mudança de aparências, nomes e funções da ""Prefeitura"" e ""Espectrômetro Banana"" na cidade. O ""Espectrômetro Banana"" é agora a ""Praça de Armas"", que determina a capacidade de marcha e o número de filas de marcha. "&amp;"A força geral da sua tropa também será mostrada mais intuitivamente na Praça de Armas. Os níveis de prefeitura não determinarão mais a capacidade de marcha ou filas, e os atributos de capacidade de marcha fornecidos por níveis de combatente serão ajustado"&amp;"s com base nisso. A função de produção de recursos do Espectrômetro Banana é agora fornecida pela Prefeitura.
- Ajuste da fila de batedor: os batedores não usam mais filas de marcha fornecidas pela Praça de Armas. Em vez disso, as filas de batedor são det"&amp;"erminadas pelo nível do seu Posto de Vigilância. O número máximo de filas que você pode enviar de uma única vez ainda é 5.
- Ajustes em missões: modificação em determinadas missões de capítulo, configurações de missões principais e secundárias de acordo c"&amp;"om a nova jogabilidade da cidade.
- Tarefas diárias: adicionadas novas tarefas diárias relacionadas aos eventos Caça ao Tesouro de Alvin, Desafios de Impasse e Grande Corrida dos Trens. Melhoria na ordem de tarefas diárias e atividade.
- Estruturas neutra"&amp;"s: aumenta da dificuldade inicial de algumas ruínas e passes no mapa. Mecanismo de redução de dificuldade adicionado a passes.
- Custo de construção do distribuidor: ajustado o custo de recursos para construir um distribuidor. Quanto mais distribuidores, "&amp;"mais alto o custo.
- Exploração de Colin: aumento do limite de nível a 40, novas missões PvP, ajuste na dificuldade das missões atuais.
- Desafios de Impasse: ajustada a dificuldade e recompensas de raides para determinados níveis.
- Relíquias: adicionado"&amp;" 1 novo conjuntos de relíquias lendárias que fornecerão bônus de atributo a diferentes tipos de tropas.
- Ajustada a dificuldade de determinados níveis de mutante e níveis de comboio com base na nova jogabilidade da cidade.
- Produção de recursos do Espec"&amp;"trômetro Banana movido para a Prefeitura.
- Ameaça dos Macacos Modificados melhorada: o número de Gigantos modificados no fácil foi reduzido de 3 para 1.")</f>
        <v>- Ajustes na função de construção: mudança de aparências, nomes e funções da "Prefeitura" e "Espectrômetro Banana" na cidade. O "Espectrômetro Banana" é agora a "Praça de Armas", que determina a capacidade de marcha e o número de filas de marcha. A força geral da sua tropa também será mostrada mais intuitivamente na Praça de Armas. Os níveis de prefeitura não determinarão mais a capacidade de marcha ou filas, e os atributos de capacidade de marcha fornecidos por níveis de combatente serão ajustados com base nisso. A função de produção de recursos do Espectrômetro Banana é agora fornecida pela Prefeitura.
- Ajuste da fila de batedor: os batedores não usam mais filas de marcha fornecidas pela Praça de Armas. Em vez disso, as filas de batedor são determinadas pelo nível do seu Posto de Vigilância. O número máximo de filas que você pode enviar de uma única vez ainda é 5.
- Ajustes em missões: modificação em determinadas missões de capítulo, configurações de missões principais e secundárias de acordo com a nova jogabilidade da cidade.
- Tarefas diárias: adicionadas novas tarefas diárias relacionadas aos eventos Caça ao Tesouro de Alvin, Desafios de Impasse e Grande Corrida dos Trens. Melhoria na ordem de tarefas diárias e atividade.
- Estruturas neutras: aumenta da dificuldade inicial de algumas ruínas e passes no mapa. Mecanismo de redução de dificuldade adicionado a passes.
- Custo de construção do distribuidor: ajustado o custo de recursos para construir um distribuidor. Quanto mais distribuidores, mais alto o custo.
- Exploração de Colin: aumento do limite de nível a 40, novas missões PvP, ajuste na dificuldade das missões atuais.
- Desafios de Impasse: ajustada a dificuldade e recompensas de raides para determinados níveis.
- Relíquias: adicionado 1 novo conjuntos de relíquias lendárias que fornecerão bônus de atributo a diferentes tipos de tropas.
- Ajustada a dificuldade de determinados níveis de mutante e níveis de comboio com base na nova jogabilidade da cidade.
- Produção de recursos do Espectrômetro Banana movido para a Prefeitura.
- Ameaça dos Macacos Modificados melhorada: o número de Gigantos modificados no fácil foi reduzido de 3 para 1.</v>
      </c>
      <c r="G20" s="108" t="str">
        <f>IFERROR(__xludf.DUMMYFUNCTION("""COMPUTED_VALUE"""),"-調整建築功能：調整城市中建築“基地”和“香蕉光譜儀”的外觀、名稱和功能。調整後，“香蕉光譜儀”更名為“閱兵場”，將會決定玩家的行軍隊列數以及行軍容量上限，此外，玩家能通過閱兵場更加直觀地看到當前總兵力。同時，我們取消了原本由基地等級決定的行軍隊列數以及行軍容量上限，也配合調整了鬥士等級提供的行軍容量數值。原本由“香蕉光譜儀”提供的資源生產功能移到了基地建築上。
-行軍偵察隊列調整：偵察猴不再佔用閱兵場提供的行軍隊列的數量，根據情報站等級額外計算；玩家可派出的所有隊列上限依舊為5。
-任務相關調整：根據城"&amp;"內新增玩法調整了章節任務、主線任務和支線任務的部分設定。
-每日任務：新增艾文尋寶記、絕地試煉、火車競賽相關的每日任務，優化了每日任務排序和活躍度。
-中立建築：增強了部分大地圖人類遺跡建築和關卡的初始強度，並為關卡增加了強度衰減機制。
-建造配送站消耗：調整了建造配送站消耗的資源數量，已建造的配送站越多，消耗將越高。
-科林的探索：等級上限提高到40級，新增pvp任務類型，調整已有任務的難度。
-絕地試煉：調整部分關卡的難度和掃蕩獎勵。
-收藏品：新增1個橙色收藏品系列，為兵種提供屬性加成。
-為匹配前"&amp;"期城內玩法，調整了部分等級的野蠻猴難度，也調整了部分等級的押運難度。
-香蕉光譜儀的資源產出轉移至主城。
-改造猴的威脅優化：簡單難度中的改造猴暴君數量由3個減少到了1個。 ")</f>
        <v>-調整建築功能：調整城市中建築“基地”和“香蕉光譜儀”的外觀、名稱和功能。調整後，“香蕉光譜儀”更名為“閱兵場”，將會決定玩家的行軍隊列數以及行軍容量上限，此外，玩家能通過閱兵場更加直觀地看到當前總兵力。同時，我們取消了原本由基地等級決定的行軍隊列數以及行軍容量上限，也配合調整了鬥士等級提供的行軍容量數值。原本由“香蕉光譜儀”提供的資源生產功能移到了基地建築上。
-行軍偵察隊列調整：偵察猴不再佔用閱兵場提供的行軍隊列的數量，根據情報站等級額外計算；玩家可派出的所有隊列上限依舊為5。
-任務相關調整：根據城內新增玩法調整了章節任務、主線任務和支線任務的部分設定。
-每日任務：新增艾文尋寶記、絕地試煉、火車競賽相關的每日任務，優化了每日任務排序和活躍度。
-中立建築：增強了部分大地圖人類遺跡建築和關卡的初始強度，並為關卡增加了強度衰減機制。
-建造配送站消耗：調整了建造配送站消耗的資源數量，已建造的配送站越多，消耗將越高。
-科林的探索：等級上限提高到40級，新增pvp任務類型，調整已有任務的難度。
-絕地試煉：調整部分關卡的難度和掃蕩獎勵。
-收藏品：新增1個橙色收藏品系列，為兵種提供屬性加成。
-為匹配前期城內玩法，調整了部分等級的野蠻猴難度，也調整了部分等級的押運難度。
-香蕉光譜儀的資源產出轉移至主城。
-改造猴的威脅優化：簡單難度中的改造猴暴君數量由3個減少到了1個。 </v>
      </c>
      <c r="H20" s="231" t="str">
        <f>IFERROR(__xludf.DUMMYFUNCTION("""COMPUTED_VALUE"""),"- Penyesuaian fungsi bangunan: mengubah tampilan, nama, dan fungsi ""Balai Kota"" dan ""Spektrometer Pisang"" di kota. ""Spektrometer Pisang"" sekarang menjadi ""Tempat Parade"", yang menentukan kapasitas berbarismu dan jumlah antrean berbaris. Kekuatan p"&amp;"asukanmu secara keseluruhan juga akan ditampilkan secara lebih intuitif di Tempat Parade. Level Balai Kota tidak lagi menentukan kapasitas berbaris atau antreanmu, dan statistik kapasitas berbaris yang disediakan oleh level pejuang telah disesuaikan. Fung"&amp;"si produksi sumber daya Pisang Spektrometer sekarang disediakan oleh Balai Kota.
- Penyesuaian antrean pengintai: pengintai tidak lagi mengambil antrean berbaris yang disediakan oleh Tempat Parade. Sebaliknya, antrean pengintai ditentukan oleh tingkat Sta"&amp;"siun Intelmu. Jumlah maksimum antrean yang dapat kamu terapkan sekaligus masih 5.
- Penyesuaian misi: memodifikasi misi babak tertentu, misi utama, dan pengaturan sub-misi sesuai gameplay kota baru.
- Tugas harian: menambahkan tugas harian baru yang terka"&amp;"it dengan Perburuan Harta Karun Alvin, Uji Coba Kebuntuan, dan Balap Kereta Hebat. Peningkatan urutan tugas harian dan keaktifan.
- Bangunan netral: meningkatkan kesulitan awal sejumlah reruntuhan dan wilayah di peta. Mekanisme pengurangan kesulitan ditam"&amp;"bahkan untuk wilayah.
- Biaya bangunan Distributor: menyesuaikan biaya sumber daya untuk membangun Distributor. Semakin banyak Distributor yang sudah dibangun, semakin tinggi biayanya.
- Penjelajahan Colin: batas level meningkat menjadi 40; misi PvP baru "&amp;"ditambahkan; kesulitan misi saat ini disesuaikan.
- Uji Coba Kebuntuan: menyesuaikan kesulitan dan hadiah serangan dari level tertentu.
- Relik: 1 set Relik Legendaris baru yang akan memberikan peningkatan stat untuk berbagai jenis pasukan ditambahkan.
- "&amp;"Menyesuaikan kesulitan level mutan dan level konvoi tertentu sesuai gameplay kota baru.
- Hasil sumber daya dari Spektrometer Pisang dipindahkan ke Balai Kota.
- Peningkatan Ancaman Kera Modifikasi: jumlah Giganto Modifikasi dalam mode mudah berkurang dar"&amp;"i 3 menjadi 1.")</f>
        <v>- Penyesuaian fungsi bangunan: mengubah tampilan, nama, dan fungsi "Balai Kota" dan "Spektrometer Pisang" di kota. "Spektrometer Pisang" sekarang menjadi "Tempat Parade", yang menentukan kapasitas berbarismu dan jumlah antrean berbaris. Kekuatan pasukanmu secara keseluruhan juga akan ditampilkan secara lebih intuitif di Tempat Parade. Level Balai Kota tidak lagi menentukan kapasitas berbaris atau antreanmu, dan statistik kapasitas berbaris yang disediakan oleh level pejuang telah disesuaikan. Fungsi produksi sumber daya Pisang Spektrometer sekarang disediakan oleh Balai Kota.
- Penyesuaian antrean pengintai: pengintai tidak lagi mengambil antrean berbaris yang disediakan oleh Tempat Parade. Sebaliknya, antrean pengintai ditentukan oleh tingkat Stasiun Intelmu. Jumlah maksimum antrean yang dapat kamu terapkan sekaligus masih 5.
- Penyesuaian misi: memodifikasi misi babak tertentu, misi utama, dan pengaturan sub-misi sesuai gameplay kota baru.
- Tugas harian: menambahkan tugas harian baru yang terkait dengan Perburuan Harta Karun Alvin, Uji Coba Kebuntuan, dan Balap Kereta Hebat. Peningkatan urutan tugas harian dan keaktifan.
- Bangunan netral: meningkatkan kesulitan awal sejumlah reruntuhan dan wilayah di peta. Mekanisme pengurangan kesulitan ditambahkan untuk wilayah.
- Biaya bangunan Distributor: menyesuaikan biaya sumber daya untuk membangun Distributor. Semakin banyak Distributor yang sudah dibangun, semakin tinggi biayanya.
- Penjelajahan Colin: batas level meningkat menjadi 40; misi PvP baru ditambahkan; kesulitan misi saat ini disesuaikan.
- Uji Coba Kebuntuan: menyesuaikan kesulitan dan hadiah serangan dari level tertentu.
- Relik: 1 set Relik Legendaris baru yang akan memberikan peningkatan stat untuk berbagai jenis pasukan ditambahkan.
- Menyesuaikan kesulitan level mutan dan level konvoi tertentu sesuai gameplay kota baru.
- Hasil sumber daya dari Spektrometer Pisang dipindahkan ke Balai Kota.
- Peningkatan Ancaman Kera Modifikasi: jumlah Giganto Modifikasi dalam mode mudah berkurang dari 3 menjadi 1.</v>
      </c>
      <c r="I20" s="108" t="str">
        <f>IFERROR(__xludf.DUMMYFUNCTION("""COMPUTED_VALUE"""),"- การปรับฟังก์ชันสิ่งปลูกสร้าง: เปลี่ยนรูปลักษณ์ ชื่อ และหน้าที่ของ ""ศาลากลาง"" และ ""เครื่องตรวจสเปคตรัมกล้วย"" ในเมือง โดย ""เครื่องตรวจสเปคตรัมกล้วย"" จะกลายเป็น ""ลานเดินทัพ"" ซึ่งใช้กำหนดความสามารถในการเดินทัพและจำนวนคิวในการเดินทัพของคุณ และคุณจะสา"&amp;"มารถดูความแข็งแกร่งของกองทหารโดยรวมของคุณในลานเดินทัพได้ง่ายขึ้น ระบบจะไม่ใช้เลเวลของศาลากลางในการกำหนดขนาดหรือคิวเดินทัพของคุณอีกต่อไป อีกทั้งค่าพลังขนาดการเดินทัพจะปรับตามเลเวลของนักสู้ด้วย และย้ายการผลิตทรัพยากรของเครื่องตรวจสเปคตรัมกล้วยไปไว้ที่ศาลากล"&amp;"าง
- การปรับขบวนหน่วยสอดแนม: หน่วยสอดแนมจะไม่ใช้คิวเดินทัพในลานเดินทัพอีกต่อไป คิวการสอดแนมจะกำหนดจากเลเวลของสถานีข่าวกรองของคุณ แต่จำนวนคิวสูงสุดที่คุณสามารถส่งออกได้ในคราวเดียวยังคงเป็น 5 คิวเช่นเดียว
- การปรับเควสต์: ปรับเปลี่ยนการตั้งค่าเควสต์บางบท เค"&amp;"วสต์หลัก และเควสต์ย่อยตามรูปแบบการเล่นของเมืองใหม่
- งานประจำวัน: เพิ่มงานประจำวันใหม่ที่เกี่ยวข้องกับการล่าสมบัติของอัลวิน, การทดสอบ ณ ทางตัน และการแข่งขันรถไฟครั้งยิ่งใหญ่ ปรับปรุงลำดับงานประจำวันและการเข้าเล่น
- สิ่งปลูกสร้างส่วนกลาง: เพิ่มความยากเริ่ม"&amp;"ต้นของซากปรักหักพังและทางผ่านบนแผนที่บางส่วน รวมถึงเพิ่มระบบลดความยากในทางผ่าน
- ต้นทุนการสร้างหอกระจายแร่: ปรับต้นทุนทรัพยากรในการสร้างหอกระจายแร่ ยิ่งสร้างหอกระจายแร่มากเท่าใด ต้นทุนก็ยิ่งสูงขึ้นเท่านั้น
- การสำรวจของโคลิน: เพิ่มเลเวลสูงสุดเป็น 40; เพิ่"&amp;"มเตวสต์ PvP ใหม่; ปรับความยากของเควสต์ปัจจุบัน
- การทดสอบ ณ ทางตัน: ปรับความยากและรางวัลการจู่โจมในบางระดับ
- วัตถุโบราณ: เพิ่มวัตถุโบราณในตำนานชุดใหม่ 1 ชุดที่จะให้บูสต์กับแต่ละประเภทกองทหาร
- ปรับระดับความยากของมิวแตนต์และคอนวอยในบางเลเวลให้เหมาะกับรูปแ"&amp;"บบการเล่นของเมืองใหม่
- ย้ายทรัพยากรที่ส่งออกมาจากเครื่องตรวจสเปคตรัมกล้วยไปที่ศาลากลาง
- ปรับปรุงภัยคุกคามของเหล่าลิงดัดแปลง: จำนวนกิกันโตดัดแปลงในโหมดง่ายลดลงจาก 3 ตัวเป็น 1 ตัว")</f>
        <v>- การปรับฟังก์ชันสิ่งปลูกสร้าง: เปลี่ยนรูปลักษณ์ ชื่อ และหน้าที่ของ "ศาลากลาง" และ "เครื่องตรวจสเปคตรัมกล้วย" ในเมือง โดย "เครื่องตรวจสเปคตรัมกล้วย" จะกลายเป็น "ลานเดินทัพ" ซึ่งใช้กำหนดความสามารถในการเดินทัพและจำนวนคิวในการเดินทัพของคุณ และคุณจะสามารถดูความแข็งแกร่งของกองทหารโดยรวมของคุณในลานเดินทัพได้ง่ายขึ้น ระบบจะไม่ใช้เลเวลของศาลากลางในการกำหนดขนาดหรือคิวเดินทัพของคุณอีกต่อไป อีกทั้งค่าพลังขนาดการเดินทัพจะปรับตามเลเวลของนักสู้ด้วย และย้ายการผลิตทรัพยากรของเครื่องตรวจสเปคตรัมกล้วยไปไว้ที่ศาลากลาง
- การปรับขบวนหน่วยสอดแนม: หน่วยสอดแนมจะไม่ใช้คิวเดินทัพในลานเดินทัพอีกต่อไป คิวการสอดแนมจะกำหนดจากเลเวลของสถานีข่าวกรองของคุณ แต่จำนวนคิวสูงสุดที่คุณสามารถส่งออกได้ในคราวเดียวยังคงเป็น 5 คิวเช่นเดียว
- การปรับเควสต์: ปรับเปลี่ยนการตั้งค่าเควสต์บางบท เควสต์หลัก และเควสต์ย่อยตามรูปแบบการเล่นของเมืองใหม่
- งานประจำวัน: เพิ่มงานประจำวันใหม่ที่เกี่ยวข้องกับการล่าสมบัติของอัลวิน, การทดสอบ ณ ทางตัน และการแข่งขันรถไฟครั้งยิ่งใหญ่ ปรับปรุงลำดับงานประจำวันและการเข้าเล่น
- สิ่งปลูกสร้างส่วนกลาง: เพิ่มความยากเริ่มต้นของซากปรักหักพังและทางผ่านบนแผนที่บางส่วน รวมถึงเพิ่มระบบลดความยากในทางผ่าน
- ต้นทุนการสร้างหอกระจายแร่: ปรับต้นทุนทรัพยากรในการสร้างหอกระจายแร่ ยิ่งสร้างหอกระจายแร่มากเท่าใด ต้นทุนก็ยิ่งสูงขึ้นเท่านั้น
- การสำรวจของโคลิน: เพิ่มเลเวลสูงสุดเป็น 40; เพิ่มเตวสต์ PvP ใหม่; ปรับความยากของเควสต์ปัจจุบัน
- การทดสอบ ณ ทางตัน: ปรับความยากและรางวัลการจู่โจมในบางระดับ
- วัตถุโบราณ: เพิ่มวัตถุโบราณในตำนานชุดใหม่ 1 ชุดที่จะให้บูสต์กับแต่ละประเภทกองทหาร
- ปรับระดับความยากของมิวแตนต์และคอนวอยในบางเลเวลให้เหมาะกับรูปแบบการเล่นของเมืองใหม่
- ย้ายทรัพยากรที่ส่งออกมาจากเครื่องตรวจสเปคตรัมกล้วยไปที่ศาลากลาง
- ปรับปรุงภัยคุกคามของเหล่าลิงดัดแปลง: จำนวนกิกันโตดัดแปลงในโหมดง่ายลดลงจาก 3 ตัวเป็น 1 ตัว</v>
      </c>
      <c r="J20" s="231" t="str">
        <f>IFERROR(__xludf.DUMMYFUNCTION("""COMPUTED_VALUE"""),"- Ajustes de la función del edificio: Se cambiaron las apariencias, los nombres y las funciones del ""Ayuntamiento"" y el ""Espectrómetro de Banana"" en la ciudad. El ""Espectrómetro de Banana"" es ahora la ""Plaza de Armas"", que determina tu capacidad d"&amp;"e marcha y el número de filas de marcha. La fuerza general de tu tropa también se mostrará de forma más intuitiva en la Plaza de Armas. Los niveles del Ayuntamiento ya no determinan la capacidad de marcha o las filas, y las estadísticas de capacidad de ma"&amp;"rcha proporcionadas por los niveles de luchador se han ajustado en consecuencia. La función de producción de recursos del Espectrómetro de Banana ahora será proporcionada por el Ayuntamiento.
- Ajuste en las filas de exploradores: Los exploradores ya no o"&amp;"cuparán ahora las filas de marcha proporcionadas por la Plaza de Armas. En vez de eso, las filas de exploración estarán determinadas por el nivel de tu Estación de Inteligencia. El número máximo de filas que podrás desplegar al mismo tiempo sigue siendo d"&amp;"e 5.
- Ajustes de misión: Se modificaron algunas configuraciones de misión de capítulo, misión principal y las sub misiones de acuerdo con el nuevo modo de juego de la ciudad.
- Tareas diarias: Se agregaron nuevas tareas diarias relacionadas con la Cacerí"&amp;"a de Tesoro de Alvin, las Pruebas de Impasse y la Gran Carrera del Tren. Mejoras en el orden de las tareas diarias y la actividad.
- Edificios neutrales: Se incrementó la dificultad inicial de algunas ruinas y pasos en el mapa. Se agregó un mecanismo de r"&amp;"educción de dificultad para los pases.
- Costo de construcción del distribuidor: Se ajustó el costo de recursos por construir un Distribuidor. Cuantos más Distribuidores ya estén construidos, mayor será el costo.
- Exploración de Colin: Límite de nivel au"&amp;"mentado a 40; nuevas misiones JvJ agregadas; ajustes en la dificultad de las misiones actuales.
- Pruebas de Impasse: se ajustó la dificultad y las recompensas de incursiones en algunos niveles.
- Reliquias: Se agregó 1 nuevo conjunto de Reliquias Legenda"&amp;"rias que proporcionarán potenciadores en las estadísticas para diferentes tipos de tropas.
- Se ajustó la dificultad de ciertos niveles de mutantes y niveles de convoyes de acuerdo con la nueva jugabilidad de la ciudad.
- La producción de recursos del Esp"&amp;"ectrómetro de Banana se trasladó al Ayuntamiento.
- Mejoras en la Amenaza de los Monos Modificados: La cantidad de Gigantopithecus modificados en modo fácil se redujo de 3 a 1.")</f>
        <v>- Ajustes de la función del edificio: Se cambiaron las apariencias, los nombres y las funciones del "Ayuntamiento" y el "Espectrómetro de Banana" en la ciudad. El "Espectrómetro de Banana" es ahora la "Plaza de Armas", que determina tu capacidad de marcha y el número de filas de marcha. La fuerza general de tu tropa también se mostrará de forma más intuitiva en la Plaza de Armas. Los niveles del Ayuntamiento ya no determinan la capacidad de marcha o las filas, y las estadísticas de capacidad de marcha proporcionadas por los niveles de luchador se han ajustado en consecuencia. La función de producción de recursos del Espectrómetro de Banana ahora será proporcionada por el Ayuntamiento.
- Ajuste en las filas de exploradores: Los exploradores ya no ocuparán ahora las filas de marcha proporcionadas por la Plaza de Armas. En vez de eso, las filas de exploración estarán determinadas por el nivel de tu Estación de Inteligencia. El número máximo de filas que podrás desplegar al mismo tiempo sigue siendo de 5.
- Ajustes de misión: Se modificaron algunas configuraciones de misión de capítulo, misión principal y las sub misiones de acuerdo con el nuevo modo de juego de la ciudad.
- Tareas diarias: Se agregaron nuevas tareas diarias relacionadas con la Cacería de Tesoro de Alvin, las Pruebas de Impasse y la Gran Carrera del Tren. Mejoras en el orden de las tareas diarias y la actividad.
- Edificios neutrales: Se incrementó la dificultad inicial de algunas ruinas y pasos en el mapa. Se agregó un mecanismo de reducción de dificultad para los pases.
- Costo de construcción del distribuidor: Se ajustó el costo de recursos por construir un Distribuidor. Cuantos más Distribuidores ya estén construidos, mayor será el costo.
- Exploración de Colin: Límite de nivel aumentado a 40; nuevas misiones JvJ agregadas; ajustes en la dificultad de las misiones actuales.
- Pruebas de Impasse: se ajustó la dificultad y las recompensas de incursiones en algunos niveles.
- Reliquias: Se agregó 1 nuevo conjunto de Reliquias Legendarias que proporcionarán potenciadores en las estadísticas para diferentes tipos de tropas.
- Se ajustó la dificultad de ciertos niveles de mutantes y niveles de convoyes de acuerdo con la nueva jugabilidad de la ciudad.
- La producción de recursos del Espectrómetro de Banana se trasladó al Ayuntamiento.
- Mejoras en la Amenaza de los Monos Modificados: La cantidad de Gigantopithecus modificados en modo fácil se redujo de 3 a 1.</v>
      </c>
      <c r="K20" s="231" t="str">
        <f>IFERROR(__xludf.DUMMYFUNCTION("""COMPUTED_VALUE"""),"- Корректировка построек: изменены внешний вид, названия и функции зданий «Городской совет» и «Банановый спектрометр» в городе. Теперь «Банановый спектрометр» — это «Парадный плац», который определяет максимальную численность марша и количество очередей. "&amp;"Общая мощь вашего войска также будет явным образом показана на парадном плацу. Уровень городского совета больше не влияет на максимальную численность марша и очереди, а бонусы к численности марша, которые даются за уровень героя, соответствующим образом с"&amp;"корректированы. Функция производства ресурсов, которая была у бананового спектрометра, теперь перенесена в городской совет.
- Корректировка очередей разведчиков: разведчики больше не занимают очереди марша, предоставляемые парадным плацем. Теперь ваше чис"&amp;"ло очередей разведчиков определяется уровнем разведстанции. Максимальное число очередей, которые можно задействовать одновременно, по-прежнему равно 5.
- Корректировка заданий: изменены настройки некоторых заданий главы, основного задания и дополнительных"&amp;" заданий в соответствии с новым игровым процессом в городе.
- Ежедневные задания: добавлены новые ежедневные задания, связанные с «Охотой за сокровищами Альвина», «Испытаниями Тупика» и «Большими гонками на поездах». Улучшен порядок и активность ежедневны"&amp;"х заданий.
- Нейтральные строения: увеличена начальная сложность некоторых руин и проходов на карте. Добавлен механизм снижения сложности для проходов.
- Стоимость строительства распределителей: скорректирована стоимость в ресурсах для строительства распр"&amp;"еделителей. Чем больше распределителей уже построено, тем выше стоимость.
- «Исследования Колина»: макс. уровень повышен до 40-го; добавлены новые PvP-задания; скорректирована сложность текущих заданий.
- «Испытания Тупика»: скорректирована сложность и на"&amp;"грады за рейды на определенных уровнях.
- Реликвии: добавлен 1 новый комплект легендарных реликвий, который дает прибавку к показателям для различных типов войск.
- Скорректирована сложность определенных уровней мутантов и уровней караванов в соответствии"&amp;" с новым игровым процессом в городе.
- Производство ресурсов из бананового спектрометра перенесено в городской совет.
- Улучшена «Угроза измененных обезьян»: количество измененных Гиганто в легком режиме уменьшено с 3 до 1.")</f>
        <v>- Корректировка построек: изменены внешний вид, названия и функции зданий «Городской совет» и «Банановый спектрометр» в городе. Теперь «Банановый спектрометр» — это «Парадный плац», который определяет максимальную численность марша и количество очередей. Общая мощь вашего войска также будет явным образом показана на парадном плацу. Уровень городского совета больше не влияет на максимальную численность марша и очереди, а бонусы к численности марша, которые даются за уровень героя, соответствующим образом скорректированы. Функция производства ресурсов, которая была у бананового спектрометра, теперь перенесена в городской совет.
- Корректировка очередей разведчиков: разведчики больше не занимают очереди марша, предоставляемые парадным плацем. Теперь ваше число очередей разведчиков определяется уровнем разведстанции. Максимальное число очередей, которые можно задействовать одновременно, по-прежнему равно 5.
- Корректировка заданий: изменены настройки некоторых заданий главы, основного задания и дополнительных заданий в соответствии с новым игровым процессом в городе.
- Ежедневные задания: добавлены новые ежедневные задания, связанные с «Охотой за сокровищами Альвина», «Испытаниями Тупика» и «Большими гонками на поездах». Улучшен порядок и активность ежедневных заданий.
- Нейтральные строения: увеличена начальная сложность некоторых руин и проходов на карте. Добавлен механизм снижения сложности для проходов.
- Стоимость строительства распределителей: скорректирована стоимость в ресурсах для строительства распределителей. Чем больше распределителей уже построено, тем выше стоимость.
- «Исследования Колина»: макс. уровень повышен до 40-го; добавлены новые PvP-задания; скорректирована сложность текущих заданий.
- «Испытания Тупика»: скорректирована сложность и награды за рейды на определенных уровнях.
- Реликвии: добавлен 1 новый комплект легендарных реликвий, который дает прибавку к показателям для различных типов войск.
- Скорректирована сложность определенных уровней мутантов и уровней караванов в соответствии с новым игровым процессом в городе.
- Производство ресурсов из бананового спектрометра перенесено в городской совет.
- Улучшена «Угроза измененных обезьян»: количество измененных Гиганто в легком режиме уменьшено с 3 до 1.</v>
      </c>
      <c r="L20" s="231" t="str">
        <f>IFERROR(__xludf.DUMMYFUNCTION("""COMPUTED_VALUE"""),"- Bina işlevi düzenlemeleri: şehirdeki “Meclis” ve “Muz Spektrometresi”nin görünümleri, adları ve işlevleri değiştirildi. “Muz Spektrometresi” artık sefer kapasiteni ve sefer sıralarının sayısını belirleyen “Geçit Töreni Yeri” oldu. Genel birlik gücün de "&amp;"Geçit Töreni Yerinde daha sezgisel olarak gösterilecek. Meclis seviyeleri artık sefer kapasiteni veya sıralarını belirlemiyor ve savaşçı seviyeleri tarafından sağlanan sefer kapasitesi istatistikleri de buna göre düzenlendi. Muz Spektrometresinin kaynak ü"&amp;"retim işlevi artık Meclis tarafından sağlanıyor.
- Gözcü sırası düzenlemesi: gözcüler artık Geçit Töreni Yeri tarafından sağlanan sefer sıralarında yer tutmuyorlar. Bunun yerine, gözcü sıraları İstihbarat İstasyonu seviyene göre belirleniyor. Tek seferde "&amp;"dağıtabileceğin maks. sıra sayısı hâlâ 5’tir.
- Macera düzenlemeleri: yeni şehir oynanışına göre belirli bölüm macerası, ana macera ve alt macera ayarları değiştirildi.
- Günlük görevler: Alvin’in Hazine Avı, Çıkmaz Durum Denemeleri ve Büyük Tren Yarışı i"&amp;"le ilgili yeni günlük görevler eklendi. Günlük görev sırası ve aktiflik geliştirildi.
- Tarafsız binalar: haritadaki bazı harabelerin ve geçitlerin başlangıçtaki zorluğu artırıldı. Geçitler için zorluk azaltma mekanizması eklendi.
- Distribütör bina maliy"&amp;"eti: bir Distribütör inşa etmenin kaynak maliyeti düzenlendi. Hâlihazırda ne kadar çok Distribütör inşa edilirse, maliyet o kadar yüksek olur.
- Colin’in Keşfi: seviye sınırı 40’a yükseltildi; yeni PvP maceraları eklendi; mevcut maceraların zorluğu düzenl"&amp;"endi.
- Çıkmaz Durum Denemeleri: belirli seviyelerin zorluğu ve baskın ödülleri düzenlendi.
- Kalıntılar: farklı birlik türleri için özellik güçlendirmesi sağlayacak 1 yeni Efsanevi Kalıntılar seti eklendi.
- Yeni şehir oynanışına göre belirli mutant sevi"&amp;"yelerinin ve konvoy seviyelerinin zorluğu düzenlendi.
- Muz Spektrometresinden gelen kaynak çıktısı Meclise aktarıldı.
- Değiştirilmiş Maymun Tehdidi geliştirildi: kolay moddaki Değiştirilmiş Giganto sayısı 3’ten 1’e düşürüldü.")</f>
        <v>- Bina işlevi düzenlemeleri: şehirdeki “Meclis” ve “Muz Spektrometresi”nin görünümleri, adları ve işlevleri değiştirildi. “Muz Spektrometresi” artık sefer kapasiteni ve sefer sıralarının sayısını belirleyen “Geçit Töreni Yeri” oldu. Genel birlik gücün de Geçit Töreni Yerinde daha sezgisel olarak gösterilecek. Meclis seviyeleri artık sefer kapasiteni veya sıralarını belirlemiyor ve savaşçı seviyeleri tarafından sağlanan sefer kapasitesi istatistikleri de buna göre düzenlendi. Muz Spektrometresinin kaynak üretim işlevi artık Meclis tarafından sağlanıyor.
- Gözcü sırası düzenlemesi: gözcüler artık Geçit Töreni Yeri tarafından sağlanan sefer sıralarında yer tutmuyorlar. Bunun yerine, gözcü sıraları İstihbarat İstasyonu seviyene göre belirleniyor. Tek seferde dağıtabileceğin maks. sıra sayısı hâlâ 5’tir.
- Macera düzenlemeleri: yeni şehir oynanışına göre belirli bölüm macerası, ana macera ve alt macera ayarları değiştirildi.
- Günlük görevler: Alvin’in Hazine Avı, Çıkmaz Durum Denemeleri ve Büyük Tren Yarışı ile ilgili yeni günlük görevler eklendi. Günlük görev sırası ve aktiflik geliştirildi.
- Tarafsız binalar: haritadaki bazı harabelerin ve geçitlerin başlangıçtaki zorluğu artırıldı. Geçitler için zorluk azaltma mekanizması eklendi.
- Distribütör bina maliyeti: bir Distribütör inşa etmenin kaynak maliyeti düzenlendi. Hâlihazırda ne kadar çok Distribütör inşa edilirse, maliyet o kadar yüksek olur.
- Colin’in Keşfi: seviye sınırı 40’a yükseltildi; yeni PvP maceraları eklendi; mevcut maceraların zorluğu düzenlendi.
- Çıkmaz Durum Denemeleri: belirli seviyelerin zorluğu ve baskın ödülleri düzenlendi.
- Kalıntılar: farklı birlik türleri için özellik güçlendirmesi sağlayacak 1 yeni Efsanevi Kalıntılar seti eklendi.
- Yeni şehir oynanışına göre belirli mutant seviyelerinin ve konvoy seviyelerinin zorluğu düzenlendi.
- Muz Spektrometresinden gelen kaynak çıktısı Meclise aktarıldı.
- Değiştirilmiş Maymun Tehdidi geliştirildi: kolay moddaki Değiştirilmiş Giganto sayısı 3’ten 1’e düşürüldü.</v>
      </c>
      <c r="M20" s="231" t="str">
        <f>IFERROR(__xludf.DUMMYFUNCTION("""COMPUTED_VALUE"""),"- Điều chỉnh chức năng công trình: thay đổi diện mạo, tên, và chức năng của “Tòa Thị Chính” và “Máy Đo Bức Xạ Chuối” trong thành phố. “Máy Đo Bức Xạ Chuối” hiện được đổi tên thành “Sân Diễu Hành”, xác định sức chứa hành quân và số lượng hàng chờ hành quân"&amp;". Sức mạnh binh lính tổng thể của bạn cũng sẽ được hiển thị trực quan hơn trong Sân Diễu Hành. Cấp Tòa Thị Chính hiện không còn xác định sức chứa hay hàng chờ hành quân nữa, và các chỉ số sức chứa hành quân mà cấp chiến binh cung cấp cũng sẽ được điều chỉ"&amp;"nh tương ứng. Tính năng sản xuất tài nguyên của Máy Đo Bức Xạ Chuối hiện do Tòa Thị Chính cung cấp.
- Điều chỉnh hàng chờ trinh sát: các trinh sát hiện không còn dùng hàng chờ hành quân mà Sân Diễu Hành cung cấp nữa. Thay vào đó, hàng chờ trinh sát sẽ đượ"&amp;"c xác định bằng cấp Trạm Tình Báo của bạn. Số lượng hàng chờ tối đa mà bạn có thể điều động trong một lần vẫn là 5.
- Điều chỉnh nhiệm vụ: điều chỉnh các cài đặt nhiệm vụ chương, nhiệm vụ chính, và nhiệm vụ phụ theo lối chơi thành phố mới.
- Nhiệm vụ hàng"&amp;" ngày: thêm các nhiệm vụ hàng ngày liên quan đến Săn Kho Báu của Alvin, Thí Luyện Tuyệt Địa, và Đường Đua Xe Lửa Lớn. Cải thiện thứ tự và tính chủ động của nhiệm vụ hàng ngày.
- Các công trình trung lập: tăng độ khó ban đầu của một số tàn tích và cửa ải t"&amp;"rên bản đồ. Giảm độ khó được thêm vào cho các cửa ải.
- Chi phí xây dựng trạm phân phối: điều chỉnh chi phí tài nguyên để xây dựng Trạm Phân Phối. Càng nhiều Trạm Phân Phối đã được xây dựng, chi phí càng cao.
- Khám Phá Của Colin: giới hạn cấp độ tăng lên"&amp;" 40; thêm các nhiệm vụ PvP mới; điều chỉnh độ khó của các nhiệm vụ hiện tại.
- Thí Luyện Tuyệt Địa: điều chỉnh độ khó và thưởng đột kích của các cấp nhất định.
- Di Tích: thêm 1 bộ Di Tích Huyền Thoại mới, bộ di tích này sẽ cung cấp các hiệu ứng chỉ số ch"&amp;"o các loại lính khác nhau.
- Điều chỉnh độ khó của các cấp đột biến và cấp xe chuyên chở nhất định theo lối chơi thành phố mới.
- Sản lượng tài nguyên từ Máy Đo Bức Xạ Chuối được chuyển sang Tòa Thị Chính.
- Cải thiện Mối Đe Dọa Từ Khỉ Biến Đổi: số lượng "&amp;"Vượn Khổng Lồ Biến Đổi trong chế độ dễ được giảm từ 3 xuống 1.")</f>
        <v>- Điều chỉnh chức năng công trình: thay đổi diện mạo, tên, và chức năng của “Tòa Thị Chính” và “Máy Đo Bức Xạ Chuối” trong thành phố. “Máy Đo Bức Xạ Chuối” hiện được đổi tên thành “Sân Diễu Hành”, xác định sức chứa hành quân và số lượng hàng chờ hành quân. Sức mạnh binh lính tổng thể của bạn cũng sẽ được hiển thị trực quan hơn trong Sân Diễu Hành. Cấp Tòa Thị Chính hiện không còn xác định sức chứa hay hàng chờ hành quân nữa, và các chỉ số sức chứa hành quân mà cấp chiến binh cung cấp cũng sẽ được điều chỉnh tương ứng. Tính năng sản xuất tài nguyên của Máy Đo Bức Xạ Chuối hiện do Tòa Thị Chính cung cấp.
- Điều chỉnh hàng chờ trinh sát: các trinh sát hiện không còn dùng hàng chờ hành quân mà Sân Diễu Hành cung cấp nữa. Thay vào đó, hàng chờ trinh sát sẽ được xác định bằng cấp Trạm Tình Báo của bạn. Số lượng hàng chờ tối đa mà bạn có thể điều động trong một lần vẫn là 5.
- Điều chỉnh nhiệm vụ: điều chỉnh các cài đặt nhiệm vụ chương, nhiệm vụ chính, và nhiệm vụ phụ theo lối chơi thành phố mới.
- Nhiệm vụ hàng ngày: thêm các nhiệm vụ hàng ngày liên quan đến Săn Kho Báu của Alvin, Thí Luyện Tuyệt Địa, và Đường Đua Xe Lửa Lớn. Cải thiện thứ tự và tính chủ động của nhiệm vụ hàng ngày.
- Các công trình trung lập: tăng độ khó ban đầu của một số tàn tích và cửa ải trên bản đồ. Giảm độ khó được thêm vào cho các cửa ải.
- Chi phí xây dựng trạm phân phối: điều chỉnh chi phí tài nguyên để xây dựng Trạm Phân Phối. Càng nhiều Trạm Phân Phối đã được xây dựng, chi phí càng cao.
- Khám Phá Của Colin: giới hạn cấp độ tăng lên 40; thêm các nhiệm vụ PvP mới; điều chỉnh độ khó của các nhiệm vụ hiện tại.
- Thí Luyện Tuyệt Địa: điều chỉnh độ khó và thưởng đột kích của các cấp nhất định.
- Di Tích: thêm 1 bộ Di Tích Huyền Thoại mới, bộ di tích này sẽ cung cấp các hiệu ứng chỉ số cho các loại lính khác nhau.
- Điều chỉnh độ khó của các cấp đột biến và cấp xe chuyên chở nhất định theo lối chơi thành phố mới.
- Sản lượng tài nguyên từ Máy Đo Bức Xạ Chuối được chuyển sang Tòa Thị Chính.
- Cải thiện Mối Đe Dọa Từ Khỉ Biến Đổi: số lượng Vượn Khổng Lồ Biến Đổi trong chế độ dễ được giảm từ 3 xuống 1.</v>
      </c>
      <c r="N20" s="108"/>
      <c r="O20" s="108"/>
      <c r="P20" s="108"/>
      <c r="Q20" s="108"/>
      <c r="R20" s="108"/>
      <c r="S20" s="108"/>
      <c r="T20" s="108"/>
      <c r="U20" s="108"/>
      <c r="V20" s="108"/>
      <c r="W20" s="108"/>
      <c r="X20" s="108"/>
      <c r="Y20" s="108"/>
      <c r="Z20" s="108"/>
    </row>
    <row r="21">
      <c r="A21" s="108" t="str">
        <f>IFERROR(__xludf.DUMMYFUNCTION("""COMPUTED_VALUE"""),"0.37.0")</f>
        <v>0.37.0</v>
      </c>
      <c r="B21" s="169" t="str">
        <f>IFERROR(__xludf.DUMMYFUNCTION("""COMPUTED_VALUE"""),"-前期游戏内体验调整：调整部分章节任务难度和顺序、提高了城内资源产出、城内野怪强度和推荐更准确。
-押运玩法调整：调整各等级运输车之间的奖励差距。
-科林的探索调整：增加光谱芯片的产出，同时降低基础资源和在香蕉星中基因的产出。
-调整大型野怪产出：增加光谱芯片的产出，将基础资源的产出形式调整为随机，同时降低斗士经验道具的产出。
-调整部分场景战损比：
1. 为了平衡玩家在攻守配送站时的战损比例，移除了领土提供的阵亡转重伤和重伤转轻伤的增益效果；
2. 降低了玩家在战斗时造成的最低战损的比例，即在双方势均力"&amp;"敌的情况，玩家的战损比例会降低；
3. 进攻和防守初始区域的补给站、氏族总部和关卡1时，将不会产生阵亡；
4. 提高了争夺部分关卡、人类遗迹和火箭发射台时的阵亡比例。")</f>
        <v>-前期游戏内体验调整：调整部分章节任务难度和顺序、提高了城内资源产出、城内野怪强度和推荐更准确。
-押运玩法调整：调整各等级运输车之间的奖励差距。
-科林的探索调整：增加光谱芯片的产出，同时降低基础资源和在香蕉星中基因的产出。
-调整大型野怪产出：增加光谱芯片的产出，将基础资源的产出形式调整为随机，同时降低斗士经验道具的产出。
-调整部分场景战损比：
1. 为了平衡玩家在攻守配送站时的战损比例，移除了领土提供的阵亡转重伤和重伤转轻伤的增益效果；
2. 降低了玩家在战斗时造成的最低战损的比例，即在双方势均力敌的情况，玩家的战损比例会降低；
3. 进攻和防守初始区域的补给站、氏族总部和关卡1时，将不会产生阵亡；
4. 提高了争夺部分关卡、人类遗迹和火箭发射台时的阵亡比例。</v>
      </c>
      <c r="C21" s="169" t="str">
        <f>IFERROR(__xludf.DUMMYFUNCTION("""COMPUTED_VALUE"""),"- Early game experience adjustments: modified the difficulty and order of certain chapter quests; increased city's resource output; more accurate city mutant strength and recommendation.
- Convoy changes: adjusted the difference between the rewards of var"&amp;"ious Convoy levels.
- Colin's Exploration adjustment: increased Spectrum Chip rewards and reduced basic resources and Banana World Gene Fragment rewards.
- Large monster reward adjustments: increased Spectrum Chip rewards; basic resource rewards are now r"&amp;"andomly generated; reduced Fighter EXP rewards.
- Battle damage adjustments:
1. To balance battle damage produced from attacking/defending Distributors, we have removed the ""defeated to seriously wounded"" and ""seriously to lightly wounded"" buffs provi"&amp;"ded by territories.
2. We lowered the minimum battle damage ratio in battles between players, i.e. in the case of evenly matched players, the battle damage ratio will also be lowered.
3. No defeated units will be produced from attacking or defending Suppl"&amp;"y Terminals, Clan Parliaments, Lv. 1 Monkey Passes in the initial map area.
4. We increased the percentage of defeated units when fighting over certain Monkey Passes, ruins, and the Launchpad.")</f>
        <v>- Early game experience adjustments: modified the difficulty and order of certain chapter quests; increased city's resource output; more accurate city mutant strength and recommendation.
- Convoy changes: adjusted the difference between the rewards of various Convoy levels.
- Colin's Exploration adjustment: increased Spectrum Chip rewards and reduced basic resources and Banana World Gene Fragment rewards.
- Large monster reward adjustments: increased Spectrum Chip rewards; basic resource rewards are now randomly generated; reduced Fighter EXP rewards.
- Battle damage adjustments:
1. To balance battle damage produced from attacking/defending Distributors, we have removed the "defeated to seriously wounded" and "seriously to lightly wounded" buffs provided by territories.
2. We lowered the minimum battle damage ratio in battles between players, i.e. in the case of evenly matched players, the battle damage ratio will also be lowered.
3. No defeated units will be produced from attacking or defending Supply Terminals, Clan Parliaments, Lv. 1 Monkey Passes in the initial map area.
4. We increased the percentage of defeated units when fighting over certain Monkey Passes, ruins, and the Launchpad.</v>
      </c>
      <c r="D21" s="169" t="str">
        <f>IFERROR(__xludf.DUMMYFUNCTION("""COMPUTED_VALUE"""),"- Début de jeu: ajustement de la difficulté et de l'ordre de certaines quêtes; augmentation de la production de ressources de la ville; précision des infos et conseils sur la force des mutants en ville.
- Convois: équilibrage des récompenses selon le nive"&amp;"au des convois.
- Récompenses de l'Exploration de Colin: davantage de puces de place d'armes, mais moins de ressources de base et de fragments génétiques de la Planète-Banane.
- Récompenses liées aux gros monstres: davantage de puces de place d'armes; res"&amp;"sources de base désormais attribuées de façon aléatoire; moins de récompenses donnant de l'expérience aux combattants.
- Modification des dégâts au combat:
1. Pour équilibrer les dégâts en attaque ou défense des distributeurs, suppression des boosts de co"&amp;"nversion d'unités ""éliminées en blessés graves"" et de ""blessés graves en blessés légers"" (issus des territoires occupés).
2. Le ratio de dégâts minimum entre joueurs a été réduit. Dans le cas de joueurs de puissance équivalente, le ratio de dégâts est"&amp;" également réduit.
3. Aucune perte d'unités n'aura lieu lors de l'attaque ou de la défense de terminaux d'appro, de parlements de clan ou de barrages de niv.1 dans la zone initiale sur la carte.
4. Augmentation du pourcentage d'unités éliminées en combat "&amp;"pour certains barrages et ruines, ainsi que pour le pas de tir.")</f>
        <v>- Début de jeu: ajustement de la difficulté et de l'ordre de certaines quêtes; augmentation de la production de ressources de la ville; précision des infos et conseils sur la force des mutants en ville.
- Convois: équilibrage des récompenses selon le niveau des convois.
- Récompenses de l'Exploration de Colin: davantage de puces de place d'armes, mais moins de ressources de base et de fragments génétiques de la Planète-Banane.
- Récompenses liées aux gros monstres: davantage de puces de place d'armes; ressources de base désormais attribuées de façon aléatoire; moins de récompenses donnant de l'expérience aux combattants.
- Modification des dégâts au combat:
1. Pour équilibrer les dégâts en attaque ou défense des distributeurs, suppression des boosts de conversion d'unités "éliminées en blessés graves" et de "blessés graves en blessés légers" (issus des territoires occupés).
2. Le ratio de dégâts minimum entre joueurs a été réduit. Dans le cas de joueurs de puissance équivalente, le ratio de dégâts est également réduit.
3. Aucune perte d'unités n'aura lieu lors de l'attaque ou de la défense de terminaux d'appro, de parlements de clan ou de barrages de niv.1 dans la zone initiale sur la carte.
4. Augmentation du pourcentage d'unités éliminées en combat pour certains barrages et ruines, ainsi que pour le pas de tir.</v>
      </c>
      <c r="E21" s="231" t="str">
        <f>IFERROR(__xludf.DUMMYFUNCTION("""COMPUTED_VALUE"""),"- Anpassungen der Spielerfahrung zu Beginn des Spiels: Änderung der Schwierigkeit und der Reihenfolge bestimmter Kapitel-Quests; Erhöhung der Ressourcenproduktion der Stadt; genauere Angaben zur Stärke der Stadtmutanten und Empfehlungen.
 - Konvoi-Änderun"&amp;"gen: Die Differenz zwischen den Belohnungen der verschiedenen Konvoi-Levels wurde angepasst.
 - Anpassung von Colins Erkundung: Erhöhung der Spektrumssplitter-Belohnungen und Reduzierung der einfache Ressourcen- und Bananenwelt-Gen-Fragment-Belohnungen.
 "&amp;"- Anpassungen bei den Belohnungen für große Monster: Die Spektrumssplitter-Belohnungen; Einfache Ressourcen-Belohnungen werden jetzt zufällig generiert; die Kämpfer-EP-Belohnungen wurden reduziert.
 - Anpassungen des Kampfschadens:
 1. Um den von angreife"&amp;"nden/verteidigenden Verteilern verursachten Kampfschaden auszugleichen, haben wir die Buffs ""Besiegte zu Schwerverwundete"" und ""Schwerverwunde zu Leichtverletzte"" entfernt, die von den Territorien gewährt wurden.
 2. Wir haben das Mindestkampfschadenv"&amp;"erhältnis in Kämpfen zwischen Spielern gesenkt, d.h. im Falle von gleichstarken Spielern wird auch das Kampfschadenverhältnis gesenkt.
 3. Durch Angriffe oder Verteidigung von Versorgungsterminals, Hordenparlamenten und Lv.1-Affentoren im Startgebiet der "&amp;"Karte werden keine besiegten Einheiten erzeugt.
 4. Wir haben den Prozentsatz der besiegten Einheiten erhöht, wenn um bestimmte Affentore, Ruinen und die Startrampe gekämpft wird.")</f>
        <v>- Anpassungen der Spielerfahrung zu Beginn des Spiels: Änderung der Schwierigkeit und der Reihenfolge bestimmter Kapitel-Quests; Erhöhung der Ressourcenproduktion der Stadt; genauere Angaben zur Stärke der Stadtmutanten und Empfehlungen.
 - Konvoi-Änderungen: Die Differenz zwischen den Belohnungen der verschiedenen Konvoi-Levels wurde angepasst.
 - Anpassung von Colins Erkundung: Erhöhung der Spektrumssplitter-Belohnungen und Reduzierung der einfache Ressourcen- und Bananenwelt-Gen-Fragment-Belohnungen.
 - Anpassungen bei den Belohnungen für große Monster: Die Spektrumssplitter-Belohnungen; Einfache Ressourcen-Belohnungen werden jetzt zufällig generiert; die Kämpfer-EP-Belohnungen wurden reduziert.
 - Anpassungen des Kampfschadens:
 1. Um den von angreifenden/verteidigenden Verteilern verursachten Kampfschaden auszugleichen, haben wir die Buffs "Besiegte zu Schwerverwundete" und "Schwerverwunde zu Leichtverletzte" entfernt, die von den Territorien gewährt wurden.
 2. Wir haben das Mindestkampfschadenverhältnis in Kämpfen zwischen Spielern gesenkt, d.h. im Falle von gleichstarken Spielern wird auch das Kampfschadenverhältnis gesenkt.
 3. Durch Angriffe oder Verteidigung von Versorgungsterminals, Hordenparlamenten und Lv.1-Affentoren im Startgebiet der Karte werden keine besiegten Einheiten erzeugt.
 4. Wir haben den Prozentsatz der besiegten Einheiten erhöht, wenn um bestimmte Affentore, Ruinen und die Startrampe gekämpft wird.</v>
      </c>
      <c r="F21" s="231" t="str">
        <f>IFERROR(__xludf.DUMMYFUNCTION("""COMPUTED_VALUE"""),"- Ajustes de experiência no começo do jogo: modificadas a dificuldade e ordem de certos capítulos de missão.
 - Mudanças de comboio: ajustes na diferença entre as recompensas de vários níveis de comboio.
 - Ajustes na Exploração de Colin: aumento nas reco"&amp;"mpensas de chips de espectro e redução de recursos básicos nas recompensas de fragmentos de genes no Mundo Banana.
 - Grandes ajustes na recompensa de monstros: aumento de recompensas de chip de espectro; recompensas de recursos básicos são geradas aleato"&amp;"riamente agora; redução das recompensas de EXP de combatente.
 - Ajustes no dano de batalha:
 1. Para balancear o dano de batalha produzido ao atacar/defender distribuidores, removemos os buffs de ""tropas derrotadas para gravemente feridas"" e ""gravemen"&amp;"te para levemente feridas"" fornecidos pelos territórios.
 2. Diminuímos a porcentagem de dano mínima em batalhas entre jogadores, ou seja, caso jogadores de poder parecido sejam combinados, a porcentagem do dano de batalha será reduzido.
 3. Nenhuma unid"&amp;"ade derrotada será produzida ao atacar ou defender terminais de suprimentos, parlamentos do clã, passes Nv.1 na área inicial do mapa.
 4. Aumentamos a porcentagem de unidades derrotadas ao lutar por determinados passes, ruínas e bases de lançamento.")</f>
        <v>- Ajustes de experiência no começo do jogo: modificadas a dificuldade e ordem de certos capítulos de missão.
 - Mudanças de comboio: ajustes na diferença entre as recompensas de vários níveis de comboio.
 - Ajustes na Exploração de Colin: aumento nas recompensas de chips de espectro e redução de recursos básicos nas recompensas de fragmentos de genes no Mundo Banana.
 - Grandes ajustes na recompensa de monstros: aumento de recompensas de chip de espectro; recompensas de recursos básicos são geradas aleatoriamente agora; redução das recompensas de EXP de combatente.
 - Ajustes no dano de batalha:
 1. Para balancear o dano de batalha produzido ao atacar/defender distribuidores, removemos os buffs de "tropas derrotadas para gravemente feridas" e "gravemente para levemente feridas" fornecidos pelos territórios.
 2. Diminuímos a porcentagem de dano mínima em batalhas entre jogadores, ou seja, caso jogadores de poder parecido sejam combinados, a porcentagem do dano de batalha será reduzido.
 3. Nenhuma unidade derrotada será produzida ao atacar ou defender terminais de suprimentos, parlamentos do clã, passes Nv.1 na área inicial do mapa.
 4. Aumentamos a porcentagem de unidades derrotadas ao lutar por determinados passes, ruínas e bases de lançamento.</v>
      </c>
      <c r="G21" s="108" t="str">
        <f>IFERROR(__xludf.DUMMYFUNCTION("""COMPUTED_VALUE"""),"-前期遊戲內體驗調整：調整部分章節任務難度和順序、提高了城內資源產出、城內野怪強度和推薦更準確。
-押運玩法調整：調整各等級運輸車之間的獎勵差距。
-科林的探索調整：增加光譜芯片的產出，同時降低基礎資源和在香蕉星中基因的產出。
-調整大型野怪產出：增加光譜芯片的產出，將基礎資源的產出形式調整為隨機，同時降低鬥士經驗道具的產出。
-調整部分場景戰損比：
1. 為了平衡玩家在攻守配送站時的戰損比例，移除了領土提供的陣亡轉重傷和重傷轉輕傷的增益效果；
2. 降低了玩家在戰鬥時造成的最低戰損的比例，即在雙方勢均力"&amp;"敵的情況，玩家的戰損比例會降低；
3. 進攻和防守初始區域的補給站、氏族總部和關卡1時，將不會產生陣亡；
4. 提高了爭奪部分關卡、人類遺跡和火箭發射臺時的陣亡比例。")</f>
        <v>-前期遊戲內體驗調整：調整部分章節任務難度和順序、提高了城內資源產出、城內野怪強度和推薦更準確。
-押運玩法調整：調整各等級運輸車之間的獎勵差距。
-科林的探索調整：增加光譜芯片的產出，同時降低基礎資源和在香蕉星中基因的產出。
-調整大型野怪產出：增加光譜芯片的產出，將基礎資源的產出形式調整為隨機，同時降低鬥士經驗道具的產出。
-調整部分場景戰損比：
1. 為了平衡玩家在攻守配送站時的戰損比例，移除了領土提供的陣亡轉重傷和重傷轉輕傷的增益效果；
2. 降低了玩家在戰鬥時造成的最低戰損的比例，即在雙方勢均力敵的情況，玩家的戰損比例會降低；
3. 進攻和防守初始區域的補給站、氏族總部和關卡1時，將不會產生陣亡；
4. 提高了爭奪部分關卡、人類遺跡和火箭發射臺時的陣亡比例。</v>
      </c>
      <c r="H21" s="231" t="str">
        <f>IFERROR(__xludf.DUMMYFUNCTION("""COMPUTED_VALUE"""),"- Penyesuaian pengalaman game awal: mengubah kesulitan dan urutan misi babak tertentu; meningkatkan hasil sumber daya kota; kekuatan dan rekomendasi mutan kota yang lebih akurat.
 - Perubahan konvoi: menyesuaikan perbedaan antara hadiah dari berbagai leve"&amp;"l Konvoi.
 - Penyesuaian Penjelajahan Colin: meningkatkan hadiah Chip Spektrum dan mengurangi sumber daya dasar dan hadiah Fragmen Gen Dunia Pisang.
 - Penyesuaian hadiah monster besar: meningkatkan hadiah Chip Spektrum; hadiah sumber daya dasar sekarang "&amp;"dihasilkan secara acak; mengurangi hadiah EXP Pejuang.
 - Penyesuaian kerusakan pertempuran:
 1. Untuk menyeimbangkan kerusakan pertempuran yang dihasilkan dari menyerang/membela Distributor, kami telah menghapus keunggulan ""mengalahkan hingga luka berat"&amp;""" dan ""luka berat menjadi ringan"" yang disediakan oleh wilayah.
 2. Kami menurunkan rasio kerusakan pertempuran minimum dalam pertempuran antar pemain, yaitu dalam kasus pemain yang seimbang, rasio kerusakan pertempuran juga akan diturunkan.
 3. Tidak "&amp;"akan ada unit yang kalah yang akan dihasilkan dari menyerang atau mempertahankan Terminal Pasokan, Parlemen Klan, Wilayah Kera Lv. 1 di area peta awal.
 4. Kami meningkatkan persentase unit yang kalah saat memperebutkan Wilayah Kera, reruntuhan, dan Landa"&amp;"san Luncur tertentu.")</f>
        <v>- Penyesuaian pengalaman game awal: mengubah kesulitan dan urutan misi babak tertentu; meningkatkan hasil sumber daya kota; kekuatan dan rekomendasi mutan kota yang lebih akurat.
 - Perubahan konvoi: menyesuaikan perbedaan antara hadiah dari berbagai level Konvoi.
 - Penyesuaian Penjelajahan Colin: meningkatkan hadiah Chip Spektrum dan mengurangi sumber daya dasar dan hadiah Fragmen Gen Dunia Pisang.
 - Penyesuaian hadiah monster besar: meningkatkan hadiah Chip Spektrum; hadiah sumber daya dasar sekarang dihasilkan secara acak; mengurangi hadiah EXP Pejuang.
 - Penyesuaian kerusakan pertempuran:
 1. Untuk menyeimbangkan kerusakan pertempuran yang dihasilkan dari menyerang/membela Distributor, kami telah menghapus keunggulan "mengalahkan hingga luka berat" dan "luka berat menjadi ringan" yang disediakan oleh wilayah.
 2. Kami menurunkan rasio kerusakan pertempuran minimum dalam pertempuran antar pemain, yaitu dalam kasus pemain yang seimbang, rasio kerusakan pertempuran juga akan diturunkan.
 3. Tidak akan ada unit yang kalah yang akan dihasilkan dari menyerang atau mempertahankan Terminal Pasokan, Parlemen Klan, Wilayah Kera Lv. 1 di area peta awal.
 4. Kami meningkatkan persentase unit yang kalah saat memperebutkan Wilayah Kera, reruntuhan, dan Landasan Luncur tertentu.</v>
      </c>
      <c r="I21" s="231" t="str">
        <f>IFERROR(__xludf.DUMMYFUNCTION("""COMPUTED_VALUE"""),"- การปรับประสบการณ์เกมช่วงเริ่มต้น: ปรับเปลี่ยนความยากและลำดับของเควสต์ในบางบท เพิ่มผลผลิตทรัพยากรของเมือง ความแข็งแกร่งของมิวแตนต์ในเมือง และการให้คำแนะนำที่แม่นยำยิ่งขึ้น
 - การเปลี่ยนแปลงเกี่ยวกับคอนวอย: ปรับความแตกต่างระหว่างรางวัลของคอนวอยเลเวลต่าง ๆ"&amp;"
 - ปรับปรุงการสำรวจของโคลิน: เพิ่มรางวัลชิปเครื่องตรวจสเปคตรัม ลดการใช้ทรัพยากรพื้นฐาน และมอบรางวัลชิ้นส่วนยีนของบานาน่าเวิลด์
 - การปรับรางวัลมอนสเตอร์ขนาดใหญ่: เพิ่มรางวัลชิปเครื่องตรวจสเปคตรัม; ปรับรางวัลทรัพยากรพื้นฐานเป็นแบบสุ่ม รวมถึงลดรางวัลค่าประ"&amp;"สบการณ์ของนักสู้
 - ปรับแดเมจจากการต่อสู้:
 1. เพื่อสร้างสมดุลระหว่างความเสียหายจากการต่อสู้ที่เกิดจากการโจมตี/ป้องกันหอกระจายแร่ เราจึงได้นำบัฟฟ์ ""แปลงความพ่ายแพ้เป็นบาดเจ็บสาหัส"" และ ""แปลงการบาดเจ็บสาหัสเป็นบาดเจ็บเล็กน้อย"" ของอาณาเขตออกไป
 2. เราทำ"&amp;"การลดอัตราส่วนความเสียหายขั้นต่ำในการต่อสู้ระหว่างผู้เล่นลง กล่าวคือ ในกรณีที่ผู้เล่นประกบจับได้คู่ที่สูสีกัน อัตราส่วนความเสียหายจากการต่อสู้จะลดลงด้วย
 3. การโจมตีหรือป้องกันคลังเสบียง, รัฐสภาเผ่า, มังกี้พาส เลเวล 1 ในพื้นที่แผนที่เริ่มต้นจะไม่ก่อให้เกิ"&amp;"ดกองทหารที่พ่ายแพ้
 4. เราเพิ่มเปอร์เซ็นต์ของหน่วยทหารที่พ่ายแพ้ในการต่อสู้ที่มังกี้พาส ที่ซากปรักหักพัง และที่ฐานยิงจรวด")</f>
        <v>- การปรับประสบการณ์เกมช่วงเริ่มต้น: ปรับเปลี่ยนความยากและลำดับของเควสต์ในบางบท เพิ่มผลผลิตทรัพยากรของเมือง ความแข็งแกร่งของมิวแตนต์ในเมือง และการให้คำแนะนำที่แม่นยำยิ่งขึ้น
 - การเปลี่ยนแปลงเกี่ยวกับคอนวอย: ปรับความแตกต่างระหว่างรางวัลของคอนวอยเลเวลต่าง ๆ
 - ปรับปรุงการสำรวจของโคลิน: เพิ่มรางวัลชิปเครื่องตรวจสเปคตรัม ลดการใช้ทรัพยากรพื้นฐาน และมอบรางวัลชิ้นส่วนยีนของบานาน่าเวิลด์
 - การปรับรางวัลมอนสเตอร์ขนาดใหญ่: เพิ่มรางวัลชิปเครื่องตรวจสเปคตรัม; ปรับรางวัลทรัพยากรพื้นฐานเป็นแบบสุ่ม รวมถึงลดรางวัลค่าประสบการณ์ของนักสู้
 - ปรับแดเมจจากการต่อสู้:
 1. เพื่อสร้างสมดุลระหว่างความเสียหายจากการต่อสู้ที่เกิดจากการโจมตี/ป้องกันหอกระจายแร่ เราจึงได้นำบัฟฟ์ "แปลงความพ่ายแพ้เป็นบาดเจ็บสาหัส" และ "แปลงการบาดเจ็บสาหัสเป็นบาดเจ็บเล็กน้อย" ของอาณาเขตออกไป
 2. เราทำการลดอัตราส่วนความเสียหายขั้นต่ำในการต่อสู้ระหว่างผู้เล่นลง กล่าวคือ ในกรณีที่ผู้เล่นประกบจับได้คู่ที่สูสีกัน อัตราส่วนความเสียหายจากการต่อสู้จะลดลงด้วย
 3. การโจมตีหรือป้องกันคลังเสบียง, รัฐสภาเผ่า, มังกี้พาส เลเวล 1 ในพื้นที่แผนที่เริ่มต้นจะไม่ก่อให้เกิดกองทหารที่พ่ายแพ้
 4. เราเพิ่มเปอร์เซ็นต์ของหน่วยทหารที่พ่ายแพ้ในการต่อสู้ที่มังกี้พาส ที่ซากปรักหักพัง และที่ฐานยิงจรวด</v>
      </c>
      <c r="J21" s="231" t="str">
        <f>IFERROR(__xludf.DUMMYFUNCTION("""COMPUTED_VALUE"""),"- Ajustes en la experiencia inicial del juego: Modificaciones en la dificultad y el orden de ciertas misiones de capítulo; aumento de la producción de recursos de la ciudad; recomendaciones y fuerza de los mutantes de ciudad más precisos.
 - Cambios en Co"&amp;"nvoy: Ajustes en la diferencia entre las recompensas de varios niveles de Convoy.
 - Ajuste en la Exploración de Colin: Aumento en las recompensas de Chip Espectrales y reducción de los recursos básicos y recompensas en Fragmentos de Genes del Mundo Banan"&amp;"a.
 - Ajustes en las recompensas de monstruos grandes: Mayores recompensas de Chips Espectrales; las recompensas de recursos básicos ahora se generan aleatoriamente; recompensas de EXP de luchador reducidas.
 - Ajustes de daño de batalla:
 1. Para equilib"&amp;"rar el daño de batalla producido por atacar/defender Distribuidores, hemos eliminado las mejoras de ""derrotado a gravemente herido"" y de ""gravemente a levemente herido"" que proporcionan los territorios.
 2. Reducción en la proporción mínima de daño de"&amp;" batalla en las batallas entre jugadores, es decir, en el caso de jugadores emparejados, la proporción de daño de batalla también se reducirá.
 3. No se producirán unidades derrotadas al atacar o defender Terminales de Suministro, Parlamentos del Clan, Pa"&amp;"sos de Mono de Nvl. 1 en el área del mapa inicial.
 4. Aumentamos el porcentaje de unidades derrotadas al luchar por ciertos Pases de monos, ruinas y la Plataforma de Lanzamiento.")</f>
        <v>- Ajustes en la experiencia inicial del juego: Modificaciones en la dificultad y el orden de ciertas misiones de capítulo; aumento de la producción de recursos de la ciudad; recomendaciones y fuerza de los mutantes de ciudad más precisos.
 - Cambios en Convoy: Ajustes en la diferencia entre las recompensas de varios niveles de Convoy.
 - Ajuste en la Exploración de Colin: Aumento en las recompensas de Chip Espectrales y reducción de los recursos básicos y recompensas en Fragmentos de Genes del Mundo Banana.
 - Ajustes en las recompensas de monstruos grandes: Mayores recompensas de Chips Espectrales; las recompensas de recursos básicos ahora se generan aleatoriamente; recompensas de EXP de luchador reducidas.
 - Ajustes de daño de batalla:
 1. Para equilibrar el daño de batalla producido por atacar/defender Distribuidores, hemos eliminado las mejoras de "derrotado a gravemente herido" y de "gravemente a levemente herido" que proporcionan los territorios.
 2. Reducción en la proporción mínima de daño de batalla en las batallas entre jugadores, es decir, en el caso de jugadores emparejados, la proporción de daño de batalla también se reducirá.
 3. No se producirán unidades derrotadas al atacar o defender Terminales de Suministro, Parlamentos del Clan, Pasos de Mono de Nvl. 1 en el área del mapa inicial.
 4. Aumentamos el porcentaje de unidades derrotadas al luchar por ciertos Pases de monos, ruinas y la Plataforma de Lanzamiento.</v>
      </c>
      <c r="K21" s="231" t="str">
        <f>IFERROR(__xludf.DUMMYFUNCTION("""COMPUTED_VALUE"""),"- Корректировка ранней игры: изменена сложность и порядок выполнения некоторых заданий главы; увеличено производство ресурсов в городе; повышена точность рекомендаций и силы мутантов в городе.
- Изменения в караванах: скорректирована разница между награда"&amp;"ми за различные уровни караванов.
- Скорректированы «Исследования Колина»: в наградах повышено количество спектральных чипов и уменьшено количество базовых ресурсов и фрагментов генов Бананового мира.
- Скорректированы награды за больших монстров: в награ"&amp;"дах повышено количество спектральных чипов; базовые ресурсы теперь генерируются случайным образом; уменьшено количество опыта героев.
- Скорректирован боевой урон:
1. Чтобы сбалансировать боевой урон, получаемый при атаке и обороне распределителей, мы убр"&amp;"али бонусы территорий к превращению уничтоженных войск в тяжело раненных и превращению тяжело раненных войск в легко раненных.
2. Мы снизили минимальный коэффициент боевого урона в боях между игроками, т. е. в случае равного соотношения сил игроков коэффи"&amp;"циент боевого урона будет снижен.
3. При атаке или обороне терминалов снабжения, парламентов кланов и обезьяньих проходов 1-го уровня в начальной области карты не будет уничтоженных бойцов.
4. Мы увеличили процент уничтоженных бойцов в боях за определенны"&amp;"е обезьяньи проходы, руины и стартплощадку.")</f>
        <v>- Корректировка ранней игры: изменена сложность и порядок выполнения некоторых заданий главы; увеличено производство ресурсов в городе; повышена точность рекомендаций и силы мутантов в городе.
- Изменения в караванах: скорректирована разница между наградами за различные уровни караванов.
- Скорректированы «Исследования Колина»: в наградах повышено количество спектральных чипов и уменьшено количество базовых ресурсов и фрагментов генов Бананового мира.
- Скорректированы награды за больших монстров: в наградах повышено количество спектральных чипов; базовые ресурсы теперь генерируются случайным образом; уменьшено количество опыта героев.
- Скорректирован боевой урон:
1. Чтобы сбалансировать боевой урон, получаемый при атаке и обороне распределителей, мы убрали бонусы территорий к превращению уничтоженных войск в тяжело раненных и превращению тяжело раненных войск в легко раненных.
2. Мы снизили минимальный коэффициент боевого урона в боях между игроками, т. е. в случае равного соотношения сил игроков коэффициент боевого урона будет снижен.
3. При атаке или обороне терминалов снабжения, парламентов кланов и обезьяньих проходов 1-го уровня в начальной области карты не будет уничтоженных бойцов.
4. Мы увеличили процент уничтоженных бойцов в боях за определенные обезьяньи проходы, руины и стартплощадку.</v>
      </c>
      <c r="L21" s="231" t="str">
        <f>IFERROR(__xludf.DUMMYFUNCTION("""COMPUTED_VALUE"""),"- Oyunun başlarındaki deneyim düzenlemeleri: belirli bölüm maceralarının zorluğu ve sırası düzenlendi; şehrin kaynak çıktısı artırıldı; daha doğru şehir mutant gücü ve tavsiyeler.
 - Konvoy değişiklikleri: çeşitli Konvoy seviyelerinin ödülleri arası fark "&amp;"düzenlendi.
 - Colin’in Keşfi düzenlemesi: Spektrum Çipi ödülleri artırıldı ve temel kaynaklar ile Muz Dünyası Gen Parçası ödülleri azaltıldı.
 - Büyük canavar ödül düzenlemesi: Spektrum Çip ödülleri artırıldı; temel kaynak ödülleri artık rastgele oluştur"&amp;"uluyor; Savaşçı DEN ödülleri azaltıldı.
 - Savaş hasarı düzenlemeleri:
 1. Distribütörlere saldırma/Distribütörleri savunma yoluyla ortaya çıkan savaş hasarını dengelemek için bölgelerin sağladığı “ağır yaralılara yenildi” ve “ağırdan hafif yaralıya” güçl"&amp;"endiricilerini kaldırdık.
 2. Oyuncular arası savaşlardaki minimum savaş hasarı oranını düşürdük, yani denk oyuncular olması durumunda savaş hasarı oranı da düşürülür.
 3. İlk harita alanındaki Tedarik Terminallerine, Klan Parlamentolarına, 1. Sv. Maymun "&amp;"Geçitlerine saldırma ya da buraları savunma karşılığında yenilen birim ortaya çıkmayacak.
 4. Belirli Maymun Geçitleri, harabeler ve Fırlatma Rampası için savaşırken yenilen birimlerin yüzdesini artırdık.")</f>
        <v>- Oyunun başlarındaki deneyim düzenlemeleri: belirli bölüm maceralarının zorluğu ve sırası düzenlendi; şehrin kaynak çıktısı artırıldı; daha doğru şehir mutant gücü ve tavsiyeler.
 - Konvoy değişiklikleri: çeşitli Konvoy seviyelerinin ödülleri arası fark düzenlendi.
 - Colin’in Keşfi düzenlemesi: Spektrum Çipi ödülleri artırıldı ve temel kaynaklar ile Muz Dünyası Gen Parçası ödülleri azaltıldı.
 - Büyük canavar ödül düzenlemesi: Spektrum Çip ödülleri artırıldı; temel kaynak ödülleri artık rastgele oluşturuluyor; Savaşçı DEN ödülleri azaltıldı.
 - Savaş hasarı düzenlemeleri:
 1. Distribütörlere saldırma/Distribütörleri savunma yoluyla ortaya çıkan savaş hasarını dengelemek için bölgelerin sağladığı “ağır yaralılara yenildi” ve “ağırdan hafif yaralıya” güçlendiricilerini kaldırdık.
 2. Oyuncular arası savaşlardaki minimum savaş hasarı oranını düşürdük, yani denk oyuncular olması durumunda savaş hasarı oranı da düşürülür.
 3. İlk harita alanındaki Tedarik Terminallerine, Klan Parlamentolarına, 1. Sv. Maymun Geçitlerine saldırma ya da buraları savunma karşılığında yenilen birim ortaya çıkmayacak.
 4. Belirli Maymun Geçitleri, harabeler ve Fırlatma Rampası için savaşırken yenilen birimlerin yüzdesini artırdık.</v>
      </c>
      <c r="M21" s="231" t="str">
        <f>IFERROR(__xludf.DUMMYFUNCTION("""COMPUTED_VALUE"""),"- Điều chỉnh trải nghiệm game giai đoạn đầu: điều chỉnh độ khó và thứ tự các nhiệm vụ chương nhất định; tăng kết quả tài nguyên của thành phố; đề xuất và sức mạnh đột biến thành phố chính xác hơn.
 - Thay đổi Xe Chuyên Chở: điều chỉnh sự khác biệt giữa ph"&amp;"ần thưởng của các cấp Xe Chuyên Chở.
 - Điều chỉnh Khám Phá Của Colin: tăng thưởng Chip Quang Phổ và giảm tài nguyên cơ bản và thưởng Mảnh Gen Thế Giới Chuối.
 - Điều chỉnh thưởng quái vật lớn: tăng thưởng Chip Quang Phổ; thưởng tài nguyên cơ bản hiện đã "&amp;"được tạo ngẫu nhiên; giảm thưởng EXP Chiến Binh.
 - Điều chỉnh sát thương trong trận chiến:
 1. Để cân bằng sát thương trong trận chiến khi tấn công/phòng thủ Trạm Phân Phối, chúng tôi đã gỡ bỏ hiệu ứng ""chuyển lính tử vong thành lính trọng thương"" và "&amp;"""chuyển lính trọng thương thành lính bị thương nhẹ"" mà lãnh thổ cung cấp.
 2. Chúng tôi đã giảm tỉ lệ sát thương chiến đấu tối thiểu trong trận chiến giữa các người chơi, trong trường hợp các người chơi đồng đều, tỷ lệ sát thương trận chiến cũng sẽ được"&amp;" hạ xuống.
 3. Không có đơn vị nào bại trận khi tấn công hoặc phòng thủ Nhà Ga Cung Ứng, Nghị Viện Bộ Lạc, Cửa Ải Khỉ Cấp 1 trong khu vực bản đồ ban đầu nữa.
 4. Chúng tôi đã tăng phần trăm đơn vị bại trận khi chiến đấu ở Bệ Phóng và các Cửa Ải Khỉ, tàn t"&amp;"ích nhất định.")</f>
        <v>- Điều chỉnh trải nghiệm game giai đoạn đầu: điều chỉnh độ khó và thứ tự các nhiệm vụ chương nhất định; tăng kết quả tài nguyên của thành phố; đề xuất và sức mạnh đột biến thành phố chính xác hơn.
 - Thay đổi Xe Chuyên Chở: điều chỉnh sự khác biệt giữa phần thưởng của các cấp Xe Chuyên Chở.
 - Điều chỉnh Khám Phá Của Colin: tăng thưởng Chip Quang Phổ và giảm tài nguyên cơ bản và thưởng Mảnh Gen Thế Giới Chuối.
 - Điều chỉnh thưởng quái vật lớn: tăng thưởng Chip Quang Phổ; thưởng tài nguyên cơ bản hiện đã được tạo ngẫu nhiên; giảm thưởng EXP Chiến Binh.
 - Điều chỉnh sát thương trong trận chiến:
 1. Để cân bằng sát thương trong trận chiến khi tấn công/phòng thủ Trạm Phân Phối, chúng tôi đã gỡ bỏ hiệu ứng "chuyển lính tử vong thành lính trọng thương" và "chuyển lính trọng thương thành lính bị thương nhẹ" mà lãnh thổ cung cấp.
 2. Chúng tôi đã giảm tỉ lệ sát thương chiến đấu tối thiểu trong trận chiến giữa các người chơi, trong trường hợp các người chơi đồng đều, tỷ lệ sát thương trận chiến cũng sẽ được hạ xuống.
 3. Không có đơn vị nào bại trận khi tấn công hoặc phòng thủ Nhà Ga Cung Ứng, Nghị Viện Bộ Lạc, Cửa Ải Khỉ Cấp 1 trong khu vực bản đồ ban đầu nữa.
 4. Chúng tôi đã tăng phần trăm đơn vị bại trận khi chiến đấu ở Bệ Phóng và các Cửa Ải Khỉ, tàn tích nhất định.</v>
      </c>
      <c r="N21" s="108"/>
      <c r="O21" s="108"/>
      <c r="P21" s="108"/>
      <c r="Q21" s="108"/>
      <c r="R21" s="108"/>
      <c r="S21" s="108"/>
      <c r="T21" s="108"/>
      <c r="U21" s="108"/>
      <c r="V21" s="108"/>
      <c r="W21" s="108"/>
      <c r="X21" s="108"/>
      <c r="Y21" s="108"/>
      <c r="Z21" s="108"/>
    </row>
    <row r="22">
      <c r="A22" s="108" t="str">
        <f>IFERROR(__xludf.DUMMYFUNCTION("""COMPUTED_VALUE"""),"0.38.0")</f>
        <v>0.38.0</v>
      </c>
      <c r="B22" s="108" t="str">
        <f>IFERROR(__xludf.DUMMYFUNCTION("""COMPUTED_VALUE"""),"-调整绝地试炼2-5章部分关卡的扫荡奖励
-斗士强尼全能天赋调整为防御天赋，并调整了对应的天赋技能，我们重置了强尼的天赋树，玩家可重新选择天赋加点  
-调整银河战争中基因编辑部分节点的消耗、前置条件、前置等级需求
-银河战争中占领人类遗迹后，可获得收入
-银河战争中星际蓝图任务难度调整")</f>
        <v>-调整绝地试炼2-5章部分关卡的扫荡奖励
-斗士强尼全能天赋调整为防御天赋，并调整了对应的天赋技能，我们重置了强尼的天赋树，玩家可重新选择天赋加点  
-调整银河战争中基因编辑部分节点的消耗、前置条件、前置等级需求
-银河战争中占领人类遗迹后，可获得收入
-银河战争中星际蓝图任务难度调整</v>
      </c>
      <c r="C22" s="108" t="str">
        <f>IFERROR(__xludf.DUMMYFUNCTION("""COMPUTED_VALUE"""),"- Adjusted raid rewards for certain levels of Impasse Trials chapter 2-5.
- Changed Sergeant Buzz's Balanced Talent to Defense Talent and adjusted the corresponding Talent Skills. His Talent Tree has been reset; players can re-allocate Talent Points.
- Ad"&amp;"justed the cost, requirements, and level requirements for certain stages of Gene Editing in Planet Wars.
- Added income for occupying neutral buildings in Planet Wars.
- Adjusted the difficulty of Interstellar Program quests in Planet Wars.")</f>
        <v>- Adjusted raid rewards for certain levels of Impasse Trials chapter 2-5.
- Changed Sergeant Buzz's Balanced Talent to Defense Talent and adjusted the corresponding Talent Skills. His Talent Tree has been reset; players can re-allocate Talent Points.
- Adjusted the cost, requirements, and level requirements for certain stages of Gene Editing in Planet Wars.
- Added income for occupying neutral buildings in Planet Wars.
- Adjusted the difficulty of Interstellar Program quests in Planet Wars.</v>
      </c>
      <c r="D22" s="108" t="str">
        <f>IFERROR(__xludf.DUMMYFUNCTION("""COMPUTED_VALUE"""),"- Ajustement des récompenses de raid pour certains niveaux des Epreuves de l'Impasse (chapitre 2 à 5).
- Sergent Buzz: talent d'équilibre remplacé par talent défensif; équilibrage des compétences correspondantes; son arbre de talents est réinitialisé afin"&amp;" que les joueurs puissent réattribuer les points.
- Ajustement des coûts, des conditions et du niveau requis pour certains niveaux des modifications génétiques de la Guerre planétaire.
- Ajout d'un revenu d'occupation des bâtiments neutres dans la Guerre "&amp;"planétaire.
- Ajustement de la difficulté des quêtes du Programme interstellaire dans la Guerre planétaire.")</f>
        <v>- Ajustement des récompenses de raid pour certains niveaux des Epreuves de l'Impasse (chapitre 2 à 5).
- Sergent Buzz: talent d'équilibre remplacé par talent défensif; équilibrage des compétences correspondantes; son arbre de talents est réinitialisé afin que les joueurs puissent réattribuer les points.
- Ajustement des coûts, des conditions et du niveau requis pour certains niveaux des modifications génétiques de la Guerre planétaire.
- Ajout d'un revenu d'occupation des bâtiments neutres dans la Guerre planétaire.
- Ajustement de la difficulté des quêtes du Programme interstellaire dans la Guerre planétaire.</v>
      </c>
      <c r="E22" s="108" t="str">
        <f>IFERROR(__xludf.DUMMYFUNCTION("""COMPUTED_VALUE"""),"- Die Belohnungen für bestimmte Level der Sackgassen-Prüfungen in den Kapiteln 2-5 wurden angepasst.
 - Das Talent ""Allmächtig"" von Sergeant Buzz wurde in das Talent ""Verteidigung"" geändert und die entsprechenden Fähigkeiten wurden angepasst. Sein Tal"&amp;"entbaum wurde zurückgesetzt; Spieler können Talentpunkte neu zuweisen.
 - Die Kosten, Anforderungen und Level-Anforderungen für bestimmte Stufen der Gen-Modifikation in Planetenkriegen wurden angepasst.
 - Das Einkommen für das Besetzen neutraler Gebäude "&amp;"in Planetenkriegen wurde erhöht.
 - Der Schwierigkeitsgrad der Quests des Interstellaren Programms in Planetenkrieg wurde angepasst.")</f>
        <v>- Die Belohnungen für bestimmte Level der Sackgassen-Prüfungen in den Kapiteln 2-5 wurden angepasst.
 - Das Talent "Allmächtig" von Sergeant Buzz wurde in das Talent "Verteidigung" geändert und die entsprechenden Fähigkeiten wurden angepasst. Sein Talentbaum wurde zurückgesetzt; Spieler können Talentpunkte neu zuweisen.
 - Die Kosten, Anforderungen und Level-Anforderungen für bestimmte Stufen der Gen-Modifikation in Planetenkriegen wurden angepasst.
 - Das Einkommen für das Besetzen neutraler Gebäude in Planetenkriegen wurde erhöht.
 - Der Schwierigkeitsgrad der Quests des Interstellaren Programms in Planetenkrieg wurde angepasst.</v>
      </c>
      <c r="F22" s="108" t="str">
        <f>IFERROR(__xludf.DUMMYFUNCTION("""COMPUTED_VALUE"""),"- Ajuste nas recompensas de invasão para determinados níveis dos capítulos 2-5 dos Desafios de Impasse.
 - Alteração de Talento Balanceado do Sargento Buzz para Talento de Defesa, além de ajuste nas habilidades talento correspondentes. Árvore de talentos "&amp;"foi redefinida: jogadores podem realocar os pontos de talento.
 - Ajustes no custo, requisitos e nível para certas fases da edição de genes em Guerra Interplanetária.
 - Adicionada produção ao ocupar estruturas neutras em Guerra Interplanetária.
 - Ajuste"&amp;" na dificuldade das missões do programa interestelar em Guerra Interplanetária.")</f>
        <v>- Ajuste nas recompensas de invasão para determinados níveis dos capítulos 2-5 dos Desafios de Impasse.
 - Alteração de Talento Balanceado do Sargento Buzz para Talento de Defesa, além de ajuste nas habilidades talento correspondentes. Árvore de talentos foi redefinida: jogadores podem realocar os pontos de talento.
 - Ajustes no custo, requisitos e nível para certas fases da edição de genes em Guerra Interplanetária.
 - Adicionada produção ao ocupar estruturas neutras em Guerra Interplanetária.
 - Ajuste na dificuldade das missões do programa interestelar em Guerra Interplanetária.</v>
      </c>
      <c r="G22" s="108" t="str">
        <f>IFERROR(__xludf.DUMMYFUNCTION("""COMPUTED_VALUE"""),"-調整絕地試煉2-5章部分關卡的掃蕩獎勵
-鬥士強尼全能天賦調整爲防禦天賦，並調整了對應的天賦技能，我們重置了強尼的天賦樹，玩家可重新選擇天賦加點  
-調整銀河戰爭中基因編輯部分節點的消耗、前置條件、前置等級需求
-銀河戰爭中佔領人類遺蹟後，可獲得收入
-銀河戰爭中星際藍圖任務難度調整")</f>
        <v>-調整絕地試煉2-5章部分關卡的掃蕩獎勵
-鬥士強尼全能天賦調整爲防禦天賦，並調整了對應的天賦技能，我們重置了強尼的天賦樹，玩家可重新選擇天賦加點  
-調整銀河戰爭中基因編輯部分節點的消耗、前置條件、前置等級需求
-銀河戰爭中佔領人類遺蹟後，可獲得收入
-銀河戰爭中星際藍圖任務難度調整</v>
      </c>
      <c r="H22" s="108" t="str">
        <f>IFERROR(__xludf.DUMMYFUNCTION("""COMPUTED_VALUE"""),"- Menyesuaikan hadiah serangan untuk level tertentu dari Uji Coba Kebuntuan babak 2-5.
 - Mengubah Bakat Seimbang Sersan Buzz menjadi Bakat Pertahanan dan mencocokkan Keahlian Bakat yang sesuai. Pohon Bakatnya telah diatur ulang; pemain bisa mengalokasika"&amp;"n kembali Poin Bakat.
 - Menyesuaikan biaya, persyaratan, dan persyaratan level untuk tahap tertentu Pengeditan Gen di Perang Planet.
 - Menambahkan penghasilan untuk menduduki bangunan netral di Perang Planet.
 - Menyesuaikan tingkat kesulitan misi Progr"&amp;"am Antarbintang di Perang Planet.")</f>
        <v>- Menyesuaikan hadiah serangan untuk level tertentu dari Uji Coba Kebuntuan babak 2-5.
 - Mengubah Bakat Seimbang Sersan Buzz menjadi Bakat Pertahanan dan mencocokkan Keahlian Bakat yang sesuai. Pohon Bakatnya telah diatur ulang; pemain bisa mengalokasikan kembali Poin Bakat.
 - Menyesuaikan biaya, persyaratan, dan persyaratan level untuk tahap tertentu Pengeditan Gen di Perang Planet.
 - Menambahkan penghasilan untuk menduduki bangunan netral di Perang Planet.
 - Menyesuaikan tingkat kesulitan misi Program Antarbintang di Perang Planet.</v>
      </c>
      <c r="I22" s="108" t="str">
        <f>IFERROR(__xludf.DUMMYFUNCTION("""COMPUTED_VALUE"""),"- ปรับรางวัลการโจมตีในกิจกรรมการทดสอบ ณ ทางตัน บทที่ 2-5 ในบางระดับ
 - เปลี่ยนความสามารถของจ่าบัซซ์จากแบบสมดุลเป็นความสามารถในการป้องกัน และปรับทักษะของความสามารถที่เกี่ยวข้อง รวมถึงรีเซ็ตต้นไม้ความสามารถของจ่าด้วย ทั้งนี้ ผู้เล่นสามารถจัดสรรแต้มความสามาร"&amp;"ถใหม่ได้
 - ปรับค่าใช้จ่าย ข้อกำหนด และข้อกำหนดระดับในบางด่านของกิจกรรมตัดแต่งยีนในสงครามดาวเคราะห์
 - เพิ่มรายได้จากการครอบครองสิ่งปลูกสร้างส่วนกลางในสงครามดาวเคราะห์
 - ปรับความยากเควสต์ของการเล่นโปรแกรมระหว่างดวงดาวในกิจกรรมสงครามดาวเคราะห์")</f>
        <v>- ปรับรางวัลการโจมตีในกิจกรรมการทดสอบ ณ ทางตัน บทที่ 2-5 ในบางระดับ
 - เปลี่ยนความสามารถของจ่าบัซซ์จากแบบสมดุลเป็นความสามารถในการป้องกัน และปรับทักษะของความสามารถที่เกี่ยวข้อง รวมถึงรีเซ็ตต้นไม้ความสามารถของจ่าด้วย ทั้งนี้ ผู้เล่นสามารถจัดสรรแต้มความสามารถใหม่ได้
 - ปรับค่าใช้จ่าย ข้อกำหนด และข้อกำหนดระดับในบางด่านของกิจกรรมตัดแต่งยีนในสงครามดาวเคราะห์
 - เพิ่มรายได้จากการครอบครองสิ่งปลูกสร้างส่วนกลางในสงครามดาวเคราะห์
 - ปรับความยากเควสต์ของการเล่นโปรแกรมระหว่างดวงดาวในกิจกรรมสงครามดาวเคราะห์</v>
      </c>
      <c r="J22" s="108" t="str">
        <f>IFERROR(__xludf.DUMMYFUNCTION("""COMPUTED_VALUE"""),"- Recompensas de incursión ajustadas para determinados niveles del capítulo 2-5 de las Pruebas de Impasse.
 - Cambios en el Talento Equilibrado del Sargento Buzz a Talento de Defensa y se ajustaron las Habilidades de Talento correspondientes. Su Árbol de "&amp;"Talentos se ha reiniciado; los jugadores pueden reasignar los Puntos de Talento.
 - Se ajustaron el costo, los requisitos y los requerimientos de nivel para etapas determinadas de Edición de genes en las Guerras Planetarias.
 - Ingresos adicionales por oc"&amp;"upar edificios neutrales en Guerras Planetarias.
 - Se ajustó la dificultad de las misiones del Programa Interestelar en Guerras Planetarias.")</f>
        <v>- Recompensas de incursión ajustadas para determinados niveles del capítulo 2-5 de las Pruebas de Impasse.
 - Cambios en el Talento Equilibrado del Sargento Buzz a Talento de Defensa y se ajustaron las Habilidades de Talento correspondientes. Su Árbol de Talentos se ha reiniciado; los jugadores pueden reasignar los Puntos de Talento.
 - Se ajustaron el costo, los requisitos y los requerimientos de nivel para etapas determinadas de Edición de genes en las Guerras Planetarias.
 - Ingresos adicionales por ocupar edificios neutrales en Guerras Planetarias.
 - Se ajustó la dificultad de las misiones del Programa Interestelar en Guerras Planetarias.</v>
      </c>
      <c r="K22" s="108" t="str">
        <f>IFERROR(__xludf.DUMMYFUNCTION("""COMPUTED_VALUE"""),"- Скорректированы награды за рейды некоторых уровней «Испытаний Тупика» в главах 2-5.
- Талант «Баланс» сержанта Базза заменен на талант «Защита», а соответствующие навыки таланта скорректированы. Дерево талантов для этого героя сброшено, так что игроки м"&amp;"огут заново распределить очки талантов.
- Скорректированы требования, стоимость и требования к уровню для некоторых этапов редактирования генов в «Планетарных войнах».
- Добавлен доход за оккупацию нейтральных зданий в «Планетарных войнах».
- Скорректиров"&amp;"ана сложность заданий Межзвездной программы в «Планетарных войнах».")</f>
        <v>- Скорректированы награды за рейды некоторых уровней «Испытаний Тупика» в главах 2-5.
- Талант «Баланс» сержанта Базза заменен на талант «Защита», а соответствующие навыки таланта скорректированы. Дерево талантов для этого героя сброшено, так что игроки могут заново распределить очки талантов.
- Скорректированы требования, стоимость и требования к уровню для некоторых этапов редактирования генов в «Планетарных войнах».
- Добавлен доход за оккупацию нейтральных зданий в «Планетарных войнах».
- Скорректирована сложность заданий Межзвездной программы в «Планетарных войнах».</v>
      </c>
      <c r="L22" s="108" t="str">
        <f>IFERROR(__xludf.DUMMYFUNCTION("""COMPUTED_VALUE"""),"- Çıkmaz Durum Denemelerinin 2.-5. bölümlerindeki belirli seviyelerin baskın ödülleri düzenlendi.
 - Çavuş Buzz’ın Dengeli Yeteneği Savunma Yeteneği olarak değiştirildi ve ilgili Yetenek Becerileri düzenlendi. Yetenek Ağacı sıfırlandı; oyuncular Yetenek P"&amp;"uanlarını yeniden dağıtabilirler.
 - Gezegen Savaşlarındaki Gen Düzenlemenin belirli aşamalarının maliyeti, gereklilikleri ve seviye gereklilikleri düzenlendi.
 - Gezegen Savaşlarındaki tarafsız binaları işgal etme karşılığında ilave gelir.
 - Gezegen Sav"&amp;"aşlarındaki Yıldızlararası Programı maceralarının zorluğu düzenlendi.")</f>
        <v>- Çıkmaz Durum Denemelerinin 2.-5. bölümlerindeki belirli seviyelerin baskın ödülleri düzenlendi.
 - Çavuş Buzz’ın Dengeli Yeteneği Savunma Yeteneği olarak değiştirildi ve ilgili Yetenek Becerileri düzenlendi. Yetenek Ağacı sıfırlandı; oyuncular Yetenek Puanlarını yeniden dağıtabilirler.
 - Gezegen Savaşlarındaki Gen Düzenlemenin belirli aşamalarının maliyeti, gereklilikleri ve seviye gereklilikleri düzenlendi.
 - Gezegen Savaşlarındaki tarafsız binaları işgal etme karşılığında ilave gelir.
 - Gezegen Savaşlarındaki Yıldızlararası Programı maceralarının zorluğu düzenlendi.</v>
      </c>
      <c r="M22" s="108" t="str">
        <f>IFERROR(__xludf.DUMMYFUNCTION("""COMPUTED_VALUE"""),"- Điều chỉnh thưởng đột kích của các cấp Thí Luyện Tuyệt Địa chương 2-5.
 - Thay đổi Tài Năng Cân Bằng của Trung Sĩ Buzz thành Tài Năng Phòng Thủ và điều chỉnh Kỹ Năng Tài Năng tương ứng. Cây tài năng của anh ấy đã được đặt lại; người chơi có thể phân phổ"&amp;" lại Điểm Tài Năng.
 - Điều chỉnh chi phí, yêu cầu, và yêu cầu về cấp của các giai đoạn Chỉnh Sửa Gen nhất định trong Chiến Tranh Hành Tinh.
 - Thêm thu nhập khi chiếm đóng các công trình trung lập trong Chiến Tranh Hành Tinh.
 - Điều chỉnh độ khó của các"&amp;" nhiệm vụ Chương Trình Liên Sao trong Chiến Tranh Hành Tinh.")</f>
        <v>- Điều chỉnh thưởng đột kích của các cấp Thí Luyện Tuyệt Địa chương 2-5.
 - Thay đổi Tài Năng Cân Bằng của Trung Sĩ Buzz thành Tài Năng Phòng Thủ và điều chỉnh Kỹ Năng Tài Năng tương ứng. Cây tài năng của anh ấy đã được đặt lại; người chơi có thể phân phổ lại Điểm Tài Năng.
 - Điều chỉnh chi phí, yêu cầu, và yêu cầu về cấp của các giai đoạn Chỉnh Sửa Gen nhất định trong Chiến Tranh Hành Tinh.
 - Thêm thu nhập khi chiếm đóng các công trình trung lập trong Chiến Tranh Hành Tinh.
 - Điều chỉnh độ khó của các nhiệm vụ Chương Trình Liên Sao trong Chiến Tranh Hành Tinh.</v>
      </c>
      <c r="N22" s="108"/>
      <c r="O22" s="108"/>
      <c r="P22" s="108"/>
      <c r="Q22" s="108"/>
      <c r="R22" s="108"/>
      <c r="S22" s="108"/>
      <c r="T22" s="108"/>
      <c r="U22" s="108"/>
      <c r="V22" s="108"/>
      <c r="W22" s="108"/>
      <c r="X22" s="108"/>
      <c r="Y22" s="108"/>
      <c r="Z22" s="108"/>
    </row>
    <row r="23">
      <c r="A23" s="108" t="str">
        <f>IFERROR(__xludf.DUMMYFUNCTION("""COMPUTED_VALUE"""),"0.39.0")</f>
        <v>0.39.0</v>
      </c>
      <c r="B23" s="108" t="str">
        <f>IFERROR(__xludf.DUMMYFUNCTION("""COMPUTED_VALUE"""),"-中立建筑增益调整：氏族总部-氏族容纳帮派数量减少为1；训练工业城-新增联盟人数+5；武器工业城-新增氏族容纳帮派数+1；装甲工业城-去除联盟人数+5，增加氏族容纳帮派数+1。
-酒吧产出调整：去掉了酒吧中吧台的礼物，酒吧商人的交易，酒吧说书猴的馈赠；新增了酒吧的问答信箱，回答问题可领取奖励，酒吧老板处的行动力领取。")</f>
        <v>-中立建筑增益调整：氏族总部-氏族容纳帮派数量减少为1；训练工业城-新增联盟人数+5；武器工业城-新增氏族容纳帮派数+1；装甲工业城-去除联盟人数+5，增加氏族容纳帮派数+1。
-酒吧产出调整：去掉了酒吧中吧台的礼物，酒吧商人的交易，酒吧说书猴的馈赠；新增了酒吧的问答信箱，回答问题可领取奖励，酒吧老板处的行动力领取。</v>
      </c>
      <c r="C23" s="108" t="str">
        <f>IFERROR(__xludf.DUMMYFUNCTION("""COMPUTED_VALUE"""),"- Modified neutral building buffs: Clan Headquarters - Number of Gangs in a clan reduced to 1; Training Industry City - added ""Gang Population +5"" buff; Weapon Tech City - added ""Number of Gangs in a clan +1"" buff; Armor Tech City - removed ""Gang Pop"&amp;"ulation +5"" buff and added ""Number of Gangs in a clan +1"".
- Modified Tavern rewards: Removed ""daily refreshment gifts"" from the Bartender, trades with the Astronaut, and gifts from the Story Monkey. Added new Letterbox feature (answer questions to g"&amp;"et rewards), and AP rewards from the Tavern owner.")</f>
        <v>- Modified neutral building buffs: Clan Headquarters - Number of Gangs in a clan reduced to 1; Training Industry City - added "Gang Population +5" buff; Weapon Tech City - added "Number of Gangs in a clan +1" buff; Armor Tech City - removed "Gang Population +5" buff and added "Number of Gangs in a clan +1".
- Modified Tavern rewards: Removed "daily refreshment gifts" from the Bartender, trades with the Astronaut, and gifts from the Story Monkey. Added new Letterbox feature (answer questions to get rewards), and AP rewards from the Tavern owner.</v>
      </c>
      <c r="D23" s="108" t="str">
        <f>IFERROR(__xludf.DUMMYFUNCTION("""COMPUTED_VALUE"""),"- Modification des bonus liés aux bâtiments neutres: QG de clan (réduction à 1 du nombre de gangs dans un clan), ville d'entraînement (ajout des bonus ""effectif du gang +5"" et ""nombre de gangs dans un clan +1""), ville d'armement (suppression du bonus "&amp;"""effectif du gang +5"" et ajout de ""nombre de gangs dans un clan +1"")
- Modification des récompenses dans la taverne: suppression des cadeaux quotidiens du tavernier, des trocs de l'astronaute et des cadeaux du blagueur. Ajout d'une messagerie (réponde"&amp;"z aux questions pour obtenir des récompenses) et des points d'action offerts par le tavernier.")</f>
        <v>- Modification des bonus liés aux bâtiments neutres: QG de clan (réduction à 1 du nombre de gangs dans un clan), ville d'entraînement (ajout des bonus "effectif du gang +5" et "nombre de gangs dans un clan +1"), ville d'armement (suppression du bonus "effectif du gang +5" et ajout de "nombre de gangs dans un clan +1")
- Modification des récompenses dans la taverne: suppression des cadeaux quotidiens du tavernier, des trocs de l'astronaute et des cadeaux du blagueur. Ajout d'une messagerie (répondez aux questions pour obtenir des récompenses) et des points d'action offerts par le tavernier.</v>
      </c>
      <c r="E23" s="108" t="str">
        <f>IFERROR(__xludf.DUMMYFUNCTION("""COMPUTED_VALUE"""),"- Modifizierung der neutralen Gebäude-Buffs: Hordenhauptquartier - Anzahl Clans in einer Horde auf 1 reduziert; Trainingsindustrie-Stadt - Buff ""Clan-Population +5"" hinzugefügt; Waffen-Tech-Stadt - Buff ""Anzahl Clans in einer Horde +1"" hinzugefügt; Te"&amp;"ch-Stadt - Buff ""Anzahl Clan in einer Horde +1"" hinzugefügt; Panzerungs-Tech-Stadt - Buff ""Clan-Population +5"" entfernt und ""Anzahl Clans in einer Horde 1"" hinzugefügt.
- Tavernenbelohnungen geändert: Die ""täglichen Erfrischungsgeschenke"" des Bark"&amp;"eepers, der Handel mit dem Astronauten und die Geschenke vom Geschichten-Affen wurden entfernt. Neue Briefkastenfunktion (Fragen beantworten, um Belohnungen zu erhalten) und AP-Belohnungen vom Tavernenbesitzer hinzugefügt.")</f>
        <v>- Modifizierung der neutralen Gebäude-Buffs: Hordenhauptquartier - Anzahl Clans in einer Horde auf 1 reduziert; Trainingsindustrie-Stadt - Buff "Clan-Population +5" hinzugefügt; Waffen-Tech-Stadt - Buff "Anzahl Clans in einer Horde +1" hinzugefügt; Tech-Stadt - Buff "Anzahl Clan in einer Horde +1" hinzugefügt; Panzerungs-Tech-Stadt - Buff "Clan-Population +5" entfernt und "Anzahl Clans in einer Horde 1" hinzugefügt.
- Tavernenbelohnungen geändert: Die "täglichen Erfrischungsgeschenke" des Barkeepers, der Handel mit dem Astronauten und die Geschenke vom Geschichten-Affen wurden entfernt. Neue Briefkastenfunktion (Fragen beantworten, um Belohnungen zu erhalten) und AP-Belohnungen vom Tavernenbesitzer hinzugefügt.</v>
      </c>
      <c r="F23" s="108" t="str">
        <f>IFERROR(__xludf.DUMMYFUNCTION("""COMPUTED_VALUE"""),"- Modificação nos auxílios de estruturas neutras: Sede da Gangue - número de gangues no clã reduzido a 1; Cidade Industrial de Treinamento - adicionado o auxílio ""População da Gangue +5""; Cidade Industrial de Armamentos - adicionado o auxílio ""Número d"&amp;"e Gangues num Clã +1""; Cidade Industrial de Armaduras - removido o auxílio ""População da Gangue +5"" e adição de ""Número de Gangues num Clã +1"".
- Recompensas da taverna foram modificadas: removidos os ""presentes de redefinição diários"" do garçom, t"&amp;"rocas com o astronauta e presentes da macaco da história. Adicionada a funcionalidade da Caixa de Correio (responda a perguntas para obter recompensas) e recompensas de AP do dono da taverna.")</f>
        <v>- Modificação nos auxílios de estruturas neutras: Sede da Gangue - número de gangues no clã reduzido a 1; Cidade Industrial de Treinamento - adicionado o auxílio "População da Gangue +5"; Cidade Industrial de Armamentos - adicionado o auxílio "Número de Gangues num Clã +1"; Cidade Industrial de Armaduras - removido o auxílio "População da Gangue +5" e adição de "Número de Gangues num Clã +1".
- Recompensas da taverna foram modificadas: removidos os "presentes de redefinição diários" do garçom, trocas com o astronauta e presentes da macaco da história. Adicionada a funcionalidade da Caixa de Correio (responda a perguntas para obter recompensas) e recompensas de AP do dono da taverna.</v>
      </c>
      <c r="G23" s="108" t="str">
        <f>IFERROR(__xludf.DUMMYFUNCTION("""COMPUTED_VALUE"""),"-中立建築增益調整：氏族總部-氏族容納幫派數量減少為1；訓練工業城-新增聯盟人數+5；武器工業城-新增氏族容納幫派數+1；裝甲工業城-去除聯盟人數+5，增加氏族容納幫派數+1。
-酒吧產出調整：去掉了酒吧中吧臺的禮物，酒吧商人的交易，酒吧說書猴的饋贈；新增了酒吧的問答信箱，回答問題可領取獎勵，酒吧老板處的行動力領取。")</f>
        <v>-中立建築增益調整：氏族總部-氏族容納幫派數量減少為1；訓練工業城-新增聯盟人數+5；武器工業城-新增氏族容納幫派數+1；裝甲工業城-去除聯盟人數+5，增加氏族容納幫派數+1。
-酒吧產出調整：去掉了酒吧中吧臺的禮物，酒吧商人的交易，酒吧說書猴的饋贈；新增了酒吧的問答信箱，回答問題可領取獎勵，酒吧老板處的行動力領取。</v>
      </c>
      <c r="H23" s="108" t="str">
        <f>IFERROR(__xludf.DUMMYFUNCTION("""COMPUTED_VALUE"""),"- Memodifikasi buff bangunan netral: Markas Besar Klan - Jumlah Geng dalam klan dikurangi menjadi 1; Kota Industri Pelatihan - menambahkan buff ""Populasi Geng +5""; Kota Teknologi Senjata - menambahkan buff ""Jumlah Geng dalam klan +1""; Kota Teknologi Z"&amp;"irah - menghilangkan buff ""Populasi Geng +5"" dan menambahkan ""Jumlah Geng dalam klan +1"".
- Memodifikasi hadiah Kedai: Menghapus ""hadiah minuman harian"" dari Bartender, berdagang dengan Astronot, dan hadiah dari Kera Cerita. Menambahkan fitur Kotak "&amp;"Surat baru (jawab pertanyaan untuk mendapatkan hadiah), dan hadiah PA dari pemilik Kedai.")</f>
        <v>- Memodifikasi buff bangunan netral: Markas Besar Klan - Jumlah Geng dalam klan dikurangi menjadi 1; Kota Industri Pelatihan - menambahkan buff "Populasi Geng +5"; Kota Teknologi Senjata - menambahkan buff "Jumlah Geng dalam klan +1"; Kota Teknologi Zirah - menghilangkan buff "Populasi Geng +5" dan menambahkan "Jumlah Geng dalam klan +1".
- Memodifikasi hadiah Kedai: Menghapus "hadiah minuman harian" dari Bartender, berdagang dengan Astronot, dan hadiah dari Kera Cerita. Menambahkan fitur Kotak Surat baru (jawab pertanyaan untuk mendapatkan hadiah), dan hadiah PA dari pemilik Kedai.</v>
      </c>
      <c r="I23" s="108" t="str">
        <f>IFERROR(__xludf.DUMMYFUNCTION("""COMPUTED_VALUE"""),"- ปรับปรุงสิ่งปลูกสร้างส่วนกลาง: สำนักงานใหญ่ของเผ่า - จำนวนแก๊งในเผ่าลดลงเหลือ 1 แก๊ง, เมืองอุตสาหกรรมการฝึกอบรม - เพิ่มบัฟฟ์ ""ประชากรแก๊ง +5"", เมืองเทคโนโลยีอาวุธ - เพิ่มบัฟฟ์ ""จำนวนแก๊งในเผ่า +1"", เมืองเทคโนโลยีเกราะ - นำบัฟฟ์ ""ประชากรแก๊ง +5"" ออ"&amp;"ก แล้วเพิ่ม ""จำนวนแก๊งในเผ่า +1"" แทน
- แก้ไขรางวัลโรงแรม: นำ ""ของขวัญเพิ่มความสดชื่นประจำวัน"" จากบาร์เทนเดอร์ การแลกเปลี่ยนกับนักบินอวกาศ และของขวัญจากเรื่องราวของลิงออกไป แล้วเพิ่มคุณสมบัติกล่องจดหมายใหม่ (ตอบคำถามเพื่อรับรางวัล) และรางวัล AP จากเจ้า"&amp;"ของโรงแรม")</f>
        <v>- ปรับปรุงสิ่งปลูกสร้างส่วนกลาง: สำนักงานใหญ่ของเผ่า - จำนวนแก๊งในเผ่าลดลงเหลือ 1 แก๊ง, เมืองอุตสาหกรรมการฝึกอบรม - เพิ่มบัฟฟ์ "ประชากรแก๊ง +5", เมืองเทคโนโลยีอาวุธ - เพิ่มบัฟฟ์ "จำนวนแก๊งในเผ่า +1", เมืองเทคโนโลยีเกราะ - นำบัฟฟ์ "ประชากรแก๊ง +5" ออก แล้วเพิ่ม "จำนวนแก๊งในเผ่า +1" แทน
- แก้ไขรางวัลโรงแรม: นำ "ของขวัญเพิ่มความสดชื่นประจำวัน" จากบาร์เทนเดอร์ การแลกเปลี่ยนกับนักบินอวกาศ และของขวัญจากเรื่องราวของลิงออกไป แล้วเพิ่มคุณสมบัติกล่องจดหมายใหม่ (ตอบคำถามเพื่อรับรางวัล) และรางวัล AP จากเจ้าของโรงแรม</v>
      </c>
      <c r="J23" s="108" t="str">
        <f>IFERROR(__xludf.DUMMYFUNCTION("""COMPUTED_VALUE"""),"- Modificación en las mejoras de los edificios neutrales: Cuartel General del Clan - Número de Bandas en un clan reducido a 1; Ciudad de la Industria del Entrenamiento - Se agrego la mejora de ""Población de la Banda +5""; Ciudad Tecnológica de Armas - Se"&amp;" agrego la mejora: ""Número de Bandas en un Clan +1""; Ciudad Tecnológica de Armaduras - Se eliminó la mejora de ""Población de la Banda +5"" y se agregó ""Número de Bandas en un clan +1"".
- Modificación en las Recompensas de la Taberna: Se eliminaron lo"&amp;"s “regalos diarios de refresco” del Cantinero, los intercambios con el Astronauta y los obsequios del Mono de Historia. Se agregó una nueva función de Buzón (responde preguntas para obtener recompensas) y recompensas de PA del propietario de la Taberna.")</f>
        <v>- Modificación en las mejoras de los edificios neutrales: Cuartel General del Clan - Número de Bandas en un clan reducido a 1; Ciudad de la Industria del Entrenamiento - Se agrego la mejora de "Población de la Banda +5"; Ciudad Tecnológica de Armas - Se agrego la mejora: "Número de Bandas en un Clan +1"; Ciudad Tecnológica de Armaduras - Se eliminó la mejora de "Población de la Banda +5" y se agregó "Número de Bandas en un clan +1".
- Modificación en las Recompensas de la Taberna: Se eliminaron los “regalos diarios de refresco” del Cantinero, los intercambios con el Astronauta y los obsequios del Mono de Historia. Se agregó una nueva función de Buzón (responde preguntas para obtener recompensas) y recompensas de PA del propietario de la Taberna.</v>
      </c>
      <c r="K23" s="108" t="str">
        <f>IFERROR(__xludf.DUMMYFUNCTION("""COMPUTED_VALUE"""),"- Изменены бонусы от нейтральных построек: база клана — бонус к числу банд в клане уменьшен до 1; город учебного производства — добавлен бонус «+5 к численности банды»; город оружейных технологий — добавлен бонус «+1 к числу банд в клане»; город технологи"&amp;"й брони — убран бонус «+5 к численности банды» и добавлен бонус «+1 к числу банд в клане».
- Изменены награды в таверне: убраны «ежедневные освежающие подарки» от бармена, предложения космонавта и подарки от рассказчика. Добавлена новая функция «Почтовый "&amp;"ящик» (отвечайте на вопросы, чтобы получить награды) и награды в ОД от владельца таверны.")</f>
        <v>- Изменены бонусы от нейтральных построек: база клана — бонус к числу банд в клане уменьшен до 1; город учебного производства — добавлен бонус «+5 к численности банды»; город оружейных технологий — добавлен бонус «+1 к числу банд в клане»; город технологий брони — убран бонус «+5 к численности банды» и добавлен бонус «+1 к числу банд в клане».
- Изменены награды в таверне: убраны «ежедневные освежающие подарки» от бармена, предложения космонавта и подарки от рассказчика. Добавлена новая функция «Почтовый ящик» (отвечайте на вопросы, чтобы получить награды) и награды в ОД от владельца таверны.</v>
      </c>
      <c r="L23" s="108" t="str">
        <f>IFERROR(__xludf.DUMMYFUNCTION("""COMPUTED_VALUE"""),"- Tarafsız bina güçlendiricileri değiştirildi: Klan Genel Merkezi - bir klandaki Çete sayısı 1’e düşürüldü; Eğitim Endüstrisi Şehri - “Çete Nüfusu +5” güçlendiricisi eklendi; Silah Teknolojisi Şehri - “Bir klandaki Çete Sayısı +1” güçlendiricisi eklendi; "&amp;"Zırh Teknolojisi Şehri - “Çete Nüfusu +5” güçlendiricisi kaldırıldı ve “Bir klandaki Çete Sayısı +1” eklendi.
- Taverna ödülleri değiştirildi: Hancının “günlük ikramları”, Astronotla ticaret ve Hikâye Maymununun hediyeleri kaldırıldı. Yeni Posta Kutusu öz"&amp;"elliği (ödül almak için soruları cevapla) ve Taverna sahibinden AP ödülleri eklendi.")</f>
        <v>- Tarafsız bina güçlendiricileri değiştirildi: Klan Genel Merkezi - bir klandaki Çete sayısı 1’e düşürüldü; Eğitim Endüstrisi Şehri - “Çete Nüfusu +5” güçlendiricisi eklendi; Silah Teknolojisi Şehri - “Bir klandaki Çete Sayısı +1” güçlendiricisi eklendi; Zırh Teknolojisi Şehri - “Çete Nüfusu +5” güçlendiricisi kaldırıldı ve “Bir klandaki Çete Sayısı +1” eklendi.
- Taverna ödülleri değiştirildi: Hancının “günlük ikramları”, Astronotla ticaret ve Hikâye Maymununun hediyeleri kaldırıldı. Yeni Posta Kutusu özelliği (ödül almak için soruları cevapla) ve Taverna sahibinden AP ödülleri eklendi.</v>
      </c>
      <c r="M23" s="108" t="str">
        <f>IFERROR(__xludf.DUMMYFUNCTION("""COMPUTED_VALUE"""),"- Điều chỉnh hiệu ứng công trình trung lập: Trụ Sở Chính Bộ Lạc - Số lượng Bang Hội trong một Bộ Lạc giảm còn 1; Thành Phố Công Nghiệp Huấn Luyện - thêm hiệu ứng ""Dân Số Bang Hội +5""; Thành Phố Công Nghệ Vũ Khí - thêm hiệu ứng ""Số lượng Bang Hội trong "&amp;"một Bộ Lạc +1""; Thành Phố Công Nghệ Giáp - gỡ bỏ hiệu ứng ""Dân Số Bang Hội +5"" và thêm hiệu ứng ""Số lượng Bang Hội trong một Bộ Lạc +1"".
- Điều chỉnh thưởng Tửu Quán: Gỡ bỏ ""quà tặng làm mới hàng ngày"" từ Người Pha Chế, giao dịch với Phi Hành Gia, "&amp;"và quà tặng từ Câu Chuyện Khỉ. Thêm tính năng Hộp Thư mới (trả lời câu hỏi để nhận thưởng) và thưởng điểm hành động từ chủ Tửu Quán.")</f>
        <v>- Điều chỉnh hiệu ứng công trình trung lập: Trụ Sở Chính Bộ Lạc - Số lượng Bang Hội trong một Bộ Lạc giảm còn 1; Thành Phố Công Nghiệp Huấn Luyện - thêm hiệu ứng "Dân Số Bang Hội +5"; Thành Phố Công Nghệ Vũ Khí - thêm hiệu ứng "Số lượng Bang Hội trong một Bộ Lạc +1"; Thành Phố Công Nghệ Giáp - gỡ bỏ hiệu ứng "Dân Số Bang Hội +5" và thêm hiệu ứng "Số lượng Bang Hội trong một Bộ Lạc +1".
- Điều chỉnh thưởng Tửu Quán: Gỡ bỏ "quà tặng làm mới hàng ngày" từ Người Pha Chế, giao dịch với Phi Hành Gia, và quà tặng từ Câu Chuyện Khỉ. Thêm tính năng Hộp Thư mới (trả lời câu hỏi để nhận thưởng) và thưởng điểm hành động từ chủ Tửu Quán.</v>
      </c>
      <c r="N23" s="108"/>
      <c r="O23" s="108"/>
      <c r="P23" s="108"/>
      <c r="Q23" s="108"/>
      <c r="R23" s="108"/>
      <c r="S23" s="108"/>
      <c r="T23" s="108"/>
      <c r="U23" s="108"/>
      <c r="V23" s="108"/>
      <c r="W23" s="108"/>
      <c r="X23" s="108"/>
      <c r="Y23" s="108"/>
      <c r="Z23" s="108"/>
    </row>
    <row r="24">
      <c r="A24" s="108" t="str">
        <f>IFERROR(__xludf.DUMMYFUNCTION("""COMPUTED_VALUE"""),"0.40.0")</f>
        <v>0.40.0</v>
      </c>
      <c r="B24" s="108" t="str">
        <f>IFERROR(__xludf.DUMMYFUNCTION("""COMPUTED_VALUE"""),"-人类遗迹生效时间调整：人类遗迹的增益在争夺期也生效；
-阅兵场升级要求调整：优化了升级阅兵场时所需要的基地等级要求；
-斗士技能天赋描述优化：优化了斗士天赋和英雄技能中，进攻和防守建筑的相关描述，使其表达的意思更为准确；")</f>
        <v>-人类遗迹生效时间调整：人类遗迹的增益在争夺期也生效；
-阅兵场升级要求调整：优化了升级阅兵场时所需要的基地等级要求；
-斗士技能天赋描述优化：优化了斗士天赋和英雄技能中，进攻和防守建筑的相关描述，使其表达的意思更为准确；</v>
      </c>
      <c r="C24" s="169" t="str">
        <f>IFERROR(__xludf.DUMMYFUNCTION("""COMPUTED_VALUE"""),"- Adjusted the time when ruins are in effect: ruin boosts take effect even during the occupation period.
- Adjusted upgrade requirements for the Parade Grounds: improved City Hall level requirements.
- Improved descriptions of Fighter skills and talents: "&amp;"optimized descriptions related to attacking/defending buildings to make them more accurate.")</f>
        <v>- Adjusted the time when ruins are in effect: ruin boosts take effect even during the occupation period.
- Adjusted upgrade requirements for the Parade Grounds: improved City Hall level requirements.
- Improved descriptions of Fighter skills and talents: optimized descriptions related to attacking/defending buildings to make them more accurate.</v>
      </c>
      <c r="D24" s="108" t="str">
        <f>IFERROR(__xludf.DUMMYFUNCTION("""COMPUTED_VALUE"""),"- Modification de la période d'effet des ruines: les bonus ne sont actifs que pendant la période d'occupation.
- Modification du niveau d'hôtel de ville requis pour améliorer la place d'armes.
- Optimisation des descriptions des compétences et talents des"&amp;" combattants: les descriptions liées à l'attaque et la défense des bâtiments sont plus précises.")</f>
        <v>- Modification de la période d'effet des ruines: les bonus ne sont actifs que pendant la période d'occupation.
- Modification du niveau d'hôtel de ville requis pour améliorer la place d'armes.
- Optimisation des descriptions des compétences et talents des combattants: les descriptions liées à l'attaque et la défense des bâtiments sont plus précises.</v>
      </c>
      <c r="E24" s="108" t="str">
        <f>IFERROR(__xludf.DUMMYFUNCTION("""COMPUTED_VALUE"""),"- Der Zeitpunkt, zu dem Ruinen ihre Wirkung entfalten, wurde angepasst: Ruinen-Boosts werden auch während der Besetzung wirksam.
 - Aufwertungsanforderungen für den Paradeplatz angepasst: Verbesserte Level-Anforderungen in Bezug auf das Rathaus.
 - Verbes"&amp;"serte Beschreibungen der Fähigkeiten und Talente von Kämpfern: Optimierte, genauere Beschreibungen für den Angriff/die Verteidigung von Gebäuden.")</f>
        <v>- Der Zeitpunkt, zu dem Ruinen ihre Wirkung entfalten, wurde angepasst: Ruinen-Boosts werden auch während der Besetzung wirksam.
 - Aufwertungsanforderungen für den Paradeplatz angepasst: Verbesserte Level-Anforderungen in Bezug auf das Rathaus.
 - Verbesserte Beschreibungen der Fähigkeiten und Talente von Kämpfern: Optimierte, genauere Beschreibungen für den Angriff/die Verteidigung von Gebäuden.</v>
      </c>
      <c r="F24" s="108" t="str">
        <f>IFERROR(__xludf.DUMMYFUNCTION("""COMPUTED_VALUE"""),"- Ajuste no tempo em que ruínas estão ativas: bônus de ruínas têm efeito mesmo durante o período de ocupação.
 - Ajustados os requerimentos de melhoria para a Praça de Armas: melhoria nos requisitos de nível da prefeitura.
 - Melhoria nas descrições de ta"&amp;"lentos e habilidades de combatente: descrições otimizadas relacionadas à defesa e ataque de estruturas para torná-las mais claras.")</f>
        <v>- Ajuste no tempo em que ruínas estão ativas: bônus de ruínas têm efeito mesmo durante o período de ocupação.
 - Ajustados os requerimentos de melhoria para a Praça de Armas: melhoria nos requisitos de nível da prefeitura.
 - Melhoria nas descrições de talentos e habilidades de combatente: descrições otimizadas relacionadas à defesa e ataque de estruturas para torná-las mais claras.</v>
      </c>
      <c r="G24" s="108" t="str">
        <f>IFERROR(__xludf.DUMMYFUNCTION("""COMPUTED_VALUE"""),"-人類遺跡生效時間調整：人類遺蹟的增益在爭奪期也生效；
-閱兵場升級要求調整：優化了升級閱兵場時所需要的基地等級要求；
-鬥士技能天賦描述優化：優化了鬥士天賦和英雄技能中，進攻和防守建築的相關描述，使其表達的意思更為準確；")</f>
        <v>-人類遺跡生效時間調整：人類遺蹟的增益在爭奪期也生效；
-閱兵場升級要求調整：優化了升級閱兵場時所需要的基地等級要求；
-鬥士技能天賦描述優化：優化了鬥士天賦和英雄技能中，進攻和防守建築的相關描述，使其表達的意思更為準確；</v>
      </c>
      <c r="H24" s="108" t="str">
        <f>IFERROR(__xludf.DUMMYFUNCTION("""COMPUTED_VALUE"""),"- Penyesuaian waktu saat efek reruntuhan aktif: boost reruntuhan berlaku selama periode pendudukan..
 - Penyesuaian persyaratan peningkatan untuk Lapangan Parade: memberbaiki persyaratan level Balai Kota.
 - Perbaikan deskripsi skill dan bakat Pejuang: pe"&amp;"ngoptimalan deskripsi terkait menyerang/mempertahankan bangunan untuk membuatnya lebih akurat.")</f>
        <v>- Penyesuaian waktu saat efek reruntuhan aktif: boost reruntuhan berlaku selama periode pendudukan..
 - Penyesuaian persyaratan peningkatan untuk Lapangan Parade: memberbaiki persyaratan level Balai Kota.
 - Perbaikan deskripsi skill dan bakat Pejuang: pengoptimalan deskripsi terkait menyerang/mempertahankan bangunan untuk membuatnya lebih akurat.</v>
      </c>
      <c r="I24" s="108" t="str">
        <f>IFERROR(__xludf.DUMMYFUNCTION("""COMPUTED_VALUE"""),"- ปรับเวลาการให้บูสต์ของซากปรักหักพัง: บูสต์ของซากปรักหักพังจะมีผลในช่วงเวลาที่ยึดครองด้วย
 - ปรับข้อกำหนดการอัปเกรดของลานเดินทัพ: ปรับปรุงข้อกำหนดเลเวลของศาลากลาง
 - ปรับปรุงคำอธิบายทักษะและพรสวรรค์ของนักสู้: ปรับคำอธิบายของการโจมตี/ป้องกันสิ่งปลูกสร้างใ"&amp;"ห้ถูกต้องมากขึ้น")</f>
        <v>- ปรับเวลาการให้บูสต์ของซากปรักหักพัง: บูสต์ของซากปรักหักพังจะมีผลในช่วงเวลาที่ยึดครองด้วย
 - ปรับข้อกำหนดการอัปเกรดของลานเดินทัพ: ปรับปรุงข้อกำหนดเลเวลของศาลากลาง
 - ปรับปรุงคำอธิบายทักษะและพรสวรรค์ของนักสู้: ปรับคำอธิบายของการโจมตี/ป้องกันสิ่งปลูกสร้างให้ถูกต้องมากขึ้น</v>
      </c>
      <c r="J24" s="108" t="str">
        <f>IFERROR(__xludf.DUMMYFUNCTION("""COMPUTED_VALUE"""),"- Se ajustó el tiempo en que las ruinas están en efecto: Los potenciadores de las ruinas tienen efecto incluso durante el período de ocupación.
 - Ajuste en los requisitos de actualización para la Plaza de Armas: Se mejoraron los requisitos de nivel de Ay"&amp;"untamiento.
 - Descripciones mejoradas de las habilidades y talentos para el Luchador: Se optimizaron las descripciones relacionadas con el ataque/defensa de los edificios para que sean más precisas.")</f>
        <v>- Se ajustó el tiempo en que las ruinas están en efecto: Los potenciadores de las ruinas tienen efecto incluso durante el período de ocupación.
 - Ajuste en los requisitos de actualización para la Plaza de Armas: Se mejoraron los requisitos de nivel de Ayuntamiento.
 - Descripciones mejoradas de las habilidades y talentos para el Luchador: Se optimizaron las descripciones relacionadas con el ataque/defensa de los edificios para que sean más precisas.</v>
      </c>
      <c r="K24" s="108" t="str">
        <f>IFERROR(__xludf.DUMMYFUNCTION("""COMPUTED_VALUE"""),"- Скорректировано время действия руин: усиления руин действуют даже в период оккупации.
- Скорректированы требования для улучшения парадного плаца: изменилось требование к уровню городского совета.
- Улучшены описания навыков и талантов героев: мы изменил"&amp;"и описания, связанные с атакой и защитой зданий, чтобы сделать их более точными.")</f>
        <v>- Скорректировано время действия руин: усиления руин действуют даже в период оккупации.
- Скорректированы требования для улучшения парадного плаца: изменилось требование к уровню городского совета.
- Улучшены описания навыков и талантов героев: мы изменили описания, связанные с атакой и защитой зданий, чтобы сделать их более точными.</v>
      </c>
      <c r="L24" s="108" t="str">
        <f>IFERROR(__xludf.DUMMYFUNCTION("""COMPUTED_VALUE"""),"- Harabelerin etkili olduğu zaman düzenlendi: harabe güçlendirmeleri işgal döneminde bile etkili.
 - Geçit Töreni Yerleri için yükseltme gereksinimleri düzenlendi: Meclis seviyesi gereksinimleri iyileştirildi.
 - Savaşçı becerileri ve yeteneklerinin açıkl"&amp;"amaları iyileştirildi: daha doğru hâle getirmek için binalara saldırmakla/savunmakla ilgili açıklamalar optimize edildi.")</f>
        <v>- Harabelerin etkili olduğu zaman düzenlendi: harabe güçlendirmeleri işgal döneminde bile etkili.
 - Geçit Töreni Yerleri için yükseltme gereksinimleri düzenlendi: Meclis seviyesi gereksinimleri iyileştirildi.
 - Savaşçı becerileri ve yeteneklerinin açıklamaları iyileştirildi: daha doğru hâle getirmek için binalara saldırmakla/savunmakla ilgili açıklamalar optimize edildi.</v>
      </c>
      <c r="M24" s="108" t="str">
        <f>IFERROR(__xludf.DUMMYFUNCTION("""COMPUTED_VALUE"""),"- Điều chỉnh thời gian khi các tàn tích đang trong hiệu ứng: các hiệu ứng có lợi của tàn tích có hiệu lực ngay cả khi đang trong giai đoạn chiếm đóng.
 - Điều chỉnh các yêu cầu nâng cấp cho Sân Diễu Hành: cải thiện các yêu cầu cấp Tòa Thị Chính.
 - Cải th"&amp;"iện mô tả kỹ năng và tài năng Chiến Binh: tối ưu hóa mô tả liên quan đến các công trình tấn công/phòng thủ để chúng chính xác hơn.")</f>
        <v>- Điều chỉnh thời gian khi các tàn tích đang trong hiệu ứng: các hiệu ứng có lợi của tàn tích có hiệu lực ngay cả khi đang trong giai đoạn chiếm đóng.
 - Điều chỉnh các yêu cầu nâng cấp cho Sân Diễu Hành: cải thiện các yêu cầu cấp Tòa Thị Chính.
 - Cải thiện mô tả kỹ năng và tài năng Chiến Binh: tối ưu hóa mô tả liên quan đến các công trình tấn công/phòng thủ để chúng chính xác hơn.</v>
      </c>
      <c r="N24" s="108"/>
      <c r="O24" s="108"/>
      <c r="P24" s="108"/>
      <c r="Q24" s="108"/>
      <c r="R24" s="108"/>
      <c r="S24" s="108"/>
      <c r="T24" s="108"/>
      <c r="U24" s="108"/>
      <c r="V24" s="108"/>
      <c r="W24" s="108"/>
      <c r="X24" s="108"/>
      <c r="Y24" s="108"/>
      <c r="Z24" s="108"/>
    </row>
    <row r="25">
      <c r="A25" s="108" t="str">
        <f>IFERROR(__xludf.DUMMYFUNCTION("""COMPUTED_VALUE"""),"0.41.0")</f>
        <v>0.41.0</v>
      </c>
      <c r="B25" s="108" t="str">
        <f>IFERROR(__xludf.DUMMYFUNCTION("""COMPUTED_VALUE"""),"-优化帮派礼物升级逻辑，通过提升帮派等级可以获得更多帮派礼物奖励；
-银河商店调整：根据赛季节奏，增加售卖道具类型和数量；
-绝地试炼调整：关卡增加解锁条件，增加首次通关奖励，增加后续扫荡奖励中的军备道具数量
-装备在普通打造模式下将有更高概率获得附加属性")</f>
        <v>-优化帮派礼物升级逻辑，通过提升帮派等级可以获得更多帮派礼物奖励；
-银河商店调整：根据赛季节奏，增加售卖道具类型和数量；
-绝地试炼调整：关卡增加解锁条件，增加首次通关奖励，增加后续扫荡奖励中的军备道具数量
-装备在普通打造模式下将有更高概率获得附加属性</v>
      </c>
      <c r="C25" s="108" t="str">
        <f>IFERROR(__xludf.DUMMYFUNCTION("""COMPUTED_VALUE"""),"- Optimized how Gang Gifts are upgraded; get more Gang Gifts by upgrading Gang Levels.
- Planetary Shop changes: The type and number of items sold will increase based on the event season’s progress.
- Impasse Trials changes: Added unlocking requirements t"&amp;"o levels; added reward for the first time you clear a level; increased the number of gear items in raid rewards.
-Increased the probability of getting added attributes from basic assembly mode.")</f>
        <v>- Optimized how Gang Gifts are upgraded; get more Gang Gifts by upgrading Gang Levels.
- Planetary Shop changes: The type and number of items sold will increase based on the event season’s progress.
- Impasse Trials changes: Added unlocking requirements to levels; added reward for the first time you clear a level; increased the number of gear items in raid rewards.
-Increased the probability of getting added attributes from basic assembly mode.</v>
      </c>
      <c r="D25" s="108" t="str">
        <f>IFERROR(__xludf.DUMMYFUNCTION("""COMPUTED_VALUE"""),"- Optimisation de la façon d'améliorer les cadeaux du gang; obtenez plus de cadeaux en améliorant le niveau du gang.
- Modification de la boutique planétaire: le type et le nombre des articles vendus augmentent selon la progression dans la saison.
- Modif"&amp;"ication des Epreuves de l'impasse: ajout de conditions d'accès aux niveaux; ajout d'une récompense pour le premier niveau terminé; augmentation du nombre de pièces d'équipement dans les récompenses liées aux raids.
-Meilleure probabilité d'obtenir des att"&amp;"ributs supplémentaires dans le mode de fabrication standard.")</f>
        <v>- Optimisation de la façon d'améliorer les cadeaux du gang; obtenez plus de cadeaux en améliorant le niveau du gang.
- Modification de la boutique planétaire: le type et le nombre des articles vendus augmentent selon la progression dans la saison.
- Modification des Epreuves de l'impasse: ajout de conditions d'accès aux niveaux; ajout d'une récompense pour le premier niveau terminé; augmentation du nombre de pièces d'équipement dans les récompenses liées aux raids.
-Meilleure probabilité d'obtenir des attributs supplémentaires dans le mode de fabrication standard.</v>
      </c>
      <c r="E25" s="108" t="str">
        <f>IFERROR(__xludf.DUMMYFUNCTION("""COMPUTED_VALUE"""),"- Optimierte Art und Weise, wie Clan-Geschenke aufgewertet werden; erhalte mehr Clan-Geschenke, indem du das Clan-Level aufwertest.
- Änderungen im Planeten-Shop: Die Art und Anzahl der verkauften Gegenstände erhöht sich mit dem Fortschritt der Event-Sais"&amp;"on.
- Änderungen bei Sackgassen-Prüfungen: Zusätzliche Anforderungen für das Freischalten von Leveln; zusätzliche Belohnung für das erste Freischalten eines Levels; die Anzahl der Gegenstände in den Schlachtzugsbelohnungen wurde erhöht.
-Erhöhte die Wahrs"&amp;"cheinlichkeit, hinzugefügte Attribute vom ""Einfachen Zusammensetzmodus"" zu erhalten.")</f>
        <v>- Optimierte Art und Weise, wie Clan-Geschenke aufgewertet werden; erhalte mehr Clan-Geschenke, indem du das Clan-Level aufwertest.
- Änderungen im Planeten-Shop: Die Art und Anzahl der verkauften Gegenstände erhöht sich mit dem Fortschritt der Event-Saison.
- Änderungen bei Sackgassen-Prüfungen: Zusätzliche Anforderungen für das Freischalten von Leveln; zusätzliche Belohnung für das erste Freischalten eines Levels; die Anzahl der Gegenstände in den Schlachtzugsbelohnungen wurde erhöht.
-Erhöhte die Wahrscheinlichkeit, hinzugefügte Attribute vom "Einfachen Zusammensetzmodus" zu erhalten.</v>
      </c>
      <c r="F25" s="108" t="str">
        <f>IFERROR(__xludf.DUMMYFUNCTION("""COMPUTED_VALUE"""),"- Otimização no modo como presentes da gangue são melhorados; obtenha mais presentes da gangue subindo níveis de gangue.
- Mudanças na Loja Planetária: o tipo e o número de itens vendidos aumentarão com base no progresso da temporada de eventos.
- Alteraç"&amp;"ão em Desafios de Impasse: requisitos para desbloquear níveis; adição de uma recompensa para a primeira vez que você conclui um nível; aumento no número de itens de equipamento nas recompensas de raide.
-Aumento da probabilidade de obter atributos adicion"&amp;"ais no modo de montagem básico.")</f>
        <v>- Otimização no modo como presentes da gangue são melhorados; obtenha mais presentes da gangue subindo níveis de gangue.
- Mudanças na Loja Planetária: o tipo e o número de itens vendidos aumentarão com base no progresso da temporada de eventos.
- Alteração em Desafios de Impasse: requisitos para desbloquear níveis; adição de uma recompensa para a primeira vez que você conclui um nível; aumento no número de itens de equipamento nas recompensas de raide.
-Aumento da probabilidade de obter atributos adicionais no modo de montagem básico.</v>
      </c>
      <c r="G25" s="108" t="str">
        <f>IFERROR(__xludf.DUMMYFUNCTION("""COMPUTED_VALUE"""),"-優化幫派禮物升級邏輯，通過提升幫派等級可以獲得更多幫派禮物獎勵；
-銀河商店調整：根據賽季節奏，增加售賣道具類型和數量；
-絕地試煉調整：關卡增加解鎖條件，增加首次通關獎勵，增加後續掃蕩獎勵中的軍備道具數量
-裝備在普通打造模式下將有更高概率獲得附加屬性")</f>
        <v>-優化幫派禮物升級邏輯，通過提升幫派等級可以獲得更多幫派禮物獎勵；
-銀河商店調整：根據賽季節奏，增加售賣道具類型和數量；
-絕地試煉調整：關卡增加解鎖條件，增加首次通關獎勵，增加後續掃蕩獎勵中的軍備道具數量
-裝備在普通打造模式下將有更高概率獲得附加屬性</v>
      </c>
      <c r="H25" s="108" t="str">
        <f>IFERROR(__xludf.DUMMYFUNCTION("""COMPUTED_VALUE"""),"- Pengoptimalan cara Hadiah Geng ditingkatkan; dapatkan lebih banyak Hadiah Geng dengan meningkatkan Level Geng.
 - Toko Planet berubah: Jenis dan jumlah item yang dijual akan meningkat berdasarkan progres musim acara.
 - Uji Coba Buntu berubah: Menambahk"&amp;"an persyaratan membuka level; meningkatkan jumlah item peralatan di hadiah penyerbuan.
-Meningkatkan peluang mendapatkan atribut tambahan dari mode perakitan dasar.")</f>
        <v>- Pengoptimalan cara Hadiah Geng ditingkatkan; dapatkan lebih banyak Hadiah Geng dengan meningkatkan Level Geng.
 - Toko Planet berubah: Jenis dan jumlah item yang dijual akan meningkat berdasarkan progres musim acara.
 - Uji Coba Buntu berubah: Menambahkan persyaratan membuka level; meningkatkan jumlah item peralatan di hadiah penyerbuan.
-Meningkatkan peluang mendapatkan atribut tambahan dari mode perakitan dasar.</v>
      </c>
      <c r="I25" s="108" t="str">
        <f>IFERROR(__xludf.DUMMYFUNCTION("""COMPUTED_VALUE"""),"- ปรับปรุงวิธีการอัปเกรดของขวัญแก๊ง คุณสามารถรับของขวัญแก๊งมากขึ้นโดยอัปเกรดเลเวลแก๊ง
- การเปลี่ยนแปลงในร้านค้าดาวเคราะห์: ประเภทและจำนวนของสินค้าที่ขายจะเพิ่มขึ้นตามความคืบหน้าของฤดูกิจกรรม
- การเปลี่ยนแปลงในการทดสอบ ณ ทางตัน: เพิ่มข้อกำหนดในการปลดล็อกไป"&amp;"ที่ระดับต่าง ๆ, เพิ่มรางวัลสำหรับการเคลียร์ด่านครั้งแรก, เพิ่มจำนวนไอเทมอุปกรณ์ในรางวัลการจู่โจม
-เพิ่มโอกาสได้คุณสมบัติเพิ่มเติมจากโหมดการประกอบแบบพื้นฐาน")</f>
        <v>- ปรับปรุงวิธีการอัปเกรดของขวัญแก๊ง คุณสามารถรับของขวัญแก๊งมากขึ้นโดยอัปเกรดเลเวลแก๊ง
- การเปลี่ยนแปลงในร้านค้าดาวเคราะห์: ประเภทและจำนวนของสินค้าที่ขายจะเพิ่มขึ้นตามความคืบหน้าของฤดูกิจกรรม
- การเปลี่ยนแปลงในการทดสอบ ณ ทางตัน: เพิ่มข้อกำหนดในการปลดล็อกไปที่ระดับต่าง ๆ, เพิ่มรางวัลสำหรับการเคลียร์ด่านครั้งแรก, เพิ่มจำนวนไอเทมอุปกรณ์ในรางวัลการจู่โจม
-เพิ่มโอกาสได้คุณสมบัติเพิ่มเติมจากโหมดการประกอบแบบพื้นฐาน</v>
      </c>
      <c r="J25" s="108" t="str">
        <f>IFERROR(__xludf.DUMMYFUNCTION("""COMPUTED_VALUE"""),"- Se optimizó la forma en que se mejoran los Regalos de la Banda; obtén más regalos de la Banda mejorando los niveles de la Banda.
- Cambios en la Tienda Planetaria: El tipo y la cantidad de artículos vendidos aumentarán de acuerdo el progreso dentro de l"&amp;"a temporada de eventos.
- Cambios en las Pruebas de Impasse: Se agregaron requisitos para el desbloqueo de niveles; se agregó una recompensa adicional por la primera vez que superas un nivel; se aumentó la cantidad de artículos de equipo en las recompensa"&amp;"s de incursión.
-Aumentó la probabilidad de obtener atributos adicionales del modo de ensamble básico.")</f>
        <v>- Se optimizó la forma en que se mejoran los Regalos de la Banda; obtén más regalos de la Banda mejorando los niveles de la Banda.
- Cambios en la Tienda Planetaria: El tipo y la cantidad de artículos vendidos aumentarán de acuerdo el progreso dentro de la temporada de eventos.
- Cambios en las Pruebas de Impasse: Se agregaron requisitos para el desbloqueo de niveles; se agregó una recompensa adicional por la primera vez que superas un nivel; se aumentó la cantidad de artículos de equipo en las recompensas de incursión.
-Aumentó la probabilidad de obtener atributos adicionales del modo de ensamble básico.</v>
      </c>
      <c r="K25" s="108" t="str">
        <f>IFERROR(__xludf.DUMMYFUNCTION("""COMPUTED_VALUE"""),"- Оптимизировано улучшение подарков банды: получайте больше подарков, повышая уровень банды.
- Изменения в планетарном магазине: тип и количество продаваемых предметов меняется в зависимости от прогресса сезона события.
- Изменения в «Испытаниях Тупика»: "&amp;"добавлены требования для открытия уровней; добавлена награда за первое прохождение уровня; увеличено количество предметов снаряжения в наградах за рейды.
-Увеличена вероятность получения добавочных показателей в режиме базовой сборки.")</f>
        <v>- Оптимизировано улучшение подарков банды: получайте больше подарков, повышая уровень банды.
- Изменения в планетарном магазине: тип и количество продаваемых предметов меняется в зависимости от прогресса сезона события.
- Изменения в «Испытаниях Тупика»: добавлены требования для открытия уровней; добавлена награда за первое прохождение уровня; увеличено количество предметов снаряжения в наградах за рейды.
-Увеличена вероятность получения добавочных показателей в режиме базовой сборки.</v>
      </c>
      <c r="L25" s="108" t="str">
        <f>IFERROR(__xludf.DUMMYFUNCTION("""COMPUTED_VALUE"""),"- Çete Hediyelerinin yükseltilme şekli optimize edildi; Çete Seviyelerini yükselterek daha fazla Çete Hediyesi al.
- Gezegen Mağazası değişiklikleri: Satılan eşyaların türü ve sayısı etkinlik sezonunun ilerlemesine göre artacak.
- Çıkmaz Durum Denemeleri "&amp;"değişiklikleri: Seviye gerekliliklerin kilidini açma eklendi; bir seviyeyi ilk kez temizlediğinizde ödül kazanma eklendi; baskın ödüllerindeki aksesuar eşyalarının sayısı artırıldı.
-Temel birleştirme modundaki ek nitelikleri alma ihtimali artırıldı.")</f>
        <v>- Çete Hediyelerinin yükseltilme şekli optimize edildi; Çete Seviyelerini yükselterek daha fazla Çete Hediyesi al.
- Gezegen Mağazası değişiklikleri: Satılan eşyaların türü ve sayısı etkinlik sezonunun ilerlemesine göre artacak.
- Çıkmaz Durum Denemeleri değişiklikleri: Seviye gerekliliklerin kilidini açma eklendi; bir seviyeyi ilk kez temizlediğinizde ödül kazanma eklendi; baskın ödüllerindeki aksesuar eşyalarının sayısı artırıldı.
-Temel birleştirme modundaki ek nitelikleri alma ihtimali artırıldı.</v>
      </c>
      <c r="M25" s="108" t="str">
        <f>IFERROR(__xludf.DUMMYFUNCTION("""COMPUTED_VALUE"""),"- Tối ưu cách nâng cấp Tặng Phẩm Bang Hội; nhận thêm Tặng Phẩm Bang Hội bằng cách nâng cấp Cấp Bang Hội.
- Thay đổi Cửa Hàng Hành Tinh: Loại và số lượng vật phẩm được bày bán sẽ tăng dựa trên tiến độ của mùa sự kiện.
- Thay đổi Thí Luyện Tuyệt Địa: Thêm c"&amp;"ác yêu cầu mở khóa vào các cấp; thêm phần thưởng cho lần đầu tiên hoàn thành một cấp; tăng số lượng vật phẩm trang bị trong thưởng đột kích.
-Tăng xác suất nhận được các thuộc tính thêm vào từ chế độ lắp ráp cơ bản.")</f>
        <v>- Tối ưu cách nâng cấp Tặng Phẩm Bang Hội; nhận thêm Tặng Phẩm Bang Hội bằng cách nâng cấp Cấp Bang Hội.
- Thay đổi Cửa Hàng Hành Tinh: Loại và số lượng vật phẩm được bày bán sẽ tăng dựa trên tiến độ của mùa sự kiện.
- Thay đổi Thí Luyện Tuyệt Địa: Thêm các yêu cầu mở khóa vào các cấp; thêm phần thưởng cho lần đầu tiên hoàn thành một cấp; tăng số lượng vật phẩm trang bị trong thưởng đột kích.
-Tăng xác suất nhận được các thuộc tính thêm vào từ chế độ lắp ráp cơ bản.</v>
      </c>
      <c r="N25" s="108"/>
      <c r="O25" s="108"/>
      <c r="P25" s="108"/>
      <c r="Q25" s="108"/>
      <c r="R25" s="108"/>
      <c r="S25" s="108"/>
      <c r="T25" s="108"/>
      <c r="U25" s="108"/>
      <c r="V25" s="108"/>
      <c r="W25" s="108"/>
      <c r="X25" s="108"/>
      <c r="Y25" s="108"/>
      <c r="Z25" s="108"/>
    </row>
    <row r="26">
      <c r="A26" s="108" t="str">
        <f>IFERROR(__xludf.DUMMYFUNCTION("""COMPUTED_VALUE"""),"0.42.0")</f>
        <v>0.42.0</v>
      </c>
      <c r="B26" s="169" t="str">
        <f>IFERROR(__xludf.DUMMYFUNCTION("""COMPUTED_VALUE"""),"-根据服务器开服时间增加了玩法的奖励产出，包括以下系统：氏族捐献排行、火箭助推、拦路巨猿排行、火箭发射、火箭发射台宝箱、一网打尽、决战卫星之巅、霍格博士的复仇
-拦路巨猿累计伤害奖励扩充档位
-银河战争中的帮派科技调整：优化各点位效果和顺序，减少等级、消耗资源和时间，帮助帮派快速成长
-银河战争中的基因编辑调整：优化各点位效果和顺序，增加新的编辑效果; 采空资源点获得基因，大幅减少科研等级，帮助玩家在银河真正中快速成长")</f>
        <v>-根据服务器开服时间增加了玩法的奖励产出，包括以下系统：氏族捐献排行、火箭助推、拦路巨猿排行、火箭发射、火箭发射台宝箱、一网打尽、决战卫星之巅、霍格博士的复仇
-拦路巨猿累计伤害奖励扩充档位
-银河战争中的帮派科技调整：优化各点位效果和顺序，减少等级、消耗资源和时间，帮助帮派快速成长
-银河战争中的基因编辑调整：优化各点位效果和顺序，增加新的编辑效果; 采空资源点获得基因，大幅减少科研等级，帮助玩家在银河真正中快速成长</v>
      </c>
      <c r="C26" s="108" t="str">
        <f>IFERROR(__xludf.DUMMYFUNCTION("""COMPUTED_VALUE"""),"- Increased rewards for certain features based on when the server opened. These features are Clan Donation rankings, Train Boost and Roadblock Giganto rankings, rocket launching, Launchpad chests, One Fell Swoop, Astral Coliseum, and Dr. Hogg's Revenge.
-"&amp;" New reward tiers added for total damage dealt in Roadblock Giganto.
- Modified Gang Research in Planet Wars: improved the effects and order of various technologies; reduced the number of levels, and resource and time costs to help your Gang develop fast."&amp;"
- Modified Gene Editing in Planet Wars: improved the effects and order of various stages and added new editing effects; get more Gene Fragments by depleting resource spots; greatly reduced the number of editing levels to help you grow quickly in Planet W"&amp;"ars.")</f>
        <v>- Increased rewards for certain features based on when the server opened. These features are Clan Donation rankings, Train Boost and Roadblock Giganto rankings, rocket launching, Launchpad chests, One Fell Swoop, Astral Coliseum, and Dr. Hogg's Revenge.
- New reward tiers added for total damage dealt in Roadblock Giganto.
- Modified Gang Research in Planet Wars: improved the effects and order of various technologies; reduced the number of levels, and resource and time costs to help your Gang develop fast.
- Modified Gene Editing in Planet Wars: improved the effects and order of various stages and added new editing effects; get more Gene Fragments by depleting resource spots; greatly reduced the number of editing levels to help you grow quickly in Planet Wars.</v>
      </c>
      <c r="D26" s="108" t="str">
        <f>IFERROR(__xludf.DUMMYFUNCTION("""COMPUTED_VALUE"""),"- Selon la date d’ouverture du serveur, augmentation des récompenses liées à certaines fonctionnalités: classements des dons au clan, classements des boosts du train et du barrage giganto, lancement de la fusée, coffres du pas de tir, Un coup fatal, Colis"&amp;"ée astral et la Revanche du Dr Hogg.
- Ajout de paliers de récompenses pour le total des dégâts infligés dans le Barrage giganto.
- Modification de la recherche de gang dans la Guerre planétaire: amélioration des effets et de l’ordre de plusieurs technolo"&amp;"gies; réduction du nombre de niveaux, des ressources et du temps nécessaires pour développer votre gang.
- Changements dans la modification génétique de la Guerre planétaire: amélioration des effets et de l’ordre de certaines étapes, et ajout d'effets de "&amp;"modification; augmentation des fragments génétiques obtenus en épuisant un point de ressources; forte réduction du nombre de niveaux de modification pour faciliter la croissance dans la Guerre planétaire.")</f>
        <v>- Selon la date d’ouverture du serveur, augmentation des récompenses liées à certaines fonctionnalités: classements des dons au clan, classements des boosts du train et du barrage giganto, lancement de la fusée, coffres du pas de tir, Un coup fatal, Colisée astral et la Revanche du Dr Hogg.
- Ajout de paliers de récompenses pour le total des dégâts infligés dans le Barrage giganto.
- Modification de la recherche de gang dans la Guerre planétaire: amélioration des effets et de l’ordre de plusieurs technologies; réduction du nombre de niveaux, des ressources et du temps nécessaires pour développer votre gang.
- Changements dans la modification génétique de la Guerre planétaire: amélioration des effets et de l’ordre de certaines étapes, et ajout d'effets de modification; augmentation des fragments génétiques obtenus en épuisant un point de ressources; forte réduction du nombre de niveaux de modification pour faciliter la croissance dans la Guerre planétaire.</v>
      </c>
      <c r="E26" s="108" t="str">
        <f>IFERROR(__xludf.DUMMYFUNCTION("""COMPUTED_VALUE"""),"- Belohnungen für bestimmte Features verbessert, abhängig davon, wann der Server eröffnet wurde. Zu diesen Features gehören: Hordenspenden-Ranglisten, Zug-Boost- und Straßensperren-Giganto-Ranglisten, Raketenstarts, Startrampen-Truhen, Auf einen Schlag, A"&amp;"stral-Kolosseum und Dr. Hoggs Rache.
 - Neue Belohnungsstufen für verursachten Gesamtschaden in Straßensperren-Giganto hinzugefügt.
 - Clan-Forschung in Planetenkriege modifiziert: Effekte und Reihenfolge bestimmter Technologien verbessert; Anzahl der Lev"&amp;"el sowie Zeit und Ressourcenkosten reduziert, damit sich dein Clan schneller entwickelt.
 - Gen-Forschung in Planetenkriege modifiziert: Effekte und Reihenfolge bestimmter Stufen verbessert und nee Bearbeitungseffekte hinzugefügt; mehr Gen-Fragmente durch"&amp;" Ausschöpfen von Ressourcenfeldern; Anzahl der Bearbeitungslevel deutlich reduziert, damit du dich in Planetenkriegen schneller entwickelst.")</f>
        <v>- Belohnungen für bestimmte Features verbessert, abhängig davon, wann der Server eröffnet wurde. Zu diesen Features gehören: Hordenspenden-Ranglisten, Zug-Boost- und Straßensperren-Giganto-Ranglisten, Raketenstarts, Startrampen-Truhen, Auf einen Schlag, Astral-Kolosseum und Dr. Hoggs Rache.
 - Neue Belohnungsstufen für verursachten Gesamtschaden in Straßensperren-Giganto hinzugefügt.
 - Clan-Forschung in Planetenkriege modifiziert: Effekte und Reihenfolge bestimmter Technologien verbessert; Anzahl der Level sowie Zeit und Ressourcenkosten reduziert, damit sich dein Clan schneller entwickelt.
 - Gen-Forschung in Planetenkriege modifiziert: Effekte und Reihenfolge bestimmter Stufen verbessert und nee Bearbeitungseffekte hinzugefügt; mehr Gen-Fragmente durch Ausschöpfen von Ressourcenfeldern; Anzahl der Bearbeitungslevel deutlich reduziert, damit du dich in Planetenkriegen schneller entwickelst.</v>
      </c>
      <c r="F26" s="108" t="str">
        <f>IFERROR(__xludf.DUMMYFUNCTION("""COMPUTED_VALUE"""),"- Aumento de recompensas para determinadas funcionalidade com base na abertura do servidor. Tais funcionalidades são: classificações de doações do clã, bônus de treinamento, classificações de Giganto Tranca-Rua, lançamento de foguetes, baú da base de lanç"&amp;"amento, De Uma Só Vez, Coliseu Astral e Vingança de Dr. Hogg.
 - Novos níveis de recompensa adicionados pelo dano total causado no Giganto Tranca-Rua.
 - Pesquisa de gangue modificada em Guerra Interplanetária: melhoria nos efeitos e ordem de várias tecno"&amp;"logias; redução do número de níveis, custos de tempo e de recursos para ajudar a gangue a se desenvolver mais rápido.
 - Edição de genes modificada em Guerra Interplanetária: melhoria nos efeitos e ordem de várias fases, além da adição de novos efeitos de"&amp;" edição; obtenha mais fragmentos de genes ao esgotar pontos de recursos; reduza consideravelmente o número de níveis de edição para crescer rapidamente em Guerra Interplanetária.")</f>
        <v>- Aumento de recompensas para determinadas funcionalidade com base na abertura do servidor. Tais funcionalidades são: classificações de doações do clã, bônus de treinamento, classificações de Giganto Tranca-Rua, lançamento de foguetes, baú da base de lançamento, De Uma Só Vez, Coliseu Astral e Vingança de Dr. Hogg.
 - Novos níveis de recompensa adicionados pelo dano total causado no Giganto Tranca-Rua.
 - Pesquisa de gangue modificada em Guerra Interplanetária: melhoria nos efeitos e ordem de várias tecnologias; redução do número de níveis, custos de tempo e de recursos para ajudar a gangue a se desenvolver mais rápido.
 - Edição de genes modificada em Guerra Interplanetária: melhoria nos efeitos e ordem de várias fases, além da adição de novos efeitos de edição; obtenha mais fragmentos de genes ao esgotar pontos de recursos; reduza consideravelmente o número de níveis de edição para crescer rapidamente em Guerra Interplanetária.</v>
      </c>
      <c r="G26" s="108" t="str">
        <f>IFERROR(__xludf.DUMMYFUNCTION("""COMPUTED_VALUE"""),"-根據服務器開服時間增加了玩法的獎勵產出，包括以下系統：氏族捐獻排行、火箭助推、攔路巨猿排行、火箭發射、火箭發射臺寶箱、一網打盡、決戰衛星之巔、霍格博士的復仇
-攔路巨猿累計傷害獎勵擴充檔位
-銀河戰爭中的幫派科技調整：優化各點位效果和順序，減少等級、消耗資源和時間，幫助幫派快速成長
-銀河戰爭中的基因編輯調整：優化各點位效果和順序，增加新的編輯效果; 采空資源點獲得基因，大幅減少科研等級，幫助玩家在銀河真正中快速成長")</f>
        <v>-根據服務器開服時間增加了玩法的獎勵產出，包括以下系統：氏族捐獻排行、火箭助推、攔路巨猿排行、火箭發射、火箭發射臺寶箱、一網打盡、決戰衛星之巔、霍格博士的復仇
-攔路巨猿累計傷害獎勵擴充檔位
-銀河戰爭中的幫派科技調整：優化各點位效果和順序，減少等級、消耗資源和時間，幫助幫派快速成長
-銀河戰爭中的基因編輯調整：優化各點位效果和順序，增加新的編輯效果; 采空資源點獲得基因，大幅減少科研等級，幫助玩家在銀河真正中快速成長</v>
      </c>
      <c r="H26" s="108" t="str">
        <f>IFERROR(__xludf.DUMMYFUNCTION("""COMPUTED_VALUE"""),"- Meningkatkan hadiah untuk fitur tertentu berdasarkan waktu server dibuka. Fitur ini adalah peringkat Donasi Klan, peringkat Boost Kereta dan Penghalang Jalan Giganto, peluncuran roket, peti Landasan Luncur, Satu Serangan, Koliseum Astral, dan Balas Dend"&amp;"am Dr. Hogg.
 - Deretan hadiah baru ditambahkan untuk jumlah kerusakan yang diberikan di Penghalang Jalan Giganto.
 - Penelitian Geng yang Dimodifikasi di Perang Planet: meningkatkan efek dan urutan berbagai teknologi; mengurangi jumlah level, dan biaya s"&amp;"umber daya serta waktu untuk membantu Gengmu mengembangkan dengan cepat.
 - Pengeditan Gen yang Dimodifikasi di Perang Planet: meningkatkan efek dan urutan berbagai tingkat dan menambahkan efek pengeditan baru; dapatkan lebih banyak Fragmen Gen dengan men"&amp;"ghabiskan titik sumber daya; mengurangi jumlah level pengeditan secara drastis untuk membantumu berkembang dengan cepat di Perang Planet.")</f>
        <v>- Meningkatkan hadiah untuk fitur tertentu berdasarkan waktu server dibuka. Fitur ini adalah peringkat Donasi Klan, peringkat Boost Kereta dan Penghalang Jalan Giganto, peluncuran roket, peti Landasan Luncur, Satu Serangan, Koliseum Astral, dan Balas Dendam Dr. Hogg.
 - Deretan hadiah baru ditambahkan untuk jumlah kerusakan yang diberikan di Penghalang Jalan Giganto.
 - Penelitian Geng yang Dimodifikasi di Perang Planet: meningkatkan efek dan urutan berbagai teknologi; mengurangi jumlah level, dan biaya sumber daya serta waktu untuk membantu Gengmu mengembangkan dengan cepat.
 - Pengeditan Gen yang Dimodifikasi di Perang Planet: meningkatkan efek dan urutan berbagai tingkat dan menambahkan efek pengeditan baru; dapatkan lebih banyak Fragmen Gen dengan menghabiskan titik sumber daya; mengurangi jumlah level pengeditan secara drastis untuk membantumu berkembang dengan cepat di Perang Planet.</v>
      </c>
      <c r="I26" s="108" t="str">
        <f>IFERROR(__xludf.DUMMYFUNCTION("""COMPUTED_VALUE"""),"- เพิ่มรางวัลในบางคุณสมบัติตามเวลาที่เซิร์ฟเวอร์เปิด คุณสมบัติดังกล่าวประกอบด้วย อันดับการบริจาคของแคลน, อันดับบูสต์จากรถไฟและกิกันโตขวางเส้นทาง, การปล่อยจรวด, หีบของฐานปล่อยจรวด, กวาดเรียบในครั้งเดียว, โคลีเซียมดวงดาว และการแก้แค้นของ ดร. ฮ็อกก์
 - เพิ่ม"&amp;"ระดับรางวัลใหม่สำหรับแดเมจที่กระทำต่อกิกันโตขวางเส้นทาง
 - แก้ไขการวิจัยของแก๊งในสงครามดาวเคราะห์: ปรับปรุงเอฟเฟกต์และลำดับของเทคโนโลยีต่าง ๆ, ลดจำนวนเลเวล ทรัพยากร และเวลาเพื่อช่วยให้แก๊งของคุณพัฒนาได้อย่างรวดเร็ว
 - แก้ไขการตัดต่อยีนในสงครามดาวเคราะห์: "&amp;"ปรับปรุงเอฟเฟกต์และลำดับของด่านต่าง ๆ รวมถึงเพิ่มเอฟเฟกต์การตัดต่อใหม่, รับชิ้นส่วนยีนได้มากขึ้นโดยการเก็บทรัพยากรมาจากแหล่งทรัพยากรจนหมด, ลดจำนวนเลเวลการตัดต่อลงอย่างมากเพื่อช่วยให้คุณเติบโตในสงครามดาวเคราะห์ได้อย่างรวดเร็ว")</f>
        <v>- เพิ่มรางวัลในบางคุณสมบัติตามเวลาที่เซิร์ฟเวอร์เปิด คุณสมบัติดังกล่าวประกอบด้วย อันดับการบริจาคของแคลน, อันดับบูสต์จากรถไฟและกิกันโตขวางเส้นทาง, การปล่อยจรวด, หีบของฐานปล่อยจรวด, กวาดเรียบในครั้งเดียว, โคลีเซียมดวงดาว และการแก้แค้นของ ดร. ฮ็อกก์
 - เพิ่มระดับรางวัลใหม่สำหรับแดเมจที่กระทำต่อกิกันโตขวางเส้นทาง
 - แก้ไขการวิจัยของแก๊งในสงครามดาวเคราะห์: ปรับปรุงเอฟเฟกต์และลำดับของเทคโนโลยีต่าง ๆ, ลดจำนวนเลเวล ทรัพยากร และเวลาเพื่อช่วยให้แก๊งของคุณพัฒนาได้อย่างรวดเร็ว
 - แก้ไขการตัดต่อยีนในสงครามดาวเคราะห์: ปรับปรุงเอฟเฟกต์และลำดับของด่านต่าง ๆ รวมถึงเพิ่มเอฟเฟกต์การตัดต่อใหม่, รับชิ้นส่วนยีนได้มากขึ้นโดยการเก็บทรัพยากรมาจากแหล่งทรัพยากรจนหมด, ลดจำนวนเลเวลการตัดต่อลงอย่างมากเพื่อช่วยให้คุณเติบโตในสงครามดาวเคราะห์ได้อย่างรวดเร็ว</v>
      </c>
      <c r="J26" s="108" t="str">
        <f>IFERROR(__xludf.DUMMYFUNCTION("""COMPUTED_VALUE"""),"- Aumento de las recompensas para ciertas funciones de acuerdo a la apertura del servidor. Estas características se convierten en clasificaciones en Donación del Clan, clasificaciones de Potenciador de Tren y Gigantopithecus en Barricada, lanzamiento de c"&amp;"ohetes, cofres de las Plataforma de Lanzamiento, Un Solo golpe, Coliseo Astral y la Venganza del Dr. Hogg.
 - Se agregaron nuevos niveles de recompensa por el daño total infligido en Gigantopithecus en Barricada.
 - Investigación de las Bandas modificada "&amp;"para las Guerras Planetarias: Se mejoraron los efectos y el orden de varias tecnologías; reducción en la cantidad de niveles y los costos de recursos y tiempo para ayudar a que tu Banda se desarrolle rápidamente.
 - Edición de genes modificada para las Gu"&amp;"erras Planetarias: Se mejoraron los efectos y el orden de varias etapas y se agregaron nuevos efectos de edición; obtén más Fragmentos de Genes agotando los puntos de recursos; se redujo en gran medida la cantidad de niveles de edición para ayudarte a cre"&amp;"cer más rápidamente en las Guerras Planetarias.")</f>
        <v>- Aumento de las recompensas para ciertas funciones de acuerdo a la apertura del servidor. Estas características se convierten en clasificaciones en Donación del Clan, clasificaciones de Potenciador de Tren y Gigantopithecus en Barricada, lanzamiento de cohetes, cofres de las Plataforma de Lanzamiento, Un Solo golpe, Coliseo Astral y la Venganza del Dr. Hogg.
 - Se agregaron nuevos niveles de recompensa por el daño total infligido en Gigantopithecus en Barricada.
 - Investigación de las Bandas modificada para las Guerras Planetarias: Se mejoraron los efectos y el orden de varias tecnologías; reducción en la cantidad de niveles y los costos de recursos y tiempo para ayudar a que tu Banda se desarrolle rápidamente.
 - Edición de genes modificada para las Guerras Planetarias: Se mejoraron los efectos y el orden de varias etapas y se agregaron nuevos efectos de edición; obtén más Fragmentos de Genes agotando los puntos de recursos; se redujo en gran medida la cantidad de niveles de edición para ayudarte a crecer más rápidamente en las Guerras Planetarias.</v>
      </c>
      <c r="K26" s="108" t="str">
        <f>IFERROR(__xludf.DUMMYFUNCTION("""COMPUTED_VALUE"""),"- Увеличены определенные награды в зависимости от времени открытия сервера. Это относится к следующим наградам: рейтинг пожертвований клану, рейтинг усиления обучения, рейтинг «Блокпоста Гиганто», запуск ракет, сундуки стартплощадки, «Одним махом», Астрал"&amp;"ьный Колизей и «Месть доктора Хогга».
- Добавлены новые уровни наград за общий урон, нанесенный на «Блокпосту Гиганто».
- Изменены исследования банды в планетарных войнах: улучшены эффекты и порядок различных технологий; уменьшено количество уровней, а та"&amp;"кже затраты ресурсов и времени, чтобы помочь вашей банде быстрее развиваться.
- Изменено редактирование генов в планетарных войнах: улучшены эффекты и порядок различных этапов и добавлены новые эффекты редактирования; повышено количество фрагментов генов "&amp;"за истощение точек ресурсов; значительно уменьшено количество уровней редактирования, чтобы помочь вам быстрее развиваться в планетарных войнах.")</f>
        <v>- Увеличены определенные награды в зависимости от времени открытия сервера. Это относится к следующим наградам: рейтинг пожертвований клану, рейтинг усиления обучения, рейтинг «Блокпоста Гиганто», запуск ракет, сундуки стартплощадки, «Одним махом», Астральный Колизей и «Месть доктора Хогга».
- Добавлены новые уровни наград за общий урон, нанесенный на «Блокпосту Гиганто».
- Изменены исследования банды в планетарных войнах: улучшены эффекты и порядок различных технологий; уменьшено количество уровней, а также затраты ресурсов и времени, чтобы помочь вашей банде быстрее развиваться.
- Изменено редактирование генов в планетарных войнах: улучшены эффекты и порядок различных этапов и добавлены новые эффекты редактирования; повышено количество фрагментов генов за истощение точек ресурсов; значительно уменьшено количество уровней редактирования, чтобы помочь вам быстрее развиваться в планетарных войнах.</v>
      </c>
      <c r="L26" s="108" t="str">
        <f>IFERROR(__xludf.DUMMYFUNCTION("""COMPUTED_VALUE"""),"- Sunucunun ne zaman açıldığına bağlı olarak bazı özelliklerin ödülleri artırıldı. Bu özellikler Klan Bağışı sıralaması, Tren Güçlendirmesi ve Bariyer Giganto sıralamaları, roket fırlatması, Fırlatma Rampası sandıkları, Bir Hamlede, Yıldız Kolezyumu ve Dr"&amp;". Hogg'un İntikamıdır.
 - Bariyer Gigantoda verilen toplam hasar için yeni ödül kademeleri eklendi.
 - Gezegen Savaşlarında Çete Araştırması değiştirildi: Çeşitli teknolojilerin etkisi ve sırası geliştirildi. Çetenin daha hızlı gelişmesi için seviye sayıs"&amp;"ı, harcaman gereken süre ve kaynaklar azaltıldı.
 - Gezegen Savaşlarında Gen Düzenleme değiştirildi: Çeşitli aşamaların etkileri ve sıralaması geliştirildi ve yeni düzenleme etkileri eklendi. Kaynak noktalarını tüketerek daha fazla Gen Parçası alabilirsin"&amp;". Gezegen Savaşlarında daha hızlı büyümen için düzenleme seviyelerinin sayısı büyük oranda azaltıldı.")</f>
        <v>- Sunucunun ne zaman açıldığına bağlı olarak bazı özelliklerin ödülleri artırıldı. Bu özellikler Klan Bağışı sıralaması, Tren Güçlendirmesi ve Bariyer Giganto sıralamaları, roket fırlatması, Fırlatma Rampası sandıkları, Bir Hamlede, Yıldız Kolezyumu ve Dr. Hogg'un İntikamıdır.
 - Bariyer Gigantoda verilen toplam hasar için yeni ödül kademeleri eklendi.
 - Gezegen Savaşlarında Çete Araştırması değiştirildi: Çeşitli teknolojilerin etkisi ve sırası geliştirildi. Çetenin daha hızlı gelişmesi için seviye sayısı, harcaman gereken süre ve kaynaklar azaltıldı.
 - Gezegen Savaşlarında Gen Düzenleme değiştirildi: Çeşitli aşamaların etkileri ve sıralaması geliştirildi ve yeni düzenleme etkileri eklendi. Kaynak noktalarını tüketerek daha fazla Gen Parçası alabilirsin. Gezegen Savaşlarında daha hızlı büyümen için düzenleme seviyelerinin sayısı büyük oranda azaltıldı.</v>
      </c>
      <c r="M26" s="108" t="str">
        <f>IFERROR(__xludf.DUMMYFUNCTION("""COMPUTED_VALUE"""),"- Tăng thưởng cho những sự kiện nhất định dựa trên thời gian mở máy chủ. Những tính năng này là thứ hạng Quyên Góp Bộ Lạc, thứ hạng Tăng Cường Xe Lửa và Rào Cản Vượn Khổng Lồ, phóng hỏa tiễn, rương Bệ Phóng, Một Lưới Hốt Trọn, Đại Đấu Trường Thiên Thể và "&amp;"Trận Phục Thù của Tiến Sĩ Hogg.
 - Đã thêm các bậc thưởng mới cho sát thương gây ra trong Rào Cản Vượn Khổng Lồ.
 - Đã điều chỉnh Nghiên Cứu Bang Hội trong Chiến Tranh Hành Tinh: cải thiện các hiệu ứng và thứ tự các công nghệ; giảm số lượng cấp, chi phí t"&amp;"ài nguyên và thời gian cần để hỗ trợ Bang Hội của bạn phát triển nhanh hơn.
 - Điều chỉnh Chỉnh Sửa Gen trong Chiến Tranh Hành Tinh: cải thiện hiệu ứng và thứ tự các màn đồng thời thêm hiệu ứng chỉnh sửa mới; nhận thêm các Mảnh Gen bằng cách khai thác các"&amp;" điểm tài nguyên; giảm đáng kể số lượng cấp chỉnh sửa để giúp bạn phát triển nhanh chóng trong Chiến Tranh Hành Tinh.")</f>
        <v>- Tăng thưởng cho những sự kiện nhất định dựa trên thời gian mở máy chủ. Những tính năng này là thứ hạng Quyên Góp Bộ Lạc, thứ hạng Tăng Cường Xe Lửa và Rào Cản Vượn Khổng Lồ, phóng hỏa tiễn, rương Bệ Phóng, Một Lưới Hốt Trọn, Đại Đấu Trường Thiên Thể và Trận Phục Thù của Tiến Sĩ Hogg.
 - Đã thêm các bậc thưởng mới cho sát thương gây ra trong Rào Cản Vượn Khổng Lồ.
 - Đã điều chỉnh Nghiên Cứu Bang Hội trong Chiến Tranh Hành Tinh: cải thiện các hiệu ứng và thứ tự các công nghệ; giảm số lượng cấp, chi phí tài nguyên và thời gian cần để hỗ trợ Bang Hội của bạn phát triển nhanh hơn.
 - Điều chỉnh Chỉnh Sửa Gen trong Chiến Tranh Hành Tinh: cải thiện hiệu ứng và thứ tự các màn đồng thời thêm hiệu ứng chỉnh sửa mới; nhận thêm các Mảnh Gen bằng cách khai thác các điểm tài nguyên; giảm đáng kể số lượng cấp chỉnh sửa để giúp bạn phát triển nhanh chóng trong Chiến Tranh Hành Tinh.</v>
      </c>
      <c r="N26" s="108"/>
      <c r="O26" s="108"/>
      <c r="P26" s="108"/>
      <c r="Q26" s="108"/>
      <c r="R26" s="108"/>
      <c r="S26" s="108"/>
      <c r="T26" s="108"/>
      <c r="U26" s="108"/>
      <c r="V26" s="108"/>
      <c r="W26" s="108"/>
      <c r="X26" s="108"/>
      <c r="Y26" s="108"/>
      <c r="Z26" s="108"/>
    </row>
    <row r="27">
      <c r="A27" s="108" t="str">
        <f>IFERROR(__xludf.DUMMYFUNCTION("""COMPUTED_VALUE"""),"0.43.0")</f>
        <v>0.43.0</v>
      </c>
      <c r="B27" s="108" t="str">
        <f>IFERROR(__xludf.DUMMYFUNCTION("""COMPUTED_VALUE"""),"-根据服务器开服时间增加了玩法的奖励产出，包括以下系统：氏族捐献排行、火箭助推、拦路巨猿排行、火箭发射、火箭发射台宝箱、一网打尽、决战卫星之巅、霍格博士的复仇
-增加城市护盾在各个系统中的产出
-在银河商店和军功商店中增加了治疗加速的兑换，银河战争玩法中增加了治疗加速的产出，活动玩法中将部分其他加速道具调整为治疗加速
-根据服务器开服时间增加了7级资源点，采集完成可额外获得军备相关材料
-回收商店中调整了电池道具、光谱芯片和战争图纸的价格")</f>
        <v>-根据服务器开服时间增加了玩法的奖励产出，包括以下系统：氏族捐献排行、火箭助推、拦路巨猿排行、火箭发射、火箭发射台宝箱、一网打尽、决战卫星之巅、霍格博士的复仇
-增加城市护盾在各个系统中的产出
-在银河商店和军功商店中增加了治疗加速的兑换，银河战争玩法中增加了治疗加速的产出，活动玩法中将部分其他加速道具调整为治疗加速
-根据服务器开服时间增加了7级资源点，采集完成可额外获得军备相关材料
-回收商店中调整了电池道具、光谱芯片和战争图纸的价格</v>
      </c>
      <c r="C27" s="108" t="str">
        <f>IFERROR(__xludf.DUMMYFUNCTION("""COMPUTED_VALUE"""),"- Increased rewards for certain features based on when servers opened. These features include Clan Donation rankings, Train Boost and Roadblock Giganto rankings, rocket launching, Launchpad chests, One Fell Swoop, Astral Coliseum, and Dr. Hogg's Revenge.
"&amp;"- Increased City Shield rewards in various features.
- You can now exchange for healing speedups in the Planetary and Clan Honors Shop; increased healing speedup rewards in Planet Wars and changed certain speedup items to healing speedups.
- Added Lv. 7 r"&amp;"esource spots based on when servers opened. Deplete these to get Gear materials as a bonus.
- Adjusted the prices of Battery items, Spectrum Chips, and Gang Battle Maps in the exchange shop.")</f>
        <v>- Increased rewards for certain features based on when servers opened. These features include Clan Donation rankings, Train Boost and Roadblock Giganto rankings, rocket launching, Launchpad chests, One Fell Swoop, Astral Coliseum, and Dr. Hogg's Revenge.
- Increased City Shield rewards in various features.
- You can now exchange for healing speedups in the Planetary and Clan Honors Shop; increased healing speedup rewards in Planet Wars and changed certain speedup items to healing speedups.
- Added Lv. 7 resource spots based on when servers opened. Deplete these to get Gear materials as a bonus.
- Adjusted the prices of Battery items, Spectrum Chips, and Gang Battle Maps in the exchange shop.</v>
      </c>
      <c r="D27" s="108" t="str">
        <f>IFERROR(__xludf.DUMMYFUNCTION("""COMPUTED_VALUE"""),"- Selon la date d’ouverture du serveur, augmentation des récompenses liées à certaines fonctionnalités, notamment les classements des dons au clan, les classements du Boost du train et du Barrage giganto, le lancement de la fusée, les coffres du pas de ti"&amp;"r, Un coup fatal, le Colisée astral et la Revanche du Dr Hogg.
- Augmentation des récompenses en bouclier de ville dans certaines fonctionnalités.
- Vous pouvez désormais échanger des accélérateurs de soin dans la boutique planétaire et la boutique d'honn"&amp;"eur du clan; augmentation des récompenses en accélérateurs de soin dans la Guerre planétaire; certains accélérateurs ont été remplacés par des accélérateurs de soin.
- Selon la date d'ouverture du serveur, ajout de points de ressources de niv.7; épuisez-l"&amp;"es pour obtenir des matériaux d'équipement supplémentaires.
- Ajustement du prix des batteries, des puces et des cartes de combats de gang dans la boutique d'échange.
")</f>
        <v>- Selon la date d’ouverture du serveur, augmentation des récompenses liées à certaines fonctionnalités, notamment les classements des dons au clan, les classements du Boost du train et du Barrage giganto, le lancement de la fusée, les coffres du pas de tir, Un coup fatal, le Colisée astral et la Revanche du Dr Hogg.
- Augmentation des récompenses en bouclier de ville dans certaines fonctionnalités.
- Vous pouvez désormais échanger des accélérateurs de soin dans la boutique planétaire et la boutique d'honneur du clan; augmentation des récompenses en accélérateurs de soin dans la Guerre planétaire; certains accélérateurs ont été remplacés par des accélérateurs de soin.
- Selon la date d'ouverture du serveur, ajout de points de ressources de niv.7; épuisez-les pour obtenir des matériaux d'équipement supplémentaires.
- Ajustement du prix des batteries, des puces et des cartes de combats de gang dans la boutique d'échange.
</v>
      </c>
      <c r="E27" s="108" t="str">
        <f>IFERROR(__xludf.DUMMYFUNCTION("""COMPUTED_VALUE"""),"- Belohnungen für bestimmte Features verbessert, abhängig davon, wann die Server geöffnet wurden. Diese Features umfassen Ranglisten für Clan-Spenden, Zug-Boost- und Straßensperren-Giganto-Ranglisten, Raketenstarts, Startrampen-Truhen, Auf einen Schlag, A"&amp;"stral-Kolosseum und Dr. Hoggs Rache.
 - Die Belohnungen für Stadtschilde wurden in verschiedenen Features erhöht.
 - Im Shop für Planetenkriege und Horden-Ehren kannst du jetzt Heilungsbeschleuniger eintauschen; die Belohnungen für Heilungsbeschleuniger i"&amp;"n Planetenkriegen wurden erhöht und bestimmte Beschleuniger-Items wurden in Heilungsbeschleuniger umgewandelt.
 - Es wurden Ressourcenquellen der Stufe 7 hinzugefügt, abhängig davon, wann die Server geöffnet wurden. Wenn du diese aufbrauchst, erhältst du "&amp;"Ausrüstungsmaterialien als Bonus.
 - Die Preise für Batteriegegenstände, Spektrumsplitter und Clan-Kampfkarten im Tauschladen wurden angepasst.")</f>
        <v>- Belohnungen für bestimmte Features verbessert, abhängig davon, wann die Server geöffnet wurden. Diese Features umfassen Ranglisten für Clan-Spenden, Zug-Boost- und Straßensperren-Giganto-Ranglisten, Raketenstarts, Startrampen-Truhen, Auf einen Schlag, Astral-Kolosseum und Dr. Hoggs Rache.
 - Die Belohnungen für Stadtschilde wurden in verschiedenen Features erhöht.
 - Im Shop für Planetenkriege und Horden-Ehren kannst du jetzt Heilungsbeschleuniger eintauschen; die Belohnungen für Heilungsbeschleuniger in Planetenkriegen wurden erhöht und bestimmte Beschleuniger-Items wurden in Heilungsbeschleuniger umgewandelt.
 - Es wurden Ressourcenquellen der Stufe 7 hinzugefügt, abhängig davon, wann die Server geöffnet wurden. Wenn du diese aufbrauchst, erhältst du Ausrüstungsmaterialien als Bonus.
 - Die Preise für Batteriegegenstände, Spektrumsplitter und Clan-Kampfkarten im Tauschladen wurden angepasst.</v>
      </c>
      <c r="F27" s="108" t="str">
        <f>IFERROR(__xludf.DUMMYFUNCTION("""COMPUTED_VALUE"""),"- Aumento de recompensas para determinadas funcionalidades baseadas na abertura de servidores. Tais funcionalidades são: classificações de doações do clã, classificações de bônus de treinamento e de Giganto Tranca-Rua, lançamento de foguetes, baú da base "&amp;"de lançamento, De Uma Só Vez, Coliseu Astral e Vingança de Dr. Hogg.
 - Aumento de recompensas de escudo da cidade em várias funcionalidades.
 - Agora você pode trocar aceleradores de cura na loja de honras do clã e na loja planetária; aumento de recompen"&amp;"sas de aceleradores de cura em Guerra Interplanetária e mudança de certos itens aceleradores para aceleradores de cura.
 - Adicionados pontos de recursos Nv.7 baseados no momento de abertura de servidores. Esgote-os para obter materiais de equipamento com"&amp;"o bônus.
 - Ajuste nos preços de pilhas, chips de espectro e mapas de batalha de gangue na loja de trocas.")</f>
        <v>- Aumento de recompensas para determinadas funcionalidades baseadas na abertura de servidores. Tais funcionalidades são: classificações de doações do clã, classificações de bônus de treinamento e de Giganto Tranca-Rua, lançamento de foguetes, baú da base de lançamento, De Uma Só Vez, Coliseu Astral e Vingança de Dr. Hogg.
 - Aumento de recompensas de escudo da cidade em várias funcionalidades.
 - Agora você pode trocar aceleradores de cura na loja de honras do clã e na loja planetária; aumento de recompensas de aceleradores de cura em Guerra Interplanetária e mudança de certos itens aceleradores para aceleradores de cura.
 - Adicionados pontos de recursos Nv.7 baseados no momento de abertura de servidores. Esgote-os para obter materiais de equipamento como bônus.
 - Ajuste nos preços de pilhas, chips de espectro e mapas de batalha de gangue na loja de trocas.</v>
      </c>
      <c r="G27" s="108" t="str">
        <f>IFERROR(__xludf.DUMMYFUNCTION("""COMPUTED_VALUE"""),"-根據服務器開服時間增加了玩法的獎勵產出，包括以下系統：氏族捐獻排行、火箭助推、攔路巨猿排行、火箭發射、火箭發射臺寶箱、一網打盡、決戰衛星之巔、霍格博士的復仇
-增加城市護盾在各個系統中的產出
-在銀河商店和軍功商店中增加了治療加速的兌換，銀河戰爭玩法中增加了治療加速的產出，活動玩法中將部分其他加速道具調整爲治療加速
-根據服務器開服時間增加了7級資源點，採集完成可額外獲得軍備相關材料
-回收商店中調整了電池道具、光譜芯片和戰爭圖紙的價格")</f>
        <v>-根據服務器開服時間增加了玩法的獎勵產出，包括以下系統：氏族捐獻排行、火箭助推、攔路巨猿排行、火箭發射、火箭發射臺寶箱、一網打盡、決戰衛星之巔、霍格博士的復仇
-增加城市護盾在各個系統中的產出
-在銀河商店和軍功商店中增加了治療加速的兌換，銀河戰爭玩法中增加了治療加速的產出，活動玩法中將部分其他加速道具調整爲治療加速
-根據服務器開服時間增加了7級資源點，採集完成可額外獲得軍備相關材料
-回收商店中調整了電池道具、光譜芯片和戰爭圖紙的價格</v>
      </c>
      <c r="H27" s="108" t="str">
        <f>IFERROR(__xludf.DUMMYFUNCTION("""COMPUTED_VALUE"""),"- Meningkatkan hadiah gameplay sesuai dengan waktu pembukaan server, termasuk: Peringkat Kontribusi Klan, Pendorong Roket, Peringkat Penghalang Jalan Giganto, Peti Landasan Luncur, Satu Serangan, Koloseum Astral, Pembalasan Dr. Hogg.
- Meningkatkan perisa"&amp;"i kota di berbagai sistem.
- Meningkatkan pemulihan penukaran di Toko Planet dan Toko Kehormatan, meningkatkan pemulihan produksi di gameplay Perang Planet, juga penyesuaian beberapa item percepatan untuk percepatan pemulihan di beberapa gameplay.
- Menam"&amp;"bahkan titik sumber daya Lv.7 sesuai dengan waktu pembukaan server, dapatkan bonus senjata terkait setelah pengumpulan selesai.
- Penyesuaian harga item baterai, chip spektrum dan peta pertempuran Geng di Toko Daur Ulang.")</f>
        <v>- Meningkatkan hadiah gameplay sesuai dengan waktu pembukaan server, termasuk: Peringkat Kontribusi Klan, Pendorong Roket, Peringkat Penghalang Jalan Giganto, Peti Landasan Luncur, Satu Serangan, Koloseum Astral, Pembalasan Dr. Hogg.
- Meningkatkan perisai kota di berbagai sistem.
- Meningkatkan pemulihan penukaran di Toko Planet dan Toko Kehormatan, meningkatkan pemulihan produksi di gameplay Perang Planet, juga penyesuaian beberapa item percepatan untuk percepatan pemulihan di beberapa gameplay.
- Menambahkan titik sumber daya Lv.7 sesuai dengan waktu pembukaan server, dapatkan bonus senjata terkait setelah pengumpulan selesai.
- Penyesuaian harga item baterai, chip spektrum dan peta pertempuran Geng di Toko Daur Ulang.</v>
      </c>
      <c r="I27" s="108" t="str">
        <f>IFERROR(__xludf.DUMMYFUNCTION("""COMPUTED_VALUE"""),"- รางวัลที่เพิ่มขึ้นสำหรับคุณสมบัติที่กำหนดโดยขึ้นอยู่กับว่าเซิร์ฟเวอร์เปิดเมื่อไหร่ คุณสมบัติเหล่านี้รวมถึงอันดับการบริจาคแคลน, อันดับบูสต์จากรถไฟและกิกันโตขวางเส้นทาง, การยิงจรวด, หีบฐานยิงจรวด, ทั้งหมดในคราวเดียว, โคลีเซียมดวงดาว และการแก้แค้นของ ดร. ฮ"&amp;"็อกก์
 - รางวัลโล่เมืองที่เพิ่มขึ้นในคุณสมบัติหลายอย่าง
 - ตอนนี้คุณสามารถแลกเปลี่ยนไอเทมเร่งความเร็วการรักษาในร้านค้าดาวเคราะห์และร้านค้าเกียรติยศแคลน รางวัลไอเทมเร่งความเร็วการรักษาเพิ่มขึ้นในสงครามดาวเคราะห์และไอเทมเร่งความเร็วบางอย่างจะถูกเปลี่ยนเป็นไ"&amp;"อเทมเร่งความเร็วการรักษา
 - เพิ่มจุดทรัพยากรเลเวล 7 โดยขึ้นอยู่กับว่าเซิร์ฟเวอร์เปิดเมื่อไหร่ เก็บทรัพยากรเหล่านี้ให้หมดเพื่อรับวัสดุอาวุธ
 - ปรับเปลี่ยนราคาของไอเทมแบตเตอรี่, ชิปสเปคตรัม และแผนที่การต่อสู้ของแก๊งในร้านค้าแลกเปลี่ยน")</f>
        <v>- รางวัลที่เพิ่มขึ้นสำหรับคุณสมบัติที่กำหนดโดยขึ้นอยู่กับว่าเซิร์ฟเวอร์เปิดเมื่อไหร่ คุณสมบัติเหล่านี้รวมถึงอันดับการบริจาคแคลน, อันดับบูสต์จากรถไฟและกิกันโตขวางเส้นทาง, การยิงจรวด, หีบฐานยิงจรวด, ทั้งหมดในคราวเดียว, โคลีเซียมดวงดาว และการแก้แค้นของ ดร. ฮ็อกก์
 - รางวัลโล่เมืองที่เพิ่มขึ้นในคุณสมบัติหลายอย่าง
 - ตอนนี้คุณสามารถแลกเปลี่ยนไอเทมเร่งความเร็วการรักษาในร้านค้าดาวเคราะห์และร้านค้าเกียรติยศแคลน รางวัลไอเทมเร่งความเร็วการรักษาเพิ่มขึ้นในสงครามดาวเคราะห์และไอเทมเร่งความเร็วบางอย่างจะถูกเปลี่ยนเป็นไอเทมเร่งความเร็วการรักษา
 - เพิ่มจุดทรัพยากรเลเวล 7 โดยขึ้นอยู่กับว่าเซิร์ฟเวอร์เปิดเมื่อไหร่ เก็บทรัพยากรเหล่านี้ให้หมดเพื่อรับวัสดุอาวุธ
 - ปรับเปลี่ยนราคาของไอเทมแบตเตอรี่, ชิปสเปคตรัม และแผนที่การต่อสู้ของแก๊งในร้านค้าแลกเปลี่ยน</v>
      </c>
      <c r="J27" s="108" t="str">
        <f>IFERROR(__xludf.DUMMYFUNCTION("""COMPUTED_VALUE"""),"- Aumento de las recompensas para algunas funciones de acuerdo a la fecha de apertura del servidor. Estas funciones incluyen las clasificaciones en Donación del Clan, clasificaciones de Potenciador de Tren y Gigantopithecus en Barricada, lanzamiento de co"&amp;"hetes, cofres de la Plataforma de Lanzamiento, Un Solo golpe, Coliseo Astral y la Venganza del Dr. Hogg.
 - Aumento de las recompensas del Escudo de Ciudad en varias funciones.
 - Ahora puedes intercambiar por aceleradores de curación en la Tienda de Hono"&amp;"res Planetaria y de Clan; aumento en las recompensas de aceleradores de curación en las Guerras Planetarias y se cambiaron algunos artículos aceleradores a aceleradores de curación.
 - Se añadieron puntos de recursos de Nvl. 7 de acuerdo a la fecha de ape"&amp;"rtura de los servidores. Agótalos para obtener materiales de Equipo como bonificación.
 - Se ajustaron los precios de los artículos de Batería, Chips Espectrales y Mapas de Batalla de la Banda en la tienda de intercambio.")</f>
        <v>- Aumento de las recompensas para algunas funciones de acuerdo a la fecha de apertura del servidor. Estas funciones incluyen las clasificaciones en Donación del Clan, clasificaciones de Potenciador de Tren y Gigantopithecus en Barricada, lanzamiento de cohetes, cofres de la Plataforma de Lanzamiento, Un Solo golpe, Coliseo Astral y la Venganza del Dr. Hogg.
 - Aumento de las recompensas del Escudo de Ciudad en varias funciones.
 - Ahora puedes intercambiar por aceleradores de curación en la Tienda de Honores Planetaria y de Clan; aumento en las recompensas de aceleradores de curación en las Guerras Planetarias y se cambiaron algunos artículos aceleradores a aceleradores de curación.
 - Se añadieron puntos de recursos de Nvl. 7 de acuerdo a la fecha de apertura de los servidores. Agótalos para obtener materiales de Equipo como bonificación.
 - Se ajustaron los precios de los artículos de Batería, Chips Espectrales y Mapas de Batalla de la Banda en la tienda de intercambio.</v>
      </c>
      <c r="K27" s="108" t="str">
        <f>IFERROR(__xludf.DUMMYFUNCTION("""COMPUTED_VALUE"""),"- Увеличены определенные награды в зависимости от времени открытия серверов. Это относится к следующим наградам: рейтинг пожертвований клану, рейтинг усиления обучения, рейтинг «Блокпоста Гиганто», запуск ракет, сундуки стартплощадки, «Одним махом», Астра"&amp;"льный Колизей и «Месть доктора Хогга».
- Увеличены награды за городской щит в различных функциях.
- Теперь в планетарном магазине и магазине чести клана для обмена доступны ускорители лечения; в «Планетарных войнах» увеличены награды за ускорение лечения "&amp;"и некоторые ускорители изменены на ускорители лечения.
- Добавлены точки ресурсов 7-го уровня в зависимости от времени открытия серверов. Истощите их, чтобы получить материалы для снаряжения в качестве бонуса.
- В магазине обмена скорректированы цены на б"&amp;"атарейки, спектральные чипы и карты сражений банды.")</f>
        <v>- Увеличены определенные награды в зависимости от времени открытия серверов. Это относится к следующим наградам: рейтинг пожертвований клану, рейтинг усиления обучения, рейтинг «Блокпоста Гиганто», запуск ракет, сундуки стартплощадки, «Одним махом», Астральный Колизей и «Месть доктора Хогга».
- Увеличены награды за городской щит в различных функциях.
- Теперь в планетарном магазине и магазине чести клана для обмена доступны ускорители лечения; в «Планетарных войнах» увеличены награды за ускорение лечения и некоторые ускорители изменены на ускорители лечения.
- Добавлены точки ресурсов 7-го уровня в зависимости от времени открытия серверов. Истощите их, чтобы получить материалы для снаряжения в качестве бонуса.
- В магазине обмена скорректированы цены на батарейки, спектральные чипы и карты сражений банды.</v>
      </c>
      <c r="L27" s="108" t="str">
        <f>IFERROR(__xludf.DUMMYFUNCTION("""COMPUTED_VALUE"""),"- Sunucuların açıldığı zamana bağlı olarak bazı özelliklerin ödülleri yükseltildi. Bu özellikler Klan Bağışı sıralamaları, Tren Güçlendirmesi ve Bariyer Giganto sıralamaları, roket fırlatması, Fırlatma Rampası sandıkları, Bir Hamlede, Yıldız Kolezyumu ve "&amp;"Dr. Hogg'un İntikamını içeriyor.
- Çeşitli özelliklerde Şehir Kalkanı ödülleri yükseltildi.
- Artık iyileştirme hızlandırıcılarını Gezegen ve Klan Onuru Mağazasından alabilirsin. Gezegen Savaşlarında iyileştirme hızlandırıcısı ödülleri artırıldı ve bazı h"&amp;"ızlandırıcı eşyaları, iyileştirme hızlandırıcısı olacak şekilde değiştirildi.
- Sunucuların ne zaman açıldığına bağlı olarak 7. Seviye kaynak noktaları eklendi.
- Takas mağazasındaki Batarya eşyalarının, Spektrum Çipinin ve Çete Savaşı Haritalarının fiyat"&amp;"ları düzenlendi.
")</f>
        <v>- Sunucuların açıldığı zamana bağlı olarak bazı özelliklerin ödülleri yükseltildi. Bu özellikler Klan Bağışı sıralamaları, Tren Güçlendirmesi ve Bariyer Giganto sıralamaları, roket fırlatması, Fırlatma Rampası sandıkları, Bir Hamlede, Yıldız Kolezyumu ve Dr. Hogg'un İntikamını içeriyor.
- Çeşitli özelliklerde Şehir Kalkanı ödülleri yükseltildi.
- Artık iyileştirme hızlandırıcılarını Gezegen ve Klan Onuru Mağazasından alabilirsin. Gezegen Savaşlarında iyileştirme hızlandırıcısı ödülleri artırıldı ve bazı hızlandırıcı eşyaları, iyileştirme hızlandırıcısı olacak şekilde değiştirildi.
- Sunucuların ne zaman açıldığına bağlı olarak 7. Seviye kaynak noktaları eklendi.
- Takas mağazasındaki Batarya eşyalarının, Spektrum Çipinin ve Çete Savaşı Haritalarının fiyatları düzenlendi.
</v>
      </c>
      <c r="M27" s="108" t="str">
        <f>IFERROR(__xludf.DUMMYFUNCTION("""COMPUTED_VALUE"""),"- Dựa vào thời gian mở server tăng thêm phần thưởng khi tham gia các lối chơi, bao gồm các hệ thống sau: Xếp Hạng Quyên Góp Bộ Lạc, Tăng Cường Hoả Tiễn, Xếp Hạng Rào Cản Vượn Khổng Lồ, Phóng Hỏa Tiễn Lên, Rương Bệ Phóng, Một Lưới Hốt Trọn, Đại Đấu Trường "&amp;"Thiên Thể, Trận Phục Thù Của Tiến Sĩ Hogg
- Tăng sản lượng Khiên Chắn Thành Phố nhận được trong các kiểu hệ thống
- Tăng lượng đổi Tăng Tốc Trị Thương trong Cửa Hàng Hành Tinh và Cửa Hàng Vinh Dự, tăng sản lượng Tăng Tốc Trị Thương trong Chiến Tranh Hành "&amp;"Tinh, trong các lối chơi sự kiện sẽ đem một số đạo cụ tăng tốc khác điều chỉnh thành Tăng Tốc Trị Thương
- Dựa vào thời gian mở server tăng thêm Điểm Tài Nguyên Cấp 7, thu thập xong có thể nhận được thêm vật liệu liên quan đến vũ khí
- Đã điều chỉnh giá c"&amp;"ủa Pin, Chip Quang Phổ và Bản Đồ Bang Chiến trong Cửa Hàng Thu Hồi")</f>
        <v>- Dựa vào thời gian mở server tăng thêm phần thưởng khi tham gia các lối chơi, bao gồm các hệ thống sau: Xếp Hạng Quyên Góp Bộ Lạc, Tăng Cường Hoả Tiễn, Xếp Hạng Rào Cản Vượn Khổng Lồ, Phóng Hỏa Tiễn Lên, Rương Bệ Phóng, Một Lưới Hốt Trọn, Đại Đấu Trường Thiên Thể, Trận Phục Thù Của Tiến Sĩ Hogg
- Tăng sản lượng Khiên Chắn Thành Phố nhận được trong các kiểu hệ thống
- Tăng lượng đổi Tăng Tốc Trị Thương trong Cửa Hàng Hành Tinh và Cửa Hàng Vinh Dự, tăng sản lượng Tăng Tốc Trị Thương trong Chiến Tranh Hành Tinh, trong các lối chơi sự kiện sẽ đem một số đạo cụ tăng tốc khác điều chỉnh thành Tăng Tốc Trị Thương
- Dựa vào thời gian mở server tăng thêm Điểm Tài Nguyên Cấp 7, thu thập xong có thể nhận được thêm vật liệu liên quan đến vũ khí
- Đã điều chỉnh giá của Pin, Chip Quang Phổ và Bản Đồ Bang Chiến trong Cửa Hàng Thu Hồi</v>
      </c>
      <c r="N27" s="108"/>
      <c r="O27" s="108"/>
      <c r="P27" s="108"/>
      <c r="Q27" s="108"/>
      <c r="R27" s="108"/>
      <c r="S27" s="108"/>
      <c r="T27" s="108"/>
      <c r="U27" s="108"/>
      <c r="V27" s="108"/>
      <c r="W27" s="108"/>
      <c r="X27" s="108"/>
      <c r="Y27" s="108"/>
      <c r="Z27" s="108"/>
    </row>
    <row r="28">
      <c r="A28" s="108" t="str">
        <f>IFERROR(__xludf.DUMMYFUNCTION("""COMPUTED_VALUE"""),"0.45.0")</f>
        <v>0.45.0</v>
      </c>
      <c r="B28" s="108" t="str">
        <f>IFERROR(__xludf.DUMMYFUNCTION("""COMPUTED_VALUE"""),"-增加了绝大部分押运奖励等级的押运奖励和护卫奖励
-新增征服者、战神、特战3套斗士装备
-堡垒对决新增50关")</f>
        <v>-增加了绝大部分押运奖励等级的押运奖励和护卫奖励
-新增征服者、战神、特战3套斗士装备
-堡垒对决新增50关</v>
      </c>
      <c r="C28" s="108" t="str">
        <f>IFERROR(__xludf.DUMMYFUNCTION("""COMPUTED_VALUE"""),"- Increased the Convoy and escort rewards for most Convoy reward levels;
- Added 3 new Fighter equipment sets: Conqueror, Mars, Special Ops;
- Added 50 new levels to Fortress Takeover.")</f>
        <v>- Increased the Convoy and escort rewards for most Convoy reward levels;
- Added 3 new Fighter equipment sets: Conqueror, Mars, Special Ops;
- Added 50 new levels to Fortress Takeover.</v>
      </c>
      <c r="D28" s="108" t="str">
        <f>IFERROR(__xludf.DUMMYFUNCTION("""COMPUTED_VALUE"""),"- Amélioration des récompenses des escortes pour la plupart des niveaux du convoi.
- Ajout de 3 ensembles d'équipement de combattants: Conquérant, Mars, Commando.
- Ajout de 50 niveaux à l'Invasion de forteresse.")</f>
        <v>- Amélioration des récompenses des escortes pour la plupart des niveaux du convoi.
- Ajout de 3 ensembles d'équipement de combattants: Conquérant, Mars, Commando.
- Ajout de 50 niveaux à l'Invasion de forteresse.</v>
      </c>
      <c r="E28" s="108" t="str">
        <f>IFERROR(__xludf.DUMMYFUNCTION("""COMPUTED_VALUE"""),"- Die Belohnungen für Konvoi und Eskorte wurden für die meisten Konvoi-Belohnungslevel erhöht.
 - 3 neue Kämpfer-Ausrüstungssets hinzugefügt: Eroberer, Mars, Spezialeinsatz.
 - 50 neue Level zu Festungsübernahme hinzugefügt.")</f>
        <v>- Die Belohnungen für Konvoi und Eskorte wurden für die meisten Konvoi-Belohnungslevel erhöht.
 - 3 neue Kämpfer-Ausrüstungssets hinzugefügt: Eroberer, Mars, Spezialeinsatz.
 - 50 neue Level zu Festungsübernahme hinzugefügt.</v>
      </c>
      <c r="F28" s="108" t="str">
        <f>IFERROR(__xludf.DUMMYFUNCTION("""COMPUTED_VALUE"""),"- Adicionadas recompensas de escolta e comboio para a maioria dos níveis de recompensa de comboio;
 - Adicionados 3 conjuntos de equipamento de combatente: Conquistador, Marciano, Operação Especial;
 - Adicionados 50 novos níveis de Conquista da Fortaleza"&amp;".")</f>
        <v>- Adicionadas recompensas de escolta e comboio para a maioria dos níveis de recompensa de comboio;
 - Adicionados 3 conjuntos de equipamento de combatente: Conquistador, Marciano, Operação Especial;
 - Adicionados 50 novos níveis de Conquista da Fortaleza.</v>
      </c>
      <c r="G28" s="108" t="str">
        <f>IFERROR(__xludf.DUMMYFUNCTION("""COMPUTED_VALUE"""),"-增加了絕大部分押運獎勵等級的押運獎勵和護衛獎勵
-新增征服者、戰神、特戰3套鬥士裝備
-堡壘對決新增50關")</f>
        <v>-增加了絕大部分押運獎勵等級的押運獎勵和護衛獎勵
-新增征服者、戰神、特戰3套鬥士裝備
-堡壘對決新增50關</v>
      </c>
      <c r="H28" s="108" t="str">
        <f>IFERROR(__xludf.DUMMYFUNCTION("""COMPUTED_VALUE"""),"- Penambahan Hadiah Konvoi dan Hadiah Kawal untuk sebagian besar level Hadiah Pengawalan.
- Penambahan 3 set perlengkapan Pejuang: Penakluk, Mars, Special Ops.
- Penambahan 50 stage baru Penaklukan Benteng.")</f>
        <v>- Penambahan Hadiah Konvoi dan Hadiah Kawal untuk sebagian besar level Hadiah Pengawalan.
- Penambahan 3 set perlengkapan Pejuang: Penakluk, Mars, Special Ops.
- Penambahan 50 stage baru Penaklukan Benteng.</v>
      </c>
      <c r="I28" s="108" t="str">
        <f>IFERROR(__xludf.DUMMYFUNCTION("""COMPUTED_VALUE"""),"- เพิ่มรางวัลการคุ้มกันขบวนเดินทางสำหรับเลเวลรางวัลส่วนใหญ่ของขบวนเดินทาง
 - เพิ่มเซ็ตอุปกรณ์นักสู้ใหม่ 3 เซ็ต: ผู้พิชิต, ดาวอังคาร และหน่วยปฏิบัติการพิเศษ
 - เพิ่มการยึดป้อมปราการเลเวลใหม่ 50 เลเวล")</f>
        <v>- เพิ่มรางวัลการคุ้มกันขบวนเดินทางสำหรับเลเวลรางวัลส่วนใหญ่ของขบวนเดินทาง
 - เพิ่มเซ็ตอุปกรณ์นักสู้ใหม่ 3 เซ็ต: ผู้พิชิต, ดาวอังคาร และหน่วยปฏิบัติการพิเศษ
 - เพิ่มการยึดป้อมปราการเลเวลใหม่ 50 เลเวล</v>
      </c>
      <c r="J28" s="108" t="str">
        <f>IFERROR(__xludf.DUMMYFUNCTION("""COMPUTED_VALUE"""),"- Aumento de las recompensas de Convoy y escolta para la mayoría de los niveles de recompensa de Convoy.
 - Se agregaron 3 nuevos conjuntos de equipos de Luchador: Conquistador, Marte, Operaciones Especiales.
 - Se agregaron 50 nuevos niveles a Toma de la"&amp;" Fortaleza.")</f>
        <v>- Aumento de las recompensas de Convoy y escolta para la mayoría de los niveles de recompensa de Convoy.
 - Se agregaron 3 nuevos conjuntos de equipos de Luchador: Conquistador, Marte, Operaciones Especiales.
 - Se agregaron 50 nuevos niveles a Toma de la Fortaleza.</v>
      </c>
      <c r="K28" s="108" t="str">
        <f>IFERROR(__xludf.DUMMYFUNCTION("""COMPUTED_VALUE"""),"- Увеличены награды за караваны и сопровождение для большинства уровней награды за караваны.
- Добавлены три новых набора снаряжения для героев: «Захватчик», «Марсианский» и «Спецназ».
- Добавлено 50 новых уровней в «Захвате крепости».")</f>
        <v>- Увеличены награды за караваны и сопровождение для большинства уровней награды за караваны.
- Добавлены три новых набора снаряжения для героев: «Захватчик», «Марсианский» и «Спецназ».
- Добавлено 50 новых уровней в «Захвате крепости».</v>
      </c>
      <c r="L28" s="108" t="str">
        <f>IFERROR(__xludf.DUMMYFUNCTION("""COMPUTED_VALUE"""),"- Çoğu Konvoy ödül seviyesi için Konvoy ve eşlik etme ödülleri artırıldı;
 - 3 yeni Savaşçı ekipman seti eklendi: Fatih, Mars, Özel Harekât;
 - Kaleyi Ele Geçirmeye 50 yeni seviye eklendi.")</f>
        <v>- Çoğu Konvoy ödül seviyesi için Konvoy ve eşlik etme ödülleri artırıldı;
 - 3 yeni Savaşçı ekipman seti eklendi: Fatih, Mars, Özel Harekât;
 - Kaleyi Ele Geçirmeye 50 yeni seviye eklendi.</v>
      </c>
      <c r="M28" s="108" t="str">
        <f>IFERROR(__xludf.DUMMYFUNCTION("""COMPUTED_VALUE"""),"- Thêm hầu hết Thưởng Xe Chuyên Chở và Thưởng Hộ Tống của cấp độ phần thưởng hộ tống
- Thêm 3 bộ Trang Bị Chiến Binh Kẻ Chinh Phục, Chiến Thần, Đặc Biệt
- Tiếp Quản Pháo Đài thêm 50 Ải")</f>
        <v>- Thêm hầu hết Thưởng Xe Chuyên Chở và Thưởng Hộ Tống của cấp độ phần thưởng hộ tống
- Thêm 3 bộ Trang Bị Chiến Binh Kẻ Chinh Phục, Chiến Thần, Đặc Biệt
- Tiếp Quản Pháo Đài thêm 50 Ải</v>
      </c>
      <c r="N28" s="108"/>
      <c r="O28" s="108"/>
      <c r="P28" s="108"/>
      <c r="Q28" s="108"/>
      <c r="R28" s="108"/>
      <c r="S28" s="108"/>
      <c r="T28" s="108"/>
      <c r="U28" s="108"/>
      <c r="V28" s="108"/>
      <c r="W28" s="108"/>
      <c r="X28" s="108"/>
      <c r="Y28" s="108"/>
      <c r="Z28" s="108"/>
    </row>
    <row r="29">
      <c r="A29" s="108" t="str">
        <f>IFERROR(__xludf.DUMMYFUNCTION("""COMPUTED_VALUE"""),"0.46.0")</f>
        <v>0.46.0</v>
      </c>
      <c r="B29" s="108" t="str">
        <f>IFERROR(__xludf.DUMMYFUNCTION("""COMPUTED_VALUE"""),"-核动力太空城去除帮派增益：氏族容纳帮派数量，后续一个氏族最多可容纳2个帮派，当前容纳数量大于2个帮派的氏族不做处理;
-银河战争火神星：产出奖励优化，将产出新斗士，灵魂收割者——肯；
-银河战争火神星：星球悬赏任务优化；
-科林的探索：攻城任务优化；
-新增装备材料精密纤维的生产。")</f>
        <v>-核动力太空城去除帮派增益：氏族容纳帮派数量，后续一个氏族最多可容纳2个帮派，当前容纳数量大于2个帮派的氏族不做处理;
-银河战争火神星：产出奖励优化，将产出新斗士，灵魂收割者——肯；
-银河战争火神星：星球悬赏任务优化；
-科林的探索：攻城任务优化；
-新增装备材料精密纤维的生产。</v>
      </c>
      <c r="C29" s="108" t="str">
        <f>IFERROR(__xludf.DUMMYFUNCTION("""COMPUTED_VALUE"""),"- Gang buff ""Number of Gangs in a Clan"" removed in Nuclear Space City: A Clan can have up to 2 Gangs max going forward. No changes will be made to Clans that can already hold more than 2 Gangs.
- Planet Wars: Fire Star: Enhanced event rewards which now "&amp;"include the new Fighter, Ken, Reaper of Souls.
- Planet Wars: Fire Star: Optimized Planet Bounty quests.
- Colin's Exploration: Optimized siege quests.
- Production of equipment material, Light Fiber, is now available.")</f>
        <v>- Gang buff "Number of Gangs in a Clan" removed in Nuclear Space City: A Clan can have up to 2 Gangs max going forward. No changes will be made to Clans that can already hold more than 2 Gangs.
- Planet Wars: Fire Star: Enhanced event rewards which now include the new Fighter, Ken, Reaper of Souls.
- Planet Wars: Fire Star: Optimized Planet Bounty quests.
- Colin's Exploration: Optimized siege quests.
- Production of equipment material, Light Fiber, is now available.</v>
      </c>
      <c r="D29" s="108" t="str">
        <f>IFERROR(__xludf.DUMMYFUNCTION("""COMPUTED_VALUE"""),"- Le boost de gang ""Nombre de gangs dans un clan"" est supprimé dans la ville spatiale nucléaire. Désormais, un clan peut comprendre jusqu'à 2 gangs. Aucun changement ne s'appliquera aux clans pouvant déjà comprendre plus de 2 gangs;
- Guerre planétaire,"&amp;" l'Etoile de feu: de meilleures récompenses dont un nouveau combattant: Ken, le faucheur d'âmes; optimisation des quêtes de prime planétaire;
- L'exploration de Colin: optimisation des quêtes de siège;
- La production du matériau d'équipement fibre optiqu"&amp;"e est disponible.")</f>
        <v>- Le boost de gang "Nombre de gangs dans un clan" est supprimé dans la ville spatiale nucléaire. Désormais, un clan peut comprendre jusqu'à 2 gangs. Aucun changement ne s'appliquera aux clans pouvant déjà comprendre plus de 2 gangs;
- Guerre planétaire, l'Etoile de feu: de meilleures récompenses dont un nouveau combattant: Ken, le faucheur d'âmes; optimisation des quêtes de prime planétaire;
- L'exploration de Colin: optimisation des quêtes de siège;
- La production du matériau d'équipement fibre optique est disponible.</v>
      </c>
      <c r="E29" s="108" t="str">
        <f>IFERROR(__xludf.DUMMYFUNCTION("""COMPUTED_VALUE"""),"- Clan-Buff ""Anzahl Clans in einer Horde"" in Nuklear-Weltraumstadt entfernt: Eine Horde kann in Zukunft bis zu 2 Clans haben. Für Horden, die bereits mehr als 2 Clans haben, werden keine Änderungen vorgenommen.
- Planetenkrieg: Feuerstern: Verbesserte B"&amp;"elohnungen für das Event, die jetzt den neuen Kämpfer, Ken, Sensenmann der Seelen umfassen.
 - Planetenkrieg: Feuerstern: Optimierte Planeten-Kopfgeld-Quests.
 - Colins Erkundung: Optimierte Belagerungs-Quests.
 - Produktion vo Equipment-Material 'Leichte"&amp;" Fasern"" ist jetzt verfügbar.")</f>
        <v>- Clan-Buff "Anzahl Clans in einer Horde" in Nuklear-Weltraumstadt entfernt: Eine Horde kann in Zukunft bis zu 2 Clans haben. Für Horden, die bereits mehr als 2 Clans haben, werden keine Änderungen vorgenommen.
- Planetenkrieg: Feuerstern: Verbesserte Belohnungen für das Event, die jetzt den neuen Kämpfer, Ken, Sensenmann der Seelen umfassen.
 - Planetenkrieg: Feuerstern: Optimierte Planeten-Kopfgeld-Quests.
 - Colins Erkundung: Optimierte Belagerungs-Quests.
 - Produktion vo Equipment-Material 'Leichte Fasern" ist jetzt verfügbar.</v>
      </c>
      <c r="F29" s="108" t="str">
        <f>IFERROR(__xludf.DUMMYFUNCTION("""COMPUTED_VALUE"""),"- Buff de gangue ""Número de Gangues num Clã"" foi removido de cidade espacial nuclear: um clã pode ter até 2 gangues a partir de agora. Nenhuma alteração será feita ao clãs que já tiverem mais de 2 gangues.
- Guerra Interplanetária: Estrela de Fogo: reco"&amp;"mpensas de evento melhoradas, incluindo agora o novo combatente Ken, o Ceifador de Almas.
 - Guerra Interplanetária: Estrela de Fogo: melhoria nas missões de recompensa do planeta.
 - Exploração de Colin: melhoria nas missões de cerco.
- Produção do mater"&amp;"ial de equipamento Fibra Leve disponível agora.")</f>
        <v>- Buff de gangue "Número de Gangues num Clã" foi removido de cidade espacial nuclear: um clã pode ter até 2 gangues a partir de agora. Nenhuma alteração será feita ao clãs que já tiverem mais de 2 gangues.
- Guerra Interplanetária: Estrela de Fogo: recompensas de evento melhoradas, incluindo agora o novo combatente Ken, o Ceifador de Almas.
 - Guerra Interplanetária: Estrela de Fogo: melhoria nas missões de recompensa do planeta.
 - Exploração de Colin: melhoria nas missões de cerco.
- Produção do material de equipamento Fibra Leve disponível agora.</v>
      </c>
      <c r="G29" s="108" t="str">
        <f>IFERROR(__xludf.DUMMYFUNCTION("""COMPUTED_VALUE"""),"-核動力太空城去除幫派增益：氏族容納幫派數量，後續一個氏族最多可容納2個幫派，當前容納數量大於2個幫派的氏族不做處理;
-銀河戰爭火神星：產出獎勵優化，將產出新鬥士，靈魂收割者——肯；
-銀河戰爭火神星：星球懸賞任務優化；
-科林的探索：攻城任務優化；
-新增裝備材料精密纖維的生產。")</f>
        <v>-核動力太空城去除幫派增益：氏族容納幫派數量，後續一個氏族最多可容納2個幫派，當前容納數量大於2個幫派的氏族不做處理;
-銀河戰爭火神星：產出獎勵優化，將產出新鬥士，靈魂收割者——肯；
-銀河戰爭火神星：星球懸賞任務優化；
-科林的探索：攻城任務優化；
-新增裝備材料精密纖維的生產。</v>
      </c>
      <c r="H29" s="108" t="str">
        <f>IFERROR(__xludf.DUMMYFUNCTION("""COMPUTED_VALUE"""),"- Penghapusan geng dari Kota Ruang Nuklir: klan dapat menampung jumlah geng, setelah itu klan maks bisa menampung 2 geng, dan klan yang saat ini menampung lebih dari 2 geng tidak akan diproses;
-Bintang Api Perang Planet: Hadiah output dioptimalkan, akan "&amp;"muncul pejuang baru, Pencabut Nyawa—Ken;
-Bintang Api Perang Planet: Optimasi Misi Hadiah Planet;
-Penjelajahan Colin: Optimalisasi misi pengepungan;
- Penambahan Produksi Serat presisi material peralatan.")</f>
        <v>- Penghapusan geng dari Kota Ruang Nuklir: klan dapat menampung jumlah geng, setelah itu klan maks bisa menampung 2 geng, dan klan yang saat ini menampung lebih dari 2 geng tidak akan diproses;
-Bintang Api Perang Planet: Hadiah output dioptimalkan, akan muncul pejuang baru, Pencabut Nyawa—Ken;
-Bintang Api Perang Planet: Optimasi Misi Hadiah Planet;
-Penjelajahan Colin: Optimalisasi misi pengepungan;
- Penambahan Produksi Serat presisi material peralatan.</v>
      </c>
      <c r="I29" s="108" t="str">
        <f>IFERROR(__xludf.DUMMYFUNCTION("""COMPUTED_VALUE"""),"- นำบัฟแก๊ง ""จำนวนแก๊งในแคลน"" ออกสำหรับเมืองนิวเคลียร์สเปซ: หลังจากนี้ไปแคลนจะมีได้สูงสุด 2 แก๊ง สำหรับแคลนที่มีมากกว่า 2 แก๊งอยู่แล้วจะไม่มีการเปลี่ยนแปลงใดๆ
- สงครามดวงดาว: ดาวไฟ: ปรับของรางวัลกิจกรรมให้ดีขึ้นซึ่งตอนนี้จะมีนักสู้ตัวใหม่ เคน ยมทูตล่าวิ"&amp;"ญญาณ เพิ่มเข้ามาด้วย
 - สงครามดวงดาว: ดาวไฟ: ปรับแก้ไขเควสค่าหัวดวงดาว
 - การสำรวจของคอลิน: ปรับแก้ไขเควสตีเมือง
- ตอนนี้สามารถผลิตวัสดุสำหรับอุปกรณ์ เส้นใยนำแสง ได้แล้ว")</f>
        <v>- นำบัฟแก๊ง "จำนวนแก๊งในแคลน" ออกสำหรับเมืองนิวเคลียร์สเปซ: หลังจากนี้ไปแคลนจะมีได้สูงสุด 2 แก๊ง สำหรับแคลนที่มีมากกว่า 2 แก๊งอยู่แล้วจะไม่มีการเปลี่ยนแปลงใดๆ
- สงครามดวงดาว: ดาวไฟ: ปรับของรางวัลกิจกรรมให้ดีขึ้นซึ่งตอนนี้จะมีนักสู้ตัวใหม่ เคน ยมทูตล่าวิญญาณ เพิ่มเข้ามาด้วย
 - สงครามดวงดาว: ดาวไฟ: ปรับแก้ไขเควสค่าหัวดวงดาว
 - การสำรวจของคอลิน: ปรับแก้ไขเควสตีเมือง
- ตอนนี้สามารถผลิตวัสดุสำหรับอุปกรณ์ เส้นใยนำแสง ได้แล้ว</v>
      </c>
      <c r="J29" s="108" t="str">
        <f>IFERROR(__xludf.DUMMYFUNCTION("""COMPUTED_VALUE"""),"- Se eliminó la ventaja para las Bandas de ""Número de Bandas en un Clan"" en la Ciudad del Espacio Nuclear: Un Clan puede tener hasta 2 Bandas como máximo en el futuro. No se realizarán cambios a los Clanes que ya pueden tener más de 2 Bandas.
- Guerras "&amp;"Planetarias: Estrella de Fuego: Recompensas de eventos mejoradas que ahora incluyen el nuevo Luchador: Ken el Segador de Almas.
 - Guerras Planetarias: Estrella de Fuego: Misiones optimizadas para la Recompensa del Planeta.
 - Exploración de Colin: Mision"&amp;"es de asedio optimizadas.
- Ya está disponible la producción de Fibra Ligera como material para equipo.")</f>
        <v>- Se eliminó la ventaja para las Bandas de "Número de Bandas en un Clan" en la Ciudad del Espacio Nuclear: Un Clan puede tener hasta 2 Bandas como máximo en el futuro. No se realizarán cambios a los Clanes que ya pueden tener más de 2 Bandas.
- Guerras Planetarias: Estrella de Fuego: Recompensas de eventos mejoradas que ahora incluyen el nuevo Luchador: Ken el Segador de Almas.
 - Guerras Planetarias: Estrella de Fuego: Misiones optimizadas para la Recompensa del Planeta.
 - Exploración de Colin: Misiones de asedio optimizadas.
- Ya está disponible la producción de Fibra Ligera como material para equipo.</v>
      </c>
      <c r="K29" s="108" t="str">
        <f>IFERROR(__xludf.DUMMYFUNCTION("""COMPUTED_VALUE"""),"- Убрано усиление «Число банд в клане» в пром. городе атомной энергии: теперь в клане может быть не более 2 банд. Для кланов, в которых уже более 2 банд, никаких изменений не будет.
- Планетарные войны — Огненная звезда: улучшены награды за событие, в кот"&amp;"орые теперь входит новый герой: Кен, Жнец Душ.
- Планетарные войны — Огненная звезда: оптимизированы задания с наградами планеты.
- Исследования Колина: оптимизированы задания с осадой.
- Стало доступно производство материала для снаряжения: легкого волок"&amp;"на.")</f>
        <v>- Убрано усиление «Число банд в клане» в пром. городе атомной энергии: теперь в клане может быть не более 2 банд. Для кланов, в которых уже более 2 банд, никаких изменений не будет.
- Планетарные войны — Огненная звезда: улучшены награды за событие, в которые теперь входит новый герой: Кен, Жнец Душ.
- Планетарные войны — Огненная звезда: оптимизированы задания с наградами планеты.
- Исследования Колина: оптимизированы задания с осадой.
- Стало доступно производство материала для снаряжения: легкого волокна.</v>
      </c>
      <c r="L29" s="108" t="str">
        <f>IFERROR(__xludf.DUMMYFUNCTION("""COMPUTED_VALUE"""),"- Nükleer Uzay Şehri'nde ""Klandaki Çete Sayısı"" Çete güçlendiricisi kaldırıldı: Artık bir Klanda en fazla 2 Çete olabilir. Zaten 2 Çeteden fazlasına sahip Klanlarda değişiklik yapılmayacak.
- Gezegen Savaşları: Ateş Yıldızı: Yeni Savaşçı Ölüm Meleği Ken"&amp;" de dahil olmak üzere geliştirilmiş etkinlik ödülleri.
 - Gezegen Savaşları: Ateş Yıldızı: Gezegen Ödülü maceraları optimize edildi.
 - Colin'in Keşfi: Kuşatma maceraları optimize edildi.
- Ekipman üretim materyali Hafif Lif artık kullanılabilir.")</f>
        <v>- Nükleer Uzay Şehri'nde "Klandaki Çete Sayısı" Çete güçlendiricisi kaldırıldı: Artık bir Klanda en fazla 2 Çete olabilir. Zaten 2 Çeteden fazlasına sahip Klanlarda değişiklik yapılmayacak.
- Gezegen Savaşları: Ateş Yıldızı: Yeni Savaşçı Ölüm Meleği Ken de dahil olmak üzere geliştirilmiş etkinlik ödülleri.
 - Gezegen Savaşları: Ateş Yıldızı: Gezegen Ödülü maceraları optimize edildi.
 - Colin'in Keşfi: Kuşatma maceraları optimize edildi.
- Ekipman üretim materyali Hafif Lif artık kullanılabilir.</v>
      </c>
      <c r="M29" s="108" t="str">
        <f>IFERROR(__xludf.DUMMYFUNCTION("""COMPUTED_VALUE"""),"- TP Không Gian Hạt Nhân xoá bỏ hiệu ứng Bang Hội: Số lượng Bang Hội trong một Bộ Lạc, sau này một Bộ Lạc tối đa có thể dung nạp 2 Bang Hội, hiện tại Bộ Lạc dung nạp nhiều hơn 2 Bang Hội sẽ không xử lý;
- Chiến Tranh Hành Tinh Sao Hỏa: Tối ưu hoá phần thư"&amp;"ởng tạo ra, sẽ tạo ra Chiến Binh mới, Kẻ Kết Liễu Linh Hồn - Ken;
- Chiến Tranh Hành Tinh Sao Hỏa: Tối ưu hoá nhiệm vụ Tiền Thưởng Hành Tinh
- Khám Phá Của Colin: Tối ưu hoá nhiệm vụ Phá Thành
- Thêm sản xuất Sợi Nhẹ cho Nguyên Liệu Trang Bị ")</f>
        <v>- TP Không Gian Hạt Nhân xoá bỏ hiệu ứng Bang Hội: Số lượng Bang Hội trong một Bộ Lạc, sau này một Bộ Lạc tối đa có thể dung nạp 2 Bang Hội, hiện tại Bộ Lạc dung nạp nhiều hơn 2 Bang Hội sẽ không xử lý;
- Chiến Tranh Hành Tinh Sao Hỏa: Tối ưu hoá phần thưởng tạo ra, sẽ tạo ra Chiến Binh mới, Kẻ Kết Liễu Linh Hồn - Ken;
- Chiến Tranh Hành Tinh Sao Hỏa: Tối ưu hoá nhiệm vụ Tiền Thưởng Hành Tinh
- Khám Phá Của Colin: Tối ưu hoá nhiệm vụ Phá Thành
- Thêm sản xuất Sợi Nhẹ cho Nguyên Liệu Trang Bị </v>
      </c>
      <c r="N29" s="108"/>
      <c r="O29" s="108"/>
      <c r="P29" s="108"/>
      <c r="Q29" s="108"/>
      <c r="R29" s="108"/>
      <c r="S29" s="108"/>
      <c r="T29" s="108"/>
      <c r="U29" s="108"/>
      <c r="V29" s="108"/>
      <c r="W29" s="108"/>
      <c r="X29" s="108"/>
      <c r="Y29" s="108"/>
      <c r="Z29" s="108"/>
    </row>
    <row r="30">
      <c r="A30" s="108" t="str">
        <f>IFERROR(__xludf.DUMMYFUNCTION("""COMPUTED_VALUE"""),"0.47.0")</f>
        <v>0.47.0</v>
      </c>
      <c r="B30" s="108" t="str">
        <f>IFERROR(__xludf.DUMMYFUNCTION("""COMPUTED_VALUE"""),"-优化了围剿变异猴玩法的难度解锁条件、怪物难度和奖励产出
-优化了7级采集点的产出收益，并增加了其刷新频率
-军备调整：新增攻城车军备；取消所有兵种普通、精良品质的军备，同时将对应武装等级的士兵恢复为正常等级士兵；功能解锁后从稀有品质（蓝色）开始培养，并以邮件的形式返还玩家升至稀有品质之前的培养消耗材料
-战装材料产出调整：活跃宝箱中降低了战装打造材料的产出、增加了蓝色和紫色图纸的产出；降低了战装车间中单位时间生产合金零件和涂料的数量；绝地试炼的扫荡玩法中增加了紫色图纸和精密纤维的产出；增加了霸主战利品分"&amp;"配中紫色图纸和精密材料的产出数量、降低了合金零件和涂料的产出数量；降低了一网打尽中个人排行和帮派排行上精密材料的产出。
-对斗士的整体强度进行了新一轮的平衡性优化调整，以加强为主，涉及到的斗士及技能如下：
马思通【野蛮冲撞】、奥斯卡【乘胜追击】、马克西姆斯【攻城宗师】、罗尼·贾【升龙拳】【固若金汤】【盔甲强化】【娴熟技巧】、杰克·克里斯多夫【奇迹续航】、肖恩【草药学识】【行军大师】【致命陷阱】、科兹摩【严防死守】、科鲁托皮【生存专家】、麦克【荣耀之光】
斗士调整的详情可参见社区公告。")</f>
        <v>-优化了围剿变异猴玩法的难度解锁条件、怪物难度和奖励产出
-优化了7级采集点的产出收益，并增加了其刷新频率
-军备调整：新增攻城车军备；取消所有兵种普通、精良品质的军备，同时将对应武装等级的士兵恢复为正常等级士兵；功能解锁后从稀有品质（蓝色）开始培养，并以邮件的形式返还玩家升至稀有品质之前的培养消耗材料
-战装材料产出调整：活跃宝箱中降低了战装打造材料的产出、增加了蓝色和紫色图纸的产出；降低了战装车间中单位时间生产合金零件和涂料的数量；绝地试炼的扫荡玩法中增加了紫色图纸和精密纤维的产出；增加了霸主战利品分配中紫色图纸和精密材料的产出数量、降低了合金零件和涂料的产出数量；降低了一网打尽中个人排行和帮派排行上精密材料的产出。
-对斗士的整体强度进行了新一轮的平衡性优化调整，以加强为主，涉及到的斗士及技能如下：
马思通【野蛮冲撞】、奥斯卡【乘胜追击】、马克西姆斯【攻城宗师】、罗尼·贾【升龙拳】【固若金汤】【盔甲强化】【娴熟技巧】、杰克·克里斯多夫【奇迹续航】、肖恩【草药学识】【行军大师】【致命陷阱】、科兹摩【严防死守】、科鲁托皮【生存专家】、麦克【荣耀之光】
斗士调整的详情可参见社区公告。</v>
      </c>
      <c r="C30" s="108" t="str">
        <f>IFERROR(__xludf.DUMMYFUNCTION("""COMPUTED_VALUE"""),"- For Operation Mutants, improved the requirements for unlocking difficulty levels, as well as the difficulty and rewards provided by mutants.
- Improved the output of Lv. 7 resource spots, which also respawn more frequently.
- Gear adjustments: added Wal"&amp;"l Breaker Gears; removed all Basic and Fine Gears, and units corresponding to weapon sets have been returned to normal levels. After unlocking this feature, Gears will start at the Rare quality (blue). All the materials you spent to upgrade your Gears to "&amp;"Rare will be returned to you via mail.
- Equipment material reward changes: action chest rewards now contain fewer equipment materials and more Rare and Epic Blueprints; reduced the output rate of Metal Parts and Coatings in the Equipment Factory; added E"&amp;"pic Blueprint and Light Fiber rewards to Impasse Trials' raid feature; in loot distributed by the Overlord, increased the amount of Legendary Blueprints and Light Fibers, and reduced the amount of Metal Parts and Coatings; reduced the amount of Light Fibe"&amp;"r in personal and Gang ranking rewards from One Fell Swoop.
- A new round of adjustments has been made to balance and enhance Fighters' overall strength. Changes were made to these skills: Mastodonte's [Siege Engine], Oscar's [Full Pursuit], Maximus' [Sie"&amp;"ge Commander], Rony Jaa's [Heavy Uppercut], [Impenetrable], [Workout], [Metalloid Hand Wraps], Electro Jack's [Powerhouse Ape], Duke Sean's [Herbal Remedies], [Calamity Troops], [Deadly Trap], Cosmo's [High-Pressure Cylinder], Korutopi's [Repairing Maneuv"&amp;"ers], and Mike's [Getaway Vehicle]. For more details, please see community announcements.")</f>
        <v>- For Operation Mutants, improved the requirements for unlocking difficulty levels, as well as the difficulty and rewards provided by mutants.
- Improved the output of Lv. 7 resource spots, which also respawn more frequently.
- Gear adjustments: added Wall Breaker Gears; removed all Basic and Fine Gears, and units corresponding to weapon sets have been returned to normal levels. After unlocking this feature, Gears will start at the Rare quality (blue). All the materials you spent to upgrade your Gears to Rare will be returned to you via mail.
- Equipment material reward changes: action chest rewards now contain fewer equipment materials and more Rare and Epic Blueprints; reduced the output rate of Metal Parts and Coatings in the Equipment Factory; added Epic Blueprint and Light Fiber rewards to Impasse Trials' raid feature; in loot distributed by the Overlord, increased the amount of Legendary Blueprints and Light Fibers, and reduced the amount of Metal Parts and Coatings; reduced the amount of Light Fiber in personal and Gang ranking rewards from One Fell Swoop.
- A new round of adjustments has been made to balance and enhance Fighters' overall strength. Changes were made to these skills: Mastodonte's [Siege Engine], Oscar's [Full Pursuit], Maximus' [Siege Commander], Rony Jaa's [Heavy Uppercut], [Impenetrable], [Workout], [Metalloid Hand Wraps], Electro Jack's [Powerhouse Ape], Duke Sean's [Herbal Remedies], [Calamity Troops], [Deadly Trap], Cosmo's [High-Pressure Cylinder], Korutopi's [Repairing Maneuvers], and Mike's [Getaway Vehicle]. For more details, please see community announcements.</v>
      </c>
      <c r="D30" s="169" t="str">
        <f>IFERROR(__xludf.DUMMYFUNCTION("""COMPUTED_VALUE"""),"- Dans l'Opération mutants, amélioration des conditions de déblocage des niveaux de difficulté, et ajustement de la difficulté et des récompenses liées aux mutants.
- Amélioration de la production des points de ressources de niveau 7, qui réapparaissent a"&amp;"ussi plus souvent.
- Modification de l'équipement: ajout d'équipement pour les casse-murailles. Suppression de tout l'équipement standard et supérieur (les unités correspondant aux ensembles d'équipement sont rétablies au niveau normal). Une fois la fonct"&amp;"ionnalité débloquée, l'équipement commence en qualité rare (bleue). Tous les matériaux utilisés pour améliorer votre équipement en qualité rare vous seront restitués via la messagerie.
- Modification des récompenses en matériaux d'équipement: les récompen"&amp;"ses des coffres d'action contiennent moins de matériaux d'équipement, mais davantage de plans rares et épiques. Réduction de la production de pièces métalliques et de revêtements dans l'usine d'équipement. Ajout de récompenses en plans épiques et en fibre"&amp;"s optiques dans les raids des Epreuves de l'impasse. Dans les butins distribués par le Souverain, augmentation de la quantité de plans légendaires et de fibres optiques, et réduction de la quantité de pièces métalliques et de revêtements. Réduction de la "&amp;"quantité de fibres optiques dans les récompenses de classement personnel et de gang dans Un coup fatal.
- Nouveaux réglages pour équilibrer et améliorer la puissance globale des combattants. Modification des compétences suivantes: Mastodonte [Engins de si"&amp;"ège], Oscar [Tête chercheuse], Maximus [Spécialiste des sièges], Rony Jaa [Uppercut fracassant], [Impénétrable], [Mental d'acier], [Bandages métalliques], Electro Jack [Puissance primate], Duke Sean [Remède naturel], [Contingent du malheur], [Piège mortel"&amp;"], Cosmo [Bonbonne à haute pression], Korutopi [Ravitaillement en vol] et Mike [Véhicule de fuite]. Pour en savoir plus, consultez les publications sur les réseaux sociaux.")</f>
        <v>- Dans l'Opération mutants, amélioration des conditions de déblocage des niveaux de difficulté, et ajustement de la difficulté et des récompenses liées aux mutants.
- Amélioration de la production des points de ressources de niveau 7, qui réapparaissent aussi plus souvent.
- Modification de l'équipement: ajout d'équipement pour les casse-murailles. Suppression de tout l'équipement standard et supérieur (les unités correspondant aux ensembles d'équipement sont rétablies au niveau normal). Une fois la fonctionnalité débloquée, l'équipement commence en qualité rare (bleue). Tous les matériaux utilisés pour améliorer votre équipement en qualité rare vous seront restitués via la messagerie.
- Modification des récompenses en matériaux d'équipement: les récompenses des coffres d'action contiennent moins de matériaux d'équipement, mais davantage de plans rares et épiques. Réduction de la production de pièces métalliques et de revêtements dans l'usine d'équipement. Ajout de récompenses en plans épiques et en fibres optiques dans les raids des Epreuves de l'impasse. Dans les butins distribués par le Souverain, augmentation de la quantité de plans légendaires et de fibres optiques, et réduction de la quantité de pièces métalliques et de revêtements. Réduction de la quantité de fibres optiques dans les récompenses de classement personnel et de gang dans Un coup fatal.
- Nouveaux réglages pour équilibrer et améliorer la puissance globale des combattants. Modification des compétences suivantes: Mastodonte [Engins de siège], Oscar [Tête chercheuse], Maximus [Spécialiste des sièges], Rony Jaa [Uppercut fracassant], [Impénétrable], [Mental d'acier], [Bandages métalliques], Electro Jack [Puissance primate], Duke Sean [Remède naturel], [Contingent du malheur], [Piège mortel], Cosmo [Bonbonne à haute pression], Korutopi [Ravitaillement en vol] et Mike [Véhicule de fuite]. Pour en savoir plus, consultez les publications sur les réseaux sociaux.</v>
      </c>
      <c r="E30" s="108" t="str">
        <f>IFERROR(__xludf.DUMMYFUNCTION("""COMPUTED_VALUE"""),"- Für Operation Mutanten wurden die Voraussetzungen für das Freischalten von Schwierigkeitsstufen sowie der Schwierigkeitsgrad und die Belohnungen durch Mutanten optimiert.
 - Die Ausbeute von Lv.7-Ressourcenquellen wurde optimiert, sie respawnen außerdem"&amp;" häufiger.
 - Anpassungen an Ausrüstungen: Mauerbrecher-Ausrüstungen wurden hinzugefügt; alle einfachen und feinen Ausrüstungen wurden entfernt, und die zu den Waffensets gehörenden Einheiten wurden auf normale Level zurückgesetzt. Nach Freischaltung dies"&amp;"es Features startet die Ausrüstung mit der Seltenen Qualität (blau). Alle Materialien, die du ausgegeben hast, um deine Ausrüstung auf Selten aufzuwerten, erhältst du per Mail zurück.
 - Änderungen an den Ausrüstungsmaterialbelohnungen: Die Belohnungen in"&amp;" Ausrüstungstruhen enthalten jetzt weniger Ausrüstungsmaterialien und mehr seltene und epische Baupläne; die Produktionsrate von Metallteilen und Beschichtungen in der Ausrüstungsfabrik wurde reduziert; Belohnungen mit epischen Baupläne und leichten Faser"&amp;"n wurden dem Schlachtzug-Feature der Sackgassen-Prüfungen hinzugefügt; in der vom Overlord verteilten Beute wurde die Menge an legendären Bauplänen und leichten Fasern erhöht und die Menge an Metallteilen und Beschichtungen reduziert; die Menge an leichte"&amp;"n Fasern in persönlichen Belohnungen und Clan-Ranglistenbelohnungen aus der Sackgassen-Prüfung wurde reduziert.
 - Es wurde eine Reihe von Anpassungen vorgenommen, um die Gesamtstärke der Kämpfer auszugleichen und zu verbessern. An diesen Fähigkeiten wurd"&amp;"en Änderungen vorgenommen: Mastodontes [Verschanzung], Oscars [Volle Verfolgung], Maximus' [Belagerungskommandant], Rony Jaas [Schwerer Aufwärtshaken], [Undurchdringlich], [Workout], [Mechanische Handschuhe], Electro Jacks [Kraftwerk], Duke Seans [Pflanzl"&amp;"iches Heilmittel], [Wilde Schützen], [Tödliche Falle], Cosmos [Hochdruck-Zylinder], Korutopis [Reparaturmanöver] und Mikes [Fluchtfahrzeug]. Weitere Einzelheiten findest du in den Community-Ankündigungen.")</f>
        <v>- Für Operation Mutanten wurden die Voraussetzungen für das Freischalten von Schwierigkeitsstufen sowie der Schwierigkeitsgrad und die Belohnungen durch Mutanten optimiert.
 - Die Ausbeute von Lv.7-Ressourcenquellen wurde optimiert, sie respawnen außerdem häufiger.
 - Anpassungen an Ausrüstungen: Mauerbrecher-Ausrüstungen wurden hinzugefügt; alle einfachen und feinen Ausrüstungen wurden entfernt, und die zu den Waffensets gehörenden Einheiten wurden auf normale Level zurückgesetzt. Nach Freischaltung dieses Features startet die Ausrüstung mit der Seltenen Qualität (blau). Alle Materialien, die du ausgegeben hast, um deine Ausrüstung auf Selten aufzuwerten, erhältst du per Mail zurück.
 - Änderungen an den Ausrüstungsmaterialbelohnungen: Die Belohnungen in Ausrüstungstruhen enthalten jetzt weniger Ausrüstungsmaterialien und mehr seltene und epische Baupläne; die Produktionsrate von Metallteilen und Beschichtungen in der Ausrüstungsfabrik wurde reduziert; Belohnungen mit epischen Baupläne und leichten Fasern wurden dem Schlachtzug-Feature der Sackgassen-Prüfungen hinzugefügt; in der vom Overlord verteilten Beute wurde die Menge an legendären Bauplänen und leichten Fasern erhöht und die Menge an Metallteilen und Beschichtungen reduziert; die Menge an leichten Fasern in persönlichen Belohnungen und Clan-Ranglistenbelohnungen aus der Sackgassen-Prüfung wurde reduziert.
 - Es wurde eine Reihe von Anpassungen vorgenommen, um die Gesamtstärke der Kämpfer auszugleichen und zu verbessern. An diesen Fähigkeiten wurden Änderungen vorgenommen: Mastodontes [Verschanzung], Oscars [Volle Verfolgung], Maximus' [Belagerungskommandant], Rony Jaas [Schwerer Aufwärtshaken], [Undurchdringlich], [Workout], [Mechanische Handschuhe], Electro Jacks [Kraftwerk], Duke Seans [Pflanzliches Heilmittel], [Wilde Schützen], [Tödliche Falle], Cosmos [Hochdruck-Zylinder], Korutopis [Reparaturmanöver] und Mikes [Fluchtfahrzeug]. Weitere Einzelheiten findest du in den Community-Ankündigungen.</v>
      </c>
      <c r="F30" s="108" t="str">
        <f>IFERROR(__xludf.DUMMYFUNCTION("""COMPUTED_VALUE"""),"- Para ""Operação Mutantes"", houve melhorias nos requerimentos para desbloquear níveis de dificuldade, assim como a dificuldade e recompensas fornecidas por mutantes.
 - Melhoria na produção de pontos de recursos Nv. 7, que aparecem agora com mais frequê"&amp;"ncia.
 - Ajustes em equipamentos: adição de equipamentos de quebra-muros; remoção de todos os equipamentos básicos e ótimos, e unidades referentes a conjuntos de armas voltaram aos níveis normais. Após desbloquear a funcionalidade, equipamentos começarão "&amp;"na qualidade rara (azul). Todos os materiais gastos para melhorar seus equipamentos para raro serão devolvidos pelas mensagens.
 - Mudanças em recompensas de materiais de equipamento: as recompensas de baú de ações contêm agora menos materiais de equipame"&amp;"nto e mais diagramas raros e épicos. Foi reduzida a taxa de produção de partes de metal e revestimentos na fábrica de equipamentos. Foram adicionados diagramas épicos e recompensas de fibra leve à função raide em Desafios de Impasse. No espólio distribuíd"&amp;"o ao soberano, houve aumento de diagramas lendários e fibras leves, além da redução da quantidade de fibras leves, partes de metal e revestimentos nas recompensas de classificação de gangue e individuais em ""De uma só Vez"".
 - Uma nova rodada de ajustes"&amp;" foi feita para balancear a força geral dos combatentes. Mudanças foram feitas nas seguintes habilidades: [Motor de Cerco], do Mastodonte; [Perseguição Total], de Oscar; [Comandante de Cerco], de Maximus; [Uppercut Pesado], [Impenetrável], [Teste Físico] "&amp;"e [Bandagens Metálicas], de Rony Jaa; [Macaco de Força], de Jack Elétrico; [Remédios de Ervas], [Tropas da Calamidade], [Armadilha Mortal], de Duke Sean; [Cilindro de Alta Pressão], de Cosmo; [Manobras de Reparo], de Korutopi; e [Veículo de Fuga], de Mike"&amp;". Para mais detalhes, veja os anúncios da comunidade.")</f>
        <v>- Para "Operação Mutantes", houve melhorias nos requerimentos para desbloquear níveis de dificuldade, assim como a dificuldade e recompensas fornecidas por mutantes.
 - Melhoria na produção de pontos de recursos Nv. 7, que aparecem agora com mais frequência.
 - Ajustes em equipamentos: adição de equipamentos de quebra-muros; remoção de todos os equipamentos básicos e ótimos, e unidades referentes a conjuntos de armas voltaram aos níveis normais. Após desbloquear a funcionalidade, equipamentos começarão na qualidade rara (azul). Todos os materiais gastos para melhorar seus equipamentos para raro serão devolvidos pelas mensagens.
 - Mudanças em recompensas de materiais de equipamento: as recompensas de baú de ações contêm agora menos materiais de equipamento e mais diagramas raros e épicos. Foi reduzida a taxa de produção de partes de metal e revestimentos na fábrica de equipamentos. Foram adicionados diagramas épicos e recompensas de fibra leve à função raide em Desafios de Impasse. No espólio distribuído ao soberano, houve aumento de diagramas lendários e fibras leves, além da redução da quantidade de fibras leves, partes de metal e revestimentos nas recompensas de classificação de gangue e individuais em "De uma só Vez".
 - Uma nova rodada de ajustes foi feita para balancear a força geral dos combatentes. Mudanças foram feitas nas seguintes habilidades: [Motor de Cerco], do Mastodonte; [Perseguição Total], de Oscar; [Comandante de Cerco], de Maximus; [Uppercut Pesado], [Impenetrável], [Teste Físico] e [Bandagens Metálicas], de Rony Jaa; [Macaco de Força], de Jack Elétrico; [Remédios de Ervas], [Tropas da Calamidade], [Armadilha Mortal], de Duke Sean; [Cilindro de Alta Pressão], de Cosmo; [Manobras de Reparo], de Korutopi; e [Veículo de Fuga], de Mike. Para mais detalhes, veja os anúncios da comunidade.</v>
      </c>
      <c r="G30" s="108" t="str">
        <f>IFERROR(__xludf.DUMMYFUNCTION("""COMPUTED_VALUE"""),"-優化了圍剿變異猴玩法的難度解鎖條件、怪物難度和獎勵產出
-優化了7級采集點的產出收益，並增加了其刷新頻率
-軍備調整：新增攻城車軍備；取消所有兵種普通、精良品質的軍備，同時將對應武裝等級的士兵恢復為正常等級士兵；功能解鎖後從稀有品質（藍色）開始培養，並以郵件的形式返還玩家升至稀有品質之前的培養消耗材料
-戰裝材料產出調整：活躍寶箱中降低了戰裝打造材料的產出、增加了藍色和紫色圖紙的產出；降低了戰裝車間中單位時間生產合金零件和塗料的數量；絕地試煉的掃蕩玩法中增加了紫色圖紙和精密纖維的產出；增加了霸主戰"&amp;"利品分配中紫色圖紙和精密材料的產出數量、降低了合金零件和塗料的產出數量；降低了一網打盡中個人排行和幫派排行上精密材料的產出。
-對鬥士的整體強度進行了新一輪的平衡性優化調整，以加強為主，涉及到的鬥士及技能如下：
馬思通【野蠻沖撞】、奧斯卡【乘勝追擊】、馬克西姆斯【攻城宗師】、羅尼·賈【升龍拳】【固若金湯】【盔甲強化】【嫻熟技巧】、傑克·克裏斯多夫【奇跡續航】、肖恩【草藥學識】【行軍大師】【致命陷阱】、科茲摩【嚴防死守】、科魯托皮【生存專家】、麥克【榮耀之光】
鬥士調整的詳情可參見社區公告。")</f>
        <v>-優化了圍剿變異猴玩法的難度解鎖條件、怪物難度和獎勵產出
-優化了7級采集點的產出收益，並增加了其刷新頻率
-軍備調整：新增攻城車軍備；取消所有兵種普通、精良品質的軍備，同時將對應武裝等級的士兵恢復為正常等級士兵；功能解鎖後從稀有品質（藍色）開始培養，並以郵件的形式返還玩家升至稀有品質之前的培養消耗材料
-戰裝材料產出調整：活躍寶箱中降低了戰裝打造材料的產出、增加了藍色和紫色圖紙的產出；降低了戰裝車間中單位時間生產合金零件和塗料的數量；絕地試煉的掃蕩玩法中增加了紫色圖紙和精密纖維的產出；增加了霸主戰利品分配中紫色圖紙和精密材料的產出數量、降低了合金零件和塗料的產出數量；降低了一網打盡中個人排行和幫派排行上精密材料的產出。
-對鬥士的整體強度進行了新一輪的平衡性優化調整，以加強為主，涉及到的鬥士及技能如下：
馬思通【野蠻沖撞】、奧斯卡【乘勝追擊】、馬克西姆斯【攻城宗師】、羅尼·賈【升龍拳】【固若金湯】【盔甲強化】【嫻熟技巧】、傑克·克裏斯多夫【奇跡續航】、肖恩【草藥學識】【行軍大師】【致命陷阱】、科茲摩【嚴防死守】、科魯托皮【生存專家】、麥克【榮耀之光】
鬥士調整的詳情可參見社區公告。</v>
      </c>
      <c r="H30" s="108" t="str">
        <f>IFERROR(__xludf.DUMMYFUNCTION("""COMPUTED_VALUE"""),"-Mengoptimalkan kondisi buka Kesulitan, Kesulitan Monster dan produksi hadiah dari Gameplay Pengepungan Kera Mutan
-Mengoptimalkan Pendapatan Produksi Titik Berkumpul Lv. 7 dan meningkatkan frekuensi Refresh
-Menyesuaikan Senjata: Senjata Pembobol Tembok "&amp;"baru; Batalkan semua Senjata Pasukan Normal dan Bagus dan Prajurit set senjata yang terkait dipulihkan menjadi prajurit biasa di saat yang sama; Setelah fungsi dibuka, mulai dari kualitas Langka (Biru) untuk dikembangkan , dan mengembalikan material konsu"&amp;"msi pengembangan ke kualitas Langka kepada pemain dalam bentuk Surat
-Menyesuaikan produksi material perlengkapan: Produksi material pembuatan perlengkapan telah dikurangi di Peti Aksi dan meningkatkan Cetak Biru dan Ungu; Mengurangi jumlah Bagian Metal d"&amp;"an Pelapis yang diproduksi pasukan di Pabrik Perlengkapan; Produksi Cetak Biru Ungu dan Fiber Ringan telah ditambahkan ke Gameplay Serbuan Uji Coba Jalan Buntu; Meningkatkan produksi Cetak Biru Ungu dan Fiber Ringan dan mengurangi produksi Bagian Metal da"&amp;"n Pelapis dalam Distribusi Jarahan Maharaja; Mengurangi produksi Fiber Ringan pada Peringkat Individu dan Geng di Satu Serangan.
-Putaran baru pengoptimalan dan penyesuaian keseimbangan telah dibuat untuk kekuatan keseluruhan Pejuang, dengan fokus pada pe"&amp;"nguatan. Pejuang dan Keahlian yang terlibat adalah sebagai berikut:
Mastodonte [Mesin Pengepung], Oscar [Pipa Knalpot], Maximus [Komandan Pengepungan], Rony Jaa [Pukulan Berat] [Tidak bisa ditembus] [Latihan] [Pembungkus Tangan Metalloid], Electro Jack [K"&amp;"era Sumber Energi], Duke Sean [Pengobatan Herbal] [Pasukan Bencana] [Jebakan Mematikan], Bayi Cosmo [Silinder Tekanan Tinggi], Korutopi [Teknik Penyembuhan], Mike [Kendaraan Liburan]
Rincian Penyesuaian Pejuang dapat ditemukan di pengumuman komunitas.")</f>
        <v>-Mengoptimalkan kondisi buka Kesulitan, Kesulitan Monster dan produksi hadiah dari Gameplay Pengepungan Kera Mutan
-Mengoptimalkan Pendapatan Produksi Titik Berkumpul Lv. 7 dan meningkatkan frekuensi Refresh
-Menyesuaikan Senjata: Senjata Pembobol Tembok baru; Batalkan semua Senjata Pasukan Normal dan Bagus dan Prajurit set senjata yang terkait dipulihkan menjadi prajurit biasa di saat yang sama; Setelah fungsi dibuka, mulai dari kualitas Langka (Biru) untuk dikembangkan , dan mengembalikan material konsumsi pengembangan ke kualitas Langka kepada pemain dalam bentuk Surat
-Menyesuaikan produksi material perlengkapan: Produksi material pembuatan perlengkapan telah dikurangi di Peti Aksi dan meningkatkan Cetak Biru dan Ungu; Mengurangi jumlah Bagian Metal dan Pelapis yang diproduksi pasukan di Pabrik Perlengkapan; Produksi Cetak Biru Ungu dan Fiber Ringan telah ditambahkan ke Gameplay Serbuan Uji Coba Jalan Buntu; Meningkatkan produksi Cetak Biru Ungu dan Fiber Ringan dan mengurangi produksi Bagian Metal dan Pelapis dalam Distribusi Jarahan Maharaja; Mengurangi produksi Fiber Ringan pada Peringkat Individu dan Geng di Satu Serangan.
-Putaran baru pengoptimalan dan penyesuaian keseimbangan telah dibuat untuk kekuatan keseluruhan Pejuang, dengan fokus pada penguatan. Pejuang dan Keahlian yang terlibat adalah sebagai berikut:
Mastodonte [Mesin Pengepung], Oscar [Pipa Knalpot], Maximus [Komandan Pengepungan], Rony Jaa [Pukulan Berat] [Tidak bisa ditembus] [Latihan] [Pembungkus Tangan Metalloid], Electro Jack [Kera Sumber Energi], Duke Sean [Pengobatan Herbal] [Pasukan Bencana] [Jebakan Mematikan], Bayi Cosmo [Silinder Tekanan Tinggi], Korutopi [Teknik Penyembuhan], Mike [Kendaraan Liburan]
Rincian Penyesuaian Pejuang dapat ditemukan di pengumuman komunitas.</v>
      </c>
      <c r="I30" s="108" t="str">
        <f>IFERROR(__xludf.DUMMYFUNCTION("""COMPUTED_VALUE"""),"- สำหรับปฏิบัติการตัวกลายพันธุ์ จะมีการปรับข้อกำหนดสำหรับการปลดล็อกระดับความยาก ตลอดจนปรับแก้ไขความยากและของรางวัลที่ได้จากลิงมิวแตนด์
 - เพิ่มเอาต์พุตของจุดทรัพยากร Lv. 7 ซึ่งจะเกิดใหม่บ่อยขึ้น
 - ปรับเกี่ยวกับอุปกรณ์ เพิ่มอุปกรณ์ของวอลล์เบรกเกอร์ นำอุปก"&amp;"รณ์พื้นฐานและอุปกรณ์อย่างดีออกทั้งหมด รวมถึงยูนิตตามเซ็ตอาวุธจะกลับไปเป็นเลเวลธรรมดา หลังจากปลดล็อกฟีเจอร์นี้ อุปกรณ์ต่างๆ จะเริ่มต้นที่คุณภาพระดับหายาก (สีน้ำเงิน) วัสดุทั้งหมดที่ใช้อัปเกรดอุปกรณ์จนถึงระดับหายาก จะส่งคืนให้กับคุณทางจดหมาย
 - การเปลี่ยนแป"&amp;"ลงของรางวัลวัสดุอุปกรณ์: ของรางวัลจากหีบปฏิบัติการจะมีวัสดุอุปกรณ์น้อยลง และเพิ่มพิมพ์เขียวระดับหายากและมหากาพย์มากขึ้น, ลดอัตราเอาต์พุตของชิ้นส่วนโลหะและสารเคลือบในโรงงานอุปกรณ์, เพิ่มพิมพ์เขียวมหากาพย์และเส้นใยนำแสงในฟีเจอร์บุกจู่โจมบททดสอบผ่านด่านทางตั"&amp;"น,เพิ่มจำนวนพิมพ์เขียวระดับตำนานและเส้นใยนำแสง แล้วลดจำนวนชิ้นส่วนโลหะและสารเคลือบในของที่แบ่งได้จากโอเวอร์ลอร์ด, ลดจำนวน เส้นใยนำแสงในของรางวัลอันดับส่วนตัวและอันดับแก๊งจากการกวาดเรียบในครั้งเดียว
 - การปรับรอบใหม่เพื่อแก้ไขสมดุลและเพิ่มพลังโดยรวมให้กับน"&amp;"ักสู้ มีการเปลี่ยนแปลงสกิลต่อไปนี้: มัสโตดอนเต [จักรกลล้อมโจมตี], ออสการ์ [ไล่ล่าสุดตัว], แม็กซิมัส [ผู้บัญชีการล้อมโจมตี], โรนี่ จา [อัปเปอร์คัตเต็มๆ], [เจาะไม่เข้า], [ออกกำลังกาย], [ผ้าพันมือกึ่งโลหะ], แจ็ค ลิงไฟฟ้า [ลิงโรงไฟฟ้า], ดุ๊คฌอน มาบังกา [การรั"&amp;"กษาด้วยสมุนไพร], [กองทหารแห่งหายนะ], [กับดักมรณะ], โรดริเกซ [กระบอกสูบแรงดันสูง], มาเวอริก [กลยุทธ์ซ่อมแซม] และ ไมค์ [ไปอย่างไว] สำหรับรายละเอียดเพิ่มเติม กรุณาดูที่การประกาศของชุมชน")</f>
        <v>- สำหรับปฏิบัติการตัวกลายพันธุ์ จะมีการปรับข้อกำหนดสำหรับการปลดล็อกระดับความยาก ตลอดจนปรับแก้ไขความยากและของรางวัลที่ได้จากลิงมิวแตนด์
 - เพิ่มเอาต์พุตของจุดทรัพยากร Lv. 7 ซึ่งจะเกิดใหม่บ่อยขึ้น
 - ปรับเกี่ยวกับอุปกรณ์ เพิ่มอุปกรณ์ของวอลล์เบรกเกอร์ นำอุปกรณ์พื้นฐานและอุปกรณ์อย่างดีออกทั้งหมด รวมถึงยูนิตตามเซ็ตอาวุธจะกลับไปเป็นเลเวลธรรมดา หลังจากปลดล็อกฟีเจอร์นี้ อุปกรณ์ต่างๆ จะเริ่มต้นที่คุณภาพระดับหายาก (สีน้ำเงิน) วัสดุทั้งหมดที่ใช้อัปเกรดอุปกรณ์จนถึงระดับหายาก จะส่งคืนให้กับคุณทางจดหมาย
 - การเปลี่ยนแปลงของรางวัลวัสดุอุปกรณ์: ของรางวัลจากหีบปฏิบัติการจะมีวัสดุอุปกรณ์น้อยลง และเพิ่มพิมพ์เขียวระดับหายากและมหากาพย์มากขึ้น, ลดอัตราเอาต์พุตของชิ้นส่วนโลหะและสารเคลือบในโรงงานอุปกรณ์, เพิ่มพิมพ์เขียวมหากาพย์และเส้นใยนำแสงในฟีเจอร์บุกจู่โจมบททดสอบผ่านด่านทางตัน,เพิ่มจำนวนพิมพ์เขียวระดับตำนานและเส้นใยนำแสง แล้วลดจำนวนชิ้นส่วนโลหะและสารเคลือบในของที่แบ่งได้จากโอเวอร์ลอร์ด, ลดจำนวน เส้นใยนำแสงในของรางวัลอันดับส่วนตัวและอันดับแก๊งจากการกวาดเรียบในครั้งเดียว
 - การปรับรอบใหม่เพื่อแก้ไขสมดุลและเพิ่มพลังโดยรวมให้กับนักสู้ มีการเปลี่ยนแปลงสกิลต่อไปนี้: มัสโตดอนเต [จักรกลล้อมโจมตี], ออสการ์ [ไล่ล่าสุดตัว], แม็กซิมัส [ผู้บัญชีการล้อมโจมตี], โรนี่ จา [อัปเปอร์คัตเต็มๆ], [เจาะไม่เข้า], [ออกกำลังกาย], [ผ้าพันมือกึ่งโลหะ], แจ็ค ลิงไฟฟ้า [ลิงโรงไฟฟ้า], ดุ๊คฌอน มาบังกา [การรักษาด้วยสมุนไพร], [กองทหารแห่งหายนะ], [กับดักมรณะ], โรดริเกซ [กระบอกสูบแรงดันสูง], มาเวอริก [กลยุทธ์ซ่อมแซม] และ ไมค์ [ไปอย่างไว] สำหรับรายละเอียดเพิ่มเติม กรุณาดูที่การประกาศของชุมชน</v>
      </c>
      <c r="J30" s="108" t="str">
        <f>IFERROR(__xludf.DUMMYFUNCTION("""COMPUTED_VALUE"""),"- Para la Operación Mutantes, se mejoraron los requisitos para desbloquear niveles de dificultad, así como la dificultad y las recompensas que provienen de los mutantes.
 - Se mejoró la producción de los puntos de recursos de Nvl. 7, que también reaparece"&amp;"rán con más frecuencia.
 - Ajustes en los Equipos: se agregaron equipos para los Rompemuros; se eliminaron todos los equipos Básicos y Buenos, y las unidades correspondientes a los conjuntos de armas han vuelto a los niveles normales. Después de desbloque"&amp;"ar esta función, los equipos iniciarán con una calidad de Raro (Azul). Todos los materiales que gastaste para mejorar tus Equipos a Raro te serán devueltos por correo.
 - Cambios en las recompensas de material de equipo: Las recompensas de los cofres de a"&amp;"cción ahora contienen menos materiales de equipo y más Planos Raros y Épicos; reducción en el índice de producción de Piezas de Metal y Recubrimientos en la Fábrica de Equipos; se agregaron recompensas de Planos de Equipos y la Fibra Ligera a la función d"&amp;"e incursión en las Pruebas de Impasse; dentro del botín distribuido por el Líder Supremo, se aumentó la cantidad de Planos Legendarios y Fibras Ligeras; además, se redujo la cantidad de Partes de Metal y Revestimientos; se redujo la cantidad de Fibras Lig"&amp;"eras en las recompensas personales y de Clasificación de las Banda en Un Solo Golpe.
 - Se realizó una nueva ronda de ajustes para equilibrar y mejorar la fortaleza general de los Luchadores. Se realizaron cambios en las siguientes habilidades: [Máquina d"&amp;"e asedio] de Mastodonte; [Persecución Completa] de Oscar; [Comandante de Asedio] de Maximus; [Gancho Rompedor], [Impenetrable], [Entrenamiento], [Vendas de Mano de Metal] de Rony Jaa; [Simio Potenciado] de Electro Jack; [Remedios Herbales], [Tropas de la "&amp;"Calamidad], [Trampa Mortal] del Duque Sean; [Cilindro de Alta Presión] de Cosmo; [Maniobras de Reparación] de Korutopi y [Vehículo de Escape] de Mike. Para obtener más detalles, consulta en los anuncios de la comunidad.")</f>
        <v>- Para la Operación Mutantes, se mejoraron los requisitos para desbloquear niveles de dificultad, así como la dificultad y las recompensas que provienen de los mutantes.
 - Se mejoró la producción de los puntos de recursos de Nvl. 7, que también reaparecerán con más frecuencia.
 - Ajustes en los Equipos: se agregaron equipos para los Rompemuros; se eliminaron todos los equipos Básicos y Buenos, y las unidades correspondientes a los conjuntos de armas han vuelto a los niveles normales. Después de desbloquear esta función, los equipos iniciarán con una calidad de Raro (Azul). Todos los materiales que gastaste para mejorar tus Equipos a Raro te serán devueltos por correo.
 - Cambios en las recompensas de material de equipo: Las recompensas de los cofres de acción ahora contienen menos materiales de equipo y más Planos Raros y Épicos; reducción en el índice de producción de Piezas de Metal y Recubrimientos en la Fábrica de Equipos; se agregaron recompensas de Planos de Equipos y la Fibra Ligera a la función de incursión en las Pruebas de Impasse; dentro del botín distribuido por el Líder Supremo, se aumentó la cantidad de Planos Legendarios y Fibras Ligeras; además, se redujo la cantidad de Partes de Metal y Revestimientos; se redujo la cantidad de Fibras Ligeras en las recompensas personales y de Clasificación de las Banda en Un Solo Golpe.
 - Se realizó una nueva ronda de ajustes para equilibrar y mejorar la fortaleza general de los Luchadores. Se realizaron cambios en las siguientes habilidades: [Máquina de asedio] de Mastodonte; [Persecución Completa] de Oscar; [Comandante de Asedio] de Maximus; [Gancho Rompedor], [Impenetrable], [Entrenamiento], [Vendas de Mano de Metal] de Rony Jaa; [Simio Potenciado] de Electro Jack; [Remedios Herbales], [Tropas de la Calamidad], [Trampa Mortal] del Duque Sean; [Cilindro de Alta Presión] de Cosmo; [Maniobras de Reparación] de Korutopi y [Vehículo de Escape] de Mike. Para obtener más detalles, consulta en los anuncios de la comunidad.</v>
      </c>
      <c r="K30" s="108" t="str">
        <f>IFERROR(__xludf.DUMMYFUNCTION("""COMPUTED_VALUE"""),"- Для «Операции „Мутанты”» скорректированы требования для открытия уровней сложности, а также сложность и награды за мутантов.
- Повышена производительность точек ресурсов ур. 7, и они станут быстрее появляться.
- Скорректировано снаряжение: добавлено сна"&amp;"ряжение для стеноломов; удалено все базовое и отличное снаряжение, а бойцы с соответствующими наборами оружия вернулись к обычным уровням. После разблокировки этой функции минимальной редкостью для снаряжения будет «редкое» (синее). Все материалы, которые"&amp;" вы потратили на улучшение снаряжения до редкого, будут возвращены вам по почте.
- Изменения в наградах с материалами для снаряжения: в наградах в сундуках действия теперь содержится меньше материалов для снаряжения и больше редких и эпических чертежей; у"&amp;"меньшена скорость производства металлических деталей и покрытия на фабрике снаряжения; в награды за рейд «Испытаний Тупика» добавлены эпические чертежи и легкое волокно; в добыче, которую распределяет Владыка, увеличено количество легендарных чертежей и л"&amp;"егкого волокна и уменьшено количество металлических деталей и покрытия; уменьшено количество легкого волокна в наградах за личный рейтинг и рейтинг банды в событии «Одним махом».
- Для улучшения баланса и повышения общей силы героев проведен новый раунд к"&amp;"орректировок. Внесены изменения в следующие навыки: Мастодонт: [Осадное орудие], Оскар: [Напряженная погоня], Максимус: [Командир осады], Рони Джаа: [Мощный апперкот], [Непроницаемый], [Силовая тренировка], [Металлоидные наручи], Электро-Джек: [Обезьянья "&amp;"мощь], Герцог Шон [Народные средства], [Ходячее бедствие], [Смертельная ловушка], Космо: [Цилиндр высокого давления], Корутопи: [Ремонтные маневры] и Майк: [Машина для бегства]. Более подробные сведения можно найти в объявлениях сообщества.")</f>
        <v>- Для «Операции „Мутанты”» скорректированы требования для открытия уровней сложности, а также сложность и награды за мутантов.
- Повышена производительность точек ресурсов ур. 7, и они станут быстрее появляться.
- Скорректировано снаряжение: добавлено снаряжение для стеноломов; удалено все базовое и отличное снаряжение, а бойцы с соответствующими наборами оружия вернулись к обычным уровням. После разблокировки этой функции минимальной редкостью для снаряжения будет «редкое» (синее). Все материалы, которые вы потратили на улучшение снаряжения до редкого, будут возвращены вам по почте.
- Изменения в наградах с материалами для снаряжения: в наградах в сундуках действия теперь содержится меньше материалов для снаряжения и больше редких и эпических чертежей; уменьшена скорость производства металлических деталей и покрытия на фабрике снаряжения; в награды за рейд «Испытаний Тупика» добавлены эпические чертежи и легкое волокно; в добыче, которую распределяет Владыка, увеличено количество легендарных чертежей и легкого волокна и уменьшено количество металлических деталей и покрытия; уменьшено количество легкого волокна в наградах за личный рейтинг и рейтинг банды в событии «Одним махом».
- Для улучшения баланса и повышения общей силы героев проведен новый раунд корректировок. Внесены изменения в следующие навыки: Мастодонт: [Осадное орудие], Оскар: [Напряженная погоня], Максимус: [Командир осады], Рони Джаа: [Мощный апперкот], [Непроницаемый], [Силовая тренировка], [Металлоидные наручи], Электро-Джек: [Обезьянья мощь], Герцог Шон [Народные средства], [Ходячее бедствие], [Смертельная ловушка], Космо: [Цилиндр высокого давления], Корутопи: [Ремонтные маневры] и Майк: [Машина для бегства]. Более подробные сведения можно найти в объявлениях сообщества.</v>
      </c>
      <c r="L30" s="108" t="str">
        <f>IFERROR(__xludf.DUMMYFUNCTION("""COMPUTED_VALUE"""),"- Mutant Operasyonu için zorluk seviyelerinin kilidini açma gerekliliklerinin yanı sıra mutantların verdiği ödüller ve zorluk da geliştirildi.
- 7. Sv. kaynak noktalarının çıkışı geliştirildi ve daha sık ortaya çıkacakları şekilde ayarlandı.
- Aksesuar ay"&amp;"arları: Duvar Kırıcı Aksesuarlar eklendi, tüm Temel ve İyi Aksesuarlar kaldırıldı ve silah setlerine karşılık gelen birimler normal seviyelerine döndürüldü. Bu özelliğin kilidini açtıktan sonra Aksesuarlar Nadir kalitede (mavi) başlayacak. Aksesuarlarını "&amp;"Nadir seviyesine yükseltmek için kullandığın tüm materyal mail aracılığıyla iade edilecek.
- Ekipman materyal ödülü değişiklikleri: Aksiyon sandık ödülleri artık daha az ekipman materyali ve daha fazla Nadir ve Destansı Plan içeriyor. Metal Parçaların ve "&amp;"Ekipman Fabrikasındaki Kaplamaların üretim oranı azaltıldı. Çıkmaz Durum Denemeleri baskın özelliğine Destansı Plan ve Hafif Lif ödülleri eklendi. Büyük Lord tarafından dağıtılan yağmalardaki Efsanevi Plan ve Hafif Lif miktarı artırıldı, Metal Parça ve Ka"&amp;"plamaların miktarı azaltıldı. Bir Hamlede etkinliğinde kişisel ve Çete sıralama ödüllerinde çıkan Hafif Lif miktarı azaldı.
- Savaşçıların genel gücünü dengelemek ve geliştirmek için bir dizi ayarlama yapıldı. Değişiklik yapılan beceriler: Mastodonte'nin "&amp;"[Maymun Refleksleri], Oscar'ın [Tam Takip], Maximus'un [Kuşatma Komutanı], Rony Jaa'nın [Ağır Aparkat], [İçinden Geçilemez], [Antrenman], [Becerili Koordinasyon], Elektro Jack'in [Dinamo Maymun], Duke Sean'ın [Bitkisel Tedaviler], [Belalı Birlikler], [Ölü"&amp;"mcül Tuzak], Cosmo'nun [Yüksek Basınçlı Silindir], Korutopi'nin [Hayatta Kalma Uzmanı] ve Mike'ın [Kaçış Aracı]. Daha fazla bilgi için lütfen topluluk duyurularını incele.")</f>
        <v>- Mutant Operasyonu için zorluk seviyelerinin kilidini açma gerekliliklerinin yanı sıra mutantların verdiği ödüller ve zorluk da geliştirildi.
- 7. Sv. kaynak noktalarının çıkışı geliştirildi ve daha sık ortaya çıkacakları şekilde ayarlandı.
- Aksesuar ayarları: Duvar Kırıcı Aksesuarlar eklendi, tüm Temel ve İyi Aksesuarlar kaldırıldı ve silah setlerine karşılık gelen birimler normal seviyelerine döndürüldü. Bu özelliğin kilidini açtıktan sonra Aksesuarlar Nadir kalitede (mavi) başlayacak. Aksesuarlarını Nadir seviyesine yükseltmek için kullandığın tüm materyal mail aracılığıyla iade edilecek.
- Ekipman materyal ödülü değişiklikleri: Aksiyon sandık ödülleri artık daha az ekipman materyali ve daha fazla Nadir ve Destansı Plan içeriyor. Metal Parçaların ve Ekipman Fabrikasındaki Kaplamaların üretim oranı azaltıldı. Çıkmaz Durum Denemeleri baskın özelliğine Destansı Plan ve Hafif Lif ödülleri eklendi. Büyük Lord tarafından dağıtılan yağmalardaki Efsanevi Plan ve Hafif Lif miktarı artırıldı, Metal Parça ve Kaplamaların miktarı azaltıldı. Bir Hamlede etkinliğinde kişisel ve Çete sıralama ödüllerinde çıkan Hafif Lif miktarı azaldı.
- Savaşçıların genel gücünü dengelemek ve geliştirmek için bir dizi ayarlama yapıldı. Değişiklik yapılan beceriler: Mastodonte'nin [Maymun Refleksleri], Oscar'ın [Tam Takip], Maximus'un [Kuşatma Komutanı], Rony Jaa'nın [Ağır Aparkat], [İçinden Geçilemez], [Antrenman], [Becerili Koordinasyon], Elektro Jack'in [Dinamo Maymun], Duke Sean'ın [Bitkisel Tedaviler], [Belalı Birlikler], [Ölümcül Tuzak], Cosmo'nun [Yüksek Basınçlı Silindir], Korutopi'nin [Hayatta Kalma Uzmanı] ve Mike'ın [Kaçış Aracı]. Daha fazla bilgi için lütfen topluluk duyurularını incele.</v>
      </c>
      <c r="M30" s="108" t="str">
        <f>IFERROR(__xludf.DUMMYFUNCTION("""COMPUTED_VALUE"""),"- Tối ưu hoá điều kiện mở khoá độ khó, độ khó quái vật, đầu ra phần thưởng của lối chơi Vây Quét Khỉ Đột Biến
- Tối ưu hoá thu nhập tạo ra của Điểm Tài Nguyên cấp 7, đồng thời tăng thêm tần suất làm mới của nó
- Điều chỉnh Vũ Khí: Thêm Vũ Khí Lính Phá T"&amp;"hành; Huỷ tất cả Vũ Khí Thường, Tốt, đồng thời đem binh lính Bộ Vũ Khí tương ứng khôi phục thành binh lính bình thường; Sau khi tính năng mở khoá bắt đầu phát triển từ Hiếm (màu lam), đồng thời thông qua thư hoàn trả nguyên liệu trước đó người chơi tiêu h"&amp;"ao để phát triển lên phẩm chất Hiếm
- Điều chỉnh đầu ra nguyên liệu Trang Bị: Trong Rương Hành Động, giảm đầu ra nguyên liệu lắp ráp trang bị, tăng đầu ra bản vẽ lam và tím; Giảm số lượng Phần Kim Loại, Áo Choàng được tạo ra trên đơn vị thời gian trong N"&amp;"hà Máy Trang Bị; Tăng số lượng đầu ra nguyên liệu sợi nhẹ và bản vẽ tím trong phân phối chiến lợi phẩm Bá Chủ, giảm số lượng đầu ra nguyên liệu Phần Kim Loại, Áo Choàng; Giảm đầu ra nguyên liệu sợi nhẹ trong xếp hạng Bang Hội và xếp hạng Cá Nhân của Một L"&amp;"ưới Hốt Trọn.
- Đối với sức mạnh tổng thể của Chiến Binh đã tiến hành một đợt điều chỉnh tối ưu cân bằng, chủ yếu là tăng cường sức mạnh, liên quan đến Chiến Binh cùng với kỹ năng như sau:
Ma Stone [Vũ Khí Công Thành], Oscar [Ống Xả], Maximus [Chỉ Huy V"&amp;"ây Thành], Rony Jaa [Thăng Long Quyền] [Bất Khả Xuyên Phá] [Giải Quyết] [Bao Tay Kim Loại], Jack Điện Từ [Nhà Máy Điện Linh Trưởng], Sean [Thảo Dược] [Binh Lính Tai Ương] [Bẫy Rập Chết Người], Cosmo [Keo Dán Chắc], Korutopi [Chuẩn Bị Điều Động], Mike [Phư"&amp;"ơng Tiện Đi Lại]
Chi tiết điều chỉnh Chiến Binh có thể xem Thông Báo Cộng Đồng.")</f>
        <v>- Tối ưu hoá điều kiện mở khoá độ khó, độ khó quái vật, đầu ra phần thưởng của lối chơi Vây Quét Khỉ Đột Biến
- Tối ưu hoá thu nhập tạo ra của Điểm Tài Nguyên cấp 7, đồng thời tăng thêm tần suất làm mới của nó
- Điều chỉnh Vũ Khí: Thêm Vũ Khí Lính Phá Thành; Huỷ tất cả Vũ Khí Thường, Tốt, đồng thời đem binh lính Bộ Vũ Khí tương ứng khôi phục thành binh lính bình thường; Sau khi tính năng mở khoá bắt đầu phát triển từ Hiếm (màu lam), đồng thời thông qua thư hoàn trả nguyên liệu trước đó người chơi tiêu hao để phát triển lên phẩm chất Hiếm
- Điều chỉnh đầu ra nguyên liệu Trang Bị: Trong Rương Hành Động, giảm đầu ra nguyên liệu lắp ráp trang bị, tăng đầu ra bản vẽ lam và tím; Giảm số lượng Phần Kim Loại, Áo Choàng được tạo ra trên đơn vị thời gian trong Nhà Máy Trang Bị; Tăng số lượng đầu ra nguyên liệu sợi nhẹ và bản vẽ tím trong phân phối chiến lợi phẩm Bá Chủ, giảm số lượng đầu ra nguyên liệu Phần Kim Loại, Áo Choàng; Giảm đầu ra nguyên liệu sợi nhẹ trong xếp hạng Bang Hội và xếp hạng Cá Nhân của Một Lưới Hốt Trọn.
- Đối với sức mạnh tổng thể của Chiến Binh đã tiến hành một đợt điều chỉnh tối ưu cân bằng, chủ yếu là tăng cường sức mạnh, liên quan đến Chiến Binh cùng với kỹ năng như sau:
Ma Stone [Vũ Khí Công Thành], Oscar [Ống Xả], Maximus [Chỉ Huy Vây Thành], Rony Jaa [Thăng Long Quyền] [Bất Khả Xuyên Phá] [Giải Quyết] [Bao Tay Kim Loại], Jack Điện Từ [Nhà Máy Điện Linh Trưởng], Sean [Thảo Dược] [Binh Lính Tai Ương] [Bẫy Rập Chết Người], Cosmo [Keo Dán Chắc], Korutopi [Chuẩn Bị Điều Động], Mike [Phương Tiện Đi Lại]
Chi tiết điều chỉnh Chiến Binh có thể xem Thông Báo Cộng Đồng.</v>
      </c>
      <c r="N30" s="108"/>
      <c r="O30" s="108"/>
      <c r="P30" s="108"/>
      <c r="Q30" s="108"/>
      <c r="R30" s="108"/>
      <c r="S30" s="108"/>
      <c r="T30" s="108"/>
      <c r="U30" s="108"/>
      <c r="V30" s="108"/>
      <c r="W30" s="108"/>
      <c r="X30" s="108"/>
      <c r="Y30" s="108"/>
      <c r="Z30" s="108"/>
    </row>
    <row r="31">
      <c r="A31" s="108" t="str">
        <f>IFERROR(__xludf.DUMMYFUNCTION("""COMPUTED_VALUE"""),"0.48.0")</f>
        <v>0.48.0</v>
      </c>
      <c r="B31" s="108" t="str">
        <f>IFERROR(__xludf.DUMMYFUNCTION("""COMPUTED_VALUE"""),"-一网打尽：优化了玩法的难度和时长，同时对奖励进行了调整。
-火箭发射台：增加了占领火箭发射台的奖励。
-好友亲密度：调整了亲密度升级所需数额。
-围剿变异猴：优化了围剿变异猴玩法的奖励产出。
-普通任务：调整了完成科研次数和举办普通宴会次数的任务条件。
-每日任务：调整了每日任务活跃宝箱中战装材料的产出。
-7级采集点：优化了单次获得奖励和可获得奖励的次数。
-特权商店：对于商店中可使用资源来兑换的商品，由使用钢铁调整为使用食物进行兑换。
-押运：调整了押运玩法的刷新权重和升级运输车等级的价格。")</f>
        <v>-一网打尽：优化了玩法的难度和时长，同时对奖励进行了调整。
-火箭发射台：增加了占领火箭发射台的奖励。
-好友亲密度：调整了亲密度升级所需数额。
-围剿变异猴：优化了围剿变异猴玩法的奖励产出。
-普通任务：调整了完成科研次数和举办普通宴会次数的任务条件。
-每日任务：调整了每日任务活跃宝箱中战装材料的产出。
-7级采集点：优化了单次获得奖励和可获得奖励的次数。
-特权商店：对于商店中可使用资源来兑换的商品，由使用钢铁调整为使用食物进行兑换。
-押运：调整了押运玩法的刷新权重和升级运输车等级的价格。</v>
      </c>
      <c r="C31" s="108" t="str">
        <f>IFERROR(__xludf.DUMMYFUNCTION("""COMPUTED_VALUE"""),"- One Fell Swoop: Improved the feature's difficulty and duration and adjusted its rewards.
- Launchpad: Added rewards for occupying the Launchpad.
- Familiarity with friends: Changed the number of points needed to upgrade Familiarity.
- Operation Mutants:"&amp;" Optimized the rewards you can obtain from the feature.
- Regular quests: Changed the required number of research and basic banquets you must conduct for certain quests.
- Daily quests: Modified the content of equipment rewards you receive from Action Che"&amp;"sts.
- Lv. 7 resource spots: Adjusted the rewards you get each time you deplete these resource spots and how many times you can obtain rewards.
- Privilege shop: You now use Food instead of Iron to redeem items that can be bought with resources.
- Convoys"&amp;": Adjusted the importance of refreshes in Convoys and the price of upgrading them.")</f>
        <v>- One Fell Swoop: Improved the feature's difficulty and duration and adjusted its rewards.
- Launchpad: Added rewards for occupying the Launchpad.
- Familiarity with friends: Changed the number of points needed to upgrade Familiarity.
- Operation Mutants: Optimized the rewards you can obtain from the feature.
- Regular quests: Changed the required number of research and basic banquets you must conduct for certain quests.
- Daily quests: Modified the content of equipment rewards you receive from Action Chests.
- Lv. 7 resource spots: Adjusted the rewards you get each time you deplete these resource spots and how many times you can obtain rewards.
- Privilege shop: You now use Food instead of Iron to redeem items that can be bought with resources.
- Convoys: Adjusted the importance of refreshes in Convoys and the price of upgrading them.</v>
      </c>
      <c r="D31" s="108" t="str">
        <f>IFERROR(__xludf.DUMMYFUNCTION("""COMPUTED_VALUE"""),"- Un coup fatal: optimisation du niveau de difficulté et de la durée; ajustement des récompenses.
- Pas de tir: ajout de récompenses pour l'occupation du pas de tir.
- Familiarité: modification du nombre de points nécessaire pour améliorer la familiarité."&amp;"
- Opération mutants: modification des récompenses obtenues.
- Quêtes régulières: modification du nombre de recherches et de festins standards nécessaires pour certaines quêtes.
- Quêtes quotidiennes: modification de l'équipement contenu dans les récompen"&amp;"ses des coffres d'action.
- Point de ressources niv.7: ajustement des récompenses obtenues lorsque vous épuisez ces points de ressources et du nombre de fois que vous pouvez les obtenir.
- Boutique privilège: pour les objets échangeables contre des ressou"&amp;"rces, vous pouvez désormais utiliser de la nourriture à la place de la ferraille.
- Convois: optimisation de l'importance de l'actualisation des convois et de leur coût d'amélioration.")</f>
        <v>- Un coup fatal: optimisation du niveau de difficulté et de la durée; ajustement des récompenses.
- Pas de tir: ajout de récompenses pour l'occupation du pas de tir.
- Familiarité: modification du nombre de points nécessaire pour améliorer la familiarité.
- Opération mutants: modification des récompenses obtenues.
- Quêtes régulières: modification du nombre de recherches et de festins standards nécessaires pour certaines quêtes.
- Quêtes quotidiennes: modification de l'équipement contenu dans les récompenses des coffres d'action.
- Point de ressources niv.7: ajustement des récompenses obtenues lorsque vous épuisez ces points de ressources et du nombre de fois que vous pouvez les obtenir.
- Boutique privilège: pour les objets échangeables contre des ressources, vous pouvez désormais utiliser de la nourriture à la place de la ferraille.
- Convois: optimisation de l'importance de l'actualisation des convois et de leur coût d'amélioration.</v>
      </c>
      <c r="E31" s="108" t="str">
        <f>IFERROR(__xludf.DUMMYFUNCTION("""COMPUTED_VALUE"""),"- Auf einen Schlag: Der Schwierigkeitsgrad und die Dauer des Features wurden optimiert und die Belohnungen angepasst.
- Startrampe: Es wurden Belohnungen für das Besetzen der Startrampe hinzugefügt.
- Vertrautheit mit Freunden: Die Anzahl der Punkte, die "&amp;"zum Aufwerten der Vertrautheit benötigt werden, wurde angepasst.
- Operation Mutanten: Die Belohnungen, die du für dieses Feature erhältst, wurden optimiert.
- Normale Quests: Die Anzahl der erforderlichen Forschungen und einfachen Festmahle für bestimmte"&amp;" Quests wurde geändert.
- Tägliche Quests: Der Inhalt der Ausrüstungsbelohnungen, die du aus Aktionstruhen erhältst, wurde geändert.
- Lv.7-Ressourcenquellen: Die Belohnungen, die du jeweils beim Aufbrauchen dieser Ressourcenquellen erhältst, und die Häuf"&amp;"igkeit, mit der du Belohnungen erhalten kannst, wurden angepasst.
- Privilegien-Shop: Zum Einlösen von Gegenständen, die mit Ressourcen gekauft werden können, wird jetzt Nahrung anstelle von Eisen benutzt.
- Konvois: Die Wichtigkeit des Aktualisierens von"&amp;" Konvois und der Preis für ihr Aufwerten wurden angepasst.")</f>
        <v>- Auf einen Schlag: Der Schwierigkeitsgrad und die Dauer des Features wurden optimiert und die Belohnungen angepasst.
- Startrampe: Es wurden Belohnungen für das Besetzen der Startrampe hinzugefügt.
- Vertrautheit mit Freunden: Die Anzahl der Punkte, die zum Aufwerten der Vertrautheit benötigt werden, wurde angepasst.
- Operation Mutanten: Die Belohnungen, die du für dieses Feature erhältst, wurden optimiert.
- Normale Quests: Die Anzahl der erforderlichen Forschungen und einfachen Festmahle für bestimmte Quests wurde geändert.
- Tägliche Quests: Der Inhalt der Ausrüstungsbelohnungen, die du aus Aktionstruhen erhältst, wurde geändert.
- Lv.7-Ressourcenquellen: Die Belohnungen, die du jeweils beim Aufbrauchen dieser Ressourcenquellen erhältst, und die Häufigkeit, mit der du Belohnungen erhalten kannst, wurden angepasst.
- Privilegien-Shop: Zum Einlösen von Gegenständen, die mit Ressourcen gekauft werden können, wird jetzt Nahrung anstelle von Eisen benutzt.
- Konvois: Die Wichtigkeit des Aktualisierens von Konvois und der Preis für ihr Aufwerten wurden angepasst.</v>
      </c>
      <c r="F31" s="108" t="str">
        <f>IFERROR(__xludf.DUMMYFUNCTION("""COMPUTED_VALUE"""),"- De uma só Vez: melhoria na dificuldade e durações, além de ajustes nas recompensas.
- Base de lançamento: recompensas adicionadas por ocupar a base de lançamento.
- Familiaridade com amigos: alteração no número de pontos necessário para melhorar a famil"&amp;"iaridade.
- Operação Mutantes: melhoria nas recompensas que podem ser obtidas.
- Missões regulares: mudança no número necessário de banquetes básicos que você deve realizar para determinadas missões.
- Missões diárias: modificação no conteúdo de recompens"&amp;"as de equipamento recebidos em baús de ação.
- Pontos de recursos Nv. 7: ajuste nas recompensas obtidas cada vez que você esgota tais pontos de recursos e quantas vezes pode obter as recompensas.
- Loja de Privilégios: agora você pode usar comida em vez d"&amp;"e ferro para reivindicar itens comprados com recursos.
- Comboios: ajuste na relevância de atualizações em comboios e no preço para melhorá-los.")</f>
        <v>- De uma só Vez: melhoria na dificuldade e durações, além de ajustes nas recompensas.
- Base de lançamento: recompensas adicionadas por ocupar a base de lançamento.
- Familiaridade com amigos: alteração no número de pontos necessário para melhorar a familiaridade.
- Operação Mutantes: melhoria nas recompensas que podem ser obtidas.
- Missões regulares: mudança no número necessário de banquetes básicos que você deve realizar para determinadas missões.
- Missões diárias: modificação no conteúdo de recompensas de equipamento recebidos em baús de ação.
- Pontos de recursos Nv. 7: ajuste nas recompensas obtidas cada vez que você esgota tais pontos de recursos e quantas vezes pode obter as recompensas.
- Loja de Privilégios: agora você pode usar comida em vez de ferro para reivindicar itens comprados com recursos.
- Comboios: ajuste na relevância de atualizações em comboios e no preço para melhorá-los.</v>
      </c>
      <c r="G31" s="108" t="str">
        <f>IFERROR(__xludf.DUMMYFUNCTION("""COMPUTED_VALUE"""),"-一網打盡：優化了玩法的難度和時長，同時對獎勵進行了調整。
-火箭發射台：增加了佔領火箭發射台的獎勵。
-好友親密度：調整了親密度升級所需數額。
-圍剿變異猴：優化了圍剿變異猴玩法的獎勵產出。
-普通任務：調整了完成科研次數和舉辦普通宴會次數的任務條件。
-每日任務：調整了每日任務活躍寶箱中戰裝材料的產出。
-7級採集點：優化了單次獲得獎勵和可獲得獎勵的次數。
-特權商店：對於商店中可使用資源來兌換的商品，由使用鋼鐵調整為使用食物進行兌換。
-押運：調整了押運玩法的刷新權重和升級運輸車等級的價格。
")</f>
        <v>-一網打盡：優化了玩法的難度和時長，同時對獎勵進行了調整。
-火箭發射台：增加了佔領火箭發射台的獎勵。
-好友親密度：調整了親密度升級所需數額。
-圍剿變異猴：優化了圍剿變異猴玩法的獎勵產出。
-普通任務：調整了完成科研次數和舉辦普通宴會次數的任務條件。
-每日任務：調整了每日任務活躍寶箱中戰裝材料的產出。
-7級採集點：優化了單次獲得獎勵和可獲得獎勵的次數。
-特權商店：對於商店中可使用資源來兌換的商品，由使用鋼鐵調整為使用食物進行兌換。
-押運：調整了押運玩法的刷新權重和升級運輸車等級的價格。
</v>
      </c>
      <c r="H31" s="108" t="str">
        <f>IFERROR(__xludf.DUMMYFUNCTION("""COMPUTED_VALUE"""),"- Satu Serangan: Peningkatan kesulitan dan durasi game, juga menyesuaikan hadiah.
- Landasan Luncur Roket: Menambah hadiah menduduki Landasan Luncur Roket.
- Intimasi teman: Menyesuaikan nilai yang diperlukan untuk naik level intimasi.
- Pengepungan Kera "&amp;"Mutan: Meningkatkan hadiah yang diberikan Pengepungan Kera Mutan.
- Tugas Rutin: Menyesuaikan jumlah tugas menyelesaikan Penelitian dan mengadakan jamuan biasa.
- Tantangan Harian: Menyesuaikan produksi material perlengkapan dalam peti aksi tantangan hari"&amp;"an.
- Tempat Sumber Daya Lv.7: Peningkatan hadiah yang didapat 1 kali dan jumlah bisa mendapatkan hadiah.
- Toko Keuntungan: Pada penukaran item di toko dengan sumber daya, penukaran dengan besi diubah menjadi makanan.
- Konvoi Klan: Menyesuaikan hak refr"&amp;"esh konvoi klan dan harga meningkatkan level Konvoi.")</f>
        <v>- Satu Serangan: Peningkatan kesulitan dan durasi game, juga menyesuaikan hadiah.
- Landasan Luncur Roket: Menambah hadiah menduduki Landasan Luncur Roket.
- Intimasi teman: Menyesuaikan nilai yang diperlukan untuk naik level intimasi.
- Pengepungan Kera Mutan: Meningkatkan hadiah yang diberikan Pengepungan Kera Mutan.
- Tugas Rutin: Menyesuaikan jumlah tugas menyelesaikan Penelitian dan mengadakan jamuan biasa.
- Tantangan Harian: Menyesuaikan produksi material perlengkapan dalam peti aksi tantangan harian.
- Tempat Sumber Daya Lv.7: Peningkatan hadiah yang didapat 1 kali dan jumlah bisa mendapatkan hadiah.
- Toko Keuntungan: Pada penukaran item di toko dengan sumber daya, penukaran dengan besi diubah menjadi makanan.
- Konvoi Klan: Menyesuaikan hak refresh konvoi klan dan harga meningkatkan level Konvoi.</v>
      </c>
      <c r="I31" s="108" t="str">
        <f>IFERROR(__xludf.DUMMYFUNCTION("""COMPUTED_VALUE"""),"- กวาดเรียบในครั้งเดียว: ปรับปรุงความยากและระยะเวลาของฟีเจอร์ รวมถึงปรับของรางวัลที่ได้
- แท่นปล่อยยาน: เพิ่มของรางวัลให้กับการยึดครองแท่นปล่อยยาน
- ความสนิทสนมกับเพื่อน: ปรับจำนวนแต้มที่ใช้ในการอัปเกรดความสนิทสนม
- ปฏิบัติการตัวกลายพันธุ์: ปรับของรางวัลท"&amp;"ี่คุณจะได้รับจากฟีเจอร์นี้
- เควสทั่วไป: เปลี่ยนจำนวนการวิจัยและงานเลี้ยงพื้นฐานที่คุณต้องทำในบางเควส
- เควสประจำวัน: ปรับของรางวัลอุปกรณ์ที่คุณได้รับจากหีบผลงาน
- จุดทรัพยากร Lv. 7: ปรับของรางวัลที่คุณได้รับในแต่ละครั้งที่คุณเก็บจุดทรัพยากรจนหมดและจำนวนค"&amp;"รั้งที่คุณจะรับของรางวัลได้
- ร้านสิทธิพิเศษ: ตอนนี้คุณสามารถใช้อาหารแทนเหล็กในการแลกรับไอเทมที่สามารถซื้อด้วยทรัพยากรได้แล้ว
- คอนวอย: ปรับความสำคัญในการรีเฟรชคอนวอยและค่าอัปเกรด")</f>
        <v>- กวาดเรียบในครั้งเดียว: ปรับปรุงความยากและระยะเวลาของฟีเจอร์ รวมถึงปรับของรางวัลที่ได้
- แท่นปล่อยยาน: เพิ่มของรางวัลให้กับการยึดครองแท่นปล่อยยาน
- ความสนิทสนมกับเพื่อน: ปรับจำนวนแต้มที่ใช้ในการอัปเกรดความสนิทสนม
- ปฏิบัติการตัวกลายพันธุ์: ปรับของรางวัลที่คุณจะได้รับจากฟีเจอร์นี้
- เควสทั่วไป: เปลี่ยนจำนวนการวิจัยและงานเลี้ยงพื้นฐานที่คุณต้องทำในบางเควส
- เควสประจำวัน: ปรับของรางวัลอุปกรณ์ที่คุณได้รับจากหีบผลงาน
- จุดทรัพยากร Lv. 7: ปรับของรางวัลที่คุณได้รับในแต่ละครั้งที่คุณเก็บจุดทรัพยากรจนหมดและจำนวนครั้งที่คุณจะรับของรางวัลได้
- ร้านสิทธิพิเศษ: ตอนนี้คุณสามารถใช้อาหารแทนเหล็กในการแลกรับไอเทมที่สามารถซื้อด้วยทรัพยากรได้แล้ว
- คอนวอย: ปรับความสำคัญในการรีเฟรชคอนวอยและค่าอัปเกรด</v>
      </c>
      <c r="J31" s="108" t="str">
        <f>IFERROR(__xludf.DUMMYFUNCTION("""COMPUTED_VALUE"""),"- Un Solo Golpe: Se mejoró la dificultad y la duración en esta función y se ajustaron sus recompensas.
- Plataforma de Lanzamiento: Se agregaron recompensas por ocupar la Plataforma de Lanzamiento.
- Familiaridad con amigos: Se modificó la cantidad de pun"&amp;"tos necesarios para mejorar la Familiaridad.
- Operación Mutantes: Se optimizaron las recompensas que puede obtener de esta función.
- Misiones regulares: Se modificó el número requerido de investigaciones y banquetes básicos que debes realizar para ciert"&amp;"as misiones.
- Misiones diarias: Se modificó el contenido de las recompensas de equipo que recibes de los Cofres de Acción.
- Puntos de Recursos de Nvl. 7: Ajuste en las recompensas que obtienes cada vez que agota estos puntos de recursos y cuántas veces "&amp;"puede obtener recompensas.
- Tienda de Privilegios: Ahora usarás Comida en lugar de Hierro para canjear por artículos que se pueden comprar con recursos.
- Convoyes: Ajuste en la importancia de las actualizaciones en los Convoyes y el precio de actualizar"&amp;"los.")</f>
        <v>- Un Solo Golpe: Se mejoró la dificultad y la duración en esta función y se ajustaron sus recompensas.
- Plataforma de Lanzamiento: Se agregaron recompensas por ocupar la Plataforma de Lanzamiento.
- Familiaridad con amigos: Se modificó la cantidad de puntos necesarios para mejorar la Familiaridad.
- Operación Mutantes: Se optimizaron las recompensas que puede obtener de esta función.
- Misiones regulares: Se modificó el número requerido de investigaciones y banquetes básicos que debes realizar para ciertas misiones.
- Misiones diarias: Se modificó el contenido de las recompensas de equipo que recibes de los Cofres de Acción.
- Puntos de Recursos de Nvl. 7: Ajuste en las recompensas que obtienes cada vez que agota estos puntos de recursos y cuántas veces puede obtener recompensas.
- Tienda de Privilegios: Ahora usarás Comida en lugar de Hierro para canjear por artículos que se pueden comprar con recursos.
- Convoyes: Ajuste en la importancia de las actualizaciones en los Convoyes y el precio de actualizarlos.</v>
      </c>
      <c r="K31" s="108" t="str">
        <f>IFERROR(__xludf.DUMMYFUNCTION("""COMPUTED_VALUE"""),"- «Одним махом»: оптимизирована сложность и продолжительность события и скорректированы награды.
- Стартплощадка: добавлены награды за оккупацию стартплощадки.
- Знакомство с друзьями: изменено количество очков, необходимых для повышения уровня знакомства"&amp;".
- «Операция „Мутанты”»: оптимизированы награды, которые можно получить в событии.
- Обычные задания: изменено количество исследований и простых пиров, которые необходимо провести для выполнения определенных заданий.
- Ежедневные задания: изменен состав "&amp;"наград со снаряжением, которые вы получаете из сундуков действия.
- Точки ресурсов ур. 7: оптимизированы награды, которые вы получаете за истощение этих точек ресурсов, и то, сколько раз вы можете получить награды.
- Магазин привилегий: для покупки предме"&amp;"тов за ресурсы теперь используется пища, а не железо.
- Караваны: оптимизирована важность обновления караванов и цена их улучшения.")</f>
        <v>- «Одним махом»: оптимизирована сложность и продолжительность события и скорректированы награды.
- Стартплощадка: добавлены награды за оккупацию стартплощадки.
- Знакомство с друзьями: изменено количество очков, необходимых для повышения уровня знакомства.
- «Операция „Мутанты”»: оптимизированы награды, которые можно получить в событии.
- Обычные задания: изменено количество исследований и простых пиров, которые необходимо провести для выполнения определенных заданий.
- Ежедневные задания: изменен состав наград со снаряжением, которые вы получаете из сундуков действия.
- Точки ресурсов ур. 7: оптимизированы награды, которые вы получаете за истощение этих точек ресурсов, и то, сколько раз вы можете получить награды.
- Магазин привилегий: для покупки предметов за ресурсы теперь используется пища, а не железо.
- Караваны: оптимизирована важность обновления караванов и цена их улучшения.</v>
      </c>
      <c r="L31" s="108" t="str">
        <f>IFERROR(__xludf.DUMMYFUNCTION("""COMPUTED_VALUE"""),"- Bir Hamlede: Özelliğin zorluğu ve süresi geliştirildi, ödülleri yeniden ayarlandı.
- Fırlatma Rampası: Fırlatma Rampasını işgal etme ödülleri eklendi.
- Arkadaşlarla Yakınlık: Yakınlığı yükseltmek için gerekli puan miktarı değiştirildi.
- Mutant Operasy"&amp;"onu: Bu özellikten kazanılan ödüller optimize edildi.
- Sıradan görevler: Bazı görevler için yapman gereken araştırma ve temel ziyafet sayısı değiştirildi.
- Günlük görevler: Eylem Sandıklarından kazanılan ekipman ödüllerinin içeriği değiştirildi.
- 7. Sv"&amp;". kaynak noktaları: Bu kaynak noktaları her tükendiğinde kazanılan ödüller ve bu ödülleri kazanma sayısı düzenlendi.
- Ayrıcalık mağazası: Kaynaklarla satın alınabilen ödülleri almak için artık Demir yerine Yiyecek kullanılabilir.
- Konvoylar: Konvoyları "&amp;"yenilemenin önemi ve yükseltme ücreti yeniden ayarlandı.")</f>
        <v>- Bir Hamlede: Özelliğin zorluğu ve süresi geliştirildi, ödülleri yeniden ayarlandı.
- Fırlatma Rampası: Fırlatma Rampasını işgal etme ödülleri eklendi.
- Arkadaşlarla Yakınlık: Yakınlığı yükseltmek için gerekli puan miktarı değiştirildi.
- Mutant Operasyonu: Bu özellikten kazanılan ödüller optimize edildi.
- Sıradan görevler: Bazı görevler için yapman gereken araştırma ve temel ziyafet sayısı değiştirildi.
- Günlük görevler: Eylem Sandıklarından kazanılan ekipman ödüllerinin içeriği değiştirildi.
- 7. Sv. kaynak noktaları: Bu kaynak noktaları her tükendiğinde kazanılan ödüller ve bu ödülleri kazanma sayısı düzenlendi.
- Ayrıcalık mağazası: Kaynaklarla satın alınabilen ödülleri almak için artık Demir yerine Yiyecek kullanılabilir.
- Konvoylar: Konvoyları yenilemenin önemi ve yükseltme ücreti yeniden ayarlandı.</v>
      </c>
      <c r="M31" s="108" t="str">
        <f>IFERROR(__xludf.DUMMYFUNCTION("""COMPUTED_VALUE"""),"- Một Lưới Hốt Trọn: Tối ưu độ khó và thời lượng lối chơi, đồng thời tiến hành điều chỉnh đối với phần thưởng. 
- Bệ Phóng Hoả Tiễn: Thêm phần thưởng Chiếm Đóng Bệ Phóng Hoả Tiễn. 
- Độ Thân Mật Bạn Bè: Điều chỉnh mức cần thiết để nâng cấp Độ Thân Mật. 
-"&amp;" Vây Quét Khỉ Đột Biến: Tối ưu phần thưởng lối chơi Vây Quét Khỉ Đột Biến tạo ra. 
- Nhiệm Vụ Thường: Điều chỉnh điều kiện nhiệm vụ số lần hoàn thành nghiên cứu và số lần tổ chức bữa tiệc bình dân. 
- Nhiệm Vụ Hàng Ngày: Điều chỉnh nguyên liệu trang bị Ch"&amp;"iến Binh được tạo ra trong rương hoạt động nhiệm vụ hàng ngày. 
- Điểm Tài Nguyên Cấp 7: Tối ưu phần thưởng nhận được mỗi lần và số lần có thể nhận được phần thưởng. 
- Cửa Hàng Đặc Quyền: Đối với vật phẩm có thể dùng tài nguyên để đổi trong Cửa Hàng, sử "&amp;"dụng Sắt điều chỉnh thành sử dụng Thực Phẩm để tiến hành đổi. 
- Hộ Tống: Điều chỉnh tầm quan trọng của việc làm mới trong lối chơi Hộ Tống và giá để nâng cấp Xe Chuyên Chở.")</f>
        <v>- Một Lưới Hốt Trọn: Tối ưu độ khó và thời lượng lối chơi, đồng thời tiến hành điều chỉnh đối với phần thưởng. 
- Bệ Phóng Hoả Tiễn: Thêm phần thưởng Chiếm Đóng Bệ Phóng Hoả Tiễn. 
- Độ Thân Mật Bạn Bè: Điều chỉnh mức cần thiết để nâng cấp Độ Thân Mật. 
- Vây Quét Khỉ Đột Biến: Tối ưu phần thưởng lối chơi Vây Quét Khỉ Đột Biến tạo ra. 
- Nhiệm Vụ Thường: Điều chỉnh điều kiện nhiệm vụ số lần hoàn thành nghiên cứu và số lần tổ chức bữa tiệc bình dân. 
- Nhiệm Vụ Hàng Ngày: Điều chỉnh nguyên liệu trang bị Chiến Binh được tạo ra trong rương hoạt động nhiệm vụ hàng ngày. 
- Điểm Tài Nguyên Cấp 7: Tối ưu phần thưởng nhận được mỗi lần và số lần có thể nhận được phần thưởng. 
- Cửa Hàng Đặc Quyền: Đối với vật phẩm có thể dùng tài nguyên để đổi trong Cửa Hàng, sử dụng Sắt điều chỉnh thành sử dụng Thực Phẩm để tiến hành đổi. 
- Hộ Tống: Điều chỉnh tầm quan trọng của việc làm mới trong lối chơi Hộ Tống và giá để nâng cấp Xe Chuyên Chở.</v>
      </c>
      <c r="N31" s="169" t="str">
        <f>IFERROR(__xludf.DUMMYFUNCTION("""COMPUTED_VALUE"""),"- D'un sol colpo: migliorate la difficoltà e la durata della funzione, modificate le ricompense.
- Rampa di lancio: aggiunte ricompense per l'occupazione della Rampa di lancio.
- Familiarità con amici: modificato il numero di punti necessari per migliorar"&amp;"e la Familiarità.
- Operazione Mutanti: ricompense che puoi ottenere dalla funzione ottimizzate.
- Missioni ordinarie: modificato il numero di ricerche e banchetti ordinari necessari per alcune missioni.
- Missioni giornaliere: modificato il contenuto del"&amp;"le ricompense di equipaggiamento ricevute dalle Casse azione.
- Punti di raccolta di liv.7: modificate le ricompense che ottieni ogni volta che esaurisci questi punti di raccolta e del numero di volte in cui puoi ottenere le ricompense.
- Negozio privileg"&amp;"i: ora puoi usare Cibo anziché Ferro per riscattare oggetti che possono essere acquistati con risorse.
- Convogli: modificata l'importanza degli aggiornamenti dei convogli e il costo del potenziamento.")</f>
        <v>- D'un sol colpo: migliorate la difficoltà e la durata della funzione, modificate le ricompense.
- Rampa di lancio: aggiunte ricompense per l'occupazione della Rampa di lancio.
- Familiarità con amici: modificato il numero di punti necessari per migliorare la Familiarità.
- Operazione Mutanti: ricompense che puoi ottenere dalla funzione ottimizzate.
- Missioni ordinarie: modificato il numero di ricerche e banchetti ordinari necessari per alcune missioni.
- Missioni giornaliere: modificato il contenuto delle ricompense di equipaggiamento ricevute dalle Casse azione.
- Punti di raccolta di liv.7: modificate le ricompense che ottieni ogni volta che esaurisci questi punti di raccolta e del numero di volte in cui puoi ottenere le ricompense.
- Negozio privilegi: ora puoi usare Cibo anziché Ferro per riscattare oggetti che possono essere acquistati con risorse.
- Convogli: modificata l'importanza degli aggiornamenti dei convogli e il costo del potenziamento.</v>
      </c>
      <c r="O31" s="169" t="str">
        <f>IFERROR(__xludf.DUMMYFUNCTION("""COMPUTED_VALUE"""),"- Za jednym zamachem: udoskonalono poziom trudności wydarzenia oraz jego czas trwania, a także poprawiono system nagród.
- Kosmodrom: dodano nagrody za zajęcie Kosmodromu.
- Znajomość ze znajomymi: zmieniono liczbę punktów wymaganych do zwiększenia Znajom"&amp;"ości.
- Operacja Mutanty: zoptymalizowano nagrody, które można zdobyć w wydarzeniu.
- Normalne zadania: zmieniono wymaganą liczbę badań do przeprowadzenia i Podstawowych bankietów do zorganizowania w ramach określonych zadań.
- Codzienne zadania: zmodyfik"&amp;"owano zawartość nagród z wyposażeniem otrzymywanych ze Skrzyń akcji.
- Punkty z zasobami poz. 7: zmodyfikowano nagrody otrzymywane za każdym razem, gdy te punkty z zasobami zostaną wyczerpane, oraz ile razy można otrzymać te nagrody.
- Sklep dla uprzywile"&amp;"jowanych: do uzyskania przedmiotów, które można kupić za zasoby, można teraz użyć Żywności zamiast Żelaza.
- Konwoje: zmodyfikowano ważność odświeżeń w Konwojach oraz cenę ich ulepszenia.")</f>
        <v>- Za jednym zamachem: udoskonalono poziom trudności wydarzenia oraz jego czas trwania, a także poprawiono system nagród.
- Kosmodrom: dodano nagrody za zajęcie Kosmodromu.
- Znajomość ze znajomymi: zmieniono liczbę punktów wymaganych do zwiększenia Znajomości.
- Operacja Mutanty: zoptymalizowano nagrody, które można zdobyć w wydarzeniu.
- Normalne zadania: zmieniono wymaganą liczbę badań do przeprowadzenia i Podstawowych bankietów do zorganizowania w ramach określonych zadań.
- Codzienne zadania: zmodyfikowano zawartość nagród z wyposażeniem otrzymywanych ze Skrzyń akcji.
- Punkty z zasobami poz. 7: zmodyfikowano nagrody otrzymywane za każdym razem, gdy te punkty z zasobami zostaną wyczerpane, oraz ile razy można otrzymać te nagrody.
- Sklep dla uprzywilejowanych: do uzyskania przedmiotów, które można kupić za zasoby, można teraz użyć Żywności zamiast Żelaza.
- Konwoje: zmodyfikowano ważność odświeżeń w Konwojach oraz cenę ich ulepszenia.</v>
      </c>
      <c r="P31" s="108" t="str">
        <f>IFERROR(__xludf.DUMMYFUNCTION("""COMPUTED_VALUE"""),"- الإنقضاض الشامل: تم تحسين صعوبة الميزة ومدتها وتعديل مكافآتها.
- منصة الإطلاق: تمت إضافة مكافآت لإحتلال منصة الإطلاق.
- الألفة بين الأصدقاء: تم تغيير عدد النقاط اللازمة لترقية الألفة.
- عملية المسوخ: تحسين المكافآت التي يمكنك الحصول عليها من الميزة.
- ا"&amp;"لمهام المنتظمة: تم تغيير العدد المطلوب من الأبحاث والمآدب الأساسية التي يجب إجراؤها لمهام معينة.
- المهام اليومية: تم تعديل محتوى مكافآت المعدات التي ستتلقاها من صناديق العمل.
- مواقع موارد مستوى 7: تم تعديل المكافآت التي ستحصل عليها في كل مرة تستنفد فيها"&amp;" هذه الموارد وعدد المرات التي يمكنك فيها الحصول على المكافآت.
- متجر الامتيازات: يمكنك الآن استخدام الطعام بدلاً من الحديد لمقايضة العناصر التي يمكن شراؤها بالموارد.
- القوافل: تم تعديل أهمية التحديثات في القوافل وسعر ترقيتها.")</f>
        <v>- الإنقضاض الشامل: تم تحسين صعوبة الميزة ومدتها وتعديل مكافآتها.
- منصة الإطلاق: تمت إضافة مكافآت لإحتلال منصة الإطلاق.
- الألفة بين الأصدقاء: تم تغيير عدد النقاط اللازمة لترقية الألفة.
- عملية المسوخ: تحسين المكافآت التي يمكنك الحصول عليها من الميزة.
- المهام المنتظمة: تم تغيير العدد المطلوب من الأبحاث والمآدب الأساسية التي يجب إجراؤها لمهام معينة.
- المهام اليومية: تم تعديل محتوى مكافآت المعدات التي ستتلقاها من صناديق العمل.
- مواقع موارد مستوى 7: تم تعديل المكافآت التي ستحصل عليها في كل مرة تستنفد فيها هذه الموارد وعدد المرات التي يمكنك فيها الحصول على المكافآت.
- متجر الامتيازات: يمكنك الآن استخدام الطعام بدلاً من الحديد لمقايضة العناصر التي يمكن شراؤها بالموارد.
- القوافل: تم تعديل أهمية التحديثات في القوافل وسعر ترقيتها.</v>
      </c>
      <c r="Q31" s="108"/>
      <c r="R31" s="108"/>
      <c r="S31" s="108"/>
      <c r="T31" s="108"/>
      <c r="U31" s="108"/>
      <c r="V31" s="108"/>
      <c r="W31" s="108"/>
      <c r="X31" s="108"/>
      <c r="Y31" s="108"/>
      <c r="Z31" s="108"/>
    </row>
    <row r="32">
      <c r="A32" s="108" t="str">
        <f>IFERROR(__xludf.DUMMYFUNCTION("""COMPUTED_VALUE"""),"0.49.0")</f>
        <v>0.49.0</v>
      </c>
      <c r="B32" s="108" t="str">
        <f>IFERROR(__xludf.DUMMYFUNCTION("""COMPUTED_VALUE"""),"收藏品展台：调整部分展台的升级条件，但展台升级所消耗的材料不变。
艾文寻宝记：大幅提升通关奖励，通关即可获得大量粮食、钢铁、加速、斗士养成道具等丰厚奖励。
每日活跃宝箱：宝箱奖励调整，移除了战装道具、军备零件箱和普通探测雷达的产出。
一网打尽：帮派排行奖励调整，将普通探测雷达替换为豪华宴会券。
城市美观度：美观度奖励调整，将积分奖励的类型更换为任务奖励。
科林的探索：图鉴奖励调整，将收藏品及其升星道具替换为斗士养成道具，所移除的玩法专有收藏品会在普通探测池中出现。")</f>
        <v>收藏品展台：调整部分展台的升级条件，但展台升级所消耗的材料不变。
艾文寻宝记：大幅提升通关奖励，通关即可获得大量粮食、钢铁、加速、斗士养成道具等丰厚奖励。
每日活跃宝箱：宝箱奖励调整，移除了战装道具、军备零件箱和普通探测雷达的产出。
一网打尽：帮派排行奖励调整，将普通探测雷达替换为豪华宴会券。
城市美观度：美观度奖励调整，将积分奖励的类型更换为任务奖励。
科林的探索：图鉴奖励调整，将收藏品及其升星道具替换为斗士养成道具，所移除的玩法专有收藏品会在普通探测池中出现。</v>
      </c>
      <c r="C32" s="108" t="str">
        <f>IFERROR(__xludf.DUMMYFUNCTION("""COMPUTED_VALUE"""),"Relic Display Booths: Changed the upgrade requirements of some booths (upgrade cost is the same).
Alvin's Treasure Hunt: Significantly enhanced the rewards for clearing levels, now with tons of Food, Iron, speedups, Fighter-development material, and other"&amp;" great items.
Daily Actions Chests: Adjusted chest rewards and removed equipment items, Gear Materials Boxes, and Normal Scan Detectors.
One Fell Swoop: Adjusted Gang ranking rewards, replacing Normal Scan Detectors with Deluxe Banquet Vouchers.
City Appe"&amp;"arance: Adjusted rewards, which are now granted for quests completed instead of points earned.
Colin's Exploration: Adjusted category rewards, replacing Relics and their star-up items with Fighter-development items; removed Relics that were exclusive to t"&amp;"his feature will now appear in Normal Detections.")</f>
        <v>Relic Display Booths: Changed the upgrade requirements of some booths (upgrade cost is the same).
Alvin's Treasure Hunt: Significantly enhanced the rewards for clearing levels, now with tons of Food, Iron, speedups, Fighter-development material, and other great items.
Daily Actions Chests: Adjusted chest rewards and removed equipment items, Gear Materials Boxes, and Normal Scan Detectors.
One Fell Swoop: Adjusted Gang ranking rewards, replacing Normal Scan Detectors with Deluxe Banquet Vouchers.
City Appearance: Adjusted rewards, which are now granted for quests completed instead of points earned.
Colin's Exploration: Adjusted category rewards, replacing Relics and their star-up items with Fighter-development items; removed Relics that were exclusive to this feature will now appear in Normal Detections.</v>
      </c>
      <c r="D32" s="108" t="str">
        <f>IFERROR(__xludf.DUMMYFUNCTION("""COMPUTED_VALUE"""),"Stands d'exposition de reliques: nouvelles conditions d'amélioration de certains stands (toujours au même prix).
Chasse aux trésors d'Alvin: de meilleures récompenses obtenues à la fin des niveaux, comprenant énormément de nourriture, ferraille, accélérat"&amp;"eurs, matériaux d'amélioration des combattants et d'autres objets incroyables.
Coffres d'actions quotidiennes: optimisation des récompenses; retrait des équipements, des caisses de matériaux d'équipement et des détecteurs de base.
Un coup fatal: optimisat"&amp;"ion des récompenses de classement du gang; les détecteurs standard sont remplacés par des bons de banquet deluxe.
Apparence de la ville: les récompenses sont désormais obtenues en accomplissant des quêtes et non plus grâce aux points obtenus.
L'exploratio"&amp;"n de Colin: optimisation des récompenses liées aux catégories; les reliques et les objets d'augmentation du niveau d'étoile sont remplacés par des objets d'amélioration des combattants; les reliques exclusives retirées peuvent désormais s'obtenir via les "&amp;"détections standard.")</f>
        <v>Stands d'exposition de reliques: nouvelles conditions d'amélioration de certains stands (toujours au même prix).
Chasse aux trésors d'Alvin: de meilleures récompenses obtenues à la fin des niveaux, comprenant énormément de nourriture, ferraille, accélérateurs, matériaux d'amélioration des combattants et d'autres objets incroyables.
Coffres d'actions quotidiennes: optimisation des récompenses; retrait des équipements, des caisses de matériaux d'équipement et des détecteurs de base.
Un coup fatal: optimisation des récompenses de classement du gang; les détecteurs standard sont remplacés par des bons de banquet deluxe.
Apparence de la ville: les récompenses sont désormais obtenues en accomplissant des quêtes et non plus grâce aux points obtenus.
L'exploration de Colin: optimisation des récompenses liées aux catégories; les reliques et les objets d'augmentation du niveau d'étoile sont remplacés par des objets d'amélioration des combattants; les reliques exclusives retirées peuvent désormais s'obtenir via les détections standard.</v>
      </c>
      <c r="E32" s="108" t="str">
        <f>IFERROR(__xludf.DUMMYFUNCTION("""COMPUTED_VALUE"""),"Reliktanzeige-Stände: Die Upgrade-Anforderungen einiger Stände wurden geändert (Upgrade-Kosten bleiben unverändert).
 Alvins Schatzsuche: Belohnungen für das Abschließen von Levels wurden deutlich verbessert, jetzt mit jeder Menge Nahrung, Eisen, Beschleu"&amp;"nigern, Kämpfer-Entwicklungsmaterial und anderen großartigen Gegenständen.
 Tägliche Aktionstruhen: Truhenbelohnungen angepasst und Ausrüstungsgegenstände, Ausrüstungsmaterialboxen und normale Scan-Detektoren entfernt.
 Auf einen Schlag: Ranglistenbelohnu"&amp;"ngen der Gang wurden angepasst: normale Scan-Detektoren wurden durch Deluxe-Bankettgutscheine ersetzt.
 Stadt-Erscheinung: Belohnungen angepasst, sie werden jetzt für abgeschlossene Quests gewährt anstatt für verdiente Punkte.
 Colins Erkundung: Kategorie"&amp;"belohnungen angepasst, wobei die Relikte und ihre Verbesserungs-Gegenstände durch Kämpfer-Entwicklungs-Gegenstände ersetzt wurden; Relikte entfernt, die exklusiv für dieses Feature waren, werden jetzt in Normale Erkennungen angezeigt.")</f>
        <v>Reliktanzeige-Stände: Die Upgrade-Anforderungen einiger Stände wurden geändert (Upgrade-Kosten bleiben unverändert).
 Alvins Schatzsuche: Belohnungen für das Abschließen von Levels wurden deutlich verbessert, jetzt mit jeder Menge Nahrung, Eisen, Beschleunigern, Kämpfer-Entwicklungsmaterial und anderen großartigen Gegenständen.
 Tägliche Aktionstruhen: Truhenbelohnungen angepasst und Ausrüstungsgegenstände, Ausrüstungsmaterialboxen und normale Scan-Detektoren entfernt.
 Auf einen Schlag: Ranglistenbelohnungen der Gang wurden angepasst: normale Scan-Detektoren wurden durch Deluxe-Bankettgutscheine ersetzt.
 Stadt-Erscheinung: Belohnungen angepasst, sie werden jetzt für abgeschlossene Quests gewährt anstatt für verdiente Punkte.
 Colins Erkundung: Kategoriebelohnungen angepasst, wobei die Relikte und ihre Verbesserungs-Gegenstände durch Kämpfer-Entwicklungs-Gegenstände ersetzt wurden; Relikte entfernt, die exklusiv für dieses Feature waren, werden jetzt in Normale Erkennungen angezeigt.</v>
      </c>
      <c r="F32" s="108" t="str">
        <f>IFERROR(__xludf.DUMMYFUNCTION("""COMPUTED_VALUE"""),"Estande de relíquias: alteramos os requisitos de melhoria de alguns estandes (o custo de melhoria é o mesmo).
Caça ao tesouro de Alvin: aumentamos significativamente as recompensas por finalizar os níveis, contando com muita comida, ferro, aceleradores, m"&amp;"ateriais de desenvolvimento de combatentes e outros itens fantásticos.
Baús de ações diários: as recompensas do baú foram ajustadas. Os equipamentos, caixas de materiais de equipamento e sondas normais foram removidos.
De uma só vez: as recompensas por cl"&amp;"assificação da gangue foram ajustadas, substituindo sondas normais por vouchers de banquete deluxe.
Aparência da cidade: as recompensas foram ajustadas, de forma que agora são concedidas por missões concluídas ao invés de pontos ganhos.
Exploração de Coli"&amp;"n: as recompensas por categoria foram ajustadas, de forma que as relíquias, e seus itens de aumento de estrelas, foram substituídas por itens de desenvolvimento de combatentes. Agora as relíquias que eram exclusivas dessa atividade aparecerão em detecções"&amp;" normais.")</f>
        <v>Estande de relíquias: alteramos os requisitos de melhoria de alguns estandes (o custo de melhoria é o mesmo).
Caça ao tesouro de Alvin: aumentamos significativamente as recompensas por finalizar os níveis, contando com muita comida, ferro, aceleradores, materiais de desenvolvimento de combatentes e outros itens fantásticos.
Baús de ações diários: as recompensas do baú foram ajustadas. Os equipamentos, caixas de materiais de equipamento e sondas normais foram removidos.
De uma só vez: as recompensas por classificação da gangue foram ajustadas, substituindo sondas normais por vouchers de banquete deluxe.
Aparência da cidade: as recompensas foram ajustadas, de forma que agora são concedidas por missões concluídas ao invés de pontos ganhos.
Exploração de Colin: as recompensas por categoria foram ajustadas, de forma que as relíquias, e seus itens de aumento de estrelas, foram substituídas por itens de desenvolvimento de combatentes. Agora as relíquias que eram exclusivas dessa atividade aparecerão em detecções normais.</v>
      </c>
      <c r="G32" s="108" t="str">
        <f>IFERROR(__xludf.DUMMYFUNCTION("""COMPUTED_VALUE"""),"收藏品展臺：調整部分展臺的升級條件，但展臺升級所消耗的材料不變。
艾文尋寶記：大幅提升通關獎勵，通關即可獲得大量糧食、鋼鐵、加速、鬥士養成道具等豐厚獎勵。
每日活躍寶箱：寶箱獎勵調整，移除了戰裝道具、軍備零件箱和普通探測雷達的產出。
一網打盡：幫派排行獎勵調整，將普通探測雷達替換爲豪華宴會券。
城市美觀度：美觀度獎勵調整，將積分獎勵的類型更換爲任務獎勵。
科林的探索：圖鑑獎勵調整，將收藏品及其升星道具替換爲鬥士養成道具，所移除的玩法專有收藏品會在普通探測池中出現。")</f>
        <v>收藏品展臺：調整部分展臺的升級條件，但展臺升級所消耗的材料不變。
艾文尋寶記：大幅提升通關獎勵，通關即可獲得大量糧食、鋼鐵、加速、鬥士養成道具等豐厚獎勵。
每日活躍寶箱：寶箱獎勵調整，移除了戰裝道具、軍備零件箱和普通探測雷達的產出。
一網打盡：幫派排行獎勵調整，將普通探測雷達替換爲豪華宴會券。
城市美觀度：美觀度獎勵調整，將積分獎勵的類型更換爲任務獎勵。
科林的探索：圖鑑獎勵調整，將收藏品及其升星道具替換爲鬥士養成道具，所移除的玩法專有收藏品會在普通探測池中出現。</v>
      </c>
      <c r="H32" s="108" t="str">
        <f>IFERROR(__xludf.DUMMYFUNCTION("""COMPUTED_VALUE"""),"Stand Pusaka: Penyesuaian beberapa syarat peningkatan Stand, tapi material yang dipakai untuk meningkatkan Stand tidak berubah.
Perburuan Harta Karun Alvin: Hadiah lolos meningkat drastis. Lolos bisa mendapatkan banyak hadiah makanan, besi, percepatan, da"&amp;"n item pengembangan pejuang.
Peti Aktivitas Harian: Penyesuaian hadiah peti, menghapus Item Perlengkapan, Kotak Bahan Perlengkapan dan produksi Alat Pendeteksi normal.
Satu Gerakan: Penyesuaian hadiah peringkat Geng, mengubah Alat Pendeteksi normal menjad"&amp;"i Voucher Jamuan Istimewa.
Keindahan Kota: Penyesuaian hadiah keindahan, tipe hadiah poin diubah menjadi hadiah tantangan.
Penjelajahan Colin: Penyesuaian hadiah kategori. Mengubah Pusaka dan Item Peningkatan Bintang menjadi Item Pengembangan Pejuang. Had"&amp;"iah Pusaka khusus dari game yang dihapus akan muncul di Deteksi Biasa.")</f>
        <v>Stand Pusaka: Penyesuaian beberapa syarat peningkatan Stand, tapi material yang dipakai untuk meningkatkan Stand tidak berubah.
Perburuan Harta Karun Alvin: Hadiah lolos meningkat drastis. Lolos bisa mendapatkan banyak hadiah makanan, besi, percepatan, dan item pengembangan pejuang.
Peti Aktivitas Harian: Penyesuaian hadiah peti, menghapus Item Perlengkapan, Kotak Bahan Perlengkapan dan produksi Alat Pendeteksi normal.
Satu Gerakan: Penyesuaian hadiah peringkat Geng, mengubah Alat Pendeteksi normal menjadi Voucher Jamuan Istimewa.
Keindahan Kota: Penyesuaian hadiah keindahan, tipe hadiah poin diubah menjadi hadiah tantangan.
Penjelajahan Colin: Penyesuaian hadiah kategori. Mengubah Pusaka dan Item Peningkatan Bintang menjadi Item Pengembangan Pejuang. Hadiah Pusaka khusus dari game yang dihapus akan muncul di Deteksi Biasa.</v>
      </c>
      <c r="I32" s="108" t="str">
        <f>IFERROR(__xludf.DUMMYFUNCTION("""COMPUTED_VALUE"""),"บูธวัตถุโบราณ: ปรับเงื่อนไขอัปเลเวลของบูธบางส่วน แต่วัสดุที่ใช้ในการอัปเลเวลบูธจะไม่มีการเปลี่ยนแปลง
ล่าสมบัติของอัลวิน: เพิ่มรางวัลเคลียร์ด่านให้เป็นจำนวนมาก เคลียร์ด่านจะได้รับอาหาร เหล็ก ไอเทมเร่งความเร็ว ไอเทมพัฒนานักสู้ และรางวัลอื่น ๆ อีกมากมาย
หีบแ"&amp;"อคทีฟรายวัน: ปรับรางวัลหีบ ยกเลิกการออกไอเทมอุปกรณ์ กล่องวัสดุอุปกรณ์และเครื่องสแกนตรวจจับปกติ
กวาดเรียบในครั้งเดียว: ปรับรางวัลอันดับแก๊งค์ ใช้บัตรกำนัลงานเลี้ยงดีลักซ์แทนเครื่องสแกนตรวจจับปกติ
รูปร่างหน้าตาของเมือง: ปรับรางวัลค่ารูปลักษณ์ เปลี่ยนประเภทข"&amp;"องรางวัลคะแนนเป็นรางวัลเควสต์
การสำรวจของโคลิน: ปรับรางวัลภาพ เปลี่ยนวัตถุโบราณและไอเทมอัปดาวเป็นไอเทมพัฒนานักสู้ วัตถุโบราณเฉพาะของโหมดนี้ที่ลบไปจะปรากฏอยู่ในสระตรวจจับทั่วไป")</f>
        <v>บูธวัตถุโบราณ: ปรับเงื่อนไขอัปเลเวลของบูธบางส่วน แต่วัสดุที่ใช้ในการอัปเลเวลบูธจะไม่มีการเปลี่ยนแปลง
ล่าสมบัติของอัลวิน: เพิ่มรางวัลเคลียร์ด่านให้เป็นจำนวนมาก เคลียร์ด่านจะได้รับอาหาร เหล็ก ไอเทมเร่งความเร็ว ไอเทมพัฒนานักสู้ และรางวัลอื่น ๆ อีกมากมาย
หีบแอคทีฟรายวัน: ปรับรางวัลหีบ ยกเลิกการออกไอเทมอุปกรณ์ กล่องวัสดุอุปกรณ์และเครื่องสแกนตรวจจับปกติ
กวาดเรียบในครั้งเดียว: ปรับรางวัลอันดับแก๊งค์ ใช้บัตรกำนัลงานเลี้ยงดีลักซ์แทนเครื่องสแกนตรวจจับปกติ
รูปร่างหน้าตาของเมือง: ปรับรางวัลค่ารูปลักษณ์ เปลี่ยนประเภทของรางวัลคะแนนเป็นรางวัลเควสต์
การสำรวจของโคลิน: ปรับรางวัลภาพ เปลี่ยนวัตถุโบราณและไอเทมอัปดาวเป็นไอเทมพัฒนานักสู้ วัตถุโบราณเฉพาะของโหมดนี้ที่ลบไปจะปรากฏอยู่ในสระตรวจจับทั่วไป</v>
      </c>
      <c r="J32" s="108" t="str">
        <f>IFERROR(__xludf.DUMMYFUNCTION("""COMPUTED_VALUE"""),"Cacería del Tesoro de Alvin: Se mejoraron mucho las recompensas por completar niveles, y ahora incluyen Comida, Hierro, aceleradores, material de desarrollo de luchadores y más objetos geniales.
Cofres de acción diaria: Se ajustaron las recompensas y se q"&amp;"uitaron objetos de equipo, Cajas de Materiales de Equipo y Escáneres detectores normales.
Un solo golpe: Se ajustaron las recompensas de clasificación y se reemplazaron los Escáneres detectores normales por Cupones de banquetes de lujo.
Apariencia de la c"&amp;"iudad: Se ajustaron las recompensas, y ahora se otorgan por misiones completadas en vez de por puntos ganados.
Exploración de Colin: Se ajustaron las categorías de recompensas. Se reemplazaron las Reliquias y sus Artículos para aumento de estrellas con Ar"&amp;"tículos de desarrollo del luchador. Se quitaron reliquias exclusivas de esta función y ahora aparecerán en Detecciones normales. 
")</f>
        <v>Cacería del Tesoro de Alvin: Se mejoraron mucho las recompensas por completar niveles, y ahora incluyen Comida, Hierro, aceleradores, material de desarrollo de luchadores y más objetos geniales.
Cofres de acción diaria: Se ajustaron las recompensas y se quitaron objetos de equipo, Cajas de Materiales de Equipo y Escáneres detectores normales.
Un solo golpe: Se ajustaron las recompensas de clasificación y se reemplazaron los Escáneres detectores normales por Cupones de banquetes de lujo.
Apariencia de la ciudad: Se ajustaron las recompensas, y ahora se otorgan por misiones completadas en vez de por puntos ganados.
Exploración de Colin: Se ajustaron las categorías de recompensas. Se reemplazaron las Reliquias y sus Artículos para aumento de estrellas con Artículos de desarrollo del luchador. Se quitaron reliquias exclusivas de esta función y ahora aparecerán en Detecciones normales. 
</v>
      </c>
      <c r="K32" s="108" t="str">
        <f>IFERROR(__xludf.DUMMYFUNCTION("""COMPUTED_VALUE"""),"Стенды для демонстрации реликвий: изменены требования для улучшения некоторых стендов (стоимость улучшения осталась прежней).
Охота за сокровищами Альвина: значительно увеличены награды за прохождение уровней, теперь в них можно получить множество пищи, ж"&amp;"елеза, ускорителей, материалов для развития героев и другие замечательные предметы.
Сундуки за ежедневные действия: скорректированы награды за сундуки: из них удалены предметы снаряжения, коробки с материалами для снаряжения и обычные сканирующие детектор"&amp;"ы.
«Одним махом»: скорректированы награды за рейтинг банды: обычные сканирующие детекторы заменены на купоны на роскошный пир.
Внешний вид города: скорректированы награды: теперь они выдаются за выполненные задания, а не за заработанные очки.
Исследования"&amp;" Колина: скорректированы награды за категории: реликвии и предметы для повышения их звездного уровня заменены на предметы для развития героев. Те реликвии, которые можно было получить только этим способом, теперь будут появляться в обычных детекторах.")</f>
        <v>Стенды для демонстрации реликвий: изменены требования для улучшения некоторых стендов (стоимость улучшения осталась прежней).
Охота за сокровищами Альвина: значительно увеличены награды за прохождение уровней, теперь в них можно получить множество пищи, железа, ускорителей, материалов для развития героев и другие замечательные предметы.
Сундуки за ежедневные действия: скорректированы награды за сундуки: из них удалены предметы снаряжения, коробки с материалами для снаряжения и обычные сканирующие детекторы.
«Одним махом»: скорректированы награды за рейтинг банды: обычные сканирующие детекторы заменены на купоны на роскошный пир.
Внешний вид города: скорректированы награды: теперь они выдаются за выполненные задания, а не за заработанные очки.
Исследования Колина: скорректированы награды за категории: реликвии и предметы для повышения их звездного уровня заменены на предметы для развития героев. Те реликвии, которые можно было получить только этим способом, теперь будут появляться в обычных детекторах.</v>
      </c>
      <c r="L32" s="108" t="str">
        <f>IFERROR(__xludf.DUMMYFUNCTION("""COMPUTED_VALUE"""),"Kalıntı Sergi Vitrini: Bazı vitrinlerin yükseltme gereklilikleri değiştirildi (yükseltme maliyeti değişmedi).
 Alvin'in Hazine Avı: Seviye tamamlama ödülleri Yiyecek, Demir, hızlandırıcı, Savaşçı geliştirme malzemeleri ve diğer harika eşyalarla büyük ölçü"&amp;"de geliştirildi.
 Günlük Eylem Sandıkları: Sandık ödülleri düzenlendi ve ekipman eşyaları, Aksesuar Materyal Kutuları ve Normal Tarama Dedektörü kaldırıldı.
 Bir Hamlede: Çete sıralama ödülleri düzenlendi. Artık Normal Tarama Dedektörü yerine Delüks Ziyaf"&amp;"et Fişi verilecek.
 Şehir Görünümü: Kazanılan puanlara göre verilen ödüller, tamamlanan görevlere göre verilecek şekilde düzenlendi.
 Colin'in Keşfi: Kategori ödülleri düzenlendi. Kalıntılar ve yıldız yükseltme eşyaları Savaşçı geliştirme eşyaları ile değ"&amp;"iştirildi. Bu özelliğe has olan ve kaldırılan Kalıntılar artık Normal Tespitle bulunabilecek.")</f>
        <v>Kalıntı Sergi Vitrini: Bazı vitrinlerin yükseltme gereklilikleri değiştirildi (yükseltme maliyeti değişmedi).
 Alvin'in Hazine Avı: Seviye tamamlama ödülleri Yiyecek, Demir, hızlandırıcı, Savaşçı geliştirme malzemeleri ve diğer harika eşyalarla büyük ölçüde geliştirildi.
 Günlük Eylem Sandıkları: Sandık ödülleri düzenlendi ve ekipman eşyaları, Aksesuar Materyal Kutuları ve Normal Tarama Dedektörü kaldırıldı.
 Bir Hamlede: Çete sıralama ödülleri düzenlendi. Artık Normal Tarama Dedektörü yerine Delüks Ziyafet Fişi verilecek.
 Şehir Görünümü: Kazanılan puanlara göre verilen ödüller, tamamlanan görevlere göre verilecek şekilde düzenlendi.
 Colin'in Keşfi: Kategori ödülleri düzenlendi. Kalıntılar ve yıldız yükseltme eşyaları Savaşçı geliştirme eşyaları ile değiştirildi. Bu özelliğe has olan ve kaldırılan Kalıntılar artık Normal Tespitle bulunabilecek.</v>
      </c>
      <c r="M32" s="108" t="str">
        <f>IFERROR(__xludf.DUMMYFUNCTION("""COMPUTED_VALUE"""),"Gian Hàng Di Tích: Điều chỉnh điều kiện nâng cấp của một số Gian Hàng, nhưng nguyên liệu tiêu hao để nâng cấp Gian Hàng không thay đổi.
Săn Kho Báu của Alvin: Tăng đáng kể phần thưởng Vượt Ải, Vượt Ải là có thể nhận được lượng lớn phần thưởng hậu hĩnh như"&amp;" Thực Phẩm, Sắt, Tăng Tốc, đạo cụ nuôi dưỡng Chiến Binh.
Rương hành động hàng ngày: Điều chỉnh phần thưởng rương, xoá bỏ tạo ra đạo cụ trang bị, hộp nguyên liệu vũ khí và Máy Quét Thăm Dò Thường.
Một Lưới Hốt Trọn: Điều chỉnh phần thưởng xếp hạng Bang Hội"&amp;", đem Máy Quét Thăm Dò Thường thay đổi thành Phiếu Ưu Đãi Bữa Tiệc Sang Trọng.
Độ Mỹ Quan Thành Phố: Điều chỉnh phần thưởng Độ Mỹ Quan, đem loại phần thưởng điểm tích luỹ thay đổi thành phần thưởng nhiệm vụ.
Khám Phá Của Colin: Điều chỉnh phần thưởng sách"&amp;" tranh, đem Di Tích cùng với đạo cụ tăng sao của nó thay đổi thành đạo cụ nuôi dưỡng Chiến Binh, Di Tích dành riêng cho lối chơi đã bị xóa sẽ xuất hiện trong kho Thăm Dò Thường.")</f>
        <v>Gian Hàng Di Tích: Điều chỉnh điều kiện nâng cấp của một số Gian Hàng, nhưng nguyên liệu tiêu hao để nâng cấp Gian Hàng không thay đổi.
Săn Kho Báu của Alvin: Tăng đáng kể phần thưởng Vượt Ải, Vượt Ải là có thể nhận được lượng lớn phần thưởng hậu hĩnh như Thực Phẩm, Sắt, Tăng Tốc, đạo cụ nuôi dưỡng Chiến Binh.
Rương hành động hàng ngày: Điều chỉnh phần thưởng rương, xoá bỏ tạo ra đạo cụ trang bị, hộp nguyên liệu vũ khí và Máy Quét Thăm Dò Thường.
Một Lưới Hốt Trọn: Điều chỉnh phần thưởng xếp hạng Bang Hội, đem Máy Quét Thăm Dò Thường thay đổi thành Phiếu Ưu Đãi Bữa Tiệc Sang Trọng.
Độ Mỹ Quan Thành Phố: Điều chỉnh phần thưởng Độ Mỹ Quan, đem loại phần thưởng điểm tích luỹ thay đổi thành phần thưởng nhiệm vụ.
Khám Phá Của Colin: Điều chỉnh phần thưởng sách tranh, đem Di Tích cùng với đạo cụ tăng sao của nó thay đổi thành đạo cụ nuôi dưỡng Chiến Binh, Di Tích dành riêng cho lối chơi đã bị xóa sẽ xuất hiện trong kho Thăm Dò Thường.</v>
      </c>
      <c r="N32" s="108" t="str">
        <f>IFERROR(__xludf.DUMMYFUNCTION("""COMPUTED_VALUE"""),"Stand di esposizione delle Reliquie: modificati i requisiti di potenziamento di alcuni stand (il costo di potenziamento è lo stesso).
Caccia ai tesori di Alvin: migliorate notevolmente le ricompense di completamento dei livelli, che ora includono tonnella"&amp;"te di Cibo, Ferro, Acceleratori, materiali per potenziare Combattenti e altri fantastici oggetti.
Casse azione giornaliere: modificate le ricompense delle casse e rimossi oggetti di equipaggiamento, Casse materiali d'equipaggiamento e Rilevatori ordinari."&amp;"
D'un sol colpo: modificate le ricompense per la classifica delle Gang, con la sostituzione dei Rilevatori ordinari con Buoni per Banchetti deluxe.
Aspetto della città: modificate le ricompense, che ora sono concesse per il completamento delle missioni an"&amp;"ziché per i punti ottenuti.
Esplorazione di Colin: modificate le ricompense delle categorie, con la sostituzione delle Reliquie e degli oggetti per aumentare le stelle con oggetti di potenziamento dei Combattenti; inoltre, le Reliquie rimosse che erano es"&amp;"clusive di questa funzione ora appariranno nei Rilevatori ordinari.")</f>
        <v>Stand di esposizione delle Reliquie: modificati i requisiti di potenziamento di alcuni stand (il costo di potenziamento è lo stesso).
Caccia ai tesori di Alvin: migliorate notevolmente le ricompense di completamento dei livelli, che ora includono tonnellate di Cibo, Ferro, Acceleratori, materiali per potenziare Combattenti e altri fantastici oggetti.
Casse azione giornaliere: modificate le ricompense delle casse e rimossi oggetti di equipaggiamento, Casse materiali d'equipaggiamento e Rilevatori ordinari.
D'un sol colpo: modificate le ricompense per la classifica delle Gang, con la sostituzione dei Rilevatori ordinari con Buoni per Banchetti deluxe.
Aspetto della città: modificate le ricompense, che ora sono concesse per il completamento delle missioni anziché per i punti ottenuti.
Esplorazione di Colin: modificate le ricompense delle categorie, con la sostituzione delle Reliquie e degli oggetti per aumentare le stelle con oggetti di potenziamento dei Combattenti; inoltre, le Reliquie rimosse che erano esclusive di questa funzione ora appariranno nei Rilevatori ordinari.</v>
      </c>
      <c r="O32" s="108" t="str">
        <f>IFERROR(__xludf.DUMMYFUNCTION("""COMPUTED_VALUE"""),"Postumenty do prezentacji Reliktów: Zmieniono wymagania ulepszenia niektórych postumentów (koszt ulepszenia jest taki sam).
Poszukiwanie skarbów Alvina: Znacznie powiększono nagrody za przechodzenie poziomów, za które teraz można otrzymać masę Żywności, Ż"&amp;"elaza, przyspieszeń, materiał do rozwoju Wojowników i inne wspaniałe przedmioty.
Codzienne skrzynie akcji: Poprawiono nagrody w skrzyniach i usunięto elementy wyposażenia, Skrzynie ze sprzętem oraz Normalne detektory skanujące.
Za jednym zamachem: Poprawi"&amp;"ono nagrody za ranking Gangu, zastępując Normalne detektory skanujące Bonami na Ekskluzywny bankiet.
Wygląd miasta: Poprawiono nagrody, które teraz są przyznawane za wykonane zadania zamiast przydzielanych punktów.
Eksploracja Colina: Poprawiono nagrody z"&amp;"a kategorie, zastępując Relikty i przedmioty zwiększające ich poziom gwiazdek przedmiotami związanymi z rozwojem Wojowników; usunięto Relikty, które można było zdobyć tylko tutaj – teraz będą pojawiać się w Normalnym wykrywaniu.")</f>
        <v>Postumenty do prezentacji Reliktów: Zmieniono wymagania ulepszenia niektórych postumentów (koszt ulepszenia jest taki sam).
Poszukiwanie skarbów Alvina: Znacznie powiększono nagrody za przechodzenie poziomów, za które teraz można otrzymać masę Żywności, Żelaza, przyspieszeń, materiał do rozwoju Wojowników i inne wspaniałe przedmioty.
Codzienne skrzynie akcji: Poprawiono nagrody w skrzyniach i usunięto elementy wyposażenia, Skrzynie ze sprzętem oraz Normalne detektory skanujące.
Za jednym zamachem: Poprawiono nagrody za ranking Gangu, zastępując Normalne detektory skanujące Bonami na Ekskluzywny bankiet.
Wygląd miasta: Poprawiono nagrody, które teraz są przyznawane za wykonane zadania zamiast przydzielanych punktów.
Eksploracja Colina: Poprawiono nagrody za kategorie, zastępując Relikty i przedmioty zwiększające ich poziom gwiazdek przedmiotami związanymi z rozwojem Wojowników; usunięto Relikty, które można było zdobyć tylko tutaj – teraz będą pojawiać się w Normalnym wykrywaniu.</v>
      </c>
      <c r="P32" s="108" t="str">
        <f>IFERROR(__xludf.DUMMYFUNCTION("""COMPUTED_VALUE"""),"أكشاك عرض المقتنيات: تم تغيير متطلبات الترقية لبعض الأكشاك (تكلفة الترقية هي نفسها).
البحث عن كنز ألفين: تم تحسين الجوائز بشكل كبير عند إخلاء المستويات، الآن مع أطنان من الطعام والحديد والتسريعات ومواد تطوير المقاتل وغيرها من العناصر الرائعة.
صناديق الإجر"&amp;"اءات اليومية: تم تعديل جوائز الصندوق وتم إزالة عناصر المعدات، وصناديق مواد العتاد، ورادارات الكشف العادية.
سقوط بضربة واحدة: تم تعديل جوائز تصنيف العصابة، واستبدال رادارات الكشف العادية بكوبونات مأدبة فاخرة.
مظهر المدينة: تم تعديل الجوائز، والتي ستُمنح ال"&amp;"آن للمهام المكتملة بدلاً من النقاط المكتسبة.
استكشاف كولن: تم تعديل جوائز الفئة، واستبدال المقتنيات وعناصر النجوم الخاصة بها بعناصر تطوير المقاتلين؛ ستظهر الآن المقتنيات التي تمت إزالتها والتي كانت حصرية لهذه الميزة في الاكتشافات العادية.")</f>
        <v>أكشاك عرض المقتنيات: تم تغيير متطلبات الترقية لبعض الأكشاك (تكلفة الترقية هي نفسها).
البحث عن كنز ألفين: تم تحسين الجوائز بشكل كبير عند إخلاء المستويات، الآن مع أطنان من الطعام والحديد والتسريعات ومواد تطوير المقاتل وغيرها من العناصر الرائعة.
صناديق الإجراءات اليومية: تم تعديل جوائز الصندوق وتم إزالة عناصر المعدات، وصناديق مواد العتاد، ورادارات الكشف العادية.
سقوط بضربة واحدة: تم تعديل جوائز تصنيف العصابة، واستبدال رادارات الكشف العادية بكوبونات مأدبة فاخرة.
مظهر المدينة: تم تعديل الجوائز، والتي ستُمنح الآن للمهام المكتملة بدلاً من النقاط المكتسبة.
استكشاف كولن: تم تعديل جوائز الفئة، واستبدال المقتنيات وعناصر النجوم الخاصة بها بعناصر تطوير المقاتلين؛ ستظهر الآن المقتنيات التي تمت إزالتها والتي كانت حصرية لهذه الميزة في الاكتشافات العادية.</v>
      </c>
      <c r="Q32" s="108"/>
      <c r="R32" s="108"/>
      <c r="S32" s="108"/>
      <c r="T32" s="108"/>
      <c r="U32" s="108"/>
      <c r="V32" s="108"/>
      <c r="W32" s="108"/>
      <c r="X32" s="108"/>
      <c r="Y32" s="108"/>
      <c r="Z32" s="108"/>
    </row>
    <row r="33">
      <c r="A33" s="108" t="str">
        <f>IFERROR(__xludf.DUMMYFUNCTION("""COMPUTED_VALUE"""),"0.50.0")</f>
        <v>0.50.0</v>
      </c>
      <c r="B33" s="108" t="str">
        <f>IFERROR(__xludf.DUMMYFUNCTION("""COMPUTED_VALUE"""),"-银河战争：提升了荣耀宝箱奖励，调整了部分基因科技节点效果，新增了“基因获取”和“基因消耗”相关的每日任务，调整基因手动回收解锁条件。
-围剿变异猴：新增BOSS变异呼啸者，调整了怪物强度、难度解锁时间和对应难度奖励。
-展览馆展台：降低了10、11、12号展台的展览解锁条件。
-人类遗迹：降低了驻守人类遗迹的变异猴的战斗难度。
-兵种技能：加强了射击手的兵种技能，减少了变身时间，增加了弹药恢复速度
-地下探宝：降低了关卡难度，提高了产出，增加新的传说斗士在地下探宝中产出。")</f>
        <v>-银河战争：提升了荣耀宝箱奖励，调整了部分基因科技节点效果，新增了“基因获取”和“基因消耗”相关的每日任务，调整基因手动回收解锁条件。
-围剿变异猴：新增BOSS变异呼啸者，调整了怪物强度、难度解锁时间和对应难度奖励。
-展览馆展台：降低了10、11、12号展台的展览解锁条件。
-人类遗迹：降低了驻守人类遗迹的变异猴的战斗难度。
-兵种技能：加强了射击手的兵种技能，减少了变身时间，增加了弹药恢复速度
-地下探宝：降低了关卡难度，提高了产出，增加新的传说斗士在地下探宝中产出。</v>
      </c>
      <c r="C33" s="169" t="str">
        <f>IFERROR(__xludf.DUMMYFUNCTION("""COMPUTED_VALUE"""),"- Planet Wars: We've upped the rewards from Glory Chests, adjusted the effects of some gene research nodes, added daily quests for earning and spending Gene Fragments, and adjusted the requirements to manually convert genes.
 - Operation Mutants: Added th"&amp;"e new boss Mutant Howler, adjusted the difficulty of monsters, difficulty unlock times and related rewards.
 - Wonder Emporium Booths: Lowered the unlock requirements for booths 10, 11 and 12.
 - Ruins: Reduced the power of Mutants defending ruins.
 - Uni"&amp;"t skill: Enhanced Shooters' unit skill, reducing mode switch time and speeding up ammo recovery.
 - Treasure Dig: Reduced stage difficulties, increased rewards and added legendary fighter rewards.")</f>
        <v>- Planet Wars: We've upped the rewards from Glory Chests, adjusted the effects of some gene research nodes, added daily quests for earning and spending Gene Fragments, and adjusted the requirements to manually convert genes.
 - Operation Mutants: Added the new boss Mutant Howler, adjusted the difficulty of monsters, difficulty unlock times and related rewards.
 - Wonder Emporium Booths: Lowered the unlock requirements for booths 10, 11 and 12.
 - Ruins: Reduced the power of Mutants defending ruins.
 - Unit skill: Enhanced Shooters' unit skill, reducing mode switch time and speeding up ammo recovery.
 - Treasure Dig: Reduced stage difficulties, increased rewards and added legendary fighter rewards.</v>
      </c>
      <c r="D33" s="169" t="str">
        <f>IFERROR(__xludf.DUMMYFUNCTION("""COMPUTED_VALUE"""),"- Guerre planétaire: amélioration des récompenses dans les coffres de gloire; modification des effets de certaines recherches génétiques; ajout de quêtes quotidiennes pour obtenir et utiliser des fragments génétiques; modification des prérequis pour conve"&amp;"rtir les gènes manuellement.
- Opération mutants: ajout du nouveau boss, l'alouate mutant; optimisation de la difficulté des monstres; le niveau de difficulté débloque du temps et des récompenses.
- Stands de la Halle aux merveilles: réduction des prérequ"&amp;"is pour débloquer les stands 10, 11 et 12.
- Ruines: réduction de la puissance des mutants défendant les ruines.
- Trésors enfouis: réduction de la difficulté des étapes; améliorations des récompenses et ajout de récompenses de combattant légendaire. 
")</f>
        <v>- Guerre planétaire: amélioration des récompenses dans les coffres de gloire; modification des effets de certaines recherches génétiques; ajout de quêtes quotidiennes pour obtenir et utiliser des fragments génétiques; modification des prérequis pour convertir les gènes manuellement.
- Opération mutants: ajout du nouveau boss, l'alouate mutant; optimisation de la difficulté des monstres; le niveau de difficulté débloque du temps et des récompenses.
- Stands de la Halle aux merveilles: réduction des prérequis pour débloquer les stands 10, 11 et 12.
- Ruines: réduction de la puissance des mutants défendant les ruines.
- Trésors enfouis: réduction de la difficulté des étapes; améliorations des récompenses et ajout de récompenses de combattant légendaire. 
</v>
      </c>
      <c r="E33" s="108" t="str">
        <f>IFERROR(__xludf.DUMMYFUNCTION("""COMPUTED_VALUE"""),"- Planetenkriege: Wir haben die Belohnungen für Ruhmestruhen erhöht, die Effekte einiger Genforschungsknoten angepasst, tägliche Quests zum Sammeln und Ausgeben von Genfragmenten hinzugefügt und die Anforderungen für die manuelle Umwandlung von Genen ange"&amp;"passt.
 - Operation Mutanten: Wir haben den neuen Boss Mutantenheuler hinzugefügt und die Schwierigkeit der Monster, die Freischaltzeiten für die Schwierigkeit und die damit verbundenen Belohnungen angepasst.
 - Stände des Wunderladens: Die Freischaltbedi"&amp;"ngungen für die Stände 10, 11 und 12 wurden gesenkt.
 - Ruinen: Wir haben die Kraft der Mutanten, die Ruinen verteidigen, reduziert.
 - Schatzsuche: Wir haben die Schwierigkeit der Stufen verringert, die Belohnungen erhöht und legendäre Kämpferbelohnungen"&amp;" hinzugefügt.")</f>
        <v>- Planetenkriege: Wir haben die Belohnungen für Ruhmestruhen erhöht, die Effekte einiger Genforschungsknoten angepasst, tägliche Quests zum Sammeln und Ausgeben von Genfragmenten hinzugefügt und die Anforderungen für die manuelle Umwandlung von Genen angepasst.
 - Operation Mutanten: Wir haben den neuen Boss Mutantenheuler hinzugefügt und die Schwierigkeit der Monster, die Freischaltzeiten für die Schwierigkeit und die damit verbundenen Belohnungen angepasst.
 - Stände des Wunderladens: Die Freischaltbedingungen für die Stände 10, 11 und 12 wurden gesenkt.
 - Ruinen: Wir haben die Kraft der Mutanten, die Ruinen verteidigen, reduziert.
 - Schatzsuche: Wir haben die Schwierigkeit der Stufen verringert, die Belohnungen erhöht und legendäre Kämpferbelohnungen hinzugefügt.</v>
      </c>
      <c r="F33" s="108" t="str">
        <f>IFERROR(__xludf.DUMMYFUNCTION("""COMPUTED_VALUE"""),"- Guerras Interplanetárias: Nós melhoramos as recompensas dos Baús da Glória, ajustamos os efeitos de alguns nodos de pesquisa de gene, adicionamos missões diárias, onde é possível ganhar e gastar Fragmentos de Gene, e ajustarmos os requisitos para a conv"&amp;"ersão manual de genes.
 - Operação Mutantes: Adicionamos um novo chefe, o Bugio Mutante, ajustamos a dificuldade dos monstros, a quantidade de desbloqueios de dificuldade e as recompensas relacionadas.
 - Estandes do Empório Maravilha: Baixamos os requisi"&amp;"tos de desbloqueio dos estandes 10, 11 e 12.
 - Ruínas: Reduzimos o poder dos mutantes que defendem as ruínas.
 - Escavação de Tesouros: Reduzimos a dificuldade dos estágios, aumentamos as recompensas e adicionamos recompensas de combatentes lendários.")</f>
        <v>- Guerras Interplanetárias: Nós melhoramos as recompensas dos Baús da Glória, ajustamos os efeitos de alguns nodos de pesquisa de gene, adicionamos missões diárias, onde é possível ganhar e gastar Fragmentos de Gene, e ajustarmos os requisitos para a conversão manual de genes.
 - Operação Mutantes: Adicionamos um novo chefe, o Bugio Mutante, ajustamos a dificuldade dos monstros, a quantidade de desbloqueios de dificuldade e as recompensas relacionadas.
 - Estandes do Empório Maravilha: Baixamos os requisitos de desbloqueio dos estandes 10, 11 e 12.
 - Ruínas: Reduzimos o poder dos mutantes que defendem as ruínas.
 - Escavação de Tesouros: Reduzimos a dificuldade dos estágios, aumentamos as recompensas e adicionamos recompensas de combatentes lendários.</v>
      </c>
      <c r="G33" s="108" t="str">
        <f>IFERROR(__xludf.DUMMYFUNCTION("""COMPUTED_VALUE"""),"-銀河戰爭：提升了榮耀寶箱獎勵，調整了部分基因科技節點效果，新增了「基因獲取」和「基因消耗」相關的每日任務，調整基因手動回收解鎖條件。
-圍剿變異猴：新增BOSS變異呼嘯者，調整了怪物強度、難度解鎖時間和對應難度獎勵。
-展覽館展臺：降低了10、11、12號展臺的展覽解鎖條件。
-人類遺跡：降低了駐守人類遺跡的變異猴的戰鬥難度。
-地下探寶：降低了關卡難度，提高了產出，增加新的傳說鬥士在地下探寶中產出。")</f>
        <v>-銀河戰爭：提升了榮耀寶箱獎勵，調整了部分基因科技節點效果，新增了「基因獲取」和「基因消耗」相關的每日任務，調整基因手動回收解鎖條件。
-圍剿變異猴：新增BOSS變異呼嘯者，調整了怪物強度、難度解鎖時間和對應難度獎勵。
-展覽館展臺：降低了10、11、12號展臺的展覽解鎖條件。
-人類遺跡：降低了駐守人類遺跡的變異猴的戰鬥難度。
-地下探寶：降低了關卡難度，提高了產出，增加新的傳說鬥士在地下探寶中產出。</v>
      </c>
      <c r="H33" s="108" t="str">
        <f>IFERROR(__xludf.DUMMYFUNCTION("""COMPUTED_VALUE"""),"- Perang Planet: Meningkatkan hadiah Peti Kejayaan, menyesuaikan sebagian efek segmen teknologi Gen, menambah Tantangan Harian terkait ""Perolehan Gen"" dan ""Konsumsi Gen"", menyesuaikan syarat buka daur ulang Gen secara manual.
- Pengepungan Kera Mutan:"&amp;" Menambah Bos Peneriak Mutan, menyesuaikan kekuatan monster, waktu buka tingkat kesulitan dan hadiah tingkat kesulitan yang relevan.
- Stan Emporium Megah: Menurunkan syarat buka stan no 10, 11 dan 12.
- Reruntuhan: Menurunkan tingkat kesulitan bertarung "&amp;"Kera Mutan yang menjaga Reruntuhan.
- Gali Harta: Menurunkan tingkat kesulitan Wilayah Kera, meningkatkan produksi, menambah produksi Pejuang legendaris baru di Gali Harta.")</f>
        <v>- Perang Planet: Meningkatkan hadiah Peti Kejayaan, menyesuaikan sebagian efek segmen teknologi Gen, menambah Tantangan Harian terkait "Perolehan Gen" dan "Konsumsi Gen", menyesuaikan syarat buka daur ulang Gen secara manual.
- Pengepungan Kera Mutan: Menambah Bos Peneriak Mutan, menyesuaikan kekuatan monster, waktu buka tingkat kesulitan dan hadiah tingkat kesulitan yang relevan.
- Stan Emporium Megah: Menurunkan syarat buka stan no 10, 11 dan 12.
- Reruntuhan: Menurunkan tingkat kesulitan bertarung Kera Mutan yang menjaga Reruntuhan.
- Gali Harta: Menurunkan tingkat kesulitan Wilayah Kera, meningkatkan produksi, menambah produksi Pejuang legendaris baru di Gali Harta.</v>
      </c>
      <c r="I33" s="108" t="str">
        <f>IFERROR(__xludf.DUMMYFUNCTION("""COMPUTED_VALUE"""),"-สงครามดาวเคราะห์ : อัปเกรดรางวัลหีบเกียรติยศ ปรับผลลัพธ์บางส่วนของเทคโนโลยียีน เพิ่มเควสรายวันเกี่ยวกับ ""การรับยีน"" และ ""การใช้ยีน"" พร้อมปรับเงื่อนไขปลดล็อกฟังก์ชั่นเรียกคืนยีน
-ปฏิบัติการตัวกลายพันธุ์ : เพิ่มบอสใหม่ - ผู้กรีดร้องกลายพันธุ์ พร้อมปรับ"&amp;"ความแรงของมอน, เวลาที่ปลดล็อกระดับและรางวัลที่สอดคล้อง
- บูธในวันเดอร์เอ็มโพเรี่ยม : ลดเงื่อนไขปลดล็อกบูธเบอร์ 10-12
-ซากปรักหักพัง : ลดระดับการต่อสู้ของเจ้าจ๋อมิวแตนด์ที่เฝ้าซากปรักหักพัง
-ล่าสมบัติใต้ดิน : ลดระดับของด่าน เพิ่มรางวัลและเพิ่มนักสู้ระดับตำ"&amp;"นานในล่าสมบัติใต้ดิน")</f>
        <v>-สงครามดาวเคราะห์ : อัปเกรดรางวัลหีบเกียรติยศ ปรับผลลัพธ์บางส่วนของเทคโนโลยียีน เพิ่มเควสรายวันเกี่ยวกับ "การรับยีน" และ "การใช้ยีน" พร้อมปรับเงื่อนไขปลดล็อกฟังก์ชั่นเรียกคืนยีน
-ปฏิบัติการตัวกลายพันธุ์ : เพิ่มบอสใหม่ - ผู้กรีดร้องกลายพันธุ์ พร้อมปรับความแรงของมอน, เวลาที่ปลดล็อกระดับและรางวัลที่สอดคล้อง
- บูธในวันเดอร์เอ็มโพเรี่ยม : ลดเงื่อนไขปลดล็อกบูธเบอร์ 10-12
-ซากปรักหักพัง : ลดระดับการต่อสู้ของเจ้าจ๋อมิวแตนด์ที่เฝ้าซากปรักหักพัง
-ล่าสมบัติใต้ดิน : ลดระดับของด่าน เพิ่มรางวัลและเพิ่มนักสู้ระดับตำนานในล่าสมบัติใต้ดิน</v>
      </c>
      <c r="J33" s="169" t="str">
        <f>IFERROR(__xludf.DUMMYFUNCTION("""COMPUTED_VALUE"""),"- Guerras Planetarias: Hemos aumentado las recompensas de los Cofres Gloriosos, hemos ajustado los efectos de algunos nodos de investigación genética, hemos agregado misiones diarias para obtener y gastar Fragmentos de Genes y hemos ajustado los requisito"&amp;"s para convertir genes de forma manual.
 - Operación Mutantes: Hemos agregado un nuevo jefe, el Aullador Mutante, y hemos ajustado la dificultad de los monstruos, el tiempo de desbloqueo de dificultades y las recompensas correspondientes.
 - Estantes del "&amp;"Emporio de Maravillas: Hemos reducido los requisitos de desbloqueo para los estantes 10, 11 y 12.
 - Ruinas: Hemos reducido el poder de los Mutantes que defienden las ruinas.
 - Desentierro de Tesoros: Hemos reducido las dificultades de las etapas, hemos "&amp;"aumentado las recompensas y hemos agregado recompensas de Luchador Legendario.")</f>
        <v>- Guerras Planetarias: Hemos aumentado las recompensas de los Cofres Gloriosos, hemos ajustado los efectos de algunos nodos de investigación genética, hemos agregado misiones diarias para obtener y gastar Fragmentos de Genes y hemos ajustado los requisitos para convertir genes de forma manual.
 - Operación Mutantes: Hemos agregado un nuevo jefe, el Aullador Mutante, y hemos ajustado la dificultad de los monstruos, el tiempo de desbloqueo de dificultades y las recompensas correspondientes.
 - Estantes del Emporio de Maravillas: Hemos reducido los requisitos de desbloqueo para los estantes 10, 11 y 12.
 - Ruinas: Hemos reducido el poder de los Mutantes que defienden las ruinas.
 - Desentierro de Tesoros: Hemos reducido las dificultades de las etapas, hemos aumentado las recompensas y hemos agregado recompensas de Luchador Legendario.</v>
      </c>
      <c r="K33" s="108" t="str">
        <f>IFERROR(__xludf.DUMMYFUNCTION("""COMPUTED_VALUE"""),"– Планетарные войны: мы увеличили награды из сундуков славы, скорректировали эффекты некоторых узлов исследований генов, добавили ежедневные задания для получения и траты фрагментов генов, а также скорректировали требования для самостоятельного преобразов"&amp;"ания генов.
– Операция «Мутанты»: добавлен новый босс — мутант-ревун, скорректирована сложность чудовищ, время разблокировки уровней сложности и соответствующие награды.
– Стенды Зала чудес: снижены требования для открытия стендов 10, 11 и 12.
– Руины: сн"&amp;"ижена сила мутантов, защищающих руины.
– Поиск кладов: снижена сложность этапов, увеличены награды и добавлены награды легендарных героев.")</f>
        <v>– Планетарные войны: мы увеличили награды из сундуков славы, скорректировали эффекты некоторых узлов исследований генов, добавили ежедневные задания для получения и траты фрагментов генов, а также скорректировали требования для самостоятельного преобразования генов.
– Операция «Мутанты»: добавлен новый босс — мутант-ревун, скорректирована сложность чудовищ, время разблокировки уровней сложности и соответствующие награды.
– Стенды Зала чудес: снижены требования для открытия стендов 10, 11 и 12.
– Руины: снижена сила мутантов, защищающих руины.
– Поиск кладов: снижена сложность этапов, увеличены награды и добавлены награды легендарных героев.</v>
      </c>
      <c r="L33" s="108" t="str">
        <f>IFERROR(__xludf.DUMMYFUNCTION("""COMPUTED_VALUE"""),"- Gezegen Savaşı: Görkem Sandıklarının verdiği ödüller artırıldı, bazı gen araştırma nodlarının etkileri düzenlendi, Gen Parçası elde etmek ve harcamak için günlük görevler eklendi, manuel olarak gen dönüştürmek için gereklilikler düzenlendi.
- Mutant Op"&amp;"erasyonu: Uluyan Mutant adlı yeni bir düşman eklendi; canavarların zorluk düzeyi, zorluk düzeyi kilidinin açılma süreleri ve ilgili ödüller düzenlendi.
- Harikalar Dükkânı Vitrinleri: 10, 11 ve 12. vitrinlerin kilidinin açılma koşulları kolaylaştırıldı.
"&amp;"
- Harabeler: Harabeleri savunan Mutantların gücü azaltıldı.
- Hazine Kazısı: Aşama zorlukları düşürüldü, ödüller artırıldı ve efsanevi savaşçı ödülleri eklendi.
")</f>
        <v>- Gezegen Savaşı: Görkem Sandıklarının verdiği ödüller artırıldı, bazı gen araştırma nodlarının etkileri düzenlendi, Gen Parçası elde etmek ve harcamak için günlük görevler eklendi, manuel olarak gen dönüştürmek için gereklilikler düzenlendi.
- Mutant Operasyonu: Uluyan Mutant adlı yeni bir düşman eklendi; canavarların zorluk düzeyi, zorluk düzeyi kilidinin açılma süreleri ve ilgili ödüller düzenlendi.
- Harikalar Dükkânı Vitrinleri: 10, 11 ve 12. vitrinlerin kilidinin açılma koşulları kolaylaştırıldı.
- Harabeler: Harabeleri savunan Mutantların gücü azaltıldı.
- Hazine Kazısı: Aşama zorlukları düşürüldü, ödüller artırıldı ve efsanevi savaşçı ödülleri eklendi.
</v>
      </c>
      <c r="M33" s="108" t="str">
        <f>IFERROR(__xludf.DUMMYFUNCTION("""COMPUTED_VALUE"""),"- Chiến Tranh Hành Tinh: Nâng cao phần thưởng Rương Quang Vinh, điều chỉnh một số hiệu quả điểm Nghiên Cứu Gen, thêm nhiệm vụ hàng ngày liên quan đến “Nhận Gen” và “Tiêu Hao Gen”, điều chỉnh điều kiện mở khóa thu hồi thủ công Gen. 
- Vây Quét Khỉ Đột Biến"&amp;": Thêm Boss Kẻ Gào Thét Đột Biến, điều chỉnh độ khỏe quái vật, thời gian mở khóa độ khó và phần thưởng độ khó tương ứng. 
- Gian hàng Trung Tâm Thương Mại Kỳ Thú: Giảm điều kiện mở khóa trưng bày của gian hàng số 10, 11, 12. 
- Tàn Tích Loài Người: Giảm đ"&amp;"ộ khó chiến đấu của Khỉ Đột Biến đóng quân Tàn Tích Loài Người. 
- Tìm Kho Báu Dưới Đất: Giảm độ khó Cửa Ải, nâng cao tạo ra, thêm mới Chiến Binh Huyền Thoại tạo ra trong Tìm Kho Báu Dưới Đất.")</f>
        <v>- Chiến Tranh Hành Tinh: Nâng cao phần thưởng Rương Quang Vinh, điều chỉnh một số hiệu quả điểm Nghiên Cứu Gen, thêm nhiệm vụ hàng ngày liên quan đến “Nhận Gen” và “Tiêu Hao Gen”, điều chỉnh điều kiện mở khóa thu hồi thủ công Gen. 
- Vây Quét Khỉ Đột Biến: Thêm Boss Kẻ Gào Thét Đột Biến, điều chỉnh độ khỏe quái vật, thời gian mở khóa độ khó và phần thưởng độ khó tương ứng. 
- Gian hàng Trung Tâm Thương Mại Kỳ Thú: Giảm điều kiện mở khóa trưng bày của gian hàng số 10, 11, 12. 
- Tàn Tích Loài Người: Giảm độ khó chiến đấu của Khỉ Đột Biến đóng quân Tàn Tích Loài Người. 
- Tìm Kho Báu Dưới Đất: Giảm độ khó Cửa Ải, nâng cao tạo ra, thêm mới Chiến Binh Huyền Thoại tạo ra trong Tìm Kho Báu Dưới Đất.</v>
      </c>
      <c r="N33" s="108" t="str">
        <f>IFERROR(__xludf.DUMMYFUNCTION("""COMPUTED_VALUE"""),"- Guerre planetarie: abbiamo aumentato le ricompense dalle Casse Gloria, regolato gli effetti di alcuni nodi di ricerca genetica, aggiunto missioni giornaliere per ottenere e spendere Frammenti di gene e modificato i requisiti per convertire manualmente i"&amp;" geni.
- Operazione Mutanti: abbiamo aggiunto il nuovo Boss Urlatore Mutante, modificato la difficoltà dei mostri, i tempi di sblocco delle difficoltà e le relative ricompense.
- Stand dell'Emporio delle meraviglie: abbassati i requisiti di sblocco per gl"&amp;"i stand 10, 11 e 12.
- Ruderi: ridotta la potenza dei Mutanti a difesa dei Ruderi.
- Scavo di tesori: ridotta la difficoltà delle fasi, aumentate le ricompense e aggiunte ricompense per Combattenti leggendari.")</f>
        <v>- Guerre planetarie: abbiamo aumentato le ricompense dalle Casse Gloria, regolato gli effetti di alcuni nodi di ricerca genetica, aggiunto missioni giornaliere per ottenere e spendere Frammenti di gene e modificato i requisiti per convertire manualmente i geni.
- Operazione Mutanti: abbiamo aggiunto il nuovo Boss Urlatore Mutante, modificato la difficoltà dei mostri, i tempi di sblocco delle difficoltà e le relative ricompense.
- Stand dell'Emporio delle meraviglie: abbassati i requisiti di sblocco per gli stand 10, 11 e 12.
- Ruderi: ridotta la potenza dei Mutanti a difesa dei Ruderi.
- Scavo di tesori: ridotta la difficoltà delle fasi, aumentate le ricompense e aggiunte ricompense per Combattenti leggendari.</v>
      </c>
      <c r="O33" s="169" t="str">
        <f>IFERROR(__xludf.DUMMYFUNCTION("""COMPUTED_VALUE"""),"- Wojny planet: zwiększono nagrody ze Skrzyń chwały, zmodyfikowano efekty niektórych węzłów badań genetycznych, dodano codzienne zadania pozwalające zdobywać i wydawać Fragmenty genów i zmieniono wymagania przy manualnej konwersji genów.
 - Operacja Mutan"&amp;"ty: dodano nowego bossa, Mutanta wyjca, zmodyfikowano poziom trudności potworów, czasy odblokowania trudności i powiązane nagrody.
 - Postumenty w Składzie cudów: obniżono wymagania pozwalające odblokować postumenty 10, 11 i 12.
 - Ruiny: obniżono siłę mu"&amp;"tantów broniących ruin.
 - Poszukiwanie skarbów: obniżono trudność etapów, zwiększono nagrody i dodano nagrody legendarnych  wojowników.")</f>
        <v>- Wojny planet: zwiększono nagrody ze Skrzyń chwały, zmodyfikowano efekty niektórych węzłów badań genetycznych, dodano codzienne zadania pozwalające zdobywać i wydawać Fragmenty genów i zmieniono wymagania przy manualnej konwersji genów.
 - Operacja Mutanty: dodano nowego bossa, Mutanta wyjca, zmodyfikowano poziom trudności potworów, czasy odblokowania trudności i powiązane nagrody.
 - Postumenty w Składzie cudów: obniżono wymagania pozwalające odblokować postumenty 10, 11 i 12.
 - Ruiny: obniżono siłę mutantów broniących ruin.
 - Poszukiwanie skarbów: obniżono trudność etapów, zwiększono nagrody i dodano nagrody legendarnych  wojowników.</v>
      </c>
      <c r="P33" s="108" t="str">
        <f>IFERROR(__xludf.DUMMYFUNCTION("""COMPUTED_VALUE"""),"- حروب الكوكب: لقد قمنا بزيادة المكافآت من صناديق المجد، وقمنا بتعديل تأثيرات بعض عقد البحث الجيني، وأضفنا مهامًا يومية لكسب وإستهلاك شظايا الجينات، وقمنا بتعديل المتطلبات لتحويل الجينات يدويًا.
- عملية المسوخ: تمت إضافة الزعيم الجديد مسخ العواء، وتعديل ص"&amp;"عوبة الوحوش، وصعوبة فتح الأوقات والمكافآت ذات الصلة.
- أكشاك معرض العجائب: تم تخفيض متطلبات فتح الأكشاك 10 و 11 و 12.
- الأنقاض: تم تقليل قوة المسوخ في الدفاع عن الأنقاض.
- حفر الكنوز: تم تقليل صعوبات المرحلة وزيادة المكافآت وإضافة مكافآت المقاتلين الأسطو"&amp;"ريين.")</f>
        <v>- حروب الكوكب: لقد قمنا بزيادة المكافآت من صناديق المجد، وقمنا بتعديل تأثيرات بعض عقد البحث الجيني، وأضفنا مهامًا يومية لكسب وإستهلاك شظايا الجينات، وقمنا بتعديل المتطلبات لتحويل الجينات يدويًا.
- عملية المسوخ: تمت إضافة الزعيم الجديد مسخ العواء، وتعديل صعوبة الوحوش، وصعوبة فتح الأوقات والمكافآت ذات الصلة.
- أكشاك معرض العجائب: تم تخفيض متطلبات فتح الأكشاك 10 و 11 و 12.
- الأنقاض: تم تقليل قوة المسوخ في الدفاع عن الأنقاض.
- حفر الكنوز: تم تقليل صعوبات المرحلة وزيادة المكافآت وإضافة مكافآت المقاتلين الأسطوريين.</v>
      </c>
      <c r="Q33" s="108"/>
      <c r="R33" s="108"/>
      <c r="S33" s="108"/>
      <c r="T33" s="108"/>
      <c r="U33" s="108"/>
      <c r="V33" s="108"/>
      <c r="W33" s="108"/>
      <c r="X33" s="108"/>
      <c r="Y33" s="108"/>
      <c r="Z33" s="108"/>
    </row>
    <row r="34">
      <c r="A34" s="108" t="str">
        <f>IFERROR(__xludf.DUMMYFUNCTION("""COMPUTED_VALUE"""),"0.51.0")</f>
        <v>0.51.0</v>
      </c>
      <c r="B34" s="108" t="str">
        <f>IFERROR(__xludf.DUMMYFUNCTION("""COMPUTED_VALUE"""),"斗士强度调整：蒂芙尼获得增强。主动技能造成单体伤害由1400提升至1500；被动技能1加强突击手防御，由15%提升至20%；被动技能2全部为突击手时，突击手攻击由25%提升至30%；被动技能3增加突击手生命，由15%提升至20%。
围剿变异猴：降低了玩法难度，提高了难度19-20中传说战装碎片的掉落概率。 
堡垒竞速玩法：降低了关卡数量、难度，以及领奖需要通关的最低关卡数。 
斗士奖牌回收：所有史诗斗士技能满级后，史诗斗士的奖牌和史诗万能奖牌可以在荣誉币商店内兑换荣誉币。 
地下探宝玩法：增加40关，提高"&amp;"了地下探宝玩法的通关难度。")</f>
        <v>斗士强度调整：蒂芙尼获得增强。主动技能造成单体伤害由1400提升至1500；被动技能1加强突击手防御，由15%提升至20%；被动技能2全部为突击手时，突击手攻击由25%提升至30%；被动技能3增加突击手生命，由15%提升至20%。
围剿变异猴：降低了玩法难度，提高了难度19-20中传说战装碎片的掉落概率。 
堡垒竞速玩法：降低了关卡数量、难度，以及领奖需要通关的最低关卡数。 
斗士奖牌回收：所有史诗斗士技能满级后，史诗斗士的奖牌和史诗万能奖牌可以在荣誉币商店内兑换荣誉币。 
地下探宝玩法：增加40关，提高了地下探宝玩法的通关难度。</v>
      </c>
      <c r="C34" s="108" t="str">
        <f>IFERROR(__xludf.DUMMYFUNCTION("""COMPUTED_VALUE"""),"Fighter Attributes Adjustment: Tiffany has been enhanced. Her active skill now deals 1,500 damage to a single unit (was 1,400). Her Passive 1 boosts the defense of Pilots by 20% (was 15%). Her Passive 2 boosts the attack of Pilots by 30% (was 25%) when al"&amp;"l units are Pilots. Her Passive 3 boosts the health of Pilots by 20% (was 15%).
Operation Mutants: Reduced the difficulty across the board and increased the drop rate of legendary equipment scraps from difficulties 19 and 20.
Fortress Race: Reduces the nu"&amp;"mber of levels, the difficulty and the lowest number of levels cleared to earn rewards.
Excess Medals: Once you've maxed out all epic fighter skills, epic medals and universal medals can be exchanged for Honor Coins in the Honor Coin Shop.
Treasure Dig: A"&amp;"dded 40 new levels; increased the difficulty across the board.")</f>
        <v>Fighter Attributes Adjustment: Tiffany has been enhanced. Her active skill now deals 1,500 damage to a single unit (was 1,400). Her Passive 1 boosts the defense of Pilots by 20% (was 15%). Her Passive 2 boosts the attack of Pilots by 30% (was 25%) when all units are Pilots. Her Passive 3 boosts the health of Pilots by 20% (was 15%).
Operation Mutants: Reduced the difficulty across the board and increased the drop rate of legendary equipment scraps from difficulties 19 and 20.
Fortress Race: Reduces the number of levels, the difficulty and the lowest number of levels cleared to earn rewards.
Excess Medals: Once you've maxed out all epic fighter skills, epic medals and universal medals can be exchanged for Honor Coins in the Honor Coin Shop.
Treasure Dig: Added 40 new levels; increased the difficulty across the board.</v>
      </c>
      <c r="D34" s="108" t="str">
        <f>IFERROR(__xludf.DUMMYFUNCTION("""COMPUTED_VALUE"""),"Optimisation des attributs de la combattante Tiffany: sa compétence active inflige désormais 1500 dégâts à une cible unique (au lieu de 1400). Sa compétence passive 1 procure +20% de défense aux pilotes (au lieu de 15%). Sa compétence passive 2 procure +3"&amp;"0% d'attaque si toutes les unités sont des pilotes (au lieu de 25%). Sa compétence passive 3 procure +20% de santé aux pilotes (au lieu de 15%).
Opération mutants: réduction générale de la difficulté et augmentation du taux d'obtention de fragments d'équi"&amp;"pement légendaire dans les niveaux de difficulté 19 et 20.
Course aux forteresses: réduction du nombre de niveaux, de la difficulté et du minimum de niveaux terminés requis pour obtenir des récompenses.
Excès de médailles: lorsque vous avez amélioré toute"&amp;"s les compétences épiques des combattants au maximum, vous pouvez échanger les médailles épiques et universelles contre des pièces d'honneur dans la boutique de pièces d'honneur.
Trésors enfouis: 40 nouveaux niveaux; augmentation de la difficulté générale"&amp;".")</f>
        <v>Optimisation des attributs de la combattante Tiffany: sa compétence active inflige désormais 1500 dégâts à une cible unique (au lieu de 1400). Sa compétence passive 1 procure +20% de défense aux pilotes (au lieu de 15%). Sa compétence passive 2 procure +30% d'attaque si toutes les unités sont des pilotes (au lieu de 25%). Sa compétence passive 3 procure +20% de santé aux pilotes (au lieu de 15%).
Opération mutants: réduction générale de la difficulté et augmentation du taux d'obtention de fragments d'équipement légendaire dans les niveaux de difficulté 19 et 20.
Course aux forteresses: réduction du nombre de niveaux, de la difficulté et du minimum de niveaux terminés requis pour obtenir des récompenses.
Excès de médailles: lorsque vous avez amélioré toutes les compétences épiques des combattants au maximum, vous pouvez échanger les médailles épiques et universelles contre des pièces d'honneur dans la boutique de pièces d'honneur.
Trésors enfouis: 40 nouveaux niveaux; augmentation de la difficulté générale.</v>
      </c>
      <c r="E34" s="108" t="str">
        <f>IFERROR(__xludf.DUMMYFUNCTION("""COMPUTED_VALUE"""),"Kämpfer-Vorteile/Nerfs: Tiffany wurde gebufft. Ihre aktive Fähigkeit fügt jetzt einer einzelnen Einheit 1.500 Schaden zu (vorher 1.400). Ihre passive Fähigkeit 1 erhöht die Verteidigung von Piloten um 20 % (vorher 15 %). Ihre passive Fähigkeit 2 erhöht de"&amp;"n Angriff von Piloten um 30 % (vorher 25 %), wenn alle Einheiten Piloten sind. Ihre passive Fähigkeit 3 erhöht die Gesundheit von Piloten um 20 % (vorher 15 %).
 Operation Mutanten: Der Schwierigkeitsgrad wurde allgemein gesenkt und die Drop-Rate von lege"&amp;"ndären Ausrüstungsgegenständen der Schwierigkeitsgrade 19 und 20 erhöht.
 Festungsrennen: Verringert die Anzahl der Level, den Schwierigkeitsgrad und die niedrigste Anzahl an Leveln, die erreicht werden müssen, um Belohnungen zu erhalten.
 Überschüssige M"&amp;"edaillen: Sobald du alle epischen Kämpferfähigkeiten maximiert hast, können epische Medaillen und Universalmedaillen im Ehrenmünzen-Shop gegen Ehrenmünzen eingetauscht werden.
 Schatzsuche: Es wurden 40 neue Levels hinzugefügt; der Schwierigkeitsgrad wurd"&amp;"e durchgängig erhöht.")</f>
        <v>Kämpfer-Vorteile/Nerfs: Tiffany wurde gebufft. Ihre aktive Fähigkeit fügt jetzt einer einzelnen Einheit 1.500 Schaden zu (vorher 1.400). Ihre passive Fähigkeit 1 erhöht die Verteidigung von Piloten um 20 % (vorher 15 %). Ihre passive Fähigkeit 2 erhöht den Angriff von Piloten um 30 % (vorher 25 %), wenn alle Einheiten Piloten sind. Ihre passive Fähigkeit 3 erhöht die Gesundheit von Piloten um 20 % (vorher 15 %).
 Operation Mutanten: Der Schwierigkeitsgrad wurde allgemein gesenkt und die Drop-Rate von legendären Ausrüstungsgegenständen der Schwierigkeitsgrade 19 und 20 erhöht.
 Festungsrennen: Verringert die Anzahl der Level, den Schwierigkeitsgrad und die niedrigste Anzahl an Leveln, die erreicht werden müssen, um Belohnungen zu erhalten.
 Überschüssige Medaillen: Sobald du alle epischen Kämpferfähigkeiten maximiert hast, können epische Medaillen und Universalmedaillen im Ehrenmünzen-Shop gegen Ehrenmünzen eingetauscht werden.
 Schatzsuche: Es wurden 40 neue Levels hinzugefügt; der Schwierigkeitsgrad wurde durchgängig erhöht.</v>
      </c>
      <c r="F34" s="108" t="str">
        <f>IFERROR(__xludf.DUMMYFUNCTION("""COMPUTED_VALUE"""),"Fortalecimento/Enfraquecimento de combatentes: Tiffany foi fortalecida. Agora, a habilidade ativa dela causa 1.500 de dano a uma única unidade (anteriormente era 1.400). A passiva 1 dela aumenta a defesa dos pilotos em 20% (anteriormente era 15%). A passi"&amp;"va 2 dela aumenta o ataque dos pilotos em 30% (anteriormente era 25%) quando todas as unidades são pilotos. A passiva 3 dela aumenta a vida dos pilotos em 20% (anteriormente era 15%).
Operação mutantes: A dificuldade foi reduzida globalmente e a taxa de q"&amp;"ueda de fragmentos de equipamentos lendários foi aumentada nas dificuldades 19 e 20.
Corrida de Fortaleza: O número de níveis, a dificuldade e o número mínimo de níveis finalizados para se obter recompensas foram reduzidos.
Medalhas sobressalentes: Após m"&amp;"aximizar todas as habilidades épicas de combatentes, as medalhas épicas e as universais poderão ser trocadas por Moedas de Honra na Loja de Moeda de Honra.
Escavação de Tesouro: Adição de 40 novos níveis e aumento da dificuldade global.")</f>
        <v>Fortalecimento/Enfraquecimento de combatentes: Tiffany foi fortalecida. Agora, a habilidade ativa dela causa 1.500 de dano a uma única unidade (anteriormente era 1.400). A passiva 1 dela aumenta a defesa dos pilotos em 20% (anteriormente era 15%). A passiva 2 dela aumenta o ataque dos pilotos em 30% (anteriormente era 25%) quando todas as unidades são pilotos. A passiva 3 dela aumenta a vida dos pilotos em 20% (anteriormente era 15%).
Operação mutantes: A dificuldade foi reduzida globalmente e a taxa de queda de fragmentos de equipamentos lendários foi aumentada nas dificuldades 19 e 20.
Corrida de Fortaleza: O número de níveis, a dificuldade e o número mínimo de níveis finalizados para se obter recompensas foram reduzidos.
Medalhas sobressalentes: Após maximizar todas as habilidades épicas de combatentes, as medalhas épicas e as universais poderão ser trocadas por Moedas de Honra na Loja de Moeda de Honra.
Escavação de Tesouro: Adição de 40 novos níveis e aumento da dificuldade global.</v>
      </c>
      <c r="G34" s="108" t="str">
        <f>IFERROR(__xludf.DUMMYFUNCTION("""COMPUTED_VALUE"""),"鬥士強度調整：蒂芙尼獲得增強。主動技能造成單體傷害由1400提升至1500；被動技能1加強突擊手防禦，由15%提升至20%；被動技能2全部為突擊手時，突擊手攻擊由25%提升至30%；被動技能3增加突擊手生命，由15%提升至20%。
圍剿變異猴：降低了玩法難度，提高了難度19-20中傳說戰裝碎片的掉落概率。
堡壘競速玩法：降低了關卡數量、難度，以及領獎需要通關的最低關卡數。
鬥士獎牌回收：所有史詩鬥士技能滿級後，史詩鬥士的獎牌和史詩萬能獎牌可以在榮譽幣商店內兌換榮譽幣。
地下探寶玩法：增加40關，提高了地下"&amp;"探寶玩法的通關難度。")</f>
        <v>鬥士強度調整：蒂芙尼獲得增強。主動技能造成單體傷害由1400提升至1500；被動技能1加強突擊手防禦，由15%提升至20%；被動技能2全部為突擊手時，突擊手攻擊由25%提升至30%；被動技能3增加突擊手生命，由15%提升至20%。
圍剿變異猴：降低了玩法難度，提高了難度19-20中傳說戰裝碎片的掉落概率。
堡壘競速玩法：降低了關卡數量、難度，以及領獎需要通關的最低關卡數。
鬥士獎牌回收：所有史詩鬥士技能滿級後，史詩鬥士的獎牌和史詩萬能獎牌可以在榮譽幣商店內兌換榮譽幣。
地下探寶玩法：增加40關，提高了地下探寶玩法的通關難度。</v>
      </c>
      <c r="H34" s="108" t="str">
        <f>IFERROR(__xludf.DUMMYFUNCTION("""COMPUTED_VALUE"""),"Penyesuaian kekuatan pejuang: Tiffany menguat. Damage keahlian aktif untuk 1 target dari 1400 menjadi 1500. Penguat pertahanan penembus dari keahlian pasif 1 meningkat dari 15% menjadi 20%. Saat semua keahlian pasif 2 adalah penembus, serangan penembus da"&amp;"ri 25% menjadi 30%. Keahlian pasif 3 menambah kesehatan penembus, dari 15% menjadi 20%.
Pengepungan Kera Mutan: Kesulitan menurun, meningkatkan peluang drop potongan perlengkapan legendaris di kesulitan 19-20. 
Lomba Benteng: Menurunkan jumlah dan kesulit"&amp;"an wilayah kera, serta jumlah lolos wilayah minimal untuk mengambil hadiah. 
Daur Ulang Medali Pejuang: Setelah semua keahlian pejuang epik penuh, medali pejuang epik dan medali universal epik bisa ditukarkan Koin Kehormatan di Toko Koin Kehormatan. 
Gali"&amp;" Harta: Menambah 40 wilayah, meningkatkan kesulitan Gali Harta.")</f>
        <v>Penyesuaian kekuatan pejuang: Tiffany menguat. Damage keahlian aktif untuk 1 target dari 1400 menjadi 1500. Penguat pertahanan penembus dari keahlian pasif 1 meningkat dari 15% menjadi 20%. Saat semua keahlian pasif 2 adalah penembus, serangan penembus dari 25% menjadi 30%. Keahlian pasif 3 menambah kesehatan penembus, dari 15% menjadi 20%.
Pengepungan Kera Mutan: Kesulitan menurun, meningkatkan peluang drop potongan perlengkapan legendaris di kesulitan 19-20. 
Lomba Benteng: Menurunkan jumlah dan kesulitan wilayah kera, serta jumlah lolos wilayah minimal untuk mengambil hadiah. 
Daur Ulang Medali Pejuang: Setelah semua keahlian pejuang epik penuh, medali pejuang epik dan medali universal epik bisa ditukarkan Koin Kehormatan di Toko Koin Kehormatan. 
Gali Harta: Menambah 40 wilayah, meningkatkan kesulitan Gali Harta.</v>
      </c>
      <c r="I34" s="108" t="str">
        <f>IFERROR(__xludf.DUMMYFUNCTION("""COMPUTED_VALUE"""),"ปรับความแรงของนักสู้ : ทิฟฟานี่แข็งแกร่งขึ้น ทักษะทางตรงสร้างความเสียหายต่อ 1 ยูนิตจาก 1400 เพิ่มขึ้นเป็น 1500 ; ทักษะทางอ้อม 1 เสริมพลังป้องกันให้พลขับ จาก 15% เป็น 20% ; เมื่อทักษะทางอ้อม 2 ทั้งหมดเป็นพลขับ พลังโจมตีของพลขับจะเพิ่มขึ้นจาก 25% เป็น 30% ;"&amp;" ทักษะทางอ้อม 3 เพิ่มพลังชีวิตให้พลขับ จาก 15% เป็น 20%
ปฏิบัติการตัวกลายพันธุ์ : ลดความยากของเกมเพลย์ เพิ่มอัตราการดรอปของอุปกรณ์ในตำนานในระดับ 19-20 
ค่ายแข่งความเร็ว : ลดจำนวนด่าน, ความยากและจำนวนด่านขั้นต่ำที่ต้องผ่านในการรับรางวัล 
เรียกคืนเหรียญตราน"&amp;"ักรบ : หลังเลเวลของสกิลนักสู้ระดับมหากาพย์ทั้งหมดตัน เหรียญตราของนักสู้มหากาพย์และเหรียญมหากาพย์ทั่วไปสามารถแลกเป็นเหรียญเกียรติยศได้ที่ร้านค้าเหรียญเกียรติยศ
ล่าสมบัติใต้ดิน : เพิ่มด่านใหม่ 40 ด่านและเพิ่มระดับของการผ่านด่าน")</f>
        <v>ปรับความแรงของนักสู้ : ทิฟฟานี่แข็งแกร่งขึ้น ทักษะทางตรงสร้างความเสียหายต่อ 1 ยูนิตจาก 1400 เพิ่มขึ้นเป็น 1500 ; ทักษะทางอ้อม 1 เสริมพลังป้องกันให้พลขับ จาก 15% เป็น 20% ; เมื่อทักษะทางอ้อม 2 ทั้งหมดเป็นพลขับ พลังโจมตีของพลขับจะเพิ่มขึ้นจาก 25% เป็น 30% ; ทักษะทางอ้อม 3 เพิ่มพลังชีวิตให้พลขับ จาก 15% เป็น 20%
ปฏิบัติการตัวกลายพันธุ์ : ลดความยากของเกมเพลย์ เพิ่มอัตราการดรอปของอุปกรณ์ในตำนานในระดับ 19-20 
ค่ายแข่งความเร็ว : ลดจำนวนด่าน, ความยากและจำนวนด่านขั้นต่ำที่ต้องผ่านในการรับรางวัล 
เรียกคืนเหรียญตรานักรบ : หลังเลเวลของสกิลนักสู้ระดับมหากาพย์ทั้งหมดตัน เหรียญตราของนักสู้มหากาพย์และเหรียญมหากาพย์ทั่วไปสามารถแลกเป็นเหรียญเกียรติยศได้ที่ร้านค้าเหรียญเกียรติยศ
ล่าสมบัติใต้ดิน : เพิ่มด่านใหม่ 40 ด่านและเพิ่มระดับของการผ่านด่าน</v>
      </c>
      <c r="J34" s="108" t="str">
        <f>IFERROR(__xludf.DUMMYFUNCTION("""COMPUTED_VALUE"""),"Ajustes de atributos de luchador: Tiffany se mejoró. Su habilidad activa ahora inflige 1500 de daño a una unidad individual (antes: 1400). Su pasiva 1 potencia la defensa de pilotos en un 20 % (antes: 15 %). Su pasiva 2 potencia el ataque de pilotos en un"&amp;" 30 % (antes: 25 %) cuando todas las unidades son pilotos. Su pasiva 3 potencia la salud de pilotos en un 20 % (antes: 15 %).
Operación mutantes: Se redujo la dificultad en el tablero y se aumentó la tasa de aparición de restos de equipo legendario de las"&amp;" dificultades 19 y 20.
Carrera de la fortaleza: Reduce la cantidad de niveles, la dificultad y la menor cantidad de niveles a superar para conseguir recompensas.
Medallas de excedente: Una vez que hayas agotado todas las habilidades de luchador épico, las"&amp;" medallas épicas y las universales pueden intercambiarse por monedas de honor en la tienda de monedas de honor.
Excavación del tesoro: Se agregaron 40 niveles nuevos; se aumentó la dificultad en el tablero.")</f>
        <v>Ajustes de atributos de luchador: Tiffany se mejoró. Su habilidad activa ahora inflige 1500 de daño a una unidad individual (antes: 1400). Su pasiva 1 potencia la defensa de pilotos en un 20 % (antes: 15 %). Su pasiva 2 potencia el ataque de pilotos en un 30 % (antes: 25 %) cuando todas las unidades son pilotos. Su pasiva 3 potencia la salud de pilotos en un 20 % (antes: 15 %).
Operación mutantes: Se redujo la dificultad en el tablero y se aumentó la tasa de aparición de restos de equipo legendario de las dificultades 19 y 20.
Carrera de la fortaleza: Reduce la cantidad de niveles, la dificultad y la menor cantidad de niveles a superar para conseguir recompensas.
Medallas de excedente: Una vez que hayas agotado todas las habilidades de luchador épico, las medallas épicas y las universales pueden intercambiarse por monedas de honor en la tienda de monedas de honor.
Excavación del tesoro: Se agregaron 40 niveles nuevos; se aumentó la dificultad en el tablero.</v>
      </c>
      <c r="K34" s="108" t="str">
        <f>IFERROR(__xludf.DUMMYFUNCTION("""COMPUTED_VALUE"""),"Корректировка показателей героя: улучшение Тиффани. Теперь ее активный навык наносит 1500 ед. урона одному бойцу (было 1400). Ее первый пассивный навык повышает защиту гонщиков на 20% (было 15%). Второй пассивный навык увеличивает атаку гонщиков на 30% (б"&amp;"ыло 25%), если войско состоит только из гонщиков. Третий пассивный навык увеличивает здоровье гонщиков на 20% (было 15%).
Операция «Мутанты»: снижена сложность на всех уровнях и увеличена частота выпадения частей легендарных чертежей снаряжения на уровнях"&amp;" сложности 19 и 20.
Гонки крепости: снижено количество уровней, сложность и минимальное количество уровней, которые необходимо пройти для получения наград.
Лишние медали: когда вы до максимума развили все навыки эпического героя, эпические медали и универ"&amp;"сальные медали можно обменять на монеты чести в магазине монет чести.
Поиск кладов: добавлено 40 новых уровней; сложность повышена на всех уровнях.")</f>
        <v>Корректировка показателей героя: улучшение Тиффани. Теперь ее активный навык наносит 1500 ед. урона одному бойцу (было 1400). Ее первый пассивный навык повышает защиту гонщиков на 20% (было 15%). Второй пассивный навык увеличивает атаку гонщиков на 30% (было 25%), если войско состоит только из гонщиков. Третий пассивный навык увеличивает здоровье гонщиков на 20% (было 15%).
Операция «Мутанты»: снижена сложность на всех уровнях и увеличена частота выпадения частей легендарных чертежей снаряжения на уровнях сложности 19 и 20.
Гонки крепости: снижено количество уровней, сложность и минимальное количество уровней, которые необходимо пройти для получения наград.
Лишние медали: когда вы до максимума развили все навыки эпического героя, эпические медали и универсальные медали можно обменять на монеты чести в магазине монет чести.
Поиск кладов: добавлено 40 новых уровней; сложность повышена на всех уровнях.</v>
      </c>
      <c r="L34" s="108" t="str">
        <f>IFERROR(__xludf.DUMMYFUNCTION("""COMPUTED_VALUE"""),"Savaşçı Güçlendirmeleri/Zayıflatmaları: Tiffany güçlendirildi. Artık aktif becerisi bir birime 1.400 yerine 1.500 hasar verir. 1. Pasifi, Pilotların savunmasını %15 yerine %20 artırır. 2. Pasifi, tüm birimler Pilot olduğunda Pilotların saldırısını %25 yer"&amp;"ine %30 artırır. 3. Pasifi Pilotların sağlığını %15 yerine %20 artırır.
Mutant Operasyonu: Zorluk her seviyede düşürüldü, 19. ve 20. zorluklarda efsanevi ekipman artığı düşme oranı artırıldı.
Kale Yarışı: Seviye sayısı, zorluk ve ödül almak için tamamla"&amp;"nması gereken seviye sayısı düşürüldü.
Artan Madalyalar: Tüm destansı savaşçı becerilerini en üst seviyeye çıkardığında destansı ve evrensel madalyalar Onur Parası Mağazasında Onur Paralarıyla takas edilebilir.
Hazine Kazısı: 40 yeni seviye eklendi, zor"&amp;"luk her seviyede artırıldı.
")</f>
        <v>Savaşçı Güçlendirmeleri/Zayıflatmaları: Tiffany güçlendirildi. Artık aktif becerisi bir birime 1.400 yerine 1.500 hasar verir. 1. Pasifi, Pilotların savunmasını %15 yerine %20 artırır. 2. Pasifi, tüm birimler Pilot olduğunda Pilotların saldırısını %25 yerine %30 artırır. 3. Pasifi Pilotların sağlığını %15 yerine %20 artırır.
Mutant Operasyonu: Zorluk her seviyede düşürüldü, 19. ve 20. zorluklarda efsanevi ekipman artığı düşme oranı artırıldı.
Kale Yarışı: Seviye sayısı, zorluk ve ödül almak için tamamlanması gereken seviye sayısı düşürüldü.
Artan Madalyalar: Tüm destansı savaşçı becerilerini en üst seviyeye çıkardığında destansı ve evrensel madalyalar Onur Parası Mağazasında Onur Paralarıyla takas edilebilir.
Hazine Kazısı: 40 yeni seviye eklendi, zorluk her seviyede artırıldı.
</v>
      </c>
      <c r="M34" s="108" t="str">
        <f>IFERROR(__xludf.DUMMYFUNCTION("""COMPUTED_VALUE"""),"Điều chỉnh sức mạnh Chiến Binh: Tiffany được tăng cường. Sát Thương Đơn mà Kỹ Năng Chủ Động gây ra tăng từ 1400 lên 1500; Kỹ Năng Bị Động 1 tăng cường Phòng Thủ Xạ Thủ, từ 15% lên 20%; Kỹ Năng Bị Động 2 khi toàn bộ là Xạ Thủ, Tấn Công Xạ Thủ tăng từ 25% l"&amp;"ên 30%; Kỹ Năng Bị Động 3 tăng Sinh Lực Xạ Thủ, từ 15% lên 20%.
Vây Quét Khỉ Đột Biến: Giảm độ khó lối chơi, nâng cao tỷ lệ rơi của Mảnh Trang Bị Huyền Thoại trong độ khó 19-20.
Lối chơi Cuộc Đua Pháo Đài: Giảm số lượng cửa ải, độ khó và số cửa ải tối thi"&amp;"ểu cần vượt qua để nhận thưởng.
Thu hồi Huy Hiệu Chiến Binh: Sau khi tất cả kỹ năng Chiến Binh Sử Thi max cấp, Huy Hiệu Chiến Binh Sử Thi và Huy Hiệu Vạn Năng (Sử Thi) có thể đổi Xu Danh Dự trong Cửa Hàng Xu Danh Dự.
Lối chơi Tìm Kho Báu Dưới Đất: Thêm 40"&amp;" Cửa Ải, nâng cao độ khó Vượt Ải của lối chơi Tìm Kho Báu Dưới Đất.")</f>
        <v>Điều chỉnh sức mạnh Chiến Binh: Tiffany được tăng cường. Sát Thương Đơn mà Kỹ Năng Chủ Động gây ra tăng từ 1400 lên 1500; Kỹ Năng Bị Động 1 tăng cường Phòng Thủ Xạ Thủ, từ 15% lên 20%; Kỹ Năng Bị Động 2 khi toàn bộ là Xạ Thủ, Tấn Công Xạ Thủ tăng từ 25% lên 30%; Kỹ Năng Bị Động 3 tăng Sinh Lực Xạ Thủ, từ 15% lên 20%.
Vây Quét Khỉ Đột Biến: Giảm độ khó lối chơi, nâng cao tỷ lệ rơi của Mảnh Trang Bị Huyền Thoại trong độ khó 19-20.
Lối chơi Cuộc Đua Pháo Đài: Giảm số lượng cửa ải, độ khó và số cửa ải tối thiểu cần vượt qua để nhận thưởng.
Thu hồi Huy Hiệu Chiến Binh: Sau khi tất cả kỹ năng Chiến Binh Sử Thi max cấp, Huy Hiệu Chiến Binh Sử Thi và Huy Hiệu Vạn Năng (Sử Thi) có thể đổi Xu Danh Dự trong Cửa Hàng Xu Danh Dự.
Lối chơi Tìm Kho Báu Dưới Đất: Thêm 40 Cửa Ải, nâng cao độ khó Vượt Ải của lối chơi Tìm Kho Báu Dưới Đất.</v>
      </c>
      <c r="N34" s="108" t="str">
        <f>IFERROR(__xludf.DUMMYFUNCTION("""COMPUTED_VALUE"""),"Modifiche ai Combattenti: Tiffany è stata potenziata! La sua abilità attiva ora infligge 1.500 danni a una singola unità (invece di 1.400). La sua abilità passiva 1 aumenta la difesa dei Piloti del 20% (invece del 15%). La sua abilità passiva 2 aumenta l'"&amp;"attacco dei Piloti del 30% (invece del 25%) quando tutte le unità sono composte da Piloti. La sua abilità passiva 3 aumenta la salute dei Piloti del 20% (invece del 15%).
Operazione Mutanti: ridotta la difficoltà del gioco e aumentato il tasso di rilascio"&amp;" di frammenti di equipaggiamento leggendario dalle difficoltà 19 e 20.
Gara della fortezza: ridotto il numero di livelli, la difficoltà e il minor numero di livelli da superare per ottenere ricompense.
Medaglie in eccesso: una volta raggiunto il massimo p"&amp;"er tutte le abilità dei Combattenti epici, le Medaglie epiche e universali possono essere scambiate per ottenere Monete Onore nel Negozio Monete Onore.
Scavo di tesori: aggiunti 40 nuovi livelli; aumentata la difficoltà del gioco.")</f>
        <v>Modifiche ai Combattenti: Tiffany è stata potenziata! La sua abilità attiva ora infligge 1.500 danni a una singola unità (invece di 1.400). La sua abilità passiva 1 aumenta la difesa dei Piloti del 20% (invece del 15%). La sua abilità passiva 2 aumenta l'attacco dei Piloti del 30% (invece del 25%) quando tutte le unità sono composte da Piloti. La sua abilità passiva 3 aumenta la salute dei Piloti del 20% (invece del 15%).
Operazione Mutanti: ridotta la difficoltà del gioco e aumentato il tasso di rilascio di frammenti di equipaggiamento leggendario dalle difficoltà 19 e 20.
Gara della fortezza: ridotto il numero di livelli, la difficoltà e il minor numero di livelli da superare per ottenere ricompense.
Medaglie in eccesso: una volta raggiunto il massimo per tutte le abilità dei Combattenti epici, le Medaglie epiche e universali possono essere scambiate per ottenere Monete Onore nel Negozio Monete Onore.
Scavo di tesori: aggiunti 40 nuovi livelli; aumentata la difficoltà del gioco.</v>
      </c>
      <c r="O34" s="108" t="str">
        <f>IFERROR(__xludf.DUMMYFUNCTION("""COMPUTED_VALUE"""),"Dostosowanie atrybutów Wojownika: Tiffany została wzmocniona. Jej aktywna umiejętność zadaje teraz pojedynczej jednostce uszkodzenia na poziomie 1500 (wcześniej 1400). Jej Bierna umiejętność 1 zwiększa obronę Pilotów o 20% (wcześniej 15%). Jej Bierna umie"&amp;"jętność 2 zwiększa atak Pilotów o 30% (wcześniej 25%), gdy wszystkie jednostki to Piloci. Jej Bierna umiejętność 3 zwiększa zdrowie Pilotów o 20% (wcześniej 15%).
Operacja Mutanty: Zmniejszono ogólną trudność i zwiększono częstotliwość znajdowania fragmen"&amp;"tów legendarnego wyposażenia od poziomu trudności 19 i 20.
Wyścig fortecy: Zmniejsza liczbę poziomów, trudność oraz najniższą liczbę poziomów do przejścia, aby zdobyć nagrody.
Nadwyżka medali: Po uzyskaniu maksymalnego poziomu wszystkich epickich umiejętn"&amp;"ości wojownika epickie medale i uniwersalne medale mogą być wymieniane na Monety honorowe w Sklepie na Monety honorowe.
Zakopane skarby: Dodano 40 nowych poziomów; zwiększono ogólną trudność.")</f>
        <v>Dostosowanie atrybutów Wojownika: Tiffany została wzmocniona. Jej aktywna umiejętność zadaje teraz pojedynczej jednostce uszkodzenia na poziomie 1500 (wcześniej 1400). Jej Bierna umiejętność 1 zwiększa obronę Pilotów o 20% (wcześniej 15%). Jej Bierna umiejętność 2 zwiększa atak Pilotów o 30% (wcześniej 25%), gdy wszystkie jednostki to Piloci. Jej Bierna umiejętność 3 zwiększa zdrowie Pilotów o 20% (wcześniej 15%).
Operacja Mutanty: Zmniejszono ogólną trudność i zwiększono częstotliwość znajdowania fragmentów legendarnego wyposażenia od poziomu trudności 19 i 20.
Wyścig fortecy: Zmniejsza liczbę poziomów, trudność oraz najniższą liczbę poziomów do przejścia, aby zdobyć nagrody.
Nadwyżka medali: Po uzyskaniu maksymalnego poziomu wszystkich epickich umiejętności wojownika epickie medale i uniwersalne medale mogą być wymieniane na Monety honorowe w Sklepie na Monety honorowe.
Zakopane skarby: Dodano 40 nowych poziomów; zwiększono ogólną trudność.</v>
      </c>
      <c r="P34" s="108" t="str">
        <f>IFERROR(__xludf.DUMMYFUNCTION("""COMPUTED_VALUE"""),"تعديل سمات المقاتل: تم تحسين تيفاني. مهارتها النشطة تتسبب الآن في 1,500 ضرر لوحدة واحدة (كانت 1,400). أسلوبها السلبي 1 يعزز دفاع الطيارين بنسبة 20% (كانت 15%). أسلوبها السلبي 2 يعزز هجوم الطيارين بنسبة 30% (كانت 25%) عندما تكون جميع الوحدات طيارين. أسلوبه"&amp;"ا السلبي 3 يعزز صحة الطيارين بنسبة 20% (كانت 15%).
عملية المسوخ: تم تقليل الصعوبة عبر اللوح وتم زيادة معدل سقوط قصاصات المعدات الأسطورية من الصعوبات 19 و 20.
سباق الحصن: تم تقليل عدد المستويات والصعوبة وأقل عدد من المستويات التي تم إخلائها لكسب المكافآت.
"&amp;"الميداليات الزائدة: بمجرد بلوغك الحد الأقصى لجميع مهارات المقاتلين الملحميين، يمكن استبدال الميداليات الملحمية والميداليات العالمية بعملات الشرف في متجر عملات الشرف.
حفر الكنوز: تم إضافة 40 مستوى جديد؛ وزيادة الصعوبة في جميع المجالات.")</f>
        <v>تعديل سمات المقاتل: تم تحسين تيفاني. مهارتها النشطة تتسبب الآن في 1,500 ضرر لوحدة واحدة (كانت 1,400). أسلوبها السلبي 1 يعزز دفاع الطيارين بنسبة 20% (كانت 15%). أسلوبها السلبي 2 يعزز هجوم الطيارين بنسبة 30% (كانت 25%) عندما تكون جميع الوحدات طيارين. أسلوبها السلبي 3 يعزز صحة الطيارين بنسبة 20% (كانت 15%).
عملية المسوخ: تم تقليل الصعوبة عبر اللوح وتم زيادة معدل سقوط قصاصات المعدات الأسطورية من الصعوبات 19 و 20.
سباق الحصن: تم تقليل عدد المستويات والصعوبة وأقل عدد من المستويات التي تم إخلائها لكسب المكافآت.
الميداليات الزائدة: بمجرد بلوغك الحد الأقصى لجميع مهارات المقاتلين الملحميين، يمكن استبدال الميداليات الملحمية والميداليات العالمية بعملات الشرف في متجر عملات الشرف.
حفر الكنوز: تم إضافة 40 مستوى جديد؛ وزيادة الصعوبة في جميع المجالات.</v>
      </c>
      <c r="Q34" s="108"/>
      <c r="R34" s="108"/>
      <c r="S34" s="108"/>
      <c r="T34" s="108"/>
      <c r="U34" s="108"/>
      <c r="V34" s="108"/>
      <c r="W34" s="108"/>
      <c r="X34" s="108"/>
      <c r="Y34" s="108"/>
      <c r="Z34" s="108"/>
    </row>
    <row r="35">
      <c r="A35" s="108" t="str">
        <f>IFERROR(__xludf.DUMMYFUNCTION("""COMPUTED_VALUE"""),"0.52.0")</f>
        <v>0.52.0</v>
      </c>
      <c r="B35" s="108" t="str">
        <f>IFERROR(__xludf.DUMMYFUNCTION("""COMPUTED_VALUE"""),"-斗士平衡性调整：加强了射击手斗士卡瑞娜和索尔的技能效果。
-战装系统优化调整：对每套战装可以随机出来的技能类型和概率进行了调整，并且在打造等界面公示了每件战装可以激活的技能及其概率
-战装试炼场优化：优化了噩梦、地狱、深渊难度中获得boss宝箱的关卡，现在使用精密齿轮后会更容易获得战装材料箱。
-银河战争-火神星优化调整：调整了击杀部队和消耗基因获得的星爵积分分数。
-军功任务优化调整：调整了任务完成难度和任务类型。")</f>
        <v>-斗士平衡性调整：加强了射击手斗士卡瑞娜和索尔的技能效果。
-战装系统优化调整：对每套战装可以随机出来的技能类型和概率进行了调整，并且在打造等界面公示了每件战装可以激活的技能及其概率
-战装试炼场优化：优化了噩梦、地狱、深渊难度中获得boss宝箱的关卡，现在使用精密齿轮后会更容易获得战装材料箱。
-银河战争-火神星优化调整：调整了击杀部队和消耗基因获得的星爵积分分数。
-军功任务优化调整：调整了任务完成难度和任务类型。</v>
      </c>
      <c r="C35" s="105" t="str">
        <f>IFERROR(__xludf.DUMMYFUNCTION("""COMPUTED_VALUE"""),"- Fighter Balance Adjustment: Strengthened the skill effects of Shooter fighters Carina and Thor.
- Equipment System Optimization: Adjusted the random skill types and probabilities for each equipment set, and displayed the skills and their probabilities "&amp;"that can be activated by each equipment piece in the crafting interface.
- Equipment Test Site Optimization: Improved the levels where boss treasure chests can be obtained in Nightmare, Mutant Hell, and Abyss difficulties. Now, using Precision Cogs will "&amp;"make it easier to obtain Equipment Material Boxes.
- Planet Wars - Fire Star Optimization: Adjusted the points earned for killing troops and consuming genes in Starlord Points.
- Honor Quest Optimization: Adjusted the difficulty and types of quests for "&amp;"completion.")</f>
        <v>- Fighter Balance Adjustment: Strengthened the skill effects of Shooter fighters Carina and Thor.
- Equipment System Optimization: Adjusted the random skill types and probabilities for each equipment set, and displayed the skills and their probabilities that can be activated by each equipment piece in the crafting interface.
- Equipment Test Site Optimization: Improved the levels where boss treasure chests can be obtained in Nightmare, Mutant Hell, and Abyss difficulties. Now, using Precision Cogs will make it easier to obtain Equipment Material Boxes.
- Planet Wars - Fire Star Optimization: Adjusted the points earned for killing troops and consuming genes in Starlord Points.
- Honor Quest Optimization: Adjusted the difficulty and types of quests for completion.</v>
      </c>
      <c r="D35" s="108" t="str">
        <f>IFERROR(__xludf.DUMMYFUNCTION("""COMPUTED_VALUE"""),"Ajustement de l'équilibre des combattants: Renforcement des effets de compétence des combattants Tireurs Carina et Thor.
Optimisation du système d'équipement : ajustement des types de compétences aléatoires et des probabilités pour chaque ensemble d'équi"&amp;"pement, et affichage des compétences et de leurs probabilités pouvant être activées par chaque pièce d'équipement dans l'interface de fabrication.
Optimisation du Site de test d'équipement: Amélioration des niveaux où les coffres au trésor des boss peuve"&amp;"nt être obtenus dans les difficultés Cauchemar, Enfer mutant et Abyssal. Maintenant, l'utilisation d'Engrenages de précision facilitera l'obtention de Boîtes de matériel d'équipement.
Planet Wars - Fire Star Optimisation : Ajustement des points gagnés po"&amp;"ur l'élimination de troupes et la consommation de gènes en points de commandeur.
Optimisation des quêtes d'honneur: Ajustement de la difficulté et des types de quêtes à accomplir.")</f>
        <v>Ajustement de l'équilibre des combattants: Renforcement des effets de compétence des combattants Tireurs Carina et Thor.
Optimisation du système d'équipement : ajustement des types de compétences aléatoires et des probabilités pour chaque ensemble d'équipement, et affichage des compétences et de leurs probabilités pouvant être activées par chaque pièce d'équipement dans l'interface de fabrication.
Optimisation du Site de test d'équipement: Amélioration des niveaux où les coffres au trésor des boss peuvent être obtenus dans les difficultés Cauchemar, Enfer mutant et Abyssal. Maintenant, l'utilisation d'Engrenages de précision facilitera l'obtention de Boîtes de matériel d'équipement.
Planet Wars - Fire Star Optimisation : Ajustement des points gagnés pour l'élimination de troupes et la consommation de gènes en points de commandeur.
Optimisation des quêtes d'honneur: Ajustement de la difficulté et des types de quêtes à accomplir.</v>
      </c>
      <c r="E35" s="108" t="str">
        <f>IFERROR(__xludf.DUMMYFUNCTION("""COMPUTED_VALUE"""),"Kämpfer-Balance-Anpassung: Die Fähigkeitseffekte der Schützen-Kämpfer Carina und Thor wurden gestärkt.
Ausrüstungssystem-Optimierung: Die zufälligen Fähigkeitstypen und -wahrscheinlichkeiten für jedes Ausrüstungsset wurden angepasst und die Fähigkeiten s"&amp;"owie ihre Wahrscheinlichkeiten, die von jedem Ausrüstungsstück aktiviert werden können, werden in der Herstellungsschnittstelle angezeigt.
Ausrüstungs-Testgelände-Optimierung: Verbesserte die Stufen, auf denen Boss-Schatzkisten in den Schwierigkeitsgrade"&amp;"n Alptraum, Mutantenhölle und Abgrund erhalten werden können. Jetzt wird es durch die Verwendung von Präzisionszahnrädern einfacher, Ausrüstungsmaterial-Kisten zu erhalten.
Planet Wars - Fire Star Optimierung: Die für das Töten von Truppen und das Verbra"&amp;"uchen von Genen verdienten Punkte wurden in Starlord-Punkte angepasst.
Ehren-Quest-Optimierung: Schwierigkeit und Quest-Typen wurden angepasst, um das Abschließen zu erleichtern.")</f>
        <v>Kämpfer-Balance-Anpassung: Die Fähigkeitseffekte der Schützen-Kämpfer Carina und Thor wurden gestärkt.
Ausrüstungssystem-Optimierung: Die zufälligen Fähigkeitstypen und -wahrscheinlichkeiten für jedes Ausrüstungsset wurden angepasst und die Fähigkeiten sowie ihre Wahrscheinlichkeiten, die von jedem Ausrüstungsstück aktiviert werden können, werden in der Herstellungsschnittstelle angezeigt.
Ausrüstungs-Testgelände-Optimierung: Verbesserte die Stufen, auf denen Boss-Schatzkisten in den Schwierigkeitsgraden Alptraum, Mutantenhölle und Abgrund erhalten werden können. Jetzt wird es durch die Verwendung von Präzisionszahnrädern einfacher, Ausrüstungsmaterial-Kisten zu erhalten.
Planet Wars - Fire Star Optimierung: Die für das Töten von Truppen und das Verbrauchen von Genen verdienten Punkte wurden in Starlord-Punkte angepasst.
Ehren-Quest-Optimierung: Schwierigkeit und Quest-Typen wurden angepasst, um das Abschließen zu erleichtern.</v>
      </c>
      <c r="F35" s="108" t="str">
        <f>IFERROR(__xludf.DUMMYFUNCTION("""COMPUTED_VALUE"""),"Ajuste de Balanceamento de Combatente: Fortalecidos os efeitos de habilidade dos combatentes Atiradores Carina e Thor.
Otimização do Sistema de Equipamentos: Ajustou os tipos e probabilidades aleatórias de habilidades para cada conjunto de equipamentos e"&amp;" exibiu as habilidades e suas probabilidades que podem ser ativadas por cada peça de equipamento na interface de criação.
Otimização do Local de Teste de Equipamentos: Melhoramos os níveis em que os baús do tesouro do chefe podem ser obtidos nas dificuld"&amp;"ades Pesadelo, Inferno Mutante e Abismal. Agora, usar Engrenagens de Precisão tornará mais fácil obter Caixas de Materiais de Equipamento.
Guerra Interplanetária - Otimização da Estrela de Fogo: Ajustados os pontos ganhos por matar tropas e consumir gene"&amp;"s em pontos de senhor das estrelas.
Otimização de Missão de Honra: Ajustada a dificuldade e tipos de missões para conclusão.")</f>
        <v>Ajuste de Balanceamento de Combatente: Fortalecidos os efeitos de habilidade dos combatentes Atiradores Carina e Thor.
Otimização do Sistema de Equipamentos: Ajustou os tipos e probabilidades aleatórias de habilidades para cada conjunto de equipamentos e exibiu as habilidades e suas probabilidades que podem ser ativadas por cada peça de equipamento na interface de criação.
Otimização do Local de Teste de Equipamentos: Melhoramos os níveis em que os baús do tesouro do chefe podem ser obtidos nas dificuldades Pesadelo, Inferno Mutante e Abismal. Agora, usar Engrenagens de Precisão tornará mais fácil obter Caixas de Materiais de Equipamento.
Guerra Interplanetária - Otimização da Estrela de Fogo: Ajustados os pontos ganhos por matar tropas e consumir genes em pontos de senhor das estrelas.
Otimização de Missão de Honra: Ajustada a dificuldade e tipos de missões para conclusão.</v>
      </c>
      <c r="G35" s="108" t="str">
        <f>IFERROR(__xludf.DUMMYFUNCTION("""COMPUTED_VALUE"""),"-鬥士平衡性調整：加強了射擊手鬥士卡瑞娜和索爾的技能效果。
-戰裝系統優化調整：對每套戰裝可以隨機出來的技能類型和機率進行了調整，並且在打造等界面公示了每件戰裝可以激活的技能及其機率。
-戰裝試煉場優化：優化了惡夢、變種地獄、深淵難度中取得boss寶箱的關卡，現在使用精密齒輪後會更容易取得戰裝材料箱。
-銀河戰爭-火神星優化調整：調整了擊殺部隊和費用獲得的星爵積分分數。
-軍功任務優化調整：調整了任務完成難度和任務類型。")</f>
        <v>-鬥士平衡性調整：加強了射擊手鬥士卡瑞娜和索爾的技能效果。
-戰裝系統優化調整：對每套戰裝可以隨機出來的技能類型和機率進行了調整，並且在打造等界面公示了每件戰裝可以激活的技能及其機率。
-戰裝試煉場優化：優化了惡夢、變種地獄、深淵難度中取得boss寶箱的關卡，現在使用精密齒輪後會更容易取得戰裝材料箱。
-銀河戰爭-火神星優化調整：調整了擊殺部隊和費用獲得的星爵積分分數。
-軍功任務優化調整：調整了任務完成難度和任務類型。</v>
      </c>
      <c r="H35" s="108" t="str">
        <f>IFERROR(__xludf.DUMMYFUNCTION("""COMPUTED_VALUE"""),"Penyesuaian keseimbangan Pejuang: Meningkatkan efek keahlian Penembak Pejuang Karina dan Thor.
- Penyesuaian optimalisasi sistem Perlengkapan: Penyesuaian dilakukan pada jenis dan probabilitas keahlian yang dapat dihasilkan secara acak untuk setiap set P"&amp;"erlengkapan, dan keahlian yang dapat diaktifkan dan probabilitasnya ditampilkan di layar pembuatan.
-Optimasi Arena Trial Perlengkapan: Optimasi level bos yang memberikan kotak hadiah di tingkat kesulitan Mimpi Buruk, Neraka Mutan, dan Abyss. Sekarang le"&amp;"bih mudah mendapatkan Peti Bahan Perlengkapan setelah menggunakan Gigi Presisi.
-Perang Planet- Penyesuaian Optimalisasi Bintang Api: Menyesuaikan skor Poin Starlord yang didapatkan dari membunuh pasukan dan menggunakan Biaya Gen.
Optimisasi Tugas Kehor"&amp;"matan: Menyesuaikan kesulitan dan jenis tugas.")</f>
        <v>Penyesuaian keseimbangan Pejuang: Meningkatkan efek keahlian Penembak Pejuang Karina dan Thor.
- Penyesuaian optimalisasi sistem Perlengkapan: Penyesuaian dilakukan pada jenis dan probabilitas keahlian yang dapat dihasilkan secara acak untuk setiap set Perlengkapan, dan keahlian yang dapat diaktifkan dan probabilitasnya ditampilkan di layar pembuatan.
-Optimasi Arena Trial Perlengkapan: Optimasi level bos yang memberikan kotak hadiah di tingkat kesulitan Mimpi Buruk, Neraka Mutan, dan Abyss. Sekarang lebih mudah mendapatkan Peti Bahan Perlengkapan setelah menggunakan Gigi Presisi.
-Perang Planet- Penyesuaian Optimalisasi Bintang Api: Menyesuaikan skor Poin Starlord yang didapatkan dari membunuh pasukan dan menggunakan Biaya Gen.
Optimisasi Tugas Kehormatan: Menyesuaikan kesulitan dan jenis tugas.</v>
      </c>
      <c r="I35" s="108" t="str">
        <f>IFERROR(__xludf.DUMMYFUNCTION("""COMPUTED_VALUE"""),"ปรับปรุงความสมดุลของนักสู้: เพิ่มพลังของทักษะของชูตเตอร์ นักสู้คาริน่าและธอร์
การปรับปรุงระบบอุปกรณ์สงคราม: ได้ปรับปรุงปรับแต่งประเภททักษะและโอกาสที่สุ่มออกมาสำหรับแต่ละชุดอุปกรณ์สงคราม และแสดงประเภททักษะและโอกาสที่สามารถเปิดใช้งานได้สำหรับแต่ละชิ้นอุปกร"&amp;"ณ์สงครามในหน้าจอสร้างของอุปกรณ์สงคราม
สนามทดสอบอุปกรณ์: ปรับปรุงความยากของระดับฝันร้าย, ระดับขุมนรกมิวแตนด์ และหุบเหว เพื่อเพิ่มโอกาสในการได้รับกล่องของรางวัลของบอส หลังจากใช้เฟืองแม่นยำจะได้รับหีบวัสดุอุปกรณ์ได้ง่ายขึ้น
-สงครามดาวเคราะห์-ดาวอัคคี ปรับป"&amp;"รุงการปรับเปลี่ยน: ปรับปรุงคะแนนสตาร์ลอร์ดคะแนนที่ได้จากการกำจัดกองทหารและการใช้ค่ายีน
การปรับปรุงการฝึกฝนเกียรติยศ: ปรับปรุงความยากของการเสร็จสิ้นภารกิจและประเภทของภารกิจ")</f>
        <v>ปรับปรุงความสมดุลของนักสู้: เพิ่มพลังของทักษะของชูตเตอร์ นักสู้คาริน่าและธอร์
การปรับปรุงระบบอุปกรณ์สงคราม: ได้ปรับปรุงปรับแต่งประเภททักษะและโอกาสที่สุ่มออกมาสำหรับแต่ละชุดอุปกรณ์สงคราม และแสดงประเภททักษะและโอกาสที่สามารถเปิดใช้งานได้สำหรับแต่ละชิ้นอุปกรณ์สงครามในหน้าจอสร้างของอุปกรณ์สงคราม
สนามทดสอบอุปกรณ์: ปรับปรุงความยากของระดับฝันร้าย, ระดับขุมนรกมิวแตนด์ และหุบเหว เพื่อเพิ่มโอกาสในการได้รับกล่องของรางวัลของบอส หลังจากใช้เฟืองแม่นยำจะได้รับหีบวัสดุอุปกรณ์ได้ง่ายขึ้น
-สงครามดาวเคราะห์-ดาวอัคคี ปรับปรุงการปรับเปลี่ยน: ปรับปรุงคะแนนสตาร์ลอร์ดคะแนนที่ได้จากการกำจัดกองทหารและการใช้ค่ายีน
การปรับปรุงการฝึกฝนเกียรติยศ: ปรับปรุงความยากของการเสร็จสิ้นภารกิจและประเภทของภารกิจ</v>
      </c>
      <c r="J35" s="108" t="str">
        <f>IFERROR(__xludf.DUMMYFUNCTION("""COMPUTED_VALUE"""),"Ajuste de Equilibrio de Luchadores: Se fortalecieron los efectos de habilidad de los luchadores Tiradores Carina y Thor.
Optimización del sistema de equipo: se ajustaron los tipos de habilidades aleatorias y las probabilidades para cada conjunto de equip"&amp;"o, y se muestran las habilidades y sus probabilidades que pueden ser activadas por cada pieza de equipo en la interfaz de fabricación.
Optimización del Sitio de Prueba de Equipos: Se mejoraron los niveles donde se pueden obtener cofres del tesoro del jef"&amp;"e en las dificultades de Pesadilla, Infierno Mutante y Abismo. Ahora, el uso de Engranajes de Precisión hará que sea más fácil obtener Cajas de Materiales de Equipo.
Guerras Planetarias - Optimización de Estrella de Fuego: Se ajustaron los puntos obtenid"&amp;"os por matar tropas y consumir genes en Puntos de Starlord.
Optimización de Misiones de Honor: Se ajustó la dificultad y los tipos de misiones para su completación.")</f>
        <v>Ajuste de Equilibrio de Luchadores: Se fortalecieron los efectos de habilidad de los luchadores Tiradores Carina y Thor.
Optimización del sistema de equipo: se ajustaron los tipos de habilidades aleatorias y las probabilidades para cada conjunto de equipo, y se muestran las habilidades y sus probabilidades que pueden ser activadas por cada pieza de equipo en la interfaz de fabricación.
Optimización del Sitio de Prueba de Equipos: Se mejoraron los niveles donde se pueden obtener cofres del tesoro del jefe en las dificultades de Pesadilla, Infierno Mutante y Abismo. Ahora, el uso de Engranajes de Precisión hará que sea más fácil obtener Cajas de Materiales de Equipo.
Guerras Planetarias - Optimización de Estrella de Fuego: Se ajustaron los puntos obtenidos por matar tropas y consumir genes en Puntos de Starlord.
Optimización de Misiones de Honor: Se ajustó la dificultad y los tipos de misiones para su completación.</v>
      </c>
      <c r="K35" s="108" t="str">
        <f>IFERROR(__xludf.DUMMYFUNCTION("""COMPUTED_VALUE"""),"Балансировка героев: усилены эффекты навыков стрелковых героев Карины и Тора.
Оптимизация системы снаряжения: отрегулированы типы случайных навыков и вероятности для каждого комплекта снаряжения, а также отображаются навыки и их вероятности, которые могу"&amp;"т быть активированы каждым предметом снаряжения в интерфейсе создания.
Оптимизация полигона для снаряжения: улучшены уровни, на которых можно получить сундуки с сокровищами боссов в режимах Кошмар, Ад мутантов и Бездна. Теперь использование высокоточных "&amp;"шестерен позволит легче получать ящики материалов для снаряжения.
Планетарные войны - Оптимизация Огненной Звезды: Изменены очки за убийство войск и использование генов на очки Звездного властелина.
Оптимизация заданий чести: изменена сложность и типы з"&amp;"аданий для выполнения.")</f>
        <v>Балансировка героев: усилены эффекты навыков стрелковых героев Карины и Тора.
Оптимизация системы снаряжения: отрегулированы типы случайных навыков и вероятности для каждого комплекта снаряжения, а также отображаются навыки и их вероятности, которые могут быть активированы каждым предметом снаряжения в интерфейсе создания.
Оптимизация полигона для снаряжения: улучшены уровни, на которых можно получить сундуки с сокровищами боссов в режимах Кошмар, Ад мутантов и Бездна. Теперь использование высокоточных шестерен позволит легче получать ящики материалов для снаряжения.
Планетарные войны - Оптимизация Огненной Звезды: Изменены очки за убийство войск и использование генов на очки Звездного властелина.
Оптимизация заданий чести: изменена сложность и типы заданий для выполнения.</v>
      </c>
      <c r="L35" s="108" t="str">
        <f>IFERROR(__xludf.DUMMYFUNCTION("""COMPUTED_VALUE"""),"Savaşçı Denge Düzenlemesi: Nişancı savaşçıları Carina ve Thor'un beceri etkileri güçlendirildi.
Ekipman Sistemi Optimizasyonu: Her ekipman seti için rastgele beceri türlerini ve olasılıklarını ayarlandı ve her ekipman parçasının etkinleştirilebilecek bec"&amp;"erilerini ve olasılıklarını üretim arayüzünde gösterildi.
Ekipman Deneme Sahası Optimizasyonu: Kâbus, Mutant Cehennemi ve Hiçlik zorluklarında patron hazinelerinin alınabileceği seviyeleri iyileştirildi. Artık Hassas Çarklar kullanarak Ekipman Materyal K"&amp;"utularını elde etmek daha kolay hale geldi.
Gezegen Savaşları - Ateş Yıldızı Optimizasyonu: Yıldız Lordu Puanları için askerleri öldürme ve genler tüketme puanları ayarlandı.
Onur Macerası Optimizasyonu: Tamamlama için görevlerin zorluğu ve türleri ayar"&amp;"landı.")</f>
        <v>Savaşçı Denge Düzenlemesi: Nişancı savaşçıları Carina ve Thor'un beceri etkileri güçlendirildi.
Ekipman Sistemi Optimizasyonu: Her ekipman seti için rastgele beceri türlerini ve olasılıklarını ayarlandı ve her ekipman parçasının etkinleştirilebilecek becerilerini ve olasılıklarını üretim arayüzünde gösterildi.
Ekipman Deneme Sahası Optimizasyonu: Kâbus, Mutant Cehennemi ve Hiçlik zorluklarında patron hazinelerinin alınabileceği seviyeleri iyileştirildi. Artık Hassas Çarklar kullanarak Ekipman Materyal Kutularını elde etmek daha kolay hale geldi.
Gezegen Savaşları - Ateş Yıldızı Optimizasyonu: Yıldız Lordu Puanları için askerleri öldürme ve genler tüketme puanları ayarlandı.
Onur Macerası Optimizasyonu: Tamamlama için görevlerin zorluğu ve türleri ayarlandı.</v>
      </c>
      <c r="M35" s="108" t="str">
        <f>IFERROR(__xludf.DUMMYFUNCTION("""COMPUTED_VALUE"""),"Cân bằng Chiến Binh: Tăng cường hiệu ứng kỹ năng của Xạ Thủ Chiến Binh Carina và Thor.
-Tối ưu hóa hệ thống Trang Bị Chiến Đấu: Đã điều chỉnh loại kỹ năng và xác suất ngẫu nhiên có thể xuất hiện cho mỗi bộ Trang Bị Chiến Đấu và hiển thị công khai trên gi"&amp;"ao diện chế tạo mỗi kỹ năng có thể kích hoạt và xác suất của nó.
Thí Luyện Trang Bị đã được tối ưu hóa: Các cửa ải Ác Mộng, Địa Ngục và Vực Thẳm để nhận rương boss đã được tối ưu hóa. Bây giờ, việc sử dụng Bánh Răng Tinh Vi sẽ giúp bạn dễ dàng nhận được "&amp;"Rương Nguyên Liệu Trang Bị hơn.
- Chiến Tranh Hành Tinh - Sao Hỏa được tối ưu hóa: Điều chỉnh điểm Điểm Tinh Cầu Cá Nhân nhận được khi tiêu diệt Binh Đoàn và chi phí Gen tiêu hao.
-Tối ưu hóa nhiệm vụ Vinh Dự: Đã điều chỉnh độ khó và loại nhiệm vụ.")</f>
        <v>Cân bằng Chiến Binh: Tăng cường hiệu ứng kỹ năng của Xạ Thủ Chiến Binh Carina và Thor.
-Tối ưu hóa hệ thống Trang Bị Chiến Đấu: Đã điều chỉnh loại kỹ năng và xác suất ngẫu nhiên có thể xuất hiện cho mỗi bộ Trang Bị Chiến Đấu và hiển thị công khai trên giao diện chế tạo mỗi kỹ năng có thể kích hoạt và xác suất của nó.
Thí Luyện Trang Bị đã được tối ưu hóa: Các cửa ải Ác Mộng, Địa Ngục và Vực Thẳm để nhận rương boss đã được tối ưu hóa. Bây giờ, việc sử dụng Bánh Răng Tinh Vi sẽ giúp bạn dễ dàng nhận được Rương Nguyên Liệu Trang Bị hơn.
- Chiến Tranh Hành Tinh - Sao Hỏa được tối ưu hóa: Điều chỉnh điểm Điểm Tinh Cầu Cá Nhân nhận được khi tiêu diệt Binh Đoàn và chi phí Gen tiêu hao.
-Tối ưu hóa nhiệm vụ Vinh Dự: Đã điều chỉnh độ khó và loại nhiệm vụ.</v>
      </c>
      <c r="N35" s="108" t="str">
        <f>IFERROR(__xludf.DUMMYFUNCTION("""COMPUTED_VALUE"""),"Modifiche ai Combattenti Equilibrati: Potenziati gli effetti delle abilità dei Combattenti Cecchini Carina e Thor.
Ottimizzazione del sistema di equipaggiamento: Modificati i tipi di abilità casuali e le relative probabilità per ogni set di equipaggiamen"&amp;"to, e mostrate le abilità e le loro probabilità che possono essere attivate da ciascun pezzo di equipaggiamento nell'interfaccia di creazione.
Ottimizzazione dell'Area di prova equipaggiamento: migliorati i livelli in cui è possibile ottenere le casse de"&amp;"l tesoro del boss nelle difficoltà Incubo, Inferno mutante e Abisso. Ora, utilizzando gli Ingranaggi di precisione, sarà più facile ottenere le Casse materiali d'equipaggiamento.
Guerre planetarie - Ottimizzazione Stella di fuoco: regolati i punti guadag"&amp;"nati per uccidere truppe e consumare geni in punti Signore stellare.
Ottimizzazione delle missioni Onore: Modificata la difficoltà e i tipi di missioni da completare.")</f>
        <v>Modifiche ai Combattenti Equilibrati: Potenziati gli effetti delle abilità dei Combattenti Cecchini Carina e Thor.
Ottimizzazione del sistema di equipaggiamento: Modificati i tipi di abilità casuali e le relative probabilità per ogni set di equipaggiamento, e mostrate le abilità e le loro probabilità che possono essere attivate da ciascun pezzo di equipaggiamento nell'interfaccia di creazione.
Ottimizzazione dell'Area di prova equipaggiamento: migliorati i livelli in cui è possibile ottenere le casse del tesoro del boss nelle difficoltà Incubo, Inferno mutante e Abisso. Ora, utilizzando gli Ingranaggi di precisione, sarà più facile ottenere le Casse materiali d'equipaggiamento.
Guerre planetarie - Ottimizzazione Stella di fuoco: regolati i punti guadagnati per uccidere truppe e consumare geni in punti Signore stellare.
Ottimizzazione delle missioni Onore: Modificata la difficoltà e i tipi di missioni da completare.</v>
      </c>
      <c r="O35" s="108" t="str">
        <f>IFERROR(__xludf.DUMMYFUNCTION("""COMPUTED_VALUE"""),"Dostosowanie równowagi Wojowników: Wzmocniono efekty umiejętności Wojowników Strzelców Carina i Thora.
Optymalizacja systemu wyposażenia: Dostosowano losowe typy umiejętności i ich prawdopodobieństwo dla każdego zestawu wyposażenia oraz wyświetlono umiej"&amp;"ętności i ich prawdopodobieństwo, które mogą być aktywowane przez każdy element wyposażenia w interfejsie tworzenia.
Optymalizacja Poligonu doświadczalnego wyposażenia: Poprawiono poziomy, na których można zdobyć skrzynie z bossowskimi skarbami w trybach"&amp;" Koszmar, Piekło Mutantów i Otchłań. Teraz, używanie Precyzyjnych trybików ułatwi zdobycie Skrzyń z materiałami do wyposażenia.
Wojny planet - Optymalizacja Ognistej Gwiazdy: Dostosowano punkty za zabijanie oddziałów i zużywanie genów na punkty Gwiezdneg"&amp;"o dowódcy.
Optymalizacja zadań honorowych: Dostosowano trudność i rodzaje zadań do ukończenia.")</f>
        <v>Dostosowanie równowagi Wojowników: Wzmocniono efekty umiejętności Wojowników Strzelców Carina i Thora.
Optymalizacja systemu wyposażenia: Dostosowano losowe typy umiejętności i ich prawdopodobieństwo dla każdego zestawu wyposażenia oraz wyświetlono umiejętności i ich prawdopodobieństwo, które mogą być aktywowane przez każdy element wyposażenia w interfejsie tworzenia.
Optymalizacja Poligonu doświadczalnego wyposażenia: Poprawiono poziomy, na których można zdobyć skrzynie z bossowskimi skarbami w trybach Koszmar, Piekło Mutantów i Otchłań. Teraz, używanie Precyzyjnych trybików ułatwi zdobycie Skrzyń z materiałami do wyposażenia.
Wojny planet - Optymalizacja Ognistej Gwiazdy: Dostosowano punkty za zabijanie oddziałów i zużywanie genów na punkty Gwiezdnego dowódcy.
Optymalizacja zadań honorowych: Dostosowano trudność i rodzaje zadań do ukończenia.</v>
      </c>
      <c r="P35" s="108" t="str">
        <f>IFERROR(__xludf.DUMMYFUNCTION("""COMPUTED_VALUE"""),"تعديل توازن المقاتلين: تعزيز تأثيرات مهارات مقاتلي الرماة كارينا وثور.
تحسين نظام المعدات: تم ضبط أنواع المهارات العشوائية واحتمالاتها لكل مجموعة معدات، وعرض المهارات واحتمالاتها التي يمكن تنشيطها بواسطة كل قطعة معدات في واجهة الصنع.
تحسين موقع اختبار ا"&amp;"لمعدات: تم تحسين المستويات التي يمكن الحصول فيها على صناديق كنوز الزعماء في صعوبات الكابوس ومسوخ الجحيم والهاوية. الآن، باستخدام ترس الدقة، سيكون من الأسهل الحصول على صناديق مواد المعدات.
حروب الكواكب - تحسين نجمة النار: تم تعديل النقاط المكتسبة لقتل الق"&amp;"وات واستهلاك الجينات إلى نقاط الزعامة.
تحسين مهام الشرف: تعديل صعوبة وأنواع المهام للإكمال.")</f>
        <v>تعديل توازن المقاتلين: تعزيز تأثيرات مهارات مقاتلي الرماة كارينا وثور.
تحسين نظام المعدات: تم ضبط أنواع المهارات العشوائية واحتمالاتها لكل مجموعة معدات، وعرض المهارات واحتمالاتها التي يمكن تنشيطها بواسطة كل قطعة معدات في واجهة الصنع.
تحسين موقع اختبار المعدات: تم تحسين المستويات التي يمكن الحصول فيها على صناديق كنوز الزعماء في صعوبات الكابوس ومسوخ الجحيم والهاوية. الآن، باستخدام ترس الدقة، سيكون من الأسهل الحصول على صناديق مواد المعدات.
حروب الكواكب - تحسين نجمة النار: تم تعديل النقاط المكتسبة لقتل القوات واستهلاك الجينات إلى نقاط الزعامة.
تحسين مهام الشرف: تعديل صعوبة وأنواع المهام للإكمال.</v>
      </c>
      <c r="Q35" s="108"/>
      <c r="R35" s="108"/>
      <c r="S35" s="108"/>
      <c r="T35" s="108"/>
      <c r="U35" s="108"/>
      <c r="V35" s="108"/>
      <c r="W35" s="108"/>
      <c r="X35" s="108"/>
      <c r="Y35" s="108"/>
      <c r="Z35" s="108"/>
    </row>
    <row r="36">
      <c r="A36" s="108" t="str">
        <f>IFERROR(__xludf.DUMMYFUNCTION("""COMPUTED_VALUE"""),"0.53.0")</f>
        <v>0.53.0</v>
      </c>
      <c r="B36" s="108" t="str">
        <f>IFERROR(__xludf.DUMMYFUNCTION("""COMPUTED_VALUE"""),"-银河战争优化：优化了银河战争预热活动补给箱的投放和银河战争中的补给箱奖励；
-电子科技优化：优化了电子科技中打击手和射击手相关科技，新增攻城车相关科技；
-自动集结优化：优化了系统等待时间和行军最大时间；
-战装试炼场优化：增加了铁质发条道具的投放，降低了获得boss宝箱的难度。")</f>
        <v>-银河战争优化：优化了银河战争预热活动补给箱的投放和银河战争中的补给箱奖励；
-电子科技优化：优化了电子科技中打击手和射击手相关科技，新增攻城车相关科技；
-自动集结优化：优化了系统等待时间和行军最大时间；
-战装试炼场优化：增加了铁质发条道具的投放，降低了获得boss宝箱的难度。</v>
      </c>
      <c r="C36" s="108" t="str">
        <f>IFERROR(__xludf.DUMMYFUNCTION("""COMPUTED_VALUE"""),"- Planet Wars Optimization: Improved the supply chest distribution during the Planet Wars pre-event and the supply chest rewards during Planet Wars.
- Electronic Technology Optimization: Improved the Hitter and Shooter related technologies in Electronic T"&amp;"echnology, and added new Wall Breaker related technologies.
- Auto Rally Optimization: Optimized the system waiting time and maximum marching time.
- Equipment Test Site Optimization: Increased the distribution of Steel Key items and reduced the difficult"&amp;"y of obtaining boss chests.")</f>
        <v>- Planet Wars Optimization: Improved the supply chest distribution during the Planet Wars pre-event and the supply chest rewards during Planet Wars.
- Electronic Technology Optimization: Improved the Hitter and Shooter related technologies in Electronic Technology, and added new Wall Breaker related technologies.
- Auto Rally Optimization: Optimized the system waiting time and maximum marching time.
- Equipment Test Site Optimization: Increased the distribution of Steel Key items and reduced the difficulty of obtaining boss chests.</v>
      </c>
      <c r="D36" s="169" t="str">
        <f>IFERROR(__xludf.DUMMYFUNCTION("""COMPUTED_VALUE"""),"- Optimisation des Guerres Planétaires : Amélioration de la distribution des coffres de provisions pendant la pré-événement des Guerres Planétaires et des récompenses des coffres de provisions pendant les Guerres Planétaires.
- Optimisation des Technologi"&amp;"es Électroniques : Amélioration des technologies liées aux Frappeurs et Tireurs dans les Technologies Électroniques, et ajout de nouvelles technologies liées aux Casses Murailles.
- Optimisation du Rassemblement Automatique : Optimisation du temps d'atten"&amp;"te du système et du temps de marche maximum.
- Optimisation du Site de Test d'Équipement : Augmentation de la distribution des objets Clé en acier et réduction de la difficulté d'obtention des coffres de boss.")</f>
        <v>- Optimisation des Guerres Planétaires : Amélioration de la distribution des coffres de provisions pendant la pré-événement des Guerres Planétaires et des récompenses des coffres de provisions pendant les Guerres Planétaires.
- Optimisation des Technologies Électroniques : Amélioration des technologies liées aux Frappeurs et Tireurs dans les Technologies Électroniques, et ajout de nouvelles technologies liées aux Casses Murailles.
- Optimisation du Rassemblement Automatique : Optimisation du temps d'attente du système et du temps de marche maximum.
- Optimisation du Site de Test d'Équipement : Augmentation de la distribution des objets Clé en acier et réduction de la difficulté d'obtention des coffres de boss.</v>
      </c>
      <c r="E36" s="108" t="str">
        <f>IFERROR(__xludf.DUMMYFUNCTION("""COMPUTED_VALUE"""),"- Planetenkriege Optimierung: Verbesserte die Verteilung von Nachschubtruhen während des Vor-Events der Planetenkriege und die Belohnungen der Nachschubtruhen während der Planetenkriege.
- Elektronische Technologie Optimierung: Verbesserte die Schläger- u"&amp;"nd Schützen-bezogenen Technologien in der Elektronischen Technologie und fügte neue Mauerbrecher-bezogene Technologien hinzu.
- Auto-Sammelangriff Optimierung: Optimierung der System-Wartezeit und der maximalen Marschzeit.
- Ausrüstungs-Testgelände Optimi"&amp;"erung: Erhöhte die Verteilung von Stahlschlüssel-Items und verringerte die Schwierigkeit, Boss-Truhen zu erhalten.")</f>
        <v>- Planetenkriege Optimierung: Verbesserte die Verteilung von Nachschubtruhen während des Vor-Events der Planetenkriege und die Belohnungen der Nachschubtruhen während der Planetenkriege.
- Elektronische Technologie Optimierung: Verbesserte die Schläger- und Schützen-bezogenen Technologien in der Elektronischen Technologie und fügte neue Mauerbrecher-bezogene Technologien hinzu.
- Auto-Sammelangriff Optimierung: Optimierung der System-Wartezeit und der maximalen Marschzeit.
- Ausrüstungs-Testgelände Optimierung: Erhöhte die Verteilung von Stahlschlüssel-Items und verringerte die Schwierigkeit, Boss-Truhen zu erhalten.</v>
      </c>
      <c r="F36" s="108" t="str">
        <f>IFERROR(__xludf.DUMMYFUNCTION("""COMPUTED_VALUE"""),"- Otimização da Guerra Interplanetária: Melhorada a distribuição do baú de suprimentos durante o pré-evento da Guerra Interplanetária e as recompensas do baú de suprimentos durante a Guerra Interplanetária.
- Otimização da Tecnologia Eletrônica: Melhorada"&amp;"s as tecnologias relacionadas aos Atacantes e Atiradores na Tecnologia Eletrônica e adicionadas novas tecnologias relacionadas ao Quebra-muros.
- Otimização da Incursão Automática: Otimizado o tempo de espera do sistema e o tempo máximo de marcha.
- Otimi"&amp;"zação do Local de Teste de Equipamento: Aumentada a distribuição de itens Chave de Aço e reduzida a dificuldade de obter baús de chefes.")</f>
        <v>- Otimização da Guerra Interplanetária: Melhorada a distribuição do baú de suprimentos durante o pré-evento da Guerra Interplanetária e as recompensas do baú de suprimentos durante a Guerra Interplanetária.
- Otimização da Tecnologia Eletrônica: Melhoradas as tecnologias relacionadas aos Atacantes e Atiradores na Tecnologia Eletrônica e adicionadas novas tecnologias relacionadas ao Quebra-muros.
- Otimização da Incursão Automática: Otimizado o tempo de espera do sistema e o tempo máximo de marcha.
- Otimização do Local de Teste de Equipamento: Aumentada a distribuição de itens Chave de Aço e reduzida a dificuldade de obter baús de chefes.</v>
      </c>
      <c r="G36" s="108" t="str">
        <f>IFERROR(__xludf.DUMMYFUNCTION("""COMPUTED_VALUE"""),"-銀河戰爭優化：優化了銀河戰爭預熱活動補給箱的投放和銀河戰爭中的補給箱獎勵；
-電子科技優化：優化了電子科技中打擊手和射擊手相關科技，新增攻城車相關科技；
-自動集結優化：優化了系統等待時間和行軍最大時間；
-戰裝試煉場優化：增加了鐵質發條道具的投放，降低了獲得boss寶箱的難度。")</f>
        <v>-銀河戰爭優化：優化了銀河戰爭預熱活動補給箱的投放和銀河戰爭中的補給箱獎勵；
-電子科技優化：優化了電子科技中打擊手和射擊手相關科技，新增攻城車相關科技；
-自動集結優化：優化了系統等待時間和行軍最大時間；
-戰裝試煉場優化：增加了鐵質發條道具的投放，降低了獲得boss寶箱的難度。</v>
      </c>
      <c r="H36" s="108" t="str">
        <f>IFERROR(__xludf.DUMMYFUNCTION("""COMPUTED_VALUE"""),"- Optimalisasi Perang Planet: Meningkatkan distribusi peti pasokan selama pra-acara Perang Planet dan hadiah peti pasokan selama Perang Planet.
- Optimalisasi Teknologi Elektronik: Meningkatkan teknologi terkait Pemukul dan Penembak dalam Teknologi Elektr"&amp;"onik, dan menambahkan teknologi terkait Pembobol Tembok baru.
- Optimalisasi Reli Otomatis: Mengoptimalkan waktu tunggu sistem dan waktu berbaris maksimum.
- Optimalisasi Arena Trial Perlengkapan: Meningkatkan distribusi item Kunci Besi dan mengurangi kes"&amp;"ulitan dalam memperoleh peti bos.")</f>
        <v>- Optimalisasi Perang Planet: Meningkatkan distribusi peti pasokan selama pra-acara Perang Planet dan hadiah peti pasokan selama Perang Planet.
- Optimalisasi Teknologi Elektronik: Meningkatkan teknologi terkait Pemukul dan Penembak dalam Teknologi Elektronik, dan menambahkan teknologi terkait Pembobol Tembok baru.
- Optimalisasi Reli Otomatis: Mengoptimalkan waktu tunggu sistem dan waktu berbaris maksimum.
- Optimalisasi Arena Trial Perlengkapan: Meningkatkan distribusi item Kunci Besi dan mengurangi kesulitan dalam memperoleh peti bos.</v>
      </c>
      <c r="I36" s="108" t="str">
        <f>IFERROR(__xludf.DUMMYFUNCTION("""COMPUTED_VALUE"""),"- การปรับปรุงสงครามดาวเคราะห์: ปรับปรุงการแจกจ่ายหีบอุปกรณ์ในช่วงกิจกรรมก่อนสงครามดาวเคราะห์และรางวัลหีบอุปกรณ์ในระหว่างสงครามดาวเคราะห์
- การปรับปรุงเทคโนโลยีอิเล็กทรอนิกส์: ปรับปรุงเทคโนโลยีที่เกี่ยวข้องกับ Hitter และ Shooter ในเทคโนโลยีอิเล็กทรอนิกส์ แ"&amp;"ละเพิ่มเทคโนโลยีที่เกี่ยวข้องกับ Wall Breaker
- การปรับปรุง Auto Rally: ปรับปรุงเวลารอของระบบและเวลาเดินทัพสูงสุด
- การปรับปรุงสนามทดสอบอุปกรณ์: เพิ่มการแจกจ่ายไอเทมลานเหล็กและลดความยากในการรับหีบบอส")</f>
        <v>- การปรับปรุงสงครามดาวเคราะห์: ปรับปรุงการแจกจ่ายหีบอุปกรณ์ในช่วงกิจกรรมก่อนสงครามดาวเคราะห์และรางวัลหีบอุปกรณ์ในระหว่างสงครามดาวเคราะห์
- การปรับปรุงเทคโนโลยีอิเล็กทรอนิกส์: ปรับปรุงเทคโนโลยีที่เกี่ยวข้องกับ Hitter และ Shooter ในเทคโนโลยีอิเล็กทรอนิกส์ และเพิ่มเทคโนโลยีที่เกี่ยวข้องกับ Wall Breaker
- การปรับปรุง Auto Rally: ปรับปรุงเวลารอของระบบและเวลาเดินทัพสูงสุด
- การปรับปรุงสนามทดสอบอุปกรณ์: เพิ่มการแจกจ่ายไอเทมลานเหล็กและลดความยากในการรับหีบบอส</v>
      </c>
      <c r="J36" s="108" t="str">
        <f>IFERROR(__xludf.DUMMYFUNCTION("""COMPUTED_VALUE"""),"- Optimización de Guerras Planetarias: Mejoró la distribución de cofres de suministros durante el pre-evento de Guerras Planetarias y las recompensas de cofres de suministros durante las Guerras Planetarias.
- Optimización de Tecnología Electrónica: Mejor"&amp;"ó las tecnologías relacionadas con Golpeadores y Tiradores en Tecnología Electrónica, y agregó nuevas tecnologías relacionadas con Rompemuros.
- Optimización de Congregación Automática: Optimizó el tiempo de espera del sistema y el tiempo máximo de marcha"&amp;".
- Optimización del Sitio de Prueba de Equipos: Aumentó la distribución de objetos de Llave de Acero y redujo la dificultad de obtener cofres de jefes.")</f>
        <v>- Optimización de Guerras Planetarias: Mejoró la distribución de cofres de suministros durante el pre-evento de Guerras Planetarias y las recompensas de cofres de suministros durante las Guerras Planetarias.
- Optimización de Tecnología Electrónica: Mejoró las tecnologías relacionadas con Golpeadores y Tiradores en Tecnología Electrónica, y agregó nuevas tecnologías relacionadas con Rompemuros.
- Optimización de Congregación Automática: Optimizó el tiempo de espera del sistema y el tiempo máximo de marcha.
- Optimización del Sitio de Prueba de Equipos: Aumentó la distribución de objetos de Llave de Acero y redujo la dificultad de obtener cofres de jefes.</v>
      </c>
      <c r="K36" s="108" t="str">
        <f>IFERROR(__xludf.DUMMYFUNCTION("""COMPUTED_VALUE"""),"- Оптимизация Планетарных Войн: Улучшено распределение сундуков снабжения во время предварительного события Планетарных Войн и награды сундуков снабжения во время Планетарных Войн.
- Оптимизация Электронных Технологий: Улучшены технологии, связанные с Гро"&amp;"милами и Стрелками в Электронных Технологиях, и добавлены новые технологии, связанные со Стеноломами.
- Оптимизация Автоматического Похода: Оптимизировано время ожидания системы и максимальное время марша.
- Оптимизация Полигона для Снаряжения: Увеличено "&amp;"распределение предметов Стального Ключа и снижена сложность получения сундуков с боссами.")</f>
        <v>- Оптимизация Планетарных Войн: Улучшено распределение сундуков снабжения во время предварительного события Планетарных Войн и награды сундуков снабжения во время Планетарных Войн.
- Оптимизация Электронных Технологий: Улучшены технологии, связанные с Громилами и Стрелками в Электронных Технологиях, и добавлены новые технологии, связанные со Стеноломами.
- Оптимизация Автоматического Похода: Оптимизировано время ожидания системы и максимальное время марша.
- Оптимизация Полигона для Снаряжения: Увеличено распределение предметов Стального Ключа и снижена сложность получения сундуков с боссами.</v>
      </c>
      <c r="L36" s="108" t="str">
        <f>IFERROR(__xludf.DUMMYFUNCTION("""COMPUTED_VALUE"""),"- Gezegen Savaşları Optimizasyonu: Gezegen Savaşları öncesi etkinlik sırasında tedarik sandığı dağıtımını ve Gezegen Savaşları sırasında tedarik sandığı ödüllerini geliştirdi.
- Elektronik Teknoloji Optimizasyonu: Elektronik Teknoloji'deki Vurucu ve Nişan"&amp;"cı ile ilgili teknolojileri geliştirdi ve yeni Duvar Kırıcı ile ilgili teknolojiler ekledi.
- Otomatik Toplu Saldırı Optimizasyonu: Sistem bekleme süresini ve maksimum sefer süresini optimize etti.
- Ekipman Deneme Sahası Optimizasyonu: Çelik Anahtar eşya"&amp;"larının dağıtımını artırdı ve patron sandıklarını elde etme zorluğunu azalttı.")</f>
        <v>- Gezegen Savaşları Optimizasyonu: Gezegen Savaşları öncesi etkinlik sırasında tedarik sandığı dağıtımını ve Gezegen Savaşları sırasında tedarik sandığı ödüllerini geliştirdi.
- Elektronik Teknoloji Optimizasyonu: Elektronik Teknoloji'deki Vurucu ve Nişancı ile ilgili teknolojileri geliştirdi ve yeni Duvar Kırıcı ile ilgili teknolojiler ekledi.
- Otomatik Toplu Saldırı Optimizasyonu: Sistem bekleme süresini ve maksimum sefer süresini optimize etti.
- Ekipman Deneme Sahası Optimizasyonu: Çelik Anahtar eşyalarının dağıtımını artırdı ve patron sandıklarını elde etme zorluğunu azalttı.</v>
      </c>
      <c r="M36" s="108" t="str">
        <f>IFERROR(__xludf.DUMMYFUNCTION("""COMPUTED_VALUE"""),"- Tối ưu hóa Chiến Tranh Hành Tinh: Cải thiện việc phân phối rương cung ứng trong sự kiện trước Chiến Tranh Hành Tinh và phần thưởng rương cung ứng trong Chiến Tranh Hành Tinh.
- Tối ưu hóa Công Nghệ Điện Tử: Cải thiện các công nghệ liên quan đến Hitter v"&amp;"à Shooter trong Công Nghệ Điện Tử, và thêm các công nghệ liên quan đến Wall Breaker mới.
- Tối ưu hóa Tự động Tập Hợp: Tối ưu hóa thời gian chờ của hệ thống và thời gian hành quân tối đa.
- Tối ưu hóa Thí Luyện Trang Bị: Tăng phân phối vật phẩm Dây Cót Bằ"&amp;"ng Sắt và giảm độ khó để nhận được rương của boss.")</f>
        <v>- Tối ưu hóa Chiến Tranh Hành Tinh: Cải thiện việc phân phối rương cung ứng trong sự kiện trước Chiến Tranh Hành Tinh và phần thưởng rương cung ứng trong Chiến Tranh Hành Tinh.
- Tối ưu hóa Công Nghệ Điện Tử: Cải thiện các công nghệ liên quan đến Hitter và Shooter trong Công Nghệ Điện Tử, và thêm các công nghệ liên quan đến Wall Breaker mới.
- Tối ưu hóa Tự động Tập Hợp: Tối ưu hóa thời gian chờ của hệ thống và thời gian hành quân tối đa.
- Tối ưu hóa Thí Luyện Trang Bị: Tăng phân phối vật phẩm Dây Cót Bằng Sắt và giảm độ khó để nhận được rương của boss.</v>
      </c>
      <c r="N36" s="108" t="str">
        <f>IFERROR(__xludf.DUMMYFUNCTION("""COMPUTED_VALUE"""),"- Ottimizzazione Guerre Planetarie: Migliorata la distribuzione delle casse di rifornimento durante il pre-evento delle Guerre Planetarie e le ricompense delle casse di rifornimento durante le Guerre Planetarie.
- Ottimizzazione Tecnologia Elettronica: Mi"&amp;"gliorate le tecnologie relative ai Picchiatori e agli Sparatutto nella Tecnologia Elettronica e aggiunte nuove tecnologie relative agli Infrangimura.
- Ottimizzazione Adunata Automatica: Ottimizzato il tempo di attesa del sistema e il tempo massimo di mar"&amp;"cia.
- Ottimizzazione Area di Prova Equipaggiamento: Aumentata la distribuzione degli oggetti Chiave d'Acciaio e ridotta la difficoltà di ottenere casse dei boss.")</f>
        <v>- Ottimizzazione Guerre Planetarie: Migliorata la distribuzione delle casse di rifornimento durante il pre-evento delle Guerre Planetarie e le ricompense delle casse di rifornimento durante le Guerre Planetarie.
- Ottimizzazione Tecnologia Elettronica: Migliorate le tecnologie relative ai Picchiatori e agli Sparatutto nella Tecnologia Elettronica e aggiunte nuove tecnologie relative agli Infrangimura.
- Ottimizzazione Adunata Automatica: Ottimizzato il tempo di attesa del sistema e il tempo massimo di marcia.
- Ottimizzazione Area di Prova Equipaggiamento: Aumentata la distribuzione degli oggetti Chiave d'Acciaio e ridotta la difficoltà di ottenere casse dei boss.</v>
      </c>
      <c r="O36" s="108" t="str">
        <f>IFERROR(__xludf.DUMMYFUNCTION("""COMPUTED_VALUE"""),"- Optymalizacja Wojen Planet: Ulepszono dystrybucję skrzyń z zaopatrzeniem podczas przedwydarzenia Wojen Planet oraz nagrody ze skrzyń z zaopatrzeniem w trakcie Wojen Planet.
- Optymalizacja Technologii Elektronicznej: Ulepszono technologie związane z Łup"&amp;"aczami i Strzelcami w Technologii Elektronicznej oraz dodano nowe technologie związane z Burzycielami ścian.
- Optymalizacja Auto Rajdu: Zoptymalizowano czas oczekiwania systemu i maksymalny czas marszu.
- Optymalizacja Testera Wyposażenia: Zwiększono dys"&amp;"trybucję przedmiotów Stalowych Kluczy i zmniejszono trudność zdobywania skrzyń od bossów.")</f>
        <v>- Optymalizacja Wojen Planet: Ulepszono dystrybucję skrzyń z zaopatrzeniem podczas przedwydarzenia Wojen Planet oraz nagrody ze skrzyń z zaopatrzeniem w trakcie Wojen Planet.
- Optymalizacja Technologii Elektronicznej: Ulepszono technologie związane z Łupaczami i Strzelcami w Technologii Elektronicznej oraz dodano nowe technologie związane z Burzycielami ścian.
- Optymalizacja Auto Rajdu: Zoptymalizowano czas oczekiwania systemu i maksymalny czas marszu.
- Optymalizacja Testera Wyposażenia: Zwiększono dystrybucję przedmiotów Stalowych Kluczy i zmniejszono trudność zdobywania skrzyń od bossów.</v>
      </c>
      <c r="P36" s="108" t="str">
        <f>IFERROR(__xludf.DUMMYFUNCTION("""COMPUTED_VALUE"""),"- تحسين حروب الكوكب: تحسين توزيع صناديق الإمدادات خلال فعالية ما قبل حروب الكوكب ومكافآت صناديق الإمدادات أثناء حروب الكوكب.
- تحسين التكنولوجيا الإلكترونية: تحسين تقنيات الضارب والرامي المتعلقة بالتكنولوجيا الإلكترونية، وإضافة تقنيات جديدة متعلقة بكسارة "&amp;"الجدران.
- تحسين التجمع التلقائي: تحسين وقت الانتظار للنظام والوقت الأقصى للزحف.
- تحسين موقع اختبار المعدات: زيادة توزيع عناصر مفتاح الصلب وتقليل صعوبة الحصول على صناديق الزعماء.")</f>
        <v>- تحسين حروب الكوكب: تحسين توزيع صناديق الإمدادات خلال فعالية ما قبل حروب الكوكب ومكافآت صناديق الإمدادات أثناء حروب الكوكب.
- تحسين التكنولوجيا الإلكترونية: تحسين تقنيات الضارب والرامي المتعلقة بالتكنولوجيا الإلكترونية، وإضافة تقنيات جديدة متعلقة بكسارة الجدران.
- تحسين التجمع التلقائي: تحسين وقت الانتظار للنظام والوقت الأقصى للزحف.
- تحسين موقع اختبار المعدات: زيادة توزيع عناصر مفتاح الصلب وتقليل صعوبة الحصول على صناديق الزعماء.</v>
      </c>
      <c r="Q36" s="108"/>
      <c r="R36" s="108"/>
      <c r="S36" s="108"/>
      <c r="T36" s="108"/>
      <c r="U36" s="108"/>
      <c r="V36" s="108"/>
      <c r="W36" s="108"/>
      <c r="X36" s="108"/>
      <c r="Y36" s="108"/>
      <c r="Z36" s="108"/>
    </row>
    <row r="37">
      <c r="A37" s="108" t="str">
        <f>IFERROR(__xludf.DUMMYFUNCTION("""COMPUTED_VALUE"""),"0.54.0")</f>
        <v>0.54.0</v>
      </c>
      <c r="B37" s="108" t="str">
        <f>IFERROR(__xludf.DUMMYFUNCTION("""COMPUTED_VALUE"""),"-兵种技能优化：打击手技能中，护盾生成同时会产生嘲讽力场；射击手技能中，可以消耗资源补充弹药。
-斗士平衡调整：戴维斯主动技能中，将在攻城时有更高的伤害系数；克拉克兄弟的天赋技能中，增加阵亡部队转换为重伤的效果。
-每日任务优化：指挥官城市达30级后，将去除每日升级建筑和使用斗士经验道具的任务。
-绝地试炼优化：关卡扫荡奖励调整，增加机甲相关道具；关卡10-12-1增加葛列格雕像奖励，已经通关的玩家会通过邮件补发。
-机甲战斗优化：调整了机甲在不同场景下耐久的损耗效率，并且机甲在回到机甲中心后可以将一部分"&amp;"的耐久自动恢复。
-商店优化：银河商店、荣誉商店、神秘商店中增加机甲相关道具，并调整部分道具的价格和限购次数。
-战装优化：调整不同品质战装的打造消耗和出现技能的概率；提高传说战装附加属性的上限；优化采集、速度等附加属性对应的战力。
-调整战装重铸的消耗，去掉图纸增加纳米材料；提高战装重铸锁定的消耗，效果变为锁定后属性类型和数值都不变。
-围墙耐久调整：降低了全部围墙等级的耐久值，低等级主城将更容易被摧毁！
-堡垒竞夺调整：单次可掠夺到的玩家资源提高100%！对玩家进行掠夺将获得更大收益。
-试炼派对优化"&amp;"：优化了试炼派对的数值，降低了通关绝地试炼的任务难度。")</f>
        <v>-兵种技能优化：打击手技能中，护盾生成同时会产生嘲讽力场；射击手技能中，可以消耗资源补充弹药。
-斗士平衡调整：戴维斯主动技能中，将在攻城时有更高的伤害系数；克拉克兄弟的天赋技能中，增加阵亡部队转换为重伤的效果。
-每日任务优化：指挥官城市达30级后，将去除每日升级建筑和使用斗士经验道具的任务。
-绝地试炼优化：关卡扫荡奖励调整，增加机甲相关道具；关卡10-12-1增加葛列格雕像奖励，已经通关的玩家会通过邮件补发。
-机甲战斗优化：调整了机甲在不同场景下耐久的损耗效率，并且机甲在回到机甲中心后可以将一部分的耐久自动恢复。
-商店优化：银河商店、荣誉商店、神秘商店中增加机甲相关道具，并调整部分道具的价格和限购次数。
-战装优化：调整不同品质战装的打造消耗和出现技能的概率；提高传说战装附加属性的上限；优化采集、速度等附加属性对应的战力。
-调整战装重铸的消耗，去掉图纸增加纳米材料；提高战装重铸锁定的消耗，效果变为锁定后属性类型和数值都不变。
-围墙耐久调整：降低了全部围墙等级的耐久值，低等级主城将更容易被摧毁！
-堡垒竞夺调整：单次可掠夺到的玩家资源提高100%！对玩家进行掠夺将获得更大收益。
-试炼派对优化：优化了试炼派对的数值，降低了通关绝地试炼的任务难度。</v>
      </c>
      <c r="C37" s="108" t="str">
        <f>IFERROR(__xludf.DUMMYFUNCTION("""COMPUTED_VALUE"""),"- Unit skills optimized: Hitter skill generates a shield and taunt effects simultaneously; use resources to get more ammo for Shooter skill.
- Fighter strength balance: D-Generate Dave's active skill given higher damage in sieges; Clark Brothers' talent s"&amp;"kill can now convert defeated units into seriously wounded.
- Daily quests optimized: removed daily building upgrade and Fighter EXP item usage quests after Lv. 30 City Hall.
- Impasse Trials optimized: Mech items added to raid rewards; Greg statue reward"&amp;" added to Lv. 10-12-1, players who have already cleared the level will receive the reward via mail.
- Mech combat optimized: modified mech's durability reduction rate in different scenarios; mechs recover some durability when they return to the Mech Cente"&amp;"r.
- Shops optimized: mech items added to Planetary Shop, Honor Coin Shop, and Secret Shop; adjusted pricing and purchase limit for some items.
- Equipment optimized: changed the assembly cost and skill probability of equipments of different quality; incr"&amp;"eased the number of added attributes Legendary equipments can have; optimized the corresponding power of added attributes like gathering and speed.
- Adjusted the cost to recast equipment, removing Blueprints and adding Nanomaterials; increased the cost o"&amp;"f locking equipment attributes for recasts, now both the attribute type and stat will remain the same.
- Defense Walls durability changes: reduced the durability of Defense Walls of all levels, making lower-level cities easier to destroy!
- Fortress Loote"&amp;"r changes: doubled the amount of resources you can get in a single loot, increasing your gains from looting other players.
- Trial Bash improved: optimized Trial Bash stats and reduced the difficulty of clearing Impasse Trials.")</f>
        <v>- Unit skills optimized: Hitter skill generates a shield and taunt effects simultaneously; use resources to get more ammo for Shooter skill.
- Fighter strength balance: D-Generate Dave's active skill given higher damage in sieges; Clark Brothers' talent skill can now convert defeated units into seriously wounded.
- Daily quests optimized: removed daily building upgrade and Fighter EXP item usage quests after Lv. 30 City Hall.
- Impasse Trials optimized: Mech items added to raid rewards; Greg statue reward added to Lv. 10-12-1, players who have already cleared the level will receive the reward via mail.
- Mech combat optimized: modified mech's durability reduction rate in different scenarios; mechs recover some durability when they return to the Mech Center.
- Shops optimized: mech items added to Planetary Shop, Honor Coin Shop, and Secret Shop; adjusted pricing and purchase limit for some items.
- Equipment optimized: changed the assembly cost and skill probability of equipments of different quality; increased the number of added attributes Legendary equipments can have; optimized the corresponding power of added attributes like gathering and speed.
- Adjusted the cost to recast equipment, removing Blueprints and adding Nanomaterials; increased the cost of locking equipment attributes for recasts, now both the attribute type and stat will remain the same.
- Defense Walls durability changes: reduced the durability of Defense Walls of all levels, making lower-level cities easier to destroy!
- Fortress Looter changes: doubled the amount of resources you can get in a single loot, increasing your gains from looting other players.
- Trial Bash improved: optimized Trial Bash stats and reduced the difficulty of clearing Impasse Trials.</v>
      </c>
      <c r="D37" s="108" t="str">
        <f>IFERROR(__xludf.DUMMYFUNCTION("""COMPUTED_VALUE"""),"- Optimisation des compétences des unités : la compétence du Hitter génère un bouclier et des effets de provocation simultanément ; utilisez des ressources pour obtenir plus de munitions pour la compétence du Shooter.
- Équilibre de la force des combattan"&amp;"ts : la compétence active de D-Generate Dave inflige des dégâts plus élevés lors des sièges ; la compétence de talent des Clark Brothers peut maintenant convertir les unités vaincues en blessés graves.
- Quêtes quotidiennes optimisées : suppression des qu"&amp;"êtes quotidiennes de mise à niveau des bâtiments et de l'utilisation des objets EXP de combattant après l'Hôtel de Ville de niveau 30.
- Optimisation des Épreuves d'Impasse : ajout d'objets de Mécha aux récompenses de raid ; ajout de la récompense de la s"&amp;"tatue de Greg aux niveaux 10-12-1, les joueurs ayant déjà terminé le niveau recevront la récompense par message.
- Optimisation du combat de Mécha : modification du taux de réduction de la durabilité du Mécha dans différents scénarios ; les Méchas récupèr"&amp;"ent une partie de leur durabilité lorsqu'ils retournent au Centre de Mécha.
- Boutiques optimisées : ajout d'objets de Mécha à la Boutique Planétaire, à la Boutique des Pièces d'Honneur et au Marché Noir ; ajustement des prix et de la limite d'achat pour "&amp;"certains articles.
- Équipements optimisés : modification du coût d'assemblage et de la probabilité des compétences des équipements de différentes qualités ; augmentation du nombre d'attributs ajoutés que les équipements Légendaires peuvent avoir ; optimi"&amp;"sation de la puissance correspondante des attributs ajoutés tels que la collecte et la vitesse.
- Ajustement du coût pour refondre l'équipement, suppression des Plans et ajout de Nanomatériaux ; augmentation du coût de verrouillage des attributs d'équipem"&amp;"ent pour les refontes, maintenant le type et la statistique d'attribut resteront les mêmes.
- Changements de durabilité des Murs de Défense : réduction de la durabilité des Murs de Défense de tous les niveaux, rendant les villes de niveau inférieur plus f"&amp;"aciles à détruire !
- Changements du Pilleur de Forteresse : doublement de la quantité de ressources que vous pouvez obtenir en un seul pillage, augmentant vos gains en pillant d'autres joueurs.
- Amélioration du Trial Bash : optimisation des statistiques"&amp;" du Trial Bash et réduction de la difficulté à franchir les Épreuves d'Impasse.")</f>
        <v>- Optimisation des compétences des unités : la compétence du Hitter génère un bouclier et des effets de provocation simultanément ; utilisez des ressources pour obtenir plus de munitions pour la compétence du Shooter.
- Équilibre de la force des combattants : la compétence active de D-Generate Dave inflige des dégâts plus élevés lors des sièges ; la compétence de talent des Clark Brothers peut maintenant convertir les unités vaincues en blessés graves.
- Quêtes quotidiennes optimisées : suppression des quêtes quotidiennes de mise à niveau des bâtiments et de l'utilisation des objets EXP de combattant après l'Hôtel de Ville de niveau 30.
- Optimisation des Épreuves d'Impasse : ajout d'objets de Mécha aux récompenses de raid ; ajout de la récompense de la statue de Greg aux niveaux 10-12-1, les joueurs ayant déjà terminé le niveau recevront la récompense par message.
- Optimisation du combat de Mécha : modification du taux de réduction de la durabilité du Mécha dans différents scénarios ; les Méchas récupèrent une partie de leur durabilité lorsqu'ils retournent au Centre de Mécha.
- Boutiques optimisées : ajout d'objets de Mécha à la Boutique Planétaire, à la Boutique des Pièces d'Honneur et au Marché Noir ; ajustement des prix et de la limite d'achat pour certains articles.
- Équipements optimisés : modification du coût d'assemblage et de la probabilité des compétences des équipements de différentes qualités ; augmentation du nombre d'attributs ajoutés que les équipements Légendaires peuvent avoir ; optimisation de la puissance correspondante des attributs ajoutés tels que la collecte et la vitesse.
- Ajustement du coût pour refondre l'équipement, suppression des Plans et ajout de Nanomatériaux ; augmentation du coût de verrouillage des attributs d'équipement pour les refontes, maintenant le type et la statistique d'attribut resteront les mêmes.
- Changements de durabilité des Murs de Défense : réduction de la durabilité des Murs de Défense de tous les niveaux, rendant les villes de niveau inférieur plus faciles à détruire !
- Changements du Pilleur de Forteresse : doublement de la quantité de ressources que vous pouvez obtenir en un seul pillage, augmentant vos gains en pillant d'autres joueurs.
- Amélioration du Trial Bash : optimisation des statistiques du Trial Bash et réduction de la difficulté à franchir les Épreuves d'Impasse.</v>
      </c>
      <c r="E37" s="108" t="str">
        <f>IFERROR(__xludf.DUMMYFUNCTION("""COMPUTED_VALUE"""),"- Einheitenfähigkeiten optimiert: Hitter-Fähigkeit erzeugt gleichzeitig einen Schild und Spott-Effekte; Ressourcen verwenden, um mehr Munition für die Shooter-Fähigkeit zu erhalten.
- Held-Stärkebalance: D-Generate Daves aktive Fähigkeit verursacht höhere"&amp;"n Schaden bei Belagerungen; Clark Brothers' Talentfähigkeit kann nun besiegte Einheiten in schwer verwundete umwandeln.
- Tägliche Quests optimiert: tägliche Gebäudeaufwertung und Held-EP-Item-Verwendung Quests nach Lv. 30 Rathaus entfernt.
- Sackgassen-P"&amp;"rüfungen optimiert: Mech-Items zu Raid-Belohnungen hinzugefügt; Greg-Statue Belohnung zu Lv. 10-12-1 hinzugefügt, Spieler, die das Level bereits abgeschlossen haben, erhalten die Belohnung per Mail.
- Mech-Kampf optimiert: Änderung der Haltbarkeitsredukti"&amp;"onsrate von Mechs in verschiedenen Szenarien; Mechs erholen sich etwas Haltbarkeit, wenn sie zum Mech-Center zurückkehren.
- Shops optimiert: Mech-Items zum Planetaren Shop, Ehrenmünzen-Shop und Geheimshop hinzugefügt; Preise und Kaufbeschränkungen für ei"&amp;"nige Artikel angepasst.
- Ausrüstung optimiert: Änderung der Montagekosten und Fähigkeitswahrscheinlichkeit von Ausrüstungen unterschiedlicher Qualität; Erhöhung der Anzahl der hinzugefügten Attribute, die legendäre Ausrüstungen haben können; Optimierung "&amp;"der entsprechenden Leistung von hinzugefügten Attributen wie Sammeln und Geschwindigkeit.
- Anpassung der Kosten für das Umgießen von Ausrüstung, Entfernung von Bauplänen und Hinzufügen von Nanomaterialien; Erhöhung der Kosten für das Sperren von Ausrüstu"&amp;"ngsattributen für Umgüsse, nun bleiben sowohl der Attributstyp als auch die Statistik gleich.
- Haltbarkeitsänderungen der Verteidigungsmauern: Verringerung der Haltbarkeit von Verteidigungsmauern aller Stufen, wodurch Städte mit niedrigerem Level leichte"&amp;"r zu zerstören sind!
- Festungsplünderer-Änderungen: Verdoppelung der Menge an Ressourcen, die man bei einer einzigen Plünderung erhalten kann, und Erhöhung der Gewinne aus dem Plündern anderer Spieler.
- Trial Bash verbessert: Optimierung der Trial Bash-"&amp;"Statistiken und Verringerung der Schwierigkeit, Sackgassen-Prüfungen zu bestehen.")</f>
        <v>- Einheitenfähigkeiten optimiert: Hitter-Fähigkeit erzeugt gleichzeitig einen Schild und Spott-Effekte; Ressourcen verwenden, um mehr Munition für die Shooter-Fähigkeit zu erhalten.
- Held-Stärkebalance: D-Generate Daves aktive Fähigkeit verursacht höheren Schaden bei Belagerungen; Clark Brothers' Talentfähigkeit kann nun besiegte Einheiten in schwer verwundete umwandeln.
- Tägliche Quests optimiert: tägliche Gebäudeaufwertung und Held-EP-Item-Verwendung Quests nach Lv. 30 Rathaus entfernt.
- Sackgassen-Prüfungen optimiert: Mech-Items zu Raid-Belohnungen hinzugefügt; Greg-Statue Belohnung zu Lv. 10-12-1 hinzugefügt, Spieler, die das Level bereits abgeschlossen haben, erhalten die Belohnung per Mail.
- Mech-Kampf optimiert: Änderung der Haltbarkeitsreduktionsrate von Mechs in verschiedenen Szenarien; Mechs erholen sich etwas Haltbarkeit, wenn sie zum Mech-Center zurückkehren.
- Shops optimiert: Mech-Items zum Planetaren Shop, Ehrenmünzen-Shop und Geheimshop hinzugefügt; Preise und Kaufbeschränkungen für einige Artikel angepasst.
- Ausrüstung optimiert: Änderung der Montagekosten und Fähigkeitswahrscheinlichkeit von Ausrüstungen unterschiedlicher Qualität; Erhöhung der Anzahl der hinzugefügten Attribute, die legendäre Ausrüstungen haben können; Optimierung der entsprechenden Leistung von hinzugefügten Attributen wie Sammeln und Geschwindigkeit.
- Anpassung der Kosten für das Umgießen von Ausrüstung, Entfernung von Bauplänen und Hinzufügen von Nanomaterialien; Erhöhung der Kosten für das Sperren von Ausrüstungsattributen für Umgüsse, nun bleiben sowohl der Attributstyp als auch die Statistik gleich.
- Haltbarkeitsänderungen der Verteidigungsmauern: Verringerung der Haltbarkeit von Verteidigungsmauern aller Stufen, wodurch Städte mit niedrigerem Level leichter zu zerstören sind!
- Festungsplünderer-Änderungen: Verdoppelung der Menge an Ressourcen, die man bei einer einzigen Plünderung erhalten kann, und Erhöhung der Gewinne aus dem Plündern anderer Spieler.
- Trial Bash verbessert: Optimierung der Trial Bash-Statistiken und Verringerung der Schwierigkeit, Sackgassen-Prüfungen zu bestehen.</v>
      </c>
      <c r="F37" s="108" t="str">
        <f>IFERROR(__xludf.DUMMYFUNCTION("""COMPUTED_VALUE"""),"- Otimização das habilidades das unidades: a habilidade do Golpeador gera um escudo e efeitos de provocação simultaneamente; use recursos para obter mais munição para a habilidade do Atirador.
- Equilíbrio de força do combatente: a habilidade ativa do D-G"&amp;"enerate Dave causa maior dano em cercos; a habilidade de talento dos Irmãos Clark agora pode converter unidades derrotadas em gravemente feridas.
- Missões diárias otimizadas: removidas as missões diárias de atualização de construção e uso de itens de EXP"&amp;" do combatente após a Prefeitura de Nv. 30.
- Provas de Impasse otimizadas: itens de Mech adicionados às recompensas de raide; recompensa da estátua de Greg adicionada ao Nv. 10-12-1, os jogadores que já concluíram o nível receberão a recompensa por corre"&amp;"io.
- Combate de Mech otimizado: modificada a taxa de redução de durabilidade do mech em diferentes cenários; mechs recuperam parte da durabilidade quando retornam ao Centro de Mech.
- Lojas otimizadas: itens de Mech adicionados à Loja Planetária, Loja de"&amp;" Moedas de Honra e Loja Secreta; ajustados preços e limite de compra para alguns itens.
- Equipamentos otimizados: alterado o custo de montagem e probabilidade de habilidade de equipamentos de diferentes qualidades; aumentado o número de atributos adicion"&amp;"ados que os equipamentos Lendários podem ter; otimizado o poder correspondente de atributos adicionados como coleta e velocidade.
- Ajustado o custo para refazer o equipamento, removendo Diagramas e adicionando Nanomateriais; aumentado o custo de travar a"&amp;"tributos de equipamento para refazer, agora tanto o tipo de atributo quanto a estatística permanecerão os mesmos.
- Mudanças na durabilidade das Muralhas Defensivas: reduzida a durabilidade das Muralhas Defensivas de todos os níveis, tornando as cidades d"&amp;"e nível inferior mais fáceis de destruir!
- Mudanças no Saqueador de Fortaleza: dobrou a quantidade de recursos que você pode obter em um único saque, aumentando seus ganhos ao saquear outros jogadores.
- Melhoria do Trial Bash: otimizadas as estatísticas"&amp;" do Trial Bash e reduzida a dificuldade de passar nas Provas de Impasse.")</f>
        <v>- Otimização das habilidades das unidades: a habilidade do Golpeador gera um escudo e efeitos de provocação simultaneamente; use recursos para obter mais munição para a habilidade do Atirador.
- Equilíbrio de força do combatente: a habilidade ativa do D-Generate Dave causa maior dano em cercos; a habilidade de talento dos Irmãos Clark agora pode converter unidades derrotadas em gravemente feridas.
- Missões diárias otimizadas: removidas as missões diárias de atualização de construção e uso de itens de EXP do combatente após a Prefeitura de Nv. 30.
- Provas de Impasse otimizadas: itens de Mech adicionados às recompensas de raide; recompensa da estátua de Greg adicionada ao Nv. 10-12-1, os jogadores que já concluíram o nível receberão a recompensa por correio.
- Combate de Mech otimizado: modificada a taxa de redução de durabilidade do mech em diferentes cenários; mechs recuperam parte da durabilidade quando retornam ao Centro de Mech.
- Lojas otimizadas: itens de Mech adicionados à Loja Planetária, Loja de Moedas de Honra e Loja Secreta; ajustados preços e limite de compra para alguns itens.
- Equipamentos otimizados: alterado o custo de montagem e probabilidade de habilidade de equipamentos de diferentes qualidades; aumentado o número de atributos adicionados que os equipamentos Lendários podem ter; otimizado o poder correspondente de atributos adicionados como coleta e velocidade.
- Ajustado o custo para refazer o equipamento, removendo Diagramas e adicionando Nanomateriais; aumentado o custo de travar atributos de equipamento para refazer, agora tanto o tipo de atributo quanto a estatística permanecerão os mesmos.
- Mudanças na durabilidade das Muralhas Defensivas: reduzida a durabilidade das Muralhas Defensivas de todos os níveis, tornando as cidades de nível inferior mais fáceis de destruir!
- Mudanças no Saqueador de Fortaleza: dobrou a quantidade de recursos que você pode obter em um único saque, aumentando seus ganhos ao saquear outros jogadores.
- Melhoria do Trial Bash: otimizadas as estatísticas do Trial Bash e reduzida a dificuldade de passar nas Provas de Impasse.</v>
      </c>
      <c r="G37" s="108" t="str">
        <f>IFERROR(__xludf.DUMMYFUNCTION("""COMPUTED_VALUE"""),"-兵種技能優化：打手技能中，護盾生成同時會產生嘲諷力場；射手技能中，可以消耗資源補充彈藥。
-鬥士平衡調整：戴維斯主動技能中，將在攻城時有更高的傷害係數；克拉克兄弟的天賦技能中，增加陣亡部隊轉換為重傷的效果。
-每日任務優化：指揮官城市達30級後，將去除每日升級建築和使用英雄經驗道具的任務。
-絕地試煉優化：關卡掃蕩獎勵調整，增加機甲相關道具；關卡10-12-1增加葛列格雕像獎勵，已經通關的玩家會通過郵件補發。
-機甲戰鬥優化：調整了機甲在不同場景下耐久的損耗效率，並且機甲在回到機甲中心後可以將自動恢復一"&amp;"部分的耐久。
-商店優化：銀河商店、榮譽金幣商店、神秘商店中增加機甲相關道具，並調整部分道具的價格和限制次數。
-戰裝優化：調整不同品質戰裝的打造消耗和出現技能的機率；提高傳說戰裝附加屬性的上限；優化採集、速度等附加屬性對應的戰力。
-調整戰裝重鑄的消耗，去掉圖紙增加納米材料；提高戰裝重鑄鎖定的消耗，效果變為鎖定後屬性類型和數值都不變。
-城牆耐久調整：降低了全部城牆等級的耐久值，低等級主城將更容易被摧毀！
-堡壘競奪調整：單次可掠奪到的玩家資源提高100%！對玩家進行掠奪將獲得更大收益。
-試煉派對優化"&amp;"：優化了試煉派對的數值，降低了通關絕地試煉的任務難度。")</f>
        <v>-兵種技能優化：打手技能中，護盾生成同時會產生嘲諷力場；射手技能中，可以消耗資源補充彈藥。
-鬥士平衡調整：戴維斯主動技能中，將在攻城時有更高的傷害係數；克拉克兄弟的天賦技能中，增加陣亡部隊轉換為重傷的效果。
-每日任務優化：指揮官城市達30級後，將去除每日升級建築和使用英雄經驗道具的任務。
-絕地試煉優化：關卡掃蕩獎勵調整，增加機甲相關道具；關卡10-12-1增加葛列格雕像獎勵，已經通關的玩家會通過郵件補發。
-機甲戰鬥優化：調整了機甲在不同場景下耐久的損耗效率，並且機甲在回到機甲中心後可以將自動恢復一部分的耐久。
-商店優化：銀河商店、榮譽金幣商店、神秘商店中增加機甲相關道具，並調整部分道具的價格和限制次數。
-戰裝優化：調整不同品質戰裝的打造消耗和出現技能的機率；提高傳說戰裝附加屬性的上限；優化採集、速度等附加屬性對應的戰力。
-調整戰裝重鑄的消耗，去掉圖紙增加納米材料；提高戰裝重鑄鎖定的消耗，效果變為鎖定後屬性類型和數值都不變。
-城牆耐久調整：降低了全部城牆等級的耐久值，低等級主城將更容易被摧毀！
-堡壘競奪調整：單次可掠奪到的玩家資源提高100%！對玩家進行掠奪將獲得更大收益。
-試煉派對優化：優化了試煉派對的數值，降低了通關絕地試煉的任務難度。</v>
      </c>
      <c r="H37" s="108" t="str">
        <f>IFERROR(__xludf.DUMMYFUNCTION("""COMPUTED_VALUE"""),"- Keahlian unit dioptimalkan: Keahlian pemukul menghasilkan perisai dan efek ejek secara bersamaan; gunakan sumber daya untuk mendapatkan lebih banyak amunisi untuk keahlian Penembak.
- Keseimbangan kekuatan pejuang: Keahlian aktif D-Generate Dave diberik"&amp;"an kerusakan lebih tinggi dalam pengepungan; keahlian bakat Clark Brothers sekarang dapat mengubah unit yang kalah menjadi terluka parah.
- Misi harian dioptimalkan: menghapus peningkatan bangunan harian dan penggunaan item EXP Pejuang setelah Balai Kota "&amp;"Lv. 30.
- Uji Coba Impasse dioptimalkan: item Mech ditambahkan ke hadiah serbuan; hadiah patung Greg ditambahkan ke Lv. 10-12-1, pemain yang sudah menyelesaikan level akan menerima hadiah melalui surat.
- Pertempuran Mech dioptimalkan: mengubah tingkat pe"&amp;"ngurangan daya tahan mech dalam berbagai skenario; mech memulihkan sebagian daya tahan saat mereka kembali ke Pusat Mech.
- Toko dioptimalkan: item mech ditambahkan ke Toko Planet, Toko Koin Kehormatan, dan Toko Rahasia; penyesuaian harga dan batas pembel"&amp;"ian untuk beberapa item.
- Perlengkapan dioptimalkan: mengubah biaya perakitan dan probabilitas keahlian perlengkapan dengan kualitas yang berbeda; meningkatkan jumlah atribut tambahan yang dapat dimiliki perlengkapan Legendaris; mengoptimalkan kekuatan a"&amp;"tribut tambahan seperti pengumpulan dan kecepatan.
- Menyesuaikan biaya untuk mencetak ulang peralatan, menghapus Blueprint dan menambahkan Nanomaterial; meningkatkan biaya mengunci atribut peralatan untuk pencetakan ulang, sekarang baik tipe atribut maup"&amp;"un statistik akan tetap sama.
- Perubahan daya tahan Tembok Pertahanan: mengurangi daya tahan Tembok Pertahanan semua level, membuat kota level rendah lebih mudah dihancurkan!
- Perubahan Fortress Looter: menggandakan jumlah sumber daya yang dapat Anda da"&amp;"patkan dalam satu rampasan, meningkatkan keuntungan Anda dari menjarah pemain lain.
- Trial Bash ditingkatkan: mengoptimalkan statistik Trial Bash dan mengurangi kesulitan dalam menyelesaikan Uji Coba Impasse.")</f>
        <v>- Keahlian unit dioptimalkan: Keahlian pemukul menghasilkan perisai dan efek ejek secara bersamaan; gunakan sumber daya untuk mendapatkan lebih banyak amunisi untuk keahlian Penembak.
- Keseimbangan kekuatan pejuang: Keahlian aktif D-Generate Dave diberikan kerusakan lebih tinggi dalam pengepungan; keahlian bakat Clark Brothers sekarang dapat mengubah unit yang kalah menjadi terluka parah.
- Misi harian dioptimalkan: menghapus peningkatan bangunan harian dan penggunaan item EXP Pejuang setelah Balai Kota Lv. 30.
- Uji Coba Impasse dioptimalkan: item Mech ditambahkan ke hadiah serbuan; hadiah patung Greg ditambahkan ke Lv. 10-12-1, pemain yang sudah menyelesaikan level akan menerima hadiah melalui surat.
- Pertempuran Mech dioptimalkan: mengubah tingkat pengurangan daya tahan mech dalam berbagai skenario; mech memulihkan sebagian daya tahan saat mereka kembali ke Pusat Mech.
- Toko dioptimalkan: item mech ditambahkan ke Toko Planet, Toko Koin Kehormatan, dan Toko Rahasia; penyesuaian harga dan batas pembelian untuk beberapa item.
- Perlengkapan dioptimalkan: mengubah biaya perakitan dan probabilitas keahlian perlengkapan dengan kualitas yang berbeda; meningkatkan jumlah atribut tambahan yang dapat dimiliki perlengkapan Legendaris; mengoptimalkan kekuatan atribut tambahan seperti pengumpulan dan kecepatan.
- Menyesuaikan biaya untuk mencetak ulang peralatan, menghapus Blueprint dan menambahkan Nanomaterial; meningkatkan biaya mengunci atribut peralatan untuk pencetakan ulang, sekarang baik tipe atribut maupun statistik akan tetap sama.
- Perubahan daya tahan Tembok Pertahanan: mengurangi daya tahan Tembok Pertahanan semua level, membuat kota level rendah lebih mudah dihancurkan!
- Perubahan Fortress Looter: menggandakan jumlah sumber daya yang dapat Anda dapatkan dalam satu rampasan, meningkatkan keuntungan Anda dari menjarah pemain lain.
- Trial Bash ditingkatkan: mengoptimalkan statistik Trial Bash dan mengurangi kesulitan dalam menyelesaikan Uji Coba Impasse.</v>
      </c>
      <c r="I37" s="108" t="str">
        <f>IFERROR(__xludf.DUMMYFUNCTION("""COMPUTED_VALUE"""),"- สกิลยูนิตปรับปรุง: ทักษะของ Hitter สร้างโล่และผลของการดุแล้วกันพร้อมกัน; ใช้ทรัพยากรเพื่อรับเพิ่มเติมกระสุนสำหรับทักษะ Shooter
- สมดุลความแข็งแกร่งของนักสู้: ทักษะที่ใช้งานของ D-Generate Dave ทำให้เกิดความเสียหายที่สูงขึ้นในการปิดล้อม; ทักษะความสามารถพิ"&amp;"เศษของ Clark Brothers สามารถแปลงหน่วยที่พ่ายแพ้เป็นบาดเจ็บสาหัส
- เควสต์ประจำวันปรับปรุง: ลบการอัปเกรดอาคารประจำวันและเควสต์การใช้ไอเทมประสบการณ์นักสู้หลังจาก Lv. 30 City Hall
- การทดสอบ Impasse ปรับปรุง: เพิ่มไอเทม Mech ในรางวัลการจู่โจม; เพิ่มรางวัล Gre"&amp;"g statue ใน Lv. 10-12-1, ผู้เล่นที่เคลียร์ระดับแล้วจะได้รับรางวัลผ่านจดหมาย
- การต่อสู้ Mech ปรับปรุง: ปรับปรุงอัตราการลดความทนทานของ Mech ในสถานการณ์ต่าง ๆ; Mech กู้คืนความทนทานบางส่วนเมื่อกลับสู่ Mech Center
- ร้านค้าปรับปรุง: เพิ่มไอเทม Mech ใน Planeta"&amp;"ry Shop, Honor Coin Shop และ Secret Shop; ปรับราคาและขีดจำกัดการซื้อสำหรับไอเทมบางอย่าง
- อุปกรณ์ปรับปรุง: เปลี่ยนค่าใช้จ่ายในการประกอบและความน่าจะเป็นทักษะของอุปกรณ์คุณภาพต่าง ๆ; เพิ่มจำนวนคุณสมบัติที่เพิ่มของอุปกรณ์ตำนาน; ปรับปรุงพลังงานที่สอดคล้องกับคุ"&amp;"ณสมบัติที่เพิ่มเช่นการรวบรวมและความเร็ว
- ปรับค่าใช้จ่ายในการหล่ออุปกรณ์ใหม่, นำ Blueprints ออกและเพิ่ม Nanomaterials; เพิ่มค่าใช้จ่ายในการล็อกคุณสมบัติอุปกรณ์สำหรับการหล่อใหม่, ตอนนี้ทั้งประเภทและสถิติของคุณสมบัติจะยังคงเดิม
- การเปลี่ยนความทนทานของกำแพง"&amp;"ป้องกัน: ลดความทนทานของกำแพงป้องกันทุกระดับ, ทำให้เมืองระดับต่ำง่ายต่อการทำลาย!
- การเปลี่ยน Fortress Looter: เพิ่มสองเท่าของทรัพยากรที่คุณสามารถรับได้ในการปล้นเดียว, เพิ่มผลกำไรจากการปล้นผู้เล่นคนอื่น
- ปรับปรุง Trial Bash: ปรับปรุงสถิติ Trial Bash และลด"&amp;"ความยากในการเคลียร์ Impasse Trials")</f>
        <v>- สกิลยูนิตปรับปรุง: ทักษะของ Hitter สร้างโล่และผลของการดุแล้วกันพร้อมกัน; ใช้ทรัพยากรเพื่อรับเพิ่มเติมกระสุนสำหรับทักษะ Shooter
- สมดุลความแข็งแกร่งของนักสู้: ทักษะที่ใช้งานของ D-Generate Dave ทำให้เกิดความเสียหายที่สูงขึ้นในการปิดล้อม; ทักษะความสามารถพิเศษของ Clark Brothers สามารถแปลงหน่วยที่พ่ายแพ้เป็นบาดเจ็บสาหัส
- เควสต์ประจำวันปรับปรุง: ลบการอัปเกรดอาคารประจำวันและเควสต์การใช้ไอเทมประสบการณ์นักสู้หลังจาก Lv. 30 City Hall
- การทดสอบ Impasse ปรับปรุง: เพิ่มไอเทม Mech ในรางวัลการจู่โจม; เพิ่มรางวัล Greg statue ใน Lv. 10-12-1, ผู้เล่นที่เคลียร์ระดับแล้วจะได้รับรางวัลผ่านจดหมาย
- การต่อสู้ Mech ปรับปรุง: ปรับปรุงอัตราการลดความทนทานของ Mech ในสถานการณ์ต่าง ๆ; Mech กู้คืนความทนทานบางส่วนเมื่อกลับสู่ Mech Center
- ร้านค้าปรับปรุง: เพิ่มไอเทม Mech ใน Planetary Shop, Honor Coin Shop และ Secret Shop; ปรับราคาและขีดจำกัดการซื้อสำหรับไอเทมบางอย่าง
- อุปกรณ์ปรับปรุง: เปลี่ยนค่าใช้จ่ายในการประกอบและความน่าจะเป็นทักษะของอุปกรณ์คุณภาพต่าง ๆ; เพิ่มจำนวนคุณสมบัติที่เพิ่มของอุปกรณ์ตำนาน; ปรับปรุงพลังงานที่สอดคล้องกับคุณสมบัติที่เพิ่มเช่นการรวบรวมและความเร็ว
- ปรับค่าใช้จ่ายในการหล่ออุปกรณ์ใหม่, นำ Blueprints ออกและเพิ่ม Nanomaterials; เพิ่มค่าใช้จ่ายในการล็อกคุณสมบัติอุปกรณ์สำหรับการหล่อใหม่, ตอนนี้ทั้งประเภทและสถิติของคุณสมบัติจะยังคงเดิม
- การเปลี่ยนความทนทานของกำแพงป้องกัน: ลดความทนทานของกำแพงป้องกันทุกระดับ, ทำให้เมืองระดับต่ำง่ายต่อการทำลาย!
- การเปลี่ยน Fortress Looter: เพิ่มสองเท่าของทรัพยากรที่คุณสามารถรับได้ในการปล้นเดียว, เพิ่มผลกำไรจากการปล้นผู้เล่นคนอื่น
- ปรับปรุง Trial Bash: ปรับปรุงสถิติ Trial Bash และลดความยากในการเคลียร์ Impasse Trials</v>
      </c>
      <c r="J37" s="108" t="str">
        <f>IFERROR(__xludf.DUMMYFUNCTION("""COMPUTED_VALUE"""),"- Habilidades de unidad optimizadas: La habilidad del Golpeador genera un escudo y efectos de provocación simultáneamente; usa recursos para obtener más munición para la habilidad del Tirador.
- Equilibrio de fuerza del héroe: La habilidad activa de D-Gen"&amp;"erate Dave inflige más daño en asedios; la habilidad de talento de los Hermanos Clark ahora puede convertir unidades derrotadas en heridas graves.
- Misiones diarias optimizadas: se eliminaron las misiones diarias de mejora de edificios y uso de objetos d"&amp;"e EXP de héroe después del Ayuntamiento Nvl. 30.
- Pruebas de Impasse optimizadas: se agregaron objetos de Mech a las recompensas de incursión; recompensa de la estatua de Greg agregada a Nvl. 10-12-1, los jugadores que ya hayan completado el nivel recibi"&amp;"rán la recompensa por correo.
- Combate de Mech optimizado: se modificó la tasa de reducción de durabilidad del mech en diferentes escenarios; los mechs recuperan algo de durabilidad cuando regresan al Centro de Mech.
- Tiendas optimizadas: se agregaron o"&amp;"bjetos de Mech a la Tienda Planetaria, Tienda de Monedas de Honor y Tienda Secreta; ajustado el precio y límite de compra para algunos objetos.
- Equipamiento optimizado: se cambió el costo de ensamblaje y la probabilidad de habilidad de los equipos de di"&amp;"ferente calidad; aumentó el número de atributos agregados que pueden tener los equipos Legendarios; optimizado el poder correspondiente de atributos agregados como recolección y velocidad.
- Ajustado el costo para refundir equipo, eliminando Planos y agre"&amp;"gando Nanomateriales; aumentó el costo de bloquear atributos de equipo para refundiciones, ahora tanto el tipo de atributo como la estadística permanecerán iguales.
- Cambios en la durabilidad de las Murallas de Defensa: se redujo la durabilidad de las Mu"&amp;"rallas de Defensa de todos los niveles, ¡haciendo que las ciudades de nivel inferior sean más fáciles de destruir!
- Cambios en el Saqueador de Fortalezas: se duplicó la cantidad de recursos que se pueden obtener en un solo botín, aumentando tus ganancias"&amp;" al saquear a otros jugadores.
- Mejora de Trial Bash: se optimizaron las estadísticas de Trial Bash y se redujo la dificultad para completar las Pruebas de Impasse.")</f>
        <v>- Habilidades de unidad optimizadas: La habilidad del Golpeador genera un escudo y efectos de provocación simultáneamente; usa recursos para obtener más munición para la habilidad del Tirador.
- Equilibrio de fuerza del héroe: La habilidad activa de D-Generate Dave inflige más daño en asedios; la habilidad de talento de los Hermanos Clark ahora puede convertir unidades derrotadas en heridas graves.
- Misiones diarias optimizadas: se eliminaron las misiones diarias de mejora de edificios y uso de objetos de EXP de héroe después del Ayuntamiento Nvl. 30.
- Pruebas de Impasse optimizadas: se agregaron objetos de Mech a las recompensas de incursión; recompensa de la estatua de Greg agregada a Nvl. 10-12-1, los jugadores que ya hayan completado el nivel recibirán la recompensa por correo.
- Combate de Mech optimizado: se modificó la tasa de reducción de durabilidad del mech en diferentes escenarios; los mechs recuperan algo de durabilidad cuando regresan al Centro de Mech.
- Tiendas optimizadas: se agregaron objetos de Mech a la Tienda Planetaria, Tienda de Monedas de Honor y Tienda Secreta; ajustado el precio y límite de compra para algunos objetos.
- Equipamiento optimizado: se cambió el costo de ensamblaje y la probabilidad de habilidad de los equipos de diferente calidad; aumentó el número de atributos agregados que pueden tener los equipos Legendarios; optimizado el poder correspondiente de atributos agregados como recolección y velocidad.
- Ajustado el costo para refundir equipo, eliminando Planos y agregando Nanomateriales; aumentó el costo de bloquear atributos de equipo para refundiciones, ahora tanto el tipo de atributo como la estadística permanecerán iguales.
- Cambios en la durabilidad de las Murallas de Defensa: se redujo la durabilidad de las Murallas de Defensa de todos los niveles, ¡haciendo que las ciudades de nivel inferior sean más fáciles de destruir!
- Cambios en el Saqueador de Fortalezas: se duplicó la cantidad de recursos que se pueden obtener en un solo botín, aumentando tus ganancias al saquear a otros jugadores.
- Mejora de Trial Bash: se optimizaron las estadísticas de Trial Bash y se redujo la dificultad para completar las Pruebas de Impasse.</v>
      </c>
      <c r="K37" s="108" t="str">
        <f>IFERROR(__xludf.DUMMYFUNCTION("""COMPUTED_VALUE"""),"- Оптимизация навыков отрядов: навык громилы создает щит и эффекты провокации одновременно; используйте ресурсы, чтобы получить больше боеприпасов для навыка стрелка.
- Баланс силы героев: активный навык Дейва D-Generate получает больше урона в осадах; та"&amp;"лантовый навык братьев Кларк теперь может превращать побежденные отряды в тяжело раненных.
- Оптимизация ежедневных заданий: удалены задания на повышение уровня зданий и использование предметов опыта героев после уровня 30 городского совета.
- Оптимизация"&amp;" Испытаний тупика: предметы мехов добавлены в награды за рейды; награда статуи Грега добавлена на уровни 10-12-1, игроки, которые уже прошли этот уровень, получат награду по почте.
- Оптимизация меховых боев: изменена скорость снижения прочности мехов в р"&amp;"азных сценариях; мехи восстанавливают часть прочности при возвращении в Центр мехов.
- Оптимизация магазинов: предметы мехов добавлены в Планетарный магазин, магазин Чести и Тайный магазин; скорректированы цены и лимиты покупки для некоторых товаров.
"" О"&amp;"птимизация снаряжения: изменена стоимость сборки и вероятность навыков для снаряжения разного качества; увеличено количество добавленных показателей для легендарного снаряжения; оптимизирована соответствующая мощь добавленных показателей, таких как сбор и"&amp;" скорость.
- Изменена стоимость перековки снаряжения, удалены чертежи и добавлены наноматериалы; увеличена стоимость блокировки показателей снаряжения для перековки, теперь и тип показателя, и статистика останутся прежними.
- Изменения прочности защитных "&amp;"стен: снижена прочность защитных стен всех уровней, что облегчает уничтожение городов низкого уровня!
- Изменения в грабеже крепости: удвоено количество ресурсов, которые можно получить за одну добычу, увеличивая вашу выгоду от грабежа других игроков.
- У"&amp;"лучшение испытания Trial Bash: оптимизированы статистика Trial Bash и снижена сложность прохождения тупиковых испытаний.")</f>
        <v>- Оптимизация навыков отрядов: навык громилы создает щит и эффекты провокации одновременно; используйте ресурсы, чтобы получить больше боеприпасов для навыка стрелка.
- Баланс силы героев: активный навык Дейва D-Generate получает больше урона в осадах; талантовый навык братьев Кларк теперь может превращать побежденные отряды в тяжело раненных.
- Оптимизация ежедневных заданий: удалены задания на повышение уровня зданий и использование предметов опыта героев после уровня 30 городского совета.
- Оптимизация Испытаний тупика: предметы мехов добавлены в награды за рейды; награда статуи Грега добавлена на уровни 10-12-1, игроки, которые уже прошли этот уровень, получат награду по почте.
- Оптимизация меховых боев: изменена скорость снижения прочности мехов в разных сценариях; мехи восстанавливают часть прочности при возвращении в Центр мехов.
- Оптимизация магазинов: предметы мехов добавлены в Планетарный магазин, магазин Чести и Тайный магазин; скорректированы цены и лимиты покупки для некоторых товаров.
" Оптимизация снаряжения: изменена стоимость сборки и вероятность навыков для снаряжения разного качества; увеличено количество добавленных показателей для легендарного снаряжения; оптимизирована соответствующая мощь добавленных показателей, таких как сбор и скорость.
- Изменена стоимость перековки снаряжения, удалены чертежи и добавлены наноматериалы; увеличена стоимость блокировки показателей снаряжения для перековки, теперь и тип показателя, и статистика останутся прежними.
- Изменения прочности защитных стен: снижена прочность защитных стен всех уровней, что облегчает уничтожение городов низкого уровня!
- Изменения в грабеже крепости: удвоено количество ресурсов, которые можно получить за одну добычу, увеличивая вашу выгоду от грабежа других игроков.
- Улучшение испытания Trial Bash: оптимизированы статистика Trial Bash и снижена сложность прохождения тупиковых испытаний.</v>
      </c>
      <c r="L37" s="108" t="str">
        <f>IFERROR(__xludf.DUMMYFUNCTION("""COMPUTED_VALUE"""),"- Birim becerileri optimize edildi: Vurucu beceri, bir kalkan ve alay etme etkilerini aynı anda oluşturur; Atıcı becerisi için daha fazla mermi almak için kaynakları kullanın.
- Savaşçı güç dengesi: D-Generate Dave'in aktif becerisi kuşatmalarda daha yüks"&amp;"ek hasar verildi; Clark Kardeşler'in yetenek becerisi, yenilen birimleri ağır yaralıya dönüştürebilir.
- Günlük görevler optimize edildi: 30. Seviye Belediye Binası'ndan sonra günlük bina yükseltme ve Savaşçı EXP eşya kullanımı görevlerini kaldırıldı.
- Ç"&amp;"ıkmaz Denemeler optimize edildi: Meka eşyaları akın ödüllerine eklendi; Greg heykeli ödülü 10-12-1. Seviyeye eklendi, seviyeyi zaten temizleyen oyuncular ödülü posta yoluyla alacaklar.
- Meka savaşı optimize edildi: farklı senaryolarda meka dayanıklılığı "&amp;"azalma oranını değiştirildi; mekalar, Meka Merkezi'ne döndüklerinde bir miktar dayanıklılık kazanır.
- Mağazalar optimize edildi: Meka eşyaları Gezegen Mağazası, Onur Madeni Parası Mağazası ve Gizli Mağazaya eklendi; bazı ürünlerin fiyatlandırması ve satı"&amp;"n alma limiti ayarlandı.
- Ekipman optimize edildi: farklı kalitedeki ekipmanların montaj maliyeti ve beceri olasılığı değiştirildi; Efsanevi ekipmanların sahip olabileceği eklenen niteliklerin sayısını artırıldı; toplama ve hız gibi eklenen niteliklerin "&amp;"karşılık gelen gücünü optimize edildi.
- Ekipmanı yeniden dökmek için maliyeti ayarlayın, Planları kaldırın ve Nanomateryaller ekleyin; ekipman niteliklerini yeniden dökmek için kilitleme maliyetini artırın, şimdi hem nitelik türü hem de istatistik aynı k"&amp;"alacaktır.
- Savunma Duvarları dayanıklılık değişiklikleri: Tüm seviyelerdeki Savunma Duvarlarının dayanıklılığını azaltarak, düşük seviyeli şehirlerin yok edilmesini kolaylaştırır!
- Kale Yağmacısı değişiklikleri: tek bir yağmada alabileceğiniz kaynak mi"&amp;"ktarını ikiye katlayarak, diğer oyuncuları yağmalamadan elde ettiğiniz kazançları artırın.
- Deneme Yumruğu geliştirildi: Deneme Yumruğu istatistiklerini optimize edin ve Çıkmaz Denemeleri temizleme zorluğunu azaltın.")</f>
        <v>- Birim becerileri optimize edildi: Vurucu beceri, bir kalkan ve alay etme etkilerini aynı anda oluşturur; Atıcı becerisi için daha fazla mermi almak için kaynakları kullanın.
- Savaşçı güç dengesi: D-Generate Dave'in aktif becerisi kuşatmalarda daha yüksek hasar verildi; Clark Kardeşler'in yetenek becerisi, yenilen birimleri ağır yaralıya dönüştürebilir.
- Günlük görevler optimize edildi: 30. Seviye Belediye Binası'ndan sonra günlük bina yükseltme ve Savaşçı EXP eşya kullanımı görevlerini kaldırıldı.
- Çıkmaz Denemeler optimize edildi: Meka eşyaları akın ödüllerine eklendi; Greg heykeli ödülü 10-12-1. Seviyeye eklendi, seviyeyi zaten temizleyen oyuncular ödülü posta yoluyla alacaklar.
- Meka savaşı optimize edildi: farklı senaryolarda meka dayanıklılığı azalma oranını değiştirildi; mekalar, Meka Merkezi'ne döndüklerinde bir miktar dayanıklılık kazanır.
- Mağazalar optimize edildi: Meka eşyaları Gezegen Mağazası, Onur Madeni Parası Mağazası ve Gizli Mağazaya eklendi; bazı ürünlerin fiyatlandırması ve satın alma limiti ayarlandı.
- Ekipman optimize edildi: farklı kalitedeki ekipmanların montaj maliyeti ve beceri olasılığı değiştirildi; Efsanevi ekipmanların sahip olabileceği eklenen niteliklerin sayısını artırıldı; toplama ve hız gibi eklenen niteliklerin karşılık gelen gücünü optimize edildi.
- Ekipmanı yeniden dökmek için maliyeti ayarlayın, Planları kaldırın ve Nanomateryaller ekleyin; ekipman niteliklerini yeniden dökmek için kilitleme maliyetini artırın, şimdi hem nitelik türü hem de istatistik aynı kalacaktır.
- Savunma Duvarları dayanıklılık değişiklikleri: Tüm seviyelerdeki Savunma Duvarlarının dayanıklılığını azaltarak, düşük seviyeli şehirlerin yok edilmesini kolaylaştırır!
- Kale Yağmacısı değişiklikleri: tek bir yağmada alabileceğiniz kaynak miktarını ikiye katlayarak, diğer oyuncuları yağmalamadan elde ettiğiniz kazançları artırın.
- Deneme Yumruğu geliştirildi: Deneme Yumruğu istatistiklerini optimize edin ve Çıkmaz Denemeleri temizleme zorluğunu azaltın.</v>
      </c>
      <c r="M37" s="108" t="str">
        <f>IFERROR(__xludf.DUMMYFUNCTION("""COMPUTED_VALUE"""),"- Kỹ năng đơn vị được tối ưu hóa: Kỹ năng Tấn Công tạo ra một lá chắn và hiệu ứng chọc tức đồng thời; sử dụng tài nguyên để có thêm đạn dược cho kỹ năng Xạ Thủ.
- Cân bằng sức mạnh Chiến Binh: Kỹ năng chủ động của D-Generate Dave gây sát thương cao hơn tr"&amp;"ong các cuộc vây hãm; kỹ năng tài năng của Clark Brothers giờ đây có thể chuyển đổi các đơn vị bị đánh bại thành trọng thương.
- Nhiệm vụ hàng ngày được tối ưu hóa: loại bỏ nhiệm vụ nâng cấp công trình hàng ngày và sử dụng vật phẩm EXP Chiến Binh sau Tòa "&amp;"Thị Chính cấp 30.
- Thí Luyện Bế Tắc được tối ưu hóa: thêm vật phẩm Cơ Khí vào phần thưởng đột kích; thưởng tượng Greg được thêm vào cấp 10-12-1, người chơi đã hoàn thành cấp độ sẽ nhận được phần thưởng qua thư.
- Tối ưu hóa chiến đấu Cơ Khí: điều chỉnh t"&amp;"ỷ lệ giảm độ bền của Cơ Khí trong các tình huống khác nhau; Cơ Khí phục hồi một số độ bền khi trở về Trung Tâm Cơ Khí.
- Cửa hàng được tối ưu hóa: thêm vật phẩm Cơ Khí vào Cửa hàng Hành Tinh, Cửa hàng Đồng Tiền Vinh Dự và Cửa hàng Bí Mật; điều chỉnh giá c"&amp;"ả và giới hạn mua cho một số mặt hàng.
- Tối ưu hóa trang bị: thay đổi chi phí lắp ráp và xác suất kỹ năng của trang bị có chất lượng khác nhau; tăng số lượng thuộc tính đã thêm vào trang bị Huyền Thoại; tối ưu hóa sức mạnh tương ứng của các thuộc tính đã"&amp;" thêm như thu thập và tốc độ.
- Điều chỉnh chi phí đúc lại trang bị, loại bỏ Bản Vẽ và thêm Nguyên Liệu Nano; tăng chi phí khóa thuộc tính trang bị cho việc đúc lại, giờ đây cả loại thuộc tính và chỉ số sẽ giữ nguyên.
- Thay đổi độ bền của Tường Phòng Thủ"&amp;": giảm độ bền của Tường Phòng Thủ ở tất cả các cấp độ, khiến các thành phố cấp thấp dễ bị phá hủy hơn!
- Thay đổi Fortress Looter: gấp đôi số lượng tài nguyên bạn có thể nhận được trong một lần săn mồi, tăng lợi ích từ việc cướp bóc người chơi khác.
- Cải"&amp;" tiến Trial Bash: tối ưu hóa chỉ số Trial Bash và giảm độ khó của việc vượt qua Thí Luyện Bế Tắc.")</f>
        <v>- Kỹ năng đơn vị được tối ưu hóa: Kỹ năng Tấn Công tạo ra một lá chắn và hiệu ứng chọc tức đồng thời; sử dụng tài nguyên để có thêm đạn dược cho kỹ năng Xạ Thủ.
- Cân bằng sức mạnh Chiến Binh: Kỹ năng chủ động của D-Generate Dave gây sát thương cao hơn trong các cuộc vây hãm; kỹ năng tài năng của Clark Brothers giờ đây có thể chuyển đổi các đơn vị bị đánh bại thành trọng thương.
- Nhiệm vụ hàng ngày được tối ưu hóa: loại bỏ nhiệm vụ nâng cấp công trình hàng ngày và sử dụng vật phẩm EXP Chiến Binh sau Tòa Thị Chính cấp 30.
- Thí Luyện Bế Tắc được tối ưu hóa: thêm vật phẩm Cơ Khí vào phần thưởng đột kích; thưởng tượng Greg được thêm vào cấp 10-12-1, người chơi đã hoàn thành cấp độ sẽ nhận được phần thưởng qua thư.
- Tối ưu hóa chiến đấu Cơ Khí: điều chỉnh tỷ lệ giảm độ bền của Cơ Khí trong các tình huống khác nhau; Cơ Khí phục hồi một số độ bền khi trở về Trung Tâm Cơ Khí.
- Cửa hàng được tối ưu hóa: thêm vật phẩm Cơ Khí vào Cửa hàng Hành Tinh, Cửa hàng Đồng Tiền Vinh Dự và Cửa hàng Bí Mật; điều chỉnh giá cả và giới hạn mua cho một số mặt hàng.
- Tối ưu hóa trang bị: thay đổi chi phí lắp ráp và xác suất kỹ năng của trang bị có chất lượng khác nhau; tăng số lượng thuộc tính đã thêm vào trang bị Huyền Thoại; tối ưu hóa sức mạnh tương ứng của các thuộc tính đã thêm như thu thập và tốc độ.
- Điều chỉnh chi phí đúc lại trang bị, loại bỏ Bản Vẽ và thêm Nguyên Liệu Nano; tăng chi phí khóa thuộc tính trang bị cho việc đúc lại, giờ đây cả loại thuộc tính và chỉ số sẽ giữ nguyên.
- Thay đổi độ bền của Tường Phòng Thủ: giảm độ bền của Tường Phòng Thủ ở tất cả các cấp độ, khiến các thành phố cấp thấp dễ bị phá hủy hơn!
- Thay đổi Fortress Looter: gấp đôi số lượng tài nguyên bạn có thể nhận được trong một lần săn mồi, tăng lợi ích từ việc cướp bóc người chơi khác.
- Cải tiến Trial Bash: tối ưu hóa chỉ số Trial Bash và giảm độ khó của việc vượt qua Thí Luyện Bế Tắc.</v>
      </c>
      <c r="N37" s="108" t="str">
        <f>IFERROR(__xludf.DUMMYFUNCTION("""COMPUTED_VALUE"""),"- Ottimizzazione delle abilità delle unità: l'abilità del Picchiatore genera uno scudo e gli effetti di provocazione contemporaneamente; utilizza risorse per ottenere più munizioni per l'abilità del Tiratore.
- Bilanciamento della forza del Combattente: l"&amp;"'abilità attiva di D-Generate Dave infligge danni maggiori negli assedi; l'abilità di talento dei Fratelli Clark può ora convertire le unità sconfitte in feriti gravemente.
- Missioni giornaliere ottimizzate: rimosso l'aggiornamento giornaliero degli edif"&amp;"ici e l'utilizzo degli oggetti ESP Combattente dopo il Municipio Liv. 30.
- Ottimizzazione delle Sfide Impasse: aggiunti oggetti Mech alle ricompense di razzia; aggiunta la ricompensa della statua di Greg ai livelli 10-12-1, i giocatori che hanno già comp"&amp;"letato il livello riceveranno la ricompensa tramite posta.
- Ottimizzazione del combattimento Mech: modificata la riduzione della durabilità del mech in diversi scenari; i mech recuperano una parte della durabilità quando tornano al Centro Mech.
- Ottimiz"&amp;"zazione dei negozi: aggiunti oggetti Mech al Negozio Planetario, al Negozio Monete d'Onore e al Negozio Segreto; adeguati prezzi e limiti di acquisto per alcuni articoli.
- Ottimizzazione dell'equipaggiamento: modificato il costo di assemblaggio e la prob"&amp;"abilità delle abilità degli equipaggiamenti di diversa qualità; aumentato il numero di attributi aggiunti che gli equipaggiamenti Leggendari possono avere; ottimizzata la potenza corrispondente degli attributi aggiunti come raccolta e velocità.
- Ajustato"&amp;" il costo per rifondere l'equipaggiamento, rimuovendo i Progetti e aggiungendo i Nanomateriali; aumentato il costo di blocco degli attributi dell'equipaggiamento per le rifusioni, ora sia il tipo di attributo che le statistiche rimarranno invariate.
- Cam"&amp;"biamenti nella durabilità delle Mura difensive: ridotta la durabilità delle Mura difensive di tutti i livelli, rendendo più facili da distruggere le città di livello inferiore!
- Cambiamenti nel saccheggio della Fortezza: raddoppiata la quantità di risors"&amp;"e che si possono ottenere in un singolo saccheggio, aumentando i guadagni dal saccheggio di altri giocatori.
- Miglioramento dello Scontro Prove: ottimizzate le statistiche dello Scontro Prove e ridotta la difficoltà nel superare le Sfide Impasse.")</f>
        <v>- Ottimizzazione delle abilità delle unità: l'abilità del Picchiatore genera uno scudo e gli effetti di provocazione contemporaneamente; utilizza risorse per ottenere più munizioni per l'abilità del Tiratore.
- Bilanciamento della forza del Combattente: l'abilità attiva di D-Generate Dave infligge danni maggiori negli assedi; l'abilità di talento dei Fratelli Clark può ora convertire le unità sconfitte in feriti gravemente.
- Missioni giornaliere ottimizzate: rimosso l'aggiornamento giornaliero degli edifici e l'utilizzo degli oggetti ESP Combattente dopo il Municipio Liv. 30.
- Ottimizzazione delle Sfide Impasse: aggiunti oggetti Mech alle ricompense di razzia; aggiunta la ricompensa della statua di Greg ai livelli 10-12-1, i giocatori che hanno già completato il livello riceveranno la ricompensa tramite posta.
- Ottimizzazione del combattimento Mech: modificata la riduzione della durabilità del mech in diversi scenari; i mech recuperano una parte della durabilità quando tornano al Centro Mech.
- Ottimizzazione dei negozi: aggiunti oggetti Mech al Negozio Planetario, al Negozio Monete d'Onore e al Negozio Segreto; adeguati prezzi e limiti di acquisto per alcuni articoli.
- Ottimizzazione dell'equipaggiamento: modificato il costo di assemblaggio e la probabilità delle abilità degli equipaggiamenti di diversa qualità; aumentato il numero di attributi aggiunti che gli equipaggiamenti Leggendari possono avere; ottimizzata la potenza corrispondente degli attributi aggiunti come raccolta e velocità.
- Ajustato il costo per rifondere l'equipaggiamento, rimuovendo i Progetti e aggiungendo i Nanomateriali; aumentato il costo di blocco degli attributi dell'equipaggiamento per le rifusioni, ora sia il tipo di attributo che le statistiche rimarranno invariate.
- Cambiamenti nella durabilità delle Mura difensive: ridotta la durabilità delle Mura difensive di tutti i livelli, rendendo più facili da distruggere le città di livello inferiore!
- Cambiamenti nel saccheggio della Fortezza: raddoppiata la quantità di risorse che si possono ottenere in un singolo saccheggio, aumentando i guadagni dal saccheggio di altri giocatori.
- Miglioramento dello Scontro Prove: ottimizzate le statistiche dello Scontro Prove e ridotta la difficoltà nel superare le Sfide Impasse.</v>
      </c>
      <c r="O37" s="108" t="str">
        <f>IFERROR(__xludf.DUMMYFUNCTION("""COMPUTED_VALUE"""),"- Optymalizacja umiejętności jednostek: umiejętność Łupacza generuje jednocześnie tarczę i efekty prowokacji; użyj zasobów, aby zdobyć więcej amunicji dla umiejętności Strzelca.
- Bilans siły wojowników: aktywna umiejętność D-Generate Dave'a zadaje większ"&amp;"e obrażenia podczas oblężeń; umiejętność talentu Braci Clark może teraz zamieniać pokonane jednostki w poważnie rannych.
- Optymalizacja codziennych zadań: usunięto codzienne zadania związane z ulepszaniem budynków i używaniem przedmiotów PD Wojownika po "&amp;"osiągnięciu poziomu 30 Ratusza.
- Optymalizacja Prób Impasse: przedmioty Mecha dodane do nagród za rajdy; nagroda w postaci pomnika Grega dodana do poziomów 10-12-1, gracze, którzy już ukończyli ten poziom, otrzymają nagrodę pocztą.
- Optymalizacja walki "&amp;"Mecha: zmodyfikowano współczynnik redukcji wytrzymałości mecha w różnych scenariuszach; mechy odzyskują część wytrzymałości, gdy wracają do Centrum Mecha.
- Optymalizacja sklepów: przedmioty Mecha dodane do Sklepu Planetarnego, Sklepu z Monetami Honoru i "&amp;"Sklepu Tajemniczego; dostosowano ceny i limity zakupów dla niektórych przedmiotów.
- Optymalizacja wyposażenia: zmieniono koszt montażu i prawdopodobieństwo umiejętności wyposażenia różnej jakości; zwiększono liczbę dodanych atrybutów, jakie może mieć leg"&amp;"endarny sprzęt; zoptymalizowano odpowiednią moc dodanych atrybutów, takich jak zbieranie i prędkość.
- Dostosowano koszt przelania wyposażenia, usuwając Plany i dodając Nanomateriały; zwiększono koszt blokowania atrybutów wyposażenia podczas przelania, te"&amp;"raz zarówno typ atrybutu, jak i statystyka pozostaną takie same.
- Zmiany trwałości Murów Obronnych: zmniejszono trwałość Murów Obronnych na wszystkich poziomach, ułatwiając niszczenie miast o niższym poziomie!
- Zmiany w Łupieżcy Twierdzy: podwojono iloś"&amp;"ć zasobów, które można zdobyć w jednym łupie, zwiększając korzyści z rabowania innych graczy.
- Ulepszenie Trial Bash: zoptymalizowano statystyki Trial Bash i zmniejszono trudność przejścia Prób Impasse.")</f>
        <v>- Optymalizacja umiejętności jednostek: umiejętność Łupacza generuje jednocześnie tarczę i efekty prowokacji; użyj zasobów, aby zdobyć więcej amunicji dla umiejętności Strzelca.
- Bilans siły wojowników: aktywna umiejętność D-Generate Dave'a zadaje większe obrażenia podczas oblężeń; umiejętność talentu Braci Clark może teraz zamieniać pokonane jednostki w poważnie rannych.
- Optymalizacja codziennych zadań: usunięto codzienne zadania związane z ulepszaniem budynków i używaniem przedmiotów PD Wojownika po osiągnięciu poziomu 30 Ratusza.
- Optymalizacja Prób Impasse: przedmioty Mecha dodane do nagród za rajdy; nagroda w postaci pomnika Grega dodana do poziomów 10-12-1, gracze, którzy już ukończyli ten poziom, otrzymają nagrodę pocztą.
- Optymalizacja walki Mecha: zmodyfikowano współczynnik redukcji wytrzymałości mecha w różnych scenariuszach; mechy odzyskują część wytrzymałości, gdy wracają do Centrum Mecha.
- Optymalizacja sklepów: przedmioty Mecha dodane do Sklepu Planetarnego, Sklepu z Monetami Honoru i Sklepu Tajemniczego; dostosowano ceny i limity zakupów dla niektórych przedmiotów.
- Optymalizacja wyposażenia: zmieniono koszt montażu i prawdopodobieństwo umiejętności wyposażenia różnej jakości; zwiększono liczbę dodanych atrybutów, jakie może mieć legendarny sprzęt; zoptymalizowano odpowiednią moc dodanych atrybutów, takich jak zbieranie i prędkość.
- Dostosowano koszt przelania wyposażenia, usuwając Plany i dodając Nanomateriały; zwiększono koszt blokowania atrybutów wyposażenia podczas przelania, teraz zarówno typ atrybutu, jak i statystyka pozostaną takie same.
- Zmiany trwałości Murów Obronnych: zmniejszono trwałość Murów Obronnych na wszystkich poziomach, ułatwiając niszczenie miast o niższym poziomie!
- Zmiany w Łupieżcy Twierdzy: podwojono ilość zasobów, które można zdobyć w jednym łupie, zwiększając korzyści z rabowania innych graczy.
- Ulepszenie Trial Bash: zoptymalizowano statystyki Trial Bash i zmniejszono trudność przejścia Prób Impasse.</v>
      </c>
      <c r="P37" s="108" t="str">
        <f>IFERROR(__xludf.DUMMYFUNCTION("""COMPUTED_VALUE"""),"- تم تحسين مهارات الوحدة: توليد درع وتأثيرات الاستهداف في مهارة الضارب بشكل متزامن؛ استخدم الموارد للحصول على المزيد من الذخيرة لمهارة الرامي.
- توازن قوة المقاتل: تم إعطاء مهارة ديف النشطة لـ D-Generate Dave ضرر أعلى في الحصارات؛ مهارة الموهبة لإخوة كلار"&amp;"ك يمكنها الآن تحويل الوحدات المهزومة إلى جرحى بشكل خطير.
- تم تحسين المهام اليومية: إزالة مهام ترقية المباني اليومية واستخدام عنصر خبرة المقاتل بعد قاعة المدينة مستوى 30.
- تم تحسين تجارب الجمود: تمت إضافة عناصر الميكا إلى جوائز الغارة؛ تمت إضافة مكافأة ت"&amp;"مثال جريج إلى المستوى 10-12-1، سيتلقى اللاعبون الذين أزالوا المستوى بالفعل المكافأة عبر البريد.
- تم تحسين قتال الميكا: تعديل معدل تقليل متانة الميكا في سيناريوهات مختلفة؛ تستعيد الميكا بعض المتانة عند عودتها إلى مركز الميكا.
- تم تحسين المتاجر: تمت إضافة"&amp;" عناصر الميكا إلى متجر الكواكب، متجر عملة الشرف، والمتجر السري؛ ضبط التسعير والحد الأقصى للشراء لبعض العناصر.
- تم تحسين المعدات: تغيير تكلفة التجميع واحتمالية المهارة للمعدات ذات الجودة المختلفة؛ زيادة عدد السمات المضافة التي يمكن أن تمتلكها المعدات الأس"&amp;"طورية؛ تحسين القوة المقابلة للسمات المضافة مثل الجمع والسرعة.
- ضبط تكلفة إعادة صب المعدات، إزالة المخططات وإضافة المواد النانوية؛ زيادة تكلفة قفل سمات المعدات لإعادة الصب، ستبقى الآن نوع السمة والإحصائية على حالها.
- تغييرات متانة جدران الدفاع: تقليل متا"&amp;"نة جدران الدفاع لجميع المستويات، مما يجعل المدن ذات المستوى المنخفض أسهل في التدمير!
- تغييرات نهب القلعة: ضاعف مقدار الموارد التي يمكنك الحصول عليها في نهب واحد، مما يزيد من مكاسبك من نهب اللاعبين الآخرين.
- تحسين ضربة التجربة: تحسين إحصائيات ضربة التجرب"&amp;"ة وتقليل صعوبة إزالة تجارب الجمود.")</f>
        <v>- تم تحسين مهارات الوحدة: توليد درع وتأثيرات الاستهداف في مهارة الضارب بشكل متزامن؛ استخدم الموارد للحصول على المزيد من الذخيرة لمهارة الرامي.
- توازن قوة المقاتل: تم إعطاء مهارة ديف النشطة لـ D-Generate Dave ضرر أعلى في الحصارات؛ مهارة الموهبة لإخوة كلارك يمكنها الآن تحويل الوحدات المهزومة إلى جرحى بشكل خطير.
- تم تحسين المهام اليومية: إزالة مهام ترقية المباني اليومية واستخدام عنصر خبرة المقاتل بعد قاعة المدينة مستوى 30.
- تم تحسين تجارب الجمود: تمت إضافة عناصر الميكا إلى جوائز الغارة؛ تمت إضافة مكافأة تمثال جريج إلى المستوى 10-12-1، سيتلقى اللاعبون الذين أزالوا المستوى بالفعل المكافأة عبر البريد.
- تم تحسين قتال الميكا: تعديل معدل تقليل متانة الميكا في سيناريوهات مختلفة؛ تستعيد الميكا بعض المتانة عند عودتها إلى مركز الميكا.
- تم تحسين المتاجر: تمت إضافة عناصر الميكا إلى متجر الكواكب، متجر عملة الشرف، والمتجر السري؛ ضبط التسعير والحد الأقصى للشراء لبعض العناصر.
- تم تحسين المعدات: تغيير تكلفة التجميع واحتمالية المهارة للمعدات ذات الجودة المختلفة؛ زيادة عدد السمات المضافة التي يمكن أن تمتلكها المعدات الأسطورية؛ تحسين القوة المقابلة للسمات المضافة مثل الجمع والسرعة.
- ضبط تكلفة إعادة صب المعدات، إزالة المخططات وإضافة المواد النانوية؛ زيادة تكلفة قفل سمات المعدات لإعادة الصب، ستبقى الآن نوع السمة والإحصائية على حالها.
- تغييرات متانة جدران الدفاع: تقليل متانة جدران الدفاع لجميع المستويات، مما يجعل المدن ذات المستوى المنخفض أسهل في التدمير!
- تغييرات نهب القلعة: ضاعف مقدار الموارد التي يمكنك الحصول عليها في نهب واحد، مما يزيد من مكاسبك من نهب اللاعبين الآخرين.
- تحسين ضربة التجربة: تحسين إحصائيات ضربة التجربة وتقليل صعوبة إزالة تجارب الجمود.</v>
      </c>
      <c r="Q37" s="108"/>
      <c r="R37" s="108"/>
      <c r="S37" s="108"/>
      <c r="T37" s="108"/>
      <c r="U37" s="108"/>
      <c r="V37" s="108"/>
      <c r="W37" s="108"/>
      <c r="X37" s="108"/>
      <c r="Y37" s="108"/>
      <c r="Z37" s="108"/>
    </row>
    <row r="38">
      <c r="A38" s="108" t="str">
        <f>IFERROR(__xludf.DUMMYFUNCTION("""COMPUTED_VALUE"""),"0.55.0")</f>
        <v>0.55.0</v>
      </c>
      <c r="B38" s="108" t="str">
        <f>IFERROR(__xludf.DUMMYFUNCTION("""COMPUTED_VALUE"""),"-绝地试炼：降低了绝地试炼部分关卡的难度；
-军备远征：由于新增机甲远征，军备远征排行榜的奖励得到了调整；
-城墙耐久：加快了帮派领土和中心区域的城墙燃烧速度，最高可加快100%；
-拦路巨猿：异星争霸中的拦路巨猿排行榜调整为跨服排行榜，增加异星商店成就币奖励；
-荣誉币商店：调整了迷你传说基因药水的每周购买上限；新增紫色升星石回收功能；
-地下探宝：提高了通过关卡大门时的宝箱奖励，地下探宝中科研增益越高，获得奖励越高；
-装饰图鉴：调整了马克西姆斯，杰克的雕像图鉴属性；
-战装：战装系统提前至开服22天"&amp;"时解锁，调整了战装相关道具的产出时间；
-科林的探索：调整了本玩法的任务奖励，精简奖励道具类型，总体价值不变。")</f>
        <v>-绝地试炼：降低了绝地试炼部分关卡的难度；
-军备远征：由于新增机甲远征，军备远征排行榜的奖励得到了调整；
-城墙耐久：加快了帮派领土和中心区域的城墙燃烧速度，最高可加快100%；
-拦路巨猿：异星争霸中的拦路巨猿排行榜调整为跨服排行榜，增加异星商店成就币奖励；
-荣誉币商店：调整了迷你传说基因药水的每周购买上限；新增紫色升星石回收功能；
-地下探宝：提高了通过关卡大门时的宝箱奖励，地下探宝中科研增益越高，获得奖励越高；
-装饰图鉴：调整了马克西姆斯，杰克的雕像图鉴属性；
-战装：战装系统提前至开服22天时解锁，调整了战装相关道具的产出时间；
-科林的探索：调整了本玩法的任务奖励，精简奖励道具类型，总体价值不变。</v>
      </c>
      <c r="C38" s="108" t="str">
        <f>IFERROR(__xludf.DUMMYFUNCTION("""COMPUTED_VALUE"""),"- Impasse Trials: Lowered the difficulty of certain levels.
- Gear Expedition: Modified ranking rewards due to the addition of Mech Expedition.
- Defense Walls durability: Increased the burning speed of Defense Walls in Gang territory and the central area"&amp;", up to 100% faster.
- Roadblock Giganto: Roadblock Giganto leaderboards in Galactic Supremacy are now pan-server; added Triumph Coins to Honor Exchange.
- Honor Coin Shop: Changed the weekly purchase limit for Mini Gene Potions (Legendary); added a recyc"&amp;"ling function for Epic Star Stones.
- Treasure Dig: Enhanced chest rewards when clearing subway barricades; the higher your Treasure Dig research boosts, the better the rewards.
- Decoration Gallery: Modified gallery attributes for Maximus and Electro Jac"&amp;"k statues.
- Colin's Exploration: Modified quest rewards, simplifying reward types with total value unchanged.")</f>
        <v>- Impasse Trials: Lowered the difficulty of certain levels.
- Gear Expedition: Modified ranking rewards due to the addition of Mech Expedition.
- Defense Walls durability: Increased the burning speed of Defense Walls in Gang territory and the central area, up to 100% faster.
- Roadblock Giganto: Roadblock Giganto leaderboards in Galactic Supremacy are now pan-server; added Triumph Coins to Honor Exchange.
- Honor Coin Shop: Changed the weekly purchase limit for Mini Gene Potions (Legendary); added a recycling function for Epic Star Stones.
- Treasure Dig: Enhanced chest rewards when clearing subway barricades; the higher your Treasure Dig research boosts, the better the rewards.
- Decoration Gallery: Modified gallery attributes for Maximus and Electro Jack statues.
- Colin's Exploration: Modified quest rewards, simplifying reward types with total value unchanged.</v>
      </c>
      <c r="D38" s="108" t="str">
        <f>IFERROR(__xludf.DUMMYFUNCTION("""COMPUTED_VALUE"""),"- Épreuves de l'Impasse : Réduit la difficulté de certains niveaux.
- Expédition d'Équipement : Modifié les récompenses de classement en raison de l'ajout de l'Expédition Mécha.
- Durabilité des Murs de Défense : Augmenté la vitesse de combustion des Murs"&amp;" de Défense dans le territoire de gang et la zone centrale, jusqu'à 100% plus rapide.
- Barrage Giganto : Les classements du Barrage Giganto dans la Suprématie Galactique sont maintenant pan-serveur ; ajouté des Pièces de Triomphe à la Bourse aux Honneurs"&amp;".
- Boutique de Pièces d'Honneur : Modifié la limite d'achat hebdomadaire pour les Mini Potions Génétiques (Légendaire) ; ajouté une fonction de recyclage pour les Pierres d'Étoile Épiques.
- Fouille de Trésor : Amélioré les récompenses de coffre lors de "&amp;"l'élimination des barricades du métro ; plus vos boosts de recherche de Fouille de Trésor sont élevés, meilleures sont les récompenses.
- Galerie de Décors : Modifié les attributs de la galerie pour les statues de Maximus et Jack l'éclair.
- L'Exploration"&amp;" de Colin : Modifié les récompenses de quête, simplifiant les types de récompenses avec une valeur totale inchangée.")</f>
        <v>- Épreuves de l'Impasse : Réduit la difficulté de certains niveaux.
- Expédition d'Équipement : Modifié les récompenses de classement en raison de l'ajout de l'Expédition Mécha.
- Durabilité des Murs de Défense : Augmenté la vitesse de combustion des Murs de Défense dans le territoire de gang et la zone centrale, jusqu'à 100% plus rapide.
- Barrage Giganto : Les classements du Barrage Giganto dans la Suprématie Galactique sont maintenant pan-serveur ; ajouté des Pièces de Triomphe à la Bourse aux Honneurs.
- Boutique de Pièces d'Honneur : Modifié la limite d'achat hebdomadaire pour les Mini Potions Génétiques (Légendaire) ; ajouté une fonction de recyclage pour les Pierres d'Étoile Épiques.
- Fouille de Trésor : Amélioré les récompenses de coffre lors de l'élimination des barricades du métro ; plus vos boosts de recherche de Fouille de Trésor sont élevés, meilleures sont les récompenses.
- Galerie de Décors : Modifié les attributs de la galerie pour les statues de Maximus et Jack l'éclair.
- L'Exploration de Colin : Modifié les récompenses de quête, simplifiant les types de récompenses avec une valeur totale inchangée.</v>
      </c>
      <c r="E38" s="108" t="str">
        <f>IFERROR(__xludf.DUMMYFUNCTION("""COMPUTED_VALUE"""),"- Sackgassen-Prüfungen: Die Schwierigkeit bestimmter Level wurde gesenkt.
- Ausrüstungs-Expedition: Ranglisten-Belohnungen aufgrund der Hinzufügung von Mech-Expedition modifiziert.
- Haltbarkeit der Verteidigungsmauern: Die Brenngeschwindigkeit der Vertei"&amp;"digungsmauern im Clan-Territorium und im zentralen Bereich wurde erhöht, bis zu 100% schneller.
- Straßensperren-Giganto: Die Ranglisten von Straßensperren-Giganto in der Vorherrschaft in der Galaxis sind jetzt serverübergreifend; Triumphmünzen wurden zum"&amp;" Ehrentausch hinzugefügt.
- EHRENMÜNZEN-SHOP: Die wöchentliche Kaufgrenze für Mini-Gentränke (Legendär) wurde geändert; eine Recycling-Funktion für Epische Sternensteine wurde hinzugefügt.
- Schatzsuche: Verbesserte Truhenbelohnungen beim Räumen von U-Bah"&amp;"n-Barricaden; je höher Ihre Forschungs-Boosts bei der Schatzsuche sind, desto besser sind die Belohnungen.
- Dekorationsgalerie: Galerie-Attribute für Maximus- und Electro Jack-Statuen modifiziert.
- Colins Erkundung: Quest-Belohnungen modifiziert, Verein"&amp;"fachung der Belohnungsarten bei unverändertem Gesamtwert.")</f>
        <v>- Sackgassen-Prüfungen: Die Schwierigkeit bestimmter Level wurde gesenkt.
- Ausrüstungs-Expedition: Ranglisten-Belohnungen aufgrund der Hinzufügung von Mech-Expedition modifiziert.
- Haltbarkeit der Verteidigungsmauern: Die Brenngeschwindigkeit der Verteidigungsmauern im Clan-Territorium und im zentralen Bereich wurde erhöht, bis zu 100% schneller.
- Straßensperren-Giganto: Die Ranglisten von Straßensperren-Giganto in der Vorherrschaft in der Galaxis sind jetzt serverübergreifend; Triumphmünzen wurden zum Ehrentausch hinzugefügt.
- EHRENMÜNZEN-SHOP: Die wöchentliche Kaufgrenze für Mini-Gentränke (Legendär) wurde geändert; eine Recycling-Funktion für Epische Sternensteine wurde hinzugefügt.
- Schatzsuche: Verbesserte Truhenbelohnungen beim Räumen von U-Bahn-Barricaden; je höher Ihre Forschungs-Boosts bei der Schatzsuche sind, desto besser sind die Belohnungen.
- Dekorationsgalerie: Galerie-Attribute für Maximus- und Electro Jack-Statuen modifiziert.
- Colins Erkundung: Quest-Belohnungen modifiziert, Vereinfachung der Belohnungsarten bei unverändertem Gesamtwert.</v>
      </c>
      <c r="F38" s="108" t="str">
        <f>IFERROR(__xludf.DUMMYFUNCTION("""COMPUTED_VALUE"""),"- Desafios de Impasse: Diminuída a dificuldade de certos níveis.
- Expedição de Equipamentos: Modificadas as recompensas de classificação devido à adição da Expedição Mech.
- Durabilidade das Muralhas de Defesa: Aumentada a velocidade de queima das Muralh"&amp;"as de Defesa no território da Gangue e na área central, até 100% mais rápido.
- Giganto Tranca-rua: As classificações do Giganto Tranca-rua na Supremacia Galáctica agora são pan-servidor; adicionadas Moedas do Triunfo à Troca de Honra.
- Loja de Moedas de"&amp;" Honra: Alterado o limite de compra semanal para Mini Poções de Genes (Lendário); adicionada uma função de reciclagem para Pedras Estelares Épicas.
- Escavação de Tesouros: Melhoradas as recompensas do baú ao limpar barricadas de metrô; quanto maior a pes"&amp;"quisa de bônus da sua Escavação de Tesouros, melhores serão as recompensas.
- Galeria de Decoração: Modificados os atributos da galeria para as estátuas de Maximus e Electro Jack.
- Exploração de Colin: Modificadas as recompensas de missão, simplificando "&amp;"os tipos de recompensa com valor total inalterado.")</f>
        <v>- Desafios de Impasse: Diminuída a dificuldade de certos níveis.
- Expedição de Equipamentos: Modificadas as recompensas de classificação devido à adição da Expedição Mech.
- Durabilidade das Muralhas de Defesa: Aumentada a velocidade de queima das Muralhas de Defesa no território da Gangue e na área central, até 100% mais rápido.
- Giganto Tranca-rua: As classificações do Giganto Tranca-rua na Supremacia Galáctica agora são pan-servidor; adicionadas Moedas do Triunfo à Troca de Honra.
- Loja de Moedas de Honra: Alterado o limite de compra semanal para Mini Poções de Genes (Lendário); adicionada uma função de reciclagem para Pedras Estelares Épicas.
- Escavação de Tesouros: Melhoradas as recompensas do baú ao limpar barricadas de metrô; quanto maior a pesquisa de bônus da sua Escavação de Tesouros, melhores serão as recompensas.
- Galeria de Decoração: Modificados os atributos da galeria para as estátuas de Maximus e Electro Jack.
- Exploração de Colin: Modificadas as recompensas de missão, simplificando os tipos de recompensa com valor total inalterado.</v>
      </c>
      <c r="G38" s="108" t="str">
        <f>IFERROR(__xludf.DUMMYFUNCTION("""COMPUTED_VALUE"""),"-絕地試煉：降低了絕地試煉部分關卡的難度；
-軍備遠征：由於新增機甲遠征，軍備遠征排行榜的獎勵得到了調整；
-城牆耐久度：加快了幫派領土和中心區域的城牆燃燒速度，最高可加快100%；
-攔路巨猿：異星競賽中的攔路巨猿排行榜調整為跨服排行榜，增加異星商店成就幣獎勵；
-榮譽幣商店：調整了迷你傳說基因藥水的每週購買上限；新增紫色提高星級石回收功能；
-地下探寶：提高了通過關卡大門時的寶箱獎勵，地下探寶中科研增益越高，獲得獎勵越高；
-裝飾圖鑑：調整了馬克西姆斯，傑克的雕像圖鑑屬性；
-戰裝：戰裝系統提前至開服"&amp;"22天時解鎖，調整了戰裝相關道具的產出時間；
-科林的探索：調整了本玩法的任務獎勵，精簡獎勵道具類型，總體價值不變。")</f>
        <v>-絕地試煉：降低了絕地試煉部分關卡的難度；
-軍備遠征：由於新增機甲遠征，軍備遠征排行榜的獎勵得到了調整；
-城牆耐久度：加快了幫派領土和中心區域的城牆燃燒速度，最高可加快100%；
-攔路巨猿：異星競賽中的攔路巨猿排行榜調整為跨服排行榜，增加異星商店成就幣獎勵；
-榮譽幣商店：調整了迷你傳說基因藥水的每週購買上限；新增紫色提高星級石回收功能；
-地下探寶：提高了通過關卡大門時的寶箱獎勵，地下探寶中科研增益越高，獲得獎勵越高；
-裝飾圖鑑：調整了馬克西姆斯，傑克的雕像圖鑑屬性；
-戰裝：戰裝系統提前至開服22天時解鎖，調整了戰裝相關道具的產出時間；
-科林的探索：調整了本玩法的任務獎勵，精簡獎勵道具類型，總體價值不變。</v>
      </c>
      <c r="H38" s="108" t="str">
        <f>IFERROR(__xludf.DUMMYFUNCTION("""COMPUTED_VALUE"""),"- Uji Coba Jalan Buntu: Menurunkan kesulitan level tertentu.
- Ekspedisi Gear: Mengubah hadiah peringkat karena penambahan Ekspedisi Mech.
- Durabilitas Tembok Pertahanan: Meningkatkan kecepatan pembakaran Tembok Pertahanan di wilayah Geng dan area pusat,"&amp;" hingga 100% lebih cepat.
- Penghalang Jalan Giganto: Papan peringkat Penghalang Jalan Giganto di Supremasi Galaksi sekarang melibatkan semua server; menambahkan Koin Pencapaian ke Penukaran Kehormatan.
- Toko Koin Kehormatan: Mengubah batas pembelian min"&amp;"gguan untuk Ramuan Gen Mini (Legendaris); menambahkan fungsi daur ulang untuk Batu Bintang Epik.
- Penggalian Harta Karun: Meningkatkan hadiah peti saat membersihkan penghalang subway; semakin tinggi penelitian Penggalian Harta Karun Anda, semakin baik ha"&amp;"diahnya.
- Galeri Dekorasi: Mengubah atribut galeri untuk patung Maximus dan Electro Jack.
- Penjelajahan Colin: Mengubah hadiah tantangan, menyederhanakan jenis hadiah dengan nilai total tidak berubah.")</f>
        <v>- Uji Coba Jalan Buntu: Menurunkan kesulitan level tertentu.
- Ekspedisi Gear: Mengubah hadiah peringkat karena penambahan Ekspedisi Mech.
- Durabilitas Tembok Pertahanan: Meningkatkan kecepatan pembakaran Tembok Pertahanan di wilayah Geng dan area pusat, hingga 100% lebih cepat.
- Penghalang Jalan Giganto: Papan peringkat Penghalang Jalan Giganto di Supremasi Galaksi sekarang melibatkan semua server; menambahkan Koin Pencapaian ke Penukaran Kehormatan.
- Toko Koin Kehormatan: Mengubah batas pembelian mingguan untuk Ramuan Gen Mini (Legendaris); menambahkan fungsi daur ulang untuk Batu Bintang Epik.
- Penggalian Harta Karun: Meningkatkan hadiah peti saat membersihkan penghalang subway; semakin tinggi penelitian Penggalian Harta Karun Anda, semakin baik hadiahnya.
- Galeri Dekorasi: Mengubah atribut galeri untuk patung Maximus dan Electro Jack.
- Penjelajahan Colin: Mengubah hadiah tantangan, menyederhanakan jenis hadiah dengan nilai total tidak berubah.</v>
      </c>
      <c r="I38" s="108" t="str">
        <f>IFERROR(__xludf.DUMMYFUNCTION("""COMPUTED_VALUE"""),"- การทดสอบที่ทางตัน: ลดระดับความยากของบางเลเวล
- การสำรวจอุปกรณ์: ปรับเปลี่ยนรางวัลอันดับเนื่องจากการเพิ่มการสำรวจ Mech
- ความทนทานของกำแพงป้องกัน: เพิ่มความเร็วในการเผาไหม้ของกำแพงป้องกันในอาณาเขตแก๊งและพื้นที่กลาง, สูงสุดถึง 100% มากขึ้น
- กิกันโตขวางเส"&amp;"้นทาง: อันดับผู้นำกิกันโตขวางเส้นทางในความเป็นหนึ่งในกาแล็กซี่เป็นแบบทั่วทั้งเซิร์ฟเวอร์; เพิ่มเหรียญความสำเร็จไปยังการแลกเปลี่ยนเกียรติยศ
- ร้านเหรียญเกียรติยศ: เปลี่ยนแปลงขีดจำกัดการซื้อรายสัปดาห์สำหรับน้ำยายีนขนาดเล็ก (ตำนาน); เพิ่มฟังก์ชันการรีไซเคิลส"&amp;"ำหรับ Epic Star Stones
- การขุดสมบัติ: เพิ่มรางวัลหีบเมื่อล้างกำแพงสิ่งกีดขวางใต้ดิน; การวิจัยการขุดสมบัติที่มากขึ้น, รางวัลที่ได้จะดีขึ้น
- หมวดหมู่การตกแต่ง: ปรับเปลี่ยนคุณสมบัติหมวดหมู่สำหรับรูปปั้น Maximus และ Electro Jack
- การสำรวจของโคลิน: ปรับเปลี"&amp;"่ยนรางวัลเควสต์, ทำให้ประเภทรางวัลเรียบง่ายขึ้นโดยมูลค่ารวมไม่เปลี่ยนแปลง")</f>
        <v>- การทดสอบที่ทางตัน: ลดระดับความยากของบางเลเวล
- การสำรวจอุปกรณ์: ปรับเปลี่ยนรางวัลอันดับเนื่องจากการเพิ่มการสำรวจ Mech
- ความทนทานของกำแพงป้องกัน: เพิ่มความเร็วในการเผาไหม้ของกำแพงป้องกันในอาณาเขตแก๊งและพื้นที่กลาง, สูงสุดถึง 100% มากขึ้น
- กิกันโตขวางเส้นทาง: อันดับผู้นำกิกันโตขวางเส้นทางในความเป็นหนึ่งในกาแล็กซี่เป็นแบบทั่วทั้งเซิร์ฟเวอร์; เพิ่มเหรียญความสำเร็จไปยังการแลกเปลี่ยนเกียรติยศ
- ร้านเหรียญเกียรติยศ: เปลี่ยนแปลงขีดจำกัดการซื้อรายสัปดาห์สำหรับน้ำยายีนขนาดเล็ก (ตำนาน); เพิ่มฟังก์ชันการรีไซเคิลสำหรับ Epic Star Stones
- การขุดสมบัติ: เพิ่มรางวัลหีบเมื่อล้างกำแพงสิ่งกีดขวางใต้ดิน; การวิจัยการขุดสมบัติที่มากขึ้น, รางวัลที่ได้จะดีขึ้น
- หมวดหมู่การตกแต่ง: ปรับเปลี่ยนคุณสมบัติหมวดหมู่สำหรับรูปปั้น Maximus และ Electro Jack
- การสำรวจของโคลิน: ปรับเปลี่ยนรางวัลเควสต์, ทำให้ประเภทรางวัลเรียบง่ายขึ้นโดยมูลค่ารวมไม่เปลี่ยนแปลง</v>
      </c>
      <c r="J38" s="108" t="str">
        <f>IFERROR(__xludf.DUMMYFUNCTION("""COMPUTED_VALUE"""),"- Pruebas de Impasse: Se ha reducido la dificultad de ciertos niveles.
- Expedición de Equipo: Modificadas las recompensas de clasificación debido a la adición de la Expedición Mech.
- Durabilidad de los Muros de Defensa: Aumentó la velocidad de quemado d"&amp;"e los Muros de Defensa en el territorio de la Banda y el área central, hasta un 100% más rápido.
- Gigantopithecus en Barricada: Las clasificaciones de Gigantopithecus en Barricada en la Supremacía Galáctica ahora son pan-servidor; se añadieron Monedas de"&amp;"l Triunfo al Intercambio de Honor.
- Tienda de Monedas de Honor: Cambió el límite de compra semanal para Mini Pociones de Genes (Legendario); se añadió una función de reciclaje para las Piedras Estelares Épicas.
- Excavación de Tesoros: Mejoradas las reco"&amp;"mpensas del cofre al despejar las barricadas del metro; cuanto mayor sean tus potenciadores de investigación de Excavación de Tesoros, mejores serán las recompensas.
- Galería de Decoración: Modificados los atributos de la galería para las estatuas de Max"&amp;"imus y Electro Jack.
- Exploración de Colin: Modificadas las recompensas de las misiones, simplificando los tipos de recompensas con el valor total sin cambios.")</f>
        <v>- Pruebas de Impasse: Se ha reducido la dificultad de ciertos niveles.
- Expedición de Equipo: Modificadas las recompensas de clasificación debido a la adición de la Expedición Mech.
- Durabilidad de los Muros de Defensa: Aumentó la velocidad de quemado de los Muros de Defensa en el territorio de la Banda y el área central, hasta un 100% más rápido.
- Gigantopithecus en Barricada: Las clasificaciones de Gigantopithecus en Barricada en la Supremacía Galáctica ahora son pan-servidor; se añadieron Monedas del Triunfo al Intercambio de Honor.
- Tienda de Monedas de Honor: Cambió el límite de compra semanal para Mini Pociones de Genes (Legendario); se añadió una función de reciclaje para las Piedras Estelares Épicas.
- Excavación de Tesoros: Mejoradas las recompensas del cofre al despejar las barricadas del metro; cuanto mayor sean tus potenciadores de investigación de Excavación de Tesoros, mejores serán las recompensas.
- Galería de Decoración: Modificados los atributos de la galería para las estatuas de Maximus y Electro Jack.
- Exploración de Colin: Modificadas las recompensas de las misiones, simplificando los tipos de recompensas con el valor total sin cambios.</v>
      </c>
      <c r="K38" s="108" t="str">
        <f>IFERROR(__xludf.DUMMYFUNCTION("""COMPUTED_VALUE"""),"- Испытания Тупика: Снижена сложность некоторых уровней.
- Экспедиция за снаряжением: Изменены награды за рейтинг из-за добавления Экспедиции Мехов.
- Прочность защитных стен: Увеличена скорость горения защитных стен на территории банды и в центральной зо"&amp;"не, до 100% быстрее.
- Блокпост Гиганто: Таблицы лидеров Блокпоста Гиганто в Галактическом превосходстве теперь пан-серверные; добавлены монеты триумфа в обмен на честь.
- Магазин монет чести: Изменен еженедельный лимит покупки мини-генных зелий (легендар"&amp;"ные); добавлена функция переработки эпических звездных камней.
- Поиск сокровищ: Улучшены награды сундука при очистке баррикад в метро; чем выше усиления исследований по поиску сокровищ, тем лучше награды.
- Галерея украшений: Изменены показатели галереи "&amp;"для статуй Максимуса и Электро-Джека.
- Исследование Колина: Изменены награды за задания, упрощены типы наград при неизменной общей стоимости.")</f>
        <v>- Испытания Тупика: Снижена сложность некоторых уровней.
- Экспедиция за снаряжением: Изменены награды за рейтинг из-за добавления Экспедиции Мехов.
- Прочность защитных стен: Увеличена скорость горения защитных стен на территории банды и в центральной зоне, до 100% быстрее.
- Блокпост Гиганто: Таблицы лидеров Блокпоста Гиганто в Галактическом превосходстве теперь пан-серверные; добавлены монеты триумфа в обмен на честь.
- Магазин монет чести: Изменен еженедельный лимит покупки мини-генных зелий (легендарные); добавлена функция переработки эпических звездных камней.
- Поиск сокровищ: Улучшены награды сундука при очистке баррикад в метро; чем выше усиления исследований по поиску сокровищ, тем лучше награды.
- Галерея украшений: Изменены показатели галереи для статуй Максимуса и Электро-Джека.
- Исследование Колина: Изменены награды за задания, упрощены типы наград при неизменной общей стоимости.</v>
      </c>
      <c r="L38" s="108" t="str">
        <f>IFERROR(__xludf.DUMMYFUNCTION("""COMPUTED_VALUE"""),"- Çıkmaz Durum Denemeleri: Belirli seviyelerin zorluğunu azalttı.
- Donanım Seferi: Mech Seferi'nin eklenmesi nedeniyle sıralama ödülleri değiştirildi.
- Savunma Duvarları dayanıklılığı: Çete bölgesindeki ve merkezi alandaki Savunma Duvarlarının yanma hız"&amp;"ını artırdı, en fazla %100 daha hızlı.
- Bariyer Giganto: Galaktik Üstünlük'teki Bariyer Giganto liderlik tabloları artık tüm sunuculara açık; Onur Takasına Zafer Paraları eklendi.
- Onur Parası Mağazası: Mini Gen İksirleri (Efsanevi) için haftalık satın "&amp;"alma limitini değiştirdi; Epik Yıldız Taşları için geri dönüşüm fonksiyonu eklendi.
- Hazine Kazı: Metro barikatlarını temizlerken sandık ödülleri güçlendirildi; Hazine Kazı araştırma güçlendirmeleriniz ne kadar yüksek olursa, ödüller o kadar iyi olur.
- "&amp;"Dekorasyon Galerisi: Maximus ve Electro Jack heykelleri için galeri nitelikleri değiştirildi.
- Colin'in Keşfi: Görev ödülleri değiştirildi, toplam değeri değişmeyen ödül türlerini basitleştirdi.")</f>
        <v>- Çıkmaz Durum Denemeleri: Belirli seviyelerin zorluğunu azalttı.
- Donanım Seferi: Mech Seferi'nin eklenmesi nedeniyle sıralama ödülleri değiştirildi.
- Savunma Duvarları dayanıklılığı: Çete bölgesindeki ve merkezi alandaki Savunma Duvarlarının yanma hızını artırdı, en fazla %100 daha hızlı.
- Bariyer Giganto: Galaktik Üstünlük'teki Bariyer Giganto liderlik tabloları artık tüm sunuculara açık; Onur Takasına Zafer Paraları eklendi.
- Onur Parası Mağazası: Mini Gen İksirleri (Efsanevi) için haftalık satın alma limitini değiştirdi; Epik Yıldız Taşları için geri dönüşüm fonksiyonu eklendi.
- Hazine Kazı: Metro barikatlarını temizlerken sandık ödülleri güçlendirildi; Hazine Kazı araştırma güçlendirmeleriniz ne kadar yüksek olursa, ödüller o kadar iyi olur.
- Dekorasyon Galerisi: Maximus ve Electro Jack heykelleri için galeri nitelikleri değiştirildi.
- Colin'in Keşfi: Görev ödülleri değiştirildi, toplam değeri değişmeyen ödül türlerini basitleştirdi.</v>
      </c>
      <c r="M38" s="108" t="str">
        <f>IFERROR(__xludf.DUMMYFUNCTION("""COMPUTED_VALUE"""),"- Thí Luyện Tuyệt Địa: Giảm độ khó của một số cấp độ.
- Cuộc Thám Hiểm Trang Bị: Đã sửa đổi phần thưởng xếp hạng do việc thêm Cuộc Thám Hiểm Cơ Khí.
- Độ bền Tường Phòng Thủ: Tăng tốc độ đốt cháy của Tường Phòng Thủ trong Lãnh Thổ Bang Hội và khu vực trun"&amp;"g tâm, lên đến 100% nhanh hơn.
- Rào Cản Vượn Khổng Lồ: Bảng xếp hạng Rào Cản Vượn Khổng Lồ trong Bá Chủ Ngân Hà giờ đây đã trở thành toàn máy chủ; đã thêm Xu Thành Tích vào Đổi mua Vinh Dự.
- Cửa Hàng Xu Vinh Dự: Đã thay đổi giới hạn mua hàng tuần cho Th"&amp;"uốc Gen Mini (Huyền Thoại); đã thêm chức năng tái chế cho Đá Sao Cực Phẩm.
- Đào Kho Báu: Tăng cường phần thưởng rương khi dọn dẹp rào cản tàu điện ngầm; càng cao nghiên cứu tăng cường Đào Kho Báu của bạn, phần thưởng càng tốt.
- Bộ Sưu Tập Trang Trí: Đã "&amp;"sửa đổi thuộc tính bộ sưu tập cho tượng Maximus và Electro Jack.
- Khám Phá Của Colin: Đã sửa đổi phần thưởng nhiệm vụ, đơn giản hóa loại phần thưởng với tổng giá trị không thay đổi.")</f>
        <v>- Thí Luyện Tuyệt Địa: Giảm độ khó của một số cấp độ.
- Cuộc Thám Hiểm Trang Bị: Đã sửa đổi phần thưởng xếp hạng do việc thêm Cuộc Thám Hiểm Cơ Khí.
- Độ bền Tường Phòng Thủ: Tăng tốc độ đốt cháy của Tường Phòng Thủ trong Lãnh Thổ Bang Hội và khu vực trung tâm, lên đến 100% nhanh hơn.
- Rào Cản Vượn Khổng Lồ: Bảng xếp hạng Rào Cản Vượn Khổng Lồ trong Bá Chủ Ngân Hà giờ đây đã trở thành toàn máy chủ; đã thêm Xu Thành Tích vào Đổi mua Vinh Dự.
- Cửa Hàng Xu Vinh Dự: Đã thay đổi giới hạn mua hàng tuần cho Thuốc Gen Mini (Huyền Thoại); đã thêm chức năng tái chế cho Đá Sao Cực Phẩm.
- Đào Kho Báu: Tăng cường phần thưởng rương khi dọn dẹp rào cản tàu điện ngầm; càng cao nghiên cứu tăng cường Đào Kho Báu của bạn, phần thưởng càng tốt.
- Bộ Sưu Tập Trang Trí: Đã sửa đổi thuộc tính bộ sưu tập cho tượng Maximus và Electro Jack.
- Khám Phá Của Colin: Đã sửa đổi phần thưởng nhiệm vụ, đơn giản hóa loại phần thưởng với tổng giá trị không thay đổi.</v>
      </c>
      <c r="N38" s="108" t="str">
        <f>IFERROR(__xludf.DUMMYFUNCTION("""COMPUTED_VALUE"""),"- Prove dell'Impasse: Abbassata la difficoltà di certi livelli.
- Spedizione Equipaggiamento: Modificate le ricompense di classifica a causa dell'aggiunta della Spedizione Mech.
- Durabilità delle Mura Difensive: Aumentata la velocità di combustione delle"&amp;" Mura Difensive nel territorio della Gang e nell'area centrale, fino al 100% più veloce.
- Gigagorilla ostruttore: Le classifiche del Gigagorilla ostruttore nella Supremazia Galattica sono ora pan-server; aggiunte Monete del Trionfo allo Scambio d'Onore.
"&amp;"- Negozio Monete Onore: Modificato il limite di acquisto settimanale per le Mini Pozioni Geniche (Leggendarie); aggiunta una funzione di riciclaggio per le Pietre Stellari Epiche.
- Scavo del Tesoro: Migliorate le ricompense della cassa quando si eliminan"&amp;"o le barricate della metropolitana; più alti sono i tuoi bonus di ricerca per lo Scavo del Tesoro, migliori saranno le ricompense.
- Galleria Decorazioni: Modificati gli attributi di galleria per le statue di Maximus ed Electro Jack.
- Esplorazione di Col"&amp;"in: Modificate le ricompense delle missioni, semplificando i tipi di ricompense con valore totale invariato.")</f>
        <v>- Prove dell'Impasse: Abbassata la difficoltà di certi livelli.
- Spedizione Equipaggiamento: Modificate le ricompense di classifica a causa dell'aggiunta della Spedizione Mech.
- Durabilità delle Mura Difensive: Aumentata la velocità di combustione delle Mura Difensive nel territorio della Gang e nell'area centrale, fino al 100% più veloce.
- Gigagorilla ostruttore: Le classifiche del Gigagorilla ostruttore nella Supremazia Galattica sono ora pan-server; aggiunte Monete del Trionfo allo Scambio d'Onore.
- Negozio Monete Onore: Modificato il limite di acquisto settimanale per le Mini Pozioni Geniche (Leggendarie); aggiunta una funzione di riciclaggio per le Pietre Stellari Epiche.
- Scavo del Tesoro: Migliorate le ricompense della cassa quando si eliminano le barricate della metropolitana; più alti sono i tuoi bonus di ricerca per lo Scavo del Tesoro, migliori saranno le ricompense.
- Galleria Decorazioni: Modificati gli attributi di galleria per le statue di Maximus ed Electro Jack.
- Esplorazione di Colin: Modificate le ricompense delle missioni, semplificando i tipi di ricompense con valore totale invariato.</v>
      </c>
      <c r="O38" s="108" t="str">
        <f>IFERROR(__xludf.DUMMYFUNCTION("""COMPUTED_VALUE"""),"- Próby Impasu: Obniżono poziom trudności niektórych poziomów.
- Wyprawa Sprzętowa: Zmodyfikowano nagrody za ranking z powodu dodania Wyprawy Mech.
- Wytrzymałość murów obronnych: Zwiększono prędkość niszczenia murów obronnych na terytorium Gangu i w cent"&amp;"ralnym obszarze, nawet do 100% szybciej.
- Blokada drogowa Gigamałpy: Tabele wyników Blokady drogowej Gigamałpy w Władzy nad Galaktyką są teraz dostępne dla wszystkich serwerów; dodano Monety triumfalne do Wymiany honorowej.
- Sklep na Monety Honorowe: Zm"&amp;"ieniono tygodniowy limit zakupu dla Mini Eliksirów genowych (Legendarny); dodano funkcję recyklingu dla Epickich Kamieni Gwiazd.
- Wykopalisko Skarbów: Ulepszono nagrody ze skrzyni po usunięciu barykad metra; im wyższe są twoje wzmocnienia badania Wykopal"&amp;"iska Skarbów, tym lepsze nagrody.
- Galeria Dekoracji: Zmodyfikowano atrybuty galerii dla statuł Maximusa i Electro Jacka.
- Eksploracja Colina: Zmodyfikowano nagrody za zadanie, upraszczając typy nagród przy niezmienionej łącznej wartości.")</f>
        <v>- Próby Impasu: Obniżono poziom trudności niektórych poziomów.
- Wyprawa Sprzętowa: Zmodyfikowano nagrody za ranking z powodu dodania Wyprawy Mech.
- Wytrzymałość murów obronnych: Zwiększono prędkość niszczenia murów obronnych na terytorium Gangu i w centralnym obszarze, nawet do 100% szybciej.
- Blokada drogowa Gigamałpy: Tabele wyników Blokady drogowej Gigamałpy w Władzy nad Galaktyką są teraz dostępne dla wszystkich serwerów; dodano Monety triumfalne do Wymiany honorowej.
- Sklep na Monety Honorowe: Zmieniono tygodniowy limit zakupu dla Mini Eliksirów genowych (Legendarny); dodano funkcję recyklingu dla Epickich Kamieni Gwiazd.
- Wykopalisko Skarbów: Ulepszono nagrody ze skrzyni po usunięciu barykad metra; im wyższe są twoje wzmocnienia badania Wykopaliska Skarbów, tym lepsze nagrody.
- Galeria Dekoracji: Zmodyfikowano atrybuty galerii dla statuł Maximusa i Electro Jacka.
- Eksploracja Colina: Zmodyfikowano nagrody za zadanie, upraszczając typy nagród przy niezmienionej łącznej wartości.</v>
      </c>
      <c r="P38" s="108" t="str">
        <f>IFERROR(__xludf.DUMMYFUNCTION("""COMPUTED_VALUE"""),"- زنزانة الطريق المسدود: خفضت صعوبة بعض المستويات.
- بعثة العتاد: تم تعديل جوائز التصنيف بسبب إضافة بعثة الميكا.
- متانة جدران الدفاع: زيادة سرعة الحرق لجدران الدفاع في إقليم العصابة والمنطقة المركزية، بما يصل إلى 100% أسرع.
- القرد العملاق حاجز الطريق: ت"&amp;"صبح لوحات القيادة للقرد العملاق حاجز الطريق في سيادة المجرة الآن عبر الخادم؛ تمت إضافة عملات الانتصار إلى مقايضات المجد.
- متجر عملات الشرف: تغيير الحد الأسبوعي للشراء لجرعات الجينات الصغيرة (أسطوري)؛ تمت إضافة وظيفة إعادة التدوير لأحجار النجم الملحمية.
-"&amp;" حفر الكنز: تعزيز جوائز الصندوق عند مسح حواجز المترو؛ كلما كانت تعزيزات بحثك في حفر الكنز أعلى، كانت الجوائز أفضل.
- معرض الزينة: تم تعديل خصائص المعرض لتماثيل مكسيموس وإلكترو جاك.
- استكشاف كولن: تم تعديل جوائز المهمة، مع تبسيط أنواع الجوائز مع الحفاظ عل"&amp;"ى القيمة الإجمالية كما هي.")</f>
        <v>- زنزانة الطريق المسدود: خفضت صعوبة بعض المستويات.
- بعثة العتاد: تم تعديل جوائز التصنيف بسبب إضافة بعثة الميكا.
- متانة جدران الدفاع: زيادة سرعة الحرق لجدران الدفاع في إقليم العصابة والمنطقة المركزية، بما يصل إلى 100% أسرع.
- القرد العملاق حاجز الطريق: تصبح لوحات القيادة للقرد العملاق حاجز الطريق في سيادة المجرة الآن عبر الخادم؛ تمت إضافة عملات الانتصار إلى مقايضات المجد.
- متجر عملات الشرف: تغيير الحد الأسبوعي للشراء لجرعات الجينات الصغيرة (أسطوري)؛ تمت إضافة وظيفة إعادة التدوير لأحجار النجم الملحمية.
- حفر الكنز: تعزيز جوائز الصندوق عند مسح حواجز المترو؛ كلما كانت تعزيزات بحثك في حفر الكنز أعلى، كانت الجوائز أفضل.
- معرض الزينة: تم تعديل خصائص المعرض لتماثيل مكسيموس وإلكترو جاك.
- استكشاف كولن: تم تعديل جوائز المهمة، مع تبسيط أنواع الجوائز مع الحفاظ على القيمة الإجمالية كما هي.</v>
      </c>
      <c r="Q38" s="108"/>
      <c r="R38" s="108"/>
      <c r="S38" s="108"/>
      <c r="T38" s="108"/>
      <c r="U38" s="108"/>
      <c r="V38" s="108"/>
      <c r="W38" s="108"/>
      <c r="X38" s="108"/>
      <c r="Y38" s="108"/>
      <c r="Z38" s="108"/>
    </row>
    <row r="39">
      <c r="A39" s="108" t="str">
        <f>IFERROR(__xludf.DUMMYFUNCTION("""COMPUTED_VALUE"""),"0.56.0")</f>
        <v>0.56.0</v>
      </c>
      <c r="B39" s="108" t="str">
        <f>IFERROR(__xludf.DUMMYFUNCTION("""COMPUTED_VALUE"""),"--机甲：增加地图野怪中机甲经验的产出。
--机甲：机甲自由属性点调整为每次升级时增加。
--机甲：全面增强犀牛机甲、金刚机甲的基础属性，使机甲能在指挥官的战斗中发挥更强力的作用。
--斗士：加强以下斗士在低等级时的技能数值：德里克、卡尔、哈迪、比尔、塔西娅、博伊斯。
--斗士：奥斯卡的技能和天赋调整优化
--战装：战装在打造和洗炼中，有用的属性出现的概率增加。
--野怪：野外怪物难度数值调整。
--科研：新增可提升行动力上限的研究，替换民用科技中的“中级负重科研”。
--科林的探索：提升低等级时的奖励产"&amp;"出。
--商店：VIP商店、军功商店新增商品-机甲重置器，银河商店新增商品-纳米材料，氏族商店新增商品-猿晶燃料道具。")</f>
        <v>--机甲：增加地图野怪中机甲经验的产出。
--机甲：机甲自由属性点调整为每次升级时增加。
--机甲：全面增强犀牛机甲、金刚机甲的基础属性，使机甲能在指挥官的战斗中发挥更强力的作用。
--斗士：加强以下斗士在低等级时的技能数值：德里克、卡尔、哈迪、比尔、塔西娅、博伊斯。
--斗士：奥斯卡的技能和天赋调整优化
--战装：战装在打造和洗炼中，有用的属性出现的概率增加。
--野怪：野外怪物难度数值调整。
--科研：新增可提升行动力上限的研究，替换民用科技中的“中级负重科研”。
--科林的探索：提升低等级时的奖励产出。
--商店：VIP商店、军功商店新增商品-机甲重置器，银河商店新增商品-纳米材料，氏族商店新增商品-猿晶燃料道具。</v>
      </c>
      <c r="C39" s="169" t="str">
        <f>IFERROR(__xludf.DUMMYFUNCTION("""COMPUTED_VALUE"""),"- Mechs: increased mech exp rewarded by NPCs on the map.
- Mechs: attribute points are now added when they upgrade.
- Mechs: total enhancement of Rhino and Primatus' base stats so they could play a more pivotal role in battle.
- Fighters: improved the ski"&amp;"ll stats of the following Fighters at lower levels: Derrick, Cal, Hardy, Bill, Tassia, and Boyce.
- Fighter: Optimizes the skills and talents of Oscar.
- Equipment: improved the chance of useful attributes appearing when assembling or refining equipments."&amp;"
- NPCs: changed the stats and difficulty of NPCs on the map.
- Research: added new research to raise the AP cap; replaced the ""Load-Carrying Ⅰ"" technology in Civil Research.
- Colin's Exploration: enhanced the rewards granted in lower levels.
- Shops: "&amp;"new item - Mech Resetter - added to VIP and Honors Shop; Nanomaterials added to Planetary Shop; Ape Crystal Fuel added to Clan Shop.")</f>
        <v>- Mechs: increased mech exp rewarded by NPCs on the map.
- Mechs: attribute points are now added when they upgrade.
- Mechs: total enhancement of Rhino and Primatus' base stats so they could play a more pivotal role in battle.
- Fighters: improved the skill stats of the following Fighters at lower levels: Derrick, Cal, Hardy, Bill, Tassia, and Boyce.
- Fighter: Optimizes the skills and talents of Oscar.
- Equipment: improved the chance of useful attributes appearing when assembling or refining equipments.
- NPCs: changed the stats and difficulty of NPCs on the map.
- Research: added new research to raise the AP cap; replaced the "Load-Carrying Ⅰ" technology in Civil Research.
- Colin's Exploration: enhanced the rewards granted in lower levels.
- Shops: new item - Mech Resetter - added to VIP and Honors Shop; Nanomaterials added to Planetary Shop; Ape Crystal Fuel added to Clan Shop.</v>
      </c>
      <c r="D39" s="108" t="str">
        <f>IFERROR(__xludf.DUMMYFUNCTION("""COMPUTED_VALUE"""),"- Méchas : augmentation de l'expérience de mécha récompensée par les PNJ sur la carte.
- Méchas : des points d'attribut sont désormais ajoutés lorsqu'ils sont améliorés.
- Méchas : amélioration totale des statistiques de base de Rhino et Primatus afin qu'"&amp;"ils puissent jouer un rôle plus pivot dans la bataille.
- Combattants : amélioration des statistiques de compétence des combattants suivants à des niveaux inférieurs : Derrick, Cal, Hardy, Bill, Tassia et Boyce.
- Combattant : Optimise les compétences et "&amp;"talents d'Oscar.
- Équipement : amélioration de la chance d'apparition d'attributs utiles lors de l'assemblage ou du raffinage des équipements.
- PNJ : modification des statistiques et de la difficulté des PNJ sur la carte.
- Recherche : ajout de nouvelle"&amp;"s recherches pour augmenter le plafond des PA ; remplacement de la technologie ""Transport de charges Ⅰ"" dans la recherche civile.
- L'exploration de Colin : amélioration des récompenses accordées aux niveaux inférieurs.
- Boutiques : nouvel objet - Réin"&amp;"itialisateur Mécha - ajouté à la boutique VIP et Honneurs ; Nanomatériaux ajoutés à la Boutique planétaire ; Carburant de Cristal Primate ajouté à la Boutique du Clan.")</f>
        <v>- Méchas : augmentation de l'expérience de mécha récompensée par les PNJ sur la carte.
- Méchas : des points d'attribut sont désormais ajoutés lorsqu'ils sont améliorés.
- Méchas : amélioration totale des statistiques de base de Rhino et Primatus afin qu'ils puissent jouer un rôle plus pivot dans la bataille.
- Combattants : amélioration des statistiques de compétence des combattants suivants à des niveaux inférieurs : Derrick, Cal, Hardy, Bill, Tassia et Boyce.
- Combattant : Optimise les compétences et talents d'Oscar.
- Équipement : amélioration de la chance d'apparition d'attributs utiles lors de l'assemblage ou du raffinage des équipements.
- PNJ : modification des statistiques et de la difficulté des PNJ sur la carte.
- Recherche : ajout de nouvelles recherches pour augmenter le plafond des PA ; remplacement de la technologie "Transport de charges Ⅰ" dans la recherche civile.
- L'exploration de Colin : amélioration des récompenses accordées aux niveaux inférieurs.
- Boutiques : nouvel objet - Réinitialisateur Mécha - ajouté à la boutique VIP et Honneurs ; Nanomatériaux ajoutés à la Boutique planétaire ; Carburant de Cristal Primate ajouté à la Boutique du Clan.</v>
      </c>
      <c r="E39" s="108" t="str">
        <f>IFERROR(__xludf.DUMMYFUNCTION("""COMPUTED_VALUE"""),"- Mechs: Erhöhte Mech-EP, die von NPCs auf der Karte belohnt werden.
- Mechs: Attributspunkte werden jetzt hinzugefügt, wenn sie aufgewertet werden.
- Mechs: Gesamtverbesserung der Basiswerte von Rhino und Primatus, damit sie eine entscheidendere Rolle im"&amp;" Kampf spielen können.
- Kämpfer: Verbesserte die Fähigkeitswerte der folgenden Kämpfer auf niedrigeren Leveln: Derrick, Cal, Hardy, Bill, Tassia und Boyce.
- Kämpfer: Optimiert die Fähigkeiten und Talente von Oscar.
- Ausrüstung: Verbesserte die Chance, "&amp;"dass nützliche Attribute beim Zusammenbauen oder Verfeinern von Ausrüstungen auftauchen.
- NPCs: Änderte die Werte und Schwierigkeit der NPCs auf der Karte.
- Forschung: Hinzugefügt neue Forschung, um das AP-Limit zu erhöhen; ersetzte die Technologie ""Tr"&amp;"agkraft Ⅰ"" in der zivilen Forschung.
- Colins Erkundung: Verbesserte die Belohnungen auf niedrigeren Leveln.
- Läden: Neuer Artikel - Mech-Resetter - hinzugefügt zum VIP- und Ehrenladen; Nanomaterialien zum Planetenshop hinzugefügt; Affenkristall-Treibst"&amp;"off zum Clan-Shop hinzugefügt.")</f>
        <v>- Mechs: Erhöhte Mech-EP, die von NPCs auf der Karte belohnt werden.
- Mechs: Attributspunkte werden jetzt hinzugefügt, wenn sie aufgewertet werden.
- Mechs: Gesamtverbesserung der Basiswerte von Rhino und Primatus, damit sie eine entscheidendere Rolle im Kampf spielen können.
- Kämpfer: Verbesserte die Fähigkeitswerte der folgenden Kämpfer auf niedrigeren Leveln: Derrick, Cal, Hardy, Bill, Tassia und Boyce.
- Kämpfer: Optimiert die Fähigkeiten und Talente von Oscar.
- Ausrüstung: Verbesserte die Chance, dass nützliche Attribute beim Zusammenbauen oder Verfeinern von Ausrüstungen auftauchen.
- NPCs: Änderte die Werte und Schwierigkeit der NPCs auf der Karte.
- Forschung: Hinzugefügt neue Forschung, um das AP-Limit zu erhöhen; ersetzte die Technologie "Tragkraft Ⅰ" in der zivilen Forschung.
- Colins Erkundung: Verbesserte die Belohnungen auf niedrigeren Leveln.
- Läden: Neuer Artikel - Mech-Resetter - hinzugefügt zum VIP- und Ehrenladen; Nanomaterialien zum Planetenshop hinzugefügt; Affenkristall-Treibstoff zum Clan-Shop hinzugefügt.</v>
      </c>
      <c r="F39" s="108" t="str">
        <f>IFERROR(__xludf.DUMMYFUNCTION("""COMPUTED_VALUE"""),"- Mechs: aumento da experiência de mech recompensada por NPCs no mapa.
- Mechs: pontos de atributo são agora adicionados quando eles são atualizados.
- Mechs: melhoria total das estatísticas base de Rhino e Primatus para que eles possam desempenhar um pap"&amp;"el mais crucial na batalha.
- Combatentes: melhorou as estatísticas de habilidades dos seguintes combatentes em níveis mais baixos: Derrick, Cal, Hardy, Bill, Tassia e Boyce.
- Combatente: Otimiza as habilidades e talentos de Oscar.
- Equipamento: melhoro"&amp;"u a chance de aparecerem atributos úteis ao montar ou refinar equipamentos.
- NPCs: alterou as estatísticas e a dificuldade dos NPCs no mapa.
- Pesquisa: adicionou nova pesquisa para aumentar o limite de AP; substituiu a tecnologia ""Carregamento Ⅰ"" na P"&amp;"esquisa Civil.
- Exploração de Colin: melhorou as recompensas concedidas em níveis mais baixos.
- Lojas: novo item - Redefinir Mech - adicionado à Loja VIP e Honras; Nanomateriais adicionados à Loja Planetária; Combustível de Cristal Símio adicionado à Lo"&amp;"ja do Clã.")</f>
        <v>- Mechs: aumento da experiência de mech recompensada por NPCs no mapa.
- Mechs: pontos de atributo são agora adicionados quando eles são atualizados.
- Mechs: melhoria total das estatísticas base de Rhino e Primatus para que eles possam desempenhar um papel mais crucial na batalha.
- Combatentes: melhorou as estatísticas de habilidades dos seguintes combatentes em níveis mais baixos: Derrick, Cal, Hardy, Bill, Tassia e Boyce.
- Combatente: Otimiza as habilidades e talentos de Oscar.
- Equipamento: melhorou a chance de aparecerem atributos úteis ao montar ou refinar equipamentos.
- NPCs: alterou as estatísticas e a dificuldade dos NPCs no mapa.
- Pesquisa: adicionou nova pesquisa para aumentar o limite de AP; substituiu a tecnologia "Carregamento Ⅰ" na Pesquisa Civil.
- Exploração de Colin: melhorou as recompensas concedidas em níveis mais baixos.
- Lojas: novo item - Redefinir Mech - adicionado à Loja VIP e Honras; Nanomateriais adicionados à Loja Planetária; Combustível de Cristal Símio adicionado à Loja do Clã.</v>
      </c>
      <c r="G39" s="108" t="str">
        <f>IFERROR(__xludf.DUMMYFUNCTION("""COMPUTED_VALUE"""),"--機甲：增加地圖野怪中機甲經驗的產出。
--機甲：機甲自由屬性點調整為每次升級時增加。
--機甲：全面增強犀牛機甲、金剛機甲的基礎屬性，使機甲能在指揮官的戰鬥中發揮更強力的作用。
--鬥士：加強以下鬥士在低等級時的技能數值：德里克、卡爾、哈迪、比爾、塔西婭、博伊斯。
--鬥士：奧斯卡的技能和天賦調整優化。
--戰裝：戰裝在打造和洗煉中，有用的屬性出現的機率增加。
--野怪：野外怪物難度數值調整。
--科研：新增可提升行動力上限的研究，替換民用科技中的“中級負載科研”。
--科林的探索：提升低等級時的獎勵"&amp;"產出。
--商店：VIP商店、軍功商店新增商品-機甲重置器，銀河商店新增商品-納米材料，氏族商店新增商品-猿晶燃料道具。")</f>
        <v>--機甲：增加地圖野怪中機甲經驗的產出。
--機甲：機甲自由屬性點調整為每次升級時增加。
--機甲：全面增強犀牛機甲、金剛機甲的基礎屬性，使機甲能在指揮官的戰鬥中發揮更強力的作用。
--鬥士：加強以下鬥士在低等級時的技能數值：德里克、卡爾、哈迪、比爾、塔西婭、博伊斯。
--鬥士：奧斯卡的技能和天賦調整優化。
--戰裝：戰裝在打造和洗煉中，有用的屬性出現的機率增加。
--野怪：野外怪物難度數值調整。
--科研：新增可提升行動力上限的研究，替換民用科技中的“中級負載科研”。
--科林的探索：提升低等級時的獎勵產出。
--商店：VIP商店、軍功商店新增商品-機甲重置器，銀河商店新增商品-納米材料，氏族商店新增商品-猿晶燃料道具。</v>
      </c>
      <c r="H39" s="108" t="str">
        <f>IFERROR(__xludf.DUMMYFUNCTION("""COMPUTED_VALUE"""),"- Mekanik: peningkatan exp mekanik yang diberikan oleh NPC di peta.
- Mekanik: poin atribut sekarang ditambahkan saat mereka ditingkatkan.
- Mekanik: peningkatan total statistik dasar Rhino dan Primatus sehingga mereka dapat memainkan peran yang lebih pen"&amp;"ting dalam pertempuran.
- Pejuang: meningkatkan statistik skill dari Pejuang berikut pada level yang lebih rendah: Derrick, Cal, Hardy, Bill, Tassia, dan Boyce.
- Pejuang: Mengoptimalkan keahlian dan bakat Oscar.
- Perlengkapan: meningkatkan peluang atrib"&amp;"ut yang berguna muncul saat merakit atau menyempurnakan perlengkapan.
- NPC: mengubah statistik dan kesulitan NPC di peta.
- Penelitian: menambahkan penelitian baru untuk meningkatkan batas AP; mengganti teknologi ""Pengangkutan Muatan Ⅰ"" dalam Penelitia"&amp;"n Sipil.
- Penjelajahan Colin: meningkatkan hadiah yang diberikan di level yang lebih rendah.
- Toko: item baru - Pengatur Ulang Mecha - ditambahkan ke Toko VIP dan Kehormatan; Material nano ditambahkan ke Toko Planet; Bahan Bakar Kristal Kera ditambahkan"&amp;" ke Toko Klan.")</f>
        <v>- Mekanik: peningkatan exp mekanik yang diberikan oleh NPC di peta.
- Mekanik: poin atribut sekarang ditambahkan saat mereka ditingkatkan.
- Mekanik: peningkatan total statistik dasar Rhino dan Primatus sehingga mereka dapat memainkan peran yang lebih penting dalam pertempuran.
- Pejuang: meningkatkan statistik skill dari Pejuang berikut pada level yang lebih rendah: Derrick, Cal, Hardy, Bill, Tassia, dan Boyce.
- Pejuang: Mengoptimalkan keahlian dan bakat Oscar.
- Perlengkapan: meningkatkan peluang atribut yang berguna muncul saat merakit atau menyempurnakan perlengkapan.
- NPC: mengubah statistik dan kesulitan NPC di peta.
- Penelitian: menambahkan penelitian baru untuk meningkatkan batas AP; mengganti teknologi "Pengangkutan Muatan Ⅰ" dalam Penelitian Sipil.
- Penjelajahan Colin: meningkatkan hadiah yang diberikan di level yang lebih rendah.
- Toko: item baru - Pengatur Ulang Mecha - ditambahkan ke Toko VIP dan Kehormatan; Material nano ditambahkan ke Toko Planet; Bahan Bakar Kristal Kera ditambahkan ke Toko Klan.</v>
      </c>
      <c r="I39" s="108" t="str">
        <f>IFERROR(__xludf.DUMMYFUNCTION("""COMPUTED_VALUE"""),"- เมค: เพิ่มค่าประสบการณ์เมคที่ได้รับจาก NPC บนแผนที่
- เมค: คะแนนคุณสมบัติเพิ่มขึ้นเมื่อพวกเขาอัปเกรด
- เมค: การเพิ่มค่าพื้นฐานทั้งหมดของ Rhino และ Primatus ทำให้พวกเขาสามารถทำหน้าที่สำคัญมากขึ้นในการต่อสู้
- นักสู้: ปรับปรุงสถิติทักษะของนักสู้ต่อไปนี้ใน"&amp;"ระดับที่ต่ำลง: เดอร์ริก, แคล, ฮาร์ดี้, บิล, ทัสเซีย, และบอยซ์
- นักสู้: ปรับปรุงทักษะและความสามารถของออสการ์
- อุปกรณ์: ปรับปรุงโอกาสในการปรากฏคุณสมบัติที่มีประโยชน์เมื่อประกอบหรือบริพันอุปกรณ์
- NPC: เปลี่ยนสถิติและระดับความยากของ NPC บนแผนที่
- วิจัย: เ"&amp;"พิ่มวิจัยใหม่เพื่อเพิ่มขีดจำกัด AP; แทนที่เทคโนโลยี ""พิกัดการบรรทุก Ⅰ"" ในวิจัยทางพลเมือง
- การสำรวจของโคลิน: เพิ่มรางวัลที่ได้รับในระดับที่ต่ำลง
- ร้านค้า: สินค้าใหม่ - เมครีเซ็ตเตอร์ - เพิ่มเข้าไปในร้าน VIP และร้านเกียรติยศ; วัสดุนาโนเพิ่มเข้าไปในร้านด"&amp;"าวเคราะห์; เชื้อเพลิงคริสตัลวานรเพิ่มเข้าไปในร้านฝูง")</f>
        <v>- เมค: เพิ่มค่าประสบการณ์เมคที่ได้รับจาก NPC บนแผนที่
- เมค: คะแนนคุณสมบัติเพิ่มขึ้นเมื่อพวกเขาอัปเกรด
- เมค: การเพิ่มค่าพื้นฐานทั้งหมดของ Rhino และ Primatus ทำให้พวกเขาสามารถทำหน้าที่สำคัญมากขึ้นในการต่อสู้
- นักสู้: ปรับปรุงสถิติทักษะของนักสู้ต่อไปนี้ในระดับที่ต่ำลง: เดอร์ริก, แคล, ฮาร์ดี้, บิล, ทัสเซีย, และบอยซ์
- นักสู้: ปรับปรุงทักษะและความสามารถของออสการ์
- อุปกรณ์: ปรับปรุงโอกาสในการปรากฏคุณสมบัติที่มีประโยชน์เมื่อประกอบหรือบริพันอุปกรณ์
- NPC: เปลี่ยนสถิติและระดับความยากของ NPC บนแผนที่
- วิจัย: เพิ่มวิจัยใหม่เพื่อเพิ่มขีดจำกัด AP; แทนที่เทคโนโลยี "พิกัดการบรรทุก Ⅰ" ในวิจัยทางพลเมือง
- การสำรวจของโคลิน: เพิ่มรางวัลที่ได้รับในระดับที่ต่ำลง
- ร้านค้า: สินค้าใหม่ - เมครีเซ็ตเตอร์ - เพิ่มเข้าไปในร้าน VIP และร้านเกียรติยศ; วัสดุนาโนเพิ่มเข้าไปในร้านดาวเคราะห์; เชื้อเพลิงคริสตัลวานรเพิ่มเข้าไปในร้านฝูง</v>
      </c>
      <c r="J39" s="108" t="str">
        <f>IFERROR(__xludf.DUMMYFUNCTION("""COMPUTED_VALUE"""),"- Mechs: aumento de la experiencia de mech otorgada por los NPCs en el mapa.
- Mechs: ahora se agregan puntos de atributo cuando se actualizan.
- Mechs: mejora total de las estadísticas base de Rhino y Primatus para que puedan desempeñar un papel más cruc"&amp;"ial en la batalla.
- Luchadores: mejoradas las estadísticas de habilidades de los siguientes luchadores en niveles inferiores: Derrick, Cal, Hardy, Bill, Tassia y Boyce.
- Luchador: Optimiza las habilidades y talentos de Óscar.
- Equipo: mejorada la proba"&amp;"bilidad de que aparezcan atributos útiles al ensamblar o refinar equipos.
- NPCs: cambiadas las estadísticas y la dificultad de los NPCs en el mapa.
- Investigación: se agregó nueva investigación para aumentar el límite de PA; se reemplazó la tecnología "&amp;"""Capacidad de Carga I"" en Investigación Civil.
- Exploración de Colin: mejoradas las recompensas otorgadas en niveles inferiores.
- Tiendas: nuevo artículo - Reiniciador de Meca - agregado a la Tienda VIP y de Honores; Nanomateriales agregados a la Tien"&amp;"da Planetaria; Combustible de Cristal Simio agregado a la Tienda del Clan.")</f>
        <v>- Mechs: aumento de la experiencia de mech otorgada por los NPCs en el mapa.
- Mechs: ahora se agregan puntos de atributo cuando se actualizan.
- Mechs: mejora total de las estadísticas base de Rhino y Primatus para que puedan desempeñar un papel más crucial en la batalla.
- Luchadores: mejoradas las estadísticas de habilidades de los siguientes luchadores en niveles inferiores: Derrick, Cal, Hardy, Bill, Tassia y Boyce.
- Luchador: Optimiza las habilidades y talentos de Óscar.
- Equipo: mejorada la probabilidad de que aparezcan atributos útiles al ensamblar o refinar equipos.
- NPCs: cambiadas las estadísticas y la dificultad de los NPCs en el mapa.
- Investigación: se agregó nueva investigación para aumentar el límite de PA; se reemplazó la tecnología "Capacidad de Carga I" en Investigación Civil.
- Exploración de Colin: mejoradas las recompensas otorgadas en niveles inferiores.
- Tiendas: nuevo artículo - Reiniciador de Meca - agregado a la Tienda VIP y de Honores; Nanomateriales agregados a la Tienda Planetaria; Combustible de Cristal Simio agregado a la Tienda del Clan.</v>
      </c>
      <c r="K39" s="108" t="str">
        <f>IFERROR(__xludf.DUMMYFUNCTION("""COMPUTED_VALUE"""),"- Мехи: увеличен опыт мехов, получаемый от NPC на карте.
- Мехи: теперь при повышении уровня добавляются очки атрибутов.
- Мехи: общее усиление базовых характеристик Rhino и Primatus, чтобы они могли играть более важную роль в бою.
- Герои: улучшены харак"&amp;"теристики навыков следующих героев на низких уровнях: Деррек, Кэл, Крепыш, Билл, Тассия и Бойс.
- Герой: Оптимизирует навыки и таланты Оскара.
- Снаряжение: улучшен шанс появления полезных атрибутов при сборке или улучшении снаряжения.
- NPC: изменены хар"&amp;"актеристики и сложность NPC на карте.
- Исследование: добавлено новое исследование для увеличения лимита ОД; заменена технология ""Переноска грузов Ⅰ"" в гражданском исследовании.
- Исследование Колина: улучшены награды на низких уровнях.
- Магазины: новы"&amp;"й предмет - Мех-Сброситель - добавлен в VIP и Магазин Чести; Наноматериалы добавлены в Магазин планеты; Обезьяний кристаллический топливо добавлено в Клановый магазин.")</f>
        <v>- Мехи: увеличен опыт мехов, получаемый от NPC на карте.
- Мехи: теперь при повышении уровня добавляются очки атрибутов.
- Мехи: общее усиление базовых характеристик Rhino и Primatus, чтобы они могли играть более важную роль в бою.
- Герои: улучшены характеристики навыков следующих героев на низких уровнях: Деррек, Кэл, Крепыш, Билл, Тассия и Бойс.
- Герой: Оптимизирует навыки и таланты Оскара.
- Снаряжение: улучшен шанс появления полезных атрибутов при сборке или улучшении снаряжения.
- NPC: изменены характеристики и сложность NPC на карте.
- Исследование: добавлено новое исследование для увеличения лимита ОД; заменена технология "Переноска грузов Ⅰ" в гражданском исследовании.
- Исследование Колина: улучшены награды на низких уровнях.
- Магазины: новый предмет - Мех-Сброситель - добавлен в VIP и Магазин Чести; Наноматериалы добавлены в Магазин планеты; Обезьяний кристаллический топливо добавлено в Клановый магазин.</v>
      </c>
      <c r="L39" s="108" t="str">
        <f>IFERROR(__xludf.DUMMYFUNCTION("""COMPUTED_VALUE"""),"- Mekalar: Haritadaki NPC'ler tarafından verilen meka deneyimi arttı.
- Mekalar: Artık yükseltildiklerinde nitelik puanları ekleniyor.
- Mekalar: Rhino ve Primatus'un temel istatistiklerinin toplamını artırarak savaşta daha belirleyici bir rol oynamaların"&amp;"ı sağladı.
- Savaşçılar: Aşağıdaki Savaşçıların düşük seviyelerdeki beceri istatistiklerini iyileştirdi: Derrick, Cal, Hardy, Bill, Tassia ve Boyce.
- Savaşçı: Oscar'ın becerilerini ve yeteneklerini optimize eder.
- Ekipman: Ekipmanları birleştirirken vey"&amp;"a rafine ederken yararlı niteliklerin ortaya çıkma şansını iyileştirdi.
- NPC'ler: Haritadaki NPC'lerin istatistiklerini ve zorluklarını değiştirdi.
- Araştırma: AP sınırını yükseltmek için yeni araştırmalar eklendi; Sivil Araştırma'daki ""Yük Taşıma Ⅰ"" "&amp;"teknolojisi değiştirildi.
- Colin’in Keşfi: Düşük seviyelerde verilen ödülleri güçlendirdi.
- Mağazalar: Yeni ürün - Mek Sıfırlayıcı - VIP ve Onur Mağazasına eklendi; Nanomateryaller Gezegen Mağazasına eklendi; Maymun Kristal Yakıtı Klan Mağazasına eklend"&amp;"i.")</f>
        <v>- Mekalar: Haritadaki NPC'ler tarafından verilen meka deneyimi arttı.
- Mekalar: Artık yükseltildiklerinde nitelik puanları ekleniyor.
- Mekalar: Rhino ve Primatus'un temel istatistiklerinin toplamını artırarak savaşta daha belirleyici bir rol oynamalarını sağladı.
- Savaşçılar: Aşağıdaki Savaşçıların düşük seviyelerdeki beceri istatistiklerini iyileştirdi: Derrick, Cal, Hardy, Bill, Tassia ve Boyce.
- Savaşçı: Oscar'ın becerilerini ve yeteneklerini optimize eder.
- Ekipman: Ekipmanları birleştirirken veya rafine ederken yararlı niteliklerin ortaya çıkma şansını iyileştirdi.
- NPC'ler: Haritadaki NPC'lerin istatistiklerini ve zorluklarını değiştirdi.
- Araştırma: AP sınırını yükseltmek için yeni araştırmalar eklendi; Sivil Araştırma'daki "Yük Taşıma Ⅰ" teknolojisi değiştirildi.
- Colin’in Keşfi: Düşük seviyelerde verilen ödülleri güçlendirdi.
- Mağazalar: Yeni ürün - Mek Sıfırlayıcı - VIP ve Onur Mağazasına eklendi; Nanomateryaller Gezegen Mağazasına eklendi; Maymun Kristal Yakıtı Klan Mağazasına eklendi.</v>
      </c>
      <c r="M39" s="108" t="str">
        <f>IFERROR(__xludf.DUMMYFUNCTION("""COMPUTED_VALUE"""),"- Cơ Khí: tăng exp cơ khí được thưởng bởi NPC trên bản đồ.
- Cơ Khí: điểm thuộc tính giờ đây được thêm vào khi chúng được nâng cấp.
- Cơ Khí: tổng cộng tăng cường chỉ số cơ bản của Rhino và Primatus để họ có thể đóng vai trò quan trọng hơn trong trận chiế"&amp;"n.
- Chiến Binh: cải thiện chỉ số kỹ năng của các Chiến Binh sau ở cấp độ thấp: Derrick, Cal, Hardy, Bill, Tassia, và Boyce.
- Chiến Binh: Tối ưu hóa kỹ năng và tài năng của Oscar.
- Trang bị: cải thiện cơ hội xuất hiện thuộc tính hữu ích khi lắp ráp hoặc"&amp;" lọc trang bị.
- NPC: thay đổi chỉ số và độ khó của NPC trên bản đồ.
- Nghiên Cứu: thêm nghiên cứu mới để tăng giới hạn AP; thay thế công nghệ ""Khả Năng Tải Ⅰ"" trong Nghiên Cứu Dân Sự.
- Khám Phá Của Colin: tăng cường phần thưởng được trao ở cấp độ thấp"&amp;".
- Cửa hàng: mặt hàng mới - Đặt lại Cơ Khí - được thêm vào Cửa hàng VIP và Vinh Dự; Nguyên liệu nano được thêm vào Cửa hàng Hành Tinh; Nhiên liệu Tinh thể Khỉ được thêm vào Cửa hàng Bộ lạc.")</f>
        <v>- Cơ Khí: tăng exp cơ khí được thưởng bởi NPC trên bản đồ.
- Cơ Khí: điểm thuộc tính giờ đây được thêm vào khi chúng được nâng cấp.
- Cơ Khí: tổng cộng tăng cường chỉ số cơ bản của Rhino và Primatus để họ có thể đóng vai trò quan trọng hơn trong trận chiến.
- Chiến Binh: cải thiện chỉ số kỹ năng của các Chiến Binh sau ở cấp độ thấp: Derrick, Cal, Hardy, Bill, Tassia, và Boyce.
- Chiến Binh: Tối ưu hóa kỹ năng và tài năng của Oscar.
- Trang bị: cải thiện cơ hội xuất hiện thuộc tính hữu ích khi lắp ráp hoặc lọc trang bị.
- NPC: thay đổi chỉ số và độ khó của NPC trên bản đồ.
- Nghiên Cứu: thêm nghiên cứu mới để tăng giới hạn AP; thay thế công nghệ "Khả Năng Tải Ⅰ" trong Nghiên Cứu Dân Sự.
- Khám Phá Của Colin: tăng cường phần thưởng được trao ở cấp độ thấp.
- Cửa hàng: mặt hàng mới - Đặt lại Cơ Khí - được thêm vào Cửa hàng VIP và Vinh Dự; Nguyên liệu nano được thêm vào Cửa hàng Hành Tinh; Nhiên liệu Tinh thể Khỉ được thêm vào Cửa hàng Bộ lạc.</v>
      </c>
      <c r="N39" s="108" t="str">
        <f>IFERROR(__xludf.DUMMYFUNCTION("""COMPUTED_VALUE"""),"- Mech: aumentata l'esp di mech ricompensata dagli NPC sulla mappa.
- Mech: i punti attributo vengono ora aggiunti quando si effettua l'upgrade.
- Mech: potenziamento totale delle statistiche di base di Rhino e Primatus in modo che possano svolgere un ruo"&amp;"lo più fondamentale in battaglia.
- Combattenti: migliorati i dati delle abilità dei seguenti Combattenti a livelli inferiori: Derrick, Cal, Hardy, Bill, Tassia e Boyce.
- Combattente: Ottimizza le abilità e i talenti di Oscar.
- Equipaggiamento: migliora"&amp;"ta la possibilità che compaiano attributi utili durante l'assemblaggio o la raffinazione degli equipaggiamenti.
- NPC: modificati i dati e la difficoltà degli NPC sulla mappa.
- Ricerca: aggiunta nuova ricerca per aumentare il limite di PA; sostituita la "&amp;"tecnologia ""Carico Ⅰ"" nella Ricerca Civile.
- ESPLORAZIONE DI COLIN: potenziati i premi concessi a livelli inferiori.
- Negozi: nuovo oggetto - Resetter Mech - aggiunto al Negozio VIP e Onori; Nanomateriali aggiunti al Negozio Planetario; Combustibile d"&amp;"i Cristallo Scimmia aggiunto al Negozio Clan.")</f>
        <v>- Mech: aumentata l'esp di mech ricompensata dagli NPC sulla mappa.
- Mech: i punti attributo vengono ora aggiunti quando si effettua l'upgrade.
- Mech: potenziamento totale delle statistiche di base di Rhino e Primatus in modo che possano svolgere un ruolo più fondamentale in battaglia.
- Combattenti: migliorati i dati delle abilità dei seguenti Combattenti a livelli inferiori: Derrick, Cal, Hardy, Bill, Tassia e Boyce.
- Combattente: Ottimizza le abilità e i talenti di Oscar.
- Equipaggiamento: migliorata la possibilità che compaiano attributi utili durante l'assemblaggio o la raffinazione degli equipaggiamenti.
- NPC: modificati i dati e la difficoltà degli NPC sulla mappa.
- Ricerca: aggiunta nuova ricerca per aumentare il limite di PA; sostituita la tecnologia "Carico Ⅰ" nella Ricerca Civile.
- ESPLORAZIONE DI COLIN: potenziati i premi concessi a livelli inferiori.
- Negozi: nuovo oggetto - Resetter Mech - aggiunto al Negozio VIP e Onori; Nanomateriali aggiunti al Negozio Planetario; Combustibile di Cristallo Scimmia aggiunto al Negozio Clan.</v>
      </c>
      <c r="O39" s="108" t="str">
        <f>IFERROR(__xludf.DUMMYFUNCTION("""COMPUTED_VALUE"""),"- Mechy: zwiększono doświadczenie mechów przyznawane przez NPC na mapie.
- Mechy: punkty atrybutów są teraz dodawane podczas ich ulepszania.
- Mechy: całkowite ulepszenie podstawowych statystyk Rhino i Primatus, aby mogły odgrywać bardziej kluczową rolę w"&amp;" bitwie.
- Wojownicy: poprawiono statystyki umiejętności następujących wojowników na niższych poziomach: Derrick, Cal, Hardy, Bill, Tassia i Boyce.
- Wojownik: Optymalizuje umiejętności i talenty Oskara.
- Wyposażenie: poprawiono szanse na pojawienie się "&amp;"użytecznych atrybutów podczas montażu lub rafinacji wyposażenia.
- NPC: zmieniono statystyki i trudność NPC na mapie.
- Badania: dodano nowe badania, aby zwiększyć limit PA; zastąpiono technologię ""Nośność Ⅰ"" w Badaniach Cywilnych.
- Eksploracja Colina:"&amp;" zwiększono nagrody przyznawane na niższych poziomach.
- Sklepy: nowy przedmiot - Resetujący Mech - dodany do Sklepu VIP i Sklepu Honorów; Nanomateriały dodane do Sklepu Planetarnego; Kryształowe Paliwo Małp dodane do Sklepu Klanu.")</f>
        <v>- Mechy: zwiększono doświadczenie mechów przyznawane przez NPC na mapie.
- Mechy: punkty atrybutów są teraz dodawane podczas ich ulepszania.
- Mechy: całkowite ulepszenie podstawowych statystyk Rhino i Primatus, aby mogły odgrywać bardziej kluczową rolę w bitwie.
- Wojownicy: poprawiono statystyki umiejętności następujących wojowników na niższych poziomach: Derrick, Cal, Hardy, Bill, Tassia i Boyce.
- Wojownik: Optymalizuje umiejętności i talenty Oskara.
- Wyposażenie: poprawiono szanse na pojawienie się użytecznych atrybutów podczas montażu lub rafinacji wyposażenia.
- NPC: zmieniono statystyki i trudność NPC na mapie.
- Badania: dodano nowe badania, aby zwiększyć limit PA; zastąpiono technologię "Nośność Ⅰ" w Badaniach Cywilnych.
- Eksploracja Colina: zwiększono nagrody przyznawane na niższych poziomach.
- Sklepy: nowy przedmiot - Resetujący Mech - dodany do Sklepu VIP i Sklepu Honorów; Nanomateriały dodane do Sklepu Planetarnego; Kryształowe Paliwo Małp dodane do Sklepu Klanu.</v>
      </c>
      <c r="P39" s="108" t="str">
        <f>IFERROR(__xludf.DUMMYFUNCTION("""COMPUTED_VALUE"""),"- الميكا: زيادة خبرة الميكا التي يمنحها الشخصيات الغير لاعبة على الخريطة.
- الميكا: الآن يتم إضافة نقاط السمات عند الترقية.
- الميكا: تعزيز إجمالي لإحصائيات القاعدة لـ Rhino و Primatus حتى يمكن أن يلعبوا دورًا أكثر أهمية في المعركة.
- المقاتلون: تحسين إحص"&amp;"ائيات المهارات للمقاتلين التاليين في المستويات الأدنى: ديريك، كال، هاردي، بيل، تاسيا، وبويس.
- المقاتل: يحسن المهارات والمواهب لأوسكار.
- المعدات: تحسين فرصة ظهور السمات المفيدة عند تجميع أو تنقية المعدات.
- الشخصيات الغير لاعبة: تغيير الإحصائيات والصعوبة"&amp;" للشخصيات الغير لاعبة على الخريطة.
- البحث: أضيف بحث جديد لرفع الحد الأقصى لنقاط الحركة؛ استبدلت تكنولوجيا ""حمل الحمولة Ⅰ"" في البحث المدني.
- استكشاف كولن: تعزيز الجوائز الممنوحة في المستويات الأدنى.
- المتاجر: عنصر جديد - إعادة ضبط الميكا - أضيف إلى مت"&amp;"جر VIP و Honors؛ تمت إضافة المواد النانوية إلى متجر الكواكب؛ تمت إضافة وقود بلورات القرد إلى متجر العشيرة.")</f>
        <v>- الميكا: زيادة خبرة الميكا التي يمنحها الشخصيات الغير لاعبة على الخريطة.
- الميكا: الآن يتم إضافة نقاط السمات عند الترقية.
- الميكا: تعزيز إجمالي لإحصائيات القاعدة لـ Rhino و Primatus حتى يمكن أن يلعبوا دورًا أكثر أهمية في المعركة.
- المقاتلون: تحسين إحصائيات المهارات للمقاتلين التاليين في المستويات الأدنى: ديريك، كال، هاردي، بيل، تاسيا، وبويس.
- المقاتل: يحسن المهارات والمواهب لأوسكار.
- المعدات: تحسين فرصة ظهور السمات المفيدة عند تجميع أو تنقية المعدات.
- الشخصيات الغير لاعبة: تغيير الإحصائيات والصعوبة للشخصيات الغير لاعبة على الخريطة.
- البحث: أضيف بحث جديد لرفع الحد الأقصى لنقاط الحركة؛ استبدلت تكنولوجيا "حمل الحمولة Ⅰ" في البحث المدني.
- استكشاف كولن: تعزيز الجوائز الممنوحة في المستويات الأدنى.
- المتاجر: عنصر جديد - إعادة ضبط الميكا - أضيف إلى متجر VIP و Honors؛ تمت إضافة المواد النانوية إلى متجر الكواكب؛ تمت إضافة وقود بلورات القرد إلى متجر العشيرة.</v>
      </c>
      <c r="Q39" s="108" t="str">
        <f>IFERROR(__xludf.DUMMYFUNCTION("""COMPUTED_VALUE"""),"- メック：マップ上のNPCから得られるメック経験値が増加しました。
- メック：アップグレード時に属性ポイントが追加されるようになりました。
- メック：ライノとプライメイトの基本ステータスの全面強化により、彼らが戦闘でより重要な役割を果たすことができるようになりました。
- ファイター：次のファイターのスキルステータスが低レベルで改善されました：デリック、カル、ハーディ、ビル、タッシア、ボイス。
- ファイター：オスカーのスキルと才能を最適化します。
- 装備：装備を組み立てたり精錬したりする際に有用"&amp;"な属性が現れる確率が改善されました。
- NPC：マップ上のNPCのステータスと難易度が変更されました。
- 研究：AP上限を引き上げる新たな研究を追加しました。また、市民研究の「荷物運搬Ⅰ」技術を置き換えました。
- コリンの探索：低レベルでの報酬が強化されました。
- ショップ：新アイテム - メカリセッター - がVIPと栄誉ショップに追加されました。ナノマテリアルが銀河ショップに、エイプクリスタル燃料がクランショップに追加されました。")</f>
        <v>- メック：マップ上のNPCから得られるメック経験値が増加しました。
- メック：アップグレード時に属性ポイントが追加されるようになりました。
- メック：ライノとプライメイトの基本ステータスの全面強化により、彼らが戦闘でより重要な役割を果たすことができるようになりました。
- ファイター：次のファイターのスキルステータスが低レベルで改善されました：デリック、カル、ハーディ、ビル、タッシア、ボイス。
- ファイター：オスカーのスキルと才能を最適化します。
- 装備：装備を組み立てたり精錬したりする際に有用な属性が現れる確率が改善されました。
- NPC：マップ上のNPCのステータスと難易度が変更されました。
- 研究：AP上限を引き上げる新たな研究を追加しました。また、市民研究の「荷物運搬Ⅰ」技術を置き換えました。
- コリンの探索：低レベルでの報酬が強化されました。
- ショップ：新アイテム - メカリセッター - がVIPと栄誉ショップに追加されました。ナノマテリアルが銀河ショップに、エイプクリスタル燃料がクランショップに追加されました。</v>
      </c>
      <c r="R39" s="108" t="str">
        <f>IFERROR(__xludf.DUMMYFUNCTION("""COMPUTED_VALUE"""),"- 메카: 지도상의 NPC로부터 받는 메카 경험치가 증가했습니다.
- 메카: 이제 업그레이드할 때 속성 포인트가 추가됩니다.
- 메카: 라이노와 프리마투스의 기본 통계치를 전체적으로 강화하여 전투에서 더 중추적인 역할을 할 수 있도록 했습니다.
- 전사: 다음 전사들의 낮은 레벨에서의 스킬 통계를 개선했습니다: 데릭, 캘, 강인한, 빌, 타시아, 보이스.
- 전사: 오스카의 스킬과 재능을 최적화합니다.
- 장비: 장비를 조립하거나 정제할 때 유용한 속성"&amp;"이 나타날 확률을 개선했습니다.
- NPC: 지도상의 NPC의 통계와 난이도를 변경했습니다.
- 연구: AP 상한을 높이는 새로운 연구를 추가했습니다; 민간 연구에서 ""적재 운반 Ⅰ"" 기술을 교체했습니다.
- 콜린의 탐색: 낮은 레벨에서 주어지는 보상을 강화했습니다.
- 상점: 새로운 아이템 - 메카 리셋터 - 가 VIP와 명예 상점에 추가되었습니다; 나노 소재가 은하 상점에 추가되었습니다; 원숭이 크리스탈 연료가 클랜 상점에 추가되었습니다.")</f>
        <v>- 메카: 지도상의 NPC로부터 받는 메카 경험치가 증가했습니다.
- 메카: 이제 업그레이드할 때 속성 포인트가 추가됩니다.
- 메카: 라이노와 프리마투스의 기본 통계치를 전체적으로 강화하여 전투에서 더 중추적인 역할을 할 수 있도록 했습니다.
- 전사: 다음 전사들의 낮은 레벨에서의 스킬 통계를 개선했습니다: 데릭, 캘, 강인한, 빌, 타시아, 보이스.
- 전사: 오스카의 스킬과 재능을 최적화합니다.
- 장비: 장비를 조립하거나 정제할 때 유용한 속성이 나타날 확률을 개선했습니다.
- NPC: 지도상의 NPC의 통계와 난이도를 변경했습니다.
- 연구: AP 상한을 높이는 새로운 연구를 추가했습니다; 민간 연구에서 "적재 운반 Ⅰ" 기술을 교체했습니다.
- 콜린의 탐색: 낮은 레벨에서 주어지는 보상을 강화했습니다.
- 상점: 새로운 아이템 - 메카 리셋터 - 가 VIP와 명예 상점에 추가되었습니다; 나노 소재가 은하 상점에 추가되었습니다; 원숭이 크리스탈 연료가 클랜 상점에 추가되었습니다.</v>
      </c>
      <c r="S39" s="108"/>
      <c r="T39" s="108"/>
      <c r="U39" s="108"/>
      <c r="V39" s="108"/>
      <c r="W39" s="108"/>
      <c r="X39" s="108"/>
      <c r="Y39" s="108"/>
      <c r="Z39" s="108"/>
    </row>
    <row r="40">
      <c r="A40" s="108" t="str">
        <f>IFERROR(__xludf.DUMMYFUNCTION("""COMPUTED_VALUE"""),"0.56.0（国服限定）")</f>
        <v>0.56.0（国服限定）</v>
      </c>
      <c r="B40" s="108" t="str">
        <f>IFERROR(__xludf.DUMMYFUNCTION("""COMPUTED_VALUE"""),"--机甲：增加地图野怪中机甲经验的产出。
--机甲：机甲自由属性点调整为每次升级时增加。
--机甲：全面增强犀牛机甲、金刚机甲的基础属性，使机甲能在指挥官的战斗中发挥更强力的作用。
--斗士：加强以下斗士在低等级时的技能数值：德里克、卡尔、哈迪、比尔、塔西娅、博伊斯。
--斗士：悟空的技能和天赋调整优化
--战装：战装在打造和洗炼中，有用的属性出现的概率增加。
--野怪：野外怪物难度数值调整。
--科研：新增可提升行动力上限的研究，替换民用科技中的“中级负重科研”。
--科林的探索：提升低等级时的奖励产出"&amp;"。
--商店：VIP商店、军功商店新增商品-机甲重置器，银河商店新增商品-纳米材料，氏族商店新增商品-猿晶燃料道具。")</f>
        <v>--机甲：增加地图野怪中机甲经验的产出。
--机甲：机甲自由属性点调整为每次升级时增加。
--机甲：全面增强犀牛机甲、金刚机甲的基础属性，使机甲能在指挥官的战斗中发挥更强力的作用。
--斗士：加强以下斗士在低等级时的技能数值：德里克、卡尔、哈迪、比尔、塔西娅、博伊斯。
--斗士：悟空的技能和天赋调整优化
--战装：战装在打造和洗炼中，有用的属性出现的概率增加。
--野怪：野外怪物难度数值调整。
--科研：新增可提升行动力上限的研究，替换民用科技中的“中级负重科研”。
--科林的探索：提升低等级时的奖励产出。
--商店：VIP商店、军功商店新增商品-机甲重置器，银河商店新增商品-纳米材料，氏族商店新增商品-猿晶燃料道具。</v>
      </c>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c r="A41" s="108" t="str">
        <f>IFERROR(__xludf.DUMMYFUNCTION("""COMPUTED_VALUE"""),"0.57.0")</f>
        <v>0.57.0</v>
      </c>
      <c r="B41" s="108" t="str">
        <f>IFERROR(__xludf.DUMMYFUNCTION("""COMPUTED_VALUE"""),"--深海试炼：降低了激活强化舱的道具消耗，调整了强化舱最终大奖的奖励内容；
--侦察队列：侦察猴数量最高调整为3个；
--霍格博士：积分成就奖励增加档位；
--战装生产：提升了精密纤维在战装车间的生产速度。")</f>
        <v>--深海试炼：降低了激活强化舱的道具消耗，调整了强化舱最终大奖的奖励内容；
--侦察队列：侦察猴数量最高调整为3个；
--霍格博士：积分成就奖励增加档位；
--战装生产：提升了精密纤维在战装车间的生产速度。</v>
      </c>
      <c r="C41" s="169" t="str">
        <f>IFERROR(__xludf.DUMMYFUNCTION("""COMPUTED_VALUE"""),"- Trench Trials: lowered the item cost of activating Reinforce Modules and modified the specific rewards included in the final prize.
- Scout queues: you can now have up to 3 scout queues.
- Dr. Hogg: new tier added to score achievement rewards.
- Equipme"&amp;"nt production: increased the speed of producing Precision Fibers in the Equipment Factory.")</f>
        <v>- Trench Trials: lowered the item cost of activating Reinforce Modules and modified the specific rewards included in the final prize.
- Scout queues: you can now have up to 3 scout queues.
- Dr. Hogg: new tier added to score achievement rewards.
- Equipment production: increased the speed of producing Precision Fibers in the Equipment Factory.</v>
      </c>
      <c r="D41" s="108" t="str">
        <f>IFERROR(__xludf.DUMMYFUNCTION("""COMPUTED_VALUE"""),"- Essais des Tranchées : réduction du coût en objets pour activer les Modules de Renfort et modification des récompenses spécifiques incluses dans le prix final.
- Files d'espionnage : vous pouvez désormais avoir jusqu'à 3 files d'espionnage.
- Dr. Hogg :"&amp;" nouveau palier ajouté aux récompenses de prouesse de score.
- Production d'équipement : augmentation de la vitesse de production des Fibres de Précision dans l'Usine d'Équipements.")</f>
        <v>- Essais des Tranchées : réduction du coût en objets pour activer les Modules de Renfort et modification des récompenses spécifiques incluses dans le prix final.
- Files d'espionnage : vous pouvez désormais avoir jusqu'à 3 files d'espionnage.
- Dr. Hogg : nouveau palier ajouté aux récompenses de prouesse de score.
- Production d'équipement : augmentation de la vitesse de production des Fibres de Précision dans l'Usine d'Équipements.</v>
      </c>
      <c r="E41" s="108" t="str">
        <f>IFERROR(__xludf.DUMMYFUNCTION("""COMPUTED_VALUE"""),"- Schützengraben-Prüfungen: Die Item-Kosten für die Aktivierung von Verstärkungs-Modulen wurden gesenkt und die spezifischen Belohnungen im Endpreis wurden geändert.
- Späh-Warteschlangen: Du kannst jetzt bis zu 3 Späh-Warteschlangen haben.
- Dr. Hogg: Ne"&amp;"ue Stufe zu Punkte-Erfolgsbelohnungen hinzugefügt.
- Ausrüstungsproduktion: Die Geschwindigkeit der Produktion von Präzisionsfasern in der Ausrüstungsfabrik wurde erhöht.")</f>
        <v>- Schützengraben-Prüfungen: Die Item-Kosten für die Aktivierung von Verstärkungs-Modulen wurden gesenkt und die spezifischen Belohnungen im Endpreis wurden geändert.
- Späh-Warteschlangen: Du kannst jetzt bis zu 3 Späh-Warteschlangen haben.
- Dr. Hogg: Neue Stufe zu Punkte-Erfolgsbelohnungen hinzugefügt.
- Ausrüstungsproduktion: Die Geschwindigkeit der Produktion von Präzisionsfasern in der Ausrüstungsfabrik wurde erhöht.</v>
      </c>
      <c r="F41" s="108" t="str">
        <f>IFERROR(__xludf.DUMMYFUNCTION("""COMPUTED_VALUE"""),"- Provas nas Trincheiras: reduzimos o custo do item para ativar os Módulos de Reforço e modificamos as recompensas específicas incluídas no prêmio final.
- Filas de espionagem: agora você pode ter até 3 filas de espionagem.
- Dr. Hogg: novo ranque adicion"&amp;"ado às recompensas de conquista de pontuação.
- Produção de equipamentos: aumentamos a velocidade de produção de Fibras de Precisão na Fábrica de Equipamentos.")</f>
        <v>- Provas nas Trincheiras: reduzimos o custo do item para ativar os Módulos de Reforço e modificamos as recompensas específicas incluídas no prêmio final.
- Filas de espionagem: agora você pode ter até 3 filas de espionagem.
- Dr. Hogg: novo ranque adicionado às recompensas de conquista de pontuação.
- Produção de equipamentos: aumentamos a velocidade de produção de Fibras de Precisão na Fábrica de Equipamentos.</v>
      </c>
      <c r="G41" s="108" t="str">
        <f>IFERROR(__xludf.DUMMYFUNCTION("""COMPUTED_VALUE"""),"--深海試煉：降低了激活強化艙的道具消耗，調整了強化艙最終大獎的獎勵內容；
--偵察隊列：偵察猿數目最高調整為3個；
--霍格博士：積分成就獎勵增加檔位；
--戰裝生產：提升了王牌技師在戰裝車間的生產速度。")</f>
        <v>--深海試煉：降低了激活強化艙的道具消耗，調整了強化艙最終大獎的獎勵內容；
--偵察隊列：偵察猿數目最高調整為3個；
--霍格博士：積分成就獎勵增加檔位；
--戰裝生產：提升了王牌技師在戰裝車間的生產速度。</v>
      </c>
      <c r="H41" s="108" t="str">
        <f>IFERROR(__xludf.DUMMYFUNCTION("""COMPUTED_VALUE"""),"- Uji Coba Parit: menurunkan biaya item untuk mengaktifkan Modul Perkuat dan memodifikasi hadiah spesifik yang termasuk dalam hadiah akhir.
- Antrean intai: sekarang Anda dapat memiliki hingga 3 antrean intai.
- Dr. Hogg: tingkat baru ditambahkan untuk ha"&amp;"diah pencapaian poin.
- Produksi perlengkapan: meningkatkan kecepatan produksi Serat Presisi di Pabrik Perlengkapan.")</f>
        <v>- Uji Coba Parit: menurunkan biaya item untuk mengaktifkan Modul Perkuat dan memodifikasi hadiah spesifik yang termasuk dalam hadiah akhir.
- Antrean intai: sekarang Anda dapat memiliki hingga 3 antrean intai.
- Dr. Hogg: tingkat baru ditambahkan untuk hadiah pencapaian poin.
- Produksi perlengkapan: meningkatkan kecepatan produksi Serat Presisi di Pabrik Perlengkapan.</v>
      </c>
      <c r="I41" s="108" t="str">
        <f>IFERROR(__xludf.DUMMYFUNCTION("""COMPUTED_VALUE"""),"- การสอบคุกขุน: ลดค่าไอเทมในการเปิดใช้งานโมดูลเสริมกำลังและแก้ไขรางวัลเฉพาะที่รวมอยู่ในรางวัลสุดท้าย.
- ภาพรวมคิวสอดแนม: คุณสามารถมีคิวสอดแนมได้สูงสุด 3 คิว.
- ดร.ฮ็อกก์: เพิ่มระดับใหม่ในรางวัลผลงานคะแนน.
- การผลิตอุปกรณ์: เพิ่มความเร็วในการผลิตนายช่างผู้"&amp;"เย็นชาในโรงงานอุปกรณ์.")</f>
        <v>- การสอบคุกขุน: ลดค่าไอเทมในการเปิดใช้งานโมดูลเสริมกำลังและแก้ไขรางวัลเฉพาะที่รวมอยู่ในรางวัลสุดท้าย.
- ภาพรวมคิวสอดแนม: คุณสามารถมีคิวสอดแนมได้สูงสุด 3 คิว.
- ดร.ฮ็อกก์: เพิ่มระดับใหม่ในรางวัลผลงานคะแนน.
- การผลิตอุปกรณ์: เพิ่มความเร็วในการผลิตนายช่างผู้เย็นชาในโรงงานอุปกรณ์.</v>
      </c>
      <c r="J41" s="108" t="str">
        <f>IFERROR(__xludf.DUMMYFUNCTION("""COMPUTED_VALUE"""),"- Pruebas de Trincheras: se redujo el costo del artículo para activar los Módulos de Refuerzo y se modificaron las recompensas específicas incluidas en el premio final.
- Colas de reconocimiento: ahora puedes tener hasta 3 colas de reconocimiento.
- Dr. H"&amp;"ogg: se agregó un nuevo nivel a las recompensas por logro de puntuación.
- Producción de equipo: se aumentó la velocidad de producción de Fibras de Precisión en la Fábrica de Equipos.")</f>
        <v>- Pruebas de Trincheras: se redujo el costo del artículo para activar los Módulos de Refuerzo y se modificaron las recompensas específicas incluidas en el premio final.
- Colas de reconocimiento: ahora puedes tener hasta 3 colas de reconocimiento.
- Dr. Hogg: se agregó un nuevo nivel a las recompensas por logro de puntuación.
- Producción de equipo: se aumentó la velocidad de producción de Fibras de Precisión en la Fábrica de Equipos.</v>
      </c>
      <c r="K41" s="108" t="str">
        <f>IFERROR(__xludf.DUMMYFUNCTION("""COMPUTED_VALUE"""),"- Испытания в Траншеях: снижена стоимость предметов для активации Усиленных Модулей и изменены конкретные награды, включенные в финальный приз.
- Очереди разведки: теперь у вас может быть до 3 очередей разведки.
- Доктор Хогг: добавлен новый ранг к наград"&amp;"ам за достижение счета.
- Производство снаряжения: увеличена скорость производства Высокоточных Волокон на Фабрике снаряжения.")</f>
        <v>- Испытания в Траншеях: снижена стоимость предметов для активации Усиленных Модулей и изменены конкретные награды, включенные в финальный приз.
- Очереди разведки: теперь у вас может быть до 3 очередей разведки.
- Доктор Хогг: добавлен новый ранг к наградам за достижение счета.
- Производство снаряжения: увеличена скорость производства Высокоточных Волокон на Фабрике снаряжения.</v>
      </c>
      <c r="L41" s="108" t="str">
        <f>IFERROR(__xludf.DUMMYFUNCTION("""COMPUTED_VALUE"""),"- Siper Denemeleri: Güçlendirme Modüllerini etkinleştirmenin eşya maliyetini düşürdük ve son ödülde yer alan belirli ödülleri değiştirdik.
- Gözcü sıraları: artık en fazla 3 gözcü sırasına sahip olabilirsiniz.
- Dr. Hogg: skor başarı ödülleri için yeni bi"&amp;"r kademe eklendi.
- Ekipman üretimi: Ekipman Fabrikası'nda Hassas Liflerin üretim hızını artırdık.")</f>
        <v>- Siper Denemeleri: Güçlendirme Modüllerini etkinleştirmenin eşya maliyetini düşürdük ve son ödülde yer alan belirli ödülleri değiştirdik.
- Gözcü sıraları: artık en fazla 3 gözcü sırasına sahip olabilirsiniz.
- Dr. Hogg: skor başarı ödülleri için yeni bir kademe eklendi.
- Ekipman üretimi: Ekipman Fabrikası'nda Hassas Liflerin üretim hızını artırdık.</v>
      </c>
      <c r="M41" s="108" t="str">
        <f>IFERROR(__xludf.DUMMYFUNCTION("""COMPUTED_VALUE"""),"- Thử Thách Chiến Hào: giảm chi phí vật phẩm khi kích hoạt Mô-đun Tiếp Viện và chỉnh sửa các phần thưởng cụ thể trong giải thưởng cuối cùng.
- Hàng đợi do thám: bạn giờ đây có thể có tới 3 hàng đợi do thám.
- Tiến Sĩ Hogg: thêm bậc mới vào phần thưởng thà"&amp;"nh tích điểm.
- Sản xuất trang bị: tăng tốc độ sản xuất Sợi Chính Xác tại Nhà máy Trang Bị.")</f>
        <v>- Thử Thách Chiến Hào: giảm chi phí vật phẩm khi kích hoạt Mô-đun Tiếp Viện và chỉnh sửa các phần thưởng cụ thể trong giải thưởng cuối cùng.
- Hàng đợi do thám: bạn giờ đây có thể có tới 3 hàng đợi do thám.
- Tiến Sĩ Hogg: thêm bậc mới vào phần thưởng thành tích điểm.
- Sản xuất trang bị: tăng tốc độ sản xuất Sợi Chính Xác tại Nhà máy Trang Bị.</v>
      </c>
      <c r="N41" s="108" t="str">
        <f>IFERROR(__xludf.DUMMYFUNCTION("""COMPUTED_VALUE"""),"- Prove di Trincea: ridotto il costo in oggetti per attivare i Moduli Rinforzati e modificato le ricompense specifiche incluse nel premio finale.
- Code di perlustrazione: ora puoi avere fino a 3 code di perlustrazione.
- Dottor Hogg: aggiunto un nuovo ti"&amp;"er alle ricompense per il raggiungimento del punteggio.
- Produzione di equipaggiamento: aumentata la velocità di produzione delle Fibre di Precisione nella Fucina di attrezzature.")</f>
        <v>- Prove di Trincea: ridotto il costo in oggetti per attivare i Moduli Rinforzati e modificato le ricompense specifiche incluse nel premio finale.
- Code di perlustrazione: ora puoi avere fino a 3 code di perlustrazione.
- Dottor Hogg: aggiunto un nuovo tier alle ricompense per il raggiungimento del punteggio.
- Produzione di equipaggiamento: aumentata la velocità di produzione delle Fibre di Precisione nella Fucina di attrezzature.</v>
      </c>
      <c r="O41" s="108" t="str">
        <f>IFERROR(__xludf.DUMMYFUNCTION("""COMPUTED_VALUE"""),"- Próby w Okopach: obniżono koszt przedmiotu aktywacji Modułów Posiłkowych i zmodyfikowano konkretne nagrody zawarte w końcowej wygranej.
- Kolejki zwiadu: teraz możesz mieć do 3 kolejek zwiadu.
- Dr Hogg: dodano nowy poziom do nagród za zdobyte punkty.
-"&amp;" Produkcja wyposażenia: zwiększono szybkość produkcji Precyzyjnych Włókien w Fabryce Wyposażenia.")</f>
        <v>- Próby w Okopach: obniżono koszt przedmiotu aktywacji Modułów Posiłkowych i zmodyfikowano konkretne nagrody zawarte w końcowej wygranej.
- Kolejki zwiadu: teraz możesz mieć do 3 kolejek zwiadu.
- Dr Hogg: dodano nowy poziom do nagród za zdobyte punkty.
- Produkcja wyposażenia: zwiększono szybkość produkcji Precyzyjnych Włókien w Fabryce Wyposażenia.</v>
      </c>
      <c r="P41" s="108" t="str">
        <f>IFERROR(__xludf.DUMMYFUNCTION("""COMPUTED_VALUE"""),"- تجارب الخنادق: تم تخفيض تكلفة العنصر لتنشيط وحدات التعزيز وتعديل الجوائز المحددة المدرجة في الجائزة النهائية.
- طوابير التجسس: يمكنك الآن الحصول على ما يصل إلى 3 طوابير للتجسس.
- دكتور هوغ: تمت إضافة مستوى جديد لجوائز إنجاز النقاط.
- إنتاج المعدات: زياد"&amp;"ة سرعة إنتاج الألياف الدقيقة في مصنع المعدات.")</f>
        <v>- تجارب الخنادق: تم تخفيض تكلفة العنصر لتنشيط وحدات التعزيز وتعديل الجوائز المحددة المدرجة في الجائزة النهائية.
- طوابير التجسس: يمكنك الآن الحصول على ما يصل إلى 3 طوابير للتجسس.
- دكتور هوغ: تمت إضافة مستوى جديد لجوائز إنجاز النقاط.
- إنتاج المعدات: زيادة سرعة إنتاج الألياف الدقيقة في مصنع المعدات.</v>
      </c>
      <c r="Q41" s="108" t="str">
        <f>IFERROR(__xludf.DUMMYFUNCTION("""COMPUTED_VALUE"""),"- 深海の試練：部隊援助モジュールを活性化するためのアイテムコストを下げ、最終賞品に含まれる特定の報酬を変更しました。
- 偵察キュー：偵察キューを最大3つまで持つことができるようになりました。
- ホッグ博士：スコア達成報酬に新たなティアが追加されました。
- 装備生産：装備工場での精巧な繊維の生産速度を上げました。")</f>
        <v>- 深海の試練：部隊援助モジュールを活性化するためのアイテムコストを下げ、最終賞品に含まれる特定の報酬を変更しました。
- 偵察キュー：偵察キューを最大3つまで持つことができるようになりました。
- ホッグ博士：スコア達成報酬に新たなティアが追加されました。
- 装備生産：装備工場での精巧な繊維の生産速度を上げました。</v>
      </c>
      <c r="R41" s="108" t="str">
        <f>IFERROR(__xludf.DUMMYFUNCTION("""COMPUTED_VALUE"""),"- 심해의 시련: 부대 지원 모듈을 활성화하는데 필요한 아이템 비용을 낮추고, 최종 상품에 포함된 특정 보상을 수정하였습니다.
- 정찰 대기열: 이제 최대 3개의 정찰 대기열을 가질 수 있습니다.
- 호그 박사: 점수 성과 보상에 새로운 티어가 추가되었습니다.
- 장비 생산: 장비 공장에서 정밀 섬유를 생산하는 속도가 증가하였습니다.")</f>
        <v>- 심해의 시련: 부대 지원 모듈을 활성화하는데 필요한 아이템 비용을 낮추고, 최종 상품에 포함된 특정 보상을 수정하였습니다.
- 정찰 대기열: 이제 최대 3개의 정찰 대기열을 가질 수 있습니다.
- 호그 박사: 점수 성과 보상에 새로운 티어가 추가되었습니다.
- 장비 생산: 장비 공장에서 정밀 섬유를 생산하는 속도가 증가하였습니다.</v>
      </c>
      <c r="S41" s="108"/>
      <c r="T41" s="108"/>
      <c r="U41" s="108"/>
      <c r="V41" s="108"/>
      <c r="W41" s="108"/>
      <c r="X41" s="108"/>
      <c r="Y41" s="108"/>
      <c r="Z41" s="108"/>
    </row>
    <row r="42">
      <c r="A42" s="108" t="str">
        <f>IFERROR(__xludf.DUMMYFUNCTION("""COMPUTED_VALUE"""),"0.58.0")</f>
        <v>0.58.0</v>
      </c>
      <c r="B42" s="108" t="str">
        <f>IFERROR(__xludf.DUMMYFUNCTION("""COMPUTED_VALUE"""),"- 帮派主线任务：降低部分任务的完成难度；
- 火车争霸：提高了击败T6士兵的积分；
- 战装主动技能：降低了不同战装主动技能的释放间隔；
- 产出调整：服务器解锁T6士兵之后，在部分活动和玩法中加入了相关的道具产出；
- 任务：调整了解锁T6士兵后部分相关的主线支线任务难度；
- 建筑：优化了四个兵营在30级之后的升级前置条件；
- 绝地试炼：调整了第5章和第9章部分任务类型，降低了3星通关的难度；
- 人类遗迹：降低了人类遗迹中驻防的变异猴的强度；
- 添加了机甲是否出战的默认选项；
- 帮派成员可以"&amp;"帮助你在机甲治疗时进行加速了；
- 天赋推荐：根据每个斗士的技能特点，优化了部分斗士的推荐天赋；
- 调整了橙色战装成就礼包的任务条件和礼包内容，更新后将重置所有礼包的可购买次数。")</f>
        <v>- 帮派主线任务：降低部分任务的完成难度；
- 火车争霸：提高了击败T6士兵的积分；
- 战装主动技能：降低了不同战装主动技能的释放间隔；
- 产出调整：服务器解锁T6士兵之后，在部分活动和玩法中加入了相关的道具产出；
- 任务：调整了解锁T6士兵后部分相关的主线支线任务难度；
- 建筑：优化了四个兵营在30级之后的升级前置条件；
- 绝地试炼：调整了第5章和第9章部分任务类型，降低了3星通关的难度；
- 人类遗迹：降低了人类遗迹中驻防的变异猴的强度；
- 添加了机甲是否出战的默认选项；
- 帮派成员可以帮助你在机甲治疗时进行加速了；
- 天赋推荐：根据每个斗士的技能特点，优化了部分斗士的推荐天赋；
- 调整了橙色战装成就礼包的任务条件和礼包内容，更新后将重置所有礼包的可购买次数。</v>
      </c>
      <c r="C42" s="108" t="str">
        <f>IFERROR(__xludf.DUMMYFUNCTION("""COMPUTED_VALUE"""),"- Gang quests: reduced the difficulty of some quests.
- Train Rush: more points for defeating T6 units.
- Active equipment skills: shortened the interval between casts of various active skills.
- Drops modified: once T6 units are available on your servers"&amp;", some events and features will include related item drops.
- Quests: modified the difficulty of some related main and side quests after T6 units are unlocked.
- Buildings: optimized the upgrade requirements for the four troop camps after Lv. 30.
- Impass"&amp;"e Trials: changed quest types in chapters 5 and 9 and lowered the difficulty of clearing levels with 3 stars.
- Ruins: lowered the difficulty of mutants stationed in ruins.
- Added an option for whether to deploy mechs as a default.
- Gang members can now"&amp;" help you speed up healing mechs.
- Talent recommendation: improved the recommended talents of some Fighters based on their skills and specializations.
- Changed the quest requirements and contents of legendary equipment achievement packs; purchase limit "&amp;"will be reset for all packs following the update.")</f>
        <v>- Gang quests: reduced the difficulty of some quests.
- Train Rush: more points for defeating T6 units.
- Active equipment skills: shortened the interval between casts of various active skills.
- Drops modified: once T6 units are available on your servers, some events and features will include related item drops.
- Quests: modified the difficulty of some related main and side quests after T6 units are unlocked.
- Buildings: optimized the upgrade requirements for the four troop camps after Lv. 30.
- Impasse Trials: changed quest types in chapters 5 and 9 and lowered the difficulty of clearing levels with 3 stars.
- Ruins: lowered the difficulty of mutants stationed in ruins.
- Added an option for whether to deploy mechs as a default.
- Gang members can now help you speed up healing mechs.
- Talent recommendation: improved the recommended talents of some Fighters based on their skills and specializations.
- Changed the quest requirements and contents of legendary equipment achievement packs; purchase limit will be reset for all packs following the update.</v>
      </c>
      <c r="D42" s="108" t="str">
        <f>IFERROR(__xludf.DUMMYFUNCTION("""COMPUTED_VALUE"""),"- Quêtes de gang : réduction de la difficulté de certaines quêtes.
- Course de trains : plus de points pour la défaite des unités T6.
- Compétences d'équipement actif : raccourci l'intervalle entre les lancers de diverses compétences actives.
- Modificati"&amp;"ons des drops : une fois que les unités T6 sont disponibles sur vos serveurs, certains événements et fonctionnalités incluront des drops d'objets liés.
- Quêtes : modification de la difficulté de certaines quêtes principales et secondaires après le débloc"&amp;"age des unités T6.
- Constructions : optimisation des conditions d'amélioration pour les quatre camps de troupes après le niveau 30.
- Défis de l'Impasse : changement des types de quêtes dans les chapitres 5 et 9 et diminution de la difficulté de franchis"&amp;"sement des niveaux avec 3 étoiles.
- Ruines : diminution de la difficulté des mutants postés dans les ruines.
- Ajout d'une option pour savoir s'il faut déployer des méchas par défaut.
- Les membres du gang peuvent maintenant vous aider à accélérer la gué"&amp;"rison des méchas.
- Recommandation de talents : amélioration des talents recommandés de certains combattants en fonction de leurs compétences et spécialisations.
- Modification des conditions et du contenu des quêtes des packs d'exploits d'équipement lége"&amp;"ndaire ; la limite d'achat sera réinitialisée pour tous les packs suite à la mise à jour.")</f>
        <v>- Quêtes de gang : réduction de la difficulté de certaines quêtes.
- Course de trains : plus de points pour la défaite des unités T6.
- Compétences d'équipement actif : raccourci l'intervalle entre les lancers de diverses compétences actives.
- Modifications des drops : une fois que les unités T6 sont disponibles sur vos serveurs, certains événements et fonctionnalités incluront des drops d'objets liés.
- Quêtes : modification de la difficulté de certaines quêtes principales et secondaires après le déblocage des unités T6.
- Constructions : optimisation des conditions d'amélioration pour les quatre camps de troupes après le niveau 30.
- Défis de l'Impasse : changement des types de quêtes dans les chapitres 5 et 9 et diminution de la difficulté de franchissement des niveaux avec 3 étoiles.
- Ruines : diminution de la difficulté des mutants postés dans les ruines.
- Ajout d'une option pour savoir s'il faut déployer des méchas par défaut.
- Les membres du gang peuvent maintenant vous aider à accélérer la guérison des méchas.
- Recommandation de talents : amélioration des talents recommandés de certains combattants en fonction de leurs compétences et spécialisations.
- Modification des conditions et du contenu des quêtes des packs d'exploits d'équipement légendaire ; la limite d'achat sera réinitialisée pour tous les packs suite à la mise à jour.</v>
      </c>
      <c r="E42" s="108" t="str">
        <f>IFERROR(__xludf.DUMMYFUNCTION("""COMPUTED_VALUE"""),"- Clan-Aufgaben: Die Schwierigkeit einiger Aufgaben wurde reduziert.
- Zug-Rennen: Mehr Punkte für das Besiegen von T6-Einheiten.
- Aktive Ausrüstungsfähigkeiten: Das Intervall zwischen den Auslösungen verschiedener aktiver Fähigkeiten wurde verkürzt.
- D"&amp;"rops geändert: Sobald T6-Einheiten auf Ihren Servern verfügbar sind, werden einige Events und Funktionen damit verbundene Item-Drops enthalten.
- Quests: Die Schwierigkeit einiger damit verbundenen Haupt- und Nebenquests wurde nach dem Freischalten von T6"&amp;"-Einheiten geändert.
- Gebäude: Die Upgrade-Anforderungen für die vier Truppenlager nach Lv. 30 wurden optimiert.
- Sackgassen-Prüfungen: Die Quest-Typen in Kapiteln 5 und 9 wurden geändert und die Schwierigkeit, Level mit 3 Sternen zu absolvieren, wurde "&amp;"gesenkt.
- Ruinen: Die Schwierigkeit der in Ruinen stationierten MUTANTEN wurde gesenkt.
- Eine Option wurde hinzugefügt, ob Mechs standardmäßig eingesetzt werden sollen.
- Clan-Mitglieder können Ihnen jetzt helfen, die Heilung von Mechs zu beschleunigen."&amp;"
- Talentempfehlung: Die empfohlenen Talente einiger Kämpfer basierend auf ihren Fähigkeiten und Spezialisierungen wurden verbessert.
- Die Quest-Anforderungen und Inhalte der Erfolgspakete für legendäre Ausrüstung wurden geändert; das Kauf-Limit wird für"&amp;" alle Pakete nach dem Update zurückgesetzt.")</f>
        <v>- Clan-Aufgaben: Die Schwierigkeit einiger Aufgaben wurde reduziert.
- Zug-Rennen: Mehr Punkte für das Besiegen von T6-Einheiten.
- Aktive Ausrüstungsfähigkeiten: Das Intervall zwischen den Auslösungen verschiedener aktiver Fähigkeiten wurde verkürzt.
- Drops geändert: Sobald T6-Einheiten auf Ihren Servern verfügbar sind, werden einige Events und Funktionen damit verbundene Item-Drops enthalten.
- Quests: Die Schwierigkeit einiger damit verbundenen Haupt- und Nebenquests wurde nach dem Freischalten von T6-Einheiten geändert.
- Gebäude: Die Upgrade-Anforderungen für die vier Truppenlager nach Lv. 30 wurden optimiert.
- Sackgassen-Prüfungen: Die Quest-Typen in Kapiteln 5 und 9 wurden geändert und die Schwierigkeit, Level mit 3 Sternen zu absolvieren, wurde gesenkt.
- Ruinen: Die Schwierigkeit der in Ruinen stationierten MUTANTEN wurde gesenkt.
- Eine Option wurde hinzugefügt, ob Mechs standardmäßig eingesetzt werden sollen.
- Clan-Mitglieder können Ihnen jetzt helfen, die Heilung von Mechs zu beschleunigen.
- Talentempfehlung: Die empfohlenen Talente einiger Kämpfer basierend auf ihren Fähigkeiten und Spezialisierungen wurden verbessert.
- Die Quest-Anforderungen und Inhalte der Erfolgspakete für legendäre Ausrüstung wurden geändert; das Kauf-Limit wird für alle Pakete nach dem Update zurückgesetzt.</v>
      </c>
      <c r="F42" s="108" t="str">
        <f>IFERROR(__xludf.DUMMYFUNCTION("""COMPUTED_VALUE"""),"- Missões da gangue: reduzida a dificuldade de algumas missões.
- Corrida do Trem: mais pontos por derrotar unidades T6.
- Habilidades ativas de equipamento: encurtado o intervalo entre lançamentos de várias habilidades ativas.
- Modificações nas quedas: "&amp;"uma vez que as unidades T6 estão disponíveis em seus servidores, alguns eventos e recursos incluirão quedas de itens relacionados.
- Missões: modificada a dificuldade de algumas missões principais e secundárias após o desbloqueio das unidades T6.
- Constr"&amp;"uções: otimizados os requisitos de melhoria para os quatro acampamentos de tropas após o Nv. 30.
- Desafios de Impasse: alterados os tipos de missões nos capítulos 5 e 9 e diminuída a dificuldade de limpar níveis com 3 estrelas.
- Ruínas: diminuída a difi"&amp;"culdade dos símios mutantes estacionados nas ruínas.
- Adicionada uma opção para se implantar mechs como padrão.
- Membros da gangue agora podem ajudá-lo a acelerar a cura dos mechs.
- Recomendação de talento: melhorados os talentos recomendados de alguns"&amp;" Combatentes com base em suas habilidades e especializações.
- Alterados os requisitos e conteúdos das missões dos pacotes de conquistas de equipamentos lendários; o limite de compra será redefinido para todos os pacotes após a atualização.")</f>
        <v>- Missões da gangue: reduzida a dificuldade de algumas missões.
- Corrida do Trem: mais pontos por derrotar unidades T6.
- Habilidades ativas de equipamento: encurtado o intervalo entre lançamentos de várias habilidades ativas.
- Modificações nas quedas: uma vez que as unidades T6 estão disponíveis em seus servidores, alguns eventos e recursos incluirão quedas de itens relacionados.
- Missões: modificada a dificuldade de algumas missões principais e secundárias após o desbloqueio das unidades T6.
- Construções: otimizados os requisitos de melhoria para os quatro acampamentos de tropas após o Nv. 30.
- Desafios de Impasse: alterados os tipos de missões nos capítulos 5 e 9 e diminuída a dificuldade de limpar níveis com 3 estrelas.
- Ruínas: diminuída a dificuldade dos símios mutantes estacionados nas ruínas.
- Adicionada uma opção para se implantar mechs como padrão.
- Membros da gangue agora podem ajudá-lo a acelerar a cura dos mechs.
- Recomendação de talento: melhorados os talentos recomendados de alguns Combatentes com base em suas habilidades e especializações.
- Alterados os requisitos e conteúdos das missões dos pacotes de conquistas de equipamentos lendários; o limite de compra será redefinido para todos os pacotes após a atualização.</v>
      </c>
      <c r="G42" s="108" t="str">
        <f>IFERROR(__xludf.DUMMYFUNCTION("""COMPUTED_VALUE"""),"- 幫派主要任務：降低部分任務的完成難度；
- 火車爭霸：提高了擊敗T6士兵的積分；
- 戰裝主動技能：降低了不同戰裝主動技能的釋放間隔；
- 產出調整：伺服器解鎖T6士兵之後，在部分活動和玩法中加入了相關的道具產出；
- 任務：調整了解鎖T6士兵後部分相關的主要次要任務難度；
- 建造：優化了四個兵營在30級之後的升級前置條件；
- 絕地試煉：調整了第 5 章和第 9 章部分任務類型，降低了3星通關的難度；
- 人類遺跡：降低了人類遺跡中駐防的變異猴的強度；
- 添加了機甲是否參賽的默認選項；
- 成員"&amp;"可以協助你在機甲治療時進行加速了；
- 天賦推薦：根據每個鬥士的技能特點，優化了部分鬥士的推薦天賦；
- 調整了橙色戰裝成就禮包的任務條件和禮包內容，更新後將重置所有禮包的可購買次數。")</f>
        <v>- 幫派主要任務：降低部分任務的完成難度；
- 火車爭霸：提高了擊敗T6士兵的積分；
- 戰裝主動技能：降低了不同戰裝主動技能的釋放間隔；
- 產出調整：伺服器解鎖T6士兵之後，在部分活動和玩法中加入了相關的道具產出；
- 任務：調整了解鎖T6士兵後部分相關的主要次要任務難度；
- 建造：優化了四個兵營在30級之後的升級前置條件；
- 絕地試煉：調整了第 5 章和第 9 章部分任務類型，降低了3星通關的難度；
- 人類遺跡：降低了人類遺跡中駐防的變異猴的強度；
- 添加了機甲是否參賽的默認選項；
- 成員可以協助你在機甲治療時進行加速了；
- 天賦推薦：根據每個鬥士的技能特點，優化了部分鬥士的推薦天賦；
- 調整了橙色戰裝成就禮包的任務條件和禮包內容，更新後將重置所有禮包的可購買次數。</v>
      </c>
      <c r="H42" s="108" t="str">
        <f>IFERROR(__xludf.DUMMYFUNCTION("""COMPUTED_VALUE"""),"- Tantangan Geng: mengurangi kesulitan beberapa misi.
- Hegemoni Kereta: lebih banyak poin untuk mengalahkan unit T6.
- Keahlian peralatan aktif: memperpendek interval antara pengecoran berbagai keahlian aktif.
- Modifikasi Drops: setelah unit T6 tersedia"&amp;" di server Anda, beberapa event dan fitur akan mencakup item terkait.
- Misi: memodifikasi kesulitan beberapa misi utama dan sampingan setelah unit T6 dibuka.
- Bangunan: mengoptimalkan persyaratan peningkatan untuk empat kamp pasukan setelah Lv. 30.
- Uj"&amp;"i Coba Kebuntuan: mengubah jenis misi di bab 5 dan 9 dan menurunkan kesulitan membersihkan level dengan 3 bintang.
- Reruntuhan: menurunkan kesulitan kera mutan yang ditempatkan di reruntuhan.
- Menambahkan opsi apakah akan menempatkan mekanik sebagai def"&amp;"ault.
- Anggota Geng sekarang dapat membantu Anda mempercepat penyembuhan mekanik.
- Rekomendasi Bakat: meningkatkan bakat yang direkomendasikan dari beberapa Pejuang berdasarkan keahlian dan spesialisasi mereka.
- Mengubah persyaratan misi dan isi paket "&amp;"pencapaian peralatan legendaris; batas pembelian akan diatur ulang untuk semua paket setelah pembaruan.")</f>
        <v>- Tantangan Geng: mengurangi kesulitan beberapa misi.
- Hegemoni Kereta: lebih banyak poin untuk mengalahkan unit T6.
- Keahlian peralatan aktif: memperpendek interval antara pengecoran berbagai keahlian aktif.
- Modifikasi Drops: setelah unit T6 tersedia di server Anda, beberapa event dan fitur akan mencakup item terkait.
- Misi: memodifikasi kesulitan beberapa misi utama dan sampingan setelah unit T6 dibuka.
- Bangunan: mengoptimalkan persyaratan peningkatan untuk empat kamp pasukan setelah Lv. 30.
- Uji Coba Kebuntuan: mengubah jenis misi di bab 5 dan 9 dan menurunkan kesulitan membersihkan level dengan 3 bintang.
- Reruntuhan: menurunkan kesulitan kera mutan yang ditempatkan di reruntuhan.
- Menambahkan opsi apakah akan menempatkan mekanik sebagai default.
- Anggota Geng sekarang dapat membantu Anda mempercepat penyembuhan mekanik.
- Rekomendasi Bakat: meningkatkan bakat yang direkomendasikan dari beberapa Pejuang berdasarkan keahlian dan spesialisasi mereka.
- Mengubah persyaratan misi dan isi paket pencapaian peralatan legendaris; batas pembelian akan diatur ulang untuk semua paket setelah pembaruan.</v>
      </c>
      <c r="I42" s="108" t="str">
        <f>IFERROR(__xludf.DUMMYFUNCTION("""COMPUTED_VALUE"""),"- เควสต์แก๊ง: ลดระดับความยากของบางเควสต์
- รถไฟประลองความเร็ว: คะแนนมากขึ้นสำหรับการพ่ายแพ้หน่วย T6
- ทักษะอุปกรณ์ที่ใช้งานอยู่: ลดช่วงเวลาระหว่างการสร้างสกิลที่ใช้งานอยู่ต่างๆ
- ปรับแต่งการตก: เมื่อหน่วย T6 พร้อมใช้งานบนเซิร์ฟเวอร์ของคุณ, บางกิจกรรมและคุ"&amp;"ณสมบัติจะรวมไอเทมที่เกี่ยวข้อง
- เควสต์: ปรับแต่งระดับความยากของบางเควสต์หลักและเควสต์รองหลังจากปลดล็อกหน่วย T6
- สิ่งก่อสร้าง: ปรับปรุงข้อกำหนดการอัปเกรดสำหรับสี่ค่ายทหารหลังจาก Lv. 30
- การทดสอบ ณ ทางตัน: เปลี่ยนประเภทเควสต์ในบทที่ 5 และ 9 และลดระดับควา"&amp;"มยากในการผ่านระดับด้วย 3 ดาว
- โบราณสถาน: ลดระดับความยากของเจ้าจ๋อมิวแตนด์ที่อยู่ในโบราณสถาน
- เพิ่มตัวเลือกว่าจะใช้เมคเป็นค่าเริ่มต้นหรือไม่
- สมาชิกแก๊งค์สามารถช่วยคุณเร่งการรักษาเมคได้แล้ว
- แนะนำความสามารถ: ปรับปรุงความสามารถที่แนะนำของนักสู้บางคนตามท"&amp;"ักษะและความเชี่ยวชาญของพวกเขา
- เปลี่ยนข้อกำหนดเควสต์และเนื้อหาของแพ็กความสำเร็จอุปกรณ์ตำนาน; จะรีเซ็ตขีดจำกัดการซื้อสำหรับแพ็กทั้งหมดหลังจากการอัปเดต")</f>
        <v>- เควสต์แก๊ง: ลดระดับความยากของบางเควสต์
- รถไฟประลองความเร็ว: คะแนนมากขึ้นสำหรับการพ่ายแพ้หน่วย T6
- ทักษะอุปกรณ์ที่ใช้งานอยู่: ลดช่วงเวลาระหว่างการสร้างสกิลที่ใช้งานอยู่ต่างๆ
- ปรับแต่งการตก: เมื่อหน่วย T6 พร้อมใช้งานบนเซิร์ฟเวอร์ของคุณ, บางกิจกรรมและคุณสมบัติจะรวมไอเทมที่เกี่ยวข้อง
- เควสต์: ปรับแต่งระดับความยากของบางเควสต์หลักและเควสต์รองหลังจากปลดล็อกหน่วย T6
- สิ่งก่อสร้าง: ปรับปรุงข้อกำหนดการอัปเกรดสำหรับสี่ค่ายทหารหลังจาก Lv. 30
- การทดสอบ ณ ทางตัน: เปลี่ยนประเภทเควสต์ในบทที่ 5 และ 9 และลดระดับความยากในการผ่านระดับด้วย 3 ดาว
- โบราณสถาน: ลดระดับความยากของเจ้าจ๋อมิวแตนด์ที่อยู่ในโบราณสถาน
- เพิ่มตัวเลือกว่าจะใช้เมคเป็นค่าเริ่มต้นหรือไม่
- สมาชิกแก๊งค์สามารถช่วยคุณเร่งการรักษาเมคได้แล้ว
- แนะนำความสามารถ: ปรับปรุงความสามารถที่แนะนำของนักสู้บางคนตามทักษะและความเชี่ยวชาญของพวกเขา
- เปลี่ยนข้อกำหนดเควสต์และเนื้อหาของแพ็กความสำเร็จอุปกรณ์ตำนาน; จะรีเซ็ตขีดจำกัดการซื้อสำหรับแพ็กทั้งหมดหลังจากการอัปเดต</v>
      </c>
      <c r="J42" s="108" t="str">
        <f>IFERROR(__xludf.DUMMYFUNCTION("""COMPUTED_VALUE"""),"- Misiones de Banda: reducida la dificultad de algunas misiones.
- Carrera del Tren: más puntos por derrotar unidades T6.
- Habilidades activas de equipamiento: acortado el intervalo entre lanzamientos de varias habilidades activas.
- Modificación de los "&amp;"drops: una vez que las unidades T6 estén disponibles en tus servidores, algunos eventos y características incluirán drops de ítems relacionados.
- Misiones: modificada la dificultad de algunas misiones principales y secundarias después de desbloquear las "&amp;"unidades T6.
- Edificios: optimizados los requisitos de mejora para los cuatro campamentos de tropas después del Nvl. 30.
- Retos del Impasse: cambiados los tipos de misiones en los capítulos 5 y 9 y reducida la dificultad de superar niveles con 3 estrell"&amp;"as.
- Ruinas: reducida la dificultad de los Monos Mutantes estacionados en ruinas.
- Añadida una opción para si desplegar mechs como predeterminado.
- Los miembros de la Banda ahora pueden ayudarte a acelerar la curación de los mechs.
- Recomendación de t"&amp;"alento: mejorados los talentos recomendados de algunos Luchadores basados en sus habilidades y especializaciones.
- Cambiados los requisitos de las misiones y contenidos de los paquetes de logros de equipamiento legendario; el límite de compra se reinicia"&amp;"rá para todos los paquetes después de la actualización.")</f>
        <v>- Misiones de Banda: reducida la dificultad de algunas misiones.
- Carrera del Tren: más puntos por derrotar unidades T6.
- Habilidades activas de equipamiento: acortado el intervalo entre lanzamientos de varias habilidades activas.
- Modificación de los drops: una vez que las unidades T6 estén disponibles en tus servidores, algunos eventos y características incluirán drops de ítems relacionados.
- Misiones: modificada la dificultad de algunas misiones principales y secundarias después de desbloquear las unidades T6.
- Edificios: optimizados los requisitos de mejora para los cuatro campamentos de tropas después del Nvl. 30.
- Retos del Impasse: cambiados los tipos de misiones en los capítulos 5 y 9 y reducida la dificultad de superar niveles con 3 estrellas.
- Ruinas: reducida la dificultad de los Monos Mutantes estacionados en ruinas.
- Añadida una opción para si desplegar mechs como predeterminado.
- Los miembros de la Banda ahora pueden ayudarte a acelerar la curación de los mechs.
- Recomendación de talento: mejorados los talentos recomendados de algunos Luchadores basados en sus habilidades y especializaciones.
- Cambiados los requisitos de las misiones y contenidos de los paquetes de logros de equipamiento legendario; el límite de compra se reiniciará para todos los paquetes después de la actualización.</v>
      </c>
      <c r="K42" s="108" t="str">
        <f>IFERROR(__xludf.DUMMYFUNCTION("""COMPUTED_VALUE"""),"- Задания банды: уменьшена сложность некоторых заданий.
- Гонки поездов: больше очков за победу над отрядами T6.
- Активные навыки оборудования: сокращен интервал между применениями различных активных навыков.
- Изменены выпадения: как только отряды T6 ст"&amp;"анут доступны на ваших серверах, некоторые события и функции будут включать связанные выпадения предметов.
- Задания: изменена сложность некоторых связанных основных и дополнительных заданий после разблокировки отрядов T6.
- Постройки: оптимизированы треб"&amp;"ования к улучшению для четырех лагерей войск после Ур. 30.
- Испытания Тупика: изменены типы заданий в главах 5 и 9 и снижена сложность прохождения уровней с 3 звездами.
- Руины: снижена сложность мутантов, размещенных в руинах.
- Добавлена опция о том, с"&amp;"ледует ли по умолчанию размещать мехов.
- Участники банды теперь могут помочь вам ускорить лечение мехов.
- Рекомендация талантов: улучшены рекомендуемые таланты некоторых Героев на основе их навыков и специализаций.
- Изменены требования и содержание зад"&amp;"аний для достижения наборов легендарного оборудования; лимит покупки будет сброшен для всех наборов после обновления.")</f>
        <v>- Задания банды: уменьшена сложность некоторых заданий.
- Гонки поездов: больше очков за победу над отрядами T6.
- Активные навыки оборудования: сокращен интервал между применениями различных активных навыков.
- Изменены выпадения: как только отряды T6 станут доступны на ваших серверах, некоторые события и функции будут включать связанные выпадения предметов.
- Задания: изменена сложность некоторых связанных основных и дополнительных заданий после разблокировки отрядов T6.
- Постройки: оптимизированы требования к улучшению для четырех лагерей войск после Ур. 30.
- Испытания Тупика: изменены типы заданий в главах 5 и 9 и снижена сложность прохождения уровней с 3 звездами.
- Руины: снижена сложность мутантов, размещенных в руинах.
- Добавлена опция о том, следует ли по умолчанию размещать мехов.
- Участники банды теперь могут помочь вам ускорить лечение мехов.
- Рекомендация талантов: улучшены рекомендуемые таланты некоторых Героев на основе их навыков и специализаций.
- Изменены требования и содержание заданий для достижения наборов легендарного оборудования; лимит покупки будет сброшен для всех наборов после обновления.</v>
      </c>
      <c r="L42" s="108" t="str">
        <f>IFERROR(__xludf.DUMMYFUNCTION("""COMPUTED_VALUE"""),"- Çete maceraları: bazı maceraların zorluğu azaltıldı.
- Trene Hücum: T6 birimlerini yenmek için daha fazla puan.
- Aktif ekipman becerileri: çeşitli aktif becerilerin dökülmesi arasındaki süre kısaltıldı.
- Düşmeler değiştirildi: T6 birimler sunucularını"&amp;"zda kullanılabilir olduğunda, bazı etkinlikler ve özellikler ilgili eşya düşmelerini içerecektir.
- Maceralar: T6 birimlerin kilidi açıldıktan sonra bazı ilgili ana ve yan maceraların zorluğu değiştirildi.
- Binalar: 30. Seviye sonrası dört birlik kampını"&amp;"n yükseltme gereklilikleri optimize edildi.
- Çıkmaz Durum Denemeleri: 5 ve 9. bölümlerdeki macera türlerini değiştirdi ve 3 yıldızla seviyeleri temizlemenin zorluğunu düşürdü.
- Harabeler: harabelerde konuşlanan mutant maymunların zorluğunu düşürdü.
- Me"&amp;"kaları varsayılan olarak gönderip göndermeme seçeneği eklendi.
- Çete üyeleri artık mekaların iyileşmesini hızlandırmanıza yardımcı olabilir.
- Yetenek önerisi: bazı Savaşçıların becerilerine ve uzmanlık alanlarına dayalı önerilen yeteneklerini geliştirdi"&amp;".
- Efsanevi ekipman başarı paketlerinin macera gereklilikleri ve içerikleri değiştirildi; güncellemeyi takiben tüm paketler için satın alma limiti sıfırlanacak.")</f>
        <v>- Çete maceraları: bazı maceraların zorluğu azaltıldı.
- Trene Hücum: T6 birimlerini yenmek için daha fazla puan.
- Aktif ekipman becerileri: çeşitli aktif becerilerin dökülmesi arasındaki süre kısaltıldı.
- Düşmeler değiştirildi: T6 birimler sunucularınızda kullanılabilir olduğunda, bazı etkinlikler ve özellikler ilgili eşya düşmelerini içerecektir.
- Maceralar: T6 birimlerin kilidi açıldıktan sonra bazı ilgili ana ve yan maceraların zorluğu değiştirildi.
- Binalar: 30. Seviye sonrası dört birlik kampının yükseltme gereklilikleri optimize edildi.
- Çıkmaz Durum Denemeleri: 5 ve 9. bölümlerdeki macera türlerini değiştirdi ve 3 yıldızla seviyeleri temizlemenin zorluğunu düşürdü.
- Harabeler: harabelerde konuşlanan mutant maymunların zorluğunu düşürdü.
- Mekaları varsayılan olarak gönderip göndermeme seçeneği eklendi.
- Çete üyeleri artık mekaların iyileşmesini hızlandırmanıza yardımcı olabilir.
- Yetenek önerisi: bazı Savaşçıların becerilerine ve uzmanlık alanlarına dayalı önerilen yeteneklerini geliştirdi.
- Efsanevi ekipman başarı paketlerinin macera gereklilikleri ve içerikleri değiştirildi; güncellemeyi takiben tüm paketler için satın alma limiti sıfırlanacak.</v>
      </c>
      <c r="M42" s="108" t="str">
        <f>IFERROR(__xludf.DUMMYFUNCTION("""COMPUTED_VALUE"""),"- Nhiệm vụ Bang Hội: giảm độ khó của một số nhiệm vụ.
- Xe Lửa Tranh Bá: thêm điểm khi đánh bại đơn vị T6.
- Kỹ năng trang bị đang hoạt động: rút ngắn khoảng thời gian giữa các lần sử dụng các kỹ năng chủ động khác nhau.
- Thay đổi vật phẩm rơi: một khi đ"&amp;"ơn vị T6 có sẵn trên máy chủ của bạn, một số sự kiện và tính năng sẽ bao gồm các vật phẩm liên quan rơi.
- Nhiệm vụ: chỉnh sửa độ khó của một số nhiệm vụ chính và phụ liên quan sau khi đơn vị T6 được mở khóa.
- Xây dựng: tối ưu hóa yêu cầu nâng cấp cho bố"&amp;"n trại quân sau Cấp 30.
- Thí Luyện Tuyệt Địa: thay đổi loại nhiệm vụ trong chương 5 và 9 và giảm độ khó của việc hoàn thành cấp độ với 3 sao.
- Tàn Tích: giảm độ khó của khỉ đột biến đóng quân trong tàn tích.
- Đã thêm tùy chọn về việc có triển khai cơ k"&amp;"hí như một mặc định hay không.
- Thành viên Bang Hội giờ đây có thể giúp bạn tăng tốc độ chữa lành cơ khí.
- Đề xuất tài năng: cải thiện tài năng đề xuất của một số Chiến Binh dựa trên kỹ năng và chuyên môn của họ.
- Thay đổi yêu cầu nhiệm vụ và nội dung "&amp;"của gói thành tựu trang bị huyền thoại; giới hạn mua sẽ được đặt lại cho tất cả các gói sau khi cập nhật.")</f>
        <v>- Nhiệm vụ Bang Hội: giảm độ khó của một số nhiệm vụ.
- Xe Lửa Tranh Bá: thêm điểm khi đánh bại đơn vị T6.
- Kỹ năng trang bị đang hoạt động: rút ngắn khoảng thời gian giữa các lần sử dụng các kỹ năng chủ động khác nhau.
- Thay đổi vật phẩm rơi: một khi đơn vị T6 có sẵn trên máy chủ của bạn, một số sự kiện và tính năng sẽ bao gồm các vật phẩm liên quan rơi.
- Nhiệm vụ: chỉnh sửa độ khó của một số nhiệm vụ chính và phụ liên quan sau khi đơn vị T6 được mở khóa.
- Xây dựng: tối ưu hóa yêu cầu nâng cấp cho bốn trại quân sau Cấp 30.
- Thí Luyện Tuyệt Địa: thay đổi loại nhiệm vụ trong chương 5 và 9 và giảm độ khó của việc hoàn thành cấp độ với 3 sao.
- Tàn Tích: giảm độ khó của khỉ đột biến đóng quân trong tàn tích.
- Đã thêm tùy chọn về việc có triển khai cơ khí như một mặc định hay không.
- Thành viên Bang Hội giờ đây có thể giúp bạn tăng tốc độ chữa lành cơ khí.
- Đề xuất tài năng: cải thiện tài năng đề xuất của một số Chiến Binh dựa trên kỹ năng và chuyên môn của họ.
- Thay đổi yêu cầu nhiệm vụ và nội dung của gói thành tựu trang bị huyền thoại; giới hạn mua sẽ được đặt lại cho tất cả các gói sau khi cập nhật.</v>
      </c>
      <c r="N42" s="108" t="str">
        <f>IFERROR(__xludf.DUMMYFUNCTION("""COMPUTED_VALUE"""),"- Missioni Gang: ridotta la difficoltà di alcune missioni.
- Corsa dei treni: più punti per aver sconfitto le unità T6.
- Abilità attive dell'equipaggiamento: accorciato l'intervallo tra le varie abilità attive.
- Modifiche ai drop: una volta che le unità"&amp;" T6 sono disponibili sui vostri server, alcuni eventi e funzionalità includeranno drop di oggetti correlati.
- Missioni: modificata la difficoltà di alcune missioni principali e secondarie dopo lo sblocco delle unità T6.
- Edifici: ottimizzati i requisiti"&amp;" di potenziamento per i quattro campi truppa dopo il Liv.30.
- Prove dell'Impasse: cambiati i tipi di missione nei capitoli 5 e 9 e abbassata la difficoltà di superare i livelli con 3 stelle.
- Rudere: abbassata la difficoltà dei mutanti presidiati nelle "&amp;"rovine.
- Aggiunta un'opzione per stabilire se schierare i mech come predefinito.
- I membri della Gang possono ora aiutarti ad accelerare la guarigione dei mech.
- Consigli sui talenti: migliorati i talenti consigliati di alcuni Combattenti in base alle "&amp;"loro abilità e specializzazioni.
- Cambiati i requisiti e i contenuti delle missioni dei pacchetti di raggiungimento dell'equipaggiamento leggendario; il limite di acquisto sarà reimpostato per tutti i pacchetti dopo l'aggiornamento.")</f>
        <v>- Missioni Gang: ridotta la difficoltà di alcune missioni.
- Corsa dei treni: più punti per aver sconfitto le unità T6.
- Abilità attive dell'equipaggiamento: accorciato l'intervallo tra le varie abilità attive.
- Modifiche ai drop: una volta che le unità T6 sono disponibili sui vostri server, alcuni eventi e funzionalità includeranno drop di oggetti correlati.
- Missioni: modificata la difficoltà di alcune missioni principali e secondarie dopo lo sblocco delle unità T6.
- Edifici: ottimizzati i requisiti di potenziamento per i quattro campi truppa dopo il Liv.30.
- Prove dell'Impasse: cambiati i tipi di missione nei capitoli 5 e 9 e abbassata la difficoltà di superare i livelli con 3 stelle.
- Rudere: abbassata la difficoltà dei mutanti presidiati nelle rovine.
- Aggiunta un'opzione per stabilire se schierare i mech come predefinito.
- I membri della Gang possono ora aiutarti ad accelerare la guarigione dei mech.
- Consigli sui talenti: migliorati i talenti consigliati di alcuni Combattenti in base alle loro abilità e specializzazioni.
- Cambiati i requisiti e i contenuti delle missioni dei pacchetti di raggiungimento dell'equipaggiamento leggendario; il limite di acquisto sarà reimpostato per tutti i pacchetti dopo l'aggiornamento.</v>
      </c>
      <c r="O42" s="108" t="str">
        <f>IFERROR(__xludf.DUMMYFUNCTION("""COMPUTED_VALUE"""),"- Zadania gangu: zmniejszono trudność niektórych zadań.
- Pęd pociągu: więcej punktów za pokonanie jednostek T6.
- Aktywne umiejętności wyposażenia: skrócono interwał między rzutami różnych aktywnych umiejętności.
- Modyfikacje dropów: gdy jednostki T6 bę"&amp;"dą dostępne na twoich serwerach, niektóre wydarzenia i funkcje będą zawierały powiązane dropy przedmiotów.
- Zadania: zmodyfikowano trudność niektórych powiązanych głównych i pobocznych zadań po odblokowaniu jednostek T6.
- Budynki: zoptymalizowano wymaga"&amp;"nia dotyczące ulepszeń dla czterech obozów wojskowych po osiągnięciu poziomu 30.
- Próby impasu: zmieniono typy zadań w rozdziałach 5 i 9 oraz obniżono trudność przejścia poziomów z 3 gwiazdkami.
- Ruiny: obniżono trudność mutantów stacjonujących w ruinac"&amp;"h.
- Dodano opcję, czy mechów należy domyślnie rozmieszczać.
- Członkowie gangu mogą teraz pomóc ci przyspieszyć leczenie mechów.
- Rekomendacja talentów: ulepszono rekomendowane talenty niektórych wojowników na podstawie ich umiejętności i specjalizacji."&amp;"
- Zmieniono wymagania i treści zadań dotyczących pakietów osiągnięć legendarnego sprzętu; limit zakupu zostanie zresetowany dla wszystkich pakietów po aktualizacji.")</f>
        <v>- Zadania gangu: zmniejszono trudność niektórych zadań.
- Pęd pociągu: więcej punktów za pokonanie jednostek T6.
- Aktywne umiejętności wyposażenia: skrócono interwał między rzutami różnych aktywnych umiejętności.
- Modyfikacje dropów: gdy jednostki T6 będą dostępne na twoich serwerach, niektóre wydarzenia i funkcje będą zawierały powiązane dropy przedmiotów.
- Zadania: zmodyfikowano trudność niektórych powiązanych głównych i pobocznych zadań po odblokowaniu jednostek T6.
- Budynki: zoptymalizowano wymagania dotyczące ulepszeń dla czterech obozów wojskowych po osiągnięciu poziomu 30.
- Próby impasu: zmieniono typy zadań w rozdziałach 5 i 9 oraz obniżono trudność przejścia poziomów z 3 gwiazdkami.
- Ruiny: obniżono trudność mutantów stacjonujących w ruinach.
- Dodano opcję, czy mechów należy domyślnie rozmieszczać.
- Członkowie gangu mogą teraz pomóc ci przyspieszyć leczenie mechów.
- Rekomendacja talentów: ulepszono rekomendowane talenty niektórych wojowników na podstawie ich umiejętności i specjalizacji.
- Zmieniono wymagania i treści zadań dotyczących pakietów osiągnięć legendarnego sprzętu; limit zakupu zostanie zresetowany dla wszystkich pakietów po aktualizacji.</v>
      </c>
      <c r="P42" s="108" t="str">
        <f>IFERROR(__xludf.DUMMYFUNCTION("""COMPUTED_VALUE"""),"- مهام العصابة: تم تخفيف صعوبة بعض المهام.
- القطار المندفع: المزيد من النقاط لهزيمة الوحدات T6.
- مهارات التجهيز النشطة: تقليل الفاصل الزمني بين الإرساليات لمختلف المهارات النشطة.
- تم تعديل القطرات: بمجرد أن تكون الوحدات T6 متاحة على خوادمك، ستتضمن بعض "&amp;"الأحداث والميزات قطرات العناصر ذات الصلة.
- المهام: تم تعديل صعوبة بعض المهام الرئيسية والجانبية المتعلقة بعد فتح الوحدات T6.
- المباني: تم تحسين متطلبات الترقية لمعسكرات القوات الأربعة بعد المستوى 30.
- زنزانة الطريق المسدود: تغيير أنواع المهام في الفصول"&amp;" 5 و9 وخفض صعوبة مسح المستويات بـ 3 نجوم.
- الأنقاض: خفض صعوبة القرود المسخ المتمركزة في الأنقاض.
- تمت إضافة خيار لما إذا كان يجب نشر الميكا كافتراضي.
- يمكن لأعضاء العصابة الآن مساعدتك في تسريع شفاء الميكا.
- توصية المواهب: تحسين المواهب الموصى بها لبعض"&amp;" المقاتلين بناءً على مهاراتهم وتخصصاتهم.
- تغيير متطلبات المهمة ومحتويات حزم إنجاز المعدات الأسطورية؛ سيتم إعادة ضبط الحد الأقصى للشراء لجميع الحزم بعد التحديث.")</f>
        <v>- مهام العصابة: تم تخفيف صعوبة بعض المهام.
- القطار المندفع: المزيد من النقاط لهزيمة الوحدات T6.
- مهارات التجهيز النشطة: تقليل الفاصل الزمني بين الإرساليات لمختلف المهارات النشطة.
- تم تعديل القطرات: بمجرد أن تكون الوحدات T6 متاحة على خوادمك، ستتضمن بعض الأحداث والميزات قطرات العناصر ذات الصلة.
- المهام: تم تعديل صعوبة بعض المهام الرئيسية والجانبية المتعلقة بعد فتح الوحدات T6.
- المباني: تم تحسين متطلبات الترقية لمعسكرات القوات الأربعة بعد المستوى 30.
- زنزانة الطريق المسدود: تغيير أنواع المهام في الفصول 5 و9 وخفض صعوبة مسح المستويات بـ 3 نجوم.
- الأنقاض: خفض صعوبة القرود المسخ المتمركزة في الأنقاض.
- تمت إضافة خيار لما إذا كان يجب نشر الميكا كافتراضي.
- يمكن لأعضاء العصابة الآن مساعدتك في تسريع شفاء الميكا.
- توصية المواهب: تحسين المواهب الموصى بها لبعض المقاتلين بناءً على مهاراتهم وتخصصاتهم.
- تغيير متطلبات المهمة ومحتويات حزم إنجاز المعدات الأسطورية؛ سيتم إعادة ضبط الحد الأقصى للشراء لجميع الحزم بعد التحديث.</v>
      </c>
      <c r="Q42" s="108" t="str">
        <f>IFERROR(__xludf.DUMMYFUNCTION("""COMPUTED_VALUE"""),"- ギルドクエスト：一部のクエストの難易度を下げました。
- トレインラッシュ：T6ユニットを倒すためのポイントが増えました。
- アクティブ装備スキル：様々なアクティブスキルのキャスト間隔を短縮しました。
- ドロップ修正：あなたのサーバーでT6ユニットが利用可能になると、一部のイベントと機能に関連するアイテムドロップが含まれるようになります。
- クエスト：T6ユニットが解除された後の関連メインクエストとサイドクエストの難易度を修正しました。
- 建築物：Lv. 30以降の四つの兵舎のアップグレード要"&amp;"件を最適化しました。
- 逆境の試練：第5章と第9章のクエストタイプを変更し、3つ星でレベルをクリアする難易度を下げました。
- 廃墟：廃墟に駐屯する変異エイプの難易度を下げました。
- メカをデフォルトで配置するかどうかのオプションを追加しました。
- ギルドのメンバーは、あなたがメカの治療を速めるのを手伝うことができるようになりました。
- アビリティ推奨：一部のファイターのスキルと専門性に基づいて、推奨アビリティを改善しました。
- 伝説的な装備の実績パックのクエスト要件と内容を変更し、アップデート"&amp;"後のすべてのパックについて購入制限がリセットされます。")</f>
        <v>- ギルドクエスト：一部のクエストの難易度を下げました。
- トレインラッシュ：T6ユニットを倒すためのポイントが増えました。
- アクティブ装備スキル：様々なアクティブスキルのキャスト間隔を短縮しました。
- ドロップ修正：あなたのサーバーでT6ユニットが利用可能になると、一部のイベントと機能に関連するアイテムドロップが含まれるようになります。
- クエスト：T6ユニットが解除された後の関連メインクエストとサイドクエストの難易度を修正しました。
- 建築物：Lv. 30以降の四つの兵舎のアップグレード要件を最適化しました。
- 逆境の試練：第5章と第9章のクエストタイプを変更し、3つ星でレベルをクリアする難易度を下げました。
- 廃墟：廃墟に駐屯する変異エイプの難易度を下げました。
- メカをデフォルトで配置するかどうかのオプションを追加しました。
- ギルドのメンバーは、あなたがメカの治療を速めるのを手伝うことができるようになりました。
- アビリティ推奨：一部のファイターのスキルと専門性に基づいて、推奨アビリティを改善しました。
- 伝説的な装備の実績パックのクエスト要件と内容を変更し、アップデート後のすべてのパックについて購入制限がリセットされます。</v>
      </c>
      <c r="R42" s="108" t="str">
        <f>IFERROR(__xludf.DUMMYFUNCTION("""COMPUTED_VALUE"""),"- 무리 임무: 일부 임무의 난이도를 낮춤.
- 기차 쟁탈전: T6 유닛을 패배시키면 더 많은 포인트를 얻습니다.
- 활성 장비 스킬: 다양한 활성 스킬의 시전 간격을 단축시켰습니다.
- 드롭 수정: 당신의 서버에서 T6 유닛을 사용할 수 있게 되면, 일부 이벤트와 기능에 관련 아이템 드롭이 포함될 것입니다.
- 임무: T6 유닛이 잠금 해제된 후, 일부 관련 메인 및 사이드 임무의 난이도를 수정했습니다.
- 건축물: Lv. 30 이후 네 개의 병영 캠"&amp;"프에 대한 업그레이드 요구 사항을 최적화했습니다.
- 절대절명의 시련: 5장과 9장에서 임무 유형을 변경하고 3개의 별로 레벨을 클리어하는 난이도를 낮췄습니다.
- 폐허: 폐허에 주둔한 변이 원숭이의 난이도를 낮춤.
- 메카를 기본값으로 배치할지 여부에 대한 옵션을 추가했습니다.
- 무리 회원들이 이제 당신이 메카를 치료하는 속도를 높일 수 있도록 도와줄 수 있습니다.
- 재능 추천: 일부 전사의 스킬과 전문화에 기반한 추천 재능을 개선했습니다.
- 전"&amp;"설적인 장비 성과 패키지의 임무 요구 사항과 내용을 변경했습니다; 업데이트 이후 모든 패키지에 대한 구매 제한이 리셋될 것입니다.")</f>
        <v>- 무리 임무: 일부 임무의 난이도를 낮춤.
- 기차 쟁탈전: T6 유닛을 패배시키면 더 많은 포인트를 얻습니다.
- 활성 장비 스킬: 다양한 활성 스킬의 시전 간격을 단축시켰습니다.
- 드롭 수정: 당신의 서버에서 T6 유닛을 사용할 수 있게 되면, 일부 이벤트와 기능에 관련 아이템 드롭이 포함될 것입니다.
- 임무: T6 유닛이 잠금 해제된 후, 일부 관련 메인 및 사이드 임무의 난이도를 수정했습니다.
- 건축물: Lv. 30 이후 네 개의 병영 캠프에 대한 업그레이드 요구 사항을 최적화했습니다.
- 절대절명의 시련: 5장과 9장에서 임무 유형을 변경하고 3개의 별로 레벨을 클리어하는 난이도를 낮췄습니다.
- 폐허: 폐허에 주둔한 변이 원숭이의 난이도를 낮춤.
- 메카를 기본값으로 배치할지 여부에 대한 옵션을 추가했습니다.
- 무리 회원들이 이제 당신이 메카를 치료하는 속도를 높일 수 있도록 도와줄 수 있습니다.
- 재능 추천: 일부 전사의 스킬과 전문화에 기반한 추천 재능을 개선했습니다.
- 전설적인 장비 성과 패키지의 임무 요구 사항과 내용을 변경했습니다; 업데이트 이후 모든 패키지에 대한 구매 제한이 리셋될 것입니다.</v>
      </c>
      <c r="S42" s="108"/>
      <c r="T42" s="108"/>
      <c r="U42" s="108"/>
      <c r="V42" s="108"/>
      <c r="W42" s="108"/>
      <c r="X42" s="108"/>
      <c r="Y42" s="108"/>
      <c r="Z42" s="108"/>
    </row>
    <row r="43">
      <c r="A43" s="108" t="str">
        <f>IFERROR(__xludf.DUMMYFUNCTION("""COMPUTED_VALUE"""),"0.59.0")</f>
        <v>0.59.0</v>
      </c>
      <c r="B43" s="108" t="str">
        <f>IFERROR(__xludf.DUMMYFUNCTION("""COMPUTED_VALUE"""),"- 好友托管: 大幅降低了好友托管的亲密度需求；
- 功能解锁: 机甲系统的开放时间调整服务器时间第22天，战装系统的功能解锁时间调整服务器时间第35天，相关系统与产出也进行相应调整；
- 前期游戏: 进化之猿奥斯卡技能数值调整；
- 霍格博士: 新增红色收藏品增益档位；
- 战地争锋: 战地争锋玩法内，积分，兵种技能等数值优化；
- 改造猴的威胁:  深渊难度数值调整；
- 机甲远征: 机甲远征推荐战力优化；
- 帮派主线: 优化了各类任务标签的状态和领取逻辑，现在可以更便捷地查看任务。")</f>
        <v>- 好友托管: 大幅降低了好友托管的亲密度需求；
- 功能解锁: 机甲系统的开放时间调整服务器时间第22天，战装系统的功能解锁时间调整服务器时间第35天，相关系统与产出也进行相应调整；
- 前期游戏: 进化之猿奥斯卡技能数值调整；
- 霍格博士: 新增红色收藏品增益档位；
- 战地争锋: 战地争锋玩法内，积分，兵种技能等数值优化；
- 改造猴的威胁:  深渊难度数值调整；
- 机甲远征: 机甲远征推荐战力优化；
- 帮派主线: 优化了各类任务标签的状态和领取逻辑，现在可以更便捷地查看任务。</v>
      </c>
      <c r="C43" s="108" t="str">
        <f>IFERROR(__xludf.DUMMYFUNCTION("""COMPUTED_VALUE"""),"- Troop delegation: drastically lowered the Familiarity required for delegating troops between friends.
- Feature availability timeline: mech feature now unlocks 22 days after the server opens; equipment unlocks on day 35, with corresponding adjustments f"&amp;"or related systems and reward drops.
- Early game: Oscar skill stats modified for Ape Evolution.
- Dr. Hogg: new Super Relic boosts.
- Primate Standoff: scores and unit skill stats optimized.
- Threat of the Modified Monkeys: stats modified for inferno di"&amp;"fficulty.
- Mech Expedition: recommended power optimized.
- Gang quests: optimized the status and collection processes for different quest types; you can now check quests more easily.")</f>
        <v>- Troop delegation: drastically lowered the Familiarity required for delegating troops between friends.
- Feature availability timeline: mech feature now unlocks 22 days after the server opens; equipment unlocks on day 35, with corresponding adjustments for related systems and reward drops.
- Early game: Oscar skill stats modified for Ape Evolution.
- Dr. Hogg: new Super Relic boosts.
- Primate Standoff: scores and unit skill stats optimized.
- Threat of the Modified Monkeys: stats modified for inferno difficulty.
- Mech Expedition: recommended power optimized.
- Gang quests: optimized the status and collection processes for different quest types; you can now check quests more easily.</v>
      </c>
      <c r="D43" s="108" t="str">
        <f>IFERROR(__xludf.DUMMYFUNCTION("""COMPUTED_VALUE"""),"- Délégation de troupes : la familiarité requise pour déléguer des troupes entre amis a été considérablement réduite.
- Calendrier de disponibilité des fonctionnalités : la fonctionnalité mécha est maintenant débloquée 22 jours après l'ouverture du serveu"&amp;"r ; l'équipement se débloque au jour 35, avec des ajustements correspondants pour les systèmes associés et les chutes de récompenses.
- Début de jeu : les statistiques de compétence d'Oscar modifiées pour l'Évolution Primate.
- Dr. Hogg : nouveaux boosts "&amp;"de Super Relique.
- Confrontation Primate : optimisation des scores et des statistiques de compétence d'unité.
- Menace des Singes Expérimentaux : statistiques modifiées pour la difficulté inferno.
- Expédition Mécha : puissance recommandée optimisée.
- Q"&amp;"uêtes de gang : optimisation des processus de statut et de collecte pour différents types de quêtes ; vous pouvez maintenant vérifier les quêtes plus facilement.")</f>
        <v>- Délégation de troupes : la familiarité requise pour déléguer des troupes entre amis a été considérablement réduite.
- Calendrier de disponibilité des fonctionnalités : la fonctionnalité mécha est maintenant débloquée 22 jours après l'ouverture du serveur ; l'équipement se débloque au jour 35, avec des ajustements correspondants pour les systèmes associés et les chutes de récompenses.
- Début de jeu : les statistiques de compétence d'Oscar modifiées pour l'Évolution Primate.
- Dr. Hogg : nouveaux boosts de Super Relique.
- Confrontation Primate : optimisation des scores et des statistiques de compétence d'unité.
- Menace des Singes Expérimentaux : statistiques modifiées pour la difficulté inferno.
- Expédition Mécha : puissance recommandée optimisée.
- Quêtes de gang : optimisation des processus de statut et de collecte pour différents types de quêtes ; vous pouvez maintenant vérifier les quêtes plus facilement.</v>
      </c>
      <c r="E43" s="108" t="str">
        <f>IFERROR(__xludf.DUMMYFUNCTION("""COMPUTED_VALUE"""),"- Truppen-Delegieren: Die für das Delegieren von Truppen zwischen Freunden erforderliche Vertrautheit wurde drastisch gesenkt.
- Verfügbarkeitszeitplan der Funktionen: Mech-Funktion wird jetzt 22 Tage nach der Servereröffnung freigeschaltet; Ausrüstung wi"&amp;"rd am Tag 35 freigeschaltet, mit entsprechenden Anpassungen für verwandte Systeme und Belohnungs-Drops.
- Frühes Spiel: Oscar-Fähigkeitsstatistiken für Affen-Evolution modifiziert.
- Dr. Hogg: neue Super-Relikt-Boosts.
- Primaten-Konfrontation: Punktzahle"&amp;"n und Einheitenfähigkeitsstatistiken optimiert.
- Bedrohung der Modifizierten Affen: Statistiken für Inferno-Schwierigkeit modifiziert.
- Mech-Expedition: Empfohlene Stärke optimiert.
- Clan-Aufgaben: Der Status und die Sammelprozesse für verschiedene Auf"&amp;"gabentypen wurden optimiert; du kannst jetzt Aufgaben leichter überprüfen.")</f>
        <v>- Truppen-Delegieren: Die für das Delegieren von Truppen zwischen Freunden erforderliche Vertrautheit wurde drastisch gesenkt.
- Verfügbarkeitszeitplan der Funktionen: Mech-Funktion wird jetzt 22 Tage nach der Servereröffnung freigeschaltet; Ausrüstung wird am Tag 35 freigeschaltet, mit entsprechenden Anpassungen für verwandte Systeme und Belohnungs-Drops.
- Frühes Spiel: Oscar-Fähigkeitsstatistiken für Affen-Evolution modifiziert.
- Dr. Hogg: neue Super-Relikt-Boosts.
- Primaten-Konfrontation: Punktzahlen und Einheitenfähigkeitsstatistiken optimiert.
- Bedrohung der Modifizierten Affen: Statistiken für Inferno-Schwierigkeit modifiziert.
- Mech-Expedition: Empfohlene Stärke optimiert.
- Clan-Aufgaben: Der Status und die Sammelprozesse für verschiedene Aufgabentypen wurden optimiert; du kannst jetzt Aufgaben leichter überprüfen.</v>
      </c>
      <c r="F43" s="108" t="str">
        <f>IFERROR(__xludf.DUMMYFUNCTION("""COMPUTED_VALUE"""),"- Delegação de tropas: redução drástica da Familiaridade necessária para delegar tropas entre amigos.
- Cronograma de disponibilidade de recursos: recurso de mech agora desbloqueia 22 dias após a abertura do servidor; equipamentos desbloqueiam no dia 35, "&amp;"com ajustes correspondentes para sistemas relacionados e queda de recompensas.
- Início do jogo: estatísticas da habilidade de Oscar modificadas para Evolução do Macaco.
- Dr. Hogg: novos bônus do Super Relíquia.
- Confronto Primata: pontuações e estatíst"&amp;"icas da habilidade de unidade otimizadas.
- Ameaça dos Macacos Modificados: estatísticas modificadas para dificuldade inferno.
- Expedição Mech: poder recomendado otimizado.
- Missões da gangue: otimizados o status e os processos de coleta para diferentes"&amp;" tipos de missões; agora você pode verificar as missões mais facilmente.")</f>
        <v>- Delegação de tropas: redução drástica da Familiaridade necessária para delegar tropas entre amigos.
- Cronograma de disponibilidade de recursos: recurso de mech agora desbloqueia 22 dias após a abertura do servidor; equipamentos desbloqueiam no dia 35, com ajustes correspondentes para sistemas relacionados e queda de recompensas.
- Início do jogo: estatísticas da habilidade de Oscar modificadas para Evolução do Macaco.
- Dr. Hogg: novos bônus do Super Relíquia.
- Confronto Primata: pontuações e estatísticas da habilidade de unidade otimizadas.
- Ameaça dos Macacos Modificados: estatísticas modificadas para dificuldade inferno.
- Expedição Mech: poder recomendado otimizado.
- Missões da gangue: otimizados o status e os processos de coleta para diferentes tipos de missões; agora você pode verificar as missões mais facilmente.</v>
      </c>
      <c r="G43" s="108" t="str">
        <f>IFERROR(__xludf.DUMMYFUNCTION("""COMPUTED_VALUE"""),"- 好友托管: 大幅降低了好友托管的親密度需求；
- 功能解鎖: 機甲系統的開放時間調整伺服器時間第22天，戰裝系統的功能解鎖時間調整伺服器時間第35天，相關系統與產出也進行相應調整；
- 前期遊戲: 進化之猿奧斯卡技能數值調整；
- 霍格博士: 新增紅色收藏品增益檔位；
- 戰地爭鋒: 戰地爭鋒玩法內，積分，兵種技能等數值優化；
- 改造猴的威脅: 深淵難度數值調整；
- 機甲遠征: 機甲遠征推薦戰力優化；
- 幫派主線: 優化了各類任務標籤的狀態和領取邏輯，現在可以更便捷地檢查任務。")</f>
        <v>- 好友托管: 大幅降低了好友托管的親密度需求；
- 功能解鎖: 機甲系統的開放時間調整伺服器時間第22天，戰裝系統的功能解鎖時間調整伺服器時間第35天，相關系統與產出也進行相應調整；
- 前期遊戲: 進化之猿奧斯卡技能數值調整；
- 霍格博士: 新增紅色收藏品增益檔位；
- 戰地爭鋒: 戰地爭鋒玩法內，積分，兵種技能等數值優化；
- 改造猴的威脅: 深淵難度數值調整；
- 機甲遠征: 機甲遠征推薦戰力優化；
- 幫派主線: 優化了各類任務標籤的狀態和領取邏輯，現在可以更便捷地檢查任務。</v>
      </c>
      <c r="H43" s="108" t="str">
        <f>IFERROR(__xludf.DUMMYFUNCTION("""COMPUTED_VALUE"""),"- Delegasi pasukan: secara drastis menurunkan Intimasi yang diperlukan untuk mendelegasikan pasukan antar teman.
- Linimasa ketersediaan fitur: fitur mekanik kini terbuka 22 hari setelah server dibuka; perlengkapan terbuka pada hari ke-35, dengan penyesua"&amp;"ian yang sesuai untuk sistem terkait dan penurunan hadiah.
- Awal permainan: statistik skill Oscar dimodifikasi untuk Evolusi Kera.
- Dr. Hogg: peningkatan Super Relic baru.
- Konfrontasi Primata: skor dan statistik keahlian unit dioptimalkan.
- Ancaman K"&amp;"era Modifikasi: statistik dimodifikasi untuk kesulitan inferno.
- Ekspedisi Mekanik: rekomendasi kekuatan dioptimalkan.
- Tantangan Geng: mengoptimalkan proses status dan pengumpulan untuk berbagai jenis misi; kamu sekarang dapat memeriksa misi dengan leb"&amp;"ih mudah.")</f>
        <v>- Delegasi pasukan: secara drastis menurunkan Intimasi yang diperlukan untuk mendelegasikan pasukan antar teman.
- Linimasa ketersediaan fitur: fitur mekanik kini terbuka 22 hari setelah server dibuka; perlengkapan terbuka pada hari ke-35, dengan penyesuaian yang sesuai untuk sistem terkait dan penurunan hadiah.
- Awal permainan: statistik skill Oscar dimodifikasi untuk Evolusi Kera.
- Dr. Hogg: peningkatan Super Relic baru.
- Konfrontasi Primata: skor dan statistik keahlian unit dioptimalkan.
- Ancaman Kera Modifikasi: statistik dimodifikasi untuk kesulitan inferno.
- Ekspedisi Mekanik: rekomendasi kekuatan dioptimalkan.
- Tantangan Geng: mengoptimalkan proses status dan pengumpulan untuk berbagai jenis misi; kamu sekarang dapat memeriksa misi dengan lebih mudah.</v>
      </c>
      <c r="I43" s="108" t="str">
        <f>IFERROR(__xludf.DUMMYFUNCTION("""COMPUTED_VALUE"""),"- มอบหมายกองทหาร: ลดความสนิทสนมที่จำเป็นสำหรับการมอบหมายกองทหารระหว่างเพื่อนอย่างมาก.
- ไทม์ไลน์ความพร้อมใช้งานของฟีเจอร์: ฟีเจอร์เมคปลดล็อกใน 22 วันหลังจากเซิร์ฟเวอร์เปิด; อุปกรณ์ปลดล็อกในวันที่ 35, พร้อมการปรับเปลี่ยนที่สอดคล้องกันสำหรับระบบที่เกี่ยวข้อ"&amp;"งและการหล่นของรางวัล.
- เกมต้น: สถิติทักษะออสการ์ปรับเปลี่ยนสำหรับวิวัฒนาการวานร.
- ดร.ฮ็อกก์: บูสต์ Super Relic ใหม่.
- ตำแหน่งสถานการณ์ค้านของวานร: คะแนนและสถิติทักษะของหน่วยได้รับการปรับให้เหมาะสม.
- ภัยคุกคามจากลิงดัดแปลง: สถิติปรับเปลี่ยนสำหรับระดับค"&amp;"วามยาก inferno.
- การสำรวจเมค: ค่าพลังที่แนะนำได้รับการปรับให้เหมาะสม.
- เควสต์แก๊ง: ปรับปรุงสถานะและกระบวนการเก็บรวบรวมสำหรับประเภทเควสต์ที่แตกต่างกัน; คุณสามารถตรวจสอบเควสต์ได้ง่ายขึ้น.")</f>
        <v>- มอบหมายกองทหาร: ลดความสนิทสนมที่จำเป็นสำหรับการมอบหมายกองทหารระหว่างเพื่อนอย่างมาก.
- ไทม์ไลน์ความพร้อมใช้งานของฟีเจอร์: ฟีเจอร์เมคปลดล็อกใน 22 วันหลังจากเซิร์ฟเวอร์เปิด; อุปกรณ์ปลดล็อกในวันที่ 35, พร้อมการปรับเปลี่ยนที่สอดคล้องกันสำหรับระบบที่เกี่ยวข้องและการหล่นของรางวัล.
- เกมต้น: สถิติทักษะออสการ์ปรับเปลี่ยนสำหรับวิวัฒนาการวานร.
- ดร.ฮ็อกก์: บูสต์ Super Relic ใหม่.
- ตำแหน่งสถานการณ์ค้านของวานร: คะแนนและสถิติทักษะของหน่วยได้รับการปรับให้เหมาะสม.
- ภัยคุกคามจากลิงดัดแปลง: สถิติปรับเปลี่ยนสำหรับระดับความยาก inferno.
- การสำรวจเมค: ค่าพลังที่แนะนำได้รับการปรับให้เหมาะสม.
- เควสต์แก๊ง: ปรับปรุงสถานะและกระบวนการเก็บรวบรวมสำหรับประเภทเควสต์ที่แตกต่างกัน; คุณสามารถตรวจสอบเควสต์ได้ง่ายขึ้น.</v>
      </c>
      <c r="J43" s="108" t="str">
        <f>IFERROR(__xludf.DUMMYFUNCTION("""COMPUTED_VALUE"""),"- Delegación de tropas: se ha reducido drásticamente la Familiaridad requerida para delegar tropas entre amigos.
- Cronograma de disponibilidad de la función: la función de meca se desbloquea ahora 22 días después de la apertura del servidor; el equipamie"&amp;"nto se desbloquea en el día 35, con los ajustes correspondientes para los sistemas relacionados y la caída de recompensas.
- Inicio del juego: estadísticas de habilidad de Óscar modificadas para la Evolución de los Simios.
- Dr. Hogg: nuevos potenciadores"&amp;" de Super Reliquia.
- Enfrentamiento de Primates: puntuaciones y estadísticas de habilidad de unidad optimizadas.
- Amenaza de los Monos Modificados: estadísticas modificadas para la dificultad infierno.
- Expedición Mech: poder recomendado optimizado.
- "&amp;"Misiones de Banda: optimizados el estado y los procesos de recolección para diferentes tipos de misiones; ahora puedes revisar las misiones más fácilmente.")</f>
        <v>- Delegación de tropas: se ha reducido drásticamente la Familiaridad requerida para delegar tropas entre amigos.
- Cronograma de disponibilidad de la función: la función de meca se desbloquea ahora 22 días después de la apertura del servidor; el equipamiento se desbloquea en el día 35, con los ajustes correspondientes para los sistemas relacionados y la caída de recompensas.
- Inicio del juego: estadísticas de habilidad de Óscar modificadas para la Evolución de los Simios.
- Dr. Hogg: nuevos potenciadores de Super Reliquia.
- Enfrentamiento de Primates: puntuaciones y estadísticas de habilidad de unidad optimizadas.
- Amenaza de los Monos Modificados: estadísticas modificadas para la dificultad infierno.
- Expedición Mech: poder recomendado optimizado.
- Misiones de Banda: optimizados el estado y los procesos de recolección para diferentes tipos de misiones; ahora puedes revisar las misiones más fácilmente.</v>
      </c>
      <c r="K43" s="108" t="str">
        <f>IFERROR(__xludf.DUMMYFUNCTION("""COMPUTED_VALUE"""),"- Передача войск: значительно снижено требование к знакомству для передачи войск между друзьями.
- Хронология доступности функций: функция мехов теперь открывается через 22 дня после запуска сервера; снаряжение открывается на 35-й день, с соответствующими"&amp;" корректировками связанных систем и выпадения наград.
- Начало игры: статистика навыка Оскара изменена для Эволюции Обезьян.
- Доктор Хогг: новые суперусиления Реликвии.
- Столкновение Приматов: оптимизированы статистика счета и навыков отряда.
- Угроза И"&amp;"змененных Обезьян: статистика изменена для сложности инферно.
- Экспедиция Мехов: оптимизирована рекомендуемая мощь.
- Задания банды: оптимизированы процессы статуса и сбора для различных типов заданий; теперь вы можете легче проверять задания.")</f>
        <v>- Передача войск: значительно снижено требование к знакомству для передачи войск между друзьями.
- Хронология доступности функций: функция мехов теперь открывается через 22 дня после запуска сервера; снаряжение открывается на 35-й день, с соответствующими корректировками связанных систем и выпадения наград.
- Начало игры: статистика навыка Оскара изменена для Эволюции Обезьян.
- Доктор Хогг: новые суперусиления Реликвии.
- Столкновение Приматов: оптимизированы статистика счета и навыков отряда.
- Угроза Измененных Обезьян: статистика изменена для сложности инферно.
- Экспедиция Мехов: оптимизирована рекомендуемая мощь.
- Задания банды: оптимизированы процессы статуса и сбора для различных типов заданий; теперь вы можете легче проверять задания.</v>
      </c>
      <c r="L43" s="108" t="str">
        <f>IFERROR(__xludf.DUMMYFUNCTION("""COMPUTED_VALUE"""),"- Birlik görevlendirme: Arkadaşlar arasında birlik görevlendirmek için gereken Yakınlık düzeyi önemli ölçüde azaltıldı.
- Özellik kullanılabilirlik zaman çizelgesi: meka özelliği artık sunucu açıldıktan 22 gün sonra kilidini açıyor; ekipmanlar 35. günde k"&amp;"ilidini açılıyor, ilgili sistemler ve ödül düşüşleri için uygun ayarlamalarla birlikte.
- Erken oyun: Maymun Evrimi için Oscar beceri istatistikleri değiştirildi.
- Dr. Hogg: yeni Süper Relik güçlendirmeleri.
- Primat Karşı Karşıyası: skorlar ve birim bec"&amp;"eri istatistikleri optimize edildi.
- Değiştirilmiş Maymunlar tehdidi: cehennem zorluğu için istatistikler değiştirildi.
- Meka Seferi: tavsiye edilen güç optimize edildi.
- Çete maceraları: farklı macera türleri için durum ve toplama işlemleri optimize e"&amp;"dildi; artık maceraları daha kolay kontrol edebilirsiniz.")</f>
        <v>- Birlik görevlendirme: Arkadaşlar arasında birlik görevlendirmek için gereken Yakınlık düzeyi önemli ölçüde azaltıldı.
- Özellik kullanılabilirlik zaman çizelgesi: meka özelliği artık sunucu açıldıktan 22 gün sonra kilidini açıyor; ekipmanlar 35. günde kilidini açılıyor, ilgili sistemler ve ödül düşüşleri için uygun ayarlamalarla birlikte.
- Erken oyun: Maymun Evrimi için Oscar beceri istatistikleri değiştirildi.
- Dr. Hogg: yeni Süper Relik güçlendirmeleri.
- Primat Karşı Karşıyası: skorlar ve birim beceri istatistikleri optimize edildi.
- Değiştirilmiş Maymunlar tehdidi: cehennem zorluğu için istatistikler değiştirildi.
- Meka Seferi: tavsiye edilen güç optimize edildi.
- Çete maceraları: farklı macera türleri için durum ve toplama işlemleri optimize edildi; artık maceraları daha kolay kontrol edebilirsiniz.</v>
      </c>
      <c r="M43" s="108" t="str">
        <f>IFERROR(__xludf.DUMMYFUNCTION("""COMPUTED_VALUE"""),"- Uỷ Thác binh lính: giảm đáng kể Độ Thân Mật cần thiết để uỷ thác binh lính giữa các Đồng Minh.
- Lộ trình tính năng: tính năng cơ khí giờ đây được mở khóa sau 22 ngày kể từ khi máy chủ mở; trang bị được mở khóa vào ngày 35, với các điều chỉnh tương ứng "&amp;"cho các hệ thống liên quan và rơi phần thưởng.
- Đầu game: chỉ số kỹ năng của Oscar đã được chỉnh sửa cho Tiến Hóa Vượn.
- Tiến Sĩ Hogg: hiệu ứng tăng cường của Super Relic mới.
- Đối Đầu Linh Trưởng: điểm số và chỉ số kỹ năng đơn vị được tối ưu hóa.
- Mố"&amp;"i Đe Dọa của Khỉ Biến Đổi: chỉ số đã được chỉnh sửa cho độ khó inferno.
- Thám Hiểm Cơ Khí: Chiến Lực khuyến nghị được tối ưu hóa.
- Nhiệm Vụ Bang Hội: tối ưu hóa quy trình trạng thái và thu thập cho các loại nhiệm vụ khác nhau; bạn giờ đây có thể kiểm tr"&amp;"a nhiệm vụ dễ dàng hơn.")</f>
        <v>- Uỷ Thác binh lính: giảm đáng kể Độ Thân Mật cần thiết để uỷ thác binh lính giữa các Đồng Minh.
- Lộ trình tính năng: tính năng cơ khí giờ đây được mở khóa sau 22 ngày kể từ khi máy chủ mở; trang bị được mở khóa vào ngày 35, với các điều chỉnh tương ứng cho các hệ thống liên quan và rơi phần thưởng.
- Đầu game: chỉ số kỹ năng của Oscar đã được chỉnh sửa cho Tiến Hóa Vượn.
- Tiến Sĩ Hogg: hiệu ứng tăng cường của Super Relic mới.
- Đối Đầu Linh Trưởng: điểm số và chỉ số kỹ năng đơn vị được tối ưu hóa.
- Mối Đe Dọa của Khỉ Biến Đổi: chỉ số đã được chỉnh sửa cho độ khó inferno.
- Thám Hiểm Cơ Khí: Chiến Lực khuyến nghị được tối ưu hóa.
- Nhiệm Vụ Bang Hội: tối ưu hóa quy trình trạng thái và thu thập cho các loại nhiệm vụ khác nhau; bạn giờ đây có thể kiểm tra nhiệm vụ dễ dàng hơn.</v>
      </c>
      <c r="N43" s="108" t="str">
        <f>IFERROR(__xludf.DUMMYFUNCTION("""COMPUTED_VALUE"""),"- Delega truppe: drasticamente ridotta la Familiarità richiesta per delegare truppe tra amici.
- Cronologia disponibilità funzionalità: la funzionalità mech viene ora sbloccata 22 giorni dopo l'apertura del server; l'equipaggiamento si sblocca al giorno 3"&amp;"5, con adeguamenti corrispondenti per i sistemi correlati e il drop delle ricompense.
- Inizio gioco: statistiche dell'abilità di Oscar modificate per Evoluzione Scimmiesca.
- Dottor Hogg: nuovi potenziamenti Super Reliquia.
- Confronto tra Primati: ottim"&amp;"izzati punteggi e statistiche dell'abilità dell'unità.
- Minaccia delle Scimmie Modificate: statistiche modificate per la difficoltà inferno.
- Spedizione Mech: potenza consigliata ottimizzata.
- Missioni Gang: ottimizzati lo stato e i processi di raccolt"&amp;"a per i diversi tipi di missione; ora puoi controllare le missioni più facilmente.")</f>
        <v>- Delega truppe: drasticamente ridotta la Familiarità richiesta per delegare truppe tra amici.
- Cronologia disponibilità funzionalità: la funzionalità mech viene ora sbloccata 22 giorni dopo l'apertura del server; l'equipaggiamento si sblocca al giorno 35, con adeguamenti corrispondenti per i sistemi correlati e il drop delle ricompense.
- Inizio gioco: statistiche dell'abilità di Oscar modificate per Evoluzione Scimmiesca.
- Dottor Hogg: nuovi potenziamenti Super Reliquia.
- Confronto tra Primati: ottimizzati punteggi e statistiche dell'abilità dell'unità.
- Minaccia delle Scimmie Modificate: statistiche modificate per la difficoltà inferno.
- Spedizione Mech: potenza consigliata ottimizzata.
- Missioni Gang: ottimizzati lo stato e i processi di raccolta per i diversi tipi di missione; ora puoi controllare le missioni più facilmente.</v>
      </c>
      <c r="O43" s="108" t="str">
        <f>IFERROR(__xludf.DUMMYFUNCTION("""COMPUTED_VALUE"""),"- Delegacja jednostek: znacznie obniżono wymaganą Znajomość do przekazywania oddziałów między znajomymi.
- Harmonogram dostępności funkcji: funkcja mecha jest teraz odblokowywana 22 dni po otwarciu serwera; wyposażenie odblokowuje się w dniu 35, z odpowie"&amp;"dnimi dostosowaniami dla powiązanych systemów i spadków nagród.
- Początkowa faza gry: zmodyfikowano statystyki umiejętności Oskara dla Ewolucji Małp.
- Dr Hogg: nowe super wzmocnienia Reliktu.
- Impas Naczelnych: zoptymalizowano wyniki i statystyki umiej"&amp;"ętności jednostek.
- Zagrożenie ze strony Zmodyfikowanych małp: zmodyfikowano statystyki dla trudności piekielnej.
- Ekspedycja Mecha: zoptymalizowano zalecaną siłę.
- Zadania Gangu: zoptymalizowano procesy statusu i zbierania dla różnych typów zadań; ter"&amp;"az możesz łatwiej sprawdzać zadania.")</f>
        <v>- Delegacja jednostek: znacznie obniżono wymaganą Znajomość do przekazywania oddziałów między znajomymi.
- Harmonogram dostępności funkcji: funkcja mecha jest teraz odblokowywana 22 dni po otwarciu serwera; wyposażenie odblokowuje się w dniu 35, z odpowiednimi dostosowaniami dla powiązanych systemów i spadków nagród.
- Początkowa faza gry: zmodyfikowano statystyki umiejętności Oskara dla Ewolucji Małp.
- Dr Hogg: nowe super wzmocnienia Reliktu.
- Impas Naczelnych: zoptymalizowano wyniki i statystyki umiejętności jednostek.
- Zagrożenie ze strony Zmodyfikowanych małp: zmodyfikowano statystyki dla trudności piekielnej.
- Ekspedycja Mecha: zoptymalizowano zalecaną siłę.
- Zadania Gangu: zoptymalizowano procesy statusu i zbierania dla różnych typów zadań; teraz możesz łatwiej sprawdzać zadania.</v>
      </c>
      <c r="P43" s="108" t="str">
        <f>IFERROR(__xludf.DUMMYFUNCTION("""COMPUTED_VALUE"""),"- استضافة الوحدات: تم تخفيض الألفة المطلوبة بشكل كبير لاستضافة الوحدات بين الأصدقاء.
- جدول توفر الميزة: ميزة الميكا تفتح الآن بعد 22 يومًا من فتح السيرفر؛ التجهيزات تفتح في اليوم 35، مع التعديلات المقابلة للأنظمة ذات الصلة وتوزيع الجوائز.
- بداية اللعبة:"&amp;" تم تعديل إحصائيات مهارة أوسكار لتطور القرد.
- دكتور هوغ: تعزيزات جديدة للرفات العظيمة.
- مواجهة الرئيسيات: تم تحسين النقاط وإحصائيات مهارة الوحدة.
- تهديد القرود المعدلة: تم تعديل الإحصائيات لصعوبة الجحيم.
- بعثة الميكا: تم تحسين القوة الموصى بها.
- مهام"&amp;" العصابة: تم تحسين عمليات الحالة والجمع لأنواع المهام المختلفة؛ يمكنك الآن التحقق من المهام بسهولة أكبر.")</f>
        <v>- استضافة الوحدات: تم تخفيض الألفة المطلوبة بشكل كبير لاستضافة الوحدات بين الأصدقاء.
- جدول توفر الميزة: ميزة الميكا تفتح الآن بعد 22 يومًا من فتح السيرفر؛ التجهيزات تفتح في اليوم 35، مع التعديلات المقابلة للأنظمة ذات الصلة وتوزيع الجوائز.
- بداية اللعبة: تم تعديل إحصائيات مهارة أوسكار لتطور القرد.
- دكتور هوغ: تعزيزات جديدة للرفات العظيمة.
- مواجهة الرئيسيات: تم تحسين النقاط وإحصائيات مهارة الوحدة.
- تهديد القرود المعدلة: تم تعديل الإحصائيات لصعوبة الجحيم.
- بعثة الميكا: تم تحسين القوة الموصى بها.
- مهام العصابة: تم تحسين عمليات الحالة والجمع لأنواع المهام المختلفة؛ يمكنك الآن التحقق من المهام بسهولة أكبر.</v>
      </c>
      <c r="Q43" s="108" t="str">
        <f>IFERROR(__xludf.DUMMYFUNCTION("""COMPUTED_VALUE"""),"- ユニット委任：友達間でのユニット委任に必要な親密度を大幅に低下させました。
- 機能利用可能タイムライン：メカ機能はサーバー開始後22日でアンロックされます。装備は35日目にアンロックされ、関連システムと報酬ドロップに対応する調整が行われます。
- 序盤：オスカーのスキルステータスがエイプ進化のために変更されました。
- ホッグ博士：新しいスーパーレリックバフ。
- プライメイト対決：スコアとユニットスキルステータスが最適化されました。
- 改造エイプの脅威：地獄難易度のステータスが変更されました。
"&amp;"- メカ遠征：推奨戦力が最適化されました。
- ギルドクエスト：異なるクエストタイプに対するステータスと収集プロセスが最適化されました。これでクエストをより簡単にチェックできます。")</f>
        <v>- ユニット委任：友達間でのユニット委任に必要な親密度を大幅に低下させました。
- 機能利用可能タイムライン：メカ機能はサーバー開始後22日でアンロックされます。装備は35日目にアンロックされ、関連システムと報酬ドロップに対応する調整が行われます。
- 序盤：オスカーのスキルステータスがエイプ進化のために変更されました。
- ホッグ博士：新しいスーパーレリックバフ。
- プライメイト対決：スコアとユニットスキルステータスが最適化されました。
- 改造エイプの脅威：地獄難易度のステータスが変更されました。
- メカ遠征：推奨戦力が最適化されました。
- ギルドクエスト：異なるクエストタイプに対するステータスと収集プロセスが最適化されました。これでクエストをより簡単にチェックできます。</v>
      </c>
      <c r="R43" s="108" t="str">
        <f>IFERROR(__xludf.DUMMYFUNCTION("""COMPUTED_VALUE"""),"- 유닛 위탁: 친구들 간의 유닛 위탁에 필요한 친밀도를 대폭 낮췄습니다.
- 기능 이용 가능 시간표: 메카 기능은 이제 서버 오픈 후 22일에 잠금 해제됩니다; 장비는 35일째에 잠금 해제되며, 관련 시스템과 보상 드롭에 대한 해당 조정이 이루어집니다.
- 초반 게임: 원숭이 진화를 위한 오스카 스킬 통계 수정됨.
- 호그 박사: 새로운 슈퍼 유물 버프.
- 영장류 대치: 점수 및 유닛 스킬 통계 최적화.
- 개조된 원숭이의 위협: 지옥 난이도에 대한"&amp;" 통계 수정됨.
- 메카 탐험: 추천 전투력 최적화.
- 무리 임무: 다양한 임무 유형에 대한 상태 및 수집 프로세스 최적화; 이제 임무를 더 쉽게 확인할 수 있습니다.")</f>
        <v>- 유닛 위탁: 친구들 간의 유닛 위탁에 필요한 친밀도를 대폭 낮췄습니다.
- 기능 이용 가능 시간표: 메카 기능은 이제 서버 오픈 후 22일에 잠금 해제됩니다; 장비는 35일째에 잠금 해제되며, 관련 시스템과 보상 드롭에 대한 해당 조정이 이루어집니다.
- 초반 게임: 원숭이 진화를 위한 오스카 스킬 통계 수정됨.
- 호그 박사: 새로운 슈퍼 유물 버프.
- 영장류 대치: 점수 및 유닛 스킬 통계 최적화.
- 개조된 원숭이의 위협: 지옥 난이도에 대한 통계 수정됨.
- 메카 탐험: 추천 전투력 최적화.
- 무리 임무: 다양한 임무 유형에 대한 상태 및 수집 프로세스 최적화; 이제 임무를 더 쉽게 확인할 수 있습니다.</v>
      </c>
      <c r="S43" s="108"/>
      <c r="T43" s="108"/>
      <c r="U43" s="108"/>
      <c r="V43" s="108"/>
      <c r="W43" s="108"/>
      <c r="X43" s="108"/>
      <c r="Y43" s="108"/>
      <c r="Z43" s="108"/>
    </row>
    <row r="44">
      <c r="A44" s="108" t="str">
        <f>IFERROR(__xludf.DUMMYFUNCTION("""COMPUTED_VALUE"""),"0.60.0")</f>
        <v>0.60.0</v>
      </c>
      <c r="B44" s="108" t="str">
        <f>IFERROR(__xludf.DUMMYFUNCTION("""COMPUTED_VALUE"""),"-调整了霸主印记效果，军务官和先锋印记效果对调；
-增加了新的收藏品战力成就档位；
-调整了酒吧奖池，去掉了基础资源，增加了斗士经验和加速道具；
-银河战争：
调整了火神星和珊瑚星中的低等级士兵对高等级士兵造成伤害产生的积分；
优化了珊瑚星中的阵营积分中各种行为的占比，战斗相关的积分占比更高了；
-调整了决战卫星之巅玩法的发奖逻辑，除了积分外，现在还会根据胜负关系进行判断发奖；
-增加了部分玩法中机甲经验的获取量；
-高难度围剿变异猴玩法中，增加橙色装备碎片奖励；
-调整了战地争锋玩法中部分任务和技能的数"&amp;"值；
-调整了火车竞赛/火车争霸、战地争锋、机甲战场的开放周期和奖励内容。")</f>
        <v>-调整了霸主印记效果，军务官和先锋印记效果对调；
-增加了新的收藏品战力成就档位；
-调整了酒吧奖池，去掉了基础资源，增加了斗士经验和加速道具；
-银河战争：
调整了火神星和珊瑚星中的低等级士兵对高等级士兵造成伤害产生的积分；
优化了珊瑚星中的阵营积分中各种行为的占比，战斗相关的积分占比更高了；
-调整了决战卫星之巅玩法的发奖逻辑，除了积分外，现在还会根据胜负关系进行判断发奖；
-增加了部分玩法中机甲经验的获取量；
-高难度围剿变异猴玩法中，增加橙色装备碎片奖励；
-调整了战地争锋玩法中部分任务和技能的数值；
-调整了火车竞赛/火车争霸、战地争锋、机甲战场的开放周期和奖励内容。</v>
      </c>
      <c r="C44" s="108" t="str">
        <f>IFERROR(__xludf.DUMMYFUNCTION("""COMPUTED_VALUE"""),"- Adjusted the effects of the Overlord Seal, swapping the effects of the Military Officer and Vanguard Seals.
- Added the new Relic Power achievement.
- Adjusted the Tavern prize pool, removed basic resources, and added Fighter EXP and Speedup Items.
- Pl"&amp;"anet Wars:
Adjusted the scores generated from Low-level units attacking on High-level units in Fire Star and Coral Star.
Optimized the proportion of actions in the Camp Score in Coral Star, with a higher proportion for battle-related scores.
- Adjusted th"&amp;"e awarding logic in Astral Coliseum. In addition to Scores, now also based on the outcome of the match between them .
- Increased the amount of Mech EXP gained in certain gameplays.
- In the difficult Operation Mutants gameplay, increased Legendary equipm"&amp;"ent fragment rewards.
- Adjusted the values of some missions and skills in the Primate Standoff gameplay.
- Adjusted the event periods and rewards of the Great Train Race/Train Rush, Primate Standoff, and Mech Clash.")</f>
        <v>- Adjusted the effects of the Overlord Seal, swapping the effects of the Military Officer and Vanguard Seals.
- Added the new Relic Power achievement.
- Adjusted the Tavern prize pool, removed basic resources, and added Fighter EXP and Speedup Items.
- Planet Wars:
Adjusted the scores generated from Low-level units attacking on High-level units in Fire Star and Coral Star.
Optimized the proportion of actions in the Camp Score in Coral Star, with a higher proportion for battle-related scores.
- Adjusted the awarding logic in Astral Coliseum. In addition to Scores, now also based on the outcome of the match between them .
- Increased the amount of Mech EXP gained in certain gameplays.
- In the difficult Operation Mutants gameplay, increased Legendary equipment fragment rewards.
- Adjusted the values of some missions and skills in the Primate Standoff gameplay.
- Adjusted the event periods and rewards of the Great Train Race/Train Rush, Primate Standoff, and Mech Clash.</v>
      </c>
      <c r="D44" s="108" t="str">
        <f>IFERROR(__xludf.DUMMYFUNCTION("""COMPUTED_VALUE"""),"- Ajustement des effets du Sceau du Souverain, en échangeant les effets des Sceaux d'Officier militaire et d'Avant-garde.
- Ajout de l'accomplissement de Puissance de la Relique.
- Ajustement du bassin de prix de la Taverne, suppression des ressources de "&amp;"base et ajout d'expérience de Combattant et d'Accélérateurs.
- Guerre planétaire :
Ajustement des scores générés par l'attaque d'unités de Basse niveau sur des unités de Haute niveau dans Etoile de feu et Étoile de Corail.
Optimisation de la proportion d'"&amp;"actions dans le Score du Camp dans Étoile de Corail, avec une proportion plus élevée pour les scores liés aux combats.
- Ajustement de la logique d'attribution des prix dans le Colisée astral. Désormais basée également sur le résultat du match entre eux, "&amp;"en plus des Scores.
- Augmentation de la quantité d'expérience de Mécha gagnée dans certains gameplays.
- Dans le gameplay difficile Opération mutants, augmentation des récompenses de fragments d'équipement Légendaire.
- Ajustement des valeurs de certaine"&amp;"s missions et compétences dans le gameplay CONFRONTATION PRIMATE.
- Ajustement des périodes d'événement et des récompenses de La Grande course de train/Course de trains, CONFRONTATION PRIMATE et CONFLIT MÉCHA.")</f>
        <v>- Ajustement des effets du Sceau du Souverain, en échangeant les effets des Sceaux d'Officier militaire et d'Avant-garde.
- Ajout de l'accomplissement de Puissance de la Relique.
- Ajustement du bassin de prix de la Taverne, suppression des ressources de base et ajout d'expérience de Combattant et d'Accélérateurs.
- Guerre planétaire :
Ajustement des scores générés par l'attaque d'unités de Basse niveau sur des unités de Haute niveau dans Etoile de feu et Étoile de Corail.
Optimisation de la proportion d'actions dans le Score du Camp dans Étoile de Corail, avec une proportion plus élevée pour les scores liés aux combats.
- Ajustement de la logique d'attribution des prix dans le Colisée astral. Désormais basée également sur le résultat du match entre eux, en plus des Scores.
- Augmentation de la quantité d'expérience de Mécha gagnée dans certains gameplays.
- Dans le gameplay difficile Opération mutants, augmentation des récompenses de fragments d'équipement Légendaire.
- Ajustement des valeurs de certaines missions et compétences dans le gameplay CONFRONTATION PRIMATE.
- Ajustement des périodes d'événement et des récompenses de La Grande course de train/Course de trains, CONFRONTATION PRIMATE et CONFLIT MÉCHA.</v>
      </c>
      <c r="E44" s="108" t="str">
        <f>IFERROR(__xludf.DUMMYFUNCTION("""COMPUTED_VALUE"""),"- Angepasst wurden die Wirkungen des Overlord-Siegels, indem die Effekte der Siegel von Offizier und Vorhut getauscht wurden.
- Der neue Relikt-Stärke Erfolg wurde hinzugefügt.
- Angepasst wurde der Preispool der Taverne, grundlegende Ressourcen entfernt "&amp;"und Held-EP sowie Beschleuniger-Gegenstände hinzugefügt.
- Planetenkriege:
Angepasst wurden die Punkte, die von Angriffen niedrigstufiger Einheiten auf hochstufige Einheiten in Feuerstern und Korallenstern generiert werden.
Optimiert wurde der Anteil der "&amp;"Aktionen am Lager-Score in Korallenstern, mit einem höheren Anteil für kampfbezogene Punkte.
- Angepasst wurde die Logik der Preisvergabe im Astral-Kolosseum. Neben den Punkten jetzt auch basierend auf dem Ausgang des Matches zwischen ihnen.
- Erhöht wurd"&amp;"e die Menge an Mech-EP, die in bestimmten Abläufen gewonnen wird.
- Im schwierigen Gameplay Operation Mutanten wurde die Belohnung von legendären Ausrüstungsfragmenten erhöht.
- Angepasst wurden die Werte einiger Missionen und Fähigkeiten im Gameplay PRIM"&amp;"ATEN-KONFRONTATION.
- Angepasst wurden die Eventzeiträume und Belohnungen des Großen Zugrennens/Zug-Rennen, PRIMATEN-KONFRONTATION und MECH-ZUSAMMENSTOß.")</f>
        <v>- Angepasst wurden die Wirkungen des Overlord-Siegels, indem die Effekte der Siegel von Offizier und Vorhut getauscht wurden.
- Der neue Relikt-Stärke Erfolg wurde hinzugefügt.
- Angepasst wurde der Preispool der Taverne, grundlegende Ressourcen entfernt und Held-EP sowie Beschleuniger-Gegenstände hinzugefügt.
- Planetenkriege:
Angepasst wurden die Punkte, die von Angriffen niedrigstufiger Einheiten auf hochstufige Einheiten in Feuerstern und Korallenstern generiert werden.
Optimiert wurde der Anteil der Aktionen am Lager-Score in Korallenstern, mit einem höheren Anteil für kampfbezogene Punkte.
- Angepasst wurde die Logik der Preisvergabe im Astral-Kolosseum. Neben den Punkten jetzt auch basierend auf dem Ausgang des Matches zwischen ihnen.
- Erhöht wurde die Menge an Mech-EP, die in bestimmten Abläufen gewonnen wird.
- Im schwierigen Gameplay Operation Mutanten wurde die Belohnung von legendären Ausrüstungsfragmenten erhöht.
- Angepasst wurden die Werte einiger Missionen und Fähigkeiten im Gameplay PRIMATEN-KONFRONTATION.
- Angepasst wurden die Eventzeiträume und Belohnungen des Großen Zugrennens/Zug-Rennen, PRIMATEN-KONFRONTATION und MECH-ZUSAMMENSTOß.</v>
      </c>
      <c r="F44" s="108" t="str">
        <f>IFERROR(__xludf.DUMMYFUNCTION("""COMPUTED_VALUE"""),"- Ajustados os efeitos da Foca do Soberano, trocando os efeitos das Focas do Oficial e da Vanguarda.
- Adicionada a nova conquista de Poder de Relíquia.
- Ajustada a premiação da Taverna, removidos recursos básicos e adicionados de exp de combatente e Ite"&amp;"ms de Acelerador.
- Guerra Interplanetária:
Ajustados os pontos gerados de unidades de baixa atacando unidades de alta na Estrela de Fogo e Estrela Coral.
Otimizada a proporção de ações no placar do Acampamento na Estrela Coral, com uma proporção maior pa"&amp;"ra pontuações relacionadas à batalha.
- Ajustada a lógica de premiação no Coliseu Astral. Além de Pontuações, agora também baseado no resultado da partida entre eles.
- Aumentada a quantidade de exp de Mech obtida em certas mecânicas do jogo.
- Na mecânic"&amp;"a do jogo difícil Operação Mutantes, aumentadas as recompensas de fragmentos de equipamento lendário.
- Ajustados os valores de algumas missões e habilidades na mecânica do jogo Confronto Primata.
- Ajustados os períodos de eventos e recompensas da Grande"&amp;" Corrida dos Trens/Corrida do Trem, Confronto Primata e Embate de Mechs.")</f>
        <v>- Ajustados os efeitos da Foca do Soberano, trocando os efeitos das Focas do Oficial e da Vanguarda.
- Adicionada a nova conquista de Poder de Relíquia.
- Ajustada a premiação da Taverna, removidos recursos básicos e adicionados de exp de combatente e Items de Acelerador.
- Guerra Interplanetária:
Ajustados os pontos gerados de unidades de baixa atacando unidades de alta na Estrela de Fogo e Estrela Coral.
Otimizada a proporção de ações no placar do Acampamento na Estrela Coral, com uma proporção maior para pontuações relacionadas à batalha.
- Ajustada a lógica de premiação no Coliseu Astral. Além de Pontuações, agora também baseado no resultado da partida entre eles.
- Aumentada a quantidade de exp de Mech obtida em certas mecânicas do jogo.
- Na mecânica do jogo difícil Operação Mutantes, aumentadas as recompensas de fragmentos de equipamento lendário.
- Ajustados os valores de algumas missões e habilidades na mecânica do jogo Confronto Primata.
- Ajustados os períodos de eventos e recompensas da Grande Corrida dos Trens/Corrida do Trem, Confronto Primata e Embate de Mechs.</v>
      </c>
      <c r="G44" s="108" t="str">
        <f>IFERROR(__xludf.DUMMYFUNCTION("""COMPUTED_VALUE"""),"-調整了霸主印記效果，軍官和先鋒印記效果對調；
-增加了新的收藏品戰力成就檔位；
-調整了酒吧獎池，去掉了基礎資源，增加了英雄經驗和加速道具；
-銀河戰爭：
調整了火神星和珊瑚星中的低等級士兵對高等級士兵造成傷害產生的積分；
優化了珊瑚星中的陣營積分中各種行動的佔比，軍事相關的積分佔比更高了；
-調整了決戰衛星之巔玩法的發獎邏輯，除了積分外，現在還會根據勝負關係進行判斷發獎；
-增加了部分玩法中機甲經驗的獲取量；
-高難度圍剿變異猴玩法中，增加橙色裝備碎片獎勵；
-調整了戰地爭鋒玩法中部分任務和技能的數值"&amp;"；
-調整了火車競賽/火車爭霸、戰地爭鋒、機甲戰場的開放週期和獎勵內容。")</f>
        <v>-調整了霸主印記效果，軍官和先鋒印記效果對調；
-增加了新的收藏品戰力成就檔位；
-調整了酒吧獎池，去掉了基礎資源，增加了英雄經驗和加速道具；
-銀河戰爭：
調整了火神星和珊瑚星中的低等級士兵對高等級士兵造成傷害產生的積分；
優化了珊瑚星中的陣營積分中各種行動的佔比，軍事相關的積分佔比更高了；
-調整了決戰衛星之巔玩法的發獎邏輯，除了積分外，現在還會根據勝負關係進行判斷發獎；
-增加了部分玩法中機甲經驗的獲取量；
-高難度圍剿變異猴玩法中，增加橙色裝備碎片獎勵；
-調整了戰地爭鋒玩法中部分任務和技能的數值；
-調整了火車競賽/火車爭霸、戰地爭鋒、機甲戰場的開放週期和獎勵內容。</v>
      </c>
      <c r="H44" s="108" t="str">
        <f>IFERROR(__xludf.DUMMYFUNCTION("""COMPUTED_VALUE"""),"- Menyesuaikan efek dari Anjing Laut Maharaja, menukar efek dari Anjing Laut Pejabat Militer dan Pelopor.
- Menambahkan pencapaian Kekuatan Pusaka baru.
- Menyesuaikan kolam hadiah Kedai, menghapus sumber daya dasar, dan menambahkan pengalaman pejuang dan"&amp;" Item Percepatan.
- Perang Planet:
Menyesuaikan skor yang dihasilkan dari unit level rendah yang menyerang unit level tinggi di Bintang Api dan Bintang Karang.
Mengoptimalkan proporsi aksi dalam Skor Kamp di Bintang Karang, dengan proporsi yang lebih ting"&amp;"gi untuk skor yang terkait dengan pertempuran.
- Menyesuaikan logika pemberian hadiah di Koloseum Astral. Selain Skor, kini juga berdasarkan hasil pertandingan antara mereka.
- Meningkatkan jumlah pengalaman Mekanik yang didapat dalam beberapa gameplay.
-"&amp;" Dalam gameplay Pengepungan Kera Mutan yang sulit, meningkatkan hadiah potongan peralatan Legendaris.
- Menyesuaikan nilai dari beberapa misi dan keahlian dalam gameplay KONFRONTASI PRIMATA.
- Menyesuaikan periode event dan hadiah dari Balapan Kereta Heba"&amp;"t/Hegemoni Kereta, KONFRONTASI PRIMATA, dan TABRAKAN MEKANIK.")</f>
        <v>- Menyesuaikan efek dari Anjing Laut Maharaja, menukar efek dari Anjing Laut Pejabat Militer dan Pelopor.
- Menambahkan pencapaian Kekuatan Pusaka baru.
- Menyesuaikan kolam hadiah Kedai, menghapus sumber daya dasar, dan menambahkan pengalaman pejuang dan Item Percepatan.
- Perang Planet:
Menyesuaikan skor yang dihasilkan dari unit level rendah yang menyerang unit level tinggi di Bintang Api dan Bintang Karang.
Mengoptimalkan proporsi aksi dalam Skor Kamp di Bintang Karang, dengan proporsi yang lebih tinggi untuk skor yang terkait dengan pertempuran.
- Menyesuaikan logika pemberian hadiah di Koloseum Astral. Selain Skor, kini juga berdasarkan hasil pertandingan antara mereka.
- Meningkatkan jumlah pengalaman Mekanik yang didapat dalam beberapa gameplay.
- Dalam gameplay Pengepungan Kera Mutan yang sulit, meningkatkan hadiah potongan peralatan Legendaris.
- Menyesuaikan nilai dari beberapa misi dan keahlian dalam gameplay KONFRONTASI PRIMATA.
- Menyesuaikan periode event dan hadiah dari Balapan Kereta Hebat/Hegemoni Kereta, KONFRONTASI PRIMATA, dan TABRAKAN MEKANIK.</v>
      </c>
      <c r="I44" s="108" t="str">
        <f>IFERROR(__xludf.DUMMYFUNCTION("""COMPUTED_VALUE"""),"- ปรับเปลี่ยนผลของแมวน้ำเจ้าแห่งลิง โดยการสลับผลของแมวน้ำนายทหารและผู้ริเริ่ม
- เพิ่มความสำเร็จในพลังวัตถุโบราณชิ้นใหม่
- ปรับเปลี่ยนรางวัลในโรงแรม นำทรัพยากรขั้นพื้นฐานออก และเพิ่มประสบการณ์นักสู้และไอเทมเร่งความเร็ว
- สงครามดาวเคราะห์:
ปรับคะแนนที่ได้จา"&amp;"กการโจมตีหน่วยระดับต่ำไปยังหน่วยระดับสูงในดาวอัคคีและดาวปะการัง
ปรับสัดส่วนของท่าในคะแนนค่ายในดาวปะการัง โดยมีสัดส่วนที่สูงขึ้นสำหรับคะแนนที่เกี่ยวข้องกับการต่อสู้
- ปรับเปลี่ยนหลักการมอบรางวัลในโคลีเซียมดวงดาว นอกจากคะแนนแล้ว ตอนนี้ยังขึ้นอยู่กับผลการจับ"&amp;"คู่ระหว่างพวกเขา
- เพิ่มจำนวนค่าประสบการณ์เมคที่ได้รับในการเล่นเกมบางอย่าง
- ในการเล่นเกมปฏิบัติการตัวกลายพันธุ์ระดับยาก เพิ่มรางวัลชิ้นส่วนอุปกรณ์ตำนาน
- ปรับค่าของภารกิจและทักษะบางอย่างในการเล่นเกมตำแหน่งสถานการณ์ค้านของวานร
- ปรับช่วงเวลาและรางวัลของกิ"&amp;"จกรรมการแข่งขันรถไฟครั้งยิ่งใหญ่/รถไฟประลองความเร็ว, ตำแหน่งสถานการณ์ค้านของวานร และการปะทะเมค")</f>
        <v>- ปรับเปลี่ยนผลของแมวน้ำเจ้าแห่งลิง โดยการสลับผลของแมวน้ำนายทหารและผู้ริเริ่ม
- เพิ่มความสำเร็จในพลังวัตถุโบราณชิ้นใหม่
- ปรับเปลี่ยนรางวัลในโรงแรม นำทรัพยากรขั้นพื้นฐานออก และเพิ่มประสบการณ์นักสู้และไอเทมเร่งความเร็ว
- สงครามดาวเคราะห์:
ปรับคะแนนที่ได้จากการโจมตีหน่วยระดับต่ำไปยังหน่วยระดับสูงในดาวอัคคีและดาวปะการัง
ปรับสัดส่วนของท่าในคะแนนค่ายในดาวปะการัง โดยมีสัดส่วนที่สูงขึ้นสำหรับคะแนนที่เกี่ยวข้องกับการต่อสู้
- ปรับเปลี่ยนหลักการมอบรางวัลในโคลีเซียมดวงดาว นอกจากคะแนนแล้ว ตอนนี้ยังขึ้นอยู่กับผลการจับคู่ระหว่างพวกเขา
- เพิ่มจำนวนค่าประสบการณ์เมคที่ได้รับในการเล่นเกมบางอย่าง
- ในการเล่นเกมปฏิบัติการตัวกลายพันธุ์ระดับยาก เพิ่มรางวัลชิ้นส่วนอุปกรณ์ตำนาน
- ปรับค่าของภารกิจและทักษะบางอย่างในการเล่นเกมตำแหน่งสถานการณ์ค้านของวานร
- ปรับช่วงเวลาและรางวัลของกิจกรรมการแข่งขันรถไฟครั้งยิ่งใหญ่/รถไฟประลองความเร็ว, ตำแหน่งสถานการณ์ค้านของวานร และการปะทะเมค</v>
      </c>
      <c r="J44" s="108" t="str">
        <f>IFERROR(__xludf.DUMMYFUNCTION("""COMPUTED_VALUE"""),"- Ajustados los efectos del Sello del Jefe Supremo, intercambiando los efectos de los Sellos del Oficial Militar y la Vanguardia.
- Añadido el nuevo logro de Poder de la Reliquia.
- Ajustada la piscina de premios de la Taberna, eliminados los recursos bás"&amp;"icos y añadidos de exp de héroe y Artículos de Aceleración.
- Guerras Planetarias:
Ajustados los puntajes generados por unidades de Baja nivel atacando a unidades de Alta nivel en Estrella de Fuego y Estrella de Coral.
Optimizada la proporción de acciones"&amp;" en el puntaje del Campamento en Estrella de Coral, con una mayor proporción para puntajes relacionados con la batalla.
- Ajustada la lógica de premiación en el Coliseo Astral. Además de los Puntajes, ahora también basado en el resultado del enfrentamient"&amp;"o entre ellos.
- Aumentada la cantidad de exp de Mech recibida en ciertas formas de juego.
- En la difícil forma de juego Operación Mutantes, aumentadas las recompensas de fragmentos de equipo Legendario.
- Ajustados los valores de algunas misiones y habi"&amp;"lidades en la forma de juego Enfrentamiento de Primates.
- Ajustados los períodos de eventos y recompensas de la Gran Carrera de Trenes/Carrera del Tren, Enfrentamiento de Primates y Enfrentamiento de Mecas.")</f>
        <v>- Ajustados los efectos del Sello del Jefe Supremo, intercambiando los efectos de los Sellos del Oficial Militar y la Vanguardia.
- Añadido el nuevo logro de Poder de la Reliquia.
- Ajustada la piscina de premios de la Taberna, eliminados los recursos básicos y añadidos de exp de héroe y Artículos de Aceleración.
- Guerras Planetarias:
Ajustados los puntajes generados por unidades de Baja nivel atacando a unidades de Alta nivel en Estrella de Fuego y Estrella de Coral.
Optimizada la proporción de acciones en el puntaje del Campamento en Estrella de Coral, con una mayor proporción para puntajes relacionados con la batalla.
- Ajustada la lógica de premiación en el Coliseo Astral. Además de los Puntajes, ahora también basado en el resultado del enfrentamiento entre ellos.
- Aumentada la cantidad de exp de Mech recibida en ciertas formas de juego.
- En la difícil forma de juego Operación Mutantes, aumentadas las recompensas de fragmentos de equipo Legendario.
- Ajustados los valores de algunas misiones y habilidades en la forma de juego Enfrentamiento de Primates.
- Ajustados los períodos de eventos y recompensas de la Gran Carrera de Trenes/Carrera del Tren, Enfrentamiento de Primates y Enfrentamiento de Mecas.</v>
      </c>
      <c r="K44" s="108" t="str">
        <f>IFERROR(__xludf.DUMMYFUNCTION("""COMPUTED_VALUE"""),"- Изменены эффекты печати Владыки, произведена замена эффектов печатей Военачальника и Авангарда.
- Добавлено новое достижение Силы Реликвии.
- Изменен призовой фонд таверны: убраны базовые ресурсы, добавлены ед. опыта героя и Ускорители.
- Планетарные во"&amp;"йны:
Изменены очки, начисляемые за атаки отрядов низкого уровня на отряды высокого уровня в Огненной звезде и Коралловой Звезде.
Оптимизирована пропорция действий в очках Лагеря в Коралловой Звезде, увеличена доля очков, связанных с боем.
- Изменена логик"&amp;"а начисления наград в Астральном Колизее. Теперь награды зависят не только от очков, но и от исхода матча между участниками.
- Увеличено количество опыта Мехов, получаемое в определенных режимах игры.
- В сложном режиме игры Операция «Мутанты» увеличено к"&amp;"оличество наград в виде фрагментов легендарного снаряжения.
- Изменены значения некоторых миссий и навыков в режиме игры СТОЛКНОВЕНИЕ ПРИМАТОВ.
- Изменены периоды проведения и награды событий Большие гонки на поездах/Гонки поездов, СТОЛКНОВЕНИЕ ПРИМАТОВ и"&amp;" СХВАТКА МЕХОВ.")</f>
        <v>- Изменены эффекты печати Владыки, произведена замена эффектов печатей Военачальника и Авангарда.
- Добавлено новое достижение Силы Реликвии.
- Изменен призовой фонд таверны: убраны базовые ресурсы, добавлены ед. опыта героя и Ускорители.
- Планетарные войны:
Изменены очки, начисляемые за атаки отрядов низкого уровня на отряды высокого уровня в Огненной звезде и Коралловой Звезде.
Оптимизирована пропорция действий в очках Лагеря в Коралловой Звезде, увеличена доля очков, связанных с боем.
- Изменена логика начисления наград в Астральном Колизее. Теперь награды зависят не только от очков, но и от исхода матча между участниками.
- Увеличено количество опыта Мехов, получаемое в определенных режимах игры.
- В сложном режиме игры Операция «Мутанты» увеличено количество наград в виде фрагментов легендарного снаряжения.
- Изменены значения некоторых миссий и навыков в режиме игры СТОЛКНОВЕНИЕ ПРИМАТОВ.
- Изменены периоды проведения и награды событий Большие гонки на поездах/Гонки поездов, СТОЛКНОВЕНИЕ ПРИМАТОВ и СХВАТКА МЕХОВ.</v>
      </c>
      <c r="L44" s="108" t="str">
        <f>IFERROR(__xludf.DUMMYFUNCTION("""COMPUTED_VALUE"""),"- Büyük Lord Fokunun etkileri ayarlandı, Subay ve öncü Foklarının etkileri değiştirildi.
- Yeni Kalıntı Gücü Başarısı eklendi.
- Taverna ödül havuzu ayarlandı, temel kaynaklar kaldırıldı ve savaşçı deneyimi ile Hızlandırıcı Eşyalar eklendi.
- Gezegen Sava"&amp;"şları:
Ateş Yıldızı ve Mercan Yıldızı'nda Düşük seviye birimlerin Yüksek seviye birimlere saldırısından elde edilen puanlar ayarlandı.
Mercan Yıldızı'nda Kamp Skoru içindeki eylemlerin oranı optimize edildi, savaşla ilgili skorlar için daha yüksek bir ora"&amp;"nla.
- Yıldız Kolezyumu'nda ödül verme mantığı ayarlandı. Skorların yanı sıra, aralarındaki maçın sonucuna göre de belirleniyor artık.
- Belirli oynanışlarda Meka Deneyimi kazanma miktarı artırıldı.
- Zor Mutant Operasyonu oynanışında, Efsanevi ekipman pa"&amp;"rçası ödülleri artırıldı.
- Primat Karşı Karşıyası oynanışında bazı görevlerin ve becerilerin değerleri ayarlandı.
- Büyük Tren Yarışı/Trene Hücum, Primat Karşı Karşıyası ve Meka Çarpışması etkinlik dönemleri ve ödülleri ayarlandı.")</f>
        <v>- Büyük Lord Fokunun etkileri ayarlandı, Subay ve öncü Foklarının etkileri değiştirildi.
- Yeni Kalıntı Gücü Başarısı eklendi.
- Taverna ödül havuzu ayarlandı, temel kaynaklar kaldırıldı ve savaşçı deneyimi ile Hızlandırıcı Eşyalar eklendi.
- Gezegen Savaşları:
Ateş Yıldızı ve Mercan Yıldızı'nda Düşük seviye birimlerin Yüksek seviye birimlere saldırısından elde edilen puanlar ayarlandı.
Mercan Yıldızı'nda Kamp Skoru içindeki eylemlerin oranı optimize edildi, savaşla ilgili skorlar için daha yüksek bir oranla.
- Yıldız Kolezyumu'nda ödül verme mantığı ayarlandı. Skorların yanı sıra, aralarındaki maçın sonucuna göre de belirleniyor artık.
- Belirli oynanışlarda Meka Deneyimi kazanma miktarı artırıldı.
- Zor Mutant Operasyonu oynanışında, Efsanevi ekipman parçası ödülleri artırıldı.
- Primat Karşı Karşıyası oynanışında bazı görevlerin ve becerilerin değerleri ayarlandı.
- Büyük Tren Yarışı/Trene Hücum, Primat Karşı Karşıyası ve Meka Çarpışması etkinlik dönemleri ve ödülleri ayarlandı.</v>
      </c>
      <c r="M44" s="108" t="str">
        <f>IFERROR(__xludf.DUMMYFUNCTION("""COMPUTED_VALUE"""),"- Điều chỉnh hiệu ứng của Hải cẩu Bá Chủ, đổi hiệu ứng của Hải cẩu Sĩ Quan Quân Đội và Tiên phong.
- Thêm thành tích Sức mạnh Di Tích mới.
- Điều chỉnh bể giải thưởng của Tửu Quán, loại bỏ tài nguyên sơ cấp và thêm Điểm Kinh Nghiệm Chiến Đấu và Vật phẩm t"&amp;"ăng tốc.
- Chiến Tranh Hành Tinh:
Điều chỉnh điểm số được tạo ra từ các đơn vị cấp thấp tấn công các đơn vị cấp cao ở Sao Hỏa và Sao San Hô.
Tối ưu tỷ lệ hành động trong Điểm Số Trại ở Sao San Hô, với tỷ lệ cao hơn cho điểm số liên quan đến chiến đấu.
- Đ"&amp;"iều chỉnh logic trao giải ở Đại Đấu Trường Thiên Thể. Ngoài điểm số, giờ đây còn dựa trên kết quả của trận đấu giữa họ.
- Tăng lượng Điểm Kinh Nghiệm Cơ khí nhận được trong một số trò chơi.
- Trong trò chơi Vây Quét Khỉ Đột Biến khó khăn, tăng phần thưởng"&amp;" mảnh trang bị Huyền Thoại.
- Điều chỉnh giá trị của một số nhiệm vụ và kỹ năng trong trò chơi Đối Đầu Linh Trưởng.
- Điều chỉnh thời gian sự kiện và giải thưởng của Đường Đua Xe Lửa Lớn/Xe Lửa Tranh Bá, Đối Đầu Linh Trưởng và Cuộc Đụng Độ Cơ Khí.")</f>
        <v>- Điều chỉnh hiệu ứng của Hải cẩu Bá Chủ, đổi hiệu ứng của Hải cẩu Sĩ Quan Quân Đội và Tiên phong.
- Thêm thành tích Sức mạnh Di Tích mới.
- Điều chỉnh bể giải thưởng của Tửu Quán, loại bỏ tài nguyên sơ cấp và thêm Điểm Kinh Nghiệm Chiến Đấu và Vật phẩm tăng tốc.
- Chiến Tranh Hành Tinh:
Điều chỉnh điểm số được tạo ra từ các đơn vị cấp thấp tấn công các đơn vị cấp cao ở Sao Hỏa và Sao San Hô.
Tối ưu tỷ lệ hành động trong Điểm Số Trại ở Sao San Hô, với tỷ lệ cao hơn cho điểm số liên quan đến chiến đấu.
- Điều chỉnh logic trao giải ở Đại Đấu Trường Thiên Thể. Ngoài điểm số, giờ đây còn dựa trên kết quả của trận đấu giữa họ.
- Tăng lượng Điểm Kinh Nghiệm Cơ khí nhận được trong một số trò chơi.
- Trong trò chơi Vây Quét Khỉ Đột Biến khó khăn, tăng phần thưởng mảnh trang bị Huyền Thoại.
- Điều chỉnh giá trị của một số nhiệm vụ và kỹ năng trong trò chơi Đối Đầu Linh Trưởng.
- Điều chỉnh thời gian sự kiện và giải thưởng của Đường Đua Xe Lửa Lớn/Xe Lửa Tranh Bá, Đối Đầu Linh Trưởng và Cuộc Đụng Độ Cơ Khí.</v>
      </c>
      <c r="N44" s="108" t="str">
        <f>IFERROR(__xludf.DUMMYFUNCTION("""COMPUTED_VALUE"""),"- Modificati gli effetti della Foca del Sign supremo, scambiando gli effetti delle Foche dell'Ufficiale militare e dell'Avanguardia.
- Aggiunta la nuova Conquista Potenza Reliquie.
- Modificato il montepremi della Taverna, rimosse le risorse base e aggiun"&amp;"ti ESP Combattente e Oggetti di accelerazione.
- Guerre planetarie:
Modificati i punteggi generati dagli attacchi delle unità di Bassa livello contro unità di Alta livello in Stella di fuoco e Stella di Corallo.
Ottimizzata la proporzione delle azioni nel"&amp;" punteggio del Campo in Stella di Corallo, con una maggiore proporzione per i punteggi legati alla battaglia.
- Modificata la logica di premiazione nel Colosseo astrale. Ora basata anche sull'esito dell'ABBINAMENTO tra di loro, oltre che sui Punteggi.
- A"&amp;"umentata la quantità di EXP Mech guadagnata in certi tipi di GIOCO.
- Nel difficile gameplay di Operazione Mutanti, aumentate le ricompense di frammenti di equipaggiamento Leggendario.
- Modificati i valori di alcune missioni e abilità nel gameplay di CON"&amp;"FRONTO PRIMATESCO.
- Modificati i periodi degli eventi e le ricompense della Grande gara dei treni/Corsa dei treni, CONFRONTO PRIMATESCO e SCONTRO MECH.")</f>
        <v>- Modificati gli effetti della Foca del Sign supremo, scambiando gli effetti delle Foche dell'Ufficiale militare e dell'Avanguardia.
- Aggiunta la nuova Conquista Potenza Reliquie.
- Modificato il montepremi della Taverna, rimosse le risorse base e aggiunti ESP Combattente e Oggetti di accelerazione.
- Guerre planetarie:
Modificati i punteggi generati dagli attacchi delle unità di Bassa livello contro unità di Alta livello in Stella di fuoco e Stella di Corallo.
Ottimizzata la proporzione delle azioni nel punteggio del Campo in Stella di Corallo, con una maggiore proporzione per i punteggi legati alla battaglia.
- Modificata la logica di premiazione nel Colosseo astrale. Ora basata anche sull'esito dell'ABBINAMENTO tra di loro, oltre che sui Punteggi.
- Aumentata la quantità di EXP Mech guadagnata in certi tipi di GIOCO.
- Nel difficile gameplay di Operazione Mutanti, aumentate le ricompense di frammenti di equipaggiamento Leggendario.
- Modificati i valori di alcune missioni e abilità nel gameplay di CONFRONTO PRIMATESCO.
- Modificati i periodi degli eventi e le ricompense della Grande gara dei treni/Corsa dei treni, CONFRONTO PRIMATESCO e SCONTRO MECH.</v>
      </c>
      <c r="O44" s="108" t="str">
        <f>IFERROR(__xludf.DUMMYFUNCTION("""COMPUTED_VALUE"""),"- Dostosowano efekty Pieczęci Władcy, zamieniając efekty Pieczęci Oficera wojska i Str. przed.
- Dodano nowe osiągnięcie Mocy Reliktu.
- Dostosowano pulę nagród w Tawernie, usunięto podstawowe zasoby i dodano PD Wojownika oraz Przyspieszenia.
- Wojny plan"&amp;"et:
Dostosowano punktację generowaną z ataków jednostek niskiego poziomu na jednostki wysokiego poziomu w Ognistej gwiazdzie i Gwieździe Koralowej.
Zoptymalizowano proporcje akcji w punktacji Obozu w Gwieździe Koralowej, z wyższą proporcją dla punktów zwi"&amp;"ązanych z walką.
- Dostosowano logikę przyznawania nagród w Gwiezdnym koloseum. Teraz oprócz punktów, także na podstawie wyniku meczu między nimi.
- Zwiększono ilość zdobywanego PD Mecha w niektórych rozgrywkach.
- W trudnej rozgrywce Operacja Mutanty zwi"&amp;"ększono nagrody w postaci fragmentów legendarnego wyposażenia.
- Dostosowano wartości niektórych misji i umiejętności w rozgrywce Impas Naczelnych.
- Dostosowano okresy wydarzeń i nagrody Wielkiego wyścigu pociągów/Pędu pociągu, Impasu Naczelnych i Starci"&amp;"a Mechów.")</f>
        <v>- Dostosowano efekty Pieczęci Władcy, zamieniając efekty Pieczęci Oficera wojska i Str. przed.
- Dodano nowe osiągnięcie Mocy Reliktu.
- Dostosowano pulę nagród w Tawernie, usunięto podstawowe zasoby i dodano PD Wojownika oraz Przyspieszenia.
- Wojny planet:
Dostosowano punktację generowaną z ataków jednostek niskiego poziomu na jednostki wysokiego poziomu w Ognistej gwiazdzie i Gwieździe Koralowej.
Zoptymalizowano proporcje akcji w punktacji Obozu w Gwieździe Koralowej, z wyższą proporcją dla punktów związanych z walką.
- Dostosowano logikę przyznawania nagród w Gwiezdnym koloseum. Teraz oprócz punktów, także na podstawie wyniku meczu między nimi.
- Zwiększono ilość zdobywanego PD Mecha w niektórych rozgrywkach.
- W trudnej rozgrywce Operacja Mutanty zwiększono nagrody w postaci fragmentów legendarnego wyposażenia.
- Dostosowano wartości niektórych misji i umiejętności w rozgrywce Impas Naczelnych.
- Dostosowano okresy wydarzeń i nagrody Wielkiego wyścigu pociągów/Pędu pociągu, Impasu Naczelnych i Starcia Mechów.</v>
      </c>
      <c r="P44" s="108" t="str">
        <f>IFERROR(__xludf.DUMMYFUNCTION("""COMPUTED_VALUE"""),"- تم تعديل تأثيرات ختم الحاكم، بتبديل تأثيرات ختم الضابط العسكري وختم الطليعة.
- تم إضافة تحقيق قوة المقتنيات الجديد.
- تم تعديل مجموعة جوائز المقهى، إزالة الموارد الأساسية، وإضافة خبرة المقاتل وعناصر التسريعات.
- حروب الكوكب:
تم تعديل النقاط المولدة من ه"&amp;"جوم الوحدات ذات المستوى القليل على الوحدات ذات المستوى العالي في نجمة النار ونجمة المرجان.
تم تحسين نسبة الإجراءات في نقاط المعسكر في نجمة المرجان، مع نسبة أعلى للنقاط المتعلقة بالمعارك.
- تم تعديل منطق منح الجوائز في مدرج النجوم. بالإضافة إلى النقاط، الآ"&amp;"ن أيضًا بناءً على نتيجة المطابقة بينهم.
- زيادة كمية خبرة الميكا المكتسبة في بعض طرق اللعب.
- في طريقة اللعب الصعبة صواميل التشغيل، زيادة مكافآت شظايا المعدات الأسطورية.
- تم تعديل قيم بعض المهام والمهارات في طريقة اللعب مواجهة الرئيسيات.
- تم تعديل فترات"&amp;" الأحداث والمكافآت لسباق القطار العظيم/القطار المندفع، مواجهة الرئيسيات، وصراع الميكا.")</f>
        <v>- تم تعديل تأثيرات ختم الحاكم، بتبديل تأثيرات ختم الضابط العسكري وختم الطليعة.
- تم إضافة تحقيق قوة المقتنيات الجديد.
- تم تعديل مجموعة جوائز المقهى، إزالة الموارد الأساسية، وإضافة خبرة المقاتل وعناصر التسريعات.
- حروب الكوكب:
تم تعديل النقاط المولدة من هجوم الوحدات ذات المستوى القليل على الوحدات ذات المستوى العالي في نجمة النار ونجمة المرجان.
تم تحسين نسبة الإجراءات في نقاط المعسكر في نجمة المرجان، مع نسبة أعلى للنقاط المتعلقة بالمعارك.
- تم تعديل منطق منح الجوائز في مدرج النجوم. بالإضافة إلى النقاط، الآن أيضًا بناءً على نتيجة المطابقة بينهم.
- زيادة كمية خبرة الميكا المكتسبة في بعض طرق اللعب.
- في طريقة اللعب الصعبة صواميل التشغيل، زيادة مكافآت شظايا المعدات الأسطورية.
- تم تعديل قيم بعض المهام والمهارات في طريقة اللعب مواجهة الرئيسيات.
- تم تعديل فترات الأحداث والمكافآت لسباق القطار العظيم/القطار المندفع، مواجهة الرئيسيات، وصراع الميكا.</v>
      </c>
      <c r="Q44" s="108" t="str">
        <f>IFERROR(__xludf.DUMMYFUNCTION("""COMPUTED_VALUE"""),"- 覇者シールの効果を調整し、軍事士官とヴァンガードシールの効果を置換しました。
- 新たなレリックパワー達成度を追加しました。
- マシラ酒場の賞品プールを調整し、基本資源を撤去し、ファイター経験値と加速アイテムを追加しました。
- プラネットウォーズ：
マーズ星とサンゴ星での低レベルユニットによる高レベルユニットへの攻撃から生じるスコアを調整しました。
サンゴ星の陣営スコアにおける行動の割合を最適化し、戦闘関連のスコアの割合を高めました。
- アストラルコロシアムでの授与ロジックを調整しました。スコア"&amp;"に加えて、今では彼らの間のマッチの結果にも基づいています。
- 特定のプレイデータで獲得するメカ経験値の量を増加しました。
- 難易度の高い変異エイプ殲滅作戦プレイデータで、レジェンダリー装備の欠片報酬を増加しました。
- プライメイト対決プレイデータのいくつかのミッションとスキルの価値を調整しました。
- トレインレース/トレインラッシュ、プライメイト対決、メッククラッシュのイベント期間と報酬を調整しました。")</f>
        <v>- 覇者シールの効果を調整し、軍事士官とヴァンガードシールの効果を置換しました。
- 新たなレリックパワー達成度を追加しました。
- マシラ酒場の賞品プールを調整し、基本資源を撤去し、ファイター経験値と加速アイテムを追加しました。
- プラネットウォーズ：
マーズ星とサンゴ星での低レベルユニットによる高レベルユニットへの攻撃から生じるスコアを調整しました。
サンゴ星の陣営スコアにおける行動の割合を最適化し、戦闘関連のスコアの割合を高めました。
- アストラルコロシアムでの授与ロジックを調整しました。スコアに加えて、今では彼らの間のマッチの結果にも基づいています。
- 特定のプレイデータで獲得するメカ経験値の量を増加しました。
- 難易度の高い変異エイプ殲滅作戦プレイデータで、レジェンダリー装備の欠片報酬を増加しました。
- プライメイト対決プレイデータのいくつかのミッションとスキルの価値を調整しました。
- トレインレース/トレインラッシュ、プライメイト対決、メッククラッシュのイベント期間と報酬を調整しました。</v>
      </c>
      <c r="R44" s="108" t="str">
        <f>IFERROR(__xludf.DUMMYFUNCTION("""COMPUTED_VALUE"""),"- 제왕 인장의 효과를 조정하고, 군사 장교와 선봉장 인장의 효과를 교체했습니다.
- 새로운 유물 전투력 성과를 추가했습니다.
- 선술집 상품 풀을 조정하여 기본 자원을 제거하고 전사 경험치와 가속 아이템을 추가했습니다.
- 은하 전쟁:
낮은 레벨 유닛이 높은 레벨 유닛을 공격할 때 불칸과 산호별에서 생성되는 점수를 조정했습니다.
산호별의 캠프 점수에서 전투 관련 점수의 비율을 높이면서 행동의 비율을 최적화했습니다.
- 별의 사투에서 수여 로직을 조정했"&amp;"습니다. 점수뿐만 아니라 이제 매치의 결과에도 기반을 두고 있습니다.
- 특정 게임플레이에서 메카 경험치 획득량을 증가시켰습니다.
- 어려운 변이 원숭이 토벌 게임플레이에서 전설 장비 조각 보상을 증가시켰습니다.
- 영장류 대치 게임플레이에서 일부 미션과 스킬의 가치를 조정했습니다.
- 기차 레이스/기차 쟁탈전, 영장류 대치, 메카 교전의 이벤트 기간과 보상을 조정했습니다.")</f>
        <v>- 제왕 인장의 효과를 조정하고, 군사 장교와 선봉장 인장의 효과를 교체했습니다.
- 새로운 유물 전투력 성과를 추가했습니다.
- 선술집 상품 풀을 조정하여 기본 자원을 제거하고 전사 경험치와 가속 아이템을 추가했습니다.
- 은하 전쟁:
낮은 레벨 유닛이 높은 레벨 유닛을 공격할 때 불칸과 산호별에서 생성되는 점수를 조정했습니다.
산호별의 캠프 점수에서 전투 관련 점수의 비율을 높이면서 행동의 비율을 최적화했습니다.
- 별의 사투에서 수여 로직을 조정했습니다. 점수뿐만 아니라 이제 매치의 결과에도 기반을 두고 있습니다.
- 특정 게임플레이에서 메카 경험치 획득량을 증가시켰습니다.
- 어려운 변이 원숭이 토벌 게임플레이에서 전설 장비 조각 보상을 증가시켰습니다.
- 영장류 대치 게임플레이에서 일부 미션과 스킬의 가치를 조정했습니다.
- 기차 레이스/기차 쟁탈전, 영장류 대치, 메카 교전의 이벤트 기간과 보상을 조정했습니다.</v>
      </c>
      <c r="S44" s="108"/>
      <c r="T44" s="108"/>
      <c r="U44" s="108"/>
      <c r="V44" s="108"/>
      <c r="W44" s="108"/>
      <c r="X44" s="108"/>
      <c r="Y44" s="108"/>
      <c r="Z44" s="108"/>
    </row>
    <row r="45">
      <c r="A45" s="108" t="str">
        <f>IFERROR(__xludf.DUMMYFUNCTION("""COMPUTED_VALUE"""),"0.61.0")</f>
        <v>0.61.0</v>
      </c>
      <c r="B45" s="108" t="str">
        <f>IFERROR(__xludf.DUMMYFUNCTION("""COMPUTED_VALUE"""),"-机甲战场：对机甲战场玩法中的积分、经验成长等参数进行了调整，并增加了每日获奖次数；
-科林的探索：调整了高等级科林的任务奖励，去掉了部分无用道具，增加了机甲经验和新猩胶囊；
-战装试炼场：增加了两个新难度，在新难度中，新增了纳米材料和尖端、征服者、精密系列装备图纸碎片作为奖励。")</f>
        <v>-机甲战场：对机甲战场玩法中的积分、经验成长等参数进行了调整，并增加了每日获奖次数；
-科林的探索：调整了高等级科林的任务奖励，去掉了部分无用道具，增加了机甲经验和新猩胶囊；
-战装试炼场：增加了两个新难度，在新难度中，新增了纳米材料和尖端、征服者、精密系列装备图纸碎片作为奖励。</v>
      </c>
      <c r="C45" s="231" t="str">
        <f>IFERROR(__xludf.DUMMYFUNCTION("""COMPUTED_VALUE"""),"- Mech Clash: Adjusted stats like points and XP earned and increased the number of daily rewards.
- Colin's Exploration: Modified rewards for higher-level quests, eliminating impractical items and adding mech XP and Nu-Ape Capsules.
- Equipment Test Site:"&amp;" Added two new difficulty levels with Nanomaterials, and Mega, Conqueror, and Precision blueprint scraps as rewards.")</f>
        <v>- Mech Clash: Adjusted stats like points and XP earned and increased the number of daily rewards.
- Colin's Exploration: Modified rewards for higher-level quests, eliminating impractical items and adding mech XP and Nu-Ape Capsules.
- Equipment Test Site: Added two new difficulty levels with Nanomaterials, and Mega, Conqueror, and Precision blueprint scraps as rewards.</v>
      </c>
      <c r="D45" s="108" t="str">
        <f>IFERROR(__xludf.DUMMYFUNCTION("""COMPUTED_VALUE"""),"- Conflit Mécha : Statistiques ajustées telles que le score et l'EXP gagnés et augmentation du nombre de récompenses quotidiennes.
- L'exploration de Colin : Récompenses modifiées pour les quêtes de niveau supérieur, suppression des objets non pratiques e"&amp;"t ajout d'EXP pour mécha et de capsules Nu-Ape.
- Site d'Essai d'Équipement : Ajout de deux nouveaux niveaux de difficulté avec des Nanomatériaux, et des fragments de plans Méga, Conquérant et Précision comme récompenses.")</f>
        <v>- Conflit Mécha : Statistiques ajustées telles que le score et l'EXP gagnés et augmentation du nombre de récompenses quotidiennes.
- L'exploration de Colin : Récompenses modifiées pour les quêtes de niveau supérieur, suppression des objets non pratiques et ajout d'EXP pour mécha et de capsules Nu-Ape.
- Site d'Essai d'Équipement : Ajout de deux nouveaux niveaux de difficulté avec des Nanomatériaux, et des fragments de plans Méga, Conquérant et Précision comme récompenses.</v>
      </c>
      <c r="E45" s="108" t="str">
        <f>IFERROR(__xludf.DUMMYFUNCTION("""COMPUTED_VALUE"""),"- Mech-Zusammenstoß: Angepasste Statistiken wie Punkte und EP verdient und die Anzahl der täglichen Belohnungen erhöht.
- Colins Erkundung: Modifizierte Belohnungen für Quests höherer Level, indem unpraktische Gegenstände eliminiert und Mech-EP sowie Nu-A"&amp;"pe-Kapseln hinzugefügt wurden.
- Ausrüstungs-Testgelände: Zwei neue Schwierigkeitsstufen mit Nanomaterialien hinzugefügt, sowie Mega-, Eroberer- und Präzisions-Bauplan-Fragmente als Belohnungen.")</f>
        <v>- Mech-Zusammenstoß: Angepasste Statistiken wie Punkte und EP verdient und die Anzahl der täglichen Belohnungen erhöht.
- Colins Erkundung: Modifizierte Belohnungen für Quests höherer Level, indem unpraktische Gegenstände eliminiert und Mech-EP sowie Nu-Ape-Kapseln hinzugefügt wurden.
- Ausrüstungs-Testgelände: Zwei neue Schwierigkeitsstufen mit Nanomaterialien hinzugefügt, sowie Mega-, Eroberer- und Präzisions-Bauplan-Fragmente als Belohnungen.</v>
      </c>
      <c r="F45" s="108" t="str">
        <f>IFERROR(__xludf.DUMMYFUNCTION("""COMPUTED_VALUE"""),"- Embate de Mechs: Estatísticas ajustadas como pontos e EXP ganhos e aumento no número de recompensas diárias.
- Exploração de Colin: Recompensas modificadas para missões de nível mais alto, eliminando itens impraticáveis e adicionando EXP de mech e Cápsu"&amp;"las de Nu-Ape.
- Local de Teste de Equipamentos: Adicionados dois novos níveis de dificuldade com Nanomateriais, e Fragmentos de diagramas Mega, Conquistador e Precisão como recompensas.")</f>
        <v>- Embate de Mechs: Estatísticas ajustadas como pontos e EXP ganhos e aumento no número de recompensas diárias.
- Exploração de Colin: Recompensas modificadas para missões de nível mais alto, eliminando itens impraticáveis e adicionando EXP de mech e Cápsulas de Nu-Ape.
- Local de Teste de Equipamentos: Adicionados dois novos níveis de dificuldade com Nanomateriais, e Fragmentos de diagramas Mega, Conquistador e Precisão como recompensas.</v>
      </c>
      <c r="G45" s="108" t="str">
        <f>IFERROR(__xludf.DUMMYFUNCTION("""COMPUTED_VALUE"""),"-機甲戰場：對機甲戰場玩法中的積分、經驗成長等參數進行了調整，並增加了每日獲獎次數；
-科林的探索：調整了高等級科林的任務獎勵，去掉了部分無用道具，增加了機甲經驗和新猩膠囊；
-戰裝試煉場：增加了兩個新難度，在新難度中，新增了納米材料和尖端、征服者、王牌技師系列裝備圖紙碎片作為獎勵。")</f>
        <v>-機甲戰場：對機甲戰場玩法中的積分、經驗成長等參數進行了調整，並增加了每日獲獎次數；
-科林的探索：調整了高等級科林的任務獎勵，去掉了部分無用道具，增加了機甲經驗和新猩膠囊；
-戰裝試煉場：增加了兩個新難度，在新難度中，新增了納米材料和尖端、征服者、王牌技師系列裝備圖紙碎片作為獎勵。</v>
      </c>
      <c r="H45" s="108" t="str">
        <f>IFERROR(__xludf.DUMMYFUNCTION("""COMPUTED_VALUE"""),"- Tabrakan Mekanik: Statistik disesuaikan seperti poin dan EXP yang diperoleh serta meningkatkan jumlah hadiah harian.
- Penjelajahan Colin: Hadiah untuk misi level tinggi dimodifikasi, menghilangkan item yang tidak praktis dan menambahkan EXP mekanik ser"&amp;"ta Kapsul Nu-Ape.
- Situs Uji Perlengkapan: Menambahkan dua level kesulitan baru dengan Material nano, serta Potongan Cetak Biru Mega, Penakluk, dan Presisi sebagai hadiah.")</f>
        <v>- Tabrakan Mekanik: Statistik disesuaikan seperti poin dan EXP yang diperoleh serta meningkatkan jumlah hadiah harian.
- Penjelajahan Colin: Hadiah untuk misi level tinggi dimodifikasi, menghilangkan item yang tidak praktis dan menambahkan EXP mekanik serta Kapsul Nu-Ape.
- Situs Uji Perlengkapan: Menambahkan dua level kesulitan baru dengan Material nano, serta Potongan Cetak Biru Mega, Penakluk, dan Presisi sebagai hadiah.</v>
      </c>
      <c r="I45" s="108" t="str">
        <f>IFERROR(__xludf.DUMMYFUNCTION("""COMPUTED_VALUE"""),"- การปะทะเมค: ปรับสถิติเช่นคะแนนและค่าประสบการณ์ที่ได้รับ และเพิ่มจำนวนรางวัลรายวัน
- การสำรวจของโคลิน: ปรับเปลี่ยนรางวัลสำหรับเควสต์ระดับสูง โดยลบไอเทมที่ไม่ปฏิบัติการได้จริงออก และเพิ่มค่าประสบการณ์เมคและแคปซูลนู-เอป
- สถานทดสอบอุปกรณ์: เพิ่มระดับความยา"&amp;"กใหม่สองระดับ พร้อมรางวัลเป็นวัสดุนาโน และชิ้นส่วนพิมพ์เขียวพลังคูณสาม, ผู้พิชิต, และนายช่างผู้เย็นชา")</f>
        <v>- การปะทะเมค: ปรับสถิติเช่นคะแนนและค่าประสบการณ์ที่ได้รับ และเพิ่มจำนวนรางวัลรายวัน
- การสำรวจของโคลิน: ปรับเปลี่ยนรางวัลสำหรับเควสต์ระดับสูง โดยลบไอเทมที่ไม่ปฏิบัติการได้จริงออก และเพิ่มค่าประสบการณ์เมคและแคปซูลนู-เอป
- สถานทดสอบอุปกรณ์: เพิ่มระดับความยากใหม่สองระดับ พร้อมรางวัลเป็นวัสดุนาโน และชิ้นส่วนพิมพ์เขียวพลังคูณสาม, ผู้พิชิต, และนายช่างผู้เย็นชา</v>
      </c>
      <c r="J45" s="108" t="str">
        <f>IFERROR(__xludf.DUMMYFUNCTION("""COMPUTED_VALUE"""),"- Enfrentamiento de Mecas: Estadísticas ajustadas como puntos y EXP ganados e incrementado el número de recompensas diarias.
- Exploración de Colin: Recompensas modificadas para misiones de nivel superior, eliminando artículos poco prácticos y añadiendo E"&amp;"XP de mecha y Cápsulas de Nu-Ape.
- Sitio de Prueba de Equipos: Añadidos dos nuevos niveles de dificultad con Nanomateriales, y restos de planos Mega, Conquistador y Precisión como recompensas.")</f>
        <v>- Enfrentamiento de Mecas: Estadísticas ajustadas como puntos y EXP ganados e incrementado el número de recompensas diarias.
- Exploración de Colin: Recompensas modificadas para misiones de nivel superior, eliminando artículos poco prácticos y añadiendo EXP de mecha y Cápsulas de Nu-Ape.
- Sitio de Prueba de Equipos: Añadidos dos nuevos niveles de dificultad con Nanomateriales, y restos de planos Mega, Conquistador y Precisión como recompensas.</v>
      </c>
      <c r="K45" s="108" t="str">
        <f>IFERROR(__xludf.DUMMYFUNCTION("""COMPUTED_VALUE"""),"- Схватка Мехов: Изменены такие показатели, как очки и ОП, заработанные, и увеличено количество ежедневных наград.
- Исследование Колина: Изменены награды за задания более высокого уровня, исключены непрактичные предметы и добавлены ОП для меха и капсулы "&amp;"Ну-Обезьяны.
- Полигон испытаний оборудования: Добавлены два новых уровня сложности с наноматериалами, а также награды в виде частей чертежей Мега, Покоритель и Высокоточность.")</f>
        <v>- Схватка Мехов: Изменены такие показатели, как очки и ОП, заработанные, и увеличено количество ежедневных наград.
- Исследование Колина: Изменены награды за задания более высокого уровня, исключены непрактичные предметы и добавлены ОП для меха и капсулы Ну-Обезьяны.
- Полигон испытаний оборудования: Добавлены два новых уровня сложности с наноматериалами, а также награды в виде частей чертежей Мега, Покоритель и Высокоточность.</v>
      </c>
      <c r="L45" s="108" t="str">
        <f>IFERROR(__xludf.DUMMYFUNCTION("""COMPUTED_VALUE"""),"- Meka Çarpışması: Puanlar ve kazanılan XP gibi istatistikler ayarlandı ve günlük ödüllerin sayısı artırıldı.
- Colin’in Keşfi: Daha yüksek seviyeli maceralar için ödüller değiştirildi, pratik olmayan eşyalar kaldırıldı ve meka XP ile Nu-Ape Kapsülleri ek"&amp;"lendi.
- Ekipman Test Alanı: Nanomateryaller ile iki yeni zorluk seviyesi eklendi ve ödüller olarak Mega, Fatih ve Hassas plan artıkları verildi.")</f>
        <v>- Meka Çarpışması: Puanlar ve kazanılan XP gibi istatistikler ayarlandı ve günlük ödüllerin sayısı artırıldı.
- Colin’in Keşfi: Daha yüksek seviyeli maceralar için ödüller değiştirildi, pratik olmayan eşyalar kaldırıldı ve meka XP ile Nu-Ape Kapsülleri eklendi.
- Ekipman Test Alanı: Nanomateryaller ile iki yeni zorluk seviyesi eklendi ve ödüller olarak Mega, Fatih ve Hassas plan artıkları verildi.</v>
      </c>
      <c r="M45" s="108" t="str">
        <f>IFERROR(__xludf.DUMMYFUNCTION("""COMPUTED_VALUE"""),"- Cuộc Đụng Độ Cơ Khí: Điều chỉnh các chỉ số như điểm và EXP kiếm được và tăng số lượng phần thưởng hàng ngày.
- Khám Phá Của Colin: Chỉnh sửa phần thưởng cho các nhiệm vụ cấp độ cao hơn, loại bỏ các vật phẩm không thực tế và thêm EXP cơ khí và Viên Nang "&amp;"Nu-Ape.
- Địa Điểm Thử Nghiệm Trang Bị: Thêm hai cấp độ khó mới với Nguyên liệu nano, và phần thưởng là Bản vẽ phế liệu Lớn, Kẻ Chinh Phục, và Chính Xác.")</f>
        <v>- Cuộc Đụng Độ Cơ Khí: Điều chỉnh các chỉ số như điểm và EXP kiếm được và tăng số lượng phần thưởng hàng ngày.
- Khám Phá Của Colin: Chỉnh sửa phần thưởng cho các nhiệm vụ cấp độ cao hơn, loại bỏ các vật phẩm không thực tế và thêm EXP cơ khí và Viên Nang Nu-Ape.
- Địa Điểm Thử Nghiệm Trang Bị: Thêm hai cấp độ khó mới với Nguyên liệu nano, và phần thưởng là Bản vẽ phế liệu Lớn, Kẻ Chinh Phục, và Chính Xác.</v>
      </c>
      <c r="N45" s="108" t="str">
        <f>IFERROR(__xludf.DUMMYFUNCTION("""COMPUTED_VALUE"""),"- Scontro Mech: Statistiche aggiustate come punti e ESP guadagnati e aumentato il numero di ricompense giornaliere.
- Esplorazione di Colin: Modificate le ricompense per le missioni di livello superiore, eliminando oggetti non pratici e aggiungendo ESP pe"&amp;"r mech e Capsule Nu-Ape.
- Sito di Prova Attrezzature: Aggiunti due nuovi livelli di difficoltà con Nanomateriali, e Ritagli di Progetti Mega, Conquistatore e Precisione come ricompense.")</f>
        <v>- Scontro Mech: Statistiche aggiustate come punti e ESP guadagnati e aumentato il numero di ricompense giornaliere.
- Esplorazione di Colin: Modificate le ricompense per le missioni di livello superiore, eliminando oggetti non pratici e aggiungendo ESP per mech e Capsule Nu-Ape.
- Sito di Prova Attrezzature: Aggiunti due nuovi livelli di difficoltà con Nanomateriali, e Ritagli di Progetti Mega, Conquistatore e Precisione come ricompense.</v>
      </c>
      <c r="O45" s="108" t="str">
        <f>IFERROR(__xludf.DUMMYFUNCTION("""COMPUTED_VALUE"""),"- Starcie Mechów: Dostosowano statystyki takie jak punkty i zdobywane PD oraz zwiększono liczbę codziennych nagród.
- Eksploracja Colina: Zmodyfikowano nagrody za zadania na wyższym poziomie, eliminując niepraktyczne przedmioty i dodając PD dla mecha oraz"&amp;" Kapsuły Nu-Ape.
- Poligon Testowy Wyposażenia: Dodano dwie nowe poziomy trudności z Nanomateriałami oraz nagrody w postaci fragmentów planów Mega, Zdobywca i Precyzja.")</f>
        <v>- Starcie Mechów: Dostosowano statystyki takie jak punkty i zdobywane PD oraz zwiększono liczbę codziennych nagród.
- Eksploracja Colina: Zmodyfikowano nagrody za zadania na wyższym poziomie, eliminując niepraktyczne przedmioty i dodając PD dla mecha oraz Kapsuły Nu-Ape.
- Poligon Testowy Wyposażenia: Dodano dwie nowe poziomy trudności z Nanomateriałami oraz nagrody w postaci fragmentów planów Mega, Zdobywca i Precyzja.</v>
      </c>
      <c r="P45" s="108" t="str">
        <f>IFERROR(__xludf.DUMMYFUNCTION("""COMPUTED_VALUE"""),"- صراع الميكا: تم تعديل الإحصائيات مثل النقاط والخبرة المكتسبة وزيادة عدد الجوائز اليومية.
- استكشاف كولن: تعديل الجوائز للمهام ذات المستوى الأعلى، بإزالة العناصر غير العملية وإضافة خبرة الميكا وكبسولات نو-إيب.
- موقع اختبار المعدات: تم إضافة مستويين جديد"&amp;"ين من الصعوبة مع مواد نانوية، وقصاصات مخطط ميجا، الفاتح، والدقة كجوائز.")</f>
        <v>- صراع الميكا: تم تعديل الإحصائيات مثل النقاط والخبرة المكتسبة وزيادة عدد الجوائز اليومية.
- استكشاف كولن: تعديل الجوائز للمهام ذات المستوى الأعلى، بإزالة العناصر غير العملية وإضافة خبرة الميكا وكبسولات نو-إيب.
- موقع اختبار المعدات: تم إضافة مستويين جديدين من الصعوبة مع مواد نانوية، وقصاصات مخطط ميجا، الفاتح، والدقة كجوائز.</v>
      </c>
      <c r="Q45" s="108" t="str">
        <f>IFERROR(__xludf.DUMMYFUNCTION("""COMPUTED_VALUE"""),"- メッククラッシュ：獲得ポイントや経験値の調整を行い、デイリー報酬の数を増やしました。
- コリンの探索：高レベルのクエスト報酬を変更し、実用的でないアイテムを排除してメカ経験値とヌーエイプカプセルを追加しました。
- 装備性能試験場：ナノマテリアル、メガ、征服者、精密装備の図面の破片を報酬とする2つの新たな難易度レベルを追加しました。")</f>
        <v>- メッククラッシュ：獲得ポイントや経験値の調整を行い、デイリー報酬の数を増やしました。
- コリンの探索：高レベルのクエスト報酬を変更し、実用的でないアイテムを排除してメカ経験値とヌーエイプカプセルを追加しました。
- 装備性能試験場：ナノマテリアル、メガ、征服者、精密装備の図面の破片を報酬とする2つの新たな難易度レベルを追加しました。</v>
      </c>
      <c r="R45" s="108" t="str">
        <f>IFERROR(__xludf.DUMMYFUNCTION("""COMPUTED_VALUE"""),"- 메카 교전: 포인트와 경험치 획득량을 조정하고, 일일 보상의 수를 증가시켰습니다.
- 콜린의 탐색: 상위 레벨 임무의 보상을 수정하여 비실용적인 아이템을 제거하고 메카 경험치와 뉴-에이프 캡슐을 추가했습니다.
- 장비 시험장: 나노 소재, 메가, 정복자, 정밀 도면 조각을 보상으로 하는 두 개의 새로운 난이도 레벨을 추가했습니다.")</f>
        <v>- 메카 교전: 포인트와 경험치 획득량을 조정하고, 일일 보상의 수를 증가시켰습니다.
- 콜린의 탐색: 상위 레벨 임무의 보상을 수정하여 비실용적인 아이템을 제거하고 메카 경험치와 뉴-에이프 캡슐을 추가했습니다.
- 장비 시험장: 나노 소재, 메가, 정복자, 정밀 도면 조각을 보상으로 하는 두 개의 새로운 난이도 레벨을 추가했습니다.</v>
      </c>
      <c r="S45" s="108"/>
      <c r="T45" s="108"/>
      <c r="U45" s="108"/>
      <c r="V45" s="108"/>
      <c r="W45" s="108"/>
      <c r="X45" s="108"/>
      <c r="Y45" s="108"/>
      <c r="Z45" s="108"/>
    </row>
    <row r="46">
      <c r="A46" s="108" t="str">
        <f>IFERROR(__xludf.DUMMYFUNCTION("""COMPUTED_VALUE"""),"0.62.0")</f>
        <v>0.62.0</v>
      </c>
      <c r="B46" s="108" t="str">
        <f>IFERROR(__xludf.DUMMYFUNCTION("""COMPUTED_VALUE"""),"-斗士平衡性调整：加强了蒂芙尼，埃尔默，雷蒙德，索尔；
-银河战争内的军功商店限购次数调整；
-狂飙拉力赛中增加了机甲相关奖励，将在下一期活动开始更新；
-火神星积分调整，帮派和军团首次占领建筑和升级建筑将获得更多积分；
-对机甲远征玩法中的推荐战力进行优化；
-已经开启双天赋的紫色斗士，需要兑换全部天赋点才能回收对应的奖牌。")</f>
        <v>-斗士平衡性调整：加强了蒂芙尼，埃尔默，雷蒙德，索尔；
-银河战争内的军功商店限购次数调整；
-狂飙拉力赛中增加了机甲相关奖励，将在下一期活动开始更新；
-火神星积分调整，帮派和军团首次占领建筑和升级建筑将获得更多积分；
-对机甲远征玩法中的推荐战力进行优化；
-已经开启双天赋的紫色斗士，需要兑换全部天赋点才能回收对应的奖牌。</v>
      </c>
      <c r="C46" s="169" t="str">
        <f>IFERROR(__xludf.DUMMYFUNCTION("""COMPUTED_VALUE"""),"-Modifications for Fighter balance: Strengthened Tiffany, Elmo, Raymond, and Thor.
-Purchase limits changed in the Honors Shop in Planet Wars.
-Mech-related items added Cyclone Rally rewards (effective as of the next event).
-Fire Star scoring changes: Ga"&amp;"ngs and Armies now earn more points when they upgrade a building or occupy buildings for the first time.
-Improved power recommendations in Mech Expedition.
-You must exchange all talent points to get back medals for Epic Fighters with double talents.")</f>
        <v>-Modifications for Fighter balance: Strengthened Tiffany, Elmo, Raymond, and Thor.
-Purchase limits changed in the Honors Shop in Planet Wars.
-Mech-related items added Cyclone Rally rewards (effective as of the next event).
-Fire Star scoring changes: Gangs and Armies now earn more points when they upgrade a building or occupy buildings for the first time.
-Improved power recommendations in Mech Expedition.
-You must exchange all talent points to get back medals for Epic Fighters with double talents.</v>
      </c>
      <c r="D46" s="108" t="str">
        <f>IFERROR(__xludf.DUMMYFUNCTION("""COMPUTED_VALUE"""),"-Modifications pour l'équilibre des Combattants : Renforcement de Tiffany, Elmo, Raymond et Thor.
-Les limites d'achat ont changé dans la Boutq d'Honneur de la Guerre planétaire.
-Ajout d'objets liés aux Méchas dans les récompenses du Rallye du cyclone (e"&amp;"ffectif dès le prochain événement).
-Modifications du classement d'Etoile de feu : Les Gangs et les Armées gagnent maintenant plus de points lorsqu'ils améliorent un bâtiment ou occupent des bâtiments pour la première fois.
-Amélioration des recommandatio"&amp;"ns de puissance dans l'Expédition Mécha.
-Vous devez échanger tous les points de talent pour récupérer des médailles pour les Combattants Épiques avec des talents doubles.")</f>
        <v>-Modifications pour l'équilibre des Combattants : Renforcement de Tiffany, Elmo, Raymond et Thor.
-Les limites d'achat ont changé dans la Boutq d'Honneur de la Guerre planétaire.
-Ajout d'objets liés aux Méchas dans les récompenses du Rallye du cyclone (effectif dès le prochain événement).
-Modifications du classement d'Etoile de feu : Les Gangs et les Armées gagnent maintenant plus de points lorsqu'ils améliorent un bâtiment ou occupent des bâtiments pour la première fois.
-Amélioration des recommandations de puissance dans l'Expédition Mécha.
-Vous devez échanger tous les points de talent pour récupérer des médailles pour les Combattants Épiques avec des talents doubles.</v>
      </c>
      <c r="E46" s="108" t="str">
        <f>IFERROR(__xludf.DUMMYFUNCTION("""COMPUTED_VALUE"""),"-Änderungen für das Gleichgewicht der Kämpfer: Tiffany, Elmo, Raymond und Thor wurden verstärkt.
-Kauflimitänderungen im Ehrenladen bei den Planetenkriegen.
-Mech-bezogene Items zu den Zyklon-Rennen Belohnungen hinzugefügt (wirksam ab dem nächsten Event)."&amp;"
-Feuerstern Punktevergabe Änderungen: Clans und Armeen erhalten jetzt mehr Punkte, wenn sie ein Gebäude aufwerten oder Gebäude zum ersten Mal besetzen.
-Verbesserte Stärkeempfehlungen in der Mech-Expedition.
-Du musst alle Talentpunkte eintauschen, um Me"&amp;"daillen für Epische Kämpfer mit doppelten Talenten zurückzuerhalten.")</f>
        <v>-Änderungen für das Gleichgewicht der Kämpfer: Tiffany, Elmo, Raymond und Thor wurden verstärkt.
-Kauflimitänderungen im Ehrenladen bei den Planetenkriegen.
-Mech-bezogene Items zu den Zyklon-Rennen Belohnungen hinzugefügt (wirksam ab dem nächsten Event).
-Feuerstern Punktevergabe Änderungen: Clans und Armeen erhalten jetzt mehr Punkte, wenn sie ein Gebäude aufwerten oder Gebäude zum ersten Mal besetzen.
-Verbesserte Stärkeempfehlungen in der Mech-Expedition.
-Du musst alle Talentpunkte eintauschen, um Medaillen für Epische Kämpfer mit doppelten Talenten zurückzuerhalten.</v>
      </c>
      <c r="F46" s="108" t="str">
        <f>IFERROR(__xludf.DUMMYFUNCTION("""COMPUTED_VALUE"""),"-Modificações no equilíbrio dos Combatentes: Reforçados Tiffany, Elmo, Raymond e Thor.
-Limites de compra alterados na Loja de Honra na Guerra Interplanetária.
-Itens relacionados a Mech adicionados às recompensas da Incursão Ciclone (válido a partir do p"&amp;"róximo evento).
-Mudanças na pontuação da Estrela de Fogo: Gangues e Exércitos agora ganham mais pontos quando melhoram uma estrutura ou ocupam construções pela primeira vez.
-Melhoria nas recomendações de poder na Expedição Mech.
-Você deve trocar todos "&amp;"os pontos de talento para recuperar medalhas para Combatentes Épicos com talentos duplos.")</f>
        <v>-Modificações no equilíbrio dos Combatentes: Reforçados Tiffany, Elmo, Raymond e Thor.
-Limites de compra alterados na Loja de Honra na Guerra Interplanetária.
-Itens relacionados a Mech adicionados às recompensas da Incursão Ciclone (válido a partir do próximo evento).
-Mudanças na pontuação da Estrela de Fogo: Gangues e Exércitos agora ganham mais pontos quando melhoram uma estrutura ou ocupam construções pela primeira vez.
-Melhoria nas recomendações de poder na Expedição Mech.
-Você deve trocar todos os pontos de talento para recuperar medalhas para Combatentes Épicos com talentos duplos.</v>
      </c>
      <c r="G46" s="108" t="str">
        <f>IFERROR(__xludf.DUMMYFUNCTION("""COMPUTED_VALUE"""),"-鬥士平衡性調整：加強了蒂芙尼，埃爾默，雷蒙德，索爾；
-銀河戰爭內的軍功商店限制次數調整；
-狂飆拉力賽中增加了機甲相關獎勵，將在下一期活動開始更新；
-火神星積分調整，幫派和軍團首次佔領建築和升級建築將獲得更多積分；
-對機甲遠征玩法中的推薦戰力進行優化；
-已經開啟雙天賦的紫色鬥士，需要交換所有天賦點才能回收對應的獎牌。")</f>
        <v>-鬥士平衡性調整：加強了蒂芙尼，埃爾默，雷蒙德，索爾；
-銀河戰爭內的軍功商店限制次數調整；
-狂飆拉力賽中增加了機甲相關獎勵，將在下一期活動開始更新；
-火神星積分調整，幫派和軍團首次佔領建築和升級建築將獲得更多積分；
-對機甲遠征玩法中的推薦戰力進行優化；
-已經開啟雙天賦的紫色鬥士，需要交換所有天賦點才能回收對應的獎牌。</v>
      </c>
      <c r="H46" s="108" t="str">
        <f>IFERROR(__xludf.DUMMYFUNCTION("""COMPUTED_VALUE"""),"-Modifikasi keseimbangan Pejuang: Memperkuat Tiffany, Elmo, Raymond, dan Thor.
-Batas pembelian diubah di Toko Kehormatan dalam Perang Planet.
-Item terkait Mekanik ditambahkan ke hadiah RELI Siklon (berlaku mulai acara berikutnya).
-Perubahan pemberian s"&amp;"kor Bintang Api: Geng dan Prajurit sekarang mendapatkan lebih banyak poin ketika mereka meningkatkan bangunan atau menduduki bangunan untuk pertama kalinya.
-Perbaikan rekomendasi kekuatan dalam Ekspedisi Mekanik.
-Anda harus menukar semua poin bakat untu"&amp;"k mendapatkan kembali medali untuk Pejuang Epik dengan bakat ganda.")</f>
        <v>-Modifikasi keseimbangan Pejuang: Memperkuat Tiffany, Elmo, Raymond, dan Thor.
-Batas pembelian diubah di Toko Kehormatan dalam Perang Planet.
-Item terkait Mekanik ditambahkan ke hadiah RELI Siklon (berlaku mulai acara berikutnya).
-Perubahan pemberian skor Bintang Api: Geng dan Prajurit sekarang mendapatkan lebih banyak poin ketika mereka meningkatkan bangunan atau menduduki bangunan untuk pertama kalinya.
-Perbaikan rekomendasi kekuatan dalam Ekspedisi Mekanik.
-Anda harus menukar semua poin bakat untuk mendapatkan kembali medali untuk Pejuang Epik dengan bakat ganda.</v>
      </c>
      <c r="I46" s="108" t="str">
        <f>IFERROR(__xludf.DUMMYFUNCTION("""COMPUTED_VALUE"""),"-การปรับเปลี่ยนสมดุลของนักสู้: เพิ่มความแข็งแกร่งให้กับทิฟฟานี่, เอลโม, เรย์มอนด์ และธอร์
-เปลี่ยนขีดจำกัดการซื้อในร้านลับเกียรติยศในสงครามดาวเคราะห์
-เพิ่มไอเทมที่เกี่ยวข้องกับเมคในรางวัลแรลลี่ไซโคลน (มีผลตั้งแต่กิจกรรมครั้งต่อไป)
-การเปลี่ยนแปลงการให้คะ"&amp;"แนนดาวอัคคี: แก๊งค์และกองทัพตอนนี้ได้รับคะแนนเพิ่มเมื่อพวกเขาอัปเกรดอาคารหรือยึดครองอาคารเป็นครั้งแรก
-ปรับปรุงคำแนะนำพลังงานในการสำรวจเมค
-คุณต้องแลกเปลี่ยนแต้มความสามารถทั้งหมดเพื่อรับเหรียญกลับสำหรับนักสู้ระดับมหากาพย์ที่มีความสามารถคู่")</f>
        <v>-การปรับเปลี่ยนสมดุลของนักสู้: เพิ่มความแข็งแกร่งให้กับทิฟฟานี่, เอลโม, เรย์มอนด์ และธอร์
-เปลี่ยนขีดจำกัดการซื้อในร้านลับเกียรติยศในสงครามดาวเคราะห์
-เพิ่มไอเทมที่เกี่ยวข้องกับเมคในรางวัลแรลลี่ไซโคลน (มีผลตั้งแต่กิจกรรมครั้งต่อไป)
-การเปลี่ยนแปลงการให้คะแนนดาวอัคคี: แก๊งค์และกองทัพตอนนี้ได้รับคะแนนเพิ่มเมื่อพวกเขาอัปเกรดอาคารหรือยึดครองอาคารเป็นครั้งแรก
-ปรับปรุงคำแนะนำพลังงานในการสำรวจเมค
-คุณต้องแลกเปลี่ยนแต้มความสามารถทั้งหมดเพื่อรับเหรียญกลับสำหรับนักสู้ระดับมหากาพย์ที่มีความสามารถคู่</v>
      </c>
      <c r="J46" s="108" t="str">
        <f>IFERROR(__xludf.DUMMYFUNCTION("""COMPUTED_VALUE"""),"-Modificaciones para el equilibrio de Luchadores: Reforzados Tiffany, Elmo, Raymond y Thor.
-Se cambiaron los límites de compra en la Tienda de Honor en Guerras Planetarias.
-Añadidos objetos relacionados con Mech a las recompensas del Rally del ciclón (e"&amp;"fectivo a partir del próximo evento).
-Cambios en la puntuación de Estrella de Fuego: Bandas y Ejércitos ahora ganan más puntos cuando mejoran un edificio o ocupan edificios por primera vez.
-Mejoradas las recomendaciones de poder en la Expedición Mech.
-"&amp;"Debes intercambiar todos los puntos de talento para recuperar medallas para Luchadores Épicos con doble talento.")</f>
        <v>-Modificaciones para el equilibrio de Luchadores: Reforzados Tiffany, Elmo, Raymond y Thor.
-Se cambiaron los límites de compra en la Tienda de Honor en Guerras Planetarias.
-Añadidos objetos relacionados con Mech a las recompensas del Rally del ciclón (efectivo a partir del próximo evento).
-Cambios en la puntuación de Estrella de Fuego: Bandas y Ejércitos ahora ganan más puntos cuando mejoran un edificio o ocupan edificios por primera vez.
-Mejoradas las recomendaciones de poder en la Expedición Mech.
-Debes intercambiar todos los puntos de talento para recuperar medallas para Luchadores Épicos con doble talento.</v>
      </c>
      <c r="K46" s="108" t="str">
        <f>IFERROR(__xludf.DUMMYFUNCTION("""COMPUTED_VALUE"""),"-Изменения баланса для Героев: Усилены Тиффани, Элмо, Раймонд и Тор.
-Изменены лимиты покупок в Магазине Чести в Планетарных войнах.
-Добавлены предметы, связанные с Мехами, в награды Ураганных гонок (вступает в силу с следующего события).
-Изменения в на"&amp;"боре очков Огненной звезды: Банды и Армии теперь зарабатывают больше очков, когда улучшают постройку или угоняют здания в первый раз.
-Улучшены рекомендации по силе в Экспедиции Мехов.
-Вы должны обменять все очки таланта, чтобы вернуть медали для Эпическ"&amp;"их героев с двойными талантами.")</f>
        <v>-Изменения баланса для Героев: Усилены Тиффани, Элмо, Раймонд и Тор.
-Изменены лимиты покупок в Магазине Чести в Планетарных войнах.
-Добавлены предметы, связанные с Мехами, в награды Ураганных гонок (вступает в силу с следующего события).
-Изменения в наборе очков Огненной звезды: Банды и Армии теперь зарабатывают больше очков, когда улучшают постройку или угоняют здания в первый раз.
-Улучшены рекомендации по силе в Экспедиции Мехов.
-Вы должны обменять все очки таланта, чтобы вернуть медали для Эпических героев с двойными талантами.</v>
      </c>
      <c r="L46" s="108" t="str">
        <f>IFERROR(__xludf.DUMMYFUNCTION("""COMPUTED_VALUE"""),"-Savaşçı dengesi için değişiklikler: Tiffany, Elmo, Raymond ve Thor güçlendirildi.
-Gezegen Savaşları'ndaki Onur Mağazası'nda satın alma limitleri değişti.
-Meka ile ilgili eşyalar Tufan Toplu Saldırısı ödüllerine eklendi (bir sonraki etkinlikten itibaren"&amp;" geçerli).
-Ateş Yıldızı puanlama değişiklikleri: Çeteler ve Ordular artık bir binayı ilk kez yükselttiklerinde veya binaları işgal ettiklerinde daha fazla puan kazanıyor.
-Meka Seferi'nde güç önerileri iyileştirildi.
-Çift yetenekli Epik Savaşçılar için "&amp;"madalyaları geri alabilmek için tüm yetenek puanlarını değiştirmeniz gerekmektedir.")</f>
        <v>-Savaşçı dengesi için değişiklikler: Tiffany, Elmo, Raymond ve Thor güçlendirildi.
-Gezegen Savaşları'ndaki Onur Mağazası'nda satın alma limitleri değişti.
-Meka ile ilgili eşyalar Tufan Toplu Saldırısı ödüllerine eklendi (bir sonraki etkinlikten itibaren geçerli).
-Ateş Yıldızı puanlama değişiklikleri: Çeteler ve Ordular artık bir binayı ilk kez yükselttiklerinde veya binaları işgal ettiklerinde daha fazla puan kazanıyor.
-Meka Seferi'nde güç önerileri iyileştirildi.
-Çift yetenekli Epik Savaşçılar için madalyaları geri alabilmek için tüm yetenek puanlarını değiştirmeniz gerekmektedir.</v>
      </c>
      <c r="M46" s="108" t="str">
        <f>IFERROR(__xludf.DUMMYFUNCTION("""COMPUTED_VALUE"""),"-Điều chỉnh cân bằng cho Chiến Binh: Tăng cường sức mạnh cho Tiffany, Elmo, Raymond và Thor.
-Giới hạn mua hàng đã thay đổi trong Shop Vinh Dự ở Chiến Tranh Hành Tinh.
-Vật phẩm liên quan đến Cơ khí được thêm vào phần thưởng Tập hợp lốc xoáy (có hiệu lực "&amp;"từ sự kiện tiếp theo).
-Thay đổi điểm Sao Hỏa: Bang Hội và Quân Đội giờ đây nhận được nhiều điểm hơn khi họ nâng cấp công trình hoặc chiếm đóng công trình lần đầu.
-Cải thiện đề xuất chiến lực trong Cuộc Thám Hiểm Cơ khí.
-Bạn phải quy đổi tất cả điểm tài"&amp;" năng để nhận lại huy chương cho Chiến Binh Sử Thi với đôi tài năng.")</f>
        <v>-Điều chỉnh cân bằng cho Chiến Binh: Tăng cường sức mạnh cho Tiffany, Elmo, Raymond và Thor.
-Giới hạn mua hàng đã thay đổi trong Shop Vinh Dự ở Chiến Tranh Hành Tinh.
-Vật phẩm liên quan đến Cơ khí được thêm vào phần thưởng Tập hợp lốc xoáy (có hiệu lực từ sự kiện tiếp theo).
-Thay đổi điểm Sao Hỏa: Bang Hội và Quân Đội giờ đây nhận được nhiều điểm hơn khi họ nâng cấp công trình hoặc chiếm đóng công trình lần đầu.
-Cải thiện đề xuất chiến lực trong Cuộc Thám Hiểm Cơ khí.
-Bạn phải quy đổi tất cả điểm tài năng để nhận lại huy chương cho Chiến Binh Sử Thi với đôi tài năng.</v>
      </c>
      <c r="N46" s="108" t="str">
        <f>IFERROR(__xludf.DUMMYFUNCTION("""COMPUTED_VALUE"""),"-Modifiche per l'equilibrio dei Combattenti: Potenziati Tiffany, Elmo, Raymond e Thor.
-Modificati i limiti di acquisto nel Negozio Onore nelle Guerre planetarie.
-Aggiunti oggetti relativi ai Mech nelle ricompense del Rally del ciclone (efficaci a partir"&amp;"e dal prossimo evento).
-Cambiamenti nel punteggio di Stella di fuoco: Gang e Eserciti ora guadagnano più punti quando potenziano un edificio o occupano edifici per la prima volta.
-Migliorate le raccomandazioni di Potenza nell'Esplorazione Mech.
-Devi sc"&amp;"ambiare tutti i punti talento per recuperare medaglie per Combattenti Epici con doppi talenti.")</f>
        <v>-Modifiche per l'equilibrio dei Combattenti: Potenziati Tiffany, Elmo, Raymond e Thor.
-Modificati i limiti di acquisto nel Negozio Onore nelle Guerre planetarie.
-Aggiunti oggetti relativi ai Mech nelle ricompense del Rally del ciclone (efficaci a partire dal prossimo evento).
-Cambiamenti nel punteggio di Stella di fuoco: Gang e Eserciti ora guadagnano più punti quando potenziano un edificio o occupano edifici per la prima volta.
-Migliorate le raccomandazioni di Potenza nell'Esplorazione Mech.
-Devi scambiare tutti i punti talento per recuperare medaglie per Combattenti Epici con doppi talenti.</v>
      </c>
      <c r="O46" s="108" t="str">
        <f>IFERROR(__xludf.DUMMYFUNCTION("""COMPUTED_VALUE"""),"-Zmiany w balansie Wojowników: Wzmocniono Tiffany, Elmo, Raymonda i Thora.
-Zmieniono limity zakupów w Sklepie Honorowym w Wojnach planet.
-Dodano przedmioty związane z Mechami do nagród Rajdu Cyklonu (obowiązują od następnego wydarzenia).
-Zmiany w punkt"&amp;"acji Ognistej gwiazdy: Gangi i Armie teraz zdobywają więcej punktów, gdy po raz pierwszy zmodernizują budynek lub zajmą budynki.
-Ulepszone rekomendacje siły w Ekspedycji Mecha.
-Musisz wymienić wszystkie punkty talentów, aby odzyskać medale dla Epickich "&amp;"Wojowników z podwójnymi talentami.")</f>
        <v>-Zmiany w balansie Wojowników: Wzmocniono Tiffany, Elmo, Raymonda i Thora.
-Zmieniono limity zakupów w Sklepie Honorowym w Wojnach planet.
-Dodano przedmioty związane z Mechami do nagród Rajdu Cyklonu (obowiązują od następnego wydarzenia).
-Zmiany w punktacji Ognistej gwiazdy: Gangi i Armie teraz zdobywają więcej punktów, gdy po raz pierwszy zmodernizują budynek lub zajmą budynki.
-Ulepszone rekomendacje siły w Ekspedycji Mecha.
-Musisz wymienić wszystkie punkty talentów, aby odzyskać medale dla Epickich Wojowników z podwójnymi talentami.</v>
      </c>
      <c r="P46" s="108" t="str">
        <f>IFERROR(__xludf.DUMMYFUNCTION("""COMPUTED_VALUE"""),"-تعديلات لتوازن المقاتلين: تم تقوية تيفاني، إلمو، ريموند، وثور.
-تغيير حدود الشراء في متجر الشرف في حروب الكوكب.
-تم إضافة عناصر متعلقة بالميكا إلى جوائز حشد الإعصار (تصبح فعالة اعتبارًا من الحدث التالي).
-تغييرات في التسجيل بنجمة النار: العصابات والجيوش "&amp;"تكسب الآن نقاطًا أكثر عندما يقومون بترقية مبنى أو احتلال المباني للمرة الأولى.
-تحسين توصيات القوة في بعثة الميكا.
-يجب عليك تبادل جميع نقاط الموهبة لاسترداد الميداليات للمقاتلين الملحميين ذوي المواهب المزدوجة.")</f>
        <v>-تعديلات لتوازن المقاتلين: تم تقوية تيفاني، إلمو، ريموند، وثور.
-تغيير حدود الشراء في متجر الشرف في حروب الكوكب.
-تم إضافة عناصر متعلقة بالميكا إلى جوائز حشد الإعصار (تصبح فعالة اعتبارًا من الحدث التالي).
-تغييرات في التسجيل بنجمة النار: العصابات والجيوش تكسب الآن نقاطًا أكثر عندما يقومون بترقية مبنى أو احتلال المباني للمرة الأولى.
-تحسين توصيات القوة في بعثة الميكا.
-يجب عليك تبادل جميع نقاط الموهبة لاسترداد الميداليات للمقاتلين الملحميين ذوي المواهب المزدوجة.</v>
      </c>
      <c r="Q46" s="108" t="str">
        <f>IFERROR(__xludf.DUMMYFUNCTION("""COMPUTED_VALUE"""),"-ファイターバランスの調整：ティファニー、エルモ、レイモンド、ソーを強化しました。
-プラネットウォーズの栄誉ショップでの購入制限が変更されました。
-メカ関連アイテムがサイクロンラリー報酬に追加されました（次のイベントから有効）。
-マーズ星スコアリング変更：ギルドと軍団は、建物をアップグレードするか、初めて建物を占領すると、より多くのポイントを獲得します。
-メカ遠征での戦力おすすめが改善されました。
-エピックファイターのダブルアビリティに対してメダルを取り戻すためには、全てのアビリティPtを交換す"&amp;"る必要があります。")</f>
        <v>-ファイターバランスの調整：ティファニー、エルモ、レイモンド、ソーを強化しました。
-プラネットウォーズの栄誉ショップでの購入制限が変更されました。
-メカ関連アイテムがサイクロンラリー報酬に追加されました（次のイベントから有効）。
-マーズ星スコアリング変更：ギルドと軍団は、建物をアップグレードするか、初めて建物を占領すると、より多くのポイントを獲得します。
-メカ遠征での戦力おすすめが改善されました。
-エピックファイターのダブルアビリティに対してメダルを取り戻すためには、全てのアビリティPtを交換する必要があります。</v>
      </c>
      <c r="R46" s="108" t="str">
        <f>IFERROR(__xludf.DUMMYFUNCTION("""COMPUTED_VALUE"""),"-전사 균형 조정을 위한 수정 사항: 티파니, 엘모, 레이몬드, 토르 강화.
-은하 전쟁의 명예 상점에서 구매 제한 변경됨.
-사이클론 랠리 보상에 메카 관련 아이템 추가(다음 이벤트부터 효과적).
-불칸 점수 매기기 변경 사항: 무리와 군단들이 건물을 업그레이드하거나 처음으로 건축물을 점령할 때 더 많은 포인트를 얻습니다.
-메카 원정에서 전투력 추천 개선.
-이중 재능을 가진 영웅 전사를 위한 메달을 되찾으려면 모든 재능 포인트를 교환해야 합니다.")</f>
        <v>-전사 균형 조정을 위한 수정 사항: 티파니, 엘모, 레이몬드, 토르 강화.
-은하 전쟁의 명예 상점에서 구매 제한 변경됨.
-사이클론 랠리 보상에 메카 관련 아이템 추가(다음 이벤트부터 효과적).
-불칸 점수 매기기 변경 사항: 무리와 군단들이 건물을 업그레이드하거나 처음으로 건축물을 점령할 때 더 많은 포인트를 얻습니다.
-메카 원정에서 전투력 추천 개선.
-이중 재능을 가진 영웅 전사를 위한 메달을 되찾으려면 모든 재능 포인트를 교환해야 합니다.</v>
      </c>
      <c r="S46" s="108"/>
      <c r="T46" s="108"/>
      <c r="U46" s="108"/>
      <c r="V46" s="108"/>
      <c r="W46" s="108"/>
      <c r="X46" s="108"/>
      <c r="Y46" s="108"/>
      <c r="Z46" s="108"/>
    </row>
    <row r="47">
      <c r="A47" s="108" t="str">
        <f>IFERROR(__xludf.DUMMYFUNCTION("""COMPUTED_VALUE"""),"0.63.0")</f>
        <v>0.63.0</v>
      </c>
      <c r="B47" s="108" t="str">
        <f>IFERROR(__xludf.DUMMYFUNCTION("""COMPUTED_VALUE"""),"-优化了兵种压制相关增益的生效逻辑；
-调整了太空争霸玩法中发射火箭的奖励与宝箱的奖励；
-提高了攻城略地玩法的综合产出。")</f>
        <v>-优化了兵种压制相关增益的生效逻辑；
-调整了太空争霸玩法中发射火箭的奖励与宝箱的奖励；
-提高了攻城略地玩法的综合产出。</v>
      </c>
      <c r="C47" s="108" t="str">
        <f>IFERROR(__xludf.DUMMYFUNCTION("""COMPUTED_VALUE"""),"-Improved application logic for unit type-counter buffs.
-Changed rocket launch and chest rewards in Space Supremacy.
-Enhanced drops from Siege &amp; Plunder.")</f>
        <v>-Improved application logic for unit type-counter buffs.
-Changed rocket launch and chest rewards in Space Supremacy.
-Enhanced drops from Siege &amp; Plunder.</v>
      </c>
      <c r="D47" s="108" t="str">
        <f>IFERROR(__xludf.DUMMYFUNCTION("""COMPUTED_VALUE"""),"-Amélioration de la logique d'application pour les bonus de contre par type d'unité.
-Modification du décollage de fusée et des récompenses de coffre dans la Suprématie Spatiale.
-Amélioration des butins lors des Sièges &amp; Pillages.")</f>
        <v>-Amélioration de la logique d'application pour les bonus de contre par type d'unité.
-Modification du décollage de fusée et des récompenses de coffre dans la Suprématie Spatiale.
-Amélioration des butins lors des Sièges &amp; Pillages.</v>
      </c>
      <c r="E47" s="108" t="str">
        <f>IFERROR(__xludf.DUMMYFUNCTION("""COMPUTED_VALUE"""),"-Verbesserte Anwendungslogik für Buffs, die auf den Einheitentyp abzielen.
-Veränderte Raketenstarts und Truhenbelohnungen in der Weltraum-Vorherrschaft.
-Verbesserte Beute bei Belagerung &amp; Plünderung.")</f>
        <v>-Verbesserte Anwendungslogik für Buffs, die auf den Einheitentyp abzielen.
-Veränderte Raketenstarts und Truhenbelohnungen in der Weltraum-Vorherrschaft.
-Verbesserte Beute bei Belagerung &amp; Plünderung.</v>
      </c>
      <c r="F47" s="108" t="str">
        <f>IFERROR(__xludf.DUMMYFUNCTION("""COMPUTED_VALUE"""),"-Melhorada a lógica de aplicação para auxílios de contraposição de tipo de unidade.
-Alteradas as recompensas de lançamento de foguetes e do baú em Supremacia Espacial.
-Aprimoradas as recompensas obtidas em Cerco &amp; Saquear.")</f>
        <v>-Melhorada a lógica de aplicação para auxílios de contraposição de tipo de unidade.
-Alteradas as recompensas de lançamento de foguetes e do baú em Supremacia Espacial.
-Aprimoradas as recompensas obtidas em Cerco &amp; Saquear.</v>
      </c>
      <c r="G47" s="108" t="str">
        <f>IFERROR(__xludf.DUMMYFUNCTION("""COMPUTED_VALUE"""),"- 優化了兵種壓制相關增益的生效邏輯；
- 調整了太空爭霸玩法中火箭發射的獎勵與寶箱的獎勵；
- 提高了攻城略地玩法的綜合產出。")</f>
        <v>- 優化了兵種壓制相關增益的生效邏輯；
- 調整了太空爭霸玩法中火箭發射的獎勵與寶箱的獎勵；
- 提高了攻城略地玩法的綜合產出。</v>
      </c>
      <c r="H47" s="108" t="str">
        <f>IFERROR(__xludf.DUMMYFUNCTION("""COMPUTED_VALUE"""),"-Logika aplikasi yang ditingkatkan untuk keunggulan tipe unit-counter.
-Ubah peluncuran roket dan hadiah peti dalam Supremasi Angkasa.
-Drop yang diperkuat dari Pengepungan &amp; Jarah.")</f>
        <v>-Logika aplikasi yang ditingkatkan untuk keunggulan tipe unit-counter.
-Ubah peluncuran roket dan hadiah peti dalam Supremasi Angkasa.
-Drop yang diperkuat dari Pengepungan &amp; Jarah.</v>
      </c>
      <c r="I47" s="108" t="str">
        <f>IFERROR(__xludf.DUMMYFUNCTION("""COMPUTED_VALUE"""),"-ปรับปรุงตรรกะการใช้งานสำหรับบัฟต่อต้านประเภทหน่วย
-เปลี่ยนการปล่อยจรวดและหีบรางวัลในชั้นสูงอวกาศ
-เพิ่มการหล่นของของรางวัลจากการตีเมืองและการปล้น")</f>
        <v>-ปรับปรุงตรรกะการใช้งานสำหรับบัฟต่อต้านประเภทหน่วย
-เปลี่ยนการปล่อยจรวดและหีบรางวัลในชั้นสูงอวกาศ
-เพิ่มการหล่นของของรางวัลจากการตีเมืองและการปล้น</v>
      </c>
      <c r="J47" s="108" t="str">
        <f>IFERROR(__xludf.DUMMYFUNCTION("""COMPUTED_VALUE"""),"-Mejora de la lógica de aplicación para bonificaciones de contraataque de tipo de unidad.
-Cambiadas las recompensas del lanzamiento del cohete y del cofre en Supremacía Espacial.
-Mejoradas las recompensas obtenidas de Asedio y Saqueo.")</f>
        <v>-Mejora de la lógica de aplicación para bonificaciones de contraataque de tipo de unidad.
-Cambiadas las recompensas del lanzamiento del cohete y del cofre en Supremacía Espacial.
-Mejoradas las recompensas obtenidas de Asedio y Saqueo.</v>
      </c>
      <c r="K47" s="108" t="str">
        <f>IFERROR(__xludf.DUMMYFUNCTION("""COMPUTED_VALUE"""),"-Улучшена логика применения усилений против различных типов отрядов.
-Изменены награды за запуск ракеты и награды сундука в «Космическом превосходстве».
-Усилены дропы с «Осады и Разграбления».")</f>
        <v>-Улучшена логика применения усилений против различных типов отрядов.
-Изменены награды за запуск ракеты и награды сундука в «Космическом превосходстве».
-Усилены дропы с «Осады и Разграбления».</v>
      </c>
      <c r="L47" s="108" t="str">
        <f>IFERROR(__xludf.DUMMYFUNCTION("""COMPUTED_VALUE"""),"-Birim türüne karşı güçlendiriciler için uygulama mantığı geliştirildi.
-Uzay Üstünlüğü'nde roket fırlatma ve sandık ödülleri değiştirildi.
-Kuşatma &amp; Yağmala'dan düşen öğeler güçlendirildi.")</f>
        <v>-Birim türüne karşı güçlendiriciler için uygulama mantığı geliştirildi.
-Uzay Üstünlüğü'nde roket fırlatma ve sandık ödülleri değiştirildi.
-Kuşatma &amp; Yağmala'dan düşen öğeler güçlendirildi.</v>
      </c>
      <c r="M47" s="108" t="str">
        <f>IFERROR(__xludf.DUMMYFUNCTION("""COMPUTED_VALUE"""),"-Cải thiện logic ứng dụng cho hiệu ứng có lợi chống lại binh chủng.
-Đã thay đổi phóng hỏa tiễn và phần thưởng rương trong Bá Chủ Ngân Hà.
-Nâng cao vật phẩm rơi ra từ Bao Vây &amp; Cướp Bóc.")</f>
        <v>-Cải thiện logic ứng dụng cho hiệu ứng có lợi chống lại binh chủng.
-Đã thay đổi phóng hỏa tiễn và phần thưởng rương trong Bá Chủ Ngân Hà.
-Nâng cao vật phẩm rơi ra từ Bao Vây &amp; Cướp Bóc.</v>
      </c>
      <c r="N47" s="108" t="str">
        <f>IFERROR(__xludf.DUMMYFUNCTION("""COMPUTED_VALUE"""),"-Migliorata la logica di applicazione per i benefici di contrattacco dei tipi di unità.
-Modificato il lancio del razzo e le ricompense cassa in Supremacy Spaziale.
-Migliorati i bottini da Assedio &amp; Plunder.")</f>
        <v>-Migliorata la logica di applicazione per i benefici di contrattacco dei tipi di unità.
-Modificato il lancio del razzo e le ricompense cassa in Supremacy Spaziale.
-Migliorati i bottini da Assedio &amp; Plunder.</v>
      </c>
      <c r="O47" s="108" t="str">
        <f>IFERROR(__xludf.DUMMYFUNCTION("""COMPUTED_VALUE"""),"-Ulepszona logika aplikacji dla wzmocnień przeciwdziałających typom jednostek.
-Zmieniono odpalenie rakiety i nagrody ze skrzyni w Supremacji Kosmicznej.
-Ulepszone zdobycze z Oblężenia i Plądrowania.")</f>
        <v>-Ulepszona logika aplikacji dla wzmocnień przeciwdziałających typom jednostek.
-Zmieniono odpalenie rakiety i nagrody ze skrzyni w Supremacji Kosmicznej.
-Ulepszone zdobycze z Oblężenia i Plądrowania.</v>
      </c>
      <c r="P47" s="108" t="str">
        <f>IFERROR(__xludf.DUMMYFUNCTION("""COMPUTED_VALUE"""),"- تحسين منطق الطلبات لتعزيزات مضادة لنوع الوحدة.
- تغيير إطلاق الصاروخ وجوائز الصندوق في السيادة الفضائية.
- تحسين الغنائم المتحصل عليها من الحصار والنهب.")</f>
        <v>- تحسين منطق الطلبات لتعزيزات مضادة لنوع الوحدة.
- تغيير إطلاق الصاروخ وجوائز الصندوق في السيادة الفضائية.
- تحسين الغنائم المتحصل عليها من الحصار والنهب.</v>
      </c>
      <c r="Q47" s="108" t="str">
        <f>IFERROR(__xludf.DUMMYFUNCTION("""COMPUTED_VALUE"""),"- ユニットタイプに対するバフのアプリケーションロジックを改善しました。
- 宇宙覇権でのロケット発射と宝箱報酬を変更しました。
- 攻城侵略からのドロップを強化しました。")</f>
        <v>- ユニットタイプに対するバフのアプリケーションロジックを改善しました。
- 宇宙覇権でのロケット発射と宝箱報酬を変更しました。
- 攻城侵略からのドロップを強化しました。</v>
      </c>
      <c r="R47" s="108" t="str">
        <f>IFERROR(__xludf.DUMMYFUNCTION("""COMPUTED_VALUE"""),"- 유닛 유형-카운터 버프에 대한 어플리케이션 로직 개선.
- 우주 쟁탈전에서 로켓 발사 및 상자 보상 변경.
- 성 빼앗기에서 드롭 강화.")</f>
        <v>- 유닛 유형-카운터 버프에 대한 어플리케이션 로직 개선.
- 우주 쟁탈전에서 로켓 발사 및 상자 보상 변경.
- 성 빼앗기에서 드롭 강화.</v>
      </c>
      <c r="S47" s="108"/>
      <c r="T47" s="108"/>
      <c r="U47" s="108"/>
      <c r="V47" s="108"/>
      <c r="W47" s="108"/>
      <c r="X47" s="108"/>
      <c r="Y47" s="108"/>
      <c r="Z47" s="108"/>
    </row>
    <row r="48">
      <c r="A48" s="108" t="str">
        <f>IFERROR(__xludf.DUMMYFUNCTION("""COMPUTED_VALUE"""),"0.64.0")</f>
        <v>0.64.0</v>
      </c>
      <c r="B48" s="108" t="str">
        <f>IFERROR(__xludf.DUMMYFUNCTION("""COMPUTED_VALUE"""),"机甲转盘：幸运时刻活动增加两个积分档位；
围剿变异猴：修改不同服务器开放阶段时，奖励的投放种类，更适合当前阶段玩家的养成需求；
KVK3强化舱：新斗士格兰特，凯恩，古斯塔夫，赫尔曼加入强化舱；
KVK4优化：能量恢复速度Buff投放节奏调整；极地熊解锁任务调整减少；降低了雪原寻踪玩法中部分任务的难度；
兵种技能调整：射击手兵种军备技能新增减速效果，最高可减速50%。")</f>
        <v>机甲转盘：幸运时刻活动增加两个积分档位；
围剿变异猴：修改不同服务器开放阶段时，奖励的投放种类，更适合当前阶段玩家的养成需求；
KVK3强化舱：新斗士格兰特，凯恩，古斯塔夫，赫尔曼加入强化舱；
KVK4优化：能量恢复速度Buff投放节奏调整；极地熊解锁任务调整减少；降低了雪原寻踪玩法中部分任务的难度；
兵种技能调整：射击手兵种军备技能新增减速效果，最高可减速50%。</v>
      </c>
      <c r="C48" s="169" t="str">
        <f>IFERROR(__xludf.DUMMYFUNCTION("""COMPUTED_VALUE"""),"Mech roulette: Added two new score tiers to ""Lucky Streak.""
Operation Mutants: Changed the type of rewards dropped based on the server phase so that they're most useful for players in different stages of the game.
Reinforced Modules on Coral Star: Fight"&amp;"ers - Grant, Kane, Gustave, Herman - added to modules.
Coral Star optimized: modified how frequently the energy regen buff appears; reduced quest requirements for unlocking Polar Bear; lowered the difficulty of select quests in Snow Hunt.
Unit skills modi"&amp;"fied: slow effect (up to 50% speed reduction) added to Shooter gear skill.")</f>
        <v>Mech roulette: Added two new score tiers to "Lucky Streak."
Operation Mutants: Changed the type of rewards dropped based on the server phase so that they're most useful for players in different stages of the game.
Reinforced Modules on Coral Star: Fighters - Grant, Kane, Gustave, Herman - added to modules.
Coral Star optimized: modified how frequently the energy regen buff appears; reduced quest requirements for unlocking Polar Bear; lowered the difficulty of select quests in Snow Hunt.
Unit skills modified: slow effect (up to 50% speed reduction) added to Shooter gear skill.</v>
      </c>
      <c r="D48" s="108" t="str">
        <f>IFERROR(__xludf.DUMMYFUNCTION("""COMPUTED_VALUE"""),"Roulette Mécha : Ajout de deux nouveaux paliers de score à ""CHANCE SÉRIE.""
Opération mutants : Modification du type de récompenses distribuées en fonction de la phase du serveur pour qu'elles soient plus utiles aux joueurs à différents niveaux du jeu.
M"&amp;"odules Renforcés sur Étoile de Corail : Combattants - Grant, Kane, Gustave, Herman - ajoutés aux modules.
Optimisation de l'Étoile de Corail : modification de la fréquence d'apparition du boost de régénération de l'Énergie ; réduction des conditions des q"&amp;"uêtes pour débloquer Un ours polaire ; diminution de la difficulté de certaines quêtes dans Chasse Neige.
Compétences d'unité modifiées : ajout d'un effet de ralentissement (jusqu'à 50% de réduction de vitesse) à la compétence d'équipement du Tireur.")</f>
        <v>Roulette Mécha : Ajout de deux nouveaux paliers de score à "CHANCE SÉRIE."
Opération mutants : Modification du type de récompenses distribuées en fonction de la phase du serveur pour qu'elles soient plus utiles aux joueurs à différents niveaux du jeu.
Modules Renforcés sur Étoile de Corail : Combattants - Grant, Kane, Gustave, Herman - ajoutés aux modules.
Optimisation de l'Étoile de Corail : modification de la fréquence d'apparition du boost de régénération de l'Énergie ; réduction des conditions des quêtes pour débloquer Un ours polaire ; diminution de la difficulté de certaines quêtes dans Chasse Neige.
Compétences d'unité modifiées : ajout d'un effet de ralentissement (jusqu'à 50% de réduction de vitesse) à la compétence d'équipement du Tireur.</v>
      </c>
      <c r="E48" s="108" t="str">
        <f>IFERROR(__xludf.DUMMYFUNCTION("""COMPUTED_VALUE"""),"Mech-Roulette: Zwei neue Stufen für ""Glücksmoment"" hinzugefügt.
Operation Mutanten: Die Art der Belohnungen, die je nach Serverphase fallen, wurde geändert, sodass sie für Spieler in verschiedenen Stadien des Spiels am nützlichsten sind.
Verstärkte Modu"&amp;"le auf Korallenstern: Kämpfer - Grant, Kane, Gustave, Herman - zu Modulen hinzugefügt.
Korallenstern optimiert: Häufigkeit des Energie-Regeneration-Buffs angepasst; Quest-Anforderungen zum Freischalten des Eisbären reduziert; Schwierigkeit ausgewählter Qu"&amp;"ests in Schneejagd gesenkt.
Einheiten-Fähigkeiten modifiziert: Verlangsamungseffekt (bis zu 50% Temporeduktion) zur Shooter-Ausrüstungsfähigkeit hinzugefügt.")</f>
        <v>Mech-Roulette: Zwei neue Stufen für "Glücksmoment" hinzugefügt.
Operation Mutanten: Die Art der Belohnungen, die je nach Serverphase fallen, wurde geändert, sodass sie für Spieler in verschiedenen Stadien des Spiels am nützlichsten sind.
Verstärkte Module auf Korallenstern: Kämpfer - Grant, Kane, Gustave, Herman - zu Modulen hinzugefügt.
Korallenstern optimiert: Häufigkeit des Energie-Regeneration-Buffs angepasst; Quest-Anforderungen zum Freischalten des Eisbären reduziert; Schwierigkeit ausgewählter Quests in Schneejagd gesenkt.
Einheiten-Fähigkeiten modifiziert: Verlangsamungseffekt (bis zu 50% Temporeduktion) zur Shooter-Ausrüstungsfähigkeit hinzugefügt.</v>
      </c>
      <c r="F48" s="108" t="str">
        <f>IFERROR(__xludf.DUMMYFUNCTION("""COMPUTED_VALUE"""),"Roleta Mech: Adicionados dois novos ranques de pontuação para ""SZCZĘŚĆ CIĄG.""
Operação Mutantes: Alterado o tipo de recompensas baseado na fase do servidor para que sejam mais úteis para jogadores em diferentes fases do jogo.
Módulos REFORÇADOS na Estre"&amp;"la Coral: Combatentes - Conceder, Kane, Gustave, Herman - adicionados aos módulos.
Estrela Coral otimizada: modificado a frequência com que o auxílio de Regeneração de Energia aparece; reduzidos os requisitos de missão para desbloquear Urso polar; diminuí"&amp;"da a dificuldade de missões selecionadas na Caçada na Neve.
Habilidades de UNIDADE modificadas: efeito de lentidão (redução de velocidade de até 50%) adicionado à habilidade de equipamento Shooter.")</f>
        <v>Roleta Mech: Adicionados dois novos ranques de pontuação para "SZCZĘŚĆ CIĄG."
Operação Mutantes: Alterado o tipo de recompensas baseado na fase do servidor para que sejam mais úteis para jogadores em diferentes fases do jogo.
Módulos REFORÇADOS na Estrela Coral: Combatentes - Conceder, Kane, Gustave, Herman - adicionados aos módulos.
Estrela Coral otimizada: modificado a frequência com que o auxílio de Regeneração de Energia aparece; reduzidos os requisitos de missão para desbloquear Urso polar; diminuída a dificuldade de missões selecionadas na Caçada na Neve.
Habilidades de UNIDADE modificadas: efeito de lentidão (redução de velocidade de até 50%) adicionado à habilidade de equipamento Shooter.</v>
      </c>
      <c r="G48" s="108" t="str">
        <f>IFERROR(__xludf.DUMMYFUNCTION("""COMPUTED_VALUE"""),"機甲轉盤：幸運時刻活動增加兩個積分檔位；
圍剿變異猴：編輯不同伺服器開放階段時，贈禮的投放種類，更適合目前階段玩家的養成需求；
KVK3強化艙：新英雄格蘭特，凱恩，古斯塔夫，赫爾曼加入強化艙；
KVK4優化：能量恢復速度Buff投放節奏調整；極地熊解鎖任務調整減少；降低了雪原尋蹤玩法中部分任務的難度；
兵種技能調整：射擊手兵種軍備技能新增減速效果，最高可減速50%。")</f>
        <v>機甲轉盤：幸運時刻活動增加兩個積分檔位；
圍剿變異猴：編輯不同伺服器開放階段時，贈禮的投放種類，更適合目前階段玩家的養成需求；
KVK3強化艙：新英雄格蘭特，凱恩，古斯塔夫，赫爾曼加入強化艙；
KVK4優化：能量恢復速度Buff投放節奏調整；極地熊解鎖任務調整減少；降低了雪原尋蹤玩法中部分任務的難度；
兵種技能調整：射擊手兵種軍備技能新增減速效果，最高可減速50%。</v>
      </c>
      <c r="H48" s="108" t="str">
        <f>IFERROR(__xludf.DUMMYFUNCTION("""COMPUTED_VALUE"""),"Roulette Mekanik: Menambahkan dua tingkat skor baru ke ""Keberuntungan.""
Pengepungan Kera Mutan: Mengubah jenis hadiah yang didapat berdasarkan fase server agar lebih berguna bagi pemain di tahapan yang berbeda.
Modul Perkuat di Bintang Karang: Pejuang -"&amp;" Grant, Kane, Gustave, Herman - ditambahkan ke modul.
Bintang Karang dioptimalkan: memodifikasi seberapa sering keunggulan pengembalian energi muncul; mengurangi syarat tantangan untuk membuka Beruang Kutub; menurunkan kesulitan tantangan tertentu di Perb"&amp;"uruan Salju.
Keahlian pasukan dimodifikasi: efek lambat (pengurangan kecepatan hingga 50%) ditambahkan ke skill gear Shooter.")</f>
        <v>Roulette Mekanik: Menambahkan dua tingkat skor baru ke "Keberuntungan."
Pengepungan Kera Mutan: Mengubah jenis hadiah yang didapat berdasarkan fase server agar lebih berguna bagi pemain di tahapan yang berbeda.
Modul Perkuat di Bintang Karang: Pejuang - Grant, Kane, Gustave, Herman - ditambahkan ke modul.
Bintang Karang dioptimalkan: memodifikasi seberapa sering keunggulan pengembalian energi muncul; mengurangi syarat tantangan untuk membuka Beruang Kutub; menurunkan kesulitan tantangan tertentu di Perburuan Salju.
Keahlian pasukan dimodifikasi: efek lambat (pengurangan kecepatan hingga 50%) ditambahkan ke skill gear Shooter.</v>
      </c>
      <c r="I48" s="108" t="str">
        <f>IFERROR(__xludf.DUMMYFUNCTION("""COMPUTED_VALUE"""),"รูเล็ตเมค: เพิ่มระดับคะแนนใหม่สองระดับใน ""โชคดีต่อเนื่อง.""
ปฏิบัติการตัวกลายพันธุ์: เปลี่ยนประเภทของรางวัลที่ตกตามเฟสของเซิร์ฟเวอร์เพื่อให้เหมาะสมที่สุดสำหรับผู้เล่นในระยะต่างๆของเกม.
โมดูลเสริมกำลังบนดาวปะการัง: นักสู้ - ให้, เคน, กุสตาฟ, เฮอร์มัน - เพ"&amp;"ิ่มเข้าไปในโมดูล.
ดาวปะการังได้รับการปรับปรุง: ปรับเปลี่ยนความถี่ที่บัฟการฟื้นฟูพลังงานปรากฏ; ลดข้อกำหนดเควสต์สำหรับการปลดล็อกหมีขั้วโลก; ลดระดับความยากของเควสต์ที่เลือกในล่าหิมะ.
ทักษะของหน่วยได้รับการปรับเปลี่ยน: เพิ่มผลช้า (ลดความเร็วได้สูงสุด 50%) ในท"&amp;"ักษะอุปกรณ์ของ Shooter.")</f>
        <v>รูเล็ตเมค: เพิ่มระดับคะแนนใหม่สองระดับใน "โชคดีต่อเนื่อง."
ปฏิบัติการตัวกลายพันธุ์: เปลี่ยนประเภทของรางวัลที่ตกตามเฟสของเซิร์ฟเวอร์เพื่อให้เหมาะสมที่สุดสำหรับผู้เล่นในระยะต่างๆของเกม.
โมดูลเสริมกำลังบนดาวปะการัง: นักสู้ - ให้, เคน, กุสตาฟ, เฮอร์มัน - เพิ่มเข้าไปในโมดูล.
ดาวปะการังได้รับการปรับปรุง: ปรับเปลี่ยนความถี่ที่บัฟการฟื้นฟูพลังงานปรากฏ; ลดข้อกำหนดเควสต์สำหรับการปลดล็อกหมีขั้วโลก; ลดระดับความยากของเควสต์ที่เลือกในล่าหิมะ.
ทักษะของหน่วยได้รับการปรับเปลี่ยน: เพิ่มผลช้า (ลดความเร็วได้สูงสุด 50%) ในทักษะอุปกรณ์ของ Shooter.</v>
      </c>
      <c r="J48" s="108" t="str">
        <f>IFERROR(__xludf.DUMMYFUNCTION("""COMPUTED_VALUE"""),"Ruleta de Mech: Añadidos dos nuevos niveles de puntuación a ""Racha Suerte.""
Operación Monos Mutantes: Cambiado el tipo de recompensas basadas en la fase del servidor para que sean más útiles para jugadores en diferentes etapas del juego.
Módulos Reforza"&amp;"dos en Estrella de Coral: Luchadores - Grant, Kane, Gustave, Herman - añadidos a los módulos.
Estrella de Coral optimizada: modificado la frecuencia con la que aparece la mejora de regeneración de energía; reducidos los requisitos de las misiones para des"&amp;"bloquear Oso Polar; disminuida la dificultad de misiones seleccionadas en Cacería en la Nieve.
Habilidades de unidad modificadas: efecto de ralentización (hasta un 50% de reducción de velocidad) añadido a la habilidad de equipo de Tirador.")</f>
        <v>Ruleta de Mech: Añadidos dos nuevos niveles de puntuación a "Racha Suerte."
Operación Monos Mutantes: Cambiado el tipo de recompensas basadas en la fase del servidor para que sean más útiles para jugadores en diferentes etapas del juego.
Módulos Reforzados en Estrella de Coral: Luchadores - Grant, Kane, Gustave, Herman - añadidos a los módulos.
Estrella de Coral optimizada: modificado la frecuencia con la que aparece la mejora de regeneración de energía; reducidos los requisitos de las misiones para desbloquear Oso Polar; disminuida la dificultad de misiones seleccionadas en Cacería en la Nieve.
Habilidades de unidad modificadas: efecto de ralentización (hasta un 50% de reducción de velocidad) añadido a la habilidad de equipo de Tirador.</v>
      </c>
      <c r="K48" s="108" t="str">
        <f>IFERROR(__xludf.DUMMYFUNCTION("""COMPUTED_VALUE"""),"Мех-рулетка: Добавлены два новых ранга наград в ""Момент Удачи.""
Операция «Мутанты»: Изменен тип выпадающих наград в зависимости от фазы сервера, чтобы они были наиболее полезны для игроков на разных этапах игры.
Усиленные модули на Коралловой Звезде: Ге"&amp;"рои - Грант, Кейн, Гюстав, Герман - добавлены к модулям.
Оптимизация Коралловой Звезды: изменена частота появления баффа восстановления энергии; уменьшены требования к заданиям для открытия Белого медведя; понижена сложность выбранных заданий в Снежной Ох"&amp;"оте.
Модификация навыков отряда: добавлен эффект замедления (до 50% снижения скорости) к навыку снаряжения Стрелка.")</f>
        <v>Мех-рулетка: Добавлены два новых ранга наград в "Момент Удачи."
Операция «Мутанты»: Изменен тип выпадающих наград в зависимости от фазы сервера, чтобы они были наиболее полезны для игроков на разных этапах игры.
Усиленные модули на Коралловой Звезде: Герои - Грант, Кейн, Гюстав, Герман - добавлены к модулям.
Оптимизация Коралловой Звезды: изменена частота появления баффа восстановления энергии; уменьшены требования к заданиям для открытия Белого медведя; понижена сложность выбранных заданий в Снежной Охоте.
Модификация навыков отряда: добавлен эффект замедления (до 50% снижения скорости) к навыку снаряжения Стрелка.</v>
      </c>
      <c r="L48" s="108" t="str">
        <f>IFERROR(__xludf.DUMMYFUNCTION("""COMPUTED_VALUE"""),"Meka ruleti: ""Şanslı An"" için iki yeni kademe eklendi.
Mutant Operasyonu: Oyuncuların oyunun farklı aşamalarında en çok yararlanabileceği şekilde, sunucu aşamasına bağlı olarak düşen ödül türleri değiştirildi.
Mercan Yıldızı'nda Güçlendirilmiş Modüller:"&amp;" Savaşçılar - Grant, Kane, Gustave, Herman - modüllere eklendi.
Mercan Yıldızı optimize edildi: enerji yenilenmesi güçlendiricisinin görünme sıklığı değiştirildi; Kutup Ayısı'nın kilidini açmak için gereken macera gereklilikleri azaltıldı; Kar Avı'ndaki s"&amp;"eçili maceraların zorluğu düşürüldü.
Birim becerileri değiştirildi: Ateşçi ekipman becerisine yavaşlatma efekti (hızı %50'ye kadar azaltma) eklendi.")</f>
        <v>Meka ruleti: "Şanslı An" için iki yeni kademe eklendi.
Mutant Operasyonu: Oyuncuların oyunun farklı aşamalarında en çok yararlanabileceği şekilde, sunucu aşamasına bağlı olarak düşen ödül türleri değiştirildi.
Mercan Yıldızı'nda Güçlendirilmiş Modüller: Savaşçılar - Grant, Kane, Gustave, Herman - modüllere eklendi.
Mercan Yıldızı optimize edildi: enerji yenilenmesi güçlendiricisinin görünme sıklığı değiştirildi; Kutup Ayısı'nın kilidini açmak için gereken macera gereklilikleri azaltıldı; Kar Avı'ndaki seçili maceraların zorluğu düşürüldü.
Birim becerileri değiştirildi: Ateşçi ekipman becerisine yavaşlatma efekti (hızı %50'ye kadar azaltma) eklendi.</v>
      </c>
      <c r="M48" s="108" t="str">
        <f>IFERROR(__xludf.DUMMYFUNCTION("""COMPUTED_VALUE"""),"Vòng quay Cơ khí: Thêm hai bậc điểm mới vào ""Khoảnh Khắc May Mắn.""
Vây Quét Khỉ Đột Biến: Thay đổi loại phần thưởng dựa trên giai đoạn máy chủ để chúng hữu ích nhất cho người chơi ở các giai đoạn khác nhau của trò chơi.
Mô-đun Tiếp Viện trên Sao San Hô:"&amp;" Chiến Binh - Grant, Kane, Gustave, Herman - được thêm vào mô-đun.
Sao San Hô được tối ưu hóa: chỉnh sửa tần suất xuất hiện hiệu ứng Phục Hồi Năng Lượng; giảm yêu cầu nhiệm vụ để mở khóa Gấu Bắc Cực; giảm độ khó của một số nhiệm vụ chọn lọc trong Săn Tuyế"&amp;"t.
Kỹ năng đơn vị được chỉnh sửa: thêm hiệu ứng làm chậm (giảm tốc độ tới 50%) vào kỹ năng trang bị Shooter.")</f>
        <v>Vòng quay Cơ khí: Thêm hai bậc điểm mới vào "Khoảnh Khắc May Mắn."
Vây Quét Khỉ Đột Biến: Thay đổi loại phần thưởng dựa trên giai đoạn máy chủ để chúng hữu ích nhất cho người chơi ở các giai đoạn khác nhau của trò chơi.
Mô-đun Tiếp Viện trên Sao San Hô: Chiến Binh - Grant, Kane, Gustave, Herman - được thêm vào mô-đun.
Sao San Hô được tối ưu hóa: chỉnh sửa tần suất xuất hiện hiệu ứng Phục Hồi Năng Lượng; giảm yêu cầu nhiệm vụ để mở khóa Gấu Bắc Cực; giảm độ khó của một số nhiệm vụ chọn lọc trong Săn Tuyết.
Kỹ năng đơn vị được chỉnh sửa: thêm hiệu ứng làm chậm (giảm tốc độ tới 50%) vào kỹ năng trang bị Shooter.</v>
      </c>
      <c r="N48" s="108" t="str">
        <f>IFERROR(__xludf.DUMMYFUNCTION("""COMPUTED_VALUE"""),"Roulette Mech: Aggiunti due nuovi tier di punteggio a ""Momento Fortunato.""
Operazione Mutanti: Modificato il tipo di ricompense ottenute in base alla fase del server in modo che siano più utili per i giocatori in diverse fasi del gioco.
Moduli Rinforzat"&amp;"i su Stella di Corallo: Combattenti - Concedi, Kane, Gustave, Herman - aggiunti ai moduli.
Stella di Corallo ottimizzata: modificata la frequenza di comparsa del beneficio di rigenerazione energetica; ridotti i requisiti delle missioni per sbloccare l'Ors"&amp;"o polare; abbassata la difficoltà di selezionate missioni in Caccia sulla Neve.
Abilità dell'unità modificate: aggiunto effetto rallentamento (riduzione della velocità fino al 50%) all'abilità dell'equipaggiamento Shooter.")</f>
        <v>Roulette Mech: Aggiunti due nuovi tier di punteggio a "Momento Fortunato."
Operazione Mutanti: Modificato il tipo di ricompense ottenute in base alla fase del server in modo che siano più utili per i giocatori in diverse fasi del gioco.
Moduli Rinforzati su Stella di Corallo: Combattenti - Concedi, Kane, Gustave, Herman - aggiunti ai moduli.
Stella di Corallo ottimizzata: modificata la frequenza di comparsa del beneficio di rigenerazione energetica; ridotti i requisiti delle missioni per sbloccare l'Orso polare; abbassata la difficoltà di selezionate missioni in Caccia sulla Neve.
Abilità dell'unità modificate: aggiunto effetto rallentamento (riduzione della velocità fino al 50%) all'abilità dell'equipaggiamento Shooter.</v>
      </c>
      <c r="O48" s="108" t="str">
        <f>IFERROR(__xludf.DUMMYFUNCTION("""COMPUTED_VALUE"""),"Ruletka Mecha: Dodano dwa nowe poziomy punktów do ""Momentu Szczęścia.""
Operacja Mutanty: Zmieniono typ nagród w zależności od fazy serwera, aby były bardziej przydatne dla graczy na różnych etapach gry.
Wzmocnione Moduły na Gwieździe Koralowej: Wojownic"&amp;"y - Grant, Kane, Gustave, Herman - dodani do modułów.
Optymalizacja Gwiazdy Koralowej: zmodyfikowano częstotliwość pojawiania się wzmocnienia regeneracji energii; zmniejszono wymagania zadań do odblokowania Niedźwiedzia Polarnego; obniżono trudność wybran"&amp;"ych zadań w Polowaniu na Śnieg.
Modyfikacja umiejętności jednostek: dodano efekt spowolnienia (do 50% redukcji szybkości) do umiejętności sprzętu Strzelca.")</f>
        <v>Ruletka Mecha: Dodano dwa nowe poziomy punktów do "Momentu Szczęścia."
Operacja Mutanty: Zmieniono typ nagród w zależności od fazy serwera, aby były bardziej przydatne dla graczy na różnych etapach gry.
Wzmocnione Moduły na Gwieździe Koralowej: Wojownicy - Grant, Kane, Gustave, Herman - dodani do modułów.
Optymalizacja Gwiazdy Koralowej: zmodyfikowano częstotliwość pojawiania się wzmocnienia regeneracji energii; zmniejszono wymagania zadań do odblokowania Niedźwiedzia Polarnego; obniżono trudność wybranych zadań w Polowaniu na Śnieg.
Modyfikacja umiejętności jednostek: dodano efekt spowolnienia (do 50% redukcji szybkości) do umiejętności sprzętu Strzelca.</v>
      </c>
      <c r="P48" s="108" t="str">
        <f>IFERROR(__xludf.DUMMYFUNCTION("""COMPUTED_VALUE"""),"روليت الميكا: تم إضافة مستويين جديدين للنقاط إلى ""لحظة الحظ"".
صواميل التشغيل: تم تغيير نوع الجوائز التي تسقط بناءً على مرحلة السيرفر بحيث تكون الأكثر فائدة للاعبين في مراحل مختلفة من اللعبة.
الوحدات المعززة على نجمة المرجان: المقاتلون - منح، كين، غوستاف"&amp;"، هيرمان - تم إضافتهم إلى الوحدات.
تم تحسين نجمة المرجان: تم تعديل مدى تكرار ظهور تعزيزات تجديد الطاقة؛ تم تقليل متطلبات المهام لفتح الدب القطبي؛ تم خفض صعوبة مهام محددة في صيد الثلج.
تم تعديل مهارات الوحدة: تم إضافة تأثير البطء (حتى 50% تقليل السرعة) إلى"&amp;" مهارة تجهيز القناص.")</f>
        <v>روليت الميكا: تم إضافة مستويين جديدين للنقاط إلى "لحظة الحظ".
صواميل التشغيل: تم تغيير نوع الجوائز التي تسقط بناءً على مرحلة السيرفر بحيث تكون الأكثر فائدة للاعبين في مراحل مختلفة من اللعبة.
الوحدات المعززة على نجمة المرجان: المقاتلون - منح، كين، غوستاف، هيرمان - تم إضافتهم إلى الوحدات.
تم تحسين نجمة المرجان: تم تعديل مدى تكرار ظهور تعزيزات تجديد الطاقة؛ تم تقليل متطلبات المهام لفتح الدب القطبي؛ تم خفض صعوبة مهام محددة في صيد الثلج.
تم تعديل مهارات الوحدة: تم إضافة تأثير البطء (حتى 50% تقليل السرعة) إلى مهارة تجهيز القناص.</v>
      </c>
      <c r="Q48" s="108" t="str">
        <f>IFERROR(__xludf.DUMMYFUNCTION("""COMPUTED_VALUE"""),"メカルーレット：「ラッキーストリーク」に新たなスコアティアを2つ追加しました。
変異エイプ殲滅作戦：サーバーのフェーズに基づいて、異なるゲームステージのプレイヤーに最も役立つように、ドロップする報酬のタイプを変更しました。
サンゴ星の強化キャビン：ファイター - 助成、カネ、グスターヴ、ハーマン - をキャビンに追加しました。
サンゴ星の最適化：エナジー再生バフの出現頻度を修正し、北極熊のアンロックに必要なクエスト要件を減少させ、スノーハント内の選択クエストの難易度を下げました。
ユニットスキルの変更：シ"&amp;"ューターの軍備スキルに減速効果（最大50%の速度減少）を追加しました。")</f>
        <v>メカルーレット：「ラッキーストリーク」に新たなスコアティアを2つ追加しました。
変異エイプ殲滅作戦：サーバーのフェーズに基づいて、異なるゲームステージのプレイヤーに最も役立つように、ドロップする報酬のタイプを変更しました。
サンゴ星の強化キャビン：ファイター - 助成、カネ、グスターヴ、ハーマン - をキャビンに追加しました。
サンゴ星の最適化：エナジー再生バフの出現頻度を修正し、北極熊のアンロックに必要なクエスト要件を減少させ、スノーハント内の選択クエストの難易度を下げました。
ユニットスキルの変更：シューターの軍備スキルに減速効果（最大50%の速度減少）を追加しました。</v>
      </c>
      <c r="R48" s="108" t="str">
        <f>IFERROR(__xludf.DUMMYFUNCTION("""COMPUTED_VALUE"""),"메카 룰렛: ""행운의 연속""에 새로운 점수 티어 두 개 추가됨.
변이 원숭이 토벌: 서버 단계에 따라 드롭되는 보상 유형을 변경하여 게임의 다양한 단계에 있는 플레이어들에게 가장 유용하도록 함.
산호별의 강화실: 전사 - 부여, 케인, 구스타브, 허먼 - 모듈에 추가됨.
산호별 최적화: 에너지 재생 버프가 나타나는 빈도 수정; 북극곰 잠금 해제를 위한 임무 요구 사항 감소; 눈 사냥에서 선택한 임무의 난이도 낮춤.
유닛 스킬 수정: 슈터 기어 스킬에"&amp;" 최대 50% 속도 감소의 감속 효과 추가됨.")</f>
        <v>메카 룰렛: "행운의 연속"에 새로운 점수 티어 두 개 추가됨.
변이 원숭이 토벌: 서버 단계에 따라 드롭되는 보상 유형을 변경하여 게임의 다양한 단계에 있는 플레이어들에게 가장 유용하도록 함.
산호별의 강화실: 전사 - 부여, 케인, 구스타브, 허먼 - 모듈에 추가됨.
산호별 최적화: 에너지 재생 버프가 나타나는 빈도 수정; 북극곰 잠금 해제를 위한 임무 요구 사항 감소; 눈 사냥에서 선택한 임무의 난이도 낮춤.
유닛 스킬 수정: 슈터 기어 스킬에 최대 50% 속도 감소의 감속 효과 추가됨.</v>
      </c>
      <c r="S48" s="108"/>
      <c r="T48" s="108"/>
      <c r="U48" s="108"/>
      <c r="V48" s="108"/>
      <c r="W48" s="108"/>
      <c r="X48" s="108"/>
      <c r="Y48" s="108"/>
      <c r="Z48" s="108"/>
    </row>
    <row r="49">
      <c r="A49" s="108" t="str">
        <f>IFERROR(__xludf.DUMMYFUNCTION("""COMPUTED_VALUE"""),"0.65.0")</f>
        <v>0.65.0</v>
      </c>
      <c r="B49" s="108" t="str">
        <f>IFERROR(__xludf.DUMMYFUNCTION("""COMPUTED_VALUE"""),"-斗士远征：将界面展示的推荐战力调整得更加合理；
-帮派：降低科技技能捐献获得的荣誉币；
-地下探宝：地下探宝带来的食物钢铁产出降低20%，这部分产出将由新玩法提供；
-机甲耐久：优化了机甲最大耐久发生变化时，玩家机甲已有耐久的计算逻辑；
-斗士技能：优化了部分斗士的技能战斗力计算规则，高等级主动技能现在可以为斗士提供更多战斗力；
-银河战争：优化了银河战争玩法的积分规则，占领最终建筑现在会为玩家提供更多积分；
-地下世界：提高了地下世界玩法中的高等级矿洞的持续时间，降低了部分科研的药水消耗；
-寒冰星："&amp;"降低了寒冰星野战区中击杀野怪获得的积分；
-寒冰星：调整了寒冰星中一网打尽玩法与边境玩法中野怪的掉落奖励。")</f>
        <v>-斗士远征：将界面展示的推荐战力调整得更加合理；
-帮派：降低科技技能捐献获得的荣誉币；
-地下探宝：地下探宝带来的食物钢铁产出降低20%，这部分产出将由新玩法提供；
-机甲耐久：优化了机甲最大耐久发生变化时，玩家机甲已有耐久的计算逻辑；
-斗士技能：优化了部分斗士的技能战斗力计算规则，高等级主动技能现在可以为斗士提供更多战斗力；
-银河战争：优化了银河战争玩法的积分规则，占领最终建筑现在会为玩家提供更多积分；
-地下世界：提高了地下世界玩法中的高等级矿洞的持续时间，降低了部分科研的药水消耗；
-寒冰星：降低了寒冰星野战区中击杀野怪获得的积分；
-寒冰星：调整了寒冰星中一网打尽玩法与边境玩法中野怪的掉落奖励。</v>
      </c>
      <c r="C49" s="169" t="str">
        <f>IFERROR(__xludf.DUMMYFUNCTION("""COMPUTED_VALUE"""),"- Fighter Expedition: Improved how recommended power is displayed.
- Gangs: Reduced Honor Coins from tech skill donations.
- Treasure Dig: Reduced Food and Iron output by 20% (this portion will be provided by a new feature).
- Mech durability: Optimized l"&amp;"ogic for calculating current durability when maximum durability changes.
- Fighter skills: Improved power calculations for certain Fighter skills; high-level active skills now provide more power.
- Planet Wars: Improved scoring rules, with more points gra"&amp;"nted for occupying the final building.
- Subterra: High-level mines now exist for longer; reduced the amount of Research Emulsions required for some research.
- Glacier Land: Lowered the number of points earned from monster kills in special zones.")</f>
        <v>- Fighter Expedition: Improved how recommended power is displayed.
- Gangs: Reduced Honor Coins from tech skill donations.
- Treasure Dig: Reduced Food and Iron output by 20% (this portion will be provided by a new feature).
- Mech durability: Optimized logic for calculating current durability when maximum durability changes.
- Fighter skills: Improved power calculations for certain Fighter skills; high-level active skills now provide more power.
- Planet Wars: Improved scoring rules, with more points granted for occupying the final building.
- Subterra: High-level mines now exist for longer; reduced the amount of Research Emulsions required for some research.
- Glacier Land: Lowered the number of points earned from monster kills in special zones.</v>
      </c>
      <c r="D49" s="108" t="str">
        <f>IFERROR(__xludf.DUMMYFUNCTION("""COMPUTED_VALUE"""),"- Expédition de Combattant : Amélioration de l'affichage de la puissance recommandée.
- Gangs : Réduction des pièces d'honneur obtenues par les dons de compétences technologiques.
- Fouille de Trésor : Réduction de la production de Nourriture et de Ferrai"&amp;"lle de 20% (cette portion sera fournie par une nouvelle fonctionnalité).
- Durabilité du Mécha : Optimisation de la logique de calcul de la durabilité actuelle lorsque la durabilité maximale change.
- Compétences de Combattant : Amélioration des calculs d"&amp;"e puissance pour certaines compétences de Combattant ; les compétences actives de haut niveau fournissent désormais plus de puissance.
- Guerre planétaire : Amélioration des règles de classement, avec plus de points accordés pour l'occupation du bâtiment "&amp;"final.
- Subterra : Les mines de haut niveau existent désormais plus longtemps ; réduction de la quantité d'Émulsions de recherche requises pour certaines recherches.
- Terre Glaciaire : Réduction du nombre de points obtenus pour les éliminations de monst"&amp;"res dans les zones spéciales.")</f>
        <v>- Expédition de Combattant : Amélioration de l'affichage de la puissance recommandée.
- Gangs : Réduction des pièces d'honneur obtenues par les dons de compétences technologiques.
- Fouille de Trésor : Réduction de la production de Nourriture et de Ferraille de 20% (cette portion sera fournie par une nouvelle fonctionnalité).
- Durabilité du Mécha : Optimisation de la logique de calcul de la durabilité actuelle lorsque la durabilité maximale change.
- Compétences de Combattant : Amélioration des calculs de puissance pour certaines compétences de Combattant ; les compétences actives de haut niveau fournissent désormais plus de puissance.
- Guerre planétaire : Amélioration des règles de classement, avec plus de points accordés pour l'occupation du bâtiment final.
- Subterra : Les mines de haut niveau existent désormais plus longtemps ; réduction de la quantité d'Émulsions de recherche requises pour certaines recherches.
- Terre Glaciaire : Réduction du nombre de points obtenus pour les éliminations de monstres dans les zones spéciales.</v>
      </c>
      <c r="E49" s="108" t="str">
        <f>IFERROR(__xludf.DUMMYFUNCTION("""COMPUTED_VALUE"""),"- Kämpfer-Expedition: Anzeige der empfohlenen Stärke verbessert.
- Clans: Ehrenmünzen aus Technikfähigkeits-Spenden reduziert.
- Schatzsuche: Nahrung und Eisen um 20% reduziert (dieser Teil wird durch eine neue Funktion bereitgestellt).
- Mech-Haltbarkeit"&amp;": Logik zur Berechnung der aktuellen Haltbarkeit bei Änderung der maximalen Haltbarkeit optimiert.
- Kämpferfähigkeiten: Berechnungen der Stärke für bestimmte Kämpferfähigkeiten verbessert; hochstufige aktive Fähigkeiten bieten nun mehr Stärke.
- Planeten"&amp;"kriege: Wertungsregeln verbessert, mit mehr Punkten für das Besetzen des letzten Gebäudes.
- Subterra: Hochstufige Minen existieren nun länger; Menge der für einige Forschungen benötigten Forschungsemulsionen reduziert.
- Gletscherland: Anzahl der durch d"&amp;"as Töten von Monstern in Spezialzonen erhaltenen Punkte verringert.")</f>
        <v>- Kämpfer-Expedition: Anzeige der empfohlenen Stärke verbessert.
- Clans: Ehrenmünzen aus Technikfähigkeits-Spenden reduziert.
- Schatzsuche: Nahrung und Eisen um 20% reduziert (dieser Teil wird durch eine neue Funktion bereitgestellt).
- Mech-Haltbarkeit: Logik zur Berechnung der aktuellen Haltbarkeit bei Änderung der maximalen Haltbarkeit optimiert.
- Kämpferfähigkeiten: Berechnungen der Stärke für bestimmte Kämpferfähigkeiten verbessert; hochstufige aktive Fähigkeiten bieten nun mehr Stärke.
- Planetenkriege: Wertungsregeln verbessert, mit mehr Punkten für das Besetzen des letzten Gebäudes.
- Subterra: Hochstufige Minen existieren nun länger; Menge der für einige Forschungen benötigten Forschungsemulsionen reduziert.
- Gletscherland: Anzahl der durch das Töten von Monstern in Spezialzonen erhaltenen Punkte verringert.</v>
      </c>
      <c r="F49" s="108" t="str">
        <f>IFERROR(__xludf.DUMMYFUNCTION("""COMPUTED_VALUE"""),"- Expedição de Combatente: Melhorada a exibição do poder recomendado.
- Gangues: Reduzidas as Moedas de Honra das doações de habilidades tecnológicas.
- Escavação de Tesouro: Reduzida a produção de Comida e Ferro em 20% (essa parte será fornecida por um n"&amp;"ovo recurso).
- Durabilidade do Mech: Otimizada a lógica para calcular a durabilidade atual quando a durabilidade máxima muda.
- Habilidades de Combatente: Melhorados os cálculos de poder para certas habilidades de Combatente; habilidades ativas de alto n"&amp;"ível agora fornecem mais poder.
- Guerra Interplanetária: Melhoradas as regras de pontuação, com mais pontos concedidos por ocupar o edifício final.
- Subterra: Minas de alto nível agora existem por mais tempo; reduzida a quantidade de Emulsões de Pesquis"&amp;"a necessárias para algumas pesquisas.
- Terra Glacial: Reduzido o número de pontos ganhos com abates de monstros em zonas especiais.")</f>
        <v>- Expedição de Combatente: Melhorada a exibição do poder recomendado.
- Gangues: Reduzidas as Moedas de Honra das doações de habilidades tecnológicas.
- Escavação de Tesouro: Reduzida a produção de Comida e Ferro em 20% (essa parte será fornecida por um novo recurso).
- Durabilidade do Mech: Otimizada a lógica para calcular a durabilidade atual quando a durabilidade máxima muda.
- Habilidades de Combatente: Melhorados os cálculos de poder para certas habilidades de Combatente; habilidades ativas de alto nível agora fornecem mais poder.
- Guerra Interplanetária: Melhoradas as regras de pontuação, com mais pontos concedidos por ocupar o edifício final.
- Subterra: Minas de alto nível agora existem por mais tempo; reduzida a quantidade de Emulsões de Pesquisa necessárias para algumas pesquisas.
- Terra Glacial: Reduzido o número de pontos ganhos com abates de monstros em zonas especiais.</v>
      </c>
      <c r="G49" s="108" t="str">
        <f>IFERROR(__xludf.DUMMYFUNCTION("""COMPUTED_VALUE"""),"-鬥士遠征：將界面展示的推薦戰力調整得更加合理；
-幫派：降低科技技能捐贈取得的榮譽幣；
-地下探寶：地下探寶帶來的食物鋼鐵產出降低20%，這部分產出將由新玩法提供；
-機甲耐久：優化了機甲最大耐久發生變化時，玩家機甲已有耐久的計算邏輯；
-技能傷害：優化了部分鬥士的技能勢力值計算規則，高等級主動技能現在可以為鬥士提供更多勢力值；
-銀河戰爭：優化了銀河戰爭玩法的積分規則，俘虜車隊最終建造現在會為玩家提供更多積分；
-地下世界：提高了地下世界玩法中的高等級礦洞的持續時間，降低了部分科研的藥水費用；
-寒冰"&amp;"星：降低了寒冰星野戰區中擊殺野怪取得的積分；
-寒冰星：調整了寒冰星中一網打盡玩法與邊境玩法中野怪的掉落獎勵。")</f>
        <v>-鬥士遠征：將界面展示的推薦戰力調整得更加合理；
-幫派：降低科技技能捐贈取得的榮譽幣；
-地下探寶：地下探寶帶來的食物鋼鐵產出降低20%，這部分產出將由新玩法提供；
-機甲耐久：優化了機甲最大耐久發生變化時，玩家機甲已有耐久的計算邏輯；
-技能傷害：優化了部分鬥士的技能勢力值計算規則，高等級主動技能現在可以為鬥士提供更多勢力值；
-銀河戰爭：優化了銀河戰爭玩法的積分規則，俘虜車隊最終建造現在會為玩家提供更多積分；
-地下世界：提高了地下世界玩法中的高等級礦洞的持續時間，降低了部分科研的藥水費用；
-寒冰星：降低了寒冰星野戰區中擊殺野怪取得的積分；
-寒冰星：調整了寒冰星中一網打盡玩法與邊境玩法中野怪的掉落獎勵。</v>
      </c>
      <c r="H49" s="108" t="str">
        <f>IFERROR(__xludf.DUMMYFUNCTION("""COMPUTED_VALUE"""),"- Ekspedisi Pejuang: Meningkatkan cara tampilan rekomendasi kekuatan.
- Geng: Mengurangi Koin Kehormatan dari donasi keahlian teknologi.
- Penggalian Harta Karun: Mengurangi output Makanan dan Besi sebesar 20% (bagian ini akan disediakan oleh fitur baru)."&amp;"
- Ketahanan Mekanik: Mengoptimalkan logika untuk menghitung ketahanan saat ini ketika ketahanan maksimum berubah.
- Keahlian Pejuang: Meningkatkan perhitungan kekuatan untuk beberapa keahlian Pejuang; keahlian aktif tingkat tinggi sekarang memberikan leb"&amp;"ih banyak kekuatan.
- Perang Planet: Meningkatkan peraturan pemberian skor, dengan lebih banyak poin diberikan untuk menduduki bangunan terakhir.
- Subterra: Tambang tingkat tinggi sekarang ada lebih lama; mengurangi jumlah Reagen Penelitian yang dibutuhk"&amp;"an untuk beberapa penelitian.
- Tanah Gletser: Menurunkan jumlah poin yang didapatkan dari membunuh monster di zona khusus.")</f>
        <v>- Ekspedisi Pejuang: Meningkatkan cara tampilan rekomendasi kekuatan.
- Geng: Mengurangi Koin Kehormatan dari donasi keahlian teknologi.
- Penggalian Harta Karun: Mengurangi output Makanan dan Besi sebesar 20% (bagian ini akan disediakan oleh fitur baru).
- Ketahanan Mekanik: Mengoptimalkan logika untuk menghitung ketahanan saat ini ketika ketahanan maksimum berubah.
- Keahlian Pejuang: Meningkatkan perhitungan kekuatan untuk beberapa keahlian Pejuang; keahlian aktif tingkat tinggi sekarang memberikan lebih banyak kekuatan.
- Perang Planet: Meningkatkan peraturan pemberian skor, dengan lebih banyak poin diberikan untuk menduduki bangunan terakhir.
- Subterra: Tambang tingkat tinggi sekarang ada lebih lama; mengurangi jumlah Reagen Penelitian yang dibutuhkan untuk beberapa penelitian.
- Tanah Gletser: Menurunkan jumlah poin yang didapatkan dari membunuh monster di zona khusus.</v>
      </c>
      <c r="I49" s="108" t="str">
        <f>IFERROR(__xludf.DUMMYFUNCTION("""COMPUTED_VALUE"""),"- การสำรวจของนักสู้: ปรับปรุงการแสดงค่าพลังที่แนะนำ
- แก๊ง: ลดจำนวนเหรียญเกียรติยศจากการบริจาคทักษะเทคโนโลยี
- ขุดสมบัติ: ลดผลผลิตอาหารและเหล็กลง 20% (ส่วนนี้จะถูกจัดหาโดยฟีเจอร์ใหม่)
- ความทนทานของเมค: ปรับปรุงตรรกะในการคำนวณความทนทานปัจจุบันเมื่อความทนท"&amp;"านสูงสุดเปลี่ยนแปลง
- ทักษะของนักสู้: ปรับปรุงการคำนวณพลังสำหรับทักษะของนักสู้บางอย่าง; ทักษะทางตรงระดับสูงตอนนี้ให้พลังมากขึ้น
- สงครามดาวเคราะห์: ปรับปรุงกฎการให้คะแนน โดยให้คะแนนมากขึ้นสำหรับการยึดครองอาคารสุดท้าย
- Subterra: เหมืองแร่ระดับสูงตอนนี้มีอ"&amp;"ายุการใช้งานนานขึ้น; ลดจำนวนยาทดลองการวิจัยที่ต้องใช้สำหรับการวิจัยบางอย่าง
- ดินแดนน้ำแข็ง: ลดจำนวนคะแนนที่ได้รับจากการฆ่ามอนสเตอร์ในพื้นที่พิเศษ")</f>
        <v>- การสำรวจของนักสู้: ปรับปรุงการแสดงค่าพลังที่แนะนำ
- แก๊ง: ลดจำนวนเหรียญเกียรติยศจากการบริจาคทักษะเทคโนโลยี
- ขุดสมบัติ: ลดผลผลิตอาหารและเหล็กลง 20% (ส่วนนี้จะถูกจัดหาโดยฟีเจอร์ใหม่)
- ความทนทานของเมค: ปรับปรุงตรรกะในการคำนวณความทนทานปัจจุบันเมื่อความทนทานสูงสุดเปลี่ยนแปลง
- ทักษะของนักสู้: ปรับปรุงการคำนวณพลังสำหรับทักษะของนักสู้บางอย่าง; ทักษะทางตรงระดับสูงตอนนี้ให้พลังมากขึ้น
- สงครามดาวเคราะห์: ปรับปรุงกฎการให้คะแนน โดยให้คะแนนมากขึ้นสำหรับการยึดครองอาคารสุดท้าย
- Subterra: เหมืองแร่ระดับสูงตอนนี้มีอายุการใช้งานนานขึ้น; ลดจำนวนยาทดลองการวิจัยที่ต้องใช้สำหรับการวิจัยบางอย่าง
- ดินแดนน้ำแข็ง: ลดจำนวนคะแนนที่ได้รับจากการฆ่ามอนสเตอร์ในพื้นที่พิเศษ</v>
      </c>
      <c r="J49" s="108" t="str">
        <f>IFERROR(__xludf.DUMMYFUNCTION("""COMPUTED_VALUE"""),"- Expedición de Luchadores: Mejorada la visualización del poder recomendado.
- Bandas: Reducidas las Monedas de Honor de las donaciones de habilidades tecnológicas.
- Excavación de Tesoros: Reducción del 20% en la producción de Comida y Hierro (esta parte"&amp;" será proporcionada por una nueva característica).
- Durabilidad del Mech: Optimizada la lógica para calcular la durabilidad actual cuando cambia la durabilidad máxima.
- Habilidades del Luchador: Mejorados los cálculos de poder para ciertas habilidades d"&amp;"e Luchadores; las habilidades activas de alto nivel ahora proporcionan más poder.
- Guerras Planetarias: Mejoradas las reglas de puntuación, con más puntos otorgados por ocupar el edificio final.
- Subterra: Las minas de alto nivel ahora existen por más t"&amp;"iempo; reducida la cantidad de Emulsiones de Investigación requeridas para algunas investigaciones.
- Tierra Glaciar: Reducido el número de puntos ganados por matar monstruos en zonas especiales.")</f>
        <v>- Expedición de Luchadores: Mejorada la visualización del poder recomendado.
- Bandas: Reducidas las Monedas de Honor de las donaciones de habilidades tecnológicas.
- Excavación de Tesoros: Reducción del 20% en la producción de Comida y Hierro (esta parte será proporcionada por una nueva característica).
- Durabilidad del Mech: Optimizada la lógica para calcular la durabilidad actual cuando cambia la durabilidad máxima.
- Habilidades del Luchador: Mejorados los cálculos de poder para ciertas habilidades de Luchadores; las habilidades activas de alto nivel ahora proporcionan más poder.
- Guerras Planetarias: Mejoradas las reglas de puntuación, con más puntos otorgados por ocupar el edificio final.
- Subterra: Las minas de alto nivel ahora existen por más tiempo; reducida la cantidad de Emulsiones de Investigación requeridas para algunas investigaciones.
- Tierra Glaciar: Reducido el número de puntos ganados por matar monstruos en zonas especiales.</v>
      </c>
      <c r="K49" s="108" t="str">
        <f>IFERROR(__xludf.DUMMYFUNCTION("""COMPUTED_VALUE"""),"- Экспедиция героя: Улучшено отображение рекомендуемой мощности.
- Банды: Уменьшено количество монет чести за пожертвования на технологические навыки.
- Раскопки сокровищ: Уменьшен выход пищи и железа на 20% (эта часть будет предоставлена новой функцией)."&amp;"
- Прочность Меха: Оптимизирована логика расчета текущей прочности при изменении максимальной прочности.
- Навыки героя: Улучшены расчеты мощности для некоторых навыков героя; высокоуровневые активные навыки теперь дают больше мощности.
- Планетарные войн"&amp;"ы: Улучшены правила набора очков, с большим количеством очков за захват финального здания.
- Подземелье: Высокоуровневые шахты теперь существуют дольше; уменьшено количество эмульсий исследования, необходимых для некоторых исследований.
- Ледниковая земля"&amp;": Уменьшено количество очков, заработанных за убийства монстров в особых зонах.")</f>
        <v>- Экспедиция героя: Улучшено отображение рекомендуемой мощности.
- Банды: Уменьшено количество монет чести за пожертвования на технологические навыки.
- Раскопки сокровищ: Уменьшен выход пищи и железа на 20% (эта часть будет предоставлена новой функцией).
- Прочность Меха: Оптимизирована логика расчета текущей прочности при изменении максимальной прочности.
- Навыки героя: Улучшены расчеты мощности для некоторых навыков героя; высокоуровневые активные навыки теперь дают больше мощности.
- Планетарные войны: Улучшены правила набора очков, с большим количеством очков за захват финального здания.
- Подземелье: Высокоуровневые шахты теперь существуют дольше; уменьшено количество эмульсий исследования, необходимых для некоторых исследований.
- Ледниковая земля: Уменьшено количество очков, заработанных за убийства монстров в особых зонах.</v>
      </c>
      <c r="L49" s="108" t="str">
        <f>IFERROR(__xludf.DUMMYFUNCTION("""COMPUTED_VALUE"""),"- Savaşçı Gezisi: Tavsiye edilen gücün nasıl sergilendiği iyileştirildi.
- Çeteler: Teknoloji beceri bağışlarından elde edilen Onur Paraları azaltıldı.
- Hazine Kazısı: Yiyecek ve Demir çıktısı %20 azaltıldı (bu kısım yeni bir özellik tarafından sağlanaca"&amp;"k).
- Meka dayanıklılığı: Maksimum dayanıklılık değiştiğinde mevcut dayanıklılığın hesaplanma mantığı optimize edildi.
- Savaşçı becerileri: Belirli Savaşçı becerileri için güç hesaplamaları iyileştirildi; yüksek seviyeli aktif beceriler artık daha fazla "&amp;"güç sağlıyor.
- Gezegen Savaşları: Puanlama kuralları iyileştirildi, son binayı işgal etmek için daha fazla puan verildi.
- Subterra: Yüksek seviyeli madenler artık daha uzun süre var; bazı araştırmalar için gereken Araştırma Çözeltileri miktarı azaltıldı"&amp;".
- Buzul Toprağı: Özel alanlardaki canavar öldürmelerinden kazanılan puan sayısı düşürüldü.")</f>
        <v>- Savaşçı Gezisi: Tavsiye edilen gücün nasıl sergilendiği iyileştirildi.
- Çeteler: Teknoloji beceri bağışlarından elde edilen Onur Paraları azaltıldı.
- Hazine Kazısı: Yiyecek ve Demir çıktısı %20 azaltıldı (bu kısım yeni bir özellik tarafından sağlanacak).
- Meka dayanıklılığı: Maksimum dayanıklılık değiştiğinde mevcut dayanıklılığın hesaplanma mantığı optimize edildi.
- Savaşçı becerileri: Belirli Savaşçı becerileri için güç hesaplamaları iyileştirildi; yüksek seviyeli aktif beceriler artık daha fazla güç sağlıyor.
- Gezegen Savaşları: Puanlama kuralları iyileştirildi, son binayı işgal etmek için daha fazla puan verildi.
- Subterra: Yüksek seviyeli madenler artık daha uzun süre var; bazı araştırmalar için gereken Araştırma Çözeltileri miktarı azaltıldı.
- Buzul Toprağı: Özel alanlardaki canavar öldürmelerinden kazanılan puan sayısı düşürüldü.</v>
      </c>
      <c r="M49" s="108" t="str">
        <f>IFERROR(__xludf.DUMMYFUNCTION("""COMPUTED_VALUE"""),"- Cuộc Thám Hiểm Chiến Binh: Cải thiện cách hiển thị chiến lực khuyến nghị.
- Bang Hội: Giảm số lượng Xu Danh Dự từ việc đóng góp kỹ năng công nghệ.
- Đào Kho Báu: Giảm sản lượng Thực Phẩm và Sắt xuống 20% (phần này sẽ được cung cấp bởi một tính năng mới)"&amp;".
- Độ bền Cơ khí: Tối ưu hóa logic tính toán độ bền hiện tại khi độ bền tối đa thay đổi.
- Kỹ năng Chiến Binh: Cải thiện tính toán chiến lực cho một số kỹ năng Chiến Binh; kỹ năng chủ động cấp cao hiện cung cấp nhiều chiến lực hơn.
- Chiến Tranh Hành Tin"&amp;"h: Cải thiện quy tắc ghi điểm, với nhiều điểm hơn được cấp khi chiếm đóng tòa nhà cuối cùng.
- Subterra: Các mỏ cấp cao hiện tồn tại lâu hơn; giảm số lượng Thuốc Thử Nghiên Cứu cần thiết cho một số nghiên cứu.
- Vùng Đất Băng Hà: Giảm số điểm kiếm được từ"&amp;" việc tiêu diệt quái vật trong các khu vực đặc biệt.")</f>
        <v>- Cuộc Thám Hiểm Chiến Binh: Cải thiện cách hiển thị chiến lực khuyến nghị.
- Bang Hội: Giảm số lượng Xu Danh Dự từ việc đóng góp kỹ năng công nghệ.
- Đào Kho Báu: Giảm sản lượng Thực Phẩm và Sắt xuống 20% (phần này sẽ được cung cấp bởi một tính năng mới).
- Độ bền Cơ khí: Tối ưu hóa logic tính toán độ bền hiện tại khi độ bền tối đa thay đổi.
- Kỹ năng Chiến Binh: Cải thiện tính toán chiến lực cho một số kỹ năng Chiến Binh; kỹ năng chủ động cấp cao hiện cung cấp nhiều chiến lực hơn.
- Chiến Tranh Hành Tinh: Cải thiện quy tắc ghi điểm, với nhiều điểm hơn được cấp khi chiếm đóng tòa nhà cuối cùng.
- Subterra: Các mỏ cấp cao hiện tồn tại lâu hơn; giảm số lượng Thuốc Thử Nghiên Cứu cần thiết cho một số nghiên cứu.
- Vùng Đất Băng Hà: Giảm số điểm kiếm được từ việc tiêu diệt quái vật trong các khu vực đặc biệt.</v>
      </c>
      <c r="N49" s="108" t="str">
        <f>IFERROR(__xludf.DUMMYFUNCTION("""COMPUTED_VALUE"""),"- Esplorazione Combattente: Migliorato il modo in cui viene visualizzata la potenza consigliata.
- Gang: Ridotte le Monete Onore dalle donazioni di abilità tecnologiche.
- Scavo del Tesoro: Ridotta la produzione di Cibo e Ferro del 20% (questa parte sarà "&amp;"fornita da una nuova funzionalità).
- Durabilità del Mech: Ottimizzata la logica per il calcolo della durabilità attuale quando cambia la durabilità massima.
- Abilità del Combattente: Migliorati i calcoli della potenza per alcune abilità del Combattente;"&amp;" le abilità attive di alto livello ora forniscono più potenza.
- Guerre planetarie: Migliorate le regole del punteggio, con più punti assegnati per l'occupazione dell'edificio finale.
- Subterra: Le miniere di alto livello ora esistono per più tempo; rido"&amp;"tta la quantità di Emulsioni di ricerca necessarie per alcune ricerche.
- Terra Glaciale: Ridotto il numero di punti guadagnati dalle uccisioni di mostri nelle zone speciali.")</f>
        <v>- Esplorazione Combattente: Migliorato il modo in cui viene visualizzata la potenza consigliata.
- Gang: Ridotte le Monete Onore dalle donazioni di abilità tecnologiche.
- Scavo del Tesoro: Ridotta la produzione di Cibo e Ferro del 20% (questa parte sarà fornita da una nuova funzionalità).
- Durabilità del Mech: Ottimizzata la logica per il calcolo della durabilità attuale quando cambia la durabilità massima.
- Abilità del Combattente: Migliorati i calcoli della potenza per alcune abilità del Combattente; le abilità attive di alto livello ora forniscono più potenza.
- Guerre planetarie: Migliorate le regole del punteggio, con più punti assegnati per l'occupazione dell'edificio finale.
- Subterra: Le miniere di alto livello ora esistono per più tempo; ridotta la quantità di Emulsioni di ricerca necessarie per alcune ricerche.
- Terra Glaciale: Ridotto il numero di punti guadagnati dalle uccisioni di mostri nelle zone speciali.</v>
      </c>
      <c r="O49" s="108" t="str">
        <f>IFERROR(__xludf.DUMMYFUNCTION("""COMPUTED_VALUE"""),"- Wyprawa Wojownika: Ulepszono sposób wyświetlania zalecanej siły.
- Gangi: Zmniejszono liczbę Monet honorowych z darowizn umiejętności technicznych.
- Wykopaliska Skarbów: Zmniejszono produkcję Żywności i Żelaza o 20% (ta część zostanie dostarczona przez"&amp;" nową funkcję).
- Wytrzymałość Mecha: Zoptymalizowano logikę obliczania bieżącej wytrzymałości, gdy zmienia się maksymalna wytrzymałość.
- Umiejętności Wojownika: Ulepszono obliczenia siły dla niektórych umiejętności Wojownika; umiejętności aktywne na wys"&amp;"okim poziomie teraz zapewniają więcej siły.
- Wojny planet: Ulepszono zasady punktacji, przyznając więcej punktów za zajęcie ostatniego budynku.
- Subterra: Kopalnie na wysokim poziomie teraz istnieją dłużej; zmniejszono ilość Emulsji badawczej wymaganej "&amp;"do niektórych badań.
- Lodowa Kraina: Zmniejszono liczbę punktów zdobywanych za zabijanie potworów w strefach specjalnych.")</f>
        <v>- Wyprawa Wojownika: Ulepszono sposób wyświetlania zalecanej siły.
- Gangi: Zmniejszono liczbę Monet honorowych z darowizn umiejętności technicznych.
- Wykopaliska Skarbów: Zmniejszono produkcję Żywności i Żelaza o 20% (ta część zostanie dostarczona przez nową funkcję).
- Wytrzymałość Mecha: Zoptymalizowano logikę obliczania bieżącej wytrzymałości, gdy zmienia się maksymalna wytrzymałość.
- Umiejętności Wojownika: Ulepszono obliczenia siły dla niektórych umiejętności Wojownika; umiejętności aktywne na wysokim poziomie teraz zapewniają więcej siły.
- Wojny planet: Ulepszono zasady punktacji, przyznając więcej punktów za zajęcie ostatniego budynku.
- Subterra: Kopalnie na wysokim poziomie teraz istnieją dłużej; zmniejszono ilość Emulsji badawczej wymaganej do niektórych badań.
- Lodowa Kraina: Zmniejszono liczbę punktów zdobywanych za zabijanie potworów w strefach specjalnych.</v>
      </c>
      <c r="P49" s="108" t="str">
        <f>IFERROR(__xludf.DUMMYFUNCTION("""COMPUTED_VALUE"""),"- رحلة المقاتل: تحسين كيفية عرض القوة الموصى بها.
- العصابات: تقليل عملات الشرف من تبرعات مهارات التقنية.
- حفر الكنز: تقليل إنتاج الطعام والحديد بنسبة 20% (سيتم توفير هذه النسبة من خلال ميزة جديدة).
- متانة الميكا: تحسين منطق حساب المتانة الحالية عند تغي"&amp;"ير المتانة القصوى.
- مهارات المقاتل: تحسين حسابات القوة لبعض مهارات المقاتل؛ الآن توفر المهارات النشطة عالية المستوى المزيد من القوة.
- حروب الكوكب: تحسين قواعد التسجيل، مع منح المزيد من النقاط لاحتلال المبنى النهائي.
- تحت الأرض: الآن توجد المناجم عالية "&amp;"المستوى لفترة أطول؛ تقليل كمية الكاشف البحثي المطلوبة لبعض الأبحاث.
- أرض الأنهار الجليدية: تقليل عدد النقاط المكتسبة من قتل الوحوش في المناطق الخاصة.")</f>
        <v>- رحلة المقاتل: تحسين كيفية عرض القوة الموصى بها.
- العصابات: تقليل عملات الشرف من تبرعات مهارات التقنية.
- حفر الكنز: تقليل إنتاج الطعام والحديد بنسبة 20% (سيتم توفير هذه النسبة من خلال ميزة جديدة).
- متانة الميكا: تحسين منطق حساب المتانة الحالية عند تغيير المتانة القصوى.
- مهارات المقاتل: تحسين حسابات القوة لبعض مهارات المقاتل؛ الآن توفر المهارات النشطة عالية المستوى المزيد من القوة.
- حروب الكوكب: تحسين قواعد التسجيل، مع منح المزيد من النقاط لاحتلال المبنى النهائي.
- تحت الأرض: الآن توجد المناجم عالية المستوى لفترة أطول؛ تقليل كمية الكاشف البحثي المطلوبة لبعض الأبحاث.
- أرض الأنهار الجليدية: تقليل عدد النقاط المكتسبة من قتل الوحوش في المناطق الخاصة.</v>
      </c>
      <c r="Q49" s="108" t="str">
        <f>IFERROR(__xludf.DUMMYFUNCTION("""COMPUTED_VALUE"""),"- ファイター遠征: 推奨戦力の表示方法を改善しました。
- ギルド: 技術スキルの寄付による栄誉コインを減少させました。
- 地底の宝探し: 食料と鉄鋼の出力を20%減少させました（この部分は新機能で提供されます）。
- メカの耐久度: 最大耐久度が変わる際の現在の耐久度の計算ロジックを最適化しました。
- ファイタースキル: 特定のファイタースキルの戦力計算を改善しました。高レベルのアクティブスキルはより多くの戦力を提供します。
- プラネットウォーズ: スコアリングルールを改善し、最終建物を占領する"&amp;"ことでより多くのポイントが付与されるようにしました。
- サブテラ: 高レベルの鉱山の存在期間を延長し、一部の研究に必要な研究試薬の量を減少させました。
- 氷河の土地: 特殊交戦エリアでのモンスター討伐による獲得ポイントを減少させました。")</f>
        <v>- ファイター遠征: 推奨戦力の表示方法を改善しました。
- ギルド: 技術スキルの寄付による栄誉コインを減少させました。
- 地底の宝探し: 食料と鉄鋼の出力を20%減少させました（この部分は新機能で提供されます）。
- メカの耐久度: 最大耐久度が変わる際の現在の耐久度の計算ロジックを最適化しました。
- ファイタースキル: 特定のファイタースキルの戦力計算を改善しました。高レベルのアクティブスキルはより多くの戦力を提供します。
- プラネットウォーズ: スコアリングルールを改善し、最終建物を占領することでより多くのポイントが付与されるようにしました。
- サブテラ: 高レベルの鉱山の存在期間を延長し、一部の研究に必要な研究試薬の量を減少させました。
- 氷河の土地: 特殊交戦エリアでのモンスター討伐による獲得ポイントを減少させました。</v>
      </c>
      <c r="R49" s="108" t="str">
        <f>IFERROR(__xludf.DUMMYFUNCTION("""COMPUTED_VALUE"""),"- 전사 원정: 추천 전투력 표시 방식이 개선되었습니다.
- 무리: 기술 기부로 얻는 명예 코인이 감소했습니다.
- 지하 보물찾기: 식량과 강철 출력이 20% 감소했습니다 (이 부분은 새로운 기능으로 제공될 예정입니다).
- 메카 내구도: 최대 내구도가 변경될 때 현재 내구도를 계산하는 로직이 최적화되었습니다.
- 전사 스킬: 특정 전사 스킬의 전투력 계산이 개선되었습니다; 고레벨 활성 스킬은 이제 더 많은 전투력을 제공합니다.
- 은하 전쟁: 점수 매"&amp;"기기 규칙이 개선되었으며, 최종 건축물을 점령할 때 더 많은 포인트가 부여됩니다.
- 서브테라: 고레벨 광산이 더 오래 유지되며, 일부 연구에 필요한 연구 에멀젼의 양이 감소했습니다.
- 빙하 땅: 특수 교전 구역에서 몬스터 처치로 얻는 포인트 수가 감소했습니다.")</f>
        <v>- 전사 원정: 추천 전투력 표시 방식이 개선되었습니다.
- 무리: 기술 기부로 얻는 명예 코인이 감소했습니다.
- 지하 보물찾기: 식량과 강철 출력이 20% 감소했습니다 (이 부분은 새로운 기능으로 제공될 예정입니다).
- 메카 내구도: 최대 내구도가 변경될 때 현재 내구도를 계산하는 로직이 최적화되었습니다.
- 전사 스킬: 특정 전사 스킬의 전투력 계산이 개선되었습니다; 고레벨 활성 스킬은 이제 더 많은 전투력을 제공합니다.
- 은하 전쟁: 점수 매기기 규칙이 개선되었으며, 최종 건축물을 점령할 때 더 많은 포인트가 부여됩니다.
- 서브테라: 고레벨 광산이 더 오래 유지되며, 일부 연구에 필요한 연구 에멀젼의 양이 감소했습니다.
- 빙하 땅: 특수 교전 구역에서 몬스터 처치로 얻는 포인트 수가 감소했습니다.</v>
      </c>
      <c r="S49" s="108"/>
      <c r="T49" s="108"/>
      <c r="U49" s="108"/>
      <c r="V49" s="108"/>
      <c r="W49" s="108"/>
      <c r="X49" s="108"/>
      <c r="Y49" s="108"/>
      <c r="Z49" s="108"/>
    </row>
    <row r="50">
      <c r="A50" s="108" t="str">
        <f>IFERROR(__xludf.DUMMYFUNCTION("""COMPUTED_VALUE"""),"0.66.0")</f>
        <v>0.66.0</v>
      </c>
      <c r="B50" s="108" t="str">
        <f>IFERROR(__xludf.DUMMYFUNCTION("""COMPUTED_VALUE"""),"-火神星调整：调整了火神星积分排行榜奖励；
-氏族帮派数量上限调整：移除了帮派数量上限加1的失效BUFF，各氏族帮派数量上限将会根据BUFF实时变化；
-机甲调整：机甲耐久系统在升级时候会增加相应的战斗力；
-小游戏调整：调整了香蕉大战、堡垒对决、极限竞速、进化之猿、狙击行动中BOSS关卡各兵种开场技能的冷却时间；
-地下探宝调整：增加了通关时生产工厂的工猴奖励数量；
-生产工厂调整：修改了生产工厂订单的任务奖励、完成时间；
-机师系统调整：增加养成材料获取途径，在vip商店、军功商店、远征商店、银河商店"&amp;"等商店和玩法中均增加了机师经验和神经增强剂的投放；
-寒冰星调整：优化了寒冰星中极地熊的战力档位等级和获取的属性点，新增战力档位成就完成后可获得寒冰科技点。")</f>
        <v>-火神星调整：调整了火神星积分排行榜奖励；
-氏族帮派数量上限调整：移除了帮派数量上限加1的失效BUFF，各氏族帮派数量上限将会根据BUFF实时变化；
-机甲调整：机甲耐久系统在升级时候会增加相应的战斗力；
-小游戏调整：调整了香蕉大战、堡垒对决、极限竞速、进化之猿、狙击行动中BOSS关卡各兵种开场技能的冷却时间；
-地下探宝调整：增加了通关时生产工厂的工猴奖励数量；
-生产工厂调整：修改了生产工厂订单的任务奖励、完成时间；
-机师系统调整：增加养成材料获取途径，在vip商店、军功商店、远征商店、银河商店等商店和玩法中均增加了机师经验和神经增强剂的投放；
-寒冰星调整：优化了寒冰星中极地熊的战力档位等级和获取的属性点，新增战力档位成就完成后可获得寒冰科技点。</v>
      </c>
      <c r="C50" s="108" t="str">
        <f>IFERROR(__xludf.DUMMYFUNCTION("""COMPUTED_VALUE"""),"-Fire Star Adjustments: Updated the Fire Star ranking rewards.
-Clan Capacity Adjustments: Removed the ineffective BUFF that increased clan capacity by 1. Clan capacity will now change in real-time based on BUFFs.
-Mech Adjustments: Mech durability now bo"&amp;"osts power when upgraded.
-Mini-games Adjustments: Changed the cooldowns for starting skills of various units in Banana Fight, Fortress Takeover, Speed Racer, Ape Evolution, and Operation Sniper boss levels.
-Treasure Dig Adjustments: Increased the number"&amp;" of worker rewards in the factory upon completion.
-Factory Adjustments: Modified quest rewards and completion times for factory orders.
-Operator System Adjustments: Added new ways to acquire upgrade items. Operator EXP and neural enhancers are now avail"&amp;"able in VIP Shop, Honors Shop, Expedition Shop, and Planetary Shop, among others.
-Glacier Land Adjustments: Enhanced the power tiers level and attribute points for polar bears in Glacier Land. New achievements for power tiers now grant Glacial Tech Point"&amp;"s
")</f>
        <v>-Fire Star Adjustments: Updated the Fire Star ranking rewards.
-Clan Capacity Adjustments: Removed the ineffective BUFF that increased clan capacity by 1. Clan capacity will now change in real-time based on BUFFs.
-Mech Adjustments: Mech durability now boosts power when upgraded.
-Mini-games Adjustments: Changed the cooldowns for starting skills of various units in Banana Fight, Fortress Takeover, Speed Racer, Ape Evolution, and Operation Sniper boss levels.
-Treasure Dig Adjustments: Increased the number of worker rewards in the factory upon completion.
-Factory Adjustments: Modified quest rewards and completion times for factory orders.
-Operator System Adjustments: Added new ways to acquire upgrade items. Operator EXP and neural enhancers are now available in VIP Shop, Honors Shop, Expedition Shop, and Planetary Shop, among others.
-Glacier Land Adjustments: Enhanced the power tiers level and attribute points for polar bears in Glacier Land. New achievements for power tiers now grant Glacial Tech Points
</v>
      </c>
      <c r="D50" s="108" t="str">
        <f>IFERROR(__xludf.DUMMYFUNCTION("""COMPUTED_VALUE"""),"-Modifications de l'Étoile de Feu :Récompenses de classement de l'Étoile de Feu mises à jour.
-Modifications de la Capacité du Clan :Suppression du BOOST inefficace qui augmentait la capacité du clan de 1. La capacité du clan changera désormais en temps r"&amp;"éel en fonction des BOOSTS.
-Modifications du Mécha :La durabilité du Mécha augmente désormais la puissance lorsqu'elle est améliorée.
-Modifications des Mini-jeux :Changements des temps de recharge pour les compétences de départ de diverses unités dans B"&amp;"anana Fight, Invasion de forteresse, Coureur de Vitesse, Évolution Primate, et les niveaux de boss d'Opération Sniper.
-Modifications de la Fouille au Trésor :Augmentation du nombre de récompenses d'ouvriers dans l'usine à l'achèvement.
-Modifications de "&amp;"l'Usine :Modification des récompenses de quête et des temps d'accomplissement pour les ordres d'usine.
-Modifications du Système d'Opérateur :Ajout de nouvelles façons d'acquérir des objets d'amélioration. L'Expérience d'Opérateur et les amplificateurs ne"&amp;"uronaux sont désormais disponibles dans la Boutique VIP, la Boutique d'Honneur, la Boutique d'Expédition, et la Boutique planétaire, entre autres.
-Modifications de la Terre Glaciaire : Amélioration des niveaux de paliers de puissance et des points d'attr"&amp;"ibut pour les ours polaires dans la Terre Glaciaire. Les nouveaux exploits pour les paliers de puissance accordent désormais des Points de Technologie Glaciaire.")</f>
        <v>-Modifications de l'Étoile de Feu :Récompenses de classement de l'Étoile de Feu mises à jour.
-Modifications de la Capacité du Clan :Suppression du BOOST inefficace qui augmentait la capacité du clan de 1. La capacité du clan changera désormais en temps réel en fonction des BOOSTS.
-Modifications du Mécha :La durabilité du Mécha augmente désormais la puissance lorsqu'elle est améliorée.
-Modifications des Mini-jeux :Changements des temps de recharge pour les compétences de départ de diverses unités dans Banana Fight, Invasion de forteresse, Coureur de Vitesse, Évolution Primate, et les niveaux de boss d'Opération Sniper.
-Modifications de la Fouille au Trésor :Augmentation du nombre de récompenses d'ouvriers dans l'usine à l'achèvement.
-Modifications de l'Usine :Modification des récompenses de quête et des temps d'accomplissement pour les ordres d'usine.
-Modifications du Système d'Opérateur :Ajout de nouvelles façons d'acquérir des objets d'amélioration. L'Expérience d'Opérateur et les amplificateurs neuronaux sont désormais disponibles dans la Boutique VIP, la Boutique d'Honneur, la Boutique d'Expédition, et la Boutique planétaire, entre autres.
-Modifications de la Terre Glaciaire : Amélioration des niveaux de paliers de puissance et des points d'attribut pour les ours polaires dans la Terre Glaciaire. Les nouveaux exploits pour les paliers de puissance accordent désormais des Points de Technologie Glaciaire.</v>
      </c>
      <c r="E50" s="108" t="str">
        <f>IFERROR(__xludf.DUMMYFUNCTION("""COMPUTED_VALUE"""),"-Feuerstern-Anpassungen: Die Ranglistenbelohnungen für den Feuerstern wurden aktualisiert.
-Hordenkapazitätsanpassungen: Der ineffektive BUFF, der die Hordenkapazität um 1 erhöhte, wurde entfernt. Die Hordenkapazität wird nun in Echtzeit basierend auf BUF"&amp;"Fs geändert.
-Mech-Anpassungen: Die Mech-Haltbarkeit erhöht nun die Stärke, wenn sie aufgewertet wird.
-Mini-Spiele-Anpassungen: Die Abklingzeiten für Startfähigkeiten verschiedener Einheiten in Bananenkampf, Festungsübernahme, Rennfahrer, Affen-Evolution"&amp;" und Operation Sniper Boss-Leveln wurden geändert.
-Schatzgraben-Anpassungen: Die Anzahl der Arbeiterbelohnungen in der Fabrik bei Abschluss wurde erhöht.
-Fabrik-Anpassungen: Quest-Belohnungen und Abschlusszeiten für Fabrikbestellungen wurden geändert.
-"&amp;"Bedienersystem-Anpassungen: Neue Möglichkeiten zum Erwerb von Aufwertungsgegenständen wurden hinzugefügt. Bediener-EP und neuronale Verstärker sind jetzt im VIP-Shop, Ehrenshop, Expeditionsshop und Planetenshop, unter anderem, verfügbar.
-Gletscherland-An"&amp;"passungen: Die Stufen der Stärke und Attributpunkte für Eisbären im Gletscherland wurden verbessert. Neue Erfolge für Stufen der Stärke verleihen nun Gletscher-Technologiepunkte.")</f>
        <v>-Feuerstern-Anpassungen: Die Ranglistenbelohnungen für den Feuerstern wurden aktualisiert.
-Hordenkapazitätsanpassungen: Der ineffektive BUFF, der die Hordenkapazität um 1 erhöhte, wurde entfernt. Die Hordenkapazität wird nun in Echtzeit basierend auf BUFFs geändert.
-Mech-Anpassungen: Die Mech-Haltbarkeit erhöht nun die Stärke, wenn sie aufgewertet wird.
-Mini-Spiele-Anpassungen: Die Abklingzeiten für Startfähigkeiten verschiedener Einheiten in Bananenkampf, Festungsübernahme, Rennfahrer, Affen-Evolution und Operation Sniper Boss-Leveln wurden geändert.
-Schatzgraben-Anpassungen: Die Anzahl der Arbeiterbelohnungen in der Fabrik bei Abschluss wurde erhöht.
-Fabrik-Anpassungen: Quest-Belohnungen und Abschlusszeiten für Fabrikbestellungen wurden geändert.
-Bedienersystem-Anpassungen: Neue Möglichkeiten zum Erwerb von Aufwertungsgegenständen wurden hinzugefügt. Bediener-EP und neuronale Verstärker sind jetzt im VIP-Shop, Ehrenshop, Expeditionsshop und Planetenshop, unter anderem, verfügbar.
-Gletscherland-Anpassungen: Die Stufen der Stärke und Attributpunkte für Eisbären im Gletscherland wurden verbessert. Neue Erfolge für Stufen der Stärke verleihen nun Gletscher-Technologiepunkte.</v>
      </c>
      <c r="F50" s="108" t="str">
        <f>IFERROR(__xludf.DUMMYFUNCTION("""COMPUTED_VALUE"""),"-Ajustes da Estrela de Fogo: Atualizadas as recompensas de classificação da Estrela de Fogo.
-Ajustes da Capacidade do Clã: Removido o AUXÍLIO ineficaz que aumentava a capacidade do clã em 1. A capacidade do clã agora mudará em tempo real com base nos AUX"&amp;"ÍLIOS.
-Ajustes do Mech: A durabilidade do Mech agora aumenta o poder quando melhorada.
-Ajustes dos Mini-jogos: Alterados os tempos de reativação para iniciar habilidades de várias unidades em Luta de Banana, Conquista da Fortaleza, Corredor Veloz, Evolu"&amp;"ção do Macaco e níveis de chefes da Operação Sniper.
-Ajustes da Escavação de Tesouro: Aumentado o número de recompensas de trabalhadores na fábrica após a conclusão.
-Ajustes da Fábrica: Modificadas as recompensas de missão e os tempos de conclusão para "&amp;"pedidos da fábrica.
-Ajustes do Sistema de Operador: Adicionadas novas maneiras de adquirir itens de melhoria. EXP do Operador e aprimoradores neurais agora estão disponíveis na Loja VIP, Loja de Honras, Loja de Expedição e Loja Planetária, entre outras.
"&amp;"-Ajustes da Terra Glacial: Melhorados os níveis de poder e pontos de atributo para ursos polares na Terra Glacial. Novas conquistas para níveis de poder agora concedem Pontos de Tecnologia Glacial.")</f>
        <v>-Ajustes da Estrela de Fogo: Atualizadas as recompensas de classificação da Estrela de Fogo.
-Ajustes da Capacidade do Clã: Removido o AUXÍLIO ineficaz que aumentava a capacidade do clã em 1. A capacidade do clã agora mudará em tempo real com base nos AUXÍLIOS.
-Ajustes do Mech: A durabilidade do Mech agora aumenta o poder quando melhorada.
-Ajustes dos Mini-jogos: Alterados os tempos de reativação para iniciar habilidades de várias unidades em Luta de Banana, Conquista da Fortaleza, Corredor Veloz, Evolução do Macaco e níveis de chefes da Operação Sniper.
-Ajustes da Escavação de Tesouro: Aumentado o número de recompensas de trabalhadores na fábrica após a conclusão.
-Ajustes da Fábrica: Modificadas as recompensas de missão e os tempos de conclusão para pedidos da fábrica.
-Ajustes do Sistema de Operador: Adicionadas novas maneiras de adquirir itens de melhoria. EXP do Operador e aprimoradores neurais agora estão disponíveis na Loja VIP, Loja de Honras, Loja de Expedição e Loja Planetária, entre outras.
-Ajustes da Terra Glacial: Melhorados os níveis de poder e pontos de atributo para ursos polares na Terra Glacial. Novas conquistas para níveis de poder agora concedem Pontos de Tecnologia Glacial.</v>
      </c>
      <c r="G50" s="108" t="str">
        <f>IFERROR(__xludf.DUMMYFUNCTION("""COMPUTED_VALUE"""),"-火神星調整：調整了火神星積分排行榜獎勵；
-氏族幫派數量上限調整：移除了幫派數量上限加1的失效BUFF，各氏族幫派數量上限將會根據BUFF實時變化；
-機甲調整：機甲耐久系統在升級時候會增加相應的勢力值；
-小遊戲調整：調整了香蕉大戰、堡壘對決、極限競速、進化之猿、狙擊行動中BOSS關卡各兵種開場技能的冷卻時間；
-地下探寶調整：增加了通關時生產工廠的工猴獎勵數量；
-生產工廠調整：編輯了生產工廠訂單的任務獎勵、完成時間；
-機師系統調整：增加養成材料獲取途徑，在vip商店、軍功商店、遠征商店、銀河商店"&amp;"等商店和玩法中均增加了機師經驗和神經強化劑的投放；
-寒冰星調整：優化了寒冰星中極地熊的戰力檔位等級和獲取的屬性點，新增戰力檔位成就完成後可獲取寒冰科技點。")</f>
        <v>-火神星調整：調整了火神星積分排行榜獎勵；
-氏族幫派數量上限調整：移除了幫派數量上限加1的失效BUFF，各氏族幫派數量上限將會根據BUFF實時變化；
-機甲調整：機甲耐久系統在升級時候會增加相應的勢力值；
-小遊戲調整：調整了香蕉大戰、堡壘對決、極限競速、進化之猿、狙擊行動中BOSS關卡各兵種開場技能的冷卻時間；
-地下探寶調整：增加了通關時生產工廠的工猴獎勵數量；
-生產工廠調整：編輯了生產工廠訂單的任務獎勵、完成時間；
-機師系統調整：增加養成材料獲取途徑，在vip商店、軍功商店、遠征商店、銀河商店等商店和玩法中均增加了機師經驗和神經強化劑的投放；
-寒冰星調整：優化了寒冰星中極地熊的戰力檔位等級和獲取的屬性點，新增戰力檔位成就完成後可獲取寒冰科技點。</v>
      </c>
      <c r="H50" s="108" t="str">
        <f>IFERROR(__xludf.DUMMYFUNCTION("""COMPUTED_VALUE"""),"- Penyesuaian Bintang Api: Memperbarui hadiah peringkat Bintang Api.
- Penyesuaian Kapasitas Klan: Menghapus BUFF yang tidak efektif yang meningkatkan kapasitas klan sebesar 1. Kapasitas klan sekarang akan berubah secara real-time berdasarkan BUFF.
- Peny"&amp;"esuaian Mekanik: Ketahanan mekanik sekarang meningkatkan kekuatan saat ditingkatkan.
- Penyesuaian Mini-game: Mengubah pendinginan untuk memulai skill berbagai unit dalam Banana Fight, Penaklukan Benteng, Pembalap Kecepatan, Evolusi Kera, dan level bos Op"&amp;"erasi Penembak Jitu.
- Penyesuaian Penggalian Harta Karun: Meningkatkan jumlah hadiah pekerja di pabrik setelah penyelesaian.
- Penyesuaian Pabrik: Memodifikasi hadiah tantangan dan waktu penyelesaian untuk pesanan pabrik.
- Penyesuaian Sistem Operator: M"&amp;"enambahkan cara baru untuk mendapatkan item peningkatan. Operator EXP dan penguat neural sekarang tersedia di Toko VIP, Toko Kehormatan, Toko Ekspedisi, dan Toko Planet, antara lain.
- Penyesuaian Tanah Gletser: Meningkatkan level tingkatan kekuatan dan p"&amp;"oin atribut untuk beruang kutub di Tanah Gletser. Pencapaian baru untuk tingkatan kekuatan sekarang memberikan Poin Teknologi Glacial.")</f>
        <v>- Penyesuaian Bintang Api: Memperbarui hadiah peringkat Bintang Api.
- Penyesuaian Kapasitas Klan: Menghapus BUFF yang tidak efektif yang meningkatkan kapasitas klan sebesar 1. Kapasitas klan sekarang akan berubah secara real-time berdasarkan BUFF.
- Penyesuaian Mekanik: Ketahanan mekanik sekarang meningkatkan kekuatan saat ditingkatkan.
- Penyesuaian Mini-game: Mengubah pendinginan untuk memulai skill berbagai unit dalam Banana Fight, Penaklukan Benteng, Pembalap Kecepatan, Evolusi Kera, dan level bos Operasi Penembak Jitu.
- Penyesuaian Penggalian Harta Karun: Meningkatkan jumlah hadiah pekerja di pabrik setelah penyelesaian.
- Penyesuaian Pabrik: Memodifikasi hadiah tantangan dan waktu penyelesaian untuk pesanan pabrik.
- Penyesuaian Sistem Operator: Menambahkan cara baru untuk mendapatkan item peningkatan. Operator EXP dan penguat neural sekarang tersedia di Toko VIP, Toko Kehormatan, Toko Ekspedisi, dan Toko Planet, antara lain.
- Penyesuaian Tanah Gletser: Meningkatkan level tingkatan kekuatan dan poin atribut untuk beruang kutub di Tanah Gletser. Pencapaian baru untuk tingkatan kekuatan sekarang memberikan Poin Teknologi Glacial.</v>
      </c>
      <c r="I50" s="108" t="str">
        <f>IFERROR(__xludf.DUMMYFUNCTION("""COMPUTED_VALUE"""),"-การปรับเปลี่ยนดาวอัคคี: อัปเดตรางวัลอันดับดาวอัคคี
-การปรับเปลี่ยนความจุของเผ่า: นำบัฟที่ไม่มีประสิทธิภาพที่เพิ่มความจุของเผ่าออก ความจุของเผ่าจะเปลี่ยนแปลงตามเวลาจริงตามบัฟ
-การปรับเปลี่ยนเมค: ความทนทานของเมคจะเพิ่มพลังงานเมื่ออัปเกรด
-การปรับเปลี่ยนมิน"&amp;"ิเกม: เปลี่ยนคูลดาวน์สำหรับการเริ่มทักษะของหน่วยต่างๆ ในการต่อสู้กล้วย, การยึดป้อมปราการ, นักแข่งความเร็ว, วิวัฒนาการวานร, และระดับบอสการปฏิบัติการสไนเปอร์
-การปรับเปลี่ยนการขุดสมบัติ: เพิ่มจำนวนรางวัลคนงานในโรงงานเมื่อเสร็จสิ้น
-การปรับเปลี่ยนโรงงาน: ปรั"&amp;"บเปลี่ยนรางวัลเควสต์และเวลาเสร็จสิ้นสำหรับคำสั่งซื้อโรงงาน
-การปรับเปลี่ยนระบบผู้ปฏิบัติการ: เพิ่มวิธีใหม่ในการรับไอเทมอัปเกรด ผู้ปฏิบัติการค่าประสบการณ์และตัวเสริมประสาทพร้อมใช้งานในร้าน VIP, ร้านเกียรติยศ, ร้านสำรวจ, และร้านดาวเคราะห์ เป็นต้น
-การปรับเป"&amp;"ลี่ยนดินแดนน้ำแข็ง: ปรับปรุงระดับพลังงานและคะแนนคุณสมบัติสำหรับหมีขั้วโลกในดินแดนน้ำแข็ง ความสำเร็จใหม่สำหรับระดับพลังงานจะให้คะแนนเทคโนโลยีน้ำแข็ง")</f>
        <v>-การปรับเปลี่ยนดาวอัคคี: อัปเดตรางวัลอันดับดาวอัคคี
-การปรับเปลี่ยนความจุของเผ่า: นำบัฟที่ไม่มีประสิทธิภาพที่เพิ่มความจุของเผ่าออก ความจุของเผ่าจะเปลี่ยนแปลงตามเวลาจริงตามบัฟ
-การปรับเปลี่ยนเมค: ความทนทานของเมคจะเพิ่มพลังงานเมื่ออัปเกรด
-การปรับเปลี่ยนมินิเกม: เปลี่ยนคูลดาวน์สำหรับการเริ่มทักษะของหน่วยต่างๆ ในการต่อสู้กล้วย, การยึดป้อมปราการ, นักแข่งความเร็ว, วิวัฒนาการวานร, และระดับบอสการปฏิบัติการสไนเปอร์
-การปรับเปลี่ยนการขุดสมบัติ: เพิ่มจำนวนรางวัลคนงานในโรงงานเมื่อเสร็จสิ้น
-การปรับเปลี่ยนโรงงาน: ปรับเปลี่ยนรางวัลเควสต์และเวลาเสร็จสิ้นสำหรับคำสั่งซื้อโรงงาน
-การปรับเปลี่ยนระบบผู้ปฏิบัติการ: เพิ่มวิธีใหม่ในการรับไอเทมอัปเกรด ผู้ปฏิบัติการค่าประสบการณ์และตัวเสริมประสาทพร้อมใช้งานในร้าน VIP, ร้านเกียรติยศ, ร้านสำรวจ, และร้านดาวเคราะห์ เป็นต้น
-การปรับเปลี่ยนดินแดนน้ำแข็ง: ปรับปรุงระดับพลังงานและคะแนนคุณสมบัติสำหรับหมีขั้วโลกในดินแดนน้ำแข็ง ความสำเร็จใหม่สำหรับระดับพลังงานจะให้คะแนนเทคโนโลยีน้ำแข็ง</v>
      </c>
      <c r="J50" s="108" t="str">
        <f>IFERROR(__xludf.DUMMYFUNCTION("""COMPUTED_VALUE"""),"-Ajustes de la Estrella de Fuego: Actualizadas las recompensas de clasificación de la Estrella de Fuego.
-Ajustes de la Capacidad del Clan: Eliminado el BUFF ineficaz que aumentaba la capacidad del clan en 1. La capacidad del clan ahora cambiará en tiempo"&amp;" real según los BUFFs.
-Ajustes del Mech: La durabilidad del Mech ahora potencia el poder cuando se mejora.
-Ajustes de Mini-juegos: Cambiados los enfriamientos para iniciar habilidades de varias unidades en Lucha de Plátanos, Toma de la Fortaleza, Corred"&amp;"or Veloz, Evolución de los Simios y niveles de jefe de Operación Francotirador.
-Ajustes de Excavación de Tesoros: Aumentado el número de recompensas de trabajadores en la fábrica al completar.
-Ajustes de la Fábrica: Modificadas las recompensas de mision"&amp;"es y los tiempos de finalización para las órdenes de la fábrica.
-Ajustes del Sistema de Operadores: Añadidas nuevas formas de adquirir artículos de mejora. La Experiencia del Operador y los potenciadores neuronales ahora están disponibles en la Tienda VI"&amp;"P, Tienda de Honor, Tienda de Expedición y Tienda Planetaria, entre otras.
-Ajustes de Tierra Glaciar: Mejorados los niveles de poder y puntos de atributo para los osos polares en Tierra Glaciar. Los nuevos logros para niveles de poder ahora conceden Punt"&amp;"os de Tecnología Glacial.")</f>
        <v>-Ajustes de la Estrella de Fuego: Actualizadas las recompensas de clasificación de la Estrella de Fuego.
-Ajustes de la Capacidad del Clan: Eliminado el BUFF ineficaz que aumentaba la capacidad del clan en 1. La capacidad del clan ahora cambiará en tiempo real según los BUFFs.
-Ajustes del Mech: La durabilidad del Mech ahora potencia el poder cuando se mejora.
-Ajustes de Mini-juegos: Cambiados los enfriamientos para iniciar habilidades de varias unidades en Lucha de Plátanos, Toma de la Fortaleza, Corredor Veloz, Evolución de los Simios y niveles de jefe de Operación Francotirador.
-Ajustes de Excavación de Tesoros: Aumentado el número de recompensas de trabajadores en la fábrica al completar.
-Ajustes de la Fábrica: Modificadas las recompensas de misiones y los tiempos de finalización para las órdenes de la fábrica.
-Ajustes del Sistema de Operadores: Añadidas nuevas formas de adquirir artículos de mejora. La Experiencia del Operador y los potenciadores neuronales ahora están disponibles en la Tienda VIP, Tienda de Honor, Tienda de Expedición y Tienda Planetaria, entre otras.
-Ajustes de Tierra Glaciar: Mejorados los niveles de poder y puntos de atributo para los osos polares en Tierra Glaciar. Los nuevos logros para niveles de poder ahora conceden Puntos de Tecnología Glacial.</v>
      </c>
      <c r="K50" s="108" t="str">
        <f>IFERROR(__xludf.DUMMYFUNCTION("""COMPUTED_VALUE"""),"-Изменения Огненной Звезды: Обновлены награды за рейтинг Огненной Звезды.
-Изменения Вместимости Клана: Удален неэффективный БУФФ, увеличивающий вместимость клана на 1. Вместимость клана теперь будет изменяться в реальном времени на основе БУФФов.
-Измене"&amp;"ния Меха: Прочность Меха теперь увеличивает силу при улучшении.
-Изменения Мини-игр: Изменены времена восстановления для начальных навыков различных отрядов в Битве Бананов, Захвате Крепости, Стремительном Гонщике, Эволюции Обезьян и уровнях боссов Операц"&amp;"ии Снайпер.
-Изменения Копания Сокровищ: Увеличено количество наград для рабочих на фабрике после завершения.
-Изменения Фабрики: Изменены награды за задания и время завершения заказов на фабрике.
-Изменения Системы Оператора: Добавлены новые способы полу"&amp;"чения предметов для улучшения. Оператор ОП и нейроусилители теперь доступны в Магазине VIP, Магазине Чести, Магазине Экспедиции и Магазине Планеты, среди прочих.
-Изменения Ледниковой Земли: Усилены уровни силы и очки атрибутов для белых медведей в Ледник"&amp;"овой Земле. Новые достижения за уровни силы теперь дают Очки Ледниковых Технологий.")</f>
        <v>-Изменения Огненной Звезды: Обновлены награды за рейтинг Огненной Звезды.
-Изменения Вместимости Клана: Удален неэффективный БУФФ, увеличивающий вместимость клана на 1. Вместимость клана теперь будет изменяться в реальном времени на основе БУФФов.
-Изменения Меха: Прочность Меха теперь увеличивает силу при улучшении.
-Изменения Мини-игр: Изменены времена восстановления для начальных навыков различных отрядов в Битве Бананов, Захвате Крепости, Стремительном Гонщике, Эволюции Обезьян и уровнях боссов Операции Снайпер.
-Изменения Копания Сокровищ: Увеличено количество наград для рабочих на фабрике после завершения.
-Изменения Фабрики: Изменены награды за задания и время завершения заказов на фабрике.
-Изменения Системы Оператора: Добавлены новые способы получения предметов для улучшения. Оператор ОП и нейроусилители теперь доступны в Магазине VIP, Магазине Чести, Магазине Экспедиции и Магазине Планеты, среди прочих.
-Изменения Ледниковой Земли: Усилены уровни силы и очки атрибутов для белых медведей в Ледниковой Земле. Новые достижения за уровни силы теперь дают Очки Ледниковых Технологий.</v>
      </c>
      <c r="L50" s="108" t="str">
        <f>IFERROR(__xludf.DUMMYFUNCTION("""COMPUTED_VALUE"""),"-Fire Star Ayarlamaları: Ateş Yıldızı sıralama ödülleri güncellendi.
-Klan Kapasitesi Ayarlamaları: Klan kapasitesini 1 artıran etkisiz GÜÇLENDİRİCİ kaldırıldı. Klan kapasitesi artık GÜÇLENDİRİCİLERE göre gerçek zamanlı olarak değişecek.
-Meka Ayarlamalar"&amp;"ı: Meka dayanıklılığı yükseltildiğinde gücü artırır.
-Mini Oyunlar Ayarlamaları: Banana Fight, Kaleyi Ele Geçirme, Hız Yarışçısı, Maymun Evrimi ve Operasyon Keskin Nişancı patron seviyelerinde çeşitli birimlerin başlangıç becerileri için bekleme süreleri "&amp;"değiştirildi.
-Hazine Kazısı Ayarlamaları: Fabrikada tamamlandığında işçi ödüllerinin sayısı artırıldı.
-Fabrika Ayarlamaları: Fabrika emirleri için macera ödülleri ve tamamlama süreleri değiştirildi.
-Operatör Sistemi Ayarlamaları: Yükseltme eşyaları edi"&amp;"nmenin yeni yolları eklendi. Operatör DEN ve sinir geliştiriciler artık VIP Mağaza, Onur Mağazası, Sefer Mağazası ve Gezegen Mağazası gibi yerlerde kullanılabilir.
-Buzul Toprağı Ayarlamaları: Buzul Toprağı'ndaki kutup ayıları için güç kademeleri seviyesi"&amp;" ve nitelik puanları geliştirildi. Güç kademeleri için yeni başarılar artık Buzul Teknolojisi Puanları verir.")</f>
        <v>-Fire Star Ayarlamaları: Ateş Yıldızı sıralama ödülleri güncellendi.
-Klan Kapasitesi Ayarlamaları: Klan kapasitesini 1 artıran etkisiz GÜÇLENDİRİCİ kaldırıldı. Klan kapasitesi artık GÜÇLENDİRİCİLERE göre gerçek zamanlı olarak değişecek.
-Meka Ayarlamaları: Meka dayanıklılığı yükseltildiğinde gücü artırır.
-Mini Oyunlar Ayarlamaları: Banana Fight, Kaleyi Ele Geçirme, Hız Yarışçısı, Maymun Evrimi ve Operasyon Keskin Nişancı patron seviyelerinde çeşitli birimlerin başlangıç becerileri için bekleme süreleri değiştirildi.
-Hazine Kazısı Ayarlamaları: Fabrikada tamamlandığında işçi ödüllerinin sayısı artırıldı.
-Fabrika Ayarlamaları: Fabrika emirleri için macera ödülleri ve tamamlama süreleri değiştirildi.
-Operatör Sistemi Ayarlamaları: Yükseltme eşyaları edinmenin yeni yolları eklendi. Operatör DEN ve sinir geliştiriciler artık VIP Mağaza, Onur Mağazası, Sefer Mağazası ve Gezegen Mağazası gibi yerlerde kullanılabilir.
-Buzul Toprağı Ayarlamaları: Buzul Toprağı'ndaki kutup ayıları için güç kademeleri seviyesi ve nitelik puanları geliştirildi. Güç kademeleri için yeni başarılar artık Buzul Teknolojisi Puanları verir.</v>
      </c>
      <c r="M50" s="108" t="str">
        <f>IFERROR(__xludf.DUMMYFUNCTION("""COMPUTED_VALUE"""),"-Điều Chỉnh Sao Hỏa: Cập nhật phần thưởng xếp hạng Sao Hỏa.
-Điều Chỉnh Sức Chứa Bộ Lạc: Loại bỏ BUFF không hiệu quả tăng sức chứa bộ lạc thêm 1. Sức chứa bộ lạc sẽ thay đổi theo thời gian thực dựa trên các BUFF.
-Điều Chỉnh Cơ Khí: Độ bền Cơ khí giờ sẽ t"&amp;"ăng chiến lực khi nâng cấp.
-Điều Chỉnh Mini-games: Thay đổi thời gian hồi chiêu cho các kỹ năng khởi đầu của các đơn vị khác nhau trong Banana Fight, Tiếp Quản Pháo Đài, Tay Đua Tốc Độ, Tiến Hóa Vượn, và các cấp độ boss của Chiến Dịch Xạ Thủ.
-Điều Chỉnh"&amp;" Đào Kho Báu: Tăng số lượng phần thưởng công nhân trong nhà máy khi hoàn thành.
-Điều Chỉnh Nhà Máy: Sửa đổi phần thưởng nhiệm vụ và thời gian hoàn thành cho các đơn hàng nhà máy.
-Điều Chỉnh Hệ Thống Điều Hành: Thêm các cách mới để thu thập vật phẩm nâng"&amp;" cấp. Điều Hành EXP và các bộ nâng cao thần kinh hiện có sẵn trong CỬA HÀNG VIP, Cửa Hàng Vinh Dự, Cửa Hàng Thám Hiểm, và Cửa Hàng Hành Tinh, cùng những nơi khác.
-Điều Chỉnh Vùng Đất Băng Hà: Nâng cao cấp độ bậc chiến lực và điểm thuộc tính cho gấu bắc c"&amp;"ực trong Vùng Đất Băng Hà. Các thành tích mới cho bậc chiến lực giờ sẽ cấp Điểm Công Nghệ Băng Hà.")</f>
        <v>-Điều Chỉnh Sao Hỏa: Cập nhật phần thưởng xếp hạng Sao Hỏa.
-Điều Chỉnh Sức Chứa Bộ Lạc: Loại bỏ BUFF không hiệu quả tăng sức chứa bộ lạc thêm 1. Sức chứa bộ lạc sẽ thay đổi theo thời gian thực dựa trên các BUFF.
-Điều Chỉnh Cơ Khí: Độ bền Cơ khí giờ sẽ tăng chiến lực khi nâng cấp.
-Điều Chỉnh Mini-games: Thay đổi thời gian hồi chiêu cho các kỹ năng khởi đầu của các đơn vị khác nhau trong Banana Fight, Tiếp Quản Pháo Đài, Tay Đua Tốc Độ, Tiến Hóa Vượn, và các cấp độ boss của Chiến Dịch Xạ Thủ.
-Điều Chỉnh Đào Kho Báu: Tăng số lượng phần thưởng công nhân trong nhà máy khi hoàn thành.
-Điều Chỉnh Nhà Máy: Sửa đổi phần thưởng nhiệm vụ và thời gian hoàn thành cho các đơn hàng nhà máy.
-Điều Chỉnh Hệ Thống Điều Hành: Thêm các cách mới để thu thập vật phẩm nâng cấp. Điều Hành EXP và các bộ nâng cao thần kinh hiện có sẵn trong CỬA HÀNG VIP, Cửa Hàng Vinh Dự, Cửa Hàng Thám Hiểm, và Cửa Hàng Hành Tinh, cùng những nơi khác.
-Điều Chỉnh Vùng Đất Băng Hà: Nâng cao cấp độ bậc chiến lực và điểm thuộc tính cho gấu bắc cực trong Vùng Đất Băng Hà. Các thành tích mới cho bậc chiến lực giờ sẽ cấp Điểm Công Nghệ Băng Hà.</v>
      </c>
      <c r="N50" s="108" t="str">
        <f>IFERROR(__xludf.DUMMYFUNCTION("""COMPUTED_VALUE"""),"-Modifiche Stella di Fuoco: Aggiornate le ricompense di classifica della Stella di Fuoco.
-Modifiche Capacità del Clan: Rimosso il BUFF inefficace che aumentava la capacità del clan di 1. La capacità del clan ora cambierà in tempo reale in base ai BUFF.
-"&amp;"Modifiche Mech: La durabilità del Mech ora aumenta la potenza quando viene potenziata.
-Modifiche Mini-giochi: Cambiati i tempi di ricarica per l'avvio delle abilità di varie unità in Banana Fight, Conquista di Fortezze, Pilota Veloce, Evoluzione Scimmies"&amp;"ca e nei livelli boss di Operazione Cecchino.
-Modifiche Scavo del Tesoro: Aumentato il numero di ricompense per i lavoratori nella fabbrica al completamento.
-Modifiche Fabbrica: Modificate le ricompense delle missioni e i tempi di completamento per gli "&amp;"ordini della fabbrica.
-Modifiche Sistema Operatore: Aggiunti nuovi modi per acquisire oggetti di potenziamento. ESP operatore e potenziatori neurali sono ora disponibili nel Negozio VIP, Negozio Onore, Negozio Spedizione e Negozio Planetario, tra gli alt"&amp;"ri.
-Modifiche Terra Glaciale: Potenziati i livelli delle classi di potenza e i punti attributo per gli orsi polari in Terra Glaciale. Nuovi raggiungimenti per le classi di potenza ora concedono Punti Tecnologia Glaciale.")</f>
        <v>-Modifiche Stella di Fuoco: Aggiornate le ricompense di classifica della Stella di Fuoco.
-Modifiche Capacità del Clan: Rimosso il BUFF inefficace che aumentava la capacità del clan di 1. La capacità del clan ora cambierà in tempo reale in base ai BUFF.
-Modifiche Mech: La durabilità del Mech ora aumenta la potenza quando viene potenziata.
-Modifiche Mini-giochi: Cambiati i tempi di ricarica per l'avvio delle abilità di varie unità in Banana Fight, Conquista di Fortezze, Pilota Veloce, Evoluzione Scimmiesca e nei livelli boss di Operazione Cecchino.
-Modifiche Scavo del Tesoro: Aumentato il numero di ricompense per i lavoratori nella fabbrica al completamento.
-Modifiche Fabbrica: Modificate le ricompense delle missioni e i tempi di completamento per gli ordini della fabbrica.
-Modifiche Sistema Operatore: Aggiunti nuovi modi per acquisire oggetti di potenziamento. ESP operatore e potenziatori neurali sono ora disponibili nel Negozio VIP, Negozio Onore, Negozio Spedizione e Negozio Planetario, tra gli altri.
-Modifiche Terra Glaciale: Potenziati i livelli delle classi di potenza e i punti attributo per gli orsi polari in Terra Glaciale. Nuovi raggiungimenti per le classi di potenza ora concedono Punti Tecnologia Glaciale.</v>
      </c>
      <c r="O50" s="108" t="str">
        <f>IFERROR(__xludf.DUMMYFUNCTION("""COMPUTED_VALUE"""),"-Ognista gwiazda Dostosowania: Zaktualizowano nagrody za ranking Ognistej gwiazdy.
-Pojemność Klanu Dostosowania: Usunięto nieskuteczne WZMOCNIENIE, które zwiększało pojemność klanu o 1. Pojemność klanu będzie teraz zmieniać się w czasie rzeczywistym w op"&amp;"arciu o WZMOCNIENIA.
-Mech Dostosowania: Wytrzymałość Mecha teraz zwiększa siłę po modernizacji.
-Mini-gry Dostosowania: Zmieniono czasy ładowania dla początkowych umiejętności różnych jednostek w Banana Fight, Przejęcie Fortecy, Wyścigowiec Prędkości, Ew"&amp;"olucja Małp i poziomy bossów w Operacja Snajper.
-Wykopaliska Skarbów Dostosowania: Zwiększono liczbę nagród dla pracowników w fabryce po zakończeniu.
-Fabryka Dostosowania: Zmodyfikowano nagrody za zadania i czasy wykonania dla zamówień fabrycznych.
-Sys"&amp;"tem Operatora Dostosowania: Dodano nowe sposoby zdobywania przedmiotów do modernizacji. PD Operatora i wzmacniacze neuralne są teraz dostępne w Sklep VIP-a, Sklep Honorów, Sklep Ekspedycji i Sklep planetarny, między innymi.
-Lodowa Kraina Dostosowania: Ul"&amp;"epszono poziomy siły i punkty atrybutów dla niedźwiedzi polarnych w Lodowej Krainie. Nowe osiągnięcia dla poziomów siły teraz przyznają Punkty Technologii Lodowcowej.")</f>
        <v>-Ognista gwiazda Dostosowania: Zaktualizowano nagrody za ranking Ognistej gwiazdy.
-Pojemność Klanu Dostosowania: Usunięto nieskuteczne WZMOCNIENIE, które zwiększało pojemność klanu o 1. Pojemność klanu będzie teraz zmieniać się w czasie rzeczywistym w oparciu o WZMOCNIENIA.
-Mech Dostosowania: Wytrzymałość Mecha teraz zwiększa siłę po modernizacji.
-Mini-gry Dostosowania: Zmieniono czasy ładowania dla początkowych umiejętności różnych jednostek w Banana Fight, Przejęcie Fortecy, Wyścigowiec Prędkości, Ewolucja Małp i poziomy bossów w Operacja Snajper.
-Wykopaliska Skarbów Dostosowania: Zwiększono liczbę nagród dla pracowników w fabryce po zakończeniu.
-Fabryka Dostosowania: Zmodyfikowano nagrody za zadania i czasy wykonania dla zamówień fabrycznych.
-System Operatora Dostosowania: Dodano nowe sposoby zdobywania przedmiotów do modernizacji. PD Operatora i wzmacniacze neuralne są teraz dostępne w Sklep VIP-a, Sklep Honorów, Sklep Ekspedycji i Sklep planetarny, między innymi.
-Lodowa Kraina Dostosowania: Ulepszono poziomy siły i punkty atrybutów dla niedźwiedzi polarnych w Lodowej Krainie. Nowe osiągnięcia dla poziomów siły teraz przyznają Punkty Technologii Lodowcowej.</v>
      </c>
      <c r="P50" s="108" t="str">
        <f>IFERROR(__xludf.DUMMYFUNCTION("""COMPUTED_VALUE"""),"-تعديلات نجمة النار: تم تحديث جوائز تصنيف نجمة النار.
-تعديلات سعة العشيرة: تمت إزالة التعزيز غير الفعال الذي زاد سعة العشيرة بمقدار 1. ستتغير سعة العشيرة الآن في الوقت الفعلي بناءً على التعزيزات.
-تعديلات الميكا: الآن تعزز متانة الميكا القوة عند الترقية."&amp;"
-تعديلات الألعاب المصغرة: تم تغيير أوقات الهدوء لبدء المهارات للوحدات المختلفة في قتال الموز، الاستيلاء على الحصن، متسابق السرعة، تطور القرد، ومستويات زعماء عملية القناص.
-تعديلات حفر الكنز: تم زيادة عدد جوائز العمال في المصنع عند الانتهاء.
-تعديلات المص"&amp;"نع: تم تعديل جوائز المهمة وأوقات الانتهاء لأوامر المصنع.
-تعديلات نظام المشغل: تمت إضافة طرق جديدة للحصول على عناصر الترقية. الآن تتوفر خبرة المشغل والمعززات العصبية في متجر VIP، متجر الشرف، متجر البعثات، ومتجر الكواكب، من بين آخرين.
-تعديلات أرض الأنهار "&amp;"الجليدية: تم تعزيز مستوى مستويات القوة ونقاط السمات للدببة القطبية في أرض الأنهار الجليدية. الآن تمنح الإنجازات الجديدة لمستويات القوة نقاط تقنية الجليدية.")</f>
        <v>-تعديلات نجمة النار: تم تحديث جوائز تصنيف نجمة النار.
-تعديلات سعة العشيرة: تمت إزالة التعزيز غير الفعال الذي زاد سعة العشيرة بمقدار 1. ستتغير سعة العشيرة الآن في الوقت الفعلي بناءً على التعزيزات.
-تعديلات الميكا: الآن تعزز متانة الميكا القوة عند الترقية.
-تعديلات الألعاب المصغرة: تم تغيير أوقات الهدوء لبدء المهارات للوحدات المختلفة في قتال الموز، الاستيلاء على الحصن، متسابق السرعة، تطور القرد، ومستويات زعماء عملية القناص.
-تعديلات حفر الكنز: تم زيادة عدد جوائز العمال في المصنع عند الانتهاء.
-تعديلات المصنع: تم تعديل جوائز المهمة وأوقات الانتهاء لأوامر المصنع.
-تعديلات نظام المشغل: تمت إضافة طرق جديدة للحصول على عناصر الترقية. الآن تتوفر خبرة المشغل والمعززات العصبية في متجر VIP، متجر الشرف، متجر البعثات، ومتجر الكواكب، من بين آخرين.
-تعديلات أرض الأنهار الجليدية: تم تعزيز مستوى مستويات القوة ونقاط السمات للدببة القطبية في أرض الأنهار الجليدية. الآن تمنح الإنجازات الجديدة لمستويات القوة نقاط تقنية الجليدية.</v>
      </c>
      <c r="Q50" s="108" t="str">
        <f>IFERROR(__xludf.DUMMYFUNCTION("""COMPUTED_VALUE"""),"-マーズ星の調整: マーズ星のランキング報酬を更新しました。
-クラン容量の調整: クラン容量を1増加させる効果のないバフを削除しました。クラン容量はバフに基づいてリアルタイムで変化します。
-メカの調整: メカの耐久度がアップグレード時に戦力を強化するようになりました。
-ミニゲームの調整: バナナウォーズ、要塞バトル、スピードレーサー、エイプ進化、オペレーション・スナイパーのボスレベルにおける各ユニットのスキル開始のクールダウンを変更しました。
-地底の宝探しの調整: 工場での完了時に労働者の報酬数を"&amp;"増加させました。
-工場の調整: 工場注文のクエスト報酬と完了時間を変更しました。
-オペレーターシステムの調整: 新しいアップグレードアイテムの取得方法を追加しました。オペレーター経験値と神経エンハンサーは、VIPショップ、栄誉ショップ、遠征ショップ、銀河ショップなどで利用可能です。
-氷河の土地の調整: 氷河の土地における北極熊の戦力ティアレベルと属性ポイントを強化しました。戦力ティアの新しい達成度が氷河テックポイントを付与します。")</f>
        <v>-マーズ星の調整: マーズ星のランキング報酬を更新しました。
-クラン容量の調整: クラン容量を1増加させる効果のないバフを削除しました。クラン容量はバフに基づいてリアルタイムで変化します。
-メカの調整: メカの耐久度がアップグレード時に戦力を強化するようになりました。
-ミニゲームの調整: バナナウォーズ、要塞バトル、スピードレーサー、エイプ進化、オペレーション・スナイパーのボスレベルにおける各ユニットのスキル開始のクールダウンを変更しました。
-地底の宝探しの調整: 工場での完了時に労働者の報酬数を増加させました。
-工場の調整: 工場注文のクエスト報酬と完了時間を変更しました。
-オペレーターシステムの調整: 新しいアップグレードアイテムの取得方法を追加しました。オペレーター経験値と神経エンハンサーは、VIPショップ、栄誉ショップ、遠征ショップ、銀河ショップなどで利用可能です。
-氷河の土地の調整: 氷河の土地における北極熊の戦力ティアレベルと属性ポイントを強化しました。戦力ティアの新しい達成度が氷河テックポイントを付与します。</v>
      </c>
      <c r="R50" s="108" t="str">
        <f>IFERROR(__xludf.DUMMYFUNCTION("""COMPUTED_VALUE"""),"-불칸 조정: 불칸 랭킹 보상이 업데이트되었습니다.
-클랜 용량 조정: 클랜 용량을 1 증가시키는 비효율적인 버프가 제거되었습니다. 클랜 용량은 이제 버프에 따라 실시간으로 변경됩니다.
-메카 조정: 메카 내구도가 업그레이드될 때 전투력을 증가시킵니다.
-미니게임 조정: 바나나 대전, 요새 대결, 속도 레이서, 원숭이 진화, 작전 저격 보스 레벨에서 다양한 유닛의 시작 스킬 재사용 대기시간이 변경되었습니다.
-지하 보물찾기 조정: 공장에서 완료 시 작업"&amp;"자 보상의 수가 증가했습니다.
-공장 조정: 공장 주문의 임무 보상과 완료 시간이 수정되었습니다.
-운영자 시스템 조정: 업그레이드 아이템을 획득할 수 있는 새로운 방법이 추가되었습니다. 운영자 경험치와 신경 강화기는 VIP 상점, 명예 상점, 원정 상점, 은하 상점 등에서 이제 사용 가능합니다.
-빙하 땅 조정: 빙하 땅에서 북극곰의 전투력 등급과 속성 포인트가 강화되었습니다. 전투력 등급에 대한 새로운 성과는 이제 빙하 기술 포인트를 부여합니다.")</f>
        <v>-불칸 조정: 불칸 랭킹 보상이 업데이트되었습니다.
-클랜 용량 조정: 클랜 용량을 1 증가시키는 비효율적인 버프가 제거되었습니다. 클랜 용량은 이제 버프에 따라 실시간으로 변경됩니다.
-메카 조정: 메카 내구도가 업그레이드될 때 전투력을 증가시킵니다.
-미니게임 조정: 바나나 대전, 요새 대결, 속도 레이서, 원숭이 진화, 작전 저격 보스 레벨에서 다양한 유닛의 시작 스킬 재사용 대기시간이 변경되었습니다.
-지하 보물찾기 조정: 공장에서 완료 시 작업자 보상의 수가 증가했습니다.
-공장 조정: 공장 주문의 임무 보상과 완료 시간이 수정되었습니다.
-운영자 시스템 조정: 업그레이드 아이템을 획득할 수 있는 새로운 방법이 추가되었습니다. 운영자 경험치와 신경 강화기는 VIP 상점, 명예 상점, 원정 상점, 은하 상점 등에서 이제 사용 가능합니다.
-빙하 땅 조정: 빙하 땅에서 북극곰의 전투력 등급과 속성 포인트가 강화되었습니다. 전투력 등급에 대한 새로운 성과는 이제 빙하 기술 포인트를 부여합니다.</v>
      </c>
      <c r="S50" s="108"/>
      <c r="T50" s="108"/>
      <c r="U50" s="108"/>
      <c r="V50" s="108"/>
      <c r="W50" s="108"/>
      <c r="X50" s="108"/>
      <c r="Y50" s="108"/>
      <c r="Z50" s="108"/>
    </row>
    <row r="51">
      <c r="A51" s="108" t="str">
        <f>IFERROR(__xludf.DUMMYFUNCTION("""COMPUTED_VALUE"""),"0.69.0")</f>
        <v>0.69.0</v>
      </c>
      <c r="B51" s="108" t="str">
        <f>IFERROR(__xludf.DUMMYFUNCTION("""COMPUTED_VALUE"""),"-休眠舱：任务数值和任务类型调整；
-机师远征：推荐战力优化；
-教官入驻：调整了斗士驻扎攻城车厂的战力需求；
-生产工厂：调整了地下探宝通关时，奖励的工猴数量与食物钢铁产出BUFF。调整了生产工厂玩法中订单的奖励。减少的奖励将由生产工厂的新玩法提供；
-银河战争：调整了火神星，珊瑚星、寒冰星部分基因科技消耗的资源以及消耗时间。")</f>
        <v>-休眠舱：任务数值和任务类型调整；
-机师远征：推荐战力优化；
-教官入驻：调整了斗士驻扎攻城车厂的战力需求；
-生产工厂：调整了地下探宝通关时，奖励的工猴数量与食物钢铁产出BUFF。调整了生产工厂玩法中订单的奖励。减少的奖励将由生产工厂的新玩法提供；
-银河战争：调整了火神星，珊瑚星、寒冰星部分基因科技消耗的资源以及消耗时间。</v>
      </c>
      <c r="C51" s="108" t="str">
        <f>IFERROR(__xludf.DUMMYFUNCTION("""COMPUTED_VALUE"""),"-Stasis Pod: Quest values and types have been adjusted.
-Operator Expedition: Recommended power optimized.
-Instructor Deployment: Adjusted the power requirements for Fighters stationed at the Wall Breakers' Camp.
-Factory: Modified the number of Workers "&amp;"rewarded and the food and steel production buffs when clearing Treasure Dig. Adjusted the rewards for orders in the Factory. Reduced rewards will be compensated by new gameplay in the Factory.
-Planet Wars: Adjusted resource consumption and time requireme"&amp;"nts for certain Gene Researches on Fire Star, Coral Star, and Glacier Land.")</f>
        <v>-Stasis Pod: Quest values and types have been adjusted.
-Operator Expedition: Recommended power optimized.
-Instructor Deployment: Adjusted the power requirements for Fighters stationed at the Wall Breakers' Camp.
-Factory: Modified the number of Workers rewarded and the food and steel production buffs when clearing Treasure Dig. Adjusted the rewards for orders in the Factory. Reduced rewards will be compensated by new gameplay in the Factory.
-Planet Wars: Adjusted resource consumption and time requirements for certain Gene Researches on Fire Star, Coral Star, and Glacier Land.</v>
      </c>
      <c r="D51" s="108" t="str">
        <f>IFERROR(__xludf.DUMMYFUNCTION("""COMPUTED_VALUE"""),"-Capsule de Stase : Les valeurs et types de quête ont été ajustés.
-Expédition d'Opérateur : Puissance recommandée optimisée.
-Déploiement de l'Instructeur : Ajustement des conditions de puissance pour les Combattants garnis au Camp des Casse Murailles.
-"&amp;"Usine : Modification du nombre d'Ouvriers récompensés et des boosts de production de nourriture et d'acier lors du nettoyage du Trésor. Ajustement des récompenses pour les ordres dans l'Usine. Les récompenses réduites seront compensées par un nouveau game"&amp;"play dans l'Usine.
-Guerre planétaire : Ajustement de la consommation de ressources et des conditions de temps pour certaines Recherches génétiques sur l'Étoile de feu, l'Étoile de Corail et la Terre Glaciaire.")</f>
        <v>-Capsule de Stase : Les valeurs et types de quête ont été ajustés.
-Expédition d'Opérateur : Puissance recommandée optimisée.
-Déploiement de l'Instructeur : Ajustement des conditions de puissance pour les Combattants garnis au Camp des Casse Murailles.
-Usine : Modification du nombre d'Ouvriers récompensés et des boosts de production de nourriture et d'acier lors du nettoyage du Trésor. Ajustement des récompenses pour les ordres dans l'Usine. Les récompenses réduites seront compensées par un nouveau gameplay dans l'Usine.
-Guerre planétaire : Ajustement de la consommation de ressources et des conditions de temps pour certaines Recherches génétiques sur l'Étoile de feu, l'Étoile de Corail et la Terre Glaciaire.</v>
      </c>
      <c r="E51" s="108" t="str">
        <f>IFERROR(__xludf.DUMMYFUNCTION("""COMPUTED_VALUE"""),"-Stasiskapsel: Quest-Werte und -Typen wurden angepasst.
-Bediener-Expedition: Empfohlene Stärke optimiert.
-Ausbilder-Einsatz: Die Stärkeanforderungen für Kämpfer, die im Mauerbrecherlager stationiert sind, wurden angepasst.
-Fabrik: Die Anzahl der belohn"&amp;"ten Arbeiter sowie die Buffs für Nahrung- und Stahlproduktion beim Löschen von Schatzsuche wurden modifiziert. Die Belohnungen für Bestellungen in der Fabrik wurden angepasst. Reduzierte Belohnungen werden durch neues Gameplay in der Fabrik kompensiert.
-"&amp;"Planetenkriege: Der Ressourcenverbrauch und die Zeitanforderungen für bestimmte Gen-Forschungen auf Feuerstern, Korallenstern und Gletscherland wurden angepasst.")</f>
        <v>-Stasiskapsel: Quest-Werte und -Typen wurden angepasst.
-Bediener-Expedition: Empfohlene Stärke optimiert.
-Ausbilder-Einsatz: Die Stärkeanforderungen für Kämpfer, die im Mauerbrecherlager stationiert sind, wurden angepasst.
-Fabrik: Die Anzahl der belohnten Arbeiter sowie die Buffs für Nahrung- und Stahlproduktion beim Löschen von Schatzsuche wurden modifiziert. Die Belohnungen für Bestellungen in der Fabrik wurden angepasst. Reduzierte Belohnungen werden durch neues Gameplay in der Fabrik kompensiert.
-Planetenkriege: Der Ressourcenverbrauch und die Zeitanforderungen für bestimmte Gen-Forschungen auf Feuerstern, Korallenstern und Gletscherland wurden angepasst.</v>
      </c>
      <c r="F51" s="108" t="str">
        <f>IFERROR(__xludf.DUMMYFUNCTION("""COMPUTED_VALUE"""),"-Stasis Pod: Os valores e tipos de missões foram ajustados.
-Expedição de Operador: Poder recomendado otimizado.
-Destacamento de Instrutor: Ajustados os requisitos de poder para Combatentes situados no Acampamento dos Quebra-Muros.
-Fábrica: Modificado o"&amp;" número de Trabalhadores recompensados e os auxílios de produção de comida e aço ao limpar a Escavação de Tesouro. Ajustadas as recompensas para pedidos na Fábrica. Recompensas reduzidas serão compensadas por nova mecânica do jogo na Fábrica.
-Guerra Inte"&amp;"rplanetária: Ajustado o consumo de recursos e os requisitos de tempo para certas Pesquisas de Genes na Estrela de Fogo, Estrela Coral e Terra Glacial.")</f>
        <v>-Stasis Pod: Os valores e tipos de missões foram ajustados.
-Expedição de Operador: Poder recomendado otimizado.
-Destacamento de Instrutor: Ajustados os requisitos de poder para Combatentes situados no Acampamento dos Quebra-Muros.
-Fábrica: Modificado o número de Trabalhadores recompensados e os auxílios de produção de comida e aço ao limpar a Escavação de Tesouro. Ajustadas as recompensas para pedidos na Fábrica. Recompensas reduzidas serão compensadas por nova mecânica do jogo na Fábrica.
-Guerra Interplanetária: Ajustado o consumo de recursos e os requisitos de tempo para certas Pesquisas de Genes na Estrela de Fogo, Estrela Coral e Terra Glacial.</v>
      </c>
      <c r="G51" s="108" t="str">
        <f>IFERROR(__xludf.DUMMYFUNCTION("""COMPUTED_VALUE"""),"-休眠艙：任務數值和任務類型調整；
-機師遠征：推薦戰力優化；
-教官入駐：調整了鬥士駐紮攻城車廠的戰力需求；
-生產工廠：調整了地下探寶通關時，獎勵的工猴數量與食物鋼鐵產出BUFF。調整了生產工廠玩法中訂單的獎勵。減少的獎勵將由生產工廠的新玩法提供；
-銀河戰爭：調整了火神星，珊瑚星、寒冰星部分基因科技消耗的資源以及消耗時間。")</f>
        <v>-休眠艙：任務數值和任務類型調整；
-機師遠征：推薦戰力優化；
-教官入駐：調整了鬥士駐紮攻城車廠的戰力需求；
-生產工廠：調整了地下探寶通關時，獎勵的工猴數量與食物鋼鐵產出BUFF。調整了生產工廠玩法中訂單的獎勵。減少的獎勵將由生產工廠的新玩法提供；
-銀河戰爭：調整了火神星，珊瑚星、寒冰星部分基因科技消耗的資源以及消耗時間。</v>
      </c>
      <c r="H51" s="108" t="str">
        <f>IFERROR(__xludf.DUMMYFUNCTION("""COMPUTED_VALUE"""),"-Stasis Pod: Nilai dan jenis quest telah disesuaikan.
-Ekspedisi Operator: Rekomendasi kekuatan dioptimalkan.
-Penyebaran Instruktur: Menyesuaikan persyaratan kekuatan untuk Pejuang yang ditempatkan di Kamp Pembobol Tembok.
-Pabrik: Memodifikasi jumlah Pe"&amp;"kerja yang diberikan sebagai hadiah dan keunggulan produksi makanan dan baja saat membersihkan Penggalian Harta Karun. Menyesuaikan hadiah untuk pesanan di Pabrik. Hadiah yang dikurangi akan dikompensasi dengan gameplay baru di Pabrik.
-Perang Planet: Men"&amp;"yesuaikan pemakaian sumber daya dan persyaratan waktu untuk beberapa Penelitian Gen di Bintang Api, Bintang Karang, dan Tanah Gletser.")</f>
        <v>-Stasis Pod: Nilai dan jenis quest telah disesuaikan.
-Ekspedisi Operator: Rekomendasi kekuatan dioptimalkan.
-Penyebaran Instruktur: Menyesuaikan persyaratan kekuatan untuk Pejuang yang ditempatkan di Kamp Pembobol Tembok.
-Pabrik: Memodifikasi jumlah Pekerja yang diberikan sebagai hadiah dan keunggulan produksi makanan dan baja saat membersihkan Penggalian Harta Karun. Menyesuaikan hadiah untuk pesanan di Pabrik. Hadiah yang dikurangi akan dikompensasi dengan gameplay baru di Pabrik.
-Perang Planet: Menyesuaikan pemakaian sumber daya dan persyaratan waktu untuk beberapa Penelitian Gen di Bintang Api, Bintang Karang, dan Tanah Gletser.</v>
      </c>
      <c r="I51" s="108" t="str">
        <f>IFERROR(__xludf.DUMMYFUNCTION("""COMPUTED_VALUE"""),"-ห้องแช่แข็ง: ปรับค่ามูลค่าและประเภทของเควสแล้ว
-การสำรวจผู้ปฏิบัติการ: ปรับค่าพลังที่แนะนำให้เหมาะสม
-การออกสนามรบของผู้สอน: ปรับข้อกำหนดพลังสำหรับนักสู้ที่ประจำการที่ค่ายของวอลล์เบรกเกอร์
-โรงงาน: ปรับจำนวนคนงานที่ได้รับรางวัลและบัฟการผลิตอาหารและเหล็กเ"&amp;"มื่อเคลียร์การขุดสมบัติ ปรับรางวัลสำหรับคำสั่งซื้อในโรงงาน รางวัลที่ลดลงจะได้รับการชดเชยด้วยการเล่นเกมใหม่ในโรงงาน
-สงครามดาวเคราะห์: ปรับการบริโภคทรัพยากรและข้อกำหนดเวลาสำหรับการวิจัยยีนบางอย่างบนดาวอัคคี, ดาวปะการัง, และดินแดนน้ำแข็ง")</f>
        <v>-ห้องแช่แข็ง: ปรับค่ามูลค่าและประเภทของเควสแล้ว
-การสำรวจผู้ปฏิบัติการ: ปรับค่าพลังที่แนะนำให้เหมาะสม
-การออกสนามรบของผู้สอน: ปรับข้อกำหนดพลังสำหรับนักสู้ที่ประจำการที่ค่ายของวอลล์เบรกเกอร์
-โรงงาน: ปรับจำนวนคนงานที่ได้รับรางวัลและบัฟการผลิตอาหารและเหล็กเมื่อเคลียร์การขุดสมบัติ ปรับรางวัลสำหรับคำสั่งซื้อในโรงงาน รางวัลที่ลดลงจะได้รับการชดเชยด้วยการเล่นเกมใหม่ในโรงงาน
-สงครามดาวเคราะห์: ปรับการบริโภคทรัพยากรและข้อกำหนดเวลาสำหรับการวิจัยยีนบางอย่างบนดาวอัคคี, ดาวปะการัง, และดินแดนน้ำแข็ง</v>
      </c>
      <c r="J51" s="108" t="str">
        <f>IFERROR(__xludf.DUMMYFUNCTION("""COMPUTED_VALUE"""),"-Cápsula de Estasis: Se han ajustado los valores y tipos de misiones.
-Expedición de Operadores: Poder recomendado optimizado.
-Despliegue de Instructor: Se ajustaron los requisitos de poder para los Luchadores apostados en el Campamento de Rompemuros.
-F"&amp;"ábrica: Se modificó el número de Trabajadores recompensados y las mejoras de producción de comida y acero al borrar la Excavación de Tesoros. Se ajustaron las recompensas para las órdenes en la Fábrica. Las recompensas reducidas serán compensadas por una "&amp;"nueva forma de juego en la Fábrica.
-Guerras Planetarias: Se ajustaron el consumo de recursos y los requisitos de tiempo para ciertas Investigaciones Genéticas en Estrella de Fuego, Estrella de Coral y Tierra Glaciar.")</f>
        <v>-Cápsula de Estasis: Se han ajustado los valores y tipos de misiones.
-Expedición de Operadores: Poder recomendado optimizado.
-Despliegue de Instructor: Se ajustaron los requisitos de poder para los Luchadores apostados en el Campamento de Rompemuros.
-Fábrica: Se modificó el número de Trabajadores recompensados y las mejoras de producción de comida y acero al borrar la Excavación de Tesoros. Se ajustaron las recompensas para las órdenes en la Fábrica. Las recompensas reducidas serán compensadas por una nueva forma de juego en la Fábrica.
-Guerras Planetarias: Se ajustaron el consumo de recursos y los requisitos de tiempo para ciertas Investigaciones Genéticas en Estrella de Fuego, Estrella de Coral y Tierra Glaciar.</v>
      </c>
      <c r="K51" s="108" t="str">
        <f>IFERROR(__xludf.DUMMYFUNCTION("""COMPUTED_VALUE"""),"-&lt;b&gt;Капсула стазиса&lt;/b&gt;: Значения и типы заданий были скорректированы.
-&lt;b&gt;Операторская экспедиция&lt;/b&gt;: Оптимизирована рекомендуемая мощь.
-&lt;b&gt;Размещение Инструктора&lt;/b&gt;: Скорректированы требования к силе для героев, размещенных в лагере стеноломов.
-&lt;b&gt;Ф"&amp;"абрика&lt;/b&gt;: Изменено количество рабочих, награждаемых, а также усиления производства пищи и стали при очистке сокровищ. Скорректированы награды за заказы на фабрике. Сниженные награды будут компенсированы новым игровым процессом на фабрике.
-&lt;b&gt;Планетарны"&amp;"е войны&lt;/b&gt;: Скорректировано потребление ресурсов и требования по времени для некоторых генетических исследований на Огненной звезде, Коралловой звезде и Ледниковой земле.")</f>
        <v>-&lt;b&gt;Капсула стазиса&lt;/b&gt;: Значения и типы заданий были скорректированы.
-&lt;b&gt;Операторская экспедиция&lt;/b&gt;: Оптимизирована рекомендуемая мощь.
-&lt;b&gt;Размещение Инструктора&lt;/b&gt;: Скорректированы требования к силе для героев, размещенных в лагере стеноломов.
-&lt;b&gt;Фабрика&lt;/b&gt;: Изменено количество рабочих, награждаемых, а также усиления производства пищи и стали при очистке сокровищ. Скорректированы награды за заказы на фабрике. Сниженные награды будут компенсированы новым игровым процессом на фабрике.
-&lt;b&gt;Планетарные войны&lt;/b&gt;: Скорректировано потребление ресурсов и требования по времени для некоторых генетических исследований на Огненной звезде, Коралловой звезде и Ледниковой земле.</v>
      </c>
      <c r="L51" s="108" t="str">
        <f>IFERROR(__xludf.DUMMYFUNCTION("""COMPUTED_VALUE"""),"-Stasis Pod: Görev değerleri ve türleri ayarlandı.
-Operatör Gezisi: Önerilen güç optimize edildi.
-Eğitmen Gönderimi: Duvar Kırıcılar Kampı'nda konuşlandırılan Savaşçılar için güç gereksinimleri ayarlandı.
-Fabrika: Hazine Kazısı temizlendiğinde ödüllend"&amp;"irilen İşçi sayısı ve yiyecek ile çelik üretim güçlendiricileri değiştirildi. Fabrikadaki emirler için ödüller ayarlandı. Azaltılan ödüller, Fabrikada yeni oynanış ile telafi edilecektir.
-Gezegen Savaşları: Ateş Yıldızı, Mercan Yıldızı ve Buzul Toprağı'n"&amp;"daki belirli Gen Araştırmaları için kaynak tüketimi ve süre gereksinimleri ayarlandı.")</f>
        <v>-Stasis Pod: Görev değerleri ve türleri ayarlandı.
-Operatör Gezisi: Önerilen güç optimize edildi.
-Eğitmen Gönderimi: Duvar Kırıcılar Kampı'nda konuşlandırılan Savaşçılar için güç gereksinimleri ayarlandı.
-Fabrika: Hazine Kazısı temizlendiğinde ödüllendirilen İşçi sayısı ve yiyecek ile çelik üretim güçlendiricileri değiştirildi. Fabrikadaki emirler için ödüller ayarlandı. Azaltılan ödüller, Fabrikada yeni oynanış ile telafi edilecektir.
-Gezegen Savaşları: Ateş Yıldızı, Mercan Yıldızı ve Buzul Toprağı'ndaki belirli Gen Araştırmaları için kaynak tüketimi ve süre gereksinimleri ayarlandı.</v>
      </c>
      <c r="M51" s="108" t="str">
        <f>IFERROR(__xludf.DUMMYFUNCTION("""COMPUTED_VALUE"""),"-POD NGƯNG TRỆ: Giá trị và loại nhiệm vụ đã được điều chỉnh.
-VIỄN CHINH ĐIỀU HÀNH: Chiến lực đề xuất đã được tối ưu hóa.
-Triển Khai Huấn Luyện Viên: Điều chỉnh yêu cầu chiến lực cho Chiến Binh đã đồn trú tại TRẠI LÍNH PHÁ THÀNH.
-NHÀ MÁY: Số lượng Công "&amp;"Nhân được thưởng và các hiệu ứng có lợi về sản xuất thực phẩm và thép khi hoàn thành Kho báu đã được điều chỉnh. Điều chỉnh phần thưởng cho các đơn hàng trong NHÀ MÁY. Phần thưởng giảm sẽ được bù đắp bằng trò chơi mới trong NHÀ MÁY.
-Chiến Tranh Hành Tinh"&amp;": Điều chỉnh tiêu thụ tài nguyên và yêu cầu thời gian cho một số Nghiên Cứu Gen trên Sao Hỏa, Sao San Hô, và VÙNG ĐẤT BĂNG HÀ.")</f>
        <v>-POD NGƯNG TRỆ: Giá trị và loại nhiệm vụ đã được điều chỉnh.
-VIỄN CHINH ĐIỀU HÀNH: Chiến lực đề xuất đã được tối ưu hóa.
-Triển Khai Huấn Luyện Viên: Điều chỉnh yêu cầu chiến lực cho Chiến Binh đã đồn trú tại TRẠI LÍNH PHÁ THÀNH.
-NHÀ MÁY: Số lượng Công Nhân được thưởng và các hiệu ứng có lợi về sản xuất thực phẩm và thép khi hoàn thành Kho báu đã được điều chỉnh. Điều chỉnh phần thưởng cho các đơn hàng trong NHÀ MÁY. Phần thưởng giảm sẽ được bù đắp bằng trò chơi mới trong NHÀ MÁY.
-Chiến Tranh Hành Tinh: Điều chỉnh tiêu thụ tài nguyên và yêu cầu thời gian cho một số Nghiên Cứu Gen trên Sao Hỏa, Sao San Hô, và VÙNG ĐẤT BĂNG HÀ.</v>
      </c>
      <c r="N51" s="108" t="str">
        <f>IFERROR(__xludf.DUMMYFUNCTION("""COMPUTED_VALUE"""),"-Stasis Pod: I valori e i tipi delle missioni sono stati regolati.
-Operator Expedition: Potenza consigliata ottimizzata.
-Instructor Deployment: Regolati i requisiti di potenza per i Combattenti stazionati alla Caserma di Infrangimura.
-Factory: Modifica"&amp;"to il numero di Lavoratori ricompensati e i benefici di produzione di cibo e acciaio quando si cancella il Tesoro. Regolate le ricompense per gli ordini nella Fabbrica. Le ricompense ridotte saranno compensate da un nuovo gameplay nella Fabbrica.
-Planet "&amp;"Wars: Regolato il consumo di risorse e i requisiti di tempo per alcune Ricerche Genetiche su Stella di Fuoco, Stella di Corallo e Terra Glaciale.")</f>
        <v>-Stasis Pod: I valori e i tipi delle missioni sono stati regolati.
-Operator Expedition: Potenza consigliata ottimizzata.
-Instructor Deployment: Regolati i requisiti di potenza per i Combattenti stazionati alla Caserma di Infrangimura.
-Factory: Modificato il numero di Lavoratori ricompensati e i benefici di produzione di cibo e acciaio quando si cancella il Tesoro. Regolate le ricompense per gli ordini nella Fabbrica. Le ricompense ridotte saranno compensate da un nuovo gameplay nella Fabbrica.
-Planet Wars: Regolato il consumo di risorse e i requisiti di tempo per alcune Ricerche Genetiche su Stella di Fuoco, Stella di Corallo e Terra Glaciale.</v>
      </c>
      <c r="O51" s="108" t="str">
        <f>IFERROR(__xludf.DUMMYFUNCTION("""COMPUTED_VALUE"""),"-Stasis Pod: Wartości i typy zadań zostały dostosowane.
-Operator Expedition: Zalecana siła zoptymalizowana.
-Rozmieszczenie Instruktora: Dostosowano wymagania dotyczące siły dla Wojowników stacjonujących w Obozie Burzycieli.
-Fabryka: Zmieniono liczbę Pr"&amp;"acowników nagradzanych oraz wzmocnienia produkcji żywności i stali podczas czyszczenia Skarbu. Dostosowano nagrody za zamówienia w Fabryce. Zmniejszone nagrody zostaną zrekompensowane nową rozgrywką w Fabryce.
-Wojny planet: Dostosowano zużycie zasobów i "&amp;"wymagania czasowe dla niektórych Badań genetycznych na Ognistej gwieździe, Gwieździe Koralowej i Lodowej Krainie.")</f>
        <v>-Stasis Pod: Wartości i typy zadań zostały dostosowane.
-Operator Expedition: Zalecana siła zoptymalizowana.
-Rozmieszczenie Instruktora: Dostosowano wymagania dotyczące siły dla Wojowników stacjonujących w Obozie Burzycieli.
-Fabryka: Zmieniono liczbę Pracowników nagradzanych oraz wzmocnienia produkcji żywności i stali podczas czyszczenia Skarbu. Dostosowano nagrody za zamówienia w Fabryce. Zmniejszone nagrody zostaną zrekompensowane nową rozgrywką w Fabryce.
-Wojny planet: Dostosowano zużycie zasobów i wymagania czasowe dla niektórych Badań genetycznych na Ognistej gwieździe, Gwieździe Koralowej i Lodowej Krainie.</v>
      </c>
      <c r="P51" s="108" t="str">
        <f>IFERROR(__xludf.DUMMYFUNCTION("""COMPUTED_VALUE"""),"-كبسولة السكون: تم تعديل قيم وأنواع المهام.
-رحلة المشغل الاستكشافية: تم تحسين القوة الموصى بها.
-نشر المدرب: تم تعديل متطلبات القوة للمقاتلين المتمركزين في معسكر كسارات الجدران.
-المصنع: تم تعديل عدد العمال المكافئين وتعزيزات إنتاج الطعام والصلب عند إزال"&amp;"ة كنز الحفر. تم تعديل الجوائز للأوامر في المصنع. سيتم تعويض الجوائز المخفضة بطريقة لعب جديدة في المصنع.
-حروب الكوكب: تم تعديل استهلاك الموارد ومتطلبات الوقت لبعض الأبحاث الجينية على نجمة النار، نجمة المرجان، وأرض الأنهار الجليدية.")</f>
        <v>-كبسولة السكون: تم تعديل قيم وأنواع المهام.
-رحلة المشغل الاستكشافية: تم تحسين القوة الموصى بها.
-نشر المدرب: تم تعديل متطلبات القوة للمقاتلين المتمركزين في معسكر كسارات الجدران.
-المصنع: تم تعديل عدد العمال المكافئين وتعزيزات إنتاج الطعام والصلب عند إزالة كنز الحفر. تم تعديل الجوائز للأوامر في المصنع. سيتم تعويض الجوائز المخفضة بطريقة لعب جديدة في المصنع.
-حروب الكوكب: تم تعديل استهلاك الموارد ومتطلبات الوقت لبعض الأبحاث الجينية على نجمة النار، نجمة المرجان، وأرض الأنهار الجليدية.</v>
      </c>
      <c r="Q51" s="108" t="str">
        <f>IFERROR(__xludf.DUMMYFUNCTION("""COMPUTED_VALUE"""),"-スタシスポッド: クエストの価値とタイプが調整されました。
-オペレーター遠征: 推奨戦力が最適化されました。
-インストラクター配置: テクニカル工場に駐屯中のファイターの戦力要件が調整されました。
-工場: 地底の宝探しをクリアした際の労働者の報酬数と食料および鋼鉄の生産バフが変更されました。工場での注文の報酬が調整されました。報酬の減少は工場での新しいプレイデータで補償されます。
-プラネットウォーズ: マーズ星、サンゴ星、氷河の土地での特定の遺伝子研究における資源消費と時間要件が調整されました。")</f>
        <v>-スタシスポッド: クエストの価値とタイプが調整されました。
-オペレーター遠征: 推奨戦力が最適化されました。
-インストラクター配置: テクニカル工場に駐屯中のファイターの戦力要件が調整されました。
-工場: 地底の宝探しをクリアした際の労働者の報酬数と食料および鋼鉄の生産バフが変更されました。工場での注文の報酬が調整されました。報酬の減少は工場での新しいプレイデータで補償されます。
-プラネットウォーズ: マーズ星、サンゴ星、氷河の土地での特定の遺伝子研究における資源消費と時間要件が調整されました。</v>
      </c>
      <c r="R51" s="108" t="str">
        <f>IFERROR(__xludf.DUMMYFUNCTION("""COMPUTED_VALUE"""),"-스테이시스 포드: 퀘스트 가치와 유형이 조정되었습니다.
-파일럿 원정: 추천 전투력이 최적화되었습니다.
-강사 배치: 공성차 공장에 주둔한 전사들의 전투력 요구 사항이 조정되었습니다.
-공장: 지하 보물찾기 클리어 시 보상으로 주어지는 작업자 수와 식량 및 강철 생산 버프가 수정되었습니다. 공장에서의 주문 보상이 조정되었습니다. 감소된 보상은 공장에서의 새로운 게임플레이로 보상될 것입니다.
-은하 전쟁: 불칸, 산호별, 빙하 땅에서 특정 유전자 연구의"&amp;" 자원 소비와 시간 요구 사항이 조정되었습니다.")</f>
        <v>-스테이시스 포드: 퀘스트 가치와 유형이 조정되었습니다.
-파일럿 원정: 추천 전투력이 최적화되었습니다.
-강사 배치: 공성차 공장에 주둔한 전사들의 전투력 요구 사항이 조정되었습니다.
-공장: 지하 보물찾기 클리어 시 보상으로 주어지는 작업자 수와 식량 및 강철 생산 버프가 수정되었습니다. 공장에서의 주문 보상이 조정되었습니다. 감소된 보상은 공장에서의 새로운 게임플레이로 보상될 것입니다.
-은하 전쟁: 불칸, 산호별, 빙하 땅에서 특정 유전자 연구의 자원 소비와 시간 요구 사항이 조정되었습니다.</v>
      </c>
      <c r="S51" s="108"/>
      <c r="T51" s="108"/>
      <c r="U51" s="108"/>
      <c r="V51" s="108"/>
      <c r="W51" s="108"/>
      <c r="X51" s="108"/>
      <c r="Y51" s="108"/>
      <c r="Z51" s="108"/>
    </row>
    <row r="52">
      <c r="A52" s="108" t="str">
        <f>IFERROR(__xludf.DUMMYFUNCTION("""COMPUTED_VALUE"""),"0.70.0")</f>
        <v>0.70.0</v>
      </c>
      <c r="B52" s="108" t="str">
        <f>IFERROR(__xludf.DUMMYFUNCTION("""COMPUTED_VALUE"""),"-战车战场：调整了战车战场中不同行为的经验和积分获取量；
-一网打尽：全面抵御（一网打尽进阶版）活动将在更多服务器开放，调整部分挑战机制难度；
-斗士：从新斗士夏洛特·罗西开始使用新的天赋树。")</f>
        <v>-战车战场：调整了战车战场中不同行为的经验和积分获取量；
-一网打尽：全面抵御（一网打尽进阶版）活动将在更多服务器开放，调整部分挑战机制难度；
-斗士：从新斗士夏洛特·罗西开始使用新的天赋树。</v>
      </c>
      <c r="C52" s="108" t="str">
        <f>IFERROR(__xludf.DUMMYFUNCTION("""COMPUTED_VALUE"""),"-Carrier Battle: Adjusted the EXP and points gained from different actions in the Carrier Battle;
-One Fell Swoop: The Total Resist (advanced version of One Fell Swoop) event will open on more servers, adjusting the difficulty of some challenge;
-Fighters"&amp;": Starting from the new fighter Charlotte Rossi, a new talent tree will be used.
")</f>
        <v>-Carrier Battle: Adjusted the EXP and points gained from different actions in the Carrier Battle;
-One Fell Swoop: The Total Resist (advanced version of One Fell Swoop) event will open on more servers, adjusting the difficulty of some challenge;
-Fighters: Starting from the new fighter Charlotte Rossi, a new talent tree will be used.
</v>
      </c>
      <c r="D52" s="108" t="str">
        <f>IFERROR(__xludf.DUMMYFUNCTION("""COMPUTED_VALUE"""),"-Bataille de Transporteur : Ajustement de l'EXP et des points obtenus à partir de différentes actions dans la Bataille de Transporteur;
-Un coup fatal : L'événement Résistance Totale (version avancée de Un coup fatal) sera ouvert sur plus de serveurs, aju"&amp;"stant la difficulté de certains défis;
-Combattants : À partir du nouveau combattant Charlotte Rossi, un nouvel arbre de talents sera utilisé.")</f>
        <v>-Bataille de Transporteur : Ajustement de l'EXP et des points obtenus à partir de différentes actions dans la Bataille de Transporteur;
-Un coup fatal : L'événement Résistance Totale (version avancée de Un coup fatal) sera ouvert sur plus de serveurs, ajustant la difficulté de certains défis;
-Combattants : À partir du nouveau combattant Charlotte Rossi, un nouvel arbre de talents sera utilisé.</v>
      </c>
      <c r="E52" s="108" t="str">
        <f>IFERROR(__xludf.DUMMYFUNCTION("""COMPUTED_VALUE"""),"-Trägerkampf: Die EP und Punkte, die durch verschiedene Aktionen im Trägerkampf gewonnen werden, wurden angepasst;
-Auf einen Schlag: Das Gesamtwiderstand-Event (fortgeschrittene Version von Auf einen Schlag) wird auf mehr Servern geöffnet, wobei die Schw"&amp;"ierigkeit einiger Herausforderungen angepasst wird;
-Kämpfer: Ab dem neuen Kämpfer Charlotte Rossi wird ein neuer Talentbaum verwendet.")</f>
        <v>-Trägerkampf: Die EP und Punkte, die durch verschiedene Aktionen im Trägerkampf gewonnen werden, wurden angepasst;
-Auf einen Schlag: Das Gesamtwiderstand-Event (fortgeschrittene Version von Auf einen Schlag) wird auf mehr Servern geöffnet, wobei die Schwierigkeit einiger Herausforderungen angepasst wird;
-Kämpfer: Ab dem neuen Kämpfer Charlotte Rossi wird ein neuer Talentbaum verwendet.</v>
      </c>
      <c r="F52" s="108" t="str">
        <f>IFERROR(__xludf.DUMMYFUNCTION("""COMPUTED_VALUE"""),"-Batalha de Transportadores: Ajustada a EXP e os pontos obtidos de diferentes ações na Batalha de Transportadores;
-De uma só vez: O evento Resistência Total (versão avançada de De uma só vez) será aberto em mais servidores, ajustando a dificuldade de alg"&amp;"uns desafios;
-Combatentes: A partir da nova combatente Charlotte Rossi, uma nova árvore de talentos será usada.")</f>
        <v>-Batalha de Transportadores: Ajustada a EXP e os pontos obtidos de diferentes ações na Batalha de Transportadores;
-De uma só vez: O evento Resistência Total (versão avançada de De uma só vez) será aberto em mais servidores, ajustando a dificuldade de alguns desafios;
-Combatentes: A partir da nova combatente Charlotte Rossi, uma nova árvore de talentos será usada.</v>
      </c>
      <c r="G52" s="108" t="str">
        <f>IFERROR(__xludf.DUMMYFUNCTION("""COMPUTED_VALUE"""),"-戰車戰場：調整了戰車戰場中不同行動的經驗和積分獲取量；
-一網打盡：全面抵禦（一網打盡進階版）活動將在更多伺服器開放，調整部分挑戰機制難度；
-鬥士：從新英雄夏洛特·羅西開始使用新的天賦樹。")</f>
        <v>-戰車戰場：調整了戰車戰場中不同行動的經驗和積分獲取量；
-一網打盡：全面抵禦（一網打盡進階版）活動將在更多伺服器開放，調整部分挑戰機制難度；
-鬥士：從新英雄夏洛特·羅西開始使用新的天賦樹。</v>
      </c>
      <c r="H52" s="108" t="str">
        <f>IFERROR(__xludf.DUMMYFUNCTION("""COMPUTED_VALUE"""),"-Pertempuran Pembawa Barang: Disesuaikan EXP dan poin yang diperoleh dari berbagai aksi dalam Pertempuran Pembawa Barang;
-Satu Serangan: Event Total Resistensi (versi lanjutan dari Satu Serangan) akan dibuka di lebih banyak server, menyesuaikan kesulitan"&amp;" beberapa tantangan;
-Pejuang: Mulai dari pejuang baru Charlotte Rossi, pohon bakat baru akan digunakan.")</f>
        <v>-Pertempuran Pembawa Barang: Disesuaikan EXP dan poin yang diperoleh dari berbagai aksi dalam Pertempuran Pembawa Barang;
-Satu Serangan: Event Total Resistensi (versi lanjutan dari Satu Serangan) akan dibuka di lebih banyak server, menyesuaikan kesulitan beberapa tantangan;
-Pejuang: Mulai dari pejuang baru Charlotte Rossi, pohon bakat baru akan digunakan.</v>
      </c>
      <c r="I52" s="108" t="str">
        <f>IFERROR(__xludf.DUMMYFUNCTION("""COMPUTED_VALUE"""),"-การต่อสู้ลิงขนส่ง: ปรับค่าประสบการณ์และคะแนนที่ได้รับจากท่าต่างๆ ในการต่อสู้ลิงขนส่ง;
-กวาดเรียบในครั้งเดียว: กิจกรรมการต้านทานทั้งหมด (เวอร์ชันพัฒนาของกวาดเรียบในครั้งเดียว) จะเปิดในเซิร์ฟเวอร์เพิ่มเติม ปรับระดับยากของการท้าทายบางอย่าง;
-นักสู้: เริ่มจา"&amp;"กนักสู้ตัวใหม่ ชาร์ล็อตต์ รอสซี่ จะใช้ต้นไม้ความสามารถใหม่.")</f>
        <v>-การต่อสู้ลิงขนส่ง: ปรับค่าประสบการณ์และคะแนนที่ได้รับจากท่าต่างๆ ในการต่อสู้ลิงขนส่ง;
-กวาดเรียบในครั้งเดียว: กิจกรรมการต้านทานทั้งหมด (เวอร์ชันพัฒนาของกวาดเรียบในครั้งเดียว) จะเปิดในเซิร์ฟเวอร์เพิ่มเติม ปรับระดับยากของการท้าทายบางอย่าง;
-นักสู้: เริ่มจากนักสู้ตัวใหม่ ชาร์ล็อตต์ รอสซี่ จะใช้ต้นไม้ความสามารถใหม่.</v>
      </c>
      <c r="J52" s="108" t="str">
        <f>IFERROR(__xludf.DUMMYFUNCTION("""COMPUTED_VALUE"""),"-Batalla de Transportador: Ajustada la EXP y los puntos ganados de diferentes acciones en la Batalla de Transportador;
-Un Solo Golpe: El evento de Resistencia Total (versión avanzada de Un Solo Golpe) se abrirá en más servidores, ajustando la dificultad "&amp;"de algunos retos;
-Luchadores: A partir del nuevo luchador Charlotte Rossi, se usará un nuevo árbol de talentos.")</f>
        <v>-Batalla de Transportador: Ajustada la EXP y los puntos ganados de diferentes acciones en la Batalla de Transportador;
-Un Solo Golpe: El evento de Resistencia Total (versión avanzada de Un Solo Golpe) se abrirá en más servidores, ajustando la dificultad de algunos retos;
-Luchadores: A partir del nuevo luchador Charlotte Rossi, se usará un nuevo árbol de talentos.</v>
      </c>
      <c r="K52" s="108" t="str">
        <f>IFERROR(__xludf.DUMMYFUNCTION("""COMPUTED_VALUE"""),"-Носитель Битва: Настроены опыт и очки, полученные за различные действия в Носитель Битва;
-Одним махом: Событие Общее Сопротивление (продвинутая версия Одним махом) будет открыто на большем количестве серверов, с настройкой сложности некоторых попыток;
-"&amp;"Герои: Начиная с нового героя Шарлотта Росси, будет использоваться новое дерево талантов.")</f>
        <v>-Носитель Битва: Настроены опыт и очки, полученные за различные действия в Носитель Битва;
-Одним махом: Событие Общее Сопротивление (продвинутая версия Одним махом) будет открыто на большем количестве серверов, с настройкой сложности некоторых попыток;
-Герои: Начиная с нового героя Шарлотта Росси, будет использоваться новое дерево талантов.</v>
      </c>
      <c r="L52" s="108" t="str">
        <f>IFERROR(__xludf.DUMMYFUNCTION("""COMPUTED_VALUE"""),"-Taşıyıcı Savaşı: Taşıyıcı Savaşı'ndaki farklı eylemlerden kazanılan DEN ve puanlar ayarlandı;
-Bir Hamlede: Toplam Direnç (Bir Hamlede'nin gelişmiş sürümü) etkinliği daha fazla sunucuda açılacak, bazı meydan okumaların zorluğu ayarlanacak;
-Savaşçılar: Y"&amp;"eni savaşçı Charlotte Rossi'den başlayarak, yeni bir yetenek ağacı kullanılacak.")</f>
        <v>-Taşıyıcı Savaşı: Taşıyıcı Savaşı'ndaki farklı eylemlerden kazanılan DEN ve puanlar ayarlandı;
-Bir Hamlede: Toplam Direnç (Bir Hamlede'nin gelişmiş sürümü) etkinliği daha fazla sunucuda açılacak, bazı meydan okumaların zorluğu ayarlanacak;
-Savaşçılar: Yeni savaşçı Charlotte Rossi'den başlayarak, yeni bir yetenek ağacı kullanılacak.</v>
      </c>
      <c r="M52" s="108" t="str">
        <f>IFERROR(__xludf.DUMMYFUNCTION("""COMPUTED_VALUE"""),"-Trận Chiến Người Vận Chuyển: Điều chỉnh EXP và điểm nhận được từ các hành động khác nhau trong Trận Chiến Người Vận Chuyển;
-Một Lưới Hốt Trọn: Sự kiện Tổng Kháng Cự (phiên bản đã cải tiến của Một Lưới Hốt Trọn) sẽ mở trên nhiều máy chủ hơn, điều chỉnh đ"&amp;"ộ khó của một số khiêu chiến;
-Chiến Binh: Bắt đầu từ chiến binh mới Charlotte Rossi, một cây tài năng mới sẽ được sử dụng.")</f>
        <v>-Trận Chiến Người Vận Chuyển: Điều chỉnh EXP và điểm nhận được từ các hành động khác nhau trong Trận Chiến Người Vận Chuyển;
-Một Lưới Hốt Trọn: Sự kiện Tổng Kháng Cự (phiên bản đã cải tiến của Một Lưới Hốt Trọn) sẽ mở trên nhiều máy chủ hơn, điều chỉnh độ khó của một số khiêu chiến;
-Chiến Binh: Bắt đầu từ chiến binh mới Charlotte Rossi, một cây tài năng mới sẽ được sử dụng.</v>
      </c>
      <c r="N52" s="108" t="str">
        <f>IFERROR(__xludf.DUMMYFUNCTION("""COMPUTED_VALUE"""),"-Battaglia del Trasportatore: Regolati l'ESP e i punti guadagnati da diverse azioni nella Battaglia del Trasportatore;
-D'UN SOL COLPO: L'evento RESISTENZA TOTALE (versione migliorata di D'UN SOL COLPO) sarà aperto su più server, regolando la difficoltà d"&amp;"i alcune sfide;
-Combattenti: A partire dal nuovo combattente Charlotte Rossi, verrà utilizzato un nuovo albero dei talenti.")</f>
        <v>-Battaglia del Trasportatore: Regolati l'ESP e i punti guadagnati da diverse azioni nella Battaglia del Trasportatore;
-D'UN SOL COLPO: L'evento RESISTENZA TOTALE (versione migliorata di D'UN SOL COLPO) sarà aperto su più server, regolando la difficoltà di alcune sfide;
-Combattenti: A partire dal nuovo combattente Charlotte Rossi, verrà utilizzato un nuovo albero dei talenti.</v>
      </c>
      <c r="O52" s="108" t="str">
        <f>IFERROR(__xludf.DUMMYFUNCTION("""COMPUTED_VALUE"""),"-Bitwa Przenośników: Dostosowano PD i punkty zdobywane za różne akcje w Bitwie Przenośników;
-Za jednym zamachem: Wydarzenie Całkowita Odporność (zaawansowana wersja Za jednym zamachem) zostanie otwarte na większej liczbie serwerów, dostosowując trudność "&amp;"niektórych wyzwań;
-Wojownicy: Począwszy od nowego wojownika Charlotte Rossi, zostanie użyte nowe drzewo talentów.")</f>
        <v>-Bitwa Przenośników: Dostosowano PD i punkty zdobywane za różne akcje w Bitwie Przenośników;
-Za jednym zamachem: Wydarzenie Całkowita Odporność (zaawansowana wersja Za jednym zamachem) zostanie otwarte na większej liczbie serwerów, dostosowując trudność niektórych wyzwań;
-Wojownicy: Począwszy od nowego wojownika Charlotte Rossi, zostanie użyte nowe drzewo talentów.</v>
      </c>
      <c r="P52" s="108" t="str">
        <f>IFERROR(__xludf.DUMMYFUNCTION("""COMPUTED_VALUE"""),"-معركة الناقلة: تم تعديل الخبرة والنقاط المكتسبة من الإجراءات المختلفة في معركة الناقلة؛
-سقوط بضربة واحدة: سيتم فتح حدث المقاومة الإجمالية (الإصدار المتقدم من سقوط بضربة واحدة) على المزيد من السيرفرات، مع تعديل صعوبة بعض التحديات؛
-المقاتلون: بدءًا من ال"&amp;"مقاتل الجديد شارلوت روسي، سيتم استخدام شجرة مواهب جديدة.")</f>
        <v>-معركة الناقلة: تم تعديل الخبرة والنقاط المكتسبة من الإجراءات المختلفة في معركة الناقلة؛
-سقوط بضربة واحدة: سيتم فتح حدث المقاومة الإجمالية (الإصدار المتقدم من سقوط بضربة واحدة) على المزيد من السيرفرات، مع تعديل صعوبة بعض التحديات؛
-المقاتلون: بدءًا من المقاتل الجديد شارلوت روسي، سيتم استخدام شجرة مواهب جديدة.</v>
      </c>
      <c r="Q52" s="108" t="str">
        <f>IFERROR(__xludf.DUMMYFUNCTION("""COMPUTED_VALUE"""),"-キャリア戦闘: キャリア戦闘での行動によって獲得する経験値とポイントを調整しました;
-一網打尽: 一網打尽の上級版である合計抵抗イベントがより多くのサーバーで開かれ、一部の挑戦の難易度が調整されます;
-ファイター: 新しいファイターであるシャーロット・ロッシから、新しいアビリティ木が使用されます。")</f>
        <v>-キャリア戦闘: キャリア戦闘での行動によって獲得する経験値とポイントを調整しました;
-一網打尽: 一網打尽の上級版である合計抵抗イベントがより多くのサーバーで開かれ、一部の挑戦の難易度が調整されます;
-ファイター: 新しいファイターであるシャーロット・ロッシから、新しいアビリティ木が使用されます。</v>
      </c>
      <c r="R52" s="108" t="str">
        <f>IFERROR(__xludf.DUMMYFUNCTION("""COMPUTED_VALUE"""),"-운반선 전투: 운반선 전투에서 다양한 행동으로 획득한 경험치와 포인트가 조정되었습니다;
-일망타진: 일망타진의 고급 버전인 전체 저항력 이벤트가 더 많은 서버에서 열리며, 일부 도전의 난이도가 조정됩니다;
-전사들: 새로운 전사 샬럿 로시부터 새로운 재능 나무가 사용됩니다.")</f>
        <v>-운반선 전투: 운반선 전투에서 다양한 행동으로 획득한 경험치와 포인트가 조정되었습니다;
-일망타진: 일망타진의 고급 버전인 전체 저항력 이벤트가 더 많은 서버에서 열리며, 일부 도전의 난이도가 조정됩니다;
-전사들: 새로운 전사 샬럿 로시부터 새로운 재능 나무가 사용됩니다.</v>
      </c>
      <c r="S52" s="108"/>
      <c r="T52" s="108"/>
      <c r="U52" s="108"/>
      <c r="V52" s="108"/>
      <c r="W52" s="108"/>
      <c r="X52" s="108"/>
      <c r="Y52" s="108"/>
      <c r="Z52" s="108"/>
    </row>
    <row r="53">
      <c r="A53" s="108" t="str">
        <f>IFERROR(__xludf.DUMMYFUNCTION("""COMPUTED_VALUE"""),"0.71.0")</f>
        <v>0.71.0</v>
      </c>
      <c r="B53" s="169" t="str">
        <f>IFERROR(__xludf.DUMMYFUNCTION("""COMPUTED_VALUE"""),"-建筑等级上限提升：城墙和防御塔在服务器后期等级上限提升，最多可升至35级；
-战车战场：战车战场中PVP行为经验获取调整；
-银河战争：火神星、珊瑚星、寒冰星采集站中可采集的资源量增加50%，精英野怪的资源掉落量增加10%；火神星、珊瑚星普通野怪的资源掉落量增加20%；寒冰星边境野怪的资源掉落量增加20%；
-资源产出：对资源产出异常进行兼容修复，扣除历史版本的额外资源产出效果。")</f>
        <v>-建筑等级上限提升：城墙和防御塔在服务器后期等级上限提升，最多可升至35级；
-战车战场：战车战场中PVP行为经验获取调整；
-银河战争：火神星、珊瑚星、寒冰星采集站中可采集的资源量增加50%，精英野怪的资源掉落量增加10%；火神星、珊瑚星普通野怪的资源掉落量增加20%；寒冰星边境野怪的资源掉落量增加20%；
-资源产出：对资源产出异常进行兼容修复，扣除历史版本的额外资源产出效果。</v>
      </c>
      <c r="C53" s="169" t="str">
        <f>IFERROR(__xludf.DUMMYFUNCTION("""COMPUTED_VALUE"""),"- Building Level Cap Increase: Defense Walls and Towers can now reach level 35 for older servers.
- Carrier Battle: Adjusted the EXP gained from PvP plays.
- Planet Wars: Increased resource collection and drop rates - 50% more from Collection Stations and"&amp;" 10% more from advanced NPCs on Fire Star, Coral Star, and Glacier Land; 20% more from basic NPCs on Fire Star and Coral Star; 20% more from border NPCs on Glacier Land.
- Resource Output Fixes: Resolved issues with abnormal resource generation and deduct"&amp;"ed extra resources from older versions.")</f>
        <v>- Building Level Cap Increase: Defense Walls and Towers can now reach level 35 for older servers.
- Carrier Battle: Adjusted the EXP gained from PvP plays.
- Planet Wars: Increased resource collection and drop rates - 50% more from Collection Stations and 10% more from advanced NPCs on Fire Star, Coral Star, and Glacier Land; 20% more from basic NPCs on Fire Star and Coral Star; 20% more from border NPCs on Glacier Land.
- Resource Output Fixes: Resolved issues with abnormal resource generation and deducted extra resources from older versions.</v>
      </c>
      <c r="D53" s="169" t="str">
        <f>IFERROR(__xludf.DUMMYFUNCTION("""COMPUTED_VALUE"""),"- Augmentation de la limite de niveau des bâtiments : Les murs de défense et les tours peuvent désormais atteindre le niveau 35 pour les anciens serveurs.
- Bataille de Transporteur : Ajustement de l'EXP gagnée lors des combats PvP.
- Guerre planétaire : "&amp;"Augmentation de la collecte de ressources et des taux de drop - 50% de plus des stations de collecte et 10% de plus des PNJ avancés sur Étoile de feu, Étoile de Corail et Terre Glaciaire ; 20% de plus des PNJ basiques sur Étoile de feu et Étoile de Corail"&amp;" ; 20% de plus des PNJ de frontière sur Terre Glaciaire.
- Corrections de la production de ressources : Résolution des problèmes de génération anormale de ressources et déduction des ressources supplémentaires des anciennes versions.")</f>
        <v>- Augmentation de la limite de niveau des bâtiments : Les murs de défense et les tours peuvent désormais atteindre le niveau 35 pour les anciens serveurs.
- Bataille de Transporteur : Ajustement de l'EXP gagnée lors des combats PvP.
- Guerre planétaire : Augmentation de la collecte de ressources et des taux de drop - 50% de plus des stations de collecte et 10% de plus des PNJ avancés sur Étoile de feu, Étoile de Corail et Terre Glaciaire ; 20% de plus des PNJ basiques sur Étoile de feu et Étoile de Corail ; 20% de plus des PNJ de frontière sur Terre Glaciaire.
- Corrections de la production de ressources : Résolution des problèmes de génération anormale de ressources et déduction des ressources supplémentaires des anciennes versions.</v>
      </c>
      <c r="E53" s="169" t="str">
        <f>IFERROR(__xludf.DUMMYFUNCTION("""COMPUTED_VALUE"""),"- Erhöhung der Gebäude-Level-Obergrenze: Verteidigungsmauern und Türme können jetzt Level 35 für ältere Server erreichen.
- Trägerkampf: Angepasste EP-Gewinne aus PvP-Spielen.
- Planetenkriege: Erhöhte Ressourcensammlung und Drop-Raten - 50% mehr von Samm"&amp;"lungsstationen und 10% mehr von fortgeschrittenen NSCs auf Feuerstern, Korallenstern und Gletscherland; 20% mehr von einfachen NSCs auf Feuerstern und Korallenstern; 20% mehr von Grenz-NSCs auf Gletscherland.
- Ressourcen-Ausgabe-Korrekturen: Probleme mit"&amp;" abnormaler Ressourcengenerierung behoben und zusätzliche Ressourcen aus älteren Versionen abgezogen.")</f>
        <v>- Erhöhung der Gebäude-Level-Obergrenze: Verteidigungsmauern und Türme können jetzt Level 35 für ältere Server erreichen.
- Trägerkampf: Angepasste EP-Gewinne aus PvP-Spielen.
- Planetenkriege: Erhöhte Ressourcensammlung und Drop-Raten - 50% mehr von Sammlungsstationen und 10% mehr von fortgeschrittenen NSCs auf Feuerstern, Korallenstern und Gletscherland; 20% mehr von einfachen NSCs auf Feuerstern und Korallenstern; 20% mehr von Grenz-NSCs auf Gletscherland.
- Ressourcen-Ausgabe-Korrekturen: Probleme mit abnormaler Ressourcengenerierung behoben und zusätzliche Ressourcen aus älteren Versionen abgezogen.</v>
      </c>
      <c r="F53" s="169" t="str">
        <f>IFERROR(__xludf.DUMMYFUNCTION("""COMPUTED_VALUE"""),"- Aumento do Limite de Nível de Construção: Muralhas de Defesa e Torres agora podem alcançar o nível 35 para servidores mais antigos.
- Batalha de Transportadores: Ajustada a EXP recebida de jogadas PvP.
- Guerra Interplanetária: Aumentada a coleta de rec"&amp;"ursos e taxas de drop - 50% a mais das Estações de Coleta e 10% a mais de NPCs avançados na Estrela de Fogo, Estrela Coral e Terra Glacial; 20% a mais de NPCs básicos na Estrela de Fogo e Estrela Coral; 20% a mais de NPCs de fronteira na Terra Glacial.
- "&amp;"Correções de Produção de Recursos: Resolvidos problemas com geração anormal de recursos e deduzidos recursos extras de versões mais antigas.")</f>
        <v>- Aumento do Limite de Nível de Construção: Muralhas de Defesa e Torres agora podem alcançar o nível 35 para servidores mais antigos.
- Batalha de Transportadores: Ajustada a EXP recebida de jogadas PvP.
- Guerra Interplanetária: Aumentada a coleta de recursos e taxas de drop - 50% a mais das Estações de Coleta e 10% a mais de NPCs avançados na Estrela de Fogo, Estrela Coral e Terra Glacial; 20% a mais de NPCs básicos na Estrela de Fogo e Estrela Coral; 20% a mais de NPCs de fronteira na Terra Glacial.
- Correções de Produção de Recursos: Resolvidos problemas com geração anormal de recursos e deduzidos recursos extras de versões mais antigas.</v>
      </c>
      <c r="G53" s="169" t="str">
        <f>IFERROR(__xludf.DUMMYFUNCTION("""COMPUTED_VALUE"""),"-建築等級上限提升：城牆和防禦塔在伺服器後期等級上限提升，最多可升至35級；
-戰車戰場：戰車戰場中PVP行動經驗獲取調整；
-銀河戰爭：火神星、珊瑚星、寒冰星採集站中可採集的資源量增加50%，精英野怪的資源掉落量增加10%；火神星、珊瑚星正常野怪的資源掉落量增加20%；寒冰星邊境野怪的資源掉落量增加20%；
-資源產出：對資源產出異常進行兼容修復，扣除歷史版本的額外資源產出效果。")</f>
        <v>-建築等級上限提升：城牆和防禦塔在伺服器後期等級上限提升，最多可升至35級；
-戰車戰場：戰車戰場中PVP行動經驗獲取調整；
-銀河戰爭：火神星、珊瑚星、寒冰星採集站中可採集的資源量增加50%，精英野怪的資源掉落量增加10%；火神星、珊瑚星正常野怪的資源掉落量增加20%；寒冰星邊境野怪的資源掉落量增加20%；
-資源產出：對資源產出異常進行兼容修復，扣除歷史版本的額外資源產出效果。</v>
      </c>
      <c r="H53" s="169" t="str">
        <f>IFERROR(__xludf.DUMMYFUNCTION("""COMPUTED_VALUE"""),"- Peningkatan Batas Level Bangunan: Tembok Pertahanan dan Menara sekarang dapat mencapai level 35 untuk server yang lebih lama.
- Pertempuran Pembawa Barang: Disesuaikan perolehan EXP dari permainan PvP.
- Perang Planet: Meningkatkan koleksi sumber daya d"&amp;"an tingkat drop - 50% lebih banyak dari Stasiun Koleksi dan 10% lebih banyak dari NPC lanjutan di Bintang Api, Bintang Karang, dan Tanah Gletser; 20% lebih banyak dari NPC dasar di Bintang Api dan Bintang Karang; 20% lebih banyak dari NPC perbatasan di Ta"&amp;"nah Gletser.
- Perbaikan Output Sumber Daya: Menyelesaikan masalah dengan generasi sumber daya yang tidak normal dan mengurangi sumber daya ekstra dari versi yang lebih lama.")</f>
        <v>- Peningkatan Batas Level Bangunan: Tembok Pertahanan dan Menara sekarang dapat mencapai level 35 untuk server yang lebih lama.
- Pertempuran Pembawa Barang: Disesuaikan perolehan EXP dari permainan PvP.
- Perang Planet: Meningkatkan koleksi sumber daya dan tingkat drop - 50% lebih banyak dari Stasiun Koleksi dan 10% lebih banyak dari NPC lanjutan di Bintang Api, Bintang Karang, dan Tanah Gletser; 20% lebih banyak dari NPC dasar di Bintang Api dan Bintang Karang; 20% lebih banyak dari NPC perbatasan di Tanah Gletser.
- Perbaikan Output Sumber Daya: Menyelesaikan masalah dengan generasi sumber daya yang tidak normal dan mengurangi sumber daya ekstra dari versi yang lebih lama.</v>
      </c>
      <c r="I53" s="169" t="str">
        <f>IFERROR(__xludf.DUMMYFUNCTION("""COMPUTED_VALUE"""),"- ขีดจำกัดเลเวลการก่อสร้าง: กำแพงป้องกันและหอคอยสามารถถึงเลเวล 35 สำหรับเซิร์ฟเวอร์เก่าได้แล้ว
- การต่อสู้ลิงขนส่ง: ปรับค่าประสบการณ์ที่ได้รับจากการเล่น PvP
- สงครามดาวเคราะห์: เพิ่มการรวบรวมทรัพยากรและอัตราการดรอป - เพิ่มขึ้น 50% จากสถานีเก็บและ 10% จาก "&amp;"NPC ขั้นสูงบนดาวอัคคี, ดาวปะการัง, และดินแดนน้ำแข็ง; เพิ่มขึ้น 20% จาก NPC ขั้นพื้นฐานบนดาวอัคคีและดาวปะการัง; เพิ่มขึ้น 20% จาก NPC ชายแดนบนดินแดนน้ำแข็ง
- การแก้ไขผลผลิตทรัพยากร: แก้ไขปัญหาการสร้างทรัพยากรที่ผิดปกติและหักทรัพยากรส่วนเกินจากเวอร์ชันเก่า")</f>
        <v>- ขีดจำกัดเลเวลการก่อสร้าง: กำแพงป้องกันและหอคอยสามารถถึงเลเวล 35 สำหรับเซิร์ฟเวอร์เก่าได้แล้ว
- การต่อสู้ลิงขนส่ง: ปรับค่าประสบการณ์ที่ได้รับจากการเล่น PvP
- สงครามดาวเคราะห์: เพิ่มการรวบรวมทรัพยากรและอัตราการดรอป - เพิ่มขึ้น 50% จากสถานีเก็บและ 10% จาก NPC ขั้นสูงบนดาวอัคคี, ดาวปะการัง, และดินแดนน้ำแข็ง; เพิ่มขึ้น 20% จาก NPC ขั้นพื้นฐานบนดาวอัคคีและดาวปะการัง; เพิ่มขึ้น 20% จาก NPC ชายแดนบนดินแดนน้ำแข็ง
- การแก้ไขผลผลิตทรัพยากร: แก้ไขปัญหาการสร้างทรัพยากรที่ผิดปกติและหักทรัพยากรส่วนเกินจากเวอร์ชันเก่า</v>
      </c>
      <c r="J53" s="169" t="str">
        <f>IFERROR(__xludf.DUMMYFUNCTION("""COMPUTED_VALUE"""),"- Aumento del Límite de Nivel de Construcción: Los Muros de Defensa y Torres ahora pueden alcanzar el nivel 35 para servidores más antiguos.
- Batalla de Transportador: Ajustada la EXP obtenida de las jugadas PvP.
- Guerras Planetarias: Aumentada la recol"&amp;"ección de recursos y las tasas de caída - 50% más de las Estaciones de Colección y 10% más de los PNJs avanzados en Estrella de Fuego, Estrella de Coral y Tierra Glaciar; 20% más de los PNJs básicos en Estrella de Fuego y Estrella de Coral; 20% más de los"&amp;" PNJs fronterizos en Tierra Glaciar.
- Correcciones de Salida de Recursos: Resueltos problemas con la generación anormal de recursos y deducidos los recursos extra de versiones anteriores.")</f>
        <v>- Aumento del Límite de Nivel de Construcción: Los Muros de Defensa y Torres ahora pueden alcanzar el nivel 35 para servidores más antiguos.
- Batalla de Transportador: Ajustada la EXP obtenida de las jugadas PvP.
- Guerras Planetarias: Aumentada la recolección de recursos y las tasas de caída - 50% más de las Estaciones de Colección y 10% más de los PNJs avanzados en Estrella de Fuego, Estrella de Coral y Tierra Glaciar; 20% más de los PNJs básicos en Estrella de Fuego y Estrella de Coral; 20% más de los PNJs fronterizos en Tierra Glaciar.
- Correcciones de Salida de Recursos: Resueltos problemas con la generación anormal de recursos y deducidos los recursos extra de versiones anteriores.</v>
      </c>
      <c r="K53" s="169" t="str">
        <f>IFERROR(__xludf.DUMMYFUNCTION("""COMPUTED_VALUE"""),"- Увеличение максимального уровня построек: Защитные стены и башни теперь могут достигать уровня 35 для старых серверов.
- Носитель Битва: Скорректировано количество ОП, получаемых за PvP игры.
- Планетарные войны: Увеличен сбор ресурсов и частота выпаден"&amp;"ия - на 50% больше от станций сбора и на 10% больше от продвинутых NPC на Огненной звезде, Коралловой звезде и Ледниковой земле; на 20% больше от базовых NPC на Огненной звезде и Коралловой звезде; на 20% больше от пограничных NPC на Ледниковой земле.
- И"&amp;"справления вывода ресурсов: Решены проблемы с аномальной генерацией ресурсов и вычтены лишние ресурсы из старых версий.")</f>
        <v>- Увеличение максимального уровня построек: Защитные стены и башни теперь могут достигать уровня 35 для старых серверов.
- Носитель Битва: Скорректировано количество ОП, получаемых за PvP игры.
- Планетарные войны: Увеличен сбор ресурсов и частота выпадения - на 50% больше от станций сбора и на 10% больше от продвинутых NPC на Огненной звезде, Коралловой звезде и Ледниковой земле; на 20% больше от базовых NPC на Огненной звезде и Коралловой звезде; на 20% больше от пограничных NPC на Ледниковой земле.
- Исправления вывода ресурсов: Решены проблемы с аномальной генерацией ресурсов и вычтены лишние ресурсы из старых версий.</v>
      </c>
      <c r="L53" s="169" t="str">
        <f>IFERROR(__xludf.DUMMYFUNCTION("""COMPUTED_VALUE"""),"- Bina Seviye Sınırı Artışı: Savunma Duvarları ve Kuleler artık eski sunucular için seviye 35'e ulaşabilir.
- Taşıyıcı Savaşı: PvP oyunlarından kazanılan DEN ayarlandı.
- Gezegen Savaşları: Kaynak toplama ve düşme oranları artırıldı - Toplama İstasyonları"&amp;"ndan %50 daha fazla ve Ateş Yıldızı, Mercan Yıldızı ve Buzul Toprağı'ndaki gelişmiş NPC'lerden %10 daha fazla; Ateş Yıldızı ve Mercan Yıldızı'ndaki temel NPC'lerden %20 daha fazla; Buzul Toprağı'ndaki sınır NPC'lerinden %20 daha fazla.
- Kaynak Çıkışı Düz"&amp;"eltmeleri: Anormal kaynak üretimi ile ilgili sorunlar çözüldü ve eski sürümlerden ekstra kaynaklar düşürüldü.")</f>
        <v>- Bina Seviye Sınırı Artışı: Savunma Duvarları ve Kuleler artık eski sunucular için seviye 35'e ulaşabilir.
- Taşıyıcı Savaşı: PvP oyunlarından kazanılan DEN ayarlandı.
- Gezegen Savaşları: Kaynak toplama ve düşme oranları artırıldı - Toplama İstasyonlarından %50 daha fazla ve Ateş Yıldızı, Mercan Yıldızı ve Buzul Toprağı'ndaki gelişmiş NPC'lerden %10 daha fazla; Ateş Yıldızı ve Mercan Yıldızı'ndaki temel NPC'lerden %20 daha fazla; Buzul Toprağı'ndaki sınır NPC'lerinden %20 daha fazla.
- Kaynak Çıkışı Düzeltmeleri: Anormal kaynak üretimi ile ilgili sorunlar çözüldü ve eski sürümlerden ekstra kaynaklar düşürüldü.</v>
      </c>
      <c r="M53" s="169" t="str">
        <f>IFERROR(__xludf.DUMMYFUNCTION("""COMPUTED_VALUE"""),"- Giới Hạn Cấp Độ Xây Dựng Tăng: Tường phòng thủ và Tháp canh hiện có thể đạt cấp 35 cho các máy chủ cũ.
- Trận Chiến Người Vận Chuyển: Điều chỉnh EXP nhận được từ các trận PvP.
- Chiến Tranh Hành Tinh: Tăng thu thập tài nguyên và tỷ lệ rơi - tăng 50% từ "&amp;"các Trạm Thu Thập và tăng 10% từ các NPC đã cải tiến trên Sao Hỏa, Sao San Hô và Vùng Đất Băng Hà; tăng 20% từ các NPC sơ cấp trên Sao Hỏa và Sao San Hô; tăng 20% từ các NPC biên giới trên Vùng Đất Băng Hà.
- Sửa Lỗi Sản Lượng Tài Nguyên: Đã giải quyết cá"&amp;"c vấn đề về tạo tài nguyên bất thường và trừ đi các tài nguyên thừa từ các phiên bản cũ.")</f>
        <v>- Giới Hạn Cấp Độ Xây Dựng Tăng: Tường phòng thủ và Tháp canh hiện có thể đạt cấp 35 cho các máy chủ cũ.
- Trận Chiến Người Vận Chuyển: Điều chỉnh EXP nhận được từ các trận PvP.
- Chiến Tranh Hành Tinh: Tăng thu thập tài nguyên và tỷ lệ rơi - tăng 50% từ các Trạm Thu Thập và tăng 10% từ các NPC đã cải tiến trên Sao Hỏa, Sao San Hô và Vùng Đất Băng Hà; tăng 20% từ các NPC sơ cấp trên Sao Hỏa và Sao San Hô; tăng 20% từ các NPC biên giới trên Vùng Đất Băng Hà.
- Sửa Lỗi Sản Lượng Tài Nguyên: Đã giải quyết các vấn đề về tạo tài nguyên bất thường và trừ đi các tài nguyên thừa từ các phiên bản cũ.</v>
      </c>
      <c r="N53" s="169" t="str">
        <f>IFERROR(__xludf.DUMMYFUNCTION("""COMPUTED_VALUE"""),"- Aumento del limite di livello degli edifici: Mura difensive e Torri possono ora raggiungere il livello 35 per i server più vecchi.
- Battaglia del Trasportatore: Regolata l'ESP guadagnata dai giochi PvP.
- Guerre planetarie: Aumentata la raccolta di ris"&amp;"orse e i tassi di drop - 50% in più dalle Stazioni di Collezione e 10% in più dai PERSONAGGI NON GIOCANTI migliorati su Stella di fuoco, Stella di Corallo e Terra Glaciale; 20% in più dai PERSONAGGI NON GIOCANTI base su Stella di fuoco e Stella di Corallo"&amp;"; 20% in più dai PERSONAGGI NON GIOCANTI di confine su Terra Glaciale.
- Correzioni dell'output delle risorse: Risolti problemi con la generazione anomala di risorse e dedotte risorse extra dalle versioni precedenti.")</f>
        <v>- Aumento del limite di livello degli edifici: Mura difensive e Torri possono ora raggiungere il livello 35 per i server più vecchi.
- Battaglia del Trasportatore: Regolata l'ESP guadagnata dai giochi PvP.
- Guerre planetarie: Aumentata la raccolta di risorse e i tassi di drop - 50% in più dalle Stazioni di Collezione e 10% in più dai PERSONAGGI NON GIOCANTI migliorati su Stella di fuoco, Stella di Corallo e Terra Glaciale; 20% in più dai PERSONAGGI NON GIOCANTI base su Stella di fuoco e Stella di Corallo; 20% in più dai PERSONAGGI NON GIOCANTI di confine su Terra Glaciale.
- Correzioni dell'output delle risorse: Risolti problemi con la generazione anomala di risorse e dedotte risorse extra dalle versioni precedenti.</v>
      </c>
      <c r="O53" s="169" t="str">
        <f>IFERROR(__xludf.DUMMYFUNCTION("""COMPUTED_VALUE"""),"- Zwiększenie limitu poziomu budynków: Mury obronne i wieże mogą teraz osiągnąć poziom 35 na starszych serwerach.
- Bitwa Przenośników: Dostosowano zdobycie PD z rozgrywek PvP.
- Wojny Planet: Zwiększono pozyskiwanie zasobów i wskaźniki dropów - 50% więce"&amp;"j ze Stacji Zbiórki i 10% więcej od zaawansowanych NPCów na Ognistej Gwieździe, Gwiazdzie Koralowej i Lodowej Krainie; 20% więcej od podstawowych NPCów na Ognistej Gwieździe i Gwiazdzie Koralowej; 20% więcej od przygranicznych NPCów na Lodowej Krainie.
- "&amp;"Naprawy wydajności zasobów: Rozwiązano problemy z nieprawidłowym generowaniem zasobów i odjęto dodatkowe zasoby ze starszych wersji.")</f>
        <v>- Zwiększenie limitu poziomu budynków: Mury obronne i wieże mogą teraz osiągnąć poziom 35 na starszych serwerach.
- Bitwa Przenośników: Dostosowano zdobycie PD z rozgrywek PvP.
- Wojny Planet: Zwiększono pozyskiwanie zasobów i wskaźniki dropów - 50% więcej ze Stacji Zbiórki i 10% więcej od zaawansowanych NPCów na Ognistej Gwieździe, Gwiazdzie Koralowej i Lodowej Krainie; 20% więcej od podstawowych NPCów na Ognistej Gwieździe i Gwiazdzie Koralowej; 20% więcej od przygranicznych NPCów na Lodowej Krainie.
- Naprawy wydajności zasobów: Rozwiązano problemy z nieprawidłowym generowaniem zasobów i odjęto dodatkowe zasoby ze starszych wersji.</v>
      </c>
      <c r="P53" s="169" t="str">
        <f>IFERROR(__xludf.DUMMYFUNCTION("""COMPUTED_VALUE"""),"- زيادة الحد الأقصى لمستوى البناء: يمكن الآن لجدران الدفاع والأبراج الوصول إلى المستوى 35 للسيرفرات القديمة.
- معركة الناقلة: تم تعديل الخبرة المكتسبة من اللعب ضد اللاعبين.
- حروب الكوكب: زيادة جمع الموارد ومعدلات الإسقاط - 50% أكثر من محطات الجمع و10% أك"&amp;"ثر من الشخصيات غير القابلة للعب المتقدمة على نجمة النار، نجمة المرجان، وأرض الأنهار الجليدية؛ 20% أكثر من الشخصيات غير القابلة للعب الأساسية على نجمة النار ونجمة المرجان؛ 20% أكثر من الشخصيات غير القابلة للعب الحدودية على أرض الأنهار الجليدية.
- إصلاحات إ"&amp;"نتاج الموارد: تم حل المشكلات المتعلقة بتوليد الموارد غير الطبيعي وخصم الموارد الزائدة من الإصدارات القديمة.")</f>
        <v>- زيادة الحد الأقصى لمستوى البناء: يمكن الآن لجدران الدفاع والأبراج الوصول إلى المستوى 35 للسيرفرات القديمة.
- معركة الناقلة: تم تعديل الخبرة المكتسبة من اللعب ضد اللاعبين.
- حروب الكوكب: زيادة جمع الموارد ومعدلات الإسقاط - 50% أكثر من محطات الجمع و10% أكثر من الشخصيات غير القابلة للعب المتقدمة على نجمة النار، نجمة المرجان، وأرض الأنهار الجليدية؛ 20% أكثر من الشخصيات غير القابلة للعب الأساسية على نجمة النار ونجمة المرجان؛ 20% أكثر من الشخصيات غير القابلة للعب الحدودية على أرض الأنهار الجليدية.
- إصلاحات إنتاج الموارد: تم حل المشكلات المتعلقة بتوليد الموارد غير الطبيعي وخصم الموارد الزائدة من الإصدارات القديمة.</v>
      </c>
      <c r="Q53" s="169" t="str">
        <f>IFERROR(__xludf.DUMMYFUNCTION("""COMPUTED_VALUE"""),"- 建築レベル上限の増加: 防壁とタワーは古いサーバーでレベル35に到達できるようになりました。
- キャリア戦闘: PvPプレイから獲得する経験値を調整しました。
- プラネットウォーズ: 資源収集とドロップ率を増加 - 収集ステーションから50%増加し、ファイアスター、コーラルスター、氷河の土地の上級NPCから10%増加; ファイアスターとコーラルスターの基本NPCから20%増加; 氷河の土地の境界NPCから20%増加。
- 資源出力の修正: 異常な資源生成の問題を解決し、古いバージョンからの余分な資"&amp;"源を差し引きました。")</f>
        <v>- 建築レベル上限の増加: 防壁とタワーは古いサーバーでレベル35に到達できるようになりました。
- キャリア戦闘: PvPプレイから獲得する経験値を調整しました。
- プラネットウォーズ: 資源収集とドロップ率を増加 - 収集ステーションから50%増加し、ファイアスター、コーラルスター、氷河の土地の上級NPCから10%増加; ファイアスターとコーラルスターの基本NPCから20%増加; 氷河の土地の境界NPCから20%増加。
- 資源出力の修正: 異常な資源生成の問題を解決し、古いバージョンからの余分な資源を差し引きました。</v>
      </c>
      <c r="R53" s="169" t="str">
        <f>IFERROR(__xludf.DUMMYFUNCTION("""COMPUTED_VALUE"""),"- 건축물 레벨 한도 증가: 방벽과 타워는 이제 오래된 서버에서 레벨 35까지 도달할 수 있습니다.
- 운반선 전투: PvP 플레이에서 획득하는 경험치를 조정했습니다.
- 은하 전쟁: 자원 수집 및 드롭률 증가 - 수집 주둔지에서 50% 더 많고, 불칸, 산호별, 빙하 땅의 고급 NPC들에서 10% 더 많습니다; 불칸과 산호별의 기본 NPC들에서 20% 더 많고, 빙하 땅의 경계 NPC들에서 20% 더 많습니다.
- 자원 출력 수정: 비정상적인 자원 생"&amp;"성 문제를 해결하고 오래된 버전에서 추가된 자원을 차감했습니다.")</f>
        <v>- 건축물 레벨 한도 증가: 방벽과 타워는 이제 오래된 서버에서 레벨 35까지 도달할 수 있습니다.
- 운반선 전투: PvP 플레이에서 획득하는 경험치를 조정했습니다.
- 은하 전쟁: 자원 수집 및 드롭률 증가 - 수집 주둔지에서 50% 더 많고, 불칸, 산호별, 빙하 땅의 고급 NPC들에서 10% 더 많습니다; 불칸과 산호별의 기본 NPC들에서 20% 더 많고, 빙하 땅의 경계 NPC들에서 20% 더 많습니다.
- 자원 출력 수정: 비정상적인 자원 생성 문제를 해결하고 오래된 버전에서 추가된 자원을 차감했습니다.</v>
      </c>
      <c r="S53" s="108"/>
      <c r="T53" s="108"/>
      <c r="U53" s="108"/>
      <c r="V53" s="108"/>
      <c r="W53" s="108"/>
      <c r="X53" s="108"/>
      <c r="Y53" s="108"/>
      <c r="Z53" s="108"/>
    </row>
    <row r="54">
      <c r="A54" s="108" t="str">
        <f>IFERROR(__xludf.DUMMYFUNCTION("""COMPUTED_VALUE"""),"0.74.0")</f>
        <v>0.74.0</v>
      </c>
      <c r="B54" s="108" t="str">
        <f>IFERROR(__xludf.DUMMYFUNCTION("""COMPUTED_VALUE"""),"-进攻疯狂巨猿：修正图标与实际兵种等级不符的显示错误，优化前期体验，降低整体难度。
-最强猴子：最强猴子等活动中，分解一级战装时不再扣除通过战装战力增长获得的积分，战装降级仍会扣除积分。
-犀牛机甲治疗消耗降低 ：犀牛机甲治疗时消耗的时间与基础资源降低至原来的75%。
-军功任务：前三赛季军功任务的完成经验值与任务内容体验优化。")</f>
        <v>-进攻疯狂巨猿：修正图标与实际兵种等级不符的显示错误，优化前期体验，降低整体难度。
-最强猴子：最强猴子等活动中，分解一级战装时不再扣除通过战装战力增长获得的积分，战装降级仍会扣除积分。
-犀牛机甲治疗消耗降低 ：犀牛机甲治疗时消耗的时间与基础资源降低至原来的75%。
-军功任务：前三赛季军功任务的完成经验值与任务内容体验优化。</v>
      </c>
      <c r="C54" s="108" t="str">
        <f>IFERROR(__xludf.DUMMYFUNCTION("""COMPUTED_VALUE"""),"-Attack on the Mad Giganto: Corrected an icon error where unit levels didn't match actual troop levels, refined early gameplay, and reduced overall difficulty.        
-Ultimate Monkey: In events like Ultimate Monkey, decomposing level-1 equipment no long"&amp;"er deducts points earned from the equipment, though downgrades will still cost points.
-Rhino Mech Healing Cost Reduced: Healing a Rhino Mech now takes only 75% of the original time and resource cost.
-Honor Tasks: Optimized experience rewards and task co"&amp;"ntent for the first three seasons of Honor Tasks.")</f>
        <v>-Attack on the Mad Giganto: Corrected an icon error where unit levels didn't match actual troop levels, refined early gameplay, and reduced overall difficulty.        
-Ultimate Monkey: In events like Ultimate Monkey, decomposing level-1 equipment no longer deducts points earned from the equipment, though downgrades will still cost points.
-Rhino Mech Healing Cost Reduced: Healing a Rhino Mech now takes only 75% of the original time and resource cost.
-Honor Tasks: Optimized experience rewards and task content for the first three seasons of Honor Tasks.</v>
      </c>
      <c r="D54" s="169" t="str">
        <f>IFERROR(__xludf.DUMMYFUNCTION("""COMPUTED_VALUE"""),"-Attaque sur le Giganto dément : Correction d'une erreur d'icône où les niveaux d'unité ne correspondaient pas aux niveaux réels des troupes, amélioration du gameplay initial et réduction de la difficulté globale.
-Singe Ultime : Dans des événements comme"&amp;" Singe Ultime, la décomposition de l'équipement de niveau 1 ne déduit plus les points gagnés de l'équipement, bien que les rétrogradations coûtent toujours des points.
-Coût de guérison du Mécha-rhino réduit : La guérison d'un Mécha-rhino ne prend désorma"&amp;"is que 75% du temps et du coût en ressources d'origine.
-Quêtes d'Honneur : Récompenses d'expérience et contenu des quêtes optimisés pour les trois premières saisons des Quêtes d'Honneur.")</f>
        <v>-Attaque sur le Giganto dément : Correction d'une erreur d'icône où les niveaux d'unité ne correspondaient pas aux niveaux réels des troupes, amélioration du gameplay initial et réduction de la difficulté globale.
-Singe Ultime : Dans des événements comme Singe Ultime, la décomposition de l'équipement de niveau 1 ne déduit plus les points gagnés de l'équipement, bien que les rétrogradations coûtent toujours des points.
-Coût de guérison du Mécha-rhino réduit : La guérison d'un Mécha-rhino ne prend désormais que 75% du temps et du coût en ressources d'origine.
-Quêtes d'Honneur : Récompenses d'expérience et contenu des quêtes optimisés pour les trois premières saisons des Quêtes d'Honneur.</v>
      </c>
      <c r="E54" s="169" t="str">
        <f>IFERROR(__xludf.DUMMYFUNCTION("""COMPUTED_VALUE"""),"-Angriff auf den Verrückten Giganto: Ein Symbolfehler wurde korrigiert, bei dem die Einheitenstufen nicht den tatsächlichen Truppenstufen entsprachen, das frühe Gameplay wurde verfeinert und die Gesamtschwierigkeit reduziert.
-Ultimativer Affe: In Events "&amp;"wie Ultimativer Affe führt das Zerlegen von Ausrüstung der Stufe 1 nicht mehr zum Abzug der durch die Ausrüstung erhaltenen Punkte, obwohl Herabstufungen weiterhin Punkte kosten.
-Rhino-Mech-Heilungskosten gesenkt: Das Heilen eines Rhino-Mechs kostet jetz"&amp;"t nur noch 75% der Originalzeit und Ressourcen.
-Ehre-Aufgaben: Die Erfahrungsbelohnungen und der Aufgabeninhalt für die ersten drei Staffeln der Ehre-Aufgaben wurden optimiert.")</f>
        <v>-Angriff auf den Verrückten Giganto: Ein Symbolfehler wurde korrigiert, bei dem die Einheitenstufen nicht den tatsächlichen Truppenstufen entsprachen, das frühe Gameplay wurde verfeinert und die Gesamtschwierigkeit reduziert.
-Ultimativer Affe: In Events wie Ultimativer Affe führt das Zerlegen von Ausrüstung der Stufe 1 nicht mehr zum Abzug der durch die Ausrüstung erhaltenen Punkte, obwohl Herabstufungen weiterhin Punkte kosten.
-Rhino-Mech-Heilungskosten gesenkt: Das Heilen eines Rhino-Mechs kostet jetzt nur noch 75% der Originalzeit und Ressourcen.
-Ehre-Aufgaben: Die Erfahrungsbelohnungen und der Aufgabeninhalt für die ersten drei Staffeln der Ehre-Aufgaben wurden optimiert.</v>
      </c>
      <c r="F54" s="169" t="str">
        <f>IFERROR(__xludf.DUMMYFUNCTION("""COMPUTED_VALUE"""),"-Ataque ao Giganto Louco: Corrigido um erro de ícone onde os níveis das unidades não correspondiam aos níveis reais das tropas, refinada a mecânica inicial do jogo e reduzida a dificuldade geral.
-Macaco Supremo: Em eventos como Macaco Supremo, decompor e"&amp;"quipamentos de nível 1 não deduz mais pontos ganhos com o equipamento, embora rebaixamentos ainda custem pontos.
-Custo de Cura do Mech Rino Reduzido: Curar um Mech Rino agora leva apenas 75% do tempo e custo de recursos originais.
-Tarefas de Honra: Otim"&amp;"izadas as recompensas de experiência e o conteúdo das tarefas para as três primeiras temporadas das Tarefas de Honra.")</f>
        <v>-Ataque ao Giganto Louco: Corrigido um erro de ícone onde os níveis das unidades não correspondiam aos níveis reais das tropas, refinada a mecânica inicial do jogo e reduzida a dificuldade geral.
-Macaco Supremo: Em eventos como Macaco Supremo, decompor equipamentos de nível 1 não deduz mais pontos ganhos com o equipamento, embora rebaixamentos ainda custem pontos.
-Custo de Cura do Mech Rino Reduzido: Curar um Mech Rino agora leva apenas 75% do tempo e custo de recursos originais.
-Tarefas de Honra: Otimizadas as recompensas de experiência e o conteúdo das tarefas para as três primeiras temporadas das Tarefas de Honra.</v>
      </c>
      <c r="G54" s="169" t="str">
        <f>IFERROR(__xludf.DUMMYFUNCTION("""COMPUTED_VALUE"""),"-進攻瘋狂巨猿：修正圖標與實際兵種等級不符的顯示錯誤，優化前期體驗，降低整體難度。
-最強猴子：最強猴子等活動中，分解一級戰裝時不再扣除通過戰裝戰力增長取得的積分，戰裝降級仍會扣除積分。
-犀牛機甲治療消耗降低：犀牛機甲治療時消耗的時間與基礎資源降低至原來的75%。
-軍功任務：前三賽季軍功任務的完成經驗值與任務內容體驗優化。")</f>
        <v>-進攻瘋狂巨猿：修正圖標與實際兵種等級不符的顯示錯誤，優化前期體驗，降低整體難度。
-最強猴子：最強猴子等活動中，分解一級戰裝時不再扣除通過戰裝戰力增長取得的積分，戰裝降級仍會扣除積分。
-犀牛機甲治療消耗降低：犀牛機甲治療時消耗的時間與基礎資源降低至原來的75%。
-軍功任務：前三賽季軍功任務的完成經驗值與任務內容體驗優化。</v>
      </c>
      <c r="H54" s="169" t="str">
        <f>IFERROR(__xludf.DUMMYFUNCTION("""COMPUTED_VALUE"""),"-Serangan pada Giganto Gila: Diperbaiki kesalahan ikon di mana level unit tidak sesuai dengan level pasukan sebenarnya, disempurnakan gameplay awal, dan mengurangi keseluruhan kesulitan.
-Kera yang Tangguh: Dalam acara seperti Kera yang Tangguh, membongka"&amp;"r peralatan level-1 tidak lagi mengurangi poin yang diperoleh dari peralatan tersebut, meskipun penurunan level masih akan mengurangi poin.
-Biaya Penyembuhan Badak Mekanik Turun: Menyembuhkan Badak Mekanik sekarang hanya memerlukan 75% dari waktu dan bia"&amp;"ya sumber daya asli.
-Tugas Kehormatan: Dioptimalkan hadiah pengalaman dan konten tugas untuk tiga musim pertama Tugas Kehormatan.")</f>
        <v>-Serangan pada Giganto Gila: Diperbaiki kesalahan ikon di mana level unit tidak sesuai dengan level pasukan sebenarnya, disempurnakan gameplay awal, dan mengurangi keseluruhan kesulitan.
-Kera yang Tangguh: Dalam acara seperti Kera yang Tangguh, membongkar peralatan level-1 tidak lagi mengurangi poin yang diperoleh dari peralatan tersebut, meskipun penurunan level masih akan mengurangi poin.
-Biaya Penyembuhan Badak Mekanik Turun: Menyembuhkan Badak Mekanik sekarang hanya memerlukan 75% dari waktu dan biaya sumber daya asli.
-Tugas Kehormatan: Dioptimalkan hadiah pengalaman dan konten tugas untuk tiga musim pertama Tugas Kehormatan.</v>
      </c>
      <c r="I54" s="169" t="str">
        <f>IFERROR(__xludf.DUMMYFUNCTION("""COMPUTED_VALUE"""),"-โจมตี กิกันโตคลั่ง: แก้ไขข้อผิดพลาดของไอคอนที่เลเวลหน่วยไม่ตรงกับเลเวลกองทหารจริง ปรับปรุงการเล่นเกมในช่วงแรก และลดความยากโดยรวม
-ลิงขั้นเทพ: ในกิจกรรมเช่น ลิงขั้นเทพ การสลายอุปกรณ์เลเวล 1 จะไม่หักคะแนนที่ได้รับจากอุปกรณ์นั้น แม้ว่าการลดระดับจะยังคงหักคะ"&amp;"แนน
-ลดค่าใช้จ่ายในการรักษา ไรโนเมค: การรักษา ไรโนเมค ตอนนี้ใช้เวลาและทรัพยากรเพียง 75% ของเวลาเดิม
-งานเกียรติยศ: ปรับปรุงรางวัลค่าประสบการณ์และเนื้อหางานสำหรับสามซีซันแรกของงานเกียรติยศ")</f>
        <v>-โจมตี กิกันโตคลั่ง: แก้ไขข้อผิดพลาดของไอคอนที่เลเวลหน่วยไม่ตรงกับเลเวลกองทหารจริง ปรับปรุงการเล่นเกมในช่วงแรก และลดความยากโดยรวม
-ลิงขั้นเทพ: ในกิจกรรมเช่น ลิงขั้นเทพ การสลายอุปกรณ์เลเวล 1 จะไม่หักคะแนนที่ได้รับจากอุปกรณ์นั้น แม้ว่าการลดระดับจะยังคงหักคะแนน
-ลดค่าใช้จ่ายในการรักษา ไรโนเมค: การรักษา ไรโนเมค ตอนนี้ใช้เวลาและทรัพยากรเพียง 75% ของเวลาเดิม
-งานเกียรติยศ: ปรับปรุงรางวัลค่าประสบการณ์และเนื้อหางานสำหรับสามซีซันแรกของงานเกียรติยศ</v>
      </c>
      <c r="J54" s="169" t="str">
        <f>IFERROR(__xludf.DUMMYFUNCTION("""COMPUTED_VALUE"""),"-Ataque al Gigantopithecus Loco: Corregido un error de icono donde los niveles de unidad no coincidían con los niveles reales de las tropas, refinado el juego temprano y reducida la dificultad general.
-Mono Supremo: En eventos como Mono Supremo, descompo"&amp;"ner equipo de nivel 1 ya no deduce puntos ganados del equipo, aunque las degradaciones seguirán costando puntos.
-Costo de Curación del Meca Rino Reducido: Curar un Meca Rino ahora toma solo el 75% del tiempo y costo de recursos originales.
-Tareas de Hon"&amp;"or: Optimizada la experiencia de recompensas y el contenido de las tareas para las primeras tres temporadas de Tareas de Honor.")</f>
        <v>-Ataque al Gigantopithecus Loco: Corregido un error de icono donde los niveles de unidad no coincidían con los niveles reales de las tropas, refinado el juego temprano y reducida la dificultad general.
-Mono Supremo: En eventos como Mono Supremo, descomponer equipo de nivel 1 ya no deduce puntos ganados del equipo, aunque las degradaciones seguirán costando puntos.
-Costo de Curación del Meca Rino Reducido: Curar un Meca Rino ahora toma solo el 75% del tiempo y costo de recursos originales.
-Tareas de Honor: Optimizada la experiencia de recompensas y el contenido de las tareas para las primeras tres temporadas de Tareas de Honor.</v>
      </c>
      <c r="K54" s="169" t="str">
        <f>IFERROR(__xludf.DUMMYFUNCTION("""COMPUTED_VALUE"""),"-Атака на Безумного Гиганто: Исправлена ошибка значка, где уровни отрядов не соответствовали фактическим уровням войск, улучшен ранний игровой процесс и снижена общая сложность.
-Великая Обезьяна: В событиях, таких как Великая Обезьяна, разборка оборудова"&amp;"ния уровня-1 больше не уменьшает заработанные очки, хотя понижения уровня все равно будут стоить очков.
-Снижение стоимости лечения Рино Меха: Лечение Рино Меха теперь занимает только 75% от начального времени и стоимости ресурсов.
-Задачи Чести: Оптимизи"&amp;"рованы награды за опыт и содержание задач для первых трех сезонов Задач Чести.")</f>
        <v>-Атака на Безумного Гиганто: Исправлена ошибка значка, где уровни отрядов не соответствовали фактическим уровням войск, улучшен ранний игровой процесс и снижена общая сложность.
-Великая Обезьяна: В событиях, таких как Великая Обезьяна, разборка оборудования уровня-1 больше не уменьшает заработанные очки, хотя понижения уровня все равно будут стоить очков.
-Снижение стоимости лечения Рино Меха: Лечение Рино Меха теперь занимает только 75% от начального времени и стоимости ресурсов.
-Задачи Чести: Оптимизированы награды за опыт и содержание задач для первых трех сезонов Задач Чести.</v>
      </c>
      <c r="L54" s="169" t="str">
        <f>IFERROR(__xludf.DUMMYFUNCTION("""COMPUTED_VALUE"""),"-Saldırı Deli Giganto'ya: Birim seviyelerinin gerçek birlik seviyeleriyle eşleşmediği bir simge hatası düzeltildi, erken oynanış iyileştirildi ve genel zorluk azaltıldı.
-En Üstün Maymun: En Üstün Maymun gibi etkinliklerde, seviye-1 ekipmanı parçalamak ar"&amp;"tık ekipmandan kazanılan puanları düşürmez, ancak düşürmeler yine de puan kaybına neden olur.
-Gergedan Mekanı İyileştirme Maliyeti Azaltıldı: Bir Gergedan Mekanı iyileştirmek artık orijinal sürenin ve kaynak maliyetinin sadece %75'ini alır.
-Onur Görevle"&amp;"ri: Onur Görevlerinin ilk üç sezonu için deneyim ödülleri ve görev içeriği optimize edildi.")</f>
        <v>-Saldırı Deli Giganto'ya: Birim seviyelerinin gerçek birlik seviyeleriyle eşleşmediği bir simge hatası düzeltildi, erken oynanış iyileştirildi ve genel zorluk azaltıldı.
-En Üstün Maymun: En Üstün Maymun gibi etkinliklerde, seviye-1 ekipmanı parçalamak artık ekipmandan kazanılan puanları düşürmez, ancak düşürmeler yine de puan kaybına neden olur.
-Gergedan Mekanı İyileştirme Maliyeti Azaltıldı: Bir Gergedan Mekanı iyileştirmek artık orijinal sürenin ve kaynak maliyetinin sadece %75'ini alır.
-Onur Görevleri: Onur Görevlerinin ilk üç sezonu için deneyim ödülleri ve görev içeriği optimize edildi.</v>
      </c>
      <c r="M54" s="169" t="str">
        <f>IFERROR(__xludf.DUMMYFUNCTION("""COMPUTED_VALUE"""),"-Tấn Công Vượn Khổng Lồ Điên Rồ: Đã sửa lỗi biểu tượng khi cấp độ đơn vị không khớp với cấp độ binh lính thực tế, tinh chỉnh trò chơi sớm và giảm độ khó tổng thể.
-Chúa Khỉ Tối Cao: Trong các sự kiện như Chúa Khỉ Tối Cao, việc phân rã trang bị cấp 1 không"&amp;" còn trừ điểm kiếm được từ trang bị, mặc dù việc hạ cấp vẫn sẽ tốn điểm.
-Giảm Chi Phí Trị Thương Tê Giác Cơ Khí: Trị thương Tê Giác Cơ Khí giờ chỉ mất 75% thời gian và chi phí tài nguyên ban đầu.
-Nhiệm Vụ Vinh Dự: Tối ưu hóa phần thưởng kinh nghiệm và n"&amp;"ội dung nhiệm vụ cho ba phần đầu tiên của Nhiệm Vụ Vinh Dự.")</f>
        <v>-Tấn Công Vượn Khổng Lồ Điên Rồ: Đã sửa lỗi biểu tượng khi cấp độ đơn vị không khớp với cấp độ binh lính thực tế, tinh chỉnh trò chơi sớm và giảm độ khó tổng thể.
-Chúa Khỉ Tối Cao: Trong các sự kiện như Chúa Khỉ Tối Cao, việc phân rã trang bị cấp 1 không còn trừ điểm kiếm được từ trang bị, mặc dù việc hạ cấp vẫn sẽ tốn điểm.
-Giảm Chi Phí Trị Thương Tê Giác Cơ Khí: Trị thương Tê Giác Cơ Khí giờ chỉ mất 75% thời gian và chi phí tài nguyên ban đầu.
-Nhiệm Vụ Vinh Dự: Tối ưu hóa phần thưởng kinh nghiệm và nội dung nhiệm vụ cho ba phần đầu tiên của Nhiệm Vụ Vinh Dự.</v>
      </c>
      <c r="N54" s="169" t="str">
        <f>IFERROR(__xludf.DUMMYFUNCTION("""COMPUTED_VALUE"""),"-Attacco al Gigagorilla Pazzo: Corretto un errore dell'icona in cui i livelli delle unità non corrispondevano ai livelli effettivi delle truppe, raffinato il gameplay iniziale e ridotta la difficoltà complessiva.
-Scimmia Suprema: Negli eventi come Scimmi"&amp;"a Suprema, decomporre l'equipaggiamento di livello 1 non sottrae più punti ottenuti dall'equipaggiamento, anche se i downgrade continueranno a costare punti.
-Costo di Guarigione del Rino Mech Ridotto: Guarire un Rino Mech ora richiede solo il 75% del tem"&amp;"po e del costo delle risorse originali.
-Missioni d'Onore: Ottimizzate le ricompense di esperienza e il contenuto delle missioni per le prime tre stagioni delle Missioni d'Onore.")</f>
        <v>-Attacco al Gigagorilla Pazzo: Corretto un errore dell'icona in cui i livelli delle unità non corrispondevano ai livelli effettivi delle truppe, raffinato il gameplay iniziale e ridotta la difficoltà complessiva.
-Scimmia Suprema: Negli eventi come Scimmia Suprema, decomporre l'equipaggiamento di livello 1 non sottrae più punti ottenuti dall'equipaggiamento, anche se i downgrade continueranno a costare punti.
-Costo di Guarigione del Rino Mech Ridotto: Guarire un Rino Mech ora richiede solo il 75% del tempo e del costo delle risorse originali.
-Missioni d'Onore: Ottimizzate le ricompense di esperienza e il contenuto delle missioni per le prime tre stagioni delle Missioni d'Onore.</v>
      </c>
      <c r="O54" s="169" t="str">
        <f>IFERROR(__xludf.DUMMYFUNCTION("""COMPUTED_VALUE"""),"-Attak na Szaloną Gigamałpę: Poprawiono błąd ikony, gdzie poziomy jednostek nie odpowiadały rzeczywistym poziomom oddziałów, udoskonalono wczesną rozgrywkę i zmniejszono ogólną trudność.
-Ubermałpa: W wydarzeniach takich jak Ubermałpa, rozkładanie sprzętu"&amp;" poziomu 1 nie odejmuje już zdobytych punktów, choć degradacje nadal będą kosztować punkty.
-Mniejszy koszt leczenia Ryno Mecha: Leczenie Ryno Mecha zajmuje teraz tylko 75% oryginalnego czasu i kosztu zasobów.
-Zadania Honorowe: Zoptymalizowano nagrody za"&amp;" doświadczenie i treść zadań na pierwsze trzy sezony Zadań Honorowych.")</f>
        <v>-Attak na Szaloną Gigamałpę: Poprawiono błąd ikony, gdzie poziomy jednostek nie odpowiadały rzeczywistym poziomom oddziałów, udoskonalono wczesną rozgrywkę i zmniejszono ogólną trudność.
-Ubermałpa: W wydarzeniach takich jak Ubermałpa, rozkładanie sprzętu poziomu 1 nie odejmuje już zdobytych punktów, choć degradacje nadal będą kosztować punkty.
-Mniejszy koszt leczenia Ryno Mecha: Leczenie Ryno Mecha zajmuje teraz tylko 75% oryginalnego czasu i kosztu zasobów.
-Zadania Honorowe: Zoptymalizowano nagrody za doświadczenie i treść zadań na pierwsze trzy sezony Zadań Honorowych.</v>
      </c>
      <c r="P54" s="169" t="str">
        <f>IFERROR(__xludf.DUMMYFUNCTION("""COMPUTED_VALUE"""),"-هجوم على القرد العملاق المجنون: تم تصحيح خطأ في الأيقونة حيث لم تتطابق مستويات الوحدة مع مستويات القوات الفعلية، وتم تحسين طريقة اللعب المبكرة، وتقليل الصعوبة العامة.
-القرد الخارق: في أحداث مثل القرد الخارق، لم يعد تفكيك المعدات من المستوى الأول يخصم ال"&amp;"نقاط المكتسبة من المعدات، على الرغم من أن التخفيضات ستظل تكلف النقاط.
-تخفيض تكلفة علاج راينو ميكا: الآن يستغرق علاج راينو ميكا 75% فقط من الوقت الأصلي وتكلفة الموارد.
-مهام الشرف: تم تحسين مكافآت الخبرة ومحتوى المهام للمواسم الثلاثة الأولى من مهام الشرف.")</f>
        <v>-هجوم على القرد العملاق المجنون: تم تصحيح خطأ في الأيقونة حيث لم تتطابق مستويات الوحدة مع مستويات القوات الفعلية، وتم تحسين طريقة اللعب المبكرة، وتقليل الصعوبة العامة.
-القرد الخارق: في أحداث مثل القرد الخارق، لم يعد تفكيك المعدات من المستوى الأول يخصم النقاط المكتسبة من المعدات، على الرغم من أن التخفيضات ستظل تكلف النقاط.
-تخفيض تكلفة علاج راينو ميكا: الآن يستغرق علاج راينو ميكا 75% فقط من الوقت الأصلي وتكلفة الموارد.
-مهام الشرف: تم تحسين مكافآت الخبرة ومحتوى المهام للمواسم الثلاثة الأولى من مهام الشرف.</v>
      </c>
      <c r="Q54" s="169" t="str">
        <f>IFERROR(__xludf.DUMMYFUNCTION("""COMPUTED_VALUE"""),"-マッドギガントへの攻撃：ユニットレベルが実際の部隊レベルと一致しないアイコンエラーを修正し、初期のプレイデータを改善し、全体の難易度を下げました。
-究極のエイプ：究極のエイプのようなイベントでは、レベル1の装備を分解しても獲得したポイントが減少しなくなりましたが、ダウングレードは依然としてポイントがかかります。
-メカライノ治療コスト削減：メカライノの治療には、基準時間とリソースコストの75%しかかかりません。
-栄誉タスク：栄誉タスクの最初の3シーズンの経験値報酬とタスク内容を最適化しました。")</f>
        <v>-マッドギガントへの攻撃：ユニットレベルが実際の部隊レベルと一致しないアイコンエラーを修正し、初期のプレイデータを改善し、全体の難易度を下げました。
-究極のエイプ：究極のエイプのようなイベントでは、レベル1の装備を分解しても獲得したポイントが減少しなくなりましたが、ダウングレードは依然としてポイントがかかります。
-メカライノ治療コスト削減：メカライノの治療には、基準時間とリソースコストの75%しかかかりません。
-栄誉タスク：栄誉タスクの最初の3シーズンの経験値報酬とタスク内容を最適化しました。</v>
      </c>
      <c r="R54" s="169" t="str">
        <f>IFERROR(__xludf.DUMMYFUNCTION("""COMPUTED_VALUE"""),"-미친 변이 원숭이 공격: 유닛 레벨이 실제 부대 레벨과 일치하지 않는 아이콘 오류를 수정하고, 초기 게임플레이를 개선했으며, 전반적인 난이도를 낮췄습니다.
-최강 원숭이: 최강 원숭이와 같은 이벤트에서 레벨 1 장비를 분해해도 획득한 포인트가 차감되지 않지만, 다운그레이드는 여전히 포인트가 소모됩니다.
-라이노 메카 치료 비용 감소: 라이노 메카를 치료하는 데 드는 시간과 자원 비용이 원래의 75%로 줄어듭니다.
-명예 임무: 명예 임무의 첫 세 시즌"&amp;" 동안 경험치 보상과 임무 내용을 최적화했습니다.")</f>
        <v>-미친 변이 원숭이 공격: 유닛 레벨이 실제 부대 레벨과 일치하지 않는 아이콘 오류를 수정하고, 초기 게임플레이를 개선했으며, 전반적인 난이도를 낮췄습니다.
-최강 원숭이: 최강 원숭이와 같은 이벤트에서 레벨 1 장비를 분해해도 획득한 포인트가 차감되지 않지만, 다운그레이드는 여전히 포인트가 소모됩니다.
-라이노 메카 치료 비용 감소: 라이노 메카를 치료하는 데 드는 시간과 자원 비용이 원래의 75%로 줄어듭니다.
-명예 임무: 명예 임무의 첫 세 시즌 동안 경험치 보상과 임무 내용을 최적화했습니다.</v>
      </c>
      <c r="S54" s="108"/>
      <c r="T54" s="108"/>
      <c r="U54" s="108"/>
      <c r="V54" s="108"/>
      <c r="W54" s="108"/>
      <c r="X54" s="108"/>
      <c r="Y54" s="108"/>
      <c r="Z54" s="108"/>
    </row>
    <row r="55">
      <c r="A55" s="108" t="str">
        <f>IFERROR(__xludf.DUMMYFUNCTION("""COMPUTED_VALUE"""),"0.75.0")</f>
        <v>0.75.0</v>
      </c>
      <c r="B55" s="108" t="str">
        <f>IFERROR(__xludf.DUMMYFUNCTION("""COMPUTED_VALUE"""),"生命监护站：降低激进治疗T3-T6士兵所需的濒死士兵消耗，调整康复点治疗消耗；
斗士解锁：将斗士解锁时间提前，在服务器开启的第350天解锁全部斗士，更多的新玩家可以体验到新斗士了！")</f>
        <v>生命监护站：降低激进治疗T3-T6士兵所需的濒死士兵消耗，调整康复点治疗消耗；
斗士解锁：将斗士解锁时间提前，在服务器开启的第350天解锁全部斗士，更多的新玩家可以体验到新斗士了！</v>
      </c>
      <c r="C55" s="108" t="str">
        <f>IFERROR(__xludf.DUMMYFUNCTION("""COMPUTED_VALUE"""),"-First Aid Station: Reduced injured soldiers cost for aggressive treatment of T3–T6 troops and adjusted Recovery Point healing consumption!  
-Fighter Unlock: All Fighters now become available on server Day 350, so new players can enjoy them sooner!  
")</f>
        <v>-First Aid Station: Reduced injured soldiers cost for aggressive treatment of T3–T6 troops and adjusted Recovery Point healing consumption!  
-Fighter Unlock: All Fighters now become available on server Day 350, so new players can enjoy them sooner!  
</v>
      </c>
      <c r="D55" s="108" t="str">
        <f>IFERROR(__xludf.DUMMYFUNCTION("""COMPUTED_VALUE"""),"-Station de premiers secours : Coût réduit des soldats blessés pour le traitement agressif des troupes T3–T6 et ajustement de la consommation des Points de récupération pour les soins!  
-Déverrouillage des combattants : Tous les combattants deviennent dé"&amp;"sormais disponibles au jour 350 du serveur, afin que les nouveaux joueurs puissent en profiter plus tôt!")</f>
        <v>-Station de premiers secours : Coût réduit des soldats blessés pour le traitement agressif des troupes T3–T6 et ajustement de la consommation des Points de récupération pour les soins!  
-Déverrouillage des combattants : Tous les combattants deviennent désormais disponibles au jour 350 du serveur, afin que les nouveaux joueurs puissent en profiter plus tôt!</v>
      </c>
      <c r="E55" s="108" t="str">
        <f>IFERROR(__xludf.DUMMYFUNCTION("""COMPUTED_VALUE"""),"-Erste-Hilfe-Station: Reduzierte Kosten für verletzte Soldaten bei aggressiver Behandlung von T3–T6 Truppen und angepasster Erholungspunkt-Heilverbrauch!  
-Kämpfer Freischalten: Alle Kämpfer werden nun am Server-Tag 350 verfügbar, damit neue Spieler sie "&amp;"früher genießen können!")</f>
        <v>-Erste-Hilfe-Station: Reduzierte Kosten für verletzte Soldaten bei aggressiver Behandlung von T3–T6 Truppen und angepasster Erholungspunkt-Heilverbrauch!  
-Kämpfer Freischalten: Alle Kämpfer werden nun am Server-Tag 350 verfügbar, damit neue Spieler sie früher genießen können!</v>
      </c>
      <c r="F55" s="108" t="str">
        <f>IFERROR(__xludf.DUMMYFUNCTION("""COMPUTED_VALUE"""),"-Estação de Primeiros Socorros: Custo reduzido de soldados feridos para tratamento agressivo de tropas T3–T6 e consumo de cura de Pontos de Recuperação ajustado!  
-Desbloqueio de Combatente: Todos os Combatentes agora ficam disponíveis no servidor no Dia"&amp;" 350, para que novos jogadores possam aproveitá-los mais cedo!")</f>
        <v>-Estação de Primeiros Socorros: Custo reduzido de soldados feridos para tratamento agressivo de tropas T3–T6 e consumo de cura de Pontos de Recuperação ajustado!  
-Desbloqueio de Combatente: Todos os Combatentes agora ficam disponíveis no servidor no Dia 350, para que novos jogadores possam aproveitá-los mais cedo!</v>
      </c>
      <c r="G55" s="108" t="str">
        <f>IFERROR(__xludf.DUMMYFUNCTION("""COMPUTED_VALUE"""),"生命監護站：降低激進治療T3-T6士兵所需的瀕死士兵消耗，調整康復點治療消耗；
鬥士解鎖：將鬥士解鎖時間提前，在伺服器開啟的第350天解鎖所有鬥士，更多的新玩家可以體驗到新英雄了！")</f>
        <v>生命監護站：降低激進治療T3-T6士兵所需的瀕死士兵消耗，調整康復點治療消耗；
鬥士解鎖：將鬥士解鎖時間提前，在伺服器開啟的第350天解鎖所有鬥士，更多的新玩家可以體驗到新英雄了！</v>
      </c>
      <c r="H55" s="108" t="str">
        <f>IFERROR(__xludf.DUMMYFUNCTION("""COMPUTED_VALUE"""),"-Stasiun Pertolongan Pertama: Mengurangi biaya prajurit yang terluka untuk perawatan agresif pasukan T3–T6 dan menyesuaikan konsumsi Poin Pemulihan!
-Pembukaan Pejuang: Semua Pejuang sekarang tersedia pada hari ke-350 server, sehingga pemain baru dapat me"&amp;"nikmatinya lebih cepat!")</f>
        <v>-Stasiun Pertolongan Pertama: Mengurangi biaya prajurit yang terluka untuk perawatan agresif pasukan T3–T6 dan menyesuaikan konsumsi Poin Pemulihan!
-Pembukaan Pejuang: Semua Pejuang sekarang tersedia pada hari ke-350 server, sehingga pemain baru dapat menikmatinya lebih cepat!</v>
      </c>
      <c r="I55" s="108" t="str">
        <f>IFERROR(__xludf.DUMMYFUNCTION("""COMPUTED_VALUE"""),"-สถานีปฐมพยาบาล: ลดค่าใช้จ่ายในการรักษาทหารที่บาดเจ็บสำหรับการรักษาแบบก้าวร้าวของกองทหาร T3–T6 และปรับการบริโภคคะแนนฟื้นฟู!  
-ปลดล็อกนักสู้: นักสู้ทั้งหมดจะพร้อมใช้งานในเซิร์ฟเวอร์วันที่ 350 ดังนั้นผู้เล่นใหม่สามารถสนุกกับพวกเขาได้เร็วขึ้น!")</f>
        <v>-สถานีปฐมพยาบาล: ลดค่าใช้จ่ายในการรักษาทหารที่บาดเจ็บสำหรับการรักษาแบบก้าวร้าวของกองทหาร T3–T6 และปรับการบริโภคคะแนนฟื้นฟู!  
-ปลดล็อกนักสู้: นักสู้ทั้งหมดจะพร้อมใช้งานในเซิร์ฟเวอร์วันที่ 350 ดังนั้นผู้เล่นใหม่สามารถสนุกกับพวกเขาได้เร็วขึ้น!</v>
      </c>
      <c r="J55" s="108" t="str">
        <f>IFERROR(__xludf.DUMMYFUNCTION("""COMPUTED_VALUE"""),"-Estación de Primeros Auxilios: ¡Costo reducido de soldados heridos para el tratamiento agresivo de tropas T3–T6 y ajustado el consumo de Puntos de Recuperación para curación!  
-Desbloqueo de Luchador: ¡Todos los Luchadores ahora estarán disponibles en e"&amp;"l servidor en el Día 350, para que los nuevos jugadores puedan disfrutarlos antes!")</f>
        <v>-Estación de Primeros Auxilios: ¡Costo reducido de soldados heridos para el tratamiento agresivo de tropas T3–T6 y ajustado el consumo de Puntos de Recuperación para curación!  
-Desbloqueo de Luchador: ¡Todos los Luchadores ahora estarán disponibles en el servidor en el Día 350, para que los nuevos jugadores puedan disfrutarlos antes!</v>
      </c>
      <c r="K55" s="108" t="str">
        <f>IFERROR(__xludf.DUMMYFUNCTION("""COMPUTED_VALUE"""),"-Пункт первой помощи: Снижена стоимость лечения раненых солдат для агрессивного лечения войск T3–T6 и скорректирован расход Очков восстановления!  
-Открытие Героя: Все Герои теперь становятся доступны на 350-й день сервера, чтобы новые игроки могли насла"&amp;"диться ими раньше!")</f>
        <v>-Пункт первой помощи: Снижена стоимость лечения раненых солдат для агрессивного лечения войск T3–T6 и скорректирован расход Очков восстановления!  
-Открытие Героя: Все Герои теперь становятся доступны на 350-й день сервера, чтобы новые игроки могли насладиться ими раньше!</v>
      </c>
      <c r="L55" s="108" t="str">
        <f>IFERROR(__xludf.DUMMYFUNCTION("""COMPUTED_VALUE"""),"-İlk Yardım İstasyonu: T3–T6 birliklerinin saldırgan tedavisi için yaralı asker maliyeti azaltıldı ve İyileşme Noktası iyileştirme tüketimi ayarlandı!  
-Savaşçı Kilidini Aç: Tüm Savaşçılar artık sunucu 350. Günde kullanılabilir hale geliyor, böylece yeni"&amp;" oyuncular daha erken keyfini çıkarabilir!")</f>
        <v>-İlk Yardım İstasyonu: T3–T6 birliklerinin saldırgan tedavisi için yaralı asker maliyeti azaltıldı ve İyileşme Noktası iyileştirme tüketimi ayarlandı!  
-Savaşçı Kilidini Aç: Tüm Savaşçılar artık sunucu 350. Günde kullanılabilir hale geliyor, böylece yeni oyuncular daha erken keyfini çıkarabilir!</v>
      </c>
      <c r="M55" s="108" t="str">
        <f>IFERROR(__xludf.DUMMYFUNCTION("""COMPUTED_VALUE"""),"-TRẠM SƠ CỨU: Giảm chi phí binh lính bị thương cho điều trị tích cực của binh lính T3–T6 và điều chỉnh tiêu thụ Điểm Phục Hồi để trị thương!  
-Mở Khóa Chiến Binh: Tất cả Chiến Binh hiện có thể tranh đoạt vào Ngày 350 của máy chủ, để người chơi mới có thể"&amp;" tận hưởng sớm hơn!")</f>
        <v>-TRẠM SƠ CỨU: Giảm chi phí binh lính bị thương cho điều trị tích cực của binh lính T3–T6 và điều chỉnh tiêu thụ Điểm Phục Hồi để trị thương!  
-Mở Khóa Chiến Binh: Tất cả Chiến Binh hiện có thể tranh đoạt vào Ngày 350 của máy chủ, để người chơi mới có thể tận hưởng sớm hơn!</v>
      </c>
      <c r="N55" s="108" t="str">
        <f>IFERROR(__xludf.DUMMYFUNCTION("""COMPUTED_VALUE"""),"-Stazione di Pronto Soccorso: Ridotto il costo delle truppe ferite per il trattamento aggressivo delle truppe T3–T6 e regolato il consumo di guarigione dei Punti di Ripristino!  
-Sblocco Combattenti: Tutti i Combattenti ora diventano disponibili al giorn"&amp;"o 350 del server, così i nuovi giocatori possono goderseli prima!")</f>
        <v>-Stazione di Pronto Soccorso: Ridotto il costo delle truppe ferite per il trattamento aggressivo delle truppe T3–T6 e regolato il consumo di guarigione dei Punti di Ripristino!  
-Sblocco Combattenti: Tutti i Combattenti ora diventano disponibili al giorno 350 del server, così i nuovi giocatori possono goderseli prima!</v>
      </c>
      <c r="O55" s="108" t="str">
        <f>IFERROR(__xludf.DUMMYFUNCTION("""COMPUTED_VALUE"""),"-Stacja Pierwszej Pomocy: Zmniejszono koszt leczenia rannych żołnierzy przy agresywnym leczeniu oddziałów T3–T6 oraz dostosowano zużycie Punktów regeneracji!  
-Odblokowanie Wojownika: Wszyscy Wojownicy stają się teraz dostępni w dniu 350 serwera, aby now"&amp;"i gracze mogli cieszyć się nimi wcześniej!")</f>
        <v>-Stacja Pierwszej Pomocy: Zmniejszono koszt leczenia rannych żołnierzy przy agresywnym leczeniu oddziałów T3–T6 oraz dostosowano zużycie Punktów regeneracji!  
-Odblokowanie Wojownika: Wszyscy Wojownicy stają się teraz dostępni w dniu 350 serwera, aby nowi gracze mogli cieszyć się nimi wcześniej!</v>
      </c>
      <c r="P55" s="108" t="str">
        <f>IFERROR(__xludf.DUMMYFUNCTION("""COMPUTED_VALUE"""),"-محطة الإسعافات الأولية: تقليل تكلفة الجنود المصابين للعلاج العدواني للقوات من T3 إلى T6 وتعديل استهلاك نقاط الاستعادة للعلاج!
-فتح المقاتلين: جميع المقاتلين يصبحون متاحين الآن في اليوم 350 من السيرفر، حتى يتمكن اللاعبون الجدد من الاستمتاع بهم في وقت أقرب"&amp;"!")</f>
        <v>-محطة الإسعافات الأولية: تقليل تكلفة الجنود المصابين للعلاج العدواني للقوات من T3 إلى T6 وتعديل استهلاك نقاط الاستعادة للعلاج!
-فتح المقاتلين: جميع المقاتلين يصبحون متاحين الآن في اليوم 350 من السيرفر، حتى يتمكن اللاعبون الجدد من الاستمتاع بهم في وقت أقرب!</v>
      </c>
      <c r="Q55" s="108" t="str">
        <f>IFERROR(__xludf.DUMMYFUNCTION("""COMPUTED_VALUE"""),"-応急処置所: T3–T6ユニットの積極的治療に必要な負傷兵士のコストを削減し、回復ポイントの治療消費を調整しました！  
-ファイターアンロック: 全てのファイターがサーバーデイ350に利用可能となり、新しいプレイヤーも早く楽しめるようになります！")</f>
        <v>-応急処置所: T3–T6ユニットの積極的治療に必要な負傷兵士のコストを削減し、回復ポイントの治療消費を調整しました！  
-ファイターアンロック: 全てのファイターがサーバーデイ350に利用可能となり、新しいプレイヤーも早く楽しめるようになります！</v>
      </c>
      <c r="R55" s="108" t="str">
        <f>IFERROR(__xludf.DUMMYFUNCTION("""COMPUTED_VALUE"""),"-응급 처치소: T3–T6 유닛의 공격적인 치료에 필요한 부상당한 병사 비용 감소 및 회복 포인트 치료 소비 조정!  
-전사 잠금 해제: 모든 전사는 이제 서버 350일째에 사용 가능해지므로, 새로운 플레이어들도 더 빨리 즐길 수 있습니다!")</f>
        <v>-응급 처치소: T3–T6 유닛의 공격적인 치료에 필요한 부상당한 병사 비용 감소 및 회복 포인트 치료 소비 조정!  
-전사 잠금 해제: 모든 전사는 이제 서버 350일째에 사용 가능해지므로, 새로운 플레이어들도 더 빨리 즐길 수 있습니다!</v>
      </c>
      <c r="S55" s="108"/>
      <c r="T55" s="108"/>
      <c r="U55" s="108"/>
      <c r="V55" s="108"/>
      <c r="W55" s="108"/>
      <c r="X55" s="108"/>
      <c r="Y55" s="108"/>
      <c r="Z55" s="108"/>
    </row>
    <row r="56">
      <c r="A56" s="108" t="str">
        <f>IFERROR(__xludf.DUMMYFUNCTION("""COMPUTED_VALUE"""),"0.76.0")</f>
        <v>0.76.0</v>
      </c>
      <c r="B56" s="108" t="str">
        <f>IFERROR(__xludf.DUMMYFUNCTION("""COMPUTED_VALUE"""),"-军功任务：调整军功任务获取的军功经验数值。
-机甲远征：机甲远征推荐战力优化。
-银河战争：调整寒冰星不同等级野怪资源掉落量。")</f>
        <v>-军功任务：调整军功任务获取的军功经验数值。
-机甲远征：机甲远征推荐战力优化。
-银河战争：调整寒冰星不同等级野怪资源掉落量。</v>
      </c>
      <c r="C56" s="108" t="str">
        <f>IFERROR(__xludf.DUMMYFUNCTION("""COMPUTED_VALUE"""),"- Honor Quests: Honor EXP values adjusted.
- Mech Expedition: Mech Expedition recommended power improved.
- Planet Wars: Resource drops from Glacier Land monsters have been rebalanced by level.")</f>
        <v>- Honor Quests: Honor EXP values adjusted.
- Mech Expedition: Mech Expedition recommended power improved.
- Planet Wars: Resource drops from Glacier Land monsters have been rebalanced by level.</v>
      </c>
      <c r="D56" s="169" t="str">
        <f>IFERROR(__xludf.DUMMYFUNCTION("""COMPUTED_VALUE"""),"- Quêtes d'honneur : valeurs d'EXP d'honneur ajustées.
- Expédition Mécha : puissance recommandée pour l'expédition mécha améliorée.
- Guerre planétaire : les ressources lâchées par les monstres de la Terre Glaciaire ont été rééquilibrées par niveau.")</f>
        <v>- Quêtes d'honneur : valeurs d'EXP d'honneur ajustées.
- Expédition Mécha : puissance recommandée pour l'expédition mécha améliorée.
- Guerre planétaire : les ressources lâchées par les monstres de la Terre Glaciaire ont été rééquilibrées par niveau.</v>
      </c>
      <c r="E56" s="169" t="str">
        <f>IFERROR(__xludf.DUMMYFUNCTION("""COMPUTED_VALUE"""),"- Ehren-Quests: Ehren-EP-Werte angepasst.
- Mech-Expedition: Empfohlene Stärke der Mech-Expedition verbessert.
- Planetenkriege: Ressourcendrops von Gletscherland-Monstern wurden nach Level neu ausbalanciert.")</f>
        <v>- Ehren-Quests: Ehren-EP-Werte angepasst.
- Mech-Expedition: Empfohlene Stärke der Mech-Expedition verbessert.
- Planetenkriege: Ressourcendrops von Gletscherland-Monstern wurden nach Level neu ausbalanciert.</v>
      </c>
      <c r="F56" s="169" t="str">
        <f>IFERROR(__xludf.DUMMYFUNCTION("""COMPUTED_VALUE"""),"- Missões de Honra: Valores de EXP de Honra ajustados.
- Expedição de Mechas: Poder recomendado da Expedição de Mechas melhorado.
- Guerra Interplanetária: Quedas de recursos dos monstros da Terra Glacial foram reequilibradas por nível.")</f>
        <v>- Missões de Honra: Valores de EXP de Honra ajustados.
- Expedição de Mechas: Poder recomendado da Expedição de Mechas melhorado.
- Guerra Interplanetária: Quedas de recursos dos monstros da Terra Glacial foram reequilibradas por nível.</v>
      </c>
      <c r="G56" s="169" t="str">
        <f>IFERROR(__xludf.DUMMYFUNCTION("""COMPUTED_VALUE"""),"-軍功任務：調整軍功任務獲取的軍功經驗數值。
-機甲遠征：機甲遠征推薦戰力優化。
-銀河戰爭：調整寒冰星不同等級野怪資源掉落量。")</f>
        <v>-軍功任務：調整軍功任務獲取的軍功經驗數值。
-機甲遠征：機甲遠征推薦戰力優化。
-銀河戰爭：調整寒冰星不同等級野怪資源掉落量。</v>
      </c>
      <c r="H56" s="169" t="str">
        <f>IFERROR(__xludf.DUMMYFUNCTION("""COMPUTED_VALUE"""),"- Tantangan Kehormatan: Nilai EXP Kehormatan disesuaikan.
- Ekspedisi Mekanik: Rekomendasi kekuatan Ekspedisi Mekanik ditingkatkan.
- Perang Planet: Penurunan sumber daya dari monster Tanah Gletser telah disesuaikan ulang berdasarkan level.")</f>
        <v>- Tantangan Kehormatan: Nilai EXP Kehormatan disesuaikan.
- Ekspedisi Mekanik: Rekomendasi kekuatan Ekspedisi Mekanik ditingkatkan.
- Perang Planet: Penurunan sumber daya dari monster Tanah Gletser telah disesuaikan ulang berdasarkan level.</v>
      </c>
      <c r="I56" s="169" t="str">
        <f>IFERROR(__xludf.DUMMYFUNCTION("""COMPUTED_VALUE"""),"- เควสต์เกียรติยศ: ค่าประสบการณ์เกียรติยศถูกปรับปรุง
- การสำรวจเมค: ค่าพลังที่แนะนำในการสำรวจเมคถูกปรับปรุง
- สงครามดาวเคราะห์: การดรอปทรัพยากรจากมอนสเตอร์ในดินแดนน้ำแข็งถูกปรับสมดุลตามเลเวล")</f>
        <v>- เควสต์เกียรติยศ: ค่าประสบการณ์เกียรติยศถูกปรับปรุง
- การสำรวจเมค: ค่าพลังที่แนะนำในการสำรวจเมคถูกปรับปรุง
- สงครามดาวเคราะห์: การดรอปทรัพยากรจากมอนสเตอร์ในดินแดนน้ำแข็งถูกปรับสมดุลตามเลเวล</v>
      </c>
      <c r="J56" s="169" t="str">
        <f>IFERROR(__xludf.DUMMYFUNCTION("""COMPUTED_VALUE"""),"- Misiones de Honor: Valores de EXP de Honor ajustados.
- Expedición Meca: Poder recomendado de la Expedición Meca mejorado.
- Guerras Planetarias: Las caídas de recursos de los monstruos de Tierra Glaciar han sido reequilibradas por nivel.")</f>
        <v>- Misiones de Honor: Valores de EXP de Honor ajustados.
- Expedición Meca: Poder recomendado de la Expedición Meca mejorado.
- Guerras Planetarias: Las caídas de recursos de los monstruos de Tierra Glaciar han sido reequilibradas por nivel.</v>
      </c>
      <c r="K56" s="169" t="str">
        <f>IFERROR(__xludf.DUMMYFUNCTION("""COMPUTED_VALUE"""),"- Задания Чести: Значения опыта чести скорректированы.
- Меха Экспедиция: Рекомендуемая мощь меха экспедиции улучшена.
- Планетарные Войны: Падение ресурсов от монстров Ледниковой Земли было сбалансировано по уровням.")</f>
        <v>- Задания Чести: Значения опыта чести скорректированы.
- Меха Экспедиция: Рекомендуемая мощь меха экспедиции улучшена.
- Планетарные Войны: Падение ресурсов от монстров Ледниковой Земли было сбалансировано по уровням.</v>
      </c>
      <c r="L56" s="169" t="str">
        <f>IFERROR(__xludf.DUMMYFUNCTION("""COMPUTED_VALUE"""),"- Onur Maceraları: Onur DEN değerleri ayarlandı.
- Meka Gezisi: Meka Gezisi önerilen güç iyileştirildi.
- Gezegen Savaşları: Buzul Toprağı canavarlarından düşen kaynaklar seviyeye göre yeniden dengelendi.")</f>
        <v>- Onur Maceraları: Onur DEN değerleri ayarlandı.
- Meka Gezisi: Meka Gezisi önerilen güç iyileştirildi.
- Gezegen Savaşları: Buzul Toprağı canavarlarından düşen kaynaklar seviyeye göre yeniden dengelendi.</v>
      </c>
      <c r="M56" s="169" t="str">
        <f>IFERROR(__xludf.DUMMYFUNCTION("""COMPUTED_VALUE"""),"- Nhiệm Vụ Vinh Dự: Giá trị EXP Vinh Dự đã được điều chỉnh.
- Viễn Chinh Cơ Khí: Chiến Lực đề xuất cho Viễn Chinh Cơ Khí đã được cải thiện.
- Chiến Tranh Hành Tinh: Tài nguyên rơi ra từ quái vật ở Vùng Đất Băng Hà đã được cân bằng lại theo cấp độ.")</f>
        <v>- Nhiệm Vụ Vinh Dự: Giá trị EXP Vinh Dự đã được điều chỉnh.
- Viễn Chinh Cơ Khí: Chiến Lực đề xuất cho Viễn Chinh Cơ Khí đã được cải thiện.
- Chiến Tranh Hành Tinh: Tài nguyên rơi ra từ quái vật ở Vùng Đất Băng Hà đã được cân bằng lại theo cấp độ.</v>
      </c>
      <c r="N56" s="169" t="str">
        <f>IFERROR(__xludf.DUMMYFUNCTION("""COMPUTED_VALUE"""),"- Missioni Onore: Valori ESP Onore regolati.
- Esplorazione Mecha: Potenza consigliata per l'Esplorazione Mecha migliorata.
- Guerre planetarie: I drop di risorse dai mostri della Terra Glaciale sono stati riequilibrati per livello.")</f>
        <v>- Missioni Onore: Valori ESP Onore regolati.
- Esplorazione Mecha: Potenza consigliata per l'Esplorazione Mecha migliorata.
- Guerre planetarie: I drop di risorse dai mostri della Terra Glaciale sono stati riequilibrati per livello.</v>
      </c>
      <c r="O56" s="169" t="str">
        <f>IFERROR(__xludf.DUMMYFUNCTION("""COMPUTED_VALUE"""),"- Zadania Honoru: Wartości PD Honoru dostosowane.
- Wyprawa Mecha: Zalecana siła Wyprawy Mecha została poprawiona.
- Wojny planet: Zrzuty zasobów od potworów z Lodowej Krainy zostały zrównoważone według poziomu.")</f>
        <v>- Zadania Honoru: Wartości PD Honoru dostosowane.
- Wyprawa Mecha: Zalecana siła Wyprawy Mecha została poprawiona.
- Wojny planet: Zrzuty zasobów od potworów z Lodowej Krainy zostały zrównoważone według poziomu.</v>
      </c>
      <c r="P56" s="169" t="str">
        <f>IFERROR(__xludf.DUMMYFUNCTION("""COMPUTED_VALUE"""),"- مهام الشرف: تم تعديل قيم خبرة الشرف.
- رحلة الميكا: تم تحسين القوة الموصى بها لرحلة الميكا.
- حروب الكوكب: تم إعادة توازن إسقاط الموارد من وحوش أرض الأنهار الجليدية حسب المستوى.")</f>
        <v>- مهام الشرف: تم تعديل قيم خبرة الشرف.
- رحلة الميكا: تم تحسين القوة الموصى بها لرحلة الميكا.
- حروب الكوكب: تم إعادة توازن إسقاط الموارد من وحوش أرض الأنهار الجليدية حسب المستوى.</v>
      </c>
      <c r="Q56" s="169" t="str">
        <f>IFERROR(__xludf.DUMMYFUNCTION("""COMPUTED_VALUE"""),"- 栄誉クエスト: 栄誉経験値の値が調整されました。
- メカ遠征: メカ遠征の推奨戦力が向上しました。
- プラネットウォーズ: 氷河の土地のモンスターからの資源ドロップがレベルごとに再調整されました。")</f>
        <v>- 栄誉クエスト: 栄誉経験値の値が調整されました。
- メカ遠征: メカ遠征の推奨戦力が向上しました。
- プラネットウォーズ: 氷河の土地のモンスターからの資源ドロップがレベルごとに再調整されました。</v>
      </c>
      <c r="R56" s="169" t="str">
        <f>IFERROR(__xludf.DUMMYFUNCTION("""COMPUTED_VALUE"""),"- 명예 임무: 명예 경험치 가치가 조정되었습니다.
- 메카 원정: 메카 원정 추천 전투력이 향상되었습니다.
- 은하 전쟁: 빙하 땅 몬스터의 자원 드롭이 레벨에 따라 재조정되었습니다.")</f>
        <v>- 명예 임무: 명예 경험치 가치가 조정되었습니다.
- 메카 원정: 메카 원정 추천 전투력이 향상되었습니다.
- 은하 전쟁: 빙하 땅 몬스터의 자원 드롭이 레벨에 따라 재조정되었습니다.</v>
      </c>
      <c r="S56" s="108"/>
      <c r="T56" s="108"/>
      <c r="U56" s="108"/>
      <c r="V56" s="108"/>
      <c r="W56" s="108"/>
      <c r="X56" s="108"/>
      <c r="Y56" s="108"/>
      <c r="Z56" s="108"/>
    </row>
    <row r="57">
      <c r="A57" s="108" t="str">
        <f>IFERROR(__xludf.DUMMYFUNCTION("""COMPUTED_VALUE"""),"0.77.0")</f>
        <v>0.77.0</v>
      </c>
      <c r="B57" s="169" t="str">
        <f>IFERROR(__xludf.DUMMYFUNCTION("""COMPUTED_VALUE"""),"-进攻疯狂巨猿：降低集结巨猿强度，提高帮派不同伤害档位奖励；
-帮派建筑：帮派使馆和作战中心等级上限扩充，增加一定资源运输、驻防容量等常规buff；
-决战卫星之巅：战前帮派自选增益调整，不同服务器进度的玩家的可选增益有所区别。")</f>
        <v>-进攻疯狂巨猿：降低集结巨猿强度，提高帮派不同伤害档位奖励；
-帮派建筑：帮派使馆和作战中心等级上限扩充，增加一定资源运输、驻防容量等常规buff；
-决战卫星之巅：战前帮派自选增益调整，不同服务器进度的玩家的可选增益有所区别。</v>
      </c>
      <c r="C57" s="169" t="str">
        <f>IFERROR(__xludf.DUMMYFUNCTION("""COMPUTED_VALUE"""),"– Attack on the Mad Giganto: Rally strength lowered and increases.gang damage-tier rewards increased.
– Gang Buildings: Gang Embassy &amp; Command Center level caps raised, unlocking bigger resource-haul and garrison buffs.
– Astral Coliseum: Pre-battle gan"&amp;"g custom buffs adjusted; available options now vary by server progress.
")</f>
        <v>– Attack on the Mad Giganto: Rally strength lowered and increases.gang damage-tier rewards increased.
– Gang Buildings: Gang Embassy &amp; Command Center level caps raised, unlocking bigger resource-haul and garrison buffs.
– Astral Coliseum: Pre-battle gang custom buffs adjusted; available options now vary by server progress.
</v>
      </c>
      <c r="D57" s="169" t="str">
        <f>IFERROR(__xludf.DUMMYFUNCTION("""COMPUTED_VALUE"""),"– Attaque sur le Giganto dément : Force de rassemblement réduite et augmentations. Récompenses de palier de dégâts de gang augmentées.  
– Bâtiments de gang : Les plafonds de niveau de l'Ambassade du gang et du Quartier général relevés, débloquant des but"&amp;"ins de ressources plus importants et des boosts de garnison.  
– Colisée astral : Boosts personnalisés de gang avant bataille ajustés ; les options disponibles varient désormais selon la progression du serveur.")</f>
        <v>– Attaque sur le Giganto dément : Force de rassemblement réduite et augmentations. Récompenses de palier de dégâts de gang augmentées.  
– Bâtiments de gang : Les plafonds de niveau de l'Ambassade du gang et du Quartier général relevés, débloquant des butins de ressources plus importants et des boosts de garnison.  
– Colisée astral : Boosts personnalisés de gang avant bataille ajustés ; les options disponibles varient désormais selon la progression du serveur.</v>
      </c>
      <c r="E57" s="169" t="str">
        <f>IFERROR(__xludf.DUMMYFUNCTION("""COMPUTED_VALUE"""),"– Angriff auf den Verrückten Giganto: Sammelangriffsstärke verringert und erhöht. Clan-Schadens-Stufenbelohnungen erhöht.  
– Clan-Gebäude: Levelbegrenzungen für Clan-Botschaft &amp; Kommandozentrum erhöht, wodurch größere Ressourcenbeute und Garnisons-Buffs "&amp;"freigeschaltet werden.  
– Astral-Kolosseum: Vor dem Kampf angepasste Clan-Buffs; verfügbare Optionen variieren nun je nach Server-Fortschritt.")</f>
        <v>– Angriff auf den Verrückten Giganto: Sammelangriffsstärke verringert und erhöht. Clan-Schadens-Stufenbelohnungen erhöht.  
– Clan-Gebäude: Levelbegrenzungen für Clan-Botschaft &amp; Kommandozentrum erhöht, wodurch größere Ressourcenbeute und Garnisons-Buffs freigeschaltet werden.  
– Astral-Kolosseum: Vor dem Kampf angepasste Clan-Buffs; verfügbare Optionen variieren nun je nach Server-Fortschritt.</v>
      </c>
      <c r="F57" s="169" t="str">
        <f>IFERROR(__xludf.DUMMYFUNCTION("""COMPUTED_VALUE"""),"– Ataque ao Giganto Louco: Força da incursão reduzida e aumentos. Recompensas de ranque de dano da gangue aumentadas.
– Estruturas da gangue: Caps de nível da Embaixada da gangue e do Quartier général aumentados, desbloqueando maiores saques de recursos e"&amp;" auxílios de guarnição.
– Coliseu Astral: Auxílios personalizados da gangue pré-batalha ajustados; opções disponíveis agora variam conforme o progresso do servidor.")</f>
        <v>– Ataque ao Giganto Louco: Força da incursão reduzida e aumentos. Recompensas de ranque de dano da gangue aumentadas.
– Estruturas da gangue: Caps de nível da Embaixada da gangue e do Quartier général aumentados, desbloqueando maiores saques de recursos e auxílios de guarnição.
– Coliseu Astral: Auxílios personalizados da gangue pré-batalha ajustados; opções disponíveis agora variam conforme o progresso do servidor.</v>
      </c>
      <c r="G57" s="169" t="str">
        <f>IFERROR(__xludf.DUMMYFUNCTION("""COMPUTED_VALUE"""),"-進攻瘋狂巨猿：降低集結巨猿強度，提高幫派不同傷害檔位獎勵；  
-幫派建築：幫派使館和作戰中心等級上限擴充，增加一定資源運送限額、駐防容量等常規buff；  
-決戰衛星之巔：戰前幫派自選強化效果調整，不同伺服器時間表的玩家的可選強化效果有所區別。")</f>
        <v>-進攻瘋狂巨猿：降低集結巨猿強度，提高幫派不同傷害檔位獎勵；  
-幫派建築：幫派使館和作戰中心等級上限擴充，增加一定資源運送限額、駐防容量等常規buff；  
-決戰衛星之巔：戰前幫派自選強化效果調整，不同伺服器時間表的玩家的可選強化效果有所區別。</v>
      </c>
      <c r="H57" s="169" t="str">
        <f>IFERROR(__xludf.DUMMYFUNCTION("""COMPUTED_VALUE"""),"– Serangan terhadap Giganto Gila: Kekuatan reli diturunkan dan keunggulan kerusakan geng-tingkat hadiah ditingkatkan.  
– Bangunan Geng: Batas level Kedutaan Geng &amp; Pusat Komando dinaikkan, membuka hasil sumber daya lebih besar dan keunggulan garnisun.  
"&amp;"– Koloseum Astral: Keunggulan kustom geng pra-pertarungan disesuaikan; opsi yang tersedia sekarang bervariasi berdasarkan kemajuan server.")</f>
        <v>– Serangan terhadap Giganto Gila: Kekuatan reli diturunkan dan keunggulan kerusakan geng-tingkat hadiah ditingkatkan.  
– Bangunan Geng: Batas level Kedutaan Geng &amp; Pusat Komando dinaikkan, membuka hasil sumber daya lebih besar dan keunggulan garnisun.  
– Koloseum Astral: Keunggulan kustom geng pra-pertarungan disesuaikan; opsi yang tersedia sekarang bervariasi berdasarkan kemajuan server.</v>
      </c>
      <c r="I57" s="169" t="str">
        <f>IFERROR(__xludf.DUMMYFUNCTION("""COMPUTED_VALUE"""),"– โจมตีกิกันโตคลั่ง: ความแข็งแกร่งของการระดมพลลดลงและเพิ่มขึ้น รางวัลระดับความเสียหายของแก๊งเพิ่มขึ้น  
– สิ่งก่อสร้างของแก๊ง: ระดับสูงสุดของสถานทูตของแก๊งและศูนย์บัญชาการเพิ่มขึ้น ปลดล็อกการเก็บเกี่ยวทรัพยากรที่มากขึ้นและบัฟฟ์ทหารรักษาการณ์  
– โคลีเซียม"&amp;"ดวงดาว: ปรับบัฟฟ์แก๊งแบบกำหนดเองก่อนการต่อสู้ ตัวเลือกที่พร้อมใช้งานจะแตกต่างกันตามความคืบหน้าของเซิร์ฟเวอร์")</f>
        <v>– โจมตีกิกันโตคลั่ง: ความแข็งแกร่งของการระดมพลลดลงและเพิ่มขึ้น รางวัลระดับความเสียหายของแก๊งเพิ่มขึ้น  
– สิ่งก่อสร้างของแก๊ง: ระดับสูงสุดของสถานทูตของแก๊งและศูนย์บัญชาการเพิ่มขึ้น ปลดล็อกการเก็บเกี่ยวทรัพยากรที่มากขึ้นและบัฟฟ์ทหารรักษาการณ์  
– โคลีเซียมดวงดาว: ปรับบัฟฟ์แก๊งแบบกำหนดเองก่อนการต่อสู้ ตัวเลือกที่พร้อมใช้งานจะแตกต่างกันตามความคืบหน้าของเซิร์ฟเวอร์</v>
      </c>
      <c r="J57" s="169" t="str">
        <f>IFERROR(__xludf.DUMMYFUNCTION("""COMPUTED_VALUE"""),"– Ataque al Mad Giganto: Fuerza de la congregación reducida e incrementos. Recompensas de nivel de daño de banda aumentadas.  
– Construcciones de la Banda: Se elevaron los límites de nivel de la Embajada de la Banda y el Centro de Comando, desbloqueando "&amp;"mayores recompensas de recursos y bonificaciones de guarnición.  
– Coliseo Astral: Se ajustaron las bonificaciones personalizadas de banda previas a la batalla; las opciones disponibles ahora varían según el progreso del servidor.")</f>
        <v>– Ataque al Mad Giganto: Fuerza de la congregación reducida e incrementos. Recompensas de nivel de daño de banda aumentadas.  
– Construcciones de la Banda: Se elevaron los límites de nivel de la Embajada de la Banda y el Centro de Comando, desbloqueando mayores recompensas de recursos y bonificaciones de guarnición.  
– Coliseo Astral: Se ajustaron las bonificaciones personalizadas de banda previas a la batalla; las opciones disponibles ahora varían según el progreso del servidor.</v>
      </c>
      <c r="K57" s="169" t="str">
        <f>IFERROR(__xludf.DUMMYFUNCTION("""COMPUTED_VALUE"""),"– Атака на Безумного Гиганто: Сила похода снижена и увеличена. Награды за урон банды по уровню повышены.  
– Постройки банды: Повышены максимальные уровни Посольства банды и Командного центра, что открывает возможность получения большего количества ресурс"&amp;"ов и усилений гарнизона.  
– Астральный Колизей: Настроены пользовательские усиления банды перед боем; доступные опции теперь зависят от прогресса сервера.")</f>
        <v>– Атака на Безумного Гиганто: Сила похода снижена и увеличена. Награды за урон банды по уровню повышены.  
– Постройки банды: Повышены максимальные уровни Посольства банды и Командного центра, что открывает возможность получения большего количества ресурсов и усилений гарнизона.  
– Астральный Колизей: Настроены пользовательские усиления банды перед боем; доступные опции теперь зависят от прогресса сервера.</v>
      </c>
      <c r="L57" s="169" t="str">
        <f>IFERROR(__xludf.DUMMYFUNCTION("""COMPUTED_VALUE"""),"– Deli Giganto'ya Saldırı: Toplu saldırı gücü azaltıldı ve arttırıldı. Çete hasarı-kademe ödülleri artırıldı.  
– Çete Binaları: Çete Elçiliği ve Komuta Merkezi seviye sınırları yükseltildi, daha büyük kaynak ganimeti ve garnizon güçlendirmelerinin kilidi"&amp;" açıldı.  
– Yıldız Kolezyumu: Savaş öncesi çete özel güçlendirmeleri ayarlandı; mevcut seçenekler artık sunucu ilerlemesine göre değişiyor.")</f>
        <v>– Deli Giganto'ya Saldırı: Toplu saldırı gücü azaltıldı ve arttırıldı. Çete hasarı-kademe ödülleri artırıldı.  
– Çete Binaları: Çete Elçiliği ve Komuta Merkezi seviye sınırları yükseltildi, daha büyük kaynak ganimeti ve garnizon güçlendirmelerinin kilidi açıldı.  
– Yıldız Kolezyumu: Savaş öncesi çete özel güçlendirmeleri ayarlandı; mevcut seçenekler artık sunucu ilerlemesine göre değişiyor.</v>
      </c>
      <c r="M57" s="169" t="str">
        <f>IFERROR(__xludf.DUMMYFUNCTION("""COMPUTED_VALUE"""),"– Tấn Công Vượn Khổng Lồ Điên Rồ: Sức mạnh tập hợp giảm và tăng. Phần thưởng sát thương bang hội theo bậc tăng lên.  
– Công Trình Bang Hội: Giới hạn cấp Đại Sứ Quán Bang Hội &amp; Trung Tâm Chỉ Huy được nâng lên, mở khóa phần thưởng tài nguyên lớn hơn và hiệ"&amp;"u ứng đồn trú.  
– Đại Đấu Trường Thiên Thể: Hiệu ứng có lợi tùy chỉnh bang hội trước trận được điều chỉnh; các tùy chọn có thể tranh đoạt hiện thay đổi theo tiến trình máy chủ.")</f>
        <v>– Tấn Công Vượn Khổng Lồ Điên Rồ: Sức mạnh tập hợp giảm và tăng. Phần thưởng sát thương bang hội theo bậc tăng lên.  
– Công Trình Bang Hội: Giới hạn cấp Đại Sứ Quán Bang Hội &amp; Trung Tâm Chỉ Huy được nâng lên, mở khóa phần thưởng tài nguyên lớn hơn và hiệu ứng đồn trú.  
– Đại Đấu Trường Thiên Thể: Hiệu ứng có lợi tùy chỉnh bang hội trước trận được điều chỉnh; các tùy chọn có thể tranh đoạt hiện thay đổi theo tiến trình máy chủ.</v>
      </c>
      <c r="N57" s="169" t="str">
        <f>IFERROR(__xludf.DUMMYFUNCTION("""COMPUTED_VALUE"""),"– Attacco al Mad Giganto: Forza dell'adunata ridotta e aumenti. Ricompense di classe per danni della gang aumentate.
– Edifici della Gang: Limiti di livello per Ambasciata della Gang e Centro di comando aumentati, sbloccando maggiori risorse e benefici pe"&amp;"r il presidio.
– Colosseo astrale: Benefici personalizzati della gang pre-battaglia regolati; le opzioni disponibili ora variano in base all'avanzamento del server.")</f>
        <v>– Attacco al Mad Giganto: Forza dell'adunata ridotta e aumenti. Ricompense di classe per danni della gang aumentate.
– Edifici della Gang: Limiti di livello per Ambasciata della Gang e Centro di comando aumentati, sbloccando maggiori risorse e benefici per il presidio.
– Colosseo astrale: Benefici personalizzati della gang pre-battaglia regolati; le opzioni disponibili ora variano in base all'avanzamento del server.</v>
      </c>
      <c r="O57" s="169" t="str">
        <f>IFERROR(__xludf.DUMMYFUNCTION("""COMPUTED_VALUE"""),"– Atak na Szalonego Giganto: Siła rajdu obniżona, a zwiększenia i nagrody za uszkodzenia gangu według poziomu podniesione.  
– Budynki Gangu: Podniesiono limity poziomów Ambasady Gangu i Dowództwa, odblokowując większe zasoby i wzmocnienia garnizonu.  
– "&amp;"Gwiezdne koloseum: Dostosowano przedwalkowe niestandardowe wzmocnienia gangu; dostępne opcje teraz różnią się w zależności od postępu serwera.")</f>
        <v>– Atak na Szalonego Giganto: Siła rajdu obniżona, a zwiększenia i nagrody za uszkodzenia gangu według poziomu podniesione.  
– Budynki Gangu: Podniesiono limity poziomów Ambasady Gangu i Dowództwa, odblokowując większe zasoby i wzmocnienia garnizonu.  
– Gwiezdne koloseum: Dostosowano przedwalkowe niestandardowe wzmocnienia gangu; dostępne opcje teraz różnią się w zależności od postępu serwera.</v>
      </c>
      <c r="P57" s="169" t="str">
        <f>IFERROR(__xludf.DUMMYFUNCTION("""COMPUTED_VALUE"""),"– هجوم على القرد العملاق المجنون: تم خفض قوة الحشد وزيادة جوائز ضرر العصابة حسب المستوى.
– مباني العصابة: تم رفع حدود مستوى سفارة العصابة ومركز القيادة، مما يفتح تعزيزات أكبر للموارد والحامي.
– مدرج النجوم: تم تعديل تعزيزات العصابة المخصصة قبل المعركة؛ ال"&amp;"خيارات المتاحة الآن تختلف حسب تقدم السيرفر.")</f>
        <v>– هجوم على القرد العملاق المجنون: تم خفض قوة الحشد وزيادة جوائز ضرر العصابة حسب المستوى.
– مباني العصابة: تم رفع حدود مستوى سفارة العصابة ومركز القيادة، مما يفتح تعزيزات أكبر للموارد والحامي.
– مدرج النجوم: تم تعديل تعزيزات العصابة المخصصة قبل المعركة؛ الخيارات المتاحة الآن تختلف حسب تقدم السيرفر.</v>
      </c>
      <c r="Q57" s="169" t="str">
        <f>IFERROR(__xludf.DUMMYFUNCTION("""COMPUTED_VALUE"""),"– マッドギガントへの攻撃：レイド戦力が低下し増加。ギルドダメージ・ティア報酬が増加。  
– ギルド建築：ギルドの連絡所＆コマンドセンターのレベル上限が引き上げられ、より大きな資源獲得と駐屯バフがアンロック。  
– アストラルコロシアム：戦闘前のギルドカスタムバフが調整され、利用可能なオプションはサーバーの進行状況により変化。")</f>
        <v>– マッドギガントへの攻撃：レイド戦力が低下し増加。ギルドダメージ・ティア報酬が増加。  
– ギルド建築：ギルドの連絡所＆コマンドセンターのレベル上限が引き上げられ、より大きな資源獲得と駐屯バフがアンロック。  
– アストラルコロシアム：戦闘前のギルドカスタムバフが調整され、利用可能なオプションはサーバーの進行状況により変化。</v>
      </c>
      <c r="R57" s="169" t="str">
        <f>IFERROR(__xludf.DUMMYFUNCTION("""COMPUTED_VALUE"""),"– 미친 변이 원숭이 공격: 집결 강도 감소 및 증가. 무리 피해-티어 보상 증가.  
– 무리 건물: 무리 연락소 및 권력의 중심 레벨 상한 상승, 더 큰 자원 획득 및 주둔지 버프 잠금 해제.  
– 별의 사투: 전투 전 무리 맞춤 버프 조정; 사용 가능한 옵션이 서버 진행률에 따라 달라짐.")</f>
        <v>– 미친 변이 원숭이 공격: 집결 강도 감소 및 증가. 무리 피해-티어 보상 증가.  
– 무리 건물: 무리 연락소 및 권력의 중심 레벨 상한 상승, 더 큰 자원 획득 및 주둔지 버프 잠금 해제.  
– 별의 사투: 전투 전 무리 맞춤 버프 조정; 사용 가능한 옵션이 서버 진행률에 따라 달라짐.</v>
      </c>
      <c r="S57" s="108"/>
      <c r="T57" s="108"/>
      <c r="U57" s="108"/>
      <c r="V57" s="108"/>
      <c r="W57" s="108"/>
      <c r="X57" s="108"/>
      <c r="Y57" s="108"/>
      <c r="Z57" s="108"/>
    </row>
    <row r="58">
      <c r="A58" s="108" t="str">
        <f>IFERROR(__xludf.DUMMYFUNCTION("""COMPUTED_VALUE"""),"0.78.0")</f>
        <v>0.78.0</v>
      </c>
      <c r="B58" s="169" t="str">
        <f>IFERROR(__xludf.DUMMYFUNCTION("""COMPUTED_VALUE"""),"-银河战争：珊瑚星野怪增加新猩胶囊掉落物，野战区、荣耀排行榜、遗迹故事等模块增加新猩胶囊奖励。
-战装技能：优化了生死决斗技能的生效逻辑，优化了致盲技能的特效表现。")</f>
        <v>-银河战争：珊瑚星野怪增加新猩胶囊掉落物，野战区、荣耀排行榜、遗迹故事等模块增加新猩胶囊奖励。
-战装技能：优化了生死决斗技能的生效逻辑，优化了致盲技能的特效表现。</v>
      </c>
      <c r="C58" s="169" t="str">
        <f>IFERROR(__xludf.DUMMYFUNCTION("""COMPUTED_VALUE"""),"- Planet Wars: NPCs in Coral Star now drop Nu-Ape Capsules, and Special Zones, Glory Leaderboard, Ruin Stories, and other sections now add Neo‑Ape Capsule rewards.
- Equipment Skill: Fine‑tuned the trigger logic for the “Life or Death” skill and upgraded"&amp;" the visual effects for the “Blind” skill.
")</f>
        <v>- Planet Wars: NPCs in Coral Star now drop Nu-Ape Capsules, and Special Zones, Glory Leaderboard, Ruin Stories, and other sections now add Neo‑Ape Capsule rewards.
- Equipment Skill: Fine‑tuned the trigger logic for the “Life or Death” skill and upgraded the visual effects for the “Blind” skill.
</v>
      </c>
      <c r="D58" s="169" t="str">
        <f>IFERROR(__xludf.DUMMYFUNCTION("""COMPUTED_VALUE"""),"- Guerre planétaire : Les PNJ de l'Étoile de Corail laissent désormais tomber des Capsules Nu-Singe, et les Zones spéciales, le Classement de Gloire, les Histoires anciennes, ainsi que d'autres sections ajoutent désormais des récompenses en Capsules Neo-S"&amp;"inge.  
- Compétence d'Équipement : Affinement de la logique de déclenchement de la compétence « Vie ou Mort » et amélioration des effets visuels de la compétence « Aveugle ».")</f>
        <v>- Guerre planétaire : Les PNJ de l'Étoile de Corail laissent désormais tomber des Capsules Nu-Singe, et les Zones spéciales, le Classement de Gloire, les Histoires anciennes, ainsi que d'autres sections ajoutent désormais des récompenses en Capsules Neo-Singe.  
- Compétence d'Équipement : Affinement de la logique de déclenchement de la compétence « Vie ou Mort » et amélioration des effets visuels de la compétence « Aveugle ».</v>
      </c>
      <c r="E58" s="169" t="str">
        <f>IFERROR(__xludf.DUMMYFUNCTION("""COMPUTED_VALUE"""),"- Planetenkriege: NSCs im Korallenstern lassen jetzt Nu-Affen-Kapseln fallen, und Spezialzonen, die Ruhmes-Rangliste, Ruinen-Geschichten und andere Bereiche fügen jetzt Neo-Affen-Kapsel-Belohnungen hinzu.  
- Ausrüstungsfähigkeit: Die Auslöse-Logik der Fä"&amp;"higkeit „Leben oder Tod“ wurde feinjustiert und die visuellen Effekte der Fähigkeit „Blind“ wurden verbessert.")</f>
        <v>- Planetenkriege: NSCs im Korallenstern lassen jetzt Nu-Affen-Kapseln fallen, und Spezialzonen, die Ruhmes-Rangliste, Ruinen-Geschichten und andere Bereiche fügen jetzt Neo-Affen-Kapsel-Belohnungen hinzu.  
- Ausrüstungsfähigkeit: Die Auslöse-Logik der Fähigkeit „Leben oder Tod“ wurde feinjustiert und die visuellen Effekte der Fähigkeit „Blind“ wurden verbessert.</v>
      </c>
      <c r="F58" s="169" t="str">
        <f>IFERROR(__xludf.DUMMYFUNCTION("""COMPUTED_VALUE"""),"- Guerra Interplanetária: NPCs em Estrela Coral agora dropam Cápsulas Nu-Macaco, e Zonas Especiais, Classificação de Glória, Histórias de Ruínas e outras seções agora adicionam recompensas de Cápsulas Neo-Macaco.  
- Habilidade de Equipamento: Ajustada a "&amp;"lógica de ativação da habilidade “Vida ou Morte” e aprimorados os efeitos visuais da habilidade “Cego”.")</f>
        <v>- Guerra Interplanetária: NPCs em Estrela Coral agora dropam Cápsulas Nu-Macaco, e Zonas Especiais, Classificação de Glória, Histórias de Ruínas e outras seções agora adicionam recompensas de Cápsulas Neo-Macaco.  
- Habilidade de Equipamento: Ajustada a lógica de ativação da habilidade “Vida ou Morte” e aprimorados os efeitos visuais da habilidade “Cego”.</v>
      </c>
      <c r="G58" s="169" t="str">
        <f>IFERROR(__xludf.DUMMYFUNCTION("""COMPUTED_VALUE"""),"-銀河戰爭：珊瑚星野怪增加新猩膠囊掉落物，野戰區、榮耀排名榜、遺跡故事等模組增加新猩膠囊獎勵。  
-戰裝技能：優化了生死決鬥技能的生效邏輯，優化了致盲技能的特效表現。")</f>
        <v>-銀河戰爭：珊瑚星野怪增加新猩膠囊掉落物，野戰區、榮耀排名榜、遺跡故事等模組增加新猩膠囊獎勵。  
-戰裝技能：優化了生死決鬥技能的生效邏輯，優化了致盲技能的特效表現。</v>
      </c>
      <c r="H58" s="169" t="str">
        <f>IFERROR(__xludf.DUMMYFUNCTION("""COMPUTED_VALUE"""),"- Perang Planet: NPC di Bintang Karang sekarang menjatuhkan Kapsul Nu-Kera, dan Zona Khusus, Papan Peringkat Kejayaan, Kisah Reruntuhan, serta bagian lainnya kini menambahkan hadiah Kapsul Neo-Kera.
- Keahlian Peralatan: Menyempurnakan logika pemicu untuk"&amp;" skill “Hidup atau Mati” dan meningkatkan efek visual untuk skill “Buta”.")</f>
        <v>- Perang Planet: NPC di Bintang Karang sekarang menjatuhkan Kapsul Nu-Kera, dan Zona Khusus, Papan Peringkat Kejayaan, Kisah Reruntuhan, serta bagian lainnya kini menambahkan hadiah Kapsul Neo-Kera.
- Keahlian Peralatan: Menyempurnakan logika pemicu untuk skill “Hidup atau Mati” dan meningkatkan efek visual untuk skill “Buta”.</v>
      </c>
      <c r="I58" s="169" t="str">
        <f>IFERROR(__xludf.DUMMYFUNCTION("""COMPUTED_VALUE"""),"- สงครามดาวเคราะห์: NPC ตัวละครที่ไม่ใช่ผู้เล่นในดาวปะการังตอนนี้ดรอปแคปซูลลิงใหม่ และพื้นที่พิเศษ, อันดับเกียรติยศ, เรื่องราวของซากปรักหักพัง และส่วนอื่นๆ ตอนนี้เพิ่มรางวัลแคปซูลลิงใหม่แล้ว
- ทักษะอุปกรณ์: ปรับแต่งตรรกะการทริกเกอร์สำหรับทักษะ “ชีวิตหรือ"&amp;"ความตาย” และอัปเกรดเอฟเฟกต์ภาพสำหรับทักษะ “ตาบอด”")</f>
        <v>- สงครามดาวเคราะห์: NPC ตัวละครที่ไม่ใช่ผู้เล่นในดาวปะการังตอนนี้ดรอปแคปซูลลิงใหม่ และพื้นที่พิเศษ, อันดับเกียรติยศ, เรื่องราวของซากปรักหักพัง และส่วนอื่นๆ ตอนนี้เพิ่มรางวัลแคปซูลลิงใหม่แล้ว
- ทักษะอุปกรณ์: ปรับแต่งตรรกะการทริกเกอร์สำหรับทักษะ “ชีวิตหรือความตาย” และอัปเกรดเอฟเฟกต์ภาพสำหรับทักษะ “ตาบอด”</v>
      </c>
      <c r="J58" s="169" t="str">
        <f>IFERROR(__xludf.DUMMYFUNCTION("""COMPUTED_VALUE"""),"- Guerras Planetarias: Los PNJS en Estrella de Coral ahora sueltan Cápsulas Nu-Simio, y las Zonas Especiales, la Tabla de Clasificación de Gloria, Historias de Ruinas y otras secciones ahora añaden recompensas de Cápsulas Neo-Simio.  
- Habilidad de Equip"&amp;"o: Ajustada la lógica de activación para la habilidad “Vida o Muerte” y mejorados los efectos visuales para la habilidad “Ciego”.")</f>
        <v>- Guerras Planetarias: Los PNJS en Estrella de Coral ahora sueltan Cápsulas Nu-Simio, y las Zonas Especiales, la Tabla de Clasificación de Gloria, Historias de Ruinas y otras secciones ahora añaden recompensas de Cápsulas Neo-Simio.  
- Habilidad de Equipo: Ajustada la lógica de activación para la habilidad “Vida o Muerte” y mejorados los efectos visuales para la habilidad “Ciego”.</v>
      </c>
      <c r="K58" s="169" t="str">
        <f>IFERROR(__xludf.DUMMYFUNCTION("""COMPUTED_VALUE"""),"- Планетарные войны: NPC на Коралловой Звезде теперь сбрасывают Капсулы Ну-Обезьяна, а Особые зоны, Таблица лидеров славы, Истории руин и другие разделы теперь добавляют награды в виде Капсул Нео-Обезьяны.  
- Навык снаряжения: Тонко настроена логика сраб"&amp;"атывания навыка «Жизнь или смерть» и улучшены визуальные эффекты навыка «Нарушение».")</f>
        <v>- Планетарные войны: NPC на Коралловой Звезде теперь сбрасывают Капсулы Ну-Обезьяна, а Особые зоны, Таблица лидеров славы, Истории руин и другие разделы теперь добавляют награды в виде Капсул Нео-Обезьяны.  
- Навык снаряжения: Тонко настроена логика срабатывания навыка «Жизнь или смерть» и улучшены визуальные эффекты навыка «Нарушение».</v>
      </c>
      <c r="L58" s="169" t="str">
        <f>IFERROR(__xludf.DUMMYFUNCTION("""COMPUTED_VALUE"""),"- Gezegen Savaşları: Mercan Yıldızı'ndaki NPC'ler artık Nu-Maymun Kapsülleri düşürüyor ve Özel Alanlar, Şan Liderlik Tablosu, Harabe Hikâyeleri ve diğer bölümler artık Neo-Maymun Kapsül ödülleri ekliyor.  
- Ekipman Becerisi: “Yaşam ya da Ölüm” becerisi i"&amp;"çin tetikleme mantığı ince ayarlandı ve “Kör” becerisi için görsel efektler yükseltildi.")</f>
        <v>- Gezegen Savaşları: Mercan Yıldızı'ndaki NPC'ler artık Nu-Maymun Kapsülleri düşürüyor ve Özel Alanlar, Şan Liderlik Tablosu, Harabe Hikâyeleri ve diğer bölümler artık Neo-Maymun Kapsül ödülleri ekliyor.  
- Ekipman Becerisi: “Yaşam ya da Ölüm” becerisi için tetikleme mantığı ince ayarlandı ve “Kör” becerisi için görsel efektler yükseltildi.</v>
      </c>
      <c r="M58" s="169" t="str">
        <f>IFERROR(__xludf.DUMMYFUNCTION("""COMPUTED_VALUE"""),"- Chiến Tranh Hành Tinh: NPC trong Sao San Hô giờ đây thả Khoang Khỉ Nu-Ape, và Khu Vực Đặc Biệt, Bảng Xếp Hạng Vinh Quang, Cửa Hàng Tàn Tích, cùng các phần khác giờ đây thêm phần thưởng Khoang Khỉ Neo-Ape.  
- Kỹ Năng Trang Bị: Tinh chỉnh logic kích hoạt"&amp;" cho kỹ năng “Sống Còn Hay Chết Chóc” và nâng cấp hiệu ứng hình ảnh cho kỹ năng “Mù”.")</f>
        <v>- Chiến Tranh Hành Tinh: NPC trong Sao San Hô giờ đây thả Khoang Khỉ Nu-Ape, và Khu Vực Đặc Biệt, Bảng Xếp Hạng Vinh Quang, Cửa Hàng Tàn Tích, cùng các phần khác giờ đây thêm phần thưởng Khoang Khỉ Neo-Ape.  
- Kỹ Năng Trang Bị: Tinh chỉnh logic kích hoạt cho kỹ năng “Sống Còn Hay Chết Chóc” và nâng cấp hiệu ứng hình ảnh cho kỹ năng “Mù”.</v>
      </c>
      <c r="N58" s="169" t="str">
        <f>IFERROR(__xludf.DUMMYFUNCTION("""COMPUTED_VALUE"""),"- Guerre planetarie: i PERSONAGGI NON GIOCANTI in Stella di Corallo ora rilasciano Capsule Nu-Scimmia, e Zone speciali, Classifica della Gloria, Storie dei Ruderi e altre sezioni ora aggiungono ricompense Capsule Neo-Scimmia.  
- Abilità di Equipaggiament"&amp;"o: Raffinata la logica di attivazione per l'abilità “Vita o Morte” e potenziati gli effetti visivi per l'abilità “Cieco”.")</f>
        <v>- Guerre planetarie: i PERSONAGGI NON GIOCANTI in Stella di Corallo ora rilasciano Capsule Nu-Scimmia, e Zone speciali, Classifica della Gloria, Storie dei Ruderi e altre sezioni ora aggiungono ricompense Capsule Neo-Scimmia.  
- Abilità di Equipaggiamento: Raffinata la logica di attivazione per l'abilità “Vita o Morte” e potenziati gli effetti visivi per l'abilità “Cieco”.</v>
      </c>
      <c r="O58" s="169" t="str">
        <f>IFERROR(__xludf.DUMMYFUNCTION("""COMPUTED_VALUE"""),"- Wojny planet: NPC w Gwiazdzie Koralowej teraz zrzucają Kapsułki Nu-Małpa, a Strefy specjalne, Tablica Wyników Chwały, Historie z Ruin i inne sekcje teraz dodają nagrody w postaci Kapsułek Neo-Małpa.  
- Umiejętność Wyposażenia: Dopracowano logikę wyzwal"&amp;"ania umiejętności „Życie lub śmierć” oraz ulepszono efekty wizualne umiejętności „Ślepy”.")</f>
        <v>- Wojny planet: NPC w Gwiazdzie Koralowej teraz zrzucają Kapsułki Nu-Małpa, a Strefy specjalne, Tablica Wyników Chwały, Historie z Ruin i inne sekcje teraz dodają nagrody w postaci Kapsułek Neo-Małpa.  
- Umiejętność Wyposażenia: Dopracowano logikę wyzwalania umiejętności „Życie lub śmierć” oraz ulepszono efekty wizualne umiejętności „Ślepy”.</v>
      </c>
      <c r="P58" s="169" t="str">
        <f>IFERROR(__xludf.DUMMYFUNCTION("""COMPUTED_VALUE"""),"- حروب الكوكب: الآن تسقط شخصيات غير قابلة للعب في نجمة المرجان كبسولات نو-قرد، وتضيف المناطق الخاصة، لوحة تصنيف المجد، قصص الأنقاض، وأقسام أخرى مكافآت كبسولات نو-قرد.
- مهارة المعدات: تم ضبط منطق التفعيل لمهارة ""الحياة أو الموت"" بدقة، وتم ترقية التأثيرا"&amp;"ت البصرية لمهارة ""أعمى"".")</f>
        <v>- حروب الكوكب: الآن تسقط شخصيات غير قابلة للعب في نجمة المرجان كبسولات نو-قرد، وتضيف المناطق الخاصة، لوحة تصنيف المجد، قصص الأنقاض، وأقسام أخرى مكافآت كبسولات نو-قرد.
- مهارة المعدات: تم ضبط منطق التفعيل لمهارة "الحياة أو الموت" بدقة، وتم ترقية التأثيرات البصرية لمهارة "أعمى".</v>
      </c>
      <c r="Q58" s="169" t="str">
        <f>IFERROR(__xludf.DUMMYFUNCTION("""COMPUTED_VALUE"""),"- プラネットウォーズ：サンゴ星のNPCたちは現在シンAPEカプセルをドロップし、特殊交戦エリア、ゾーンリーダーボード、遺跡物語、その他のセクションでは現在ネオAPEカプセルの報酬が追加されました。  
- 装備スキル：「生死」スキルの発動ロジックを微調整し、「盲目」スキルのビジュアルエフェクトをアップグレードしました。")</f>
        <v>- プラネットウォーズ：サンゴ星のNPCたちは現在シンAPEカプセルをドロップし、特殊交戦エリア、ゾーンリーダーボード、遺跡物語、その他のセクションでは現在ネオAPEカプセルの報酬が追加されました。  
- 装備スキル：「生死」スキルの発動ロジックを微調整し、「盲目」スキルのビジュアルエフェクトをアップグレードしました。</v>
      </c>
      <c r="R58" s="169" t="str">
        <f>IFERROR(__xludf.DUMMYFUNCTION("""COMPUTED_VALUE"""),"- 은하 전쟁: 산호별의 NPC들이 이제 뉴-원숭이 캡슐을 드롭하며, 특수 교전 구역, 영광 리더보드, 유적 이야기 및 기타 구역에 네오-원숭이 캡슐 보상이 추가되었습니다.
- 장비 스킬: “생사” 스킬의 발동 로직을 미세 조정하고 “사각” 스킬의 시각 효과를 업그레이드했습니다.")</f>
        <v>- 은하 전쟁: 산호별의 NPC들이 이제 뉴-원숭이 캡슐을 드롭하며, 특수 교전 구역, 영광 리더보드, 유적 이야기 및 기타 구역에 네오-원숭이 캡슐 보상이 추가되었습니다.
- 장비 스킬: “생사” 스킬의 발동 로직을 미세 조정하고 “사각” 스킬의 시각 효과를 업그레이드했습니다.</v>
      </c>
      <c r="S58" s="108"/>
      <c r="T58" s="108"/>
      <c r="U58" s="108"/>
      <c r="V58" s="108"/>
      <c r="W58" s="108"/>
      <c r="X58" s="108"/>
      <c r="Y58" s="108"/>
      <c r="Z58" s="108"/>
    </row>
    <row r="59">
      <c r="A59" s="108" t="str">
        <f>IFERROR(__xludf.DUMMYFUNCTION("""COMPUTED_VALUE"""),"0.79.0")</f>
        <v>0.79.0</v>
      </c>
      <c r="B59" s="169" t="str">
        <f>IFERROR(__xludf.DUMMYFUNCTION("""COMPUTED_VALUE"""),"-堡垒竞夺优化：优化堡垒被攻击后的次数恢复逻辑；
-医疗站优化：医疗站治疗队列增加取消按钮，取消后返还治疗资源；
-资源使用优化：快速使用资源补充本次需要时，可自动切换页签，优化操作体验。")</f>
        <v>-堡垒竞夺优化：优化堡垒被攻击后的次数恢复逻辑；
-医疗站优化：医疗站治疗队列增加取消按钮，取消后返还治疗资源；
-资源使用优化：快速使用资源补充本次需要时，可自动切换页签，优化操作体验。</v>
      </c>
      <c r="C59" s="169" t="str">
        <f>IFERROR(__xludf.DUMMYFUNCTION("""COMPUTED_VALUE"""),"- Fortress Looter Upgrade: Smarter recovery logic after a fortress is hit.
- Medical Station Upgrade: Treatment queue now has a Cancel button; canceling refunds the healing resources.
- Resource Upgrade: When quick-using resources to meet the current need"&amp;", tabs now auto-switch for a smoother experience.")</f>
        <v>- Fortress Looter Upgrade: Smarter recovery logic after a fortress is hit.
- Medical Station Upgrade: Treatment queue now has a Cancel button; canceling refunds the healing resources.
- Resource Upgrade: When quick-using resources to meet the current need, tabs now auto-switch for a smoother experience.</v>
      </c>
      <c r="D59" s="169" t="str">
        <f>IFERROR(__xludf.DUMMYFUNCTION("""COMPUTED_VALUE"""),"- Amélioration du Pillage de Forteresses : Logique de récupération plus intelligente après qu’une forteresse ait été touchée.
- Amélioration de l’Infirmerie : La file de traitement dispose désormais d’un bouton Annuler ; l’annulation rembourse les ressour"&amp;"ces de soin.
- Amélioration des Ressources : Lors de l’utilisation rapide des ressources pour répondre au besoin actuel, les onglets changent désormais automatiquement pour une expérience plus fluide.")</f>
        <v>- Amélioration du Pillage de Forteresses : Logique de récupération plus intelligente après qu’une forteresse ait été touchée.
- Amélioration de l’Infirmerie : La file de traitement dispose désormais d’un bouton Annuler ; l’annulation rembourse les ressources de soin.
- Amélioration des Ressources : Lors de l’utilisation rapide des ressources pour répondre au besoin actuel, les onglets changent désormais automatiquement pour une expérience plus fluide.</v>
      </c>
      <c r="E59" s="169" t="str">
        <f>IFERROR(__xludf.DUMMYFUNCTION("""COMPUTED_VALUE"""),"- Festungs-Plünderer-Aufwertung: Intelligenteres Wiederherstellungs-Logik nach einem Angriff auf die Festung.
- Lazarett-Aufwertung: Die Behandlungswarteschlange hat jetzt einen Abbrechen-Button; das Abbrechen erstattet die Heilressourcen zurück.
- Ressou"&amp;"rcen-Aufwertung: Beim Schnellverwenden von Ressourcen zur Deckung des aktuellen Bedarfs wechseln die Tabs jetzt automatisch für ein reibungsloseres Erlebnis.")</f>
        <v>- Festungs-Plünderer-Aufwertung: Intelligenteres Wiederherstellungs-Logik nach einem Angriff auf die Festung.
- Lazarett-Aufwertung: Die Behandlungswarteschlange hat jetzt einen Abbrechen-Button; das Abbrechen erstattet die Heilressourcen zurück.
- Ressourcen-Aufwertung: Beim Schnellverwenden von Ressourcen zur Deckung des aktuellen Bedarfs wechseln die Tabs jetzt automatisch für ein reibungsloseres Erlebnis.</v>
      </c>
      <c r="F59" s="169" t="str">
        <f>IFERROR(__xludf.DUMMYFUNCTION("""COMPUTED_VALUE"""),"- Melhoria do Saque de Fortalezas: Lógica de recuperação mais inteligente após uma fortaleza ser atingida.
- Melhoria do Posto Médico: A fila de tratamento agora possui um botão Cancelar; ao cancelar, os recursos de cura são reembolsados.
- Melhoria de Re"&amp;"cursos: Ao usar rapidamente recursos para atender à necessidade atual, as abas agora mudam automaticamente para uma experiência mais fluida.")</f>
        <v>- Melhoria do Saque de Fortalezas: Lógica de recuperação mais inteligente após uma fortaleza ser atingida.
- Melhoria do Posto Médico: A fila de tratamento agora possui um botão Cancelar; ao cancelar, os recursos de cura são reembolsados.
- Melhoria de Recursos: Ao usar rapidamente recursos para atender à necessidade atual, as abas agora mudam automaticamente para uma experiência mais fluida.</v>
      </c>
      <c r="G59" s="169" t="str">
        <f>IFERROR(__xludf.DUMMYFUNCTION("""COMPUTED_VALUE"""),"-堡壘競奪優化：優化堡壘被攻擊後的次數恢復邏輯；
-醫療站優化：醫療站治療隊列增加取消按鈕，取消後返還治療資源；
-資源使用優化：快速使用資源補充本次需要時，可自動切換頁籤，優化操作體驗。")</f>
        <v>-堡壘競奪優化：優化堡壘被攻擊後的次數恢復邏輯；
-醫療站優化：醫療站治療隊列增加取消按鈕，取消後返還治療資源；
-資源使用優化：快速使用資源補充本次需要時，可自動切換頁籤，優化操作體驗。</v>
      </c>
      <c r="H59" s="169" t="str">
        <f>IFERROR(__xludf.DUMMYFUNCTION("""COMPUTED_VALUE"""),"- Peningkatan Penjarah Benteng: Logika pemulihan lebih cerdas setelah benteng terkena serangan.
- Peningkatan Stasiun Medis: Antrian perawatan kini memiliki tombol Batal; membatalkan akan mengembalikan sumber daya penyembuhan.
- Peningkatan Sumber Daya: S"&amp;"aat menggunakan sumber daya cepat untuk memenuhi kebutuhan kali ini, tab akan berpindah otomatis untuk pengalaman yang lebih lancar.")</f>
        <v>- Peningkatan Penjarah Benteng: Logika pemulihan lebih cerdas setelah benteng terkena serangan.
- Peningkatan Stasiun Medis: Antrian perawatan kini memiliki tombol Batal; membatalkan akan mengembalikan sumber daya penyembuhan.
- Peningkatan Sumber Daya: Saat menggunakan sumber daya cepat untuk memenuhi kebutuhan kali ini, tab akan berpindah otomatis untuk pengalaman yang lebih lancar.</v>
      </c>
      <c r="I59" s="169" t="str">
        <f>IFERROR(__xludf.DUMMYFUNCTION("""COMPUTED_VALUE"""),"- อัปเกรดปล้นป้อมปราการ: ปรับปรุงตรรกะการฟื้นฟูหลังป้อมถูกโจมตีให้ฉลาดขึ้น
- อัปเกรดสถานีพยาบาล: คิวการรักษามีปุ่มยกเลิกแล้ว เมื่อยกเลิกจะได้รับทรัพยากรการรักษาคืน
- อัปเกรดทรัพยากร: เมื่อใช้ทรัพยากรอย่างรวดเร็วเพื่อตอบสนองความต้องการครั้งนี้ แท็บจะสลับอั"&amp;"ตโนมัติเพื่อประสบการณ์ที่ราบรื่นยิ่งขึ้น")</f>
        <v>- อัปเกรดปล้นป้อมปราการ: ปรับปรุงตรรกะการฟื้นฟูหลังป้อมถูกโจมตีให้ฉลาดขึ้น
- อัปเกรดสถานีพยาบาล: คิวการรักษามีปุ่มยกเลิกแล้ว เมื่อยกเลิกจะได้รับทรัพยากรการรักษาคืน
- อัปเกรดทรัพยากร: เมื่อใช้ทรัพยากรอย่างรวดเร็วเพื่อตอบสนองความต้องการครั้งนี้ แท็บจะสลับอัตโนมัติเพื่อประสบการณ์ที่ราบรื่นยิ่งขึ้น</v>
      </c>
      <c r="J59" s="169" t="str">
        <f>IFERROR(__xludf.DUMMYFUNCTION("""COMPUTED_VALUE"""),"- Mejora del Saqueador de la Fortaleza: Lógica de recuperación más inteligente después de que una fortaleza sea atacada.
- Mejora de la Estación médica: La cola de tratamiento ahora tiene un botón de Cancelar; al cancelar se reembolsan los recursos de cur"&amp;"ación.
- Mejora de Recursos: Al usar recursos rápidamente para satisfacer la necesidad actual, las pestañas ahora cambian automáticamente para una experiencia más fluida.")</f>
        <v>- Mejora del Saqueador de la Fortaleza: Lógica de recuperación más inteligente después de que una fortaleza sea atacada.
- Mejora de la Estación médica: La cola de tratamiento ahora tiene un botón de Cancelar; al cancelar se reembolsan los recursos de curación.
- Mejora de Recursos: Al usar recursos rápidamente para satisfacer la necesidad actual, las pestañas ahora cambian automáticamente para una experiencia más fluida.</v>
      </c>
      <c r="K59" s="169" t="str">
        <f>IFERROR(__xludf.DUMMYFUNCTION("""COMPUTED_VALUE"""),"- Улучшение грабителя крепости: Более умная логика восстановления после удара по крепости.
- Улучшение медпункта: В очереди на лечение теперь есть кнопка Отмена; при отмене ресурсы лечения возвращаются.
- Улучшение ресурсов: При быстром использовании ресу"&amp;"рсов для удовлетворения текущей потребности вкладки теперь переключаются автоматически для более плавного опыта.")</f>
        <v>- Улучшение грабителя крепости: Более умная логика восстановления после удара по крепости.
- Улучшение медпункта: В очереди на лечение теперь есть кнопка Отмена; при отмене ресурсы лечения возвращаются.
- Улучшение ресурсов: При быстром использовании ресурсов для удовлетворения текущей потребности вкладки теперь переключаются автоматически для более плавного опыта.</v>
      </c>
      <c r="L59" s="169" t="str">
        <f>IFERROR(__xludf.DUMMYFUNCTION("""COMPUTED_VALUE"""),"- Kale Yağmacısı Yükseltmesi: Kale vurulduktan sonra daha akıllı iyileşme mantığı.
- Tedavi Merkezi Yükseltmesi: Tedavi kuyruğunda artık bir İptal Et butonu var; iptal edildiğinde iyileştirme kaynakları iade edilir.
- Kaynak Yükseltmesi: Kaynakları hızlıc"&amp;"a kullanarak mevcut ihtiyacı karşılarken, sekmeler artık daha akıcı bir deneyim için otomatik olarak değişiyor.")</f>
        <v>- Kale Yağmacısı Yükseltmesi: Kale vurulduktan sonra daha akıllı iyileşme mantığı.
- Tedavi Merkezi Yükseltmesi: Tedavi kuyruğunda artık bir İptal Et butonu var; iptal edildiğinde iyileştirme kaynakları iade edilir.
- Kaynak Yükseltmesi: Kaynakları hızlıca kullanarak mevcut ihtiyacı karşılarken, sekmeler artık daha akıcı bir deneyim için otomatik olarak değişiyor.</v>
      </c>
      <c r="M59" s="169" t="str">
        <f>IFERROR(__xludf.DUMMYFUNCTION("""COMPUTED_VALUE"""),"- Nâng Cấp Cướp Bóc Pháo Đài: Logic hồi phục thông minh hơn sau khi Pháo Đài bị tấn công.
- Nâng Cấp Trạm Y Tế: Hàng đợi trị thương giờ có nút Hủy; hủy sẽ hoàn trả tài nguyên trị thương.
- Nâng Cấp Tài Nguyên: Khi sử dụng nhanh tài nguyên để đáp ứng nhu c"&amp;"ầu hiện tại, các tab sẽ tự động chuyển đổi để trải nghiệm mượt mà hơn.")</f>
        <v>- Nâng Cấp Cướp Bóc Pháo Đài: Logic hồi phục thông minh hơn sau khi Pháo Đài bị tấn công.
- Nâng Cấp Trạm Y Tế: Hàng đợi trị thương giờ có nút Hủy; hủy sẽ hoàn trả tài nguyên trị thương.
- Nâng Cấp Tài Nguyên: Khi sử dụng nhanh tài nguyên để đáp ứng nhu cầu hiện tại, các tab sẽ tự động chuyển đổi để trải nghiệm mượt mà hơn.</v>
      </c>
      <c r="N59" s="169" t="str">
        <f>IFERROR(__xludf.DUMMYFUNCTION("""COMPUTED_VALUE"""),"- Potenziamento Saccheggiatore di Fortezze: Logica di recupero più intelligente dopo che una fortezza viene colpita.
- Potenziamento Stazione Medica: La coda di trattamento ora ha un pulsante Annulla; l’annullamento rimborsa le risorse di guarigione.
- Po"&amp;"tenziamento Risorse: Quando usi rapidamente le risorse per soddisfare il bisogno attuale, le schede ora si cambiano automaticamente per un’esperienza più fluida.")</f>
        <v>- Potenziamento Saccheggiatore di Fortezze: Logica di recupero più intelligente dopo che una fortezza viene colpita.
- Potenziamento Stazione Medica: La coda di trattamento ora ha un pulsante Annulla; l’annullamento rimborsa le risorse di guarigione.
- Potenziamento Risorse: Quando usi rapidamente le risorse per soddisfare il bisogno attuale, le schede ora si cambiano automaticamente per un’esperienza più fluida.</v>
      </c>
      <c r="O59" s="169" t="str">
        <f>IFERROR(__xludf.DUMMYFUNCTION("""COMPUTED_VALUE"""),"- Modernizacja Grabieżcy Fortecy: Inteligentniejsze odzyskiwanie po ataku na twierdzę.
- Modernizacja Stacji Medycznej: Kolejka leczenia ma teraz przycisk Anuluj; anulowanie zwraca zasoby leczenia.
- Modernizacja Zasobów: Podczas szybkiego używania zasobó"&amp;"w do spełnienia bieżących potrzeb, zakładki przełączają się automatycznie dla płynniejszego działania.")</f>
        <v>- Modernizacja Grabieżcy Fortecy: Inteligentniejsze odzyskiwanie po ataku na twierdzę.
- Modernizacja Stacji Medycznej: Kolejka leczenia ma teraz przycisk Anuluj; anulowanie zwraca zasoby leczenia.
- Modernizacja Zasobów: Podczas szybkiego używania zasobów do spełnienia bieżących potrzeb, zakładki przełączają się automatycznie dla płynniejszego działania.</v>
      </c>
      <c r="P59" s="169" t="str">
        <f>IFERROR(__xludf.DUMMYFUNCTION("""COMPUTED_VALUE"""),"- ترقية نهب الحصن: منطق استرداد أذكى بعد تعرض الحصن لهجوم.
- ترقية المحطة الطبية: أصبح هناك زر إلغاء في قائمة الانتظار للعلاج؛ إلغاء العلاج يعيد موارد العلاج.
- ترقية الموارد: عند الاستخدام السريع للموارد لتلبية الحاجة الحالية، أصبحت علامات التبويب تتبدل "&amp;"تلقائيًا لتجربة أكثر سلاسة.")</f>
        <v>- ترقية نهب الحصن: منطق استرداد أذكى بعد تعرض الحصن لهجوم.
- ترقية المحطة الطبية: أصبح هناك زر إلغاء في قائمة الانتظار للعلاج؛ إلغاء العلاج يعيد موارد العلاج.
- ترقية الموارد: عند الاستخدام السريع للموارد لتلبية الحاجة الحالية، أصبحت علامات التبويب تتبدل تلقائيًا لتجربة أكثر سلاسة.</v>
      </c>
      <c r="Q59" s="169" t="str">
        <f>IFERROR(__xludf.DUMMYFUNCTION("""COMPUTED_VALUE"""),"- 要塞争奪戦アップグレード：要塞が攻撃された後の回復ロジックがよりスマートに。
- 医療所アップグレード：治療キューにキャンセルボタンが追加され、キャンセル時に治療資源が払い戻されます。
- 資源アップグレード：現在のニーズに合わせて資源をクイック使用する際、タブが自動で切り替わり、よりスムーズな体験に。")</f>
        <v>- 要塞争奪戦アップグレード：要塞が攻撃された後の回復ロジックがよりスマートに。
- 医療所アップグレード：治療キューにキャンセルボタンが追加され、キャンセル時に治療資源が払い戻されます。
- 資源アップグレード：現在のニーズに合わせて資源をクイック使用する際、タブが自動で切り替わり、よりスムーズな体験に。</v>
      </c>
      <c r="R59" s="169" t="str">
        <f>IFERROR(__xludf.DUMMYFUNCTION("""COMPUTED_VALUE"""),"- 요새 쟁탈 업그레이드: 요새가 공격당한 후 더 똑똑한 회복 로직 적용.
- 진료소 업그레이드: 치료 대기열에 취소 버튼이 추가되었습니다. 취소 시 치료 자원이 환불됩니다.
- 자원 업그레이드: 현재 필요에 맞게 자원을 빠르게 사용할 때, 탭이 자동 전환되어 더 부드러운 경험을 제공합니다.")</f>
        <v>- 요새 쟁탈 업그레이드: 요새가 공격당한 후 더 똑똑한 회복 로직 적용.
- 진료소 업그레이드: 치료 대기열에 취소 버튼이 추가되었습니다. 취소 시 치료 자원이 환불됩니다.
- 자원 업그레이드: 현재 필요에 맞게 자원을 빠르게 사용할 때, 탭이 자동 전환되어 더 부드러운 경험을 제공합니다.</v>
      </c>
      <c r="S59" s="108"/>
      <c r="T59" s="108"/>
      <c r="U59" s="108"/>
      <c r="V59" s="108"/>
      <c r="W59" s="108"/>
      <c r="X59" s="108"/>
      <c r="Y59" s="108"/>
      <c r="Z59" s="108"/>
    </row>
    <row r="60">
      <c r="A60" s="108" t="str">
        <f>IFERROR(__xludf.DUMMYFUNCTION("""COMPUTED_VALUE"""),"0.80.0")</f>
        <v>0.80.0</v>
      </c>
      <c r="B60" s="108" t="str">
        <f>IFERROR(__xludf.DUMMYFUNCTION("""COMPUTED_VALUE"""),"-银河战争：优化了远古星界面表现，调整了部分数值与功能机制。
-银河战争：火神星、珊瑚星、寒冰星、远古星基因回收香蕉皮比例调整。")</f>
        <v>-银河战争：优化了远古星界面表现，调整了部分数值与功能机制。
-银河战争：火神星、珊瑚星、寒冰星、远古星基因回收香蕉皮比例调整。</v>
      </c>
      <c r="C60" s="108" t="str">
        <f>IFERROR(__xludf.DUMMYFUNCTION("""COMPUTED_VALUE"""),"-Planet Wars: Ancient Star UI polished; select values and mechanics retuned
-Planet Wars: Gene-Recycle Banana Peel rates adjusted on Fire Star,Coral Star, Glacier Land, and Ancient Star.")</f>
        <v>-Planet Wars: Ancient Star UI polished; select values and mechanics retuned
-Planet Wars: Gene-Recycle Banana Peel rates adjusted on Fire Star,Coral Star, Glacier Land, and Ancient Star.</v>
      </c>
      <c r="D60" s="169" t="str">
        <f>IFERROR(__xludf.DUMMYFUNCTION("""COMPUTED_VALUE"""),"-Guerre planétaire : Interface de l'Étoile Ancienne améliorée ; valeurs de sélection et mécaniques réajustées
-Guerre planétaire : Taux de conversion des peaux de bananes pour le recyclage des gènes ajustés sur Etoile de feu, Étoile de Corail, Terre Glaci"&amp;"aire et Étoile Ancienne.")</f>
        <v>-Guerre planétaire : Interface de l'Étoile Ancienne améliorée ; valeurs de sélection et mécaniques réajustées
-Guerre planétaire : Taux de conversion des peaux de bananes pour le recyclage des gènes ajustés sur Etoile de feu, Étoile de Corail, Terre Glaciaire et Étoile Ancienne.</v>
      </c>
      <c r="E60" s="169" t="str">
        <f>IFERROR(__xludf.DUMMYFUNCTION("""COMPUTED_VALUE"""),"-Planetenkriege: UI von Uralter Stern überarbeitet; Auswahlwerte und Mechaniken neu abgestimmt
-Planetenkriege: Bananenschalen-Raten beim Gen-Recycling auf Feuerstern, Korallenstern, Gletscherland und Uralter Stern angepasst.")</f>
        <v>-Planetenkriege: UI von Uralter Stern überarbeitet; Auswahlwerte und Mechaniken neu abgestimmt
-Planetenkriege: Bananenschalen-Raten beim Gen-Recycling auf Feuerstern, Korallenstern, Gletscherland und Uralter Stern angepasst.</v>
      </c>
      <c r="F60" s="169" t="str">
        <f>IFERROR(__xludf.DUMMYFUNCTION("""COMPUTED_VALUE"""),"-Guerra Interplanetária: Interface da Estrela Ancestral aprimorada; seleção de valores e mecânicas reajustadas
-Guerra Interplanetária: Taxas de Reciclagem de Genes para Cascas de Banana ajustadas em Estrela de Fogo, Estrela Coral, Terra Glacial e Estrela"&amp;" Ancestral.")</f>
        <v>-Guerra Interplanetária: Interface da Estrela Ancestral aprimorada; seleção de valores e mecânicas reajustadas
-Guerra Interplanetária: Taxas de Reciclagem de Genes para Cascas de Banana ajustadas em Estrela de Fogo, Estrela Coral, Terra Glacial e Estrela Ancestral.</v>
      </c>
      <c r="G60" s="169" t="str">
        <f>IFERROR(__xludf.DUMMYFUNCTION("""COMPUTED_VALUE"""),"-銀河戰爭：優化了遠古星介面表現，調整了部分數值與功能機制。
-銀河戰爭：火神星、珊瑚星、寒冰星、遠古星基因回收香蕉皮比例調整。")</f>
        <v>-銀河戰爭：優化了遠古星介面表現，調整了部分數值與功能機制。
-銀河戰爭：火神星、珊瑚星、寒冰星、遠古星基因回收香蕉皮比例調整。</v>
      </c>
      <c r="H60" s="169" t="str">
        <f>IFERROR(__xludf.DUMMYFUNCTION("""COMPUTED_VALUE"""),"-Perang Planet: Antarmuka Bintang Kuno dipoles; pemilihan nilai dan mekanik disesuaikan
-Perang Planet: Rasio Kulit Pisang Daur Ulang Gen disesuaikan di Bintang Api, Bintang Karang, Tanah Gletser, dan Bintang Kuno.")</f>
        <v>-Perang Planet: Antarmuka Bintang Kuno dipoles; pemilihan nilai dan mekanik disesuaikan
-Perang Planet: Rasio Kulit Pisang Daur Ulang Gen disesuaikan di Bintang Api, Bintang Karang, Tanah Gletser, dan Bintang Kuno.</v>
      </c>
      <c r="I60" s="169" t="str">
        <f>IFERROR(__xludf.DUMMYFUNCTION("""COMPUTED_VALUE"""),"-สงครามดาวเคราะห์: ปรับปรุง UI ของดาวโบราณใหม่; ปรับแต่งการเลือกมูลค่าและกลไกใหม่
-สงครามดาวเคราะห์: ปรับอัตราการรีไซเคิลยีนเป็นเปลือกกล้วยบนดาวอัคคี, ดาวปะการัง, ดินแดนน้ำแข็ง และดาวโบราณ")</f>
        <v>-สงครามดาวเคราะห์: ปรับปรุง UI ของดาวโบราณใหม่; ปรับแต่งการเลือกมูลค่าและกลไกใหม่
-สงครามดาวเคราะห์: ปรับอัตราการรีไซเคิลยีนเป็นเปลือกกล้วยบนดาวอัคคี, ดาวปะการัง, ดินแดนน้ำแข็ง และดาวโบราณ</v>
      </c>
      <c r="J60" s="169" t="str">
        <f>IFERROR(__xludf.DUMMYFUNCTION("""COMPUTED_VALUE"""),"-Guerras Planetarias: Interfaz de Estrella Antigua pulida; valores y mecánicas de selección reajustados
-Guerras Planetarias: Tasas de reciclaje de genes a cáscaras de banana ajustadas en Estrella de Fuego, Estrella de Coral, Tierra Glaciar y Estrella Ant"&amp;"igua.")</f>
        <v>-Guerras Planetarias: Interfaz de Estrella Antigua pulida; valores y mecánicas de selección reajustados
-Guerras Planetarias: Tasas de reciclaje de genes a cáscaras de banana ajustadas en Estrella de Fuego, Estrella de Coral, Tierra Glaciar y Estrella Antigua.</v>
      </c>
      <c r="K60" s="169" t="str">
        <f>IFERROR(__xludf.DUMMYFUNCTION("""COMPUTED_VALUE"""),"-Планетарные войны: интерфейс Древней звезды доработан; значения и механики выбора перенастроены
-Планетарные войны: коэффициенты переработки генов в банановую кожуру скорректированы для Огненной звезды, Коралловой Звезды, Ледниковой Земли и Древней звезд"&amp;"ы.")</f>
        <v>-Планетарные войны: интерфейс Древней звезды доработан; значения и механики выбора перенастроены
-Планетарные войны: коэффициенты переработки генов в банановую кожуру скорректированы для Огненной звезды, Коралловой Звезды, Ледниковой Земли и Древней звезды.</v>
      </c>
      <c r="L60" s="169" t="str">
        <f>IFERROR(__xludf.DUMMYFUNCTION("""COMPUTED_VALUE"""),"-Gezegen Savaşları: Kadim Yıldız arayüzü geliştirildi; seçim değerleri ve mekanikleri yeniden ayarlandı
-Gezegen Savaşları: Gen-Geri Dönüşüm Muz Kabuğu oranları Ateş Yıldızı, Mercan Yıldızı, Buzul Toprağı ve Kadim Yıldız'da ayarlandı.")</f>
        <v>-Gezegen Savaşları: Kadim Yıldız arayüzü geliştirildi; seçim değerleri ve mekanikleri yeniden ayarlandı
-Gezegen Savaşları: Gen-Geri Dönüşüm Muz Kabuğu oranları Ateş Yıldızı, Mercan Yıldızı, Buzul Toprağı ve Kadim Yıldız'da ayarlandı.</v>
      </c>
      <c r="M60" s="169" t="str">
        <f>IFERROR(__xludf.DUMMYFUNCTION("""COMPUTED_VALUE"""),"-Chiến Tranh Hành Tinh: Giao diện Sao Cổ Đại được trau chuốt; các giá trị chọn và cơ chế đã được điều chỉnh lại
-Chiến Tranh Hành Tinh: Tỷ lệ Tái Chế Gen thành Vỏ Chuối đã được điều chỉnh trên Sao Hỏa, Sao San Hô, Vùng Đất Băng Hà và Sao Cổ Đại.")</f>
        <v>-Chiến Tranh Hành Tinh: Giao diện Sao Cổ Đại được trau chuốt; các giá trị chọn và cơ chế đã được điều chỉnh lại
-Chiến Tranh Hành Tinh: Tỷ lệ Tái Chế Gen thành Vỏ Chuối đã được điều chỉnh trên Sao Hỏa, Sao San Hô, Vùng Đất Băng Hà và Sao Cổ Đại.</v>
      </c>
      <c r="N60" s="169" t="str">
        <f>IFERROR(__xludf.DUMMYFUNCTION("""COMPUTED_VALUE"""),"-Guerre planetarie: Interfaccia utente di Stella antica migliorata; valori di selezione e meccaniche ritoccati
-Guerre planetarie: Tassi di conversione Gene-Buccia di banana regolati su Stella di fuoco, Stella di Corallo, Terra glaciale e Stella antica.")</f>
        <v>-Guerre planetarie: Interfaccia utente di Stella antica migliorata; valori di selezione e meccaniche ritoccati
-Guerre planetarie: Tassi di conversione Gene-Buccia di banana regolati su Stella di fuoco, Stella di Corallo, Terra glaciale e Stella antica.</v>
      </c>
      <c r="O60" s="169" t="str">
        <f>IFERROR(__xludf.DUMMYFUNCTION("""COMPUTED_VALUE"""),"-Wojny planet: interfejs Starożytnej Gwiazdy został dopracowany; wybór wartości i mechanik został dostrojony
-Wojny planet: współczynniki wymiany Skórek bananów za recykling genów zostały dostosowane na Ognistej Gwieździe, Gwieździe Koralowej, Lodowej Kra"&amp;"inie i Starożytnej Gwieździe.")</f>
        <v>-Wojny planet: interfejs Starożytnej Gwiazdy został dopracowany; wybór wartości i mechanik został dostrojony
-Wojny planet: współczynniki wymiany Skórek bananów za recykling genów zostały dostosowane na Ognistej Gwieździe, Gwieździe Koralowej, Lodowej Krainie i Starożytnej Gwieździe.</v>
      </c>
      <c r="P60" s="169" t="str">
        <f>IFERROR(__xludf.DUMMYFUNCTION("""COMPUTED_VALUE"""),"-حروب الكوكب: تم تحسين واجهة نجمة قديمة؛ تم إعادة ضبط اختيار القيم والميكانيكيات  
-حروب الكوكب: تم تعديل معدلات تحويل قشور الموز من إعادة تدوير الجينات في نجمة النار، نجمة المرجان، أرض الأنهار الجليدية، ونجمة قديمة.")</f>
        <v>-حروب الكوكب: تم تحسين واجهة نجمة قديمة؛ تم إعادة ضبط اختيار القيم والميكانيكيات  
-حروب الكوكب: تم تعديل معدلات تحويل قشور الموز من إعادة تدوير الجينات في نجمة النار، نجمة المرجان، أرض الأنهار الجليدية، ونجمة قديمة.</v>
      </c>
      <c r="Q60" s="169" t="str">
        <f>IFERROR(__xludf.DUMMYFUNCTION("""COMPUTED_VALUE"""),"-プラネットウォーズ：古代の星のUIが洗練され、選択価値とメカニクスが再調整されました  
-プラネットウォーズ：マーズ星、サンゴ星、氷河の土地、古代の星での遺伝子リサイクル・バナナの皮のレートが調整されました")</f>
        <v>-プラネットウォーズ：古代の星のUIが洗練され、選択価値とメカニクスが再調整されました  
-プラネットウォーズ：マーズ星、サンゴ星、氷河の土地、古代の星での遺伝子リサイクル・バナナの皮のレートが調整されました</v>
      </c>
      <c r="R60" s="169" t="str">
        <f>IFERROR(__xludf.DUMMYFUNCTION("""COMPUTED_VALUE"""),"-은하 전쟁: 고대 별 UI가 다듬어졌으며, 선택 가치와 메카닉이 재조정되었습니다.
-은하 전쟁: 불칸, 산호별, 빙하 땅, 고대 별에서 유전자 재활용 바나나 껍질 비율이 조정되었습니다.")</f>
        <v>-은하 전쟁: 고대 별 UI가 다듬어졌으며, 선택 가치와 메카닉이 재조정되었습니다.
-은하 전쟁: 불칸, 산호별, 빙하 땅, 고대 별에서 유전자 재활용 바나나 껍질 비율이 조정되었습니다.</v>
      </c>
      <c r="S60" s="108"/>
      <c r="T60" s="108"/>
      <c r="U60" s="108"/>
      <c r="V60" s="108"/>
      <c r="W60" s="108"/>
      <c r="X60" s="108"/>
      <c r="Y60" s="108"/>
      <c r="Z60" s="108"/>
    </row>
    <row r="61">
      <c r="A61" s="108" t="str">
        <f>IFERROR(__xludf.DUMMYFUNCTION("""COMPUTED_VALUE"""),"0.82.0")</f>
        <v>0.82.0</v>
      </c>
      <c r="B61" s="108" t="str">
        <f>IFERROR(__xludf.DUMMYFUNCTION("""COMPUTED_VALUE"""),"--收藏品：速度与激情系列、幸运降临系列、舞蹈艺术系列、神秘启示系列、方寸博弈系列收藏品集结相关增益数值调整，优化了以上系列藏品对单兵种的属性加成。
--巅峰领土战：野怪掉落的商店兑换币增加。
--礼包内容调整：提高了部分礼包奖励内军备零件所占的比例。")</f>
        <v>--收藏品：速度与激情系列、幸运降临系列、舞蹈艺术系列、神秘启示系列、方寸博弈系列收藏品集结相关增益数值调整，优化了以上系列藏品对单兵种的属性加成。
--巅峰领土战：野怪掉落的商店兑换币增加。
--礼包内容调整：提高了部分礼包奖励内军备零件所占的比例。</v>
      </c>
      <c r="C61" s="108" t="str">
        <f>IFERROR(__xludf.DUMMYFUNCTION("""COMPUTED_VALUE"""),"--Relics: Adjusted the bonus values for the Fast &amp; Fury, Fortune Arrives, Art of Dance, Mystic Revelation, and Tiny-Board Tactics series, improving their attribute bonuses for single units.
--Apex Clash: Increased the amount of Store Exchange Coins droppe"&amp;"d by monsters.
--Pack Adjustments: Some packs now grant a higher proportion of Gear Materials in their rewards.
")</f>
        <v>--Relics: Adjusted the bonus values for the Fast &amp; Fury, Fortune Arrives, Art of Dance, Mystic Revelation, and Tiny-Board Tactics series, improving their attribute bonuses for single units.
--Apex Clash: Increased the amount of Store Exchange Coins dropped by monsters.
--Pack Adjustments: Some packs now grant a higher proportion of Gear Materials in their rewards.
</v>
      </c>
      <c r="D61" s="108" t="str">
        <f>IFERROR(__xludf.DUMMYFUNCTION("""COMPUTED_VALUE"""),"--Reliques : Ajustement des valeurs de bonus pour les séries Rapide &amp; Furie, La Fortune Arrive, Art de la danse, Révélation mystique et Tactiques de Mini-Plateau, améliorant leurs bonus d'attributs pour les unités individuelles.
--Conflit au Sommet : Augm"&amp;"entation du montant de Pièces d'Échange de Boutique obtenues auprès des monstres.
--Ajustements de packs : Certains packs accordent désormais une proportion plus élevée de MATÉRIAUX d'équipement dans leurs récompenses.")</f>
        <v>--Reliques : Ajustement des valeurs de bonus pour les séries Rapide &amp; Furie, La Fortune Arrive, Art de la danse, Révélation mystique et Tactiques de Mini-Plateau, améliorant leurs bonus d'attributs pour les unités individuelles.
--Conflit au Sommet : Augmentation du montant de Pièces d'Échange de Boutique obtenues auprès des monstres.
--Ajustements de packs : Certains packs accordent désormais une proportion plus élevée de MATÉRIAUX d'équipement dans leurs récompenses.</v>
      </c>
      <c r="E61" s="108" t="str">
        <f>IFERROR(__xludf.DUMMYFUNCTION("""COMPUTED_VALUE"""),"--Relikte: Die Bonuswerte der Serien Schnell &amp; Wut, Das Glück kommt an, Kunst des Tanzes, Mystische Offenbarung und Mini-Brett-Taktiken wurden angepasst, wodurch ihre Attributboni für einzelne Einheiten verbessert wurden.
--Apex-Kampf: Die Menge der von M"&amp;"onstern fallengelassenen Laden-Tauschmünzen wurde erhöht.
--Paket-Anpassungen: Einige Pakete verleihen nun einen höheren Anteil an Ausrüstungsmaterialien in ihren Belohnungen.")</f>
        <v>--Relikte: Die Bonuswerte der Serien Schnell &amp; Wut, Das Glück kommt an, Kunst des Tanzes, Mystische Offenbarung und Mini-Brett-Taktiken wurden angepasst, wodurch ihre Attributboni für einzelne Einheiten verbessert wurden.
--Apex-Kampf: Die Menge der von Monstern fallengelassenen Laden-Tauschmünzen wurde erhöht.
--Paket-Anpassungen: Einige Pakete verleihen nun einen höheren Anteil an Ausrüstungsmaterialien in ihren Belohnungen.</v>
      </c>
      <c r="F61" s="108" t="str">
        <f>IFERROR(__xludf.DUMMYFUNCTION("""COMPUTED_VALUE"""),"--Relíquias: Ajustados os valores de bônus para as séries Veloz e Fúria, A Fortuna Chega, Arte da Dança, Revelação Mística e Táticas de Tabuleiro Pequeno, melhorando seus bônus de atributos para unidades individuais.
--Embate do Ápice: Aumentada a quantid"&amp;"ade de Moedas de Troca de Loja obtidas ao derrotar monstros.
--Ajustes de Pacotes: Alguns pacotes agora concedem uma proporção maior de Materiais de Equipamento em suas recompensas.")</f>
        <v>--Relíquias: Ajustados os valores de bônus para as séries Veloz e Fúria, A Fortuna Chega, Arte da Dança, Revelação Mística e Táticas de Tabuleiro Pequeno, melhorando seus bônus de atributos para unidades individuais.
--Embate do Ápice: Aumentada a quantidade de Moedas de Troca de Loja obtidas ao derrotar monstros.
--Ajustes de Pacotes: Alguns pacotes agora concedem uma proporção maior de Materiais de Equipamento em suas recompensas.</v>
      </c>
      <c r="G61" s="108" t="str">
        <f>IFERROR(__xludf.DUMMYFUNCTION("""COMPUTED_VALUE"""),"--收藏品：速度與激情系列、幸運降臨系列、舞蹈藝術系列、神祕啟示系列、方寸博弈系列收藏品集結相關增益數值調整，優化了以上系列藏品對單兵種的屬性加成。
--巔峰領土戰：野怪掉落的商店兌換幣增加。
--禮包內容調整：提高了部分禮包獎勵內軍備零件所占的比例。")</f>
        <v>--收藏品：速度與激情系列、幸運降臨系列、舞蹈藝術系列、神祕啟示系列、方寸博弈系列收藏品集結相關增益數值調整，優化了以上系列藏品對單兵種的屬性加成。
--巔峰領土戰：野怪掉落的商店兌換幣增加。
--禮包內容調整：提高了部分禮包獎勵內軍備零件所占的比例。</v>
      </c>
      <c r="H61" s="108" t="str">
        <f>IFERROR(__xludf.DUMMYFUNCTION("""COMPUTED_VALUE"""),"--Relik: Nilai bonus untuk seri Cepat &amp; Murka, Keberuntungan Tiba, Seni Tari, Wahyu Mistis, dan Taktik Papan Mini telah disesuaikan, meningkatkan bonus atribut mereka untuk unit tunggal.
--Pertarungan Puncak: Jumlah Koin Tukar Toko yang dijatuhkan oleh mo"&amp;"nster telah ditingkatkan.
--Penyesuaian Paket: Beberapa paket sekarang memberikan proporsi Material Perlengkapan yang lebih tinggi dalam hadiahnya.")</f>
        <v>--Relik: Nilai bonus untuk seri Cepat &amp; Murka, Keberuntungan Tiba, Seni Tari, Wahyu Mistis, dan Taktik Papan Mini telah disesuaikan, meningkatkan bonus atribut mereka untuk unit tunggal.
--Pertarungan Puncak: Jumlah Koin Tukar Toko yang dijatuhkan oleh monster telah ditingkatkan.
--Penyesuaian Paket: Beberapa paket sekarang memberikan proporsi Material Perlengkapan yang lebih tinggi dalam hadiahnya.</v>
      </c>
      <c r="I61" s="108" t="str">
        <f>IFERROR(__xludf.DUMMYFUNCTION("""COMPUTED_VALUE"""),"--วัตถุโบราณ: ปรับค่าบูสต์สำหรับซีรีส์ รวดเร็วและพิโรธ, โชคลาภมาถึง, ศิลปะแห่งการเต้นรำ, การเปิดเผยลึกลับ และ กลยุทธ์กระดานจิ๋ว โดยปรับปรุงโบนัสคุณสมบัติสำหรับหน่วยเดี่ยว
--สนามต่อสู้ยอดสูง: เพิ่มจำนวนเหรียญแลกเปลี่ยนร้านค้าที่ดรอปจากมอนสเตอร์
--การปรับแพ"&amp;"็ก: แพ็กบางรายการจะให้สัดส่วนผลิตวัสดุอุปกรณ์ในรางวัลสูงขึ้น")</f>
        <v>--วัตถุโบราณ: ปรับค่าบูสต์สำหรับซีรีส์ รวดเร็วและพิโรธ, โชคลาภมาถึง, ศิลปะแห่งการเต้นรำ, การเปิดเผยลึกลับ และ กลยุทธ์กระดานจิ๋ว โดยปรับปรุงโบนัสคุณสมบัติสำหรับหน่วยเดี่ยว
--สนามต่อสู้ยอดสูง: เพิ่มจำนวนเหรียญแลกเปลี่ยนร้านค้าที่ดรอปจากมอนสเตอร์
--การปรับแพ็ก: แพ็กบางรายการจะให้สัดส่วนผลิตวัสดุอุปกรณ์ในรางวัลสูงขึ้น</v>
      </c>
      <c r="J61" s="108" t="str">
        <f>IFERROR(__xludf.DUMMYFUNCTION("""COMPUTED_VALUE"""),"--Reliquias: Se ajustaron los valores de bonificación para las series Rápido y Furia, Llega la Fortuna, El Arte de Bailar, Revelación Mística y Tácticas de Tablero Pequeño, mejorando sus bonificaciones de atributos para unidades individuales.
--Cumbre de "&amp;"la Arena: Se incrementó la cantidad de Monedas de Intercambio de Tienda que sueltan los monstruos.
--Ajustes de Paquetes: Algunos paquetes ahora conceden una mayor proporción de Materiales de Equipo en sus recompensas.")</f>
        <v>--Reliquias: Se ajustaron los valores de bonificación para las series Rápido y Furia, Llega la Fortuna, El Arte de Bailar, Revelación Mística y Tácticas de Tablero Pequeño, mejorando sus bonificaciones de atributos para unidades individuales.
--Cumbre de la Arena: Se incrementó la cantidad de Monedas de Intercambio de Tienda que sueltan los monstruos.
--Ajustes de Paquetes: Algunos paquetes ahora conceden una mayor proporción de Materiales de Equipo en sus recompensas.</v>
      </c>
      <c r="K61" s="108" t="str">
        <f>IFERROR(__xludf.DUMMYFUNCTION("""COMPUTED_VALUE"""),"--Реликвии: Скорректированы значения бонусов для серий Быстрота и ярость, Прибытие удачи, Искусство танца, Мистическое откровение и Тактика мини-доски, улучшены бонусы к показателям для отдельных отрядов.
--Арена Вершины: Увеличено количество монет обмена"&amp;" магазина, выпадающих с монстров.
--Корректировки наборов: В некоторых наборах теперь увеличена доля материалов снаряжения в наградах.")</f>
        <v>--Реликвии: Скорректированы значения бонусов для серий Быстрота и ярость, Прибытие удачи, Искусство танца, Мистическое откровение и Тактика мини-доски, улучшены бонусы к показателям для отдельных отрядов.
--Арена Вершины: Увеличено количество монет обмена магазина, выпадающих с монстров.
--Корректировки наборов: В некоторых наборах теперь увеличена доля материалов снаряжения в наградах.</v>
      </c>
      <c r="L61" s="108" t="str">
        <f>IFERROR(__xludf.DUMMYFUNCTION("""COMPUTED_VALUE"""),"--Kalıntılar: Hızlı ve Hiddet, Talih Geldi, Dans Sanatı, Gizemli Vahiy ve Minitahta Taktikleri serilerinin bonus değerleri ayarlandı, tekil birimler için nitelik bonusları iyileştirildi.
--Zirve Çarpışması: Canavarlardan düşen Mağaza Takas Parası miktarı "&amp;"artırıldı.
--Paket Ayarlamaları: Bazı paketler artık ödüllerinde daha yüksek oranda Ekipman Materyali veriyor.")</f>
        <v>--Kalıntılar: Hızlı ve Hiddet, Talih Geldi, Dans Sanatı, Gizemli Vahiy ve Minitahta Taktikleri serilerinin bonus değerleri ayarlandı, tekil birimler için nitelik bonusları iyileştirildi.
--Zirve Çarpışması: Canavarlardan düşen Mağaza Takas Parası miktarı artırıldı.
--Paket Ayarlamaları: Bazı paketler artık ödüllerinde daha yüksek oranda Ekipman Materyali veriyor.</v>
      </c>
      <c r="M61" s="108" t="str">
        <f>IFERROR(__xludf.DUMMYFUNCTION("""COMPUTED_VALUE"""),"--Di Tích: Đã điều chỉnh giá trị thưởng cho các dòng Nhanh &amp; Thịnh Nộ, Vận May Đến, Nghệ Thuật Nhảy Múa, Khải Huyền Huyền Bí và Chiến Thuật Bảng Nhỏ, cải thiện thưởng thuộc tính cho từng đơn vị.
--Đỉnh Đấu Tranh: Tăng số lượng Xu Quy Đổi Cửa Hàng rơi ra t"&amp;"ừ quái vật.
--Điều Chỉnh Gói: Một số gói hiện cấp tỷ lệ Nguyên Liệu Trang Bị cao hơn trong phần thưởng.")</f>
        <v>--Di Tích: Đã điều chỉnh giá trị thưởng cho các dòng Nhanh &amp; Thịnh Nộ, Vận May Đến, Nghệ Thuật Nhảy Múa, Khải Huyền Huyền Bí và Chiến Thuật Bảng Nhỏ, cải thiện thưởng thuộc tính cho từng đơn vị.
--Đỉnh Đấu Tranh: Tăng số lượng Xu Quy Đổi Cửa Hàng rơi ra từ quái vật.
--Điều Chỉnh Gói: Một số gói hiện cấp tỷ lệ Nguyên Liệu Trang Bị cao hơn trong phần thưởng.</v>
      </c>
      <c r="N61" s="108" t="str">
        <f>IFERROR(__xludf.DUMMYFUNCTION("""COMPUTED_VALUE"""),"--Reliquie: Modificati i valori dei bonus per le serie Veloce e Furia, Arrivo della Fortuna, Arte della danza, Rivelazione mistica e Tattiche da Mini-Tavola, migliorando i bonus attributi per le singole unità.
--Scontro Apice: Aumentato l'importo di Monet"&amp;"e Scambia Negozio ottenute dai mostri.
--Regolazioni Pacchetti: Alcuni pacchetti ora concedono una proporzione maggiore di Materiali Equipaggiamento nelle loro ricompense.")</f>
        <v>--Reliquie: Modificati i valori dei bonus per le serie Veloce e Furia, Arrivo della Fortuna, Arte della danza, Rivelazione mistica e Tattiche da Mini-Tavola, migliorando i bonus attributi per le singole unità.
--Scontro Apice: Aumentato l'importo di Monete Scambia Negozio ottenute dai mostri.
--Regolazioni Pacchetti: Alcuni pacchetti ora concedono una proporzione maggiore di Materiali Equipaggiamento nelle loro ricompense.</v>
      </c>
      <c r="O61" s="108" t="str">
        <f>IFERROR(__xludf.DUMMYFUNCTION("""COMPUTED_VALUE"""),"--Relikty: Dostosowano wartości premii dla serii Szybkość i Furia, Nadchodzi Fortuna, Sztuka tańca, Mistyczne Objawienie oraz Taktyka Mini-Planszy, poprawiając ich premie atrybutów dla pojedynczych jednostek.
--Szczytowe Starcie: Zwiększono ilość Monet Wy"&amp;"miany Sklepowej wypadających z potworów.
--Dostosowania Pakietów: Niektóre pakiety teraz przyznają wyższy udział Materiałów Ekwipunku w swoich nagrodach.")</f>
        <v>--Relikty: Dostosowano wartości premii dla serii Szybkość i Furia, Nadchodzi Fortuna, Sztuka tańca, Mistyczne Objawienie oraz Taktyka Mini-Planszy, poprawiając ich premie atrybutów dla pojedynczych jednostek.
--Szczytowe Starcie: Zwiększono ilość Monet Wymiany Sklepowej wypadających z potworów.
--Dostosowania Pakietów: Niektóre pakiety teraz przyznają wyższy udział Materiałów Ekwipunku w swoich nagrodach.</v>
      </c>
      <c r="P61" s="108" t="str">
        <f>IFERROR(__xludf.DUMMYFUNCTION("""COMPUTED_VALUE"""),"--المقتنيات: تم تعديل قيم الهدايا لسلاسل سريع وغضب شديد، وصول الثروة، فن الرقص، الوحي الغامض، وتكتيكات لوحة صغيرة، مع تحسين مكافآت السمات للوحدات الفردية.
--صراع القمة: تم زيادة كمية عملات تبادل المتجر التي تسقطها الوحوش.
--تعديلات الباقات: بعض الباقات تم"&amp;"نح الآن نسبة أعلى من مواد المعدات في مكافآتها.")</f>
        <v>--المقتنيات: تم تعديل قيم الهدايا لسلاسل سريع وغضب شديد، وصول الثروة، فن الرقص، الوحي الغامض، وتكتيكات لوحة صغيرة، مع تحسين مكافآت السمات للوحدات الفردية.
--صراع القمة: تم زيادة كمية عملات تبادل المتجر التي تسقطها الوحوش.
--تعديلات الباقات: بعض الباقات تمنح الآن نسبة أعلى من مواد المعدات في مكافآتها.</v>
      </c>
      <c r="Q61" s="108" t="str">
        <f>IFERROR(__xludf.DUMMYFUNCTION("""COMPUTED_VALUE"""),"--遺物：ファスト＆フューリー、運命が到来、ダンスの芸術、神秘の啓示、タイニーボード戦術シリーズのボーナス値を調整し、単一ユニットの属性ボーナスを強化しました。
--エイペックスクラッシュ：モンスターからドロップされるストア交換コインの投資金額を増加させました。
--パック調整：一部のパックでは、報酬として軍備素材の割合が高くなりました。")</f>
        <v>--遺物：ファスト＆フューリー、運命が到来、ダンスの芸術、神秘の啓示、タイニーボード戦術シリーズのボーナス値を調整し、単一ユニットの属性ボーナスを強化しました。
--エイペックスクラッシュ：モンスターからドロップされるストア交換コインの投資金額を増加させました。
--パック調整：一部のパックでは、報酬として軍備素材の割合が高くなりました。</v>
      </c>
      <c r="R61" s="108" t="str">
        <f>IFERROR(__xludf.DUMMYFUNCTION("""COMPUTED_VALUE"""),"--유물: 속도 &amp; 분념, 행운이 도착합니다, 댄스의 기술, 신비한 계시, 타이니-보드 전술 시리즈의 보너스 값을 조정하여 단일 유닛의 속성 보너스를 개선했습니다.
--에이펙스 충돌: 몬스터가 드롭하는 상점 교환 코인의 수량이 증가했습니다.
--패키지 조정: 일부 패키지의 보상에서 장비 재료의 비율이 더 높아졌습니다.")</f>
        <v>--유물: 속도 &amp; 분념, 행운이 도착합니다, 댄스의 기술, 신비한 계시, 타이니-보드 전술 시리즈의 보너스 값을 조정하여 단일 유닛의 속성 보너스를 개선했습니다.
--에이펙스 충돌: 몬스터가 드롭하는 상점 교환 코인의 수량이 증가했습니다.
--패키지 조정: 일부 패키지의 보상에서 장비 재료의 비율이 더 높아졌습니다.</v>
      </c>
      <c r="S61" s="108"/>
      <c r="T61" s="108"/>
      <c r="U61" s="108"/>
      <c r="V61" s="108"/>
      <c r="W61" s="108"/>
      <c r="X61" s="108"/>
      <c r="Y61" s="108"/>
      <c r="Z61" s="108"/>
    </row>
    <row r="62">
      <c r="A62" s="108" t="str">
        <f>IFERROR(__xludf.DUMMYFUNCTION("""COMPUTED_VALUE"""),"0.83.0")</f>
        <v>0.83.0</v>
      </c>
      <c r="B62" s="169" t="str">
        <f>IFERROR(__xludf.DUMMYFUNCTION("""COMPUTED_VALUE"""),"-战车优化：战车的移动速度提升，并等比例增加攻击加成。")</f>
        <v>-战车优化：战车的移动速度提升，并等比例增加攻击加成。</v>
      </c>
      <c r="C62" s="169" t="str">
        <f>IFERROR(__xludf.DUMMYFUNCTION("""COMPUTED_VALUE"""),"-Carrier Update: Increased carrier movement speed and proportionally boosted attack bonuses.
")</f>
        <v>-Carrier Update: Increased carrier movement speed and proportionally boosted attack bonuses.
</v>
      </c>
      <c r="D62" s="169" t="str">
        <f>IFERROR(__xludf.DUMMYFUNCTION("""COMPUTED_VALUE"""),"-Mise à jour du transporteur : Vitesse de déplacement du transporteur augmentée et bonus d’attaque proportionnellement renforcés.")</f>
        <v>-Mise à jour du transporteur : Vitesse de déplacement du transporteur augmentée et bonus d’attaque proportionnellement renforcés.</v>
      </c>
      <c r="E62" s="169" t="str">
        <f>IFERROR(__xludf.DUMMYFUNCTION("""COMPUTED_VALUE"""),"-Träger-Update: Erhöhte Trägerbewegungsgeschwindigkeit und proportional gesteigerte Angriffsboni.")</f>
        <v>-Träger-Update: Erhöhte Trägerbewegungsgeschwindigkeit und proportional gesteigerte Angriffsboni.</v>
      </c>
      <c r="F62" s="169" t="str">
        <f>IFERROR(__xludf.DUMMYFUNCTION("""COMPUTED_VALUE"""),"Atualização do Transportador: Velocidade de movimento do transportador aumentada e bônus de ataque reforçados proporcionalmente.")</f>
        <v>Atualização do Transportador: Velocidade de movimento do transportador aumentada e bônus de ataque reforçados proporcionalmente.</v>
      </c>
      <c r="G62" s="169" t="str">
        <f>IFERROR(__xludf.DUMMYFUNCTION("""COMPUTED_VALUE"""),"-戰車優化：戰車的移動速度提升，並等比例增加攻擊加成。")</f>
        <v>-戰車優化：戰車的移動速度提升，並等比例增加攻擊加成。</v>
      </c>
      <c r="H62" s="169" t="str">
        <f>IFERROR(__xludf.DUMMYFUNCTION("""COMPUTED_VALUE"""),"-Pembaruan Pembawa Barang: Kecepatan gerak pembawa barang meningkat dan bonus serangan juga ditingkatkan secara proporsional.")</f>
        <v>-Pembaruan Pembawa Barang: Kecepatan gerak pembawa barang meningkat dan bonus serangan juga ditingkatkan secara proporsional.</v>
      </c>
      <c r="I62" s="169" t="str">
        <f>IFERROR(__xludf.DUMMYFUNCTION("""COMPUTED_VALUE"""),"อัปเดตลิงขนส่ง: เพิ่มความเร็วในการเคลื่อนที่ของลิงขนส่งและบูสต์โบนัสโจมตีตามสัดส่วน.")</f>
        <v>อัปเดตลิงขนส่ง: เพิ่มความเร็วในการเคลื่อนที่ของลิงขนส่งและบูสต์โบนัสโจมตีตามสัดส่วน.</v>
      </c>
      <c r="J62" s="169" t="str">
        <f>IFERROR(__xludf.DUMMYFUNCTION("""COMPUTED_VALUE"""),"-Actualización de Transportador: Velocidad de movimiento del transportador aumentada y bonificaciones de ataque potenciadas proporcionalmente.")</f>
        <v>-Actualización de Transportador: Velocidad de movimiento del transportador aumentada y bonificaciones de ataque potenciadas proporcionalmente.</v>
      </c>
      <c r="K62" s="169" t="str">
        <f>IFERROR(__xludf.DUMMYFUNCTION("""COMPUTED_VALUE"""),"-Обновление перевозчика: увеличена скорость движения перевозчика и пропорционально усилены бонусы к атаке.")</f>
        <v>-Обновление перевозчика: увеличена скорость движения перевозчика и пропорционально усилены бонусы к атаке.</v>
      </c>
      <c r="L62" s="169" t="str">
        <f>IFERROR(__xludf.DUMMYFUNCTION("""COMPUTED_VALUE"""),"-Taşıyıcı Güncellemesi: Taşıyıcı hareket hızı artırıldı ve orantılı olarak saldırı bonusları güçlendirildi.")</f>
        <v>-Taşıyıcı Güncellemesi: Taşıyıcı hareket hızı artırıldı ve orantılı olarak saldırı bonusları güçlendirildi.</v>
      </c>
      <c r="M62" s="169" t="str">
        <f>IFERROR(__xludf.DUMMYFUNCTION("""COMPUTED_VALUE"""),"-Cập Nhật Người Vận Chuyển: Tăng tốc độ di chuyển của người vận chuyển và tặng thêm thưởng tấn công theo tỷ lệ.")</f>
        <v>-Cập Nhật Người Vận Chuyển: Tăng tốc độ di chuyển của người vận chuyển và tặng thêm thưởng tấn công theo tỷ lệ.</v>
      </c>
      <c r="N62" s="169" t="str">
        <f>IFERROR(__xludf.DUMMYFUNCTION("""COMPUTED_VALUE"""),"-Aggiornamento Trasportatore: Velocità di movimento del trasportatore aumentata e bonus all'attacco potenziati proporzionalmente.")</f>
        <v>-Aggiornamento Trasportatore: Velocità di movimento del trasportatore aumentata e bonus all'attacco potenziati proporzionalmente.</v>
      </c>
      <c r="O62" s="169" t="str">
        <f>IFERROR(__xludf.DUMMYFUNCTION("""COMPUTED_VALUE"""),"-Aktualizacja przenośnika: Zwiększono prędkość ruchu przenośnika oraz proporcjonalnie wzmocniono premie do ataku.")</f>
        <v>-Aktualizacja przenośnika: Zwiększono prędkość ruchu przenośnika oraz proporcjonalnie wzmocniono premie do ataku.</v>
      </c>
      <c r="P62" s="169" t="str">
        <f>IFERROR(__xludf.DUMMYFUNCTION("""COMPUTED_VALUE"""),"-تحديث الناقلة: تمت زيادة سرعة حركة الناقلة وتعزيز هدايا الهجوم بشكل نسبي.")</f>
        <v>-تحديث الناقلة: تمت زيادة سرعة حركة الناقلة وتعزيز هدايا الهجوم بشكل نسبي.</v>
      </c>
      <c r="Q62" s="169" t="str">
        <f>IFERROR(__xludf.DUMMYFUNCTION("""COMPUTED_VALUE"""),"キャリア更新：キャリアの移動速度が増加し、攻撃ボーナスも比例してブーストされました。")</f>
        <v>キャリア更新：キャリアの移動速度が増加し、攻撃ボーナスも比例してブーストされました。</v>
      </c>
      <c r="R62" s="169" t="str">
        <f>IFERROR(__xludf.DUMMYFUNCTION("""COMPUTED_VALUE"""),"-운반선 업데이트: 운반선 이동 속도가 증가하고, 이에 비례하여 공격 보너스가 강화되었습니다.")</f>
        <v>-운반선 업데이트: 운반선 이동 속도가 증가하고, 이에 비례하여 공격 보너스가 강화되었습니다.</v>
      </c>
      <c r="S62" s="108"/>
      <c r="T62" s="108"/>
      <c r="U62" s="108"/>
      <c r="V62" s="108"/>
      <c r="W62" s="108"/>
      <c r="X62" s="108"/>
      <c r="Y62" s="108"/>
      <c r="Z62" s="108"/>
    </row>
    <row r="63">
      <c r="A63" s="108" t="str">
        <f>IFERROR(__xludf.DUMMYFUNCTION("""COMPUTED_VALUE"""),"0.84.0")</f>
        <v>0.84.0</v>
      </c>
      <c r="B63" s="169" t="str">
        <f>IFERROR(__xludf.DUMMYFUNCTION("""COMPUTED_VALUE"""),"-解锁任意机甲涂装后额外获得属性增益，拥有机甲涂装越多，属性越强！
-银河战争中，所有中立建筑的占领难度，随着星球更替难度提升。")</f>
        <v>-解锁任意机甲涂装后额外获得属性增益，拥有机甲涂装越多，属性越强！
-银河战争中，所有中立建筑的占领难度，随着星球更替难度提升。</v>
      </c>
      <c r="C63" s="169" t="str">
        <f>IFERROR(__xludf.DUMMYFUNCTION("""COMPUTED_VALUE"""),"-Unlock any mech lacquer to gain an extra attribute bonus—the more lacquers you own, the stronger your attributes get!
-In Planet Wars, the difficulty of capturing neutral buildings increases as you advance to newer planets.
")</f>
        <v>-Unlock any mech lacquer to gain an extra attribute bonus—the more lacquers you own, the stronger your attributes get!
-In Planet Wars, the difficulty of capturing neutral buildings increases as you advance to newer planets.
</v>
      </c>
      <c r="D63" s="169" t="str">
        <f>IFERROR(__xludf.DUMMYFUNCTION("""COMPUTED_VALUE"""),"-Débloquez n'importe quelle laque de mécha pour obtenir un bonus d'attribut supplémentaire—plus vous possédez de laques, plus vos attributs deviennent forts !
-Dans la Guerre planétaire, la difficulté de capture des bâtiments neutres augmente à mesure que"&amp;" vous développez vers de nouvelles planètes.")</f>
        <v>-Débloquez n'importe quelle laque de mécha pour obtenir un bonus d'attribut supplémentaire—plus vous possédez de laques, plus vos attributs deviennent forts !
-Dans la Guerre planétaire, la difficulté de capture des bâtiments neutres augmente à mesure que vous développez vers de nouvelles planètes.</v>
      </c>
      <c r="E63" s="169" t="str">
        <f>IFERROR(__xludf.DUMMYFUNCTION("""COMPUTED_VALUE"""),"-Schalte beliebigen Mech-Lack frei, um einen zusätzlichen Attributbonus zu erhalten – je mehr Lacke du besitzt, desto stärker werden deine Attribute!
-In den Planetenkriegen steigt die Schwierigkeit, neutrale Gebäude einzunehmen, je weiter du auf neue Pla"&amp;"neten fortschreitest.")</f>
        <v>-Schalte beliebigen Mech-Lack frei, um einen zusätzlichen Attributbonus zu erhalten – je mehr Lacke du besitzt, desto stärker werden deine Attribute!
-In den Planetenkriegen steigt die Schwierigkeit, neutrale Gebäude einzunehmen, je weiter du auf neue Planeten fortschreitest.</v>
      </c>
      <c r="F63" s="169" t="str">
        <f>IFERROR(__xludf.DUMMYFUNCTION("""COMPUTED_VALUE"""),"-Desbloqueie qualquer laca de mech para ganhar um bônus de atributo extra—quanto mais lacas você possuir, mais fortes ficam seus atributos!
-Em Guerra Interplanetária, a dificuldade de capturar estruturas neutras aumenta conforme você avança para novos pl"&amp;"anetas.")</f>
        <v>-Desbloqueie qualquer laca de mech para ganhar um bônus de atributo extra—quanto mais lacas você possuir, mais fortes ficam seus atributos!
-Em Guerra Interplanetária, a dificuldade de capturar estruturas neutras aumenta conforme você avança para novos planetas.</v>
      </c>
      <c r="G63" s="169" t="str">
        <f>IFERROR(__xludf.DUMMYFUNCTION("""COMPUTED_VALUE"""),"-解鎖任意機甲塗裝後額外獲得屬性增益，擁有機甲塗裝越多，屬性越強！
-銀河戰爭中，所有中立建築的佔領難度，隨著星球更替難度提升。")</f>
        <v>-解鎖任意機甲塗裝後額外獲得屬性增益，擁有機甲塗裝越多，屬性越強！
-銀河戰爭中，所有中立建築的佔領難度，隨著星球更替難度提升。</v>
      </c>
      <c r="H63" s="169" t="str">
        <f>IFERROR(__xludf.DUMMYFUNCTION("""COMPUTED_VALUE"""),"-Buka pernis mekanik apa pun untuk mendapatkan bonus atribut ekstra—semakin banyak pernis yang kamu miliki, semakin kuat atributmu!
-Dalam Perang Planet, tingkat kesulitan merebut bangunan netral akan meningkat seiring kamu maju ke planet-planet baru.")</f>
        <v>-Buka pernis mekanik apa pun untuk mendapatkan bonus atribut ekstra—semakin banyak pernis yang kamu miliki, semakin kuat atributmu!
-Dalam Perang Planet, tingkat kesulitan merebut bangunan netral akan meningkat seiring kamu maju ke planet-planet baru.</v>
      </c>
      <c r="I63" s="169" t="str">
        <f>IFERROR(__xludf.DUMMYFUNCTION("""COMPUTED_VALUE"""),"-ปลดล็อกแลคเกอร์เมคใดๆ เพื่อรับโบนัสคุณสมบัติเพิ่มเติม—ยิ่งคุณมีแลคเกอร์มากเท่าไหร่ คุณสมบัติก็ยิ่งแข็งแกร่งมากขึ้น!
-ในสงครามดาวเคราะห์ ความยากในการยึดสิ่งปลูกสร้างที่ไม่มีใครครอบครองจะเพิ่มขึ้นเมื่อคุณเดินหน้าสู่ดาวเคราะห์ใหม่ๆ")</f>
        <v>-ปลดล็อกแลคเกอร์เมคใดๆ เพื่อรับโบนัสคุณสมบัติเพิ่มเติม—ยิ่งคุณมีแลคเกอร์มากเท่าไหร่ คุณสมบัติก็ยิ่งแข็งแกร่งมากขึ้น!
-ในสงครามดาวเคราะห์ ความยากในการยึดสิ่งปลูกสร้างที่ไม่มีใครครอบครองจะเพิ่มขึ้นเมื่อคุณเดินหน้าสู่ดาวเคราะห์ใหม่ๆ</v>
      </c>
      <c r="J63" s="169" t="str">
        <f>IFERROR(__xludf.DUMMYFUNCTION("""COMPUTED_VALUE"""),"-Desbloquea cualquier laca de mecha para obtener una bonificación de atributo extra—cuantas más lacas poseas, más fuertes serán tus atributos.
-En Guerras Planetarias, la dificultad para capturar edificios neutrales aumenta a medida que avanzas a planetas"&amp;" nuevos.")</f>
        <v>-Desbloquea cualquier laca de mecha para obtener una bonificación de atributo extra—cuantas más lacas poseas, más fuertes serán tus atributos.
-En Guerras Planetarias, la dificultad para capturar edificios neutrales aumenta a medida que avanzas a planetas nuevos.</v>
      </c>
      <c r="K63" s="169" t="str">
        <f>IFERROR(__xludf.DUMMYFUNCTION("""COMPUTED_VALUE"""),"-Откройте любой лак для меха, чтобы получить дополнительный бонус к показателям — чем больше лаков у вас есть, тем сильнее становятся ваши показатели!
-В Планетарных войнах сложность захвата нейтральных зданий увеличивается по мере продвижения на новые пл"&amp;"анеты.")</f>
        <v>-Откройте любой лак для меха, чтобы получить дополнительный бонус к показателям — чем больше лаков у вас есть, тем сильнее становятся ваши показатели!
-В Планетарных войнах сложность захвата нейтральных зданий увеличивается по мере продвижения на новые планеты.</v>
      </c>
      <c r="L63" s="169" t="str">
        <f>IFERROR(__xludf.DUMMYFUNCTION("""COMPUTED_VALUE"""),"-Herhangi bir meka cilasının kilidini açarak ekstra nitelik bonusu kazanırsın—ne kadar çok cila sahibi olursan, niteliklerin o kadar güçlü olur!
-Gezegen Savaşlarında, yeni gezegenlere ilerledikçe tarafsız binaları ele geçirmenin zorluğu artar.")</f>
        <v>-Herhangi bir meka cilasının kilidini açarak ekstra nitelik bonusu kazanırsın—ne kadar çok cila sahibi olursan, niteliklerin o kadar güçlü olur!
-Gezegen Savaşlarında, yeni gezegenlere ilerledikçe tarafsız binaları ele geçirmenin zorluğu artar.</v>
      </c>
      <c r="M63" s="169" t="str">
        <f>IFERROR(__xludf.DUMMYFUNCTION("""COMPUTED_VALUE"""),"-Mở khóa bất kỳ sơn mài cơ khí nào để nhận thêm thưởng thuộc tính—bạn sở hữu càng nhiều sơn mài, thuộc tính của bạn càng mạnh mẽ!
-Trong Chiến Tranh Hành Tinh, độ khó khi chiếm các công trình trung lập sẽ tăng lên khi bạn tiến đến các hành tinh mới.")</f>
        <v>-Mở khóa bất kỳ sơn mài cơ khí nào để nhận thêm thưởng thuộc tính—bạn sở hữu càng nhiều sơn mài, thuộc tính của bạn càng mạnh mẽ!
-Trong Chiến Tranh Hành Tinh, độ khó khi chiếm các công trình trung lập sẽ tăng lên khi bạn tiến đến các hành tinh mới.</v>
      </c>
      <c r="N63" s="169" t="str">
        <f>IFERROR(__xludf.DUMMYFUNCTION("""COMPUTED_VALUE"""),"-Sblocca qualsiasi lacca per mech per ottenere un bonus attributo extra: più lacche possiedi, più forti diventano i tuoi attributi!
-Nelle Guerre planetarie, la difficoltà di catturare edifici neutrali aumenta man mano che avanzi verso nuovi pianeti.")</f>
        <v>-Sblocca qualsiasi lacca per mech per ottenere un bonus attributo extra: più lacche possiedi, più forti diventano i tuoi attributi!
-Nelle Guerre planetarie, la difficoltà di catturare edifici neutrali aumenta man mano che avanzi verso nuovi pianeti.</v>
      </c>
      <c r="O63" s="169" t="str">
        <f>IFERROR(__xludf.DUMMYFUNCTION("""COMPUTED_VALUE"""),"-Odblokuj dowolny lakier mecha, aby uzyskać dodatkową premię atrybutu—im więcej lakierów posiadasz, tym silniejsze stają się twoje atrybuty!
-W Wojnach Planet trudność przejmowania neutralnych budynków wzrasta wraz z awansem na nowe planety.")</f>
        <v>-Odblokuj dowolny lakier mecha, aby uzyskać dodatkową premię atrybutu—im więcej lakierów posiadasz, tym silniejsze stają się twoje atrybuty!
-W Wojnach Planet trudność przejmowania neutralnych budynków wzrasta wraz z awansem na nowe planety.</v>
      </c>
      <c r="P63" s="169" t="str">
        <f>IFERROR(__xludf.DUMMYFUNCTION("""COMPUTED_VALUE"""),"-افتح أي لكر ميكا لتحصل على مكافأة سمة إضافية—كلما امتلكت المزيد من الطلاءات، أصبحت سماتك أقوى!
-في حروب الكوكب، تزداد صعوبة الاستيلاء على المباني المحايدة كلما تقدمت إلى كواكب أحدث.")</f>
        <v>-افتح أي لكر ميكا لتحصل على مكافأة سمة إضافية—كلما امتلكت المزيد من الطلاءات، أصبحت سماتك أقوى!
-في حروب الكوكب، تزداد صعوبة الاستيلاء على المباني المحايدة كلما تقدمت إلى كواكب أحدث.</v>
      </c>
      <c r="Q63" s="169" t="str">
        <f>IFERROR(__xludf.DUMMYFUNCTION("""COMPUTED_VALUE"""),"-任意のメカラッカーをアンロックすると追加の属性ボーナスを獲得できます。所有する漆製品が多いほど、属性がより強力になります！
-プラネットウォーズでは、新しい惑星に進行するにつれて中立建築の占領難易度が上昇します。")</f>
        <v>-任意のメカラッカーをアンロックすると追加の属性ボーナスを獲得できます。所有する漆製品が多いほど、属性がより強力になります！
-プラネットウォーズでは、新しい惑星に進行するにつれて中立建築の占領難易度が上昇します。</v>
      </c>
      <c r="R63" s="169" t="str">
        <f>IFERROR(__xludf.DUMMYFUNCTION("""COMPUTED_VALUE"""),"-아무 메카 래커를 잠금 해제하면 추가 속성 보너스를 얻을 수 있습니다—래커를 많이 소유할수록 속성이 더 강해집니다!
-은하 전쟁에서, 더 새로운 행성으로 진출할수록 중립 건물 점령 난이도가 높아집니다.")</f>
        <v>-아무 메카 래커를 잠금 해제하면 추가 속성 보너스를 얻을 수 있습니다—래커를 많이 소유할수록 속성이 더 강해집니다!
-은하 전쟁에서, 더 새로운 행성으로 진출할수록 중립 건물 점령 난이도가 높아집니다.</v>
      </c>
      <c r="S63" s="108"/>
      <c r="T63" s="108"/>
      <c r="U63" s="108"/>
      <c r="V63" s="108"/>
      <c r="W63" s="108"/>
      <c r="X63" s="108"/>
      <c r="Y63" s="108"/>
      <c r="Z63" s="108"/>
    </row>
    <row r="64">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row r="1001">
      <c r="A1001" s="108"/>
      <c r="B1001" s="108"/>
      <c r="C1001" s="108"/>
      <c r="D1001" s="108"/>
      <c r="E1001" s="108"/>
      <c r="F1001" s="108"/>
      <c r="G1001" s="108"/>
      <c r="H1001" s="108"/>
      <c r="I1001" s="108"/>
      <c r="J1001" s="108"/>
      <c r="K1001" s="108"/>
      <c r="L1001" s="108"/>
      <c r="M1001" s="108"/>
      <c r="N1001" s="108"/>
      <c r="O1001" s="108"/>
      <c r="P1001" s="108"/>
      <c r="Q1001" s="108"/>
      <c r="R1001" s="108"/>
      <c r="S1001" s="108"/>
      <c r="T1001" s="108"/>
      <c r="U1001" s="108"/>
      <c r="V1001" s="108"/>
      <c r="W1001" s="108"/>
      <c r="X1001" s="108"/>
      <c r="Y1001" s="108"/>
      <c r="Z1001" s="108"/>
    </row>
    <row r="1002">
      <c r="A1002" s="108"/>
      <c r="B1002" s="108"/>
      <c r="C1002" s="108"/>
      <c r="D1002" s="108"/>
      <c r="E1002" s="108"/>
      <c r="F1002" s="108"/>
      <c r="G1002" s="108"/>
      <c r="H1002" s="108"/>
      <c r="I1002" s="108"/>
      <c r="J1002" s="108"/>
      <c r="K1002" s="108"/>
      <c r="L1002" s="108"/>
      <c r="M1002" s="108"/>
      <c r="N1002" s="108"/>
      <c r="O1002" s="108"/>
      <c r="P1002" s="108"/>
      <c r="Q1002" s="108"/>
      <c r="R1002" s="108"/>
      <c r="S1002" s="108"/>
      <c r="T1002" s="108"/>
      <c r="U1002" s="108"/>
      <c r="V1002" s="108"/>
      <c r="W1002" s="108"/>
      <c r="X1002" s="108"/>
      <c r="Y1002" s="108"/>
      <c r="Z1002" s="108"/>
    </row>
    <row r="1003">
      <c r="A1003" s="108"/>
      <c r="B1003" s="108"/>
      <c r="C1003" s="108"/>
      <c r="D1003" s="108"/>
      <c r="E1003" s="108"/>
      <c r="F1003" s="108"/>
      <c r="G1003" s="108"/>
      <c r="H1003" s="108"/>
      <c r="I1003" s="108"/>
      <c r="J1003" s="108"/>
      <c r="K1003" s="108"/>
      <c r="L1003" s="108"/>
      <c r="M1003" s="108"/>
      <c r="N1003" s="108"/>
      <c r="O1003" s="108"/>
      <c r="P1003" s="108"/>
      <c r="Q1003" s="108"/>
      <c r="R1003" s="108"/>
      <c r="S1003" s="108"/>
      <c r="T1003" s="108"/>
      <c r="U1003" s="108"/>
      <c r="V1003" s="108"/>
      <c r="W1003" s="108"/>
      <c r="X1003" s="108"/>
      <c r="Y1003" s="108"/>
      <c r="Z1003" s="108"/>
    </row>
    <row r="1004">
      <c r="A1004" s="108"/>
      <c r="B1004" s="108"/>
      <c r="C1004" s="108"/>
      <c r="D1004" s="108"/>
      <c r="E1004" s="108"/>
      <c r="F1004" s="108"/>
      <c r="G1004" s="108"/>
      <c r="H1004" s="108"/>
      <c r="I1004" s="108"/>
      <c r="J1004" s="108"/>
      <c r="K1004" s="108"/>
      <c r="L1004" s="108"/>
      <c r="M1004" s="108"/>
      <c r="N1004" s="108"/>
      <c r="O1004" s="108"/>
      <c r="P1004" s="108"/>
      <c r="Q1004" s="108"/>
      <c r="R1004" s="108"/>
      <c r="S1004" s="108"/>
      <c r="T1004" s="108"/>
      <c r="U1004" s="108"/>
      <c r="V1004" s="108"/>
      <c r="W1004" s="108"/>
      <c r="X1004" s="108"/>
      <c r="Y1004" s="108"/>
      <c r="Z1004" s="108"/>
    </row>
    <row r="1005">
      <c r="A1005" s="108"/>
      <c r="B1005" s="108"/>
      <c r="C1005" s="108"/>
      <c r="D1005" s="108"/>
      <c r="E1005" s="108"/>
      <c r="F1005" s="108"/>
      <c r="G1005" s="108"/>
      <c r="H1005" s="108"/>
      <c r="I1005" s="108"/>
      <c r="J1005" s="108"/>
      <c r="K1005" s="108"/>
      <c r="L1005" s="108"/>
      <c r="M1005" s="108"/>
      <c r="N1005" s="108"/>
      <c r="O1005" s="108"/>
      <c r="P1005" s="108"/>
      <c r="Q1005" s="108"/>
      <c r="R1005" s="108"/>
      <c r="S1005" s="108"/>
      <c r="T1005" s="108"/>
      <c r="U1005" s="108"/>
      <c r="V1005" s="108"/>
      <c r="W1005" s="108"/>
      <c r="X1005" s="108"/>
      <c r="Y1005" s="108"/>
      <c r="Z1005" s="108"/>
    </row>
  </sheetData>
  <hyperlinks>
    <hyperlink display="平衡性调整邮件模板点我！！" location="'2、通用邮件模板'!B53:C54" ref="A1"/>
  </hyperlink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13"/>
    <col customWidth="1" min="2" max="2" width="28.5"/>
    <col customWidth="1" min="3" max="3" width="131.75"/>
    <col customWidth="1" min="4" max="14" width="23.63"/>
  </cols>
  <sheetData>
    <row r="1">
      <c r="A1" s="232" t="s">
        <v>80</v>
      </c>
      <c r="B1" s="179" t="s">
        <v>1003</v>
      </c>
      <c r="C1" s="179" t="s">
        <v>1004</v>
      </c>
      <c r="D1" s="179" t="s">
        <v>1005</v>
      </c>
      <c r="E1" s="179" t="s">
        <v>1006</v>
      </c>
      <c r="F1" s="179" t="s">
        <v>1007</v>
      </c>
      <c r="G1" s="179" t="s">
        <v>1008</v>
      </c>
      <c r="H1" s="179" t="s">
        <v>1009</v>
      </c>
      <c r="I1" s="179" t="s">
        <v>1010</v>
      </c>
      <c r="J1" s="180" t="s">
        <v>1011</v>
      </c>
      <c r="K1" s="181" t="s">
        <v>1012</v>
      </c>
      <c r="L1" s="180" t="s">
        <v>1013</v>
      </c>
      <c r="M1" s="180" t="s">
        <v>1014</v>
      </c>
      <c r="N1" s="180" t="s">
        <v>1015</v>
      </c>
      <c r="O1" s="180" t="s">
        <v>1016</v>
      </c>
      <c r="P1" s="180" t="s">
        <v>1017</v>
      </c>
    </row>
    <row r="2" ht="24.0" customHeight="1">
      <c r="A2" s="184" t="s">
        <v>1225</v>
      </c>
      <c r="B2" s="185" t="s">
        <v>1226</v>
      </c>
      <c r="C2" s="185" t="s">
        <v>1227</v>
      </c>
      <c r="D2" s="185" t="s">
        <v>1228</v>
      </c>
      <c r="E2" s="185" t="s">
        <v>1229</v>
      </c>
      <c r="F2" s="185" t="s">
        <v>1230</v>
      </c>
      <c r="G2" s="185" t="s">
        <v>1231</v>
      </c>
      <c r="H2" s="185" t="s">
        <v>1232</v>
      </c>
      <c r="I2" s="185" t="s">
        <v>1233</v>
      </c>
      <c r="J2" s="185" t="s">
        <v>1234</v>
      </c>
      <c r="K2" s="185" t="s">
        <v>1235</v>
      </c>
      <c r="L2" s="185" t="s">
        <v>1236</v>
      </c>
      <c r="M2" s="185" t="s">
        <v>1237</v>
      </c>
      <c r="N2" s="233"/>
      <c r="O2" s="233"/>
      <c r="P2" s="233"/>
      <c r="Q2" s="233"/>
      <c r="R2" s="233"/>
      <c r="S2" s="233"/>
      <c r="T2" s="233"/>
      <c r="U2" s="233"/>
      <c r="V2" s="233"/>
      <c r="W2" s="233"/>
      <c r="X2" s="233"/>
      <c r="Y2" s="233"/>
      <c r="Z2" s="233"/>
    </row>
    <row r="3" ht="72.0" customHeight="1">
      <c r="A3" s="50" t="s">
        <v>1238</v>
      </c>
      <c r="B3" s="234" t="s">
        <v>1239</v>
      </c>
      <c r="C3" s="47" t="s">
        <v>1240</v>
      </c>
      <c r="D3" s="56" t="s">
        <v>1241</v>
      </c>
      <c r="E3" s="55" t="s">
        <v>1242</v>
      </c>
      <c r="F3" s="55" t="s">
        <v>1243</v>
      </c>
      <c r="G3" s="36" t="s">
        <v>1244</v>
      </c>
      <c r="H3" s="55" t="s">
        <v>1245</v>
      </c>
      <c r="I3" s="55" t="s">
        <v>1246</v>
      </c>
      <c r="J3" s="55" t="s">
        <v>1247</v>
      </c>
      <c r="K3" s="56" t="s">
        <v>1248</v>
      </c>
      <c r="L3" s="55" t="s">
        <v>1249</v>
      </c>
      <c r="M3" s="55" t="s">
        <v>1250</v>
      </c>
      <c r="N3" s="5"/>
      <c r="O3" s="5"/>
      <c r="P3" s="5"/>
      <c r="Q3" s="5"/>
      <c r="R3" s="5"/>
      <c r="S3" s="5"/>
      <c r="T3" s="5"/>
      <c r="U3" s="5"/>
      <c r="V3" s="5"/>
      <c r="W3" s="5"/>
      <c r="X3" s="5"/>
      <c r="Y3" s="5"/>
      <c r="Z3" s="5"/>
    </row>
    <row r="5">
      <c r="B5" s="235"/>
    </row>
    <row r="6">
      <c r="B6" s="236"/>
    </row>
    <row r="7">
      <c r="A7" s="237" t="s">
        <v>1251</v>
      </c>
    </row>
    <row r="9">
      <c r="A9" s="14" t="s">
        <v>1222</v>
      </c>
      <c r="B9" s="14" t="s">
        <v>1252</v>
      </c>
    </row>
    <row r="11" ht="24.0" hidden="1" customHeight="1">
      <c r="A11" s="184" t="s">
        <v>1225</v>
      </c>
      <c r="B11" s="185" t="s">
        <v>1253</v>
      </c>
      <c r="C11" s="185" t="s">
        <v>1254</v>
      </c>
      <c r="D11" s="185" t="s">
        <v>1255</v>
      </c>
      <c r="E11" s="185" t="s">
        <v>1256</v>
      </c>
      <c r="F11" s="185" t="s">
        <v>1257</v>
      </c>
      <c r="G11" s="185" t="s">
        <v>1258</v>
      </c>
      <c r="H11" s="185" t="s">
        <v>1259</v>
      </c>
      <c r="I11" s="185" t="s">
        <v>1260</v>
      </c>
      <c r="J11" s="185" t="s">
        <v>1261</v>
      </c>
      <c r="K11" s="185" t="s">
        <v>1262</v>
      </c>
      <c r="L11" s="185" t="s">
        <v>1263</v>
      </c>
      <c r="M11" s="185" t="s">
        <v>1264</v>
      </c>
      <c r="N11" s="233"/>
      <c r="O11" s="233"/>
      <c r="P11" s="233"/>
      <c r="Q11" s="233"/>
      <c r="R11" s="233"/>
      <c r="S11" s="233"/>
      <c r="T11" s="233"/>
      <c r="U11" s="233"/>
      <c r="V11" s="233"/>
      <c r="W11" s="233"/>
      <c r="X11" s="233"/>
      <c r="Y11" s="233"/>
      <c r="Z11" s="233"/>
    </row>
    <row r="12" ht="72.0" hidden="1" customHeight="1">
      <c r="A12" s="50" t="s">
        <v>1238</v>
      </c>
      <c r="B12" s="234" t="s">
        <v>1265</v>
      </c>
      <c r="C12" s="47" t="s">
        <v>1266</v>
      </c>
      <c r="D12" s="56" t="s">
        <v>1267</v>
      </c>
      <c r="E12" s="55" t="s">
        <v>1268</v>
      </c>
      <c r="F12" s="55" t="s">
        <v>1269</v>
      </c>
      <c r="G12" s="36" t="s">
        <v>1270</v>
      </c>
      <c r="H12" s="55" t="s">
        <v>1271</v>
      </c>
      <c r="I12" s="55" t="s">
        <v>1272</v>
      </c>
      <c r="J12" s="55" t="s">
        <v>1273</v>
      </c>
      <c r="K12" s="56" t="s">
        <v>1274</v>
      </c>
      <c r="L12" s="55" t="s">
        <v>1275</v>
      </c>
      <c r="M12" s="55" t="s">
        <v>1276</v>
      </c>
      <c r="N12" s="5"/>
      <c r="O12" s="5"/>
      <c r="P12" s="5"/>
      <c r="Q12" s="5"/>
      <c r="R12" s="5"/>
      <c r="S12" s="5"/>
      <c r="T12" s="5"/>
      <c r="U12" s="5"/>
      <c r="V12" s="5"/>
      <c r="W12" s="5"/>
      <c r="X12" s="5"/>
      <c r="Y12" s="5"/>
      <c r="Z12" s="5"/>
    </row>
    <row r="13">
      <c r="A13" s="238" t="s">
        <v>1224</v>
      </c>
    </row>
    <row r="14">
      <c r="A14" s="14" t="s">
        <v>1181</v>
      </c>
      <c r="B14" s="148" t="str">
        <f t="shared" ref="B14:M14" si="1">SUBSTITUTE(B11,"aaa",$B$9)</f>
        <v>0.58.0版本更新介绍</v>
      </c>
      <c r="C14" s="148" t="str">
        <f t="shared" si="1"/>
        <v>Version 0.58.0 Update</v>
      </c>
      <c r="D14" s="148" t="str">
        <f t="shared" si="1"/>
        <v>Mise à jour 0.58.0</v>
      </c>
      <c r="E14" s="148" t="str">
        <f t="shared" si="1"/>
        <v>Update auf Version 0.58.0</v>
      </c>
      <c r="F14" s="148" t="str">
        <f t="shared" si="1"/>
        <v>Atualização da versão 0.58.0</v>
      </c>
      <c r="G14" s="148" t="str">
        <f t="shared" si="1"/>
        <v>版本 0.58.0 更新</v>
      </c>
      <c r="H14" s="148" t="str">
        <f t="shared" si="1"/>
        <v>Pembaruan Versi 0.58.0</v>
      </c>
      <c r="I14" s="148" t="str">
        <f t="shared" si="1"/>
        <v>อัปเดตเวอร์ชัน 0.58.0</v>
      </c>
      <c r="J14" s="148" t="str">
        <f t="shared" si="1"/>
        <v>Actualización a la versión 0.58.0</v>
      </c>
      <c r="K14" s="148" t="str">
        <f t="shared" si="1"/>
        <v>Обновление до версии 0.58.0</v>
      </c>
      <c r="L14" s="148" t="str">
        <f t="shared" si="1"/>
        <v>Sürüm 0.58.0 Güncellemesi</v>
      </c>
      <c r="M14" s="148" t="str">
        <f t="shared" si="1"/>
        <v>Cập nhật Phiên bản 0.58.0</v>
      </c>
      <c r="N14" s="14" t="s">
        <v>1277</v>
      </c>
      <c r="O14" s="14" t="s">
        <v>1278</v>
      </c>
      <c r="P14" s="170" t="s">
        <v>1279</v>
      </c>
    </row>
    <row r="15" ht="264.0" customHeight="1">
      <c r="A15" s="14" t="s">
        <v>1182</v>
      </c>
      <c r="B15" s="148" t="str">
        <f>SUBSTITUTE(B12&amp;VLOOKUP($B$9,'4、长版whats new'!$A:$M,2,0),"aaa",B9)</f>
        <v>在0.58.0版本中我们更新了以下内容：
- 新增机甲：闪电-猎豹，善于在野外隐藏行迹的致命杀手！
- 新增科技：在武装科技页签中增加科技，T6士兵攻击T5及以下低级士兵时将产生额外压制增益；
- 新增雕像：骑士精神-埃尔默，双天赋突破雕像已增加；
- 新增关卡：香蕉大战新增100个挑战关卡；堡垒对决新增了50个挑战关卡；新增加了T6军备远征关卡，可在解锁T6军备后进行体验；
- 新增新闻系统：指挥官从此可查阅整个猩球最新动态，及时掌握第一手资料！
- 新增战地争锋玩法：全新公平战场玩法，选择你想体验的兵种，在战场内畅快对战，赢得奖励吧！
- 新增战斗力成就：努力提升战斗力，获得成就奖励吧！
- 新增T6军备：猿族T6军备技术取得突破！指挥官在解锁某兵种T6士兵后并将该兵种军备品质提升至传说+6，便可以突破至超凡品质！超凡品质的军备拥有【战地钢甲】和【超能星战】两个方向，【战地钢甲】使兵种技能提升了强度，并能对T5及以下的敌人造成压制。【超能星战】分支的兵种技能则拥有全新机制，强度更高。
- 改造猴的威胁优化：新增“深渊”难度，挑战更强大的敌人，赢取更丰厚的奖励吧！
- 部分界面展示优化：堡垒竞夺强化了搜索界面同帮派成员的信息显示，新增了帮派成员间的攻击提示信息；</v>
      </c>
      <c r="C15" s="148" t="str">
        <f>SUBSTITUTE(C12&amp;VLOOKUP($B$9,'4、长版whats new'!$A:$M,3,0),"aaa",C9)</f>
        <v>Version  contains the following updates:
- New mech: Lightning - Cheetah, a killer skilled in hiding in the wild.
- New research: new entries added to Weapons Technology that grant T6 units domination bonuses against T5 and lower troops.
- New statue: Chivalry Lives - Elmo, dual talent leap statue added.
- New levels: 100 challenge levels added to Banana Fight; 50 challenge levels added to Fortress Takeover; new T6 levels in Gear Expedition, unlock T6 gears to play.
- New "news" feature: check out the latest planet news and get timely updates here!
- New Primate Standoff feature: a fair battlefield where you can pick a unit type and duel in the special map to win rewards.
- New power achievements: Power up to win achievement rewards!
- New T6 gears: a breakthrough in T6 gears! Unlock a T6 unit and upgrade its gears to Legendary +6 to break through to Super quality! These gears feature two development paths: [Armor of Steel] enhances unit skills and allows domination over T5 and lower troops; [Interstellar War] offers new and enhanced unit skills.
- Threat of the Modified Monkeys optimized: new "Inferno' difficulty level gives you more powerful enemies and even better rewards!
- Interface display optimized: improved display of Gang member info in the search page of Fortress Looter, added an alert when attacking a Gangmate.</v>
      </c>
      <c r="D15" s="148" t="str">
        <f>SUBSTITUTE(D12&amp;VLOOKUP($B$9,'4、长版whats new'!$A:$M,4,0),"aaa",D9)</f>
        <v>La version  contient les mises à jour suivantes:
- Nouveau mécha : Éclair - Guépard, un tueur expert en camouflage dans la nature.
- Nouvelle recherche : nouvelles entrées ajoutées à la Technologie Armée qui accordent aux unités T6 des bonus de domination contre les troupes T5 et inférieures.
- Nouvelle statue : La chevalerie vit - Elmo, statue d'IMPULSION DE TALENT ajoutée.
- Nouveaux niveaux : 100 niveaux de défi ajoutés à Banana Fight ; 50 niveaux de défi ajoutés à l'Invasion de forteresse ; nouveaux niveaux T6 dans Gear Expedition, débloquez les équipements T6 pour jouer.
- Nouvelle fonctionnalité "actualités" : consultez les dernières nouvelles de la planète et recevez des mises à jour en temps réel ici !
- Nouvelle fonctionnalité CONFRONTATION PRIMATE : un champ de bataille équitable où vous pouvez choisir un type d'unité et vous battre en duel sur la carte spéciale pour gagner des récompenses.
- Nouvelles réalisations de puissance : Gagnez en puissance pour triompher des récompenses de réussite !
- Nouveaux équipements T6 : une avancée dans les équipements T6 ! Débloquez une unité T6 et améliorez ses équipements à Légendaire +6 pour passer à la qualité Super ! Ces équipements présentent deux voies de développement : [Armure d'acier] améliore les compétences de l'unité et permet de dominer les troupes T5 et inférieures ; [Guerre interstellaire] offre de nouvelles compétences d'unité améliorées.
- Menace des singes expérimentaux optimisée : le nouveau niveau de difficulté "Inferno" vous offre des ennemis plus puissants et des récompenses encore meilleures !
- Affichage de l'interface optimisé : amélioration de l'affichage des informations des membres du Gang dans la page de recherche de PILLAGE DE FORTERESSES, ajout d'une alerte lors de l'attaque d'un membre du Gang.</v>
      </c>
      <c r="E15" s="148" t="str">
        <f>SUBSTITUTE(E12&amp;VLOOKUP($B$9,'4、长版whats new'!$A:$M,5,0),"aaa",E9)</f>
        <v>Version  enthält die folgenden Updates:
- Neuer Mech: Blitz - Gepard, ein Killer, der sich im Wilden zu verstecken versteht.
- Neue Forschung: Neue Einträge zur Bewaffneten Technologie hinzugefügt, die T6-Einheiten Überlegenheitsboni gegen T5 und niedrigere Truppen gewähren.
- Neue Statue: Ritterlichkeit lebt - Elmo, Doppel-TALENTSPRUNG-Statue hinzugefügt.
- Neue Levels: 100 Herausforderungslevel zur Bananenschlacht hinzugefügt; 50 Herausforderungslevel zur Festungsübernahme hinzugefügt; neue T6-Level in Gear Expedition, schalte T6-Ausrüstungen frei, um zu spielen.
- Neue "Nachrichten"-Funktion: Schau dir die neuesten Planetennachrichten an und erhalte hier zeitnahe Updates!
- Neue PRIMATEN-KONFRONTATION-Funktion: Ein fairer SCHLACHTFELD, auf dem du einen Einheitentyp auswählen und auf der speziellen Karte um Belohnungen kämpfen kannst.
- Neue Stärke-Erfolge: Werde stärker und sei siegreich, um Erfolgsbelohnungen zu erhalten!
- Neue T6-Ausrüstungen: Ein Durchbruch bei T6-Ausrüstungen! Schalte eine T6-Einheit frei und werte ihre Ausrüstungen auf Legendär +6 auf, um zur Super-Qualität durchzubrechen! Diese Ausrüstungen bieten zwei Entwicklungspfade: [Stahlrüstung] verbessert die Einheiten-Fähigkeiten und ermöglicht die Überlegenheit über T5 und niedrigere Truppen; [Interstellarer Krieg] bietet neue und verbesserte Einheiten-Fähigkeiten.
- Bedrohung durch die modifizierten Affen optimiert: Neues "Inferno"-Schwierigkeitslevel bietet dir mächtigere Gegner und noch bessere Belohnungen!
- Anzeige der Benutzeroberfläche optimiert: Verbesserte Anzeige von GANG-Mitgliederinformationen auf der Suchseite des FESTUNGS-PLÜNDERERS, hinzugefügt eine Warnung beim Angriff auf einen GANG-Mitglied.</v>
      </c>
      <c r="F15" s="148" t="str">
        <f>SUBSTITUTE(F12&amp;VLOOKUP($B$9,'4、长版whats new'!$A:$M,6,0),"aaa",F9)</f>
        <v>A versão  contém as seguintes atualizações:
- Novo mech: Lightning - Cheetah, um assassino especializado em se esconder na selva.
- Nova pesquisa: novas entradas adicionadas à Tecnologia Armada que concedem às unidades T6 bônus de dominação contra tropas T5 e inferiores.
- Nova estátua: Chivalry Lives - Elmo, estátua de avanço de talento duplo adicionada.
- Novos níveis: 100 níveis de desafio adicionados ao Banana Fight; 50 níveis de desafio adicionados à Conquista da Fortaleza; novos níveis T6 na Expedição de Engrenagens, desbloqueie engrenagens T6 para jogar.
- Nova funcionalidade "notícias": confira as últimas notícias do planeta e receba atualizações oportunas aqui!
- Nova funcionalidade Confronto Primata: um campo de batalha justo onde você pode escolher um tipo de unidade e duelar no mapa especial para ganhar recompensas.
- Novas conquistas de poder: Fortaleça para vencer recompensas por conquista!
- Novas engrenagens T6: uma inovação nas engrenagens T6! Desbloqueie uma unidade T6 e melhore suas engrenagens para Lendário +6 para avançar para a qualidade Super! Essas engrenagens apresentam dois caminhos de desenvolvimento: [Armadura de Aço] aprimora habilidades de unidade e permite dominação sobre tropas T5 e inferiores; [Guerra Interestelar] oferece novas habilidades de unidade e aprimoradas.
- Ameaça dos Macacos Modificados otimizada: novo nível de dificuldade "Inferno" oferece inimigos mais poderosos e recompensas ainda melhores!
- Exibição de interface otimizada: melhoria na exibição de informações de membros da Gangue na página de busca do Saque de Fortalezas, adicionado um alerta ao atacar um companheiro de gangue.</v>
      </c>
      <c r="G15" s="148" t="str">
        <f>SUBSTITUTE(G12&amp;VLOOKUP($B$9,'4、长版whats new'!$A:$M,7,0),"aaa",G9)</f>
        <v>在版本中我們更新了以下內容：
- 新增機甲：閃電-獵豹，善於在野外隱藏行跡的致命殺手！
- 新增科技：在武裝科技頁簽中增加科技，T6士兵攻擊T5及以下低級士兵時將產生額外壓制增益；
- 新增雕像：騎士精神-埃爾默，雙天賦突破雕像已增加；
- 新增關卡：香蕉大戰新增100個喚醒關卡；堡壘對決新增了50個喚醒關卡；新增加了T6軍備遠征關卡，可在解鎖T6軍備後進行體驗；
- 新增勢力值成就：努力提升勢力值，取得成就獎勵吧！
- 新增新聞系統：指揮官從此可查閱整個猩球全新動態，及時掌握第一手資料！
- 新增戰地爭鋒玩法：全新公平戰場玩法，選擇你想體驗的兵種，在戰場內暢快對戰，贏得獎勵吧！
- 新增T6軍備：猿族T6軍備科技取得突破！指揮官在解鎖某兵種T6士兵後並將該兵種軍備品質提升至傳說+6，便可以突破至超凡品質！超凡品質的軍備擁有【戰地鋼甲】和【超能星戰】兩個方向，【戰地鋼甲】使兵種技能提升了強度，並能對T5及以下的敵人造成壓制。【超能星戰】分支的兵種技能則擁有全新機制，強度更高。
- 改造猴的威脅優化：新增“深淵”難度，喚醒更強大的敵人，贏取更豐厚的獎勵吧！
- 部分界面展示優化：堡壘競奪強化了搜索界面同成員的信息顯示，新增了成員間的攻擊貼士信息；</v>
      </c>
      <c r="H15" s="148" t="str">
        <f>SUBSTITUTE(H12&amp;VLOOKUP($B$9,'4、长版whats new'!$A:$M,8,0),"aaa",H9)</f>
        <v>Versi  berisi pembaruan berikut:
- Mech baru: Lightning - Cheetah, seorang pembunuh terampil yang ahli dalam bersembunyi di alam liar.
- Penelitian baru: entri baru ditambahkan ke Teknologi Senjata yang memberikan bonus dominasi unit T6 terhadap pasukan T5 dan lebih rendah.
- Patung baru: Chivalry Lives - Elmo, patung lompatan bakat ganda ditambahkan.
- Level baru: 100 level tantangan ditambahkan ke Banana Fight; 50 level tantangan ditambahkan ke Penaklukan Benteng; level T6 baru dalam Gear Expedition, buka peralatan T6 untuk bermain.
- Fitur "berita" baru: cek berita terbaru planet dan dapatkan pembaruan tepat waktu di sini!
- Fitur Konfrontasi Primata baru: medan perang yang adil di mana Anda dapat memilih jenis unit dan duel di peta khusus untuk memenangkan hadiah.
- Pencapaian kekuatan baru: Tingkatkan kekuatan untuk memenangkan hadiah pencapaian!
- Peralatan T6 baru: terobosan dalam peralatan T6! Buka unit T6 dan tingkatkan peralatannya menjadi Legendaris +6 untuk mencapai kualitas Super! Peralatan ini memiliki dua jalur pengembangan: [Zirah Baja] meningkatkan keahlian unit dan memungkinkan dominasi atas pasukan T5 dan lebih rendah; [Perang Antarbintang] menawarkan keahlian unit baru dan ditingkatkan.
- Ancaman Kera Modifikasi dioptimalkan: level kesulitan "Inferno" memberikan musuh yang lebih kuat dan hadiah yang lebih baik!
- Tampilan antarmuka dioptimalkan: peningkatan tampilan info anggota Geng di halaman pencarian Penjarahan Benteng, menambahkan peringatan saat menyerang anggota Geng.</v>
      </c>
      <c r="I15" s="148" t="str">
        <f>SUBSTITUTE(I12&amp;VLOOKUP($B$9,'4、长版whats new'!$A:$M,9,0),"aaa",I9)</f>
        <v>เวอร์ชัน  ประกอบด้วยการอัปเดตต่อไปนี้:
- เมคใหม่: Lightning - Cheetah, ฆาตกรที่มีทักษะในการซ่อนตัวในที่รกร้าง
- การวิจัยใหม่: เพิ่มรายการใหม่ในเทคโนโลยีที่มาพร้อมอาวุธ ที่ให้หน่วย T6 ครองสมรภูมิโบนัสต่อกองทหาร T5 และต่ำกว่า
- รูปปั้นใหม่: Chivalry Lives - Elmo, เพิ่มรูปปั้นการก้าวกระโดดความสามารถคู่
- เลเวลใหม่: เพิ่ม 100 เลเวลท้าทายใน Banana Fight; เพิ่ม 50 เลเวลท้าทายในการยึดป้อมปราการ; เลเวล T6 ใหม่ใน Gear Expedition, ปลดล็อกเกียร์ T6 เพื่อเล่น
- ฟีเจอร์ "ข่าว" ใหม่: ตรวจสอบข่าวล่าสุดของดาวเคราะห์และรับการอัปเดตทันท่วงทีที่นี่!
- ฟีเจอร์ Primate Standoff ใหม่: สนามรบที่ยุติธรรมที่คุณสามารถเลือกประเภทหน่วยและดวลในแผนที่พิเศษเพื่อชนะรางวัล
- ความสำเร็จพลังงานใหม่: เพิ่มพลังเพื่อชัยชนะรางวัลผลงาน!
- เกียร์ T6 ใหม่: การชนะขาดในเกียร์ T6! ปลดล็อกหน่วย T6 และอัปเกรดเกียร์ของมันเป็นตำนาน +6 เพื่อชนะขาดเพื่อคุณภาพซูเปอร์! เกียร์เหล่านี้มีสองเส้นทางการพัฒนา: [เกราะเหล็กไหล] เพิ่มทักษะของหน่วยและอนุญาตให้ครองสมรภูมิกองทหาร T5 และต่ำกว่า; [สงครามระหว่างดวงดาว] นำเสนอทักษะของหน่วยใหม่และที่ได้รับการปรับปรุง
- ความรุนแรงของลิงดัดแปลงถูกปรับปรุง: ระดับความยาก "Inferno' ใหม่ให้คุณศัตรูที่มีพลังมากขึ้นและรางวัลที่ดีกว่า!
- การแสดงผลของอินเตอร์เฟซถูกปรับปรุง: ปรับปรุงการแสดงข้อมูลสมาชิกแก๊งค์ในหน้าค้นหาของปล้นป้อมปราการ, เพิ่มการแจ้งเตือนเมื่อโจมตีแก๊งค์เพื่อน.</v>
      </c>
      <c r="J15" s="148" t="str">
        <f>SUBSTITUTE(J12&amp;VLOOKUP($B$9,'4、长版whats new'!$A:$M,10,0),"aaa",J9)</f>
        <v>La versión  contiene las siguientes actualizaciones:
- Nuevo mech: Lightning - Guepardo, un asesino experto en esconderse en la naturaleza.
- Nueva investigación: se han añadido nuevas entradas a la Tecnología Armada que otorgan a las unidades T6 bonificaciones de dominación contra las tropas T5 y inferiores.
- Nueva estatua: Chivalry Lives - Elmo, se ha añadido una estatua de ascenso de doble talento.
- Nuevos niveles: se han añadido 100 niveles de desafío a Banana Fight; se han añadido 50 niveles de desafío a la Toma de la Fortaleza; nuevos niveles T6 en Gear Expedition, desbloquea los engranajes T6 para jugar.
- Nueva función "noticias": ¡echa un vistazo a las últimas noticias del planeta y recibe actualizaciones oportunas aquí!
- Nueva función de Enfrentamiento de Primates: un campo de batalla justo donde puedes elegir un tipo de unidad y duelo en el mapa especial para ganar recompensas.
- Nuevos logros de poder: ¡Aumenta el poder para ganar recompensas por logros!
- Nuevos engranajes T6: ¡un avance en los engranajes T6! Desbloquea una unidad T6 y mejora sus engranajes a Legendario +6 para avanzar a la calidad Súper! Estos engranajes cuentan con dos caminos de desarrollo: [Armadura de Acero] mejora las habilidades de la unidad y permite la dominación sobre las tropas T5 e inferiores; [Guerra Interestelar] ofrece nuevas y mejoradas habilidades de unidad.
- Amenaza de los Monos Modificados optimizada: ¡el nuevo nivel de dificultad "Infierno" te ofrece enemigos más poderosos y aún mejores recompensas!
- Visualización de la interfaz optimizada: mejora de la visualización de la información de los miembros de la Banda en la página de búsqueda del Saqueador de la Fortaleza, se ha añadido una alerta cuando se ataca a un miembro de la Banda.</v>
      </c>
      <c r="K15" s="148" t="str">
        <f>SUBSTITUTE(K12&amp;VLOOKUP($B$9,'4、长版whats new'!$A:$M,11,0),"aaa",K9)</f>
        <v>Версия  содержит следующие обновления:
- Новый мех: Молния - Гепард, убийца, специализирующийся на скрытности в дикой природе.
- Новое исследование: в Вооружённые технологии добавлены новые записи, которые предоставляют отрядам T6 бонусы превосходства против войск T5 и ниже.
- Новая статуя: Живая рыцарская честь - Элмо, добавлена статуя с двойным скачком таланта.
- Новые уровни: добавлено 100 уровней вызова в Банановую битву; 50 уровней вызова добавлено в Захват крепости; новые уровни T6 в Экспедиции по снаряжению, откройте снаряжение T6 для игры.
- Новая функция "новости": узнайте последние новости планеты и получайте своевременные обновления здесь!
- Новая функция Столкновение приматов: справедливое поле боя, где вы можете выбрать тип отряда и дуэлировать на специальной карте, чтобы выиграть награды.
- Новые достижения в силе: Наращивайте мощь для получения наград за достижения!
- Новое снаряжение T6: прорыв в снаряжении T6! Разблокируйте отряд T6 и улучшите его снаряжение до Легендарного +6, чтобы прорваться к Супер качеству! Это снаряжение предлагает два пути развития: [Броня из Стали] усиливает навыки отряда и позволяет доминировать над войсками T5 и ниже; [Межзвездная война] предлагает новые и усиленные навыки отряда.
- Угроза Измененных обезьян оптимизирована: новый уровень сложности "Инферно" предлагает вам более мощных врагов и еще более лучшие награды!
- Оптимизировано отображение интерфейса: улучшено отображение информации о членах Банды на странице поиска Грабителя крепости, добавлено предупреждение при атаке на члена Банды.</v>
      </c>
      <c r="L15" s="148" t="str">
        <f>SUBSTITUTE(L12&amp;VLOOKUP($B$9,'4、长版whats new'!$A:$M,12,0),"aaa",L9)</f>
        <v>Sürüm  şu güncellemeleri içerir:
- Yeni meka: Lightning - Çita, vahşi doğada saklanmakta yetenekli bir katil.
- Yeni araştırma: Silahlı Teknolojiye eklenen yeni girişler, T6 birimlerine T5 ve daha düşük birliklere karşı hâkimiyet bonusları verir.
- Yeni heykel: Şövalyelik Yaşıyor - Elmo, çift yetenek sıçraması heykeli eklendi.
- Yeni seviyeler: Muz Savaşına 100 meydan okuma seviyesi eklendi; Kaleyi Ele Geçirme'ye 50 meydan okuma seviyesi eklendi; Dişli Keşif'te yeni T6 seviyeleri, T6 dişlileri oynamak için kilidini açın.
- Yeni "haberler" özelliği: en son gezegen haberlerini kontrol edin ve buradan zamanında güncellemeler alın!
- Yeni Primat Karşı Karşıyası özelliği: Bir birim türü seçip özel haritada düello yaparak ödüller kazanabileceğiniz adil bir savaş alanı.
- Yeni güç başarıları: Kazanmak için güçlenin ve başarı ödülleri kazanın!
- Yeni T6 dişliler: T6 dişlilerinde bir atılım! Bir T6 birimi kilitleyin ve dişlilerini Efsanevi +6'ya yükseltin ve Süper kaliteye atılım yapın! Bu dişliler iki geliştirme yolu sunar: [Çelik Zırh] birim becerilerini geliştirir ve T5 ve daha düşük birlikler üzerinde hâkimiyet sağlar; [Yıldızlararası Savaş] yeni ve geliştirilmiş birim becerileri sunar.
- Değiştirilmiş Maymunların Tehdidi optimize edildi: yeni "Cehennem" zorluk seviyesi size daha güçlü düşmanlar ve daha iyi ödüller sunar!
- Arayüz görüntüsü optimize edildi: Kale Yağmacısı'nın arama sayfasında Çete üyesi bilgilerinin görüntülenmesi geliştirildi, bir Çete üyesine saldırıldığında bir uyarı eklendi.</v>
      </c>
      <c r="M15" s="148" t="str">
        <f>SUBSTITUTE(M12&amp;VLOOKUP($B$9,'4、长版whats new'!$A:$M,13,0),"aaa",M9)</f>
        <v>Phiên bản  có những cập nhật sau:
- Mới cơ khí: Lightning - Báo Đốm, một kẻ giết người giỏi ẩn mình trong hoang dã.
- Nghiên cứu mới: thêm mục mới vào Công Nghệ Vũ Trang cho phép đơn vị T6 có thưởng thống trị đối với binh lính T5 và thấp hơn.
- Tượng mới: Chivalry Lives - Elmo, thêm tượng KỸ NĂNG VƯỢT kép.
- Cấp độ mới: thêm 100 cấp khiêu chiến vào Banana Fight; thêm 50 cấp khiêu chiến vào Tiếp Quản Pháo Đài; cấp T6 mới trong Gear Expedition, mở khóa đồ T6 để chơi.
- Tính năng "tin tức" mới: kiểm tra tin tức hành tinh mới nhất và nhận cập nhật kịp thời ở đây!
- Tính năng ĐỐI ĐẦU LINH TRƯỞNG mới: một chiến trường công bằng nơi bạn có thể chọn một loại binh chủng và đấu trên bản đồ đặc biệt để giành phần thưởng.
- Thành tựu sức mạnh mới: Tăng chiến lực để giành phần thưởng thành tựu!
- Đồ T6 mới: một bước đột phá trong đồ T6! Mở khóa một đơn vị T6 và nâng cấp đồ của nó lên Huyền Thoại +6 để đột phá đến chất lượng Siêu! Những đồ này có hai con đường phát triển: [Giáp Thép] nâng cao kỹ năng đơn vị và cho phép thống trị trên binh lính T5 và thấp hơn; [Chiến Tranh Liên Sao] cung cấp kỹ năng đơn vị mới và nâng cao.
- Đe dọa của Khỉ Biến Đổi được tối ưu hóa: mức độ khó "Inferno" mới mang đến cho bạn kẻ thù mạnh mẽ hơn và phần thưởng tốt hơn!
- Hiển thị giao diện được tối ưu hóa: cải thiện hiển thị thông tin thành viên Bang Hội trong trang tìm kiếm của Cướp Bóc Pháo Đài, thêm cảnh báo khi tấn công một thành viên trong Bang Hội.</v>
      </c>
      <c r="N15" s="68" t="s">
        <v>1280</v>
      </c>
      <c r="O15" s="68" t="s">
        <v>1281</v>
      </c>
      <c r="P15" s="196" t="s">
        <v>1282</v>
      </c>
    </row>
    <row r="19">
      <c r="C19" s="14" t="s">
        <v>1283</v>
      </c>
    </row>
  </sheetData>
  <hyperlinks>
    <hyperlink r:id="rId1" ref="A7"/>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24.25"/>
  </cols>
  <sheetData>
    <row r="1" ht="26.25" customHeight="1">
      <c r="A1" s="239"/>
      <c r="B1" s="240" t="s">
        <v>1284</v>
      </c>
      <c r="C1" s="241"/>
      <c r="D1" s="242"/>
      <c r="E1" s="242"/>
      <c r="F1" s="242"/>
      <c r="G1" s="242"/>
      <c r="H1" s="242"/>
      <c r="I1" s="243"/>
      <c r="J1" s="244"/>
      <c r="K1" s="243"/>
      <c r="L1" s="243"/>
    </row>
    <row r="2">
      <c r="A2" s="245" t="s">
        <v>52</v>
      </c>
      <c r="B2" s="245" t="s">
        <v>53</v>
      </c>
      <c r="C2" s="245" t="s">
        <v>54</v>
      </c>
      <c r="D2" s="245" t="s">
        <v>55</v>
      </c>
      <c r="E2" s="245" t="s">
        <v>56</v>
      </c>
      <c r="F2" s="245" t="s">
        <v>57</v>
      </c>
      <c r="G2" s="245" t="s">
        <v>58</v>
      </c>
      <c r="H2" s="245" t="s">
        <v>59</v>
      </c>
      <c r="I2" s="246" t="s">
        <v>60</v>
      </c>
      <c r="J2" s="247" t="s">
        <v>61</v>
      </c>
      <c r="K2" s="246" t="s">
        <v>62</v>
      </c>
      <c r="L2" s="246" t="s">
        <v>63</v>
      </c>
      <c r="M2" s="182" t="s">
        <v>1015</v>
      </c>
      <c r="N2" s="182" t="s">
        <v>1016</v>
      </c>
      <c r="O2" s="182" t="s">
        <v>1017</v>
      </c>
    </row>
    <row r="3">
      <c r="A3" s="41" t="s">
        <v>66</v>
      </c>
      <c r="B3" s="248" t="s">
        <v>67</v>
      </c>
      <c r="C3" s="17" t="s">
        <v>68</v>
      </c>
      <c r="D3" s="53" t="s">
        <v>69</v>
      </c>
      <c r="E3" s="53" t="s">
        <v>70</v>
      </c>
      <c r="F3" s="17" t="s">
        <v>71</v>
      </c>
      <c r="G3" s="53" t="s">
        <v>72</v>
      </c>
      <c r="H3" s="53" t="s">
        <v>73</v>
      </c>
      <c r="I3" s="53" t="s">
        <v>74</v>
      </c>
      <c r="J3" s="248" t="s">
        <v>75</v>
      </c>
      <c r="K3" s="53" t="s">
        <v>76</v>
      </c>
      <c r="L3" s="53" t="s">
        <v>77</v>
      </c>
      <c r="M3" s="105" t="s">
        <v>1285</v>
      </c>
      <c r="N3" s="105" t="s">
        <v>1286</v>
      </c>
      <c r="O3" s="249" t="s">
        <v>1287</v>
      </c>
      <c r="P3" s="108"/>
      <c r="Q3" s="108"/>
      <c r="R3" s="108"/>
      <c r="S3" s="108"/>
      <c r="T3" s="108"/>
      <c r="U3" s="108"/>
      <c r="V3" s="108"/>
      <c r="W3" s="108"/>
    </row>
    <row r="4" ht="139.5" customHeight="1">
      <c r="A4" s="26" t="s">
        <v>1288</v>
      </c>
      <c r="B4" s="61" t="s">
        <v>1289</v>
      </c>
      <c r="C4" s="250" t="s">
        <v>1290</v>
      </c>
      <c r="D4" s="38" t="s">
        <v>1291</v>
      </c>
      <c r="E4" s="38" t="s">
        <v>1292</v>
      </c>
      <c r="F4" s="217" t="s">
        <v>1293</v>
      </c>
      <c r="G4" s="251" t="s">
        <v>1294</v>
      </c>
      <c r="H4" s="251" t="s">
        <v>1295</v>
      </c>
      <c r="I4" s="251" t="s">
        <v>1296</v>
      </c>
      <c r="J4" s="251" t="s">
        <v>1297</v>
      </c>
      <c r="K4" s="251" t="s">
        <v>1298</v>
      </c>
      <c r="L4" s="251" t="s">
        <v>1299</v>
      </c>
      <c r="M4" s="34" t="s">
        <v>1300</v>
      </c>
      <c r="N4" s="34" t="s">
        <v>1301</v>
      </c>
      <c r="O4" s="252" t="s">
        <v>1302</v>
      </c>
      <c r="P4" s="34"/>
      <c r="Q4" s="34"/>
      <c r="R4" s="34"/>
      <c r="S4" s="34"/>
      <c r="T4" s="34"/>
      <c r="U4" s="34"/>
      <c r="V4" s="34"/>
      <c r="W4" s="34"/>
    </row>
    <row r="5">
      <c r="B5" s="253" t="s">
        <v>1303</v>
      </c>
      <c r="E5" s="254" t="s">
        <v>1303</v>
      </c>
      <c r="H5" s="254" t="s">
        <v>1303</v>
      </c>
      <c r="I5" s="254" t="s">
        <v>1303</v>
      </c>
    </row>
    <row r="6">
      <c r="B6" s="255"/>
      <c r="E6" s="256"/>
      <c r="H6" s="256"/>
      <c r="I6" s="256"/>
    </row>
    <row r="9">
      <c r="A9" s="14" t="s">
        <v>1304</v>
      </c>
    </row>
    <row r="10">
      <c r="A10" s="245" t="s">
        <v>1305</v>
      </c>
    </row>
    <row r="11">
      <c r="A11" s="14" t="s">
        <v>66</v>
      </c>
      <c r="C11" s="14" t="s">
        <v>66</v>
      </c>
      <c r="D11" s="14" t="s">
        <v>66</v>
      </c>
    </row>
    <row r="12">
      <c r="A12" s="47" t="s">
        <v>1306</v>
      </c>
      <c r="B12" s="5"/>
      <c r="C12" s="47" t="s">
        <v>1307</v>
      </c>
      <c r="D12" s="47" t="s">
        <v>1306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5.5"/>
    <col customWidth="1" min="3" max="3" width="12.0"/>
  </cols>
  <sheetData>
    <row r="1">
      <c r="A1" s="257" t="s">
        <v>1308</v>
      </c>
      <c r="B1" s="258" t="s">
        <v>1004</v>
      </c>
      <c r="C1" s="258" t="s">
        <v>1003</v>
      </c>
      <c r="D1" s="258" t="s">
        <v>1008</v>
      </c>
      <c r="E1" s="258" t="s">
        <v>1005</v>
      </c>
      <c r="F1" s="258" t="s">
        <v>1006</v>
      </c>
      <c r="G1" s="258" t="s">
        <v>1012</v>
      </c>
      <c r="H1" s="258" t="s">
        <v>1018</v>
      </c>
      <c r="I1" s="258" t="s">
        <v>1019</v>
      </c>
      <c r="J1" s="258" t="s">
        <v>1011</v>
      </c>
      <c r="K1" s="258" t="s">
        <v>1009</v>
      </c>
      <c r="L1" s="258" t="s">
        <v>1010</v>
      </c>
      <c r="M1" s="258" t="s">
        <v>1017</v>
      </c>
      <c r="N1" s="258" t="s">
        <v>1309</v>
      </c>
      <c r="O1" s="258" t="s">
        <v>1310</v>
      </c>
      <c r="P1" s="258" t="s">
        <v>1013</v>
      </c>
      <c r="Q1" s="258" t="s">
        <v>1007</v>
      </c>
      <c r="R1" s="258" t="s">
        <v>1015</v>
      </c>
      <c r="S1" s="258" t="s">
        <v>1014</v>
      </c>
      <c r="T1" s="258" t="s">
        <v>1311</v>
      </c>
      <c r="U1" s="258" t="s">
        <v>1016</v>
      </c>
    </row>
    <row r="2">
      <c r="A2" s="259" t="s">
        <v>1181</v>
      </c>
      <c r="B2" s="260" t="str">
        <f>IF($A$1="更新前预告",IFERROR( HLOOKUP(B$1,'6、更新前预告邮件'!$1:$31,30,0),""),IF($A$1="更新前平衡性",IFERROR(HLOOKUP(B$1,'7、更新前平衡性调整邮件'!$1:$9,8,0),""),if($A$1="更新公告",IFERROR(HLOOKUP(B$1,'8、更新公告（暂时不用）'!$1:$15,14,0),""))))</f>
        <v>Version 0.85.0 Update</v>
      </c>
      <c r="C2" s="260" t="str">
        <f>IF($A$1="更新前预告",IFERROR( HLOOKUP(C$1,'6、更新前预告邮件'!$1:$31,30,0),""),IF($A$1="更新前平衡性",IFERROR(HLOOKUP(C$1,'7、更新前平衡性调整邮件'!$1:$9,8,0),""),if($A$1="更新公告",IFERROR(HLOOKUP(C$1,'8、更新公告（暂时不用）'!$1:$15,14,0),""))))</f>
        <v>0.85.0版本更新介绍</v>
      </c>
      <c r="D2" s="260" t="str">
        <f>IF($A$1="更新前预告",IFERROR( HLOOKUP(D$1,'6、更新前预告邮件'!$1:$31,30,0),""),IF($A$1="更新前平衡性",IFERROR(HLOOKUP(D$1,'7、更新前平衡性调整邮件'!$1:$9,8,0),""),if($A$1="更新公告",IFERROR(HLOOKUP(D$1,'8、更新公告（暂时不用）'!$1:$15,14,0),""))))</f>
        <v>版本 0.85.0 更新</v>
      </c>
      <c r="E2" s="260" t="str">
        <f>IF($A$1="更新前预告",IFERROR( HLOOKUP(E$1,'6、更新前预告邮件'!$1:$31,30,0),""),IF($A$1="更新前平衡性",IFERROR(HLOOKUP(E$1,'7、更新前平衡性调整邮件'!$1:$9,8,0),""),if($A$1="更新公告",IFERROR(HLOOKUP(E$1,'8、更新公告（暂时不用）'!$1:$15,14,0),""))))</f>
        <v>Mise à jour 0.85.0</v>
      </c>
      <c r="F2" s="260" t="str">
        <f>IF($A$1="更新前预告",IFERROR( HLOOKUP(F$1,'6、更新前预告邮件'!$1:$31,30,0),""),IF($A$1="更新前平衡性",IFERROR(HLOOKUP(F$1,'7、更新前平衡性调整邮件'!$1:$9,8,0),""),if($A$1="更新公告",IFERROR(HLOOKUP(F$1,'8、更新公告（暂时不用）'!$1:$15,14,0),""))))</f>
        <v>Update auf Version 0.85.0</v>
      </c>
      <c r="G2" s="260" t="str">
        <f>IF($A$1="更新前预告",IFERROR( HLOOKUP(G$1,'6、更新前预告邮件'!$1:$31,30,0),""),IF($A$1="更新前平衡性",IFERROR(HLOOKUP(G$1,'7、更新前平衡性调整邮件'!$1:$9,8,0),""),if($A$1="更新公告",IFERROR(HLOOKUP(G$1,'8、更新公告（暂时不用）'!$1:$15,14,0),""))))</f>
        <v>Обновление до версии 0.85.0</v>
      </c>
      <c r="H2" s="260" t="str">
        <f>IF($A$1="更新前预告",IFERROR( HLOOKUP(H$1,'6、更新前预告邮件'!$1:$31,30,0),""),IF($A$1="更新前平衡性",IFERROR(HLOOKUP(H$1,'7、更新前平衡性调整邮件'!$1:$9,8,0),""),if($A$1="更新公告",IFERROR(HLOOKUP(H$1,'8、更新公告（暂时不用）'!$1:$15,14,0),""))))</f>
        <v>バージョン0.85.0更新</v>
      </c>
      <c r="I2" s="260" t="str">
        <f>IF($A$1="更新前预告",IFERROR( HLOOKUP(I$1,'6、更新前预告邮件'!$1:$31,30,0),""),IF($A$1="更新前平衡性",IFERROR(HLOOKUP(I$1,'7、更新前平衡性调整邮件'!$1:$31,8,0),""),if($A$1="更新公告",IFERROR(HLOOKUP(I$1,'8、更新公告（暂时不用）'!$1:$15,14,0),""))))</f>
        <v>버전 0.85.0 업데이트</v>
      </c>
      <c r="J2" s="260" t="str">
        <f>IF($A$1="更新前预告",IFERROR( HLOOKUP(J$1,'6、更新前预告邮件'!$1:$31,30,0),""),IF($A$1="更新前平衡性",IFERROR(HLOOKUP(J$1,'7、更新前平衡性调整邮件'!$1:$9,8,0),""),if($A$1="更新公告",IFERROR(HLOOKUP(J$1,'8、更新公告（暂时不用）'!$1:$15,14,0),""))))</f>
        <v>Actualización a la versión 0.85.0</v>
      </c>
      <c r="K2" s="260" t="str">
        <f>IF($A$1="更新前预告",IFERROR( HLOOKUP(K$1,'6、更新前预告邮件'!$1:$31,30,0),""),IF($A$1="更新前平衡性",IFERROR(HLOOKUP(K$1,'7、更新前平衡性调整邮件'!$1:$9,8,0),""),if($A$1="更新公告",IFERROR(HLOOKUP(K$1,'8、更新公告（暂时不用）'!$1:$15,14,0),""))))</f>
        <v>Pembaruan Versi 0.85.0</v>
      </c>
      <c r="L2" s="260" t="str">
        <f>IF($A$1="更新前预告",IFERROR( HLOOKUP(L$1,'6、更新前预告邮件'!$1:$31,30,0),""),IF($A$1="更新前平衡性",IFERROR(HLOOKUP(L$1,'7、更新前平衡性调整邮件'!$1:$9,8,0),""),if($A$1="更新公告",IFERROR(HLOOKUP(L$1,'8、更新公告（暂时不用）'!$1:$15,14,0),""))))</f>
        <v>อัปเดตเวอร์ชัน 0.85.0</v>
      </c>
      <c r="M2" s="260" t="str">
        <f>IF($A$1="更新前预告",IFERROR( HLOOKUP(M$1,'6、更新前预告邮件'!$1:$31,30,0),""),IF($A$1="更新前平衡性",IFERROR(HLOOKUP(M$1,'7、更新前平衡性调整邮件'!$1:$9,8,0),""),if($A$1="更新公告",IFERROR(HLOOKUP(M$1,'8、更新公告（暂时不用）'!$1:$15,14,0),""))))</f>
        <v>تحديث إصدار 0.85.0</v>
      </c>
      <c r="N2" s="260" t="str">
        <f>IF($A$1="更新前预告",IFERROR( HLOOKUP(N$1,'6、更新前预告邮件'!$1:$31,30,0),""),IF($A$1="更新前平衡性",IFERROR(HLOOKUP(N$1,'7、更新前平衡性调整邮件'!$1:$9,8,0),""),if($A$1="更新公告",IFERROR(HLOOKUP(N$1,'8、更新公告（暂时不用）'!$1:$15,14,0),""))))</f>
        <v/>
      </c>
      <c r="O2" s="260" t="str">
        <f>IF($A$1="更新前预告",IFERROR( HLOOKUP(O$1,'6、更新前预告邮件'!$1:$31,30,0),""),IF($A$1="更新前平衡性",IFERROR(HLOOKUP(O$1,'7、更新前平衡性调整邮件'!$1:$9,8,0),""),if($A$1="更新公告",IFERROR(HLOOKUP(O$1,'8、更新公告（暂时不用）'!$1:$15,14,0),""))))</f>
        <v/>
      </c>
      <c r="P2" s="260" t="str">
        <f>IF($A$1="更新前预告",IFERROR( HLOOKUP(P$1,'6、更新前预告邮件'!$1:$31,30,0),""),IF($A$1="更新前平衡性",IFERROR(HLOOKUP(P$1,'7、更新前平衡性调整邮件'!$1:$9,8,0),""),if($A$1="更新公告",IFERROR(HLOOKUP(P$1,'8、更新公告（暂时不用）'!$1:$15,14,0),""))))</f>
        <v>Sürüm 0.85.0 Güncellemesi</v>
      </c>
      <c r="Q2" s="260" t="str">
        <f>IF($A$1="更新前预告",IFERROR( HLOOKUP(Q$1,'6、更新前预告邮件'!$1:$31,30,0),""),IF($A$1="更新前平衡性",IFERROR(HLOOKUP(Q$1,'7、更新前平衡性调整邮件'!$1:$9,8,0),""),if($A$1="更新公告",IFERROR(HLOOKUP(Q$1,'8、更新公告（暂时不用）'!$1:$15,14,0),""))))</f>
        <v>Atualização da versão 0.85.0</v>
      </c>
      <c r="R2" s="260" t="str">
        <f>IF($A$1="更新前预告",IFERROR( HLOOKUP(R$1,'6、更新前预告邮件'!$1:$31,30,0),""),IF($A$1="更新前平衡性",IFERROR(HLOOKUP(R$1,'7、更新前平衡性调整邮件'!$1:$9,8,0),""),if($A$1="更新公告",IFERROR(HLOOKUP(R$1,'8、更新公告（暂时不用）'!$1:$15,14,0),""))))</f>
        <v>Versione 0.85.0 Aggiornamento</v>
      </c>
      <c r="S2" s="260" t="str">
        <f>IF($A$1="更新前预告",IFERROR( HLOOKUP(S$1,'6、更新前预告邮件'!$1:$31,30,0),""),IF($A$1="更新前平衡性",IFERROR(HLOOKUP(S$1,'7、更新前平衡性调整邮件'!$1:$9,8,0),""),if($A$1="更新公告",IFERROR(HLOOKUP(S$1,'8、更新公告（暂时不用）'!$1:$15,14,0),""))))</f>
        <v>Cập nhật Phiên bản 0.85.0</v>
      </c>
      <c r="T2" s="260" t="str">
        <f>IF($A$1="更新前预告",IFERROR( HLOOKUP(T$1,'6、更新前预告邮件'!$1:$31,30,0),""),IF($A$1="更新前平衡性",IFERROR(HLOOKUP(T$1,'7、更新前平衡性调整邮件'!$1:$9,8,0),""),if($A$1="更新公告",IFERROR(HLOOKUP(T$1,'8、更新公告（暂时不用）'!$1:$15,14,0),""))))</f>
        <v/>
      </c>
      <c r="U2" s="260" t="str">
        <f>IF($A$1="更新前预告",IFERROR( HLOOKUP(U$1,'6、更新前预告邮件'!$1:$31,30,0),""),IF($A$1="更新前平衡性",IFERROR(HLOOKUP(U$1,'7、更新前平衡性调整邮件'!$1:$9,8,0),""),if($A$1="更新公告",IFERROR(HLOOKUP(U$1,'8、更新公告（暂时不用）'!$1:$15,14,0),""))))</f>
        <v>Wersja 0.85.0 Aktualizacja</v>
      </c>
    </row>
    <row r="3">
      <c r="A3" s="259" t="s">
        <v>1182</v>
      </c>
      <c r="B3" s="260" t="str">
        <f>IF($A$1="更新前预告",IFERROR( HLOOKUP(B$1,'6、更新前预告邮件'!$1:$31,31,0),""),IF($A$1="更新前平衡性",IFERROR(HLOOKUP(B$1,'7、更新前平衡性调整邮件'!$1:$9,9,0),""),if($A$1="更新公告",IFERROR(HLOOKUP(B$1,'8、更新公告（暂时不用）'!$1:$15,15,0),""))))</f>
        <v>Dear Captain,
In order to bring you a better gaming experience, we plan to release the version 0.85.0 update on &lt;color=#ffa200&gt;2026-02-10 at 06:00 UTC&lt;/color&gt;. At that time, we will conduct server maintenance lasting approximately &lt;color=#ffa200&gt;60 minutes&lt;/color&gt;. You may update the game once server maintenance is complete. 
[Update Time]
06:00 UTC, 2026-02-10; you will not be able to access the game during this time.
[Estimated Maintenance Duration]
&lt;color=#ffa200&gt;60 minutes&lt;/color&gt;
[0.85.0 Update Details]
-Fighter System: New Super Fighter ‘Cosmic Pathfinder - Elliot’! Elliot can Sync with any Legendary Fighter to gain that Fighter’s abilities.
-Gene Quests: Planet Wars now includes Gene Fragment Quests. Complete them to claim tier rewards.
-New Fighter Statue: Hilda. Add more brilliance to your city!
-Colin’s Exploration: Join the event to win Radar decorations and unlock special buffs!
-Research Optimization: Adjusted unlock requirements for Personal Research.
-Card Album Optimization: Adjusted card sources and optimized unlock requirements.
-Carrier Optimization: The “Intrepid Heart” now gains a new trait—after receiving healing, it grants an attack bonus.
Please follow our official Discord community to find out if there are any delays in the server maintenance and, if so, the updated server restart time. [-1# Tap to enter the Official Discord community](herf=https://discord.gg/RncnPNw)
This update is automatically published, no need to download and install the package, you can download the update content online.
We will continue to work hard to resolve bugs and bring you great new content. Stay tuned and see you around the Tavern!
Deputy Roger</v>
      </c>
      <c r="C3" s="260" t="str">
        <f>IF($A$1="更新前预告",IFERROR( HLOOKUP(C$1,'6、更新前预告邮件'!$1:$31,31,0),""),IF($A$1="更新前平衡性",IFERROR(HLOOKUP(C$1,'7、更新前平衡性调整邮件'!$1:$9,9,0),""),if($A$1="更新公告",IFERROR(HLOOKUP(C$1,'8、更新公告（暂时不用）'!$1:$15,15,0),""))))</f>
        <v>亲爱的指挥官：
为了给大家带来更好的游戏体验，我们预计在&lt;color=#ffa200&gt;UTC时间2026年02月10日06:00&lt;/color&gt;进行0.85.0版本更新。届时服务器将进行&lt;color=#ffa200&gt;60分钟&lt;/color&gt;维护，维护结束后猴子们可以选择适当的网络环境更新版本。
【更新时间】&lt;color=#ffa200&gt;2026年02月10日UTC06:00&lt;/color&gt;，届时您将无法进入游戏。
【预计维护时长】&lt;color=#ffa200&gt;60分钟&lt;/color&gt;
【0.85.0更新内容】
-斗士系统：新增超凡品质斗士“天外探索者-艾里奥特”！艾里奥特可与任意传说斗士进行同频，获取该斗士的能力。
-基因任务：银河战争玩法新增基因消耗任务，完成后可领取对应档位奖励。
-新增斗士雕像：希尔达，来为你的城市增添更多光彩吧！
-科林的探索：参与活动赢取雷达装饰物，解锁特殊增益效果！
-科研优化：调整个人科研解锁条件。
-集卡册优化：调整卡片获取途径，优化解锁条件。
-战车优化：无畏之心号战车增加新特性，受到治疗效果后获得攻击力加成。
本次维护不排除延迟开启的可能，如若延迟，请关注社区发布的具体开服时间。
本次更新为自动发布，无需下载最安装包，在线即可下载到更新内容。
我们将继续修复游戏中的一些问题，同时给大家带来更多的新内容。敬请期待，享受你的香蕉盛宴吧！
罗杰副官</v>
      </c>
      <c r="D3" s="260" t="str">
        <f>IF($A$1="更新前预告",IFERROR( HLOOKUP(D$1,'6、更新前预告邮件'!$1:$31,31,0),""),IF($A$1="更新前平衡性",IFERROR(HLOOKUP(D$1,'7、更新前平衡性调整邮件'!$1:$9,9,0),""),if($A$1="更新公告",IFERROR(HLOOKUP(D$1,'8、更新公告（暂时不用）'!$1:$15,15,0),""))))</f>
        <v>親愛的指揮官：
為了給大家帶來更好的遊戲體驗，我們預計在&lt;color=#ffa200&gt;UTC時間2026年02月10日06:00&lt;/color&gt;進行0.85.0版本更新。屆時服務器將進行&lt;color=#ffa200&gt;60分鐘&lt;/color&gt;維護，維護結束後猴子們可以選擇適當的網絡環境更新版本。
【更新時間】&lt;color=#ffa200&gt;2026年02月10日UTC06:00&lt;/color&gt;，屆時您將無法進入遊戲。
【預計維護時長】&lt;color=#ffa200&gt;60分鐘&lt;/color&gt;
【0.85.0更新內容】
-鬥士系統：新增超凡品質鬥士「天外探索者-艾里奧特」！艾里奧特可與任意傳說英雄進行同頻，取得該鬥士的能力。
-基因任務：銀河戰爭玩法新增基因消耗任務，完成後可領取對應檔位獎勵。
-新增鬥士雕像：希爾達，來為你的城市增添更多光彩吧！
-科林的探索：參與活動贏取雷達裝飾，解鎖特殊增益效果！
-研究優化：調整個人研究開啟條件。
-集卡冊優化：調整卡片獲取途徑，優化開啟條件。
-戰車優化：無畏之心號戰車增加新特性，治療效果後獲得攻擊力加成。
本次維護不排除延遲開啟的可能，如若延遲，請關注社區發布的具體開服時間。 [-1#點擊加入Discord社區](herf=https://discord.gg/fK3gtph)
本次更新為自動發布，無需下載最安裝包，在線即可下載到更新內容。
我們將繼續修復遊戲中的一些問題，同時給大家帶來更多的新內容。敬請期待，享受你的香蕉盛宴吧！
羅傑副官</v>
      </c>
      <c r="E3" s="260" t="str">
        <f>IF($A$1="更新前预告",IFERROR( HLOOKUP(E$1,'6、更新前预告邮件'!$1:$31,31,0),""),IF($A$1="更新前平衡性",IFERROR(HLOOKUP(E$1,'7、更新前平衡性调整邮件'!$1:$9,9,0),""),if($A$1="更新公告",IFERROR(HLOOKUP(E$1,'8、更新公告（暂时不用）'!$1:$15,15,0),""))))</f>
        <v>Cher capitaine,
Afin d’améliorer votre expérience de jeu, nous prévoyons le lancement de la mise à jour 0.85.0 le &lt;color=#ffa200&gt; 06:00 UTC, 10-02-2026 &lt;/color&gt;. Nous procéderons alors à une maintenance des serveurs qui durera environ &lt;color=#ffa200&gt;60 minutes&lt;/color&gt;. Une fois les opérations terminées, vous pourrez mettre votre jeu à jour. 
[Horaire de mise à jour]
 06:00 UTC, 10-02-2026(TU). Pendant le déploiement, vous ne pourrez plus accéder au jeu.
[Durée estimée de la maintenance]
&lt;color=#ffa200&gt;60 minutes&lt;/color&gt;
[Détails de la mise à jour 0.85.0]
- Système de combattant : Nouveau super combattant « Éclaireur cosmique - Elliot » ! Elliot peut synchroniser avec tous les combattants légendaires pour obtenir leurs capacités.
- Quêtes de gène : Guerre planétaire inclut désormais des quêtes de fragment génétique. Terminez-les pour recevoir des récompenses de palier.
- Nouvelle statue du combattant : Hilda. Ajoutez plus de brillance à votre ville !
- Exploration de Colin : Rejoignez l’événement pour gagner des décorations radar et débloquer des boosts spéciaux !
-Optimisation de la recherche : Conditions de déblocage ajustées pour la Recherche Perso.
-Optimisation de l’album de cartes : Sources de cartes ajustées et conditions de déblocage optimisées.
-Optimisation du transporteur : Le « Cœur intrépide » obtient désormais un nouveau trait : après avoir été soigné, il accorde un bonus d’attaque.
Suivez notre communauté officielle sur Discord pour connaître les éventuels retards dans la maintenance des serveurs et, le cas échéant, l’horaire corrigé du redémarrage des serveurs. [-1# Appuyez pour accéder à la communauté Discord officielle](herf=https://discord.gg/RncnPNw)
Actuel mise à jour est Auto PUBLIER, pas besoin de télécharger le plus paquet d'installation, en ligne peut télécharger le contenu de mise à jour.
Nous poursuivons le travail pour résoudre les dysfonctionnements et vous proposer du nouveau contenu génial. Restez à l’écoute et à bientôt à la taverne!
Roger l'assistant</v>
      </c>
      <c r="F3" s="260" t="str">
        <f>IF($A$1="更新前预告",IFERROR( HLOOKUP(F$1,'6、更新前预告邮件'!$1:$31,31,0),""),IF($A$1="更新前平衡性",IFERROR(HLOOKUP(F$1,'7、更新前平衡性调整邮件'!$1:$9,9,0),""),if($A$1="更新公告",IFERROR(HLOOKUP(F$1,'8、更新公告（暂时不用）'!$1:$15,15,0),""))))</f>
        <v>Lieber Captain,
 Um dir ein besseres Spielerlebnis zu bieten, werden wir am &lt;color=#ffa200&gt;10.02.2026 um 06:00 UTC&lt;/color&gt; das Update auf Version 0.85.0 durchzuführen. Wir werden zu diesem Zeitpunkt eine Serverwartung durchführen, die etwa &lt;color=#ffa200&gt;60 Minuten&lt;/color&gt; dauern wird. Du kannst das Spiel aktualisieren, sobald die Serverwartung abgeschlossen ist. 
 [Update-Zeit]
 10.02.2026, 06:00 UTC; du wirst während dieser Zeit nicht auf das Spiel zugreifen können. 
 [Geschätzte Wartungsdauer]
 &lt;color=#ffa200&gt;60 Minuten&lt;/color&gt;
 [0.85.0 Update-Details]
- Kämpfer-System: Neuer Super-Kämpfer „Kosmischer Pfadfinder - Elliot“! Elliot kann sich mit jedem legendären Kämpfer synchronisieren, um dessen Fähigkeiten zu erhalten.
- Gen-Quests: Planetenkriege enthalten jetzt Gen-Fragment-Quests. Schließe sie ab, um Stufenbelohnungen zu beanspruchen.
- Neue Kämpfer-Statue: Hilda. Füge deiner Stadt noch mehr Glanz hinzu!
- Colins Erkundung: Nimm am Event teil, um Radar-Dekorationen zu gewinnen und spezielle Buffs freizuschalten!
- Forschungsoptimierung: Anforderungen zum Freischalten der Persönlichen Forschung angepasst.
- Kartenalbum-Optimierung: Kartenquellen angepasst und Anforderungen zum Freischalten optimiert.
- Träger-Optimierung: Das „Furchtloses Herz“ erhält nun eine neue Eigenschaft – nach dem Erhalt von Heilung verleiht es einen Angriffsbonus.
 Bitte folge unserer offiziellen Discord-Community, um zu erfahren, ob es Verzögerungen bei der Serverwartung gibt und, falls ja, die aktualisierte Server-Neustartzeit. [-1# Tippe, um die offizielle Discord Community zu betreten](herf=https://discord.gg/RncnPNw)
Aktuell ist dieses Update eine automatische Veröffentlichung, es ist kein Download des Installationspakets erforderlich, die Aktualisierungsinhalte können online heruntergeladen werden.
 Wir werden weiterhin hart daran arbeiten, Programmfehler zu beheben und euch großartige neue Inhalte zu bieten. Bleib dabei und wir sehen uns in der Taverne!
Adjudant Roger</v>
      </c>
      <c r="G3" s="260" t="str">
        <f>IF($A$1="更新前预告",IFERROR( HLOOKUP(G$1,'6、更新前预告邮件'!$1:$31,31,0),""),IF($A$1="更新前平衡性",IFERROR(HLOOKUP(G$1,'7、更新前平衡性调整邮件'!$1:$9,9,0),""),if($A$1="更新公告",IFERROR(HLOOKUP(G$1,'8、更新公告（暂时不用）'!$1:$15,15,0),""))))</f>
        <v>Уважаемый капитан!
Для того чтобы подарить вам наилучшие впечатления от игры, мы планируем выпустить обновление версии 0.85.0 &lt;color=#ffa200&gt;10.02.2026 в 06:00 UTC&lt;/color&gt;. Мы проведем техническое обслуживание сервера, которое продлится примерно &lt;color=#ffa200&gt;60 минут&lt;/color&gt;. Вы сможете обновить игру, когда обслуживание закончится.
[Время обновления]
10.02.2026, 06:00 UTC. Во время обновления вы не сможете получить доступ к игре. 
[Ожидаемая длительность обслуживания]
&lt;color=#ffa200&gt;60 минут&lt;/color&gt;
[Детали обновления 0.85.0]
-Система героев: Новый супергерой «Космический Первопроходец — Эллиот»! Эллиот может синхронизироваться с любым легендарным героем, чтобы получить его способности.
-Генные задания: В Планетарных войнах теперь доступны задания на фрагменты гена. Завершайте их, чтобы забирать награды за уровень.
-Новая статуя героя: Хильда. Добавьте больше блеска вашему городу!
-Исследование Колина: Вступайте в событие, чтобы выиграть украшения радар и открыть специальные усиления!
-Оптимизация исследования: скорректированы требования для открытия Личного исследования.
-Оптимизация альбома карт: изменены источники карт и оптимизированы требования для открытия.
-Оптимизация авианосца: «Бесстрашное сердце» теперь получает новую особенность — после получения лечения оно дает бонус к атаке.
Следите за новостями в нашем официальном сообществе в Discord, чтобы быть в курсе любых задержек, которые могут возникнуть с техобслуживанием, и знать планируемое время перезапуска сервера. [-1# Нажмите для входа в официальное сообщество Discord](herf=https://discord.gg/RncnPNw)
Это обновление публикуется автоматически, скачивать и устанавливать пакет не нужно, вы можете скачать содержимое обновления онлайн.
Мы продолжим усердно работать, чтобы избавиться от всех недочетов и предложить вам новые материалы. Следите за новостями — и увидимся в таверне!
Помощник Роджер</v>
      </c>
      <c r="H3" s="260" t="str">
        <f>IF($A$1="更新前预告",IFERROR( HLOOKUP(H$1,'6、更新前预告邮件'!$1:$31,31,0),""),IF($A$1="更新前平衡性",IFERROR(HLOOKUP(H$1,'7、更新前平衡性调整邮件'!$1:$31,9,0),""),if($A$1="更新公告",IFERROR(HLOOKUP(H$1,'8、更新公告（暂时不用）'!$1:$15,15,0),""))))</f>
        <v>尊敬する指揮官どの、
より良いゲーム体験を提供するために、&lt;color=#ffa200&gt;2026-02-10の06:00 UTC&lt;/color&gt;にバージョン0.85.0更新をリリースする予定です。その時点で、約&lt;color=#ffa200&gt;60分間&lt;/color&gt;のサーバーメンテナンスを実施します。サーバーメンテナンスが完了次第、ゲームのアップデートが可能になります。
[アップデート時間]
06:00 UTC, 2026-02-10; この時間帯はゲームにアクセスできません。
[予想メンテナンス時間]
&lt;color=#ffa200&gt;60分間&lt;/color&gt;
[0.85.0更新の詳細]
-ファイターシステム：新しいスーパー ファイター「コズミック開拓者 - エリオット」登場！エリオットは、どの伝説のファイターとも同期して、そのファイターのアビリティを獲得できます。
-遺伝子クエスト：プラネットウォーズに遺伝子の断片クエストが追加されました。クエストを完了してティア報酬を受け取りましょう。
-新しいファイターの像：ヒルダ。あなたの都市にさらなる輝きを！
-コリンの探索：イベントに参加してレーダー装飾品を獲得し、特別なバフをアンロックしよう！
-研究最適化：個人研究のアンロック要件を調整しました。  
-カードアルバム最適化：カードの入手先を調整し、アンロック要件を最適化しました。  
-キャリア最適化：「勇敢な心」は新たな特性を獲得しました—治療を受けた後、攻撃ボーナスを助成します。
公式Discordコミュニティをフォローして、サーバーメンテナンスに遅延があるかどうか、もしある場合は更新されたサーバー再開時間を確認してください。[-1# 公式Discordコミュニティに入るにはタップ](herf=https://discord.gg/RncnPNw)
現在の更新はオート公開で、最インストールパッケージをダウンロードする必要はなく、オンラインで更新内容をダウンロードできます。
私たちはバグを解決し、素晴らしい新コンテンツを提供するために引き続き努力します。乞うご期待ください、そして酒場でお会いしましょう！
副指揮官ロジャー</v>
      </c>
      <c r="I3" s="260" t="str">
        <f>IF($A$1="更新前预告",IFERROR( HLOOKUP(I$1,'6、更新前预告邮件'!$1:$31,31,0),""),IF($A$1="更新前平衡性",IFERROR(HLOOKUP(I$1,'7、更新前平衡性调整邮件'!$1:$9,9,0),""),if($A$1="更新公告",IFERROR(HLOOKUP(I$1,'8、更新公告（暂时不用）'!$1:$15,15,0),""))))</f>
        <v>친애하는 대장님,
더 나은 게임 경험을 제공하기 위해, 우리는 &lt;color=#ffa200&gt;2026-02-10 06:00 UTC&lt;/color&gt;에 버전 0.85.0 업데이트를 출시할 계획입니다. 그 시간에 우리는 약 &lt;color=#ffa200&gt;60분&lt;/color&gt; 동안 서버 유지보수를 진행할 것입니다. 서버 유지보수가 완료되면 게임을 업데이트할 수 있습니다.
[업데이트 시간]
06:00 UTC, 2026-02-10; 이 시간 동안 게임에 접속할 수 없습니다.
[예상 유지보수 기간]
&lt;color=#ffa200&gt;60분&lt;/color&gt;
[0.85.0 업데이트 세부 사항]
-전사 시스템: 새로운 슈퍼 전사 ‘코즈믹 개척자 - 엘리엇’! 엘리엇은 아무 전설의 전사와 동기화하여 그 전사의 능력을 얻을 수 있습니다.
-유전자 임무: 은하 전쟁에 이제 유전자 조각 임무가 포함됩니다. 임무를 완료하고 티어 보상을 청구하세요.
-새로운 전사 석상: 힐다. 당신의 도시에 더 많은 빛을 추가하세요!
-콜린의 탐험: 이벤트에 가입하여 탐지기 장식품을 획득하고 특별 버프를 잠금 해제하세요!
-연구 최적화: 개인 연구의 잠금 해제 요구 사항이 조정되었습니다.
-카드 앨범 최적화: 카드 획득처가 조정되고 잠금 해제 요구 사항이 최적화되었습니다.
-운반선 최적화: ""용감한 마음""이 이제 새로운 특성을 획득합니다—치료를 받은 후 공격 보너스를 부여합니다.
서버 유지보수에 지연이 있는지, 그리고 있다면 업데이트된 서버 재시작 시간을 알아보려면 공식 디스코드 커뮤니티를 팔로우하세요. [-1# 공식 디스코드 커뮤니티로 입장하기](herf=https://discord.gg/RncnPNw)
현재 업데이트는 자동 게시로, 최종 설치 패키지를 다운로드할 필요 없이 온라인에서 업데이트 내용을 다운로드할 수 있습니다.
우리는 버그를 해결하고 멋진 새로운 콘텐츠를 제공하기 위해 계속 노력할 것입니다. 기대해 주시고 선술집에서 만나요!
부관 로저</v>
      </c>
      <c r="J3" s="260" t="str">
        <f>IF($A$1="更新前预告",IFERROR( HLOOKUP(J$1,'6、更新前预告邮件'!$1:$31,31,0),""),IF($A$1="更新前平衡性",IFERROR(HLOOKUP(J$1,'7、更新前平衡性调整邮件'!$1:$9,9,0),""),if($A$1="更新公告",IFERROR(HLOOKUP(J$1,'8、更新公告（暂时不用）'!$1:$15,15,0),""))))</f>
        <v>Querido Capitán,
 Para poder brindarte una mejor experiencia de juego, planeamos liberar una actualización a la versión 0.85.0 el &lt;color=#ffa200&gt;10-02-2026 a las 06:00 UTC&lt;/color&gt;. En ese momento, realizaremos un mantenimiento de servidor que tendrá una duración aproximada de &lt;color=#ffa200&gt;60 minutos&lt;/color&gt;. Podrás actualizar el juego una vez que el mantenimiento del servidor esté completo.
 [Hora de la Actualización]
 06:00 UTC, 10-02-2026; no podrás acceder al juego durante esta hora. 
 [Duración Estimada del Mantenimiento]
 &lt;color=#ffa200&gt;60 minutos&lt;/color&gt;
 [Detalles de la actualización 0.85.0]
-Sistema de Luchador: ¡Nuevo Súper Luchador ‘Pionero Cósmico - Elliot’! Elliot puede sincronizarse con cualquier Luchador Legendario para obtener las habilidades de ese Luchador.
-Misiones de Gen: Guerras Planetarias ahora incluye Misiones de Fragmento de Gen. Complétalas para reclamar recompensas de nivel.
-Nueva Estatua del Luchador: Hilda. ¡Añade más brillo a tu ciudad!
-Exploración de Colin: Únete al evento para ganar decoraciones de Radar y desbloquear bonificaciones especiales.
-Optimización de Investigación: Se ajustaron los requisitos de desbloqueo para la Investigación Personal.
-Optimización del Álbum de Tarjetas: Se ajustaron las fuentes de tarjetas y se optimizaron los requisitos de desbloqueo.
-Optimización de Portador: El “Corazón Intrépido” ahora obtiene un nuevo rasgo—después de recibir curación, concede una bonificación de ataque.
 Por favor, sigue a nuestra comunidad en Discord para saber si existe algún retraso en el mantenimiento del servidor y, si ese es el caso, la hora de reinicio del servidor. [-1# Toca para entrar en la comunidad oficial de Discord](herf=https://discord.gg/RncnPNw)
Esta actualización es auto-publicada, no es necesario descargar el paquete de instalación, se puede descargar el contenido de la actualización en línea.
 Continuaremos trabajando duro para resolver cualquier falla y traerte contenido nuevo increíble. Mantente sintonizado y, ¡nos vemos en la Taberna!
Comisario Roger</v>
      </c>
      <c r="K3" s="260" t="str">
        <f>IF($A$1="更新前预告",IFERROR( HLOOKUP(K$1,'6、更新前预告邮件'!$1:$31,31,0),""),IF($A$1="更新前平衡性",IFERROR(HLOOKUP(K$1,'7、更新前平衡性调整邮件'!$1:$9,9,0),""),if($A$1="更新公告",IFERROR(HLOOKUP(K$1,'8、更新公告（暂时不用）'!$1:$15,15,0),""))))</f>
        <v>Kapten yang terhormat,
 Untuk memberikanmu pengalaman bermain yang lebih baik, kami berencana untuk merilis pembaruan versi 0.85.0 pada &lt;color=#ffa200&gt;2026-02-10 pukul 06:00 UTC&lt;/color&gt;. Pada saat itu, kami akan melakukan pemeliharaan server yang berlangsung kira-kira &lt;color=#ffa200&gt;60 menit&lt;/color&gt;. Kamu bisa memperbarui game setelah pemeliharaan server selesai. 
 [Waktu Pembaruan]
 06:00 UTC, 2026-02-10; kamu tidak akan bisa mengakses game selama waktu tersebut. 
 [Perkiraan Durasi Pemeliharaan]
 &lt;color=#ffa200&gt;60 menit&lt;/color&gt;
 [0.85.0 Rincian Pembaruan]
-Sistem Pejuang: Pejuang Super Baru ‘Perintis Kosmik - Elliot’! Elliot dapat Sinkronisasi dengan Pejuang Legendaris mana pun untuk mendapatkan kemampuan Pejuang tersebut.
-Tantangan Gen: Perang Planet sekarang mencakup Tantangan Potongan Gen. Selesaikan untuk klaim hadiah tingkat.
-Patung Pejuang Baru: Hilda. Tambahkan lebih banyak kemegahan ke kota kamu!
-Eksplorasi Colin: Bergabunglah dalam event untuk memenangkan dekorasi Radar dan buka keunggulan spesial!
-Optimasi Penelitian: Persyaratan buka untuk Penelitian Individu telah disesuaikan.
-Optimasi Album Kartu: Sumber kartu disesuaikan dan persyaratan buka dioptimalkan.
-Optimasi Pembawa: ""Hati Pemberani"" kini mendapatkan sifat baru—setelah menerima pemulihan, memberikan bonus serangan.
 Ikuti komunitas Discord resmi kami untuk mengetahui jika ada penundaan dalam pemeliharaan server dan, jika demikian, waktu mulai ulang pembaruan server. [-1# Ketuk untuk masuk ke komunitas Discord Resmi] (herf=https://discord.gg/RncnPNw)
Kali ini pembaruan adalah Oto TERBITKAN, tidak perlu mengunduh paket instalasi, dapat diunduh secara online untuk konten pembaruan.
 Kami akan terus bekerja keras untuk mengatasi bug dan menghadirkan konten baru yang keren untukmu. Tetap di sini dan sampai jumpa di sekitar Kedai!
 Deputi Roger</v>
      </c>
      <c r="L3" s="260" t="str">
        <f>IF($A$1="更新前预告",IFERROR( HLOOKUP(L$1,'6、更新前预告邮件'!$1:$31,31,0),""),IF($A$1="更新前平衡性",IFERROR(HLOOKUP(L$1,'7、更新前平衡性调整邮件'!$1:$9,9,0),""),if($A$1="更新公告",IFERROR(HLOOKUP(L$1,'8、更新公告（暂时不用）'!$1:$15,15,0),""))))</f>
        <v>ถึงท่านผู้บัญชาการ
 เพื่อให้นายได้รับประสบการณ์การเล่นเกมที่ดีขึ้น เราวางแผนที่จะปล่อยอัปเดตเวอร์ชัน 0.85.0 ในวันที่ &lt;color=#ffa200&gt;2026-02-10 ในเวลา 06:00 ตามเวลา UTC&lt;/color&gt; ซึ่งในเวลาดังกล่าว เราจะทำการบำรุงรักษาเซิร์ฟเวอร์เป็นเวลาประมาณ &lt;color=#ffa200&gt;60 นาที&lt;/color&gt; นายจะสามารถอัปเดตเกมได้เมื่อเราทำการบำรุงรักษาเซิร์ฟเวอร์เสร็จสิ้นแล้ว
 [เวลาอัปเดต]
 06:00 UTC 2026-02-10; นายจะไม่สามารถเข้าเล่นเกมได้ในช่วงเวลานี้ 
 [ระยะเวลาการบำรุงรักษาโดยประมาณ]
 &lt;color=#ffa200&gt;60 นาที&lt;/color&gt;
 [0.85.0 รายละเอียดการอัปเดต]
-ระบบนักสู้: นักสู้ซูเปอร์ตัวใหม่ ‘นักบุกเบิกแห่งคอสโม - เอลเลียต’! เอลเลียตสามารถซิงค์กับนักสู้ระดับตำนานใดๆ เพื่อรับความสามารถของนักสู้นั้น  
-เควสต์ยีน: สงครามดาวเคราะห์ตอนนี้มีเควสต์ชิ้นส่วนยีนแล้ว ทำเควสต์ให้เสร็จเพื่อรับรางวัลระดับ  
-รูปปั้นนักสู้ใหม่: ฮิลดา เพิ่มความโดดเด่นให้เมืองของคุณ!  
-การสำรวจของโคลิน: เข้าร่วมกิจกรรมเพื่อชิงรางวัลการตกแต่งเรดาร์และปลดล็อกบัฟพิเศษ!
-ปรับปรุงการวิจัย: ปรับข้อกำหนดการปลดล็อกสำหรับการวิจัยส่วนบุคคล  
-ปรับปรุงอัลบั้มการ์ด: ปรับแหล่งที่มาของการ์ดและปรับข้อกำหนดการปลดล็อกให้เหมาะสม  
-ปรับปรุงลิงขนส่ง: ""หัวใจแห่งความกล้าหาญ"" จะได้รับคุณสมบัติใหม่—หลังจากได้รับการรักษาแล้ว จะให้โบนัสการโจมตี
 โปรดติดตามชุมชน Discord อย่างเป็นทางการของเรา เพื่อตรวจสอบว่ามีความล่าช้าในการบำรุงรักษาเซิร์ฟเวอร์หรือไม่ ซึ่งหากเกิดความล่าช้าขึ้น เราจะแจ้งเวลารีสตาร์ทเซิร์ฟเวอร์ที่อัปเดตแล้วไว้ให้ [-1#แตะเพื่อเข้าสู่ชุมชน Discord อย่างเป็นทางการ](herf=https://discord.gg/RncnPNw)
ครั้งนี้อัปเดตเป็นการเผยแพร่อัตโนมัติ ไม่จำเป็นต้องดาวน์โหลดแพ็คเกจการติดตั้ง ออนไลน์ก็สามารถดาวน์โหลดเนื้อหาอัปเดตได้。
 เราจะพยายามอย่างเต็มที่เพื่อแก้ไขข้อบกพร่องและนำเสนอเนื้อหาใหม่ที่เจ๋ง ๆ ให้กับนายอย่างต่อเนื่อง คอยติดตามเราเอาไว้ด้วยล่ะ แล้วเจอกันแถว ๆ โรงแรมนะ!
 ท่านรองโรเจอร์</v>
      </c>
      <c r="M3" s="260" t="str">
        <f>IF($A$1="更新前预告",IFERROR( HLOOKUP(M$1,'6、更新前预告邮件'!$1:$31,31,0),""),IF($A$1="更新前平衡性",IFERROR(HLOOKUP(M$1,'7、更新前平衡性调整邮件'!$1:$9,9,0),""),if($A$1="更新公告",IFERROR(HLOOKUP(M$1,'8、更新公告（暂时不用）'!$1:$15,15,0),""))))</f>
        <v>عزيزي الزعيم،\nمن أجل تقديم تجربة لعب أفضل، نخطط لإصدار تحديث إصدار 0.85.0 في &lt;color=#ffa200&gt;2026-02-10 في الساعة 06:00 UTC&lt;/color&gt;. في ذلك الوقت، سنقوم بإجراء صيانة للخادم تستغرق حوالي &lt;color=#ffa200&gt;60 دقائق&lt;/color&gt;.   يرجى تنزيل إصدار اللعبة الجديد وتسجيل الدخول إلى اللعبة للحصول على المكافأة في بريدك.\n[وقت التحديث]\n06:00 UTC، 2026-02-10؛ لن تتمكن من الوصول إلى اللعبة خلال هذا الوقت.\n[المدة المتوقعة للصيانة]\n&lt;color=#ffa200&gt;60 دقائق&lt;/color&gt;\n[تفاصيل تحديث 0.85.0]\n-نظام المقاتلون: المقاتل الخارق الجديد "مكتشف المسارات الكونية - إليوت"! يمكن لإليوت مزامنة مع أي مقاتل أسطوري لاكتساب قدرات ذلك المقاتل.
-مهام الجينات: حروب الكوكب تتضمن الآن مهام شظية الجينات. اكملها لاكتساب جوائز المستوى.
-حالة المقاتل الجديدة: هيلدا. أضف المزيد من التألق إلى مدينتك!
-استكشاف كولن: انضم إلى الحدث للفوز بزينة الرادار وفتح التعزيزات الخاصة!
-تَحْسِين البَحْث: تَم تَعْدِيل المُتَطَلَّبَات لِفَتْح البَحْث الفَرْدِي.
-تَحْسِين أَلْبُوم البِطَاقَات: تَم تَعْدِيل مَصَادِر البِطَاقَات وَتَحْسِين مُتَطَلَّبَات الفَتْح.
-تَحْسِين الحَامِلَة: الحَامِلَة ""قلب الباسل"" تَحْصُل الآن على سِمَة جَدِيدَة—بَعْد تَلَقِّي العِلاج، تَمْنَح هَدِيَة هُجُوم.\nيرجى متابعة مجتمع Discord الرسمي لدينا لمعرفة ما إذا كان هناك أي تأخير في صيانة الخادم وإذا كان الوقت المحدد لإعادة تشغيل الخادم قد تم تحديثه. [-1# انقر للدخول إلى مجتمع Discord الرسمي](herf=https://discord.gg/RncnPNw)\nسنواصل العمل بجد لحل الأخطاء وتقديم محتوى جديد رائع. تابعنا ونراك في المقهى!\nالنائب روجر
&lt;p&gt;التحديث الحالي هو نشر تلقائي، لا حاجة لتنزيل حزمة التثبيت، يمكنك تنزيل محتوى التحديث متصل.&lt;/p&gt;
</v>
      </c>
      <c r="N3" s="260" t="str">
        <f>IF($A$1="更新前预告",IFERROR( HLOOKUP(N$1,'6、更新前预告邮件'!$1:$31,31,0),""),IF($A$1="更新前平衡性",IFERROR(HLOOKUP(N$1,'7、更新前平衡性调整邮件'!$1:$9,9,0),""),if($A$1="更新公告",IFERROR(HLOOKUP(N$1,'8、更新公告（暂时不用）'!$1:$15,15,0),""))))</f>
        <v/>
      </c>
      <c r="O3" s="260" t="str">
        <f>IF($A$1="更新前预告",IFERROR( HLOOKUP(O$1,'6、更新前预告邮件'!$1:$31,31,0),""),IF($A$1="更新前平衡性",IFERROR(HLOOKUP(O$1,'7、更新前平衡性调整邮件'!$1:$9,9,0),""),if($A$1="更新公告",IFERROR(HLOOKUP(O$1,'8、更新公告（暂时不用）'!$1:$15,15,0),""))))</f>
        <v/>
      </c>
      <c r="P3" s="260" t="str">
        <f>IF($A$1="更新前预告",IFERROR( HLOOKUP(P$1,'6、更新前预告邮件'!$1:$31,31,0),""),IF($A$1="更新前平衡性",IFERROR(HLOOKUP(P$1,'7、更新前平衡性调整邮件'!$1:$9,9,0),""),if($A$1="更新公告",IFERROR(HLOOKUP(P$1,'8、更新公告（暂时不用）'!$1:$15,15,0),""))))</f>
        <v>Sevgili Kaptan,
 Sana daha iyi bir oyun deneyimi sunmak adına sürüm 0.85.0 güncellemesini &lt;color=#ffa200&gt;10.02.2026 saat 06.00’da (UTC)&lt;/color&gt; yayımlamayı planlıyoruz. O esnada yaklaşık &lt;color=#ffa200&gt;60 dakika&lt;/color&gt; sürecek bir sunucu bakımı gerçekleştireceğiz. Sunucu bakımı tamamlanınca oyunu güncelleyebilirsin.
 [Güncelleme Zamanı]
 06.00 (UTC), 10.02.2026; bu sırada oyuna erişim sağlayamayacaksın. 
 [Tahmini Bakım Süresi]
 &lt;color=#ffa200&gt;60 dakika&lt;/color&gt;
 [0.85.0 Güncelleme Bilgileri]
-Savaşçı Sistemi: Yeni Süper Savaşçı ‘Kozmik Yol Bulucu - Elliot’! Elliot, herhangi bir Efsanevi Savaşçı ile Senkronize olarak o Savaşçının yeteneklerini kazanabilir.
-Gen Maceraları: Gezegen Savaşları artık Gen Parçası Maceralarını içeriyor. Tamamla ve kademe ödüllerini al.
-Yeni Savaşçı Heykeli: Hilda. Şehrine daha fazla parlaklık kat!
-Colin’in Keşfi: Etkinliğe katıl, Radar süslemeleri kazan ve özel güçlendiricilerin kilidini aç!
- Araştırma Optimizasyonu: Kişisel Araştırma için kilit açma gereklilikleri ayarlandı.
- Kart Albümü Optimizasyonu: Kart kaynakları ayarlandı ve kilit açma gereklilikleri optimize edildi.
- Taşıyıcı Optimizasyonu: ""Cesur Yürek"" artık yeni bir özellik kazanıyor—iyileştirildikten sonra saldırı bonusu veriyor.
 Sunucu bakımında gecikmeler olup olmadığını ve eğer olduysa sunucunun güncellenen yeniden başlatma zamanını öğrenmek için lütfen resmî Discord topluluğumuzu takip et. [-1# Resmî Discord topluluğuna girmek için dokun](herf=https://discord.gg/RncnPNw)
Şu anda güncelleme oto yayınlanmıştır, en son kurulum paketini indirmenize gerek yok, çevrim içi olarak güncelleme içeriğini indirebilirsiniz.
 Sorunları çözmek ve sana yeni içerikler sunmak için çok çalışmaya devam edeceğiz. Takipte kal, Tavernada görüşürüz!
 Yardımcı Roger</v>
      </c>
      <c r="Q3" s="260" t="str">
        <f>IF($A$1="更新前预告",IFERROR( HLOOKUP(Q$1,'6、更新前预告邮件'!$1:$31,31,0),""),IF($A$1="更新前平衡性",IFERROR(HLOOKUP(Q$1,'7、更新前平衡性调整邮件'!$1:$9,9,0),""),if($A$1="更新公告",IFERROR(HLOOKUP(Q$1,'8、更新公告（暂时不用）'!$1:$15,15,0),""))))</f>
        <v>Caro Capitão,
 Para melhorar a experiência de jogo, planejamos lançar a atualização 0.85.0 em &lt;color=#ffa200&gt;10/02/2026 às 06:00 (fuso UTC)&lt;/color&gt;. No momento, estamos fazendo a manutenção do jogo, que durará cerca de &lt;color=#ffa200&gt;60 minutos&lt;/color&gt;. Você poderá atualizar o jogo assim que a manutenção do servidor for concluída.
 [Horário da atualização]
 10/02/2026, às 06:00 (fuso UTC). Não será possível acessar o jogo durante este período. 
 [Tempo de manutenção estimado]
 &lt;color=#ffa200&gt;60 minutos&lt;/color&gt;
 [Detalhes da atualização 0.85.0]
 -Sistema de Combatente: Novo Super Combatente ‘Desbravador Cósmico - Elliot’! Elliot pode sincronizar com qualquer Combatente Lendário para obter as habilidades desse Combatente.
-Missões de Genes: Guerra Interplanetária agora inclui Missões de Fragmento de Genes. Complete-as para resgatar recompensas de nível.
-Nova Estátua Combatente: Hilda. Adicione mais brilho à sua cidade!
-Exploração de Colin: Entre no evento para ganhar decorações de Radar e desbloquear auxílios especiais!
- Otimização de Pesquisa: Ajustados os requisitos de desbloqueio para Pesquisa Individual.
- Otimização do Álbum de Cartão: Ajustadas as fontes de cartão e otimizados os requisitos de desbloqueio.
- Otimização do Porta-Aviões: O “Coração Corajoso” agora ganha um novo atributo—após receber cura, concede um bônus de ataque.
 Siga nossa comunidade oficial no Discord para ficar sabendo de eventuais atrasos na manutenção do servidor e do horário de reinício do servidor atualizado, caso necessário. [-1# Toque para entrar na comunidade oficial do Discord](herf=https://discord.gg/RncnPNw)
Atualização automática, não é necessário baixar o pacote de instalação, você pode baixar o conteúdo da atualização online.
 Continuaremos trabalhando muito para resolver bugs e trazer novos conteúdos para você. Fique por dentro. Nos vemos na taverna!
Delegado Roger</v>
      </c>
      <c r="R3" s="260" t="str">
        <f>IF($A$1="更新前预告",IFERROR( HLOOKUP(R$1,'6、更新前预告邮件'!$1:$31,31,0),""),IF($A$1="更新前平衡性",IFERROR(HLOOKUP(R$1,'7、更新前平衡性调整邮件'!$1:$9,9,0),""),if($A$1="更新公告",IFERROR(HLOOKUP(R$1,'8、更新公告（暂时不用）'!$1:$15,15,0),""))))</f>
        <v>Caro Capitano,
Per offrirti un'esperienza di gioco migliore, abbiamo pianificato di rilasciare l'aggiornamento alla versione 0.85.0 il &lt;color=#ffa200&gt;2026-02-10 alle 06:00 UTC&lt;/color&gt;. In quel momento, effettueremo una manutenzione del server della durata approssimativa di &lt;color=#ffa200&gt;60 minuti&lt;/color&gt;. Potrai aggiornare il gioco una volta completata la manutenzione del server.
[Orario di aggiornamento]
06:00 UTC, 2026-02-10; durante questo periodo non potrai accedere al gioco.
[Durata stimata della manutenzione]
&lt;color=#ffa200&gt;60 minuti&lt;/color&gt;
[Dettagli dell'aggiornamento 0.85.0]
-Sistema Combattente: Nuovo super combattente ""Pioniere Cosmico - Elliot""! Elliot può sincronizzarsi con qualsiasi combattente leggendario per ottenere le sue abilità.
-Missioni Gene: Guerre Planetarie ora include Missioni Frammento di Gene. Completale per riscattare ricompense di classe.
-Nuova Statua del Combattente: Hilda. Aggiungi ancora più brillantezza alla tua città!
-Esplorazione di Colin: Partecipa all'evento per vincere decorazioni radar e sbloccare benefici speciali!
- Ottimizzazione della ricerca: regolati i requisiti di sblocco per la ricerca individ.
- Ottimizzazione album di carte: regolate le fonti delle carte e ottimizzati i requisiti di sblocco.
- Ottimizzazione portaerei: il ""Cuore intrepido"" ora ottiene una nuova caratteristica—dopo aver ricevuto guarigione, concede un bonus attacco.
Segui la nostra comunità ufficiale di Discord per scoprire se ci saranno ritardi nella manutenzione del server e, in tal caso, l'orario di riavvio del server aggiornato. [-1# Tocca per accedere alla comunità ufficiale di Discord](herf=https://discord.gg/RncnPNw)
Attuale aggiornamento è PUBBLICA automatico, non è necessario scaricare il pacchetto di installazione, è possibile scaricare il contenuto dell'aggiornamento online.
Continueremo a lavorare sodo per risolvere i bug e offrirti nuovi fantastici contenuti. Resta sintonizzato e ci vediamo alla Taverna!
Sottotenente Roger</v>
      </c>
      <c r="S3" s="260" t="str">
        <f>IF($A$1="更新前预告",IFERROR( HLOOKUP(S$1,'6、更新前预告邮件'!$1:$31,31,0),""),IF($A$1="更新前平衡性",IFERROR(HLOOKUP(S$1,'7、更新前平衡性调整邮件'!$1:$9,9,0),""),if($A$1="更新公告",IFERROR(HLOOKUP(S$1,'8、更新公告（暂时不用）'!$1:$15,15,0),""))))</f>
        <v>Thưa Thủ Lĩnh,
 Để đem lại cho bạn trải nghiệm chơi game tốt hơn, chúng tôi dự định sẽ phát hành bản cập nhật 0.85.0 vào lúc &lt;color=#ffa200&gt;06:00 UTC ngày 10/02/2026&lt;/color&gt;. Cùng lúc đó, chúng tôi cũng sẽ thực hiện bảo trì máy chủ kéo dài khoảng &lt;color=#ffa200&gt;60 phút&lt;/color&gt;. Bạn có thể cập nhật lại game khi quá trình bảo trì máy chủ được hoàn tất.
 [Thời gian cập nhật]
 06:00 UTC, ngày 10/02/2026; bạn sẽ không thể truy cập vào game trong khoảng thời gian này. 
 [Thời lượng bảo trì ước tính]
 &lt;color=#ffa200&gt;60 phút&lt;/color&gt;
 [Thông tin bản cập nhật 0.85.0]
-Hệ Thống Chiến Binh: Siêu Chiến Binh Mới ‘Người Dò Đường Vũ Trụ - Elliot’! Elliot có thể đồng bộ với bất kỳ Chiến Binh Huyền Thoại nào để nhận các kỹ năng của Chiến Binh đó.
-Nhiệm Vụ Gen: Chiến Tranh Hành Tinh nay đã có Nhiệm Vụ Mảnh Gen. Hoàn thành để nhận thưởng bậc.
-Tượng Chiến Binh Mới: Hilda. Thêm rực rỡ cho thành phố của bạn!
-Khám Phá Của Colin: Tham gia sự kiện để nhận đồ trang trí Ra-đa và mở khóa hiệu ứng có lợi đặc biệt!
-Điều Chỉnh Nghiên Cứu: Đã điều chỉnh yêu cầu mở khóa cho Nghiên Cứu Cá Nhân.
-Tối Ưu Album Thẻ: Đã điều chỉnh nguồn thẻ và tối ưu yêu cầu mở khóa.
-Tối Ưu Tàu Sân Bay: “Trái Tim Gan Dạ” giờ có thêm đặc tính mới—sau khi nhận trị thương, sẽ cấp thưởng tấn công.
 Hãy theo dõi cộng đồng Discord chính thức của chúng tôi để tìm hiểu xem có bất kỳ sự trì hoãn nào đối với việc bảo trì máy chủ hay không, và xem có cập nhật thời gian khởi động lại máy chủ chưa. [-1# Nhấp để vào cộng đồng Discord chính thức](herf=https://discord.gg/RncnPNw)
Lần này cập nhật là XUẤT BẢN Tự động, không cần tải xuống gói cài đặt, trực tuyến có thể tải xuống nội dung cập nhật.
 Chúng tôi sẽ tiếp tục làm việc chăm chỉ để vá lỗi và đem lại cho các bạn nội dung hấp dẫn mới. Hãy cập nhật và hẹn gặp lại ở Tửu Quán nhé!
 Phụ tá Roger</v>
      </c>
      <c r="T3" s="260" t="str">
        <f>IF($A$1="更新前预告",IFERROR( HLOOKUP(T$1,'6、更新前预告邮件'!$1:$31,31,0),""),IF($A$1="更新前平衡性",IFERROR(HLOOKUP(T$1,'7、更新前平衡性调整邮件'!$1:$9,9,0),""),if($A$1="更新公告",IFERROR(HLOOKUP(T$1,'8、更新公告（暂时不用）'!$1:$15,15,0),""))))</f>
        <v/>
      </c>
      <c r="U3" s="260" t="str">
        <f>IF($A$1="更新前预告",IFERROR( HLOOKUP(U$1,'6、更新前预告邮件'!$1:$31,31,0),""),IF($A$1="更新前平衡性",IFERROR(HLOOKUP(U$1,'7、更新前平衡性调整邮件'!$1:$9,9,0),""),if($A$1="更新公告",IFERROR(HLOOKUP(U$1,'8、更新公告（暂时不用）'!$1:$15,15,0),""))))</f>
        <v>Szanowny Kapitanie,
Aby zapewnić ci lepsze wrażenia z gry, planujemy wydać aktualizację wersji 0.85.0 dnia 2026-02-10 o godzinie 06:00 UTC. W tym czasie przeprowadzimy konserwację serwera trwającą około 60 minut. Po zakończeniu konserwacji serwera możesz zaktualizować grę.
[Czas aktualizacji]
06:00 UTC, 2026-02-10; w tym czasie nie będziesz mógł uzyskać dostępu do gry.
[Przewidywany czas trwania konserwacji]
&lt;color=#ffa200&gt;60 minut&lt;/color&gt;
[Szczegóły aktualizacji 0.85.0]
-System Wojowników: Nowy super wojownik „Kosmiczny Pionier - Elliot”! Elliot może synchronizować z dowolnym legendarnym wojownikiem, aby zdobyć jego umiejętności.
-Zadania Genów: Wojny Planet teraz obejmują zadania na fragmenty genów. Wykonaj je, aby odebrać nagrody za poziom.
-Nowy Pomnik Wojownika: Hilda. Dodaj więcej blasku swojemu miastu!
-Ekspedycja Colina: Dołącz do wydarzenia, aby wygrać dekoracje radaru i odblokować specjalne wzmocnienia!
-Optymalizacja badań: Dostosowano wymagania odblokowania dla Osobistych Badań.
-Optymalizacja albumu kart: Dostosowano źródła kart i zoptymalizowano wymagania odblokowania.
-Optymalizacja lotniskowca: „Nieustraszone Serce” zyskuje teraz nową cechę—po otrzymaniu leczenia udziela premii do ataku.
Prosimy śledzić naszą oficjalną społeczność Discord, aby dowiedzieć się, czy wystąpią opóźnienia w konserwacji serwera i, jeśli tak, zaktualizowany czas ponownego uruchomienia serwera. [-1# Kliknij, aby wejść do oficjalnej społeczności Discord](herf=https://discord.gg/RncnPNw)
Bieżący aktualizacja jest automatycznie publikowana, nie wymaga pobierania najnowszego pakietu instalacyjnego, można pobrać zawartość aktualizacji online.
Będziemy nadal pracować nad rozwiązywaniem błędów i przynoszeniem wspaniałych nowych treści. Bądźcie czujni i do zobaczenia w Tawernie!
Zastępca Roger</v>
      </c>
    </row>
    <row r="4">
      <c r="A4" s="259" t="s">
        <v>1312</v>
      </c>
      <c r="B4" s="260"/>
      <c r="C4" s="260"/>
      <c r="D4" s="260"/>
      <c r="E4" s="260"/>
      <c r="F4" s="260"/>
      <c r="G4" s="260"/>
      <c r="H4" s="260"/>
      <c r="I4" s="260"/>
      <c r="J4" s="260"/>
      <c r="K4" s="260"/>
      <c r="L4" s="260"/>
      <c r="M4" s="260"/>
      <c r="N4" s="260"/>
      <c r="O4" s="260"/>
      <c r="P4" s="260"/>
      <c r="Q4" s="260"/>
      <c r="R4" s="260"/>
      <c r="S4" s="260"/>
      <c r="T4" s="260"/>
      <c r="U4" s="260"/>
    </row>
    <row r="5">
      <c r="A5" s="259" t="s">
        <v>1313</v>
      </c>
      <c r="B5" s="260"/>
      <c r="C5" s="260"/>
      <c r="D5" s="260"/>
      <c r="E5" s="260"/>
      <c r="F5" s="260"/>
      <c r="G5" s="260"/>
      <c r="H5" s="260"/>
      <c r="I5" s="260"/>
      <c r="J5" s="260"/>
      <c r="K5" s="260"/>
      <c r="L5" s="260"/>
      <c r="M5" s="260"/>
      <c r="N5" s="260"/>
      <c r="O5" s="260"/>
      <c r="P5" s="260"/>
      <c r="Q5" s="260"/>
      <c r="R5" s="260"/>
      <c r="S5" s="260"/>
      <c r="T5" s="260"/>
      <c r="U5" s="260"/>
    </row>
  </sheetData>
  <dataValidations>
    <dataValidation type="list" allowBlank="1" sqref="A1">
      <formula1>"更新前预告,更新前平衡性,更新公告,更新后补偿邮件"</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1" t="s">
        <v>1314</v>
      </c>
      <c r="B1" s="122"/>
      <c r="C1" s="122"/>
      <c r="D1" s="122"/>
      <c r="E1" s="122"/>
      <c r="F1" s="122"/>
      <c r="G1" s="122"/>
      <c r="H1" s="122"/>
      <c r="I1" s="122"/>
      <c r="J1" s="123"/>
      <c r="K1" s="191"/>
      <c r="L1" s="191"/>
      <c r="M1" s="191"/>
      <c r="N1" s="191"/>
      <c r="O1" s="191"/>
      <c r="P1" s="191"/>
      <c r="Q1" s="191"/>
      <c r="R1" s="191"/>
      <c r="S1" s="191"/>
      <c r="T1" s="191"/>
      <c r="U1" s="191"/>
      <c r="V1" s="191"/>
      <c r="W1" s="191"/>
      <c r="X1" s="191"/>
      <c r="Y1" s="191"/>
      <c r="Z1" s="191"/>
    </row>
    <row r="2">
      <c r="A2" s="89" t="s">
        <v>1315</v>
      </c>
      <c r="B2" s="89" t="s">
        <v>1316</v>
      </c>
      <c r="C2" s="89" t="s">
        <v>1317</v>
      </c>
      <c r="D2" s="89" t="s">
        <v>1318</v>
      </c>
      <c r="E2" s="89" t="s">
        <v>1319</v>
      </c>
      <c r="F2" s="89" t="s">
        <v>1320</v>
      </c>
      <c r="G2" s="89" t="s">
        <v>1321</v>
      </c>
      <c r="H2" s="89" t="s">
        <v>1322</v>
      </c>
      <c r="I2" s="191" t="s">
        <v>1323</v>
      </c>
      <c r="J2" s="191" t="s">
        <v>1324</v>
      </c>
      <c r="K2" s="191" t="s">
        <v>1325</v>
      </c>
      <c r="L2" s="191" t="s">
        <v>1326</v>
      </c>
      <c r="M2" s="191"/>
      <c r="N2" s="191"/>
      <c r="O2" s="191"/>
      <c r="P2" s="191"/>
      <c r="Q2" s="191"/>
      <c r="R2" s="191"/>
      <c r="S2" s="191"/>
      <c r="T2" s="191"/>
      <c r="U2" s="191"/>
      <c r="V2" s="191"/>
      <c r="W2" s="191"/>
      <c r="X2" s="191"/>
      <c r="Y2" s="191"/>
      <c r="Z2" s="191"/>
    </row>
    <row r="3">
      <c r="A3" s="262" t="s">
        <v>1327</v>
      </c>
      <c r="B3" s="32" t="s">
        <v>1328</v>
      </c>
      <c r="C3" s="263" t="s">
        <v>1329</v>
      </c>
      <c r="D3" s="263" t="s">
        <v>1330</v>
      </c>
      <c r="E3" s="263" t="s">
        <v>1331</v>
      </c>
      <c r="F3" s="263" t="s">
        <v>1327</v>
      </c>
      <c r="G3" s="264" t="s">
        <v>1332</v>
      </c>
      <c r="H3" s="264" t="s">
        <v>1333</v>
      </c>
      <c r="I3" s="263" t="s">
        <v>1334</v>
      </c>
      <c r="J3" s="263" t="s">
        <v>1335</v>
      </c>
      <c r="K3" s="263" t="s">
        <v>1336</v>
      </c>
      <c r="L3" s="263" t="s">
        <v>1337</v>
      </c>
      <c r="M3" s="263"/>
      <c r="N3" s="263"/>
      <c r="O3" s="265"/>
      <c r="P3" s="266"/>
      <c r="Q3" s="266"/>
      <c r="R3" s="266"/>
      <c r="S3" s="266"/>
      <c r="T3" s="266"/>
      <c r="U3" s="266"/>
      <c r="V3" s="266"/>
      <c r="W3" s="266"/>
      <c r="X3" s="266"/>
      <c r="Y3" s="267"/>
      <c r="Z3" s="267"/>
    </row>
    <row r="4" ht="70.5" customHeight="1">
      <c r="A4" s="262" t="s">
        <v>1338</v>
      </c>
      <c r="B4" s="32" t="s">
        <v>1339</v>
      </c>
      <c r="C4" s="268" t="s">
        <v>1340</v>
      </c>
      <c r="D4" s="263" t="s">
        <v>1341</v>
      </c>
      <c r="E4" s="263" t="s">
        <v>1342</v>
      </c>
      <c r="F4" s="263" t="s">
        <v>1343</v>
      </c>
      <c r="G4" s="264" t="s">
        <v>1344</v>
      </c>
      <c r="H4" s="264" t="s">
        <v>1345</v>
      </c>
      <c r="I4" s="263" t="s">
        <v>1346</v>
      </c>
      <c r="J4" s="263" t="s">
        <v>1347</v>
      </c>
      <c r="K4" s="263" t="s">
        <v>1348</v>
      </c>
      <c r="L4" s="263" t="s">
        <v>1349</v>
      </c>
      <c r="M4" s="263"/>
      <c r="N4" s="263"/>
      <c r="O4" s="265"/>
      <c r="P4" s="269"/>
      <c r="Q4" s="269"/>
      <c r="R4" s="269"/>
      <c r="S4" s="269"/>
      <c r="T4" s="269"/>
      <c r="U4" s="269"/>
      <c r="V4" s="269"/>
      <c r="W4" s="266"/>
      <c r="X4" s="269"/>
      <c r="Y4" s="270"/>
      <c r="Z4" s="267"/>
    </row>
    <row r="5">
      <c r="A5" s="191"/>
      <c r="B5" s="191"/>
      <c r="C5" s="191"/>
      <c r="D5" s="191"/>
      <c r="E5" s="191"/>
      <c r="F5" s="191"/>
      <c r="G5" s="191"/>
      <c r="H5" s="191"/>
      <c r="I5" s="191"/>
      <c r="J5" s="191"/>
      <c r="K5" s="191"/>
      <c r="L5" s="191"/>
      <c r="M5" s="191"/>
      <c r="N5" s="191"/>
      <c r="O5" s="191"/>
      <c r="P5" s="191"/>
      <c r="Q5" s="191"/>
      <c r="R5" s="191"/>
      <c r="S5" s="191"/>
      <c r="T5" s="191"/>
      <c r="U5" s="191"/>
      <c r="V5" s="191"/>
      <c r="W5" s="191"/>
      <c r="X5" s="191"/>
      <c r="Y5" s="191"/>
      <c r="Z5" s="191"/>
    </row>
    <row r="6">
      <c r="A6" s="267" t="s">
        <v>1350</v>
      </c>
      <c r="B6" s="191"/>
      <c r="C6" s="191"/>
      <c r="D6" s="191"/>
      <c r="E6" s="191"/>
      <c r="F6" s="191"/>
      <c r="G6" s="191"/>
      <c r="H6" s="191"/>
      <c r="I6" s="191"/>
      <c r="J6" s="191"/>
      <c r="K6" s="191"/>
      <c r="L6" s="191"/>
      <c r="M6" s="191"/>
      <c r="N6" s="191"/>
      <c r="O6" s="191"/>
      <c r="P6" s="191"/>
      <c r="Q6" s="191"/>
      <c r="R6" s="191"/>
      <c r="S6" s="191"/>
      <c r="T6" s="191"/>
      <c r="U6" s="191"/>
      <c r="V6" s="191"/>
      <c r="W6" s="191"/>
      <c r="X6" s="191"/>
      <c r="Y6" s="191"/>
      <c r="Z6" s="191"/>
    </row>
    <row r="7">
      <c r="A7" s="267" t="s">
        <v>1351</v>
      </c>
      <c r="B7" s="89" t="s">
        <v>1352</v>
      </c>
      <c r="C7" s="191"/>
      <c r="D7" s="191"/>
      <c r="E7" s="191"/>
      <c r="F7" s="191"/>
      <c r="G7" s="191"/>
      <c r="H7" s="191"/>
      <c r="I7" s="191"/>
      <c r="J7" s="191"/>
      <c r="K7" s="191"/>
      <c r="L7" s="191"/>
      <c r="M7" s="191"/>
      <c r="N7" s="191"/>
      <c r="O7" s="191"/>
      <c r="P7" s="191"/>
      <c r="Q7" s="191"/>
      <c r="R7" s="191"/>
      <c r="S7" s="191"/>
      <c r="T7" s="191"/>
      <c r="U7" s="191"/>
      <c r="V7" s="191"/>
      <c r="W7" s="191"/>
      <c r="X7" s="191"/>
      <c r="Y7" s="191"/>
      <c r="Z7" s="191"/>
    </row>
    <row r="8">
      <c r="A8" s="267" t="s">
        <v>1353</v>
      </c>
      <c r="B8" s="191"/>
      <c r="C8" s="191"/>
      <c r="D8" s="191"/>
      <c r="E8" s="191"/>
      <c r="F8" s="191"/>
      <c r="G8" s="191"/>
      <c r="H8" s="191"/>
      <c r="I8" s="191"/>
      <c r="J8" s="191"/>
      <c r="K8" s="191"/>
      <c r="L8" s="191"/>
      <c r="M8" s="191"/>
      <c r="N8" s="191"/>
      <c r="O8" s="191"/>
      <c r="P8" s="191"/>
      <c r="Q8" s="191"/>
      <c r="R8" s="191"/>
      <c r="S8" s="191"/>
      <c r="T8" s="191"/>
      <c r="U8" s="191"/>
      <c r="V8" s="191"/>
      <c r="W8" s="191"/>
      <c r="X8" s="191"/>
      <c r="Y8" s="191"/>
      <c r="Z8" s="191"/>
    </row>
    <row r="9">
      <c r="A9" s="267" t="s">
        <v>1354</v>
      </c>
      <c r="B9" s="191"/>
      <c r="C9" s="191"/>
      <c r="D9" s="191"/>
      <c r="E9" s="191"/>
      <c r="F9" s="191"/>
      <c r="G9" s="191"/>
      <c r="H9" s="191"/>
      <c r="I9" s="191"/>
      <c r="J9" s="191"/>
      <c r="K9" s="191"/>
      <c r="L9" s="191"/>
      <c r="M9" s="191"/>
      <c r="N9" s="191"/>
      <c r="O9" s="191"/>
      <c r="P9" s="191"/>
      <c r="Q9" s="191"/>
      <c r="R9" s="191"/>
      <c r="S9" s="191"/>
      <c r="T9" s="191"/>
      <c r="U9" s="191"/>
      <c r="V9" s="191"/>
      <c r="W9" s="191"/>
      <c r="X9" s="191"/>
      <c r="Y9" s="191"/>
      <c r="Z9" s="191"/>
    </row>
    <row r="10">
      <c r="A10" s="267" t="s">
        <v>1355</v>
      </c>
      <c r="B10" s="191"/>
      <c r="C10" s="191"/>
      <c r="D10" s="191"/>
      <c r="E10" s="191"/>
      <c r="F10" s="191"/>
      <c r="G10" s="191"/>
      <c r="H10" s="191"/>
      <c r="I10" s="191"/>
      <c r="J10" s="191"/>
      <c r="K10" s="191"/>
      <c r="L10" s="191"/>
      <c r="M10" s="191"/>
      <c r="N10" s="191"/>
      <c r="O10" s="191"/>
      <c r="P10" s="191"/>
      <c r="Q10" s="191"/>
      <c r="R10" s="191"/>
      <c r="S10" s="191"/>
      <c r="T10" s="191"/>
      <c r="U10" s="191"/>
      <c r="V10" s="191"/>
      <c r="W10" s="191"/>
      <c r="X10" s="191"/>
      <c r="Y10" s="191"/>
      <c r="Z10" s="191"/>
    </row>
    <row r="11">
      <c r="A11" s="191"/>
      <c r="B11" s="191"/>
      <c r="C11" s="191"/>
      <c r="D11" s="191"/>
      <c r="E11" s="191"/>
      <c r="F11" s="191"/>
      <c r="G11" s="191"/>
      <c r="H11" s="191"/>
      <c r="I11" s="191"/>
      <c r="J11" s="191"/>
      <c r="K11" s="191"/>
      <c r="L11" s="191"/>
      <c r="M11" s="191"/>
      <c r="N11" s="191"/>
      <c r="O11" s="191"/>
      <c r="P11" s="191"/>
      <c r="Q11" s="191"/>
      <c r="R11" s="191"/>
      <c r="S11" s="191"/>
      <c r="T11" s="191"/>
      <c r="U11" s="191"/>
      <c r="V11" s="191"/>
      <c r="W11" s="191"/>
      <c r="X11" s="191"/>
      <c r="Y11" s="191"/>
      <c r="Z11" s="191"/>
    </row>
    <row r="12">
      <c r="A12" s="191" t="str">
        <f t="shared" ref="A12:L12" si="1">$A$6&amp;A2</f>
        <v>"language":"cn"</v>
      </c>
      <c r="B12" s="191" t="str">
        <f t="shared" si="1"/>
        <v>"language":"en"</v>
      </c>
      <c r="C12" s="191" t="str">
        <f t="shared" si="1"/>
        <v>"language":"fr"</v>
      </c>
      <c r="D12" s="191" t="str">
        <f t="shared" si="1"/>
        <v>"language":"de"</v>
      </c>
      <c r="E12" s="191" t="str">
        <f t="shared" si="1"/>
        <v>"language":"po"</v>
      </c>
      <c r="F12" s="191" t="str">
        <f t="shared" si="1"/>
        <v>"language":"zh"</v>
      </c>
      <c r="G12" s="191" t="str">
        <f t="shared" si="1"/>
        <v>"language":"id"</v>
      </c>
      <c r="H12" s="191" t="str">
        <f t="shared" si="1"/>
        <v>"language":"th"</v>
      </c>
      <c r="I12" s="191" t="str">
        <f t="shared" si="1"/>
        <v>"language":"sp"</v>
      </c>
      <c r="J12" s="191" t="str">
        <f t="shared" si="1"/>
        <v>"language":"ru"</v>
      </c>
      <c r="K12" s="191" t="str">
        <f t="shared" si="1"/>
        <v>"language":"tr"</v>
      </c>
      <c r="L12" s="191" t="str">
        <f t="shared" si="1"/>
        <v>"language":"vi"</v>
      </c>
      <c r="M12" s="191"/>
      <c r="N12" s="191"/>
      <c r="O12" s="191"/>
      <c r="P12" s="191"/>
      <c r="Q12" s="191"/>
      <c r="R12" s="191"/>
      <c r="S12" s="191"/>
      <c r="T12" s="191"/>
      <c r="U12" s="191"/>
      <c r="V12" s="191"/>
      <c r="W12" s="191"/>
      <c r="X12" s="191"/>
      <c r="Y12" s="191"/>
      <c r="Z12" s="191"/>
    </row>
    <row r="13">
      <c r="A13" s="191" t="str">
        <f t="shared" ref="A13:L13" si="2">$A$7&amp;$B$7&amp;A3&amp;$B$7</f>
        <v>"title":"航天碎片回收通知"</v>
      </c>
      <c r="B13" s="191" t="str">
        <f t="shared" si="2"/>
        <v>"title":"Space Fragment Recycling Notice"</v>
      </c>
      <c r="C13" s="191" t="str">
        <f t="shared" si="2"/>
        <v>"title":"Avis de recyclage des Fragments Spatiaux"</v>
      </c>
      <c r="D13" s="191" t="str">
        <f t="shared" si="2"/>
        <v>"title":"Weltraumfragment-Recycling-Hinweis"</v>
      </c>
      <c r="E13" s="191" t="str">
        <f t="shared" si="2"/>
        <v>"title":"Aviso de Reciclagem de Fragmentos Espaciais"</v>
      </c>
      <c r="F13" s="191" t="str">
        <f t="shared" si="2"/>
        <v>"title":"航天碎片回收通知"</v>
      </c>
      <c r="G13" s="191" t="str">
        <f t="shared" si="2"/>
        <v>"title":"Pemberitahuan Daur Ulang Potongan Angkasa"</v>
      </c>
      <c r="H13" s="191" t="str">
        <f t="shared" si="2"/>
        <v>"title":"ประกาศเกี่ยวกับการรีไซเคิลชิ้นส่วนอวกาศ"</v>
      </c>
      <c r="I13" s="191" t="str">
        <f t="shared" si="2"/>
        <v>"title":"Aviso de Reciclaje de Fragmentos Espaciales"</v>
      </c>
      <c r="J13" s="191" t="str">
        <f t="shared" si="2"/>
        <v>"title":"Уведомление о переработке космических фрагментов"</v>
      </c>
      <c r="K13" s="191" t="str">
        <f t="shared" si="2"/>
        <v>"title":"Uzay Parçası Geri Dönüşüm Bildirimi"</v>
      </c>
      <c r="L13" s="191" t="str">
        <f t="shared" si="2"/>
        <v>"title":"Thông Báo Tái Chế Mảnh Vỡ Không Gian"</v>
      </c>
      <c r="M13" s="191"/>
      <c r="N13" s="191"/>
      <c r="O13" s="191"/>
      <c r="P13" s="191"/>
      <c r="Q13" s="191"/>
      <c r="R13" s="191"/>
      <c r="S13" s="191"/>
      <c r="T13" s="191"/>
      <c r="U13" s="191"/>
      <c r="V13" s="191"/>
      <c r="W13" s="191"/>
      <c r="X13" s="191"/>
      <c r="Y13" s="191"/>
      <c r="Z13" s="191"/>
    </row>
    <row r="14">
      <c r="A14" s="191" t="str">
        <f t="shared" ref="A14:L14" si="3">$A$8&amp;$B$7&amp;A4&amp;$B$7</f>
        <v>"content":"亲爱的指挥官：\n\n由于“航天夺魁”和“碎片兑换处活动”临时下线，截止UTC07:00您未使用的航天碎片已被回收并转化为1000粮食，航天碎片宝箱已被回收并转化为10,000粮食。\n以下是您被回收后获得的道具，请查收。\n\n罗杰副官"</v>
      </c>
      <c r="B14" s="191" t="str">
        <f t="shared" si="3"/>
        <v>"content":"Dear Commander,\n\nDue to the temporary suspension of the "Space Race" and "Fragment Exchange" events, your unused Space Fragments have been recycled and converted into 1,000 Food by UTC 07:00, and Space Fragment Chests have been recycled and converted into 10,000 Food. \nBelow are the items you received after the recycling. Please check.\n\nDeputy Roger"</v>
      </c>
      <c r="C14" s="191" t="str">
        <f t="shared" si="3"/>
        <v>"content":"Cher Commandant,\n\nEn raison de la suspension temporaire des événements "Course Spatiale" et "Échange de Fragments", vos Fragments Spatiaux inutilisés ont été recyclés et convertis en 1 000 Nourriture à 07:00 UTC, et les Coffres de Fragment Spatial ont été recyclés et convertis en 10 000 Nourriture. \nVoici les objets que vous avez reçus après le recyclage. Veuillez vérifier.\n\nRoger l'assistant"</v>
      </c>
      <c r="D14" s="191" t="str">
        <f t="shared" si="3"/>
        <v>"content":"Lieber Kommandant,\n\nAufgrund der vorübergehenden Aussetzung der "Weltraumrennen" und "Fragmentaustausch" Events wurden Ihre unbenutzten Weltraumfragmente bis UTC 07:00 recycelt und in 1.000 Nahrung umgewandelt, und Weltraumfragmentkisten wurden recycelt und in 10.000 Nahrung umgewandelt. \nUnten sind die Gegenstände aufgeführt, die Sie nach dem Recycling erhalten haben. Bitte überprüfen Sie.\n\nAdjutant Roger"</v>
      </c>
      <c r="E14" s="191" t="str">
        <f t="shared" si="3"/>
        <v>"content":"Caro Comandante,\n\nDevido à suspensão temporária dos eventos "Corrida Espacial" e "Troca de Fragmentos", seus Fragmentos Espaciais não utilizados foram reciclados e convertidos em 1.000 Comida até às 07:00 UTC, e os Cofres de Fragmento Espacial foram reciclados e convertidos em 10.000 Comida. \nAbaixo estão os itens que você recebeu após a reciclagem. Por favor, verifique.\n\nDelegado Roger"</v>
      </c>
      <c r="F14" s="191" t="str">
        <f t="shared" si="3"/>
        <v>"content":"親愛的指揮官：\n\n由於「航天奪魁」和「碎片兌換處活動」臨時下線，截止UTC07:00您未使用的航天碎片已被回收並轉化為1000糧食，航天碎片寶箱已被回收並轉化為10,000糧食。\n以下是您被回收後獲得的道具，請查收。\n\n羅傑副官"</v>
      </c>
      <c r="G14" s="191" t="str">
        <f t="shared" si="3"/>
        <v>"content":"Kepada Komandan,\n\nKarena penangguhan sementara acara "BALAP LUAR ANGKASA" dan "Tempat Penukaran Potongan", potongan angkasa yang tidak digunakan telah dikumpulkan dan diubah menjadi 1.000 Makanan pada pukul 07:00 UTC, dan Kotak Potongan Angkasa telah dikumpulkan dan diubah menjadi 10.000 Makanan. \nBerikut adalah item yang Anda terima setelah daur ulang. Silakan periksa.\n\nDeputi Roger"</v>
      </c>
      <c r="H14" s="191" t="str">
        <f t="shared" si="3"/>
        <v>"content":"เรียนผู้บัญชาการค่ะ,\n\nเนื่องจากการหยุดชั่วคราวของกิจกรรม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ชิ้นส่วนอวกาศที่คุณไม่ได้ใช้ได้ถูกนำไปรีไซเคิลและแปลงเป็นอาหาร 1,000 ชิ้น ณ เวลา UTC 07:00 และกล่องสมบัติชิ้นส่วนอวกาศได้ถูกนำไปรีไซเคิลและแปลงเป็นอาหาร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v>
      </c>
      <c r="I14" s="191" t="str">
        <f t="shared" si="3"/>
        <v>"content":"Estimado Comandante,\n\nDebido a la suspensión temporal de los eventos "Carrera Espacial" e "Intercambio de Fragmentos", tus Fragmentos Espaciales no utilizados han sido reciclados y convertidos en 1,000 Comida a las 07:00 UTC, y los Cofres de Fragmento Espacial han sido reciclados y convertidos en 10,000 Comida. \nA continuación se muestran los objetos que recibiste después del reciclaje. Por favor, verifica.\n\nComisario Roger"</v>
      </c>
      <c r="J14" s="191" t="str">
        <f t="shared" si="3"/>
        <v>"content":"Уважаемый командир,\n\nВ связи с временной приостановкой мероприятий "Космическая Гонка" и "Обмен Фрагментами", ваши неиспользованные Космические Фрагменты 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проверьте.\n\nПомощник Роджер"</v>
      </c>
      <c r="K14" s="191" t="str">
        <f t="shared" si="3"/>
        <v>"content":"Sevgili Komutan,\n\n"Uzay Yarışı" ve "Parça Değişimi" etkinliklerinin geçici olarak durdurulması nedeniyle, kullanılmayan Uzay Parçalarınız UTC 07:00 itibariyle 1.000 Yiyeceğe dönüştürülerek geri dönüştürüldü ve Uzay Parça Sandıkları 10.000 Yiyeceğe dönüştürülerek geri dönüştürüldü. \nAşağıda geri dönüşüm sonrası aldığınız eşyalar bulunmaktadır. Lütfen kontrol edin.\n\nYardımcı Roger"</v>
      </c>
      <c r="L14" s="191" t="str">
        <f t="shared" si="3"/>
        <v>"content":"Chỉ huy thân mến,\n\nDo việc tạm dừng sự kiện "CUỘC ĐUA KHÔNG GIAN" và "Mảnh Ghép Quy Đổi", mảnh vỡ hàng không vũ trụ chưa sử dụng của bạn đã được thu hồi và chuyển đổi thành 1.000 Thực Phẩm vào lúc 07:00 UTC, và Hộp đựng mảnh vỡ hàng không vũ trụ đã được thu hồi và chuyển đổi thành 10.000 Thực Phẩm. \nDưới đây là các vật phẩm bạn nhận được sau khi thu hồi. Vui lòng kiểm tra.\n\nPhụ tá Roger"</v>
      </c>
      <c r="M14" s="191"/>
      <c r="N14" s="191"/>
      <c r="O14" s="191"/>
      <c r="P14" s="191"/>
      <c r="Q14" s="191"/>
      <c r="R14" s="191"/>
      <c r="S14" s="191"/>
      <c r="T14" s="191"/>
      <c r="U14" s="191"/>
      <c r="V14" s="191"/>
      <c r="W14" s="191"/>
      <c r="X14" s="191"/>
      <c r="Y14" s="191"/>
      <c r="Z14" s="191"/>
    </row>
    <row r="15">
      <c r="A15" s="191" t="s">
        <v>1354</v>
      </c>
      <c r="B15" s="191" t="s">
        <v>1354</v>
      </c>
      <c r="C15" s="191" t="s">
        <v>1354</v>
      </c>
      <c r="D15" s="191" t="s">
        <v>1354</v>
      </c>
      <c r="E15" s="191" t="s">
        <v>1354</v>
      </c>
      <c r="F15" s="191" t="s">
        <v>1354</v>
      </c>
      <c r="G15" s="191" t="s">
        <v>1354</v>
      </c>
      <c r="H15" s="191" t="s">
        <v>1354</v>
      </c>
      <c r="I15" s="191" t="s">
        <v>1354</v>
      </c>
      <c r="J15" s="191" t="s">
        <v>1354</v>
      </c>
      <c r="K15" s="191" t="s">
        <v>1354</v>
      </c>
      <c r="L15" s="191" t="s">
        <v>1354</v>
      </c>
      <c r="M15" s="191"/>
      <c r="N15" s="191"/>
      <c r="O15" s="191"/>
      <c r="P15" s="191"/>
      <c r="Q15" s="191"/>
      <c r="R15" s="191"/>
      <c r="S15" s="191"/>
      <c r="T15" s="191"/>
      <c r="U15" s="191"/>
      <c r="V15" s="191"/>
      <c r="W15" s="191"/>
      <c r="X15" s="191"/>
      <c r="Y15" s="191"/>
      <c r="Z15" s="191"/>
    </row>
    <row r="16">
      <c r="A16" s="191" t="s">
        <v>1355</v>
      </c>
      <c r="B16" s="191" t="s">
        <v>1355</v>
      </c>
      <c r="C16" s="191" t="s">
        <v>1355</v>
      </c>
      <c r="D16" s="191" t="s">
        <v>1355</v>
      </c>
      <c r="E16" s="191" t="s">
        <v>1355</v>
      </c>
      <c r="F16" s="191" t="s">
        <v>1355</v>
      </c>
      <c r="G16" s="191" t="s">
        <v>1355</v>
      </c>
      <c r="H16" s="191" t="s">
        <v>1355</v>
      </c>
      <c r="I16" s="191" t="s">
        <v>1355</v>
      </c>
      <c r="J16" s="191" t="s">
        <v>1355</v>
      </c>
      <c r="K16" s="191" t="s">
        <v>1355</v>
      </c>
      <c r="L16" s="191" t="s">
        <v>1355</v>
      </c>
      <c r="M16" s="191"/>
      <c r="N16" s="191"/>
      <c r="O16" s="191"/>
      <c r="P16" s="191"/>
      <c r="Q16" s="191"/>
      <c r="R16" s="191"/>
      <c r="S16" s="191"/>
      <c r="T16" s="191"/>
      <c r="U16" s="191"/>
      <c r="V16" s="191"/>
      <c r="W16" s="191"/>
      <c r="X16" s="191"/>
      <c r="Y16" s="191"/>
      <c r="Z16" s="191"/>
    </row>
    <row r="17">
      <c r="A17" s="191"/>
      <c r="B17" s="191"/>
      <c r="C17" s="191"/>
      <c r="D17" s="191"/>
      <c r="E17" s="191"/>
      <c r="F17" s="191"/>
      <c r="G17" s="191"/>
      <c r="H17" s="191"/>
      <c r="I17" s="191"/>
      <c r="J17" s="191"/>
      <c r="K17" s="191"/>
      <c r="L17" s="191"/>
      <c r="M17" s="191"/>
      <c r="N17" s="191"/>
      <c r="O17" s="191"/>
      <c r="P17" s="191"/>
      <c r="Q17" s="191"/>
      <c r="R17" s="191"/>
      <c r="S17" s="191"/>
      <c r="T17" s="191"/>
      <c r="U17" s="191"/>
      <c r="V17" s="191"/>
      <c r="W17" s="191"/>
      <c r="X17" s="191"/>
      <c r="Y17" s="191"/>
      <c r="Z17" s="191"/>
    </row>
    <row r="18" ht="95.25" customHeight="1">
      <c r="A18" s="191" t="str">
        <f>IFERROR(__xludf.DUMMYFUNCTION("JOIN("","",A12:A16)"),"""language"":""cn"",""title"":""航天碎片回收通知"",""content"":""亲爱的指挥官：\n\n由于“航天夺魁”和“碎片兑换处活动”临时下线，截止UTC07:00您未使用的航天碎片已被回收并转化为1000粮食，航天碎片宝箱已被回收并转化为10,000粮食。\n以下是您被回收后获得的道具，请查收。\n\n罗杰副官"",""linkText"":"""",""link"":""""")</f>
        <v>"language":"cn","title":"航天碎片回收通知","content":"亲爱的指挥官：\n\n由于“航天夺魁”和“碎片兑换处活动”临时下线，截止UTC07:00您未使用的航天碎片已被回收并转化为1000粮食，航天碎片宝箱已被回收并转化为10,000粮食。\n以下是您被回收后获得的道具，请查收。\n\n罗杰副官","linkText":"","link":""</v>
      </c>
      <c r="B18" s="191" t="str">
        <f>IFERROR(__xludf.DUMMYFUNCTION("JOIN("","",B12:B16)"),"""language"":""en"",""title"":""Space Fragment Recycling Notice"",""content"":""Dear Commander,\n\nDue to the temporary suspension of the ""Space Race"" and ""Fragment Exchange"" events, your unused Space Fragments have been recycled and converted into 1,"&amp;"000 Food by UTC 07:00, and Space Fragment Chests have been recycled and converted into 10,000 Food. \nBelow are the items you received after the recycling. Please check.\n\nDeputy Roger"",""linkText"":"""",""link"":""""")</f>
        <v>"language":"en","title":"Space Fragment Recycling Notice","content":"Dear Commander,\n\nDue to the temporary suspension of the "Space Race" and "Fragment Exchange" events, your unused Space Fragments have been recycled and converted into 1,000 Food by UTC 07:00, and Space Fragment Chests have been recycled and converted into 10,000 Food. \nBelow are the items you received after the recycling. Please check.\n\nDeputy Roger","linkText":"","link":""</v>
      </c>
      <c r="C18" s="191" t="str">
        <f>IFERROR(__xludf.DUMMYFUNCTION("JOIN("","",C12:C16)"),"""language"":""fr"",""title"":""Avis de recyclage des Fragments Spatiaux"",""content"":""Cher Commandant,\n\nEn raison de la suspension temporaire des événements ""Course Spatiale"" et ""Échange de Fragments"", vos Fragments Spatiaux inutilisés ont été re"&amp;"cyclés et convertis en 1 000 Nourriture à 07:00 UTC, et les Coffres de Fragment Spatial ont été recyclés et convertis en 10 000 Nourriture. \nVoici les objets que vous avez reçus après le recyclage. Veuillez vérifier.\n\nRoger l'assistant"",""linkText"":"&amp;""""",""link"":""""")</f>
        <v>"language":"fr","title":"Avis de recyclage des Fragments Spatiaux","content":"Cher Commandant,\n\nEn raison de la suspension temporaire des événements "Course Spatiale" et "Échange de Fragments", vos Fragments Spatiaux inutilisés ont été recyclés et convertis en 1 000 Nourriture à 07:00 UTC, et les Coffres de Fragment Spatial ont été recyclés et convertis en 10 000 Nourriture. \nVoici les objets que vous avez reçus après le recyclage. Veuillez vérifier.\n\nRoger l'assistant","linkText":"","link":""</v>
      </c>
      <c r="D18" s="191" t="str">
        <f>IFERROR(__xludf.DUMMYFUNCTION("JOIN("","",D12:D16)"),"""language"":""de"",""title"":""Weltraumfragment-Recycling-Hinweis"",""content"":""Lieber Kommandant,\n\nAufgrund der vorübergehenden Aussetzung der ""Weltraumrennen"" und ""Fragmentaustausch"" Events wurden Ihre unbenutzten Weltraumfragmente bis UTC 07:0"&amp;"0 recycelt und in 1.000 Nahrung umgewandelt, und Weltraumfragmentkisten wurden recycelt und in 10.000 Nahrung umgewandelt. \nUnten sind die Gegenstände aufgeführt, die Sie nach dem Recycling erhalten haben. Bitte überprüfen Sie.\n\nAdjutant Roger"",""link"&amp;"Text"":"""",""link"":""""")</f>
        <v>"language":"de","title":"Weltraumfragment-Recycling-Hinweis","content":"Lieber Kommandant,\n\nAufgrund der vorübergehenden Aussetzung der "Weltraumrennen" und "Fragmentaustausch" Events wurden Ihre unbenutzten Weltraumfragmente bis UTC 07:00 recycelt und in 1.000 Nahrung umgewandelt, und Weltraumfragmentkisten wurden recycelt und in 10.000 Nahrung umgewandelt. \nUnten sind die Gegenstände aufgeführt, die Sie nach dem Recycling erhalten haben. Bitte überprüfen Sie.\n\nAdjutant Roger","linkText":"","link":""</v>
      </c>
      <c r="E18" s="191" t="str">
        <f>IFERROR(__xludf.DUMMYFUNCTION("JOIN("","",E12:E16)"),"""language"":""po"",""title"":""Aviso de Reciclagem de Fragmentos Espaciais"",""content"":""Caro Comandante,\n\nDevido à suspensão temporária dos eventos ""Corrida Espacial"" e ""Troca de Fragmentos"", seus Fragmentos Espaciais não utilizados foram recicl"&amp;"ados e convertidos em 1.000 Comida até às 07:00 UTC, e os Cofres de Fragmento Espacial foram reciclados e convertidos em 10.000 Comida. \nAbaixo estão os itens que você recebeu após a reciclagem. Por favor, verifique.\n\nDelegado Roger"",""linkText"":"""""&amp;",""link"":""""")</f>
        <v>"language":"po","title":"Aviso de Reciclagem de Fragmentos Espaciais","content":"Caro Comandante,\n\nDevido à suspensão temporária dos eventos "Corrida Espacial" e "Troca de Fragmentos", seus Fragmentos Espaciais não utilizados foram reciclados e convertidos em 1.000 Comida até às 07:00 UTC, e os Cofres de Fragmento Espacial foram reciclados e convertidos em 10.000 Comida. \nAbaixo estão os itens que você recebeu após a reciclagem. Por favor, verifique.\n\nDelegado Roger","linkText":"","link":""</v>
      </c>
      <c r="F18" s="191" t="str">
        <f>IFERROR(__xludf.DUMMYFUNCTION("JOIN("","",F12:F16)"),"""language"":""zh"",""title"":""航天碎片回收通知"",""content"":""親愛的指揮官：\n\n由於「航天奪魁」和「碎片兌換處活動」臨時下線，截止UTC07:00您未使用的航天碎片已被回收並轉化為1000糧食，航天碎片寶箱已被回收並轉化為10,000糧食。\n以下是您被回收後獲得的道具，請查收。\n\n羅傑副官"",""linkText"":"""",""link"":""""")</f>
        <v>"language":"zh","title":"航天碎片回收通知","content":"親愛的指揮官：\n\n由於「航天奪魁」和「碎片兌換處活動」臨時下線，截止UTC07:00您未使用的航天碎片已被回收並轉化為1000糧食，航天碎片寶箱已被回收並轉化為10,000糧食。\n以下是您被回收後獲得的道具，請查收。\n\n羅傑副官","linkText":"","link":""</v>
      </c>
      <c r="G18" s="191" t="str">
        <f>IFERROR(__xludf.DUMMYFUNCTION("JOIN("","",G12:G16)"),"""language"":""id"",""title"":""Pemberitahuan Daur Ulang Potongan Angkasa"",""content"":""Kepada Komandan,\n\nKarena penangguhan sementara acara ""BALAP LUAR ANGKASA"" dan ""Tempat Penukaran Potongan"", potongan angkasa yang tidak digunakan telah dikumpul"&amp;"kan dan diubah menjadi 1.000 Makanan pada pukul 07:00 UTC, dan Kotak Potongan Angkasa telah dikumpulkan dan diubah menjadi 10.000 Makanan. \nBerikut adalah item yang Anda terima setelah daur ulang. Silakan periksa.\n\nDeputi Roger"",""linkText"":"""",""li"&amp;"nk"":""""")</f>
        <v>"language":"id","title":"Pemberitahuan Daur Ulang Potongan Angkasa","content":"Kepada Komandan,\n\nKarena penangguhan sementara acara "BALAP LUAR ANGKASA" dan "Tempat Penukaran Potongan", potongan angkasa yang tidak digunakan telah dikumpulkan dan diubah menjadi 1.000 Makanan pada pukul 07:00 UTC, dan Kotak Potongan Angkasa telah dikumpulkan dan diubah menjadi 10.000 Makanan. \nBerikut adalah item yang Anda terima setelah daur ulang. Silakan periksa.\n\nDeputi Roger","linkText":"","link":""</v>
      </c>
      <c r="H18" s="191" t="str">
        <f>IFERROR(__xludf.DUMMYFUNCTION("JOIN("","",H12:H16)"),"""language"":""th"",""title"":""ประกาศเกี่ยวกับการรีไซเคิลชิ้นส่วนอวกาศ"",""conten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ชิ้นส่วนอวกาศที่คุณไม่ได้ใช้ได้ถูกนำไปรีไซเคิลและแปลงเป"&amp;"็นอาหาร 1,000 ชิ้น ณ เวลา UTC 07:00 และกล่องสมบัติชิ้นส่วนอวกาศได้ถูกนำไปรีไซเคิลและแปลงเป็นอาหาร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โปรดตรวจสอบค่ะ\n\nท่านรองโรเจอร์"",""linkText"":"""",""link"":""""")</f>
        <v>"language":"th","title":"ประกาศเกี่ยวกับการรีไซเคิลชิ้นส่วนอวกาศ","conten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ชิ้นส่วนอวกาศที่คุณไม่ได้ใช้ได้ถูกนำไปรีไซเคิลและแปลงเป็นอาหาร 1,000 ชิ้น ณ เวลา UTC 07:00 และกล่องสมบัติชิ้นส่วนอวกาศได้ถูกนำไปรีไซเคิลและแปลงเป็นอาหาร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โปรดตรวจสอบค่ะ\n\nท่านรองโรเจอร์","linkText":"","link":""</v>
      </c>
      <c r="I18" s="191" t="str">
        <f>IFERROR(__xludf.DUMMYFUNCTION("JOIN("","",I12:I16)"),"""language"":""sp"",""title"":""Aviso de Reciclaje de Fragmentos Espaciales"",""content"":""Estimado Comandante,\n\nDebido a la suspensión temporal de los eventos ""Carrera Espacial"" e ""Intercambio de Fragmentos"", tus Fragmentos Espaciales no utilizado"&amp;"s han sido reciclados y convertidos en 1,000 Comida a las 07:00 UTC, y los Cofres de Fragmento Espacial han sido reciclados y convertidos en 10,000 Comida. \nA continuación se muestran los objetos que recibiste después del reciclaje. Por favor, verifica.\"&amp;"n\nComisario Roger"",""linkText"":"""",""link"":""""")</f>
        <v>"language":"sp","title":"Aviso de Reciclaje de Fragmentos Espaciales","content":"Estimado Comandante,\n\nDebido a la suspensión temporal de los eventos "Carrera Espacial" e "Intercambio de Fragmentos", tus Fragmentos Espaciales no utilizados han sido reciclados y convertidos en 1,000 Comida a las 07:00 UTC, y los Cofres de Fragmento Espacial han sido reciclados y convertidos en 10,000 Comida. \nA continuación se muestran los objetos que recibiste después del reciclaje. Por favor, verifica.\n\nComisario Roger","linkText":"","link":""</v>
      </c>
      <c r="J18" s="191" t="str">
        <f>IFERROR(__xludf.DUMMYFUNCTION("JOIN("","",J12:J16)"),"""language"":""ru"",""title"":""Уведомление о переработке космических фрагментов"",""content"":""Уважаемый командир,\n\nВ связи с временной приостановкой мероприятий ""Космическая Гонка"" и ""Обмен Фрагментами"", ваши неиспользованные Космические Фрагмент"&amp;"ы 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проверьте"&amp;".\n\nПомощник Роджер"",""linkText"":"""",""link"":""""")</f>
        <v>"language":"ru","title":"Уведомление о переработке космических фрагментов","content":"Уважаемый командир,\n\nВ связи с временной приостановкой мероприятий "Космическая Гонка" и "Обмен Фрагментами", ваши неиспользованные Космические Фрагменты 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проверьте.\n\nПомощник Роджер","linkText":"","link":""</v>
      </c>
      <c r="K18" s="191" t="str">
        <f>IFERROR(__xludf.DUMMYFUNCTION("JOIN("","",K12:K16)"),"""language"":""tr"",""title"":""Uzay Parçası Geri Dönüşüm Bildirimi"",""content"":""Sevgili Komutan,\n\n""Uzay Yarışı"" ve ""Parça Değişimi"" etkinliklerinin geçici olarak durdurulması nedeniyle, kullanılmayan Uzay Parçalarınız UTC 07:00 itibariyle 1.000 "&amp;"Yiyeceğe dönüştürülerek geri dönüştürüldü ve Uzay Parça Sandıkları 10.000 Yiyeceğe dönüştürülerek geri dönüştürüldü. \nAşağıda geri dönüşüm sonrası aldığınız eşyalar bulunmaktadır. Lütfen kontrol edin.\n\nYardımcı Roger"",""linkText"":"""",""link"":""""")</f>
        <v>"language":"tr","title":"Uzay Parçası Geri Dönüşüm Bildirimi","content":"Sevgili Komutan,\n\n"Uzay Yarışı" ve "Parça Değişimi" etkinliklerinin geçici olarak durdurulması nedeniyle, kullanılmayan Uzay Parçalarınız UTC 07:00 itibariyle 1.000 Yiyeceğe dönüştürülerek geri dönüştürüldü ve Uzay Parça Sandıkları 10.000 Yiyeceğe dönüştürülerek geri dönüştürüldü. \nAşağıda geri dönüşüm sonrası aldığınız eşyalar bulunmaktadır. Lütfen kontrol edin.\n\nYardımcı Roger","linkText":"","link":""</v>
      </c>
      <c r="L18" s="191" t="str">
        <f>IFERROR(__xludf.DUMMYFUNCTION("JOIN("","",L12:L16)"),"""language"":""vi"",""title"":""Thông Báo Tái Chế Mảnh Vỡ Không Gian"",""content"":""Chỉ huy thân mến,\n\nDo việc tạm dừng sự kiện ""CUỘC ĐUA KHÔNG GIAN"" và ""Mảnh Ghép Quy Đổi"", mảnh vỡ hàng không vũ trụ chưa sử dụng của bạn đã được thu hồi và chuyển đ"&amp;"ổi thành 1.000 Thực Phẩm vào lúc 07:00 UTC, và Hộp đựng mảnh vỡ hàng không vũ trụ đã được thu hồi và chuyển đổi thành 10.000 Thực Phẩm. \nDưới đây là các vật phẩm bạn nhận được sau khi thu hồi. Vui lòng kiểm tra.\n\nPhụ tá Roger"",""linkText"":"""",""link"&amp;""":""""")</f>
        <v>"language":"vi","title":"Thông Báo Tái Chế Mảnh Vỡ Không Gian","content":"Chỉ huy thân mến,\n\nDo việc tạm dừng sự kiện "CUỘC ĐUA KHÔNG GIAN" và "Mảnh Ghép Quy Đổi", mảnh vỡ hàng không vũ trụ chưa sử dụng của bạn đã được thu hồi và chuyển đổi thành 1.000 Thực Phẩm vào lúc 07:00 UTC, và Hộp đựng mảnh vỡ hàng không vũ trụ đã được thu hồi và chuyển đổi thành 10.000 Thực Phẩm. \nDưới đây là các vật phẩm bạn nhận được sau khi thu hồi. Vui lòng kiểm tra.\n\nPhụ tá Roger","linkText":"","link":""</v>
      </c>
      <c r="M18" s="191"/>
      <c r="N18" s="191"/>
      <c r="O18" s="191"/>
      <c r="P18" s="191"/>
      <c r="Q18" s="191"/>
      <c r="R18" s="191"/>
      <c r="S18" s="191"/>
      <c r="T18" s="191"/>
      <c r="U18" s="191"/>
      <c r="V18" s="191"/>
      <c r="W18" s="191"/>
      <c r="X18" s="191"/>
      <c r="Y18" s="191"/>
      <c r="Z18" s="191"/>
    </row>
    <row r="19">
      <c r="A19" s="191" t="str">
        <f t="shared" ref="A19:L19" si="4">"{"&amp;A18&amp;"}"</f>
        <v>{"language":"cn","title":"航天碎片回收通知","content":"亲爱的指挥官：\n\n由于“航天夺魁”和“碎片兑换处活动”临时下线，截止UTC07:00您未使用的航天碎片已被回收并转化为1000粮食，航天碎片宝箱已被回收并转化为10,000粮食。\n以下是您被回收后获得的道具，请查收。\n\n罗杰副官","linkText":"","link":""}</v>
      </c>
      <c r="B19" s="191" t="str">
        <f t="shared" si="4"/>
        <v>{"language":"en","title":"Space Fragment Recycling Notice","content":"Dear Commander,\n\nDue to the temporary suspension of the "Space Race" and "Fragment Exchange" events, your unused Space Fragments have been recycled and converted into 1,000 Food by UTC 07:00, and Space Fragment Chests have been recycled and converted into 10,000 Food. \nBelow are the items you received after the recycling. Please check.\n\nDeputy Roger","linkText":"","link":""}</v>
      </c>
      <c r="C19" s="191" t="str">
        <f t="shared" si="4"/>
        <v>{"language":"fr","title":"Avis de recyclage des Fragments Spatiaux","content":"Cher Commandant,\n\nEn raison de la suspension temporaire des événements "Course Spatiale" et "Échange de Fragments", vos Fragments Spatiaux inutilisés ont été recyclés et convertis en 1 000 Nourriture à 07:00 UTC, et les Coffres de Fragment Spatial ont été recyclés et convertis en 10 000 Nourriture. \nVoici les objets que vous avez reçus après le recyclage. Veuillez vérifier.\n\nRoger l'assistant","linkText":"","link":""}</v>
      </c>
      <c r="D19" s="191" t="str">
        <f t="shared" si="4"/>
        <v>{"language":"de","title":"Weltraumfragment-Recycling-Hinweis","content":"Lieber Kommandant,\n\nAufgrund der vorübergehenden Aussetzung der "Weltraumrennen" und "Fragmentaustausch" Events wurden Ihre unbenutzten Weltraumfragmente bis UTC 07:00 recycelt und in 1.000 Nahrung umgewandelt, und Weltraumfragmentkisten wurden recycelt und in 10.000 Nahrung umgewandelt. \nUnten sind die Gegenstände aufgeführt, die Sie nach dem Recycling erhalten haben. Bitte überprüfen Sie.\n\nAdjutant Roger","linkText":"","link":""}</v>
      </c>
      <c r="E19" s="191" t="str">
        <f t="shared" si="4"/>
        <v>{"language":"po","title":"Aviso de Reciclagem de Fragmentos Espaciais","content":"Caro Comandante,\n\nDevido à suspensão temporária dos eventos "Corrida Espacial" e "Troca de Fragmentos", seus Fragmentos Espaciais não utilizados foram reciclados e convertidos em 1.000 Comida até às 07:00 UTC, e os Cofres de Fragmento Espacial foram reciclados e convertidos em 10.000 Comida. \nAbaixo estão os itens que você recebeu após a reciclagem. Por favor, verifique.\n\nDelegado Roger","linkText":"","link":""}</v>
      </c>
      <c r="F19" s="191" t="str">
        <f t="shared" si="4"/>
        <v>{"language":"zh","title":"航天碎片回收通知","content":"親愛的指揮官：\n\n由於「航天奪魁」和「碎片兌換處活動」臨時下線，截止UTC07:00您未使用的航天碎片已被回收並轉化為1000糧食，航天碎片寶箱已被回收並轉化為10,000糧食。\n以下是您被回收後獲得的道具，請查收。\n\n羅傑副官","linkText":"","link":""}</v>
      </c>
      <c r="G19" s="191" t="str">
        <f t="shared" si="4"/>
        <v>{"language":"id","title":"Pemberitahuan Daur Ulang Potongan Angkasa","content":"Kepada Komandan,\n\nKarena penangguhan sementara acara "BALAP LUAR ANGKASA" dan "Tempat Penukaran Potongan", potongan angkasa yang tidak digunakan telah dikumpulkan dan diubah menjadi 1.000 Makanan pada pukul 07:00 UTC, dan Kotak Potongan Angkasa telah dikumpulkan dan diubah menjadi 10.000 Makanan. \nBerikut adalah item yang Anda terima setelah daur ulang. Silakan periksa.\n\nDeputi Roger","linkText":"","link":""}</v>
      </c>
      <c r="H19" s="191" t="str">
        <f t="shared" si="4"/>
        <v>{"language":"th","title":"ประกาศเกี่ยวกับการรีไซเคิลชิ้นส่วนอวกาศ","conten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ชิ้นส่วนอวกาศที่คุณไม่ได้ใช้ได้ถูกนำไปรีไซเคิลและแปลงเป็นอาหาร 1,000 ชิ้น ณ เวลา UTC 07:00 และกล่องสมบัติชิ้นส่วนอวกาศได้ถูกนำไปรีไซเคิลและแปลงเป็นอาหาร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โปรดตรวจสอบค่ะ\n\nท่านรองโรเจอร์","linkText":"","link":""}</v>
      </c>
      <c r="I19" s="191" t="str">
        <f t="shared" si="4"/>
        <v>{"language":"sp","title":"Aviso de Reciclaje de Fragmentos Espaciales","content":"Estimado Comandante,\n\nDebido a la suspensión temporal de los eventos "Carrera Espacial" e "Intercambio de Fragmentos", tus Fragmentos Espaciales no utilizados han sido reciclados y convertidos en 1,000 Comida a las 07:00 UTC, y los Cofres de Fragmento Espacial han sido reciclados y convertidos en 10,000 Comida. \nA continuación se muestran los objetos que recibiste después del reciclaje. Por favor, verifica.\n\nComisario Roger","linkText":"","link":""}</v>
      </c>
      <c r="J19" s="191" t="str">
        <f t="shared" si="4"/>
        <v>{"language":"ru","title":"Уведомление о переработке космических фрагментов","content":"Уважаемый командир,\n\nВ связи с временной приостановкой мероприятий "Космическая Гонка" и "Обмен Фрагментами", ваши неиспользованные Космические Фрагменты 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проверьте.\n\nПомощник Роджер","linkText":"","link":""}</v>
      </c>
      <c r="K19" s="191" t="str">
        <f t="shared" si="4"/>
        <v>{"language":"tr","title":"Uzay Parçası Geri Dönüşüm Bildirimi","content":"Sevgili Komutan,\n\n"Uzay Yarışı" ve "Parça Değişimi" etkinliklerinin geçici olarak durdurulması nedeniyle, kullanılmayan Uzay Parçalarınız UTC 07:00 itibariyle 1.000 Yiyeceğe dönüştürülerek geri dönüştürüldü ve Uzay Parça Sandıkları 10.000 Yiyeceğe dönüştürülerek geri dönüştürüldü. \nAşağıda geri dönüşüm sonrası aldığınız eşyalar bulunmaktadır. Lütfen kontrol edin.\n\nYardımcı Roger","linkText":"","link":""}</v>
      </c>
      <c r="L19" s="191" t="str">
        <f t="shared" si="4"/>
        <v>{"language":"vi","title":"Thông Báo Tái Chế Mảnh Vỡ Không Gian","content":"Chỉ huy thân mến,\n\nDo việc tạm dừng sự kiện "CUỘC ĐUA KHÔNG GIAN" và "Mảnh Ghép Quy Đổi", mảnh vỡ hàng không vũ trụ chưa sử dụng của bạn đã được thu hồi và chuyển đổi thành 1.000 Thực Phẩm vào lúc 07:00 UTC, và Hộp đựng mảnh vỡ hàng không vũ trụ đã được thu hồi và chuyển đổi thành 10.000 Thực Phẩm. \nDưới đây là các vật phẩm bạn nhận được sau khi thu hồi. Vui lòng kiểm tra.\n\nPhụ tá Roger","linkText":"","link":""}</v>
      </c>
      <c r="M19" s="191"/>
      <c r="N19" s="191"/>
      <c r="O19" s="191"/>
      <c r="P19" s="191"/>
      <c r="Q19" s="191"/>
      <c r="R19" s="191"/>
      <c r="S19" s="191"/>
      <c r="T19" s="191"/>
      <c r="U19" s="191"/>
      <c r="V19" s="191"/>
      <c r="W19" s="191"/>
      <c r="X19" s="191"/>
      <c r="Y19" s="191"/>
      <c r="Z19" s="191"/>
    </row>
    <row r="20">
      <c r="A20" s="191"/>
      <c r="B20" s="191"/>
      <c r="C20" s="191"/>
      <c r="D20" s="191"/>
      <c r="E20" s="191"/>
      <c r="F20" s="191"/>
      <c r="G20" s="191"/>
      <c r="H20" s="191"/>
      <c r="I20" s="191"/>
      <c r="J20" s="191"/>
      <c r="K20" s="191"/>
      <c r="L20" s="191"/>
      <c r="M20" s="191"/>
      <c r="N20" s="191"/>
      <c r="O20" s="191"/>
      <c r="P20" s="191"/>
      <c r="Q20" s="191"/>
      <c r="R20" s="191"/>
      <c r="S20" s="191"/>
      <c r="T20" s="191"/>
      <c r="U20" s="191"/>
      <c r="V20" s="191"/>
      <c r="W20" s="191"/>
      <c r="X20" s="191"/>
      <c r="Y20" s="191"/>
      <c r="Z20" s="191"/>
    </row>
    <row r="21">
      <c r="A21" s="191" t="str">
        <f>IFERROR(__xludf.DUMMYFUNCTION("JOIN("","",A19:L19)"),"{""language"":""cn"",""title"":""航天碎片回收通知"",""content"":""亲爱的指挥官：\n\n由于“航天夺魁”和“碎片兑换处活动”临时下线，截止UTC07:00您未使用的航天碎片已被回收并转化为1000粮食，航天碎片宝箱已被回收并转化为10,000粮食。\n以下是您被回收后获得的道具，请查收。\n\n罗杰副官"",""linkText"":"""",""link"":""""},{""language"":""en"",""title"":""Space Fra"&amp;"gment Recycling Notice"",""content"":""Dear Commander,\n\nDue to the temporary suspension of the ""Space Race"" and ""Fragment Exchange"" events, your unused Space Fragments have been recycled and converted into 1,000 Food by UTC 07:00, and Space Fragment"&amp;" Chests have been recycled and converted into 10,000 Food. \nBelow are the items you received after the recycling. Please check.\n\nDeputy Roger"",""linkText"":"""",""link"":""""},{""language"":""fr"",""title"":""Avis de recyclage des Fragments Spatiaux"""&amp;",""content"":""Cher Commandant,\n\nEn raison de la suspension temporaire des événements ""Course Spatiale"" et ""Échange de Fragments"", vos Fragments Spatiaux inutilisés ont été recyclés et convertis en 1 000 Nourriture à 07:00 UTC, et les Coffres de Fra"&amp;"gment Spatial ont été recyclés et convertis en 10 000 Nourriture. \nVoici les objets que vous avez reçus après le recyclage. Veuillez vérifier.\n\nRoger l'assistant"",""linkText"":"""",""link"":""""},{""language"":""de"",""title"":""Weltraumfragment-Recyc"&amp;"ling-Hinweis"",""content"":""Lieber Kommandant,\n\nAufgrund der vorübergehenden Aussetzung der ""Weltraumrennen"" und ""Fragmentaustausch"" Events wurden Ihre unbenutzten Weltraumfragmente bis UTC 07:00 recycelt und in 1.000 Nahrung umgewandelt, und Weltr"&amp;"aumfragmentkisten wurden recycelt und in 10.000 Nahrung umgewandelt. \nUnten sind die Gegenstände aufgeführt, die Sie nach dem Recycling erhalten haben. Bitte überprüfen Sie.\n\nAdjutant Roger"",""linkText"":"""",""link"":""""},{""language"":""po"",""titl"&amp;"e"":""Aviso de Reciclagem de Fragmentos Espaciais"",""content"":""Caro Comandante,\n\nDevido à suspensão temporária dos eventos ""Corrida Espacial"" e ""Troca de Fragmentos"", seus Fragmentos Espaciais não utilizados foram reciclados e convertidos em 1.00"&amp;"0 Comida até às 07:00 UTC, e os Cofres de Fragmento Espacial foram reciclados e convertidos em 10.000 Comida. \nAbaixo estão os itens que você recebeu após a reciclagem. Por favor, verifique.\n\nDelegado Roger"",""linkText"":"""",""link"":""""},{""languag"&amp;"e"":""zh"",""title"":""航天碎片回收通知"",""content"":""親愛的指揮官：\n\n由於「航天奪魁」和「碎片兌換處活動」臨時下線，截止UTC07:00您未使用的航天碎片已被回收並轉化為1000糧食，航天碎片寶箱已被回收並轉化為10,000糧食。\n以下是您被回收後獲得的道具，請查收。\n\n羅傑副官"",""linkText"":"""",""link"":""""},{""language"":""id"",""title"":""Pemberitahuan Daur "&amp;"Ulang Potongan Angkasa"",""content"":""Kepada Komandan,\n\nKarena penangguhan sementara acara ""BALAP LUAR ANGKASA"" dan ""Tempat Penukaran Potongan"", potongan angkasa yang tidak digunakan telah dikumpulkan dan diubah menjadi 1.000 Makanan pada pukul 07:"&amp;"00 UTC, dan Kotak Potongan Angkasa telah dikumpulkan dan diubah menjadi 10.000 Makanan. \nBerikut adalah item yang Anda terima setelah daur ulang. Silakan periksa.\n\nDeputi Roger"",""linkText"":"""",""link"":""""},{""language"":""th"",""title"":""ประกาศเ"&amp;"กี่ยวกับการรีไซเคิลชิ้นส่วนอวกาศ"",""conten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ชิ้นส่วนอวกาศที่คุณไม่ได้ใช้ได้ถูกนำไปรีไซเคิลและแปลงเป็นอาหาร 1,000 ชิ้น ณ เวลา UTC 07:00 และ"&amp;"กล่องสมบัติชิ้นส่วนอวกาศได้ถูกนำไปรีไซเคิลและแปลงเป็นอาหาร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โปรดตรวจสอบค่ะ\n\nท่านรองโรเจอร์"",""linkText"":"""",""link"":""""},{""language"":""sp"",""title"":""Aviso de Reciclaje de Fra"&amp;"gmentos Espaciales"",""content"":""Estimado Comandante,\n\nDebido a la suspensión temporal de los eventos ""Carrera Espacial"" e ""Intercambio de Fragmentos"", tus Fragmentos Espaciales no utilizados han sido reciclados y convertidos en 1,000 Comida a las"&amp;" 07:00 UTC, y los Cofres de Fragmento Espacial han sido reciclados y convertidos en 10,000 Comida. \nA continuación se muestran los objetos que recibiste después del reciclaje. Por favor, verifica.\n\nComisario Roger"",""linkText"":"""",""link"":""""},{"""&amp;"language"":""ru"",""title"":""Уведомление о переработке космических фрагментов"",""content"":""Уважаемый командир,\n\nВ связи с временной приостановкой мероприятий ""Космическая Гонка"" и ""Обмен Фрагментами"", ваши неиспользованные Космические Фрагменты "&amp;"были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проверьте.\"&amp;"n\nПомощник Роджер"",""linkText"":"""",""link"":""""},{""language"":""tr"",""title"":""Uzay Parçası Geri Dönüşüm Bildirimi"",""content"":""Sevgili Komutan,\n\n""Uzay Yarışı"" ve ""Parça Değişimi"" etkinliklerinin geçici olarak durdurulması nedeniyle, kull"&amp;"anılmayan Uzay Parçalarınız UTC 07:00 itibariyle 1.000 Yiyeceğe dönüştürülerek geri dönüştürüldü ve Uzay Parça Sandıkları 10.000 Yiyeceğe dönüştürülerek geri dönüştürüldü. \nAşağıda geri dönüşüm sonrası aldığınız eşyalar bulunmaktadır. Lütfen kontrol edin"&amp;".\n\nYardımcı Roger"",""linkText"":"""",""link"":""""},{""language"":""vi"",""title"":""Thông Báo Tái Chế Mảnh Vỡ Không Gian"",""content"":""Chỉ huy thân mến,\n\nDo việc tạm dừng sự kiện ""CUỘC ĐUA KHÔNG GIAN"" và ""Mảnh Ghép Quy Đổi"", mảnh vỡ hàng không"&amp;" vũ trụ chưa sử dụng của bạn đã được thu hồi và chuyển đổi thành 1.000 Thực Phẩm vào lúc 07:00 UTC, và Hộp đựng mảnh vỡ hàng không vũ trụ đã được thu hồi và chuyển đổi thành 10.000 Thực Phẩm. \nDưới đây là các vật phẩm bạn nhận được sau khi thu hồi. Vui l"&amp;"òng kiểm tra.\n\nPhụ tá Roger"",""linkText"":"""",""link"":""""}")</f>
        <v>{"language":"cn","title":"航天碎片回收通知","content":"亲爱的指挥官：\n\n由于“航天夺魁”和“碎片兑换处活动”临时下线，截止UTC07:00您未使用的航天碎片已被回收并转化为1000粮食，航天碎片宝箱已被回收并转化为10,000粮食。\n以下是您被回收后获得的道具，请查收。\n\n罗杰副官","linkText":"","link":""},{"language":"en","title":"Space Fragment Recycling Notice","content":"Dear Commander,\n\nDue to the temporary suspension of the "Space Race" and "Fragment Exchange" events, your unused Space Fragments have been recycled and converted into 1,000 Food by UTC 07:00, and Space Fragment Chests have been recycled and converted into 10,000 Food. \nBelow are the items you received after the recycling. Please check.\n\nDeputy Roger","linkText":"","link":""},{"language":"fr","title":"Avis de recyclage des Fragments Spatiaux","content":"Cher Commandant,\n\nEn raison de la suspension temporaire des événements "Course Spatiale" et "Échange de Fragments", vos Fragments Spatiaux inutilisés ont été recyclés et convertis en 1 000 Nourriture à 07:00 UTC, et les Coffres de Fragment Spatial ont été recyclés et convertis en 10 000 Nourriture. \nVoici les objets que vous avez reçus après le recyclage. Veuillez vérifier.\n\nRoger l'assistant","linkText":"","link":""},{"language":"de","title":"Weltraumfragment-Recycling-Hinweis","content":"Lieber Kommandant,\n\nAufgrund der vorübergehenden Aussetzung der "Weltraumrennen" und "Fragmentaustausch" Events wurden Ihre unbenutzten Weltraumfragmente bis UTC 07:00 recycelt und in 1.000 Nahrung umgewandelt, und Weltraumfragmentkisten wurden recycelt und in 10.000 Nahrung umgewandelt. \nUnten sind die Gegenstände aufgeführt, die Sie nach dem Recycling erhalten haben. Bitte überprüfen Sie.\n\nAdjutant Roger","linkText":"","link":""},{"language":"po","title":"Aviso de Reciclagem de Fragmentos Espaciais","content":"Caro Comandante,\n\nDevido à suspensão temporária dos eventos "Corrida Espacial" e "Troca de Fragmentos", seus Fragmentos Espaciais não utilizados foram reciclados e convertidos em 1.000 Comida até às 07:00 UTC, e os Cofres de Fragmento Espacial foram reciclados e convertidos em 10.000 Comida. \nAbaixo estão os itens que você recebeu após a reciclagem. Por favor, verifique.\n\nDelegado Roger","linkText":"","link":""},{"language":"zh","title":"航天碎片回收通知","content":"親愛的指揮官：\n\n由於「航天奪魁」和「碎片兌換處活動」臨時下線，截止UTC07:00您未使用的航天碎片已被回收並轉化為1000糧食，航天碎片寶箱已被回收並轉化為10,000糧食。\n以下是您被回收後獲得的道具，請查收。\n\n羅傑副官","linkText":"","link":""},{"language":"id","title":"Pemberitahuan Daur Ulang Potongan Angkasa","content":"Kepada Komandan,\n\nKarena penangguhan sementara acara "BALAP LUAR ANGKASA" dan "Tempat Penukaran Potongan", potongan angkasa yang tidak digunakan telah dikumpulkan dan diubah menjadi 1.000 Makanan pada pukul 07:00 UTC, dan Kotak Potongan Angkasa telah dikumpulkan dan diubah menjadi 10.000 Makanan. \nBerikut adalah item yang Anda terima setelah daur ulang. Silakan periksa.\n\nDeputi Roger","linkText":"","link":""},{"language":"th","title":"ประกาศเกี่ยวกับการรีไซเคิลชิ้นส่วนอวกาศ","conten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ชิ้นส่วนอวกาศที่คุณไม่ได้ใช้ได้ถูกนำไปรีไซเคิลและแปลงเป็นอาหาร 1,000 ชิ้น ณ เวลา UTC 07:00 และกล่องสมบัติชิ้นส่วนอวกาศได้ถูกนำไปรีไซเคิลและแปลงเป็นอาหาร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โปรดตรวจสอบค่ะ\n\nท่านรองโรเจอร์","linkText":"","link":""},{"language":"sp","title":"Aviso de Reciclaje de Fragmentos Espaciales","content":"Estimado Comandante,\n\nDebido a la suspensión temporal de los eventos "Carrera Espacial" e "Intercambio de Fragmentos", tus Fragmentos Espaciales no utilizados han sido reciclados y convertidos en 1,000 Comida a las 07:00 UTC, y los Cofres de Fragmento Espacial han sido reciclados y convertidos en 10,000 Comida. \nA continuación se muestran los objetos que recibiste después del reciclaje. Por favor, verifica.\n\nComisario Roger","linkText":"","link":""},{"language":"ru","title":"Уведомление о переработке космических фрагментов","content":"Уважаемый командир,\n\nВ связи с временной приостановкой мероприятий "Космическая Гонка" и "Обмен Фрагментами", ваши неиспользованные Космические Фрагменты 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проверьте.\n\nПомощник Роджер","linkText":"","link":""},{"language":"tr","title":"Uzay Parçası Geri Dönüşüm Bildirimi","content":"Sevgili Komutan,\n\n"Uzay Yarışı" ve "Parça Değişimi" etkinliklerinin geçici olarak durdurulması nedeniyle, kullanılmayan Uzay Parçalarınız UTC 07:00 itibariyle 1.000 Yiyeceğe dönüştürülerek geri dönüştürüldü ve Uzay Parça Sandıkları 10.000 Yiyeceğe dönüştürülerek geri dönüştürüldü. \nAşağıda geri dönüşüm sonrası aldığınız eşyalar bulunmaktadır. Lütfen kontrol edin.\n\nYardımcı Roger","linkText":"","link":""},{"language":"vi","title":"Thông Báo Tái Chế Mảnh Vỡ Không Gian","content":"Chỉ huy thân mến,\n\nDo việc tạm dừng sự kiện "CUỘC ĐUA KHÔNG GIAN" và "Mảnh Ghép Quy Đổi", mảnh vỡ hàng không vũ trụ chưa sử dụng của bạn đã được thu hồi và chuyển đổi thành 1.000 Thực Phẩm vào lúc 07:00 UTC, và Hộp đựng mảnh vỡ hàng không vũ trụ đã được thu hồi và chuyển đổi thành 10.000 Thực Phẩm. \nDưới đây là các vật phẩm bạn nhận được sau khi thu hồi. Vui lòng kiểm tra.\n\nPhụ tá Roger","linkText":"","link":""}</v>
      </c>
      <c r="B21" s="191"/>
      <c r="C21" s="191"/>
      <c r="D21" s="191"/>
      <c r="E21" s="191"/>
      <c r="F21" s="191"/>
      <c r="G21" s="191"/>
      <c r="H21" s="191"/>
      <c r="I21" s="191"/>
      <c r="J21" s="191"/>
      <c r="K21" s="191"/>
      <c r="L21" s="191"/>
      <c r="M21" s="191"/>
      <c r="N21" s="191"/>
      <c r="O21" s="191"/>
      <c r="P21" s="191"/>
      <c r="Q21" s="191"/>
      <c r="R21" s="191"/>
      <c r="S21" s="191"/>
      <c r="T21" s="191"/>
      <c r="U21" s="191"/>
      <c r="V21" s="191"/>
      <c r="W21" s="191"/>
      <c r="X21" s="191"/>
      <c r="Y21" s="191"/>
      <c r="Z21" s="191"/>
    </row>
    <row r="22" ht="15.75" customHeight="1">
      <c r="A22" s="271" t="str">
        <f>"["&amp;A21&amp;"]"</f>
        <v>[{"language":"cn","title":"航天碎片回收通知","content":"亲爱的指挥官：\n\n由于“航天夺魁”和“碎片兑换处活动”临时下线，截止UTC07:00您未使用的航天碎片已被回收并转化为1000粮食，航天碎片宝箱已被回收并转化为10,000粮食。\n以下是您被回收后获得的道具，请查收。\n\n罗杰副官","linkText":"","link":""},{"language":"en","title":"Space Fragment Recycling Notice","content":"Dear Commander,\n\nDue to the temporary suspension of the "Space Race" and "Fragment Exchange" events, your unused Space Fragments have been recycled and converted into 1,000 Food by UTC 07:00, and Space Fragment Chests have been recycled and converted into 10,000 Food. \nBelow are the items you received after the recycling. Please check.\n\nDeputy Roger","linkText":"","link":""},{"language":"fr","title":"Avis de recyclage des Fragments Spatiaux","content":"Cher Commandant,\n\nEn raison de la suspension temporaire des événements "Course Spatiale" et "Échange de Fragments", vos Fragments Spatiaux inutilisés ont été recyclés et convertis en 1 000 Nourriture à 07:00 UTC, et les Coffres de Fragment Spatial ont été recyclés et convertis en 10 000 Nourriture. \nVoici les objets que vous avez reçus après le recyclage. Veuillez vérifier.\n\nRoger l'assistant","linkText":"","link":""},{"language":"de","title":"Weltraumfragment-Recycling-Hinweis","content":"Lieber Kommandant,\n\nAufgrund der vorübergehenden Aussetzung der "Weltraumrennen" und "Fragmentaustausch" Events wurden Ihre unbenutzten Weltraumfragmente bis UTC 07:00 recycelt und in 1.000 Nahrung umgewandelt, und Weltraumfragmentkisten wurden recycelt und in 10.000 Nahrung umgewandelt. \nUnten sind die Gegenstände aufgeführt, die Sie nach dem Recycling erhalten haben. Bitte überprüfen Sie.\n\nAdjutant Roger","linkText":"","link":""},{"language":"po","title":"Aviso de Reciclagem de Fragmentos Espaciais","content":"Caro Comandante,\n\nDevido à suspensão temporária dos eventos "Corrida Espacial" e "Troca de Fragmentos", seus Fragmentos Espaciais não utilizados foram reciclados e convertidos em 1.000 Comida até às 07:00 UTC, e os Cofres de Fragmento Espacial foram reciclados e convertidos em 10.000 Comida. \nAbaixo estão os itens que você recebeu após a reciclagem. Por favor, verifique.\n\nDelegado Roger","linkText":"","link":""},{"language":"zh","title":"航天碎片回收通知","content":"親愛的指揮官：\n\n由於「航天奪魁」和「碎片兌換處活動」臨時下線，截止UTC07:00您未使用的航天碎片已被回收並轉化為1000糧食，航天碎片寶箱已被回收並轉化為10,000糧食。\n以下是您被回收後獲得的道具，請查收。\n\n羅傑副官","linkText":"","link":""},{"language":"id","title":"Pemberitahuan Daur Ulang Potongan Angkasa","content":"Kepada Komandan,\n\nKarena penangguhan sementara acara "BALAP LUAR ANGKASA" dan "Tempat Penukaran Potongan", potongan angkasa yang tidak digunakan telah dikumpulkan dan diubah menjadi 1.000 Makanan pada pukul 07:00 UTC, dan Kotak Potongan Angkasa telah dikumpulkan dan diubah menjadi 10.000 Makanan. \nBerikut adalah item yang Anda terima setelah daur ulang. Silakan periksa.\n\nDeputi Roger","linkText":"","link":""},{"language":"th","title":"ประกาศเกี่ยวกับการรีไซเคิลชิ้นส่วนอวกาศ","content":"เรียนผู้บัญชาการค่ะ,\n\nเนื่องจากการหยุดชั่วคราวของกิจกรรม "การประชิดชิงอวกาศ" และ "ช่องแลกเปลี่ยนชิ้นส่วน" ชิ้นส่วนอวกาศที่คุณไม่ได้ใช้ได้ถูกนำไปรีไซเคิลและแปลงเป็นอาหาร 1,000 ชิ้น ณ เวลา UTC 07:00 และกล่องสมบัติชิ้นส่วนอวกาศได้ถูกนำไปรีไซเคิลและแปลงเป็นอาหาร 10,000 ชิ้น \nข้างล่างนี้คือรายการไอเทมที่คุณได้รับหลังจากการรีไซเคิล โปรดตรวจสอบค่ะ\n\nท่านรองโรเจอร์","linkText":"","link":""},{"language":"sp","title":"Aviso de Reciclaje de Fragmentos Espaciales","content":"Estimado Comandante,\n\nDebido a la suspensión temporal de los eventos "Carrera Espacial" e "Intercambio de Fragmentos", tus Fragmentos Espaciales no utilizados han sido reciclados y convertidos en 1,000 Comida a las 07:00 UTC, y los Cofres de Fragmento Espacial han sido reciclados y convertidos en 10,000 Comida. \nA continuación se muestran los objetos que recibiste después del reciclaje. Por favor, verifica.\n\nComisario Roger","linkText":"","link":""},{"language":"ru","title":"Уведомление о переработке космических фрагментов","content":"Уважаемый командир,\n\nВ связи с временной приостановкой мероприятий "Космическая Гонка" и "Обмен Фрагментами", ваши неиспользованные Космические Фрагменты были переработаны и преобразованы в 1 000 единиц пищи к 07:00 по UTC, а сундуки с Космическими Фрагментами были переработаны и преобразованы в 10 000 единиц пищи. \nНиже представлены предметы, которые вы получили после переработки. Пожалуйста, проверьте.\n\nПомощник Роджер","linkText":"","link":""},{"language":"tr","title":"Uzay Parçası Geri Dönüşüm Bildirimi","content":"Sevgili Komutan,\n\n"Uzay Yarışı" ve "Parça Değişimi" etkinliklerinin geçici olarak durdurulması nedeniyle, kullanılmayan Uzay Parçalarınız UTC 07:00 itibariyle 1.000 Yiyeceğe dönüştürülerek geri dönüştürüldü ve Uzay Parça Sandıkları 10.000 Yiyeceğe dönüştürülerek geri dönüştürüldü. \nAşağıda geri dönüşüm sonrası aldığınız eşyalar bulunmaktadır. Lütfen kontrol edin.\n\nYardımcı Roger","linkText":"","link":""},{"language":"vi","title":"Thông Báo Tái Chế Mảnh Vỡ Không Gian","content":"Chỉ huy thân mến,\n\nDo việc tạm dừng sự kiện "CUỘC ĐUA KHÔNG GIAN" và "Mảnh Ghép Quy Đổi", mảnh vỡ hàng không vũ trụ chưa sử dụng của bạn đã được thu hồi và chuyển đổi thành 1.000 Thực Phẩm vào lúc 07:00 UTC, và Hộp đựng mảnh vỡ hàng không vũ trụ đã được thu hồi và chuyển đổi thành 10.000 Thực Phẩm. \nDưới đây là các vật phẩm bạn nhận được sau khi thu hồi. Vui lòng kiểm tra.\n\nPhụ tá Roger","linkText":"","link":""}]</v>
      </c>
      <c r="B22" s="271"/>
      <c r="C22" s="271"/>
      <c r="D22" s="271"/>
      <c r="E22" s="271"/>
      <c r="F22" s="271"/>
      <c r="G22" s="271"/>
      <c r="H22" s="271"/>
      <c r="I22" s="271"/>
      <c r="J22" s="271"/>
      <c r="K22" s="271"/>
      <c r="L22" s="271"/>
      <c r="M22" s="271"/>
      <c r="N22" s="271"/>
      <c r="O22" s="271"/>
      <c r="P22" s="271"/>
      <c r="Q22" s="271"/>
      <c r="R22" s="271"/>
      <c r="S22" s="271"/>
      <c r="T22" s="271"/>
      <c r="U22" s="271"/>
      <c r="V22" s="271"/>
      <c r="W22" s="271"/>
      <c r="X22" s="271"/>
      <c r="Y22" s="271"/>
      <c r="Z22" s="271"/>
    </row>
    <row r="23">
      <c r="A23" s="191"/>
      <c r="B23" s="191"/>
      <c r="C23" s="191"/>
      <c r="D23" s="191"/>
      <c r="E23" s="191"/>
      <c r="F23" s="191"/>
      <c r="G23" s="191"/>
      <c r="H23" s="191"/>
      <c r="I23" s="191"/>
      <c r="J23" s="191"/>
      <c r="K23" s="191"/>
      <c r="L23" s="191"/>
      <c r="M23" s="191"/>
      <c r="N23" s="191"/>
      <c r="O23" s="191"/>
      <c r="P23" s="191"/>
      <c r="Q23" s="191"/>
      <c r="R23" s="191"/>
      <c r="S23" s="191"/>
      <c r="T23" s="191"/>
      <c r="U23" s="191"/>
      <c r="V23" s="191"/>
      <c r="W23" s="191"/>
      <c r="X23" s="191"/>
      <c r="Y23" s="191"/>
      <c r="Z23" s="191"/>
    </row>
    <row r="24">
      <c r="A24" s="191"/>
      <c r="B24" s="191"/>
      <c r="C24" s="191"/>
      <c r="D24" s="191"/>
      <c r="E24" s="191"/>
      <c r="F24" s="191"/>
      <c r="G24" s="191"/>
      <c r="H24" s="191"/>
      <c r="I24" s="191"/>
      <c r="J24" s="191"/>
      <c r="K24" s="191"/>
      <c r="L24" s="191"/>
      <c r="M24" s="191"/>
      <c r="N24" s="191"/>
      <c r="O24" s="191"/>
      <c r="P24" s="191"/>
      <c r="Q24" s="191"/>
      <c r="R24" s="191"/>
      <c r="S24" s="191"/>
      <c r="T24" s="191"/>
      <c r="U24" s="191"/>
      <c r="V24" s="191"/>
      <c r="W24" s="191"/>
      <c r="X24" s="191"/>
      <c r="Y24" s="191"/>
      <c r="Z24" s="191"/>
    </row>
    <row r="25">
      <c r="A25" s="191"/>
      <c r="B25" s="191"/>
      <c r="C25" s="191"/>
      <c r="D25" s="191"/>
      <c r="E25" s="191"/>
      <c r="F25" s="191"/>
      <c r="G25" s="191"/>
      <c r="H25" s="191"/>
      <c r="I25" s="191"/>
      <c r="J25" s="191"/>
      <c r="K25" s="191"/>
      <c r="L25" s="191"/>
      <c r="M25" s="191"/>
      <c r="N25" s="191"/>
      <c r="O25" s="191"/>
      <c r="P25" s="191"/>
      <c r="Q25" s="191"/>
      <c r="R25" s="191"/>
      <c r="S25" s="191"/>
      <c r="T25" s="191"/>
      <c r="U25" s="191"/>
      <c r="V25" s="191"/>
      <c r="W25" s="191"/>
      <c r="X25" s="191"/>
      <c r="Y25" s="191"/>
      <c r="Z25" s="191"/>
    </row>
    <row r="26">
      <c r="A26" s="272"/>
      <c r="B26" s="273"/>
      <c r="C26" s="273"/>
      <c r="D26" s="274"/>
      <c r="E26" s="274"/>
      <c r="F26" s="274"/>
      <c r="G26" s="274"/>
      <c r="H26" s="274"/>
      <c r="I26" s="274"/>
      <c r="J26" s="273"/>
      <c r="K26" s="274"/>
      <c r="L26" s="274"/>
      <c r="M26" s="191"/>
      <c r="N26" s="191"/>
      <c r="O26" s="191"/>
      <c r="P26" s="191"/>
      <c r="Q26" s="191"/>
      <c r="R26" s="191"/>
      <c r="S26" s="191"/>
      <c r="T26" s="191"/>
      <c r="U26" s="191"/>
      <c r="V26" s="191"/>
      <c r="W26" s="191"/>
      <c r="X26" s="191"/>
      <c r="Y26" s="191"/>
      <c r="Z26" s="191"/>
    </row>
    <row r="27">
      <c r="A27" s="191"/>
      <c r="B27" s="191"/>
      <c r="C27" s="191"/>
      <c r="D27" s="191"/>
      <c r="E27" s="191"/>
      <c r="F27" s="191"/>
      <c r="G27" s="191"/>
      <c r="H27" s="191"/>
      <c r="I27" s="191"/>
      <c r="J27" s="191"/>
      <c r="K27" s="191"/>
      <c r="L27" s="191"/>
      <c r="M27" s="191"/>
      <c r="N27" s="191"/>
      <c r="O27" s="191"/>
      <c r="P27" s="191"/>
      <c r="Q27" s="191"/>
      <c r="R27" s="191"/>
      <c r="S27" s="191"/>
      <c r="T27" s="191"/>
      <c r="U27" s="191"/>
      <c r="V27" s="191"/>
      <c r="W27" s="191"/>
      <c r="X27" s="191"/>
      <c r="Y27" s="191"/>
      <c r="Z27" s="191"/>
    </row>
    <row r="28">
      <c r="A28" s="191"/>
      <c r="B28" s="191"/>
      <c r="C28" s="191"/>
      <c r="D28" s="191"/>
      <c r="E28" s="191"/>
      <c r="F28" s="191"/>
      <c r="G28" s="191"/>
      <c r="H28" s="191"/>
      <c r="I28" s="191"/>
      <c r="J28" s="191"/>
      <c r="K28" s="191"/>
      <c r="L28" s="191"/>
      <c r="M28" s="191"/>
      <c r="N28" s="191"/>
      <c r="O28" s="191"/>
      <c r="P28" s="191"/>
      <c r="Q28" s="191"/>
      <c r="R28" s="191"/>
      <c r="S28" s="191"/>
      <c r="T28" s="191"/>
      <c r="U28" s="191"/>
      <c r="V28" s="191"/>
      <c r="W28" s="191"/>
      <c r="X28" s="191"/>
      <c r="Y28" s="191"/>
      <c r="Z28" s="191"/>
    </row>
    <row r="29">
      <c r="A29" s="191"/>
      <c r="B29" s="191"/>
      <c r="C29" s="191"/>
      <c r="D29" s="191"/>
      <c r="E29" s="191"/>
      <c r="F29" s="191"/>
      <c r="G29" s="191"/>
      <c r="H29" s="191"/>
      <c r="I29" s="191"/>
      <c r="J29" s="191"/>
      <c r="K29" s="191"/>
      <c r="L29" s="191"/>
      <c r="M29" s="191"/>
      <c r="N29" s="191"/>
      <c r="O29" s="191"/>
      <c r="P29" s="191"/>
      <c r="Q29" s="191"/>
      <c r="R29" s="191"/>
      <c r="S29" s="191"/>
      <c r="T29" s="191"/>
      <c r="U29" s="191"/>
      <c r="V29" s="191"/>
      <c r="W29" s="191"/>
      <c r="X29" s="191"/>
      <c r="Y29" s="191"/>
      <c r="Z29" s="191"/>
    </row>
    <row r="30">
      <c r="A30" s="191"/>
      <c r="B30" s="191"/>
      <c r="C30" s="191"/>
      <c r="D30" s="191"/>
      <c r="E30" s="191"/>
      <c r="F30" s="191"/>
      <c r="G30" s="191"/>
      <c r="H30" s="191"/>
      <c r="I30" s="191"/>
      <c r="J30" s="191"/>
      <c r="K30" s="191"/>
      <c r="L30" s="191"/>
      <c r="M30" s="191"/>
      <c r="N30" s="191"/>
      <c r="O30" s="191"/>
      <c r="P30" s="191"/>
      <c r="Q30" s="191"/>
      <c r="R30" s="191"/>
      <c r="S30" s="191"/>
      <c r="T30" s="191"/>
      <c r="U30" s="191"/>
      <c r="V30" s="191"/>
      <c r="W30" s="191"/>
      <c r="X30" s="191"/>
      <c r="Y30" s="191"/>
      <c r="Z30" s="191"/>
    </row>
    <row r="31">
      <c r="A31" s="191"/>
      <c r="B31" s="191"/>
      <c r="C31" s="191"/>
      <c r="D31" s="191"/>
      <c r="E31" s="191"/>
      <c r="F31" s="191"/>
      <c r="G31" s="191"/>
      <c r="H31" s="191"/>
      <c r="I31" s="191"/>
      <c r="J31" s="191"/>
      <c r="K31" s="191"/>
      <c r="L31" s="191"/>
      <c r="M31" s="191"/>
      <c r="N31" s="191"/>
      <c r="O31" s="191"/>
      <c r="P31" s="191"/>
      <c r="Q31" s="191"/>
      <c r="R31" s="191"/>
      <c r="S31" s="191"/>
      <c r="T31" s="191"/>
      <c r="U31" s="191"/>
      <c r="V31" s="191"/>
      <c r="W31" s="191"/>
      <c r="X31" s="191"/>
      <c r="Y31" s="191"/>
      <c r="Z31" s="191"/>
    </row>
    <row r="32">
      <c r="A32" s="191"/>
      <c r="B32" s="191"/>
      <c r="C32" s="191"/>
      <c r="D32" s="191"/>
      <c r="E32" s="191"/>
      <c r="F32" s="191"/>
      <c r="G32" s="191"/>
      <c r="H32" s="191"/>
      <c r="I32" s="191"/>
      <c r="J32" s="191"/>
      <c r="K32" s="191"/>
      <c r="L32" s="191"/>
      <c r="M32" s="191"/>
      <c r="N32" s="191"/>
      <c r="O32" s="191"/>
      <c r="P32" s="191"/>
      <c r="Q32" s="191"/>
      <c r="R32" s="191"/>
      <c r="S32" s="191"/>
      <c r="T32" s="191"/>
      <c r="U32" s="191"/>
      <c r="V32" s="191"/>
      <c r="W32" s="191"/>
      <c r="X32" s="191"/>
      <c r="Y32" s="191"/>
      <c r="Z32" s="191"/>
    </row>
    <row r="33">
      <c r="A33" s="191"/>
      <c r="B33" s="191"/>
      <c r="C33" s="191"/>
      <c r="D33" s="191"/>
      <c r="E33" s="191"/>
      <c r="F33" s="191"/>
      <c r="G33" s="191"/>
      <c r="H33" s="191"/>
      <c r="I33" s="191"/>
      <c r="J33" s="191"/>
      <c r="K33" s="191"/>
      <c r="L33" s="191"/>
      <c r="M33" s="191"/>
      <c r="N33" s="191"/>
      <c r="O33" s="191"/>
      <c r="P33" s="191"/>
      <c r="Q33" s="191"/>
      <c r="R33" s="191"/>
      <c r="S33" s="191"/>
      <c r="T33" s="191"/>
      <c r="U33" s="191"/>
      <c r="V33" s="191"/>
      <c r="W33" s="191"/>
      <c r="X33" s="191"/>
      <c r="Y33" s="191"/>
      <c r="Z33" s="191"/>
    </row>
    <row r="34">
      <c r="A34" s="191"/>
      <c r="B34" s="191"/>
      <c r="C34" s="191"/>
      <c r="D34" s="191"/>
      <c r="E34" s="191"/>
      <c r="F34" s="191"/>
      <c r="G34" s="191"/>
      <c r="H34" s="191"/>
      <c r="I34" s="191"/>
      <c r="J34" s="191"/>
      <c r="K34" s="191"/>
      <c r="L34" s="191"/>
      <c r="M34" s="191"/>
      <c r="N34" s="191"/>
      <c r="O34" s="191"/>
      <c r="P34" s="191"/>
      <c r="Q34" s="191"/>
      <c r="R34" s="191"/>
      <c r="S34" s="191"/>
      <c r="T34" s="191"/>
      <c r="U34" s="191"/>
      <c r="V34" s="191"/>
      <c r="W34" s="191"/>
      <c r="X34" s="191"/>
      <c r="Y34" s="191"/>
      <c r="Z34" s="191"/>
    </row>
    <row r="35">
      <c r="A35" s="191"/>
      <c r="B35" s="191"/>
      <c r="C35" s="191"/>
      <c r="D35" s="191"/>
      <c r="E35" s="191"/>
      <c r="F35" s="191"/>
      <c r="G35" s="191"/>
      <c r="H35" s="191"/>
      <c r="I35" s="191"/>
      <c r="J35" s="191"/>
      <c r="K35" s="191"/>
      <c r="L35" s="191"/>
      <c r="M35" s="191"/>
      <c r="N35" s="191"/>
      <c r="O35" s="191"/>
      <c r="P35" s="191"/>
      <c r="Q35" s="191"/>
      <c r="R35" s="191"/>
      <c r="S35" s="191"/>
      <c r="T35" s="191"/>
      <c r="U35" s="191"/>
      <c r="V35" s="191"/>
      <c r="W35" s="191"/>
      <c r="X35" s="191"/>
      <c r="Y35" s="191"/>
      <c r="Z35" s="191"/>
    </row>
    <row r="36">
      <c r="A36" s="191"/>
      <c r="B36" s="191"/>
      <c r="C36" s="191"/>
      <c r="D36" s="191"/>
      <c r="E36" s="191"/>
      <c r="F36" s="191"/>
      <c r="G36" s="191"/>
      <c r="H36" s="191"/>
      <c r="I36" s="191"/>
      <c r="J36" s="191"/>
      <c r="K36" s="191"/>
      <c r="L36" s="191"/>
      <c r="M36" s="191"/>
      <c r="N36" s="191"/>
      <c r="O36" s="191"/>
      <c r="P36" s="191"/>
      <c r="Q36" s="191"/>
      <c r="R36" s="191"/>
      <c r="S36" s="191"/>
      <c r="T36" s="191"/>
      <c r="U36" s="191"/>
      <c r="V36" s="191"/>
      <c r="W36" s="191"/>
      <c r="X36" s="191"/>
      <c r="Y36" s="191"/>
      <c r="Z36" s="191"/>
    </row>
    <row r="37">
      <c r="A37" s="191"/>
      <c r="B37" s="191"/>
      <c r="C37" s="191"/>
      <c r="D37" s="191"/>
      <c r="E37" s="191"/>
      <c r="F37" s="191"/>
      <c r="G37" s="191"/>
      <c r="H37" s="191"/>
      <c r="I37" s="191"/>
      <c r="J37" s="191"/>
      <c r="K37" s="191"/>
      <c r="L37" s="191"/>
      <c r="M37" s="191"/>
      <c r="N37" s="191"/>
      <c r="O37" s="191"/>
      <c r="P37" s="191"/>
      <c r="Q37" s="191"/>
      <c r="R37" s="191"/>
      <c r="S37" s="191"/>
      <c r="T37" s="191"/>
      <c r="U37" s="191"/>
      <c r="V37" s="191"/>
      <c r="W37" s="191"/>
      <c r="X37" s="191"/>
      <c r="Y37" s="191"/>
      <c r="Z37" s="191"/>
    </row>
    <row r="38">
      <c r="A38" s="191"/>
      <c r="B38" s="191"/>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row>
    <row r="39">
      <c r="A39" s="191"/>
      <c r="B39" s="191"/>
      <c r="C39" s="191"/>
      <c r="D39" s="191"/>
      <c r="E39" s="191"/>
      <c r="F39" s="191"/>
      <c r="G39" s="191"/>
      <c r="H39" s="191"/>
      <c r="I39" s="191"/>
      <c r="J39" s="191"/>
      <c r="K39" s="191"/>
      <c r="L39" s="191"/>
      <c r="M39" s="191"/>
      <c r="N39" s="191"/>
      <c r="O39" s="191"/>
      <c r="P39" s="191"/>
      <c r="Q39" s="191"/>
      <c r="R39" s="191"/>
      <c r="S39" s="191"/>
      <c r="T39" s="191"/>
      <c r="U39" s="191"/>
      <c r="V39" s="191"/>
      <c r="W39" s="191"/>
      <c r="X39" s="191"/>
      <c r="Y39" s="191"/>
      <c r="Z39" s="191"/>
    </row>
    <row r="40">
      <c r="A40" s="191"/>
      <c r="B40" s="191"/>
      <c r="C40" s="191"/>
      <c r="D40" s="191"/>
      <c r="E40" s="191"/>
      <c r="F40" s="191"/>
      <c r="G40" s="191"/>
      <c r="H40" s="191"/>
      <c r="I40" s="191"/>
      <c r="J40" s="191"/>
      <c r="K40" s="191"/>
      <c r="L40" s="191"/>
      <c r="M40" s="191"/>
      <c r="N40" s="191"/>
      <c r="O40" s="191"/>
      <c r="P40" s="191"/>
      <c r="Q40" s="191"/>
      <c r="R40" s="191"/>
      <c r="S40" s="191"/>
      <c r="T40" s="191"/>
      <c r="U40" s="191"/>
      <c r="V40" s="191"/>
      <c r="W40" s="191"/>
      <c r="X40" s="191"/>
      <c r="Y40" s="191"/>
      <c r="Z40" s="191"/>
    </row>
    <row r="41">
      <c r="A41" s="191"/>
      <c r="B41" s="191"/>
      <c r="C41" s="191"/>
      <c r="D41" s="191"/>
      <c r="E41" s="191"/>
      <c r="F41" s="191"/>
      <c r="G41" s="191"/>
      <c r="H41" s="191"/>
      <c r="I41" s="191"/>
      <c r="J41" s="191"/>
      <c r="K41" s="191"/>
      <c r="L41" s="191"/>
      <c r="M41" s="191"/>
      <c r="N41" s="191"/>
      <c r="O41" s="191"/>
      <c r="P41" s="191"/>
      <c r="Q41" s="191"/>
      <c r="R41" s="191"/>
      <c r="S41" s="191"/>
      <c r="T41" s="191"/>
      <c r="U41" s="191"/>
      <c r="V41" s="191"/>
      <c r="W41" s="191"/>
      <c r="X41" s="191"/>
      <c r="Y41" s="191"/>
      <c r="Z41" s="191"/>
    </row>
    <row r="42">
      <c r="A42" s="191"/>
      <c r="B42" s="191"/>
      <c r="C42" s="191"/>
      <c r="D42" s="191"/>
      <c r="E42" s="191"/>
      <c r="F42" s="191"/>
      <c r="G42" s="191"/>
      <c r="H42" s="191"/>
      <c r="I42" s="191"/>
      <c r="J42" s="191"/>
      <c r="K42" s="191"/>
      <c r="L42" s="191"/>
      <c r="M42" s="191"/>
      <c r="N42" s="191"/>
      <c r="O42" s="191"/>
      <c r="P42" s="191"/>
      <c r="Q42" s="191"/>
      <c r="R42" s="191"/>
      <c r="S42" s="191"/>
      <c r="T42" s="191"/>
      <c r="U42" s="191"/>
      <c r="V42" s="191"/>
      <c r="W42" s="191"/>
      <c r="X42" s="191"/>
      <c r="Y42" s="191"/>
      <c r="Z42" s="191"/>
    </row>
    <row r="43">
      <c r="A43" s="191"/>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row>
    <row r="44">
      <c r="A44" s="191"/>
      <c r="B44" s="191"/>
      <c r="C44" s="191"/>
      <c r="D44" s="191"/>
      <c r="E44" s="191"/>
      <c r="F44" s="191"/>
      <c r="G44" s="191"/>
      <c r="H44" s="191"/>
      <c r="I44" s="191"/>
      <c r="J44" s="191"/>
      <c r="K44" s="191"/>
      <c r="L44" s="191"/>
      <c r="M44" s="191"/>
      <c r="N44" s="191"/>
      <c r="O44" s="191"/>
      <c r="P44" s="191"/>
      <c r="Q44" s="191"/>
      <c r="R44" s="191"/>
      <c r="S44" s="191"/>
      <c r="T44" s="191"/>
      <c r="U44" s="191"/>
      <c r="V44" s="191"/>
      <c r="W44" s="191"/>
      <c r="X44" s="191"/>
      <c r="Y44" s="191"/>
      <c r="Z44" s="191"/>
    </row>
  </sheetData>
  <mergeCells count="1">
    <mergeCell ref="A1:J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8" t="str">
        <f>IFERROR(__xludf.DUMMYFUNCTION("IMPORTRANGE(""https://docs.google.com/spreadsheets/d/1FQqpeRfkXVwaEDSVi3oTaQNs2PLLDcsvQQmc-k0L3ws/edit#gid=0"",""item!A:Z"")"),"A_INT_id")</f>
        <v>A_INT_id</v>
      </c>
      <c r="B1" s="148" t="str">
        <f>IFERROR(__xludf.DUMMYFUNCTION("""COMPUTED_VALUE"""),"S_STR_comment")</f>
        <v>S_STR_comment</v>
      </c>
      <c r="C1" s="148" t="str">
        <f>IFERROR(__xludf.DUMMYFUNCTION("""COMPUTED_VALUE"""),"A_STR_constant")</f>
        <v>A_STR_constant</v>
      </c>
      <c r="D1" s="148" t="str">
        <f>IFERROR(__xludf.DUMMYFUNCTION("""COMPUTED_VALUE"""),"A_STR_class")</f>
        <v>A_STR_class</v>
      </c>
      <c r="E1" s="148" t="str">
        <f>IFERROR(__xludf.DUMMYFUNCTION("""COMPUTED_VALUE"""),"A_INT_quest_class")</f>
        <v>A_INT_quest_class</v>
      </c>
      <c r="F1" s="148" t="str">
        <f>IFERROR(__xludf.DUMMYFUNCTION("""COMPUTED_VALUE"""),"C_INT_display_order")</f>
        <v>C_INT_display_order</v>
      </c>
      <c r="G1" s="148" t="str">
        <f>IFERROR(__xludf.DUMMYFUNCTION("""COMPUTED_VALUE"""),"C_INT_display_key")</f>
        <v>C_INT_display_key</v>
      </c>
      <c r="H1" s="148" t="str">
        <f>IFERROR(__xludf.DUMMYFUNCTION("""COMPUTED_VALUE"""),"C_INT_display_quality")</f>
        <v>C_INT_display_quality</v>
      </c>
      <c r="I1" s="148" t="str">
        <f>IFERROR(__xludf.DUMMYFUNCTION("""COMPUTED_VALUE"""),"C_MAP_lc_upper_show")</f>
        <v>C_MAP_lc_upper_show</v>
      </c>
      <c r="J1" s="148" t="str">
        <f>IFERROR(__xludf.DUMMYFUNCTION("""COMPUTED_VALUE"""),"A_MAP_lc_name")</f>
        <v>A_MAP_lc_name</v>
      </c>
      <c r="K1" s="148" t="str">
        <f>IFERROR(__xludf.DUMMYFUNCTION("""COMPUTED_VALUE"""),"C_MAP_lc_desc")</f>
        <v>C_MAP_lc_desc</v>
      </c>
      <c r="L1" s="148" t="str">
        <f>IFERROR(__xludf.DUMMYFUNCTION("""COMPUTED_VALUE"""),"C_MAP_lc_usetip")</f>
        <v>C_MAP_lc_usetip</v>
      </c>
      <c r="M1" s="148" t="str">
        <f>IFERROR(__xludf.DUMMYFUNCTION("""COMPUTED_VALUE"""),"A_FLT_value")</f>
        <v>A_FLT_value</v>
      </c>
      <c r="N1" s="148" t="str">
        <f>IFERROR(__xludf.DUMMYFUNCTION("""COMPUTED_VALUE"""),"A_INT_max_own")</f>
        <v>A_INT_max_own</v>
      </c>
      <c r="O1" s="148" t="str">
        <f>IFERROR(__xludf.DUMMYFUNCTION("""COMPUTED_VALUE"""),"A_INT_max_get")</f>
        <v>A_INT_max_get</v>
      </c>
      <c r="P1" s="148" t="str">
        <f>IFERROR(__xludf.DUMMYFUNCTION("""COMPUTED_VALUE"""),"A_INT_max_use")</f>
        <v>A_INT_max_use</v>
      </c>
      <c r="Q1" s="148" t="str">
        <f>IFERROR(__xludf.DUMMYFUNCTION("""COMPUTED_VALUE"""),"C_ARR_display_labels")</f>
        <v>C_ARR_display_labels</v>
      </c>
      <c r="R1" s="148" t="str">
        <f>IFERROR(__xludf.DUMMYFUNCTION("""COMPUTED_VALUE"""),"A_ARR_use_labels")</f>
        <v>A_ARR_use_labels</v>
      </c>
      <c r="S1" s="148" t="str">
        <f>IFERROR(__xludf.DUMMYFUNCTION("""COMPUTED_VALUE"""),"A_MAP_category_param")</f>
        <v>A_MAP_category_param</v>
      </c>
      <c r="T1" s="148" t="str">
        <f>IFERROR(__xludf.DUMMYFUNCTION("""COMPUTED_VALUE"""),"A_INT_fixed_use")</f>
        <v>A_INT_fixed_use</v>
      </c>
      <c r="U1" s="148" t="str">
        <f>IFERROR(__xludf.DUMMYFUNCTION("""COMPUTED_VALUE"""),"S_INT_use_now")</f>
        <v>S_INT_use_now</v>
      </c>
      <c r="V1" s="148" t="str">
        <f>IFERROR(__xludf.DUMMYFUNCTION("""COMPUTED_VALUE"""),"C_ARR_drop_display")</f>
        <v>C_ARR_drop_display</v>
      </c>
      <c r="W1" s="148" t="str">
        <f>IFERROR(__xludf.DUMMYFUNCTION("""COMPUTED_VALUE"""),"A_INT_source")</f>
        <v>A_INT_source</v>
      </c>
      <c r="X1" s="148" t="str">
        <f>IFERROR(__xludf.DUMMYFUNCTION("""COMPUTED_VALUE"""),"A_INT_get_access_group")</f>
        <v>A_INT_get_access_group</v>
      </c>
      <c r="Y1" s="148" t="str">
        <f>IFERROR(__xludf.DUMMYFUNCTION("""COMPUTED_VALUE"""),"A_INT_country_use_type")</f>
        <v>A_INT_country_use_type</v>
      </c>
      <c r="Z1" s="148"/>
    </row>
    <row r="2">
      <c r="A2" s="148">
        <f>IFERROR(__xludf.DUMMYFUNCTION("""COMPUTED_VALUE"""),1.1111E7)</f>
        <v>11111000</v>
      </c>
      <c r="B2" s="148" t="str">
        <f>IFERROR(__xludf.DUMMYFUNCTION("""COMPUTED_VALUE"""),"兼容-未知道具")</f>
        <v>兼容-未知道具</v>
      </c>
      <c r="C2" s="148"/>
      <c r="D2" s="148">
        <f>IFERROR(__xludf.DUMMYFUNCTION("""COMPUTED_VALUE"""),0.0)</f>
        <v>0</v>
      </c>
      <c r="E2" s="148">
        <f>IFERROR(__xludf.DUMMYFUNCTION("""COMPUTED_VALUE"""),0.0)</f>
        <v>0</v>
      </c>
      <c r="F2" s="148">
        <f>IFERROR(__xludf.DUMMYFUNCTION("""COMPUTED_VALUE"""),0.0)</f>
        <v>0</v>
      </c>
      <c r="G2" s="148">
        <f>IFERROR(__xludf.DUMMYFUNCTION("""COMPUTED_VALUE"""),1.5112778E7)</f>
        <v>15112778</v>
      </c>
      <c r="H2" s="148">
        <f>IFERROR(__xludf.DUMMYFUNCTION("""COMPUTED_VALUE"""),1.5112564E7)</f>
        <v>15112564</v>
      </c>
      <c r="I2" s="148" t="str">
        <f>IFERROR(__xludf.DUMMYFUNCTION("""COMPUTED_VALUE"""),"{}")</f>
        <v>{}</v>
      </c>
      <c r="J2" s="148" t="str">
        <f>IFERROR(__xludf.DUMMYFUNCTION("""COMPUTED_VALUE"""),"{}")</f>
        <v>{}</v>
      </c>
      <c r="K2" s="148" t="str">
        <f>IFERROR(__xludf.DUMMYFUNCTION("""COMPUTED_VALUE"""),"{}")</f>
        <v>{}</v>
      </c>
      <c r="L2" s="148" t="str">
        <f>IFERROR(__xludf.DUMMYFUNCTION("""COMPUTED_VALUE"""),"{}")</f>
        <v>{}</v>
      </c>
      <c r="M2" s="148">
        <f>IFERROR(__xludf.DUMMYFUNCTION("""COMPUTED_VALUE"""),0.0)</f>
        <v>0</v>
      </c>
      <c r="N2" s="148">
        <f>IFERROR(__xludf.DUMMYFUNCTION("""COMPUTED_VALUE"""),999999.0)</f>
        <v>999999</v>
      </c>
      <c r="O2" s="148">
        <f>IFERROR(__xludf.DUMMYFUNCTION("""COMPUTED_VALUE"""),99999.0)</f>
        <v>99999</v>
      </c>
      <c r="P2" s="148">
        <f>IFERROR(__xludf.DUMMYFUNCTION("""COMPUTED_VALUE"""),99999.0)</f>
        <v>99999</v>
      </c>
      <c r="Q2" s="148" t="str">
        <f>IFERROR(__xludf.DUMMYFUNCTION("""COMPUTED_VALUE"""),"[]")</f>
        <v>[]</v>
      </c>
      <c r="R2" s="148" t="str">
        <f>IFERROR(__xludf.DUMMYFUNCTION("""COMPUTED_VALUE"""),"[]")</f>
        <v>[]</v>
      </c>
      <c r="S2" s="148" t="str">
        <f>IFERROR(__xludf.DUMMYFUNCTION("""COMPUTED_VALUE"""),"{}")</f>
        <v>{}</v>
      </c>
      <c r="T2" s="148">
        <f>IFERROR(__xludf.DUMMYFUNCTION("""COMPUTED_VALUE"""),-1.0)</f>
        <v>-1</v>
      </c>
      <c r="U2" s="148">
        <f>IFERROR(__xludf.DUMMYFUNCTION("""COMPUTED_VALUE"""),0.0)</f>
        <v>0</v>
      </c>
      <c r="V2" s="148" t="str">
        <f>IFERROR(__xludf.DUMMYFUNCTION("""COMPUTED_VALUE"""),"[]")</f>
        <v>[]</v>
      </c>
      <c r="W2" s="148">
        <f>IFERROR(__xludf.DUMMYFUNCTION("""COMPUTED_VALUE"""),1.174E7)</f>
        <v>11740000</v>
      </c>
      <c r="X2" s="148">
        <f>IFERROR(__xludf.DUMMYFUNCTION("""COMPUTED_VALUE"""),0.0)</f>
        <v>0</v>
      </c>
      <c r="Y2" s="148">
        <f>IFERROR(__xludf.DUMMYFUNCTION("""COMPUTED_VALUE"""),0.0)</f>
        <v>0</v>
      </c>
      <c r="Z2" s="148"/>
    </row>
    <row r="3">
      <c r="A3" s="148">
        <f>IFERROR(__xludf.DUMMYFUNCTION("""COMPUTED_VALUE"""),1.1111001E7)</f>
        <v>11111001</v>
      </c>
      <c r="B3" s="148" t="str">
        <f>IFERROR(__xludf.DUMMYFUNCTION("""COMPUTED_VALUE"""),"10,000粮食")</f>
        <v>10,000粮食</v>
      </c>
      <c r="C3" s="148"/>
      <c r="D3" s="148" t="str">
        <f>IFERROR(__xludf.DUMMYFUNCTION("""COMPUTED_VALUE"""),"item_rss")</f>
        <v>item_rss</v>
      </c>
      <c r="E3" s="148">
        <f>IFERROR(__xludf.DUMMYFUNCTION("""COMPUTED_VALUE"""),1.0)</f>
        <v>1</v>
      </c>
      <c r="F3" s="148">
        <f>IFERROR(__xludf.DUMMYFUNCTION("""COMPUTED_VALUE"""),105205.0)</f>
        <v>105205</v>
      </c>
      <c r="G3" s="148">
        <f>IFERROR(__xludf.DUMMYFUNCTION("""COMPUTED_VALUE"""),1.5112577E7)</f>
        <v>15112577</v>
      </c>
      <c r="H3" s="148">
        <f>IFERROR(__xludf.DUMMYFUNCTION("""COMPUTED_VALUE"""),1.5112561E7)</f>
        <v>15112561</v>
      </c>
      <c r="I3" s="148" t="str">
        <f>IFERROR(__xludf.DUMMYFUNCTION("""COMPUTED_VALUE"""),"{""typ"":""lc"",""txt"":""LC_ITEM_rss_upper_show"",""args"":[{""typ"":""int_unit"",""val"":10000}]}")</f>
        <v>{"typ":"lc","txt":"LC_ITEM_rss_upper_show","args":[{"typ":"int_unit","val":10000}]}</v>
      </c>
      <c r="J3" s="148" t="str">
        <f>IFERROR(__xludf.DUMMYFUNCTION("""COMPUTED_VALUE"""),"{""typ"":""lc"",""txt"":""LC_ITEM_add_food_name"",""args"":[{""typ"":""int"",""val"":10000}]}")</f>
        <v>{"typ":"lc","txt":"LC_ITEM_add_food_name","args":[{"typ":"int","val":10000}]}</v>
      </c>
      <c r="K3" s="148" t="str">
        <f>IFERROR(__xludf.DUMMYFUNCTION("""COMPUTED_VALUE"""),"{""typ"":""lc"",""txt"":""LC_ITEM_add_food_desc"",""args"":[{""typ"":""int"",""val"":10000}]}")</f>
        <v>{"typ":"lc","txt":"LC_ITEM_add_food_desc","args":[{"typ":"int","val":10000}]}</v>
      </c>
      <c r="L3" s="148" t="str">
        <f>IFERROR(__xludf.DUMMYFUNCTION("""COMPUTED_VALUE"""),"{""typ"":""lc"",""txt"":""LC_ITEM_add_food_usedtip"",""args"":[{""typ"":""int"",""val"":10000}]}")</f>
        <v>{"typ":"lc","txt":"LC_ITEM_add_food_usedtip","args":[{"typ":"int","val":10000}]}</v>
      </c>
      <c r="M3" s="148">
        <f>IFERROR(__xludf.DUMMYFUNCTION("""COMPUTED_VALUE"""),25.0)</f>
        <v>25</v>
      </c>
      <c r="N3" s="148">
        <f>IFERROR(__xludf.DUMMYFUNCTION("""COMPUTED_VALUE"""),999999.0)</f>
        <v>999999</v>
      </c>
      <c r="O3" s="148">
        <f>IFERROR(__xludf.DUMMYFUNCTION("""COMPUTED_VALUE"""),99999.0)</f>
        <v>99999</v>
      </c>
      <c r="P3" s="148">
        <f>IFERROR(__xludf.DUMMYFUNCTION("""COMPUTED_VALUE"""),99999.0)</f>
        <v>99999</v>
      </c>
      <c r="Q3" s="148" t="str">
        <f>IFERROR(__xludf.DUMMYFUNCTION("""COMPUTED_VALUE"""),"[""bag_asset"",""rss_food""]")</f>
        <v>["bag_asset","rss_food"]</v>
      </c>
      <c r="R3" s="148" t="str">
        <f>IFERROR(__xludf.DUMMYFUNCTION("""COMPUTED_VALUE"""),"[""bag"",""rss_food""]")</f>
        <v>["bag","rss_food"]</v>
      </c>
      <c r="S3" s="148" t="str">
        <f>IFERROR(__xludf.DUMMYFUNCTION("""COMPUTED_VALUE"""),"{""effect"":[{""typ"":""rss"",""id"":11141001,""val"":10000}]}")</f>
        <v>{"effect":[{"typ":"rss","id":11141001,"val":10000}]}</v>
      </c>
      <c r="T3" s="148">
        <f>IFERROR(__xludf.DUMMYFUNCTION("""COMPUTED_VALUE"""),-1.0)</f>
        <v>-1</v>
      </c>
      <c r="U3" s="148">
        <f>IFERROR(__xludf.DUMMYFUNCTION("""COMPUTED_VALUE"""),0.0)</f>
        <v>0</v>
      </c>
      <c r="V3" s="148" t="str">
        <f>IFERROR(__xludf.DUMMYFUNCTION("""COMPUTED_VALUE"""),"[]")</f>
        <v>[]</v>
      </c>
      <c r="W3" s="148">
        <f>IFERROR(__xludf.DUMMYFUNCTION("""COMPUTED_VALUE"""),1.1741001E7)</f>
        <v>11741001</v>
      </c>
      <c r="X3" s="148">
        <f>IFERROR(__xludf.DUMMYFUNCTION("""COMPUTED_VALUE"""),0.0)</f>
        <v>0</v>
      </c>
      <c r="Y3" s="148">
        <f>IFERROR(__xludf.DUMMYFUNCTION("""COMPUTED_VALUE"""),0.0)</f>
        <v>0</v>
      </c>
      <c r="Z3" s="148"/>
    </row>
    <row r="4">
      <c r="A4" s="148">
        <f>IFERROR(__xludf.DUMMYFUNCTION("""COMPUTED_VALUE"""),1.1111002E7)</f>
        <v>11111002</v>
      </c>
      <c r="B4" s="148" t="str">
        <f>IFERROR(__xludf.DUMMYFUNCTION("""COMPUTED_VALUE"""),"50,000粮食")</f>
        <v>50,000粮食</v>
      </c>
      <c r="C4" s="148"/>
      <c r="D4" s="148" t="str">
        <f>IFERROR(__xludf.DUMMYFUNCTION("""COMPUTED_VALUE"""),"item_rss")</f>
        <v>item_rss</v>
      </c>
      <c r="E4" s="148">
        <f>IFERROR(__xludf.DUMMYFUNCTION("""COMPUTED_VALUE"""),1.0)</f>
        <v>1</v>
      </c>
      <c r="F4" s="148">
        <f>IFERROR(__xludf.DUMMYFUNCTION("""COMPUTED_VALUE"""),105206.0)</f>
        <v>105206</v>
      </c>
      <c r="G4" s="148">
        <f>IFERROR(__xludf.DUMMYFUNCTION("""COMPUTED_VALUE"""),1.5112577E7)</f>
        <v>15112577</v>
      </c>
      <c r="H4" s="148">
        <f>IFERROR(__xludf.DUMMYFUNCTION("""COMPUTED_VALUE"""),1.5112561E7)</f>
        <v>15112561</v>
      </c>
      <c r="I4" s="148" t="str">
        <f>IFERROR(__xludf.DUMMYFUNCTION("""COMPUTED_VALUE"""),"{""typ"":""lc"",""txt"":""LC_ITEM_rss_upper_show"",""args"":[{""typ"":""int_unit"",""val"":50000}]}")</f>
        <v>{"typ":"lc","txt":"LC_ITEM_rss_upper_show","args":[{"typ":"int_unit","val":50000}]}</v>
      </c>
      <c r="J4" s="148" t="str">
        <f>IFERROR(__xludf.DUMMYFUNCTION("""COMPUTED_VALUE"""),"{""typ"":""lc"",""txt"":""LC_ITEM_add_food_name"",""args"":[{""typ"":""int"",""val"":50000}]}")</f>
        <v>{"typ":"lc","txt":"LC_ITEM_add_food_name","args":[{"typ":"int","val":50000}]}</v>
      </c>
      <c r="K4" s="148" t="str">
        <f>IFERROR(__xludf.DUMMYFUNCTION("""COMPUTED_VALUE"""),"{""typ"":""lc"",""txt"":""LC_ITEM_add_food_desc"",""args"":[{""typ"":""int"",""val"":50000}]}")</f>
        <v>{"typ":"lc","txt":"LC_ITEM_add_food_desc","args":[{"typ":"int","val":50000}]}</v>
      </c>
      <c r="L4" s="148" t="str">
        <f>IFERROR(__xludf.DUMMYFUNCTION("""COMPUTED_VALUE"""),"{""typ"":""lc"",""txt"":""LC_ITEM_add_food_usedtip"",""args"":[{""typ"":""int"",""val"":50000}]}")</f>
        <v>{"typ":"lc","txt":"LC_ITEM_add_food_usedtip","args":[{"typ":"int","val":50000}]}</v>
      </c>
      <c r="M4" s="148">
        <f>IFERROR(__xludf.DUMMYFUNCTION("""COMPUTED_VALUE"""),100.0)</f>
        <v>100</v>
      </c>
      <c r="N4" s="148">
        <f>IFERROR(__xludf.DUMMYFUNCTION("""COMPUTED_VALUE"""),999999.0)</f>
        <v>999999</v>
      </c>
      <c r="O4" s="148">
        <f>IFERROR(__xludf.DUMMYFUNCTION("""COMPUTED_VALUE"""),99999.0)</f>
        <v>99999</v>
      </c>
      <c r="P4" s="148">
        <f>IFERROR(__xludf.DUMMYFUNCTION("""COMPUTED_VALUE"""),99999.0)</f>
        <v>99999</v>
      </c>
      <c r="Q4" s="148" t="str">
        <f>IFERROR(__xludf.DUMMYFUNCTION("""COMPUTED_VALUE"""),"[""bag_asset"",""rss_food""]")</f>
        <v>["bag_asset","rss_food"]</v>
      </c>
      <c r="R4" s="148" t="str">
        <f>IFERROR(__xludf.DUMMYFUNCTION("""COMPUTED_VALUE"""),"[""bag"",""rss_food""]")</f>
        <v>["bag","rss_food"]</v>
      </c>
      <c r="S4" s="148" t="str">
        <f>IFERROR(__xludf.DUMMYFUNCTION("""COMPUTED_VALUE"""),"{""effect"":[{""typ"":""rss"",""id"":11141001,""val"":50000}]}")</f>
        <v>{"effect":[{"typ":"rss","id":11141001,"val":50000}]}</v>
      </c>
      <c r="T4" s="148">
        <f>IFERROR(__xludf.DUMMYFUNCTION("""COMPUTED_VALUE"""),-1.0)</f>
        <v>-1</v>
      </c>
      <c r="U4" s="148">
        <f>IFERROR(__xludf.DUMMYFUNCTION("""COMPUTED_VALUE"""),0.0)</f>
        <v>0</v>
      </c>
      <c r="V4" s="148" t="str">
        <f>IFERROR(__xludf.DUMMYFUNCTION("""COMPUTED_VALUE"""),"[]")</f>
        <v>[]</v>
      </c>
      <c r="W4" s="148">
        <f>IFERROR(__xludf.DUMMYFUNCTION("""COMPUTED_VALUE"""),1.1741001E7)</f>
        <v>11741001</v>
      </c>
      <c r="X4" s="148">
        <f>IFERROR(__xludf.DUMMYFUNCTION("""COMPUTED_VALUE"""),0.0)</f>
        <v>0</v>
      </c>
      <c r="Y4" s="148">
        <f>IFERROR(__xludf.DUMMYFUNCTION("""COMPUTED_VALUE"""),0.0)</f>
        <v>0</v>
      </c>
      <c r="Z4" s="148"/>
    </row>
    <row r="5">
      <c r="A5" s="148">
        <f>IFERROR(__xludf.DUMMYFUNCTION("""COMPUTED_VALUE"""),1.1111003E7)</f>
        <v>11111003</v>
      </c>
      <c r="B5" s="148" t="str">
        <f>IFERROR(__xludf.DUMMYFUNCTION("""COMPUTED_VALUE"""),"150,000粮食")</f>
        <v>150,000粮食</v>
      </c>
      <c r="C5" s="148"/>
      <c r="D5" s="148" t="str">
        <f>IFERROR(__xludf.DUMMYFUNCTION("""COMPUTED_VALUE"""),"item_rss")</f>
        <v>item_rss</v>
      </c>
      <c r="E5" s="148">
        <f>IFERROR(__xludf.DUMMYFUNCTION("""COMPUTED_VALUE"""),1.0)</f>
        <v>1</v>
      </c>
      <c r="F5" s="148">
        <f>IFERROR(__xludf.DUMMYFUNCTION("""COMPUTED_VALUE"""),105307.0)</f>
        <v>105307</v>
      </c>
      <c r="G5" s="148">
        <f>IFERROR(__xludf.DUMMYFUNCTION("""COMPUTED_VALUE"""),1.5112577E7)</f>
        <v>15112577</v>
      </c>
      <c r="H5" s="148">
        <f>IFERROR(__xludf.DUMMYFUNCTION("""COMPUTED_VALUE"""),1.5112562E7)</f>
        <v>15112562</v>
      </c>
      <c r="I5" s="148" t="str">
        <f>IFERROR(__xludf.DUMMYFUNCTION("""COMPUTED_VALUE"""),"{""typ"":""lc"",""txt"":""LC_ITEM_rss_upper_show"",""args"":[{""typ"":""int_unit"",""val"":150000}]}")</f>
        <v>{"typ":"lc","txt":"LC_ITEM_rss_upper_show","args":[{"typ":"int_unit","val":150000}]}</v>
      </c>
      <c r="J5" s="148" t="str">
        <f>IFERROR(__xludf.DUMMYFUNCTION("""COMPUTED_VALUE"""),"{""typ"":""lc"",""txt"":""LC_ITEM_add_food_name"",""args"":[{""typ"":""int"",""val"":150000}]}")</f>
        <v>{"typ":"lc","txt":"LC_ITEM_add_food_name","args":[{"typ":"int","val":150000}]}</v>
      </c>
      <c r="K5" s="148" t="str">
        <f>IFERROR(__xludf.DUMMYFUNCTION("""COMPUTED_VALUE"""),"{""typ"":""lc"",""txt"":""LC_ITEM_add_food_desc"",""args"":[{""typ"":""int"",""val"":150000}]}")</f>
        <v>{"typ":"lc","txt":"LC_ITEM_add_food_desc","args":[{"typ":"int","val":150000}]}</v>
      </c>
      <c r="L5" s="148" t="str">
        <f>IFERROR(__xludf.DUMMYFUNCTION("""COMPUTED_VALUE"""),"{""typ"":""lc"",""txt"":""LC_ITEM_add_food_usedtip"",""args"":[{""typ"":""int"",""val"":150000}]}")</f>
        <v>{"typ":"lc","txt":"LC_ITEM_add_food_usedtip","args":[{"typ":"int","val":150000}]}</v>
      </c>
      <c r="M5" s="148">
        <f>IFERROR(__xludf.DUMMYFUNCTION("""COMPUTED_VALUE"""),280.0)</f>
        <v>280</v>
      </c>
      <c r="N5" s="148">
        <f>IFERROR(__xludf.DUMMYFUNCTION("""COMPUTED_VALUE"""),999999.0)</f>
        <v>999999</v>
      </c>
      <c r="O5" s="148">
        <f>IFERROR(__xludf.DUMMYFUNCTION("""COMPUTED_VALUE"""),99999.0)</f>
        <v>99999</v>
      </c>
      <c r="P5" s="148">
        <f>IFERROR(__xludf.DUMMYFUNCTION("""COMPUTED_VALUE"""),99999.0)</f>
        <v>99999</v>
      </c>
      <c r="Q5" s="148" t="str">
        <f>IFERROR(__xludf.DUMMYFUNCTION("""COMPUTED_VALUE"""),"[""bag_asset"",""rss_food""]")</f>
        <v>["bag_asset","rss_food"]</v>
      </c>
      <c r="R5" s="148" t="str">
        <f>IFERROR(__xludf.DUMMYFUNCTION("""COMPUTED_VALUE"""),"[""bag"",""rss_food""]")</f>
        <v>["bag","rss_food"]</v>
      </c>
      <c r="S5" s="148" t="str">
        <f>IFERROR(__xludf.DUMMYFUNCTION("""COMPUTED_VALUE"""),"{""effect"":[{""typ"":""rss"",""id"":11141001,""val"":150000}]}")</f>
        <v>{"effect":[{"typ":"rss","id":11141001,"val":150000}]}</v>
      </c>
      <c r="T5" s="148">
        <f>IFERROR(__xludf.DUMMYFUNCTION("""COMPUTED_VALUE"""),-1.0)</f>
        <v>-1</v>
      </c>
      <c r="U5" s="148">
        <f>IFERROR(__xludf.DUMMYFUNCTION("""COMPUTED_VALUE"""),0.0)</f>
        <v>0</v>
      </c>
      <c r="V5" s="148" t="str">
        <f>IFERROR(__xludf.DUMMYFUNCTION("""COMPUTED_VALUE"""),"[]")</f>
        <v>[]</v>
      </c>
      <c r="W5" s="148">
        <f>IFERROR(__xludf.DUMMYFUNCTION("""COMPUTED_VALUE"""),1.1741001E7)</f>
        <v>11741001</v>
      </c>
      <c r="X5" s="148">
        <f>IFERROR(__xludf.DUMMYFUNCTION("""COMPUTED_VALUE"""),0.0)</f>
        <v>0</v>
      </c>
      <c r="Y5" s="148">
        <f>IFERROR(__xludf.DUMMYFUNCTION("""COMPUTED_VALUE"""),0.0)</f>
        <v>0</v>
      </c>
      <c r="Z5" s="148"/>
    </row>
    <row r="6">
      <c r="A6" s="148">
        <f>IFERROR(__xludf.DUMMYFUNCTION("""COMPUTED_VALUE"""),1.1111004E7)</f>
        <v>11111004</v>
      </c>
      <c r="B6" s="148" t="str">
        <f>IFERROR(__xludf.DUMMYFUNCTION("""COMPUTED_VALUE"""),"500,000粮食")</f>
        <v>500,000粮食</v>
      </c>
      <c r="C6" s="148"/>
      <c r="D6" s="148" t="str">
        <f>IFERROR(__xludf.DUMMYFUNCTION("""COMPUTED_VALUE"""),"item_rss")</f>
        <v>item_rss</v>
      </c>
      <c r="E6" s="148">
        <f>IFERROR(__xludf.DUMMYFUNCTION("""COMPUTED_VALUE"""),1.0)</f>
        <v>1</v>
      </c>
      <c r="F6" s="148">
        <f>IFERROR(__xludf.DUMMYFUNCTION("""COMPUTED_VALUE"""),105308.0)</f>
        <v>105308</v>
      </c>
      <c r="G6" s="148">
        <f>IFERROR(__xludf.DUMMYFUNCTION("""COMPUTED_VALUE"""),1.5112577E7)</f>
        <v>15112577</v>
      </c>
      <c r="H6" s="148">
        <f>IFERROR(__xludf.DUMMYFUNCTION("""COMPUTED_VALUE"""),1.5112562E7)</f>
        <v>15112562</v>
      </c>
      <c r="I6" s="148" t="str">
        <f>IFERROR(__xludf.DUMMYFUNCTION("""COMPUTED_VALUE"""),"{""typ"":""lc"",""txt"":""LC_ITEM_rss_upper_show"",""args"":[{""typ"":""int_unit"",""val"":500000}]}")</f>
        <v>{"typ":"lc","txt":"LC_ITEM_rss_upper_show","args":[{"typ":"int_unit","val":500000}]}</v>
      </c>
      <c r="J6" s="148" t="str">
        <f>IFERROR(__xludf.DUMMYFUNCTION("""COMPUTED_VALUE"""),"{""typ"":""lc"",""txt"":""LC_ITEM_add_food_name"",""args"":[{""typ"":""int"",""val"":500000}]}")</f>
        <v>{"typ":"lc","txt":"LC_ITEM_add_food_name","args":[{"typ":"int","val":500000}]}</v>
      </c>
      <c r="K6" s="148" t="str">
        <f>IFERROR(__xludf.DUMMYFUNCTION("""COMPUTED_VALUE"""),"{""typ"":""lc"",""txt"":""LC_ITEM_add_food_desc"",""args"":[{""typ"":""int"",""val"":500000}]}")</f>
        <v>{"typ":"lc","txt":"LC_ITEM_add_food_desc","args":[{"typ":"int","val":500000}]}</v>
      </c>
      <c r="L6" s="148" t="str">
        <f>IFERROR(__xludf.DUMMYFUNCTION("""COMPUTED_VALUE"""),"{""typ"":""lc"",""txt"":""LC_ITEM_add_food_usedtip"",""args"":[{""typ"":""int"",""val"":500000}]}")</f>
        <v>{"typ":"lc","txt":"LC_ITEM_add_food_usedtip","args":[{"typ":"int","val":500000}]}</v>
      </c>
      <c r="M6" s="148">
        <f>IFERROR(__xludf.DUMMYFUNCTION("""COMPUTED_VALUE"""),850.0)</f>
        <v>850</v>
      </c>
      <c r="N6" s="148">
        <f>IFERROR(__xludf.DUMMYFUNCTION("""COMPUTED_VALUE"""),999999.0)</f>
        <v>999999</v>
      </c>
      <c r="O6" s="148">
        <f>IFERROR(__xludf.DUMMYFUNCTION("""COMPUTED_VALUE"""),99999.0)</f>
        <v>99999</v>
      </c>
      <c r="P6" s="148">
        <f>IFERROR(__xludf.DUMMYFUNCTION("""COMPUTED_VALUE"""),99999.0)</f>
        <v>99999</v>
      </c>
      <c r="Q6" s="148" t="str">
        <f>IFERROR(__xludf.DUMMYFUNCTION("""COMPUTED_VALUE"""),"[""bag_asset"",""rss_food""]")</f>
        <v>["bag_asset","rss_food"]</v>
      </c>
      <c r="R6" s="148" t="str">
        <f>IFERROR(__xludf.DUMMYFUNCTION("""COMPUTED_VALUE"""),"[""bag"",""rss_food""]")</f>
        <v>["bag","rss_food"]</v>
      </c>
      <c r="S6" s="148" t="str">
        <f>IFERROR(__xludf.DUMMYFUNCTION("""COMPUTED_VALUE"""),"{""effect"":[{""typ"":""rss"",""id"":11141001,""val"":500000}]}")</f>
        <v>{"effect":[{"typ":"rss","id":11141001,"val":500000}]}</v>
      </c>
      <c r="T6" s="148">
        <f>IFERROR(__xludf.DUMMYFUNCTION("""COMPUTED_VALUE"""),-1.0)</f>
        <v>-1</v>
      </c>
      <c r="U6" s="148">
        <f>IFERROR(__xludf.DUMMYFUNCTION("""COMPUTED_VALUE"""),0.0)</f>
        <v>0</v>
      </c>
      <c r="V6" s="148" t="str">
        <f>IFERROR(__xludf.DUMMYFUNCTION("""COMPUTED_VALUE"""),"[]")</f>
        <v>[]</v>
      </c>
      <c r="W6" s="148">
        <f>IFERROR(__xludf.DUMMYFUNCTION("""COMPUTED_VALUE"""),1.1741001E7)</f>
        <v>11741001</v>
      </c>
      <c r="X6" s="148">
        <f>IFERROR(__xludf.DUMMYFUNCTION("""COMPUTED_VALUE"""),0.0)</f>
        <v>0</v>
      </c>
      <c r="Y6" s="148">
        <f>IFERROR(__xludf.DUMMYFUNCTION("""COMPUTED_VALUE"""),0.0)</f>
        <v>0</v>
      </c>
      <c r="Z6" s="148"/>
    </row>
    <row r="7">
      <c r="A7" s="148">
        <f>IFERROR(__xludf.DUMMYFUNCTION("""COMPUTED_VALUE"""),1.1111005E7)</f>
        <v>11111005</v>
      </c>
      <c r="B7" s="148" t="str">
        <f>IFERROR(__xludf.DUMMYFUNCTION("""COMPUTED_VALUE"""),"10,000钢铁")</f>
        <v>10,000钢铁</v>
      </c>
      <c r="C7" s="148"/>
      <c r="D7" s="148" t="str">
        <f>IFERROR(__xludf.DUMMYFUNCTION("""COMPUTED_VALUE"""),"item_rss")</f>
        <v>item_rss</v>
      </c>
      <c r="E7" s="148">
        <f>IFERROR(__xludf.DUMMYFUNCTION("""COMPUTED_VALUE"""),2.0)</f>
        <v>2</v>
      </c>
      <c r="F7" s="148">
        <f>IFERROR(__xludf.DUMMYFUNCTION("""COMPUTED_VALUE"""),106205.0)</f>
        <v>106205</v>
      </c>
      <c r="G7" s="148">
        <f>IFERROR(__xludf.DUMMYFUNCTION("""COMPUTED_VALUE"""),1.511258E7)</f>
        <v>15112580</v>
      </c>
      <c r="H7" s="148">
        <f>IFERROR(__xludf.DUMMYFUNCTION("""COMPUTED_VALUE"""),1.5112561E7)</f>
        <v>15112561</v>
      </c>
      <c r="I7" s="148" t="str">
        <f>IFERROR(__xludf.DUMMYFUNCTION("""COMPUTED_VALUE"""),"{""typ"":""lc"",""txt"":""LC_ITEM_rss_upper_show"",""args"":[{""typ"":""int_unit"",""val"":10000}]}")</f>
        <v>{"typ":"lc","txt":"LC_ITEM_rss_upper_show","args":[{"typ":"int_unit","val":10000}]}</v>
      </c>
      <c r="J7" s="148" t="str">
        <f>IFERROR(__xludf.DUMMYFUNCTION("""COMPUTED_VALUE"""),"{""typ"":""lc"",""txt"":""LC_ITEM_add_iron_name"",""args"":[{""typ"":""int"",""val"":10000}]}")</f>
        <v>{"typ":"lc","txt":"LC_ITEM_add_iron_name","args":[{"typ":"int","val":10000}]}</v>
      </c>
      <c r="K7" s="148" t="str">
        <f>IFERROR(__xludf.DUMMYFUNCTION("""COMPUTED_VALUE"""),"{""typ"":""lc"",""txt"":""LC_ITEM_add_iron_desc"",""args"":[{""typ"":""int"",""val"":10000}]}")</f>
        <v>{"typ":"lc","txt":"LC_ITEM_add_iron_desc","args":[{"typ":"int","val":10000}]}</v>
      </c>
      <c r="L7" s="148" t="str">
        <f>IFERROR(__xludf.DUMMYFUNCTION("""COMPUTED_VALUE"""),"{""typ"":""lc"",""txt"":""LC_ITEM_add_iron_usedtip"",""args"":[{""typ"":""int"",""val"":10000}]}")</f>
        <v>{"typ":"lc","txt":"LC_ITEM_add_iron_usedtip","args":[{"typ":"int","val":10000}]}</v>
      </c>
      <c r="M7" s="148">
        <f>IFERROR(__xludf.DUMMYFUNCTION("""COMPUTED_VALUE"""),25.0)</f>
        <v>25</v>
      </c>
      <c r="N7" s="148">
        <f>IFERROR(__xludf.DUMMYFUNCTION("""COMPUTED_VALUE"""),999999.0)</f>
        <v>999999</v>
      </c>
      <c r="O7" s="148">
        <f>IFERROR(__xludf.DUMMYFUNCTION("""COMPUTED_VALUE"""),99999.0)</f>
        <v>99999</v>
      </c>
      <c r="P7" s="148">
        <f>IFERROR(__xludf.DUMMYFUNCTION("""COMPUTED_VALUE"""),99999.0)</f>
        <v>99999</v>
      </c>
      <c r="Q7" s="148" t="str">
        <f>IFERROR(__xludf.DUMMYFUNCTION("""COMPUTED_VALUE"""),"[""bag_asset"",""rss_iron""]")</f>
        <v>["bag_asset","rss_iron"]</v>
      </c>
      <c r="R7" s="148" t="str">
        <f>IFERROR(__xludf.DUMMYFUNCTION("""COMPUTED_VALUE"""),"[""bag"",""rss_iron""]")</f>
        <v>["bag","rss_iron"]</v>
      </c>
      <c r="S7" s="148" t="str">
        <f>IFERROR(__xludf.DUMMYFUNCTION("""COMPUTED_VALUE"""),"{""effect"":[{""typ"":""rss"",""id"":11141003,""val"":10000}]}")</f>
        <v>{"effect":[{"typ":"rss","id":11141003,"val":10000}]}</v>
      </c>
      <c r="T7" s="148">
        <f>IFERROR(__xludf.DUMMYFUNCTION("""COMPUTED_VALUE"""),-1.0)</f>
        <v>-1</v>
      </c>
      <c r="U7" s="148">
        <f>IFERROR(__xludf.DUMMYFUNCTION("""COMPUTED_VALUE"""),0.0)</f>
        <v>0</v>
      </c>
      <c r="V7" s="148" t="str">
        <f>IFERROR(__xludf.DUMMYFUNCTION("""COMPUTED_VALUE"""),"[]")</f>
        <v>[]</v>
      </c>
      <c r="W7" s="148">
        <f>IFERROR(__xludf.DUMMYFUNCTION("""COMPUTED_VALUE"""),1.1741001E7)</f>
        <v>11741001</v>
      </c>
      <c r="X7" s="148">
        <f>IFERROR(__xludf.DUMMYFUNCTION("""COMPUTED_VALUE"""),0.0)</f>
        <v>0</v>
      </c>
      <c r="Y7" s="148">
        <f>IFERROR(__xludf.DUMMYFUNCTION("""COMPUTED_VALUE"""),0.0)</f>
        <v>0</v>
      </c>
      <c r="Z7" s="148"/>
    </row>
    <row r="8">
      <c r="A8" s="148">
        <f>IFERROR(__xludf.DUMMYFUNCTION("""COMPUTED_VALUE"""),1.1111006E7)</f>
        <v>11111006</v>
      </c>
      <c r="B8" s="148" t="str">
        <f>IFERROR(__xludf.DUMMYFUNCTION("""COMPUTED_VALUE"""),"50,000钢铁")</f>
        <v>50,000钢铁</v>
      </c>
      <c r="C8" s="148"/>
      <c r="D8" s="148" t="str">
        <f>IFERROR(__xludf.DUMMYFUNCTION("""COMPUTED_VALUE"""),"item_rss")</f>
        <v>item_rss</v>
      </c>
      <c r="E8" s="148">
        <f>IFERROR(__xludf.DUMMYFUNCTION("""COMPUTED_VALUE"""),2.0)</f>
        <v>2</v>
      </c>
      <c r="F8" s="148">
        <f>IFERROR(__xludf.DUMMYFUNCTION("""COMPUTED_VALUE"""),106206.0)</f>
        <v>106206</v>
      </c>
      <c r="G8" s="148">
        <f>IFERROR(__xludf.DUMMYFUNCTION("""COMPUTED_VALUE"""),1.511258E7)</f>
        <v>15112580</v>
      </c>
      <c r="H8" s="148">
        <f>IFERROR(__xludf.DUMMYFUNCTION("""COMPUTED_VALUE"""),1.5112561E7)</f>
        <v>15112561</v>
      </c>
      <c r="I8" s="148" t="str">
        <f>IFERROR(__xludf.DUMMYFUNCTION("""COMPUTED_VALUE"""),"{""typ"":""lc"",""txt"":""LC_ITEM_rss_upper_show"",""args"":[{""typ"":""int_unit"",""val"":50000}]}")</f>
        <v>{"typ":"lc","txt":"LC_ITEM_rss_upper_show","args":[{"typ":"int_unit","val":50000}]}</v>
      </c>
      <c r="J8" s="148" t="str">
        <f>IFERROR(__xludf.DUMMYFUNCTION("""COMPUTED_VALUE"""),"{""typ"":""lc"",""txt"":""LC_ITEM_add_iron_name"",""args"":[{""typ"":""int"",""val"":50000}]}")</f>
        <v>{"typ":"lc","txt":"LC_ITEM_add_iron_name","args":[{"typ":"int","val":50000}]}</v>
      </c>
      <c r="K8" s="148" t="str">
        <f>IFERROR(__xludf.DUMMYFUNCTION("""COMPUTED_VALUE"""),"{""typ"":""lc"",""txt"":""LC_ITEM_add_iron_desc"",""args"":[{""typ"":""int"",""val"":50000}]}")</f>
        <v>{"typ":"lc","txt":"LC_ITEM_add_iron_desc","args":[{"typ":"int","val":50000}]}</v>
      </c>
      <c r="L8" s="148" t="str">
        <f>IFERROR(__xludf.DUMMYFUNCTION("""COMPUTED_VALUE"""),"{""typ"":""lc"",""txt"":""LC_ITEM_add_iron_usedtip"",""args"":[{""typ"":""int"",""val"":50000}]}")</f>
        <v>{"typ":"lc","txt":"LC_ITEM_add_iron_usedtip","args":[{"typ":"int","val":50000}]}</v>
      </c>
      <c r="M8" s="148">
        <f>IFERROR(__xludf.DUMMYFUNCTION("""COMPUTED_VALUE"""),100.0)</f>
        <v>100</v>
      </c>
      <c r="N8" s="148">
        <f>IFERROR(__xludf.DUMMYFUNCTION("""COMPUTED_VALUE"""),999999.0)</f>
        <v>999999</v>
      </c>
      <c r="O8" s="148">
        <f>IFERROR(__xludf.DUMMYFUNCTION("""COMPUTED_VALUE"""),99999.0)</f>
        <v>99999</v>
      </c>
      <c r="P8" s="148">
        <f>IFERROR(__xludf.DUMMYFUNCTION("""COMPUTED_VALUE"""),99999.0)</f>
        <v>99999</v>
      </c>
      <c r="Q8" s="148" t="str">
        <f>IFERROR(__xludf.DUMMYFUNCTION("""COMPUTED_VALUE"""),"[""bag_asset"",""rss_iron""]")</f>
        <v>["bag_asset","rss_iron"]</v>
      </c>
      <c r="R8" s="148" t="str">
        <f>IFERROR(__xludf.DUMMYFUNCTION("""COMPUTED_VALUE"""),"[""bag"",""rss_iron""]")</f>
        <v>["bag","rss_iron"]</v>
      </c>
      <c r="S8" s="148" t="str">
        <f>IFERROR(__xludf.DUMMYFUNCTION("""COMPUTED_VALUE"""),"{""effect"":[{""typ"":""rss"",""id"":11141003,""val"":50000}]}")</f>
        <v>{"effect":[{"typ":"rss","id":11141003,"val":50000}]}</v>
      </c>
      <c r="T8" s="148">
        <f>IFERROR(__xludf.DUMMYFUNCTION("""COMPUTED_VALUE"""),-1.0)</f>
        <v>-1</v>
      </c>
      <c r="U8" s="148">
        <f>IFERROR(__xludf.DUMMYFUNCTION("""COMPUTED_VALUE"""),0.0)</f>
        <v>0</v>
      </c>
      <c r="V8" s="148" t="str">
        <f>IFERROR(__xludf.DUMMYFUNCTION("""COMPUTED_VALUE"""),"[]")</f>
        <v>[]</v>
      </c>
      <c r="W8" s="148">
        <f>IFERROR(__xludf.DUMMYFUNCTION("""COMPUTED_VALUE"""),1.1741001E7)</f>
        <v>11741001</v>
      </c>
      <c r="X8" s="148">
        <f>IFERROR(__xludf.DUMMYFUNCTION("""COMPUTED_VALUE"""),0.0)</f>
        <v>0</v>
      </c>
      <c r="Y8" s="148">
        <f>IFERROR(__xludf.DUMMYFUNCTION("""COMPUTED_VALUE"""),0.0)</f>
        <v>0</v>
      </c>
      <c r="Z8" s="148"/>
    </row>
    <row r="9">
      <c r="A9" s="148">
        <f>IFERROR(__xludf.DUMMYFUNCTION("""COMPUTED_VALUE"""),1.1111007E7)</f>
        <v>11111007</v>
      </c>
      <c r="B9" s="148" t="str">
        <f>IFERROR(__xludf.DUMMYFUNCTION("""COMPUTED_VALUE"""),"150,000钢铁")</f>
        <v>150,000钢铁</v>
      </c>
      <c r="C9" s="148"/>
      <c r="D9" s="148" t="str">
        <f>IFERROR(__xludf.DUMMYFUNCTION("""COMPUTED_VALUE"""),"item_rss")</f>
        <v>item_rss</v>
      </c>
      <c r="E9" s="148">
        <f>IFERROR(__xludf.DUMMYFUNCTION("""COMPUTED_VALUE"""),2.0)</f>
        <v>2</v>
      </c>
      <c r="F9" s="148">
        <f>IFERROR(__xludf.DUMMYFUNCTION("""COMPUTED_VALUE"""),106307.0)</f>
        <v>106307</v>
      </c>
      <c r="G9" s="148">
        <f>IFERROR(__xludf.DUMMYFUNCTION("""COMPUTED_VALUE"""),1.511258E7)</f>
        <v>15112580</v>
      </c>
      <c r="H9" s="148">
        <f>IFERROR(__xludf.DUMMYFUNCTION("""COMPUTED_VALUE"""),1.5112562E7)</f>
        <v>15112562</v>
      </c>
      <c r="I9" s="148" t="str">
        <f>IFERROR(__xludf.DUMMYFUNCTION("""COMPUTED_VALUE"""),"{""typ"":""lc"",""txt"":""LC_ITEM_rss_upper_show"",""args"":[{""typ"":""int_unit"",""val"":150000}]}")</f>
        <v>{"typ":"lc","txt":"LC_ITEM_rss_upper_show","args":[{"typ":"int_unit","val":150000}]}</v>
      </c>
      <c r="J9" s="148" t="str">
        <f>IFERROR(__xludf.DUMMYFUNCTION("""COMPUTED_VALUE"""),"{""typ"":""lc"",""txt"":""LC_ITEM_add_iron_name"",""args"":[{""typ"":""int"",""val"":150000}]}")</f>
        <v>{"typ":"lc","txt":"LC_ITEM_add_iron_name","args":[{"typ":"int","val":150000}]}</v>
      </c>
      <c r="K9" s="148" t="str">
        <f>IFERROR(__xludf.DUMMYFUNCTION("""COMPUTED_VALUE"""),"{""typ"":""lc"",""txt"":""LC_ITEM_add_iron_desc"",""args"":[{""typ"":""int"",""val"":150000}]}")</f>
        <v>{"typ":"lc","txt":"LC_ITEM_add_iron_desc","args":[{"typ":"int","val":150000}]}</v>
      </c>
      <c r="L9" s="148" t="str">
        <f>IFERROR(__xludf.DUMMYFUNCTION("""COMPUTED_VALUE"""),"{""typ"":""lc"",""txt"":""LC_ITEM_add_iron_usedtip"",""args"":[{""typ"":""int"",""val"":150000}]}")</f>
        <v>{"typ":"lc","txt":"LC_ITEM_add_iron_usedtip","args":[{"typ":"int","val":150000}]}</v>
      </c>
      <c r="M9" s="148">
        <f>IFERROR(__xludf.DUMMYFUNCTION("""COMPUTED_VALUE"""),280.0)</f>
        <v>280</v>
      </c>
      <c r="N9" s="148">
        <f>IFERROR(__xludf.DUMMYFUNCTION("""COMPUTED_VALUE"""),999999.0)</f>
        <v>999999</v>
      </c>
      <c r="O9" s="148">
        <f>IFERROR(__xludf.DUMMYFUNCTION("""COMPUTED_VALUE"""),99999.0)</f>
        <v>99999</v>
      </c>
      <c r="P9" s="148">
        <f>IFERROR(__xludf.DUMMYFUNCTION("""COMPUTED_VALUE"""),99999.0)</f>
        <v>99999</v>
      </c>
      <c r="Q9" s="148" t="str">
        <f>IFERROR(__xludf.DUMMYFUNCTION("""COMPUTED_VALUE"""),"[""bag_asset"",""rss_iron""]")</f>
        <v>["bag_asset","rss_iron"]</v>
      </c>
      <c r="R9" s="148" t="str">
        <f>IFERROR(__xludf.DUMMYFUNCTION("""COMPUTED_VALUE"""),"[""bag"",""rss_iron""]")</f>
        <v>["bag","rss_iron"]</v>
      </c>
      <c r="S9" s="148" t="str">
        <f>IFERROR(__xludf.DUMMYFUNCTION("""COMPUTED_VALUE"""),"{""effect"":[{""typ"":""rss"",""id"":11141003,""val"":150000}]}")</f>
        <v>{"effect":[{"typ":"rss","id":11141003,"val":150000}]}</v>
      </c>
      <c r="T9" s="148">
        <f>IFERROR(__xludf.DUMMYFUNCTION("""COMPUTED_VALUE"""),-1.0)</f>
        <v>-1</v>
      </c>
      <c r="U9" s="148">
        <f>IFERROR(__xludf.DUMMYFUNCTION("""COMPUTED_VALUE"""),0.0)</f>
        <v>0</v>
      </c>
      <c r="V9" s="148" t="str">
        <f>IFERROR(__xludf.DUMMYFUNCTION("""COMPUTED_VALUE"""),"[]")</f>
        <v>[]</v>
      </c>
      <c r="W9" s="148">
        <f>IFERROR(__xludf.DUMMYFUNCTION("""COMPUTED_VALUE"""),1.1741001E7)</f>
        <v>11741001</v>
      </c>
      <c r="X9" s="148">
        <f>IFERROR(__xludf.DUMMYFUNCTION("""COMPUTED_VALUE"""),0.0)</f>
        <v>0</v>
      </c>
      <c r="Y9" s="148">
        <f>IFERROR(__xludf.DUMMYFUNCTION("""COMPUTED_VALUE"""),0.0)</f>
        <v>0</v>
      </c>
      <c r="Z9" s="148"/>
    </row>
    <row r="10">
      <c r="A10" s="148">
        <f>IFERROR(__xludf.DUMMYFUNCTION("""COMPUTED_VALUE"""),1.1111008E7)</f>
        <v>11111008</v>
      </c>
      <c r="B10" s="148" t="str">
        <f>IFERROR(__xludf.DUMMYFUNCTION("""COMPUTED_VALUE"""),"500,000钢铁")</f>
        <v>500,000钢铁</v>
      </c>
      <c r="C10" s="148"/>
      <c r="D10" s="148" t="str">
        <f>IFERROR(__xludf.DUMMYFUNCTION("""COMPUTED_VALUE"""),"item_rss")</f>
        <v>item_rss</v>
      </c>
      <c r="E10" s="148">
        <f>IFERROR(__xludf.DUMMYFUNCTION("""COMPUTED_VALUE"""),2.0)</f>
        <v>2</v>
      </c>
      <c r="F10" s="148">
        <f>IFERROR(__xludf.DUMMYFUNCTION("""COMPUTED_VALUE"""),106308.0)</f>
        <v>106308</v>
      </c>
      <c r="G10" s="148">
        <f>IFERROR(__xludf.DUMMYFUNCTION("""COMPUTED_VALUE"""),1.511258E7)</f>
        <v>15112580</v>
      </c>
      <c r="H10" s="148">
        <f>IFERROR(__xludf.DUMMYFUNCTION("""COMPUTED_VALUE"""),1.5112562E7)</f>
        <v>15112562</v>
      </c>
      <c r="I10" s="148" t="str">
        <f>IFERROR(__xludf.DUMMYFUNCTION("""COMPUTED_VALUE"""),"{""typ"":""lc"",""txt"":""LC_ITEM_rss_upper_show"",""args"":[{""typ"":""int_unit"",""val"":500000}]}")</f>
        <v>{"typ":"lc","txt":"LC_ITEM_rss_upper_show","args":[{"typ":"int_unit","val":500000}]}</v>
      </c>
      <c r="J10" s="148" t="str">
        <f>IFERROR(__xludf.DUMMYFUNCTION("""COMPUTED_VALUE"""),"{""typ"":""lc"",""txt"":""LC_ITEM_add_iron_name"",""args"":[{""typ"":""int"",""val"":500000}]}")</f>
        <v>{"typ":"lc","txt":"LC_ITEM_add_iron_name","args":[{"typ":"int","val":500000}]}</v>
      </c>
      <c r="K10" s="148" t="str">
        <f>IFERROR(__xludf.DUMMYFUNCTION("""COMPUTED_VALUE"""),"{""typ"":""lc"",""txt"":""LC_ITEM_add_iron_desc"",""args"":[{""typ"":""int"",""val"":500000}]}")</f>
        <v>{"typ":"lc","txt":"LC_ITEM_add_iron_desc","args":[{"typ":"int","val":500000}]}</v>
      </c>
      <c r="L10" s="148" t="str">
        <f>IFERROR(__xludf.DUMMYFUNCTION("""COMPUTED_VALUE"""),"{""typ"":""lc"",""txt"":""LC_ITEM_add_iron_usedtip"",""args"":[{""typ"":""int"",""val"":500000}]}")</f>
        <v>{"typ":"lc","txt":"LC_ITEM_add_iron_usedtip","args":[{"typ":"int","val":500000}]}</v>
      </c>
      <c r="M10" s="148">
        <f>IFERROR(__xludf.DUMMYFUNCTION("""COMPUTED_VALUE"""),850.0)</f>
        <v>850</v>
      </c>
      <c r="N10" s="148">
        <f>IFERROR(__xludf.DUMMYFUNCTION("""COMPUTED_VALUE"""),999999.0)</f>
        <v>999999</v>
      </c>
      <c r="O10" s="148">
        <f>IFERROR(__xludf.DUMMYFUNCTION("""COMPUTED_VALUE"""),99999.0)</f>
        <v>99999</v>
      </c>
      <c r="P10" s="148">
        <f>IFERROR(__xludf.DUMMYFUNCTION("""COMPUTED_VALUE"""),99999.0)</f>
        <v>99999</v>
      </c>
      <c r="Q10" s="148" t="str">
        <f>IFERROR(__xludf.DUMMYFUNCTION("""COMPUTED_VALUE"""),"[""bag_asset"",""rss_iron""]")</f>
        <v>["bag_asset","rss_iron"]</v>
      </c>
      <c r="R10" s="148" t="str">
        <f>IFERROR(__xludf.DUMMYFUNCTION("""COMPUTED_VALUE"""),"[""bag"",""rss_iron""]")</f>
        <v>["bag","rss_iron"]</v>
      </c>
      <c r="S10" s="148" t="str">
        <f>IFERROR(__xludf.DUMMYFUNCTION("""COMPUTED_VALUE"""),"{""effect"":[{""typ"":""rss"",""id"":11141003,""val"":500000}]}")</f>
        <v>{"effect":[{"typ":"rss","id":11141003,"val":500000}]}</v>
      </c>
      <c r="T10" s="148">
        <f>IFERROR(__xludf.DUMMYFUNCTION("""COMPUTED_VALUE"""),-1.0)</f>
        <v>-1</v>
      </c>
      <c r="U10" s="148">
        <f>IFERROR(__xludf.DUMMYFUNCTION("""COMPUTED_VALUE"""),0.0)</f>
        <v>0</v>
      </c>
      <c r="V10" s="148" t="str">
        <f>IFERROR(__xludf.DUMMYFUNCTION("""COMPUTED_VALUE"""),"[]")</f>
        <v>[]</v>
      </c>
      <c r="W10" s="148">
        <f>IFERROR(__xludf.DUMMYFUNCTION("""COMPUTED_VALUE"""),1.1741001E7)</f>
        <v>11741001</v>
      </c>
      <c r="X10" s="148">
        <f>IFERROR(__xludf.DUMMYFUNCTION("""COMPUTED_VALUE"""),0.0)</f>
        <v>0</v>
      </c>
      <c r="Y10" s="148">
        <f>IFERROR(__xludf.DUMMYFUNCTION("""COMPUTED_VALUE"""),0.0)</f>
        <v>0</v>
      </c>
      <c r="Z10" s="148"/>
    </row>
    <row r="11">
      <c r="A11" s="148">
        <f>IFERROR(__xludf.DUMMYFUNCTION("""COMPUTED_VALUE"""),1.1111009E7)</f>
        <v>11111009</v>
      </c>
      <c r="B11" s="148" t="str">
        <f>IFERROR(__xludf.DUMMYFUNCTION("""COMPUTED_VALUE"""),"1500,000粮食")</f>
        <v>1500,000粮食</v>
      </c>
      <c r="C11" s="148"/>
      <c r="D11" s="148" t="str">
        <f>IFERROR(__xludf.DUMMYFUNCTION("""COMPUTED_VALUE"""),"item_rss")</f>
        <v>item_rss</v>
      </c>
      <c r="E11" s="148">
        <f>IFERROR(__xludf.DUMMYFUNCTION("""COMPUTED_VALUE"""),1.0)</f>
        <v>1</v>
      </c>
      <c r="F11" s="148">
        <f>IFERROR(__xludf.DUMMYFUNCTION("""COMPUTED_VALUE"""),105409.0)</f>
        <v>105409</v>
      </c>
      <c r="G11" s="148">
        <f>IFERROR(__xludf.DUMMYFUNCTION("""COMPUTED_VALUE"""),1.5112577E7)</f>
        <v>15112577</v>
      </c>
      <c r="H11" s="148">
        <f>IFERROR(__xludf.DUMMYFUNCTION("""COMPUTED_VALUE"""),1.5112563E7)</f>
        <v>15112563</v>
      </c>
      <c r="I11" s="148" t="str">
        <f>IFERROR(__xludf.DUMMYFUNCTION("""COMPUTED_VALUE"""),"{""typ"":""lc"",""txt"":""LC_ITEM_rss_upper_show"",""args"":[{""typ"":""int_unit"",""val"":1500000}]}")</f>
        <v>{"typ":"lc","txt":"LC_ITEM_rss_upper_show","args":[{"typ":"int_unit","val":1500000}]}</v>
      </c>
      <c r="J11" s="148" t="str">
        <f>IFERROR(__xludf.DUMMYFUNCTION("""COMPUTED_VALUE"""),"{""typ"":""lc"",""txt"":""LC_ITEM_add_food_name"",""args"":[{""typ"":""int"",""val"":1500000}]}")</f>
        <v>{"typ":"lc","txt":"LC_ITEM_add_food_name","args":[{"typ":"int","val":1500000}]}</v>
      </c>
      <c r="K11" s="148" t="str">
        <f>IFERROR(__xludf.DUMMYFUNCTION("""COMPUTED_VALUE"""),"{""typ"":""lc"",""txt"":""LC_ITEM_add_food_desc"",""args"":[{""typ"":""int"",""val"":1500000}]}")</f>
        <v>{"typ":"lc","txt":"LC_ITEM_add_food_desc","args":[{"typ":"int","val":1500000}]}</v>
      </c>
      <c r="L11" s="148" t="str">
        <f>IFERROR(__xludf.DUMMYFUNCTION("""COMPUTED_VALUE"""),"{""typ"":""lc"",""txt"":""LC_ITEM_add_food_usedtip"",""args"":[{""typ"":""int"",""val"":1500000}]}")</f>
        <v>{"typ":"lc","txt":"LC_ITEM_add_food_usedtip","args":[{"typ":"int","val":1500000}]}</v>
      </c>
      <c r="M11" s="148">
        <f>IFERROR(__xludf.DUMMYFUNCTION("""COMPUTED_VALUE"""),2500.0)</f>
        <v>2500</v>
      </c>
      <c r="N11" s="148">
        <f>IFERROR(__xludf.DUMMYFUNCTION("""COMPUTED_VALUE"""),999999.0)</f>
        <v>999999</v>
      </c>
      <c r="O11" s="148">
        <f>IFERROR(__xludf.DUMMYFUNCTION("""COMPUTED_VALUE"""),99999.0)</f>
        <v>99999</v>
      </c>
      <c r="P11" s="148">
        <f>IFERROR(__xludf.DUMMYFUNCTION("""COMPUTED_VALUE"""),99999.0)</f>
        <v>99999</v>
      </c>
      <c r="Q11" s="148" t="str">
        <f>IFERROR(__xludf.DUMMYFUNCTION("""COMPUTED_VALUE"""),"[""bag_asset"",""rss_food""]")</f>
        <v>["bag_asset","rss_food"]</v>
      </c>
      <c r="R11" s="148" t="str">
        <f>IFERROR(__xludf.DUMMYFUNCTION("""COMPUTED_VALUE"""),"[""bag"",""rss_food""]")</f>
        <v>["bag","rss_food"]</v>
      </c>
      <c r="S11" s="148" t="str">
        <f>IFERROR(__xludf.DUMMYFUNCTION("""COMPUTED_VALUE"""),"{""effect"":[{""typ"":""rss"",""id"":11141001,""val"":1500000}]}")</f>
        <v>{"effect":[{"typ":"rss","id":11141001,"val":1500000}]}</v>
      </c>
      <c r="T11" s="148">
        <f>IFERROR(__xludf.DUMMYFUNCTION("""COMPUTED_VALUE"""),-1.0)</f>
        <v>-1</v>
      </c>
      <c r="U11" s="148">
        <f>IFERROR(__xludf.DUMMYFUNCTION("""COMPUTED_VALUE"""),0.0)</f>
        <v>0</v>
      </c>
      <c r="V11" s="148" t="str">
        <f>IFERROR(__xludf.DUMMYFUNCTION("""COMPUTED_VALUE"""),"[]")</f>
        <v>[]</v>
      </c>
      <c r="W11" s="148">
        <f>IFERROR(__xludf.DUMMYFUNCTION("""COMPUTED_VALUE"""),1.1741001E7)</f>
        <v>11741001</v>
      </c>
      <c r="X11" s="148">
        <f>IFERROR(__xludf.DUMMYFUNCTION("""COMPUTED_VALUE"""),0.0)</f>
        <v>0</v>
      </c>
      <c r="Y11" s="148">
        <f>IFERROR(__xludf.DUMMYFUNCTION("""COMPUTED_VALUE"""),0.0)</f>
        <v>0</v>
      </c>
      <c r="Z11" s="148"/>
    </row>
    <row r="12">
      <c r="A12" s="148">
        <f>IFERROR(__xludf.DUMMYFUNCTION("""COMPUTED_VALUE"""),1.111101E7)</f>
        <v>11111010</v>
      </c>
      <c r="B12" s="148" t="str">
        <f>IFERROR(__xludf.DUMMYFUNCTION("""COMPUTED_VALUE"""),"5000,000粮食")</f>
        <v>5000,000粮食</v>
      </c>
      <c r="C12" s="148"/>
      <c r="D12" s="148" t="str">
        <f>IFERROR(__xludf.DUMMYFUNCTION("""COMPUTED_VALUE"""),"item_rss")</f>
        <v>item_rss</v>
      </c>
      <c r="E12" s="148">
        <f>IFERROR(__xludf.DUMMYFUNCTION("""COMPUTED_VALUE"""),1.0)</f>
        <v>1</v>
      </c>
      <c r="F12" s="148">
        <f>IFERROR(__xludf.DUMMYFUNCTION("""COMPUTED_VALUE"""),105410.0)</f>
        <v>105410</v>
      </c>
      <c r="G12" s="148">
        <f>IFERROR(__xludf.DUMMYFUNCTION("""COMPUTED_VALUE"""),1.5112577E7)</f>
        <v>15112577</v>
      </c>
      <c r="H12" s="148">
        <f>IFERROR(__xludf.DUMMYFUNCTION("""COMPUTED_VALUE"""),1.5112563E7)</f>
        <v>15112563</v>
      </c>
      <c r="I12" s="148" t="str">
        <f>IFERROR(__xludf.DUMMYFUNCTION("""COMPUTED_VALUE"""),"{""typ"":""lc"",""txt"":""LC_ITEM_rss_upper_show"",""args"":[{""typ"":""int_unit"",""val"":5000000}]}")</f>
        <v>{"typ":"lc","txt":"LC_ITEM_rss_upper_show","args":[{"typ":"int_unit","val":5000000}]}</v>
      </c>
      <c r="J12" s="148" t="str">
        <f>IFERROR(__xludf.DUMMYFUNCTION("""COMPUTED_VALUE"""),"{""typ"":""lc"",""txt"":""LC_ITEM_add_food_name"",""args"":[{""typ"":""int"",""val"":5000000}]}")</f>
        <v>{"typ":"lc","txt":"LC_ITEM_add_food_name","args":[{"typ":"int","val":5000000}]}</v>
      </c>
      <c r="K12" s="148" t="str">
        <f>IFERROR(__xludf.DUMMYFUNCTION("""COMPUTED_VALUE"""),"{""typ"":""lc"",""txt"":""LC_ITEM_add_food_desc"",""args"":[{""typ"":""int"",""val"":5000000}]}")</f>
        <v>{"typ":"lc","txt":"LC_ITEM_add_food_desc","args":[{"typ":"int","val":5000000}]}</v>
      </c>
      <c r="L12" s="148" t="str">
        <f>IFERROR(__xludf.DUMMYFUNCTION("""COMPUTED_VALUE"""),"{""typ"":""lc"",""txt"":""LC_ITEM_add_food_usedtip"",""args"":[{""typ"":""int"",""val"":5000000}]}")</f>
        <v>{"typ":"lc","txt":"LC_ITEM_add_food_usedtip","args":[{"typ":"int","val":5000000}]}</v>
      </c>
      <c r="M12" s="148">
        <f>IFERROR(__xludf.DUMMYFUNCTION("""COMPUTED_VALUE"""),7500.0)</f>
        <v>7500</v>
      </c>
      <c r="N12" s="148">
        <f>IFERROR(__xludf.DUMMYFUNCTION("""COMPUTED_VALUE"""),999999.0)</f>
        <v>999999</v>
      </c>
      <c r="O12" s="148">
        <f>IFERROR(__xludf.DUMMYFUNCTION("""COMPUTED_VALUE"""),99999.0)</f>
        <v>99999</v>
      </c>
      <c r="P12" s="148">
        <f>IFERROR(__xludf.DUMMYFUNCTION("""COMPUTED_VALUE"""),99999.0)</f>
        <v>99999</v>
      </c>
      <c r="Q12" s="148" t="str">
        <f>IFERROR(__xludf.DUMMYFUNCTION("""COMPUTED_VALUE"""),"[""bag_asset"",""rss_food""]")</f>
        <v>["bag_asset","rss_food"]</v>
      </c>
      <c r="R12" s="148" t="str">
        <f>IFERROR(__xludf.DUMMYFUNCTION("""COMPUTED_VALUE"""),"[""bag"",""rss_food""]")</f>
        <v>["bag","rss_food"]</v>
      </c>
      <c r="S12" s="148" t="str">
        <f>IFERROR(__xludf.DUMMYFUNCTION("""COMPUTED_VALUE"""),"{""effect"":[{""typ"":""rss"",""id"":11141001,""val"":5000000}]}")</f>
        <v>{"effect":[{"typ":"rss","id":11141001,"val":5000000}]}</v>
      </c>
      <c r="T12" s="148">
        <f>IFERROR(__xludf.DUMMYFUNCTION("""COMPUTED_VALUE"""),-1.0)</f>
        <v>-1</v>
      </c>
      <c r="U12" s="148">
        <f>IFERROR(__xludf.DUMMYFUNCTION("""COMPUTED_VALUE"""),0.0)</f>
        <v>0</v>
      </c>
      <c r="V12" s="148" t="str">
        <f>IFERROR(__xludf.DUMMYFUNCTION("""COMPUTED_VALUE"""),"[]")</f>
        <v>[]</v>
      </c>
      <c r="W12" s="148">
        <f>IFERROR(__xludf.DUMMYFUNCTION("""COMPUTED_VALUE"""),1.1741001E7)</f>
        <v>11741001</v>
      </c>
      <c r="X12" s="148">
        <f>IFERROR(__xludf.DUMMYFUNCTION("""COMPUTED_VALUE"""),0.0)</f>
        <v>0</v>
      </c>
      <c r="Y12" s="148">
        <f>IFERROR(__xludf.DUMMYFUNCTION("""COMPUTED_VALUE"""),0.0)</f>
        <v>0</v>
      </c>
      <c r="Z12" s="148"/>
    </row>
    <row r="13">
      <c r="A13" s="148">
        <f>IFERROR(__xludf.DUMMYFUNCTION("""COMPUTED_VALUE"""),1.1111011E7)</f>
        <v>11111011</v>
      </c>
      <c r="B13" s="148" t="str">
        <f>IFERROR(__xludf.DUMMYFUNCTION("""COMPUTED_VALUE"""),"1500,000钢铁")</f>
        <v>1500,000钢铁</v>
      </c>
      <c r="C13" s="148"/>
      <c r="D13" s="148" t="str">
        <f>IFERROR(__xludf.DUMMYFUNCTION("""COMPUTED_VALUE"""),"item_rss")</f>
        <v>item_rss</v>
      </c>
      <c r="E13" s="148">
        <f>IFERROR(__xludf.DUMMYFUNCTION("""COMPUTED_VALUE"""),2.0)</f>
        <v>2</v>
      </c>
      <c r="F13" s="148">
        <f>IFERROR(__xludf.DUMMYFUNCTION("""COMPUTED_VALUE"""),106409.0)</f>
        <v>106409</v>
      </c>
      <c r="G13" s="148">
        <f>IFERROR(__xludf.DUMMYFUNCTION("""COMPUTED_VALUE"""),1.511258E7)</f>
        <v>15112580</v>
      </c>
      <c r="H13" s="148">
        <f>IFERROR(__xludf.DUMMYFUNCTION("""COMPUTED_VALUE"""),1.5112563E7)</f>
        <v>15112563</v>
      </c>
      <c r="I13" s="148" t="str">
        <f>IFERROR(__xludf.DUMMYFUNCTION("""COMPUTED_VALUE"""),"{""typ"":""lc"",""txt"":""LC_ITEM_rss_upper_show"",""args"":[{""typ"":""int_unit"",""val"":1500000}]}")</f>
        <v>{"typ":"lc","txt":"LC_ITEM_rss_upper_show","args":[{"typ":"int_unit","val":1500000}]}</v>
      </c>
      <c r="J13" s="148" t="str">
        <f>IFERROR(__xludf.DUMMYFUNCTION("""COMPUTED_VALUE"""),"{""typ"":""lc"",""txt"":""LC_ITEM_add_iron_name"",""args"":[{""typ"":""int"",""val"":1500000}]}")</f>
        <v>{"typ":"lc","txt":"LC_ITEM_add_iron_name","args":[{"typ":"int","val":1500000}]}</v>
      </c>
      <c r="K13" s="148" t="str">
        <f>IFERROR(__xludf.DUMMYFUNCTION("""COMPUTED_VALUE"""),"{""typ"":""lc"",""txt"":""LC_ITEM_add_iron_desc"",""args"":[{""typ"":""int"",""val"":1500000}]}")</f>
        <v>{"typ":"lc","txt":"LC_ITEM_add_iron_desc","args":[{"typ":"int","val":1500000}]}</v>
      </c>
      <c r="L13" s="148" t="str">
        <f>IFERROR(__xludf.DUMMYFUNCTION("""COMPUTED_VALUE"""),"{""typ"":""lc"",""txt"":""LC_ITEM_add_iron_usedtip"",""args"":[{""typ"":""int"",""val"":1500000}]}")</f>
        <v>{"typ":"lc","txt":"LC_ITEM_add_iron_usedtip","args":[{"typ":"int","val":1500000}]}</v>
      </c>
      <c r="M13" s="148">
        <f>IFERROR(__xludf.DUMMYFUNCTION("""COMPUTED_VALUE"""),2500.0)</f>
        <v>2500</v>
      </c>
      <c r="N13" s="148">
        <f>IFERROR(__xludf.DUMMYFUNCTION("""COMPUTED_VALUE"""),999999.0)</f>
        <v>999999</v>
      </c>
      <c r="O13" s="148">
        <f>IFERROR(__xludf.DUMMYFUNCTION("""COMPUTED_VALUE"""),99999.0)</f>
        <v>99999</v>
      </c>
      <c r="P13" s="148">
        <f>IFERROR(__xludf.DUMMYFUNCTION("""COMPUTED_VALUE"""),99999.0)</f>
        <v>99999</v>
      </c>
      <c r="Q13" s="148" t="str">
        <f>IFERROR(__xludf.DUMMYFUNCTION("""COMPUTED_VALUE"""),"[""bag_asset"",""rss_iron""]")</f>
        <v>["bag_asset","rss_iron"]</v>
      </c>
      <c r="R13" s="148" t="str">
        <f>IFERROR(__xludf.DUMMYFUNCTION("""COMPUTED_VALUE"""),"[""bag"",""rss_iron""]")</f>
        <v>["bag","rss_iron"]</v>
      </c>
      <c r="S13" s="148" t="str">
        <f>IFERROR(__xludf.DUMMYFUNCTION("""COMPUTED_VALUE"""),"{""effect"":[{""typ"":""rss"",""id"":11141003,""val"":1500000}]}")</f>
        <v>{"effect":[{"typ":"rss","id":11141003,"val":1500000}]}</v>
      </c>
      <c r="T13" s="148">
        <f>IFERROR(__xludf.DUMMYFUNCTION("""COMPUTED_VALUE"""),-1.0)</f>
        <v>-1</v>
      </c>
      <c r="U13" s="148">
        <f>IFERROR(__xludf.DUMMYFUNCTION("""COMPUTED_VALUE"""),0.0)</f>
        <v>0</v>
      </c>
      <c r="V13" s="148" t="str">
        <f>IFERROR(__xludf.DUMMYFUNCTION("""COMPUTED_VALUE"""),"[]")</f>
        <v>[]</v>
      </c>
      <c r="W13" s="148">
        <f>IFERROR(__xludf.DUMMYFUNCTION("""COMPUTED_VALUE"""),1.1741001E7)</f>
        <v>11741001</v>
      </c>
      <c r="X13" s="148">
        <f>IFERROR(__xludf.DUMMYFUNCTION("""COMPUTED_VALUE"""),0.0)</f>
        <v>0</v>
      </c>
      <c r="Y13" s="148">
        <f>IFERROR(__xludf.DUMMYFUNCTION("""COMPUTED_VALUE"""),0.0)</f>
        <v>0</v>
      </c>
      <c r="Z13" s="148"/>
    </row>
    <row r="14">
      <c r="A14" s="148">
        <f>IFERROR(__xludf.DUMMYFUNCTION("""COMPUTED_VALUE"""),1.1111012E7)</f>
        <v>11111012</v>
      </c>
      <c r="B14" s="148" t="str">
        <f>IFERROR(__xludf.DUMMYFUNCTION("""COMPUTED_VALUE"""),"5000,000钢铁")</f>
        <v>5000,000钢铁</v>
      </c>
      <c r="C14" s="148"/>
      <c r="D14" s="148" t="str">
        <f>IFERROR(__xludf.DUMMYFUNCTION("""COMPUTED_VALUE"""),"item_rss")</f>
        <v>item_rss</v>
      </c>
      <c r="E14" s="148">
        <f>IFERROR(__xludf.DUMMYFUNCTION("""COMPUTED_VALUE"""),2.0)</f>
        <v>2</v>
      </c>
      <c r="F14" s="148">
        <f>IFERROR(__xludf.DUMMYFUNCTION("""COMPUTED_VALUE"""),106410.0)</f>
        <v>106410</v>
      </c>
      <c r="G14" s="148">
        <f>IFERROR(__xludf.DUMMYFUNCTION("""COMPUTED_VALUE"""),1.511258E7)</f>
        <v>15112580</v>
      </c>
      <c r="H14" s="148">
        <f>IFERROR(__xludf.DUMMYFUNCTION("""COMPUTED_VALUE"""),1.5112563E7)</f>
        <v>15112563</v>
      </c>
      <c r="I14" s="148" t="str">
        <f>IFERROR(__xludf.DUMMYFUNCTION("""COMPUTED_VALUE"""),"{""typ"":""lc"",""txt"":""LC_ITEM_rss_upper_show"",""args"":[{""typ"":""int_unit"",""val"":5000000}]}")</f>
        <v>{"typ":"lc","txt":"LC_ITEM_rss_upper_show","args":[{"typ":"int_unit","val":5000000}]}</v>
      </c>
      <c r="J14" s="148" t="str">
        <f>IFERROR(__xludf.DUMMYFUNCTION("""COMPUTED_VALUE"""),"{""typ"":""lc"",""txt"":""LC_ITEM_add_iron_name"",""args"":[{""typ"":""int"",""val"":5000000}]}")</f>
        <v>{"typ":"lc","txt":"LC_ITEM_add_iron_name","args":[{"typ":"int","val":5000000}]}</v>
      </c>
      <c r="K14" s="148" t="str">
        <f>IFERROR(__xludf.DUMMYFUNCTION("""COMPUTED_VALUE"""),"{""typ"":""lc"",""txt"":""LC_ITEM_add_iron_desc"",""args"":[{""typ"":""int"",""val"":5000000}]}")</f>
        <v>{"typ":"lc","txt":"LC_ITEM_add_iron_desc","args":[{"typ":"int","val":5000000}]}</v>
      </c>
      <c r="L14" s="148" t="str">
        <f>IFERROR(__xludf.DUMMYFUNCTION("""COMPUTED_VALUE"""),"{""typ"":""lc"",""txt"":""LC_ITEM_add_iron_usedtip"",""args"":[{""typ"":""int"",""val"":5000000}]}")</f>
        <v>{"typ":"lc","txt":"LC_ITEM_add_iron_usedtip","args":[{"typ":"int","val":5000000}]}</v>
      </c>
      <c r="M14" s="148">
        <f>IFERROR(__xludf.DUMMYFUNCTION("""COMPUTED_VALUE"""),7500.0)</f>
        <v>7500</v>
      </c>
      <c r="N14" s="148">
        <f>IFERROR(__xludf.DUMMYFUNCTION("""COMPUTED_VALUE"""),999999.0)</f>
        <v>999999</v>
      </c>
      <c r="O14" s="148">
        <f>IFERROR(__xludf.DUMMYFUNCTION("""COMPUTED_VALUE"""),99999.0)</f>
        <v>99999</v>
      </c>
      <c r="P14" s="148">
        <f>IFERROR(__xludf.DUMMYFUNCTION("""COMPUTED_VALUE"""),99999.0)</f>
        <v>99999</v>
      </c>
      <c r="Q14" s="148" t="str">
        <f>IFERROR(__xludf.DUMMYFUNCTION("""COMPUTED_VALUE"""),"[""bag_asset"",""rss_iron""]")</f>
        <v>["bag_asset","rss_iron"]</v>
      </c>
      <c r="R14" s="148" t="str">
        <f>IFERROR(__xludf.DUMMYFUNCTION("""COMPUTED_VALUE"""),"[""bag"",""rss_iron""]")</f>
        <v>["bag","rss_iron"]</v>
      </c>
      <c r="S14" s="148" t="str">
        <f>IFERROR(__xludf.DUMMYFUNCTION("""COMPUTED_VALUE"""),"{""effect"":[{""typ"":""rss"",""id"":11141003,""val"":5000000}]}")</f>
        <v>{"effect":[{"typ":"rss","id":11141003,"val":5000000}]}</v>
      </c>
      <c r="T14" s="148">
        <f>IFERROR(__xludf.DUMMYFUNCTION("""COMPUTED_VALUE"""),-1.0)</f>
        <v>-1</v>
      </c>
      <c r="U14" s="148">
        <f>IFERROR(__xludf.DUMMYFUNCTION("""COMPUTED_VALUE"""),0.0)</f>
        <v>0</v>
      </c>
      <c r="V14" s="148" t="str">
        <f>IFERROR(__xludf.DUMMYFUNCTION("""COMPUTED_VALUE"""),"[]")</f>
        <v>[]</v>
      </c>
      <c r="W14" s="148">
        <f>IFERROR(__xludf.DUMMYFUNCTION("""COMPUTED_VALUE"""),1.1741001E7)</f>
        <v>11741001</v>
      </c>
      <c r="X14" s="148">
        <f>IFERROR(__xludf.DUMMYFUNCTION("""COMPUTED_VALUE"""),0.0)</f>
        <v>0</v>
      </c>
      <c r="Y14" s="148">
        <f>IFERROR(__xludf.DUMMYFUNCTION("""COMPUTED_VALUE"""),0.0)</f>
        <v>0</v>
      </c>
      <c r="Z14" s="148"/>
    </row>
    <row r="15">
      <c r="A15" s="148">
        <f>IFERROR(__xludf.DUMMYFUNCTION("""COMPUTED_VALUE"""),1.1111013E7)</f>
        <v>11111013</v>
      </c>
      <c r="B15" s="148" t="str">
        <f>IFERROR(__xludf.DUMMYFUNCTION("""COMPUTED_VALUE"""),"10电池")</f>
        <v>10电池</v>
      </c>
      <c r="C15" s="148"/>
      <c r="D15" s="148" t="str">
        <f>IFERROR(__xludf.DUMMYFUNCTION("""COMPUTED_VALUE"""),"item_rss")</f>
        <v>item_rss</v>
      </c>
      <c r="E15" s="148">
        <f>IFERROR(__xludf.DUMMYFUNCTION("""COMPUTED_VALUE"""),18.0)</f>
        <v>18</v>
      </c>
      <c r="F15" s="148">
        <f>IFERROR(__xludf.DUMMYFUNCTION("""COMPUTED_VALUE"""),104202.0)</f>
        <v>104202</v>
      </c>
      <c r="G15" s="148">
        <f>IFERROR(__xludf.DUMMYFUNCTION("""COMPUTED_VALUE"""),1.5112572E7)</f>
        <v>15112572</v>
      </c>
      <c r="H15" s="148">
        <f>IFERROR(__xludf.DUMMYFUNCTION("""COMPUTED_VALUE"""),1.5112561E7)</f>
        <v>15112561</v>
      </c>
      <c r="I15" s="148" t="str">
        <f>IFERROR(__xludf.DUMMYFUNCTION("""COMPUTED_VALUE"""),"{""typ"":""lc"",""txt"":""LC_ITEM_rss_upper_show"",""args"":[{""typ"":""int_unit"",""val"":10}]}")</f>
        <v>{"typ":"lc","txt":"LC_ITEM_rss_upper_show","args":[{"typ":"int_unit","val":10}]}</v>
      </c>
      <c r="J15" s="148" t="str">
        <f>IFERROR(__xludf.DUMMYFUNCTION("""COMPUTED_VALUE"""),"{""typ"":""lc"",""txt"":""LC_ITEM_add_RSSX_name"",""args"":[{""typ"":""int"",""val"":10}]}")</f>
        <v>{"typ":"lc","txt":"LC_ITEM_add_RSSX_name","args":[{"typ":"int","val":10}]}</v>
      </c>
      <c r="K15" s="148" t="str">
        <f>IFERROR(__xludf.DUMMYFUNCTION("""COMPUTED_VALUE"""),"{""typ"":""lc"",""txt"":""LC_ITEM_add_RSSX_desc"",""args"":[{""typ"":""int"",""val"":10}]}")</f>
        <v>{"typ":"lc","txt":"LC_ITEM_add_RSSX_desc","args":[{"typ":"int","val":10}]}</v>
      </c>
      <c r="L15" s="148" t="str">
        <f>IFERROR(__xludf.DUMMYFUNCTION("""COMPUTED_VALUE"""),"{""typ"":""lc"",""txt"":""LC_ITEM_add_RSSX_usedtip"",""args"":[{""typ"":""int"",""val"":10}]}")</f>
        <v>{"typ":"lc","txt":"LC_ITEM_add_RSSX_usedtip","args":[{"typ":"int","val":10}]}</v>
      </c>
      <c r="M15" s="148">
        <f>IFERROR(__xludf.DUMMYFUNCTION("""COMPUTED_VALUE"""),10.0)</f>
        <v>10</v>
      </c>
      <c r="N15" s="148">
        <f>IFERROR(__xludf.DUMMYFUNCTION("""COMPUTED_VALUE"""),999999.0)</f>
        <v>999999</v>
      </c>
      <c r="O15" s="148">
        <f>IFERROR(__xludf.DUMMYFUNCTION("""COMPUTED_VALUE"""),99999.0)</f>
        <v>99999</v>
      </c>
      <c r="P15" s="148">
        <f>IFERROR(__xludf.DUMMYFUNCTION("""COMPUTED_VALUE"""),99999.0)</f>
        <v>99999</v>
      </c>
      <c r="Q15" s="148" t="str">
        <f>IFERROR(__xludf.DUMMYFUNCTION("""COMPUTED_VALUE"""),"[""bag_asset"",""rss_x""]")</f>
        <v>["bag_asset","rss_x"]</v>
      </c>
      <c r="R15" s="148" t="str">
        <f>IFERROR(__xludf.DUMMYFUNCTION("""COMPUTED_VALUE"""),"[""bag"",""rss_x""]")</f>
        <v>["bag","rss_x"]</v>
      </c>
      <c r="S15" s="148" t="str">
        <f>IFERROR(__xludf.DUMMYFUNCTION("""COMPUTED_VALUE"""),"{""effect"":[{""typ"":""rss"",""id"":11141012,""val"":10}]}")</f>
        <v>{"effect":[{"typ":"rss","id":11141012,"val":10}]}</v>
      </c>
      <c r="T15" s="148">
        <f>IFERROR(__xludf.DUMMYFUNCTION("""COMPUTED_VALUE"""),-1.0)</f>
        <v>-1</v>
      </c>
      <c r="U15" s="148">
        <f>IFERROR(__xludf.DUMMYFUNCTION("""COMPUTED_VALUE"""),0.0)</f>
        <v>0</v>
      </c>
      <c r="V15" s="148" t="str">
        <f>IFERROR(__xludf.DUMMYFUNCTION("""COMPUTED_VALUE"""),"[]")</f>
        <v>[]</v>
      </c>
      <c r="W15" s="148">
        <f>IFERROR(__xludf.DUMMYFUNCTION("""COMPUTED_VALUE"""),1.1741001E7)</f>
        <v>11741001</v>
      </c>
      <c r="X15" s="148">
        <f>IFERROR(__xludf.DUMMYFUNCTION("""COMPUTED_VALUE"""),0.0)</f>
        <v>0</v>
      </c>
      <c r="Y15" s="148">
        <f>IFERROR(__xludf.DUMMYFUNCTION("""COMPUTED_VALUE"""),0.0)</f>
        <v>0</v>
      </c>
      <c r="Z15" s="148"/>
    </row>
    <row r="16">
      <c r="A16" s="148">
        <f>IFERROR(__xludf.DUMMYFUNCTION("""COMPUTED_VALUE"""),1.1111014E7)</f>
        <v>11111014</v>
      </c>
      <c r="B16" s="148" t="str">
        <f>IFERROR(__xludf.DUMMYFUNCTION("""COMPUTED_VALUE"""),"50电池")</f>
        <v>50电池</v>
      </c>
      <c r="C16" s="148"/>
      <c r="D16" s="148" t="str">
        <f>IFERROR(__xludf.DUMMYFUNCTION("""COMPUTED_VALUE"""),"item_rss")</f>
        <v>item_rss</v>
      </c>
      <c r="E16" s="148">
        <f>IFERROR(__xludf.DUMMYFUNCTION("""COMPUTED_VALUE"""),18.0)</f>
        <v>18</v>
      </c>
      <c r="F16" s="148">
        <f>IFERROR(__xludf.DUMMYFUNCTION("""COMPUTED_VALUE"""),104304.0)</f>
        <v>104304</v>
      </c>
      <c r="G16" s="148">
        <f>IFERROR(__xludf.DUMMYFUNCTION("""COMPUTED_VALUE"""),1.5112572E7)</f>
        <v>15112572</v>
      </c>
      <c r="H16" s="148">
        <f>IFERROR(__xludf.DUMMYFUNCTION("""COMPUTED_VALUE"""),1.5112562E7)</f>
        <v>15112562</v>
      </c>
      <c r="I16" s="148" t="str">
        <f>IFERROR(__xludf.DUMMYFUNCTION("""COMPUTED_VALUE"""),"{""typ"":""lc"",""txt"":""LC_ITEM_rss_upper_show"",""args"":[{""typ"":""int_unit"",""val"":50}]}")</f>
        <v>{"typ":"lc","txt":"LC_ITEM_rss_upper_show","args":[{"typ":"int_unit","val":50}]}</v>
      </c>
      <c r="J16" s="148" t="str">
        <f>IFERROR(__xludf.DUMMYFUNCTION("""COMPUTED_VALUE"""),"{""typ"":""lc"",""txt"":""LC_ITEM_add_RSSX_name"",""args"":[{""typ"":""int"",""val"":50}]}")</f>
        <v>{"typ":"lc","txt":"LC_ITEM_add_RSSX_name","args":[{"typ":"int","val":50}]}</v>
      </c>
      <c r="K16" s="148" t="str">
        <f>IFERROR(__xludf.DUMMYFUNCTION("""COMPUTED_VALUE"""),"{""typ"":""lc"",""txt"":""LC_ITEM_add_RSSX_desc"",""args"":[{""typ"":""int"",""val"":50}]}")</f>
        <v>{"typ":"lc","txt":"LC_ITEM_add_RSSX_desc","args":[{"typ":"int","val":50}]}</v>
      </c>
      <c r="L16" s="148" t="str">
        <f>IFERROR(__xludf.DUMMYFUNCTION("""COMPUTED_VALUE"""),"{""typ"":""lc"",""txt"":""LC_ITEM_add_RSSX_usedtip"",""args"":[{""typ"":""int"",""val"":50}]}")</f>
        <v>{"typ":"lc","txt":"LC_ITEM_add_RSSX_usedtip","args":[{"typ":"int","val":50}]}</v>
      </c>
      <c r="M16" s="148">
        <f>IFERROR(__xludf.DUMMYFUNCTION("""COMPUTED_VALUE"""),50.0)</f>
        <v>50</v>
      </c>
      <c r="N16" s="148">
        <f>IFERROR(__xludf.DUMMYFUNCTION("""COMPUTED_VALUE"""),999999.0)</f>
        <v>999999</v>
      </c>
      <c r="O16" s="148">
        <f>IFERROR(__xludf.DUMMYFUNCTION("""COMPUTED_VALUE"""),99999.0)</f>
        <v>99999</v>
      </c>
      <c r="P16" s="148">
        <f>IFERROR(__xludf.DUMMYFUNCTION("""COMPUTED_VALUE"""),99999.0)</f>
        <v>99999</v>
      </c>
      <c r="Q16" s="148" t="str">
        <f>IFERROR(__xludf.DUMMYFUNCTION("""COMPUTED_VALUE"""),"[""bag_asset"",""rss_x""]")</f>
        <v>["bag_asset","rss_x"]</v>
      </c>
      <c r="R16" s="148" t="str">
        <f>IFERROR(__xludf.DUMMYFUNCTION("""COMPUTED_VALUE"""),"[""bag"",""rss_x""]")</f>
        <v>["bag","rss_x"]</v>
      </c>
      <c r="S16" s="148" t="str">
        <f>IFERROR(__xludf.DUMMYFUNCTION("""COMPUTED_VALUE"""),"{""effect"":[{""typ"":""rss"",""id"":11141012,""val"":50}]}")</f>
        <v>{"effect":[{"typ":"rss","id":11141012,"val":50}]}</v>
      </c>
      <c r="T16" s="148">
        <f>IFERROR(__xludf.DUMMYFUNCTION("""COMPUTED_VALUE"""),-1.0)</f>
        <v>-1</v>
      </c>
      <c r="U16" s="148">
        <f>IFERROR(__xludf.DUMMYFUNCTION("""COMPUTED_VALUE"""),0.0)</f>
        <v>0</v>
      </c>
      <c r="V16" s="148" t="str">
        <f>IFERROR(__xludf.DUMMYFUNCTION("""COMPUTED_VALUE"""),"[]")</f>
        <v>[]</v>
      </c>
      <c r="W16" s="148">
        <f>IFERROR(__xludf.DUMMYFUNCTION("""COMPUTED_VALUE"""),1.1741001E7)</f>
        <v>11741001</v>
      </c>
      <c r="X16" s="148">
        <f>IFERROR(__xludf.DUMMYFUNCTION("""COMPUTED_VALUE"""),0.0)</f>
        <v>0</v>
      </c>
      <c r="Y16" s="148">
        <f>IFERROR(__xludf.DUMMYFUNCTION("""COMPUTED_VALUE"""),0.0)</f>
        <v>0</v>
      </c>
      <c r="Z16" s="148"/>
    </row>
    <row r="17">
      <c r="A17" s="148">
        <f>IFERROR(__xludf.DUMMYFUNCTION("""COMPUTED_VALUE"""),1.1111015E7)</f>
        <v>11111015</v>
      </c>
      <c r="B17" s="148" t="str">
        <f>IFERROR(__xludf.DUMMYFUNCTION("""COMPUTED_VALUE"""),"100电池")</f>
        <v>100电池</v>
      </c>
      <c r="C17" s="148"/>
      <c r="D17" s="148" t="str">
        <f>IFERROR(__xludf.DUMMYFUNCTION("""COMPUTED_VALUE"""),"item_rss")</f>
        <v>item_rss</v>
      </c>
      <c r="E17" s="148">
        <f>IFERROR(__xludf.DUMMYFUNCTION("""COMPUTED_VALUE"""),18.0)</f>
        <v>18</v>
      </c>
      <c r="F17" s="148">
        <f>IFERROR(__xludf.DUMMYFUNCTION("""COMPUTED_VALUE"""),104405.0)</f>
        <v>104405</v>
      </c>
      <c r="G17" s="148">
        <f>IFERROR(__xludf.DUMMYFUNCTION("""COMPUTED_VALUE"""),1.5112572E7)</f>
        <v>15112572</v>
      </c>
      <c r="H17" s="148">
        <f>IFERROR(__xludf.DUMMYFUNCTION("""COMPUTED_VALUE"""),1.5112563E7)</f>
        <v>15112563</v>
      </c>
      <c r="I17" s="148" t="str">
        <f>IFERROR(__xludf.DUMMYFUNCTION("""COMPUTED_VALUE"""),"{""typ"":""lc"",""txt"":""LC_ITEM_rss_upper_show"",""args"":[{""typ"":""int_unit"",""val"":100}]}")</f>
        <v>{"typ":"lc","txt":"LC_ITEM_rss_upper_show","args":[{"typ":"int_unit","val":100}]}</v>
      </c>
      <c r="J17" s="148" t="str">
        <f>IFERROR(__xludf.DUMMYFUNCTION("""COMPUTED_VALUE"""),"{""typ"":""lc"",""txt"":""LC_ITEM_add_RSSX_name"",""args"":[{""typ"":""int"",""val"":100}]}")</f>
        <v>{"typ":"lc","txt":"LC_ITEM_add_RSSX_name","args":[{"typ":"int","val":100}]}</v>
      </c>
      <c r="K17" s="148" t="str">
        <f>IFERROR(__xludf.DUMMYFUNCTION("""COMPUTED_VALUE"""),"{""typ"":""lc"",""txt"":""LC_ITEM_add_RSSX_desc"",""args"":[{""typ"":""int"",""val"":100}]}")</f>
        <v>{"typ":"lc","txt":"LC_ITEM_add_RSSX_desc","args":[{"typ":"int","val":100}]}</v>
      </c>
      <c r="L17" s="148" t="str">
        <f>IFERROR(__xludf.DUMMYFUNCTION("""COMPUTED_VALUE"""),"{""typ"":""lc"",""txt"":""LC_ITEM_add_RSSX_usedtip"",""args"":[{""typ"":""int"",""val"":100}]}")</f>
        <v>{"typ":"lc","txt":"LC_ITEM_add_RSSX_usedtip","args":[{"typ":"int","val":100}]}</v>
      </c>
      <c r="M17" s="148">
        <f>IFERROR(__xludf.DUMMYFUNCTION("""COMPUTED_VALUE"""),100.0)</f>
        <v>100</v>
      </c>
      <c r="N17" s="148">
        <f>IFERROR(__xludf.DUMMYFUNCTION("""COMPUTED_VALUE"""),999999.0)</f>
        <v>999999</v>
      </c>
      <c r="O17" s="148">
        <f>IFERROR(__xludf.DUMMYFUNCTION("""COMPUTED_VALUE"""),99999.0)</f>
        <v>99999</v>
      </c>
      <c r="P17" s="148">
        <f>IFERROR(__xludf.DUMMYFUNCTION("""COMPUTED_VALUE"""),99999.0)</f>
        <v>99999</v>
      </c>
      <c r="Q17" s="148" t="str">
        <f>IFERROR(__xludf.DUMMYFUNCTION("""COMPUTED_VALUE"""),"[""bag_asset"",""rss_x""]")</f>
        <v>["bag_asset","rss_x"]</v>
      </c>
      <c r="R17" s="148" t="str">
        <f>IFERROR(__xludf.DUMMYFUNCTION("""COMPUTED_VALUE"""),"[""bag"",""rss_x""]")</f>
        <v>["bag","rss_x"]</v>
      </c>
      <c r="S17" s="148" t="str">
        <f>IFERROR(__xludf.DUMMYFUNCTION("""COMPUTED_VALUE"""),"{""effect"":[{""typ"":""rss"",""id"":11141012,""val"":100}]}")</f>
        <v>{"effect":[{"typ":"rss","id":11141012,"val":100}]}</v>
      </c>
      <c r="T17" s="148">
        <f>IFERROR(__xludf.DUMMYFUNCTION("""COMPUTED_VALUE"""),-1.0)</f>
        <v>-1</v>
      </c>
      <c r="U17" s="148">
        <f>IFERROR(__xludf.DUMMYFUNCTION("""COMPUTED_VALUE"""),0.0)</f>
        <v>0</v>
      </c>
      <c r="V17" s="148" t="str">
        <f>IFERROR(__xludf.DUMMYFUNCTION("""COMPUTED_VALUE"""),"[]")</f>
        <v>[]</v>
      </c>
      <c r="W17" s="148">
        <f>IFERROR(__xludf.DUMMYFUNCTION("""COMPUTED_VALUE"""),1.1741001E7)</f>
        <v>11741001</v>
      </c>
      <c r="X17" s="148">
        <f>IFERROR(__xludf.DUMMYFUNCTION("""COMPUTED_VALUE"""),0.0)</f>
        <v>0</v>
      </c>
      <c r="Y17" s="148">
        <f>IFERROR(__xludf.DUMMYFUNCTION("""COMPUTED_VALUE"""),0.0)</f>
        <v>0</v>
      </c>
      <c r="Z17" s="148"/>
    </row>
    <row r="18">
      <c r="A18" s="148">
        <f>IFERROR(__xludf.DUMMYFUNCTION("""COMPUTED_VALUE"""),1.1111016E7)</f>
        <v>11111016</v>
      </c>
      <c r="B18" s="148" t="str">
        <f>IFERROR(__xludf.DUMMYFUNCTION("""COMPUTED_VALUE"""),"500电池")</f>
        <v>500电池</v>
      </c>
      <c r="C18" s="148"/>
      <c r="D18" s="148" t="str">
        <f>IFERROR(__xludf.DUMMYFUNCTION("""COMPUTED_VALUE"""),"item_rss")</f>
        <v>item_rss</v>
      </c>
      <c r="E18" s="148">
        <f>IFERROR(__xludf.DUMMYFUNCTION("""COMPUTED_VALUE"""),18.0)</f>
        <v>18</v>
      </c>
      <c r="F18" s="148">
        <f>IFERROR(__xludf.DUMMYFUNCTION("""COMPUTED_VALUE"""),104506.0)</f>
        <v>104506</v>
      </c>
      <c r="G18" s="148">
        <f>IFERROR(__xludf.DUMMYFUNCTION("""COMPUTED_VALUE"""),1.5112572E7)</f>
        <v>15112572</v>
      </c>
      <c r="H18" s="148">
        <f>IFERROR(__xludf.DUMMYFUNCTION("""COMPUTED_VALUE"""),1.5112564E7)</f>
        <v>15112564</v>
      </c>
      <c r="I18" s="148" t="str">
        <f>IFERROR(__xludf.DUMMYFUNCTION("""COMPUTED_VALUE"""),"{""typ"":""lc"",""txt"":""LC_ITEM_rss_upper_show"",""args"":[{""typ"":""int_unit"",""val"":500}]}")</f>
        <v>{"typ":"lc","txt":"LC_ITEM_rss_upper_show","args":[{"typ":"int_unit","val":500}]}</v>
      </c>
      <c r="J18" s="148" t="str">
        <f>IFERROR(__xludf.DUMMYFUNCTION("""COMPUTED_VALUE"""),"{""typ"":""lc"",""txt"":""LC_ITEM_add_RSSX_name"",""args"":[{""typ"":""int"",""val"":500}]}")</f>
        <v>{"typ":"lc","txt":"LC_ITEM_add_RSSX_name","args":[{"typ":"int","val":500}]}</v>
      </c>
      <c r="K18" s="148" t="str">
        <f>IFERROR(__xludf.DUMMYFUNCTION("""COMPUTED_VALUE"""),"{""typ"":""lc"",""txt"":""LC_ITEM_add_RSSX_desc"",""args"":[{""typ"":""int"",""val"":500}]}")</f>
        <v>{"typ":"lc","txt":"LC_ITEM_add_RSSX_desc","args":[{"typ":"int","val":500}]}</v>
      </c>
      <c r="L18" s="148" t="str">
        <f>IFERROR(__xludf.DUMMYFUNCTION("""COMPUTED_VALUE"""),"{""typ"":""lc"",""txt"":""LC_ITEM_add_RSSX_usedtip"",""args"":[{""typ"":""int"",""val"":500}]}")</f>
        <v>{"typ":"lc","txt":"LC_ITEM_add_RSSX_usedtip","args":[{"typ":"int","val":500}]}</v>
      </c>
      <c r="M18" s="148">
        <f>IFERROR(__xludf.DUMMYFUNCTION("""COMPUTED_VALUE"""),500.0)</f>
        <v>500</v>
      </c>
      <c r="N18" s="148">
        <f>IFERROR(__xludf.DUMMYFUNCTION("""COMPUTED_VALUE"""),999999.0)</f>
        <v>999999</v>
      </c>
      <c r="O18" s="148">
        <f>IFERROR(__xludf.DUMMYFUNCTION("""COMPUTED_VALUE"""),99999.0)</f>
        <v>99999</v>
      </c>
      <c r="P18" s="148">
        <f>IFERROR(__xludf.DUMMYFUNCTION("""COMPUTED_VALUE"""),99999.0)</f>
        <v>99999</v>
      </c>
      <c r="Q18" s="148" t="str">
        <f>IFERROR(__xludf.DUMMYFUNCTION("""COMPUTED_VALUE"""),"[""bag_asset"",""rss_x""]")</f>
        <v>["bag_asset","rss_x"]</v>
      </c>
      <c r="R18" s="148" t="str">
        <f>IFERROR(__xludf.DUMMYFUNCTION("""COMPUTED_VALUE"""),"[""bag"",""rss_x""]")</f>
        <v>["bag","rss_x"]</v>
      </c>
      <c r="S18" s="148" t="str">
        <f>IFERROR(__xludf.DUMMYFUNCTION("""COMPUTED_VALUE"""),"{""effect"":[{""typ"":""rss"",""id"":11141012,""val"":500}]}")</f>
        <v>{"effect":[{"typ":"rss","id":11141012,"val":500}]}</v>
      </c>
      <c r="T18" s="148">
        <f>IFERROR(__xludf.DUMMYFUNCTION("""COMPUTED_VALUE"""),-1.0)</f>
        <v>-1</v>
      </c>
      <c r="U18" s="148">
        <f>IFERROR(__xludf.DUMMYFUNCTION("""COMPUTED_VALUE"""),0.0)</f>
        <v>0</v>
      </c>
      <c r="V18" s="148" t="str">
        <f>IFERROR(__xludf.DUMMYFUNCTION("""COMPUTED_VALUE"""),"[]")</f>
        <v>[]</v>
      </c>
      <c r="W18" s="148">
        <f>IFERROR(__xludf.DUMMYFUNCTION("""COMPUTED_VALUE"""),1.1741001E7)</f>
        <v>11741001</v>
      </c>
      <c r="X18" s="148">
        <f>IFERROR(__xludf.DUMMYFUNCTION("""COMPUTED_VALUE"""),0.0)</f>
        <v>0</v>
      </c>
      <c r="Y18" s="148">
        <f>IFERROR(__xludf.DUMMYFUNCTION("""COMPUTED_VALUE"""),0.0)</f>
        <v>0</v>
      </c>
      <c r="Z18" s="148"/>
    </row>
    <row r="19">
      <c r="A19" s="148">
        <f>IFERROR(__xludf.DUMMYFUNCTION("""COMPUTED_VALUE"""),1.1111017E7)</f>
        <v>11111017</v>
      </c>
      <c r="B19" s="148" t="str">
        <f>IFERROR(__xludf.DUMMYFUNCTION("""COMPUTED_VALUE"""),"1000粮食")</f>
        <v>1000粮食</v>
      </c>
      <c r="C19" s="148"/>
      <c r="D19" s="148" t="str">
        <f>IFERROR(__xludf.DUMMYFUNCTION("""COMPUTED_VALUE"""),"item_rss")</f>
        <v>item_rss</v>
      </c>
      <c r="E19" s="148">
        <f>IFERROR(__xludf.DUMMYFUNCTION("""COMPUTED_VALUE"""),1.0)</f>
        <v>1</v>
      </c>
      <c r="F19" s="148">
        <f>IFERROR(__xludf.DUMMYFUNCTION("""COMPUTED_VALUE"""),105102.0)</f>
        <v>105102</v>
      </c>
      <c r="G19" s="148">
        <f>IFERROR(__xludf.DUMMYFUNCTION("""COMPUTED_VALUE"""),1.5112577E7)</f>
        <v>15112577</v>
      </c>
      <c r="H19" s="148">
        <f>IFERROR(__xludf.DUMMYFUNCTION("""COMPUTED_VALUE"""),1.511256E7)</f>
        <v>15112560</v>
      </c>
      <c r="I19" s="148" t="str">
        <f>IFERROR(__xludf.DUMMYFUNCTION("""COMPUTED_VALUE"""),"{""typ"":""lc"",""txt"":""LC_ITEM_rss_upper_show"",""args"":[{""typ"":""int_unit"",""val"":1000}]}")</f>
        <v>{"typ":"lc","txt":"LC_ITEM_rss_upper_show","args":[{"typ":"int_unit","val":1000}]}</v>
      </c>
      <c r="J19" s="148" t="str">
        <f>IFERROR(__xludf.DUMMYFUNCTION("""COMPUTED_VALUE"""),"{""typ"":""lc"",""txt"":""LC_ITEM_add_food_name"",""args"":[{""typ"":""int"",""val"":1000}]}")</f>
        <v>{"typ":"lc","txt":"LC_ITEM_add_food_name","args":[{"typ":"int","val":1000}]}</v>
      </c>
      <c r="K19" s="148" t="str">
        <f>IFERROR(__xludf.DUMMYFUNCTION("""COMPUTED_VALUE"""),"{""typ"":""lc"",""txt"":""LC_ITEM_add_food_desc"",""args"":[{""typ"":""int"",""val"":1000}]}")</f>
        <v>{"typ":"lc","txt":"LC_ITEM_add_food_desc","args":[{"typ":"int","val":1000}]}</v>
      </c>
      <c r="L19" s="148" t="str">
        <f>IFERROR(__xludf.DUMMYFUNCTION("""COMPUTED_VALUE"""),"{""typ"":""lc"",""txt"":""LC_ITEM_add_food_usedtip"",""args"":[{""typ"":""int"",""val"":1000}]}")</f>
        <v>{"typ":"lc","txt":"LC_ITEM_add_food_usedtip","args":[{"typ":"int","val":1000}]}</v>
      </c>
      <c r="M19" s="148">
        <f>IFERROR(__xludf.DUMMYFUNCTION("""COMPUTED_VALUE"""),3.0)</f>
        <v>3</v>
      </c>
      <c r="N19" s="148">
        <f>IFERROR(__xludf.DUMMYFUNCTION("""COMPUTED_VALUE"""),999999.0)</f>
        <v>999999</v>
      </c>
      <c r="O19" s="148">
        <f>IFERROR(__xludf.DUMMYFUNCTION("""COMPUTED_VALUE"""),99999.0)</f>
        <v>99999</v>
      </c>
      <c r="P19" s="148">
        <f>IFERROR(__xludf.DUMMYFUNCTION("""COMPUTED_VALUE"""),99999.0)</f>
        <v>99999</v>
      </c>
      <c r="Q19" s="148" t="str">
        <f>IFERROR(__xludf.DUMMYFUNCTION("""COMPUTED_VALUE"""),"[""bag_asset"",""rss_food""]")</f>
        <v>["bag_asset","rss_food"]</v>
      </c>
      <c r="R19" s="148" t="str">
        <f>IFERROR(__xludf.DUMMYFUNCTION("""COMPUTED_VALUE"""),"[""bag"",""rss_food""]")</f>
        <v>["bag","rss_food"]</v>
      </c>
      <c r="S19" s="148" t="str">
        <f>IFERROR(__xludf.DUMMYFUNCTION("""COMPUTED_VALUE"""),"{""effect"":[{""typ"":""rss"",""id"":11141001,""val"":1000}]}")</f>
        <v>{"effect":[{"typ":"rss","id":11141001,"val":1000}]}</v>
      </c>
      <c r="T19" s="148">
        <f>IFERROR(__xludf.DUMMYFUNCTION("""COMPUTED_VALUE"""),-1.0)</f>
        <v>-1</v>
      </c>
      <c r="U19" s="148">
        <f>IFERROR(__xludf.DUMMYFUNCTION("""COMPUTED_VALUE"""),0.0)</f>
        <v>0</v>
      </c>
      <c r="V19" s="148" t="str">
        <f>IFERROR(__xludf.DUMMYFUNCTION("""COMPUTED_VALUE"""),"[]")</f>
        <v>[]</v>
      </c>
      <c r="W19" s="148">
        <f>IFERROR(__xludf.DUMMYFUNCTION("""COMPUTED_VALUE"""),1.1741001E7)</f>
        <v>11741001</v>
      </c>
      <c r="X19" s="148">
        <f>IFERROR(__xludf.DUMMYFUNCTION("""COMPUTED_VALUE"""),0.0)</f>
        <v>0</v>
      </c>
      <c r="Y19" s="148">
        <f>IFERROR(__xludf.DUMMYFUNCTION("""COMPUTED_VALUE"""),0.0)</f>
        <v>0</v>
      </c>
      <c r="Z19" s="148"/>
    </row>
    <row r="20">
      <c r="A20" s="148">
        <f>IFERROR(__xludf.DUMMYFUNCTION("""COMPUTED_VALUE"""),1.1111018E7)</f>
        <v>11111018</v>
      </c>
      <c r="B20" s="148" t="str">
        <f>IFERROR(__xludf.DUMMYFUNCTION("""COMPUTED_VALUE"""),"1000钢铁")</f>
        <v>1000钢铁</v>
      </c>
      <c r="C20" s="148"/>
      <c r="D20" s="148" t="str">
        <f>IFERROR(__xludf.DUMMYFUNCTION("""COMPUTED_VALUE"""),"item_rss")</f>
        <v>item_rss</v>
      </c>
      <c r="E20" s="148">
        <f>IFERROR(__xludf.DUMMYFUNCTION("""COMPUTED_VALUE"""),2.0)</f>
        <v>2</v>
      </c>
      <c r="F20" s="148">
        <f>IFERROR(__xludf.DUMMYFUNCTION("""COMPUTED_VALUE"""),106102.0)</f>
        <v>106102</v>
      </c>
      <c r="G20" s="148">
        <f>IFERROR(__xludf.DUMMYFUNCTION("""COMPUTED_VALUE"""),1.511258E7)</f>
        <v>15112580</v>
      </c>
      <c r="H20" s="148">
        <f>IFERROR(__xludf.DUMMYFUNCTION("""COMPUTED_VALUE"""),1.511256E7)</f>
        <v>15112560</v>
      </c>
      <c r="I20" s="148" t="str">
        <f>IFERROR(__xludf.DUMMYFUNCTION("""COMPUTED_VALUE"""),"{""typ"":""lc"",""txt"":""LC_ITEM_rss_upper_show"",""args"":[{""typ"":""int_unit"",""val"":1000}]}")</f>
        <v>{"typ":"lc","txt":"LC_ITEM_rss_upper_show","args":[{"typ":"int_unit","val":1000}]}</v>
      </c>
      <c r="J20" s="148" t="str">
        <f>IFERROR(__xludf.DUMMYFUNCTION("""COMPUTED_VALUE"""),"{""typ"":""lc"",""txt"":""LC_ITEM_add_iron_name"",""args"":[{""typ"":""int"",""val"":1000}]}")</f>
        <v>{"typ":"lc","txt":"LC_ITEM_add_iron_name","args":[{"typ":"int","val":1000}]}</v>
      </c>
      <c r="K20" s="148" t="str">
        <f>IFERROR(__xludf.DUMMYFUNCTION("""COMPUTED_VALUE"""),"{""typ"":""lc"",""txt"":""LC_ITEM_add_iron_desc"",""args"":[{""typ"":""int"",""val"":1000}]}")</f>
        <v>{"typ":"lc","txt":"LC_ITEM_add_iron_desc","args":[{"typ":"int","val":1000}]}</v>
      </c>
      <c r="L20" s="148" t="str">
        <f>IFERROR(__xludf.DUMMYFUNCTION("""COMPUTED_VALUE"""),"{""typ"":""lc"",""txt"":""LC_ITEM_add_iron_usedtip"",""args"":[{""typ"":""int"",""val"":1000}]}")</f>
        <v>{"typ":"lc","txt":"LC_ITEM_add_iron_usedtip","args":[{"typ":"int","val":1000}]}</v>
      </c>
      <c r="M20" s="148">
        <f>IFERROR(__xludf.DUMMYFUNCTION("""COMPUTED_VALUE"""),3.0)</f>
        <v>3</v>
      </c>
      <c r="N20" s="148">
        <f>IFERROR(__xludf.DUMMYFUNCTION("""COMPUTED_VALUE"""),999999.0)</f>
        <v>999999</v>
      </c>
      <c r="O20" s="148">
        <f>IFERROR(__xludf.DUMMYFUNCTION("""COMPUTED_VALUE"""),99999.0)</f>
        <v>99999</v>
      </c>
      <c r="P20" s="148">
        <f>IFERROR(__xludf.DUMMYFUNCTION("""COMPUTED_VALUE"""),99999.0)</f>
        <v>99999</v>
      </c>
      <c r="Q20" s="148" t="str">
        <f>IFERROR(__xludf.DUMMYFUNCTION("""COMPUTED_VALUE"""),"[""bag_asset"",""rss_iron""]")</f>
        <v>["bag_asset","rss_iron"]</v>
      </c>
      <c r="R20" s="148" t="str">
        <f>IFERROR(__xludf.DUMMYFUNCTION("""COMPUTED_VALUE"""),"[""bag"",""rss_iron""]")</f>
        <v>["bag","rss_iron"]</v>
      </c>
      <c r="S20" s="148" t="str">
        <f>IFERROR(__xludf.DUMMYFUNCTION("""COMPUTED_VALUE"""),"{""effect"":[{""typ"":""rss"",""id"":11141003,""val"":1000}]}")</f>
        <v>{"effect":[{"typ":"rss","id":11141003,"val":1000}]}</v>
      </c>
      <c r="T20" s="148">
        <f>IFERROR(__xludf.DUMMYFUNCTION("""COMPUTED_VALUE"""),-1.0)</f>
        <v>-1</v>
      </c>
      <c r="U20" s="148">
        <f>IFERROR(__xludf.DUMMYFUNCTION("""COMPUTED_VALUE"""),0.0)</f>
        <v>0</v>
      </c>
      <c r="V20" s="148" t="str">
        <f>IFERROR(__xludf.DUMMYFUNCTION("""COMPUTED_VALUE"""),"[]")</f>
        <v>[]</v>
      </c>
      <c r="W20" s="148">
        <f>IFERROR(__xludf.DUMMYFUNCTION("""COMPUTED_VALUE"""),1.1741001E7)</f>
        <v>11741001</v>
      </c>
      <c r="X20" s="148">
        <f>IFERROR(__xludf.DUMMYFUNCTION("""COMPUTED_VALUE"""),0.0)</f>
        <v>0</v>
      </c>
      <c r="Y20" s="148">
        <f>IFERROR(__xludf.DUMMYFUNCTION("""COMPUTED_VALUE"""),0.0)</f>
        <v>0</v>
      </c>
      <c r="Z20" s="148"/>
    </row>
    <row r="21">
      <c r="A21" s="148">
        <f>IFERROR(__xludf.DUMMYFUNCTION("""COMPUTED_VALUE"""),1.1111019E7)</f>
        <v>11111019</v>
      </c>
      <c r="B21" s="148" t="str">
        <f>IFERROR(__xludf.DUMMYFUNCTION("""COMPUTED_VALUE"""),"10CDs")</f>
        <v>10CDs</v>
      </c>
      <c r="C21" s="148"/>
      <c r="D21" s="148" t="str">
        <f>IFERROR(__xludf.DUMMYFUNCTION("""COMPUTED_VALUE"""),"item_rss")</f>
        <v>item_rss</v>
      </c>
      <c r="E21" s="148">
        <f>IFERROR(__xludf.DUMMYFUNCTION("""COMPUTED_VALUE"""),22.0)</f>
        <v>22</v>
      </c>
      <c r="F21" s="148">
        <f>IFERROR(__xludf.DUMMYFUNCTION("""COMPUTED_VALUE"""),103303.0)</f>
        <v>103303</v>
      </c>
      <c r="G21" s="148">
        <f>IFERROR(__xludf.DUMMYFUNCTION("""COMPUTED_VALUE"""),1.5112582E7)</f>
        <v>15112582</v>
      </c>
      <c r="H21" s="148">
        <f>IFERROR(__xludf.DUMMYFUNCTION("""COMPUTED_VALUE"""),1.5112562E7)</f>
        <v>15112562</v>
      </c>
      <c r="I21" s="148" t="str">
        <f>IFERROR(__xludf.DUMMYFUNCTION("""COMPUTED_VALUE"""),"{""typ"":""lc"",""txt"":""LC_ITEM_rss_upper_show"",""args"":[{""typ"":""int_unit"",""val"":10}]}")</f>
        <v>{"typ":"lc","txt":"LC_ITEM_rss_upper_show","args":[{"typ":"int_unit","val":10}]}</v>
      </c>
      <c r="J21" s="148" t="str">
        <f>IFERROR(__xludf.DUMMYFUNCTION("""COMPUTED_VALUE"""),"{""typ"":""lc"",""txt"":""LC_ITEM_add_CD_name"",""args"":[{""typ"":""int"",""val"":10}]}")</f>
        <v>{"typ":"lc","txt":"LC_ITEM_add_CD_name","args":[{"typ":"int","val":10}]}</v>
      </c>
      <c r="K21" s="148" t="str">
        <f>IFERROR(__xludf.DUMMYFUNCTION("""COMPUTED_VALUE"""),"{""typ"":""lc"",""txt"":""LC_ITEM_add_CD_desc"",""args"":[{""typ"":""int"",""val"":10}]}")</f>
        <v>{"typ":"lc","txt":"LC_ITEM_add_CD_desc","args":[{"typ":"int","val":10}]}</v>
      </c>
      <c r="L21" s="148" t="str">
        <f>IFERROR(__xludf.DUMMYFUNCTION("""COMPUTED_VALUE"""),"{""typ"":""lc"",""txt"":""LC_ITEM_add_CD_usedtip"",""args"":[{""typ"":""int"",""val"":10}]}")</f>
        <v>{"typ":"lc","txt":"LC_ITEM_add_CD_usedtip","args":[{"typ":"int","val":10}]}</v>
      </c>
      <c r="M21" s="148">
        <f>IFERROR(__xludf.DUMMYFUNCTION("""COMPUTED_VALUE"""),10.0)</f>
        <v>10</v>
      </c>
      <c r="N21" s="148">
        <f>IFERROR(__xludf.DUMMYFUNCTION("""COMPUTED_VALUE"""),999999.0)</f>
        <v>999999</v>
      </c>
      <c r="O21" s="148">
        <f>IFERROR(__xludf.DUMMYFUNCTION("""COMPUTED_VALUE"""),99999.0)</f>
        <v>99999</v>
      </c>
      <c r="P21" s="148">
        <f>IFERROR(__xludf.DUMMYFUNCTION("""COMPUTED_VALUE"""),99999.0)</f>
        <v>99999</v>
      </c>
      <c r="Q21" s="148" t="str">
        <f>IFERROR(__xludf.DUMMYFUNCTION("""COMPUTED_VALUE"""),"[""bag_asset""]")</f>
        <v>["bag_asset"]</v>
      </c>
      <c r="R21" s="148" t="str">
        <f>IFERROR(__xludf.DUMMYFUNCTION("""COMPUTED_VALUE"""),"[""bag""]")</f>
        <v>["bag"]</v>
      </c>
      <c r="S21" s="148" t="str">
        <f>IFERROR(__xludf.DUMMYFUNCTION("""COMPUTED_VALUE"""),"{""effect"":[{""typ"":""vm"",""id"":11151001,""val"":10}]}")</f>
        <v>{"effect":[{"typ":"vm","id":11151001,"val":10}]}</v>
      </c>
      <c r="T21" s="148">
        <f>IFERROR(__xludf.DUMMYFUNCTION("""COMPUTED_VALUE"""),-1.0)</f>
        <v>-1</v>
      </c>
      <c r="U21" s="148">
        <f>IFERROR(__xludf.DUMMYFUNCTION("""COMPUTED_VALUE"""),0.0)</f>
        <v>0</v>
      </c>
      <c r="V21" s="148" t="str">
        <f>IFERROR(__xludf.DUMMYFUNCTION("""COMPUTED_VALUE"""),"[]")</f>
        <v>[]</v>
      </c>
      <c r="W21" s="148">
        <f>IFERROR(__xludf.DUMMYFUNCTION("""COMPUTED_VALUE"""),1.1741004E7)</f>
        <v>11741004</v>
      </c>
      <c r="X21" s="148">
        <f>IFERROR(__xludf.DUMMYFUNCTION("""COMPUTED_VALUE"""),0.0)</f>
        <v>0</v>
      </c>
      <c r="Y21" s="148">
        <f>IFERROR(__xludf.DUMMYFUNCTION("""COMPUTED_VALUE"""),0.0)</f>
        <v>0</v>
      </c>
      <c r="Z21" s="148"/>
    </row>
    <row r="22">
      <c r="A22" s="148">
        <f>IFERROR(__xludf.DUMMYFUNCTION("""COMPUTED_VALUE"""),1.111102E7)</f>
        <v>11111020</v>
      </c>
      <c r="B22" s="148" t="str">
        <f>IFERROR(__xludf.DUMMYFUNCTION("""COMPUTED_VALUE"""),"50CDs")</f>
        <v>50CDs</v>
      </c>
      <c r="C22" s="148"/>
      <c r="D22" s="148" t="str">
        <f>IFERROR(__xludf.DUMMYFUNCTION("""COMPUTED_VALUE"""),"item_rss")</f>
        <v>item_rss</v>
      </c>
      <c r="E22" s="148">
        <f>IFERROR(__xludf.DUMMYFUNCTION("""COMPUTED_VALUE"""),22.0)</f>
        <v>22</v>
      </c>
      <c r="F22" s="148">
        <f>IFERROR(__xludf.DUMMYFUNCTION("""COMPUTED_VALUE"""),103505.0)</f>
        <v>103505</v>
      </c>
      <c r="G22" s="148">
        <f>IFERROR(__xludf.DUMMYFUNCTION("""COMPUTED_VALUE"""),1.5112582E7)</f>
        <v>15112582</v>
      </c>
      <c r="H22" s="148">
        <f>IFERROR(__xludf.DUMMYFUNCTION("""COMPUTED_VALUE"""),1.5112564E7)</f>
        <v>15112564</v>
      </c>
      <c r="I22" s="148" t="str">
        <f>IFERROR(__xludf.DUMMYFUNCTION("""COMPUTED_VALUE"""),"{""typ"":""lc"",""txt"":""LC_ITEM_rss_upper_show"",""args"":[{""typ"":""int_unit"",""val"":50}]}")</f>
        <v>{"typ":"lc","txt":"LC_ITEM_rss_upper_show","args":[{"typ":"int_unit","val":50}]}</v>
      </c>
      <c r="J22" s="148" t="str">
        <f>IFERROR(__xludf.DUMMYFUNCTION("""COMPUTED_VALUE"""),"{""typ"":""lc"",""txt"":""LC_ITEM_add_CD_name"",""args"":[{""typ"":""int"",""val"":50}]}")</f>
        <v>{"typ":"lc","txt":"LC_ITEM_add_CD_name","args":[{"typ":"int","val":50}]}</v>
      </c>
      <c r="K22" s="148" t="str">
        <f>IFERROR(__xludf.DUMMYFUNCTION("""COMPUTED_VALUE"""),"{""typ"":""lc"",""txt"":""LC_ITEM_add_CD_desc"",""args"":[{""typ"":""int"",""val"":50}]}")</f>
        <v>{"typ":"lc","txt":"LC_ITEM_add_CD_desc","args":[{"typ":"int","val":50}]}</v>
      </c>
      <c r="L22" s="148" t="str">
        <f>IFERROR(__xludf.DUMMYFUNCTION("""COMPUTED_VALUE"""),"{""typ"":""lc"",""txt"":""LC_ITEM_add_CD_usedtip"",""args"":[{""typ"":""int"",""val"":50}]}")</f>
        <v>{"typ":"lc","txt":"LC_ITEM_add_CD_usedtip","args":[{"typ":"int","val":50}]}</v>
      </c>
      <c r="M22" s="148">
        <f>IFERROR(__xludf.DUMMYFUNCTION("""COMPUTED_VALUE"""),50.0)</f>
        <v>50</v>
      </c>
      <c r="N22" s="148">
        <f>IFERROR(__xludf.DUMMYFUNCTION("""COMPUTED_VALUE"""),999999.0)</f>
        <v>999999</v>
      </c>
      <c r="O22" s="148">
        <f>IFERROR(__xludf.DUMMYFUNCTION("""COMPUTED_VALUE"""),99999.0)</f>
        <v>99999</v>
      </c>
      <c r="P22" s="148">
        <f>IFERROR(__xludf.DUMMYFUNCTION("""COMPUTED_VALUE"""),99999.0)</f>
        <v>99999</v>
      </c>
      <c r="Q22" s="148" t="str">
        <f>IFERROR(__xludf.DUMMYFUNCTION("""COMPUTED_VALUE"""),"[""bag_asset""]")</f>
        <v>["bag_asset"]</v>
      </c>
      <c r="R22" s="148" t="str">
        <f>IFERROR(__xludf.DUMMYFUNCTION("""COMPUTED_VALUE"""),"[""bag""]")</f>
        <v>["bag"]</v>
      </c>
      <c r="S22" s="148" t="str">
        <f>IFERROR(__xludf.DUMMYFUNCTION("""COMPUTED_VALUE"""),"{""effect"":[{""typ"":""vm"",""id"":11151001,""val"":50}]}")</f>
        <v>{"effect":[{"typ":"vm","id":11151001,"val":50}]}</v>
      </c>
      <c r="T22" s="148">
        <f>IFERROR(__xludf.DUMMYFUNCTION("""COMPUTED_VALUE"""),-1.0)</f>
        <v>-1</v>
      </c>
      <c r="U22" s="148">
        <f>IFERROR(__xludf.DUMMYFUNCTION("""COMPUTED_VALUE"""),0.0)</f>
        <v>0</v>
      </c>
      <c r="V22" s="148" t="str">
        <f>IFERROR(__xludf.DUMMYFUNCTION("""COMPUTED_VALUE"""),"[]")</f>
        <v>[]</v>
      </c>
      <c r="W22" s="148">
        <f>IFERROR(__xludf.DUMMYFUNCTION("""COMPUTED_VALUE"""),1.1741004E7)</f>
        <v>11741004</v>
      </c>
      <c r="X22" s="148">
        <f>IFERROR(__xludf.DUMMYFUNCTION("""COMPUTED_VALUE"""),0.0)</f>
        <v>0</v>
      </c>
      <c r="Y22" s="148">
        <f>IFERROR(__xludf.DUMMYFUNCTION("""COMPUTED_VALUE"""),0.0)</f>
        <v>0</v>
      </c>
      <c r="Z22" s="148"/>
    </row>
    <row r="23">
      <c r="A23" s="148">
        <f>IFERROR(__xludf.DUMMYFUNCTION("""COMPUTED_VALUE"""),1.1111021E7)</f>
        <v>11111021</v>
      </c>
      <c r="B23" s="148" t="str">
        <f>IFERROR(__xludf.DUMMYFUNCTION("""COMPUTED_VALUE"""),"200CDs")</f>
        <v>200CDs</v>
      </c>
      <c r="C23" s="148"/>
      <c r="D23" s="148" t="str">
        <f>IFERROR(__xludf.DUMMYFUNCTION("""COMPUTED_VALUE"""),"item_rss")</f>
        <v>item_rss</v>
      </c>
      <c r="E23" s="148">
        <f>IFERROR(__xludf.DUMMYFUNCTION("""COMPUTED_VALUE"""),22.0)</f>
        <v>22</v>
      </c>
      <c r="F23" s="148">
        <f>IFERROR(__xludf.DUMMYFUNCTION("""COMPUTED_VALUE"""),103507.0)</f>
        <v>103507</v>
      </c>
      <c r="G23" s="148">
        <f>IFERROR(__xludf.DUMMYFUNCTION("""COMPUTED_VALUE"""),1.5112582E7)</f>
        <v>15112582</v>
      </c>
      <c r="H23" s="148">
        <f>IFERROR(__xludf.DUMMYFUNCTION("""COMPUTED_VALUE"""),1.5112564E7)</f>
        <v>15112564</v>
      </c>
      <c r="I23" s="148" t="str">
        <f>IFERROR(__xludf.DUMMYFUNCTION("""COMPUTED_VALUE"""),"{""typ"":""lc"",""txt"":""LC_ITEM_rss_upper_show"",""args"":[{""typ"":""int_unit"",""val"":200}]}")</f>
        <v>{"typ":"lc","txt":"LC_ITEM_rss_upper_show","args":[{"typ":"int_unit","val":200}]}</v>
      </c>
      <c r="J23" s="148" t="str">
        <f>IFERROR(__xludf.DUMMYFUNCTION("""COMPUTED_VALUE"""),"{""typ"":""lc"",""txt"":""LC_ITEM_add_CD_name"",""args"":[{""typ"":""int"",""val"":200}]}")</f>
        <v>{"typ":"lc","txt":"LC_ITEM_add_CD_name","args":[{"typ":"int","val":200}]}</v>
      </c>
      <c r="K23" s="148" t="str">
        <f>IFERROR(__xludf.DUMMYFUNCTION("""COMPUTED_VALUE"""),"{""typ"":""lc"",""txt"":""LC_ITEM_add_CD_desc"",""args"":[{""typ"":""int"",""val"":200}]}")</f>
        <v>{"typ":"lc","txt":"LC_ITEM_add_CD_desc","args":[{"typ":"int","val":200}]}</v>
      </c>
      <c r="L23" s="148" t="str">
        <f>IFERROR(__xludf.DUMMYFUNCTION("""COMPUTED_VALUE"""),"{""typ"":""lc"",""txt"":""LC_ITEM_add_CD_usedtip"",""args"":[{""typ"":""int"",""val"":200}]}")</f>
        <v>{"typ":"lc","txt":"LC_ITEM_add_CD_usedtip","args":[{"typ":"int","val":200}]}</v>
      </c>
      <c r="M23" s="148">
        <f>IFERROR(__xludf.DUMMYFUNCTION("""COMPUTED_VALUE"""),200.0)</f>
        <v>200</v>
      </c>
      <c r="N23" s="148">
        <f>IFERROR(__xludf.DUMMYFUNCTION("""COMPUTED_VALUE"""),999999.0)</f>
        <v>999999</v>
      </c>
      <c r="O23" s="148">
        <f>IFERROR(__xludf.DUMMYFUNCTION("""COMPUTED_VALUE"""),99999.0)</f>
        <v>99999</v>
      </c>
      <c r="P23" s="148">
        <f>IFERROR(__xludf.DUMMYFUNCTION("""COMPUTED_VALUE"""),99999.0)</f>
        <v>99999</v>
      </c>
      <c r="Q23" s="148" t="str">
        <f>IFERROR(__xludf.DUMMYFUNCTION("""COMPUTED_VALUE"""),"[""bag_asset""]")</f>
        <v>["bag_asset"]</v>
      </c>
      <c r="R23" s="148" t="str">
        <f>IFERROR(__xludf.DUMMYFUNCTION("""COMPUTED_VALUE"""),"[""bag""]")</f>
        <v>["bag"]</v>
      </c>
      <c r="S23" s="148" t="str">
        <f>IFERROR(__xludf.DUMMYFUNCTION("""COMPUTED_VALUE"""),"{""effect"":[{""typ"":""vm"",""id"":11151001,""val"":200}]}")</f>
        <v>{"effect":[{"typ":"vm","id":11151001,"val":200}]}</v>
      </c>
      <c r="T23" s="148">
        <f>IFERROR(__xludf.DUMMYFUNCTION("""COMPUTED_VALUE"""),-1.0)</f>
        <v>-1</v>
      </c>
      <c r="U23" s="148">
        <f>IFERROR(__xludf.DUMMYFUNCTION("""COMPUTED_VALUE"""),0.0)</f>
        <v>0</v>
      </c>
      <c r="V23" s="148" t="str">
        <f>IFERROR(__xludf.DUMMYFUNCTION("""COMPUTED_VALUE"""),"[]")</f>
        <v>[]</v>
      </c>
      <c r="W23" s="148">
        <f>IFERROR(__xludf.DUMMYFUNCTION("""COMPUTED_VALUE"""),1.1741004E7)</f>
        <v>11741004</v>
      </c>
      <c r="X23" s="148">
        <f>IFERROR(__xludf.DUMMYFUNCTION("""COMPUTED_VALUE"""),0.0)</f>
        <v>0</v>
      </c>
      <c r="Y23" s="148">
        <f>IFERROR(__xludf.DUMMYFUNCTION("""COMPUTED_VALUE"""),0.0)</f>
        <v>0</v>
      </c>
      <c r="Z23" s="148"/>
    </row>
    <row r="24">
      <c r="A24" s="148">
        <f>IFERROR(__xludf.DUMMYFUNCTION("""COMPUTED_VALUE"""),1.1111022E7)</f>
        <v>11111022</v>
      </c>
      <c r="B24" s="148" t="str">
        <f>IFERROR(__xludf.DUMMYFUNCTION("""COMPUTED_VALUE"""),"500CDs")</f>
        <v>500CDs</v>
      </c>
      <c r="C24" s="148"/>
      <c r="D24" s="148" t="str">
        <f>IFERROR(__xludf.DUMMYFUNCTION("""COMPUTED_VALUE"""),"item_rss")</f>
        <v>item_rss</v>
      </c>
      <c r="E24" s="148">
        <f>IFERROR(__xludf.DUMMYFUNCTION("""COMPUTED_VALUE"""),22.0)</f>
        <v>22</v>
      </c>
      <c r="F24" s="148">
        <f>IFERROR(__xludf.DUMMYFUNCTION("""COMPUTED_VALUE"""),103509.0)</f>
        <v>103509</v>
      </c>
      <c r="G24" s="148">
        <f>IFERROR(__xludf.DUMMYFUNCTION("""COMPUTED_VALUE"""),1.5112582E7)</f>
        <v>15112582</v>
      </c>
      <c r="H24" s="148">
        <f>IFERROR(__xludf.DUMMYFUNCTION("""COMPUTED_VALUE"""),1.5112564E7)</f>
        <v>15112564</v>
      </c>
      <c r="I24" s="148" t="str">
        <f>IFERROR(__xludf.DUMMYFUNCTION("""COMPUTED_VALUE"""),"{""typ"":""lc"",""txt"":""LC_ITEM_rss_upper_show"",""args"":[{""typ"":""int_unit"",""val"":500}]}")</f>
        <v>{"typ":"lc","txt":"LC_ITEM_rss_upper_show","args":[{"typ":"int_unit","val":500}]}</v>
      </c>
      <c r="J24" s="148" t="str">
        <f>IFERROR(__xludf.DUMMYFUNCTION("""COMPUTED_VALUE"""),"{""typ"":""lc"",""txt"":""LC_ITEM_add_CD_name"",""args"":[{""typ"":""int"",""val"":500}]}")</f>
        <v>{"typ":"lc","txt":"LC_ITEM_add_CD_name","args":[{"typ":"int","val":500}]}</v>
      </c>
      <c r="K24" s="148" t="str">
        <f>IFERROR(__xludf.DUMMYFUNCTION("""COMPUTED_VALUE"""),"{""typ"":""lc"",""txt"":""LC_ITEM_add_CD_desc"",""args"":[{""typ"":""int"",""val"":500}]}")</f>
        <v>{"typ":"lc","txt":"LC_ITEM_add_CD_desc","args":[{"typ":"int","val":500}]}</v>
      </c>
      <c r="L24" s="148" t="str">
        <f>IFERROR(__xludf.DUMMYFUNCTION("""COMPUTED_VALUE"""),"{""typ"":""lc"",""txt"":""LC_ITEM_add_CD_usedtip"",""args"":[{""typ"":""int"",""val"":500}]}")</f>
        <v>{"typ":"lc","txt":"LC_ITEM_add_CD_usedtip","args":[{"typ":"int","val":500}]}</v>
      </c>
      <c r="M24" s="148">
        <f>IFERROR(__xludf.DUMMYFUNCTION("""COMPUTED_VALUE"""),500.0)</f>
        <v>500</v>
      </c>
      <c r="N24" s="148">
        <f>IFERROR(__xludf.DUMMYFUNCTION("""COMPUTED_VALUE"""),999999.0)</f>
        <v>999999</v>
      </c>
      <c r="O24" s="148">
        <f>IFERROR(__xludf.DUMMYFUNCTION("""COMPUTED_VALUE"""),99999.0)</f>
        <v>99999</v>
      </c>
      <c r="P24" s="148">
        <f>IFERROR(__xludf.DUMMYFUNCTION("""COMPUTED_VALUE"""),99999.0)</f>
        <v>99999</v>
      </c>
      <c r="Q24" s="148" t="str">
        <f>IFERROR(__xludf.DUMMYFUNCTION("""COMPUTED_VALUE"""),"[""bag_asset""]")</f>
        <v>["bag_asset"]</v>
      </c>
      <c r="R24" s="148" t="str">
        <f>IFERROR(__xludf.DUMMYFUNCTION("""COMPUTED_VALUE"""),"[""bag""]")</f>
        <v>["bag"]</v>
      </c>
      <c r="S24" s="148" t="str">
        <f>IFERROR(__xludf.DUMMYFUNCTION("""COMPUTED_VALUE"""),"{""effect"":[{""typ"":""vm"",""id"":11151001,""val"":500}]}")</f>
        <v>{"effect":[{"typ":"vm","id":11151001,"val":500}]}</v>
      </c>
      <c r="T24" s="148">
        <f>IFERROR(__xludf.DUMMYFUNCTION("""COMPUTED_VALUE"""),-1.0)</f>
        <v>-1</v>
      </c>
      <c r="U24" s="148">
        <f>IFERROR(__xludf.DUMMYFUNCTION("""COMPUTED_VALUE"""),0.0)</f>
        <v>0</v>
      </c>
      <c r="V24" s="148" t="str">
        <f>IFERROR(__xludf.DUMMYFUNCTION("""COMPUTED_VALUE"""),"[]")</f>
        <v>[]</v>
      </c>
      <c r="W24" s="148">
        <f>IFERROR(__xludf.DUMMYFUNCTION("""COMPUTED_VALUE"""),1.1741004E7)</f>
        <v>11741004</v>
      </c>
      <c r="X24" s="148">
        <f>IFERROR(__xludf.DUMMYFUNCTION("""COMPUTED_VALUE"""),0.0)</f>
        <v>0</v>
      </c>
      <c r="Y24" s="148">
        <f>IFERROR(__xludf.DUMMYFUNCTION("""COMPUTED_VALUE"""),0.0)</f>
        <v>0</v>
      </c>
      <c r="Z24" s="148"/>
    </row>
    <row r="25">
      <c r="A25" s="148">
        <f>IFERROR(__xludf.DUMMYFUNCTION("""COMPUTED_VALUE"""),1.1111023E7)</f>
        <v>11111023</v>
      </c>
      <c r="B25" s="148" t="str">
        <f>IFERROR(__xludf.DUMMYFUNCTION("""COMPUTED_VALUE"""),"500粮食")</f>
        <v>500粮食</v>
      </c>
      <c r="C25" s="148"/>
      <c r="D25" s="148" t="str">
        <f>IFERROR(__xludf.DUMMYFUNCTION("""COMPUTED_VALUE"""),"item_rss")</f>
        <v>item_rss</v>
      </c>
      <c r="E25" s="148">
        <f>IFERROR(__xludf.DUMMYFUNCTION("""COMPUTED_VALUE"""),1.0)</f>
        <v>1</v>
      </c>
      <c r="F25" s="148">
        <f>IFERROR(__xludf.DUMMYFUNCTION("""COMPUTED_VALUE"""),105101.0)</f>
        <v>105101</v>
      </c>
      <c r="G25" s="148">
        <f>IFERROR(__xludf.DUMMYFUNCTION("""COMPUTED_VALUE"""),1.5112577E7)</f>
        <v>15112577</v>
      </c>
      <c r="H25" s="148">
        <f>IFERROR(__xludf.DUMMYFUNCTION("""COMPUTED_VALUE"""),1.511256E7)</f>
        <v>15112560</v>
      </c>
      <c r="I25" s="148" t="str">
        <f>IFERROR(__xludf.DUMMYFUNCTION("""COMPUTED_VALUE"""),"{""typ"":""lc"",""txt"":""LC_ITEM_rss_upper_show"",""args"":[{""typ"":""int_unit"",""val"":500}]}")</f>
        <v>{"typ":"lc","txt":"LC_ITEM_rss_upper_show","args":[{"typ":"int_unit","val":500}]}</v>
      </c>
      <c r="J25" s="148" t="str">
        <f>IFERROR(__xludf.DUMMYFUNCTION("""COMPUTED_VALUE"""),"{""typ"":""lc"",""txt"":""LC_ITEM_add_food_name"",""args"":[{""typ"":""int"",""val"":500}]}")</f>
        <v>{"typ":"lc","txt":"LC_ITEM_add_food_name","args":[{"typ":"int","val":500}]}</v>
      </c>
      <c r="K25" s="148" t="str">
        <f>IFERROR(__xludf.DUMMYFUNCTION("""COMPUTED_VALUE"""),"{""typ"":""lc"",""txt"":""LC_ITEM_add_food_desc"",""args"":[{""typ"":""int"",""val"":500}]}")</f>
        <v>{"typ":"lc","txt":"LC_ITEM_add_food_desc","args":[{"typ":"int","val":500}]}</v>
      </c>
      <c r="L25" s="148" t="str">
        <f>IFERROR(__xludf.DUMMYFUNCTION("""COMPUTED_VALUE"""),"{""typ"":""lc"",""txt"":""LC_ITEM_add_food_usedtip"",""args"":[{""typ"":""int"",""val"":500}]}")</f>
        <v>{"typ":"lc","txt":"LC_ITEM_add_food_usedtip","args":[{"typ":"int","val":500}]}</v>
      </c>
      <c r="M25" s="148">
        <f>IFERROR(__xludf.DUMMYFUNCTION("""COMPUTED_VALUE"""),2.0)</f>
        <v>2</v>
      </c>
      <c r="N25" s="148">
        <f>IFERROR(__xludf.DUMMYFUNCTION("""COMPUTED_VALUE"""),999999.0)</f>
        <v>999999</v>
      </c>
      <c r="O25" s="148">
        <f>IFERROR(__xludf.DUMMYFUNCTION("""COMPUTED_VALUE"""),99999.0)</f>
        <v>99999</v>
      </c>
      <c r="P25" s="148">
        <f>IFERROR(__xludf.DUMMYFUNCTION("""COMPUTED_VALUE"""),99999.0)</f>
        <v>99999</v>
      </c>
      <c r="Q25" s="148" t="str">
        <f>IFERROR(__xludf.DUMMYFUNCTION("""COMPUTED_VALUE"""),"[""bag_asset"",""rss_food""]")</f>
        <v>["bag_asset","rss_food"]</v>
      </c>
      <c r="R25" s="148" t="str">
        <f>IFERROR(__xludf.DUMMYFUNCTION("""COMPUTED_VALUE"""),"[""bag"",""rss_food""]")</f>
        <v>["bag","rss_food"]</v>
      </c>
      <c r="S25" s="148" t="str">
        <f>IFERROR(__xludf.DUMMYFUNCTION("""COMPUTED_VALUE"""),"{""effect"":[{""typ"":""rss"",""id"":11141001,""val"":500}]}")</f>
        <v>{"effect":[{"typ":"rss","id":11141001,"val":500}]}</v>
      </c>
      <c r="T25" s="148">
        <f>IFERROR(__xludf.DUMMYFUNCTION("""COMPUTED_VALUE"""),-1.0)</f>
        <v>-1</v>
      </c>
      <c r="U25" s="148">
        <f>IFERROR(__xludf.DUMMYFUNCTION("""COMPUTED_VALUE"""),0.0)</f>
        <v>0</v>
      </c>
      <c r="V25" s="148" t="str">
        <f>IFERROR(__xludf.DUMMYFUNCTION("""COMPUTED_VALUE"""),"[]")</f>
        <v>[]</v>
      </c>
      <c r="W25" s="148">
        <f>IFERROR(__xludf.DUMMYFUNCTION("""COMPUTED_VALUE"""),1.1741001E7)</f>
        <v>11741001</v>
      </c>
      <c r="X25" s="148">
        <f>IFERROR(__xludf.DUMMYFUNCTION("""COMPUTED_VALUE"""),0.0)</f>
        <v>0</v>
      </c>
      <c r="Y25" s="148">
        <f>IFERROR(__xludf.DUMMYFUNCTION("""COMPUTED_VALUE"""),0.0)</f>
        <v>0</v>
      </c>
      <c r="Z25" s="148"/>
    </row>
    <row r="26">
      <c r="A26" s="148">
        <f>IFERROR(__xludf.DUMMYFUNCTION("""COMPUTED_VALUE"""),1.1111024E7)</f>
        <v>11111024</v>
      </c>
      <c r="B26" s="148" t="str">
        <f>IFERROR(__xludf.DUMMYFUNCTION("""COMPUTED_VALUE"""),"500钢铁")</f>
        <v>500钢铁</v>
      </c>
      <c r="C26" s="148"/>
      <c r="D26" s="148" t="str">
        <f>IFERROR(__xludf.DUMMYFUNCTION("""COMPUTED_VALUE"""),"item_rss")</f>
        <v>item_rss</v>
      </c>
      <c r="E26" s="148">
        <f>IFERROR(__xludf.DUMMYFUNCTION("""COMPUTED_VALUE"""),2.0)</f>
        <v>2</v>
      </c>
      <c r="F26" s="148">
        <f>IFERROR(__xludf.DUMMYFUNCTION("""COMPUTED_VALUE"""),106101.0)</f>
        <v>106101</v>
      </c>
      <c r="G26" s="148">
        <f>IFERROR(__xludf.DUMMYFUNCTION("""COMPUTED_VALUE"""),1.511258E7)</f>
        <v>15112580</v>
      </c>
      <c r="H26" s="148">
        <f>IFERROR(__xludf.DUMMYFUNCTION("""COMPUTED_VALUE"""),1.511256E7)</f>
        <v>15112560</v>
      </c>
      <c r="I26" s="148" t="str">
        <f>IFERROR(__xludf.DUMMYFUNCTION("""COMPUTED_VALUE"""),"{""typ"":""lc"",""txt"":""LC_ITEM_rss_upper_show"",""args"":[{""typ"":""int_unit"",""val"":500}]}")</f>
        <v>{"typ":"lc","txt":"LC_ITEM_rss_upper_show","args":[{"typ":"int_unit","val":500}]}</v>
      </c>
      <c r="J26" s="148" t="str">
        <f>IFERROR(__xludf.DUMMYFUNCTION("""COMPUTED_VALUE"""),"{""typ"":""lc"",""txt"":""LC_ITEM_add_iron_name"",""args"":[{""typ"":""int"",""val"":500}]}")</f>
        <v>{"typ":"lc","txt":"LC_ITEM_add_iron_name","args":[{"typ":"int","val":500}]}</v>
      </c>
      <c r="K26" s="148" t="str">
        <f>IFERROR(__xludf.DUMMYFUNCTION("""COMPUTED_VALUE"""),"{""typ"":""lc"",""txt"":""LC_ITEM_add_iron_desc"",""args"":[{""typ"":""int"",""val"":500}]}")</f>
        <v>{"typ":"lc","txt":"LC_ITEM_add_iron_desc","args":[{"typ":"int","val":500}]}</v>
      </c>
      <c r="L26" s="148" t="str">
        <f>IFERROR(__xludf.DUMMYFUNCTION("""COMPUTED_VALUE"""),"{""typ"":""lc"",""txt"":""LC_ITEM_add_iron_usedtip"",""args"":[{""typ"":""int"",""val"":500}]}")</f>
        <v>{"typ":"lc","txt":"LC_ITEM_add_iron_usedtip","args":[{"typ":"int","val":500}]}</v>
      </c>
      <c r="M26" s="148">
        <f>IFERROR(__xludf.DUMMYFUNCTION("""COMPUTED_VALUE"""),2.0)</f>
        <v>2</v>
      </c>
      <c r="N26" s="148">
        <f>IFERROR(__xludf.DUMMYFUNCTION("""COMPUTED_VALUE"""),999999.0)</f>
        <v>999999</v>
      </c>
      <c r="O26" s="148">
        <f>IFERROR(__xludf.DUMMYFUNCTION("""COMPUTED_VALUE"""),99999.0)</f>
        <v>99999</v>
      </c>
      <c r="P26" s="148">
        <f>IFERROR(__xludf.DUMMYFUNCTION("""COMPUTED_VALUE"""),99999.0)</f>
        <v>99999</v>
      </c>
      <c r="Q26" s="148" t="str">
        <f>IFERROR(__xludf.DUMMYFUNCTION("""COMPUTED_VALUE"""),"[""bag_asset"",""rss_iron""]")</f>
        <v>["bag_asset","rss_iron"]</v>
      </c>
      <c r="R26" s="148" t="str">
        <f>IFERROR(__xludf.DUMMYFUNCTION("""COMPUTED_VALUE"""),"[""bag"",""rss_iron""]")</f>
        <v>["bag","rss_iron"]</v>
      </c>
      <c r="S26" s="148" t="str">
        <f>IFERROR(__xludf.DUMMYFUNCTION("""COMPUTED_VALUE"""),"{""effect"":[{""typ"":""rss"",""id"":11141003,""val"":500}]}")</f>
        <v>{"effect":[{"typ":"rss","id":11141003,"val":500}]}</v>
      </c>
      <c r="T26" s="148">
        <f>IFERROR(__xludf.DUMMYFUNCTION("""COMPUTED_VALUE"""),-1.0)</f>
        <v>-1</v>
      </c>
      <c r="U26" s="148">
        <f>IFERROR(__xludf.DUMMYFUNCTION("""COMPUTED_VALUE"""),0.0)</f>
        <v>0</v>
      </c>
      <c r="V26" s="148" t="str">
        <f>IFERROR(__xludf.DUMMYFUNCTION("""COMPUTED_VALUE"""),"[]")</f>
        <v>[]</v>
      </c>
      <c r="W26" s="148">
        <f>IFERROR(__xludf.DUMMYFUNCTION("""COMPUTED_VALUE"""),1.1741001E7)</f>
        <v>11741001</v>
      </c>
      <c r="X26" s="148">
        <f>IFERROR(__xludf.DUMMYFUNCTION("""COMPUTED_VALUE"""),0.0)</f>
        <v>0</v>
      </c>
      <c r="Y26" s="148">
        <f>IFERROR(__xludf.DUMMYFUNCTION("""COMPUTED_VALUE"""),0.0)</f>
        <v>0</v>
      </c>
      <c r="Z26" s="148"/>
    </row>
    <row r="27">
      <c r="A27" s="148">
        <f>IFERROR(__xludf.DUMMYFUNCTION("""COMPUTED_VALUE"""),1.1111025E7)</f>
        <v>11111025</v>
      </c>
      <c r="B27" s="148" t="str">
        <f>IFERROR(__xludf.DUMMYFUNCTION("""COMPUTED_VALUE"""),"2000粮食")</f>
        <v>2000粮食</v>
      </c>
      <c r="C27" s="148"/>
      <c r="D27" s="148" t="str">
        <f>IFERROR(__xludf.DUMMYFUNCTION("""COMPUTED_VALUE"""),"item_rss")</f>
        <v>item_rss</v>
      </c>
      <c r="E27" s="148">
        <f>IFERROR(__xludf.DUMMYFUNCTION("""COMPUTED_VALUE"""),1.0)</f>
        <v>1</v>
      </c>
      <c r="F27" s="148">
        <f>IFERROR(__xludf.DUMMYFUNCTION("""COMPUTED_VALUE"""),105103.0)</f>
        <v>105103</v>
      </c>
      <c r="G27" s="148">
        <f>IFERROR(__xludf.DUMMYFUNCTION("""COMPUTED_VALUE"""),1.5112577E7)</f>
        <v>15112577</v>
      </c>
      <c r="H27" s="148">
        <f>IFERROR(__xludf.DUMMYFUNCTION("""COMPUTED_VALUE"""),1.511256E7)</f>
        <v>15112560</v>
      </c>
      <c r="I27" s="148" t="str">
        <f>IFERROR(__xludf.DUMMYFUNCTION("""COMPUTED_VALUE"""),"{""typ"":""lc"",""txt"":""LC_ITEM_rss_upper_show"",""args"":[{""typ"":""int_unit"",""val"":2000}]}")</f>
        <v>{"typ":"lc","txt":"LC_ITEM_rss_upper_show","args":[{"typ":"int_unit","val":2000}]}</v>
      </c>
      <c r="J27" s="148" t="str">
        <f>IFERROR(__xludf.DUMMYFUNCTION("""COMPUTED_VALUE"""),"{""typ"":""lc"",""txt"":""LC_ITEM_add_food_name"",""args"":[{""typ"":""int"",""val"":2000}]}")</f>
        <v>{"typ":"lc","txt":"LC_ITEM_add_food_name","args":[{"typ":"int","val":2000}]}</v>
      </c>
      <c r="K27" s="148" t="str">
        <f>IFERROR(__xludf.DUMMYFUNCTION("""COMPUTED_VALUE"""),"{""typ"":""lc"",""txt"":""LC_ITEM_add_food_desc"",""args"":[{""typ"":""int"",""val"":2000}]}")</f>
        <v>{"typ":"lc","txt":"LC_ITEM_add_food_desc","args":[{"typ":"int","val":2000}]}</v>
      </c>
      <c r="L27" s="148" t="str">
        <f>IFERROR(__xludf.DUMMYFUNCTION("""COMPUTED_VALUE"""),"{""typ"":""lc"",""txt"":""LC_ITEM_add_food_usedtip"",""args"":[{""typ"":""int"",""val"":2000}]}")</f>
        <v>{"typ":"lc","txt":"LC_ITEM_add_food_usedtip","args":[{"typ":"int","val":2000}]}</v>
      </c>
      <c r="M27" s="148">
        <f>IFERROR(__xludf.DUMMYFUNCTION("""COMPUTED_VALUE"""),5.0)</f>
        <v>5</v>
      </c>
      <c r="N27" s="148">
        <f>IFERROR(__xludf.DUMMYFUNCTION("""COMPUTED_VALUE"""),9999999.0)</f>
        <v>9999999</v>
      </c>
      <c r="O27" s="148">
        <f>IFERROR(__xludf.DUMMYFUNCTION("""COMPUTED_VALUE"""),99999.0)</f>
        <v>99999</v>
      </c>
      <c r="P27" s="148">
        <f>IFERROR(__xludf.DUMMYFUNCTION("""COMPUTED_VALUE"""),99999.0)</f>
        <v>99999</v>
      </c>
      <c r="Q27" s="148" t="str">
        <f>IFERROR(__xludf.DUMMYFUNCTION("""COMPUTED_VALUE"""),"[""bag_asset"",""rss_food""]")</f>
        <v>["bag_asset","rss_food"]</v>
      </c>
      <c r="R27" s="148" t="str">
        <f>IFERROR(__xludf.DUMMYFUNCTION("""COMPUTED_VALUE"""),"[""bag"",""rss_food""]")</f>
        <v>["bag","rss_food"]</v>
      </c>
      <c r="S27" s="148" t="str">
        <f>IFERROR(__xludf.DUMMYFUNCTION("""COMPUTED_VALUE"""),"{""effect"":[{""typ"":""rss"",""id"":11141001,""val"":2000}]}")</f>
        <v>{"effect":[{"typ":"rss","id":11141001,"val":2000}]}</v>
      </c>
      <c r="T27" s="148">
        <f>IFERROR(__xludf.DUMMYFUNCTION("""COMPUTED_VALUE"""),-1.0)</f>
        <v>-1</v>
      </c>
      <c r="U27" s="148">
        <f>IFERROR(__xludf.DUMMYFUNCTION("""COMPUTED_VALUE"""),0.0)</f>
        <v>0</v>
      </c>
      <c r="V27" s="148" t="str">
        <f>IFERROR(__xludf.DUMMYFUNCTION("""COMPUTED_VALUE"""),"[]")</f>
        <v>[]</v>
      </c>
      <c r="W27" s="148">
        <f>IFERROR(__xludf.DUMMYFUNCTION("""COMPUTED_VALUE"""),1.1741001E7)</f>
        <v>11741001</v>
      </c>
      <c r="X27" s="148">
        <f>IFERROR(__xludf.DUMMYFUNCTION("""COMPUTED_VALUE"""),0.0)</f>
        <v>0</v>
      </c>
      <c r="Y27" s="148">
        <f>IFERROR(__xludf.DUMMYFUNCTION("""COMPUTED_VALUE"""),0.0)</f>
        <v>0</v>
      </c>
      <c r="Z27" s="148"/>
    </row>
    <row r="28">
      <c r="A28" s="148">
        <f>IFERROR(__xludf.DUMMYFUNCTION("""COMPUTED_VALUE"""),1.1111026E7)</f>
        <v>11111026</v>
      </c>
      <c r="B28" s="148" t="str">
        <f>IFERROR(__xludf.DUMMYFUNCTION("""COMPUTED_VALUE"""),"2000钢铁")</f>
        <v>2000钢铁</v>
      </c>
      <c r="C28" s="148"/>
      <c r="D28" s="148" t="str">
        <f>IFERROR(__xludf.DUMMYFUNCTION("""COMPUTED_VALUE"""),"item_rss")</f>
        <v>item_rss</v>
      </c>
      <c r="E28" s="148">
        <f>IFERROR(__xludf.DUMMYFUNCTION("""COMPUTED_VALUE"""),2.0)</f>
        <v>2</v>
      </c>
      <c r="F28" s="148">
        <f>IFERROR(__xludf.DUMMYFUNCTION("""COMPUTED_VALUE"""),106103.0)</f>
        <v>106103</v>
      </c>
      <c r="G28" s="148">
        <f>IFERROR(__xludf.DUMMYFUNCTION("""COMPUTED_VALUE"""),1.511258E7)</f>
        <v>15112580</v>
      </c>
      <c r="H28" s="148">
        <f>IFERROR(__xludf.DUMMYFUNCTION("""COMPUTED_VALUE"""),1.511256E7)</f>
        <v>15112560</v>
      </c>
      <c r="I28" s="148" t="str">
        <f>IFERROR(__xludf.DUMMYFUNCTION("""COMPUTED_VALUE"""),"{""typ"":""lc"",""txt"":""LC_ITEM_rss_upper_show"",""args"":[{""typ"":""int_unit"",""val"":2000}]}")</f>
        <v>{"typ":"lc","txt":"LC_ITEM_rss_upper_show","args":[{"typ":"int_unit","val":2000}]}</v>
      </c>
      <c r="J28" s="148" t="str">
        <f>IFERROR(__xludf.DUMMYFUNCTION("""COMPUTED_VALUE"""),"{""typ"":""lc"",""txt"":""LC_ITEM_add_iron_name"",""args"":[{""typ"":""int"",""val"":2000}]}")</f>
        <v>{"typ":"lc","txt":"LC_ITEM_add_iron_name","args":[{"typ":"int","val":2000}]}</v>
      </c>
      <c r="K28" s="148" t="str">
        <f>IFERROR(__xludf.DUMMYFUNCTION("""COMPUTED_VALUE"""),"{""typ"":""lc"",""txt"":""LC_ITEM_add_iron_desc"",""args"":[{""typ"":""int"",""val"":2000}]}")</f>
        <v>{"typ":"lc","txt":"LC_ITEM_add_iron_desc","args":[{"typ":"int","val":2000}]}</v>
      </c>
      <c r="L28" s="148" t="str">
        <f>IFERROR(__xludf.DUMMYFUNCTION("""COMPUTED_VALUE"""),"{""typ"":""lc"",""txt"":""LC_ITEM_add_iron_usedtip"",""args"":[{""typ"":""int"",""val"":2000}]}")</f>
        <v>{"typ":"lc","txt":"LC_ITEM_add_iron_usedtip","args":[{"typ":"int","val":2000}]}</v>
      </c>
      <c r="M28" s="148">
        <f>IFERROR(__xludf.DUMMYFUNCTION("""COMPUTED_VALUE"""),5.0)</f>
        <v>5</v>
      </c>
      <c r="N28" s="148">
        <f>IFERROR(__xludf.DUMMYFUNCTION("""COMPUTED_VALUE"""),9999999.0)</f>
        <v>9999999</v>
      </c>
      <c r="O28" s="148">
        <f>IFERROR(__xludf.DUMMYFUNCTION("""COMPUTED_VALUE"""),99999.0)</f>
        <v>99999</v>
      </c>
      <c r="P28" s="148">
        <f>IFERROR(__xludf.DUMMYFUNCTION("""COMPUTED_VALUE"""),99999.0)</f>
        <v>99999</v>
      </c>
      <c r="Q28" s="148" t="str">
        <f>IFERROR(__xludf.DUMMYFUNCTION("""COMPUTED_VALUE"""),"[""bag_asset"",""rss_iron""]")</f>
        <v>["bag_asset","rss_iron"]</v>
      </c>
      <c r="R28" s="148" t="str">
        <f>IFERROR(__xludf.DUMMYFUNCTION("""COMPUTED_VALUE"""),"[""bag"",""rss_iron""]")</f>
        <v>["bag","rss_iron"]</v>
      </c>
      <c r="S28" s="148" t="str">
        <f>IFERROR(__xludf.DUMMYFUNCTION("""COMPUTED_VALUE"""),"{""effect"":[{""typ"":""rss"",""id"":11141003,""val"":2000}]}")</f>
        <v>{"effect":[{"typ":"rss","id":11141003,"val":2000}]}</v>
      </c>
      <c r="T28" s="148">
        <f>IFERROR(__xludf.DUMMYFUNCTION("""COMPUTED_VALUE"""),-1.0)</f>
        <v>-1</v>
      </c>
      <c r="U28" s="148">
        <f>IFERROR(__xludf.DUMMYFUNCTION("""COMPUTED_VALUE"""),0.0)</f>
        <v>0</v>
      </c>
      <c r="V28" s="148" t="str">
        <f>IFERROR(__xludf.DUMMYFUNCTION("""COMPUTED_VALUE"""),"[]")</f>
        <v>[]</v>
      </c>
      <c r="W28" s="148">
        <f>IFERROR(__xludf.DUMMYFUNCTION("""COMPUTED_VALUE"""),1.1741001E7)</f>
        <v>11741001</v>
      </c>
      <c r="X28" s="148">
        <f>IFERROR(__xludf.DUMMYFUNCTION("""COMPUTED_VALUE"""),0.0)</f>
        <v>0</v>
      </c>
      <c r="Y28" s="148">
        <f>IFERROR(__xludf.DUMMYFUNCTION("""COMPUTED_VALUE"""),0.0)</f>
        <v>0</v>
      </c>
      <c r="Z28" s="148"/>
    </row>
    <row r="29">
      <c r="A29" s="148">
        <f>IFERROR(__xludf.DUMMYFUNCTION("""COMPUTED_VALUE"""),1.1111027E7)</f>
        <v>11111027</v>
      </c>
      <c r="B29" s="148" t="str">
        <f>IFERROR(__xludf.DUMMYFUNCTION("""COMPUTED_VALUE"""),"5电池")</f>
        <v>5电池</v>
      </c>
      <c r="C29" s="148"/>
      <c r="D29" s="148" t="str">
        <f>IFERROR(__xludf.DUMMYFUNCTION("""COMPUTED_VALUE"""),"item_rss")</f>
        <v>item_rss</v>
      </c>
      <c r="E29" s="148">
        <f>IFERROR(__xludf.DUMMYFUNCTION("""COMPUTED_VALUE"""),18.0)</f>
        <v>18</v>
      </c>
      <c r="F29" s="148">
        <f>IFERROR(__xludf.DUMMYFUNCTION("""COMPUTED_VALUE"""),104101.0)</f>
        <v>104101</v>
      </c>
      <c r="G29" s="148">
        <f>IFERROR(__xludf.DUMMYFUNCTION("""COMPUTED_VALUE"""),1.5112572E7)</f>
        <v>15112572</v>
      </c>
      <c r="H29" s="148">
        <f>IFERROR(__xludf.DUMMYFUNCTION("""COMPUTED_VALUE"""),1.511256E7)</f>
        <v>15112560</v>
      </c>
      <c r="I29" s="148" t="str">
        <f>IFERROR(__xludf.DUMMYFUNCTION("""COMPUTED_VALUE"""),"{""typ"":""lc"",""txt"":""LC_ITEM_rss_upper_show"",""args"":[{""typ"":""int_unit"",""val"":5}]}")</f>
        <v>{"typ":"lc","txt":"LC_ITEM_rss_upper_show","args":[{"typ":"int_unit","val":5}]}</v>
      </c>
      <c r="J29" s="148" t="str">
        <f>IFERROR(__xludf.DUMMYFUNCTION("""COMPUTED_VALUE"""),"{""typ"":""lc"",""txt"":""LC_ITEM_add_RSSX_name"",""args"":[{""typ"":""int"",""val"":5}]}")</f>
        <v>{"typ":"lc","txt":"LC_ITEM_add_RSSX_name","args":[{"typ":"int","val":5}]}</v>
      </c>
      <c r="K29" s="148" t="str">
        <f>IFERROR(__xludf.DUMMYFUNCTION("""COMPUTED_VALUE"""),"{""typ"":""lc"",""txt"":""LC_ITEM_add_RSSX_desc"",""args"":[{""typ"":""int"",""val"":5}]}")</f>
        <v>{"typ":"lc","txt":"LC_ITEM_add_RSSX_desc","args":[{"typ":"int","val":5}]}</v>
      </c>
      <c r="L29" s="148" t="str">
        <f>IFERROR(__xludf.DUMMYFUNCTION("""COMPUTED_VALUE"""),"{""typ"":""lc"",""txt"":""LC_ITEM_add_RSSX_usedtip"",""args"":[{""typ"":""int"",""val"":5}]}")</f>
        <v>{"typ":"lc","txt":"LC_ITEM_add_RSSX_usedtip","args":[{"typ":"int","val":5}]}</v>
      </c>
      <c r="M29" s="148">
        <f>IFERROR(__xludf.DUMMYFUNCTION("""COMPUTED_VALUE"""),5.0)</f>
        <v>5</v>
      </c>
      <c r="N29" s="148">
        <f>IFERROR(__xludf.DUMMYFUNCTION("""COMPUTED_VALUE"""),999999.0)</f>
        <v>999999</v>
      </c>
      <c r="O29" s="148">
        <f>IFERROR(__xludf.DUMMYFUNCTION("""COMPUTED_VALUE"""),99999.0)</f>
        <v>99999</v>
      </c>
      <c r="P29" s="148">
        <f>IFERROR(__xludf.DUMMYFUNCTION("""COMPUTED_VALUE"""),99999.0)</f>
        <v>99999</v>
      </c>
      <c r="Q29" s="148" t="str">
        <f>IFERROR(__xludf.DUMMYFUNCTION("""COMPUTED_VALUE"""),"[""bag_asset"",""rss_x""]")</f>
        <v>["bag_asset","rss_x"]</v>
      </c>
      <c r="R29" s="148" t="str">
        <f>IFERROR(__xludf.DUMMYFUNCTION("""COMPUTED_VALUE"""),"[""bag"",""rss_x""]")</f>
        <v>["bag","rss_x"]</v>
      </c>
      <c r="S29" s="148" t="str">
        <f>IFERROR(__xludf.DUMMYFUNCTION("""COMPUTED_VALUE"""),"{""effect"":[{""typ"":""rss"",""id"":11141012,""val"":5}]}")</f>
        <v>{"effect":[{"typ":"rss","id":11141012,"val":5}]}</v>
      </c>
      <c r="T29" s="148">
        <f>IFERROR(__xludf.DUMMYFUNCTION("""COMPUTED_VALUE"""),-1.0)</f>
        <v>-1</v>
      </c>
      <c r="U29" s="148">
        <f>IFERROR(__xludf.DUMMYFUNCTION("""COMPUTED_VALUE"""),0.0)</f>
        <v>0</v>
      </c>
      <c r="V29" s="148" t="str">
        <f>IFERROR(__xludf.DUMMYFUNCTION("""COMPUTED_VALUE"""),"[]")</f>
        <v>[]</v>
      </c>
      <c r="W29" s="148">
        <f>IFERROR(__xludf.DUMMYFUNCTION("""COMPUTED_VALUE"""),1.1741001E7)</f>
        <v>11741001</v>
      </c>
      <c r="X29" s="148">
        <f>IFERROR(__xludf.DUMMYFUNCTION("""COMPUTED_VALUE"""),0.0)</f>
        <v>0</v>
      </c>
      <c r="Y29" s="148">
        <f>IFERROR(__xludf.DUMMYFUNCTION("""COMPUTED_VALUE"""),0.0)</f>
        <v>0</v>
      </c>
      <c r="Z29" s="148"/>
    </row>
    <row r="30">
      <c r="A30" s="148">
        <f>IFERROR(__xludf.DUMMYFUNCTION("""COMPUTED_VALUE"""),1.1111028E7)</f>
        <v>11111028</v>
      </c>
      <c r="B30" s="148" t="str">
        <f>IFERROR(__xludf.DUMMYFUNCTION("""COMPUTED_VALUE"""),"20电池")</f>
        <v>20电池</v>
      </c>
      <c r="C30" s="148"/>
      <c r="D30" s="148" t="str">
        <f>IFERROR(__xludf.DUMMYFUNCTION("""COMPUTED_VALUE"""),"item_rss")</f>
        <v>item_rss</v>
      </c>
      <c r="E30" s="148">
        <f>IFERROR(__xludf.DUMMYFUNCTION("""COMPUTED_VALUE"""),18.0)</f>
        <v>18</v>
      </c>
      <c r="F30" s="148">
        <f>IFERROR(__xludf.DUMMYFUNCTION("""COMPUTED_VALUE"""),104203.0)</f>
        <v>104203</v>
      </c>
      <c r="G30" s="148">
        <f>IFERROR(__xludf.DUMMYFUNCTION("""COMPUTED_VALUE"""),1.5112572E7)</f>
        <v>15112572</v>
      </c>
      <c r="H30" s="148">
        <f>IFERROR(__xludf.DUMMYFUNCTION("""COMPUTED_VALUE"""),1.5112561E7)</f>
        <v>15112561</v>
      </c>
      <c r="I30" s="148" t="str">
        <f>IFERROR(__xludf.DUMMYFUNCTION("""COMPUTED_VALUE"""),"{""typ"":""lc"",""txt"":""LC_ITEM_rss_upper_show"",""args"":[{""typ"":""int_unit"",""val"":20}]}")</f>
        <v>{"typ":"lc","txt":"LC_ITEM_rss_upper_show","args":[{"typ":"int_unit","val":20}]}</v>
      </c>
      <c r="J30" s="148" t="str">
        <f>IFERROR(__xludf.DUMMYFUNCTION("""COMPUTED_VALUE"""),"{""typ"":""lc"",""txt"":""LC_ITEM_add_RSSX_name"",""args"":[{""typ"":""int"",""val"":20}]}")</f>
        <v>{"typ":"lc","txt":"LC_ITEM_add_RSSX_name","args":[{"typ":"int","val":20}]}</v>
      </c>
      <c r="K30" s="148" t="str">
        <f>IFERROR(__xludf.DUMMYFUNCTION("""COMPUTED_VALUE"""),"{""typ"":""lc"",""txt"":""LC_ITEM_add_RSSX_desc"",""args"":[{""typ"":""int"",""val"":20}]}")</f>
        <v>{"typ":"lc","txt":"LC_ITEM_add_RSSX_desc","args":[{"typ":"int","val":20}]}</v>
      </c>
      <c r="L30" s="148" t="str">
        <f>IFERROR(__xludf.DUMMYFUNCTION("""COMPUTED_VALUE"""),"{""typ"":""lc"",""txt"":""LC_ITEM_add_RSSX_usedtip"",""args"":[{""typ"":""int"",""val"":20}]}")</f>
        <v>{"typ":"lc","txt":"LC_ITEM_add_RSSX_usedtip","args":[{"typ":"int","val":20}]}</v>
      </c>
      <c r="M30" s="148">
        <f>IFERROR(__xludf.DUMMYFUNCTION("""COMPUTED_VALUE"""),20.0)</f>
        <v>20</v>
      </c>
      <c r="N30" s="148">
        <f>IFERROR(__xludf.DUMMYFUNCTION("""COMPUTED_VALUE"""),999999.0)</f>
        <v>999999</v>
      </c>
      <c r="O30" s="148">
        <f>IFERROR(__xludf.DUMMYFUNCTION("""COMPUTED_VALUE"""),99999.0)</f>
        <v>99999</v>
      </c>
      <c r="P30" s="148">
        <f>IFERROR(__xludf.DUMMYFUNCTION("""COMPUTED_VALUE"""),99999.0)</f>
        <v>99999</v>
      </c>
      <c r="Q30" s="148" t="str">
        <f>IFERROR(__xludf.DUMMYFUNCTION("""COMPUTED_VALUE"""),"[""bag_asset"",""rss_x""]")</f>
        <v>["bag_asset","rss_x"]</v>
      </c>
      <c r="R30" s="148" t="str">
        <f>IFERROR(__xludf.DUMMYFUNCTION("""COMPUTED_VALUE"""),"[""bag"",""rss_x""]")</f>
        <v>["bag","rss_x"]</v>
      </c>
      <c r="S30" s="148" t="str">
        <f>IFERROR(__xludf.DUMMYFUNCTION("""COMPUTED_VALUE"""),"{""effect"":[{""typ"":""rss"",""id"":11141012,""val"":20}]}")</f>
        <v>{"effect":[{"typ":"rss","id":11141012,"val":20}]}</v>
      </c>
      <c r="T30" s="148">
        <f>IFERROR(__xludf.DUMMYFUNCTION("""COMPUTED_VALUE"""),-1.0)</f>
        <v>-1</v>
      </c>
      <c r="U30" s="148">
        <f>IFERROR(__xludf.DUMMYFUNCTION("""COMPUTED_VALUE"""),0.0)</f>
        <v>0</v>
      </c>
      <c r="V30" s="148" t="str">
        <f>IFERROR(__xludf.DUMMYFUNCTION("""COMPUTED_VALUE"""),"[]")</f>
        <v>[]</v>
      </c>
      <c r="W30" s="148">
        <f>IFERROR(__xludf.DUMMYFUNCTION("""COMPUTED_VALUE"""),1.1741001E7)</f>
        <v>11741001</v>
      </c>
      <c r="X30" s="148">
        <f>IFERROR(__xludf.DUMMYFUNCTION("""COMPUTED_VALUE"""),0.0)</f>
        <v>0</v>
      </c>
      <c r="Y30" s="148">
        <f>IFERROR(__xludf.DUMMYFUNCTION("""COMPUTED_VALUE"""),0.0)</f>
        <v>0</v>
      </c>
      <c r="Z30" s="148"/>
    </row>
    <row r="31">
      <c r="A31" s="148">
        <f>IFERROR(__xludf.DUMMYFUNCTION("""COMPUTED_VALUE"""),1.1111029E7)</f>
        <v>11111029</v>
      </c>
      <c r="B31" s="148" t="str">
        <f>IFERROR(__xludf.DUMMYFUNCTION("""COMPUTED_VALUE"""),"5CDs")</f>
        <v>5CDs</v>
      </c>
      <c r="C31" s="148"/>
      <c r="D31" s="148" t="str">
        <f>IFERROR(__xludf.DUMMYFUNCTION("""COMPUTED_VALUE"""),"item_rss")</f>
        <v>item_rss</v>
      </c>
      <c r="E31" s="148">
        <f>IFERROR(__xludf.DUMMYFUNCTION("""COMPUTED_VALUE"""),22.0)</f>
        <v>22</v>
      </c>
      <c r="F31" s="148">
        <f>IFERROR(__xludf.DUMMYFUNCTION("""COMPUTED_VALUE"""),103302.0)</f>
        <v>103302</v>
      </c>
      <c r="G31" s="148">
        <f>IFERROR(__xludf.DUMMYFUNCTION("""COMPUTED_VALUE"""),1.5112582E7)</f>
        <v>15112582</v>
      </c>
      <c r="H31" s="148">
        <f>IFERROR(__xludf.DUMMYFUNCTION("""COMPUTED_VALUE"""),1.5112562E7)</f>
        <v>15112562</v>
      </c>
      <c r="I31" s="148" t="str">
        <f>IFERROR(__xludf.DUMMYFUNCTION("""COMPUTED_VALUE"""),"{""typ"":""lc"",""txt"":""LC_ITEM_rss_upper_show"",""args"":[{""typ"":""int_unit"",""val"":5}]}")</f>
        <v>{"typ":"lc","txt":"LC_ITEM_rss_upper_show","args":[{"typ":"int_unit","val":5}]}</v>
      </c>
      <c r="J31" s="148" t="str">
        <f>IFERROR(__xludf.DUMMYFUNCTION("""COMPUTED_VALUE"""),"{""typ"":""lc"",""txt"":""LC_ITEM_add_CD_name"",""args"":[{""typ"":""int"",""val"":5}]}")</f>
        <v>{"typ":"lc","txt":"LC_ITEM_add_CD_name","args":[{"typ":"int","val":5}]}</v>
      </c>
      <c r="K31" s="148" t="str">
        <f>IFERROR(__xludf.DUMMYFUNCTION("""COMPUTED_VALUE"""),"{""typ"":""lc"",""txt"":""LC_ITEM_add_CD_desc"",""args"":[{""typ"":""int"",""val"":5}]}")</f>
        <v>{"typ":"lc","txt":"LC_ITEM_add_CD_desc","args":[{"typ":"int","val":5}]}</v>
      </c>
      <c r="L31" s="148" t="str">
        <f>IFERROR(__xludf.DUMMYFUNCTION("""COMPUTED_VALUE"""),"{""typ"":""lc"",""txt"":""LC_ITEM_add_CD_usedtip"",""args"":[{""typ"":""int"",""val"":5}]}")</f>
        <v>{"typ":"lc","txt":"LC_ITEM_add_CD_usedtip","args":[{"typ":"int","val":5}]}</v>
      </c>
      <c r="M31" s="148">
        <f>IFERROR(__xludf.DUMMYFUNCTION("""COMPUTED_VALUE"""),5.0)</f>
        <v>5</v>
      </c>
      <c r="N31" s="148">
        <f>IFERROR(__xludf.DUMMYFUNCTION("""COMPUTED_VALUE"""),999999.0)</f>
        <v>999999</v>
      </c>
      <c r="O31" s="148">
        <f>IFERROR(__xludf.DUMMYFUNCTION("""COMPUTED_VALUE"""),99999.0)</f>
        <v>99999</v>
      </c>
      <c r="P31" s="148">
        <f>IFERROR(__xludf.DUMMYFUNCTION("""COMPUTED_VALUE"""),99999.0)</f>
        <v>99999</v>
      </c>
      <c r="Q31" s="148" t="str">
        <f>IFERROR(__xludf.DUMMYFUNCTION("""COMPUTED_VALUE"""),"[""bag_asset""]")</f>
        <v>["bag_asset"]</v>
      </c>
      <c r="R31" s="148" t="str">
        <f>IFERROR(__xludf.DUMMYFUNCTION("""COMPUTED_VALUE"""),"[""bag""]")</f>
        <v>["bag"]</v>
      </c>
      <c r="S31" s="148" t="str">
        <f>IFERROR(__xludf.DUMMYFUNCTION("""COMPUTED_VALUE"""),"{""effect"":[{""typ"":""vm"",""id"":11151001,""val"":5}]}")</f>
        <v>{"effect":[{"typ":"vm","id":11151001,"val":5}]}</v>
      </c>
      <c r="T31" s="148">
        <f>IFERROR(__xludf.DUMMYFUNCTION("""COMPUTED_VALUE"""),-1.0)</f>
        <v>-1</v>
      </c>
      <c r="U31" s="148">
        <f>IFERROR(__xludf.DUMMYFUNCTION("""COMPUTED_VALUE"""),0.0)</f>
        <v>0</v>
      </c>
      <c r="V31" s="148" t="str">
        <f>IFERROR(__xludf.DUMMYFUNCTION("""COMPUTED_VALUE"""),"[]")</f>
        <v>[]</v>
      </c>
      <c r="W31" s="148">
        <f>IFERROR(__xludf.DUMMYFUNCTION("""COMPUTED_VALUE"""),1.1741004E7)</f>
        <v>11741004</v>
      </c>
      <c r="X31" s="148">
        <f>IFERROR(__xludf.DUMMYFUNCTION("""COMPUTED_VALUE"""),0.0)</f>
        <v>0</v>
      </c>
      <c r="Y31" s="148">
        <f>IFERROR(__xludf.DUMMYFUNCTION("""COMPUTED_VALUE"""),0.0)</f>
        <v>0</v>
      </c>
      <c r="Z31" s="148"/>
    </row>
    <row r="32">
      <c r="A32" s="148">
        <f>IFERROR(__xludf.DUMMYFUNCTION("""COMPUTED_VALUE"""),1.111103E7)</f>
        <v>11111030</v>
      </c>
      <c r="B32" s="148" t="str">
        <f>IFERROR(__xludf.DUMMYFUNCTION("""COMPUTED_VALUE"""),"20CDs")</f>
        <v>20CDs</v>
      </c>
      <c r="C32" s="148"/>
      <c r="D32" s="148" t="str">
        <f>IFERROR(__xludf.DUMMYFUNCTION("""COMPUTED_VALUE"""),"item_rss")</f>
        <v>item_rss</v>
      </c>
      <c r="E32" s="148">
        <f>IFERROR(__xludf.DUMMYFUNCTION("""COMPUTED_VALUE"""),22.0)</f>
        <v>22</v>
      </c>
      <c r="F32" s="148">
        <f>IFERROR(__xludf.DUMMYFUNCTION("""COMPUTED_VALUE"""),103304.0)</f>
        <v>103304</v>
      </c>
      <c r="G32" s="148">
        <f>IFERROR(__xludf.DUMMYFUNCTION("""COMPUTED_VALUE"""),1.5112582E7)</f>
        <v>15112582</v>
      </c>
      <c r="H32" s="148">
        <f>IFERROR(__xludf.DUMMYFUNCTION("""COMPUTED_VALUE"""),1.5112562E7)</f>
        <v>15112562</v>
      </c>
      <c r="I32" s="148" t="str">
        <f>IFERROR(__xludf.DUMMYFUNCTION("""COMPUTED_VALUE"""),"{""typ"":""lc"",""txt"":""LC_ITEM_rss_upper_show"",""args"":[{""typ"":""int_unit"",""val"":20}]}")</f>
        <v>{"typ":"lc","txt":"LC_ITEM_rss_upper_show","args":[{"typ":"int_unit","val":20}]}</v>
      </c>
      <c r="J32" s="148" t="str">
        <f>IFERROR(__xludf.DUMMYFUNCTION("""COMPUTED_VALUE"""),"{""typ"":""lc"",""txt"":""LC_ITEM_add_CD_name"",""args"":[{""typ"":""int"",""val"":20}]}")</f>
        <v>{"typ":"lc","txt":"LC_ITEM_add_CD_name","args":[{"typ":"int","val":20}]}</v>
      </c>
      <c r="K32" s="148" t="str">
        <f>IFERROR(__xludf.DUMMYFUNCTION("""COMPUTED_VALUE"""),"{""typ"":""lc"",""txt"":""LC_ITEM_add_CD_desc"",""args"":[{""typ"":""int"",""val"":20}]}")</f>
        <v>{"typ":"lc","txt":"LC_ITEM_add_CD_desc","args":[{"typ":"int","val":20}]}</v>
      </c>
      <c r="L32" s="148" t="str">
        <f>IFERROR(__xludf.DUMMYFUNCTION("""COMPUTED_VALUE"""),"{""typ"":""lc"",""txt"":""LC_ITEM_add_CD_usedtip"",""args"":[{""typ"":""int"",""val"":20}]}")</f>
        <v>{"typ":"lc","txt":"LC_ITEM_add_CD_usedtip","args":[{"typ":"int","val":20}]}</v>
      </c>
      <c r="M32" s="148">
        <f>IFERROR(__xludf.DUMMYFUNCTION("""COMPUTED_VALUE"""),20.0)</f>
        <v>20</v>
      </c>
      <c r="N32" s="148">
        <f>IFERROR(__xludf.DUMMYFUNCTION("""COMPUTED_VALUE"""),999999.0)</f>
        <v>999999</v>
      </c>
      <c r="O32" s="148">
        <f>IFERROR(__xludf.DUMMYFUNCTION("""COMPUTED_VALUE"""),99999.0)</f>
        <v>99999</v>
      </c>
      <c r="P32" s="148">
        <f>IFERROR(__xludf.DUMMYFUNCTION("""COMPUTED_VALUE"""),99999.0)</f>
        <v>99999</v>
      </c>
      <c r="Q32" s="148" t="str">
        <f>IFERROR(__xludf.DUMMYFUNCTION("""COMPUTED_VALUE"""),"[""bag_asset""]")</f>
        <v>["bag_asset"]</v>
      </c>
      <c r="R32" s="148" t="str">
        <f>IFERROR(__xludf.DUMMYFUNCTION("""COMPUTED_VALUE"""),"[""bag""]")</f>
        <v>["bag"]</v>
      </c>
      <c r="S32" s="148" t="str">
        <f>IFERROR(__xludf.DUMMYFUNCTION("""COMPUTED_VALUE"""),"{""effect"":[{""typ"":""vm"",""id"":11151001,""val"":20}]}")</f>
        <v>{"effect":[{"typ":"vm","id":11151001,"val":20}]}</v>
      </c>
      <c r="T32" s="148">
        <f>IFERROR(__xludf.DUMMYFUNCTION("""COMPUTED_VALUE"""),-1.0)</f>
        <v>-1</v>
      </c>
      <c r="U32" s="148">
        <f>IFERROR(__xludf.DUMMYFUNCTION("""COMPUTED_VALUE"""),0.0)</f>
        <v>0</v>
      </c>
      <c r="V32" s="148" t="str">
        <f>IFERROR(__xludf.DUMMYFUNCTION("""COMPUTED_VALUE"""),"[]")</f>
        <v>[]</v>
      </c>
      <c r="W32" s="148">
        <f>IFERROR(__xludf.DUMMYFUNCTION("""COMPUTED_VALUE"""),1.1741004E7)</f>
        <v>11741004</v>
      </c>
      <c r="X32" s="148">
        <f>IFERROR(__xludf.DUMMYFUNCTION("""COMPUTED_VALUE"""),0.0)</f>
        <v>0</v>
      </c>
      <c r="Y32" s="148">
        <f>IFERROR(__xludf.DUMMYFUNCTION("""COMPUTED_VALUE"""),0.0)</f>
        <v>0</v>
      </c>
      <c r="Z32" s="148"/>
    </row>
    <row r="33">
      <c r="A33" s="148">
        <f>IFERROR(__xludf.DUMMYFUNCTION("""COMPUTED_VALUE"""),1.1111031E7)</f>
        <v>11111031</v>
      </c>
      <c r="B33" s="148" t="str">
        <f>IFERROR(__xludf.DUMMYFUNCTION("""COMPUTED_VALUE"""),"1CDs")</f>
        <v>1CDs</v>
      </c>
      <c r="C33" s="148"/>
      <c r="D33" s="148" t="str">
        <f>IFERROR(__xludf.DUMMYFUNCTION("""COMPUTED_VALUE"""),"item_rss")</f>
        <v>item_rss</v>
      </c>
      <c r="E33" s="148">
        <f>IFERROR(__xludf.DUMMYFUNCTION("""COMPUTED_VALUE"""),22.0)</f>
        <v>22</v>
      </c>
      <c r="F33" s="148">
        <f>IFERROR(__xludf.DUMMYFUNCTION("""COMPUTED_VALUE"""),103301.0)</f>
        <v>103301</v>
      </c>
      <c r="G33" s="148">
        <f>IFERROR(__xludf.DUMMYFUNCTION("""COMPUTED_VALUE"""),1.5112582E7)</f>
        <v>15112582</v>
      </c>
      <c r="H33" s="148">
        <f>IFERROR(__xludf.DUMMYFUNCTION("""COMPUTED_VALUE"""),1.5112562E7)</f>
        <v>15112562</v>
      </c>
      <c r="I33" s="148" t="str">
        <f>IFERROR(__xludf.DUMMYFUNCTION("""COMPUTED_VALUE"""),"{""typ"":""lc"",""txt"":""LC_ITEM_rss_upper_show"",""args"":[{""typ"":""int_unit"",""val"":1}]}")</f>
        <v>{"typ":"lc","txt":"LC_ITEM_rss_upper_show","args":[{"typ":"int_unit","val":1}]}</v>
      </c>
      <c r="J33" s="148" t="str">
        <f>IFERROR(__xludf.DUMMYFUNCTION("""COMPUTED_VALUE"""),"{""typ"":""lc"",""txt"":""LC_ITEM_add_CD_name"",""args"":[{""typ"":""int"",""val"":1}]}")</f>
        <v>{"typ":"lc","txt":"LC_ITEM_add_CD_name","args":[{"typ":"int","val":1}]}</v>
      </c>
      <c r="K33" s="148" t="str">
        <f>IFERROR(__xludf.DUMMYFUNCTION("""COMPUTED_VALUE"""),"{""typ"":""lc"",""txt"":""LC_ITEM_add_CD_desc"",""args"":[{""typ"":""int"",""val"":1}]}")</f>
        <v>{"typ":"lc","txt":"LC_ITEM_add_CD_desc","args":[{"typ":"int","val":1}]}</v>
      </c>
      <c r="L33" s="148" t="str">
        <f>IFERROR(__xludf.DUMMYFUNCTION("""COMPUTED_VALUE"""),"{""typ"":""lc"",""txt"":""LC_ITEM_add_CD_usedtip"",""args"":[{""typ"":""int"",""val"":1}]}")</f>
        <v>{"typ":"lc","txt":"LC_ITEM_add_CD_usedtip","args":[{"typ":"int","val":1}]}</v>
      </c>
      <c r="M33" s="148">
        <f>IFERROR(__xludf.DUMMYFUNCTION("""COMPUTED_VALUE"""),1.0)</f>
        <v>1</v>
      </c>
      <c r="N33" s="148">
        <f>IFERROR(__xludf.DUMMYFUNCTION("""COMPUTED_VALUE"""),999999.0)</f>
        <v>999999</v>
      </c>
      <c r="O33" s="148">
        <f>IFERROR(__xludf.DUMMYFUNCTION("""COMPUTED_VALUE"""),999999.0)</f>
        <v>999999</v>
      </c>
      <c r="P33" s="148">
        <f>IFERROR(__xludf.DUMMYFUNCTION("""COMPUTED_VALUE"""),999999.0)</f>
        <v>999999</v>
      </c>
      <c r="Q33" s="148" t="str">
        <f>IFERROR(__xludf.DUMMYFUNCTION("""COMPUTED_VALUE"""),"[""bag_asset""]")</f>
        <v>["bag_asset"]</v>
      </c>
      <c r="R33" s="148" t="str">
        <f>IFERROR(__xludf.DUMMYFUNCTION("""COMPUTED_VALUE"""),"[""bag""]")</f>
        <v>["bag"]</v>
      </c>
      <c r="S33" s="148" t="str">
        <f>IFERROR(__xludf.DUMMYFUNCTION("""COMPUTED_VALUE"""),"{""effect"":[{""typ"":""vm"",""id"":11151001,""val"":1}]}")</f>
        <v>{"effect":[{"typ":"vm","id":11151001,"val":1}]}</v>
      </c>
      <c r="T33" s="148">
        <f>IFERROR(__xludf.DUMMYFUNCTION("""COMPUTED_VALUE"""),-1.0)</f>
        <v>-1</v>
      </c>
      <c r="U33" s="148">
        <f>IFERROR(__xludf.DUMMYFUNCTION("""COMPUTED_VALUE"""),0.0)</f>
        <v>0</v>
      </c>
      <c r="V33" s="148" t="str">
        <f>IFERROR(__xludf.DUMMYFUNCTION("""COMPUTED_VALUE"""),"[]")</f>
        <v>[]</v>
      </c>
      <c r="W33" s="148">
        <f>IFERROR(__xludf.DUMMYFUNCTION("""COMPUTED_VALUE"""),1.1741004E7)</f>
        <v>11741004</v>
      </c>
      <c r="X33" s="148">
        <f>IFERROR(__xludf.DUMMYFUNCTION("""COMPUTED_VALUE"""),0.0)</f>
        <v>0</v>
      </c>
      <c r="Y33" s="148">
        <f>IFERROR(__xludf.DUMMYFUNCTION("""COMPUTED_VALUE"""),0.0)</f>
        <v>0</v>
      </c>
      <c r="Z33" s="148"/>
    </row>
    <row r="34">
      <c r="A34" s="148">
        <f>IFERROR(__xludf.DUMMYFUNCTION("""COMPUTED_VALUE"""),1.1111032E7)</f>
        <v>11111032</v>
      </c>
      <c r="B34" s="148" t="str">
        <f>IFERROR(__xludf.DUMMYFUNCTION("""COMPUTED_VALUE"""),"100CDs")</f>
        <v>100CDs</v>
      </c>
      <c r="C34" s="148"/>
      <c r="D34" s="148" t="str">
        <f>IFERROR(__xludf.DUMMYFUNCTION("""COMPUTED_VALUE"""),"item_rss")</f>
        <v>item_rss</v>
      </c>
      <c r="E34" s="148">
        <f>IFERROR(__xludf.DUMMYFUNCTION("""COMPUTED_VALUE"""),22.0)</f>
        <v>22</v>
      </c>
      <c r="F34" s="148">
        <f>IFERROR(__xludf.DUMMYFUNCTION("""COMPUTED_VALUE"""),103506.0)</f>
        <v>103506</v>
      </c>
      <c r="G34" s="148">
        <f>IFERROR(__xludf.DUMMYFUNCTION("""COMPUTED_VALUE"""),1.5112582E7)</f>
        <v>15112582</v>
      </c>
      <c r="H34" s="148">
        <f>IFERROR(__xludf.DUMMYFUNCTION("""COMPUTED_VALUE"""),1.5112564E7)</f>
        <v>15112564</v>
      </c>
      <c r="I34" s="148" t="str">
        <f>IFERROR(__xludf.DUMMYFUNCTION("""COMPUTED_VALUE"""),"{""typ"":""lc"",""txt"":""LC_ITEM_rss_upper_show"",""args"":[{""typ"":""int_unit"",""val"":100}]}")</f>
        <v>{"typ":"lc","txt":"LC_ITEM_rss_upper_show","args":[{"typ":"int_unit","val":100}]}</v>
      </c>
      <c r="J34" s="148" t="str">
        <f>IFERROR(__xludf.DUMMYFUNCTION("""COMPUTED_VALUE"""),"{""typ"":""lc"",""txt"":""LC_ITEM_add_CD_name"",""args"":[{""typ"":""int"",""val"":100}]}")</f>
        <v>{"typ":"lc","txt":"LC_ITEM_add_CD_name","args":[{"typ":"int","val":100}]}</v>
      </c>
      <c r="K34" s="148" t="str">
        <f>IFERROR(__xludf.DUMMYFUNCTION("""COMPUTED_VALUE"""),"{""typ"":""lc"",""txt"":""LC_ITEM_add_CD_desc"",""args"":[{""typ"":""int"",""val"":100}]}")</f>
        <v>{"typ":"lc","txt":"LC_ITEM_add_CD_desc","args":[{"typ":"int","val":100}]}</v>
      </c>
      <c r="L34" s="148" t="str">
        <f>IFERROR(__xludf.DUMMYFUNCTION("""COMPUTED_VALUE"""),"{""typ"":""lc"",""txt"":""LC_ITEM_add_CD_usedtip"",""args"":[{""typ"":""int"",""val"":100}]}")</f>
        <v>{"typ":"lc","txt":"LC_ITEM_add_CD_usedtip","args":[{"typ":"int","val":100}]}</v>
      </c>
      <c r="M34" s="148">
        <f>IFERROR(__xludf.DUMMYFUNCTION("""COMPUTED_VALUE"""),100.0)</f>
        <v>100</v>
      </c>
      <c r="N34" s="148">
        <f>IFERROR(__xludf.DUMMYFUNCTION("""COMPUTED_VALUE"""),999999.0)</f>
        <v>999999</v>
      </c>
      <c r="O34" s="148">
        <f>IFERROR(__xludf.DUMMYFUNCTION("""COMPUTED_VALUE"""),99999.0)</f>
        <v>99999</v>
      </c>
      <c r="P34" s="148">
        <f>IFERROR(__xludf.DUMMYFUNCTION("""COMPUTED_VALUE"""),99999.0)</f>
        <v>99999</v>
      </c>
      <c r="Q34" s="148" t="str">
        <f>IFERROR(__xludf.DUMMYFUNCTION("""COMPUTED_VALUE"""),"[""bag_asset""]")</f>
        <v>["bag_asset"]</v>
      </c>
      <c r="R34" s="148" t="str">
        <f>IFERROR(__xludf.DUMMYFUNCTION("""COMPUTED_VALUE"""),"[""bag""]")</f>
        <v>["bag"]</v>
      </c>
      <c r="S34" s="148" t="str">
        <f>IFERROR(__xludf.DUMMYFUNCTION("""COMPUTED_VALUE"""),"{""effect"":[{""typ"":""vm"",""id"":11151001,""val"":100}]}")</f>
        <v>{"effect":[{"typ":"vm","id":11151001,"val":100}]}</v>
      </c>
      <c r="T34" s="148">
        <f>IFERROR(__xludf.DUMMYFUNCTION("""COMPUTED_VALUE"""),-1.0)</f>
        <v>-1</v>
      </c>
      <c r="U34" s="148">
        <f>IFERROR(__xludf.DUMMYFUNCTION("""COMPUTED_VALUE"""),0.0)</f>
        <v>0</v>
      </c>
      <c r="V34" s="148" t="str">
        <f>IFERROR(__xludf.DUMMYFUNCTION("""COMPUTED_VALUE"""),"[]")</f>
        <v>[]</v>
      </c>
      <c r="W34" s="148">
        <f>IFERROR(__xludf.DUMMYFUNCTION("""COMPUTED_VALUE"""),1.1741004E7)</f>
        <v>11741004</v>
      </c>
      <c r="X34" s="148">
        <f>IFERROR(__xludf.DUMMYFUNCTION("""COMPUTED_VALUE"""),0.0)</f>
        <v>0</v>
      </c>
      <c r="Y34" s="148">
        <f>IFERROR(__xludf.DUMMYFUNCTION("""COMPUTED_VALUE"""),0.0)</f>
        <v>0</v>
      </c>
      <c r="Z34" s="148"/>
    </row>
    <row r="35">
      <c r="A35" s="148">
        <f>IFERROR(__xludf.DUMMYFUNCTION("""COMPUTED_VALUE"""),1.1111033E7)</f>
        <v>11111033</v>
      </c>
      <c r="B35" s="148" t="str">
        <f>IFERROR(__xludf.DUMMYFUNCTION("""COMPUTED_VALUE"""),"300CDs")</f>
        <v>300CDs</v>
      </c>
      <c r="C35" s="148"/>
      <c r="D35" s="148" t="str">
        <f>IFERROR(__xludf.DUMMYFUNCTION("""COMPUTED_VALUE"""),"item_rss")</f>
        <v>item_rss</v>
      </c>
      <c r="E35" s="148">
        <f>IFERROR(__xludf.DUMMYFUNCTION("""COMPUTED_VALUE"""),22.0)</f>
        <v>22</v>
      </c>
      <c r="F35" s="148">
        <f>IFERROR(__xludf.DUMMYFUNCTION("""COMPUTED_VALUE"""),103508.0)</f>
        <v>103508</v>
      </c>
      <c r="G35" s="148">
        <f>IFERROR(__xludf.DUMMYFUNCTION("""COMPUTED_VALUE"""),1.5112582E7)</f>
        <v>15112582</v>
      </c>
      <c r="H35" s="148">
        <f>IFERROR(__xludf.DUMMYFUNCTION("""COMPUTED_VALUE"""),1.5112564E7)</f>
        <v>15112564</v>
      </c>
      <c r="I35" s="148" t="str">
        <f>IFERROR(__xludf.DUMMYFUNCTION("""COMPUTED_VALUE"""),"{""typ"":""lc"",""txt"":""LC_ITEM_rss_upper_show"",""args"":[{""typ"":""int_unit"",""val"":300}]}")</f>
        <v>{"typ":"lc","txt":"LC_ITEM_rss_upper_show","args":[{"typ":"int_unit","val":300}]}</v>
      </c>
      <c r="J35" s="148" t="str">
        <f>IFERROR(__xludf.DUMMYFUNCTION("""COMPUTED_VALUE"""),"{""typ"":""lc"",""txt"":""LC_ITEM_add_CD_name"",""args"":[{""typ"":""int"",""val"":300}]}")</f>
        <v>{"typ":"lc","txt":"LC_ITEM_add_CD_name","args":[{"typ":"int","val":300}]}</v>
      </c>
      <c r="K35" s="148" t="str">
        <f>IFERROR(__xludf.DUMMYFUNCTION("""COMPUTED_VALUE"""),"{""typ"":""lc"",""txt"":""LC_ITEM_add_CD_desc"",""args"":[{""typ"":""int"",""val"":300}]}")</f>
        <v>{"typ":"lc","txt":"LC_ITEM_add_CD_desc","args":[{"typ":"int","val":300}]}</v>
      </c>
      <c r="L35" s="148" t="str">
        <f>IFERROR(__xludf.DUMMYFUNCTION("""COMPUTED_VALUE"""),"{""typ"":""lc"",""txt"":""LC_ITEM_add_CD_usedtip"",""args"":[{""typ"":""int"",""val"":300}]}")</f>
        <v>{"typ":"lc","txt":"LC_ITEM_add_CD_usedtip","args":[{"typ":"int","val":300}]}</v>
      </c>
      <c r="M35" s="148">
        <f>IFERROR(__xludf.DUMMYFUNCTION("""COMPUTED_VALUE"""),300.0)</f>
        <v>300</v>
      </c>
      <c r="N35" s="148">
        <f>IFERROR(__xludf.DUMMYFUNCTION("""COMPUTED_VALUE"""),999999.0)</f>
        <v>999999</v>
      </c>
      <c r="O35" s="148">
        <f>IFERROR(__xludf.DUMMYFUNCTION("""COMPUTED_VALUE"""),99999.0)</f>
        <v>99999</v>
      </c>
      <c r="P35" s="148">
        <f>IFERROR(__xludf.DUMMYFUNCTION("""COMPUTED_VALUE"""),99999.0)</f>
        <v>99999</v>
      </c>
      <c r="Q35" s="148" t="str">
        <f>IFERROR(__xludf.DUMMYFUNCTION("""COMPUTED_VALUE"""),"[""bag_asset""]")</f>
        <v>["bag_asset"]</v>
      </c>
      <c r="R35" s="148" t="str">
        <f>IFERROR(__xludf.DUMMYFUNCTION("""COMPUTED_VALUE"""),"[""bag""]")</f>
        <v>["bag"]</v>
      </c>
      <c r="S35" s="148" t="str">
        <f>IFERROR(__xludf.DUMMYFUNCTION("""COMPUTED_VALUE"""),"{""effect"":[{""typ"":""vm"",""id"":11151001,""val"":300}]}")</f>
        <v>{"effect":[{"typ":"vm","id":11151001,"val":300}]}</v>
      </c>
      <c r="T35" s="148">
        <f>IFERROR(__xludf.DUMMYFUNCTION("""COMPUTED_VALUE"""),-1.0)</f>
        <v>-1</v>
      </c>
      <c r="U35" s="148">
        <f>IFERROR(__xludf.DUMMYFUNCTION("""COMPUTED_VALUE"""),0.0)</f>
        <v>0</v>
      </c>
      <c r="V35" s="148" t="str">
        <f>IFERROR(__xludf.DUMMYFUNCTION("""COMPUTED_VALUE"""),"[]")</f>
        <v>[]</v>
      </c>
      <c r="W35" s="148">
        <f>IFERROR(__xludf.DUMMYFUNCTION("""COMPUTED_VALUE"""),1.1741004E7)</f>
        <v>11741004</v>
      </c>
      <c r="X35" s="148">
        <f>IFERROR(__xludf.DUMMYFUNCTION("""COMPUTED_VALUE"""),0.0)</f>
        <v>0</v>
      </c>
      <c r="Y35" s="148">
        <f>IFERROR(__xludf.DUMMYFUNCTION("""COMPUTED_VALUE"""),0.0)</f>
        <v>0</v>
      </c>
      <c r="Z35" s="148"/>
    </row>
    <row r="36">
      <c r="A36" s="148">
        <f>IFERROR(__xludf.DUMMYFUNCTION("""COMPUTED_VALUE"""),1.1111034E7)</f>
        <v>11111034</v>
      </c>
      <c r="B36" s="148" t="str">
        <f>IFERROR(__xludf.DUMMYFUNCTION("""COMPUTED_VALUE"""),"1000CDs")</f>
        <v>1000CDs</v>
      </c>
      <c r="C36" s="148"/>
      <c r="D36" s="148" t="str">
        <f>IFERROR(__xludf.DUMMYFUNCTION("""COMPUTED_VALUE"""),"item_rss")</f>
        <v>item_rss</v>
      </c>
      <c r="E36" s="148">
        <f>IFERROR(__xludf.DUMMYFUNCTION("""COMPUTED_VALUE"""),22.0)</f>
        <v>22</v>
      </c>
      <c r="F36" s="148">
        <f>IFERROR(__xludf.DUMMYFUNCTION("""COMPUTED_VALUE"""),103510.0)</f>
        <v>103510</v>
      </c>
      <c r="G36" s="148">
        <f>IFERROR(__xludf.DUMMYFUNCTION("""COMPUTED_VALUE"""),1.5112582E7)</f>
        <v>15112582</v>
      </c>
      <c r="H36" s="148">
        <f>IFERROR(__xludf.DUMMYFUNCTION("""COMPUTED_VALUE"""),1.5112564E7)</f>
        <v>15112564</v>
      </c>
      <c r="I36" s="148" t="str">
        <f>IFERROR(__xludf.DUMMYFUNCTION("""COMPUTED_VALUE"""),"{""typ"":""lc"",""txt"":""LC_ITEM_rss_upper_show"",""args"":[{""typ"":""int_unit"",""val"":1000}]}")</f>
        <v>{"typ":"lc","txt":"LC_ITEM_rss_upper_show","args":[{"typ":"int_unit","val":1000}]}</v>
      </c>
      <c r="J36" s="148" t="str">
        <f>IFERROR(__xludf.DUMMYFUNCTION("""COMPUTED_VALUE"""),"{""typ"":""lc"",""txt"":""LC_ITEM_add_CD_name"",""args"":[{""typ"":""int"",""val"":1000}]}")</f>
        <v>{"typ":"lc","txt":"LC_ITEM_add_CD_name","args":[{"typ":"int","val":1000}]}</v>
      </c>
      <c r="K36" s="148" t="str">
        <f>IFERROR(__xludf.DUMMYFUNCTION("""COMPUTED_VALUE"""),"{""typ"":""lc"",""txt"":""LC_ITEM_add_CD_desc"",""args"":[{""typ"":""int"",""val"":1000}]}")</f>
        <v>{"typ":"lc","txt":"LC_ITEM_add_CD_desc","args":[{"typ":"int","val":1000}]}</v>
      </c>
      <c r="L36" s="148" t="str">
        <f>IFERROR(__xludf.DUMMYFUNCTION("""COMPUTED_VALUE"""),"{""typ"":""lc"",""txt"":""LC_ITEM_add_CD_usedtip"",""args"":[{""typ"":""int"",""val"":1000}]}")</f>
        <v>{"typ":"lc","txt":"LC_ITEM_add_CD_usedtip","args":[{"typ":"int","val":1000}]}</v>
      </c>
      <c r="M36" s="148">
        <f>IFERROR(__xludf.DUMMYFUNCTION("""COMPUTED_VALUE"""),1000.0)</f>
        <v>1000</v>
      </c>
      <c r="N36" s="148">
        <f>IFERROR(__xludf.DUMMYFUNCTION("""COMPUTED_VALUE"""),999999.0)</f>
        <v>999999</v>
      </c>
      <c r="O36" s="148">
        <f>IFERROR(__xludf.DUMMYFUNCTION("""COMPUTED_VALUE"""),99999.0)</f>
        <v>99999</v>
      </c>
      <c r="P36" s="148">
        <f>IFERROR(__xludf.DUMMYFUNCTION("""COMPUTED_VALUE"""),99999.0)</f>
        <v>99999</v>
      </c>
      <c r="Q36" s="148" t="str">
        <f>IFERROR(__xludf.DUMMYFUNCTION("""COMPUTED_VALUE"""),"[""bag_asset""]")</f>
        <v>["bag_asset"]</v>
      </c>
      <c r="R36" s="148" t="str">
        <f>IFERROR(__xludf.DUMMYFUNCTION("""COMPUTED_VALUE"""),"[""bag""]")</f>
        <v>["bag"]</v>
      </c>
      <c r="S36" s="148" t="str">
        <f>IFERROR(__xludf.DUMMYFUNCTION("""COMPUTED_VALUE"""),"{""effect"":[{""typ"":""vm"",""id"":11151001,""val"":1000}]}")</f>
        <v>{"effect":[{"typ":"vm","id":11151001,"val":1000}]}</v>
      </c>
      <c r="T36" s="148">
        <f>IFERROR(__xludf.DUMMYFUNCTION("""COMPUTED_VALUE"""),-1.0)</f>
        <v>-1</v>
      </c>
      <c r="U36" s="148">
        <f>IFERROR(__xludf.DUMMYFUNCTION("""COMPUTED_VALUE"""),0.0)</f>
        <v>0</v>
      </c>
      <c r="V36" s="148" t="str">
        <f>IFERROR(__xludf.DUMMYFUNCTION("""COMPUTED_VALUE"""),"[]")</f>
        <v>[]</v>
      </c>
      <c r="W36" s="148">
        <f>IFERROR(__xludf.DUMMYFUNCTION("""COMPUTED_VALUE"""),1.1741004E7)</f>
        <v>11741004</v>
      </c>
      <c r="X36" s="148">
        <f>IFERROR(__xludf.DUMMYFUNCTION("""COMPUTED_VALUE"""),0.0)</f>
        <v>0</v>
      </c>
      <c r="Y36" s="148">
        <f>IFERROR(__xludf.DUMMYFUNCTION("""COMPUTED_VALUE"""),0.0)</f>
        <v>0</v>
      </c>
      <c r="Z36" s="148"/>
    </row>
    <row r="37">
      <c r="A37" s="148">
        <f>IFERROR(__xludf.DUMMYFUNCTION("""COMPUTED_VALUE"""),1.1111035E7)</f>
        <v>11111035</v>
      </c>
      <c r="B37" s="148" t="str">
        <f>IFERROR(__xludf.DUMMYFUNCTION("""COMPUTED_VALUE"""),"5000粮食")</f>
        <v>5000粮食</v>
      </c>
      <c r="C37" s="148"/>
      <c r="D37" s="148" t="str">
        <f>IFERROR(__xludf.DUMMYFUNCTION("""COMPUTED_VALUE"""),"item_rss")</f>
        <v>item_rss</v>
      </c>
      <c r="E37" s="148">
        <f>IFERROR(__xludf.DUMMYFUNCTION("""COMPUTED_VALUE"""),1.0)</f>
        <v>1</v>
      </c>
      <c r="F37" s="148">
        <f>IFERROR(__xludf.DUMMYFUNCTION("""COMPUTED_VALUE"""),105104.0)</f>
        <v>105104</v>
      </c>
      <c r="G37" s="148">
        <f>IFERROR(__xludf.DUMMYFUNCTION("""COMPUTED_VALUE"""),1.5112577E7)</f>
        <v>15112577</v>
      </c>
      <c r="H37" s="148">
        <f>IFERROR(__xludf.DUMMYFUNCTION("""COMPUTED_VALUE"""),1.511256E7)</f>
        <v>15112560</v>
      </c>
      <c r="I37" s="148" t="str">
        <f>IFERROR(__xludf.DUMMYFUNCTION("""COMPUTED_VALUE"""),"{""typ"":""lc"",""txt"":""LC_ITEM_rss_upper_show"",""args"":[{""typ"":""int_unit"",""val"":5000}]}")</f>
        <v>{"typ":"lc","txt":"LC_ITEM_rss_upper_show","args":[{"typ":"int_unit","val":5000}]}</v>
      </c>
      <c r="J37" s="148" t="str">
        <f>IFERROR(__xludf.DUMMYFUNCTION("""COMPUTED_VALUE"""),"{""typ"":""lc"",""txt"":""LC_ITEM_add_food_name"",""args"":[{""typ"":""int"",""val"":5000}]}")</f>
        <v>{"typ":"lc","txt":"LC_ITEM_add_food_name","args":[{"typ":"int","val":5000}]}</v>
      </c>
      <c r="K37" s="148" t="str">
        <f>IFERROR(__xludf.DUMMYFUNCTION("""COMPUTED_VALUE"""),"{""typ"":""lc"",""txt"":""LC_ITEM_add_food_desc"",""args"":[{""typ"":""int"",""val"":5000}]}")</f>
        <v>{"typ":"lc","txt":"LC_ITEM_add_food_desc","args":[{"typ":"int","val":5000}]}</v>
      </c>
      <c r="L37" s="148" t="str">
        <f>IFERROR(__xludf.DUMMYFUNCTION("""COMPUTED_VALUE"""),"{""typ"":""lc"",""txt"":""LC_ITEM_add_food_usedtip"",""args"":[{""typ"":""int"",""val"":5000}]}")</f>
        <v>{"typ":"lc","txt":"LC_ITEM_add_food_usedtip","args":[{"typ":"int","val":5000}]}</v>
      </c>
      <c r="M37" s="148">
        <f>IFERROR(__xludf.DUMMYFUNCTION("""COMPUTED_VALUE"""),15.0)</f>
        <v>15</v>
      </c>
      <c r="N37" s="148">
        <f>IFERROR(__xludf.DUMMYFUNCTION("""COMPUTED_VALUE"""),999999.0)</f>
        <v>999999</v>
      </c>
      <c r="O37" s="148">
        <f>IFERROR(__xludf.DUMMYFUNCTION("""COMPUTED_VALUE"""),99999.0)</f>
        <v>99999</v>
      </c>
      <c r="P37" s="148">
        <f>IFERROR(__xludf.DUMMYFUNCTION("""COMPUTED_VALUE"""),99999.0)</f>
        <v>99999</v>
      </c>
      <c r="Q37" s="148" t="str">
        <f>IFERROR(__xludf.DUMMYFUNCTION("""COMPUTED_VALUE"""),"[""bag_asset"",""rss_food""]")</f>
        <v>["bag_asset","rss_food"]</v>
      </c>
      <c r="R37" s="148" t="str">
        <f>IFERROR(__xludf.DUMMYFUNCTION("""COMPUTED_VALUE"""),"[""bag"",""rss_food""]")</f>
        <v>["bag","rss_food"]</v>
      </c>
      <c r="S37" s="148" t="str">
        <f>IFERROR(__xludf.DUMMYFUNCTION("""COMPUTED_VALUE"""),"{""effect"":[{""typ"":""rss"",""id"":11141001,""val"":5000}]}")</f>
        <v>{"effect":[{"typ":"rss","id":11141001,"val":5000}]}</v>
      </c>
      <c r="T37" s="148">
        <f>IFERROR(__xludf.DUMMYFUNCTION("""COMPUTED_VALUE"""),-1.0)</f>
        <v>-1</v>
      </c>
      <c r="U37" s="148">
        <f>IFERROR(__xludf.DUMMYFUNCTION("""COMPUTED_VALUE"""),0.0)</f>
        <v>0</v>
      </c>
      <c r="V37" s="148" t="str">
        <f>IFERROR(__xludf.DUMMYFUNCTION("""COMPUTED_VALUE"""),"[]")</f>
        <v>[]</v>
      </c>
      <c r="W37" s="148">
        <f>IFERROR(__xludf.DUMMYFUNCTION("""COMPUTED_VALUE"""),1.1741004E7)</f>
        <v>11741004</v>
      </c>
      <c r="X37" s="148">
        <f>IFERROR(__xludf.DUMMYFUNCTION("""COMPUTED_VALUE"""),0.0)</f>
        <v>0</v>
      </c>
      <c r="Y37" s="148">
        <f>IFERROR(__xludf.DUMMYFUNCTION("""COMPUTED_VALUE"""),0.0)</f>
        <v>0</v>
      </c>
      <c r="Z37" s="148"/>
    </row>
    <row r="38">
      <c r="A38" s="148">
        <f>IFERROR(__xludf.DUMMYFUNCTION("""COMPUTED_VALUE"""),1.1111036E7)</f>
        <v>11111036</v>
      </c>
      <c r="B38" s="148" t="str">
        <f>IFERROR(__xludf.DUMMYFUNCTION("""COMPUTED_VALUE"""),"5000钢铁")</f>
        <v>5000钢铁</v>
      </c>
      <c r="C38" s="148"/>
      <c r="D38" s="148" t="str">
        <f>IFERROR(__xludf.DUMMYFUNCTION("""COMPUTED_VALUE"""),"item_rss")</f>
        <v>item_rss</v>
      </c>
      <c r="E38" s="148">
        <f>IFERROR(__xludf.DUMMYFUNCTION("""COMPUTED_VALUE"""),2.0)</f>
        <v>2</v>
      </c>
      <c r="F38" s="148">
        <f>IFERROR(__xludf.DUMMYFUNCTION("""COMPUTED_VALUE"""),106104.0)</f>
        <v>106104</v>
      </c>
      <c r="G38" s="148">
        <f>IFERROR(__xludf.DUMMYFUNCTION("""COMPUTED_VALUE"""),1.511258E7)</f>
        <v>15112580</v>
      </c>
      <c r="H38" s="148">
        <f>IFERROR(__xludf.DUMMYFUNCTION("""COMPUTED_VALUE"""),1.511256E7)</f>
        <v>15112560</v>
      </c>
      <c r="I38" s="148" t="str">
        <f>IFERROR(__xludf.DUMMYFUNCTION("""COMPUTED_VALUE"""),"{""typ"":""lc"",""txt"":""LC_ITEM_rss_upper_show"",""args"":[{""typ"":""int_unit"",""val"":5000}]}")</f>
        <v>{"typ":"lc","txt":"LC_ITEM_rss_upper_show","args":[{"typ":"int_unit","val":5000}]}</v>
      </c>
      <c r="J38" s="148" t="str">
        <f>IFERROR(__xludf.DUMMYFUNCTION("""COMPUTED_VALUE"""),"{""typ"":""lc"",""txt"":""LC_ITEM_add_iron_name"",""args"":[{""typ"":""int"",""val"":5000}]}")</f>
        <v>{"typ":"lc","txt":"LC_ITEM_add_iron_name","args":[{"typ":"int","val":5000}]}</v>
      </c>
      <c r="K38" s="148" t="str">
        <f>IFERROR(__xludf.DUMMYFUNCTION("""COMPUTED_VALUE"""),"{""typ"":""lc"",""txt"":""LC_ITEM_add_iron_desc"",""args"":[{""typ"":""int"",""val"":5000}]}")</f>
        <v>{"typ":"lc","txt":"LC_ITEM_add_iron_desc","args":[{"typ":"int","val":5000}]}</v>
      </c>
      <c r="L38" s="148" t="str">
        <f>IFERROR(__xludf.DUMMYFUNCTION("""COMPUTED_VALUE"""),"{""typ"":""lc"",""txt"":""LC_ITEM_add_iron_usedtip"",""args"":[{""typ"":""int"",""val"":5000}]}")</f>
        <v>{"typ":"lc","txt":"LC_ITEM_add_iron_usedtip","args":[{"typ":"int","val":5000}]}</v>
      </c>
      <c r="M38" s="148">
        <f>IFERROR(__xludf.DUMMYFUNCTION("""COMPUTED_VALUE"""),15.0)</f>
        <v>15</v>
      </c>
      <c r="N38" s="148">
        <f>IFERROR(__xludf.DUMMYFUNCTION("""COMPUTED_VALUE"""),999999.0)</f>
        <v>999999</v>
      </c>
      <c r="O38" s="148">
        <f>IFERROR(__xludf.DUMMYFUNCTION("""COMPUTED_VALUE"""),99999.0)</f>
        <v>99999</v>
      </c>
      <c r="P38" s="148">
        <f>IFERROR(__xludf.DUMMYFUNCTION("""COMPUTED_VALUE"""),99999.0)</f>
        <v>99999</v>
      </c>
      <c r="Q38" s="148" t="str">
        <f>IFERROR(__xludf.DUMMYFUNCTION("""COMPUTED_VALUE"""),"[""bag_asset"",""rss_iron""]")</f>
        <v>["bag_asset","rss_iron"]</v>
      </c>
      <c r="R38" s="148" t="str">
        <f>IFERROR(__xludf.DUMMYFUNCTION("""COMPUTED_VALUE"""),"[""bag"",""rss_iron""]")</f>
        <v>["bag","rss_iron"]</v>
      </c>
      <c r="S38" s="148" t="str">
        <f>IFERROR(__xludf.DUMMYFUNCTION("""COMPUTED_VALUE"""),"{""effect"":[{""typ"":""rss"",""id"":11141003,""val"":5000}]}")</f>
        <v>{"effect":[{"typ":"rss","id":11141003,"val":5000}]}</v>
      </c>
      <c r="T38" s="148">
        <f>IFERROR(__xludf.DUMMYFUNCTION("""COMPUTED_VALUE"""),-1.0)</f>
        <v>-1</v>
      </c>
      <c r="U38" s="148">
        <f>IFERROR(__xludf.DUMMYFUNCTION("""COMPUTED_VALUE"""),0.0)</f>
        <v>0</v>
      </c>
      <c r="V38" s="148" t="str">
        <f>IFERROR(__xludf.DUMMYFUNCTION("""COMPUTED_VALUE"""),"[]")</f>
        <v>[]</v>
      </c>
      <c r="W38" s="148">
        <f>IFERROR(__xludf.DUMMYFUNCTION("""COMPUTED_VALUE"""),1.1741004E7)</f>
        <v>11741004</v>
      </c>
      <c r="X38" s="148">
        <f>IFERROR(__xludf.DUMMYFUNCTION("""COMPUTED_VALUE"""),0.0)</f>
        <v>0</v>
      </c>
      <c r="Y38" s="148">
        <f>IFERROR(__xludf.DUMMYFUNCTION("""COMPUTED_VALUE"""),0.0)</f>
        <v>0</v>
      </c>
      <c r="Z38" s="148"/>
    </row>
    <row r="39">
      <c r="A39" s="148">
        <f>IFERROR(__xludf.DUMMYFUNCTION("""COMPUTED_VALUE"""),1.1111037E7)</f>
        <v>11111037</v>
      </c>
      <c r="B39" s="148" t="str">
        <f>IFERROR(__xludf.DUMMYFUNCTION("""COMPUTED_VALUE"""),"1基因片段")</f>
        <v>1基因片段</v>
      </c>
      <c r="C39" s="148"/>
      <c r="D39" s="148" t="str">
        <f>IFERROR(__xludf.DUMMYFUNCTION("""COMPUTED_VALUE"""),"item_rss")</f>
        <v>item_rss</v>
      </c>
      <c r="E39" s="148">
        <f>IFERROR(__xludf.DUMMYFUNCTION("""COMPUTED_VALUE"""),0.0)</f>
        <v>0</v>
      </c>
      <c r="F39" s="148">
        <f>IFERROR(__xludf.DUMMYFUNCTION("""COMPUTED_VALUE"""),0.0)</f>
        <v>0</v>
      </c>
      <c r="G39" s="148">
        <f>IFERROR(__xludf.DUMMYFUNCTION("""COMPUTED_VALUE"""),1.5113984E7)</f>
        <v>15113984</v>
      </c>
      <c r="H39" s="148">
        <f>IFERROR(__xludf.DUMMYFUNCTION("""COMPUTED_VALUE"""),1.5112564E7)</f>
        <v>15112564</v>
      </c>
      <c r="I39" s="148" t="str">
        <f>IFERROR(__xludf.DUMMYFUNCTION("""COMPUTED_VALUE"""),"{}")</f>
        <v>{}</v>
      </c>
      <c r="J39" s="148" t="str">
        <f>IFERROR(__xludf.DUMMYFUNCTION("""COMPUTED_VALUE"""),"{""typ"":""lc"",""txt"":""LC_RSS_rss_1037_name""}")</f>
        <v>{"typ":"lc","txt":"LC_RSS_rss_1037_name"}</v>
      </c>
      <c r="K39" s="148" t="str">
        <f>IFERROR(__xludf.DUMMYFUNCTION("""COMPUTED_VALUE"""),"{""typ"":""lc"",""txt"":""LC_RSS_rss_1037_desc""}")</f>
        <v>{"typ":"lc","txt":"LC_RSS_rss_1037_desc"}</v>
      </c>
      <c r="L39" s="148" t="str">
        <f>IFERROR(__xludf.DUMMYFUNCTION("""COMPUTED_VALUE"""),"{}")</f>
        <v>{}</v>
      </c>
      <c r="M39" s="148">
        <f>IFERROR(__xludf.DUMMYFUNCTION("""COMPUTED_VALUE"""),0.2)</f>
        <v>0.2</v>
      </c>
      <c r="N39" s="148">
        <f>IFERROR(__xludf.DUMMYFUNCTION("""COMPUTED_VALUE"""),9999999.0)</f>
        <v>9999999</v>
      </c>
      <c r="O39" s="148">
        <f>IFERROR(__xludf.DUMMYFUNCTION("""COMPUTED_VALUE"""),9999999.0)</f>
        <v>9999999</v>
      </c>
      <c r="P39" s="148">
        <f>IFERROR(__xludf.DUMMYFUNCTION("""COMPUTED_VALUE"""),9999999.0)</f>
        <v>9999999</v>
      </c>
      <c r="Q39" s="148" t="str">
        <f>IFERROR(__xludf.DUMMYFUNCTION("""COMPUTED_VALUE"""),"[]")</f>
        <v>[]</v>
      </c>
      <c r="R39" s="148" t="str">
        <f>IFERROR(__xludf.DUMMYFUNCTION("""COMPUTED_VALUE"""),"[]")</f>
        <v>[]</v>
      </c>
      <c r="S39" s="148" t="str">
        <f>IFERROR(__xludf.DUMMYFUNCTION("""COMPUTED_VALUE"""),"{""effect"":[{""typ"":""rss"",""id"":11141037,""val"":1}]}")</f>
        <v>{"effect":[{"typ":"rss","id":11141037,"val":1}]}</v>
      </c>
      <c r="T39" s="148">
        <f>IFERROR(__xludf.DUMMYFUNCTION("""COMPUTED_VALUE"""),-1.0)</f>
        <v>-1</v>
      </c>
      <c r="U39" s="148">
        <f>IFERROR(__xludf.DUMMYFUNCTION("""COMPUTED_VALUE"""),1.0)</f>
        <v>1</v>
      </c>
      <c r="V39" s="148" t="str">
        <f>IFERROR(__xludf.DUMMYFUNCTION("""COMPUTED_VALUE"""),"[]")</f>
        <v>[]</v>
      </c>
      <c r="W39" s="148">
        <f>IFERROR(__xludf.DUMMYFUNCTION("""COMPUTED_VALUE"""),1.174E7)</f>
        <v>11740000</v>
      </c>
      <c r="X39" s="148">
        <f>IFERROR(__xludf.DUMMYFUNCTION("""COMPUTED_VALUE"""),0.0)</f>
        <v>0</v>
      </c>
      <c r="Y39" s="148">
        <f>IFERROR(__xludf.DUMMYFUNCTION("""COMPUTED_VALUE"""),0.0)</f>
        <v>0</v>
      </c>
      <c r="Z39" s="148"/>
    </row>
    <row r="40">
      <c r="A40" s="148">
        <f>IFERROR(__xludf.DUMMYFUNCTION("""COMPUTED_VALUE"""),1.1111038E7)</f>
        <v>11111038</v>
      </c>
      <c r="B40" s="148" t="str">
        <f>IFERROR(__xludf.DUMMYFUNCTION("""COMPUTED_VALUE"""),"军功币")</f>
        <v>军功币</v>
      </c>
      <c r="C40" s="148"/>
      <c r="D40" s="148" t="str">
        <f>IFERROR(__xludf.DUMMYFUNCTION("""COMPUTED_VALUE"""),"item_rss")</f>
        <v>item_rss</v>
      </c>
      <c r="E40" s="148">
        <f>IFERROR(__xludf.DUMMYFUNCTION("""COMPUTED_VALUE"""),0.0)</f>
        <v>0</v>
      </c>
      <c r="F40" s="148">
        <f>IFERROR(__xludf.DUMMYFUNCTION("""COMPUTED_VALUE"""),0.0)</f>
        <v>0</v>
      </c>
      <c r="G40" s="148">
        <f>IFERROR(__xludf.DUMMYFUNCTION("""COMPUTED_VALUE"""),1.5113614E7)</f>
        <v>15113614</v>
      </c>
      <c r="H40" s="148">
        <f>IFERROR(__xludf.DUMMYFUNCTION("""COMPUTED_VALUE"""),1.5112564E7)</f>
        <v>15112564</v>
      </c>
      <c r="I40" s="148" t="str">
        <f>IFERROR(__xludf.DUMMYFUNCTION("""COMPUTED_VALUE"""),"{}")</f>
        <v>{}</v>
      </c>
      <c r="J40" s="148" t="str">
        <f>IFERROR(__xludf.DUMMYFUNCTION("""COMPUTED_VALUE"""),"{""typ"":""lc"",""txt"":""LC_RSS_vm_1004_name""}")</f>
        <v>{"typ":"lc","txt":"LC_RSS_vm_1004_name"}</v>
      </c>
      <c r="K40" s="148" t="str">
        <f>IFERROR(__xludf.DUMMYFUNCTION("""COMPUTED_VALUE"""),"{""typ"":""lc"",""txt"":""LC_RSS_vm_1004_desc""}")</f>
        <v>{"typ":"lc","txt":"LC_RSS_vm_1004_desc"}</v>
      </c>
      <c r="L40" s="148" t="str">
        <f>IFERROR(__xludf.DUMMYFUNCTION("""COMPUTED_VALUE"""),"{}")</f>
        <v>{}</v>
      </c>
      <c r="M40" s="148">
        <f>IFERROR(__xludf.DUMMYFUNCTION("""COMPUTED_VALUE"""),0.5)</f>
        <v>0.5</v>
      </c>
      <c r="N40" s="148">
        <f>IFERROR(__xludf.DUMMYFUNCTION("""COMPUTED_VALUE"""),9999999.0)</f>
        <v>9999999</v>
      </c>
      <c r="O40" s="148">
        <f>IFERROR(__xludf.DUMMYFUNCTION("""COMPUTED_VALUE"""),9999999.0)</f>
        <v>9999999</v>
      </c>
      <c r="P40" s="148">
        <f>IFERROR(__xludf.DUMMYFUNCTION("""COMPUTED_VALUE"""),9999999.0)</f>
        <v>9999999</v>
      </c>
      <c r="Q40" s="148" t="str">
        <f>IFERROR(__xludf.DUMMYFUNCTION("""COMPUTED_VALUE"""),"[]")</f>
        <v>[]</v>
      </c>
      <c r="R40" s="148" t="str">
        <f>IFERROR(__xludf.DUMMYFUNCTION("""COMPUTED_VALUE"""),"[]")</f>
        <v>[]</v>
      </c>
      <c r="S40" s="148" t="str">
        <f>IFERROR(__xludf.DUMMYFUNCTION("""COMPUTED_VALUE"""),"{""effect"":[{""typ"":""vm"",""id"":11151004,""val"":1}]}")</f>
        <v>{"effect":[{"typ":"vm","id":11151004,"val":1}]}</v>
      </c>
      <c r="T40" s="148">
        <f>IFERROR(__xludf.DUMMYFUNCTION("""COMPUTED_VALUE"""),-1.0)</f>
        <v>-1</v>
      </c>
      <c r="U40" s="148">
        <f>IFERROR(__xludf.DUMMYFUNCTION("""COMPUTED_VALUE"""),1.0)</f>
        <v>1</v>
      </c>
      <c r="V40" s="148" t="str">
        <f>IFERROR(__xludf.DUMMYFUNCTION("""COMPUTED_VALUE"""),"[]")</f>
        <v>[]</v>
      </c>
      <c r="W40" s="148">
        <f>IFERROR(__xludf.DUMMYFUNCTION("""COMPUTED_VALUE"""),1.174E7)</f>
        <v>11740000</v>
      </c>
      <c r="X40" s="148">
        <f>IFERROR(__xludf.DUMMYFUNCTION("""COMPUTED_VALUE"""),0.0)</f>
        <v>0</v>
      </c>
      <c r="Y40" s="148">
        <f>IFERROR(__xludf.DUMMYFUNCTION("""COMPUTED_VALUE"""),0.0)</f>
        <v>0</v>
      </c>
      <c r="Z40" s="148"/>
    </row>
    <row r="41">
      <c r="A41" s="148">
        <f>IFERROR(__xludf.DUMMYFUNCTION("""COMPUTED_VALUE"""),1.1111039E7)</f>
        <v>11111039</v>
      </c>
      <c r="B41" s="148" t="str">
        <f>IFERROR(__xludf.DUMMYFUNCTION("""COMPUTED_VALUE"""),"100新猩胶囊")</f>
        <v>100新猩胶囊</v>
      </c>
      <c r="C41" s="148"/>
      <c r="D41" s="148" t="str">
        <f>IFERROR(__xludf.DUMMYFUNCTION("""COMPUTED_VALUE"""),"item_rss")</f>
        <v>item_rss</v>
      </c>
      <c r="E41" s="148">
        <f>IFERROR(__xludf.DUMMYFUNCTION("""COMPUTED_VALUE"""),31.0)</f>
        <v>31</v>
      </c>
      <c r="F41" s="148">
        <f>IFERROR(__xludf.DUMMYFUNCTION("""COMPUTED_VALUE"""),107101.0)</f>
        <v>107101</v>
      </c>
      <c r="G41" s="148">
        <f>IFERROR(__xludf.DUMMYFUNCTION("""COMPUTED_VALUE"""),1.5117117E7)</f>
        <v>15117117</v>
      </c>
      <c r="H41" s="148">
        <f>IFERROR(__xludf.DUMMYFUNCTION("""COMPUTED_VALUE"""),1.5112561E7)</f>
        <v>15112561</v>
      </c>
      <c r="I41" s="148" t="str">
        <f>IFERROR(__xludf.DUMMYFUNCTION("""COMPUTED_VALUE"""),"{""typ"":""lc"",""txt"":""LC_ITEM_rss_upper_show"",""args"":[{""typ"":""int_unit"",""val"":100}]}")</f>
        <v>{"typ":"lc","txt":"LC_ITEM_rss_upper_show","args":[{"typ":"int_unit","val":100}]}</v>
      </c>
      <c r="J41" s="148" t="str">
        <f>IFERROR(__xludf.DUMMYFUNCTION("""COMPUTED_VALUE"""),"{""typ"":""lc"",""txt"":""LC_ITEM_add_rss_A_name"",""args"":[{""typ"":""int"",""val"":100}]}")</f>
        <v>{"typ":"lc","txt":"LC_ITEM_add_rss_A_name","args":[{"typ":"int","val":100}]}</v>
      </c>
      <c r="K41" s="148" t="str">
        <f>IFERROR(__xludf.DUMMYFUNCTION("""COMPUTED_VALUE"""),"{""typ"":""lc"",""txt"":""LC_ITEM_add_rss_A_desc"",""args"":[{""typ"":""int"",""val"":100}]}")</f>
        <v>{"typ":"lc","txt":"LC_ITEM_add_rss_A_desc","args":[{"typ":"int","val":100}]}</v>
      </c>
      <c r="L41" s="148" t="str">
        <f>IFERROR(__xludf.DUMMYFUNCTION("""COMPUTED_VALUE"""),"{""typ"":""lc"",""txt"":""LC_ITEM_add_rss_A_usedtip"",""args"":[{""typ"":""int"",""val"":100}]}")</f>
        <v>{"typ":"lc","txt":"LC_ITEM_add_rss_A_usedtip","args":[{"typ":"int","val":100}]}</v>
      </c>
      <c r="M41" s="148">
        <f>IFERROR(__xludf.DUMMYFUNCTION("""COMPUTED_VALUE"""),2.0)</f>
        <v>2</v>
      </c>
      <c r="N41" s="148">
        <f>IFERROR(__xludf.DUMMYFUNCTION("""COMPUTED_VALUE"""),999999.0)</f>
        <v>999999</v>
      </c>
      <c r="O41" s="148">
        <f>IFERROR(__xludf.DUMMYFUNCTION("""COMPUTED_VALUE"""),99999.0)</f>
        <v>99999</v>
      </c>
      <c r="P41" s="148">
        <f>IFERROR(__xludf.DUMMYFUNCTION("""COMPUTED_VALUE"""),99999.0)</f>
        <v>99999</v>
      </c>
      <c r="Q41" s="148" t="str">
        <f>IFERROR(__xludf.DUMMYFUNCTION("""COMPUTED_VALUE"""),"[""bag_asset"",""rss_capsule""]")</f>
        <v>["bag_asset","rss_capsule"]</v>
      </c>
      <c r="R41" s="148" t="str">
        <f>IFERROR(__xludf.DUMMYFUNCTION("""COMPUTED_VALUE"""),"[""bag"",""rss_capsule""]")</f>
        <v>["bag","rss_capsule"]</v>
      </c>
      <c r="S41" s="148" t="str">
        <f>IFERROR(__xludf.DUMMYFUNCTION("""COMPUTED_VALUE"""),"{""effect"":[{""typ"":""rss"",""id"":11141041,""val"":100}]}")</f>
        <v>{"effect":[{"typ":"rss","id":11141041,"val":100}]}</v>
      </c>
      <c r="T41" s="148">
        <f>IFERROR(__xludf.DUMMYFUNCTION("""COMPUTED_VALUE"""),-1.0)</f>
        <v>-1</v>
      </c>
      <c r="U41" s="148">
        <f>IFERROR(__xludf.DUMMYFUNCTION("""COMPUTED_VALUE"""),0.0)</f>
        <v>0</v>
      </c>
      <c r="V41" s="148" t="str">
        <f>IFERROR(__xludf.DUMMYFUNCTION("""COMPUTED_VALUE"""),"[]")</f>
        <v>[]</v>
      </c>
      <c r="W41" s="148">
        <f>IFERROR(__xludf.DUMMYFUNCTION("""COMPUTED_VALUE"""),1.1741004E7)</f>
        <v>11741004</v>
      </c>
      <c r="X41" s="148">
        <f>IFERROR(__xludf.DUMMYFUNCTION("""COMPUTED_VALUE"""),0.0)</f>
        <v>0</v>
      </c>
      <c r="Y41" s="148">
        <f>IFERROR(__xludf.DUMMYFUNCTION("""COMPUTED_VALUE"""),0.0)</f>
        <v>0</v>
      </c>
      <c r="Z41" s="148"/>
    </row>
    <row r="42">
      <c r="A42" s="148">
        <f>IFERROR(__xludf.DUMMYFUNCTION("""COMPUTED_VALUE"""),1.111104E7)</f>
        <v>11111040</v>
      </c>
      <c r="B42" s="148" t="str">
        <f>IFERROR(__xludf.DUMMYFUNCTION("""COMPUTED_VALUE"""),"1000新猩胶囊")</f>
        <v>1000新猩胶囊</v>
      </c>
      <c r="C42" s="148"/>
      <c r="D42" s="148" t="str">
        <f>IFERROR(__xludf.DUMMYFUNCTION("""COMPUTED_VALUE"""),"item_rss")</f>
        <v>item_rss</v>
      </c>
      <c r="E42" s="148">
        <f>IFERROR(__xludf.DUMMYFUNCTION("""COMPUTED_VALUE"""),31.0)</f>
        <v>31</v>
      </c>
      <c r="F42" s="148">
        <f>IFERROR(__xludf.DUMMYFUNCTION("""COMPUTED_VALUE"""),107102.0)</f>
        <v>107102</v>
      </c>
      <c r="G42" s="148">
        <f>IFERROR(__xludf.DUMMYFUNCTION("""COMPUTED_VALUE"""),1.5117117E7)</f>
        <v>15117117</v>
      </c>
      <c r="H42" s="148">
        <f>IFERROR(__xludf.DUMMYFUNCTION("""COMPUTED_VALUE"""),1.5112562E7)</f>
        <v>15112562</v>
      </c>
      <c r="I42" s="148" t="str">
        <f>IFERROR(__xludf.DUMMYFUNCTION("""COMPUTED_VALUE"""),"{""typ"":""lc"",""txt"":""LC_ITEM_rss_upper_show"",""args"":[{""typ"":""int_unit"",""val"":1000}]}")</f>
        <v>{"typ":"lc","txt":"LC_ITEM_rss_upper_show","args":[{"typ":"int_unit","val":1000}]}</v>
      </c>
      <c r="J42" s="148" t="str">
        <f>IFERROR(__xludf.DUMMYFUNCTION("""COMPUTED_VALUE"""),"{""typ"":""lc"",""txt"":""LC_ITEM_add_rss_A_name"",""args"":[{""typ"":""int"",""val"":1000}]}")</f>
        <v>{"typ":"lc","txt":"LC_ITEM_add_rss_A_name","args":[{"typ":"int","val":1000}]}</v>
      </c>
      <c r="K42" s="148" t="str">
        <f>IFERROR(__xludf.DUMMYFUNCTION("""COMPUTED_VALUE"""),"{""typ"":""lc"",""txt"":""LC_ITEM_add_rss_A_desc"",""args"":[{""typ"":""int"",""val"":1000}]}")</f>
        <v>{"typ":"lc","txt":"LC_ITEM_add_rss_A_desc","args":[{"typ":"int","val":1000}]}</v>
      </c>
      <c r="L42" s="148" t="str">
        <f>IFERROR(__xludf.DUMMYFUNCTION("""COMPUTED_VALUE"""),"{""typ"":""lc"",""txt"":""LC_ITEM_add_rss_A_usedtip"",""args"":[{""typ"":""int"",""val"":1000}]}")</f>
        <v>{"typ":"lc","txt":"LC_ITEM_add_rss_A_usedtip","args":[{"typ":"int","val":1000}]}</v>
      </c>
      <c r="M42" s="148">
        <f>IFERROR(__xludf.DUMMYFUNCTION("""COMPUTED_VALUE"""),20.0)</f>
        <v>20</v>
      </c>
      <c r="N42" s="148">
        <f>IFERROR(__xludf.DUMMYFUNCTION("""COMPUTED_VALUE"""),999999.0)</f>
        <v>999999</v>
      </c>
      <c r="O42" s="148">
        <f>IFERROR(__xludf.DUMMYFUNCTION("""COMPUTED_VALUE"""),99999.0)</f>
        <v>99999</v>
      </c>
      <c r="P42" s="148">
        <f>IFERROR(__xludf.DUMMYFUNCTION("""COMPUTED_VALUE"""),99999.0)</f>
        <v>99999</v>
      </c>
      <c r="Q42" s="148" t="str">
        <f>IFERROR(__xludf.DUMMYFUNCTION("""COMPUTED_VALUE"""),"[""bag_asset"",""rss_capsule""]")</f>
        <v>["bag_asset","rss_capsule"]</v>
      </c>
      <c r="R42" s="148" t="str">
        <f>IFERROR(__xludf.DUMMYFUNCTION("""COMPUTED_VALUE"""),"[""bag"",""rss_capsule""]")</f>
        <v>["bag","rss_capsule"]</v>
      </c>
      <c r="S42" s="148" t="str">
        <f>IFERROR(__xludf.DUMMYFUNCTION("""COMPUTED_VALUE"""),"{""effect"":[{""typ"":""rss"",""id"":11141041,""val"":1000}]}")</f>
        <v>{"effect":[{"typ":"rss","id":11141041,"val":1000}]}</v>
      </c>
      <c r="T42" s="148">
        <f>IFERROR(__xludf.DUMMYFUNCTION("""COMPUTED_VALUE"""),-1.0)</f>
        <v>-1</v>
      </c>
      <c r="U42" s="148">
        <f>IFERROR(__xludf.DUMMYFUNCTION("""COMPUTED_VALUE"""),0.0)</f>
        <v>0</v>
      </c>
      <c r="V42" s="148" t="str">
        <f>IFERROR(__xludf.DUMMYFUNCTION("""COMPUTED_VALUE"""),"[]")</f>
        <v>[]</v>
      </c>
      <c r="W42" s="148">
        <f>IFERROR(__xludf.DUMMYFUNCTION("""COMPUTED_VALUE"""),1.1741004E7)</f>
        <v>11741004</v>
      </c>
      <c r="X42" s="148">
        <f>IFERROR(__xludf.DUMMYFUNCTION("""COMPUTED_VALUE"""),0.0)</f>
        <v>0</v>
      </c>
      <c r="Y42" s="148">
        <f>IFERROR(__xludf.DUMMYFUNCTION("""COMPUTED_VALUE"""),0.0)</f>
        <v>0</v>
      </c>
      <c r="Z42" s="148"/>
    </row>
    <row r="43">
      <c r="A43" s="148">
        <f>IFERROR(__xludf.DUMMYFUNCTION("""COMPUTED_VALUE"""),1.1111041E7)</f>
        <v>11111041</v>
      </c>
      <c r="B43" s="148" t="str">
        <f>IFERROR(__xludf.DUMMYFUNCTION("""COMPUTED_VALUE"""),"5000新猩胶囊")</f>
        <v>5000新猩胶囊</v>
      </c>
      <c r="C43" s="148"/>
      <c r="D43" s="148" t="str">
        <f>IFERROR(__xludf.DUMMYFUNCTION("""COMPUTED_VALUE"""),"item_rss")</f>
        <v>item_rss</v>
      </c>
      <c r="E43" s="148">
        <f>IFERROR(__xludf.DUMMYFUNCTION("""COMPUTED_VALUE"""),31.0)</f>
        <v>31</v>
      </c>
      <c r="F43" s="148">
        <f>IFERROR(__xludf.DUMMYFUNCTION("""COMPUTED_VALUE"""),107103.0)</f>
        <v>107103</v>
      </c>
      <c r="G43" s="148">
        <f>IFERROR(__xludf.DUMMYFUNCTION("""COMPUTED_VALUE"""),1.5117117E7)</f>
        <v>15117117</v>
      </c>
      <c r="H43" s="148">
        <f>IFERROR(__xludf.DUMMYFUNCTION("""COMPUTED_VALUE"""),1.5112562E7)</f>
        <v>15112562</v>
      </c>
      <c r="I43" s="148" t="str">
        <f>IFERROR(__xludf.DUMMYFUNCTION("""COMPUTED_VALUE"""),"{""typ"":""lc"",""txt"":""LC_ITEM_rss_upper_show"",""args"":[{""typ"":""int_unit"",""val"":5000}]}")</f>
        <v>{"typ":"lc","txt":"LC_ITEM_rss_upper_show","args":[{"typ":"int_unit","val":5000}]}</v>
      </c>
      <c r="J43" s="148" t="str">
        <f>IFERROR(__xludf.DUMMYFUNCTION("""COMPUTED_VALUE"""),"{""typ"":""lc"",""txt"":""LC_ITEM_add_rss_A_name"",""args"":[{""typ"":""int"",""val"":5000}]}")</f>
        <v>{"typ":"lc","txt":"LC_ITEM_add_rss_A_name","args":[{"typ":"int","val":5000}]}</v>
      </c>
      <c r="K43" s="148" t="str">
        <f>IFERROR(__xludf.DUMMYFUNCTION("""COMPUTED_VALUE"""),"{""typ"":""lc"",""txt"":""LC_ITEM_add_rss_A_desc"",""args"":[{""typ"":""int"",""val"":5000}]}")</f>
        <v>{"typ":"lc","txt":"LC_ITEM_add_rss_A_desc","args":[{"typ":"int","val":5000}]}</v>
      </c>
      <c r="L43" s="148" t="str">
        <f>IFERROR(__xludf.DUMMYFUNCTION("""COMPUTED_VALUE"""),"{""typ"":""lc"",""txt"":""LC_ITEM_add_rss_A_usedtip"",""args"":[{""typ"":""int"",""val"":5000}]}")</f>
        <v>{"typ":"lc","txt":"LC_ITEM_add_rss_A_usedtip","args":[{"typ":"int","val":5000}]}</v>
      </c>
      <c r="M43" s="148">
        <f>IFERROR(__xludf.DUMMYFUNCTION("""COMPUTED_VALUE"""),100.0)</f>
        <v>100</v>
      </c>
      <c r="N43" s="148">
        <f>IFERROR(__xludf.DUMMYFUNCTION("""COMPUTED_VALUE"""),999999.0)</f>
        <v>999999</v>
      </c>
      <c r="O43" s="148">
        <f>IFERROR(__xludf.DUMMYFUNCTION("""COMPUTED_VALUE"""),99999.0)</f>
        <v>99999</v>
      </c>
      <c r="P43" s="148">
        <f>IFERROR(__xludf.DUMMYFUNCTION("""COMPUTED_VALUE"""),99999.0)</f>
        <v>99999</v>
      </c>
      <c r="Q43" s="148" t="str">
        <f>IFERROR(__xludf.DUMMYFUNCTION("""COMPUTED_VALUE"""),"[""bag_asset"",""rss_capsule""]")</f>
        <v>["bag_asset","rss_capsule"]</v>
      </c>
      <c r="R43" s="148" t="str">
        <f>IFERROR(__xludf.DUMMYFUNCTION("""COMPUTED_VALUE"""),"[""bag"",""rss_capsule""]")</f>
        <v>["bag","rss_capsule"]</v>
      </c>
      <c r="S43" s="148" t="str">
        <f>IFERROR(__xludf.DUMMYFUNCTION("""COMPUTED_VALUE"""),"{""effect"":[{""typ"":""rss"",""id"":11141041,""val"":5000}]}")</f>
        <v>{"effect":[{"typ":"rss","id":11141041,"val":5000}]}</v>
      </c>
      <c r="T43" s="148">
        <f>IFERROR(__xludf.DUMMYFUNCTION("""COMPUTED_VALUE"""),-1.0)</f>
        <v>-1</v>
      </c>
      <c r="U43" s="148">
        <f>IFERROR(__xludf.DUMMYFUNCTION("""COMPUTED_VALUE"""),0.0)</f>
        <v>0</v>
      </c>
      <c r="V43" s="148" t="str">
        <f>IFERROR(__xludf.DUMMYFUNCTION("""COMPUTED_VALUE"""),"[]")</f>
        <v>[]</v>
      </c>
      <c r="W43" s="148">
        <f>IFERROR(__xludf.DUMMYFUNCTION("""COMPUTED_VALUE"""),1.1741004E7)</f>
        <v>11741004</v>
      </c>
      <c r="X43" s="148">
        <f>IFERROR(__xludf.DUMMYFUNCTION("""COMPUTED_VALUE"""),0.0)</f>
        <v>0</v>
      </c>
      <c r="Y43" s="148">
        <f>IFERROR(__xludf.DUMMYFUNCTION("""COMPUTED_VALUE"""),0.0)</f>
        <v>0</v>
      </c>
      <c r="Z43" s="148"/>
    </row>
    <row r="44">
      <c r="A44" s="148">
        <f>IFERROR(__xludf.DUMMYFUNCTION("""COMPUTED_VALUE"""),1.1111042E7)</f>
        <v>11111042</v>
      </c>
      <c r="B44" s="148" t="str">
        <f>IFERROR(__xludf.DUMMYFUNCTION("""COMPUTED_VALUE"""),"50000新猩胶囊")</f>
        <v>50000新猩胶囊</v>
      </c>
      <c r="C44" s="148"/>
      <c r="D44" s="148" t="str">
        <f>IFERROR(__xludf.DUMMYFUNCTION("""COMPUTED_VALUE"""),"item_rss")</f>
        <v>item_rss</v>
      </c>
      <c r="E44" s="148">
        <f>IFERROR(__xludf.DUMMYFUNCTION("""COMPUTED_VALUE"""),31.0)</f>
        <v>31</v>
      </c>
      <c r="F44" s="148">
        <f>IFERROR(__xludf.DUMMYFUNCTION("""COMPUTED_VALUE"""),107104.0)</f>
        <v>107104</v>
      </c>
      <c r="G44" s="148">
        <f>IFERROR(__xludf.DUMMYFUNCTION("""COMPUTED_VALUE"""),1.5117117E7)</f>
        <v>15117117</v>
      </c>
      <c r="H44" s="148">
        <f>IFERROR(__xludf.DUMMYFUNCTION("""COMPUTED_VALUE"""),1.5112563E7)</f>
        <v>15112563</v>
      </c>
      <c r="I44" s="148" t="str">
        <f>IFERROR(__xludf.DUMMYFUNCTION("""COMPUTED_VALUE"""),"{""typ"":""lc"",""txt"":""LC_ITEM_rss_upper_show"",""args"":[{""typ"":""int_unit"",""val"":50000}]}")</f>
        <v>{"typ":"lc","txt":"LC_ITEM_rss_upper_show","args":[{"typ":"int_unit","val":50000}]}</v>
      </c>
      <c r="J44" s="148" t="str">
        <f>IFERROR(__xludf.DUMMYFUNCTION("""COMPUTED_VALUE"""),"{""typ"":""lc"",""txt"":""LC_ITEM_add_rss_A_name"",""args"":[{""typ"":""int"",""val"":50000}]}")</f>
        <v>{"typ":"lc","txt":"LC_ITEM_add_rss_A_name","args":[{"typ":"int","val":50000}]}</v>
      </c>
      <c r="K44" s="148" t="str">
        <f>IFERROR(__xludf.DUMMYFUNCTION("""COMPUTED_VALUE"""),"{""typ"":""lc"",""txt"":""LC_ITEM_add_rss_A_desc"",""args"":[{""typ"":""int"",""val"":50000}]}")</f>
        <v>{"typ":"lc","txt":"LC_ITEM_add_rss_A_desc","args":[{"typ":"int","val":50000}]}</v>
      </c>
      <c r="L44" s="148" t="str">
        <f>IFERROR(__xludf.DUMMYFUNCTION("""COMPUTED_VALUE"""),"{""typ"":""lc"",""txt"":""LC_ITEM_add_rss_A_usedtip"",""args"":[{""typ"":""int"",""val"":50000}]}")</f>
        <v>{"typ":"lc","txt":"LC_ITEM_add_rss_A_usedtip","args":[{"typ":"int","val":50000}]}</v>
      </c>
      <c r="M44" s="148">
        <f>IFERROR(__xludf.DUMMYFUNCTION("""COMPUTED_VALUE"""),1000.0)</f>
        <v>1000</v>
      </c>
      <c r="N44" s="148">
        <f>IFERROR(__xludf.DUMMYFUNCTION("""COMPUTED_VALUE"""),999999.0)</f>
        <v>999999</v>
      </c>
      <c r="O44" s="148">
        <f>IFERROR(__xludf.DUMMYFUNCTION("""COMPUTED_VALUE"""),99999.0)</f>
        <v>99999</v>
      </c>
      <c r="P44" s="148">
        <f>IFERROR(__xludf.DUMMYFUNCTION("""COMPUTED_VALUE"""),99999.0)</f>
        <v>99999</v>
      </c>
      <c r="Q44" s="148" t="str">
        <f>IFERROR(__xludf.DUMMYFUNCTION("""COMPUTED_VALUE"""),"[""bag_asset"",""rss_capsule""]")</f>
        <v>["bag_asset","rss_capsule"]</v>
      </c>
      <c r="R44" s="148" t="str">
        <f>IFERROR(__xludf.DUMMYFUNCTION("""COMPUTED_VALUE"""),"[""bag"",""rss_capsule""]")</f>
        <v>["bag","rss_capsule"]</v>
      </c>
      <c r="S44" s="148" t="str">
        <f>IFERROR(__xludf.DUMMYFUNCTION("""COMPUTED_VALUE"""),"{""effect"":[{""typ"":""rss"",""id"":11141041,""val"":50000}]}")</f>
        <v>{"effect":[{"typ":"rss","id":11141041,"val":50000}]}</v>
      </c>
      <c r="T44" s="148">
        <f>IFERROR(__xludf.DUMMYFUNCTION("""COMPUTED_VALUE"""),-1.0)</f>
        <v>-1</v>
      </c>
      <c r="U44" s="148">
        <f>IFERROR(__xludf.DUMMYFUNCTION("""COMPUTED_VALUE"""),0.0)</f>
        <v>0</v>
      </c>
      <c r="V44" s="148" t="str">
        <f>IFERROR(__xludf.DUMMYFUNCTION("""COMPUTED_VALUE"""),"[]")</f>
        <v>[]</v>
      </c>
      <c r="W44" s="148">
        <f>IFERROR(__xludf.DUMMYFUNCTION("""COMPUTED_VALUE"""),1.1741004E7)</f>
        <v>11741004</v>
      </c>
      <c r="X44" s="148">
        <f>IFERROR(__xludf.DUMMYFUNCTION("""COMPUTED_VALUE"""),0.0)</f>
        <v>0</v>
      </c>
      <c r="Y44" s="148">
        <f>IFERROR(__xludf.DUMMYFUNCTION("""COMPUTED_VALUE"""),0.0)</f>
        <v>0</v>
      </c>
      <c r="Z44" s="148"/>
    </row>
    <row r="45">
      <c r="A45" s="148">
        <f>IFERROR(__xludf.DUMMYFUNCTION("""COMPUTED_VALUE"""),1.1111043E7)</f>
        <v>11111043</v>
      </c>
      <c r="B45" s="148" t="str">
        <f>IFERROR(__xludf.DUMMYFUNCTION("""COMPUTED_VALUE"""),"150000新猩胶囊")</f>
        <v>150000新猩胶囊</v>
      </c>
      <c r="C45" s="148"/>
      <c r="D45" s="148" t="str">
        <f>IFERROR(__xludf.DUMMYFUNCTION("""COMPUTED_VALUE"""),"item_rss")</f>
        <v>item_rss</v>
      </c>
      <c r="E45" s="148">
        <f>IFERROR(__xludf.DUMMYFUNCTION("""COMPUTED_VALUE"""),31.0)</f>
        <v>31</v>
      </c>
      <c r="F45" s="148">
        <f>IFERROR(__xludf.DUMMYFUNCTION("""COMPUTED_VALUE"""),107105.0)</f>
        <v>107105</v>
      </c>
      <c r="G45" s="148">
        <f>IFERROR(__xludf.DUMMYFUNCTION("""COMPUTED_VALUE"""),1.5117117E7)</f>
        <v>15117117</v>
      </c>
      <c r="H45" s="148">
        <f>IFERROR(__xludf.DUMMYFUNCTION("""COMPUTED_VALUE"""),1.5112564E7)</f>
        <v>15112564</v>
      </c>
      <c r="I45" s="148" t="str">
        <f>IFERROR(__xludf.DUMMYFUNCTION("""COMPUTED_VALUE"""),"{""typ"":""lc"",""txt"":""LC_ITEM_rss_upper_show"",""args"":[{""typ"":""int_unit"",""val"":150000}]}")</f>
        <v>{"typ":"lc","txt":"LC_ITEM_rss_upper_show","args":[{"typ":"int_unit","val":150000}]}</v>
      </c>
      <c r="J45" s="148" t="str">
        <f>IFERROR(__xludf.DUMMYFUNCTION("""COMPUTED_VALUE"""),"{""typ"":""lc"",""txt"":""LC_ITEM_add_rss_A_name"",""args"":[{""typ"":""int"",""val"":150000}]}")</f>
        <v>{"typ":"lc","txt":"LC_ITEM_add_rss_A_name","args":[{"typ":"int","val":150000}]}</v>
      </c>
      <c r="K45" s="148" t="str">
        <f>IFERROR(__xludf.DUMMYFUNCTION("""COMPUTED_VALUE"""),"{""typ"":""lc"",""txt"":""LC_ITEM_add_rss_A_desc"",""args"":[{""typ"":""int"",""val"":150000}]}")</f>
        <v>{"typ":"lc","txt":"LC_ITEM_add_rss_A_desc","args":[{"typ":"int","val":150000}]}</v>
      </c>
      <c r="L45" s="148" t="str">
        <f>IFERROR(__xludf.DUMMYFUNCTION("""COMPUTED_VALUE"""),"{""typ"":""lc"",""txt"":""LC_ITEM_add_rss_A_usedtip"",""args"":[{""typ"":""int"",""val"":150000}]}")</f>
        <v>{"typ":"lc","txt":"LC_ITEM_add_rss_A_usedtip","args":[{"typ":"int","val":150000}]}</v>
      </c>
      <c r="M45" s="148">
        <f>IFERROR(__xludf.DUMMYFUNCTION("""COMPUTED_VALUE"""),3000.0)</f>
        <v>3000</v>
      </c>
      <c r="N45" s="148">
        <f>IFERROR(__xludf.DUMMYFUNCTION("""COMPUTED_VALUE"""),999999.0)</f>
        <v>999999</v>
      </c>
      <c r="O45" s="148">
        <f>IFERROR(__xludf.DUMMYFUNCTION("""COMPUTED_VALUE"""),99999.0)</f>
        <v>99999</v>
      </c>
      <c r="P45" s="148">
        <f>IFERROR(__xludf.DUMMYFUNCTION("""COMPUTED_VALUE"""),99999.0)</f>
        <v>99999</v>
      </c>
      <c r="Q45" s="148" t="str">
        <f>IFERROR(__xludf.DUMMYFUNCTION("""COMPUTED_VALUE"""),"[""bag_asset"",""rss_capsule""]")</f>
        <v>["bag_asset","rss_capsule"]</v>
      </c>
      <c r="R45" s="148" t="str">
        <f>IFERROR(__xludf.DUMMYFUNCTION("""COMPUTED_VALUE"""),"[""bag"",""rss_capsule""]")</f>
        <v>["bag","rss_capsule"]</v>
      </c>
      <c r="S45" s="148" t="str">
        <f>IFERROR(__xludf.DUMMYFUNCTION("""COMPUTED_VALUE"""),"{""effect"":[{""typ"":""rss"",""id"":11141041,""val"":150000}]}")</f>
        <v>{"effect":[{"typ":"rss","id":11141041,"val":150000}]}</v>
      </c>
      <c r="T45" s="148">
        <f>IFERROR(__xludf.DUMMYFUNCTION("""COMPUTED_VALUE"""),-1.0)</f>
        <v>-1</v>
      </c>
      <c r="U45" s="148">
        <f>IFERROR(__xludf.DUMMYFUNCTION("""COMPUTED_VALUE"""),0.0)</f>
        <v>0</v>
      </c>
      <c r="V45" s="148" t="str">
        <f>IFERROR(__xludf.DUMMYFUNCTION("""COMPUTED_VALUE"""),"[]")</f>
        <v>[]</v>
      </c>
      <c r="W45" s="148">
        <f>IFERROR(__xludf.DUMMYFUNCTION("""COMPUTED_VALUE"""),1.1741004E7)</f>
        <v>11741004</v>
      </c>
      <c r="X45" s="148">
        <f>IFERROR(__xludf.DUMMYFUNCTION("""COMPUTED_VALUE"""),0.0)</f>
        <v>0</v>
      </c>
      <c r="Y45" s="148">
        <f>IFERROR(__xludf.DUMMYFUNCTION("""COMPUTED_VALUE"""),0.0)</f>
        <v>0</v>
      </c>
      <c r="Z45" s="148"/>
    </row>
    <row r="46">
      <c r="A46" s="148">
        <f>IFERROR(__xludf.DUMMYFUNCTION("""COMPUTED_VALUE"""),1.1111044E7)</f>
        <v>11111044</v>
      </c>
      <c r="B46" s="148" t="str">
        <f>IFERROR(__xludf.DUMMYFUNCTION("""COMPUTED_VALUE"""),"500000新猩胶囊")</f>
        <v>500000新猩胶囊</v>
      </c>
      <c r="C46" s="148"/>
      <c r="D46" s="148" t="str">
        <f>IFERROR(__xludf.DUMMYFUNCTION("""COMPUTED_VALUE"""),"item_rss")</f>
        <v>item_rss</v>
      </c>
      <c r="E46" s="148">
        <f>IFERROR(__xludf.DUMMYFUNCTION("""COMPUTED_VALUE"""),31.0)</f>
        <v>31</v>
      </c>
      <c r="F46" s="148">
        <f>IFERROR(__xludf.DUMMYFUNCTION("""COMPUTED_VALUE"""),107106.0)</f>
        <v>107106</v>
      </c>
      <c r="G46" s="148">
        <f>IFERROR(__xludf.DUMMYFUNCTION("""COMPUTED_VALUE"""),1.5117117E7)</f>
        <v>15117117</v>
      </c>
      <c r="H46" s="148">
        <f>IFERROR(__xludf.DUMMYFUNCTION("""COMPUTED_VALUE"""),1.5112564E7)</f>
        <v>15112564</v>
      </c>
      <c r="I46" s="148" t="str">
        <f>IFERROR(__xludf.DUMMYFUNCTION("""COMPUTED_VALUE"""),"{""typ"":""lc"",""txt"":""LC_ITEM_rss_upper_show"",""args"":[{""typ"":""int_unit"",""val"":500000}]}")</f>
        <v>{"typ":"lc","txt":"LC_ITEM_rss_upper_show","args":[{"typ":"int_unit","val":500000}]}</v>
      </c>
      <c r="J46" s="148" t="str">
        <f>IFERROR(__xludf.DUMMYFUNCTION("""COMPUTED_VALUE"""),"{""typ"":""lc"",""txt"":""LC_ITEM_add_rss_A_name"",""args"":[{""typ"":""int"",""val"":500000}]}")</f>
        <v>{"typ":"lc","txt":"LC_ITEM_add_rss_A_name","args":[{"typ":"int","val":500000}]}</v>
      </c>
      <c r="K46" s="148" t="str">
        <f>IFERROR(__xludf.DUMMYFUNCTION("""COMPUTED_VALUE"""),"{""typ"":""lc"",""txt"":""LC_ITEM_add_rss_A_desc"",""args"":[{""typ"":""int"",""val"":500000}]}")</f>
        <v>{"typ":"lc","txt":"LC_ITEM_add_rss_A_desc","args":[{"typ":"int","val":500000}]}</v>
      </c>
      <c r="L46" s="148" t="str">
        <f>IFERROR(__xludf.DUMMYFUNCTION("""COMPUTED_VALUE"""),"{""typ"":""lc"",""txt"":""LC_ITEM_add_rss_A_usedtip"",""args"":[{""typ"":""int"",""val"":500000}]}")</f>
        <v>{"typ":"lc","txt":"LC_ITEM_add_rss_A_usedtip","args":[{"typ":"int","val":500000}]}</v>
      </c>
      <c r="M46" s="148">
        <f>IFERROR(__xludf.DUMMYFUNCTION("""COMPUTED_VALUE"""),10000.0)</f>
        <v>10000</v>
      </c>
      <c r="N46" s="148">
        <f>IFERROR(__xludf.DUMMYFUNCTION("""COMPUTED_VALUE"""),999999.0)</f>
        <v>999999</v>
      </c>
      <c r="O46" s="148">
        <f>IFERROR(__xludf.DUMMYFUNCTION("""COMPUTED_VALUE"""),99999.0)</f>
        <v>99999</v>
      </c>
      <c r="P46" s="148">
        <f>IFERROR(__xludf.DUMMYFUNCTION("""COMPUTED_VALUE"""),99999.0)</f>
        <v>99999</v>
      </c>
      <c r="Q46" s="148" t="str">
        <f>IFERROR(__xludf.DUMMYFUNCTION("""COMPUTED_VALUE"""),"[""bag_asset"",""rss_capsule""]")</f>
        <v>["bag_asset","rss_capsule"]</v>
      </c>
      <c r="R46" s="148" t="str">
        <f>IFERROR(__xludf.DUMMYFUNCTION("""COMPUTED_VALUE"""),"[""bag"",""rss_capsule""]")</f>
        <v>["bag","rss_capsule"]</v>
      </c>
      <c r="S46" s="148" t="str">
        <f>IFERROR(__xludf.DUMMYFUNCTION("""COMPUTED_VALUE"""),"{""effect"":[{""typ"":""rss"",""id"":11141041,""val"":500000}]}")</f>
        <v>{"effect":[{"typ":"rss","id":11141041,"val":500000}]}</v>
      </c>
      <c r="T46" s="148">
        <f>IFERROR(__xludf.DUMMYFUNCTION("""COMPUTED_VALUE"""),-1.0)</f>
        <v>-1</v>
      </c>
      <c r="U46" s="148">
        <f>IFERROR(__xludf.DUMMYFUNCTION("""COMPUTED_VALUE"""),0.0)</f>
        <v>0</v>
      </c>
      <c r="V46" s="148" t="str">
        <f>IFERROR(__xludf.DUMMYFUNCTION("""COMPUTED_VALUE"""),"[]")</f>
        <v>[]</v>
      </c>
      <c r="W46" s="148">
        <f>IFERROR(__xludf.DUMMYFUNCTION("""COMPUTED_VALUE"""),1.1741004E7)</f>
        <v>11741004</v>
      </c>
      <c r="X46" s="148">
        <f>IFERROR(__xludf.DUMMYFUNCTION("""COMPUTED_VALUE"""),0.0)</f>
        <v>0</v>
      </c>
      <c r="Y46" s="148">
        <f>IFERROR(__xludf.DUMMYFUNCTION("""COMPUTED_VALUE"""),0.0)</f>
        <v>0</v>
      </c>
      <c r="Z46" s="148"/>
    </row>
    <row r="47">
      <c r="A47" s="148">
        <f>IFERROR(__xludf.DUMMYFUNCTION("""COMPUTED_VALUE"""),1.1111101E7)</f>
        <v>11111101</v>
      </c>
      <c r="B47" s="148" t="str">
        <f>IFERROR(__xludf.DUMMYFUNCTION("""COMPUTED_VALUE"""),"1分钟加速")</f>
        <v>1分钟加速</v>
      </c>
      <c r="C47" s="148"/>
      <c r="D47" s="148" t="str">
        <f>IFERROR(__xludf.DUMMYFUNCTION("""COMPUTED_VALUE"""),"item_speedup")</f>
        <v>item_speedup</v>
      </c>
      <c r="E47" s="148">
        <f>IFERROR(__xludf.DUMMYFUNCTION("""COMPUTED_VALUE"""),3.0)</f>
        <v>3</v>
      </c>
      <c r="F47" s="148">
        <f>IFERROR(__xludf.DUMMYFUNCTION("""COMPUTED_VALUE"""),207101.0)</f>
        <v>207101</v>
      </c>
      <c r="G47" s="148">
        <f>IFERROR(__xludf.DUMMYFUNCTION("""COMPUTED_VALUE"""),1.5112573E7)</f>
        <v>15112573</v>
      </c>
      <c r="H47" s="148">
        <f>IFERROR(__xludf.DUMMYFUNCTION("""COMPUTED_VALUE"""),1.511256E7)</f>
        <v>15112560</v>
      </c>
      <c r="I47" s="148" t="str">
        <f>IFERROR(__xludf.DUMMYFUNCTION("""COMPUTED_VALUE"""),"{""typ"":""lc"",""txt"":""LC_ITEM_time_min_upper_show"",""args"":[{""typ"":""int"",""val"":1}]}")</f>
        <v>{"typ":"lc","txt":"LC_ITEM_time_min_upper_show","args":[{"typ":"int","val":1}]}</v>
      </c>
      <c r="J47" s="148" t="str">
        <f>IFERROR(__xludf.DUMMYFUNCTION("""COMPUTED_VALUE"""),"{""typ"":""lc"",""txt"":""LC_ITEM_speedup_general_name"",""args"":[{""typ"":""int"",""val"":1}]}")</f>
        <v>{"typ":"lc","txt":"LC_ITEM_speedup_general_name","args":[{"typ":"int","val":1}]}</v>
      </c>
      <c r="K47" s="148" t="str">
        <f>IFERROR(__xludf.DUMMYFUNCTION("""COMPUTED_VALUE"""),"{""typ"":""lc"",""txt"":""LC_ITEM_speedup_general_desc"",""args"":[{""typ"":""int"",""val"":1}]}")</f>
        <v>{"typ":"lc","txt":"LC_ITEM_speedup_general_desc","args":[{"typ":"int","val":1}]}</v>
      </c>
      <c r="L47" s="148" t="str">
        <f>IFERROR(__xludf.DUMMYFUNCTION("""COMPUTED_VALUE"""),"{""typ"":""lc"",""txt"":""LC_ITEM_speedup_general_usedtip"",""args"":[{""typ"":""int"",""val"":1}]}")</f>
        <v>{"typ":"lc","txt":"LC_ITEM_speedup_general_usedtip","args":[{"typ":"int","val":1}]}</v>
      </c>
      <c r="M47" s="148">
        <f>IFERROR(__xludf.DUMMYFUNCTION("""COMPUTED_VALUE"""),3.0)</f>
        <v>3</v>
      </c>
      <c r="N47" s="148">
        <f>IFERROR(__xludf.DUMMYFUNCTION("""COMPUTED_VALUE"""),999999.0)</f>
        <v>999999</v>
      </c>
      <c r="O47" s="148">
        <f>IFERROR(__xludf.DUMMYFUNCTION("""COMPUTED_VALUE"""),99999.0)</f>
        <v>99999</v>
      </c>
      <c r="P47" s="148">
        <f>IFERROR(__xludf.DUMMYFUNCTION("""COMPUTED_VALUE"""),99999.0)</f>
        <v>99999</v>
      </c>
      <c r="Q47" s="148" t="str">
        <f>IFERROR(__xludf.DUMMYFUNCTION("""COMPUTED_VALUE"""),"[""bag_speedup"",""speed_build"",""speed_research"",""speed_train"",""speed_heal"",""speed_heroarmqueue""]")</f>
        <v>["bag_speedup","speed_build","speed_research","speed_train","speed_heal","speed_heroarmqueue"]</v>
      </c>
      <c r="R47" s="148" t="str">
        <f>IFERROR(__xludf.DUMMYFUNCTION("""COMPUTED_VALUE"""),"[""speed_build"",""speed_research"",""speed_train"",""speed_heal"",""speed_heroarmqueue"",""speed_mechaqueue"",""speed_herobestaff""]")</f>
        <v>["speed_build","speed_research","speed_train","speed_heal","speed_heroarmqueue","speed_mechaqueue","speed_herobestaff"]</v>
      </c>
      <c r="S47" s="148" t="str">
        <f>IFERROR(__xludf.DUMMYFUNCTION("""COMPUTED_VALUE"""),"{""effect"":[{""typ"":""speedup"",""id"":11241001,""val"":60000}]}")</f>
        <v>{"effect":[{"typ":"speedup","id":11241001,"val":60000}]}</v>
      </c>
      <c r="T47" s="148">
        <f>IFERROR(__xludf.DUMMYFUNCTION("""COMPUTED_VALUE"""),-1.0)</f>
        <v>-1</v>
      </c>
      <c r="U47" s="148">
        <f>IFERROR(__xludf.DUMMYFUNCTION("""COMPUTED_VALUE"""),0.0)</f>
        <v>0</v>
      </c>
      <c r="V47" s="148" t="str">
        <f>IFERROR(__xludf.DUMMYFUNCTION("""COMPUTED_VALUE"""),"[]")</f>
        <v>[]</v>
      </c>
      <c r="W47" s="148">
        <f>IFERROR(__xludf.DUMMYFUNCTION("""COMPUTED_VALUE"""),1.1741003E7)</f>
        <v>11741003</v>
      </c>
      <c r="X47" s="148">
        <f>IFERROR(__xludf.DUMMYFUNCTION("""COMPUTED_VALUE"""),0.0)</f>
        <v>0</v>
      </c>
      <c r="Y47" s="148">
        <f>IFERROR(__xludf.DUMMYFUNCTION("""COMPUTED_VALUE"""),0.0)</f>
        <v>0</v>
      </c>
      <c r="Z47" s="148"/>
    </row>
    <row r="48">
      <c r="A48" s="148">
        <f>IFERROR(__xludf.DUMMYFUNCTION("""COMPUTED_VALUE"""),1.1111102E7)</f>
        <v>11111102</v>
      </c>
      <c r="B48" s="148" t="str">
        <f>IFERROR(__xludf.DUMMYFUNCTION("""COMPUTED_VALUE"""),"5分钟加速")</f>
        <v>5分钟加速</v>
      </c>
      <c r="C48" s="148"/>
      <c r="D48" s="148" t="str">
        <f>IFERROR(__xludf.DUMMYFUNCTION("""COMPUTED_VALUE"""),"item_speedup")</f>
        <v>item_speedup</v>
      </c>
      <c r="E48" s="148">
        <f>IFERROR(__xludf.DUMMYFUNCTION("""COMPUTED_VALUE"""),3.0)</f>
        <v>3</v>
      </c>
      <c r="F48" s="148">
        <f>IFERROR(__xludf.DUMMYFUNCTION("""COMPUTED_VALUE"""),207202.0)</f>
        <v>207202</v>
      </c>
      <c r="G48" s="148">
        <f>IFERROR(__xludf.DUMMYFUNCTION("""COMPUTED_VALUE"""),1.5112573E7)</f>
        <v>15112573</v>
      </c>
      <c r="H48" s="148">
        <f>IFERROR(__xludf.DUMMYFUNCTION("""COMPUTED_VALUE"""),1.5112561E7)</f>
        <v>15112561</v>
      </c>
      <c r="I48" s="148" t="str">
        <f>IFERROR(__xludf.DUMMYFUNCTION("""COMPUTED_VALUE"""),"{""typ"":""lc"",""txt"":""LC_ITEM_time_min_upper_show"",""args"":[{""typ"":""int"",""val"":5}]}")</f>
        <v>{"typ":"lc","txt":"LC_ITEM_time_min_upper_show","args":[{"typ":"int","val":5}]}</v>
      </c>
      <c r="J48" s="148" t="str">
        <f>IFERROR(__xludf.DUMMYFUNCTION("""COMPUTED_VALUE"""),"{""typ"":""lc"",""txt"":""LC_ITEM_speedup_general_name"",""args"":[{""typ"":""int"",""val"":5}]}")</f>
        <v>{"typ":"lc","txt":"LC_ITEM_speedup_general_name","args":[{"typ":"int","val":5}]}</v>
      </c>
      <c r="K48" s="148" t="str">
        <f>IFERROR(__xludf.DUMMYFUNCTION("""COMPUTED_VALUE"""),"{""typ"":""lc"",""txt"":""LC_ITEM_speedup_general_desc"",""args"":[{""typ"":""int"",""val"":5}]}")</f>
        <v>{"typ":"lc","txt":"LC_ITEM_speedup_general_desc","args":[{"typ":"int","val":5}]}</v>
      </c>
      <c r="L48" s="148" t="str">
        <f>IFERROR(__xludf.DUMMYFUNCTION("""COMPUTED_VALUE"""),"{""typ"":""lc"",""txt"":""LC_ITEM_speedup_general_usedtip"",""args"":[{""typ"":""int"",""val"":5}]}")</f>
        <v>{"typ":"lc","txt":"LC_ITEM_speedup_general_usedtip","args":[{"typ":"int","val":5}]}</v>
      </c>
      <c r="M48" s="148">
        <f>IFERROR(__xludf.DUMMYFUNCTION("""COMPUTED_VALUE"""),12.0)</f>
        <v>12</v>
      </c>
      <c r="N48" s="148">
        <f>IFERROR(__xludf.DUMMYFUNCTION("""COMPUTED_VALUE"""),999999.0)</f>
        <v>999999</v>
      </c>
      <c r="O48" s="148">
        <f>IFERROR(__xludf.DUMMYFUNCTION("""COMPUTED_VALUE"""),99999.0)</f>
        <v>99999</v>
      </c>
      <c r="P48" s="148">
        <f>IFERROR(__xludf.DUMMYFUNCTION("""COMPUTED_VALUE"""),99999.0)</f>
        <v>99999</v>
      </c>
      <c r="Q48" s="148" t="str">
        <f>IFERROR(__xludf.DUMMYFUNCTION("""COMPUTED_VALUE"""),"[""bag_speedup"",""speed_build"",""speed_research"",""speed_train"",""speed_heal"",""speed_heroarmqueue""]")</f>
        <v>["bag_speedup","speed_build","speed_research","speed_train","speed_heal","speed_heroarmqueue"]</v>
      </c>
      <c r="R48" s="148" t="str">
        <f>IFERROR(__xludf.DUMMYFUNCTION("""COMPUTED_VALUE"""),"[""speed_build"",""speed_research"",""speed_train"",""speed_heal"",""speed_heroarmqueue"",""speed_mechaqueue"",""speed_herobestaff""]")</f>
        <v>["speed_build","speed_research","speed_train","speed_heal","speed_heroarmqueue","speed_mechaqueue","speed_herobestaff"]</v>
      </c>
      <c r="S48" s="148" t="str">
        <f>IFERROR(__xludf.DUMMYFUNCTION("""COMPUTED_VALUE"""),"{""effect"":[{""typ"":""speedup"",""id"":11241001,""val"":300000}]}")</f>
        <v>{"effect":[{"typ":"speedup","id":11241001,"val":300000}]}</v>
      </c>
      <c r="T48" s="148">
        <f>IFERROR(__xludf.DUMMYFUNCTION("""COMPUTED_VALUE"""),-1.0)</f>
        <v>-1</v>
      </c>
      <c r="U48" s="148">
        <f>IFERROR(__xludf.DUMMYFUNCTION("""COMPUTED_VALUE"""),0.0)</f>
        <v>0</v>
      </c>
      <c r="V48" s="148" t="str">
        <f>IFERROR(__xludf.DUMMYFUNCTION("""COMPUTED_VALUE"""),"[]")</f>
        <v>[]</v>
      </c>
      <c r="W48" s="148">
        <f>IFERROR(__xludf.DUMMYFUNCTION("""COMPUTED_VALUE"""),1.1741003E7)</f>
        <v>11741003</v>
      </c>
      <c r="X48" s="148">
        <f>IFERROR(__xludf.DUMMYFUNCTION("""COMPUTED_VALUE"""),0.0)</f>
        <v>0</v>
      </c>
      <c r="Y48" s="148">
        <f>IFERROR(__xludf.DUMMYFUNCTION("""COMPUTED_VALUE"""),0.0)</f>
        <v>0</v>
      </c>
      <c r="Z48" s="148"/>
    </row>
    <row r="49">
      <c r="A49" s="148">
        <f>IFERROR(__xludf.DUMMYFUNCTION("""COMPUTED_VALUE"""),1.1111103E7)</f>
        <v>11111103</v>
      </c>
      <c r="B49" s="148" t="str">
        <f>IFERROR(__xludf.DUMMYFUNCTION("""COMPUTED_VALUE"""),"10分钟加速")</f>
        <v>10分钟加速</v>
      </c>
      <c r="C49" s="148"/>
      <c r="D49" s="148" t="str">
        <f>IFERROR(__xludf.DUMMYFUNCTION("""COMPUTED_VALUE"""),"item_speedup")</f>
        <v>item_speedup</v>
      </c>
      <c r="E49" s="148">
        <f>IFERROR(__xludf.DUMMYFUNCTION("""COMPUTED_VALUE"""),3.0)</f>
        <v>3</v>
      </c>
      <c r="F49" s="148">
        <f>IFERROR(__xludf.DUMMYFUNCTION("""COMPUTED_VALUE"""),207203.0)</f>
        <v>207203</v>
      </c>
      <c r="G49" s="148">
        <f>IFERROR(__xludf.DUMMYFUNCTION("""COMPUTED_VALUE"""),1.5112573E7)</f>
        <v>15112573</v>
      </c>
      <c r="H49" s="148">
        <f>IFERROR(__xludf.DUMMYFUNCTION("""COMPUTED_VALUE"""),1.5112561E7)</f>
        <v>15112561</v>
      </c>
      <c r="I49" s="148" t="str">
        <f>IFERROR(__xludf.DUMMYFUNCTION("""COMPUTED_VALUE"""),"{""typ"":""lc"",""txt"":""LC_ITEM_time_min_upper_show"",""args"":[{""typ"":""int"",""val"":10}]}")</f>
        <v>{"typ":"lc","txt":"LC_ITEM_time_min_upper_show","args":[{"typ":"int","val":10}]}</v>
      </c>
      <c r="J49" s="148" t="str">
        <f>IFERROR(__xludf.DUMMYFUNCTION("""COMPUTED_VALUE"""),"{""typ"":""lc"",""txt"":""LC_ITEM_speedup_general_name"",""args"":[{""typ"":""int"",""val"":10}]}")</f>
        <v>{"typ":"lc","txt":"LC_ITEM_speedup_general_name","args":[{"typ":"int","val":10}]}</v>
      </c>
      <c r="K49" s="148" t="str">
        <f>IFERROR(__xludf.DUMMYFUNCTION("""COMPUTED_VALUE"""),"{""typ"":""lc"",""txt"":""LC_ITEM_speedup_general_desc"",""args"":[{""typ"":""int"",""val"":10}]}")</f>
        <v>{"typ":"lc","txt":"LC_ITEM_speedup_general_desc","args":[{"typ":"int","val":10}]}</v>
      </c>
      <c r="L49" s="148" t="str">
        <f>IFERROR(__xludf.DUMMYFUNCTION("""COMPUTED_VALUE"""),"{""typ"":""lc"",""txt"":""LC_ITEM_speedup_general_usedtip"",""args"":[{""typ"":""int"",""val"":10}]}")</f>
        <v>{"typ":"lc","txt":"LC_ITEM_speedup_general_usedtip","args":[{"typ":"int","val":10}]}</v>
      </c>
      <c r="M49" s="148">
        <f>IFERROR(__xludf.DUMMYFUNCTION("""COMPUTED_VALUE"""),24.0)</f>
        <v>24</v>
      </c>
      <c r="N49" s="148">
        <f>IFERROR(__xludf.DUMMYFUNCTION("""COMPUTED_VALUE"""),999999.0)</f>
        <v>999999</v>
      </c>
      <c r="O49" s="148">
        <f>IFERROR(__xludf.DUMMYFUNCTION("""COMPUTED_VALUE"""),99999.0)</f>
        <v>99999</v>
      </c>
      <c r="P49" s="148">
        <f>IFERROR(__xludf.DUMMYFUNCTION("""COMPUTED_VALUE"""),99999.0)</f>
        <v>99999</v>
      </c>
      <c r="Q49" s="148" t="str">
        <f>IFERROR(__xludf.DUMMYFUNCTION("""COMPUTED_VALUE"""),"[""bag_speedup"",""speed_build"",""speed_research"",""speed_train"",""speed_heal"",""speed_heroarmqueue""]")</f>
        <v>["bag_speedup","speed_build","speed_research","speed_train","speed_heal","speed_heroarmqueue"]</v>
      </c>
      <c r="R49" s="148" t="str">
        <f>IFERROR(__xludf.DUMMYFUNCTION("""COMPUTED_VALUE"""),"[""speed_build"",""speed_research"",""speed_train"",""speed_heal"",""speed_heroarmqueue"",""speed_mechaqueue"",""speed_herobestaff""]")</f>
        <v>["speed_build","speed_research","speed_train","speed_heal","speed_heroarmqueue","speed_mechaqueue","speed_herobestaff"]</v>
      </c>
      <c r="S49" s="148" t="str">
        <f>IFERROR(__xludf.DUMMYFUNCTION("""COMPUTED_VALUE"""),"{""effect"":[{""typ"":""speedup"",""id"":11241001,""val"":600000}]}")</f>
        <v>{"effect":[{"typ":"speedup","id":11241001,"val":600000}]}</v>
      </c>
      <c r="T49" s="148">
        <f>IFERROR(__xludf.DUMMYFUNCTION("""COMPUTED_VALUE"""),-1.0)</f>
        <v>-1</v>
      </c>
      <c r="U49" s="148">
        <f>IFERROR(__xludf.DUMMYFUNCTION("""COMPUTED_VALUE"""),0.0)</f>
        <v>0</v>
      </c>
      <c r="V49" s="148" t="str">
        <f>IFERROR(__xludf.DUMMYFUNCTION("""COMPUTED_VALUE"""),"[]")</f>
        <v>[]</v>
      </c>
      <c r="W49" s="148">
        <f>IFERROR(__xludf.DUMMYFUNCTION("""COMPUTED_VALUE"""),1.1741003E7)</f>
        <v>11741003</v>
      </c>
      <c r="X49" s="148">
        <f>IFERROR(__xludf.DUMMYFUNCTION("""COMPUTED_VALUE"""),0.0)</f>
        <v>0</v>
      </c>
      <c r="Y49" s="148">
        <f>IFERROR(__xludf.DUMMYFUNCTION("""COMPUTED_VALUE"""),0.0)</f>
        <v>0</v>
      </c>
      <c r="Z49" s="148"/>
    </row>
    <row r="50">
      <c r="A50" s="148">
        <f>IFERROR(__xludf.DUMMYFUNCTION("""COMPUTED_VALUE"""),1.1111104E7)</f>
        <v>11111104</v>
      </c>
      <c r="B50" s="148" t="str">
        <f>IFERROR(__xludf.DUMMYFUNCTION("""COMPUTED_VALUE"""),"15分钟加速")</f>
        <v>15分钟加速</v>
      </c>
      <c r="C50" s="148"/>
      <c r="D50" s="148" t="str">
        <f>IFERROR(__xludf.DUMMYFUNCTION("""COMPUTED_VALUE"""),"item_speedup")</f>
        <v>item_speedup</v>
      </c>
      <c r="E50" s="148">
        <f>IFERROR(__xludf.DUMMYFUNCTION("""COMPUTED_VALUE"""),3.0)</f>
        <v>3</v>
      </c>
      <c r="F50" s="148">
        <f>IFERROR(__xludf.DUMMYFUNCTION("""COMPUTED_VALUE"""),207204.0)</f>
        <v>207204</v>
      </c>
      <c r="G50" s="148">
        <f>IFERROR(__xludf.DUMMYFUNCTION("""COMPUTED_VALUE"""),1.5112573E7)</f>
        <v>15112573</v>
      </c>
      <c r="H50" s="148">
        <f>IFERROR(__xludf.DUMMYFUNCTION("""COMPUTED_VALUE"""),1.5112561E7)</f>
        <v>15112561</v>
      </c>
      <c r="I50" s="148" t="str">
        <f>IFERROR(__xludf.DUMMYFUNCTION("""COMPUTED_VALUE"""),"{""typ"":""lc"",""txt"":""LC_ITEM_time_min_upper_show"",""args"":[{""typ"":""int"",""val"":15}]}")</f>
        <v>{"typ":"lc","txt":"LC_ITEM_time_min_upper_show","args":[{"typ":"int","val":15}]}</v>
      </c>
      <c r="J50" s="148" t="str">
        <f>IFERROR(__xludf.DUMMYFUNCTION("""COMPUTED_VALUE"""),"{""typ"":""lc"",""txt"":""LC_ITEM_speedup_general_name"",""args"":[{""typ"":""int"",""val"":15}]}")</f>
        <v>{"typ":"lc","txt":"LC_ITEM_speedup_general_name","args":[{"typ":"int","val":15}]}</v>
      </c>
      <c r="K50" s="148" t="str">
        <f>IFERROR(__xludf.DUMMYFUNCTION("""COMPUTED_VALUE"""),"{""typ"":""lc"",""txt"":""LC_ITEM_speedup_general_desc"",""args"":[{""typ"":""int"",""val"":15}]}")</f>
        <v>{"typ":"lc","txt":"LC_ITEM_speedup_general_desc","args":[{"typ":"int","val":15}]}</v>
      </c>
      <c r="L50" s="148" t="str">
        <f>IFERROR(__xludf.DUMMYFUNCTION("""COMPUTED_VALUE"""),"{""typ"":""lc"",""txt"":""LC_ITEM_speedup_general_usedtip"",""args"":[{""typ"":""int"",""val"":15}]}")</f>
        <v>{"typ":"lc","txt":"LC_ITEM_speedup_general_usedtip","args":[{"typ":"int","val":15}]}</v>
      </c>
      <c r="M50" s="148">
        <f>IFERROR(__xludf.DUMMYFUNCTION("""COMPUTED_VALUE"""),35.0)</f>
        <v>35</v>
      </c>
      <c r="N50" s="148">
        <f>IFERROR(__xludf.DUMMYFUNCTION("""COMPUTED_VALUE"""),999999.0)</f>
        <v>999999</v>
      </c>
      <c r="O50" s="148">
        <f>IFERROR(__xludf.DUMMYFUNCTION("""COMPUTED_VALUE"""),99999.0)</f>
        <v>99999</v>
      </c>
      <c r="P50" s="148">
        <f>IFERROR(__xludf.DUMMYFUNCTION("""COMPUTED_VALUE"""),99999.0)</f>
        <v>99999</v>
      </c>
      <c r="Q50" s="148" t="str">
        <f>IFERROR(__xludf.DUMMYFUNCTION("""COMPUTED_VALUE"""),"[""bag_speedup"",""speed_build"",""speed_research"",""speed_train"",""speed_heal"",""speed_heroarmqueue""]")</f>
        <v>["bag_speedup","speed_build","speed_research","speed_train","speed_heal","speed_heroarmqueue"]</v>
      </c>
      <c r="R50" s="148" t="str">
        <f>IFERROR(__xludf.DUMMYFUNCTION("""COMPUTED_VALUE"""),"[""speed_build"",""speed_research"",""speed_train"",""speed_heal"",""speed_heroarmqueue"",""speed_mechaqueue"",""speed_herobestaff""]")</f>
        <v>["speed_build","speed_research","speed_train","speed_heal","speed_heroarmqueue","speed_mechaqueue","speed_herobestaff"]</v>
      </c>
      <c r="S50" s="148" t="str">
        <f>IFERROR(__xludf.DUMMYFUNCTION("""COMPUTED_VALUE"""),"{""effect"":[{""typ"":""speedup"",""id"":11241001,""val"":900000}]}")</f>
        <v>{"effect":[{"typ":"speedup","id":11241001,"val":900000}]}</v>
      </c>
      <c r="T50" s="148">
        <f>IFERROR(__xludf.DUMMYFUNCTION("""COMPUTED_VALUE"""),-1.0)</f>
        <v>-1</v>
      </c>
      <c r="U50" s="148">
        <f>IFERROR(__xludf.DUMMYFUNCTION("""COMPUTED_VALUE"""),0.0)</f>
        <v>0</v>
      </c>
      <c r="V50" s="148" t="str">
        <f>IFERROR(__xludf.DUMMYFUNCTION("""COMPUTED_VALUE"""),"[]")</f>
        <v>[]</v>
      </c>
      <c r="W50" s="148">
        <f>IFERROR(__xludf.DUMMYFUNCTION("""COMPUTED_VALUE"""),1.1741003E7)</f>
        <v>11741003</v>
      </c>
      <c r="X50" s="148">
        <f>IFERROR(__xludf.DUMMYFUNCTION("""COMPUTED_VALUE"""),0.0)</f>
        <v>0</v>
      </c>
      <c r="Y50" s="148">
        <f>IFERROR(__xludf.DUMMYFUNCTION("""COMPUTED_VALUE"""),0.0)</f>
        <v>0</v>
      </c>
      <c r="Z50" s="148"/>
    </row>
    <row r="51">
      <c r="A51" s="148">
        <f>IFERROR(__xludf.DUMMYFUNCTION("""COMPUTED_VALUE"""),1.1111105E7)</f>
        <v>11111105</v>
      </c>
      <c r="B51" s="148" t="str">
        <f>IFERROR(__xludf.DUMMYFUNCTION("""COMPUTED_VALUE"""),"60分钟加速")</f>
        <v>60分钟加速</v>
      </c>
      <c r="C51" s="148"/>
      <c r="D51" s="148" t="str">
        <f>IFERROR(__xludf.DUMMYFUNCTION("""COMPUTED_VALUE"""),"item_speedup")</f>
        <v>item_speedup</v>
      </c>
      <c r="E51" s="148">
        <f>IFERROR(__xludf.DUMMYFUNCTION("""COMPUTED_VALUE"""),3.0)</f>
        <v>3</v>
      </c>
      <c r="F51" s="148">
        <f>IFERROR(__xludf.DUMMYFUNCTION("""COMPUTED_VALUE"""),207305.0)</f>
        <v>207305</v>
      </c>
      <c r="G51" s="148">
        <f>IFERROR(__xludf.DUMMYFUNCTION("""COMPUTED_VALUE"""),1.5112573E7)</f>
        <v>15112573</v>
      </c>
      <c r="H51" s="148">
        <f>IFERROR(__xludf.DUMMYFUNCTION("""COMPUTED_VALUE"""),1.5112562E7)</f>
        <v>15112562</v>
      </c>
      <c r="I51" s="148" t="str">
        <f>IFERROR(__xludf.DUMMYFUNCTION("""COMPUTED_VALUE"""),"{""typ"":""lc"",""txt"":""LC_ITEM_time_h_upper_show"",""args"":[{""typ"":""int"",""val"":1}]}")</f>
        <v>{"typ":"lc","txt":"LC_ITEM_time_h_upper_show","args":[{"typ":"int","val":1}]}</v>
      </c>
      <c r="J51" s="148" t="str">
        <f>IFERROR(__xludf.DUMMYFUNCTION("""COMPUTED_VALUE"""),"{""typ"":""lc"",""txt"":""LC_ITEM_speedup_general2_name"",""args"":[{""typ"":""int"",""val"":1}]}")</f>
        <v>{"typ":"lc","txt":"LC_ITEM_speedup_general2_name","args":[{"typ":"int","val":1}]}</v>
      </c>
      <c r="K51" s="148" t="str">
        <f>IFERROR(__xludf.DUMMYFUNCTION("""COMPUTED_VALUE"""),"{""typ"":""lc"",""txt"":""LC_ITEM_speedup_general2_desc"",""args"":[{""typ"":""int"",""val"":1}]}")</f>
        <v>{"typ":"lc","txt":"LC_ITEM_speedup_general2_desc","args":[{"typ":"int","val":1}]}</v>
      </c>
      <c r="L51" s="148" t="str">
        <f>IFERROR(__xludf.DUMMYFUNCTION("""COMPUTED_VALUE"""),"{""typ"":""lc"",""txt"":""LC_ITEM_speedup_general2_usedtip"",""args"":[{""typ"":""int"",""val"":1}]}")</f>
        <v>{"typ":"lc","txt":"LC_ITEM_speedup_general2_usedtip","args":[{"typ":"int","val":1}]}</v>
      </c>
      <c r="M51" s="148">
        <f>IFERROR(__xludf.DUMMYFUNCTION("""COMPUTED_VALUE"""),100.0)</f>
        <v>100</v>
      </c>
      <c r="N51" s="148">
        <f>IFERROR(__xludf.DUMMYFUNCTION("""COMPUTED_VALUE"""),999999.0)</f>
        <v>999999</v>
      </c>
      <c r="O51" s="148">
        <f>IFERROR(__xludf.DUMMYFUNCTION("""COMPUTED_VALUE"""),99999.0)</f>
        <v>99999</v>
      </c>
      <c r="P51" s="148">
        <f>IFERROR(__xludf.DUMMYFUNCTION("""COMPUTED_VALUE"""),99999.0)</f>
        <v>99999</v>
      </c>
      <c r="Q51" s="148" t="str">
        <f>IFERROR(__xludf.DUMMYFUNCTION("""COMPUTED_VALUE"""),"[""bag_speedup"",""speed_build"",""speed_research"",""speed_train"",""speed_heal"",""speed_heroarmqueue""]")</f>
        <v>["bag_speedup","speed_build","speed_research","speed_train","speed_heal","speed_heroarmqueue"]</v>
      </c>
      <c r="R51" s="148" t="str">
        <f>IFERROR(__xludf.DUMMYFUNCTION("""COMPUTED_VALUE"""),"[""speed_build"",""speed_research"",""speed_train"",""speed_heal"",""speed_heroarmqueue"",""speed_mechaqueue"",""speed_herobestaff""]")</f>
        <v>["speed_build","speed_research","speed_train","speed_heal","speed_heroarmqueue","speed_mechaqueue","speed_herobestaff"]</v>
      </c>
      <c r="S51" s="148" t="str">
        <f>IFERROR(__xludf.DUMMYFUNCTION("""COMPUTED_VALUE"""),"{""effect"":[{""typ"":""speedup"",""id"":11241001,""val"":3600000}]}")</f>
        <v>{"effect":[{"typ":"speedup","id":11241001,"val":3600000}]}</v>
      </c>
      <c r="T51" s="148">
        <f>IFERROR(__xludf.DUMMYFUNCTION("""COMPUTED_VALUE"""),-1.0)</f>
        <v>-1</v>
      </c>
      <c r="U51" s="148">
        <f>IFERROR(__xludf.DUMMYFUNCTION("""COMPUTED_VALUE"""),0.0)</f>
        <v>0</v>
      </c>
      <c r="V51" s="148" t="str">
        <f>IFERROR(__xludf.DUMMYFUNCTION("""COMPUTED_VALUE"""),"[]")</f>
        <v>[]</v>
      </c>
      <c r="W51" s="148">
        <f>IFERROR(__xludf.DUMMYFUNCTION("""COMPUTED_VALUE"""),1.1741003E7)</f>
        <v>11741003</v>
      </c>
      <c r="X51" s="148">
        <f>IFERROR(__xludf.DUMMYFUNCTION("""COMPUTED_VALUE"""),0.0)</f>
        <v>0</v>
      </c>
      <c r="Y51" s="148">
        <f>IFERROR(__xludf.DUMMYFUNCTION("""COMPUTED_VALUE"""),0.0)</f>
        <v>0</v>
      </c>
      <c r="Z51" s="148"/>
    </row>
    <row r="52">
      <c r="A52" s="148">
        <f>IFERROR(__xludf.DUMMYFUNCTION("""COMPUTED_VALUE"""),1.1111106E7)</f>
        <v>11111106</v>
      </c>
      <c r="B52" s="148" t="str">
        <f>IFERROR(__xludf.DUMMYFUNCTION("""COMPUTED_VALUE"""),"2小时加速")</f>
        <v>2小时加速</v>
      </c>
      <c r="C52" s="148"/>
      <c r="D52" s="148" t="str">
        <f>IFERROR(__xludf.DUMMYFUNCTION("""COMPUTED_VALUE"""),"item_speedup")</f>
        <v>item_speedup</v>
      </c>
      <c r="E52" s="148">
        <f>IFERROR(__xludf.DUMMYFUNCTION("""COMPUTED_VALUE"""),3.0)</f>
        <v>3</v>
      </c>
      <c r="F52" s="148">
        <f>IFERROR(__xludf.DUMMYFUNCTION("""COMPUTED_VALUE"""),207306.0)</f>
        <v>207306</v>
      </c>
      <c r="G52" s="148">
        <f>IFERROR(__xludf.DUMMYFUNCTION("""COMPUTED_VALUE"""),1.5112573E7)</f>
        <v>15112573</v>
      </c>
      <c r="H52" s="148">
        <f>IFERROR(__xludf.DUMMYFUNCTION("""COMPUTED_VALUE"""),1.5112562E7)</f>
        <v>15112562</v>
      </c>
      <c r="I52" s="148" t="str">
        <f>IFERROR(__xludf.DUMMYFUNCTION("""COMPUTED_VALUE"""),"{""typ"":""lc"",""txt"":""LC_ITEM_time_h_upper_show"",""args"":[{""typ"":""int"",""val"":2}]}")</f>
        <v>{"typ":"lc","txt":"LC_ITEM_time_h_upper_show","args":[{"typ":"int","val":2}]}</v>
      </c>
      <c r="J52" s="148" t="str">
        <f>IFERROR(__xludf.DUMMYFUNCTION("""COMPUTED_VALUE"""),"{""typ"":""lc"",""txt"":""LC_ITEM_speedup_general2_name"",""args"":[{""typ"":""int"",""val"":2}]}")</f>
        <v>{"typ":"lc","txt":"LC_ITEM_speedup_general2_name","args":[{"typ":"int","val":2}]}</v>
      </c>
      <c r="K52" s="148" t="str">
        <f>IFERROR(__xludf.DUMMYFUNCTION("""COMPUTED_VALUE"""),"{""typ"":""lc"",""txt"":""LC_ITEM_speedup_general2_desc"",""args"":[{""typ"":""int"",""val"":2}]}")</f>
        <v>{"typ":"lc","txt":"LC_ITEM_speedup_general2_desc","args":[{"typ":"int","val":2}]}</v>
      </c>
      <c r="L52" s="148" t="str">
        <f>IFERROR(__xludf.DUMMYFUNCTION("""COMPUTED_VALUE"""),"{""typ"":""lc"",""txt"":""LC_ITEM_speedup_general2_usedtip"",""args"":[{""typ"":""int"",""val"":2}]}")</f>
        <v>{"typ":"lc","txt":"LC_ITEM_speedup_general2_usedtip","args":[{"typ":"int","val":2}]}</v>
      </c>
      <c r="M52" s="148">
        <f>IFERROR(__xludf.DUMMYFUNCTION("""COMPUTED_VALUE"""),200.0)</f>
        <v>200</v>
      </c>
      <c r="N52" s="148">
        <f>IFERROR(__xludf.DUMMYFUNCTION("""COMPUTED_VALUE"""),999999.0)</f>
        <v>999999</v>
      </c>
      <c r="O52" s="148">
        <f>IFERROR(__xludf.DUMMYFUNCTION("""COMPUTED_VALUE"""),99999.0)</f>
        <v>99999</v>
      </c>
      <c r="P52" s="148">
        <f>IFERROR(__xludf.DUMMYFUNCTION("""COMPUTED_VALUE"""),99999.0)</f>
        <v>99999</v>
      </c>
      <c r="Q52" s="148" t="str">
        <f>IFERROR(__xludf.DUMMYFUNCTION("""COMPUTED_VALUE"""),"[""bag_speedup"",""speed_build"",""speed_research"",""speed_train"",""speed_heal"",""speed_heroarmqueue""]")</f>
        <v>["bag_speedup","speed_build","speed_research","speed_train","speed_heal","speed_heroarmqueue"]</v>
      </c>
      <c r="R52" s="148" t="str">
        <f>IFERROR(__xludf.DUMMYFUNCTION("""COMPUTED_VALUE"""),"[""speed_build"",""speed_research"",""speed_train"",""speed_heal"",""speed_heroarmqueue"",""speed_mechaqueue"",""speed_herobestaff""]")</f>
        <v>["speed_build","speed_research","speed_train","speed_heal","speed_heroarmqueue","speed_mechaqueue","speed_herobestaff"]</v>
      </c>
      <c r="S52" s="148" t="str">
        <f>IFERROR(__xludf.DUMMYFUNCTION("""COMPUTED_VALUE"""),"{""effect"":[{""typ"":""speedup"",""id"":11241001,""val"":7200000}]}")</f>
        <v>{"effect":[{"typ":"speedup","id":11241001,"val":7200000}]}</v>
      </c>
      <c r="T52" s="148">
        <f>IFERROR(__xludf.DUMMYFUNCTION("""COMPUTED_VALUE"""),-1.0)</f>
        <v>-1</v>
      </c>
      <c r="U52" s="148">
        <f>IFERROR(__xludf.DUMMYFUNCTION("""COMPUTED_VALUE"""),0.0)</f>
        <v>0</v>
      </c>
      <c r="V52" s="148" t="str">
        <f>IFERROR(__xludf.DUMMYFUNCTION("""COMPUTED_VALUE"""),"[]")</f>
        <v>[]</v>
      </c>
      <c r="W52" s="148">
        <f>IFERROR(__xludf.DUMMYFUNCTION("""COMPUTED_VALUE"""),1.1741003E7)</f>
        <v>11741003</v>
      </c>
      <c r="X52" s="148">
        <f>IFERROR(__xludf.DUMMYFUNCTION("""COMPUTED_VALUE"""),0.0)</f>
        <v>0</v>
      </c>
      <c r="Y52" s="148">
        <f>IFERROR(__xludf.DUMMYFUNCTION("""COMPUTED_VALUE"""),0.0)</f>
        <v>0</v>
      </c>
      <c r="Z52" s="148"/>
    </row>
    <row r="53">
      <c r="A53" s="148">
        <f>IFERROR(__xludf.DUMMYFUNCTION("""COMPUTED_VALUE"""),1.1111107E7)</f>
        <v>11111107</v>
      </c>
      <c r="B53" s="148" t="str">
        <f>IFERROR(__xludf.DUMMYFUNCTION("""COMPUTED_VALUE"""),"8小时加速")</f>
        <v>8小时加速</v>
      </c>
      <c r="C53" s="148"/>
      <c r="D53" s="148" t="str">
        <f>IFERROR(__xludf.DUMMYFUNCTION("""COMPUTED_VALUE"""),"item_speedup")</f>
        <v>item_speedup</v>
      </c>
      <c r="E53" s="148">
        <f>IFERROR(__xludf.DUMMYFUNCTION("""COMPUTED_VALUE"""),3.0)</f>
        <v>3</v>
      </c>
      <c r="F53" s="148">
        <f>IFERROR(__xludf.DUMMYFUNCTION("""COMPUTED_VALUE"""),207407.0)</f>
        <v>207407</v>
      </c>
      <c r="G53" s="148">
        <f>IFERROR(__xludf.DUMMYFUNCTION("""COMPUTED_VALUE"""),1.5112573E7)</f>
        <v>15112573</v>
      </c>
      <c r="H53" s="148">
        <f>IFERROR(__xludf.DUMMYFUNCTION("""COMPUTED_VALUE"""),1.5112563E7)</f>
        <v>15112563</v>
      </c>
      <c r="I53" s="148" t="str">
        <f>IFERROR(__xludf.DUMMYFUNCTION("""COMPUTED_VALUE"""),"{""typ"":""lc"",""txt"":""LC_ITEM_time_h_upper_show"",""args"":[{""typ"":""int"",""val"":8}]}")</f>
        <v>{"typ":"lc","txt":"LC_ITEM_time_h_upper_show","args":[{"typ":"int","val":8}]}</v>
      </c>
      <c r="J53" s="148" t="str">
        <f>IFERROR(__xludf.DUMMYFUNCTION("""COMPUTED_VALUE"""),"{""typ"":""lc"",""txt"":""LC_ITEM_speedup_general2_name"",""args"":[{""typ"":""int"",""val"":8}]}")</f>
        <v>{"typ":"lc","txt":"LC_ITEM_speedup_general2_name","args":[{"typ":"int","val":8}]}</v>
      </c>
      <c r="K53" s="148" t="str">
        <f>IFERROR(__xludf.DUMMYFUNCTION("""COMPUTED_VALUE"""),"{""typ"":""lc"",""txt"":""LC_ITEM_speedup_general2_desc"",""args"":[{""typ"":""int"",""val"":8}]}")</f>
        <v>{"typ":"lc","txt":"LC_ITEM_speedup_general2_desc","args":[{"typ":"int","val":8}]}</v>
      </c>
      <c r="L53" s="148" t="str">
        <f>IFERROR(__xludf.DUMMYFUNCTION("""COMPUTED_VALUE"""),"{""typ"":""lc"",""txt"":""LC_ITEM_speedup_general2_usedtip"",""args"":[{""typ"":""int"",""val"":8}]}")</f>
        <v>{"typ":"lc","txt":"LC_ITEM_speedup_general2_usedtip","args":[{"typ":"int","val":8}]}</v>
      </c>
      <c r="M53" s="148">
        <f>IFERROR(__xludf.DUMMYFUNCTION("""COMPUTED_VALUE"""),750.0)</f>
        <v>750</v>
      </c>
      <c r="N53" s="148">
        <f>IFERROR(__xludf.DUMMYFUNCTION("""COMPUTED_VALUE"""),999999.0)</f>
        <v>999999</v>
      </c>
      <c r="O53" s="148">
        <f>IFERROR(__xludf.DUMMYFUNCTION("""COMPUTED_VALUE"""),99999.0)</f>
        <v>99999</v>
      </c>
      <c r="P53" s="148">
        <f>IFERROR(__xludf.DUMMYFUNCTION("""COMPUTED_VALUE"""),99999.0)</f>
        <v>99999</v>
      </c>
      <c r="Q53" s="148" t="str">
        <f>IFERROR(__xludf.DUMMYFUNCTION("""COMPUTED_VALUE"""),"[""bag_speedup"",""speed_build"",""speed_research"",""speed_train"",""speed_heal"",""speed_heroarmqueue""]")</f>
        <v>["bag_speedup","speed_build","speed_research","speed_train","speed_heal","speed_heroarmqueue"]</v>
      </c>
      <c r="R53" s="148" t="str">
        <f>IFERROR(__xludf.DUMMYFUNCTION("""COMPUTED_VALUE"""),"[""speed_build"",""speed_research"",""speed_train"",""speed_heal"",""speed_heroarmqueue"",""speed_mechaqueue"",""speed_herobestaff""]")</f>
        <v>["speed_build","speed_research","speed_train","speed_heal","speed_heroarmqueue","speed_mechaqueue","speed_herobestaff"]</v>
      </c>
      <c r="S53" s="148" t="str">
        <f>IFERROR(__xludf.DUMMYFUNCTION("""COMPUTED_VALUE"""),"{""effect"":[{""typ"":""speedup"",""id"":11241001,""val"":28800000}]}")</f>
        <v>{"effect":[{"typ":"speedup","id":11241001,"val":28800000}]}</v>
      </c>
      <c r="T53" s="148">
        <f>IFERROR(__xludf.DUMMYFUNCTION("""COMPUTED_VALUE"""),-1.0)</f>
        <v>-1</v>
      </c>
      <c r="U53" s="148">
        <f>IFERROR(__xludf.DUMMYFUNCTION("""COMPUTED_VALUE"""),0.0)</f>
        <v>0</v>
      </c>
      <c r="V53" s="148" t="str">
        <f>IFERROR(__xludf.DUMMYFUNCTION("""COMPUTED_VALUE"""),"[]")</f>
        <v>[]</v>
      </c>
      <c r="W53" s="148">
        <f>IFERROR(__xludf.DUMMYFUNCTION("""COMPUTED_VALUE"""),1.1741003E7)</f>
        <v>11741003</v>
      </c>
      <c r="X53" s="148">
        <f>IFERROR(__xludf.DUMMYFUNCTION("""COMPUTED_VALUE"""),0.0)</f>
        <v>0</v>
      </c>
      <c r="Y53" s="148">
        <f>IFERROR(__xludf.DUMMYFUNCTION("""COMPUTED_VALUE"""),0.0)</f>
        <v>0</v>
      </c>
      <c r="Z53" s="148"/>
    </row>
    <row r="54">
      <c r="A54" s="148">
        <f>IFERROR(__xludf.DUMMYFUNCTION("""COMPUTED_VALUE"""),1.1111108E7)</f>
        <v>11111108</v>
      </c>
      <c r="B54" s="148" t="str">
        <f>IFERROR(__xludf.DUMMYFUNCTION("""COMPUTED_VALUE"""),"12小时加速")</f>
        <v>12小时加速</v>
      </c>
      <c r="C54" s="148"/>
      <c r="D54" s="148" t="str">
        <f>IFERROR(__xludf.DUMMYFUNCTION("""COMPUTED_VALUE"""),"item_speedup")</f>
        <v>item_speedup</v>
      </c>
      <c r="E54" s="148">
        <f>IFERROR(__xludf.DUMMYFUNCTION("""COMPUTED_VALUE"""),3.0)</f>
        <v>3</v>
      </c>
      <c r="F54" s="148">
        <f>IFERROR(__xludf.DUMMYFUNCTION("""COMPUTED_VALUE"""),207408.0)</f>
        <v>207408</v>
      </c>
      <c r="G54" s="148">
        <f>IFERROR(__xludf.DUMMYFUNCTION("""COMPUTED_VALUE"""),1.5112573E7)</f>
        <v>15112573</v>
      </c>
      <c r="H54" s="148">
        <f>IFERROR(__xludf.DUMMYFUNCTION("""COMPUTED_VALUE"""),1.5112563E7)</f>
        <v>15112563</v>
      </c>
      <c r="I54" s="148" t="str">
        <f>IFERROR(__xludf.DUMMYFUNCTION("""COMPUTED_VALUE"""),"{""typ"":""lc"",""txt"":""LC_ITEM_time_h_upper_show"",""args"":[{""typ"":""int"",""val"":12}]}")</f>
        <v>{"typ":"lc","txt":"LC_ITEM_time_h_upper_show","args":[{"typ":"int","val":12}]}</v>
      </c>
      <c r="J54" s="148" t="str">
        <f>IFERROR(__xludf.DUMMYFUNCTION("""COMPUTED_VALUE"""),"{""typ"":""lc"",""txt"":""LC_ITEM_speedup_general2_name"",""args"":[{""typ"":""int"",""val"":12}]}")</f>
        <v>{"typ":"lc","txt":"LC_ITEM_speedup_general2_name","args":[{"typ":"int","val":12}]}</v>
      </c>
      <c r="K54" s="148" t="str">
        <f>IFERROR(__xludf.DUMMYFUNCTION("""COMPUTED_VALUE"""),"{""typ"":""lc"",""txt"":""LC_ITEM_speedup_general2_desc"",""args"":[{""typ"":""int"",""val"":12}]}")</f>
        <v>{"typ":"lc","txt":"LC_ITEM_speedup_general2_desc","args":[{"typ":"int","val":12}]}</v>
      </c>
      <c r="L54" s="148" t="str">
        <f>IFERROR(__xludf.DUMMYFUNCTION("""COMPUTED_VALUE"""),"{""typ"":""lc"",""txt"":""LC_ITEM_speedup_general2_usedtip"",""args"":[{""typ"":""int"",""val"":12}]}")</f>
        <v>{"typ":"lc","txt":"LC_ITEM_speedup_general2_usedtip","args":[{"typ":"int","val":12}]}</v>
      </c>
      <c r="M54" s="148">
        <f>IFERROR(__xludf.DUMMYFUNCTION("""COMPUTED_VALUE"""),1100.0)</f>
        <v>1100</v>
      </c>
      <c r="N54" s="148">
        <f>IFERROR(__xludf.DUMMYFUNCTION("""COMPUTED_VALUE"""),999999.0)</f>
        <v>999999</v>
      </c>
      <c r="O54" s="148">
        <f>IFERROR(__xludf.DUMMYFUNCTION("""COMPUTED_VALUE"""),99999.0)</f>
        <v>99999</v>
      </c>
      <c r="P54" s="148">
        <f>IFERROR(__xludf.DUMMYFUNCTION("""COMPUTED_VALUE"""),99999.0)</f>
        <v>99999</v>
      </c>
      <c r="Q54" s="148" t="str">
        <f>IFERROR(__xludf.DUMMYFUNCTION("""COMPUTED_VALUE"""),"[""bag_speedup"",""speed_build"",""speed_research"",""speed_train"",""speed_heal"",""speed_heroarmqueue""]")</f>
        <v>["bag_speedup","speed_build","speed_research","speed_train","speed_heal","speed_heroarmqueue"]</v>
      </c>
      <c r="R54" s="148" t="str">
        <f>IFERROR(__xludf.DUMMYFUNCTION("""COMPUTED_VALUE"""),"[""speed_build"",""speed_research"",""speed_train"",""speed_heal"",""speed_heroarmqueue"",""speed_mechaqueue"",""speed_herobestaff""]")</f>
        <v>["speed_build","speed_research","speed_train","speed_heal","speed_heroarmqueue","speed_mechaqueue","speed_herobestaff"]</v>
      </c>
      <c r="S54" s="148" t="str">
        <f>IFERROR(__xludf.DUMMYFUNCTION("""COMPUTED_VALUE"""),"{""effect"":[{""typ"":""speedup"",""id"":11241001,""val"":43200000}]}")</f>
        <v>{"effect":[{"typ":"speedup","id":11241001,"val":43200000}]}</v>
      </c>
      <c r="T54" s="148">
        <f>IFERROR(__xludf.DUMMYFUNCTION("""COMPUTED_VALUE"""),-1.0)</f>
        <v>-1</v>
      </c>
      <c r="U54" s="148">
        <f>IFERROR(__xludf.DUMMYFUNCTION("""COMPUTED_VALUE"""),0.0)</f>
        <v>0</v>
      </c>
      <c r="V54" s="148" t="str">
        <f>IFERROR(__xludf.DUMMYFUNCTION("""COMPUTED_VALUE"""),"[]")</f>
        <v>[]</v>
      </c>
      <c r="W54" s="148">
        <f>IFERROR(__xludf.DUMMYFUNCTION("""COMPUTED_VALUE"""),1.1741003E7)</f>
        <v>11741003</v>
      </c>
      <c r="X54" s="148">
        <f>IFERROR(__xludf.DUMMYFUNCTION("""COMPUTED_VALUE"""),0.0)</f>
        <v>0</v>
      </c>
      <c r="Y54" s="148">
        <f>IFERROR(__xludf.DUMMYFUNCTION("""COMPUTED_VALUE"""),0.0)</f>
        <v>0</v>
      </c>
      <c r="Z54" s="148"/>
    </row>
    <row r="55">
      <c r="A55" s="148">
        <f>IFERROR(__xludf.DUMMYFUNCTION("""COMPUTED_VALUE"""),1.1111109E7)</f>
        <v>11111109</v>
      </c>
      <c r="B55" s="148" t="str">
        <f>IFERROR(__xludf.DUMMYFUNCTION("""COMPUTED_VALUE"""),"24小时加速")</f>
        <v>24小时加速</v>
      </c>
      <c r="C55" s="148"/>
      <c r="D55" s="148" t="str">
        <f>IFERROR(__xludf.DUMMYFUNCTION("""COMPUTED_VALUE"""),"item_speedup")</f>
        <v>item_speedup</v>
      </c>
      <c r="E55" s="148">
        <f>IFERROR(__xludf.DUMMYFUNCTION("""COMPUTED_VALUE"""),3.0)</f>
        <v>3</v>
      </c>
      <c r="F55" s="148">
        <f>IFERROR(__xludf.DUMMYFUNCTION("""COMPUTED_VALUE"""),207409.0)</f>
        <v>207409</v>
      </c>
      <c r="G55" s="148">
        <f>IFERROR(__xludf.DUMMYFUNCTION("""COMPUTED_VALUE"""),1.5112573E7)</f>
        <v>15112573</v>
      </c>
      <c r="H55" s="148">
        <f>IFERROR(__xludf.DUMMYFUNCTION("""COMPUTED_VALUE"""),1.5112563E7)</f>
        <v>15112563</v>
      </c>
      <c r="I55" s="148" t="str">
        <f>IFERROR(__xludf.DUMMYFUNCTION("""COMPUTED_VALUE"""),"{""typ"":""lc"",""txt"":""LC_ITEM_time_h_upper_show"",""args"":[{""typ"":""int"",""val"":24}]}")</f>
        <v>{"typ":"lc","txt":"LC_ITEM_time_h_upper_show","args":[{"typ":"int","val":24}]}</v>
      </c>
      <c r="J55" s="148" t="str">
        <f>IFERROR(__xludf.DUMMYFUNCTION("""COMPUTED_VALUE"""),"{""typ"":""lc"",""txt"":""LC_ITEM_speedup_general2_name"",""args"":[{""typ"":""int"",""val"":24}]}")</f>
        <v>{"typ":"lc","txt":"LC_ITEM_speedup_general2_name","args":[{"typ":"int","val":24}]}</v>
      </c>
      <c r="K55" s="148" t="str">
        <f>IFERROR(__xludf.DUMMYFUNCTION("""COMPUTED_VALUE"""),"{""typ"":""lc"",""txt"":""LC_ITEM_speedup_general2_desc"",""args"":[{""typ"":""int"",""val"":24}]}")</f>
        <v>{"typ":"lc","txt":"LC_ITEM_speedup_general2_desc","args":[{"typ":"int","val":24}]}</v>
      </c>
      <c r="L55" s="148" t="str">
        <f>IFERROR(__xludf.DUMMYFUNCTION("""COMPUTED_VALUE"""),"{""typ"":""lc"",""txt"":""LC_ITEM_speedup_general2_usedtip"",""args"":[{""typ"":""int"",""val"":24}]}")</f>
        <v>{"typ":"lc","txt":"LC_ITEM_speedup_general2_usedtip","args":[{"typ":"int","val":24}]}</v>
      </c>
      <c r="M55" s="148">
        <f>IFERROR(__xludf.DUMMYFUNCTION("""COMPUTED_VALUE"""),2000.0)</f>
        <v>2000</v>
      </c>
      <c r="N55" s="148">
        <f>IFERROR(__xludf.DUMMYFUNCTION("""COMPUTED_VALUE"""),999999.0)</f>
        <v>999999</v>
      </c>
      <c r="O55" s="148">
        <f>IFERROR(__xludf.DUMMYFUNCTION("""COMPUTED_VALUE"""),99999.0)</f>
        <v>99999</v>
      </c>
      <c r="P55" s="148">
        <f>IFERROR(__xludf.DUMMYFUNCTION("""COMPUTED_VALUE"""),99999.0)</f>
        <v>99999</v>
      </c>
      <c r="Q55" s="148" t="str">
        <f>IFERROR(__xludf.DUMMYFUNCTION("""COMPUTED_VALUE"""),"[""bag_speedup"",""speed_build"",""speed_research"",""speed_train"",""speed_heal"",""speed_heroarmqueue""]")</f>
        <v>["bag_speedup","speed_build","speed_research","speed_train","speed_heal","speed_heroarmqueue"]</v>
      </c>
      <c r="R55" s="148" t="str">
        <f>IFERROR(__xludf.DUMMYFUNCTION("""COMPUTED_VALUE"""),"[""speed_build"",""speed_research"",""speed_train"",""speed_heal"",""speed_heroarmqueue"",""speed_mechaqueue"",""speed_herobestaff""]")</f>
        <v>["speed_build","speed_research","speed_train","speed_heal","speed_heroarmqueue","speed_mechaqueue","speed_herobestaff"]</v>
      </c>
      <c r="S55" s="148" t="str">
        <f>IFERROR(__xludf.DUMMYFUNCTION("""COMPUTED_VALUE"""),"{""effect"":[{""typ"":""speedup"",""id"":11241001,""val"":86400000}]}")</f>
        <v>{"effect":[{"typ":"speedup","id":11241001,"val":86400000}]}</v>
      </c>
      <c r="T55" s="148">
        <f>IFERROR(__xludf.DUMMYFUNCTION("""COMPUTED_VALUE"""),-1.0)</f>
        <v>-1</v>
      </c>
      <c r="U55" s="148">
        <f>IFERROR(__xludf.DUMMYFUNCTION("""COMPUTED_VALUE"""),0.0)</f>
        <v>0</v>
      </c>
      <c r="V55" s="148" t="str">
        <f>IFERROR(__xludf.DUMMYFUNCTION("""COMPUTED_VALUE"""),"[]")</f>
        <v>[]</v>
      </c>
      <c r="W55" s="148">
        <f>IFERROR(__xludf.DUMMYFUNCTION("""COMPUTED_VALUE"""),1.1741003E7)</f>
        <v>11741003</v>
      </c>
      <c r="X55" s="148">
        <f>IFERROR(__xludf.DUMMYFUNCTION("""COMPUTED_VALUE"""),0.0)</f>
        <v>0</v>
      </c>
      <c r="Y55" s="148">
        <f>IFERROR(__xludf.DUMMYFUNCTION("""COMPUTED_VALUE"""),0.0)</f>
        <v>0</v>
      </c>
      <c r="Z55" s="148"/>
    </row>
    <row r="56">
      <c r="A56" s="148">
        <f>IFERROR(__xludf.DUMMYFUNCTION("""COMPUTED_VALUE"""),1.111111E7)</f>
        <v>11111110</v>
      </c>
      <c r="B56" s="148" t="str">
        <f>IFERROR(__xludf.DUMMYFUNCTION("""COMPUTED_VALUE"""),"3天加速")</f>
        <v>3天加速</v>
      </c>
      <c r="C56" s="148"/>
      <c r="D56" s="148" t="str">
        <f>IFERROR(__xludf.DUMMYFUNCTION("""COMPUTED_VALUE"""),"item_speedup")</f>
        <v>item_speedup</v>
      </c>
      <c r="E56" s="148">
        <f>IFERROR(__xludf.DUMMYFUNCTION("""COMPUTED_VALUE"""),3.0)</f>
        <v>3</v>
      </c>
      <c r="F56" s="148">
        <f>IFERROR(__xludf.DUMMYFUNCTION("""COMPUTED_VALUE"""),207510.0)</f>
        <v>207510</v>
      </c>
      <c r="G56" s="148">
        <f>IFERROR(__xludf.DUMMYFUNCTION("""COMPUTED_VALUE"""),1.5112573E7)</f>
        <v>15112573</v>
      </c>
      <c r="H56" s="148">
        <f>IFERROR(__xludf.DUMMYFUNCTION("""COMPUTED_VALUE"""),1.5112564E7)</f>
        <v>15112564</v>
      </c>
      <c r="I56" s="148" t="str">
        <f>IFERROR(__xludf.DUMMYFUNCTION("""COMPUTED_VALUE"""),"{""typ"":""lc"",""txt"":""LC_ITEM_time_day_upper_show"",""args"":[{""typ"":""int"",""val"":3}]}")</f>
        <v>{"typ":"lc","txt":"LC_ITEM_time_day_upper_show","args":[{"typ":"int","val":3}]}</v>
      </c>
      <c r="J56" s="148" t="str">
        <f>IFERROR(__xludf.DUMMYFUNCTION("""COMPUTED_VALUE"""),"{""typ"":""lc"",""txt"":""LC_ITEM_speedup_general3_name"",""args"":[{""typ"":""int"",""val"":3}]}")</f>
        <v>{"typ":"lc","txt":"LC_ITEM_speedup_general3_name","args":[{"typ":"int","val":3}]}</v>
      </c>
      <c r="K56" s="148" t="str">
        <f>IFERROR(__xludf.DUMMYFUNCTION("""COMPUTED_VALUE"""),"{""typ"":""lc"",""txt"":""LC_ITEM_speedup_general3_desc"",""args"":[{""typ"":""int"",""val"":3}]}")</f>
        <v>{"typ":"lc","txt":"LC_ITEM_speedup_general3_desc","args":[{"typ":"int","val":3}]}</v>
      </c>
      <c r="L56" s="148" t="str">
        <f>IFERROR(__xludf.DUMMYFUNCTION("""COMPUTED_VALUE"""),"{""typ"":""lc"",""txt"":""LC_ITEM_speedup_general3_usedtip"",""args"":[{""typ"":""int"",""val"":3}]}")</f>
        <v>{"typ":"lc","txt":"LC_ITEM_speedup_general3_usedtip","args":[{"typ":"int","val":3}]}</v>
      </c>
      <c r="M56" s="148">
        <f>IFERROR(__xludf.DUMMYFUNCTION("""COMPUTED_VALUE"""),5500.0)</f>
        <v>5500</v>
      </c>
      <c r="N56" s="148">
        <f>IFERROR(__xludf.DUMMYFUNCTION("""COMPUTED_VALUE"""),999999.0)</f>
        <v>999999</v>
      </c>
      <c r="O56" s="148">
        <f>IFERROR(__xludf.DUMMYFUNCTION("""COMPUTED_VALUE"""),99999.0)</f>
        <v>99999</v>
      </c>
      <c r="P56" s="148">
        <f>IFERROR(__xludf.DUMMYFUNCTION("""COMPUTED_VALUE"""),99999.0)</f>
        <v>99999</v>
      </c>
      <c r="Q56" s="148" t="str">
        <f>IFERROR(__xludf.DUMMYFUNCTION("""COMPUTED_VALUE"""),"[""bag_speedup"",""speed_build"",""speed_research"",""speed_train"",""speed_heal"",""speed_heroarmqueue""]")</f>
        <v>["bag_speedup","speed_build","speed_research","speed_train","speed_heal","speed_heroarmqueue"]</v>
      </c>
      <c r="R56" s="148" t="str">
        <f>IFERROR(__xludf.DUMMYFUNCTION("""COMPUTED_VALUE"""),"[""speed_build"",""speed_research"",""speed_train"",""speed_heal"",""speed_heroarmqueue"",""speed_mechaqueue"",""speed_herobestaff""]")</f>
        <v>["speed_build","speed_research","speed_train","speed_heal","speed_heroarmqueue","speed_mechaqueue","speed_herobestaff"]</v>
      </c>
      <c r="S56" s="148" t="str">
        <f>IFERROR(__xludf.DUMMYFUNCTION("""COMPUTED_VALUE"""),"{""effect"":[{""typ"":""speedup"",""id"":11241001,""val"":259200000}]}")</f>
        <v>{"effect":[{"typ":"speedup","id":11241001,"val":259200000}]}</v>
      </c>
      <c r="T56" s="148">
        <f>IFERROR(__xludf.DUMMYFUNCTION("""COMPUTED_VALUE"""),-1.0)</f>
        <v>-1</v>
      </c>
      <c r="U56" s="148">
        <f>IFERROR(__xludf.DUMMYFUNCTION("""COMPUTED_VALUE"""),0.0)</f>
        <v>0</v>
      </c>
      <c r="V56" s="148" t="str">
        <f>IFERROR(__xludf.DUMMYFUNCTION("""COMPUTED_VALUE"""),"[]")</f>
        <v>[]</v>
      </c>
      <c r="W56" s="148">
        <f>IFERROR(__xludf.DUMMYFUNCTION("""COMPUTED_VALUE"""),1.1741003E7)</f>
        <v>11741003</v>
      </c>
      <c r="X56" s="148">
        <f>IFERROR(__xludf.DUMMYFUNCTION("""COMPUTED_VALUE"""),0.0)</f>
        <v>0</v>
      </c>
      <c r="Y56" s="148">
        <f>IFERROR(__xludf.DUMMYFUNCTION("""COMPUTED_VALUE"""),0.0)</f>
        <v>0</v>
      </c>
      <c r="Z56" s="148"/>
    </row>
    <row r="57">
      <c r="A57" s="148">
        <f>IFERROR(__xludf.DUMMYFUNCTION("""COMPUTED_VALUE"""),1.1111111E7)</f>
        <v>11111111</v>
      </c>
      <c r="B57" s="148" t="str">
        <f>IFERROR(__xludf.DUMMYFUNCTION("""COMPUTED_VALUE"""),"7天加速")</f>
        <v>7天加速</v>
      </c>
      <c r="C57" s="148"/>
      <c r="D57" s="148" t="str">
        <f>IFERROR(__xludf.DUMMYFUNCTION("""COMPUTED_VALUE"""),"item_speedup")</f>
        <v>item_speedup</v>
      </c>
      <c r="E57" s="148">
        <f>IFERROR(__xludf.DUMMYFUNCTION("""COMPUTED_VALUE"""),3.0)</f>
        <v>3</v>
      </c>
      <c r="F57" s="148">
        <f>IFERROR(__xludf.DUMMYFUNCTION("""COMPUTED_VALUE"""),207511.0)</f>
        <v>207511</v>
      </c>
      <c r="G57" s="148">
        <f>IFERROR(__xludf.DUMMYFUNCTION("""COMPUTED_VALUE"""),1.5112573E7)</f>
        <v>15112573</v>
      </c>
      <c r="H57" s="148">
        <f>IFERROR(__xludf.DUMMYFUNCTION("""COMPUTED_VALUE"""),1.5112564E7)</f>
        <v>15112564</v>
      </c>
      <c r="I57" s="148" t="str">
        <f>IFERROR(__xludf.DUMMYFUNCTION("""COMPUTED_VALUE"""),"{""typ"":""lc"",""txt"":""LC_ITEM_time_day_upper_show"",""args"":[{""typ"":""int"",""val"":7}]}")</f>
        <v>{"typ":"lc","txt":"LC_ITEM_time_day_upper_show","args":[{"typ":"int","val":7}]}</v>
      </c>
      <c r="J57" s="148" t="str">
        <f>IFERROR(__xludf.DUMMYFUNCTION("""COMPUTED_VALUE"""),"{""typ"":""lc"",""txt"":""LC_ITEM_speedup_general3_name"",""args"":[{""typ"":""int"",""val"":7}]}")</f>
        <v>{"typ":"lc","txt":"LC_ITEM_speedup_general3_name","args":[{"typ":"int","val":7}]}</v>
      </c>
      <c r="K57" s="148" t="str">
        <f>IFERROR(__xludf.DUMMYFUNCTION("""COMPUTED_VALUE"""),"{""typ"":""lc"",""txt"":""LC_ITEM_speedup_general3_desc"",""args"":[{""typ"":""int"",""val"":7}]}")</f>
        <v>{"typ":"lc","txt":"LC_ITEM_speedup_general3_desc","args":[{"typ":"int","val":7}]}</v>
      </c>
      <c r="L57" s="148" t="str">
        <f>IFERROR(__xludf.DUMMYFUNCTION("""COMPUTED_VALUE"""),"{""typ"":""lc"",""txt"":""LC_ITEM_speedup_general3_usedtip"",""args"":[{""typ"":""int"",""val"":7}]}")</f>
        <v>{"typ":"lc","txt":"LC_ITEM_speedup_general3_usedtip","args":[{"typ":"int","val":7}]}</v>
      </c>
      <c r="M57" s="148">
        <f>IFERROR(__xludf.DUMMYFUNCTION("""COMPUTED_VALUE"""),12000.0)</f>
        <v>12000</v>
      </c>
      <c r="N57" s="148">
        <f>IFERROR(__xludf.DUMMYFUNCTION("""COMPUTED_VALUE"""),999999.0)</f>
        <v>999999</v>
      </c>
      <c r="O57" s="148">
        <f>IFERROR(__xludf.DUMMYFUNCTION("""COMPUTED_VALUE"""),99999.0)</f>
        <v>99999</v>
      </c>
      <c r="P57" s="148">
        <f>IFERROR(__xludf.DUMMYFUNCTION("""COMPUTED_VALUE"""),99999.0)</f>
        <v>99999</v>
      </c>
      <c r="Q57" s="148" t="str">
        <f>IFERROR(__xludf.DUMMYFUNCTION("""COMPUTED_VALUE"""),"[""bag_speedup"",""speed_build"",""speed_research"",""speed_train"",""speed_heal"",""speed_heroarmqueue""]")</f>
        <v>["bag_speedup","speed_build","speed_research","speed_train","speed_heal","speed_heroarmqueue"]</v>
      </c>
      <c r="R57" s="148" t="str">
        <f>IFERROR(__xludf.DUMMYFUNCTION("""COMPUTED_VALUE"""),"[""speed_build"",""speed_research"",""speed_train"",""speed_heal"",""speed_heroarmqueue"",""speed_mechaqueue"",""speed_herobestaff""]")</f>
        <v>["speed_build","speed_research","speed_train","speed_heal","speed_heroarmqueue","speed_mechaqueue","speed_herobestaff"]</v>
      </c>
      <c r="S57" s="148" t="str">
        <f>IFERROR(__xludf.DUMMYFUNCTION("""COMPUTED_VALUE"""),"{""effect"":[{""typ"":""speedup"",""id"":11241001,""val"":604800000}]}")</f>
        <v>{"effect":[{"typ":"speedup","id":11241001,"val":604800000}]}</v>
      </c>
      <c r="T57" s="148">
        <f>IFERROR(__xludf.DUMMYFUNCTION("""COMPUTED_VALUE"""),-1.0)</f>
        <v>-1</v>
      </c>
      <c r="U57" s="148">
        <f>IFERROR(__xludf.DUMMYFUNCTION("""COMPUTED_VALUE"""),0.0)</f>
        <v>0</v>
      </c>
      <c r="V57" s="148" t="str">
        <f>IFERROR(__xludf.DUMMYFUNCTION("""COMPUTED_VALUE"""),"[]")</f>
        <v>[]</v>
      </c>
      <c r="W57" s="148">
        <f>IFERROR(__xludf.DUMMYFUNCTION("""COMPUTED_VALUE"""),1.1741003E7)</f>
        <v>11741003</v>
      </c>
      <c r="X57" s="148">
        <f>IFERROR(__xludf.DUMMYFUNCTION("""COMPUTED_VALUE"""),0.0)</f>
        <v>0</v>
      </c>
      <c r="Y57" s="148">
        <f>IFERROR(__xludf.DUMMYFUNCTION("""COMPUTED_VALUE"""),0.0)</f>
        <v>0</v>
      </c>
      <c r="Z57" s="148"/>
    </row>
    <row r="58">
      <c r="A58" s="148">
        <f>IFERROR(__xludf.DUMMYFUNCTION("""COMPUTED_VALUE"""),1.1111121E7)</f>
        <v>11111121</v>
      </c>
      <c r="B58" s="148" t="str">
        <f>IFERROR(__xludf.DUMMYFUNCTION("""COMPUTED_VALUE"""),"1分钟建筑加速")</f>
        <v>1分钟建筑加速</v>
      </c>
      <c r="C58" s="148"/>
      <c r="D58" s="148" t="str">
        <f>IFERROR(__xludf.DUMMYFUNCTION("""COMPUTED_VALUE"""),"item_speedup")</f>
        <v>item_speedup</v>
      </c>
      <c r="E58" s="148">
        <f>IFERROR(__xludf.DUMMYFUNCTION("""COMPUTED_VALUE"""),4.0)</f>
        <v>4</v>
      </c>
      <c r="F58" s="148">
        <f>IFERROR(__xludf.DUMMYFUNCTION("""COMPUTED_VALUE"""),203101.0)</f>
        <v>203101</v>
      </c>
      <c r="G58" s="148">
        <f>IFERROR(__xludf.DUMMYFUNCTION("""COMPUTED_VALUE"""),1.511257E7)</f>
        <v>15112570</v>
      </c>
      <c r="H58" s="148">
        <f>IFERROR(__xludf.DUMMYFUNCTION("""COMPUTED_VALUE"""),1.511256E7)</f>
        <v>15112560</v>
      </c>
      <c r="I58" s="148" t="str">
        <f>IFERROR(__xludf.DUMMYFUNCTION("""COMPUTED_VALUE"""),"{""typ"":""lc"",""txt"":""LC_ITEM_time_min_upper_show"",""args"":[{""typ"":""int"",""val"":1}]}")</f>
        <v>{"typ":"lc","txt":"LC_ITEM_time_min_upper_show","args":[{"typ":"int","val":1}]}</v>
      </c>
      <c r="J58" s="148" t="str">
        <f>IFERROR(__xludf.DUMMYFUNCTION("""COMPUTED_VALUE"""),"{""typ"":""lc"",""txt"":""LC_ITEM_speedup_build_name"",""args"":[{""typ"":""int"",""val"":1}]}")</f>
        <v>{"typ":"lc","txt":"LC_ITEM_speedup_build_name","args":[{"typ":"int","val":1}]}</v>
      </c>
      <c r="K58" s="148" t="str">
        <f>IFERROR(__xludf.DUMMYFUNCTION("""COMPUTED_VALUE"""),"{""typ"":""lc"",""txt"":""LC_ITEM_speedup_build_desc"",""args"":[{""typ"":""int"",""val"":1}]}")</f>
        <v>{"typ":"lc","txt":"LC_ITEM_speedup_build_desc","args":[{"typ":"int","val":1}]}</v>
      </c>
      <c r="L58" s="148" t="str">
        <f>IFERROR(__xludf.DUMMYFUNCTION("""COMPUTED_VALUE"""),"{""typ"":""lc"",""txt"":""LC_ITEM_speedup_build_usedtip"",""args"":[{""typ"":""int"",""val"":1}]}")</f>
        <v>{"typ":"lc","txt":"LC_ITEM_speedup_build_usedtip","args":[{"typ":"int","val":1}]}</v>
      </c>
      <c r="M58" s="148">
        <f>IFERROR(__xludf.DUMMYFUNCTION("""COMPUTED_VALUE"""),3.0)</f>
        <v>3</v>
      </c>
      <c r="N58" s="148">
        <f>IFERROR(__xludf.DUMMYFUNCTION("""COMPUTED_VALUE"""),999999.0)</f>
        <v>999999</v>
      </c>
      <c r="O58" s="148">
        <f>IFERROR(__xludf.DUMMYFUNCTION("""COMPUTED_VALUE"""),99999.0)</f>
        <v>99999</v>
      </c>
      <c r="P58" s="148">
        <f>IFERROR(__xludf.DUMMYFUNCTION("""COMPUTED_VALUE"""),99999.0)</f>
        <v>99999</v>
      </c>
      <c r="Q58" s="148" t="str">
        <f>IFERROR(__xludf.DUMMYFUNCTION("""COMPUTED_VALUE"""),"[""bag_speedup"",""speed_build""]")</f>
        <v>["bag_speedup","speed_build"]</v>
      </c>
      <c r="R58" s="148" t="str">
        <f>IFERROR(__xludf.DUMMYFUNCTION("""COMPUTED_VALUE"""),"[""speed_build""]")</f>
        <v>["speed_build"]</v>
      </c>
      <c r="S58" s="148" t="str">
        <f>IFERROR(__xludf.DUMMYFUNCTION("""COMPUTED_VALUE"""),"{""effect"":[{""typ"":""speedup"",""id"":11241002,""val"":60000}]}")</f>
        <v>{"effect":[{"typ":"speedup","id":11241002,"val":60000}]}</v>
      </c>
      <c r="T58" s="148">
        <f>IFERROR(__xludf.DUMMYFUNCTION("""COMPUTED_VALUE"""),-1.0)</f>
        <v>-1</v>
      </c>
      <c r="U58" s="148">
        <f>IFERROR(__xludf.DUMMYFUNCTION("""COMPUTED_VALUE"""),0.0)</f>
        <v>0</v>
      </c>
      <c r="V58" s="148" t="str">
        <f>IFERROR(__xludf.DUMMYFUNCTION("""COMPUTED_VALUE"""),"[]")</f>
        <v>[]</v>
      </c>
      <c r="W58" s="148">
        <f>IFERROR(__xludf.DUMMYFUNCTION("""COMPUTED_VALUE"""),1.1741003E7)</f>
        <v>11741003</v>
      </c>
      <c r="X58" s="148">
        <f>IFERROR(__xludf.DUMMYFUNCTION("""COMPUTED_VALUE"""),0.0)</f>
        <v>0</v>
      </c>
      <c r="Y58" s="148">
        <f>IFERROR(__xludf.DUMMYFUNCTION("""COMPUTED_VALUE"""),0.0)</f>
        <v>0</v>
      </c>
      <c r="Z58" s="148"/>
    </row>
    <row r="59">
      <c r="A59" s="148">
        <f>IFERROR(__xludf.DUMMYFUNCTION("""COMPUTED_VALUE"""),1.1111122E7)</f>
        <v>11111122</v>
      </c>
      <c r="B59" s="148" t="str">
        <f>IFERROR(__xludf.DUMMYFUNCTION("""COMPUTED_VALUE"""),"5分钟建筑加速")</f>
        <v>5分钟建筑加速</v>
      </c>
      <c r="C59" s="148"/>
      <c r="D59" s="148" t="str">
        <f>IFERROR(__xludf.DUMMYFUNCTION("""COMPUTED_VALUE"""),"item_speedup")</f>
        <v>item_speedup</v>
      </c>
      <c r="E59" s="148">
        <f>IFERROR(__xludf.DUMMYFUNCTION("""COMPUTED_VALUE"""),4.0)</f>
        <v>4</v>
      </c>
      <c r="F59" s="148">
        <f>IFERROR(__xludf.DUMMYFUNCTION("""COMPUTED_VALUE"""),203202.0)</f>
        <v>203202</v>
      </c>
      <c r="G59" s="148">
        <f>IFERROR(__xludf.DUMMYFUNCTION("""COMPUTED_VALUE"""),1.511257E7)</f>
        <v>15112570</v>
      </c>
      <c r="H59" s="148">
        <f>IFERROR(__xludf.DUMMYFUNCTION("""COMPUTED_VALUE"""),1.5112561E7)</f>
        <v>15112561</v>
      </c>
      <c r="I59" s="148" t="str">
        <f>IFERROR(__xludf.DUMMYFUNCTION("""COMPUTED_VALUE"""),"{""typ"":""lc"",""txt"":""LC_ITEM_time_min_upper_show"",""args"":[{""typ"":""int"",""val"":5}]}")</f>
        <v>{"typ":"lc","txt":"LC_ITEM_time_min_upper_show","args":[{"typ":"int","val":5}]}</v>
      </c>
      <c r="J59" s="148" t="str">
        <f>IFERROR(__xludf.DUMMYFUNCTION("""COMPUTED_VALUE"""),"{""typ"":""lc"",""txt"":""LC_ITEM_speedup_build_name"",""args"":[{""typ"":""int"",""val"":5}]}")</f>
        <v>{"typ":"lc","txt":"LC_ITEM_speedup_build_name","args":[{"typ":"int","val":5}]}</v>
      </c>
      <c r="K59" s="148" t="str">
        <f>IFERROR(__xludf.DUMMYFUNCTION("""COMPUTED_VALUE"""),"{""typ"":""lc"",""txt"":""LC_ITEM_speedup_build_desc"",""args"":[{""typ"":""int"",""val"":5}]}")</f>
        <v>{"typ":"lc","txt":"LC_ITEM_speedup_build_desc","args":[{"typ":"int","val":5}]}</v>
      </c>
      <c r="L59" s="148" t="str">
        <f>IFERROR(__xludf.DUMMYFUNCTION("""COMPUTED_VALUE"""),"{""typ"":""lc"",""txt"":""LC_ITEM_speedup_build_usedtip"",""args"":[{""typ"":""int"",""val"":5}]}")</f>
        <v>{"typ":"lc","txt":"LC_ITEM_speedup_build_usedtip","args":[{"typ":"int","val":5}]}</v>
      </c>
      <c r="M59" s="148">
        <f>IFERROR(__xludf.DUMMYFUNCTION("""COMPUTED_VALUE"""),12.0)</f>
        <v>12</v>
      </c>
      <c r="N59" s="148">
        <f>IFERROR(__xludf.DUMMYFUNCTION("""COMPUTED_VALUE"""),999999.0)</f>
        <v>999999</v>
      </c>
      <c r="O59" s="148">
        <f>IFERROR(__xludf.DUMMYFUNCTION("""COMPUTED_VALUE"""),99999.0)</f>
        <v>99999</v>
      </c>
      <c r="P59" s="148">
        <f>IFERROR(__xludf.DUMMYFUNCTION("""COMPUTED_VALUE"""),99999.0)</f>
        <v>99999</v>
      </c>
      <c r="Q59" s="148" t="str">
        <f>IFERROR(__xludf.DUMMYFUNCTION("""COMPUTED_VALUE"""),"[""bag_speedup"",""speed_build""]")</f>
        <v>["bag_speedup","speed_build"]</v>
      </c>
      <c r="R59" s="148" t="str">
        <f>IFERROR(__xludf.DUMMYFUNCTION("""COMPUTED_VALUE"""),"[""speed_build""]")</f>
        <v>["speed_build"]</v>
      </c>
      <c r="S59" s="148" t="str">
        <f>IFERROR(__xludf.DUMMYFUNCTION("""COMPUTED_VALUE"""),"{""effect"":[{""typ"":""speedup"",""id"":11241002,""val"":300000}]}")</f>
        <v>{"effect":[{"typ":"speedup","id":11241002,"val":300000}]}</v>
      </c>
      <c r="T59" s="148">
        <f>IFERROR(__xludf.DUMMYFUNCTION("""COMPUTED_VALUE"""),-1.0)</f>
        <v>-1</v>
      </c>
      <c r="U59" s="148">
        <f>IFERROR(__xludf.DUMMYFUNCTION("""COMPUTED_VALUE"""),0.0)</f>
        <v>0</v>
      </c>
      <c r="V59" s="148" t="str">
        <f>IFERROR(__xludf.DUMMYFUNCTION("""COMPUTED_VALUE"""),"[]")</f>
        <v>[]</v>
      </c>
      <c r="W59" s="148">
        <f>IFERROR(__xludf.DUMMYFUNCTION("""COMPUTED_VALUE"""),1.1741003E7)</f>
        <v>11741003</v>
      </c>
      <c r="X59" s="148">
        <f>IFERROR(__xludf.DUMMYFUNCTION("""COMPUTED_VALUE"""),0.0)</f>
        <v>0</v>
      </c>
      <c r="Y59" s="148">
        <f>IFERROR(__xludf.DUMMYFUNCTION("""COMPUTED_VALUE"""),0.0)</f>
        <v>0</v>
      </c>
      <c r="Z59" s="148"/>
    </row>
    <row r="60">
      <c r="A60" s="148">
        <f>IFERROR(__xludf.DUMMYFUNCTION("""COMPUTED_VALUE"""),1.1111123E7)</f>
        <v>11111123</v>
      </c>
      <c r="B60" s="148" t="str">
        <f>IFERROR(__xludf.DUMMYFUNCTION("""COMPUTED_VALUE"""),"10分钟建筑加速")</f>
        <v>10分钟建筑加速</v>
      </c>
      <c r="C60" s="148"/>
      <c r="D60" s="148" t="str">
        <f>IFERROR(__xludf.DUMMYFUNCTION("""COMPUTED_VALUE"""),"item_speedup")</f>
        <v>item_speedup</v>
      </c>
      <c r="E60" s="148">
        <f>IFERROR(__xludf.DUMMYFUNCTION("""COMPUTED_VALUE"""),4.0)</f>
        <v>4</v>
      </c>
      <c r="F60" s="148">
        <f>IFERROR(__xludf.DUMMYFUNCTION("""COMPUTED_VALUE"""),203203.0)</f>
        <v>203203</v>
      </c>
      <c r="G60" s="148">
        <f>IFERROR(__xludf.DUMMYFUNCTION("""COMPUTED_VALUE"""),1.511257E7)</f>
        <v>15112570</v>
      </c>
      <c r="H60" s="148">
        <f>IFERROR(__xludf.DUMMYFUNCTION("""COMPUTED_VALUE"""),1.5112561E7)</f>
        <v>15112561</v>
      </c>
      <c r="I60" s="148" t="str">
        <f>IFERROR(__xludf.DUMMYFUNCTION("""COMPUTED_VALUE"""),"{""typ"":""lc"",""txt"":""LC_ITEM_time_min_upper_show"",""args"":[{""typ"":""int"",""val"":10}]}")</f>
        <v>{"typ":"lc","txt":"LC_ITEM_time_min_upper_show","args":[{"typ":"int","val":10}]}</v>
      </c>
      <c r="J60" s="148" t="str">
        <f>IFERROR(__xludf.DUMMYFUNCTION("""COMPUTED_VALUE"""),"{""typ"":""lc"",""txt"":""LC_ITEM_speedup_build_name"",""args"":[{""typ"":""int"",""val"":10}]}")</f>
        <v>{"typ":"lc","txt":"LC_ITEM_speedup_build_name","args":[{"typ":"int","val":10}]}</v>
      </c>
      <c r="K60" s="148" t="str">
        <f>IFERROR(__xludf.DUMMYFUNCTION("""COMPUTED_VALUE"""),"{""typ"":""lc"",""txt"":""LC_ITEM_speedup_build_desc"",""args"":[{""typ"":""int"",""val"":10}]}")</f>
        <v>{"typ":"lc","txt":"LC_ITEM_speedup_build_desc","args":[{"typ":"int","val":10}]}</v>
      </c>
      <c r="L60" s="148" t="str">
        <f>IFERROR(__xludf.DUMMYFUNCTION("""COMPUTED_VALUE"""),"{""typ"":""lc"",""txt"":""LC_ITEM_speedup_build_usedtip"",""args"":[{""typ"":""int"",""val"":10}]}")</f>
        <v>{"typ":"lc","txt":"LC_ITEM_speedup_build_usedtip","args":[{"typ":"int","val":10}]}</v>
      </c>
      <c r="M60" s="148">
        <f>IFERROR(__xludf.DUMMYFUNCTION("""COMPUTED_VALUE"""),24.0)</f>
        <v>24</v>
      </c>
      <c r="N60" s="148">
        <f>IFERROR(__xludf.DUMMYFUNCTION("""COMPUTED_VALUE"""),999999.0)</f>
        <v>999999</v>
      </c>
      <c r="O60" s="148">
        <f>IFERROR(__xludf.DUMMYFUNCTION("""COMPUTED_VALUE"""),99999.0)</f>
        <v>99999</v>
      </c>
      <c r="P60" s="148">
        <f>IFERROR(__xludf.DUMMYFUNCTION("""COMPUTED_VALUE"""),99999.0)</f>
        <v>99999</v>
      </c>
      <c r="Q60" s="148" t="str">
        <f>IFERROR(__xludf.DUMMYFUNCTION("""COMPUTED_VALUE"""),"[""bag_speedup"",""speed_build""]")</f>
        <v>["bag_speedup","speed_build"]</v>
      </c>
      <c r="R60" s="148" t="str">
        <f>IFERROR(__xludf.DUMMYFUNCTION("""COMPUTED_VALUE"""),"[""speed_build""]")</f>
        <v>["speed_build"]</v>
      </c>
      <c r="S60" s="148" t="str">
        <f>IFERROR(__xludf.DUMMYFUNCTION("""COMPUTED_VALUE"""),"{""effect"":[{""typ"":""speedup"",""id"":11241002,""val"":600000}]}")</f>
        <v>{"effect":[{"typ":"speedup","id":11241002,"val":600000}]}</v>
      </c>
      <c r="T60" s="148">
        <f>IFERROR(__xludf.DUMMYFUNCTION("""COMPUTED_VALUE"""),-1.0)</f>
        <v>-1</v>
      </c>
      <c r="U60" s="148">
        <f>IFERROR(__xludf.DUMMYFUNCTION("""COMPUTED_VALUE"""),0.0)</f>
        <v>0</v>
      </c>
      <c r="V60" s="148" t="str">
        <f>IFERROR(__xludf.DUMMYFUNCTION("""COMPUTED_VALUE"""),"[]")</f>
        <v>[]</v>
      </c>
      <c r="W60" s="148">
        <f>IFERROR(__xludf.DUMMYFUNCTION("""COMPUTED_VALUE"""),1.1741003E7)</f>
        <v>11741003</v>
      </c>
      <c r="X60" s="148">
        <f>IFERROR(__xludf.DUMMYFUNCTION("""COMPUTED_VALUE"""),0.0)</f>
        <v>0</v>
      </c>
      <c r="Y60" s="148">
        <f>IFERROR(__xludf.DUMMYFUNCTION("""COMPUTED_VALUE"""),0.0)</f>
        <v>0</v>
      </c>
      <c r="Z60" s="148"/>
    </row>
    <row r="61">
      <c r="A61" s="148">
        <f>IFERROR(__xludf.DUMMYFUNCTION("""COMPUTED_VALUE"""),1.1111124E7)</f>
        <v>11111124</v>
      </c>
      <c r="B61" s="148" t="str">
        <f>IFERROR(__xludf.DUMMYFUNCTION("""COMPUTED_VALUE"""),"15分钟建筑加速")</f>
        <v>15分钟建筑加速</v>
      </c>
      <c r="C61" s="148"/>
      <c r="D61" s="148" t="str">
        <f>IFERROR(__xludf.DUMMYFUNCTION("""COMPUTED_VALUE"""),"item_speedup")</f>
        <v>item_speedup</v>
      </c>
      <c r="E61" s="148">
        <f>IFERROR(__xludf.DUMMYFUNCTION("""COMPUTED_VALUE"""),4.0)</f>
        <v>4</v>
      </c>
      <c r="F61" s="148">
        <f>IFERROR(__xludf.DUMMYFUNCTION("""COMPUTED_VALUE"""),203204.0)</f>
        <v>203204</v>
      </c>
      <c r="G61" s="148">
        <f>IFERROR(__xludf.DUMMYFUNCTION("""COMPUTED_VALUE"""),1.511257E7)</f>
        <v>15112570</v>
      </c>
      <c r="H61" s="148">
        <f>IFERROR(__xludf.DUMMYFUNCTION("""COMPUTED_VALUE"""),1.5112561E7)</f>
        <v>15112561</v>
      </c>
      <c r="I61" s="148" t="str">
        <f>IFERROR(__xludf.DUMMYFUNCTION("""COMPUTED_VALUE"""),"{""typ"":""lc"",""txt"":""LC_ITEM_time_min_upper_show"",""args"":[{""typ"":""int"",""val"":15}]}")</f>
        <v>{"typ":"lc","txt":"LC_ITEM_time_min_upper_show","args":[{"typ":"int","val":15}]}</v>
      </c>
      <c r="J61" s="148" t="str">
        <f>IFERROR(__xludf.DUMMYFUNCTION("""COMPUTED_VALUE"""),"{""typ"":""lc"",""txt"":""LC_ITEM_speedup_build_name"",""args"":[{""typ"":""int"",""val"":15}]}")</f>
        <v>{"typ":"lc","txt":"LC_ITEM_speedup_build_name","args":[{"typ":"int","val":15}]}</v>
      </c>
      <c r="K61" s="148" t="str">
        <f>IFERROR(__xludf.DUMMYFUNCTION("""COMPUTED_VALUE"""),"{""typ"":""lc"",""txt"":""LC_ITEM_speedup_build_desc"",""args"":[{""typ"":""int"",""val"":15}]}")</f>
        <v>{"typ":"lc","txt":"LC_ITEM_speedup_build_desc","args":[{"typ":"int","val":15}]}</v>
      </c>
      <c r="L61" s="148" t="str">
        <f>IFERROR(__xludf.DUMMYFUNCTION("""COMPUTED_VALUE"""),"{""typ"":""lc"",""txt"":""LC_ITEM_speedup_build_usedtip"",""args"":[{""typ"":""int"",""val"":15}]}")</f>
        <v>{"typ":"lc","txt":"LC_ITEM_speedup_build_usedtip","args":[{"typ":"int","val":15}]}</v>
      </c>
      <c r="M61" s="148">
        <f>IFERROR(__xludf.DUMMYFUNCTION("""COMPUTED_VALUE"""),35.0)</f>
        <v>35</v>
      </c>
      <c r="N61" s="148">
        <f>IFERROR(__xludf.DUMMYFUNCTION("""COMPUTED_VALUE"""),999999.0)</f>
        <v>999999</v>
      </c>
      <c r="O61" s="148">
        <f>IFERROR(__xludf.DUMMYFUNCTION("""COMPUTED_VALUE"""),99999.0)</f>
        <v>99999</v>
      </c>
      <c r="P61" s="148">
        <f>IFERROR(__xludf.DUMMYFUNCTION("""COMPUTED_VALUE"""),99999.0)</f>
        <v>99999</v>
      </c>
      <c r="Q61" s="148" t="str">
        <f>IFERROR(__xludf.DUMMYFUNCTION("""COMPUTED_VALUE"""),"[""bag_speedup"",""speed_build""]")</f>
        <v>["bag_speedup","speed_build"]</v>
      </c>
      <c r="R61" s="148" t="str">
        <f>IFERROR(__xludf.DUMMYFUNCTION("""COMPUTED_VALUE"""),"[""speed_build""]")</f>
        <v>["speed_build"]</v>
      </c>
      <c r="S61" s="148" t="str">
        <f>IFERROR(__xludf.DUMMYFUNCTION("""COMPUTED_VALUE"""),"{""effect"":[{""typ"":""speedup"",""id"":11241002,""val"":900000}]}")</f>
        <v>{"effect":[{"typ":"speedup","id":11241002,"val":900000}]}</v>
      </c>
      <c r="T61" s="148">
        <f>IFERROR(__xludf.DUMMYFUNCTION("""COMPUTED_VALUE"""),-1.0)</f>
        <v>-1</v>
      </c>
      <c r="U61" s="148">
        <f>IFERROR(__xludf.DUMMYFUNCTION("""COMPUTED_VALUE"""),0.0)</f>
        <v>0</v>
      </c>
      <c r="V61" s="148" t="str">
        <f>IFERROR(__xludf.DUMMYFUNCTION("""COMPUTED_VALUE"""),"[]")</f>
        <v>[]</v>
      </c>
      <c r="W61" s="148">
        <f>IFERROR(__xludf.DUMMYFUNCTION("""COMPUTED_VALUE"""),1.1741003E7)</f>
        <v>11741003</v>
      </c>
      <c r="X61" s="148">
        <f>IFERROR(__xludf.DUMMYFUNCTION("""COMPUTED_VALUE"""),0.0)</f>
        <v>0</v>
      </c>
      <c r="Y61" s="148">
        <f>IFERROR(__xludf.DUMMYFUNCTION("""COMPUTED_VALUE"""),0.0)</f>
        <v>0</v>
      </c>
      <c r="Z61" s="148"/>
    </row>
    <row r="62">
      <c r="A62" s="148">
        <f>IFERROR(__xludf.DUMMYFUNCTION("""COMPUTED_VALUE"""),1.1111125E7)</f>
        <v>11111125</v>
      </c>
      <c r="B62" s="148" t="str">
        <f>IFERROR(__xludf.DUMMYFUNCTION("""COMPUTED_VALUE"""),"30分钟建筑加速")</f>
        <v>30分钟建筑加速</v>
      </c>
      <c r="C62" s="148"/>
      <c r="D62" s="148" t="str">
        <f>IFERROR(__xludf.DUMMYFUNCTION("""COMPUTED_VALUE"""),"item_speedup")</f>
        <v>item_speedup</v>
      </c>
      <c r="E62" s="148">
        <f>IFERROR(__xludf.DUMMYFUNCTION("""COMPUTED_VALUE"""),4.0)</f>
        <v>4</v>
      </c>
      <c r="F62" s="148">
        <f>IFERROR(__xludf.DUMMYFUNCTION("""COMPUTED_VALUE"""),203305.0)</f>
        <v>203305</v>
      </c>
      <c r="G62" s="148">
        <f>IFERROR(__xludf.DUMMYFUNCTION("""COMPUTED_VALUE"""),1.511257E7)</f>
        <v>15112570</v>
      </c>
      <c r="H62" s="148">
        <f>IFERROR(__xludf.DUMMYFUNCTION("""COMPUTED_VALUE"""),1.5112562E7)</f>
        <v>15112562</v>
      </c>
      <c r="I62" s="148" t="str">
        <f>IFERROR(__xludf.DUMMYFUNCTION("""COMPUTED_VALUE"""),"{""typ"":""lc"",""txt"":""LC_ITEM_time_min_upper_show"",""args"":[{""typ"":""int"",""val"":30}]}")</f>
        <v>{"typ":"lc","txt":"LC_ITEM_time_min_upper_show","args":[{"typ":"int","val":30}]}</v>
      </c>
      <c r="J62" s="148" t="str">
        <f>IFERROR(__xludf.DUMMYFUNCTION("""COMPUTED_VALUE"""),"{""typ"":""lc"",""txt"":""LC_ITEM_speedup_build_name"",""args"":[{""typ"":""int"",""val"":30}]}")</f>
        <v>{"typ":"lc","txt":"LC_ITEM_speedup_build_name","args":[{"typ":"int","val":30}]}</v>
      </c>
      <c r="K62" s="148" t="str">
        <f>IFERROR(__xludf.DUMMYFUNCTION("""COMPUTED_VALUE"""),"{""typ"":""lc"",""txt"":""LC_ITEM_speedup_build_desc"",""args"":[{""typ"":""int"",""val"":30}]}")</f>
        <v>{"typ":"lc","txt":"LC_ITEM_speedup_build_desc","args":[{"typ":"int","val":30}]}</v>
      </c>
      <c r="L62" s="148" t="str">
        <f>IFERROR(__xludf.DUMMYFUNCTION("""COMPUTED_VALUE"""),"{""typ"":""lc"",""txt"":""LC_ITEM_speedup_build_usedtip"",""args"":[{""typ"":""int"",""val"":30}]}")</f>
        <v>{"typ":"lc","txt":"LC_ITEM_speedup_build_usedtip","args":[{"typ":"int","val":30}]}</v>
      </c>
      <c r="M62" s="148">
        <f>IFERROR(__xludf.DUMMYFUNCTION("""COMPUTED_VALUE"""),60.0)</f>
        <v>60</v>
      </c>
      <c r="N62" s="148">
        <f>IFERROR(__xludf.DUMMYFUNCTION("""COMPUTED_VALUE"""),999999.0)</f>
        <v>999999</v>
      </c>
      <c r="O62" s="148">
        <f>IFERROR(__xludf.DUMMYFUNCTION("""COMPUTED_VALUE"""),99999.0)</f>
        <v>99999</v>
      </c>
      <c r="P62" s="148">
        <f>IFERROR(__xludf.DUMMYFUNCTION("""COMPUTED_VALUE"""),99999.0)</f>
        <v>99999</v>
      </c>
      <c r="Q62" s="148" t="str">
        <f>IFERROR(__xludf.DUMMYFUNCTION("""COMPUTED_VALUE"""),"[""bag_speedup"",""speed_build""]")</f>
        <v>["bag_speedup","speed_build"]</v>
      </c>
      <c r="R62" s="148" t="str">
        <f>IFERROR(__xludf.DUMMYFUNCTION("""COMPUTED_VALUE"""),"[""speed_build""]")</f>
        <v>["speed_build"]</v>
      </c>
      <c r="S62" s="148" t="str">
        <f>IFERROR(__xludf.DUMMYFUNCTION("""COMPUTED_VALUE"""),"{""effect"":[{""typ"":""speedup"",""id"":11241002,""val"":1800000}]}")</f>
        <v>{"effect":[{"typ":"speedup","id":11241002,"val":1800000}]}</v>
      </c>
      <c r="T62" s="148">
        <f>IFERROR(__xludf.DUMMYFUNCTION("""COMPUTED_VALUE"""),-1.0)</f>
        <v>-1</v>
      </c>
      <c r="U62" s="148">
        <f>IFERROR(__xludf.DUMMYFUNCTION("""COMPUTED_VALUE"""),0.0)</f>
        <v>0</v>
      </c>
      <c r="V62" s="148" t="str">
        <f>IFERROR(__xludf.DUMMYFUNCTION("""COMPUTED_VALUE"""),"[]")</f>
        <v>[]</v>
      </c>
      <c r="W62" s="148">
        <f>IFERROR(__xludf.DUMMYFUNCTION("""COMPUTED_VALUE"""),1.1741003E7)</f>
        <v>11741003</v>
      </c>
      <c r="X62" s="148">
        <f>IFERROR(__xludf.DUMMYFUNCTION("""COMPUTED_VALUE"""),0.0)</f>
        <v>0</v>
      </c>
      <c r="Y62" s="148">
        <f>IFERROR(__xludf.DUMMYFUNCTION("""COMPUTED_VALUE"""),0.0)</f>
        <v>0</v>
      </c>
      <c r="Z62" s="148"/>
    </row>
    <row r="63">
      <c r="A63" s="148">
        <f>IFERROR(__xludf.DUMMYFUNCTION("""COMPUTED_VALUE"""),1.1111126E7)</f>
        <v>11111126</v>
      </c>
      <c r="B63" s="148" t="str">
        <f>IFERROR(__xludf.DUMMYFUNCTION("""COMPUTED_VALUE"""),"60分钟建筑加速")</f>
        <v>60分钟建筑加速</v>
      </c>
      <c r="C63" s="148"/>
      <c r="D63" s="148" t="str">
        <f>IFERROR(__xludf.DUMMYFUNCTION("""COMPUTED_VALUE"""),"item_speedup")</f>
        <v>item_speedup</v>
      </c>
      <c r="E63" s="148">
        <f>IFERROR(__xludf.DUMMYFUNCTION("""COMPUTED_VALUE"""),4.0)</f>
        <v>4</v>
      </c>
      <c r="F63" s="148">
        <f>IFERROR(__xludf.DUMMYFUNCTION("""COMPUTED_VALUE"""),203306.0)</f>
        <v>203306</v>
      </c>
      <c r="G63" s="148">
        <f>IFERROR(__xludf.DUMMYFUNCTION("""COMPUTED_VALUE"""),1.511257E7)</f>
        <v>15112570</v>
      </c>
      <c r="H63" s="148">
        <f>IFERROR(__xludf.DUMMYFUNCTION("""COMPUTED_VALUE"""),1.5112562E7)</f>
        <v>15112562</v>
      </c>
      <c r="I63" s="148" t="str">
        <f>IFERROR(__xludf.DUMMYFUNCTION("""COMPUTED_VALUE"""),"{""typ"":""lc"",""txt"":""LC_ITEM_time_h_upper_show"",""args"":[{""typ"":""int"",""val"":1}]}")</f>
        <v>{"typ":"lc","txt":"LC_ITEM_time_h_upper_show","args":[{"typ":"int","val":1}]}</v>
      </c>
      <c r="J63" s="148" t="str">
        <f>IFERROR(__xludf.DUMMYFUNCTION("""COMPUTED_VALUE"""),"{""typ"":""lc"",""txt"":""LC_ITEM_speedup_build2_name"",""args"":[{""typ"":""int"",""val"":1}]}")</f>
        <v>{"typ":"lc","txt":"LC_ITEM_speedup_build2_name","args":[{"typ":"int","val":1}]}</v>
      </c>
      <c r="K63" s="148" t="str">
        <f>IFERROR(__xludf.DUMMYFUNCTION("""COMPUTED_VALUE"""),"{""typ"":""lc"",""txt"":""LC_ITEM_speedup_build2_desc"",""args"":[{""typ"":""int"",""val"":1}]}")</f>
        <v>{"typ":"lc","txt":"LC_ITEM_speedup_build2_desc","args":[{"typ":"int","val":1}]}</v>
      </c>
      <c r="L63" s="148" t="str">
        <f>IFERROR(__xludf.DUMMYFUNCTION("""COMPUTED_VALUE"""),"{""typ"":""lc"",""txt"":""LC_ITEM_speedup_build2_usedtip"",""args"":[{""typ"":""int"",""val"":1}]}")</f>
        <v>{"typ":"lc","txt":"LC_ITEM_speedup_build2_usedtip","args":[{"typ":"int","val":1}]}</v>
      </c>
      <c r="M63" s="148">
        <f>IFERROR(__xludf.DUMMYFUNCTION("""COMPUTED_VALUE"""),100.0)</f>
        <v>100</v>
      </c>
      <c r="N63" s="148">
        <f>IFERROR(__xludf.DUMMYFUNCTION("""COMPUTED_VALUE"""),999999.0)</f>
        <v>999999</v>
      </c>
      <c r="O63" s="148">
        <f>IFERROR(__xludf.DUMMYFUNCTION("""COMPUTED_VALUE"""),99999.0)</f>
        <v>99999</v>
      </c>
      <c r="P63" s="148">
        <f>IFERROR(__xludf.DUMMYFUNCTION("""COMPUTED_VALUE"""),99999.0)</f>
        <v>99999</v>
      </c>
      <c r="Q63" s="148" t="str">
        <f>IFERROR(__xludf.DUMMYFUNCTION("""COMPUTED_VALUE"""),"[""bag_speedup"",""speed_build""]")</f>
        <v>["bag_speedup","speed_build"]</v>
      </c>
      <c r="R63" s="148" t="str">
        <f>IFERROR(__xludf.DUMMYFUNCTION("""COMPUTED_VALUE"""),"[""speed_build""]")</f>
        <v>["speed_build"]</v>
      </c>
      <c r="S63" s="148" t="str">
        <f>IFERROR(__xludf.DUMMYFUNCTION("""COMPUTED_VALUE"""),"{""effect"":[{""typ"":""speedup"",""id"":11241002,""val"":3600000}]}")</f>
        <v>{"effect":[{"typ":"speedup","id":11241002,"val":3600000}]}</v>
      </c>
      <c r="T63" s="148">
        <f>IFERROR(__xludf.DUMMYFUNCTION("""COMPUTED_VALUE"""),-1.0)</f>
        <v>-1</v>
      </c>
      <c r="U63" s="148">
        <f>IFERROR(__xludf.DUMMYFUNCTION("""COMPUTED_VALUE"""),0.0)</f>
        <v>0</v>
      </c>
      <c r="V63" s="148" t="str">
        <f>IFERROR(__xludf.DUMMYFUNCTION("""COMPUTED_VALUE"""),"[]")</f>
        <v>[]</v>
      </c>
      <c r="W63" s="148">
        <f>IFERROR(__xludf.DUMMYFUNCTION("""COMPUTED_VALUE"""),1.1741003E7)</f>
        <v>11741003</v>
      </c>
      <c r="X63" s="148">
        <f>IFERROR(__xludf.DUMMYFUNCTION("""COMPUTED_VALUE"""),0.0)</f>
        <v>0</v>
      </c>
      <c r="Y63" s="148">
        <f>IFERROR(__xludf.DUMMYFUNCTION("""COMPUTED_VALUE"""),0.0)</f>
        <v>0</v>
      </c>
      <c r="Z63" s="148"/>
    </row>
    <row r="64">
      <c r="A64" s="148">
        <f>IFERROR(__xludf.DUMMYFUNCTION("""COMPUTED_VALUE"""),1.1111127E7)</f>
        <v>11111127</v>
      </c>
      <c r="B64" s="148" t="str">
        <f>IFERROR(__xludf.DUMMYFUNCTION("""COMPUTED_VALUE"""),"2小时建筑加速")</f>
        <v>2小时建筑加速</v>
      </c>
      <c r="C64" s="148"/>
      <c r="D64" s="148" t="str">
        <f>IFERROR(__xludf.DUMMYFUNCTION("""COMPUTED_VALUE"""),"item_speedup")</f>
        <v>item_speedup</v>
      </c>
      <c r="E64" s="148">
        <f>IFERROR(__xludf.DUMMYFUNCTION("""COMPUTED_VALUE"""),4.0)</f>
        <v>4</v>
      </c>
      <c r="F64" s="148">
        <f>IFERROR(__xludf.DUMMYFUNCTION("""COMPUTED_VALUE"""),203307.0)</f>
        <v>203307</v>
      </c>
      <c r="G64" s="148">
        <f>IFERROR(__xludf.DUMMYFUNCTION("""COMPUTED_VALUE"""),1.511257E7)</f>
        <v>15112570</v>
      </c>
      <c r="H64" s="148">
        <f>IFERROR(__xludf.DUMMYFUNCTION("""COMPUTED_VALUE"""),1.5112562E7)</f>
        <v>15112562</v>
      </c>
      <c r="I64" s="148" t="str">
        <f>IFERROR(__xludf.DUMMYFUNCTION("""COMPUTED_VALUE"""),"{""typ"":""lc"",""txt"":""LC_ITEM_time_h_upper_show"",""args"":[{""typ"":""int"",""val"":2}]}")</f>
        <v>{"typ":"lc","txt":"LC_ITEM_time_h_upper_show","args":[{"typ":"int","val":2}]}</v>
      </c>
      <c r="J64" s="148" t="str">
        <f>IFERROR(__xludf.DUMMYFUNCTION("""COMPUTED_VALUE"""),"{""typ"":""lc"",""txt"":""LC_ITEM_speedup_build2_name"",""args"":[{""typ"":""int"",""val"":2}]}")</f>
        <v>{"typ":"lc","txt":"LC_ITEM_speedup_build2_name","args":[{"typ":"int","val":2}]}</v>
      </c>
      <c r="K64" s="148" t="str">
        <f>IFERROR(__xludf.DUMMYFUNCTION("""COMPUTED_VALUE"""),"{""typ"":""lc"",""txt"":""LC_ITEM_speedup_build2_desc"",""args"":[{""typ"":""int"",""val"":2}]}")</f>
        <v>{"typ":"lc","txt":"LC_ITEM_speedup_build2_desc","args":[{"typ":"int","val":2}]}</v>
      </c>
      <c r="L64" s="148" t="str">
        <f>IFERROR(__xludf.DUMMYFUNCTION("""COMPUTED_VALUE"""),"{""typ"":""lc"",""txt"":""LC_ITEM_speedup_build2_usedtip"",""args"":[{""typ"":""int"",""val"":2}]}")</f>
        <v>{"typ":"lc","txt":"LC_ITEM_speedup_build2_usedtip","args":[{"typ":"int","val":2}]}</v>
      </c>
      <c r="M64" s="148">
        <f>IFERROR(__xludf.DUMMYFUNCTION("""COMPUTED_VALUE"""),200.0)</f>
        <v>200</v>
      </c>
      <c r="N64" s="148">
        <f>IFERROR(__xludf.DUMMYFUNCTION("""COMPUTED_VALUE"""),999999.0)</f>
        <v>999999</v>
      </c>
      <c r="O64" s="148">
        <f>IFERROR(__xludf.DUMMYFUNCTION("""COMPUTED_VALUE"""),99999.0)</f>
        <v>99999</v>
      </c>
      <c r="P64" s="148">
        <f>IFERROR(__xludf.DUMMYFUNCTION("""COMPUTED_VALUE"""),99999.0)</f>
        <v>99999</v>
      </c>
      <c r="Q64" s="148" t="str">
        <f>IFERROR(__xludf.DUMMYFUNCTION("""COMPUTED_VALUE"""),"[""bag_speedup"",""speed_build""]")</f>
        <v>["bag_speedup","speed_build"]</v>
      </c>
      <c r="R64" s="148" t="str">
        <f>IFERROR(__xludf.DUMMYFUNCTION("""COMPUTED_VALUE"""),"[""speed_build""]")</f>
        <v>["speed_build"]</v>
      </c>
      <c r="S64" s="148" t="str">
        <f>IFERROR(__xludf.DUMMYFUNCTION("""COMPUTED_VALUE"""),"{""effect"":[{""typ"":""speedup"",""id"":11241002,""val"":7200000}]}")</f>
        <v>{"effect":[{"typ":"speedup","id":11241002,"val":7200000}]}</v>
      </c>
      <c r="T64" s="148">
        <f>IFERROR(__xludf.DUMMYFUNCTION("""COMPUTED_VALUE"""),-1.0)</f>
        <v>-1</v>
      </c>
      <c r="U64" s="148">
        <f>IFERROR(__xludf.DUMMYFUNCTION("""COMPUTED_VALUE"""),0.0)</f>
        <v>0</v>
      </c>
      <c r="V64" s="148" t="str">
        <f>IFERROR(__xludf.DUMMYFUNCTION("""COMPUTED_VALUE"""),"[]")</f>
        <v>[]</v>
      </c>
      <c r="W64" s="148">
        <f>IFERROR(__xludf.DUMMYFUNCTION("""COMPUTED_VALUE"""),1.1741003E7)</f>
        <v>11741003</v>
      </c>
      <c r="X64" s="148">
        <f>IFERROR(__xludf.DUMMYFUNCTION("""COMPUTED_VALUE"""),0.0)</f>
        <v>0</v>
      </c>
      <c r="Y64" s="148">
        <f>IFERROR(__xludf.DUMMYFUNCTION("""COMPUTED_VALUE"""),0.0)</f>
        <v>0</v>
      </c>
      <c r="Z64" s="148"/>
    </row>
    <row r="65">
      <c r="A65" s="148">
        <f>IFERROR(__xludf.DUMMYFUNCTION("""COMPUTED_VALUE"""),1.1111128E7)</f>
        <v>11111128</v>
      </c>
      <c r="B65" s="148" t="str">
        <f>IFERROR(__xludf.DUMMYFUNCTION("""COMPUTED_VALUE"""),"8小时建筑加速")</f>
        <v>8小时建筑加速</v>
      </c>
      <c r="C65" s="148"/>
      <c r="D65" s="148" t="str">
        <f>IFERROR(__xludf.DUMMYFUNCTION("""COMPUTED_VALUE"""),"item_speedup")</f>
        <v>item_speedup</v>
      </c>
      <c r="E65" s="148">
        <f>IFERROR(__xludf.DUMMYFUNCTION("""COMPUTED_VALUE"""),4.0)</f>
        <v>4</v>
      </c>
      <c r="F65" s="148">
        <f>IFERROR(__xludf.DUMMYFUNCTION("""COMPUTED_VALUE"""),203408.0)</f>
        <v>203408</v>
      </c>
      <c r="G65" s="148">
        <f>IFERROR(__xludf.DUMMYFUNCTION("""COMPUTED_VALUE"""),1.511257E7)</f>
        <v>15112570</v>
      </c>
      <c r="H65" s="148">
        <f>IFERROR(__xludf.DUMMYFUNCTION("""COMPUTED_VALUE"""),1.5112563E7)</f>
        <v>15112563</v>
      </c>
      <c r="I65" s="148" t="str">
        <f>IFERROR(__xludf.DUMMYFUNCTION("""COMPUTED_VALUE"""),"{""typ"":""lc"",""txt"":""LC_ITEM_time_h_upper_show"",""args"":[{""typ"":""int"",""val"":8}]}")</f>
        <v>{"typ":"lc","txt":"LC_ITEM_time_h_upper_show","args":[{"typ":"int","val":8}]}</v>
      </c>
      <c r="J65" s="148" t="str">
        <f>IFERROR(__xludf.DUMMYFUNCTION("""COMPUTED_VALUE"""),"{""typ"":""lc"",""txt"":""LC_ITEM_speedup_build2_name"",""args"":[{""typ"":""int"",""val"":8}]}")</f>
        <v>{"typ":"lc","txt":"LC_ITEM_speedup_build2_name","args":[{"typ":"int","val":8}]}</v>
      </c>
      <c r="K65" s="148" t="str">
        <f>IFERROR(__xludf.DUMMYFUNCTION("""COMPUTED_VALUE"""),"{""typ"":""lc"",""txt"":""LC_ITEM_speedup_build2_desc"",""args"":[{""typ"":""int"",""val"":8}]}")</f>
        <v>{"typ":"lc","txt":"LC_ITEM_speedup_build2_desc","args":[{"typ":"int","val":8}]}</v>
      </c>
      <c r="L65" s="148" t="str">
        <f>IFERROR(__xludf.DUMMYFUNCTION("""COMPUTED_VALUE"""),"{""typ"":""lc"",""txt"":""LC_ITEM_speedup_build2_usedtip"",""args"":[{""typ"":""int"",""val"":8}]}")</f>
        <v>{"typ":"lc","txt":"LC_ITEM_speedup_build2_usedtip","args":[{"typ":"int","val":8}]}</v>
      </c>
      <c r="M65" s="148">
        <f>IFERROR(__xludf.DUMMYFUNCTION("""COMPUTED_VALUE"""),750.0)</f>
        <v>750</v>
      </c>
      <c r="N65" s="148">
        <f>IFERROR(__xludf.DUMMYFUNCTION("""COMPUTED_VALUE"""),999999.0)</f>
        <v>999999</v>
      </c>
      <c r="O65" s="148">
        <f>IFERROR(__xludf.DUMMYFUNCTION("""COMPUTED_VALUE"""),99999.0)</f>
        <v>99999</v>
      </c>
      <c r="P65" s="148">
        <f>IFERROR(__xludf.DUMMYFUNCTION("""COMPUTED_VALUE"""),99999.0)</f>
        <v>99999</v>
      </c>
      <c r="Q65" s="148" t="str">
        <f>IFERROR(__xludf.DUMMYFUNCTION("""COMPUTED_VALUE"""),"[""bag_speedup"",""speed_build""]")</f>
        <v>["bag_speedup","speed_build"]</v>
      </c>
      <c r="R65" s="148" t="str">
        <f>IFERROR(__xludf.DUMMYFUNCTION("""COMPUTED_VALUE"""),"[""speed_build""]")</f>
        <v>["speed_build"]</v>
      </c>
      <c r="S65" s="148" t="str">
        <f>IFERROR(__xludf.DUMMYFUNCTION("""COMPUTED_VALUE"""),"{""effect"":[{""typ"":""speedup"",""id"":11241002,""val"":28800000}]}")</f>
        <v>{"effect":[{"typ":"speedup","id":11241002,"val":28800000}]}</v>
      </c>
      <c r="T65" s="148">
        <f>IFERROR(__xludf.DUMMYFUNCTION("""COMPUTED_VALUE"""),-1.0)</f>
        <v>-1</v>
      </c>
      <c r="U65" s="148">
        <f>IFERROR(__xludf.DUMMYFUNCTION("""COMPUTED_VALUE"""),0.0)</f>
        <v>0</v>
      </c>
      <c r="V65" s="148" t="str">
        <f>IFERROR(__xludf.DUMMYFUNCTION("""COMPUTED_VALUE"""),"[]")</f>
        <v>[]</v>
      </c>
      <c r="W65" s="148">
        <f>IFERROR(__xludf.DUMMYFUNCTION("""COMPUTED_VALUE"""),1.1741003E7)</f>
        <v>11741003</v>
      </c>
      <c r="X65" s="148">
        <f>IFERROR(__xludf.DUMMYFUNCTION("""COMPUTED_VALUE"""),0.0)</f>
        <v>0</v>
      </c>
      <c r="Y65" s="148">
        <f>IFERROR(__xludf.DUMMYFUNCTION("""COMPUTED_VALUE"""),0.0)</f>
        <v>0</v>
      </c>
      <c r="Z65" s="148"/>
    </row>
    <row r="66">
      <c r="A66" s="148">
        <f>IFERROR(__xludf.DUMMYFUNCTION("""COMPUTED_VALUE"""),1.1111129E7)</f>
        <v>11111129</v>
      </c>
      <c r="B66" s="148" t="str">
        <f>IFERROR(__xludf.DUMMYFUNCTION("""COMPUTED_VALUE"""),"12小时建筑加速")</f>
        <v>12小时建筑加速</v>
      </c>
      <c r="C66" s="148"/>
      <c r="D66" s="148" t="str">
        <f>IFERROR(__xludf.DUMMYFUNCTION("""COMPUTED_VALUE"""),"item_speedup")</f>
        <v>item_speedup</v>
      </c>
      <c r="E66" s="148">
        <f>IFERROR(__xludf.DUMMYFUNCTION("""COMPUTED_VALUE"""),4.0)</f>
        <v>4</v>
      </c>
      <c r="F66" s="148">
        <f>IFERROR(__xludf.DUMMYFUNCTION("""COMPUTED_VALUE"""),203409.0)</f>
        <v>203409</v>
      </c>
      <c r="G66" s="148">
        <f>IFERROR(__xludf.DUMMYFUNCTION("""COMPUTED_VALUE"""),1.511257E7)</f>
        <v>15112570</v>
      </c>
      <c r="H66" s="148">
        <f>IFERROR(__xludf.DUMMYFUNCTION("""COMPUTED_VALUE"""),1.5112563E7)</f>
        <v>15112563</v>
      </c>
      <c r="I66" s="148" t="str">
        <f>IFERROR(__xludf.DUMMYFUNCTION("""COMPUTED_VALUE"""),"{""typ"":""lc"",""txt"":""LC_ITEM_time_h_upper_show"",""args"":[{""typ"":""int"",""val"":12}]}")</f>
        <v>{"typ":"lc","txt":"LC_ITEM_time_h_upper_show","args":[{"typ":"int","val":12}]}</v>
      </c>
      <c r="J66" s="148" t="str">
        <f>IFERROR(__xludf.DUMMYFUNCTION("""COMPUTED_VALUE"""),"{""typ"":""lc"",""txt"":""LC_ITEM_speedup_build2_name"",""args"":[{""typ"":""int"",""val"":12}]}")</f>
        <v>{"typ":"lc","txt":"LC_ITEM_speedup_build2_name","args":[{"typ":"int","val":12}]}</v>
      </c>
      <c r="K66" s="148" t="str">
        <f>IFERROR(__xludf.DUMMYFUNCTION("""COMPUTED_VALUE"""),"{""typ"":""lc"",""txt"":""LC_ITEM_speedup_build2_desc"",""args"":[{""typ"":""int"",""val"":12}]}")</f>
        <v>{"typ":"lc","txt":"LC_ITEM_speedup_build2_desc","args":[{"typ":"int","val":12}]}</v>
      </c>
      <c r="L66" s="148" t="str">
        <f>IFERROR(__xludf.DUMMYFUNCTION("""COMPUTED_VALUE"""),"{""typ"":""lc"",""txt"":""LC_ITEM_speedup_build2_usedtip"",""args"":[{""typ"":""int"",""val"":12}]}")</f>
        <v>{"typ":"lc","txt":"LC_ITEM_speedup_build2_usedtip","args":[{"typ":"int","val":12}]}</v>
      </c>
      <c r="M66" s="148">
        <f>IFERROR(__xludf.DUMMYFUNCTION("""COMPUTED_VALUE"""),1100.0)</f>
        <v>1100</v>
      </c>
      <c r="N66" s="148">
        <f>IFERROR(__xludf.DUMMYFUNCTION("""COMPUTED_VALUE"""),999999.0)</f>
        <v>999999</v>
      </c>
      <c r="O66" s="148">
        <f>IFERROR(__xludf.DUMMYFUNCTION("""COMPUTED_VALUE"""),99999.0)</f>
        <v>99999</v>
      </c>
      <c r="P66" s="148">
        <f>IFERROR(__xludf.DUMMYFUNCTION("""COMPUTED_VALUE"""),99999.0)</f>
        <v>99999</v>
      </c>
      <c r="Q66" s="148" t="str">
        <f>IFERROR(__xludf.DUMMYFUNCTION("""COMPUTED_VALUE"""),"[""bag_speedup"",""speed_build""]")</f>
        <v>["bag_speedup","speed_build"]</v>
      </c>
      <c r="R66" s="148" t="str">
        <f>IFERROR(__xludf.DUMMYFUNCTION("""COMPUTED_VALUE"""),"[""speed_build""]")</f>
        <v>["speed_build"]</v>
      </c>
      <c r="S66" s="148" t="str">
        <f>IFERROR(__xludf.DUMMYFUNCTION("""COMPUTED_VALUE"""),"{""effect"":[{""typ"":""speedup"",""id"":11241002,""val"":43200000}]}")</f>
        <v>{"effect":[{"typ":"speedup","id":11241002,"val":43200000}]}</v>
      </c>
      <c r="T66" s="148">
        <f>IFERROR(__xludf.DUMMYFUNCTION("""COMPUTED_VALUE"""),-1.0)</f>
        <v>-1</v>
      </c>
      <c r="U66" s="148">
        <f>IFERROR(__xludf.DUMMYFUNCTION("""COMPUTED_VALUE"""),0.0)</f>
        <v>0</v>
      </c>
      <c r="V66" s="148" t="str">
        <f>IFERROR(__xludf.DUMMYFUNCTION("""COMPUTED_VALUE"""),"[]")</f>
        <v>[]</v>
      </c>
      <c r="W66" s="148">
        <f>IFERROR(__xludf.DUMMYFUNCTION("""COMPUTED_VALUE"""),1.1741003E7)</f>
        <v>11741003</v>
      </c>
      <c r="X66" s="148">
        <f>IFERROR(__xludf.DUMMYFUNCTION("""COMPUTED_VALUE"""),0.0)</f>
        <v>0</v>
      </c>
      <c r="Y66" s="148">
        <f>IFERROR(__xludf.DUMMYFUNCTION("""COMPUTED_VALUE"""),0.0)</f>
        <v>0</v>
      </c>
      <c r="Z66" s="148"/>
    </row>
    <row r="67">
      <c r="A67" s="148">
        <f>IFERROR(__xludf.DUMMYFUNCTION("""COMPUTED_VALUE"""),1.111113E7)</f>
        <v>11111130</v>
      </c>
      <c r="B67" s="148" t="str">
        <f>IFERROR(__xludf.DUMMYFUNCTION("""COMPUTED_VALUE"""),"24小时建筑加速")</f>
        <v>24小时建筑加速</v>
      </c>
      <c r="C67" s="148"/>
      <c r="D67" s="148" t="str">
        <f>IFERROR(__xludf.DUMMYFUNCTION("""COMPUTED_VALUE"""),"item_speedup")</f>
        <v>item_speedup</v>
      </c>
      <c r="E67" s="148">
        <f>IFERROR(__xludf.DUMMYFUNCTION("""COMPUTED_VALUE"""),4.0)</f>
        <v>4</v>
      </c>
      <c r="F67" s="148">
        <f>IFERROR(__xludf.DUMMYFUNCTION("""COMPUTED_VALUE"""),203410.0)</f>
        <v>203410</v>
      </c>
      <c r="G67" s="148">
        <f>IFERROR(__xludf.DUMMYFUNCTION("""COMPUTED_VALUE"""),1.511257E7)</f>
        <v>15112570</v>
      </c>
      <c r="H67" s="148">
        <f>IFERROR(__xludf.DUMMYFUNCTION("""COMPUTED_VALUE"""),1.5112563E7)</f>
        <v>15112563</v>
      </c>
      <c r="I67" s="148" t="str">
        <f>IFERROR(__xludf.DUMMYFUNCTION("""COMPUTED_VALUE"""),"{""typ"":""lc"",""txt"":""LC_ITEM_time_h_upper_show"",""args"":[{""typ"":""int"",""val"":24}]}")</f>
        <v>{"typ":"lc","txt":"LC_ITEM_time_h_upper_show","args":[{"typ":"int","val":24}]}</v>
      </c>
      <c r="J67" s="148" t="str">
        <f>IFERROR(__xludf.DUMMYFUNCTION("""COMPUTED_VALUE"""),"{""typ"":""lc"",""txt"":""LC_ITEM_speedup_build2_name"",""args"":[{""typ"":""int"",""val"":24}]}")</f>
        <v>{"typ":"lc","txt":"LC_ITEM_speedup_build2_name","args":[{"typ":"int","val":24}]}</v>
      </c>
      <c r="K67" s="148" t="str">
        <f>IFERROR(__xludf.DUMMYFUNCTION("""COMPUTED_VALUE"""),"{""typ"":""lc"",""txt"":""LC_ITEM_speedup_build2_desc"",""args"":[{""typ"":""int"",""val"":24}]}")</f>
        <v>{"typ":"lc","txt":"LC_ITEM_speedup_build2_desc","args":[{"typ":"int","val":24}]}</v>
      </c>
      <c r="L67" s="148" t="str">
        <f>IFERROR(__xludf.DUMMYFUNCTION("""COMPUTED_VALUE"""),"{""typ"":""lc"",""txt"":""LC_ITEM_speedup_build2_usedtip"",""args"":[{""typ"":""int"",""val"":24}]}")</f>
        <v>{"typ":"lc","txt":"LC_ITEM_speedup_build2_usedtip","args":[{"typ":"int","val":24}]}</v>
      </c>
      <c r="M67" s="148">
        <f>IFERROR(__xludf.DUMMYFUNCTION("""COMPUTED_VALUE"""),2000.0)</f>
        <v>2000</v>
      </c>
      <c r="N67" s="148">
        <f>IFERROR(__xludf.DUMMYFUNCTION("""COMPUTED_VALUE"""),999999.0)</f>
        <v>999999</v>
      </c>
      <c r="O67" s="148">
        <f>IFERROR(__xludf.DUMMYFUNCTION("""COMPUTED_VALUE"""),99999.0)</f>
        <v>99999</v>
      </c>
      <c r="P67" s="148">
        <f>IFERROR(__xludf.DUMMYFUNCTION("""COMPUTED_VALUE"""),99999.0)</f>
        <v>99999</v>
      </c>
      <c r="Q67" s="148" t="str">
        <f>IFERROR(__xludf.DUMMYFUNCTION("""COMPUTED_VALUE"""),"[""bag_speedup"",""speed_build""]")</f>
        <v>["bag_speedup","speed_build"]</v>
      </c>
      <c r="R67" s="148" t="str">
        <f>IFERROR(__xludf.DUMMYFUNCTION("""COMPUTED_VALUE"""),"[""speed_build""]")</f>
        <v>["speed_build"]</v>
      </c>
      <c r="S67" s="148" t="str">
        <f>IFERROR(__xludf.DUMMYFUNCTION("""COMPUTED_VALUE"""),"{""effect"":[{""typ"":""speedup"",""id"":11241002,""val"":86400000}]}")</f>
        <v>{"effect":[{"typ":"speedup","id":11241002,"val":86400000}]}</v>
      </c>
      <c r="T67" s="148">
        <f>IFERROR(__xludf.DUMMYFUNCTION("""COMPUTED_VALUE"""),-1.0)</f>
        <v>-1</v>
      </c>
      <c r="U67" s="148">
        <f>IFERROR(__xludf.DUMMYFUNCTION("""COMPUTED_VALUE"""),0.0)</f>
        <v>0</v>
      </c>
      <c r="V67" s="148" t="str">
        <f>IFERROR(__xludf.DUMMYFUNCTION("""COMPUTED_VALUE"""),"[]")</f>
        <v>[]</v>
      </c>
      <c r="W67" s="148">
        <f>IFERROR(__xludf.DUMMYFUNCTION("""COMPUTED_VALUE"""),1.1741003E7)</f>
        <v>11741003</v>
      </c>
      <c r="X67" s="148">
        <f>IFERROR(__xludf.DUMMYFUNCTION("""COMPUTED_VALUE"""),0.0)</f>
        <v>0</v>
      </c>
      <c r="Y67" s="148">
        <f>IFERROR(__xludf.DUMMYFUNCTION("""COMPUTED_VALUE"""),0.0)</f>
        <v>0</v>
      </c>
      <c r="Z67" s="148"/>
    </row>
    <row r="68">
      <c r="A68" s="148">
        <f>IFERROR(__xludf.DUMMYFUNCTION("""COMPUTED_VALUE"""),1.1111131E7)</f>
        <v>11111131</v>
      </c>
      <c r="B68" s="148" t="str">
        <f>IFERROR(__xludf.DUMMYFUNCTION("""COMPUTED_VALUE"""),"1分钟科研加速")</f>
        <v>1分钟科研加速</v>
      </c>
      <c r="C68" s="148"/>
      <c r="D68" s="148" t="str">
        <f>IFERROR(__xludf.DUMMYFUNCTION("""COMPUTED_VALUE"""),"item_speedup")</f>
        <v>item_speedup</v>
      </c>
      <c r="E68" s="148">
        <f>IFERROR(__xludf.DUMMYFUNCTION("""COMPUTED_VALUE"""),5.0)</f>
        <v>5</v>
      </c>
      <c r="F68" s="148">
        <f>IFERROR(__xludf.DUMMYFUNCTION("""COMPUTED_VALUE"""),204101.0)</f>
        <v>204101</v>
      </c>
      <c r="G68" s="148">
        <f>IFERROR(__xludf.DUMMYFUNCTION("""COMPUTED_VALUE"""),1.5112583E7)</f>
        <v>15112583</v>
      </c>
      <c r="H68" s="148">
        <f>IFERROR(__xludf.DUMMYFUNCTION("""COMPUTED_VALUE"""),1.511256E7)</f>
        <v>15112560</v>
      </c>
      <c r="I68" s="148" t="str">
        <f>IFERROR(__xludf.DUMMYFUNCTION("""COMPUTED_VALUE"""),"{""typ"":""lc"",""txt"":""LC_ITEM_time_min_upper_show"",""args"":[{""typ"":""int"",""val"":1}]}")</f>
        <v>{"typ":"lc","txt":"LC_ITEM_time_min_upper_show","args":[{"typ":"int","val":1}]}</v>
      </c>
      <c r="J68" s="148" t="str">
        <f>IFERROR(__xludf.DUMMYFUNCTION("""COMPUTED_VALUE"""),"{""typ"":""lc"",""txt"":""LC_ITEM_speedup_research_name"",""args"":[{""typ"":""int"",""val"":1}]}")</f>
        <v>{"typ":"lc","txt":"LC_ITEM_speedup_research_name","args":[{"typ":"int","val":1}]}</v>
      </c>
      <c r="K68" s="148" t="str">
        <f>IFERROR(__xludf.DUMMYFUNCTION("""COMPUTED_VALUE"""),"{""typ"":""lc"",""txt"":""LC_ITEM_speedup_research_desc"",""args"":[{""typ"":""int"",""val"":1}]}")</f>
        <v>{"typ":"lc","txt":"LC_ITEM_speedup_research_desc","args":[{"typ":"int","val":1}]}</v>
      </c>
      <c r="L68" s="148" t="str">
        <f>IFERROR(__xludf.DUMMYFUNCTION("""COMPUTED_VALUE"""),"{""typ"":""lc"",""txt"":""LC_ITEM_speedup_research_usedtip"",""args"":[{""typ"":""int"",""val"":1}]}")</f>
        <v>{"typ":"lc","txt":"LC_ITEM_speedup_research_usedtip","args":[{"typ":"int","val":1}]}</v>
      </c>
      <c r="M68" s="148">
        <f>IFERROR(__xludf.DUMMYFUNCTION("""COMPUTED_VALUE"""),3.0)</f>
        <v>3</v>
      </c>
      <c r="N68" s="148">
        <f>IFERROR(__xludf.DUMMYFUNCTION("""COMPUTED_VALUE"""),999999.0)</f>
        <v>999999</v>
      </c>
      <c r="O68" s="148">
        <f>IFERROR(__xludf.DUMMYFUNCTION("""COMPUTED_VALUE"""),99999.0)</f>
        <v>99999</v>
      </c>
      <c r="P68" s="148">
        <f>IFERROR(__xludf.DUMMYFUNCTION("""COMPUTED_VALUE"""),99999.0)</f>
        <v>99999</v>
      </c>
      <c r="Q68" s="148" t="str">
        <f>IFERROR(__xludf.DUMMYFUNCTION("""COMPUTED_VALUE"""),"[""bag_speedup"",""speed_research""]")</f>
        <v>["bag_speedup","speed_research"]</v>
      </c>
      <c r="R68" s="148" t="str">
        <f>IFERROR(__xludf.DUMMYFUNCTION("""COMPUTED_VALUE"""),"[""speed_research""]")</f>
        <v>["speed_research"]</v>
      </c>
      <c r="S68" s="148" t="str">
        <f>IFERROR(__xludf.DUMMYFUNCTION("""COMPUTED_VALUE"""),"{""effect"":[{""typ"":""speedup"",""id"":11241003,""val"":60000}]}")</f>
        <v>{"effect":[{"typ":"speedup","id":11241003,"val":60000}]}</v>
      </c>
      <c r="T68" s="148">
        <f>IFERROR(__xludf.DUMMYFUNCTION("""COMPUTED_VALUE"""),-1.0)</f>
        <v>-1</v>
      </c>
      <c r="U68" s="148">
        <f>IFERROR(__xludf.DUMMYFUNCTION("""COMPUTED_VALUE"""),0.0)</f>
        <v>0</v>
      </c>
      <c r="V68" s="148" t="str">
        <f>IFERROR(__xludf.DUMMYFUNCTION("""COMPUTED_VALUE"""),"[]")</f>
        <v>[]</v>
      </c>
      <c r="W68" s="148">
        <f>IFERROR(__xludf.DUMMYFUNCTION("""COMPUTED_VALUE"""),1.1741003E7)</f>
        <v>11741003</v>
      </c>
      <c r="X68" s="148">
        <f>IFERROR(__xludf.DUMMYFUNCTION("""COMPUTED_VALUE"""),0.0)</f>
        <v>0</v>
      </c>
      <c r="Y68" s="148">
        <f>IFERROR(__xludf.DUMMYFUNCTION("""COMPUTED_VALUE"""),0.0)</f>
        <v>0</v>
      </c>
      <c r="Z68" s="148"/>
    </row>
    <row r="69">
      <c r="A69" s="148">
        <f>IFERROR(__xludf.DUMMYFUNCTION("""COMPUTED_VALUE"""),1.1111132E7)</f>
        <v>11111132</v>
      </c>
      <c r="B69" s="148" t="str">
        <f>IFERROR(__xludf.DUMMYFUNCTION("""COMPUTED_VALUE"""),"5分钟科研加速")</f>
        <v>5分钟科研加速</v>
      </c>
      <c r="C69" s="148"/>
      <c r="D69" s="148" t="str">
        <f>IFERROR(__xludf.DUMMYFUNCTION("""COMPUTED_VALUE"""),"item_speedup")</f>
        <v>item_speedup</v>
      </c>
      <c r="E69" s="148">
        <f>IFERROR(__xludf.DUMMYFUNCTION("""COMPUTED_VALUE"""),5.0)</f>
        <v>5</v>
      </c>
      <c r="F69" s="148">
        <f>IFERROR(__xludf.DUMMYFUNCTION("""COMPUTED_VALUE"""),204202.0)</f>
        <v>204202</v>
      </c>
      <c r="G69" s="148">
        <f>IFERROR(__xludf.DUMMYFUNCTION("""COMPUTED_VALUE"""),1.5112583E7)</f>
        <v>15112583</v>
      </c>
      <c r="H69" s="148">
        <f>IFERROR(__xludf.DUMMYFUNCTION("""COMPUTED_VALUE"""),1.5112561E7)</f>
        <v>15112561</v>
      </c>
      <c r="I69" s="148" t="str">
        <f>IFERROR(__xludf.DUMMYFUNCTION("""COMPUTED_VALUE"""),"{""typ"":""lc"",""txt"":""LC_ITEM_time_min_upper_show"",""args"":[{""typ"":""int"",""val"":5}]}")</f>
        <v>{"typ":"lc","txt":"LC_ITEM_time_min_upper_show","args":[{"typ":"int","val":5}]}</v>
      </c>
      <c r="J69" s="148" t="str">
        <f>IFERROR(__xludf.DUMMYFUNCTION("""COMPUTED_VALUE"""),"{""typ"":""lc"",""txt"":""LC_ITEM_speedup_research_name"",""args"":[{""typ"":""int"",""val"":5}]}")</f>
        <v>{"typ":"lc","txt":"LC_ITEM_speedup_research_name","args":[{"typ":"int","val":5}]}</v>
      </c>
      <c r="K69" s="148" t="str">
        <f>IFERROR(__xludf.DUMMYFUNCTION("""COMPUTED_VALUE"""),"{""typ"":""lc"",""txt"":""LC_ITEM_speedup_research_desc"",""args"":[{""typ"":""int"",""val"":5}]}")</f>
        <v>{"typ":"lc","txt":"LC_ITEM_speedup_research_desc","args":[{"typ":"int","val":5}]}</v>
      </c>
      <c r="L69" s="148" t="str">
        <f>IFERROR(__xludf.DUMMYFUNCTION("""COMPUTED_VALUE"""),"{""typ"":""lc"",""txt"":""LC_ITEM_speedup_research_usedtip"",""args"":[{""typ"":""int"",""val"":5}]}")</f>
        <v>{"typ":"lc","txt":"LC_ITEM_speedup_research_usedtip","args":[{"typ":"int","val":5}]}</v>
      </c>
      <c r="M69" s="148">
        <f>IFERROR(__xludf.DUMMYFUNCTION("""COMPUTED_VALUE"""),12.0)</f>
        <v>12</v>
      </c>
      <c r="N69" s="148">
        <f>IFERROR(__xludf.DUMMYFUNCTION("""COMPUTED_VALUE"""),999999.0)</f>
        <v>999999</v>
      </c>
      <c r="O69" s="148">
        <f>IFERROR(__xludf.DUMMYFUNCTION("""COMPUTED_VALUE"""),99999.0)</f>
        <v>99999</v>
      </c>
      <c r="P69" s="148">
        <f>IFERROR(__xludf.DUMMYFUNCTION("""COMPUTED_VALUE"""),99999.0)</f>
        <v>99999</v>
      </c>
      <c r="Q69" s="148" t="str">
        <f>IFERROR(__xludf.DUMMYFUNCTION("""COMPUTED_VALUE"""),"[""bag_speedup"",""speed_research""]")</f>
        <v>["bag_speedup","speed_research"]</v>
      </c>
      <c r="R69" s="148" t="str">
        <f>IFERROR(__xludf.DUMMYFUNCTION("""COMPUTED_VALUE"""),"[""speed_research""]")</f>
        <v>["speed_research"]</v>
      </c>
      <c r="S69" s="148" t="str">
        <f>IFERROR(__xludf.DUMMYFUNCTION("""COMPUTED_VALUE"""),"{""effect"":[{""typ"":""speedup"",""id"":11241003,""val"":300000}]}")</f>
        <v>{"effect":[{"typ":"speedup","id":11241003,"val":300000}]}</v>
      </c>
      <c r="T69" s="148">
        <f>IFERROR(__xludf.DUMMYFUNCTION("""COMPUTED_VALUE"""),-1.0)</f>
        <v>-1</v>
      </c>
      <c r="U69" s="148">
        <f>IFERROR(__xludf.DUMMYFUNCTION("""COMPUTED_VALUE"""),0.0)</f>
        <v>0</v>
      </c>
      <c r="V69" s="148" t="str">
        <f>IFERROR(__xludf.DUMMYFUNCTION("""COMPUTED_VALUE"""),"[]")</f>
        <v>[]</v>
      </c>
      <c r="W69" s="148">
        <f>IFERROR(__xludf.DUMMYFUNCTION("""COMPUTED_VALUE"""),1.1741003E7)</f>
        <v>11741003</v>
      </c>
      <c r="X69" s="148">
        <f>IFERROR(__xludf.DUMMYFUNCTION("""COMPUTED_VALUE"""),0.0)</f>
        <v>0</v>
      </c>
      <c r="Y69" s="148">
        <f>IFERROR(__xludf.DUMMYFUNCTION("""COMPUTED_VALUE"""),0.0)</f>
        <v>0</v>
      </c>
      <c r="Z69" s="148"/>
    </row>
    <row r="70">
      <c r="A70" s="148">
        <f>IFERROR(__xludf.DUMMYFUNCTION("""COMPUTED_VALUE"""),1.1111133E7)</f>
        <v>11111133</v>
      </c>
      <c r="B70" s="148" t="str">
        <f>IFERROR(__xludf.DUMMYFUNCTION("""COMPUTED_VALUE"""),"10分钟科研加速")</f>
        <v>10分钟科研加速</v>
      </c>
      <c r="C70" s="148"/>
      <c r="D70" s="148" t="str">
        <f>IFERROR(__xludf.DUMMYFUNCTION("""COMPUTED_VALUE"""),"item_speedup")</f>
        <v>item_speedup</v>
      </c>
      <c r="E70" s="148">
        <f>IFERROR(__xludf.DUMMYFUNCTION("""COMPUTED_VALUE"""),5.0)</f>
        <v>5</v>
      </c>
      <c r="F70" s="148">
        <f>IFERROR(__xludf.DUMMYFUNCTION("""COMPUTED_VALUE"""),204203.0)</f>
        <v>204203</v>
      </c>
      <c r="G70" s="148">
        <f>IFERROR(__xludf.DUMMYFUNCTION("""COMPUTED_VALUE"""),1.5112583E7)</f>
        <v>15112583</v>
      </c>
      <c r="H70" s="148">
        <f>IFERROR(__xludf.DUMMYFUNCTION("""COMPUTED_VALUE"""),1.5112561E7)</f>
        <v>15112561</v>
      </c>
      <c r="I70" s="148" t="str">
        <f>IFERROR(__xludf.DUMMYFUNCTION("""COMPUTED_VALUE"""),"{""typ"":""lc"",""txt"":""LC_ITEM_time_min_upper_show"",""args"":[{""typ"":""int"",""val"":10}]}")</f>
        <v>{"typ":"lc","txt":"LC_ITEM_time_min_upper_show","args":[{"typ":"int","val":10}]}</v>
      </c>
      <c r="J70" s="148" t="str">
        <f>IFERROR(__xludf.DUMMYFUNCTION("""COMPUTED_VALUE"""),"{""typ"":""lc"",""txt"":""LC_ITEM_speedup_research_name"",""args"":[{""typ"":""int"",""val"":10}]}")</f>
        <v>{"typ":"lc","txt":"LC_ITEM_speedup_research_name","args":[{"typ":"int","val":10}]}</v>
      </c>
      <c r="K70" s="148" t="str">
        <f>IFERROR(__xludf.DUMMYFUNCTION("""COMPUTED_VALUE"""),"{""typ"":""lc"",""txt"":""LC_ITEM_speedup_research_desc"",""args"":[{""typ"":""int"",""val"":10}]}")</f>
        <v>{"typ":"lc","txt":"LC_ITEM_speedup_research_desc","args":[{"typ":"int","val":10}]}</v>
      </c>
      <c r="L70" s="148" t="str">
        <f>IFERROR(__xludf.DUMMYFUNCTION("""COMPUTED_VALUE"""),"{""typ"":""lc"",""txt"":""LC_ITEM_speedup_research_usedtip"",""args"":[{""typ"":""int"",""val"":10}]}")</f>
        <v>{"typ":"lc","txt":"LC_ITEM_speedup_research_usedtip","args":[{"typ":"int","val":10}]}</v>
      </c>
      <c r="M70" s="148">
        <f>IFERROR(__xludf.DUMMYFUNCTION("""COMPUTED_VALUE"""),24.0)</f>
        <v>24</v>
      </c>
      <c r="N70" s="148">
        <f>IFERROR(__xludf.DUMMYFUNCTION("""COMPUTED_VALUE"""),999999.0)</f>
        <v>999999</v>
      </c>
      <c r="O70" s="148">
        <f>IFERROR(__xludf.DUMMYFUNCTION("""COMPUTED_VALUE"""),99999.0)</f>
        <v>99999</v>
      </c>
      <c r="P70" s="148">
        <f>IFERROR(__xludf.DUMMYFUNCTION("""COMPUTED_VALUE"""),99999.0)</f>
        <v>99999</v>
      </c>
      <c r="Q70" s="148" t="str">
        <f>IFERROR(__xludf.DUMMYFUNCTION("""COMPUTED_VALUE"""),"[""bag_speedup"",""speed_research""]")</f>
        <v>["bag_speedup","speed_research"]</v>
      </c>
      <c r="R70" s="148" t="str">
        <f>IFERROR(__xludf.DUMMYFUNCTION("""COMPUTED_VALUE"""),"[""speed_research""]")</f>
        <v>["speed_research"]</v>
      </c>
      <c r="S70" s="148" t="str">
        <f>IFERROR(__xludf.DUMMYFUNCTION("""COMPUTED_VALUE"""),"{""effect"":[{""typ"":""speedup"",""id"":11241003,""val"":600000}]}")</f>
        <v>{"effect":[{"typ":"speedup","id":11241003,"val":600000}]}</v>
      </c>
      <c r="T70" s="148">
        <f>IFERROR(__xludf.DUMMYFUNCTION("""COMPUTED_VALUE"""),-1.0)</f>
        <v>-1</v>
      </c>
      <c r="U70" s="148">
        <f>IFERROR(__xludf.DUMMYFUNCTION("""COMPUTED_VALUE"""),0.0)</f>
        <v>0</v>
      </c>
      <c r="V70" s="148" t="str">
        <f>IFERROR(__xludf.DUMMYFUNCTION("""COMPUTED_VALUE"""),"[]")</f>
        <v>[]</v>
      </c>
      <c r="W70" s="148">
        <f>IFERROR(__xludf.DUMMYFUNCTION("""COMPUTED_VALUE"""),1.1741003E7)</f>
        <v>11741003</v>
      </c>
      <c r="X70" s="148">
        <f>IFERROR(__xludf.DUMMYFUNCTION("""COMPUTED_VALUE"""),0.0)</f>
        <v>0</v>
      </c>
      <c r="Y70" s="148">
        <f>IFERROR(__xludf.DUMMYFUNCTION("""COMPUTED_VALUE"""),0.0)</f>
        <v>0</v>
      </c>
      <c r="Z70" s="148"/>
    </row>
    <row r="71">
      <c r="A71" s="148">
        <f>IFERROR(__xludf.DUMMYFUNCTION("""COMPUTED_VALUE"""),1.1111134E7)</f>
        <v>11111134</v>
      </c>
      <c r="B71" s="148" t="str">
        <f>IFERROR(__xludf.DUMMYFUNCTION("""COMPUTED_VALUE"""),"15分钟科研加速")</f>
        <v>15分钟科研加速</v>
      </c>
      <c r="C71" s="148"/>
      <c r="D71" s="148" t="str">
        <f>IFERROR(__xludf.DUMMYFUNCTION("""COMPUTED_VALUE"""),"item_speedup")</f>
        <v>item_speedup</v>
      </c>
      <c r="E71" s="148">
        <f>IFERROR(__xludf.DUMMYFUNCTION("""COMPUTED_VALUE"""),5.0)</f>
        <v>5</v>
      </c>
      <c r="F71" s="148">
        <f>IFERROR(__xludf.DUMMYFUNCTION("""COMPUTED_VALUE"""),204204.0)</f>
        <v>204204</v>
      </c>
      <c r="G71" s="148">
        <f>IFERROR(__xludf.DUMMYFUNCTION("""COMPUTED_VALUE"""),1.5112583E7)</f>
        <v>15112583</v>
      </c>
      <c r="H71" s="148">
        <f>IFERROR(__xludf.DUMMYFUNCTION("""COMPUTED_VALUE"""),1.5112561E7)</f>
        <v>15112561</v>
      </c>
      <c r="I71" s="148" t="str">
        <f>IFERROR(__xludf.DUMMYFUNCTION("""COMPUTED_VALUE"""),"{""typ"":""lc"",""txt"":""LC_ITEM_time_min_upper_show"",""args"":[{""typ"":""int"",""val"":15}]}")</f>
        <v>{"typ":"lc","txt":"LC_ITEM_time_min_upper_show","args":[{"typ":"int","val":15}]}</v>
      </c>
      <c r="J71" s="148" t="str">
        <f>IFERROR(__xludf.DUMMYFUNCTION("""COMPUTED_VALUE"""),"{""typ"":""lc"",""txt"":""LC_ITEM_speedup_research_name"",""args"":[{""typ"":""int"",""val"":15}]}")</f>
        <v>{"typ":"lc","txt":"LC_ITEM_speedup_research_name","args":[{"typ":"int","val":15}]}</v>
      </c>
      <c r="K71" s="148" t="str">
        <f>IFERROR(__xludf.DUMMYFUNCTION("""COMPUTED_VALUE"""),"{""typ"":""lc"",""txt"":""LC_ITEM_speedup_research_desc"",""args"":[{""typ"":""int"",""val"":15}]}")</f>
        <v>{"typ":"lc","txt":"LC_ITEM_speedup_research_desc","args":[{"typ":"int","val":15}]}</v>
      </c>
      <c r="L71" s="148" t="str">
        <f>IFERROR(__xludf.DUMMYFUNCTION("""COMPUTED_VALUE"""),"{""typ"":""lc"",""txt"":""LC_ITEM_speedup_research_usedtip"",""args"":[{""typ"":""int"",""val"":15}]}")</f>
        <v>{"typ":"lc","txt":"LC_ITEM_speedup_research_usedtip","args":[{"typ":"int","val":15}]}</v>
      </c>
      <c r="M71" s="148">
        <f>IFERROR(__xludf.DUMMYFUNCTION("""COMPUTED_VALUE"""),35.0)</f>
        <v>35</v>
      </c>
      <c r="N71" s="148">
        <f>IFERROR(__xludf.DUMMYFUNCTION("""COMPUTED_VALUE"""),999999.0)</f>
        <v>999999</v>
      </c>
      <c r="O71" s="148">
        <f>IFERROR(__xludf.DUMMYFUNCTION("""COMPUTED_VALUE"""),99999.0)</f>
        <v>99999</v>
      </c>
      <c r="P71" s="148">
        <f>IFERROR(__xludf.DUMMYFUNCTION("""COMPUTED_VALUE"""),99999.0)</f>
        <v>99999</v>
      </c>
      <c r="Q71" s="148" t="str">
        <f>IFERROR(__xludf.DUMMYFUNCTION("""COMPUTED_VALUE"""),"[""bag_speedup"",""speed_research""]")</f>
        <v>["bag_speedup","speed_research"]</v>
      </c>
      <c r="R71" s="148" t="str">
        <f>IFERROR(__xludf.DUMMYFUNCTION("""COMPUTED_VALUE"""),"[""speed_research""]")</f>
        <v>["speed_research"]</v>
      </c>
      <c r="S71" s="148" t="str">
        <f>IFERROR(__xludf.DUMMYFUNCTION("""COMPUTED_VALUE"""),"{""effect"":[{""typ"":""speedup"",""id"":11241003,""val"":900000}]}")</f>
        <v>{"effect":[{"typ":"speedup","id":11241003,"val":900000}]}</v>
      </c>
      <c r="T71" s="148">
        <f>IFERROR(__xludf.DUMMYFUNCTION("""COMPUTED_VALUE"""),-1.0)</f>
        <v>-1</v>
      </c>
      <c r="U71" s="148">
        <f>IFERROR(__xludf.DUMMYFUNCTION("""COMPUTED_VALUE"""),0.0)</f>
        <v>0</v>
      </c>
      <c r="V71" s="148" t="str">
        <f>IFERROR(__xludf.DUMMYFUNCTION("""COMPUTED_VALUE"""),"[]")</f>
        <v>[]</v>
      </c>
      <c r="W71" s="148">
        <f>IFERROR(__xludf.DUMMYFUNCTION("""COMPUTED_VALUE"""),1.1741003E7)</f>
        <v>11741003</v>
      </c>
      <c r="X71" s="148">
        <f>IFERROR(__xludf.DUMMYFUNCTION("""COMPUTED_VALUE"""),0.0)</f>
        <v>0</v>
      </c>
      <c r="Y71" s="148">
        <f>IFERROR(__xludf.DUMMYFUNCTION("""COMPUTED_VALUE"""),0.0)</f>
        <v>0</v>
      </c>
      <c r="Z71" s="148"/>
    </row>
    <row r="72">
      <c r="A72" s="148">
        <f>IFERROR(__xludf.DUMMYFUNCTION("""COMPUTED_VALUE"""),1.1111135E7)</f>
        <v>11111135</v>
      </c>
      <c r="B72" s="148" t="str">
        <f>IFERROR(__xludf.DUMMYFUNCTION("""COMPUTED_VALUE"""),"30分钟科研加速")</f>
        <v>30分钟科研加速</v>
      </c>
      <c r="C72" s="148"/>
      <c r="D72" s="148" t="str">
        <f>IFERROR(__xludf.DUMMYFUNCTION("""COMPUTED_VALUE"""),"item_speedup")</f>
        <v>item_speedup</v>
      </c>
      <c r="E72" s="148">
        <f>IFERROR(__xludf.DUMMYFUNCTION("""COMPUTED_VALUE"""),5.0)</f>
        <v>5</v>
      </c>
      <c r="F72" s="148">
        <f>IFERROR(__xludf.DUMMYFUNCTION("""COMPUTED_VALUE"""),204305.0)</f>
        <v>204305</v>
      </c>
      <c r="G72" s="148">
        <f>IFERROR(__xludf.DUMMYFUNCTION("""COMPUTED_VALUE"""),1.5112583E7)</f>
        <v>15112583</v>
      </c>
      <c r="H72" s="148">
        <f>IFERROR(__xludf.DUMMYFUNCTION("""COMPUTED_VALUE"""),1.5112562E7)</f>
        <v>15112562</v>
      </c>
      <c r="I72" s="148" t="str">
        <f>IFERROR(__xludf.DUMMYFUNCTION("""COMPUTED_VALUE"""),"{""typ"":""lc"",""txt"":""LC_ITEM_time_min_upper_show"",""args"":[{""typ"":""int"",""val"":30}]}")</f>
        <v>{"typ":"lc","txt":"LC_ITEM_time_min_upper_show","args":[{"typ":"int","val":30}]}</v>
      </c>
      <c r="J72" s="148" t="str">
        <f>IFERROR(__xludf.DUMMYFUNCTION("""COMPUTED_VALUE"""),"{""typ"":""lc"",""txt"":""LC_ITEM_speedup_research_name"",""args"":[{""typ"":""int"",""val"":30}]}")</f>
        <v>{"typ":"lc","txt":"LC_ITEM_speedup_research_name","args":[{"typ":"int","val":30}]}</v>
      </c>
      <c r="K72" s="148" t="str">
        <f>IFERROR(__xludf.DUMMYFUNCTION("""COMPUTED_VALUE"""),"{""typ"":""lc"",""txt"":""LC_ITEM_speedup_research_desc"",""args"":[{""typ"":""int"",""val"":30}]}")</f>
        <v>{"typ":"lc","txt":"LC_ITEM_speedup_research_desc","args":[{"typ":"int","val":30}]}</v>
      </c>
      <c r="L72" s="148" t="str">
        <f>IFERROR(__xludf.DUMMYFUNCTION("""COMPUTED_VALUE"""),"{""typ"":""lc"",""txt"":""LC_ITEM_speedup_research_usedtip"",""args"":[{""typ"":""int"",""val"":30}]}")</f>
        <v>{"typ":"lc","txt":"LC_ITEM_speedup_research_usedtip","args":[{"typ":"int","val":30}]}</v>
      </c>
      <c r="M72" s="148">
        <f>IFERROR(__xludf.DUMMYFUNCTION("""COMPUTED_VALUE"""),60.0)</f>
        <v>60</v>
      </c>
      <c r="N72" s="148">
        <f>IFERROR(__xludf.DUMMYFUNCTION("""COMPUTED_VALUE"""),999999.0)</f>
        <v>999999</v>
      </c>
      <c r="O72" s="148">
        <f>IFERROR(__xludf.DUMMYFUNCTION("""COMPUTED_VALUE"""),99999.0)</f>
        <v>99999</v>
      </c>
      <c r="P72" s="148">
        <f>IFERROR(__xludf.DUMMYFUNCTION("""COMPUTED_VALUE"""),99999.0)</f>
        <v>99999</v>
      </c>
      <c r="Q72" s="148" t="str">
        <f>IFERROR(__xludf.DUMMYFUNCTION("""COMPUTED_VALUE"""),"[""bag_speedup"",""speed_research""]")</f>
        <v>["bag_speedup","speed_research"]</v>
      </c>
      <c r="R72" s="148" t="str">
        <f>IFERROR(__xludf.DUMMYFUNCTION("""COMPUTED_VALUE"""),"[""speed_research""]")</f>
        <v>["speed_research"]</v>
      </c>
      <c r="S72" s="148" t="str">
        <f>IFERROR(__xludf.DUMMYFUNCTION("""COMPUTED_VALUE"""),"{""effect"":[{""typ"":""speedup"",""id"":11241003,""val"":1800000}]}")</f>
        <v>{"effect":[{"typ":"speedup","id":11241003,"val":1800000}]}</v>
      </c>
      <c r="T72" s="148">
        <f>IFERROR(__xludf.DUMMYFUNCTION("""COMPUTED_VALUE"""),-1.0)</f>
        <v>-1</v>
      </c>
      <c r="U72" s="148">
        <f>IFERROR(__xludf.DUMMYFUNCTION("""COMPUTED_VALUE"""),0.0)</f>
        <v>0</v>
      </c>
      <c r="V72" s="148" t="str">
        <f>IFERROR(__xludf.DUMMYFUNCTION("""COMPUTED_VALUE"""),"[]")</f>
        <v>[]</v>
      </c>
      <c r="W72" s="148">
        <f>IFERROR(__xludf.DUMMYFUNCTION("""COMPUTED_VALUE"""),1.1741003E7)</f>
        <v>11741003</v>
      </c>
      <c r="X72" s="148">
        <f>IFERROR(__xludf.DUMMYFUNCTION("""COMPUTED_VALUE"""),0.0)</f>
        <v>0</v>
      </c>
      <c r="Y72" s="148">
        <f>IFERROR(__xludf.DUMMYFUNCTION("""COMPUTED_VALUE"""),0.0)</f>
        <v>0</v>
      </c>
      <c r="Z72" s="148"/>
    </row>
    <row r="73">
      <c r="A73" s="148">
        <f>IFERROR(__xludf.DUMMYFUNCTION("""COMPUTED_VALUE"""),1.1111136E7)</f>
        <v>11111136</v>
      </c>
      <c r="B73" s="148" t="str">
        <f>IFERROR(__xludf.DUMMYFUNCTION("""COMPUTED_VALUE"""),"60分钟科研加速")</f>
        <v>60分钟科研加速</v>
      </c>
      <c r="C73" s="148"/>
      <c r="D73" s="148" t="str">
        <f>IFERROR(__xludf.DUMMYFUNCTION("""COMPUTED_VALUE"""),"item_speedup")</f>
        <v>item_speedup</v>
      </c>
      <c r="E73" s="148">
        <f>IFERROR(__xludf.DUMMYFUNCTION("""COMPUTED_VALUE"""),5.0)</f>
        <v>5</v>
      </c>
      <c r="F73" s="148">
        <f>IFERROR(__xludf.DUMMYFUNCTION("""COMPUTED_VALUE"""),204306.0)</f>
        <v>204306</v>
      </c>
      <c r="G73" s="148">
        <f>IFERROR(__xludf.DUMMYFUNCTION("""COMPUTED_VALUE"""),1.5112583E7)</f>
        <v>15112583</v>
      </c>
      <c r="H73" s="148">
        <f>IFERROR(__xludf.DUMMYFUNCTION("""COMPUTED_VALUE"""),1.5112562E7)</f>
        <v>15112562</v>
      </c>
      <c r="I73" s="148" t="str">
        <f>IFERROR(__xludf.DUMMYFUNCTION("""COMPUTED_VALUE"""),"{""typ"":""lc"",""txt"":""LC_ITEM_time_h_upper_show"",""args"":[{""typ"":""int"",""val"":1}]}")</f>
        <v>{"typ":"lc","txt":"LC_ITEM_time_h_upper_show","args":[{"typ":"int","val":1}]}</v>
      </c>
      <c r="J73" s="148" t="str">
        <f>IFERROR(__xludf.DUMMYFUNCTION("""COMPUTED_VALUE"""),"{""typ"":""lc"",""txt"":""LC_ITEM_speedup_research2_name"",""args"":[{""typ"":""int"",""val"":1}]}")</f>
        <v>{"typ":"lc","txt":"LC_ITEM_speedup_research2_name","args":[{"typ":"int","val":1}]}</v>
      </c>
      <c r="K73" s="148" t="str">
        <f>IFERROR(__xludf.DUMMYFUNCTION("""COMPUTED_VALUE"""),"{""typ"":""lc"",""txt"":""LC_ITEM_speedup_research2_desc"",""args"":[{""typ"":""int"",""val"":1}]}")</f>
        <v>{"typ":"lc","txt":"LC_ITEM_speedup_research2_desc","args":[{"typ":"int","val":1}]}</v>
      </c>
      <c r="L73" s="148" t="str">
        <f>IFERROR(__xludf.DUMMYFUNCTION("""COMPUTED_VALUE"""),"{""typ"":""lc"",""txt"":""LC_ITEM_speedup_research2_usedtip"",""args"":[{""typ"":""int"",""val"":1}]}")</f>
        <v>{"typ":"lc","txt":"LC_ITEM_speedup_research2_usedtip","args":[{"typ":"int","val":1}]}</v>
      </c>
      <c r="M73" s="148">
        <f>IFERROR(__xludf.DUMMYFUNCTION("""COMPUTED_VALUE"""),100.0)</f>
        <v>100</v>
      </c>
      <c r="N73" s="148">
        <f>IFERROR(__xludf.DUMMYFUNCTION("""COMPUTED_VALUE"""),999999.0)</f>
        <v>999999</v>
      </c>
      <c r="O73" s="148">
        <f>IFERROR(__xludf.DUMMYFUNCTION("""COMPUTED_VALUE"""),99999.0)</f>
        <v>99999</v>
      </c>
      <c r="P73" s="148">
        <f>IFERROR(__xludf.DUMMYFUNCTION("""COMPUTED_VALUE"""),99999.0)</f>
        <v>99999</v>
      </c>
      <c r="Q73" s="148" t="str">
        <f>IFERROR(__xludf.DUMMYFUNCTION("""COMPUTED_VALUE"""),"[""bag_speedup"",""speed_research""]")</f>
        <v>["bag_speedup","speed_research"]</v>
      </c>
      <c r="R73" s="148" t="str">
        <f>IFERROR(__xludf.DUMMYFUNCTION("""COMPUTED_VALUE"""),"[""speed_research""]")</f>
        <v>["speed_research"]</v>
      </c>
      <c r="S73" s="148" t="str">
        <f>IFERROR(__xludf.DUMMYFUNCTION("""COMPUTED_VALUE"""),"{""effect"":[{""typ"":""speedup"",""id"":11241003,""val"":3600000}]}")</f>
        <v>{"effect":[{"typ":"speedup","id":11241003,"val":3600000}]}</v>
      </c>
      <c r="T73" s="148">
        <f>IFERROR(__xludf.DUMMYFUNCTION("""COMPUTED_VALUE"""),-1.0)</f>
        <v>-1</v>
      </c>
      <c r="U73" s="148">
        <f>IFERROR(__xludf.DUMMYFUNCTION("""COMPUTED_VALUE"""),0.0)</f>
        <v>0</v>
      </c>
      <c r="V73" s="148" t="str">
        <f>IFERROR(__xludf.DUMMYFUNCTION("""COMPUTED_VALUE"""),"[]")</f>
        <v>[]</v>
      </c>
      <c r="W73" s="148">
        <f>IFERROR(__xludf.DUMMYFUNCTION("""COMPUTED_VALUE"""),1.1741003E7)</f>
        <v>11741003</v>
      </c>
      <c r="X73" s="148">
        <f>IFERROR(__xludf.DUMMYFUNCTION("""COMPUTED_VALUE"""),0.0)</f>
        <v>0</v>
      </c>
      <c r="Y73" s="148">
        <f>IFERROR(__xludf.DUMMYFUNCTION("""COMPUTED_VALUE"""),0.0)</f>
        <v>0</v>
      </c>
      <c r="Z73" s="148"/>
    </row>
    <row r="74">
      <c r="A74" s="148">
        <f>IFERROR(__xludf.DUMMYFUNCTION("""COMPUTED_VALUE"""),1.1111137E7)</f>
        <v>11111137</v>
      </c>
      <c r="B74" s="148" t="str">
        <f>IFERROR(__xludf.DUMMYFUNCTION("""COMPUTED_VALUE"""),"2小时科研加速")</f>
        <v>2小时科研加速</v>
      </c>
      <c r="C74" s="148"/>
      <c r="D74" s="148" t="str">
        <f>IFERROR(__xludf.DUMMYFUNCTION("""COMPUTED_VALUE"""),"item_speedup")</f>
        <v>item_speedup</v>
      </c>
      <c r="E74" s="148">
        <f>IFERROR(__xludf.DUMMYFUNCTION("""COMPUTED_VALUE"""),5.0)</f>
        <v>5</v>
      </c>
      <c r="F74" s="148">
        <f>IFERROR(__xludf.DUMMYFUNCTION("""COMPUTED_VALUE"""),204307.0)</f>
        <v>204307</v>
      </c>
      <c r="G74" s="148">
        <f>IFERROR(__xludf.DUMMYFUNCTION("""COMPUTED_VALUE"""),1.5112583E7)</f>
        <v>15112583</v>
      </c>
      <c r="H74" s="148">
        <f>IFERROR(__xludf.DUMMYFUNCTION("""COMPUTED_VALUE"""),1.5112562E7)</f>
        <v>15112562</v>
      </c>
      <c r="I74" s="148" t="str">
        <f>IFERROR(__xludf.DUMMYFUNCTION("""COMPUTED_VALUE"""),"{""typ"":""lc"",""txt"":""LC_ITEM_time_h_upper_show"",""args"":[{""typ"":""int"",""val"":2}]}")</f>
        <v>{"typ":"lc","txt":"LC_ITEM_time_h_upper_show","args":[{"typ":"int","val":2}]}</v>
      </c>
      <c r="J74" s="148" t="str">
        <f>IFERROR(__xludf.DUMMYFUNCTION("""COMPUTED_VALUE"""),"{""typ"":""lc"",""txt"":""LC_ITEM_speedup_research2_name"",""args"":[{""typ"":""int"",""val"":2}]}")</f>
        <v>{"typ":"lc","txt":"LC_ITEM_speedup_research2_name","args":[{"typ":"int","val":2}]}</v>
      </c>
      <c r="K74" s="148" t="str">
        <f>IFERROR(__xludf.DUMMYFUNCTION("""COMPUTED_VALUE"""),"{""typ"":""lc"",""txt"":""LC_ITEM_speedup_research2_desc"",""args"":[{""typ"":""int"",""val"":2}]}")</f>
        <v>{"typ":"lc","txt":"LC_ITEM_speedup_research2_desc","args":[{"typ":"int","val":2}]}</v>
      </c>
      <c r="L74" s="148" t="str">
        <f>IFERROR(__xludf.DUMMYFUNCTION("""COMPUTED_VALUE"""),"{""typ"":""lc"",""txt"":""LC_ITEM_speedup_research2_usedtip"",""args"":[{""typ"":""int"",""val"":2}]}")</f>
        <v>{"typ":"lc","txt":"LC_ITEM_speedup_research2_usedtip","args":[{"typ":"int","val":2}]}</v>
      </c>
      <c r="M74" s="148">
        <f>IFERROR(__xludf.DUMMYFUNCTION("""COMPUTED_VALUE"""),200.0)</f>
        <v>200</v>
      </c>
      <c r="N74" s="148">
        <f>IFERROR(__xludf.DUMMYFUNCTION("""COMPUTED_VALUE"""),999999.0)</f>
        <v>999999</v>
      </c>
      <c r="O74" s="148">
        <f>IFERROR(__xludf.DUMMYFUNCTION("""COMPUTED_VALUE"""),99999.0)</f>
        <v>99999</v>
      </c>
      <c r="P74" s="148">
        <f>IFERROR(__xludf.DUMMYFUNCTION("""COMPUTED_VALUE"""),99999.0)</f>
        <v>99999</v>
      </c>
      <c r="Q74" s="148" t="str">
        <f>IFERROR(__xludf.DUMMYFUNCTION("""COMPUTED_VALUE"""),"[""bag_speedup"",""speed_research""]")</f>
        <v>["bag_speedup","speed_research"]</v>
      </c>
      <c r="R74" s="148" t="str">
        <f>IFERROR(__xludf.DUMMYFUNCTION("""COMPUTED_VALUE"""),"[""speed_research""]")</f>
        <v>["speed_research"]</v>
      </c>
      <c r="S74" s="148" t="str">
        <f>IFERROR(__xludf.DUMMYFUNCTION("""COMPUTED_VALUE"""),"{""effect"":[{""typ"":""speedup"",""id"":11241003,""val"":7200000}]}")</f>
        <v>{"effect":[{"typ":"speedup","id":11241003,"val":7200000}]}</v>
      </c>
      <c r="T74" s="148">
        <f>IFERROR(__xludf.DUMMYFUNCTION("""COMPUTED_VALUE"""),-1.0)</f>
        <v>-1</v>
      </c>
      <c r="U74" s="148">
        <f>IFERROR(__xludf.DUMMYFUNCTION("""COMPUTED_VALUE"""),0.0)</f>
        <v>0</v>
      </c>
      <c r="V74" s="148" t="str">
        <f>IFERROR(__xludf.DUMMYFUNCTION("""COMPUTED_VALUE"""),"[]")</f>
        <v>[]</v>
      </c>
      <c r="W74" s="148">
        <f>IFERROR(__xludf.DUMMYFUNCTION("""COMPUTED_VALUE"""),1.1741003E7)</f>
        <v>11741003</v>
      </c>
      <c r="X74" s="148">
        <f>IFERROR(__xludf.DUMMYFUNCTION("""COMPUTED_VALUE"""),0.0)</f>
        <v>0</v>
      </c>
      <c r="Y74" s="148">
        <f>IFERROR(__xludf.DUMMYFUNCTION("""COMPUTED_VALUE"""),0.0)</f>
        <v>0</v>
      </c>
      <c r="Z74" s="148"/>
    </row>
    <row r="75">
      <c r="A75" s="148">
        <f>IFERROR(__xludf.DUMMYFUNCTION("""COMPUTED_VALUE"""),1.1111138E7)</f>
        <v>11111138</v>
      </c>
      <c r="B75" s="148" t="str">
        <f>IFERROR(__xludf.DUMMYFUNCTION("""COMPUTED_VALUE"""),"8小时科研加速")</f>
        <v>8小时科研加速</v>
      </c>
      <c r="C75" s="148"/>
      <c r="D75" s="148" t="str">
        <f>IFERROR(__xludf.DUMMYFUNCTION("""COMPUTED_VALUE"""),"item_speedup")</f>
        <v>item_speedup</v>
      </c>
      <c r="E75" s="148">
        <f>IFERROR(__xludf.DUMMYFUNCTION("""COMPUTED_VALUE"""),5.0)</f>
        <v>5</v>
      </c>
      <c r="F75" s="148">
        <f>IFERROR(__xludf.DUMMYFUNCTION("""COMPUTED_VALUE"""),204408.0)</f>
        <v>204408</v>
      </c>
      <c r="G75" s="148">
        <f>IFERROR(__xludf.DUMMYFUNCTION("""COMPUTED_VALUE"""),1.5112583E7)</f>
        <v>15112583</v>
      </c>
      <c r="H75" s="148">
        <f>IFERROR(__xludf.DUMMYFUNCTION("""COMPUTED_VALUE"""),1.5112563E7)</f>
        <v>15112563</v>
      </c>
      <c r="I75" s="148" t="str">
        <f>IFERROR(__xludf.DUMMYFUNCTION("""COMPUTED_VALUE"""),"{""typ"":""lc"",""txt"":""LC_ITEM_time_h_upper_show"",""args"":[{""typ"":""int"",""val"":8}]}")</f>
        <v>{"typ":"lc","txt":"LC_ITEM_time_h_upper_show","args":[{"typ":"int","val":8}]}</v>
      </c>
      <c r="J75" s="148" t="str">
        <f>IFERROR(__xludf.DUMMYFUNCTION("""COMPUTED_VALUE"""),"{""typ"":""lc"",""txt"":""LC_ITEM_speedup_research2_name"",""args"":[{""typ"":""int"",""val"":8}]}")</f>
        <v>{"typ":"lc","txt":"LC_ITEM_speedup_research2_name","args":[{"typ":"int","val":8}]}</v>
      </c>
      <c r="K75" s="148" t="str">
        <f>IFERROR(__xludf.DUMMYFUNCTION("""COMPUTED_VALUE"""),"{""typ"":""lc"",""txt"":""LC_ITEM_speedup_research2_desc"",""args"":[{""typ"":""int"",""val"":8}]}")</f>
        <v>{"typ":"lc","txt":"LC_ITEM_speedup_research2_desc","args":[{"typ":"int","val":8}]}</v>
      </c>
      <c r="L75" s="148" t="str">
        <f>IFERROR(__xludf.DUMMYFUNCTION("""COMPUTED_VALUE"""),"{""typ"":""lc"",""txt"":""LC_ITEM_speedup_research2_usedtip"",""args"":[{""typ"":""int"",""val"":8}]}")</f>
        <v>{"typ":"lc","txt":"LC_ITEM_speedup_research2_usedtip","args":[{"typ":"int","val":8}]}</v>
      </c>
      <c r="M75" s="148">
        <f>IFERROR(__xludf.DUMMYFUNCTION("""COMPUTED_VALUE"""),750.0)</f>
        <v>750</v>
      </c>
      <c r="N75" s="148">
        <f>IFERROR(__xludf.DUMMYFUNCTION("""COMPUTED_VALUE"""),999999.0)</f>
        <v>999999</v>
      </c>
      <c r="O75" s="148">
        <f>IFERROR(__xludf.DUMMYFUNCTION("""COMPUTED_VALUE"""),99999.0)</f>
        <v>99999</v>
      </c>
      <c r="P75" s="148">
        <f>IFERROR(__xludf.DUMMYFUNCTION("""COMPUTED_VALUE"""),99999.0)</f>
        <v>99999</v>
      </c>
      <c r="Q75" s="148" t="str">
        <f>IFERROR(__xludf.DUMMYFUNCTION("""COMPUTED_VALUE"""),"[""bag_speedup"",""speed_research""]")</f>
        <v>["bag_speedup","speed_research"]</v>
      </c>
      <c r="R75" s="148" t="str">
        <f>IFERROR(__xludf.DUMMYFUNCTION("""COMPUTED_VALUE"""),"[""speed_research""]")</f>
        <v>["speed_research"]</v>
      </c>
      <c r="S75" s="148" t="str">
        <f>IFERROR(__xludf.DUMMYFUNCTION("""COMPUTED_VALUE"""),"{""effect"":[{""typ"":""speedup"",""id"":11241003,""val"":28800000}]}")</f>
        <v>{"effect":[{"typ":"speedup","id":11241003,"val":28800000}]}</v>
      </c>
      <c r="T75" s="148">
        <f>IFERROR(__xludf.DUMMYFUNCTION("""COMPUTED_VALUE"""),-1.0)</f>
        <v>-1</v>
      </c>
      <c r="U75" s="148">
        <f>IFERROR(__xludf.DUMMYFUNCTION("""COMPUTED_VALUE"""),0.0)</f>
        <v>0</v>
      </c>
      <c r="V75" s="148" t="str">
        <f>IFERROR(__xludf.DUMMYFUNCTION("""COMPUTED_VALUE"""),"[]")</f>
        <v>[]</v>
      </c>
      <c r="W75" s="148">
        <f>IFERROR(__xludf.DUMMYFUNCTION("""COMPUTED_VALUE"""),1.1741003E7)</f>
        <v>11741003</v>
      </c>
      <c r="X75" s="148">
        <f>IFERROR(__xludf.DUMMYFUNCTION("""COMPUTED_VALUE"""),0.0)</f>
        <v>0</v>
      </c>
      <c r="Y75" s="148">
        <f>IFERROR(__xludf.DUMMYFUNCTION("""COMPUTED_VALUE"""),0.0)</f>
        <v>0</v>
      </c>
      <c r="Z75" s="148"/>
    </row>
    <row r="76">
      <c r="A76" s="148">
        <f>IFERROR(__xludf.DUMMYFUNCTION("""COMPUTED_VALUE"""),1.1111139E7)</f>
        <v>11111139</v>
      </c>
      <c r="B76" s="148" t="str">
        <f>IFERROR(__xludf.DUMMYFUNCTION("""COMPUTED_VALUE"""),"12小时科研加速")</f>
        <v>12小时科研加速</v>
      </c>
      <c r="C76" s="148"/>
      <c r="D76" s="148" t="str">
        <f>IFERROR(__xludf.DUMMYFUNCTION("""COMPUTED_VALUE"""),"item_speedup")</f>
        <v>item_speedup</v>
      </c>
      <c r="E76" s="148">
        <f>IFERROR(__xludf.DUMMYFUNCTION("""COMPUTED_VALUE"""),5.0)</f>
        <v>5</v>
      </c>
      <c r="F76" s="148">
        <f>IFERROR(__xludf.DUMMYFUNCTION("""COMPUTED_VALUE"""),204409.0)</f>
        <v>204409</v>
      </c>
      <c r="G76" s="148">
        <f>IFERROR(__xludf.DUMMYFUNCTION("""COMPUTED_VALUE"""),1.5112583E7)</f>
        <v>15112583</v>
      </c>
      <c r="H76" s="148">
        <f>IFERROR(__xludf.DUMMYFUNCTION("""COMPUTED_VALUE"""),1.5112563E7)</f>
        <v>15112563</v>
      </c>
      <c r="I76" s="148" t="str">
        <f>IFERROR(__xludf.DUMMYFUNCTION("""COMPUTED_VALUE"""),"{""typ"":""lc"",""txt"":""LC_ITEM_time_h_upper_show"",""args"":[{""typ"":""int"",""val"":12}]}")</f>
        <v>{"typ":"lc","txt":"LC_ITEM_time_h_upper_show","args":[{"typ":"int","val":12}]}</v>
      </c>
      <c r="J76" s="148" t="str">
        <f>IFERROR(__xludf.DUMMYFUNCTION("""COMPUTED_VALUE"""),"{""typ"":""lc"",""txt"":""LC_ITEM_speedup_research2_name"",""args"":[{""typ"":""int"",""val"":12}]}")</f>
        <v>{"typ":"lc","txt":"LC_ITEM_speedup_research2_name","args":[{"typ":"int","val":12}]}</v>
      </c>
      <c r="K76" s="148" t="str">
        <f>IFERROR(__xludf.DUMMYFUNCTION("""COMPUTED_VALUE"""),"{""typ"":""lc"",""txt"":""LC_ITEM_speedup_research2_desc"",""args"":[{""typ"":""int"",""val"":12}]}")</f>
        <v>{"typ":"lc","txt":"LC_ITEM_speedup_research2_desc","args":[{"typ":"int","val":12}]}</v>
      </c>
      <c r="L76" s="148" t="str">
        <f>IFERROR(__xludf.DUMMYFUNCTION("""COMPUTED_VALUE"""),"{""typ"":""lc"",""txt"":""LC_ITEM_speedup_research2_usedtip"",""args"":[{""typ"":""int"",""val"":12}]}")</f>
        <v>{"typ":"lc","txt":"LC_ITEM_speedup_research2_usedtip","args":[{"typ":"int","val":12}]}</v>
      </c>
      <c r="M76" s="148">
        <f>IFERROR(__xludf.DUMMYFUNCTION("""COMPUTED_VALUE"""),1100.0)</f>
        <v>1100</v>
      </c>
      <c r="N76" s="148">
        <f>IFERROR(__xludf.DUMMYFUNCTION("""COMPUTED_VALUE"""),999999.0)</f>
        <v>999999</v>
      </c>
      <c r="O76" s="148">
        <f>IFERROR(__xludf.DUMMYFUNCTION("""COMPUTED_VALUE"""),99999.0)</f>
        <v>99999</v>
      </c>
      <c r="P76" s="148">
        <f>IFERROR(__xludf.DUMMYFUNCTION("""COMPUTED_VALUE"""),99999.0)</f>
        <v>99999</v>
      </c>
      <c r="Q76" s="148" t="str">
        <f>IFERROR(__xludf.DUMMYFUNCTION("""COMPUTED_VALUE"""),"[""bag_speedup"",""speed_research""]")</f>
        <v>["bag_speedup","speed_research"]</v>
      </c>
      <c r="R76" s="148" t="str">
        <f>IFERROR(__xludf.DUMMYFUNCTION("""COMPUTED_VALUE"""),"[""speed_research""]")</f>
        <v>["speed_research"]</v>
      </c>
      <c r="S76" s="148" t="str">
        <f>IFERROR(__xludf.DUMMYFUNCTION("""COMPUTED_VALUE"""),"{""effect"":[{""typ"":""speedup"",""id"":11241003,""val"":43200000}]}")</f>
        <v>{"effect":[{"typ":"speedup","id":11241003,"val":43200000}]}</v>
      </c>
      <c r="T76" s="148">
        <f>IFERROR(__xludf.DUMMYFUNCTION("""COMPUTED_VALUE"""),-1.0)</f>
        <v>-1</v>
      </c>
      <c r="U76" s="148">
        <f>IFERROR(__xludf.DUMMYFUNCTION("""COMPUTED_VALUE"""),0.0)</f>
        <v>0</v>
      </c>
      <c r="V76" s="148" t="str">
        <f>IFERROR(__xludf.DUMMYFUNCTION("""COMPUTED_VALUE"""),"[]")</f>
        <v>[]</v>
      </c>
      <c r="W76" s="148">
        <f>IFERROR(__xludf.DUMMYFUNCTION("""COMPUTED_VALUE"""),1.1741003E7)</f>
        <v>11741003</v>
      </c>
      <c r="X76" s="148">
        <f>IFERROR(__xludf.DUMMYFUNCTION("""COMPUTED_VALUE"""),0.0)</f>
        <v>0</v>
      </c>
      <c r="Y76" s="148">
        <f>IFERROR(__xludf.DUMMYFUNCTION("""COMPUTED_VALUE"""),0.0)</f>
        <v>0</v>
      </c>
      <c r="Z76" s="148"/>
    </row>
    <row r="77">
      <c r="A77" s="148">
        <f>IFERROR(__xludf.DUMMYFUNCTION("""COMPUTED_VALUE"""),1.111114E7)</f>
        <v>11111140</v>
      </c>
      <c r="B77" s="148" t="str">
        <f>IFERROR(__xludf.DUMMYFUNCTION("""COMPUTED_VALUE"""),"24小时科研加速")</f>
        <v>24小时科研加速</v>
      </c>
      <c r="C77" s="148"/>
      <c r="D77" s="148" t="str">
        <f>IFERROR(__xludf.DUMMYFUNCTION("""COMPUTED_VALUE"""),"item_speedup")</f>
        <v>item_speedup</v>
      </c>
      <c r="E77" s="148">
        <f>IFERROR(__xludf.DUMMYFUNCTION("""COMPUTED_VALUE"""),5.0)</f>
        <v>5</v>
      </c>
      <c r="F77" s="148">
        <f>IFERROR(__xludf.DUMMYFUNCTION("""COMPUTED_VALUE"""),204410.0)</f>
        <v>204410</v>
      </c>
      <c r="G77" s="148">
        <f>IFERROR(__xludf.DUMMYFUNCTION("""COMPUTED_VALUE"""),1.5112583E7)</f>
        <v>15112583</v>
      </c>
      <c r="H77" s="148">
        <f>IFERROR(__xludf.DUMMYFUNCTION("""COMPUTED_VALUE"""),1.5112563E7)</f>
        <v>15112563</v>
      </c>
      <c r="I77" s="148" t="str">
        <f>IFERROR(__xludf.DUMMYFUNCTION("""COMPUTED_VALUE"""),"{""typ"":""lc"",""txt"":""LC_ITEM_time_h_upper_show"",""args"":[{""typ"":""int"",""val"":24}]}")</f>
        <v>{"typ":"lc","txt":"LC_ITEM_time_h_upper_show","args":[{"typ":"int","val":24}]}</v>
      </c>
      <c r="J77" s="148" t="str">
        <f>IFERROR(__xludf.DUMMYFUNCTION("""COMPUTED_VALUE"""),"{""typ"":""lc"",""txt"":""LC_ITEM_speedup_research2_name"",""args"":[{""typ"":""int"",""val"":24}]}")</f>
        <v>{"typ":"lc","txt":"LC_ITEM_speedup_research2_name","args":[{"typ":"int","val":24}]}</v>
      </c>
      <c r="K77" s="148" t="str">
        <f>IFERROR(__xludf.DUMMYFUNCTION("""COMPUTED_VALUE"""),"{""typ"":""lc"",""txt"":""LC_ITEM_speedup_research2_desc"",""args"":[{""typ"":""int"",""val"":24}]}")</f>
        <v>{"typ":"lc","txt":"LC_ITEM_speedup_research2_desc","args":[{"typ":"int","val":24}]}</v>
      </c>
      <c r="L77" s="148" t="str">
        <f>IFERROR(__xludf.DUMMYFUNCTION("""COMPUTED_VALUE"""),"{""typ"":""lc"",""txt"":""LC_ITEM_speedup_research2_usedtip"",""args"":[{""typ"":""int"",""val"":24}]}")</f>
        <v>{"typ":"lc","txt":"LC_ITEM_speedup_research2_usedtip","args":[{"typ":"int","val":24}]}</v>
      </c>
      <c r="M77" s="148">
        <f>IFERROR(__xludf.DUMMYFUNCTION("""COMPUTED_VALUE"""),2000.0)</f>
        <v>2000</v>
      </c>
      <c r="N77" s="148">
        <f>IFERROR(__xludf.DUMMYFUNCTION("""COMPUTED_VALUE"""),999999.0)</f>
        <v>999999</v>
      </c>
      <c r="O77" s="148">
        <f>IFERROR(__xludf.DUMMYFUNCTION("""COMPUTED_VALUE"""),99999.0)</f>
        <v>99999</v>
      </c>
      <c r="P77" s="148">
        <f>IFERROR(__xludf.DUMMYFUNCTION("""COMPUTED_VALUE"""),99999.0)</f>
        <v>99999</v>
      </c>
      <c r="Q77" s="148" t="str">
        <f>IFERROR(__xludf.DUMMYFUNCTION("""COMPUTED_VALUE"""),"[""bag_speedup"",""speed_research""]")</f>
        <v>["bag_speedup","speed_research"]</v>
      </c>
      <c r="R77" s="148" t="str">
        <f>IFERROR(__xludf.DUMMYFUNCTION("""COMPUTED_VALUE"""),"[""speed_research""]")</f>
        <v>["speed_research"]</v>
      </c>
      <c r="S77" s="148" t="str">
        <f>IFERROR(__xludf.DUMMYFUNCTION("""COMPUTED_VALUE"""),"{""effect"":[{""typ"":""speedup"",""id"":11241003,""val"":86400000}]}")</f>
        <v>{"effect":[{"typ":"speedup","id":11241003,"val":86400000}]}</v>
      </c>
      <c r="T77" s="148">
        <f>IFERROR(__xludf.DUMMYFUNCTION("""COMPUTED_VALUE"""),-1.0)</f>
        <v>-1</v>
      </c>
      <c r="U77" s="148">
        <f>IFERROR(__xludf.DUMMYFUNCTION("""COMPUTED_VALUE"""),0.0)</f>
        <v>0</v>
      </c>
      <c r="V77" s="148" t="str">
        <f>IFERROR(__xludf.DUMMYFUNCTION("""COMPUTED_VALUE"""),"[]")</f>
        <v>[]</v>
      </c>
      <c r="W77" s="148">
        <f>IFERROR(__xludf.DUMMYFUNCTION("""COMPUTED_VALUE"""),1.1741003E7)</f>
        <v>11741003</v>
      </c>
      <c r="X77" s="148">
        <f>IFERROR(__xludf.DUMMYFUNCTION("""COMPUTED_VALUE"""),0.0)</f>
        <v>0</v>
      </c>
      <c r="Y77" s="148">
        <f>IFERROR(__xludf.DUMMYFUNCTION("""COMPUTED_VALUE"""),0.0)</f>
        <v>0</v>
      </c>
      <c r="Z77" s="148"/>
    </row>
    <row r="78">
      <c r="A78" s="148">
        <f>IFERROR(__xludf.DUMMYFUNCTION("""COMPUTED_VALUE"""),1.1111141E7)</f>
        <v>11111141</v>
      </c>
      <c r="B78" s="148" t="str">
        <f>IFERROR(__xludf.DUMMYFUNCTION("""COMPUTED_VALUE"""),"1分钟治疗加速")</f>
        <v>1分钟治疗加速</v>
      </c>
      <c r="C78" s="148"/>
      <c r="D78" s="148" t="str">
        <f>IFERROR(__xludf.DUMMYFUNCTION("""COMPUTED_VALUE"""),"item_speedup")</f>
        <v>item_speedup</v>
      </c>
      <c r="E78" s="148">
        <f>IFERROR(__xludf.DUMMYFUNCTION("""COMPUTED_VALUE"""),7.0)</f>
        <v>7</v>
      </c>
      <c r="F78" s="148">
        <f>IFERROR(__xludf.DUMMYFUNCTION("""COMPUTED_VALUE"""),206101.0)</f>
        <v>206101</v>
      </c>
      <c r="G78" s="148">
        <f>IFERROR(__xludf.DUMMYFUNCTION("""COMPUTED_VALUE"""),1.5112565E7)</f>
        <v>15112565</v>
      </c>
      <c r="H78" s="148">
        <f>IFERROR(__xludf.DUMMYFUNCTION("""COMPUTED_VALUE"""),1.511256E7)</f>
        <v>15112560</v>
      </c>
      <c r="I78" s="148" t="str">
        <f>IFERROR(__xludf.DUMMYFUNCTION("""COMPUTED_VALUE"""),"{""typ"":""lc"",""txt"":""LC_ITEM_time_min_upper_show"",""args"":[{""typ"":""int"",""val"":1}]}")</f>
        <v>{"typ":"lc","txt":"LC_ITEM_time_min_upper_show","args":[{"typ":"int","val":1}]}</v>
      </c>
      <c r="J78" s="148" t="str">
        <f>IFERROR(__xludf.DUMMYFUNCTION("""COMPUTED_VALUE"""),"{""typ"":""lc"",""txt"":""LC_ITEM_speedup_cure_name"",""args"":[{""typ"":""int"",""val"":1}]}")</f>
        <v>{"typ":"lc","txt":"LC_ITEM_speedup_cure_name","args":[{"typ":"int","val":1}]}</v>
      </c>
      <c r="K78" s="148" t="str">
        <f>IFERROR(__xludf.DUMMYFUNCTION("""COMPUTED_VALUE"""),"{""typ"":""lc"",""txt"":""LC_ITEM_speedup_cure_desc"",""args"":[{""typ"":""int"",""val"":1}]}")</f>
        <v>{"typ":"lc","txt":"LC_ITEM_speedup_cure_desc","args":[{"typ":"int","val":1}]}</v>
      </c>
      <c r="L78" s="148" t="str">
        <f>IFERROR(__xludf.DUMMYFUNCTION("""COMPUTED_VALUE"""),"{""typ"":""lc"",""txt"":""LC_ITEM_speedup_cure_usedtip"",""args"":[{""typ"":""int"",""val"":1}]}")</f>
        <v>{"typ":"lc","txt":"LC_ITEM_speedup_cure_usedtip","args":[{"typ":"int","val":1}]}</v>
      </c>
      <c r="M78" s="148">
        <f>IFERROR(__xludf.DUMMYFUNCTION("""COMPUTED_VALUE"""),3.0)</f>
        <v>3</v>
      </c>
      <c r="N78" s="148">
        <f>IFERROR(__xludf.DUMMYFUNCTION("""COMPUTED_VALUE"""),999999.0)</f>
        <v>999999</v>
      </c>
      <c r="O78" s="148">
        <f>IFERROR(__xludf.DUMMYFUNCTION("""COMPUTED_VALUE"""),99999.0)</f>
        <v>99999</v>
      </c>
      <c r="P78" s="148">
        <f>IFERROR(__xludf.DUMMYFUNCTION("""COMPUTED_VALUE"""),99999.0)</f>
        <v>99999</v>
      </c>
      <c r="Q78" s="148" t="str">
        <f>IFERROR(__xludf.DUMMYFUNCTION("""COMPUTED_VALUE"""),"[""bag_speedup"",""speed_heal""]")</f>
        <v>["bag_speedup","speed_heal"]</v>
      </c>
      <c r="R78" s="148" t="str">
        <f>IFERROR(__xludf.DUMMYFUNCTION("""COMPUTED_VALUE"""),"[""speed_heal"",""speed_mechaqueue""]")</f>
        <v>["speed_heal","speed_mechaqueue"]</v>
      </c>
      <c r="S78" s="148" t="str">
        <f>IFERROR(__xludf.DUMMYFUNCTION("""COMPUTED_VALUE"""),"{""effect"":[{""typ"":""speedup"",""id"":11241005,""val"":60000}]}")</f>
        <v>{"effect":[{"typ":"speedup","id":11241005,"val":60000}]}</v>
      </c>
      <c r="T78" s="148">
        <f>IFERROR(__xludf.DUMMYFUNCTION("""COMPUTED_VALUE"""),-1.0)</f>
        <v>-1</v>
      </c>
      <c r="U78" s="148">
        <f>IFERROR(__xludf.DUMMYFUNCTION("""COMPUTED_VALUE"""),0.0)</f>
        <v>0</v>
      </c>
      <c r="V78" s="148" t="str">
        <f>IFERROR(__xludf.DUMMYFUNCTION("""COMPUTED_VALUE"""),"[]")</f>
        <v>[]</v>
      </c>
      <c r="W78" s="148">
        <f>IFERROR(__xludf.DUMMYFUNCTION("""COMPUTED_VALUE"""),1.1741003E7)</f>
        <v>11741003</v>
      </c>
      <c r="X78" s="148">
        <f>IFERROR(__xludf.DUMMYFUNCTION("""COMPUTED_VALUE"""),0.0)</f>
        <v>0</v>
      </c>
      <c r="Y78" s="148">
        <f>IFERROR(__xludf.DUMMYFUNCTION("""COMPUTED_VALUE"""),0.0)</f>
        <v>0</v>
      </c>
      <c r="Z78" s="148"/>
    </row>
    <row r="79">
      <c r="A79" s="148">
        <f>IFERROR(__xludf.DUMMYFUNCTION("""COMPUTED_VALUE"""),1.1111142E7)</f>
        <v>11111142</v>
      </c>
      <c r="B79" s="148" t="str">
        <f>IFERROR(__xludf.DUMMYFUNCTION("""COMPUTED_VALUE"""),"5分钟治疗加速")</f>
        <v>5分钟治疗加速</v>
      </c>
      <c r="C79" s="148"/>
      <c r="D79" s="148" t="str">
        <f>IFERROR(__xludf.DUMMYFUNCTION("""COMPUTED_VALUE"""),"item_speedup")</f>
        <v>item_speedup</v>
      </c>
      <c r="E79" s="148">
        <f>IFERROR(__xludf.DUMMYFUNCTION("""COMPUTED_VALUE"""),7.0)</f>
        <v>7</v>
      </c>
      <c r="F79" s="148">
        <f>IFERROR(__xludf.DUMMYFUNCTION("""COMPUTED_VALUE"""),206202.0)</f>
        <v>206202</v>
      </c>
      <c r="G79" s="148">
        <f>IFERROR(__xludf.DUMMYFUNCTION("""COMPUTED_VALUE"""),1.5112565E7)</f>
        <v>15112565</v>
      </c>
      <c r="H79" s="148">
        <f>IFERROR(__xludf.DUMMYFUNCTION("""COMPUTED_VALUE"""),1.5112561E7)</f>
        <v>15112561</v>
      </c>
      <c r="I79" s="148" t="str">
        <f>IFERROR(__xludf.DUMMYFUNCTION("""COMPUTED_VALUE"""),"{""typ"":""lc"",""txt"":""LC_ITEM_time_min_upper_show"",""args"":[{""typ"":""int"",""val"":5}]}")</f>
        <v>{"typ":"lc","txt":"LC_ITEM_time_min_upper_show","args":[{"typ":"int","val":5}]}</v>
      </c>
      <c r="J79" s="148" t="str">
        <f>IFERROR(__xludf.DUMMYFUNCTION("""COMPUTED_VALUE"""),"{""typ"":""lc"",""txt"":""LC_ITEM_speedup_cure_name"",""args"":[{""typ"":""int"",""val"":5}]}")</f>
        <v>{"typ":"lc","txt":"LC_ITEM_speedup_cure_name","args":[{"typ":"int","val":5}]}</v>
      </c>
      <c r="K79" s="148" t="str">
        <f>IFERROR(__xludf.DUMMYFUNCTION("""COMPUTED_VALUE"""),"{""typ"":""lc"",""txt"":""LC_ITEM_speedup_cure_desc"",""args"":[{""typ"":""int"",""val"":5}]}")</f>
        <v>{"typ":"lc","txt":"LC_ITEM_speedup_cure_desc","args":[{"typ":"int","val":5}]}</v>
      </c>
      <c r="L79" s="148" t="str">
        <f>IFERROR(__xludf.DUMMYFUNCTION("""COMPUTED_VALUE"""),"{""typ"":""lc"",""txt"":""LC_ITEM_speedup_cure_usedtip"",""args"":[{""typ"":""int"",""val"":5}]}")</f>
        <v>{"typ":"lc","txt":"LC_ITEM_speedup_cure_usedtip","args":[{"typ":"int","val":5}]}</v>
      </c>
      <c r="M79" s="148">
        <f>IFERROR(__xludf.DUMMYFUNCTION("""COMPUTED_VALUE"""),12.0)</f>
        <v>12</v>
      </c>
      <c r="N79" s="148">
        <f>IFERROR(__xludf.DUMMYFUNCTION("""COMPUTED_VALUE"""),999999.0)</f>
        <v>999999</v>
      </c>
      <c r="O79" s="148">
        <f>IFERROR(__xludf.DUMMYFUNCTION("""COMPUTED_VALUE"""),99999.0)</f>
        <v>99999</v>
      </c>
      <c r="P79" s="148">
        <f>IFERROR(__xludf.DUMMYFUNCTION("""COMPUTED_VALUE"""),99999.0)</f>
        <v>99999</v>
      </c>
      <c r="Q79" s="148" t="str">
        <f>IFERROR(__xludf.DUMMYFUNCTION("""COMPUTED_VALUE"""),"[""bag_speedup"",""speed_heal""]")</f>
        <v>["bag_speedup","speed_heal"]</v>
      </c>
      <c r="R79" s="148" t="str">
        <f>IFERROR(__xludf.DUMMYFUNCTION("""COMPUTED_VALUE"""),"[""speed_heal"",""speed_mechaqueue""]")</f>
        <v>["speed_heal","speed_mechaqueue"]</v>
      </c>
      <c r="S79" s="148" t="str">
        <f>IFERROR(__xludf.DUMMYFUNCTION("""COMPUTED_VALUE"""),"{""effect"":[{""typ"":""speedup"",""id"":11241005,""val"":300000}]}")</f>
        <v>{"effect":[{"typ":"speedup","id":11241005,"val":300000}]}</v>
      </c>
      <c r="T79" s="148">
        <f>IFERROR(__xludf.DUMMYFUNCTION("""COMPUTED_VALUE"""),-1.0)</f>
        <v>-1</v>
      </c>
      <c r="U79" s="148">
        <f>IFERROR(__xludf.DUMMYFUNCTION("""COMPUTED_VALUE"""),0.0)</f>
        <v>0</v>
      </c>
      <c r="V79" s="148" t="str">
        <f>IFERROR(__xludf.DUMMYFUNCTION("""COMPUTED_VALUE"""),"[]")</f>
        <v>[]</v>
      </c>
      <c r="W79" s="148">
        <f>IFERROR(__xludf.DUMMYFUNCTION("""COMPUTED_VALUE"""),1.1741003E7)</f>
        <v>11741003</v>
      </c>
      <c r="X79" s="148">
        <f>IFERROR(__xludf.DUMMYFUNCTION("""COMPUTED_VALUE"""),0.0)</f>
        <v>0</v>
      </c>
      <c r="Y79" s="148">
        <f>IFERROR(__xludf.DUMMYFUNCTION("""COMPUTED_VALUE"""),0.0)</f>
        <v>0</v>
      </c>
      <c r="Z79" s="148"/>
    </row>
    <row r="80">
      <c r="A80" s="148">
        <f>IFERROR(__xludf.DUMMYFUNCTION("""COMPUTED_VALUE"""),1.1111143E7)</f>
        <v>11111143</v>
      </c>
      <c r="B80" s="148" t="str">
        <f>IFERROR(__xludf.DUMMYFUNCTION("""COMPUTED_VALUE"""),"10分钟治疗加速")</f>
        <v>10分钟治疗加速</v>
      </c>
      <c r="C80" s="148"/>
      <c r="D80" s="148" t="str">
        <f>IFERROR(__xludf.DUMMYFUNCTION("""COMPUTED_VALUE"""),"item_speedup")</f>
        <v>item_speedup</v>
      </c>
      <c r="E80" s="148">
        <f>IFERROR(__xludf.DUMMYFUNCTION("""COMPUTED_VALUE"""),7.0)</f>
        <v>7</v>
      </c>
      <c r="F80" s="148">
        <f>IFERROR(__xludf.DUMMYFUNCTION("""COMPUTED_VALUE"""),206203.0)</f>
        <v>206203</v>
      </c>
      <c r="G80" s="148">
        <f>IFERROR(__xludf.DUMMYFUNCTION("""COMPUTED_VALUE"""),1.5112565E7)</f>
        <v>15112565</v>
      </c>
      <c r="H80" s="148">
        <f>IFERROR(__xludf.DUMMYFUNCTION("""COMPUTED_VALUE"""),1.5112561E7)</f>
        <v>15112561</v>
      </c>
      <c r="I80" s="148" t="str">
        <f>IFERROR(__xludf.DUMMYFUNCTION("""COMPUTED_VALUE"""),"{""typ"":""lc"",""txt"":""LC_ITEM_time_min_upper_show"",""args"":[{""typ"":""int"",""val"":10}]}")</f>
        <v>{"typ":"lc","txt":"LC_ITEM_time_min_upper_show","args":[{"typ":"int","val":10}]}</v>
      </c>
      <c r="J80" s="148" t="str">
        <f>IFERROR(__xludf.DUMMYFUNCTION("""COMPUTED_VALUE"""),"{""typ"":""lc"",""txt"":""LC_ITEM_speedup_cure_name"",""args"":[{""typ"":""int"",""val"":10}]}")</f>
        <v>{"typ":"lc","txt":"LC_ITEM_speedup_cure_name","args":[{"typ":"int","val":10}]}</v>
      </c>
      <c r="K80" s="148" t="str">
        <f>IFERROR(__xludf.DUMMYFUNCTION("""COMPUTED_VALUE"""),"{""typ"":""lc"",""txt"":""LC_ITEM_speedup_cure_desc"",""args"":[{""typ"":""int"",""val"":10}]}")</f>
        <v>{"typ":"lc","txt":"LC_ITEM_speedup_cure_desc","args":[{"typ":"int","val":10}]}</v>
      </c>
      <c r="L80" s="148" t="str">
        <f>IFERROR(__xludf.DUMMYFUNCTION("""COMPUTED_VALUE"""),"{""typ"":""lc"",""txt"":""LC_ITEM_speedup_cure_usedtip"",""args"":[{""typ"":""int"",""val"":10}]}")</f>
        <v>{"typ":"lc","txt":"LC_ITEM_speedup_cure_usedtip","args":[{"typ":"int","val":10}]}</v>
      </c>
      <c r="M80" s="148">
        <f>IFERROR(__xludf.DUMMYFUNCTION("""COMPUTED_VALUE"""),24.0)</f>
        <v>24</v>
      </c>
      <c r="N80" s="148">
        <f>IFERROR(__xludf.DUMMYFUNCTION("""COMPUTED_VALUE"""),999999.0)</f>
        <v>999999</v>
      </c>
      <c r="O80" s="148">
        <f>IFERROR(__xludf.DUMMYFUNCTION("""COMPUTED_VALUE"""),99999.0)</f>
        <v>99999</v>
      </c>
      <c r="P80" s="148">
        <f>IFERROR(__xludf.DUMMYFUNCTION("""COMPUTED_VALUE"""),99999.0)</f>
        <v>99999</v>
      </c>
      <c r="Q80" s="148" t="str">
        <f>IFERROR(__xludf.DUMMYFUNCTION("""COMPUTED_VALUE"""),"[""bag_speedup"",""speed_heal""]")</f>
        <v>["bag_speedup","speed_heal"]</v>
      </c>
      <c r="R80" s="148" t="str">
        <f>IFERROR(__xludf.DUMMYFUNCTION("""COMPUTED_VALUE"""),"[""speed_heal"",""speed_mechaqueue""]")</f>
        <v>["speed_heal","speed_mechaqueue"]</v>
      </c>
      <c r="S80" s="148" t="str">
        <f>IFERROR(__xludf.DUMMYFUNCTION("""COMPUTED_VALUE"""),"{""effect"":[{""typ"":""speedup"",""id"":11241005,""val"":600000}]}")</f>
        <v>{"effect":[{"typ":"speedup","id":11241005,"val":600000}]}</v>
      </c>
      <c r="T80" s="148">
        <f>IFERROR(__xludf.DUMMYFUNCTION("""COMPUTED_VALUE"""),-1.0)</f>
        <v>-1</v>
      </c>
      <c r="U80" s="148">
        <f>IFERROR(__xludf.DUMMYFUNCTION("""COMPUTED_VALUE"""),0.0)</f>
        <v>0</v>
      </c>
      <c r="V80" s="148" t="str">
        <f>IFERROR(__xludf.DUMMYFUNCTION("""COMPUTED_VALUE"""),"[]")</f>
        <v>[]</v>
      </c>
      <c r="W80" s="148">
        <f>IFERROR(__xludf.DUMMYFUNCTION("""COMPUTED_VALUE"""),1.1741003E7)</f>
        <v>11741003</v>
      </c>
      <c r="X80" s="148">
        <f>IFERROR(__xludf.DUMMYFUNCTION("""COMPUTED_VALUE"""),0.0)</f>
        <v>0</v>
      </c>
      <c r="Y80" s="148">
        <f>IFERROR(__xludf.DUMMYFUNCTION("""COMPUTED_VALUE"""),0.0)</f>
        <v>0</v>
      </c>
      <c r="Z80" s="148"/>
    </row>
    <row r="81">
      <c r="A81" s="148">
        <f>IFERROR(__xludf.DUMMYFUNCTION("""COMPUTED_VALUE"""),1.1111144E7)</f>
        <v>11111144</v>
      </c>
      <c r="B81" s="148" t="str">
        <f>IFERROR(__xludf.DUMMYFUNCTION("""COMPUTED_VALUE"""),"15分钟治疗加速")</f>
        <v>15分钟治疗加速</v>
      </c>
      <c r="C81" s="148"/>
      <c r="D81" s="148" t="str">
        <f>IFERROR(__xludf.DUMMYFUNCTION("""COMPUTED_VALUE"""),"item_speedup")</f>
        <v>item_speedup</v>
      </c>
      <c r="E81" s="148">
        <f>IFERROR(__xludf.DUMMYFUNCTION("""COMPUTED_VALUE"""),7.0)</f>
        <v>7</v>
      </c>
      <c r="F81" s="148">
        <f>IFERROR(__xludf.DUMMYFUNCTION("""COMPUTED_VALUE"""),206204.0)</f>
        <v>206204</v>
      </c>
      <c r="G81" s="148">
        <f>IFERROR(__xludf.DUMMYFUNCTION("""COMPUTED_VALUE"""),1.5112565E7)</f>
        <v>15112565</v>
      </c>
      <c r="H81" s="148">
        <f>IFERROR(__xludf.DUMMYFUNCTION("""COMPUTED_VALUE"""),1.5112561E7)</f>
        <v>15112561</v>
      </c>
      <c r="I81" s="148" t="str">
        <f>IFERROR(__xludf.DUMMYFUNCTION("""COMPUTED_VALUE"""),"{""typ"":""lc"",""txt"":""LC_ITEM_time_min_upper_show"",""args"":[{""typ"":""int"",""val"":15}]}")</f>
        <v>{"typ":"lc","txt":"LC_ITEM_time_min_upper_show","args":[{"typ":"int","val":15}]}</v>
      </c>
      <c r="J81" s="148" t="str">
        <f>IFERROR(__xludf.DUMMYFUNCTION("""COMPUTED_VALUE"""),"{""typ"":""lc"",""txt"":""LC_ITEM_speedup_cure_name"",""args"":[{""typ"":""int"",""val"":15}]}")</f>
        <v>{"typ":"lc","txt":"LC_ITEM_speedup_cure_name","args":[{"typ":"int","val":15}]}</v>
      </c>
      <c r="K81" s="148" t="str">
        <f>IFERROR(__xludf.DUMMYFUNCTION("""COMPUTED_VALUE"""),"{""typ"":""lc"",""txt"":""LC_ITEM_speedup_cure_desc"",""args"":[{""typ"":""int"",""val"":15}]}")</f>
        <v>{"typ":"lc","txt":"LC_ITEM_speedup_cure_desc","args":[{"typ":"int","val":15}]}</v>
      </c>
      <c r="L81" s="148" t="str">
        <f>IFERROR(__xludf.DUMMYFUNCTION("""COMPUTED_VALUE"""),"{""typ"":""lc"",""txt"":""LC_ITEM_speedup_cure_usedtip"",""args"":[{""typ"":""int"",""val"":15}]}")</f>
        <v>{"typ":"lc","txt":"LC_ITEM_speedup_cure_usedtip","args":[{"typ":"int","val":15}]}</v>
      </c>
      <c r="M81" s="148">
        <f>IFERROR(__xludf.DUMMYFUNCTION("""COMPUTED_VALUE"""),35.0)</f>
        <v>35</v>
      </c>
      <c r="N81" s="148">
        <f>IFERROR(__xludf.DUMMYFUNCTION("""COMPUTED_VALUE"""),999999.0)</f>
        <v>999999</v>
      </c>
      <c r="O81" s="148">
        <f>IFERROR(__xludf.DUMMYFUNCTION("""COMPUTED_VALUE"""),99999.0)</f>
        <v>99999</v>
      </c>
      <c r="P81" s="148">
        <f>IFERROR(__xludf.DUMMYFUNCTION("""COMPUTED_VALUE"""),99999.0)</f>
        <v>99999</v>
      </c>
      <c r="Q81" s="148" t="str">
        <f>IFERROR(__xludf.DUMMYFUNCTION("""COMPUTED_VALUE"""),"[""bag_speedup"",""speed_heal""]")</f>
        <v>["bag_speedup","speed_heal"]</v>
      </c>
      <c r="R81" s="148" t="str">
        <f>IFERROR(__xludf.DUMMYFUNCTION("""COMPUTED_VALUE"""),"[""speed_heal"",""speed_mechaqueue""]")</f>
        <v>["speed_heal","speed_mechaqueue"]</v>
      </c>
      <c r="S81" s="148" t="str">
        <f>IFERROR(__xludf.DUMMYFUNCTION("""COMPUTED_VALUE"""),"{""effect"":[{""typ"":""speedup"",""id"":11241005,""val"":900000}]}")</f>
        <v>{"effect":[{"typ":"speedup","id":11241005,"val":900000}]}</v>
      </c>
      <c r="T81" s="148">
        <f>IFERROR(__xludf.DUMMYFUNCTION("""COMPUTED_VALUE"""),-1.0)</f>
        <v>-1</v>
      </c>
      <c r="U81" s="148">
        <f>IFERROR(__xludf.DUMMYFUNCTION("""COMPUTED_VALUE"""),0.0)</f>
        <v>0</v>
      </c>
      <c r="V81" s="148" t="str">
        <f>IFERROR(__xludf.DUMMYFUNCTION("""COMPUTED_VALUE"""),"[]")</f>
        <v>[]</v>
      </c>
      <c r="W81" s="148">
        <f>IFERROR(__xludf.DUMMYFUNCTION("""COMPUTED_VALUE"""),1.1741003E7)</f>
        <v>11741003</v>
      </c>
      <c r="X81" s="148">
        <f>IFERROR(__xludf.DUMMYFUNCTION("""COMPUTED_VALUE"""),0.0)</f>
        <v>0</v>
      </c>
      <c r="Y81" s="148">
        <f>IFERROR(__xludf.DUMMYFUNCTION("""COMPUTED_VALUE"""),0.0)</f>
        <v>0</v>
      </c>
      <c r="Z81" s="148"/>
    </row>
    <row r="82">
      <c r="A82" s="148">
        <f>IFERROR(__xludf.DUMMYFUNCTION("""COMPUTED_VALUE"""),1.1111145E7)</f>
        <v>11111145</v>
      </c>
      <c r="B82" s="148" t="str">
        <f>IFERROR(__xludf.DUMMYFUNCTION("""COMPUTED_VALUE"""),"30分钟治疗加速")</f>
        <v>30分钟治疗加速</v>
      </c>
      <c r="C82" s="148"/>
      <c r="D82" s="148" t="str">
        <f>IFERROR(__xludf.DUMMYFUNCTION("""COMPUTED_VALUE"""),"item_speedup")</f>
        <v>item_speedup</v>
      </c>
      <c r="E82" s="148">
        <f>IFERROR(__xludf.DUMMYFUNCTION("""COMPUTED_VALUE"""),7.0)</f>
        <v>7</v>
      </c>
      <c r="F82" s="148">
        <f>IFERROR(__xludf.DUMMYFUNCTION("""COMPUTED_VALUE"""),206305.0)</f>
        <v>206305</v>
      </c>
      <c r="G82" s="148">
        <f>IFERROR(__xludf.DUMMYFUNCTION("""COMPUTED_VALUE"""),1.5112565E7)</f>
        <v>15112565</v>
      </c>
      <c r="H82" s="148">
        <f>IFERROR(__xludf.DUMMYFUNCTION("""COMPUTED_VALUE"""),1.5112562E7)</f>
        <v>15112562</v>
      </c>
      <c r="I82" s="148" t="str">
        <f>IFERROR(__xludf.DUMMYFUNCTION("""COMPUTED_VALUE"""),"{""typ"":""lc"",""txt"":""LC_ITEM_time_min_upper_show"",""args"":[{""typ"":""int"",""val"":30}]}")</f>
        <v>{"typ":"lc","txt":"LC_ITEM_time_min_upper_show","args":[{"typ":"int","val":30}]}</v>
      </c>
      <c r="J82" s="148" t="str">
        <f>IFERROR(__xludf.DUMMYFUNCTION("""COMPUTED_VALUE"""),"{""typ"":""lc"",""txt"":""LC_ITEM_speedup_cure_name"",""args"":[{""typ"":""int"",""val"":30}]}")</f>
        <v>{"typ":"lc","txt":"LC_ITEM_speedup_cure_name","args":[{"typ":"int","val":30}]}</v>
      </c>
      <c r="K82" s="148" t="str">
        <f>IFERROR(__xludf.DUMMYFUNCTION("""COMPUTED_VALUE"""),"{""typ"":""lc"",""txt"":""LC_ITEM_speedup_cure_desc"",""args"":[{""typ"":""int"",""val"":30}]}")</f>
        <v>{"typ":"lc","txt":"LC_ITEM_speedup_cure_desc","args":[{"typ":"int","val":30}]}</v>
      </c>
      <c r="L82" s="148" t="str">
        <f>IFERROR(__xludf.DUMMYFUNCTION("""COMPUTED_VALUE"""),"{""typ"":""lc"",""txt"":""LC_ITEM_speedup_cure_usedtip"",""args"":[{""typ"":""int"",""val"":30}]}")</f>
        <v>{"typ":"lc","txt":"LC_ITEM_speedup_cure_usedtip","args":[{"typ":"int","val":30}]}</v>
      </c>
      <c r="M82" s="148">
        <f>IFERROR(__xludf.DUMMYFUNCTION("""COMPUTED_VALUE"""),60.0)</f>
        <v>60</v>
      </c>
      <c r="N82" s="148">
        <f>IFERROR(__xludf.DUMMYFUNCTION("""COMPUTED_VALUE"""),999999.0)</f>
        <v>999999</v>
      </c>
      <c r="O82" s="148">
        <f>IFERROR(__xludf.DUMMYFUNCTION("""COMPUTED_VALUE"""),99999.0)</f>
        <v>99999</v>
      </c>
      <c r="P82" s="148">
        <f>IFERROR(__xludf.DUMMYFUNCTION("""COMPUTED_VALUE"""),99999.0)</f>
        <v>99999</v>
      </c>
      <c r="Q82" s="148" t="str">
        <f>IFERROR(__xludf.DUMMYFUNCTION("""COMPUTED_VALUE"""),"[""bag_speedup"",""speed_heal""]")</f>
        <v>["bag_speedup","speed_heal"]</v>
      </c>
      <c r="R82" s="148" t="str">
        <f>IFERROR(__xludf.DUMMYFUNCTION("""COMPUTED_VALUE"""),"[""speed_heal"",""speed_mechaqueue""]")</f>
        <v>["speed_heal","speed_mechaqueue"]</v>
      </c>
      <c r="S82" s="148" t="str">
        <f>IFERROR(__xludf.DUMMYFUNCTION("""COMPUTED_VALUE"""),"{""effect"":[{""typ"":""speedup"",""id"":11241005,""val"":1800000}]}")</f>
        <v>{"effect":[{"typ":"speedup","id":11241005,"val":1800000}]}</v>
      </c>
      <c r="T82" s="148">
        <f>IFERROR(__xludf.DUMMYFUNCTION("""COMPUTED_VALUE"""),-1.0)</f>
        <v>-1</v>
      </c>
      <c r="U82" s="148">
        <f>IFERROR(__xludf.DUMMYFUNCTION("""COMPUTED_VALUE"""),0.0)</f>
        <v>0</v>
      </c>
      <c r="V82" s="148" t="str">
        <f>IFERROR(__xludf.DUMMYFUNCTION("""COMPUTED_VALUE"""),"[]")</f>
        <v>[]</v>
      </c>
      <c r="W82" s="148">
        <f>IFERROR(__xludf.DUMMYFUNCTION("""COMPUTED_VALUE"""),1.1741003E7)</f>
        <v>11741003</v>
      </c>
      <c r="X82" s="148">
        <f>IFERROR(__xludf.DUMMYFUNCTION("""COMPUTED_VALUE"""),0.0)</f>
        <v>0</v>
      </c>
      <c r="Y82" s="148">
        <f>IFERROR(__xludf.DUMMYFUNCTION("""COMPUTED_VALUE"""),0.0)</f>
        <v>0</v>
      </c>
      <c r="Z82" s="148"/>
    </row>
    <row r="83">
      <c r="A83" s="148">
        <f>IFERROR(__xludf.DUMMYFUNCTION("""COMPUTED_VALUE"""),1.1111146E7)</f>
        <v>11111146</v>
      </c>
      <c r="B83" s="148" t="str">
        <f>IFERROR(__xludf.DUMMYFUNCTION("""COMPUTED_VALUE"""),"60分钟治疗加速")</f>
        <v>60分钟治疗加速</v>
      </c>
      <c r="C83" s="148"/>
      <c r="D83" s="148" t="str">
        <f>IFERROR(__xludf.DUMMYFUNCTION("""COMPUTED_VALUE"""),"item_speedup")</f>
        <v>item_speedup</v>
      </c>
      <c r="E83" s="148">
        <f>IFERROR(__xludf.DUMMYFUNCTION("""COMPUTED_VALUE"""),7.0)</f>
        <v>7</v>
      </c>
      <c r="F83" s="148">
        <f>IFERROR(__xludf.DUMMYFUNCTION("""COMPUTED_VALUE"""),206306.0)</f>
        <v>206306</v>
      </c>
      <c r="G83" s="148">
        <f>IFERROR(__xludf.DUMMYFUNCTION("""COMPUTED_VALUE"""),1.5112565E7)</f>
        <v>15112565</v>
      </c>
      <c r="H83" s="148">
        <f>IFERROR(__xludf.DUMMYFUNCTION("""COMPUTED_VALUE"""),1.5112562E7)</f>
        <v>15112562</v>
      </c>
      <c r="I83" s="148" t="str">
        <f>IFERROR(__xludf.DUMMYFUNCTION("""COMPUTED_VALUE"""),"{""typ"":""lc"",""txt"":""LC_ITEM_time_h_upper_show"",""args"":[{""typ"":""int"",""val"":1}]}")</f>
        <v>{"typ":"lc","txt":"LC_ITEM_time_h_upper_show","args":[{"typ":"int","val":1}]}</v>
      </c>
      <c r="J83" s="148" t="str">
        <f>IFERROR(__xludf.DUMMYFUNCTION("""COMPUTED_VALUE"""),"{""typ"":""lc"",""txt"":""LC_ITEM_speedup_cure2_name"",""args"":[{""typ"":""int"",""val"":1}]}")</f>
        <v>{"typ":"lc","txt":"LC_ITEM_speedup_cure2_name","args":[{"typ":"int","val":1}]}</v>
      </c>
      <c r="K83" s="148" t="str">
        <f>IFERROR(__xludf.DUMMYFUNCTION("""COMPUTED_VALUE"""),"{""typ"":""lc"",""txt"":""LC_ITEM_speedup_cure2_desc"",""args"":[{""typ"":""int"",""val"":1}]}")</f>
        <v>{"typ":"lc","txt":"LC_ITEM_speedup_cure2_desc","args":[{"typ":"int","val":1}]}</v>
      </c>
      <c r="L83" s="148" t="str">
        <f>IFERROR(__xludf.DUMMYFUNCTION("""COMPUTED_VALUE"""),"{""typ"":""lc"",""txt"":""LC_ITEM_speedup_cure2_usedtip"",""args"":[{""typ"":""int"",""val"":1}]}")</f>
        <v>{"typ":"lc","txt":"LC_ITEM_speedup_cure2_usedtip","args":[{"typ":"int","val":1}]}</v>
      </c>
      <c r="M83" s="148">
        <f>IFERROR(__xludf.DUMMYFUNCTION("""COMPUTED_VALUE"""),100.0)</f>
        <v>100</v>
      </c>
      <c r="N83" s="148">
        <f>IFERROR(__xludf.DUMMYFUNCTION("""COMPUTED_VALUE"""),999999.0)</f>
        <v>999999</v>
      </c>
      <c r="O83" s="148">
        <f>IFERROR(__xludf.DUMMYFUNCTION("""COMPUTED_VALUE"""),99999.0)</f>
        <v>99999</v>
      </c>
      <c r="P83" s="148">
        <f>IFERROR(__xludf.DUMMYFUNCTION("""COMPUTED_VALUE"""),99999.0)</f>
        <v>99999</v>
      </c>
      <c r="Q83" s="148" t="str">
        <f>IFERROR(__xludf.DUMMYFUNCTION("""COMPUTED_VALUE"""),"[""bag_speedup"",""speed_heal""]")</f>
        <v>["bag_speedup","speed_heal"]</v>
      </c>
      <c r="R83" s="148" t="str">
        <f>IFERROR(__xludf.DUMMYFUNCTION("""COMPUTED_VALUE"""),"[""speed_heal"",""speed_mechaqueue""]")</f>
        <v>["speed_heal","speed_mechaqueue"]</v>
      </c>
      <c r="S83" s="148" t="str">
        <f>IFERROR(__xludf.DUMMYFUNCTION("""COMPUTED_VALUE"""),"{""effect"":[{""typ"":""speedup"",""id"":11241005,""val"":3600000}]}")</f>
        <v>{"effect":[{"typ":"speedup","id":11241005,"val":3600000}]}</v>
      </c>
      <c r="T83" s="148">
        <f>IFERROR(__xludf.DUMMYFUNCTION("""COMPUTED_VALUE"""),-1.0)</f>
        <v>-1</v>
      </c>
      <c r="U83" s="148">
        <f>IFERROR(__xludf.DUMMYFUNCTION("""COMPUTED_VALUE"""),0.0)</f>
        <v>0</v>
      </c>
      <c r="V83" s="148" t="str">
        <f>IFERROR(__xludf.DUMMYFUNCTION("""COMPUTED_VALUE"""),"[]")</f>
        <v>[]</v>
      </c>
      <c r="W83" s="148">
        <f>IFERROR(__xludf.DUMMYFUNCTION("""COMPUTED_VALUE"""),1.1741003E7)</f>
        <v>11741003</v>
      </c>
      <c r="X83" s="148">
        <f>IFERROR(__xludf.DUMMYFUNCTION("""COMPUTED_VALUE"""),0.0)</f>
        <v>0</v>
      </c>
      <c r="Y83" s="148">
        <f>IFERROR(__xludf.DUMMYFUNCTION("""COMPUTED_VALUE"""),0.0)</f>
        <v>0</v>
      </c>
      <c r="Z83" s="148"/>
    </row>
    <row r="84">
      <c r="A84" s="148">
        <f>IFERROR(__xludf.DUMMYFUNCTION("""COMPUTED_VALUE"""),1.1111147E7)</f>
        <v>11111147</v>
      </c>
      <c r="B84" s="148" t="str">
        <f>IFERROR(__xludf.DUMMYFUNCTION("""COMPUTED_VALUE"""),"2小时治疗加速")</f>
        <v>2小时治疗加速</v>
      </c>
      <c r="C84" s="148"/>
      <c r="D84" s="148" t="str">
        <f>IFERROR(__xludf.DUMMYFUNCTION("""COMPUTED_VALUE"""),"item_speedup")</f>
        <v>item_speedup</v>
      </c>
      <c r="E84" s="148">
        <f>IFERROR(__xludf.DUMMYFUNCTION("""COMPUTED_VALUE"""),7.0)</f>
        <v>7</v>
      </c>
      <c r="F84" s="148">
        <f>IFERROR(__xludf.DUMMYFUNCTION("""COMPUTED_VALUE"""),206307.0)</f>
        <v>206307</v>
      </c>
      <c r="G84" s="148">
        <f>IFERROR(__xludf.DUMMYFUNCTION("""COMPUTED_VALUE"""),1.5112565E7)</f>
        <v>15112565</v>
      </c>
      <c r="H84" s="148">
        <f>IFERROR(__xludf.DUMMYFUNCTION("""COMPUTED_VALUE"""),1.5112562E7)</f>
        <v>15112562</v>
      </c>
      <c r="I84" s="148" t="str">
        <f>IFERROR(__xludf.DUMMYFUNCTION("""COMPUTED_VALUE"""),"{""typ"":""lc"",""txt"":""LC_ITEM_time_h_upper_show"",""args"":[{""typ"":""int"",""val"":2}]}")</f>
        <v>{"typ":"lc","txt":"LC_ITEM_time_h_upper_show","args":[{"typ":"int","val":2}]}</v>
      </c>
      <c r="J84" s="148" t="str">
        <f>IFERROR(__xludf.DUMMYFUNCTION("""COMPUTED_VALUE"""),"{""typ"":""lc"",""txt"":""LC_ITEM_speedup_cure2_name"",""args"":[{""typ"":""int"",""val"":2}]}")</f>
        <v>{"typ":"lc","txt":"LC_ITEM_speedup_cure2_name","args":[{"typ":"int","val":2}]}</v>
      </c>
      <c r="K84" s="148" t="str">
        <f>IFERROR(__xludf.DUMMYFUNCTION("""COMPUTED_VALUE"""),"{""typ"":""lc"",""txt"":""LC_ITEM_speedup_cure2_desc"",""args"":[{""typ"":""int"",""val"":2}]}")</f>
        <v>{"typ":"lc","txt":"LC_ITEM_speedup_cure2_desc","args":[{"typ":"int","val":2}]}</v>
      </c>
      <c r="L84" s="148" t="str">
        <f>IFERROR(__xludf.DUMMYFUNCTION("""COMPUTED_VALUE"""),"{""typ"":""lc"",""txt"":""LC_ITEM_speedup_cure2_usedtip"",""args"":[{""typ"":""int"",""val"":2}]}")</f>
        <v>{"typ":"lc","txt":"LC_ITEM_speedup_cure2_usedtip","args":[{"typ":"int","val":2}]}</v>
      </c>
      <c r="M84" s="148">
        <f>IFERROR(__xludf.DUMMYFUNCTION("""COMPUTED_VALUE"""),200.0)</f>
        <v>200</v>
      </c>
      <c r="N84" s="148">
        <f>IFERROR(__xludf.DUMMYFUNCTION("""COMPUTED_VALUE"""),999999.0)</f>
        <v>999999</v>
      </c>
      <c r="O84" s="148">
        <f>IFERROR(__xludf.DUMMYFUNCTION("""COMPUTED_VALUE"""),99999.0)</f>
        <v>99999</v>
      </c>
      <c r="P84" s="148">
        <f>IFERROR(__xludf.DUMMYFUNCTION("""COMPUTED_VALUE"""),99999.0)</f>
        <v>99999</v>
      </c>
      <c r="Q84" s="148" t="str">
        <f>IFERROR(__xludf.DUMMYFUNCTION("""COMPUTED_VALUE"""),"[""bag_speedup"",""speed_heal""]")</f>
        <v>["bag_speedup","speed_heal"]</v>
      </c>
      <c r="R84" s="148" t="str">
        <f>IFERROR(__xludf.DUMMYFUNCTION("""COMPUTED_VALUE"""),"[""speed_heal"",""speed_mechaqueue""]")</f>
        <v>["speed_heal","speed_mechaqueue"]</v>
      </c>
      <c r="S84" s="148" t="str">
        <f>IFERROR(__xludf.DUMMYFUNCTION("""COMPUTED_VALUE"""),"{""effect"":[{""typ"":""speedup"",""id"":11241005,""val"":7200000}]}")</f>
        <v>{"effect":[{"typ":"speedup","id":11241005,"val":7200000}]}</v>
      </c>
      <c r="T84" s="148">
        <f>IFERROR(__xludf.DUMMYFUNCTION("""COMPUTED_VALUE"""),-1.0)</f>
        <v>-1</v>
      </c>
      <c r="U84" s="148">
        <f>IFERROR(__xludf.DUMMYFUNCTION("""COMPUTED_VALUE"""),0.0)</f>
        <v>0</v>
      </c>
      <c r="V84" s="148" t="str">
        <f>IFERROR(__xludf.DUMMYFUNCTION("""COMPUTED_VALUE"""),"[]")</f>
        <v>[]</v>
      </c>
      <c r="W84" s="148">
        <f>IFERROR(__xludf.DUMMYFUNCTION("""COMPUTED_VALUE"""),1.1741003E7)</f>
        <v>11741003</v>
      </c>
      <c r="X84" s="148">
        <f>IFERROR(__xludf.DUMMYFUNCTION("""COMPUTED_VALUE"""),0.0)</f>
        <v>0</v>
      </c>
      <c r="Y84" s="148">
        <f>IFERROR(__xludf.DUMMYFUNCTION("""COMPUTED_VALUE"""),0.0)</f>
        <v>0</v>
      </c>
      <c r="Z84" s="148"/>
    </row>
    <row r="85">
      <c r="A85" s="148">
        <f>IFERROR(__xludf.DUMMYFUNCTION("""COMPUTED_VALUE"""),1.1111148E7)</f>
        <v>11111148</v>
      </c>
      <c r="B85" s="148" t="str">
        <f>IFERROR(__xludf.DUMMYFUNCTION("""COMPUTED_VALUE"""),"8小时治疗加速")</f>
        <v>8小时治疗加速</v>
      </c>
      <c r="C85" s="148"/>
      <c r="D85" s="148" t="str">
        <f>IFERROR(__xludf.DUMMYFUNCTION("""COMPUTED_VALUE"""),"item_speedup")</f>
        <v>item_speedup</v>
      </c>
      <c r="E85" s="148">
        <f>IFERROR(__xludf.DUMMYFUNCTION("""COMPUTED_VALUE"""),7.0)</f>
        <v>7</v>
      </c>
      <c r="F85" s="148">
        <f>IFERROR(__xludf.DUMMYFUNCTION("""COMPUTED_VALUE"""),206408.0)</f>
        <v>206408</v>
      </c>
      <c r="G85" s="148">
        <f>IFERROR(__xludf.DUMMYFUNCTION("""COMPUTED_VALUE"""),1.5112565E7)</f>
        <v>15112565</v>
      </c>
      <c r="H85" s="148">
        <f>IFERROR(__xludf.DUMMYFUNCTION("""COMPUTED_VALUE"""),1.5112563E7)</f>
        <v>15112563</v>
      </c>
      <c r="I85" s="148" t="str">
        <f>IFERROR(__xludf.DUMMYFUNCTION("""COMPUTED_VALUE"""),"{""typ"":""lc"",""txt"":""LC_ITEM_time_h_upper_show"",""args"":[{""typ"":""int"",""val"":8}]}")</f>
        <v>{"typ":"lc","txt":"LC_ITEM_time_h_upper_show","args":[{"typ":"int","val":8}]}</v>
      </c>
      <c r="J85" s="148" t="str">
        <f>IFERROR(__xludf.DUMMYFUNCTION("""COMPUTED_VALUE"""),"{""typ"":""lc"",""txt"":""LC_ITEM_speedup_cure2_name"",""args"":[{""typ"":""int"",""val"":8}]}")</f>
        <v>{"typ":"lc","txt":"LC_ITEM_speedup_cure2_name","args":[{"typ":"int","val":8}]}</v>
      </c>
      <c r="K85" s="148" t="str">
        <f>IFERROR(__xludf.DUMMYFUNCTION("""COMPUTED_VALUE"""),"{""typ"":""lc"",""txt"":""LC_ITEM_speedup_cure2_desc"",""args"":[{""typ"":""int"",""val"":8}]}")</f>
        <v>{"typ":"lc","txt":"LC_ITEM_speedup_cure2_desc","args":[{"typ":"int","val":8}]}</v>
      </c>
      <c r="L85" s="148" t="str">
        <f>IFERROR(__xludf.DUMMYFUNCTION("""COMPUTED_VALUE"""),"{""typ"":""lc"",""txt"":""LC_ITEM_speedup_cure2_usedtip"",""args"":[{""typ"":""int"",""val"":8}]}")</f>
        <v>{"typ":"lc","txt":"LC_ITEM_speedup_cure2_usedtip","args":[{"typ":"int","val":8}]}</v>
      </c>
      <c r="M85" s="148">
        <f>IFERROR(__xludf.DUMMYFUNCTION("""COMPUTED_VALUE"""),750.0)</f>
        <v>750</v>
      </c>
      <c r="N85" s="148">
        <f>IFERROR(__xludf.DUMMYFUNCTION("""COMPUTED_VALUE"""),999999.0)</f>
        <v>999999</v>
      </c>
      <c r="O85" s="148">
        <f>IFERROR(__xludf.DUMMYFUNCTION("""COMPUTED_VALUE"""),99999.0)</f>
        <v>99999</v>
      </c>
      <c r="P85" s="148">
        <f>IFERROR(__xludf.DUMMYFUNCTION("""COMPUTED_VALUE"""),99999.0)</f>
        <v>99999</v>
      </c>
      <c r="Q85" s="148" t="str">
        <f>IFERROR(__xludf.DUMMYFUNCTION("""COMPUTED_VALUE"""),"[""bag_speedup"",""speed_heal""]")</f>
        <v>["bag_speedup","speed_heal"]</v>
      </c>
      <c r="R85" s="148" t="str">
        <f>IFERROR(__xludf.DUMMYFUNCTION("""COMPUTED_VALUE"""),"[""speed_heal"",""speed_mechaqueue""]")</f>
        <v>["speed_heal","speed_mechaqueue"]</v>
      </c>
      <c r="S85" s="148" t="str">
        <f>IFERROR(__xludf.DUMMYFUNCTION("""COMPUTED_VALUE"""),"{""effect"":[{""typ"":""speedup"",""id"":11241005,""val"":28800000}]}")</f>
        <v>{"effect":[{"typ":"speedup","id":11241005,"val":28800000}]}</v>
      </c>
      <c r="T85" s="148">
        <f>IFERROR(__xludf.DUMMYFUNCTION("""COMPUTED_VALUE"""),-1.0)</f>
        <v>-1</v>
      </c>
      <c r="U85" s="148">
        <f>IFERROR(__xludf.DUMMYFUNCTION("""COMPUTED_VALUE"""),0.0)</f>
        <v>0</v>
      </c>
      <c r="V85" s="148" t="str">
        <f>IFERROR(__xludf.DUMMYFUNCTION("""COMPUTED_VALUE"""),"[]")</f>
        <v>[]</v>
      </c>
      <c r="W85" s="148">
        <f>IFERROR(__xludf.DUMMYFUNCTION("""COMPUTED_VALUE"""),1.1741003E7)</f>
        <v>11741003</v>
      </c>
      <c r="X85" s="148">
        <f>IFERROR(__xludf.DUMMYFUNCTION("""COMPUTED_VALUE"""),0.0)</f>
        <v>0</v>
      </c>
      <c r="Y85" s="148">
        <f>IFERROR(__xludf.DUMMYFUNCTION("""COMPUTED_VALUE"""),0.0)</f>
        <v>0</v>
      </c>
      <c r="Z85" s="148"/>
    </row>
    <row r="86">
      <c r="A86" s="148">
        <f>IFERROR(__xludf.DUMMYFUNCTION("""COMPUTED_VALUE"""),1.1111149E7)</f>
        <v>11111149</v>
      </c>
      <c r="B86" s="148" t="str">
        <f>IFERROR(__xludf.DUMMYFUNCTION("""COMPUTED_VALUE"""),"12小时治疗加速")</f>
        <v>12小时治疗加速</v>
      </c>
      <c r="C86" s="148"/>
      <c r="D86" s="148" t="str">
        <f>IFERROR(__xludf.DUMMYFUNCTION("""COMPUTED_VALUE"""),"item_speedup")</f>
        <v>item_speedup</v>
      </c>
      <c r="E86" s="148">
        <f>IFERROR(__xludf.DUMMYFUNCTION("""COMPUTED_VALUE"""),7.0)</f>
        <v>7</v>
      </c>
      <c r="F86" s="148">
        <f>IFERROR(__xludf.DUMMYFUNCTION("""COMPUTED_VALUE"""),206409.0)</f>
        <v>206409</v>
      </c>
      <c r="G86" s="148">
        <f>IFERROR(__xludf.DUMMYFUNCTION("""COMPUTED_VALUE"""),1.5112565E7)</f>
        <v>15112565</v>
      </c>
      <c r="H86" s="148">
        <f>IFERROR(__xludf.DUMMYFUNCTION("""COMPUTED_VALUE"""),1.5112563E7)</f>
        <v>15112563</v>
      </c>
      <c r="I86" s="148" t="str">
        <f>IFERROR(__xludf.DUMMYFUNCTION("""COMPUTED_VALUE"""),"{""typ"":""lc"",""txt"":""LC_ITEM_time_h_upper_show"",""args"":[{""typ"":""int"",""val"":12}]}")</f>
        <v>{"typ":"lc","txt":"LC_ITEM_time_h_upper_show","args":[{"typ":"int","val":12}]}</v>
      </c>
      <c r="J86" s="148" t="str">
        <f>IFERROR(__xludf.DUMMYFUNCTION("""COMPUTED_VALUE"""),"{""typ"":""lc"",""txt"":""LC_ITEM_speedup_cure2_name"",""args"":[{""typ"":""int"",""val"":12}]}")</f>
        <v>{"typ":"lc","txt":"LC_ITEM_speedup_cure2_name","args":[{"typ":"int","val":12}]}</v>
      </c>
      <c r="K86" s="148" t="str">
        <f>IFERROR(__xludf.DUMMYFUNCTION("""COMPUTED_VALUE"""),"{""typ"":""lc"",""txt"":""LC_ITEM_speedup_cure2_desc"",""args"":[{""typ"":""int"",""val"":12}]}")</f>
        <v>{"typ":"lc","txt":"LC_ITEM_speedup_cure2_desc","args":[{"typ":"int","val":12}]}</v>
      </c>
      <c r="L86" s="148" t="str">
        <f>IFERROR(__xludf.DUMMYFUNCTION("""COMPUTED_VALUE"""),"{""typ"":""lc"",""txt"":""LC_ITEM_speedup_cure2_usedtip"",""args"":[{""typ"":""int"",""val"":12}]}")</f>
        <v>{"typ":"lc","txt":"LC_ITEM_speedup_cure2_usedtip","args":[{"typ":"int","val":12}]}</v>
      </c>
      <c r="M86" s="148">
        <f>IFERROR(__xludf.DUMMYFUNCTION("""COMPUTED_VALUE"""),1100.0)</f>
        <v>1100</v>
      </c>
      <c r="N86" s="148">
        <f>IFERROR(__xludf.DUMMYFUNCTION("""COMPUTED_VALUE"""),999999.0)</f>
        <v>999999</v>
      </c>
      <c r="O86" s="148">
        <f>IFERROR(__xludf.DUMMYFUNCTION("""COMPUTED_VALUE"""),99999.0)</f>
        <v>99999</v>
      </c>
      <c r="P86" s="148">
        <f>IFERROR(__xludf.DUMMYFUNCTION("""COMPUTED_VALUE"""),99999.0)</f>
        <v>99999</v>
      </c>
      <c r="Q86" s="148" t="str">
        <f>IFERROR(__xludf.DUMMYFUNCTION("""COMPUTED_VALUE"""),"[""bag_speedup"",""speed_heal""]")</f>
        <v>["bag_speedup","speed_heal"]</v>
      </c>
      <c r="R86" s="148" t="str">
        <f>IFERROR(__xludf.DUMMYFUNCTION("""COMPUTED_VALUE"""),"[""speed_heal"",""speed_mechaqueue""]")</f>
        <v>["speed_heal","speed_mechaqueue"]</v>
      </c>
      <c r="S86" s="148" t="str">
        <f>IFERROR(__xludf.DUMMYFUNCTION("""COMPUTED_VALUE"""),"{""effect"":[{""typ"":""speedup"",""id"":11241005,""val"":43200000}]}")</f>
        <v>{"effect":[{"typ":"speedup","id":11241005,"val":43200000}]}</v>
      </c>
      <c r="T86" s="148">
        <f>IFERROR(__xludf.DUMMYFUNCTION("""COMPUTED_VALUE"""),-1.0)</f>
        <v>-1</v>
      </c>
      <c r="U86" s="148">
        <f>IFERROR(__xludf.DUMMYFUNCTION("""COMPUTED_VALUE"""),0.0)</f>
        <v>0</v>
      </c>
      <c r="V86" s="148" t="str">
        <f>IFERROR(__xludf.DUMMYFUNCTION("""COMPUTED_VALUE"""),"[]")</f>
        <v>[]</v>
      </c>
      <c r="W86" s="148">
        <f>IFERROR(__xludf.DUMMYFUNCTION("""COMPUTED_VALUE"""),1.1741003E7)</f>
        <v>11741003</v>
      </c>
      <c r="X86" s="148">
        <f>IFERROR(__xludf.DUMMYFUNCTION("""COMPUTED_VALUE"""),0.0)</f>
        <v>0</v>
      </c>
      <c r="Y86" s="148">
        <f>IFERROR(__xludf.DUMMYFUNCTION("""COMPUTED_VALUE"""),0.0)</f>
        <v>0</v>
      </c>
      <c r="Z86" s="148"/>
    </row>
    <row r="87">
      <c r="A87" s="148">
        <f>IFERROR(__xludf.DUMMYFUNCTION("""COMPUTED_VALUE"""),1.111115E7)</f>
        <v>11111150</v>
      </c>
      <c r="B87" s="148" t="str">
        <f>IFERROR(__xludf.DUMMYFUNCTION("""COMPUTED_VALUE"""),"24小时治疗加速")</f>
        <v>24小时治疗加速</v>
      </c>
      <c r="C87" s="148"/>
      <c r="D87" s="148" t="str">
        <f>IFERROR(__xludf.DUMMYFUNCTION("""COMPUTED_VALUE"""),"item_speedup")</f>
        <v>item_speedup</v>
      </c>
      <c r="E87" s="148">
        <f>IFERROR(__xludf.DUMMYFUNCTION("""COMPUTED_VALUE"""),7.0)</f>
        <v>7</v>
      </c>
      <c r="F87" s="148">
        <f>IFERROR(__xludf.DUMMYFUNCTION("""COMPUTED_VALUE"""),206410.0)</f>
        <v>206410</v>
      </c>
      <c r="G87" s="148">
        <f>IFERROR(__xludf.DUMMYFUNCTION("""COMPUTED_VALUE"""),1.5112565E7)</f>
        <v>15112565</v>
      </c>
      <c r="H87" s="148">
        <f>IFERROR(__xludf.DUMMYFUNCTION("""COMPUTED_VALUE"""),1.5112563E7)</f>
        <v>15112563</v>
      </c>
      <c r="I87" s="148" t="str">
        <f>IFERROR(__xludf.DUMMYFUNCTION("""COMPUTED_VALUE"""),"{""typ"":""lc"",""txt"":""LC_ITEM_time_h_upper_show"",""args"":[{""typ"":""int"",""val"":24}]}")</f>
        <v>{"typ":"lc","txt":"LC_ITEM_time_h_upper_show","args":[{"typ":"int","val":24}]}</v>
      </c>
      <c r="J87" s="148" t="str">
        <f>IFERROR(__xludf.DUMMYFUNCTION("""COMPUTED_VALUE"""),"{""typ"":""lc"",""txt"":""LC_ITEM_speedup_cure2_name"",""args"":[{""typ"":""int"",""val"":24}]}")</f>
        <v>{"typ":"lc","txt":"LC_ITEM_speedup_cure2_name","args":[{"typ":"int","val":24}]}</v>
      </c>
      <c r="K87" s="148" t="str">
        <f>IFERROR(__xludf.DUMMYFUNCTION("""COMPUTED_VALUE"""),"{""typ"":""lc"",""txt"":""LC_ITEM_speedup_cure2_desc"",""args"":[{""typ"":""int"",""val"":24}]}")</f>
        <v>{"typ":"lc","txt":"LC_ITEM_speedup_cure2_desc","args":[{"typ":"int","val":24}]}</v>
      </c>
      <c r="L87" s="148" t="str">
        <f>IFERROR(__xludf.DUMMYFUNCTION("""COMPUTED_VALUE"""),"{""typ"":""lc"",""txt"":""LC_ITEM_speedup_cure2_usedtip"",""args"":[{""typ"":""int"",""val"":24}]}")</f>
        <v>{"typ":"lc","txt":"LC_ITEM_speedup_cure2_usedtip","args":[{"typ":"int","val":24}]}</v>
      </c>
      <c r="M87" s="148">
        <f>IFERROR(__xludf.DUMMYFUNCTION("""COMPUTED_VALUE"""),2000.0)</f>
        <v>2000</v>
      </c>
      <c r="N87" s="148">
        <f>IFERROR(__xludf.DUMMYFUNCTION("""COMPUTED_VALUE"""),999999.0)</f>
        <v>999999</v>
      </c>
      <c r="O87" s="148">
        <f>IFERROR(__xludf.DUMMYFUNCTION("""COMPUTED_VALUE"""),99999.0)</f>
        <v>99999</v>
      </c>
      <c r="P87" s="148">
        <f>IFERROR(__xludf.DUMMYFUNCTION("""COMPUTED_VALUE"""),99999.0)</f>
        <v>99999</v>
      </c>
      <c r="Q87" s="148" t="str">
        <f>IFERROR(__xludf.DUMMYFUNCTION("""COMPUTED_VALUE"""),"[""bag_speedup"",""speed_heal""]")</f>
        <v>["bag_speedup","speed_heal"]</v>
      </c>
      <c r="R87" s="148" t="str">
        <f>IFERROR(__xludf.DUMMYFUNCTION("""COMPUTED_VALUE"""),"[""speed_heal"",""speed_mechaqueue""]")</f>
        <v>["speed_heal","speed_mechaqueue"]</v>
      </c>
      <c r="S87" s="148" t="str">
        <f>IFERROR(__xludf.DUMMYFUNCTION("""COMPUTED_VALUE"""),"{""effect"":[{""typ"":""speedup"",""id"":11241005,""val"":86400000}]}")</f>
        <v>{"effect":[{"typ":"speedup","id":11241005,"val":86400000}]}</v>
      </c>
      <c r="T87" s="148">
        <f>IFERROR(__xludf.DUMMYFUNCTION("""COMPUTED_VALUE"""),-1.0)</f>
        <v>-1</v>
      </c>
      <c r="U87" s="148">
        <f>IFERROR(__xludf.DUMMYFUNCTION("""COMPUTED_VALUE"""),0.0)</f>
        <v>0</v>
      </c>
      <c r="V87" s="148" t="str">
        <f>IFERROR(__xludf.DUMMYFUNCTION("""COMPUTED_VALUE"""),"[]")</f>
        <v>[]</v>
      </c>
      <c r="W87" s="148">
        <f>IFERROR(__xludf.DUMMYFUNCTION("""COMPUTED_VALUE"""),1.1741003E7)</f>
        <v>11741003</v>
      </c>
      <c r="X87" s="148">
        <f>IFERROR(__xludf.DUMMYFUNCTION("""COMPUTED_VALUE"""),0.0)</f>
        <v>0</v>
      </c>
      <c r="Y87" s="148">
        <f>IFERROR(__xludf.DUMMYFUNCTION("""COMPUTED_VALUE"""),0.0)</f>
        <v>0</v>
      </c>
      <c r="Z87" s="148"/>
    </row>
    <row r="88">
      <c r="A88" s="148">
        <f>IFERROR(__xludf.DUMMYFUNCTION("""COMPUTED_VALUE"""),1.1111151E7)</f>
        <v>11111151</v>
      </c>
      <c r="B88" s="148" t="str">
        <f>IFERROR(__xludf.DUMMYFUNCTION("""COMPUTED_VALUE"""),"1分钟训练加速")</f>
        <v>1分钟训练加速</v>
      </c>
      <c r="C88" s="148"/>
      <c r="D88" s="148" t="str">
        <f>IFERROR(__xludf.DUMMYFUNCTION("""COMPUTED_VALUE"""),"item_speedup")</f>
        <v>item_speedup</v>
      </c>
      <c r="E88" s="148">
        <f>IFERROR(__xludf.DUMMYFUNCTION("""COMPUTED_VALUE"""),6.0)</f>
        <v>6</v>
      </c>
      <c r="F88" s="148">
        <f>IFERROR(__xludf.DUMMYFUNCTION("""COMPUTED_VALUE"""),205101.0)</f>
        <v>205101</v>
      </c>
      <c r="G88" s="148">
        <f>IFERROR(__xludf.DUMMYFUNCTION("""COMPUTED_VALUE"""),1.5112585E7)</f>
        <v>15112585</v>
      </c>
      <c r="H88" s="148">
        <f>IFERROR(__xludf.DUMMYFUNCTION("""COMPUTED_VALUE"""),1.511256E7)</f>
        <v>15112560</v>
      </c>
      <c r="I88" s="148" t="str">
        <f>IFERROR(__xludf.DUMMYFUNCTION("""COMPUTED_VALUE"""),"{""typ"":""lc"",""txt"":""LC_ITEM_time_min_upper_show"",""args"":[{""typ"":""int"",""val"":1}]}")</f>
        <v>{"typ":"lc","txt":"LC_ITEM_time_min_upper_show","args":[{"typ":"int","val":1}]}</v>
      </c>
      <c r="J88" s="148" t="str">
        <f>IFERROR(__xludf.DUMMYFUNCTION("""COMPUTED_VALUE"""),"{""typ"":""lc"",""txt"":""LC_ITEM_speedup_training_name"",""args"":[{""typ"":""int"",""val"":1}]}")</f>
        <v>{"typ":"lc","txt":"LC_ITEM_speedup_training_name","args":[{"typ":"int","val":1}]}</v>
      </c>
      <c r="K88" s="148" t="str">
        <f>IFERROR(__xludf.DUMMYFUNCTION("""COMPUTED_VALUE"""),"{""typ"":""lc"",""txt"":""LC_ITEM_speedup_training_desc"",""args"":[{""typ"":""int"",""val"":1}]}")</f>
        <v>{"typ":"lc","txt":"LC_ITEM_speedup_training_desc","args":[{"typ":"int","val":1}]}</v>
      </c>
      <c r="L88" s="148" t="str">
        <f>IFERROR(__xludf.DUMMYFUNCTION("""COMPUTED_VALUE"""),"{""typ"":""lc"",""txt"":""LC_ITEM_speedup_training_usedtip"",""args"":[{""typ"":""int"",""val"":1}]}")</f>
        <v>{"typ":"lc","txt":"LC_ITEM_speedup_training_usedtip","args":[{"typ":"int","val":1}]}</v>
      </c>
      <c r="M88" s="148">
        <f>IFERROR(__xludf.DUMMYFUNCTION("""COMPUTED_VALUE"""),3.0)</f>
        <v>3</v>
      </c>
      <c r="N88" s="148">
        <f>IFERROR(__xludf.DUMMYFUNCTION("""COMPUTED_VALUE"""),999999.0)</f>
        <v>999999</v>
      </c>
      <c r="O88" s="148">
        <f>IFERROR(__xludf.DUMMYFUNCTION("""COMPUTED_VALUE"""),99999.0)</f>
        <v>99999</v>
      </c>
      <c r="P88" s="148">
        <f>IFERROR(__xludf.DUMMYFUNCTION("""COMPUTED_VALUE"""),99999.0)</f>
        <v>99999</v>
      </c>
      <c r="Q88" s="148" t="str">
        <f>IFERROR(__xludf.DUMMYFUNCTION("""COMPUTED_VALUE"""),"[""bag_speedup"",""speed_train""]")</f>
        <v>["bag_speedup","speed_train"]</v>
      </c>
      <c r="R88" s="148" t="str">
        <f>IFERROR(__xludf.DUMMYFUNCTION("""COMPUTED_VALUE"""),"[""speed_train""]")</f>
        <v>["speed_train"]</v>
      </c>
      <c r="S88" s="148" t="str">
        <f>IFERROR(__xludf.DUMMYFUNCTION("""COMPUTED_VALUE"""),"{""effect"":[{""typ"":""speedup"",""id"":11241004,""val"":60000}]}")</f>
        <v>{"effect":[{"typ":"speedup","id":11241004,"val":60000}]}</v>
      </c>
      <c r="T88" s="148">
        <f>IFERROR(__xludf.DUMMYFUNCTION("""COMPUTED_VALUE"""),-1.0)</f>
        <v>-1</v>
      </c>
      <c r="U88" s="148">
        <f>IFERROR(__xludf.DUMMYFUNCTION("""COMPUTED_VALUE"""),0.0)</f>
        <v>0</v>
      </c>
      <c r="V88" s="148" t="str">
        <f>IFERROR(__xludf.DUMMYFUNCTION("""COMPUTED_VALUE"""),"[]")</f>
        <v>[]</v>
      </c>
      <c r="W88" s="148">
        <f>IFERROR(__xludf.DUMMYFUNCTION("""COMPUTED_VALUE"""),1.1741003E7)</f>
        <v>11741003</v>
      </c>
      <c r="X88" s="148">
        <f>IFERROR(__xludf.DUMMYFUNCTION("""COMPUTED_VALUE"""),0.0)</f>
        <v>0</v>
      </c>
      <c r="Y88" s="148">
        <f>IFERROR(__xludf.DUMMYFUNCTION("""COMPUTED_VALUE"""),0.0)</f>
        <v>0</v>
      </c>
      <c r="Z88" s="148"/>
    </row>
    <row r="89">
      <c r="A89" s="148">
        <f>IFERROR(__xludf.DUMMYFUNCTION("""COMPUTED_VALUE"""),1.1111152E7)</f>
        <v>11111152</v>
      </c>
      <c r="B89" s="148" t="str">
        <f>IFERROR(__xludf.DUMMYFUNCTION("""COMPUTED_VALUE"""),"5分钟训练加速")</f>
        <v>5分钟训练加速</v>
      </c>
      <c r="C89" s="148"/>
      <c r="D89" s="148" t="str">
        <f>IFERROR(__xludf.DUMMYFUNCTION("""COMPUTED_VALUE"""),"item_speedup")</f>
        <v>item_speedup</v>
      </c>
      <c r="E89" s="148">
        <f>IFERROR(__xludf.DUMMYFUNCTION("""COMPUTED_VALUE"""),6.0)</f>
        <v>6</v>
      </c>
      <c r="F89" s="148">
        <f>IFERROR(__xludf.DUMMYFUNCTION("""COMPUTED_VALUE"""),205202.0)</f>
        <v>205202</v>
      </c>
      <c r="G89" s="148">
        <f>IFERROR(__xludf.DUMMYFUNCTION("""COMPUTED_VALUE"""),1.5112585E7)</f>
        <v>15112585</v>
      </c>
      <c r="H89" s="148">
        <f>IFERROR(__xludf.DUMMYFUNCTION("""COMPUTED_VALUE"""),1.5112561E7)</f>
        <v>15112561</v>
      </c>
      <c r="I89" s="148" t="str">
        <f>IFERROR(__xludf.DUMMYFUNCTION("""COMPUTED_VALUE"""),"{""typ"":""lc"",""txt"":""LC_ITEM_time_min_upper_show"",""args"":[{""typ"":""int"",""val"":5}]}")</f>
        <v>{"typ":"lc","txt":"LC_ITEM_time_min_upper_show","args":[{"typ":"int","val":5}]}</v>
      </c>
      <c r="J89" s="148" t="str">
        <f>IFERROR(__xludf.DUMMYFUNCTION("""COMPUTED_VALUE"""),"{""typ"":""lc"",""txt"":""LC_ITEM_speedup_training_name"",""args"":[{""typ"":""int"",""val"":5}]}")</f>
        <v>{"typ":"lc","txt":"LC_ITEM_speedup_training_name","args":[{"typ":"int","val":5}]}</v>
      </c>
      <c r="K89" s="148" t="str">
        <f>IFERROR(__xludf.DUMMYFUNCTION("""COMPUTED_VALUE"""),"{""typ"":""lc"",""txt"":""LC_ITEM_speedup_training_desc"",""args"":[{""typ"":""int"",""val"":5}]}")</f>
        <v>{"typ":"lc","txt":"LC_ITEM_speedup_training_desc","args":[{"typ":"int","val":5}]}</v>
      </c>
      <c r="L89" s="148" t="str">
        <f>IFERROR(__xludf.DUMMYFUNCTION("""COMPUTED_VALUE"""),"{""typ"":""lc"",""txt"":""LC_ITEM_speedup_training_usedtip"",""args"":[{""typ"":""int"",""val"":5}]}")</f>
        <v>{"typ":"lc","txt":"LC_ITEM_speedup_training_usedtip","args":[{"typ":"int","val":5}]}</v>
      </c>
      <c r="M89" s="148">
        <f>IFERROR(__xludf.DUMMYFUNCTION("""COMPUTED_VALUE"""),12.0)</f>
        <v>12</v>
      </c>
      <c r="N89" s="148">
        <f>IFERROR(__xludf.DUMMYFUNCTION("""COMPUTED_VALUE"""),999999.0)</f>
        <v>999999</v>
      </c>
      <c r="O89" s="148">
        <f>IFERROR(__xludf.DUMMYFUNCTION("""COMPUTED_VALUE"""),999999.0)</f>
        <v>999999</v>
      </c>
      <c r="P89" s="148">
        <f>IFERROR(__xludf.DUMMYFUNCTION("""COMPUTED_VALUE"""),99999.0)</f>
        <v>99999</v>
      </c>
      <c r="Q89" s="148" t="str">
        <f>IFERROR(__xludf.DUMMYFUNCTION("""COMPUTED_VALUE"""),"[""bag_speedup"",""speed_train""]")</f>
        <v>["bag_speedup","speed_train"]</v>
      </c>
      <c r="R89" s="148" t="str">
        <f>IFERROR(__xludf.DUMMYFUNCTION("""COMPUTED_VALUE"""),"[""speed_train""]")</f>
        <v>["speed_train"]</v>
      </c>
      <c r="S89" s="148" t="str">
        <f>IFERROR(__xludf.DUMMYFUNCTION("""COMPUTED_VALUE"""),"{""effect"":[{""typ"":""speedup"",""id"":11241004,""val"":300000}]}")</f>
        <v>{"effect":[{"typ":"speedup","id":11241004,"val":300000}]}</v>
      </c>
      <c r="T89" s="148">
        <f>IFERROR(__xludf.DUMMYFUNCTION("""COMPUTED_VALUE"""),-1.0)</f>
        <v>-1</v>
      </c>
      <c r="U89" s="148">
        <f>IFERROR(__xludf.DUMMYFUNCTION("""COMPUTED_VALUE"""),0.0)</f>
        <v>0</v>
      </c>
      <c r="V89" s="148" t="str">
        <f>IFERROR(__xludf.DUMMYFUNCTION("""COMPUTED_VALUE"""),"[]")</f>
        <v>[]</v>
      </c>
      <c r="W89" s="148">
        <f>IFERROR(__xludf.DUMMYFUNCTION("""COMPUTED_VALUE"""),1.1741003E7)</f>
        <v>11741003</v>
      </c>
      <c r="X89" s="148">
        <f>IFERROR(__xludf.DUMMYFUNCTION("""COMPUTED_VALUE"""),0.0)</f>
        <v>0</v>
      </c>
      <c r="Y89" s="148">
        <f>IFERROR(__xludf.DUMMYFUNCTION("""COMPUTED_VALUE"""),0.0)</f>
        <v>0</v>
      </c>
      <c r="Z89" s="148"/>
    </row>
    <row r="90">
      <c r="A90" s="148">
        <f>IFERROR(__xludf.DUMMYFUNCTION("""COMPUTED_VALUE"""),1.1111153E7)</f>
        <v>11111153</v>
      </c>
      <c r="B90" s="148" t="str">
        <f>IFERROR(__xludf.DUMMYFUNCTION("""COMPUTED_VALUE"""),"10分钟训练加速")</f>
        <v>10分钟训练加速</v>
      </c>
      <c r="C90" s="148"/>
      <c r="D90" s="148" t="str">
        <f>IFERROR(__xludf.DUMMYFUNCTION("""COMPUTED_VALUE"""),"item_speedup")</f>
        <v>item_speedup</v>
      </c>
      <c r="E90" s="148">
        <f>IFERROR(__xludf.DUMMYFUNCTION("""COMPUTED_VALUE"""),6.0)</f>
        <v>6</v>
      </c>
      <c r="F90" s="148">
        <f>IFERROR(__xludf.DUMMYFUNCTION("""COMPUTED_VALUE"""),205203.0)</f>
        <v>205203</v>
      </c>
      <c r="G90" s="148">
        <f>IFERROR(__xludf.DUMMYFUNCTION("""COMPUTED_VALUE"""),1.5112585E7)</f>
        <v>15112585</v>
      </c>
      <c r="H90" s="148">
        <f>IFERROR(__xludf.DUMMYFUNCTION("""COMPUTED_VALUE"""),1.5112561E7)</f>
        <v>15112561</v>
      </c>
      <c r="I90" s="148" t="str">
        <f>IFERROR(__xludf.DUMMYFUNCTION("""COMPUTED_VALUE"""),"{""typ"":""lc"",""txt"":""LC_ITEM_time_min_upper_show"",""args"":[{""typ"":""int"",""val"":10}]}")</f>
        <v>{"typ":"lc","txt":"LC_ITEM_time_min_upper_show","args":[{"typ":"int","val":10}]}</v>
      </c>
      <c r="J90" s="148" t="str">
        <f>IFERROR(__xludf.DUMMYFUNCTION("""COMPUTED_VALUE"""),"{""typ"":""lc"",""txt"":""LC_ITEM_speedup_training_name"",""args"":[{""typ"":""int"",""val"":10}]}")</f>
        <v>{"typ":"lc","txt":"LC_ITEM_speedup_training_name","args":[{"typ":"int","val":10}]}</v>
      </c>
      <c r="K90" s="148" t="str">
        <f>IFERROR(__xludf.DUMMYFUNCTION("""COMPUTED_VALUE"""),"{""typ"":""lc"",""txt"":""LC_ITEM_speedup_training_desc"",""args"":[{""typ"":""int"",""val"":10}]}")</f>
        <v>{"typ":"lc","txt":"LC_ITEM_speedup_training_desc","args":[{"typ":"int","val":10}]}</v>
      </c>
      <c r="L90" s="148" t="str">
        <f>IFERROR(__xludf.DUMMYFUNCTION("""COMPUTED_VALUE"""),"{""typ"":""lc"",""txt"":""LC_ITEM_speedup_training_usedtip"",""args"":[{""typ"":""int"",""val"":10}]}")</f>
        <v>{"typ":"lc","txt":"LC_ITEM_speedup_training_usedtip","args":[{"typ":"int","val":10}]}</v>
      </c>
      <c r="M90" s="148">
        <f>IFERROR(__xludf.DUMMYFUNCTION("""COMPUTED_VALUE"""),24.0)</f>
        <v>24</v>
      </c>
      <c r="N90" s="148">
        <f>IFERROR(__xludf.DUMMYFUNCTION("""COMPUTED_VALUE"""),999999.0)</f>
        <v>999999</v>
      </c>
      <c r="O90" s="148">
        <f>IFERROR(__xludf.DUMMYFUNCTION("""COMPUTED_VALUE"""),99999.0)</f>
        <v>99999</v>
      </c>
      <c r="P90" s="148">
        <f>IFERROR(__xludf.DUMMYFUNCTION("""COMPUTED_VALUE"""),99999.0)</f>
        <v>99999</v>
      </c>
      <c r="Q90" s="148" t="str">
        <f>IFERROR(__xludf.DUMMYFUNCTION("""COMPUTED_VALUE"""),"[""bag_speedup"",""speed_train""]")</f>
        <v>["bag_speedup","speed_train"]</v>
      </c>
      <c r="R90" s="148" t="str">
        <f>IFERROR(__xludf.DUMMYFUNCTION("""COMPUTED_VALUE"""),"[""speed_train""]")</f>
        <v>["speed_train"]</v>
      </c>
      <c r="S90" s="148" t="str">
        <f>IFERROR(__xludf.DUMMYFUNCTION("""COMPUTED_VALUE"""),"{""effect"":[{""typ"":""speedup"",""id"":11241004,""val"":600000}]}")</f>
        <v>{"effect":[{"typ":"speedup","id":11241004,"val":600000}]}</v>
      </c>
      <c r="T90" s="148">
        <f>IFERROR(__xludf.DUMMYFUNCTION("""COMPUTED_VALUE"""),-1.0)</f>
        <v>-1</v>
      </c>
      <c r="U90" s="148">
        <f>IFERROR(__xludf.DUMMYFUNCTION("""COMPUTED_VALUE"""),0.0)</f>
        <v>0</v>
      </c>
      <c r="V90" s="148" t="str">
        <f>IFERROR(__xludf.DUMMYFUNCTION("""COMPUTED_VALUE"""),"[]")</f>
        <v>[]</v>
      </c>
      <c r="W90" s="148">
        <f>IFERROR(__xludf.DUMMYFUNCTION("""COMPUTED_VALUE"""),1.1741003E7)</f>
        <v>11741003</v>
      </c>
      <c r="X90" s="148">
        <f>IFERROR(__xludf.DUMMYFUNCTION("""COMPUTED_VALUE"""),0.0)</f>
        <v>0</v>
      </c>
      <c r="Y90" s="148">
        <f>IFERROR(__xludf.DUMMYFUNCTION("""COMPUTED_VALUE"""),0.0)</f>
        <v>0</v>
      </c>
      <c r="Z90" s="148"/>
    </row>
    <row r="91">
      <c r="A91" s="148">
        <f>IFERROR(__xludf.DUMMYFUNCTION("""COMPUTED_VALUE"""),1.1111154E7)</f>
        <v>11111154</v>
      </c>
      <c r="B91" s="148" t="str">
        <f>IFERROR(__xludf.DUMMYFUNCTION("""COMPUTED_VALUE"""),"15分钟训练加速")</f>
        <v>15分钟训练加速</v>
      </c>
      <c r="C91" s="148"/>
      <c r="D91" s="148" t="str">
        <f>IFERROR(__xludf.DUMMYFUNCTION("""COMPUTED_VALUE"""),"item_speedup")</f>
        <v>item_speedup</v>
      </c>
      <c r="E91" s="148">
        <f>IFERROR(__xludf.DUMMYFUNCTION("""COMPUTED_VALUE"""),6.0)</f>
        <v>6</v>
      </c>
      <c r="F91" s="148">
        <f>IFERROR(__xludf.DUMMYFUNCTION("""COMPUTED_VALUE"""),205204.0)</f>
        <v>205204</v>
      </c>
      <c r="G91" s="148">
        <f>IFERROR(__xludf.DUMMYFUNCTION("""COMPUTED_VALUE"""),1.5112585E7)</f>
        <v>15112585</v>
      </c>
      <c r="H91" s="148">
        <f>IFERROR(__xludf.DUMMYFUNCTION("""COMPUTED_VALUE"""),1.5112561E7)</f>
        <v>15112561</v>
      </c>
      <c r="I91" s="148" t="str">
        <f>IFERROR(__xludf.DUMMYFUNCTION("""COMPUTED_VALUE"""),"{""typ"":""lc"",""txt"":""LC_ITEM_time_min_upper_show"",""args"":[{""typ"":""int"",""val"":15}]}")</f>
        <v>{"typ":"lc","txt":"LC_ITEM_time_min_upper_show","args":[{"typ":"int","val":15}]}</v>
      </c>
      <c r="J91" s="148" t="str">
        <f>IFERROR(__xludf.DUMMYFUNCTION("""COMPUTED_VALUE"""),"{""typ"":""lc"",""txt"":""LC_ITEM_speedup_training_name"",""args"":[{""typ"":""int"",""val"":15}]}")</f>
        <v>{"typ":"lc","txt":"LC_ITEM_speedup_training_name","args":[{"typ":"int","val":15}]}</v>
      </c>
      <c r="K91" s="148" t="str">
        <f>IFERROR(__xludf.DUMMYFUNCTION("""COMPUTED_VALUE"""),"{""typ"":""lc"",""txt"":""LC_ITEM_speedup_training_desc"",""args"":[{""typ"":""int"",""val"":15}]}")</f>
        <v>{"typ":"lc","txt":"LC_ITEM_speedup_training_desc","args":[{"typ":"int","val":15}]}</v>
      </c>
      <c r="L91" s="148" t="str">
        <f>IFERROR(__xludf.DUMMYFUNCTION("""COMPUTED_VALUE"""),"{""typ"":""lc"",""txt"":""LC_ITEM_speedup_training_usedtip"",""args"":[{""typ"":""int"",""val"":15}]}")</f>
        <v>{"typ":"lc","txt":"LC_ITEM_speedup_training_usedtip","args":[{"typ":"int","val":15}]}</v>
      </c>
      <c r="M91" s="148">
        <f>IFERROR(__xludf.DUMMYFUNCTION("""COMPUTED_VALUE"""),35.0)</f>
        <v>35</v>
      </c>
      <c r="N91" s="148">
        <f>IFERROR(__xludf.DUMMYFUNCTION("""COMPUTED_VALUE"""),999999.0)</f>
        <v>999999</v>
      </c>
      <c r="O91" s="148">
        <f>IFERROR(__xludf.DUMMYFUNCTION("""COMPUTED_VALUE"""),99999.0)</f>
        <v>99999</v>
      </c>
      <c r="P91" s="148">
        <f>IFERROR(__xludf.DUMMYFUNCTION("""COMPUTED_VALUE"""),99999.0)</f>
        <v>99999</v>
      </c>
      <c r="Q91" s="148" t="str">
        <f>IFERROR(__xludf.DUMMYFUNCTION("""COMPUTED_VALUE"""),"[""bag_speedup"",""speed_train""]")</f>
        <v>["bag_speedup","speed_train"]</v>
      </c>
      <c r="R91" s="148" t="str">
        <f>IFERROR(__xludf.DUMMYFUNCTION("""COMPUTED_VALUE"""),"[""speed_train""]")</f>
        <v>["speed_train"]</v>
      </c>
      <c r="S91" s="148" t="str">
        <f>IFERROR(__xludf.DUMMYFUNCTION("""COMPUTED_VALUE"""),"{""effect"":[{""typ"":""speedup"",""id"":11241004,""val"":900000}]}")</f>
        <v>{"effect":[{"typ":"speedup","id":11241004,"val":900000}]}</v>
      </c>
      <c r="T91" s="148">
        <f>IFERROR(__xludf.DUMMYFUNCTION("""COMPUTED_VALUE"""),-1.0)</f>
        <v>-1</v>
      </c>
      <c r="U91" s="148">
        <f>IFERROR(__xludf.DUMMYFUNCTION("""COMPUTED_VALUE"""),0.0)</f>
        <v>0</v>
      </c>
      <c r="V91" s="148" t="str">
        <f>IFERROR(__xludf.DUMMYFUNCTION("""COMPUTED_VALUE"""),"[]")</f>
        <v>[]</v>
      </c>
      <c r="W91" s="148">
        <f>IFERROR(__xludf.DUMMYFUNCTION("""COMPUTED_VALUE"""),1.1741003E7)</f>
        <v>11741003</v>
      </c>
      <c r="X91" s="148">
        <f>IFERROR(__xludf.DUMMYFUNCTION("""COMPUTED_VALUE"""),0.0)</f>
        <v>0</v>
      </c>
      <c r="Y91" s="148">
        <f>IFERROR(__xludf.DUMMYFUNCTION("""COMPUTED_VALUE"""),0.0)</f>
        <v>0</v>
      </c>
      <c r="Z91" s="148"/>
    </row>
    <row r="92">
      <c r="A92" s="148">
        <f>IFERROR(__xludf.DUMMYFUNCTION("""COMPUTED_VALUE"""),1.1111155E7)</f>
        <v>11111155</v>
      </c>
      <c r="B92" s="148" t="str">
        <f>IFERROR(__xludf.DUMMYFUNCTION("""COMPUTED_VALUE"""),"30分钟训练加速")</f>
        <v>30分钟训练加速</v>
      </c>
      <c r="C92" s="148"/>
      <c r="D92" s="148" t="str">
        <f>IFERROR(__xludf.DUMMYFUNCTION("""COMPUTED_VALUE"""),"item_speedup")</f>
        <v>item_speedup</v>
      </c>
      <c r="E92" s="148">
        <f>IFERROR(__xludf.DUMMYFUNCTION("""COMPUTED_VALUE"""),6.0)</f>
        <v>6</v>
      </c>
      <c r="F92" s="148">
        <f>IFERROR(__xludf.DUMMYFUNCTION("""COMPUTED_VALUE"""),205305.0)</f>
        <v>205305</v>
      </c>
      <c r="G92" s="148">
        <f>IFERROR(__xludf.DUMMYFUNCTION("""COMPUTED_VALUE"""),1.5112585E7)</f>
        <v>15112585</v>
      </c>
      <c r="H92" s="148">
        <f>IFERROR(__xludf.DUMMYFUNCTION("""COMPUTED_VALUE"""),1.5112562E7)</f>
        <v>15112562</v>
      </c>
      <c r="I92" s="148" t="str">
        <f>IFERROR(__xludf.DUMMYFUNCTION("""COMPUTED_VALUE"""),"{""typ"":""lc"",""txt"":""LC_ITEM_time_min_upper_show"",""args"":[{""typ"":""int"",""val"":30}]}")</f>
        <v>{"typ":"lc","txt":"LC_ITEM_time_min_upper_show","args":[{"typ":"int","val":30}]}</v>
      </c>
      <c r="J92" s="148" t="str">
        <f>IFERROR(__xludf.DUMMYFUNCTION("""COMPUTED_VALUE"""),"{""typ"":""lc"",""txt"":""LC_ITEM_speedup_training_name"",""args"":[{""typ"":""int"",""val"":30}]}")</f>
        <v>{"typ":"lc","txt":"LC_ITEM_speedup_training_name","args":[{"typ":"int","val":30}]}</v>
      </c>
      <c r="K92" s="148" t="str">
        <f>IFERROR(__xludf.DUMMYFUNCTION("""COMPUTED_VALUE"""),"{""typ"":""lc"",""txt"":""LC_ITEM_speedup_training_desc"",""args"":[{""typ"":""int"",""val"":30}]}")</f>
        <v>{"typ":"lc","txt":"LC_ITEM_speedup_training_desc","args":[{"typ":"int","val":30}]}</v>
      </c>
      <c r="L92" s="148" t="str">
        <f>IFERROR(__xludf.DUMMYFUNCTION("""COMPUTED_VALUE"""),"{""typ"":""lc"",""txt"":""LC_ITEM_speedup_training_usedtip"",""args"":[{""typ"":""int"",""val"":30}]}")</f>
        <v>{"typ":"lc","txt":"LC_ITEM_speedup_training_usedtip","args":[{"typ":"int","val":30}]}</v>
      </c>
      <c r="M92" s="148">
        <f>IFERROR(__xludf.DUMMYFUNCTION("""COMPUTED_VALUE"""),60.0)</f>
        <v>60</v>
      </c>
      <c r="N92" s="148">
        <f>IFERROR(__xludf.DUMMYFUNCTION("""COMPUTED_VALUE"""),999999.0)</f>
        <v>999999</v>
      </c>
      <c r="O92" s="148">
        <f>IFERROR(__xludf.DUMMYFUNCTION("""COMPUTED_VALUE"""),99999.0)</f>
        <v>99999</v>
      </c>
      <c r="P92" s="148">
        <f>IFERROR(__xludf.DUMMYFUNCTION("""COMPUTED_VALUE"""),99999.0)</f>
        <v>99999</v>
      </c>
      <c r="Q92" s="148" t="str">
        <f>IFERROR(__xludf.DUMMYFUNCTION("""COMPUTED_VALUE"""),"[""bag_speedup"",""speed_train""]")</f>
        <v>["bag_speedup","speed_train"]</v>
      </c>
      <c r="R92" s="148" t="str">
        <f>IFERROR(__xludf.DUMMYFUNCTION("""COMPUTED_VALUE"""),"[""speed_train""]")</f>
        <v>["speed_train"]</v>
      </c>
      <c r="S92" s="148" t="str">
        <f>IFERROR(__xludf.DUMMYFUNCTION("""COMPUTED_VALUE"""),"{""effect"":[{""typ"":""speedup"",""id"":11241004,""val"":1800000}]}")</f>
        <v>{"effect":[{"typ":"speedup","id":11241004,"val":1800000}]}</v>
      </c>
      <c r="T92" s="148">
        <f>IFERROR(__xludf.DUMMYFUNCTION("""COMPUTED_VALUE"""),-1.0)</f>
        <v>-1</v>
      </c>
      <c r="U92" s="148">
        <f>IFERROR(__xludf.DUMMYFUNCTION("""COMPUTED_VALUE"""),0.0)</f>
        <v>0</v>
      </c>
      <c r="V92" s="148" t="str">
        <f>IFERROR(__xludf.DUMMYFUNCTION("""COMPUTED_VALUE"""),"[]")</f>
        <v>[]</v>
      </c>
      <c r="W92" s="148">
        <f>IFERROR(__xludf.DUMMYFUNCTION("""COMPUTED_VALUE"""),1.1741003E7)</f>
        <v>11741003</v>
      </c>
      <c r="X92" s="148">
        <f>IFERROR(__xludf.DUMMYFUNCTION("""COMPUTED_VALUE"""),0.0)</f>
        <v>0</v>
      </c>
      <c r="Y92" s="148">
        <f>IFERROR(__xludf.DUMMYFUNCTION("""COMPUTED_VALUE"""),0.0)</f>
        <v>0</v>
      </c>
      <c r="Z92" s="148"/>
    </row>
    <row r="93">
      <c r="A93" s="148">
        <f>IFERROR(__xludf.DUMMYFUNCTION("""COMPUTED_VALUE"""),1.1111156E7)</f>
        <v>11111156</v>
      </c>
      <c r="B93" s="148" t="str">
        <f>IFERROR(__xludf.DUMMYFUNCTION("""COMPUTED_VALUE"""),"60分钟训练加速")</f>
        <v>60分钟训练加速</v>
      </c>
      <c r="C93" s="148"/>
      <c r="D93" s="148" t="str">
        <f>IFERROR(__xludf.DUMMYFUNCTION("""COMPUTED_VALUE"""),"item_speedup")</f>
        <v>item_speedup</v>
      </c>
      <c r="E93" s="148">
        <f>IFERROR(__xludf.DUMMYFUNCTION("""COMPUTED_VALUE"""),6.0)</f>
        <v>6</v>
      </c>
      <c r="F93" s="148">
        <f>IFERROR(__xludf.DUMMYFUNCTION("""COMPUTED_VALUE"""),205306.0)</f>
        <v>205306</v>
      </c>
      <c r="G93" s="148">
        <f>IFERROR(__xludf.DUMMYFUNCTION("""COMPUTED_VALUE"""),1.5112585E7)</f>
        <v>15112585</v>
      </c>
      <c r="H93" s="148">
        <f>IFERROR(__xludf.DUMMYFUNCTION("""COMPUTED_VALUE"""),1.5112562E7)</f>
        <v>15112562</v>
      </c>
      <c r="I93" s="148" t="str">
        <f>IFERROR(__xludf.DUMMYFUNCTION("""COMPUTED_VALUE"""),"{""typ"":""lc"",""txt"":""LC_ITEM_time_h_upper_show"",""args"":[{""typ"":""int"",""val"":1}]}")</f>
        <v>{"typ":"lc","txt":"LC_ITEM_time_h_upper_show","args":[{"typ":"int","val":1}]}</v>
      </c>
      <c r="J93" s="148" t="str">
        <f>IFERROR(__xludf.DUMMYFUNCTION("""COMPUTED_VALUE"""),"{""typ"":""lc"",""txt"":""LC_ITEM_speedup_training2_name"",""args"":[{""typ"":""int"",""val"":1}]}")</f>
        <v>{"typ":"lc","txt":"LC_ITEM_speedup_training2_name","args":[{"typ":"int","val":1}]}</v>
      </c>
      <c r="K93" s="148" t="str">
        <f>IFERROR(__xludf.DUMMYFUNCTION("""COMPUTED_VALUE"""),"{""typ"":""lc"",""txt"":""LC_ITEM_speedup_training2_desc"",""args"":[{""typ"":""int"",""val"":1}]}")</f>
        <v>{"typ":"lc","txt":"LC_ITEM_speedup_training2_desc","args":[{"typ":"int","val":1}]}</v>
      </c>
      <c r="L93" s="148" t="str">
        <f>IFERROR(__xludf.DUMMYFUNCTION("""COMPUTED_VALUE"""),"{""typ"":""lc"",""txt"":""LC_ITEM_speedup_training2_usedtip"",""args"":[{""typ"":""int"",""val"":1}]}")</f>
        <v>{"typ":"lc","txt":"LC_ITEM_speedup_training2_usedtip","args":[{"typ":"int","val":1}]}</v>
      </c>
      <c r="M93" s="148">
        <f>IFERROR(__xludf.DUMMYFUNCTION("""COMPUTED_VALUE"""),100.0)</f>
        <v>100</v>
      </c>
      <c r="N93" s="148">
        <f>IFERROR(__xludf.DUMMYFUNCTION("""COMPUTED_VALUE"""),999999.0)</f>
        <v>999999</v>
      </c>
      <c r="O93" s="148">
        <f>IFERROR(__xludf.DUMMYFUNCTION("""COMPUTED_VALUE"""),99999.0)</f>
        <v>99999</v>
      </c>
      <c r="P93" s="148">
        <f>IFERROR(__xludf.DUMMYFUNCTION("""COMPUTED_VALUE"""),99999.0)</f>
        <v>99999</v>
      </c>
      <c r="Q93" s="148" t="str">
        <f>IFERROR(__xludf.DUMMYFUNCTION("""COMPUTED_VALUE"""),"[""bag_speedup"",""speed_train""]")</f>
        <v>["bag_speedup","speed_train"]</v>
      </c>
      <c r="R93" s="148" t="str">
        <f>IFERROR(__xludf.DUMMYFUNCTION("""COMPUTED_VALUE"""),"[""speed_train""]")</f>
        <v>["speed_train"]</v>
      </c>
      <c r="S93" s="148" t="str">
        <f>IFERROR(__xludf.DUMMYFUNCTION("""COMPUTED_VALUE"""),"{""effect"":[{""typ"":""speedup"",""id"":11241004,""val"":3600000}]}")</f>
        <v>{"effect":[{"typ":"speedup","id":11241004,"val":3600000}]}</v>
      </c>
      <c r="T93" s="148">
        <f>IFERROR(__xludf.DUMMYFUNCTION("""COMPUTED_VALUE"""),-1.0)</f>
        <v>-1</v>
      </c>
      <c r="U93" s="148">
        <f>IFERROR(__xludf.DUMMYFUNCTION("""COMPUTED_VALUE"""),0.0)</f>
        <v>0</v>
      </c>
      <c r="V93" s="148" t="str">
        <f>IFERROR(__xludf.DUMMYFUNCTION("""COMPUTED_VALUE"""),"[]")</f>
        <v>[]</v>
      </c>
      <c r="W93" s="148">
        <f>IFERROR(__xludf.DUMMYFUNCTION("""COMPUTED_VALUE"""),1.1741003E7)</f>
        <v>11741003</v>
      </c>
      <c r="X93" s="148">
        <f>IFERROR(__xludf.DUMMYFUNCTION("""COMPUTED_VALUE"""),0.0)</f>
        <v>0</v>
      </c>
      <c r="Y93" s="148">
        <f>IFERROR(__xludf.DUMMYFUNCTION("""COMPUTED_VALUE"""),0.0)</f>
        <v>0</v>
      </c>
      <c r="Z93" s="148"/>
    </row>
    <row r="94">
      <c r="A94" s="148">
        <f>IFERROR(__xludf.DUMMYFUNCTION("""COMPUTED_VALUE"""),1.1111157E7)</f>
        <v>11111157</v>
      </c>
      <c r="B94" s="148" t="str">
        <f>IFERROR(__xludf.DUMMYFUNCTION("""COMPUTED_VALUE"""),"2小时训练加速")</f>
        <v>2小时训练加速</v>
      </c>
      <c r="C94" s="148"/>
      <c r="D94" s="148" t="str">
        <f>IFERROR(__xludf.DUMMYFUNCTION("""COMPUTED_VALUE"""),"item_speedup")</f>
        <v>item_speedup</v>
      </c>
      <c r="E94" s="148">
        <f>IFERROR(__xludf.DUMMYFUNCTION("""COMPUTED_VALUE"""),6.0)</f>
        <v>6</v>
      </c>
      <c r="F94" s="148">
        <f>IFERROR(__xludf.DUMMYFUNCTION("""COMPUTED_VALUE"""),205307.0)</f>
        <v>205307</v>
      </c>
      <c r="G94" s="148">
        <f>IFERROR(__xludf.DUMMYFUNCTION("""COMPUTED_VALUE"""),1.5112585E7)</f>
        <v>15112585</v>
      </c>
      <c r="H94" s="148">
        <f>IFERROR(__xludf.DUMMYFUNCTION("""COMPUTED_VALUE"""),1.5112562E7)</f>
        <v>15112562</v>
      </c>
      <c r="I94" s="148" t="str">
        <f>IFERROR(__xludf.DUMMYFUNCTION("""COMPUTED_VALUE"""),"{""typ"":""lc"",""txt"":""LC_ITEM_time_h_upper_show"",""args"":[{""typ"":""int"",""val"":2}]}")</f>
        <v>{"typ":"lc","txt":"LC_ITEM_time_h_upper_show","args":[{"typ":"int","val":2}]}</v>
      </c>
      <c r="J94" s="148" t="str">
        <f>IFERROR(__xludf.DUMMYFUNCTION("""COMPUTED_VALUE"""),"{""typ"":""lc"",""txt"":""LC_ITEM_speedup_training2_name"",""args"":[{""typ"":""int"",""val"":2}]}")</f>
        <v>{"typ":"lc","txt":"LC_ITEM_speedup_training2_name","args":[{"typ":"int","val":2}]}</v>
      </c>
      <c r="K94" s="148" t="str">
        <f>IFERROR(__xludf.DUMMYFUNCTION("""COMPUTED_VALUE"""),"{""typ"":""lc"",""txt"":""LC_ITEM_speedup_training2_desc"",""args"":[{""typ"":""int"",""val"":2}]}")</f>
        <v>{"typ":"lc","txt":"LC_ITEM_speedup_training2_desc","args":[{"typ":"int","val":2}]}</v>
      </c>
      <c r="L94" s="148" t="str">
        <f>IFERROR(__xludf.DUMMYFUNCTION("""COMPUTED_VALUE"""),"{""typ"":""lc"",""txt"":""LC_ITEM_speedup_training2_usedtip"",""args"":[{""typ"":""int"",""val"":2}]}")</f>
        <v>{"typ":"lc","txt":"LC_ITEM_speedup_training2_usedtip","args":[{"typ":"int","val":2}]}</v>
      </c>
      <c r="M94" s="148">
        <f>IFERROR(__xludf.DUMMYFUNCTION("""COMPUTED_VALUE"""),200.0)</f>
        <v>200</v>
      </c>
      <c r="N94" s="148">
        <f>IFERROR(__xludf.DUMMYFUNCTION("""COMPUTED_VALUE"""),999999.0)</f>
        <v>999999</v>
      </c>
      <c r="O94" s="148">
        <f>IFERROR(__xludf.DUMMYFUNCTION("""COMPUTED_VALUE"""),99999.0)</f>
        <v>99999</v>
      </c>
      <c r="P94" s="148">
        <f>IFERROR(__xludf.DUMMYFUNCTION("""COMPUTED_VALUE"""),99999.0)</f>
        <v>99999</v>
      </c>
      <c r="Q94" s="148" t="str">
        <f>IFERROR(__xludf.DUMMYFUNCTION("""COMPUTED_VALUE"""),"[""bag_speedup"",""speed_train""]")</f>
        <v>["bag_speedup","speed_train"]</v>
      </c>
      <c r="R94" s="148" t="str">
        <f>IFERROR(__xludf.DUMMYFUNCTION("""COMPUTED_VALUE"""),"[""speed_train""]")</f>
        <v>["speed_train"]</v>
      </c>
      <c r="S94" s="148" t="str">
        <f>IFERROR(__xludf.DUMMYFUNCTION("""COMPUTED_VALUE"""),"{""effect"":[{""typ"":""speedup"",""id"":11241004,""val"":7200000}]}")</f>
        <v>{"effect":[{"typ":"speedup","id":11241004,"val":7200000}]}</v>
      </c>
      <c r="T94" s="148">
        <f>IFERROR(__xludf.DUMMYFUNCTION("""COMPUTED_VALUE"""),-1.0)</f>
        <v>-1</v>
      </c>
      <c r="U94" s="148">
        <f>IFERROR(__xludf.DUMMYFUNCTION("""COMPUTED_VALUE"""),0.0)</f>
        <v>0</v>
      </c>
      <c r="V94" s="148" t="str">
        <f>IFERROR(__xludf.DUMMYFUNCTION("""COMPUTED_VALUE"""),"[]")</f>
        <v>[]</v>
      </c>
      <c r="W94" s="148">
        <f>IFERROR(__xludf.DUMMYFUNCTION("""COMPUTED_VALUE"""),1.1741003E7)</f>
        <v>11741003</v>
      </c>
      <c r="X94" s="148">
        <f>IFERROR(__xludf.DUMMYFUNCTION("""COMPUTED_VALUE"""),0.0)</f>
        <v>0</v>
      </c>
      <c r="Y94" s="148">
        <f>IFERROR(__xludf.DUMMYFUNCTION("""COMPUTED_VALUE"""),0.0)</f>
        <v>0</v>
      </c>
      <c r="Z94" s="148"/>
    </row>
    <row r="95">
      <c r="A95" s="148">
        <f>IFERROR(__xludf.DUMMYFUNCTION("""COMPUTED_VALUE"""),1.1111158E7)</f>
        <v>11111158</v>
      </c>
      <c r="B95" s="148" t="str">
        <f>IFERROR(__xludf.DUMMYFUNCTION("""COMPUTED_VALUE"""),"8小时训练加速")</f>
        <v>8小时训练加速</v>
      </c>
      <c r="C95" s="148"/>
      <c r="D95" s="148" t="str">
        <f>IFERROR(__xludf.DUMMYFUNCTION("""COMPUTED_VALUE"""),"item_speedup")</f>
        <v>item_speedup</v>
      </c>
      <c r="E95" s="148">
        <f>IFERROR(__xludf.DUMMYFUNCTION("""COMPUTED_VALUE"""),6.0)</f>
        <v>6</v>
      </c>
      <c r="F95" s="148">
        <f>IFERROR(__xludf.DUMMYFUNCTION("""COMPUTED_VALUE"""),205408.0)</f>
        <v>205408</v>
      </c>
      <c r="G95" s="148">
        <f>IFERROR(__xludf.DUMMYFUNCTION("""COMPUTED_VALUE"""),1.5112585E7)</f>
        <v>15112585</v>
      </c>
      <c r="H95" s="148">
        <f>IFERROR(__xludf.DUMMYFUNCTION("""COMPUTED_VALUE"""),1.5112563E7)</f>
        <v>15112563</v>
      </c>
      <c r="I95" s="148" t="str">
        <f>IFERROR(__xludf.DUMMYFUNCTION("""COMPUTED_VALUE"""),"{""typ"":""lc"",""txt"":""LC_ITEM_time_h_upper_show"",""args"":[{""typ"":""int"",""val"":8}]}")</f>
        <v>{"typ":"lc","txt":"LC_ITEM_time_h_upper_show","args":[{"typ":"int","val":8}]}</v>
      </c>
      <c r="J95" s="148" t="str">
        <f>IFERROR(__xludf.DUMMYFUNCTION("""COMPUTED_VALUE"""),"{""typ"":""lc"",""txt"":""LC_ITEM_speedup_training2_name"",""args"":[{""typ"":""int"",""val"":8}]}")</f>
        <v>{"typ":"lc","txt":"LC_ITEM_speedup_training2_name","args":[{"typ":"int","val":8}]}</v>
      </c>
      <c r="K95" s="148" t="str">
        <f>IFERROR(__xludf.DUMMYFUNCTION("""COMPUTED_VALUE"""),"{""typ"":""lc"",""txt"":""LC_ITEM_speedup_training2_desc"",""args"":[{""typ"":""int"",""val"":8}]}")</f>
        <v>{"typ":"lc","txt":"LC_ITEM_speedup_training2_desc","args":[{"typ":"int","val":8}]}</v>
      </c>
      <c r="L95" s="148" t="str">
        <f>IFERROR(__xludf.DUMMYFUNCTION("""COMPUTED_VALUE"""),"{""typ"":""lc"",""txt"":""LC_ITEM_speedup_training2_usedtip"",""args"":[{""typ"":""int"",""val"":8}]}")</f>
        <v>{"typ":"lc","txt":"LC_ITEM_speedup_training2_usedtip","args":[{"typ":"int","val":8}]}</v>
      </c>
      <c r="M95" s="148">
        <f>IFERROR(__xludf.DUMMYFUNCTION("""COMPUTED_VALUE"""),750.0)</f>
        <v>750</v>
      </c>
      <c r="N95" s="148">
        <f>IFERROR(__xludf.DUMMYFUNCTION("""COMPUTED_VALUE"""),999999.0)</f>
        <v>999999</v>
      </c>
      <c r="O95" s="148">
        <f>IFERROR(__xludf.DUMMYFUNCTION("""COMPUTED_VALUE"""),99999.0)</f>
        <v>99999</v>
      </c>
      <c r="P95" s="148">
        <f>IFERROR(__xludf.DUMMYFUNCTION("""COMPUTED_VALUE"""),99999.0)</f>
        <v>99999</v>
      </c>
      <c r="Q95" s="148" t="str">
        <f>IFERROR(__xludf.DUMMYFUNCTION("""COMPUTED_VALUE"""),"[""bag_speedup"",""speed_train""]")</f>
        <v>["bag_speedup","speed_train"]</v>
      </c>
      <c r="R95" s="148" t="str">
        <f>IFERROR(__xludf.DUMMYFUNCTION("""COMPUTED_VALUE"""),"[""speed_train""]")</f>
        <v>["speed_train"]</v>
      </c>
      <c r="S95" s="148" t="str">
        <f>IFERROR(__xludf.DUMMYFUNCTION("""COMPUTED_VALUE"""),"{""effect"":[{""typ"":""speedup"",""id"":11241004,""val"":28800000}]}")</f>
        <v>{"effect":[{"typ":"speedup","id":11241004,"val":28800000}]}</v>
      </c>
      <c r="T95" s="148">
        <f>IFERROR(__xludf.DUMMYFUNCTION("""COMPUTED_VALUE"""),-1.0)</f>
        <v>-1</v>
      </c>
      <c r="U95" s="148">
        <f>IFERROR(__xludf.DUMMYFUNCTION("""COMPUTED_VALUE"""),0.0)</f>
        <v>0</v>
      </c>
      <c r="V95" s="148" t="str">
        <f>IFERROR(__xludf.DUMMYFUNCTION("""COMPUTED_VALUE"""),"[]")</f>
        <v>[]</v>
      </c>
      <c r="W95" s="148">
        <f>IFERROR(__xludf.DUMMYFUNCTION("""COMPUTED_VALUE"""),1.1741003E7)</f>
        <v>11741003</v>
      </c>
      <c r="X95" s="148">
        <f>IFERROR(__xludf.DUMMYFUNCTION("""COMPUTED_VALUE"""),0.0)</f>
        <v>0</v>
      </c>
      <c r="Y95" s="148">
        <f>IFERROR(__xludf.DUMMYFUNCTION("""COMPUTED_VALUE"""),0.0)</f>
        <v>0</v>
      </c>
      <c r="Z95" s="148"/>
    </row>
    <row r="96">
      <c r="A96" s="148">
        <f>IFERROR(__xludf.DUMMYFUNCTION("""COMPUTED_VALUE"""),1.1111159E7)</f>
        <v>11111159</v>
      </c>
      <c r="B96" s="148" t="str">
        <f>IFERROR(__xludf.DUMMYFUNCTION("""COMPUTED_VALUE"""),"12小时训练加速")</f>
        <v>12小时训练加速</v>
      </c>
      <c r="C96" s="148"/>
      <c r="D96" s="148" t="str">
        <f>IFERROR(__xludf.DUMMYFUNCTION("""COMPUTED_VALUE"""),"item_speedup")</f>
        <v>item_speedup</v>
      </c>
      <c r="E96" s="148">
        <f>IFERROR(__xludf.DUMMYFUNCTION("""COMPUTED_VALUE"""),6.0)</f>
        <v>6</v>
      </c>
      <c r="F96" s="148">
        <f>IFERROR(__xludf.DUMMYFUNCTION("""COMPUTED_VALUE"""),205409.0)</f>
        <v>205409</v>
      </c>
      <c r="G96" s="148">
        <f>IFERROR(__xludf.DUMMYFUNCTION("""COMPUTED_VALUE"""),1.5112585E7)</f>
        <v>15112585</v>
      </c>
      <c r="H96" s="148">
        <f>IFERROR(__xludf.DUMMYFUNCTION("""COMPUTED_VALUE"""),1.5112563E7)</f>
        <v>15112563</v>
      </c>
      <c r="I96" s="148" t="str">
        <f>IFERROR(__xludf.DUMMYFUNCTION("""COMPUTED_VALUE"""),"{""typ"":""lc"",""txt"":""LC_ITEM_time_h_upper_show"",""args"":[{""typ"":""int"",""val"":12}]}")</f>
        <v>{"typ":"lc","txt":"LC_ITEM_time_h_upper_show","args":[{"typ":"int","val":12}]}</v>
      </c>
      <c r="J96" s="148" t="str">
        <f>IFERROR(__xludf.DUMMYFUNCTION("""COMPUTED_VALUE"""),"{""typ"":""lc"",""txt"":""LC_ITEM_speedup_training2_name"",""args"":[{""typ"":""int"",""val"":12}]}")</f>
        <v>{"typ":"lc","txt":"LC_ITEM_speedup_training2_name","args":[{"typ":"int","val":12}]}</v>
      </c>
      <c r="K96" s="148" t="str">
        <f>IFERROR(__xludf.DUMMYFUNCTION("""COMPUTED_VALUE"""),"{""typ"":""lc"",""txt"":""LC_ITEM_speedup_training2_desc"",""args"":[{""typ"":""int"",""val"":12}]}")</f>
        <v>{"typ":"lc","txt":"LC_ITEM_speedup_training2_desc","args":[{"typ":"int","val":12}]}</v>
      </c>
      <c r="L96" s="148" t="str">
        <f>IFERROR(__xludf.DUMMYFUNCTION("""COMPUTED_VALUE"""),"{""typ"":""lc"",""txt"":""LC_ITEM_speedup_training2_usedtip"",""args"":[{""typ"":""int"",""val"":12}]}")</f>
        <v>{"typ":"lc","txt":"LC_ITEM_speedup_training2_usedtip","args":[{"typ":"int","val":12}]}</v>
      </c>
      <c r="M96" s="148">
        <f>IFERROR(__xludf.DUMMYFUNCTION("""COMPUTED_VALUE"""),1100.0)</f>
        <v>1100</v>
      </c>
      <c r="N96" s="148">
        <f>IFERROR(__xludf.DUMMYFUNCTION("""COMPUTED_VALUE"""),999999.0)</f>
        <v>999999</v>
      </c>
      <c r="O96" s="148">
        <f>IFERROR(__xludf.DUMMYFUNCTION("""COMPUTED_VALUE"""),99999.0)</f>
        <v>99999</v>
      </c>
      <c r="P96" s="148">
        <f>IFERROR(__xludf.DUMMYFUNCTION("""COMPUTED_VALUE"""),99999.0)</f>
        <v>99999</v>
      </c>
      <c r="Q96" s="148" t="str">
        <f>IFERROR(__xludf.DUMMYFUNCTION("""COMPUTED_VALUE"""),"[""bag_speedup"",""speed_train""]")</f>
        <v>["bag_speedup","speed_train"]</v>
      </c>
      <c r="R96" s="148" t="str">
        <f>IFERROR(__xludf.DUMMYFUNCTION("""COMPUTED_VALUE"""),"[""speed_train""]")</f>
        <v>["speed_train"]</v>
      </c>
      <c r="S96" s="148" t="str">
        <f>IFERROR(__xludf.DUMMYFUNCTION("""COMPUTED_VALUE"""),"{""effect"":[{""typ"":""speedup"",""id"":11241004,""val"":43200000}]}")</f>
        <v>{"effect":[{"typ":"speedup","id":11241004,"val":43200000}]}</v>
      </c>
      <c r="T96" s="148">
        <f>IFERROR(__xludf.DUMMYFUNCTION("""COMPUTED_VALUE"""),-1.0)</f>
        <v>-1</v>
      </c>
      <c r="U96" s="148">
        <f>IFERROR(__xludf.DUMMYFUNCTION("""COMPUTED_VALUE"""),0.0)</f>
        <v>0</v>
      </c>
      <c r="V96" s="148" t="str">
        <f>IFERROR(__xludf.DUMMYFUNCTION("""COMPUTED_VALUE"""),"[]")</f>
        <v>[]</v>
      </c>
      <c r="W96" s="148">
        <f>IFERROR(__xludf.DUMMYFUNCTION("""COMPUTED_VALUE"""),1.1741003E7)</f>
        <v>11741003</v>
      </c>
      <c r="X96" s="148">
        <f>IFERROR(__xludf.DUMMYFUNCTION("""COMPUTED_VALUE"""),0.0)</f>
        <v>0</v>
      </c>
      <c r="Y96" s="148">
        <f>IFERROR(__xludf.DUMMYFUNCTION("""COMPUTED_VALUE"""),0.0)</f>
        <v>0</v>
      </c>
      <c r="Z96" s="148"/>
    </row>
    <row r="97">
      <c r="A97" s="148">
        <f>IFERROR(__xludf.DUMMYFUNCTION("""COMPUTED_VALUE"""),1.111116E7)</f>
        <v>11111160</v>
      </c>
      <c r="B97" s="148" t="str">
        <f>IFERROR(__xludf.DUMMYFUNCTION("""COMPUTED_VALUE"""),"24小时训练加速")</f>
        <v>24小时训练加速</v>
      </c>
      <c r="C97" s="148"/>
      <c r="D97" s="148" t="str">
        <f>IFERROR(__xludf.DUMMYFUNCTION("""COMPUTED_VALUE"""),"item_speedup")</f>
        <v>item_speedup</v>
      </c>
      <c r="E97" s="148">
        <f>IFERROR(__xludf.DUMMYFUNCTION("""COMPUTED_VALUE"""),6.0)</f>
        <v>6</v>
      </c>
      <c r="F97" s="148">
        <f>IFERROR(__xludf.DUMMYFUNCTION("""COMPUTED_VALUE"""),205410.0)</f>
        <v>205410</v>
      </c>
      <c r="G97" s="148">
        <f>IFERROR(__xludf.DUMMYFUNCTION("""COMPUTED_VALUE"""),1.5112585E7)</f>
        <v>15112585</v>
      </c>
      <c r="H97" s="148">
        <f>IFERROR(__xludf.DUMMYFUNCTION("""COMPUTED_VALUE"""),1.5112563E7)</f>
        <v>15112563</v>
      </c>
      <c r="I97" s="148" t="str">
        <f>IFERROR(__xludf.DUMMYFUNCTION("""COMPUTED_VALUE"""),"{""typ"":""lc"",""txt"":""LC_ITEM_time_h_upper_show"",""args"":[{""typ"":""int"",""val"":24}]}")</f>
        <v>{"typ":"lc","txt":"LC_ITEM_time_h_upper_show","args":[{"typ":"int","val":24}]}</v>
      </c>
      <c r="J97" s="148" t="str">
        <f>IFERROR(__xludf.DUMMYFUNCTION("""COMPUTED_VALUE"""),"{""typ"":""lc"",""txt"":""LC_ITEM_speedup_training2_name"",""args"":[{""typ"":""int"",""val"":24}]}")</f>
        <v>{"typ":"lc","txt":"LC_ITEM_speedup_training2_name","args":[{"typ":"int","val":24}]}</v>
      </c>
      <c r="K97" s="148" t="str">
        <f>IFERROR(__xludf.DUMMYFUNCTION("""COMPUTED_VALUE"""),"{""typ"":""lc"",""txt"":""LC_ITEM_speedup_training2_desc"",""args"":[{""typ"":""int"",""val"":24}]}")</f>
        <v>{"typ":"lc","txt":"LC_ITEM_speedup_training2_desc","args":[{"typ":"int","val":24}]}</v>
      </c>
      <c r="L97" s="148" t="str">
        <f>IFERROR(__xludf.DUMMYFUNCTION("""COMPUTED_VALUE"""),"{""typ"":""lc"",""txt"":""LC_ITEM_speedup_training2_usedtip"",""args"":[{""typ"":""int"",""val"":24}]}")</f>
        <v>{"typ":"lc","txt":"LC_ITEM_speedup_training2_usedtip","args":[{"typ":"int","val":24}]}</v>
      </c>
      <c r="M97" s="148">
        <f>IFERROR(__xludf.DUMMYFUNCTION("""COMPUTED_VALUE"""),2000.0)</f>
        <v>2000</v>
      </c>
      <c r="N97" s="148">
        <f>IFERROR(__xludf.DUMMYFUNCTION("""COMPUTED_VALUE"""),999999.0)</f>
        <v>999999</v>
      </c>
      <c r="O97" s="148">
        <f>IFERROR(__xludf.DUMMYFUNCTION("""COMPUTED_VALUE"""),99999.0)</f>
        <v>99999</v>
      </c>
      <c r="P97" s="148">
        <f>IFERROR(__xludf.DUMMYFUNCTION("""COMPUTED_VALUE"""),99999.0)</f>
        <v>99999</v>
      </c>
      <c r="Q97" s="148" t="str">
        <f>IFERROR(__xludf.DUMMYFUNCTION("""COMPUTED_VALUE"""),"[""bag_speedup"",""speed_train""]")</f>
        <v>["bag_speedup","speed_train"]</v>
      </c>
      <c r="R97" s="148" t="str">
        <f>IFERROR(__xludf.DUMMYFUNCTION("""COMPUTED_VALUE"""),"[""speed_train""]")</f>
        <v>["speed_train"]</v>
      </c>
      <c r="S97" s="148" t="str">
        <f>IFERROR(__xludf.DUMMYFUNCTION("""COMPUTED_VALUE"""),"{""effect"":[{""typ"":""speedup"",""id"":11241004,""val"":86400000}]}")</f>
        <v>{"effect":[{"typ":"speedup","id":11241004,"val":86400000}]}</v>
      </c>
      <c r="T97" s="148">
        <f>IFERROR(__xludf.DUMMYFUNCTION("""COMPUTED_VALUE"""),-1.0)</f>
        <v>-1</v>
      </c>
      <c r="U97" s="148">
        <f>IFERROR(__xludf.DUMMYFUNCTION("""COMPUTED_VALUE"""),0.0)</f>
        <v>0</v>
      </c>
      <c r="V97" s="148" t="str">
        <f>IFERROR(__xludf.DUMMYFUNCTION("""COMPUTED_VALUE"""),"[]")</f>
        <v>[]</v>
      </c>
      <c r="W97" s="148">
        <f>IFERROR(__xludf.DUMMYFUNCTION("""COMPUTED_VALUE"""),1.1741003E7)</f>
        <v>11741003</v>
      </c>
      <c r="X97" s="148">
        <f>IFERROR(__xludf.DUMMYFUNCTION("""COMPUTED_VALUE"""),0.0)</f>
        <v>0</v>
      </c>
      <c r="Y97" s="148">
        <f>IFERROR(__xludf.DUMMYFUNCTION("""COMPUTED_VALUE"""),0.0)</f>
        <v>0</v>
      </c>
      <c r="Z97" s="148"/>
    </row>
    <row r="98">
      <c r="A98" s="148">
        <f>IFERROR(__xludf.DUMMYFUNCTION("""COMPUTED_VALUE"""),1.1111161E7)</f>
        <v>11111161</v>
      </c>
      <c r="B98" s="148" t="str">
        <f>IFERROR(__xludf.DUMMYFUNCTION("""COMPUTED_VALUE"""),"初级能量恢复（33能量）")</f>
        <v>初级能量恢复（33能量）</v>
      </c>
      <c r="C98" s="148"/>
      <c r="D98" s="148" t="str">
        <f>IFERROR(__xludf.DUMMYFUNCTION("""COMPUTED_VALUE"""),"item_asset")</f>
        <v>item_asset</v>
      </c>
      <c r="E98" s="148">
        <f>IFERROR(__xludf.DUMMYFUNCTION("""COMPUTED_VALUE"""),17.0)</f>
        <v>17</v>
      </c>
      <c r="F98" s="148">
        <f>IFERROR(__xludf.DUMMYFUNCTION("""COMPUTED_VALUE"""),407402.0)</f>
        <v>407402</v>
      </c>
      <c r="G98" s="148">
        <f>IFERROR(__xludf.DUMMYFUNCTION("""COMPUTED_VALUE"""),1.5112566E7)</f>
        <v>15112566</v>
      </c>
      <c r="H98" s="148">
        <f>IFERROR(__xludf.DUMMYFUNCTION("""COMPUTED_VALUE"""),1.5112561E7)</f>
        <v>15112561</v>
      </c>
      <c r="I98" s="148" t="str">
        <f>IFERROR(__xludf.DUMMYFUNCTION("""COMPUTED_VALUE"""),"{""typ"":""lc"",""txt"":""LC_ITEM_rss_upper_show"",""args"":[{""typ"":""int"",""txt"":""$$""}]}")</f>
        <v>{"typ":"lc","txt":"LC_ITEM_rss_upper_show","args":[{"typ":"int","txt":"$$"}]}</v>
      </c>
      <c r="J98" s="148" t="str">
        <f>IFERROR(__xludf.DUMMYFUNCTION("""COMPUTED_VALUE"""),"{""typ"":""lc"",""txt"":""LC_ITEM_energy_name_1""}")</f>
        <v>{"typ":"lc","txt":"LC_ITEM_energy_name_1"}</v>
      </c>
      <c r="K98" s="148" t="str">
        <f>IFERROR(__xludf.DUMMYFUNCTION("""COMPUTED_VALUE"""),"{""typ"":""lc"",""txt"":""LC_ITEM_energy_desc"",""args"":[{""typ"":""int"",""txt"":""$$""}]}")</f>
        <v>{"typ":"lc","txt":"LC_ITEM_energy_desc","args":[{"typ":"int","txt":"$$"}]}</v>
      </c>
      <c r="L98" s="148" t="str">
        <f>IFERROR(__xludf.DUMMYFUNCTION("""COMPUTED_VALUE"""),"{""typ"":""lc"",""txt"":""LC_ITEM_energy_usetip"",""args"":[{""typ"":""int"",""txt"":""$$""}]}")</f>
        <v>{"typ":"lc","txt":"LC_ITEM_energy_usetip","args":[{"typ":"int","txt":"$$"}]}</v>
      </c>
      <c r="M98" s="148">
        <f>IFERROR(__xludf.DUMMYFUNCTION("""COMPUTED_VALUE"""),100.0)</f>
        <v>100</v>
      </c>
      <c r="N98" s="148">
        <f>IFERROR(__xludf.DUMMYFUNCTION("""COMPUTED_VALUE"""),999999.0)</f>
        <v>999999</v>
      </c>
      <c r="O98" s="148">
        <f>IFERROR(__xludf.DUMMYFUNCTION("""COMPUTED_VALUE"""),99999.0)</f>
        <v>99999</v>
      </c>
      <c r="P98" s="148">
        <f>IFERROR(__xludf.DUMMYFUNCTION("""COMPUTED_VALUE"""),99999.0)</f>
        <v>99999</v>
      </c>
      <c r="Q98" s="148" t="str">
        <f>IFERROR(__xludf.DUMMYFUNCTION("""COMPUTED_VALUE"""),"[""bag_other"",""asset_energy""]")</f>
        <v>["bag_other","asset_energy"]</v>
      </c>
      <c r="R98" s="148" t="str">
        <f>IFERROR(__xludf.DUMMYFUNCTION("""COMPUTED_VALUE"""),"[""bag"",""asset_energy""]")</f>
        <v>["bag","asset_energy"]</v>
      </c>
      <c r="S98" s="148" t="str">
        <f>IFERROR(__xludf.DUMMYFUNCTION("""COMPUTED_VALUE"""),"{""effect"":[{""typ"":""speedup"",""id"":11241007,""val"":14400000}]}")</f>
        <v>{"effect":[{"typ":"speedup","id":11241007,"val":14400000}]}</v>
      </c>
      <c r="T98" s="148">
        <f>IFERROR(__xludf.DUMMYFUNCTION("""COMPUTED_VALUE"""),-1.0)</f>
        <v>-1</v>
      </c>
      <c r="U98" s="148">
        <f>IFERROR(__xludf.DUMMYFUNCTION("""COMPUTED_VALUE"""),0.0)</f>
        <v>0</v>
      </c>
      <c r="V98" s="148" t="str">
        <f>IFERROR(__xludf.DUMMYFUNCTION("""COMPUTED_VALUE"""),"[]")</f>
        <v>[]</v>
      </c>
      <c r="W98" s="148">
        <f>IFERROR(__xludf.DUMMYFUNCTION("""COMPUTED_VALUE"""),1.1741003E7)</f>
        <v>11741003</v>
      </c>
      <c r="X98" s="148">
        <f>IFERROR(__xludf.DUMMYFUNCTION("""COMPUTED_VALUE"""),0.0)</f>
        <v>0</v>
      </c>
      <c r="Y98" s="148">
        <f>IFERROR(__xludf.DUMMYFUNCTION("""COMPUTED_VALUE"""),0.0)</f>
        <v>0</v>
      </c>
      <c r="Z98" s="148"/>
    </row>
    <row r="99">
      <c r="A99" s="148">
        <f>IFERROR(__xludf.DUMMYFUNCTION("""COMPUTED_VALUE"""),1.1111162E7)</f>
        <v>11111162</v>
      </c>
      <c r="B99" s="148" t="str">
        <f>IFERROR(__xludf.DUMMYFUNCTION("""COMPUTED_VALUE"""),"中级能量恢复（100能量）")</f>
        <v>中级能量恢复（100能量）</v>
      </c>
      <c r="C99" s="148"/>
      <c r="D99" s="148" t="str">
        <f>IFERROR(__xludf.DUMMYFUNCTION("""COMPUTED_VALUE"""),"item_asset")</f>
        <v>item_asset</v>
      </c>
      <c r="E99" s="148">
        <f>IFERROR(__xludf.DUMMYFUNCTION("""COMPUTED_VALUE"""),17.0)</f>
        <v>17</v>
      </c>
      <c r="F99" s="148">
        <f>IFERROR(__xludf.DUMMYFUNCTION("""COMPUTED_VALUE"""),407303.0)</f>
        <v>407303</v>
      </c>
      <c r="G99" s="148">
        <f>IFERROR(__xludf.DUMMYFUNCTION("""COMPUTED_VALUE"""),1.5112566E7)</f>
        <v>15112566</v>
      </c>
      <c r="H99" s="148">
        <f>IFERROR(__xludf.DUMMYFUNCTION("""COMPUTED_VALUE"""),1.5112562E7)</f>
        <v>15112562</v>
      </c>
      <c r="I99" s="148" t="str">
        <f>IFERROR(__xludf.DUMMYFUNCTION("""COMPUTED_VALUE"""),"{""typ"":""lc"",""txt"":""LC_ITEM_rss_upper_show"",""args"":[{""typ"":""int"",""txt"":""$$""}]}")</f>
        <v>{"typ":"lc","txt":"LC_ITEM_rss_upper_show","args":[{"typ":"int","txt":"$$"}]}</v>
      </c>
      <c r="J99" s="148" t="str">
        <f>IFERROR(__xludf.DUMMYFUNCTION("""COMPUTED_VALUE"""),"{""typ"":""lc"",""txt"":""LC_ITEM_energy_name_2""}")</f>
        <v>{"typ":"lc","txt":"LC_ITEM_energy_name_2"}</v>
      </c>
      <c r="K99" s="148" t="str">
        <f>IFERROR(__xludf.DUMMYFUNCTION("""COMPUTED_VALUE"""),"{""typ"":""lc"",""txt"":""LC_ITEM_energy_desc"",""args"":[{""typ"":""int"",""txt"":""$$""}]}")</f>
        <v>{"typ":"lc","txt":"LC_ITEM_energy_desc","args":[{"typ":"int","txt":"$$"}]}</v>
      </c>
      <c r="L99" s="148" t="str">
        <f>IFERROR(__xludf.DUMMYFUNCTION("""COMPUTED_VALUE"""),"{""typ"":""lc"",""txt"":""LC_ITEM_energy_usetip"",""args"":[{""typ"":""int"",""txt"":""$$""}]}")</f>
        <v>{"typ":"lc","txt":"LC_ITEM_energy_usetip","args":[{"typ":"int","txt":"$$"}]}</v>
      </c>
      <c r="M99" s="148">
        <f>IFERROR(__xludf.DUMMYFUNCTION("""COMPUTED_VALUE"""),250.0)</f>
        <v>250</v>
      </c>
      <c r="N99" s="148">
        <f>IFERROR(__xludf.DUMMYFUNCTION("""COMPUTED_VALUE"""),999999.0)</f>
        <v>999999</v>
      </c>
      <c r="O99" s="148">
        <f>IFERROR(__xludf.DUMMYFUNCTION("""COMPUTED_VALUE"""),99999.0)</f>
        <v>99999</v>
      </c>
      <c r="P99" s="148">
        <f>IFERROR(__xludf.DUMMYFUNCTION("""COMPUTED_VALUE"""),99999.0)</f>
        <v>99999</v>
      </c>
      <c r="Q99" s="148" t="str">
        <f>IFERROR(__xludf.DUMMYFUNCTION("""COMPUTED_VALUE"""),"[""bag_other"",""asset_energy""]")</f>
        <v>["bag_other","asset_energy"]</v>
      </c>
      <c r="R99" s="148" t="str">
        <f>IFERROR(__xludf.DUMMYFUNCTION("""COMPUTED_VALUE"""),"[""bag"",""asset_energy""]")</f>
        <v>["bag","asset_energy"]</v>
      </c>
      <c r="S99" s="148" t="str">
        <f>IFERROR(__xludf.DUMMYFUNCTION("""COMPUTED_VALUE"""),"{""effect"":[{""typ"":""speedup"",""id"":11241007,""val"":43200000}]}")</f>
        <v>{"effect":[{"typ":"speedup","id":11241007,"val":43200000}]}</v>
      </c>
      <c r="T99" s="148">
        <f>IFERROR(__xludf.DUMMYFUNCTION("""COMPUTED_VALUE"""),-1.0)</f>
        <v>-1</v>
      </c>
      <c r="U99" s="148">
        <f>IFERROR(__xludf.DUMMYFUNCTION("""COMPUTED_VALUE"""),0.0)</f>
        <v>0</v>
      </c>
      <c r="V99" s="148" t="str">
        <f>IFERROR(__xludf.DUMMYFUNCTION("""COMPUTED_VALUE"""),"[]")</f>
        <v>[]</v>
      </c>
      <c r="W99" s="148">
        <f>IFERROR(__xludf.DUMMYFUNCTION("""COMPUTED_VALUE"""),1.1741003E7)</f>
        <v>11741003</v>
      </c>
      <c r="X99" s="148">
        <f>IFERROR(__xludf.DUMMYFUNCTION("""COMPUTED_VALUE"""),0.0)</f>
        <v>0</v>
      </c>
      <c r="Y99" s="148">
        <f>IFERROR(__xludf.DUMMYFUNCTION("""COMPUTED_VALUE"""),0.0)</f>
        <v>0</v>
      </c>
      <c r="Z99" s="148"/>
    </row>
    <row r="100">
      <c r="A100" s="148">
        <f>IFERROR(__xludf.DUMMYFUNCTION("""COMPUTED_VALUE"""),1.1111163E7)</f>
        <v>11111163</v>
      </c>
      <c r="B100" s="148" t="str">
        <f>IFERROR(__xludf.DUMMYFUNCTION("""COMPUTED_VALUE"""),"高级能量恢复（200能量）")</f>
        <v>高级能量恢复（200能量）</v>
      </c>
      <c r="C100" s="148"/>
      <c r="D100" s="148" t="str">
        <f>IFERROR(__xludf.DUMMYFUNCTION("""COMPUTED_VALUE"""),"item_asset")</f>
        <v>item_asset</v>
      </c>
      <c r="E100" s="148">
        <f>IFERROR(__xludf.DUMMYFUNCTION("""COMPUTED_VALUE"""),17.0)</f>
        <v>17</v>
      </c>
      <c r="F100" s="148">
        <f>IFERROR(__xludf.DUMMYFUNCTION("""COMPUTED_VALUE"""),407304.0)</f>
        <v>407304</v>
      </c>
      <c r="G100" s="148">
        <f>IFERROR(__xludf.DUMMYFUNCTION("""COMPUTED_VALUE"""),1.5112566E7)</f>
        <v>15112566</v>
      </c>
      <c r="H100" s="148">
        <f>IFERROR(__xludf.DUMMYFUNCTION("""COMPUTED_VALUE"""),1.5112562E7)</f>
        <v>15112562</v>
      </c>
      <c r="I100" s="148" t="str">
        <f>IFERROR(__xludf.DUMMYFUNCTION("""COMPUTED_VALUE"""),"{""typ"":""lc"",""txt"":""LC_ITEM_rss_upper_show"",""args"":[{""typ"":""int"",""txt"":""$$""}]}")</f>
        <v>{"typ":"lc","txt":"LC_ITEM_rss_upper_show","args":[{"typ":"int","txt":"$$"}]}</v>
      </c>
      <c r="J100" s="148" t="str">
        <f>IFERROR(__xludf.DUMMYFUNCTION("""COMPUTED_VALUE"""),"{""typ"":""lc"",""txt"":""LC_ITEM_energy_name_3""}")</f>
        <v>{"typ":"lc","txt":"LC_ITEM_energy_name_3"}</v>
      </c>
      <c r="K100" s="148" t="str">
        <f>IFERROR(__xludf.DUMMYFUNCTION("""COMPUTED_VALUE"""),"{""typ"":""lc"",""txt"":""LC_ITEM_energy_desc"",""args"":[{""typ"":""int"",""txt"":""$$""}]}")</f>
        <v>{"typ":"lc","txt":"LC_ITEM_energy_desc","args":[{"typ":"int","txt":"$$"}]}</v>
      </c>
      <c r="L100" s="148" t="str">
        <f>IFERROR(__xludf.DUMMYFUNCTION("""COMPUTED_VALUE"""),"{""typ"":""lc"",""txt"":""LC_ITEM_energy_usetip"",""args"":[{""typ"":""int"",""txt"":""$$""}]}")</f>
        <v>{"typ":"lc","txt":"LC_ITEM_energy_usetip","args":[{"typ":"int","txt":"$$"}]}</v>
      </c>
      <c r="M100" s="148">
        <f>IFERROR(__xludf.DUMMYFUNCTION("""COMPUTED_VALUE"""),400.0)</f>
        <v>400</v>
      </c>
      <c r="N100" s="148">
        <f>IFERROR(__xludf.DUMMYFUNCTION("""COMPUTED_VALUE"""),999999.0)</f>
        <v>999999</v>
      </c>
      <c r="O100" s="148">
        <f>IFERROR(__xludf.DUMMYFUNCTION("""COMPUTED_VALUE"""),99999.0)</f>
        <v>99999</v>
      </c>
      <c r="P100" s="148">
        <f>IFERROR(__xludf.DUMMYFUNCTION("""COMPUTED_VALUE"""),99999.0)</f>
        <v>99999</v>
      </c>
      <c r="Q100" s="148" t="str">
        <f>IFERROR(__xludf.DUMMYFUNCTION("""COMPUTED_VALUE"""),"[""bag_other"",""asset_energy""]")</f>
        <v>["bag_other","asset_energy"]</v>
      </c>
      <c r="R100" s="148" t="str">
        <f>IFERROR(__xludf.DUMMYFUNCTION("""COMPUTED_VALUE"""),"[""bag"",""asset_energy""]")</f>
        <v>["bag","asset_energy"]</v>
      </c>
      <c r="S100" s="148" t="str">
        <f>IFERROR(__xludf.DUMMYFUNCTION("""COMPUTED_VALUE"""),"{""effect"":[{""typ"":""speedup"",""id"":11241007,""val"":86400000}]}")</f>
        <v>{"effect":[{"typ":"speedup","id":11241007,"val":86400000}]}</v>
      </c>
      <c r="T100" s="148">
        <f>IFERROR(__xludf.DUMMYFUNCTION("""COMPUTED_VALUE"""),-1.0)</f>
        <v>-1</v>
      </c>
      <c r="U100" s="148">
        <f>IFERROR(__xludf.DUMMYFUNCTION("""COMPUTED_VALUE"""),0.0)</f>
        <v>0</v>
      </c>
      <c r="V100" s="148" t="str">
        <f>IFERROR(__xludf.DUMMYFUNCTION("""COMPUTED_VALUE"""),"[]")</f>
        <v>[]</v>
      </c>
      <c r="W100" s="148">
        <f>IFERROR(__xludf.DUMMYFUNCTION("""COMPUTED_VALUE"""),1.1741003E7)</f>
        <v>11741003</v>
      </c>
      <c r="X100" s="148">
        <f>IFERROR(__xludf.DUMMYFUNCTION("""COMPUTED_VALUE"""),0.0)</f>
        <v>0</v>
      </c>
      <c r="Y100" s="148">
        <f>IFERROR(__xludf.DUMMYFUNCTION("""COMPUTED_VALUE"""),0.0)</f>
        <v>0</v>
      </c>
      <c r="Z100" s="148"/>
    </row>
    <row r="101">
      <c r="A101" s="148">
        <f>IFERROR(__xludf.DUMMYFUNCTION("""COMPUTED_VALUE"""),1.1111164E7)</f>
        <v>11111164</v>
      </c>
      <c r="B101" s="148" t="str">
        <f>IFERROR(__xludf.DUMMYFUNCTION("""COMPUTED_VALUE"""),"终级能量恢复（400能量）")</f>
        <v>终级能量恢复（400能量）</v>
      </c>
      <c r="C101" s="148"/>
      <c r="D101" s="148" t="str">
        <f>IFERROR(__xludf.DUMMYFUNCTION("""COMPUTED_VALUE"""),"item_asset")</f>
        <v>item_asset</v>
      </c>
      <c r="E101" s="148">
        <f>IFERROR(__xludf.DUMMYFUNCTION("""COMPUTED_VALUE"""),17.0)</f>
        <v>17</v>
      </c>
      <c r="F101" s="148">
        <f>IFERROR(__xludf.DUMMYFUNCTION("""COMPUTED_VALUE"""),407205.0)</f>
        <v>407205</v>
      </c>
      <c r="G101" s="148">
        <f>IFERROR(__xludf.DUMMYFUNCTION("""COMPUTED_VALUE"""),1.5112566E7)</f>
        <v>15112566</v>
      </c>
      <c r="H101" s="148">
        <f>IFERROR(__xludf.DUMMYFUNCTION("""COMPUTED_VALUE"""),1.5112563E7)</f>
        <v>15112563</v>
      </c>
      <c r="I101" s="148" t="str">
        <f>IFERROR(__xludf.DUMMYFUNCTION("""COMPUTED_VALUE"""),"{""typ"":""lc"",""txt"":""LC_ITEM_rss_upper_show"",""args"":[{""typ"":""int"",""txt"":""$$""}]}")</f>
        <v>{"typ":"lc","txt":"LC_ITEM_rss_upper_show","args":[{"typ":"int","txt":"$$"}]}</v>
      </c>
      <c r="J101" s="148" t="str">
        <f>IFERROR(__xludf.DUMMYFUNCTION("""COMPUTED_VALUE"""),"{""typ"":""lc"",""txt"":""LC_ITEM_energy_name_4""}")</f>
        <v>{"typ":"lc","txt":"LC_ITEM_energy_name_4"}</v>
      </c>
      <c r="K101" s="148" t="str">
        <f>IFERROR(__xludf.DUMMYFUNCTION("""COMPUTED_VALUE"""),"{""typ"":""lc"",""txt"":""LC_ITEM_energy_desc"",""args"":[{""typ"":""int"",""txt"":""$$""}]}")</f>
        <v>{"typ":"lc","txt":"LC_ITEM_energy_desc","args":[{"typ":"int","txt":"$$"}]}</v>
      </c>
      <c r="L101" s="148" t="str">
        <f>IFERROR(__xludf.DUMMYFUNCTION("""COMPUTED_VALUE"""),"{""typ"":""lc"",""txt"":""LC_ITEM_energy_usetip"",""args"":[{""typ"":""int"",""txt"":""$$""}]}")</f>
        <v>{"typ":"lc","txt":"LC_ITEM_energy_usetip","args":[{"typ":"int","txt":"$$"}]}</v>
      </c>
      <c r="M101" s="148">
        <f>IFERROR(__xludf.DUMMYFUNCTION("""COMPUTED_VALUE"""),700.0)</f>
        <v>700</v>
      </c>
      <c r="N101" s="148">
        <f>IFERROR(__xludf.DUMMYFUNCTION("""COMPUTED_VALUE"""),999999.0)</f>
        <v>999999</v>
      </c>
      <c r="O101" s="148">
        <f>IFERROR(__xludf.DUMMYFUNCTION("""COMPUTED_VALUE"""),99999.0)</f>
        <v>99999</v>
      </c>
      <c r="P101" s="148">
        <f>IFERROR(__xludf.DUMMYFUNCTION("""COMPUTED_VALUE"""),99999.0)</f>
        <v>99999</v>
      </c>
      <c r="Q101" s="148" t="str">
        <f>IFERROR(__xludf.DUMMYFUNCTION("""COMPUTED_VALUE"""),"[""bag_other"",""asset_energy""]")</f>
        <v>["bag_other","asset_energy"]</v>
      </c>
      <c r="R101" s="148" t="str">
        <f>IFERROR(__xludf.DUMMYFUNCTION("""COMPUTED_VALUE"""),"[""bag"",""asset_energy""]")</f>
        <v>["bag","asset_energy"]</v>
      </c>
      <c r="S101" s="148" t="str">
        <f>IFERROR(__xludf.DUMMYFUNCTION("""COMPUTED_VALUE"""),"{""effect"":[{""typ"":""speedup"",""id"":11241007,""val"":172800000}]}")</f>
        <v>{"effect":[{"typ":"speedup","id":11241007,"val":172800000}]}</v>
      </c>
      <c r="T101" s="148">
        <f>IFERROR(__xludf.DUMMYFUNCTION("""COMPUTED_VALUE"""),-1.0)</f>
        <v>-1</v>
      </c>
      <c r="U101" s="148">
        <f>IFERROR(__xludf.DUMMYFUNCTION("""COMPUTED_VALUE"""),0.0)</f>
        <v>0</v>
      </c>
      <c r="V101" s="148" t="str">
        <f>IFERROR(__xludf.DUMMYFUNCTION("""COMPUTED_VALUE"""),"[]")</f>
        <v>[]</v>
      </c>
      <c r="W101" s="148">
        <f>IFERROR(__xludf.DUMMYFUNCTION("""COMPUTED_VALUE"""),1.1741003E7)</f>
        <v>11741003</v>
      </c>
      <c r="X101" s="148">
        <f>IFERROR(__xludf.DUMMYFUNCTION("""COMPUTED_VALUE"""),0.0)</f>
        <v>0</v>
      </c>
      <c r="Y101" s="148">
        <f>IFERROR(__xludf.DUMMYFUNCTION("""COMPUTED_VALUE"""),0.0)</f>
        <v>0</v>
      </c>
      <c r="Z101" s="148"/>
    </row>
    <row r="102">
      <c r="A102" s="148">
        <f>IFERROR(__xludf.DUMMYFUNCTION("""COMPUTED_VALUE"""),1.1111165E7)</f>
        <v>11111165</v>
      </c>
      <c r="B102" s="148" t="str">
        <f>IFERROR(__xludf.DUMMYFUNCTION("""COMPUTED_VALUE"""),"3天建筑加速")</f>
        <v>3天建筑加速</v>
      </c>
      <c r="C102" s="148"/>
      <c r="D102" s="148" t="str">
        <f>IFERROR(__xludf.DUMMYFUNCTION("""COMPUTED_VALUE"""),"item_speedup")</f>
        <v>item_speedup</v>
      </c>
      <c r="E102" s="148">
        <f>IFERROR(__xludf.DUMMYFUNCTION("""COMPUTED_VALUE"""),4.0)</f>
        <v>4</v>
      </c>
      <c r="F102" s="148">
        <f>IFERROR(__xludf.DUMMYFUNCTION("""COMPUTED_VALUE"""),203511.0)</f>
        <v>203511</v>
      </c>
      <c r="G102" s="148">
        <f>IFERROR(__xludf.DUMMYFUNCTION("""COMPUTED_VALUE"""),1.511257E7)</f>
        <v>15112570</v>
      </c>
      <c r="H102" s="148">
        <f>IFERROR(__xludf.DUMMYFUNCTION("""COMPUTED_VALUE"""),1.5112564E7)</f>
        <v>15112564</v>
      </c>
      <c r="I102" s="148" t="str">
        <f>IFERROR(__xludf.DUMMYFUNCTION("""COMPUTED_VALUE"""),"{""typ"":""lc"",""txt"":""LC_ITEM_time_day_upper_show"",""args"":[{""typ"":""int"",""val"":3}]}")</f>
        <v>{"typ":"lc","txt":"LC_ITEM_time_day_upper_show","args":[{"typ":"int","val":3}]}</v>
      </c>
      <c r="J102" s="148" t="str">
        <f>IFERROR(__xludf.DUMMYFUNCTION("""COMPUTED_VALUE"""),"{""typ"":""lc"",""txt"":""LC_ITEM_speedup_build3_name"",""args"":[{""typ"":""int"",""val"":3}]}")</f>
        <v>{"typ":"lc","txt":"LC_ITEM_speedup_build3_name","args":[{"typ":"int","val":3}]}</v>
      </c>
      <c r="K102" s="148" t="str">
        <f>IFERROR(__xludf.DUMMYFUNCTION("""COMPUTED_VALUE"""),"{""typ"":""lc"",""txt"":""LC_ITEM_speedup_build3_desc"",""args"":[{""typ"":""int"",""val"":3}]}")</f>
        <v>{"typ":"lc","txt":"LC_ITEM_speedup_build3_desc","args":[{"typ":"int","val":3}]}</v>
      </c>
      <c r="L102" s="148" t="str">
        <f>IFERROR(__xludf.DUMMYFUNCTION("""COMPUTED_VALUE"""),"{""typ"":""lc"",""txt"":""LC_ITEM_speedup_build3_usedtip"",""args"":[{""typ"":""int"",""val"":3}]}")</f>
        <v>{"typ":"lc","txt":"LC_ITEM_speedup_build3_usedtip","args":[{"typ":"int","val":3}]}</v>
      </c>
      <c r="M102" s="148">
        <f>IFERROR(__xludf.DUMMYFUNCTION("""COMPUTED_VALUE"""),2000.0)</f>
        <v>2000</v>
      </c>
      <c r="N102" s="148">
        <f>IFERROR(__xludf.DUMMYFUNCTION("""COMPUTED_VALUE"""),999999.0)</f>
        <v>999999</v>
      </c>
      <c r="O102" s="148">
        <f>IFERROR(__xludf.DUMMYFUNCTION("""COMPUTED_VALUE"""),99999.0)</f>
        <v>99999</v>
      </c>
      <c r="P102" s="148">
        <f>IFERROR(__xludf.DUMMYFUNCTION("""COMPUTED_VALUE"""),99999.0)</f>
        <v>99999</v>
      </c>
      <c r="Q102" s="148" t="str">
        <f>IFERROR(__xludf.DUMMYFUNCTION("""COMPUTED_VALUE"""),"[""bag_speedup"",""speed_build""]")</f>
        <v>["bag_speedup","speed_build"]</v>
      </c>
      <c r="R102" s="148" t="str">
        <f>IFERROR(__xludf.DUMMYFUNCTION("""COMPUTED_VALUE"""),"[""speed_build""]")</f>
        <v>["speed_build"]</v>
      </c>
      <c r="S102" s="148" t="str">
        <f>IFERROR(__xludf.DUMMYFUNCTION("""COMPUTED_VALUE"""),"{""effect"":[{""typ"":""speedup"",""id"":11241002,""val"":259200000}]}")</f>
        <v>{"effect":[{"typ":"speedup","id":11241002,"val":259200000}]}</v>
      </c>
      <c r="T102" s="148">
        <f>IFERROR(__xludf.DUMMYFUNCTION("""COMPUTED_VALUE"""),-1.0)</f>
        <v>-1</v>
      </c>
      <c r="U102" s="148">
        <f>IFERROR(__xludf.DUMMYFUNCTION("""COMPUTED_VALUE"""),0.0)</f>
        <v>0</v>
      </c>
      <c r="V102" s="148" t="str">
        <f>IFERROR(__xludf.DUMMYFUNCTION("""COMPUTED_VALUE"""),"[]")</f>
        <v>[]</v>
      </c>
      <c r="W102" s="148">
        <f>IFERROR(__xludf.DUMMYFUNCTION("""COMPUTED_VALUE"""),1.1741003E7)</f>
        <v>11741003</v>
      </c>
      <c r="X102" s="148">
        <f>IFERROR(__xludf.DUMMYFUNCTION("""COMPUTED_VALUE"""),0.0)</f>
        <v>0</v>
      </c>
      <c r="Y102" s="148">
        <f>IFERROR(__xludf.DUMMYFUNCTION("""COMPUTED_VALUE"""),0.0)</f>
        <v>0</v>
      </c>
      <c r="Z102" s="148"/>
    </row>
    <row r="103">
      <c r="A103" s="148">
        <f>IFERROR(__xludf.DUMMYFUNCTION("""COMPUTED_VALUE"""),1.1111166E7)</f>
        <v>11111166</v>
      </c>
      <c r="B103" s="148" t="str">
        <f>IFERROR(__xludf.DUMMYFUNCTION("""COMPUTED_VALUE"""),"7天建筑加速")</f>
        <v>7天建筑加速</v>
      </c>
      <c r="C103" s="148"/>
      <c r="D103" s="148" t="str">
        <f>IFERROR(__xludf.DUMMYFUNCTION("""COMPUTED_VALUE"""),"item_speedup")</f>
        <v>item_speedup</v>
      </c>
      <c r="E103" s="148">
        <f>IFERROR(__xludf.DUMMYFUNCTION("""COMPUTED_VALUE"""),4.0)</f>
        <v>4</v>
      </c>
      <c r="F103" s="148">
        <f>IFERROR(__xludf.DUMMYFUNCTION("""COMPUTED_VALUE"""),203512.0)</f>
        <v>203512</v>
      </c>
      <c r="G103" s="148">
        <f>IFERROR(__xludf.DUMMYFUNCTION("""COMPUTED_VALUE"""),1.511257E7)</f>
        <v>15112570</v>
      </c>
      <c r="H103" s="148">
        <f>IFERROR(__xludf.DUMMYFUNCTION("""COMPUTED_VALUE"""),1.5112564E7)</f>
        <v>15112564</v>
      </c>
      <c r="I103" s="148" t="str">
        <f>IFERROR(__xludf.DUMMYFUNCTION("""COMPUTED_VALUE"""),"{""typ"":""lc"",""txt"":""LC_ITEM_time_day_upper_show"",""args"":[{""typ"":""int"",""val"":7}]}")</f>
        <v>{"typ":"lc","txt":"LC_ITEM_time_day_upper_show","args":[{"typ":"int","val":7}]}</v>
      </c>
      <c r="J103" s="148" t="str">
        <f>IFERROR(__xludf.DUMMYFUNCTION("""COMPUTED_VALUE"""),"{""typ"":""lc"",""txt"":""LC_ITEM_speedup_build3_name"",""args"":[{""typ"":""int"",""val"":7}]}")</f>
        <v>{"typ":"lc","txt":"LC_ITEM_speedup_build3_name","args":[{"typ":"int","val":7}]}</v>
      </c>
      <c r="K103" s="148" t="str">
        <f>IFERROR(__xludf.DUMMYFUNCTION("""COMPUTED_VALUE"""),"{""typ"":""lc"",""txt"":""LC_ITEM_speedup_build3_desc"",""args"":[{""typ"":""int"",""val"":7}]}")</f>
        <v>{"typ":"lc","txt":"LC_ITEM_speedup_build3_desc","args":[{"typ":"int","val":7}]}</v>
      </c>
      <c r="L103" s="148" t="str">
        <f>IFERROR(__xludf.DUMMYFUNCTION("""COMPUTED_VALUE"""),"{""typ"":""lc"",""txt"":""LC_ITEM_speedup_build3_usedtip"",""args"":[{""typ"":""int"",""val"":7}]}")</f>
        <v>{"typ":"lc","txt":"LC_ITEM_speedup_build3_usedtip","args":[{"typ":"int","val":7}]}</v>
      </c>
      <c r="M103" s="148">
        <f>IFERROR(__xludf.DUMMYFUNCTION("""COMPUTED_VALUE"""),2000.0)</f>
        <v>2000</v>
      </c>
      <c r="N103" s="148">
        <f>IFERROR(__xludf.DUMMYFUNCTION("""COMPUTED_VALUE"""),999999.0)</f>
        <v>999999</v>
      </c>
      <c r="O103" s="148">
        <f>IFERROR(__xludf.DUMMYFUNCTION("""COMPUTED_VALUE"""),99999.0)</f>
        <v>99999</v>
      </c>
      <c r="P103" s="148">
        <f>IFERROR(__xludf.DUMMYFUNCTION("""COMPUTED_VALUE"""),99999.0)</f>
        <v>99999</v>
      </c>
      <c r="Q103" s="148" t="str">
        <f>IFERROR(__xludf.DUMMYFUNCTION("""COMPUTED_VALUE"""),"[""bag_speedup"",""speed_build""]")</f>
        <v>["bag_speedup","speed_build"]</v>
      </c>
      <c r="R103" s="148" t="str">
        <f>IFERROR(__xludf.DUMMYFUNCTION("""COMPUTED_VALUE"""),"[""speed_build""]")</f>
        <v>["speed_build"]</v>
      </c>
      <c r="S103" s="148" t="str">
        <f>IFERROR(__xludf.DUMMYFUNCTION("""COMPUTED_VALUE"""),"{""effect"":[{""typ"":""speedup"",""id"":11241002,""val"":604800000}]}")</f>
        <v>{"effect":[{"typ":"speedup","id":11241002,"val":604800000}]}</v>
      </c>
      <c r="T103" s="148">
        <f>IFERROR(__xludf.DUMMYFUNCTION("""COMPUTED_VALUE"""),-1.0)</f>
        <v>-1</v>
      </c>
      <c r="U103" s="148">
        <f>IFERROR(__xludf.DUMMYFUNCTION("""COMPUTED_VALUE"""),0.0)</f>
        <v>0</v>
      </c>
      <c r="V103" s="148" t="str">
        <f>IFERROR(__xludf.DUMMYFUNCTION("""COMPUTED_VALUE"""),"[]")</f>
        <v>[]</v>
      </c>
      <c r="W103" s="148">
        <f>IFERROR(__xludf.DUMMYFUNCTION("""COMPUTED_VALUE"""),1.1741003E7)</f>
        <v>11741003</v>
      </c>
      <c r="X103" s="148">
        <f>IFERROR(__xludf.DUMMYFUNCTION("""COMPUTED_VALUE"""),0.0)</f>
        <v>0</v>
      </c>
      <c r="Y103" s="148">
        <f>IFERROR(__xludf.DUMMYFUNCTION("""COMPUTED_VALUE"""),0.0)</f>
        <v>0</v>
      </c>
      <c r="Z103" s="148"/>
    </row>
    <row r="104">
      <c r="A104" s="148">
        <f>IFERROR(__xludf.DUMMYFUNCTION("""COMPUTED_VALUE"""),1.1111167E7)</f>
        <v>11111167</v>
      </c>
      <c r="B104" s="148" t="str">
        <f>IFERROR(__xludf.DUMMYFUNCTION("""COMPUTED_VALUE"""),"3天科研加速")</f>
        <v>3天科研加速</v>
      </c>
      <c r="C104" s="148"/>
      <c r="D104" s="148" t="str">
        <f>IFERROR(__xludf.DUMMYFUNCTION("""COMPUTED_VALUE"""),"item_speedup")</f>
        <v>item_speedup</v>
      </c>
      <c r="E104" s="148">
        <f>IFERROR(__xludf.DUMMYFUNCTION("""COMPUTED_VALUE"""),5.0)</f>
        <v>5</v>
      </c>
      <c r="F104" s="148">
        <f>IFERROR(__xludf.DUMMYFUNCTION("""COMPUTED_VALUE"""),204511.0)</f>
        <v>204511</v>
      </c>
      <c r="G104" s="148">
        <f>IFERROR(__xludf.DUMMYFUNCTION("""COMPUTED_VALUE"""),1.5112583E7)</f>
        <v>15112583</v>
      </c>
      <c r="H104" s="148">
        <f>IFERROR(__xludf.DUMMYFUNCTION("""COMPUTED_VALUE"""),1.5112564E7)</f>
        <v>15112564</v>
      </c>
      <c r="I104" s="148" t="str">
        <f>IFERROR(__xludf.DUMMYFUNCTION("""COMPUTED_VALUE"""),"{""typ"":""lc"",""txt"":""LC_ITEM_time_day_upper_show"",""args"":[{""typ"":""int"",""val"":3}]}")</f>
        <v>{"typ":"lc","txt":"LC_ITEM_time_day_upper_show","args":[{"typ":"int","val":3}]}</v>
      </c>
      <c r="J104" s="148" t="str">
        <f>IFERROR(__xludf.DUMMYFUNCTION("""COMPUTED_VALUE"""),"{""typ"":""lc"",""txt"":""LC_ITEM_speedup_research3_name"",""args"":[{""typ"":""int"",""val"":3}]}")</f>
        <v>{"typ":"lc","txt":"LC_ITEM_speedup_research3_name","args":[{"typ":"int","val":3}]}</v>
      </c>
      <c r="K104" s="148" t="str">
        <f>IFERROR(__xludf.DUMMYFUNCTION("""COMPUTED_VALUE"""),"{""typ"":""lc"",""txt"":""LC_ITEM_speedup_research3_desc"",""args"":[{""typ"":""int"",""val"":3}]}")</f>
        <v>{"typ":"lc","txt":"LC_ITEM_speedup_research3_desc","args":[{"typ":"int","val":3}]}</v>
      </c>
      <c r="L104" s="148" t="str">
        <f>IFERROR(__xludf.DUMMYFUNCTION("""COMPUTED_VALUE"""),"{""typ"":""lc"",""txt"":""LC_ITEM_speedup_research3_usedtip"",""args"":[{""typ"":""int"",""val"":3}]}")</f>
        <v>{"typ":"lc","txt":"LC_ITEM_speedup_research3_usedtip","args":[{"typ":"int","val":3}]}</v>
      </c>
      <c r="M104" s="148">
        <f>IFERROR(__xludf.DUMMYFUNCTION("""COMPUTED_VALUE"""),2000.0)</f>
        <v>2000</v>
      </c>
      <c r="N104" s="148">
        <f>IFERROR(__xludf.DUMMYFUNCTION("""COMPUTED_VALUE"""),999999.0)</f>
        <v>999999</v>
      </c>
      <c r="O104" s="148">
        <f>IFERROR(__xludf.DUMMYFUNCTION("""COMPUTED_VALUE"""),99999.0)</f>
        <v>99999</v>
      </c>
      <c r="P104" s="148">
        <f>IFERROR(__xludf.DUMMYFUNCTION("""COMPUTED_VALUE"""),99999.0)</f>
        <v>99999</v>
      </c>
      <c r="Q104" s="148" t="str">
        <f>IFERROR(__xludf.DUMMYFUNCTION("""COMPUTED_VALUE"""),"[""bag_speedup"",""speed_research""]")</f>
        <v>["bag_speedup","speed_research"]</v>
      </c>
      <c r="R104" s="148" t="str">
        <f>IFERROR(__xludf.DUMMYFUNCTION("""COMPUTED_VALUE"""),"[""speed_research""]")</f>
        <v>["speed_research"]</v>
      </c>
      <c r="S104" s="148" t="str">
        <f>IFERROR(__xludf.DUMMYFUNCTION("""COMPUTED_VALUE"""),"{""effect"":[{""typ"":""speedup"",""id"":11241003,""val"":259200000}]}")</f>
        <v>{"effect":[{"typ":"speedup","id":11241003,"val":259200000}]}</v>
      </c>
      <c r="T104" s="148">
        <f>IFERROR(__xludf.DUMMYFUNCTION("""COMPUTED_VALUE"""),-1.0)</f>
        <v>-1</v>
      </c>
      <c r="U104" s="148">
        <f>IFERROR(__xludf.DUMMYFUNCTION("""COMPUTED_VALUE"""),0.0)</f>
        <v>0</v>
      </c>
      <c r="V104" s="148" t="str">
        <f>IFERROR(__xludf.DUMMYFUNCTION("""COMPUTED_VALUE"""),"[]")</f>
        <v>[]</v>
      </c>
      <c r="W104" s="148">
        <f>IFERROR(__xludf.DUMMYFUNCTION("""COMPUTED_VALUE"""),1.1741003E7)</f>
        <v>11741003</v>
      </c>
      <c r="X104" s="148">
        <f>IFERROR(__xludf.DUMMYFUNCTION("""COMPUTED_VALUE"""),0.0)</f>
        <v>0</v>
      </c>
      <c r="Y104" s="148">
        <f>IFERROR(__xludf.DUMMYFUNCTION("""COMPUTED_VALUE"""),0.0)</f>
        <v>0</v>
      </c>
      <c r="Z104" s="148"/>
    </row>
    <row r="105">
      <c r="A105" s="148">
        <f>IFERROR(__xludf.DUMMYFUNCTION("""COMPUTED_VALUE"""),1.1111168E7)</f>
        <v>11111168</v>
      </c>
      <c r="B105" s="148" t="str">
        <f>IFERROR(__xludf.DUMMYFUNCTION("""COMPUTED_VALUE"""),"7天科研加速")</f>
        <v>7天科研加速</v>
      </c>
      <c r="C105" s="148"/>
      <c r="D105" s="148" t="str">
        <f>IFERROR(__xludf.DUMMYFUNCTION("""COMPUTED_VALUE"""),"item_speedup")</f>
        <v>item_speedup</v>
      </c>
      <c r="E105" s="148">
        <f>IFERROR(__xludf.DUMMYFUNCTION("""COMPUTED_VALUE"""),5.0)</f>
        <v>5</v>
      </c>
      <c r="F105" s="148">
        <f>IFERROR(__xludf.DUMMYFUNCTION("""COMPUTED_VALUE"""),204512.0)</f>
        <v>204512</v>
      </c>
      <c r="G105" s="148">
        <f>IFERROR(__xludf.DUMMYFUNCTION("""COMPUTED_VALUE"""),1.5112583E7)</f>
        <v>15112583</v>
      </c>
      <c r="H105" s="148">
        <f>IFERROR(__xludf.DUMMYFUNCTION("""COMPUTED_VALUE"""),1.5112564E7)</f>
        <v>15112564</v>
      </c>
      <c r="I105" s="148" t="str">
        <f>IFERROR(__xludf.DUMMYFUNCTION("""COMPUTED_VALUE"""),"{""typ"":""lc"",""txt"":""LC_ITEM_time_day_upper_show"",""args"":[{""typ"":""int"",""val"":7}]}")</f>
        <v>{"typ":"lc","txt":"LC_ITEM_time_day_upper_show","args":[{"typ":"int","val":7}]}</v>
      </c>
      <c r="J105" s="148" t="str">
        <f>IFERROR(__xludf.DUMMYFUNCTION("""COMPUTED_VALUE"""),"{""typ"":""lc"",""txt"":""LC_ITEM_speedup_research3_name"",""args"":[{""typ"":""int"",""val"":7}]}")</f>
        <v>{"typ":"lc","txt":"LC_ITEM_speedup_research3_name","args":[{"typ":"int","val":7}]}</v>
      </c>
      <c r="K105" s="148" t="str">
        <f>IFERROR(__xludf.DUMMYFUNCTION("""COMPUTED_VALUE"""),"{""typ"":""lc"",""txt"":""LC_ITEM_speedup_research3_desc"",""args"":[{""typ"":""int"",""val"":7}]}")</f>
        <v>{"typ":"lc","txt":"LC_ITEM_speedup_research3_desc","args":[{"typ":"int","val":7}]}</v>
      </c>
      <c r="L105" s="148" t="str">
        <f>IFERROR(__xludf.DUMMYFUNCTION("""COMPUTED_VALUE"""),"{""typ"":""lc"",""txt"":""LC_ITEM_speedup_research3_usedtip"",""args"":[{""typ"":""int"",""val"":7}]}")</f>
        <v>{"typ":"lc","txt":"LC_ITEM_speedup_research3_usedtip","args":[{"typ":"int","val":7}]}</v>
      </c>
      <c r="M105" s="148">
        <f>IFERROR(__xludf.DUMMYFUNCTION("""COMPUTED_VALUE"""),2000.0)</f>
        <v>2000</v>
      </c>
      <c r="N105" s="148">
        <f>IFERROR(__xludf.DUMMYFUNCTION("""COMPUTED_VALUE"""),999999.0)</f>
        <v>999999</v>
      </c>
      <c r="O105" s="148">
        <f>IFERROR(__xludf.DUMMYFUNCTION("""COMPUTED_VALUE"""),99999.0)</f>
        <v>99999</v>
      </c>
      <c r="P105" s="148">
        <f>IFERROR(__xludf.DUMMYFUNCTION("""COMPUTED_VALUE"""),99999.0)</f>
        <v>99999</v>
      </c>
      <c r="Q105" s="148" t="str">
        <f>IFERROR(__xludf.DUMMYFUNCTION("""COMPUTED_VALUE"""),"[""bag_speedup"",""speed_research""]")</f>
        <v>["bag_speedup","speed_research"]</v>
      </c>
      <c r="R105" s="148" t="str">
        <f>IFERROR(__xludf.DUMMYFUNCTION("""COMPUTED_VALUE"""),"[""speed_research""]")</f>
        <v>["speed_research"]</v>
      </c>
      <c r="S105" s="148" t="str">
        <f>IFERROR(__xludf.DUMMYFUNCTION("""COMPUTED_VALUE"""),"{""effect"":[{""typ"":""speedup"",""id"":11241003,""val"":604800000}]}")</f>
        <v>{"effect":[{"typ":"speedup","id":11241003,"val":604800000}]}</v>
      </c>
      <c r="T105" s="148">
        <f>IFERROR(__xludf.DUMMYFUNCTION("""COMPUTED_VALUE"""),-1.0)</f>
        <v>-1</v>
      </c>
      <c r="U105" s="148">
        <f>IFERROR(__xludf.DUMMYFUNCTION("""COMPUTED_VALUE"""),0.0)</f>
        <v>0</v>
      </c>
      <c r="V105" s="148" t="str">
        <f>IFERROR(__xludf.DUMMYFUNCTION("""COMPUTED_VALUE"""),"[]")</f>
        <v>[]</v>
      </c>
      <c r="W105" s="148">
        <f>IFERROR(__xludf.DUMMYFUNCTION("""COMPUTED_VALUE"""),1.1741003E7)</f>
        <v>11741003</v>
      </c>
      <c r="X105" s="148">
        <f>IFERROR(__xludf.DUMMYFUNCTION("""COMPUTED_VALUE"""),0.0)</f>
        <v>0</v>
      </c>
      <c r="Y105" s="148">
        <f>IFERROR(__xludf.DUMMYFUNCTION("""COMPUTED_VALUE"""),0.0)</f>
        <v>0</v>
      </c>
      <c r="Z105" s="148"/>
    </row>
    <row r="106">
      <c r="A106" s="148">
        <f>IFERROR(__xludf.DUMMYFUNCTION("""COMPUTED_VALUE"""),1.1111169E7)</f>
        <v>11111169</v>
      </c>
      <c r="B106" s="148" t="str">
        <f>IFERROR(__xludf.DUMMYFUNCTION("""COMPUTED_VALUE"""),"3天治疗加速")</f>
        <v>3天治疗加速</v>
      </c>
      <c r="C106" s="148"/>
      <c r="D106" s="148" t="str">
        <f>IFERROR(__xludf.DUMMYFUNCTION("""COMPUTED_VALUE"""),"item_speedup")</f>
        <v>item_speedup</v>
      </c>
      <c r="E106" s="148">
        <f>IFERROR(__xludf.DUMMYFUNCTION("""COMPUTED_VALUE"""),7.0)</f>
        <v>7</v>
      </c>
      <c r="F106" s="148">
        <f>IFERROR(__xludf.DUMMYFUNCTION("""COMPUTED_VALUE"""),206511.0)</f>
        <v>206511</v>
      </c>
      <c r="G106" s="148">
        <f>IFERROR(__xludf.DUMMYFUNCTION("""COMPUTED_VALUE"""),1.5112565E7)</f>
        <v>15112565</v>
      </c>
      <c r="H106" s="148">
        <f>IFERROR(__xludf.DUMMYFUNCTION("""COMPUTED_VALUE"""),1.5112564E7)</f>
        <v>15112564</v>
      </c>
      <c r="I106" s="148" t="str">
        <f>IFERROR(__xludf.DUMMYFUNCTION("""COMPUTED_VALUE"""),"{""typ"":""lc"",""txt"":""LC_ITEM_time_day_upper_show"",""args"":[{""typ"":""int"",""val"":3}]}")</f>
        <v>{"typ":"lc","txt":"LC_ITEM_time_day_upper_show","args":[{"typ":"int","val":3}]}</v>
      </c>
      <c r="J106" s="148" t="str">
        <f>IFERROR(__xludf.DUMMYFUNCTION("""COMPUTED_VALUE"""),"{""typ"":""lc"",""txt"":""LC_ITEM_speedup_cure3_name"",""args"":[{""typ"":""int"",""val"":3}]}")</f>
        <v>{"typ":"lc","txt":"LC_ITEM_speedup_cure3_name","args":[{"typ":"int","val":3}]}</v>
      </c>
      <c r="K106" s="148" t="str">
        <f>IFERROR(__xludf.DUMMYFUNCTION("""COMPUTED_VALUE"""),"{""typ"":""lc"",""txt"":""LC_ITEM_speedup_cure3_desc"",""args"":[{""typ"":""int"",""val"":3}]}")</f>
        <v>{"typ":"lc","txt":"LC_ITEM_speedup_cure3_desc","args":[{"typ":"int","val":3}]}</v>
      </c>
      <c r="L106" s="148" t="str">
        <f>IFERROR(__xludf.DUMMYFUNCTION("""COMPUTED_VALUE"""),"{""typ"":""lc"",""txt"":""LC_ITEM_speedup_cure3_usedtip"",""args"":[{""typ"":""int"",""val"":3}]}")</f>
        <v>{"typ":"lc","txt":"LC_ITEM_speedup_cure3_usedtip","args":[{"typ":"int","val":3}]}</v>
      </c>
      <c r="M106" s="148">
        <f>IFERROR(__xludf.DUMMYFUNCTION("""COMPUTED_VALUE"""),2000.0)</f>
        <v>2000</v>
      </c>
      <c r="N106" s="148">
        <f>IFERROR(__xludf.DUMMYFUNCTION("""COMPUTED_VALUE"""),999999.0)</f>
        <v>999999</v>
      </c>
      <c r="O106" s="148">
        <f>IFERROR(__xludf.DUMMYFUNCTION("""COMPUTED_VALUE"""),99999.0)</f>
        <v>99999</v>
      </c>
      <c r="P106" s="148">
        <f>IFERROR(__xludf.DUMMYFUNCTION("""COMPUTED_VALUE"""),99999.0)</f>
        <v>99999</v>
      </c>
      <c r="Q106" s="148" t="str">
        <f>IFERROR(__xludf.DUMMYFUNCTION("""COMPUTED_VALUE"""),"[""bag_speedup"",""speed_heal""]")</f>
        <v>["bag_speedup","speed_heal"]</v>
      </c>
      <c r="R106" s="148" t="str">
        <f>IFERROR(__xludf.DUMMYFUNCTION("""COMPUTED_VALUE"""),"[""speed_heal"",""speed_mechaqueue""]")</f>
        <v>["speed_heal","speed_mechaqueue"]</v>
      </c>
      <c r="S106" s="148" t="str">
        <f>IFERROR(__xludf.DUMMYFUNCTION("""COMPUTED_VALUE"""),"{""effect"":[{""typ"":""speedup"",""id"":11241005,""val"":259200000}]}")</f>
        <v>{"effect":[{"typ":"speedup","id":11241005,"val":259200000}]}</v>
      </c>
      <c r="T106" s="148">
        <f>IFERROR(__xludf.DUMMYFUNCTION("""COMPUTED_VALUE"""),-1.0)</f>
        <v>-1</v>
      </c>
      <c r="U106" s="148">
        <f>IFERROR(__xludf.DUMMYFUNCTION("""COMPUTED_VALUE"""),0.0)</f>
        <v>0</v>
      </c>
      <c r="V106" s="148" t="str">
        <f>IFERROR(__xludf.DUMMYFUNCTION("""COMPUTED_VALUE"""),"[]")</f>
        <v>[]</v>
      </c>
      <c r="W106" s="148">
        <f>IFERROR(__xludf.DUMMYFUNCTION("""COMPUTED_VALUE"""),1.1741003E7)</f>
        <v>11741003</v>
      </c>
      <c r="X106" s="148">
        <f>IFERROR(__xludf.DUMMYFUNCTION("""COMPUTED_VALUE"""),0.0)</f>
        <v>0</v>
      </c>
      <c r="Y106" s="148">
        <f>IFERROR(__xludf.DUMMYFUNCTION("""COMPUTED_VALUE"""),0.0)</f>
        <v>0</v>
      </c>
      <c r="Z106" s="148"/>
    </row>
    <row r="107">
      <c r="A107" s="148">
        <f>IFERROR(__xludf.DUMMYFUNCTION("""COMPUTED_VALUE"""),1.111117E7)</f>
        <v>11111170</v>
      </c>
      <c r="B107" s="148" t="str">
        <f>IFERROR(__xludf.DUMMYFUNCTION("""COMPUTED_VALUE"""),"7天治疗加速")</f>
        <v>7天治疗加速</v>
      </c>
      <c r="C107" s="148"/>
      <c r="D107" s="148" t="str">
        <f>IFERROR(__xludf.DUMMYFUNCTION("""COMPUTED_VALUE"""),"item_speedup")</f>
        <v>item_speedup</v>
      </c>
      <c r="E107" s="148">
        <f>IFERROR(__xludf.DUMMYFUNCTION("""COMPUTED_VALUE"""),7.0)</f>
        <v>7</v>
      </c>
      <c r="F107" s="148">
        <f>IFERROR(__xludf.DUMMYFUNCTION("""COMPUTED_VALUE"""),206512.0)</f>
        <v>206512</v>
      </c>
      <c r="G107" s="148">
        <f>IFERROR(__xludf.DUMMYFUNCTION("""COMPUTED_VALUE"""),1.5112565E7)</f>
        <v>15112565</v>
      </c>
      <c r="H107" s="148">
        <f>IFERROR(__xludf.DUMMYFUNCTION("""COMPUTED_VALUE"""),1.5112564E7)</f>
        <v>15112564</v>
      </c>
      <c r="I107" s="148" t="str">
        <f>IFERROR(__xludf.DUMMYFUNCTION("""COMPUTED_VALUE"""),"{""typ"":""lc"",""txt"":""LC_ITEM_time_day_upper_show"",""args"":[{""typ"":""int"",""val"":7}]}")</f>
        <v>{"typ":"lc","txt":"LC_ITEM_time_day_upper_show","args":[{"typ":"int","val":7}]}</v>
      </c>
      <c r="J107" s="148" t="str">
        <f>IFERROR(__xludf.DUMMYFUNCTION("""COMPUTED_VALUE"""),"{""typ"":""lc"",""txt"":""LC_ITEM_speedup_cure3_name"",""args"":[{""typ"":""int"",""val"":7}]}")</f>
        <v>{"typ":"lc","txt":"LC_ITEM_speedup_cure3_name","args":[{"typ":"int","val":7}]}</v>
      </c>
      <c r="K107" s="148" t="str">
        <f>IFERROR(__xludf.DUMMYFUNCTION("""COMPUTED_VALUE"""),"{""typ"":""lc"",""txt"":""LC_ITEM_speedup_cure3_desc"",""args"":[{""typ"":""int"",""val"":7}]}")</f>
        <v>{"typ":"lc","txt":"LC_ITEM_speedup_cure3_desc","args":[{"typ":"int","val":7}]}</v>
      </c>
      <c r="L107" s="148" t="str">
        <f>IFERROR(__xludf.DUMMYFUNCTION("""COMPUTED_VALUE"""),"{""typ"":""lc"",""txt"":""LC_ITEM_speedup_cure3_usedtip"",""args"":[{""typ"":""int"",""val"":7}]}")</f>
        <v>{"typ":"lc","txt":"LC_ITEM_speedup_cure3_usedtip","args":[{"typ":"int","val":7}]}</v>
      </c>
      <c r="M107" s="148">
        <f>IFERROR(__xludf.DUMMYFUNCTION("""COMPUTED_VALUE"""),2000.0)</f>
        <v>2000</v>
      </c>
      <c r="N107" s="148">
        <f>IFERROR(__xludf.DUMMYFUNCTION("""COMPUTED_VALUE"""),999999.0)</f>
        <v>999999</v>
      </c>
      <c r="O107" s="148">
        <f>IFERROR(__xludf.DUMMYFUNCTION("""COMPUTED_VALUE"""),99999.0)</f>
        <v>99999</v>
      </c>
      <c r="P107" s="148">
        <f>IFERROR(__xludf.DUMMYFUNCTION("""COMPUTED_VALUE"""),99999.0)</f>
        <v>99999</v>
      </c>
      <c r="Q107" s="148" t="str">
        <f>IFERROR(__xludf.DUMMYFUNCTION("""COMPUTED_VALUE"""),"[""bag_speedup"",""speed_heal""]")</f>
        <v>["bag_speedup","speed_heal"]</v>
      </c>
      <c r="R107" s="148" t="str">
        <f>IFERROR(__xludf.DUMMYFUNCTION("""COMPUTED_VALUE"""),"[""speed_heal"",""speed_mechaqueue""]")</f>
        <v>["speed_heal","speed_mechaqueue"]</v>
      </c>
      <c r="S107" s="148" t="str">
        <f>IFERROR(__xludf.DUMMYFUNCTION("""COMPUTED_VALUE"""),"{""effect"":[{""typ"":""speedup"",""id"":11241005,""val"":604800000}]}")</f>
        <v>{"effect":[{"typ":"speedup","id":11241005,"val":604800000}]}</v>
      </c>
      <c r="T107" s="148">
        <f>IFERROR(__xludf.DUMMYFUNCTION("""COMPUTED_VALUE"""),-1.0)</f>
        <v>-1</v>
      </c>
      <c r="U107" s="148">
        <f>IFERROR(__xludf.DUMMYFUNCTION("""COMPUTED_VALUE"""),0.0)</f>
        <v>0</v>
      </c>
      <c r="V107" s="148" t="str">
        <f>IFERROR(__xludf.DUMMYFUNCTION("""COMPUTED_VALUE"""),"[]")</f>
        <v>[]</v>
      </c>
      <c r="W107" s="148">
        <f>IFERROR(__xludf.DUMMYFUNCTION("""COMPUTED_VALUE"""),1.1741003E7)</f>
        <v>11741003</v>
      </c>
      <c r="X107" s="148">
        <f>IFERROR(__xludf.DUMMYFUNCTION("""COMPUTED_VALUE"""),0.0)</f>
        <v>0</v>
      </c>
      <c r="Y107" s="148">
        <f>IFERROR(__xludf.DUMMYFUNCTION("""COMPUTED_VALUE"""),0.0)</f>
        <v>0</v>
      </c>
      <c r="Z107" s="148"/>
    </row>
    <row r="108">
      <c r="A108" s="148">
        <f>IFERROR(__xludf.DUMMYFUNCTION("""COMPUTED_VALUE"""),1.1111171E7)</f>
        <v>11111171</v>
      </c>
      <c r="B108" s="148" t="str">
        <f>IFERROR(__xludf.DUMMYFUNCTION("""COMPUTED_VALUE"""),"3天训练加速")</f>
        <v>3天训练加速</v>
      </c>
      <c r="C108" s="148"/>
      <c r="D108" s="148" t="str">
        <f>IFERROR(__xludf.DUMMYFUNCTION("""COMPUTED_VALUE"""),"item_speedup")</f>
        <v>item_speedup</v>
      </c>
      <c r="E108" s="148">
        <f>IFERROR(__xludf.DUMMYFUNCTION("""COMPUTED_VALUE"""),6.0)</f>
        <v>6</v>
      </c>
      <c r="F108" s="148">
        <f>IFERROR(__xludf.DUMMYFUNCTION("""COMPUTED_VALUE"""),205511.0)</f>
        <v>205511</v>
      </c>
      <c r="G108" s="148">
        <f>IFERROR(__xludf.DUMMYFUNCTION("""COMPUTED_VALUE"""),1.5112585E7)</f>
        <v>15112585</v>
      </c>
      <c r="H108" s="148">
        <f>IFERROR(__xludf.DUMMYFUNCTION("""COMPUTED_VALUE"""),1.5112564E7)</f>
        <v>15112564</v>
      </c>
      <c r="I108" s="148" t="str">
        <f>IFERROR(__xludf.DUMMYFUNCTION("""COMPUTED_VALUE"""),"{""typ"":""lc"",""txt"":""LC_ITEM_time_day_upper_show"",""args"":[{""typ"":""int"",""val"":3}]}")</f>
        <v>{"typ":"lc","txt":"LC_ITEM_time_day_upper_show","args":[{"typ":"int","val":3}]}</v>
      </c>
      <c r="J108" s="148" t="str">
        <f>IFERROR(__xludf.DUMMYFUNCTION("""COMPUTED_VALUE"""),"{""typ"":""lc"",""txt"":""LC_ITEM_speedup_training3_name"",""args"":[{""typ"":""int"",""val"":3}]}")</f>
        <v>{"typ":"lc","txt":"LC_ITEM_speedup_training3_name","args":[{"typ":"int","val":3}]}</v>
      </c>
      <c r="K108" s="148" t="str">
        <f>IFERROR(__xludf.DUMMYFUNCTION("""COMPUTED_VALUE"""),"{""typ"":""lc"",""txt"":""LC_ITEM_speedup_training3_desc"",""args"":[{""typ"":""int"",""val"":3}]}")</f>
        <v>{"typ":"lc","txt":"LC_ITEM_speedup_training3_desc","args":[{"typ":"int","val":3}]}</v>
      </c>
      <c r="L108" s="148" t="str">
        <f>IFERROR(__xludf.DUMMYFUNCTION("""COMPUTED_VALUE"""),"{""typ"":""lc"",""txt"":""LC_ITEM_speedup_training3_usedtip"",""args"":[{""typ"":""int"",""val"":3}]}")</f>
        <v>{"typ":"lc","txt":"LC_ITEM_speedup_training3_usedtip","args":[{"typ":"int","val":3}]}</v>
      </c>
      <c r="M108" s="148">
        <f>IFERROR(__xludf.DUMMYFUNCTION("""COMPUTED_VALUE"""),2000.0)</f>
        <v>2000</v>
      </c>
      <c r="N108" s="148">
        <f>IFERROR(__xludf.DUMMYFUNCTION("""COMPUTED_VALUE"""),999999.0)</f>
        <v>999999</v>
      </c>
      <c r="O108" s="148">
        <f>IFERROR(__xludf.DUMMYFUNCTION("""COMPUTED_VALUE"""),99999.0)</f>
        <v>99999</v>
      </c>
      <c r="P108" s="148">
        <f>IFERROR(__xludf.DUMMYFUNCTION("""COMPUTED_VALUE"""),99999.0)</f>
        <v>99999</v>
      </c>
      <c r="Q108" s="148" t="str">
        <f>IFERROR(__xludf.DUMMYFUNCTION("""COMPUTED_VALUE"""),"[""bag_speedup"",""speed_train""]")</f>
        <v>["bag_speedup","speed_train"]</v>
      </c>
      <c r="R108" s="148" t="str">
        <f>IFERROR(__xludf.DUMMYFUNCTION("""COMPUTED_VALUE"""),"[""speed_train""]")</f>
        <v>["speed_train"]</v>
      </c>
      <c r="S108" s="148" t="str">
        <f>IFERROR(__xludf.DUMMYFUNCTION("""COMPUTED_VALUE"""),"{""effect"":[{""typ"":""speedup"",""id"":11241004,""val"":259200000}]}")</f>
        <v>{"effect":[{"typ":"speedup","id":11241004,"val":259200000}]}</v>
      </c>
      <c r="T108" s="148">
        <f>IFERROR(__xludf.DUMMYFUNCTION("""COMPUTED_VALUE"""),-1.0)</f>
        <v>-1</v>
      </c>
      <c r="U108" s="148">
        <f>IFERROR(__xludf.DUMMYFUNCTION("""COMPUTED_VALUE"""),0.0)</f>
        <v>0</v>
      </c>
      <c r="V108" s="148" t="str">
        <f>IFERROR(__xludf.DUMMYFUNCTION("""COMPUTED_VALUE"""),"[]")</f>
        <v>[]</v>
      </c>
      <c r="W108" s="148">
        <f>IFERROR(__xludf.DUMMYFUNCTION("""COMPUTED_VALUE"""),1.1741003E7)</f>
        <v>11741003</v>
      </c>
      <c r="X108" s="148">
        <f>IFERROR(__xludf.DUMMYFUNCTION("""COMPUTED_VALUE"""),0.0)</f>
        <v>0</v>
      </c>
      <c r="Y108" s="148">
        <f>IFERROR(__xludf.DUMMYFUNCTION("""COMPUTED_VALUE"""),0.0)</f>
        <v>0</v>
      </c>
      <c r="Z108" s="148"/>
    </row>
    <row r="109">
      <c r="A109" s="148">
        <f>IFERROR(__xludf.DUMMYFUNCTION("""COMPUTED_VALUE"""),1.1111172E7)</f>
        <v>11111172</v>
      </c>
      <c r="B109" s="148" t="str">
        <f>IFERROR(__xludf.DUMMYFUNCTION("""COMPUTED_VALUE"""),"7天训练加速")</f>
        <v>7天训练加速</v>
      </c>
      <c r="C109" s="148"/>
      <c r="D109" s="148" t="str">
        <f>IFERROR(__xludf.DUMMYFUNCTION("""COMPUTED_VALUE"""),"item_speedup")</f>
        <v>item_speedup</v>
      </c>
      <c r="E109" s="148">
        <f>IFERROR(__xludf.DUMMYFUNCTION("""COMPUTED_VALUE"""),6.0)</f>
        <v>6</v>
      </c>
      <c r="F109" s="148">
        <f>IFERROR(__xludf.DUMMYFUNCTION("""COMPUTED_VALUE"""),205512.0)</f>
        <v>205512</v>
      </c>
      <c r="G109" s="148">
        <f>IFERROR(__xludf.DUMMYFUNCTION("""COMPUTED_VALUE"""),1.5112585E7)</f>
        <v>15112585</v>
      </c>
      <c r="H109" s="148">
        <f>IFERROR(__xludf.DUMMYFUNCTION("""COMPUTED_VALUE"""),1.5112564E7)</f>
        <v>15112564</v>
      </c>
      <c r="I109" s="148" t="str">
        <f>IFERROR(__xludf.DUMMYFUNCTION("""COMPUTED_VALUE"""),"{""typ"":""lc"",""txt"":""LC_ITEM_time_day_upper_show"",""args"":[{""typ"":""int"",""val"":7}]}")</f>
        <v>{"typ":"lc","txt":"LC_ITEM_time_day_upper_show","args":[{"typ":"int","val":7}]}</v>
      </c>
      <c r="J109" s="148" t="str">
        <f>IFERROR(__xludf.DUMMYFUNCTION("""COMPUTED_VALUE"""),"{""typ"":""lc"",""txt"":""LC_ITEM_speedup_training3_name"",""args"":[{""typ"":""int"",""val"":7}]}")</f>
        <v>{"typ":"lc","txt":"LC_ITEM_speedup_training3_name","args":[{"typ":"int","val":7}]}</v>
      </c>
      <c r="K109" s="148" t="str">
        <f>IFERROR(__xludf.DUMMYFUNCTION("""COMPUTED_VALUE"""),"{""typ"":""lc"",""txt"":""LC_ITEM_speedup_training3_desc"",""args"":[{""typ"":""int"",""val"":7}]}")</f>
        <v>{"typ":"lc","txt":"LC_ITEM_speedup_training3_desc","args":[{"typ":"int","val":7}]}</v>
      </c>
      <c r="L109" s="148" t="str">
        <f>IFERROR(__xludf.DUMMYFUNCTION("""COMPUTED_VALUE"""),"{""typ"":""lc"",""txt"":""LC_ITEM_speedup_training3_usedtip"",""args"":[{""typ"":""int"",""val"":7}]}")</f>
        <v>{"typ":"lc","txt":"LC_ITEM_speedup_training3_usedtip","args":[{"typ":"int","val":7}]}</v>
      </c>
      <c r="M109" s="148">
        <f>IFERROR(__xludf.DUMMYFUNCTION("""COMPUTED_VALUE"""),2000.0)</f>
        <v>2000</v>
      </c>
      <c r="N109" s="148">
        <f>IFERROR(__xludf.DUMMYFUNCTION("""COMPUTED_VALUE"""),999999.0)</f>
        <v>999999</v>
      </c>
      <c r="O109" s="148">
        <f>IFERROR(__xludf.DUMMYFUNCTION("""COMPUTED_VALUE"""),99999.0)</f>
        <v>99999</v>
      </c>
      <c r="P109" s="148">
        <f>IFERROR(__xludf.DUMMYFUNCTION("""COMPUTED_VALUE"""),99999.0)</f>
        <v>99999</v>
      </c>
      <c r="Q109" s="148" t="str">
        <f>IFERROR(__xludf.DUMMYFUNCTION("""COMPUTED_VALUE"""),"[""bag_speedup"",""speed_train""]")</f>
        <v>["bag_speedup","speed_train"]</v>
      </c>
      <c r="R109" s="148" t="str">
        <f>IFERROR(__xludf.DUMMYFUNCTION("""COMPUTED_VALUE"""),"[""speed_train""]")</f>
        <v>["speed_train"]</v>
      </c>
      <c r="S109" s="148" t="str">
        <f>IFERROR(__xludf.DUMMYFUNCTION("""COMPUTED_VALUE"""),"{""effect"":[{""typ"":""speedup"",""id"":11241004,""val"":604800000}]}")</f>
        <v>{"effect":[{"typ":"speedup","id":11241004,"val":604800000}]}</v>
      </c>
      <c r="T109" s="148">
        <f>IFERROR(__xludf.DUMMYFUNCTION("""COMPUTED_VALUE"""),-1.0)</f>
        <v>-1</v>
      </c>
      <c r="U109" s="148">
        <f>IFERROR(__xludf.DUMMYFUNCTION("""COMPUTED_VALUE"""),0.0)</f>
        <v>0</v>
      </c>
      <c r="V109" s="148" t="str">
        <f>IFERROR(__xludf.DUMMYFUNCTION("""COMPUTED_VALUE"""),"[]")</f>
        <v>[]</v>
      </c>
      <c r="W109" s="148">
        <f>IFERROR(__xludf.DUMMYFUNCTION("""COMPUTED_VALUE"""),1.1741003E7)</f>
        <v>11741003</v>
      </c>
      <c r="X109" s="148">
        <f>IFERROR(__xludf.DUMMYFUNCTION("""COMPUTED_VALUE"""),0.0)</f>
        <v>0</v>
      </c>
      <c r="Y109" s="148">
        <f>IFERROR(__xludf.DUMMYFUNCTION("""COMPUTED_VALUE"""),0.0)</f>
        <v>0</v>
      </c>
      <c r="Z109" s="148"/>
    </row>
    <row r="110">
      <c r="A110" s="148">
        <f>IFERROR(__xludf.DUMMYFUNCTION("""COMPUTED_VALUE"""),1.1111173E7)</f>
        <v>11111173</v>
      </c>
      <c r="B110" s="148" t="str">
        <f>IFERROR(__xludf.DUMMYFUNCTION("""COMPUTED_VALUE"""),"1分钟基因编辑加速")</f>
        <v>1分钟基因编辑加速</v>
      </c>
      <c r="C110" s="148"/>
      <c r="D110" s="148" t="str">
        <f>IFERROR(__xludf.DUMMYFUNCTION("""COMPUTED_VALUE"""),"item_speedup")</f>
        <v>item_speedup</v>
      </c>
      <c r="E110" s="148">
        <f>IFERROR(__xludf.DUMMYFUNCTION("""COMPUTED_VALUE"""),0.0)</f>
        <v>0</v>
      </c>
      <c r="F110" s="148">
        <f>IFERROR(__xludf.DUMMYFUNCTION("""COMPUTED_VALUE"""),202101.0)</f>
        <v>202101</v>
      </c>
      <c r="G110" s="148">
        <f>IFERROR(__xludf.DUMMYFUNCTION("""COMPUTED_VALUE"""),1.5113972E7)</f>
        <v>15113972</v>
      </c>
      <c r="H110" s="148">
        <f>IFERROR(__xludf.DUMMYFUNCTION("""COMPUTED_VALUE"""),1.511256E7)</f>
        <v>15112560</v>
      </c>
      <c r="I110" s="148" t="str">
        <f>IFERROR(__xludf.DUMMYFUNCTION("""COMPUTED_VALUE"""),"{""typ"":""lc"",""txt"":""LC_ITEM_time_min_upper_show"",""args"":[{""typ"":""int"",""val"":1}]}")</f>
        <v>{"typ":"lc","txt":"LC_ITEM_time_min_upper_show","args":[{"typ":"int","val":1}]}</v>
      </c>
      <c r="J110" s="148" t="str">
        <f>IFERROR(__xludf.DUMMYFUNCTION("""COMPUTED_VALUE"""),"{""typ"":""lc"",""txt"":""LC_ITEM_speedup_gene_research_name"",""args"":[{""typ"":""int"",""val"":1}]}")</f>
        <v>{"typ":"lc","txt":"LC_ITEM_speedup_gene_research_name","args":[{"typ":"int","val":1}]}</v>
      </c>
      <c r="K110" s="148" t="str">
        <f>IFERROR(__xludf.DUMMYFUNCTION("""COMPUTED_VALUE"""),"{""typ"":""lc"",""txt"":""LC_ITEM_speedup_gene_research_desc"",""args"":[{""typ"":""int"",""val"":1}]}")</f>
        <v>{"typ":"lc","txt":"LC_ITEM_speedup_gene_research_desc","args":[{"typ":"int","val":1}]}</v>
      </c>
      <c r="L110" s="148" t="str">
        <f>IFERROR(__xludf.DUMMYFUNCTION("""COMPUTED_VALUE"""),"{""typ"":""lc"",""txt"":""LC_ITEM_speedup_gene_research_usedtip"",""args"":[{""typ"":""int"",""val"":1}]}")</f>
        <v>{"typ":"lc","txt":"LC_ITEM_speedup_gene_research_usedtip","args":[{"typ":"int","val":1}]}</v>
      </c>
      <c r="M110" s="148">
        <f>IFERROR(__xludf.DUMMYFUNCTION("""COMPUTED_VALUE"""),3.0)</f>
        <v>3</v>
      </c>
      <c r="N110" s="148">
        <f>IFERROR(__xludf.DUMMYFUNCTION("""COMPUTED_VALUE"""),999999.0)</f>
        <v>999999</v>
      </c>
      <c r="O110" s="148">
        <f>IFERROR(__xludf.DUMMYFUNCTION("""COMPUTED_VALUE"""),99999.0)</f>
        <v>99999</v>
      </c>
      <c r="P110" s="148">
        <f>IFERROR(__xludf.DUMMYFUNCTION("""COMPUTED_VALUE"""),99999.0)</f>
        <v>99999</v>
      </c>
      <c r="Q110" s="148" t="str">
        <f>IFERROR(__xludf.DUMMYFUNCTION("""COMPUTED_VALUE"""),"[""bag_speedup"",""speed_bananaresearch""]")</f>
        <v>["bag_speedup","speed_bananaresearch"]</v>
      </c>
      <c r="R110" s="148" t="str">
        <f>IFERROR(__xludf.DUMMYFUNCTION("""COMPUTED_VALUE"""),"[""speed_bananaresearch""]")</f>
        <v>["speed_bananaresearch"]</v>
      </c>
      <c r="S110" s="148" t="str">
        <f>IFERROR(__xludf.DUMMYFUNCTION("""COMPUTED_VALUE"""),"{""effect"":[{""typ"":""speedup"",""id"":11241008,""val"":60000}]}")</f>
        <v>{"effect":[{"typ":"speedup","id":11241008,"val":60000}]}</v>
      </c>
      <c r="T110" s="148">
        <f>IFERROR(__xludf.DUMMYFUNCTION("""COMPUTED_VALUE"""),-1.0)</f>
        <v>-1</v>
      </c>
      <c r="U110" s="148">
        <f>IFERROR(__xludf.DUMMYFUNCTION("""COMPUTED_VALUE"""),0.0)</f>
        <v>0</v>
      </c>
      <c r="V110" s="148" t="str">
        <f>IFERROR(__xludf.DUMMYFUNCTION("""COMPUTED_VALUE"""),"[]")</f>
        <v>[]</v>
      </c>
      <c r="W110" s="148">
        <f>IFERROR(__xludf.DUMMYFUNCTION("""COMPUTED_VALUE"""),1.1741003E7)</f>
        <v>11741003</v>
      </c>
      <c r="X110" s="148">
        <f>IFERROR(__xludf.DUMMYFUNCTION("""COMPUTED_VALUE"""),0.0)</f>
        <v>0</v>
      </c>
      <c r="Y110" s="148">
        <f>IFERROR(__xludf.DUMMYFUNCTION("""COMPUTED_VALUE"""),0.0)</f>
        <v>0</v>
      </c>
      <c r="Z110" s="148"/>
    </row>
    <row r="111">
      <c r="A111" s="148">
        <f>IFERROR(__xludf.DUMMYFUNCTION("""COMPUTED_VALUE"""),1.1111174E7)</f>
        <v>11111174</v>
      </c>
      <c r="B111" s="148" t="str">
        <f>IFERROR(__xludf.DUMMYFUNCTION("""COMPUTED_VALUE"""),"5分钟基因编辑加速")</f>
        <v>5分钟基因编辑加速</v>
      </c>
      <c r="C111" s="148"/>
      <c r="D111" s="148" t="str">
        <f>IFERROR(__xludf.DUMMYFUNCTION("""COMPUTED_VALUE"""),"item_speedup")</f>
        <v>item_speedup</v>
      </c>
      <c r="E111" s="148">
        <f>IFERROR(__xludf.DUMMYFUNCTION("""COMPUTED_VALUE"""),0.0)</f>
        <v>0</v>
      </c>
      <c r="F111" s="148">
        <f>IFERROR(__xludf.DUMMYFUNCTION("""COMPUTED_VALUE"""),202202.0)</f>
        <v>202202</v>
      </c>
      <c r="G111" s="148">
        <f>IFERROR(__xludf.DUMMYFUNCTION("""COMPUTED_VALUE"""),1.5113972E7)</f>
        <v>15113972</v>
      </c>
      <c r="H111" s="148">
        <f>IFERROR(__xludf.DUMMYFUNCTION("""COMPUTED_VALUE"""),1.5112561E7)</f>
        <v>15112561</v>
      </c>
      <c r="I111" s="148" t="str">
        <f>IFERROR(__xludf.DUMMYFUNCTION("""COMPUTED_VALUE"""),"{""typ"":""lc"",""txt"":""LC_ITEM_time_min_upper_show"",""args"":[{""typ"":""int"",""val"":5}]}")</f>
        <v>{"typ":"lc","txt":"LC_ITEM_time_min_upper_show","args":[{"typ":"int","val":5}]}</v>
      </c>
      <c r="J111" s="148" t="str">
        <f>IFERROR(__xludf.DUMMYFUNCTION("""COMPUTED_VALUE"""),"{""typ"":""lc"",""txt"":""LC_ITEM_speedup_gene_research_name"",""args"":[{""typ"":""int"",""val"":5}]}")</f>
        <v>{"typ":"lc","txt":"LC_ITEM_speedup_gene_research_name","args":[{"typ":"int","val":5}]}</v>
      </c>
      <c r="K111" s="148" t="str">
        <f>IFERROR(__xludf.DUMMYFUNCTION("""COMPUTED_VALUE"""),"{""typ"":""lc"",""txt"":""LC_ITEM_speedup_gene_research_desc"",""args"":[{""typ"":""int"",""val"":5}]}")</f>
        <v>{"typ":"lc","txt":"LC_ITEM_speedup_gene_research_desc","args":[{"typ":"int","val":5}]}</v>
      </c>
      <c r="L111" s="148" t="str">
        <f>IFERROR(__xludf.DUMMYFUNCTION("""COMPUTED_VALUE"""),"{""typ"":""lc"",""txt"":""LC_ITEM_speedup_gene_research_usedtip"",""args"":[{""typ"":""int"",""val"":5}]}")</f>
        <v>{"typ":"lc","txt":"LC_ITEM_speedup_gene_research_usedtip","args":[{"typ":"int","val":5}]}</v>
      </c>
      <c r="M111" s="148">
        <f>IFERROR(__xludf.DUMMYFUNCTION("""COMPUTED_VALUE"""),12.0)</f>
        <v>12</v>
      </c>
      <c r="N111" s="148">
        <f>IFERROR(__xludf.DUMMYFUNCTION("""COMPUTED_VALUE"""),999999.0)</f>
        <v>999999</v>
      </c>
      <c r="O111" s="148">
        <f>IFERROR(__xludf.DUMMYFUNCTION("""COMPUTED_VALUE"""),99999.0)</f>
        <v>99999</v>
      </c>
      <c r="P111" s="148">
        <f>IFERROR(__xludf.DUMMYFUNCTION("""COMPUTED_VALUE"""),99999.0)</f>
        <v>99999</v>
      </c>
      <c r="Q111" s="148" t="str">
        <f>IFERROR(__xludf.DUMMYFUNCTION("""COMPUTED_VALUE"""),"[""bag_speedup"",""speed_bananaresearch""]")</f>
        <v>["bag_speedup","speed_bananaresearch"]</v>
      </c>
      <c r="R111" s="148" t="str">
        <f>IFERROR(__xludf.DUMMYFUNCTION("""COMPUTED_VALUE"""),"[""speed_bananaresearch""]")</f>
        <v>["speed_bananaresearch"]</v>
      </c>
      <c r="S111" s="148" t="str">
        <f>IFERROR(__xludf.DUMMYFUNCTION("""COMPUTED_VALUE"""),"{""effect"":[{""typ"":""speedup"",""id"":11241008,""val"":300000}]}")</f>
        <v>{"effect":[{"typ":"speedup","id":11241008,"val":300000}]}</v>
      </c>
      <c r="T111" s="148">
        <f>IFERROR(__xludf.DUMMYFUNCTION("""COMPUTED_VALUE"""),-1.0)</f>
        <v>-1</v>
      </c>
      <c r="U111" s="148">
        <f>IFERROR(__xludf.DUMMYFUNCTION("""COMPUTED_VALUE"""),0.0)</f>
        <v>0</v>
      </c>
      <c r="V111" s="148" t="str">
        <f>IFERROR(__xludf.DUMMYFUNCTION("""COMPUTED_VALUE"""),"[]")</f>
        <v>[]</v>
      </c>
      <c r="W111" s="148">
        <f>IFERROR(__xludf.DUMMYFUNCTION("""COMPUTED_VALUE"""),1.1741003E7)</f>
        <v>11741003</v>
      </c>
      <c r="X111" s="148">
        <f>IFERROR(__xludf.DUMMYFUNCTION("""COMPUTED_VALUE"""),0.0)</f>
        <v>0</v>
      </c>
      <c r="Y111" s="148">
        <f>IFERROR(__xludf.DUMMYFUNCTION("""COMPUTED_VALUE"""),0.0)</f>
        <v>0</v>
      </c>
      <c r="Z111" s="148"/>
    </row>
    <row r="112">
      <c r="A112" s="148">
        <f>IFERROR(__xludf.DUMMYFUNCTION("""COMPUTED_VALUE"""),1.1111175E7)</f>
        <v>11111175</v>
      </c>
      <c r="B112" s="148" t="str">
        <f>IFERROR(__xludf.DUMMYFUNCTION("""COMPUTED_VALUE"""),"10分钟基因编辑加速")</f>
        <v>10分钟基因编辑加速</v>
      </c>
      <c r="C112" s="148"/>
      <c r="D112" s="148" t="str">
        <f>IFERROR(__xludf.DUMMYFUNCTION("""COMPUTED_VALUE"""),"item_speedup")</f>
        <v>item_speedup</v>
      </c>
      <c r="E112" s="148">
        <f>IFERROR(__xludf.DUMMYFUNCTION("""COMPUTED_VALUE"""),0.0)</f>
        <v>0</v>
      </c>
      <c r="F112" s="148">
        <f>IFERROR(__xludf.DUMMYFUNCTION("""COMPUTED_VALUE"""),202203.0)</f>
        <v>202203</v>
      </c>
      <c r="G112" s="148">
        <f>IFERROR(__xludf.DUMMYFUNCTION("""COMPUTED_VALUE"""),1.5113972E7)</f>
        <v>15113972</v>
      </c>
      <c r="H112" s="148">
        <f>IFERROR(__xludf.DUMMYFUNCTION("""COMPUTED_VALUE"""),1.5112561E7)</f>
        <v>15112561</v>
      </c>
      <c r="I112" s="148" t="str">
        <f>IFERROR(__xludf.DUMMYFUNCTION("""COMPUTED_VALUE"""),"{""typ"":""lc"",""txt"":""LC_ITEM_time_min_upper_show"",""args"":[{""typ"":""int"",""val"":10}]}")</f>
        <v>{"typ":"lc","txt":"LC_ITEM_time_min_upper_show","args":[{"typ":"int","val":10}]}</v>
      </c>
      <c r="J112" s="148" t="str">
        <f>IFERROR(__xludf.DUMMYFUNCTION("""COMPUTED_VALUE"""),"{""typ"":""lc"",""txt"":""LC_ITEM_speedup_gene_research_name"",""args"":[{""typ"":""int"",""val"":10}]}")</f>
        <v>{"typ":"lc","txt":"LC_ITEM_speedup_gene_research_name","args":[{"typ":"int","val":10}]}</v>
      </c>
      <c r="K112" s="148" t="str">
        <f>IFERROR(__xludf.DUMMYFUNCTION("""COMPUTED_VALUE"""),"{""typ"":""lc"",""txt"":""LC_ITEM_speedup_gene_research_desc"",""args"":[{""typ"":""int"",""val"":10}]}")</f>
        <v>{"typ":"lc","txt":"LC_ITEM_speedup_gene_research_desc","args":[{"typ":"int","val":10}]}</v>
      </c>
      <c r="L112" s="148" t="str">
        <f>IFERROR(__xludf.DUMMYFUNCTION("""COMPUTED_VALUE"""),"{""typ"":""lc"",""txt"":""LC_ITEM_speedup_gene_research_usedtip"",""args"":[{""typ"":""int"",""val"":10}]}")</f>
        <v>{"typ":"lc","txt":"LC_ITEM_speedup_gene_research_usedtip","args":[{"typ":"int","val":10}]}</v>
      </c>
      <c r="M112" s="148">
        <f>IFERROR(__xludf.DUMMYFUNCTION("""COMPUTED_VALUE"""),24.0)</f>
        <v>24</v>
      </c>
      <c r="N112" s="148">
        <f>IFERROR(__xludf.DUMMYFUNCTION("""COMPUTED_VALUE"""),999999.0)</f>
        <v>999999</v>
      </c>
      <c r="O112" s="148">
        <f>IFERROR(__xludf.DUMMYFUNCTION("""COMPUTED_VALUE"""),99999.0)</f>
        <v>99999</v>
      </c>
      <c r="P112" s="148">
        <f>IFERROR(__xludf.DUMMYFUNCTION("""COMPUTED_VALUE"""),99999.0)</f>
        <v>99999</v>
      </c>
      <c r="Q112" s="148" t="str">
        <f>IFERROR(__xludf.DUMMYFUNCTION("""COMPUTED_VALUE"""),"[""bag_speedup"",""speed_bananaresearch""]")</f>
        <v>["bag_speedup","speed_bananaresearch"]</v>
      </c>
      <c r="R112" s="148" t="str">
        <f>IFERROR(__xludf.DUMMYFUNCTION("""COMPUTED_VALUE"""),"[""speed_bananaresearch""]")</f>
        <v>["speed_bananaresearch"]</v>
      </c>
      <c r="S112" s="148" t="str">
        <f>IFERROR(__xludf.DUMMYFUNCTION("""COMPUTED_VALUE"""),"{""effect"":[{""typ"":""speedup"",""id"":11241008,""val"":600000}]}")</f>
        <v>{"effect":[{"typ":"speedup","id":11241008,"val":600000}]}</v>
      </c>
      <c r="T112" s="148">
        <f>IFERROR(__xludf.DUMMYFUNCTION("""COMPUTED_VALUE"""),-1.0)</f>
        <v>-1</v>
      </c>
      <c r="U112" s="148">
        <f>IFERROR(__xludf.DUMMYFUNCTION("""COMPUTED_VALUE"""),0.0)</f>
        <v>0</v>
      </c>
      <c r="V112" s="148" t="str">
        <f>IFERROR(__xludf.DUMMYFUNCTION("""COMPUTED_VALUE"""),"[]")</f>
        <v>[]</v>
      </c>
      <c r="W112" s="148">
        <f>IFERROR(__xludf.DUMMYFUNCTION("""COMPUTED_VALUE"""),1.1741003E7)</f>
        <v>11741003</v>
      </c>
      <c r="X112" s="148">
        <f>IFERROR(__xludf.DUMMYFUNCTION("""COMPUTED_VALUE"""),0.0)</f>
        <v>0</v>
      </c>
      <c r="Y112" s="148">
        <f>IFERROR(__xludf.DUMMYFUNCTION("""COMPUTED_VALUE"""),0.0)</f>
        <v>0</v>
      </c>
      <c r="Z112" s="148"/>
    </row>
    <row r="113">
      <c r="A113" s="148">
        <f>IFERROR(__xludf.DUMMYFUNCTION("""COMPUTED_VALUE"""),1.1111176E7)</f>
        <v>11111176</v>
      </c>
      <c r="B113" s="148" t="str">
        <f>IFERROR(__xludf.DUMMYFUNCTION("""COMPUTED_VALUE"""),"15分钟基因编辑加速")</f>
        <v>15分钟基因编辑加速</v>
      </c>
      <c r="C113" s="148"/>
      <c r="D113" s="148" t="str">
        <f>IFERROR(__xludf.DUMMYFUNCTION("""COMPUTED_VALUE"""),"item_speedup")</f>
        <v>item_speedup</v>
      </c>
      <c r="E113" s="148">
        <f>IFERROR(__xludf.DUMMYFUNCTION("""COMPUTED_VALUE"""),0.0)</f>
        <v>0</v>
      </c>
      <c r="F113" s="148">
        <f>IFERROR(__xludf.DUMMYFUNCTION("""COMPUTED_VALUE"""),202204.0)</f>
        <v>202204</v>
      </c>
      <c r="G113" s="148">
        <f>IFERROR(__xludf.DUMMYFUNCTION("""COMPUTED_VALUE"""),1.5113972E7)</f>
        <v>15113972</v>
      </c>
      <c r="H113" s="148">
        <f>IFERROR(__xludf.DUMMYFUNCTION("""COMPUTED_VALUE"""),1.5112561E7)</f>
        <v>15112561</v>
      </c>
      <c r="I113" s="148" t="str">
        <f>IFERROR(__xludf.DUMMYFUNCTION("""COMPUTED_VALUE"""),"{""typ"":""lc"",""txt"":""LC_ITEM_time_min_upper_show"",""args"":[{""typ"":""int"",""val"":15}]}")</f>
        <v>{"typ":"lc","txt":"LC_ITEM_time_min_upper_show","args":[{"typ":"int","val":15}]}</v>
      </c>
      <c r="J113" s="148" t="str">
        <f>IFERROR(__xludf.DUMMYFUNCTION("""COMPUTED_VALUE"""),"{""typ"":""lc"",""txt"":""LC_ITEM_speedup_gene_research_name"",""args"":[{""typ"":""int"",""val"":15}]}")</f>
        <v>{"typ":"lc","txt":"LC_ITEM_speedup_gene_research_name","args":[{"typ":"int","val":15}]}</v>
      </c>
      <c r="K113" s="148" t="str">
        <f>IFERROR(__xludf.DUMMYFUNCTION("""COMPUTED_VALUE"""),"{""typ"":""lc"",""txt"":""LC_ITEM_speedup_gene_research_desc"",""args"":[{""typ"":""int"",""val"":15}]}")</f>
        <v>{"typ":"lc","txt":"LC_ITEM_speedup_gene_research_desc","args":[{"typ":"int","val":15}]}</v>
      </c>
      <c r="L113" s="148" t="str">
        <f>IFERROR(__xludf.DUMMYFUNCTION("""COMPUTED_VALUE"""),"{""typ"":""lc"",""txt"":""LC_ITEM_speedup_gene_research_usedtip"",""args"":[{""typ"":""int"",""val"":15}]}")</f>
        <v>{"typ":"lc","txt":"LC_ITEM_speedup_gene_research_usedtip","args":[{"typ":"int","val":15}]}</v>
      </c>
      <c r="M113" s="148">
        <f>IFERROR(__xludf.DUMMYFUNCTION("""COMPUTED_VALUE"""),35.0)</f>
        <v>35</v>
      </c>
      <c r="N113" s="148">
        <f>IFERROR(__xludf.DUMMYFUNCTION("""COMPUTED_VALUE"""),999999.0)</f>
        <v>999999</v>
      </c>
      <c r="O113" s="148">
        <f>IFERROR(__xludf.DUMMYFUNCTION("""COMPUTED_VALUE"""),99999.0)</f>
        <v>99999</v>
      </c>
      <c r="P113" s="148">
        <f>IFERROR(__xludf.DUMMYFUNCTION("""COMPUTED_VALUE"""),99999.0)</f>
        <v>99999</v>
      </c>
      <c r="Q113" s="148" t="str">
        <f>IFERROR(__xludf.DUMMYFUNCTION("""COMPUTED_VALUE"""),"[""bag_speedup"",""speed_bananaresearch""]")</f>
        <v>["bag_speedup","speed_bananaresearch"]</v>
      </c>
      <c r="R113" s="148" t="str">
        <f>IFERROR(__xludf.DUMMYFUNCTION("""COMPUTED_VALUE"""),"[""speed_bananaresearch""]")</f>
        <v>["speed_bananaresearch"]</v>
      </c>
      <c r="S113" s="148" t="str">
        <f>IFERROR(__xludf.DUMMYFUNCTION("""COMPUTED_VALUE"""),"{""effect"":[{""typ"":""speedup"",""id"":11241008,""val"":900000}]}")</f>
        <v>{"effect":[{"typ":"speedup","id":11241008,"val":900000}]}</v>
      </c>
      <c r="T113" s="148">
        <f>IFERROR(__xludf.DUMMYFUNCTION("""COMPUTED_VALUE"""),-1.0)</f>
        <v>-1</v>
      </c>
      <c r="U113" s="148">
        <f>IFERROR(__xludf.DUMMYFUNCTION("""COMPUTED_VALUE"""),0.0)</f>
        <v>0</v>
      </c>
      <c r="V113" s="148" t="str">
        <f>IFERROR(__xludf.DUMMYFUNCTION("""COMPUTED_VALUE"""),"[]")</f>
        <v>[]</v>
      </c>
      <c r="W113" s="148">
        <f>IFERROR(__xludf.DUMMYFUNCTION("""COMPUTED_VALUE"""),1.1741003E7)</f>
        <v>11741003</v>
      </c>
      <c r="X113" s="148">
        <f>IFERROR(__xludf.DUMMYFUNCTION("""COMPUTED_VALUE"""),0.0)</f>
        <v>0</v>
      </c>
      <c r="Y113" s="148">
        <f>IFERROR(__xludf.DUMMYFUNCTION("""COMPUTED_VALUE"""),0.0)</f>
        <v>0</v>
      </c>
      <c r="Z113" s="148"/>
    </row>
    <row r="114">
      <c r="A114" s="148">
        <f>IFERROR(__xludf.DUMMYFUNCTION("""COMPUTED_VALUE"""),1.1111177E7)</f>
        <v>11111177</v>
      </c>
      <c r="B114" s="148" t="str">
        <f>IFERROR(__xludf.DUMMYFUNCTION("""COMPUTED_VALUE"""),"30分钟基因编辑加速")</f>
        <v>30分钟基因编辑加速</v>
      </c>
      <c r="C114" s="148"/>
      <c r="D114" s="148" t="str">
        <f>IFERROR(__xludf.DUMMYFUNCTION("""COMPUTED_VALUE"""),"item_speedup")</f>
        <v>item_speedup</v>
      </c>
      <c r="E114" s="148">
        <f>IFERROR(__xludf.DUMMYFUNCTION("""COMPUTED_VALUE"""),0.0)</f>
        <v>0</v>
      </c>
      <c r="F114" s="148">
        <f>IFERROR(__xludf.DUMMYFUNCTION("""COMPUTED_VALUE"""),202305.0)</f>
        <v>202305</v>
      </c>
      <c r="G114" s="148">
        <f>IFERROR(__xludf.DUMMYFUNCTION("""COMPUTED_VALUE"""),1.5113972E7)</f>
        <v>15113972</v>
      </c>
      <c r="H114" s="148">
        <f>IFERROR(__xludf.DUMMYFUNCTION("""COMPUTED_VALUE"""),1.5112562E7)</f>
        <v>15112562</v>
      </c>
      <c r="I114" s="148" t="str">
        <f>IFERROR(__xludf.DUMMYFUNCTION("""COMPUTED_VALUE"""),"{""typ"":""lc"",""txt"":""LC_ITEM_time_min_upper_show"",""args"":[{""typ"":""int"",""val"":30}]}")</f>
        <v>{"typ":"lc","txt":"LC_ITEM_time_min_upper_show","args":[{"typ":"int","val":30}]}</v>
      </c>
      <c r="J114" s="148" t="str">
        <f>IFERROR(__xludf.DUMMYFUNCTION("""COMPUTED_VALUE"""),"{""typ"":""lc"",""txt"":""LC_ITEM_speedup_gene_research_name"",""args"":[{""typ"":""int"",""val"":30}]}")</f>
        <v>{"typ":"lc","txt":"LC_ITEM_speedup_gene_research_name","args":[{"typ":"int","val":30}]}</v>
      </c>
      <c r="K114" s="148" t="str">
        <f>IFERROR(__xludf.DUMMYFUNCTION("""COMPUTED_VALUE"""),"{""typ"":""lc"",""txt"":""LC_ITEM_speedup_gene_research_desc"",""args"":[{""typ"":""int"",""val"":30}]}")</f>
        <v>{"typ":"lc","txt":"LC_ITEM_speedup_gene_research_desc","args":[{"typ":"int","val":30}]}</v>
      </c>
      <c r="L114" s="148" t="str">
        <f>IFERROR(__xludf.DUMMYFUNCTION("""COMPUTED_VALUE"""),"{""typ"":""lc"",""txt"":""LC_ITEM_speedup_gene_research_usedtip"",""args"":[{""typ"":""int"",""val"":30}]}")</f>
        <v>{"typ":"lc","txt":"LC_ITEM_speedup_gene_research_usedtip","args":[{"typ":"int","val":30}]}</v>
      </c>
      <c r="M114" s="148">
        <f>IFERROR(__xludf.DUMMYFUNCTION("""COMPUTED_VALUE"""),60.0)</f>
        <v>60</v>
      </c>
      <c r="N114" s="148">
        <f>IFERROR(__xludf.DUMMYFUNCTION("""COMPUTED_VALUE"""),999999.0)</f>
        <v>999999</v>
      </c>
      <c r="O114" s="148">
        <f>IFERROR(__xludf.DUMMYFUNCTION("""COMPUTED_VALUE"""),99999.0)</f>
        <v>99999</v>
      </c>
      <c r="P114" s="148">
        <f>IFERROR(__xludf.DUMMYFUNCTION("""COMPUTED_VALUE"""),99999.0)</f>
        <v>99999</v>
      </c>
      <c r="Q114" s="148" t="str">
        <f>IFERROR(__xludf.DUMMYFUNCTION("""COMPUTED_VALUE"""),"[""bag_speedup"",""speed_bananaresearch""]")</f>
        <v>["bag_speedup","speed_bananaresearch"]</v>
      </c>
      <c r="R114" s="148" t="str">
        <f>IFERROR(__xludf.DUMMYFUNCTION("""COMPUTED_VALUE"""),"[""speed_bananaresearch""]")</f>
        <v>["speed_bananaresearch"]</v>
      </c>
      <c r="S114" s="148" t="str">
        <f>IFERROR(__xludf.DUMMYFUNCTION("""COMPUTED_VALUE"""),"{""effect"":[{""typ"":""speedup"",""id"":11241008,""val"":1800000}]}")</f>
        <v>{"effect":[{"typ":"speedup","id":11241008,"val":1800000}]}</v>
      </c>
      <c r="T114" s="148">
        <f>IFERROR(__xludf.DUMMYFUNCTION("""COMPUTED_VALUE"""),-1.0)</f>
        <v>-1</v>
      </c>
      <c r="U114" s="148">
        <f>IFERROR(__xludf.DUMMYFUNCTION("""COMPUTED_VALUE"""),0.0)</f>
        <v>0</v>
      </c>
      <c r="V114" s="148" t="str">
        <f>IFERROR(__xludf.DUMMYFUNCTION("""COMPUTED_VALUE"""),"[]")</f>
        <v>[]</v>
      </c>
      <c r="W114" s="148">
        <f>IFERROR(__xludf.DUMMYFUNCTION("""COMPUTED_VALUE"""),1.1741003E7)</f>
        <v>11741003</v>
      </c>
      <c r="X114" s="148">
        <f>IFERROR(__xludf.DUMMYFUNCTION("""COMPUTED_VALUE"""),0.0)</f>
        <v>0</v>
      </c>
      <c r="Y114" s="148">
        <f>IFERROR(__xludf.DUMMYFUNCTION("""COMPUTED_VALUE"""),0.0)</f>
        <v>0</v>
      </c>
      <c r="Z114" s="148"/>
    </row>
    <row r="115">
      <c r="A115" s="148">
        <f>IFERROR(__xludf.DUMMYFUNCTION("""COMPUTED_VALUE"""),1.1111178E7)</f>
        <v>11111178</v>
      </c>
      <c r="B115" s="148" t="str">
        <f>IFERROR(__xludf.DUMMYFUNCTION("""COMPUTED_VALUE"""),"60分钟基因编辑加速")</f>
        <v>60分钟基因编辑加速</v>
      </c>
      <c r="C115" s="148"/>
      <c r="D115" s="148" t="str">
        <f>IFERROR(__xludf.DUMMYFUNCTION("""COMPUTED_VALUE"""),"item_speedup")</f>
        <v>item_speedup</v>
      </c>
      <c r="E115" s="148">
        <f>IFERROR(__xludf.DUMMYFUNCTION("""COMPUTED_VALUE"""),0.0)</f>
        <v>0</v>
      </c>
      <c r="F115" s="148">
        <f>IFERROR(__xludf.DUMMYFUNCTION("""COMPUTED_VALUE"""),202306.0)</f>
        <v>202306</v>
      </c>
      <c r="G115" s="148">
        <f>IFERROR(__xludf.DUMMYFUNCTION("""COMPUTED_VALUE"""),1.5113972E7)</f>
        <v>15113972</v>
      </c>
      <c r="H115" s="148">
        <f>IFERROR(__xludf.DUMMYFUNCTION("""COMPUTED_VALUE"""),1.5112562E7)</f>
        <v>15112562</v>
      </c>
      <c r="I115" s="148" t="str">
        <f>IFERROR(__xludf.DUMMYFUNCTION("""COMPUTED_VALUE"""),"{""typ"":""lc"",""txt"":""LC_ITEM_time_h_upper_show"",""args"":[{""typ"":""int"",""val"":1}]}")</f>
        <v>{"typ":"lc","txt":"LC_ITEM_time_h_upper_show","args":[{"typ":"int","val":1}]}</v>
      </c>
      <c r="J115" s="148" t="str">
        <f>IFERROR(__xludf.DUMMYFUNCTION("""COMPUTED_VALUE"""),"{""typ"":""lc"",""txt"":""LC_ITEM_speedup_gene_research2_name"",""args"":[{""typ"":""int"",""val"":1}]}")</f>
        <v>{"typ":"lc","txt":"LC_ITEM_speedup_gene_research2_name","args":[{"typ":"int","val":1}]}</v>
      </c>
      <c r="K115" s="148" t="str">
        <f>IFERROR(__xludf.DUMMYFUNCTION("""COMPUTED_VALUE"""),"{""typ"":""lc"",""txt"":""LC_ITEM_speedup_gene_research2_desc"",""args"":[{""typ"":""int"",""val"":1}]}")</f>
        <v>{"typ":"lc","txt":"LC_ITEM_speedup_gene_research2_desc","args":[{"typ":"int","val":1}]}</v>
      </c>
      <c r="L115" s="148" t="str">
        <f>IFERROR(__xludf.DUMMYFUNCTION("""COMPUTED_VALUE"""),"{""typ"":""lc"",""txt"":""LC_ITEM_speedup_gene_research2_usedtip"",""args"":[{""typ"":""int"",""val"":1}]}")</f>
        <v>{"typ":"lc","txt":"LC_ITEM_speedup_gene_research2_usedtip","args":[{"typ":"int","val":1}]}</v>
      </c>
      <c r="M115" s="148">
        <f>IFERROR(__xludf.DUMMYFUNCTION("""COMPUTED_VALUE"""),100.0)</f>
        <v>100</v>
      </c>
      <c r="N115" s="148">
        <f>IFERROR(__xludf.DUMMYFUNCTION("""COMPUTED_VALUE"""),999999.0)</f>
        <v>999999</v>
      </c>
      <c r="O115" s="148">
        <f>IFERROR(__xludf.DUMMYFUNCTION("""COMPUTED_VALUE"""),99999.0)</f>
        <v>99999</v>
      </c>
      <c r="P115" s="148">
        <f>IFERROR(__xludf.DUMMYFUNCTION("""COMPUTED_VALUE"""),99999.0)</f>
        <v>99999</v>
      </c>
      <c r="Q115" s="148" t="str">
        <f>IFERROR(__xludf.DUMMYFUNCTION("""COMPUTED_VALUE"""),"[""bag_speedup"",""speed_bananaresearch""]")</f>
        <v>["bag_speedup","speed_bananaresearch"]</v>
      </c>
      <c r="R115" s="148" t="str">
        <f>IFERROR(__xludf.DUMMYFUNCTION("""COMPUTED_VALUE"""),"[""speed_bananaresearch""]")</f>
        <v>["speed_bananaresearch"]</v>
      </c>
      <c r="S115" s="148" t="str">
        <f>IFERROR(__xludf.DUMMYFUNCTION("""COMPUTED_VALUE"""),"{""effect"":[{""typ"":""speedup"",""id"":11241008,""val"":3600000}]}")</f>
        <v>{"effect":[{"typ":"speedup","id":11241008,"val":3600000}]}</v>
      </c>
      <c r="T115" s="148">
        <f>IFERROR(__xludf.DUMMYFUNCTION("""COMPUTED_VALUE"""),-1.0)</f>
        <v>-1</v>
      </c>
      <c r="U115" s="148">
        <f>IFERROR(__xludf.DUMMYFUNCTION("""COMPUTED_VALUE"""),0.0)</f>
        <v>0</v>
      </c>
      <c r="V115" s="148" t="str">
        <f>IFERROR(__xludf.DUMMYFUNCTION("""COMPUTED_VALUE"""),"[]")</f>
        <v>[]</v>
      </c>
      <c r="W115" s="148">
        <f>IFERROR(__xludf.DUMMYFUNCTION("""COMPUTED_VALUE"""),1.1741003E7)</f>
        <v>11741003</v>
      </c>
      <c r="X115" s="148">
        <f>IFERROR(__xludf.DUMMYFUNCTION("""COMPUTED_VALUE"""),0.0)</f>
        <v>0</v>
      </c>
      <c r="Y115" s="148">
        <f>IFERROR(__xludf.DUMMYFUNCTION("""COMPUTED_VALUE"""),0.0)</f>
        <v>0</v>
      </c>
      <c r="Z115" s="148"/>
    </row>
    <row r="116">
      <c r="A116" s="148">
        <f>IFERROR(__xludf.DUMMYFUNCTION("""COMPUTED_VALUE"""),1.1111179E7)</f>
        <v>11111179</v>
      </c>
      <c r="B116" s="148" t="str">
        <f>IFERROR(__xludf.DUMMYFUNCTION("""COMPUTED_VALUE"""),"2小时基因编辑加速")</f>
        <v>2小时基因编辑加速</v>
      </c>
      <c r="C116" s="148"/>
      <c r="D116" s="148" t="str">
        <f>IFERROR(__xludf.DUMMYFUNCTION("""COMPUTED_VALUE"""),"item_speedup")</f>
        <v>item_speedup</v>
      </c>
      <c r="E116" s="148">
        <f>IFERROR(__xludf.DUMMYFUNCTION("""COMPUTED_VALUE"""),0.0)</f>
        <v>0</v>
      </c>
      <c r="F116" s="148">
        <f>IFERROR(__xludf.DUMMYFUNCTION("""COMPUTED_VALUE"""),202307.0)</f>
        <v>202307</v>
      </c>
      <c r="G116" s="148">
        <f>IFERROR(__xludf.DUMMYFUNCTION("""COMPUTED_VALUE"""),1.5113972E7)</f>
        <v>15113972</v>
      </c>
      <c r="H116" s="148">
        <f>IFERROR(__xludf.DUMMYFUNCTION("""COMPUTED_VALUE"""),1.5112562E7)</f>
        <v>15112562</v>
      </c>
      <c r="I116" s="148" t="str">
        <f>IFERROR(__xludf.DUMMYFUNCTION("""COMPUTED_VALUE"""),"{""typ"":""lc"",""txt"":""LC_ITEM_time_h_upper_show"",""args"":[{""typ"":""int"",""val"":2}]}")</f>
        <v>{"typ":"lc","txt":"LC_ITEM_time_h_upper_show","args":[{"typ":"int","val":2}]}</v>
      </c>
      <c r="J116" s="148" t="str">
        <f>IFERROR(__xludf.DUMMYFUNCTION("""COMPUTED_VALUE"""),"{""typ"":""lc"",""txt"":""LC_ITEM_speedup_gene_research2_name"",""args"":[{""typ"":""int"",""val"":2}]}")</f>
        <v>{"typ":"lc","txt":"LC_ITEM_speedup_gene_research2_name","args":[{"typ":"int","val":2}]}</v>
      </c>
      <c r="K116" s="148" t="str">
        <f>IFERROR(__xludf.DUMMYFUNCTION("""COMPUTED_VALUE"""),"{""typ"":""lc"",""txt"":""LC_ITEM_speedup_gene_research2_desc"",""args"":[{""typ"":""int"",""val"":2}]}")</f>
        <v>{"typ":"lc","txt":"LC_ITEM_speedup_gene_research2_desc","args":[{"typ":"int","val":2}]}</v>
      </c>
      <c r="L116" s="148" t="str">
        <f>IFERROR(__xludf.DUMMYFUNCTION("""COMPUTED_VALUE"""),"{""typ"":""lc"",""txt"":""LC_ITEM_speedup_gene_research2_usedtip"",""args"":[{""typ"":""int"",""val"":2}]}")</f>
        <v>{"typ":"lc","txt":"LC_ITEM_speedup_gene_research2_usedtip","args":[{"typ":"int","val":2}]}</v>
      </c>
      <c r="M116" s="148">
        <f>IFERROR(__xludf.DUMMYFUNCTION("""COMPUTED_VALUE"""),200.0)</f>
        <v>200</v>
      </c>
      <c r="N116" s="148">
        <f>IFERROR(__xludf.DUMMYFUNCTION("""COMPUTED_VALUE"""),999999.0)</f>
        <v>999999</v>
      </c>
      <c r="O116" s="148">
        <f>IFERROR(__xludf.DUMMYFUNCTION("""COMPUTED_VALUE"""),99999.0)</f>
        <v>99999</v>
      </c>
      <c r="P116" s="148">
        <f>IFERROR(__xludf.DUMMYFUNCTION("""COMPUTED_VALUE"""),99999.0)</f>
        <v>99999</v>
      </c>
      <c r="Q116" s="148" t="str">
        <f>IFERROR(__xludf.DUMMYFUNCTION("""COMPUTED_VALUE"""),"[""bag_speedup"",""speed_bananaresearch""]")</f>
        <v>["bag_speedup","speed_bananaresearch"]</v>
      </c>
      <c r="R116" s="148" t="str">
        <f>IFERROR(__xludf.DUMMYFUNCTION("""COMPUTED_VALUE"""),"[""speed_bananaresearch""]")</f>
        <v>["speed_bananaresearch"]</v>
      </c>
      <c r="S116" s="148" t="str">
        <f>IFERROR(__xludf.DUMMYFUNCTION("""COMPUTED_VALUE"""),"{""effect"":[{""typ"":""speedup"",""id"":11241008,""val"":7200000}]}")</f>
        <v>{"effect":[{"typ":"speedup","id":11241008,"val":7200000}]}</v>
      </c>
      <c r="T116" s="148">
        <f>IFERROR(__xludf.DUMMYFUNCTION("""COMPUTED_VALUE"""),-1.0)</f>
        <v>-1</v>
      </c>
      <c r="U116" s="148">
        <f>IFERROR(__xludf.DUMMYFUNCTION("""COMPUTED_VALUE"""),0.0)</f>
        <v>0</v>
      </c>
      <c r="V116" s="148" t="str">
        <f>IFERROR(__xludf.DUMMYFUNCTION("""COMPUTED_VALUE"""),"[]")</f>
        <v>[]</v>
      </c>
      <c r="W116" s="148">
        <f>IFERROR(__xludf.DUMMYFUNCTION("""COMPUTED_VALUE"""),1.1741003E7)</f>
        <v>11741003</v>
      </c>
      <c r="X116" s="148">
        <f>IFERROR(__xludf.DUMMYFUNCTION("""COMPUTED_VALUE"""),0.0)</f>
        <v>0</v>
      </c>
      <c r="Y116" s="148">
        <f>IFERROR(__xludf.DUMMYFUNCTION("""COMPUTED_VALUE"""),0.0)</f>
        <v>0</v>
      </c>
      <c r="Z116" s="148"/>
    </row>
    <row r="117">
      <c r="A117" s="148">
        <f>IFERROR(__xludf.DUMMYFUNCTION("""COMPUTED_VALUE"""),1.111118E7)</f>
        <v>11111180</v>
      </c>
      <c r="B117" s="148" t="str">
        <f>IFERROR(__xludf.DUMMYFUNCTION("""COMPUTED_VALUE"""),"8小时基因编辑加速")</f>
        <v>8小时基因编辑加速</v>
      </c>
      <c r="C117" s="148"/>
      <c r="D117" s="148" t="str">
        <f>IFERROR(__xludf.DUMMYFUNCTION("""COMPUTED_VALUE"""),"item_speedup")</f>
        <v>item_speedup</v>
      </c>
      <c r="E117" s="148">
        <f>IFERROR(__xludf.DUMMYFUNCTION("""COMPUTED_VALUE"""),0.0)</f>
        <v>0</v>
      </c>
      <c r="F117" s="148">
        <f>IFERROR(__xludf.DUMMYFUNCTION("""COMPUTED_VALUE"""),202408.0)</f>
        <v>202408</v>
      </c>
      <c r="G117" s="148">
        <f>IFERROR(__xludf.DUMMYFUNCTION("""COMPUTED_VALUE"""),1.5113972E7)</f>
        <v>15113972</v>
      </c>
      <c r="H117" s="148">
        <f>IFERROR(__xludf.DUMMYFUNCTION("""COMPUTED_VALUE"""),1.5112563E7)</f>
        <v>15112563</v>
      </c>
      <c r="I117" s="148" t="str">
        <f>IFERROR(__xludf.DUMMYFUNCTION("""COMPUTED_VALUE"""),"{""typ"":""lc"",""txt"":""LC_ITEM_time_h_upper_show"",""args"":[{""typ"":""int"",""val"":8}]}")</f>
        <v>{"typ":"lc","txt":"LC_ITEM_time_h_upper_show","args":[{"typ":"int","val":8}]}</v>
      </c>
      <c r="J117" s="148" t="str">
        <f>IFERROR(__xludf.DUMMYFUNCTION("""COMPUTED_VALUE"""),"{""typ"":""lc"",""txt"":""LC_ITEM_speedup_gene_research2_name"",""args"":[{""typ"":""int"",""val"":8}]}")</f>
        <v>{"typ":"lc","txt":"LC_ITEM_speedup_gene_research2_name","args":[{"typ":"int","val":8}]}</v>
      </c>
      <c r="K117" s="148" t="str">
        <f>IFERROR(__xludf.DUMMYFUNCTION("""COMPUTED_VALUE"""),"{""typ"":""lc"",""txt"":""LC_ITEM_speedup_gene_research2_desc"",""args"":[{""typ"":""int"",""val"":8}]}")</f>
        <v>{"typ":"lc","txt":"LC_ITEM_speedup_gene_research2_desc","args":[{"typ":"int","val":8}]}</v>
      </c>
      <c r="L117" s="148" t="str">
        <f>IFERROR(__xludf.DUMMYFUNCTION("""COMPUTED_VALUE"""),"{""typ"":""lc"",""txt"":""LC_ITEM_speedup_gene_research2_usedtip"",""args"":[{""typ"":""int"",""val"":8}]}")</f>
        <v>{"typ":"lc","txt":"LC_ITEM_speedup_gene_research2_usedtip","args":[{"typ":"int","val":8}]}</v>
      </c>
      <c r="M117" s="148">
        <f>IFERROR(__xludf.DUMMYFUNCTION("""COMPUTED_VALUE"""),750.0)</f>
        <v>750</v>
      </c>
      <c r="N117" s="148">
        <f>IFERROR(__xludf.DUMMYFUNCTION("""COMPUTED_VALUE"""),999999.0)</f>
        <v>999999</v>
      </c>
      <c r="O117" s="148">
        <f>IFERROR(__xludf.DUMMYFUNCTION("""COMPUTED_VALUE"""),99999.0)</f>
        <v>99999</v>
      </c>
      <c r="P117" s="148">
        <f>IFERROR(__xludf.DUMMYFUNCTION("""COMPUTED_VALUE"""),99999.0)</f>
        <v>99999</v>
      </c>
      <c r="Q117" s="148" t="str">
        <f>IFERROR(__xludf.DUMMYFUNCTION("""COMPUTED_VALUE"""),"[""bag_speedup"",""speed_bananaresearch""]")</f>
        <v>["bag_speedup","speed_bananaresearch"]</v>
      </c>
      <c r="R117" s="148" t="str">
        <f>IFERROR(__xludf.DUMMYFUNCTION("""COMPUTED_VALUE"""),"[""speed_bananaresearch""]")</f>
        <v>["speed_bananaresearch"]</v>
      </c>
      <c r="S117" s="148" t="str">
        <f>IFERROR(__xludf.DUMMYFUNCTION("""COMPUTED_VALUE"""),"{""effect"":[{""typ"":""speedup"",""id"":11241008,""val"":28800000}]}")</f>
        <v>{"effect":[{"typ":"speedup","id":11241008,"val":28800000}]}</v>
      </c>
      <c r="T117" s="148">
        <f>IFERROR(__xludf.DUMMYFUNCTION("""COMPUTED_VALUE"""),-1.0)</f>
        <v>-1</v>
      </c>
      <c r="U117" s="148">
        <f>IFERROR(__xludf.DUMMYFUNCTION("""COMPUTED_VALUE"""),0.0)</f>
        <v>0</v>
      </c>
      <c r="V117" s="148" t="str">
        <f>IFERROR(__xludf.DUMMYFUNCTION("""COMPUTED_VALUE"""),"[]")</f>
        <v>[]</v>
      </c>
      <c r="W117" s="148">
        <f>IFERROR(__xludf.DUMMYFUNCTION("""COMPUTED_VALUE"""),1.1741003E7)</f>
        <v>11741003</v>
      </c>
      <c r="X117" s="148">
        <f>IFERROR(__xludf.DUMMYFUNCTION("""COMPUTED_VALUE"""),0.0)</f>
        <v>0</v>
      </c>
      <c r="Y117" s="148">
        <f>IFERROR(__xludf.DUMMYFUNCTION("""COMPUTED_VALUE"""),0.0)</f>
        <v>0</v>
      </c>
      <c r="Z117" s="148"/>
    </row>
    <row r="118">
      <c r="A118" s="148">
        <f>IFERROR(__xludf.DUMMYFUNCTION("""COMPUTED_VALUE"""),1.1111181E7)</f>
        <v>11111181</v>
      </c>
      <c r="B118" s="148" t="str">
        <f>IFERROR(__xludf.DUMMYFUNCTION("""COMPUTED_VALUE"""),"12小时基因编辑加速")</f>
        <v>12小时基因编辑加速</v>
      </c>
      <c r="C118" s="148"/>
      <c r="D118" s="148" t="str">
        <f>IFERROR(__xludf.DUMMYFUNCTION("""COMPUTED_VALUE"""),"item_speedup")</f>
        <v>item_speedup</v>
      </c>
      <c r="E118" s="148">
        <f>IFERROR(__xludf.DUMMYFUNCTION("""COMPUTED_VALUE"""),0.0)</f>
        <v>0</v>
      </c>
      <c r="F118" s="148">
        <f>IFERROR(__xludf.DUMMYFUNCTION("""COMPUTED_VALUE"""),202409.0)</f>
        <v>202409</v>
      </c>
      <c r="G118" s="148">
        <f>IFERROR(__xludf.DUMMYFUNCTION("""COMPUTED_VALUE"""),1.5113972E7)</f>
        <v>15113972</v>
      </c>
      <c r="H118" s="148">
        <f>IFERROR(__xludf.DUMMYFUNCTION("""COMPUTED_VALUE"""),1.5112563E7)</f>
        <v>15112563</v>
      </c>
      <c r="I118" s="148" t="str">
        <f>IFERROR(__xludf.DUMMYFUNCTION("""COMPUTED_VALUE"""),"{""typ"":""lc"",""txt"":""LC_ITEM_time_h_upper_show"",""args"":[{""typ"":""int"",""val"":12}]}")</f>
        <v>{"typ":"lc","txt":"LC_ITEM_time_h_upper_show","args":[{"typ":"int","val":12}]}</v>
      </c>
      <c r="J118" s="148" t="str">
        <f>IFERROR(__xludf.DUMMYFUNCTION("""COMPUTED_VALUE"""),"{""typ"":""lc"",""txt"":""LC_ITEM_speedup_gene_research2_name"",""args"":[{""typ"":""int"",""val"":12}]}")</f>
        <v>{"typ":"lc","txt":"LC_ITEM_speedup_gene_research2_name","args":[{"typ":"int","val":12}]}</v>
      </c>
      <c r="K118" s="148" t="str">
        <f>IFERROR(__xludf.DUMMYFUNCTION("""COMPUTED_VALUE"""),"{""typ"":""lc"",""txt"":""LC_ITEM_speedup_gene_research2_desc"",""args"":[{""typ"":""int"",""val"":12}]}")</f>
        <v>{"typ":"lc","txt":"LC_ITEM_speedup_gene_research2_desc","args":[{"typ":"int","val":12}]}</v>
      </c>
      <c r="L118" s="148" t="str">
        <f>IFERROR(__xludf.DUMMYFUNCTION("""COMPUTED_VALUE"""),"{""typ"":""lc"",""txt"":""LC_ITEM_speedup_gene_research2_usedtip"",""args"":[{""typ"":""int"",""val"":12}]}")</f>
        <v>{"typ":"lc","txt":"LC_ITEM_speedup_gene_research2_usedtip","args":[{"typ":"int","val":12}]}</v>
      </c>
      <c r="M118" s="148">
        <f>IFERROR(__xludf.DUMMYFUNCTION("""COMPUTED_VALUE"""),1100.0)</f>
        <v>1100</v>
      </c>
      <c r="N118" s="148">
        <f>IFERROR(__xludf.DUMMYFUNCTION("""COMPUTED_VALUE"""),999999.0)</f>
        <v>999999</v>
      </c>
      <c r="O118" s="148">
        <f>IFERROR(__xludf.DUMMYFUNCTION("""COMPUTED_VALUE"""),99999.0)</f>
        <v>99999</v>
      </c>
      <c r="P118" s="148">
        <f>IFERROR(__xludf.DUMMYFUNCTION("""COMPUTED_VALUE"""),99999.0)</f>
        <v>99999</v>
      </c>
      <c r="Q118" s="148" t="str">
        <f>IFERROR(__xludf.DUMMYFUNCTION("""COMPUTED_VALUE"""),"[""bag_speedup"",""speed_bananaresearch""]")</f>
        <v>["bag_speedup","speed_bananaresearch"]</v>
      </c>
      <c r="R118" s="148" t="str">
        <f>IFERROR(__xludf.DUMMYFUNCTION("""COMPUTED_VALUE"""),"[""speed_bananaresearch""]")</f>
        <v>["speed_bananaresearch"]</v>
      </c>
      <c r="S118" s="148" t="str">
        <f>IFERROR(__xludf.DUMMYFUNCTION("""COMPUTED_VALUE"""),"{""effect"":[{""typ"":""speedup"",""id"":11241008,""val"":43200000}]}")</f>
        <v>{"effect":[{"typ":"speedup","id":11241008,"val":43200000}]}</v>
      </c>
      <c r="T118" s="148">
        <f>IFERROR(__xludf.DUMMYFUNCTION("""COMPUTED_VALUE"""),-1.0)</f>
        <v>-1</v>
      </c>
      <c r="U118" s="148">
        <f>IFERROR(__xludf.DUMMYFUNCTION("""COMPUTED_VALUE"""),0.0)</f>
        <v>0</v>
      </c>
      <c r="V118" s="148" t="str">
        <f>IFERROR(__xludf.DUMMYFUNCTION("""COMPUTED_VALUE"""),"[]")</f>
        <v>[]</v>
      </c>
      <c r="W118" s="148">
        <f>IFERROR(__xludf.DUMMYFUNCTION("""COMPUTED_VALUE"""),1.1741003E7)</f>
        <v>11741003</v>
      </c>
      <c r="X118" s="148">
        <f>IFERROR(__xludf.DUMMYFUNCTION("""COMPUTED_VALUE"""),0.0)</f>
        <v>0</v>
      </c>
      <c r="Y118" s="148">
        <f>IFERROR(__xludf.DUMMYFUNCTION("""COMPUTED_VALUE"""),0.0)</f>
        <v>0</v>
      </c>
      <c r="Z118" s="148"/>
    </row>
    <row r="119">
      <c r="A119" s="148">
        <f>IFERROR(__xludf.DUMMYFUNCTION("""COMPUTED_VALUE"""),1.1111182E7)</f>
        <v>11111182</v>
      </c>
      <c r="B119" s="148" t="str">
        <f>IFERROR(__xludf.DUMMYFUNCTION("""COMPUTED_VALUE"""),"24小时基因编辑加速")</f>
        <v>24小时基因编辑加速</v>
      </c>
      <c r="C119" s="148"/>
      <c r="D119" s="148" t="str">
        <f>IFERROR(__xludf.DUMMYFUNCTION("""COMPUTED_VALUE"""),"item_speedup")</f>
        <v>item_speedup</v>
      </c>
      <c r="E119" s="148">
        <f>IFERROR(__xludf.DUMMYFUNCTION("""COMPUTED_VALUE"""),0.0)</f>
        <v>0</v>
      </c>
      <c r="F119" s="148">
        <f>IFERROR(__xludf.DUMMYFUNCTION("""COMPUTED_VALUE"""),202510.0)</f>
        <v>202510</v>
      </c>
      <c r="G119" s="148">
        <f>IFERROR(__xludf.DUMMYFUNCTION("""COMPUTED_VALUE"""),1.5113972E7)</f>
        <v>15113972</v>
      </c>
      <c r="H119" s="148">
        <f>IFERROR(__xludf.DUMMYFUNCTION("""COMPUTED_VALUE"""),1.5112563E7)</f>
        <v>15112563</v>
      </c>
      <c r="I119" s="148" t="str">
        <f>IFERROR(__xludf.DUMMYFUNCTION("""COMPUTED_VALUE"""),"{""typ"":""lc"",""txt"":""LC_ITEM_time_h_upper_show"",""args"":[{""typ"":""int"",""val"":24}]}")</f>
        <v>{"typ":"lc","txt":"LC_ITEM_time_h_upper_show","args":[{"typ":"int","val":24}]}</v>
      </c>
      <c r="J119" s="148" t="str">
        <f>IFERROR(__xludf.DUMMYFUNCTION("""COMPUTED_VALUE"""),"{""typ"":""lc"",""txt"":""LC_ITEM_speedup_gene_research2_name"",""args"":[{""typ"":""int"",""val"":24}]}")</f>
        <v>{"typ":"lc","txt":"LC_ITEM_speedup_gene_research2_name","args":[{"typ":"int","val":24}]}</v>
      </c>
      <c r="K119" s="148" t="str">
        <f>IFERROR(__xludf.DUMMYFUNCTION("""COMPUTED_VALUE"""),"{""typ"":""lc"",""txt"":""LC_ITEM_speedup_gene_research2_desc"",""args"":[{""typ"":""int"",""val"":24}]}")</f>
        <v>{"typ":"lc","txt":"LC_ITEM_speedup_gene_research2_desc","args":[{"typ":"int","val":24}]}</v>
      </c>
      <c r="L119" s="148" t="str">
        <f>IFERROR(__xludf.DUMMYFUNCTION("""COMPUTED_VALUE"""),"{""typ"":""lc"",""txt"":""LC_ITEM_speedup_gene_research2_usedtip"",""args"":[{""typ"":""int"",""val"":24}]}")</f>
        <v>{"typ":"lc","txt":"LC_ITEM_speedup_gene_research2_usedtip","args":[{"typ":"int","val":24}]}</v>
      </c>
      <c r="M119" s="148">
        <f>IFERROR(__xludf.DUMMYFUNCTION("""COMPUTED_VALUE"""),2000.0)</f>
        <v>2000</v>
      </c>
      <c r="N119" s="148">
        <f>IFERROR(__xludf.DUMMYFUNCTION("""COMPUTED_VALUE"""),999999.0)</f>
        <v>999999</v>
      </c>
      <c r="O119" s="148">
        <f>IFERROR(__xludf.DUMMYFUNCTION("""COMPUTED_VALUE"""),99999.0)</f>
        <v>99999</v>
      </c>
      <c r="P119" s="148">
        <f>IFERROR(__xludf.DUMMYFUNCTION("""COMPUTED_VALUE"""),99999.0)</f>
        <v>99999</v>
      </c>
      <c r="Q119" s="148" t="str">
        <f>IFERROR(__xludf.DUMMYFUNCTION("""COMPUTED_VALUE"""),"[""bag_speedup"",""speed_bananaresearch""]")</f>
        <v>["bag_speedup","speed_bananaresearch"]</v>
      </c>
      <c r="R119" s="148" t="str">
        <f>IFERROR(__xludf.DUMMYFUNCTION("""COMPUTED_VALUE"""),"[""speed_bananaresearch""]")</f>
        <v>["speed_bananaresearch"]</v>
      </c>
      <c r="S119" s="148" t="str">
        <f>IFERROR(__xludf.DUMMYFUNCTION("""COMPUTED_VALUE"""),"{""effect"":[{""typ"":""speedup"",""id"":11241008,""val"":86400000}]}")</f>
        <v>{"effect":[{"typ":"speedup","id":11241008,"val":86400000}]}</v>
      </c>
      <c r="T119" s="148">
        <f>IFERROR(__xludf.DUMMYFUNCTION("""COMPUTED_VALUE"""),-1.0)</f>
        <v>-1</v>
      </c>
      <c r="U119" s="148">
        <f>IFERROR(__xludf.DUMMYFUNCTION("""COMPUTED_VALUE"""),0.0)</f>
        <v>0</v>
      </c>
      <c r="V119" s="148" t="str">
        <f>IFERROR(__xludf.DUMMYFUNCTION("""COMPUTED_VALUE"""),"[]")</f>
        <v>[]</v>
      </c>
      <c r="W119" s="148">
        <f>IFERROR(__xludf.DUMMYFUNCTION("""COMPUTED_VALUE"""),1.1741003E7)</f>
        <v>11741003</v>
      </c>
      <c r="X119" s="148">
        <f>IFERROR(__xludf.DUMMYFUNCTION("""COMPUTED_VALUE"""),0.0)</f>
        <v>0</v>
      </c>
      <c r="Y119" s="148">
        <f>IFERROR(__xludf.DUMMYFUNCTION("""COMPUTED_VALUE"""),0.0)</f>
        <v>0</v>
      </c>
      <c r="Z119" s="148"/>
    </row>
    <row r="120">
      <c r="A120" s="148">
        <f>IFERROR(__xludf.DUMMYFUNCTION("""COMPUTED_VALUE"""),1.1111201E7)</f>
        <v>11111201</v>
      </c>
      <c r="B120" s="148" t="str">
        <f>IFERROR(__xludf.DUMMYFUNCTION("""COMPUTED_VALUE"""),"8小时采集加速")</f>
        <v>8小时采集加速</v>
      </c>
      <c r="C120" s="148"/>
      <c r="D120" s="148" t="str">
        <f>IFERROR(__xludf.DUMMYFUNCTION("""COMPUTED_VALUE"""),"item_buff")</f>
        <v>item_buff</v>
      </c>
      <c r="E120" s="148">
        <f>IFERROR(__xludf.DUMMYFUNCTION("""COMPUTED_VALUE"""),24.0)</f>
        <v>24</v>
      </c>
      <c r="F120" s="148">
        <f>IFERROR(__xludf.DUMMYFUNCTION("""COMPUTED_VALUE"""),301201.0)</f>
        <v>301201</v>
      </c>
      <c r="G120" s="148">
        <f>IFERROR(__xludf.DUMMYFUNCTION("""COMPUTED_VALUE"""),1.5112574E7)</f>
        <v>15112574</v>
      </c>
      <c r="H120" s="148">
        <f>IFERROR(__xludf.DUMMYFUNCTION("""COMPUTED_VALUE"""),1.5112561E7)</f>
        <v>15112561</v>
      </c>
      <c r="I120" s="148" t="str">
        <f>IFERROR(__xludf.DUMMYFUNCTION("""COMPUTED_VALUE"""),"{""typ"":""lc"",""txt"":""LC_ITEM_time_h_upper_show"",""args"":[{""typ"":""int"",""val"":8}]}")</f>
        <v>{"typ":"lc","txt":"LC_ITEM_time_h_upper_show","args":[{"typ":"int","val":8}]}</v>
      </c>
      <c r="J120" s="148" t="str">
        <f>IFERROR(__xludf.DUMMYFUNCTION("""COMPUTED_VALUE"""),"{""typ"":""lc"",""txt"":""LC_ITEM_item_collection_speedup_name"",""args"":[{""typ"":""int"",""val"":8}]}")</f>
        <v>{"typ":"lc","txt":"LC_ITEM_item_collection_speedup_name","args":[{"typ":"int","val":8}]}</v>
      </c>
      <c r="K120" s="148" t="str">
        <f>IFERROR(__xludf.DUMMYFUNCTION("""COMPUTED_VALUE"""),"{""typ"":""lc"",""txt"":""LC_ITEM_item_collection_speedup_desc"",""args"":[{""typ"":""int"",""val"":8}]}")</f>
        <v>{"typ":"lc","txt":"LC_ITEM_item_collection_speedup_desc","args":[{"typ":"int","val":8}]}</v>
      </c>
      <c r="L120" s="148" t="str">
        <f>IFERROR(__xludf.DUMMYFUNCTION("""COMPUTED_VALUE"""),"{""typ"":""lc"",""txt"":""LC_ITEM_item_collection_speedup_usedtip"",""args"":[{""typ"":""int"",""val"":8}]}")</f>
        <v>{"typ":"lc","txt":"LC_ITEM_item_collection_speedup_usedtip","args":[{"typ":"int","val":8}]}</v>
      </c>
      <c r="M120" s="148">
        <f>IFERROR(__xludf.DUMMYFUNCTION("""COMPUTED_VALUE"""),200.0)</f>
        <v>200</v>
      </c>
      <c r="N120" s="148">
        <f>IFERROR(__xludf.DUMMYFUNCTION("""COMPUTED_VALUE"""),999999.0)</f>
        <v>999999</v>
      </c>
      <c r="O120" s="148">
        <f>IFERROR(__xludf.DUMMYFUNCTION("""COMPUTED_VALUE"""),99999.0)</f>
        <v>99999</v>
      </c>
      <c r="P120" s="148">
        <f>IFERROR(__xludf.DUMMYFUNCTION("""COMPUTED_VALUE"""),1.0)</f>
        <v>1</v>
      </c>
      <c r="Q120" s="148" t="str">
        <f>IFERROR(__xludf.DUMMYFUNCTION("""COMPUTED_VALUE"""),"[""bag_buff"",""buff_city""]")</f>
        <v>["bag_buff","buff_city"]</v>
      </c>
      <c r="R120" s="148" t="str">
        <f>IFERROR(__xludf.DUMMYFUNCTION("""COMPUTED_VALUE"""),"[""bag"",""buff_city""]")</f>
        <v>["bag","buff_city"]</v>
      </c>
      <c r="S120" s="148" t="str">
        <f>IFERROR(__xludf.DUMMYFUNCTION("""COMPUTED_VALUE"""),"{""effect"":[{""typ"":""buff"",""id"":12113008,""val"":28800000,""arg1"":0.5}]}")</f>
        <v>{"effect":[{"typ":"buff","id":12113008,"val":28800000,"arg1":0.5}]}</v>
      </c>
      <c r="T120" s="148">
        <f>IFERROR(__xludf.DUMMYFUNCTION("""COMPUTED_VALUE"""),-1.0)</f>
        <v>-1</v>
      </c>
      <c r="U120" s="148">
        <f>IFERROR(__xludf.DUMMYFUNCTION("""COMPUTED_VALUE"""),0.0)</f>
        <v>0</v>
      </c>
      <c r="V120" s="148" t="str">
        <f>IFERROR(__xludf.DUMMYFUNCTION("""COMPUTED_VALUE"""),"[]")</f>
        <v>[]</v>
      </c>
      <c r="W120" s="148">
        <f>IFERROR(__xludf.DUMMYFUNCTION("""COMPUTED_VALUE"""),1.1741004E7)</f>
        <v>11741004</v>
      </c>
      <c r="X120" s="148">
        <f>IFERROR(__xludf.DUMMYFUNCTION("""COMPUTED_VALUE"""),0.0)</f>
        <v>0</v>
      </c>
      <c r="Y120" s="148">
        <f>IFERROR(__xludf.DUMMYFUNCTION("""COMPUTED_VALUE"""),0.0)</f>
        <v>0</v>
      </c>
      <c r="Z120" s="148"/>
    </row>
    <row r="121">
      <c r="A121" s="148">
        <f>IFERROR(__xludf.DUMMYFUNCTION("""COMPUTED_VALUE"""),1.1111202E7)</f>
        <v>11111202</v>
      </c>
      <c r="B121" s="148" t="str">
        <f>IFERROR(__xludf.DUMMYFUNCTION("""COMPUTED_VALUE"""),"24小时采集加速")</f>
        <v>24小时采集加速</v>
      </c>
      <c r="C121" s="148"/>
      <c r="D121" s="148" t="str">
        <f>IFERROR(__xludf.DUMMYFUNCTION("""COMPUTED_VALUE"""),"item_buff")</f>
        <v>item_buff</v>
      </c>
      <c r="E121" s="148">
        <f>IFERROR(__xludf.DUMMYFUNCTION("""COMPUTED_VALUE"""),24.0)</f>
        <v>24</v>
      </c>
      <c r="F121" s="148">
        <f>IFERROR(__xludf.DUMMYFUNCTION("""COMPUTED_VALUE"""),301302.0)</f>
        <v>301302</v>
      </c>
      <c r="G121" s="148">
        <f>IFERROR(__xludf.DUMMYFUNCTION("""COMPUTED_VALUE"""),1.5112574E7)</f>
        <v>15112574</v>
      </c>
      <c r="H121" s="148">
        <f>IFERROR(__xludf.DUMMYFUNCTION("""COMPUTED_VALUE"""),1.5112562E7)</f>
        <v>15112562</v>
      </c>
      <c r="I121" s="148" t="str">
        <f>IFERROR(__xludf.DUMMYFUNCTION("""COMPUTED_VALUE"""),"{""typ"":""lc"",""txt"":""LC_ITEM_time_h_upper_show"",""args"":[{""typ"":""int"",""val"":24}]}")</f>
        <v>{"typ":"lc","txt":"LC_ITEM_time_h_upper_show","args":[{"typ":"int","val":24}]}</v>
      </c>
      <c r="J121" s="148" t="str">
        <f>IFERROR(__xludf.DUMMYFUNCTION("""COMPUTED_VALUE"""),"{""typ"":""lc"",""txt"":""LC_ITEM_item_collection_speedup_name"",""args"":[{""typ"":""int"",""val"":24}]}")</f>
        <v>{"typ":"lc","txt":"LC_ITEM_item_collection_speedup_name","args":[{"typ":"int","val":24}]}</v>
      </c>
      <c r="K121" s="148" t="str">
        <f>IFERROR(__xludf.DUMMYFUNCTION("""COMPUTED_VALUE"""),"{""typ"":""lc"",""txt"":""LC_ITEM_item_collection_speedup_desc"",""args"":[{""typ"":""int"",""val"":24}]}")</f>
        <v>{"typ":"lc","txt":"LC_ITEM_item_collection_speedup_desc","args":[{"typ":"int","val":24}]}</v>
      </c>
      <c r="L121" s="148" t="str">
        <f>IFERROR(__xludf.DUMMYFUNCTION("""COMPUTED_VALUE"""),"{""typ"":""lc"",""txt"":""LC_ITEM_item_collection_speedup_usedtip"",""args"":[{""typ"":""int"",""val"":24}]}")</f>
        <v>{"typ":"lc","txt":"LC_ITEM_item_collection_speedup_usedtip","args":[{"typ":"int","val":24}]}</v>
      </c>
      <c r="M121" s="148">
        <f>IFERROR(__xludf.DUMMYFUNCTION("""COMPUTED_VALUE"""),500.0)</f>
        <v>500</v>
      </c>
      <c r="N121" s="148">
        <f>IFERROR(__xludf.DUMMYFUNCTION("""COMPUTED_VALUE"""),999999.0)</f>
        <v>999999</v>
      </c>
      <c r="O121" s="148">
        <f>IFERROR(__xludf.DUMMYFUNCTION("""COMPUTED_VALUE"""),99999.0)</f>
        <v>99999</v>
      </c>
      <c r="P121" s="148">
        <f>IFERROR(__xludf.DUMMYFUNCTION("""COMPUTED_VALUE"""),1.0)</f>
        <v>1</v>
      </c>
      <c r="Q121" s="148" t="str">
        <f>IFERROR(__xludf.DUMMYFUNCTION("""COMPUTED_VALUE"""),"[""bag_buff"",""buff_city""]")</f>
        <v>["bag_buff","buff_city"]</v>
      </c>
      <c r="R121" s="148" t="str">
        <f>IFERROR(__xludf.DUMMYFUNCTION("""COMPUTED_VALUE"""),"[""bag"",""buff_city""]")</f>
        <v>["bag","buff_city"]</v>
      </c>
      <c r="S121" s="148" t="str">
        <f>IFERROR(__xludf.DUMMYFUNCTION("""COMPUTED_VALUE"""),"{""effect"":[{""typ"":""buff"",""id"":12113008,""val"":86400000,""arg1"":0.5}]}")</f>
        <v>{"effect":[{"typ":"buff","id":12113008,"val":86400000,"arg1":0.5}]}</v>
      </c>
      <c r="T121" s="148">
        <f>IFERROR(__xludf.DUMMYFUNCTION("""COMPUTED_VALUE"""),-1.0)</f>
        <v>-1</v>
      </c>
      <c r="U121" s="148">
        <f>IFERROR(__xludf.DUMMYFUNCTION("""COMPUTED_VALUE"""),0.0)</f>
        <v>0</v>
      </c>
      <c r="V121" s="148" t="str">
        <f>IFERROR(__xludf.DUMMYFUNCTION("""COMPUTED_VALUE"""),"[]")</f>
        <v>[]</v>
      </c>
      <c r="W121" s="148">
        <f>IFERROR(__xludf.DUMMYFUNCTION("""COMPUTED_VALUE"""),1.1741004E7)</f>
        <v>11741004</v>
      </c>
      <c r="X121" s="148">
        <f>IFERROR(__xludf.DUMMYFUNCTION("""COMPUTED_VALUE"""),0.0)</f>
        <v>0</v>
      </c>
      <c r="Y121" s="148">
        <f>IFERROR(__xludf.DUMMYFUNCTION("""COMPUTED_VALUE"""),0.0)</f>
        <v>0</v>
      </c>
      <c r="Z121" s="148"/>
    </row>
    <row r="122">
      <c r="A122" s="148">
        <f>IFERROR(__xludf.DUMMYFUNCTION("""COMPUTED_VALUE"""),1.1111203E7)</f>
        <v>11111203</v>
      </c>
      <c r="B122" s="148" t="str">
        <f>IFERROR(__xludf.DUMMYFUNCTION("""COMPUTED_VALUE"""),"8小时25%粮食产量")</f>
        <v>8小时25%粮食产量</v>
      </c>
      <c r="C122" s="148"/>
      <c r="D122" s="148" t="str">
        <f>IFERROR(__xludf.DUMMYFUNCTION("""COMPUTED_VALUE"""),"item_buff")</f>
        <v>item_buff</v>
      </c>
      <c r="E122" s="148">
        <f>IFERROR(__xludf.DUMMYFUNCTION("""COMPUTED_VALUE"""),25.0)</f>
        <v>25</v>
      </c>
      <c r="F122" s="148">
        <f>IFERROR(__xludf.DUMMYFUNCTION("""COMPUTED_VALUE"""),302201.0)</f>
        <v>302201</v>
      </c>
      <c r="G122" s="148">
        <f>IFERROR(__xludf.DUMMYFUNCTION("""COMPUTED_VALUE"""),1.5112577E7)</f>
        <v>15112577</v>
      </c>
      <c r="H122" s="148">
        <f>IFERROR(__xludf.DUMMYFUNCTION("""COMPUTED_VALUE"""),1.5112561E7)</f>
        <v>15112561</v>
      </c>
      <c r="I122" s="148" t="str">
        <f>IFERROR(__xludf.DUMMYFUNCTION("""COMPUTED_VALUE"""),"{""typ"":""lc"",""txt"":""LC_ITEM_time_h_upper_show"",""args"":[{""typ"":""int"",""val"":8}]}")</f>
        <v>{"typ":"lc","txt":"LC_ITEM_time_h_upper_show","args":[{"typ":"int","val":8}]}</v>
      </c>
      <c r="J122" s="148" t="str">
        <f>IFERROR(__xludf.DUMMYFUNCTION("""COMPUTED_VALUE"""),"{""typ"":""lc"",""txt"":""LC_ITEM_food_production_increasing_name"",""args"":[{""typ"":""int"",""val"":8}]}")</f>
        <v>{"typ":"lc","txt":"LC_ITEM_food_production_increasing_name","args":[{"typ":"int","val":8}]}</v>
      </c>
      <c r="K122" s="148" t="str">
        <f>IFERROR(__xludf.DUMMYFUNCTION("""COMPUTED_VALUE"""),"{""typ"":""lc"",""txt"":""LC_ITEM_food_production_increasing_desc"",""args"":[{""typ"":""int"",""val"":8}]}")</f>
        <v>{"typ":"lc","txt":"LC_ITEM_food_production_increasing_desc","args":[{"typ":"int","val":8}]}</v>
      </c>
      <c r="L122" s="148" t="str">
        <f>IFERROR(__xludf.DUMMYFUNCTION("""COMPUTED_VALUE"""),"{""typ"":""lc"",""txt"":""LC_ITEM_food_production_increasing_usedtip"",""args"":[{""typ"":""int"",""val"":8}]}")</f>
        <v>{"typ":"lc","txt":"LC_ITEM_food_production_increasing_usedtip","args":[{"typ":"int","val":8}]}</v>
      </c>
      <c r="M122" s="148">
        <f>IFERROR(__xludf.DUMMYFUNCTION("""COMPUTED_VALUE"""),70.0)</f>
        <v>70</v>
      </c>
      <c r="N122" s="148">
        <f>IFERROR(__xludf.DUMMYFUNCTION("""COMPUTED_VALUE"""),999999.0)</f>
        <v>999999</v>
      </c>
      <c r="O122" s="148">
        <f>IFERROR(__xludf.DUMMYFUNCTION("""COMPUTED_VALUE"""),99999.0)</f>
        <v>99999</v>
      </c>
      <c r="P122" s="148">
        <f>IFERROR(__xludf.DUMMYFUNCTION("""COMPUTED_VALUE"""),1.0)</f>
        <v>1</v>
      </c>
      <c r="Q122" s="148" t="str">
        <f>IFERROR(__xludf.DUMMYFUNCTION("""COMPUTED_VALUE"""),"[""bag_buff"",""buff_city""]")</f>
        <v>["bag_buff","buff_city"]</v>
      </c>
      <c r="R122" s="148" t="str">
        <f>IFERROR(__xludf.DUMMYFUNCTION("""COMPUTED_VALUE"""),"[""bag"",""buff_city""]")</f>
        <v>["bag","buff_city"]</v>
      </c>
      <c r="S122" s="148" t="str">
        <f>IFERROR(__xludf.DUMMYFUNCTION("""COMPUTED_VALUE"""),"{""effect"":[{""typ"":""buff"",""id"":12113009,""val"":28800000,""arg1"":0.25}]}")</f>
        <v>{"effect":[{"typ":"buff","id":12113009,"val":28800000,"arg1":0.25}]}</v>
      </c>
      <c r="T122" s="148">
        <f>IFERROR(__xludf.DUMMYFUNCTION("""COMPUTED_VALUE"""),-1.0)</f>
        <v>-1</v>
      </c>
      <c r="U122" s="148">
        <f>IFERROR(__xludf.DUMMYFUNCTION("""COMPUTED_VALUE"""),0.0)</f>
        <v>0</v>
      </c>
      <c r="V122" s="148" t="str">
        <f>IFERROR(__xludf.DUMMYFUNCTION("""COMPUTED_VALUE"""),"[]")</f>
        <v>[]</v>
      </c>
      <c r="W122" s="148">
        <f>IFERROR(__xludf.DUMMYFUNCTION("""COMPUTED_VALUE"""),1.1741004E7)</f>
        <v>11741004</v>
      </c>
      <c r="X122" s="148">
        <f>IFERROR(__xludf.DUMMYFUNCTION("""COMPUTED_VALUE"""),0.0)</f>
        <v>0</v>
      </c>
      <c r="Y122" s="148">
        <f>IFERROR(__xludf.DUMMYFUNCTION("""COMPUTED_VALUE"""),0.0)</f>
        <v>0</v>
      </c>
      <c r="Z122" s="148"/>
    </row>
    <row r="123">
      <c r="A123" s="148">
        <f>IFERROR(__xludf.DUMMYFUNCTION("""COMPUTED_VALUE"""),1.1111204E7)</f>
        <v>11111204</v>
      </c>
      <c r="B123" s="148" t="str">
        <f>IFERROR(__xludf.DUMMYFUNCTION("""COMPUTED_VALUE"""),"24小时25%粮食产量")</f>
        <v>24小时25%粮食产量</v>
      </c>
      <c r="C123" s="148"/>
      <c r="D123" s="148" t="str">
        <f>IFERROR(__xludf.DUMMYFUNCTION("""COMPUTED_VALUE"""),"item_buff")</f>
        <v>item_buff</v>
      </c>
      <c r="E123" s="148">
        <f>IFERROR(__xludf.DUMMYFUNCTION("""COMPUTED_VALUE"""),25.0)</f>
        <v>25</v>
      </c>
      <c r="F123" s="148">
        <f>IFERROR(__xludf.DUMMYFUNCTION("""COMPUTED_VALUE"""),302302.0)</f>
        <v>302302</v>
      </c>
      <c r="G123" s="148">
        <f>IFERROR(__xludf.DUMMYFUNCTION("""COMPUTED_VALUE"""),1.5112577E7)</f>
        <v>15112577</v>
      </c>
      <c r="H123" s="148">
        <f>IFERROR(__xludf.DUMMYFUNCTION("""COMPUTED_VALUE"""),1.5112562E7)</f>
        <v>15112562</v>
      </c>
      <c r="I123" s="148" t="str">
        <f>IFERROR(__xludf.DUMMYFUNCTION("""COMPUTED_VALUE"""),"{""typ"":""lc"",""txt"":""LC_ITEM_time_h_upper_show"",""args"":[{""typ"":""int"",""val"":24}]}")</f>
        <v>{"typ":"lc","txt":"LC_ITEM_time_h_upper_show","args":[{"typ":"int","val":24}]}</v>
      </c>
      <c r="J123" s="148" t="str">
        <f>IFERROR(__xludf.DUMMYFUNCTION("""COMPUTED_VALUE"""),"{""typ"":""lc"",""txt"":""LC_ITEM_food_production_increasing_name"",""args"":[{""typ"":""int"",""val"":24}]}")</f>
        <v>{"typ":"lc","txt":"LC_ITEM_food_production_increasing_name","args":[{"typ":"int","val":24}]}</v>
      </c>
      <c r="K123" s="148" t="str">
        <f>IFERROR(__xludf.DUMMYFUNCTION("""COMPUTED_VALUE"""),"{""typ"":""lc"",""txt"":""LC_ITEM_food_production_increasing_desc"",""args"":[{""typ"":""int"",""val"":24}]}")</f>
        <v>{"typ":"lc","txt":"LC_ITEM_food_production_increasing_desc","args":[{"typ":"int","val":24}]}</v>
      </c>
      <c r="L123" s="148" t="str">
        <f>IFERROR(__xludf.DUMMYFUNCTION("""COMPUTED_VALUE"""),"{""typ"":""lc"",""txt"":""LC_ITEM_food_production_increasing_usedtip"",""args"":[{""typ"":""int"",""val"":24}]}")</f>
        <v>{"typ":"lc","txt":"LC_ITEM_food_production_increasing_usedtip","args":[{"typ":"int","val":24}]}</v>
      </c>
      <c r="M123" s="148">
        <f>IFERROR(__xludf.DUMMYFUNCTION("""COMPUTED_VALUE"""),300.0)</f>
        <v>300</v>
      </c>
      <c r="N123" s="148">
        <f>IFERROR(__xludf.DUMMYFUNCTION("""COMPUTED_VALUE"""),999999.0)</f>
        <v>999999</v>
      </c>
      <c r="O123" s="148">
        <f>IFERROR(__xludf.DUMMYFUNCTION("""COMPUTED_VALUE"""),99999.0)</f>
        <v>99999</v>
      </c>
      <c r="P123" s="148">
        <f>IFERROR(__xludf.DUMMYFUNCTION("""COMPUTED_VALUE"""),1.0)</f>
        <v>1</v>
      </c>
      <c r="Q123" s="148" t="str">
        <f>IFERROR(__xludf.DUMMYFUNCTION("""COMPUTED_VALUE"""),"[""bag_buff"",""buff_city""]")</f>
        <v>["bag_buff","buff_city"]</v>
      </c>
      <c r="R123" s="148" t="str">
        <f>IFERROR(__xludf.DUMMYFUNCTION("""COMPUTED_VALUE"""),"[""bag"",""buff_city""]")</f>
        <v>["bag","buff_city"]</v>
      </c>
      <c r="S123" s="148" t="str">
        <f>IFERROR(__xludf.DUMMYFUNCTION("""COMPUTED_VALUE"""),"{""effect"":[{""typ"":""buff"",""id"":12113009,""val"":86400000,""arg1"":0.25}]}")</f>
        <v>{"effect":[{"typ":"buff","id":12113009,"val":86400000,"arg1":0.25}]}</v>
      </c>
      <c r="T123" s="148">
        <f>IFERROR(__xludf.DUMMYFUNCTION("""COMPUTED_VALUE"""),-1.0)</f>
        <v>-1</v>
      </c>
      <c r="U123" s="148">
        <f>IFERROR(__xludf.DUMMYFUNCTION("""COMPUTED_VALUE"""),0.0)</f>
        <v>0</v>
      </c>
      <c r="V123" s="148" t="str">
        <f>IFERROR(__xludf.DUMMYFUNCTION("""COMPUTED_VALUE"""),"[]")</f>
        <v>[]</v>
      </c>
      <c r="W123" s="148">
        <f>IFERROR(__xludf.DUMMYFUNCTION("""COMPUTED_VALUE"""),1.1741004E7)</f>
        <v>11741004</v>
      </c>
      <c r="X123" s="148">
        <f>IFERROR(__xludf.DUMMYFUNCTION("""COMPUTED_VALUE"""),0.0)</f>
        <v>0</v>
      </c>
      <c r="Y123" s="148">
        <f>IFERROR(__xludf.DUMMYFUNCTION("""COMPUTED_VALUE"""),0.0)</f>
        <v>0</v>
      </c>
      <c r="Z123" s="148"/>
    </row>
    <row r="124">
      <c r="A124" s="148">
        <f>IFERROR(__xludf.DUMMYFUNCTION("""COMPUTED_VALUE"""),1.1111205E7)</f>
        <v>11111205</v>
      </c>
      <c r="B124" s="148" t="str">
        <f>IFERROR(__xludf.DUMMYFUNCTION("""COMPUTED_VALUE"""),"8小时25%钢铁产量")</f>
        <v>8小时25%钢铁产量</v>
      </c>
      <c r="C124" s="148"/>
      <c r="D124" s="148" t="str">
        <f>IFERROR(__xludf.DUMMYFUNCTION("""COMPUTED_VALUE"""),"item_buff")</f>
        <v>item_buff</v>
      </c>
      <c r="E124" s="148">
        <f>IFERROR(__xludf.DUMMYFUNCTION("""COMPUTED_VALUE"""),26.0)</f>
        <v>26</v>
      </c>
      <c r="F124" s="148">
        <f>IFERROR(__xludf.DUMMYFUNCTION("""COMPUTED_VALUE"""),303201.0)</f>
        <v>303201</v>
      </c>
      <c r="G124" s="148">
        <f>IFERROR(__xludf.DUMMYFUNCTION("""COMPUTED_VALUE"""),1.511258E7)</f>
        <v>15112580</v>
      </c>
      <c r="H124" s="148">
        <f>IFERROR(__xludf.DUMMYFUNCTION("""COMPUTED_VALUE"""),1.5112561E7)</f>
        <v>15112561</v>
      </c>
      <c r="I124" s="148" t="str">
        <f>IFERROR(__xludf.DUMMYFUNCTION("""COMPUTED_VALUE"""),"{""typ"":""lc"",""txt"":""LC_ITEM_time_h_upper_show"",""args"":[{""typ"":""int"",""val"":8}]}")</f>
        <v>{"typ":"lc","txt":"LC_ITEM_time_h_upper_show","args":[{"typ":"int","val":8}]}</v>
      </c>
      <c r="J124" s="148" t="str">
        <f>IFERROR(__xludf.DUMMYFUNCTION("""COMPUTED_VALUE"""),"{""typ"":""lc"",""txt"":""LC_ITEM_iron_production_increasing_name"",""args"":[{""typ"":""int"",""val"":8}]}")</f>
        <v>{"typ":"lc","txt":"LC_ITEM_iron_production_increasing_name","args":[{"typ":"int","val":8}]}</v>
      </c>
      <c r="K124" s="148" t="str">
        <f>IFERROR(__xludf.DUMMYFUNCTION("""COMPUTED_VALUE"""),"{""typ"":""lc"",""txt"":""LC_ITEM_iron_production_increasing_desc"",""args"":[{""typ"":""int"",""val"":8}]}")</f>
        <v>{"typ":"lc","txt":"LC_ITEM_iron_production_increasing_desc","args":[{"typ":"int","val":8}]}</v>
      </c>
      <c r="L124" s="148" t="str">
        <f>IFERROR(__xludf.DUMMYFUNCTION("""COMPUTED_VALUE"""),"{""typ"":""lc"",""txt"":""LC_ITEM_iron_production_increasing_usedtip"",""args"":[{""typ"":""int"",""val"":8}]}")</f>
        <v>{"typ":"lc","txt":"LC_ITEM_iron_production_increasing_usedtip","args":[{"typ":"int","val":8}]}</v>
      </c>
      <c r="M124" s="148">
        <f>IFERROR(__xludf.DUMMYFUNCTION("""COMPUTED_VALUE"""),70.0)</f>
        <v>70</v>
      </c>
      <c r="N124" s="148">
        <f>IFERROR(__xludf.DUMMYFUNCTION("""COMPUTED_VALUE"""),999999.0)</f>
        <v>999999</v>
      </c>
      <c r="O124" s="148">
        <f>IFERROR(__xludf.DUMMYFUNCTION("""COMPUTED_VALUE"""),99999.0)</f>
        <v>99999</v>
      </c>
      <c r="P124" s="148">
        <f>IFERROR(__xludf.DUMMYFUNCTION("""COMPUTED_VALUE"""),1.0)</f>
        <v>1</v>
      </c>
      <c r="Q124" s="148" t="str">
        <f>IFERROR(__xludf.DUMMYFUNCTION("""COMPUTED_VALUE"""),"[""bag_buff"",""buff_city""]")</f>
        <v>["bag_buff","buff_city"]</v>
      </c>
      <c r="R124" s="148" t="str">
        <f>IFERROR(__xludf.DUMMYFUNCTION("""COMPUTED_VALUE"""),"[""bag"",""buff_city""]")</f>
        <v>["bag","buff_city"]</v>
      </c>
      <c r="S124" s="148" t="str">
        <f>IFERROR(__xludf.DUMMYFUNCTION("""COMPUTED_VALUE"""),"{""effect"":[{""typ"":""buff"",""id"":12113010,""val"":28800000,""arg1"":0.25}]}")</f>
        <v>{"effect":[{"typ":"buff","id":12113010,"val":28800000,"arg1":0.25}]}</v>
      </c>
      <c r="T124" s="148">
        <f>IFERROR(__xludf.DUMMYFUNCTION("""COMPUTED_VALUE"""),-1.0)</f>
        <v>-1</v>
      </c>
      <c r="U124" s="148">
        <f>IFERROR(__xludf.DUMMYFUNCTION("""COMPUTED_VALUE"""),0.0)</f>
        <v>0</v>
      </c>
      <c r="V124" s="148" t="str">
        <f>IFERROR(__xludf.DUMMYFUNCTION("""COMPUTED_VALUE"""),"[]")</f>
        <v>[]</v>
      </c>
      <c r="W124" s="148">
        <f>IFERROR(__xludf.DUMMYFUNCTION("""COMPUTED_VALUE"""),1.1741004E7)</f>
        <v>11741004</v>
      </c>
      <c r="X124" s="148">
        <f>IFERROR(__xludf.DUMMYFUNCTION("""COMPUTED_VALUE"""),0.0)</f>
        <v>0</v>
      </c>
      <c r="Y124" s="148">
        <f>IFERROR(__xludf.DUMMYFUNCTION("""COMPUTED_VALUE"""),0.0)</f>
        <v>0</v>
      </c>
      <c r="Z124" s="148"/>
    </row>
    <row r="125">
      <c r="A125" s="148">
        <f>IFERROR(__xludf.DUMMYFUNCTION("""COMPUTED_VALUE"""),1.1111206E7)</f>
        <v>11111206</v>
      </c>
      <c r="B125" s="148" t="str">
        <f>IFERROR(__xludf.DUMMYFUNCTION("""COMPUTED_VALUE"""),"24小时25%钢铁产量")</f>
        <v>24小时25%钢铁产量</v>
      </c>
      <c r="C125" s="148"/>
      <c r="D125" s="148" t="str">
        <f>IFERROR(__xludf.DUMMYFUNCTION("""COMPUTED_VALUE"""),"item_buff")</f>
        <v>item_buff</v>
      </c>
      <c r="E125" s="148">
        <f>IFERROR(__xludf.DUMMYFUNCTION("""COMPUTED_VALUE"""),26.0)</f>
        <v>26</v>
      </c>
      <c r="F125" s="148">
        <f>IFERROR(__xludf.DUMMYFUNCTION("""COMPUTED_VALUE"""),303302.0)</f>
        <v>303302</v>
      </c>
      <c r="G125" s="148">
        <f>IFERROR(__xludf.DUMMYFUNCTION("""COMPUTED_VALUE"""),1.511258E7)</f>
        <v>15112580</v>
      </c>
      <c r="H125" s="148">
        <f>IFERROR(__xludf.DUMMYFUNCTION("""COMPUTED_VALUE"""),1.5112562E7)</f>
        <v>15112562</v>
      </c>
      <c r="I125" s="148" t="str">
        <f>IFERROR(__xludf.DUMMYFUNCTION("""COMPUTED_VALUE"""),"{""typ"":""lc"",""txt"":""LC_ITEM_time_h_upper_show"",""args"":[{""typ"":""int"",""val"":24}]}")</f>
        <v>{"typ":"lc","txt":"LC_ITEM_time_h_upper_show","args":[{"typ":"int","val":24}]}</v>
      </c>
      <c r="J125" s="148" t="str">
        <f>IFERROR(__xludf.DUMMYFUNCTION("""COMPUTED_VALUE"""),"{""typ"":""lc"",""txt"":""LC_ITEM_iron_production_increasing_name"",""args"":[{""typ"":""int"",""val"":24}]}")</f>
        <v>{"typ":"lc","txt":"LC_ITEM_iron_production_increasing_name","args":[{"typ":"int","val":24}]}</v>
      </c>
      <c r="K125" s="148" t="str">
        <f>IFERROR(__xludf.DUMMYFUNCTION("""COMPUTED_VALUE"""),"{""typ"":""lc"",""txt"":""LC_ITEM_iron_production_increasing_desc"",""args"":[{""typ"":""int"",""val"":24}]}")</f>
        <v>{"typ":"lc","txt":"LC_ITEM_iron_production_increasing_desc","args":[{"typ":"int","val":24}]}</v>
      </c>
      <c r="L125" s="148" t="str">
        <f>IFERROR(__xludf.DUMMYFUNCTION("""COMPUTED_VALUE"""),"{""typ"":""lc"",""txt"":""LC_ITEM_iron_production_increasing_usedtip"",""args"":[{""typ"":""int"",""val"":24}]}")</f>
        <v>{"typ":"lc","txt":"LC_ITEM_iron_production_increasing_usedtip","args":[{"typ":"int","val":24}]}</v>
      </c>
      <c r="M125" s="148">
        <f>IFERROR(__xludf.DUMMYFUNCTION("""COMPUTED_VALUE"""),300.0)</f>
        <v>300</v>
      </c>
      <c r="N125" s="148">
        <f>IFERROR(__xludf.DUMMYFUNCTION("""COMPUTED_VALUE"""),999999.0)</f>
        <v>999999</v>
      </c>
      <c r="O125" s="148">
        <f>IFERROR(__xludf.DUMMYFUNCTION("""COMPUTED_VALUE"""),99999.0)</f>
        <v>99999</v>
      </c>
      <c r="P125" s="148">
        <f>IFERROR(__xludf.DUMMYFUNCTION("""COMPUTED_VALUE"""),1.0)</f>
        <v>1</v>
      </c>
      <c r="Q125" s="148" t="str">
        <f>IFERROR(__xludf.DUMMYFUNCTION("""COMPUTED_VALUE"""),"[""bag_buff"",""buff_city""]")</f>
        <v>["bag_buff","buff_city"]</v>
      </c>
      <c r="R125" s="148" t="str">
        <f>IFERROR(__xludf.DUMMYFUNCTION("""COMPUTED_VALUE"""),"[""bag"",""buff_city""]")</f>
        <v>["bag","buff_city"]</v>
      </c>
      <c r="S125" s="148" t="str">
        <f>IFERROR(__xludf.DUMMYFUNCTION("""COMPUTED_VALUE"""),"{""effect"":[{""typ"":""buff"",""id"":12113010,""val"":86400000,""arg1"":0.25}]}")</f>
        <v>{"effect":[{"typ":"buff","id":12113010,"val":86400000,"arg1":0.25}]}</v>
      </c>
      <c r="T125" s="148">
        <f>IFERROR(__xludf.DUMMYFUNCTION("""COMPUTED_VALUE"""),-1.0)</f>
        <v>-1</v>
      </c>
      <c r="U125" s="148">
        <f>IFERROR(__xludf.DUMMYFUNCTION("""COMPUTED_VALUE"""),0.0)</f>
        <v>0</v>
      </c>
      <c r="V125" s="148" t="str">
        <f>IFERROR(__xludf.DUMMYFUNCTION("""COMPUTED_VALUE"""),"[]")</f>
        <v>[]</v>
      </c>
      <c r="W125" s="148">
        <f>IFERROR(__xludf.DUMMYFUNCTION("""COMPUTED_VALUE"""),1.1741004E7)</f>
        <v>11741004</v>
      </c>
      <c r="X125" s="148">
        <f>IFERROR(__xludf.DUMMYFUNCTION("""COMPUTED_VALUE"""),0.0)</f>
        <v>0</v>
      </c>
      <c r="Y125" s="148">
        <f>IFERROR(__xludf.DUMMYFUNCTION("""COMPUTED_VALUE"""),0.0)</f>
        <v>0</v>
      </c>
      <c r="Z125" s="148"/>
    </row>
    <row r="126">
      <c r="A126" s="148">
        <f>IFERROR(__xludf.DUMMYFUNCTION("""COMPUTED_VALUE"""),1.1111207E7)</f>
        <v>11111207</v>
      </c>
      <c r="B126" s="148" t="str">
        <f>IFERROR(__xludf.DUMMYFUNCTION("""COMPUTED_VALUE"""),"8小时攻击强化5%")</f>
        <v>8小时攻击强化5%</v>
      </c>
      <c r="C126" s="148"/>
      <c r="D126" s="148" t="str">
        <f>IFERROR(__xludf.DUMMYFUNCTION("""COMPUTED_VALUE"""),"item_buff")</f>
        <v>item_buff</v>
      </c>
      <c r="E126" s="148">
        <f>IFERROR(__xludf.DUMMYFUNCTION("""COMPUTED_VALUE"""),11.0)</f>
        <v>11</v>
      </c>
      <c r="F126" s="148">
        <f>IFERROR(__xludf.DUMMYFUNCTION("""COMPUTED_VALUE"""),306201.0)</f>
        <v>306201</v>
      </c>
      <c r="G126" s="148">
        <f>IFERROR(__xludf.DUMMYFUNCTION("""COMPUTED_VALUE"""),1.5112567E7)</f>
        <v>15112567</v>
      </c>
      <c r="H126" s="148">
        <f>IFERROR(__xludf.DUMMYFUNCTION("""COMPUTED_VALUE"""),1.5112561E7)</f>
        <v>15112561</v>
      </c>
      <c r="I126" s="148" t="str">
        <f>IFERROR(__xludf.DUMMYFUNCTION("""COMPUTED_VALUE"""),"{""typ"":""lc"",""txt"":""LC_ITEM_time_h_upper_show"",""args"":[{""typ"":""int"",""val"":8}]}")</f>
        <v>{"typ":"lc","txt":"LC_ITEM_time_h_upper_show","args":[{"typ":"int","val":8}]}</v>
      </c>
      <c r="J126" s="148" t="str">
        <f>IFERROR(__xludf.DUMMYFUNCTION("""COMPUTED_VALUE"""),"{""typ"":""lc"",""txt"":""LC_ITEM_atk_up_1_name"",""args"":[{""typ"":""int"",""val"":8}]}")</f>
        <v>{"typ":"lc","txt":"LC_ITEM_atk_up_1_name","args":[{"typ":"int","val":8}]}</v>
      </c>
      <c r="K126" s="148" t="str">
        <f>IFERROR(__xludf.DUMMYFUNCTION("""COMPUTED_VALUE"""),"{""typ"":""lc"",""txt"":""LC_ITEM_atk_up_1_desc"",""args"":[{""typ"":""int"",""val"":8}]}")</f>
        <v>{"typ":"lc","txt":"LC_ITEM_atk_up_1_desc","args":[{"typ":"int","val":8}]}</v>
      </c>
      <c r="L126" s="148" t="str">
        <f>IFERROR(__xludf.DUMMYFUNCTION("""COMPUTED_VALUE"""),"{""typ"":""lc"",""txt"":""LC_ITEM_atk_up_1_usedtip"",""args"":[{""typ"":""int"",""val"":8}]}")</f>
        <v>{"typ":"lc","txt":"LC_ITEM_atk_up_1_usedtip","args":[{"typ":"int","val":8}]}</v>
      </c>
      <c r="M126" s="148">
        <f>IFERROR(__xludf.DUMMYFUNCTION("""COMPUTED_VALUE"""),200.0)</f>
        <v>200</v>
      </c>
      <c r="N126" s="148">
        <f>IFERROR(__xludf.DUMMYFUNCTION("""COMPUTED_VALUE"""),999999.0)</f>
        <v>999999</v>
      </c>
      <c r="O126" s="148">
        <f>IFERROR(__xludf.DUMMYFUNCTION("""COMPUTED_VALUE"""),99999.0)</f>
        <v>99999</v>
      </c>
      <c r="P126" s="148">
        <f>IFERROR(__xludf.DUMMYFUNCTION("""COMPUTED_VALUE"""),1.0)</f>
        <v>1</v>
      </c>
      <c r="Q126" s="148" t="str">
        <f>IFERROR(__xludf.DUMMYFUNCTION("""COMPUTED_VALUE"""),"[""bag_buff"",""buff_city""]")</f>
        <v>["bag_buff","buff_city"]</v>
      </c>
      <c r="R126" s="148" t="str">
        <f>IFERROR(__xludf.DUMMYFUNCTION("""COMPUTED_VALUE"""),"[""bag"",""buff_city""]")</f>
        <v>["bag","buff_city"]</v>
      </c>
      <c r="S126" s="148" t="str">
        <f>IFERROR(__xludf.DUMMYFUNCTION("""COMPUTED_VALUE"""),"{""effect"":[{""typ"":""buff"",""id"":12113002,""val"":28800000,""arg1"":0.05}]}")</f>
        <v>{"effect":[{"typ":"buff","id":12113002,"val":28800000,"arg1":0.05}]}</v>
      </c>
      <c r="T126" s="148">
        <f>IFERROR(__xludf.DUMMYFUNCTION("""COMPUTED_VALUE"""),-1.0)</f>
        <v>-1</v>
      </c>
      <c r="U126" s="148">
        <f>IFERROR(__xludf.DUMMYFUNCTION("""COMPUTED_VALUE"""),0.0)</f>
        <v>0</v>
      </c>
      <c r="V126" s="148" t="str">
        <f>IFERROR(__xludf.DUMMYFUNCTION("""COMPUTED_VALUE"""),"[]")</f>
        <v>[]</v>
      </c>
      <c r="W126" s="148">
        <f>IFERROR(__xludf.DUMMYFUNCTION("""COMPUTED_VALUE"""),1.1741004E7)</f>
        <v>11741004</v>
      </c>
      <c r="X126" s="148">
        <f>IFERROR(__xludf.DUMMYFUNCTION("""COMPUTED_VALUE"""),0.0)</f>
        <v>0</v>
      </c>
      <c r="Y126" s="148">
        <f>IFERROR(__xludf.DUMMYFUNCTION("""COMPUTED_VALUE"""),0.0)</f>
        <v>0</v>
      </c>
      <c r="Z126" s="148"/>
    </row>
    <row r="127">
      <c r="A127" s="148">
        <f>IFERROR(__xludf.DUMMYFUNCTION("""COMPUTED_VALUE"""),1.1111208E7)</f>
        <v>11111208</v>
      </c>
      <c r="B127" s="148" t="str">
        <f>IFERROR(__xludf.DUMMYFUNCTION("""COMPUTED_VALUE"""),"24小时攻击强化5%")</f>
        <v>24小时攻击强化5%</v>
      </c>
      <c r="C127" s="148"/>
      <c r="D127" s="148" t="str">
        <f>IFERROR(__xludf.DUMMYFUNCTION("""COMPUTED_VALUE"""),"item_buff")</f>
        <v>item_buff</v>
      </c>
      <c r="E127" s="148">
        <f>IFERROR(__xludf.DUMMYFUNCTION("""COMPUTED_VALUE"""),11.0)</f>
        <v>11</v>
      </c>
      <c r="F127" s="148">
        <f>IFERROR(__xludf.DUMMYFUNCTION("""COMPUTED_VALUE"""),306302.0)</f>
        <v>306302</v>
      </c>
      <c r="G127" s="148">
        <f>IFERROR(__xludf.DUMMYFUNCTION("""COMPUTED_VALUE"""),1.5112567E7)</f>
        <v>15112567</v>
      </c>
      <c r="H127" s="148">
        <f>IFERROR(__xludf.DUMMYFUNCTION("""COMPUTED_VALUE"""),1.5112562E7)</f>
        <v>15112562</v>
      </c>
      <c r="I127" s="148" t="str">
        <f>IFERROR(__xludf.DUMMYFUNCTION("""COMPUTED_VALUE"""),"{""typ"":""lc"",""txt"":""LC_ITEM_time_h_upper_show"",""args"":[{""typ"":""int"",""val"":24}]}")</f>
        <v>{"typ":"lc","txt":"LC_ITEM_time_h_upper_show","args":[{"typ":"int","val":24}]}</v>
      </c>
      <c r="J127" s="148" t="str">
        <f>IFERROR(__xludf.DUMMYFUNCTION("""COMPUTED_VALUE"""),"{""typ"":""lc"",""txt"":""LC_ITEM_atk_up_1_name"",""args"":[{""typ"":""int"",""val"":24}]}")</f>
        <v>{"typ":"lc","txt":"LC_ITEM_atk_up_1_name","args":[{"typ":"int","val":24}]}</v>
      </c>
      <c r="K127" s="148" t="str">
        <f>IFERROR(__xludf.DUMMYFUNCTION("""COMPUTED_VALUE"""),"{""typ"":""lc"",""txt"":""LC_ITEM_atk_up_1_desc"",""args"":[{""typ"":""int"",""val"":24}]}")</f>
        <v>{"typ":"lc","txt":"LC_ITEM_atk_up_1_desc","args":[{"typ":"int","val":24}]}</v>
      </c>
      <c r="L127" s="148" t="str">
        <f>IFERROR(__xludf.DUMMYFUNCTION("""COMPUTED_VALUE"""),"{""typ"":""lc"",""txt"":""LC_ITEM_atk_up_1_usedtip"",""args"":[{""typ"":""int"",""val"":24}]}")</f>
        <v>{"typ":"lc","txt":"LC_ITEM_atk_up_1_usedtip","args":[{"typ":"int","val":24}]}</v>
      </c>
      <c r="M127" s="148">
        <f>IFERROR(__xludf.DUMMYFUNCTION("""COMPUTED_VALUE"""),400.0)</f>
        <v>400</v>
      </c>
      <c r="N127" s="148">
        <f>IFERROR(__xludf.DUMMYFUNCTION("""COMPUTED_VALUE"""),999999.0)</f>
        <v>999999</v>
      </c>
      <c r="O127" s="148">
        <f>IFERROR(__xludf.DUMMYFUNCTION("""COMPUTED_VALUE"""),99999.0)</f>
        <v>99999</v>
      </c>
      <c r="P127" s="148">
        <f>IFERROR(__xludf.DUMMYFUNCTION("""COMPUTED_VALUE"""),1.0)</f>
        <v>1</v>
      </c>
      <c r="Q127" s="148" t="str">
        <f>IFERROR(__xludf.DUMMYFUNCTION("""COMPUTED_VALUE"""),"[""bag_buff"",""buff_city""]")</f>
        <v>["bag_buff","buff_city"]</v>
      </c>
      <c r="R127" s="148" t="str">
        <f>IFERROR(__xludf.DUMMYFUNCTION("""COMPUTED_VALUE"""),"[""bag"",""buff_city""]")</f>
        <v>["bag","buff_city"]</v>
      </c>
      <c r="S127" s="148" t="str">
        <f>IFERROR(__xludf.DUMMYFUNCTION("""COMPUTED_VALUE"""),"{""effect"":[{""typ"":""buff"",""id"":12113002,""val"":86400000,""arg1"":0.05}]}")</f>
        <v>{"effect":[{"typ":"buff","id":12113002,"val":86400000,"arg1":0.05}]}</v>
      </c>
      <c r="T127" s="148">
        <f>IFERROR(__xludf.DUMMYFUNCTION("""COMPUTED_VALUE"""),-1.0)</f>
        <v>-1</v>
      </c>
      <c r="U127" s="148">
        <f>IFERROR(__xludf.DUMMYFUNCTION("""COMPUTED_VALUE"""),0.0)</f>
        <v>0</v>
      </c>
      <c r="V127" s="148" t="str">
        <f>IFERROR(__xludf.DUMMYFUNCTION("""COMPUTED_VALUE"""),"[]")</f>
        <v>[]</v>
      </c>
      <c r="W127" s="148">
        <f>IFERROR(__xludf.DUMMYFUNCTION("""COMPUTED_VALUE"""),1.1741004E7)</f>
        <v>11741004</v>
      </c>
      <c r="X127" s="148">
        <f>IFERROR(__xludf.DUMMYFUNCTION("""COMPUTED_VALUE"""),0.0)</f>
        <v>0</v>
      </c>
      <c r="Y127" s="148">
        <f>IFERROR(__xludf.DUMMYFUNCTION("""COMPUTED_VALUE"""),0.0)</f>
        <v>0</v>
      </c>
      <c r="Z127" s="148"/>
    </row>
    <row r="128">
      <c r="A128" s="148">
        <f>IFERROR(__xludf.DUMMYFUNCTION("""COMPUTED_VALUE"""),1.1111209E7)</f>
        <v>11111209</v>
      </c>
      <c r="B128" s="148" t="str">
        <f>IFERROR(__xludf.DUMMYFUNCTION("""COMPUTED_VALUE"""),"8小时攻击强化10%")</f>
        <v>8小时攻击强化10%</v>
      </c>
      <c r="C128" s="148"/>
      <c r="D128" s="148" t="str">
        <f>IFERROR(__xludf.DUMMYFUNCTION("""COMPUTED_VALUE"""),"item_buff")</f>
        <v>item_buff</v>
      </c>
      <c r="E128" s="148">
        <f>IFERROR(__xludf.DUMMYFUNCTION("""COMPUTED_VALUE"""),11.0)</f>
        <v>11</v>
      </c>
      <c r="F128" s="148">
        <f>IFERROR(__xludf.DUMMYFUNCTION("""COMPUTED_VALUE"""),306403.0)</f>
        <v>306403</v>
      </c>
      <c r="G128" s="148">
        <f>IFERROR(__xludf.DUMMYFUNCTION("""COMPUTED_VALUE"""),1.5112567E7)</f>
        <v>15112567</v>
      </c>
      <c r="H128" s="148">
        <f>IFERROR(__xludf.DUMMYFUNCTION("""COMPUTED_VALUE"""),1.5112563E7)</f>
        <v>15112563</v>
      </c>
      <c r="I128" s="148" t="str">
        <f>IFERROR(__xludf.DUMMYFUNCTION("""COMPUTED_VALUE"""),"{""typ"":""lc"",""txt"":""LC_ITEM_time_h_upper_show"",""args"":[{""typ"":""int"",""val"":8}]}")</f>
        <v>{"typ":"lc","txt":"LC_ITEM_time_h_upper_show","args":[{"typ":"int","val":8}]}</v>
      </c>
      <c r="J128" s="148" t="str">
        <f>IFERROR(__xludf.DUMMYFUNCTION("""COMPUTED_VALUE"""),"{""typ"":""lc"",""txt"":""LC_ITEM_atk_up_2_name"",""args"":[{""typ"":""int"",""val"":8}]}")</f>
        <v>{"typ":"lc","txt":"LC_ITEM_atk_up_2_name","args":[{"typ":"int","val":8}]}</v>
      </c>
      <c r="K128" s="148" t="str">
        <f>IFERROR(__xludf.DUMMYFUNCTION("""COMPUTED_VALUE"""),"{""typ"":""lc"",""txt"":""LC_ITEM_atk_up_2_desc"",""args"":[{""typ"":""int"",""val"":8}]}")</f>
        <v>{"typ":"lc","txt":"LC_ITEM_atk_up_2_desc","args":[{"typ":"int","val":8}]}</v>
      </c>
      <c r="L128" s="148" t="str">
        <f>IFERROR(__xludf.DUMMYFUNCTION("""COMPUTED_VALUE"""),"{""typ"":""lc"",""txt"":""LC_ITEM_atk_up_2_usedtip"",""args"":[{""typ"":""int"",""val"":8}]}")</f>
        <v>{"typ":"lc","txt":"LC_ITEM_atk_up_2_usedtip","args":[{"typ":"int","val":8}]}</v>
      </c>
      <c r="M128" s="148">
        <f>IFERROR(__xludf.DUMMYFUNCTION("""COMPUTED_VALUE"""),700.0)</f>
        <v>700</v>
      </c>
      <c r="N128" s="148">
        <f>IFERROR(__xludf.DUMMYFUNCTION("""COMPUTED_VALUE"""),999999.0)</f>
        <v>999999</v>
      </c>
      <c r="O128" s="148">
        <f>IFERROR(__xludf.DUMMYFUNCTION("""COMPUTED_VALUE"""),99999.0)</f>
        <v>99999</v>
      </c>
      <c r="P128" s="148">
        <f>IFERROR(__xludf.DUMMYFUNCTION("""COMPUTED_VALUE"""),1.0)</f>
        <v>1</v>
      </c>
      <c r="Q128" s="148" t="str">
        <f>IFERROR(__xludf.DUMMYFUNCTION("""COMPUTED_VALUE"""),"[""bag_buff"",""buff_city""]")</f>
        <v>["bag_buff","buff_city"]</v>
      </c>
      <c r="R128" s="148" t="str">
        <f>IFERROR(__xludf.DUMMYFUNCTION("""COMPUTED_VALUE"""),"[""bag"",""buff_city""]")</f>
        <v>["bag","buff_city"]</v>
      </c>
      <c r="S128" s="148" t="str">
        <f>IFERROR(__xludf.DUMMYFUNCTION("""COMPUTED_VALUE"""),"{""effect"":[{""typ"":""buff"",""id"":12113002,""val"":28800000,""arg1"":0.1}]}")</f>
        <v>{"effect":[{"typ":"buff","id":12113002,"val":28800000,"arg1":0.1}]}</v>
      </c>
      <c r="T128" s="148">
        <f>IFERROR(__xludf.DUMMYFUNCTION("""COMPUTED_VALUE"""),-1.0)</f>
        <v>-1</v>
      </c>
      <c r="U128" s="148">
        <f>IFERROR(__xludf.DUMMYFUNCTION("""COMPUTED_VALUE"""),0.0)</f>
        <v>0</v>
      </c>
      <c r="V128" s="148" t="str">
        <f>IFERROR(__xludf.DUMMYFUNCTION("""COMPUTED_VALUE"""),"[]")</f>
        <v>[]</v>
      </c>
      <c r="W128" s="148">
        <f>IFERROR(__xludf.DUMMYFUNCTION("""COMPUTED_VALUE"""),1.1741004E7)</f>
        <v>11741004</v>
      </c>
      <c r="X128" s="148">
        <f>IFERROR(__xludf.DUMMYFUNCTION("""COMPUTED_VALUE"""),0.0)</f>
        <v>0</v>
      </c>
      <c r="Y128" s="148">
        <f>IFERROR(__xludf.DUMMYFUNCTION("""COMPUTED_VALUE"""),0.0)</f>
        <v>0</v>
      </c>
      <c r="Z128" s="148"/>
    </row>
    <row r="129">
      <c r="A129" s="148">
        <f>IFERROR(__xludf.DUMMYFUNCTION("""COMPUTED_VALUE"""),1.111121E7)</f>
        <v>11111210</v>
      </c>
      <c r="B129" s="148" t="str">
        <f>IFERROR(__xludf.DUMMYFUNCTION("""COMPUTED_VALUE"""),"24小时攻击强化10%")</f>
        <v>24小时攻击强化10%</v>
      </c>
      <c r="C129" s="148"/>
      <c r="D129" s="148" t="str">
        <f>IFERROR(__xludf.DUMMYFUNCTION("""COMPUTED_VALUE"""),"item_buff")</f>
        <v>item_buff</v>
      </c>
      <c r="E129" s="148">
        <f>IFERROR(__xludf.DUMMYFUNCTION("""COMPUTED_VALUE"""),11.0)</f>
        <v>11</v>
      </c>
      <c r="F129" s="148">
        <f>IFERROR(__xludf.DUMMYFUNCTION("""COMPUTED_VALUE"""),306504.0)</f>
        <v>306504</v>
      </c>
      <c r="G129" s="148">
        <f>IFERROR(__xludf.DUMMYFUNCTION("""COMPUTED_VALUE"""),1.5112567E7)</f>
        <v>15112567</v>
      </c>
      <c r="H129" s="148">
        <f>IFERROR(__xludf.DUMMYFUNCTION("""COMPUTED_VALUE"""),1.5112564E7)</f>
        <v>15112564</v>
      </c>
      <c r="I129" s="148" t="str">
        <f>IFERROR(__xludf.DUMMYFUNCTION("""COMPUTED_VALUE"""),"{""typ"":""lc"",""txt"":""LC_ITEM_time_h_upper_show"",""args"":[{""typ"":""int"",""val"":24}]}")</f>
        <v>{"typ":"lc","txt":"LC_ITEM_time_h_upper_show","args":[{"typ":"int","val":24}]}</v>
      </c>
      <c r="J129" s="148" t="str">
        <f>IFERROR(__xludf.DUMMYFUNCTION("""COMPUTED_VALUE"""),"{""typ"":""lc"",""txt"":""LC_ITEM_atk_up_2_name"",""args"":[{""typ"":""int"",""val"":24}]}")</f>
        <v>{"typ":"lc","txt":"LC_ITEM_atk_up_2_name","args":[{"typ":"int","val":24}]}</v>
      </c>
      <c r="K129" s="148" t="str">
        <f>IFERROR(__xludf.DUMMYFUNCTION("""COMPUTED_VALUE"""),"{""typ"":""lc"",""txt"":""LC_ITEM_atk_up_2_desc"",""args"":[{""typ"":""int"",""val"":24}]}")</f>
        <v>{"typ":"lc","txt":"LC_ITEM_atk_up_2_desc","args":[{"typ":"int","val":24}]}</v>
      </c>
      <c r="L129" s="148" t="str">
        <f>IFERROR(__xludf.DUMMYFUNCTION("""COMPUTED_VALUE"""),"{""typ"":""lc"",""txt"":""LC_ITEM_atk_up_2_usedtip"",""args"":[{""typ"":""int"",""val"":24}]}")</f>
        <v>{"typ":"lc","txt":"LC_ITEM_atk_up_2_usedtip","args":[{"typ":"int","val":24}]}</v>
      </c>
      <c r="M129" s="148">
        <f>IFERROR(__xludf.DUMMYFUNCTION("""COMPUTED_VALUE"""),1500.0)</f>
        <v>1500</v>
      </c>
      <c r="N129" s="148">
        <f>IFERROR(__xludf.DUMMYFUNCTION("""COMPUTED_VALUE"""),999999.0)</f>
        <v>999999</v>
      </c>
      <c r="O129" s="148">
        <f>IFERROR(__xludf.DUMMYFUNCTION("""COMPUTED_VALUE"""),99999.0)</f>
        <v>99999</v>
      </c>
      <c r="P129" s="148">
        <f>IFERROR(__xludf.DUMMYFUNCTION("""COMPUTED_VALUE"""),1.0)</f>
        <v>1</v>
      </c>
      <c r="Q129" s="148" t="str">
        <f>IFERROR(__xludf.DUMMYFUNCTION("""COMPUTED_VALUE"""),"[""bag_buff"",""buff_city""]")</f>
        <v>["bag_buff","buff_city"]</v>
      </c>
      <c r="R129" s="148" t="str">
        <f>IFERROR(__xludf.DUMMYFUNCTION("""COMPUTED_VALUE"""),"[""bag"",""buff_city""]")</f>
        <v>["bag","buff_city"]</v>
      </c>
      <c r="S129" s="148" t="str">
        <f>IFERROR(__xludf.DUMMYFUNCTION("""COMPUTED_VALUE"""),"{""effect"":[{""typ"":""buff"",""id"":12113002,""val"":86400000,""arg1"":0.1}]}")</f>
        <v>{"effect":[{"typ":"buff","id":12113002,"val":86400000,"arg1":0.1}]}</v>
      </c>
      <c r="T129" s="148">
        <f>IFERROR(__xludf.DUMMYFUNCTION("""COMPUTED_VALUE"""),-1.0)</f>
        <v>-1</v>
      </c>
      <c r="U129" s="148">
        <f>IFERROR(__xludf.DUMMYFUNCTION("""COMPUTED_VALUE"""),0.0)</f>
        <v>0</v>
      </c>
      <c r="V129" s="148" t="str">
        <f>IFERROR(__xludf.DUMMYFUNCTION("""COMPUTED_VALUE"""),"[]")</f>
        <v>[]</v>
      </c>
      <c r="W129" s="148">
        <f>IFERROR(__xludf.DUMMYFUNCTION("""COMPUTED_VALUE"""),1.1741004E7)</f>
        <v>11741004</v>
      </c>
      <c r="X129" s="148">
        <f>IFERROR(__xludf.DUMMYFUNCTION("""COMPUTED_VALUE"""),0.0)</f>
        <v>0</v>
      </c>
      <c r="Y129" s="148">
        <f>IFERROR(__xludf.DUMMYFUNCTION("""COMPUTED_VALUE"""),0.0)</f>
        <v>0</v>
      </c>
      <c r="Z129" s="148"/>
    </row>
    <row r="130">
      <c r="A130" s="148">
        <f>IFERROR(__xludf.DUMMYFUNCTION("""COMPUTED_VALUE"""),1.1111211E7)</f>
        <v>11111211</v>
      </c>
      <c r="B130" s="148" t="str">
        <f>IFERROR(__xludf.DUMMYFUNCTION("""COMPUTED_VALUE"""),"8小时防御强化5%")</f>
        <v>8小时防御强化5%</v>
      </c>
      <c r="C130" s="148"/>
      <c r="D130" s="148" t="str">
        <f>IFERROR(__xludf.DUMMYFUNCTION("""COMPUTED_VALUE"""),"item_buff")</f>
        <v>item_buff</v>
      </c>
      <c r="E130" s="148">
        <f>IFERROR(__xludf.DUMMYFUNCTION("""COMPUTED_VALUE"""),11.0)</f>
        <v>11</v>
      </c>
      <c r="F130" s="148">
        <f>IFERROR(__xludf.DUMMYFUNCTION("""COMPUTED_VALUE"""),307301.0)</f>
        <v>307301</v>
      </c>
      <c r="G130" s="148">
        <f>IFERROR(__xludf.DUMMYFUNCTION("""COMPUTED_VALUE"""),1.5112578E7)</f>
        <v>15112578</v>
      </c>
      <c r="H130" s="148">
        <f>IFERROR(__xludf.DUMMYFUNCTION("""COMPUTED_VALUE"""),1.5112561E7)</f>
        <v>15112561</v>
      </c>
      <c r="I130" s="148" t="str">
        <f>IFERROR(__xludf.DUMMYFUNCTION("""COMPUTED_VALUE"""),"{""typ"":""lc"",""txt"":""LC_ITEM_time_h_upper_show"",""args"":[{""typ"":""int"",""val"":8}]}")</f>
        <v>{"typ":"lc","txt":"LC_ITEM_time_h_upper_show","args":[{"typ":"int","val":8}]}</v>
      </c>
      <c r="J130" s="148" t="str">
        <f>IFERROR(__xludf.DUMMYFUNCTION("""COMPUTED_VALUE"""),"{""typ"":""lc"",""txt"":""LC_ITEM_def_up_1_name"",""args"":[{""typ"":""int"",""val"":8}]}")</f>
        <v>{"typ":"lc","txt":"LC_ITEM_def_up_1_name","args":[{"typ":"int","val":8}]}</v>
      </c>
      <c r="K130" s="148" t="str">
        <f>IFERROR(__xludf.DUMMYFUNCTION("""COMPUTED_VALUE"""),"{""typ"":""lc"",""txt"":""LC_ITEM_def_up_1_desc"",""args"":[{""typ"":""int"",""val"":8}]}")</f>
        <v>{"typ":"lc","txt":"LC_ITEM_def_up_1_desc","args":[{"typ":"int","val":8}]}</v>
      </c>
      <c r="L130" s="148" t="str">
        <f>IFERROR(__xludf.DUMMYFUNCTION("""COMPUTED_VALUE"""),"{""typ"":""lc"",""txt"":""LC_ITEM_def_up_1_usedtip"",""args"":[{""typ"":""int"",""val"":8}]}")</f>
        <v>{"typ":"lc","txt":"LC_ITEM_def_up_1_usedtip","args":[{"typ":"int","val":8}]}</v>
      </c>
      <c r="M130" s="148">
        <f>IFERROR(__xludf.DUMMYFUNCTION("""COMPUTED_VALUE"""),200.0)</f>
        <v>200</v>
      </c>
      <c r="N130" s="148">
        <f>IFERROR(__xludf.DUMMYFUNCTION("""COMPUTED_VALUE"""),999999.0)</f>
        <v>999999</v>
      </c>
      <c r="O130" s="148">
        <f>IFERROR(__xludf.DUMMYFUNCTION("""COMPUTED_VALUE"""),99999.0)</f>
        <v>99999</v>
      </c>
      <c r="P130" s="148">
        <f>IFERROR(__xludf.DUMMYFUNCTION("""COMPUTED_VALUE"""),1.0)</f>
        <v>1</v>
      </c>
      <c r="Q130" s="148" t="str">
        <f>IFERROR(__xludf.DUMMYFUNCTION("""COMPUTED_VALUE"""),"[""bag_buff"",""buff_city""]")</f>
        <v>["bag_buff","buff_city"]</v>
      </c>
      <c r="R130" s="148" t="str">
        <f>IFERROR(__xludf.DUMMYFUNCTION("""COMPUTED_VALUE"""),"[""bag"",""buff_city""]")</f>
        <v>["bag","buff_city"]</v>
      </c>
      <c r="S130" s="148" t="str">
        <f>IFERROR(__xludf.DUMMYFUNCTION("""COMPUTED_VALUE"""),"{""effect"":[{""typ"":""buff"",""id"":12113003,""val"":28800000,""arg1"":0.05}]}")</f>
        <v>{"effect":[{"typ":"buff","id":12113003,"val":28800000,"arg1":0.05}]}</v>
      </c>
      <c r="T130" s="148">
        <f>IFERROR(__xludf.DUMMYFUNCTION("""COMPUTED_VALUE"""),-1.0)</f>
        <v>-1</v>
      </c>
      <c r="U130" s="148">
        <f>IFERROR(__xludf.DUMMYFUNCTION("""COMPUTED_VALUE"""),0.0)</f>
        <v>0</v>
      </c>
      <c r="V130" s="148" t="str">
        <f>IFERROR(__xludf.DUMMYFUNCTION("""COMPUTED_VALUE"""),"[]")</f>
        <v>[]</v>
      </c>
      <c r="W130" s="148">
        <f>IFERROR(__xludf.DUMMYFUNCTION("""COMPUTED_VALUE"""),1.1741004E7)</f>
        <v>11741004</v>
      </c>
      <c r="X130" s="148">
        <f>IFERROR(__xludf.DUMMYFUNCTION("""COMPUTED_VALUE"""),0.0)</f>
        <v>0</v>
      </c>
      <c r="Y130" s="148">
        <f>IFERROR(__xludf.DUMMYFUNCTION("""COMPUTED_VALUE"""),0.0)</f>
        <v>0</v>
      </c>
      <c r="Z130" s="148"/>
    </row>
    <row r="131">
      <c r="A131" s="148">
        <f>IFERROR(__xludf.DUMMYFUNCTION("""COMPUTED_VALUE"""),1.1111212E7)</f>
        <v>11111212</v>
      </c>
      <c r="B131" s="148" t="str">
        <f>IFERROR(__xludf.DUMMYFUNCTION("""COMPUTED_VALUE"""),"24小时防御强化5%")</f>
        <v>24小时防御强化5%</v>
      </c>
      <c r="C131" s="148"/>
      <c r="D131" s="148" t="str">
        <f>IFERROR(__xludf.DUMMYFUNCTION("""COMPUTED_VALUE"""),"item_buff")</f>
        <v>item_buff</v>
      </c>
      <c r="E131" s="148">
        <f>IFERROR(__xludf.DUMMYFUNCTION("""COMPUTED_VALUE"""),11.0)</f>
        <v>11</v>
      </c>
      <c r="F131" s="148">
        <f>IFERROR(__xludf.DUMMYFUNCTION("""COMPUTED_VALUE"""),307402.0)</f>
        <v>307402</v>
      </c>
      <c r="G131" s="148">
        <f>IFERROR(__xludf.DUMMYFUNCTION("""COMPUTED_VALUE"""),1.5112578E7)</f>
        <v>15112578</v>
      </c>
      <c r="H131" s="148">
        <f>IFERROR(__xludf.DUMMYFUNCTION("""COMPUTED_VALUE"""),1.5112562E7)</f>
        <v>15112562</v>
      </c>
      <c r="I131" s="148" t="str">
        <f>IFERROR(__xludf.DUMMYFUNCTION("""COMPUTED_VALUE"""),"{""typ"":""lc"",""txt"":""LC_ITEM_time_h_upper_show"",""args"":[{""typ"":""int"",""val"":24}]}")</f>
        <v>{"typ":"lc","txt":"LC_ITEM_time_h_upper_show","args":[{"typ":"int","val":24}]}</v>
      </c>
      <c r="J131" s="148" t="str">
        <f>IFERROR(__xludf.DUMMYFUNCTION("""COMPUTED_VALUE"""),"{""typ"":""lc"",""txt"":""LC_ITEM_def_up_1_name"",""args"":[{""typ"":""int"",""val"":24}]}")</f>
        <v>{"typ":"lc","txt":"LC_ITEM_def_up_1_name","args":[{"typ":"int","val":24}]}</v>
      </c>
      <c r="K131" s="148" t="str">
        <f>IFERROR(__xludf.DUMMYFUNCTION("""COMPUTED_VALUE"""),"{""typ"":""lc"",""txt"":""LC_ITEM_def_up_1_desc"",""args"":[{""typ"":""int"",""val"":24}]}")</f>
        <v>{"typ":"lc","txt":"LC_ITEM_def_up_1_desc","args":[{"typ":"int","val":24}]}</v>
      </c>
      <c r="L131" s="148" t="str">
        <f>IFERROR(__xludf.DUMMYFUNCTION("""COMPUTED_VALUE"""),"{""typ"":""lc"",""txt"":""LC_ITEM_def_up_1_usedtip"",""args"":[{""typ"":""int"",""val"":24}]}")</f>
        <v>{"typ":"lc","txt":"LC_ITEM_def_up_1_usedtip","args":[{"typ":"int","val":24}]}</v>
      </c>
      <c r="M131" s="148">
        <f>IFERROR(__xludf.DUMMYFUNCTION("""COMPUTED_VALUE"""),400.0)</f>
        <v>400</v>
      </c>
      <c r="N131" s="148">
        <f>IFERROR(__xludf.DUMMYFUNCTION("""COMPUTED_VALUE"""),999999.0)</f>
        <v>999999</v>
      </c>
      <c r="O131" s="148">
        <f>IFERROR(__xludf.DUMMYFUNCTION("""COMPUTED_VALUE"""),99999.0)</f>
        <v>99999</v>
      </c>
      <c r="P131" s="148">
        <f>IFERROR(__xludf.DUMMYFUNCTION("""COMPUTED_VALUE"""),1.0)</f>
        <v>1</v>
      </c>
      <c r="Q131" s="148" t="str">
        <f>IFERROR(__xludf.DUMMYFUNCTION("""COMPUTED_VALUE"""),"[""bag_buff"",""buff_city""]")</f>
        <v>["bag_buff","buff_city"]</v>
      </c>
      <c r="R131" s="148" t="str">
        <f>IFERROR(__xludf.DUMMYFUNCTION("""COMPUTED_VALUE"""),"[""bag"",""buff_city""]")</f>
        <v>["bag","buff_city"]</v>
      </c>
      <c r="S131" s="148" t="str">
        <f>IFERROR(__xludf.DUMMYFUNCTION("""COMPUTED_VALUE"""),"{""effect"":[{""typ"":""buff"",""id"":12113003,""val"":86400000,""arg1"":0.05}]}")</f>
        <v>{"effect":[{"typ":"buff","id":12113003,"val":86400000,"arg1":0.05}]}</v>
      </c>
      <c r="T131" s="148">
        <f>IFERROR(__xludf.DUMMYFUNCTION("""COMPUTED_VALUE"""),-1.0)</f>
        <v>-1</v>
      </c>
      <c r="U131" s="148">
        <f>IFERROR(__xludf.DUMMYFUNCTION("""COMPUTED_VALUE"""),0.0)</f>
        <v>0</v>
      </c>
      <c r="V131" s="148" t="str">
        <f>IFERROR(__xludf.DUMMYFUNCTION("""COMPUTED_VALUE"""),"[]")</f>
        <v>[]</v>
      </c>
      <c r="W131" s="148">
        <f>IFERROR(__xludf.DUMMYFUNCTION("""COMPUTED_VALUE"""),1.1741004E7)</f>
        <v>11741004</v>
      </c>
      <c r="X131" s="148">
        <f>IFERROR(__xludf.DUMMYFUNCTION("""COMPUTED_VALUE"""),0.0)</f>
        <v>0</v>
      </c>
      <c r="Y131" s="148">
        <f>IFERROR(__xludf.DUMMYFUNCTION("""COMPUTED_VALUE"""),0.0)</f>
        <v>0</v>
      </c>
      <c r="Z131" s="148"/>
    </row>
    <row r="132">
      <c r="A132" s="148">
        <f>IFERROR(__xludf.DUMMYFUNCTION("""COMPUTED_VALUE"""),1.1111213E7)</f>
        <v>11111213</v>
      </c>
      <c r="B132" s="148" t="str">
        <f>IFERROR(__xludf.DUMMYFUNCTION("""COMPUTED_VALUE"""),"8小时防御强化10%")</f>
        <v>8小时防御强化10%</v>
      </c>
      <c r="C132" s="148"/>
      <c r="D132" s="148" t="str">
        <f>IFERROR(__xludf.DUMMYFUNCTION("""COMPUTED_VALUE"""),"item_buff")</f>
        <v>item_buff</v>
      </c>
      <c r="E132" s="148">
        <f>IFERROR(__xludf.DUMMYFUNCTION("""COMPUTED_VALUE"""),11.0)</f>
        <v>11</v>
      </c>
      <c r="F132" s="148">
        <f>IFERROR(__xludf.DUMMYFUNCTION("""COMPUTED_VALUE"""),307403.0)</f>
        <v>307403</v>
      </c>
      <c r="G132" s="148">
        <f>IFERROR(__xludf.DUMMYFUNCTION("""COMPUTED_VALUE"""),1.5112578E7)</f>
        <v>15112578</v>
      </c>
      <c r="H132" s="148">
        <f>IFERROR(__xludf.DUMMYFUNCTION("""COMPUTED_VALUE"""),1.5112563E7)</f>
        <v>15112563</v>
      </c>
      <c r="I132" s="148" t="str">
        <f>IFERROR(__xludf.DUMMYFUNCTION("""COMPUTED_VALUE"""),"{""typ"":""lc"",""txt"":""LC_ITEM_time_h_upper_show"",""args"":[{""typ"":""int"",""val"":8}]}")</f>
        <v>{"typ":"lc","txt":"LC_ITEM_time_h_upper_show","args":[{"typ":"int","val":8}]}</v>
      </c>
      <c r="J132" s="148" t="str">
        <f>IFERROR(__xludf.DUMMYFUNCTION("""COMPUTED_VALUE"""),"{""typ"":""lc"",""txt"":""LC_ITEM_def_up_2_name"",""args"":[{""typ"":""int"",""val"":8}]}")</f>
        <v>{"typ":"lc","txt":"LC_ITEM_def_up_2_name","args":[{"typ":"int","val":8}]}</v>
      </c>
      <c r="K132" s="148" t="str">
        <f>IFERROR(__xludf.DUMMYFUNCTION("""COMPUTED_VALUE"""),"{""typ"":""lc"",""txt"":""LC_ITEM_def_up_2_desc"",""args"":[{""typ"":""int"",""val"":8}]}")</f>
        <v>{"typ":"lc","txt":"LC_ITEM_def_up_2_desc","args":[{"typ":"int","val":8}]}</v>
      </c>
      <c r="L132" s="148" t="str">
        <f>IFERROR(__xludf.DUMMYFUNCTION("""COMPUTED_VALUE"""),"{""typ"":""lc"",""txt"":""LC_ITEM_def_up_2_usedtip"",""args"":[{""typ"":""int"",""val"":8}]}")</f>
        <v>{"typ":"lc","txt":"LC_ITEM_def_up_2_usedtip","args":[{"typ":"int","val":8}]}</v>
      </c>
      <c r="M132" s="148">
        <f>IFERROR(__xludf.DUMMYFUNCTION("""COMPUTED_VALUE"""),700.0)</f>
        <v>700</v>
      </c>
      <c r="N132" s="148">
        <f>IFERROR(__xludf.DUMMYFUNCTION("""COMPUTED_VALUE"""),999999.0)</f>
        <v>999999</v>
      </c>
      <c r="O132" s="148">
        <f>IFERROR(__xludf.DUMMYFUNCTION("""COMPUTED_VALUE"""),99999.0)</f>
        <v>99999</v>
      </c>
      <c r="P132" s="148">
        <f>IFERROR(__xludf.DUMMYFUNCTION("""COMPUTED_VALUE"""),1.0)</f>
        <v>1</v>
      </c>
      <c r="Q132" s="148" t="str">
        <f>IFERROR(__xludf.DUMMYFUNCTION("""COMPUTED_VALUE"""),"[""bag_buff"",""buff_city""]")</f>
        <v>["bag_buff","buff_city"]</v>
      </c>
      <c r="R132" s="148" t="str">
        <f>IFERROR(__xludf.DUMMYFUNCTION("""COMPUTED_VALUE"""),"[""bag"",""buff_city""]")</f>
        <v>["bag","buff_city"]</v>
      </c>
      <c r="S132" s="148" t="str">
        <f>IFERROR(__xludf.DUMMYFUNCTION("""COMPUTED_VALUE"""),"{""effect"":[{""typ"":""buff"",""id"":12113003,""val"":28800000,""arg1"":0.1}]}")</f>
        <v>{"effect":[{"typ":"buff","id":12113003,"val":28800000,"arg1":0.1}]}</v>
      </c>
      <c r="T132" s="148">
        <f>IFERROR(__xludf.DUMMYFUNCTION("""COMPUTED_VALUE"""),-1.0)</f>
        <v>-1</v>
      </c>
      <c r="U132" s="148">
        <f>IFERROR(__xludf.DUMMYFUNCTION("""COMPUTED_VALUE"""),0.0)</f>
        <v>0</v>
      </c>
      <c r="V132" s="148" t="str">
        <f>IFERROR(__xludf.DUMMYFUNCTION("""COMPUTED_VALUE"""),"[]")</f>
        <v>[]</v>
      </c>
      <c r="W132" s="148">
        <f>IFERROR(__xludf.DUMMYFUNCTION("""COMPUTED_VALUE"""),1.1741004E7)</f>
        <v>11741004</v>
      </c>
      <c r="X132" s="148">
        <f>IFERROR(__xludf.DUMMYFUNCTION("""COMPUTED_VALUE"""),0.0)</f>
        <v>0</v>
      </c>
      <c r="Y132" s="148">
        <f>IFERROR(__xludf.DUMMYFUNCTION("""COMPUTED_VALUE"""),0.0)</f>
        <v>0</v>
      </c>
      <c r="Z132" s="148"/>
    </row>
    <row r="133">
      <c r="A133" s="148">
        <f>IFERROR(__xludf.DUMMYFUNCTION("""COMPUTED_VALUE"""),1.1111214E7)</f>
        <v>11111214</v>
      </c>
      <c r="B133" s="148" t="str">
        <f>IFERROR(__xludf.DUMMYFUNCTION("""COMPUTED_VALUE"""),"24小时防御强化10%")</f>
        <v>24小时防御强化10%</v>
      </c>
      <c r="C133" s="148"/>
      <c r="D133" s="148" t="str">
        <f>IFERROR(__xludf.DUMMYFUNCTION("""COMPUTED_VALUE"""),"item_buff")</f>
        <v>item_buff</v>
      </c>
      <c r="E133" s="148">
        <f>IFERROR(__xludf.DUMMYFUNCTION("""COMPUTED_VALUE"""),11.0)</f>
        <v>11</v>
      </c>
      <c r="F133" s="148">
        <f>IFERROR(__xludf.DUMMYFUNCTION("""COMPUTED_VALUE"""),307504.0)</f>
        <v>307504</v>
      </c>
      <c r="G133" s="148">
        <f>IFERROR(__xludf.DUMMYFUNCTION("""COMPUTED_VALUE"""),1.5112578E7)</f>
        <v>15112578</v>
      </c>
      <c r="H133" s="148">
        <f>IFERROR(__xludf.DUMMYFUNCTION("""COMPUTED_VALUE"""),1.5112564E7)</f>
        <v>15112564</v>
      </c>
      <c r="I133" s="148" t="str">
        <f>IFERROR(__xludf.DUMMYFUNCTION("""COMPUTED_VALUE"""),"{""typ"":""lc"",""txt"":""LC_ITEM_time_h_upper_show"",""args"":[{""typ"":""int"",""val"":24}]}")</f>
        <v>{"typ":"lc","txt":"LC_ITEM_time_h_upper_show","args":[{"typ":"int","val":24}]}</v>
      </c>
      <c r="J133" s="148" t="str">
        <f>IFERROR(__xludf.DUMMYFUNCTION("""COMPUTED_VALUE"""),"{""typ"":""lc"",""txt"":""LC_ITEM_def_up_2_name"",""args"":[{""typ"":""int"",""val"":24}]}")</f>
        <v>{"typ":"lc","txt":"LC_ITEM_def_up_2_name","args":[{"typ":"int","val":24}]}</v>
      </c>
      <c r="K133" s="148" t="str">
        <f>IFERROR(__xludf.DUMMYFUNCTION("""COMPUTED_VALUE"""),"{""typ"":""lc"",""txt"":""LC_ITEM_def_up_2_desc"",""args"":[{""typ"":""int"",""val"":24}]}")</f>
        <v>{"typ":"lc","txt":"LC_ITEM_def_up_2_desc","args":[{"typ":"int","val":24}]}</v>
      </c>
      <c r="L133" s="148" t="str">
        <f>IFERROR(__xludf.DUMMYFUNCTION("""COMPUTED_VALUE"""),"{""typ"":""lc"",""txt"":""LC_ITEM_def_up_2_usedtip"",""args"":[{""typ"":""int"",""val"":24}]}")</f>
        <v>{"typ":"lc","txt":"LC_ITEM_def_up_2_usedtip","args":[{"typ":"int","val":24}]}</v>
      </c>
      <c r="M133" s="148">
        <f>IFERROR(__xludf.DUMMYFUNCTION("""COMPUTED_VALUE"""),1500.0)</f>
        <v>1500</v>
      </c>
      <c r="N133" s="148">
        <f>IFERROR(__xludf.DUMMYFUNCTION("""COMPUTED_VALUE"""),999999.0)</f>
        <v>999999</v>
      </c>
      <c r="O133" s="148">
        <f>IFERROR(__xludf.DUMMYFUNCTION("""COMPUTED_VALUE"""),99999.0)</f>
        <v>99999</v>
      </c>
      <c r="P133" s="148">
        <f>IFERROR(__xludf.DUMMYFUNCTION("""COMPUTED_VALUE"""),1.0)</f>
        <v>1</v>
      </c>
      <c r="Q133" s="148" t="str">
        <f>IFERROR(__xludf.DUMMYFUNCTION("""COMPUTED_VALUE"""),"[""bag_buff"",""buff_city""]")</f>
        <v>["bag_buff","buff_city"]</v>
      </c>
      <c r="R133" s="148" t="str">
        <f>IFERROR(__xludf.DUMMYFUNCTION("""COMPUTED_VALUE"""),"[""bag"",""buff_city""]")</f>
        <v>["bag","buff_city"]</v>
      </c>
      <c r="S133" s="148" t="str">
        <f>IFERROR(__xludf.DUMMYFUNCTION("""COMPUTED_VALUE"""),"{""effect"":[{""typ"":""buff"",""id"":12113003,""val"":86400000,""arg1"":0.1}]}")</f>
        <v>{"effect":[{"typ":"buff","id":12113003,"val":86400000,"arg1":0.1}]}</v>
      </c>
      <c r="T133" s="148">
        <f>IFERROR(__xludf.DUMMYFUNCTION("""COMPUTED_VALUE"""),-1.0)</f>
        <v>-1</v>
      </c>
      <c r="U133" s="148">
        <f>IFERROR(__xludf.DUMMYFUNCTION("""COMPUTED_VALUE"""),0.0)</f>
        <v>0</v>
      </c>
      <c r="V133" s="148" t="str">
        <f>IFERROR(__xludf.DUMMYFUNCTION("""COMPUTED_VALUE"""),"[]")</f>
        <v>[]</v>
      </c>
      <c r="W133" s="148">
        <f>IFERROR(__xludf.DUMMYFUNCTION("""COMPUTED_VALUE"""),1.1741004E7)</f>
        <v>11741004</v>
      </c>
      <c r="X133" s="148">
        <f>IFERROR(__xludf.DUMMYFUNCTION("""COMPUTED_VALUE"""),0.0)</f>
        <v>0</v>
      </c>
      <c r="Y133" s="148">
        <f>IFERROR(__xludf.DUMMYFUNCTION("""COMPUTED_VALUE"""),0.0)</f>
        <v>0</v>
      </c>
      <c r="Z133" s="148"/>
    </row>
    <row r="134">
      <c r="A134" s="148">
        <f>IFERROR(__xludf.DUMMYFUNCTION("""COMPUTED_VALUE"""),1.1111215E7)</f>
        <v>11111215</v>
      </c>
      <c r="B134" s="148" t="str">
        <f>IFERROR(__xludf.DUMMYFUNCTION("""COMPUTED_VALUE"""),"反侦察12小时")</f>
        <v>反侦察12小时</v>
      </c>
      <c r="C134" s="148"/>
      <c r="D134" s="148" t="str">
        <f>IFERROR(__xludf.DUMMYFUNCTION("""COMPUTED_VALUE"""),"item_buff")</f>
        <v>item_buff</v>
      </c>
      <c r="E134" s="148">
        <f>IFERROR(__xludf.DUMMYFUNCTION("""COMPUTED_VALUE"""),11.0)</f>
        <v>11</v>
      </c>
      <c r="F134" s="148">
        <f>IFERROR(__xludf.DUMMYFUNCTION("""COMPUTED_VALUE"""),308301.0)</f>
        <v>308301</v>
      </c>
      <c r="G134" s="148">
        <f>IFERROR(__xludf.DUMMYFUNCTION("""COMPUTED_VALUE"""),1.5112581E7)</f>
        <v>15112581</v>
      </c>
      <c r="H134" s="148">
        <f>IFERROR(__xludf.DUMMYFUNCTION("""COMPUTED_VALUE"""),1.5112562E7)</f>
        <v>15112562</v>
      </c>
      <c r="I134" s="148" t="str">
        <f>IFERROR(__xludf.DUMMYFUNCTION("""COMPUTED_VALUE"""),"{""typ"":""lc"",""txt"":""LC_ITEM_time_h_upper_show"",""args"":[{""typ"":""int"",""val"":12}]}")</f>
        <v>{"typ":"lc","txt":"LC_ITEM_time_h_upper_show","args":[{"typ":"int","val":12}]}</v>
      </c>
      <c r="J134" s="148" t="str">
        <f>IFERROR(__xludf.DUMMYFUNCTION("""COMPUTED_VALUE"""),"{""typ"":""lc"",""txt"":""LC_ITEM_item_no_scout_name"",""args"":[{""typ"":""int"",""val"":12}]}")</f>
        <v>{"typ":"lc","txt":"LC_ITEM_item_no_scout_name","args":[{"typ":"int","val":12}]}</v>
      </c>
      <c r="K134" s="148" t="str">
        <f>IFERROR(__xludf.DUMMYFUNCTION("""COMPUTED_VALUE"""),"{""typ"":""lc"",""txt"":""LC_ITEM_item_no_scout_desc"",""args"":[{""typ"":""int"",""val"":12}]}")</f>
        <v>{"typ":"lc","txt":"LC_ITEM_item_no_scout_desc","args":[{"typ":"int","val":12}]}</v>
      </c>
      <c r="L134" s="148" t="str">
        <f>IFERROR(__xludf.DUMMYFUNCTION("""COMPUTED_VALUE"""),"{""typ"":""lc"",""txt"":""LC_ITEM_item_no_scout_usedtip"",""args"":[{""typ"":""int"",""val"":12}]}")</f>
        <v>{"typ":"lc","txt":"LC_ITEM_item_no_scout_usedtip","args":[{"typ":"int","val":12}]}</v>
      </c>
      <c r="M134" s="148">
        <f>IFERROR(__xludf.DUMMYFUNCTION("""COMPUTED_VALUE"""),300.0)</f>
        <v>300</v>
      </c>
      <c r="N134" s="148">
        <f>IFERROR(__xludf.DUMMYFUNCTION("""COMPUTED_VALUE"""),999999.0)</f>
        <v>999999</v>
      </c>
      <c r="O134" s="148">
        <f>IFERROR(__xludf.DUMMYFUNCTION("""COMPUTED_VALUE"""),99999.0)</f>
        <v>99999</v>
      </c>
      <c r="P134" s="148">
        <f>IFERROR(__xludf.DUMMYFUNCTION("""COMPUTED_VALUE"""),1.0)</f>
        <v>1</v>
      </c>
      <c r="Q134" s="148" t="str">
        <f>IFERROR(__xludf.DUMMYFUNCTION("""COMPUTED_VALUE"""),"[""bag_buff"",""buff_city""]")</f>
        <v>["bag_buff","buff_city"]</v>
      </c>
      <c r="R134" s="148" t="str">
        <f>IFERROR(__xludf.DUMMYFUNCTION("""COMPUTED_VALUE"""),"[""bag"",""buff_city""]")</f>
        <v>["bag","buff_city"]</v>
      </c>
      <c r="S134" s="148" t="str">
        <f>IFERROR(__xludf.DUMMYFUNCTION("""COMPUTED_VALUE"""),"{""effect"":[{""typ"":""buff"",""id"":12113005,""val"":43200000,""arg1"":1}]}")</f>
        <v>{"effect":[{"typ":"buff","id":12113005,"val":43200000,"arg1":1}]}</v>
      </c>
      <c r="T134" s="148">
        <f>IFERROR(__xludf.DUMMYFUNCTION("""COMPUTED_VALUE"""),-1.0)</f>
        <v>-1</v>
      </c>
      <c r="U134" s="148">
        <f>IFERROR(__xludf.DUMMYFUNCTION("""COMPUTED_VALUE"""),0.0)</f>
        <v>0</v>
      </c>
      <c r="V134" s="148" t="str">
        <f>IFERROR(__xludf.DUMMYFUNCTION("""COMPUTED_VALUE"""),"[]")</f>
        <v>[]</v>
      </c>
      <c r="W134" s="148">
        <f>IFERROR(__xludf.DUMMYFUNCTION("""COMPUTED_VALUE"""),1.1741004E7)</f>
        <v>11741004</v>
      </c>
      <c r="X134" s="148">
        <f>IFERROR(__xludf.DUMMYFUNCTION("""COMPUTED_VALUE"""),0.0)</f>
        <v>0</v>
      </c>
      <c r="Y134" s="148">
        <f>IFERROR(__xludf.DUMMYFUNCTION("""COMPUTED_VALUE"""),0.0)</f>
        <v>0</v>
      </c>
      <c r="Z134" s="148"/>
    </row>
    <row r="135">
      <c r="A135" s="148">
        <f>IFERROR(__xludf.DUMMYFUNCTION("""COMPUTED_VALUE"""),1.1111216E7)</f>
        <v>11111216</v>
      </c>
      <c r="B135" s="148" t="str">
        <f>IFERROR(__xludf.DUMMYFUNCTION("""COMPUTED_VALUE"""),"反侦察24小时")</f>
        <v>反侦察24小时</v>
      </c>
      <c r="C135" s="148"/>
      <c r="D135" s="148" t="str">
        <f>IFERROR(__xludf.DUMMYFUNCTION("""COMPUTED_VALUE"""),"item_buff")</f>
        <v>item_buff</v>
      </c>
      <c r="E135" s="148">
        <f>IFERROR(__xludf.DUMMYFUNCTION("""COMPUTED_VALUE"""),11.0)</f>
        <v>11</v>
      </c>
      <c r="F135" s="148">
        <f>IFERROR(__xludf.DUMMYFUNCTION("""COMPUTED_VALUE"""),308402.0)</f>
        <v>308402</v>
      </c>
      <c r="G135" s="148">
        <f>IFERROR(__xludf.DUMMYFUNCTION("""COMPUTED_VALUE"""),1.5112581E7)</f>
        <v>15112581</v>
      </c>
      <c r="H135" s="148">
        <f>IFERROR(__xludf.DUMMYFUNCTION("""COMPUTED_VALUE"""),1.5112563E7)</f>
        <v>15112563</v>
      </c>
      <c r="I135" s="148" t="str">
        <f>IFERROR(__xludf.DUMMYFUNCTION("""COMPUTED_VALUE"""),"{""typ"":""lc"",""txt"":""LC_ITEM_time_h_upper_show"",""args"":[{""typ"":""int"",""val"":24}]}")</f>
        <v>{"typ":"lc","txt":"LC_ITEM_time_h_upper_show","args":[{"typ":"int","val":24}]}</v>
      </c>
      <c r="J135" s="148" t="str">
        <f>IFERROR(__xludf.DUMMYFUNCTION("""COMPUTED_VALUE"""),"{""typ"":""lc"",""txt"":""LC_ITEM_item_no_scout_name"",""args"":[{""typ"":""int"",""val"":24}]}")</f>
        <v>{"typ":"lc","txt":"LC_ITEM_item_no_scout_name","args":[{"typ":"int","val":24}]}</v>
      </c>
      <c r="K135" s="148" t="str">
        <f>IFERROR(__xludf.DUMMYFUNCTION("""COMPUTED_VALUE"""),"{""typ"":""lc"",""txt"":""LC_ITEM_item_no_scout_desc"",""args"":[{""typ"":""int"",""val"":24}]}")</f>
        <v>{"typ":"lc","txt":"LC_ITEM_item_no_scout_desc","args":[{"typ":"int","val":24}]}</v>
      </c>
      <c r="L135" s="148" t="str">
        <f>IFERROR(__xludf.DUMMYFUNCTION("""COMPUTED_VALUE"""),"{""typ"":""lc"",""txt"":""LC_ITEM_item_no_scout_usedtip"",""args"":[{""typ"":""int"",""val"":24}]}")</f>
        <v>{"typ":"lc","txt":"LC_ITEM_item_no_scout_usedtip","args":[{"typ":"int","val":24}]}</v>
      </c>
      <c r="M135" s="148">
        <f>IFERROR(__xludf.DUMMYFUNCTION("""COMPUTED_VALUE"""),500.0)</f>
        <v>500</v>
      </c>
      <c r="N135" s="148">
        <f>IFERROR(__xludf.DUMMYFUNCTION("""COMPUTED_VALUE"""),999999.0)</f>
        <v>999999</v>
      </c>
      <c r="O135" s="148">
        <f>IFERROR(__xludf.DUMMYFUNCTION("""COMPUTED_VALUE"""),99999.0)</f>
        <v>99999</v>
      </c>
      <c r="P135" s="148">
        <f>IFERROR(__xludf.DUMMYFUNCTION("""COMPUTED_VALUE"""),1.0)</f>
        <v>1</v>
      </c>
      <c r="Q135" s="148" t="str">
        <f>IFERROR(__xludf.DUMMYFUNCTION("""COMPUTED_VALUE"""),"[""bag_buff"",""buff_city""]")</f>
        <v>["bag_buff","buff_city"]</v>
      </c>
      <c r="R135" s="148" t="str">
        <f>IFERROR(__xludf.DUMMYFUNCTION("""COMPUTED_VALUE"""),"[""bag"",""buff_city""]")</f>
        <v>["bag","buff_city"]</v>
      </c>
      <c r="S135" s="148" t="str">
        <f>IFERROR(__xludf.DUMMYFUNCTION("""COMPUTED_VALUE"""),"{""effect"":[{""typ"":""buff"",""id"":12113005,""val"":86400000,""arg1"":1}]}")</f>
        <v>{"effect":[{"typ":"buff","id":12113005,"val":86400000,"arg1":1}]}</v>
      </c>
      <c r="T135" s="148">
        <f>IFERROR(__xludf.DUMMYFUNCTION("""COMPUTED_VALUE"""),-1.0)</f>
        <v>-1</v>
      </c>
      <c r="U135" s="148">
        <f>IFERROR(__xludf.DUMMYFUNCTION("""COMPUTED_VALUE"""),0.0)</f>
        <v>0</v>
      </c>
      <c r="V135" s="148" t="str">
        <f>IFERROR(__xludf.DUMMYFUNCTION("""COMPUTED_VALUE"""),"[]")</f>
        <v>[]</v>
      </c>
      <c r="W135" s="148">
        <f>IFERROR(__xludf.DUMMYFUNCTION("""COMPUTED_VALUE"""),1.1741004E7)</f>
        <v>11741004</v>
      </c>
      <c r="X135" s="148">
        <f>IFERROR(__xludf.DUMMYFUNCTION("""COMPUTED_VALUE"""),0.0)</f>
        <v>0</v>
      </c>
      <c r="Y135" s="148">
        <f>IFERROR(__xludf.DUMMYFUNCTION("""COMPUTED_VALUE"""),0.0)</f>
        <v>0</v>
      </c>
      <c r="Z135" s="148"/>
    </row>
    <row r="136">
      <c r="A136" s="148">
        <f>IFERROR(__xludf.DUMMYFUNCTION("""COMPUTED_VALUE"""),1.1111217E7)</f>
        <v>11111217</v>
      </c>
      <c r="B136" s="148" t="str">
        <f>IFERROR(__xludf.DUMMYFUNCTION("""COMPUTED_VALUE"""),"反侦察7天")</f>
        <v>反侦察7天</v>
      </c>
      <c r="C136" s="148"/>
      <c r="D136" s="148" t="str">
        <f>IFERROR(__xludf.DUMMYFUNCTION("""COMPUTED_VALUE"""),"item_buff")</f>
        <v>item_buff</v>
      </c>
      <c r="E136" s="148">
        <f>IFERROR(__xludf.DUMMYFUNCTION("""COMPUTED_VALUE"""),11.0)</f>
        <v>11</v>
      </c>
      <c r="F136" s="148">
        <f>IFERROR(__xludf.DUMMYFUNCTION("""COMPUTED_VALUE"""),308503.0)</f>
        <v>308503</v>
      </c>
      <c r="G136" s="148">
        <f>IFERROR(__xludf.DUMMYFUNCTION("""COMPUTED_VALUE"""),1.5112581E7)</f>
        <v>15112581</v>
      </c>
      <c r="H136" s="148">
        <f>IFERROR(__xludf.DUMMYFUNCTION("""COMPUTED_VALUE"""),1.5112564E7)</f>
        <v>15112564</v>
      </c>
      <c r="I136" s="148" t="str">
        <f>IFERROR(__xludf.DUMMYFUNCTION("""COMPUTED_VALUE"""),"{""typ"":""lc"",""txt"":""LC_ITEM_time_day_upper_show"",""args"":[{""typ"":""int"",""val"":7}]}")</f>
        <v>{"typ":"lc","txt":"LC_ITEM_time_day_upper_show","args":[{"typ":"int","val":7}]}</v>
      </c>
      <c r="J136" s="148" t="str">
        <f>IFERROR(__xludf.DUMMYFUNCTION("""COMPUTED_VALUE"""),"{""typ"":""lc"",""txt"":""LC_ITEM_item_no_scout2_name"",""args"":[{""typ"":""int"",""val"":7}]}")</f>
        <v>{"typ":"lc","txt":"LC_ITEM_item_no_scout2_name","args":[{"typ":"int","val":7}]}</v>
      </c>
      <c r="K136" s="148" t="str">
        <f>IFERROR(__xludf.DUMMYFUNCTION("""COMPUTED_VALUE"""),"{""typ"":""lc"",""txt"":""LC_ITEM_item_no_scout2_desc"",""args"":[{""typ"":""int"",""val"":7}]}")</f>
        <v>{"typ":"lc","txt":"LC_ITEM_item_no_scout2_desc","args":[{"typ":"int","val":7}]}</v>
      </c>
      <c r="L136" s="148" t="str">
        <f>IFERROR(__xludf.DUMMYFUNCTION("""COMPUTED_VALUE"""),"{""typ"":""lc"",""txt"":""LC_ITEM_item_no_scout2_usedtip"",""args"":[{""typ"":""int"",""val"":7}]}")</f>
        <v>{"typ":"lc","txt":"LC_ITEM_item_no_scout2_usedtip","args":[{"typ":"int","val":7}]}</v>
      </c>
      <c r="M136" s="148">
        <f>IFERROR(__xludf.DUMMYFUNCTION("""COMPUTED_VALUE"""),3000.0)</f>
        <v>3000</v>
      </c>
      <c r="N136" s="148">
        <f>IFERROR(__xludf.DUMMYFUNCTION("""COMPUTED_VALUE"""),999999.0)</f>
        <v>999999</v>
      </c>
      <c r="O136" s="148">
        <f>IFERROR(__xludf.DUMMYFUNCTION("""COMPUTED_VALUE"""),99999.0)</f>
        <v>99999</v>
      </c>
      <c r="P136" s="148">
        <f>IFERROR(__xludf.DUMMYFUNCTION("""COMPUTED_VALUE"""),1.0)</f>
        <v>1</v>
      </c>
      <c r="Q136" s="148" t="str">
        <f>IFERROR(__xludf.DUMMYFUNCTION("""COMPUTED_VALUE"""),"[""bag_buff"",""buff_city""]")</f>
        <v>["bag_buff","buff_city"]</v>
      </c>
      <c r="R136" s="148" t="str">
        <f>IFERROR(__xludf.DUMMYFUNCTION("""COMPUTED_VALUE"""),"[""bag"",""buff_city""]")</f>
        <v>["bag","buff_city"]</v>
      </c>
      <c r="S136" s="148" t="str">
        <f>IFERROR(__xludf.DUMMYFUNCTION("""COMPUTED_VALUE"""),"{""effect"":[{""typ"":""buff"",""id"":12113005,""val"":604800000,""arg1"":1}]}")</f>
        <v>{"effect":[{"typ":"buff","id":12113005,"val":604800000,"arg1":1}]}</v>
      </c>
      <c r="T136" s="148">
        <f>IFERROR(__xludf.DUMMYFUNCTION("""COMPUTED_VALUE"""),-1.0)</f>
        <v>-1</v>
      </c>
      <c r="U136" s="148">
        <f>IFERROR(__xludf.DUMMYFUNCTION("""COMPUTED_VALUE"""),0.0)</f>
        <v>0</v>
      </c>
      <c r="V136" s="148" t="str">
        <f>IFERROR(__xludf.DUMMYFUNCTION("""COMPUTED_VALUE"""),"[]")</f>
        <v>[]</v>
      </c>
      <c r="W136" s="148">
        <f>IFERROR(__xludf.DUMMYFUNCTION("""COMPUTED_VALUE"""),1.1741004E7)</f>
        <v>11741004</v>
      </c>
      <c r="X136" s="148">
        <f>IFERROR(__xludf.DUMMYFUNCTION("""COMPUTED_VALUE"""),0.0)</f>
        <v>0</v>
      </c>
      <c r="Y136" s="148">
        <f>IFERROR(__xludf.DUMMYFUNCTION("""COMPUTED_VALUE"""),0.0)</f>
        <v>0</v>
      </c>
      <c r="Z136" s="148"/>
    </row>
    <row r="137">
      <c r="A137" s="148">
        <f>IFERROR(__xludf.DUMMYFUNCTION("""COMPUTED_VALUE"""),1.1111218E7)</f>
        <v>11111218</v>
      </c>
      <c r="B137" s="148" t="str">
        <f>IFERROR(__xludf.DUMMYFUNCTION("""COMPUTED_VALUE"""),"4小时军队扩编25%")</f>
        <v>4小时军队扩编25%</v>
      </c>
      <c r="C137" s="148"/>
      <c r="D137" s="148" t="str">
        <f>IFERROR(__xludf.DUMMYFUNCTION("""COMPUTED_VALUE"""),"item_buff")</f>
        <v>item_buff</v>
      </c>
      <c r="E137" s="148">
        <f>IFERROR(__xludf.DUMMYFUNCTION("""COMPUTED_VALUE"""),11.0)</f>
        <v>11</v>
      </c>
      <c r="F137" s="148">
        <f>IFERROR(__xludf.DUMMYFUNCTION("""COMPUTED_VALUE"""),305502.0)</f>
        <v>305502</v>
      </c>
      <c r="G137" s="148">
        <f>IFERROR(__xludf.DUMMYFUNCTION("""COMPUTED_VALUE"""),1.5112575E7)</f>
        <v>15112575</v>
      </c>
      <c r="H137" s="148">
        <f>IFERROR(__xludf.DUMMYFUNCTION("""COMPUTED_VALUE"""),1.5112564E7)</f>
        <v>15112564</v>
      </c>
      <c r="I137" s="148" t="str">
        <f>IFERROR(__xludf.DUMMYFUNCTION("""COMPUTED_VALUE"""),"{""typ"":""lc"",""txt"":""LC_ITEM_time_h_upper_show"",""args"":[{""typ"":""int"",""val"":4}]}")</f>
        <v>{"typ":"lc","txt":"LC_ITEM_time_h_upper_show","args":[{"typ":"int","val":4}]}</v>
      </c>
      <c r="J137" s="148" t="str">
        <f>IFERROR(__xludf.DUMMYFUNCTION("""COMPUTED_VALUE"""),"{""typ"":""lc"",""txt"":""LC_ITEM_item_troops_capacity1_name"",""args"":[{""typ"":""int"",""val"":4}]}")</f>
        <v>{"typ":"lc","txt":"LC_ITEM_item_troops_capacity1_name","args":[{"typ":"int","val":4}]}</v>
      </c>
      <c r="K137" s="148" t="str">
        <f>IFERROR(__xludf.DUMMYFUNCTION("""COMPUTED_VALUE"""),"{""typ"":""lc"",""txt"":""LC_ITEM_item_troops_capacity1_desc"",""args"":[{""typ"":""int"",""val"":4}]}")</f>
        <v>{"typ":"lc","txt":"LC_ITEM_item_troops_capacity1_desc","args":[{"typ":"int","val":4}]}</v>
      </c>
      <c r="L137" s="148" t="str">
        <f>IFERROR(__xludf.DUMMYFUNCTION("""COMPUTED_VALUE"""),"{""typ"":""lc"",""txt"":""LC_ITEM_item_troops_capacity1_usedtip"",""args"":[{""typ"":""int"",""val"":4}]}")</f>
        <v>{"typ":"lc","txt":"LC_ITEM_item_troops_capacity1_usedtip","args":[{"typ":"int","val":4}]}</v>
      </c>
      <c r="M137" s="148">
        <f>IFERROR(__xludf.DUMMYFUNCTION("""COMPUTED_VALUE"""),2000.0)</f>
        <v>2000</v>
      </c>
      <c r="N137" s="148">
        <f>IFERROR(__xludf.DUMMYFUNCTION("""COMPUTED_VALUE"""),999999.0)</f>
        <v>999999</v>
      </c>
      <c r="O137" s="148">
        <f>IFERROR(__xludf.DUMMYFUNCTION("""COMPUTED_VALUE"""),99999.0)</f>
        <v>99999</v>
      </c>
      <c r="P137" s="148">
        <f>IFERROR(__xludf.DUMMYFUNCTION("""COMPUTED_VALUE"""),1.0)</f>
        <v>1</v>
      </c>
      <c r="Q137" s="148" t="str">
        <f>IFERROR(__xludf.DUMMYFUNCTION("""COMPUTED_VALUE"""),"[""bag_buff"",""buff_city""]")</f>
        <v>["bag_buff","buff_city"]</v>
      </c>
      <c r="R137" s="148" t="str">
        <f>IFERROR(__xludf.DUMMYFUNCTION("""COMPUTED_VALUE"""),"[""bag"",""buff_city""]")</f>
        <v>["bag","buff_city"]</v>
      </c>
      <c r="S137" s="148" t="str">
        <f>IFERROR(__xludf.DUMMYFUNCTION("""COMPUTED_VALUE"""),"{""effect"":[{""typ"":""buff"",""id"":12113007,""val"":14400000,""arg1"":0.25}]}")</f>
        <v>{"effect":[{"typ":"buff","id":12113007,"val":14400000,"arg1":0.25}]}</v>
      </c>
      <c r="T137" s="148">
        <f>IFERROR(__xludf.DUMMYFUNCTION("""COMPUTED_VALUE"""),-1.0)</f>
        <v>-1</v>
      </c>
      <c r="U137" s="148">
        <f>IFERROR(__xludf.DUMMYFUNCTION("""COMPUTED_VALUE"""),0.0)</f>
        <v>0</v>
      </c>
      <c r="V137" s="148" t="str">
        <f>IFERROR(__xludf.DUMMYFUNCTION("""COMPUTED_VALUE"""),"[]")</f>
        <v>[]</v>
      </c>
      <c r="W137" s="148">
        <f>IFERROR(__xludf.DUMMYFUNCTION("""COMPUTED_VALUE"""),1.1741004E7)</f>
        <v>11741004</v>
      </c>
      <c r="X137" s="148">
        <f>IFERROR(__xludf.DUMMYFUNCTION("""COMPUTED_VALUE"""),0.0)</f>
        <v>0</v>
      </c>
      <c r="Y137" s="148">
        <f>IFERROR(__xludf.DUMMYFUNCTION("""COMPUTED_VALUE"""),0.0)</f>
        <v>0</v>
      </c>
      <c r="Z137" s="148"/>
    </row>
    <row r="138">
      <c r="A138" s="148">
        <f>IFERROR(__xludf.DUMMYFUNCTION("""COMPUTED_VALUE"""),1.1111219E7)</f>
        <v>11111219</v>
      </c>
      <c r="B138" s="148" t="str">
        <f>IFERROR(__xludf.DUMMYFUNCTION("""COMPUTED_VALUE"""),"4小时军队扩编50%")</f>
        <v>4小时军队扩编50%</v>
      </c>
      <c r="C138" s="148"/>
      <c r="D138" s="148" t="str">
        <f>IFERROR(__xludf.DUMMYFUNCTION("""COMPUTED_VALUE"""),"item_buff")</f>
        <v>item_buff</v>
      </c>
      <c r="E138" s="148">
        <f>IFERROR(__xludf.DUMMYFUNCTION("""COMPUTED_VALUE"""),11.0)</f>
        <v>11</v>
      </c>
      <c r="F138" s="148">
        <f>IFERROR(__xludf.DUMMYFUNCTION("""COMPUTED_VALUE"""),305503.0)</f>
        <v>305503</v>
      </c>
      <c r="G138" s="148">
        <f>IFERROR(__xludf.DUMMYFUNCTION("""COMPUTED_VALUE"""),1.5112575E7)</f>
        <v>15112575</v>
      </c>
      <c r="H138" s="148">
        <f>IFERROR(__xludf.DUMMYFUNCTION("""COMPUTED_VALUE"""),1.5112564E7)</f>
        <v>15112564</v>
      </c>
      <c r="I138" s="148" t="str">
        <f>IFERROR(__xludf.DUMMYFUNCTION("""COMPUTED_VALUE"""),"{""typ"":""lc"",""txt"":""LC_ITEM_time_h_upper_show"",""args"":[{""typ"":""int"",""val"":4}]}")</f>
        <v>{"typ":"lc","txt":"LC_ITEM_time_h_upper_show","args":[{"typ":"int","val":4}]}</v>
      </c>
      <c r="J138" s="148" t="str">
        <f>IFERROR(__xludf.DUMMYFUNCTION("""COMPUTED_VALUE"""),"{""typ"":""lc"",""txt"":""LC_ITEM_item_troops_capacity2_name"",""args"":[{""typ"":""int"",""val"":4}]}")</f>
        <v>{"typ":"lc","txt":"LC_ITEM_item_troops_capacity2_name","args":[{"typ":"int","val":4}]}</v>
      </c>
      <c r="K138" s="148" t="str">
        <f>IFERROR(__xludf.DUMMYFUNCTION("""COMPUTED_VALUE"""),"{""typ"":""lc"",""txt"":""LC_ITEM_item_troops_capacity2_desc"",""args"":[{""typ"":""int"",""val"":4}]}")</f>
        <v>{"typ":"lc","txt":"LC_ITEM_item_troops_capacity2_desc","args":[{"typ":"int","val":4}]}</v>
      </c>
      <c r="L138" s="148" t="str">
        <f>IFERROR(__xludf.DUMMYFUNCTION("""COMPUTED_VALUE"""),"{""typ"":""lc"",""txt"":""LC_ITEM_item_troops_capacity2_usedtip"",""args"":[{""typ"":""int"",""val"":4}]}")</f>
        <v>{"typ":"lc","txt":"LC_ITEM_item_troops_capacity2_usedtip","args":[{"typ":"int","val":4}]}</v>
      </c>
      <c r="M138" s="148">
        <f>IFERROR(__xludf.DUMMYFUNCTION("""COMPUTED_VALUE"""),5000.0)</f>
        <v>5000</v>
      </c>
      <c r="N138" s="148">
        <f>IFERROR(__xludf.DUMMYFUNCTION("""COMPUTED_VALUE"""),999999.0)</f>
        <v>999999</v>
      </c>
      <c r="O138" s="148">
        <f>IFERROR(__xludf.DUMMYFUNCTION("""COMPUTED_VALUE"""),99999.0)</f>
        <v>99999</v>
      </c>
      <c r="P138" s="148">
        <f>IFERROR(__xludf.DUMMYFUNCTION("""COMPUTED_VALUE"""),1.0)</f>
        <v>1</v>
      </c>
      <c r="Q138" s="148" t="str">
        <f>IFERROR(__xludf.DUMMYFUNCTION("""COMPUTED_VALUE"""),"[""bag_buff"",""buff_city""]")</f>
        <v>["bag_buff","buff_city"]</v>
      </c>
      <c r="R138" s="148" t="str">
        <f>IFERROR(__xludf.DUMMYFUNCTION("""COMPUTED_VALUE"""),"[""bag"",""buff_city""]")</f>
        <v>["bag","buff_city"]</v>
      </c>
      <c r="S138" s="148" t="str">
        <f>IFERROR(__xludf.DUMMYFUNCTION("""COMPUTED_VALUE"""),"{""effect"":[{""typ"":""buff"",""id"":12113007,""val"":14400000,""arg1"":0.5}]}")</f>
        <v>{"effect":[{"typ":"buff","id":12113007,"val":14400000,"arg1":0.5}]}</v>
      </c>
      <c r="T138" s="148">
        <f>IFERROR(__xludf.DUMMYFUNCTION("""COMPUTED_VALUE"""),-1.0)</f>
        <v>-1</v>
      </c>
      <c r="U138" s="148">
        <f>IFERROR(__xludf.DUMMYFUNCTION("""COMPUTED_VALUE"""),0.0)</f>
        <v>0</v>
      </c>
      <c r="V138" s="148" t="str">
        <f>IFERROR(__xludf.DUMMYFUNCTION("""COMPUTED_VALUE"""),"[]")</f>
        <v>[]</v>
      </c>
      <c r="W138" s="148">
        <f>IFERROR(__xludf.DUMMYFUNCTION("""COMPUTED_VALUE"""),1.1741004E7)</f>
        <v>11741004</v>
      </c>
      <c r="X138" s="148">
        <f>IFERROR(__xludf.DUMMYFUNCTION("""COMPUTED_VALUE"""),0.0)</f>
        <v>0</v>
      </c>
      <c r="Y138" s="148">
        <f>IFERROR(__xludf.DUMMYFUNCTION("""COMPUTED_VALUE"""),0.0)</f>
        <v>0</v>
      </c>
      <c r="Z138" s="148"/>
    </row>
    <row r="139">
      <c r="A139" s="148">
        <f>IFERROR(__xludf.DUMMYFUNCTION("""COMPUTED_VALUE"""),1.111122E7)</f>
        <v>11111220</v>
      </c>
      <c r="B139" s="148" t="str">
        <f>IFERROR(__xludf.DUMMYFUNCTION("""COMPUTED_VALUE"""),"欺骗部队8小时")</f>
        <v>欺骗部队8小时</v>
      </c>
      <c r="C139" s="148"/>
      <c r="D139" s="148" t="str">
        <f>IFERROR(__xludf.DUMMYFUNCTION("""COMPUTED_VALUE"""),"item_buff")</f>
        <v>item_buff</v>
      </c>
      <c r="E139" s="148">
        <f>IFERROR(__xludf.DUMMYFUNCTION("""COMPUTED_VALUE"""),11.0)</f>
        <v>11</v>
      </c>
      <c r="F139" s="148">
        <f>IFERROR(__xludf.DUMMYFUNCTION("""COMPUTED_VALUE"""),309301.0)</f>
        <v>309301</v>
      </c>
      <c r="G139" s="148">
        <f>IFERROR(__xludf.DUMMYFUNCTION("""COMPUTED_VALUE"""),1.5112571E7)</f>
        <v>15112571</v>
      </c>
      <c r="H139" s="148">
        <f>IFERROR(__xludf.DUMMYFUNCTION("""COMPUTED_VALUE"""),1.5112562E7)</f>
        <v>15112562</v>
      </c>
      <c r="I139" s="148" t="str">
        <f>IFERROR(__xludf.DUMMYFUNCTION("""COMPUTED_VALUE"""),"{""typ"":""lc"",""txt"":""LC_ITEM_time_h_upper_show"",""args"":[{""typ"":""int"",""val"":8}]}")</f>
        <v>{"typ":"lc","txt":"LC_ITEM_time_h_upper_show","args":[{"typ":"int","val":8}]}</v>
      </c>
      <c r="J139" s="148" t="str">
        <f>IFERROR(__xludf.DUMMYFUNCTION("""COMPUTED_VALUE"""),"{""typ"":""lc"",""txt"":""LC_ITEM_item_troops_mirror_name"",""args"":[{""typ"":""int"",""val"":8}]}")</f>
        <v>{"typ":"lc","txt":"LC_ITEM_item_troops_mirror_name","args":[{"typ":"int","val":8}]}</v>
      </c>
      <c r="K139" s="148" t="str">
        <f>IFERROR(__xludf.DUMMYFUNCTION("""COMPUTED_VALUE"""),"{""typ"":""lc"",""txt"":""LC_ITEM_item_troops_mirror_desc"",""args"":[{""typ"":""int"",""val"":8}]}")</f>
        <v>{"typ":"lc","txt":"LC_ITEM_item_troops_mirror_desc","args":[{"typ":"int","val":8}]}</v>
      </c>
      <c r="L139" s="148" t="str">
        <f>IFERROR(__xludf.DUMMYFUNCTION("""COMPUTED_VALUE"""),"{""typ"":""lc"",""txt"":""LC_ITEM_item_troops_mirror_usedtip"",""args"":[{""typ"":""int"",""val"":8}]}")</f>
        <v>{"typ":"lc","txt":"LC_ITEM_item_troops_mirror_usedtip","args":[{"typ":"int","val":8}]}</v>
      </c>
      <c r="M139" s="148">
        <f>IFERROR(__xludf.DUMMYFUNCTION("""COMPUTED_VALUE"""),200.0)</f>
        <v>200</v>
      </c>
      <c r="N139" s="148">
        <f>IFERROR(__xludf.DUMMYFUNCTION("""COMPUTED_VALUE"""),999999.0)</f>
        <v>999999</v>
      </c>
      <c r="O139" s="148">
        <f>IFERROR(__xludf.DUMMYFUNCTION("""COMPUTED_VALUE"""),99999.0)</f>
        <v>99999</v>
      </c>
      <c r="P139" s="148">
        <f>IFERROR(__xludf.DUMMYFUNCTION("""COMPUTED_VALUE"""),1.0)</f>
        <v>1</v>
      </c>
      <c r="Q139" s="148" t="str">
        <f>IFERROR(__xludf.DUMMYFUNCTION("""COMPUTED_VALUE"""),"[""bag_buff"",""buff_city""]")</f>
        <v>["bag_buff","buff_city"]</v>
      </c>
      <c r="R139" s="148" t="str">
        <f>IFERROR(__xludf.DUMMYFUNCTION("""COMPUTED_VALUE"""),"[""bag"",""buff_city""]")</f>
        <v>["bag","buff_city"]</v>
      </c>
      <c r="S139" s="148" t="str">
        <f>IFERROR(__xludf.DUMMYFUNCTION("""COMPUTED_VALUE"""),"{""effect"":[{""typ"":""buff"",""id"":12113006,""val"":28800000,""arg1"":1}]}")</f>
        <v>{"effect":[{"typ":"buff","id":12113006,"val":28800000,"arg1":1}]}</v>
      </c>
      <c r="T139" s="148">
        <f>IFERROR(__xludf.DUMMYFUNCTION("""COMPUTED_VALUE"""),-1.0)</f>
        <v>-1</v>
      </c>
      <c r="U139" s="148">
        <f>IFERROR(__xludf.DUMMYFUNCTION("""COMPUTED_VALUE"""),0.0)</f>
        <v>0</v>
      </c>
      <c r="V139" s="148" t="str">
        <f>IFERROR(__xludf.DUMMYFUNCTION("""COMPUTED_VALUE"""),"[]")</f>
        <v>[]</v>
      </c>
      <c r="W139" s="148">
        <f>IFERROR(__xludf.DUMMYFUNCTION("""COMPUTED_VALUE"""),1.1741004E7)</f>
        <v>11741004</v>
      </c>
      <c r="X139" s="148">
        <f>IFERROR(__xludf.DUMMYFUNCTION("""COMPUTED_VALUE"""),0.0)</f>
        <v>0</v>
      </c>
      <c r="Y139" s="148">
        <f>IFERROR(__xludf.DUMMYFUNCTION("""COMPUTED_VALUE"""),0.0)</f>
        <v>0</v>
      </c>
      <c r="Z139" s="148"/>
    </row>
    <row r="140">
      <c r="A140" s="148">
        <f>IFERROR(__xludf.DUMMYFUNCTION("""COMPUTED_VALUE"""),1.1111221E7)</f>
        <v>11111221</v>
      </c>
      <c r="B140" s="148" t="str">
        <f>IFERROR(__xludf.DUMMYFUNCTION("""COMPUTED_VALUE"""),"欺骗部队24小时")</f>
        <v>欺骗部队24小时</v>
      </c>
      <c r="C140" s="148"/>
      <c r="D140" s="148" t="str">
        <f>IFERROR(__xludf.DUMMYFUNCTION("""COMPUTED_VALUE"""),"item_buff")</f>
        <v>item_buff</v>
      </c>
      <c r="E140" s="148">
        <f>IFERROR(__xludf.DUMMYFUNCTION("""COMPUTED_VALUE"""),11.0)</f>
        <v>11</v>
      </c>
      <c r="F140" s="148">
        <f>IFERROR(__xludf.DUMMYFUNCTION("""COMPUTED_VALUE"""),309402.0)</f>
        <v>309402</v>
      </c>
      <c r="G140" s="148">
        <f>IFERROR(__xludf.DUMMYFUNCTION("""COMPUTED_VALUE"""),1.5112571E7)</f>
        <v>15112571</v>
      </c>
      <c r="H140" s="148">
        <f>IFERROR(__xludf.DUMMYFUNCTION("""COMPUTED_VALUE"""),1.5112563E7)</f>
        <v>15112563</v>
      </c>
      <c r="I140" s="148" t="str">
        <f>IFERROR(__xludf.DUMMYFUNCTION("""COMPUTED_VALUE"""),"{""typ"":""lc"",""txt"":""LC_ITEM_time_h_upper_show"",""args"":[{""typ"":""int"",""val"":24}]}")</f>
        <v>{"typ":"lc","txt":"LC_ITEM_time_h_upper_show","args":[{"typ":"int","val":24}]}</v>
      </c>
      <c r="J140" s="148" t="str">
        <f>IFERROR(__xludf.DUMMYFUNCTION("""COMPUTED_VALUE"""),"{""typ"":""lc"",""txt"":""LC_ITEM_item_troops_mirror_name"",""args"":[{""typ"":""int"",""val"":24}]}")</f>
        <v>{"typ":"lc","txt":"LC_ITEM_item_troops_mirror_name","args":[{"typ":"int","val":24}]}</v>
      </c>
      <c r="K140" s="148" t="str">
        <f>IFERROR(__xludf.DUMMYFUNCTION("""COMPUTED_VALUE"""),"{""typ"":""lc"",""txt"":""LC_ITEM_item_troops_mirror_desc"",""args"":[{""typ"":""int"",""val"":24}]}")</f>
        <v>{"typ":"lc","txt":"LC_ITEM_item_troops_mirror_desc","args":[{"typ":"int","val":24}]}</v>
      </c>
      <c r="L140" s="148" t="str">
        <f>IFERROR(__xludf.DUMMYFUNCTION("""COMPUTED_VALUE"""),"{""typ"":""lc"",""txt"":""LC_ITEM_item_troops_mirror_usedtip"",""args"":[{""typ"":""int"",""val"":24}]}")</f>
        <v>{"typ":"lc","txt":"LC_ITEM_item_troops_mirror_usedtip","args":[{"typ":"int","val":24}]}</v>
      </c>
      <c r="M140" s="148">
        <f>IFERROR(__xludf.DUMMYFUNCTION("""COMPUTED_VALUE"""),500.0)</f>
        <v>500</v>
      </c>
      <c r="N140" s="148">
        <f>IFERROR(__xludf.DUMMYFUNCTION("""COMPUTED_VALUE"""),999999.0)</f>
        <v>999999</v>
      </c>
      <c r="O140" s="148">
        <f>IFERROR(__xludf.DUMMYFUNCTION("""COMPUTED_VALUE"""),99999.0)</f>
        <v>99999</v>
      </c>
      <c r="P140" s="148">
        <f>IFERROR(__xludf.DUMMYFUNCTION("""COMPUTED_VALUE"""),1.0)</f>
        <v>1</v>
      </c>
      <c r="Q140" s="148" t="str">
        <f>IFERROR(__xludf.DUMMYFUNCTION("""COMPUTED_VALUE"""),"[""bag_buff"",""buff_city""]")</f>
        <v>["bag_buff","buff_city"]</v>
      </c>
      <c r="R140" s="148" t="str">
        <f>IFERROR(__xludf.DUMMYFUNCTION("""COMPUTED_VALUE"""),"[""bag"",""buff_city""]")</f>
        <v>["bag","buff_city"]</v>
      </c>
      <c r="S140" s="148" t="str">
        <f>IFERROR(__xludf.DUMMYFUNCTION("""COMPUTED_VALUE"""),"{""effect"":[{""typ"":""buff"",""id"":12113006,""val"":86400000,""arg1"":1}]}")</f>
        <v>{"effect":[{"typ":"buff","id":12113006,"val":86400000,"arg1":1}]}</v>
      </c>
      <c r="T140" s="148">
        <f>IFERROR(__xludf.DUMMYFUNCTION("""COMPUTED_VALUE"""),-1.0)</f>
        <v>-1</v>
      </c>
      <c r="U140" s="148">
        <f>IFERROR(__xludf.DUMMYFUNCTION("""COMPUTED_VALUE"""),0.0)</f>
        <v>0</v>
      </c>
      <c r="V140" s="148" t="str">
        <f>IFERROR(__xludf.DUMMYFUNCTION("""COMPUTED_VALUE"""),"[]")</f>
        <v>[]</v>
      </c>
      <c r="W140" s="148">
        <f>IFERROR(__xludf.DUMMYFUNCTION("""COMPUTED_VALUE"""),1.1741004E7)</f>
        <v>11741004</v>
      </c>
      <c r="X140" s="148">
        <f>IFERROR(__xludf.DUMMYFUNCTION("""COMPUTED_VALUE"""),0.0)</f>
        <v>0</v>
      </c>
      <c r="Y140" s="148">
        <f>IFERROR(__xludf.DUMMYFUNCTION("""COMPUTED_VALUE"""),0.0)</f>
        <v>0</v>
      </c>
      <c r="Z140" s="148"/>
    </row>
    <row r="141">
      <c r="A141" s="148">
        <f>IFERROR(__xludf.DUMMYFUNCTION("""COMPUTED_VALUE"""),1.1111222E7)</f>
        <v>11111222</v>
      </c>
      <c r="B141" s="148" t="str">
        <f>IFERROR(__xludf.DUMMYFUNCTION("""COMPUTED_VALUE"""),"行动力100点")</f>
        <v>行动力100点</v>
      </c>
      <c r="C141" s="148"/>
      <c r="D141" s="148" t="str">
        <f>IFERROR(__xludf.DUMMYFUNCTION("""COMPUTED_VALUE"""),"item_asset")</f>
        <v>item_asset</v>
      </c>
      <c r="E141" s="148">
        <f>IFERROR(__xludf.DUMMYFUNCTION("""COMPUTED_VALUE"""),12.0)</f>
        <v>12</v>
      </c>
      <c r="F141" s="148">
        <f>IFERROR(__xludf.DUMMYFUNCTION("""COMPUTED_VALUE"""),406402.0)</f>
        <v>406402</v>
      </c>
      <c r="G141" s="148">
        <f>IFERROR(__xludf.DUMMYFUNCTION("""COMPUTED_VALUE"""),1.5112568E7)</f>
        <v>15112568</v>
      </c>
      <c r="H141" s="148">
        <f>IFERROR(__xludf.DUMMYFUNCTION("""COMPUTED_VALUE"""),1.5112561E7)</f>
        <v>15112561</v>
      </c>
      <c r="I141" s="148" t="str">
        <f>IFERROR(__xludf.DUMMYFUNCTION("""COMPUTED_VALUE"""),"{""typ"":""lc"",""txt"":""LC_ITEM_rss_upper_show"",""args"":[{""typ"":""int"",""val"":100}]}")</f>
        <v>{"typ":"lc","txt":"LC_ITEM_rss_upper_show","args":[{"typ":"int","val":100}]}</v>
      </c>
      <c r="J141" s="148" t="str">
        <f>IFERROR(__xludf.DUMMYFUNCTION("""COMPUTED_VALUE"""),"{""typ"":""lc"",""txt"":""LC_ITEM_points_recover_name"",""args"":[{""typ"":""int"",""val"":100}]}")</f>
        <v>{"typ":"lc","txt":"LC_ITEM_points_recover_name","args":[{"typ":"int","val":100}]}</v>
      </c>
      <c r="K141" s="148" t="str">
        <f>IFERROR(__xludf.DUMMYFUNCTION("""COMPUTED_VALUE"""),"{""typ"":""lc"",""txt"":""LC_ITEM_points_recover_desc"",""args"":[{""typ"":""int"",""val"":100}]}")</f>
        <v>{"typ":"lc","txt":"LC_ITEM_points_recover_desc","args":[{"typ":"int","val":100}]}</v>
      </c>
      <c r="L141" s="148" t="str">
        <f>IFERROR(__xludf.DUMMYFUNCTION("""COMPUTED_VALUE"""),"{""typ"":""lc"",""txt"":""LC_ITEM_points_recover_usedtip"",""args"":[{""typ"":""int"",""val"":100}]}")</f>
        <v>{"typ":"lc","txt":"LC_ITEM_points_recover_usedtip","args":[{"typ":"int","val":100}]}</v>
      </c>
      <c r="M141" s="148">
        <f>IFERROR(__xludf.DUMMYFUNCTION("""COMPUTED_VALUE"""),50.0)</f>
        <v>50</v>
      </c>
      <c r="N141" s="148">
        <f>IFERROR(__xludf.DUMMYFUNCTION("""COMPUTED_VALUE"""),999999.0)</f>
        <v>999999</v>
      </c>
      <c r="O141" s="148">
        <f>IFERROR(__xludf.DUMMYFUNCTION("""COMPUTED_VALUE"""),99999.0)</f>
        <v>99999</v>
      </c>
      <c r="P141" s="148">
        <f>IFERROR(__xludf.DUMMYFUNCTION("""COMPUTED_VALUE"""),99999.0)</f>
        <v>99999</v>
      </c>
      <c r="Q141" s="148" t="str">
        <f>IFERROR(__xludf.DUMMYFUNCTION("""COMPUTED_VALUE"""),"[""bag_other"",""asset_action""]")</f>
        <v>["bag_other","asset_action"]</v>
      </c>
      <c r="R141" s="148" t="str">
        <f>IFERROR(__xludf.DUMMYFUNCTION("""COMPUTED_VALUE"""),"[""bag"",""asset_action""]")</f>
        <v>["bag","asset_action"]</v>
      </c>
      <c r="S141" s="148" t="str">
        <f>IFERROR(__xludf.DUMMYFUNCTION("""COMPUTED_VALUE"""),"{""effect"":[{""typ"":""recover"",""id"":11171002,""val"":100}]}")</f>
        <v>{"effect":[{"typ":"recover","id":11171002,"val":100}]}</v>
      </c>
      <c r="T141" s="148">
        <f>IFERROR(__xludf.DUMMYFUNCTION("""COMPUTED_VALUE"""),-1.0)</f>
        <v>-1</v>
      </c>
      <c r="U141" s="148">
        <f>IFERROR(__xludf.DUMMYFUNCTION("""COMPUTED_VALUE"""),0.0)</f>
        <v>0</v>
      </c>
      <c r="V141" s="148" t="str">
        <f>IFERROR(__xludf.DUMMYFUNCTION("""COMPUTED_VALUE"""),"[]")</f>
        <v>[]</v>
      </c>
      <c r="W141" s="148">
        <f>IFERROR(__xludf.DUMMYFUNCTION("""COMPUTED_VALUE"""),1.1741004E7)</f>
        <v>11741004</v>
      </c>
      <c r="X141" s="148">
        <f>IFERROR(__xludf.DUMMYFUNCTION("""COMPUTED_VALUE"""),0.0)</f>
        <v>0</v>
      </c>
      <c r="Y141" s="148">
        <f>IFERROR(__xludf.DUMMYFUNCTION("""COMPUTED_VALUE"""),0.0)</f>
        <v>0</v>
      </c>
      <c r="Z141" s="148"/>
    </row>
    <row r="142">
      <c r="A142" s="148">
        <f>IFERROR(__xludf.DUMMYFUNCTION("""COMPUTED_VALUE"""),1.1111223E7)</f>
        <v>11111223</v>
      </c>
      <c r="B142" s="148" t="str">
        <f>IFERROR(__xludf.DUMMYFUNCTION("""COMPUTED_VALUE"""),"行动力500点")</f>
        <v>行动力500点</v>
      </c>
      <c r="C142" s="148"/>
      <c r="D142" s="148" t="str">
        <f>IFERROR(__xludf.DUMMYFUNCTION("""COMPUTED_VALUE"""),"item_asset")</f>
        <v>item_asset</v>
      </c>
      <c r="E142" s="148">
        <f>IFERROR(__xludf.DUMMYFUNCTION("""COMPUTED_VALUE"""),12.0)</f>
        <v>12</v>
      </c>
      <c r="F142" s="148">
        <f>IFERROR(__xludf.DUMMYFUNCTION("""COMPUTED_VALUE"""),406303.0)</f>
        <v>406303</v>
      </c>
      <c r="G142" s="148">
        <f>IFERROR(__xludf.DUMMYFUNCTION("""COMPUTED_VALUE"""),1.5112568E7)</f>
        <v>15112568</v>
      </c>
      <c r="H142" s="148">
        <f>IFERROR(__xludf.DUMMYFUNCTION("""COMPUTED_VALUE"""),1.5112562E7)</f>
        <v>15112562</v>
      </c>
      <c r="I142" s="148" t="str">
        <f>IFERROR(__xludf.DUMMYFUNCTION("""COMPUTED_VALUE"""),"{""typ"":""lc"",""txt"":""LC_ITEM_rss_upper_show"",""args"":[{""typ"":""int"",""val"":500}]}")</f>
        <v>{"typ":"lc","txt":"LC_ITEM_rss_upper_show","args":[{"typ":"int","val":500}]}</v>
      </c>
      <c r="J142" s="148" t="str">
        <f>IFERROR(__xludf.DUMMYFUNCTION("""COMPUTED_VALUE"""),"{""typ"":""lc"",""txt"":""LC_ITEM_points_recover_name"",""args"":[{""typ"":""int"",""val"":500}]}")</f>
        <v>{"typ":"lc","txt":"LC_ITEM_points_recover_name","args":[{"typ":"int","val":500}]}</v>
      </c>
      <c r="K142" s="148" t="str">
        <f>IFERROR(__xludf.DUMMYFUNCTION("""COMPUTED_VALUE"""),"{""typ"":""lc"",""txt"":""LC_ITEM_points_recover_desc"",""args"":[{""typ"":""int"",""val"":500}]}")</f>
        <v>{"typ":"lc","txt":"LC_ITEM_points_recover_desc","args":[{"typ":"int","val":500}]}</v>
      </c>
      <c r="L142" s="148" t="str">
        <f>IFERROR(__xludf.DUMMYFUNCTION("""COMPUTED_VALUE"""),"{""typ"":""lc"",""txt"":""LC_ITEM_points_recover_usedtip"",""args"":[{""typ"":""int"",""val"":500}]}")</f>
        <v>{"typ":"lc","txt":"LC_ITEM_points_recover_usedtip","args":[{"typ":"int","val":500}]}</v>
      </c>
      <c r="M142" s="148">
        <f>IFERROR(__xludf.DUMMYFUNCTION("""COMPUTED_VALUE"""),200.0)</f>
        <v>200</v>
      </c>
      <c r="N142" s="148">
        <f>IFERROR(__xludf.DUMMYFUNCTION("""COMPUTED_VALUE"""),999999.0)</f>
        <v>999999</v>
      </c>
      <c r="O142" s="148">
        <f>IFERROR(__xludf.DUMMYFUNCTION("""COMPUTED_VALUE"""),99999.0)</f>
        <v>99999</v>
      </c>
      <c r="P142" s="148">
        <f>IFERROR(__xludf.DUMMYFUNCTION("""COMPUTED_VALUE"""),99999.0)</f>
        <v>99999</v>
      </c>
      <c r="Q142" s="148" t="str">
        <f>IFERROR(__xludf.DUMMYFUNCTION("""COMPUTED_VALUE"""),"[""bag_other"",""asset_action""]")</f>
        <v>["bag_other","asset_action"]</v>
      </c>
      <c r="R142" s="148" t="str">
        <f>IFERROR(__xludf.DUMMYFUNCTION("""COMPUTED_VALUE"""),"[""bag"",""asset_action""]")</f>
        <v>["bag","asset_action"]</v>
      </c>
      <c r="S142" s="148" t="str">
        <f>IFERROR(__xludf.DUMMYFUNCTION("""COMPUTED_VALUE"""),"{""effect"":[{""typ"":""recover"",""id"":11171002,""val"":500}]}")</f>
        <v>{"effect":[{"typ":"recover","id":11171002,"val":500}]}</v>
      </c>
      <c r="T142" s="148">
        <f>IFERROR(__xludf.DUMMYFUNCTION("""COMPUTED_VALUE"""),-1.0)</f>
        <v>-1</v>
      </c>
      <c r="U142" s="148">
        <f>IFERROR(__xludf.DUMMYFUNCTION("""COMPUTED_VALUE"""),0.0)</f>
        <v>0</v>
      </c>
      <c r="V142" s="148" t="str">
        <f>IFERROR(__xludf.DUMMYFUNCTION("""COMPUTED_VALUE"""),"[]")</f>
        <v>[]</v>
      </c>
      <c r="W142" s="148">
        <f>IFERROR(__xludf.DUMMYFUNCTION("""COMPUTED_VALUE"""),1.1741004E7)</f>
        <v>11741004</v>
      </c>
      <c r="X142" s="148">
        <f>IFERROR(__xludf.DUMMYFUNCTION("""COMPUTED_VALUE"""),0.0)</f>
        <v>0</v>
      </c>
      <c r="Y142" s="148">
        <f>IFERROR(__xludf.DUMMYFUNCTION("""COMPUTED_VALUE"""),0.0)</f>
        <v>0</v>
      </c>
      <c r="Z142" s="148"/>
    </row>
    <row r="143">
      <c r="A143" s="148">
        <f>IFERROR(__xludf.DUMMYFUNCTION("""COMPUTED_VALUE"""),1.1111224E7)</f>
        <v>11111224</v>
      </c>
      <c r="B143" s="148" t="str">
        <f>IFERROR(__xludf.DUMMYFUNCTION("""COMPUTED_VALUE"""),"行动力1000点")</f>
        <v>行动力1000点</v>
      </c>
      <c r="C143" s="148"/>
      <c r="D143" s="148" t="str">
        <f>IFERROR(__xludf.DUMMYFUNCTION("""COMPUTED_VALUE"""),"item_asset")</f>
        <v>item_asset</v>
      </c>
      <c r="E143" s="148">
        <f>IFERROR(__xludf.DUMMYFUNCTION("""COMPUTED_VALUE"""),12.0)</f>
        <v>12</v>
      </c>
      <c r="F143" s="148">
        <f>IFERROR(__xludf.DUMMYFUNCTION("""COMPUTED_VALUE"""),406204.0)</f>
        <v>406204</v>
      </c>
      <c r="G143" s="148">
        <f>IFERROR(__xludf.DUMMYFUNCTION("""COMPUTED_VALUE"""),1.5112568E7)</f>
        <v>15112568</v>
      </c>
      <c r="H143" s="148">
        <f>IFERROR(__xludf.DUMMYFUNCTION("""COMPUTED_VALUE"""),1.5112563E7)</f>
        <v>15112563</v>
      </c>
      <c r="I143" s="148" t="str">
        <f>IFERROR(__xludf.DUMMYFUNCTION("""COMPUTED_VALUE"""),"{""typ"":""lc"",""txt"":""LC_ITEM_rss_upper_show"",""args"":[{""typ"":""int"",""val"":1000}]}")</f>
        <v>{"typ":"lc","txt":"LC_ITEM_rss_upper_show","args":[{"typ":"int","val":1000}]}</v>
      </c>
      <c r="J143" s="148" t="str">
        <f>IFERROR(__xludf.DUMMYFUNCTION("""COMPUTED_VALUE"""),"{""typ"":""lc"",""txt"":""LC_ITEM_points_recover_name"",""args"":[{""typ"":""int"",""val"":1000}]}")</f>
        <v>{"typ":"lc","txt":"LC_ITEM_points_recover_name","args":[{"typ":"int","val":1000}]}</v>
      </c>
      <c r="K143" s="148" t="str">
        <f>IFERROR(__xludf.DUMMYFUNCTION("""COMPUTED_VALUE"""),"{""typ"":""lc"",""txt"":""LC_ITEM_points_recover_desc"",""args"":[{""typ"":""int"",""val"":1000}]}")</f>
        <v>{"typ":"lc","txt":"LC_ITEM_points_recover_desc","args":[{"typ":"int","val":1000}]}</v>
      </c>
      <c r="L143" s="148" t="str">
        <f>IFERROR(__xludf.DUMMYFUNCTION("""COMPUTED_VALUE"""),"{""typ"":""lc"",""txt"":""LC_ITEM_points_recover_usedtip"",""args"":[{""typ"":""int"",""val"":1000}]}")</f>
        <v>{"typ":"lc","txt":"LC_ITEM_points_recover_usedtip","args":[{"typ":"int","val":1000}]}</v>
      </c>
      <c r="M143" s="148">
        <f>IFERROR(__xludf.DUMMYFUNCTION("""COMPUTED_VALUE"""),400.0)</f>
        <v>400</v>
      </c>
      <c r="N143" s="148">
        <f>IFERROR(__xludf.DUMMYFUNCTION("""COMPUTED_VALUE"""),999999.0)</f>
        <v>999999</v>
      </c>
      <c r="O143" s="148">
        <f>IFERROR(__xludf.DUMMYFUNCTION("""COMPUTED_VALUE"""),99999.0)</f>
        <v>99999</v>
      </c>
      <c r="P143" s="148">
        <f>IFERROR(__xludf.DUMMYFUNCTION("""COMPUTED_VALUE"""),99999.0)</f>
        <v>99999</v>
      </c>
      <c r="Q143" s="148" t="str">
        <f>IFERROR(__xludf.DUMMYFUNCTION("""COMPUTED_VALUE"""),"[""bag_other"",""asset_action""]")</f>
        <v>["bag_other","asset_action"]</v>
      </c>
      <c r="R143" s="148" t="str">
        <f>IFERROR(__xludf.DUMMYFUNCTION("""COMPUTED_VALUE"""),"[""bag"",""asset_action""]")</f>
        <v>["bag","asset_action"]</v>
      </c>
      <c r="S143" s="148" t="str">
        <f>IFERROR(__xludf.DUMMYFUNCTION("""COMPUTED_VALUE"""),"{""effect"":[{""typ"":""recover"",""id"":11171002,""val"":1000}]}")</f>
        <v>{"effect":[{"typ":"recover","id":11171002,"val":1000}]}</v>
      </c>
      <c r="T143" s="148">
        <f>IFERROR(__xludf.DUMMYFUNCTION("""COMPUTED_VALUE"""),-1.0)</f>
        <v>-1</v>
      </c>
      <c r="U143" s="148">
        <f>IFERROR(__xludf.DUMMYFUNCTION("""COMPUTED_VALUE"""),0.0)</f>
        <v>0</v>
      </c>
      <c r="V143" s="148" t="str">
        <f>IFERROR(__xludf.DUMMYFUNCTION("""COMPUTED_VALUE"""),"[]")</f>
        <v>[]</v>
      </c>
      <c r="W143" s="148">
        <f>IFERROR(__xludf.DUMMYFUNCTION("""COMPUTED_VALUE"""),1.1741004E7)</f>
        <v>11741004</v>
      </c>
      <c r="X143" s="148">
        <f>IFERROR(__xludf.DUMMYFUNCTION("""COMPUTED_VALUE"""),0.0)</f>
        <v>0</v>
      </c>
      <c r="Y143" s="148">
        <f>IFERROR(__xludf.DUMMYFUNCTION("""COMPUTED_VALUE"""),0.0)</f>
        <v>0</v>
      </c>
      <c r="Z143" s="148"/>
    </row>
    <row r="144">
      <c r="A144" s="148">
        <f>IFERROR(__xludf.DUMMYFUNCTION("""COMPUTED_VALUE"""),1.1111225E7)</f>
        <v>11111225</v>
      </c>
      <c r="B144" s="148" t="str">
        <f>IFERROR(__xludf.DUMMYFUNCTION("""COMPUTED_VALUE"""),"额外工人")</f>
        <v>额外工人</v>
      </c>
      <c r="C144" s="148"/>
      <c r="D144" s="148" t="str">
        <f>IFERROR(__xludf.DUMMYFUNCTION("""COMPUTED_VALUE"""),"item_temporary_queue")</f>
        <v>item_temporary_queue</v>
      </c>
      <c r="E144" s="148">
        <f>IFERROR(__xludf.DUMMYFUNCTION("""COMPUTED_VALUE"""),14.0)</f>
        <v>14</v>
      </c>
      <c r="F144" s="148">
        <f>IFERROR(__xludf.DUMMYFUNCTION("""COMPUTED_VALUE"""),300302.0)</f>
        <v>300302</v>
      </c>
      <c r="G144" s="148">
        <f>IFERROR(__xludf.DUMMYFUNCTION("""COMPUTED_VALUE"""),1.5112579E7)</f>
        <v>15112579</v>
      </c>
      <c r="H144" s="148">
        <f>IFERROR(__xludf.DUMMYFUNCTION("""COMPUTED_VALUE"""),1.5112562E7)</f>
        <v>15112562</v>
      </c>
      <c r="I144" s="148" t="str">
        <f>IFERROR(__xludf.DUMMYFUNCTION("""COMPUTED_VALUE"""),"{}")</f>
        <v>{}</v>
      </c>
      <c r="J144" s="148" t="str">
        <f>IFERROR(__xludf.DUMMYFUNCTION("""COMPUTED_VALUE"""),"{""typ"":""lc"",""txt"":""LC_ITEM_additional_building_queue_name""}")</f>
        <v>{"typ":"lc","txt":"LC_ITEM_additional_building_queue_name"}</v>
      </c>
      <c r="K144" s="148" t="str">
        <f>IFERROR(__xludf.DUMMYFUNCTION("""COMPUTED_VALUE"""),"{""typ"":""lc"",""txt"":""LC_ITEM_additional_building_queue_desc""}")</f>
        <v>{"typ":"lc","txt":"LC_ITEM_additional_building_queue_desc"}</v>
      </c>
      <c r="L144" s="148" t="str">
        <f>IFERROR(__xludf.DUMMYFUNCTION("""COMPUTED_VALUE"""),"{""typ"":""lc"",""txt"":""LC_ITEM_additional_building_queue_usedtip""}")</f>
        <v>{"typ":"lc","txt":"LC_ITEM_additional_building_queue_usedtip"}</v>
      </c>
      <c r="M144" s="148">
        <f>IFERROR(__xludf.DUMMYFUNCTION("""COMPUTED_VALUE"""),200.0)</f>
        <v>200</v>
      </c>
      <c r="N144" s="148">
        <f>IFERROR(__xludf.DUMMYFUNCTION("""COMPUTED_VALUE"""),999999.0)</f>
        <v>999999</v>
      </c>
      <c r="O144" s="148">
        <f>IFERROR(__xludf.DUMMYFUNCTION("""COMPUTED_VALUE"""),99999.0)</f>
        <v>99999</v>
      </c>
      <c r="P144" s="148">
        <f>IFERROR(__xludf.DUMMYFUNCTION("""COMPUTED_VALUE"""),99.0)</f>
        <v>99</v>
      </c>
      <c r="Q144" s="148" t="str">
        <f>IFERROR(__xludf.DUMMYFUNCTION("""COMPUTED_VALUE"""),"[""bag_buff"",""buff_city"",""extra_worker""]")</f>
        <v>["bag_buff","buff_city","extra_worker"]</v>
      </c>
      <c r="R144" s="148" t="str">
        <f>IFERROR(__xludf.DUMMYFUNCTION("""COMPUTED_VALUE"""),"[""bag"",""buff_city"",""extra_worker""]")</f>
        <v>["bag","buff_city","extra_worker"]</v>
      </c>
      <c r="S144" s="148" t="str">
        <f>IFERROR(__xludf.DUMMYFUNCTION("""COMPUTED_VALUE"""),"{""effect"":[{""typ"":""item_temporary_queue"",""val"":172800000,""arg1"":0}]}")</f>
        <v>{"effect":[{"typ":"item_temporary_queue","val":172800000,"arg1":0}]}</v>
      </c>
      <c r="T144" s="148">
        <f>IFERROR(__xludf.DUMMYFUNCTION("""COMPUTED_VALUE"""),-1.0)</f>
        <v>-1</v>
      </c>
      <c r="U144" s="148">
        <f>IFERROR(__xludf.DUMMYFUNCTION("""COMPUTED_VALUE"""),0.0)</f>
        <v>0</v>
      </c>
      <c r="V144" s="148" t="str">
        <f>IFERROR(__xludf.DUMMYFUNCTION("""COMPUTED_VALUE"""),"[]")</f>
        <v>[]</v>
      </c>
      <c r="W144" s="148">
        <f>IFERROR(__xludf.DUMMYFUNCTION("""COMPUTED_VALUE"""),1.1741004E7)</f>
        <v>11741004</v>
      </c>
      <c r="X144" s="148">
        <f>IFERROR(__xludf.DUMMYFUNCTION("""COMPUTED_VALUE"""),0.0)</f>
        <v>0</v>
      </c>
      <c r="Y144" s="148">
        <f>IFERROR(__xludf.DUMMYFUNCTION("""COMPUTED_VALUE"""),0.0)</f>
        <v>0</v>
      </c>
      <c r="Z144" s="148"/>
    </row>
    <row r="145">
      <c r="A145" s="148">
        <f>IFERROR(__xludf.DUMMYFUNCTION("""COMPUTED_VALUE"""),1.1111226E7)</f>
        <v>11111226</v>
      </c>
      <c r="B145" s="148" t="str">
        <f>IFERROR(__xludf.DUMMYFUNCTION("""COMPUTED_VALUE"""),"更改名称")</f>
        <v>更改名称</v>
      </c>
      <c r="C145" s="148"/>
      <c r="D145" s="148" t="str">
        <f>IFERROR(__xludf.DUMMYFUNCTION("""COMPUTED_VALUE"""),"item_rename")</f>
        <v>item_rename</v>
      </c>
      <c r="E145" s="148">
        <f>IFERROR(__xludf.DUMMYFUNCTION("""COMPUTED_VALUE"""),8.0)</f>
        <v>8</v>
      </c>
      <c r="F145" s="148">
        <f>IFERROR(__xludf.DUMMYFUNCTION("""COMPUTED_VALUE"""),404299.0)</f>
        <v>404299</v>
      </c>
      <c r="G145" s="148">
        <f>IFERROR(__xludf.DUMMYFUNCTION("""COMPUTED_VALUE"""),1.5112576E7)</f>
        <v>15112576</v>
      </c>
      <c r="H145" s="148">
        <f>IFERROR(__xludf.DUMMYFUNCTION("""COMPUTED_VALUE"""),1.5112563E7)</f>
        <v>15112563</v>
      </c>
      <c r="I145" s="148" t="str">
        <f>IFERROR(__xludf.DUMMYFUNCTION("""COMPUTED_VALUE"""),"{}")</f>
        <v>{}</v>
      </c>
      <c r="J145" s="148" t="str">
        <f>IFERROR(__xludf.DUMMYFUNCTION("""COMPUTED_VALUE"""),"{""typ"":""lc"",""txt"":""LC_ITEM_rename_card_name""}")</f>
        <v>{"typ":"lc","txt":"LC_ITEM_rename_card_name"}</v>
      </c>
      <c r="K145" s="148" t="str">
        <f>IFERROR(__xludf.DUMMYFUNCTION("""COMPUTED_VALUE"""),"{""typ"":""lc"",""txt"":""LC_ITEM_rename_card_desc""}")</f>
        <v>{"typ":"lc","txt":"LC_ITEM_rename_card_desc"}</v>
      </c>
      <c r="L145" s="148" t="str">
        <f>IFERROR(__xludf.DUMMYFUNCTION("""COMPUTED_VALUE"""),"{}")</f>
        <v>{}</v>
      </c>
      <c r="M145" s="148">
        <f>IFERROR(__xludf.DUMMYFUNCTION("""COMPUTED_VALUE"""),500.0)</f>
        <v>500</v>
      </c>
      <c r="N145" s="148">
        <f>IFERROR(__xludf.DUMMYFUNCTION("""COMPUTED_VALUE"""),999999.0)</f>
        <v>999999</v>
      </c>
      <c r="O145" s="148">
        <f>IFERROR(__xludf.DUMMYFUNCTION("""COMPUTED_VALUE"""),99999.0)</f>
        <v>99999</v>
      </c>
      <c r="P145" s="148">
        <f>IFERROR(__xludf.DUMMYFUNCTION("""COMPUTED_VALUE"""),1.0)</f>
        <v>1</v>
      </c>
      <c r="Q145" s="148" t="str">
        <f>IFERROR(__xludf.DUMMYFUNCTION("""COMPUTED_VALUE"""),"[""bag_other""]")</f>
        <v>["bag_other"]</v>
      </c>
      <c r="R145" s="148" t="str">
        <f>IFERROR(__xludf.DUMMYFUNCTION("""COMPUTED_VALUE"""),"[""bag""]")</f>
        <v>["bag"]</v>
      </c>
      <c r="S145" s="148" t="str">
        <f>IFERROR(__xludf.DUMMYFUNCTION("""COMPUTED_VALUE"""),"{}")</f>
        <v>{}</v>
      </c>
      <c r="T145" s="148">
        <f>IFERROR(__xludf.DUMMYFUNCTION("""COMPUTED_VALUE"""),-1.0)</f>
        <v>-1</v>
      </c>
      <c r="U145" s="148">
        <f>IFERROR(__xludf.DUMMYFUNCTION("""COMPUTED_VALUE"""),0.0)</f>
        <v>0</v>
      </c>
      <c r="V145" s="148" t="str">
        <f>IFERROR(__xludf.DUMMYFUNCTION("""COMPUTED_VALUE"""),"[]")</f>
        <v>[]</v>
      </c>
      <c r="W145" s="148">
        <f>IFERROR(__xludf.DUMMYFUNCTION("""COMPUTED_VALUE"""),1.1741004E7)</f>
        <v>11741004</v>
      </c>
      <c r="X145" s="148">
        <f>IFERROR(__xludf.DUMMYFUNCTION("""COMPUTED_VALUE"""),0.0)</f>
        <v>0</v>
      </c>
      <c r="Y145" s="148">
        <f>IFERROR(__xludf.DUMMYFUNCTION("""COMPUTED_VALUE"""),0.0)</f>
        <v>0</v>
      </c>
      <c r="Z145" s="148"/>
    </row>
    <row r="146">
      <c r="A146" s="148">
        <f>IFERROR(__xludf.DUMMYFUNCTION("""COMPUTED_VALUE"""),1.1111227E7)</f>
        <v>11111227</v>
      </c>
      <c r="B146" s="148" t="str">
        <f>IFERROR(__xludf.DUMMYFUNCTION("""COMPUTED_VALUE"""),"变更部落")</f>
        <v>变更部落</v>
      </c>
      <c r="C146" s="148"/>
      <c r="D146" s="148" t="str">
        <f>IFERROR(__xludf.DUMMYFUNCTION("""COMPUTED_VALUE"""),"item_buff")</f>
        <v>item_buff</v>
      </c>
      <c r="E146" s="148">
        <f>IFERROR(__xludf.DUMMYFUNCTION("""COMPUTED_VALUE"""),8.0)</f>
        <v>8</v>
      </c>
      <c r="F146" s="148">
        <f>IFERROR(__xludf.DUMMYFUNCTION("""COMPUTED_VALUE"""),404199.0)</f>
        <v>404199</v>
      </c>
      <c r="G146" s="148">
        <f>IFERROR(__xludf.DUMMYFUNCTION("""COMPUTED_VALUE"""),1.5112584E7)</f>
        <v>15112584</v>
      </c>
      <c r="H146" s="148">
        <f>IFERROR(__xludf.DUMMYFUNCTION("""COMPUTED_VALUE"""),1.5112564E7)</f>
        <v>15112564</v>
      </c>
      <c r="I146" s="148" t="str">
        <f>IFERROR(__xludf.DUMMYFUNCTION("""COMPUTED_VALUE"""),"{}")</f>
        <v>{}</v>
      </c>
      <c r="J146" s="148" t="str">
        <f>IFERROR(__xludf.DUMMYFUNCTION("""COMPUTED_VALUE"""),"{""typ"":""lc"",""txt"":""LC_ITEM_change_horde_name""}")</f>
        <v>{"typ":"lc","txt":"LC_ITEM_change_horde_name"}</v>
      </c>
      <c r="K146" s="148" t="str">
        <f>IFERROR(__xludf.DUMMYFUNCTION("""COMPUTED_VALUE"""),"{""typ"":""lc"",""txt"":""LC_ITEM_change_horde_desc""}")</f>
        <v>{"typ":"lc","txt":"LC_ITEM_change_horde_desc"}</v>
      </c>
      <c r="L146" s="148" t="str">
        <f>IFERROR(__xludf.DUMMYFUNCTION("""COMPUTED_VALUE"""),"{""typ"":""lc"",""txt"":""LC_ITEM_change_horde_usedtip""}")</f>
        <v>{"typ":"lc","txt":"LC_ITEM_change_horde_usedtip"}</v>
      </c>
      <c r="M146" s="148">
        <f>IFERROR(__xludf.DUMMYFUNCTION("""COMPUTED_VALUE"""),20000.0)</f>
        <v>20000</v>
      </c>
      <c r="N146" s="148">
        <f>IFERROR(__xludf.DUMMYFUNCTION("""COMPUTED_VALUE"""),99999.0)</f>
        <v>99999</v>
      </c>
      <c r="O146" s="148">
        <f>IFERROR(__xludf.DUMMYFUNCTION("""COMPUTED_VALUE"""),99999.0)</f>
        <v>99999</v>
      </c>
      <c r="P146" s="148">
        <f>IFERROR(__xludf.DUMMYFUNCTION("""COMPUTED_VALUE"""),1.0)</f>
        <v>1</v>
      </c>
      <c r="Q146" s="148" t="str">
        <f>IFERROR(__xludf.DUMMYFUNCTION("""COMPUTED_VALUE"""),"[""bag_other""]")</f>
        <v>["bag_other"]</v>
      </c>
      <c r="R146" s="148" t="str">
        <f>IFERROR(__xludf.DUMMYFUNCTION("""COMPUTED_VALUE"""),"[""bag""]")</f>
        <v>["bag"]</v>
      </c>
      <c r="S146" s="148" t="str">
        <f>IFERROR(__xludf.DUMMYFUNCTION("""COMPUTED_VALUE"""),"{}")</f>
        <v>{}</v>
      </c>
      <c r="T146" s="148">
        <f>IFERROR(__xludf.DUMMYFUNCTION("""COMPUTED_VALUE"""),-1.0)</f>
        <v>-1</v>
      </c>
      <c r="U146" s="148">
        <f>IFERROR(__xludf.DUMMYFUNCTION("""COMPUTED_VALUE"""),0.0)</f>
        <v>0</v>
      </c>
      <c r="V146" s="148" t="str">
        <f>IFERROR(__xludf.DUMMYFUNCTION("""COMPUTED_VALUE"""),"[]")</f>
        <v>[]</v>
      </c>
      <c r="W146" s="148">
        <f>IFERROR(__xludf.DUMMYFUNCTION("""COMPUTED_VALUE"""),1.174E7)</f>
        <v>11740000</v>
      </c>
      <c r="X146" s="148">
        <f>IFERROR(__xludf.DUMMYFUNCTION("""COMPUTED_VALUE"""),0.0)</f>
        <v>0</v>
      </c>
      <c r="Y146" s="148">
        <f>IFERROR(__xludf.DUMMYFUNCTION("""COMPUTED_VALUE"""),0.0)</f>
        <v>0</v>
      </c>
      <c r="Z146" s="148"/>
    </row>
    <row r="147">
      <c r="A147" s="148">
        <f>IFERROR(__xludf.DUMMYFUNCTION("""COMPUTED_VALUE"""),1.1111228E7)</f>
        <v>11111228</v>
      </c>
      <c r="B147" s="148" t="str">
        <f>IFERROR(__xludf.DUMMYFUNCTION("""COMPUTED_VALUE"""),"订阅卡_30天")</f>
        <v>订阅卡_30天</v>
      </c>
      <c r="C147" s="148"/>
      <c r="D147" s="148" t="str">
        <f>IFERROR(__xludf.DUMMYFUNCTION("""COMPUTED_VALUE"""),"item_subscription")</f>
        <v>item_subscription</v>
      </c>
      <c r="E147" s="148">
        <f>IFERROR(__xludf.DUMMYFUNCTION("""COMPUTED_VALUE"""),0.0)</f>
        <v>0</v>
      </c>
      <c r="F147" s="148">
        <f>IFERROR(__xludf.DUMMYFUNCTION("""COMPUTED_VALUE"""),401102.0)</f>
        <v>401102</v>
      </c>
      <c r="G147" s="148">
        <f>IFERROR(__xludf.DUMMYFUNCTION("""COMPUTED_VALUE"""),1.5113073E7)</f>
        <v>15113073</v>
      </c>
      <c r="H147" s="148">
        <f>IFERROR(__xludf.DUMMYFUNCTION("""COMPUTED_VALUE"""),1.5112564E7)</f>
        <v>15112564</v>
      </c>
      <c r="I147" s="148" t="str">
        <f>IFERROR(__xludf.DUMMYFUNCTION("""COMPUTED_VALUE"""),"{}")</f>
        <v>{}</v>
      </c>
      <c r="J147" s="148" t="str">
        <f>IFERROR(__xludf.DUMMYFUNCTION("""COMPUTED_VALUE"""),"{""typ"":""lc"",""txt"":""LC_ITEM_subscription_card_30_name""}")</f>
        <v>{"typ":"lc","txt":"LC_ITEM_subscription_card_30_name"}</v>
      </c>
      <c r="K147" s="148" t="str">
        <f>IFERROR(__xludf.DUMMYFUNCTION("""COMPUTED_VALUE"""),"{""typ"":""lc"",""txt"":""LC_ITEM_subscription_card_30_desc""}")</f>
        <v>{"typ":"lc","txt":"LC_ITEM_subscription_card_30_desc"}</v>
      </c>
      <c r="L147" s="148" t="str">
        <f>IFERROR(__xludf.DUMMYFUNCTION("""COMPUTED_VALUE"""),"{""typ"":""lc"",""txt"":""LC_ITEM_subscription_card_30_usedtip""}")</f>
        <v>{"typ":"lc","txt":"LC_ITEM_subscription_card_30_usedtip"}</v>
      </c>
      <c r="M147" s="148">
        <f>IFERROR(__xludf.DUMMYFUNCTION("""COMPUTED_VALUE"""),810000.0)</f>
        <v>810000</v>
      </c>
      <c r="N147" s="148">
        <f>IFERROR(__xludf.DUMMYFUNCTION("""COMPUTED_VALUE"""),999999.0)</f>
        <v>999999</v>
      </c>
      <c r="O147" s="148">
        <f>IFERROR(__xludf.DUMMYFUNCTION("""COMPUTED_VALUE"""),99999.0)</f>
        <v>99999</v>
      </c>
      <c r="P147" s="148">
        <f>IFERROR(__xludf.DUMMYFUNCTION("""COMPUTED_VALUE"""),1.0)</f>
        <v>1</v>
      </c>
      <c r="Q147" s="148" t="str">
        <f>IFERROR(__xludf.DUMMYFUNCTION("""COMPUTED_VALUE"""),"[""bag_other""]")</f>
        <v>["bag_other"]</v>
      </c>
      <c r="R147" s="148" t="str">
        <f>IFERROR(__xludf.DUMMYFUNCTION("""COMPUTED_VALUE"""),"[""bag""]")</f>
        <v>["bag"]</v>
      </c>
      <c r="S147" s="148" t="str">
        <f>IFERROR(__xludf.DUMMYFUNCTION("""COMPUTED_VALUE"""),"{""effect"":[{""typ"":""item_subscription"",""id"":201340004}]}")</f>
        <v>{"effect":[{"typ":"item_subscription","id":201340004}]}</v>
      </c>
      <c r="T147" s="148">
        <f>IFERROR(__xludf.DUMMYFUNCTION("""COMPUTED_VALUE"""),-1.0)</f>
        <v>-1</v>
      </c>
      <c r="U147" s="148">
        <f>IFERROR(__xludf.DUMMYFUNCTION("""COMPUTED_VALUE"""),0.0)</f>
        <v>0</v>
      </c>
      <c r="V147" s="148" t="str">
        <f>IFERROR(__xludf.DUMMYFUNCTION("""COMPUTED_VALUE"""),"[]")</f>
        <v>[]</v>
      </c>
      <c r="W147" s="148">
        <f>IFERROR(__xludf.DUMMYFUNCTION("""COMPUTED_VALUE"""),1.174E7)</f>
        <v>11740000</v>
      </c>
      <c r="X147" s="148">
        <f>IFERROR(__xludf.DUMMYFUNCTION("""COMPUTED_VALUE"""),0.0)</f>
        <v>0</v>
      </c>
      <c r="Y147" s="148">
        <f>IFERROR(__xludf.DUMMYFUNCTION("""COMPUTED_VALUE"""),0.0)</f>
        <v>0</v>
      </c>
      <c r="Z147" s="148"/>
    </row>
    <row r="148">
      <c r="A148" s="148">
        <f>IFERROR(__xludf.DUMMYFUNCTION("""COMPUTED_VALUE"""),1.1111229E7)</f>
        <v>11111229</v>
      </c>
      <c r="B148" s="148" t="str">
        <f>IFERROR(__xludf.DUMMYFUNCTION("""COMPUTED_VALUE"""),"额外工人永久")</f>
        <v>额外工人永久</v>
      </c>
      <c r="C148" s="148"/>
      <c r="D148" s="148" t="str">
        <f>IFERROR(__xludf.DUMMYFUNCTION("""COMPUTED_VALUE"""),"item_temporary_queue")</f>
        <v>item_temporary_queue</v>
      </c>
      <c r="E148" s="148">
        <f>IFERROR(__xludf.DUMMYFUNCTION("""COMPUTED_VALUE"""),14.0)</f>
        <v>14</v>
      </c>
      <c r="F148" s="148">
        <f>IFERROR(__xludf.DUMMYFUNCTION("""COMPUTED_VALUE"""),300501.0)</f>
        <v>300501</v>
      </c>
      <c r="G148" s="148">
        <f>IFERROR(__xludf.DUMMYFUNCTION("""COMPUTED_VALUE"""),1.5113192E7)</f>
        <v>15113192</v>
      </c>
      <c r="H148" s="148">
        <f>IFERROR(__xludf.DUMMYFUNCTION("""COMPUTED_VALUE"""),1.5112564E7)</f>
        <v>15112564</v>
      </c>
      <c r="I148" s="148" t="str">
        <f>IFERROR(__xludf.DUMMYFUNCTION("""COMPUTED_VALUE"""),"{}")</f>
        <v>{}</v>
      </c>
      <c r="J148" s="148" t="str">
        <f>IFERROR(__xludf.DUMMYFUNCTION("""COMPUTED_VALUE"""),"{""typ"":""lc"",""txt"":""LC_ITEM_second_building_queue_name""}")</f>
        <v>{"typ":"lc","txt":"LC_ITEM_second_building_queue_name"}</v>
      </c>
      <c r="K148" s="148" t="str">
        <f>IFERROR(__xludf.DUMMYFUNCTION("""COMPUTED_VALUE"""),"{""typ"":""lc"",""txt"":""LC_ITEM_second_building_queue_desc""}")</f>
        <v>{"typ":"lc","txt":"LC_ITEM_second_building_queue_desc"}</v>
      </c>
      <c r="L148" s="148" t="str">
        <f>IFERROR(__xludf.DUMMYFUNCTION("""COMPUTED_VALUE"""),"{""typ"":""lc"",""txt"":""LC_ITEM_second_building_queue_usedtip""}")</f>
        <v>{"typ":"lc","txt":"LC_ITEM_second_building_queue_usedtip"}</v>
      </c>
      <c r="M148" s="148">
        <f>IFERROR(__xludf.DUMMYFUNCTION("""COMPUTED_VALUE"""),8000.0)</f>
        <v>8000</v>
      </c>
      <c r="N148" s="148">
        <f>IFERROR(__xludf.DUMMYFUNCTION("""COMPUTED_VALUE"""),999999.0)</f>
        <v>999999</v>
      </c>
      <c r="O148" s="148">
        <f>IFERROR(__xludf.DUMMYFUNCTION("""COMPUTED_VALUE"""),99999.0)</f>
        <v>99999</v>
      </c>
      <c r="P148" s="148">
        <f>IFERROR(__xludf.DUMMYFUNCTION("""COMPUTED_VALUE"""),1.0)</f>
        <v>1</v>
      </c>
      <c r="Q148" s="148" t="str">
        <f>IFERROR(__xludf.DUMMYFUNCTION("""COMPUTED_VALUE"""),"[""bag_buff"",""buff_city"",""extra_worker""]")</f>
        <v>["bag_buff","buff_city","extra_worker"]</v>
      </c>
      <c r="R148" s="148" t="str">
        <f>IFERROR(__xludf.DUMMYFUNCTION("""COMPUTED_VALUE"""),"[""bag"",""buff_city"",""extra_worker""]")</f>
        <v>["bag","buff_city","extra_worker"]</v>
      </c>
      <c r="S148" s="148" t="str">
        <f>IFERROR(__xludf.DUMMYFUNCTION("""COMPUTED_VALUE"""),"{""effect"":[{""typ"":""item_temporary_queue"",""val"":-1,""arg1"":0}]}")</f>
        <v>{"effect":[{"typ":"item_temporary_queue","val":-1,"arg1":0}]}</v>
      </c>
      <c r="T148" s="148">
        <f>IFERROR(__xludf.DUMMYFUNCTION("""COMPUTED_VALUE"""),-1.0)</f>
        <v>-1</v>
      </c>
      <c r="U148" s="148">
        <f>IFERROR(__xludf.DUMMYFUNCTION("""COMPUTED_VALUE"""),1.0)</f>
        <v>1</v>
      </c>
      <c r="V148" s="148" t="str">
        <f>IFERROR(__xludf.DUMMYFUNCTION("""COMPUTED_VALUE"""),"[]")</f>
        <v>[]</v>
      </c>
      <c r="W148" s="148">
        <f>IFERROR(__xludf.DUMMYFUNCTION("""COMPUTED_VALUE"""),1.174E7)</f>
        <v>11740000</v>
      </c>
      <c r="X148" s="148">
        <f>IFERROR(__xludf.DUMMYFUNCTION("""COMPUTED_VALUE"""),0.0)</f>
        <v>0</v>
      </c>
      <c r="Y148" s="148">
        <f>IFERROR(__xludf.DUMMYFUNCTION("""COMPUTED_VALUE"""),0.0)</f>
        <v>0</v>
      </c>
      <c r="Z148" s="148"/>
    </row>
    <row r="149">
      <c r="A149" s="148">
        <f>IFERROR(__xludf.DUMMYFUNCTION("""COMPUTED_VALUE"""),1.111123E7)</f>
        <v>11111230</v>
      </c>
      <c r="B149" s="148" t="str">
        <f>IFERROR(__xludf.DUMMYFUNCTION("""COMPUTED_VALUE"""),"调配证（押运招募令）")</f>
        <v>调配证（押运招募令）</v>
      </c>
      <c r="C149" s="148"/>
      <c r="D149" s="148" t="str">
        <f>IFERROR(__xludf.DUMMYFUNCTION("""COMPUTED_VALUE"""),"item_deploy")</f>
        <v>item_deploy</v>
      </c>
      <c r="E149" s="148">
        <f>IFERROR(__xludf.DUMMYFUNCTION("""COMPUTED_VALUE"""),0.0)</f>
        <v>0</v>
      </c>
      <c r="F149" s="148">
        <f>IFERROR(__xludf.DUMMYFUNCTION("""COMPUTED_VALUE"""),405301.0)</f>
        <v>405301</v>
      </c>
      <c r="G149" s="148">
        <f>IFERROR(__xludf.DUMMYFUNCTION("""COMPUTED_VALUE"""),1.5113335E7)</f>
        <v>15113335</v>
      </c>
      <c r="H149" s="148">
        <f>IFERROR(__xludf.DUMMYFUNCTION("""COMPUTED_VALUE"""),1.5112562E7)</f>
        <v>15112562</v>
      </c>
      <c r="I149" s="148" t="str">
        <f>IFERROR(__xludf.DUMMYFUNCTION("""COMPUTED_VALUE"""),"{}")</f>
        <v>{}</v>
      </c>
      <c r="J149" s="148" t="str">
        <f>IFERROR(__xludf.DUMMYFUNCTION("""COMPUTED_VALUE"""),"{""typ"":""lc"",""txt"":""LC_ITEM_escort_allocation_certificate_name""}")</f>
        <v>{"typ":"lc","txt":"LC_ITEM_escort_allocation_certificate_name"}</v>
      </c>
      <c r="K149" s="148" t="str">
        <f>IFERROR(__xludf.DUMMYFUNCTION("""COMPUTED_VALUE"""),"{""typ"":""lc"",""txt"":""LC_ITEM_escort_allocation_certificate_desc""}")</f>
        <v>{"typ":"lc","txt":"LC_ITEM_escort_allocation_certificate_desc"}</v>
      </c>
      <c r="L149" s="148" t="str">
        <f>IFERROR(__xludf.DUMMYFUNCTION("""COMPUTED_VALUE"""),"{}")</f>
        <v>{}</v>
      </c>
      <c r="M149" s="148">
        <f>IFERROR(__xludf.DUMMYFUNCTION("""COMPUTED_VALUE"""),5.0)</f>
        <v>5</v>
      </c>
      <c r="N149" s="148">
        <f>IFERROR(__xludf.DUMMYFUNCTION("""COMPUTED_VALUE"""),999999.0)</f>
        <v>999999</v>
      </c>
      <c r="O149" s="148">
        <f>IFERROR(__xludf.DUMMYFUNCTION("""COMPUTED_VALUE"""),99999.0)</f>
        <v>99999</v>
      </c>
      <c r="P149" s="148">
        <f>IFERROR(__xludf.DUMMYFUNCTION("""COMPUTED_VALUE"""),99.0)</f>
        <v>99</v>
      </c>
      <c r="Q149" s="148" t="str">
        <f>IFERROR(__xludf.DUMMYFUNCTION("""COMPUTED_VALUE"""),"[""bag_other""]")</f>
        <v>["bag_other"]</v>
      </c>
      <c r="R149" s="148" t="str">
        <f>IFERROR(__xludf.DUMMYFUNCTION("""COMPUTED_VALUE"""),"[]")</f>
        <v>[]</v>
      </c>
      <c r="S149" s="148" t="str">
        <f>IFERROR(__xludf.DUMMYFUNCTION("""COMPUTED_VALUE"""),"{}")</f>
        <v>{}</v>
      </c>
      <c r="T149" s="148">
        <f>IFERROR(__xludf.DUMMYFUNCTION("""COMPUTED_VALUE"""),-1.0)</f>
        <v>-1</v>
      </c>
      <c r="U149" s="148">
        <f>IFERROR(__xludf.DUMMYFUNCTION("""COMPUTED_VALUE"""),0.0)</f>
        <v>0</v>
      </c>
      <c r="V149" s="148" t="str">
        <f>IFERROR(__xludf.DUMMYFUNCTION("""COMPUTED_VALUE"""),"[]")</f>
        <v>[]</v>
      </c>
      <c r="W149" s="148">
        <f>IFERROR(__xludf.DUMMYFUNCTION("""COMPUTED_VALUE"""),1.174E7)</f>
        <v>11740000</v>
      </c>
      <c r="X149" s="148">
        <f>IFERROR(__xludf.DUMMYFUNCTION("""COMPUTED_VALUE"""),0.0)</f>
        <v>0</v>
      </c>
      <c r="Y149" s="148">
        <f>IFERROR(__xludf.DUMMYFUNCTION("""COMPUTED_VALUE"""),0.0)</f>
        <v>0</v>
      </c>
      <c r="Z149" s="148"/>
    </row>
    <row r="150">
      <c r="A150" s="148">
        <f>IFERROR(__xludf.DUMMYFUNCTION("""COMPUTED_VALUE"""),1.1111231E7)</f>
        <v>11111231</v>
      </c>
      <c r="B150" s="148" t="str">
        <f>IFERROR(__xludf.DUMMYFUNCTION("""COMPUTED_VALUE"""),"行动力50点")</f>
        <v>行动力50点</v>
      </c>
      <c r="C150" s="148"/>
      <c r="D150" s="148" t="str">
        <f>IFERROR(__xludf.DUMMYFUNCTION("""COMPUTED_VALUE"""),"item_asset")</f>
        <v>item_asset</v>
      </c>
      <c r="E150" s="148">
        <f>IFERROR(__xludf.DUMMYFUNCTION("""COMPUTED_VALUE"""),12.0)</f>
        <v>12</v>
      </c>
      <c r="F150" s="148">
        <f>IFERROR(__xludf.DUMMYFUNCTION("""COMPUTED_VALUE"""),406401.0)</f>
        <v>406401</v>
      </c>
      <c r="G150" s="148">
        <f>IFERROR(__xludf.DUMMYFUNCTION("""COMPUTED_VALUE"""),1.5112568E7)</f>
        <v>15112568</v>
      </c>
      <c r="H150" s="148">
        <f>IFERROR(__xludf.DUMMYFUNCTION("""COMPUTED_VALUE"""),1.5112561E7)</f>
        <v>15112561</v>
      </c>
      <c r="I150" s="148" t="str">
        <f>IFERROR(__xludf.DUMMYFUNCTION("""COMPUTED_VALUE"""),"{""typ"":""lc"",""txt"":""LC_ITEM_rss_upper_show"",""args"":[{""typ"":""int"",""val"":50}]}")</f>
        <v>{"typ":"lc","txt":"LC_ITEM_rss_upper_show","args":[{"typ":"int","val":50}]}</v>
      </c>
      <c r="J150" s="148" t="str">
        <f>IFERROR(__xludf.DUMMYFUNCTION("""COMPUTED_VALUE"""),"{""typ"":""lc"",""txt"":""LC_ITEM_points_recover_name"",""args"":[{""typ"":""int"",""val"":50}]}")</f>
        <v>{"typ":"lc","txt":"LC_ITEM_points_recover_name","args":[{"typ":"int","val":50}]}</v>
      </c>
      <c r="K150" s="148" t="str">
        <f>IFERROR(__xludf.DUMMYFUNCTION("""COMPUTED_VALUE"""),"{""typ"":""lc"",""txt"":""LC_ITEM_points_recover_desc"",""args"":[{""typ"":""int"",""val"":50}]}")</f>
        <v>{"typ":"lc","txt":"LC_ITEM_points_recover_desc","args":[{"typ":"int","val":50}]}</v>
      </c>
      <c r="L150" s="148" t="str">
        <f>IFERROR(__xludf.DUMMYFUNCTION("""COMPUTED_VALUE"""),"{""typ"":""lc"",""txt"":""LC_ITEM_points_recover_usedtip"",""args"":[{""typ"":""int"",""val"":50}]}")</f>
        <v>{"typ":"lc","txt":"LC_ITEM_points_recover_usedtip","args":[{"typ":"int","val":50}]}</v>
      </c>
      <c r="M150" s="148">
        <f>IFERROR(__xludf.DUMMYFUNCTION("""COMPUTED_VALUE"""),25.0)</f>
        <v>25</v>
      </c>
      <c r="N150" s="148">
        <f>IFERROR(__xludf.DUMMYFUNCTION("""COMPUTED_VALUE"""),999999.0)</f>
        <v>999999</v>
      </c>
      <c r="O150" s="148">
        <f>IFERROR(__xludf.DUMMYFUNCTION("""COMPUTED_VALUE"""),99999.0)</f>
        <v>99999</v>
      </c>
      <c r="P150" s="148">
        <f>IFERROR(__xludf.DUMMYFUNCTION("""COMPUTED_VALUE"""),99999.0)</f>
        <v>99999</v>
      </c>
      <c r="Q150" s="148" t="str">
        <f>IFERROR(__xludf.DUMMYFUNCTION("""COMPUTED_VALUE"""),"[""bag_other"",""asset_action""]")</f>
        <v>["bag_other","asset_action"]</v>
      </c>
      <c r="R150" s="148" t="str">
        <f>IFERROR(__xludf.DUMMYFUNCTION("""COMPUTED_VALUE"""),"[""bag"",""asset_action""]")</f>
        <v>["bag","asset_action"]</v>
      </c>
      <c r="S150" s="148" t="str">
        <f>IFERROR(__xludf.DUMMYFUNCTION("""COMPUTED_VALUE"""),"{""effect"":[{""typ"":""recover"",""id"":11171002,""val"":50}]}")</f>
        <v>{"effect":[{"typ":"recover","id":11171002,"val":50}]}</v>
      </c>
      <c r="T150" s="148">
        <f>IFERROR(__xludf.DUMMYFUNCTION("""COMPUTED_VALUE"""),-1.0)</f>
        <v>-1</v>
      </c>
      <c r="U150" s="148">
        <f>IFERROR(__xludf.DUMMYFUNCTION("""COMPUTED_VALUE"""),0.0)</f>
        <v>0</v>
      </c>
      <c r="V150" s="148" t="str">
        <f>IFERROR(__xludf.DUMMYFUNCTION("""COMPUTED_VALUE"""),"[]")</f>
        <v>[]</v>
      </c>
      <c r="W150" s="148">
        <f>IFERROR(__xludf.DUMMYFUNCTION("""COMPUTED_VALUE"""),1.1741004E7)</f>
        <v>11741004</v>
      </c>
      <c r="X150" s="148">
        <f>IFERROR(__xludf.DUMMYFUNCTION("""COMPUTED_VALUE"""),0.0)</f>
        <v>0</v>
      </c>
      <c r="Y150" s="148">
        <f>IFERROR(__xludf.DUMMYFUNCTION("""COMPUTED_VALUE"""),0.0)</f>
        <v>0</v>
      </c>
      <c r="Z150" s="148"/>
    </row>
    <row r="151">
      <c r="A151" s="148">
        <f>IFERROR(__xludf.DUMMYFUNCTION("""COMPUTED_VALUE"""),1.1111232E7)</f>
        <v>11111232</v>
      </c>
      <c r="B151" s="148" t="str">
        <f>IFERROR(__xludf.DUMMYFUNCTION("""COMPUTED_VALUE"""),"4小时军队扩编10%")</f>
        <v>4小时军队扩编10%</v>
      </c>
      <c r="C151" s="148"/>
      <c r="D151" s="148" t="str">
        <f>IFERROR(__xludf.DUMMYFUNCTION("""COMPUTED_VALUE"""),"item_buff")</f>
        <v>item_buff</v>
      </c>
      <c r="E151" s="148">
        <f>IFERROR(__xludf.DUMMYFUNCTION("""COMPUTED_VALUE"""),11.0)</f>
        <v>11</v>
      </c>
      <c r="F151" s="148">
        <f>IFERROR(__xludf.DUMMYFUNCTION("""COMPUTED_VALUE"""),305401.0)</f>
        <v>305401</v>
      </c>
      <c r="G151" s="148">
        <f>IFERROR(__xludf.DUMMYFUNCTION("""COMPUTED_VALUE"""),1.5112575E7)</f>
        <v>15112575</v>
      </c>
      <c r="H151" s="148">
        <f>IFERROR(__xludf.DUMMYFUNCTION("""COMPUTED_VALUE"""),1.5112563E7)</f>
        <v>15112563</v>
      </c>
      <c r="I151" s="148" t="str">
        <f>IFERROR(__xludf.DUMMYFUNCTION("""COMPUTED_VALUE"""),"{""typ"":""lc"",""txt"":""LC_ITEM_time_h_upper_show"",""args"":[{""typ"":""int"",""val"":4}]}")</f>
        <v>{"typ":"lc","txt":"LC_ITEM_time_h_upper_show","args":[{"typ":"int","val":4}]}</v>
      </c>
      <c r="J151" s="148" t="str">
        <f>IFERROR(__xludf.DUMMYFUNCTION("""COMPUTED_VALUE"""),"{""typ"":""lc"",""txt"":""LC_ITEM_item_troops_capacity0_name"",""args"":[{""typ"":""int"",""val"":4}]}")</f>
        <v>{"typ":"lc","txt":"LC_ITEM_item_troops_capacity0_name","args":[{"typ":"int","val":4}]}</v>
      </c>
      <c r="K151" s="148" t="str">
        <f>IFERROR(__xludf.DUMMYFUNCTION("""COMPUTED_VALUE"""),"{""typ"":""lc"",""txt"":""LC_ITEM_item_troops_capacity0_desc"",""args"":[{""typ"":""int"",""val"":4}]}")</f>
        <v>{"typ":"lc","txt":"LC_ITEM_item_troops_capacity0_desc","args":[{"typ":"int","val":4}]}</v>
      </c>
      <c r="L151" s="148" t="str">
        <f>IFERROR(__xludf.DUMMYFUNCTION("""COMPUTED_VALUE"""),"{""typ"":""lc"",""txt"":""LC_ITEM_item_troops_capacity0_usedtip"",""args"":[{""typ"":""int"",""val"":4}]}")</f>
        <v>{"typ":"lc","txt":"LC_ITEM_item_troops_capacity0_usedtip","args":[{"typ":"int","val":4}]}</v>
      </c>
      <c r="M151" s="148">
        <f>IFERROR(__xludf.DUMMYFUNCTION("""COMPUTED_VALUE"""),800.0)</f>
        <v>800</v>
      </c>
      <c r="N151" s="148">
        <f>IFERROR(__xludf.DUMMYFUNCTION("""COMPUTED_VALUE"""),999999.0)</f>
        <v>999999</v>
      </c>
      <c r="O151" s="148">
        <f>IFERROR(__xludf.DUMMYFUNCTION("""COMPUTED_VALUE"""),99999.0)</f>
        <v>99999</v>
      </c>
      <c r="P151" s="148">
        <f>IFERROR(__xludf.DUMMYFUNCTION("""COMPUTED_VALUE"""),1.0)</f>
        <v>1</v>
      </c>
      <c r="Q151" s="148" t="str">
        <f>IFERROR(__xludf.DUMMYFUNCTION("""COMPUTED_VALUE"""),"[""bag_buff"",""buff_city""]")</f>
        <v>["bag_buff","buff_city"]</v>
      </c>
      <c r="R151" s="148" t="str">
        <f>IFERROR(__xludf.DUMMYFUNCTION("""COMPUTED_VALUE"""),"[""bag"",""buff_city""]")</f>
        <v>["bag","buff_city"]</v>
      </c>
      <c r="S151" s="148" t="str">
        <f>IFERROR(__xludf.DUMMYFUNCTION("""COMPUTED_VALUE"""),"{""effect"":[{""typ"":""buff"",""id"":12113007,""val"":14400000,""arg1"":0.1}]}")</f>
        <v>{"effect":[{"typ":"buff","id":12113007,"val":14400000,"arg1":0.1}]}</v>
      </c>
      <c r="T151" s="148">
        <f>IFERROR(__xludf.DUMMYFUNCTION("""COMPUTED_VALUE"""),-1.0)</f>
        <v>-1</v>
      </c>
      <c r="U151" s="148">
        <f>IFERROR(__xludf.DUMMYFUNCTION("""COMPUTED_VALUE"""),0.0)</f>
        <v>0</v>
      </c>
      <c r="V151" s="148" t="str">
        <f>IFERROR(__xludf.DUMMYFUNCTION("""COMPUTED_VALUE"""),"[]")</f>
        <v>[]</v>
      </c>
      <c r="W151" s="148">
        <f>IFERROR(__xludf.DUMMYFUNCTION("""COMPUTED_VALUE"""),1.1741004E7)</f>
        <v>11741004</v>
      </c>
      <c r="X151" s="148">
        <f>IFERROR(__xludf.DUMMYFUNCTION("""COMPUTED_VALUE"""),0.0)</f>
        <v>0</v>
      </c>
      <c r="Y151" s="148">
        <f>IFERROR(__xludf.DUMMYFUNCTION("""COMPUTED_VALUE"""),0.0)</f>
        <v>0</v>
      </c>
      <c r="Z151" s="148"/>
    </row>
    <row r="152">
      <c r="A152" s="148">
        <f>IFERROR(__xludf.DUMMYFUNCTION("""COMPUTED_VALUE"""),1.1111301E7)</f>
        <v>11111301</v>
      </c>
      <c r="B152" s="148" t="str">
        <f>IFERROR(__xludf.DUMMYFUNCTION("""COMPUTED_VALUE"""),"初始头像框")</f>
        <v>初始头像框</v>
      </c>
      <c r="C152" s="148"/>
      <c r="D152" s="148" t="str">
        <f>IFERROR(__xludf.DUMMYFUNCTION("""COMPUTED_VALUE"""),"avatar_frame")</f>
        <v>avatar_frame</v>
      </c>
      <c r="E152" s="148">
        <f>IFERROR(__xludf.DUMMYFUNCTION("""COMPUTED_VALUE"""),20.0)</f>
        <v>20</v>
      </c>
      <c r="F152" s="148">
        <f>IFERROR(__xludf.DUMMYFUNCTION("""COMPUTED_VALUE"""),0.0)</f>
        <v>0</v>
      </c>
      <c r="G152" s="148">
        <f>IFERROR(__xludf.DUMMYFUNCTION("""COMPUTED_VALUE"""),1.5112468E7)</f>
        <v>15112468</v>
      </c>
      <c r="H152" s="148">
        <f>IFERROR(__xludf.DUMMYFUNCTION("""COMPUTED_VALUE"""),1.5112563E7)</f>
        <v>15112563</v>
      </c>
      <c r="I152" s="148" t="str">
        <f>IFERROR(__xludf.DUMMYFUNCTION("""COMPUTED_VALUE"""),"{}")</f>
        <v>{}</v>
      </c>
      <c r="J152" s="148" t="str">
        <f>IFERROR(__xludf.DUMMYFUNCTION("""COMPUTED_VALUE"""),"{""typ"":""lc"",""txt"":""LC_ASSET_avatar_frame_name_1""}")</f>
        <v>{"typ":"lc","txt":"LC_ASSET_avatar_frame_name_1"}</v>
      </c>
      <c r="K152" s="148" t="str">
        <f>IFERROR(__xludf.DUMMYFUNCTION("""COMPUTED_VALUE"""),"{""typ"":""lc"",""txt"":""LC_MENU_forever""}")</f>
        <v>{"typ":"lc","txt":"LC_MENU_forever"}</v>
      </c>
      <c r="L152" s="148" t="str">
        <f>IFERROR(__xludf.DUMMYFUNCTION("""COMPUTED_VALUE"""),"{}")</f>
        <v>{}</v>
      </c>
      <c r="M152" s="148">
        <f>IFERROR(__xludf.DUMMYFUNCTION("""COMPUTED_VALUE"""),1000.0)</f>
        <v>1000</v>
      </c>
      <c r="N152" s="148">
        <f>IFERROR(__xludf.DUMMYFUNCTION("""COMPUTED_VALUE"""),1.0)</f>
        <v>1</v>
      </c>
      <c r="O152" s="148">
        <f>IFERROR(__xludf.DUMMYFUNCTION("""COMPUTED_VALUE"""),1.0)</f>
        <v>1</v>
      </c>
      <c r="P152" s="148">
        <f>IFERROR(__xludf.DUMMYFUNCTION("""COMPUTED_VALUE"""),1.0)</f>
        <v>1</v>
      </c>
      <c r="Q152" s="148" t="str">
        <f>IFERROR(__xludf.DUMMYFUNCTION("""COMPUTED_VALUE"""),"[]")</f>
        <v>[]</v>
      </c>
      <c r="R152" s="148" t="str">
        <f>IFERROR(__xludf.DUMMYFUNCTION("""COMPUTED_VALUE"""),"[""11421001""]")</f>
        <v>["11421001"]</v>
      </c>
      <c r="S152" s="148" t="str">
        <f>IFERROR(__xludf.DUMMYFUNCTION("""COMPUTED_VALUE"""),"{""effect"":[{""typ"":""avatar_frame"",""id"":11421001,""val"":-1},{""typ"":""item"",""id"":11111031,""val"":1000}]}")</f>
        <v>{"effect":[{"typ":"avatar_frame","id":11421001,"val":-1},{"typ":"item","id":11111031,"val":1000}]}</v>
      </c>
      <c r="T152" s="148">
        <f>IFERROR(__xludf.DUMMYFUNCTION("""COMPUTED_VALUE"""),-1.0)</f>
        <v>-1</v>
      </c>
      <c r="U152" s="148">
        <f>IFERROR(__xludf.DUMMYFUNCTION("""COMPUTED_VALUE"""),1.0)</f>
        <v>1</v>
      </c>
      <c r="V152" s="148" t="str">
        <f>IFERROR(__xludf.DUMMYFUNCTION("""COMPUTED_VALUE"""),"[]")</f>
        <v>[]</v>
      </c>
      <c r="W152" s="148">
        <f>IFERROR(__xludf.DUMMYFUNCTION("""COMPUTED_VALUE"""),1.174E7)</f>
        <v>11740000</v>
      </c>
      <c r="X152" s="148">
        <f>IFERROR(__xludf.DUMMYFUNCTION("""COMPUTED_VALUE"""),0.0)</f>
        <v>0</v>
      </c>
      <c r="Y152" s="148">
        <f>IFERROR(__xludf.DUMMYFUNCTION("""COMPUTED_VALUE"""),0.0)</f>
        <v>0</v>
      </c>
      <c r="Z152" s="148"/>
    </row>
    <row r="153">
      <c r="A153" s="148">
        <f>IFERROR(__xludf.DUMMYFUNCTION("""COMPUTED_VALUE"""),1.1111302E7)</f>
        <v>11111302</v>
      </c>
      <c r="B153" s="148" t="str">
        <f>IFERROR(__xludf.DUMMYFUNCTION("""COMPUTED_VALUE"""),"悲惨世界")</f>
        <v>悲惨世界</v>
      </c>
      <c r="C153" s="148"/>
      <c r="D153" s="148" t="str">
        <f>IFERROR(__xludf.DUMMYFUNCTION("""COMPUTED_VALUE"""),"avatar_frame")</f>
        <v>avatar_frame</v>
      </c>
      <c r="E153" s="148">
        <f>IFERROR(__xludf.DUMMYFUNCTION("""COMPUTED_VALUE"""),20.0)</f>
        <v>20</v>
      </c>
      <c r="F153" s="148">
        <f>IFERROR(__xludf.DUMMYFUNCTION("""COMPUTED_VALUE"""),0.0)</f>
        <v>0</v>
      </c>
      <c r="G153" s="148">
        <f>IFERROR(__xludf.DUMMYFUNCTION("""COMPUTED_VALUE"""),1.5112469E7)</f>
        <v>15112469</v>
      </c>
      <c r="H153" s="148">
        <f>IFERROR(__xludf.DUMMYFUNCTION("""COMPUTED_VALUE"""),1.5112563E7)</f>
        <v>15112563</v>
      </c>
      <c r="I153" s="148" t="str">
        <f>IFERROR(__xludf.DUMMYFUNCTION("""COMPUTED_VALUE"""),"{}")</f>
        <v>{}</v>
      </c>
      <c r="J153" s="148" t="str">
        <f>IFERROR(__xludf.DUMMYFUNCTION("""COMPUTED_VALUE"""),"{""typ"":""lc"",""txt"":""LC_ASSET_avatar_frame_name_2""}")</f>
        <v>{"typ":"lc","txt":"LC_ASSET_avatar_frame_name_2"}</v>
      </c>
      <c r="K153" s="148" t="str">
        <f>IFERROR(__xludf.DUMMYFUNCTION("""COMPUTED_VALUE"""),"{""typ"":""lc"",""txt"":""LC_MENU_forever""}")</f>
        <v>{"typ":"lc","txt":"LC_MENU_forever"}</v>
      </c>
      <c r="L153" s="148" t="str">
        <f>IFERROR(__xludf.DUMMYFUNCTION("""COMPUTED_VALUE"""),"{}")</f>
        <v>{}</v>
      </c>
      <c r="M153" s="148">
        <f>IFERROR(__xludf.DUMMYFUNCTION("""COMPUTED_VALUE"""),1000.0)</f>
        <v>1000</v>
      </c>
      <c r="N153" s="148">
        <f>IFERROR(__xludf.DUMMYFUNCTION("""COMPUTED_VALUE"""),99.0)</f>
        <v>99</v>
      </c>
      <c r="O153" s="148">
        <f>IFERROR(__xludf.DUMMYFUNCTION("""COMPUTED_VALUE"""),1.0)</f>
        <v>1</v>
      </c>
      <c r="P153" s="148">
        <f>IFERROR(__xludf.DUMMYFUNCTION("""COMPUTED_VALUE"""),1.0)</f>
        <v>1</v>
      </c>
      <c r="Q153" s="148" t="str">
        <f>IFERROR(__xludf.DUMMYFUNCTION("""COMPUTED_VALUE"""),"[]")</f>
        <v>[]</v>
      </c>
      <c r="R153" s="148" t="str">
        <f>IFERROR(__xludf.DUMMYFUNCTION("""COMPUTED_VALUE"""),"[""11421002""]")</f>
        <v>["11421002"]</v>
      </c>
      <c r="S153" s="148" t="str">
        <f>IFERROR(__xludf.DUMMYFUNCTION("""COMPUTED_VALUE"""),"{""effect"":[{""typ"":""avatar_frame"",""id"":11421002,""val"":-1},{""typ"":""item"",""id"":11111031,""val"":1000}]}")</f>
        <v>{"effect":[{"typ":"avatar_frame","id":11421002,"val":-1},{"typ":"item","id":11111031,"val":1000}]}</v>
      </c>
      <c r="T153" s="148">
        <f>IFERROR(__xludf.DUMMYFUNCTION("""COMPUTED_VALUE"""),-1.0)</f>
        <v>-1</v>
      </c>
      <c r="U153" s="148">
        <f>IFERROR(__xludf.DUMMYFUNCTION("""COMPUTED_VALUE"""),1.0)</f>
        <v>1</v>
      </c>
      <c r="V153" s="148" t="str">
        <f>IFERROR(__xludf.DUMMYFUNCTION("""COMPUTED_VALUE"""),"[]")</f>
        <v>[]</v>
      </c>
      <c r="W153" s="148">
        <f>IFERROR(__xludf.DUMMYFUNCTION("""COMPUTED_VALUE"""),1.174E7)</f>
        <v>11740000</v>
      </c>
      <c r="X153" s="148">
        <f>IFERROR(__xludf.DUMMYFUNCTION("""COMPUTED_VALUE"""),0.0)</f>
        <v>0</v>
      </c>
      <c r="Y153" s="148">
        <f>IFERROR(__xludf.DUMMYFUNCTION("""COMPUTED_VALUE"""),0.0)</f>
        <v>0</v>
      </c>
      <c r="Z153" s="148"/>
    </row>
    <row r="154">
      <c r="A154" s="148">
        <f>IFERROR(__xludf.DUMMYFUNCTION("""COMPUTED_VALUE"""),1.1111303E7)</f>
        <v>11111303</v>
      </c>
      <c r="B154" s="148" t="str">
        <f>IFERROR(__xludf.DUMMYFUNCTION("""COMPUTED_VALUE"""),"金属之光")</f>
        <v>金属之光</v>
      </c>
      <c r="C154" s="148"/>
      <c r="D154" s="148" t="str">
        <f>IFERROR(__xludf.DUMMYFUNCTION("""COMPUTED_VALUE"""),"avatar_frame")</f>
        <v>avatar_frame</v>
      </c>
      <c r="E154" s="148">
        <f>IFERROR(__xludf.DUMMYFUNCTION("""COMPUTED_VALUE"""),20.0)</f>
        <v>20</v>
      </c>
      <c r="F154" s="148">
        <f>IFERROR(__xludf.DUMMYFUNCTION("""COMPUTED_VALUE"""),0.0)</f>
        <v>0</v>
      </c>
      <c r="G154" s="148">
        <f>IFERROR(__xludf.DUMMYFUNCTION("""COMPUTED_VALUE"""),1.511247E7)</f>
        <v>15112470</v>
      </c>
      <c r="H154" s="148">
        <f>IFERROR(__xludf.DUMMYFUNCTION("""COMPUTED_VALUE"""),1.5112563E7)</f>
        <v>15112563</v>
      </c>
      <c r="I154" s="148" t="str">
        <f>IFERROR(__xludf.DUMMYFUNCTION("""COMPUTED_VALUE"""),"{}")</f>
        <v>{}</v>
      </c>
      <c r="J154" s="148" t="str">
        <f>IFERROR(__xludf.DUMMYFUNCTION("""COMPUTED_VALUE"""),"{""typ"":""lc"",""txt"":""LC_ASSET_avatar_frame_name_3""}")</f>
        <v>{"typ":"lc","txt":"LC_ASSET_avatar_frame_name_3"}</v>
      </c>
      <c r="K154" s="148" t="str">
        <f>IFERROR(__xludf.DUMMYFUNCTION("""COMPUTED_VALUE"""),"{""typ"":""lc"",""txt"":""LC_MENU_forever""}")</f>
        <v>{"typ":"lc","txt":"LC_MENU_forever"}</v>
      </c>
      <c r="L154" s="148" t="str">
        <f>IFERROR(__xludf.DUMMYFUNCTION("""COMPUTED_VALUE"""),"{}")</f>
        <v>{}</v>
      </c>
      <c r="M154" s="148">
        <f>IFERROR(__xludf.DUMMYFUNCTION("""COMPUTED_VALUE"""),1000.0)</f>
        <v>1000</v>
      </c>
      <c r="N154" s="148">
        <f>IFERROR(__xludf.DUMMYFUNCTION("""COMPUTED_VALUE"""),99.0)</f>
        <v>99</v>
      </c>
      <c r="O154" s="148">
        <f>IFERROR(__xludf.DUMMYFUNCTION("""COMPUTED_VALUE"""),1.0)</f>
        <v>1</v>
      </c>
      <c r="P154" s="148">
        <f>IFERROR(__xludf.DUMMYFUNCTION("""COMPUTED_VALUE"""),1.0)</f>
        <v>1</v>
      </c>
      <c r="Q154" s="148" t="str">
        <f>IFERROR(__xludf.DUMMYFUNCTION("""COMPUTED_VALUE"""),"[]")</f>
        <v>[]</v>
      </c>
      <c r="R154" s="148" t="str">
        <f>IFERROR(__xludf.DUMMYFUNCTION("""COMPUTED_VALUE"""),"[""11421003""]")</f>
        <v>["11421003"]</v>
      </c>
      <c r="S154" s="148" t="str">
        <f>IFERROR(__xludf.DUMMYFUNCTION("""COMPUTED_VALUE"""),"{""effect"":[{""typ"":""avatar_frame"",""id"":11421003,""val"":-1},{""typ"":""item"",""id"":11111031,""val"":1000}]}")</f>
        <v>{"effect":[{"typ":"avatar_frame","id":11421003,"val":-1},{"typ":"item","id":11111031,"val":1000}]}</v>
      </c>
      <c r="T154" s="148">
        <f>IFERROR(__xludf.DUMMYFUNCTION("""COMPUTED_VALUE"""),-1.0)</f>
        <v>-1</v>
      </c>
      <c r="U154" s="148">
        <f>IFERROR(__xludf.DUMMYFUNCTION("""COMPUTED_VALUE"""),1.0)</f>
        <v>1</v>
      </c>
      <c r="V154" s="148" t="str">
        <f>IFERROR(__xludf.DUMMYFUNCTION("""COMPUTED_VALUE"""),"[]")</f>
        <v>[]</v>
      </c>
      <c r="W154" s="148">
        <f>IFERROR(__xludf.DUMMYFUNCTION("""COMPUTED_VALUE"""),1.174E7)</f>
        <v>11740000</v>
      </c>
      <c r="X154" s="148">
        <f>IFERROR(__xludf.DUMMYFUNCTION("""COMPUTED_VALUE"""),0.0)</f>
        <v>0</v>
      </c>
      <c r="Y154" s="148">
        <f>IFERROR(__xludf.DUMMYFUNCTION("""COMPUTED_VALUE"""),0.0)</f>
        <v>0</v>
      </c>
      <c r="Z154" s="148"/>
    </row>
    <row r="155">
      <c r="A155" s="148">
        <f>IFERROR(__xludf.DUMMYFUNCTION("""COMPUTED_VALUE"""),1.1111304E7)</f>
        <v>11111304</v>
      </c>
      <c r="B155" s="148" t="str">
        <f>IFERROR(__xludf.DUMMYFUNCTION("""COMPUTED_VALUE"""),"废墟探索者")</f>
        <v>废墟探索者</v>
      </c>
      <c r="C155" s="148"/>
      <c r="D155" s="148" t="str">
        <f>IFERROR(__xludf.DUMMYFUNCTION("""COMPUTED_VALUE"""),"avatar_frame")</f>
        <v>avatar_frame</v>
      </c>
      <c r="E155" s="148">
        <f>IFERROR(__xludf.DUMMYFUNCTION("""COMPUTED_VALUE"""),20.0)</f>
        <v>20</v>
      </c>
      <c r="F155" s="148">
        <f>IFERROR(__xludf.DUMMYFUNCTION("""COMPUTED_VALUE"""),0.0)</f>
        <v>0</v>
      </c>
      <c r="G155" s="148">
        <f>IFERROR(__xludf.DUMMYFUNCTION("""COMPUTED_VALUE"""),1.5112471E7)</f>
        <v>15112471</v>
      </c>
      <c r="H155" s="148">
        <f>IFERROR(__xludf.DUMMYFUNCTION("""COMPUTED_VALUE"""),1.5112563E7)</f>
        <v>15112563</v>
      </c>
      <c r="I155" s="148" t="str">
        <f>IFERROR(__xludf.DUMMYFUNCTION("""COMPUTED_VALUE"""),"{}")</f>
        <v>{}</v>
      </c>
      <c r="J155" s="148" t="str">
        <f>IFERROR(__xludf.DUMMYFUNCTION("""COMPUTED_VALUE"""),"{""typ"":""lc"",""txt"":""LC_ASSET_avatar_frame_name_4""}")</f>
        <v>{"typ":"lc","txt":"LC_ASSET_avatar_frame_name_4"}</v>
      </c>
      <c r="K155" s="148" t="str">
        <f>IFERROR(__xludf.DUMMYFUNCTION("""COMPUTED_VALUE"""),"{""typ"":""lc"",""txt"":""LC_MENU_forever""}")</f>
        <v>{"typ":"lc","txt":"LC_MENU_forever"}</v>
      </c>
      <c r="L155" s="148" t="str">
        <f>IFERROR(__xludf.DUMMYFUNCTION("""COMPUTED_VALUE"""),"{}")</f>
        <v>{}</v>
      </c>
      <c r="M155" s="148">
        <f>IFERROR(__xludf.DUMMYFUNCTION("""COMPUTED_VALUE"""),1000.0)</f>
        <v>1000</v>
      </c>
      <c r="N155" s="148">
        <f>IFERROR(__xludf.DUMMYFUNCTION("""COMPUTED_VALUE"""),99.0)</f>
        <v>99</v>
      </c>
      <c r="O155" s="148">
        <f>IFERROR(__xludf.DUMMYFUNCTION("""COMPUTED_VALUE"""),1.0)</f>
        <v>1</v>
      </c>
      <c r="P155" s="148">
        <f>IFERROR(__xludf.DUMMYFUNCTION("""COMPUTED_VALUE"""),1.0)</f>
        <v>1</v>
      </c>
      <c r="Q155" s="148" t="str">
        <f>IFERROR(__xludf.DUMMYFUNCTION("""COMPUTED_VALUE"""),"[]")</f>
        <v>[]</v>
      </c>
      <c r="R155" s="148" t="str">
        <f>IFERROR(__xludf.DUMMYFUNCTION("""COMPUTED_VALUE"""),"[""11421004""]")</f>
        <v>["11421004"]</v>
      </c>
      <c r="S155" s="148" t="str">
        <f>IFERROR(__xludf.DUMMYFUNCTION("""COMPUTED_VALUE"""),"{""effect"":[{""typ"":""avatar_frame"",""id"":11421004,""val"":-1},{""typ"":""item"",""id"":11111031,""val"":1000}]}")</f>
        <v>{"effect":[{"typ":"avatar_frame","id":11421004,"val":-1},{"typ":"item","id":11111031,"val":1000}]}</v>
      </c>
      <c r="T155" s="148">
        <f>IFERROR(__xludf.DUMMYFUNCTION("""COMPUTED_VALUE"""),-1.0)</f>
        <v>-1</v>
      </c>
      <c r="U155" s="148">
        <f>IFERROR(__xludf.DUMMYFUNCTION("""COMPUTED_VALUE"""),1.0)</f>
        <v>1</v>
      </c>
      <c r="V155" s="148" t="str">
        <f>IFERROR(__xludf.DUMMYFUNCTION("""COMPUTED_VALUE"""),"[]")</f>
        <v>[]</v>
      </c>
      <c r="W155" s="148">
        <f>IFERROR(__xludf.DUMMYFUNCTION("""COMPUTED_VALUE"""),1.174E7)</f>
        <v>11740000</v>
      </c>
      <c r="X155" s="148">
        <f>IFERROR(__xludf.DUMMYFUNCTION("""COMPUTED_VALUE"""),0.0)</f>
        <v>0</v>
      </c>
      <c r="Y155" s="148">
        <f>IFERROR(__xludf.DUMMYFUNCTION("""COMPUTED_VALUE"""),0.0)</f>
        <v>0</v>
      </c>
      <c r="Z155" s="148"/>
    </row>
    <row r="156">
      <c r="A156" s="148">
        <f>IFERROR(__xludf.DUMMYFUNCTION("""COMPUTED_VALUE"""),1.1111305E7)</f>
        <v>11111305</v>
      </c>
      <c r="B156" s="148" t="str">
        <f>IFERROR(__xludf.DUMMYFUNCTION("""COMPUTED_VALUE"""),"禁止通行")</f>
        <v>禁止通行</v>
      </c>
      <c r="C156" s="148"/>
      <c r="D156" s="148" t="str">
        <f>IFERROR(__xludf.DUMMYFUNCTION("""COMPUTED_VALUE"""),"avatar_frame")</f>
        <v>avatar_frame</v>
      </c>
      <c r="E156" s="148">
        <f>IFERROR(__xludf.DUMMYFUNCTION("""COMPUTED_VALUE"""),20.0)</f>
        <v>20</v>
      </c>
      <c r="F156" s="148">
        <f>IFERROR(__xludf.DUMMYFUNCTION("""COMPUTED_VALUE"""),0.0)</f>
        <v>0</v>
      </c>
      <c r="G156" s="148">
        <f>IFERROR(__xludf.DUMMYFUNCTION("""COMPUTED_VALUE"""),1.5112472E7)</f>
        <v>15112472</v>
      </c>
      <c r="H156" s="148">
        <f>IFERROR(__xludf.DUMMYFUNCTION("""COMPUTED_VALUE"""),1.5112563E7)</f>
        <v>15112563</v>
      </c>
      <c r="I156" s="148" t="str">
        <f>IFERROR(__xludf.DUMMYFUNCTION("""COMPUTED_VALUE"""),"{}")</f>
        <v>{}</v>
      </c>
      <c r="J156" s="148" t="str">
        <f>IFERROR(__xludf.DUMMYFUNCTION("""COMPUTED_VALUE"""),"{""typ"":""lc"",""txt"":""LC_ASSET_avatar_frame_name_5""}")</f>
        <v>{"typ":"lc","txt":"LC_ASSET_avatar_frame_name_5"}</v>
      </c>
      <c r="K156" s="148" t="str">
        <f>IFERROR(__xludf.DUMMYFUNCTION("""COMPUTED_VALUE"""),"{""typ"":""lc"",""txt"":""LC_MENU_forever""}")</f>
        <v>{"typ":"lc","txt":"LC_MENU_forever"}</v>
      </c>
      <c r="L156" s="148" t="str">
        <f>IFERROR(__xludf.DUMMYFUNCTION("""COMPUTED_VALUE"""),"{}")</f>
        <v>{}</v>
      </c>
      <c r="M156" s="148">
        <f>IFERROR(__xludf.DUMMYFUNCTION("""COMPUTED_VALUE"""),1000.0)</f>
        <v>1000</v>
      </c>
      <c r="N156" s="148">
        <f>IFERROR(__xludf.DUMMYFUNCTION("""COMPUTED_VALUE"""),99.0)</f>
        <v>99</v>
      </c>
      <c r="O156" s="148">
        <f>IFERROR(__xludf.DUMMYFUNCTION("""COMPUTED_VALUE"""),1.0)</f>
        <v>1</v>
      </c>
      <c r="P156" s="148">
        <f>IFERROR(__xludf.DUMMYFUNCTION("""COMPUTED_VALUE"""),1.0)</f>
        <v>1</v>
      </c>
      <c r="Q156" s="148" t="str">
        <f>IFERROR(__xludf.DUMMYFUNCTION("""COMPUTED_VALUE"""),"[]")</f>
        <v>[]</v>
      </c>
      <c r="R156" s="148" t="str">
        <f>IFERROR(__xludf.DUMMYFUNCTION("""COMPUTED_VALUE"""),"[""11421005""]")</f>
        <v>["11421005"]</v>
      </c>
      <c r="S156" s="148" t="str">
        <f>IFERROR(__xludf.DUMMYFUNCTION("""COMPUTED_VALUE"""),"{""effect"":[{""typ"":""avatar_frame"",""id"":11421005,""val"":-1},{""typ"":""item"",""id"":11111031,""val"":1000}]}")</f>
        <v>{"effect":[{"typ":"avatar_frame","id":11421005,"val":-1},{"typ":"item","id":11111031,"val":1000}]}</v>
      </c>
      <c r="T156" s="148">
        <f>IFERROR(__xludf.DUMMYFUNCTION("""COMPUTED_VALUE"""),-1.0)</f>
        <v>-1</v>
      </c>
      <c r="U156" s="148">
        <f>IFERROR(__xludf.DUMMYFUNCTION("""COMPUTED_VALUE"""),1.0)</f>
        <v>1</v>
      </c>
      <c r="V156" s="148" t="str">
        <f>IFERROR(__xludf.DUMMYFUNCTION("""COMPUTED_VALUE"""),"[]")</f>
        <v>[]</v>
      </c>
      <c r="W156" s="148">
        <f>IFERROR(__xludf.DUMMYFUNCTION("""COMPUTED_VALUE"""),1.174E7)</f>
        <v>11740000</v>
      </c>
      <c r="X156" s="148">
        <f>IFERROR(__xludf.DUMMYFUNCTION("""COMPUTED_VALUE"""),0.0)</f>
        <v>0</v>
      </c>
      <c r="Y156" s="148">
        <f>IFERROR(__xludf.DUMMYFUNCTION("""COMPUTED_VALUE"""),0.0)</f>
        <v>0</v>
      </c>
      <c r="Z156" s="148"/>
    </row>
    <row r="157">
      <c r="A157" s="148">
        <f>IFERROR(__xludf.DUMMYFUNCTION("""COMPUTED_VALUE"""),1.1111306E7)</f>
        <v>11111306</v>
      </c>
      <c r="B157" s="148" t="str">
        <f>IFERROR(__xludf.DUMMYFUNCTION("""COMPUTED_VALUE"""),"环环相扣")</f>
        <v>环环相扣</v>
      </c>
      <c r="C157" s="148"/>
      <c r="D157" s="148" t="str">
        <f>IFERROR(__xludf.DUMMYFUNCTION("""COMPUTED_VALUE"""),"avatar_frame")</f>
        <v>avatar_frame</v>
      </c>
      <c r="E157" s="148">
        <f>IFERROR(__xludf.DUMMYFUNCTION("""COMPUTED_VALUE"""),20.0)</f>
        <v>20</v>
      </c>
      <c r="F157" s="148">
        <f>IFERROR(__xludf.DUMMYFUNCTION("""COMPUTED_VALUE"""),0.0)</f>
        <v>0</v>
      </c>
      <c r="G157" s="148">
        <f>IFERROR(__xludf.DUMMYFUNCTION("""COMPUTED_VALUE"""),1.5112473E7)</f>
        <v>15112473</v>
      </c>
      <c r="H157" s="148">
        <f>IFERROR(__xludf.DUMMYFUNCTION("""COMPUTED_VALUE"""),1.5112563E7)</f>
        <v>15112563</v>
      </c>
      <c r="I157" s="148" t="str">
        <f>IFERROR(__xludf.DUMMYFUNCTION("""COMPUTED_VALUE"""),"{}")</f>
        <v>{}</v>
      </c>
      <c r="J157" s="148" t="str">
        <f>IFERROR(__xludf.DUMMYFUNCTION("""COMPUTED_VALUE"""),"{""typ"":""lc"",""txt"":""LC_ASSET_avatar_frame_name_6""}")</f>
        <v>{"typ":"lc","txt":"LC_ASSET_avatar_frame_name_6"}</v>
      </c>
      <c r="K157" s="148" t="str">
        <f>IFERROR(__xludf.DUMMYFUNCTION("""COMPUTED_VALUE"""),"{""typ"":""lc"",""txt"":""LC_MENU_forever""}")</f>
        <v>{"typ":"lc","txt":"LC_MENU_forever"}</v>
      </c>
      <c r="L157" s="148" t="str">
        <f>IFERROR(__xludf.DUMMYFUNCTION("""COMPUTED_VALUE"""),"{}")</f>
        <v>{}</v>
      </c>
      <c r="M157" s="148">
        <f>IFERROR(__xludf.DUMMYFUNCTION("""COMPUTED_VALUE"""),1000.0)</f>
        <v>1000</v>
      </c>
      <c r="N157" s="148">
        <f>IFERROR(__xludf.DUMMYFUNCTION("""COMPUTED_VALUE"""),99.0)</f>
        <v>99</v>
      </c>
      <c r="O157" s="148">
        <f>IFERROR(__xludf.DUMMYFUNCTION("""COMPUTED_VALUE"""),1.0)</f>
        <v>1</v>
      </c>
      <c r="P157" s="148">
        <f>IFERROR(__xludf.DUMMYFUNCTION("""COMPUTED_VALUE"""),1.0)</f>
        <v>1</v>
      </c>
      <c r="Q157" s="148" t="str">
        <f>IFERROR(__xludf.DUMMYFUNCTION("""COMPUTED_VALUE"""),"[]")</f>
        <v>[]</v>
      </c>
      <c r="R157" s="148" t="str">
        <f>IFERROR(__xludf.DUMMYFUNCTION("""COMPUTED_VALUE"""),"[""11421006""]")</f>
        <v>["11421006"]</v>
      </c>
      <c r="S157" s="148" t="str">
        <f>IFERROR(__xludf.DUMMYFUNCTION("""COMPUTED_VALUE"""),"{""effect"":[{""typ"":""avatar_frame"",""id"":11421006,""val"":-1},{""typ"":""item"",""id"":11111031,""val"":1000}]}")</f>
        <v>{"effect":[{"typ":"avatar_frame","id":11421006,"val":-1},{"typ":"item","id":11111031,"val":1000}]}</v>
      </c>
      <c r="T157" s="148">
        <f>IFERROR(__xludf.DUMMYFUNCTION("""COMPUTED_VALUE"""),-1.0)</f>
        <v>-1</v>
      </c>
      <c r="U157" s="148">
        <f>IFERROR(__xludf.DUMMYFUNCTION("""COMPUTED_VALUE"""),1.0)</f>
        <v>1</v>
      </c>
      <c r="V157" s="148" t="str">
        <f>IFERROR(__xludf.DUMMYFUNCTION("""COMPUTED_VALUE"""),"[]")</f>
        <v>[]</v>
      </c>
      <c r="W157" s="148">
        <f>IFERROR(__xludf.DUMMYFUNCTION("""COMPUTED_VALUE"""),1.174E7)</f>
        <v>11740000</v>
      </c>
      <c r="X157" s="148">
        <f>IFERROR(__xludf.DUMMYFUNCTION("""COMPUTED_VALUE"""),0.0)</f>
        <v>0</v>
      </c>
      <c r="Y157" s="148">
        <f>IFERROR(__xludf.DUMMYFUNCTION("""COMPUTED_VALUE"""),0.0)</f>
        <v>0</v>
      </c>
      <c r="Z157" s="148"/>
    </row>
    <row r="158">
      <c r="A158" s="148">
        <f>IFERROR(__xludf.DUMMYFUNCTION("""COMPUTED_VALUE"""),1.1111307E7)</f>
        <v>11111307</v>
      </c>
      <c r="B158" s="148" t="str">
        <f>IFERROR(__xludf.DUMMYFUNCTION("""COMPUTED_VALUE"""),"铜墙铁壁")</f>
        <v>铜墙铁壁</v>
      </c>
      <c r="C158" s="148"/>
      <c r="D158" s="148" t="str">
        <f>IFERROR(__xludf.DUMMYFUNCTION("""COMPUTED_VALUE"""),"avatar_frame")</f>
        <v>avatar_frame</v>
      </c>
      <c r="E158" s="148">
        <f>IFERROR(__xludf.DUMMYFUNCTION("""COMPUTED_VALUE"""),20.0)</f>
        <v>20</v>
      </c>
      <c r="F158" s="148">
        <f>IFERROR(__xludf.DUMMYFUNCTION("""COMPUTED_VALUE"""),0.0)</f>
        <v>0</v>
      </c>
      <c r="G158" s="148">
        <f>IFERROR(__xludf.DUMMYFUNCTION("""COMPUTED_VALUE"""),1.5112474E7)</f>
        <v>15112474</v>
      </c>
      <c r="H158" s="148">
        <f>IFERROR(__xludf.DUMMYFUNCTION("""COMPUTED_VALUE"""),1.5112563E7)</f>
        <v>15112563</v>
      </c>
      <c r="I158" s="148" t="str">
        <f>IFERROR(__xludf.DUMMYFUNCTION("""COMPUTED_VALUE"""),"{}")</f>
        <v>{}</v>
      </c>
      <c r="J158" s="148" t="str">
        <f>IFERROR(__xludf.DUMMYFUNCTION("""COMPUTED_VALUE"""),"{""typ"":""lc"",""txt"":""LC_ASSET_avatar_frame_name_7""}")</f>
        <v>{"typ":"lc","txt":"LC_ASSET_avatar_frame_name_7"}</v>
      </c>
      <c r="K158" s="148" t="str">
        <f>IFERROR(__xludf.DUMMYFUNCTION("""COMPUTED_VALUE"""),"{""typ"":""lc"",""txt"":""LC_MENU_forever""}")</f>
        <v>{"typ":"lc","txt":"LC_MENU_forever"}</v>
      </c>
      <c r="L158" s="148" t="str">
        <f>IFERROR(__xludf.DUMMYFUNCTION("""COMPUTED_VALUE"""),"{}")</f>
        <v>{}</v>
      </c>
      <c r="M158" s="148">
        <f>IFERROR(__xludf.DUMMYFUNCTION("""COMPUTED_VALUE"""),1000.0)</f>
        <v>1000</v>
      </c>
      <c r="N158" s="148">
        <f>IFERROR(__xludf.DUMMYFUNCTION("""COMPUTED_VALUE"""),99.0)</f>
        <v>99</v>
      </c>
      <c r="O158" s="148">
        <f>IFERROR(__xludf.DUMMYFUNCTION("""COMPUTED_VALUE"""),1.0)</f>
        <v>1</v>
      </c>
      <c r="P158" s="148">
        <f>IFERROR(__xludf.DUMMYFUNCTION("""COMPUTED_VALUE"""),1.0)</f>
        <v>1</v>
      </c>
      <c r="Q158" s="148" t="str">
        <f>IFERROR(__xludf.DUMMYFUNCTION("""COMPUTED_VALUE"""),"[]")</f>
        <v>[]</v>
      </c>
      <c r="R158" s="148" t="str">
        <f>IFERROR(__xludf.DUMMYFUNCTION("""COMPUTED_VALUE"""),"[""11421007""]")</f>
        <v>["11421007"]</v>
      </c>
      <c r="S158" s="148" t="str">
        <f>IFERROR(__xludf.DUMMYFUNCTION("""COMPUTED_VALUE"""),"{""effect"":[{""typ"":""avatar_frame"",""id"":11421007,""val"":-1},{""typ"":""item"",""id"":11111031,""val"":1000}]}")</f>
        <v>{"effect":[{"typ":"avatar_frame","id":11421007,"val":-1},{"typ":"item","id":11111031,"val":1000}]}</v>
      </c>
      <c r="T158" s="148">
        <f>IFERROR(__xludf.DUMMYFUNCTION("""COMPUTED_VALUE"""),-1.0)</f>
        <v>-1</v>
      </c>
      <c r="U158" s="148">
        <f>IFERROR(__xludf.DUMMYFUNCTION("""COMPUTED_VALUE"""),1.0)</f>
        <v>1</v>
      </c>
      <c r="V158" s="148" t="str">
        <f>IFERROR(__xludf.DUMMYFUNCTION("""COMPUTED_VALUE"""),"[]")</f>
        <v>[]</v>
      </c>
      <c r="W158" s="148">
        <f>IFERROR(__xludf.DUMMYFUNCTION("""COMPUTED_VALUE"""),1.174E7)</f>
        <v>11740000</v>
      </c>
      <c r="X158" s="148">
        <f>IFERROR(__xludf.DUMMYFUNCTION("""COMPUTED_VALUE"""),0.0)</f>
        <v>0</v>
      </c>
      <c r="Y158" s="148">
        <f>IFERROR(__xludf.DUMMYFUNCTION("""COMPUTED_VALUE"""),0.0)</f>
        <v>0</v>
      </c>
      <c r="Z158" s="148"/>
    </row>
    <row r="159">
      <c r="A159" s="148">
        <f>IFERROR(__xludf.DUMMYFUNCTION("""COMPUTED_VALUE"""),1.1111308E7)</f>
        <v>11111308</v>
      </c>
      <c r="B159" s="148" t="str">
        <f>IFERROR(__xludf.DUMMYFUNCTION("""COMPUTED_VALUE"""),"爆破手")</f>
        <v>爆破手</v>
      </c>
      <c r="C159" s="148"/>
      <c r="D159" s="148" t="str">
        <f>IFERROR(__xludf.DUMMYFUNCTION("""COMPUTED_VALUE"""),"avatar_frame")</f>
        <v>avatar_frame</v>
      </c>
      <c r="E159" s="148">
        <f>IFERROR(__xludf.DUMMYFUNCTION("""COMPUTED_VALUE"""),20.0)</f>
        <v>20</v>
      </c>
      <c r="F159" s="148">
        <f>IFERROR(__xludf.DUMMYFUNCTION("""COMPUTED_VALUE"""),0.0)</f>
        <v>0</v>
      </c>
      <c r="G159" s="148">
        <f>IFERROR(__xludf.DUMMYFUNCTION("""COMPUTED_VALUE"""),1.5112475E7)</f>
        <v>15112475</v>
      </c>
      <c r="H159" s="148">
        <f>IFERROR(__xludf.DUMMYFUNCTION("""COMPUTED_VALUE"""),1.5112563E7)</f>
        <v>15112563</v>
      </c>
      <c r="I159" s="148" t="str">
        <f>IFERROR(__xludf.DUMMYFUNCTION("""COMPUTED_VALUE"""),"{}")</f>
        <v>{}</v>
      </c>
      <c r="J159" s="148" t="str">
        <f>IFERROR(__xludf.DUMMYFUNCTION("""COMPUTED_VALUE"""),"{""typ"":""lc"",""txt"":""LC_ASSET_avatar_frame_name_8""}")</f>
        <v>{"typ":"lc","txt":"LC_ASSET_avatar_frame_name_8"}</v>
      </c>
      <c r="K159" s="148" t="str">
        <f>IFERROR(__xludf.DUMMYFUNCTION("""COMPUTED_VALUE"""),"{""typ"":""lc"",""txt"":""LC_MENU_forever""}")</f>
        <v>{"typ":"lc","txt":"LC_MENU_forever"}</v>
      </c>
      <c r="L159" s="148" t="str">
        <f>IFERROR(__xludf.DUMMYFUNCTION("""COMPUTED_VALUE"""),"{}")</f>
        <v>{}</v>
      </c>
      <c r="M159" s="148">
        <f>IFERROR(__xludf.DUMMYFUNCTION("""COMPUTED_VALUE"""),1000.0)</f>
        <v>1000</v>
      </c>
      <c r="N159" s="148">
        <f>IFERROR(__xludf.DUMMYFUNCTION("""COMPUTED_VALUE"""),99.0)</f>
        <v>99</v>
      </c>
      <c r="O159" s="148">
        <f>IFERROR(__xludf.DUMMYFUNCTION("""COMPUTED_VALUE"""),1.0)</f>
        <v>1</v>
      </c>
      <c r="P159" s="148">
        <f>IFERROR(__xludf.DUMMYFUNCTION("""COMPUTED_VALUE"""),1.0)</f>
        <v>1</v>
      </c>
      <c r="Q159" s="148" t="str">
        <f>IFERROR(__xludf.DUMMYFUNCTION("""COMPUTED_VALUE"""),"[]")</f>
        <v>[]</v>
      </c>
      <c r="R159" s="148" t="str">
        <f>IFERROR(__xludf.DUMMYFUNCTION("""COMPUTED_VALUE"""),"[""11421008""]")</f>
        <v>["11421008"]</v>
      </c>
      <c r="S159" s="148" t="str">
        <f>IFERROR(__xludf.DUMMYFUNCTION("""COMPUTED_VALUE"""),"{""effect"":[{""typ"":""avatar_frame"",""id"":11421008,""val"":-1},{""typ"":""item"",""id"":11111031,""val"":1000}]}")</f>
        <v>{"effect":[{"typ":"avatar_frame","id":11421008,"val":-1},{"typ":"item","id":11111031,"val":1000}]}</v>
      </c>
      <c r="T159" s="148">
        <f>IFERROR(__xludf.DUMMYFUNCTION("""COMPUTED_VALUE"""),-1.0)</f>
        <v>-1</v>
      </c>
      <c r="U159" s="148">
        <f>IFERROR(__xludf.DUMMYFUNCTION("""COMPUTED_VALUE"""),1.0)</f>
        <v>1</v>
      </c>
      <c r="V159" s="148" t="str">
        <f>IFERROR(__xludf.DUMMYFUNCTION("""COMPUTED_VALUE"""),"[]")</f>
        <v>[]</v>
      </c>
      <c r="W159" s="148">
        <f>IFERROR(__xludf.DUMMYFUNCTION("""COMPUTED_VALUE"""),1.174E7)</f>
        <v>11740000</v>
      </c>
      <c r="X159" s="148">
        <f>IFERROR(__xludf.DUMMYFUNCTION("""COMPUTED_VALUE"""),0.0)</f>
        <v>0</v>
      </c>
      <c r="Y159" s="148">
        <f>IFERROR(__xludf.DUMMYFUNCTION("""COMPUTED_VALUE"""),0.0)</f>
        <v>0</v>
      </c>
      <c r="Z159" s="148"/>
    </row>
    <row r="160">
      <c r="A160" s="148">
        <f>IFERROR(__xludf.DUMMYFUNCTION("""COMPUTED_VALUE"""),1.1111309E7)</f>
        <v>11111309</v>
      </c>
      <c r="B160" s="148" t="str">
        <f>IFERROR(__xludf.DUMMYFUNCTION("""COMPUTED_VALUE"""),"墙头狩猎")</f>
        <v>墙头狩猎</v>
      </c>
      <c r="C160" s="148"/>
      <c r="D160" s="148" t="str">
        <f>IFERROR(__xludf.DUMMYFUNCTION("""COMPUTED_VALUE"""),"avatar_frame")</f>
        <v>avatar_frame</v>
      </c>
      <c r="E160" s="148">
        <f>IFERROR(__xludf.DUMMYFUNCTION("""COMPUTED_VALUE"""),20.0)</f>
        <v>20</v>
      </c>
      <c r="F160" s="148">
        <f>IFERROR(__xludf.DUMMYFUNCTION("""COMPUTED_VALUE"""),0.0)</f>
        <v>0</v>
      </c>
      <c r="G160" s="148">
        <f>IFERROR(__xludf.DUMMYFUNCTION("""COMPUTED_VALUE"""),1.5112476E7)</f>
        <v>15112476</v>
      </c>
      <c r="H160" s="148">
        <f>IFERROR(__xludf.DUMMYFUNCTION("""COMPUTED_VALUE"""),1.5112563E7)</f>
        <v>15112563</v>
      </c>
      <c r="I160" s="148" t="str">
        <f>IFERROR(__xludf.DUMMYFUNCTION("""COMPUTED_VALUE"""),"{}")</f>
        <v>{}</v>
      </c>
      <c r="J160" s="148" t="str">
        <f>IFERROR(__xludf.DUMMYFUNCTION("""COMPUTED_VALUE"""),"{""typ"":""lc"",""txt"":""LC_ASSET_avatar_frame_name_9""}")</f>
        <v>{"typ":"lc","txt":"LC_ASSET_avatar_frame_name_9"}</v>
      </c>
      <c r="K160" s="148" t="str">
        <f>IFERROR(__xludf.DUMMYFUNCTION("""COMPUTED_VALUE"""),"{""typ"":""lc"",""txt"":""LC_MENU_forever""}")</f>
        <v>{"typ":"lc","txt":"LC_MENU_forever"}</v>
      </c>
      <c r="L160" s="148" t="str">
        <f>IFERROR(__xludf.DUMMYFUNCTION("""COMPUTED_VALUE"""),"{}")</f>
        <v>{}</v>
      </c>
      <c r="M160" s="148">
        <f>IFERROR(__xludf.DUMMYFUNCTION("""COMPUTED_VALUE"""),1000.0)</f>
        <v>1000</v>
      </c>
      <c r="N160" s="148">
        <f>IFERROR(__xludf.DUMMYFUNCTION("""COMPUTED_VALUE"""),99.0)</f>
        <v>99</v>
      </c>
      <c r="O160" s="148">
        <f>IFERROR(__xludf.DUMMYFUNCTION("""COMPUTED_VALUE"""),1.0)</f>
        <v>1</v>
      </c>
      <c r="P160" s="148">
        <f>IFERROR(__xludf.DUMMYFUNCTION("""COMPUTED_VALUE"""),1.0)</f>
        <v>1</v>
      </c>
      <c r="Q160" s="148" t="str">
        <f>IFERROR(__xludf.DUMMYFUNCTION("""COMPUTED_VALUE"""),"[]")</f>
        <v>[]</v>
      </c>
      <c r="R160" s="148" t="str">
        <f>IFERROR(__xludf.DUMMYFUNCTION("""COMPUTED_VALUE"""),"[""11421009""]")</f>
        <v>["11421009"]</v>
      </c>
      <c r="S160" s="148" t="str">
        <f>IFERROR(__xludf.DUMMYFUNCTION("""COMPUTED_VALUE"""),"{""effect"":[{""typ"":""avatar_frame"",""id"":11421009,""val"":-1},{""typ"":""item"",""id"":11111031,""val"":1000}]}")</f>
        <v>{"effect":[{"typ":"avatar_frame","id":11421009,"val":-1},{"typ":"item","id":11111031,"val":1000}]}</v>
      </c>
      <c r="T160" s="148">
        <f>IFERROR(__xludf.DUMMYFUNCTION("""COMPUTED_VALUE"""),-1.0)</f>
        <v>-1</v>
      </c>
      <c r="U160" s="148">
        <f>IFERROR(__xludf.DUMMYFUNCTION("""COMPUTED_VALUE"""),1.0)</f>
        <v>1</v>
      </c>
      <c r="V160" s="148" t="str">
        <f>IFERROR(__xludf.DUMMYFUNCTION("""COMPUTED_VALUE"""),"[]")</f>
        <v>[]</v>
      </c>
      <c r="W160" s="148">
        <f>IFERROR(__xludf.DUMMYFUNCTION("""COMPUTED_VALUE"""),1.174E7)</f>
        <v>11740000</v>
      </c>
      <c r="X160" s="148">
        <f>IFERROR(__xludf.DUMMYFUNCTION("""COMPUTED_VALUE"""),0.0)</f>
        <v>0</v>
      </c>
      <c r="Y160" s="148">
        <f>IFERROR(__xludf.DUMMYFUNCTION("""COMPUTED_VALUE"""),0.0)</f>
        <v>0</v>
      </c>
      <c r="Z160" s="148"/>
    </row>
    <row r="161">
      <c r="A161" s="148">
        <f>IFERROR(__xludf.DUMMYFUNCTION("""COMPUTED_VALUE"""),1.111131E7)</f>
        <v>11111310</v>
      </c>
      <c r="B161" s="148" t="str">
        <f>IFERROR(__xludf.DUMMYFUNCTION("""COMPUTED_VALUE"""),"悠悠球")</f>
        <v>悠悠球</v>
      </c>
      <c r="C161" s="148"/>
      <c r="D161" s="148" t="str">
        <f>IFERROR(__xludf.DUMMYFUNCTION("""COMPUTED_VALUE"""),"avatar_frame")</f>
        <v>avatar_frame</v>
      </c>
      <c r="E161" s="148">
        <f>IFERROR(__xludf.DUMMYFUNCTION("""COMPUTED_VALUE"""),20.0)</f>
        <v>20</v>
      </c>
      <c r="F161" s="148">
        <f>IFERROR(__xludf.DUMMYFUNCTION("""COMPUTED_VALUE"""),0.0)</f>
        <v>0</v>
      </c>
      <c r="G161" s="148">
        <f>IFERROR(__xludf.DUMMYFUNCTION("""COMPUTED_VALUE"""),1.5112477E7)</f>
        <v>15112477</v>
      </c>
      <c r="H161" s="148">
        <f>IFERROR(__xludf.DUMMYFUNCTION("""COMPUTED_VALUE"""),1.5112563E7)</f>
        <v>15112563</v>
      </c>
      <c r="I161" s="148" t="str">
        <f>IFERROR(__xludf.DUMMYFUNCTION("""COMPUTED_VALUE"""),"{}")</f>
        <v>{}</v>
      </c>
      <c r="J161" s="148" t="str">
        <f>IFERROR(__xludf.DUMMYFUNCTION("""COMPUTED_VALUE"""),"{""typ"":""lc"",""txt"":""LC_ASSET_avatar_frame_name_10""}")</f>
        <v>{"typ":"lc","txt":"LC_ASSET_avatar_frame_name_10"}</v>
      </c>
      <c r="K161" s="148" t="str">
        <f>IFERROR(__xludf.DUMMYFUNCTION("""COMPUTED_VALUE"""),"{""typ"":""lc"",""txt"":""LC_MENU_forever""}")</f>
        <v>{"typ":"lc","txt":"LC_MENU_forever"}</v>
      </c>
      <c r="L161" s="148" t="str">
        <f>IFERROR(__xludf.DUMMYFUNCTION("""COMPUTED_VALUE"""),"{}")</f>
        <v>{}</v>
      </c>
      <c r="M161" s="148">
        <f>IFERROR(__xludf.DUMMYFUNCTION("""COMPUTED_VALUE"""),1000.0)</f>
        <v>1000</v>
      </c>
      <c r="N161" s="148">
        <f>IFERROR(__xludf.DUMMYFUNCTION("""COMPUTED_VALUE"""),99.0)</f>
        <v>99</v>
      </c>
      <c r="O161" s="148">
        <f>IFERROR(__xludf.DUMMYFUNCTION("""COMPUTED_VALUE"""),1.0)</f>
        <v>1</v>
      </c>
      <c r="P161" s="148">
        <f>IFERROR(__xludf.DUMMYFUNCTION("""COMPUTED_VALUE"""),1.0)</f>
        <v>1</v>
      </c>
      <c r="Q161" s="148" t="str">
        <f>IFERROR(__xludf.DUMMYFUNCTION("""COMPUTED_VALUE"""),"[]")</f>
        <v>[]</v>
      </c>
      <c r="R161" s="148" t="str">
        <f>IFERROR(__xludf.DUMMYFUNCTION("""COMPUTED_VALUE"""),"[""11421010""]")</f>
        <v>["11421010"]</v>
      </c>
      <c r="S161" s="148" t="str">
        <f>IFERROR(__xludf.DUMMYFUNCTION("""COMPUTED_VALUE"""),"{""effect"":[{""typ"":""avatar_frame"",""id"":11421010,""val"":-1},{""typ"":""item"",""id"":11111031,""val"":1000}]}")</f>
        <v>{"effect":[{"typ":"avatar_frame","id":11421010,"val":-1},{"typ":"item","id":11111031,"val":1000}]}</v>
      </c>
      <c r="T161" s="148">
        <f>IFERROR(__xludf.DUMMYFUNCTION("""COMPUTED_VALUE"""),-1.0)</f>
        <v>-1</v>
      </c>
      <c r="U161" s="148">
        <f>IFERROR(__xludf.DUMMYFUNCTION("""COMPUTED_VALUE"""),1.0)</f>
        <v>1</v>
      </c>
      <c r="V161" s="148" t="str">
        <f>IFERROR(__xludf.DUMMYFUNCTION("""COMPUTED_VALUE"""),"[]")</f>
        <v>[]</v>
      </c>
      <c r="W161" s="148">
        <f>IFERROR(__xludf.DUMMYFUNCTION("""COMPUTED_VALUE"""),1.174E7)</f>
        <v>11740000</v>
      </c>
      <c r="X161" s="148">
        <f>IFERROR(__xludf.DUMMYFUNCTION("""COMPUTED_VALUE"""),0.0)</f>
        <v>0</v>
      </c>
      <c r="Y161" s="148">
        <f>IFERROR(__xludf.DUMMYFUNCTION("""COMPUTED_VALUE"""),0.0)</f>
        <v>0</v>
      </c>
      <c r="Z161" s="148"/>
    </row>
    <row r="162">
      <c r="A162" s="148">
        <f>IFERROR(__xludf.DUMMYFUNCTION("""COMPUTED_VALUE"""),1.1111311E7)</f>
        <v>11111311</v>
      </c>
      <c r="B162" s="148" t="str">
        <f>IFERROR(__xludf.DUMMYFUNCTION("""COMPUTED_VALUE"""),"太空之家")</f>
        <v>太空之家</v>
      </c>
      <c r="C162" s="148"/>
      <c r="D162" s="148" t="str">
        <f>IFERROR(__xludf.DUMMYFUNCTION("""COMPUTED_VALUE"""),"avatar_frame")</f>
        <v>avatar_frame</v>
      </c>
      <c r="E162" s="148">
        <f>IFERROR(__xludf.DUMMYFUNCTION("""COMPUTED_VALUE"""),20.0)</f>
        <v>20</v>
      </c>
      <c r="F162" s="148">
        <f>IFERROR(__xludf.DUMMYFUNCTION("""COMPUTED_VALUE"""),0.0)</f>
        <v>0</v>
      </c>
      <c r="G162" s="148">
        <f>IFERROR(__xludf.DUMMYFUNCTION("""COMPUTED_VALUE"""),1.5112478E7)</f>
        <v>15112478</v>
      </c>
      <c r="H162" s="148">
        <f>IFERROR(__xludf.DUMMYFUNCTION("""COMPUTED_VALUE"""),1.5112563E7)</f>
        <v>15112563</v>
      </c>
      <c r="I162" s="148" t="str">
        <f>IFERROR(__xludf.DUMMYFUNCTION("""COMPUTED_VALUE"""),"{}")</f>
        <v>{}</v>
      </c>
      <c r="J162" s="148" t="str">
        <f>IFERROR(__xludf.DUMMYFUNCTION("""COMPUTED_VALUE"""),"{""typ"":""lc"",""txt"":""LC_ASSET_avatar_frame_name_11""}")</f>
        <v>{"typ":"lc","txt":"LC_ASSET_avatar_frame_name_11"}</v>
      </c>
      <c r="K162" s="148" t="str">
        <f>IFERROR(__xludf.DUMMYFUNCTION("""COMPUTED_VALUE"""),"{""typ"":""lc"",""txt"":""LC_ASSET_avatar_frame_name_11_desc""}")</f>
        <v>{"typ":"lc","txt":"LC_ASSET_avatar_frame_name_11_desc"}</v>
      </c>
      <c r="L162" s="148" t="str">
        <f>IFERROR(__xludf.DUMMYFUNCTION("""COMPUTED_VALUE"""),"{}")</f>
        <v>{}</v>
      </c>
      <c r="M162" s="148">
        <f>IFERROR(__xludf.DUMMYFUNCTION("""COMPUTED_VALUE"""),1000.0)</f>
        <v>1000</v>
      </c>
      <c r="N162" s="148">
        <f>IFERROR(__xludf.DUMMYFUNCTION("""COMPUTED_VALUE"""),99.0)</f>
        <v>99</v>
      </c>
      <c r="O162" s="148">
        <f>IFERROR(__xludf.DUMMYFUNCTION("""COMPUTED_VALUE"""),1.0)</f>
        <v>1</v>
      </c>
      <c r="P162" s="148">
        <f>IFERROR(__xludf.DUMMYFUNCTION("""COMPUTED_VALUE"""),1.0)</f>
        <v>1</v>
      </c>
      <c r="Q162" s="148" t="str">
        <f>IFERROR(__xludf.DUMMYFUNCTION("""COMPUTED_VALUE"""),"[]")</f>
        <v>[]</v>
      </c>
      <c r="R162" s="148" t="str">
        <f>IFERROR(__xludf.DUMMYFUNCTION("""COMPUTED_VALUE"""),"[""11421011""]")</f>
        <v>["11421011"]</v>
      </c>
      <c r="S162" s="148" t="str">
        <f>IFERROR(__xludf.DUMMYFUNCTION("""COMPUTED_VALUE"""),"{""effect"":[{""typ"":""avatar_frame"",""id"":11421011,""val"":-1},{""typ"":""item"",""id"":11111031,""val"":1000}]}")</f>
        <v>{"effect":[{"typ":"avatar_frame","id":11421011,"val":-1},{"typ":"item","id":11111031,"val":1000}]}</v>
      </c>
      <c r="T162" s="148">
        <f>IFERROR(__xludf.DUMMYFUNCTION("""COMPUTED_VALUE"""),-1.0)</f>
        <v>-1</v>
      </c>
      <c r="U162" s="148">
        <f>IFERROR(__xludf.DUMMYFUNCTION("""COMPUTED_VALUE"""),1.0)</f>
        <v>1</v>
      </c>
      <c r="V162" s="148" t="str">
        <f>IFERROR(__xludf.DUMMYFUNCTION("""COMPUTED_VALUE"""),"[]")</f>
        <v>[]</v>
      </c>
      <c r="W162" s="148">
        <f>IFERROR(__xludf.DUMMYFUNCTION("""COMPUTED_VALUE"""),1.174E7)</f>
        <v>11740000</v>
      </c>
      <c r="X162" s="148">
        <f>IFERROR(__xludf.DUMMYFUNCTION("""COMPUTED_VALUE"""),0.0)</f>
        <v>0</v>
      </c>
      <c r="Y162" s="148">
        <f>IFERROR(__xludf.DUMMYFUNCTION("""COMPUTED_VALUE"""),0.0)</f>
        <v>0</v>
      </c>
      <c r="Z162" s="148"/>
    </row>
    <row r="163">
      <c r="A163" s="148">
        <f>IFERROR(__xludf.DUMMYFUNCTION("""COMPUTED_VALUE"""),1.1111312E7)</f>
        <v>11111312</v>
      </c>
      <c r="B163" s="148" t="str">
        <f>IFERROR(__xludf.DUMMYFUNCTION("""COMPUTED_VALUE"""),"吃鸡达人")</f>
        <v>吃鸡达人</v>
      </c>
      <c r="C163" s="148"/>
      <c r="D163" s="148" t="str">
        <f>IFERROR(__xludf.DUMMYFUNCTION("""COMPUTED_VALUE"""),"avatar_frame")</f>
        <v>avatar_frame</v>
      </c>
      <c r="E163" s="148">
        <f>IFERROR(__xludf.DUMMYFUNCTION("""COMPUTED_VALUE"""),20.0)</f>
        <v>20</v>
      </c>
      <c r="F163" s="148">
        <f>IFERROR(__xludf.DUMMYFUNCTION("""COMPUTED_VALUE"""),0.0)</f>
        <v>0</v>
      </c>
      <c r="G163" s="148">
        <f>IFERROR(__xludf.DUMMYFUNCTION("""COMPUTED_VALUE"""),1.5112479E7)</f>
        <v>15112479</v>
      </c>
      <c r="H163" s="148">
        <f>IFERROR(__xludf.DUMMYFUNCTION("""COMPUTED_VALUE"""),1.5112563E7)</f>
        <v>15112563</v>
      </c>
      <c r="I163" s="148" t="str">
        <f>IFERROR(__xludf.DUMMYFUNCTION("""COMPUTED_VALUE"""),"{}")</f>
        <v>{}</v>
      </c>
      <c r="J163" s="148" t="str">
        <f>IFERROR(__xludf.DUMMYFUNCTION("""COMPUTED_VALUE"""),"{""typ"":""lc"",""txt"":""LC_ASSET_avatar_frame_name_12""}")</f>
        <v>{"typ":"lc","txt":"LC_ASSET_avatar_frame_name_12"}</v>
      </c>
      <c r="K163" s="148" t="str">
        <f>IFERROR(__xludf.DUMMYFUNCTION("""COMPUTED_VALUE"""),"{""typ"":""lc"",""txt"":""LC_MENU_forever""}")</f>
        <v>{"typ":"lc","txt":"LC_MENU_forever"}</v>
      </c>
      <c r="L163" s="148" t="str">
        <f>IFERROR(__xludf.DUMMYFUNCTION("""COMPUTED_VALUE"""),"{}")</f>
        <v>{}</v>
      </c>
      <c r="M163" s="148">
        <f>IFERROR(__xludf.DUMMYFUNCTION("""COMPUTED_VALUE"""),1000.0)</f>
        <v>1000</v>
      </c>
      <c r="N163" s="148">
        <f>IFERROR(__xludf.DUMMYFUNCTION("""COMPUTED_VALUE"""),99.0)</f>
        <v>99</v>
      </c>
      <c r="O163" s="148">
        <f>IFERROR(__xludf.DUMMYFUNCTION("""COMPUTED_VALUE"""),1.0)</f>
        <v>1</v>
      </c>
      <c r="P163" s="148">
        <f>IFERROR(__xludf.DUMMYFUNCTION("""COMPUTED_VALUE"""),1.0)</f>
        <v>1</v>
      </c>
      <c r="Q163" s="148" t="str">
        <f>IFERROR(__xludf.DUMMYFUNCTION("""COMPUTED_VALUE"""),"[]")</f>
        <v>[]</v>
      </c>
      <c r="R163" s="148" t="str">
        <f>IFERROR(__xludf.DUMMYFUNCTION("""COMPUTED_VALUE"""),"[""11421012""]")</f>
        <v>["11421012"]</v>
      </c>
      <c r="S163" s="148" t="str">
        <f>IFERROR(__xludf.DUMMYFUNCTION("""COMPUTED_VALUE"""),"{""effect"":[{""typ"":""avatar_frame"",""id"":11421012,""val"":-1},{""typ"":""item"",""id"":11111031,""val"":1000}]}")</f>
        <v>{"effect":[{"typ":"avatar_frame","id":11421012,"val":-1},{"typ":"item","id":11111031,"val":1000}]}</v>
      </c>
      <c r="T163" s="148">
        <f>IFERROR(__xludf.DUMMYFUNCTION("""COMPUTED_VALUE"""),-1.0)</f>
        <v>-1</v>
      </c>
      <c r="U163" s="148">
        <f>IFERROR(__xludf.DUMMYFUNCTION("""COMPUTED_VALUE"""),1.0)</f>
        <v>1</v>
      </c>
      <c r="V163" s="148" t="str">
        <f>IFERROR(__xludf.DUMMYFUNCTION("""COMPUTED_VALUE"""),"[]")</f>
        <v>[]</v>
      </c>
      <c r="W163" s="148">
        <f>IFERROR(__xludf.DUMMYFUNCTION("""COMPUTED_VALUE"""),1.174E7)</f>
        <v>11740000</v>
      </c>
      <c r="X163" s="148">
        <f>IFERROR(__xludf.DUMMYFUNCTION("""COMPUTED_VALUE"""),0.0)</f>
        <v>0</v>
      </c>
      <c r="Y163" s="148">
        <f>IFERROR(__xludf.DUMMYFUNCTION("""COMPUTED_VALUE"""),0.0)</f>
        <v>0</v>
      </c>
      <c r="Z163" s="148"/>
    </row>
    <row r="164">
      <c r="A164" s="148">
        <f>IFERROR(__xludf.DUMMYFUNCTION("""COMPUTED_VALUE"""),1.1111313E7)</f>
        <v>11111313</v>
      </c>
      <c r="B164" s="148" t="str">
        <f>IFERROR(__xludf.DUMMYFUNCTION("""COMPUTED_VALUE"""),"枪火玫瑰")</f>
        <v>枪火玫瑰</v>
      </c>
      <c r="C164" s="148"/>
      <c r="D164" s="148" t="str">
        <f>IFERROR(__xludf.DUMMYFUNCTION("""COMPUTED_VALUE"""),"avatar_frame")</f>
        <v>avatar_frame</v>
      </c>
      <c r="E164" s="148">
        <f>IFERROR(__xludf.DUMMYFUNCTION("""COMPUTED_VALUE"""),20.0)</f>
        <v>20</v>
      </c>
      <c r="F164" s="148">
        <f>IFERROR(__xludf.DUMMYFUNCTION("""COMPUTED_VALUE"""),0.0)</f>
        <v>0</v>
      </c>
      <c r="G164" s="148">
        <f>IFERROR(__xludf.DUMMYFUNCTION("""COMPUTED_VALUE"""),1.511248E7)</f>
        <v>15112480</v>
      </c>
      <c r="H164" s="148">
        <f>IFERROR(__xludf.DUMMYFUNCTION("""COMPUTED_VALUE"""),1.5112563E7)</f>
        <v>15112563</v>
      </c>
      <c r="I164" s="148" t="str">
        <f>IFERROR(__xludf.DUMMYFUNCTION("""COMPUTED_VALUE"""),"{}")</f>
        <v>{}</v>
      </c>
      <c r="J164" s="148" t="str">
        <f>IFERROR(__xludf.DUMMYFUNCTION("""COMPUTED_VALUE"""),"{""typ"":""lc"",""txt"":""LC_ASSET_avatar_frame_name_13""}")</f>
        <v>{"typ":"lc","txt":"LC_ASSET_avatar_frame_name_13"}</v>
      </c>
      <c r="K164" s="148" t="str">
        <f>IFERROR(__xludf.DUMMYFUNCTION("""COMPUTED_VALUE"""),"{""typ"":""lc"",""txt"":""LC_MENU_forever""}")</f>
        <v>{"typ":"lc","txt":"LC_MENU_forever"}</v>
      </c>
      <c r="L164" s="148" t="str">
        <f>IFERROR(__xludf.DUMMYFUNCTION("""COMPUTED_VALUE"""),"{}")</f>
        <v>{}</v>
      </c>
      <c r="M164" s="148">
        <f>IFERROR(__xludf.DUMMYFUNCTION("""COMPUTED_VALUE"""),1000.0)</f>
        <v>1000</v>
      </c>
      <c r="N164" s="148">
        <f>IFERROR(__xludf.DUMMYFUNCTION("""COMPUTED_VALUE"""),99.0)</f>
        <v>99</v>
      </c>
      <c r="O164" s="148">
        <f>IFERROR(__xludf.DUMMYFUNCTION("""COMPUTED_VALUE"""),1.0)</f>
        <v>1</v>
      </c>
      <c r="P164" s="148">
        <f>IFERROR(__xludf.DUMMYFUNCTION("""COMPUTED_VALUE"""),1.0)</f>
        <v>1</v>
      </c>
      <c r="Q164" s="148" t="str">
        <f>IFERROR(__xludf.DUMMYFUNCTION("""COMPUTED_VALUE"""),"[]")</f>
        <v>[]</v>
      </c>
      <c r="R164" s="148" t="str">
        <f>IFERROR(__xludf.DUMMYFUNCTION("""COMPUTED_VALUE"""),"[""11421013""]")</f>
        <v>["11421013"]</v>
      </c>
      <c r="S164" s="148" t="str">
        <f>IFERROR(__xludf.DUMMYFUNCTION("""COMPUTED_VALUE"""),"{""effect"":[{""typ"":""avatar_frame"",""id"":11421013,""val"":-1},{""typ"":""item"",""id"":11111031,""val"":1000}]}")</f>
        <v>{"effect":[{"typ":"avatar_frame","id":11421013,"val":-1},{"typ":"item","id":11111031,"val":1000}]}</v>
      </c>
      <c r="T164" s="148">
        <f>IFERROR(__xludf.DUMMYFUNCTION("""COMPUTED_VALUE"""),-1.0)</f>
        <v>-1</v>
      </c>
      <c r="U164" s="148">
        <f>IFERROR(__xludf.DUMMYFUNCTION("""COMPUTED_VALUE"""),1.0)</f>
        <v>1</v>
      </c>
      <c r="V164" s="148" t="str">
        <f>IFERROR(__xludf.DUMMYFUNCTION("""COMPUTED_VALUE"""),"[]")</f>
        <v>[]</v>
      </c>
      <c r="W164" s="148">
        <f>IFERROR(__xludf.DUMMYFUNCTION("""COMPUTED_VALUE"""),1.174E7)</f>
        <v>11740000</v>
      </c>
      <c r="X164" s="148">
        <f>IFERROR(__xludf.DUMMYFUNCTION("""COMPUTED_VALUE"""),0.0)</f>
        <v>0</v>
      </c>
      <c r="Y164" s="148">
        <f>IFERROR(__xludf.DUMMYFUNCTION("""COMPUTED_VALUE"""),0.0)</f>
        <v>0</v>
      </c>
      <c r="Z164" s="148"/>
    </row>
    <row r="165">
      <c r="A165" s="148">
        <f>IFERROR(__xludf.DUMMYFUNCTION("""COMPUTED_VALUE"""),1.1111314E7)</f>
        <v>11111314</v>
      </c>
      <c r="B165" s="148" t="str">
        <f>IFERROR(__xludf.DUMMYFUNCTION("""COMPUTED_VALUE"""),"天堂")</f>
        <v>天堂</v>
      </c>
      <c r="C165" s="148"/>
      <c r="D165" s="148" t="str">
        <f>IFERROR(__xludf.DUMMYFUNCTION("""COMPUTED_VALUE"""),"avatar_frame")</f>
        <v>avatar_frame</v>
      </c>
      <c r="E165" s="148">
        <f>IFERROR(__xludf.DUMMYFUNCTION("""COMPUTED_VALUE"""),20.0)</f>
        <v>20</v>
      </c>
      <c r="F165" s="148">
        <f>IFERROR(__xludf.DUMMYFUNCTION("""COMPUTED_VALUE"""),0.0)</f>
        <v>0</v>
      </c>
      <c r="G165" s="148">
        <f>IFERROR(__xludf.DUMMYFUNCTION("""COMPUTED_VALUE"""),1.5112481E7)</f>
        <v>15112481</v>
      </c>
      <c r="H165" s="148">
        <f>IFERROR(__xludf.DUMMYFUNCTION("""COMPUTED_VALUE"""),1.5112563E7)</f>
        <v>15112563</v>
      </c>
      <c r="I165" s="148" t="str">
        <f>IFERROR(__xludf.DUMMYFUNCTION("""COMPUTED_VALUE"""),"{}")</f>
        <v>{}</v>
      </c>
      <c r="J165" s="148" t="str">
        <f>IFERROR(__xludf.DUMMYFUNCTION("""COMPUTED_VALUE"""),"{""typ"":""lc"",""txt"":""LC_ASSET_avatar_frame_name_14""}")</f>
        <v>{"typ":"lc","txt":"LC_ASSET_avatar_frame_name_14"}</v>
      </c>
      <c r="K165" s="148" t="str">
        <f>IFERROR(__xludf.DUMMYFUNCTION("""COMPUTED_VALUE"""),"{""typ"":""lc"",""txt"":""LC_MENU_forever""}")</f>
        <v>{"typ":"lc","txt":"LC_MENU_forever"}</v>
      </c>
      <c r="L165" s="148" t="str">
        <f>IFERROR(__xludf.DUMMYFUNCTION("""COMPUTED_VALUE"""),"{}")</f>
        <v>{}</v>
      </c>
      <c r="M165" s="148">
        <f>IFERROR(__xludf.DUMMYFUNCTION("""COMPUTED_VALUE"""),1000.0)</f>
        <v>1000</v>
      </c>
      <c r="N165" s="148">
        <f>IFERROR(__xludf.DUMMYFUNCTION("""COMPUTED_VALUE"""),99.0)</f>
        <v>99</v>
      </c>
      <c r="O165" s="148">
        <f>IFERROR(__xludf.DUMMYFUNCTION("""COMPUTED_VALUE"""),1.0)</f>
        <v>1</v>
      </c>
      <c r="P165" s="148">
        <f>IFERROR(__xludf.DUMMYFUNCTION("""COMPUTED_VALUE"""),1.0)</f>
        <v>1</v>
      </c>
      <c r="Q165" s="148" t="str">
        <f>IFERROR(__xludf.DUMMYFUNCTION("""COMPUTED_VALUE"""),"[]")</f>
        <v>[]</v>
      </c>
      <c r="R165" s="148" t="str">
        <f>IFERROR(__xludf.DUMMYFUNCTION("""COMPUTED_VALUE"""),"[""11421014""]")</f>
        <v>["11421014"]</v>
      </c>
      <c r="S165" s="148" t="str">
        <f>IFERROR(__xludf.DUMMYFUNCTION("""COMPUTED_VALUE"""),"{""effect"":[{""typ"":""avatar_frame"",""id"":11421014,""val"":-1},{""typ"":""item"",""id"":11111031,""val"":1000}]}")</f>
        <v>{"effect":[{"typ":"avatar_frame","id":11421014,"val":-1},{"typ":"item","id":11111031,"val":1000}]}</v>
      </c>
      <c r="T165" s="148">
        <f>IFERROR(__xludf.DUMMYFUNCTION("""COMPUTED_VALUE"""),-1.0)</f>
        <v>-1</v>
      </c>
      <c r="U165" s="148">
        <f>IFERROR(__xludf.DUMMYFUNCTION("""COMPUTED_VALUE"""),1.0)</f>
        <v>1</v>
      </c>
      <c r="V165" s="148" t="str">
        <f>IFERROR(__xludf.DUMMYFUNCTION("""COMPUTED_VALUE"""),"[]")</f>
        <v>[]</v>
      </c>
      <c r="W165" s="148">
        <f>IFERROR(__xludf.DUMMYFUNCTION("""COMPUTED_VALUE"""),1.174E7)</f>
        <v>11740000</v>
      </c>
      <c r="X165" s="148">
        <f>IFERROR(__xludf.DUMMYFUNCTION("""COMPUTED_VALUE"""),0.0)</f>
        <v>0</v>
      </c>
      <c r="Y165" s="148">
        <f>IFERROR(__xludf.DUMMYFUNCTION("""COMPUTED_VALUE"""),0.0)</f>
        <v>0</v>
      </c>
      <c r="Z165" s="148"/>
    </row>
    <row r="166">
      <c r="A166" s="148">
        <f>IFERROR(__xludf.DUMMYFUNCTION("""COMPUTED_VALUE"""),1.1111315E7)</f>
        <v>11111315</v>
      </c>
      <c r="B166" s="148" t="str">
        <f>IFERROR(__xludf.DUMMYFUNCTION("""COMPUTED_VALUE"""),"主城皮肤-初始")</f>
        <v>主城皮肤-初始</v>
      </c>
      <c r="C166" s="148"/>
      <c r="D166" s="148" t="str">
        <f>IFERROR(__xludf.DUMMYFUNCTION("""COMPUTED_VALUE"""),"city_skin")</f>
        <v>city_skin</v>
      </c>
      <c r="E166" s="148">
        <f>IFERROR(__xludf.DUMMYFUNCTION("""COMPUTED_VALUE"""),21.0)</f>
        <v>21</v>
      </c>
      <c r="F166" s="148">
        <f>IFERROR(__xludf.DUMMYFUNCTION("""COMPUTED_VALUE"""),400119.0)</f>
        <v>400119</v>
      </c>
      <c r="G166" s="148">
        <f>IFERROR(__xludf.DUMMYFUNCTION("""COMPUTED_VALUE"""),1.5112518E7)</f>
        <v>15112518</v>
      </c>
      <c r="H166" s="148">
        <f>IFERROR(__xludf.DUMMYFUNCTION("""COMPUTED_VALUE"""),1.5112564E7)</f>
        <v>15112564</v>
      </c>
      <c r="I166" s="148" t="str">
        <f>IFERROR(__xludf.DUMMYFUNCTION("""COMPUTED_VALUE"""),"{}")</f>
        <v>{}</v>
      </c>
      <c r="J166" s="148" t="str">
        <f>IFERROR(__xludf.DUMMYFUNCTION("""COMPUTED_VALUE"""),"{}")</f>
        <v>{}</v>
      </c>
      <c r="K166" s="148" t="str">
        <f>IFERROR(__xludf.DUMMYFUNCTION("""COMPUTED_VALUE"""),"{}")</f>
        <v>{}</v>
      </c>
      <c r="L166" s="148" t="str">
        <f>IFERROR(__xludf.DUMMYFUNCTION("""COMPUTED_VALUE"""),"{}")</f>
        <v>{}</v>
      </c>
      <c r="M166" s="148">
        <f>IFERROR(__xludf.DUMMYFUNCTION("""COMPUTED_VALUE"""),1000.0)</f>
        <v>1000</v>
      </c>
      <c r="N166" s="148">
        <f>IFERROR(__xludf.DUMMYFUNCTION("""COMPUTED_VALUE"""),1.0)</f>
        <v>1</v>
      </c>
      <c r="O166" s="148">
        <f>IFERROR(__xludf.DUMMYFUNCTION("""COMPUTED_VALUE"""),1.0)</f>
        <v>1</v>
      </c>
      <c r="P166" s="148">
        <f>IFERROR(__xludf.DUMMYFUNCTION("""COMPUTED_VALUE"""),1.0)</f>
        <v>1</v>
      </c>
      <c r="Q166" s="148" t="str">
        <f>IFERROR(__xludf.DUMMYFUNCTION("""COMPUTED_VALUE"""),"[""bag_other""]")</f>
        <v>["bag_other"]</v>
      </c>
      <c r="R166" s="148" t="str">
        <f>IFERROR(__xludf.DUMMYFUNCTION("""COMPUTED_VALUE"""),"[""bag""]")</f>
        <v>["bag"]</v>
      </c>
      <c r="S166" s="148" t="str">
        <f>IFERROR(__xludf.DUMMYFUNCTION("""COMPUTED_VALUE"""),"{""effect"":[{""typ"":""city_skin"",""id"":13121001,""val"":-1}]}")</f>
        <v>{"effect":[{"typ":"city_skin","id":13121001,"val":-1}]}</v>
      </c>
      <c r="T166" s="148">
        <f>IFERROR(__xludf.DUMMYFUNCTION("""COMPUTED_VALUE"""),-1.0)</f>
        <v>-1</v>
      </c>
      <c r="U166" s="148">
        <f>IFERROR(__xludf.DUMMYFUNCTION("""COMPUTED_VALUE"""),0.0)</f>
        <v>0</v>
      </c>
      <c r="V166" s="148" t="str">
        <f>IFERROR(__xludf.DUMMYFUNCTION("""COMPUTED_VALUE"""),"[]")</f>
        <v>[]</v>
      </c>
      <c r="W166" s="148">
        <f>IFERROR(__xludf.DUMMYFUNCTION("""COMPUTED_VALUE"""),1.174E7)</f>
        <v>11740000</v>
      </c>
      <c r="X166" s="148">
        <f>IFERROR(__xludf.DUMMYFUNCTION("""COMPUTED_VALUE"""),0.0)</f>
        <v>0</v>
      </c>
      <c r="Y166" s="148">
        <f>IFERROR(__xludf.DUMMYFUNCTION("""COMPUTED_VALUE"""),0.0)</f>
        <v>0</v>
      </c>
      <c r="Z166" s="148"/>
    </row>
    <row r="167">
      <c r="A167" s="148">
        <f>IFERROR(__xludf.DUMMYFUNCTION("""COMPUTED_VALUE"""),1.1111316E7)</f>
        <v>11111316</v>
      </c>
      <c r="B167" s="148" t="str">
        <f>IFERROR(__xludf.DUMMYFUNCTION("""COMPUTED_VALUE"""),"主城皮肤-火箭")</f>
        <v>主城皮肤-火箭</v>
      </c>
      <c r="C167" s="148"/>
      <c r="D167" s="148" t="str">
        <f>IFERROR(__xludf.DUMMYFUNCTION("""COMPUTED_VALUE"""),"city_skin")</f>
        <v>city_skin</v>
      </c>
      <c r="E167" s="148">
        <f>IFERROR(__xludf.DUMMYFUNCTION("""COMPUTED_VALUE"""),21.0)</f>
        <v>21</v>
      </c>
      <c r="F167" s="148">
        <f>IFERROR(__xludf.DUMMYFUNCTION("""COMPUTED_VALUE"""),400118.0)</f>
        <v>400118</v>
      </c>
      <c r="G167" s="148">
        <f>IFERROR(__xludf.DUMMYFUNCTION("""COMPUTED_VALUE"""),1.5112461E7)</f>
        <v>15112461</v>
      </c>
      <c r="H167" s="148">
        <f>IFERROR(__xludf.DUMMYFUNCTION("""COMPUTED_VALUE"""),1.5112564E7)</f>
        <v>15112564</v>
      </c>
      <c r="I167" s="148" t="str">
        <f>IFERROR(__xludf.DUMMYFUNCTION("""COMPUTED_VALUE"""),"{}")</f>
        <v>{}</v>
      </c>
      <c r="J167" s="148" t="str">
        <f>IFERROR(__xludf.DUMMYFUNCTION("""COMPUTED_VALUE"""),"{""typ"":""lc"",""txt"":""LC_ITEM_city_skin_rocket_name""}")</f>
        <v>{"typ":"lc","txt":"LC_ITEM_city_skin_rocket_name"}</v>
      </c>
      <c r="K167" s="148" t="str">
        <f>IFERROR(__xludf.DUMMYFUNCTION("""COMPUTED_VALUE"""),"{""typ"":""lc"",""txt"":""LC_ITEM_city_skin_rocket_desc""}")</f>
        <v>{"typ":"lc","txt":"LC_ITEM_city_skin_rocket_desc"}</v>
      </c>
      <c r="L167" s="148" t="str">
        <f>IFERROR(__xludf.DUMMYFUNCTION("""COMPUTED_VALUE"""),"{""typ"":""lc"",""txt"":""LC_ITEM_city_skin_rocket_use_tips""}")</f>
        <v>{"typ":"lc","txt":"LC_ITEM_city_skin_rocket_use_tips"}</v>
      </c>
      <c r="M167" s="148">
        <f>IFERROR(__xludf.DUMMYFUNCTION("""COMPUTED_VALUE"""),1000.0)</f>
        <v>1000</v>
      </c>
      <c r="N167" s="148">
        <f>IFERROR(__xludf.DUMMYFUNCTION("""COMPUTED_VALUE"""),1.0)</f>
        <v>1</v>
      </c>
      <c r="O167" s="148">
        <f>IFERROR(__xludf.DUMMYFUNCTION("""COMPUTED_VALUE"""),1.0)</f>
        <v>1</v>
      </c>
      <c r="P167" s="148">
        <f>IFERROR(__xludf.DUMMYFUNCTION("""COMPUTED_VALUE"""),1.0)</f>
        <v>1</v>
      </c>
      <c r="Q167" s="148" t="str">
        <f>IFERROR(__xludf.DUMMYFUNCTION("""COMPUTED_VALUE"""),"[""bag_other""]")</f>
        <v>["bag_other"]</v>
      </c>
      <c r="R167" s="148" t="str">
        <f>IFERROR(__xludf.DUMMYFUNCTION("""COMPUTED_VALUE"""),"[""bag"",""13121002""]")</f>
        <v>["bag","13121002"]</v>
      </c>
      <c r="S167" s="148" t="str">
        <f>IFERROR(__xludf.DUMMYFUNCTION("""COMPUTED_VALUE"""),"{""effect"":[{""typ"":""city_skin"",""id"":13121002,""val"":-1},{""typ"":""item"",""id"":11111034,""val"":10}]}")</f>
        <v>{"effect":[{"typ":"city_skin","id":13121002,"val":-1},{"typ":"item","id":11111034,"val":10}]}</v>
      </c>
      <c r="T167" s="148">
        <f>IFERROR(__xludf.DUMMYFUNCTION("""COMPUTED_VALUE"""),-1.0)</f>
        <v>-1</v>
      </c>
      <c r="U167" s="148">
        <f>IFERROR(__xludf.DUMMYFUNCTION("""COMPUTED_VALUE"""),0.0)</f>
        <v>0</v>
      </c>
      <c r="V167" s="148" t="str">
        <f>IFERROR(__xludf.DUMMYFUNCTION("""COMPUTED_VALUE"""),"[]")</f>
        <v>[]</v>
      </c>
      <c r="W167" s="148">
        <f>IFERROR(__xludf.DUMMYFUNCTION("""COMPUTED_VALUE"""),1.174E7)</f>
        <v>11740000</v>
      </c>
      <c r="X167" s="148">
        <f>IFERROR(__xludf.DUMMYFUNCTION("""COMPUTED_VALUE"""),0.0)</f>
        <v>0</v>
      </c>
      <c r="Y167" s="148">
        <f>IFERROR(__xludf.DUMMYFUNCTION("""COMPUTED_VALUE"""),0.0)</f>
        <v>0</v>
      </c>
      <c r="Z167" s="148"/>
    </row>
    <row r="168">
      <c r="A168" s="148">
        <f>IFERROR(__xludf.DUMMYFUNCTION("""COMPUTED_VALUE"""),1.1111317E7)</f>
        <v>11111317</v>
      </c>
      <c r="B168" s="148" t="str">
        <f>IFERROR(__xludf.DUMMYFUNCTION("""COMPUTED_VALUE"""),"主城皮肤-未用")</f>
        <v>主城皮肤-未用</v>
      </c>
      <c r="C168" s="148"/>
      <c r="D168" s="148" t="str">
        <f>IFERROR(__xludf.DUMMYFUNCTION("""COMPUTED_VALUE"""),"city_skin")</f>
        <v>city_skin</v>
      </c>
      <c r="E168" s="148">
        <f>IFERROR(__xludf.DUMMYFUNCTION("""COMPUTED_VALUE"""),21.0)</f>
        <v>21</v>
      </c>
      <c r="F168" s="148">
        <f>IFERROR(__xludf.DUMMYFUNCTION("""COMPUTED_VALUE"""),400117.0)</f>
        <v>400117</v>
      </c>
      <c r="G168" s="148">
        <f>IFERROR(__xludf.DUMMYFUNCTION("""COMPUTED_VALUE"""),1.5112071E7)</f>
        <v>15112071</v>
      </c>
      <c r="H168" s="148">
        <f>IFERROR(__xludf.DUMMYFUNCTION("""COMPUTED_VALUE"""),1.5112564E7)</f>
        <v>15112564</v>
      </c>
      <c r="I168" s="148" t="str">
        <f>IFERROR(__xludf.DUMMYFUNCTION("""COMPUTED_VALUE"""),"{}")</f>
        <v>{}</v>
      </c>
      <c r="J168" s="148" t="str">
        <f>IFERROR(__xludf.DUMMYFUNCTION("""COMPUTED_VALUE"""),"{}")</f>
        <v>{}</v>
      </c>
      <c r="K168" s="148" t="str">
        <f>IFERROR(__xludf.DUMMYFUNCTION("""COMPUTED_VALUE"""),"{}")</f>
        <v>{}</v>
      </c>
      <c r="L168" s="148" t="str">
        <f>IFERROR(__xludf.DUMMYFUNCTION("""COMPUTED_VALUE"""),"{}")</f>
        <v>{}</v>
      </c>
      <c r="M168" s="148">
        <f>IFERROR(__xludf.DUMMYFUNCTION("""COMPUTED_VALUE"""),1000.0)</f>
        <v>1000</v>
      </c>
      <c r="N168" s="148">
        <f>IFERROR(__xludf.DUMMYFUNCTION("""COMPUTED_VALUE"""),1.0)</f>
        <v>1</v>
      </c>
      <c r="O168" s="148">
        <f>IFERROR(__xludf.DUMMYFUNCTION("""COMPUTED_VALUE"""),1.0)</f>
        <v>1</v>
      </c>
      <c r="P168" s="148">
        <f>IFERROR(__xludf.DUMMYFUNCTION("""COMPUTED_VALUE"""),1.0)</f>
        <v>1</v>
      </c>
      <c r="Q168" s="148" t="str">
        <f>IFERROR(__xludf.DUMMYFUNCTION("""COMPUTED_VALUE"""),"[""bag_other""]")</f>
        <v>["bag_other"]</v>
      </c>
      <c r="R168" s="148" t="str">
        <f>IFERROR(__xludf.DUMMYFUNCTION("""COMPUTED_VALUE"""),"[""bag""]")</f>
        <v>["bag"]</v>
      </c>
      <c r="S168" s="148" t="str">
        <f>IFERROR(__xludf.DUMMYFUNCTION("""COMPUTED_VALUE"""),"{}")</f>
        <v>{}</v>
      </c>
      <c r="T168" s="148">
        <f>IFERROR(__xludf.DUMMYFUNCTION("""COMPUTED_VALUE"""),-1.0)</f>
        <v>-1</v>
      </c>
      <c r="U168" s="148">
        <f>IFERROR(__xludf.DUMMYFUNCTION("""COMPUTED_VALUE"""),0.0)</f>
        <v>0</v>
      </c>
      <c r="V168" s="148" t="str">
        <f>IFERROR(__xludf.DUMMYFUNCTION("""COMPUTED_VALUE"""),"[]")</f>
        <v>[]</v>
      </c>
      <c r="W168" s="148">
        <f>IFERROR(__xludf.DUMMYFUNCTION("""COMPUTED_VALUE"""),1.174E7)</f>
        <v>11740000</v>
      </c>
      <c r="X168" s="148">
        <f>IFERROR(__xludf.DUMMYFUNCTION("""COMPUTED_VALUE"""),0.0)</f>
        <v>0</v>
      </c>
      <c r="Y168" s="148">
        <f>IFERROR(__xludf.DUMMYFUNCTION("""COMPUTED_VALUE"""),0.0)</f>
        <v>0</v>
      </c>
      <c r="Z168" s="148"/>
    </row>
    <row r="169">
      <c r="A169" s="148">
        <f>IFERROR(__xludf.DUMMYFUNCTION("""COMPUTED_VALUE"""),1.1111318E7)</f>
        <v>11111318</v>
      </c>
      <c r="B169" s="148" t="str">
        <f>IFERROR(__xludf.DUMMYFUNCTION("""COMPUTED_VALUE"""),"香蕉雕像")</f>
        <v>香蕉雕像</v>
      </c>
      <c r="C169" s="148"/>
      <c r="D169" s="148" t="str">
        <f>IFERROR(__xludf.DUMMYFUNCTION("""COMPUTED_VALUE"""),"decorations")</f>
        <v>decorations</v>
      </c>
      <c r="E169" s="148">
        <f>IFERROR(__xludf.DUMMYFUNCTION("""COMPUTED_VALUE"""),23.0)</f>
        <v>23</v>
      </c>
      <c r="F169" s="148">
        <f>IFERROR(__xludf.DUMMYFUNCTION("""COMPUTED_VALUE"""),0.0)</f>
        <v>0</v>
      </c>
      <c r="G169" s="148">
        <f>IFERROR(__xludf.DUMMYFUNCTION("""COMPUTED_VALUE"""),1.5112462E7)</f>
        <v>15112462</v>
      </c>
      <c r="H169" s="148">
        <f>IFERROR(__xludf.DUMMYFUNCTION("""COMPUTED_VALUE"""),1.5112563E7)</f>
        <v>15112563</v>
      </c>
      <c r="I169" s="148" t="str">
        <f>IFERROR(__xludf.DUMMYFUNCTION("""COMPUTED_VALUE"""),"{}")</f>
        <v>{}</v>
      </c>
      <c r="J169" s="148" t="str">
        <f>IFERROR(__xludf.DUMMYFUNCTION("""COMPUTED_VALUE"""),"{""typ"":""lc"",""txt"":""LC_ITEM_decoration_banana_name""}")</f>
        <v>{"typ":"lc","txt":"LC_ITEM_decoration_banana_name"}</v>
      </c>
      <c r="K169" s="148" t="str">
        <f>IFERROR(__xludf.DUMMYFUNCTION("""COMPUTED_VALUE"""),"{""typ"":""lc"",""txt"":""LC_ITEM_decoration_banana_desc""}")</f>
        <v>{"typ":"lc","txt":"LC_ITEM_decoration_banana_desc"}</v>
      </c>
      <c r="L169" s="148" t="str">
        <f>IFERROR(__xludf.DUMMYFUNCTION("""COMPUTED_VALUE"""),"{}")</f>
        <v>{}</v>
      </c>
      <c r="M169" s="148">
        <f>IFERROR(__xludf.DUMMYFUNCTION("""COMPUTED_VALUE"""),5000.0)</f>
        <v>5000</v>
      </c>
      <c r="N169" s="148">
        <f>IFERROR(__xludf.DUMMYFUNCTION("""COMPUTED_VALUE"""),1.0)</f>
        <v>1</v>
      </c>
      <c r="O169" s="148">
        <f>IFERROR(__xludf.DUMMYFUNCTION("""COMPUTED_VALUE"""),1.0)</f>
        <v>1</v>
      </c>
      <c r="P169" s="148">
        <f>IFERROR(__xludf.DUMMYFUNCTION("""COMPUTED_VALUE"""),1.0)</f>
        <v>1</v>
      </c>
      <c r="Q169" s="148" t="str">
        <f>IFERROR(__xludf.DUMMYFUNCTION("""COMPUTED_VALUE"""),"[]")</f>
        <v>[]</v>
      </c>
      <c r="R169" s="148" t="str">
        <f>IFERROR(__xludf.DUMMYFUNCTION("""COMPUTED_VALUE"""),"[""bag""]")</f>
        <v>["bag"]</v>
      </c>
      <c r="S169" s="148" t="str">
        <f>IFERROR(__xludf.DUMMYFUNCTION("""COMPUTED_VALUE"""),"{""effect"":[{""typ"":""decorations"",""id"":11111318,""val"":-1}]}")</f>
        <v>{"effect":[{"typ":"decorations","id":11111318,"val":-1}]}</v>
      </c>
      <c r="T169" s="148">
        <f>IFERROR(__xludf.DUMMYFUNCTION("""COMPUTED_VALUE"""),-1.0)</f>
        <v>-1</v>
      </c>
      <c r="U169" s="148">
        <f>IFERROR(__xludf.DUMMYFUNCTION("""COMPUTED_VALUE"""),0.0)</f>
        <v>0</v>
      </c>
      <c r="V169" s="148" t="str">
        <f>IFERROR(__xludf.DUMMYFUNCTION("""COMPUTED_VALUE"""),"[]")</f>
        <v>[]</v>
      </c>
      <c r="W169" s="148">
        <f>IFERROR(__xludf.DUMMYFUNCTION("""COMPUTED_VALUE"""),1.174E7)</f>
        <v>11740000</v>
      </c>
      <c r="X169" s="148">
        <f>IFERROR(__xludf.DUMMYFUNCTION("""COMPUTED_VALUE"""),0.0)</f>
        <v>0</v>
      </c>
      <c r="Y169" s="148">
        <f>IFERROR(__xludf.DUMMYFUNCTION("""COMPUTED_VALUE"""),0.0)</f>
        <v>0</v>
      </c>
      <c r="Z169" s="148"/>
    </row>
    <row r="170">
      <c r="A170" s="148">
        <f>IFERROR(__xludf.DUMMYFUNCTION("""COMPUTED_VALUE"""),1.1111319E7)</f>
        <v>11111319</v>
      </c>
      <c r="B170" s="148" t="str">
        <f>IFERROR(__xludf.DUMMYFUNCTION("""COMPUTED_VALUE"""),"火箭雕像")</f>
        <v>火箭雕像</v>
      </c>
      <c r="C170" s="148"/>
      <c r="D170" s="148" t="str">
        <f>IFERROR(__xludf.DUMMYFUNCTION("""COMPUTED_VALUE"""),"decorations")</f>
        <v>decorations</v>
      </c>
      <c r="E170" s="148">
        <f>IFERROR(__xludf.DUMMYFUNCTION("""COMPUTED_VALUE"""),23.0)</f>
        <v>23</v>
      </c>
      <c r="F170" s="148">
        <f>IFERROR(__xludf.DUMMYFUNCTION("""COMPUTED_VALUE"""),0.0)</f>
        <v>0</v>
      </c>
      <c r="G170" s="148">
        <f>IFERROR(__xludf.DUMMYFUNCTION("""COMPUTED_VALUE"""),1.5112463E7)</f>
        <v>15112463</v>
      </c>
      <c r="H170" s="148">
        <f>IFERROR(__xludf.DUMMYFUNCTION("""COMPUTED_VALUE"""),1.5112563E7)</f>
        <v>15112563</v>
      </c>
      <c r="I170" s="148" t="str">
        <f>IFERROR(__xludf.DUMMYFUNCTION("""COMPUTED_VALUE"""),"{}")</f>
        <v>{}</v>
      </c>
      <c r="J170" s="148" t="str">
        <f>IFERROR(__xludf.DUMMYFUNCTION("""COMPUTED_VALUE"""),"{""typ"":""lc"",""txt"":""LC_ITEM_decoration_rocket_name""}")</f>
        <v>{"typ":"lc","txt":"LC_ITEM_decoration_rocket_name"}</v>
      </c>
      <c r="K170" s="148" t="str">
        <f>IFERROR(__xludf.DUMMYFUNCTION("""COMPUTED_VALUE"""),"{""typ"":""lc"",""txt"":""LC_ITEM_decoration_rocket_desc""}")</f>
        <v>{"typ":"lc","txt":"LC_ITEM_decoration_rocket_desc"}</v>
      </c>
      <c r="L170" s="148" t="str">
        <f>IFERROR(__xludf.DUMMYFUNCTION("""COMPUTED_VALUE"""),"{}")</f>
        <v>{}</v>
      </c>
      <c r="M170" s="148">
        <f>IFERROR(__xludf.DUMMYFUNCTION("""COMPUTED_VALUE"""),5000.0)</f>
        <v>5000</v>
      </c>
      <c r="N170" s="148">
        <f>IFERROR(__xludf.DUMMYFUNCTION("""COMPUTED_VALUE"""),1.0)</f>
        <v>1</v>
      </c>
      <c r="O170" s="148">
        <f>IFERROR(__xludf.DUMMYFUNCTION("""COMPUTED_VALUE"""),1.0)</f>
        <v>1</v>
      </c>
      <c r="P170" s="148">
        <f>IFERROR(__xludf.DUMMYFUNCTION("""COMPUTED_VALUE"""),1.0)</f>
        <v>1</v>
      </c>
      <c r="Q170" s="148" t="str">
        <f>IFERROR(__xludf.DUMMYFUNCTION("""COMPUTED_VALUE"""),"[]")</f>
        <v>[]</v>
      </c>
      <c r="R170" s="148" t="str">
        <f>IFERROR(__xludf.DUMMYFUNCTION("""COMPUTED_VALUE"""),"[""bag""]")</f>
        <v>["bag"]</v>
      </c>
      <c r="S170" s="148" t="str">
        <f>IFERROR(__xludf.DUMMYFUNCTION("""COMPUTED_VALUE"""),"{""effect"":[{""typ"":""decorations"",""id"":11111319,""val"":-1}]}")</f>
        <v>{"effect":[{"typ":"decorations","id":11111319,"val":-1}]}</v>
      </c>
      <c r="T170" s="148">
        <f>IFERROR(__xludf.DUMMYFUNCTION("""COMPUTED_VALUE"""),-1.0)</f>
        <v>-1</v>
      </c>
      <c r="U170" s="148">
        <f>IFERROR(__xludf.DUMMYFUNCTION("""COMPUTED_VALUE"""),1.0)</f>
        <v>1</v>
      </c>
      <c r="V170" s="148" t="str">
        <f>IFERROR(__xludf.DUMMYFUNCTION("""COMPUTED_VALUE"""),"[]")</f>
        <v>[]</v>
      </c>
      <c r="W170" s="148">
        <f>IFERROR(__xludf.DUMMYFUNCTION("""COMPUTED_VALUE"""),1.174E7)</f>
        <v>11740000</v>
      </c>
      <c r="X170" s="148">
        <f>IFERROR(__xludf.DUMMYFUNCTION("""COMPUTED_VALUE"""),0.0)</f>
        <v>0</v>
      </c>
      <c r="Y170" s="148">
        <f>IFERROR(__xludf.DUMMYFUNCTION("""COMPUTED_VALUE"""),0.0)</f>
        <v>0</v>
      </c>
      <c r="Z170" s="148"/>
    </row>
    <row r="171">
      <c r="A171" s="148">
        <f>IFERROR(__xludf.DUMMYFUNCTION("""COMPUTED_VALUE"""),1.111132E7)</f>
        <v>11111320</v>
      </c>
      <c r="B171" s="148" t="str">
        <f>IFERROR(__xludf.DUMMYFUNCTION("""COMPUTED_VALUE"""),"死亡猴雕像")</f>
        <v>死亡猴雕像</v>
      </c>
      <c r="C171" s="148"/>
      <c r="D171" s="148" t="str">
        <f>IFERROR(__xludf.DUMMYFUNCTION("""COMPUTED_VALUE"""),"decorations")</f>
        <v>decorations</v>
      </c>
      <c r="E171" s="148">
        <f>IFERROR(__xludf.DUMMYFUNCTION("""COMPUTED_VALUE"""),23.0)</f>
        <v>23</v>
      </c>
      <c r="F171" s="148">
        <f>IFERROR(__xludf.DUMMYFUNCTION("""COMPUTED_VALUE"""),0.0)</f>
        <v>0</v>
      </c>
      <c r="G171" s="148">
        <f>IFERROR(__xludf.DUMMYFUNCTION("""COMPUTED_VALUE"""),1.5112498E7)</f>
        <v>15112498</v>
      </c>
      <c r="H171" s="148">
        <f>IFERROR(__xludf.DUMMYFUNCTION("""COMPUTED_VALUE"""),1.5112563E7)</f>
        <v>15112563</v>
      </c>
      <c r="I171" s="148" t="str">
        <f>IFERROR(__xludf.DUMMYFUNCTION("""COMPUTED_VALUE"""),"{}")</f>
        <v>{}</v>
      </c>
      <c r="J171" s="148" t="str">
        <f>IFERROR(__xludf.DUMMYFUNCTION("""COMPUTED_VALUE"""),"{""typ"":""lc"",""txt"":""LC_ITEM_decoration_deathmonkey_name""}")</f>
        <v>{"typ":"lc","txt":"LC_ITEM_decoration_deathmonkey_name"}</v>
      </c>
      <c r="K171" s="148" t="str">
        <f>IFERROR(__xludf.DUMMYFUNCTION("""COMPUTED_VALUE"""),"{""typ"":""lc"",""txt"":""LC_ITEM_decoration_deathmonkey_desc""}")</f>
        <v>{"typ":"lc","txt":"LC_ITEM_decoration_deathmonkey_desc"}</v>
      </c>
      <c r="L171" s="148" t="str">
        <f>IFERROR(__xludf.DUMMYFUNCTION("""COMPUTED_VALUE"""),"{}")</f>
        <v>{}</v>
      </c>
      <c r="M171" s="148">
        <f>IFERROR(__xludf.DUMMYFUNCTION("""COMPUTED_VALUE"""),5000.0)</f>
        <v>5000</v>
      </c>
      <c r="N171" s="148">
        <f>IFERROR(__xludf.DUMMYFUNCTION("""COMPUTED_VALUE"""),1.0)</f>
        <v>1</v>
      </c>
      <c r="O171" s="148">
        <f>IFERROR(__xludf.DUMMYFUNCTION("""COMPUTED_VALUE"""),1.0)</f>
        <v>1</v>
      </c>
      <c r="P171" s="148">
        <f>IFERROR(__xludf.DUMMYFUNCTION("""COMPUTED_VALUE"""),1.0)</f>
        <v>1</v>
      </c>
      <c r="Q171" s="148" t="str">
        <f>IFERROR(__xludf.DUMMYFUNCTION("""COMPUTED_VALUE"""),"[]")</f>
        <v>[]</v>
      </c>
      <c r="R171" s="148" t="str">
        <f>IFERROR(__xludf.DUMMYFUNCTION("""COMPUTED_VALUE"""),"[""bag""]")</f>
        <v>["bag"]</v>
      </c>
      <c r="S171" s="148" t="str">
        <f>IFERROR(__xludf.DUMMYFUNCTION("""COMPUTED_VALUE"""),"{""effect"":[{""typ"":""decorations"",""id"":11111320,""val"":-1}]}")</f>
        <v>{"effect":[{"typ":"decorations","id":11111320,"val":-1}]}</v>
      </c>
      <c r="T171" s="148">
        <f>IFERROR(__xludf.DUMMYFUNCTION("""COMPUTED_VALUE"""),-1.0)</f>
        <v>-1</v>
      </c>
      <c r="U171" s="148">
        <f>IFERROR(__xludf.DUMMYFUNCTION("""COMPUTED_VALUE"""),1.0)</f>
        <v>1</v>
      </c>
      <c r="V171" s="148" t="str">
        <f>IFERROR(__xludf.DUMMYFUNCTION("""COMPUTED_VALUE"""),"[]")</f>
        <v>[]</v>
      </c>
      <c r="W171" s="148">
        <f>IFERROR(__xludf.DUMMYFUNCTION("""COMPUTED_VALUE"""),1.174E7)</f>
        <v>11740000</v>
      </c>
      <c r="X171" s="148">
        <f>IFERROR(__xludf.DUMMYFUNCTION("""COMPUTED_VALUE"""),0.0)</f>
        <v>0</v>
      </c>
      <c r="Y171" s="148">
        <f>IFERROR(__xludf.DUMMYFUNCTION("""COMPUTED_VALUE"""),0.0)</f>
        <v>0</v>
      </c>
      <c r="Z171" s="148"/>
    </row>
    <row r="172">
      <c r="A172" s="148">
        <f>IFERROR(__xludf.DUMMYFUNCTION("""COMPUTED_VALUE"""),1.1111321E7)</f>
        <v>11111321</v>
      </c>
      <c r="B172" s="148" t="str">
        <f>IFERROR(__xludf.DUMMYFUNCTION("""COMPUTED_VALUE"""),"游泳池雕像")</f>
        <v>游泳池雕像</v>
      </c>
      <c r="C172" s="148"/>
      <c r="D172" s="148" t="str">
        <f>IFERROR(__xludf.DUMMYFUNCTION("""COMPUTED_VALUE"""),"decorations")</f>
        <v>decorations</v>
      </c>
      <c r="E172" s="148">
        <f>IFERROR(__xludf.DUMMYFUNCTION("""COMPUTED_VALUE"""),23.0)</f>
        <v>23</v>
      </c>
      <c r="F172" s="148">
        <f>IFERROR(__xludf.DUMMYFUNCTION("""COMPUTED_VALUE"""),0.0)</f>
        <v>0</v>
      </c>
      <c r="G172" s="148">
        <f>IFERROR(__xludf.DUMMYFUNCTION("""COMPUTED_VALUE"""),1.5112499E7)</f>
        <v>15112499</v>
      </c>
      <c r="H172" s="148">
        <f>IFERROR(__xludf.DUMMYFUNCTION("""COMPUTED_VALUE"""),1.5112563E7)</f>
        <v>15112563</v>
      </c>
      <c r="I172" s="148" t="str">
        <f>IFERROR(__xludf.DUMMYFUNCTION("""COMPUTED_VALUE"""),"{}")</f>
        <v>{}</v>
      </c>
      <c r="J172" s="148" t="str">
        <f>IFERROR(__xludf.DUMMYFUNCTION("""COMPUTED_VALUE"""),"{""typ"":""lc"",""txt"":""LC_ITEM_decoration_swimpool_name""}")</f>
        <v>{"typ":"lc","txt":"LC_ITEM_decoration_swimpool_name"}</v>
      </c>
      <c r="K172" s="148" t="str">
        <f>IFERROR(__xludf.DUMMYFUNCTION("""COMPUTED_VALUE"""),"{""typ"":""lc"",""txt"":""LC_ITEM_decoration_swimpool_desc""}")</f>
        <v>{"typ":"lc","txt":"LC_ITEM_decoration_swimpool_desc"}</v>
      </c>
      <c r="L172" s="148" t="str">
        <f>IFERROR(__xludf.DUMMYFUNCTION("""COMPUTED_VALUE"""),"{}")</f>
        <v>{}</v>
      </c>
      <c r="M172" s="148">
        <f>IFERROR(__xludf.DUMMYFUNCTION("""COMPUTED_VALUE"""),5000.0)</f>
        <v>5000</v>
      </c>
      <c r="N172" s="148">
        <f>IFERROR(__xludf.DUMMYFUNCTION("""COMPUTED_VALUE"""),1.0)</f>
        <v>1</v>
      </c>
      <c r="O172" s="148">
        <f>IFERROR(__xludf.DUMMYFUNCTION("""COMPUTED_VALUE"""),1.0)</f>
        <v>1</v>
      </c>
      <c r="P172" s="148">
        <f>IFERROR(__xludf.DUMMYFUNCTION("""COMPUTED_VALUE"""),1.0)</f>
        <v>1</v>
      </c>
      <c r="Q172" s="148" t="str">
        <f>IFERROR(__xludf.DUMMYFUNCTION("""COMPUTED_VALUE"""),"[]")</f>
        <v>[]</v>
      </c>
      <c r="R172" s="148" t="str">
        <f>IFERROR(__xludf.DUMMYFUNCTION("""COMPUTED_VALUE"""),"[""bag""]")</f>
        <v>["bag"]</v>
      </c>
      <c r="S172" s="148" t="str">
        <f>IFERROR(__xludf.DUMMYFUNCTION("""COMPUTED_VALUE"""),"{""effect"":[{""typ"":""decorations"",""id"":11111321,""val"":-1},{""typ"":""item"",""id"":11112030,""val"":5}]}")</f>
        <v>{"effect":[{"typ":"decorations","id":11111321,"val":-1},{"typ":"item","id":11112030,"val":5}]}</v>
      </c>
      <c r="T172" s="148">
        <f>IFERROR(__xludf.DUMMYFUNCTION("""COMPUTED_VALUE"""),-1.0)</f>
        <v>-1</v>
      </c>
      <c r="U172" s="148">
        <f>IFERROR(__xludf.DUMMYFUNCTION("""COMPUTED_VALUE"""),1.0)</f>
        <v>1</v>
      </c>
      <c r="V172" s="148" t="str">
        <f>IFERROR(__xludf.DUMMYFUNCTION("""COMPUTED_VALUE"""),"[]")</f>
        <v>[]</v>
      </c>
      <c r="W172" s="148">
        <f>IFERROR(__xludf.DUMMYFUNCTION("""COMPUTED_VALUE"""),1.174E7)</f>
        <v>11740000</v>
      </c>
      <c r="X172" s="148">
        <f>IFERROR(__xludf.DUMMYFUNCTION("""COMPUTED_VALUE"""),0.0)</f>
        <v>0</v>
      </c>
      <c r="Y172" s="148">
        <f>IFERROR(__xludf.DUMMYFUNCTION("""COMPUTED_VALUE"""),0.0)</f>
        <v>0</v>
      </c>
      <c r="Z172" s="148"/>
    </row>
    <row r="173">
      <c r="A173" s="148">
        <f>IFERROR(__xludf.DUMMYFUNCTION("""COMPUTED_VALUE"""),1.1111322E7)</f>
        <v>11111322</v>
      </c>
      <c r="B173" s="148" t="str">
        <f>IFERROR(__xludf.DUMMYFUNCTION("""COMPUTED_VALUE"""),"帮派指挥部升级道具-战争图纸")</f>
        <v>帮派指挥部升级道具-战争图纸</v>
      </c>
      <c r="C173" s="148"/>
      <c r="D173" s="148" t="str">
        <f>IFERROR(__xludf.DUMMYFUNCTION("""COMPUTED_VALUE"""),"item_upgrade")</f>
        <v>item_upgrade</v>
      </c>
      <c r="E173" s="148">
        <f>IFERROR(__xludf.DUMMYFUNCTION("""COMPUTED_VALUE"""),0.0)</f>
        <v>0</v>
      </c>
      <c r="F173" s="148">
        <f>IFERROR(__xludf.DUMMYFUNCTION("""COMPUTED_VALUE"""),415203.0)</f>
        <v>415203</v>
      </c>
      <c r="G173" s="148">
        <f>IFERROR(__xludf.DUMMYFUNCTION("""COMPUTED_VALUE"""),1.5113284E7)</f>
        <v>15113284</v>
      </c>
      <c r="H173" s="148">
        <f>IFERROR(__xludf.DUMMYFUNCTION("""COMPUTED_VALUE"""),1.5112563E7)</f>
        <v>15112563</v>
      </c>
      <c r="I173" s="148" t="str">
        <f>IFERROR(__xludf.DUMMYFUNCTION("""COMPUTED_VALUE"""),"{}")</f>
        <v>{}</v>
      </c>
      <c r="J173" s="148" t="str">
        <f>IFERROR(__xludf.DUMMYFUNCTION("""COMPUTED_VALUE"""),"{""typ"":""lc"",""txt"":""LC_ITEM_war_drawing_name""}")</f>
        <v>{"typ":"lc","txt":"LC_ITEM_war_drawing_name"}</v>
      </c>
      <c r="K173" s="148" t="str">
        <f>IFERROR(__xludf.DUMMYFUNCTION("""COMPUTED_VALUE"""),"{""typ"":""lc"",""txt"":""LC_ITEM_war_drawing_desc""}")</f>
        <v>{"typ":"lc","txt":"LC_ITEM_war_drawing_desc"}</v>
      </c>
      <c r="L173" s="148" t="str">
        <f>IFERROR(__xludf.DUMMYFUNCTION("""COMPUTED_VALUE"""),"{}")</f>
        <v>{}</v>
      </c>
      <c r="M173" s="148">
        <f>IFERROR(__xludf.DUMMYFUNCTION("""COMPUTED_VALUE"""),5.0)</f>
        <v>5</v>
      </c>
      <c r="N173" s="148">
        <f>IFERROR(__xludf.DUMMYFUNCTION("""COMPUTED_VALUE"""),9999999.0)</f>
        <v>9999999</v>
      </c>
      <c r="O173" s="148">
        <f>IFERROR(__xludf.DUMMYFUNCTION("""COMPUTED_VALUE"""),9999999.0)</f>
        <v>9999999</v>
      </c>
      <c r="P173" s="148">
        <f>IFERROR(__xludf.DUMMYFUNCTION("""COMPUTED_VALUE"""),9999999.0)</f>
        <v>9999999</v>
      </c>
      <c r="Q173" s="148" t="str">
        <f>IFERROR(__xludf.DUMMYFUNCTION("""COMPUTED_VALUE"""),"[""bag_other""]")</f>
        <v>["bag_other"]</v>
      </c>
      <c r="R173" s="148" t="str">
        <f>IFERROR(__xludf.DUMMYFUNCTION("""COMPUTED_VALUE"""),"[""rss_union_command_upgrade""]")</f>
        <v>["rss_union_command_upgrade"]</v>
      </c>
      <c r="S173" s="148" t="str">
        <f>IFERROR(__xludf.DUMMYFUNCTION("""COMPUTED_VALUE"""),"{}")</f>
        <v>{}</v>
      </c>
      <c r="T173" s="148">
        <f>IFERROR(__xludf.DUMMYFUNCTION("""COMPUTED_VALUE"""),-1.0)</f>
        <v>-1</v>
      </c>
      <c r="U173" s="148">
        <f>IFERROR(__xludf.DUMMYFUNCTION("""COMPUTED_VALUE"""),0.0)</f>
        <v>0</v>
      </c>
      <c r="V173" s="148" t="str">
        <f>IFERROR(__xludf.DUMMYFUNCTION("""COMPUTED_VALUE"""),"[]")</f>
        <v>[]</v>
      </c>
      <c r="W173" s="148">
        <f>IFERROR(__xludf.DUMMYFUNCTION("""COMPUTED_VALUE"""),1.1741004E7)</f>
        <v>11741004</v>
      </c>
      <c r="X173" s="148">
        <f>IFERROR(__xludf.DUMMYFUNCTION("""COMPUTED_VALUE"""),0.0)</f>
        <v>0</v>
      </c>
      <c r="Y173" s="148">
        <f>IFERROR(__xludf.DUMMYFUNCTION("""COMPUTED_VALUE"""),0.0)</f>
        <v>0</v>
      </c>
      <c r="Z173" s="148"/>
    </row>
    <row r="174">
      <c r="A174" s="148">
        <f>IFERROR(__xludf.DUMMYFUNCTION("""COMPUTED_VALUE"""),1.1111323E7)</f>
        <v>11111323</v>
      </c>
      <c r="B174" s="148" t="str">
        <f>IFERROR(__xludf.DUMMYFUNCTION("""COMPUTED_VALUE"""),"主城皮肤-火箭（2天）")</f>
        <v>主城皮肤-火箭（2天）</v>
      </c>
      <c r="C174" s="148"/>
      <c r="D174" s="148" t="str">
        <f>IFERROR(__xludf.DUMMYFUNCTION("""COMPUTED_VALUE"""),"city_skin")</f>
        <v>city_skin</v>
      </c>
      <c r="E174" s="148">
        <f>IFERROR(__xludf.DUMMYFUNCTION("""COMPUTED_VALUE"""),21.0)</f>
        <v>21</v>
      </c>
      <c r="F174" s="148">
        <f>IFERROR(__xludf.DUMMYFUNCTION("""COMPUTED_VALUE"""),404201.0)</f>
        <v>404201</v>
      </c>
      <c r="G174" s="148">
        <f>IFERROR(__xludf.DUMMYFUNCTION("""COMPUTED_VALUE"""),1.5112461E7)</f>
        <v>15112461</v>
      </c>
      <c r="H174" s="148">
        <f>IFERROR(__xludf.DUMMYFUNCTION("""COMPUTED_VALUE"""),1.5112563E7)</f>
        <v>15112563</v>
      </c>
      <c r="I174" s="148" t="str">
        <f>IFERROR(__xludf.DUMMYFUNCTION("""COMPUTED_VALUE"""),"{""typ"":""lc"",""txt"":""LC_ITEM_time_day_upper_show"",""args"":[{""typ"":""int"",""val"":2}]}")</f>
        <v>{"typ":"lc","txt":"LC_ITEM_time_day_upper_show","args":[{"typ":"int","val":2}]}</v>
      </c>
      <c r="J174" s="148" t="str">
        <f>IFERROR(__xludf.DUMMYFUNCTION("""COMPUTED_VALUE"""),"{""typ"":""lc"",""txt"":""LC_ITEM_city_skin_rocket_48h_name""}")</f>
        <v>{"typ":"lc","txt":"LC_ITEM_city_skin_rocket_48h_name"}</v>
      </c>
      <c r="K174" s="148" t="str">
        <f>IFERROR(__xludf.DUMMYFUNCTION("""COMPUTED_VALUE"""),"{""typ"":""lc"",""txt"":""LC_ITEM_city_skin_rocket_48h_desc""}")</f>
        <v>{"typ":"lc","txt":"LC_ITEM_city_skin_rocket_48h_desc"}</v>
      </c>
      <c r="L174" s="148" t="str">
        <f>IFERROR(__xludf.DUMMYFUNCTION("""COMPUTED_VALUE"""),"{""typ"":""lc"",""txt"":""LC_ITEM_city_skin_rocket_use_tips""}")</f>
        <v>{"typ":"lc","txt":"LC_ITEM_city_skin_rocket_use_tips"}</v>
      </c>
      <c r="M174" s="148">
        <f>IFERROR(__xludf.DUMMYFUNCTION("""COMPUTED_VALUE"""),1000.0)</f>
        <v>1000</v>
      </c>
      <c r="N174" s="148">
        <f>IFERROR(__xludf.DUMMYFUNCTION("""COMPUTED_VALUE"""),1.0)</f>
        <v>1</v>
      </c>
      <c r="O174" s="148">
        <f>IFERROR(__xludf.DUMMYFUNCTION("""COMPUTED_VALUE"""),1.0)</f>
        <v>1</v>
      </c>
      <c r="P174" s="148">
        <f>IFERROR(__xludf.DUMMYFUNCTION("""COMPUTED_VALUE"""),1.0)</f>
        <v>1</v>
      </c>
      <c r="Q174" s="148" t="str">
        <f>IFERROR(__xludf.DUMMYFUNCTION("""COMPUTED_VALUE"""),"[""bag_other""]")</f>
        <v>["bag_other"]</v>
      </c>
      <c r="R174" s="148" t="str">
        <f>IFERROR(__xludf.DUMMYFUNCTION("""COMPUTED_VALUE"""),"[""bag"",""13121002""]")</f>
        <v>["bag","13121002"]</v>
      </c>
      <c r="S174" s="148" t="str">
        <f>IFERROR(__xludf.DUMMYFUNCTION("""COMPUTED_VALUE"""),"{""effect"":[{""typ"":""city_skin"",""id"":13121002,""val"":172800000},{""typ"":""item"",""id"":11111021,""val"":1}]}")</f>
        <v>{"effect":[{"typ":"city_skin","id":13121002,"val":172800000},{"typ":"item","id":11111021,"val":1}]}</v>
      </c>
      <c r="T174" s="148">
        <f>IFERROR(__xludf.DUMMYFUNCTION("""COMPUTED_VALUE"""),-1.0)</f>
        <v>-1</v>
      </c>
      <c r="U174" s="148">
        <f>IFERROR(__xludf.DUMMYFUNCTION("""COMPUTED_VALUE"""),0.0)</f>
        <v>0</v>
      </c>
      <c r="V174" s="148" t="str">
        <f>IFERROR(__xludf.DUMMYFUNCTION("""COMPUTED_VALUE"""),"[]")</f>
        <v>[]</v>
      </c>
      <c r="W174" s="148">
        <f>IFERROR(__xludf.DUMMYFUNCTION("""COMPUTED_VALUE"""),1.174E7)</f>
        <v>11740000</v>
      </c>
      <c r="X174" s="148">
        <f>IFERROR(__xludf.DUMMYFUNCTION("""COMPUTED_VALUE"""),0.0)</f>
        <v>0</v>
      </c>
      <c r="Y174" s="148">
        <f>IFERROR(__xludf.DUMMYFUNCTION("""COMPUTED_VALUE"""),0.0)</f>
        <v>0</v>
      </c>
      <c r="Z174" s="148"/>
    </row>
    <row r="175">
      <c r="A175" s="148">
        <f>IFERROR(__xludf.DUMMYFUNCTION("""COMPUTED_VALUE"""),1.1111324E7)</f>
        <v>11111324</v>
      </c>
      <c r="B175" s="148" t="str">
        <f>IFERROR(__xludf.DUMMYFUNCTION("""COMPUTED_VALUE"""),"圣诞树")</f>
        <v>圣诞树</v>
      </c>
      <c r="C175" s="148"/>
      <c r="D175" s="148" t="str">
        <f>IFERROR(__xludf.DUMMYFUNCTION("""COMPUTED_VALUE"""),"decorations")</f>
        <v>decorations</v>
      </c>
      <c r="E175" s="148">
        <f>IFERROR(__xludf.DUMMYFUNCTION("""COMPUTED_VALUE"""),23.0)</f>
        <v>23</v>
      </c>
      <c r="F175" s="148">
        <f>IFERROR(__xludf.DUMMYFUNCTION("""COMPUTED_VALUE"""),0.0)</f>
        <v>0</v>
      </c>
      <c r="G175" s="148">
        <f>IFERROR(__xludf.DUMMYFUNCTION("""COMPUTED_VALUE"""),1.5113549E7)</f>
        <v>15113549</v>
      </c>
      <c r="H175" s="148">
        <f>IFERROR(__xludf.DUMMYFUNCTION("""COMPUTED_VALUE"""),1.5112563E7)</f>
        <v>15112563</v>
      </c>
      <c r="I175" s="148" t="str">
        <f>IFERROR(__xludf.DUMMYFUNCTION("""COMPUTED_VALUE"""),"{}")</f>
        <v>{}</v>
      </c>
      <c r="J175" s="148" t="str">
        <f>IFERROR(__xludf.DUMMYFUNCTION("""COMPUTED_VALUE"""),"{""typ"":""lc"",""txt"":""LC_ITEM_christmas_2020_exchange_item_name_3""}")</f>
        <v>{"typ":"lc","txt":"LC_ITEM_christmas_2020_exchange_item_name_3"}</v>
      </c>
      <c r="K175" s="148" t="str">
        <f>IFERROR(__xludf.DUMMYFUNCTION("""COMPUTED_VALUE"""),"{""typ"":""lc"",""txt"":""LC_ITEM_christmas_2020_exchange_item_desc_3""}")</f>
        <v>{"typ":"lc","txt":"LC_ITEM_christmas_2020_exchange_item_desc_3"}</v>
      </c>
      <c r="L175" s="148" t="str">
        <f>IFERROR(__xludf.DUMMYFUNCTION("""COMPUTED_VALUE"""),"{}")</f>
        <v>{}</v>
      </c>
      <c r="M175" s="148">
        <f>IFERROR(__xludf.DUMMYFUNCTION("""COMPUTED_VALUE"""),5000.0)</f>
        <v>5000</v>
      </c>
      <c r="N175" s="148">
        <f>IFERROR(__xludf.DUMMYFUNCTION("""COMPUTED_VALUE"""),5.0)</f>
        <v>5</v>
      </c>
      <c r="O175" s="148">
        <f>IFERROR(__xludf.DUMMYFUNCTION("""COMPUTED_VALUE"""),1.0)</f>
        <v>1</v>
      </c>
      <c r="P175" s="148">
        <f>IFERROR(__xludf.DUMMYFUNCTION("""COMPUTED_VALUE"""),1.0)</f>
        <v>1</v>
      </c>
      <c r="Q175" s="148" t="str">
        <f>IFERROR(__xludf.DUMMYFUNCTION("""COMPUTED_VALUE"""),"[]")</f>
        <v>[]</v>
      </c>
      <c r="R175" s="148" t="str">
        <f>IFERROR(__xludf.DUMMYFUNCTION("""COMPUTED_VALUE"""),"[""bag""]")</f>
        <v>["bag"]</v>
      </c>
      <c r="S175" s="148" t="str">
        <f>IFERROR(__xludf.DUMMYFUNCTION("""COMPUTED_VALUE"""),"{""effect"":[{""typ"":""decorations"",""id"":11111324,""val"":-1},{""typ"":""item"",""id"":11112030,""val"":5}]}")</f>
        <v>{"effect":[{"typ":"decorations","id":11111324,"val":-1},{"typ":"item","id":11112030,"val":5}]}</v>
      </c>
      <c r="T175" s="148">
        <f>IFERROR(__xludf.DUMMYFUNCTION("""COMPUTED_VALUE"""),-1.0)</f>
        <v>-1</v>
      </c>
      <c r="U175" s="148">
        <f>IFERROR(__xludf.DUMMYFUNCTION("""COMPUTED_VALUE"""),1.0)</f>
        <v>1</v>
      </c>
      <c r="V175" s="148" t="str">
        <f>IFERROR(__xludf.DUMMYFUNCTION("""COMPUTED_VALUE"""),"[]")</f>
        <v>[]</v>
      </c>
      <c r="W175" s="148">
        <f>IFERROR(__xludf.DUMMYFUNCTION("""COMPUTED_VALUE"""),1.174E7)</f>
        <v>11740000</v>
      </c>
      <c r="X175" s="148">
        <f>IFERROR(__xludf.DUMMYFUNCTION("""COMPUTED_VALUE"""),0.0)</f>
        <v>0</v>
      </c>
      <c r="Y175" s="148">
        <f>IFERROR(__xludf.DUMMYFUNCTION("""COMPUTED_VALUE"""),0.0)</f>
        <v>0</v>
      </c>
      <c r="Z175" s="148"/>
    </row>
    <row r="176">
      <c r="A176" s="148">
        <f>IFERROR(__xludf.DUMMYFUNCTION("""COMPUTED_VALUE"""),1.1111325E7)</f>
        <v>11111325</v>
      </c>
      <c r="B176" s="148" t="str">
        <f>IFERROR(__xludf.DUMMYFUNCTION("""COMPUTED_VALUE"""),"丘比特雕像")</f>
        <v>丘比特雕像</v>
      </c>
      <c r="C176" s="148"/>
      <c r="D176" s="148" t="str">
        <f>IFERROR(__xludf.DUMMYFUNCTION("""COMPUTED_VALUE"""),"decorations")</f>
        <v>decorations</v>
      </c>
      <c r="E176" s="148">
        <f>IFERROR(__xludf.DUMMYFUNCTION("""COMPUTED_VALUE"""),23.0)</f>
        <v>23</v>
      </c>
      <c r="F176" s="148">
        <f>IFERROR(__xludf.DUMMYFUNCTION("""COMPUTED_VALUE"""),0.0)</f>
        <v>0</v>
      </c>
      <c r="G176" s="148">
        <f>IFERROR(__xludf.DUMMYFUNCTION("""COMPUTED_VALUE"""),1.5113626E7)</f>
        <v>15113626</v>
      </c>
      <c r="H176" s="148">
        <f>IFERROR(__xludf.DUMMYFUNCTION("""COMPUTED_VALUE"""),1.5112563E7)</f>
        <v>15112563</v>
      </c>
      <c r="I176" s="148" t="str">
        <f>IFERROR(__xludf.DUMMYFUNCTION("""COMPUTED_VALUE"""),"{}")</f>
        <v>{}</v>
      </c>
      <c r="J176" s="148" t="str">
        <f>IFERROR(__xludf.DUMMYFUNCTION("""COMPUTED_VALUE"""),"{""typ"":""lc"",""txt"":""LC_ITEM_cupid_2021_name""}")</f>
        <v>{"typ":"lc","txt":"LC_ITEM_cupid_2021_name"}</v>
      </c>
      <c r="K176" s="148" t="str">
        <f>IFERROR(__xludf.DUMMYFUNCTION("""COMPUTED_VALUE"""),"{""typ"":""lc"",""txt"":""LC_ITEM_cupid_2021_desc""}")</f>
        <v>{"typ":"lc","txt":"LC_ITEM_cupid_2021_desc"}</v>
      </c>
      <c r="L176" s="148" t="str">
        <f>IFERROR(__xludf.DUMMYFUNCTION("""COMPUTED_VALUE"""),"{}")</f>
        <v>{}</v>
      </c>
      <c r="M176" s="148">
        <f>IFERROR(__xludf.DUMMYFUNCTION("""COMPUTED_VALUE"""),5000.0)</f>
        <v>5000</v>
      </c>
      <c r="N176" s="148">
        <f>IFERROR(__xludf.DUMMYFUNCTION("""COMPUTED_VALUE"""),5.0)</f>
        <v>5</v>
      </c>
      <c r="O176" s="148">
        <f>IFERROR(__xludf.DUMMYFUNCTION("""COMPUTED_VALUE"""),1.0)</f>
        <v>1</v>
      </c>
      <c r="P176" s="148">
        <f>IFERROR(__xludf.DUMMYFUNCTION("""COMPUTED_VALUE"""),1.0)</f>
        <v>1</v>
      </c>
      <c r="Q176" s="148" t="str">
        <f>IFERROR(__xludf.DUMMYFUNCTION("""COMPUTED_VALUE"""),"[]")</f>
        <v>[]</v>
      </c>
      <c r="R176" s="148" t="str">
        <f>IFERROR(__xludf.DUMMYFUNCTION("""COMPUTED_VALUE"""),"[""bag""]")</f>
        <v>["bag"]</v>
      </c>
      <c r="S176" s="148" t="str">
        <f>IFERROR(__xludf.DUMMYFUNCTION("""COMPUTED_VALUE"""),"{""effect"":[{""typ"":""decorations"",""id"":11111325,""val"":-1},{""typ"":""item"",""id"":11112030,""val"":5}]}")</f>
        <v>{"effect":[{"typ":"decorations","id":11111325,"val":-1},{"typ":"item","id":11112030,"val":5}]}</v>
      </c>
      <c r="T176" s="148">
        <f>IFERROR(__xludf.DUMMYFUNCTION("""COMPUTED_VALUE"""),-1.0)</f>
        <v>-1</v>
      </c>
      <c r="U176" s="148">
        <f>IFERROR(__xludf.DUMMYFUNCTION("""COMPUTED_VALUE"""),1.0)</f>
        <v>1</v>
      </c>
      <c r="V176" s="148" t="str">
        <f>IFERROR(__xludf.DUMMYFUNCTION("""COMPUTED_VALUE"""),"[]")</f>
        <v>[]</v>
      </c>
      <c r="W176" s="148">
        <f>IFERROR(__xludf.DUMMYFUNCTION("""COMPUTED_VALUE"""),1.174E7)</f>
        <v>11740000</v>
      </c>
      <c r="X176" s="148">
        <f>IFERROR(__xludf.DUMMYFUNCTION("""COMPUTED_VALUE"""),0.0)</f>
        <v>0</v>
      </c>
      <c r="Y176" s="148">
        <f>IFERROR(__xludf.DUMMYFUNCTION("""COMPUTED_VALUE"""),0.0)</f>
        <v>0</v>
      </c>
      <c r="Z176" s="148"/>
    </row>
    <row r="177">
      <c r="A177" s="148">
        <f>IFERROR(__xludf.DUMMYFUNCTION("""COMPUTED_VALUE"""),1.1111326E7)</f>
        <v>11111326</v>
      </c>
      <c r="B177" s="148" t="str">
        <f>IFERROR(__xludf.DUMMYFUNCTION("""COMPUTED_VALUE"""),"复活节彩蛋")</f>
        <v>复活节彩蛋</v>
      </c>
      <c r="C177" s="148"/>
      <c r="D177" s="148" t="str">
        <f>IFERROR(__xludf.DUMMYFUNCTION("""COMPUTED_VALUE"""),"decorations")</f>
        <v>decorations</v>
      </c>
      <c r="E177" s="148">
        <f>IFERROR(__xludf.DUMMYFUNCTION("""COMPUTED_VALUE"""),23.0)</f>
        <v>23</v>
      </c>
      <c r="F177" s="148">
        <f>IFERROR(__xludf.DUMMYFUNCTION("""COMPUTED_VALUE"""),0.0)</f>
        <v>0</v>
      </c>
      <c r="G177" s="148">
        <f>IFERROR(__xludf.DUMMYFUNCTION("""COMPUTED_VALUE"""),1.5113733E7)</f>
        <v>15113733</v>
      </c>
      <c r="H177" s="148">
        <f>IFERROR(__xludf.DUMMYFUNCTION("""COMPUTED_VALUE"""),1.5112563E7)</f>
        <v>15112563</v>
      </c>
      <c r="I177" s="148" t="str">
        <f>IFERROR(__xludf.DUMMYFUNCTION("""COMPUTED_VALUE"""),"{}")</f>
        <v>{}</v>
      </c>
      <c r="J177" s="148" t="str">
        <f>IFERROR(__xludf.DUMMYFUNCTION("""COMPUTED_VALUE"""),"{""typ"":""lc"",""txt"":""LC_ITEM_easter_egg_model""}")</f>
        <v>{"typ":"lc","txt":"LC_ITEM_easter_egg_model"}</v>
      </c>
      <c r="K177" s="148" t="str">
        <f>IFERROR(__xludf.DUMMYFUNCTION("""COMPUTED_VALUE"""),"{""typ"":""lc"",""txt"":""LC_ITEM_easter_egg_model_desc""}")</f>
        <v>{"typ":"lc","txt":"LC_ITEM_easter_egg_model_desc"}</v>
      </c>
      <c r="L177" s="148" t="str">
        <f>IFERROR(__xludf.DUMMYFUNCTION("""COMPUTED_VALUE"""),"{}")</f>
        <v>{}</v>
      </c>
      <c r="M177" s="148">
        <f>IFERROR(__xludf.DUMMYFUNCTION("""COMPUTED_VALUE"""),5000.0)</f>
        <v>5000</v>
      </c>
      <c r="N177" s="148">
        <f>IFERROR(__xludf.DUMMYFUNCTION("""COMPUTED_VALUE"""),5.0)</f>
        <v>5</v>
      </c>
      <c r="O177" s="148">
        <f>IFERROR(__xludf.DUMMYFUNCTION("""COMPUTED_VALUE"""),1.0)</f>
        <v>1</v>
      </c>
      <c r="P177" s="148">
        <f>IFERROR(__xludf.DUMMYFUNCTION("""COMPUTED_VALUE"""),1.0)</f>
        <v>1</v>
      </c>
      <c r="Q177" s="148" t="str">
        <f>IFERROR(__xludf.DUMMYFUNCTION("""COMPUTED_VALUE"""),"[]")</f>
        <v>[]</v>
      </c>
      <c r="R177" s="148" t="str">
        <f>IFERROR(__xludf.DUMMYFUNCTION("""COMPUTED_VALUE"""),"[""bag""]")</f>
        <v>["bag"]</v>
      </c>
      <c r="S177" s="148" t="str">
        <f>IFERROR(__xludf.DUMMYFUNCTION("""COMPUTED_VALUE"""),"{""effect"":[{""typ"":""decorations"",""id"":11111326,""val"":-1}]}")</f>
        <v>{"effect":[{"typ":"decorations","id":11111326,"val":-1}]}</v>
      </c>
      <c r="T177" s="148">
        <f>IFERROR(__xludf.DUMMYFUNCTION("""COMPUTED_VALUE"""),-1.0)</f>
        <v>-1</v>
      </c>
      <c r="U177" s="148">
        <f>IFERROR(__xludf.DUMMYFUNCTION("""COMPUTED_VALUE"""),1.0)</f>
        <v>1</v>
      </c>
      <c r="V177" s="148" t="str">
        <f>IFERROR(__xludf.DUMMYFUNCTION("""COMPUTED_VALUE"""),"[]")</f>
        <v>[]</v>
      </c>
      <c r="W177" s="148">
        <f>IFERROR(__xludf.DUMMYFUNCTION("""COMPUTED_VALUE"""),1.174E7)</f>
        <v>11740000</v>
      </c>
      <c r="X177" s="148">
        <f>IFERROR(__xludf.DUMMYFUNCTION("""COMPUTED_VALUE"""),0.0)</f>
        <v>0</v>
      </c>
      <c r="Y177" s="148">
        <f>IFERROR(__xludf.DUMMYFUNCTION("""COMPUTED_VALUE"""),0.0)</f>
        <v>0</v>
      </c>
      <c r="Z177" s="148"/>
    </row>
    <row r="178">
      <c r="A178" s="148">
        <f>IFERROR(__xludf.DUMMYFUNCTION("""COMPUTED_VALUE"""),1.1111327E7)</f>
        <v>11111327</v>
      </c>
      <c r="B178" s="148" t="str">
        <f>IFERROR(__xludf.DUMMYFUNCTION("""COMPUTED_VALUE"""),"kvk-香蕉树装饰物")</f>
        <v>kvk-香蕉树装饰物</v>
      </c>
      <c r="C178" s="148"/>
      <c r="D178" s="148" t="str">
        <f>IFERROR(__xludf.DUMMYFUNCTION("""COMPUTED_VALUE"""),"decorations")</f>
        <v>decorations</v>
      </c>
      <c r="E178" s="148">
        <f>IFERROR(__xludf.DUMMYFUNCTION("""COMPUTED_VALUE"""),23.0)</f>
        <v>23</v>
      </c>
      <c r="F178" s="148">
        <f>IFERROR(__xludf.DUMMYFUNCTION("""COMPUTED_VALUE"""),0.0)</f>
        <v>0</v>
      </c>
      <c r="G178" s="148">
        <f>IFERROR(__xludf.DUMMYFUNCTION("""COMPUTED_VALUE"""),1.5113733E7)</f>
        <v>15113733</v>
      </c>
      <c r="H178" s="148">
        <f>IFERROR(__xludf.DUMMYFUNCTION("""COMPUTED_VALUE"""),1.5112563E7)</f>
        <v>15112563</v>
      </c>
      <c r="I178" s="148" t="str">
        <f>IFERROR(__xludf.DUMMYFUNCTION("""COMPUTED_VALUE"""),"{}")</f>
        <v>{}</v>
      </c>
      <c r="J178" s="148" t="str">
        <f>IFERROR(__xludf.DUMMYFUNCTION("""COMPUTED_VALUE"""),"{""typ"":""lc"",""txt"":""LC_BUILDING_gene_banana_tree_name""}")</f>
        <v>{"typ":"lc","txt":"LC_BUILDING_gene_banana_tree_name"}</v>
      </c>
      <c r="K178" s="148" t="str">
        <f>IFERROR(__xludf.DUMMYFUNCTION("""COMPUTED_VALUE"""),"{""typ"":""lc"",""txt"":""LC_BUILDING_gene_banana_tree_desc""}")</f>
        <v>{"typ":"lc","txt":"LC_BUILDING_gene_banana_tree_desc"}</v>
      </c>
      <c r="L178" s="148" t="str">
        <f>IFERROR(__xludf.DUMMYFUNCTION("""COMPUTED_VALUE"""),"{}")</f>
        <v>{}</v>
      </c>
      <c r="M178" s="148">
        <f>IFERROR(__xludf.DUMMYFUNCTION("""COMPUTED_VALUE"""),5000.0)</f>
        <v>5000</v>
      </c>
      <c r="N178" s="148">
        <f>IFERROR(__xludf.DUMMYFUNCTION("""COMPUTED_VALUE"""),5.0)</f>
        <v>5</v>
      </c>
      <c r="O178" s="148">
        <f>IFERROR(__xludf.DUMMYFUNCTION("""COMPUTED_VALUE"""),1.0)</f>
        <v>1</v>
      </c>
      <c r="P178" s="148">
        <f>IFERROR(__xludf.DUMMYFUNCTION("""COMPUTED_VALUE"""),1.0)</f>
        <v>1</v>
      </c>
      <c r="Q178" s="148" t="str">
        <f>IFERROR(__xludf.DUMMYFUNCTION("""COMPUTED_VALUE"""),"[]")</f>
        <v>[]</v>
      </c>
      <c r="R178" s="148" t="str">
        <f>IFERROR(__xludf.DUMMYFUNCTION("""COMPUTED_VALUE"""),"[""bag""]")</f>
        <v>["bag"]</v>
      </c>
      <c r="S178" s="148" t="str">
        <f>IFERROR(__xludf.DUMMYFUNCTION("""COMPUTED_VALUE"""),"{""effect"":[{""typ"":""decorations"",""id"":11111327,""val"":-1}]}")</f>
        <v>{"effect":[{"typ":"decorations","id":11111327,"val":-1}]}</v>
      </c>
      <c r="T178" s="148">
        <f>IFERROR(__xludf.DUMMYFUNCTION("""COMPUTED_VALUE"""),-1.0)</f>
        <v>-1</v>
      </c>
      <c r="U178" s="148">
        <f>IFERROR(__xludf.DUMMYFUNCTION("""COMPUTED_VALUE"""),1.0)</f>
        <v>1</v>
      </c>
      <c r="V178" s="148" t="str">
        <f>IFERROR(__xludf.DUMMYFUNCTION("""COMPUTED_VALUE"""),"[]")</f>
        <v>[]</v>
      </c>
      <c r="W178" s="148">
        <f>IFERROR(__xludf.DUMMYFUNCTION("""COMPUTED_VALUE"""),1.174E7)</f>
        <v>11740000</v>
      </c>
      <c r="X178" s="148">
        <f>IFERROR(__xludf.DUMMYFUNCTION("""COMPUTED_VALUE"""),0.0)</f>
        <v>0</v>
      </c>
      <c r="Y178" s="148">
        <f>IFERROR(__xludf.DUMMYFUNCTION("""COMPUTED_VALUE"""),0.0)</f>
        <v>0</v>
      </c>
      <c r="Z178" s="148"/>
    </row>
    <row r="179">
      <c r="A179" s="148">
        <f>IFERROR(__xludf.DUMMYFUNCTION("""COMPUTED_VALUE"""),1.1111328E7)</f>
        <v>11111328</v>
      </c>
      <c r="B179" s="148" t="str">
        <f>IFERROR(__xludf.DUMMYFUNCTION("""COMPUTED_VALUE"""),"2021万圣节-南瓜墓碑装饰")</f>
        <v>2021万圣节-南瓜墓碑装饰</v>
      </c>
      <c r="C179" s="148"/>
      <c r="D179" s="148" t="str">
        <f>IFERROR(__xludf.DUMMYFUNCTION("""COMPUTED_VALUE"""),"decorations")</f>
        <v>decorations</v>
      </c>
      <c r="E179" s="148">
        <f>IFERROR(__xludf.DUMMYFUNCTION("""COMPUTED_VALUE"""),23.0)</f>
        <v>23</v>
      </c>
      <c r="F179" s="148">
        <f>IFERROR(__xludf.DUMMYFUNCTION("""COMPUTED_VALUE"""),0.0)</f>
        <v>0</v>
      </c>
      <c r="G179" s="148">
        <f>IFERROR(__xludf.DUMMYFUNCTION("""COMPUTED_VALUE"""),1.5114401E7)</f>
        <v>15114401</v>
      </c>
      <c r="H179" s="148">
        <f>IFERROR(__xludf.DUMMYFUNCTION("""COMPUTED_VALUE"""),1.5112563E7)</f>
        <v>15112563</v>
      </c>
      <c r="I179" s="148" t="str">
        <f>IFERROR(__xludf.DUMMYFUNCTION("""COMPUTED_VALUE"""),"{}")</f>
        <v>{}</v>
      </c>
      <c r="J179" s="148" t="str">
        <f>IFERROR(__xludf.DUMMYFUNCTION("""COMPUTED_VALUE"""),"{""typ"":""lc"",""txt"":""LC_ITEM_halloween_2021item_deco""}")</f>
        <v>{"typ":"lc","txt":"LC_ITEM_halloween_2021item_deco"}</v>
      </c>
      <c r="K179" s="148" t="str">
        <f>IFERROR(__xludf.DUMMYFUNCTION("""COMPUTED_VALUE"""),"{""typ"":""lc"",""txt"":""LC_ITEM_halloween_2021item_deco_desc""}")</f>
        <v>{"typ":"lc","txt":"LC_ITEM_halloween_2021item_deco_desc"}</v>
      </c>
      <c r="L179" s="148" t="str">
        <f>IFERROR(__xludf.DUMMYFUNCTION("""COMPUTED_VALUE"""),"{}")</f>
        <v>{}</v>
      </c>
      <c r="M179" s="148">
        <f>IFERROR(__xludf.DUMMYFUNCTION("""COMPUTED_VALUE"""),5000.0)</f>
        <v>5000</v>
      </c>
      <c r="N179" s="148">
        <f>IFERROR(__xludf.DUMMYFUNCTION("""COMPUTED_VALUE"""),5.0)</f>
        <v>5</v>
      </c>
      <c r="O179" s="148">
        <f>IFERROR(__xludf.DUMMYFUNCTION("""COMPUTED_VALUE"""),1.0)</f>
        <v>1</v>
      </c>
      <c r="P179" s="148">
        <f>IFERROR(__xludf.DUMMYFUNCTION("""COMPUTED_VALUE"""),1.0)</f>
        <v>1</v>
      </c>
      <c r="Q179" s="148" t="str">
        <f>IFERROR(__xludf.DUMMYFUNCTION("""COMPUTED_VALUE"""),"[]")</f>
        <v>[]</v>
      </c>
      <c r="R179" s="148" t="str">
        <f>IFERROR(__xludf.DUMMYFUNCTION("""COMPUTED_VALUE"""),"[""bag""]")</f>
        <v>["bag"]</v>
      </c>
      <c r="S179" s="148" t="str">
        <f>IFERROR(__xludf.DUMMYFUNCTION("""COMPUTED_VALUE"""),"{""effect"":[{""typ"":""decorations"",""id"":11111328,""val"":-1},{""typ"":""item"",""id"":11112030,""val"":5}]}")</f>
        <v>{"effect":[{"typ":"decorations","id":11111328,"val":-1},{"typ":"item","id":11112030,"val":5}]}</v>
      </c>
      <c r="T179" s="148">
        <f>IFERROR(__xludf.DUMMYFUNCTION("""COMPUTED_VALUE"""),-1.0)</f>
        <v>-1</v>
      </c>
      <c r="U179" s="148">
        <f>IFERROR(__xludf.DUMMYFUNCTION("""COMPUTED_VALUE"""),1.0)</f>
        <v>1</v>
      </c>
      <c r="V179" s="148" t="str">
        <f>IFERROR(__xludf.DUMMYFUNCTION("""COMPUTED_VALUE"""),"[]")</f>
        <v>[]</v>
      </c>
      <c r="W179" s="148">
        <f>IFERROR(__xludf.DUMMYFUNCTION("""COMPUTED_VALUE"""),1.174E7)</f>
        <v>11740000</v>
      </c>
      <c r="X179" s="148">
        <f>IFERROR(__xludf.DUMMYFUNCTION("""COMPUTED_VALUE"""),0.0)</f>
        <v>0</v>
      </c>
      <c r="Y179" s="148">
        <f>IFERROR(__xludf.DUMMYFUNCTION("""COMPUTED_VALUE"""),0.0)</f>
        <v>0</v>
      </c>
      <c r="Z179" s="148"/>
    </row>
    <row r="180">
      <c r="A180" s="148">
        <f>IFERROR(__xludf.DUMMYFUNCTION("""COMPUTED_VALUE"""),1.1111329E7)</f>
        <v>11111329</v>
      </c>
      <c r="B180" s="148" t="str">
        <f>IFERROR(__xludf.DUMMYFUNCTION("""COMPUTED_VALUE"""),"2021感恩节-餐桌装饰")</f>
        <v>2021感恩节-餐桌装饰</v>
      </c>
      <c r="C180" s="148"/>
      <c r="D180" s="148" t="str">
        <f>IFERROR(__xludf.DUMMYFUNCTION("""COMPUTED_VALUE"""),"decorations")</f>
        <v>decorations</v>
      </c>
      <c r="E180" s="148">
        <f>IFERROR(__xludf.DUMMYFUNCTION("""COMPUTED_VALUE"""),23.0)</f>
        <v>23</v>
      </c>
      <c r="F180" s="148">
        <f>IFERROR(__xludf.DUMMYFUNCTION("""COMPUTED_VALUE"""),0.0)</f>
        <v>0</v>
      </c>
      <c r="G180" s="148">
        <f>IFERROR(__xludf.DUMMYFUNCTION("""COMPUTED_VALUE"""),1.5114421E7)</f>
        <v>15114421</v>
      </c>
      <c r="H180" s="148">
        <f>IFERROR(__xludf.DUMMYFUNCTION("""COMPUTED_VALUE"""),1.5112563E7)</f>
        <v>15112563</v>
      </c>
      <c r="I180" s="148" t="str">
        <f>IFERROR(__xludf.DUMMYFUNCTION("""COMPUTED_VALUE"""),"{}")</f>
        <v>{}</v>
      </c>
      <c r="J180" s="148" t="str">
        <f>IFERROR(__xludf.DUMMYFUNCTION("""COMPUTED_VALUE"""),"{""typ"":""lc"",""txt"":""LC_ITEM_thanksgiving_2021_item_2""}")</f>
        <v>{"typ":"lc","txt":"LC_ITEM_thanksgiving_2021_item_2"}</v>
      </c>
      <c r="K180" s="148" t="str">
        <f>IFERROR(__xludf.DUMMYFUNCTION("""COMPUTED_VALUE"""),"{""typ"":""lc"",""txt"":""LC_ITEM_thanksgiving_2021_item_2_desc""}")</f>
        <v>{"typ":"lc","txt":"LC_ITEM_thanksgiving_2021_item_2_desc"}</v>
      </c>
      <c r="L180" s="148" t="str">
        <f>IFERROR(__xludf.DUMMYFUNCTION("""COMPUTED_VALUE"""),"{}")</f>
        <v>{}</v>
      </c>
      <c r="M180" s="148">
        <f>IFERROR(__xludf.DUMMYFUNCTION("""COMPUTED_VALUE"""),5000.0)</f>
        <v>5000</v>
      </c>
      <c r="N180" s="148">
        <f>IFERROR(__xludf.DUMMYFUNCTION("""COMPUTED_VALUE"""),5.0)</f>
        <v>5</v>
      </c>
      <c r="O180" s="148">
        <f>IFERROR(__xludf.DUMMYFUNCTION("""COMPUTED_VALUE"""),1.0)</f>
        <v>1</v>
      </c>
      <c r="P180" s="148">
        <f>IFERROR(__xludf.DUMMYFUNCTION("""COMPUTED_VALUE"""),1.0)</f>
        <v>1</v>
      </c>
      <c r="Q180" s="148" t="str">
        <f>IFERROR(__xludf.DUMMYFUNCTION("""COMPUTED_VALUE"""),"[]")</f>
        <v>[]</v>
      </c>
      <c r="R180" s="148" t="str">
        <f>IFERROR(__xludf.DUMMYFUNCTION("""COMPUTED_VALUE"""),"[""bag""]")</f>
        <v>["bag"]</v>
      </c>
      <c r="S180" s="148" t="str">
        <f>IFERROR(__xludf.DUMMYFUNCTION("""COMPUTED_VALUE"""),"{""effect"":[{""typ"":""decorations"",""id"":11111329,""val"":-1}]}")</f>
        <v>{"effect":[{"typ":"decorations","id":11111329,"val":-1}]}</v>
      </c>
      <c r="T180" s="148">
        <f>IFERROR(__xludf.DUMMYFUNCTION("""COMPUTED_VALUE"""),-1.0)</f>
        <v>-1</v>
      </c>
      <c r="U180" s="148">
        <f>IFERROR(__xludf.DUMMYFUNCTION("""COMPUTED_VALUE"""),1.0)</f>
        <v>1</v>
      </c>
      <c r="V180" s="148" t="str">
        <f>IFERROR(__xludf.DUMMYFUNCTION("""COMPUTED_VALUE"""),"[]")</f>
        <v>[]</v>
      </c>
      <c r="W180" s="148">
        <f>IFERROR(__xludf.DUMMYFUNCTION("""COMPUTED_VALUE"""),1.174E7)</f>
        <v>11740000</v>
      </c>
      <c r="X180" s="148">
        <f>IFERROR(__xludf.DUMMYFUNCTION("""COMPUTED_VALUE"""),0.0)</f>
        <v>0</v>
      </c>
      <c r="Y180" s="148">
        <f>IFERROR(__xludf.DUMMYFUNCTION("""COMPUTED_VALUE"""),0.0)</f>
        <v>0</v>
      </c>
      <c r="Z180" s="148"/>
    </row>
    <row r="181">
      <c r="A181" s="148">
        <f>IFERROR(__xludf.DUMMYFUNCTION("""COMPUTED_VALUE"""),1.111133E7)</f>
        <v>11111330</v>
      </c>
      <c r="B181" s="148" t="str">
        <f>IFERROR(__xludf.DUMMYFUNCTION("""COMPUTED_VALUE"""),"2022幼猴节-气球猴雕像")</f>
        <v>2022幼猴节-气球猴雕像</v>
      </c>
      <c r="C181" s="148"/>
      <c r="D181" s="148" t="str">
        <f>IFERROR(__xludf.DUMMYFUNCTION("""COMPUTED_VALUE"""),"decorations")</f>
        <v>decorations</v>
      </c>
      <c r="E181" s="148">
        <f>IFERROR(__xludf.DUMMYFUNCTION("""COMPUTED_VALUE"""),23.0)</f>
        <v>23</v>
      </c>
      <c r="F181" s="148">
        <f>IFERROR(__xludf.DUMMYFUNCTION("""COMPUTED_VALUE"""),0.0)</f>
        <v>0</v>
      </c>
      <c r="G181" s="148">
        <f>IFERROR(__xludf.DUMMYFUNCTION("""COMPUTED_VALUE"""),1.5114794E7)</f>
        <v>15114794</v>
      </c>
      <c r="H181" s="148">
        <f>IFERROR(__xludf.DUMMYFUNCTION("""COMPUTED_VALUE"""),1.5112563E7)</f>
        <v>15112563</v>
      </c>
      <c r="I181" s="148" t="str">
        <f>IFERROR(__xludf.DUMMYFUNCTION("""COMPUTED_VALUE"""),"{}")</f>
        <v>{}</v>
      </c>
      <c r="J181" s="148" t="str">
        <f>IFERROR(__xludf.DUMMYFUNCTION("""COMPUTED_VALUE"""),"{""typ"":""lc"",""txt"":""LC_ITEM_children_decorate_name_2022""}")</f>
        <v>{"typ":"lc","txt":"LC_ITEM_children_decorate_name_2022"}</v>
      </c>
      <c r="K181" s="148" t="str">
        <f>IFERROR(__xludf.DUMMYFUNCTION("""COMPUTED_VALUE"""),"{""typ"":""lc"",""txt"":""LC_ITEM_children_decorate_desc_2022""}")</f>
        <v>{"typ":"lc","txt":"LC_ITEM_children_decorate_desc_2022"}</v>
      </c>
      <c r="L181" s="148" t="str">
        <f>IFERROR(__xludf.DUMMYFUNCTION("""COMPUTED_VALUE"""),"{}")</f>
        <v>{}</v>
      </c>
      <c r="M181" s="148">
        <f>IFERROR(__xludf.DUMMYFUNCTION("""COMPUTED_VALUE"""),5000.0)</f>
        <v>5000</v>
      </c>
      <c r="N181" s="148">
        <f>IFERROR(__xludf.DUMMYFUNCTION("""COMPUTED_VALUE"""),5.0)</f>
        <v>5</v>
      </c>
      <c r="O181" s="148">
        <f>IFERROR(__xludf.DUMMYFUNCTION("""COMPUTED_VALUE"""),1.0)</f>
        <v>1</v>
      </c>
      <c r="P181" s="148">
        <f>IFERROR(__xludf.DUMMYFUNCTION("""COMPUTED_VALUE"""),1.0)</f>
        <v>1</v>
      </c>
      <c r="Q181" s="148" t="str">
        <f>IFERROR(__xludf.DUMMYFUNCTION("""COMPUTED_VALUE"""),"[]")</f>
        <v>[]</v>
      </c>
      <c r="R181" s="148" t="str">
        <f>IFERROR(__xludf.DUMMYFUNCTION("""COMPUTED_VALUE"""),"[""bag""]")</f>
        <v>["bag"]</v>
      </c>
      <c r="S181" s="148" t="str">
        <f>IFERROR(__xludf.DUMMYFUNCTION("""COMPUTED_VALUE"""),"{""effect"":[{""typ"":""decorations"",""id"":11111330,""val"":-1},{""typ"":""item"",""id"":11112030,""val"":5}]}")</f>
        <v>{"effect":[{"typ":"decorations","id":11111330,"val":-1},{"typ":"item","id":11112030,"val":5}]}</v>
      </c>
      <c r="T181" s="148">
        <f>IFERROR(__xludf.DUMMYFUNCTION("""COMPUTED_VALUE"""),-1.0)</f>
        <v>-1</v>
      </c>
      <c r="U181" s="148">
        <f>IFERROR(__xludf.DUMMYFUNCTION("""COMPUTED_VALUE"""),1.0)</f>
        <v>1</v>
      </c>
      <c r="V181" s="148" t="str">
        <f>IFERROR(__xludf.DUMMYFUNCTION("""COMPUTED_VALUE"""),"[]")</f>
        <v>[]</v>
      </c>
      <c r="W181" s="148">
        <f>IFERROR(__xludf.DUMMYFUNCTION("""COMPUTED_VALUE"""),1.174E7)</f>
        <v>11740000</v>
      </c>
      <c r="X181" s="148">
        <f>IFERROR(__xludf.DUMMYFUNCTION("""COMPUTED_VALUE"""),0.0)</f>
        <v>0</v>
      </c>
      <c r="Y181" s="148">
        <f>IFERROR(__xludf.DUMMYFUNCTION("""COMPUTED_VALUE"""),0.0)</f>
        <v>0</v>
      </c>
      <c r="Z181" s="148"/>
    </row>
    <row r="182">
      <c r="A182" s="148">
        <f>IFERROR(__xludf.DUMMYFUNCTION("""COMPUTED_VALUE"""),1.1111331E7)</f>
        <v>11111331</v>
      </c>
      <c r="B182" s="148" t="str">
        <f>IFERROR(__xludf.DUMMYFUNCTION("""COMPUTED_VALUE"""),"主城皮肤-幼猴2022-梦幻乐园")</f>
        <v>主城皮肤-幼猴2022-梦幻乐园</v>
      </c>
      <c r="C182" s="148"/>
      <c r="D182" s="148" t="str">
        <f>IFERROR(__xludf.DUMMYFUNCTION("""COMPUTED_VALUE"""),"city_skin")</f>
        <v>city_skin</v>
      </c>
      <c r="E182" s="148">
        <f>IFERROR(__xludf.DUMMYFUNCTION("""COMPUTED_VALUE"""),21.0)</f>
        <v>21</v>
      </c>
      <c r="F182" s="148">
        <f>IFERROR(__xludf.DUMMYFUNCTION("""COMPUTED_VALUE"""),400106.0)</f>
        <v>400106</v>
      </c>
      <c r="G182" s="148">
        <f>IFERROR(__xludf.DUMMYFUNCTION("""COMPUTED_VALUE"""),1.5114795E7)</f>
        <v>15114795</v>
      </c>
      <c r="H182" s="148">
        <f>IFERROR(__xludf.DUMMYFUNCTION("""COMPUTED_VALUE"""),1.5112564E7)</f>
        <v>15112564</v>
      </c>
      <c r="I182" s="148" t="str">
        <f>IFERROR(__xludf.DUMMYFUNCTION("""COMPUTED_VALUE"""),"{}")</f>
        <v>{}</v>
      </c>
      <c r="J182" s="148" t="str">
        <f>IFERROR(__xludf.DUMMYFUNCTION("""COMPUTED_VALUE"""),"{""typ"":""lc"",""txt"":""LC_ITEM_children_city_name_2022""}")</f>
        <v>{"typ":"lc","txt":"LC_ITEM_children_city_name_2022"}</v>
      </c>
      <c r="K182" s="148" t="str">
        <f>IFERROR(__xludf.DUMMYFUNCTION("""COMPUTED_VALUE"""),"{""typ"":""lc"",""txt"":""LC_ITEM_children_gacha_item_desc_forever""}")</f>
        <v>{"typ":"lc","txt":"LC_ITEM_children_gacha_item_desc_forever"}</v>
      </c>
      <c r="L182" s="148" t="str">
        <f>IFERROR(__xludf.DUMMYFUNCTION("""COMPUTED_VALUE"""),"{""typ"":""lc"",""txt"":""LC_ITEM_city_skin_rocket_use_tips""}")</f>
        <v>{"typ":"lc","txt":"LC_ITEM_city_skin_rocket_use_tips"}</v>
      </c>
      <c r="M182" s="148">
        <f>IFERROR(__xludf.DUMMYFUNCTION("""COMPUTED_VALUE"""),10000.0)</f>
        <v>10000</v>
      </c>
      <c r="N182" s="148">
        <f>IFERROR(__xludf.DUMMYFUNCTION("""COMPUTED_VALUE"""),999.0)</f>
        <v>999</v>
      </c>
      <c r="O182" s="148">
        <f>IFERROR(__xludf.DUMMYFUNCTION("""COMPUTED_VALUE"""),1.0)</f>
        <v>1</v>
      </c>
      <c r="P182" s="148">
        <f>IFERROR(__xludf.DUMMYFUNCTION("""COMPUTED_VALUE"""),1.0)</f>
        <v>1</v>
      </c>
      <c r="Q182" s="148" t="str">
        <f>IFERROR(__xludf.DUMMYFUNCTION("""COMPUTED_VALUE"""),"[""bag_other""]")</f>
        <v>["bag_other"]</v>
      </c>
      <c r="R182" s="148" t="str">
        <f>IFERROR(__xludf.DUMMYFUNCTION("""COMPUTED_VALUE"""),"[""bag"",""13121007""]")</f>
        <v>["bag","13121007"]</v>
      </c>
      <c r="S182" s="148" t="str">
        <f>IFERROR(__xludf.DUMMYFUNCTION("""COMPUTED_VALUE"""),"{""effect"":[{""typ"":""city_skin"",""id"":13121007,""val"":-1},{""typ"":""item"",""id"":11112030,""val"":4000}]}")</f>
        <v>{"effect":[{"typ":"city_skin","id":13121007,"val":-1},{"typ":"item","id":11112030,"val":4000}]}</v>
      </c>
      <c r="T182" s="148">
        <f>IFERROR(__xludf.DUMMYFUNCTION("""COMPUTED_VALUE"""),-1.0)</f>
        <v>-1</v>
      </c>
      <c r="U182" s="148">
        <f>IFERROR(__xludf.DUMMYFUNCTION("""COMPUTED_VALUE"""),0.0)</f>
        <v>0</v>
      </c>
      <c r="V182" s="148" t="str">
        <f>IFERROR(__xludf.DUMMYFUNCTION("""COMPUTED_VALUE"""),"[]")</f>
        <v>[]</v>
      </c>
      <c r="W182" s="148">
        <f>IFERROR(__xludf.DUMMYFUNCTION("""COMPUTED_VALUE"""),1.174E7)</f>
        <v>11740000</v>
      </c>
      <c r="X182" s="148">
        <f>IFERROR(__xludf.DUMMYFUNCTION("""COMPUTED_VALUE"""),0.0)</f>
        <v>0</v>
      </c>
      <c r="Y182" s="148">
        <f>IFERROR(__xludf.DUMMYFUNCTION("""COMPUTED_VALUE"""),0.0)</f>
        <v>0</v>
      </c>
      <c r="Z182" s="148"/>
    </row>
    <row r="183">
      <c r="A183" s="148">
        <f>IFERROR(__xludf.DUMMYFUNCTION("""COMPUTED_VALUE"""),1.1111332E7)</f>
        <v>11111332</v>
      </c>
      <c r="B183" s="148" t="str">
        <f>IFERROR(__xludf.DUMMYFUNCTION("""COMPUTED_VALUE"""),"主城皮肤-幼猴2022（2天）")</f>
        <v>主城皮肤-幼猴2022（2天）</v>
      </c>
      <c r="C183" s="148"/>
      <c r="D183" s="148" t="str">
        <f>IFERROR(__xludf.DUMMYFUNCTION("""COMPUTED_VALUE"""),"city_skin")</f>
        <v>city_skin</v>
      </c>
      <c r="E183" s="148">
        <f>IFERROR(__xludf.DUMMYFUNCTION("""COMPUTED_VALUE"""),21.0)</f>
        <v>21</v>
      </c>
      <c r="F183" s="148">
        <f>IFERROR(__xludf.DUMMYFUNCTION("""COMPUTED_VALUE"""),404201.0)</f>
        <v>404201</v>
      </c>
      <c r="G183" s="148">
        <f>IFERROR(__xludf.DUMMYFUNCTION("""COMPUTED_VALUE"""),1.5114795E7)</f>
        <v>15114795</v>
      </c>
      <c r="H183" s="148">
        <f>IFERROR(__xludf.DUMMYFUNCTION("""COMPUTED_VALUE"""),1.5112563E7)</f>
        <v>15112563</v>
      </c>
      <c r="I183" s="148" t="str">
        <f>IFERROR(__xludf.DUMMYFUNCTION("""COMPUTED_VALUE"""),"{""typ"":""lc"",""txt"":""LC_ITEM_time_day_upper_show"",""args"":[{""typ"":""int"",""val"":2}]}")</f>
        <v>{"typ":"lc","txt":"LC_ITEM_time_day_upper_show","args":[{"typ":"int","val":2}]}</v>
      </c>
      <c r="J183" s="148" t="str">
        <f>IFERROR(__xludf.DUMMYFUNCTION("""COMPUTED_VALUE"""),"{""typ"":""lc"",""txt"":""LC_ITEM_children_city_name_2022_2day""}")</f>
        <v>{"typ":"lc","txt":"LC_ITEM_children_city_name_2022_2day"}</v>
      </c>
      <c r="K183" s="148" t="str">
        <f>IFERROR(__xludf.DUMMYFUNCTION("""COMPUTED_VALUE"""),"{""typ"":""lc"",""txt"":""LC_ITEM_children_gacha_item_desc_2day""}")</f>
        <v>{"typ":"lc","txt":"LC_ITEM_children_gacha_item_desc_2day"}</v>
      </c>
      <c r="L183" s="148" t="str">
        <f>IFERROR(__xludf.DUMMYFUNCTION("""COMPUTED_VALUE"""),"{""typ"":""lc"",""txt"":""LC_ITEM_city_skin_rocket_use_tips""}")</f>
        <v>{"typ":"lc","txt":"LC_ITEM_city_skin_rocket_use_tips"}</v>
      </c>
      <c r="M183" s="148">
        <f>IFERROR(__xludf.DUMMYFUNCTION("""COMPUTED_VALUE"""),500.0)</f>
        <v>500</v>
      </c>
      <c r="N183" s="148">
        <f>IFERROR(__xludf.DUMMYFUNCTION("""COMPUTED_VALUE"""),999.0)</f>
        <v>999</v>
      </c>
      <c r="O183" s="148">
        <f>IFERROR(__xludf.DUMMYFUNCTION("""COMPUTED_VALUE"""),1.0)</f>
        <v>1</v>
      </c>
      <c r="P183" s="148">
        <f>IFERROR(__xludf.DUMMYFUNCTION("""COMPUTED_VALUE"""),1.0)</f>
        <v>1</v>
      </c>
      <c r="Q183" s="148" t="str">
        <f>IFERROR(__xludf.DUMMYFUNCTION("""COMPUTED_VALUE"""),"[""bag_other""]")</f>
        <v>["bag_other"]</v>
      </c>
      <c r="R183" s="148" t="str">
        <f>IFERROR(__xludf.DUMMYFUNCTION("""COMPUTED_VALUE"""),"[""bag"",""13121007""]")</f>
        <v>["bag","13121007"]</v>
      </c>
      <c r="S183" s="148" t="str">
        <f>IFERROR(__xludf.DUMMYFUNCTION("""COMPUTED_VALUE"""),"{""effect"":[{""typ"":""city_skin"",""id"":13121007,""val"":172800000},{""typ"":""item"",""id"":11111021,""val"":1}]}")</f>
        <v>{"effect":[{"typ":"city_skin","id":13121007,"val":172800000},{"typ":"item","id":11111021,"val":1}]}</v>
      </c>
      <c r="T183" s="148">
        <f>IFERROR(__xludf.DUMMYFUNCTION("""COMPUTED_VALUE"""),-1.0)</f>
        <v>-1</v>
      </c>
      <c r="U183" s="148">
        <f>IFERROR(__xludf.DUMMYFUNCTION("""COMPUTED_VALUE"""),0.0)</f>
        <v>0</v>
      </c>
      <c r="V183" s="148" t="str">
        <f>IFERROR(__xludf.DUMMYFUNCTION("""COMPUTED_VALUE"""),"[]")</f>
        <v>[]</v>
      </c>
      <c r="W183" s="148">
        <f>IFERROR(__xludf.DUMMYFUNCTION("""COMPUTED_VALUE"""),1.174E7)</f>
        <v>11740000</v>
      </c>
      <c r="X183" s="148">
        <f>IFERROR(__xludf.DUMMYFUNCTION("""COMPUTED_VALUE"""),0.0)</f>
        <v>0</v>
      </c>
      <c r="Y183" s="148">
        <f>IFERROR(__xludf.DUMMYFUNCTION("""COMPUTED_VALUE"""),0.0)</f>
        <v>0</v>
      </c>
      <c r="Z183" s="148"/>
    </row>
    <row r="184">
      <c r="A184" s="148">
        <f>IFERROR(__xludf.DUMMYFUNCTION("""COMPUTED_VALUE"""),1.1111333E7)</f>
        <v>11111333</v>
      </c>
      <c r="B184" s="148" t="str">
        <f>IFERROR(__xludf.DUMMYFUNCTION("""COMPUTED_VALUE"""),"沙滩节雕像")</f>
        <v>沙滩节雕像</v>
      </c>
      <c r="C184" s="148"/>
      <c r="D184" s="148" t="str">
        <f>IFERROR(__xludf.DUMMYFUNCTION("""COMPUTED_VALUE"""),"decorations")</f>
        <v>decorations</v>
      </c>
      <c r="E184" s="148">
        <f>IFERROR(__xludf.DUMMYFUNCTION("""COMPUTED_VALUE"""),23.0)</f>
        <v>23</v>
      </c>
      <c r="F184" s="148">
        <f>IFERROR(__xludf.DUMMYFUNCTION("""COMPUTED_VALUE"""),0.0)</f>
        <v>0</v>
      </c>
      <c r="G184" s="148">
        <f>IFERROR(__xludf.DUMMYFUNCTION("""COMPUTED_VALUE"""),1.5114997E7)</f>
        <v>15114997</v>
      </c>
      <c r="H184" s="148">
        <f>IFERROR(__xludf.DUMMYFUNCTION("""COMPUTED_VALUE"""),1.5112563E7)</f>
        <v>15112563</v>
      </c>
      <c r="I184" s="148" t="str">
        <f>IFERROR(__xludf.DUMMYFUNCTION("""COMPUTED_VALUE"""),"{}")</f>
        <v>{}</v>
      </c>
      <c r="J184" s="148" t="str">
        <f>IFERROR(__xludf.DUMMYFUNCTION("""COMPUTED_VALUE"""),"{""typ"":""lc"",""txt"":""LC_BUILDING_summer_2022_ornament_name""}")</f>
        <v>{"typ":"lc","txt":"LC_BUILDING_summer_2022_ornament_name"}</v>
      </c>
      <c r="K184" s="148" t="str">
        <f>IFERROR(__xludf.DUMMYFUNCTION("""COMPUTED_VALUE"""),"{""typ"":""lc"",""txt"":""LC_BUILDING_summer_2022_ornament_desc""}")</f>
        <v>{"typ":"lc","txt":"LC_BUILDING_summer_2022_ornament_desc"}</v>
      </c>
      <c r="L184" s="148" t="str">
        <f>IFERROR(__xludf.DUMMYFUNCTION("""COMPUTED_VALUE"""),"{}")</f>
        <v>{}</v>
      </c>
      <c r="M184" s="148">
        <f>IFERROR(__xludf.DUMMYFUNCTION("""COMPUTED_VALUE"""),5000.0)</f>
        <v>5000</v>
      </c>
      <c r="N184" s="148">
        <f>IFERROR(__xludf.DUMMYFUNCTION("""COMPUTED_VALUE"""),5.0)</f>
        <v>5</v>
      </c>
      <c r="O184" s="148">
        <f>IFERROR(__xludf.DUMMYFUNCTION("""COMPUTED_VALUE"""),1.0)</f>
        <v>1</v>
      </c>
      <c r="P184" s="148">
        <f>IFERROR(__xludf.DUMMYFUNCTION("""COMPUTED_VALUE"""),1.0)</f>
        <v>1</v>
      </c>
      <c r="Q184" s="148" t="str">
        <f>IFERROR(__xludf.DUMMYFUNCTION("""COMPUTED_VALUE"""),"[]")</f>
        <v>[]</v>
      </c>
      <c r="R184" s="148" t="str">
        <f>IFERROR(__xludf.DUMMYFUNCTION("""COMPUTED_VALUE"""),"[""bag""]")</f>
        <v>["bag"]</v>
      </c>
      <c r="S184" s="148" t="str">
        <f>IFERROR(__xludf.DUMMYFUNCTION("""COMPUTED_VALUE"""),"{""effect"":[{""typ"":""decorations"",""id"":11111333,""val"":-1},{""typ"":""item"",""id"":11112030,""val"":25}]}")</f>
        <v>{"effect":[{"typ":"decorations","id":11111333,"val":-1},{"typ":"item","id":11112030,"val":25}]}</v>
      </c>
      <c r="T184" s="148">
        <f>IFERROR(__xludf.DUMMYFUNCTION("""COMPUTED_VALUE"""),-1.0)</f>
        <v>-1</v>
      </c>
      <c r="U184" s="148">
        <f>IFERROR(__xludf.DUMMYFUNCTION("""COMPUTED_VALUE"""),1.0)</f>
        <v>1</v>
      </c>
      <c r="V184" s="148" t="str">
        <f>IFERROR(__xludf.DUMMYFUNCTION("""COMPUTED_VALUE"""),"[]")</f>
        <v>[]</v>
      </c>
      <c r="W184" s="148">
        <f>IFERROR(__xludf.DUMMYFUNCTION("""COMPUTED_VALUE"""),1.174E7)</f>
        <v>11740000</v>
      </c>
      <c r="X184" s="148">
        <f>IFERROR(__xludf.DUMMYFUNCTION("""COMPUTED_VALUE"""),0.0)</f>
        <v>0</v>
      </c>
      <c r="Y184" s="148">
        <f>IFERROR(__xludf.DUMMYFUNCTION("""COMPUTED_VALUE"""),0.0)</f>
        <v>0</v>
      </c>
      <c r="Z184" s="148"/>
    </row>
    <row r="185">
      <c r="A185" s="148">
        <f>IFERROR(__xludf.DUMMYFUNCTION("""COMPUTED_VALUE"""),1.1111334E7)</f>
        <v>11111334</v>
      </c>
      <c r="B185" s="148" t="str">
        <f>IFERROR(__xludf.DUMMYFUNCTION("""COMPUTED_VALUE"""),"主城皮肤-科技节2022")</f>
        <v>主城皮肤-科技节2022</v>
      </c>
      <c r="C185" s="148"/>
      <c r="D185" s="148" t="str">
        <f>IFERROR(__xludf.DUMMYFUNCTION("""COMPUTED_VALUE"""),"city_skin")</f>
        <v>city_skin</v>
      </c>
      <c r="E185" s="148">
        <f>IFERROR(__xludf.DUMMYFUNCTION("""COMPUTED_VALUE"""),21.0)</f>
        <v>21</v>
      </c>
      <c r="F185" s="148">
        <f>IFERROR(__xludf.DUMMYFUNCTION("""COMPUTED_VALUE"""),400106.0)</f>
        <v>400106</v>
      </c>
      <c r="G185" s="148">
        <f>IFERROR(__xludf.DUMMYFUNCTION("""COMPUTED_VALUE"""),1.5115082E7)</f>
        <v>15115082</v>
      </c>
      <c r="H185" s="148">
        <f>IFERROR(__xludf.DUMMYFUNCTION("""COMPUTED_VALUE"""),1.5112564E7)</f>
        <v>15112564</v>
      </c>
      <c r="I185" s="148" t="str">
        <f>IFERROR(__xludf.DUMMYFUNCTION("""COMPUTED_VALUE"""),"{}")</f>
        <v>{}</v>
      </c>
      <c r="J185" s="148" t="str">
        <f>IFERROR(__xludf.DUMMYFUNCTION("""COMPUTED_VALUE"""),"{""typ"":""lc"",""txt"":""LC_ITEM_sci_base_item_name""}")</f>
        <v>{"typ":"lc","txt":"LC_ITEM_sci_base_item_name"}</v>
      </c>
      <c r="K185" s="148" t="str">
        <f>IFERROR(__xludf.DUMMYFUNCTION("""COMPUTED_VALUE"""),"{""typ"":""lc"",""txt"":""LC_ITEM_sci_gacha_item_desc_forever""}")</f>
        <v>{"typ":"lc","txt":"LC_ITEM_sci_gacha_item_desc_forever"}</v>
      </c>
      <c r="L185" s="148" t="str">
        <f>IFERROR(__xludf.DUMMYFUNCTION("""COMPUTED_VALUE"""),"{""typ"":""lc"",""txt"":""LC_ITEM_city_skin_rocket_use_tips""}")</f>
        <v>{"typ":"lc","txt":"LC_ITEM_city_skin_rocket_use_tips"}</v>
      </c>
      <c r="M185" s="148">
        <f>IFERROR(__xludf.DUMMYFUNCTION("""COMPUTED_VALUE"""),10000.0)</f>
        <v>10000</v>
      </c>
      <c r="N185" s="148">
        <f>IFERROR(__xludf.DUMMYFUNCTION("""COMPUTED_VALUE"""),999.0)</f>
        <v>999</v>
      </c>
      <c r="O185" s="148">
        <f>IFERROR(__xludf.DUMMYFUNCTION("""COMPUTED_VALUE"""),1.0)</f>
        <v>1</v>
      </c>
      <c r="P185" s="148">
        <f>IFERROR(__xludf.DUMMYFUNCTION("""COMPUTED_VALUE"""),1.0)</f>
        <v>1</v>
      </c>
      <c r="Q185" s="148" t="str">
        <f>IFERROR(__xludf.DUMMYFUNCTION("""COMPUTED_VALUE"""),"[""bag_other""]")</f>
        <v>["bag_other"]</v>
      </c>
      <c r="R185" s="148" t="str">
        <f>IFERROR(__xludf.DUMMYFUNCTION("""COMPUTED_VALUE"""),"[""bag"",""13121008""]")</f>
        <v>["bag","13121008"]</v>
      </c>
      <c r="S185" s="148" t="str">
        <f>IFERROR(__xludf.DUMMYFUNCTION("""COMPUTED_VALUE"""),"{""effect"":[{""typ"":""city_skin"",""id"":13121008,""val"":-1},{""typ"":""item"",""id"":11112030,""val"":4000}]}")</f>
        <v>{"effect":[{"typ":"city_skin","id":13121008,"val":-1},{"typ":"item","id":11112030,"val":4000}]}</v>
      </c>
      <c r="T185" s="148">
        <f>IFERROR(__xludf.DUMMYFUNCTION("""COMPUTED_VALUE"""),-1.0)</f>
        <v>-1</v>
      </c>
      <c r="U185" s="148">
        <f>IFERROR(__xludf.DUMMYFUNCTION("""COMPUTED_VALUE"""),0.0)</f>
        <v>0</v>
      </c>
      <c r="V185" s="148" t="str">
        <f>IFERROR(__xludf.DUMMYFUNCTION("""COMPUTED_VALUE"""),"[]")</f>
        <v>[]</v>
      </c>
      <c r="W185" s="148">
        <f>IFERROR(__xludf.DUMMYFUNCTION("""COMPUTED_VALUE"""),1.174E7)</f>
        <v>11740000</v>
      </c>
      <c r="X185" s="148">
        <f>IFERROR(__xludf.DUMMYFUNCTION("""COMPUTED_VALUE"""),0.0)</f>
        <v>0</v>
      </c>
      <c r="Y185" s="148">
        <f>IFERROR(__xludf.DUMMYFUNCTION("""COMPUTED_VALUE"""),0.0)</f>
        <v>0</v>
      </c>
      <c r="Z185" s="148"/>
    </row>
    <row r="186">
      <c r="A186" s="148">
        <f>IFERROR(__xludf.DUMMYFUNCTION("""COMPUTED_VALUE"""),1.1111335E7)</f>
        <v>11111335</v>
      </c>
      <c r="B186" s="148" t="str">
        <f>IFERROR(__xludf.DUMMYFUNCTION("""COMPUTED_VALUE"""),"主城皮肤-科技节2022（2天）")</f>
        <v>主城皮肤-科技节2022（2天）</v>
      </c>
      <c r="C186" s="148"/>
      <c r="D186" s="148" t="str">
        <f>IFERROR(__xludf.DUMMYFUNCTION("""COMPUTED_VALUE"""),"city_skin")</f>
        <v>city_skin</v>
      </c>
      <c r="E186" s="148">
        <f>IFERROR(__xludf.DUMMYFUNCTION("""COMPUTED_VALUE"""),21.0)</f>
        <v>21</v>
      </c>
      <c r="F186" s="148">
        <f>IFERROR(__xludf.DUMMYFUNCTION("""COMPUTED_VALUE"""),404201.0)</f>
        <v>404201</v>
      </c>
      <c r="G186" s="148">
        <f>IFERROR(__xludf.DUMMYFUNCTION("""COMPUTED_VALUE"""),1.5115082E7)</f>
        <v>15115082</v>
      </c>
      <c r="H186" s="148">
        <f>IFERROR(__xludf.DUMMYFUNCTION("""COMPUTED_VALUE"""),1.5112563E7)</f>
        <v>15112563</v>
      </c>
      <c r="I186" s="148" t="str">
        <f>IFERROR(__xludf.DUMMYFUNCTION("""COMPUTED_VALUE"""),"{""typ"":""lc"",""txt"":""LC_ITEM_time_day_upper_show"",""args"":[{""typ"":""int"",""val"":2}]}")</f>
        <v>{"typ":"lc","txt":"LC_ITEM_time_day_upper_show","args":[{"typ":"int","val":2}]}</v>
      </c>
      <c r="J186" s="148" t="str">
        <f>IFERROR(__xludf.DUMMYFUNCTION("""COMPUTED_VALUE"""),"{""typ"":""lc"",""txt"":""LC_ITEM_sci_base_item_name_2day""}")</f>
        <v>{"typ":"lc","txt":"LC_ITEM_sci_base_item_name_2day"}</v>
      </c>
      <c r="K186" s="148" t="str">
        <f>IFERROR(__xludf.DUMMYFUNCTION("""COMPUTED_VALUE"""),"{""typ"":""lc"",""txt"":""LC_ITEM_sci_gacha_item_desc_2day""}")</f>
        <v>{"typ":"lc","txt":"LC_ITEM_sci_gacha_item_desc_2day"}</v>
      </c>
      <c r="L186" s="148" t="str">
        <f>IFERROR(__xludf.DUMMYFUNCTION("""COMPUTED_VALUE"""),"{""typ"":""lc"",""txt"":""LC_ITEM_city_skin_rocket_use_tips""}")</f>
        <v>{"typ":"lc","txt":"LC_ITEM_city_skin_rocket_use_tips"}</v>
      </c>
      <c r="M186" s="148">
        <f>IFERROR(__xludf.DUMMYFUNCTION("""COMPUTED_VALUE"""),500.0)</f>
        <v>500</v>
      </c>
      <c r="N186" s="148">
        <f>IFERROR(__xludf.DUMMYFUNCTION("""COMPUTED_VALUE"""),999.0)</f>
        <v>999</v>
      </c>
      <c r="O186" s="148">
        <f>IFERROR(__xludf.DUMMYFUNCTION("""COMPUTED_VALUE"""),1.0)</f>
        <v>1</v>
      </c>
      <c r="P186" s="148">
        <f>IFERROR(__xludf.DUMMYFUNCTION("""COMPUTED_VALUE"""),1.0)</f>
        <v>1</v>
      </c>
      <c r="Q186" s="148" t="str">
        <f>IFERROR(__xludf.DUMMYFUNCTION("""COMPUTED_VALUE"""),"[""bag_other""]")</f>
        <v>["bag_other"]</v>
      </c>
      <c r="R186" s="148" t="str">
        <f>IFERROR(__xludf.DUMMYFUNCTION("""COMPUTED_VALUE"""),"[""bag"",""13121008""]")</f>
        <v>["bag","13121008"]</v>
      </c>
      <c r="S186" s="148" t="str">
        <f>IFERROR(__xludf.DUMMYFUNCTION("""COMPUTED_VALUE"""),"{""effect"":[{""typ"":""city_skin"",""id"":13121008,""val"":172800000},{""typ"":""item"",""id"":11111021,""val"":1}]}")</f>
        <v>{"effect":[{"typ":"city_skin","id":13121008,"val":172800000},{"typ":"item","id":11111021,"val":1}]}</v>
      </c>
      <c r="T186" s="148">
        <f>IFERROR(__xludf.DUMMYFUNCTION("""COMPUTED_VALUE"""),-1.0)</f>
        <v>-1</v>
      </c>
      <c r="U186" s="148">
        <f>IFERROR(__xludf.DUMMYFUNCTION("""COMPUTED_VALUE"""),0.0)</f>
        <v>0</v>
      </c>
      <c r="V186" s="148" t="str">
        <f>IFERROR(__xludf.DUMMYFUNCTION("""COMPUTED_VALUE"""),"[]")</f>
        <v>[]</v>
      </c>
      <c r="W186" s="148">
        <f>IFERROR(__xludf.DUMMYFUNCTION("""COMPUTED_VALUE"""),1.174E7)</f>
        <v>11740000</v>
      </c>
      <c r="X186" s="148">
        <f>IFERROR(__xludf.DUMMYFUNCTION("""COMPUTED_VALUE"""),0.0)</f>
        <v>0</v>
      </c>
      <c r="Y186" s="148">
        <f>IFERROR(__xludf.DUMMYFUNCTION("""COMPUTED_VALUE"""),0.0)</f>
        <v>0</v>
      </c>
      <c r="Z186" s="148"/>
    </row>
    <row r="187">
      <c r="A187" s="148">
        <f>IFERROR(__xludf.DUMMYFUNCTION("""COMPUTED_VALUE"""),1.1111336E7)</f>
        <v>11111336</v>
      </c>
      <c r="B187" s="148" t="str">
        <f>IFERROR(__xludf.DUMMYFUNCTION("""COMPUTED_VALUE"""),"科技节装饰")</f>
        <v>科技节装饰</v>
      </c>
      <c r="C187" s="148"/>
      <c r="D187" s="148" t="str">
        <f>IFERROR(__xludf.DUMMYFUNCTION("""COMPUTED_VALUE"""),"decorations")</f>
        <v>decorations</v>
      </c>
      <c r="E187" s="148">
        <f>IFERROR(__xludf.DUMMYFUNCTION("""COMPUTED_VALUE"""),23.0)</f>
        <v>23</v>
      </c>
      <c r="F187" s="148">
        <f>IFERROR(__xludf.DUMMYFUNCTION("""COMPUTED_VALUE"""),0.0)</f>
        <v>0</v>
      </c>
      <c r="G187" s="148">
        <f>IFERROR(__xludf.DUMMYFUNCTION("""COMPUTED_VALUE"""),1.511508E7)</f>
        <v>15115080</v>
      </c>
      <c r="H187" s="148">
        <f>IFERROR(__xludf.DUMMYFUNCTION("""COMPUTED_VALUE"""),1.5112563E7)</f>
        <v>15112563</v>
      </c>
      <c r="I187" s="148" t="str">
        <f>IFERROR(__xludf.DUMMYFUNCTION("""COMPUTED_VALUE"""),"{}")</f>
        <v>{}</v>
      </c>
      <c r="J187" s="148" t="str">
        <f>IFERROR(__xludf.DUMMYFUNCTION("""COMPUTED_VALUE"""),"{""typ"":""lc"",""txt"":""LC_ITEM_sci_dec_item_name""}")</f>
        <v>{"typ":"lc","txt":"LC_ITEM_sci_dec_item_name"}</v>
      </c>
      <c r="K187" s="148" t="str">
        <f>IFERROR(__xludf.DUMMYFUNCTION("""COMPUTED_VALUE"""),"{""typ"":""lc"",""txt"":""LC_ITEM_sci_dec_item_desc""}")</f>
        <v>{"typ":"lc","txt":"LC_ITEM_sci_dec_item_desc"}</v>
      </c>
      <c r="L187" s="148" t="str">
        <f>IFERROR(__xludf.DUMMYFUNCTION("""COMPUTED_VALUE"""),"{}")</f>
        <v>{}</v>
      </c>
      <c r="M187" s="148">
        <f>IFERROR(__xludf.DUMMYFUNCTION("""COMPUTED_VALUE"""),5000.0)</f>
        <v>5000</v>
      </c>
      <c r="N187" s="148">
        <f>IFERROR(__xludf.DUMMYFUNCTION("""COMPUTED_VALUE"""),5.0)</f>
        <v>5</v>
      </c>
      <c r="O187" s="148">
        <f>IFERROR(__xludf.DUMMYFUNCTION("""COMPUTED_VALUE"""),1.0)</f>
        <v>1</v>
      </c>
      <c r="P187" s="148">
        <f>IFERROR(__xludf.DUMMYFUNCTION("""COMPUTED_VALUE"""),1.0)</f>
        <v>1</v>
      </c>
      <c r="Q187" s="148" t="str">
        <f>IFERROR(__xludf.DUMMYFUNCTION("""COMPUTED_VALUE"""),"[]")</f>
        <v>[]</v>
      </c>
      <c r="R187" s="148" t="str">
        <f>IFERROR(__xludf.DUMMYFUNCTION("""COMPUTED_VALUE"""),"[""bag""]")</f>
        <v>["bag"]</v>
      </c>
      <c r="S187" s="148" t="str">
        <f>IFERROR(__xludf.DUMMYFUNCTION("""COMPUTED_VALUE"""),"{""effect"":[{""typ"":""decorations"",""id"":11111336,""val"":-1},{""typ"":""item"",""id"":11112030,""val"":25}]}")</f>
        <v>{"effect":[{"typ":"decorations","id":11111336,"val":-1},{"typ":"item","id":11112030,"val":25}]}</v>
      </c>
      <c r="T187" s="148">
        <f>IFERROR(__xludf.DUMMYFUNCTION("""COMPUTED_VALUE"""),-1.0)</f>
        <v>-1</v>
      </c>
      <c r="U187" s="148">
        <f>IFERROR(__xludf.DUMMYFUNCTION("""COMPUTED_VALUE"""),1.0)</f>
        <v>1</v>
      </c>
      <c r="V187" s="148" t="str">
        <f>IFERROR(__xludf.DUMMYFUNCTION("""COMPUTED_VALUE"""),"[]")</f>
        <v>[]</v>
      </c>
      <c r="W187" s="148">
        <f>IFERROR(__xludf.DUMMYFUNCTION("""COMPUTED_VALUE"""),1.174E7)</f>
        <v>11740000</v>
      </c>
      <c r="X187" s="148">
        <f>IFERROR(__xludf.DUMMYFUNCTION("""COMPUTED_VALUE"""),0.0)</f>
        <v>0</v>
      </c>
      <c r="Y187" s="148">
        <f>IFERROR(__xludf.DUMMYFUNCTION("""COMPUTED_VALUE"""),0.0)</f>
        <v>0</v>
      </c>
      <c r="Z187" s="148"/>
    </row>
    <row r="188">
      <c r="A188" s="148">
        <f>IFERROR(__xludf.DUMMYFUNCTION("""COMPUTED_VALUE"""),1.1111337E7)</f>
        <v>11111337</v>
      </c>
      <c r="B188" s="148" t="str">
        <f>IFERROR(__xludf.DUMMYFUNCTION("""COMPUTED_VALUE"""),"主城皮肤-万圣节2022")</f>
        <v>主城皮肤-万圣节2022</v>
      </c>
      <c r="C188" s="148"/>
      <c r="D188" s="148" t="str">
        <f>IFERROR(__xludf.DUMMYFUNCTION("""COMPUTED_VALUE"""),"city_skin")</f>
        <v>city_skin</v>
      </c>
      <c r="E188" s="148">
        <f>IFERROR(__xludf.DUMMYFUNCTION("""COMPUTED_VALUE"""),21.0)</f>
        <v>21</v>
      </c>
      <c r="F188" s="148">
        <f>IFERROR(__xludf.DUMMYFUNCTION("""COMPUTED_VALUE"""),400106.0)</f>
        <v>400106</v>
      </c>
      <c r="G188" s="148">
        <f>IFERROR(__xludf.DUMMYFUNCTION("""COMPUTED_VALUE"""),1.5115231E7)</f>
        <v>15115231</v>
      </c>
      <c r="H188" s="148">
        <f>IFERROR(__xludf.DUMMYFUNCTION("""COMPUTED_VALUE"""),1.5112564E7)</f>
        <v>15112564</v>
      </c>
      <c r="I188" s="148" t="str">
        <f>IFERROR(__xludf.DUMMYFUNCTION("""COMPUTED_VALUE"""),"{}")</f>
        <v>{}</v>
      </c>
      <c r="J188" s="148" t="str">
        <f>IFERROR(__xludf.DUMMYFUNCTION("""COMPUTED_VALUE"""),"{""typ"":""lc"",""txt"":""LC_ITEM_halloween_base_2022_forever_4""}")</f>
        <v>{"typ":"lc","txt":"LC_ITEM_halloween_base_2022_forever_4"}</v>
      </c>
      <c r="K188" s="148" t="str">
        <f>IFERROR(__xludf.DUMMYFUNCTION("""COMPUTED_VALUE"""),"{""typ"":""lc"",""txt"":""LC_ITEM_halloween_base_2022_forever_desc_4""}")</f>
        <v>{"typ":"lc","txt":"LC_ITEM_halloween_base_2022_forever_desc_4"}</v>
      </c>
      <c r="L188" s="148" t="str">
        <f>IFERROR(__xludf.DUMMYFUNCTION("""COMPUTED_VALUE"""),"{""typ"":""lc"",""txt"":""LC_ITEM_city_skin_rocket_use_tips""}")</f>
        <v>{"typ":"lc","txt":"LC_ITEM_city_skin_rocket_use_tips"}</v>
      </c>
      <c r="M188" s="148">
        <f>IFERROR(__xludf.DUMMYFUNCTION("""COMPUTED_VALUE"""),10000.0)</f>
        <v>10000</v>
      </c>
      <c r="N188" s="148">
        <f>IFERROR(__xludf.DUMMYFUNCTION("""COMPUTED_VALUE"""),999.0)</f>
        <v>999</v>
      </c>
      <c r="O188" s="148">
        <f>IFERROR(__xludf.DUMMYFUNCTION("""COMPUTED_VALUE"""),1.0)</f>
        <v>1</v>
      </c>
      <c r="P188" s="148">
        <f>IFERROR(__xludf.DUMMYFUNCTION("""COMPUTED_VALUE"""),1.0)</f>
        <v>1</v>
      </c>
      <c r="Q188" s="148" t="str">
        <f>IFERROR(__xludf.DUMMYFUNCTION("""COMPUTED_VALUE"""),"[""bag_other""]")</f>
        <v>["bag_other"]</v>
      </c>
      <c r="R188" s="148" t="str">
        <f>IFERROR(__xludf.DUMMYFUNCTION("""COMPUTED_VALUE"""),"[""bag"",""13121009""]")</f>
        <v>["bag","13121009"]</v>
      </c>
      <c r="S188" s="148" t="str">
        <f>IFERROR(__xludf.DUMMYFUNCTION("""COMPUTED_VALUE"""),"{""effect"":[{""typ"":""city_skin"",""id"":13121009,""val"":-1},{""typ"":""item"",""id"":11111034,""val"":10}]}")</f>
        <v>{"effect":[{"typ":"city_skin","id":13121009,"val":-1},{"typ":"item","id":11111034,"val":10}]}</v>
      </c>
      <c r="T188" s="148">
        <f>IFERROR(__xludf.DUMMYFUNCTION("""COMPUTED_VALUE"""),-1.0)</f>
        <v>-1</v>
      </c>
      <c r="U188" s="148">
        <f>IFERROR(__xludf.DUMMYFUNCTION("""COMPUTED_VALUE"""),0.0)</f>
        <v>0</v>
      </c>
      <c r="V188" s="148" t="str">
        <f>IFERROR(__xludf.DUMMYFUNCTION("""COMPUTED_VALUE"""),"[]")</f>
        <v>[]</v>
      </c>
      <c r="W188" s="148">
        <f>IFERROR(__xludf.DUMMYFUNCTION("""COMPUTED_VALUE"""),1.174E7)</f>
        <v>11740000</v>
      </c>
      <c r="X188" s="148">
        <f>IFERROR(__xludf.DUMMYFUNCTION("""COMPUTED_VALUE"""),0.0)</f>
        <v>0</v>
      </c>
      <c r="Y188" s="148">
        <f>IFERROR(__xludf.DUMMYFUNCTION("""COMPUTED_VALUE"""),0.0)</f>
        <v>0</v>
      </c>
      <c r="Z188" s="148"/>
    </row>
    <row r="189">
      <c r="A189" s="148">
        <f>IFERROR(__xludf.DUMMYFUNCTION("""COMPUTED_VALUE"""),1.1111338E7)</f>
        <v>11111338</v>
      </c>
      <c r="B189" s="148" t="str">
        <f>IFERROR(__xludf.DUMMYFUNCTION("""COMPUTED_VALUE"""),"主城皮肤-万圣节2022（2天）")</f>
        <v>主城皮肤-万圣节2022（2天）</v>
      </c>
      <c r="C189" s="148"/>
      <c r="D189" s="148" t="str">
        <f>IFERROR(__xludf.DUMMYFUNCTION("""COMPUTED_VALUE"""),"city_skin")</f>
        <v>city_skin</v>
      </c>
      <c r="E189" s="148">
        <f>IFERROR(__xludf.DUMMYFUNCTION("""COMPUTED_VALUE"""),21.0)</f>
        <v>21</v>
      </c>
      <c r="F189" s="148">
        <f>IFERROR(__xludf.DUMMYFUNCTION("""COMPUTED_VALUE"""),404201.0)</f>
        <v>404201</v>
      </c>
      <c r="G189" s="148">
        <f>IFERROR(__xludf.DUMMYFUNCTION("""COMPUTED_VALUE"""),1.5115231E7)</f>
        <v>15115231</v>
      </c>
      <c r="H189" s="148">
        <f>IFERROR(__xludf.DUMMYFUNCTION("""COMPUTED_VALUE"""),1.5112563E7)</f>
        <v>15112563</v>
      </c>
      <c r="I189" s="148" t="str">
        <f>IFERROR(__xludf.DUMMYFUNCTION("""COMPUTED_VALUE"""),"{""typ"":""lc"",""txt"":""LC_ITEM_time_day_upper_show"",""args"":[{""typ"":""int"",""val"":2}]}")</f>
        <v>{"typ":"lc","txt":"LC_ITEM_time_day_upper_show","args":[{"typ":"int","val":2}]}</v>
      </c>
      <c r="J189" s="148" t="str">
        <f>IFERROR(__xludf.DUMMYFUNCTION("""COMPUTED_VALUE"""),"{""typ"":""lc"",""txt"":""LC_ITEM_halloween_base_2022_2days_4""}")</f>
        <v>{"typ":"lc","txt":"LC_ITEM_halloween_base_2022_2days_4"}</v>
      </c>
      <c r="K189" s="148" t="str">
        <f>IFERROR(__xludf.DUMMYFUNCTION("""COMPUTED_VALUE"""),"{""typ"":""lc"",""txt"":""LC_ITEM_halloween_base_2022_2days_desc_4""}")</f>
        <v>{"typ":"lc","txt":"LC_ITEM_halloween_base_2022_2days_desc_4"}</v>
      </c>
      <c r="L189" s="148" t="str">
        <f>IFERROR(__xludf.DUMMYFUNCTION("""COMPUTED_VALUE"""),"{""typ"":""lc"",""txt"":""LC_ITEM_city_skin_rocket_use_tips""}")</f>
        <v>{"typ":"lc","txt":"LC_ITEM_city_skin_rocket_use_tips"}</v>
      </c>
      <c r="M189" s="148">
        <f>IFERROR(__xludf.DUMMYFUNCTION("""COMPUTED_VALUE"""),500.0)</f>
        <v>500</v>
      </c>
      <c r="N189" s="148">
        <f>IFERROR(__xludf.DUMMYFUNCTION("""COMPUTED_VALUE"""),999.0)</f>
        <v>999</v>
      </c>
      <c r="O189" s="148">
        <f>IFERROR(__xludf.DUMMYFUNCTION("""COMPUTED_VALUE"""),1.0)</f>
        <v>1</v>
      </c>
      <c r="P189" s="148">
        <f>IFERROR(__xludf.DUMMYFUNCTION("""COMPUTED_VALUE"""),1.0)</f>
        <v>1</v>
      </c>
      <c r="Q189" s="148" t="str">
        <f>IFERROR(__xludf.DUMMYFUNCTION("""COMPUTED_VALUE"""),"[""bag_other""]")</f>
        <v>["bag_other"]</v>
      </c>
      <c r="R189" s="148" t="str">
        <f>IFERROR(__xludf.DUMMYFUNCTION("""COMPUTED_VALUE"""),"[""bag"",""13121009""]")</f>
        <v>["bag","13121009"]</v>
      </c>
      <c r="S189" s="148" t="str">
        <f>IFERROR(__xludf.DUMMYFUNCTION("""COMPUTED_VALUE"""),"{""effect"":[{""typ"":""city_skin"",""id"":13121009,""val"":172800000},{""typ"":""item"",""id"":11111021,""val"":1}]}")</f>
        <v>{"effect":[{"typ":"city_skin","id":13121009,"val":172800000},{"typ":"item","id":11111021,"val":1}]}</v>
      </c>
      <c r="T189" s="148">
        <f>IFERROR(__xludf.DUMMYFUNCTION("""COMPUTED_VALUE"""),-1.0)</f>
        <v>-1</v>
      </c>
      <c r="U189" s="148">
        <f>IFERROR(__xludf.DUMMYFUNCTION("""COMPUTED_VALUE"""),0.0)</f>
        <v>0</v>
      </c>
      <c r="V189" s="148" t="str">
        <f>IFERROR(__xludf.DUMMYFUNCTION("""COMPUTED_VALUE"""),"[]")</f>
        <v>[]</v>
      </c>
      <c r="W189" s="148">
        <f>IFERROR(__xludf.DUMMYFUNCTION("""COMPUTED_VALUE"""),1.174E7)</f>
        <v>11740000</v>
      </c>
      <c r="X189" s="148">
        <f>IFERROR(__xludf.DUMMYFUNCTION("""COMPUTED_VALUE"""),0.0)</f>
        <v>0</v>
      </c>
      <c r="Y189" s="148">
        <f>IFERROR(__xludf.DUMMYFUNCTION("""COMPUTED_VALUE"""),0.0)</f>
        <v>0</v>
      </c>
      <c r="Z189" s="148"/>
    </row>
    <row r="190">
      <c r="A190" s="148">
        <f>IFERROR(__xludf.DUMMYFUNCTION("""COMPUTED_VALUE"""),1.1111339E7)</f>
        <v>11111339</v>
      </c>
      <c r="B190" s="148" t="str">
        <f>IFERROR(__xludf.DUMMYFUNCTION("""COMPUTED_VALUE"""),"万圣节装饰")</f>
        <v>万圣节装饰</v>
      </c>
      <c r="C190" s="148"/>
      <c r="D190" s="148" t="str">
        <f>IFERROR(__xludf.DUMMYFUNCTION("""COMPUTED_VALUE"""),"decorations")</f>
        <v>decorations</v>
      </c>
      <c r="E190" s="148">
        <f>IFERROR(__xludf.DUMMYFUNCTION("""COMPUTED_VALUE"""),23.0)</f>
        <v>23</v>
      </c>
      <c r="F190" s="148">
        <f>IFERROR(__xludf.DUMMYFUNCTION("""COMPUTED_VALUE"""),0.0)</f>
        <v>0</v>
      </c>
      <c r="G190" s="148">
        <f>IFERROR(__xludf.DUMMYFUNCTION("""COMPUTED_VALUE"""),1.5115229E7)</f>
        <v>15115229</v>
      </c>
      <c r="H190" s="148">
        <f>IFERROR(__xludf.DUMMYFUNCTION("""COMPUTED_VALUE"""),1.5112563E7)</f>
        <v>15112563</v>
      </c>
      <c r="I190" s="148" t="str">
        <f>IFERROR(__xludf.DUMMYFUNCTION("""COMPUTED_VALUE"""),"{}")</f>
        <v>{}</v>
      </c>
      <c r="J190" s="148" t="str">
        <f>IFERROR(__xludf.DUMMYFUNCTION("""COMPUTED_VALUE"""),"{""typ"":""lc"",""txt"":""LC_ITEM_halloween_item_2022_name_3""}")</f>
        <v>{"typ":"lc","txt":"LC_ITEM_halloween_item_2022_name_3"}</v>
      </c>
      <c r="K190" s="148" t="str">
        <f>IFERROR(__xludf.DUMMYFUNCTION("""COMPUTED_VALUE"""),"{""typ"":""lc"",""txt"":""LC_ITEM_sci_dec_item_desc""}")</f>
        <v>{"typ":"lc","txt":"LC_ITEM_sci_dec_item_desc"}</v>
      </c>
      <c r="L190" s="148" t="str">
        <f>IFERROR(__xludf.DUMMYFUNCTION("""COMPUTED_VALUE"""),"{}")</f>
        <v>{}</v>
      </c>
      <c r="M190" s="148">
        <f>IFERROR(__xludf.DUMMYFUNCTION("""COMPUTED_VALUE"""),5000.0)</f>
        <v>5000</v>
      </c>
      <c r="N190" s="148">
        <f>IFERROR(__xludf.DUMMYFUNCTION("""COMPUTED_VALUE"""),5.0)</f>
        <v>5</v>
      </c>
      <c r="O190" s="148">
        <f>IFERROR(__xludf.DUMMYFUNCTION("""COMPUTED_VALUE"""),1.0)</f>
        <v>1</v>
      </c>
      <c r="P190" s="148">
        <f>IFERROR(__xludf.DUMMYFUNCTION("""COMPUTED_VALUE"""),1.0)</f>
        <v>1</v>
      </c>
      <c r="Q190" s="148" t="str">
        <f>IFERROR(__xludf.DUMMYFUNCTION("""COMPUTED_VALUE"""),"[]")</f>
        <v>[]</v>
      </c>
      <c r="R190" s="148" t="str">
        <f>IFERROR(__xludf.DUMMYFUNCTION("""COMPUTED_VALUE"""),"[""bag""]")</f>
        <v>["bag"]</v>
      </c>
      <c r="S190" s="148" t="str">
        <f>IFERROR(__xludf.DUMMYFUNCTION("""COMPUTED_VALUE"""),"{""effect"":[{""typ"":""decorations"",""id"":11111339,""val"":-1},{""typ"":""item"",""id"":11112030,""val"":5}]}")</f>
        <v>{"effect":[{"typ":"decorations","id":11111339,"val":-1},{"typ":"item","id":11112030,"val":5}]}</v>
      </c>
      <c r="T190" s="148">
        <f>IFERROR(__xludf.DUMMYFUNCTION("""COMPUTED_VALUE"""),-1.0)</f>
        <v>-1</v>
      </c>
      <c r="U190" s="148">
        <f>IFERROR(__xludf.DUMMYFUNCTION("""COMPUTED_VALUE"""),1.0)</f>
        <v>1</v>
      </c>
      <c r="V190" s="148" t="str">
        <f>IFERROR(__xludf.DUMMYFUNCTION("""COMPUTED_VALUE"""),"[]")</f>
        <v>[]</v>
      </c>
      <c r="W190" s="148">
        <f>IFERROR(__xludf.DUMMYFUNCTION("""COMPUTED_VALUE"""),1.174E7)</f>
        <v>11740000</v>
      </c>
      <c r="X190" s="148">
        <f>IFERROR(__xludf.DUMMYFUNCTION("""COMPUTED_VALUE"""),0.0)</f>
        <v>0</v>
      </c>
      <c r="Y190" s="148">
        <f>IFERROR(__xludf.DUMMYFUNCTION("""COMPUTED_VALUE"""),0.0)</f>
        <v>0</v>
      </c>
      <c r="Z190" s="148"/>
    </row>
    <row r="191">
      <c r="A191" s="148">
        <f>IFERROR(__xludf.DUMMYFUNCTION("""COMPUTED_VALUE"""),1.111134E7)</f>
        <v>11111340</v>
      </c>
      <c r="B191" s="148" t="str">
        <f>IFERROR(__xludf.DUMMYFUNCTION("""COMPUTED_VALUE"""),"感恩节装饰升级2022")</f>
        <v>感恩节装饰升级2022</v>
      </c>
      <c r="C191" s="148"/>
      <c r="D191" s="148" t="str">
        <f>IFERROR(__xludf.DUMMYFUNCTION("""COMPUTED_VALUE"""),"statue_decorate")</f>
        <v>statue_decorate</v>
      </c>
      <c r="E191" s="148">
        <f>IFERROR(__xludf.DUMMYFUNCTION("""COMPUTED_VALUE"""),23.0)</f>
        <v>23</v>
      </c>
      <c r="F191" s="148">
        <f>IFERROR(__xludf.DUMMYFUNCTION("""COMPUTED_VALUE"""),0.0)</f>
        <v>0</v>
      </c>
      <c r="G191" s="148">
        <f>IFERROR(__xludf.DUMMYFUNCTION("""COMPUTED_VALUE"""),1.5115381E7)</f>
        <v>15115381</v>
      </c>
      <c r="H191" s="148">
        <f>IFERROR(__xludf.DUMMYFUNCTION("""COMPUTED_VALUE"""),1.5112564E7)</f>
        <v>15112564</v>
      </c>
      <c r="I191" s="148" t="str">
        <f>IFERROR(__xludf.DUMMYFUNCTION("""COMPUTED_VALUE"""),"{}")</f>
        <v>{}</v>
      </c>
      <c r="J191" s="148" t="str">
        <f>IFERROR(__xludf.DUMMYFUNCTION("""COMPUTED_VALUE"""),"{""typ"":""lc"",""txt"":""LC_EVENT_thanksgiving_decoration_name_item""}")</f>
        <v>{"typ":"lc","txt":"LC_EVENT_thanksgiving_decoration_name_item"}</v>
      </c>
      <c r="K191" s="148" t="str">
        <f>IFERROR(__xludf.DUMMYFUNCTION("""COMPUTED_VALUE"""),"{""typ"":""lc"",""txt"":""LC_EVENT_thanksgiving_decoration_desc_1""}")</f>
        <v>{"typ":"lc","txt":"LC_EVENT_thanksgiving_decoration_desc_1"}</v>
      </c>
      <c r="L191" s="148" t="str">
        <f>IFERROR(__xludf.DUMMYFUNCTION("""COMPUTED_VALUE"""),"{}")</f>
        <v>{}</v>
      </c>
      <c r="M191" s="148">
        <f>IFERROR(__xludf.DUMMYFUNCTION("""COMPUTED_VALUE"""),5000.0)</f>
        <v>5000</v>
      </c>
      <c r="N191" s="148">
        <f>IFERROR(__xludf.DUMMYFUNCTION("""COMPUTED_VALUE"""),5.0)</f>
        <v>5</v>
      </c>
      <c r="O191" s="148">
        <f>IFERROR(__xludf.DUMMYFUNCTION("""COMPUTED_VALUE"""),1.0)</f>
        <v>1</v>
      </c>
      <c r="P191" s="148">
        <f>IFERROR(__xludf.DUMMYFUNCTION("""COMPUTED_VALUE"""),1.0)</f>
        <v>1</v>
      </c>
      <c r="Q191" s="148" t="str">
        <f>IFERROR(__xludf.DUMMYFUNCTION("""COMPUTED_VALUE"""),"[]")</f>
        <v>[]</v>
      </c>
      <c r="R191" s="148" t="str">
        <f>IFERROR(__xludf.DUMMYFUNCTION("""COMPUTED_VALUE"""),"[""bag""]")</f>
        <v>["bag"]</v>
      </c>
      <c r="S191" s="148" t="str">
        <f>IFERROR(__xludf.DUMMYFUNCTION("""COMPUTED_VALUE"""),"{""effect"":[{""typ"":""holiday_statue"",""id"":21480101},{""typ"":""item"",""id"":11112030,""val"":5}]}")</f>
        <v>{"effect":[{"typ":"holiday_statue","id":21480101},{"typ":"item","id":11112030,"val":5}]}</v>
      </c>
      <c r="T191" s="148">
        <f>IFERROR(__xludf.DUMMYFUNCTION("""COMPUTED_VALUE"""),-1.0)</f>
        <v>-1</v>
      </c>
      <c r="U191" s="148">
        <f>IFERROR(__xludf.DUMMYFUNCTION("""COMPUTED_VALUE"""),1.0)</f>
        <v>1</v>
      </c>
      <c r="V191" s="148" t="str">
        <f>IFERROR(__xludf.DUMMYFUNCTION("""COMPUTED_VALUE"""),"[]")</f>
        <v>[]</v>
      </c>
      <c r="W191" s="148">
        <f>IFERROR(__xludf.DUMMYFUNCTION("""COMPUTED_VALUE"""),1.174E7)</f>
        <v>11740000</v>
      </c>
      <c r="X191" s="148">
        <f>IFERROR(__xludf.DUMMYFUNCTION("""COMPUTED_VALUE"""),0.0)</f>
        <v>0</v>
      </c>
      <c r="Y191" s="148">
        <f>IFERROR(__xludf.DUMMYFUNCTION("""COMPUTED_VALUE"""),0.0)</f>
        <v>0</v>
      </c>
      <c r="Z191" s="148"/>
    </row>
    <row r="192">
      <c r="A192" s="148">
        <f>IFERROR(__xludf.DUMMYFUNCTION("""COMPUTED_VALUE"""),1.1111341E7)</f>
        <v>11111341</v>
      </c>
      <c r="B192" s="148" t="str">
        <f>IFERROR(__xludf.DUMMYFUNCTION("""COMPUTED_VALUE"""),"主城皮肤-情人节2023")</f>
        <v>主城皮肤-情人节2023</v>
      </c>
      <c r="C192" s="148"/>
      <c r="D192" s="148" t="str">
        <f>IFERROR(__xludf.DUMMYFUNCTION("""COMPUTED_VALUE"""),"city_skin")</f>
        <v>city_skin</v>
      </c>
      <c r="E192" s="148">
        <f>IFERROR(__xludf.DUMMYFUNCTION("""COMPUTED_VALUE"""),21.0)</f>
        <v>21</v>
      </c>
      <c r="F192" s="148">
        <f>IFERROR(__xludf.DUMMYFUNCTION("""COMPUTED_VALUE"""),400106.0)</f>
        <v>400106</v>
      </c>
      <c r="G192" s="148">
        <f>IFERROR(__xludf.DUMMYFUNCTION("""COMPUTED_VALUE"""),1.5115838E7)</f>
        <v>15115838</v>
      </c>
      <c r="H192" s="148">
        <f>IFERROR(__xludf.DUMMYFUNCTION("""COMPUTED_VALUE"""),1.5112564E7)</f>
        <v>15112564</v>
      </c>
      <c r="I192" s="148" t="str">
        <f>IFERROR(__xludf.DUMMYFUNCTION("""COMPUTED_VALUE"""),"{}")</f>
        <v>{}</v>
      </c>
      <c r="J192" s="148" t="str">
        <f>IFERROR(__xludf.DUMMYFUNCTION("""COMPUTED_VALUE"""),"{""typ"":""lc"",""txt"":""LC_ITEM_valentine_base_2022_forever_4""}")</f>
        <v>{"typ":"lc","txt":"LC_ITEM_valentine_base_2022_forever_4"}</v>
      </c>
      <c r="K192" s="148" t="str">
        <f>IFERROR(__xludf.DUMMYFUNCTION("""COMPUTED_VALUE"""),"{""typ"":""lc"",""txt"":""LC_ITEM_valentine_base_2022_forever_desc_4""}")</f>
        <v>{"typ":"lc","txt":"LC_ITEM_valentine_base_2022_forever_desc_4"}</v>
      </c>
      <c r="L192" s="148" t="str">
        <f>IFERROR(__xludf.DUMMYFUNCTION("""COMPUTED_VALUE"""),"{""typ"":""lc"",""txt"":""LC_ITEM_city_skin_rocket_use_tips""}")</f>
        <v>{"typ":"lc","txt":"LC_ITEM_city_skin_rocket_use_tips"}</v>
      </c>
      <c r="M192" s="148">
        <f>IFERROR(__xludf.DUMMYFUNCTION("""COMPUTED_VALUE"""),10000.0)</f>
        <v>10000</v>
      </c>
      <c r="N192" s="148">
        <f>IFERROR(__xludf.DUMMYFUNCTION("""COMPUTED_VALUE"""),999.0)</f>
        <v>999</v>
      </c>
      <c r="O192" s="148">
        <f>IFERROR(__xludf.DUMMYFUNCTION("""COMPUTED_VALUE"""),1.0)</f>
        <v>1</v>
      </c>
      <c r="P192" s="148">
        <f>IFERROR(__xludf.DUMMYFUNCTION("""COMPUTED_VALUE"""),1.0)</f>
        <v>1</v>
      </c>
      <c r="Q192" s="148" t="str">
        <f>IFERROR(__xludf.DUMMYFUNCTION("""COMPUTED_VALUE"""),"[""bag_other""]")</f>
        <v>["bag_other"]</v>
      </c>
      <c r="R192" s="148" t="str">
        <f>IFERROR(__xludf.DUMMYFUNCTION("""COMPUTED_VALUE"""),"[""bag"",""13121013""]")</f>
        <v>["bag","13121013"]</v>
      </c>
      <c r="S192" s="148" t="str">
        <f>IFERROR(__xludf.DUMMYFUNCTION("""COMPUTED_VALUE"""),"{""effect"":[{""typ"":""city_skin"",""id"":13121013,""val"":-1},{""typ"":""item"",""id"":11111034,""val"":10}]}")</f>
        <v>{"effect":[{"typ":"city_skin","id":13121013,"val":-1},{"typ":"item","id":11111034,"val":10}]}</v>
      </c>
      <c r="T192" s="148">
        <f>IFERROR(__xludf.DUMMYFUNCTION("""COMPUTED_VALUE"""),-1.0)</f>
        <v>-1</v>
      </c>
      <c r="U192" s="148">
        <f>IFERROR(__xludf.DUMMYFUNCTION("""COMPUTED_VALUE"""),0.0)</f>
        <v>0</v>
      </c>
      <c r="V192" s="148" t="str">
        <f>IFERROR(__xludf.DUMMYFUNCTION("""COMPUTED_VALUE"""),"[]")</f>
        <v>[]</v>
      </c>
      <c r="W192" s="148">
        <f>IFERROR(__xludf.DUMMYFUNCTION("""COMPUTED_VALUE"""),1.174E7)</f>
        <v>11740000</v>
      </c>
      <c r="X192" s="148">
        <f>IFERROR(__xludf.DUMMYFUNCTION("""COMPUTED_VALUE"""),0.0)</f>
        <v>0</v>
      </c>
      <c r="Y192" s="148">
        <f>IFERROR(__xludf.DUMMYFUNCTION("""COMPUTED_VALUE"""),0.0)</f>
        <v>0</v>
      </c>
      <c r="Z192" s="148"/>
    </row>
    <row r="193">
      <c r="A193" s="148">
        <f>IFERROR(__xludf.DUMMYFUNCTION("""COMPUTED_VALUE"""),1.1111342E7)</f>
        <v>11111342</v>
      </c>
      <c r="B193" s="148" t="str">
        <f>IFERROR(__xludf.DUMMYFUNCTION("""COMPUTED_VALUE"""),"主城皮肤-情人节2023（2天）")</f>
        <v>主城皮肤-情人节2023（2天）</v>
      </c>
      <c r="C193" s="148"/>
      <c r="D193" s="148" t="str">
        <f>IFERROR(__xludf.DUMMYFUNCTION("""COMPUTED_VALUE"""),"city_skin")</f>
        <v>city_skin</v>
      </c>
      <c r="E193" s="148">
        <f>IFERROR(__xludf.DUMMYFUNCTION("""COMPUTED_VALUE"""),21.0)</f>
        <v>21</v>
      </c>
      <c r="F193" s="148">
        <f>IFERROR(__xludf.DUMMYFUNCTION("""COMPUTED_VALUE"""),404201.0)</f>
        <v>404201</v>
      </c>
      <c r="G193" s="148">
        <f>IFERROR(__xludf.DUMMYFUNCTION("""COMPUTED_VALUE"""),1.5115838E7)</f>
        <v>15115838</v>
      </c>
      <c r="H193" s="148">
        <f>IFERROR(__xludf.DUMMYFUNCTION("""COMPUTED_VALUE"""),1.5112563E7)</f>
        <v>15112563</v>
      </c>
      <c r="I193" s="148" t="str">
        <f>IFERROR(__xludf.DUMMYFUNCTION("""COMPUTED_VALUE"""),"{""typ"":""lc"",""txt"":""LC_ITEM_time_day_upper_show"",""args"":[{""typ"":""int"",""val"":2}]}")</f>
        <v>{"typ":"lc","txt":"LC_ITEM_time_day_upper_show","args":[{"typ":"int","val":2}]}</v>
      </c>
      <c r="J193" s="148" t="str">
        <f>IFERROR(__xludf.DUMMYFUNCTION("""COMPUTED_VALUE"""),"{""typ"":""lc"",""txt"":""LC_ITEM_valentine_base_2022_2days_4""}")</f>
        <v>{"typ":"lc","txt":"LC_ITEM_valentine_base_2022_2days_4"}</v>
      </c>
      <c r="K193" s="148" t="str">
        <f>IFERROR(__xludf.DUMMYFUNCTION("""COMPUTED_VALUE"""),"{""typ"":""lc"",""txt"":""LC_ITEM_valentine_base_2022_2days_desc_4""}")</f>
        <v>{"typ":"lc","txt":"LC_ITEM_valentine_base_2022_2days_desc_4"}</v>
      </c>
      <c r="L193" s="148" t="str">
        <f>IFERROR(__xludf.DUMMYFUNCTION("""COMPUTED_VALUE"""),"{""typ"":""lc"",""txt"":""LC_ITEM_city_skin_rocket_use_tips""}")</f>
        <v>{"typ":"lc","txt":"LC_ITEM_city_skin_rocket_use_tips"}</v>
      </c>
      <c r="M193" s="148">
        <f>IFERROR(__xludf.DUMMYFUNCTION("""COMPUTED_VALUE"""),500.0)</f>
        <v>500</v>
      </c>
      <c r="N193" s="148">
        <f>IFERROR(__xludf.DUMMYFUNCTION("""COMPUTED_VALUE"""),999.0)</f>
        <v>999</v>
      </c>
      <c r="O193" s="148">
        <f>IFERROR(__xludf.DUMMYFUNCTION("""COMPUTED_VALUE"""),1.0)</f>
        <v>1</v>
      </c>
      <c r="P193" s="148">
        <f>IFERROR(__xludf.DUMMYFUNCTION("""COMPUTED_VALUE"""),1.0)</f>
        <v>1</v>
      </c>
      <c r="Q193" s="148" t="str">
        <f>IFERROR(__xludf.DUMMYFUNCTION("""COMPUTED_VALUE"""),"[""bag_other""]")</f>
        <v>["bag_other"]</v>
      </c>
      <c r="R193" s="148" t="str">
        <f>IFERROR(__xludf.DUMMYFUNCTION("""COMPUTED_VALUE"""),"[""bag"",""13121013""]")</f>
        <v>["bag","13121013"]</v>
      </c>
      <c r="S193" s="148" t="str">
        <f>IFERROR(__xludf.DUMMYFUNCTION("""COMPUTED_VALUE"""),"{""effect"":[{""typ"":""city_skin"",""id"":13121013,""val"":172800000},{""typ"":""item"",""id"":11111021,""val"":1}]}")</f>
        <v>{"effect":[{"typ":"city_skin","id":13121013,"val":172800000},{"typ":"item","id":11111021,"val":1}]}</v>
      </c>
      <c r="T193" s="148">
        <f>IFERROR(__xludf.DUMMYFUNCTION("""COMPUTED_VALUE"""),-1.0)</f>
        <v>-1</v>
      </c>
      <c r="U193" s="148">
        <f>IFERROR(__xludf.DUMMYFUNCTION("""COMPUTED_VALUE"""),0.0)</f>
        <v>0</v>
      </c>
      <c r="V193" s="148" t="str">
        <f>IFERROR(__xludf.DUMMYFUNCTION("""COMPUTED_VALUE"""),"[]")</f>
        <v>[]</v>
      </c>
      <c r="W193" s="148">
        <f>IFERROR(__xludf.DUMMYFUNCTION("""COMPUTED_VALUE"""),1.174E7)</f>
        <v>11740000</v>
      </c>
      <c r="X193" s="148">
        <f>IFERROR(__xludf.DUMMYFUNCTION("""COMPUTED_VALUE"""),0.0)</f>
        <v>0</v>
      </c>
      <c r="Y193" s="148">
        <f>IFERROR(__xludf.DUMMYFUNCTION("""COMPUTED_VALUE"""),0.0)</f>
        <v>0</v>
      </c>
      <c r="Z193" s="148"/>
    </row>
    <row r="194">
      <c r="A194" s="148">
        <f>IFERROR(__xludf.DUMMYFUNCTION("""COMPUTED_VALUE"""),1.1111343E7)</f>
        <v>11111343</v>
      </c>
      <c r="B194" s="148" t="str">
        <f>IFERROR(__xludf.DUMMYFUNCTION("""COMPUTED_VALUE"""),"2023-春节装饰")</f>
        <v>2023-春节装饰</v>
      </c>
      <c r="C194" s="148"/>
      <c r="D194" s="148" t="str">
        <f>IFERROR(__xludf.DUMMYFUNCTION("""COMPUTED_VALUE"""),"decorations")</f>
        <v>decorations</v>
      </c>
      <c r="E194" s="148">
        <f>IFERROR(__xludf.DUMMYFUNCTION("""COMPUTED_VALUE"""),23.0)</f>
        <v>23</v>
      </c>
      <c r="F194" s="148">
        <f>IFERROR(__xludf.DUMMYFUNCTION("""COMPUTED_VALUE"""),0.0)</f>
        <v>0</v>
      </c>
      <c r="G194" s="148">
        <f>IFERROR(__xludf.DUMMYFUNCTION("""COMPUTED_VALUE"""),1.5115836E7)</f>
        <v>15115836</v>
      </c>
      <c r="H194" s="148">
        <f>IFERROR(__xludf.DUMMYFUNCTION("""COMPUTED_VALUE"""),1.5112563E7)</f>
        <v>15112563</v>
      </c>
      <c r="I194" s="148" t="str">
        <f>IFERROR(__xludf.DUMMYFUNCTION("""COMPUTED_VALUE"""),"{}")</f>
        <v>{}</v>
      </c>
      <c r="J194" s="148" t="str">
        <f>IFERROR(__xludf.DUMMYFUNCTION("""COMPUTED_VALUE"""),"{""typ"":""lc"",""txt"":""LC_ITEM_spring_item_2023_name_3""}")</f>
        <v>{"typ":"lc","txt":"LC_ITEM_spring_item_2023_name_3"}</v>
      </c>
      <c r="K194" s="148" t="str">
        <f>IFERROR(__xludf.DUMMYFUNCTION("""COMPUTED_VALUE"""),"{""typ"":""lc"",""txt"":""LC_ITEM_spring_item_2023_desc_3""}")</f>
        <v>{"typ":"lc","txt":"LC_ITEM_spring_item_2023_desc_3"}</v>
      </c>
      <c r="L194" s="148" t="str">
        <f>IFERROR(__xludf.DUMMYFUNCTION("""COMPUTED_VALUE"""),"{}")</f>
        <v>{}</v>
      </c>
      <c r="M194" s="148">
        <f>IFERROR(__xludf.DUMMYFUNCTION("""COMPUTED_VALUE"""),5000.0)</f>
        <v>5000</v>
      </c>
      <c r="N194" s="148">
        <f>IFERROR(__xludf.DUMMYFUNCTION("""COMPUTED_VALUE"""),5.0)</f>
        <v>5</v>
      </c>
      <c r="O194" s="148">
        <f>IFERROR(__xludf.DUMMYFUNCTION("""COMPUTED_VALUE"""),1.0)</f>
        <v>1</v>
      </c>
      <c r="P194" s="148">
        <f>IFERROR(__xludf.DUMMYFUNCTION("""COMPUTED_VALUE"""),1.0)</f>
        <v>1</v>
      </c>
      <c r="Q194" s="148" t="str">
        <f>IFERROR(__xludf.DUMMYFUNCTION("""COMPUTED_VALUE"""),"[]")</f>
        <v>[]</v>
      </c>
      <c r="R194" s="148" t="str">
        <f>IFERROR(__xludf.DUMMYFUNCTION("""COMPUTED_VALUE"""),"[""bag""]")</f>
        <v>["bag"]</v>
      </c>
      <c r="S194" s="148" t="str">
        <f>IFERROR(__xludf.DUMMYFUNCTION("""COMPUTED_VALUE"""),"{""effect"":[{""typ"":""decorations"",""id"":11111343,""val"":-1},{""typ"":""item"",""id"":11112030,""val"":5}]}")</f>
        <v>{"effect":[{"typ":"decorations","id":11111343,"val":-1},{"typ":"item","id":11112030,"val":5}]}</v>
      </c>
      <c r="T194" s="148">
        <f>IFERROR(__xludf.DUMMYFUNCTION("""COMPUTED_VALUE"""),-1.0)</f>
        <v>-1</v>
      </c>
      <c r="U194" s="148">
        <f>IFERROR(__xludf.DUMMYFUNCTION("""COMPUTED_VALUE"""),1.0)</f>
        <v>1</v>
      </c>
      <c r="V194" s="148" t="str">
        <f>IFERROR(__xludf.DUMMYFUNCTION("""COMPUTED_VALUE"""),"[]")</f>
        <v>[]</v>
      </c>
      <c r="W194" s="148">
        <f>IFERROR(__xludf.DUMMYFUNCTION("""COMPUTED_VALUE"""),1.174E7)</f>
        <v>11740000</v>
      </c>
      <c r="X194" s="148">
        <f>IFERROR(__xludf.DUMMYFUNCTION("""COMPUTED_VALUE"""),0.0)</f>
        <v>0</v>
      </c>
      <c r="Y194" s="148">
        <f>IFERROR(__xludf.DUMMYFUNCTION("""COMPUTED_VALUE"""),0.0)</f>
        <v>0</v>
      </c>
      <c r="Z194" s="148"/>
    </row>
    <row r="195">
      <c r="A195" s="148">
        <f>IFERROR(__xludf.DUMMYFUNCTION("""COMPUTED_VALUE"""),1.1111344E7)</f>
        <v>11111344</v>
      </c>
      <c r="B195" s="148" t="str">
        <f>IFERROR(__xludf.DUMMYFUNCTION("""COMPUTED_VALUE"""),"主城皮肤-科技节2023")</f>
        <v>主城皮肤-科技节2023</v>
      </c>
      <c r="C195" s="148"/>
      <c r="D195" s="148" t="str">
        <f>IFERROR(__xludf.DUMMYFUNCTION("""COMPUTED_VALUE"""),"city_skin")</f>
        <v>city_skin</v>
      </c>
      <c r="E195" s="148">
        <f>IFERROR(__xludf.DUMMYFUNCTION("""COMPUTED_VALUE"""),21.0)</f>
        <v>21</v>
      </c>
      <c r="F195" s="148">
        <f>IFERROR(__xludf.DUMMYFUNCTION("""COMPUTED_VALUE"""),400106.0)</f>
        <v>400106</v>
      </c>
      <c r="G195" s="148">
        <f>IFERROR(__xludf.DUMMYFUNCTION("""COMPUTED_VALUE"""),1.5116042E7)</f>
        <v>15116042</v>
      </c>
      <c r="H195" s="148">
        <f>IFERROR(__xludf.DUMMYFUNCTION("""COMPUTED_VALUE"""),1.5112564E7)</f>
        <v>15112564</v>
      </c>
      <c r="I195" s="148" t="str">
        <f>IFERROR(__xludf.DUMMYFUNCTION("""COMPUTED_VALUE"""),"{}")</f>
        <v>{}</v>
      </c>
      <c r="J195" s="148" t="str">
        <f>IFERROR(__xludf.DUMMYFUNCTION("""COMPUTED_VALUE"""),"{""typ"":""lc"",""txt"":""LC_ITEM_sci_base_2023_forever""}")</f>
        <v>{"typ":"lc","txt":"LC_ITEM_sci_base_2023_forever"}</v>
      </c>
      <c r="K195" s="148" t="str">
        <f>IFERROR(__xludf.DUMMYFUNCTION("""COMPUTED_VALUE"""),"{""typ"":""lc"",""txt"":""LC_ITEM_sci_base_2023_forever_desc""}")</f>
        <v>{"typ":"lc","txt":"LC_ITEM_sci_base_2023_forever_desc"}</v>
      </c>
      <c r="L195" s="148" t="str">
        <f>IFERROR(__xludf.DUMMYFUNCTION("""COMPUTED_VALUE"""),"{""typ"":""lc"",""txt"":""LC_ITEM_city_skin_rocket_use_tips""}")</f>
        <v>{"typ":"lc","txt":"LC_ITEM_city_skin_rocket_use_tips"}</v>
      </c>
      <c r="M195" s="148">
        <f>IFERROR(__xludf.DUMMYFUNCTION("""COMPUTED_VALUE"""),10000.0)</f>
        <v>10000</v>
      </c>
      <c r="N195" s="148">
        <f>IFERROR(__xludf.DUMMYFUNCTION("""COMPUTED_VALUE"""),999.0)</f>
        <v>999</v>
      </c>
      <c r="O195" s="148">
        <f>IFERROR(__xludf.DUMMYFUNCTION("""COMPUTED_VALUE"""),1.0)</f>
        <v>1</v>
      </c>
      <c r="P195" s="148">
        <f>IFERROR(__xludf.DUMMYFUNCTION("""COMPUTED_VALUE"""),1.0)</f>
        <v>1</v>
      </c>
      <c r="Q195" s="148" t="str">
        <f>IFERROR(__xludf.DUMMYFUNCTION("""COMPUTED_VALUE"""),"[""bag_other""]")</f>
        <v>["bag_other"]</v>
      </c>
      <c r="R195" s="148" t="str">
        <f>IFERROR(__xludf.DUMMYFUNCTION("""COMPUTED_VALUE"""),"[""bag"",""13121015""]")</f>
        <v>["bag","13121015"]</v>
      </c>
      <c r="S195" s="148" t="str">
        <f>IFERROR(__xludf.DUMMYFUNCTION("""COMPUTED_VALUE"""),"{""effect"":[{""typ"":""city_skin"",""id"":13121015,""val"":-1},{""typ"":""item"",""id"":11111034,""val"":10}]}")</f>
        <v>{"effect":[{"typ":"city_skin","id":13121015,"val":-1},{"typ":"item","id":11111034,"val":10}]}</v>
      </c>
      <c r="T195" s="148">
        <f>IFERROR(__xludf.DUMMYFUNCTION("""COMPUTED_VALUE"""),-1.0)</f>
        <v>-1</v>
      </c>
      <c r="U195" s="148">
        <f>IFERROR(__xludf.DUMMYFUNCTION("""COMPUTED_VALUE"""),0.0)</f>
        <v>0</v>
      </c>
      <c r="V195" s="148" t="str">
        <f>IFERROR(__xludf.DUMMYFUNCTION("""COMPUTED_VALUE"""),"[]")</f>
        <v>[]</v>
      </c>
      <c r="W195" s="148">
        <f>IFERROR(__xludf.DUMMYFUNCTION("""COMPUTED_VALUE"""),1.174E7)</f>
        <v>11740000</v>
      </c>
      <c r="X195" s="148">
        <f>IFERROR(__xludf.DUMMYFUNCTION("""COMPUTED_VALUE"""),0.0)</f>
        <v>0</v>
      </c>
      <c r="Y195" s="148">
        <f>IFERROR(__xludf.DUMMYFUNCTION("""COMPUTED_VALUE"""),0.0)</f>
        <v>0</v>
      </c>
      <c r="Z195" s="148"/>
    </row>
    <row r="196">
      <c r="A196" s="148">
        <f>IFERROR(__xludf.DUMMYFUNCTION("""COMPUTED_VALUE"""),1.1111345E7)</f>
        <v>11111345</v>
      </c>
      <c r="B196" s="148" t="str">
        <f>IFERROR(__xludf.DUMMYFUNCTION("""COMPUTED_VALUE"""),"主城皮肤-科技节2023（2天）")</f>
        <v>主城皮肤-科技节2023（2天）</v>
      </c>
      <c r="C196" s="148"/>
      <c r="D196" s="148" t="str">
        <f>IFERROR(__xludf.DUMMYFUNCTION("""COMPUTED_VALUE"""),"city_skin")</f>
        <v>city_skin</v>
      </c>
      <c r="E196" s="148">
        <f>IFERROR(__xludf.DUMMYFUNCTION("""COMPUTED_VALUE"""),21.0)</f>
        <v>21</v>
      </c>
      <c r="F196" s="148">
        <f>IFERROR(__xludf.DUMMYFUNCTION("""COMPUTED_VALUE"""),404201.0)</f>
        <v>404201</v>
      </c>
      <c r="G196" s="148">
        <f>IFERROR(__xludf.DUMMYFUNCTION("""COMPUTED_VALUE"""),1.5116042E7)</f>
        <v>15116042</v>
      </c>
      <c r="H196" s="148">
        <f>IFERROR(__xludf.DUMMYFUNCTION("""COMPUTED_VALUE"""),1.5112563E7)</f>
        <v>15112563</v>
      </c>
      <c r="I196" s="148" t="str">
        <f>IFERROR(__xludf.DUMMYFUNCTION("""COMPUTED_VALUE"""),"{""typ"":""lc"",""txt"":""LC_ITEM_time_day_upper_show"",""args"":[{""typ"":""int"",""val"":2}]}")</f>
        <v>{"typ":"lc","txt":"LC_ITEM_time_day_upper_show","args":[{"typ":"int","val":2}]}</v>
      </c>
      <c r="J196" s="148" t="str">
        <f>IFERROR(__xludf.DUMMYFUNCTION("""COMPUTED_VALUE"""),"{""typ"":""lc"",""txt"":""LC_ITEM_sci_base_2023_2days""}")</f>
        <v>{"typ":"lc","txt":"LC_ITEM_sci_base_2023_2days"}</v>
      </c>
      <c r="K196" s="148" t="str">
        <f>IFERROR(__xludf.DUMMYFUNCTION("""COMPUTED_VALUE"""),"{""typ"":""lc"",""txt"":""LC_ITEM_sci_base_2023_2days_desc""}")</f>
        <v>{"typ":"lc","txt":"LC_ITEM_sci_base_2023_2days_desc"}</v>
      </c>
      <c r="L196" s="148" t="str">
        <f>IFERROR(__xludf.DUMMYFUNCTION("""COMPUTED_VALUE"""),"{""typ"":""lc"",""txt"":""LC_ITEM_city_skin_rocket_use_tips""}")</f>
        <v>{"typ":"lc","txt":"LC_ITEM_city_skin_rocket_use_tips"}</v>
      </c>
      <c r="M196" s="148">
        <f>IFERROR(__xludf.DUMMYFUNCTION("""COMPUTED_VALUE"""),500.0)</f>
        <v>500</v>
      </c>
      <c r="N196" s="148">
        <f>IFERROR(__xludf.DUMMYFUNCTION("""COMPUTED_VALUE"""),999.0)</f>
        <v>999</v>
      </c>
      <c r="O196" s="148">
        <f>IFERROR(__xludf.DUMMYFUNCTION("""COMPUTED_VALUE"""),1.0)</f>
        <v>1</v>
      </c>
      <c r="P196" s="148">
        <f>IFERROR(__xludf.DUMMYFUNCTION("""COMPUTED_VALUE"""),1.0)</f>
        <v>1</v>
      </c>
      <c r="Q196" s="148" t="str">
        <f>IFERROR(__xludf.DUMMYFUNCTION("""COMPUTED_VALUE"""),"[""bag_other""]")</f>
        <v>["bag_other"]</v>
      </c>
      <c r="R196" s="148" t="str">
        <f>IFERROR(__xludf.DUMMYFUNCTION("""COMPUTED_VALUE"""),"[""bag"",""13121015""]")</f>
        <v>["bag","13121015"]</v>
      </c>
      <c r="S196" s="148" t="str">
        <f>IFERROR(__xludf.DUMMYFUNCTION("""COMPUTED_VALUE"""),"{""effect"":[{""typ"":""city_skin"",""id"":13121015,""val"":172800000},{""typ"":""item"",""id"":11111021,""val"":1}]}")</f>
        <v>{"effect":[{"typ":"city_skin","id":13121015,"val":172800000},{"typ":"item","id":11111021,"val":1}]}</v>
      </c>
      <c r="T196" s="148">
        <f>IFERROR(__xludf.DUMMYFUNCTION("""COMPUTED_VALUE"""),-1.0)</f>
        <v>-1</v>
      </c>
      <c r="U196" s="148">
        <f>IFERROR(__xludf.DUMMYFUNCTION("""COMPUTED_VALUE"""),0.0)</f>
        <v>0</v>
      </c>
      <c r="V196" s="148" t="str">
        <f>IFERROR(__xludf.DUMMYFUNCTION("""COMPUTED_VALUE"""),"[]")</f>
        <v>[]</v>
      </c>
      <c r="W196" s="148">
        <f>IFERROR(__xludf.DUMMYFUNCTION("""COMPUTED_VALUE"""),1.174E7)</f>
        <v>11740000</v>
      </c>
      <c r="X196" s="148">
        <f>IFERROR(__xludf.DUMMYFUNCTION("""COMPUTED_VALUE"""),0.0)</f>
        <v>0</v>
      </c>
      <c r="Y196" s="148">
        <f>IFERROR(__xludf.DUMMYFUNCTION("""COMPUTED_VALUE"""),0.0)</f>
        <v>0</v>
      </c>
      <c r="Z196" s="148"/>
    </row>
    <row r="197">
      <c r="A197" s="148">
        <f>IFERROR(__xludf.DUMMYFUNCTION("""COMPUTED_VALUE"""),1.1111346E7)</f>
        <v>11111346</v>
      </c>
      <c r="B197" s="148" t="str">
        <f>IFERROR(__xludf.DUMMYFUNCTION("""COMPUTED_VALUE"""),"复活节彩蛋-装饰升级版本")</f>
        <v>复活节彩蛋-装饰升级版本</v>
      </c>
      <c r="C197" s="148"/>
      <c r="D197" s="148" t="str">
        <f>IFERROR(__xludf.DUMMYFUNCTION("""COMPUTED_VALUE"""),"statue_decorate")</f>
        <v>statue_decorate</v>
      </c>
      <c r="E197" s="148">
        <f>IFERROR(__xludf.DUMMYFUNCTION("""COMPUTED_VALUE"""),23.0)</f>
        <v>23</v>
      </c>
      <c r="F197" s="148">
        <f>IFERROR(__xludf.DUMMYFUNCTION("""COMPUTED_VALUE"""),0.0)</f>
        <v>0</v>
      </c>
      <c r="G197" s="148">
        <f>IFERROR(__xludf.DUMMYFUNCTION("""COMPUTED_VALUE"""),1.5113733E7)</f>
        <v>15113733</v>
      </c>
      <c r="H197" s="148">
        <f>IFERROR(__xludf.DUMMYFUNCTION("""COMPUTED_VALUE"""),1.5112564E7)</f>
        <v>15112564</v>
      </c>
      <c r="I197" s="148" t="str">
        <f>IFERROR(__xludf.DUMMYFUNCTION("""COMPUTED_VALUE"""),"{}")</f>
        <v>{}</v>
      </c>
      <c r="J197" s="148" t="str">
        <f>IFERROR(__xludf.DUMMYFUNCTION("""COMPUTED_VALUE"""),"{""typ"":""lc"",""txt"":""LC_ITEM_easter_egg_model""}")</f>
        <v>{"typ":"lc","txt":"LC_ITEM_easter_egg_model"}</v>
      </c>
      <c r="K197" s="148" t="str">
        <f>IFERROR(__xludf.DUMMYFUNCTION("""COMPUTED_VALUE"""),"{""typ"":""lc"",""txt"":""LC_ITEM_easter_egg_model_desc""}")</f>
        <v>{"typ":"lc","txt":"LC_ITEM_easter_egg_model_desc"}</v>
      </c>
      <c r="L197" s="148" t="str">
        <f>IFERROR(__xludf.DUMMYFUNCTION("""COMPUTED_VALUE"""),"{}")</f>
        <v>{}</v>
      </c>
      <c r="M197" s="148">
        <f>IFERROR(__xludf.DUMMYFUNCTION("""COMPUTED_VALUE"""),5000.0)</f>
        <v>5000</v>
      </c>
      <c r="N197" s="148">
        <f>IFERROR(__xludf.DUMMYFUNCTION("""COMPUTED_VALUE"""),5.0)</f>
        <v>5</v>
      </c>
      <c r="O197" s="148">
        <f>IFERROR(__xludf.DUMMYFUNCTION("""COMPUTED_VALUE"""),99999.0)</f>
        <v>99999</v>
      </c>
      <c r="P197" s="148">
        <f>IFERROR(__xludf.DUMMYFUNCTION("""COMPUTED_VALUE"""),99999.0)</f>
        <v>99999</v>
      </c>
      <c r="Q197" s="148" t="str">
        <f>IFERROR(__xludf.DUMMYFUNCTION("""COMPUTED_VALUE"""),"[]")</f>
        <v>[]</v>
      </c>
      <c r="R197" s="148" t="str">
        <f>IFERROR(__xludf.DUMMYFUNCTION("""COMPUTED_VALUE"""),"[""bag""]")</f>
        <v>["bag"]</v>
      </c>
      <c r="S197" s="148" t="str">
        <f>IFERROR(__xludf.DUMMYFUNCTION("""COMPUTED_VALUE"""),"{""effect"":[{""typ"":""holiday_statue"",""id"":21480201}]}")</f>
        <v>{"effect":[{"typ":"holiday_statue","id":21480201}]}</v>
      </c>
      <c r="T197" s="148">
        <f>IFERROR(__xludf.DUMMYFUNCTION("""COMPUTED_VALUE"""),-1.0)</f>
        <v>-1</v>
      </c>
      <c r="U197" s="148">
        <f>IFERROR(__xludf.DUMMYFUNCTION("""COMPUTED_VALUE"""),1.0)</f>
        <v>1</v>
      </c>
      <c r="V197" s="148" t="str">
        <f>IFERROR(__xludf.DUMMYFUNCTION("""COMPUTED_VALUE"""),"[]")</f>
        <v>[]</v>
      </c>
      <c r="W197" s="148">
        <f>IFERROR(__xludf.DUMMYFUNCTION("""COMPUTED_VALUE"""),1.174E7)</f>
        <v>11740000</v>
      </c>
      <c r="X197" s="148">
        <f>IFERROR(__xludf.DUMMYFUNCTION("""COMPUTED_VALUE"""),0.0)</f>
        <v>0</v>
      </c>
      <c r="Y197" s="148">
        <f>IFERROR(__xludf.DUMMYFUNCTION("""COMPUTED_VALUE"""),0.0)</f>
        <v>0</v>
      </c>
      <c r="Z197" s="148"/>
    </row>
    <row r="198">
      <c r="A198" s="148">
        <f>IFERROR(__xludf.DUMMYFUNCTION("""COMPUTED_VALUE"""),1.1111347E7)</f>
        <v>11111347</v>
      </c>
      <c r="B198" s="148" t="str">
        <f>IFERROR(__xludf.DUMMYFUNCTION("""COMPUTED_VALUE"""),"拓荒节挖掘机-装饰升级版本")</f>
        <v>拓荒节挖掘机-装饰升级版本</v>
      </c>
      <c r="C198" s="148"/>
      <c r="D198" s="148" t="str">
        <f>IFERROR(__xludf.DUMMYFUNCTION("""COMPUTED_VALUE"""),"statue_decorate")</f>
        <v>statue_decorate</v>
      </c>
      <c r="E198" s="148">
        <f>IFERROR(__xludf.DUMMYFUNCTION("""COMPUTED_VALUE"""),23.0)</f>
        <v>23</v>
      </c>
      <c r="F198" s="148">
        <f>IFERROR(__xludf.DUMMYFUNCTION("""COMPUTED_VALUE"""),0.0)</f>
        <v>0</v>
      </c>
      <c r="G198" s="148">
        <f>IFERROR(__xludf.DUMMYFUNCTION("""COMPUTED_VALUE"""),1.5116156E7)</f>
        <v>15116156</v>
      </c>
      <c r="H198" s="148">
        <f>IFERROR(__xludf.DUMMYFUNCTION("""COMPUTED_VALUE"""),1.5112564E7)</f>
        <v>15112564</v>
      </c>
      <c r="I198" s="148" t="str">
        <f>IFERROR(__xludf.DUMMYFUNCTION("""COMPUTED_VALUE"""),"{}")</f>
        <v>{}</v>
      </c>
      <c r="J198" s="148" t="str">
        <f>IFERROR(__xludf.DUMMYFUNCTION("""COMPUTED_VALUE"""),"{""typ"":""lc"",""txt"":""LC_ITEM_labor_decoration_item_name""}")</f>
        <v>{"typ":"lc","txt":"LC_ITEM_labor_decoration_item_name"}</v>
      </c>
      <c r="K198" s="148" t="str">
        <f>IFERROR(__xludf.DUMMYFUNCTION("""COMPUTED_VALUE"""),"{""typ"":""lc"",""txt"":""LC_ITEM_labor_decoration_item_desc""}")</f>
        <v>{"typ":"lc","txt":"LC_ITEM_labor_decoration_item_desc"}</v>
      </c>
      <c r="L198" s="148" t="str">
        <f>IFERROR(__xludf.DUMMYFUNCTION("""COMPUTED_VALUE"""),"{}")</f>
        <v>{}</v>
      </c>
      <c r="M198" s="148">
        <f>IFERROR(__xludf.DUMMYFUNCTION("""COMPUTED_VALUE"""),5000.0)</f>
        <v>5000</v>
      </c>
      <c r="N198" s="148">
        <f>IFERROR(__xludf.DUMMYFUNCTION("""COMPUTED_VALUE"""),5.0)</f>
        <v>5</v>
      </c>
      <c r="O198" s="148">
        <f>IFERROR(__xludf.DUMMYFUNCTION("""COMPUTED_VALUE"""),99999.0)</f>
        <v>99999</v>
      </c>
      <c r="P198" s="148">
        <f>IFERROR(__xludf.DUMMYFUNCTION("""COMPUTED_VALUE"""),99999.0)</f>
        <v>99999</v>
      </c>
      <c r="Q198" s="148" t="str">
        <f>IFERROR(__xludf.DUMMYFUNCTION("""COMPUTED_VALUE"""),"[]")</f>
        <v>[]</v>
      </c>
      <c r="R198" s="148" t="str">
        <f>IFERROR(__xludf.DUMMYFUNCTION("""COMPUTED_VALUE"""),"[""bag""]")</f>
        <v>["bag"]</v>
      </c>
      <c r="S198" s="148" t="str">
        <f>IFERROR(__xludf.DUMMYFUNCTION("""COMPUTED_VALUE"""),"{""effect"":[{""typ"":""holiday_statue"",""id"":21480301}]}")</f>
        <v>{"effect":[{"typ":"holiday_statue","id":21480301}]}</v>
      </c>
      <c r="T198" s="148">
        <f>IFERROR(__xludf.DUMMYFUNCTION("""COMPUTED_VALUE"""),-1.0)</f>
        <v>-1</v>
      </c>
      <c r="U198" s="148">
        <f>IFERROR(__xludf.DUMMYFUNCTION("""COMPUTED_VALUE"""),1.0)</f>
        <v>1</v>
      </c>
      <c r="V198" s="148" t="str">
        <f>IFERROR(__xludf.DUMMYFUNCTION("""COMPUTED_VALUE"""),"[]")</f>
        <v>[]</v>
      </c>
      <c r="W198" s="148">
        <f>IFERROR(__xludf.DUMMYFUNCTION("""COMPUTED_VALUE"""),1.174E7)</f>
        <v>11740000</v>
      </c>
      <c r="X198" s="148">
        <f>IFERROR(__xludf.DUMMYFUNCTION("""COMPUTED_VALUE"""),0.0)</f>
        <v>0</v>
      </c>
      <c r="Y198" s="148">
        <f>IFERROR(__xludf.DUMMYFUNCTION("""COMPUTED_VALUE"""),0.0)</f>
        <v>0</v>
      </c>
      <c r="Z198" s="148"/>
    </row>
    <row r="199">
      <c r="A199" s="148">
        <f>IFERROR(__xludf.DUMMYFUNCTION("""COMPUTED_VALUE"""),1.1111348E7)</f>
        <v>11111348</v>
      </c>
      <c r="B199" s="148" t="str">
        <f>IFERROR(__xludf.DUMMYFUNCTION("""COMPUTED_VALUE"""),"葛列格吉他雕像道具")</f>
        <v>葛列格吉他雕像道具</v>
      </c>
      <c r="C199" s="148"/>
      <c r="D199" s="148" t="str">
        <f>IFERROR(__xludf.DUMMYFUNCTION("""COMPUTED_VALUE"""),"statue_decorate")</f>
        <v>statue_decorate</v>
      </c>
      <c r="E199" s="148">
        <f>IFERROR(__xludf.DUMMYFUNCTION("""COMPUTED_VALUE"""),23.0)</f>
        <v>23</v>
      </c>
      <c r="F199" s="148">
        <f>IFERROR(__xludf.DUMMYFUNCTION("""COMPUTED_VALUE"""),0.0)</f>
        <v>0</v>
      </c>
      <c r="G199" s="148">
        <f>IFERROR(__xludf.DUMMYFUNCTION("""COMPUTED_VALUE"""),1.5116307E7)</f>
        <v>15116307</v>
      </c>
      <c r="H199" s="148">
        <f>IFERROR(__xludf.DUMMYFUNCTION("""COMPUTED_VALUE"""),1.5112564E7)</f>
        <v>15112564</v>
      </c>
      <c r="I199" s="148" t="str">
        <f>IFERROR(__xludf.DUMMYFUNCTION("""COMPUTED_VALUE"""),"{}")</f>
        <v>{}</v>
      </c>
      <c r="J199" s="148" t="str">
        <f>IFERROR(__xludf.DUMMYFUNCTION("""COMPUTED_VALUE"""),"{""typ"":""lc"",""txt"":""LC_MAP_statue_guitar_name""}")</f>
        <v>{"typ":"lc","txt":"LC_MAP_statue_guitar_name"}</v>
      </c>
      <c r="K199" s="148" t="str">
        <f>IFERROR(__xludf.DUMMYFUNCTION("""COMPUTED_VALUE"""),"{""typ"":""lc"",""txt"":""LC_MAP_statue_guitar_itemdesc""}")</f>
        <v>{"typ":"lc","txt":"LC_MAP_statue_guitar_itemdesc"}</v>
      </c>
      <c r="L199" s="148" t="str">
        <f>IFERROR(__xludf.DUMMYFUNCTION("""COMPUTED_VALUE"""),"{""typ"":""lc"",""txt"":""LC_MAP_statue_guitar_usetip""}")</f>
        <v>{"typ":"lc","txt":"LC_MAP_statue_guitar_usetip"}</v>
      </c>
      <c r="M199" s="148">
        <f>IFERROR(__xludf.DUMMYFUNCTION("""COMPUTED_VALUE"""),37500.0)</f>
        <v>37500</v>
      </c>
      <c r="N199" s="148">
        <f>IFERROR(__xludf.DUMMYFUNCTION("""COMPUTED_VALUE"""),5.0)</f>
        <v>5</v>
      </c>
      <c r="O199" s="148">
        <f>IFERROR(__xludf.DUMMYFUNCTION("""COMPUTED_VALUE"""),99999.0)</f>
        <v>99999</v>
      </c>
      <c r="P199" s="148">
        <f>IFERROR(__xludf.DUMMYFUNCTION("""COMPUTED_VALUE"""),99999.0)</f>
        <v>99999</v>
      </c>
      <c r="Q199" s="148" t="str">
        <f>IFERROR(__xludf.DUMMYFUNCTION("""COMPUTED_VALUE"""),"[]")</f>
        <v>[]</v>
      </c>
      <c r="R199" s="148" t="str">
        <f>IFERROR(__xludf.DUMMYFUNCTION("""COMPUTED_VALUE"""),"[""bag""]")</f>
        <v>["bag"]</v>
      </c>
      <c r="S199" s="148" t="str">
        <f>IFERROR(__xludf.DUMMYFUNCTION("""COMPUTED_VALUE"""),"{""effect"":[{""typ"":""holiday_statue"",""id"":21480401},{""typ"":""vm"",""id"":11151001,""val"":500}]}")</f>
        <v>{"effect":[{"typ":"holiday_statue","id":21480401},{"typ":"vm","id":11151001,"val":500}]}</v>
      </c>
      <c r="T199" s="148">
        <f>IFERROR(__xludf.DUMMYFUNCTION("""COMPUTED_VALUE"""),-1.0)</f>
        <v>-1</v>
      </c>
      <c r="U199" s="148">
        <f>IFERROR(__xludf.DUMMYFUNCTION("""COMPUTED_VALUE"""),1.0)</f>
        <v>1</v>
      </c>
      <c r="V199" s="148" t="str">
        <f>IFERROR(__xludf.DUMMYFUNCTION("""COMPUTED_VALUE"""),"[]")</f>
        <v>[]</v>
      </c>
      <c r="W199" s="148">
        <f>IFERROR(__xludf.DUMMYFUNCTION("""COMPUTED_VALUE"""),1.174E7)</f>
        <v>11740000</v>
      </c>
      <c r="X199" s="148">
        <f>IFERROR(__xludf.DUMMYFUNCTION("""COMPUTED_VALUE"""),0.0)</f>
        <v>0</v>
      </c>
      <c r="Y199" s="148">
        <f>IFERROR(__xludf.DUMMYFUNCTION("""COMPUTED_VALUE"""),0.0)</f>
        <v>0</v>
      </c>
      <c r="Z199" s="148"/>
    </row>
    <row r="200">
      <c r="A200" s="148">
        <f>IFERROR(__xludf.DUMMYFUNCTION("""COMPUTED_VALUE"""),1.1111349E7)</f>
        <v>11111349</v>
      </c>
      <c r="B200" s="148" t="str">
        <f>IFERROR(__xludf.DUMMYFUNCTION("""COMPUTED_VALUE"""),"沙滩节装饰-装饰升级版本")</f>
        <v>沙滩节装饰-装饰升级版本</v>
      </c>
      <c r="C200" s="148"/>
      <c r="D200" s="148" t="str">
        <f>IFERROR(__xludf.DUMMYFUNCTION("""COMPUTED_VALUE"""),"statue_decorate")</f>
        <v>statue_decorate</v>
      </c>
      <c r="E200" s="148">
        <f>IFERROR(__xludf.DUMMYFUNCTION("""COMPUTED_VALUE"""),23.0)</f>
        <v>23</v>
      </c>
      <c r="F200" s="148">
        <f>IFERROR(__xludf.DUMMYFUNCTION("""COMPUTED_VALUE"""),0.0)</f>
        <v>0</v>
      </c>
      <c r="G200" s="148">
        <f>IFERROR(__xludf.DUMMYFUNCTION("""COMPUTED_VALUE"""),1.5114997E7)</f>
        <v>15114997</v>
      </c>
      <c r="H200" s="148">
        <f>IFERROR(__xludf.DUMMYFUNCTION("""COMPUTED_VALUE"""),1.5112564E7)</f>
        <v>15112564</v>
      </c>
      <c r="I200" s="148" t="str">
        <f>IFERROR(__xludf.DUMMYFUNCTION("""COMPUTED_VALUE"""),"{}")</f>
        <v>{}</v>
      </c>
      <c r="J200" s="148" t="str">
        <f>IFERROR(__xludf.DUMMYFUNCTION("""COMPUTED_VALUE"""),"{""typ"":""lc"",""txt"":""LC_BUILDING_summer_2022_ornament_name""}")</f>
        <v>{"typ":"lc","txt":"LC_BUILDING_summer_2022_ornament_name"}</v>
      </c>
      <c r="K200" s="148" t="str">
        <f>IFERROR(__xludf.DUMMYFUNCTION("""COMPUTED_VALUE"""),"{""typ"":""lc"",""txt"":""LC_ITEM_summer_dec_2023_desc""}")</f>
        <v>{"typ":"lc","txt":"LC_ITEM_summer_dec_2023_desc"}</v>
      </c>
      <c r="L200" s="148" t="str">
        <f>IFERROR(__xludf.DUMMYFUNCTION("""COMPUTED_VALUE"""),"{}")</f>
        <v>{}</v>
      </c>
      <c r="M200" s="148">
        <f>IFERROR(__xludf.DUMMYFUNCTION("""COMPUTED_VALUE"""),5000.0)</f>
        <v>5000</v>
      </c>
      <c r="N200" s="148">
        <f>IFERROR(__xludf.DUMMYFUNCTION("""COMPUTED_VALUE"""),999.0)</f>
        <v>999</v>
      </c>
      <c r="O200" s="148">
        <f>IFERROR(__xludf.DUMMYFUNCTION("""COMPUTED_VALUE"""),99999.0)</f>
        <v>99999</v>
      </c>
      <c r="P200" s="148">
        <f>IFERROR(__xludf.DUMMYFUNCTION("""COMPUTED_VALUE"""),99999.0)</f>
        <v>99999</v>
      </c>
      <c r="Q200" s="148" t="str">
        <f>IFERROR(__xludf.DUMMYFUNCTION("""COMPUTED_VALUE"""),"[]")</f>
        <v>[]</v>
      </c>
      <c r="R200" s="148" t="str">
        <f>IFERROR(__xludf.DUMMYFUNCTION("""COMPUTED_VALUE"""),"[""bag""]")</f>
        <v>["bag"]</v>
      </c>
      <c r="S200" s="148" t="str">
        <f>IFERROR(__xludf.DUMMYFUNCTION("""COMPUTED_VALUE"""),"{""effect"":[{""typ"":""holiday_statue"",""id"":21480501}]}")</f>
        <v>{"effect":[{"typ":"holiday_statue","id":21480501}]}</v>
      </c>
      <c r="T200" s="148">
        <f>IFERROR(__xludf.DUMMYFUNCTION("""COMPUTED_VALUE"""),-1.0)</f>
        <v>-1</v>
      </c>
      <c r="U200" s="148">
        <f>IFERROR(__xludf.DUMMYFUNCTION("""COMPUTED_VALUE"""),1.0)</f>
        <v>1</v>
      </c>
      <c r="V200" s="148" t="str">
        <f>IFERROR(__xludf.DUMMYFUNCTION("""COMPUTED_VALUE"""),"[]")</f>
        <v>[]</v>
      </c>
      <c r="W200" s="148">
        <f>IFERROR(__xludf.DUMMYFUNCTION("""COMPUTED_VALUE"""),1.174E7)</f>
        <v>11740000</v>
      </c>
      <c r="X200" s="148">
        <f>IFERROR(__xludf.DUMMYFUNCTION("""COMPUTED_VALUE"""),0.0)</f>
        <v>0</v>
      </c>
      <c r="Y200" s="148">
        <f>IFERROR(__xludf.DUMMYFUNCTION("""COMPUTED_VALUE"""),0.0)</f>
        <v>0</v>
      </c>
      <c r="Z200" s="148"/>
    </row>
    <row r="201">
      <c r="A201" s="148">
        <f>IFERROR(__xludf.DUMMYFUNCTION("""COMPUTED_VALUE"""),1.111135E7)</f>
        <v>11111350</v>
      </c>
      <c r="B201" s="148" t="str">
        <f>IFERROR(__xludf.DUMMYFUNCTION("""COMPUTED_VALUE"""),"周年蛋糕-装饰升级版本")</f>
        <v>周年蛋糕-装饰升级版本</v>
      </c>
      <c r="C201" s="148"/>
      <c r="D201" s="148" t="str">
        <f>IFERROR(__xludf.DUMMYFUNCTION("""COMPUTED_VALUE"""),"statue_decorate")</f>
        <v>statue_decorate</v>
      </c>
      <c r="E201" s="148">
        <f>IFERROR(__xludf.DUMMYFUNCTION("""COMPUTED_VALUE"""),23.0)</f>
        <v>23</v>
      </c>
      <c r="F201" s="148">
        <f>IFERROR(__xludf.DUMMYFUNCTION("""COMPUTED_VALUE"""),0.0)</f>
        <v>0</v>
      </c>
      <c r="G201" s="148">
        <f>IFERROR(__xludf.DUMMYFUNCTION("""COMPUTED_VALUE"""),1.5116844E7)</f>
        <v>15116844</v>
      </c>
      <c r="H201" s="148">
        <f>IFERROR(__xludf.DUMMYFUNCTION("""COMPUTED_VALUE"""),1.5112564E7)</f>
        <v>15112564</v>
      </c>
      <c r="I201" s="148" t="str">
        <f>IFERROR(__xludf.DUMMYFUNCTION("""COMPUTED_VALUE"""),"{}")</f>
        <v>{}</v>
      </c>
      <c r="J201" s="148" t="str">
        <f>IFERROR(__xludf.DUMMYFUNCTION("""COMPUTED_VALUE"""),"{""typ"":""lc"",""txt"":""LC_EVENT_2023anniversary_cake_dec_name""}")</f>
        <v>{"typ":"lc","txt":"LC_EVENT_2023anniversary_cake_dec_name"}</v>
      </c>
      <c r="K201" s="148" t="str">
        <f>IFERROR(__xludf.DUMMYFUNCTION("""COMPUTED_VALUE"""),"{""typ"":""lc"",""txt"":""LC_EVENT_2023anniversary_cake_dec_dec""}")</f>
        <v>{"typ":"lc","txt":"LC_EVENT_2023anniversary_cake_dec_dec"}</v>
      </c>
      <c r="L201" s="148" t="str">
        <f>IFERROR(__xludf.DUMMYFUNCTION("""COMPUTED_VALUE"""),"{}")</f>
        <v>{}</v>
      </c>
      <c r="M201" s="148">
        <f>IFERROR(__xludf.DUMMYFUNCTION("""COMPUTED_VALUE"""),5000.0)</f>
        <v>5000</v>
      </c>
      <c r="N201" s="148">
        <f>IFERROR(__xludf.DUMMYFUNCTION("""COMPUTED_VALUE"""),999.0)</f>
        <v>999</v>
      </c>
      <c r="O201" s="148">
        <f>IFERROR(__xludf.DUMMYFUNCTION("""COMPUTED_VALUE"""),99999.0)</f>
        <v>99999</v>
      </c>
      <c r="P201" s="148">
        <f>IFERROR(__xludf.DUMMYFUNCTION("""COMPUTED_VALUE"""),99999.0)</f>
        <v>99999</v>
      </c>
      <c r="Q201" s="148" t="str">
        <f>IFERROR(__xludf.DUMMYFUNCTION("""COMPUTED_VALUE"""),"[]")</f>
        <v>[]</v>
      </c>
      <c r="R201" s="148" t="str">
        <f>IFERROR(__xludf.DUMMYFUNCTION("""COMPUTED_VALUE"""),"[""bag""]")</f>
        <v>["bag"]</v>
      </c>
      <c r="S201" s="148" t="str">
        <f>IFERROR(__xludf.DUMMYFUNCTION("""COMPUTED_VALUE"""),"{""effect"":[{""typ"":""holiday_statue"",""id"":21480601}]}")</f>
        <v>{"effect":[{"typ":"holiday_statue","id":21480601}]}</v>
      </c>
      <c r="T201" s="148">
        <f>IFERROR(__xludf.DUMMYFUNCTION("""COMPUTED_VALUE"""),-1.0)</f>
        <v>-1</v>
      </c>
      <c r="U201" s="148">
        <f>IFERROR(__xludf.DUMMYFUNCTION("""COMPUTED_VALUE"""),1.0)</f>
        <v>1</v>
      </c>
      <c r="V201" s="148" t="str">
        <f>IFERROR(__xludf.DUMMYFUNCTION("""COMPUTED_VALUE"""),"[]")</f>
        <v>[]</v>
      </c>
      <c r="W201" s="148">
        <f>IFERROR(__xludf.DUMMYFUNCTION("""COMPUTED_VALUE"""),1.174E7)</f>
        <v>11740000</v>
      </c>
      <c r="X201" s="148">
        <f>IFERROR(__xludf.DUMMYFUNCTION("""COMPUTED_VALUE"""),0.0)</f>
        <v>0</v>
      </c>
      <c r="Y201" s="148">
        <f>IFERROR(__xludf.DUMMYFUNCTION("""COMPUTED_VALUE"""),0.0)</f>
        <v>0</v>
      </c>
      <c r="Z201" s="148"/>
    </row>
    <row r="202">
      <c r="A202" s="148">
        <f>IFERROR(__xludf.DUMMYFUNCTION("""COMPUTED_VALUE"""),1.1111351E7)</f>
        <v>11111351</v>
      </c>
      <c r="B202" s="148" t="str">
        <f>IFERROR(__xludf.DUMMYFUNCTION("""COMPUTED_VALUE"""),"登月节-装饰升级版本")</f>
        <v>登月节-装饰升级版本</v>
      </c>
      <c r="C202" s="148"/>
      <c r="D202" s="148" t="str">
        <f>IFERROR(__xludf.DUMMYFUNCTION("""COMPUTED_VALUE"""),"statue_decorate")</f>
        <v>statue_decorate</v>
      </c>
      <c r="E202" s="148">
        <f>IFERROR(__xludf.DUMMYFUNCTION("""COMPUTED_VALUE"""),23.0)</f>
        <v>23</v>
      </c>
      <c r="F202" s="148">
        <f>IFERROR(__xludf.DUMMYFUNCTION("""COMPUTED_VALUE"""),0.0)</f>
        <v>0</v>
      </c>
      <c r="G202" s="148">
        <f>IFERROR(__xludf.DUMMYFUNCTION("""COMPUTED_VALUE"""),1.5116877E7)</f>
        <v>15116877</v>
      </c>
      <c r="H202" s="148">
        <f>IFERROR(__xludf.DUMMYFUNCTION("""COMPUTED_VALUE"""),1.5112564E7)</f>
        <v>15112564</v>
      </c>
      <c r="I202" s="148" t="str">
        <f>IFERROR(__xludf.DUMMYFUNCTION("""COMPUTED_VALUE"""),"{}")</f>
        <v>{}</v>
      </c>
      <c r="J202" s="148" t="str">
        <f>IFERROR(__xludf.DUMMYFUNCTION("""COMPUTED_VALUE"""),"{""typ"":""lc"",""txt"":""LC_ITEM_moon_decoration_item_name""}")</f>
        <v>{"typ":"lc","txt":"LC_ITEM_moon_decoration_item_name"}</v>
      </c>
      <c r="K202" s="148" t="str">
        <f>IFERROR(__xludf.DUMMYFUNCTION("""COMPUTED_VALUE"""),"{""typ"":""lc"",""txt"":""LC_ITEM_moon_decoration_item_desc""}")</f>
        <v>{"typ":"lc","txt":"LC_ITEM_moon_decoration_item_desc"}</v>
      </c>
      <c r="L202" s="148" t="str">
        <f>IFERROR(__xludf.DUMMYFUNCTION("""COMPUTED_VALUE"""),"{}")</f>
        <v>{}</v>
      </c>
      <c r="M202" s="148">
        <f>IFERROR(__xludf.DUMMYFUNCTION("""COMPUTED_VALUE"""),5000.0)</f>
        <v>5000</v>
      </c>
      <c r="N202" s="148">
        <f>IFERROR(__xludf.DUMMYFUNCTION("""COMPUTED_VALUE"""),999.0)</f>
        <v>999</v>
      </c>
      <c r="O202" s="148">
        <f>IFERROR(__xludf.DUMMYFUNCTION("""COMPUTED_VALUE"""),99999.0)</f>
        <v>99999</v>
      </c>
      <c r="P202" s="148">
        <f>IFERROR(__xludf.DUMMYFUNCTION("""COMPUTED_VALUE"""),99999.0)</f>
        <v>99999</v>
      </c>
      <c r="Q202" s="148" t="str">
        <f>IFERROR(__xludf.DUMMYFUNCTION("""COMPUTED_VALUE"""),"[]")</f>
        <v>[]</v>
      </c>
      <c r="R202" s="148" t="str">
        <f>IFERROR(__xludf.DUMMYFUNCTION("""COMPUTED_VALUE"""),"[""bag""]")</f>
        <v>["bag"]</v>
      </c>
      <c r="S202" s="148" t="str">
        <f>IFERROR(__xludf.DUMMYFUNCTION("""COMPUTED_VALUE"""),"{""effect"":[{""typ"":""holiday_statue"",""id"":21480701}]}")</f>
        <v>{"effect":[{"typ":"holiday_statue","id":21480701}]}</v>
      </c>
      <c r="T202" s="148">
        <f>IFERROR(__xludf.DUMMYFUNCTION("""COMPUTED_VALUE"""),-1.0)</f>
        <v>-1</v>
      </c>
      <c r="U202" s="148">
        <f>IFERROR(__xludf.DUMMYFUNCTION("""COMPUTED_VALUE"""),1.0)</f>
        <v>1</v>
      </c>
      <c r="V202" s="148" t="str">
        <f>IFERROR(__xludf.DUMMYFUNCTION("""COMPUTED_VALUE"""),"[]")</f>
        <v>[]</v>
      </c>
      <c r="W202" s="148">
        <f>IFERROR(__xludf.DUMMYFUNCTION("""COMPUTED_VALUE"""),1.174E7)</f>
        <v>11740000</v>
      </c>
      <c r="X202" s="148">
        <f>IFERROR(__xludf.DUMMYFUNCTION("""COMPUTED_VALUE"""),0.0)</f>
        <v>0</v>
      </c>
      <c r="Y202" s="148">
        <f>IFERROR(__xludf.DUMMYFUNCTION("""COMPUTED_VALUE"""),0.0)</f>
        <v>0</v>
      </c>
      <c r="Z202" s="148"/>
    </row>
    <row r="203">
      <c r="A203" s="148">
        <f>IFERROR(__xludf.DUMMYFUNCTION("""COMPUTED_VALUE"""),1.1111352E7)</f>
        <v>11111352</v>
      </c>
      <c r="B203" s="148" t="str">
        <f>IFERROR(__xludf.DUMMYFUNCTION("""COMPUTED_VALUE"""),"主城皮肤-万圣节高级皮肤2023")</f>
        <v>主城皮肤-万圣节高级皮肤2023</v>
      </c>
      <c r="C203" s="148"/>
      <c r="D203" s="148" t="str">
        <f>IFERROR(__xludf.DUMMYFUNCTION("""COMPUTED_VALUE"""),"city_skin")</f>
        <v>city_skin</v>
      </c>
      <c r="E203" s="148">
        <f>IFERROR(__xludf.DUMMYFUNCTION("""COMPUTED_VALUE"""),21.0)</f>
        <v>21</v>
      </c>
      <c r="F203" s="148">
        <f>IFERROR(__xludf.DUMMYFUNCTION("""COMPUTED_VALUE"""),400106.0)</f>
        <v>400106</v>
      </c>
      <c r="G203" s="148">
        <f>IFERROR(__xludf.DUMMYFUNCTION("""COMPUTED_VALUE"""),1.511727E7)</f>
        <v>15117270</v>
      </c>
      <c r="H203" s="148">
        <f>IFERROR(__xludf.DUMMYFUNCTION("""COMPUTED_VALUE"""),1.5112564E7)</f>
        <v>15112564</v>
      </c>
      <c r="I203" s="148" t="str">
        <f>IFERROR(__xludf.DUMMYFUNCTION("""COMPUTED_VALUE"""),"{}")</f>
        <v>{}</v>
      </c>
      <c r="J203" s="148" t="str">
        <f>IFERROR(__xludf.DUMMYFUNCTION("""COMPUTED_VALUE"""),"{""typ"":""lc"",""txt"":""LC_ITEM_2023halloween_highskin_item_name""}")</f>
        <v>{"typ":"lc","txt":"LC_ITEM_2023halloween_highskin_item_name"}</v>
      </c>
      <c r="K203" s="148" t="str">
        <f>IFERROR(__xludf.DUMMYFUNCTION("""COMPUTED_VALUE"""),"{""typ"":""lc"",""txt"":""LC_ITEM_2023halloween_highskin_desc""}")</f>
        <v>{"typ":"lc","txt":"LC_ITEM_2023halloween_highskin_desc"}</v>
      </c>
      <c r="L203" s="148" t="str">
        <f>IFERROR(__xludf.DUMMYFUNCTION("""COMPUTED_VALUE"""),"{""typ"":""lc"",""txt"":""LC_ITEM_city_skin_rocket_use_tips""}")</f>
        <v>{"typ":"lc","txt":"LC_ITEM_city_skin_rocket_use_tips"}</v>
      </c>
      <c r="M203" s="148">
        <f>IFERROR(__xludf.DUMMYFUNCTION("""COMPUTED_VALUE"""),10000.0)</f>
        <v>10000</v>
      </c>
      <c r="N203" s="148">
        <f>IFERROR(__xludf.DUMMYFUNCTION("""COMPUTED_VALUE"""),999.0)</f>
        <v>999</v>
      </c>
      <c r="O203" s="148">
        <f>IFERROR(__xludf.DUMMYFUNCTION("""COMPUTED_VALUE"""),1.0)</f>
        <v>1</v>
      </c>
      <c r="P203" s="148">
        <f>IFERROR(__xludf.DUMMYFUNCTION("""COMPUTED_VALUE"""),1.0)</f>
        <v>1</v>
      </c>
      <c r="Q203" s="148" t="str">
        <f>IFERROR(__xludf.DUMMYFUNCTION("""COMPUTED_VALUE"""),"[""bag_other""]")</f>
        <v>["bag_other"]</v>
      </c>
      <c r="R203" s="148" t="str">
        <f>IFERROR(__xludf.DUMMYFUNCTION("""COMPUTED_VALUE"""),"[""bag"",""13121023""]")</f>
        <v>["bag","13121023"]</v>
      </c>
      <c r="S203" s="148" t="str">
        <f>IFERROR(__xludf.DUMMYFUNCTION("""COMPUTED_VALUE"""),"{""effect"":[{""typ"":""city_skin"",""id"":13121023,""val"":-1},{""typ"":""item"",""id"":11111034,""val"":10}]}")</f>
        <v>{"effect":[{"typ":"city_skin","id":13121023,"val":-1},{"typ":"item","id":11111034,"val":10}]}</v>
      </c>
      <c r="T203" s="148">
        <f>IFERROR(__xludf.DUMMYFUNCTION("""COMPUTED_VALUE"""),-1.0)</f>
        <v>-1</v>
      </c>
      <c r="U203" s="148">
        <f>IFERROR(__xludf.DUMMYFUNCTION("""COMPUTED_VALUE"""),0.0)</f>
        <v>0</v>
      </c>
      <c r="V203" s="148" t="str">
        <f>IFERROR(__xludf.DUMMYFUNCTION("""COMPUTED_VALUE"""),"[]")</f>
        <v>[]</v>
      </c>
      <c r="W203" s="148">
        <f>IFERROR(__xludf.DUMMYFUNCTION("""COMPUTED_VALUE"""),1.174E7)</f>
        <v>11740000</v>
      </c>
      <c r="X203" s="148">
        <f>IFERROR(__xludf.DUMMYFUNCTION("""COMPUTED_VALUE"""),0.0)</f>
        <v>0</v>
      </c>
      <c r="Y203" s="148">
        <f>IFERROR(__xludf.DUMMYFUNCTION("""COMPUTED_VALUE"""),0.0)</f>
        <v>0</v>
      </c>
      <c r="Z203" s="148"/>
    </row>
    <row r="204">
      <c r="A204" s="148">
        <f>IFERROR(__xludf.DUMMYFUNCTION("""COMPUTED_VALUE"""),1.1111353E7)</f>
        <v>11111353</v>
      </c>
      <c r="B204" s="148" t="str">
        <f>IFERROR(__xludf.DUMMYFUNCTION("""COMPUTED_VALUE"""),"万圣节2023-装饰升级版本")</f>
        <v>万圣节2023-装饰升级版本</v>
      </c>
      <c r="C204" s="148"/>
      <c r="D204" s="148" t="str">
        <f>IFERROR(__xludf.DUMMYFUNCTION("""COMPUTED_VALUE"""),"statue_decorate")</f>
        <v>statue_decorate</v>
      </c>
      <c r="E204" s="148">
        <f>IFERROR(__xludf.DUMMYFUNCTION("""COMPUTED_VALUE"""),23.0)</f>
        <v>23</v>
      </c>
      <c r="F204" s="148">
        <f>IFERROR(__xludf.DUMMYFUNCTION("""COMPUTED_VALUE"""),0.0)</f>
        <v>0</v>
      </c>
      <c r="G204" s="148">
        <f>IFERROR(__xludf.DUMMYFUNCTION("""COMPUTED_VALUE"""),1.5115229E7)</f>
        <v>15115229</v>
      </c>
      <c r="H204" s="148">
        <f>IFERROR(__xludf.DUMMYFUNCTION("""COMPUTED_VALUE"""),1.5112564E7)</f>
        <v>15112564</v>
      </c>
      <c r="I204" s="148" t="str">
        <f>IFERROR(__xludf.DUMMYFUNCTION("""COMPUTED_VALUE"""),"{}")</f>
        <v>{}</v>
      </c>
      <c r="J204" s="148" t="str">
        <f>IFERROR(__xludf.DUMMYFUNCTION("""COMPUTED_VALUE"""),"{""typ"":""lc"",""txt"":""LC_ITEM_halloween_item_2022_name_3""}")</f>
        <v>{"typ":"lc","txt":"LC_ITEM_halloween_item_2022_name_3"}</v>
      </c>
      <c r="K204" s="148" t="str">
        <f>IFERROR(__xludf.DUMMYFUNCTION("""COMPUTED_VALUE"""),"{""typ"":""lc"",""txt"":""LC_ITEM_halloween_item_2022_desc_3""}")</f>
        <v>{"typ":"lc","txt":"LC_ITEM_halloween_item_2022_desc_3"}</v>
      </c>
      <c r="L204" s="148" t="str">
        <f>IFERROR(__xludf.DUMMYFUNCTION("""COMPUTED_VALUE"""),"{}")</f>
        <v>{}</v>
      </c>
      <c r="M204" s="148">
        <f>IFERROR(__xludf.DUMMYFUNCTION("""COMPUTED_VALUE"""),5000.0)</f>
        <v>5000</v>
      </c>
      <c r="N204" s="148">
        <f>IFERROR(__xludf.DUMMYFUNCTION("""COMPUTED_VALUE"""),999.0)</f>
        <v>999</v>
      </c>
      <c r="O204" s="148">
        <f>IFERROR(__xludf.DUMMYFUNCTION("""COMPUTED_VALUE"""),99999.0)</f>
        <v>99999</v>
      </c>
      <c r="P204" s="148">
        <f>IFERROR(__xludf.DUMMYFUNCTION("""COMPUTED_VALUE"""),99999.0)</f>
        <v>99999</v>
      </c>
      <c r="Q204" s="148" t="str">
        <f>IFERROR(__xludf.DUMMYFUNCTION("""COMPUTED_VALUE"""),"[]")</f>
        <v>[]</v>
      </c>
      <c r="R204" s="148" t="str">
        <f>IFERROR(__xludf.DUMMYFUNCTION("""COMPUTED_VALUE"""),"[""bag""]")</f>
        <v>["bag"]</v>
      </c>
      <c r="S204" s="148" t="str">
        <f>IFERROR(__xludf.DUMMYFUNCTION("""COMPUTED_VALUE"""),"{""effect"":[{""typ"":""holiday_statue"",""id"":21480801}]}")</f>
        <v>{"effect":[{"typ":"holiday_statue","id":21480801}]}</v>
      </c>
      <c r="T204" s="148">
        <f>IFERROR(__xludf.DUMMYFUNCTION("""COMPUTED_VALUE"""),-1.0)</f>
        <v>-1</v>
      </c>
      <c r="U204" s="148">
        <f>IFERROR(__xludf.DUMMYFUNCTION("""COMPUTED_VALUE"""),1.0)</f>
        <v>1</v>
      </c>
      <c r="V204" s="148" t="str">
        <f>IFERROR(__xludf.DUMMYFUNCTION("""COMPUTED_VALUE"""),"[]")</f>
        <v>[]</v>
      </c>
      <c r="W204" s="148">
        <f>IFERROR(__xludf.DUMMYFUNCTION("""COMPUTED_VALUE"""),1.174E7)</f>
        <v>11740000</v>
      </c>
      <c r="X204" s="148">
        <f>IFERROR(__xludf.DUMMYFUNCTION("""COMPUTED_VALUE"""),0.0)</f>
        <v>0</v>
      </c>
      <c r="Y204" s="148">
        <f>IFERROR(__xludf.DUMMYFUNCTION("""COMPUTED_VALUE"""),0.0)</f>
        <v>0</v>
      </c>
      <c r="Z204" s="148"/>
    </row>
    <row r="205">
      <c r="A205" s="148">
        <f>IFERROR(__xludf.DUMMYFUNCTION("""COMPUTED_VALUE"""),1.1111354E7)</f>
        <v>11111354</v>
      </c>
      <c r="B205" s="148" t="str">
        <f>IFERROR(__xludf.DUMMYFUNCTION("""COMPUTED_VALUE"""),"主城皮肤-万圣节高级皮肤2023-14天")</f>
        <v>主城皮肤-万圣节高级皮肤2023-14天</v>
      </c>
      <c r="C205" s="148"/>
      <c r="D205" s="148" t="str">
        <f>IFERROR(__xludf.DUMMYFUNCTION("""COMPUTED_VALUE"""),"city_skin")</f>
        <v>city_skin</v>
      </c>
      <c r="E205" s="148">
        <f>IFERROR(__xludf.DUMMYFUNCTION("""COMPUTED_VALUE"""),21.0)</f>
        <v>21</v>
      </c>
      <c r="F205" s="148">
        <f>IFERROR(__xludf.DUMMYFUNCTION("""COMPUTED_VALUE"""),400106.0)</f>
        <v>400106</v>
      </c>
      <c r="G205" s="148">
        <f>IFERROR(__xludf.DUMMYFUNCTION("""COMPUTED_VALUE"""),1.511727E7)</f>
        <v>15117270</v>
      </c>
      <c r="H205" s="148">
        <f>IFERROR(__xludf.DUMMYFUNCTION("""COMPUTED_VALUE"""),1.5112564E7)</f>
        <v>15112564</v>
      </c>
      <c r="I205" s="148" t="str">
        <f>IFERROR(__xludf.DUMMYFUNCTION("""COMPUTED_VALUE"""),"{""typ"":""lc"",""txt"":""LC_ITEM_time_day_upper_show"",""args"":[{""typ"":""int"",""val"":14}]}")</f>
        <v>{"typ":"lc","txt":"LC_ITEM_time_day_upper_show","args":[{"typ":"int","val":14}]}</v>
      </c>
      <c r="J205" s="148" t="str">
        <f>IFERROR(__xludf.DUMMYFUNCTION("""COMPUTED_VALUE"""),"{""typ"":""lc"",""txt"":""LC_ITEM_2023halloween_skin_item_14day""}")</f>
        <v>{"typ":"lc","txt":"LC_ITEM_2023halloween_skin_item_14day"}</v>
      </c>
      <c r="K205" s="148" t="str">
        <f>IFERROR(__xludf.DUMMYFUNCTION("""COMPUTED_VALUE"""),"{""typ"":""lc"",""txt"":""LC_ITEM_2023halloween_highskin_desc_14days""}")</f>
        <v>{"typ":"lc","txt":"LC_ITEM_2023halloween_highskin_desc_14days"}</v>
      </c>
      <c r="L205" s="148" t="str">
        <f>IFERROR(__xludf.DUMMYFUNCTION("""COMPUTED_VALUE"""),"{""typ"":""lc"",""txt"":""LC_ITEM_city_skin_rocket_use_tips""}")</f>
        <v>{"typ":"lc","txt":"LC_ITEM_city_skin_rocket_use_tips"}</v>
      </c>
      <c r="M205" s="148">
        <f>IFERROR(__xludf.DUMMYFUNCTION("""COMPUTED_VALUE"""),10000.0)</f>
        <v>10000</v>
      </c>
      <c r="N205" s="148">
        <f>IFERROR(__xludf.DUMMYFUNCTION("""COMPUTED_VALUE"""),999.0)</f>
        <v>999</v>
      </c>
      <c r="O205" s="148">
        <f>IFERROR(__xludf.DUMMYFUNCTION("""COMPUTED_VALUE"""),1.0)</f>
        <v>1</v>
      </c>
      <c r="P205" s="148">
        <f>IFERROR(__xludf.DUMMYFUNCTION("""COMPUTED_VALUE"""),1.0)</f>
        <v>1</v>
      </c>
      <c r="Q205" s="148" t="str">
        <f>IFERROR(__xludf.DUMMYFUNCTION("""COMPUTED_VALUE"""),"[""bag_other""]")</f>
        <v>["bag_other"]</v>
      </c>
      <c r="R205" s="148" t="str">
        <f>IFERROR(__xludf.DUMMYFUNCTION("""COMPUTED_VALUE"""),"[""bag"",""13121023""]")</f>
        <v>["bag","13121023"]</v>
      </c>
      <c r="S205" s="148" t="str">
        <f>IFERROR(__xludf.DUMMYFUNCTION("""COMPUTED_VALUE"""),"{""effect"":[{""typ"":""city_skin"",""id"":13121023,""val"":1209600000},{""typ"":""item"",""id"":11111021,""val"":7}]}")</f>
        <v>{"effect":[{"typ":"city_skin","id":13121023,"val":1209600000},{"typ":"item","id":11111021,"val":7}]}</v>
      </c>
      <c r="T205" s="148">
        <f>IFERROR(__xludf.DUMMYFUNCTION("""COMPUTED_VALUE"""),-1.0)</f>
        <v>-1</v>
      </c>
      <c r="U205" s="148">
        <f>IFERROR(__xludf.DUMMYFUNCTION("""COMPUTED_VALUE"""),0.0)</f>
        <v>0</v>
      </c>
      <c r="V205" s="148" t="str">
        <f>IFERROR(__xludf.DUMMYFUNCTION("""COMPUTED_VALUE"""),"[]")</f>
        <v>[]</v>
      </c>
      <c r="W205" s="148">
        <f>IFERROR(__xludf.DUMMYFUNCTION("""COMPUTED_VALUE"""),1.174E7)</f>
        <v>11740000</v>
      </c>
      <c r="X205" s="148">
        <f>IFERROR(__xludf.DUMMYFUNCTION("""COMPUTED_VALUE"""),0.0)</f>
        <v>0</v>
      </c>
      <c r="Y205" s="148">
        <f>IFERROR(__xludf.DUMMYFUNCTION("""COMPUTED_VALUE"""),0.0)</f>
        <v>0</v>
      </c>
      <c r="Z205" s="148"/>
    </row>
    <row r="206">
      <c r="A206" s="148">
        <f>IFERROR(__xludf.DUMMYFUNCTION("""COMPUTED_VALUE"""),1.1111355E7)</f>
        <v>11111355</v>
      </c>
      <c r="B206" s="148" t="str">
        <f>IFERROR(__xludf.DUMMYFUNCTION("""COMPUTED_VALUE"""),"主城皮肤-万圣节高级皮肤2023-7天")</f>
        <v>主城皮肤-万圣节高级皮肤2023-7天</v>
      </c>
      <c r="C206" s="148"/>
      <c r="D206" s="148" t="str">
        <f>IFERROR(__xludf.DUMMYFUNCTION("""COMPUTED_VALUE"""),"city_skin")</f>
        <v>city_skin</v>
      </c>
      <c r="E206" s="148">
        <f>IFERROR(__xludf.DUMMYFUNCTION("""COMPUTED_VALUE"""),21.0)</f>
        <v>21</v>
      </c>
      <c r="F206" s="148">
        <f>IFERROR(__xludf.DUMMYFUNCTION("""COMPUTED_VALUE"""),400106.0)</f>
        <v>400106</v>
      </c>
      <c r="G206" s="148">
        <f>IFERROR(__xludf.DUMMYFUNCTION("""COMPUTED_VALUE"""),1.511727E7)</f>
        <v>15117270</v>
      </c>
      <c r="H206" s="148">
        <f>IFERROR(__xludf.DUMMYFUNCTION("""COMPUTED_VALUE"""),1.5112564E7)</f>
        <v>15112564</v>
      </c>
      <c r="I206" s="148" t="str">
        <f>IFERROR(__xludf.DUMMYFUNCTION("""COMPUTED_VALUE"""),"{""typ"":""lc"",""txt"":""LC_ITEM_time_day_upper_show"",""args"":[{""typ"":""int"",""val"":7}]}")</f>
        <v>{"typ":"lc","txt":"LC_ITEM_time_day_upper_show","args":[{"typ":"int","val":7}]}</v>
      </c>
      <c r="J206" s="148" t="str">
        <f>IFERROR(__xludf.DUMMYFUNCTION("""COMPUTED_VALUE"""),"{""typ"":""lc"",""txt"":""LC_ITEM_2023halloween_skin_item_7day""}")</f>
        <v>{"typ":"lc","txt":"LC_ITEM_2023halloween_skin_item_7day"}</v>
      </c>
      <c r="K206" s="148" t="str">
        <f>IFERROR(__xludf.DUMMYFUNCTION("""COMPUTED_VALUE"""),"{""typ"":""lc"",""txt"":""LC_ITEM_2023halloween_highskin_desc_7days""}")</f>
        <v>{"typ":"lc","txt":"LC_ITEM_2023halloween_highskin_desc_7days"}</v>
      </c>
      <c r="L206" s="148" t="str">
        <f>IFERROR(__xludf.DUMMYFUNCTION("""COMPUTED_VALUE"""),"{""typ"":""lc"",""txt"":""LC_ITEM_city_skin_rocket_use_tips""}")</f>
        <v>{"typ":"lc","txt":"LC_ITEM_city_skin_rocket_use_tips"}</v>
      </c>
      <c r="M206" s="148">
        <f>IFERROR(__xludf.DUMMYFUNCTION("""COMPUTED_VALUE"""),10000.0)</f>
        <v>10000</v>
      </c>
      <c r="N206" s="148">
        <f>IFERROR(__xludf.DUMMYFUNCTION("""COMPUTED_VALUE"""),999.0)</f>
        <v>999</v>
      </c>
      <c r="O206" s="148">
        <f>IFERROR(__xludf.DUMMYFUNCTION("""COMPUTED_VALUE"""),1.0)</f>
        <v>1</v>
      </c>
      <c r="P206" s="148">
        <f>IFERROR(__xludf.DUMMYFUNCTION("""COMPUTED_VALUE"""),1.0)</f>
        <v>1</v>
      </c>
      <c r="Q206" s="148" t="str">
        <f>IFERROR(__xludf.DUMMYFUNCTION("""COMPUTED_VALUE"""),"[""bag_other""]")</f>
        <v>["bag_other"]</v>
      </c>
      <c r="R206" s="148" t="str">
        <f>IFERROR(__xludf.DUMMYFUNCTION("""COMPUTED_VALUE"""),"[""bag"",""13121023""]")</f>
        <v>["bag","13121023"]</v>
      </c>
      <c r="S206" s="148" t="str">
        <f>IFERROR(__xludf.DUMMYFUNCTION("""COMPUTED_VALUE"""),"{""effect"":[{""typ"":""city_skin"",""id"":13121023,""val"":604800000},{""typ"":""item"",""id"":11111021,""val"":3}]}")</f>
        <v>{"effect":[{"typ":"city_skin","id":13121023,"val":604800000},{"typ":"item","id":11111021,"val":3}]}</v>
      </c>
      <c r="T206" s="148">
        <f>IFERROR(__xludf.DUMMYFUNCTION("""COMPUTED_VALUE"""),-1.0)</f>
        <v>-1</v>
      </c>
      <c r="U206" s="148">
        <f>IFERROR(__xludf.DUMMYFUNCTION("""COMPUTED_VALUE"""),0.0)</f>
        <v>0</v>
      </c>
      <c r="V206" s="148" t="str">
        <f>IFERROR(__xludf.DUMMYFUNCTION("""COMPUTED_VALUE"""),"[]")</f>
        <v>[]</v>
      </c>
      <c r="W206" s="148">
        <f>IFERROR(__xludf.DUMMYFUNCTION("""COMPUTED_VALUE"""),1.174E7)</f>
        <v>11740000</v>
      </c>
      <c r="X206" s="148">
        <f>IFERROR(__xludf.DUMMYFUNCTION("""COMPUTED_VALUE"""),0.0)</f>
        <v>0</v>
      </c>
      <c r="Y206" s="148">
        <f>IFERROR(__xludf.DUMMYFUNCTION("""COMPUTED_VALUE"""),0.0)</f>
        <v>0</v>
      </c>
      <c r="Z206" s="148"/>
    </row>
    <row r="207">
      <c r="A207" s="148">
        <f>IFERROR(__xludf.DUMMYFUNCTION("""COMPUTED_VALUE"""),1.1111356E7)</f>
        <v>11111356</v>
      </c>
      <c r="B207" s="148" t="str">
        <f>IFERROR(__xludf.DUMMYFUNCTION("""COMPUTED_VALUE"""),"感恩节2023-装饰升级版本")</f>
        <v>感恩节2023-装饰升级版本</v>
      </c>
      <c r="C207" s="148"/>
      <c r="D207" s="148" t="str">
        <f>IFERROR(__xludf.DUMMYFUNCTION("""COMPUTED_VALUE"""),"statue_decorate")</f>
        <v>statue_decorate</v>
      </c>
      <c r="E207" s="148">
        <f>IFERROR(__xludf.DUMMYFUNCTION("""COMPUTED_VALUE"""),23.0)</f>
        <v>23</v>
      </c>
      <c r="F207" s="148">
        <f>IFERROR(__xludf.DUMMYFUNCTION("""COMPUTED_VALUE"""),0.0)</f>
        <v>0</v>
      </c>
      <c r="G207" s="148">
        <f>IFERROR(__xludf.DUMMYFUNCTION("""COMPUTED_VALUE"""),1.5114421E7)</f>
        <v>15114421</v>
      </c>
      <c r="H207" s="148">
        <f>IFERROR(__xludf.DUMMYFUNCTION("""COMPUTED_VALUE"""),1.5112564E7)</f>
        <v>15112564</v>
      </c>
      <c r="I207" s="148" t="str">
        <f>IFERROR(__xludf.DUMMYFUNCTION("""COMPUTED_VALUE"""),"{}")</f>
        <v>{}</v>
      </c>
      <c r="J207" s="148" t="str">
        <f>IFERROR(__xludf.DUMMYFUNCTION("""COMPUTED_VALUE"""),"{""typ"":""lc"",""txt"":""LC_ITEM_thanksgiving_2021_item_2""}")</f>
        <v>{"typ":"lc","txt":"LC_ITEM_thanksgiving_2021_item_2"}</v>
      </c>
      <c r="K207" s="148" t="str">
        <f>IFERROR(__xludf.DUMMYFUNCTION("""COMPUTED_VALUE"""),"{""typ"":""lc"",""txt"":""LC_ITEM_thanksgiving_2021_item_2_desc""}")</f>
        <v>{"typ":"lc","txt":"LC_ITEM_thanksgiving_2021_item_2_desc"}</v>
      </c>
      <c r="L207" s="148" t="str">
        <f>IFERROR(__xludf.DUMMYFUNCTION("""COMPUTED_VALUE"""),"{}")</f>
        <v>{}</v>
      </c>
      <c r="M207" s="148">
        <f>IFERROR(__xludf.DUMMYFUNCTION("""COMPUTED_VALUE"""),5000.0)</f>
        <v>5000</v>
      </c>
      <c r="N207" s="148">
        <f>IFERROR(__xludf.DUMMYFUNCTION("""COMPUTED_VALUE"""),999.0)</f>
        <v>999</v>
      </c>
      <c r="O207" s="148">
        <f>IFERROR(__xludf.DUMMYFUNCTION("""COMPUTED_VALUE"""),99999.0)</f>
        <v>99999</v>
      </c>
      <c r="P207" s="148">
        <f>IFERROR(__xludf.DUMMYFUNCTION("""COMPUTED_VALUE"""),99999.0)</f>
        <v>99999</v>
      </c>
      <c r="Q207" s="148" t="str">
        <f>IFERROR(__xludf.DUMMYFUNCTION("""COMPUTED_VALUE"""),"[]")</f>
        <v>[]</v>
      </c>
      <c r="R207" s="148" t="str">
        <f>IFERROR(__xludf.DUMMYFUNCTION("""COMPUTED_VALUE"""),"[""bag""]")</f>
        <v>["bag"]</v>
      </c>
      <c r="S207" s="148" t="str">
        <f>IFERROR(__xludf.DUMMYFUNCTION("""COMPUTED_VALUE"""),"{""effect"":[{""typ"":""holiday_statue"",""id"":21480901},{""typ"":""item"",""id"":11111021,""val"":3}]}")</f>
        <v>{"effect":[{"typ":"holiday_statue","id":21480901},{"typ":"item","id":11111021,"val":3}]}</v>
      </c>
      <c r="T207" s="148">
        <f>IFERROR(__xludf.DUMMYFUNCTION("""COMPUTED_VALUE"""),-1.0)</f>
        <v>-1</v>
      </c>
      <c r="U207" s="148">
        <f>IFERROR(__xludf.DUMMYFUNCTION("""COMPUTED_VALUE"""),1.0)</f>
        <v>1</v>
      </c>
      <c r="V207" s="148" t="str">
        <f>IFERROR(__xludf.DUMMYFUNCTION("""COMPUTED_VALUE"""),"[]")</f>
        <v>[]</v>
      </c>
      <c r="W207" s="148">
        <f>IFERROR(__xludf.DUMMYFUNCTION("""COMPUTED_VALUE"""),1.174E7)</f>
        <v>11740000</v>
      </c>
      <c r="X207" s="148">
        <f>IFERROR(__xludf.DUMMYFUNCTION("""COMPUTED_VALUE"""),0.0)</f>
        <v>0</v>
      </c>
      <c r="Y207" s="148">
        <f>IFERROR(__xludf.DUMMYFUNCTION("""COMPUTED_VALUE"""),0.0)</f>
        <v>0</v>
      </c>
      <c r="Z207" s="148"/>
    </row>
    <row r="208">
      <c r="A208" s="148">
        <f>IFERROR(__xludf.DUMMYFUNCTION("""COMPUTED_VALUE"""),1.1111357E7)</f>
        <v>11111357</v>
      </c>
      <c r="B208" s="148" t="str">
        <f>IFERROR(__xludf.DUMMYFUNCTION("""COMPUTED_VALUE"""),"个人主题-战火3天")</f>
        <v>个人主题-战火3天</v>
      </c>
      <c r="C208" s="148"/>
      <c r="D208" s="148" t="str">
        <f>IFERROR(__xludf.DUMMYFUNCTION("""COMPUTED_VALUE"""),"person_theme")</f>
        <v>person_theme</v>
      </c>
      <c r="E208" s="148">
        <f>IFERROR(__xludf.DUMMYFUNCTION("""COMPUTED_VALUE"""),0.0)</f>
        <v>0</v>
      </c>
      <c r="F208" s="148">
        <f>IFERROR(__xludf.DUMMYFUNCTION("""COMPUTED_VALUE"""),0.0)</f>
        <v>0</v>
      </c>
      <c r="G208" s="148">
        <f>IFERROR(__xludf.DUMMYFUNCTION("""COMPUTED_VALUE"""),1.51103054E8)</f>
        <v>151103054</v>
      </c>
      <c r="H208" s="148">
        <f>IFERROR(__xludf.DUMMYFUNCTION("""COMPUTED_VALUE"""),1.5112564E7)</f>
        <v>15112564</v>
      </c>
      <c r="I208" s="148" t="str">
        <f>IFERROR(__xludf.DUMMYFUNCTION("""COMPUTED_VALUE"""),"{""typ"":""lc"",""txt"":""LC_ITEM_time_day_upper_show"",""args"":[{""typ"":""int"",""val"":3}]}")</f>
        <v>{"typ":"lc","txt":"LC_ITEM_time_day_upper_show","args":[{"typ":"int","val":3}]}</v>
      </c>
      <c r="J208" s="148" t="str">
        <f>IFERROR(__xludf.DUMMYFUNCTION("""COMPUTED_VALUE"""),"{""typ"":""lc"",""txt"":""LC_ITEM_person_theme_01_name_3d""}")</f>
        <v>{"typ":"lc","txt":"LC_ITEM_person_theme_01_name_3d"}</v>
      </c>
      <c r="K208" s="148" t="str">
        <f>IFERROR(__xludf.DUMMYFUNCTION("""COMPUTED_VALUE"""),"{""typ"":""lc"",""txt"":""LC_ITEM_person_theme_01_name_3d_desc""}")</f>
        <v>{"typ":"lc","txt":"LC_ITEM_person_theme_01_name_3d_desc"}</v>
      </c>
      <c r="L208" s="148" t="str">
        <f>IFERROR(__xludf.DUMMYFUNCTION("""COMPUTED_VALUE"""),"{""typ"":""lc"",""txt"":""LC_ITEM_person_theme_01_name_3d_usetip""}")</f>
        <v>{"typ":"lc","txt":"LC_ITEM_person_theme_01_name_3d_usetip"}</v>
      </c>
      <c r="M208" s="148">
        <f>IFERROR(__xludf.DUMMYFUNCTION("""COMPUTED_VALUE"""),5000.0)</f>
        <v>5000</v>
      </c>
      <c r="N208" s="148">
        <f>IFERROR(__xludf.DUMMYFUNCTION("""COMPUTED_VALUE"""),999.0)</f>
        <v>999</v>
      </c>
      <c r="O208" s="148">
        <f>IFERROR(__xludf.DUMMYFUNCTION("""COMPUTED_VALUE"""),99999.0)</f>
        <v>99999</v>
      </c>
      <c r="P208" s="148">
        <f>IFERROR(__xludf.DUMMYFUNCTION("""COMPUTED_VALUE"""),99999.0)</f>
        <v>99999</v>
      </c>
      <c r="Q208" s="148" t="str">
        <f>IFERROR(__xludf.DUMMYFUNCTION("""COMPUTED_VALUE"""),"[""bag_other""]")</f>
        <v>["bag_other"]</v>
      </c>
      <c r="R208" s="148" t="str">
        <f>IFERROR(__xludf.DUMMYFUNCTION("""COMPUTED_VALUE"""),"[""bag""]")</f>
        <v>["bag"]</v>
      </c>
      <c r="S208" s="148" t="str">
        <f>IFERROR(__xludf.DUMMYFUNCTION("""COMPUTED_VALUE"""),"{""effect"":[{""typ"":""theme_decoratiton"",""id"":11841003,""val"":259200000}]}")</f>
        <v>{"effect":[{"typ":"theme_decoratiton","id":11841003,"val":259200000}]}</v>
      </c>
      <c r="T208" s="148">
        <f>IFERROR(__xludf.DUMMYFUNCTION("""COMPUTED_VALUE"""),-1.0)</f>
        <v>-1</v>
      </c>
      <c r="U208" s="148">
        <f>IFERROR(__xludf.DUMMYFUNCTION("""COMPUTED_VALUE"""),0.0)</f>
        <v>0</v>
      </c>
      <c r="V208" s="148" t="str">
        <f>IFERROR(__xludf.DUMMYFUNCTION("""COMPUTED_VALUE"""),"[]")</f>
        <v>[]</v>
      </c>
      <c r="W208" s="148">
        <f>IFERROR(__xludf.DUMMYFUNCTION("""COMPUTED_VALUE"""),1.174E7)</f>
        <v>11740000</v>
      </c>
      <c r="X208" s="148">
        <f>IFERROR(__xludf.DUMMYFUNCTION("""COMPUTED_VALUE"""),0.0)</f>
        <v>0</v>
      </c>
      <c r="Y208" s="148">
        <f>IFERROR(__xludf.DUMMYFUNCTION("""COMPUTED_VALUE"""),0.0)</f>
        <v>0</v>
      </c>
      <c r="Z208" s="148"/>
    </row>
    <row r="209">
      <c r="A209" s="148">
        <f>IFERROR(__xludf.DUMMYFUNCTION("""COMPUTED_VALUE"""),1.1111358E7)</f>
        <v>11111358</v>
      </c>
      <c r="B209" s="148" t="str">
        <f>IFERROR(__xludf.DUMMYFUNCTION("""COMPUTED_VALUE"""),"个人主题-战火30天")</f>
        <v>个人主题-战火30天</v>
      </c>
      <c r="C209" s="148"/>
      <c r="D209" s="148" t="str">
        <f>IFERROR(__xludf.DUMMYFUNCTION("""COMPUTED_VALUE"""),"person_theme")</f>
        <v>person_theme</v>
      </c>
      <c r="E209" s="148">
        <f>IFERROR(__xludf.DUMMYFUNCTION("""COMPUTED_VALUE"""),0.0)</f>
        <v>0</v>
      </c>
      <c r="F209" s="148">
        <f>IFERROR(__xludf.DUMMYFUNCTION("""COMPUTED_VALUE"""),0.0)</f>
        <v>0</v>
      </c>
      <c r="G209" s="148">
        <f>IFERROR(__xludf.DUMMYFUNCTION("""COMPUTED_VALUE"""),1.51103054E8)</f>
        <v>151103054</v>
      </c>
      <c r="H209" s="148">
        <f>IFERROR(__xludf.DUMMYFUNCTION("""COMPUTED_VALUE"""),1.5112564E7)</f>
        <v>15112564</v>
      </c>
      <c r="I209" s="148" t="str">
        <f>IFERROR(__xludf.DUMMYFUNCTION("""COMPUTED_VALUE"""),"{""typ"":""lc"",""txt"":""LC_ITEM_time_day_upper_show"",""args"":[{""typ"":""int"",""val"":30}]}")</f>
        <v>{"typ":"lc","txt":"LC_ITEM_time_day_upper_show","args":[{"typ":"int","val":30}]}</v>
      </c>
      <c r="J209" s="148" t="str">
        <f>IFERROR(__xludf.DUMMYFUNCTION("""COMPUTED_VALUE"""),"{""typ"":""lc"",""txt"":""LC_ITEM_person_theme_01_name_30d""}")</f>
        <v>{"typ":"lc","txt":"LC_ITEM_person_theme_01_name_30d"}</v>
      </c>
      <c r="K209" s="148" t="str">
        <f>IFERROR(__xludf.DUMMYFUNCTION("""COMPUTED_VALUE"""),"{""typ"":""lc"",""txt"":""LC_ITEM_person_theme_01_name_30d_desc""}")</f>
        <v>{"typ":"lc","txt":"LC_ITEM_person_theme_01_name_30d_desc"}</v>
      </c>
      <c r="L209" s="148" t="str">
        <f>IFERROR(__xludf.DUMMYFUNCTION("""COMPUTED_VALUE"""),"{""typ"":""lc"",""txt"":""LC_ITEM_person_theme_01_name_30d_usetip""}")</f>
        <v>{"typ":"lc","txt":"LC_ITEM_person_theme_01_name_30d_usetip"}</v>
      </c>
      <c r="M209" s="148">
        <f>IFERROR(__xludf.DUMMYFUNCTION("""COMPUTED_VALUE"""),5000.0)</f>
        <v>5000</v>
      </c>
      <c r="N209" s="148">
        <f>IFERROR(__xludf.DUMMYFUNCTION("""COMPUTED_VALUE"""),999.0)</f>
        <v>999</v>
      </c>
      <c r="O209" s="148">
        <f>IFERROR(__xludf.DUMMYFUNCTION("""COMPUTED_VALUE"""),99999.0)</f>
        <v>99999</v>
      </c>
      <c r="P209" s="148">
        <f>IFERROR(__xludf.DUMMYFUNCTION("""COMPUTED_VALUE"""),99999.0)</f>
        <v>99999</v>
      </c>
      <c r="Q209" s="148" t="str">
        <f>IFERROR(__xludf.DUMMYFUNCTION("""COMPUTED_VALUE"""),"[""bag_other""]")</f>
        <v>["bag_other"]</v>
      </c>
      <c r="R209" s="148" t="str">
        <f>IFERROR(__xludf.DUMMYFUNCTION("""COMPUTED_VALUE"""),"[""bag""]")</f>
        <v>["bag"]</v>
      </c>
      <c r="S209" s="148" t="str">
        <f>IFERROR(__xludf.DUMMYFUNCTION("""COMPUTED_VALUE"""),"{""effect"":[{""typ"":""theme_decoratiton"",""id"":11841003,""val"":2592000000}]}")</f>
        <v>{"effect":[{"typ":"theme_decoratiton","id":11841003,"val":2592000000}]}</v>
      </c>
      <c r="T209" s="148">
        <f>IFERROR(__xludf.DUMMYFUNCTION("""COMPUTED_VALUE"""),-1.0)</f>
        <v>-1</v>
      </c>
      <c r="U209" s="148">
        <f>IFERROR(__xludf.DUMMYFUNCTION("""COMPUTED_VALUE"""),0.0)</f>
        <v>0</v>
      </c>
      <c r="V209" s="148" t="str">
        <f>IFERROR(__xludf.DUMMYFUNCTION("""COMPUTED_VALUE"""),"[]")</f>
        <v>[]</v>
      </c>
      <c r="W209" s="148">
        <f>IFERROR(__xludf.DUMMYFUNCTION("""COMPUTED_VALUE"""),1.174E7)</f>
        <v>11740000</v>
      </c>
      <c r="X209" s="148">
        <f>IFERROR(__xludf.DUMMYFUNCTION("""COMPUTED_VALUE"""),0.0)</f>
        <v>0</v>
      </c>
      <c r="Y209" s="148">
        <f>IFERROR(__xludf.DUMMYFUNCTION("""COMPUTED_VALUE"""),0.0)</f>
        <v>0</v>
      </c>
      <c r="Z209" s="148"/>
    </row>
    <row r="210">
      <c r="A210" s="148">
        <f>IFERROR(__xludf.DUMMYFUNCTION("""COMPUTED_VALUE"""),1.1111359E7)</f>
        <v>11111359</v>
      </c>
      <c r="B210" s="148" t="str">
        <f>IFERROR(__xludf.DUMMYFUNCTION("""COMPUTED_VALUE"""),"战争主题-使命3天")</f>
        <v>战争主题-使命3天</v>
      </c>
      <c r="C210" s="148"/>
      <c r="D210" s="148" t="str">
        <f>IFERROR(__xludf.DUMMYFUNCTION("""COMPUTED_VALUE"""),"war_theme")</f>
        <v>war_theme</v>
      </c>
      <c r="E210" s="148">
        <f>IFERROR(__xludf.DUMMYFUNCTION("""COMPUTED_VALUE"""),0.0)</f>
        <v>0</v>
      </c>
      <c r="F210" s="148">
        <f>IFERROR(__xludf.DUMMYFUNCTION("""COMPUTED_VALUE"""),0.0)</f>
        <v>0</v>
      </c>
      <c r="G210" s="148">
        <f>IFERROR(__xludf.DUMMYFUNCTION("""COMPUTED_VALUE"""),1.51103055E8)</f>
        <v>151103055</v>
      </c>
      <c r="H210" s="148">
        <f>IFERROR(__xludf.DUMMYFUNCTION("""COMPUTED_VALUE"""),1.5112564E7)</f>
        <v>15112564</v>
      </c>
      <c r="I210" s="148" t="str">
        <f>IFERROR(__xludf.DUMMYFUNCTION("""COMPUTED_VALUE"""),"{""typ"":""lc"",""txt"":""LC_ITEM_time_day_upper_show"",""args"":[{""typ"":""int"",""val"":3}]}")</f>
        <v>{"typ":"lc","txt":"LC_ITEM_time_day_upper_show","args":[{"typ":"int","val":3}]}</v>
      </c>
      <c r="J210" s="148" t="str">
        <f>IFERROR(__xludf.DUMMYFUNCTION("""COMPUTED_VALUE"""),"{""typ"":""lc"",""txt"":""LC_ITEM_war_theme_01_name_3d""}")</f>
        <v>{"typ":"lc","txt":"LC_ITEM_war_theme_01_name_3d"}</v>
      </c>
      <c r="K210" s="148" t="str">
        <f>IFERROR(__xludf.DUMMYFUNCTION("""COMPUTED_VALUE"""),"{""typ"":""lc"",""txt"":""LC_ITEM_war_theme_01_name_3d_desc""}")</f>
        <v>{"typ":"lc","txt":"LC_ITEM_war_theme_01_name_3d_desc"}</v>
      </c>
      <c r="L210" s="148" t="str">
        <f>IFERROR(__xludf.DUMMYFUNCTION("""COMPUTED_VALUE"""),"{""typ"":""lc"",""txt"":""LC_ITEM_war_theme_01_name_3d_usetip""}")</f>
        <v>{"typ":"lc","txt":"LC_ITEM_war_theme_01_name_3d_usetip"}</v>
      </c>
      <c r="M210" s="148">
        <f>IFERROR(__xludf.DUMMYFUNCTION("""COMPUTED_VALUE"""),5000.0)</f>
        <v>5000</v>
      </c>
      <c r="N210" s="148">
        <f>IFERROR(__xludf.DUMMYFUNCTION("""COMPUTED_VALUE"""),999.0)</f>
        <v>999</v>
      </c>
      <c r="O210" s="148">
        <f>IFERROR(__xludf.DUMMYFUNCTION("""COMPUTED_VALUE"""),99999.0)</f>
        <v>99999</v>
      </c>
      <c r="P210" s="148">
        <f>IFERROR(__xludf.DUMMYFUNCTION("""COMPUTED_VALUE"""),99999.0)</f>
        <v>99999</v>
      </c>
      <c r="Q210" s="148" t="str">
        <f>IFERROR(__xludf.DUMMYFUNCTION("""COMPUTED_VALUE"""),"[""bag_other""]")</f>
        <v>["bag_other"]</v>
      </c>
      <c r="R210" s="148" t="str">
        <f>IFERROR(__xludf.DUMMYFUNCTION("""COMPUTED_VALUE"""),"[""bag""]")</f>
        <v>["bag"]</v>
      </c>
      <c r="S210" s="148" t="str">
        <f>IFERROR(__xludf.DUMMYFUNCTION("""COMPUTED_VALUE"""),"{""effect"":[{""typ"":""theme_decoratiton"",""id"":11841004,""val"":259200000}]}")</f>
        <v>{"effect":[{"typ":"theme_decoratiton","id":11841004,"val":259200000}]}</v>
      </c>
      <c r="T210" s="148">
        <f>IFERROR(__xludf.DUMMYFUNCTION("""COMPUTED_VALUE"""),-1.0)</f>
        <v>-1</v>
      </c>
      <c r="U210" s="148">
        <f>IFERROR(__xludf.DUMMYFUNCTION("""COMPUTED_VALUE"""),0.0)</f>
        <v>0</v>
      </c>
      <c r="V210" s="148" t="str">
        <f>IFERROR(__xludf.DUMMYFUNCTION("""COMPUTED_VALUE"""),"[]")</f>
        <v>[]</v>
      </c>
      <c r="W210" s="148">
        <f>IFERROR(__xludf.DUMMYFUNCTION("""COMPUTED_VALUE"""),1.174E7)</f>
        <v>11740000</v>
      </c>
      <c r="X210" s="148">
        <f>IFERROR(__xludf.DUMMYFUNCTION("""COMPUTED_VALUE"""),0.0)</f>
        <v>0</v>
      </c>
      <c r="Y210" s="148">
        <f>IFERROR(__xludf.DUMMYFUNCTION("""COMPUTED_VALUE"""),0.0)</f>
        <v>0</v>
      </c>
      <c r="Z210" s="148"/>
    </row>
    <row r="211">
      <c r="A211" s="148">
        <f>IFERROR(__xludf.DUMMYFUNCTION("""COMPUTED_VALUE"""),1.111136E7)</f>
        <v>11111360</v>
      </c>
      <c r="B211" s="148" t="str">
        <f>IFERROR(__xludf.DUMMYFUNCTION("""COMPUTED_VALUE"""),"战争主题-使命30天")</f>
        <v>战争主题-使命30天</v>
      </c>
      <c r="C211" s="148"/>
      <c r="D211" s="148" t="str">
        <f>IFERROR(__xludf.DUMMYFUNCTION("""COMPUTED_VALUE"""),"war_theme")</f>
        <v>war_theme</v>
      </c>
      <c r="E211" s="148">
        <f>IFERROR(__xludf.DUMMYFUNCTION("""COMPUTED_VALUE"""),0.0)</f>
        <v>0</v>
      </c>
      <c r="F211" s="148">
        <f>IFERROR(__xludf.DUMMYFUNCTION("""COMPUTED_VALUE"""),0.0)</f>
        <v>0</v>
      </c>
      <c r="G211" s="148">
        <f>IFERROR(__xludf.DUMMYFUNCTION("""COMPUTED_VALUE"""),1.51103055E8)</f>
        <v>151103055</v>
      </c>
      <c r="H211" s="148">
        <f>IFERROR(__xludf.DUMMYFUNCTION("""COMPUTED_VALUE"""),1.5112564E7)</f>
        <v>15112564</v>
      </c>
      <c r="I211" s="148" t="str">
        <f>IFERROR(__xludf.DUMMYFUNCTION("""COMPUTED_VALUE"""),"{""typ"":""lc"",""txt"":""LC_ITEM_time_day_upper_show"",""args"":[{""typ"":""int"",""val"":30}]}")</f>
        <v>{"typ":"lc","txt":"LC_ITEM_time_day_upper_show","args":[{"typ":"int","val":30}]}</v>
      </c>
      <c r="J211" s="148" t="str">
        <f>IFERROR(__xludf.DUMMYFUNCTION("""COMPUTED_VALUE"""),"{""typ"":""lc"",""txt"":""LC_ITEM_war_theme_01_name_30d""}")</f>
        <v>{"typ":"lc","txt":"LC_ITEM_war_theme_01_name_30d"}</v>
      </c>
      <c r="K211" s="148" t="str">
        <f>IFERROR(__xludf.DUMMYFUNCTION("""COMPUTED_VALUE"""),"{""typ"":""lc"",""txt"":""LC_ITEM_war_theme_01_name_30d_desc""}")</f>
        <v>{"typ":"lc","txt":"LC_ITEM_war_theme_01_name_30d_desc"}</v>
      </c>
      <c r="L211" s="148" t="str">
        <f>IFERROR(__xludf.DUMMYFUNCTION("""COMPUTED_VALUE"""),"{""typ"":""lc"",""txt"":""LC_ITEM_war_theme_01_name_30d_usetip""}")</f>
        <v>{"typ":"lc","txt":"LC_ITEM_war_theme_01_name_30d_usetip"}</v>
      </c>
      <c r="M211" s="148">
        <f>IFERROR(__xludf.DUMMYFUNCTION("""COMPUTED_VALUE"""),5000.0)</f>
        <v>5000</v>
      </c>
      <c r="N211" s="148">
        <f>IFERROR(__xludf.DUMMYFUNCTION("""COMPUTED_VALUE"""),999.0)</f>
        <v>999</v>
      </c>
      <c r="O211" s="148">
        <f>IFERROR(__xludf.DUMMYFUNCTION("""COMPUTED_VALUE"""),99999.0)</f>
        <v>99999</v>
      </c>
      <c r="P211" s="148">
        <f>IFERROR(__xludf.DUMMYFUNCTION("""COMPUTED_VALUE"""),99999.0)</f>
        <v>99999</v>
      </c>
      <c r="Q211" s="148" t="str">
        <f>IFERROR(__xludf.DUMMYFUNCTION("""COMPUTED_VALUE"""),"[""bag_other""]")</f>
        <v>["bag_other"]</v>
      </c>
      <c r="R211" s="148" t="str">
        <f>IFERROR(__xludf.DUMMYFUNCTION("""COMPUTED_VALUE"""),"[""bag""]")</f>
        <v>["bag"]</v>
      </c>
      <c r="S211" s="148" t="str">
        <f>IFERROR(__xludf.DUMMYFUNCTION("""COMPUTED_VALUE"""),"{""effect"":[{""typ"":""theme_decoratiton"",""id"":11841004,""val"":2592000000}]}")</f>
        <v>{"effect":[{"typ":"theme_decoratiton","id":11841004,"val":2592000000}]}</v>
      </c>
      <c r="T211" s="148">
        <f>IFERROR(__xludf.DUMMYFUNCTION("""COMPUTED_VALUE"""),-1.0)</f>
        <v>-1</v>
      </c>
      <c r="U211" s="148">
        <f>IFERROR(__xludf.DUMMYFUNCTION("""COMPUTED_VALUE"""),0.0)</f>
        <v>0</v>
      </c>
      <c r="V211" s="148" t="str">
        <f>IFERROR(__xludf.DUMMYFUNCTION("""COMPUTED_VALUE"""),"[]")</f>
        <v>[]</v>
      </c>
      <c r="W211" s="148">
        <f>IFERROR(__xludf.DUMMYFUNCTION("""COMPUTED_VALUE"""),1.174E7)</f>
        <v>11740000</v>
      </c>
      <c r="X211" s="148">
        <f>IFERROR(__xludf.DUMMYFUNCTION("""COMPUTED_VALUE"""),0.0)</f>
        <v>0</v>
      </c>
      <c r="Y211" s="148">
        <f>IFERROR(__xludf.DUMMYFUNCTION("""COMPUTED_VALUE"""),0.0)</f>
        <v>0</v>
      </c>
      <c r="Z211" s="148"/>
    </row>
    <row r="212">
      <c r="A212" s="148">
        <f>IFERROR(__xludf.DUMMYFUNCTION("""COMPUTED_VALUE"""),1.1112001E7)</f>
        <v>11112001</v>
      </c>
      <c r="B212" s="148" t="str">
        <f>IFERROR(__xludf.DUMMYFUNCTION("""COMPUTED_VALUE"""),"幸运铃铛-2023年圣诞节BP升级道具")</f>
        <v>幸运铃铛-2023年圣诞节BP升级道具</v>
      </c>
      <c r="C212" s="148"/>
      <c r="D212" s="148" t="str">
        <f>IFERROR(__xludf.DUMMYFUNCTION("""COMPUTED_VALUE"""),"battle_pass_exp")</f>
        <v>battle_pass_exp</v>
      </c>
      <c r="E212" s="148">
        <f>IFERROR(__xludf.DUMMYFUNCTION("""COMPUTED_VALUE"""),0.0)</f>
        <v>0</v>
      </c>
      <c r="F212" s="148">
        <f>IFERROR(__xludf.DUMMYFUNCTION("""COMPUTED_VALUE"""),405225.0)</f>
        <v>405225</v>
      </c>
      <c r="G212" s="148">
        <f>IFERROR(__xludf.DUMMYFUNCTION("""COMPUTED_VALUE"""),1.5114479E7)</f>
        <v>15114479</v>
      </c>
      <c r="H212" s="148">
        <f>IFERROR(__xludf.DUMMYFUNCTION("""COMPUTED_VALUE"""),1.5112563E7)</f>
        <v>15112563</v>
      </c>
      <c r="I212" s="148" t="str">
        <f>IFERROR(__xludf.DUMMYFUNCTION("""COMPUTED_VALUE"""),"{}")</f>
        <v>{}</v>
      </c>
      <c r="J212" s="148" t="str">
        <f>IFERROR(__xludf.DUMMYFUNCTION("""COMPUTED_VALUE"""),"{""typ"":""lc"",""txt"":""LC_ITEM_winter_event_2022_battlepass_item_name""}")</f>
        <v>{"typ":"lc","txt":"LC_ITEM_winter_event_2022_battlepass_item_name"}</v>
      </c>
      <c r="K212" s="148" t="str">
        <f>IFERROR(__xludf.DUMMYFUNCTION("""COMPUTED_VALUE"""),"{""typ"":""lc"",""txt"":""LC_ITEM_winter_event_2022_battlepass_item_desc""}")</f>
        <v>{"typ":"lc","txt":"LC_ITEM_winter_event_2022_battlepass_item_desc"}</v>
      </c>
      <c r="L212" s="148" t="str">
        <f>IFERROR(__xludf.DUMMYFUNCTION("""COMPUTED_VALUE"""),"{}")</f>
        <v>{}</v>
      </c>
      <c r="M212" s="148">
        <f>IFERROR(__xludf.DUMMYFUNCTION("""COMPUTED_VALUE"""),35.0)</f>
        <v>35</v>
      </c>
      <c r="N212" s="148">
        <f>IFERROR(__xludf.DUMMYFUNCTION("""COMPUTED_VALUE"""),999999.0)</f>
        <v>999999</v>
      </c>
      <c r="O212" s="148">
        <f>IFERROR(__xludf.DUMMYFUNCTION("""COMPUTED_VALUE"""),99999.0)</f>
        <v>99999</v>
      </c>
      <c r="P212" s="148">
        <f>IFERROR(__xludf.DUMMYFUNCTION("""COMPUTED_VALUE"""),99999.0)</f>
        <v>99999</v>
      </c>
      <c r="Q212" s="148" t="str">
        <f>IFERROR(__xludf.DUMMYFUNCTION("""COMPUTED_VALUE"""),"[""bag_other""]")</f>
        <v>["bag_other"]</v>
      </c>
      <c r="R212" s="148" t="str">
        <f>IFERROR(__xludf.DUMMYFUNCTION("""COMPUTED_VALUE"""),"[""bag""]")</f>
        <v>["bag"]</v>
      </c>
      <c r="S212" s="148" t="str">
        <f>IFERROR(__xludf.DUMMYFUNCTION("""COMPUTED_VALUE"""),"{}")</f>
        <v>{}</v>
      </c>
      <c r="T212" s="148">
        <f>IFERROR(__xludf.DUMMYFUNCTION("""COMPUTED_VALUE"""),-1.0)</f>
        <v>-1</v>
      </c>
      <c r="U212" s="148">
        <f>IFERROR(__xludf.DUMMYFUNCTION("""COMPUTED_VALUE"""),0.0)</f>
        <v>0</v>
      </c>
      <c r="V212" s="148" t="str">
        <f>IFERROR(__xludf.DUMMYFUNCTION("""COMPUTED_VALUE"""),"[]")</f>
        <v>[]</v>
      </c>
      <c r="W212" s="148">
        <f>IFERROR(__xludf.DUMMYFUNCTION("""COMPUTED_VALUE"""),1.174E7)</f>
        <v>11740000</v>
      </c>
      <c r="X212" s="148">
        <f>IFERROR(__xludf.DUMMYFUNCTION("""COMPUTED_VALUE"""),0.0)</f>
        <v>0</v>
      </c>
      <c r="Y212" s="148">
        <f>IFERROR(__xludf.DUMMYFUNCTION("""COMPUTED_VALUE"""),0.0)</f>
        <v>0</v>
      </c>
      <c r="Z212" s="148"/>
    </row>
    <row r="213">
      <c r="A213" s="148">
        <f>IFERROR(__xludf.DUMMYFUNCTION("""COMPUTED_VALUE"""),1.1112002E7)</f>
        <v>11112002</v>
      </c>
      <c r="B213" s="148" t="str">
        <f>IFERROR(__xludf.DUMMYFUNCTION("""COMPUTED_VALUE"""),"2023冬日晚会BattlePass-初级通行证")</f>
        <v>2023冬日晚会BattlePass-初级通行证</v>
      </c>
      <c r="C213" s="148"/>
      <c r="D213" s="148" t="str">
        <f>IFERROR(__xludf.DUMMYFUNCTION("""COMPUTED_VALUE"""),"battle_pass_card")</f>
        <v>battle_pass_card</v>
      </c>
      <c r="E213" s="148">
        <f>IFERROR(__xludf.DUMMYFUNCTION("""COMPUTED_VALUE"""),0.0)</f>
        <v>0</v>
      </c>
      <c r="F213" s="148">
        <f>IFERROR(__xludf.DUMMYFUNCTION("""COMPUTED_VALUE"""),0.0)</f>
        <v>0</v>
      </c>
      <c r="G213" s="148">
        <f>IFERROR(__xludf.DUMMYFUNCTION("""COMPUTED_VALUE"""),1.5114479E7)</f>
        <v>15114479</v>
      </c>
      <c r="H213" s="148">
        <f>IFERROR(__xludf.DUMMYFUNCTION("""COMPUTED_VALUE"""),1.5112563E7)</f>
        <v>15112563</v>
      </c>
      <c r="I213" s="148" t="str">
        <f>IFERROR(__xludf.DUMMYFUNCTION("""COMPUTED_VALUE"""),"{}")</f>
        <v>{}</v>
      </c>
      <c r="J213" s="148" t="str">
        <f>IFERROR(__xludf.DUMMYFUNCTION("""COMPUTED_VALUE"""),"{""typ"":""lc"",""txt"":""LC_IAP_luxury_2022_winter_gift""}")</f>
        <v>{"typ":"lc","txt":"LC_IAP_luxury_2022_winter_gift"}</v>
      </c>
      <c r="K213" s="148" t="str">
        <f>IFERROR(__xludf.DUMMYFUNCTION("""COMPUTED_VALUE"""),"{}")</f>
        <v>{}</v>
      </c>
      <c r="L213" s="148" t="str">
        <f>IFERROR(__xludf.DUMMYFUNCTION("""COMPUTED_VALUE"""),"{}")</f>
        <v>{}</v>
      </c>
      <c r="M213" s="148">
        <f>IFERROR(__xludf.DUMMYFUNCTION("""COMPUTED_VALUE"""),10.0)</f>
        <v>10</v>
      </c>
      <c r="N213" s="148">
        <f>IFERROR(__xludf.DUMMYFUNCTION("""COMPUTED_VALUE"""),999999.0)</f>
        <v>999999</v>
      </c>
      <c r="O213" s="148">
        <f>IFERROR(__xludf.DUMMYFUNCTION("""COMPUTED_VALUE"""),99999.0)</f>
        <v>99999</v>
      </c>
      <c r="P213" s="148">
        <f>IFERROR(__xludf.DUMMYFUNCTION("""COMPUTED_VALUE"""),9999.0)</f>
        <v>9999</v>
      </c>
      <c r="Q213" s="148" t="str">
        <f>IFERROR(__xludf.DUMMYFUNCTION("""COMPUTED_VALUE"""),"[]")</f>
        <v>[]</v>
      </c>
      <c r="R213" s="148" t="str">
        <f>IFERROR(__xludf.DUMMYFUNCTION("""COMPUTED_VALUE"""),"[]")</f>
        <v>[]</v>
      </c>
      <c r="S213" s="148" t="str">
        <f>IFERROR(__xludf.DUMMYFUNCTION("""COMPUTED_VALUE"""),"{}")</f>
        <v>{}</v>
      </c>
      <c r="T213" s="148">
        <f>IFERROR(__xludf.DUMMYFUNCTION("""COMPUTED_VALUE"""),-1.0)</f>
        <v>-1</v>
      </c>
      <c r="U213" s="148">
        <f>IFERROR(__xludf.DUMMYFUNCTION("""COMPUTED_VALUE"""),1.0)</f>
        <v>1</v>
      </c>
      <c r="V213" s="148" t="str">
        <f>IFERROR(__xludf.DUMMYFUNCTION("""COMPUTED_VALUE"""),"[]")</f>
        <v>[]</v>
      </c>
      <c r="W213" s="148">
        <f>IFERROR(__xludf.DUMMYFUNCTION("""COMPUTED_VALUE"""),1.174E7)</f>
        <v>11740000</v>
      </c>
      <c r="X213" s="148">
        <f>IFERROR(__xludf.DUMMYFUNCTION("""COMPUTED_VALUE"""),0.0)</f>
        <v>0</v>
      </c>
      <c r="Y213" s="148">
        <f>IFERROR(__xludf.DUMMYFUNCTION("""COMPUTED_VALUE"""),0.0)</f>
        <v>0</v>
      </c>
      <c r="Z213" s="148"/>
    </row>
    <row r="214">
      <c r="A214" s="148">
        <f>IFERROR(__xludf.DUMMYFUNCTION("""COMPUTED_VALUE"""),1.1112003E7)</f>
        <v>11112003</v>
      </c>
      <c r="B214" s="148" t="str">
        <f>IFERROR(__xludf.DUMMYFUNCTION("""COMPUTED_VALUE"""),"2023冬日晚会BattlePass-高级通行证")</f>
        <v>2023冬日晚会BattlePass-高级通行证</v>
      </c>
      <c r="C214" s="148"/>
      <c r="D214" s="148" t="str">
        <f>IFERROR(__xludf.DUMMYFUNCTION("""COMPUTED_VALUE"""),"battle_pass_card")</f>
        <v>battle_pass_card</v>
      </c>
      <c r="E214" s="148">
        <f>IFERROR(__xludf.DUMMYFUNCTION("""COMPUTED_VALUE"""),0.0)</f>
        <v>0</v>
      </c>
      <c r="F214" s="148">
        <f>IFERROR(__xludf.DUMMYFUNCTION("""COMPUTED_VALUE"""),0.0)</f>
        <v>0</v>
      </c>
      <c r="G214" s="148">
        <f>IFERROR(__xludf.DUMMYFUNCTION("""COMPUTED_VALUE"""),1.5114479E7)</f>
        <v>15114479</v>
      </c>
      <c r="H214" s="148">
        <f>IFERROR(__xludf.DUMMYFUNCTION("""COMPUTED_VALUE"""),1.5112563E7)</f>
        <v>15112563</v>
      </c>
      <c r="I214" s="148" t="str">
        <f>IFERROR(__xludf.DUMMYFUNCTION("""COMPUTED_VALUE"""),"{}")</f>
        <v>{}</v>
      </c>
      <c r="J214" s="148" t="str">
        <f>IFERROR(__xludf.DUMMYFUNCTION("""COMPUTED_VALUE"""),"{""typ"":""lc"",""txt"":""LC_IAP_luxury_2022_winter_gift""}")</f>
        <v>{"typ":"lc","txt":"LC_IAP_luxury_2022_winter_gift"}</v>
      </c>
      <c r="K214" s="148" t="str">
        <f>IFERROR(__xludf.DUMMYFUNCTION("""COMPUTED_VALUE"""),"{}")</f>
        <v>{}</v>
      </c>
      <c r="L214" s="148" t="str">
        <f>IFERROR(__xludf.DUMMYFUNCTION("""COMPUTED_VALUE"""),"{}")</f>
        <v>{}</v>
      </c>
      <c r="M214" s="148">
        <f>IFERROR(__xludf.DUMMYFUNCTION("""COMPUTED_VALUE"""),10.0)</f>
        <v>10</v>
      </c>
      <c r="N214" s="148">
        <f>IFERROR(__xludf.DUMMYFUNCTION("""COMPUTED_VALUE"""),999999.0)</f>
        <v>999999</v>
      </c>
      <c r="O214" s="148">
        <f>IFERROR(__xludf.DUMMYFUNCTION("""COMPUTED_VALUE"""),99999.0)</f>
        <v>99999</v>
      </c>
      <c r="P214" s="148">
        <f>IFERROR(__xludf.DUMMYFUNCTION("""COMPUTED_VALUE"""),9999.0)</f>
        <v>9999</v>
      </c>
      <c r="Q214" s="148" t="str">
        <f>IFERROR(__xludf.DUMMYFUNCTION("""COMPUTED_VALUE"""),"[]")</f>
        <v>[]</v>
      </c>
      <c r="R214" s="148" t="str">
        <f>IFERROR(__xludf.DUMMYFUNCTION("""COMPUTED_VALUE"""),"[]")</f>
        <v>[]</v>
      </c>
      <c r="S214" s="148" t="str">
        <f>IFERROR(__xludf.DUMMYFUNCTION("""COMPUTED_VALUE"""),"{}")</f>
        <v>{}</v>
      </c>
      <c r="T214" s="148">
        <f>IFERROR(__xludf.DUMMYFUNCTION("""COMPUTED_VALUE"""),-1.0)</f>
        <v>-1</v>
      </c>
      <c r="U214" s="148">
        <f>IFERROR(__xludf.DUMMYFUNCTION("""COMPUTED_VALUE"""),1.0)</f>
        <v>1</v>
      </c>
      <c r="V214" s="148" t="str">
        <f>IFERROR(__xludf.DUMMYFUNCTION("""COMPUTED_VALUE"""),"[]")</f>
        <v>[]</v>
      </c>
      <c r="W214" s="148">
        <f>IFERROR(__xludf.DUMMYFUNCTION("""COMPUTED_VALUE"""),1.174E7)</f>
        <v>11740000</v>
      </c>
      <c r="X214" s="148">
        <f>IFERROR(__xludf.DUMMYFUNCTION("""COMPUTED_VALUE"""),0.0)</f>
        <v>0</v>
      </c>
      <c r="Y214" s="148">
        <f>IFERROR(__xludf.DUMMYFUNCTION("""COMPUTED_VALUE"""),0.0)</f>
        <v>0</v>
      </c>
      <c r="Z214" s="148"/>
    </row>
    <row r="215">
      <c r="A215" s="148">
        <f>IFERROR(__xludf.DUMMYFUNCTION("""COMPUTED_VALUE"""),1.1112004E7)</f>
        <v>11112004</v>
      </c>
      <c r="B215" s="148" t="str">
        <f>IFERROR(__xludf.DUMMYFUNCTION("""COMPUTED_VALUE"""),"行军特效-冬日礼物-1天限时")</f>
        <v>行军特效-冬日礼物-1天限时</v>
      </c>
      <c r="C215" s="148"/>
      <c r="D215" s="148" t="str">
        <f>IFERROR(__xludf.DUMMYFUNCTION("""COMPUTED_VALUE"""),"marching_effect")</f>
        <v>marching_effect</v>
      </c>
      <c r="E215" s="148">
        <f>IFERROR(__xludf.DUMMYFUNCTION("""COMPUTED_VALUE"""),0.0)</f>
        <v>0</v>
      </c>
      <c r="F215" s="148">
        <f>IFERROR(__xludf.DUMMYFUNCTION("""COMPUTED_VALUE"""),408200.0)</f>
        <v>408200</v>
      </c>
      <c r="G215" s="148">
        <f>IFERROR(__xludf.DUMMYFUNCTION("""COMPUTED_VALUE"""),1.5117459E7)</f>
        <v>15117459</v>
      </c>
      <c r="H215" s="148">
        <f>IFERROR(__xludf.DUMMYFUNCTION("""COMPUTED_VALUE"""),1.511256E7)</f>
        <v>15112560</v>
      </c>
      <c r="I215" s="148" t="str">
        <f>IFERROR(__xludf.DUMMYFUNCTION("""COMPUTED_VALUE"""),"{""typ"":""lc"",""txt"":""LC_ITEM_time_day_upper_show"",""args"":[{""typ"":""int_unit"",""val"":1}]}")</f>
        <v>{"typ":"lc","txt":"LC_ITEM_time_day_upper_show","args":[{"typ":"int_unit","val":1}]}</v>
      </c>
      <c r="J215" s="148" t="str">
        <f>IFERROR(__xludf.DUMMYFUNCTION("""COMPUTED_VALUE"""),"{""typ"":""lc"",""txt"":""LC_ITEM_winter_marcheffect_2023""}")</f>
        <v>{"typ":"lc","txt":"LC_ITEM_winter_marcheffect_2023"}</v>
      </c>
      <c r="K215" s="148" t="str">
        <f>IFERROR(__xludf.DUMMYFUNCTION("""COMPUTED_VALUE"""),"{""typ"":""lc"",""txt"":""LC_ITEM_winter_marcheffect_2023_desc""}")</f>
        <v>{"typ":"lc","txt":"LC_ITEM_winter_marcheffect_2023_desc"}</v>
      </c>
      <c r="L215" s="148" t="str">
        <f>IFERROR(__xludf.DUMMYFUNCTION("""COMPUTED_VALUE"""),"{""typ"":""lc"",""txt"":""LC_ITEM_chris23_march_effect_use_tip_1d""}")</f>
        <v>{"typ":"lc","txt":"LC_ITEM_chris23_march_effect_use_tip_1d"}</v>
      </c>
      <c r="M215" s="148">
        <f>IFERROR(__xludf.DUMMYFUNCTION("""COMPUTED_VALUE"""),50.0)</f>
        <v>50</v>
      </c>
      <c r="N215" s="148">
        <f>IFERROR(__xludf.DUMMYFUNCTION("""COMPUTED_VALUE"""),999999.0)</f>
        <v>999999</v>
      </c>
      <c r="O215" s="148">
        <f>IFERROR(__xludf.DUMMYFUNCTION("""COMPUTED_VALUE"""),99999.0)</f>
        <v>99999</v>
      </c>
      <c r="P215" s="148">
        <f>IFERROR(__xludf.DUMMYFUNCTION("""COMPUTED_VALUE"""),1.0)</f>
        <v>1</v>
      </c>
      <c r="Q215" s="148" t="str">
        <f>IFERROR(__xludf.DUMMYFUNCTION("""COMPUTED_VALUE"""),"[""bag_other""]")</f>
        <v>["bag_other"]</v>
      </c>
      <c r="R215" s="148" t="str">
        <f>IFERROR(__xludf.DUMMYFUNCTION("""COMPUTED_VALUE"""),"[""bag"",""13650115""]")</f>
        <v>["bag","13650115"]</v>
      </c>
      <c r="S215" s="148" t="str">
        <f>IFERROR(__xludf.DUMMYFUNCTION("""COMPUTED_VALUE"""),"{""effect"":[{""typ"":""marching_effect"",""id"":13650115,""val"":86400000},{""typ"":""vm"",""id"":11151001,""val"":50}]}")</f>
        <v>{"effect":[{"typ":"marching_effect","id":13650115,"val":86400000},{"typ":"vm","id":11151001,"val":50}]}</v>
      </c>
      <c r="T215" s="148">
        <f>IFERROR(__xludf.DUMMYFUNCTION("""COMPUTED_VALUE"""),-1.0)</f>
        <v>-1</v>
      </c>
      <c r="U215" s="148">
        <f>IFERROR(__xludf.DUMMYFUNCTION("""COMPUTED_VALUE"""),0.0)</f>
        <v>0</v>
      </c>
      <c r="V215" s="148" t="str">
        <f>IFERROR(__xludf.DUMMYFUNCTION("""COMPUTED_VALUE"""),"[]")</f>
        <v>[]</v>
      </c>
      <c r="W215" s="148">
        <f>IFERROR(__xludf.DUMMYFUNCTION("""COMPUTED_VALUE"""),1.174E7)</f>
        <v>11740000</v>
      </c>
      <c r="X215" s="148">
        <f>IFERROR(__xludf.DUMMYFUNCTION("""COMPUTED_VALUE"""),0.0)</f>
        <v>0</v>
      </c>
      <c r="Y215" s="148">
        <f>IFERROR(__xludf.DUMMYFUNCTION("""COMPUTED_VALUE"""),0.0)</f>
        <v>0</v>
      </c>
      <c r="Z215" s="148"/>
    </row>
    <row r="216">
      <c r="A216" s="148">
        <f>IFERROR(__xludf.DUMMYFUNCTION("""COMPUTED_VALUE"""),1.1112005E7)</f>
        <v>11112005</v>
      </c>
      <c r="B216" s="148" t="str">
        <f>IFERROR(__xludf.DUMMYFUNCTION("""COMPUTED_VALUE"""),"行军特效-冬日礼物-3天限时")</f>
        <v>行军特效-冬日礼物-3天限时</v>
      </c>
      <c r="C216" s="148"/>
      <c r="D216" s="148" t="str">
        <f>IFERROR(__xludf.DUMMYFUNCTION("""COMPUTED_VALUE"""),"marching_effect")</f>
        <v>marching_effect</v>
      </c>
      <c r="E216" s="148">
        <f>IFERROR(__xludf.DUMMYFUNCTION("""COMPUTED_VALUE"""),0.0)</f>
        <v>0</v>
      </c>
      <c r="F216" s="148">
        <f>IFERROR(__xludf.DUMMYFUNCTION("""COMPUTED_VALUE"""),408199.0)</f>
        <v>408199</v>
      </c>
      <c r="G216" s="148">
        <f>IFERROR(__xludf.DUMMYFUNCTION("""COMPUTED_VALUE"""),1.5117459E7)</f>
        <v>15117459</v>
      </c>
      <c r="H216" s="148">
        <f>IFERROR(__xludf.DUMMYFUNCTION("""COMPUTED_VALUE"""),1.5112561E7)</f>
        <v>15112561</v>
      </c>
      <c r="I216" s="148" t="str">
        <f>IFERROR(__xludf.DUMMYFUNCTION("""COMPUTED_VALUE"""),"{""typ"":""lc"",""txt"":""LC_ITEM_time_day_upper_show"",""args"":[{""typ"":""int_unit"",""val"":3}]}")</f>
        <v>{"typ":"lc","txt":"LC_ITEM_time_day_upper_show","args":[{"typ":"int_unit","val":3}]}</v>
      </c>
      <c r="J216" s="148" t="str">
        <f>IFERROR(__xludf.DUMMYFUNCTION("""COMPUTED_VALUE"""),"{""typ"":""lc"",""txt"":""LC_ITEM_winter_marcheffect_2023""}")</f>
        <v>{"typ":"lc","txt":"LC_ITEM_winter_marcheffect_2023"}</v>
      </c>
      <c r="K216" s="148" t="str">
        <f>IFERROR(__xludf.DUMMYFUNCTION("""COMPUTED_VALUE"""),"{""typ"":""lc"",""txt"":""LC_ITEM_winter_marcheffect_2023_desc""}")</f>
        <v>{"typ":"lc","txt":"LC_ITEM_winter_marcheffect_2023_desc"}</v>
      </c>
      <c r="L216" s="148" t="str">
        <f>IFERROR(__xludf.DUMMYFUNCTION("""COMPUTED_VALUE"""),"{""typ"":""lc"",""txt"":""LC_ITEM_chris23_march_effect_use_tip_3d""}")</f>
        <v>{"typ":"lc","txt":"LC_ITEM_chris23_march_effect_use_tip_3d"}</v>
      </c>
      <c r="M216" s="148">
        <f>IFERROR(__xludf.DUMMYFUNCTION("""COMPUTED_VALUE"""),200.0)</f>
        <v>200</v>
      </c>
      <c r="N216" s="148">
        <f>IFERROR(__xludf.DUMMYFUNCTION("""COMPUTED_VALUE"""),999999.0)</f>
        <v>999999</v>
      </c>
      <c r="O216" s="148">
        <f>IFERROR(__xludf.DUMMYFUNCTION("""COMPUTED_VALUE"""),99999.0)</f>
        <v>99999</v>
      </c>
      <c r="P216" s="148">
        <f>IFERROR(__xludf.DUMMYFUNCTION("""COMPUTED_VALUE"""),1.0)</f>
        <v>1</v>
      </c>
      <c r="Q216" s="148" t="str">
        <f>IFERROR(__xludf.DUMMYFUNCTION("""COMPUTED_VALUE"""),"[""bag_other""]")</f>
        <v>["bag_other"]</v>
      </c>
      <c r="R216" s="148" t="str">
        <f>IFERROR(__xludf.DUMMYFUNCTION("""COMPUTED_VALUE"""),"[""bag"",""13650115""]")</f>
        <v>["bag","13650115"]</v>
      </c>
      <c r="S216" s="148" t="str">
        <f>IFERROR(__xludf.DUMMYFUNCTION("""COMPUTED_VALUE"""),"{""effect"":[{""typ"":""marching_effect"",""id"":13650115,""val"":259200000},{""typ"":""vm"",""id"":11151001,""val"":200}]}")</f>
        <v>{"effect":[{"typ":"marching_effect","id":13650115,"val":259200000},{"typ":"vm","id":11151001,"val":200}]}</v>
      </c>
      <c r="T216" s="148">
        <f>IFERROR(__xludf.DUMMYFUNCTION("""COMPUTED_VALUE"""),-1.0)</f>
        <v>-1</v>
      </c>
      <c r="U216" s="148">
        <f>IFERROR(__xludf.DUMMYFUNCTION("""COMPUTED_VALUE"""),0.0)</f>
        <v>0</v>
      </c>
      <c r="V216" s="148" t="str">
        <f>IFERROR(__xludf.DUMMYFUNCTION("""COMPUTED_VALUE"""),"[]")</f>
        <v>[]</v>
      </c>
      <c r="W216" s="148">
        <f>IFERROR(__xludf.DUMMYFUNCTION("""COMPUTED_VALUE"""),1.174E7)</f>
        <v>11740000</v>
      </c>
      <c r="X216" s="148">
        <f>IFERROR(__xludf.DUMMYFUNCTION("""COMPUTED_VALUE"""),0.0)</f>
        <v>0</v>
      </c>
      <c r="Y216" s="148">
        <f>IFERROR(__xludf.DUMMYFUNCTION("""COMPUTED_VALUE"""),0.0)</f>
        <v>0</v>
      </c>
      <c r="Z216" s="148"/>
    </row>
    <row r="217">
      <c r="A217" s="148">
        <f>IFERROR(__xludf.DUMMYFUNCTION("""COMPUTED_VALUE"""),1.1112006E7)</f>
        <v>11112006</v>
      </c>
      <c r="B217" s="148" t="str">
        <f>IFERROR(__xludf.DUMMYFUNCTION("""COMPUTED_VALUE"""),"行军特效-冬日礼物-7天限时")</f>
        <v>行军特效-冬日礼物-7天限时</v>
      </c>
      <c r="C217" s="148"/>
      <c r="D217" s="148" t="str">
        <f>IFERROR(__xludf.DUMMYFUNCTION("""COMPUTED_VALUE"""),"marching_effect")</f>
        <v>marching_effect</v>
      </c>
      <c r="E217" s="148">
        <f>IFERROR(__xludf.DUMMYFUNCTION("""COMPUTED_VALUE"""),0.0)</f>
        <v>0</v>
      </c>
      <c r="F217" s="148">
        <f>IFERROR(__xludf.DUMMYFUNCTION("""COMPUTED_VALUE"""),408198.0)</f>
        <v>408198</v>
      </c>
      <c r="G217" s="148">
        <f>IFERROR(__xludf.DUMMYFUNCTION("""COMPUTED_VALUE"""),1.5117459E7)</f>
        <v>15117459</v>
      </c>
      <c r="H217" s="148">
        <f>IFERROR(__xludf.DUMMYFUNCTION("""COMPUTED_VALUE"""),1.5112562E7)</f>
        <v>15112562</v>
      </c>
      <c r="I217" s="148" t="str">
        <f>IFERROR(__xludf.DUMMYFUNCTION("""COMPUTED_VALUE"""),"{""typ"":""lc"",""txt"":""LC_ITEM_time_day_upper_show"",""args"":[{""typ"":""int_unit"",""val"":7}]}")</f>
        <v>{"typ":"lc","txt":"LC_ITEM_time_day_upper_show","args":[{"typ":"int_unit","val":7}]}</v>
      </c>
      <c r="J217" s="148" t="str">
        <f>IFERROR(__xludf.DUMMYFUNCTION("""COMPUTED_VALUE"""),"{""typ"":""lc"",""txt"":""LC_ITEM_winter_marcheffect_2023""}")</f>
        <v>{"typ":"lc","txt":"LC_ITEM_winter_marcheffect_2023"}</v>
      </c>
      <c r="K217" s="148" t="str">
        <f>IFERROR(__xludf.DUMMYFUNCTION("""COMPUTED_VALUE"""),"{""typ"":""lc"",""txt"":""LC_ITEM_winter_marcheffect_2023_desc""}")</f>
        <v>{"typ":"lc","txt":"LC_ITEM_winter_marcheffect_2023_desc"}</v>
      </c>
      <c r="L217" s="148" t="str">
        <f>IFERROR(__xludf.DUMMYFUNCTION("""COMPUTED_VALUE"""),"{""typ"":""lc"",""txt"":""LC_ITEM_chris23_march_effect_use_tip_7d""}")</f>
        <v>{"typ":"lc","txt":"LC_ITEM_chris23_march_effect_use_tip_7d"}</v>
      </c>
      <c r="M217" s="148">
        <f>IFERROR(__xludf.DUMMYFUNCTION("""COMPUTED_VALUE"""),500.0)</f>
        <v>500</v>
      </c>
      <c r="N217" s="148">
        <f>IFERROR(__xludf.DUMMYFUNCTION("""COMPUTED_VALUE"""),999999.0)</f>
        <v>999999</v>
      </c>
      <c r="O217" s="148">
        <f>IFERROR(__xludf.DUMMYFUNCTION("""COMPUTED_VALUE"""),99999.0)</f>
        <v>99999</v>
      </c>
      <c r="P217" s="148">
        <f>IFERROR(__xludf.DUMMYFUNCTION("""COMPUTED_VALUE"""),1.0)</f>
        <v>1</v>
      </c>
      <c r="Q217" s="148" t="str">
        <f>IFERROR(__xludf.DUMMYFUNCTION("""COMPUTED_VALUE"""),"[""bag_other""]")</f>
        <v>["bag_other"]</v>
      </c>
      <c r="R217" s="148" t="str">
        <f>IFERROR(__xludf.DUMMYFUNCTION("""COMPUTED_VALUE"""),"[""bag"",""13650115""]")</f>
        <v>["bag","13650115"]</v>
      </c>
      <c r="S217" s="148" t="str">
        <f>IFERROR(__xludf.DUMMYFUNCTION("""COMPUTED_VALUE"""),"{""effect"":[{""typ"":""marching_effect"",""id"":13650115,""val"":604800000},{""typ"":""vm"",""id"":11151001,""val"":500}]}")</f>
        <v>{"effect":[{"typ":"marching_effect","id":13650115,"val":604800000},{"typ":"vm","id":11151001,"val":500}]}</v>
      </c>
      <c r="T217" s="148">
        <f>IFERROR(__xludf.DUMMYFUNCTION("""COMPUTED_VALUE"""),-1.0)</f>
        <v>-1</v>
      </c>
      <c r="U217" s="148">
        <f>IFERROR(__xludf.DUMMYFUNCTION("""COMPUTED_VALUE"""),0.0)</f>
        <v>0</v>
      </c>
      <c r="V217" s="148" t="str">
        <f>IFERROR(__xludf.DUMMYFUNCTION("""COMPUTED_VALUE"""),"[]")</f>
        <v>[]</v>
      </c>
      <c r="W217" s="148">
        <f>IFERROR(__xludf.DUMMYFUNCTION("""COMPUTED_VALUE"""),1.174E7)</f>
        <v>11740000</v>
      </c>
      <c r="X217" s="148">
        <f>IFERROR(__xludf.DUMMYFUNCTION("""COMPUTED_VALUE"""),0.0)</f>
        <v>0</v>
      </c>
      <c r="Y217" s="148">
        <f>IFERROR(__xludf.DUMMYFUNCTION("""COMPUTED_VALUE"""),0.0)</f>
        <v>0</v>
      </c>
      <c r="Z217" s="148"/>
    </row>
    <row r="218">
      <c r="A218" s="148">
        <f>IFERROR(__xludf.DUMMYFUNCTION("""COMPUTED_VALUE"""),1.1112007E7)</f>
        <v>11112007</v>
      </c>
      <c r="B218" s="148" t="str">
        <f>IFERROR(__xludf.DUMMYFUNCTION("""COMPUTED_VALUE"""),"行军特效-冬日礼物-14天限时")</f>
        <v>行军特效-冬日礼物-14天限时</v>
      </c>
      <c r="C218" s="148"/>
      <c r="D218" s="148" t="str">
        <f>IFERROR(__xludf.DUMMYFUNCTION("""COMPUTED_VALUE"""),"marching_effect")</f>
        <v>marching_effect</v>
      </c>
      <c r="E218" s="148">
        <f>IFERROR(__xludf.DUMMYFUNCTION("""COMPUTED_VALUE"""),0.0)</f>
        <v>0</v>
      </c>
      <c r="F218" s="148">
        <f>IFERROR(__xludf.DUMMYFUNCTION("""COMPUTED_VALUE"""),408197.0)</f>
        <v>408197</v>
      </c>
      <c r="G218" s="148">
        <f>IFERROR(__xludf.DUMMYFUNCTION("""COMPUTED_VALUE"""),1.5117459E7)</f>
        <v>15117459</v>
      </c>
      <c r="H218" s="148">
        <f>IFERROR(__xludf.DUMMYFUNCTION("""COMPUTED_VALUE"""),1.5112563E7)</f>
        <v>15112563</v>
      </c>
      <c r="I218" s="148" t="str">
        <f>IFERROR(__xludf.DUMMYFUNCTION("""COMPUTED_VALUE"""),"{""typ"":""lc"",""txt"":""LC_ITEM_time_day_upper_show"",""args"":[{""typ"":""int_unit"",""val"":14}]}")</f>
        <v>{"typ":"lc","txt":"LC_ITEM_time_day_upper_show","args":[{"typ":"int_unit","val":14}]}</v>
      </c>
      <c r="J218" s="148" t="str">
        <f>IFERROR(__xludf.DUMMYFUNCTION("""COMPUTED_VALUE"""),"{""typ"":""lc"",""txt"":""LC_ITEM_winter_marcheffect_2023""}")</f>
        <v>{"typ":"lc","txt":"LC_ITEM_winter_marcheffect_2023"}</v>
      </c>
      <c r="K218" s="148" t="str">
        <f>IFERROR(__xludf.DUMMYFUNCTION("""COMPUTED_VALUE"""),"{""typ"":""lc"",""txt"":""LC_ITEM_winter_marcheffect_2023_desc""}")</f>
        <v>{"typ":"lc","txt":"LC_ITEM_winter_marcheffect_2023_desc"}</v>
      </c>
      <c r="L218" s="148" t="str">
        <f>IFERROR(__xludf.DUMMYFUNCTION("""COMPUTED_VALUE"""),"{""typ"":""lc"",""txt"":""LC_ITEM_chris23_march_effect_use_tip_14d""}")</f>
        <v>{"typ":"lc","txt":"LC_ITEM_chris23_march_effect_use_tip_14d"}</v>
      </c>
      <c r="M218" s="148">
        <f>IFERROR(__xludf.DUMMYFUNCTION("""COMPUTED_VALUE"""),1000.0)</f>
        <v>1000</v>
      </c>
      <c r="N218" s="148">
        <f>IFERROR(__xludf.DUMMYFUNCTION("""COMPUTED_VALUE"""),999999.0)</f>
        <v>999999</v>
      </c>
      <c r="O218" s="148">
        <f>IFERROR(__xludf.DUMMYFUNCTION("""COMPUTED_VALUE"""),99999.0)</f>
        <v>99999</v>
      </c>
      <c r="P218" s="148">
        <f>IFERROR(__xludf.DUMMYFUNCTION("""COMPUTED_VALUE"""),1.0)</f>
        <v>1</v>
      </c>
      <c r="Q218" s="148" t="str">
        <f>IFERROR(__xludf.DUMMYFUNCTION("""COMPUTED_VALUE"""),"[""bag_other""]")</f>
        <v>["bag_other"]</v>
      </c>
      <c r="R218" s="148" t="str">
        <f>IFERROR(__xludf.DUMMYFUNCTION("""COMPUTED_VALUE"""),"[""bag"",""13650115""]")</f>
        <v>["bag","13650115"]</v>
      </c>
      <c r="S218" s="148" t="str">
        <f>IFERROR(__xludf.DUMMYFUNCTION("""COMPUTED_VALUE"""),"{""effect"":[{""typ"":""marching_effect"",""id"":13650115,""val"":1209600000},{""typ"":""vm"",""id"":11151001,""val"":1000}]}")</f>
        <v>{"effect":[{"typ":"marching_effect","id":13650115,"val":1209600000},{"typ":"vm","id":11151001,"val":1000}]}</v>
      </c>
      <c r="T218" s="148">
        <f>IFERROR(__xludf.DUMMYFUNCTION("""COMPUTED_VALUE"""),-1.0)</f>
        <v>-1</v>
      </c>
      <c r="U218" s="148">
        <f>IFERROR(__xludf.DUMMYFUNCTION("""COMPUTED_VALUE"""),0.0)</f>
        <v>0</v>
      </c>
      <c r="V218" s="148" t="str">
        <f>IFERROR(__xludf.DUMMYFUNCTION("""COMPUTED_VALUE"""),"[]")</f>
        <v>[]</v>
      </c>
      <c r="W218" s="148">
        <f>IFERROR(__xludf.DUMMYFUNCTION("""COMPUTED_VALUE"""),1.174E7)</f>
        <v>11740000</v>
      </c>
      <c r="X218" s="148">
        <f>IFERROR(__xludf.DUMMYFUNCTION("""COMPUTED_VALUE"""),0.0)</f>
        <v>0</v>
      </c>
      <c r="Y218" s="148">
        <f>IFERROR(__xludf.DUMMYFUNCTION("""COMPUTED_VALUE"""),0.0)</f>
        <v>0</v>
      </c>
      <c r="Z218" s="148"/>
    </row>
    <row r="219">
      <c r="A219" s="148">
        <f>IFERROR(__xludf.DUMMYFUNCTION("""COMPUTED_VALUE"""),1.1112008E7)</f>
        <v>11112008</v>
      </c>
      <c r="B219" s="148" t="str">
        <f>IFERROR(__xludf.DUMMYFUNCTION("""COMPUTED_VALUE"""),"行军特效-冬日礼物-30天限时")</f>
        <v>行军特效-冬日礼物-30天限时</v>
      </c>
      <c r="C219" s="148"/>
      <c r="D219" s="148" t="str">
        <f>IFERROR(__xludf.DUMMYFUNCTION("""COMPUTED_VALUE"""),"marching_effect")</f>
        <v>marching_effect</v>
      </c>
      <c r="E219" s="148">
        <f>IFERROR(__xludf.DUMMYFUNCTION("""COMPUTED_VALUE"""),0.0)</f>
        <v>0</v>
      </c>
      <c r="F219" s="148">
        <f>IFERROR(__xludf.DUMMYFUNCTION("""COMPUTED_VALUE"""),408196.0)</f>
        <v>408196</v>
      </c>
      <c r="G219" s="148">
        <f>IFERROR(__xludf.DUMMYFUNCTION("""COMPUTED_VALUE"""),1.5117459E7)</f>
        <v>15117459</v>
      </c>
      <c r="H219" s="148">
        <f>IFERROR(__xludf.DUMMYFUNCTION("""COMPUTED_VALUE"""),1.5112563E7)</f>
        <v>15112563</v>
      </c>
      <c r="I219" s="148" t="str">
        <f>IFERROR(__xludf.DUMMYFUNCTION("""COMPUTED_VALUE"""),"{""typ"":""lc"",""txt"":""LC_ITEM_time_day_upper_show"",""args"":[{""typ"":""int_unit"",""val"":30}]}")</f>
        <v>{"typ":"lc","txt":"LC_ITEM_time_day_upper_show","args":[{"typ":"int_unit","val":30}]}</v>
      </c>
      <c r="J219" s="148" t="str">
        <f>IFERROR(__xludf.DUMMYFUNCTION("""COMPUTED_VALUE"""),"{""typ"":""lc"",""txt"":""LC_ITEM_winter_marcheffect_2023""}")</f>
        <v>{"typ":"lc","txt":"LC_ITEM_winter_marcheffect_2023"}</v>
      </c>
      <c r="K219" s="148" t="str">
        <f>IFERROR(__xludf.DUMMYFUNCTION("""COMPUTED_VALUE"""),"{""typ"":""lc"",""txt"":""LC_ITEM_winter_marcheffect_2023_desc""}")</f>
        <v>{"typ":"lc","txt":"LC_ITEM_winter_marcheffect_2023_desc"}</v>
      </c>
      <c r="L219" s="148" t="str">
        <f>IFERROR(__xludf.DUMMYFUNCTION("""COMPUTED_VALUE"""),"{""typ"":""lc"",""txt"":""LC_ITEM_chris23_march_effect_use_tip_30d""}")</f>
        <v>{"typ":"lc","txt":"LC_ITEM_chris23_march_effect_use_tip_30d"}</v>
      </c>
      <c r="M219" s="148">
        <f>IFERROR(__xludf.DUMMYFUNCTION("""COMPUTED_VALUE"""),1000.0)</f>
        <v>1000</v>
      </c>
      <c r="N219" s="148">
        <f>IFERROR(__xludf.DUMMYFUNCTION("""COMPUTED_VALUE"""),999999.0)</f>
        <v>999999</v>
      </c>
      <c r="O219" s="148">
        <f>IFERROR(__xludf.DUMMYFUNCTION("""COMPUTED_VALUE"""),99999.0)</f>
        <v>99999</v>
      </c>
      <c r="P219" s="148">
        <f>IFERROR(__xludf.DUMMYFUNCTION("""COMPUTED_VALUE"""),1.0)</f>
        <v>1</v>
      </c>
      <c r="Q219" s="148" t="str">
        <f>IFERROR(__xludf.DUMMYFUNCTION("""COMPUTED_VALUE"""),"[""bag_other""]")</f>
        <v>["bag_other"]</v>
      </c>
      <c r="R219" s="148" t="str">
        <f>IFERROR(__xludf.DUMMYFUNCTION("""COMPUTED_VALUE"""),"[""bag"",""13650115""]")</f>
        <v>["bag","13650115"]</v>
      </c>
      <c r="S219" s="148" t="str">
        <f>IFERROR(__xludf.DUMMYFUNCTION("""COMPUTED_VALUE"""),"{""effect"":[{""typ"":""marching_effect"",""id"":13650115,""val"":2592000000},{""typ"":""vm"",""id"":11151001,""val"":1000}]}")</f>
        <v>{"effect":[{"typ":"marching_effect","id":13650115,"val":2592000000},{"typ":"vm","id":11151001,"val":1000}]}</v>
      </c>
      <c r="T219" s="148">
        <f>IFERROR(__xludf.DUMMYFUNCTION("""COMPUTED_VALUE"""),-1.0)</f>
        <v>-1</v>
      </c>
      <c r="U219" s="148">
        <f>IFERROR(__xludf.DUMMYFUNCTION("""COMPUTED_VALUE"""),0.0)</f>
        <v>0</v>
      </c>
      <c r="V219" s="148" t="str">
        <f>IFERROR(__xludf.DUMMYFUNCTION("""COMPUTED_VALUE"""),"[]")</f>
        <v>[]</v>
      </c>
      <c r="W219" s="148">
        <f>IFERROR(__xludf.DUMMYFUNCTION("""COMPUTED_VALUE"""),1.174E7)</f>
        <v>11740000</v>
      </c>
      <c r="X219" s="148">
        <f>IFERROR(__xludf.DUMMYFUNCTION("""COMPUTED_VALUE"""),0.0)</f>
        <v>0</v>
      </c>
      <c r="Y219" s="148">
        <f>IFERROR(__xludf.DUMMYFUNCTION("""COMPUTED_VALUE"""),0.0)</f>
        <v>0</v>
      </c>
      <c r="Z219" s="148"/>
    </row>
    <row r="220">
      <c r="A220" s="148">
        <f>IFERROR(__xludf.DUMMYFUNCTION("""COMPUTED_VALUE"""),1.1112009E7)</f>
        <v>11112009</v>
      </c>
      <c r="B220" s="148" t="str">
        <f>IFERROR(__xludf.DUMMYFUNCTION("""COMPUTED_VALUE"""),"行军特效-冬日礼物-永久")</f>
        <v>行军特效-冬日礼物-永久</v>
      </c>
      <c r="C220" s="148"/>
      <c r="D220" s="148" t="str">
        <f>IFERROR(__xludf.DUMMYFUNCTION("""COMPUTED_VALUE"""),"marching_effect")</f>
        <v>marching_effect</v>
      </c>
      <c r="E220" s="148">
        <f>IFERROR(__xludf.DUMMYFUNCTION("""COMPUTED_VALUE"""),0.0)</f>
        <v>0</v>
      </c>
      <c r="F220" s="148">
        <f>IFERROR(__xludf.DUMMYFUNCTION("""COMPUTED_VALUE"""),408195.0)</f>
        <v>408195</v>
      </c>
      <c r="G220" s="148">
        <f>IFERROR(__xludf.DUMMYFUNCTION("""COMPUTED_VALUE"""),1.5117459E7)</f>
        <v>15117459</v>
      </c>
      <c r="H220" s="148">
        <f>IFERROR(__xludf.DUMMYFUNCTION("""COMPUTED_VALUE"""),1.5112564E7)</f>
        <v>15112564</v>
      </c>
      <c r="I220" s="148" t="str">
        <f>IFERROR(__xludf.DUMMYFUNCTION("""COMPUTED_VALUE"""),"{}")</f>
        <v>{}</v>
      </c>
      <c r="J220" s="148" t="str">
        <f>IFERROR(__xludf.DUMMYFUNCTION("""COMPUTED_VALUE"""),"{""typ"":""lc"",""txt"":""LC_ITEM_winter_marcheffect_2023""}")</f>
        <v>{"typ":"lc","txt":"LC_ITEM_winter_marcheffect_2023"}</v>
      </c>
      <c r="K220" s="148" t="str">
        <f>IFERROR(__xludf.DUMMYFUNCTION("""COMPUTED_VALUE"""),"{""typ"":""lc"",""txt"":""LC_ITEM_winter_marcheffect_2023_desc""}")</f>
        <v>{"typ":"lc","txt":"LC_ITEM_winter_marcheffect_2023_desc"}</v>
      </c>
      <c r="L220" s="148" t="str">
        <f>IFERROR(__xludf.DUMMYFUNCTION("""COMPUTED_VALUE"""),"{""typ"":""lc"",""txt"":""LC_ITEM_chris23_march_effect_use_tip""}")</f>
        <v>{"typ":"lc","txt":"LC_ITEM_chris23_march_effect_use_tip"}</v>
      </c>
      <c r="M220" s="148">
        <f>IFERROR(__xludf.DUMMYFUNCTION("""COMPUTED_VALUE"""),5000.0)</f>
        <v>5000</v>
      </c>
      <c r="N220" s="148">
        <f>IFERROR(__xludf.DUMMYFUNCTION("""COMPUTED_VALUE"""),999999.0)</f>
        <v>999999</v>
      </c>
      <c r="O220" s="148">
        <f>IFERROR(__xludf.DUMMYFUNCTION("""COMPUTED_VALUE"""),99999.0)</f>
        <v>99999</v>
      </c>
      <c r="P220" s="148">
        <f>IFERROR(__xludf.DUMMYFUNCTION("""COMPUTED_VALUE"""),1.0)</f>
        <v>1</v>
      </c>
      <c r="Q220" s="148" t="str">
        <f>IFERROR(__xludf.DUMMYFUNCTION("""COMPUTED_VALUE"""),"[""bag_other""]")</f>
        <v>["bag_other"]</v>
      </c>
      <c r="R220" s="148" t="str">
        <f>IFERROR(__xludf.DUMMYFUNCTION("""COMPUTED_VALUE"""),"[""bag"",""13650115""]")</f>
        <v>["bag","13650115"]</v>
      </c>
      <c r="S220" s="148" t="str">
        <f>IFERROR(__xludf.DUMMYFUNCTION("""COMPUTED_VALUE"""),"{""effect"":[{""typ"":""marching_effect"",""id"":13650115,""val"":-1},{""typ"":""vm"",""id"":11151001,""val"":2500}]}")</f>
        <v>{"effect":[{"typ":"marching_effect","id":13650115,"val":-1},{"typ":"vm","id":11151001,"val":2500}]}</v>
      </c>
      <c r="T220" s="148">
        <f>IFERROR(__xludf.DUMMYFUNCTION("""COMPUTED_VALUE"""),-1.0)</f>
        <v>-1</v>
      </c>
      <c r="U220" s="148">
        <f>IFERROR(__xludf.DUMMYFUNCTION("""COMPUTED_VALUE"""),0.0)</f>
        <v>0</v>
      </c>
      <c r="V220" s="148" t="str">
        <f>IFERROR(__xludf.DUMMYFUNCTION("""COMPUTED_VALUE"""),"[]")</f>
        <v>[]</v>
      </c>
      <c r="W220" s="148">
        <f>IFERROR(__xludf.DUMMYFUNCTION("""COMPUTED_VALUE"""),1.174E7)</f>
        <v>11740000</v>
      </c>
      <c r="X220" s="148">
        <f>IFERROR(__xludf.DUMMYFUNCTION("""COMPUTED_VALUE"""),0.0)</f>
        <v>0</v>
      </c>
      <c r="Y220" s="148">
        <f>IFERROR(__xludf.DUMMYFUNCTION("""COMPUTED_VALUE"""),0.0)</f>
        <v>0</v>
      </c>
      <c r="Z220" s="148"/>
    </row>
    <row r="221">
      <c r="A221" s="148">
        <f>IFERROR(__xludf.DUMMYFUNCTION("""COMPUTED_VALUE"""),1.111201E7)</f>
        <v>11112010</v>
      </c>
      <c r="B221" s="148" t="str">
        <f>IFERROR(__xludf.DUMMYFUNCTION("""COMPUTED_VALUE"""),"铭牌-圣诞节2023铭牌")</f>
        <v>铭牌-圣诞节2023铭牌</v>
      </c>
      <c r="C221" s="148"/>
      <c r="D221" s="148" t="str">
        <f>IFERROR(__xludf.DUMMYFUNCTION("""COMPUTED_VALUE"""),"chat_skin")</f>
        <v>chat_skin</v>
      </c>
      <c r="E221" s="148">
        <f>IFERROR(__xludf.DUMMYFUNCTION("""COMPUTED_VALUE"""),30.0)</f>
        <v>30</v>
      </c>
      <c r="F221" s="148">
        <f>IFERROR(__xludf.DUMMYFUNCTION("""COMPUTED_VALUE"""),401107.0)</f>
        <v>401107</v>
      </c>
      <c r="G221" s="148">
        <f>IFERROR(__xludf.DUMMYFUNCTION("""COMPUTED_VALUE"""),1.511746E7)</f>
        <v>15117460</v>
      </c>
      <c r="H221" s="148">
        <f>IFERROR(__xludf.DUMMYFUNCTION("""COMPUTED_VALUE"""),1.5112564E7)</f>
        <v>15112564</v>
      </c>
      <c r="I221" s="148" t="str">
        <f>IFERROR(__xludf.DUMMYFUNCTION("""COMPUTED_VALUE"""),"{}")</f>
        <v>{}</v>
      </c>
      <c r="J221" s="148" t="str">
        <f>IFERROR(__xludf.DUMMYFUNCTION("""COMPUTED_VALUE"""),"{""typ"":""lc"",""txt"":""LC_ITEM_winter_nameplate_2023""}")</f>
        <v>{"typ":"lc","txt":"LC_ITEM_winter_nameplate_2023"}</v>
      </c>
      <c r="K221" s="148" t="str">
        <f>IFERROR(__xludf.DUMMYFUNCTION("""COMPUTED_VALUE"""),"{""typ"":""lc"",""txt"":""LC_ITEM_winter_nameplate_2023_desc_item""}")</f>
        <v>{"typ":"lc","txt":"LC_ITEM_winter_nameplate_2023_desc_item"}</v>
      </c>
      <c r="L221" s="148" t="str">
        <f>IFERROR(__xludf.DUMMYFUNCTION("""COMPUTED_VALUE"""),"{""typ"":""lc"",""txt"":""LC_ITEM_season_extra_reward_usedtip""}")</f>
        <v>{"typ":"lc","txt":"LC_ITEM_season_extra_reward_usedtip"}</v>
      </c>
      <c r="M221" s="148">
        <f>IFERROR(__xludf.DUMMYFUNCTION("""COMPUTED_VALUE"""),2500.0)</f>
        <v>2500</v>
      </c>
      <c r="N221" s="148">
        <f>IFERROR(__xludf.DUMMYFUNCTION("""COMPUTED_VALUE"""),9999999.0)</f>
        <v>9999999</v>
      </c>
      <c r="O221" s="148">
        <f>IFERROR(__xludf.DUMMYFUNCTION("""COMPUTED_VALUE"""),1.0)</f>
        <v>1</v>
      </c>
      <c r="P221" s="148">
        <f>IFERROR(__xludf.DUMMYFUNCTION("""COMPUTED_VALUE"""),1.0)</f>
        <v>1</v>
      </c>
      <c r="Q221" s="148" t="str">
        <f>IFERROR(__xludf.DUMMYFUNCTION("""COMPUTED_VALUE"""),"[""bag_other""]")</f>
        <v>["bag_other"]</v>
      </c>
      <c r="R221" s="148" t="str">
        <f>IFERROR(__xludf.DUMMYFUNCTION("""COMPUTED_VALUE"""),"[""11731017"",""bag""]")</f>
        <v>["11731017","bag"]</v>
      </c>
      <c r="S221" s="148" t="str">
        <f>IFERROR(__xludf.DUMMYFUNCTION("""COMPUTED_VALUE"""),"{""effect"":[{""typ"":""nameplate"",""id"":11731017,""val"":-1}]}")</f>
        <v>{"effect":[{"typ":"nameplate","id":11731017,"val":-1}]}</v>
      </c>
      <c r="T221" s="148">
        <f>IFERROR(__xludf.DUMMYFUNCTION("""COMPUTED_VALUE"""),-1.0)</f>
        <v>-1</v>
      </c>
      <c r="U221" s="148">
        <f>IFERROR(__xludf.DUMMYFUNCTION("""COMPUTED_VALUE"""),0.0)</f>
        <v>0</v>
      </c>
      <c r="V221" s="148" t="str">
        <f>IFERROR(__xludf.DUMMYFUNCTION("""COMPUTED_VALUE"""),"[]")</f>
        <v>[]</v>
      </c>
      <c r="W221" s="148">
        <f>IFERROR(__xludf.DUMMYFUNCTION("""COMPUTED_VALUE"""),1.174E7)</f>
        <v>11740000</v>
      </c>
      <c r="X221" s="148">
        <f>IFERROR(__xludf.DUMMYFUNCTION("""COMPUTED_VALUE"""),0.0)</f>
        <v>0</v>
      </c>
      <c r="Y221" s="148">
        <f>IFERROR(__xludf.DUMMYFUNCTION("""COMPUTED_VALUE"""),0.0)</f>
        <v>0</v>
      </c>
      <c r="Z221" s="148"/>
    </row>
    <row r="222">
      <c r="A222" s="148">
        <f>IFERROR(__xludf.DUMMYFUNCTION("""COMPUTED_VALUE"""),1.1112011E7)</f>
        <v>11112011</v>
      </c>
      <c r="B222" s="148" t="str">
        <f>IFERROR(__xludf.DUMMYFUNCTION("""COMPUTED_VALUE"""),"2023圣诞节-7日活动宝箱")</f>
        <v>2023圣诞节-7日活动宝箱</v>
      </c>
      <c r="C222" s="148"/>
      <c r="D222" s="148" t="str">
        <f>IFERROR(__xludf.DUMMYFUNCTION("""COMPUTED_VALUE"""),"item_asset")</f>
        <v>item_asset</v>
      </c>
      <c r="E222" s="148">
        <f>IFERROR(__xludf.DUMMYFUNCTION("""COMPUTED_VALUE"""),19.0)</f>
        <v>19</v>
      </c>
      <c r="F222" s="148">
        <f>IFERROR(__xludf.DUMMYFUNCTION("""COMPUTED_VALUE"""),201101.0)</f>
        <v>201101</v>
      </c>
      <c r="G222" s="148">
        <f>IFERROR(__xludf.DUMMYFUNCTION("""COMPUTED_VALUE"""),1.5117141E7)</f>
        <v>15117141</v>
      </c>
      <c r="H222" s="148">
        <f>IFERROR(__xludf.DUMMYFUNCTION("""COMPUTED_VALUE"""),1.5112564E7)</f>
        <v>15112564</v>
      </c>
      <c r="I222" s="148" t="str">
        <f>IFERROR(__xludf.DUMMYFUNCTION("""COMPUTED_VALUE"""),"{}")</f>
        <v>{}</v>
      </c>
      <c r="J222" s="148" t="str">
        <f>IFERROR(__xludf.DUMMYFUNCTION("""COMPUTED_VALUE"""),"{""typ"":""lc"",""txt"":""LC_ITEM_seven_day_box_name""}")</f>
        <v>{"typ":"lc","txt":"LC_ITEM_seven_day_box_name"}</v>
      </c>
      <c r="K222" s="148" t="str">
        <f>IFERROR(__xludf.DUMMYFUNCTION("""COMPUTED_VALUE"""),"{""typ"":""lc"",""txt"":""LC_ITEM_seven_day_box_desc""}")</f>
        <v>{"typ":"lc","txt":"LC_ITEM_seven_day_box_desc"}</v>
      </c>
      <c r="L222" s="148" t="str">
        <f>IFERROR(__xludf.DUMMYFUNCTION("""COMPUTED_VALUE"""),"{""typ"":""lc"",""txt"":""LC_ITEM_horde_elite_box_usedtip""}")</f>
        <v>{"typ":"lc","txt":"LC_ITEM_horde_elite_box_usedtip"}</v>
      </c>
      <c r="M222" s="148">
        <f>IFERROR(__xludf.DUMMYFUNCTION("""COMPUTED_VALUE"""),40.0)</f>
        <v>40</v>
      </c>
      <c r="N222" s="148">
        <f>IFERROR(__xludf.DUMMYFUNCTION("""COMPUTED_VALUE"""),999999.0)</f>
        <v>999999</v>
      </c>
      <c r="O222" s="148">
        <f>IFERROR(__xludf.DUMMYFUNCTION("""COMPUTED_VALUE"""),99999.0)</f>
        <v>99999</v>
      </c>
      <c r="P222" s="148">
        <f>IFERROR(__xludf.DUMMYFUNCTION("""COMPUTED_VALUE"""),99999.0)</f>
        <v>99999</v>
      </c>
      <c r="Q222" s="148" t="str">
        <f>IFERROR(__xludf.DUMMYFUNCTION("""COMPUTED_VALUE"""),"[]")</f>
        <v>[]</v>
      </c>
      <c r="R222" s="148" t="str">
        <f>IFERROR(__xludf.DUMMYFUNCTION("""COMPUTED_VALUE"""),"[""bag""]")</f>
        <v>["bag"]</v>
      </c>
      <c r="S222"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222" s="148">
        <f>IFERROR(__xludf.DUMMYFUNCTION("""COMPUTED_VALUE"""),-1.0)</f>
        <v>-1</v>
      </c>
      <c r="U222" s="148">
        <f>IFERROR(__xludf.DUMMYFUNCTION("""COMPUTED_VALUE"""),1.0)</f>
        <v>1</v>
      </c>
      <c r="V222" s="148" t="str">
        <f>IFERROR(__xludf.DUMMYFUNCTION("""COMPUTED_VALUE"""),"[]")</f>
        <v>[]</v>
      </c>
      <c r="W222" s="148">
        <f>IFERROR(__xludf.DUMMYFUNCTION("""COMPUTED_VALUE"""),1.174E7)</f>
        <v>11740000</v>
      </c>
      <c r="X222" s="148">
        <f>IFERROR(__xludf.DUMMYFUNCTION("""COMPUTED_VALUE"""),0.0)</f>
        <v>0</v>
      </c>
      <c r="Y222" s="148">
        <f>IFERROR(__xludf.DUMMYFUNCTION("""COMPUTED_VALUE"""),0.0)</f>
        <v>0</v>
      </c>
      <c r="Z222" s="148"/>
    </row>
    <row r="223">
      <c r="A223" s="148">
        <f>IFERROR(__xludf.DUMMYFUNCTION("""COMPUTED_VALUE"""),1.1112012E7)</f>
        <v>11112012</v>
      </c>
      <c r="B223" s="148" t="str">
        <f>IFERROR(__xludf.DUMMYFUNCTION("""COMPUTED_VALUE"""),"2023圣诞节活动专用-增加次数道具")</f>
        <v>2023圣诞节活动专用-增加次数道具</v>
      </c>
      <c r="C223" s="148"/>
      <c r="D223" s="148" t="str">
        <f>IFERROR(__xludf.DUMMYFUNCTION("""COMPUTED_VALUE"""),"event_progress")</f>
        <v>event_progress</v>
      </c>
      <c r="E223" s="148">
        <f>IFERROR(__xludf.DUMMYFUNCTION("""COMPUTED_VALUE"""),0.0)</f>
        <v>0</v>
      </c>
      <c r="F223" s="148">
        <f>IFERROR(__xludf.DUMMYFUNCTION("""COMPUTED_VALUE"""),0.0)</f>
        <v>0</v>
      </c>
      <c r="G223" s="148">
        <f>IFERROR(__xludf.DUMMYFUNCTION("""COMPUTED_VALUE"""),1.5113732E7)</f>
        <v>15113732</v>
      </c>
      <c r="H223" s="148">
        <f>IFERROR(__xludf.DUMMYFUNCTION("""COMPUTED_VALUE"""),1.5112563E7)</f>
        <v>15112563</v>
      </c>
      <c r="I223" s="148" t="str">
        <f>IFERROR(__xludf.DUMMYFUNCTION("""COMPUTED_VALUE"""),"{}")</f>
        <v>{}</v>
      </c>
      <c r="J223" s="148" t="str">
        <f>IFERROR(__xludf.DUMMYFUNCTION("""COMPUTED_VALUE"""),"{}")</f>
        <v>{}</v>
      </c>
      <c r="K223" s="148" t="str">
        <f>IFERROR(__xludf.DUMMYFUNCTION("""COMPUTED_VALUE"""),"{}")</f>
        <v>{}</v>
      </c>
      <c r="L223" s="148" t="str">
        <f>IFERROR(__xludf.DUMMYFUNCTION("""COMPUTED_VALUE"""),"{}")</f>
        <v>{}</v>
      </c>
      <c r="M223" s="148">
        <f>IFERROR(__xludf.DUMMYFUNCTION("""COMPUTED_VALUE"""),1.0)</f>
        <v>1</v>
      </c>
      <c r="N223" s="148">
        <f>IFERROR(__xludf.DUMMYFUNCTION("""COMPUTED_VALUE"""),999999.0)</f>
        <v>999999</v>
      </c>
      <c r="O223" s="148">
        <f>IFERROR(__xludf.DUMMYFUNCTION("""COMPUTED_VALUE"""),99999.0)</f>
        <v>99999</v>
      </c>
      <c r="P223" s="148">
        <f>IFERROR(__xludf.DUMMYFUNCTION("""COMPUTED_VALUE"""),9999.0)</f>
        <v>9999</v>
      </c>
      <c r="Q223" s="148" t="str">
        <f>IFERROR(__xludf.DUMMYFUNCTION("""COMPUTED_VALUE"""),"[]")</f>
        <v>[]</v>
      </c>
      <c r="R223" s="148" t="str">
        <f>IFERROR(__xludf.DUMMYFUNCTION("""COMPUTED_VALUE"""),"[]")</f>
        <v>[]</v>
      </c>
      <c r="S223" s="148" t="str">
        <f>IFERROR(__xludf.DUMMYFUNCTION("""COMPUTED_VALUE"""),"{""effect"":[{""typ"":""event"",""id"":21127014},{""typ"":""miss_lost_reward""}]}")</f>
        <v>{"effect":[{"typ":"event","id":21127014},{"typ":"miss_lost_reward"}]}</v>
      </c>
      <c r="T223" s="148">
        <f>IFERROR(__xludf.DUMMYFUNCTION("""COMPUTED_VALUE"""),-1.0)</f>
        <v>-1</v>
      </c>
      <c r="U223" s="148">
        <f>IFERROR(__xludf.DUMMYFUNCTION("""COMPUTED_VALUE"""),1.0)</f>
        <v>1</v>
      </c>
      <c r="V223" s="148" t="str">
        <f>IFERROR(__xludf.DUMMYFUNCTION("""COMPUTED_VALUE"""),"[]")</f>
        <v>[]</v>
      </c>
      <c r="W223" s="148">
        <f>IFERROR(__xludf.DUMMYFUNCTION("""COMPUTED_VALUE"""),1.174E7)</f>
        <v>11740000</v>
      </c>
      <c r="X223" s="148">
        <f>IFERROR(__xludf.DUMMYFUNCTION("""COMPUTED_VALUE"""),0.0)</f>
        <v>0</v>
      </c>
      <c r="Y223" s="148">
        <f>IFERROR(__xludf.DUMMYFUNCTION("""COMPUTED_VALUE"""),0.0)</f>
        <v>0</v>
      </c>
      <c r="Z223" s="148"/>
    </row>
    <row r="224">
      <c r="A224" s="148">
        <f>IFERROR(__xludf.DUMMYFUNCTION("""COMPUTED_VALUE"""),1.1112013E7)</f>
        <v>11112013</v>
      </c>
      <c r="B224" s="148" t="str">
        <f>IFERROR(__xludf.DUMMYFUNCTION("""COMPUTED_VALUE"""),"2023圣诞节活动-解锁宝箱礼包钥匙")</f>
        <v>2023圣诞节活动-解锁宝箱礼包钥匙</v>
      </c>
      <c r="C224" s="148"/>
      <c r="D224" s="148" t="str">
        <f>IFERROR(__xludf.DUMMYFUNCTION("""COMPUTED_VALUE"""),"event")</f>
        <v>event</v>
      </c>
      <c r="E224" s="148">
        <f>IFERROR(__xludf.DUMMYFUNCTION("""COMPUTED_VALUE"""),0.0)</f>
        <v>0</v>
      </c>
      <c r="F224" s="148">
        <f>IFERROR(__xludf.DUMMYFUNCTION("""COMPUTED_VALUE"""),0.0)</f>
        <v>0</v>
      </c>
      <c r="G224" s="148">
        <f>IFERROR(__xludf.DUMMYFUNCTION("""COMPUTED_VALUE"""),1.5117142E7)</f>
        <v>15117142</v>
      </c>
      <c r="H224" s="148">
        <f>IFERROR(__xludf.DUMMYFUNCTION("""COMPUTED_VALUE"""),1.5112564E7)</f>
        <v>15112564</v>
      </c>
      <c r="I224" s="148" t="str">
        <f>IFERROR(__xludf.DUMMYFUNCTION("""COMPUTED_VALUE"""),"{}")</f>
        <v>{}</v>
      </c>
      <c r="J224" s="148" t="str">
        <f>IFERROR(__xludf.DUMMYFUNCTION("""COMPUTED_VALUE"""),"{""typ"":""lc"",""txt"":""LC_ITEM_seven_day_box_key_name""}")</f>
        <v>{"typ":"lc","txt":"LC_ITEM_seven_day_box_key_name"}</v>
      </c>
      <c r="K224" s="148" t="str">
        <f>IFERROR(__xludf.DUMMYFUNCTION("""COMPUTED_VALUE"""),"{""typ"":""lc"",""txt"":""LC_ITEM_seven_day_box_key_desc""}")</f>
        <v>{"typ":"lc","txt":"LC_ITEM_seven_day_box_key_desc"}</v>
      </c>
      <c r="L224" s="148" t="str">
        <f>IFERROR(__xludf.DUMMYFUNCTION("""COMPUTED_VALUE"""),"{}")</f>
        <v>{}</v>
      </c>
      <c r="M224" s="148">
        <f>IFERROR(__xludf.DUMMYFUNCTION("""COMPUTED_VALUE"""),10.0)</f>
        <v>10</v>
      </c>
      <c r="N224" s="148">
        <f>IFERROR(__xludf.DUMMYFUNCTION("""COMPUTED_VALUE"""),999999.0)</f>
        <v>999999</v>
      </c>
      <c r="O224" s="148">
        <f>IFERROR(__xludf.DUMMYFUNCTION("""COMPUTED_VALUE"""),99999.0)</f>
        <v>99999</v>
      </c>
      <c r="P224" s="148">
        <f>IFERROR(__xludf.DUMMYFUNCTION("""COMPUTED_VALUE"""),9999.0)</f>
        <v>9999</v>
      </c>
      <c r="Q224" s="148" t="str">
        <f>IFERROR(__xludf.DUMMYFUNCTION("""COMPUTED_VALUE"""),"[""bag_other""]")</f>
        <v>["bag_other"]</v>
      </c>
      <c r="R224" s="148" t="str">
        <f>IFERROR(__xludf.DUMMYFUNCTION("""COMPUTED_VALUE"""),"[]")</f>
        <v>[]</v>
      </c>
      <c r="S224" s="148" t="str">
        <f>IFERROR(__xludf.DUMMYFUNCTION("""COMPUTED_VALUE"""),"{}")</f>
        <v>{}</v>
      </c>
      <c r="T224" s="148">
        <f>IFERROR(__xludf.DUMMYFUNCTION("""COMPUTED_VALUE"""),-1.0)</f>
        <v>-1</v>
      </c>
      <c r="U224" s="148">
        <f>IFERROR(__xludf.DUMMYFUNCTION("""COMPUTED_VALUE"""),0.0)</f>
        <v>0</v>
      </c>
      <c r="V224" s="148" t="str">
        <f>IFERROR(__xludf.DUMMYFUNCTION("""COMPUTED_VALUE"""),"[]")</f>
        <v>[]</v>
      </c>
      <c r="W224" s="148">
        <f>IFERROR(__xludf.DUMMYFUNCTION("""COMPUTED_VALUE"""),1.174E7)</f>
        <v>11740000</v>
      </c>
      <c r="X224" s="148">
        <f>IFERROR(__xludf.DUMMYFUNCTION("""COMPUTED_VALUE"""),0.0)</f>
        <v>0</v>
      </c>
      <c r="Y224" s="148">
        <f>IFERROR(__xludf.DUMMYFUNCTION("""COMPUTED_VALUE"""),0.0)</f>
        <v>0</v>
      </c>
      <c r="Z224" s="148"/>
    </row>
    <row r="225">
      <c r="A225" s="148">
        <f>IFERROR(__xludf.DUMMYFUNCTION("""COMPUTED_VALUE"""),1.1112014E7)</f>
        <v>11112014</v>
      </c>
      <c r="B225" s="148" t="str">
        <f>IFERROR(__xludf.DUMMYFUNCTION("""COMPUTED_VALUE"""),"2023圣诞节-7日活动宝箱-显示用")</f>
        <v>2023圣诞节-7日活动宝箱-显示用</v>
      </c>
      <c r="C225" s="148"/>
      <c r="D225" s="148" t="str">
        <f>IFERROR(__xludf.DUMMYFUNCTION("""COMPUTED_VALUE"""),"event")</f>
        <v>event</v>
      </c>
      <c r="E225" s="148">
        <f>IFERROR(__xludf.DUMMYFUNCTION("""COMPUTED_VALUE"""),0.0)</f>
        <v>0</v>
      </c>
      <c r="F225" s="148">
        <f>IFERROR(__xludf.DUMMYFUNCTION("""COMPUTED_VALUE"""),0.0)</f>
        <v>0</v>
      </c>
      <c r="G225" s="148">
        <f>IFERROR(__xludf.DUMMYFUNCTION("""COMPUTED_VALUE"""),1.5117141E7)</f>
        <v>15117141</v>
      </c>
      <c r="H225" s="148">
        <f>IFERROR(__xludf.DUMMYFUNCTION("""COMPUTED_VALUE"""),1.5112564E7)</f>
        <v>15112564</v>
      </c>
      <c r="I225" s="148" t="str">
        <f>IFERROR(__xludf.DUMMYFUNCTION("""COMPUTED_VALUE"""),"{}")</f>
        <v>{}</v>
      </c>
      <c r="J225" s="148" t="str">
        <f>IFERROR(__xludf.DUMMYFUNCTION("""COMPUTED_VALUE"""),"{""typ"":""lc"",""txt"":""LC_ITEM_seven_day_box_name""}")</f>
        <v>{"typ":"lc","txt":"LC_ITEM_seven_day_box_name"}</v>
      </c>
      <c r="K225" s="148" t="str">
        <f>IFERROR(__xludf.DUMMYFUNCTION("""COMPUTED_VALUE"""),"{""typ"":""lc"",""txt"":""LC_ITEM_seven_day_box_desc""}")</f>
        <v>{"typ":"lc","txt":"LC_ITEM_seven_day_box_desc"}</v>
      </c>
      <c r="L225" s="148" t="str">
        <f>IFERROR(__xludf.DUMMYFUNCTION("""COMPUTED_VALUE"""),"{}")</f>
        <v>{}</v>
      </c>
      <c r="M225" s="148">
        <f>IFERROR(__xludf.DUMMYFUNCTION("""COMPUTED_VALUE"""),1.0)</f>
        <v>1</v>
      </c>
      <c r="N225" s="148">
        <f>IFERROR(__xludf.DUMMYFUNCTION("""COMPUTED_VALUE"""),999999.0)</f>
        <v>999999</v>
      </c>
      <c r="O225" s="148">
        <f>IFERROR(__xludf.DUMMYFUNCTION("""COMPUTED_VALUE"""),99999.0)</f>
        <v>99999</v>
      </c>
      <c r="P225" s="148">
        <f>IFERROR(__xludf.DUMMYFUNCTION("""COMPUTED_VALUE"""),9999.0)</f>
        <v>9999</v>
      </c>
      <c r="Q225" s="148" t="str">
        <f>IFERROR(__xludf.DUMMYFUNCTION("""COMPUTED_VALUE"""),"[]")</f>
        <v>[]</v>
      </c>
      <c r="R225" s="148" t="str">
        <f>IFERROR(__xludf.DUMMYFUNCTION("""COMPUTED_VALUE"""),"[]")</f>
        <v>[]</v>
      </c>
      <c r="S225" s="148" t="str">
        <f>IFERROR(__xludf.DUMMYFUNCTION("""COMPUTED_VALUE"""),"{""effect"":[{""typ"":""miss_lost_reward""}]}")</f>
        <v>{"effect":[{"typ":"miss_lost_reward"}]}</v>
      </c>
      <c r="T225" s="148">
        <f>IFERROR(__xludf.DUMMYFUNCTION("""COMPUTED_VALUE"""),-1.0)</f>
        <v>-1</v>
      </c>
      <c r="U225" s="148">
        <f>IFERROR(__xludf.DUMMYFUNCTION("""COMPUTED_VALUE"""),1.0)</f>
        <v>1</v>
      </c>
      <c r="V225" s="148" t="str">
        <f>IFERROR(__xludf.DUMMYFUNCTION("""COMPUTED_VALUE"""),"[]")</f>
        <v>[]</v>
      </c>
      <c r="W225" s="148">
        <f>IFERROR(__xludf.DUMMYFUNCTION("""COMPUTED_VALUE"""),1.174E7)</f>
        <v>11740000</v>
      </c>
      <c r="X225" s="148">
        <f>IFERROR(__xludf.DUMMYFUNCTION("""COMPUTED_VALUE"""),0.0)</f>
        <v>0</v>
      </c>
      <c r="Y225" s="148">
        <f>IFERROR(__xludf.DUMMYFUNCTION("""COMPUTED_VALUE"""),0.0)</f>
        <v>0</v>
      </c>
      <c r="Z225" s="148"/>
    </row>
    <row r="226">
      <c r="A226" s="148">
        <f>IFERROR(__xludf.DUMMYFUNCTION("""COMPUTED_VALUE"""),1.1112015E7)</f>
        <v>11112015</v>
      </c>
      <c r="B226" s="148" t="str">
        <f>IFERROR(__xludf.DUMMYFUNCTION("""COMPUTED_VALUE"""),"主城皮肤-圣诞节高级皮肤2023-14天")</f>
        <v>主城皮肤-圣诞节高级皮肤2023-14天</v>
      </c>
      <c r="C226" s="148"/>
      <c r="D226" s="148" t="str">
        <f>IFERROR(__xludf.DUMMYFUNCTION("""COMPUTED_VALUE"""),"city_skin")</f>
        <v>city_skin</v>
      </c>
      <c r="E226" s="148">
        <f>IFERROR(__xludf.DUMMYFUNCTION("""COMPUTED_VALUE"""),21.0)</f>
        <v>21</v>
      </c>
      <c r="F226" s="148">
        <f>IFERROR(__xludf.DUMMYFUNCTION("""COMPUTED_VALUE"""),400106.0)</f>
        <v>400106</v>
      </c>
      <c r="G226" s="148">
        <f>IFERROR(__xludf.DUMMYFUNCTION("""COMPUTED_VALUE"""),1.5117464E7)</f>
        <v>15117464</v>
      </c>
      <c r="H226" s="148">
        <f>IFERROR(__xludf.DUMMYFUNCTION("""COMPUTED_VALUE"""),1.5112564E7)</f>
        <v>15112564</v>
      </c>
      <c r="I226" s="148" t="str">
        <f>IFERROR(__xludf.DUMMYFUNCTION("""COMPUTED_VALUE"""),"{""typ"":""lc"",""txt"":""LC_ITEM_time_day_upper_show"",""args"":[{""typ"":""int"",""val"":14}]}")</f>
        <v>{"typ":"lc","txt":"LC_ITEM_time_day_upper_show","args":[{"typ":"int","val":14}]}</v>
      </c>
      <c r="J226" s="148" t="str">
        <f>IFERROR(__xludf.DUMMYFUNCTION("""COMPUTED_VALUE"""),"{""typ"":""lc"",""txt"":""LC_ITEM_2023chrismas_2023_highcity_skin_title_14day""}")</f>
        <v>{"typ":"lc","txt":"LC_ITEM_2023chrismas_2023_highcity_skin_title_14day"}</v>
      </c>
      <c r="K226" s="148" t="str">
        <f>IFERROR(__xludf.DUMMYFUNCTION("""COMPUTED_VALUE"""),"{""typ"":""lc"",""txt"":""LC_ITEM_2023chrismas_highskin_desc_14days""}")</f>
        <v>{"typ":"lc","txt":"LC_ITEM_2023chrismas_highskin_desc_14days"}</v>
      </c>
      <c r="L226" s="148" t="str">
        <f>IFERROR(__xludf.DUMMYFUNCTION("""COMPUTED_VALUE"""),"{""typ"":""lc"",""txt"":""LC_ITEM_city_skin_rocket_use_tips""}")</f>
        <v>{"typ":"lc","txt":"LC_ITEM_city_skin_rocket_use_tips"}</v>
      </c>
      <c r="M226" s="148">
        <f>IFERROR(__xludf.DUMMYFUNCTION("""COMPUTED_VALUE"""),10000.0)</f>
        <v>10000</v>
      </c>
      <c r="N226" s="148">
        <f>IFERROR(__xludf.DUMMYFUNCTION("""COMPUTED_VALUE"""),999.0)</f>
        <v>999</v>
      </c>
      <c r="O226" s="148">
        <f>IFERROR(__xludf.DUMMYFUNCTION("""COMPUTED_VALUE"""),1.0)</f>
        <v>1</v>
      </c>
      <c r="P226" s="148">
        <f>IFERROR(__xludf.DUMMYFUNCTION("""COMPUTED_VALUE"""),1.0)</f>
        <v>1</v>
      </c>
      <c r="Q226" s="148" t="str">
        <f>IFERROR(__xludf.DUMMYFUNCTION("""COMPUTED_VALUE"""),"[""bag_other""]")</f>
        <v>["bag_other"]</v>
      </c>
      <c r="R226" s="148" t="str">
        <f>IFERROR(__xludf.DUMMYFUNCTION("""COMPUTED_VALUE"""),"[""bag"",""13121029""]")</f>
        <v>["bag","13121029"]</v>
      </c>
      <c r="S226" s="148" t="str">
        <f>IFERROR(__xludf.DUMMYFUNCTION("""COMPUTED_VALUE"""),"{""effect"":[{""typ"":""city_skin"",""id"":13121029,""val"":1209600000},{""typ"":""item"",""id"":11111021,""val"":7}]}")</f>
        <v>{"effect":[{"typ":"city_skin","id":13121029,"val":1209600000},{"typ":"item","id":11111021,"val":7}]}</v>
      </c>
      <c r="T226" s="148">
        <f>IFERROR(__xludf.DUMMYFUNCTION("""COMPUTED_VALUE"""),-1.0)</f>
        <v>-1</v>
      </c>
      <c r="U226" s="148">
        <f>IFERROR(__xludf.DUMMYFUNCTION("""COMPUTED_VALUE"""),0.0)</f>
        <v>0</v>
      </c>
      <c r="V226" s="148" t="str">
        <f>IFERROR(__xludf.DUMMYFUNCTION("""COMPUTED_VALUE"""),"[]")</f>
        <v>[]</v>
      </c>
      <c r="W226" s="148">
        <f>IFERROR(__xludf.DUMMYFUNCTION("""COMPUTED_VALUE"""),1.174E7)</f>
        <v>11740000</v>
      </c>
      <c r="X226" s="148">
        <f>IFERROR(__xludf.DUMMYFUNCTION("""COMPUTED_VALUE"""),0.0)</f>
        <v>0</v>
      </c>
      <c r="Y226" s="148">
        <f>IFERROR(__xludf.DUMMYFUNCTION("""COMPUTED_VALUE"""),0.0)</f>
        <v>0</v>
      </c>
      <c r="Z226" s="148"/>
    </row>
    <row r="227">
      <c r="A227" s="148">
        <f>IFERROR(__xludf.DUMMYFUNCTION("""COMPUTED_VALUE"""),1.1112016E7)</f>
        <v>11112016</v>
      </c>
      <c r="B227" s="148" t="str">
        <f>IFERROR(__xludf.DUMMYFUNCTION("""COMPUTED_VALUE"""),"主城皮肤-圣诞节高级皮肤2023-7天")</f>
        <v>主城皮肤-圣诞节高级皮肤2023-7天</v>
      </c>
      <c r="C227" s="148"/>
      <c r="D227" s="148" t="str">
        <f>IFERROR(__xludf.DUMMYFUNCTION("""COMPUTED_VALUE"""),"city_skin")</f>
        <v>city_skin</v>
      </c>
      <c r="E227" s="148">
        <f>IFERROR(__xludf.DUMMYFUNCTION("""COMPUTED_VALUE"""),21.0)</f>
        <v>21</v>
      </c>
      <c r="F227" s="148">
        <f>IFERROR(__xludf.DUMMYFUNCTION("""COMPUTED_VALUE"""),400106.0)</f>
        <v>400106</v>
      </c>
      <c r="G227" s="148">
        <f>IFERROR(__xludf.DUMMYFUNCTION("""COMPUTED_VALUE"""),1.5117464E7)</f>
        <v>15117464</v>
      </c>
      <c r="H227" s="148">
        <f>IFERROR(__xludf.DUMMYFUNCTION("""COMPUTED_VALUE"""),1.5112564E7)</f>
        <v>15112564</v>
      </c>
      <c r="I227" s="148" t="str">
        <f>IFERROR(__xludf.DUMMYFUNCTION("""COMPUTED_VALUE"""),"{""typ"":""lc"",""txt"":""LC_ITEM_time_day_upper_show"",""args"":[{""typ"":""int"",""val"":7}]}")</f>
        <v>{"typ":"lc","txt":"LC_ITEM_time_day_upper_show","args":[{"typ":"int","val":7}]}</v>
      </c>
      <c r="J227" s="148" t="str">
        <f>IFERROR(__xludf.DUMMYFUNCTION("""COMPUTED_VALUE"""),"{""typ"":""lc"",""txt"":""LC_ITEM_2023chrismas_2023_highcity_skin_title_7day""}")</f>
        <v>{"typ":"lc","txt":"LC_ITEM_2023chrismas_2023_highcity_skin_title_7day"}</v>
      </c>
      <c r="K227" s="148" t="str">
        <f>IFERROR(__xludf.DUMMYFUNCTION("""COMPUTED_VALUE"""),"{""typ"":""lc"",""txt"":""LC_ITEM_2023chrismas_highskin_desc_7days""}")</f>
        <v>{"typ":"lc","txt":"LC_ITEM_2023chrismas_highskin_desc_7days"}</v>
      </c>
      <c r="L227" s="148" t="str">
        <f>IFERROR(__xludf.DUMMYFUNCTION("""COMPUTED_VALUE"""),"{""typ"":""lc"",""txt"":""LC_ITEM_city_skin_rocket_use_tips""}")</f>
        <v>{"typ":"lc","txt":"LC_ITEM_city_skin_rocket_use_tips"}</v>
      </c>
      <c r="M227" s="148">
        <f>IFERROR(__xludf.DUMMYFUNCTION("""COMPUTED_VALUE"""),10000.0)</f>
        <v>10000</v>
      </c>
      <c r="N227" s="148">
        <f>IFERROR(__xludf.DUMMYFUNCTION("""COMPUTED_VALUE"""),999.0)</f>
        <v>999</v>
      </c>
      <c r="O227" s="148">
        <f>IFERROR(__xludf.DUMMYFUNCTION("""COMPUTED_VALUE"""),1.0)</f>
        <v>1</v>
      </c>
      <c r="P227" s="148">
        <f>IFERROR(__xludf.DUMMYFUNCTION("""COMPUTED_VALUE"""),1.0)</f>
        <v>1</v>
      </c>
      <c r="Q227" s="148" t="str">
        <f>IFERROR(__xludf.DUMMYFUNCTION("""COMPUTED_VALUE"""),"[""bag_other""]")</f>
        <v>["bag_other"]</v>
      </c>
      <c r="R227" s="148" t="str">
        <f>IFERROR(__xludf.DUMMYFUNCTION("""COMPUTED_VALUE"""),"[""bag"",""13121029""]")</f>
        <v>["bag","13121029"]</v>
      </c>
      <c r="S227" s="148" t="str">
        <f>IFERROR(__xludf.DUMMYFUNCTION("""COMPUTED_VALUE"""),"{""effect"":[{""typ"":""city_skin"",""id"":13121029,""val"":604800000},{""typ"":""item"",""id"":11111021,""val"":3}]}")</f>
        <v>{"effect":[{"typ":"city_skin","id":13121029,"val":604800000},{"typ":"item","id":11111021,"val":3}]}</v>
      </c>
      <c r="T227" s="148">
        <f>IFERROR(__xludf.DUMMYFUNCTION("""COMPUTED_VALUE"""),-1.0)</f>
        <v>-1</v>
      </c>
      <c r="U227" s="148">
        <f>IFERROR(__xludf.DUMMYFUNCTION("""COMPUTED_VALUE"""),0.0)</f>
        <v>0</v>
      </c>
      <c r="V227" s="148" t="str">
        <f>IFERROR(__xludf.DUMMYFUNCTION("""COMPUTED_VALUE"""),"[]")</f>
        <v>[]</v>
      </c>
      <c r="W227" s="148">
        <f>IFERROR(__xludf.DUMMYFUNCTION("""COMPUTED_VALUE"""),1.174E7)</f>
        <v>11740000</v>
      </c>
      <c r="X227" s="148">
        <f>IFERROR(__xludf.DUMMYFUNCTION("""COMPUTED_VALUE"""),0.0)</f>
        <v>0</v>
      </c>
      <c r="Y227" s="148">
        <f>IFERROR(__xludf.DUMMYFUNCTION("""COMPUTED_VALUE"""),0.0)</f>
        <v>0</v>
      </c>
      <c r="Z227" s="148"/>
    </row>
    <row r="228">
      <c r="A228" s="148">
        <f>IFERROR(__xludf.DUMMYFUNCTION("""COMPUTED_VALUE"""),1.1112017E7)</f>
        <v>11112017</v>
      </c>
      <c r="B228" s="148" t="str">
        <f>IFERROR(__xludf.DUMMYFUNCTION("""COMPUTED_VALUE"""),"主城皮肤-圣诞节高级皮肤2023")</f>
        <v>主城皮肤-圣诞节高级皮肤2023</v>
      </c>
      <c r="C228" s="148"/>
      <c r="D228" s="148" t="str">
        <f>IFERROR(__xludf.DUMMYFUNCTION("""COMPUTED_VALUE"""),"city_skin")</f>
        <v>city_skin</v>
      </c>
      <c r="E228" s="148">
        <f>IFERROR(__xludf.DUMMYFUNCTION("""COMPUTED_VALUE"""),21.0)</f>
        <v>21</v>
      </c>
      <c r="F228" s="148">
        <f>IFERROR(__xludf.DUMMYFUNCTION("""COMPUTED_VALUE"""),400106.0)</f>
        <v>400106</v>
      </c>
      <c r="G228" s="148">
        <f>IFERROR(__xludf.DUMMYFUNCTION("""COMPUTED_VALUE"""),1.5117464E7)</f>
        <v>15117464</v>
      </c>
      <c r="H228" s="148">
        <f>IFERROR(__xludf.DUMMYFUNCTION("""COMPUTED_VALUE"""),1.5112564E7)</f>
        <v>15112564</v>
      </c>
      <c r="I228" s="148" t="str">
        <f>IFERROR(__xludf.DUMMYFUNCTION("""COMPUTED_VALUE"""),"{}")</f>
        <v>{}</v>
      </c>
      <c r="J228" s="148" t="str">
        <f>IFERROR(__xludf.DUMMYFUNCTION("""COMPUTED_VALUE"""),"{""typ"":""lc"",""txt"":""LC_ITEM_2023chrismas_2023_highcity_skin_title""}")</f>
        <v>{"typ":"lc","txt":"LC_ITEM_2023chrismas_2023_highcity_skin_title"}</v>
      </c>
      <c r="K228" s="148" t="str">
        <f>IFERROR(__xludf.DUMMYFUNCTION("""COMPUTED_VALUE"""),"{""typ"":""lc"",""txt"":""LC_ITEM_2023chrismas_highskin_desc_forever""}")</f>
        <v>{"typ":"lc","txt":"LC_ITEM_2023chrismas_highskin_desc_forever"}</v>
      </c>
      <c r="L228" s="148" t="str">
        <f>IFERROR(__xludf.DUMMYFUNCTION("""COMPUTED_VALUE"""),"{""typ"":""lc"",""txt"":""LC_ITEM_city_skin_rocket_use_tips""}")</f>
        <v>{"typ":"lc","txt":"LC_ITEM_city_skin_rocket_use_tips"}</v>
      </c>
      <c r="M228" s="148">
        <f>IFERROR(__xludf.DUMMYFUNCTION("""COMPUTED_VALUE"""),10000.0)</f>
        <v>10000</v>
      </c>
      <c r="N228" s="148">
        <f>IFERROR(__xludf.DUMMYFUNCTION("""COMPUTED_VALUE"""),999.0)</f>
        <v>999</v>
      </c>
      <c r="O228" s="148">
        <f>IFERROR(__xludf.DUMMYFUNCTION("""COMPUTED_VALUE"""),1.0)</f>
        <v>1</v>
      </c>
      <c r="P228" s="148">
        <f>IFERROR(__xludf.DUMMYFUNCTION("""COMPUTED_VALUE"""),1.0)</f>
        <v>1</v>
      </c>
      <c r="Q228" s="148" t="str">
        <f>IFERROR(__xludf.DUMMYFUNCTION("""COMPUTED_VALUE"""),"[""bag_other""]")</f>
        <v>["bag_other"]</v>
      </c>
      <c r="R228" s="148" t="str">
        <f>IFERROR(__xludf.DUMMYFUNCTION("""COMPUTED_VALUE"""),"[""bag"",""13121029""]")</f>
        <v>["bag","13121029"]</v>
      </c>
      <c r="S228" s="148" t="str">
        <f>IFERROR(__xludf.DUMMYFUNCTION("""COMPUTED_VALUE"""),"{""effect"":[{""typ"":""city_skin"",""id"":13121029,""val"":-1},{""typ"":""item"",""id"":11111034,""val"":10}]}")</f>
        <v>{"effect":[{"typ":"city_skin","id":13121029,"val":-1},{"typ":"item","id":11111034,"val":10}]}</v>
      </c>
      <c r="T228" s="148">
        <f>IFERROR(__xludf.DUMMYFUNCTION("""COMPUTED_VALUE"""),-1.0)</f>
        <v>-1</v>
      </c>
      <c r="U228" s="148">
        <f>IFERROR(__xludf.DUMMYFUNCTION("""COMPUTED_VALUE"""),0.0)</f>
        <v>0</v>
      </c>
      <c r="V228" s="148" t="str">
        <f>IFERROR(__xludf.DUMMYFUNCTION("""COMPUTED_VALUE"""),"[]")</f>
        <v>[]</v>
      </c>
      <c r="W228" s="148">
        <f>IFERROR(__xludf.DUMMYFUNCTION("""COMPUTED_VALUE"""),1.174E7)</f>
        <v>11740000</v>
      </c>
      <c r="X228" s="148">
        <f>IFERROR(__xludf.DUMMYFUNCTION("""COMPUTED_VALUE"""),0.0)</f>
        <v>0</v>
      </c>
      <c r="Y228" s="148">
        <f>IFERROR(__xludf.DUMMYFUNCTION("""COMPUTED_VALUE"""),0.0)</f>
        <v>0</v>
      </c>
      <c r="Z228" s="148"/>
    </row>
    <row r="229">
      <c r="A229" s="148">
        <f>IFERROR(__xludf.DUMMYFUNCTION("""COMPUTED_VALUE"""),1.1112018E7)</f>
        <v>11112018</v>
      </c>
      <c r="B229" s="148" t="str">
        <f>IFERROR(__xludf.DUMMYFUNCTION("""COMPUTED_VALUE"""),"圣诞节2023-装饰升级版本")</f>
        <v>圣诞节2023-装饰升级版本</v>
      </c>
      <c r="C229" s="148"/>
      <c r="D229" s="148" t="str">
        <f>IFERROR(__xludf.DUMMYFUNCTION("""COMPUTED_VALUE"""),"statue_decorate")</f>
        <v>statue_decorate</v>
      </c>
      <c r="E229" s="148">
        <f>IFERROR(__xludf.DUMMYFUNCTION("""COMPUTED_VALUE"""),23.0)</f>
        <v>23</v>
      </c>
      <c r="F229" s="148">
        <f>IFERROR(__xludf.DUMMYFUNCTION("""COMPUTED_VALUE"""),0.0)</f>
        <v>0</v>
      </c>
      <c r="G229" s="148">
        <f>IFERROR(__xludf.DUMMYFUNCTION("""COMPUTED_VALUE"""),1.5117508E7)</f>
        <v>15117508</v>
      </c>
      <c r="H229" s="148">
        <f>IFERROR(__xludf.DUMMYFUNCTION("""COMPUTED_VALUE"""),1.5112564E7)</f>
        <v>15112564</v>
      </c>
      <c r="I229" s="148" t="str">
        <f>IFERROR(__xludf.DUMMYFUNCTION("""COMPUTED_VALUE"""),"{}")</f>
        <v>{}</v>
      </c>
      <c r="J229" s="148" t="str">
        <f>IFERROR(__xludf.DUMMYFUNCTION("""COMPUTED_VALUE"""),"{""typ"":""lc"",""txt"":""LC_ITEM_2023chrismas_dec_item_2""}")</f>
        <v>{"typ":"lc","txt":"LC_ITEM_2023chrismas_dec_item_2"}</v>
      </c>
      <c r="K229" s="148" t="str">
        <f>IFERROR(__xludf.DUMMYFUNCTION("""COMPUTED_VALUE"""),"{""typ"":""lc"",""txt"":""LC_ITEM_2023chrismas_dec_item_3_desc""}")</f>
        <v>{"typ":"lc","txt":"LC_ITEM_2023chrismas_dec_item_3_desc"}</v>
      </c>
      <c r="L229" s="148" t="str">
        <f>IFERROR(__xludf.DUMMYFUNCTION("""COMPUTED_VALUE"""),"{}")</f>
        <v>{}</v>
      </c>
      <c r="M229" s="148">
        <f>IFERROR(__xludf.DUMMYFUNCTION("""COMPUTED_VALUE"""),5000.0)</f>
        <v>5000</v>
      </c>
      <c r="N229" s="148">
        <f>IFERROR(__xludf.DUMMYFUNCTION("""COMPUTED_VALUE"""),999.0)</f>
        <v>999</v>
      </c>
      <c r="O229" s="148">
        <f>IFERROR(__xludf.DUMMYFUNCTION("""COMPUTED_VALUE"""),99999.0)</f>
        <v>99999</v>
      </c>
      <c r="P229" s="148">
        <f>IFERROR(__xludf.DUMMYFUNCTION("""COMPUTED_VALUE"""),99999.0)</f>
        <v>99999</v>
      </c>
      <c r="Q229" s="148" t="str">
        <f>IFERROR(__xludf.DUMMYFUNCTION("""COMPUTED_VALUE"""),"[]")</f>
        <v>[]</v>
      </c>
      <c r="R229" s="148" t="str">
        <f>IFERROR(__xludf.DUMMYFUNCTION("""COMPUTED_VALUE"""),"[""bag""]")</f>
        <v>["bag"]</v>
      </c>
      <c r="S229" s="148" t="str">
        <f>IFERROR(__xludf.DUMMYFUNCTION("""COMPUTED_VALUE"""),"{""effect"":[{""typ"":""holiday_statue"",""id"":21481001}]}")</f>
        <v>{"effect":[{"typ":"holiday_statue","id":21481001}]}</v>
      </c>
      <c r="T229" s="148">
        <f>IFERROR(__xludf.DUMMYFUNCTION("""COMPUTED_VALUE"""),-1.0)</f>
        <v>-1</v>
      </c>
      <c r="U229" s="148">
        <f>IFERROR(__xludf.DUMMYFUNCTION("""COMPUTED_VALUE"""),1.0)</f>
        <v>1</v>
      </c>
      <c r="V229" s="148" t="str">
        <f>IFERROR(__xludf.DUMMYFUNCTION("""COMPUTED_VALUE"""),"[]")</f>
        <v>[]</v>
      </c>
      <c r="W229" s="148">
        <f>IFERROR(__xludf.DUMMYFUNCTION("""COMPUTED_VALUE"""),1.174E7)</f>
        <v>11740000</v>
      </c>
      <c r="X229" s="148">
        <f>IFERROR(__xludf.DUMMYFUNCTION("""COMPUTED_VALUE"""),0.0)</f>
        <v>0</v>
      </c>
      <c r="Y229" s="148">
        <f>IFERROR(__xludf.DUMMYFUNCTION("""COMPUTED_VALUE"""),0.0)</f>
        <v>0</v>
      </c>
      <c r="Z229" s="148"/>
    </row>
    <row r="230">
      <c r="A230" s="148">
        <f>IFERROR(__xludf.DUMMYFUNCTION("""COMPUTED_VALUE"""),1.1112019E7)</f>
        <v>11112019</v>
      </c>
      <c r="B230" s="148" t="str">
        <f>IFERROR(__xludf.DUMMYFUNCTION("""COMPUTED_VALUE"""),"圣诞袜（2023）gacha道具")</f>
        <v>圣诞袜（2023）gacha道具</v>
      </c>
      <c r="C230" s="148"/>
      <c r="D230" s="148" t="str">
        <f>IFERROR(__xludf.DUMMYFUNCTION("""COMPUTED_VALUE"""),"event")</f>
        <v>event</v>
      </c>
      <c r="E230" s="148">
        <f>IFERROR(__xludf.DUMMYFUNCTION("""COMPUTED_VALUE"""),0.0)</f>
        <v>0</v>
      </c>
      <c r="F230" s="148">
        <f>IFERROR(__xludf.DUMMYFUNCTION("""COMPUTED_VALUE"""),405226.0)</f>
        <v>405226</v>
      </c>
      <c r="G230" s="148">
        <f>IFERROR(__xludf.DUMMYFUNCTION("""COMPUTED_VALUE"""),1.5113551E7)</f>
        <v>15113551</v>
      </c>
      <c r="H230" s="148">
        <f>IFERROR(__xludf.DUMMYFUNCTION("""COMPUTED_VALUE"""),1.5112564E7)</f>
        <v>15112564</v>
      </c>
      <c r="I230" s="148" t="str">
        <f>IFERROR(__xludf.DUMMYFUNCTION("""COMPUTED_VALUE"""),"{}")</f>
        <v>{}</v>
      </c>
      <c r="J230" s="148" t="str">
        <f>IFERROR(__xludf.DUMMYFUNCTION("""COMPUTED_VALUE"""),"{""typ"":""lc"",""txt"":""LC_ITEM_2022chrismas_gacha_item""}")</f>
        <v>{"typ":"lc","txt":"LC_ITEM_2022chrismas_gacha_item"}</v>
      </c>
      <c r="K230" s="148" t="str">
        <f>IFERROR(__xludf.DUMMYFUNCTION("""COMPUTED_VALUE"""),"{""typ"":""lc"",""txt"":""LC_ITEM_2022chrismas_gacha_item_desc""}")</f>
        <v>{"typ":"lc","txt":"LC_ITEM_2022chrismas_gacha_item_desc"}</v>
      </c>
      <c r="L230" s="148" t="str">
        <f>IFERROR(__xludf.DUMMYFUNCTION("""COMPUTED_VALUE"""),"{}")</f>
        <v>{}</v>
      </c>
      <c r="M230" s="148">
        <f>IFERROR(__xludf.DUMMYFUNCTION("""COMPUTED_VALUE"""),700.0)</f>
        <v>700</v>
      </c>
      <c r="N230" s="148">
        <f>IFERROR(__xludf.DUMMYFUNCTION("""COMPUTED_VALUE"""),9.99999999E8)</f>
        <v>999999999</v>
      </c>
      <c r="O230" s="148">
        <f>IFERROR(__xludf.DUMMYFUNCTION("""COMPUTED_VALUE"""),9.99999999E8)</f>
        <v>999999999</v>
      </c>
      <c r="P230" s="148">
        <f>IFERROR(__xludf.DUMMYFUNCTION("""COMPUTED_VALUE"""),9.99999999E8)</f>
        <v>999999999</v>
      </c>
      <c r="Q230" s="148" t="str">
        <f>IFERROR(__xludf.DUMMYFUNCTION("""COMPUTED_VALUE"""),"[""bag_other""]")</f>
        <v>["bag_other"]</v>
      </c>
      <c r="R230" s="148" t="str">
        <f>IFERROR(__xludf.DUMMYFUNCTION("""COMPUTED_VALUE"""),"[]")</f>
        <v>[]</v>
      </c>
      <c r="S230" s="148" t="str">
        <f>IFERROR(__xludf.DUMMYFUNCTION("""COMPUTED_VALUE"""),"{}")</f>
        <v>{}</v>
      </c>
      <c r="T230" s="148">
        <f>IFERROR(__xludf.DUMMYFUNCTION("""COMPUTED_VALUE"""),1.0)</f>
        <v>1</v>
      </c>
      <c r="U230" s="148">
        <f>IFERROR(__xludf.DUMMYFUNCTION("""COMPUTED_VALUE"""),0.0)</f>
        <v>0</v>
      </c>
      <c r="V230" s="148" t="str">
        <f>IFERROR(__xludf.DUMMYFUNCTION("""COMPUTED_VALUE"""),"[]")</f>
        <v>[]</v>
      </c>
      <c r="W230" s="148">
        <f>IFERROR(__xludf.DUMMYFUNCTION("""COMPUTED_VALUE"""),1.174E7)</f>
        <v>11740000</v>
      </c>
      <c r="X230" s="148">
        <f>IFERROR(__xludf.DUMMYFUNCTION("""COMPUTED_VALUE"""),0.0)</f>
        <v>0</v>
      </c>
      <c r="Y230" s="148">
        <f>IFERROR(__xludf.DUMMYFUNCTION("""COMPUTED_VALUE"""),0.0)</f>
        <v>0</v>
      </c>
      <c r="Z230" s="148"/>
    </row>
    <row r="231">
      <c r="A231" s="148">
        <f>IFERROR(__xludf.DUMMYFUNCTION("""COMPUTED_VALUE"""),1.111202E7)</f>
        <v>11112020</v>
      </c>
      <c r="B231" s="148" t="str">
        <f>IFERROR(__xludf.DUMMYFUNCTION("""COMPUTED_VALUE"""),"圣诞节2023gacha专用-增加内圈抽奖次数-弹珠")</f>
        <v>圣诞节2023gacha专用-增加内圈抽奖次数-弹珠</v>
      </c>
      <c r="C231" s="148"/>
      <c r="D231" s="148" t="str">
        <f>IFERROR(__xludf.DUMMYFUNCTION("""COMPUTED_VALUE"""),"event")</f>
        <v>event</v>
      </c>
      <c r="E231" s="148">
        <f>IFERROR(__xludf.DUMMYFUNCTION("""COMPUTED_VALUE"""),0.0)</f>
        <v>0</v>
      </c>
      <c r="F231" s="148">
        <f>IFERROR(__xludf.DUMMYFUNCTION("""COMPUTED_VALUE"""),0.0)</f>
        <v>0</v>
      </c>
      <c r="G231" s="148">
        <f>IFERROR(__xludf.DUMMYFUNCTION("""COMPUTED_VALUE"""),1.5117559E7)</f>
        <v>15117559</v>
      </c>
      <c r="H231" s="148">
        <f>IFERROR(__xludf.DUMMYFUNCTION("""COMPUTED_VALUE"""),1.5112564E7)</f>
        <v>15112564</v>
      </c>
      <c r="I231" s="148" t="str">
        <f>IFERROR(__xludf.DUMMYFUNCTION("""COMPUTED_VALUE"""),"{}")</f>
        <v>{}</v>
      </c>
      <c r="J231" s="148" t="str">
        <f>IFERROR(__xludf.DUMMYFUNCTION("""COMPUTED_VALUE"""),"{""typ"":""lc"",""txt"":""LC_ITEM_2023christmas_gacha_item_name_2""}")</f>
        <v>{"typ":"lc","txt":"LC_ITEM_2023christmas_gacha_item_name_2"}</v>
      </c>
      <c r="K231" s="148" t="str">
        <f>IFERROR(__xludf.DUMMYFUNCTION("""COMPUTED_VALUE"""),"{""typ"":""lc"",""txt"":""LC_ITEM_2023christmas_gacha_item_desc_2""}")</f>
        <v>{"typ":"lc","txt":"LC_ITEM_2023christmas_gacha_item_desc_2"}</v>
      </c>
      <c r="L231" s="148" t="str">
        <f>IFERROR(__xludf.DUMMYFUNCTION("""COMPUTED_VALUE"""),"{}")</f>
        <v>{}</v>
      </c>
      <c r="M231" s="148">
        <f>IFERROR(__xludf.DUMMYFUNCTION("""COMPUTED_VALUE"""),700.0)</f>
        <v>700</v>
      </c>
      <c r="N231" s="148">
        <f>IFERROR(__xludf.DUMMYFUNCTION("""COMPUTED_VALUE"""),9.99999999E8)</f>
        <v>999999999</v>
      </c>
      <c r="O231" s="148">
        <f>IFERROR(__xludf.DUMMYFUNCTION("""COMPUTED_VALUE"""),9.99999999E8)</f>
        <v>999999999</v>
      </c>
      <c r="P231" s="148">
        <f>IFERROR(__xludf.DUMMYFUNCTION("""COMPUTED_VALUE"""),9.99999999E8)</f>
        <v>999999999</v>
      </c>
      <c r="Q231" s="148" t="str">
        <f>IFERROR(__xludf.DUMMYFUNCTION("""COMPUTED_VALUE"""),"[]")</f>
        <v>[]</v>
      </c>
      <c r="R231" s="148" t="str">
        <f>IFERROR(__xludf.DUMMYFUNCTION("""COMPUTED_VALUE"""),"[""bag""]")</f>
        <v>["bag"]</v>
      </c>
      <c r="S231" s="148" t="str">
        <f>IFERROR(__xludf.DUMMYFUNCTION("""COMPUTED_VALUE"""),"{}")</f>
        <v>{}</v>
      </c>
      <c r="T231" s="148">
        <f>IFERROR(__xludf.DUMMYFUNCTION("""COMPUTED_VALUE"""),1.0)</f>
        <v>1</v>
      </c>
      <c r="U231" s="148">
        <f>IFERROR(__xludf.DUMMYFUNCTION("""COMPUTED_VALUE"""),0.0)</f>
        <v>0</v>
      </c>
      <c r="V231" s="148" t="str">
        <f>IFERROR(__xludf.DUMMYFUNCTION("""COMPUTED_VALUE"""),"[]")</f>
        <v>[]</v>
      </c>
      <c r="W231" s="148">
        <f>IFERROR(__xludf.DUMMYFUNCTION("""COMPUTED_VALUE"""),1.174E7)</f>
        <v>11740000</v>
      </c>
      <c r="X231" s="148">
        <f>IFERROR(__xludf.DUMMYFUNCTION("""COMPUTED_VALUE"""),0.0)</f>
        <v>0</v>
      </c>
      <c r="Y231" s="148">
        <f>IFERROR(__xludf.DUMMYFUNCTION("""COMPUTED_VALUE"""),0.0)</f>
        <v>0</v>
      </c>
      <c r="Z231" s="148"/>
    </row>
    <row r="232">
      <c r="A232" s="148">
        <f>IFERROR(__xludf.DUMMYFUNCTION("""COMPUTED_VALUE"""),1.1112021E7)</f>
        <v>11112021</v>
      </c>
      <c r="B232" s="148" t="str">
        <f>IFERROR(__xludf.DUMMYFUNCTION("""COMPUTED_VALUE"""),"圣诞连充替换道具-指定英雄碎片")</f>
        <v>圣诞连充替换道具-指定英雄碎片</v>
      </c>
      <c r="C232" s="148"/>
      <c r="D232" s="148" t="str">
        <f>IFERROR(__xludf.DUMMYFUNCTION("""COMPUTED_VALUE"""),"event")</f>
        <v>event</v>
      </c>
      <c r="E232" s="148">
        <f>IFERROR(__xludf.DUMMYFUNCTION("""COMPUTED_VALUE"""),0.0)</f>
        <v>0</v>
      </c>
      <c r="F232" s="148">
        <f>IFERROR(__xludf.DUMMYFUNCTION("""COMPUTED_VALUE"""),400100.0)</f>
        <v>400100</v>
      </c>
      <c r="G232" s="148">
        <f>IFERROR(__xludf.DUMMYFUNCTION("""COMPUTED_VALUE"""),1.5116592E7)</f>
        <v>15116592</v>
      </c>
      <c r="H232" s="148">
        <f>IFERROR(__xludf.DUMMYFUNCTION("""COMPUTED_VALUE"""),1.5112564E7)</f>
        <v>15112564</v>
      </c>
      <c r="I232" s="148" t="str">
        <f>IFERROR(__xludf.DUMMYFUNCTION("""COMPUTED_VALUE"""),"{}")</f>
        <v>{}</v>
      </c>
      <c r="J232" s="148" t="str">
        <f>IFERROR(__xludf.DUMMYFUNCTION("""COMPUTED_VALUE"""),"{""typ"":""lc"",""txt"":""LC_ITEM_hero_choose_name""}")</f>
        <v>{"typ":"lc","txt":"LC_ITEM_hero_choose_name"}</v>
      </c>
      <c r="K232" s="148" t="str">
        <f>IFERROR(__xludf.DUMMYFUNCTION("""COMPUTED_VALUE"""),"{""typ"":""lc"",""txt"":""LC_ITEM_hero_choose_name""}")</f>
        <v>{"typ":"lc","txt":"LC_ITEM_hero_choose_name"}</v>
      </c>
      <c r="L232" s="148" t="str">
        <f>IFERROR(__xludf.DUMMYFUNCTION("""COMPUTED_VALUE"""),"{}")</f>
        <v>{}</v>
      </c>
      <c r="M232" s="148">
        <f>IFERROR(__xludf.DUMMYFUNCTION("""COMPUTED_VALUE"""),4000.0)</f>
        <v>4000</v>
      </c>
      <c r="N232" s="148">
        <f>IFERROR(__xludf.DUMMYFUNCTION("""COMPUTED_VALUE"""),999999.0)</f>
        <v>999999</v>
      </c>
      <c r="O232" s="148">
        <f>IFERROR(__xludf.DUMMYFUNCTION("""COMPUTED_VALUE"""),99999.0)</f>
        <v>99999</v>
      </c>
      <c r="P232" s="148">
        <f>IFERROR(__xludf.DUMMYFUNCTION("""COMPUTED_VALUE"""),9999.0)</f>
        <v>9999</v>
      </c>
      <c r="Q232" s="148" t="str">
        <f>IFERROR(__xludf.DUMMYFUNCTION("""COMPUTED_VALUE"""),"[]")</f>
        <v>[]</v>
      </c>
      <c r="R232" s="148" t="str">
        <f>IFERROR(__xludf.DUMMYFUNCTION("""COMPUTED_VALUE"""),"[]")</f>
        <v>[]</v>
      </c>
      <c r="S232" s="148" t="str">
        <f>IFERROR(__xludf.DUMMYFUNCTION("""COMPUTED_VALUE"""),"{}")</f>
        <v>{}</v>
      </c>
      <c r="T232" s="148">
        <f>IFERROR(__xludf.DUMMYFUNCTION("""COMPUTED_VALUE"""),-1.0)</f>
        <v>-1</v>
      </c>
      <c r="U232" s="148">
        <f>IFERROR(__xludf.DUMMYFUNCTION("""COMPUTED_VALUE"""),0.0)</f>
        <v>0</v>
      </c>
      <c r="V232" s="148" t="str">
        <f>IFERROR(__xludf.DUMMYFUNCTION("""COMPUTED_VALUE"""),"[]")</f>
        <v>[]</v>
      </c>
      <c r="W232" s="148">
        <f>IFERROR(__xludf.DUMMYFUNCTION("""COMPUTED_VALUE"""),1.174E7)</f>
        <v>11740000</v>
      </c>
      <c r="X232" s="148">
        <f>IFERROR(__xludf.DUMMYFUNCTION("""COMPUTED_VALUE"""),0.0)</f>
        <v>0</v>
      </c>
      <c r="Y232" s="148">
        <f>IFERROR(__xludf.DUMMYFUNCTION("""COMPUTED_VALUE"""),0.0)</f>
        <v>0</v>
      </c>
      <c r="Z232" s="148"/>
    </row>
    <row r="233">
      <c r="A233" s="148">
        <f>IFERROR(__xludf.DUMMYFUNCTION("""COMPUTED_VALUE"""),1.1112022E7)</f>
        <v>11112022</v>
      </c>
      <c r="B233" s="148" t="str">
        <f>IFERROR(__xludf.DUMMYFUNCTION("""COMPUTED_VALUE"""),"主城皮肤-圣诞节2023")</f>
        <v>主城皮肤-圣诞节2023</v>
      </c>
      <c r="C233" s="148"/>
      <c r="D233" s="148" t="str">
        <f>IFERROR(__xludf.DUMMYFUNCTION("""COMPUTED_VALUE"""),"city_skin")</f>
        <v>city_skin</v>
      </c>
      <c r="E233" s="148">
        <f>IFERROR(__xludf.DUMMYFUNCTION("""COMPUTED_VALUE"""),21.0)</f>
        <v>21</v>
      </c>
      <c r="F233" s="148">
        <f>IFERROR(__xludf.DUMMYFUNCTION("""COMPUTED_VALUE"""),400106.0)</f>
        <v>400106</v>
      </c>
      <c r="G233" s="148">
        <f>IFERROR(__xludf.DUMMYFUNCTION("""COMPUTED_VALUE"""),1.5117463E7)</f>
        <v>15117463</v>
      </c>
      <c r="H233" s="148">
        <f>IFERROR(__xludf.DUMMYFUNCTION("""COMPUTED_VALUE"""),1.5112564E7)</f>
        <v>15112564</v>
      </c>
      <c r="I233" s="148" t="str">
        <f>IFERROR(__xludf.DUMMYFUNCTION("""COMPUTED_VALUE"""),"{}")</f>
        <v>{}</v>
      </c>
      <c r="J233" s="148" t="str">
        <f>IFERROR(__xludf.DUMMYFUNCTION("""COMPUTED_VALUE"""),"{""typ"":""lc"",""txt"":""LC_ITEM_2023chrismas_lowcity_skin_title""}")</f>
        <v>{"typ":"lc","txt":"LC_ITEM_2023chrismas_lowcity_skin_title"}</v>
      </c>
      <c r="K233" s="148" t="str">
        <f>IFERROR(__xludf.DUMMYFUNCTION("""COMPUTED_VALUE"""),"{""typ"":""lc"",""txt"":""LC_ITEM_2023chrismas_lowcity_skin_desc_forever""}")</f>
        <v>{"typ":"lc","txt":"LC_ITEM_2023chrismas_lowcity_skin_desc_forever"}</v>
      </c>
      <c r="L233" s="148" t="str">
        <f>IFERROR(__xludf.DUMMYFUNCTION("""COMPUTED_VALUE"""),"{""typ"":""lc"",""txt"":""LC_ITEM_city_skin_rocket_use_tips""}")</f>
        <v>{"typ":"lc","txt":"LC_ITEM_city_skin_rocket_use_tips"}</v>
      </c>
      <c r="M233" s="148">
        <f>IFERROR(__xludf.DUMMYFUNCTION("""COMPUTED_VALUE"""),10000.0)</f>
        <v>10000</v>
      </c>
      <c r="N233" s="148">
        <f>IFERROR(__xludf.DUMMYFUNCTION("""COMPUTED_VALUE"""),999.0)</f>
        <v>999</v>
      </c>
      <c r="O233" s="148">
        <f>IFERROR(__xludf.DUMMYFUNCTION("""COMPUTED_VALUE"""),1.0)</f>
        <v>1</v>
      </c>
      <c r="P233" s="148">
        <f>IFERROR(__xludf.DUMMYFUNCTION("""COMPUTED_VALUE"""),1.0)</f>
        <v>1</v>
      </c>
      <c r="Q233" s="148" t="str">
        <f>IFERROR(__xludf.DUMMYFUNCTION("""COMPUTED_VALUE"""),"[""bag_other""]")</f>
        <v>["bag_other"]</v>
      </c>
      <c r="R233" s="148" t="str">
        <f>IFERROR(__xludf.DUMMYFUNCTION("""COMPUTED_VALUE"""),"[""bag"",""13121028""]")</f>
        <v>["bag","13121028"]</v>
      </c>
      <c r="S233" s="148" t="str">
        <f>IFERROR(__xludf.DUMMYFUNCTION("""COMPUTED_VALUE"""),"{""effect"":[{""typ"":""city_skin"",""id"":13121028,""val"":-1},{""typ"":""item"",""id"":11111034,""val"":10}]}")</f>
        <v>{"effect":[{"typ":"city_skin","id":13121028,"val":-1},{"typ":"item","id":11111034,"val":10}]}</v>
      </c>
      <c r="T233" s="148">
        <f>IFERROR(__xludf.DUMMYFUNCTION("""COMPUTED_VALUE"""),-1.0)</f>
        <v>-1</v>
      </c>
      <c r="U233" s="148">
        <f>IFERROR(__xludf.DUMMYFUNCTION("""COMPUTED_VALUE"""),0.0)</f>
        <v>0</v>
      </c>
      <c r="V233" s="148" t="str">
        <f>IFERROR(__xludf.DUMMYFUNCTION("""COMPUTED_VALUE"""),"[]")</f>
        <v>[]</v>
      </c>
      <c r="W233" s="148">
        <f>IFERROR(__xludf.DUMMYFUNCTION("""COMPUTED_VALUE"""),1.174E7)</f>
        <v>11740000</v>
      </c>
      <c r="X233" s="148">
        <f>IFERROR(__xludf.DUMMYFUNCTION("""COMPUTED_VALUE"""),0.0)</f>
        <v>0</v>
      </c>
      <c r="Y233" s="148">
        <f>IFERROR(__xludf.DUMMYFUNCTION("""COMPUTED_VALUE"""),0.0)</f>
        <v>0</v>
      </c>
      <c r="Z233" s="148"/>
    </row>
    <row r="234">
      <c r="A234" s="148">
        <f>IFERROR(__xludf.DUMMYFUNCTION("""COMPUTED_VALUE"""),1.1112023E7)</f>
        <v>11112023</v>
      </c>
      <c r="B234" s="148" t="str">
        <f>IFERROR(__xludf.DUMMYFUNCTION("""COMPUTED_VALUE"""),"主城皮肤-圣诞节2023（2天）")</f>
        <v>主城皮肤-圣诞节2023（2天）</v>
      </c>
      <c r="C234" s="148"/>
      <c r="D234" s="148" t="str">
        <f>IFERROR(__xludf.DUMMYFUNCTION("""COMPUTED_VALUE"""),"city_skin")</f>
        <v>city_skin</v>
      </c>
      <c r="E234" s="148">
        <f>IFERROR(__xludf.DUMMYFUNCTION("""COMPUTED_VALUE"""),21.0)</f>
        <v>21</v>
      </c>
      <c r="F234" s="148">
        <f>IFERROR(__xludf.DUMMYFUNCTION("""COMPUTED_VALUE"""),404201.0)</f>
        <v>404201</v>
      </c>
      <c r="G234" s="148">
        <f>IFERROR(__xludf.DUMMYFUNCTION("""COMPUTED_VALUE"""),1.5117463E7)</f>
        <v>15117463</v>
      </c>
      <c r="H234" s="148">
        <f>IFERROR(__xludf.DUMMYFUNCTION("""COMPUTED_VALUE"""),1.5112563E7)</f>
        <v>15112563</v>
      </c>
      <c r="I234" s="148" t="str">
        <f>IFERROR(__xludf.DUMMYFUNCTION("""COMPUTED_VALUE"""),"{""typ"":""lc"",""txt"":""LC_ITEM_time_day_upper_show"",""args"":[{""typ"":""int"",""val"":2}]}")</f>
        <v>{"typ":"lc","txt":"LC_ITEM_time_day_upper_show","args":[{"typ":"int","val":2}]}</v>
      </c>
      <c r="J234" s="148" t="str">
        <f>IFERROR(__xludf.DUMMYFUNCTION("""COMPUTED_VALUE"""),"{""typ"":""lc"",""txt"":""LC_ITEM_2023chrismas_lowcity_skin_title_2day""}")</f>
        <v>{"typ":"lc","txt":"LC_ITEM_2023chrismas_lowcity_skin_title_2day"}</v>
      </c>
      <c r="K234" s="148" t="str">
        <f>IFERROR(__xludf.DUMMYFUNCTION("""COMPUTED_VALUE"""),"{""typ"":""lc"",""txt"":""LC_ITEM_2023chrismas_lowcity_skin_desc_2day""}")</f>
        <v>{"typ":"lc","txt":"LC_ITEM_2023chrismas_lowcity_skin_desc_2day"}</v>
      </c>
      <c r="L234" s="148" t="str">
        <f>IFERROR(__xludf.DUMMYFUNCTION("""COMPUTED_VALUE"""),"{""typ"":""lc"",""txt"":""LC_ITEM_city_skin_rocket_use_tips""}")</f>
        <v>{"typ":"lc","txt":"LC_ITEM_city_skin_rocket_use_tips"}</v>
      </c>
      <c r="M234" s="148">
        <f>IFERROR(__xludf.DUMMYFUNCTION("""COMPUTED_VALUE"""),500.0)</f>
        <v>500</v>
      </c>
      <c r="N234" s="148">
        <f>IFERROR(__xludf.DUMMYFUNCTION("""COMPUTED_VALUE"""),999.0)</f>
        <v>999</v>
      </c>
      <c r="O234" s="148">
        <f>IFERROR(__xludf.DUMMYFUNCTION("""COMPUTED_VALUE"""),1.0)</f>
        <v>1</v>
      </c>
      <c r="P234" s="148">
        <f>IFERROR(__xludf.DUMMYFUNCTION("""COMPUTED_VALUE"""),1.0)</f>
        <v>1</v>
      </c>
      <c r="Q234" s="148" t="str">
        <f>IFERROR(__xludf.DUMMYFUNCTION("""COMPUTED_VALUE"""),"[""bag_other""]")</f>
        <v>["bag_other"]</v>
      </c>
      <c r="R234" s="148" t="str">
        <f>IFERROR(__xludf.DUMMYFUNCTION("""COMPUTED_VALUE"""),"[""bag"",""13121028""]")</f>
        <v>["bag","13121028"]</v>
      </c>
      <c r="S234" s="148" t="str">
        <f>IFERROR(__xludf.DUMMYFUNCTION("""COMPUTED_VALUE"""),"{""effect"":[{""typ"":""city_skin"",""id"":13121028,""val"":172800000},{""typ"":""item"",""id"":11111021,""val"":1}]}")</f>
        <v>{"effect":[{"typ":"city_skin","id":13121028,"val":172800000},{"typ":"item","id":11111021,"val":1}]}</v>
      </c>
      <c r="T234" s="148">
        <f>IFERROR(__xludf.DUMMYFUNCTION("""COMPUTED_VALUE"""),-1.0)</f>
        <v>-1</v>
      </c>
      <c r="U234" s="148">
        <f>IFERROR(__xludf.DUMMYFUNCTION("""COMPUTED_VALUE"""),0.0)</f>
        <v>0</v>
      </c>
      <c r="V234" s="148" t="str">
        <f>IFERROR(__xludf.DUMMYFUNCTION("""COMPUTED_VALUE"""),"[]")</f>
        <v>[]</v>
      </c>
      <c r="W234" s="148">
        <f>IFERROR(__xludf.DUMMYFUNCTION("""COMPUTED_VALUE"""),1.174E7)</f>
        <v>11740000</v>
      </c>
      <c r="X234" s="148">
        <f>IFERROR(__xludf.DUMMYFUNCTION("""COMPUTED_VALUE"""),0.0)</f>
        <v>0</v>
      </c>
      <c r="Y234" s="148">
        <f>IFERROR(__xludf.DUMMYFUNCTION("""COMPUTED_VALUE"""),0.0)</f>
        <v>0</v>
      </c>
      <c r="Z234" s="148"/>
    </row>
    <row r="235">
      <c r="A235" s="148">
        <f>IFERROR(__xludf.DUMMYFUNCTION("""COMPUTED_VALUE"""),1.1112024E7)</f>
        <v>11112024</v>
      </c>
      <c r="B235" s="148" t="str">
        <f>IFERROR(__xludf.DUMMYFUNCTION("""COMPUTED_VALUE"""),"圣诞节-装饰升级道具")</f>
        <v>圣诞节-装饰升级道具</v>
      </c>
      <c r="C235" s="148"/>
      <c r="D235" s="148" t="str">
        <f>IFERROR(__xludf.DUMMYFUNCTION("""COMPUTED_VALUE"""),"event")</f>
        <v>event</v>
      </c>
      <c r="E235" s="148">
        <f>IFERROR(__xludf.DUMMYFUNCTION("""COMPUTED_VALUE"""),0.0)</f>
        <v>0</v>
      </c>
      <c r="F235" s="148">
        <f>IFERROR(__xludf.DUMMYFUNCTION("""COMPUTED_VALUE"""),405243.0)</f>
        <v>405243</v>
      </c>
      <c r="G235" s="148">
        <f>IFERROR(__xludf.DUMMYFUNCTION("""COMPUTED_VALUE"""),1.5117508E7)</f>
        <v>15117508</v>
      </c>
      <c r="H235" s="148">
        <f>IFERROR(__xludf.DUMMYFUNCTION("""COMPUTED_VALUE"""),1.5112564E7)</f>
        <v>15112564</v>
      </c>
      <c r="I235" s="148" t="str">
        <f>IFERROR(__xludf.DUMMYFUNCTION("""COMPUTED_VALUE"""),"{}")</f>
        <v>{}</v>
      </c>
      <c r="J235" s="148" t="str">
        <f>IFERROR(__xludf.DUMMYFUNCTION("""COMPUTED_VALUE"""),"{""typ"":""lc"",""txt"":""LC_ITEM_2023chrismas_dec_item_2""}")</f>
        <v>{"typ":"lc","txt":"LC_ITEM_2023chrismas_dec_item_2"}</v>
      </c>
      <c r="K235" s="148" t="str">
        <f>IFERROR(__xludf.DUMMYFUNCTION("""COMPUTED_VALUE"""),"{""typ"":""lc"",""txt"":""LC_ITEM_2023chrismas_dec_item_3_desc""}")</f>
        <v>{"typ":"lc","txt":"LC_ITEM_2023chrismas_dec_item_3_desc"}</v>
      </c>
      <c r="L235" s="148" t="str">
        <f>IFERROR(__xludf.DUMMYFUNCTION("""COMPUTED_VALUE"""),"{}")</f>
        <v>{}</v>
      </c>
      <c r="M235" s="148">
        <f>IFERROR(__xludf.DUMMYFUNCTION("""COMPUTED_VALUE"""),1000.0)</f>
        <v>1000</v>
      </c>
      <c r="N235" s="148">
        <f>IFERROR(__xludf.DUMMYFUNCTION("""COMPUTED_VALUE"""),9.99999999E8)</f>
        <v>999999999</v>
      </c>
      <c r="O235" s="148">
        <f>IFERROR(__xludf.DUMMYFUNCTION("""COMPUTED_VALUE"""),9.99999999E8)</f>
        <v>999999999</v>
      </c>
      <c r="P235" s="148">
        <f>IFERROR(__xludf.DUMMYFUNCTION("""COMPUTED_VALUE"""),9.99999999E8)</f>
        <v>999999999</v>
      </c>
      <c r="Q235" s="148" t="str">
        <f>IFERROR(__xludf.DUMMYFUNCTION("""COMPUTED_VALUE"""),"[""bag_other""]")</f>
        <v>["bag_other"]</v>
      </c>
      <c r="R235" s="148" t="str">
        <f>IFERROR(__xludf.DUMMYFUNCTION("""COMPUTED_VALUE"""),"[]")</f>
        <v>[]</v>
      </c>
      <c r="S235" s="148" t="str">
        <f>IFERROR(__xludf.DUMMYFUNCTION("""COMPUTED_VALUE"""),"{}")</f>
        <v>{}</v>
      </c>
      <c r="T235" s="148">
        <f>IFERROR(__xludf.DUMMYFUNCTION("""COMPUTED_VALUE"""),-1.0)</f>
        <v>-1</v>
      </c>
      <c r="U235" s="148">
        <f>IFERROR(__xludf.DUMMYFUNCTION("""COMPUTED_VALUE"""),0.0)</f>
        <v>0</v>
      </c>
      <c r="V235" s="148" t="str">
        <f>IFERROR(__xludf.DUMMYFUNCTION("""COMPUTED_VALUE"""),"[]")</f>
        <v>[]</v>
      </c>
      <c r="W235" s="148">
        <f>IFERROR(__xludf.DUMMYFUNCTION("""COMPUTED_VALUE"""),1.174E7)</f>
        <v>11740000</v>
      </c>
      <c r="X235" s="148">
        <f>IFERROR(__xludf.DUMMYFUNCTION("""COMPUTED_VALUE"""),0.0)</f>
        <v>0</v>
      </c>
      <c r="Y235" s="148">
        <f>IFERROR(__xludf.DUMMYFUNCTION("""COMPUTED_VALUE"""),0.0)</f>
        <v>0</v>
      </c>
      <c r="Z235" s="148"/>
    </row>
    <row r="236">
      <c r="A236" s="148">
        <f>IFERROR(__xludf.DUMMYFUNCTION("""COMPUTED_VALUE"""),1.1112025E7)</f>
        <v>11112025</v>
      </c>
      <c r="B236" s="148" t="str">
        <f>IFERROR(__xludf.DUMMYFUNCTION("""COMPUTED_VALUE"""),"圣诞节活跃活动道具A-帽子")</f>
        <v>圣诞节活跃活动道具A-帽子</v>
      </c>
      <c r="C236" s="148"/>
      <c r="D236" s="148" t="str">
        <f>IFERROR(__xludf.DUMMYFUNCTION("""COMPUTED_VALUE"""),"event")</f>
        <v>event</v>
      </c>
      <c r="E236" s="148">
        <f>IFERROR(__xludf.DUMMYFUNCTION("""COMPUTED_VALUE"""),0.0)</f>
        <v>0</v>
      </c>
      <c r="F236" s="148">
        <f>IFERROR(__xludf.DUMMYFUNCTION("""COMPUTED_VALUE"""),405217.0)</f>
        <v>405217</v>
      </c>
      <c r="G236" s="148">
        <f>IFERROR(__xludf.DUMMYFUNCTION("""COMPUTED_VALUE"""),1.511756E7)</f>
        <v>15117560</v>
      </c>
      <c r="H236" s="148">
        <f>IFERROR(__xludf.DUMMYFUNCTION("""COMPUTED_VALUE"""),1.5112563E7)</f>
        <v>15112563</v>
      </c>
      <c r="I236" s="148" t="str">
        <f>IFERROR(__xludf.DUMMYFUNCTION("""COMPUTED_VALUE"""),"{}")</f>
        <v>{}</v>
      </c>
      <c r="J236" s="148" t="str">
        <f>IFERROR(__xludf.DUMMYFUNCTION("""COMPUTED_VALUE"""),"{""typ"":""lc"",""txt"":""LC_EVENT_23exchange_actv_item_hat""}")</f>
        <v>{"typ":"lc","txt":"LC_EVENT_23exchange_actv_item_hat"}</v>
      </c>
      <c r="K236" s="148" t="str">
        <f>IFERROR(__xludf.DUMMYFUNCTION("""COMPUTED_VALUE"""),"{""typ"":""lc"",""txt"":""LC_EVENT_23zongzi_item_desc""}")</f>
        <v>{"typ":"lc","txt":"LC_EVENT_23zongzi_item_desc"}</v>
      </c>
      <c r="L236" s="148" t="str">
        <f>IFERROR(__xludf.DUMMYFUNCTION("""COMPUTED_VALUE"""),"{}")</f>
        <v>{}</v>
      </c>
      <c r="M236" s="148">
        <f>IFERROR(__xludf.DUMMYFUNCTION("""COMPUTED_VALUE"""),35.0)</f>
        <v>35</v>
      </c>
      <c r="N236" s="148">
        <f>IFERROR(__xludf.DUMMYFUNCTION("""COMPUTED_VALUE"""),999999.0)</f>
        <v>999999</v>
      </c>
      <c r="O236" s="148">
        <f>IFERROR(__xludf.DUMMYFUNCTION("""COMPUTED_VALUE"""),99999.0)</f>
        <v>99999</v>
      </c>
      <c r="P236" s="148">
        <f>IFERROR(__xludf.DUMMYFUNCTION("""COMPUTED_VALUE"""),99999.0)</f>
        <v>99999</v>
      </c>
      <c r="Q236" s="148" t="str">
        <f>IFERROR(__xludf.DUMMYFUNCTION("""COMPUTED_VALUE"""),"[""bag_other""]")</f>
        <v>["bag_other"]</v>
      </c>
      <c r="R236" s="148" t="str">
        <f>IFERROR(__xludf.DUMMYFUNCTION("""COMPUTED_VALUE"""),"[""bag""]")</f>
        <v>["bag"]</v>
      </c>
      <c r="S236" s="148" t="str">
        <f>IFERROR(__xludf.DUMMYFUNCTION("""COMPUTED_VALUE"""),"{}")</f>
        <v>{}</v>
      </c>
      <c r="T236" s="148">
        <f>IFERROR(__xludf.DUMMYFUNCTION("""COMPUTED_VALUE"""),-1.0)</f>
        <v>-1</v>
      </c>
      <c r="U236" s="148">
        <f>IFERROR(__xludf.DUMMYFUNCTION("""COMPUTED_VALUE"""),0.0)</f>
        <v>0</v>
      </c>
      <c r="V236" s="148" t="str">
        <f>IFERROR(__xludf.DUMMYFUNCTION("""COMPUTED_VALUE"""),"[]")</f>
        <v>[]</v>
      </c>
      <c r="W236" s="148">
        <f>IFERROR(__xludf.DUMMYFUNCTION("""COMPUTED_VALUE"""),1.174E7)</f>
        <v>11740000</v>
      </c>
      <c r="X236" s="148">
        <f>IFERROR(__xludf.DUMMYFUNCTION("""COMPUTED_VALUE"""),0.0)</f>
        <v>0</v>
      </c>
      <c r="Y236" s="148">
        <f>IFERROR(__xludf.DUMMYFUNCTION("""COMPUTED_VALUE"""),0.0)</f>
        <v>0</v>
      </c>
      <c r="Z236" s="148"/>
    </row>
    <row r="237">
      <c r="A237" s="148">
        <f>IFERROR(__xludf.DUMMYFUNCTION("""COMPUTED_VALUE"""),1.1112026E7)</f>
        <v>11112026</v>
      </c>
      <c r="B237" s="148" t="str">
        <f>IFERROR(__xludf.DUMMYFUNCTION("""COMPUTED_VALUE"""),"圣诞节活跃活动道具B-树枝")</f>
        <v>圣诞节活跃活动道具B-树枝</v>
      </c>
      <c r="C237" s="148"/>
      <c r="D237" s="148" t="str">
        <f>IFERROR(__xludf.DUMMYFUNCTION("""COMPUTED_VALUE"""),"event")</f>
        <v>event</v>
      </c>
      <c r="E237" s="148">
        <f>IFERROR(__xludf.DUMMYFUNCTION("""COMPUTED_VALUE"""),0.0)</f>
        <v>0</v>
      </c>
      <c r="F237" s="148">
        <f>IFERROR(__xludf.DUMMYFUNCTION("""COMPUTED_VALUE"""),405217.0)</f>
        <v>405217</v>
      </c>
      <c r="G237" s="148">
        <f>IFERROR(__xludf.DUMMYFUNCTION("""COMPUTED_VALUE"""),1.5117563E7)</f>
        <v>15117563</v>
      </c>
      <c r="H237" s="148">
        <f>IFERROR(__xludf.DUMMYFUNCTION("""COMPUTED_VALUE"""),1.5112563E7)</f>
        <v>15112563</v>
      </c>
      <c r="I237" s="148" t="str">
        <f>IFERROR(__xludf.DUMMYFUNCTION("""COMPUTED_VALUE"""),"{}")</f>
        <v>{}</v>
      </c>
      <c r="J237" s="148" t="str">
        <f>IFERROR(__xludf.DUMMYFUNCTION("""COMPUTED_VALUE"""),"{""typ"":""lc"",""txt"":""LC_EVENT_23exchange_actv_item_branches""}")</f>
        <v>{"typ":"lc","txt":"LC_EVENT_23exchange_actv_item_branches"}</v>
      </c>
      <c r="K237" s="148" t="str">
        <f>IFERROR(__xludf.DUMMYFUNCTION("""COMPUTED_VALUE"""),"{""typ"":""lc"",""txt"":""LC_EVENT_23zongzi_item_desc""}")</f>
        <v>{"typ":"lc","txt":"LC_EVENT_23zongzi_item_desc"}</v>
      </c>
      <c r="L237" s="148" t="str">
        <f>IFERROR(__xludf.DUMMYFUNCTION("""COMPUTED_VALUE"""),"{}")</f>
        <v>{}</v>
      </c>
      <c r="M237" s="148">
        <f>IFERROR(__xludf.DUMMYFUNCTION("""COMPUTED_VALUE"""),35.0)</f>
        <v>35</v>
      </c>
      <c r="N237" s="148">
        <f>IFERROR(__xludf.DUMMYFUNCTION("""COMPUTED_VALUE"""),999999.0)</f>
        <v>999999</v>
      </c>
      <c r="O237" s="148">
        <f>IFERROR(__xludf.DUMMYFUNCTION("""COMPUTED_VALUE"""),99999.0)</f>
        <v>99999</v>
      </c>
      <c r="P237" s="148">
        <f>IFERROR(__xludf.DUMMYFUNCTION("""COMPUTED_VALUE"""),99999.0)</f>
        <v>99999</v>
      </c>
      <c r="Q237" s="148" t="str">
        <f>IFERROR(__xludf.DUMMYFUNCTION("""COMPUTED_VALUE"""),"[""bag_other""]")</f>
        <v>["bag_other"]</v>
      </c>
      <c r="R237" s="148" t="str">
        <f>IFERROR(__xludf.DUMMYFUNCTION("""COMPUTED_VALUE"""),"[""bag""]")</f>
        <v>["bag"]</v>
      </c>
      <c r="S237" s="148" t="str">
        <f>IFERROR(__xludf.DUMMYFUNCTION("""COMPUTED_VALUE"""),"{}")</f>
        <v>{}</v>
      </c>
      <c r="T237" s="148">
        <f>IFERROR(__xludf.DUMMYFUNCTION("""COMPUTED_VALUE"""),-1.0)</f>
        <v>-1</v>
      </c>
      <c r="U237" s="148">
        <f>IFERROR(__xludf.DUMMYFUNCTION("""COMPUTED_VALUE"""),0.0)</f>
        <v>0</v>
      </c>
      <c r="V237" s="148" t="str">
        <f>IFERROR(__xludf.DUMMYFUNCTION("""COMPUTED_VALUE"""),"[]")</f>
        <v>[]</v>
      </c>
      <c r="W237" s="148">
        <f>IFERROR(__xludf.DUMMYFUNCTION("""COMPUTED_VALUE"""),1.174E7)</f>
        <v>11740000</v>
      </c>
      <c r="X237" s="148">
        <f>IFERROR(__xludf.DUMMYFUNCTION("""COMPUTED_VALUE"""),0.0)</f>
        <v>0</v>
      </c>
      <c r="Y237" s="148">
        <f>IFERROR(__xludf.DUMMYFUNCTION("""COMPUTED_VALUE"""),0.0)</f>
        <v>0</v>
      </c>
      <c r="Z237" s="148"/>
    </row>
    <row r="238">
      <c r="A238" s="148">
        <f>IFERROR(__xludf.DUMMYFUNCTION("""COMPUTED_VALUE"""),1.1112027E7)</f>
        <v>11112027</v>
      </c>
      <c r="B238" s="148" t="str">
        <f>IFERROR(__xludf.DUMMYFUNCTION("""COMPUTED_VALUE"""),"圣诞节活跃活动道具C-胡萝卜")</f>
        <v>圣诞节活跃活动道具C-胡萝卜</v>
      </c>
      <c r="C238" s="148"/>
      <c r="D238" s="148" t="str">
        <f>IFERROR(__xludf.DUMMYFUNCTION("""COMPUTED_VALUE"""),"event")</f>
        <v>event</v>
      </c>
      <c r="E238" s="148">
        <f>IFERROR(__xludf.DUMMYFUNCTION("""COMPUTED_VALUE"""),0.0)</f>
        <v>0</v>
      </c>
      <c r="F238" s="148">
        <f>IFERROR(__xludf.DUMMYFUNCTION("""COMPUTED_VALUE"""),405217.0)</f>
        <v>405217</v>
      </c>
      <c r="G238" s="148">
        <f>IFERROR(__xludf.DUMMYFUNCTION("""COMPUTED_VALUE"""),1.5117561E7)</f>
        <v>15117561</v>
      </c>
      <c r="H238" s="148">
        <f>IFERROR(__xludf.DUMMYFUNCTION("""COMPUTED_VALUE"""),1.5112563E7)</f>
        <v>15112563</v>
      </c>
      <c r="I238" s="148" t="str">
        <f>IFERROR(__xludf.DUMMYFUNCTION("""COMPUTED_VALUE"""),"{}")</f>
        <v>{}</v>
      </c>
      <c r="J238" s="148" t="str">
        <f>IFERROR(__xludf.DUMMYFUNCTION("""COMPUTED_VALUE"""),"{""typ"":""lc"",""txt"":""LC_EVENT_23exchange_actv_item_carrot""}")</f>
        <v>{"typ":"lc","txt":"LC_EVENT_23exchange_actv_item_carrot"}</v>
      </c>
      <c r="K238" s="148" t="str">
        <f>IFERROR(__xludf.DUMMYFUNCTION("""COMPUTED_VALUE"""),"{""typ"":""lc"",""txt"":""LC_EVENT_23zongzi_item_desc""}")</f>
        <v>{"typ":"lc","txt":"LC_EVENT_23zongzi_item_desc"}</v>
      </c>
      <c r="L238" s="148" t="str">
        <f>IFERROR(__xludf.DUMMYFUNCTION("""COMPUTED_VALUE"""),"{}")</f>
        <v>{}</v>
      </c>
      <c r="M238" s="148">
        <f>IFERROR(__xludf.DUMMYFUNCTION("""COMPUTED_VALUE"""),35.0)</f>
        <v>35</v>
      </c>
      <c r="N238" s="148">
        <f>IFERROR(__xludf.DUMMYFUNCTION("""COMPUTED_VALUE"""),999999.0)</f>
        <v>999999</v>
      </c>
      <c r="O238" s="148">
        <f>IFERROR(__xludf.DUMMYFUNCTION("""COMPUTED_VALUE"""),99999.0)</f>
        <v>99999</v>
      </c>
      <c r="P238" s="148">
        <f>IFERROR(__xludf.DUMMYFUNCTION("""COMPUTED_VALUE"""),99999.0)</f>
        <v>99999</v>
      </c>
      <c r="Q238" s="148" t="str">
        <f>IFERROR(__xludf.DUMMYFUNCTION("""COMPUTED_VALUE"""),"[""bag_other""]")</f>
        <v>["bag_other"]</v>
      </c>
      <c r="R238" s="148" t="str">
        <f>IFERROR(__xludf.DUMMYFUNCTION("""COMPUTED_VALUE"""),"[""bag""]")</f>
        <v>["bag"]</v>
      </c>
      <c r="S238" s="148" t="str">
        <f>IFERROR(__xludf.DUMMYFUNCTION("""COMPUTED_VALUE"""),"{}")</f>
        <v>{}</v>
      </c>
      <c r="T238" s="148">
        <f>IFERROR(__xludf.DUMMYFUNCTION("""COMPUTED_VALUE"""),-1.0)</f>
        <v>-1</v>
      </c>
      <c r="U238" s="148">
        <f>IFERROR(__xludf.DUMMYFUNCTION("""COMPUTED_VALUE"""),0.0)</f>
        <v>0</v>
      </c>
      <c r="V238" s="148" t="str">
        <f>IFERROR(__xludf.DUMMYFUNCTION("""COMPUTED_VALUE"""),"[]")</f>
        <v>[]</v>
      </c>
      <c r="W238" s="148">
        <f>IFERROR(__xludf.DUMMYFUNCTION("""COMPUTED_VALUE"""),1.174E7)</f>
        <v>11740000</v>
      </c>
      <c r="X238" s="148">
        <f>IFERROR(__xludf.DUMMYFUNCTION("""COMPUTED_VALUE"""),0.0)</f>
        <v>0</v>
      </c>
      <c r="Y238" s="148">
        <f>IFERROR(__xludf.DUMMYFUNCTION("""COMPUTED_VALUE"""),0.0)</f>
        <v>0</v>
      </c>
      <c r="Z238" s="148"/>
    </row>
    <row r="239">
      <c r="A239" s="148">
        <f>IFERROR(__xludf.DUMMYFUNCTION("""COMPUTED_VALUE"""),1.1112028E7)</f>
        <v>11112028</v>
      </c>
      <c r="B239" s="148" t="str">
        <f>IFERROR(__xludf.DUMMYFUNCTION("""COMPUTED_VALUE"""),"圣诞节活跃活动道具D-围巾")</f>
        <v>圣诞节活跃活动道具D-围巾</v>
      </c>
      <c r="C239" s="148"/>
      <c r="D239" s="148" t="str">
        <f>IFERROR(__xludf.DUMMYFUNCTION("""COMPUTED_VALUE"""),"event")</f>
        <v>event</v>
      </c>
      <c r="E239" s="148">
        <f>IFERROR(__xludf.DUMMYFUNCTION("""COMPUTED_VALUE"""),0.0)</f>
        <v>0</v>
      </c>
      <c r="F239" s="148">
        <f>IFERROR(__xludf.DUMMYFUNCTION("""COMPUTED_VALUE"""),405217.0)</f>
        <v>405217</v>
      </c>
      <c r="G239" s="148">
        <f>IFERROR(__xludf.DUMMYFUNCTION("""COMPUTED_VALUE"""),1.5117562E7)</f>
        <v>15117562</v>
      </c>
      <c r="H239" s="148">
        <f>IFERROR(__xludf.DUMMYFUNCTION("""COMPUTED_VALUE"""),1.5112563E7)</f>
        <v>15112563</v>
      </c>
      <c r="I239" s="148" t="str">
        <f>IFERROR(__xludf.DUMMYFUNCTION("""COMPUTED_VALUE"""),"{}")</f>
        <v>{}</v>
      </c>
      <c r="J239" s="148" t="str">
        <f>IFERROR(__xludf.DUMMYFUNCTION("""COMPUTED_VALUE"""),"{""typ"":""lc"",""txt"":""LC_EVENT_23exchange_actv_item_scarf""}")</f>
        <v>{"typ":"lc","txt":"LC_EVENT_23exchange_actv_item_scarf"}</v>
      </c>
      <c r="K239" s="148" t="str">
        <f>IFERROR(__xludf.DUMMYFUNCTION("""COMPUTED_VALUE"""),"{""typ"":""lc"",""txt"":""LC_EVENT_23zongzi_item_desc""}")</f>
        <v>{"typ":"lc","txt":"LC_EVENT_23zongzi_item_desc"}</v>
      </c>
      <c r="L239" s="148" t="str">
        <f>IFERROR(__xludf.DUMMYFUNCTION("""COMPUTED_VALUE"""),"{}")</f>
        <v>{}</v>
      </c>
      <c r="M239" s="148">
        <f>IFERROR(__xludf.DUMMYFUNCTION("""COMPUTED_VALUE"""),35.0)</f>
        <v>35</v>
      </c>
      <c r="N239" s="148">
        <f>IFERROR(__xludf.DUMMYFUNCTION("""COMPUTED_VALUE"""),999999.0)</f>
        <v>999999</v>
      </c>
      <c r="O239" s="148">
        <f>IFERROR(__xludf.DUMMYFUNCTION("""COMPUTED_VALUE"""),99999.0)</f>
        <v>99999</v>
      </c>
      <c r="P239" s="148">
        <f>IFERROR(__xludf.DUMMYFUNCTION("""COMPUTED_VALUE"""),99999.0)</f>
        <v>99999</v>
      </c>
      <c r="Q239" s="148" t="str">
        <f>IFERROR(__xludf.DUMMYFUNCTION("""COMPUTED_VALUE"""),"[""bag_other""]")</f>
        <v>["bag_other"]</v>
      </c>
      <c r="R239" s="148" t="str">
        <f>IFERROR(__xludf.DUMMYFUNCTION("""COMPUTED_VALUE"""),"[""bag""]")</f>
        <v>["bag"]</v>
      </c>
      <c r="S239" s="148" t="str">
        <f>IFERROR(__xludf.DUMMYFUNCTION("""COMPUTED_VALUE"""),"{}")</f>
        <v>{}</v>
      </c>
      <c r="T239" s="148">
        <f>IFERROR(__xludf.DUMMYFUNCTION("""COMPUTED_VALUE"""),-1.0)</f>
        <v>-1</v>
      </c>
      <c r="U239" s="148">
        <f>IFERROR(__xludf.DUMMYFUNCTION("""COMPUTED_VALUE"""),0.0)</f>
        <v>0</v>
      </c>
      <c r="V239" s="148" t="str">
        <f>IFERROR(__xludf.DUMMYFUNCTION("""COMPUTED_VALUE"""),"[]")</f>
        <v>[]</v>
      </c>
      <c r="W239" s="148">
        <f>IFERROR(__xludf.DUMMYFUNCTION("""COMPUTED_VALUE"""),1.174E7)</f>
        <v>11740000</v>
      </c>
      <c r="X239" s="148">
        <f>IFERROR(__xludf.DUMMYFUNCTION("""COMPUTED_VALUE"""),0.0)</f>
        <v>0</v>
      </c>
      <c r="Y239" s="148">
        <f>IFERROR(__xludf.DUMMYFUNCTION("""COMPUTED_VALUE"""),0.0)</f>
        <v>0</v>
      </c>
      <c r="Z239" s="148"/>
    </row>
    <row r="240">
      <c r="A240" s="148">
        <f>IFERROR(__xludf.DUMMYFUNCTION("""COMPUTED_VALUE"""),1.1112029E7)</f>
        <v>11112029</v>
      </c>
      <c r="B240" s="148" t="str">
        <f>IFERROR(__xludf.DUMMYFUNCTION("""COMPUTED_VALUE"""),"圣诞节活跃活动道具E-纽扣")</f>
        <v>圣诞节活跃活动道具E-纽扣</v>
      </c>
      <c r="C240" s="148"/>
      <c r="D240" s="148" t="str">
        <f>IFERROR(__xludf.DUMMYFUNCTION("""COMPUTED_VALUE"""),"event")</f>
        <v>event</v>
      </c>
      <c r="E240" s="148">
        <f>IFERROR(__xludf.DUMMYFUNCTION("""COMPUTED_VALUE"""),0.0)</f>
        <v>0</v>
      </c>
      <c r="F240" s="148">
        <f>IFERROR(__xludf.DUMMYFUNCTION("""COMPUTED_VALUE"""),405217.0)</f>
        <v>405217</v>
      </c>
      <c r="G240" s="148">
        <f>IFERROR(__xludf.DUMMYFUNCTION("""COMPUTED_VALUE"""),1.5117564E7)</f>
        <v>15117564</v>
      </c>
      <c r="H240" s="148">
        <f>IFERROR(__xludf.DUMMYFUNCTION("""COMPUTED_VALUE"""),1.5112563E7)</f>
        <v>15112563</v>
      </c>
      <c r="I240" s="148" t="str">
        <f>IFERROR(__xludf.DUMMYFUNCTION("""COMPUTED_VALUE"""),"{}")</f>
        <v>{}</v>
      </c>
      <c r="J240" s="148" t="str">
        <f>IFERROR(__xludf.DUMMYFUNCTION("""COMPUTED_VALUE"""),"{""typ"":""lc"",""txt"":""LC_EVENT_23exchange_actv_item_buttons""}")</f>
        <v>{"typ":"lc","txt":"LC_EVENT_23exchange_actv_item_buttons"}</v>
      </c>
      <c r="K240" s="148" t="str">
        <f>IFERROR(__xludf.DUMMYFUNCTION("""COMPUTED_VALUE"""),"{""typ"":""lc"",""txt"":""LC_EVENT_23zongzi_item_desc""}")</f>
        <v>{"typ":"lc","txt":"LC_EVENT_23zongzi_item_desc"}</v>
      </c>
      <c r="L240" s="148" t="str">
        <f>IFERROR(__xludf.DUMMYFUNCTION("""COMPUTED_VALUE"""),"{}")</f>
        <v>{}</v>
      </c>
      <c r="M240" s="148">
        <f>IFERROR(__xludf.DUMMYFUNCTION("""COMPUTED_VALUE"""),35.0)</f>
        <v>35</v>
      </c>
      <c r="N240" s="148">
        <f>IFERROR(__xludf.DUMMYFUNCTION("""COMPUTED_VALUE"""),999999.0)</f>
        <v>999999</v>
      </c>
      <c r="O240" s="148">
        <f>IFERROR(__xludf.DUMMYFUNCTION("""COMPUTED_VALUE"""),99999.0)</f>
        <v>99999</v>
      </c>
      <c r="P240" s="148">
        <f>IFERROR(__xludf.DUMMYFUNCTION("""COMPUTED_VALUE"""),99999.0)</f>
        <v>99999</v>
      </c>
      <c r="Q240" s="148" t="str">
        <f>IFERROR(__xludf.DUMMYFUNCTION("""COMPUTED_VALUE"""),"[""bag_other""]")</f>
        <v>["bag_other"]</v>
      </c>
      <c r="R240" s="148" t="str">
        <f>IFERROR(__xludf.DUMMYFUNCTION("""COMPUTED_VALUE"""),"[""bag""]")</f>
        <v>["bag"]</v>
      </c>
      <c r="S240" s="148" t="str">
        <f>IFERROR(__xludf.DUMMYFUNCTION("""COMPUTED_VALUE"""),"{}")</f>
        <v>{}</v>
      </c>
      <c r="T240" s="148">
        <f>IFERROR(__xludf.DUMMYFUNCTION("""COMPUTED_VALUE"""),-1.0)</f>
        <v>-1</v>
      </c>
      <c r="U240" s="148">
        <f>IFERROR(__xludf.DUMMYFUNCTION("""COMPUTED_VALUE"""),0.0)</f>
        <v>0</v>
      </c>
      <c r="V240" s="148" t="str">
        <f>IFERROR(__xludf.DUMMYFUNCTION("""COMPUTED_VALUE"""),"[]")</f>
        <v>[]</v>
      </c>
      <c r="W240" s="148">
        <f>IFERROR(__xludf.DUMMYFUNCTION("""COMPUTED_VALUE"""),1.174E7)</f>
        <v>11740000</v>
      </c>
      <c r="X240" s="148">
        <f>IFERROR(__xludf.DUMMYFUNCTION("""COMPUTED_VALUE"""),0.0)</f>
        <v>0</v>
      </c>
      <c r="Y240" s="148">
        <f>IFERROR(__xludf.DUMMYFUNCTION("""COMPUTED_VALUE"""),0.0)</f>
        <v>0</v>
      </c>
      <c r="Z240" s="148"/>
    </row>
    <row r="241">
      <c r="A241" s="148">
        <f>IFERROR(__xludf.DUMMYFUNCTION("""COMPUTED_VALUE"""),1.111203E7)</f>
        <v>11112030</v>
      </c>
      <c r="B241" s="148" t="str">
        <f>IFERROR(__xludf.DUMMYFUNCTION("""COMPUTED_VALUE"""),"装饰券")</f>
        <v>装饰券</v>
      </c>
      <c r="C241" s="148"/>
      <c r="D241" s="148" t="str">
        <f>IFERROR(__xludf.DUMMYFUNCTION("""COMPUTED_VALUE"""),"event")</f>
        <v>event</v>
      </c>
      <c r="E241" s="148">
        <f>IFERROR(__xludf.DUMMYFUNCTION("""COMPUTED_VALUE"""),0.0)</f>
        <v>0</v>
      </c>
      <c r="F241" s="148">
        <f>IFERROR(__xludf.DUMMYFUNCTION("""COMPUTED_VALUE"""),405243.0)</f>
        <v>405243</v>
      </c>
      <c r="G241" s="148">
        <f>IFERROR(__xludf.DUMMYFUNCTION("""COMPUTED_VALUE"""),1.5117558E7)</f>
        <v>15117558</v>
      </c>
      <c r="H241" s="148">
        <f>IFERROR(__xludf.DUMMYFUNCTION("""COMPUTED_VALUE"""),1.5112563E7)</f>
        <v>15112563</v>
      </c>
      <c r="I241" s="148" t="str">
        <f>IFERROR(__xludf.DUMMYFUNCTION("""COMPUTED_VALUE"""),"{}")</f>
        <v>{}</v>
      </c>
      <c r="J241" s="148" t="str">
        <f>IFERROR(__xludf.DUMMYFUNCTION("""COMPUTED_VALUE"""),"{""typ"":""lc"",""txt"":""LC_ITEM_dec_ticket_item_name""}")</f>
        <v>{"typ":"lc","txt":"LC_ITEM_dec_ticket_item_name"}</v>
      </c>
      <c r="K241" s="148" t="str">
        <f>IFERROR(__xludf.DUMMYFUNCTION("""COMPUTED_VALUE"""),"{""typ"":""lc"",""txt"":""LC_ITEM_dec_ticket_item_desc""}")</f>
        <v>{"typ":"lc","txt":"LC_ITEM_dec_ticket_item_desc"}</v>
      </c>
      <c r="L241" s="148" t="str">
        <f>IFERROR(__xludf.DUMMYFUNCTION("""COMPUTED_VALUE"""),"{}")</f>
        <v>{}</v>
      </c>
      <c r="M241" s="148">
        <f>IFERROR(__xludf.DUMMYFUNCTION("""COMPUTED_VALUE"""),1000.0)</f>
        <v>1000</v>
      </c>
      <c r="N241" s="148">
        <f>IFERROR(__xludf.DUMMYFUNCTION("""COMPUTED_VALUE"""),9.99999999E8)</f>
        <v>999999999</v>
      </c>
      <c r="O241" s="148">
        <f>IFERROR(__xludf.DUMMYFUNCTION("""COMPUTED_VALUE"""),9.99999999E8)</f>
        <v>999999999</v>
      </c>
      <c r="P241" s="148">
        <f>IFERROR(__xludf.DUMMYFUNCTION("""COMPUTED_VALUE"""),9.99999999E8)</f>
        <v>999999999</v>
      </c>
      <c r="Q241" s="148" t="str">
        <f>IFERROR(__xludf.DUMMYFUNCTION("""COMPUTED_VALUE"""),"[""bag_other""]")</f>
        <v>["bag_other"]</v>
      </c>
      <c r="R241" s="148" t="str">
        <f>IFERROR(__xludf.DUMMYFUNCTION("""COMPUTED_VALUE"""),"[]")</f>
        <v>[]</v>
      </c>
      <c r="S241" s="148" t="str">
        <f>IFERROR(__xludf.DUMMYFUNCTION("""COMPUTED_VALUE"""),"{}")</f>
        <v>{}</v>
      </c>
      <c r="T241" s="148">
        <f>IFERROR(__xludf.DUMMYFUNCTION("""COMPUTED_VALUE"""),-1.0)</f>
        <v>-1</v>
      </c>
      <c r="U241" s="148">
        <f>IFERROR(__xludf.DUMMYFUNCTION("""COMPUTED_VALUE"""),0.0)</f>
        <v>0</v>
      </c>
      <c r="V241" s="148" t="str">
        <f>IFERROR(__xludf.DUMMYFUNCTION("""COMPUTED_VALUE"""),"[]")</f>
        <v>[]</v>
      </c>
      <c r="W241" s="148">
        <f>IFERROR(__xludf.DUMMYFUNCTION("""COMPUTED_VALUE"""),1.174E7)</f>
        <v>11740000</v>
      </c>
      <c r="X241" s="148">
        <f>IFERROR(__xludf.DUMMYFUNCTION("""COMPUTED_VALUE"""),0.0)</f>
        <v>0</v>
      </c>
      <c r="Y241" s="148">
        <f>IFERROR(__xludf.DUMMYFUNCTION("""COMPUTED_VALUE"""),0.0)</f>
        <v>0</v>
      </c>
      <c r="Z241" s="148"/>
    </row>
    <row r="242">
      <c r="A242" s="148">
        <f>IFERROR(__xludf.DUMMYFUNCTION("""COMPUTED_VALUE"""),1.1112031E7)</f>
        <v>11112031</v>
      </c>
      <c r="B242" s="148" t="str">
        <f>IFERROR(__xludf.DUMMYFUNCTION("""COMPUTED_VALUE"""),"绣球-春节2024活动专用BP道具")</f>
        <v>绣球-春节2024活动专用BP道具</v>
      </c>
      <c r="C242" s="148"/>
      <c r="D242" s="148" t="str">
        <f>IFERROR(__xludf.DUMMYFUNCTION("""COMPUTED_VALUE"""),"battle_pass_exp")</f>
        <v>battle_pass_exp</v>
      </c>
      <c r="E242" s="148">
        <f>IFERROR(__xludf.DUMMYFUNCTION("""COMPUTED_VALUE"""),0.0)</f>
        <v>0</v>
      </c>
      <c r="F242" s="148">
        <f>IFERROR(__xludf.DUMMYFUNCTION("""COMPUTED_VALUE"""),405225.0)</f>
        <v>405225</v>
      </c>
      <c r="G242" s="148">
        <f>IFERROR(__xludf.DUMMYFUNCTION("""COMPUTED_VALUE"""),1.5115833E7)</f>
        <v>15115833</v>
      </c>
      <c r="H242" s="148">
        <f>IFERROR(__xludf.DUMMYFUNCTION("""COMPUTED_VALUE"""),1.5112563E7)</f>
        <v>15112563</v>
      </c>
      <c r="I242" s="148" t="str">
        <f>IFERROR(__xludf.DUMMYFUNCTION("""COMPUTED_VALUE"""),"{}")</f>
        <v>{}</v>
      </c>
      <c r="J242" s="148" t="str">
        <f>IFERROR(__xludf.DUMMYFUNCTION("""COMPUTED_VALUE"""),"{""typ"":""lc"",""txt"":""LC_ITEM_spring_item_2023_name_1""}")</f>
        <v>{"typ":"lc","txt":"LC_ITEM_spring_item_2023_name_1"}</v>
      </c>
      <c r="K242" s="148" t="str">
        <f>IFERROR(__xludf.DUMMYFUNCTION("""COMPUTED_VALUE"""),"{""typ"":""lc"",""txt"":""LC_ITEM_spring_item_2023_desc_1""}")</f>
        <v>{"typ":"lc","txt":"LC_ITEM_spring_item_2023_desc_1"}</v>
      </c>
      <c r="L242" s="148" t="str">
        <f>IFERROR(__xludf.DUMMYFUNCTION("""COMPUTED_VALUE"""),"{}")</f>
        <v>{}</v>
      </c>
      <c r="M242" s="148">
        <f>IFERROR(__xludf.DUMMYFUNCTION("""COMPUTED_VALUE"""),35.0)</f>
        <v>35</v>
      </c>
      <c r="N242" s="148">
        <f>IFERROR(__xludf.DUMMYFUNCTION("""COMPUTED_VALUE"""),999999.0)</f>
        <v>999999</v>
      </c>
      <c r="O242" s="148">
        <f>IFERROR(__xludf.DUMMYFUNCTION("""COMPUTED_VALUE"""),99999.0)</f>
        <v>99999</v>
      </c>
      <c r="P242" s="148">
        <f>IFERROR(__xludf.DUMMYFUNCTION("""COMPUTED_VALUE"""),99999.0)</f>
        <v>99999</v>
      </c>
      <c r="Q242" s="148" t="str">
        <f>IFERROR(__xludf.DUMMYFUNCTION("""COMPUTED_VALUE"""),"[""bag_other""]")</f>
        <v>["bag_other"]</v>
      </c>
      <c r="R242" s="148" t="str">
        <f>IFERROR(__xludf.DUMMYFUNCTION("""COMPUTED_VALUE"""),"[""bag""]")</f>
        <v>["bag"]</v>
      </c>
      <c r="S242" s="148" t="str">
        <f>IFERROR(__xludf.DUMMYFUNCTION("""COMPUTED_VALUE"""),"{}")</f>
        <v>{}</v>
      </c>
      <c r="T242" s="148">
        <f>IFERROR(__xludf.DUMMYFUNCTION("""COMPUTED_VALUE"""),-1.0)</f>
        <v>-1</v>
      </c>
      <c r="U242" s="148">
        <f>IFERROR(__xludf.DUMMYFUNCTION("""COMPUTED_VALUE"""),0.0)</f>
        <v>0</v>
      </c>
      <c r="V242" s="148" t="str">
        <f>IFERROR(__xludf.DUMMYFUNCTION("""COMPUTED_VALUE"""),"[]")</f>
        <v>[]</v>
      </c>
      <c r="W242" s="148">
        <f>IFERROR(__xludf.DUMMYFUNCTION("""COMPUTED_VALUE"""),1.174E7)</f>
        <v>11740000</v>
      </c>
      <c r="X242" s="148">
        <f>IFERROR(__xludf.DUMMYFUNCTION("""COMPUTED_VALUE"""),0.0)</f>
        <v>0</v>
      </c>
      <c r="Y242" s="148">
        <f>IFERROR(__xludf.DUMMYFUNCTION("""COMPUTED_VALUE"""),0.0)</f>
        <v>0</v>
      </c>
      <c r="Z242" s="148"/>
    </row>
    <row r="243">
      <c r="A243" s="148">
        <f>IFERROR(__xludf.DUMMYFUNCTION("""COMPUTED_VALUE"""),1.1112032E7)</f>
        <v>11112032</v>
      </c>
      <c r="B243" s="148" t="str">
        <f>IFERROR(__xludf.DUMMYFUNCTION("""COMPUTED_VALUE"""),"春节骰子（2024）gacha道具")</f>
        <v>春节骰子（2024）gacha道具</v>
      </c>
      <c r="C243" s="148"/>
      <c r="D243" s="148" t="str">
        <f>IFERROR(__xludf.DUMMYFUNCTION("""COMPUTED_VALUE"""),"event")</f>
        <v>event</v>
      </c>
      <c r="E243" s="148">
        <f>IFERROR(__xludf.DUMMYFUNCTION("""COMPUTED_VALUE"""),0.0)</f>
        <v>0</v>
      </c>
      <c r="F243" s="148">
        <f>IFERROR(__xludf.DUMMYFUNCTION("""COMPUTED_VALUE"""),405226.0)</f>
        <v>405226</v>
      </c>
      <c r="G243" s="148">
        <f>IFERROR(__xludf.DUMMYFUNCTION("""COMPUTED_VALUE"""),1.511584E7)</f>
        <v>15115840</v>
      </c>
      <c r="H243" s="148">
        <f>IFERROR(__xludf.DUMMYFUNCTION("""COMPUTED_VALUE"""),1.5112564E7)</f>
        <v>15112564</v>
      </c>
      <c r="I243" s="148" t="str">
        <f>IFERROR(__xludf.DUMMYFUNCTION("""COMPUTED_VALUE"""),"{}")</f>
        <v>{}</v>
      </c>
      <c r="J243" s="148" t="str">
        <f>IFERROR(__xludf.DUMMYFUNCTION("""COMPUTED_VALUE"""),"{""typ"":""lc"",""txt"":""LC_ITEM_2023spring_gacha_item""}")</f>
        <v>{"typ":"lc","txt":"LC_ITEM_2023spring_gacha_item"}</v>
      </c>
      <c r="K243" s="148" t="str">
        <f>IFERROR(__xludf.DUMMYFUNCTION("""COMPUTED_VALUE"""),"{""typ"":""lc"",""txt"":""LC_ITEM_2023spring_gacha_item_desc""}")</f>
        <v>{"typ":"lc","txt":"LC_ITEM_2023spring_gacha_item_desc"}</v>
      </c>
      <c r="L243" s="148" t="str">
        <f>IFERROR(__xludf.DUMMYFUNCTION("""COMPUTED_VALUE"""),"{}")</f>
        <v>{}</v>
      </c>
      <c r="M243" s="148">
        <f>IFERROR(__xludf.DUMMYFUNCTION("""COMPUTED_VALUE"""),700.0)</f>
        <v>700</v>
      </c>
      <c r="N243" s="148">
        <f>IFERROR(__xludf.DUMMYFUNCTION("""COMPUTED_VALUE"""),9.99999999E8)</f>
        <v>999999999</v>
      </c>
      <c r="O243" s="148">
        <f>IFERROR(__xludf.DUMMYFUNCTION("""COMPUTED_VALUE"""),9.99999999E8)</f>
        <v>999999999</v>
      </c>
      <c r="P243" s="148">
        <f>IFERROR(__xludf.DUMMYFUNCTION("""COMPUTED_VALUE"""),9.99999999E8)</f>
        <v>999999999</v>
      </c>
      <c r="Q243" s="148" t="str">
        <f>IFERROR(__xludf.DUMMYFUNCTION("""COMPUTED_VALUE"""),"[""bag_other""]")</f>
        <v>["bag_other"]</v>
      </c>
      <c r="R243" s="148" t="str">
        <f>IFERROR(__xludf.DUMMYFUNCTION("""COMPUTED_VALUE"""),"[""bag""]")</f>
        <v>["bag"]</v>
      </c>
      <c r="S243" s="148" t="str">
        <f>IFERROR(__xludf.DUMMYFUNCTION("""COMPUTED_VALUE"""),"{}")</f>
        <v>{}</v>
      </c>
      <c r="T243" s="148">
        <f>IFERROR(__xludf.DUMMYFUNCTION("""COMPUTED_VALUE"""),1.0)</f>
        <v>1</v>
      </c>
      <c r="U243" s="148">
        <f>IFERROR(__xludf.DUMMYFUNCTION("""COMPUTED_VALUE"""),0.0)</f>
        <v>0</v>
      </c>
      <c r="V243" s="148" t="str">
        <f>IFERROR(__xludf.DUMMYFUNCTION("""COMPUTED_VALUE"""),"[]")</f>
        <v>[]</v>
      </c>
      <c r="W243" s="148">
        <f>IFERROR(__xludf.DUMMYFUNCTION("""COMPUTED_VALUE"""),1.174E7)</f>
        <v>11740000</v>
      </c>
      <c r="X243" s="148">
        <f>IFERROR(__xludf.DUMMYFUNCTION("""COMPUTED_VALUE"""),0.0)</f>
        <v>0</v>
      </c>
      <c r="Y243" s="148">
        <f>IFERROR(__xludf.DUMMYFUNCTION("""COMPUTED_VALUE"""),0.0)</f>
        <v>0</v>
      </c>
      <c r="Z243" s="148"/>
    </row>
    <row r="244">
      <c r="A244" s="148">
        <f>IFERROR(__xludf.DUMMYFUNCTION("""COMPUTED_VALUE"""),1.1112033E7)</f>
        <v>11112033</v>
      </c>
      <c r="B244" s="148" t="str">
        <f>IFERROR(__xludf.DUMMYFUNCTION("""COMPUTED_VALUE"""),"主城皮肤-春节高级皮肤2024-14天")</f>
        <v>主城皮肤-春节高级皮肤2024-14天</v>
      </c>
      <c r="C244" s="148"/>
      <c r="D244" s="148" t="str">
        <f>IFERROR(__xludf.DUMMYFUNCTION("""COMPUTED_VALUE"""),"city_skin")</f>
        <v>city_skin</v>
      </c>
      <c r="E244" s="148">
        <f>IFERROR(__xludf.DUMMYFUNCTION("""COMPUTED_VALUE"""),21.0)</f>
        <v>21</v>
      </c>
      <c r="F244" s="148">
        <f>IFERROR(__xludf.DUMMYFUNCTION("""COMPUTED_VALUE"""),400106.0)</f>
        <v>400106</v>
      </c>
      <c r="G244" s="148">
        <f>IFERROR(__xludf.DUMMYFUNCTION("""COMPUTED_VALUE"""),1.5117749E7)</f>
        <v>15117749</v>
      </c>
      <c r="H244" s="148">
        <f>IFERROR(__xludf.DUMMYFUNCTION("""COMPUTED_VALUE"""),1.5112564E7)</f>
        <v>15112564</v>
      </c>
      <c r="I244" s="148" t="str">
        <f>IFERROR(__xludf.DUMMYFUNCTION("""COMPUTED_VALUE"""),"{""typ"":""lc"",""txt"":""LC_ITEM_time_day_upper_show"",""args"":[{""typ"":""int"",""val"":14}]}")</f>
        <v>{"typ":"lc","txt":"LC_ITEM_time_day_upper_show","args":[{"typ":"int","val":14}]}</v>
      </c>
      <c r="J244" s="148" t="str">
        <f>IFERROR(__xludf.DUMMYFUNCTION("""COMPUTED_VALUE"""),"{""typ"":""lc"",""txt"":""LC_ITEM_2024lunar_2023_highcity_skin_title_14day""}")</f>
        <v>{"typ":"lc","txt":"LC_ITEM_2024lunar_2023_highcity_skin_title_14day"}</v>
      </c>
      <c r="K244" s="148" t="str">
        <f>IFERROR(__xludf.DUMMYFUNCTION("""COMPUTED_VALUE"""),"{""typ"":""lc"",""txt"":""LC_ITEM_2024lunar_highskin_desc_14days""}")</f>
        <v>{"typ":"lc","txt":"LC_ITEM_2024lunar_highskin_desc_14days"}</v>
      </c>
      <c r="L244" s="148" t="str">
        <f>IFERROR(__xludf.DUMMYFUNCTION("""COMPUTED_VALUE"""),"{""typ"":""lc"",""txt"":""LC_ITEM_city_skin_rocket_use_tips""}")</f>
        <v>{"typ":"lc","txt":"LC_ITEM_city_skin_rocket_use_tips"}</v>
      </c>
      <c r="M244" s="148">
        <f>IFERROR(__xludf.DUMMYFUNCTION("""COMPUTED_VALUE"""),10000.0)</f>
        <v>10000</v>
      </c>
      <c r="N244" s="148">
        <f>IFERROR(__xludf.DUMMYFUNCTION("""COMPUTED_VALUE"""),999.0)</f>
        <v>999</v>
      </c>
      <c r="O244" s="148">
        <f>IFERROR(__xludf.DUMMYFUNCTION("""COMPUTED_VALUE"""),1.0)</f>
        <v>1</v>
      </c>
      <c r="P244" s="148">
        <f>IFERROR(__xludf.DUMMYFUNCTION("""COMPUTED_VALUE"""),1.0)</f>
        <v>1</v>
      </c>
      <c r="Q244" s="148" t="str">
        <f>IFERROR(__xludf.DUMMYFUNCTION("""COMPUTED_VALUE"""),"[""bag_other""]")</f>
        <v>["bag_other"]</v>
      </c>
      <c r="R244" s="148" t="str">
        <f>IFERROR(__xludf.DUMMYFUNCTION("""COMPUTED_VALUE"""),"[""bag"",""13121031""]")</f>
        <v>["bag","13121031"]</v>
      </c>
      <c r="S244" s="148" t="str">
        <f>IFERROR(__xludf.DUMMYFUNCTION("""COMPUTED_VALUE"""),"{""effect"":[{""typ"":""city_skin"",""id"":13121031,""val"":1209600000},{""typ"":""item"",""id"":11111021,""val"":7}]}")</f>
        <v>{"effect":[{"typ":"city_skin","id":13121031,"val":1209600000},{"typ":"item","id":11111021,"val":7}]}</v>
      </c>
      <c r="T244" s="148">
        <f>IFERROR(__xludf.DUMMYFUNCTION("""COMPUTED_VALUE"""),-1.0)</f>
        <v>-1</v>
      </c>
      <c r="U244" s="148">
        <f>IFERROR(__xludf.DUMMYFUNCTION("""COMPUTED_VALUE"""),0.0)</f>
        <v>0</v>
      </c>
      <c r="V244" s="148" t="str">
        <f>IFERROR(__xludf.DUMMYFUNCTION("""COMPUTED_VALUE"""),"[]")</f>
        <v>[]</v>
      </c>
      <c r="W244" s="148">
        <f>IFERROR(__xludf.DUMMYFUNCTION("""COMPUTED_VALUE"""),1.174E7)</f>
        <v>11740000</v>
      </c>
      <c r="X244" s="148">
        <f>IFERROR(__xludf.DUMMYFUNCTION("""COMPUTED_VALUE"""),0.0)</f>
        <v>0</v>
      </c>
      <c r="Y244" s="148">
        <f>IFERROR(__xludf.DUMMYFUNCTION("""COMPUTED_VALUE"""),0.0)</f>
        <v>0</v>
      </c>
      <c r="Z244" s="148"/>
    </row>
    <row r="245">
      <c r="A245" s="148">
        <f>IFERROR(__xludf.DUMMYFUNCTION("""COMPUTED_VALUE"""),1.1112034E7)</f>
        <v>11112034</v>
      </c>
      <c r="B245" s="148" t="str">
        <f>IFERROR(__xludf.DUMMYFUNCTION("""COMPUTED_VALUE"""),"主城皮肤-春节高级皮肤2024-7天")</f>
        <v>主城皮肤-春节高级皮肤2024-7天</v>
      </c>
      <c r="C245" s="148"/>
      <c r="D245" s="148" t="str">
        <f>IFERROR(__xludf.DUMMYFUNCTION("""COMPUTED_VALUE"""),"city_skin")</f>
        <v>city_skin</v>
      </c>
      <c r="E245" s="148">
        <f>IFERROR(__xludf.DUMMYFUNCTION("""COMPUTED_VALUE"""),21.0)</f>
        <v>21</v>
      </c>
      <c r="F245" s="148">
        <f>IFERROR(__xludf.DUMMYFUNCTION("""COMPUTED_VALUE"""),400106.0)</f>
        <v>400106</v>
      </c>
      <c r="G245" s="148">
        <f>IFERROR(__xludf.DUMMYFUNCTION("""COMPUTED_VALUE"""),1.5117749E7)</f>
        <v>15117749</v>
      </c>
      <c r="H245" s="148">
        <f>IFERROR(__xludf.DUMMYFUNCTION("""COMPUTED_VALUE"""),1.5112564E7)</f>
        <v>15112564</v>
      </c>
      <c r="I245" s="148" t="str">
        <f>IFERROR(__xludf.DUMMYFUNCTION("""COMPUTED_VALUE"""),"{""typ"":""lc"",""txt"":""LC_ITEM_time_day_upper_show"",""args"":[{""typ"":""int"",""val"":7}]}")</f>
        <v>{"typ":"lc","txt":"LC_ITEM_time_day_upper_show","args":[{"typ":"int","val":7}]}</v>
      </c>
      <c r="J245" s="148" t="str">
        <f>IFERROR(__xludf.DUMMYFUNCTION("""COMPUTED_VALUE"""),"{""typ"":""lc"",""txt"":""LC_ITEM_2024lunar_2023_highcity_skin_title_7day""}")</f>
        <v>{"typ":"lc","txt":"LC_ITEM_2024lunar_2023_highcity_skin_title_7day"}</v>
      </c>
      <c r="K245" s="148" t="str">
        <f>IFERROR(__xludf.DUMMYFUNCTION("""COMPUTED_VALUE"""),"{""typ"":""lc"",""txt"":""LC_ITEM_2024lunar_highskin_desc_7days""}")</f>
        <v>{"typ":"lc","txt":"LC_ITEM_2024lunar_highskin_desc_7days"}</v>
      </c>
      <c r="L245" s="148" t="str">
        <f>IFERROR(__xludf.DUMMYFUNCTION("""COMPUTED_VALUE"""),"{""typ"":""lc"",""txt"":""LC_ITEM_city_skin_rocket_use_tips""}")</f>
        <v>{"typ":"lc","txt":"LC_ITEM_city_skin_rocket_use_tips"}</v>
      </c>
      <c r="M245" s="148">
        <f>IFERROR(__xludf.DUMMYFUNCTION("""COMPUTED_VALUE"""),10000.0)</f>
        <v>10000</v>
      </c>
      <c r="N245" s="148">
        <f>IFERROR(__xludf.DUMMYFUNCTION("""COMPUTED_VALUE"""),999.0)</f>
        <v>999</v>
      </c>
      <c r="O245" s="148">
        <f>IFERROR(__xludf.DUMMYFUNCTION("""COMPUTED_VALUE"""),1.0)</f>
        <v>1</v>
      </c>
      <c r="P245" s="148">
        <f>IFERROR(__xludf.DUMMYFUNCTION("""COMPUTED_VALUE"""),1.0)</f>
        <v>1</v>
      </c>
      <c r="Q245" s="148" t="str">
        <f>IFERROR(__xludf.DUMMYFUNCTION("""COMPUTED_VALUE"""),"[""bag_other""]")</f>
        <v>["bag_other"]</v>
      </c>
      <c r="R245" s="148" t="str">
        <f>IFERROR(__xludf.DUMMYFUNCTION("""COMPUTED_VALUE"""),"[""bag"",""13121031""]")</f>
        <v>["bag","13121031"]</v>
      </c>
      <c r="S245" s="148" t="str">
        <f>IFERROR(__xludf.DUMMYFUNCTION("""COMPUTED_VALUE"""),"{""effect"":[{""typ"":""city_skin"",""id"":13121031,""val"":604800000},{""typ"":""item"",""id"":11111021,""val"":3}]}")</f>
        <v>{"effect":[{"typ":"city_skin","id":13121031,"val":604800000},{"typ":"item","id":11111021,"val":3}]}</v>
      </c>
      <c r="T245" s="148">
        <f>IFERROR(__xludf.DUMMYFUNCTION("""COMPUTED_VALUE"""),-1.0)</f>
        <v>-1</v>
      </c>
      <c r="U245" s="148">
        <f>IFERROR(__xludf.DUMMYFUNCTION("""COMPUTED_VALUE"""),0.0)</f>
        <v>0</v>
      </c>
      <c r="V245" s="148" t="str">
        <f>IFERROR(__xludf.DUMMYFUNCTION("""COMPUTED_VALUE"""),"[]")</f>
        <v>[]</v>
      </c>
      <c r="W245" s="148">
        <f>IFERROR(__xludf.DUMMYFUNCTION("""COMPUTED_VALUE"""),1.174E7)</f>
        <v>11740000</v>
      </c>
      <c r="X245" s="148">
        <f>IFERROR(__xludf.DUMMYFUNCTION("""COMPUTED_VALUE"""),0.0)</f>
        <v>0</v>
      </c>
      <c r="Y245" s="148">
        <f>IFERROR(__xludf.DUMMYFUNCTION("""COMPUTED_VALUE"""),0.0)</f>
        <v>0</v>
      </c>
      <c r="Z245" s="148"/>
    </row>
    <row r="246">
      <c r="A246" s="148">
        <f>IFERROR(__xludf.DUMMYFUNCTION("""COMPUTED_VALUE"""),1.1112035E7)</f>
        <v>11112035</v>
      </c>
      <c r="B246" s="148" t="str">
        <f>IFERROR(__xludf.DUMMYFUNCTION("""COMPUTED_VALUE"""),"主城皮肤-春节高级皮肤2024")</f>
        <v>主城皮肤-春节高级皮肤2024</v>
      </c>
      <c r="C246" s="148"/>
      <c r="D246" s="148" t="str">
        <f>IFERROR(__xludf.DUMMYFUNCTION("""COMPUTED_VALUE"""),"city_skin")</f>
        <v>city_skin</v>
      </c>
      <c r="E246" s="148">
        <f>IFERROR(__xludf.DUMMYFUNCTION("""COMPUTED_VALUE"""),21.0)</f>
        <v>21</v>
      </c>
      <c r="F246" s="148">
        <f>IFERROR(__xludf.DUMMYFUNCTION("""COMPUTED_VALUE"""),400106.0)</f>
        <v>400106</v>
      </c>
      <c r="G246" s="148">
        <f>IFERROR(__xludf.DUMMYFUNCTION("""COMPUTED_VALUE"""),1.5117749E7)</f>
        <v>15117749</v>
      </c>
      <c r="H246" s="148">
        <f>IFERROR(__xludf.DUMMYFUNCTION("""COMPUTED_VALUE"""),1.5115983E7)</f>
        <v>15115983</v>
      </c>
      <c r="I246" s="148" t="str">
        <f>IFERROR(__xludf.DUMMYFUNCTION("""COMPUTED_VALUE"""),"{}")</f>
        <v>{}</v>
      </c>
      <c r="J246" s="148" t="str">
        <f>IFERROR(__xludf.DUMMYFUNCTION("""COMPUTED_VALUE"""),"{""typ"":""lc"",""txt"":""LC_ITEM_2024lunar_2023_highcity_skin_title""}")</f>
        <v>{"typ":"lc","txt":"LC_ITEM_2024lunar_2023_highcity_skin_title"}</v>
      </c>
      <c r="K246" s="148" t="str">
        <f>IFERROR(__xludf.DUMMYFUNCTION("""COMPUTED_VALUE"""),"{""typ"":""lc"",""txt"":""LC_ITEM_2024lunar_highskin_desc_forever""}")</f>
        <v>{"typ":"lc","txt":"LC_ITEM_2024lunar_highskin_desc_forever"}</v>
      </c>
      <c r="L246" s="148" t="str">
        <f>IFERROR(__xludf.DUMMYFUNCTION("""COMPUTED_VALUE"""),"{""typ"":""lc"",""txt"":""LC_ITEM_city_skin_rocket_use_tips""}")</f>
        <v>{"typ":"lc","txt":"LC_ITEM_city_skin_rocket_use_tips"}</v>
      </c>
      <c r="M246" s="148">
        <f>IFERROR(__xludf.DUMMYFUNCTION("""COMPUTED_VALUE"""),10000.0)</f>
        <v>10000</v>
      </c>
      <c r="N246" s="148">
        <f>IFERROR(__xludf.DUMMYFUNCTION("""COMPUTED_VALUE"""),999.0)</f>
        <v>999</v>
      </c>
      <c r="O246" s="148">
        <f>IFERROR(__xludf.DUMMYFUNCTION("""COMPUTED_VALUE"""),1.0)</f>
        <v>1</v>
      </c>
      <c r="P246" s="148">
        <f>IFERROR(__xludf.DUMMYFUNCTION("""COMPUTED_VALUE"""),1.0)</f>
        <v>1</v>
      </c>
      <c r="Q246" s="148" t="str">
        <f>IFERROR(__xludf.DUMMYFUNCTION("""COMPUTED_VALUE"""),"[""bag_other""]")</f>
        <v>["bag_other"]</v>
      </c>
      <c r="R246" s="148" t="str">
        <f>IFERROR(__xludf.DUMMYFUNCTION("""COMPUTED_VALUE"""),"[""bag"",""13121031""]")</f>
        <v>["bag","13121031"]</v>
      </c>
      <c r="S246" s="148" t="str">
        <f>IFERROR(__xludf.DUMMYFUNCTION("""COMPUTED_VALUE"""),"{""effect"":[{""typ"":""city_skin"",""id"":13121031,""val"":-1},{""typ"":""item"",""id"":11111034,""val"":10}]}")</f>
        <v>{"effect":[{"typ":"city_skin","id":13121031,"val":-1},{"typ":"item","id":11111034,"val":10}]}</v>
      </c>
      <c r="T246" s="148">
        <f>IFERROR(__xludf.DUMMYFUNCTION("""COMPUTED_VALUE"""),-1.0)</f>
        <v>-1</v>
      </c>
      <c r="U246" s="148">
        <f>IFERROR(__xludf.DUMMYFUNCTION("""COMPUTED_VALUE"""),0.0)</f>
        <v>0</v>
      </c>
      <c r="V246" s="148" t="str">
        <f>IFERROR(__xludf.DUMMYFUNCTION("""COMPUTED_VALUE"""),"[]")</f>
        <v>[]</v>
      </c>
      <c r="W246" s="148">
        <f>IFERROR(__xludf.DUMMYFUNCTION("""COMPUTED_VALUE"""),1.174E7)</f>
        <v>11740000</v>
      </c>
      <c r="X246" s="148">
        <f>IFERROR(__xludf.DUMMYFUNCTION("""COMPUTED_VALUE"""),0.0)</f>
        <v>0</v>
      </c>
      <c r="Y246" s="148">
        <f>IFERROR(__xludf.DUMMYFUNCTION("""COMPUTED_VALUE"""),0.0)</f>
        <v>0</v>
      </c>
      <c r="Z246" s="148"/>
    </row>
    <row r="247">
      <c r="A247" s="148">
        <f>IFERROR(__xludf.DUMMYFUNCTION("""COMPUTED_VALUE"""),1.1112036E7)</f>
        <v>11112036</v>
      </c>
      <c r="B247" s="148" t="str">
        <f>IFERROR(__xludf.DUMMYFUNCTION("""COMPUTED_VALUE"""),"主城皮肤-春节2024")</f>
        <v>主城皮肤-春节2024</v>
      </c>
      <c r="C247" s="148"/>
      <c r="D247" s="148" t="str">
        <f>IFERROR(__xludf.DUMMYFUNCTION("""COMPUTED_VALUE"""),"city_skin")</f>
        <v>city_skin</v>
      </c>
      <c r="E247" s="148">
        <f>IFERROR(__xludf.DUMMYFUNCTION("""COMPUTED_VALUE"""),21.0)</f>
        <v>21</v>
      </c>
      <c r="F247" s="148">
        <f>IFERROR(__xludf.DUMMYFUNCTION("""COMPUTED_VALUE"""),1.0)</f>
        <v>1</v>
      </c>
      <c r="G247" s="148">
        <f>IFERROR(__xludf.DUMMYFUNCTION("""COMPUTED_VALUE"""),1.5117748E7)</f>
        <v>15117748</v>
      </c>
      <c r="H247" s="148">
        <f>IFERROR(__xludf.DUMMYFUNCTION("""COMPUTED_VALUE"""),1.5112564E7)</f>
        <v>15112564</v>
      </c>
      <c r="I247" s="148" t="str">
        <f>IFERROR(__xludf.DUMMYFUNCTION("""COMPUTED_VALUE"""),"{}")</f>
        <v>{}</v>
      </c>
      <c r="J247" s="148" t="str">
        <f>IFERROR(__xludf.DUMMYFUNCTION("""COMPUTED_VALUE"""),"{""typ"":""lc"",""txt"":""LC_ITEM_2024lunar_lowcity_skin_title""}")</f>
        <v>{"typ":"lc","txt":"LC_ITEM_2024lunar_lowcity_skin_title"}</v>
      </c>
      <c r="K247" s="148" t="str">
        <f>IFERROR(__xludf.DUMMYFUNCTION("""COMPUTED_VALUE"""),"{""typ"":""lc"",""txt"":""LC_ITEM_2024lunar_lowcity_skin_desc_forever""}")</f>
        <v>{"typ":"lc","txt":"LC_ITEM_2024lunar_lowcity_skin_desc_forever"}</v>
      </c>
      <c r="L247" s="148" t="str">
        <f>IFERROR(__xludf.DUMMYFUNCTION("""COMPUTED_VALUE"""),"{""typ"":""lc"",""txt"":""LC_ITEM_city_skin_rocket_use_tips""}")</f>
        <v>{"typ":"lc","txt":"LC_ITEM_city_skin_rocket_use_tips"}</v>
      </c>
      <c r="M247" s="148">
        <f>IFERROR(__xludf.DUMMYFUNCTION("""COMPUTED_VALUE"""),10000.0)</f>
        <v>10000</v>
      </c>
      <c r="N247" s="148">
        <f>IFERROR(__xludf.DUMMYFUNCTION("""COMPUTED_VALUE"""),999.0)</f>
        <v>999</v>
      </c>
      <c r="O247" s="148">
        <f>IFERROR(__xludf.DUMMYFUNCTION("""COMPUTED_VALUE"""),1.0)</f>
        <v>1</v>
      </c>
      <c r="P247" s="148">
        <f>IFERROR(__xludf.DUMMYFUNCTION("""COMPUTED_VALUE"""),1.0)</f>
        <v>1</v>
      </c>
      <c r="Q247" s="148" t="str">
        <f>IFERROR(__xludf.DUMMYFUNCTION("""COMPUTED_VALUE"""),"[""bag_other""]")</f>
        <v>["bag_other"]</v>
      </c>
      <c r="R247" s="148" t="str">
        <f>IFERROR(__xludf.DUMMYFUNCTION("""COMPUTED_VALUE"""),"[""bag"",""13121030""]")</f>
        <v>["bag","13121030"]</v>
      </c>
      <c r="S247" s="148" t="str">
        <f>IFERROR(__xludf.DUMMYFUNCTION("""COMPUTED_VALUE"""),"{""effect"":[{""typ"":""city_skin"",""id"":13121030,""val"":-1},{""typ"":""item"",""id"":11111034,""val"":10}]}")</f>
        <v>{"effect":[{"typ":"city_skin","id":13121030,"val":-1},{"typ":"item","id":11111034,"val":10}]}</v>
      </c>
      <c r="T247" s="148">
        <f>IFERROR(__xludf.DUMMYFUNCTION("""COMPUTED_VALUE"""),-1.0)</f>
        <v>-1</v>
      </c>
      <c r="U247" s="148">
        <f>IFERROR(__xludf.DUMMYFUNCTION("""COMPUTED_VALUE"""),0.0)</f>
        <v>0</v>
      </c>
      <c r="V247" s="148" t="str">
        <f>IFERROR(__xludf.DUMMYFUNCTION("""COMPUTED_VALUE"""),"[]")</f>
        <v>[]</v>
      </c>
      <c r="W247" s="148">
        <f>IFERROR(__xludf.DUMMYFUNCTION("""COMPUTED_VALUE"""),1.174E7)</f>
        <v>11740000</v>
      </c>
      <c r="X247" s="148">
        <f>IFERROR(__xludf.DUMMYFUNCTION("""COMPUTED_VALUE"""),0.0)</f>
        <v>0</v>
      </c>
      <c r="Y247" s="148">
        <f>IFERROR(__xludf.DUMMYFUNCTION("""COMPUTED_VALUE"""),0.0)</f>
        <v>0</v>
      </c>
      <c r="Z247" s="148"/>
    </row>
    <row r="248">
      <c r="A248" s="148">
        <f>IFERROR(__xludf.DUMMYFUNCTION("""COMPUTED_VALUE"""),1.1112037E7)</f>
        <v>11112037</v>
      </c>
      <c r="B248" s="148" t="str">
        <f>IFERROR(__xludf.DUMMYFUNCTION("""COMPUTED_VALUE"""),"主城皮肤-春节2024（2天）")</f>
        <v>主城皮肤-春节2024（2天）</v>
      </c>
      <c r="C248" s="148"/>
      <c r="D248" s="148" t="str">
        <f>IFERROR(__xludf.DUMMYFUNCTION("""COMPUTED_VALUE"""),"city_skin")</f>
        <v>city_skin</v>
      </c>
      <c r="E248" s="148">
        <f>IFERROR(__xludf.DUMMYFUNCTION("""COMPUTED_VALUE"""),21.0)</f>
        <v>21</v>
      </c>
      <c r="F248" s="148">
        <f>IFERROR(__xludf.DUMMYFUNCTION("""COMPUTED_VALUE"""),404201.0)</f>
        <v>404201</v>
      </c>
      <c r="G248" s="148">
        <f>IFERROR(__xludf.DUMMYFUNCTION("""COMPUTED_VALUE"""),1.5117748E7)</f>
        <v>15117748</v>
      </c>
      <c r="H248" s="148">
        <f>IFERROR(__xludf.DUMMYFUNCTION("""COMPUTED_VALUE"""),1.5112563E7)</f>
        <v>15112563</v>
      </c>
      <c r="I248" s="148" t="str">
        <f>IFERROR(__xludf.DUMMYFUNCTION("""COMPUTED_VALUE"""),"{""typ"":""lc"",""txt"":""LC_ITEM_time_day_upper_show"",""args"":[{""typ"":""int"",""val"":2}]}")</f>
        <v>{"typ":"lc","txt":"LC_ITEM_time_day_upper_show","args":[{"typ":"int","val":2}]}</v>
      </c>
      <c r="J248" s="148" t="str">
        <f>IFERROR(__xludf.DUMMYFUNCTION("""COMPUTED_VALUE"""),"{""typ"":""lc"",""txt"":""LC_ITEM_2024lunar_lowcity_skin_title_2day""}")</f>
        <v>{"typ":"lc","txt":"LC_ITEM_2024lunar_lowcity_skin_title_2day"}</v>
      </c>
      <c r="K248" s="148" t="str">
        <f>IFERROR(__xludf.DUMMYFUNCTION("""COMPUTED_VALUE"""),"{""typ"":""lc"",""txt"":""LC_ITEM_2024lunar_lowcity_skin_desc_2day""}")</f>
        <v>{"typ":"lc","txt":"LC_ITEM_2024lunar_lowcity_skin_desc_2day"}</v>
      </c>
      <c r="L248" s="148" t="str">
        <f>IFERROR(__xludf.DUMMYFUNCTION("""COMPUTED_VALUE"""),"{""typ"":""lc"",""txt"":""LC_ITEM_city_skin_rocket_use_tips""}")</f>
        <v>{"typ":"lc","txt":"LC_ITEM_city_skin_rocket_use_tips"}</v>
      </c>
      <c r="M248" s="148">
        <f>IFERROR(__xludf.DUMMYFUNCTION("""COMPUTED_VALUE"""),500.0)</f>
        <v>500</v>
      </c>
      <c r="N248" s="148">
        <f>IFERROR(__xludf.DUMMYFUNCTION("""COMPUTED_VALUE"""),999.0)</f>
        <v>999</v>
      </c>
      <c r="O248" s="148">
        <f>IFERROR(__xludf.DUMMYFUNCTION("""COMPUTED_VALUE"""),1.0)</f>
        <v>1</v>
      </c>
      <c r="P248" s="148">
        <f>IFERROR(__xludf.DUMMYFUNCTION("""COMPUTED_VALUE"""),1.0)</f>
        <v>1</v>
      </c>
      <c r="Q248" s="148" t="str">
        <f>IFERROR(__xludf.DUMMYFUNCTION("""COMPUTED_VALUE"""),"[""bag_other""]")</f>
        <v>["bag_other"]</v>
      </c>
      <c r="R248" s="148" t="str">
        <f>IFERROR(__xludf.DUMMYFUNCTION("""COMPUTED_VALUE"""),"[""bag"",""13121030""]")</f>
        <v>["bag","13121030"]</v>
      </c>
      <c r="S248" s="148" t="str">
        <f>IFERROR(__xludf.DUMMYFUNCTION("""COMPUTED_VALUE"""),"{""effect"":[{""typ"":""city_skin"",""id"":13121030,""val"":172800000},{""typ"":""item"",""id"":11111021,""val"":1}]}")</f>
        <v>{"effect":[{"typ":"city_skin","id":13121030,"val":172800000},{"typ":"item","id":11111021,"val":1}]}</v>
      </c>
      <c r="T248" s="148">
        <f>IFERROR(__xludf.DUMMYFUNCTION("""COMPUTED_VALUE"""),-1.0)</f>
        <v>-1</v>
      </c>
      <c r="U248" s="148">
        <f>IFERROR(__xludf.DUMMYFUNCTION("""COMPUTED_VALUE"""),0.0)</f>
        <v>0</v>
      </c>
      <c r="V248" s="148" t="str">
        <f>IFERROR(__xludf.DUMMYFUNCTION("""COMPUTED_VALUE"""),"[]")</f>
        <v>[]</v>
      </c>
      <c r="W248" s="148">
        <f>IFERROR(__xludf.DUMMYFUNCTION("""COMPUTED_VALUE"""),1.174E7)</f>
        <v>11740000</v>
      </c>
      <c r="X248" s="148">
        <f>IFERROR(__xludf.DUMMYFUNCTION("""COMPUTED_VALUE"""),0.0)</f>
        <v>0</v>
      </c>
      <c r="Y248" s="148">
        <f>IFERROR(__xludf.DUMMYFUNCTION("""COMPUTED_VALUE"""),0.0)</f>
        <v>0</v>
      </c>
      <c r="Z248" s="148"/>
    </row>
    <row r="249">
      <c r="A249" s="148">
        <f>IFERROR(__xludf.DUMMYFUNCTION("""COMPUTED_VALUE"""),1.1112038E7)</f>
        <v>11112038</v>
      </c>
      <c r="B249" s="148" t="str">
        <f>IFERROR(__xludf.DUMMYFUNCTION("""COMPUTED_VALUE"""),"春节2024-7日活动宝箱")</f>
        <v>春节2024-7日活动宝箱</v>
      </c>
      <c r="C249" s="148"/>
      <c r="D249" s="148" t="str">
        <f>IFERROR(__xludf.DUMMYFUNCTION("""COMPUTED_VALUE"""),"item_asset")</f>
        <v>item_asset</v>
      </c>
      <c r="E249" s="148">
        <f>IFERROR(__xludf.DUMMYFUNCTION("""COMPUTED_VALUE"""),19.0)</f>
        <v>19</v>
      </c>
      <c r="F249" s="148">
        <f>IFERROR(__xludf.DUMMYFUNCTION("""COMPUTED_VALUE"""),201101.0)</f>
        <v>201101</v>
      </c>
      <c r="G249" s="148">
        <f>IFERROR(__xludf.DUMMYFUNCTION("""COMPUTED_VALUE"""),1.5117141E7)</f>
        <v>15117141</v>
      </c>
      <c r="H249" s="148">
        <f>IFERROR(__xludf.DUMMYFUNCTION("""COMPUTED_VALUE"""),1.5112564E7)</f>
        <v>15112564</v>
      </c>
      <c r="I249" s="148" t="str">
        <f>IFERROR(__xludf.DUMMYFUNCTION("""COMPUTED_VALUE"""),"{}")</f>
        <v>{}</v>
      </c>
      <c r="J249" s="148" t="str">
        <f>IFERROR(__xludf.DUMMYFUNCTION("""COMPUTED_VALUE"""),"{""typ"":""lc"",""txt"":""LC_ITEM_seven_day_box_name""}")</f>
        <v>{"typ":"lc","txt":"LC_ITEM_seven_day_box_name"}</v>
      </c>
      <c r="K249" s="148" t="str">
        <f>IFERROR(__xludf.DUMMYFUNCTION("""COMPUTED_VALUE"""),"{""typ"":""lc"",""txt"":""LC_ITEM_seven_day_box_desc""}")</f>
        <v>{"typ":"lc","txt":"LC_ITEM_seven_day_box_desc"}</v>
      </c>
      <c r="L249" s="148" t="str">
        <f>IFERROR(__xludf.DUMMYFUNCTION("""COMPUTED_VALUE"""),"{""typ"":""lc"",""txt"":""LC_ITEM_horde_elite_box_usedtip""}")</f>
        <v>{"typ":"lc","txt":"LC_ITEM_horde_elite_box_usedtip"}</v>
      </c>
      <c r="M249" s="148">
        <f>IFERROR(__xludf.DUMMYFUNCTION("""COMPUTED_VALUE"""),40.0)</f>
        <v>40</v>
      </c>
      <c r="N249" s="148">
        <f>IFERROR(__xludf.DUMMYFUNCTION("""COMPUTED_VALUE"""),999999.0)</f>
        <v>999999</v>
      </c>
      <c r="O249" s="148">
        <f>IFERROR(__xludf.DUMMYFUNCTION("""COMPUTED_VALUE"""),99999.0)</f>
        <v>99999</v>
      </c>
      <c r="P249" s="148">
        <f>IFERROR(__xludf.DUMMYFUNCTION("""COMPUTED_VALUE"""),99999.0)</f>
        <v>99999</v>
      </c>
      <c r="Q249" s="148" t="str">
        <f>IFERROR(__xludf.DUMMYFUNCTION("""COMPUTED_VALUE"""),"[""bag_other""]")</f>
        <v>["bag_other"]</v>
      </c>
      <c r="R249" s="148" t="str">
        <f>IFERROR(__xludf.DUMMYFUNCTION("""COMPUTED_VALUE"""),"[""bag""]")</f>
        <v>["bag"]</v>
      </c>
      <c r="S249" s="148" t="str">
        <f>IFERROR(__xludf.DUMMYFUNCTION("""COMPUTED_VALUE"""),"{""drop"":{""typ"":""single_random"",""num"":1,""args"":[{""typ"":""item"",""id"":11116304,""num"":1,""wgt"":60},{""typ"":""item"",""id"":11118501,""num"":1,""wgt"":60},{""typ"":""item"",""id"":11117069,""num"":1,""wgt"":100},{""typ"":""item"",""id"":1111"&amp;"4330,""num"":1,""wgt"":600},{""typ"":""item"",""id"":11116111,""num"":1,""wgt"":60},{""typ"":""item"",""id"":11116110,""num"":1,""wgt"":200},{""typ"":""item"",""id"":11117024,""num"":1,""wgt"":400},{""typ"":""item"",""id"":11117068,""num"":10,""wgt"":800}"&amp;",{""typ"":""item"",""id"":11111105,""num"":1,""wgt"":600},{""typ"":""item"",""id"":11111103,""num"":2,""wgt"":1200}]}}")</f>
        <v>{"drop":{"typ":"single_random","num":1,"args":[{"typ":"item","id":11116304,"num":1,"wgt":60},{"typ":"item","id":11118501,"num":1,"wgt":60},{"typ":"item","id":11117069,"num":1,"wgt":100},{"typ":"item","id":11114330,"num":1,"wgt":600},{"typ":"item","id":11116111,"num":1,"wgt":60},{"typ":"item","id":11116110,"num":1,"wgt":200},{"typ":"item","id":11117024,"num":1,"wgt":400},{"typ":"item","id":11117068,"num":10,"wgt":800},{"typ":"item","id":11111105,"num":1,"wgt":600},{"typ":"item","id":11111103,"num":2,"wgt":1200}]}}</v>
      </c>
      <c r="T249" s="148">
        <f>IFERROR(__xludf.DUMMYFUNCTION("""COMPUTED_VALUE"""),-1.0)</f>
        <v>-1</v>
      </c>
      <c r="U249" s="148">
        <f>IFERROR(__xludf.DUMMYFUNCTION("""COMPUTED_VALUE"""),0.0)</f>
        <v>0</v>
      </c>
      <c r="V249" s="148" t="str">
        <f>IFERROR(__xludf.DUMMYFUNCTION("""COMPUTED_VALUE"""),"[]")</f>
        <v>[]</v>
      </c>
      <c r="W249" s="148">
        <f>IFERROR(__xludf.DUMMYFUNCTION("""COMPUTED_VALUE"""),1.174E7)</f>
        <v>11740000</v>
      </c>
      <c r="X249" s="148">
        <f>IFERROR(__xludf.DUMMYFUNCTION("""COMPUTED_VALUE"""),0.0)</f>
        <v>0</v>
      </c>
      <c r="Y249" s="148">
        <f>IFERROR(__xludf.DUMMYFUNCTION("""COMPUTED_VALUE"""),0.0)</f>
        <v>0</v>
      </c>
      <c r="Z249" s="148"/>
    </row>
    <row r="250">
      <c r="A250" s="148">
        <f>IFERROR(__xludf.DUMMYFUNCTION("""COMPUTED_VALUE"""),1.1112039E7)</f>
        <v>11112039</v>
      </c>
      <c r="B250" s="148" t="str">
        <f>IFERROR(__xludf.DUMMYFUNCTION("""COMPUTED_VALUE"""),"春节2024活动专用-增加次数道具")</f>
        <v>春节2024活动专用-增加次数道具</v>
      </c>
      <c r="C250" s="148"/>
      <c r="D250" s="148" t="str">
        <f>IFERROR(__xludf.DUMMYFUNCTION("""COMPUTED_VALUE"""),"event_progress")</f>
        <v>event_progress</v>
      </c>
      <c r="E250" s="148">
        <f>IFERROR(__xludf.DUMMYFUNCTION("""COMPUTED_VALUE"""),0.0)</f>
        <v>0</v>
      </c>
      <c r="F250" s="148">
        <f>IFERROR(__xludf.DUMMYFUNCTION("""COMPUTED_VALUE"""),0.0)</f>
        <v>0</v>
      </c>
      <c r="G250" s="148">
        <f>IFERROR(__xludf.DUMMYFUNCTION("""COMPUTED_VALUE"""),1.5113732E7)</f>
        <v>15113732</v>
      </c>
      <c r="H250" s="148">
        <f>IFERROR(__xludf.DUMMYFUNCTION("""COMPUTED_VALUE"""),1.5112563E7)</f>
        <v>15112563</v>
      </c>
      <c r="I250" s="148" t="str">
        <f>IFERROR(__xludf.DUMMYFUNCTION("""COMPUTED_VALUE"""),"{}")</f>
        <v>{}</v>
      </c>
      <c r="J250" s="148" t="str">
        <f>IFERROR(__xludf.DUMMYFUNCTION("""COMPUTED_VALUE"""),"{}")</f>
        <v>{}</v>
      </c>
      <c r="K250" s="148" t="str">
        <f>IFERROR(__xludf.DUMMYFUNCTION("""COMPUTED_VALUE"""),"{}")</f>
        <v>{}</v>
      </c>
      <c r="L250" s="148" t="str">
        <f>IFERROR(__xludf.DUMMYFUNCTION("""COMPUTED_VALUE"""),"{}")</f>
        <v>{}</v>
      </c>
      <c r="M250" s="148">
        <f>IFERROR(__xludf.DUMMYFUNCTION("""COMPUTED_VALUE"""),1.0)</f>
        <v>1</v>
      </c>
      <c r="N250" s="148">
        <f>IFERROR(__xludf.DUMMYFUNCTION("""COMPUTED_VALUE"""),999999.0)</f>
        <v>999999</v>
      </c>
      <c r="O250" s="148">
        <f>IFERROR(__xludf.DUMMYFUNCTION("""COMPUTED_VALUE"""),99999.0)</f>
        <v>99999</v>
      </c>
      <c r="P250" s="148">
        <f>IFERROR(__xludf.DUMMYFUNCTION("""COMPUTED_VALUE"""),9999.0)</f>
        <v>9999</v>
      </c>
      <c r="Q250" s="148" t="str">
        <f>IFERROR(__xludf.DUMMYFUNCTION("""COMPUTED_VALUE"""),"[]")</f>
        <v>[]</v>
      </c>
      <c r="R250" s="148" t="str">
        <f>IFERROR(__xludf.DUMMYFUNCTION("""COMPUTED_VALUE"""),"[]")</f>
        <v>[]</v>
      </c>
      <c r="S250" s="148" t="str">
        <f>IFERROR(__xludf.DUMMYFUNCTION("""COMPUTED_VALUE"""),"{""effect"":[{""typ"":""event"",""id"":21127032},{""typ"":""miss_lost_reward""}]}")</f>
        <v>{"effect":[{"typ":"event","id":21127032},{"typ":"miss_lost_reward"}]}</v>
      </c>
      <c r="T250" s="148">
        <f>IFERROR(__xludf.DUMMYFUNCTION("""COMPUTED_VALUE"""),-1.0)</f>
        <v>-1</v>
      </c>
      <c r="U250" s="148">
        <f>IFERROR(__xludf.DUMMYFUNCTION("""COMPUTED_VALUE"""),1.0)</f>
        <v>1</v>
      </c>
      <c r="V250" s="148" t="str">
        <f>IFERROR(__xludf.DUMMYFUNCTION("""COMPUTED_VALUE"""),"[]")</f>
        <v>[]</v>
      </c>
      <c r="W250" s="148">
        <f>IFERROR(__xludf.DUMMYFUNCTION("""COMPUTED_VALUE"""),1.174E7)</f>
        <v>11740000</v>
      </c>
      <c r="X250" s="148">
        <f>IFERROR(__xludf.DUMMYFUNCTION("""COMPUTED_VALUE"""),0.0)</f>
        <v>0</v>
      </c>
      <c r="Y250" s="148">
        <f>IFERROR(__xludf.DUMMYFUNCTION("""COMPUTED_VALUE"""),0.0)</f>
        <v>0</v>
      </c>
      <c r="Z250" s="148"/>
    </row>
    <row r="251">
      <c r="A251" s="148">
        <f>IFERROR(__xludf.DUMMYFUNCTION("""COMPUTED_VALUE"""),1.111204E7)</f>
        <v>11112040</v>
      </c>
      <c r="B251" s="148" t="str">
        <f>IFERROR(__xludf.DUMMYFUNCTION("""COMPUTED_VALUE"""),"春节2024活动-解锁宝箱礼包钥匙")</f>
        <v>春节2024活动-解锁宝箱礼包钥匙</v>
      </c>
      <c r="C251" s="148"/>
      <c r="D251" s="148" t="str">
        <f>IFERROR(__xludf.DUMMYFUNCTION("""COMPUTED_VALUE"""),"event")</f>
        <v>event</v>
      </c>
      <c r="E251" s="148">
        <f>IFERROR(__xludf.DUMMYFUNCTION("""COMPUTED_VALUE"""),0.0)</f>
        <v>0</v>
      </c>
      <c r="F251" s="148">
        <f>IFERROR(__xludf.DUMMYFUNCTION("""COMPUTED_VALUE"""),0.0)</f>
        <v>0</v>
      </c>
      <c r="G251" s="148">
        <f>IFERROR(__xludf.DUMMYFUNCTION("""COMPUTED_VALUE"""),1.5117142E7)</f>
        <v>15117142</v>
      </c>
      <c r="H251" s="148">
        <f>IFERROR(__xludf.DUMMYFUNCTION("""COMPUTED_VALUE"""),1.5112564E7)</f>
        <v>15112564</v>
      </c>
      <c r="I251" s="148" t="str">
        <f>IFERROR(__xludf.DUMMYFUNCTION("""COMPUTED_VALUE"""),"{}")</f>
        <v>{}</v>
      </c>
      <c r="J251" s="148" t="str">
        <f>IFERROR(__xludf.DUMMYFUNCTION("""COMPUTED_VALUE"""),"{""typ"":""lc"",""txt"":""LC_ITEM_seven_day_box_key_name""}")</f>
        <v>{"typ":"lc","txt":"LC_ITEM_seven_day_box_key_name"}</v>
      </c>
      <c r="K251" s="148" t="str">
        <f>IFERROR(__xludf.DUMMYFUNCTION("""COMPUTED_VALUE"""),"{""typ"":""lc"",""txt"":""LC_ITEM_seven_day_box_key_desc""}")</f>
        <v>{"typ":"lc","txt":"LC_ITEM_seven_day_box_key_desc"}</v>
      </c>
      <c r="L251" s="148" t="str">
        <f>IFERROR(__xludf.DUMMYFUNCTION("""COMPUTED_VALUE"""),"{}")</f>
        <v>{}</v>
      </c>
      <c r="M251" s="148">
        <f>IFERROR(__xludf.DUMMYFUNCTION("""COMPUTED_VALUE"""),10.0)</f>
        <v>10</v>
      </c>
      <c r="N251" s="148">
        <f>IFERROR(__xludf.DUMMYFUNCTION("""COMPUTED_VALUE"""),999999.0)</f>
        <v>999999</v>
      </c>
      <c r="O251" s="148">
        <f>IFERROR(__xludf.DUMMYFUNCTION("""COMPUTED_VALUE"""),99999.0)</f>
        <v>99999</v>
      </c>
      <c r="P251" s="148">
        <f>IFERROR(__xludf.DUMMYFUNCTION("""COMPUTED_VALUE"""),9999.0)</f>
        <v>9999</v>
      </c>
      <c r="Q251" s="148" t="str">
        <f>IFERROR(__xludf.DUMMYFUNCTION("""COMPUTED_VALUE"""),"[""bag_other""]")</f>
        <v>["bag_other"]</v>
      </c>
      <c r="R251" s="148" t="str">
        <f>IFERROR(__xludf.DUMMYFUNCTION("""COMPUTED_VALUE"""),"[]")</f>
        <v>[]</v>
      </c>
      <c r="S251" s="148" t="str">
        <f>IFERROR(__xludf.DUMMYFUNCTION("""COMPUTED_VALUE"""),"{}")</f>
        <v>{}</v>
      </c>
      <c r="T251" s="148">
        <f>IFERROR(__xludf.DUMMYFUNCTION("""COMPUTED_VALUE"""),-1.0)</f>
        <v>-1</v>
      </c>
      <c r="U251" s="148">
        <f>IFERROR(__xludf.DUMMYFUNCTION("""COMPUTED_VALUE"""),0.0)</f>
        <v>0</v>
      </c>
      <c r="V251" s="148" t="str">
        <f>IFERROR(__xludf.DUMMYFUNCTION("""COMPUTED_VALUE"""),"[]")</f>
        <v>[]</v>
      </c>
      <c r="W251" s="148">
        <f>IFERROR(__xludf.DUMMYFUNCTION("""COMPUTED_VALUE"""),1.174E7)</f>
        <v>11740000</v>
      </c>
      <c r="X251" s="148">
        <f>IFERROR(__xludf.DUMMYFUNCTION("""COMPUTED_VALUE"""),0.0)</f>
        <v>0</v>
      </c>
      <c r="Y251" s="148">
        <f>IFERROR(__xludf.DUMMYFUNCTION("""COMPUTED_VALUE"""),0.0)</f>
        <v>0</v>
      </c>
      <c r="Z251" s="148"/>
    </row>
    <row r="252">
      <c r="A252" s="148">
        <f>IFERROR(__xludf.DUMMYFUNCTION("""COMPUTED_VALUE"""),1.1112041E7)</f>
        <v>11112041</v>
      </c>
      <c r="B252" s="148" t="str">
        <f>IFERROR(__xludf.DUMMYFUNCTION("""COMPUTED_VALUE"""),"春节2024-7日活动宝箱-显示用")</f>
        <v>春节2024-7日活动宝箱-显示用</v>
      </c>
      <c r="C252" s="148"/>
      <c r="D252" s="148" t="str">
        <f>IFERROR(__xludf.DUMMYFUNCTION("""COMPUTED_VALUE"""),"event")</f>
        <v>event</v>
      </c>
      <c r="E252" s="148">
        <f>IFERROR(__xludf.DUMMYFUNCTION("""COMPUTED_VALUE"""),0.0)</f>
        <v>0</v>
      </c>
      <c r="F252" s="148">
        <f>IFERROR(__xludf.DUMMYFUNCTION("""COMPUTED_VALUE"""),0.0)</f>
        <v>0</v>
      </c>
      <c r="G252" s="148">
        <f>IFERROR(__xludf.DUMMYFUNCTION("""COMPUTED_VALUE"""),1.5117141E7)</f>
        <v>15117141</v>
      </c>
      <c r="H252" s="148">
        <f>IFERROR(__xludf.DUMMYFUNCTION("""COMPUTED_VALUE"""),1.5112564E7)</f>
        <v>15112564</v>
      </c>
      <c r="I252" s="148" t="str">
        <f>IFERROR(__xludf.DUMMYFUNCTION("""COMPUTED_VALUE"""),"{}")</f>
        <v>{}</v>
      </c>
      <c r="J252" s="148" t="str">
        <f>IFERROR(__xludf.DUMMYFUNCTION("""COMPUTED_VALUE"""),"{""typ"":""lc"",""txt"":""LC_ITEM_seven_day_box_name""}")</f>
        <v>{"typ":"lc","txt":"LC_ITEM_seven_day_box_name"}</v>
      </c>
      <c r="K252" s="148" t="str">
        <f>IFERROR(__xludf.DUMMYFUNCTION("""COMPUTED_VALUE"""),"{""typ"":""lc"",""txt"":""LC_ITEM_seven_day_box_desc""}")</f>
        <v>{"typ":"lc","txt":"LC_ITEM_seven_day_box_desc"}</v>
      </c>
      <c r="L252" s="148" t="str">
        <f>IFERROR(__xludf.DUMMYFUNCTION("""COMPUTED_VALUE"""),"{}")</f>
        <v>{}</v>
      </c>
      <c r="M252" s="148">
        <f>IFERROR(__xludf.DUMMYFUNCTION("""COMPUTED_VALUE"""),1.0)</f>
        <v>1</v>
      </c>
      <c r="N252" s="148">
        <f>IFERROR(__xludf.DUMMYFUNCTION("""COMPUTED_VALUE"""),999999.0)</f>
        <v>999999</v>
      </c>
      <c r="O252" s="148">
        <f>IFERROR(__xludf.DUMMYFUNCTION("""COMPUTED_VALUE"""),99999.0)</f>
        <v>99999</v>
      </c>
      <c r="P252" s="148">
        <f>IFERROR(__xludf.DUMMYFUNCTION("""COMPUTED_VALUE"""),9999.0)</f>
        <v>9999</v>
      </c>
      <c r="Q252" s="148" t="str">
        <f>IFERROR(__xludf.DUMMYFUNCTION("""COMPUTED_VALUE"""),"[]")</f>
        <v>[]</v>
      </c>
      <c r="R252" s="148" t="str">
        <f>IFERROR(__xludf.DUMMYFUNCTION("""COMPUTED_VALUE"""),"[]")</f>
        <v>[]</v>
      </c>
      <c r="S252" s="148" t="str">
        <f>IFERROR(__xludf.DUMMYFUNCTION("""COMPUTED_VALUE"""),"{""effect"":[{""typ"":""miss_lost_reward""}]}")</f>
        <v>{"effect":[{"typ":"miss_lost_reward"}]}</v>
      </c>
      <c r="T252" s="148">
        <f>IFERROR(__xludf.DUMMYFUNCTION("""COMPUTED_VALUE"""),-1.0)</f>
        <v>-1</v>
      </c>
      <c r="U252" s="148">
        <f>IFERROR(__xludf.DUMMYFUNCTION("""COMPUTED_VALUE"""),1.0)</f>
        <v>1</v>
      </c>
      <c r="V252" s="148" t="str">
        <f>IFERROR(__xludf.DUMMYFUNCTION("""COMPUTED_VALUE"""),"[]")</f>
        <v>[]</v>
      </c>
      <c r="W252" s="148">
        <f>IFERROR(__xludf.DUMMYFUNCTION("""COMPUTED_VALUE"""),1.174E7)</f>
        <v>11740000</v>
      </c>
      <c r="X252" s="148">
        <f>IFERROR(__xludf.DUMMYFUNCTION("""COMPUTED_VALUE"""),0.0)</f>
        <v>0</v>
      </c>
      <c r="Y252" s="148">
        <f>IFERROR(__xludf.DUMMYFUNCTION("""COMPUTED_VALUE"""),0.0)</f>
        <v>0</v>
      </c>
      <c r="Z252" s="148"/>
    </row>
    <row r="253">
      <c r="A253" s="148">
        <f>IFERROR(__xludf.DUMMYFUNCTION("""COMPUTED_VALUE"""),1.1112042E7)</f>
        <v>11112042</v>
      </c>
      <c r="B253" s="148" t="str">
        <f>IFERROR(__xludf.DUMMYFUNCTION("""COMPUTED_VALUE"""),"春节2024-装饰升级版本")</f>
        <v>春节2024-装饰升级版本</v>
      </c>
      <c r="C253" s="148"/>
      <c r="D253" s="148" t="str">
        <f>IFERROR(__xludf.DUMMYFUNCTION("""COMPUTED_VALUE"""),"statue_decorate")</f>
        <v>statue_decorate</v>
      </c>
      <c r="E253" s="148">
        <f>IFERROR(__xludf.DUMMYFUNCTION("""COMPUTED_VALUE"""),23.0)</f>
        <v>23</v>
      </c>
      <c r="F253" s="148">
        <f>IFERROR(__xludf.DUMMYFUNCTION("""COMPUTED_VALUE"""),0.0)</f>
        <v>0</v>
      </c>
      <c r="G253" s="148">
        <f>IFERROR(__xludf.DUMMYFUNCTION("""COMPUTED_VALUE"""),1.5117755E7)</f>
        <v>15117755</v>
      </c>
      <c r="H253" s="148">
        <f>IFERROR(__xludf.DUMMYFUNCTION("""COMPUTED_VALUE"""),1.5112564E7)</f>
        <v>15112564</v>
      </c>
      <c r="I253" s="148" t="str">
        <f>IFERROR(__xludf.DUMMYFUNCTION("""COMPUTED_VALUE"""),"{}")</f>
        <v>{}</v>
      </c>
      <c r="J253" s="148" t="str">
        <f>IFERROR(__xludf.DUMMYFUNCTION("""COMPUTED_VALUE"""),"{""typ"":""lc"",""txt"":""LC_ITEM_2024lunar_dec_item_2""}")</f>
        <v>{"typ":"lc","txt":"LC_ITEM_2024lunar_dec_item_2"}</v>
      </c>
      <c r="K253" s="148" t="str">
        <f>IFERROR(__xludf.DUMMYFUNCTION("""COMPUTED_VALUE"""),"{""typ"":""lc"",""txt"":""LC_ITEM_2024lunar_dec_item_3_desc""}")</f>
        <v>{"typ":"lc","txt":"LC_ITEM_2024lunar_dec_item_3_desc"}</v>
      </c>
      <c r="L253" s="148" t="str">
        <f>IFERROR(__xludf.DUMMYFUNCTION("""COMPUTED_VALUE"""),"{}")</f>
        <v>{}</v>
      </c>
      <c r="M253" s="148">
        <f>IFERROR(__xludf.DUMMYFUNCTION("""COMPUTED_VALUE"""),5000.0)</f>
        <v>5000</v>
      </c>
      <c r="N253" s="148">
        <f>IFERROR(__xludf.DUMMYFUNCTION("""COMPUTED_VALUE"""),999.0)</f>
        <v>999</v>
      </c>
      <c r="O253" s="148">
        <f>IFERROR(__xludf.DUMMYFUNCTION("""COMPUTED_VALUE"""),99999.0)</f>
        <v>99999</v>
      </c>
      <c r="P253" s="148">
        <f>IFERROR(__xludf.DUMMYFUNCTION("""COMPUTED_VALUE"""),99999.0)</f>
        <v>99999</v>
      </c>
      <c r="Q253" s="148" t="str">
        <f>IFERROR(__xludf.DUMMYFUNCTION("""COMPUTED_VALUE"""),"[]")</f>
        <v>[]</v>
      </c>
      <c r="R253" s="148" t="str">
        <f>IFERROR(__xludf.DUMMYFUNCTION("""COMPUTED_VALUE"""),"[""bag""]")</f>
        <v>["bag"]</v>
      </c>
      <c r="S253" s="148" t="str">
        <f>IFERROR(__xludf.DUMMYFUNCTION("""COMPUTED_VALUE"""),"{""effect"":[{""typ"":""holiday_statue"",""id"":21481101}]}")</f>
        <v>{"effect":[{"typ":"holiday_statue","id":21481101}]}</v>
      </c>
      <c r="T253" s="148">
        <f>IFERROR(__xludf.DUMMYFUNCTION("""COMPUTED_VALUE"""),-1.0)</f>
        <v>-1</v>
      </c>
      <c r="U253" s="148">
        <f>IFERROR(__xludf.DUMMYFUNCTION("""COMPUTED_VALUE"""),1.0)</f>
        <v>1</v>
      </c>
      <c r="V253" s="148" t="str">
        <f>IFERROR(__xludf.DUMMYFUNCTION("""COMPUTED_VALUE"""),"[]")</f>
        <v>[]</v>
      </c>
      <c r="W253" s="148">
        <f>IFERROR(__xludf.DUMMYFUNCTION("""COMPUTED_VALUE"""),1.174E7)</f>
        <v>11740000</v>
      </c>
      <c r="X253" s="148">
        <f>IFERROR(__xludf.DUMMYFUNCTION("""COMPUTED_VALUE"""),0.0)</f>
        <v>0</v>
      </c>
      <c r="Y253" s="148">
        <f>IFERROR(__xludf.DUMMYFUNCTION("""COMPUTED_VALUE"""),0.0)</f>
        <v>0</v>
      </c>
      <c r="Z253" s="148"/>
    </row>
    <row r="254">
      <c r="A254" s="148">
        <f>IFERROR(__xludf.DUMMYFUNCTION("""COMPUTED_VALUE"""),1.1112043E7)</f>
        <v>11112043</v>
      </c>
      <c r="B254" s="148" t="str">
        <f>IFERROR(__xludf.DUMMYFUNCTION("""COMPUTED_VALUE"""),"春节-装饰升级道具")</f>
        <v>春节-装饰升级道具</v>
      </c>
      <c r="C254" s="148"/>
      <c r="D254" s="148" t="str">
        <f>IFERROR(__xludf.DUMMYFUNCTION("""COMPUTED_VALUE"""),"event")</f>
        <v>event</v>
      </c>
      <c r="E254" s="148">
        <f>IFERROR(__xludf.DUMMYFUNCTION("""COMPUTED_VALUE"""),0.0)</f>
        <v>0</v>
      </c>
      <c r="F254" s="148">
        <f>IFERROR(__xludf.DUMMYFUNCTION("""COMPUTED_VALUE"""),405243.0)</f>
        <v>405243</v>
      </c>
      <c r="G254" s="148">
        <f>IFERROR(__xludf.DUMMYFUNCTION("""COMPUTED_VALUE"""),1.5117755E7)</f>
        <v>15117755</v>
      </c>
      <c r="H254" s="148">
        <f>IFERROR(__xludf.DUMMYFUNCTION("""COMPUTED_VALUE"""),1.5112564E7)</f>
        <v>15112564</v>
      </c>
      <c r="I254" s="148" t="str">
        <f>IFERROR(__xludf.DUMMYFUNCTION("""COMPUTED_VALUE"""),"{}")</f>
        <v>{}</v>
      </c>
      <c r="J254" s="148" t="str">
        <f>IFERROR(__xludf.DUMMYFUNCTION("""COMPUTED_VALUE"""),"{""typ"":""lc"",""txt"":""LC_ITEM_2024lunar_dec_item_2""}")</f>
        <v>{"typ":"lc","txt":"LC_ITEM_2024lunar_dec_item_2"}</v>
      </c>
      <c r="K254" s="148" t="str">
        <f>IFERROR(__xludf.DUMMYFUNCTION("""COMPUTED_VALUE"""),"{""typ"":""lc"",""txt"":""LC_ITEM_2024lunar_dec_item_3_desc""}")</f>
        <v>{"typ":"lc","txt":"LC_ITEM_2024lunar_dec_item_3_desc"}</v>
      </c>
      <c r="L254" s="148" t="str">
        <f>IFERROR(__xludf.DUMMYFUNCTION("""COMPUTED_VALUE"""),"{}")</f>
        <v>{}</v>
      </c>
      <c r="M254" s="148">
        <f>IFERROR(__xludf.DUMMYFUNCTION("""COMPUTED_VALUE"""),1000.0)</f>
        <v>1000</v>
      </c>
      <c r="N254" s="148">
        <f>IFERROR(__xludf.DUMMYFUNCTION("""COMPUTED_VALUE"""),9.99999999E8)</f>
        <v>999999999</v>
      </c>
      <c r="O254" s="148">
        <f>IFERROR(__xludf.DUMMYFUNCTION("""COMPUTED_VALUE"""),9.99999999E8)</f>
        <v>999999999</v>
      </c>
      <c r="P254" s="148">
        <f>IFERROR(__xludf.DUMMYFUNCTION("""COMPUTED_VALUE"""),9.99999999E8)</f>
        <v>999999999</v>
      </c>
      <c r="Q254" s="148" t="str">
        <f>IFERROR(__xludf.DUMMYFUNCTION("""COMPUTED_VALUE"""),"[""bag_other""]")</f>
        <v>["bag_other"]</v>
      </c>
      <c r="R254" s="148" t="str">
        <f>IFERROR(__xludf.DUMMYFUNCTION("""COMPUTED_VALUE"""),"[]")</f>
        <v>[]</v>
      </c>
      <c r="S254" s="148" t="str">
        <f>IFERROR(__xludf.DUMMYFUNCTION("""COMPUTED_VALUE"""),"{}")</f>
        <v>{}</v>
      </c>
      <c r="T254" s="148">
        <f>IFERROR(__xludf.DUMMYFUNCTION("""COMPUTED_VALUE"""),-1.0)</f>
        <v>-1</v>
      </c>
      <c r="U254" s="148">
        <f>IFERROR(__xludf.DUMMYFUNCTION("""COMPUTED_VALUE"""),0.0)</f>
        <v>0</v>
      </c>
      <c r="V254" s="148" t="str">
        <f>IFERROR(__xludf.DUMMYFUNCTION("""COMPUTED_VALUE"""),"[]")</f>
        <v>[]</v>
      </c>
      <c r="W254" s="148">
        <f>IFERROR(__xludf.DUMMYFUNCTION("""COMPUTED_VALUE"""),1.174E7)</f>
        <v>11740000</v>
      </c>
      <c r="X254" s="148">
        <f>IFERROR(__xludf.DUMMYFUNCTION("""COMPUTED_VALUE"""),0.0)</f>
        <v>0</v>
      </c>
      <c r="Y254" s="148">
        <f>IFERROR(__xludf.DUMMYFUNCTION("""COMPUTED_VALUE"""),0.0)</f>
        <v>0</v>
      </c>
      <c r="Z254" s="148"/>
    </row>
    <row r="255">
      <c r="A255" s="148">
        <f>IFERROR(__xludf.DUMMYFUNCTION("""COMPUTED_VALUE"""),1.1112044E7)</f>
        <v>11112044</v>
      </c>
      <c r="B255" s="148" t="str">
        <f>IFERROR(__xludf.DUMMYFUNCTION("""COMPUTED_VALUE"""),"心意红包-通用春节")</f>
        <v>心意红包-通用春节</v>
      </c>
      <c r="C255" s="148"/>
      <c r="D255" s="148" t="str">
        <f>IFERROR(__xludf.DUMMYFUNCTION("""COMPUTED_VALUE"""),"red_package")</f>
        <v>red_package</v>
      </c>
      <c r="E255" s="148">
        <f>IFERROR(__xludf.DUMMYFUNCTION("""COMPUTED_VALUE"""),0.0)</f>
        <v>0</v>
      </c>
      <c r="F255" s="148">
        <f>IFERROR(__xludf.DUMMYFUNCTION("""COMPUTED_VALUE"""),101105.0)</f>
        <v>101105</v>
      </c>
      <c r="G255" s="148">
        <f>IFERROR(__xludf.DUMMYFUNCTION("""COMPUTED_VALUE"""),1.51158E7)</f>
        <v>15115800</v>
      </c>
      <c r="H255" s="148">
        <f>IFERROR(__xludf.DUMMYFUNCTION("""COMPUTED_VALUE"""),1.511256E7)</f>
        <v>15112560</v>
      </c>
      <c r="I255" s="148" t="str">
        <f>IFERROR(__xludf.DUMMYFUNCTION("""COMPUTED_VALUE"""),"{}")</f>
        <v>{}</v>
      </c>
      <c r="J255" s="148" t="str">
        <f>IFERROR(__xludf.DUMMYFUNCTION("""COMPUTED_VALUE"""),"{""typ"":""lc"",""txt"":""LC_ITEM_spring_red_packages_2023_title_1""}")</f>
        <v>{"typ":"lc","txt":"LC_ITEM_spring_red_packages_2023_title_1"}</v>
      </c>
      <c r="K255" s="148" t="str">
        <f>IFERROR(__xludf.DUMMYFUNCTION("""COMPUTED_VALUE"""),"{""typ"":""lc"",""txt"":""LC_ITEM_spring_red_packages_2023_title_desc"",""args"":[{""typ"":""int"",""val"":75}]}")</f>
        <v>{"typ":"lc","txt":"LC_ITEM_spring_red_packages_2023_title_desc","args":[{"typ":"int","val":75}]}</v>
      </c>
      <c r="L255" s="148" t="str">
        <f>IFERROR(__xludf.DUMMYFUNCTION("""COMPUTED_VALUE"""),"{}")</f>
        <v>{}</v>
      </c>
      <c r="M255" s="148">
        <f>IFERROR(__xludf.DUMMYFUNCTION("""COMPUTED_VALUE"""),50.0)</f>
        <v>50</v>
      </c>
      <c r="N255" s="148">
        <f>IFERROR(__xludf.DUMMYFUNCTION("""COMPUTED_VALUE"""),999999.0)</f>
        <v>999999</v>
      </c>
      <c r="O255" s="148">
        <f>IFERROR(__xludf.DUMMYFUNCTION("""COMPUTED_VALUE"""),99999.0)</f>
        <v>99999</v>
      </c>
      <c r="P255" s="148">
        <f>IFERROR(__xludf.DUMMYFUNCTION("""COMPUTED_VALUE"""),1.0)</f>
        <v>1</v>
      </c>
      <c r="Q255" s="148" t="str">
        <f>IFERROR(__xludf.DUMMYFUNCTION("""COMPUTED_VALUE"""),"[""bag_other""]")</f>
        <v>["bag_other"]</v>
      </c>
      <c r="R255" s="148" t="str">
        <f>IFERROR(__xludf.DUMMYFUNCTION("""COMPUTED_VALUE"""),"[""bag""]")</f>
        <v>["bag"]</v>
      </c>
      <c r="S255" s="148" t="str">
        <f>IFERROR(__xludf.DUMMYFUNCTION("""COMPUTED_VALUE"""),"{""effect"":[{""typ"":""red_pack"",""id"":20290012}]}")</f>
        <v>{"effect":[{"typ":"red_pack","id":20290012}]}</v>
      </c>
      <c r="T255" s="148">
        <f>IFERROR(__xludf.DUMMYFUNCTION("""COMPUTED_VALUE"""),1.0)</f>
        <v>1</v>
      </c>
      <c r="U255" s="148">
        <f>IFERROR(__xludf.DUMMYFUNCTION("""COMPUTED_VALUE"""),0.0)</f>
        <v>0</v>
      </c>
      <c r="V255" s="148" t="str">
        <f>IFERROR(__xludf.DUMMYFUNCTION("""COMPUTED_VALUE"""),"[]")</f>
        <v>[]</v>
      </c>
      <c r="W255" s="148">
        <f>IFERROR(__xludf.DUMMYFUNCTION("""COMPUTED_VALUE"""),1.174E7)</f>
        <v>11740000</v>
      </c>
      <c r="X255" s="148">
        <f>IFERROR(__xludf.DUMMYFUNCTION("""COMPUTED_VALUE"""),0.0)</f>
        <v>0</v>
      </c>
      <c r="Y255" s="148">
        <f>IFERROR(__xludf.DUMMYFUNCTION("""COMPUTED_VALUE"""),0.0)</f>
        <v>0</v>
      </c>
      <c r="Z255" s="148"/>
    </row>
    <row r="256">
      <c r="A256" s="148">
        <f>IFERROR(__xludf.DUMMYFUNCTION("""COMPUTED_VALUE"""),1.1112045E7)</f>
        <v>11112045</v>
      </c>
      <c r="B256" s="148" t="str">
        <f>IFERROR(__xludf.DUMMYFUNCTION("""COMPUTED_VALUE"""),"吉利红包-通用春节")</f>
        <v>吉利红包-通用春节</v>
      </c>
      <c r="C256" s="148"/>
      <c r="D256" s="148" t="str">
        <f>IFERROR(__xludf.DUMMYFUNCTION("""COMPUTED_VALUE"""),"red_package")</f>
        <v>red_package</v>
      </c>
      <c r="E256" s="148">
        <f>IFERROR(__xludf.DUMMYFUNCTION("""COMPUTED_VALUE"""),0.0)</f>
        <v>0</v>
      </c>
      <c r="F256" s="148">
        <f>IFERROR(__xludf.DUMMYFUNCTION("""COMPUTED_VALUE"""),101104.0)</f>
        <v>101104</v>
      </c>
      <c r="G256" s="148">
        <f>IFERROR(__xludf.DUMMYFUNCTION("""COMPUTED_VALUE"""),1.5115801E7)</f>
        <v>15115801</v>
      </c>
      <c r="H256" s="148">
        <f>IFERROR(__xludf.DUMMYFUNCTION("""COMPUTED_VALUE"""),1.5112561E7)</f>
        <v>15112561</v>
      </c>
      <c r="I256" s="148" t="str">
        <f>IFERROR(__xludf.DUMMYFUNCTION("""COMPUTED_VALUE"""),"{}")</f>
        <v>{}</v>
      </c>
      <c r="J256" s="148" t="str">
        <f>IFERROR(__xludf.DUMMYFUNCTION("""COMPUTED_VALUE"""),"{""typ"":""lc"",""txt"":""LC_ITEM_spring_red_packages_2023_title_2""}")</f>
        <v>{"typ":"lc","txt":"LC_ITEM_spring_red_packages_2023_title_2"}</v>
      </c>
      <c r="K256" s="148" t="str">
        <f>IFERROR(__xludf.DUMMYFUNCTION("""COMPUTED_VALUE"""),"{""typ"":""lc"",""txt"":""LC_ITEM_spring_red_packages_2023_title_desc"",""args"":[{""typ"":""int"",""val"":250}]}")</f>
        <v>{"typ":"lc","txt":"LC_ITEM_spring_red_packages_2023_title_desc","args":[{"typ":"int","val":250}]}</v>
      </c>
      <c r="L256" s="148" t="str">
        <f>IFERROR(__xludf.DUMMYFUNCTION("""COMPUTED_VALUE"""),"{}")</f>
        <v>{}</v>
      </c>
      <c r="M256" s="148">
        <f>IFERROR(__xludf.DUMMYFUNCTION("""COMPUTED_VALUE"""),100.0)</f>
        <v>100</v>
      </c>
      <c r="N256" s="148">
        <f>IFERROR(__xludf.DUMMYFUNCTION("""COMPUTED_VALUE"""),999999.0)</f>
        <v>999999</v>
      </c>
      <c r="O256" s="148">
        <f>IFERROR(__xludf.DUMMYFUNCTION("""COMPUTED_VALUE"""),99999.0)</f>
        <v>99999</v>
      </c>
      <c r="P256" s="148">
        <f>IFERROR(__xludf.DUMMYFUNCTION("""COMPUTED_VALUE"""),1.0)</f>
        <v>1</v>
      </c>
      <c r="Q256" s="148" t="str">
        <f>IFERROR(__xludf.DUMMYFUNCTION("""COMPUTED_VALUE"""),"[""bag_other""]")</f>
        <v>["bag_other"]</v>
      </c>
      <c r="R256" s="148" t="str">
        <f>IFERROR(__xludf.DUMMYFUNCTION("""COMPUTED_VALUE"""),"[""bag""]")</f>
        <v>["bag"]</v>
      </c>
      <c r="S256" s="148" t="str">
        <f>IFERROR(__xludf.DUMMYFUNCTION("""COMPUTED_VALUE"""),"{""effect"":[{""typ"":""red_pack"",""id"":20290013}]}")</f>
        <v>{"effect":[{"typ":"red_pack","id":20290013}]}</v>
      </c>
      <c r="T256" s="148">
        <f>IFERROR(__xludf.DUMMYFUNCTION("""COMPUTED_VALUE"""),1.0)</f>
        <v>1</v>
      </c>
      <c r="U256" s="148">
        <f>IFERROR(__xludf.DUMMYFUNCTION("""COMPUTED_VALUE"""),0.0)</f>
        <v>0</v>
      </c>
      <c r="V256" s="148" t="str">
        <f>IFERROR(__xludf.DUMMYFUNCTION("""COMPUTED_VALUE"""),"[]")</f>
        <v>[]</v>
      </c>
      <c r="W256" s="148">
        <f>IFERROR(__xludf.DUMMYFUNCTION("""COMPUTED_VALUE"""),1.174E7)</f>
        <v>11740000</v>
      </c>
      <c r="X256" s="148">
        <f>IFERROR(__xludf.DUMMYFUNCTION("""COMPUTED_VALUE"""),0.0)</f>
        <v>0</v>
      </c>
      <c r="Y256" s="148">
        <f>IFERROR(__xludf.DUMMYFUNCTION("""COMPUTED_VALUE"""),0.0)</f>
        <v>0</v>
      </c>
      <c r="Z256" s="148"/>
    </row>
    <row r="257">
      <c r="A257" s="148">
        <f>IFERROR(__xludf.DUMMYFUNCTION("""COMPUTED_VALUE"""),1.1112046E7)</f>
        <v>11112046</v>
      </c>
      <c r="B257" s="148" t="str">
        <f>IFERROR(__xludf.DUMMYFUNCTION("""COMPUTED_VALUE"""),"福运红包-通用春节")</f>
        <v>福运红包-通用春节</v>
      </c>
      <c r="C257" s="148"/>
      <c r="D257" s="148" t="str">
        <f>IFERROR(__xludf.DUMMYFUNCTION("""COMPUTED_VALUE"""),"red_package")</f>
        <v>red_package</v>
      </c>
      <c r="E257" s="148">
        <f>IFERROR(__xludf.DUMMYFUNCTION("""COMPUTED_VALUE"""),0.0)</f>
        <v>0</v>
      </c>
      <c r="F257" s="148">
        <f>IFERROR(__xludf.DUMMYFUNCTION("""COMPUTED_VALUE"""),101103.0)</f>
        <v>101103</v>
      </c>
      <c r="G257" s="148">
        <f>IFERROR(__xludf.DUMMYFUNCTION("""COMPUTED_VALUE"""),1.5115802E7)</f>
        <v>15115802</v>
      </c>
      <c r="H257" s="148">
        <f>IFERROR(__xludf.DUMMYFUNCTION("""COMPUTED_VALUE"""),1.5112562E7)</f>
        <v>15112562</v>
      </c>
      <c r="I257" s="148" t="str">
        <f>IFERROR(__xludf.DUMMYFUNCTION("""COMPUTED_VALUE"""),"{}")</f>
        <v>{}</v>
      </c>
      <c r="J257" s="148" t="str">
        <f>IFERROR(__xludf.DUMMYFUNCTION("""COMPUTED_VALUE"""),"{""typ"":""lc"",""txt"":""LC_ITEM_spring_red_packages_2023_title_3""}")</f>
        <v>{"typ":"lc","txt":"LC_ITEM_spring_red_packages_2023_title_3"}</v>
      </c>
      <c r="K257" s="148" t="str">
        <f>IFERROR(__xludf.DUMMYFUNCTION("""COMPUTED_VALUE"""),"{""typ"":""lc"",""txt"":""LC_ITEM_spring_red_packages_2023_title_desc"",""args"":[{""typ"":""int"",""val"":500}]}")</f>
        <v>{"typ":"lc","txt":"LC_ITEM_spring_red_packages_2023_title_desc","args":[{"typ":"int","val":500}]}</v>
      </c>
      <c r="L257" s="148" t="str">
        <f>IFERROR(__xludf.DUMMYFUNCTION("""COMPUTED_VALUE"""),"{}")</f>
        <v>{}</v>
      </c>
      <c r="M257" s="148">
        <f>IFERROR(__xludf.DUMMYFUNCTION("""COMPUTED_VALUE"""),200.0)</f>
        <v>200</v>
      </c>
      <c r="N257" s="148">
        <f>IFERROR(__xludf.DUMMYFUNCTION("""COMPUTED_VALUE"""),999999.0)</f>
        <v>999999</v>
      </c>
      <c r="O257" s="148">
        <f>IFERROR(__xludf.DUMMYFUNCTION("""COMPUTED_VALUE"""),99999.0)</f>
        <v>99999</v>
      </c>
      <c r="P257" s="148">
        <f>IFERROR(__xludf.DUMMYFUNCTION("""COMPUTED_VALUE"""),1.0)</f>
        <v>1</v>
      </c>
      <c r="Q257" s="148" t="str">
        <f>IFERROR(__xludf.DUMMYFUNCTION("""COMPUTED_VALUE"""),"[""bag_other""]")</f>
        <v>["bag_other"]</v>
      </c>
      <c r="R257" s="148" t="str">
        <f>IFERROR(__xludf.DUMMYFUNCTION("""COMPUTED_VALUE"""),"[""bag""]")</f>
        <v>["bag"]</v>
      </c>
      <c r="S257" s="148" t="str">
        <f>IFERROR(__xludf.DUMMYFUNCTION("""COMPUTED_VALUE"""),"{""effect"":[{""typ"":""red_pack"",""id"":20290014}]}")</f>
        <v>{"effect":[{"typ":"red_pack","id":20290014}]}</v>
      </c>
      <c r="T257" s="148">
        <f>IFERROR(__xludf.DUMMYFUNCTION("""COMPUTED_VALUE"""),1.0)</f>
        <v>1</v>
      </c>
      <c r="U257" s="148">
        <f>IFERROR(__xludf.DUMMYFUNCTION("""COMPUTED_VALUE"""),0.0)</f>
        <v>0</v>
      </c>
      <c r="V257" s="148" t="str">
        <f>IFERROR(__xludf.DUMMYFUNCTION("""COMPUTED_VALUE"""),"[]")</f>
        <v>[]</v>
      </c>
      <c r="W257" s="148">
        <f>IFERROR(__xludf.DUMMYFUNCTION("""COMPUTED_VALUE"""),1.174E7)</f>
        <v>11740000</v>
      </c>
      <c r="X257" s="148">
        <f>IFERROR(__xludf.DUMMYFUNCTION("""COMPUTED_VALUE"""),0.0)</f>
        <v>0</v>
      </c>
      <c r="Y257" s="148">
        <f>IFERROR(__xludf.DUMMYFUNCTION("""COMPUTED_VALUE"""),0.0)</f>
        <v>0</v>
      </c>
      <c r="Z257" s="148"/>
    </row>
    <row r="258">
      <c r="A258" s="148">
        <f>IFERROR(__xludf.DUMMYFUNCTION("""COMPUTED_VALUE"""),1.1112047E7)</f>
        <v>11112047</v>
      </c>
      <c r="B258" s="148" t="str">
        <f>IFERROR(__xludf.DUMMYFUNCTION("""COMPUTED_VALUE"""),"奢享红包-通用春节")</f>
        <v>奢享红包-通用春节</v>
      </c>
      <c r="C258" s="148"/>
      <c r="D258" s="148" t="str">
        <f>IFERROR(__xludf.DUMMYFUNCTION("""COMPUTED_VALUE"""),"red_package")</f>
        <v>red_package</v>
      </c>
      <c r="E258" s="148">
        <f>IFERROR(__xludf.DUMMYFUNCTION("""COMPUTED_VALUE"""),0.0)</f>
        <v>0</v>
      </c>
      <c r="F258" s="148">
        <f>IFERROR(__xludf.DUMMYFUNCTION("""COMPUTED_VALUE"""),101102.0)</f>
        <v>101102</v>
      </c>
      <c r="G258" s="148">
        <f>IFERROR(__xludf.DUMMYFUNCTION("""COMPUTED_VALUE"""),1.5115803E7)</f>
        <v>15115803</v>
      </c>
      <c r="H258" s="148">
        <f>IFERROR(__xludf.DUMMYFUNCTION("""COMPUTED_VALUE"""),1.5112563E7)</f>
        <v>15112563</v>
      </c>
      <c r="I258" s="148" t="str">
        <f>IFERROR(__xludf.DUMMYFUNCTION("""COMPUTED_VALUE"""),"{}")</f>
        <v>{}</v>
      </c>
      <c r="J258" s="148" t="str">
        <f>IFERROR(__xludf.DUMMYFUNCTION("""COMPUTED_VALUE"""),"{""typ"":""lc"",""txt"":""LC_ITEM_spring_red_packages_2023_title_4""}")</f>
        <v>{"typ":"lc","txt":"LC_ITEM_spring_red_packages_2023_title_4"}</v>
      </c>
      <c r="K258" s="148" t="str">
        <f>IFERROR(__xludf.DUMMYFUNCTION("""COMPUTED_VALUE"""),"{""typ"":""lc"",""txt"":""LC_ITEM_spring_red_packages_2023_title_desc"",""args"":[{""typ"":""int"",""val"":1250}]}")</f>
        <v>{"typ":"lc","txt":"LC_ITEM_spring_red_packages_2023_title_desc","args":[{"typ":"int","val":1250}]}</v>
      </c>
      <c r="L258" s="148" t="str">
        <f>IFERROR(__xludf.DUMMYFUNCTION("""COMPUTED_VALUE"""),"{}")</f>
        <v>{}</v>
      </c>
      <c r="M258" s="148">
        <f>IFERROR(__xludf.DUMMYFUNCTION("""COMPUTED_VALUE"""),500.0)</f>
        <v>500</v>
      </c>
      <c r="N258" s="148">
        <f>IFERROR(__xludf.DUMMYFUNCTION("""COMPUTED_VALUE"""),999999.0)</f>
        <v>999999</v>
      </c>
      <c r="O258" s="148">
        <f>IFERROR(__xludf.DUMMYFUNCTION("""COMPUTED_VALUE"""),99999.0)</f>
        <v>99999</v>
      </c>
      <c r="P258" s="148">
        <f>IFERROR(__xludf.DUMMYFUNCTION("""COMPUTED_VALUE"""),1.0)</f>
        <v>1</v>
      </c>
      <c r="Q258" s="148" t="str">
        <f>IFERROR(__xludf.DUMMYFUNCTION("""COMPUTED_VALUE"""),"[""bag_other""]")</f>
        <v>["bag_other"]</v>
      </c>
      <c r="R258" s="148" t="str">
        <f>IFERROR(__xludf.DUMMYFUNCTION("""COMPUTED_VALUE"""),"[""bag""]")</f>
        <v>["bag"]</v>
      </c>
      <c r="S258" s="148" t="str">
        <f>IFERROR(__xludf.DUMMYFUNCTION("""COMPUTED_VALUE"""),"{""effect"":[{""typ"":""red_pack"",""id"":20290015}]}")</f>
        <v>{"effect":[{"typ":"red_pack","id":20290015}]}</v>
      </c>
      <c r="T258" s="148">
        <f>IFERROR(__xludf.DUMMYFUNCTION("""COMPUTED_VALUE"""),1.0)</f>
        <v>1</v>
      </c>
      <c r="U258" s="148">
        <f>IFERROR(__xludf.DUMMYFUNCTION("""COMPUTED_VALUE"""),0.0)</f>
        <v>0</v>
      </c>
      <c r="V258" s="148" t="str">
        <f>IFERROR(__xludf.DUMMYFUNCTION("""COMPUTED_VALUE"""),"[]")</f>
        <v>[]</v>
      </c>
      <c r="W258" s="148">
        <f>IFERROR(__xludf.DUMMYFUNCTION("""COMPUTED_VALUE"""),1.174E7)</f>
        <v>11740000</v>
      </c>
      <c r="X258" s="148">
        <f>IFERROR(__xludf.DUMMYFUNCTION("""COMPUTED_VALUE"""),0.0)</f>
        <v>0</v>
      </c>
      <c r="Y258" s="148">
        <f>IFERROR(__xludf.DUMMYFUNCTION("""COMPUTED_VALUE"""),0.0)</f>
        <v>0</v>
      </c>
      <c r="Z258" s="148"/>
    </row>
    <row r="259">
      <c r="A259" s="148">
        <f>IFERROR(__xludf.DUMMYFUNCTION("""COMPUTED_VALUE"""),1.1112048E7)</f>
        <v>11112048</v>
      </c>
      <c r="B259" s="148" t="str">
        <f>IFERROR(__xludf.DUMMYFUNCTION("""COMPUTED_VALUE"""),"至尊红包-通用春节")</f>
        <v>至尊红包-通用春节</v>
      </c>
      <c r="C259" s="148"/>
      <c r="D259" s="148" t="str">
        <f>IFERROR(__xludf.DUMMYFUNCTION("""COMPUTED_VALUE"""),"red_package")</f>
        <v>red_package</v>
      </c>
      <c r="E259" s="148">
        <f>IFERROR(__xludf.DUMMYFUNCTION("""COMPUTED_VALUE"""),0.0)</f>
        <v>0</v>
      </c>
      <c r="F259" s="148">
        <f>IFERROR(__xludf.DUMMYFUNCTION("""COMPUTED_VALUE"""),101101.0)</f>
        <v>101101</v>
      </c>
      <c r="G259" s="148">
        <f>IFERROR(__xludf.DUMMYFUNCTION("""COMPUTED_VALUE"""),1.5115804E7)</f>
        <v>15115804</v>
      </c>
      <c r="H259" s="148">
        <f>IFERROR(__xludf.DUMMYFUNCTION("""COMPUTED_VALUE"""),1.5112564E7)</f>
        <v>15112564</v>
      </c>
      <c r="I259" s="148" t="str">
        <f>IFERROR(__xludf.DUMMYFUNCTION("""COMPUTED_VALUE"""),"{}")</f>
        <v>{}</v>
      </c>
      <c r="J259" s="148" t="str">
        <f>IFERROR(__xludf.DUMMYFUNCTION("""COMPUTED_VALUE"""),"{""typ"":""lc"",""txt"":""LC_ITEM_spring_red_packages_2023_title_5""}")</f>
        <v>{"typ":"lc","txt":"LC_ITEM_spring_red_packages_2023_title_5"}</v>
      </c>
      <c r="K259" s="148" t="str">
        <f>IFERROR(__xludf.DUMMYFUNCTION("""COMPUTED_VALUE"""),"{""typ"":""lc"",""txt"":""LC_ITEM_spring_red_packages_2023_title_desc"",""args"":[{""typ"":""int"",""val"":2500}]}")</f>
        <v>{"typ":"lc","txt":"LC_ITEM_spring_red_packages_2023_title_desc","args":[{"typ":"int","val":2500}]}</v>
      </c>
      <c r="L259" s="148" t="str">
        <f>IFERROR(__xludf.DUMMYFUNCTION("""COMPUTED_VALUE"""),"{}")</f>
        <v>{}</v>
      </c>
      <c r="M259" s="148">
        <f>IFERROR(__xludf.DUMMYFUNCTION("""COMPUTED_VALUE"""),1000.0)</f>
        <v>1000</v>
      </c>
      <c r="N259" s="148">
        <f>IFERROR(__xludf.DUMMYFUNCTION("""COMPUTED_VALUE"""),999999.0)</f>
        <v>999999</v>
      </c>
      <c r="O259" s="148">
        <f>IFERROR(__xludf.DUMMYFUNCTION("""COMPUTED_VALUE"""),99999.0)</f>
        <v>99999</v>
      </c>
      <c r="P259" s="148">
        <f>IFERROR(__xludf.DUMMYFUNCTION("""COMPUTED_VALUE"""),1.0)</f>
        <v>1</v>
      </c>
      <c r="Q259" s="148" t="str">
        <f>IFERROR(__xludf.DUMMYFUNCTION("""COMPUTED_VALUE"""),"[""bag_other""]")</f>
        <v>["bag_other"]</v>
      </c>
      <c r="R259" s="148" t="str">
        <f>IFERROR(__xludf.DUMMYFUNCTION("""COMPUTED_VALUE"""),"[""bag""]")</f>
        <v>["bag"]</v>
      </c>
      <c r="S259" s="148" t="str">
        <f>IFERROR(__xludf.DUMMYFUNCTION("""COMPUTED_VALUE"""),"{""effect"":[{""typ"":""red_pack"",""id"":20290016}]}")</f>
        <v>{"effect":[{"typ":"red_pack","id":20290016}]}</v>
      </c>
      <c r="T259" s="148">
        <f>IFERROR(__xludf.DUMMYFUNCTION("""COMPUTED_VALUE"""),1.0)</f>
        <v>1</v>
      </c>
      <c r="U259" s="148">
        <f>IFERROR(__xludf.DUMMYFUNCTION("""COMPUTED_VALUE"""),0.0)</f>
        <v>0</v>
      </c>
      <c r="V259" s="148" t="str">
        <f>IFERROR(__xludf.DUMMYFUNCTION("""COMPUTED_VALUE"""),"[]")</f>
        <v>[]</v>
      </c>
      <c r="W259" s="148">
        <f>IFERROR(__xludf.DUMMYFUNCTION("""COMPUTED_VALUE"""),1.174E7)</f>
        <v>11740000</v>
      </c>
      <c r="X259" s="148">
        <f>IFERROR(__xludf.DUMMYFUNCTION("""COMPUTED_VALUE"""),0.0)</f>
        <v>0</v>
      </c>
      <c r="Y259" s="148">
        <f>IFERROR(__xludf.DUMMYFUNCTION("""COMPUTED_VALUE"""),0.0)</f>
        <v>0</v>
      </c>
      <c r="Z259" s="148"/>
    </row>
    <row r="260">
      <c r="A260" s="148">
        <f>IFERROR(__xludf.DUMMYFUNCTION("""COMPUTED_VALUE"""),1.1112049E7)</f>
        <v>11112049</v>
      </c>
      <c r="B260" s="148" t="str">
        <f>IFERROR(__xludf.DUMMYFUNCTION("""COMPUTED_VALUE"""),"2024春节BattlePass-初级通行证")</f>
        <v>2024春节BattlePass-初级通行证</v>
      </c>
      <c r="C260" s="148"/>
      <c r="D260" s="148" t="str">
        <f>IFERROR(__xludf.DUMMYFUNCTION("""COMPUTED_VALUE"""),"battle_pass_card")</f>
        <v>battle_pass_card</v>
      </c>
      <c r="E260" s="148">
        <f>IFERROR(__xludf.DUMMYFUNCTION("""COMPUTED_VALUE"""),0.0)</f>
        <v>0</v>
      </c>
      <c r="F260" s="148">
        <f>IFERROR(__xludf.DUMMYFUNCTION("""COMPUTED_VALUE"""),0.0)</f>
        <v>0</v>
      </c>
      <c r="G260" s="148">
        <f>IFERROR(__xludf.DUMMYFUNCTION("""COMPUTED_VALUE"""),1.5115833E7)</f>
        <v>15115833</v>
      </c>
      <c r="H260" s="148">
        <f>IFERROR(__xludf.DUMMYFUNCTION("""COMPUTED_VALUE"""),1.5112563E7)</f>
        <v>15112563</v>
      </c>
      <c r="I260" s="148" t="str">
        <f>IFERROR(__xludf.DUMMYFUNCTION("""COMPUTED_VALUE"""),"{}")</f>
        <v>{}</v>
      </c>
      <c r="J260" s="148" t="str">
        <f>IFERROR(__xludf.DUMMYFUNCTION("""COMPUTED_VALUE"""),"{""typ"":""lc"",""txt"":""LC_EVENT_spring_actv4_iap_2023_1""}")</f>
        <v>{"typ":"lc","txt":"LC_EVENT_spring_actv4_iap_2023_1"}</v>
      </c>
      <c r="K260" s="148" t="str">
        <f>IFERROR(__xludf.DUMMYFUNCTION("""COMPUTED_VALUE"""),"{}")</f>
        <v>{}</v>
      </c>
      <c r="L260" s="148" t="str">
        <f>IFERROR(__xludf.DUMMYFUNCTION("""COMPUTED_VALUE"""),"{}")</f>
        <v>{}</v>
      </c>
      <c r="M260" s="148">
        <f>IFERROR(__xludf.DUMMYFUNCTION("""COMPUTED_VALUE"""),10.0)</f>
        <v>10</v>
      </c>
      <c r="N260" s="148">
        <f>IFERROR(__xludf.DUMMYFUNCTION("""COMPUTED_VALUE"""),999999.0)</f>
        <v>999999</v>
      </c>
      <c r="O260" s="148">
        <f>IFERROR(__xludf.DUMMYFUNCTION("""COMPUTED_VALUE"""),99999.0)</f>
        <v>99999</v>
      </c>
      <c r="P260" s="148">
        <f>IFERROR(__xludf.DUMMYFUNCTION("""COMPUTED_VALUE"""),9999.0)</f>
        <v>9999</v>
      </c>
      <c r="Q260" s="148" t="str">
        <f>IFERROR(__xludf.DUMMYFUNCTION("""COMPUTED_VALUE"""),"[]")</f>
        <v>[]</v>
      </c>
      <c r="R260" s="148" t="str">
        <f>IFERROR(__xludf.DUMMYFUNCTION("""COMPUTED_VALUE"""),"[]")</f>
        <v>[]</v>
      </c>
      <c r="S260" s="148" t="str">
        <f>IFERROR(__xludf.DUMMYFUNCTION("""COMPUTED_VALUE"""),"{}")</f>
        <v>{}</v>
      </c>
      <c r="T260" s="148">
        <f>IFERROR(__xludf.DUMMYFUNCTION("""COMPUTED_VALUE"""),-1.0)</f>
        <v>-1</v>
      </c>
      <c r="U260" s="148">
        <f>IFERROR(__xludf.DUMMYFUNCTION("""COMPUTED_VALUE"""),1.0)</f>
        <v>1</v>
      </c>
      <c r="V260" s="148" t="str">
        <f>IFERROR(__xludf.DUMMYFUNCTION("""COMPUTED_VALUE"""),"[]")</f>
        <v>[]</v>
      </c>
      <c r="W260" s="148">
        <f>IFERROR(__xludf.DUMMYFUNCTION("""COMPUTED_VALUE"""),1.174E7)</f>
        <v>11740000</v>
      </c>
      <c r="X260" s="148">
        <f>IFERROR(__xludf.DUMMYFUNCTION("""COMPUTED_VALUE"""),0.0)</f>
        <v>0</v>
      </c>
      <c r="Y260" s="148">
        <f>IFERROR(__xludf.DUMMYFUNCTION("""COMPUTED_VALUE"""),0.0)</f>
        <v>0</v>
      </c>
      <c r="Z260" s="148"/>
    </row>
    <row r="261">
      <c r="A261" s="148">
        <f>IFERROR(__xludf.DUMMYFUNCTION("""COMPUTED_VALUE"""),1.111205E7)</f>
        <v>11112050</v>
      </c>
      <c r="B261" s="148" t="str">
        <f>IFERROR(__xludf.DUMMYFUNCTION("""COMPUTED_VALUE"""),"2024春节BattlePass-高级通行证")</f>
        <v>2024春节BattlePass-高级通行证</v>
      </c>
      <c r="C261" s="148"/>
      <c r="D261" s="148" t="str">
        <f>IFERROR(__xludf.DUMMYFUNCTION("""COMPUTED_VALUE"""),"battle_pass_card")</f>
        <v>battle_pass_card</v>
      </c>
      <c r="E261" s="148">
        <f>IFERROR(__xludf.DUMMYFUNCTION("""COMPUTED_VALUE"""),0.0)</f>
        <v>0</v>
      </c>
      <c r="F261" s="148">
        <f>IFERROR(__xludf.DUMMYFUNCTION("""COMPUTED_VALUE"""),0.0)</f>
        <v>0</v>
      </c>
      <c r="G261" s="148">
        <f>IFERROR(__xludf.DUMMYFUNCTION("""COMPUTED_VALUE"""),1.5115833E7)</f>
        <v>15115833</v>
      </c>
      <c r="H261" s="148">
        <f>IFERROR(__xludf.DUMMYFUNCTION("""COMPUTED_VALUE"""),1.5112563E7)</f>
        <v>15112563</v>
      </c>
      <c r="I261" s="148" t="str">
        <f>IFERROR(__xludf.DUMMYFUNCTION("""COMPUTED_VALUE"""),"{}")</f>
        <v>{}</v>
      </c>
      <c r="J261" s="148" t="str">
        <f>IFERROR(__xludf.DUMMYFUNCTION("""COMPUTED_VALUE"""),"{""typ"":""lc"",""txt"":""LC_EVENT_spring_actv4_iap_2023_2""}")</f>
        <v>{"typ":"lc","txt":"LC_EVENT_spring_actv4_iap_2023_2"}</v>
      </c>
      <c r="K261" s="148" t="str">
        <f>IFERROR(__xludf.DUMMYFUNCTION("""COMPUTED_VALUE"""),"{}")</f>
        <v>{}</v>
      </c>
      <c r="L261" s="148" t="str">
        <f>IFERROR(__xludf.DUMMYFUNCTION("""COMPUTED_VALUE"""),"{}")</f>
        <v>{}</v>
      </c>
      <c r="M261" s="148">
        <f>IFERROR(__xludf.DUMMYFUNCTION("""COMPUTED_VALUE"""),10.0)</f>
        <v>10</v>
      </c>
      <c r="N261" s="148">
        <f>IFERROR(__xludf.DUMMYFUNCTION("""COMPUTED_VALUE"""),999999.0)</f>
        <v>999999</v>
      </c>
      <c r="O261" s="148">
        <f>IFERROR(__xludf.DUMMYFUNCTION("""COMPUTED_VALUE"""),99999.0)</f>
        <v>99999</v>
      </c>
      <c r="P261" s="148">
        <f>IFERROR(__xludf.DUMMYFUNCTION("""COMPUTED_VALUE"""),9999.0)</f>
        <v>9999</v>
      </c>
      <c r="Q261" s="148" t="str">
        <f>IFERROR(__xludf.DUMMYFUNCTION("""COMPUTED_VALUE"""),"[]")</f>
        <v>[]</v>
      </c>
      <c r="R261" s="148" t="str">
        <f>IFERROR(__xludf.DUMMYFUNCTION("""COMPUTED_VALUE"""),"[]")</f>
        <v>[]</v>
      </c>
      <c r="S261" s="148" t="str">
        <f>IFERROR(__xludf.DUMMYFUNCTION("""COMPUTED_VALUE"""),"{}")</f>
        <v>{}</v>
      </c>
      <c r="T261" s="148">
        <f>IFERROR(__xludf.DUMMYFUNCTION("""COMPUTED_VALUE"""),-1.0)</f>
        <v>-1</v>
      </c>
      <c r="U261" s="148">
        <f>IFERROR(__xludf.DUMMYFUNCTION("""COMPUTED_VALUE"""),1.0)</f>
        <v>1</v>
      </c>
      <c r="V261" s="148" t="str">
        <f>IFERROR(__xludf.DUMMYFUNCTION("""COMPUTED_VALUE"""),"[]")</f>
        <v>[]</v>
      </c>
      <c r="W261" s="148">
        <f>IFERROR(__xludf.DUMMYFUNCTION("""COMPUTED_VALUE"""),1.174E7)</f>
        <v>11740000</v>
      </c>
      <c r="X261" s="148">
        <f>IFERROR(__xludf.DUMMYFUNCTION("""COMPUTED_VALUE"""),0.0)</f>
        <v>0</v>
      </c>
      <c r="Y261" s="148">
        <f>IFERROR(__xludf.DUMMYFUNCTION("""COMPUTED_VALUE"""),0.0)</f>
        <v>0</v>
      </c>
      <c r="Z261" s="148"/>
    </row>
    <row r="262">
      <c r="A262" s="148">
        <f>IFERROR(__xludf.DUMMYFUNCTION("""COMPUTED_VALUE"""),1.1112051E7)</f>
        <v>11112051</v>
      </c>
      <c r="B262" s="148" t="str">
        <f>IFERROR(__xludf.DUMMYFUNCTION("""COMPUTED_VALUE"""),"行军特效-大红灯笼-1天限时")</f>
        <v>行军特效-大红灯笼-1天限时</v>
      </c>
      <c r="C262" s="148"/>
      <c r="D262" s="148" t="str">
        <f>IFERROR(__xludf.DUMMYFUNCTION("""COMPUTED_VALUE"""),"marching_effect")</f>
        <v>marching_effect</v>
      </c>
      <c r="E262" s="148">
        <f>IFERROR(__xludf.DUMMYFUNCTION("""COMPUTED_VALUE"""),0.0)</f>
        <v>0</v>
      </c>
      <c r="F262" s="148">
        <f>IFERROR(__xludf.DUMMYFUNCTION("""COMPUTED_VALUE"""),408200.0)</f>
        <v>408200</v>
      </c>
      <c r="G262" s="148">
        <f>IFERROR(__xludf.DUMMYFUNCTION("""COMPUTED_VALUE"""),1.5117832E7)</f>
        <v>15117832</v>
      </c>
      <c r="H262" s="148">
        <f>IFERROR(__xludf.DUMMYFUNCTION("""COMPUTED_VALUE"""),1.511256E7)</f>
        <v>15112560</v>
      </c>
      <c r="I262" s="148" t="str">
        <f>IFERROR(__xludf.DUMMYFUNCTION("""COMPUTED_VALUE"""),"{""typ"":""lc"",""txt"":""LC_ITEM_time_day_upper_show"",""args"":[{""typ"":""int_unit"",""val"":1}]}")</f>
        <v>{"typ":"lc","txt":"LC_ITEM_time_day_upper_show","args":[{"typ":"int_unit","val":1}]}</v>
      </c>
      <c r="J262" s="148" t="str">
        <f>IFERROR(__xludf.DUMMYFUNCTION("""COMPUTED_VALUE"""),"{""typ"":""lc"",""txt"":""LC_ITEM_spring_marcheffect_2024""}")</f>
        <v>{"typ":"lc","txt":"LC_ITEM_spring_marcheffect_2024"}</v>
      </c>
      <c r="K262" s="148" t="str">
        <f>IFERROR(__xludf.DUMMYFUNCTION("""COMPUTED_VALUE"""),"{""typ"":""lc"",""txt"":""LC_ITEM_spring_march_effect_2024_desc""}")</f>
        <v>{"typ":"lc","txt":"LC_ITEM_spring_march_effect_2024_desc"}</v>
      </c>
      <c r="L262" s="148" t="str">
        <f>IFERROR(__xludf.DUMMYFUNCTION("""COMPUTED_VALUE"""),"{""typ"":""lc"",""txt"":""LC_ITEM_spring24_march_effect_use_tip_1d""}")</f>
        <v>{"typ":"lc","txt":"LC_ITEM_spring24_march_effect_use_tip_1d"}</v>
      </c>
      <c r="M262" s="148">
        <f>IFERROR(__xludf.DUMMYFUNCTION("""COMPUTED_VALUE"""),50.0)</f>
        <v>50</v>
      </c>
      <c r="N262" s="148">
        <f>IFERROR(__xludf.DUMMYFUNCTION("""COMPUTED_VALUE"""),999999.0)</f>
        <v>999999</v>
      </c>
      <c r="O262" s="148">
        <f>IFERROR(__xludf.DUMMYFUNCTION("""COMPUTED_VALUE"""),99999.0)</f>
        <v>99999</v>
      </c>
      <c r="P262" s="148">
        <f>IFERROR(__xludf.DUMMYFUNCTION("""COMPUTED_VALUE"""),1.0)</f>
        <v>1</v>
      </c>
      <c r="Q262" s="148" t="str">
        <f>IFERROR(__xludf.DUMMYFUNCTION("""COMPUTED_VALUE"""),"[""bag_other""]")</f>
        <v>["bag_other"]</v>
      </c>
      <c r="R262" s="148" t="str">
        <f>IFERROR(__xludf.DUMMYFUNCTION("""COMPUTED_VALUE"""),"[""bag"",""13650116""]")</f>
        <v>["bag","13650116"]</v>
      </c>
      <c r="S262" s="148" t="str">
        <f>IFERROR(__xludf.DUMMYFUNCTION("""COMPUTED_VALUE"""),"{""effect"":[{""typ"":""marching_effect"",""id"":13650116,""val"":86400000},{""typ"":""vm"",""id"":11151001,""val"":50}]}")</f>
        <v>{"effect":[{"typ":"marching_effect","id":13650116,"val":86400000},{"typ":"vm","id":11151001,"val":50}]}</v>
      </c>
      <c r="T262" s="148">
        <f>IFERROR(__xludf.DUMMYFUNCTION("""COMPUTED_VALUE"""),-1.0)</f>
        <v>-1</v>
      </c>
      <c r="U262" s="148">
        <f>IFERROR(__xludf.DUMMYFUNCTION("""COMPUTED_VALUE"""),0.0)</f>
        <v>0</v>
      </c>
      <c r="V262" s="148" t="str">
        <f>IFERROR(__xludf.DUMMYFUNCTION("""COMPUTED_VALUE"""),"[]")</f>
        <v>[]</v>
      </c>
      <c r="W262" s="148">
        <f>IFERROR(__xludf.DUMMYFUNCTION("""COMPUTED_VALUE"""),1.174E7)</f>
        <v>11740000</v>
      </c>
      <c r="X262" s="148">
        <f>IFERROR(__xludf.DUMMYFUNCTION("""COMPUTED_VALUE"""),0.0)</f>
        <v>0</v>
      </c>
      <c r="Y262" s="148">
        <f>IFERROR(__xludf.DUMMYFUNCTION("""COMPUTED_VALUE"""),0.0)</f>
        <v>0</v>
      </c>
      <c r="Z262" s="148"/>
    </row>
    <row r="263">
      <c r="A263" s="148">
        <f>IFERROR(__xludf.DUMMYFUNCTION("""COMPUTED_VALUE"""),1.1112052E7)</f>
        <v>11112052</v>
      </c>
      <c r="B263" s="148" t="str">
        <f>IFERROR(__xludf.DUMMYFUNCTION("""COMPUTED_VALUE"""),"行军特效-大红灯笼-3天限时")</f>
        <v>行军特效-大红灯笼-3天限时</v>
      </c>
      <c r="C263" s="148"/>
      <c r="D263" s="148" t="str">
        <f>IFERROR(__xludf.DUMMYFUNCTION("""COMPUTED_VALUE"""),"marching_effect")</f>
        <v>marching_effect</v>
      </c>
      <c r="E263" s="148">
        <f>IFERROR(__xludf.DUMMYFUNCTION("""COMPUTED_VALUE"""),0.0)</f>
        <v>0</v>
      </c>
      <c r="F263" s="148">
        <f>IFERROR(__xludf.DUMMYFUNCTION("""COMPUTED_VALUE"""),408199.0)</f>
        <v>408199</v>
      </c>
      <c r="G263" s="148">
        <f>IFERROR(__xludf.DUMMYFUNCTION("""COMPUTED_VALUE"""),1.5117832E7)</f>
        <v>15117832</v>
      </c>
      <c r="H263" s="148">
        <f>IFERROR(__xludf.DUMMYFUNCTION("""COMPUTED_VALUE"""),1.5112561E7)</f>
        <v>15112561</v>
      </c>
      <c r="I263" s="148" t="str">
        <f>IFERROR(__xludf.DUMMYFUNCTION("""COMPUTED_VALUE"""),"{""typ"":""lc"",""txt"":""LC_ITEM_time_day_upper_show"",""args"":[{""typ"":""int_unit"",""val"":3}]}")</f>
        <v>{"typ":"lc","txt":"LC_ITEM_time_day_upper_show","args":[{"typ":"int_unit","val":3}]}</v>
      </c>
      <c r="J263" s="148" t="str">
        <f>IFERROR(__xludf.DUMMYFUNCTION("""COMPUTED_VALUE"""),"{""typ"":""lc"",""txt"":""LC_ITEM_spring_marcheffect_2024""}")</f>
        <v>{"typ":"lc","txt":"LC_ITEM_spring_marcheffect_2024"}</v>
      </c>
      <c r="K263" s="148" t="str">
        <f>IFERROR(__xludf.DUMMYFUNCTION("""COMPUTED_VALUE"""),"{""typ"":""lc"",""txt"":""LC_ITEM_spring_march_effect_2024_desc""}")</f>
        <v>{"typ":"lc","txt":"LC_ITEM_spring_march_effect_2024_desc"}</v>
      </c>
      <c r="L263" s="148" t="str">
        <f>IFERROR(__xludf.DUMMYFUNCTION("""COMPUTED_VALUE"""),"{""typ"":""lc"",""txt"":""LC_ITEM_spring24_march_effect_use_tip_3d""}")</f>
        <v>{"typ":"lc","txt":"LC_ITEM_spring24_march_effect_use_tip_3d"}</v>
      </c>
      <c r="M263" s="148">
        <f>IFERROR(__xludf.DUMMYFUNCTION("""COMPUTED_VALUE"""),200.0)</f>
        <v>200</v>
      </c>
      <c r="N263" s="148">
        <f>IFERROR(__xludf.DUMMYFUNCTION("""COMPUTED_VALUE"""),999999.0)</f>
        <v>999999</v>
      </c>
      <c r="O263" s="148">
        <f>IFERROR(__xludf.DUMMYFUNCTION("""COMPUTED_VALUE"""),99999.0)</f>
        <v>99999</v>
      </c>
      <c r="P263" s="148">
        <f>IFERROR(__xludf.DUMMYFUNCTION("""COMPUTED_VALUE"""),1.0)</f>
        <v>1</v>
      </c>
      <c r="Q263" s="148" t="str">
        <f>IFERROR(__xludf.DUMMYFUNCTION("""COMPUTED_VALUE"""),"[""bag_other""]")</f>
        <v>["bag_other"]</v>
      </c>
      <c r="R263" s="148" t="str">
        <f>IFERROR(__xludf.DUMMYFUNCTION("""COMPUTED_VALUE"""),"[""bag"",""13650116""]")</f>
        <v>["bag","13650116"]</v>
      </c>
      <c r="S263" s="148" t="str">
        <f>IFERROR(__xludf.DUMMYFUNCTION("""COMPUTED_VALUE"""),"{""effect"":[{""typ"":""marching_effect"",""id"":13650116,""val"":259200000},{""typ"":""vm"",""id"":11151001,""val"":200}]}")</f>
        <v>{"effect":[{"typ":"marching_effect","id":13650116,"val":259200000},{"typ":"vm","id":11151001,"val":200}]}</v>
      </c>
      <c r="T263" s="148">
        <f>IFERROR(__xludf.DUMMYFUNCTION("""COMPUTED_VALUE"""),-1.0)</f>
        <v>-1</v>
      </c>
      <c r="U263" s="148">
        <f>IFERROR(__xludf.DUMMYFUNCTION("""COMPUTED_VALUE"""),0.0)</f>
        <v>0</v>
      </c>
      <c r="V263" s="148" t="str">
        <f>IFERROR(__xludf.DUMMYFUNCTION("""COMPUTED_VALUE"""),"[]")</f>
        <v>[]</v>
      </c>
      <c r="W263" s="148">
        <f>IFERROR(__xludf.DUMMYFUNCTION("""COMPUTED_VALUE"""),1.174E7)</f>
        <v>11740000</v>
      </c>
      <c r="X263" s="148">
        <f>IFERROR(__xludf.DUMMYFUNCTION("""COMPUTED_VALUE"""),0.0)</f>
        <v>0</v>
      </c>
      <c r="Y263" s="148">
        <f>IFERROR(__xludf.DUMMYFUNCTION("""COMPUTED_VALUE"""),0.0)</f>
        <v>0</v>
      </c>
      <c r="Z263" s="148"/>
    </row>
    <row r="264">
      <c r="A264" s="148">
        <f>IFERROR(__xludf.DUMMYFUNCTION("""COMPUTED_VALUE"""),1.1112053E7)</f>
        <v>11112053</v>
      </c>
      <c r="B264" s="148" t="str">
        <f>IFERROR(__xludf.DUMMYFUNCTION("""COMPUTED_VALUE"""),"行军特效-大红灯笼-7天限时")</f>
        <v>行军特效-大红灯笼-7天限时</v>
      </c>
      <c r="C264" s="148"/>
      <c r="D264" s="148" t="str">
        <f>IFERROR(__xludf.DUMMYFUNCTION("""COMPUTED_VALUE"""),"marching_effect")</f>
        <v>marching_effect</v>
      </c>
      <c r="E264" s="148">
        <f>IFERROR(__xludf.DUMMYFUNCTION("""COMPUTED_VALUE"""),0.0)</f>
        <v>0</v>
      </c>
      <c r="F264" s="148">
        <f>IFERROR(__xludf.DUMMYFUNCTION("""COMPUTED_VALUE"""),408198.0)</f>
        <v>408198</v>
      </c>
      <c r="G264" s="148">
        <f>IFERROR(__xludf.DUMMYFUNCTION("""COMPUTED_VALUE"""),1.5117832E7)</f>
        <v>15117832</v>
      </c>
      <c r="H264" s="148">
        <f>IFERROR(__xludf.DUMMYFUNCTION("""COMPUTED_VALUE"""),1.5112562E7)</f>
        <v>15112562</v>
      </c>
      <c r="I264" s="148" t="str">
        <f>IFERROR(__xludf.DUMMYFUNCTION("""COMPUTED_VALUE"""),"{""typ"":""lc"",""txt"":""LC_ITEM_time_day_upper_show"",""args"":[{""typ"":""int_unit"",""val"":7}]}")</f>
        <v>{"typ":"lc","txt":"LC_ITEM_time_day_upper_show","args":[{"typ":"int_unit","val":7}]}</v>
      </c>
      <c r="J264" s="148" t="str">
        <f>IFERROR(__xludf.DUMMYFUNCTION("""COMPUTED_VALUE"""),"{""typ"":""lc"",""txt"":""LC_ITEM_spring_marcheffect_2024""}")</f>
        <v>{"typ":"lc","txt":"LC_ITEM_spring_marcheffect_2024"}</v>
      </c>
      <c r="K264" s="148" t="str">
        <f>IFERROR(__xludf.DUMMYFUNCTION("""COMPUTED_VALUE"""),"{""typ"":""lc"",""txt"":""LC_ITEM_spring_march_effect_2024_desc""}")</f>
        <v>{"typ":"lc","txt":"LC_ITEM_spring_march_effect_2024_desc"}</v>
      </c>
      <c r="L264" s="148" t="str">
        <f>IFERROR(__xludf.DUMMYFUNCTION("""COMPUTED_VALUE"""),"{""typ"":""lc"",""txt"":""LC_ITEM_spring24_march_effect_use_tip_7d""}")</f>
        <v>{"typ":"lc","txt":"LC_ITEM_spring24_march_effect_use_tip_7d"}</v>
      </c>
      <c r="M264" s="148">
        <f>IFERROR(__xludf.DUMMYFUNCTION("""COMPUTED_VALUE"""),500.0)</f>
        <v>500</v>
      </c>
      <c r="N264" s="148">
        <f>IFERROR(__xludf.DUMMYFUNCTION("""COMPUTED_VALUE"""),999999.0)</f>
        <v>999999</v>
      </c>
      <c r="O264" s="148">
        <f>IFERROR(__xludf.DUMMYFUNCTION("""COMPUTED_VALUE"""),99999.0)</f>
        <v>99999</v>
      </c>
      <c r="P264" s="148">
        <f>IFERROR(__xludf.DUMMYFUNCTION("""COMPUTED_VALUE"""),1.0)</f>
        <v>1</v>
      </c>
      <c r="Q264" s="148" t="str">
        <f>IFERROR(__xludf.DUMMYFUNCTION("""COMPUTED_VALUE"""),"[""bag_other""]")</f>
        <v>["bag_other"]</v>
      </c>
      <c r="R264" s="148" t="str">
        <f>IFERROR(__xludf.DUMMYFUNCTION("""COMPUTED_VALUE"""),"[""bag"",""13650116""]")</f>
        <v>["bag","13650116"]</v>
      </c>
      <c r="S264" s="148" t="str">
        <f>IFERROR(__xludf.DUMMYFUNCTION("""COMPUTED_VALUE"""),"{""effect"":[{""typ"":""marching_effect"",""id"":13650116,""val"":604800000},{""typ"":""vm"",""id"":11151001,""val"":500}]}")</f>
        <v>{"effect":[{"typ":"marching_effect","id":13650116,"val":604800000},{"typ":"vm","id":11151001,"val":500}]}</v>
      </c>
      <c r="T264" s="148">
        <f>IFERROR(__xludf.DUMMYFUNCTION("""COMPUTED_VALUE"""),-1.0)</f>
        <v>-1</v>
      </c>
      <c r="U264" s="148">
        <f>IFERROR(__xludf.DUMMYFUNCTION("""COMPUTED_VALUE"""),0.0)</f>
        <v>0</v>
      </c>
      <c r="V264" s="148" t="str">
        <f>IFERROR(__xludf.DUMMYFUNCTION("""COMPUTED_VALUE"""),"[]")</f>
        <v>[]</v>
      </c>
      <c r="W264" s="148">
        <f>IFERROR(__xludf.DUMMYFUNCTION("""COMPUTED_VALUE"""),1.174E7)</f>
        <v>11740000</v>
      </c>
      <c r="X264" s="148">
        <f>IFERROR(__xludf.DUMMYFUNCTION("""COMPUTED_VALUE"""),0.0)</f>
        <v>0</v>
      </c>
      <c r="Y264" s="148">
        <f>IFERROR(__xludf.DUMMYFUNCTION("""COMPUTED_VALUE"""),0.0)</f>
        <v>0</v>
      </c>
      <c r="Z264" s="148"/>
    </row>
    <row r="265">
      <c r="A265" s="148">
        <f>IFERROR(__xludf.DUMMYFUNCTION("""COMPUTED_VALUE"""),1.1112054E7)</f>
        <v>11112054</v>
      </c>
      <c r="B265" s="148" t="str">
        <f>IFERROR(__xludf.DUMMYFUNCTION("""COMPUTED_VALUE"""),"行军特效-大红灯笼-14天限时")</f>
        <v>行军特效-大红灯笼-14天限时</v>
      </c>
      <c r="C265" s="148"/>
      <c r="D265" s="148" t="str">
        <f>IFERROR(__xludf.DUMMYFUNCTION("""COMPUTED_VALUE"""),"marching_effect")</f>
        <v>marching_effect</v>
      </c>
      <c r="E265" s="148">
        <f>IFERROR(__xludf.DUMMYFUNCTION("""COMPUTED_VALUE"""),0.0)</f>
        <v>0</v>
      </c>
      <c r="F265" s="148">
        <f>IFERROR(__xludf.DUMMYFUNCTION("""COMPUTED_VALUE"""),408197.0)</f>
        <v>408197</v>
      </c>
      <c r="G265" s="148">
        <f>IFERROR(__xludf.DUMMYFUNCTION("""COMPUTED_VALUE"""),1.5117832E7)</f>
        <v>15117832</v>
      </c>
      <c r="H265" s="148">
        <f>IFERROR(__xludf.DUMMYFUNCTION("""COMPUTED_VALUE"""),1.5112563E7)</f>
        <v>15112563</v>
      </c>
      <c r="I265" s="148" t="str">
        <f>IFERROR(__xludf.DUMMYFUNCTION("""COMPUTED_VALUE"""),"{""typ"":""lc"",""txt"":""LC_ITEM_time_day_upper_show"",""args"":[{""typ"":""int_unit"",""val"":14}]}")</f>
        <v>{"typ":"lc","txt":"LC_ITEM_time_day_upper_show","args":[{"typ":"int_unit","val":14}]}</v>
      </c>
      <c r="J265" s="148" t="str">
        <f>IFERROR(__xludf.DUMMYFUNCTION("""COMPUTED_VALUE"""),"{""typ"":""lc"",""txt"":""LC_ITEM_spring_marcheffect_2024""}")</f>
        <v>{"typ":"lc","txt":"LC_ITEM_spring_marcheffect_2024"}</v>
      </c>
      <c r="K265" s="148" t="str">
        <f>IFERROR(__xludf.DUMMYFUNCTION("""COMPUTED_VALUE"""),"{""typ"":""lc"",""txt"":""LC_ITEM_spring_march_effect_2024_desc""}")</f>
        <v>{"typ":"lc","txt":"LC_ITEM_spring_march_effect_2024_desc"}</v>
      </c>
      <c r="L265" s="148" t="str">
        <f>IFERROR(__xludf.DUMMYFUNCTION("""COMPUTED_VALUE"""),"{""typ"":""lc"",""txt"":""LC_ITEM_spring24_march_effect_use_tip_14d""}")</f>
        <v>{"typ":"lc","txt":"LC_ITEM_spring24_march_effect_use_tip_14d"}</v>
      </c>
      <c r="M265" s="148">
        <f>IFERROR(__xludf.DUMMYFUNCTION("""COMPUTED_VALUE"""),1000.0)</f>
        <v>1000</v>
      </c>
      <c r="N265" s="148">
        <f>IFERROR(__xludf.DUMMYFUNCTION("""COMPUTED_VALUE"""),999999.0)</f>
        <v>999999</v>
      </c>
      <c r="O265" s="148">
        <f>IFERROR(__xludf.DUMMYFUNCTION("""COMPUTED_VALUE"""),99999.0)</f>
        <v>99999</v>
      </c>
      <c r="P265" s="148">
        <f>IFERROR(__xludf.DUMMYFUNCTION("""COMPUTED_VALUE"""),1.0)</f>
        <v>1</v>
      </c>
      <c r="Q265" s="148" t="str">
        <f>IFERROR(__xludf.DUMMYFUNCTION("""COMPUTED_VALUE"""),"[""bag_other""]")</f>
        <v>["bag_other"]</v>
      </c>
      <c r="R265" s="148" t="str">
        <f>IFERROR(__xludf.DUMMYFUNCTION("""COMPUTED_VALUE"""),"[""bag"",""13650116""]")</f>
        <v>["bag","13650116"]</v>
      </c>
      <c r="S265" s="148" t="str">
        <f>IFERROR(__xludf.DUMMYFUNCTION("""COMPUTED_VALUE"""),"{""effect"":[{""typ"":""marching_effect"",""id"":13650116,""val"":1209600000},{""typ"":""vm"",""id"":11151001,""val"":1000}]}")</f>
        <v>{"effect":[{"typ":"marching_effect","id":13650116,"val":1209600000},{"typ":"vm","id":11151001,"val":1000}]}</v>
      </c>
      <c r="T265" s="148">
        <f>IFERROR(__xludf.DUMMYFUNCTION("""COMPUTED_VALUE"""),-1.0)</f>
        <v>-1</v>
      </c>
      <c r="U265" s="148">
        <f>IFERROR(__xludf.DUMMYFUNCTION("""COMPUTED_VALUE"""),0.0)</f>
        <v>0</v>
      </c>
      <c r="V265" s="148" t="str">
        <f>IFERROR(__xludf.DUMMYFUNCTION("""COMPUTED_VALUE"""),"[]")</f>
        <v>[]</v>
      </c>
      <c r="W265" s="148">
        <f>IFERROR(__xludf.DUMMYFUNCTION("""COMPUTED_VALUE"""),1.174E7)</f>
        <v>11740000</v>
      </c>
      <c r="X265" s="148">
        <f>IFERROR(__xludf.DUMMYFUNCTION("""COMPUTED_VALUE"""),0.0)</f>
        <v>0</v>
      </c>
      <c r="Y265" s="148">
        <f>IFERROR(__xludf.DUMMYFUNCTION("""COMPUTED_VALUE"""),0.0)</f>
        <v>0</v>
      </c>
      <c r="Z265" s="148"/>
    </row>
    <row r="266">
      <c r="A266" s="148">
        <f>IFERROR(__xludf.DUMMYFUNCTION("""COMPUTED_VALUE"""),1.1112055E7)</f>
        <v>11112055</v>
      </c>
      <c r="B266" s="148" t="str">
        <f>IFERROR(__xludf.DUMMYFUNCTION("""COMPUTED_VALUE"""),"行军特效-大红灯笼-30天限时")</f>
        <v>行军特效-大红灯笼-30天限时</v>
      </c>
      <c r="C266" s="148"/>
      <c r="D266" s="148" t="str">
        <f>IFERROR(__xludf.DUMMYFUNCTION("""COMPUTED_VALUE"""),"marching_effect")</f>
        <v>marching_effect</v>
      </c>
      <c r="E266" s="148">
        <f>IFERROR(__xludf.DUMMYFUNCTION("""COMPUTED_VALUE"""),0.0)</f>
        <v>0</v>
      </c>
      <c r="F266" s="148">
        <f>IFERROR(__xludf.DUMMYFUNCTION("""COMPUTED_VALUE"""),408196.0)</f>
        <v>408196</v>
      </c>
      <c r="G266" s="148">
        <f>IFERROR(__xludf.DUMMYFUNCTION("""COMPUTED_VALUE"""),1.5117832E7)</f>
        <v>15117832</v>
      </c>
      <c r="H266" s="148">
        <f>IFERROR(__xludf.DUMMYFUNCTION("""COMPUTED_VALUE"""),1.5112563E7)</f>
        <v>15112563</v>
      </c>
      <c r="I266" s="148" t="str">
        <f>IFERROR(__xludf.DUMMYFUNCTION("""COMPUTED_VALUE"""),"{""typ"":""lc"",""txt"":""LC_ITEM_time_day_upper_show"",""args"":[{""typ"":""int_unit"",""val"":30}]}")</f>
        <v>{"typ":"lc","txt":"LC_ITEM_time_day_upper_show","args":[{"typ":"int_unit","val":30}]}</v>
      </c>
      <c r="J266" s="148" t="str">
        <f>IFERROR(__xludf.DUMMYFUNCTION("""COMPUTED_VALUE"""),"{""typ"":""lc"",""txt"":""LC_ITEM_spring_marcheffect_2024""}")</f>
        <v>{"typ":"lc","txt":"LC_ITEM_spring_marcheffect_2024"}</v>
      </c>
      <c r="K266" s="148" t="str">
        <f>IFERROR(__xludf.DUMMYFUNCTION("""COMPUTED_VALUE"""),"{""typ"":""lc"",""txt"":""LC_ITEM_spring_march_effect_2024_desc""}")</f>
        <v>{"typ":"lc","txt":"LC_ITEM_spring_march_effect_2024_desc"}</v>
      </c>
      <c r="L266" s="148" t="str">
        <f>IFERROR(__xludf.DUMMYFUNCTION("""COMPUTED_VALUE"""),"{""typ"":""lc"",""txt"":""LC_ITEM_spring24_march_effect_use_tip_30d""}")</f>
        <v>{"typ":"lc","txt":"LC_ITEM_spring24_march_effect_use_tip_30d"}</v>
      </c>
      <c r="M266" s="148">
        <f>IFERROR(__xludf.DUMMYFUNCTION("""COMPUTED_VALUE"""),1000.0)</f>
        <v>1000</v>
      </c>
      <c r="N266" s="148">
        <f>IFERROR(__xludf.DUMMYFUNCTION("""COMPUTED_VALUE"""),999999.0)</f>
        <v>999999</v>
      </c>
      <c r="O266" s="148">
        <f>IFERROR(__xludf.DUMMYFUNCTION("""COMPUTED_VALUE"""),99999.0)</f>
        <v>99999</v>
      </c>
      <c r="P266" s="148">
        <f>IFERROR(__xludf.DUMMYFUNCTION("""COMPUTED_VALUE"""),1.0)</f>
        <v>1</v>
      </c>
      <c r="Q266" s="148" t="str">
        <f>IFERROR(__xludf.DUMMYFUNCTION("""COMPUTED_VALUE"""),"[""bag_other""]")</f>
        <v>["bag_other"]</v>
      </c>
      <c r="R266" s="148" t="str">
        <f>IFERROR(__xludf.DUMMYFUNCTION("""COMPUTED_VALUE"""),"[""bag"",""13650116""]")</f>
        <v>["bag","13650116"]</v>
      </c>
      <c r="S266" s="148" t="str">
        <f>IFERROR(__xludf.DUMMYFUNCTION("""COMPUTED_VALUE"""),"{""effect"":[{""typ"":""marching_effect"",""id"":13650116,""val"":2592000000},{""typ"":""vm"",""id"":11151001,""val"":1000}]}")</f>
        <v>{"effect":[{"typ":"marching_effect","id":13650116,"val":2592000000},{"typ":"vm","id":11151001,"val":1000}]}</v>
      </c>
      <c r="T266" s="148">
        <f>IFERROR(__xludf.DUMMYFUNCTION("""COMPUTED_VALUE"""),-1.0)</f>
        <v>-1</v>
      </c>
      <c r="U266" s="148">
        <f>IFERROR(__xludf.DUMMYFUNCTION("""COMPUTED_VALUE"""),0.0)</f>
        <v>0</v>
      </c>
      <c r="V266" s="148" t="str">
        <f>IFERROR(__xludf.DUMMYFUNCTION("""COMPUTED_VALUE"""),"[]")</f>
        <v>[]</v>
      </c>
      <c r="W266" s="148">
        <f>IFERROR(__xludf.DUMMYFUNCTION("""COMPUTED_VALUE"""),1.174E7)</f>
        <v>11740000</v>
      </c>
      <c r="X266" s="148">
        <f>IFERROR(__xludf.DUMMYFUNCTION("""COMPUTED_VALUE"""),0.0)</f>
        <v>0</v>
      </c>
      <c r="Y266" s="148">
        <f>IFERROR(__xludf.DUMMYFUNCTION("""COMPUTED_VALUE"""),0.0)</f>
        <v>0</v>
      </c>
      <c r="Z266" s="148"/>
    </row>
    <row r="267">
      <c r="A267" s="148">
        <f>IFERROR(__xludf.DUMMYFUNCTION("""COMPUTED_VALUE"""),1.1112056E7)</f>
        <v>11112056</v>
      </c>
      <c r="B267" s="148" t="str">
        <f>IFERROR(__xludf.DUMMYFUNCTION("""COMPUTED_VALUE"""),"行军特效-大红灯笼-永久")</f>
        <v>行军特效-大红灯笼-永久</v>
      </c>
      <c r="C267" s="148"/>
      <c r="D267" s="148" t="str">
        <f>IFERROR(__xludf.DUMMYFUNCTION("""COMPUTED_VALUE"""),"marching_effect")</f>
        <v>marching_effect</v>
      </c>
      <c r="E267" s="148">
        <f>IFERROR(__xludf.DUMMYFUNCTION("""COMPUTED_VALUE"""),0.0)</f>
        <v>0</v>
      </c>
      <c r="F267" s="148">
        <f>IFERROR(__xludf.DUMMYFUNCTION("""COMPUTED_VALUE"""),408195.0)</f>
        <v>408195</v>
      </c>
      <c r="G267" s="148">
        <f>IFERROR(__xludf.DUMMYFUNCTION("""COMPUTED_VALUE"""),1.5117832E7)</f>
        <v>15117832</v>
      </c>
      <c r="H267" s="148">
        <f>IFERROR(__xludf.DUMMYFUNCTION("""COMPUTED_VALUE"""),1.5112564E7)</f>
        <v>15112564</v>
      </c>
      <c r="I267" s="148" t="str">
        <f>IFERROR(__xludf.DUMMYFUNCTION("""COMPUTED_VALUE"""),"{}")</f>
        <v>{}</v>
      </c>
      <c r="J267" s="148" t="str">
        <f>IFERROR(__xludf.DUMMYFUNCTION("""COMPUTED_VALUE"""),"{""typ"":""lc"",""txt"":""LC_ITEM_spring_marcheffect_2024""}")</f>
        <v>{"typ":"lc","txt":"LC_ITEM_spring_marcheffect_2024"}</v>
      </c>
      <c r="K267" s="148" t="str">
        <f>IFERROR(__xludf.DUMMYFUNCTION("""COMPUTED_VALUE"""),"{""typ"":""lc"",""txt"":""LC_ITEM_spring_march_effect_2024_desc""}")</f>
        <v>{"typ":"lc","txt":"LC_ITEM_spring_march_effect_2024_desc"}</v>
      </c>
      <c r="L267" s="148" t="str">
        <f>IFERROR(__xludf.DUMMYFUNCTION("""COMPUTED_VALUE"""),"{""typ"":""lc"",""txt"":""LC_ITEM_spring24_march_effect_use_tip""}")</f>
        <v>{"typ":"lc","txt":"LC_ITEM_spring24_march_effect_use_tip"}</v>
      </c>
      <c r="M267" s="148">
        <f>IFERROR(__xludf.DUMMYFUNCTION("""COMPUTED_VALUE"""),5000.0)</f>
        <v>5000</v>
      </c>
      <c r="N267" s="148">
        <f>IFERROR(__xludf.DUMMYFUNCTION("""COMPUTED_VALUE"""),999999.0)</f>
        <v>999999</v>
      </c>
      <c r="O267" s="148">
        <f>IFERROR(__xludf.DUMMYFUNCTION("""COMPUTED_VALUE"""),99999.0)</f>
        <v>99999</v>
      </c>
      <c r="P267" s="148">
        <f>IFERROR(__xludf.DUMMYFUNCTION("""COMPUTED_VALUE"""),1.0)</f>
        <v>1</v>
      </c>
      <c r="Q267" s="148" t="str">
        <f>IFERROR(__xludf.DUMMYFUNCTION("""COMPUTED_VALUE"""),"[""bag_other""]")</f>
        <v>["bag_other"]</v>
      </c>
      <c r="R267" s="148" t="str">
        <f>IFERROR(__xludf.DUMMYFUNCTION("""COMPUTED_VALUE"""),"[""bag"",""13650116""]")</f>
        <v>["bag","13650116"]</v>
      </c>
      <c r="S267" s="148" t="str">
        <f>IFERROR(__xludf.DUMMYFUNCTION("""COMPUTED_VALUE"""),"{""effect"":[{""typ"":""marching_effect"",""id"":13650116,""val"":-1},{""typ"":""vm"",""id"":11151001,""val"":2500}]}")</f>
        <v>{"effect":[{"typ":"marching_effect","id":13650116,"val":-1},{"typ":"vm","id":11151001,"val":2500}]}</v>
      </c>
      <c r="T267" s="148">
        <f>IFERROR(__xludf.DUMMYFUNCTION("""COMPUTED_VALUE"""),-1.0)</f>
        <v>-1</v>
      </c>
      <c r="U267" s="148">
        <f>IFERROR(__xludf.DUMMYFUNCTION("""COMPUTED_VALUE"""),0.0)</f>
        <v>0</v>
      </c>
      <c r="V267" s="148" t="str">
        <f>IFERROR(__xludf.DUMMYFUNCTION("""COMPUTED_VALUE"""),"[]")</f>
        <v>[]</v>
      </c>
      <c r="W267" s="148">
        <f>IFERROR(__xludf.DUMMYFUNCTION("""COMPUTED_VALUE"""),1.174E7)</f>
        <v>11740000</v>
      </c>
      <c r="X267" s="148">
        <f>IFERROR(__xludf.DUMMYFUNCTION("""COMPUTED_VALUE"""),0.0)</f>
        <v>0</v>
      </c>
      <c r="Y267" s="148">
        <f>IFERROR(__xludf.DUMMYFUNCTION("""COMPUTED_VALUE"""),0.0)</f>
        <v>0</v>
      </c>
      <c r="Z267" s="148"/>
    </row>
    <row r="268">
      <c r="A268" s="148">
        <f>IFERROR(__xludf.DUMMYFUNCTION("""COMPUTED_VALUE"""),1.1112057E7)</f>
        <v>11112057</v>
      </c>
      <c r="B268" s="148" t="str">
        <f>IFERROR(__xludf.DUMMYFUNCTION("""COMPUTED_VALUE"""),"铭牌-春节-2024铭牌")</f>
        <v>铭牌-春节-2024铭牌</v>
      </c>
      <c r="C268" s="148"/>
      <c r="D268" s="148" t="str">
        <f>IFERROR(__xludf.DUMMYFUNCTION("""COMPUTED_VALUE"""),"chat_skin")</f>
        <v>chat_skin</v>
      </c>
      <c r="E268" s="148">
        <f>IFERROR(__xludf.DUMMYFUNCTION("""COMPUTED_VALUE"""),30.0)</f>
        <v>30</v>
      </c>
      <c r="F268" s="148">
        <f>IFERROR(__xludf.DUMMYFUNCTION("""COMPUTED_VALUE"""),401107.0)</f>
        <v>401107</v>
      </c>
      <c r="G268" s="148">
        <f>IFERROR(__xludf.DUMMYFUNCTION("""COMPUTED_VALUE"""),1.5117833E7)</f>
        <v>15117833</v>
      </c>
      <c r="H268" s="148">
        <f>IFERROR(__xludf.DUMMYFUNCTION("""COMPUTED_VALUE"""),1.5112564E7)</f>
        <v>15112564</v>
      </c>
      <c r="I268" s="148" t="str">
        <f>IFERROR(__xludf.DUMMYFUNCTION("""COMPUTED_VALUE"""),"{}")</f>
        <v>{}</v>
      </c>
      <c r="J268" s="148" t="str">
        <f>IFERROR(__xludf.DUMMYFUNCTION("""COMPUTED_VALUE"""),"{""typ"":""lc"",""txt"":""LC_ITEM_spring_nameplate_2024_title""}")</f>
        <v>{"typ":"lc","txt":"LC_ITEM_spring_nameplate_2024_title"}</v>
      </c>
      <c r="K268" s="148" t="str">
        <f>IFERROR(__xludf.DUMMYFUNCTION("""COMPUTED_VALUE"""),"{""typ"":""lc"",""txt"":""LC_ITEM_spring_nameplate_2024_desc_item""}")</f>
        <v>{"typ":"lc","txt":"LC_ITEM_spring_nameplate_2024_desc_item"}</v>
      </c>
      <c r="L268" s="148" t="str">
        <f>IFERROR(__xludf.DUMMYFUNCTION("""COMPUTED_VALUE"""),"{""typ"":""lc"",""txt"":""LC_ITEM_season_extra_reward_usedtip""}")</f>
        <v>{"typ":"lc","txt":"LC_ITEM_season_extra_reward_usedtip"}</v>
      </c>
      <c r="M268" s="148">
        <f>IFERROR(__xludf.DUMMYFUNCTION("""COMPUTED_VALUE"""),2500.0)</f>
        <v>2500</v>
      </c>
      <c r="N268" s="148">
        <f>IFERROR(__xludf.DUMMYFUNCTION("""COMPUTED_VALUE"""),9999999.0)</f>
        <v>9999999</v>
      </c>
      <c r="O268" s="148">
        <f>IFERROR(__xludf.DUMMYFUNCTION("""COMPUTED_VALUE"""),1.0)</f>
        <v>1</v>
      </c>
      <c r="P268" s="148">
        <f>IFERROR(__xludf.DUMMYFUNCTION("""COMPUTED_VALUE"""),1.0)</f>
        <v>1</v>
      </c>
      <c r="Q268" s="148" t="str">
        <f>IFERROR(__xludf.DUMMYFUNCTION("""COMPUTED_VALUE"""),"[""bag_other""]")</f>
        <v>["bag_other"]</v>
      </c>
      <c r="R268" s="148" t="str">
        <f>IFERROR(__xludf.DUMMYFUNCTION("""COMPUTED_VALUE"""),"[""11731018"",""bag""]")</f>
        <v>["11731018","bag"]</v>
      </c>
      <c r="S268" s="148" t="str">
        <f>IFERROR(__xludf.DUMMYFUNCTION("""COMPUTED_VALUE"""),"{""effect"":[{""typ"":""nameplate"",""id"":11731018,""val"":-1}]}")</f>
        <v>{"effect":[{"typ":"nameplate","id":11731018,"val":-1}]}</v>
      </c>
      <c r="T268" s="148">
        <f>IFERROR(__xludf.DUMMYFUNCTION("""COMPUTED_VALUE"""),-1.0)</f>
        <v>-1</v>
      </c>
      <c r="U268" s="148">
        <f>IFERROR(__xludf.DUMMYFUNCTION("""COMPUTED_VALUE"""),0.0)</f>
        <v>0</v>
      </c>
      <c r="V268" s="148" t="str">
        <f>IFERROR(__xludf.DUMMYFUNCTION("""COMPUTED_VALUE"""),"[]")</f>
        <v>[]</v>
      </c>
      <c r="W268" s="148">
        <f>IFERROR(__xludf.DUMMYFUNCTION("""COMPUTED_VALUE"""),1.174E7)</f>
        <v>11740000</v>
      </c>
      <c r="X268" s="148">
        <f>IFERROR(__xludf.DUMMYFUNCTION("""COMPUTED_VALUE"""),0.0)</f>
        <v>0</v>
      </c>
      <c r="Y268" s="148">
        <f>IFERROR(__xludf.DUMMYFUNCTION("""COMPUTED_VALUE"""),0.0)</f>
        <v>0</v>
      </c>
      <c r="Z268" s="148"/>
    </row>
    <row r="269">
      <c r="A269" s="148">
        <f>IFERROR(__xludf.DUMMYFUNCTION("""COMPUTED_VALUE"""),1.111206E7)</f>
        <v>11112060</v>
      </c>
      <c r="B269" s="148" t="str">
        <f>IFERROR(__xludf.DUMMYFUNCTION("""COMPUTED_VALUE"""),"夹心巧克力-情人节2024活动BP道具")</f>
        <v>夹心巧克力-情人节2024活动BP道具</v>
      </c>
      <c r="C269" s="148"/>
      <c r="D269" s="148" t="str">
        <f>IFERROR(__xludf.DUMMYFUNCTION("""COMPUTED_VALUE"""),"battle_pass_exp")</f>
        <v>battle_pass_exp</v>
      </c>
      <c r="E269" s="148">
        <f>IFERROR(__xludf.DUMMYFUNCTION("""COMPUTED_VALUE"""),0.0)</f>
        <v>0</v>
      </c>
      <c r="F269" s="148">
        <f>IFERROR(__xludf.DUMMYFUNCTION("""COMPUTED_VALUE"""),405217.0)</f>
        <v>405217</v>
      </c>
      <c r="G269" s="148">
        <f>IFERROR(__xludf.DUMMYFUNCTION("""COMPUTED_VALUE"""),1.5113625E7)</f>
        <v>15113625</v>
      </c>
      <c r="H269" s="148">
        <f>IFERROR(__xludf.DUMMYFUNCTION("""COMPUTED_VALUE"""),1.5112563E7)</f>
        <v>15112563</v>
      </c>
      <c r="I269" s="148" t="str">
        <f>IFERROR(__xludf.DUMMYFUNCTION("""COMPUTED_VALUE"""),"{}")</f>
        <v>{}</v>
      </c>
      <c r="J269" s="148" t="str">
        <f>IFERROR(__xludf.DUMMYFUNCTION("""COMPUTED_VALUE"""),"{""typ"":""lc"",""txt"":""LC_ITEM_filled_chocolate_name""}")</f>
        <v>{"typ":"lc","txt":"LC_ITEM_filled_chocolate_name"}</v>
      </c>
      <c r="K269" s="148" t="str">
        <f>IFERROR(__xludf.DUMMYFUNCTION("""COMPUTED_VALUE"""),"{""typ"":""lc"",""txt"":""LC_ITEM_filled_chocolate_desc""}")</f>
        <v>{"typ":"lc","txt":"LC_ITEM_filled_chocolate_desc"}</v>
      </c>
      <c r="L269" s="148" t="str">
        <f>IFERROR(__xludf.DUMMYFUNCTION("""COMPUTED_VALUE"""),"{}")</f>
        <v>{}</v>
      </c>
      <c r="M269" s="148">
        <f>IFERROR(__xludf.DUMMYFUNCTION("""COMPUTED_VALUE"""),35.0)</f>
        <v>35</v>
      </c>
      <c r="N269" s="148">
        <f>IFERROR(__xludf.DUMMYFUNCTION("""COMPUTED_VALUE"""),999999.0)</f>
        <v>999999</v>
      </c>
      <c r="O269" s="148">
        <f>IFERROR(__xludf.DUMMYFUNCTION("""COMPUTED_VALUE"""),99999.0)</f>
        <v>99999</v>
      </c>
      <c r="P269" s="148">
        <f>IFERROR(__xludf.DUMMYFUNCTION("""COMPUTED_VALUE"""),99999.0)</f>
        <v>99999</v>
      </c>
      <c r="Q269" s="148" t="str">
        <f>IFERROR(__xludf.DUMMYFUNCTION("""COMPUTED_VALUE"""),"[""bag_other""]")</f>
        <v>["bag_other"]</v>
      </c>
      <c r="R269" s="148" t="str">
        <f>IFERROR(__xludf.DUMMYFUNCTION("""COMPUTED_VALUE"""),"[""bag""]")</f>
        <v>["bag"]</v>
      </c>
      <c r="S269" s="148" t="str">
        <f>IFERROR(__xludf.DUMMYFUNCTION("""COMPUTED_VALUE"""),"{}")</f>
        <v>{}</v>
      </c>
      <c r="T269" s="148">
        <f>IFERROR(__xludf.DUMMYFUNCTION("""COMPUTED_VALUE"""),-1.0)</f>
        <v>-1</v>
      </c>
      <c r="U269" s="148">
        <f>IFERROR(__xludf.DUMMYFUNCTION("""COMPUTED_VALUE"""),0.0)</f>
        <v>0</v>
      </c>
      <c r="V269" s="148" t="str">
        <f>IFERROR(__xludf.DUMMYFUNCTION("""COMPUTED_VALUE"""),"[]")</f>
        <v>[]</v>
      </c>
      <c r="W269" s="148">
        <f>IFERROR(__xludf.DUMMYFUNCTION("""COMPUTED_VALUE"""),1.174E7)</f>
        <v>11740000</v>
      </c>
      <c r="X269" s="148">
        <f>IFERROR(__xludf.DUMMYFUNCTION("""COMPUTED_VALUE"""),0.0)</f>
        <v>0</v>
      </c>
      <c r="Y269" s="148">
        <f>IFERROR(__xludf.DUMMYFUNCTION("""COMPUTED_VALUE"""),0.0)</f>
        <v>0</v>
      </c>
      <c r="Z269" s="148"/>
    </row>
    <row r="270">
      <c r="A270" s="148">
        <f>IFERROR(__xludf.DUMMYFUNCTION("""COMPUTED_VALUE"""),1.1112061E7)</f>
        <v>11112061</v>
      </c>
      <c r="B270" s="148" t="str">
        <f>IFERROR(__xludf.DUMMYFUNCTION("""COMPUTED_VALUE"""),"2024情人节BattlePass-初级通行证")</f>
        <v>2024情人节BattlePass-初级通行证</v>
      </c>
      <c r="C270" s="148"/>
      <c r="D270" s="148" t="str">
        <f>IFERROR(__xludf.DUMMYFUNCTION("""COMPUTED_VALUE"""),"battle_pass_card")</f>
        <v>battle_pass_card</v>
      </c>
      <c r="E270" s="148">
        <f>IFERROR(__xludf.DUMMYFUNCTION("""COMPUTED_VALUE"""),0.0)</f>
        <v>0</v>
      </c>
      <c r="F270" s="148">
        <f>IFERROR(__xludf.DUMMYFUNCTION("""COMPUTED_VALUE"""),0.0)</f>
        <v>0</v>
      </c>
      <c r="G270" s="148">
        <f>IFERROR(__xludf.DUMMYFUNCTION("""COMPUTED_VALUE"""),1.5113625E7)</f>
        <v>15113625</v>
      </c>
      <c r="H270" s="148">
        <f>IFERROR(__xludf.DUMMYFUNCTION("""COMPUTED_VALUE"""),1.5112563E7)</f>
        <v>15112563</v>
      </c>
      <c r="I270" s="148" t="str">
        <f>IFERROR(__xludf.DUMMYFUNCTION("""COMPUTED_VALUE"""),"{}")</f>
        <v>{}</v>
      </c>
      <c r="J270" s="148" t="str">
        <f>IFERROR(__xludf.DUMMYFUNCTION("""COMPUTED_VALUE"""),"{""typ"":""lc"",""txt"":""LC_IAP_classic_2023_valentine_gift""}")</f>
        <v>{"typ":"lc","txt":"LC_IAP_classic_2023_valentine_gift"}</v>
      </c>
      <c r="K270" s="148" t="str">
        <f>IFERROR(__xludf.DUMMYFUNCTION("""COMPUTED_VALUE"""),"{}")</f>
        <v>{}</v>
      </c>
      <c r="L270" s="148" t="str">
        <f>IFERROR(__xludf.DUMMYFUNCTION("""COMPUTED_VALUE"""),"{}")</f>
        <v>{}</v>
      </c>
      <c r="M270" s="148">
        <f>IFERROR(__xludf.DUMMYFUNCTION("""COMPUTED_VALUE"""),10.0)</f>
        <v>10</v>
      </c>
      <c r="N270" s="148">
        <f>IFERROR(__xludf.DUMMYFUNCTION("""COMPUTED_VALUE"""),999999.0)</f>
        <v>999999</v>
      </c>
      <c r="O270" s="148">
        <f>IFERROR(__xludf.DUMMYFUNCTION("""COMPUTED_VALUE"""),99999.0)</f>
        <v>99999</v>
      </c>
      <c r="P270" s="148">
        <f>IFERROR(__xludf.DUMMYFUNCTION("""COMPUTED_VALUE"""),9999.0)</f>
        <v>9999</v>
      </c>
      <c r="Q270" s="148" t="str">
        <f>IFERROR(__xludf.DUMMYFUNCTION("""COMPUTED_VALUE"""),"[]")</f>
        <v>[]</v>
      </c>
      <c r="R270" s="148" t="str">
        <f>IFERROR(__xludf.DUMMYFUNCTION("""COMPUTED_VALUE"""),"[]")</f>
        <v>[]</v>
      </c>
      <c r="S270" s="148" t="str">
        <f>IFERROR(__xludf.DUMMYFUNCTION("""COMPUTED_VALUE"""),"{}")</f>
        <v>{}</v>
      </c>
      <c r="T270" s="148">
        <f>IFERROR(__xludf.DUMMYFUNCTION("""COMPUTED_VALUE"""),-1.0)</f>
        <v>-1</v>
      </c>
      <c r="U270" s="148">
        <f>IFERROR(__xludf.DUMMYFUNCTION("""COMPUTED_VALUE"""),1.0)</f>
        <v>1</v>
      </c>
      <c r="V270" s="148" t="str">
        <f>IFERROR(__xludf.DUMMYFUNCTION("""COMPUTED_VALUE"""),"[]")</f>
        <v>[]</v>
      </c>
      <c r="W270" s="148">
        <f>IFERROR(__xludf.DUMMYFUNCTION("""COMPUTED_VALUE"""),1.174E7)</f>
        <v>11740000</v>
      </c>
      <c r="X270" s="148">
        <f>IFERROR(__xludf.DUMMYFUNCTION("""COMPUTED_VALUE"""),0.0)</f>
        <v>0</v>
      </c>
      <c r="Y270" s="148">
        <f>IFERROR(__xludf.DUMMYFUNCTION("""COMPUTED_VALUE"""),0.0)</f>
        <v>0</v>
      </c>
      <c r="Z270" s="148"/>
    </row>
    <row r="271">
      <c r="A271" s="148">
        <f>IFERROR(__xludf.DUMMYFUNCTION("""COMPUTED_VALUE"""),1.1112062E7)</f>
        <v>11112062</v>
      </c>
      <c r="B271" s="148" t="str">
        <f>IFERROR(__xludf.DUMMYFUNCTION("""COMPUTED_VALUE"""),"2024情人节行军特效-玫瑰誓约-1天限时")</f>
        <v>2024情人节行军特效-玫瑰誓约-1天限时</v>
      </c>
      <c r="C271" s="148"/>
      <c r="D271" s="148" t="str">
        <f>IFERROR(__xludf.DUMMYFUNCTION("""COMPUTED_VALUE"""),"marching_effect")</f>
        <v>marching_effect</v>
      </c>
      <c r="E271" s="148">
        <f>IFERROR(__xludf.DUMMYFUNCTION("""COMPUTED_VALUE"""),0.0)</f>
        <v>0</v>
      </c>
      <c r="F271" s="148">
        <f>IFERROR(__xludf.DUMMYFUNCTION("""COMPUTED_VALUE"""),408200.0)</f>
        <v>408200</v>
      </c>
      <c r="G271" s="148">
        <f>IFERROR(__xludf.DUMMYFUNCTION("""COMPUTED_VALUE"""),1.5118051E7)</f>
        <v>15118051</v>
      </c>
      <c r="H271" s="148">
        <f>IFERROR(__xludf.DUMMYFUNCTION("""COMPUTED_VALUE"""),1.511256E7)</f>
        <v>15112560</v>
      </c>
      <c r="I271" s="148" t="str">
        <f>IFERROR(__xludf.DUMMYFUNCTION("""COMPUTED_VALUE"""),"{""typ"":""lc"",""txt"":""LC_ITEM_time_day_upper_show"",""args"":[{""typ"":""int_unit"",""val"":1}]}")</f>
        <v>{"typ":"lc","txt":"LC_ITEM_time_day_upper_show","args":[{"typ":"int_unit","val":1}]}</v>
      </c>
      <c r="J271" s="148" t="str">
        <f>IFERROR(__xludf.DUMMYFUNCTION("""COMPUTED_VALUE"""),"{""typ"":""lc"",""txt"":""LC_ITEM_valentine_marcheffect_2024_title""}")</f>
        <v>{"typ":"lc","txt":"LC_ITEM_valentine_marcheffect_2024_title"}</v>
      </c>
      <c r="K271" s="148" t="str">
        <f>IFERROR(__xludf.DUMMYFUNCTION("""COMPUTED_VALUE"""),"{""typ"":""lc"",""txt"":""LC_ITEM_valentine_marcheffect_2024_desc""}")</f>
        <v>{"typ":"lc","txt":"LC_ITEM_valentine_marcheffect_2024_desc"}</v>
      </c>
      <c r="L271" s="148" t="str">
        <f>IFERROR(__xludf.DUMMYFUNCTION("""COMPUTED_VALUE"""),"{""typ"":""lc"",""txt"":""LC_ITEM_valentine_marcheffect_2024_usetip_2_1d""}")</f>
        <v>{"typ":"lc","txt":"LC_ITEM_valentine_marcheffect_2024_usetip_2_1d"}</v>
      </c>
      <c r="M271" s="148">
        <f>IFERROR(__xludf.DUMMYFUNCTION("""COMPUTED_VALUE"""),50.0)</f>
        <v>50</v>
      </c>
      <c r="N271" s="148">
        <f>IFERROR(__xludf.DUMMYFUNCTION("""COMPUTED_VALUE"""),999999.0)</f>
        <v>999999</v>
      </c>
      <c r="O271" s="148">
        <f>IFERROR(__xludf.DUMMYFUNCTION("""COMPUTED_VALUE"""),99999.0)</f>
        <v>99999</v>
      </c>
      <c r="P271" s="148">
        <f>IFERROR(__xludf.DUMMYFUNCTION("""COMPUTED_VALUE"""),1.0)</f>
        <v>1</v>
      </c>
      <c r="Q271" s="148" t="str">
        <f>IFERROR(__xludf.DUMMYFUNCTION("""COMPUTED_VALUE"""),"[""bag_other""]")</f>
        <v>["bag_other"]</v>
      </c>
      <c r="R271" s="148" t="str">
        <f>IFERROR(__xludf.DUMMYFUNCTION("""COMPUTED_VALUE"""),"[""bag"",""13650117""]")</f>
        <v>["bag","13650117"]</v>
      </c>
      <c r="S271" s="148" t="str">
        <f>IFERROR(__xludf.DUMMYFUNCTION("""COMPUTED_VALUE"""),"{""effect"":[{""typ"":""marching_effect"",""id"":13650117,""val"":86400000},{""typ"":""vm"",""id"":11151001,""val"":50}]}")</f>
        <v>{"effect":[{"typ":"marching_effect","id":13650117,"val":86400000},{"typ":"vm","id":11151001,"val":50}]}</v>
      </c>
      <c r="T271" s="148">
        <f>IFERROR(__xludf.DUMMYFUNCTION("""COMPUTED_VALUE"""),-1.0)</f>
        <v>-1</v>
      </c>
      <c r="U271" s="148">
        <f>IFERROR(__xludf.DUMMYFUNCTION("""COMPUTED_VALUE"""),0.0)</f>
        <v>0</v>
      </c>
      <c r="V271" s="148" t="str">
        <f>IFERROR(__xludf.DUMMYFUNCTION("""COMPUTED_VALUE"""),"[]")</f>
        <v>[]</v>
      </c>
      <c r="W271" s="148">
        <f>IFERROR(__xludf.DUMMYFUNCTION("""COMPUTED_VALUE"""),1.174E7)</f>
        <v>11740000</v>
      </c>
      <c r="X271" s="148">
        <f>IFERROR(__xludf.DUMMYFUNCTION("""COMPUTED_VALUE"""),0.0)</f>
        <v>0</v>
      </c>
      <c r="Y271" s="148">
        <f>IFERROR(__xludf.DUMMYFUNCTION("""COMPUTED_VALUE"""),0.0)</f>
        <v>0</v>
      </c>
      <c r="Z271" s="148"/>
    </row>
    <row r="272">
      <c r="A272" s="148">
        <f>IFERROR(__xludf.DUMMYFUNCTION("""COMPUTED_VALUE"""),1.1112063E7)</f>
        <v>11112063</v>
      </c>
      <c r="B272" s="148" t="str">
        <f>IFERROR(__xludf.DUMMYFUNCTION("""COMPUTED_VALUE"""),"2024情人节行军特效-玫瑰誓约-3天限时")</f>
        <v>2024情人节行军特效-玫瑰誓约-3天限时</v>
      </c>
      <c r="C272" s="148"/>
      <c r="D272" s="148" t="str">
        <f>IFERROR(__xludf.DUMMYFUNCTION("""COMPUTED_VALUE"""),"marching_effect")</f>
        <v>marching_effect</v>
      </c>
      <c r="E272" s="148">
        <f>IFERROR(__xludf.DUMMYFUNCTION("""COMPUTED_VALUE"""),0.0)</f>
        <v>0</v>
      </c>
      <c r="F272" s="148">
        <f>IFERROR(__xludf.DUMMYFUNCTION("""COMPUTED_VALUE"""),408199.0)</f>
        <v>408199</v>
      </c>
      <c r="G272" s="148">
        <f>IFERROR(__xludf.DUMMYFUNCTION("""COMPUTED_VALUE"""),1.5118051E7)</f>
        <v>15118051</v>
      </c>
      <c r="H272" s="148">
        <f>IFERROR(__xludf.DUMMYFUNCTION("""COMPUTED_VALUE"""),1.5112561E7)</f>
        <v>15112561</v>
      </c>
      <c r="I272" s="148" t="str">
        <f>IFERROR(__xludf.DUMMYFUNCTION("""COMPUTED_VALUE"""),"{""typ"":""lc"",""txt"":""LC_ITEM_time_day_upper_show"",""args"":[{""typ"":""int_unit"",""val"":3}]}")</f>
        <v>{"typ":"lc","txt":"LC_ITEM_time_day_upper_show","args":[{"typ":"int_unit","val":3}]}</v>
      </c>
      <c r="J272" s="148" t="str">
        <f>IFERROR(__xludf.DUMMYFUNCTION("""COMPUTED_VALUE"""),"{""typ"":""lc"",""txt"":""LC_ITEM_valentine_marcheffect_2024_title""}")</f>
        <v>{"typ":"lc","txt":"LC_ITEM_valentine_marcheffect_2024_title"}</v>
      </c>
      <c r="K272" s="148" t="str">
        <f>IFERROR(__xludf.DUMMYFUNCTION("""COMPUTED_VALUE"""),"{""typ"":""lc"",""txt"":""LC_ITEM_valentine_marcheffect_2024_desc""}")</f>
        <v>{"typ":"lc","txt":"LC_ITEM_valentine_marcheffect_2024_desc"}</v>
      </c>
      <c r="L272" s="148" t="str">
        <f>IFERROR(__xludf.DUMMYFUNCTION("""COMPUTED_VALUE"""),"{""typ"":""lc"",""txt"":""LC_ITEM_valentine_marcheffect_2024_usetip_2_3d""}")</f>
        <v>{"typ":"lc","txt":"LC_ITEM_valentine_marcheffect_2024_usetip_2_3d"}</v>
      </c>
      <c r="M272" s="148">
        <f>IFERROR(__xludf.DUMMYFUNCTION("""COMPUTED_VALUE"""),200.0)</f>
        <v>200</v>
      </c>
      <c r="N272" s="148">
        <f>IFERROR(__xludf.DUMMYFUNCTION("""COMPUTED_VALUE"""),999999.0)</f>
        <v>999999</v>
      </c>
      <c r="O272" s="148">
        <f>IFERROR(__xludf.DUMMYFUNCTION("""COMPUTED_VALUE"""),99999.0)</f>
        <v>99999</v>
      </c>
      <c r="P272" s="148">
        <f>IFERROR(__xludf.DUMMYFUNCTION("""COMPUTED_VALUE"""),1.0)</f>
        <v>1</v>
      </c>
      <c r="Q272" s="148" t="str">
        <f>IFERROR(__xludf.DUMMYFUNCTION("""COMPUTED_VALUE"""),"[""bag_other""]")</f>
        <v>["bag_other"]</v>
      </c>
      <c r="R272" s="148" t="str">
        <f>IFERROR(__xludf.DUMMYFUNCTION("""COMPUTED_VALUE"""),"[""bag"",""13650117""]")</f>
        <v>["bag","13650117"]</v>
      </c>
      <c r="S272" s="148" t="str">
        <f>IFERROR(__xludf.DUMMYFUNCTION("""COMPUTED_VALUE"""),"{""effect"":[{""typ"":""marching_effect"",""id"":13650117,""val"":259200000},{""typ"":""vm"",""id"":11151001,""val"":200}]}")</f>
        <v>{"effect":[{"typ":"marching_effect","id":13650117,"val":259200000},{"typ":"vm","id":11151001,"val":200}]}</v>
      </c>
      <c r="T272" s="148">
        <f>IFERROR(__xludf.DUMMYFUNCTION("""COMPUTED_VALUE"""),-1.0)</f>
        <v>-1</v>
      </c>
      <c r="U272" s="148">
        <f>IFERROR(__xludf.DUMMYFUNCTION("""COMPUTED_VALUE"""),0.0)</f>
        <v>0</v>
      </c>
      <c r="V272" s="148" t="str">
        <f>IFERROR(__xludf.DUMMYFUNCTION("""COMPUTED_VALUE"""),"[]")</f>
        <v>[]</v>
      </c>
      <c r="W272" s="148">
        <f>IFERROR(__xludf.DUMMYFUNCTION("""COMPUTED_VALUE"""),1.174E7)</f>
        <v>11740000</v>
      </c>
      <c r="X272" s="148">
        <f>IFERROR(__xludf.DUMMYFUNCTION("""COMPUTED_VALUE"""),0.0)</f>
        <v>0</v>
      </c>
      <c r="Y272" s="148">
        <f>IFERROR(__xludf.DUMMYFUNCTION("""COMPUTED_VALUE"""),0.0)</f>
        <v>0</v>
      </c>
      <c r="Z272" s="148"/>
    </row>
    <row r="273">
      <c r="A273" s="148">
        <f>IFERROR(__xludf.DUMMYFUNCTION("""COMPUTED_VALUE"""),1.1112064E7)</f>
        <v>11112064</v>
      </c>
      <c r="B273" s="148" t="str">
        <f>IFERROR(__xludf.DUMMYFUNCTION("""COMPUTED_VALUE"""),"2024情人节行军特效-玫瑰誓约-7天限时")</f>
        <v>2024情人节行军特效-玫瑰誓约-7天限时</v>
      </c>
      <c r="C273" s="148"/>
      <c r="D273" s="148" t="str">
        <f>IFERROR(__xludf.DUMMYFUNCTION("""COMPUTED_VALUE"""),"marching_effect")</f>
        <v>marching_effect</v>
      </c>
      <c r="E273" s="148">
        <f>IFERROR(__xludf.DUMMYFUNCTION("""COMPUTED_VALUE"""),0.0)</f>
        <v>0</v>
      </c>
      <c r="F273" s="148">
        <f>IFERROR(__xludf.DUMMYFUNCTION("""COMPUTED_VALUE"""),408198.0)</f>
        <v>408198</v>
      </c>
      <c r="G273" s="148">
        <f>IFERROR(__xludf.DUMMYFUNCTION("""COMPUTED_VALUE"""),1.5118051E7)</f>
        <v>15118051</v>
      </c>
      <c r="H273" s="148">
        <f>IFERROR(__xludf.DUMMYFUNCTION("""COMPUTED_VALUE"""),1.5112562E7)</f>
        <v>15112562</v>
      </c>
      <c r="I273" s="148" t="str">
        <f>IFERROR(__xludf.DUMMYFUNCTION("""COMPUTED_VALUE"""),"{""typ"":""lc"",""txt"":""LC_ITEM_time_day_upper_show"",""args"":[{""typ"":""int_unit"",""val"":7}]}")</f>
        <v>{"typ":"lc","txt":"LC_ITEM_time_day_upper_show","args":[{"typ":"int_unit","val":7}]}</v>
      </c>
      <c r="J273" s="148" t="str">
        <f>IFERROR(__xludf.DUMMYFUNCTION("""COMPUTED_VALUE"""),"{""typ"":""lc"",""txt"":""LC_ITEM_valentine_marcheffect_2024_title""}")</f>
        <v>{"typ":"lc","txt":"LC_ITEM_valentine_marcheffect_2024_title"}</v>
      </c>
      <c r="K273" s="148" t="str">
        <f>IFERROR(__xludf.DUMMYFUNCTION("""COMPUTED_VALUE"""),"{""typ"":""lc"",""txt"":""LC_ITEM_valentine_marcheffect_2024_desc""}")</f>
        <v>{"typ":"lc","txt":"LC_ITEM_valentine_marcheffect_2024_desc"}</v>
      </c>
      <c r="L273" s="148" t="str">
        <f>IFERROR(__xludf.DUMMYFUNCTION("""COMPUTED_VALUE"""),"{""typ"":""lc"",""txt"":""LC_ITEM_valentine_marcheffect_2024_usetip_2_7d""}")</f>
        <v>{"typ":"lc","txt":"LC_ITEM_valentine_marcheffect_2024_usetip_2_7d"}</v>
      </c>
      <c r="M273" s="148">
        <f>IFERROR(__xludf.DUMMYFUNCTION("""COMPUTED_VALUE"""),500.0)</f>
        <v>500</v>
      </c>
      <c r="N273" s="148">
        <f>IFERROR(__xludf.DUMMYFUNCTION("""COMPUTED_VALUE"""),999999.0)</f>
        <v>999999</v>
      </c>
      <c r="O273" s="148">
        <f>IFERROR(__xludf.DUMMYFUNCTION("""COMPUTED_VALUE"""),99999.0)</f>
        <v>99999</v>
      </c>
      <c r="P273" s="148">
        <f>IFERROR(__xludf.DUMMYFUNCTION("""COMPUTED_VALUE"""),1.0)</f>
        <v>1</v>
      </c>
      <c r="Q273" s="148" t="str">
        <f>IFERROR(__xludf.DUMMYFUNCTION("""COMPUTED_VALUE"""),"[""bag_other""]")</f>
        <v>["bag_other"]</v>
      </c>
      <c r="R273" s="148" t="str">
        <f>IFERROR(__xludf.DUMMYFUNCTION("""COMPUTED_VALUE"""),"[""bag"",""13650117""]")</f>
        <v>["bag","13650117"]</v>
      </c>
      <c r="S273" s="148" t="str">
        <f>IFERROR(__xludf.DUMMYFUNCTION("""COMPUTED_VALUE"""),"{""effect"":[{""typ"":""marching_effect"",""id"":13650117,""val"":604800000},{""typ"":""vm"",""id"":11151001,""val"":500}]}")</f>
        <v>{"effect":[{"typ":"marching_effect","id":13650117,"val":604800000},{"typ":"vm","id":11151001,"val":500}]}</v>
      </c>
      <c r="T273" s="148">
        <f>IFERROR(__xludf.DUMMYFUNCTION("""COMPUTED_VALUE"""),-1.0)</f>
        <v>-1</v>
      </c>
      <c r="U273" s="148">
        <f>IFERROR(__xludf.DUMMYFUNCTION("""COMPUTED_VALUE"""),0.0)</f>
        <v>0</v>
      </c>
      <c r="V273" s="148" t="str">
        <f>IFERROR(__xludf.DUMMYFUNCTION("""COMPUTED_VALUE"""),"[]")</f>
        <v>[]</v>
      </c>
      <c r="W273" s="148">
        <f>IFERROR(__xludf.DUMMYFUNCTION("""COMPUTED_VALUE"""),1.174E7)</f>
        <v>11740000</v>
      </c>
      <c r="X273" s="148">
        <f>IFERROR(__xludf.DUMMYFUNCTION("""COMPUTED_VALUE"""),0.0)</f>
        <v>0</v>
      </c>
      <c r="Y273" s="148">
        <f>IFERROR(__xludf.DUMMYFUNCTION("""COMPUTED_VALUE"""),0.0)</f>
        <v>0</v>
      </c>
      <c r="Z273" s="148"/>
    </row>
    <row r="274">
      <c r="A274" s="148">
        <f>IFERROR(__xludf.DUMMYFUNCTION("""COMPUTED_VALUE"""),1.1112065E7)</f>
        <v>11112065</v>
      </c>
      <c r="B274" s="148" t="str">
        <f>IFERROR(__xludf.DUMMYFUNCTION("""COMPUTED_VALUE"""),"2024情人节行军特效-玫瑰誓约-14天限时")</f>
        <v>2024情人节行军特效-玫瑰誓约-14天限时</v>
      </c>
      <c r="C274" s="148"/>
      <c r="D274" s="148" t="str">
        <f>IFERROR(__xludf.DUMMYFUNCTION("""COMPUTED_VALUE"""),"marching_effect")</f>
        <v>marching_effect</v>
      </c>
      <c r="E274" s="148">
        <f>IFERROR(__xludf.DUMMYFUNCTION("""COMPUTED_VALUE"""),0.0)</f>
        <v>0</v>
      </c>
      <c r="F274" s="148">
        <f>IFERROR(__xludf.DUMMYFUNCTION("""COMPUTED_VALUE"""),408197.0)</f>
        <v>408197</v>
      </c>
      <c r="G274" s="148">
        <f>IFERROR(__xludf.DUMMYFUNCTION("""COMPUTED_VALUE"""),1.5118051E7)</f>
        <v>15118051</v>
      </c>
      <c r="H274" s="148">
        <f>IFERROR(__xludf.DUMMYFUNCTION("""COMPUTED_VALUE"""),1.5112563E7)</f>
        <v>15112563</v>
      </c>
      <c r="I274" s="148" t="str">
        <f>IFERROR(__xludf.DUMMYFUNCTION("""COMPUTED_VALUE"""),"{""typ"":""lc"",""txt"":""LC_ITEM_time_day_upper_show"",""args"":[{""typ"":""int_unit"",""val"":14}]}")</f>
        <v>{"typ":"lc","txt":"LC_ITEM_time_day_upper_show","args":[{"typ":"int_unit","val":14}]}</v>
      </c>
      <c r="J274" s="148" t="str">
        <f>IFERROR(__xludf.DUMMYFUNCTION("""COMPUTED_VALUE"""),"{""typ"":""lc"",""txt"":""LC_ITEM_valentine_marcheffect_2024_title""}")</f>
        <v>{"typ":"lc","txt":"LC_ITEM_valentine_marcheffect_2024_title"}</v>
      </c>
      <c r="K274" s="148" t="str">
        <f>IFERROR(__xludf.DUMMYFUNCTION("""COMPUTED_VALUE"""),"{""typ"":""lc"",""txt"":""LC_ITEM_valentine_marcheffect_2024_desc""}")</f>
        <v>{"typ":"lc","txt":"LC_ITEM_valentine_marcheffect_2024_desc"}</v>
      </c>
      <c r="L274" s="148" t="str">
        <f>IFERROR(__xludf.DUMMYFUNCTION("""COMPUTED_VALUE"""),"{""typ"":""lc"",""txt"":""LC_ITEM_valentine_marcheffect_2024_usetip_2_14d""}")</f>
        <v>{"typ":"lc","txt":"LC_ITEM_valentine_marcheffect_2024_usetip_2_14d"}</v>
      </c>
      <c r="M274" s="148">
        <f>IFERROR(__xludf.DUMMYFUNCTION("""COMPUTED_VALUE"""),1000.0)</f>
        <v>1000</v>
      </c>
      <c r="N274" s="148">
        <f>IFERROR(__xludf.DUMMYFUNCTION("""COMPUTED_VALUE"""),999999.0)</f>
        <v>999999</v>
      </c>
      <c r="O274" s="148">
        <f>IFERROR(__xludf.DUMMYFUNCTION("""COMPUTED_VALUE"""),99999.0)</f>
        <v>99999</v>
      </c>
      <c r="P274" s="148">
        <f>IFERROR(__xludf.DUMMYFUNCTION("""COMPUTED_VALUE"""),1.0)</f>
        <v>1</v>
      </c>
      <c r="Q274" s="148" t="str">
        <f>IFERROR(__xludf.DUMMYFUNCTION("""COMPUTED_VALUE"""),"[""bag_other""]")</f>
        <v>["bag_other"]</v>
      </c>
      <c r="R274" s="148" t="str">
        <f>IFERROR(__xludf.DUMMYFUNCTION("""COMPUTED_VALUE"""),"[""bag"",""13650117""]")</f>
        <v>["bag","13650117"]</v>
      </c>
      <c r="S274" s="148" t="str">
        <f>IFERROR(__xludf.DUMMYFUNCTION("""COMPUTED_VALUE"""),"{""effect"":[{""typ"":""marching_effect"",""id"":13650117,""val"":1209600000},{""typ"":""vm"",""id"":11151001,""val"":1000}]}")</f>
        <v>{"effect":[{"typ":"marching_effect","id":13650117,"val":1209600000},{"typ":"vm","id":11151001,"val":1000}]}</v>
      </c>
      <c r="T274" s="148">
        <f>IFERROR(__xludf.DUMMYFUNCTION("""COMPUTED_VALUE"""),-1.0)</f>
        <v>-1</v>
      </c>
      <c r="U274" s="148">
        <f>IFERROR(__xludf.DUMMYFUNCTION("""COMPUTED_VALUE"""),0.0)</f>
        <v>0</v>
      </c>
      <c r="V274" s="148" t="str">
        <f>IFERROR(__xludf.DUMMYFUNCTION("""COMPUTED_VALUE"""),"[]")</f>
        <v>[]</v>
      </c>
      <c r="W274" s="148">
        <f>IFERROR(__xludf.DUMMYFUNCTION("""COMPUTED_VALUE"""),1.174E7)</f>
        <v>11740000</v>
      </c>
      <c r="X274" s="148">
        <f>IFERROR(__xludf.DUMMYFUNCTION("""COMPUTED_VALUE"""),0.0)</f>
        <v>0</v>
      </c>
      <c r="Y274" s="148">
        <f>IFERROR(__xludf.DUMMYFUNCTION("""COMPUTED_VALUE"""),0.0)</f>
        <v>0</v>
      </c>
      <c r="Z274" s="148"/>
    </row>
    <row r="275">
      <c r="A275" s="148">
        <f>IFERROR(__xludf.DUMMYFUNCTION("""COMPUTED_VALUE"""),1.1112066E7)</f>
        <v>11112066</v>
      </c>
      <c r="B275" s="148" t="str">
        <f>IFERROR(__xludf.DUMMYFUNCTION("""COMPUTED_VALUE"""),"2024情人节行军特效-玫瑰誓约-30天限时")</f>
        <v>2024情人节行军特效-玫瑰誓约-30天限时</v>
      </c>
      <c r="C275" s="148"/>
      <c r="D275" s="148" t="str">
        <f>IFERROR(__xludf.DUMMYFUNCTION("""COMPUTED_VALUE"""),"marching_effect")</f>
        <v>marching_effect</v>
      </c>
      <c r="E275" s="148">
        <f>IFERROR(__xludf.DUMMYFUNCTION("""COMPUTED_VALUE"""),0.0)</f>
        <v>0</v>
      </c>
      <c r="F275" s="148">
        <f>IFERROR(__xludf.DUMMYFUNCTION("""COMPUTED_VALUE"""),408197.0)</f>
        <v>408197</v>
      </c>
      <c r="G275" s="148">
        <f>IFERROR(__xludf.DUMMYFUNCTION("""COMPUTED_VALUE"""),1.5118051E7)</f>
        <v>15118051</v>
      </c>
      <c r="H275" s="148">
        <f>IFERROR(__xludf.DUMMYFUNCTION("""COMPUTED_VALUE"""),1.5112563E7)</f>
        <v>15112563</v>
      </c>
      <c r="I275" s="148" t="str">
        <f>IFERROR(__xludf.DUMMYFUNCTION("""COMPUTED_VALUE"""),"{""typ"":""lc"",""txt"":""LC_ITEM_time_day_upper_show"",""args"":[{""typ"":""int_unit"",""val"":14}]}")</f>
        <v>{"typ":"lc","txt":"LC_ITEM_time_day_upper_show","args":[{"typ":"int_unit","val":14}]}</v>
      </c>
      <c r="J275" s="148" t="str">
        <f>IFERROR(__xludf.DUMMYFUNCTION("""COMPUTED_VALUE"""),"{""typ"":""lc"",""txt"":""LC_ITEM_valentine_marcheffect_2024_title""}")</f>
        <v>{"typ":"lc","txt":"LC_ITEM_valentine_marcheffect_2024_title"}</v>
      </c>
      <c r="K275" s="148" t="str">
        <f>IFERROR(__xludf.DUMMYFUNCTION("""COMPUTED_VALUE"""),"{""typ"":""lc"",""txt"":""LC_ITEM_valentine_marcheffect_2024_desc""}")</f>
        <v>{"typ":"lc","txt":"LC_ITEM_valentine_marcheffect_2024_desc"}</v>
      </c>
      <c r="L275" s="148" t="str">
        <f>IFERROR(__xludf.DUMMYFUNCTION("""COMPUTED_VALUE"""),"{""typ"":""lc"",""txt"":""LC_ITEM_valentine_marcheffect_2024_usetip_2_30d""}")</f>
        <v>{"typ":"lc","txt":"LC_ITEM_valentine_marcheffect_2024_usetip_2_30d"}</v>
      </c>
      <c r="M275" s="148">
        <f>IFERROR(__xludf.DUMMYFUNCTION("""COMPUTED_VALUE"""),1000.0)</f>
        <v>1000</v>
      </c>
      <c r="N275" s="148">
        <f>IFERROR(__xludf.DUMMYFUNCTION("""COMPUTED_VALUE"""),999999.0)</f>
        <v>999999</v>
      </c>
      <c r="O275" s="148">
        <f>IFERROR(__xludf.DUMMYFUNCTION("""COMPUTED_VALUE"""),99999.0)</f>
        <v>99999</v>
      </c>
      <c r="P275" s="148">
        <f>IFERROR(__xludf.DUMMYFUNCTION("""COMPUTED_VALUE"""),1.0)</f>
        <v>1</v>
      </c>
      <c r="Q275" s="148" t="str">
        <f>IFERROR(__xludf.DUMMYFUNCTION("""COMPUTED_VALUE"""),"[""bag_other""]")</f>
        <v>["bag_other"]</v>
      </c>
      <c r="R275" s="148" t="str">
        <f>IFERROR(__xludf.DUMMYFUNCTION("""COMPUTED_VALUE"""),"[""bag"",""13650117""]")</f>
        <v>["bag","13650117"]</v>
      </c>
      <c r="S275" s="148" t="str">
        <f>IFERROR(__xludf.DUMMYFUNCTION("""COMPUTED_VALUE"""),"{""effect"":[{""typ"":""marching_effect"",""id"":13650117,""val"":2592000000},{""typ"":""vm"",""id"":11151001,""val"":1000}]}")</f>
        <v>{"effect":[{"typ":"marching_effect","id":13650117,"val":2592000000},{"typ":"vm","id":11151001,"val":1000}]}</v>
      </c>
      <c r="T275" s="148">
        <f>IFERROR(__xludf.DUMMYFUNCTION("""COMPUTED_VALUE"""),-1.0)</f>
        <v>-1</v>
      </c>
      <c r="U275" s="148">
        <f>IFERROR(__xludf.DUMMYFUNCTION("""COMPUTED_VALUE"""),0.0)</f>
        <v>0</v>
      </c>
      <c r="V275" s="148" t="str">
        <f>IFERROR(__xludf.DUMMYFUNCTION("""COMPUTED_VALUE"""),"[]")</f>
        <v>[]</v>
      </c>
      <c r="W275" s="148">
        <f>IFERROR(__xludf.DUMMYFUNCTION("""COMPUTED_VALUE"""),1.174E7)</f>
        <v>11740000</v>
      </c>
      <c r="X275" s="148">
        <f>IFERROR(__xludf.DUMMYFUNCTION("""COMPUTED_VALUE"""),0.0)</f>
        <v>0</v>
      </c>
      <c r="Y275" s="148">
        <f>IFERROR(__xludf.DUMMYFUNCTION("""COMPUTED_VALUE"""),0.0)</f>
        <v>0</v>
      </c>
      <c r="Z275" s="148"/>
    </row>
    <row r="276">
      <c r="A276" s="148">
        <f>IFERROR(__xludf.DUMMYFUNCTION("""COMPUTED_VALUE"""),1.1112067E7)</f>
        <v>11112067</v>
      </c>
      <c r="B276" s="148" t="str">
        <f>IFERROR(__xludf.DUMMYFUNCTION("""COMPUTED_VALUE"""),"2024情人节行军特效-玫瑰誓约-永久")</f>
        <v>2024情人节行军特效-玫瑰誓约-永久</v>
      </c>
      <c r="C276" s="148"/>
      <c r="D276" s="148" t="str">
        <f>IFERROR(__xludf.DUMMYFUNCTION("""COMPUTED_VALUE"""),"marching_effect")</f>
        <v>marching_effect</v>
      </c>
      <c r="E276" s="148">
        <f>IFERROR(__xludf.DUMMYFUNCTION("""COMPUTED_VALUE"""),0.0)</f>
        <v>0</v>
      </c>
      <c r="F276" s="148">
        <f>IFERROR(__xludf.DUMMYFUNCTION("""COMPUTED_VALUE"""),408195.0)</f>
        <v>408195</v>
      </c>
      <c r="G276" s="148">
        <f>IFERROR(__xludf.DUMMYFUNCTION("""COMPUTED_VALUE"""),1.5118051E7)</f>
        <v>15118051</v>
      </c>
      <c r="H276" s="148">
        <f>IFERROR(__xludf.DUMMYFUNCTION("""COMPUTED_VALUE"""),1.5112564E7)</f>
        <v>15112564</v>
      </c>
      <c r="I276" s="148" t="str">
        <f>IFERROR(__xludf.DUMMYFUNCTION("""COMPUTED_VALUE"""),"{}")</f>
        <v>{}</v>
      </c>
      <c r="J276" s="148" t="str">
        <f>IFERROR(__xludf.DUMMYFUNCTION("""COMPUTED_VALUE"""),"{""typ"":""lc"",""txt"":""LC_ITEM_valentine_marcheffect_2024_title""}")</f>
        <v>{"typ":"lc","txt":"LC_ITEM_valentine_marcheffect_2024_title"}</v>
      </c>
      <c r="K276" s="148" t="str">
        <f>IFERROR(__xludf.DUMMYFUNCTION("""COMPUTED_VALUE"""),"{""typ"":""lc"",""txt"":""LC_ITEM_valentine_marcheffect_2024_desc""}")</f>
        <v>{"typ":"lc","txt":"LC_ITEM_valentine_marcheffect_2024_desc"}</v>
      </c>
      <c r="L276" s="148" t="str">
        <f>IFERROR(__xludf.DUMMYFUNCTION("""COMPUTED_VALUE"""),"{""typ"":""lc"",""txt"":""LC_ITEM_valentine_marcheffect_2024_usetip""}")</f>
        <v>{"typ":"lc","txt":"LC_ITEM_valentine_marcheffect_2024_usetip"}</v>
      </c>
      <c r="M276" s="148">
        <f>IFERROR(__xludf.DUMMYFUNCTION("""COMPUTED_VALUE"""),5000.0)</f>
        <v>5000</v>
      </c>
      <c r="N276" s="148">
        <f>IFERROR(__xludf.DUMMYFUNCTION("""COMPUTED_VALUE"""),999999.0)</f>
        <v>999999</v>
      </c>
      <c r="O276" s="148">
        <f>IFERROR(__xludf.DUMMYFUNCTION("""COMPUTED_VALUE"""),99999.0)</f>
        <v>99999</v>
      </c>
      <c r="P276" s="148">
        <f>IFERROR(__xludf.DUMMYFUNCTION("""COMPUTED_VALUE"""),1.0)</f>
        <v>1</v>
      </c>
      <c r="Q276" s="148" t="str">
        <f>IFERROR(__xludf.DUMMYFUNCTION("""COMPUTED_VALUE"""),"[""bag_other""]")</f>
        <v>["bag_other"]</v>
      </c>
      <c r="R276" s="148" t="str">
        <f>IFERROR(__xludf.DUMMYFUNCTION("""COMPUTED_VALUE"""),"[""bag"",""13650117""]")</f>
        <v>["bag","13650117"]</v>
      </c>
      <c r="S276" s="148" t="str">
        <f>IFERROR(__xludf.DUMMYFUNCTION("""COMPUTED_VALUE"""),"{""effect"":[{""typ"":""marching_effect"",""id"":13650117,""val"":-1},{""typ"":""vm"",""id"":11151001,""val"":2500}]}")</f>
        <v>{"effect":[{"typ":"marching_effect","id":13650117,"val":-1},{"typ":"vm","id":11151001,"val":2500}]}</v>
      </c>
      <c r="T276" s="148">
        <f>IFERROR(__xludf.DUMMYFUNCTION("""COMPUTED_VALUE"""),-1.0)</f>
        <v>-1</v>
      </c>
      <c r="U276" s="148">
        <f>IFERROR(__xludf.DUMMYFUNCTION("""COMPUTED_VALUE"""),0.0)</f>
        <v>0</v>
      </c>
      <c r="V276" s="148" t="str">
        <f>IFERROR(__xludf.DUMMYFUNCTION("""COMPUTED_VALUE"""),"[]")</f>
        <v>[]</v>
      </c>
      <c r="W276" s="148">
        <f>IFERROR(__xludf.DUMMYFUNCTION("""COMPUTED_VALUE"""),1.174E7)</f>
        <v>11740000</v>
      </c>
      <c r="X276" s="148">
        <f>IFERROR(__xludf.DUMMYFUNCTION("""COMPUTED_VALUE"""),0.0)</f>
        <v>0</v>
      </c>
      <c r="Y276" s="148">
        <f>IFERROR(__xludf.DUMMYFUNCTION("""COMPUTED_VALUE"""),0.0)</f>
        <v>0</v>
      </c>
      <c r="Z276" s="148"/>
    </row>
    <row r="277">
      <c r="A277" s="148">
        <f>IFERROR(__xludf.DUMMYFUNCTION("""COMPUTED_VALUE"""),1.1112068E7)</f>
        <v>11112068</v>
      </c>
      <c r="B277" s="148" t="str">
        <f>IFERROR(__xludf.DUMMYFUNCTION("""COMPUTED_VALUE"""),"2024情人节铭牌-情猿花语")</f>
        <v>2024情人节铭牌-情猿花语</v>
      </c>
      <c r="C277" s="148"/>
      <c r="D277" s="148" t="str">
        <f>IFERROR(__xludf.DUMMYFUNCTION("""COMPUTED_VALUE"""),"chat_skin")</f>
        <v>chat_skin</v>
      </c>
      <c r="E277" s="148">
        <f>IFERROR(__xludf.DUMMYFUNCTION("""COMPUTED_VALUE"""),30.0)</f>
        <v>30</v>
      </c>
      <c r="F277" s="148">
        <f>IFERROR(__xludf.DUMMYFUNCTION("""COMPUTED_VALUE"""),401107.0)</f>
        <v>401107</v>
      </c>
      <c r="G277" s="148">
        <f>IFERROR(__xludf.DUMMYFUNCTION("""COMPUTED_VALUE"""),1.5118052E7)</f>
        <v>15118052</v>
      </c>
      <c r="H277" s="148">
        <f>IFERROR(__xludf.DUMMYFUNCTION("""COMPUTED_VALUE"""),1.5112564E7)</f>
        <v>15112564</v>
      </c>
      <c r="I277" s="148" t="str">
        <f>IFERROR(__xludf.DUMMYFUNCTION("""COMPUTED_VALUE"""),"{}")</f>
        <v>{}</v>
      </c>
      <c r="J277" s="148" t="str">
        <f>IFERROR(__xludf.DUMMYFUNCTION("""COMPUTED_VALUE"""),"{""typ"":""lc"",""txt"":""LC_ITEM_2024valentine_nameplate_name""}")</f>
        <v>{"typ":"lc","txt":"LC_ITEM_2024valentine_nameplate_name"}</v>
      </c>
      <c r="K277" s="148" t="str">
        <f>IFERROR(__xludf.DUMMYFUNCTION("""COMPUTED_VALUE"""),"{""typ"":""lc"",""txt"":""LC_ITEM_2024valentine_nameplate_desc_item""}")</f>
        <v>{"typ":"lc","txt":"LC_ITEM_2024valentine_nameplate_desc_item"}</v>
      </c>
      <c r="L277" s="148" t="str">
        <f>IFERROR(__xludf.DUMMYFUNCTION("""COMPUTED_VALUE"""),"{""typ"":""lc"",""txt"":""LC_ITEM_season_extra_reward_usedtip""}")</f>
        <v>{"typ":"lc","txt":"LC_ITEM_season_extra_reward_usedtip"}</v>
      </c>
      <c r="M277" s="148">
        <f>IFERROR(__xludf.DUMMYFUNCTION("""COMPUTED_VALUE"""),2500.0)</f>
        <v>2500</v>
      </c>
      <c r="N277" s="148">
        <f>IFERROR(__xludf.DUMMYFUNCTION("""COMPUTED_VALUE"""),9999999.0)</f>
        <v>9999999</v>
      </c>
      <c r="O277" s="148">
        <f>IFERROR(__xludf.DUMMYFUNCTION("""COMPUTED_VALUE"""),1.0)</f>
        <v>1</v>
      </c>
      <c r="P277" s="148">
        <f>IFERROR(__xludf.DUMMYFUNCTION("""COMPUTED_VALUE"""),1.0)</f>
        <v>1</v>
      </c>
      <c r="Q277" s="148" t="str">
        <f>IFERROR(__xludf.DUMMYFUNCTION("""COMPUTED_VALUE"""),"[""bag_other""]")</f>
        <v>["bag_other"]</v>
      </c>
      <c r="R277" s="148" t="str">
        <f>IFERROR(__xludf.DUMMYFUNCTION("""COMPUTED_VALUE"""),"[""11731019"",""bag""]")</f>
        <v>["11731019","bag"]</v>
      </c>
      <c r="S277" s="148" t="str">
        <f>IFERROR(__xludf.DUMMYFUNCTION("""COMPUTED_VALUE"""),"{""effect"":[{""typ"":""nameplate"",""id"":11731019,""val"":-1}]}")</f>
        <v>{"effect":[{"typ":"nameplate","id":11731019,"val":-1}]}</v>
      </c>
      <c r="T277" s="148">
        <f>IFERROR(__xludf.DUMMYFUNCTION("""COMPUTED_VALUE"""),-1.0)</f>
        <v>-1</v>
      </c>
      <c r="U277" s="148">
        <f>IFERROR(__xludf.DUMMYFUNCTION("""COMPUTED_VALUE"""),0.0)</f>
        <v>0</v>
      </c>
      <c r="V277" s="148" t="str">
        <f>IFERROR(__xludf.DUMMYFUNCTION("""COMPUTED_VALUE"""),"[]")</f>
        <v>[]</v>
      </c>
      <c r="W277" s="148">
        <f>IFERROR(__xludf.DUMMYFUNCTION("""COMPUTED_VALUE"""),1.174E7)</f>
        <v>11740000</v>
      </c>
      <c r="X277" s="148">
        <f>IFERROR(__xludf.DUMMYFUNCTION("""COMPUTED_VALUE"""),0.0)</f>
        <v>0</v>
      </c>
      <c r="Y277" s="148">
        <f>IFERROR(__xludf.DUMMYFUNCTION("""COMPUTED_VALUE"""),0.0)</f>
        <v>0</v>
      </c>
      <c r="Z277" s="148"/>
    </row>
    <row r="278">
      <c r="A278" s="148">
        <f>IFERROR(__xludf.DUMMYFUNCTION("""COMPUTED_VALUE"""),1.1112069E7)</f>
        <v>11112069</v>
      </c>
      <c r="B278" s="148" t="str">
        <f>IFERROR(__xludf.DUMMYFUNCTION("""COMPUTED_VALUE"""),"2024情人节BattlePass-初级通行证")</f>
        <v>2024情人节BattlePass-初级通行证</v>
      </c>
      <c r="C278" s="148"/>
      <c r="D278" s="148" t="str">
        <f>IFERROR(__xludf.DUMMYFUNCTION("""COMPUTED_VALUE"""),"battle_pass_card")</f>
        <v>battle_pass_card</v>
      </c>
      <c r="E278" s="148">
        <f>IFERROR(__xludf.DUMMYFUNCTION("""COMPUTED_VALUE"""),0.0)</f>
        <v>0</v>
      </c>
      <c r="F278" s="148">
        <f>IFERROR(__xludf.DUMMYFUNCTION("""COMPUTED_VALUE"""),0.0)</f>
        <v>0</v>
      </c>
      <c r="G278" s="148">
        <f>IFERROR(__xludf.DUMMYFUNCTION("""COMPUTED_VALUE"""),1.5113625E7)</f>
        <v>15113625</v>
      </c>
      <c r="H278" s="148">
        <f>IFERROR(__xludf.DUMMYFUNCTION("""COMPUTED_VALUE"""),1.5112563E7)</f>
        <v>15112563</v>
      </c>
      <c r="I278" s="148" t="str">
        <f>IFERROR(__xludf.DUMMYFUNCTION("""COMPUTED_VALUE"""),"{}")</f>
        <v>{}</v>
      </c>
      <c r="J278" s="148" t="str">
        <f>IFERROR(__xludf.DUMMYFUNCTION("""COMPUTED_VALUE"""),"{""typ"":""lc"",""txt"":""LC_IAP_classic_2023_valentine_gift""}")</f>
        <v>{"typ":"lc","txt":"LC_IAP_classic_2023_valentine_gift"}</v>
      </c>
      <c r="K278" s="148" t="str">
        <f>IFERROR(__xludf.DUMMYFUNCTION("""COMPUTED_VALUE"""),"{}")</f>
        <v>{}</v>
      </c>
      <c r="L278" s="148" t="str">
        <f>IFERROR(__xludf.DUMMYFUNCTION("""COMPUTED_VALUE"""),"{}")</f>
        <v>{}</v>
      </c>
      <c r="M278" s="148">
        <f>IFERROR(__xludf.DUMMYFUNCTION("""COMPUTED_VALUE"""),10.0)</f>
        <v>10</v>
      </c>
      <c r="N278" s="148">
        <f>IFERROR(__xludf.DUMMYFUNCTION("""COMPUTED_VALUE"""),999999.0)</f>
        <v>999999</v>
      </c>
      <c r="O278" s="148">
        <f>IFERROR(__xludf.DUMMYFUNCTION("""COMPUTED_VALUE"""),99999.0)</f>
        <v>99999</v>
      </c>
      <c r="P278" s="148">
        <f>IFERROR(__xludf.DUMMYFUNCTION("""COMPUTED_VALUE"""),9999.0)</f>
        <v>9999</v>
      </c>
      <c r="Q278" s="148" t="str">
        <f>IFERROR(__xludf.DUMMYFUNCTION("""COMPUTED_VALUE"""),"[]")</f>
        <v>[]</v>
      </c>
      <c r="R278" s="148" t="str">
        <f>IFERROR(__xludf.DUMMYFUNCTION("""COMPUTED_VALUE"""),"[]")</f>
        <v>[]</v>
      </c>
      <c r="S278" s="148" t="str">
        <f>IFERROR(__xludf.DUMMYFUNCTION("""COMPUTED_VALUE"""),"{}")</f>
        <v>{}</v>
      </c>
      <c r="T278" s="148">
        <f>IFERROR(__xludf.DUMMYFUNCTION("""COMPUTED_VALUE"""),-1.0)</f>
        <v>-1</v>
      </c>
      <c r="U278" s="148">
        <f>IFERROR(__xludf.DUMMYFUNCTION("""COMPUTED_VALUE"""),1.0)</f>
        <v>1</v>
      </c>
      <c r="V278" s="148" t="str">
        <f>IFERROR(__xludf.DUMMYFUNCTION("""COMPUTED_VALUE"""),"[]")</f>
        <v>[]</v>
      </c>
      <c r="W278" s="148">
        <f>IFERROR(__xludf.DUMMYFUNCTION("""COMPUTED_VALUE"""),1.174E7)</f>
        <v>11740000</v>
      </c>
      <c r="X278" s="148">
        <f>IFERROR(__xludf.DUMMYFUNCTION("""COMPUTED_VALUE"""),0.0)</f>
        <v>0</v>
      </c>
      <c r="Y278" s="148">
        <f>IFERROR(__xludf.DUMMYFUNCTION("""COMPUTED_VALUE"""),0.0)</f>
        <v>0</v>
      </c>
      <c r="Z278" s="148"/>
    </row>
    <row r="279">
      <c r="A279" s="148">
        <f>IFERROR(__xludf.DUMMYFUNCTION("""COMPUTED_VALUE"""),1.111207E7)</f>
        <v>11112070</v>
      </c>
      <c r="B279" s="148" t="str">
        <f>IFERROR(__xludf.DUMMYFUNCTION("""COMPUTED_VALUE"""),"2024情人节BattlePass-高级通行证")</f>
        <v>2024情人节BattlePass-高级通行证</v>
      </c>
      <c r="C279" s="148"/>
      <c r="D279" s="148" t="str">
        <f>IFERROR(__xludf.DUMMYFUNCTION("""COMPUTED_VALUE"""),"battle_pass_card")</f>
        <v>battle_pass_card</v>
      </c>
      <c r="E279" s="148">
        <f>IFERROR(__xludf.DUMMYFUNCTION("""COMPUTED_VALUE"""),0.0)</f>
        <v>0</v>
      </c>
      <c r="F279" s="148">
        <f>IFERROR(__xludf.DUMMYFUNCTION("""COMPUTED_VALUE"""),0.0)</f>
        <v>0</v>
      </c>
      <c r="G279" s="148">
        <f>IFERROR(__xludf.DUMMYFUNCTION("""COMPUTED_VALUE"""),1.5113625E7)</f>
        <v>15113625</v>
      </c>
      <c r="H279" s="148">
        <f>IFERROR(__xludf.DUMMYFUNCTION("""COMPUTED_VALUE"""),1.5112564E7)</f>
        <v>15112564</v>
      </c>
      <c r="I279" s="148" t="str">
        <f>IFERROR(__xludf.DUMMYFUNCTION("""COMPUTED_VALUE"""),"{}")</f>
        <v>{}</v>
      </c>
      <c r="J279" s="148" t="str">
        <f>IFERROR(__xludf.DUMMYFUNCTION("""COMPUTED_VALUE"""),"{""typ"":""lc"",""txt"":""LC_IAP_luxury_2023_valentine_gift""}")</f>
        <v>{"typ":"lc","txt":"LC_IAP_luxury_2023_valentine_gift"}</v>
      </c>
      <c r="K279" s="148" t="str">
        <f>IFERROR(__xludf.DUMMYFUNCTION("""COMPUTED_VALUE"""),"{}")</f>
        <v>{}</v>
      </c>
      <c r="L279" s="148" t="str">
        <f>IFERROR(__xludf.DUMMYFUNCTION("""COMPUTED_VALUE"""),"{}")</f>
        <v>{}</v>
      </c>
      <c r="M279" s="148">
        <f>IFERROR(__xludf.DUMMYFUNCTION("""COMPUTED_VALUE"""),10.0)</f>
        <v>10</v>
      </c>
      <c r="N279" s="148">
        <f>IFERROR(__xludf.DUMMYFUNCTION("""COMPUTED_VALUE"""),999999.0)</f>
        <v>999999</v>
      </c>
      <c r="O279" s="148">
        <f>IFERROR(__xludf.DUMMYFUNCTION("""COMPUTED_VALUE"""),99999.0)</f>
        <v>99999</v>
      </c>
      <c r="P279" s="148">
        <f>IFERROR(__xludf.DUMMYFUNCTION("""COMPUTED_VALUE"""),9999.0)</f>
        <v>9999</v>
      </c>
      <c r="Q279" s="148" t="str">
        <f>IFERROR(__xludf.DUMMYFUNCTION("""COMPUTED_VALUE"""),"[]")</f>
        <v>[]</v>
      </c>
      <c r="R279" s="148" t="str">
        <f>IFERROR(__xludf.DUMMYFUNCTION("""COMPUTED_VALUE"""),"[]")</f>
        <v>[]</v>
      </c>
      <c r="S279" s="148" t="str">
        <f>IFERROR(__xludf.DUMMYFUNCTION("""COMPUTED_VALUE"""),"{}")</f>
        <v>{}</v>
      </c>
      <c r="T279" s="148">
        <f>IFERROR(__xludf.DUMMYFUNCTION("""COMPUTED_VALUE"""),-1.0)</f>
        <v>-1</v>
      </c>
      <c r="U279" s="148">
        <f>IFERROR(__xludf.DUMMYFUNCTION("""COMPUTED_VALUE"""),1.0)</f>
        <v>1</v>
      </c>
      <c r="V279" s="148" t="str">
        <f>IFERROR(__xludf.DUMMYFUNCTION("""COMPUTED_VALUE"""),"[]")</f>
        <v>[]</v>
      </c>
      <c r="W279" s="148">
        <f>IFERROR(__xludf.DUMMYFUNCTION("""COMPUTED_VALUE"""),1.174E7)</f>
        <v>11740000</v>
      </c>
      <c r="X279" s="148">
        <f>IFERROR(__xludf.DUMMYFUNCTION("""COMPUTED_VALUE"""),0.0)</f>
        <v>0</v>
      </c>
      <c r="Y279" s="148">
        <f>IFERROR(__xludf.DUMMYFUNCTION("""COMPUTED_VALUE"""),0.0)</f>
        <v>0</v>
      </c>
      <c r="Z279" s="148"/>
    </row>
    <row r="280">
      <c r="A280" s="148">
        <f>IFERROR(__xludf.DUMMYFUNCTION("""COMPUTED_VALUE"""),1.1112071E7)</f>
        <v>11112071</v>
      </c>
      <c r="B280" s="148" t="str">
        <f>IFERROR(__xludf.DUMMYFUNCTION("""COMPUTED_VALUE"""),"2024情人节-装饰券宝箱")</f>
        <v>2024情人节-装饰券宝箱</v>
      </c>
      <c r="C280" s="148"/>
      <c r="D280" s="148" t="str">
        <f>IFERROR(__xludf.DUMMYFUNCTION("""COMPUTED_VALUE"""),"valentine_reward_box")</f>
        <v>valentine_reward_box</v>
      </c>
      <c r="E280" s="148">
        <f>IFERROR(__xludf.DUMMYFUNCTION("""COMPUTED_VALUE"""),19.0)</f>
        <v>19</v>
      </c>
      <c r="F280" s="148">
        <f>IFERROR(__xludf.DUMMYFUNCTION("""COMPUTED_VALUE"""),201101.0)</f>
        <v>201101</v>
      </c>
      <c r="G280" s="148">
        <f>IFERROR(__xludf.DUMMYFUNCTION("""COMPUTED_VALUE"""),1.5118225E7)</f>
        <v>15118225</v>
      </c>
      <c r="H280" s="148">
        <f>IFERROR(__xludf.DUMMYFUNCTION("""COMPUTED_VALUE"""),1.5112564E7)</f>
        <v>15112564</v>
      </c>
      <c r="I280" s="148" t="str">
        <f>IFERROR(__xludf.DUMMYFUNCTION("""COMPUTED_VALUE"""),"{}")</f>
        <v>{}</v>
      </c>
      <c r="J280" s="148" t="str">
        <f>IFERROR(__xludf.DUMMYFUNCTION("""COMPUTED_VALUE"""),"{""typ"":""lc"",""txt"":""LC_ITEM_fes_box_name""}")</f>
        <v>{"typ":"lc","txt":"LC_ITEM_fes_box_name"}</v>
      </c>
      <c r="K280" s="148" t="str">
        <f>IFERROR(__xludf.DUMMYFUNCTION("""COMPUTED_VALUE"""),"{""typ"":""lc"",""txt"":""LC_ITEM_fes_box_desc""}")</f>
        <v>{"typ":"lc","txt":"LC_ITEM_fes_box_desc"}</v>
      </c>
      <c r="L280" s="148" t="str">
        <f>IFERROR(__xludf.DUMMYFUNCTION("""COMPUTED_VALUE"""),"{""typ"":""lc"",""txt"":""LC_ITEM_horde_elite_box_usedtip""}")</f>
        <v>{"typ":"lc","txt":"LC_ITEM_horde_elite_box_usedtip"}</v>
      </c>
      <c r="M280" s="148">
        <f>IFERROR(__xludf.DUMMYFUNCTION("""COMPUTED_VALUE"""),40.0)</f>
        <v>40</v>
      </c>
      <c r="N280" s="148">
        <f>IFERROR(__xludf.DUMMYFUNCTION("""COMPUTED_VALUE"""),999999.0)</f>
        <v>999999</v>
      </c>
      <c r="O280" s="148">
        <f>IFERROR(__xludf.DUMMYFUNCTION("""COMPUTED_VALUE"""),99999.0)</f>
        <v>99999</v>
      </c>
      <c r="P280" s="148">
        <f>IFERROR(__xludf.DUMMYFUNCTION("""COMPUTED_VALUE"""),99999.0)</f>
        <v>99999</v>
      </c>
      <c r="Q280" s="148" t="str">
        <f>IFERROR(__xludf.DUMMYFUNCTION("""COMPUTED_VALUE"""),"[""bag_other""]")</f>
        <v>["bag_other"]</v>
      </c>
      <c r="R280" s="148" t="str">
        <f>IFERROR(__xludf.DUMMYFUNCTION("""COMPUTED_VALUE"""),"[""bag""]")</f>
        <v>["bag"]</v>
      </c>
      <c r="S280" s="148" t="str">
        <f>IFERROR(__xludf.DUMMYFUNCTION("""COMPUTED_VALUE"""),"{""drop"":{""typ"":""single_random"",""num"":1,""args"":[{""typ"":""item"",""id"":11112030,""num"":1000,""wgt"":19980},{""typ"":""item"",""id"":11112030,""num"":200,""wgt"":120000},{""typ"":""item"",""id"":11112030,""num"":50,""wgt"":200000},{""typ"":""it"&amp;"em"",""id"":11112080,""num"":1,""wgt"":10},{""typ"":""item"",""id"":11111341,""num"":1,""wgt"":10},{""typ"":""item"",""id"":11112030,""num"":20,""wgt"":400000},{""typ"":""item"",""id"":11112030,""num"":100,""wgt"":200000},{""typ"":""item"",""id"":11112030"&amp;",""num"":400,""wgt"":60000}]}}")</f>
        <v>{"drop":{"typ":"single_random","num":1,"args":[{"typ":"item","id":11112030,"num":1000,"wgt":19980},{"typ":"item","id":11112030,"num":200,"wgt":120000},{"typ":"item","id":11112030,"num":50,"wgt":200000},{"typ":"item","id":11112080,"num":1,"wgt":10},{"typ":"item","id":11111341,"num":1,"wgt":10},{"typ":"item","id":11112030,"num":20,"wgt":400000},{"typ":"item","id":11112030,"num":100,"wgt":200000},{"typ":"item","id":11112030,"num":400,"wgt":60000}]}}</v>
      </c>
      <c r="T280" s="148">
        <f>IFERROR(__xludf.DUMMYFUNCTION("""COMPUTED_VALUE"""),-1.0)</f>
        <v>-1</v>
      </c>
      <c r="U280" s="148">
        <f>IFERROR(__xludf.DUMMYFUNCTION("""COMPUTED_VALUE"""),0.0)</f>
        <v>0</v>
      </c>
      <c r="V280" s="148" t="str">
        <f>IFERROR(__xludf.DUMMYFUNCTION("""COMPUTED_VALUE"""),"[]")</f>
        <v>[]</v>
      </c>
      <c r="W280" s="148">
        <f>IFERROR(__xludf.DUMMYFUNCTION("""COMPUTED_VALUE"""),1.174E7)</f>
        <v>11740000</v>
      </c>
      <c r="X280" s="148">
        <f>IFERROR(__xludf.DUMMYFUNCTION("""COMPUTED_VALUE"""),0.0)</f>
        <v>0</v>
      </c>
      <c r="Y280" s="148">
        <f>IFERROR(__xludf.DUMMYFUNCTION("""COMPUTED_VALUE"""),0.0)</f>
        <v>0</v>
      </c>
      <c r="Z280" s="148"/>
    </row>
    <row r="281">
      <c r="A281" s="148">
        <f>IFERROR(__xludf.DUMMYFUNCTION("""COMPUTED_VALUE"""),1.1112072E7)</f>
        <v>11112072</v>
      </c>
      <c r="B281" s="148" t="str">
        <f>IFERROR(__xludf.DUMMYFUNCTION("""COMPUTED_VALUE"""),"玫瑰花-情人节2024活动GACHA道具")</f>
        <v>玫瑰花-情人节2024活动GACHA道具</v>
      </c>
      <c r="C281" s="148"/>
      <c r="D281" s="148" t="str">
        <f>IFERROR(__xludf.DUMMYFUNCTION("""COMPUTED_VALUE"""),"event")</f>
        <v>event</v>
      </c>
      <c r="E281" s="148">
        <f>IFERROR(__xludf.DUMMYFUNCTION("""COMPUTED_VALUE"""),0.0)</f>
        <v>0</v>
      </c>
      <c r="F281" s="148">
        <f>IFERROR(__xludf.DUMMYFUNCTION("""COMPUTED_VALUE"""),405243.0)</f>
        <v>405243</v>
      </c>
      <c r="G281" s="148">
        <f>IFERROR(__xludf.DUMMYFUNCTION("""COMPUTED_VALUE"""),1.5115834E7)</f>
        <v>15115834</v>
      </c>
      <c r="H281" s="148">
        <f>IFERROR(__xludf.DUMMYFUNCTION("""COMPUTED_VALUE"""),1.5112563E7)</f>
        <v>15112563</v>
      </c>
      <c r="I281" s="148" t="str">
        <f>IFERROR(__xludf.DUMMYFUNCTION("""COMPUTED_VALUE"""),"{}")</f>
        <v>{}</v>
      </c>
      <c r="J281" s="148" t="str">
        <f>IFERROR(__xludf.DUMMYFUNCTION("""COMPUTED_VALUE"""),"{""typ"":""lc"",""txt"":""LC_ITEM_valentine_item_2022_name_2""}")</f>
        <v>{"typ":"lc","txt":"LC_ITEM_valentine_item_2022_name_2"}</v>
      </c>
      <c r="K281" s="148" t="str">
        <f>IFERROR(__xludf.DUMMYFUNCTION("""COMPUTED_VALUE"""),"{""typ"":""lc"",""txt"":""LC_ITEM_valentine_item_2022_desc_2""}")</f>
        <v>{"typ":"lc","txt":"LC_ITEM_valentine_item_2022_desc_2"}</v>
      </c>
      <c r="L281" s="148" t="str">
        <f>IFERROR(__xludf.DUMMYFUNCTION("""COMPUTED_VALUE"""),"{}")</f>
        <v>{}</v>
      </c>
      <c r="M281" s="148">
        <f>IFERROR(__xludf.DUMMYFUNCTION("""COMPUTED_VALUE"""),700.0)</f>
        <v>700</v>
      </c>
      <c r="N281" s="148">
        <f>IFERROR(__xludf.DUMMYFUNCTION("""COMPUTED_VALUE"""),9.99999999E8)</f>
        <v>999999999</v>
      </c>
      <c r="O281" s="148">
        <f>IFERROR(__xludf.DUMMYFUNCTION("""COMPUTED_VALUE"""),9.99999999E8)</f>
        <v>999999999</v>
      </c>
      <c r="P281" s="148">
        <f>IFERROR(__xludf.DUMMYFUNCTION("""COMPUTED_VALUE"""),9.99999999E8)</f>
        <v>999999999</v>
      </c>
      <c r="Q281" s="148" t="str">
        <f>IFERROR(__xludf.DUMMYFUNCTION("""COMPUTED_VALUE"""),"[""bag_other""]")</f>
        <v>["bag_other"]</v>
      </c>
      <c r="R281" s="148" t="str">
        <f>IFERROR(__xludf.DUMMYFUNCTION("""COMPUTED_VALUE"""),"[""bag""]")</f>
        <v>["bag"]</v>
      </c>
      <c r="S281" s="148" t="str">
        <f>IFERROR(__xludf.DUMMYFUNCTION("""COMPUTED_VALUE"""),"{}")</f>
        <v>{}</v>
      </c>
      <c r="T281" s="148">
        <f>IFERROR(__xludf.DUMMYFUNCTION("""COMPUTED_VALUE"""),1.0)</f>
        <v>1</v>
      </c>
      <c r="U281" s="148">
        <f>IFERROR(__xludf.DUMMYFUNCTION("""COMPUTED_VALUE"""),0.0)</f>
        <v>0</v>
      </c>
      <c r="V281" s="148" t="str">
        <f>IFERROR(__xludf.DUMMYFUNCTION("""COMPUTED_VALUE"""),"[]")</f>
        <v>[]</v>
      </c>
      <c r="W281" s="148">
        <f>IFERROR(__xludf.DUMMYFUNCTION("""COMPUTED_VALUE"""),1.174E7)</f>
        <v>11740000</v>
      </c>
      <c r="X281" s="148">
        <f>IFERROR(__xludf.DUMMYFUNCTION("""COMPUTED_VALUE"""),0.0)</f>
        <v>0</v>
      </c>
      <c r="Y281" s="148">
        <f>IFERROR(__xludf.DUMMYFUNCTION("""COMPUTED_VALUE"""),0.0)</f>
        <v>0</v>
      </c>
      <c r="Z281" s="148"/>
    </row>
    <row r="282">
      <c r="A282" s="148">
        <f>IFERROR(__xludf.DUMMYFUNCTION("""COMPUTED_VALUE"""),1.1112073E7)</f>
        <v>11112073</v>
      </c>
      <c r="B282" s="148" t="str">
        <f>IFERROR(__xludf.DUMMYFUNCTION("""COMPUTED_VALUE"""),"情人节2024gacha专用-增加内圈抽奖次数-水晶球")</f>
        <v>情人节2024gacha专用-增加内圈抽奖次数-水晶球</v>
      </c>
      <c r="C282" s="148"/>
      <c r="D282" s="148" t="str">
        <f>IFERROR(__xludf.DUMMYFUNCTION("""COMPUTED_VALUE"""),"event")</f>
        <v>event</v>
      </c>
      <c r="E282" s="148">
        <f>IFERROR(__xludf.DUMMYFUNCTION("""COMPUTED_VALUE"""),0.0)</f>
        <v>0</v>
      </c>
      <c r="F282" s="148">
        <f>IFERROR(__xludf.DUMMYFUNCTION("""COMPUTED_VALUE"""),0.0)</f>
        <v>0</v>
      </c>
      <c r="G282" s="148">
        <f>IFERROR(__xludf.DUMMYFUNCTION("""COMPUTED_VALUE"""),1.5118224E7)</f>
        <v>15118224</v>
      </c>
      <c r="H282" s="148">
        <f>IFERROR(__xludf.DUMMYFUNCTION("""COMPUTED_VALUE"""),1.5112564E7)</f>
        <v>15112564</v>
      </c>
      <c r="I282" s="148" t="str">
        <f>IFERROR(__xludf.DUMMYFUNCTION("""COMPUTED_VALUE"""),"{}")</f>
        <v>{}</v>
      </c>
      <c r="J282" s="148" t="str">
        <f>IFERROR(__xludf.DUMMYFUNCTION("""COMPUTED_VALUE"""),"{""typ"":""lc"",""txt"":""LC_ITEM_valentine_item_2024_name_1""}")</f>
        <v>{"typ":"lc","txt":"LC_ITEM_valentine_item_2024_name_1"}</v>
      </c>
      <c r="K282" s="148" t="str">
        <f>IFERROR(__xludf.DUMMYFUNCTION("""COMPUTED_VALUE"""),"{""typ"":""lc"",""txt"":""LC_ITEM_valentine_item_2024_desc_1""}")</f>
        <v>{"typ":"lc","txt":"LC_ITEM_valentine_item_2024_desc_1"}</v>
      </c>
      <c r="L282" s="148" t="str">
        <f>IFERROR(__xludf.DUMMYFUNCTION("""COMPUTED_VALUE"""),"{}")</f>
        <v>{}</v>
      </c>
      <c r="M282" s="148">
        <f>IFERROR(__xludf.DUMMYFUNCTION("""COMPUTED_VALUE"""),700.0)</f>
        <v>700</v>
      </c>
      <c r="N282" s="148">
        <f>IFERROR(__xludf.DUMMYFUNCTION("""COMPUTED_VALUE"""),9.99999999E8)</f>
        <v>999999999</v>
      </c>
      <c r="O282" s="148">
        <f>IFERROR(__xludf.DUMMYFUNCTION("""COMPUTED_VALUE"""),9.99999999E8)</f>
        <v>999999999</v>
      </c>
      <c r="P282" s="148">
        <f>IFERROR(__xludf.DUMMYFUNCTION("""COMPUTED_VALUE"""),9.99999999E8)</f>
        <v>999999999</v>
      </c>
      <c r="Q282" s="148" t="str">
        <f>IFERROR(__xludf.DUMMYFUNCTION("""COMPUTED_VALUE"""),"[]")</f>
        <v>[]</v>
      </c>
      <c r="R282" s="148" t="str">
        <f>IFERROR(__xludf.DUMMYFUNCTION("""COMPUTED_VALUE"""),"[""bag""]")</f>
        <v>["bag"]</v>
      </c>
      <c r="S282" s="148" t="str">
        <f>IFERROR(__xludf.DUMMYFUNCTION("""COMPUTED_VALUE"""),"{}")</f>
        <v>{}</v>
      </c>
      <c r="T282" s="148">
        <f>IFERROR(__xludf.DUMMYFUNCTION("""COMPUTED_VALUE"""),1.0)</f>
        <v>1</v>
      </c>
      <c r="U282" s="148">
        <f>IFERROR(__xludf.DUMMYFUNCTION("""COMPUTED_VALUE"""),0.0)</f>
        <v>0</v>
      </c>
      <c r="V282" s="148" t="str">
        <f>IFERROR(__xludf.DUMMYFUNCTION("""COMPUTED_VALUE"""),"[]")</f>
        <v>[]</v>
      </c>
      <c r="W282" s="148">
        <f>IFERROR(__xludf.DUMMYFUNCTION("""COMPUTED_VALUE"""),1.174E7)</f>
        <v>11740000</v>
      </c>
      <c r="X282" s="148">
        <f>IFERROR(__xludf.DUMMYFUNCTION("""COMPUTED_VALUE"""),0.0)</f>
        <v>0</v>
      </c>
      <c r="Y282" s="148">
        <f>IFERROR(__xludf.DUMMYFUNCTION("""COMPUTED_VALUE"""),0.0)</f>
        <v>0</v>
      </c>
      <c r="Z282" s="148"/>
    </row>
    <row r="283">
      <c r="A283" s="148">
        <f>IFERROR(__xludf.DUMMYFUNCTION("""COMPUTED_VALUE"""),1.1112074E7)</f>
        <v>11112074</v>
      </c>
      <c r="B283" s="148" t="str">
        <f>IFERROR(__xludf.DUMMYFUNCTION("""COMPUTED_VALUE"""),"情人节2024-7日箱子奖励")</f>
        <v>情人节2024-7日箱子奖励</v>
      </c>
      <c r="C283" s="148"/>
      <c r="D283" s="148" t="str">
        <f>IFERROR(__xludf.DUMMYFUNCTION("""COMPUTED_VALUE"""),"item_asset")</f>
        <v>item_asset</v>
      </c>
      <c r="E283" s="148">
        <f>IFERROR(__xludf.DUMMYFUNCTION("""COMPUTED_VALUE"""),19.0)</f>
        <v>19</v>
      </c>
      <c r="F283" s="148">
        <f>IFERROR(__xludf.DUMMYFUNCTION("""COMPUTED_VALUE"""),201101.0)</f>
        <v>201101</v>
      </c>
      <c r="G283" s="148">
        <f>IFERROR(__xludf.DUMMYFUNCTION("""COMPUTED_VALUE"""),1.5117141E7)</f>
        <v>15117141</v>
      </c>
      <c r="H283" s="148">
        <f>IFERROR(__xludf.DUMMYFUNCTION("""COMPUTED_VALUE"""),1.5112564E7)</f>
        <v>15112564</v>
      </c>
      <c r="I283" s="148" t="str">
        <f>IFERROR(__xludf.DUMMYFUNCTION("""COMPUTED_VALUE"""),"{}")</f>
        <v>{}</v>
      </c>
      <c r="J283" s="148" t="str">
        <f>IFERROR(__xludf.DUMMYFUNCTION("""COMPUTED_VALUE"""),"{""typ"":""lc"",""txt"":""LC_ITEM_seven_day_box_name""}")</f>
        <v>{"typ":"lc","txt":"LC_ITEM_seven_day_box_name"}</v>
      </c>
      <c r="K283" s="148" t="str">
        <f>IFERROR(__xludf.DUMMYFUNCTION("""COMPUTED_VALUE"""),"{""typ"":""lc"",""txt"":""LC_ITEM_seven_day_box_desc""}")</f>
        <v>{"typ":"lc","txt":"LC_ITEM_seven_day_box_desc"}</v>
      </c>
      <c r="L283" s="148" t="str">
        <f>IFERROR(__xludf.DUMMYFUNCTION("""COMPUTED_VALUE"""),"{""typ"":""lc"",""txt"":""LC_ITEM_horde_elite_box_usedtip""}")</f>
        <v>{"typ":"lc","txt":"LC_ITEM_horde_elite_box_usedtip"}</v>
      </c>
      <c r="M283" s="148">
        <f>IFERROR(__xludf.DUMMYFUNCTION("""COMPUTED_VALUE"""),40.0)</f>
        <v>40</v>
      </c>
      <c r="N283" s="148">
        <f>IFERROR(__xludf.DUMMYFUNCTION("""COMPUTED_VALUE"""),999999.0)</f>
        <v>999999</v>
      </c>
      <c r="O283" s="148">
        <f>IFERROR(__xludf.DUMMYFUNCTION("""COMPUTED_VALUE"""),99999.0)</f>
        <v>99999</v>
      </c>
      <c r="P283" s="148">
        <f>IFERROR(__xludf.DUMMYFUNCTION("""COMPUTED_VALUE"""),99999.0)</f>
        <v>99999</v>
      </c>
      <c r="Q283" s="148" t="str">
        <f>IFERROR(__xludf.DUMMYFUNCTION("""COMPUTED_VALUE"""),"[""bag_other""]")</f>
        <v>["bag_other"]</v>
      </c>
      <c r="R283" s="148" t="str">
        <f>IFERROR(__xludf.DUMMYFUNCTION("""COMPUTED_VALUE"""),"[""bag""]")</f>
        <v>["bag"]</v>
      </c>
      <c r="S283"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283" s="148">
        <f>IFERROR(__xludf.DUMMYFUNCTION("""COMPUTED_VALUE"""),-1.0)</f>
        <v>-1</v>
      </c>
      <c r="U283" s="148">
        <f>IFERROR(__xludf.DUMMYFUNCTION("""COMPUTED_VALUE"""),0.0)</f>
        <v>0</v>
      </c>
      <c r="V283" s="148" t="str">
        <f>IFERROR(__xludf.DUMMYFUNCTION("""COMPUTED_VALUE"""),"[]")</f>
        <v>[]</v>
      </c>
      <c r="W283" s="148">
        <f>IFERROR(__xludf.DUMMYFUNCTION("""COMPUTED_VALUE"""),1.174E7)</f>
        <v>11740000</v>
      </c>
      <c r="X283" s="148">
        <f>IFERROR(__xludf.DUMMYFUNCTION("""COMPUTED_VALUE"""),0.0)</f>
        <v>0</v>
      </c>
      <c r="Y283" s="148">
        <f>IFERROR(__xludf.DUMMYFUNCTION("""COMPUTED_VALUE"""),0.0)</f>
        <v>0</v>
      </c>
      <c r="Z283" s="148"/>
    </row>
    <row r="284">
      <c r="A284" s="148">
        <f>IFERROR(__xludf.DUMMYFUNCTION("""COMPUTED_VALUE"""),1.1112075E7)</f>
        <v>11112075</v>
      </c>
      <c r="B284" s="148" t="str">
        <f>IFERROR(__xludf.DUMMYFUNCTION("""COMPUTED_VALUE"""),"情人节2024活动-解锁宝箱礼包钥匙")</f>
        <v>情人节2024活动-解锁宝箱礼包钥匙</v>
      </c>
      <c r="C284" s="148"/>
      <c r="D284" s="148" t="str">
        <f>IFERROR(__xludf.DUMMYFUNCTION("""COMPUTED_VALUE"""),"event")</f>
        <v>event</v>
      </c>
      <c r="E284" s="148">
        <f>IFERROR(__xludf.DUMMYFUNCTION("""COMPUTED_VALUE"""),0.0)</f>
        <v>0</v>
      </c>
      <c r="F284" s="148">
        <f>IFERROR(__xludf.DUMMYFUNCTION("""COMPUTED_VALUE"""),0.0)</f>
        <v>0</v>
      </c>
      <c r="G284" s="148">
        <f>IFERROR(__xludf.DUMMYFUNCTION("""COMPUTED_VALUE"""),1.5117142E7)</f>
        <v>15117142</v>
      </c>
      <c r="H284" s="148">
        <f>IFERROR(__xludf.DUMMYFUNCTION("""COMPUTED_VALUE"""),1.5112564E7)</f>
        <v>15112564</v>
      </c>
      <c r="I284" s="148" t="str">
        <f>IFERROR(__xludf.DUMMYFUNCTION("""COMPUTED_VALUE"""),"{}")</f>
        <v>{}</v>
      </c>
      <c r="J284" s="148" t="str">
        <f>IFERROR(__xludf.DUMMYFUNCTION("""COMPUTED_VALUE"""),"{""typ"":""lc"",""txt"":""LC_ITEM_seven_day_box_key_name""}")</f>
        <v>{"typ":"lc","txt":"LC_ITEM_seven_day_box_key_name"}</v>
      </c>
      <c r="K284" s="148" t="str">
        <f>IFERROR(__xludf.DUMMYFUNCTION("""COMPUTED_VALUE"""),"{""typ"":""lc"",""txt"":""LC_ITEM_seven_day_box_key_desc""}")</f>
        <v>{"typ":"lc","txt":"LC_ITEM_seven_day_box_key_desc"}</v>
      </c>
      <c r="L284" s="148" t="str">
        <f>IFERROR(__xludf.DUMMYFUNCTION("""COMPUTED_VALUE"""),"{}")</f>
        <v>{}</v>
      </c>
      <c r="M284" s="148">
        <f>IFERROR(__xludf.DUMMYFUNCTION("""COMPUTED_VALUE"""),10.0)</f>
        <v>10</v>
      </c>
      <c r="N284" s="148">
        <f>IFERROR(__xludf.DUMMYFUNCTION("""COMPUTED_VALUE"""),999999.0)</f>
        <v>999999</v>
      </c>
      <c r="O284" s="148">
        <f>IFERROR(__xludf.DUMMYFUNCTION("""COMPUTED_VALUE"""),99999.0)</f>
        <v>99999</v>
      </c>
      <c r="P284" s="148">
        <f>IFERROR(__xludf.DUMMYFUNCTION("""COMPUTED_VALUE"""),9999.0)</f>
        <v>9999</v>
      </c>
      <c r="Q284" s="148" t="str">
        <f>IFERROR(__xludf.DUMMYFUNCTION("""COMPUTED_VALUE"""),"[""bag_other""]")</f>
        <v>["bag_other"]</v>
      </c>
      <c r="R284" s="148" t="str">
        <f>IFERROR(__xludf.DUMMYFUNCTION("""COMPUTED_VALUE"""),"[]")</f>
        <v>[]</v>
      </c>
      <c r="S284" s="148" t="str">
        <f>IFERROR(__xludf.DUMMYFUNCTION("""COMPUTED_VALUE"""),"{}")</f>
        <v>{}</v>
      </c>
      <c r="T284" s="148">
        <f>IFERROR(__xludf.DUMMYFUNCTION("""COMPUTED_VALUE"""),-1.0)</f>
        <v>-1</v>
      </c>
      <c r="U284" s="148">
        <f>IFERROR(__xludf.DUMMYFUNCTION("""COMPUTED_VALUE"""),0.0)</f>
        <v>0</v>
      </c>
      <c r="V284" s="148" t="str">
        <f>IFERROR(__xludf.DUMMYFUNCTION("""COMPUTED_VALUE"""),"[]")</f>
        <v>[]</v>
      </c>
      <c r="W284" s="148">
        <f>IFERROR(__xludf.DUMMYFUNCTION("""COMPUTED_VALUE"""),1.174E7)</f>
        <v>11740000</v>
      </c>
      <c r="X284" s="148">
        <f>IFERROR(__xludf.DUMMYFUNCTION("""COMPUTED_VALUE"""),0.0)</f>
        <v>0</v>
      </c>
      <c r="Y284" s="148">
        <f>IFERROR(__xludf.DUMMYFUNCTION("""COMPUTED_VALUE"""),0.0)</f>
        <v>0</v>
      </c>
      <c r="Z284" s="148"/>
    </row>
    <row r="285">
      <c r="A285" s="148">
        <f>IFERROR(__xludf.DUMMYFUNCTION("""COMPUTED_VALUE"""),1.1112076E7)</f>
        <v>11112076</v>
      </c>
      <c r="B285" s="148" t="str">
        <f>IFERROR(__xludf.DUMMYFUNCTION("""COMPUTED_VALUE"""),"情人节2024-7日活动宝箱-显示用")</f>
        <v>情人节2024-7日活动宝箱-显示用</v>
      </c>
      <c r="C285" s="148"/>
      <c r="D285" s="148" t="str">
        <f>IFERROR(__xludf.DUMMYFUNCTION("""COMPUTED_VALUE"""),"event")</f>
        <v>event</v>
      </c>
      <c r="E285" s="148">
        <f>IFERROR(__xludf.DUMMYFUNCTION("""COMPUTED_VALUE"""),0.0)</f>
        <v>0</v>
      </c>
      <c r="F285" s="148">
        <f>IFERROR(__xludf.DUMMYFUNCTION("""COMPUTED_VALUE"""),0.0)</f>
        <v>0</v>
      </c>
      <c r="G285" s="148">
        <f>IFERROR(__xludf.DUMMYFUNCTION("""COMPUTED_VALUE"""),1.5117141E7)</f>
        <v>15117141</v>
      </c>
      <c r="H285" s="148">
        <f>IFERROR(__xludf.DUMMYFUNCTION("""COMPUTED_VALUE"""),1.5112564E7)</f>
        <v>15112564</v>
      </c>
      <c r="I285" s="148" t="str">
        <f>IFERROR(__xludf.DUMMYFUNCTION("""COMPUTED_VALUE"""),"{}")</f>
        <v>{}</v>
      </c>
      <c r="J285" s="148" t="str">
        <f>IFERROR(__xludf.DUMMYFUNCTION("""COMPUTED_VALUE"""),"{""typ"":""lc"",""txt"":""LC_ITEM_seven_day_box_name""}")</f>
        <v>{"typ":"lc","txt":"LC_ITEM_seven_day_box_name"}</v>
      </c>
      <c r="K285" s="148" t="str">
        <f>IFERROR(__xludf.DUMMYFUNCTION("""COMPUTED_VALUE"""),"{""typ"":""lc"",""txt"":""LC_ITEM_seven_day_box_desc""}")</f>
        <v>{"typ":"lc","txt":"LC_ITEM_seven_day_box_desc"}</v>
      </c>
      <c r="L285" s="148" t="str">
        <f>IFERROR(__xludf.DUMMYFUNCTION("""COMPUTED_VALUE"""),"{}")</f>
        <v>{}</v>
      </c>
      <c r="M285" s="148">
        <f>IFERROR(__xludf.DUMMYFUNCTION("""COMPUTED_VALUE"""),1.0)</f>
        <v>1</v>
      </c>
      <c r="N285" s="148">
        <f>IFERROR(__xludf.DUMMYFUNCTION("""COMPUTED_VALUE"""),999999.0)</f>
        <v>999999</v>
      </c>
      <c r="O285" s="148">
        <f>IFERROR(__xludf.DUMMYFUNCTION("""COMPUTED_VALUE"""),99999.0)</f>
        <v>99999</v>
      </c>
      <c r="P285" s="148">
        <f>IFERROR(__xludf.DUMMYFUNCTION("""COMPUTED_VALUE"""),9999.0)</f>
        <v>9999</v>
      </c>
      <c r="Q285" s="148" t="str">
        <f>IFERROR(__xludf.DUMMYFUNCTION("""COMPUTED_VALUE"""),"[]")</f>
        <v>[]</v>
      </c>
      <c r="R285" s="148" t="str">
        <f>IFERROR(__xludf.DUMMYFUNCTION("""COMPUTED_VALUE"""),"[]")</f>
        <v>[]</v>
      </c>
      <c r="S285" s="148" t="str">
        <f>IFERROR(__xludf.DUMMYFUNCTION("""COMPUTED_VALUE"""),"{""effect"":[{""typ"":""miss_lost_reward""}]}")</f>
        <v>{"effect":[{"typ":"miss_lost_reward"}]}</v>
      </c>
      <c r="T285" s="148">
        <f>IFERROR(__xludf.DUMMYFUNCTION("""COMPUTED_VALUE"""),-1.0)</f>
        <v>-1</v>
      </c>
      <c r="U285" s="148">
        <f>IFERROR(__xludf.DUMMYFUNCTION("""COMPUTED_VALUE"""),1.0)</f>
        <v>1</v>
      </c>
      <c r="V285" s="148" t="str">
        <f>IFERROR(__xludf.DUMMYFUNCTION("""COMPUTED_VALUE"""),"[]")</f>
        <v>[]</v>
      </c>
      <c r="W285" s="148">
        <f>IFERROR(__xludf.DUMMYFUNCTION("""COMPUTED_VALUE"""),1.174E7)</f>
        <v>11740000</v>
      </c>
      <c r="X285" s="148">
        <f>IFERROR(__xludf.DUMMYFUNCTION("""COMPUTED_VALUE"""),0.0)</f>
        <v>0</v>
      </c>
      <c r="Y285" s="148">
        <f>IFERROR(__xludf.DUMMYFUNCTION("""COMPUTED_VALUE"""),0.0)</f>
        <v>0</v>
      </c>
      <c r="Z285" s="148"/>
    </row>
    <row r="286">
      <c r="A286" s="148">
        <f>IFERROR(__xludf.DUMMYFUNCTION("""COMPUTED_VALUE"""),1.1112077E7)</f>
        <v>11112077</v>
      </c>
      <c r="B286" s="148" t="str">
        <f>IFERROR(__xludf.DUMMYFUNCTION("""COMPUTED_VALUE"""),"主城皮肤-情人节高级皮肤2024-14天")</f>
        <v>主城皮肤-情人节高级皮肤2024-14天</v>
      </c>
      <c r="C286" s="148"/>
      <c r="D286" s="148" t="str">
        <f>IFERROR(__xludf.DUMMYFUNCTION("""COMPUTED_VALUE"""),"city_skin")</f>
        <v>city_skin</v>
      </c>
      <c r="E286" s="148">
        <f>IFERROR(__xludf.DUMMYFUNCTION("""COMPUTED_VALUE"""),21.0)</f>
        <v>21</v>
      </c>
      <c r="F286" s="148">
        <f>IFERROR(__xludf.DUMMYFUNCTION("""COMPUTED_VALUE"""),400106.0)</f>
        <v>400106</v>
      </c>
      <c r="G286" s="148">
        <f>IFERROR(__xludf.DUMMYFUNCTION("""COMPUTED_VALUE"""),1.5118217E7)</f>
        <v>15118217</v>
      </c>
      <c r="H286" s="148">
        <f>IFERROR(__xludf.DUMMYFUNCTION("""COMPUTED_VALUE"""),1.5112564E7)</f>
        <v>15112564</v>
      </c>
      <c r="I286" s="148" t="str">
        <f>IFERROR(__xludf.DUMMYFUNCTION("""COMPUTED_VALUE"""),"{""typ"":""lc"",""txt"":""LC_ITEM_time_day_upper_show"",""args"":[{""typ"":""int"",""val"":14}]}")</f>
        <v>{"typ":"lc","txt":"LC_ITEM_time_day_upper_show","args":[{"typ":"int","val":14}]}</v>
      </c>
      <c r="J286" s="148" t="str">
        <f>IFERROR(__xludf.DUMMYFUNCTION("""COMPUTED_VALUE"""),"{""typ"":""lc"",""txt"":""LC_ITEM_2024valentine_2023_highcity_skin_title_14day""}")</f>
        <v>{"typ":"lc","txt":"LC_ITEM_2024valentine_2023_highcity_skin_title_14day"}</v>
      </c>
      <c r="K286" s="148" t="str">
        <f>IFERROR(__xludf.DUMMYFUNCTION("""COMPUTED_VALUE"""),"{""typ"":""lc"",""txt"":""LC_ITEM_2024valentine_highskin_desc_14days""}")</f>
        <v>{"typ":"lc","txt":"LC_ITEM_2024valentine_highskin_desc_14days"}</v>
      </c>
      <c r="L286" s="148" t="str">
        <f>IFERROR(__xludf.DUMMYFUNCTION("""COMPUTED_VALUE"""),"{""typ"":""lc"",""txt"":""LC_ITEM_city_skin_rocket_use_tips""}")</f>
        <v>{"typ":"lc","txt":"LC_ITEM_city_skin_rocket_use_tips"}</v>
      </c>
      <c r="M286" s="148">
        <f>IFERROR(__xludf.DUMMYFUNCTION("""COMPUTED_VALUE"""),10000.0)</f>
        <v>10000</v>
      </c>
      <c r="N286" s="148">
        <f>IFERROR(__xludf.DUMMYFUNCTION("""COMPUTED_VALUE"""),999.0)</f>
        <v>999</v>
      </c>
      <c r="O286" s="148">
        <f>IFERROR(__xludf.DUMMYFUNCTION("""COMPUTED_VALUE"""),1.0)</f>
        <v>1</v>
      </c>
      <c r="P286" s="148">
        <f>IFERROR(__xludf.DUMMYFUNCTION("""COMPUTED_VALUE"""),1.0)</f>
        <v>1</v>
      </c>
      <c r="Q286" s="148" t="str">
        <f>IFERROR(__xludf.DUMMYFUNCTION("""COMPUTED_VALUE"""),"[""bag_other""]")</f>
        <v>["bag_other"]</v>
      </c>
      <c r="R286" s="148" t="str">
        <f>IFERROR(__xludf.DUMMYFUNCTION("""COMPUTED_VALUE"""),"[""bag"",""13121033""]")</f>
        <v>["bag","13121033"]</v>
      </c>
      <c r="S286" s="148" t="str">
        <f>IFERROR(__xludf.DUMMYFUNCTION("""COMPUTED_VALUE"""),"{""effect"":[{""typ"":""city_skin"",""id"":13121033,""val"":1209600000},{""typ"":""item"",""id"":11111021,""val"":7}]}")</f>
        <v>{"effect":[{"typ":"city_skin","id":13121033,"val":1209600000},{"typ":"item","id":11111021,"val":7}]}</v>
      </c>
      <c r="T286" s="148">
        <f>IFERROR(__xludf.DUMMYFUNCTION("""COMPUTED_VALUE"""),-1.0)</f>
        <v>-1</v>
      </c>
      <c r="U286" s="148">
        <f>IFERROR(__xludf.DUMMYFUNCTION("""COMPUTED_VALUE"""),0.0)</f>
        <v>0</v>
      </c>
      <c r="V286" s="148" t="str">
        <f>IFERROR(__xludf.DUMMYFUNCTION("""COMPUTED_VALUE"""),"[]")</f>
        <v>[]</v>
      </c>
      <c r="W286" s="148">
        <f>IFERROR(__xludf.DUMMYFUNCTION("""COMPUTED_VALUE"""),1.174E7)</f>
        <v>11740000</v>
      </c>
      <c r="X286" s="148">
        <f>IFERROR(__xludf.DUMMYFUNCTION("""COMPUTED_VALUE"""),0.0)</f>
        <v>0</v>
      </c>
      <c r="Y286" s="148">
        <f>IFERROR(__xludf.DUMMYFUNCTION("""COMPUTED_VALUE"""),0.0)</f>
        <v>0</v>
      </c>
      <c r="Z286" s="148"/>
    </row>
    <row r="287">
      <c r="A287" s="148">
        <f>IFERROR(__xludf.DUMMYFUNCTION("""COMPUTED_VALUE"""),1.1112078E7)</f>
        <v>11112078</v>
      </c>
      <c r="B287" s="148" t="str">
        <f>IFERROR(__xludf.DUMMYFUNCTION("""COMPUTED_VALUE"""),"主城皮肤-情人节高级皮肤2024-7天")</f>
        <v>主城皮肤-情人节高级皮肤2024-7天</v>
      </c>
      <c r="C287" s="148"/>
      <c r="D287" s="148" t="str">
        <f>IFERROR(__xludf.DUMMYFUNCTION("""COMPUTED_VALUE"""),"city_skin")</f>
        <v>city_skin</v>
      </c>
      <c r="E287" s="148">
        <f>IFERROR(__xludf.DUMMYFUNCTION("""COMPUTED_VALUE"""),21.0)</f>
        <v>21</v>
      </c>
      <c r="F287" s="148">
        <f>IFERROR(__xludf.DUMMYFUNCTION("""COMPUTED_VALUE"""),400106.0)</f>
        <v>400106</v>
      </c>
      <c r="G287" s="148">
        <f>IFERROR(__xludf.DUMMYFUNCTION("""COMPUTED_VALUE"""),1.5118217E7)</f>
        <v>15118217</v>
      </c>
      <c r="H287" s="148">
        <f>IFERROR(__xludf.DUMMYFUNCTION("""COMPUTED_VALUE"""),1.5112564E7)</f>
        <v>15112564</v>
      </c>
      <c r="I287" s="148" t="str">
        <f>IFERROR(__xludf.DUMMYFUNCTION("""COMPUTED_VALUE"""),"{""typ"":""lc"",""txt"":""LC_ITEM_time_day_upper_show"",""args"":[{""typ"":""int"",""val"":7}]}")</f>
        <v>{"typ":"lc","txt":"LC_ITEM_time_day_upper_show","args":[{"typ":"int","val":7}]}</v>
      </c>
      <c r="J287" s="148" t="str">
        <f>IFERROR(__xludf.DUMMYFUNCTION("""COMPUTED_VALUE"""),"{""typ"":""lc"",""txt"":""LC_ITEM_2024valentine_2023_highcity_skin_title_7day""}")</f>
        <v>{"typ":"lc","txt":"LC_ITEM_2024valentine_2023_highcity_skin_title_7day"}</v>
      </c>
      <c r="K287" s="148" t="str">
        <f>IFERROR(__xludf.DUMMYFUNCTION("""COMPUTED_VALUE"""),"{""typ"":""lc"",""txt"":""LC_ITEM_2024valentine_highskin_desc_7days""}")</f>
        <v>{"typ":"lc","txt":"LC_ITEM_2024valentine_highskin_desc_7days"}</v>
      </c>
      <c r="L287" s="148" t="str">
        <f>IFERROR(__xludf.DUMMYFUNCTION("""COMPUTED_VALUE"""),"{""typ"":""lc"",""txt"":""LC_ITEM_city_skin_rocket_use_tips""}")</f>
        <v>{"typ":"lc","txt":"LC_ITEM_city_skin_rocket_use_tips"}</v>
      </c>
      <c r="M287" s="148">
        <f>IFERROR(__xludf.DUMMYFUNCTION("""COMPUTED_VALUE"""),10000.0)</f>
        <v>10000</v>
      </c>
      <c r="N287" s="148">
        <f>IFERROR(__xludf.DUMMYFUNCTION("""COMPUTED_VALUE"""),999.0)</f>
        <v>999</v>
      </c>
      <c r="O287" s="148">
        <f>IFERROR(__xludf.DUMMYFUNCTION("""COMPUTED_VALUE"""),1.0)</f>
        <v>1</v>
      </c>
      <c r="P287" s="148">
        <f>IFERROR(__xludf.DUMMYFUNCTION("""COMPUTED_VALUE"""),1.0)</f>
        <v>1</v>
      </c>
      <c r="Q287" s="148" t="str">
        <f>IFERROR(__xludf.DUMMYFUNCTION("""COMPUTED_VALUE"""),"[""bag_other""]")</f>
        <v>["bag_other"]</v>
      </c>
      <c r="R287" s="148" t="str">
        <f>IFERROR(__xludf.DUMMYFUNCTION("""COMPUTED_VALUE"""),"[""bag"",""13121033""]")</f>
        <v>["bag","13121033"]</v>
      </c>
      <c r="S287" s="148" t="str">
        <f>IFERROR(__xludf.DUMMYFUNCTION("""COMPUTED_VALUE"""),"{""effect"":[{""typ"":""city_skin"",""id"":13121033,""val"":604800000},{""typ"":""item"",""id"":11111021,""val"":3}]}")</f>
        <v>{"effect":[{"typ":"city_skin","id":13121033,"val":604800000},{"typ":"item","id":11111021,"val":3}]}</v>
      </c>
      <c r="T287" s="148">
        <f>IFERROR(__xludf.DUMMYFUNCTION("""COMPUTED_VALUE"""),-1.0)</f>
        <v>-1</v>
      </c>
      <c r="U287" s="148">
        <f>IFERROR(__xludf.DUMMYFUNCTION("""COMPUTED_VALUE"""),0.0)</f>
        <v>0</v>
      </c>
      <c r="V287" s="148" t="str">
        <f>IFERROR(__xludf.DUMMYFUNCTION("""COMPUTED_VALUE"""),"[]")</f>
        <v>[]</v>
      </c>
      <c r="W287" s="148">
        <f>IFERROR(__xludf.DUMMYFUNCTION("""COMPUTED_VALUE"""),1.174E7)</f>
        <v>11740000</v>
      </c>
      <c r="X287" s="148">
        <f>IFERROR(__xludf.DUMMYFUNCTION("""COMPUTED_VALUE"""),0.0)</f>
        <v>0</v>
      </c>
      <c r="Y287" s="148">
        <f>IFERROR(__xludf.DUMMYFUNCTION("""COMPUTED_VALUE"""),0.0)</f>
        <v>0</v>
      </c>
      <c r="Z287" s="148"/>
    </row>
    <row r="288">
      <c r="A288" s="148">
        <f>IFERROR(__xludf.DUMMYFUNCTION("""COMPUTED_VALUE"""),1.1112079E7)</f>
        <v>11112079</v>
      </c>
      <c r="B288" s="148" t="str">
        <f>IFERROR(__xludf.DUMMYFUNCTION("""COMPUTED_VALUE"""),"主城皮肤-情人节高级皮肤2024")</f>
        <v>主城皮肤-情人节高级皮肤2024</v>
      </c>
      <c r="C288" s="148"/>
      <c r="D288" s="148" t="str">
        <f>IFERROR(__xludf.DUMMYFUNCTION("""COMPUTED_VALUE"""),"city_skin")</f>
        <v>city_skin</v>
      </c>
      <c r="E288" s="148">
        <f>IFERROR(__xludf.DUMMYFUNCTION("""COMPUTED_VALUE"""),21.0)</f>
        <v>21</v>
      </c>
      <c r="F288" s="148">
        <f>IFERROR(__xludf.DUMMYFUNCTION("""COMPUTED_VALUE"""),400106.0)</f>
        <v>400106</v>
      </c>
      <c r="G288" s="148">
        <f>IFERROR(__xludf.DUMMYFUNCTION("""COMPUTED_VALUE"""),1.5118217E7)</f>
        <v>15118217</v>
      </c>
      <c r="H288" s="148">
        <f>IFERROR(__xludf.DUMMYFUNCTION("""COMPUTED_VALUE"""),1.5112564E7)</f>
        <v>15112564</v>
      </c>
      <c r="I288" s="148" t="str">
        <f>IFERROR(__xludf.DUMMYFUNCTION("""COMPUTED_VALUE"""),"{}")</f>
        <v>{}</v>
      </c>
      <c r="J288" s="148" t="str">
        <f>IFERROR(__xludf.DUMMYFUNCTION("""COMPUTED_VALUE"""),"{""typ"":""lc"",""txt"":""LC_ITEM_2024valentine_2023_highcity_skin_title""}")</f>
        <v>{"typ":"lc","txt":"LC_ITEM_2024valentine_2023_highcity_skin_title"}</v>
      </c>
      <c r="K288" s="148" t="str">
        <f>IFERROR(__xludf.DUMMYFUNCTION("""COMPUTED_VALUE"""),"{""typ"":""lc"",""txt"":""LC_ITEM_2024valentine_highskin_desc_forever""}")</f>
        <v>{"typ":"lc","txt":"LC_ITEM_2024valentine_highskin_desc_forever"}</v>
      </c>
      <c r="L288" s="148" t="str">
        <f>IFERROR(__xludf.DUMMYFUNCTION("""COMPUTED_VALUE"""),"{""typ"":""lc"",""txt"":""LC_ITEM_city_skin_rocket_use_tips""}")</f>
        <v>{"typ":"lc","txt":"LC_ITEM_city_skin_rocket_use_tips"}</v>
      </c>
      <c r="M288" s="148">
        <f>IFERROR(__xludf.DUMMYFUNCTION("""COMPUTED_VALUE"""),10000.0)</f>
        <v>10000</v>
      </c>
      <c r="N288" s="148">
        <f>IFERROR(__xludf.DUMMYFUNCTION("""COMPUTED_VALUE"""),999.0)</f>
        <v>999</v>
      </c>
      <c r="O288" s="148">
        <f>IFERROR(__xludf.DUMMYFUNCTION("""COMPUTED_VALUE"""),1.0)</f>
        <v>1</v>
      </c>
      <c r="P288" s="148">
        <f>IFERROR(__xludf.DUMMYFUNCTION("""COMPUTED_VALUE"""),1.0)</f>
        <v>1</v>
      </c>
      <c r="Q288" s="148" t="str">
        <f>IFERROR(__xludf.DUMMYFUNCTION("""COMPUTED_VALUE"""),"[""bag_other""]")</f>
        <v>["bag_other"]</v>
      </c>
      <c r="R288" s="148" t="str">
        <f>IFERROR(__xludf.DUMMYFUNCTION("""COMPUTED_VALUE"""),"[""bag"",""13121033""]")</f>
        <v>["bag","13121033"]</v>
      </c>
      <c r="S288" s="148" t="str">
        <f>IFERROR(__xludf.DUMMYFUNCTION("""COMPUTED_VALUE"""),"{""effect"":[{""typ"":""city_skin"",""id"":13121033,""val"":-1},{""typ"":""item"",""id"":11111034,""val"":10}]}")</f>
        <v>{"effect":[{"typ":"city_skin","id":13121033,"val":-1},{"typ":"item","id":11111034,"val":10}]}</v>
      </c>
      <c r="T288" s="148">
        <f>IFERROR(__xludf.DUMMYFUNCTION("""COMPUTED_VALUE"""),-1.0)</f>
        <v>-1</v>
      </c>
      <c r="U288" s="148">
        <f>IFERROR(__xludf.DUMMYFUNCTION("""COMPUTED_VALUE"""),0.0)</f>
        <v>0</v>
      </c>
      <c r="V288" s="148" t="str">
        <f>IFERROR(__xludf.DUMMYFUNCTION("""COMPUTED_VALUE"""),"[]")</f>
        <v>[]</v>
      </c>
      <c r="W288" s="148">
        <f>IFERROR(__xludf.DUMMYFUNCTION("""COMPUTED_VALUE"""),1.174E7)</f>
        <v>11740000</v>
      </c>
      <c r="X288" s="148">
        <f>IFERROR(__xludf.DUMMYFUNCTION("""COMPUTED_VALUE"""),0.0)</f>
        <v>0</v>
      </c>
      <c r="Y288" s="148">
        <f>IFERROR(__xludf.DUMMYFUNCTION("""COMPUTED_VALUE"""),0.0)</f>
        <v>0</v>
      </c>
      <c r="Z288" s="148"/>
    </row>
    <row r="289">
      <c r="A289" s="148">
        <f>IFERROR(__xludf.DUMMYFUNCTION("""COMPUTED_VALUE"""),1.111208E7)</f>
        <v>11112080</v>
      </c>
      <c r="B289" s="148" t="str">
        <f>IFERROR(__xludf.DUMMYFUNCTION("""COMPUTED_VALUE"""),"主城皮肤-情人节2024")</f>
        <v>主城皮肤-情人节2024</v>
      </c>
      <c r="C289" s="148"/>
      <c r="D289" s="148" t="str">
        <f>IFERROR(__xludf.DUMMYFUNCTION("""COMPUTED_VALUE"""),"city_skin")</f>
        <v>city_skin</v>
      </c>
      <c r="E289" s="148">
        <f>IFERROR(__xludf.DUMMYFUNCTION("""COMPUTED_VALUE"""),21.0)</f>
        <v>21</v>
      </c>
      <c r="F289" s="148">
        <f>IFERROR(__xludf.DUMMYFUNCTION("""COMPUTED_VALUE"""),1.0)</f>
        <v>1</v>
      </c>
      <c r="G289" s="148">
        <f>IFERROR(__xludf.DUMMYFUNCTION("""COMPUTED_VALUE"""),1.5118216E7)</f>
        <v>15118216</v>
      </c>
      <c r="H289" s="148">
        <f>IFERROR(__xludf.DUMMYFUNCTION("""COMPUTED_VALUE"""),1.5112564E7)</f>
        <v>15112564</v>
      </c>
      <c r="I289" s="148" t="str">
        <f>IFERROR(__xludf.DUMMYFUNCTION("""COMPUTED_VALUE"""),"{}")</f>
        <v>{}</v>
      </c>
      <c r="J289" s="148" t="str">
        <f>IFERROR(__xludf.DUMMYFUNCTION("""COMPUTED_VALUE"""),"{""typ"":""lc"",""txt"":""LC_ITEM_2024valentine_lowcity_skin_title""}")</f>
        <v>{"typ":"lc","txt":"LC_ITEM_2024valentine_lowcity_skin_title"}</v>
      </c>
      <c r="K289" s="148" t="str">
        <f>IFERROR(__xludf.DUMMYFUNCTION("""COMPUTED_VALUE"""),"{""typ"":""lc"",""txt"":""LC_ITEM_2024valentine_lowcity_skin_desc_forever""}")</f>
        <v>{"typ":"lc","txt":"LC_ITEM_2024valentine_lowcity_skin_desc_forever"}</v>
      </c>
      <c r="L289" s="148" t="str">
        <f>IFERROR(__xludf.DUMMYFUNCTION("""COMPUTED_VALUE"""),"{""typ"":""lc"",""txt"":""LC_ITEM_city_skin_rocket_use_tips""}")</f>
        <v>{"typ":"lc","txt":"LC_ITEM_city_skin_rocket_use_tips"}</v>
      </c>
      <c r="M289" s="148">
        <f>IFERROR(__xludf.DUMMYFUNCTION("""COMPUTED_VALUE"""),10000.0)</f>
        <v>10000</v>
      </c>
      <c r="N289" s="148">
        <f>IFERROR(__xludf.DUMMYFUNCTION("""COMPUTED_VALUE"""),999.0)</f>
        <v>999</v>
      </c>
      <c r="O289" s="148">
        <f>IFERROR(__xludf.DUMMYFUNCTION("""COMPUTED_VALUE"""),1.0)</f>
        <v>1</v>
      </c>
      <c r="P289" s="148">
        <f>IFERROR(__xludf.DUMMYFUNCTION("""COMPUTED_VALUE"""),1.0)</f>
        <v>1</v>
      </c>
      <c r="Q289" s="148" t="str">
        <f>IFERROR(__xludf.DUMMYFUNCTION("""COMPUTED_VALUE"""),"[""bag_other""]")</f>
        <v>["bag_other"]</v>
      </c>
      <c r="R289" s="148" t="str">
        <f>IFERROR(__xludf.DUMMYFUNCTION("""COMPUTED_VALUE"""),"[""bag"",""13121032""]")</f>
        <v>["bag","13121032"]</v>
      </c>
      <c r="S289" s="148" t="str">
        <f>IFERROR(__xludf.DUMMYFUNCTION("""COMPUTED_VALUE"""),"{""effect"":[{""typ"":""city_skin"",""id"":13121032,""val"":-1},{""typ"":""item"",""id"":11111034,""val"":10}]}")</f>
        <v>{"effect":[{"typ":"city_skin","id":13121032,"val":-1},{"typ":"item","id":11111034,"val":10}]}</v>
      </c>
      <c r="T289" s="148">
        <f>IFERROR(__xludf.DUMMYFUNCTION("""COMPUTED_VALUE"""),-1.0)</f>
        <v>-1</v>
      </c>
      <c r="U289" s="148">
        <f>IFERROR(__xludf.DUMMYFUNCTION("""COMPUTED_VALUE"""),0.0)</f>
        <v>0</v>
      </c>
      <c r="V289" s="148" t="str">
        <f>IFERROR(__xludf.DUMMYFUNCTION("""COMPUTED_VALUE"""),"[]")</f>
        <v>[]</v>
      </c>
      <c r="W289" s="148">
        <f>IFERROR(__xludf.DUMMYFUNCTION("""COMPUTED_VALUE"""),1.174E7)</f>
        <v>11740000</v>
      </c>
      <c r="X289" s="148">
        <f>IFERROR(__xludf.DUMMYFUNCTION("""COMPUTED_VALUE"""),0.0)</f>
        <v>0</v>
      </c>
      <c r="Y289" s="148">
        <f>IFERROR(__xludf.DUMMYFUNCTION("""COMPUTED_VALUE"""),0.0)</f>
        <v>0</v>
      </c>
      <c r="Z289" s="148"/>
    </row>
    <row r="290">
      <c r="A290" s="148">
        <f>IFERROR(__xludf.DUMMYFUNCTION("""COMPUTED_VALUE"""),1.1112081E7)</f>
        <v>11112081</v>
      </c>
      <c r="B290" s="148" t="str">
        <f>IFERROR(__xludf.DUMMYFUNCTION("""COMPUTED_VALUE"""),"主城皮肤-情人节2024（2天）")</f>
        <v>主城皮肤-情人节2024（2天）</v>
      </c>
      <c r="C290" s="148"/>
      <c r="D290" s="148" t="str">
        <f>IFERROR(__xludf.DUMMYFUNCTION("""COMPUTED_VALUE"""),"city_skin")</f>
        <v>city_skin</v>
      </c>
      <c r="E290" s="148">
        <f>IFERROR(__xludf.DUMMYFUNCTION("""COMPUTED_VALUE"""),21.0)</f>
        <v>21</v>
      </c>
      <c r="F290" s="148">
        <f>IFERROR(__xludf.DUMMYFUNCTION("""COMPUTED_VALUE"""),404201.0)</f>
        <v>404201</v>
      </c>
      <c r="G290" s="148">
        <f>IFERROR(__xludf.DUMMYFUNCTION("""COMPUTED_VALUE"""),1.5118216E7)</f>
        <v>15118216</v>
      </c>
      <c r="H290" s="148">
        <f>IFERROR(__xludf.DUMMYFUNCTION("""COMPUTED_VALUE"""),1.5112563E7)</f>
        <v>15112563</v>
      </c>
      <c r="I290" s="148" t="str">
        <f>IFERROR(__xludf.DUMMYFUNCTION("""COMPUTED_VALUE"""),"{""typ"":""lc"",""txt"":""LC_ITEM_time_day_upper_show"",""args"":[{""typ"":""int"",""val"":2}]}")</f>
        <v>{"typ":"lc","txt":"LC_ITEM_time_day_upper_show","args":[{"typ":"int","val":2}]}</v>
      </c>
      <c r="J290" s="148" t="str">
        <f>IFERROR(__xludf.DUMMYFUNCTION("""COMPUTED_VALUE"""),"{""typ"":""lc"",""txt"":""LC_ITEM_2024valentine_lowcity_skin_title_2day""}")</f>
        <v>{"typ":"lc","txt":"LC_ITEM_2024valentine_lowcity_skin_title_2day"}</v>
      </c>
      <c r="K290" s="148" t="str">
        <f>IFERROR(__xludf.DUMMYFUNCTION("""COMPUTED_VALUE"""),"{""typ"":""lc"",""txt"":""LC_ITEM_2024valentine_lowcity_skin_desc_2day""}")</f>
        <v>{"typ":"lc","txt":"LC_ITEM_2024valentine_lowcity_skin_desc_2day"}</v>
      </c>
      <c r="L290" s="148" t="str">
        <f>IFERROR(__xludf.DUMMYFUNCTION("""COMPUTED_VALUE"""),"{""typ"":""lc"",""txt"":""LC_ITEM_city_skin_rocket_use_tips""}")</f>
        <v>{"typ":"lc","txt":"LC_ITEM_city_skin_rocket_use_tips"}</v>
      </c>
      <c r="M290" s="148">
        <f>IFERROR(__xludf.DUMMYFUNCTION("""COMPUTED_VALUE"""),500.0)</f>
        <v>500</v>
      </c>
      <c r="N290" s="148">
        <f>IFERROR(__xludf.DUMMYFUNCTION("""COMPUTED_VALUE"""),999.0)</f>
        <v>999</v>
      </c>
      <c r="O290" s="148">
        <f>IFERROR(__xludf.DUMMYFUNCTION("""COMPUTED_VALUE"""),1.0)</f>
        <v>1</v>
      </c>
      <c r="P290" s="148">
        <f>IFERROR(__xludf.DUMMYFUNCTION("""COMPUTED_VALUE"""),1.0)</f>
        <v>1</v>
      </c>
      <c r="Q290" s="148" t="str">
        <f>IFERROR(__xludf.DUMMYFUNCTION("""COMPUTED_VALUE"""),"[""bag_other""]")</f>
        <v>["bag_other"]</v>
      </c>
      <c r="R290" s="148" t="str">
        <f>IFERROR(__xludf.DUMMYFUNCTION("""COMPUTED_VALUE"""),"[""bag"",""13121032""]")</f>
        <v>["bag","13121032"]</v>
      </c>
      <c r="S290" s="148" t="str">
        <f>IFERROR(__xludf.DUMMYFUNCTION("""COMPUTED_VALUE"""),"{""effect"":[{""typ"":""city_skin"",""id"":13121032,""val"":172800000},{""typ"":""item"",""id"":11111021,""val"":1}]}")</f>
        <v>{"effect":[{"typ":"city_skin","id":13121032,"val":172800000},{"typ":"item","id":11111021,"val":1}]}</v>
      </c>
      <c r="T290" s="148">
        <f>IFERROR(__xludf.DUMMYFUNCTION("""COMPUTED_VALUE"""),-1.0)</f>
        <v>-1</v>
      </c>
      <c r="U290" s="148">
        <f>IFERROR(__xludf.DUMMYFUNCTION("""COMPUTED_VALUE"""),0.0)</f>
        <v>0</v>
      </c>
      <c r="V290" s="148" t="str">
        <f>IFERROR(__xludf.DUMMYFUNCTION("""COMPUTED_VALUE"""),"[]")</f>
        <v>[]</v>
      </c>
      <c r="W290" s="148">
        <f>IFERROR(__xludf.DUMMYFUNCTION("""COMPUTED_VALUE"""),1.174E7)</f>
        <v>11740000</v>
      </c>
      <c r="X290" s="148">
        <f>IFERROR(__xludf.DUMMYFUNCTION("""COMPUTED_VALUE"""),0.0)</f>
        <v>0</v>
      </c>
      <c r="Y290" s="148">
        <f>IFERROR(__xludf.DUMMYFUNCTION("""COMPUTED_VALUE"""),0.0)</f>
        <v>0</v>
      </c>
      <c r="Z290" s="148"/>
    </row>
    <row r="291">
      <c r="A291" s="148">
        <f>IFERROR(__xludf.DUMMYFUNCTION("""COMPUTED_VALUE"""),1.1112082E7)</f>
        <v>11112082</v>
      </c>
      <c r="B291" s="148" t="str">
        <f>IFERROR(__xludf.DUMMYFUNCTION("""COMPUTED_VALUE"""),"情人节2024-装饰升级版本")</f>
        <v>情人节2024-装饰升级版本</v>
      </c>
      <c r="C291" s="148"/>
      <c r="D291" s="148" t="str">
        <f>IFERROR(__xludf.DUMMYFUNCTION("""COMPUTED_VALUE"""),"statue_decorate")</f>
        <v>statue_decorate</v>
      </c>
      <c r="E291" s="148">
        <f>IFERROR(__xludf.DUMMYFUNCTION("""COMPUTED_VALUE"""),23.0)</f>
        <v>23</v>
      </c>
      <c r="F291" s="148">
        <f>IFERROR(__xludf.DUMMYFUNCTION("""COMPUTED_VALUE"""),0.0)</f>
        <v>0</v>
      </c>
      <c r="G291" s="148">
        <f>IFERROR(__xludf.DUMMYFUNCTION("""COMPUTED_VALUE"""),1.5118223E7)</f>
        <v>15118223</v>
      </c>
      <c r="H291" s="148">
        <f>IFERROR(__xludf.DUMMYFUNCTION("""COMPUTED_VALUE"""),1.5112564E7)</f>
        <v>15112564</v>
      </c>
      <c r="I291" s="148" t="str">
        <f>IFERROR(__xludf.DUMMYFUNCTION("""COMPUTED_VALUE"""),"{}")</f>
        <v>{}</v>
      </c>
      <c r="J291" s="148" t="str">
        <f>IFERROR(__xludf.DUMMYFUNCTION("""COMPUTED_VALUE"""),"{""typ"":""lc"",""txt"":""LC_ITEM_2024valentine_dec_item_2""}")</f>
        <v>{"typ":"lc","txt":"LC_ITEM_2024valentine_dec_item_2"}</v>
      </c>
      <c r="K291" s="148" t="str">
        <f>IFERROR(__xludf.DUMMYFUNCTION("""COMPUTED_VALUE"""),"{""typ"":""lc"",""txt"":""LC_ITEM_2024valentine_dec_item_3_desc""}")</f>
        <v>{"typ":"lc","txt":"LC_ITEM_2024valentine_dec_item_3_desc"}</v>
      </c>
      <c r="L291" s="148" t="str">
        <f>IFERROR(__xludf.DUMMYFUNCTION("""COMPUTED_VALUE"""),"{}")</f>
        <v>{}</v>
      </c>
      <c r="M291" s="148">
        <f>IFERROR(__xludf.DUMMYFUNCTION("""COMPUTED_VALUE"""),5000.0)</f>
        <v>5000</v>
      </c>
      <c r="N291" s="148">
        <f>IFERROR(__xludf.DUMMYFUNCTION("""COMPUTED_VALUE"""),999.0)</f>
        <v>999</v>
      </c>
      <c r="O291" s="148">
        <f>IFERROR(__xludf.DUMMYFUNCTION("""COMPUTED_VALUE"""),99999.0)</f>
        <v>99999</v>
      </c>
      <c r="P291" s="148">
        <f>IFERROR(__xludf.DUMMYFUNCTION("""COMPUTED_VALUE"""),99999.0)</f>
        <v>99999</v>
      </c>
      <c r="Q291" s="148" t="str">
        <f>IFERROR(__xludf.DUMMYFUNCTION("""COMPUTED_VALUE"""),"[]")</f>
        <v>[]</v>
      </c>
      <c r="R291" s="148" t="str">
        <f>IFERROR(__xludf.DUMMYFUNCTION("""COMPUTED_VALUE"""),"[""bag""]")</f>
        <v>["bag"]</v>
      </c>
      <c r="S291" s="148" t="str">
        <f>IFERROR(__xludf.DUMMYFUNCTION("""COMPUTED_VALUE"""),"{""effect"":[{""typ"":""holiday_statue"",""id"":21481201}]}")</f>
        <v>{"effect":[{"typ":"holiday_statue","id":21481201}]}</v>
      </c>
      <c r="T291" s="148">
        <f>IFERROR(__xludf.DUMMYFUNCTION("""COMPUTED_VALUE"""),-1.0)</f>
        <v>-1</v>
      </c>
      <c r="U291" s="148">
        <f>IFERROR(__xludf.DUMMYFUNCTION("""COMPUTED_VALUE"""),1.0)</f>
        <v>1</v>
      </c>
      <c r="V291" s="148" t="str">
        <f>IFERROR(__xludf.DUMMYFUNCTION("""COMPUTED_VALUE"""),"[]")</f>
        <v>[]</v>
      </c>
      <c r="W291" s="148">
        <f>IFERROR(__xludf.DUMMYFUNCTION("""COMPUTED_VALUE"""),1.174E7)</f>
        <v>11740000</v>
      </c>
      <c r="X291" s="148">
        <f>IFERROR(__xludf.DUMMYFUNCTION("""COMPUTED_VALUE"""),0.0)</f>
        <v>0</v>
      </c>
      <c r="Y291" s="148">
        <f>IFERROR(__xludf.DUMMYFUNCTION("""COMPUTED_VALUE"""),0.0)</f>
        <v>0</v>
      </c>
      <c r="Z291" s="148"/>
    </row>
    <row r="292">
      <c r="A292" s="148">
        <f>IFERROR(__xludf.DUMMYFUNCTION("""COMPUTED_VALUE"""),1.1112083E7)</f>
        <v>11112083</v>
      </c>
      <c r="B292" s="148" t="str">
        <f>IFERROR(__xludf.DUMMYFUNCTION("""COMPUTED_VALUE"""),"情人节-装饰升级道具")</f>
        <v>情人节-装饰升级道具</v>
      </c>
      <c r="C292" s="148"/>
      <c r="D292" s="148" t="str">
        <f>IFERROR(__xludf.DUMMYFUNCTION("""COMPUTED_VALUE"""),"event")</f>
        <v>event</v>
      </c>
      <c r="E292" s="148">
        <f>IFERROR(__xludf.DUMMYFUNCTION("""COMPUTED_VALUE"""),0.0)</f>
        <v>0</v>
      </c>
      <c r="F292" s="148">
        <f>IFERROR(__xludf.DUMMYFUNCTION("""COMPUTED_VALUE"""),405243.0)</f>
        <v>405243</v>
      </c>
      <c r="G292" s="148">
        <f>IFERROR(__xludf.DUMMYFUNCTION("""COMPUTED_VALUE"""),1.5118223E7)</f>
        <v>15118223</v>
      </c>
      <c r="H292" s="148">
        <f>IFERROR(__xludf.DUMMYFUNCTION("""COMPUTED_VALUE"""),1.5112564E7)</f>
        <v>15112564</v>
      </c>
      <c r="I292" s="148" t="str">
        <f>IFERROR(__xludf.DUMMYFUNCTION("""COMPUTED_VALUE"""),"{}")</f>
        <v>{}</v>
      </c>
      <c r="J292" s="148" t="str">
        <f>IFERROR(__xludf.DUMMYFUNCTION("""COMPUTED_VALUE"""),"{""typ"":""lc"",""txt"":""LC_ITEM_2024valentine_dec_item_2""}")</f>
        <v>{"typ":"lc","txt":"LC_ITEM_2024valentine_dec_item_2"}</v>
      </c>
      <c r="K292" s="148" t="str">
        <f>IFERROR(__xludf.DUMMYFUNCTION("""COMPUTED_VALUE"""),"{""typ"":""lc"",""txt"":""LC_ITEM_2024valentine_dec_item_3_desc""}")</f>
        <v>{"typ":"lc","txt":"LC_ITEM_2024valentine_dec_item_3_desc"}</v>
      </c>
      <c r="L292" s="148" t="str">
        <f>IFERROR(__xludf.DUMMYFUNCTION("""COMPUTED_VALUE"""),"{}")</f>
        <v>{}</v>
      </c>
      <c r="M292" s="148">
        <f>IFERROR(__xludf.DUMMYFUNCTION("""COMPUTED_VALUE"""),1000.0)</f>
        <v>1000</v>
      </c>
      <c r="N292" s="148">
        <f>IFERROR(__xludf.DUMMYFUNCTION("""COMPUTED_VALUE"""),9.99999999E8)</f>
        <v>999999999</v>
      </c>
      <c r="O292" s="148">
        <f>IFERROR(__xludf.DUMMYFUNCTION("""COMPUTED_VALUE"""),9.99999999E8)</f>
        <v>999999999</v>
      </c>
      <c r="P292" s="148">
        <f>IFERROR(__xludf.DUMMYFUNCTION("""COMPUTED_VALUE"""),9.99999999E8)</f>
        <v>999999999</v>
      </c>
      <c r="Q292" s="148" t="str">
        <f>IFERROR(__xludf.DUMMYFUNCTION("""COMPUTED_VALUE"""),"[""bag_other""]")</f>
        <v>["bag_other"]</v>
      </c>
      <c r="R292" s="148" t="str">
        <f>IFERROR(__xludf.DUMMYFUNCTION("""COMPUTED_VALUE"""),"[]")</f>
        <v>[]</v>
      </c>
      <c r="S292" s="148" t="str">
        <f>IFERROR(__xludf.DUMMYFUNCTION("""COMPUTED_VALUE"""),"{}")</f>
        <v>{}</v>
      </c>
      <c r="T292" s="148">
        <f>IFERROR(__xludf.DUMMYFUNCTION("""COMPUTED_VALUE"""),-1.0)</f>
        <v>-1</v>
      </c>
      <c r="U292" s="148">
        <f>IFERROR(__xludf.DUMMYFUNCTION("""COMPUTED_VALUE"""),0.0)</f>
        <v>0</v>
      </c>
      <c r="V292" s="148" t="str">
        <f>IFERROR(__xludf.DUMMYFUNCTION("""COMPUTED_VALUE"""),"[]")</f>
        <v>[]</v>
      </c>
      <c r="W292" s="148">
        <f>IFERROR(__xludf.DUMMYFUNCTION("""COMPUTED_VALUE"""),1.174E7)</f>
        <v>11740000</v>
      </c>
      <c r="X292" s="148">
        <f>IFERROR(__xludf.DUMMYFUNCTION("""COMPUTED_VALUE"""),0.0)</f>
        <v>0</v>
      </c>
      <c r="Y292" s="148">
        <f>IFERROR(__xludf.DUMMYFUNCTION("""COMPUTED_VALUE"""),0.0)</f>
        <v>0</v>
      </c>
      <c r="Z292" s="148"/>
    </row>
    <row r="293">
      <c r="A293" s="148">
        <f>IFERROR(__xludf.DUMMYFUNCTION("""COMPUTED_VALUE"""),1.1112084E7)</f>
        <v>11112084</v>
      </c>
      <c r="B293" s="148" t="str">
        <f>IFERROR(__xludf.DUMMYFUNCTION("""COMPUTED_VALUE"""),"情人节2024活动专用-增加次数道具")</f>
        <v>情人节2024活动专用-增加次数道具</v>
      </c>
      <c r="C293" s="148"/>
      <c r="D293" s="148" t="str">
        <f>IFERROR(__xludf.DUMMYFUNCTION("""COMPUTED_VALUE"""),"event_progress")</f>
        <v>event_progress</v>
      </c>
      <c r="E293" s="148">
        <f>IFERROR(__xludf.DUMMYFUNCTION("""COMPUTED_VALUE"""),0.0)</f>
        <v>0</v>
      </c>
      <c r="F293" s="148">
        <f>IFERROR(__xludf.DUMMYFUNCTION("""COMPUTED_VALUE"""),0.0)</f>
        <v>0</v>
      </c>
      <c r="G293" s="148">
        <f>IFERROR(__xludf.DUMMYFUNCTION("""COMPUTED_VALUE"""),1.5113625E7)</f>
        <v>15113625</v>
      </c>
      <c r="H293" s="148">
        <f>IFERROR(__xludf.DUMMYFUNCTION("""COMPUTED_VALUE"""),1.5112563E7)</f>
        <v>15112563</v>
      </c>
      <c r="I293" s="148" t="str">
        <f>IFERROR(__xludf.DUMMYFUNCTION("""COMPUTED_VALUE"""),"{}")</f>
        <v>{}</v>
      </c>
      <c r="J293" s="148" t="str">
        <f>IFERROR(__xludf.DUMMYFUNCTION("""COMPUTED_VALUE"""),"{}")</f>
        <v>{}</v>
      </c>
      <c r="K293" s="148" t="str">
        <f>IFERROR(__xludf.DUMMYFUNCTION("""COMPUTED_VALUE"""),"{}")</f>
        <v>{}</v>
      </c>
      <c r="L293" s="148" t="str">
        <f>IFERROR(__xludf.DUMMYFUNCTION("""COMPUTED_VALUE"""),"{}")</f>
        <v>{}</v>
      </c>
      <c r="M293" s="148">
        <f>IFERROR(__xludf.DUMMYFUNCTION("""COMPUTED_VALUE"""),1.0)</f>
        <v>1</v>
      </c>
      <c r="N293" s="148">
        <f>IFERROR(__xludf.DUMMYFUNCTION("""COMPUTED_VALUE"""),999999.0)</f>
        <v>999999</v>
      </c>
      <c r="O293" s="148">
        <f>IFERROR(__xludf.DUMMYFUNCTION("""COMPUTED_VALUE"""),99999.0)</f>
        <v>99999</v>
      </c>
      <c r="P293" s="148">
        <f>IFERROR(__xludf.DUMMYFUNCTION("""COMPUTED_VALUE"""),9999.0)</f>
        <v>9999</v>
      </c>
      <c r="Q293" s="148" t="str">
        <f>IFERROR(__xludf.DUMMYFUNCTION("""COMPUTED_VALUE"""),"[]")</f>
        <v>[]</v>
      </c>
      <c r="R293" s="148" t="str">
        <f>IFERROR(__xludf.DUMMYFUNCTION("""COMPUTED_VALUE"""),"[]")</f>
        <v>[]</v>
      </c>
      <c r="S293" s="148" t="str">
        <f>IFERROR(__xludf.DUMMYFUNCTION("""COMPUTED_VALUE"""),"{""effect"":[{""typ"":""event"",""id"":21127035},{""typ"":""miss_lost_reward""}]}")</f>
        <v>{"effect":[{"typ":"event","id":21127035},{"typ":"miss_lost_reward"}]}</v>
      </c>
      <c r="T293" s="148">
        <f>IFERROR(__xludf.DUMMYFUNCTION("""COMPUTED_VALUE"""),-1.0)</f>
        <v>-1</v>
      </c>
      <c r="U293" s="148">
        <f>IFERROR(__xludf.DUMMYFUNCTION("""COMPUTED_VALUE"""),1.0)</f>
        <v>1</v>
      </c>
      <c r="V293" s="148" t="str">
        <f>IFERROR(__xludf.DUMMYFUNCTION("""COMPUTED_VALUE"""),"[]")</f>
        <v>[]</v>
      </c>
      <c r="W293" s="148">
        <f>IFERROR(__xludf.DUMMYFUNCTION("""COMPUTED_VALUE"""),1.174E7)</f>
        <v>11740000</v>
      </c>
      <c r="X293" s="148">
        <f>IFERROR(__xludf.DUMMYFUNCTION("""COMPUTED_VALUE"""),0.0)</f>
        <v>0</v>
      </c>
      <c r="Y293" s="148">
        <f>IFERROR(__xludf.DUMMYFUNCTION("""COMPUTED_VALUE"""),0.0)</f>
        <v>0</v>
      </c>
      <c r="Z293" s="148"/>
    </row>
    <row r="294">
      <c r="A294" s="148">
        <f>IFERROR(__xludf.DUMMYFUNCTION("""COMPUTED_VALUE"""),1.1112085E7)</f>
        <v>11112085</v>
      </c>
      <c r="B294" s="148" t="str">
        <f>IFERROR(__xludf.DUMMYFUNCTION("""COMPUTED_VALUE"""),"复活节2024-7日箱子奖励")</f>
        <v>复活节2024-7日箱子奖励</v>
      </c>
      <c r="C294" s="148"/>
      <c r="D294" s="148" t="str">
        <f>IFERROR(__xludf.DUMMYFUNCTION("""COMPUTED_VALUE"""),"item_asset")</f>
        <v>item_asset</v>
      </c>
      <c r="E294" s="148">
        <f>IFERROR(__xludf.DUMMYFUNCTION("""COMPUTED_VALUE"""),19.0)</f>
        <v>19</v>
      </c>
      <c r="F294" s="148">
        <f>IFERROR(__xludf.DUMMYFUNCTION("""COMPUTED_VALUE"""),201101.0)</f>
        <v>201101</v>
      </c>
      <c r="G294" s="148">
        <f>IFERROR(__xludf.DUMMYFUNCTION("""COMPUTED_VALUE"""),1.5117141E7)</f>
        <v>15117141</v>
      </c>
      <c r="H294" s="148">
        <f>IFERROR(__xludf.DUMMYFUNCTION("""COMPUTED_VALUE"""),1.5112564E7)</f>
        <v>15112564</v>
      </c>
      <c r="I294" s="148" t="str">
        <f>IFERROR(__xludf.DUMMYFUNCTION("""COMPUTED_VALUE"""),"{}")</f>
        <v>{}</v>
      </c>
      <c r="J294" s="148" t="str">
        <f>IFERROR(__xludf.DUMMYFUNCTION("""COMPUTED_VALUE"""),"{""typ"":""lc"",""txt"":""LC_ITEM_seven_day_box_name""}")</f>
        <v>{"typ":"lc","txt":"LC_ITEM_seven_day_box_name"}</v>
      </c>
      <c r="K294" s="148" t="str">
        <f>IFERROR(__xludf.DUMMYFUNCTION("""COMPUTED_VALUE"""),"{""typ"":""lc"",""txt"":""LC_ITEM_seven_day_box_desc""}")</f>
        <v>{"typ":"lc","txt":"LC_ITEM_seven_day_box_desc"}</v>
      </c>
      <c r="L294" s="148" t="str">
        <f>IFERROR(__xludf.DUMMYFUNCTION("""COMPUTED_VALUE"""),"{""typ"":""lc"",""txt"":""LC_ITEM_horde_elite_box_usedtip""}")</f>
        <v>{"typ":"lc","txt":"LC_ITEM_horde_elite_box_usedtip"}</v>
      </c>
      <c r="M294" s="148">
        <f>IFERROR(__xludf.DUMMYFUNCTION("""COMPUTED_VALUE"""),40.0)</f>
        <v>40</v>
      </c>
      <c r="N294" s="148">
        <f>IFERROR(__xludf.DUMMYFUNCTION("""COMPUTED_VALUE"""),999999.0)</f>
        <v>999999</v>
      </c>
      <c r="O294" s="148">
        <f>IFERROR(__xludf.DUMMYFUNCTION("""COMPUTED_VALUE"""),99999.0)</f>
        <v>99999</v>
      </c>
      <c r="P294" s="148">
        <f>IFERROR(__xludf.DUMMYFUNCTION("""COMPUTED_VALUE"""),99999.0)</f>
        <v>99999</v>
      </c>
      <c r="Q294" s="148" t="str">
        <f>IFERROR(__xludf.DUMMYFUNCTION("""COMPUTED_VALUE"""),"[""bag_other""]")</f>
        <v>["bag_other"]</v>
      </c>
      <c r="R294" s="148" t="str">
        <f>IFERROR(__xludf.DUMMYFUNCTION("""COMPUTED_VALUE"""),"[""bag""]")</f>
        <v>["bag"]</v>
      </c>
      <c r="S294" s="148" t="str">
        <f>IFERROR(__xludf.DUMMYFUNCTION("""COMPUTED_VALUE"""),"{""drop"":{""typ"":""single_random"",""num"":1,""args"":[{""typ"":""item"",""id"":11116304,""num"":1,""wgt"":60},{""typ"":""item"",""id"":11118501,""num"":1,""wgt"":60},{""typ"":""item"",""id"":11117069,""num"":1,""wgt"":100},{""typ"":""item"",""id"":1111"&amp;"4330,""num"":1,""wgt"":600},{""typ"":""item"",""id"":11116111,""num"":1,""wgt"":60},{""typ"":""item"",""id"":11116110,""num"":1,""wgt"":200},{""typ"":""item"",""id"":11117024,""num"":1,""wgt"":400},{""typ"":""item"",""id"":11117068,""num"":10,""wgt"":800}"&amp;",{""typ"":""item"",""id"":11111105,""num"":1,""wgt"":600},{""typ"":""item"",""id"":11111103,""num"":2,""wgt"":1200}]}}")</f>
        <v>{"drop":{"typ":"single_random","num":1,"args":[{"typ":"item","id":11116304,"num":1,"wgt":60},{"typ":"item","id":11118501,"num":1,"wgt":60},{"typ":"item","id":11117069,"num":1,"wgt":100},{"typ":"item","id":11114330,"num":1,"wgt":600},{"typ":"item","id":11116111,"num":1,"wgt":60},{"typ":"item","id":11116110,"num":1,"wgt":200},{"typ":"item","id":11117024,"num":1,"wgt":400},{"typ":"item","id":11117068,"num":10,"wgt":800},{"typ":"item","id":11111105,"num":1,"wgt":600},{"typ":"item","id":11111103,"num":2,"wgt":1200}]}}</v>
      </c>
      <c r="T294" s="148">
        <f>IFERROR(__xludf.DUMMYFUNCTION("""COMPUTED_VALUE"""),-1.0)</f>
        <v>-1</v>
      </c>
      <c r="U294" s="148">
        <f>IFERROR(__xludf.DUMMYFUNCTION("""COMPUTED_VALUE"""),0.0)</f>
        <v>0</v>
      </c>
      <c r="V294" s="148" t="str">
        <f>IFERROR(__xludf.DUMMYFUNCTION("""COMPUTED_VALUE"""),"[]")</f>
        <v>[]</v>
      </c>
      <c r="W294" s="148">
        <f>IFERROR(__xludf.DUMMYFUNCTION("""COMPUTED_VALUE"""),1.174E7)</f>
        <v>11740000</v>
      </c>
      <c r="X294" s="148">
        <f>IFERROR(__xludf.DUMMYFUNCTION("""COMPUTED_VALUE"""),0.0)</f>
        <v>0</v>
      </c>
      <c r="Y294" s="148">
        <f>IFERROR(__xludf.DUMMYFUNCTION("""COMPUTED_VALUE"""),0.0)</f>
        <v>0</v>
      </c>
      <c r="Z294" s="148"/>
    </row>
    <row r="295">
      <c r="A295" s="148">
        <f>IFERROR(__xludf.DUMMYFUNCTION("""COMPUTED_VALUE"""),1.1112086E7)</f>
        <v>11112086</v>
      </c>
      <c r="B295" s="148" t="str">
        <f>IFERROR(__xludf.DUMMYFUNCTION("""COMPUTED_VALUE"""),"复活节2024活动专用-增加次数道具")</f>
        <v>复活节2024活动专用-增加次数道具</v>
      </c>
      <c r="C295" s="148"/>
      <c r="D295" s="148" t="str">
        <f>IFERROR(__xludf.DUMMYFUNCTION("""COMPUTED_VALUE"""),"event_progress")</f>
        <v>event_progress</v>
      </c>
      <c r="E295" s="148">
        <f>IFERROR(__xludf.DUMMYFUNCTION("""COMPUTED_VALUE"""),0.0)</f>
        <v>0</v>
      </c>
      <c r="F295" s="148">
        <f>IFERROR(__xludf.DUMMYFUNCTION("""COMPUTED_VALUE"""),0.0)</f>
        <v>0</v>
      </c>
      <c r="G295" s="148">
        <f>IFERROR(__xludf.DUMMYFUNCTION("""COMPUTED_VALUE"""),1.5113732E7)</f>
        <v>15113732</v>
      </c>
      <c r="H295" s="148">
        <f>IFERROR(__xludf.DUMMYFUNCTION("""COMPUTED_VALUE"""),1.5112563E7)</f>
        <v>15112563</v>
      </c>
      <c r="I295" s="148" t="str">
        <f>IFERROR(__xludf.DUMMYFUNCTION("""COMPUTED_VALUE"""),"{}")</f>
        <v>{}</v>
      </c>
      <c r="J295" s="148" t="str">
        <f>IFERROR(__xludf.DUMMYFUNCTION("""COMPUTED_VALUE"""),"{}")</f>
        <v>{}</v>
      </c>
      <c r="K295" s="148" t="str">
        <f>IFERROR(__xludf.DUMMYFUNCTION("""COMPUTED_VALUE"""),"{}")</f>
        <v>{}</v>
      </c>
      <c r="L295" s="148" t="str">
        <f>IFERROR(__xludf.DUMMYFUNCTION("""COMPUTED_VALUE"""),"{}")</f>
        <v>{}</v>
      </c>
      <c r="M295" s="148">
        <f>IFERROR(__xludf.DUMMYFUNCTION("""COMPUTED_VALUE"""),1.0)</f>
        <v>1</v>
      </c>
      <c r="N295" s="148">
        <f>IFERROR(__xludf.DUMMYFUNCTION("""COMPUTED_VALUE"""),999999.0)</f>
        <v>999999</v>
      </c>
      <c r="O295" s="148">
        <f>IFERROR(__xludf.DUMMYFUNCTION("""COMPUTED_VALUE"""),99999.0)</f>
        <v>99999</v>
      </c>
      <c r="P295" s="148">
        <f>IFERROR(__xludf.DUMMYFUNCTION("""COMPUTED_VALUE"""),9999.0)</f>
        <v>9999</v>
      </c>
      <c r="Q295" s="148" t="str">
        <f>IFERROR(__xludf.DUMMYFUNCTION("""COMPUTED_VALUE"""),"[]")</f>
        <v>[]</v>
      </c>
      <c r="R295" s="148" t="str">
        <f>IFERROR(__xludf.DUMMYFUNCTION("""COMPUTED_VALUE"""),"[]")</f>
        <v>[]</v>
      </c>
      <c r="S295" s="148" t="str">
        <f>IFERROR(__xludf.DUMMYFUNCTION("""COMPUTED_VALUE"""),"{""effect"":[{""typ"":""event"",""id"":21127056},{""typ"":""miss_lost_reward""}]}")</f>
        <v>{"effect":[{"typ":"event","id":21127056},{"typ":"miss_lost_reward"}]}</v>
      </c>
      <c r="T295" s="148">
        <f>IFERROR(__xludf.DUMMYFUNCTION("""COMPUTED_VALUE"""),-1.0)</f>
        <v>-1</v>
      </c>
      <c r="U295" s="148">
        <f>IFERROR(__xludf.DUMMYFUNCTION("""COMPUTED_VALUE"""),1.0)</f>
        <v>1</v>
      </c>
      <c r="V295" s="148" t="str">
        <f>IFERROR(__xludf.DUMMYFUNCTION("""COMPUTED_VALUE"""),"[]")</f>
        <v>[]</v>
      </c>
      <c r="W295" s="148">
        <f>IFERROR(__xludf.DUMMYFUNCTION("""COMPUTED_VALUE"""),1.174E7)</f>
        <v>11740000</v>
      </c>
      <c r="X295" s="148">
        <f>IFERROR(__xludf.DUMMYFUNCTION("""COMPUTED_VALUE"""),0.0)</f>
        <v>0</v>
      </c>
      <c r="Y295" s="148">
        <f>IFERROR(__xludf.DUMMYFUNCTION("""COMPUTED_VALUE"""),0.0)</f>
        <v>0</v>
      </c>
      <c r="Z295" s="148"/>
    </row>
    <row r="296">
      <c r="A296" s="148">
        <f>IFERROR(__xludf.DUMMYFUNCTION("""COMPUTED_VALUE"""),1.1112087E7)</f>
        <v>11112087</v>
      </c>
      <c r="B296" s="148" t="str">
        <f>IFERROR(__xludf.DUMMYFUNCTION("""COMPUTED_VALUE"""),"复活节2024活动-解锁宝箱礼包钥匙")</f>
        <v>复活节2024活动-解锁宝箱礼包钥匙</v>
      </c>
      <c r="C296" s="148"/>
      <c r="D296" s="148" t="str">
        <f>IFERROR(__xludf.DUMMYFUNCTION("""COMPUTED_VALUE"""),"event")</f>
        <v>event</v>
      </c>
      <c r="E296" s="148">
        <f>IFERROR(__xludf.DUMMYFUNCTION("""COMPUTED_VALUE"""),0.0)</f>
        <v>0</v>
      </c>
      <c r="F296" s="148">
        <f>IFERROR(__xludf.DUMMYFUNCTION("""COMPUTED_VALUE"""),0.0)</f>
        <v>0</v>
      </c>
      <c r="G296" s="148">
        <f>IFERROR(__xludf.DUMMYFUNCTION("""COMPUTED_VALUE"""),1.5117142E7)</f>
        <v>15117142</v>
      </c>
      <c r="H296" s="148">
        <f>IFERROR(__xludf.DUMMYFUNCTION("""COMPUTED_VALUE"""),1.5112564E7)</f>
        <v>15112564</v>
      </c>
      <c r="I296" s="148" t="str">
        <f>IFERROR(__xludf.DUMMYFUNCTION("""COMPUTED_VALUE"""),"{}")</f>
        <v>{}</v>
      </c>
      <c r="J296" s="148" t="str">
        <f>IFERROR(__xludf.DUMMYFUNCTION("""COMPUTED_VALUE"""),"{""typ"":""lc"",""txt"":""LC_ITEM_seven_day_box_key_name""}")</f>
        <v>{"typ":"lc","txt":"LC_ITEM_seven_day_box_key_name"}</v>
      </c>
      <c r="K296" s="148" t="str">
        <f>IFERROR(__xludf.DUMMYFUNCTION("""COMPUTED_VALUE"""),"{""typ"":""lc"",""txt"":""LC_ITEM_seven_day_box_key_desc""}")</f>
        <v>{"typ":"lc","txt":"LC_ITEM_seven_day_box_key_desc"}</v>
      </c>
      <c r="L296" s="148" t="str">
        <f>IFERROR(__xludf.DUMMYFUNCTION("""COMPUTED_VALUE"""),"{}")</f>
        <v>{}</v>
      </c>
      <c r="M296" s="148">
        <f>IFERROR(__xludf.DUMMYFUNCTION("""COMPUTED_VALUE"""),10.0)</f>
        <v>10</v>
      </c>
      <c r="N296" s="148">
        <f>IFERROR(__xludf.DUMMYFUNCTION("""COMPUTED_VALUE"""),999999.0)</f>
        <v>999999</v>
      </c>
      <c r="O296" s="148">
        <f>IFERROR(__xludf.DUMMYFUNCTION("""COMPUTED_VALUE"""),99999.0)</f>
        <v>99999</v>
      </c>
      <c r="P296" s="148">
        <f>IFERROR(__xludf.DUMMYFUNCTION("""COMPUTED_VALUE"""),9999.0)</f>
        <v>9999</v>
      </c>
      <c r="Q296" s="148" t="str">
        <f>IFERROR(__xludf.DUMMYFUNCTION("""COMPUTED_VALUE"""),"[""bag_other""]")</f>
        <v>["bag_other"]</v>
      </c>
      <c r="R296" s="148" t="str">
        <f>IFERROR(__xludf.DUMMYFUNCTION("""COMPUTED_VALUE"""),"[]")</f>
        <v>[]</v>
      </c>
      <c r="S296" s="148" t="str">
        <f>IFERROR(__xludf.DUMMYFUNCTION("""COMPUTED_VALUE"""),"{}")</f>
        <v>{}</v>
      </c>
      <c r="T296" s="148">
        <f>IFERROR(__xludf.DUMMYFUNCTION("""COMPUTED_VALUE"""),-1.0)</f>
        <v>-1</v>
      </c>
      <c r="U296" s="148">
        <f>IFERROR(__xludf.DUMMYFUNCTION("""COMPUTED_VALUE"""),0.0)</f>
        <v>0</v>
      </c>
      <c r="V296" s="148" t="str">
        <f>IFERROR(__xludf.DUMMYFUNCTION("""COMPUTED_VALUE"""),"[]")</f>
        <v>[]</v>
      </c>
      <c r="W296" s="148">
        <f>IFERROR(__xludf.DUMMYFUNCTION("""COMPUTED_VALUE"""),1.174E7)</f>
        <v>11740000</v>
      </c>
      <c r="X296" s="148">
        <f>IFERROR(__xludf.DUMMYFUNCTION("""COMPUTED_VALUE"""),0.0)</f>
        <v>0</v>
      </c>
      <c r="Y296" s="148">
        <f>IFERROR(__xludf.DUMMYFUNCTION("""COMPUTED_VALUE"""),0.0)</f>
        <v>0</v>
      </c>
      <c r="Z296" s="148"/>
    </row>
    <row r="297">
      <c r="A297" s="148">
        <f>IFERROR(__xludf.DUMMYFUNCTION("""COMPUTED_VALUE"""),1.1112088E7)</f>
        <v>11112088</v>
      </c>
      <c r="B297" s="148" t="str">
        <f>IFERROR(__xludf.DUMMYFUNCTION("""COMPUTED_VALUE"""),"复活节2024-7日活动宝箱-显示用")</f>
        <v>复活节2024-7日活动宝箱-显示用</v>
      </c>
      <c r="C297" s="148"/>
      <c r="D297" s="148" t="str">
        <f>IFERROR(__xludf.DUMMYFUNCTION("""COMPUTED_VALUE"""),"event")</f>
        <v>event</v>
      </c>
      <c r="E297" s="148">
        <f>IFERROR(__xludf.DUMMYFUNCTION("""COMPUTED_VALUE"""),0.0)</f>
        <v>0</v>
      </c>
      <c r="F297" s="148">
        <f>IFERROR(__xludf.DUMMYFUNCTION("""COMPUTED_VALUE"""),0.0)</f>
        <v>0</v>
      </c>
      <c r="G297" s="148">
        <f>IFERROR(__xludf.DUMMYFUNCTION("""COMPUTED_VALUE"""),1.5117141E7)</f>
        <v>15117141</v>
      </c>
      <c r="H297" s="148">
        <f>IFERROR(__xludf.DUMMYFUNCTION("""COMPUTED_VALUE"""),1.5112564E7)</f>
        <v>15112564</v>
      </c>
      <c r="I297" s="148" t="str">
        <f>IFERROR(__xludf.DUMMYFUNCTION("""COMPUTED_VALUE"""),"{}")</f>
        <v>{}</v>
      </c>
      <c r="J297" s="148" t="str">
        <f>IFERROR(__xludf.DUMMYFUNCTION("""COMPUTED_VALUE"""),"{""typ"":""lc"",""txt"":""LC_ITEM_seven_day_box_name""}")</f>
        <v>{"typ":"lc","txt":"LC_ITEM_seven_day_box_name"}</v>
      </c>
      <c r="K297" s="148" t="str">
        <f>IFERROR(__xludf.DUMMYFUNCTION("""COMPUTED_VALUE"""),"{""typ"":""lc"",""txt"":""LC_ITEM_seven_day_box_desc""}")</f>
        <v>{"typ":"lc","txt":"LC_ITEM_seven_day_box_desc"}</v>
      </c>
      <c r="L297" s="148" t="str">
        <f>IFERROR(__xludf.DUMMYFUNCTION("""COMPUTED_VALUE"""),"{}")</f>
        <v>{}</v>
      </c>
      <c r="M297" s="148">
        <f>IFERROR(__xludf.DUMMYFUNCTION("""COMPUTED_VALUE"""),1.0)</f>
        <v>1</v>
      </c>
      <c r="N297" s="148">
        <f>IFERROR(__xludf.DUMMYFUNCTION("""COMPUTED_VALUE"""),999999.0)</f>
        <v>999999</v>
      </c>
      <c r="O297" s="148">
        <f>IFERROR(__xludf.DUMMYFUNCTION("""COMPUTED_VALUE"""),99999.0)</f>
        <v>99999</v>
      </c>
      <c r="P297" s="148">
        <f>IFERROR(__xludf.DUMMYFUNCTION("""COMPUTED_VALUE"""),9999.0)</f>
        <v>9999</v>
      </c>
      <c r="Q297" s="148" t="str">
        <f>IFERROR(__xludf.DUMMYFUNCTION("""COMPUTED_VALUE"""),"[]")</f>
        <v>[]</v>
      </c>
      <c r="R297" s="148" t="str">
        <f>IFERROR(__xludf.DUMMYFUNCTION("""COMPUTED_VALUE"""),"[]")</f>
        <v>[]</v>
      </c>
      <c r="S297" s="148" t="str">
        <f>IFERROR(__xludf.DUMMYFUNCTION("""COMPUTED_VALUE"""),"{""effect"":[{""typ"":""miss_lost_reward""}]}")</f>
        <v>{"effect":[{"typ":"miss_lost_reward"}]}</v>
      </c>
      <c r="T297" s="148">
        <f>IFERROR(__xludf.DUMMYFUNCTION("""COMPUTED_VALUE"""),-1.0)</f>
        <v>-1</v>
      </c>
      <c r="U297" s="148">
        <f>IFERROR(__xludf.DUMMYFUNCTION("""COMPUTED_VALUE"""),1.0)</f>
        <v>1</v>
      </c>
      <c r="V297" s="148" t="str">
        <f>IFERROR(__xludf.DUMMYFUNCTION("""COMPUTED_VALUE"""),"[]")</f>
        <v>[]</v>
      </c>
      <c r="W297" s="148">
        <f>IFERROR(__xludf.DUMMYFUNCTION("""COMPUTED_VALUE"""),1.174E7)</f>
        <v>11740000</v>
      </c>
      <c r="X297" s="148">
        <f>IFERROR(__xludf.DUMMYFUNCTION("""COMPUTED_VALUE"""),0.0)</f>
        <v>0</v>
      </c>
      <c r="Y297" s="148">
        <f>IFERROR(__xludf.DUMMYFUNCTION("""COMPUTED_VALUE"""),0.0)</f>
        <v>0</v>
      </c>
      <c r="Z297" s="148"/>
    </row>
    <row r="298">
      <c r="A298" s="148">
        <f>IFERROR(__xludf.DUMMYFUNCTION("""COMPUTED_VALUE"""),1.1112089E7)</f>
        <v>11112089</v>
      </c>
      <c r="B298" s="148" t="str">
        <f>IFERROR(__xludf.DUMMYFUNCTION("""COMPUTED_VALUE"""),"复活节通用BattlePass-初级通行证")</f>
        <v>复活节通用BattlePass-初级通行证</v>
      </c>
      <c r="C298" s="148"/>
      <c r="D298" s="148" t="str">
        <f>IFERROR(__xludf.DUMMYFUNCTION("""COMPUTED_VALUE"""),"battle_pass_card")</f>
        <v>battle_pass_card</v>
      </c>
      <c r="E298" s="148">
        <f>IFERROR(__xludf.DUMMYFUNCTION("""COMPUTED_VALUE"""),0.0)</f>
        <v>0</v>
      </c>
      <c r="F298" s="148">
        <f>IFERROR(__xludf.DUMMYFUNCTION("""COMPUTED_VALUE"""),0.0)</f>
        <v>0</v>
      </c>
      <c r="G298" s="148">
        <f>IFERROR(__xludf.DUMMYFUNCTION("""COMPUTED_VALUE"""),1.5116108E7)</f>
        <v>15116108</v>
      </c>
      <c r="H298" s="148">
        <f>IFERROR(__xludf.DUMMYFUNCTION("""COMPUTED_VALUE"""),1.5112563E7)</f>
        <v>15112563</v>
      </c>
      <c r="I298" s="148" t="str">
        <f>IFERROR(__xludf.DUMMYFUNCTION("""COMPUTED_VALUE"""),"{}")</f>
        <v>{}</v>
      </c>
      <c r="J298" s="148" t="str">
        <f>IFERROR(__xludf.DUMMYFUNCTION("""COMPUTED_VALUE"""),"{""typ"":""lc"",""txt"":""LC_IAP_2023_easter_bp_pack_unlock_1""}")</f>
        <v>{"typ":"lc","txt":"LC_IAP_2023_easter_bp_pack_unlock_1"}</v>
      </c>
      <c r="K298" s="148" t="str">
        <f>IFERROR(__xludf.DUMMYFUNCTION("""COMPUTED_VALUE"""),"{}")</f>
        <v>{}</v>
      </c>
      <c r="L298" s="148" t="str">
        <f>IFERROR(__xludf.DUMMYFUNCTION("""COMPUTED_VALUE"""),"{}")</f>
        <v>{}</v>
      </c>
      <c r="M298" s="148">
        <f>IFERROR(__xludf.DUMMYFUNCTION("""COMPUTED_VALUE"""),10.0)</f>
        <v>10</v>
      </c>
      <c r="N298" s="148">
        <f>IFERROR(__xludf.DUMMYFUNCTION("""COMPUTED_VALUE"""),999999.0)</f>
        <v>999999</v>
      </c>
      <c r="O298" s="148">
        <f>IFERROR(__xludf.DUMMYFUNCTION("""COMPUTED_VALUE"""),99999.0)</f>
        <v>99999</v>
      </c>
      <c r="P298" s="148">
        <f>IFERROR(__xludf.DUMMYFUNCTION("""COMPUTED_VALUE"""),9999.0)</f>
        <v>9999</v>
      </c>
      <c r="Q298" s="148" t="str">
        <f>IFERROR(__xludf.DUMMYFUNCTION("""COMPUTED_VALUE"""),"[]")</f>
        <v>[]</v>
      </c>
      <c r="R298" s="148" t="str">
        <f>IFERROR(__xludf.DUMMYFUNCTION("""COMPUTED_VALUE"""),"[]")</f>
        <v>[]</v>
      </c>
      <c r="S298" s="148" t="str">
        <f>IFERROR(__xludf.DUMMYFUNCTION("""COMPUTED_VALUE"""),"{}")</f>
        <v>{}</v>
      </c>
      <c r="T298" s="148">
        <f>IFERROR(__xludf.DUMMYFUNCTION("""COMPUTED_VALUE"""),-1.0)</f>
        <v>-1</v>
      </c>
      <c r="U298" s="148">
        <f>IFERROR(__xludf.DUMMYFUNCTION("""COMPUTED_VALUE"""),1.0)</f>
        <v>1</v>
      </c>
      <c r="V298" s="148" t="str">
        <f>IFERROR(__xludf.DUMMYFUNCTION("""COMPUTED_VALUE"""),"[]")</f>
        <v>[]</v>
      </c>
      <c r="W298" s="148">
        <f>IFERROR(__xludf.DUMMYFUNCTION("""COMPUTED_VALUE"""),1.174E7)</f>
        <v>11740000</v>
      </c>
      <c r="X298" s="148">
        <f>IFERROR(__xludf.DUMMYFUNCTION("""COMPUTED_VALUE"""),0.0)</f>
        <v>0</v>
      </c>
      <c r="Y298" s="148">
        <f>IFERROR(__xludf.DUMMYFUNCTION("""COMPUTED_VALUE"""),0.0)</f>
        <v>0</v>
      </c>
      <c r="Z298" s="148"/>
    </row>
    <row r="299">
      <c r="A299" s="148">
        <f>IFERROR(__xludf.DUMMYFUNCTION("""COMPUTED_VALUE"""),1.111209E7)</f>
        <v>11112090</v>
      </c>
      <c r="B299" s="148" t="str">
        <f>IFERROR(__xludf.DUMMYFUNCTION("""COMPUTED_VALUE"""),"复活节通用BattlePass-高级通行证")</f>
        <v>复活节通用BattlePass-高级通行证</v>
      </c>
      <c r="C299" s="148"/>
      <c r="D299" s="148" t="str">
        <f>IFERROR(__xludf.DUMMYFUNCTION("""COMPUTED_VALUE"""),"battle_pass_card")</f>
        <v>battle_pass_card</v>
      </c>
      <c r="E299" s="148">
        <f>IFERROR(__xludf.DUMMYFUNCTION("""COMPUTED_VALUE"""),0.0)</f>
        <v>0</v>
      </c>
      <c r="F299" s="148">
        <f>IFERROR(__xludf.DUMMYFUNCTION("""COMPUTED_VALUE"""),0.0)</f>
        <v>0</v>
      </c>
      <c r="G299" s="148">
        <f>IFERROR(__xludf.DUMMYFUNCTION("""COMPUTED_VALUE"""),1.5116108E7)</f>
        <v>15116108</v>
      </c>
      <c r="H299" s="148">
        <f>IFERROR(__xludf.DUMMYFUNCTION("""COMPUTED_VALUE"""),1.5112564E7)</f>
        <v>15112564</v>
      </c>
      <c r="I299" s="148" t="str">
        <f>IFERROR(__xludf.DUMMYFUNCTION("""COMPUTED_VALUE"""),"{}")</f>
        <v>{}</v>
      </c>
      <c r="J299" s="148" t="str">
        <f>IFERROR(__xludf.DUMMYFUNCTION("""COMPUTED_VALUE"""),"{""typ"":""lc"",""txt"":""LC_IAP_2023_easter_bp_pack_unlock_2""}")</f>
        <v>{"typ":"lc","txt":"LC_IAP_2023_easter_bp_pack_unlock_2"}</v>
      </c>
      <c r="K299" s="148" t="str">
        <f>IFERROR(__xludf.DUMMYFUNCTION("""COMPUTED_VALUE"""),"{}")</f>
        <v>{}</v>
      </c>
      <c r="L299" s="148" t="str">
        <f>IFERROR(__xludf.DUMMYFUNCTION("""COMPUTED_VALUE"""),"{}")</f>
        <v>{}</v>
      </c>
      <c r="M299" s="148">
        <f>IFERROR(__xludf.DUMMYFUNCTION("""COMPUTED_VALUE"""),10.0)</f>
        <v>10</v>
      </c>
      <c r="N299" s="148">
        <f>IFERROR(__xludf.DUMMYFUNCTION("""COMPUTED_VALUE"""),999999.0)</f>
        <v>999999</v>
      </c>
      <c r="O299" s="148">
        <f>IFERROR(__xludf.DUMMYFUNCTION("""COMPUTED_VALUE"""),99999.0)</f>
        <v>99999</v>
      </c>
      <c r="P299" s="148">
        <f>IFERROR(__xludf.DUMMYFUNCTION("""COMPUTED_VALUE"""),9999.0)</f>
        <v>9999</v>
      </c>
      <c r="Q299" s="148" t="str">
        <f>IFERROR(__xludf.DUMMYFUNCTION("""COMPUTED_VALUE"""),"[]")</f>
        <v>[]</v>
      </c>
      <c r="R299" s="148" t="str">
        <f>IFERROR(__xludf.DUMMYFUNCTION("""COMPUTED_VALUE"""),"[]")</f>
        <v>[]</v>
      </c>
      <c r="S299" s="148" t="str">
        <f>IFERROR(__xludf.DUMMYFUNCTION("""COMPUTED_VALUE"""),"{}")</f>
        <v>{}</v>
      </c>
      <c r="T299" s="148">
        <f>IFERROR(__xludf.DUMMYFUNCTION("""COMPUTED_VALUE"""),-1.0)</f>
        <v>-1</v>
      </c>
      <c r="U299" s="148">
        <f>IFERROR(__xludf.DUMMYFUNCTION("""COMPUTED_VALUE"""),1.0)</f>
        <v>1</v>
      </c>
      <c r="V299" s="148" t="str">
        <f>IFERROR(__xludf.DUMMYFUNCTION("""COMPUTED_VALUE"""),"[]")</f>
        <v>[]</v>
      </c>
      <c r="W299" s="148">
        <f>IFERROR(__xludf.DUMMYFUNCTION("""COMPUTED_VALUE"""),1.174E7)</f>
        <v>11740000</v>
      </c>
      <c r="X299" s="148">
        <f>IFERROR(__xludf.DUMMYFUNCTION("""COMPUTED_VALUE"""),0.0)</f>
        <v>0</v>
      </c>
      <c r="Y299" s="148">
        <f>IFERROR(__xludf.DUMMYFUNCTION("""COMPUTED_VALUE"""),0.0)</f>
        <v>0</v>
      </c>
      <c r="Z299" s="148"/>
    </row>
    <row r="300">
      <c r="A300" s="148">
        <f>IFERROR(__xludf.DUMMYFUNCTION("""COMPUTED_VALUE"""),1.1112091E7)</f>
        <v>11112091</v>
      </c>
      <c r="B300" s="148" t="str">
        <f>IFERROR(__xludf.DUMMYFUNCTION("""COMPUTED_VALUE"""),"魔术棒-复活节通用活动BP道具")</f>
        <v>魔术棒-复活节通用活动BP道具</v>
      </c>
      <c r="C300" s="148"/>
      <c r="D300" s="148" t="str">
        <f>IFERROR(__xludf.DUMMYFUNCTION("""COMPUTED_VALUE"""),"battle_pass_exp")</f>
        <v>battle_pass_exp</v>
      </c>
      <c r="E300" s="148">
        <f>IFERROR(__xludf.DUMMYFUNCTION("""COMPUTED_VALUE"""),0.0)</f>
        <v>0</v>
      </c>
      <c r="F300" s="148">
        <f>IFERROR(__xludf.DUMMYFUNCTION("""COMPUTED_VALUE"""),405217.0)</f>
        <v>405217</v>
      </c>
      <c r="G300" s="148">
        <f>IFERROR(__xludf.DUMMYFUNCTION("""COMPUTED_VALUE"""),1.5116108E7)</f>
        <v>15116108</v>
      </c>
      <c r="H300" s="148">
        <f>IFERROR(__xludf.DUMMYFUNCTION("""COMPUTED_VALUE"""),1.5112563E7)</f>
        <v>15112563</v>
      </c>
      <c r="I300" s="148" t="str">
        <f>IFERROR(__xludf.DUMMYFUNCTION("""COMPUTED_VALUE"""),"{}")</f>
        <v>{}</v>
      </c>
      <c r="J300" s="148" t="str">
        <f>IFERROR(__xludf.DUMMYFUNCTION("""COMPUTED_VALUE"""),"{""typ"":""lc"",""txt"":""LC_ITEM_easter2023_bp_item_name""}")</f>
        <v>{"typ":"lc","txt":"LC_ITEM_easter2023_bp_item_name"}</v>
      </c>
      <c r="K300" s="148" t="str">
        <f>IFERROR(__xludf.DUMMYFUNCTION("""COMPUTED_VALUE"""),"{""typ"":""lc"",""txt"":""LC_ITEM_easter2023_bp_item_name_desc""}")</f>
        <v>{"typ":"lc","txt":"LC_ITEM_easter2023_bp_item_name_desc"}</v>
      </c>
      <c r="L300" s="148" t="str">
        <f>IFERROR(__xludf.DUMMYFUNCTION("""COMPUTED_VALUE"""),"{}")</f>
        <v>{}</v>
      </c>
      <c r="M300" s="148">
        <f>IFERROR(__xludf.DUMMYFUNCTION("""COMPUTED_VALUE"""),35.0)</f>
        <v>35</v>
      </c>
      <c r="N300" s="148">
        <f>IFERROR(__xludf.DUMMYFUNCTION("""COMPUTED_VALUE"""),999999.0)</f>
        <v>999999</v>
      </c>
      <c r="O300" s="148">
        <f>IFERROR(__xludf.DUMMYFUNCTION("""COMPUTED_VALUE"""),99999.0)</f>
        <v>99999</v>
      </c>
      <c r="P300" s="148">
        <f>IFERROR(__xludf.DUMMYFUNCTION("""COMPUTED_VALUE"""),99999.0)</f>
        <v>99999</v>
      </c>
      <c r="Q300" s="148" t="str">
        <f>IFERROR(__xludf.DUMMYFUNCTION("""COMPUTED_VALUE"""),"[""bag_other""]")</f>
        <v>["bag_other"]</v>
      </c>
      <c r="R300" s="148" t="str">
        <f>IFERROR(__xludf.DUMMYFUNCTION("""COMPUTED_VALUE"""),"[""bag""]")</f>
        <v>["bag"]</v>
      </c>
      <c r="S300" s="148" t="str">
        <f>IFERROR(__xludf.DUMMYFUNCTION("""COMPUTED_VALUE"""),"{}")</f>
        <v>{}</v>
      </c>
      <c r="T300" s="148">
        <f>IFERROR(__xludf.DUMMYFUNCTION("""COMPUTED_VALUE"""),-1.0)</f>
        <v>-1</v>
      </c>
      <c r="U300" s="148">
        <f>IFERROR(__xludf.DUMMYFUNCTION("""COMPUTED_VALUE"""),0.0)</f>
        <v>0</v>
      </c>
      <c r="V300" s="148" t="str">
        <f>IFERROR(__xludf.DUMMYFUNCTION("""COMPUTED_VALUE"""),"[]")</f>
        <v>[]</v>
      </c>
      <c r="W300" s="148">
        <f>IFERROR(__xludf.DUMMYFUNCTION("""COMPUTED_VALUE"""),1.174E7)</f>
        <v>11740000</v>
      </c>
      <c r="X300" s="148">
        <f>IFERROR(__xludf.DUMMYFUNCTION("""COMPUTED_VALUE"""),0.0)</f>
        <v>0</v>
      </c>
      <c r="Y300" s="148">
        <f>IFERROR(__xludf.DUMMYFUNCTION("""COMPUTED_VALUE"""),0.0)</f>
        <v>0</v>
      </c>
      <c r="Z300" s="148"/>
    </row>
    <row r="301">
      <c r="A301" s="148">
        <f>IFERROR(__xludf.DUMMYFUNCTION("""COMPUTED_VALUE"""),1.1112092E7)</f>
        <v>11112092</v>
      </c>
      <c r="B301" s="148" t="str">
        <f>IFERROR(__xludf.DUMMYFUNCTION("""COMPUTED_VALUE"""),"2024复活节行军特效-踏春同行-1天限时")</f>
        <v>2024复活节行军特效-踏春同行-1天限时</v>
      </c>
      <c r="C301" s="148"/>
      <c r="D301" s="148" t="str">
        <f>IFERROR(__xludf.DUMMYFUNCTION("""COMPUTED_VALUE"""),"marching_effect")</f>
        <v>marching_effect</v>
      </c>
      <c r="E301" s="148">
        <f>IFERROR(__xludf.DUMMYFUNCTION("""COMPUTED_VALUE"""),0.0)</f>
        <v>0</v>
      </c>
      <c r="F301" s="148">
        <f>IFERROR(__xludf.DUMMYFUNCTION("""COMPUTED_VALUE"""),408200.0)</f>
        <v>408200</v>
      </c>
      <c r="G301" s="148">
        <f>IFERROR(__xludf.DUMMYFUNCTION("""COMPUTED_VALUE"""),1.5118676E7)</f>
        <v>15118676</v>
      </c>
      <c r="H301" s="148">
        <f>IFERROR(__xludf.DUMMYFUNCTION("""COMPUTED_VALUE"""),1.511256E7)</f>
        <v>15112560</v>
      </c>
      <c r="I301" s="148" t="str">
        <f>IFERROR(__xludf.DUMMYFUNCTION("""COMPUTED_VALUE"""),"{""typ"":""lc"",""txt"":""LC_ITEM_time_day_upper_show"",""args"":[{""typ"":""int_unit"",""val"":1}]}")</f>
        <v>{"typ":"lc","txt":"LC_ITEM_time_day_upper_show","args":[{"typ":"int_unit","val":1}]}</v>
      </c>
      <c r="J301" s="148" t="str">
        <f>IFERROR(__xludf.DUMMYFUNCTION("""COMPUTED_VALUE"""),"{""typ"":""lc"",""txt"":""LC_ITEM_egg_marcheffect_2024""}")</f>
        <v>{"typ":"lc","txt":"LC_ITEM_egg_marcheffect_2024"}</v>
      </c>
      <c r="K301" s="148" t="str">
        <f>IFERROR(__xludf.DUMMYFUNCTION("""COMPUTED_VALUE"""),"{""typ"":""lc"",""txt"":""LC_ITEM_egg_marcheffect_2024_desc""}")</f>
        <v>{"typ":"lc","txt":"LC_ITEM_egg_marcheffect_2024_desc"}</v>
      </c>
      <c r="L301" s="148" t="str">
        <f>IFERROR(__xludf.DUMMYFUNCTION("""COMPUTED_VALUE"""),"{""typ"":""lc"",""txt"":""LC_ITEM_easter_marcheffect_2024_usetip_2_1d""}")</f>
        <v>{"typ":"lc","txt":"LC_ITEM_easter_marcheffect_2024_usetip_2_1d"}</v>
      </c>
      <c r="M301" s="148">
        <f>IFERROR(__xludf.DUMMYFUNCTION("""COMPUTED_VALUE"""),50.0)</f>
        <v>50</v>
      </c>
      <c r="N301" s="148">
        <f>IFERROR(__xludf.DUMMYFUNCTION("""COMPUTED_VALUE"""),999999.0)</f>
        <v>999999</v>
      </c>
      <c r="O301" s="148">
        <f>IFERROR(__xludf.DUMMYFUNCTION("""COMPUTED_VALUE"""),99999.0)</f>
        <v>99999</v>
      </c>
      <c r="P301" s="148">
        <f>IFERROR(__xludf.DUMMYFUNCTION("""COMPUTED_VALUE"""),1.0)</f>
        <v>1</v>
      </c>
      <c r="Q301" s="148" t="str">
        <f>IFERROR(__xludf.DUMMYFUNCTION("""COMPUTED_VALUE"""),"[""bag_other""]")</f>
        <v>["bag_other"]</v>
      </c>
      <c r="R301" s="148" t="str">
        <f>IFERROR(__xludf.DUMMYFUNCTION("""COMPUTED_VALUE"""),"[""bag"",""13650118""]")</f>
        <v>["bag","13650118"]</v>
      </c>
      <c r="S301" s="148" t="str">
        <f>IFERROR(__xludf.DUMMYFUNCTION("""COMPUTED_VALUE"""),"{""effect"":[{""typ"":""marching_effect"",""id"":13650118,""val"":86400000},{""typ"":""vm"",""id"":11151001,""val"":50}]}")</f>
        <v>{"effect":[{"typ":"marching_effect","id":13650118,"val":86400000},{"typ":"vm","id":11151001,"val":50}]}</v>
      </c>
      <c r="T301" s="148">
        <f>IFERROR(__xludf.DUMMYFUNCTION("""COMPUTED_VALUE"""),-1.0)</f>
        <v>-1</v>
      </c>
      <c r="U301" s="148">
        <f>IFERROR(__xludf.DUMMYFUNCTION("""COMPUTED_VALUE"""),0.0)</f>
        <v>0</v>
      </c>
      <c r="V301" s="148" t="str">
        <f>IFERROR(__xludf.DUMMYFUNCTION("""COMPUTED_VALUE"""),"[]")</f>
        <v>[]</v>
      </c>
      <c r="W301" s="148">
        <f>IFERROR(__xludf.DUMMYFUNCTION("""COMPUTED_VALUE"""),1.174E7)</f>
        <v>11740000</v>
      </c>
      <c r="X301" s="148">
        <f>IFERROR(__xludf.DUMMYFUNCTION("""COMPUTED_VALUE"""),0.0)</f>
        <v>0</v>
      </c>
      <c r="Y301" s="148">
        <f>IFERROR(__xludf.DUMMYFUNCTION("""COMPUTED_VALUE"""),0.0)</f>
        <v>0</v>
      </c>
      <c r="Z301" s="148"/>
    </row>
    <row r="302">
      <c r="A302" s="148">
        <f>IFERROR(__xludf.DUMMYFUNCTION("""COMPUTED_VALUE"""),1.1112093E7)</f>
        <v>11112093</v>
      </c>
      <c r="B302" s="148" t="str">
        <f>IFERROR(__xludf.DUMMYFUNCTION("""COMPUTED_VALUE"""),"2024复活节行军特效-踏春同行-3天限时")</f>
        <v>2024复活节行军特效-踏春同行-3天限时</v>
      </c>
      <c r="C302" s="148"/>
      <c r="D302" s="148" t="str">
        <f>IFERROR(__xludf.DUMMYFUNCTION("""COMPUTED_VALUE"""),"marching_effect")</f>
        <v>marching_effect</v>
      </c>
      <c r="E302" s="148">
        <f>IFERROR(__xludf.DUMMYFUNCTION("""COMPUTED_VALUE"""),0.0)</f>
        <v>0</v>
      </c>
      <c r="F302" s="148">
        <f>IFERROR(__xludf.DUMMYFUNCTION("""COMPUTED_VALUE"""),408199.0)</f>
        <v>408199</v>
      </c>
      <c r="G302" s="148">
        <f>IFERROR(__xludf.DUMMYFUNCTION("""COMPUTED_VALUE"""),1.5118676E7)</f>
        <v>15118676</v>
      </c>
      <c r="H302" s="148">
        <f>IFERROR(__xludf.DUMMYFUNCTION("""COMPUTED_VALUE"""),1.5112561E7)</f>
        <v>15112561</v>
      </c>
      <c r="I302" s="148" t="str">
        <f>IFERROR(__xludf.DUMMYFUNCTION("""COMPUTED_VALUE"""),"{""typ"":""lc"",""txt"":""LC_ITEM_time_day_upper_show"",""args"":[{""typ"":""int_unit"",""val"":3}]}")</f>
        <v>{"typ":"lc","txt":"LC_ITEM_time_day_upper_show","args":[{"typ":"int_unit","val":3}]}</v>
      </c>
      <c r="J302" s="148" t="str">
        <f>IFERROR(__xludf.DUMMYFUNCTION("""COMPUTED_VALUE"""),"{""typ"":""lc"",""txt"":""LC_ITEM_egg_marcheffect_2024""}")</f>
        <v>{"typ":"lc","txt":"LC_ITEM_egg_marcheffect_2024"}</v>
      </c>
      <c r="K302" s="148" t="str">
        <f>IFERROR(__xludf.DUMMYFUNCTION("""COMPUTED_VALUE"""),"{""typ"":""lc"",""txt"":""LC_ITEM_egg_marcheffect_2024_desc""}")</f>
        <v>{"typ":"lc","txt":"LC_ITEM_egg_marcheffect_2024_desc"}</v>
      </c>
      <c r="L302" s="148" t="str">
        <f>IFERROR(__xludf.DUMMYFUNCTION("""COMPUTED_VALUE"""),"{""typ"":""lc"",""txt"":""LC_ITEM_easter_marcheffect_2024_usetip_2_3d""}")</f>
        <v>{"typ":"lc","txt":"LC_ITEM_easter_marcheffect_2024_usetip_2_3d"}</v>
      </c>
      <c r="M302" s="148">
        <f>IFERROR(__xludf.DUMMYFUNCTION("""COMPUTED_VALUE"""),200.0)</f>
        <v>200</v>
      </c>
      <c r="N302" s="148">
        <f>IFERROR(__xludf.DUMMYFUNCTION("""COMPUTED_VALUE"""),999999.0)</f>
        <v>999999</v>
      </c>
      <c r="O302" s="148">
        <f>IFERROR(__xludf.DUMMYFUNCTION("""COMPUTED_VALUE"""),99999.0)</f>
        <v>99999</v>
      </c>
      <c r="P302" s="148">
        <f>IFERROR(__xludf.DUMMYFUNCTION("""COMPUTED_VALUE"""),1.0)</f>
        <v>1</v>
      </c>
      <c r="Q302" s="148" t="str">
        <f>IFERROR(__xludf.DUMMYFUNCTION("""COMPUTED_VALUE"""),"[""bag_other""]")</f>
        <v>["bag_other"]</v>
      </c>
      <c r="R302" s="148" t="str">
        <f>IFERROR(__xludf.DUMMYFUNCTION("""COMPUTED_VALUE"""),"[""bag"",""13650118""]")</f>
        <v>["bag","13650118"]</v>
      </c>
      <c r="S302" s="148" t="str">
        <f>IFERROR(__xludf.DUMMYFUNCTION("""COMPUTED_VALUE"""),"{""effect"":[{""typ"":""marching_effect"",""id"":13650118,""val"":259200000},{""typ"":""vm"",""id"":11151001,""val"":200}]}")</f>
        <v>{"effect":[{"typ":"marching_effect","id":13650118,"val":259200000},{"typ":"vm","id":11151001,"val":200}]}</v>
      </c>
      <c r="T302" s="148">
        <f>IFERROR(__xludf.DUMMYFUNCTION("""COMPUTED_VALUE"""),-1.0)</f>
        <v>-1</v>
      </c>
      <c r="U302" s="148">
        <f>IFERROR(__xludf.DUMMYFUNCTION("""COMPUTED_VALUE"""),0.0)</f>
        <v>0</v>
      </c>
      <c r="V302" s="148" t="str">
        <f>IFERROR(__xludf.DUMMYFUNCTION("""COMPUTED_VALUE"""),"[]")</f>
        <v>[]</v>
      </c>
      <c r="W302" s="148">
        <f>IFERROR(__xludf.DUMMYFUNCTION("""COMPUTED_VALUE"""),1.174E7)</f>
        <v>11740000</v>
      </c>
      <c r="X302" s="148">
        <f>IFERROR(__xludf.DUMMYFUNCTION("""COMPUTED_VALUE"""),0.0)</f>
        <v>0</v>
      </c>
      <c r="Y302" s="148">
        <f>IFERROR(__xludf.DUMMYFUNCTION("""COMPUTED_VALUE"""),0.0)</f>
        <v>0</v>
      </c>
      <c r="Z302" s="148"/>
    </row>
    <row r="303">
      <c r="A303" s="148">
        <f>IFERROR(__xludf.DUMMYFUNCTION("""COMPUTED_VALUE"""),1.1112094E7)</f>
        <v>11112094</v>
      </c>
      <c r="B303" s="148" t="str">
        <f>IFERROR(__xludf.DUMMYFUNCTION("""COMPUTED_VALUE"""),"2024复活节行军特效-踏春同行-7天限时")</f>
        <v>2024复活节行军特效-踏春同行-7天限时</v>
      </c>
      <c r="C303" s="148"/>
      <c r="D303" s="148" t="str">
        <f>IFERROR(__xludf.DUMMYFUNCTION("""COMPUTED_VALUE"""),"marching_effect")</f>
        <v>marching_effect</v>
      </c>
      <c r="E303" s="148">
        <f>IFERROR(__xludf.DUMMYFUNCTION("""COMPUTED_VALUE"""),0.0)</f>
        <v>0</v>
      </c>
      <c r="F303" s="148">
        <f>IFERROR(__xludf.DUMMYFUNCTION("""COMPUTED_VALUE"""),408198.0)</f>
        <v>408198</v>
      </c>
      <c r="G303" s="148">
        <f>IFERROR(__xludf.DUMMYFUNCTION("""COMPUTED_VALUE"""),1.5118676E7)</f>
        <v>15118676</v>
      </c>
      <c r="H303" s="148">
        <f>IFERROR(__xludf.DUMMYFUNCTION("""COMPUTED_VALUE"""),1.5112562E7)</f>
        <v>15112562</v>
      </c>
      <c r="I303" s="148" t="str">
        <f>IFERROR(__xludf.DUMMYFUNCTION("""COMPUTED_VALUE"""),"{""typ"":""lc"",""txt"":""LC_ITEM_time_day_upper_show"",""args"":[{""typ"":""int_unit"",""val"":7}]}")</f>
        <v>{"typ":"lc","txt":"LC_ITEM_time_day_upper_show","args":[{"typ":"int_unit","val":7}]}</v>
      </c>
      <c r="J303" s="148" t="str">
        <f>IFERROR(__xludf.DUMMYFUNCTION("""COMPUTED_VALUE"""),"{""typ"":""lc"",""txt"":""LC_ITEM_egg_marcheffect_2024""}")</f>
        <v>{"typ":"lc","txt":"LC_ITEM_egg_marcheffect_2024"}</v>
      </c>
      <c r="K303" s="148" t="str">
        <f>IFERROR(__xludf.DUMMYFUNCTION("""COMPUTED_VALUE"""),"{""typ"":""lc"",""txt"":""LC_ITEM_egg_marcheffect_2024_desc""}")</f>
        <v>{"typ":"lc","txt":"LC_ITEM_egg_marcheffect_2024_desc"}</v>
      </c>
      <c r="L303" s="148" t="str">
        <f>IFERROR(__xludf.DUMMYFUNCTION("""COMPUTED_VALUE"""),"{""typ"":""lc"",""txt"":""LC_ITEM_easter_marcheffect_2024_usetip_2_7d""}")</f>
        <v>{"typ":"lc","txt":"LC_ITEM_easter_marcheffect_2024_usetip_2_7d"}</v>
      </c>
      <c r="M303" s="148">
        <f>IFERROR(__xludf.DUMMYFUNCTION("""COMPUTED_VALUE"""),500.0)</f>
        <v>500</v>
      </c>
      <c r="N303" s="148">
        <f>IFERROR(__xludf.DUMMYFUNCTION("""COMPUTED_VALUE"""),999999.0)</f>
        <v>999999</v>
      </c>
      <c r="O303" s="148">
        <f>IFERROR(__xludf.DUMMYFUNCTION("""COMPUTED_VALUE"""),99999.0)</f>
        <v>99999</v>
      </c>
      <c r="P303" s="148">
        <f>IFERROR(__xludf.DUMMYFUNCTION("""COMPUTED_VALUE"""),1.0)</f>
        <v>1</v>
      </c>
      <c r="Q303" s="148" t="str">
        <f>IFERROR(__xludf.DUMMYFUNCTION("""COMPUTED_VALUE"""),"[""bag_other""]")</f>
        <v>["bag_other"]</v>
      </c>
      <c r="R303" s="148" t="str">
        <f>IFERROR(__xludf.DUMMYFUNCTION("""COMPUTED_VALUE"""),"[""bag"",""13650118""]")</f>
        <v>["bag","13650118"]</v>
      </c>
      <c r="S303" s="148" t="str">
        <f>IFERROR(__xludf.DUMMYFUNCTION("""COMPUTED_VALUE"""),"{""effect"":[{""typ"":""marching_effect"",""id"":13650118,""val"":604800000},{""typ"":""vm"",""id"":11151001,""val"":500}]}")</f>
        <v>{"effect":[{"typ":"marching_effect","id":13650118,"val":604800000},{"typ":"vm","id":11151001,"val":500}]}</v>
      </c>
      <c r="T303" s="148">
        <f>IFERROR(__xludf.DUMMYFUNCTION("""COMPUTED_VALUE"""),-1.0)</f>
        <v>-1</v>
      </c>
      <c r="U303" s="148">
        <f>IFERROR(__xludf.DUMMYFUNCTION("""COMPUTED_VALUE"""),0.0)</f>
        <v>0</v>
      </c>
      <c r="V303" s="148" t="str">
        <f>IFERROR(__xludf.DUMMYFUNCTION("""COMPUTED_VALUE"""),"[]")</f>
        <v>[]</v>
      </c>
      <c r="W303" s="148">
        <f>IFERROR(__xludf.DUMMYFUNCTION("""COMPUTED_VALUE"""),1.174E7)</f>
        <v>11740000</v>
      </c>
      <c r="X303" s="148">
        <f>IFERROR(__xludf.DUMMYFUNCTION("""COMPUTED_VALUE"""),0.0)</f>
        <v>0</v>
      </c>
      <c r="Y303" s="148">
        <f>IFERROR(__xludf.DUMMYFUNCTION("""COMPUTED_VALUE"""),0.0)</f>
        <v>0</v>
      </c>
      <c r="Z303" s="148"/>
    </row>
    <row r="304">
      <c r="A304" s="148">
        <f>IFERROR(__xludf.DUMMYFUNCTION("""COMPUTED_VALUE"""),1.1112095E7)</f>
        <v>11112095</v>
      </c>
      <c r="B304" s="148" t="str">
        <f>IFERROR(__xludf.DUMMYFUNCTION("""COMPUTED_VALUE"""),"2024复活节行军特效-踏春同行-14天限时")</f>
        <v>2024复活节行军特效-踏春同行-14天限时</v>
      </c>
      <c r="C304" s="148"/>
      <c r="D304" s="148" t="str">
        <f>IFERROR(__xludf.DUMMYFUNCTION("""COMPUTED_VALUE"""),"marching_effect")</f>
        <v>marching_effect</v>
      </c>
      <c r="E304" s="148">
        <f>IFERROR(__xludf.DUMMYFUNCTION("""COMPUTED_VALUE"""),0.0)</f>
        <v>0</v>
      </c>
      <c r="F304" s="148">
        <f>IFERROR(__xludf.DUMMYFUNCTION("""COMPUTED_VALUE"""),408197.0)</f>
        <v>408197</v>
      </c>
      <c r="G304" s="148">
        <f>IFERROR(__xludf.DUMMYFUNCTION("""COMPUTED_VALUE"""),1.5118676E7)</f>
        <v>15118676</v>
      </c>
      <c r="H304" s="148">
        <f>IFERROR(__xludf.DUMMYFUNCTION("""COMPUTED_VALUE"""),1.5112563E7)</f>
        <v>15112563</v>
      </c>
      <c r="I304" s="148" t="str">
        <f>IFERROR(__xludf.DUMMYFUNCTION("""COMPUTED_VALUE"""),"{""typ"":""lc"",""txt"":""LC_ITEM_time_day_upper_show"",""args"":[{""typ"":""int_unit"",""val"":14}]}")</f>
        <v>{"typ":"lc","txt":"LC_ITEM_time_day_upper_show","args":[{"typ":"int_unit","val":14}]}</v>
      </c>
      <c r="J304" s="148" t="str">
        <f>IFERROR(__xludf.DUMMYFUNCTION("""COMPUTED_VALUE"""),"{""typ"":""lc"",""txt"":""LC_ITEM_egg_marcheffect_2024""}")</f>
        <v>{"typ":"lc","txt":"LC_ITEM_egg_marcheffect_2024"}</v>
      </c>
      <c r="K304" s="148" t="str">
        <f>IFERROR(__xludf.DUMMYFUNCTION("""COMPUTED_VALUE"""),"{""typ"":""lc"",""txt"":""LC_ITEM_egg_marcheffect_2024_desc""}")</f>
        <v>{"typ":"lc","txt":"LC_ITEM_egg_marcheffect_2024_desc"}</v>
      </c>
      <c r="L304" s="148" t="str">
        <f>IFERROR(__xludf.DUMMYFUNCTION("""COMPUTED_VALUE"""),"{""typ"":""lc"",""txt"":""LC_ITEM_easter_marcheffect_2024_usetip_2_14d""}")</f>
        <v>{"typ":"lc","txt":"LC_ITEM_easter_marcheffect_2024_usetip_2_14d"}</v>
      </c>
      <c r="M304" s="148">
        <f>IFERROR(__xludf.DUMMYFUNCTION("""COMPUTED_VALUE"""),1000.0)</f>
        <v>1000</v>
      </c>
      <c r="N304" s="148">
        <f>IFERROR(__xludf.DUMMYFUNCTION("""COMPUTED_VALUE"""),999999.0)</f>
        <v>999999</v>
      </c>
      <c r="O304" s="148">
        <f>IFERROR(__xludf.DUMMYFUNCTION("""COMPUTED_VALUE"""),99999.0)</f>
        <v>99999</v>
      </c>
      <c r="P304" s="148">
        <f>IFERROR(__xludf.DUMMYFUNCTION("""COMPUTED_VALUE"""),1.0)</f>
        <v>1</v>
      </c>
      <c r="Q304" s="148" t="str">
        <f>IFERROR(__xludf.DUMMYFUNCTION("""COMPUTED_VALUE"""),"[""bag_other""]")</f>
        <v>["bag_other"]</v>
      </c>
      <c r="R304" s="148" t="str">
        <f>IFERROR(__xludf.DUMMYFUNCTION("""COMPUTED_VALUE"""),"[""bag"",""13650118""]")</f>
        <v>["bag","13650118"]</v>
      </c>
      <c r="S304" s="148" t="str">
        <f>IFERROR(__xludf.DUMMYFUNCTION("""COMPUTED_VALUE"""),"{""effect"":[{""typ"":""marching_effect"",""id"":13650118,""val"":1209600000},{""typ"":""vm"",""id"":11151001,""val"":1000}]}")</f>
        <v>{"effect":[{"typ":"marching_effect","id":13650118,"val":1209600000},{"typ":"vm","id":11151001,"val":1000}]}</v>
      </c>
      <c r="T304" s="148">
        <f>IFERROR(__xludf.DUMMYFUNCTION("""COMPUTED_VALUE"""),-1.0)</f>
        <v>-1</v>
      </c>
      <c r="U304" s="148">
        <f>IFERROR(__xludf.DUMMYFUNCTION("""COMPUTED_VALUE"""),0.0)</f>
        <v>0</v>
      </c>
      <c r="V304" s="148" t="str">
        <f>IFERROR(__xludf.DUMMYFUNCTION("""COMPUTED_VALUE"""),"[]")</f>
        <v>[]</v>
      </c>
      <c r="W304" s="148">
        <f>IFERROR(__xludf.DUMMYFUNCTION("""COMPUTED_VALUE"""),1.174E7)</f>
        <v>11740000</v>
      </c>
      <c r="X304" s="148">
        <f>IFERROR(__xludf.DUMMYFUNCTION("""COMPUTED_VALUE"""),0.0)</f>
        <v>0</v>
      </c>
      <c r="Y304" s="148">
        <f>IFERROR(__xludf.DUMMYFUNCTION("""COMPUTED_VALUE"""),0.0)</f>
        <v>0</v>
      </c>
      <c r="Z304" s="148"/>
    </row>
    <row r="305">
      <c r="A305" s="148">
        <f>IFERROR(__xludf.DUMMYFUNCTION("""COMPUTED_VALUE"""),1.1112096E7)</f>
        <v>11112096</v>
      </c>
      <c r="B305" s="148" t="str">
        <f>IFERROR(__xludf.DUMMYFUNCTION("""COMPUTED_VALUE"""),"2024复活节行军特效-踏春同行-30天限时")</f>
        <v>2024复活节行军特效-踏春同行-30天限时</v>
      </c>
      <c r="C305" s="148"/>
      <c r="D305" s="148" t="str">
        <f>IFERROR(__xludf.DUMMYFUNCTION("""COMPUTED_VALUE"""),"marching_effect")</f>
        <v>marching_effect</v>
      </c>
      <c r="E305" s="148">
        <f>IFERROR(__xludf.DUMMYFUNCTION("""COMPUTED_VALUE"""),0.0)</f>
        <v>0</v>
      </c>
      <c r="F305" s="148">
        <f>IFERROR(__xludf.DUMMYFUNCTION("""COMPUTED_VALUE"""),408197.0)</f>
        <v>408197</v>
      </c>
      <c r="G305" s="148">
        <f>IFERROR(__xludf.DUMMYFUNCTION("""COMPUTED_VALUE"""),1.5118676E7)</f>
        <v>15118676</v>
      </c>
      <c r="H305" s="148">
        <f>IFERROR(__xludf.DUMMYFUNCTION("""COMPUTED_VALUE"""),1.5112563E7)</f>
        <v>15112563</v>
      </c>
      <c r="I305" s="148" t="str">
        <f>IFERROR(__xludf.DUMMYFUNCTION("""COMPUTED_VALUE"""),"{""typ"":""lc"",""txt"":""LC_ITEM_time_day_upper_show"",""args"":[{""typ"":""int_unit"",""val"":30}]}")</f>
        <v>{"typ":"lc","txt":"LC_ITEM_time_day_upper_show","args":[{"typ":"int_unit","val":30}]}</v>
      </c>
      <c r="J305" s="148" t="str">
        <f>IFERROR(__xludf.DUMMYFUNCTION("""COMPUTED_VALUE"""),"{""typ"":""lc"",""txt"":""LC_ITEM_egg_marcheffect_2024""}")</f>
        <v>{"typ":"lc","txt":"LC_ITEM_egg_marcheffect_2024"}</v>
      </c>
      <c r="K305" s="148" t="str">
        <f>IFERROR(__xludf.DUMMYFUNCTION("""COMPUTED_VALUE"""),"{""typ"":""lc"",""txt"":""LC_ITEM_egg_marcheffect_2024_desc""}")</f>
        <v>{"typ":"lc","txt":"LC_ITEM_egg_marcheffect_2024_desc"}</v>
      </c>
      <c r="L305" s="148" t="str">
        <f>IFERROR(__xludf.DUMMYFUNCTION("""COMPUTED_VALUE"""),"{""typ"":""lc"",""txt"":""LC_ITEM_easter_marcheffect_2024_usetip_2_30d""}")</f>
        <v>{"typ":"lc","txt":"LC_ITEM_easter_marcheffect_2024_usetip_2_30d"}</v>
      </c>
      <c r="M305" s="148">
        <f>IFERROR(__xludf.DUMMYFUNCTION("""COMPUTED_VALUE"""),1000.0)</f>
        <v>1000</v>
      </c>
      <c r="N305" s="148">
        <f>IFERROR(__xludf.DUMMYFUNCTION("""COMPUTED_VALUE"""),999999.0)</f>
        <v>999999</v>
      </c>
      <c r="O305" s="148">
        <f>IFERROR(__xludf.DUMMYFUNCTION("""COMPUTED_VALUE"""),99999.0)</f>
        <v>99999</v>
      </c>
      <c r="P305" s="148">
        <f>IFERROR(__xludf.DUMMYFUNCTION("""COMPUTED_VALUE"""),1.0)</f>
        <v>1</v>
      </c>
      <c r="Q305" s="148" t="str">
        <f>IFERROR(__xludf.DUMMYFUNCTION("""COMPUTED_VALUE"""),"[""bag_other""]")</f>
        <v>["bag_other"]</v>
      </c>
      <c r="R305" s="148" t="str">
        <f>IFERROR(__xludf.DUMMYFUNCTION("""COMPUTED_VALUE"""),"[""bag"",""13650118""]")</f>
        <v>["bag","13650118"]</v>
      </c>
      <c r="S305" s="148" t="str">
        <f>IFERROR(__xludf.DUMMYFUNCTION("""COMPUTED_VALUE"""),"{""effect"":[{""typ"":""marching_effect"",""id"":13650118,""val"":2592000000},{""typ"":""vm"",""id"":11151001,""val"":1000}]}")</f>
        <v>{"effect":[{"typ":"marching_effect","id":13650118,"val":2592000000},{"typ":"vm","id":11151001,"val":1000}]}</v>
      </c>
      <c r="T305" s="148">
        <f>IFERROR(__xludf.DUMMYFUNCTION("""COMPUTED_VALUE"""),-1.0)</f>
        <v>-1</v>
      </c>
      <c r="U305" s="148">
        <f>IFERROR(__xludf.DUMMYFUNCTION("""COMPUTED_VALUE"""),0.0)</f>
        <v>0</v>
      </c>
      <c r="V305" s="148" t="str">
        <f>IFERROR(__xludf.DUMMYFUNCTION("""COMPUTED_VALUE"""),"[]")</f>
        <v>[]</v>
      </c>
      <c r="W305" s="148">
        <f>IFERROR(__xludf.DUMMYFUNCTION("""COMPUTED_VALUE"""),1.174E7)</f>
        <v>11740000</v>
      </c>
      <c r="X305" s="148">
        <f>IFERROR(__xludf.DUMMYFUNCTION("""COMPUTED_VALUE"""),0.0)</f>
        <v>0</v>
      </c>
      <c r="Y305" s="148">
        <f>IFERROR(__xludf.DUMMYFUNCTION("""COMPUTED_VALUE"""),0.0)</f>
        <v>0</v>
      </c>
      <c r="Z305" s="148"/>
    </row>
    <row r="306">
      <c r="A306" s="148">
        <f>IFERROR(__xludf.DUMMYFUNCTION("""COMPUTED_VALUE"""),1.1112097E7)</f>
        <v>11112097</v>
      </c>
      <c r="B306" s="148" t="str">
        <f>IFERROR(__xludf.DUMMYFUNCTION("""COMPUTED_VALUE"""),"2024复活节行军特效-踏春同行-永久")</f>
        <v>2024复活节行军特效-踏春同行-永久</v>
      </c>
      <c r="C306" s="148"/>
      <c r="D306" s="148" t="str">
        <f>IFERROR(__xludf.DUMMYFUNCTION("""COMPUTED_VALUE"""),"marching_effect")</f>
        <v>marching_effect</v>
      </c>
      <c r="E306" s="148">
        <f>IFERROR(__xludf.DUMMYFUNCTION("""COMPUTED_VALUE"""),0.0)</f>
        <v>0</v>
      </c>
      <c r="F306" s="148">
        <f>IFERROR(__xludf.DUMMYFUNCTION("""COMPUTED_VALUE"""),408195.0)</f>
        <v>408195</v>
      </c>
      <c r="G306" s="148">
        <f>IFERROR(__xludf.DUMMYFUNCTION("""COMPUTED_VALUE"""),1.5118676E7)</f>
        <v>15118676</v>
      </c>
      <c r="H306" s="148">
        <f>IFERROR(__xludf.DUMMYFUNCTION("""COMPUTED_VALUE"""),1.5112564E7)</f>
        <v>15112564</v>
      </c>
      <c r="I306" s="148" t="str">
        <f>IFERROR(__xludf.DUMMYFUNCTION("""COMPUTED_VALUE"""),"{}")</f>
        <v>{}</v>
      </c>
      <c r="J306" s="148" t="str">
        <f>IFERROR(__xludf.DUMMYFUNCTION("""COMPUTED_VALUE"""),"{""typ"":""lc"",""txt"":""LC_ITEM_egg_marcheffect_2024""}")</f>
        <v>{"typ":"lc","txt":"LC_ITEM_egg_marcheffect_2024"}</v>
      </c>
      <c r="K306" s="148" t="str">
        <f>IFERROR(__xludf.DUMMYFUNCTION("""COMPUTED_VALUE"""),"{""typ"":""lc"",""txt"":""LC_ITEM_egg_marcheffect_2024_desc""}")</f>
        <v>{"typ":"lc","txt":"LC_ITEM_egg_marcheffect_2024_desc"}</v>
      </c>
      <c r="L306" s="148" t="str">
        <f>IFERROR(__xludf.DUMMYFUNCTION("""COMPUTED_VALUE"""),"{""typ"":""lc"",""txt"":""LC_ITEM_easter_marcheffect_2024_usetip""}")</f>
        <v>{"typ":"lc","txt":"LC_ITEM_easter_marcheffect_2024_usetip"}</v>
      </c>
      <c r="M306" s="148">
        <f>IFERROR(__xludf.DUMMYFUNCTION("""COMPUTED_VALUE"""),5000.0)</f>
        <v>5000</v>
      </c>
      <c r="N306" s="148">
        <f>IFERROR(__xludf.DUMMYFUNCTION("""COMPUTED_VALUE"""),999999.0)</f>
        <v>999999</v>
      </c>
      <c r="O306" s="148">
        <f>IFERROR(__xludf.DUMMYFUNCTION("""COMPUTED_VALUE"""),99999.0)</f>
        <v>99999</v>
      </c>
      <c r="P306" s="148">
        <f>IFERROR(__xludf.DUMMYFUNCTION("""COMPUTED_VALUE"""),1.0)</f>
        <v>1</v>
      </c>
      <c r="Q306" s="148" t="str">
        <f>IFERROR(__xludf.DUMMYFUNCTION("""COMPUTED_VALUE"""),"[""bag_other""]")</f>
        <v>["bag_other"]</v>
      </c>
      <c r="R306" s="148" t="str">
        <f>IFERROR(__xludf.DUMMYFUNCTION("""COMPUTED_VALUE"""),"[""bag"",""13650118""]")</f>
        <v>["bag","13650118"]</v>
      </c>
      <c r="S306" s="148" t="str">
        <f>IFERROR(__xludf.DUMMYFUNCTION("""COMPUTED_VALUE"""),"{""effect"":[{""typ"":""marching_effect"",""id"":13650118,""val"":-1},{""typ"":""vm"",""id"":11151001,""val"":2500}]}")</f>
        <v>{"effect":[{"typ":"marching_effect","id":13650118,"val":-1},{"typ":"vm","id":11151001,"val":2500}]}</v>
      </c>
      <c r="T306" s="148">
        <f>IFERROR(__xludf.DUMMYFUNCTION("""COMPUTED_VALUE"""),-1.0)</f>
        <v>-1</v>
      </c>
      <c r="U306" s="148">
        <f>IFERROR(__xludf.DUMMYFUNCTION("""COMPUTED_VALUE"""),0.0)</f>
        <v>0</v>
      </c>
      <c r="V306" s="148" t="str">
        <f>IFERROR(__xludf.DUMMYFUNCTION("""COMPUTED_VALUE"""),"[]")</f>
        <v>[]</v>
      </c>
      <c r="W306" s="148">
        <f>IFERROR(__xludf.DUMMYFUNCTION("""COMPUTED_VALUE"""),1.174E7)</f>
        <v>11740000</v>
      </c>
      <c r="X306" s="148">
        <f>IFERROR(__xludf.DUMMYFUNCTION("""COMPUTED_VALUE"""),0.0)</f>
        <v>0</v>
      </c>
      <c r="Y306" s="148">
        <f>IFERROR(__xludf.DUMMYFUNCTION("""COMPUTED_VALUE"""),0.0)</f>
        <v>0</v>
      </c>
      <c r="Z306" s="148"/>
    </row>
    <row r="307">
      <c r="A307" s="148">
        <f>IFERROR(__xludf.DUMMYFUNCTION("""COMPUTED_VALUE"""),1.1112098E7)</f>
        <v>11112098</v>
      </c>
      <c r="B307" s="148" t="str">
        <f>IFERROR(__xludf.DUMMYFUNCTION("""COMPUTED_VALUE"""),"2024复活节铭牌-彩蛋祝福")</f>
        <v>2024复活节铭牌-彩蛋祝福</v>
      </c>
      <c r="C307" s="148"/>
      <c r="D307" s="148" t="str">
        <f>IFERROR(__xludf.DUMMYFUNCTION("""COMPUTED_VALUE"""),"chat_skin")</f>
        <v>chat_skin</v>
      </c>
      <c r="E307" s="148">
        <f>IFERROR(__xludf.DUMMYFUNCTION("""COMPUTED_VALUE"""),30.0)</f>
        <v>30</v>
      </c>
      <c r="F307" s="148">
        <f>IFERROR(__xludf.DUMMYFUNCTION("""COMPUTED_VALUE"""),401107.0)</f>
        <v>401107</v>
      </c>
      <c r="G307" s="148">
        <f>IFERROR(__xludf.DUMMYFUNCTION("""COMPUTED_VALUE"""),1.5118677E7)</f>
        <v>15118677</v>
      </c>
      <c r="H307" s="148">
        <f>IFERROR(__xludf.DUMMYFUNCTION("""COMPUTED_VALUE"""),1.5112564E7)</f>
        <v>15112564</v>
      </c>
      <c r="I307" s="148" t="str">
        <f>IFERROR(__xludf.DUMMYFUNCTION("""COMPUTED_VALUE"""),"{}")</f>
        <v>{}</v>
      </c>
      <c r="J307" s="148" t="str">
        <f>IFERROR(__xludf.DUMMYFUNCTION("""COMPUTED_VALUE"""),"{""typ"":""lc"",""txt"":""LC_ITEM_egg_nameplate_2024""}")</f>
        <v>{"typ":"lc","txt":"LC_ITEM_egg_nameplate_2024"}</v>
      </c>
      <c r="K307" s="148" t="str">
        <f>IFERROR(__xludf.DUMMYFUNCTION("""COMPUTED_VALUE"""),"{""typ"":""lc"",""txt"":""LC_ITEM_egg_nameplate_2024_desc_item""}")</f>
        <v>{"typ":"lc","txt":"LC_ITEM_egg_nameplate_2024_desc_item"}</v>
      </c>
      <c r="L307" s="148" t="str">
        <f>IFERROR(__xludf.DUMMYFUNCTION("""COMPUTED_VALUE"""),"{""typ"":""lc"",""txt"":""LC_ITEM_season_extra_reward_usedtip""}")</f>
        <v>{"typ":"lc","txt":"LC_ITEM_season_extra_reward_usedtip"}</v>
      </c>
      <c r="M307" s="148">
        <f>IFERROR(__xludf.DUMMYFUNCTION("""COMPUTED_VALUE"""),2500.0)</f>
        <v>2500</v>
      </c>
      <c r="N307" s="148">
        <f>IFERROR(__xludf.DUMMYFUNCTION("""COMPUTED_VALUE"""),9999999.0)</f>
        <v>9999999</v>
      </c>
      <c r="O307" s="148">
        <f>IFERROR(__xludf.DUMMYFUNCTION("""COMPUTED_VALUE"""),1.0)</f>
        <v>1</v>
      </c>
      <c r="P307" s="148">
        <f>IFERROR(__xludf.DUMMYFUNCTION("""COMPUTED_VALUE"""),1.0)</f>
        <v>1</v>
      </c>
      <c r="Q307" s="148" t="str">
        <f>IFERROR(__xludf.DUMMYFUNCTION("""COMPUTED_VALUE"""),"[""bag_other""]")</f>
        <v>["bag_other"]</v>
      </c>
      <c r="R307" s="148" t="str">
        <f>IFERROR(__xludf.DUMMYFUNCTION("""COMPUTED_VALUE"""),"[""11731020"",""bag""]")</f>
        <v>["11731020","bag"]</v>
      </c>
      <c r="S307" s="148" t="str">
        <f>IFERROR(__xludf.DUMMYFUNCTION("""COMPUTED_VALUE"""),"{""effect"":[{""typ"":""nameplate"",""id"":11731020,""val"":-1}]}")</f>
        <v>{"effect":[{"typ":"nameplate","id":11731020,"val":-1}]}</v>
      </c>
      <c r="T307" s="148">
        <f>IFERROR(__xludf.DUMMYFUNCTION("""COMPUTED_VALUE"""),-1.0)</f>
        <v>-1</v>
      </c>
      <c r="U307" s="148">
        <f>IFERROR(__xludf.DUMMYFUNCTION("""COMPUTED_VALUE"""),0.0)</f>
        <v>0</v>
      </c>
      <c r="V307" s="148" t="str">
        <f>IFERROR(__xludf.DUMMYFUNCTION("""COMPUTED_VALUE"""),"[]")</f>
        <v>[]</v>
      </c>
      <c r="W307" s="148">
        <f>IFERROR(__xludf.DUMMYFUNCTION("""COMPUTED_VALUE"""),1.174E7)</f>
        <v>11740000</v>
      </c>
      <c r="X307" s="148">
        <f>IFERROR(__xludf.DUMMYFUNCTION("""COMPUTED_VALUE"""),0.0)</f>
        <v>0</v>
      </c>
      <c r="Y307" s="148">
        <f>IFERROR(__xludf.DUMMYFUNCTION("""COMPUTED_VALUE"""),0.0)</f>
        <v>0</v>
      </c>
      <c r="Z307" s="148"/>
    </row>
    <row r="308">
      <c r="A308" s="148">
        <f>IFERROR(__xludf.DUMMYFUNCTION("""COMPUTED_VALUE"""),1.1112099E7)</f>
        <v>11112099</v>
      </c>
      <c r="B308" s="148" t="str">
        <f>IFERROR(__xludf.DUMMYFUNCTION("""COMPUTED_VALUE"""),"彩蛋节奖券-通用彩蛋节活动GACHA道具")</f>
        <v>彩蛋节奖券-通用彩蛋节活动GACHA道具</v>
      </c>
      <c r="C308" s="148"/>
      <c r="D308" s="148" t="str">
        <f>IFERROR(__xludf.DUMMYFUNCTION("""COMPUTED_VALUE"""),"event")</f>
        <v>event</v>
      </c>
      <c r="E308" s="148">
        <f>IFERROR(__xludf.DUMMYFUNCTION("""COMPUTED_VALUE"""),0.0)</f>
        <v>0</v>
      </c>
      <c r="F308" s="148">
        <f>IFERROR(__xludf.DUMMYFUNCTION("""COMPUTED_VALUE"""),405243.0)</f>
        <v>405243</v>
      </c>
      <c r="G308" s="148">
        <f>IFERROR(__xludf.DUMMYFUNCTION("""COMPUTED_VALUE"""),1.5118965E7)</f>
        <v>15118965</v>
      </c>
      <c r="H308" s="148">
        <f>IFERROR(__xludf.DUMMYFUNCTION("""COMPUTED_VALUE"""),1.5112564E7)</f>
        <v>15112564</v>
      </c>
      <c r="I308" s="148" t="str">
        <f>IFERROR(__xludf.DUMMYFUNCTION("""COMPUTED_VALUE"""),"{}")</f>
        <v>{}</v>
      </c>
      <c r="J308" s="148" t="str">
        <f>IFERROR(__xludf.DUMMYFUNCTION("""COMPUTED_VALUE"""),"{""typ"":""lc"",""txt"":""LC_ITEM_2023easter_gacha_item""}")</f>
        <v>{"typ":"lc","txt":"LC_ITEM_2023easter_gacha_item"}</v>
      </c>
      <c r="K308" s="148" t="str">
        <f>IFERROR(__xludf.DUMMYFUNCTION("""COMPUTED_VALUE"""),"{""typ"":""lc"",""txt"":""LC_ITEM_2023easter_gacha_item_desc""}")</f>
        <v>{"typ":"lc","txt":"LC_ITEM_2023easter_gacha_item_desc"}</v>
      </c>
      <c r="L308" s="148" t="str">
        <f>IFERROR(__xludf.DUMMYFUNCTION("""COMPUTED_VALUE"""),"{}")</f>
        <v>{}</v>
      </c>
      <c r="M308" s="148">
        <f>IFERROR(__xludf.DUMMYFUNCTION("""COMPUTED_VALUE"""),700.0)</f>
        <v>700</v>
      </c>
      <c r="N308" s="148">
        <f>IFERROR(__xludf.DUMMYFUNCTION("""COMPUTED_VALUE"""),9.99999999E8)</f>
        <v>999999999</v>
      </c>
      <c r="O308" s="148">
        <f>IFERROR(__xludf.DUMMYFUNCTION("""COMPUTED_VALUE"""),9.99999999E8)</f>
        <v>999999999</v>
      </c>
      <c r="P308" s="148">
        <f>IFERROR(__xludf.DUMMYFUNCTION("""COMPUTED_VALUE"""),9.99999999E8)</f>
        <v>999999999</v>
      </c>
      <c r="Q308" s="148" t="str">
        <f>IFERROR(__xludf.DUMMYFUNCTION("""COMPUTED_VALUE"""),"[""bag_other""]")</f>
        <v>["bag_other"]</v>
      </c>
      <c r="R308" s="148" t="str">
        <f>IFERROR(__xludf.DUMMYFUNCTION("""COMPUTED_VALUE"""),"[]")</f>
        <v>[]</v>
      </c>
      <c r="S308" s="148" t="str">
        <f>IFERROR(__xludf.DUMMYFUNCTION("""COMPUTED_VALUE"""),"{}")</f>
        <v>{}</v>
      </c>
      <c r="T308" s="148">
        <f>IFERROR(__xludf.DUMMYFUNCTION("""COMPUTED_VALUE"""),1.0)</f>
        <v>1</v>
      </c>
      <c r="U308" s="148">
        <f>IFERROR(__xludf.DUMMYFUNCTION("""COMPUTED_VALUE"""),0.0)</f>
        <v>0</v>
      </c>
      <c r="V308" s="148" t="str">
        <f>IFERROR(__xludf.DUMMYFUNCTION("""COMPUTED_VALUE"""),"[]")</f>
        <v>[]</v>
      </c>
      <c r="W308" s="148">
        <f>IFERROR(__xludf.DUMMYFUNCTION("""COMPUTED_VALUE"""),1.174E7)</f>
        <v>11740000</v>
      </c>
      <c r="X308" s="148">
        <f>IFERROR(__xludf.DUMMYFUNCTION("""COMPUTED_VALUE"""),0.0)</f>
        <v>0</v>
      </c>
      <c r="Y308" s="148">
        <f>IFERROR(__xludf.DUMMYFUNCTION("""COMPUTED_VALUE"""),0.0)</f>
        <v>0</v>
      </c>
      <c r="Z308" s="148"/>
    </row>
    <row r="309">
      <c r="A309" s="148">
        <f>IFERROR(__xludf.DUMMYFUNCTION("""COMPUTED_VALUE"""),1.11121E7)</f>
        <v>11112100</v>
      </c>
      <c r="B309" s="148" t="str">
        <f>IFERROR(__xludf.DUMMYFUNCTION("""COMPUTED_VALUE"""),"通用彩蛋节-增加内圈抽奖次数-彩蛋")</f>
        <v>通用彩蛋节-增加内圈抽奖次数-彩蛋</v>
      </c>
      <c r="C309" s="148"/>
      <c r="D309" s="148" t="str">
        <f>IFERROR(__xludf.DUMMYFUNCTION("""COMPUTED_VALUE"""),"event")</f>
        <v>event</v>
      </c>
      <c r="E309" s="148">
        <f>IFERROR(__xludf.DUMMYFUNCTION("""COMPUTED_VALUE"""),0.0)</f>
        <v>0</v>
      </c>
      <c r="F309" s="148">
        <f>IFERROR(__xludf.DUMMYFUNCTION("""COMPUTED_VALUE"""),0.0)</f>
        <v>0</v>
      </c>
      <c r="G309" s="148">
        <f>IFERROR(__xludf.DUMMYFUNCTION("""COMPUTED_VALUE"""),1.5118702E7)</f>
        <v>15118702</v>
      </c>
      <c r="H309" s="148">
        <f>IFERROR(__xludf.DUMMYFUNCTION("""COMPUTED_VALUE"""),1.5112564E7)</f>
        <v>15112564</v>
      </c>
      <c r="I309" s="148" t="str">
        <f>IFERROR(__xludf.DUMMYFUNCTION("""COMPUTED_VALUE"""),"{}")</f>
        <v>{}</v>
      </c>
      <c r="J309" s="148" t="str">
        <f>IFERROR(__xludf.DUMMYFUNCTION("""COMPUTED_VALUE"""),"{""typ"":""lc"",""txt"":""LC_ITEM_easter_item_2024_name_highgacha""}")</f>
        <v>{"typ":"lc","txt":"LC_ITEM_easter_item_2024_name_highgacha"}</v>
      </c>
      <c r="K309" s="148" t="str">
        <f>IFERROR(__xludf.DUMMYFUNCTION("""COMPUTED_VALUE"""),"{""typ"":""lc"",""txt"":""LC_ITEM_easter_item_2024_desc_highgacha""}")</f>
        <v>{"typ":"lc","txt":"LC_ITEM_easter_item_2024_desc_highgacha"}</v>
      </c>
      <c r="L309" s="148" t="str">
        <f>IFERROR(__xludf.DUMMYFUNCTION("""COMPUTED_VALUE"""),"{}")</f>
        <v>{}</v>
      </c>
      <c r="M309" s="148">
        <f>IFERROR(__xludf.DUMMYFUNCTION("""COMPUTED_VALUE"""),700.0)</f>
        <v>700</v>
      </c>
      <c r="N309" s="148">
        <f>IFERROR(__xludf.DUMMYFUNCTION("""COMPUTED_VALUE"""),9.99999999E8)</f>
        <v>999999999</v>
      </c>
      <c r="O309" s="148">
        <f>IFERROR(__xludf.DUMMYFUNCTION("""COMPUTED_VALUE"""),9.99999999E8)</f>
        <v>999999999</v>
      </c>
      <c r="P309" s="148">
        <f>IFERROR(__xludf.DUMMYFUNCTION("""COMPUTED_VALUE"""),9.99999999E8)</f>
        <v>999999999</v>
      </c>
      <c r="Q309" s="148" t="str">
        <f>IFERROR(__xludf.DUMMYFUNCTION("""COMPUTED_VALUE"""),"[]")</f>
        <v>[]</v>
      </c>
      <c r="R309" s="148" t="str">
        <f>IFERROR(__xludf.DUMMYFUNCTION("""COMPUTED_VALUE"""),"[]")</f>
        <v>[]</v>
      </c>
      <c r="S309" s="148" t="str">
        <f>IFERROR(__xludf.DUMMYFUNCTION("""COMPUTED_VALUE"""),"{}")</f>
        <v>{}</v>
      </c>
      <c r="T309" s="148">
        <f>IFERROR(__xludf.DUMMYFUNCTION("""COMPUTED_VALUE"""),1.0)</f>
        <v>1</v>
      </c>
      <c r="U309" s="148">
        <f>IFERROR(__xludf.DUMMYFUNCTION("""COMPUTED_VALUE"""),0.0)</f>
        <v>0</v>
      </c>
      <c r="V309" s="148" t="str">
        <f>IFERROR(__xludf.DUMMYFUNCTION("""COMPUTED_VALUE"""),"[]")</f>
        <v>[]</v>
      </c>
      <c r="W309" s="148">
        <f>IFERROR(__xludf.DUMMYFUNCTION("""COMPUTED_VALUE"""),1.174E7)</f>
        <v>11740000</v>
      </c>
      <c r="X309" s="148">
        <f>IFERROR(__xludf.DUMMYFUNCTION("""COMPUTED_VALUE"""),0.0)</f>
        <v>0</v>
      </c>
      <c r="Y309" s="148">
        <f>IFERROR(__xludf.DUMMYFUNCTION("""COMPUTED_VALUE"""),0.0)</f>
        <v>0</v>
      </c>
      <c r="Z309" s="148"/>
    </row>
    <row r="310">
      <c r="A310" s="148">
        <f>IFERROR(__xludf.DUMMYFUNCTION("""COMPUTED_VALUE"""),1.1112101E7)</f>
        <v>11112101</v>
      </c>
      <c r="B310" s="148" t="str">
        <f>IFERROR(__xludf.DUMMYFUNCTION("""COMPUTED_VALUE"""),"主城皮肤-复活节高级皮肤2024-14天")</f>
        <v>主城皮肤-复活节高级皮肤2024-14天</v>
      </c>
      <c r="C310" s="148"/>
      <c r="D310" s="148" t="str">
        <f>IFERROR(__xludf.DUMMYFUNCTION("""COMPUTED_VALUE"""),"city_skin")</f>
        <v>city_skin</v>
      </c>
      <c r="E310" s="148">
        <f>IFERROR(__xludf.DUMMYFUNCTION("""COMPUTED_VALUE"""),21.0)</f>
        <v>21</v>
      </c>
      <c r="F310" s="148">
        <f>IFERROR(__xludf.DUMMYFUNCTION("""COMPUTED_VALUE"""),400106.0)</f>
        <v>400106</v>
      </c>
      <c r="G310" s="148">
        <f>IFERROR(__xludf.DUMMYFUNCTION("""COMPUTED_VALUE"""),1.5118695E7)</f>
        <v>15118695</v>
      </c>
      <c r="H310" s="148">
        <f>IFERROR(__xludf.DUMMYFUNCTION("""COMPUTED_VALUE"""),1.5112564E7)</f>
        <v>15112564</v>
      </c>
      <c r="I310" s="148" t="str">
        <f>IFERROR(__xludf.DUMMYFUNCTION("""COMPUTED_VALUE"""),"{""typ"":""lc"",""txt"":""LC_ITEM_time_day_upper_show"",""args"":[{""typ"":""int"",""val"":14}]}")</f>
        <v>{"typ":"lc","txt":"LC_ITEM_time_day_upper_show","args":[{"typ":"int","val":14}]}</v>
      </c>
      <c r="J310" s="148" t="str">
        <f>IFERROR(__xludf.DUMMYFUNCTION("""COMPUTED_VALUE"""),"{""typ"":""lc"",""txt"":""LC_ITEM_2024easter_highcity_skin_title_14day""}")</f>
        <v>{"typ":"lc","txt":"LC_ITEM_2024easter_highcity_skin_title_14day"}</v>
      </c>
      <c r="K310" s="148" t="str">
        <f>IFERROR(__xludf.DUMMYFUNCTION("""COMPUTED_VALUE"""),"{""typ"":""lc"",""txt"":""LC_ITEM_2024easter_highskin_desc_14days""}")</f>
        <v>{"typ":"lc","txt":"LC_ITEM_2024easter_highskin_desc_14days"}</v>
      </c>
      <c r="L310" s="148" t="str">
        <f>IFERROR(__xludf.DUMMYFUNCTION("""COMPUTED_VALUE"""),"{""typ"":""lc"",""txt"":""LC_ITEM_city_skin_rocket_use_tips""}")</f>
        <v>{"typ":"lc","txt":"LC_ITEM_city_skin_rocket_use_tips"}</v>
      </c>
      <c r="M310" s="148">
        <f>IFERROR(__xludf.DUMMYFUNCTION("""COMPUTED_VALUE"""),10000.0)</f>
        <v>10000</v>
      </c>
      <c r="N310" s="148">
        <f>IFERROR(__xludf.DUMMYFUNCTION("""COMPUTED_VALUE"""),999.0)</f>
        <v>999</v>
      </c>
      <c r="O310" s="148">
        <f>IFERROR(__xludf.DUMMYFUNCTION("""COMPUTED_VALUE"""),1.0)</f>
        <v>1</v>
      </c>
      <c r="P310" s="148">
        <f>IFERROR(__xludf.DUMMYFUNCTION("""COMPUTED_VALUE"""),1.0)</f>
        <v>1</v>
      </c>
      <c r="Q310" s="148" t="str">
        <f>IFERROR(__xludf.DUMMYFUNCTION("""COMPUTED_VALUE"""),"[""bag_other""]")</f>
        <v>["bag_other"]</v>
      </c>
      <c r="R310" s="148" t="str">
        <f>IFERROR(__xludf.DUMMYFUNCTION("""COMPUTED_VALUE"""),"[""bag"",""13121035""]")</f>
        <v>["bag","13121035"]</v>
      </c>
      <c r="S310" s="148" t="str">
        <f>IFERROR(__xludf.DUMMYFUNCTION("""COMPUTED_VALUE"""),"{""effect"":[{""typ"":""city_skin"",""id"":13121035,""val"":1209600000},{""typ"":""item"",""id"":11111021,""val"":7}]}")</f>
        <v>{"effect":[{"typ":"city_skin","id":13121035,"val":1209600000},{"typ":"item","id":11111021,"val":7}]}</v>
      </c>
      <c r="T310" s="148">
        <f>IFERROR(__xludf.DUMMYFUNCTION("""COMPUTED_VALUE"""),-1.0)</f>
        <v>-1</v>
      </c>
      <c r="U310" s="148">
        <f>IFERROR(__xludf.DUMMYFUNCTION("""COMPUTED_VALUE"""),0.0)</f>
        <v>0</v>
      </c>
      <c r="V310" s="148" t="str">
        <f>IFERROR(__xludf.DUMMYFUNCTION("""COMPUTED_VALUE"""),"[]")</f>
        <v>[]</v>
      </c>
      <c r="W310" s="148">
        <f>IFERROR(__xludf.DUMMYFUNCTION("""COMPUTED_VALUE"""),1.174E7)</f>
        <v>11740000</v>
      </c>
      <c r="X310" s="148">
        <f>IFERROR(__xludf.DUMMYFUNCTION("""COMPUTED_VALUE"""),0.0)</f>
        <v>0</v>
      </c>
      <c r="Y310" s="148">
        <f>IFERROR(__xludf.DUMMYFUNCTION("""COMPUTED_VALUE"""),0.0)</f>
        <v>0</v>
      </c>
      <c r="Z310" s="148"/>
    </row>
    <row r="311">
      <c r="A311" s="148">
        <f>IFERROR(__xludf.DUMMYFUNCTION("""COMPUTED_VALUE"""),1.1112102E7)</f>
        <v>11112102</v>
      </c>
      <c r="B311" s="148" t="str">
        <f>IFERROR(__xludf.DUMMYFUNCTION("""COMPUTED_VALUE"""),"主城皮肤-复活节高级皮肤2024-7天")</f>
        <v>主城皮肤-复活节高级皮肤2024-7天</v>
      </c>
      <c r="C311" s="148"/>
      <c r="D311" s="148" t="str">
        <f>IFERROR(__xludf.DUMMYFUNCTION("""COMPUTED_VALUE"""),"city_skin")</f>
        <v>city_skin</v>
      </c>
      <c r="E311" s="148">
        <f>IFERROR(__xludf.DUMMYFUNCTION("""COMPUTED_VALUE"""),21.0)</f>
        <v>21</v>
      </c>
      <c r="F311" s="148">
        <f>IFERROR(__xludf.DUMMYFUNCTION("""COMPUTED_VALUE"""),400106.0)</f>
        <v>400106</v>
      </c>
      <c r="G311" s="148">
        <f>IFERROR(__xludf.DUMMYFUNCTION("""COMPUTED_VALUE"""),1.5118695E7)</f>
        <v>15118695</v>
      </c>
      <c r="H311" s="148">
        <f>IFERROR(__xludf.DUMMYFUNCTION("""COMPUTED_VALUE"""),1.5112564E7)</f>
        <v>15112564</v>
      </c>
      <c r="I311" s="148" t="str">
        <f>IFERROR(__xludf.DUMMYFUNCTION("""COMPUTED_VALUE"""),"{""typ"":""lc"",""txt"":""LC_ITEM_time_day_upper_show"",""args"":[{""typ"":""int"",""val"":7}]}")</f>
        <v>{"typ":"lc","txt":"LC_ITEM_time_day_upper_show","args":[{"typ":"int","val":7}]}</v>
      </c>
      <c r="J311" s="148" t="str">
        <f>IFERROR(__xludf.DUMMYFUNCTION("""COMPUTED_VALUE"""),"{""typ"":""lc"",""txt"":""LC_ITEM_2024easter_highcity_skin_title_7day""}")</f>
        <v>{"typ":"lc","txt":"LC_ITEM_2024easter_highcity_skin_title_7day"}</v>
      </c>
      <c r="K311" s="148" t="str">
        <f>IFERROR(__xludf.DUMMYFUNCTION("""COMPUTED_VALUE"""),"{""typ"":""lc"",""txt"":""LC_ITEM_2024easter_highskin_desc_7days""}")</f>
        <v>{"typ":"lc","txt":"LC_ITEM_2024easter_highskin_desc_7days"}</v>
      </c>
      <c r="L311" s="148" t="str">
        <f>IFERROR(__xludf.DUMMYFUNCTION("""COMPUTED_VALUE"""),"{""typ"":""lc"",""txt"":""LC_ITEM_city_skin_rocket_use_tips""}")</f>
        <v>{"typ":"lc","txt":"LC_ITEM_city_skin_rocket_use_tips"}</v>
      </c>
      <c r="M311" s="148">
        <f>IFERROR(__xludf.DUMMYFUNCTION("""COMPUTED_VALUE"""),10000.0)</f>
        <v>10000</v>
      </c>
      <c r="N311" s="148">
        <f>IFERROR(__xludf.DUMMYFUNCTION("""COMPUTED_VALUE"""),999.0)</f>
        <v>999</v>
      </c>
      <c r="O311" s="148">
        <f>IFERROR(__xludf.DUMMYFUNCTION("""COMPUTED_VALUE"""),1.0)</f>
        <v>1</v>
      </c>
      <c r="P311" s="148">
        <f>IFERROR(__xludf.DUMMYFUNCTION("""COMPUTED_VALUE"""),1.0)</f>
        <v>1</v>
      </c>
      <c r="Q311" s="148" t="str">
        <f>IFERROR(__xludf.DUMMYFUNCTION("""COMPUTED_VALUE"""),"[""bag_other""]")</f>
        <v>["bag_other"]</v>
      </c>
      <c r="R311" s="148" t="str">
        <f>IFERROR(__xludf.DUMMYFUNCTION("""COMPUTED_VALUE"""),"[""bag"",""13121035""]")</f>
        <v>["bag","13121035"]</v>
      </c>
      <c r="S311" s="148" t="str">
        <f>IFERROR(__xludf.DUMMYFUNCTION("""COMPUTED_VALUE"""),"{""effect"":[{""typ"":""city_skin"",""id"":13121035,""val"":604800000},{""typ"":""item"",""id"":11111021,""val"":3}]}")</f>
        <v>{"effect":[{"typ":"city_skin","id":13121035,"val":604800000},{"typ":"item","id":11111021,"val":3}]}</v>
      </c>
      <c r="T311" s="148">
        <f>IFERROR(__xludf.DUMMYFUNCTION("""COMPUTED_VALUE"""),-1.0)</f>
        <v>-1</v>
      </c>
      <c r="U311" s="148">
        <f>IFERROR(__xludf.DUMMYFUNCTION("""COMPUTED_VALUE"""),0.0)</f>
        <v>0</v>
      </c>
      <c r="V311" s="148" t="str">
        <f>IFERROR(__xludf.DUMMYFUNCTION("""COMPUTED_VALUE"""),"[]")</f>
        <v>[]</v>
      </c>
      <c r="W311" s="148">
        <f>IFERROR(__xludf.DUMMYFUNCTION("""COMPUTED_VALUE"""),1.174E7)</f>
        <v>11740000</v>
      </c>
      <c r="X311" s="148">
        <f>IFERROR(__xludf.DUMMYFUNCTION("""COMPUTED_VALUE"""),0.0)</f>
        <v>0</v>
      </c>
      <c r="Y311" s="148">
        <f>IFERROR(__xludf.DUMMYFUNCTION("""COMPUTED_VALUE"""),0.0)</f>
        <v>0</v>
      </c>
      <c r="Z311" s="148"/>
    </row>
    <row r="312">
      <c r="A312" s="148">
        <f>IFERROR(__xludf.DUMMYFUNCTION("""COMPUTED_VALUE"""),1.1112103E7)</f>
        <v>11112103</v>
      </c>
      <c r="B312" s="148" t="str">
        <f>IFERROR(__xludf.DUMMYFUNCTION("""COMPUTED_VALUE"""),"主城皮肤-复活节高级皮肤2024")</f>
        <v>主城皮肤-复活节高级皮肤2024</v>
      </c>
      <c r="C312" s="148"/>
      <c r="D312" s="148" t="str">
        <f>IFERROR(__xludf.DUMMYFUNCTION("""COMPUTED_VALUE"""),"city_skin")</f>
        <v>city_skin</v>
      </c>
      <c r="E312" s="148">
        <f>IFERROR(__xludf.DUMMYFUNCTION("""COMPUTED_VALUE"""),21.0)</f>
        <v>21</v>
      </c>
      <c r="F312" s="148">
        <f>IFERROR(__xludf.DUMMYFUNCTION("""COMPUTED_VALUE"""),400106.0)</f>
        <v>400106</v>
      </c>
      <c r="G312" s="148">
        <f>IFERROR(__xludf.DUMMYFUNCTION("""COMPUTED_VALUE"""),1.5118695E7)</f>
        <v>15118695</v>
      </c>
      <c r="H312" s="148">
        <f>IFERROR(__xludf.DUMMYFUNCTION("""COMPUTED_VALUE"""),1.5112564E7)</f>
        <v>15112564</v>
      </c>
      <c r="I312" s="148" t="str">
        <f>IFERROR(__xludf.DUMMYFUNCTION("""COMPUTED_VALUE"""),"{}")</f>
        <v>{}</v>
      </c>
      <c r="J312" s="148" t="str">
        <f>IFERROR(__xludf.DUMMYFUNCTION("""COMPUTED_VALUE"""),"{""typ"":""lc"",""txt"":""LC_ITEM_2024easter_highcity_skin_title""}")</f>
        <v>{"typ":"lc","txt":"LC_ITEM_2024easter_highcity_skin_title"}</v>
      </c>
      <c r="K312" s="148" t="str">
        <f>IFERROR(__xludf.DUMMYFUNCTION("""COMPUTED_VALUE"""),"{""typ"":""lc"",""txt"":""LC_ITEM_2024easter_highskin_desc_forever""}")</f>
        <v>{"typ":"lc","txt":"LC_ITEM_2024easter_highskin_desc_forever"}</v>
      </c>
      <c r="L312" s="148" t="str">
        <f>IFERROR(__xludf.DUMMYFUNCTION("""COMPUTED_VALUE"""),"{""typ"":""lc"",""txt"":""LC_ITEM_city_skin_rocket_use_tips""}")</f>
        <v>{"typ":"lc","txt":"LC_ITEM_city_skin_rocket_use_tips"}</v>
      </c>
      <c r="M312" s="148">
        <f>IFERROR(__xludf.DUMMYFUNCTION("""COMPUTED_VALUE"""),10000.0)</f>
        <v>10000</v>
      </c>
      <c r="N312" s="148">
        <f>IFERROR(__xludf.DUMMYFUNCTION("""COMPUTED_VALUE"""),999.0)</f>
        <v>999</v>
      </c>
      <c r="O312" s="148">
        <f>IFERROR(__xludf.DUMMYFUNCTION("""COMPUTED_VALUE"""),1.0)</f>
        <v>1</v>
      </c>
      <c r="P312" s="148">
        <f>IFERROR(__xludf.DUMMYFUNCTION("""COMPUTED_VALUE"""),1.0)</f>
        <v>1</v>
      </c>
      <c r="Q312" s="148" t="str">
        <f>IFERROR(__xludf.DUMMYFUNCTION("""COMPUTED_VALUE"""),"[""bag_other""]")</f>
        <v>["bag_other"]</v>
      </c>
      <c r="R312" s="148" t="str">
        <f>IFERROR(__xludf.DUMMYFUNCTION("""COMPUTED_VALUE"""),"[""bag"",""13121035""]")</f>
        <v>["bag","13121035"]</v>
      </c>
      <c r="S312" s="148" t="str">
        <f>IFERROR(__xludf.DUMMYFUNCTION("""COMPUTED_VALUE"""),"{""effect"":[{""typ"":""city_skin"",""id"":13121035,""val"":-1},{""typ"":""item"",""id"":11111034,""val"":10}]}")</f>
        <v>{"effect":[{"typ":"city_skin","id":13121035,"val":-1},{"typ":"item","id":11111034,"val":10}]}</v>
      </c>
      <c r="T312" s="148">
        <f>IFERROR(__xludf.DUMMYFUNCTION("""COMPUTED_VALUE"""),-1.0)</f>
        <v>-1</v>
      </c>
      <c r="U312" s="148">
        <f>IFERROR(__xludf.DUMMYFUNCTION("""COMPUTED_VALUE"""),0.0)</f>
        <v>0</v>
      </c>
      <c r="V312" s="148" t="str">
        <f>IFERROR(__xludf.DUMMYFUNCTION("""COMPUTED_VALUE"""),"[]")</f>
        <v>[]</v>
      </c>
      <c r="W312" s="148">
        <f>IFERROR(__xludf.DUMMYFUNCTION("""COMPUTED_VALUE"""),1.174E7)</f>
        <v>11740000</v>
      </c>
      <c r="X312" s="148">
        <f>IFERROR(__xludf.DUMMYFUNCTION("""COMPUTED_VALUE"""),0.0)</f>
        <v>0</v>
      </c>
      <c r="Y312" s="148">
        <f>IFERROR(__xludf.DUMMYFUNCTION("""COMPUTED_VALUE"""),0.0)</f>
        <v>0</v>
      </c>
      <c r="Z312" s="148"/>
    </row>
    <row r="313">
      <c r="A313" s="148">
        <f>IFERROR(__xludf.DUMMYFUNCTION("""COMPUTED_VALUE"""),1.1112104E7)</f>
        <v>11112104</v>
      </c>
      <c r="B313" s="148" t="str">
        <f>IFERROR(__xludf.DUMMYFUNCTION("""COMPUTED_VALUE"""),"主城皮肤-复活节2024")</f>
        <v>主城皮肤-复活节2024</v>
      </c>
      <c r="C313" s="148"/>
      <c r="D313" s="148" t="str">
        <f>IFERROR(__xludf.DUMMYFUNCTION("""COMPUTED_VALUE"""),"city_skin")</f>
        <v>city_skin</v>
      </c>
      <c r="E313" s="148">
        <f>IFERROR(__xludf.DUMMYFUNCTION("""COMPUTED_VALUE"""),21.0)</f>
        <v>21</v>
      </c>
      <c r="F313" s="148">
        <f>IFERROR(__xludf.DUMMYFUNCTION("""COMPUTED_VALUE"""),1.0)</f>
        <v>1</v>
      </c>
      <c r="G313" s="148">
        <f>IFERROR(__xludf.DUMMYFUNCTION("""COMPUTED_VALUE"""),1.5118694E7)</f>
        <v>15118694</v>
      </c>
      <c r="H313" s="148">
        <f>IFERROR(__xludf.DUMMYFUNCTION("""COMPUTED_VALUE"""),1.5112564E7)</f>
        <v>15112564</v>
      </c>
      <c r="I313" s="148" t="str">
        <f>IFERROR(__xludf.DUMMYFUNCTION("""COMPUTED_VALUE"""),"{}")</f>
        <v>{}</v>
      </c>
      <c r="J313" s="148" t="str">
        <f>IFERROR(__xludf.DUMMYFUNCTION("""COMPUTED_VALUE"""),"{""typ"":""lc"",""txt"":""LC_ITEM_2024easter_lowcity_skin_title""}")</f>
        <v>{"typ":"lc","txt":"LC_ITEM_2024easter_lowcity_skin_title"}</v>
      </c>
      <c r="K313" s="148" t="str">
        <f>IFERROR(__xludf.DUMMYFUNCTION("""COMPUTED_VALUE"""),"{""typ"":""lc"",""txt"":""LC_ITEM_2024easter_lowcity_skin_desc_forever""}")</f>
        <v>{"typ":"lc","txt":"LC_ITEM_2024easter_lowcity_skin_desc_forever"}</v>
      </c>
      <c r="L313" s="148" t="str">
        <f>IFERROR(__xludf.DUMMYFUNCTION("""COMPUTED_VALUE"""),"{""typ"":""lc"",""txt"":""LC_ITEM_city_skin_rocket_use_tips""}")</f>
        <v>{"typ":"lc","txt":"LC_ITEM_city_skin_rocket_use_tips"}</v>
      </c>
      <c r="M313" s="148">
        <f>IFERROR(__xludf.DUMMYFUNCTION("""COMPUTED_VALUE"""),10000.0)</f>
        <v>10000</v>
      </c>
      <c r="N313" s="148">
        <f>IFERROR(__xludf.DUMMYFUNCTION("""COMPUTED_VALUE"""),999.0)</f>
        <v>999</v>
      </c>
      <c r="O313" s="148">
        <f>IFERROR(__xludf.DUMMYFUNCTION("""COMPUTED_VALUE"""),1.0)</f>
        <v>1</v>
      </c>
      <c r="P313" s="148">
        <f>IFERROR(__xludf.DUMMYFUNCTION("""COMPUTED_VALUE"""),1.0)</f>
        <v>1</v>
      </c>
      <c r="Q313" s="148" t="str">
        <f>IFERROR(__xludf.DUMMYFUNCTION("""COMPUTED_VALUE"""),"[""bag_other""]")</f>
        <v>["bag_other"]</v>
      </c>
      <c r="R313" s="148" t="str">
        <f>IFERROR(__xludf.DUMMYFUNCTION("""COMPUTED_VALUE"""),"[""bag"",""13121034""]")</f>
        <v>["bag","13121034"]</v>
      </c>
      <c r="S313" s="148" t="str">
        <f>IFERROR(__xludf.DUMMYFUNCTION("""COMPUTED_VALUE"""),"{""effect"":[{""typ"":""city_skin"",""id"":13121034,""val"":-1},{""typ"":""item"",""id"":11111034,""val"":10}]}")</f>
        <v>{"effect":[{"typ":"city_skin","id":13121034,"val":-1},{"typ":"item","id":11111034,"val":10}]}</v>
      </c>
      <c r="T313" s="148">
        <f>IFERROR(__xludf.DUMMYFUNCTION("""COMPUTED_VALUE"""),-1.0)</f>
        <v>-1</v>
      </c>
      <c r="U313" s="148">
        <f>IFERROR(__xludf.DUMMYFUNCTION("""COMPUTED_VALUE"""),0.0)</f>
        <v>0</v>
      </c>
      <c r="V313" s="148" t="str">
        <f>IFERROR(__xludf.DUMMYFUNCTION("""COMPUTED_VALUE"""),"[]")</f>
        <v>[]</v>
      </c>
      <c r="W313" s="148">
        <f>IFERROR(__xludf.DUMMYFUNCTION("""COMPUTED_VALUE"""),1.174E7)</f>
        <v>11740000</v>
      </c>
      <c r="X313" s="148">
        <f>IFERROR(__xludf.DUMMYFUNCTION("""COMPUTED_VALUE"""),0.0)</f>
        <v>0</v>
      </c>
      <c r="Y313" s="148">
        <f>IFERROR(__xludf.DUMMYFUNCTION("""COMPUTED_VALUE"""),0.0)</f>
        <v>0</v>
      </c>
      <c r="Z313" s="148"/>
    </row>
    <row r="314">
      <c r="A314" s="148">
        <f>IFERROR(__xludf.DUMMYFUNCTION("""COMPUTED_VALUE"""),1.1112105E7)</f>
        <v>11112105</v>
      </c>
      <c r="B314" s="148" t="str">
        <f>IFERROR(__xludf.DUMMYFUNCTION("""COMPUTED_VALUE"""),"主城皮肤-复活节2024（2天）")</f>
        <v>主城皮肤-复活节2024（2天）</v>
      </c>
      <c r="C314" s="148"/>
      <c r="D314" s="148" t="str">
        <f>IFERROR(__xludf.DUMMYFUNCTION("""COMPUTED_VALUE"""),"city_skin")</f>
        <v>city_skin</v>
      </c>
      <c r="E314" s="148">
        <f>IFERROR(__xludf.DUMMYFUNCTION("""COMPUTED_VALUE"""),21.0)</f>
        <v>21</v>
      </c>
      <c r="F314" s="148">
        <f>IFERROR(__xludf.DUMMYFUNCTION("""COMPUTED_VALUE"""),404201.0)</f>
        <v>404201</v>
      </c>
      <c r="G314" s="148">
        <f>IFERROR(__xludf.DUMMYFUNCTION("""COMPUTED_VALUE"""),1.5118694E7)</f>
        <v>15118694</v>
      </c>
      <c r="H314" s="148">
        <f>IFERROR(__xludf.DUMMYFUNCTION("""COMPUTED_VALUE"""),1.5112563E7)</f>
        <v>15112563</v>
      </c>
      <c r="I314" s="148" t="str">
        <f>IFERROR(__xludf.DUMMYFUNCTION("""COMPUTED_VALUE"""),"{""typ"":""lc"",""txt"":""LC_ITEM_time_day_upper_show"",""args"":[{""typ"":""int"",""val"":2}]}")</f>
        <v>{"typ":"lc","txt":"LC_ITEM_time_day_upper_show","args":[{"typ":"int","val":2}]}</v>
      </c>
      <c r="J314" s="148" t="str">
        <f>IFERROR(__xludf.DUMMYFUNCTION("""COMPUTED_VALUE"""),"{""typ"":""lc"",""txt"":""LC_ITEM_2024easter_lowcity_skin_title_2day""}")</f>
        <v>{"typ":"lc","txt":"LC_ITEM_2024easter_lowcity_skin_title_2day"}</v>
      </c>
      <c r="K314" s="148" t="str">
        <f>IFERROR(__xludf.DUMMYFUNCTION("""COMPUTED_VALUE"""),"{""typ"":""lc"",""txt"":""LC_ITEM_2024easter_lowcity_skin_desc_2day""}")</f>
        <v>{"typ":"lc","txt":"LC_ITEM_2024easter_lowcity_skin_desc_2day"}</v>
      </c>
      <c r="L314" s="148" t="str">
        <f>IFERROR(__xludf.DUMMYFUNCTION("""COMPUTED_VALUE"""),"{""typ"":""lc"",""txt"":""LC_ITEM_city_skin_rocket_use_tips""}")</f>
        <v>{"typ":"lc","txt":"LC_ITEM_city_skin_rocket_use_tips"}</v>
      </c>
      <c r="M314" s="148">
        <f>IFERROR(__xludf.DUMMYFUNCTION("""COMPUTED_VALUE"""),500.0)</f>
        <v>500</v>
      </c>
      <c r="N314" s="148">
        <f>IFERROR(__xludf.DUMMYFUNCTION("""COMPUTED_VALUE"""),999.0)</f>
        <v>999</v>
      </c>
      <c r="O314" s="148">
        <f>IFERROR(__xludf.DUMMYFUNCTION("""COMPUTED_VALUE"""),1.0)</f>
        <v>1</v>
      </c>
      <c r="P314" s="148">
        <f>IFERROR(__xludf.DUMMYFUNCTION("""COMPUTED_VALUE"""),1.0)</f>
        <v>1</v>
      </c>
      <c r="Q314" s="148" t="str">
        <f>IFERROR(__xludf.DUMMYFUNCTION("""COMPUTED_VALUE"""),"[""bag_other""]")</f>
        <v>["bag_other"]</v>
      </c>
      <c r="R314" s="148" t="str">
        <f>IFERROR(__xludf.DUMMYFUNCTION("""COMPUTED_VALUE"""),"[""bag"",""13121034""]")</f>
        <v>["bag","13121034"]</v>
      </c>
      <c r="S314" s="148" t="str">
        <f>IFERROR(__xludf.DUMMYFUNCTION("""COMPUTED_VALUE"""),"{""effect"":[{""typ"":""city_skin"",""id"":13121034,""val"":172800000},{""typ"":""item"",""id"":11111021,""val"":1}]}")</f>
        <v>{"effect":[{"typ":"city_skin","id":13121034,"val":172800000},{"typ":"item","id":11111021,"val":1}]}</v>
      </c>
      <c r="T314" s="148">
        <f>IFERROR(__xludf.DUMMYFUNCTION("""COMPUTED_VALUE"""),-1.0)</f>
        <v>-1</v>
      </c>
      <c r="U314" s="148">
        <f>IFERROR(__xludf.DUMMYFUNCTION("""COMPUTED_VALUE"""),0.0)</f>
        <v>0</v>
      </c>
      <c r="V314" s="148" t="str">
        <f>IFERROR(__xludf.DUMMYFUNCTION("""COMPUTED_VALUE"""),"[]")</f>
        <v>[]</v>
      </c>
      <c r="W314" s="148">
        <f>IFERROR(__xludf.DUMMYFUNCTION("""COMPUTED_VALUE"""),1.174E7)</f>
        <v>11740000</v>
      </c>
      <c r="X314" s="148">
        <f>IFERROR(__xludf.DUMMYFUNCTION("""COMPUTED_VALUE"""),0.0)</f>
        <v>0</v>
      </c>
      <c r="Y314" s="148">
        <f>IFERROR(__xludf.DUMMYFUNCTION("""COMPUTED_VALUE"""),0.0)</f>
        <v>0</v>
      </c>
      <c r="Z314" s="148"/>
    </row>
    <row r="315">
      <c r="A315" s="148">
        <f>IFERROR(__xludf.DUMMYFUNCTION("""COMPUTED_VALUE"""),1.1112106E7)</f>
        <v>11112106</v>
      </c>
      <c r="B315" s="148" t="str">
        <f>IFERROR(__xludf.DUMMYFUNCTION("""COMPUTED_VALUE"""),"复活节活跃活动道具A-复活蛋")</f>
        <v>复活节活跃活动道具A-复活蛋</v>
      </c>
      <c r="C315" s="148"/>
      <c r="D315" s="148" t="str">
        <f>IFERROR(__xludf.DUMMYFUNCTION("""COMPUTED_VALUE"""),"event")</f>
        <v>event</v>
      </c>
      <c r="E315" s="148">
        <f>IFERROR(__xludf.DUMMYFUNCTION("""COMPUTED_VALUE"""),0.0)</f>
        <v>0</v>
      </c>
      <c r="F315" s="148">
        <f>IFERROR(__xludf.DUMMYFUNCTION("""COMPUTED_VALUE"""),405217.0)</f>
        <v>405217</v>
      </c>
      <c r="G315" s="148">
        <f>IFERROR(__xludf.DUMMYFUNCTION("""COMPUTED_VALUE"""),1.51188E7)</f>
        <v>15118800</v>
      </c>
      <c r="H315" s="148">
        <f>IFERROR(__xludf.DUMMYFUNCTION("""COMPUTED_VALUE"""),1.5112563E7)</f>
        <v>15112563</v>
      </c>
      <c r="I315" s="148" t="str">
        <f>IFERROR(__xludf.DUMMYFUNCTION("""COMPUTED_VALUE"""),"{}")</f>
        <v>{}</v>
      </c>
      <c r="J315" s="148" t="str">
        <f>IFERROR(__xludf.DUMMYFUNCTION("""COMPUTED_VALUE"""),"{""typ"":""lc"",""txt"":""LC_ITEM_24exchange_actv_item_egg""}")</f>
        <v>{"typ":"lc","txt":"LC_ITEM_24exchange_actv_item_egg"}</v>
      </c>
      <c r="K315" s="148" t="str">
        <f>IFERROR(__xludf.DUMMYFUNCTION("""COMPUTED_VALUE"""),"{""typ"":""lc"",""txt"":""LC_EVENT_23zongzi_item_desc""}")</f>
        <v>{"typ":"lc","txt":"LC_EVENT_23zongzi_item_desc"}</v>
      </c>
      <c r="L315" s="148" t="str">
        <f>IFERROR(__xludf.DUMMYFUNCTION("""COMPUTED_VALUE"""),"{}")</f>
        <v>{}</v>
      </c>
      <c r="M315" s="148">
        <f>IFERROR(__xludf.DUMMYFUNCTION("""COMPUTED_VALUE"""),35.0)</f>
        <v>35</v>
      </c>
      <c r="N315" s="148">
        <f>IFERROR(__xludf.DUMMYFUNCTION("""COMPUTED_VALUE"""),999999.0)</f>
        <v>999999</v>
      </c>
      <c r="O315" s="148">
        <f>IFERROR(__xludf.DUMMYFUNCTION("""COMPUTED_VALUE"""),99999.0)</f>
        <v>99999</v>
      </c>
      <c r="P315" s="148">
        <f>IFERROR(__xludf.DUMMYFUNCTION("""COMPUTED_VALUE"""),99999.0)</f>
        <v>99999</v>
      </c>
      <c r="Q315" s="148" t="str">
        <f>IFERROR(__xludf.DUMMYFUNCTION("""COMPUTED_VALUE"""),"[""bag_other""]")</f>
        <v>["bag_other"]</v>
      </c>
      <c r="R315" s="148" t="str">
        <f>IFERROR(__xludf.DUMMYFUNCTION("""COMPUTED_VALUE"""),"[""bag""]")</f>
        <v>["bag"]</v>
      </c>
      <c r="S315" s="148" t="str">
        <f>IFERROR(__xludf.DUMMYFUNCTION("""COMPUTED_VALUE"""),"{}")</f>
        <v>{}</v>
      </c>
      <c r="T315" s="148">
        <f>IFERROR(__xludf.DUMMYFUNCTION("""COMPUTED_VALUE"""),-1.0)</f>
        <v>-1</v>
      </c>
      <c r="U315" s="148">
        <f>IFERROR(__xludf.DUMMYFUNCTION("""COMPUTED_VALUE"""),0.0)</f>
        <v>0</v>
      </c>
      <c r="V315" s="148" t="str">
        <f>IFERROR(__xludf.DUMMYFUNCTION("""COMPUTED_VALUE"""),"[]")</f>
        <v>[]</v>
      </c>
      <c r="W315" s="148">
        <f>IFERROR(__xludf.DUMMYFUNCTION("""COMPUTED_VALUE"""),1.174E7)</f>
        <v>11740000</v>
      </c>
      <c r="X315" s="148">
        <f>IFERROR(__xludf.DUMMYFUNCTION("""COMPUTED_VALUE"""),0.0)</f>
        <v>0</v>
      </c>
      <c r="Y315" s="148">
        <f>IFERROR(__xludf.DUMMYFUNCTION("""COMPUTED_VALUE"""),0.0)</f>
        <v>0</v>
      </c>
      <c r="Z315" s="148"/>
    </row>
    <row r="316">
      <c r="A316" s="148">
        <f>IFERROR(__xludf.DUMMYFUNCTION("""COMPUTED_VALUE"""),1.1112107E7)</f>
        <v>11112107</v>
      </c>
      <c r="B316" s="148" t="str">
        <f>IFERROR(__xludf.DUMMYFUNCTION("""COMPUTED_VALUE"""),"复活节活跃活动道具B-毯子")</f>
        <v>复活节活跃活动道具B-毯子</v>
      </c>
      <c r="C316" s="148"/>
      <c r="D316" s="148" t="str">
        <f>IFERROR(__xludf.DUMMYFUNCTION("""COMPUTED_VALUE"""),"event")</f>
        <v>event</v>
      </c>
      <c r="E316" s="148">
        <f>IFERROR(__xludf.DUMMYFUNCTION("""COMPUTED_VALUE"""),0.0)</f>
        <v>0</v>
      </c>
      <c r="F316" s="148">
        <f>IFERROR(__xludf.DUMMYFUNCTION("""COMPUTED_VALUE"""),405217.0)</f>
        <v>405217</v>
      </c>
      <c r="G316" s="148">
        <f>IFERROR(__xludf.DUMMYFUNCTION("""COMPUTED_VALUE"""),1.5118804E7)</f>
        <v>15118804</v>
      </c>
      <c r="H316" s="148">
        <f>IFERROR(__xludf.DUMMYFUNCTION("""COMPUTED_VALUE"""),1.5112563E7)</f>
        <v>15112563</v>
      </c>
      <c r="I316" s="148" t="str">
        <f>IFERROR(__xludf.DUMMYFUNCTION("""COMPUTED_VALUE"""),"{}")</f>
        <v>{}</v>
      </c>
      <c r="J316" s="148" t="str">
        <f>IFERROR(__xludf.DUMMYFUNCTION("""COMPUTED_VALUE"""),"{""typ"":""lc"",""txt"":""LC_ITEM_24exchange_actv_item_blanket""}")</f>
        <v>{"typ":"lc","txt":"LC_ITEM_24exchange_actv_item_blanket"}</v>
      </c>
      <c r="K316" s="148" t="str">
        <f>IFERROR(__xludf.DUMMYFUNCTION("""COMPUTED_VALUE"""),"{""typ"":""lc"",""txt"":""LC_EVENT_23zongzi_item_desc""}")</f>
        <v>{"typ":"lc","txt":"LC_EVENT_23zongzi_item_desc"}</v>
      </c>
      <c r="L316" s="148" t="str">
        <f>IFERROR(__xludf.DUMMYFUNCTION("""COMPUTED_VALUE"""),"{}")</f>
        <v>{}</v>
      </c>
      <c r="M316" s="148">
        <f>IFERROR(__xludf.DUMMYFUNCTION("""COMPUTED_VALUE"""),35.0)</f>
        <v>35</v>
      </c>
      <c r="N316" s="148">
        <f>IFERROR(__xludf.DUMMYFUNCTION("""COMPUTED_VALUE"""),999999.0)</f>
        <v>999999</v>
      </c>
      <c r="O316" s="148">
        <f>IFERROR(__xludf.DUMMYFUNCTION("""COMPUTED_VALUE"""),99999.0)</f>
        <v>99999</v>
      </c>
      <c r="P316" s="148">
        <f>IFERROR(__xludf.DUMMYFUNCTION("""COMPUTED_VALUE"""),99999.0)</f>
        <v>99999</v>
      </c>
      <c r="Q316" s="148" t="str">
        <f>IFERROR(__xludf.DUMMYFUNCTION("""COMPUTED_VALUE"""),"[""bag_other""]")</f>
        <v>["bag_other"]</v>
      </c>
      <c r="R316" s="148" t="str">
        <f>IFERROR(__xludf.DUMMYFUNCTION("""COMPUTED_VALUE"""),"[""bag""]")</f>
        <v>["bag"]</v>
      </c>
      <c r="S316" s="148" t="str">
        <f>IFERROR(__xludf.DUMMYFUNCTION("""COMPUTED_VALUE"""),"{}")</f>
        <v>{}</v>
      </c>
      <c r="T316" s="148">
        <f>IFERROR(__xludf.DUMMYFUNCTION("""COMPUTED_VALUE"""),-1.0)</f>
        <v>-1</v>
      </c>
      <c r="U316" s="148">
        <f>IFERROR(__xludf.DUMMYFUNCTION("""COMPUTED_VALUE"""),0.0)</f>
        <v>0</v>
      </c>
      <c r="V316" s="148" t="str">
        <f>IFERROR(__xludf.DUMMYFUNCTION("""COMPUTED_VALUE"""),"[]")</f>
        <v>[]</v>
      </c>
      <c r="W316" s="148">
        <f>IFERROR(__xludf.DUMMYFUNCTION("""COMPUTED_VALUE"""),1.174E7)</f>
        <v>11740000</v>
      </c>
      <c r="X316" s="148">
        <f>IFERROR(__xludf.DUMMYFUNCTION("""COMPUTED_VALUE"""),0.0)</f>
        <v>0</v>
      </c>
      <c r="Y316" s="148">
        <f>IFERROR(__xludf.DUMMYFUNCTION("""COMPUTED_VALUE"""),0.0)</f>
        <v>0</v>
      </c>
      <c r="Z316" s="148"/>
    </row>
    <row r="317">
      <c r="A317" s="148">
        <f>IFERROR(__xludf.DUMMYFUNCTION("""COMPUTED_VALUE"""),1.1112108E7)</f>
        <v>11112108</v>
      </c>
      <c r="B317" s="148" t="str">
        <f>IFERROR(__xludf.DUMMYFUNCTION("""COMPUTED_VALUE"""),"复活节活跃活动道具C-兔子")</f>
        <v>复活节活跃活动道具C-兔子</v>
      </c>
      <c r="C317" s="148"/>
      <c r="D317" s="148" t="str">
        <f>IFERROR(__xludf.DUMMYFUNCTION("""COMPUTED_VALUE"""),"event")</f>
        <v>event</v>
      </c>
      <c r="E317" s="148">
        <f>IFERROR(__xludf.DUMMYFUNCTION("""COMPUTED_VALUE"""),0.0)</f>
        <v>0</v>
      </c>
      <c r="F317" s="148">
        <f>IFERROR(__xludf.DUMMYFUNCTION("""COMPUTED_VALUE"""),405217.0)</f>
        <v>405217</v>
      </c>
      <c r="G317" s="148">
        <f>IFERROR(__xludf.DUMMYFUNCTION("""COMPUTED_VALUE"""),1.5118802E7)</f>
        <v>15118802</v>
      </c>
      <c r="H317" s="148">
        <f>IFERROR(__xludf.DUMMYFUNCTION("""COMPUTED_VALUE"""),1.5112563E7)</f>
        <v>15112563</v>
      </c>
      <c r="I317" s="148" t="str">
        <f>IFERROR(__xludf.DUMMYFUNCTION("""COMPUTED_VALUE"""),"{}")</f>
        <v>{}</v>
      </c>
      <c r="J317" s="148" t="str">
        <f>IFERROR(__xludf.DUMMYFUNCTION("""COMPUTED_VALUE"""),"{""typ"":""lc"",""txt"":""LC_ITEM_24exchange_actv_item_rabbit""}")</f>
        <v>{"typ":"lc","txt":"LC_ITEM_24exchange_actv_item_rabbit"}</v>
      </c>
      <c r="K317" s="148" t="str">
        <f>IFERROR(__xludf.DUMMYFUNCTION("""COMPUTED_VALUE"""),"{""typ"":""lc"",""txt"":""LC_EVENT_23zongzi_item_desc""}")</f>
        <v>{"typ":"lc","txt":"LC_EVENT_23zongzi_item_desc"}</v>
      </c>
      <c r="L317" s="148" t="str">
        <f>IFERROR(__xludf.DUMMYFUNCTION("""COMPUTED_VALUE"""),"{}")</f>
        <v>{}</v>
      </c>
      <c r="M317" s="148">
        <f>IFERROR(__xludf.DUMMYFUNCTION("""COMPUTED_VALUE"""),35.0)</f>
        <v>35</v>
      </c>
      <c r="N317" s="148">
        <f>IFERROR(__xludf.DUMMYFUNCTION("""COMPUTED_VALUE"""),999999.0)</f>
        <v>999999</v>
      </c>
      <c r="O317" s="148">
        <f>IFERROR(__xludf.DUMMYFUNCTION("""COMPUTED_VALUE"""),99999.0)</f>
        <v>99999</v>
      </c>
      <c r="P317" s="148">
        <f>IFERROR(__xludf.DUMMYFUNCTION("""COMPUTED_VALUE"""),99999.0)</f>
        <v>99999</v>
      </c>
      <c r="Q317" s="148" t="str">
        <f>IFERROR(__xludf.DUMMYFUNCTION("""COMPUTED_VALUE"""),"[""bag_other""]")</f>
        <v>["bag_other"]</v>
      </c>
      <c r="R317" s="148" t="str">
        <f>IFERROR(__xludf.DUMMYFUNCTION("""COMPUTED_VALUE"""),"[""bag""]")</f>
        <v>["bag"]</v>
      </c>
      <c r="S317" s="148" t="str">
        <f>IFERROR(__xludf.DUMMYFUNCTION("""COMPUTED_VALUE"""),"{}")</f>
        <v>{}</v>
      </c>
      <c r="T317" s="148">
        <f>IFERROR(__xludf.DUMMYFUNCTION("""COMPUTED_VALUE"""),-1.0)</f>
        <v>-1</v>
      </c>
      <c r="U317" s="148">
        <f>IFERROR(__xludf.DUMMYFUNCTION("""COMPUTED_VALUE"""),0.0)</f>
        <v>0</v>
      </c>
      <c r="V317" s="148" t="str">
        <f>IFERROR(__xludf.DUMMYFUNCTION("""COMPUTED_VALUE"""),"[]")</f>
        <v>[]</v>
      </c>
      <c r="W317" s="148">
        <f>IFERROR(__xludf.DUMMYFUNCTION("""COMPUTED_VALUE"""),1.174E7)</f>
        <v>11740000</v>
      </c>
      <c r="X317" s="148">
        <f>IFERROR(__xludf.DUMMYFUNCTION("""COMPUTED_VALUE"""),0.0)</f>
        <v>0</v>
      </c>
      <c r="Y317" s="148">
        <f>IFERROR(__xludf.DUMMYFUNCTION("""COMPUTED_VALUE"""),0.0)</f>
        <v>0</v>
      </c>
      <c r="Z317" s="148"/>
    </row>
    <row r="318">
      <c r="A318" s="148">
        <f>IFERROR(__xludf.DUMMYFUNCTION("""COMPUTED_VALUE"""),1.1112109E7)</f>
        <v>11112109</v>
      </c>
      <c r="B318" s="148" t="str">
        <f>IFERROR(__xludf.DUMMYFUNCTION("""COMPUTED_VALUE"""),"复活节活跃活动道具D-魔法帽")</f>
        <v>复活节活跃活动道具D-魔法帽</v>
      </c>
      <c r="C318" s="148"/>
      <c r="D318" s="148" t="str">
        <f>IFERROR(__xludf.DUMMYFUNCTION("""COMPUTED_VALUE"""),"event")</f>
        <v>event</v>
      </c>
      <c r="E318" s="148">
        <f>IFERROR(__xludf.DUMMYFUNCTION("""COMPUTED_VALUE"""),0.0)</f>
        <v>0</v>
      </c>
      <c r="F318" s="148">
        <f>IFERROR(__xludf.DUMMYFUNCTION("""COMPUTED_VALUE"""),405217.0)</f>
        <v>405217</v>
      </c>
      <c r="G318" s="148">
        <f>IFERROR(__xludf.DUMMYFUNCTION("""COMPUTED_VALUE"""),1.5118801E7)</f>
        <v>15118801</v>
      </c>
      <c r="H318" s="148">
        <f>IFERROR(__xludf.DUMMYFUNCTION("""COMPUTED_VALUE"""),1.5112563E7)</f>
        <v>15112563</v>
      </c>
      <c r="I318" s="148" t="str">
        <f>IFERROR(__xludf.DUMMYFUNCTION("""COMPUTED_VALUE"""),"{}")</f>
        <v>{}</v>
      </c>
      <c r="J318" s="148" t="str">
        <f>IFERROR(__xludf.DUMMYFUNCTION("""COMPUTED_VALUE"""),"{""typ"":""lc"",""txt"":""LC_ITEM_24exchange_actv_item_magichat""}")</f>
        <v>{"typ":"lc","txt":"LC_ITEM_24exchange_actv_item_magichat"}</v>
      </c>
      <c r="K318" s="148" t="str">
        <f>IFERROR(__xludf.DUMMYFUNCTION("""COMPUTED_VALUE"""),"{""typ"":""lc"",""txt"":""LC_EVENT_23zongzi_item_desc""}")</f>
        <v>{"typ":"lc","txt":"LC_EVENT_23zongzi_item_desc"}</v>
      </c>
      <c r="L318" s="148" t="str">
        <f>IFERROR(__xludf.DUMMYFUNCTION("""COMPUTED_VALUE"""),"{}")</f>
        <v>{}</v>
      </c>
      <c r="M318" s="148">
        <f>IFERROR(__xludf.DUMMYFUNCTION("""COMPUTED_VALUE"""),35.0)</f>
        <v>35</v>
      </c>
      <c r="N318" s="148">
        <f>IFERROR(__xludf.DUMMYFUNCTION("""COMPUTED_VALUE"""),999999.0)</f>
        <v>999999</v>
      </c>
      <c r="O318" s="148">
        <f>IFERROR(__xludf.DUMMYFUNCTION("""COMPUTED_VALUE"""),99999.0)</f>
        <v>99999</v>
      </c>
      <c r="P318" s="148">
        <f>IFERROR(__xludf.DUMMYFUNCTION("""COMPUTED_VALUE"""),99999.0)</f>
        <v>99999</v>
      </c>
      <c r="Q318" s="148" t="str">
        <f>IFERROR(__xludf.DUMMYFUNCTION("""COMPUTED_VALUE"""),"[""bag_other""]")</f>
        <v>["bag_other"]</v>
      </c>
      <c r="R318" s="148" t="str">
        <f>IFERROR(__xludf.DUMMYFUNCTION("""COMPUTED_VALUE"""),"[""bag""]")</f>
        <v>["bag"]</v>
      </c>
      <c r="S318" s="148" t="str">
        <f>IFERROR(__xludf.DUMMYFUNCTION("""COMPUTED_VALUE"""),"{}")</f>
        <v>{}</v>
      </c>
      <c r="T318" s="148">
        <f>IFERROR(__xludf.DUMMYFUNCTION("""COMPUTED_VALUE"""),-1.0)</f>
        <v>-1</v>
      </c>
      <c r="U318" s="148">
        <f>IFERROR(__xludf.DUMMYFUNCTION("""COMPUTED_VALUE"""),0.0)</f>
        <v>0</v>
      </c>
      <c r="V318" s="148" t="str">
        <f>IFERROR(__xludf.DUMMYFUNCTION("""COMPUTED_VALUE"""),"[]")</f>
        <v>[]</v>
      </c>
      <c r="W318" s="148">
        <f>IFERROR(__xludf.DUMMYFUNCTION("""COMPUTED_VALUE"""),1.174E7)</f>
        <v>11740000</v>
      </c>
      <c r="X318" s="148">
        <f>IFERROR(__xludf.DUMMYFUNCTION("""COMPUTED_VALUE"""),0.0)</f>
        <v>0</v>
      </c>
      <c r="Y318" s="148">
        <f>IFERROR(__xludf.DUMMYFUNCTION("""COMPUTED_VALUE"""),0.0)</f>
        <v>0</v>
      </c>
      <c r="Z318" s="148"/>
    </row>
    <row r="319">
      <c r="A319" s="148">
        <f>IFERROR(__xludf.DUMMYFUNCTION("""COMPUTED_VALUE"""),1.111211E7)</f>
        <v>11112110</v>
      </c>
      <c r="B319" s="148" t="str">
        <f>IFERROR(__xludf.DUMMYFUNCTION("""COMPUTED_VALUE"""),"复活节活跃活动道具E-花篮")</f>
        <v>复活节活跃活动道具E-花篮</v>
      </c>
      <c r="C319" s="148"/>
      <c r="D319" s="148" t="str">
        <f>IFERROR(__xludf.DUMMYFUNCTION("""COMPUTED_VALUE"""),"event")</f>
        <v>event</v>
      </c>
      <c r="E319" s="148">
        <f>IFERROR(__xludf.DUMMYFUNCTION("""COMPUTED_VALUE"""),0.0)</f>
        <v>0</v>
      </c>
      <c r="F319" s="148">
        <f>IFERROR(__xludf.DUMMYFUNCTION("""COMPUTED_VALUE"""),405217.0)</f>
        <v>405217</v>
      </c>
      <c r="G319" s="148">
        <f>IFERROR(__xludf.DUMMYFUNCTION("""COMPUTED_VALUE"""),1.5118803E7)</f>
        <v>15118803</v>
      </c>
      <c r="H319" s="148">
        <f>IFERROR(__xludf.DUMMYFUNCTION("""COMPUTED_VALUE"""),1.5112563E7)</f>
        <v>15112563</v>
      </c>
      <c r="I319" s="148" t="str">
        <f>IFERROR(__xludf.DUMMYFUNCTION("""COMPUTED_VALUE"""),"{}")</f>
        <v>{}</v>
      </c>
      <c r="J319" s="148" t="str">
        <f>IFERROR(__xludf.DUMMYFUNCTION("""COMPUTED_VALUE"""),"{""typ"":""lc"",""txt"":""LC_ITEM_24exchange_actv_item_flowerbasket""}")</f>
        <v>{"typ":"lc","txt":"LC_ITEM_24exchange_actv_item_flowerbasket"}</v>
      </c>
      <c r="K319" s="148" t="str">
        <f>IFERROR(__xludf.DUMMYFUNCTION("""COMPUTED_VALUE"""),"{""typ"":""lc"",""txt"":""LC_EVENT_23zongzi_item_desc""}")</f>
        <v>{"typ":"lc","txt":"LC_EVENT_23zongzi_item_desc"}</v>
      </c>
      <c r="L319" s="148" t="str">
        <f>IFERROR(__xludf.DUMMYFUNCTION("""COMPUTED_VALUE"""),"{}")</f>
        <v>{}</v>
      </c>
      <c r="M319" s="148">
        <f>IFERROR(__xludf.DUMMYFUNCTION("""COMPUTED_VALUE"""),35.0)</f>
        <v>35</v>
      </c>
      <c r="N319" s="148">
        <f>IFERROR(__xludf.DUMMYFUNCTION("""COMPUTED_VALUE"""),999999.0)</f>
        <v>999999</v>
      </c>
      <c r="O319" s="148">
        <f>IFERROR(__xludf.DUMMYFUNCTION("""COMPUTED_VALUE"""),99999.0)</f>
        <v>99999</v>
      </c>
      <c r="P319" s="148">
        <f>IFERROR(__xludf.DUMMYFUNCTION("""COMPUTED_VALUE"""),99999.0)</f>
        <v>99999</v>
      </c>
      <c r="Q319" s="148" t="str">
        <f>IFERROR(__xludf.DUMMYFUNCTION("""COMPUTED_VALUE"""),"[""bag_other""]")</f>
        <v>["bag_other"]</v>
      </c>
      <c r="R319" s="148" t="str">
        <f>IFERROR(__xludf.DUMMYFUNCTION("""COMPUTED_VALUE"""),"[""bag""]")</f>
        <v>["bag"]</v>
      </c>
      <c r="S319" s="148" t="str">
        <f>IFERROR(__xludf.DUMMYFUNCTION("""COMPUTED_VALUE"""),"{}")</f>
        <v>{}</v>
      </c>
      <c r="T319" s="148">
        <f>IFERROR(__xludf.DUMMYFUNCTION("""COMPUTED_VALUE"""),-1.0)</f>
        <v>-1</v>
      </c>
      <c r="U319" s="148">
        <f>IFERROR(__xludf.DUMMYFUNCTION("""COMPUTED_VALUE"""),0.0)</f>
        <v>0</v>
      </c>
      <c r="V319" s="148" t="str">
        <f>IFERROR(__xludf.DUMMYFUNCTION("""COMPUTED_VALUE"""),"[]")</f>
        <v>[]</v>
      </c>
      <c r="W319" s="148">
        <f>IFERROR(__xludf.DUMMYFUNCTION("""COMPUTED_VALUE"""),1.174E7)</f>
        <v>11740000</v>
      </c>
      <c r="X319" s="148">
        <f>IFERROR(__xludf.DUMMYFUNCTION("""COMPUTED_VALUE"""),0.0)</f>
        <v>0</v>
      </c>
      <c r="Y319" s="148">
        <f>IFERROR(__xludf.DUMMYFUNCTION("""COMPUTED_VALUE"""),0.0)</f>
        <v>0</v>
      </c>
      <c r="Z319" s="148"/>
    </row>
    <row r="320">
      <c r="A320" s="148">
        <f>IFERROR(__xludf.DUMMYFUNCTION("""COMPUTED_VALUE"""),1.1112111E7)</f>
        <v>11112111</v>
      </c>
      <c r="B320" s="148" t="str">
        <f>IFERROR(__xludf.DUMMYFUNCTION("""COMPUTED_VALUE"""),"复活节2024-装饰升级版本")</f>
        <v>复活节2024-装饰升级版本</v>
      </c>
      <c r="C320" s="148"/>
      <c r="D320" s="148" t="str">
        <f>IFERROR(__xludf.DUMMYFUNCTION("""COMPUTED_VALUE"""),"statue_decorate")</f>
        <v>statue_decorate</v>
      </c>
      <c r="E320" s="148">
        <f>IFERROR(__xludf.DUMMYFUNCTION("""COMPUTED_VALUE"""),23.0)</f>
        <v>23</v>
      </c>
      <c r="F320" s="148">
        <f>IFERROR(__xludf.DUMMYFUNCTION("""COMPUTED_VALUE"""),0.0)</f>
        <v>0</v>
      </c>
      <c r="G320" s="148">
        <f>IFERROR(__xludf.DUMMYFUNCTION("""COMPUTED_VALUE"""),1.5118701E7)</f>
        <v>15118701</v>
      </c>
      <c r="H320" s="148">
        <f>IFERROR(__xludf.DUMMYFUNCTION("""COMPUTED_VALUE"""),1.5112564E7)</f>
        <v>15112564</v>
      </c>
      <c r="I320" s="148" t="str">
        <f>IFERROR(__xludf.DUMMYFUNCTION("""COMPUTED_VALUE"""),"{}")</f>
        <v>{}</v>
      </c>
      <c r="J320" s="148" t="str">
        <f>IFERROR(__xludf.DUMMYFUNCTION("""COMPUTED_VALUE"""),"{""typ"":""lc"",""txt"":""LC_ITEM_2024easter_dec_item_2""}")</f>
        <v>{"typ":"lc","txt":"LC_ITEM_2024easter_dec_item_2"}</v>
      </c>
      <c r="K320" s="148" t="str">
        <f>IFERROR(__xludf.DUMMYFUNCTION("""COMPUTED_VALUE"""),"{""typ"":""lc"",""txt"":""LC_ITEM_2024easter_dec_item_3_desc""}")</f>
        <v>{"typ":"lc","txt":"LC_ITEM_2024easter_dec_item_3_desc"}</v>
      </c>
      <c r="L320" s="148" t="str">
        <f>IFERROR(__xludf.DUMMYFUNCTION("""COMPUTED_VALUE"""),"{}")</f>
        <v>{}</v>
      </c>
      <c r="M320" s="148">
        <f>IFERROR(__xludf.DUMMYFUNCTION("""COMPUTED_VALUE"""),5000.0)</f>
        <v>5000</v>
      </c>
      <c r="N320" s="148">
        <f>IFERROR(__xludf.DUMMYFUNCTION("""COMPUTED_VALUE"""),999.0)</f>
        <v>999</v>
      </c>
      <c r="O320" s="148">
        <f>IFERROR(__xludf.DUMMYFUNCTION("""COMPUTED_VALUE"""),99999.0)</f>
        <v>99999</v>
      </c>
      <c r="P320" s="148">
        <f>IFERROR(__xludf.DUMMYFUNCTION("""COMPUTED_VALUE"""),99999.0)</f>
        <v>99999</v>
      </c>
      <c r="Q320" s="148" t="str">
        <f>IFERROR(__xludf.DUMMYFUNCTION("""COMPUTED_VALUE"""),"[]")</f>
        <v>[]</v>
      </c>
      <c r="R320" s="148" t="str">
        <f>IFERROR(__xludf.DUMMYFUNCTION("""COMPUTED_VALUE"""),"[""bag""]")</f>
        <v>["bag"]</v>
      </c>
      <c r="S320" s="148" t="str">
        <f>IFERROR(__xludf.DUMMYFUNCTION("""COMPUTED_VALUE"""),"{""effect"":[{""typ"":""holiday_statue"",""id"":21481301}]}")</f>
        <v>{"effect":[{"typ":"holiday_statue","id":21481301}]}</v>
      </c>
      <c r="T320" s="148">
        <f>IFERROR(__xludf.DUMMYFUNCTION("""COMPUTED_VALUE"""),-1.0)</f>
        <v>-1</v>
      </c>
      <c r="U320" s="148">
        <f>IFERROR(__xludf.DUMMYFUNCTION("""COMPUTED_VALUE"""),1.0)</f>
        <v>1</v>
      </c>
      <c r="V320" s="148" t="str">
        <f>IFERROR(__xludf.DUMMYFUNCTION("""COMPUTED_VALUE"""),"[]")</f>
        <v>[]</v>
      </c>
      <c r="W320" s="148">
        <f>IFERROR(__xludf.DUMMYFUNCTION("""COMPUTED_VALUE"""),1.174E7)</f>
        <v>11740000</v>
      </c>
      <c r="X320" s="148">
        <f>IFERROR(__xludf.DUMMYFUNCTION("""COMPUTED_VALUE"""),0.0)</f>
        <v>0</v>
      </c>
      <c r="Y320" s="148">
        <f>IFERROR(__xludf.DUMMYFUNCTION("""COMPUTED_VALUE"""),0.0)</f>
        <v>0</v>
      </c>
      <c r="Z320" s="148"/>
    </row>
    <row r="321">
      <c r="A321" s="148">
        <f>IFERROR(__xludf.DUMMYFUNCTION("""COMPUTED_VALUE"""),1.1112112E7)</f>
        <v>11112112</v>
      </c>
      <c r="B321" s="148" t="str">
        <f>IFERROR(__xludf.DUMMYFUNCTION("""COMPUTED_VALUE"""),"复活节2024-装饰升级道具")</f>
        <v>复活节2024-装饰升级道具</v>
      </c>
      <c r="C321" s="148"/>
      <c r="D321" s="148" t="str">
        <f>IFERROR(__xludf.DUMMYFUNCTION("""COMPUTED_VALUE"""),"event")</f>
        <v>event</v>
      </c>
      <c r="E321" s="148">
        <f>IFERROR(__xludf.DUMMYFUNCTION("""COMPUTED_VALUE"""),0.0)</f>
        <v>0</v>
      </c>
      <c r="F321" s="148">
        <f>IFERROR(__xludf.DUMMYFUNCTION("""COMPUTED_VALUE"""),405243.0)</f>
        <v>405243</v>
      </c>
      <c r="G321" s="148">
        <f>IFERROR(__xludf.DUMMYFUNCTION("""COMPUTED_VALUE"""),1.5118701E7)</f>
        <v>15118701</v>
      </c>
      <c r="H321" s="148">
        <f>IFERROR(__xludf.DUMMYFUNCTION("""COMPUTED_VALUE"""),1.5112564E7)</f>
        <v>15112564</v>
      </c>
      <c r="I321" s="148" t="str">
        <f>IFERROR(__xludf.DUMMYFUNCTION("""COMPUTED_VALUE"""),"{}")</f>
        <v>{}</v>
      </c>
      <c r="J321" s="148" t="str">
        <f>IFERROR(__xludf.DUMMYFUNCTION("""COMPUTED_VALUE"""),"{""typ"":""lc"",""txt"":""LC_ITEM_2024easter_dec_item_2""}")</f>
        <v>{"typ":"lc","txt":"LC_ITEM_2024easter_dec_item_2"}</v>
      </c>
      <c r="K321" s="148" t="str">
        <f>IFERROR(__xludf.DUMMYFUNCTION("""COMPUTED_VALUE"""),"{""typ"":""lc"",""txt"":""LC_ITEM_2024easter_dec_item_3_desc""}")</f>
        <v>{"typ":"lc","txt":"LC_ITEM_2024easter_dec_item_3_desc"}</v>
      </c>
      <c r="L321" s="148" t="str">
        <f>IFERROR(__xludf.DUMMYFUNCTION("""COMPUTED_VALUE"""),"{}")</f>
        <v>{}</v>
      </c>
      <c r="M321" s="148">
        <f>IFERROR(__xludf.DUMMYFUNCTION("""COMPUTED_VALUE"""),1000.0)</f>
        <v>1000</v>
      </c>
      <c r="N321" s="148">
        <f>IFERROR(__xludf.DUMMYFUNCTION("""COMPUTED_VALUE"""),9.99999999E8)</f>
        <v>999999999</v>
      </c>
      <c r="O321" s="148">
        <f>IFERROR(__xludf.DUMMYFUNCTION("""COMPUTED_VALUE"""),9.99999999E8)</f>
        <v>999999999</v>
      </c>
      <c r="P321" s="148">
        <f>IFERROR(__xludf.DUMMYFUNCTION("""COMPUTED_VALUE"""),9.99999999E8)</f>
        <v>999999999</v>
      </c>
      <c r="Q321" s="148" t="str">
        <f>IFERROR(__xludf.DUMMYFUNCTION("""COMPUTED_VALUE"""),"[""bag_other""]")</f>
        <v>["bag_other"]</v>
      </c>
      <c r="R321" s="148" t="str">
        <f>IFERROR(__xludf.DUMMYFUNCTION("""COMPUTED_VALUE"""),"[]")</f>
        <v>[]</v>
      </c>
      <c r="S321" s="148" t="str">
        <f>IFERROR(__xludf.DUMMYFUNCTION("""COMPUTED_VALUE"""),"{}")</f>
        <v>{}</v>
      </c>
      <c r="T321" s="148">
        <f>IFERROR(__xludf.DUMMYFUNCTION("""COMPUTED_VALUE"""),-1.0)</f>
        <v>-1</v>
      </c>
      <c r="U321" s="148">
        <f>IFERROR(__xludf.DUMMYFUNCTION("""COMPUTED_VALUE"""),0.0)</f>
        <v>0</v>
      </c>
      <c r="V321" s="148" t="str">
        <f>IFERROR(__xludf.DUMMYFUNCTION("""COMPUTED_VALUE"""),"[]")</f>
        <v>[]</v>
      </c>
      <c r="W321" s="148">
        <f>IFERROR(__xludf.DUMMYFUNCTION("""COMPUTED_VALUE"""),1.174E7)</f>
        <v>11740000</v>
      </c>
      <c r="X321" s="148">
        <f>IFERROR(__xludf.DUMMYFUNCTION("""COMPUTED_VALUE"""),0.0)</f>
        <v>0</v>
      </c>
      <c r="Y321" s="148">
        <f>IFERROR(__xludf.DUMMYFUNCTION("""COMPUTED_VALUE"""),0.0)</f>
        <v>0</v>
      </c>
      <c r="Z321" s="148"/>
    </row>
    <row r="322">
      <c r="A322" s="148">
        <f>IFERROR(__xludf.DUMMYFUNCTION("""COMPUTED_VALUE"""),1.1112113E7)</f>
        <v>11112113</v>
      </c>
      <c r="B322" s="148" t="str">
        <f>IFERROR(__xludf.DUMMYFUNCTION("""COMPUTED_VALUE"""),"2024复活节-装饰券宝箱")</f>
        <v>2024复活节-装饰券宝箱</v>
      </c>
      <c r="C322" s="148"/>
      <c r="D322" s="148" t="str">
        <f>IFERROR(__xludf.DUMMYFUNCTION("""COMPUTED_VALUE"""),"valentine_reward_box")</f>
        <v>valentine_reward_box</v>
      </c>
      <c r="E322" s="148">
        <f>IFERROR(__xludf.DUMMYFUNCTION("""COMPUTED_VALUE"""),19.0)</f>
        <v>19</v>
      </c>
      <c r="F322" s="148">
        <f>IFERROR(__xludf.DUMMYFUNCTION("""COMPUTED_VALUE"""),201101.0)</f>
        <v>201101</v>
      </c>
      <c r="G322" s="148">
        <f>IFERROR(__xludf.DUMMYFUNCTION("""COMPUTED_VALUE"""),1.5118225E7)</f>
        <v>15118225</v>
      </c>
      <c r="H322" s="148">
        <f>IFERROR(__xludf.DUMMYFUNCTION("""COMPUTED_VALUE"""),1.5112564E7)</f>
        <v>15112564</v>
      </c>
      <c r="I322" s="148" t="str">
        <f>IFERROR(__xludf.DUMMYFUNCTION("""COMPUTED_VALUE"""),"{}")</f>
        <v>{}</v>
      </c>
      <c r="J322" s="148" t="str">
        <f>IFERROR(__xludf.DUMMYFUNCTION("""COMPUTED_VALUE"""),"{""typ"":""lc"",""txt"":""LC_ITEM_fes_box_name""}")</f>
        <v>{"typ":"lc","txt":"LC_ITEM_fes_box_name"}</v>
      </c>
      <c r="K322" s="148" t="str">
        <f>IFERROR(__xludf.DUMMYFUNCTION("""COMPUTED_VALUE"""),"{""typ"":""lc"",""txt"":""LC_ITEM_fes_box_desc""}")</f>
        <v>{"typ":"lc","txt":"LC_ITEM_fes_box_desc"}</v>
      </c>
      <c r="L322" s="148" t="str">
        <f>IFERROR(__xludf.DUMMYFUNCTION("""COMPUTED_VALUE"""),"{""typ"":""lc"",""txt"":""LC_ITEM_horde_elite_box_usedtip""}")</f>
        <v>{"typ":"lc","txt":"LC_ITEM_horde_elite_box_usedtip"}</v>
      </c>
      <c r="M322" s="148">
        <f>IFERROR(__xludf.DUMMYFUNCTION("""COMPUTED_VALUE"""),40.0)</f>
        <v>40</v>
      </c>
      <c r="N322" s="148">
        <f>IFERROR(__xludf.DUMMYFUNCTION("""COMPUTED_VALUE"""),999999.0)</f>
        <v>999999</v>
      </c>
      <c r="O322" s="148">
        <f>IFERROR(__xludf.DUMMYFUNCTION("""COMPUTED_VALUE"""),99999.0)</f>
        <v>99999</v>
      </c>
      <c r="P322" s="148">
        <f>IFERROR(__xludf.DUMMYFUNCTION("""COMPUTED_VALUE"""),99999.0)</f>
        <v>99999</v>
      </c>
      <c r="Q322" s="148" t="str">
        <f>IFERROR(__xludf.DUMMYFUNCTION("""COMPUTED_VALUE"""),"[""bag_other""]")</f>
        <v>["bag_other"]</v>
      </c>
      <c r="R322" s="148" t="str">
        <f>IFERROR(__xludf.DUMMYFUNCTION("""COMPUTED_VALUE"""),"[""bag""]")</f>
        <v>["bag"]</v>
      </c>
      <c r="S322" s="148" t="str">
        <f>IFERROR(__xludf.DUMMYFUNCTION("""COMPUTED_VALUE"""),"{""drop"":{""typ"":""single_random"",""num"":1,""args"":[{""typ"":""item"",""id"":11112030,""num"":1000,""wgt"":19980},{""typ"":""item"",""id"":11112030,""num"":200,""wgt"":120000},{""typ"":""item"",""id"":11112030,""num"":50,""wgt"":200000},{""typ"":""it"&amp;"em"",""id"":11112104,""num"":1,""wgt"":10},{""typ"":""item"",""id"":11117372,""num"":1,""wgt"":10},{""typ"":""item"",""id"":11112030,""num"":20,""wgt"":400000},{""typ"":""item"",""id"":11112030,""num"":100,""wgt"":200000},{""typ"":""item"",""id"":11112030"&amp;",""num"":400,""wgt"":60000}]}}")</f>
        <v>{"drop":{"typ":"single_random","num":1,"args":[{"typ":"item","id":11112030,"num":1000,"wgt":19980},{"typ":"item","id":11112030,"num":200,"wgt":120000},{"typ":"item","id":11112030,"num":50,"wgt":200000},{"typ":"item","id":11112104,"num":1,"wgt":10},{"typ":"item","id":11117372,"num":1,"wgt":10},{"typ":"item","id":11112030,"num":20,"wgt":400000},{"typ":"item","id":11112030,"num":100,"wgt":200000},{"typ":"item","id":11112030,"num":400,"wgt":60000}]}}</v>
      </c>
      <c r="T322" s="148">
        <f>IFERROR(__xludf.DUMMYFUNCTION("""COMPUTED_VALUE"""),-1.0)</f>
        <v>-1</v>
      </c>
      <c r="U322" s="148">
        <f>IFERROR(__xludf.DUMMYFUNCTION("""COMPUTED_VALUE"""),0.0)</f>
        <v>0</v>
      </c>
      <c r="V322" s="148" t="str">
        <f>IFERROR(__xludf.DUMMYFUNCTION("""COMPUTED_VALUE"""),"[]")</f>
        <v>[]</v>
      </c>
      <c r="W322" s="148">
        <f>IFERROR(__xludf.DUMMYFUNCTION("""COMPUTED_VALUE"""),1.174E7)</f>
        <v>11740000</v>
      </c>
      <c r="X322" s="148">
        <f>IFERROR(__xludf.DUMMYFUNCTION("""COMPUTED_VALUE"""),0.0)</f>
        <v>0</v>
      </c>
      <c r="Y322" s="148">
        <f>IFERROR(__xludf.DUMMYFUNCTION("""COMPUTED_VALUE"""),0.0)</f>
        <v>0</v>
      </c>
      <c r="Z322" s="148"/>
    </row>
    <row r="323">
      <c r="A323" s="148">
        <f>IFERROR(__xludf.DUMMYFUNCTION("""COMPUTED_VALUE"""),1.1112114E7)</f>
        <v>11112114</v>
      </c>
      <c r="B323" s="148" t="str">
        <f>IFERROR(__xludf.DUMMYFUNCTION("""COMPUTED_VALUE"""),"科技节2024-7日箱子奖励")</f>
        <v>科技节2024-7日箱子奖励</v>
      </c>
      <c r="C323" s="148"/>
      <c r="D323" s="148" t="str">
        <f>IFERROR(__xludf.DUMMYFUNCTION("""COMPUTED_VALUE"""),"item_asset")</f>
        <v>item_asset</v>
      </c>
      <c r="E323" s="148">
        <f>IFERROR(__xludf.DUMMYFUNCTION("""COMPUTED_VALUE"""),19.0)</f>
        <v>19</v>
      </c>
      <c r="F323" s="148">
        <f>IFERROR(__xludf.DUMMYFUNCTION("""COMPUTED_VALUE"""),201101.0)</f>
        <v>201101</v>
      </c>
      <c r="G323" s="148">
        <f>IFERROR(__xludf.DUMMYFUNCTION("""COMPUTED_VALUE"""),1.5117141E7)</f>
        <v>15117141</v>
      </c>
      <c r="H323" s="148">
        <f>IFERROR(__xludf.DUMMYFUNCTION("""COMPUTED_VALUE"""),1.5112564E7)</f>
        <v>15112564</v>
      </c>
      <c r="I323" s="148" t="str">
        <f>IFERROR(__xludf.DUMMYFUNCTION("""COMPUTED_VALUE"""),"{}")</f>
        <v>{}</v>
      </c>
      <c r="J323" s="148" t="str">
        <f>IFERROR(__xludf.DUMMYFUNCTION("""COMPUTED_VALUE"""),"{""typ"":""lc"",""txt"":""LC_ITEM_seven_day_box_name""}")</f>
        <v>{"typ":"lc","txt":"LC_ITEM_seven_day_box_name"}</v>
      </c>
      <c r="K323" s="148" t="str">
        <f>IFERROR(__xludf.DUMMYFUNCTION("""COMPUTED_VALUE"""),"{""typ"":""lc"",""txt"":""LC_ITEM_seven_day_box_desc""}")</f>
        <v>{"typ":"lc","txt":"LC_ITEM_seven_day_box_desc"}</v>
      </c>
      <c r="L323" s="148" t="str">
        <f>IFERROR(__xludf.DUMMYFUNCTION("""COMPUTED_VALUE"""),"{""typ"":""lc"",""txt"":""LC_ITEM_horde_elite_box_usedtip""}")</f>
        <v>{"typ":"lc","txt":"LC_ITEM_horde_elite_box_usedtip"}</v>
      </c>
      <c r="M323" s="148">
        <f>IFERROR(__xludf.DUMMYFUNCTION("""COMPUTED_VALUE"""),40.0)</f>
        <v>40</v>
      </c>
      <c r="N323" s="148">
        <f>IFERROR(__xludf.DUMMYFUNCTION("""COMPUTED_VALUE"""),999999.0)</f>
        <v>999999</v>
      </c>
      <c r="O323" s="148">
        <f>IFERROR(__xludf.DUMMYFUNCTION("""COMPUTED_VALUE"""),99999.0)</f>
        <v>99999</v>
      </c>
      <c r="P323" s="148">
        <f>IFERROR(__xludf.DUMMYFUNCTION("""COMPUTED_VALUE"""),99999.0)</f>
        <v>99999</v>
      </c>
      <c r="Q323" s="148" t="str">
        <f>IFERROR(__xludf.DUMMYFUNCTION("""COMPUTED_VALUE"""),"[""bag_other""]")</f>
        <v>["bag_other"]</v>
      </c>
      <c r="R323" s="148" t="str">
        <f>IFERROR(__xludf.DUMMYFUNCTION("""COMPUTED_VALUE"""),"[""bag""]")</f>
        <v>["bag"]</v>
      </c>
      <c r="S323" s="148" t="str">
        <f>IFERROR(__xludf.DUMMYFUNCTION("""COMPUTED_VALUE"""),"{""drop"":{""typ"":""single_random"",""num"":1,""args"":[{""typ"":""item"",""id"":11116304,""num"":1,""wgt"":60},{""typ"":""item"",""id"":11118501,""num"":1,""wgt"":60},{""typ"":""item"",""id"":11117069,""num"":1,""wgt"":100},{""typ"":""item"",""id"":1111"&amp;"4330,""num"":1,""wgt"":600},{""typ"":""item"",""id"":11116111,""num"":1,""wgt"":60},{""typ"":""item"",""id"":11116110,""num"":1,""wgt"":200},{""typ"":""item"",""id"":11117024,""num"":1,""wgt"":400},{""typ"":""item"",""id"":11117068,""num"":10,""wgt"":800}"&amp;",{""typ"":""item"",""id"":11111105,""num"":1,""wgt"":600},{""typ"":""item"",""id"":11111103,""num"":2,""wgt"":1200}]}}")</f>
        <v>{"drop":{"typ":"single_random","num":1,"args":[{"typ":"item","id":11116304,"num":1,"wgt":60},{"typ":"item","id":11118501,"num":1,"wgt":60},{"typ":"item","id":11117069,"num":1,"wgt":100},{"typ":"item","id":11114330,"num":1,"wgt":600},{"typ":"item","id":11116111,"num":1,"wgt":60},{"typ":"item","id":11116110,"num":1,"wgt":200},{"typ":"item","id":11117024,"num":1,"wgt":400},{"typ":"item","id":11117068,"num":10,"wgt":800},{"typ":"item","id":11111105,"num":1,"wgt":600},{"typ":"item","id":11111103,"num":2,"wgt":1200}]}}</v>
      </c>
      <c r="T323" s="148">
        <f>IFERROR(__xludf.DUMMYFUNCTION("""COMPUTED_VALUE"""),-1.0)</f>
        <v>-1</v>
      </c>
      <c r="U323" s="148">
        <f>IFERROR(__xludf.DUMMYFUNCTION("""COMPUTED_VALUE"""),0.0)</f>
        <v>0</v>
      </c>
      <c r="V323" s="148" t="str">
        <f>IFERROR(__xludf.DUMMYFUNCTION("""COMPUTED_VALUE"""),"[]")</f>
        <v>[]</v>
      </c>
      <c r="W323" s="148">
        <f>IFERROR(__xludf.DUMMYFUNCTION("""COMPUTED_VALUE"""),1.174E7)</f>
        <v>11740000</v>
      </c>
      <c r="X323" s="148">
        <f>IFERROR(__xludf.DUMMYFUNCTION("""COMPUTED_VALUE"""),0.0)</f>
        <v>0</v>
      </c>
      <c r="Y323" s="148">
        <f>IFERROR(__xludf.DUMMYFUNCTION("""COMPUTED_VALUE"""),0.0)</f>
        <v>0</v>
      </c>
      <c r="Z323" s="148"/>
    </row>
    <row r="324">
      <c r="A324" s="148">
        <f>IFERROR(__xludf.DUMMYFUNCTION("""COMPUTED_VALUE"""),1.1112115E7)</f>
        <v>11112115</v>
      </c>
      <c r="B324" s="148" t="str">
        <f>IFERROR(__xludf.DUMMYFUNCTION("""COMPUTED_VALUE"""),"科技节2024活动专用-增加次数道具")</f>
        <v>科技节2024活动专用-增加次数道具</v>
      </c>
      <c r="C324" s="148"/>
      <c r="D324" s="148" t="str">
        <f>IFERROR(__xludf.DUMMYFUNCTION("""COMPUTED_VALUE"""),"event_progress")</f>
        <v>event_progress</v>
      </c>
      <c r="E324" s="148">
        <f>IFERROR(__xludf.DUMMYFUNCTION("""COMPUTED_VALUE"""),0.0)</f>
        <v>0</v>
      </c>
      <c r="F324" s="148">
        <f>IFERROR(__xludf.DUMMYFUNCTION("""COMPUTED_VALUE"""),0.0)</f>
        <v>0</v>
      </c>
      <c r="G324" s="148">
        <f>IFERROR(__xludf.DUMMYFUNCTION("""COMPUTED_VALUE"""),1.5113732E7)</f>
        <v>15113732</v>
      </c>
      <c r="H324" s="148">
        <f>IFERROR(__xludf.DUMMYFUNCTION("""COMPUTED_VALUE"""),1.5112563E7)</f>
        <v>15112563</v>
      </c>
      <c r="I324" s="148" t="str">
        <f>IFERROR(__xludf.DUMMYFUNCTION("""COMPUTED_VALUE"""),"{}")</f>
        <v>{}</v>
      </c>
      <c r="J324" s="148" t="str">
        <f>IFERROR(__xludf.DUMMYFUNCTION("""COMPUTED_VALUE"""),"{}")</f>
        <v>{}</v>
      </c>
      <c r="K324" s="148" t="str">
        <f>IFERROR(__xludf.DUMMYFUNCTION("""COMPUTED_VALUE"""),"{}")</f>
        <v>{}</v>
      </c>
      <c r="L324" s="148" t="str">
        <f>IFERROR(__xludf.DUMMYFUNCTION("""COMPUTED_VALUE"""),"{}")</f>
        <v>{}</v>
      </c>
      <c r="M324" s="148">
        <f>IFERROR(__xludf.DUMMYFUNCTION("""COMPUTED_VALUE"""),1.0)</f>
        <v>1</v>
      </c>
      <c r="N324" s="148">
        <f>IFERROR(__xludf.DUMMYFUNCTION("""COMPUTED_VALUE"""),999999.0)</f>
        <v>999999</v>
      </c>
      <c r="O324" s="148">
        <f>IFERROR(__xludf.DUMMYFUNCTION("""COMPUTED_VALUE"""),99999.0)</f>
        <v>99999</v>
      </c>
      <c r="P324" s="148">
        <f>IFERROR(__xludf.DUMMYFUNCTION("""COMPUTED_VALUE"""),9999.0)</f>
        <v>9999</v>
      </c>
      <c r="Q324" s="148" t="str">
        <f>IFERROR(__xludf.DUMMYFUNCTION("""COMPUTED_VALUE"""),"[]")</f>
        <v>[]</v>
      </c>
      <c r="R324" s="148" t="str">
        <f>IFERROR(__xludf.DUMMYFUNCTION("""COMPUTED_VALUE"""),"[]")</f>
        <v>[]</v>
      </c>
      <c r="S324" s="148" t="str">
        <f>IFERROR(__xludf.DUMMYFUNCTION("""COMPUTED_VALUE"""),"{""effect"":[{""typ"":""event"",""id"":21127071},{""typ"":""miss_lost_reward""}]}")</f>
        <v>{"effect":[{"typ":"event","id":21127071},{"typ":"miss_lost_reward"}]}</v>
      </c>
      <c r="T324" s="148">
        <f>IFERROR(__xludf.DUMMYFUNCTION("""COMPUTED_VALUE"""),-1.0)</f>
        <v>-1</v>
      </c>
      <c r="U324" s="148">
        <f>IFERROR(__xludf.DUMMYFUNCTION("""COMPUTED_VALUE"""),1.0)</f>
        <v>1</v>
      </c>
      <c r="V324" s="148" t="str">
        <f>IFERROR(__xludf.DUMMYFUNCTION("""COMPUTED_VALUE"""),"[]")</f>
        <v>[]</v>
      </c>
      <c r="W324" s="148">
        <f>IFERROR(__xludf.DUMMYFUNCTION("""COMPUTED_VALUE"""),1.174E7)</f>
        <v>11740000</v>
      </c>
      <c r="X324" s="148">
        <f>IFERROR(__xludf.DUMMYFUNCTION("""COMPUTED_VALUE"""),0.0)</f>
        <v>0</v>
      </c>
      <c r="Y324" s="148">
        <f>IFERROR(__xludf.DUMMYFUNCTION("""COMPUTED_VALUE"""),0.0)</f>
        <v>0</v>
      </c>
      <c r="Z324" s="148"/>
    </row>
    <row r="325">
      <c r="A325" s="148">
        <f>IFERROR(__xludf.DUMMYFUNCTION("""COMPUTED_VALUE"""),1.1112116E7)</f>
        <v>11112116</v>
      </c>
      <c r="B325" s="148" t="str">
        <f>IFERROR(__xludf.DUMMYFUNCTION("""COMPUTED_VALUE"""),"科技节2024活动-解锁宝箱礼包钥匙")</f>
        <v>科技节2024活动-解锁宝箱礼包钥匙</v>
      </c>
      <c r="C325" s="148"/>
      <c r="D325" s="148" t="str">
        <f>IFERROR(__xludf.DUMMYFUNCTION("""COMPUTED_VALUE"""),"event")</f>
        <v>event</v>
      </c>
      <c r="E325" s="148">
        <f>IFERROR(__xludf.DUMMYFUNCTION("""COMPUTED_VALUE"""),0.0)</f>
        <v>0</v>
      </c>
      <c r="F325" s="148">
        <f>IFERROR(__xludf.DUMMYFUNCTION("""COMPUTED_VALUE"""),0.0)</f>
        <v>0</v>
      </c>
      <c r="G325" s="148">
        <f>IFERROR(__xludf.DUMMYFUNCTION("""COMPUTED_VALUE"""),1.5117142E7)</f>
        <v>15117142</v>
      </c>
      <c r="H325" s="148">
        <f>IFERROR(__xludf.DUMMYFUNCTION("""COMPUTED_VALUE"""),1.5112564E7)</f>
        <v>15112564</v>
      </c>
      <c r="I325" s="148" t="str">
        <f>IFERROR(__xludf.DUMMYFUNCTION("""COMPUTED_VALUE"""),"{}")</f>
        <v>{}</v>
      </c>
      <c r="J325" s="148" t="str">
        <f>IFERROR(__xludf.DUMMYFUNCTION("""COMPUTED_VALUE"""),"{""typ"":""lc"",""txt"":""LC_ITEM_seven_day_box_key_name""}")</f>
        <v>{"typ":"lc","txt":"LC_ITEM_seven_day_box_key_name"}</v>
      </c>
      <c r="K325" s="148" t="str">
        <f>IFERROR(__xludf.DUMMYFUNCTION("""COMPUTED_VALUE"""),"{""typ"":""lc"",""txt"":""LC_ITEM_seven_day_box_key_desc""}")</f>
        <v>{"typ":"lc","txt":"LC_ITEM_seven_day_box_key_desc"}</v>
      </c>
      <c r="L325" s="148" t="str">
        <f>IFERROR(__xludf.DUMMYFUNCTION("""COMPUTED_VALUE"""),"{}")</f>
        <v>{}</v>
      </c>
      <c r="M325" s="148">
        <f>IFERROR(__xludf.DUMMYFUNCTION("""COMPUTED_VALUE"""),10.0)</f>
        <v>10</v>
      </c>
      <c r="N325" s="148">
        <f>IFERROR(__xludf.DUMMYFUNCTION("""COMPUTED_VALUE"""),999999.0)</f>
        <v>999999</v>
      </c>
      <c r="O325" s="148">
        <f>IFERROR(__xludf.DUMMYFUNCTION("""COMPUTED_VALUE"""),99999.0)</f>
        <v>99999</v>
      </c>
      <c r="P325" s="148">
        <f>IFERROR(__xludf.DUMMYFUNCTION("""COMPUTED_VALUE"""),9999.0)</f>
        <v>9999</v>
      </c>
      <c r="Q325" s="148" t="str">
        <f>IFERROR(__xludf.DUMMYFUNCTION("""COMPUTED_VALUE"""),"[""bag_other""]")</f>
        <v>["bag_other"]</v>
      </c>
      <c r="R325" s="148" t="str">
        <f>IFERROR(__xludf.DUMMYFUNCTION("""COMPUTED_VALUE"""),"[]")</f>
        <v>[]</v>
      </c>
      <c r="S325" s="148" t="str">
        <f>IFERROR(__xludf.DUMMYFUNCTION("""COMPUTED_VALUE"""),"{}")</f>
        <v>{}</v>
      </c>
      <c r="T325" s="148">
        <f>IFERROR(__xludf.DUMMYFUNCTION("""COMPUTED_VALUE"""),-1.0)</f>
        <v>-1</v>
      </c>
      <c r="U325" s="148">
        <f>IFERROR(__xludf.DUMMYFUNCTION("""COMPUTED_VALUE"""),0.0)</f>
        <v>0</v>
      </c>
      <c r="V325" s="148" t="str">
        <f>IFERROR(__xludf.DUMMYFUNCTION("""COMPUTED_VALUE"""),"[]")</f>
        <v>[]</v>
      </c>
      <c r="W325" s="148">
        <f>IFERROR(__xludf.DUMMYFUNCTION("""COMPUTED_VALUE"""),1.174E7)</f>
        <v>11740000</v>
      </c>
      <c r="X325" s="148">
        <f>IFERROR(__xludf.DUMMYFUNCTION("""COMPUTED_VALUE"""),0.0)</f>
        <v>0</v>
      </c>
      <c r="Y325" s="148">
        <f>IFERROR(__xludf.DUMMYFUNCTION("""COMPUTED_VALUE"""),0.0)</f>
        <v>0</v>
      </c>
      <c r="Z325" s="148"/>
    </row>
    <row r="326">
      <c r="A326" s="148">
        <f>IFERROR(__xludf.DUMMYFUNCTION("""COMPUTED_VALUE"""),1.1112117E7)</f>
        <v>11112117</v>
      </c>
      <c r="B326" s="148" t="str">
        <f>IFERROR(__xludf.DUMMYFUNCTION("""COMPUTED_VALUE"""),"科技节2024-7日活动宝箱-显示用")</f>
        <v>科技节2024-7日活动宝箱-显示用</v>
      </c>
      <c r="C326" s="148"/>
      <c r="D326" s="148" t="str">
        <f>IFERROR(__xludf.DUMMYFUNCTION("""COMPUTED_VALUE"""),"event")</f>
        <v>event</v>
      </c>
      <c r="E326" s="148">
        <f>IFERROR(__xludf.DUMMYFUNCTION("""COMPUTED_VALUE"""),0.0)</f>
        <v>0</v>
      </c>
      <c r="F326" s="148">
        <f>IFERROR(__xludf.DUMMYFUNCTION("""COMPUTED_VALUE"""),0.0)</f>
        <v>0</v>
      </c>
      <c r="G326" s="148">
        <f>IFERROR(__xludf.DUMMYFUNCTION("""COMPUTED_VALUE"""),1.5117141E7)</f>
        <v>15117141</v>
      </c>
      <c r="H326" s="148">
        <f>IFERROR(__xludf.DUMMYFUNCTION("""COMPUTED_VALUE"""),1.5112564E7)</f>
        <v>15112564</v>
      </c>
      <c r="I326" s="148" t="str">
        <f>IFERROR(__xludf.DUMMYFUNCTION("""COMPUTED_VALUE"""),"{}")</f>
        <v>{}</v>
      </c>
      <c r="J326" s="148" t="str">
        <f>IFERROR(__xludf.DUMMYFUNCTION("""COMPUTED_VALUE"""),"{""typ"":""lc"",""txt"":""LC_ITEM_seven_day_box_name""}")</f>
        <v>{"typ":"lc","txt":"LC_ITEM_seven_day_box_name"}</v>
      </c>
      <c r="K326" s="148" t="str">
        <f>IFERROR(__xludf.DUMMYFUNCTION("""COMPUTED_VALUE"""),"{""typ"":""lc"",""txt"":""LC_ITEM_seven_day_box_desc""}")</f>
        <v>{"typ":"lc","txt":"LC_ITEM_seven_day_box_desc"}</v>
      </c>
      <c r="L326" s="148" t="str">
        <f>IFERROR(__xludf.DUMMYFUNCTION("""COMPUTED_VALUE"""),"{}")</f>
        <v>{}</v>
      </c>
      <c r="M326" s="148">
        <f>IFERROR(__xludf.DUMMYFUNCTION("""COMPUTED_VALUE"""),1.0)</f>
        <v>1</v>
      </c>
      <c r="N326" s="148">
        <f>IFERROR(__xludf.DUMMYFUNCTION("""COMPUTED_VALUE"""),999999.0)</f>
        <v>999999</v>
      </c>
      <c r="O326" s="148">
        <f>IFERROR(__xludf.DUMMYFUNCTION("""COMPUTED_VALUE"""),99999.0)</f>
        <v>99999</v>
      </c>
      <c r="P326" s="148">
        <f>IFERROR(__xludf.DUMMYFUNCTION("""COMPUTED_VALUE"""),9999.0)</f>
        <v>9999</v>
      </c>
      <c r="Q326" s="148" t="str">
        <f>IFERROR(__xludf.DUMMYFUNCTION("""COMPUTED_VALUE"""),"[]")</f>
        <v>[]</v>
      </c>
      <c r="R326" s="148" t="str">
        <f>IFERROR(__xludf.DUMMYFUNCTION("""COMPUTED_VALUE"""),"[]")</f>
        <v>[]</v>
      </c>
      <c r="S326" s="148" t="str">
        <f>IFERROR(__xludf.DUMMYFUNCTION("""COMPUTED_VALUE"""),"{""effect"":[{""typ"":""miss_lost_reward""}]}")</f>
        <v>{"effect":[{"typ":"miss_lost_reward"}]}</v>
      </c>
      <c r="T326" s="148">
        <f>IFERROR(__xludf.DUMMYFUNCTION("""COMPUTED_VALUE"""),-1.0)</f>
        <v>-1</v>
      </c>
      <c r="U326" s="148">
        <f>IFERROR(__xludf.DUMMYFUNCTION("""COMPUTED_VALUE"""),1.0)</f>
        <v>1</v>
      </c>
      <c r="V326" s="148" t="str">
        <f>IFERROR(__xludf.DUMMYFUNCTION("""COMPUTED_VALUE"""),"[]")</f>
        <v>[]</v>
      </c>
      <c r="W326" s="148">
        <f>IFERROR(__xludf.DUMMYFUNCTION("""COMPUTED_VALUE"""),1.174E7)</f>
        <v>11740000</v>
      </c>
      <c r="X326" s="148">
        <f>IFERROR(__xludf.DUMMYFUNCTION("""COMPUTED_VALUE"""),0.0)</f>
        <v>0</v>
      </c>
      <c r="Y326" s="148">
        <f>IFERROR(__xludf.DUMMYFUNCTION("""COMPUTED_VALUE"""),0.0)</f>
        <v>0</v>
      </c>
      <c r="Z326" s="148"/>
    </row>
    <row r="327">
      <c r="A327" s="148">
        <f>IFERROR(__xludf.DUMMYFUNCTION("""COMPUTED_VALUE"""),1.1112118E7)</f>
        <v>11112118</v>
      </c>
      <c r="B327" s="148" t="str">
        <f>IFERROR(__xludf.DUMMYFUNCTION("""COMPUTED_VALUE"""),"2024科技节行军特效-光电掠影-1天限时")</f>
        <v>2024科技节行军特效-光电掠影-1天限时</v>
      </c>
      <c r="C327" s="148"/>
      <c r="D327" s="148" t="str">
        <f>IFERROR(__xludf.DUMMYFUNCTION("""COMPUTED_VALUE"""),"marching_effect")</f>
        <v>marching_effect</v>
      </c>
      <c r="E327" s="148">
        <f>IFERROR(__xludf.DUMMYFUNCTION("""COMPUTED_VALUE"""),0.0)</f>
        <v>0</v>
      </c>
      <c r="F327" s="148">
        <f>IFERROR(__xludf.DUMMYFUNCTION("""COMPUTED_VALUE"""),408200.0)</f>
        <v>408200</v>
      </c>
      <c r="G327" s="148">
        <f>IFERROR(__xludf.DUMMYFUNCTION("""COMPUTED_VALUE"""),1.5119089E7)</f>
        <v>15119089</v>
      </c>
      <c r="H327" s="148">
        <f>IFERROR(__xludf.DUMMYFUNCTION("""COMPUTED_VALUE"""),1.511256E7)</f>
        <v>15112560</v>
      </c>
      <c r="I327" s="148" t="str">
        <f>IFERROR(__xludf.DUMMYFUNCTION("""COMPUTED_VALUE"""),"{""typ"":""lc"",""txt"":""LC_ITEM_time_day_upper_show"",""args"":[{""typ"":""int_unit"",""val"":1}]}")</f>
        <v>{"typ":"lc","txt":"LC_ITEM_time_day_upper_show","args":[{"typ":"int_unit","val":1}]}</v>
      </c>
      <c r="J327" s="148" t="str">
        <f>IFERROR(__xludf.DUMMYFUNCTION("""COMPUTED_VALUE"""),"{""typ"":""lc"",""txt"":""LC_ITEM_sci_march_skin_2024""}")</f>
        <v>{"typ":"lc","txt":"LC_ITEM_sci_march_skin_2024"}</v>
      </c>
      <c r="K327" s="148" t="str">
        <f>IFERROR(__xludf.DUMMYFUNCTION("""COMPUTED_VALUE"""),"{""typ"":""lc"",""txt"":""LC_ITEM_sci_march_skin_2024_desc""}")</f>
        <v>{"typ":"lc","txt":"LC_ITEM_sci_march_skin_2024_desc"}</v>
      </c>
      <c r="L327" s="148" t="str">
        <f>IFERROR(__xludf.DUMMYFUNCTION("""COMPUTED_VALUE"""),"{""typ"":""lc"",""txt"":""LC_ITEM_sci_marcheffect_2024_usetip_2_1d""}")</f>
        <v>{"typ":"lc","txt":"LC_ITEM_sci_marcheffect_2024_usetip_2_1d"}</v>
      </c>
      <c r="M327" s="148">
        <f>IFERROR(__xludf.DUMMYFUNCTION("""COMPUTED_VALUE"""),50.0)</f>
        <v>50</v>
      </c>
      <c r="N327" s="148">
        <f>IFERROR(__xludf.DUMMYFUNCTION("""COMPUTED_VALUE"""),999999.0)</f>
        <v>999999</v>
      </c>
      <c r="O327" s="148">
        <f>IFERROR(__xludf.DUMMYFUNCTION("""COMPUTED_VALUE"""),99999.0)</f>
        <v>99999</v>
      </c>
      <c r="P327" s="148">
        <f>IFERROR(__xludf.DUMMYFUNCTION("""COMPUTED_VALUE"""),1.0)</f>
        <v>1</v>
      </c>
      <c r="Q327" s="148" t="str">
        <f>IFERROR(__xludf.DUMMYFUNCTION("""COMPUTED_VALUE"""),"[""bag_other""]")</f>
        <v>["bag_other"]</v>
      </c>
      <c r="R327" s="148" t="str">
        <f>IFERROR(__xludf.DUMMYFUNCTION("""COMPUTED_VALUE"""),"[""bag"",""13650119""]")</f>
        <v>["bag","13650119"]</v>
      </c>
      <c r="S327" s="148" t="str">
        <f>IFERROR(__xludf.DUMMYFUNCTION("""COMPUTED_VALUE"""),"{""effect"":[{""typ"":""marching_effect"",""id"":13650119,""val"":86400000},{""typ"":""vm"",""id"":11151001,""val"":50}]}")</f>
        <v>{"effect":[{"typ":"marching_effect","id":13650119,"val":86400000},{"typ":"vm","id":11151001,"val":50}]}</v>
      </c>
      <c r="T327" s="148">
        <f>IFERROR(__xludf.DUMMYFUNCTION("""COMPUTED_VALUE"""),-1.0)</f>
        <v>-1</v>
      </c>
      <c r="U327" s="148">
        <f>IFERROR(__xludf.DUMMYFUNCTION("""COMPUTED_VALUE"""),0.0)</f>
        <v>0</v>
      </c>
      <c r="V327" s="148" t="str">
        <f>IFERROR(__xludf.DUMMYFUNCTION("""COMPUTED_VALUE"""),"[]")</f>
        <v>[]</v>
      </c>
      <c r="W327" s="148">
        <f>IFERROR(__xludf.DUMMYFUNCTION("""COMPUTED_VALUE"""),1.174E7)</f>
        <v>11740000</v>
      </c>
      <c r="X327" s="148">
        <f>IFERROR(__xludf.DUMMYFUNCTION("""COMPUTED_VALUE"""),0.0)</f>
        <v>0</v>
      </c>
      <c r="Y327" s="148">
        <f>IFERROR(__xludf.DUMMYFUNCTION("""COMPUTED_VALUE"""),0.0)</f>
        <v>0</v>
      </c>
      <c r="Z327" s="148"/>
    </row>
    <row r="328">
      <c r="A328" s="148">
        <f>IFERROR(__xludf.DUMMYFUNCTION("""COMPUTED_VALUE"""),1.1112119E7)</f>
        <v>11112119</v>
      </c>
      <c r="B328" s="148" t="str">
        <f>IFERROR(__xludf.DUMMYFUNCTION("""COMPUTED_VALUE"""),"2024科技节行军特效-光电掠影-3天限时")</f>
        <v>2024科技节行军特效-光电掠影-3天限时</v>
      </c>
      <c r="C328" s="148"/>
      <c r="D328" s="148" t="str">
        <f>IFERROR(__xludf.DUMMYFUNCTION("""COMPUTED_VALUE"""),"marching_effect")</f>
        <v>marching_effect</v>
      </c>
      <c r="E328" s="148">
        <f>IFERROR(__xludf.DUMMYFUNCTION("""COMPUTED_VALUE"""),0.0)</f>
        <v>0</v>
      </c>
      <c r="F328" s="148">
        <f>IFERROR(__xludf.DUMMYFUNCTION("""COMPUTED_VALUE"""),408199.0)</f>
        <v>408199</v>
      </c>
      <c r="G328" s="148">
        <f>IFERROR(__xludf.DUMMYFUNCTION("""COMPUTED_VALUE"""),1.5119089E7)</f>
        <v>15119089</v>
      </c>
      <c r="H328" s="148">
        <f>IFERROR(__xludf.DUMMYFUNCTION("""COMPUTED_VALUE"""),1.5112561E7)</f>
        <v>15112561</v>
      </c>
      <c r="I328" s="148" t="str">
        <f>IFERROR(__xludf.DUMMYFUNCTION("""COMPUTED_VALUE"""),"{""typ"":""lc"",""txt"":""LC_ITEM_time_day_upper_show"",""args"":[{""typ"":""int_unit"",""val"":3}]}")</f>
        <v>{"typ":"lc","txt":"LC_ITEM_time_day_upper_show","args":[{"typ":"int_unit","val":3}]}</v>
      </c>
      <c r="J328" s="148" t="str">
        <f>IFERROR(__xludf.DUMMYFUNCTION("""COMPUTED_VALUE"""),"{""typ"":""lc"",""txt"":""LC_ITEM_sci_march_skin_2024""}")</f>
        <v>{"typ":"lc","txt":"LC_ITEM_sci_march_skin_2024"}</v>
      </c>
      <c r="K328" s="148" t="str">
        <f>IFERROR(__xludf.DUMMYFUNCTION("""COMPUTED_VALUE"""),"{""typ"":""lc"",""txt"":""LC_ITEM_sci_march_skin_2024_desc""}")</f>
        <v>{"typ":"lc","txt":"LC_ITEM_sci_march_skin_2024_desc"}</v>
      </c>
      <c r="L328" s="148" t="str">
        <f>IFERROR(__xludf.DUMMYFUNCTION("""COMPUTED_VALUE"""),"{""typ"":""lc"",""txt"":""LC_ITEM_sci_marcheffect_2024_usetip_2_3d""}")</f>
        <v>{"typ":"lc","txt":"LC_ITEM_sci_marcheffect_2024_usetip_2_3d"}</v>
      </c>
      <c r="M328" s="148">
        <f>IFERROR(__xludf.DUMMYFUNCTION("""COMPUTED_VALUE"""),200.0)</f>
        <v>200</v>
      </c>
      <c r="N328" s="148">
        <f>IFERROR(__xludf.DUMMYFUNCTION("""COMPUTED_VALUE"""),999999.0)</f>
        <v>999999</v>
      </c>
      <c r="O328" s="148">
        <f>IFERROR(__xludf.DUMMYFUNCTION("""COMPUTED_VALUE"""),99999.0)</f>
        <v>99999</v>
      </c>
      <c r="P328" s="148">
        <f>IFERROR(__xludf.DUMMYFUNCTION("""COMPUTED_VALUE"""),1.0)</f>
        <v>1</v>
      </c>
      <c r="Q328" s="148" t="str">
        <f>IFERROR(__xludf.DUMMYFUNCTION("""COMPUTED_VALUE"""),"[""bag_other""]")</f>
        <v>["bag_other"]</v>
      </c>
      <c r="R328" s="148" t="str">
        <f>IFERROR(__xludf.DUMMYFUNCTION("""COMPUTED_VALUE"""),"[""bag"",""13650119""]")</f>
        <v>["bag","13650119"]</v>
      </c>
      <c r="S328" s="148" t="str">
        <f>IFERROR(__xludf.DUMMYFUNCTION("""COMPUTED_VALUE"""),"{""effect"":[{""typ"":""marching_effect"",""id"":13650119,""val"":259200000},{""typ"":""vm"",""id"":11151001,""val"":200}]}")</f>
        <v>{"effect":[{"typ":"marching_effect","id":13650119,"val":259200000},{"typ":"vm","id":11151001,"val":200}]}</v>
      </c>
      <c r="T328" s="148">
        <f>IFERROR(__xludf.DUMMYFUNCTION("""COMPUTED_VALUE"""),-1.0)</f>
        <v>-1</v>
      </c>
      <c r="U328" s="148">
        <f>IFERROR(__xludf.DUMMYFUNCTION("""COMPUTED_VALUE"""),0.0)</f>
        <v>0</v>
      </c>
      <c r="V328" s="148" t="str">
        <f>IFERROR(__xludf.DUMMYFUNCTION("""COMPUTED_VALUE"""),"[]")</f>
        <v>[]</v>
      </c>
      <c r="W328" s="148">
        <f>IFERROR(__xludf.DUMMYFUNCTION("""COMPUTED_VALUE"""),1.174E7)</f>
        <v>11740000</v>
      </c>
      <c r="X328" s="148">
        <f>IFERROR(__xludf.DUMMYFUNCTION("""COMPUTED_VALUE"""),0.0)</f>
        <v>0</v>
      </c>
      <c r="Y328" s="148">
        <f>IFERROR(__xludf.DUMMYFUNCTION("""COMPUTED_VALUE"""),0.0)</f>
        <v>0</v>
      </c>
      <c r="Z328" s="148"/>
    </row>
    <row r="329">
      <c r="A329" s="148">
        <f>IFERROR(__xludf.DUMMYFUNCTION("""COMPUTED_VALUE"""),1.111212E7)</f>
        <v>11112120</v>
      </c>
      <c r="B329" s="148" t="str">
        <f>IFERROR(__xludf.DUMMYFUNCTION("""COMPUTED_VALUE"""),"2024科技节行军特效-光电掠影-7天限时")</f>
        <v>2024科技节行军特效-光电掠影-7天限时</v>
      </c>
      <c r="C329" s="148"/>
      <c r="D329" s="148" t="str">
        <f>IFERROR(__xludf.DUMMYFUNCTION("""COMPUTED_VALUE"""),"marching_effect")</f>
        <v>marching_effect</v>
      </c>
      <c r="E329" s="148">
        <f>IFERROR(__xludf.DUMMYFUNCTION("""COMPUTED_VALUE"""),0.0)</f>
        <v>0</v>
      </c>
      <c r="F329" s="148">
        <f>IFERROR(__xludf.DUMMYFUNCTION("""COMPUTED_VALUE"""),408198.0)</f>
        <v>408198</v>
      </c>
      <c r="G329" s="148">
        <f>IFERROR(__xludf.DUMMYFUNCTION("""COMPUTED_VALUE"""),1.5119089E7)</f>
        <v>15119089</v>
      </c>
      <c r="H329" s="148">
        <f>IFERROR(__xludf.DUMMYFUNCTION("""COMPUTED_VALUE"""),1.5112562E7)</f>
        <v>15112562</v>
      </c>
      <c r="I329" s="148" t="str">
        <f>IFERROR(__xludf.DUMMYFUNCTION("""COMPUTED_VALUE"""),"{""typ"":""lc"",""txt"":""LC_ITEM_time_day_upper_show"",""args"":[{""typ"":""int_unit"",""val"":7}]}")</f>
        <v>{"typ":"lc","txt":"LC_ITEM_time_day_upper_show","args":[{"typ":"int_unit","val":7}]}</v>
      </c>
      <c r="J329" s="148" t="str">
        <f>IFERROR(__xludf.DUMMYFUNCTION("""COMPUTED_VALUE"""),"{""typ"":""lc"",""txt"":""LC_ITEM_sci_march_skin_2024""}")</f>
        <v>{"typ":"lc","txt":"LC_ITEM_sci_march_skin_2024"}</v>
      </c>
      <c r="K329" s="148" t="str">
        <f>IFERROR(__xludf.DUMMYFUNCTION("""COMPUTED_VALUE"""),"{""typ"":""lc"",""txt"":""LC_ITEM_sci_march_skin_2024_desc""}")</f>
        <v>{"typ":"lc","txt":"LC_ITEM_sci_march_skin_2024_desc"}</v>
      </c>
      <c r="L329" s="148" t="str">
        <f>IFERROR(__xludf.DUMMYFUNCTION("""COMPUTED_VALUE"""),"{""typ"":""lc"",""txt"":""LC_ITEM_sci_marcheffect_2024_usetip_2_7d""}")</f>
        <v>{"typ":"lc","txt":"LC_ITEM_sci_marcheffect_2024_usetip_2_7d"}</v>
      </c>
      <c r="M329" s="148">
        <f>IFERROR(__xludf.DUMMYFUNCTION("""COMPUTED_VALUE"""),500.0)</f>
        <v>500</v>
      </c>
      <c r="N329" s="148">
        <f>IFERROR(__xludf.DUMMYFUNCTION("""COMPUTED_VALUE"""),999999.0)</f>
        <v>999999</v>
      </c>
      <c r="O329" s="148">
        <f>IFERROR(__xludf.DUMMYFUNCTION("""COMPUTED_VALUE"""),99999.0)</f>
        <v>99999</v>
      </c>
      <c r="P329" s="148">
        <f>IFERROR(__xludf.DUMMYFUNCTION("""COMPUTED_VALUE"""),1.0)</f>
        <v>1</v>
      </c>
      <c r="Q329" s="148" t="str">
        <f>IFERROR(__xludf.DUMMYFUNCTION("""COMPUTED_VALUE"""),"[""bag_other""]")</f>
        <v>["bag_other"]</v>
      </c>
      <c r="R329" s="148" t="str">
        <f>IFERROR(__xludf.DUMMYFUNCTION("""COMPUTED_VALUE"""),"[""bag"",""13650119""]")</f>
        <v>["bag","13650119"]</v>
      </c>
      <c r="S329" s="148" t="str">
        <f>IFERROR(__xludf.DUMMYFUNCTION("""COMPUTED_VALUE"""),"{""effect"":[{""typ"":""marching_effect"",""id"":13650119,""val"":604800000},{""typ"":""vm"",""id"":11151001,""val"":500}]}")</f>
        <v>{"effect":[{"typ":"marching_effect","id":13650119,"val":604800000},{"typ":"vm","id":11151001,"val":500}]}</v>
      </c>
      <c r="T329" s="148">
        <f>IFERROR(__xludf.DUMMYFUNCTION("""COMPUTED_VALUE"""),-1.0)</f>
        <v>-1</v>
      </c>
      <c r="U329" s="148">
        <f>IFERROR(__xludf.DUMMYFUNCTION("""COMPUTED_VALUE"""),0.0)</f>
        <v>0</v>
      </c>
      <c r="V329" s="148" t="str">
        <f>IFERROR(__xludf.DUMMYFUNCTION("""COMPUTED_VALUE"""),"[]")</f>
        <v>[]</v>
      </c>
      <c r="W329" s="148">
        <f>IFERROR(__xludf.DUMMYFUNCTION("""COMPUTED_VALUE"""),1.174E7)</f>
        <v>11740000</v>
      </c>
      <c r="X329" s="148">
        <f>IFERROR(__xludf.DUMMYFUNCTION("""COMPUTED_VALUE"""),0.0)</f>
        <v>0</v>
      </c>
      <c r="Y329" s="148">
        <f>IFERROR(__xludf.DUMMYFUNCTION("""COMPUTED_VALUE"""),0.0)</f>
        <v>0</v>
      </c>
      <c r="Z329" s="148"/>
    </row>
    <row r="330">
      <c r="A330" s="148">
        <f>IFERROR(__xludf.DUMMYFUNCTION("""COMPUTED_VALUE"""),1.1112121E7)</f>
        <v>11112121</v>
      </c>
      <c r="B330" s="148" t="str">
        <f>IFERROR(__xludf.DUMMYFUNCTION("""COMPUTED_VALUE"""),"2024科技节行军特效-光电掠影-14天限时")</f>
        <v>2024科技节行军特效-光电掠影-14天限时</v>
      </c>
      <c r="C330" s="148"/>
      <c r="D330" s="148" t="str">
        <f>IFERROR(__xludf.DUMMYFUNCTION("""COMPUTED_VALUE"""),"marching_effect")</f>
        <v>marching_effect</v>
      </c>
      <c r="E330" s="148">
        <f>IFERROR(__xludf.DUMMYFUNCTION("""COMPUTED_VALUE"""),0.0)</f>
        <v>0</v>
      </c>
      <c r="F330" s="148">
        <f>IFERROR(__xludf.DUMMYFUNCTION("""COMPUTED_VALUE"""),408197.0)</f>
        <v>408197</v>
      </c>
      <c r="G330" s="148">
        <f>IFERROR(__xludf.DUMMYFUNCTION("""COMPUTED_VALUE"""),1.5119089E7)</f>
        <v>15119089</v>
      </c>
      <c r="H330" s="148">
        <f>IFERROR(__xludf.DUMMYFUNCTION("""COMPUTED_VALUE"""),1.5112563E7)</f>
        <v>15112563</v>
      </c>
      <c r="I330" s="148" t="str">
        <f>IFERROR(__xludf.DUMMYFUNCTION("""COMPUTED_VALUE"""),"{""typ"":""lc"",""txt"":""LC_ITEM_time_day_upper_show"",""args"":[{""typ"":""int_unit"",""val"":14}]}")</f>
        <v>{"typ":"lc","txt":"LC_ITEM_time_day_upper_show","args":[{"typ":"int_unit","val":14}]}</v>
      </c>
      <c r="J330" s="148" t="str">
        <f>IFERROR(__xludf.DUMMYFUNCTION("""COMPUTED_VALUE"""),"{""typ"":""lc"",""txt"":""LC_ITEM_sci_march_skin_2024""}")</f>
        <v>{"typ":"lc","txt":"LC_ITEM_sci_march_skin_2024"}</v>
      </c>
      <c r="K330" s="148" t="str">
        <f>IFERROR(__xludf.DUMMYFUNCTION("""COMPUTED_VALUE"""),"{""typ"":""lc"",""txt"":""LC_ITEM_sci_march_skin_2024_desc""}")</f>
        <v>{"typ":"lc","txt":"LC_ITEM_sci_march_skin_2024_desc"}</v>
      </c>
      <c r="L330" s="148" t="str">
        <f>IFERROR(__xludf.DUMMYFUNCTION("""COMPUTED_VALUE"""),"{""typ"":""lc"",""txt"":""LC_ITEM_sci_marcheffect_2024_usetip_2_14d""}")</f>
        <v>{"typ":"lc","txt":"LC_ITEM_sci_marcheffect_2024_usetip_2_14d"}</v>
      </c>
      <c r="M330" s="148">
        <f>IFERROR(__xludf.DUMMYFUNCTION("""COMPUTED_VALUE"""),1000.0)</f>
        <v>1000</v>
      </c>
      <c r="N330" s="148">
        <f>IFERROR(__xludf.DUMMYFUNCTION("""COMPUTED_VALUE"""),999999.0)</f>
        <v>999999</v>
      </c>
      <c r="O330" s="148">
        <f>IFERROR(__xludf.DUMMYFUNCTION("""COMPUTED_VALUE"""),99999.0)</f>
        <v>99999</v>
      </c>
      <c r="P330" s="148">
        <f>IFERROR(__xludf.DUMMYFUNCTION("""COMPUTED_VALUE"""),1.0)</f>
        <v>1</v>
      </c>
      <c r="Q330" s="148" t="str">
        <f>IFERROR(__xludf.DUMMYFUNCTION("""COMPUTED_VALUE"""),"[""bag_other""]")</f>
        <v>["bag_other"]</v>
      </c>
      <c r="R330" s="148" t="str">
        <f>IFERROR(__xludf.DUMMYFUNCTION("""COMPUTED_VALUE"""),"[""bag"",""13650119""]")</f>
        <v>["bag","13650119"]</v>
      </c>
      <c r="S330" s="148" t="str">
        <f>IFERROR(__xludf.DUMMYFUNCTION("""COMPUTED_VALUE"""),"{""effect"":[{""typ"":""marching_effect"",""id"":13650119,""val"":1209600000},{""typ"":""vm"",""id"":11151001,""val"":1000}]}")</f>
        <v>{"effect":[{"typ":"marching_effect","id":13650119,"val":1209600000},{"typ":"vm","id":11151001,"val":1000}]}</v>
      </c>
      <c r="T330" s="148">
        <f>IFERROR(__xludf.DUMMYFUNCTION("""COMPUTED_VALUE"""),-1.0)</f>
        <v>-1</v>
      </c>
      <c r="U330" s="148">
        <f>IFERROR(__xludf.DUMMYFUNCTION("""COMPUTED_VALUE"""),0.0)</f>
        <v>0</v>
      </c>
      <c r="V330" s="148" t="str">
        <f>IFERROR(__xludf.DUMMYFUNCTION("""COMPUTED_VALUE"""),"[]")</f>
        <v>[]</v>
      </c>
      <c r="W330" s="148">
        <f>IFERROR(__xludf.DUMMYFUNCTION("""COMPUTED_VALUE"""),1.174E7)</f>
        <v>11740000</v>
      </c>
      <c r="X330" s="148">
        <f>IFERROR(__xludf.DUMMYFUNCTION("""COMPUTED_VALUE"""),0.0)</f>
        <v>0</v>
      </c>
      <c r="Y330" s="148">
        <f>IFERROR(__xludf.DUMMYFUNCTION("""COMPUTED_VALUE"""),0.0)</f>
        <v>0</v>
      </c>
      <c r="Z330" s="148"/>
    </row>
    <row r="331">
      <c r="A331" s="148">
        <f>IFERROR(__xludf.DUMMYFUNCTION("""COMPUTED_VALUE"""),1.1112122E7)</f>
        <v>11112122</v>
      </c>
      <c r="B331" s="148" t="str">
        <f>IFERROR(__xludf.DUMMYFUNCTION("""COMPUTED_VALUE"""),"2024科技节行军特效-光电掠影-30天限时")</f>
        <v>2024科技节行军特效-光电掠影-30天限时</v>
      </c>
      <c r="C331" s="148"/>
      <c r="D331" s="148" t="str">
        <f>IFERROR(__xludf.DUMMYFUNCTION("""COMPUTED_VALUE"""),"marching_effect")</f>
        <v>marching_effect</v>
      </c>
      <c r="E331" s="148">
        <f>IFERROR(__xludf.DUMMYFUNCTION("""COMPUTED_VALUE"""),0.0)</f>
        <v>0</v>
      </c>
      <c r="F331" s="148">
        <f>IFERROR(__xludf.DUMMYFUNCTION("""COMPUTED_VALUE"""),408197.0)</f>
        <v>408197</v>
      </c>
      <c r="G331" s="148">
        <f>IFERROR(__xludf.DUMMYFUNCTION("""COMPUTED_VALUE"""),1.5119089E7)</f>
        <v>15119089</v>
      </c>
      <c r="H331" s="148">
        <f>IFERROR(__xludf.DUMMYFUNCTION("""COMPUTED_VALUE"""),1.5112563E7)</f>
        <v>15112563</v>
      </c>
      <c r="I331" s="148" t="str">
        <f>IFERROR(__xludf.DUMMYFUNCTION("""COMPUTED_VALUE"""),"{""typ"":""lc"",""txt"":""LC_ITEM_time_day_upper_show"",""args"":[{""typ"":""int_unit"",""val"":30}]}")</f>
        <v>{"typ":"lc","txt":"LC_ITEM_time_day_upper_show","args":[{"typ":"int_unit","val":30}]}</v>
      </c>
      <c r="J331" s="148" t="str">
        <f>IFERROR(__xludf.DUMMYFUNCTION("""COMPUTED_VALUE"""),"{""typ"":""lc"",""txt"":""LC_ITEM_sci_march_skin_2024""}")</f>
        <v>{"typ":"lc","txt":"LC_ITEM_sci_march_skin_2024"}</v>
      </c>
      <c r="K331" s="148" t="str">
        <f>IFERROR(__xludf.DUMMYFUNCTION("""COMPUTED_VALUE"""),"{""typ"":""lc"",""txt"":""LC_ITEM_sci_march_skin_2024_desc""}")</f>
        <v>{"typ":"lc","txt":"LC_ITEM_sci_march_skin_2024_desc"}</v>
      </c>
      <c r="L331" s="148" t="str">
        <f>IFERROR(__xludf.DUMMYFUNCTION("""COMPUTED_VALUE"""),"{""typ"":""lc"",""txt"":""LC_ITEM_sci_marcheffect_2024_usetip_2_30d""}")</f>
        <v>{"typ":"lc","txt":"LC_ITEM_sci_marcheffect_2024_usetip_2_30d"}</v>
      </c>
      <c r="M331" s="148">
        <f>IFERROR(__xludf.DUMMYFUNCTION("""COMPUTED_VALUE"""),1000.0)</f>
        <v>1000</v>
      </c>
      <c r="N331" s="148">
        <f>IFERROR(__xludf.DUMMYFUNCTION("""COMPUTED_VALUE"""),999999.0)</f>
        <v>999999</v>
      </c>
      <c r="O331" s="148">
        <f>IFERROR(__xludf.DUMMYFUNCTION("""COMPUTED_VALUE"""),99999.0)</f>
        <v>99999</v>
      </c>
      <c r="P331" s="148">
        <f>IFERROR(__xludf.DUMMYFUNCTION("""COMPUTED_VALUE"""),1.0)</f>
        <v>1</v>
      </c>
      <c r="Q331" s="148" t="str">
        <f>IFERROR(__xludf.DUMMYFUNCTION("""COMPUTED_VALUE"""),"[""bag_other""]")</f>
        <v>["bag_other"]</v>
      </c>
      <c r="R331" s="148" t="str">
        <f>IFERROR(__xludf.DUMMYFUNCTION("""COMPUTED_VALUE"""),"[""bag"",""13650119""]")</f>
        <v>["bag","13650119"]</v>
      </c>
      <c r="S331" s="148" t="str">
        <f>IFERROR(__xludf.DUMMYFUNCTION("""COMPUTED_VALUE"""),"{""effect"":[{""typ"":""marching_effect"",""id"":13650119,""val"":2592000000},{""typ"":""vm"",""id"":11151001,""val"":1000}]}")</f>
        <v>{"effect":[{"typ":"marching_effect","id":13650119,"val":2592000000},{"typ":"vm","id":11151001,"val":1000}]}</v>
      </c>
      <c r="T331" s="148">
        <f>IFERROR(__xludf.DUMMYFUNCTION("""COMPUTED_VALUE"""),-1.0)</f>
        <v>-1</v>
      </c>
      <c r="U331" s="148">
        <f>IFERROR(__xludf.DUMMYFUNCTION("""COMPUTED_VALUE"""),0.0)</f>
        <v>0</v>
      </c>
      <c r="V331" s="148" t="str">
        <f>IFERROR(__xludf.DUMMYFUNCTION("""COMPUTED_VALUE"""),"[]")</f>
        <v>[]</v>
      </c>
      <c r="W331" s="148">
        <f>IFERROR(__xludf.DUMMYFUNCTION("""COMPUTED_VALUE"""),1.174E7)</f>
        <v>11740000</v>
      </c>
      <c r="X331" s="148">
        <f>IFERROR(__xludf.DUMMYFUNCTION("""COMPUTED_VALUE"""),0.0)</f>
        <v>0</v>
      </c>
      <c r="Y331" s="148">
        <f>IFERROR(__xludf.DUMMYFUNCTION("""COMPUTED_VALUE"""),0.0)</f>
        <v>0</v>
      </c>
      <c r="Z331" s="148"/>
    </row>
    <row r="332">
      <c r="A332" s="148">
        <f>IFERROR(__xludf.DUMMYFUNCTION("""COMPUTED_VALUE"""),1.1112123E7)</f>
        <v>11112123</v>
      </c>
      <c r="B332" s="148" t="str">
        <f>IFERROR(__xludf.DUMMYFUNCTION("""COMPUTED_VALUE"""),"2024科技节行军特效-光电掠影-永久")</f>
        <v>2024科技节行军特效-光电掠影-永久</v>
      </c>
      <c r="C332" s="148"/>
      <c r="D332" s="148" t="str">
        <f>IFERROR(__xludf.DUMMYFUNCTION("""COMPUTED_VALUE"""),"marching_effect")</f>
        <v>marching_effect</v>
      </c>
      <c r="E332" s="148">
        <f>IFERROR(__xludf.DUMMYFUNCTION("""COMPUTED_VALUE"""),0.0)</f>
        <v>0</v>
      </c>
      <c r="F332" s="148">
        <f>IFERROR(__xludf.DUMMYFUNCTION("""COMPUTED_VALUE"""),408195.0)</f>
        <v>408195</v>
      </c>
      <c r="G332" s="148">
        <f>IFERROR(__xludf.DUMMYFUNCTION("""COMPUTED_VALUE"""),1.5119089E7)</f>
        <v>15119089</v>
      </c>
      <c r="H332" s="148">
        <f>IFERROR(__xludf.DUMMYFUNCTION("""COMPUTED_VALUE"""),1.5112564E7)</f>
        <v>15112564</v>
      </c>
      <c r="I332" s="148" t="str">
        <f>IFERROR(__xludf.DUMMYFUNCTION("""COMPUTED_VALUE"""),"{}")</f>
        <v>{}</v>
      </c>
      <c r="J332" s="148" t="str">
        <f>IFERROR(__xludf.DUMMYFUNCTION("""COMPUTED_VALUE"""),"{""typ"":""lc"",""txt"":""LC_ITEM_sci_march_skin_2024""}")</f>
        <v>{"typ":"lc","txt":"LC_ITEM_sci_march_skin_2024"}</v>
      </c>
      <c r="K332" s="148" t="str">
        <f>IFERROR(__xludf.DUMMYFUNCTION("""COMPUTED_VALUE"""),"{""typ"":""lc"",""txt"":""LC_ITEM_sci_march_skin_2024_desc""}")</f>
        <v>{"typ":"lc","txt":"LC_ITEM_sci_march_skin_2024_desc"}</v>
      </c>
      <c r="L332" s="148" t="str">
        <f>IFERROR(__xludf.DUMMYFUNCTION("""COMPUTED_VALUE"""),"{""typ"":""lc"",""txt"":""LC_ITEM_sci_marcheffect_2024_usetip""}")</f>
        <v>{"typ":"lc","txt":"LC_ITEM_sci_marcheffect_2024_usetip"}</v>
      </c>
      <c r="M332" s="148">
        <f>IFERROR(__xludf.DUMMYFUNCTION("""COMPUTED_VALUE"""),5000.0)</f>
        <v>5000</v>
      </c>
      <c r="N332" s="148">
        <f>IFERROR(__xludf.DUMMYFUNCTION("""COMPUTED_VALUE"""),999999.0)</f>
        <v>999999</v>
      </c>
      <c r="O332" s="148">
        <f>IFERROR(__xludf.DUMMYFUNCTION("""COMPUTED_VALUE"""),99999.0)</f>
        <v>99999</v>
      </c>
      <c r="P332" s="148">
        <f>IFERROR(__xludf.DUMMYFUNCTION("""COMPUTED_VALUE"""),1.0)</f>
        <v>1</v>
      </c>
      <c r="Q332" s="148" t="str">
        <f>IFERROR(__xludf.DUMMYFUNCTION("""COMPUTED_VALUE"""),"[""bag_other""]")</f>
        <v>["bag_other"]</v>
      </c>
      <c r="R332" s="148" t="str">
        <f>IFERROR(__xludf.DUMMYFUNCTION("""COMPUTED_VALUE"""),"[""bag"",""13650119""]")</f>
        <v>["bag","13650119"]</v>
      </c>
      <c r="S332" s="148" t="str">
        <f>IFERROR(__xludf.DUMMYFUNCTION("""COMPUTED_VALUE"""),"{""effect"":[{""typ"":""marching_effect"",""id"":13650119,""val"":-1},{""typ"":""vm"",""id"":11151001,""val"":2500}]}")</f>
        <v>{"effect":[{"typ":"marching_effect","id":13650119,"val":-1},{"typ":"vm","id":11151001,"val":2500}]}</v>
      </c>
      <c r="T332" s="148">
        <f>IFERROR(__xludf.DUMMYFUNCTION("""COMPUTED_VALUE"""),-1.0)</f>
        <v>-1</v>
      </c>
      <c r="U332" s="148">
        <f>IFERROR(__xludf.DUMMYFUNCTION("""COMPUTED_VALUE"""),0.0)</f>
        <v>0</v>
      </c>
      <c r="V332" s="148" t="str">
        <f>IFERROR(__xludf.DUMMYFUNCTION("""COMPUTED_VALUE"""),"[]")</f>
        <v>[]</v>
      </c>
      <c r="W332" s="148">
        <f>IFERROR(__xludf.DUMMYFUNCTION("""COMPUTED_VALUE"""),1.174E7)</f>
        <v>11740000</v>
      </c>
      <c r="X332" s="148">
        <f>IFERROR(__xludf.DUMMYFUNCTION("""COMPUTED_VALUE"""),0.0)</f>
        <v>0</v>
      </c>
      <c r="Y332" s="148">
        <f>IFERROR(__xludf.DUMMYFUNCTION("""COMPUTED_VALUE"""),0.0)</f>
        <v>0</v>
      </c>
      <c r="Z332" s="148"/>
    </row>
    <row r="333">
      <c r="A333" s="148">
        <f>IFERROR(__xludf.DUMMYFUNCTION("""COMPUTED_VALUE"""),1.1112124E7)</f>
        <v>11112124</v>
      </c>
      <c r="B333" s="148" t="str">
        <f>IFERROR(__xludf.DUMMYFUNCTION("""COMPUTED_VALUE"""),"2024科技节铭牌-科技创想")</f>
        <v>2024科技节铭牌-科技创想</v>
      </c>
      <c r="C333" s="148"/>
      <c r="D333" s="148" t="str">
        <f>IFERROR(__xludf.DUMMYFUNCTION("""COMPUTED_VALUE"""),"chat_skin")</f>
        <v>chat_skin</v>
      </c>
      <c r="E333" s="148">
        <f>IFERROR(__xludf.DUMMYFUNCTION("""COMPUTED_VALUE"""),30.0)</f>
        <v>30</v>
      </c>
      <c r="F333" s="148">
        <f>IFERROR(__xludf.DUMMYFUNCTION("""COMPUTED_VALUE"""),401107.0)</f>
        <v>401107</v>
      </c>
      <c r="G333" s="148">
        <f>IFERROR(__xludf.DUMMYFUNCTION("""COMPUTED_VALUE"""),1.511909E7)</f>
        <v>15119090</v>
      </c>
      <c r="H333" s="148">
        <f>IFERROR(__xludf.DUMMYFUNCTION("""COMPUTED_VALUE"""),1.5112564E7)</f>
        <v>15112564</v>
      </c>
      <c r="I333" s="148" t="str">
        <f>IFERROR(__xludf.DUMMYFUNCTION("""COMPUTED_VALUE"""),"{}")</f>
        <v>{}</v>
      </c>
      <c r="J333" s="148" t="str">
        <f>IFERROR(__xludf.DUMMYFUNCTION("""COMPUTED_VALUE"""),"{""typ"":""lc"",""txt"":""LC_ITEM_sci_nameplate_2024""}")</f>
        <v>{"typ":"lc","txt":"LC_ITEM_sci_nameplate_2024"}</v>
      </c>
      <c r="K333" s="148" t="str">
        <f>IFERROR(__xludf.DUMMYFUNCTION("""COMPUTED_VALUE"""),"{""typ"":""lc"",""txt"":""LC_ITEM_sci_nameplate_2024_desc_item""}")</f>
        <v>{"typ":"lc","txt":"LC_ITEM_sci_nameplate_2024_desc_item"}</v>
      </c>
      <c r="L333" s="148" t="str">
        <f>IFERROR(__xludf.DUMMYFUNCTION("""COMPUTED_VALUE"""),"{""typ"":""lc"",""txt"":""LC_ITEM_season_extra_reward_usedtip""}")</f>
        <v>{"typ":"lc","txt":"LC_ITEM_season_extra_reward_usedtip"}</v>
      </c>
      <c r="M333" s="148">
        <f>IFERROR(__xludf.DUMMYFUNCTION("""COMPUTED_VALUE"""),2500.0)</f>
        <v>2500</v>
      </c>
      <c r="N333" s="148">
        <f>IFERROR(__xludf.DUMMYFUNCTION("""COMPUTED_VALUE"""),9999999.0)</f>
        <v>9999999</v>
      </c>
      <c r="O333" s="148">
        <f>IFERROR(__xludf.DUMMYFUNCTION("""COMPUTED_VALUE"""),1.0)</f>
        <v>1</v>
      </c>
      <c r="P333" s="148">
        <f>IFERROR(__xludf.DUMMYFUNCTION("""COMPUTED_VALUE"""),1.0)</f>
        <v>1</v>
      </c>
      <c r="Q333" s="148" t="str">
        <f>IFERROR(__xludf.DUMMYFUNCTION("""COMPUTED_VALUE"""),"[""bag_other""]")</f>
        <v>["bag_other"]</v>
      </c>
      <c r="R333" s="148" t="str">
        <f>IFERROR(__xludf.DUMMYFUNCTION("""COMPUTED_VALUE"""),"[""11731021"",""bag""]")</f>
        <v>["11731021","bag"]</v>
      </c>
      <c r="S333" s="148" t="str">
        <f>IFERROR(__xludf.DUMMYFUNCTION("""COMPUTED_VALUE"""),"{""effect"":[{""typ"":""nameplate"",""id"":11731021,""val"":-1}]}")</f>
        <v>{"effect":[{"typ":"nameplate","id":11731021,"val":-1}]}</v>
      </c>
      <c r="T333" s="148">
        <f>IFERROR(__xludf.DUMMYFUNCTION("""COMPUTED_VALUE"""),-1.0)</f>
        <v>-1</v>
      </c>
      <c r="U333" s="148">
        <f>IFERROR(__xludf.DUMMYFUNCTION("""COMPUTED_VALUE"""),0.0)</f>
        <v>0</v>
      </c>
      <c r="V333" s="148" t="str">
        <f>IFERROR(__xludf.DUMMYFUNCTION("""COMPUTED_VALUE"""),"[]")</f>
        <v>[]</v>
      </c>
      <c r="W333" s="148">
        <f>IFERROR(__xludf.DUMMYFUNCTION("""COMPUTED_VALUE"""),1.174E7)</f>
        <v>11740000</v>
      </c>
      <c r="X333" s="148">
        <f>IFERROR(__xludf.DUMMYFUNCTION("""COMPUTED_VALUE"""),0.0)</f>
        <v>0</v>
      </c>
      <c r="Y333" s="148">
        <f>IFERROR(__xludf.DUMMYFUNCTION("""COMPUTED_VALUE"""),0.0)</f>
        <v>0</v>
      </c>
      <c r="Z333" s="148"/>
    </row>
    <row r="334">
      <c r="A334" s="148">
        <f>IFERROR(__xludf.DUMMYFUNCTION("""COMPUTED_VALUE"""),1.1112125E7)</f>
        <v>11112125</v>
      </c>
      <c r="B334" s="148" t="str">
        <f>IFERROR(__xludf.DUMMYFUNCTION("""COMPUTED_VALUE"""),"科技节通用BattlePass-初级通行证")</f>
        <v>科技节通用BattlePass-初级通行证</v>
      </c>
      <c r="C334" s="148"/>
      <c r="D334" s="148" t="str">
        <f>IFERROR(__xludf.DUMMYFUNCTION("""COMPUTED_VALUE"""),"battle_pass_card")</f>
        <v>battle_pass_card</v>
      </c>
      <c r="E334" s="148">
        <f>IFERROR(__xludf.DUMMYFUNCTION("""COMPUTED_VALUE"""),0.0)</f>
        <v>0</v>
      </c>
      <c r="F334" s="148">
        <f>IFERROR(__xludf.DUMMYFUNCTION("""COMPUTED_VALUE"""),0.0)</f>
        <v>0</v>
      </c>
      <c r="G334" s="148">
        <f>IFERROR(__xludf.DUMMYFUNCTION("""COMPUTED_VALUE"""),1.5115997E7)</f>
        <v>15115997</v>
      </c>
      <c r="H334" s="148">
        <f>IFERROR(__xludf.DUMMYFUNCTION("""COMPUTED_VALUE"""),1.5112563E7)</f>
        <v>15112563</v>
      </c>
      <c r="I334" s="148" t="str">
        <f>IFERROR(__xludf.DUMMYFUNCTION("""COMPUTED_VALUE"""),"{}")</f>
        <v>{}</v>
      </c>
      <c r="J334" s="148" t="str">
        <f>IFERROR(__xludf.DUMMYFUNCTION("""COMPUTED_VALUE"""),"{""typ"":""lc"",""txt"":""LC_ITEM_2023_science_bp_item""}")</f>
        <v>{"typ":"lc","txt":"LC_ITEM_2023_science_bp_item"}</v>
      </c>
      <c r="K334" s="148" t="str">
        <f>IFERROR(__xludf.DUMMYFUNCTION("""COMPUTED_VALUE"""),"{}")</f>
        <v>{}</v>
      </c>
      <c r="L334" s="148" t="str">
        <f>IFERROR(__xludf.DUMMYFUNCTION("""COMPUTED_VALUE"""),"{}")</f>
        <v>{}</v>
      </c>
      <c r="M334" s="148">
        <f>IFERROR(__xludf.DUMMYFUNCTION("""COMPUTED_VALUE"""),10.0)</f>
        <v>10</v>
      </c>
      <c r="N334" s="148">
        <f>IFERROR(__xludf.DUMMYFUNCTION("""COMPUTED_VALUE"""),999999.0)</f>
        <v>999999</v>
      </c>
      <c r="O334" s="148">
        <f>IFERROR(__xludf.DUMMYFUNCTION("""COMPUTED_VALUE"""),99999.0)</f>
        <v>99999</v>
      </c>
      <c r="P334" s="148">
        <f>IFERROR(__xludf.DUMMYFUNCTION("""COMPUTED_VALUE"""),9999.0)</f>
        <v>9999</v>
      </c>
      <c r="Q334" s="148" t="str">
        <f>IFERROR(__xludf.DUMMYFUNCTION("""COMPUTED_VALUE"""),"[]")</f>
        <v>[]</v>
      </c>
      <c r="R334" s="148" t="str">
        <f>IFERROR(__xludf.DUMMYFUNCTION("""COMPUTED_VALUE"""),"[]")</f>
        <v>[]</v>
      </c>
      <c r="S334" s="148" t="str">
        <f>IFERROR(__xludf.DUMMYFUNCTION("""COMPUTED_VALUE"""),"{}")</f>
        <v>{}</v>
      </c>
      <c r="T334" s="148">
        <f>IFERROR(__xludf.DUMMYFUNCTION("""COMPUTED_VALUE"""),-1.0)</f>
        <v>-1</v>
      </c>
      <c r="U334" s="148">
        <f>IFERROR(__xludf.DUMMYFUNCTION("""COMPUTED_VALUE"""),1.0)</f>
        <v>1</v>
      </c>
      <c r="V334" s="148" t="str">
        <f>IFERROR(__xludf.DUMMYFUNCTION("""COMPUTED_VALUE"""),"[]")</f>
        <v>[]</v>
      </c>
      <c r="W334" s="148">
        <f>IFERROR(__xludf.DUMMYFUNCTION("""COMPUTED_VALUE"""),1.174E7)</f>
        <v>11740000</v>
      </c>
      <c r="X334" s="148">
        <f>IFERROR(__xludf.DUMMYFUNCTION("""COMPUTED_VALUE"""),0.0)</f>
        <v>0</v>
      </c>
      <c r="Y334" s="148">
        <f>IFERROR(__xludf.DUMMYFUNCTION("""COMPUTED_VALUE"""),0.0)</f>
        <v>0</v>
      </c>
      <c r="Z334" s="148"/>
    </row>
    <row r="335">
      <c r="A335" s="148">
        <f>IFERROR(__xludf.DUMMYFUNCTION("""COMPUTED_VALUE"""),1.1112126E7)</f>
        <v>11112126</v>
      </c>
      <c r="B335" s="148" t="str">
        <f>IFERROR(__xludf.DUMMYFUNCTION("""COMPUTED_VALUE"""),"科技节通用BattlePass-高级通行证")</f>
        <v>科技节通用BattlePass-高级通行证</v>
      </c>
      <c r="C335" s="148"/>
      <c r="D335" s="148" t="str">
        <f>IFERROR(__xludf.DUMMYFUNCTION("""COMPUTED_VALUE"""),"battle_pass_card")</f>
        <v>battle_pass_card</v>
      </c>
      <c r="E335" s="148">
        <f>IFERROR(__xludf.DUMMYFUNCTION("""COMPUTED_VALUE"""),0.0)</f>
        <v>0</v>
      </c>
      <c r="F335" s="148">
        <f>IFERROR(__xludf.DUMMYFUNCTION("""COMPUTED_VALUE"""),0.0)</f>
        <v>0</v>
      </c>
      <c r="G335" s="148">
        <f>IFERROR(__xludf.DUMMYFUNCTION("""COMPUTED_VALUE"""),1.5115997E7)</f>
        <v>15115997</v>
      </c>
      <c r="H335" s="148">
        <f>IFERROR(__xludf.DUMMYFUNCTION("""COMPUTED_VALUE"""),1.5112564E7)</f>
        <v>15112564</v>
      </c>
      <c r="I335" s="148" t="str">
        <f>IFERROR(__xludf.DUMMYFUNCTION("""COMPUTED_VALUE"""),"{}")</f>
        <v>{}</v>
      </c>
      <c r="J335" s="148" t="str">
        <f>IFERROR(__xludf.DUMMYFUNCTION("""COMPUTED_VALUE"""),"{""typ"":""lc"",""txt"":""LC_ITEM_2023_science_bp_item""}")</f>
        <v>{"typ":"lc","txt":"LC_ITEM_2023_science_bp_item"}</v>
      </c>
      <c r="K335" s="148" t="str">
        <f>IFERROR(__xludf.DUMMYFUNCTION("""COMPUTED_VALUE"""),"{}")</f>
        <v>{}</v>
      </c>
      <c r="L335" s="148" t="str">
        <f>IFERROR(__xludf.DUMMYFUNCTION("""COMPUTED_VALUE"""),"{}")</f>
        <v>{}</v>
      </c>
      <c r="M335" s="148">
        <f>IFERROR(__xludf.DUMMYFUNCTION("""COMPUTED_VALUE"""),10.0)</f>
        <v>10</v>
      </c>
      <c r="N335" s="148">
        <f>IFERROR(__xludf.DUMMYFUNCTION("""COMPUTED_VALUE"""),999999.0)</f>
        <v>999999</v>
      </c>
      <c r="O335" s="148">
        <f>IFERROR(__xludf.DUMMYFUNCTION("""COMPUTED_VALUE"""),99999.0)</f>
        <v>99999</v>
      </c>
      <c r="P335" s="148">
        <f>IFERROR(__xludf.DUMMYFUNCTION("""COMPUTED_VALUE"""),9999.0)</f>
        <v>9999</v>
      </c>
      <c r="Q335" s="148" t="str">
        <f>IFERROR(__xludf.DUMMYFUNCTION("""COMPUTED_VALUE"""),"[]")</f>
        <v>[]</v>
      </c>
      <c r="R335" s="148" t="str">
        <f>IFERROR(__xludf.DUMMYFUNCTION("""COMPUTED_VALUE"""),"[]")</f>
        <v>[]</v>
      </c>
      <c r="S335" s="148" t="str">
        <f>IFERROR(__xludf.DUMMYFUNCTION("""COMPUTED_VALUE"""),"{}")</f>
        <v>{}</v>
      </c>
      <c r="T335" s="148">
        <f>IFERROR(__xludf.DUMMYFUNCTION("""COMPUTED_VALUE"""),-1.0)</f>
        <v>-1</v>
      </c>
      <c r="U335" s="148">
        <f>IFERROR(__xludf.DUMMYFUNCTION("""COMPUTED_VALUE"""),1.0)</f>
        <v>1</v>
      </c>
      <c r="V335" s="148" t="str">
        <f>IFERROR(__xludf.DUMMYFUNCTION("""COMPUTED_VALUE"""),"[]")</f>
        <v>[]</v>
      </c>
      <c r="W335" s="148">
        <f>IFERROR(__xludf.DUMMYFUNCTION("""COMPUTED_VALUE"""),1.174E7)</f>
        <v>11740000</v>
      </c>
      <c r="X335" s="148">
        <f>IFERROR(__xludf.DUMMYFUNCTION("""COMPUTED_VALUE"""),0.0)</f>
        <v>0</v>
      </c>
      <c r="Y335" s="148">
        <f>IFERROR(__xludf.DUMMYFUNCTION("""COMPUTED_VALUE"""),0.0)</f>
        <v>0</v>
      </c>
      <c r="Z335" s="148"/>
    </row>
    <row r="336">
      <c r="A336" s="148">
        <f>IFERROR(__xludf.DUMMYFUNCTION("""COMPUTED_VALUE"""),1.1112127E7)</f>
        <v>11112127</v>
      </c>
      <c r="B336" s="148" t="str">
        <f>IFERROR(__xludf.DUMMYFUNCTION("""COMPUTED_VALUE"""),"聚能环-科技节通用活动BP道具")</f>
        <v>聚能环-科技节通用活动BP道具</v>
      </c>
      <c r="C336" s="148"/>
      <c r="D336" s="148" t="str">
        <f>IFERROR(__xludf.DUMMYFUNCTION("""COMPUTED_VALUE"""),"battle_pass_exp")</f>
        <v>battle_pass_exp</v>
      </c>
      <c r="E336" s="148">
        <f>IFERROR(__xludf.DUMMYFUNCTION("""COMPUTED_VALUE"""),0.0)</f>
        <v>0</v>
      </c>
      <c r="F336" s="148">
        <f>IFERROR(__xludf.DUMMYFUNCTION("""COMPUTED_VALUE"""),405217.0)</f>
        <v>405217</v>
      </c>
      <c r="G336" s="148">
        <f>IFERROR(__xludf.DUMMYFUNCTION("""COMPUTED_VALUE"""),1.5115997E7)</f>
        <v>15115997</v>
      </c>
      <c r="H336" s="148">
        <f>IFERROR(__xludf.DUMMYFUNCTION("""COMPUTED_VALUE"""),1.5112563E7)</f>
        <v>15112563</v>
      </c>
      <c r="I336" s="148" t="str">
        <f>IFERROR(__xludf.DUMMYFUNCTION("""COMPUTED_VALUE"""),"{}")</f>
        <v>{}</v>
      </c>
      <c r="J336" s="148" t="str">
        <f>IFERROR(__xludf.DUMMYFUNCTION("""COMPUTED_VALUE"""),"{""typ"":""lc"",""txt"":""LC_ITEM_2023_science_bp_item""}")</f>
        <v>{"typ":"lc","txt":"LC_ITEM_2023_science_bp_item"}</v>
      </c>
      <c r="K336" s="148" t="str">
        <f>IFERROR(__xludf.DUMMYFUNCTION("""COMPUTED_VALUE"""),"{""typ"":""lc"",""txt"":""LC_ITEM_2023_science_bp_item_desc""}")</f>
        <v>{"typ":"lc","txt":"LC_ITEM_2023_science_bp_item_desc"}</v>
      </c>
      <c r="L336" s="148" t="str">
        <f>IFERROR(__xludf.DUMMYFUNCTION("""COMPUTED_VALUE"""),"{}")</f>
        <v>{}</v>
      </c>
      <c r="M336" s="148">
        <f>IFERROR(__xludf.DUMMYFUNCTION("""COMPUTED_VALUE"""),35.0)</f>
        <v>35</v>
      </c>
      <c r="N336" s="148">
        <f>IFERROR(__xludf.DUMMYFUNCTION("""COMPUTED_VALUE"""),999999.0)</f>
        <v>999999</v>
      </c>
      <c r="O336" s="148">
        <f>IFERROR(__xludf.DUMMYFUNCTION("""COMPUTED_VALUE"""),99999.0)</f>
        <v>99999</v>
      </c>
      <c r="P336" s="148">
        <f>IFERROR(__xludf.DUMMYFUNCTION("""COMPUTED_VALUE"""),99999.0)</f>
        <v>99999</v>
      </c>
      <c r="Q336" s="148" t="str">
        <f>IFERROR(__xludf.DUMMYFUNCTION("""COMPUTED_VALUE"""),"[""bag_other""]")</f>
        <v>["bag_other"]</v>
      </c>
      <c r="R336" s="148" t="str">
        <f>IFERROR(__xludf.DUMMYFUNCTION("""COMPUTED_VALUE"""),"[""bag""]")</f>
        <v>["bag"]</v>
      </c>
      <c r="S336" s="148" t="str">
        <f>IFERROR(__xludf.DUMMYFUNCTION("""COMPUTED_VALUE"""),"{}")</f>
        <v>{}</v>
      </c>
      <c r="T336" s="148">
        <f>IFERROR(__xludf.DUMMYFUNCTION("""COMPUTED_VALUE"""),-1.0)</f>
        <v>-1</v>
      </c>
      <c r="U336" s="148">
        <f>IFERROR(__xludf.DUMMYFUNCTION("""COMPUTED_VALUE"""),0.0)</f>
        <v>0</v>
      </c>
      <c r="V336" s="148" t="str">
        <f>IFERROR(__xludf.DUMMYFUNCTION("""COMPUTED_VALUE"""),"[]")</f>
        <v>[]</v>
      </c>
      <c r="W336" s="148">
        <f>IFERROR(__xludf.DUMMYFUNCTION("""COMPUTED_VALUE"""),1.174E7)</f>
        <v>11740000</v>
      </c>
      <c r="X336" s="148">
        <f>IFERROR(__xludf.DUMMYFUNCTION("""COMPUTED_VALUE"""),0.0)</f>
        <v>0</v>
      </c>
      <c r="Y336" s="148">
        <f>IFERROR(__xludf.DUMMYFUNCTION("""COMPUTED_VALUE"""),0.0)</f>
        <v>0</v>
      </c>
      <c r="Z336" s="148"/>
    </row>
    <row r="337">
      <c r="A337" s="148">
        <f>IFERROR(__xludf.DUMMYFUNCTION("""COMPUTED_VALUE"""),1.1112128E7)</f>
        <v>11112128</v>
      </c>
      <c r="B337" s="148" t="str">
        <f>IFERROR(__xludf.DUMMYFUNCTION("""COMPUTED_VALUE"""),"主城皮肤-科技节高级皮肤2024-14天")</f>
        <v>主城皮肤-科技节高级皮肤2024-14天</v>
      </c>
      <c r="C337" s="148"/>
      <c r="D337" s="148" t="str">
        <f>IFERROR(__xludf.DUMMYFUNCTION("""COMPUTED_VALUE"""),"city_skin")</f>
        <v>city_skin</v>
      </c>
      <c r="E337" s="148">
        <f>IFERROR(__xludf.DUMMYFUNCTION("""COMPUTED_VALUE"""),21.0)</f>
        <v>21</v>
      </c>
      <c r="F337" s="148">
        <f>IFERROR(__xludf.DUMMYFUNCTION("""COMPUTED_VALUE"""),400106.0)</f>
        <v>400106</v>
      </c>
      <c r="G337" s="148">
        <f>IFERROR(__xludf.DUMMYFUNCTION("""COMPUTED_VALUE"""),1.5119013E7)</f>
        <v>15119013</v>
      </c>
      <c r="H337" s="148">
        <f>IFERROR(__xludf.DUMMYFUNCTION("""COMPUTED_VALUE"""),1.5112564E7)</f>
        <v>15112564</v>
      </c>
      <c r="I337" s="148" t="str">
        <f>IFERROR(__xludf.DUMMYFUNCTION("""COMPUTED_VALUE"""),"{""typ"":""lc"",""txt"":""LC_ITEM_time_day_upper_show"",""args"":[{""typ"":""int"",""val"":14}]}")</f>
        <v>{"typ":"lc","txt":"LC_ITEM_time_day_upper_show","args":[{"typ":"int","val":14}]}</v>
      </c>
      <c r="J337" s="148" t="str">
        <f>IFERROR(__xludf.DUMMYFUNCTION("""COMPUTED_VALUE"""),"{""typ"":""lc"",""txt"":""LC_ITEM_2024sci_highcity_skin_title_14day""}")</f>
        <v>{"typ":"lc","txt":"LC_ITEM_2024sci_highcity_skin_title_14day"}</v>
      </c>
      <c r="K337" s="148" t="str">
        <f>IFERROR(__xludf.DUMMYFUNCTION("""COMPUTED_VALUE"""),"{""typ"":""lc"",""txt"":""LC_ITEM_2024sci_highskin_desc_14days""}")</f>
        <v>{"typ":"lc","txt":"LC_ITEM_2024sci_highskin_desc_14days"}</v>
      </c>
      <c r="L337" s="148" t="str">
        <f>IFERROR(__xludf.DUMMYFUNCTION("""COMPUTED_VALUE"""),"{""typ"":""lc"",""txt"":""LC_ITEM_city_skin_rocket_use_tips""}")</f>
        <v>{"typ":"lc","txt":"LC_ITEM_city_skin_rocket_use_tips"}</v>
      </c>
      <c r="M337" s="148">
        <f>IFERROR(__xludf.DUMMYFUNCTION("""COMPUTED_VALUE"""),10000.0)</f>
        <v>10000</v>
      </c>
      <c r="N337" s="148">
        <f>IFERROR(__xludf.DUMMYFUNCTION("""COMPUTED_VALUE"""),999.0)</f>
        <v>999</v>
      </c>
      <c r="O337" s="148">
        <f>IFERROR(__xludf.DUMMYFUNCTION("""COMPUTED_VALUE"""),1.0)</f>
        <v>1</v>
      </c>
      <c r="P337" s="148">
        <f>IFERROR(__xludf.DUMMYFUNCTION("""COMPUTED_VALUE"""),1.0)</f>
        <v>1</v>
      </c>
      <c r="Q337" s="148" t="str">
        <f>IFERROR(__xludf.DUMMYFUNCTION("""COMPUTED_VALUE"""),"[""bag_other""]")</f>
        <v>["bag_other"]</v>
      </c>
      <c r="R337" s="148" t="str">
        <f>IFERROR(__xludf.DUMMYFUNCTION("""COMPUTED_VALUE"""),"[""bag"",""13121037""]")</f>
        <v>["bag","13121037"]</v>
      </c>
      <c r="S337" s="148" t="str">
        <f>IFERROR(__xludf.DUMMYFUNCTION("""COMPUTED_VALUE"""),"{""effect"":[{""typ"":""city_skin"",""id"":13121037,""val"":1209600000},{""typ"":""item"",""id"":11111021,""val"":7}]}")</f>
        <v>{"effect":[{"typ":"city_skin","id":13121037,"val":1209600000},{"typ":"item","id":11111021,"val":7}]}</v>
      </c>
      <c r="T337" s="148">
        <f>IFERROR(__xludf.DUMMYFUNCTION("""COMPUTED_VALUE"""),-1.0)</f>
        <v>-1</v>
      </c>
      <c r="U337" s="148">
        <f>IFERROR(__xludf.DUMMYFUNCTION("""COMPUTED_VALUE"""),0.0)</f>
        <v>0</v>
      </c>
      <c r="V337" s="148" t="str">
        <f>IFERROR(__xludf.DUMMYFUNCTION("""COMPUTED_VALUE"""),"[]")</f>
        <v>[]</v>
      </c>
      <c r="W337" s="148">
        <f>IFERROR(__xludf.DUMMYFUNCTION("""COMPUTED_VALUE"""),1.174E7)</f>
        <v>11740000</v>
      </c>
      <c r="X337" s="148">
        <f>IFERROR(__xludf.DUMMYFUNCTION("""COMPUTED_VALUE"""),0.0)</f>
        <v>0</v>
      </c>
      <c r="Y337" s="148">
        <f>IFERROR(__xludf.DUMMYFUNCTION("""COMPUTED_VALUE"""),0.0)</f>
        <v>0</v>
      </c>
      <c r="Z337" s="148"/>
    </row>
    <row r="338">
      <c r="A338" s="148">
        <f>IFERROR(__xludf.DUMMYFUNCTION("""COMPUTED_VALUE"""),1.1112129E7)</f>
        <v>11112129</v>
      </c>
      <c r="B338" s="148" t="str">
        <f>IFERROR(__xludf.DUMMYFUNCTION("""COMPUTED_VALUE"""),"主城皮肤-科技节高级皮肤2024-7天")</f>
        <v>主城皮肤-科技节高级皮肤2024-7天</v>
      </c>
      <c r="C338" s="148"/>
      <c r="D338" s="148" t="str">
        <f>IFERROR(__xludf.DUMMYFUNCTION("""COMPUTED_VALUE"""),"city_skin")</f>
        <v>city_skin</v>
      </c>
      <c r="E338" s="148">
        <f>IFERROR(__xludf.DUMMYFUNCTION("""COMPUTED_VALUE"""),21.0)</f>
        <v>21</v>
      </c>
      <c r="F338" s="148">
        <f>IFERROR(__xludf.DUMMYFUNCTION("""COMPUTED_VALUE"""),400106.0)</f>
        <v>400106</v>
      </c>
      <c r="G338" s="148">
        <f>IFERROR(__xludf.DUMMYFUNCTION("""COMPUTED_VALUE"""),1.5119013E7)</f>
        <v>15119013</v>
      </c>
      <c r="H338" s="148">
        <f>IFERROR(__xludf.DUMMYFUNCTION("""COMPUTED_VALUE"""),1.5112564E7)</f>
        <v>15112564</v>
      </c>
      <c r="I338" s="148" t="str">
        <f>IFERROR(__xludf.DUMMYFUNCTION("""COMPUTED_VALUE"""),"{""typ"":""lc"",""txt"":""LC_ITEM_time_day_upper_show"",""args"":[{""typ"":""int"",""val"":7}]}")</f>
        <v>{"typ":"lc","txt":"LC_ITEM_time_day_upper_show","args":[{"typ":"int","val":7}]}</v>
      </c>
      <c r="J338" s="148" t="str">
        <f>IFERROR(__xludf.DUMMYFUNCTION("""COMPUTED_VALUE"""),"{""typ"":""lc"",""txt"":""LC_ITEM_2024sci_highcity_skin_title_7day""}")</f>
        <v>{"typ":"lc","txt":"LC_ITEM_2024sci_highcity_skin_title_7day"}</v>
      </c>
      <c r="K338" s="148" t="str">
        <f>IFERROR(__xludf.DUMMYFUNCTION("""COMPUTED_VALUE"""),"{""typ"":""lc"",""txt"":""LC_ITEM_2024sci_highskin_desc_7days""}")</f>
        <v>{"typ":"lc","txt":"LC_ITEM_2024sci_highskin_desc_7days"}</v>
      </c>
      <c r="L338" s="148" t="str">
        <f>IFERROR(__xludf.DUMMYFUNCTION("""COMPUTED_VALUE"""),"{""typ"":""lc"",""txt"":""LC_ITEM_city_skin_rocket_use_tips""}")</f>
        <v>{"typ":"lc","txt":"LC_ITEM_city_skin_rocket_use_tips"}</v>
      </c>
      <c r="M338" s="148">
        <f>IFERROR(__xludf.DUMMYFUNCTION("""COMPUTED_VALUE"""),10000.0)</f>
        <v>10000</v>
      </c>
      <c r="N338" s="148">
        <f>IFERROR(__xludf.DUMMYFUNCTION("""COMPUTED_VALUE"""),999.0)</f>
        <v>999</v>
      </c>
      <c r="O338" s="148">
        <f>IFERROR(__xludf.DUMMYFUNCTION("""COMPUTED_VALUE"""),1.0)</f>
        <v>1</v>
      </c>
      <c r="P338" s="148">
        <f>IFERROR(__xludf.DUMMYFUNCTION("""COMPUTED_VALUE"""),1.0)</f>
        <v>1</v>
      </c>
      <c r="Q338" s="148" t="str">
        <f>IFERROR(__xludf.DUMMYFUNCTION("""COMPUTED_VALUE"""),"[""bag_other""]")</f>
        <v>["bag_other"]</v>
      </c>
      <c r="R338" s="148" t="str">
        <f>IFERROR(__xludf.DUMMYFUNCTION("""COMPUTED_VALUE"""),"[""bag"",""13121037""]")</f>
        <v>["bag","13121037"]</v>
      </c>
      <c r="S338" s="148" t="str">
        <f>IFERROR(__xludf.DUMMYFUNCTION("""COMPUTED_VALUE"""),"{""effect"":[{""typ"":""city_skin"",""id"":13121037,""val"":604800000},{""typ"":""item"",""id"":11111021,""val"":3}]}")</f>
        <v>{"effect":[{"typ":"city_skin","id":13121037,"val":604800000},{"typ":"item","id":11111021,"val":3}]}</v>
      </c>
      <c r="T338" s="148">
        <f>IFERROR(__xludf.DUMMYFUNCTION("""COMPUTED_VALUE"""),-1.0)</f>
        <v>-1</v>
      </c>
      <c r="U338" s="148">
        <f>IFERROR(__xludf.DUMMYFUNCTION("""COMPUTED_VALUE"""),0.0)</f>
        <v>0</v>
      </c>
      <c r="V338" s="148" t="str">
        <f>IFERROR(__xludf.DUMMYFUNCTION("""COMPUTED_VALUE"""),"[]")</f>
        <v>[]</v>
      </c>
      <c r="W338" s="148">
        <f>IFERROR(__xludf.DUMMYFUNCTION("""COMPUTED_VALUE"""),1.174E7)</f>
        <v>11740000</v>
      </c>
      <c r="X338" s="148">
        <f>IFERROR(__xludf.DUMMYFUNCTION("""COMPUTED_VALUE"""),0.0)</f>
        <v>0</v>
      </c>
      <c r="Y338" s="148">
        <f>IFERROR(__xludf.DUMMYFUNCTION("""COMPUTED_VALUE"""),0.0)</f>
        <v>0</v>
      </c>
      <c r="Z338" s="148"/>
    </row>
    <row r="339">
      <c r="A339" s="148">
        <f>IFERROR(__xludf.DUMMYFUNCTION("""COMPUTED_VALUE"""),1.111213E7)</f>
        <v>11112130</v>
      </c>
      <c r="B339" s="148" t="str">
        <f>IFERROR(__xludf.DUMMYFUNCTION("""COMPUTED_VALUE"""),"主城皮肤-科技节高级皮肤2024")</f>
        <v>主城皮肤-科技节高级皮肤2024</v>
      </c>
      <c r="C339" s="148"/>
      <c r="D339" s="148" t="str">
        <f>IFERROR(__xludf.DUMMYFUNCTION("""COMPUTED_VALUE"""),"city_skin")</f>
        <v>city_skin</v>
      </c>
      <c r="E339" s="148">
        <f>IFERROR(__xludf.DUMMYFUNCTION("""COMPUTED_VALUE"""),21.0)</f>
        <v>21</v>
      </c>
      <c r="F339" s="148">
        <f>IFERROR(__xludf.DUMMYFUNCTION("""COMPUTED_VALUE"""),400106.0)</f>
        <v>400106</v>
      </c>
      <c r="G339" s="148">
        <f>IFERROR(__xludf.DUMMYFUNCTION("""COMPUTED_VALUE"""),1.5119013E7)</f>
        <v>15119013</v>
      </c>
      <c r="H339" s="148">
        <f>IFERROR(__xludf.DUMMYFUNCTION("""COMPUTED_VALUE"""),1.5112564E7)</f>
        <v>15112564</v>
      </c>
      <c r="I339" s="148" t="str">
        <f>IFERROR(__xludf.DUMMYFUNCTION("""COMPUTED_VALUE"""),"{}")</f>
        <v>{}</v>
      </c>
      <c r="J339" s="148" t="str">
        <f>IFERROR(__xludf.DUMMYFUNCTION("""COMPUTED_VALUE"""),"{""typ"":""lc"",""txt"":""LC_ITEM_2024sci_highcity_skin_title""}")</f>
        <v>{"typ":"lc","txt":"LC_ITEM_2024sci_highcity_skin_title"}</v>
      </c>
      <c r="K339" s="148" t="str">
        <f>IFERROR(__xludf.DUMMYFUNCTION("""COMPUTED_VALUE"""),"{""typ"":""lc"",""txt"":""LC_ITEM_2024sci_highskin_desc_forever""}")</f>
        <v>{"typ":"lc","txt":"LC_ITEM_2024sci_highskin_desc_forever"}</v>
      </c>
      <c r="L339" s="148" t="str">
        <f>IFERROR(__xludf.DUMMYFUNCTION("""COMPUTED_VALUE"""),"{""typ"":""lc"",""txt"":""LC_ITEM_city_skin_rocket_use_tips""}")</f>
        <v>{"typ":"lc","txt":"LC_ITEM_city_skin_rocket_use_tips"}</v>
      </c>
      <c r="M339" s="148">
        <f>IFERROR(__xludf.DUMMYFUNCTION("""COMPUTED_VALUE"""),10000.0)</f>
        <v>10000</v>
      </c>
      <c r="N339" s="148">
        <f>IFERROR(__xludf.DUMMYFUNCTION("""COMPUTED_VALUE"""),999.0)</f>
        <v>999</v>
      </c>
      <c r="O339" s="148">
        <f>IFERROR(__xludf.DUMMYFUNCTION("""COMPUTED_VALUE"""),1.0)</f>
        <v>1</v>
      </c>
      <c r="P339" s="148">
        <f>IFERROR(__xludf.DUMMYFUNCTION("""COMPUTED_VALUE"""),1.0)</f>
        <v>1</v>
      </c>
      <c r="Q339" s="148" t="str">
        <f>IFERROR(__xludf.DUMMYFUNCTION("""COMPUTED_VALUE"""),"[""bag_other""]")</f>
        <v>["bag_other"]</v>
      </c>
      <c r="R339" s="148" t="str">
        <f>IFERROR(__xludf.DUMMYFUNCTION("""COMPUTED_VALUE"""),"[""bag"",""13121037""]")</f>
        <v>["bag","13121037"]</v>
      </c>
      <c r="S339" s="148" t="str">
        <f>IFERROR(__xludf.DUMMYFUNCTION("""COMPUTED_VALUE"""),"{""effect"":[{""typ"":""city_skin"",""id"":13121037,""val"":-1},{""typ"":""item"",""id"":11111034,""val"":10}]}")</f>
        <v>{"effect":[{"typ":"city_skin","id":13121037,"val":-1},{"typ":"item","id":11111034,"val":10}]}</v>
      </c>
      <c r="T339" s="148">
        <f>IFERROR(__xludf.DUMMYFUNCTION("""COMPUTED_VALUE"""),-1.0)</f>
        <v>-1</v>
      </c>
      <c r="U339" s="148">
        <f>IFERROR(__xludf.DUMMYFUNCTION("""COMPUTED_VALUE"""),0.0)</f>
        <v>0</v>
      </c>
      <c r="V339" s="148" t="str">
        <f>IFERROR(__xludf.DUMMYFUNCTION("""COMPUTED_VALUE"""),"[]")</f>
        <v>[]</v>
      </c>
      <c r="W339" s="148">
        <f>IFERROR(__xludf.DUMMYFUNCTION("""COMPUTED_VALUE"""),1.174E7)</f>
        <v>11740000</v>
      </c>
      <c r="X339" s="148">
        <f>IFERROR(__xludf.DUMMYFUNCTION("""COMPUTED_VALUE"""),0.0)</f>
        <v>0</v>
      </c>
      <c r="Y339" s="148">
        <f>IFERROR(__xludf.DUMMYFUNCTION("""COMPUTED_VALUE"""),0.0)</f>
        <v>0</v>
      </c>
      <c r="Z339" s="148"/>
    </row>
    <row r="340">
      <c r="A340" s="148">
        <f>IFERROR(__xludf.DUMMYFUNCTION("""COMPUTED_VALUE"""),1.1112131E7)</f>
        <v>11112131</v>
      </c>
      <c r="B340" s="148" t="str">
        <f>IFERROR(__xludf.DUMMYFUNCTION("""COMPUTED_VALUE"""),"主城皮肤-科技节2024")</f>
        <v>主城皮肤-科技节2024</v>
      </c>
      <c r="C340" s="148"/>
      <c r="D340" s="148" t="str">
        <f>IFERROR(__xludf.DUMMYFUNCTION("""COMPUTED_VALUE"""),"city_skin")</f>
        <v>city_skin</v>
      </c>
      <c r="E340" s="148">
        <f>IFERROR(__xludf.DUMMYFUNCTION("""COMPUTED_VALUE"""),21.0)</f>
        <v>21</v>
      </c>
      <c r="F340" s="148">
        <f>IFERROR(__xludf.DUMMYFUNCTION("""COMPUTED_VALUE"""),1.0)</f>
        <v>1</v>
      </c>
      <c r="G340" s="148">
        <f>IFERROR(__xludf.DUMMYFUNCTION("""COMPUTED_VALUE"""),1.5119012E7)</f>
        <v>15119012</v>
      </c>
      <c r="H340" s="148">
        <f>IFERROR(__xludf.DUMMYFUNCTION("""COMPUTED_VALUE"""),1.5112564E7)</f>
        <v>15112564</v>
      </c>
      <c r="I340" s="148" t="str">
        <f>IFERROR(__xludf.DUMMYFUNCTION("""COMPUTED_VALUE"""),"{}")</f>
        <v>{}</v>
      </c>
      <c r="J340" s="148" t="str">
        <f>IFERROR(__xludf.DUMMYFUNCTION("""COMPUTED_VALUE"""),"{""typ"":""lc"",""txt"":""LC_ITEM_2024sci_lowcity_skin_title""}")</f>
        <v>{"typ":"lc","txt":"LC_ITEM_2024sci_lowcity_skin_title"}</v>
      </c>
      <c r="K340" s="148" t="str">
        <f>IFERROR(__xludf.DUMMYFUNCTION("""COMPUTED_VALUE"""),"{""typ"":""lc"",""txt"":""LC_ITEM_2024sci_lowcity_skin_desc_forever""}")</f>
        <v>{"typ":"lc","txt":"LC_ITEM_2024sci_lowcity_skin_desc_forever"}</v>
      </c>
      <c r="L340" s="148" t="str">
        <f>IFERROR(__xludf.DUMMYFUNCTION("""COMPUTED_VALUE"""),"{""typ"":""lc"",""txt"":""LC_ITEM_city_skin_rocket_use_tips""}")</f>
        <v>{"typ":"lc","txt":"LC_ITEM_city_skin_rocket_use_tips"}</v>
      </c>
      <c r="M340" s="148">
        <f>IFERROR(__xludf.DUMMYFUNCTION("""COMPUTED_VALUE"""),10000.0)</f>
        <v>10000</v>
      </c>
      <c r="N340" s="148">
        <f>IFERROR(__xludf.DUMMYFUNCTION("""COMPUTED_VALUE"""),999.0)</f>
        <v>999</v>
      </c>
      <c r="O340" s="148">
        <f>IFERROR(__xludf.DUMMYFUNCTION("""COMPUTED_VALUE"""),1.0)</f>
        <v>1</v>
      </c>
      <c r="P340" s="148">
        <f>IFERROR(__xludf.DUMMYFUNCTION("""COMPUTED_VALUE"""),1.0)</f>
        <v>1</v>
      </c>
      <c r="Q340" s="148" t="str">
        <f>IFERROR(__xludf.DUMMYFUNCTION("""COMPUTED_VALUE"""),"[""bag_other""]")</f>
        <v>["bag_other"]</v>
      </c>
      <c r="R340" s="148" t="str">
        <f>IFERROR(__xludf.DUMMYFUNCTION("""COMPUTED_VALUE"""),"[""bag"",""13121036""]")</f>
        <v>["bag","13121036"]</v>
      </c>
      <c r="S340" s="148" t="str">
        <f>IFERROR(__xludf.DUMMYFUNCTION("""COMPUTED_VALUE"""),"{""effect"":[{""typ"":""city_skin"",""id"":13121036,""val"":-1},{""typ"":""item"",""id"":11111034,""val"":10}]}")</f>
        <v>{"effect":[{"typ":"city_skin","id":13121036,"val":-1},{"typ":"item","id":11111034,"val":10}]}</v>
      </c>
      <c r="T340" s="148">
        <f>IFERROR(__xludf.DUMMYFUNCTION("""COMPUTED_VALUE"""),-1.0)</f>
        <v>-1</v>
      </c>
      <c r="U340" s="148">
        <f>IFERROR(__xludf.DUMMYFUNCTION("""COMPUTED_VALUE"""),0.0)</f>
        <v>0</v>
      </c>
      <c r="V340" s="148" t="str">
        <f>IFERROR(__xludf.DUMMYFUNCTION("""COMPUTED_VALUE"""),"[]")</f>
        <v>[]</v>
      </c>
      <c r="W340" s="148">
        <f>IFERROR(__xludf.DUMMYFUNCTION("""COMPUTED_VALUE"""),1.174E7)</f>
        <v>11740000</v>
      </c>
      <c r="X340" s="148">
        <f>IFERROR(__xludf.DUMMYFUNCTION("""COMPUTED_VALUE"""),0.0)</f>
        <v>0</v>
      </c>
      <c r="Y340" s="148">
        <f>IFERROR(__xludf.DUMMYFUNCTION("""COMPUTED_VALUE"""),0.0)</f>
        <v>0</v>
      </c>
      <c r="Z340" s="148"/>
    </row>
    <row r="341">
      <c r="A341" s="148">
        <f>IFERROR(__xludf.DUMMYFUNCTION("""COMPUTED_VALUE"""),1.1112132E7)</f>
        <v>11112132</v>
      </c>
      <c r="B341" s="148" t="str">
        <f>IFERROR(__xludf.DUMMYFUNCTION("""COMPUTED_VALUE"""),"主城皮肤-科技节2024（2天）")</f>
        <v>主城皮肤-科技节2024（2天）</v>
      </c>
      <c r="C341" s="148"/>
      <c r="D341" s="148" t="str">
        <f>IFERROR(__xludf.DUMMYFUNCTION("""COMPUTED_VALUE"""),"city_skin")</f>
        <v>city_skin</v>
      </c>
      <c r="E341" s="148">
        <f>IFERROR(__xludf.DUMMYFUNCTION("""COMPUTED_VALUE"""),21.0)</f>
        <v>21</v>
      </c>
      <c r="F341" s="148">
        <f>IFERROR(__xludf.DUMMYFUNCTION("""COMPUTED_VALUE"""),404201.0)</f>
        <v>404201</v>
      </c>
      <c r="G341" s="148">
        <f>IFERROR(__xludf.DUMMYFUNCTION("""COMPUTED_VALUE"""),1.5119012E7)</f>
        <v>15119012</v>
      </c>
      <c r="H341" s="148">
        <f>IFERROR(__xludf.DUMMYFUNCTION("""COMPUTED_VALUE"""),1.5112563E7)</f>
        <v>15112563</v>
      </c>
      <c r="I341" s="148" t="str">
        <f>IFERROR(__xludf.DUMMYFUNCTION("""COMPUTED_VALUE"""),"{""typ"":""lc"",""txt"":""LC_ITEM_time_day_upper_show"",""args"":[{""typ"":""int"",""val"":2}]}")</f>
        <v>{"typ":"lc","txt":"LC_ITEM_time_day_upper_show","args":[{"typ":"int","val":2}]}</v>
      </c>
      <c r="J341" s="148" t="str">
        <f>IFERROR(__xludf.DUMMYFUNCTION("""COMPUTED_VALUE"""),"{""typ"":""lc"",""txt"":""LC_ITEM_2024sci_lowcity_skin_title_2day""}")</f>
        <v>{"typ":"lc","txt":"LC_ITEM_2024sci_lowcity_skin_title_2day"}</v>
      </c>
      <c r="K341" s="148" t="str">
        <f>IFERROR(__xludf.DUMMYFUNCTION("""COMPUTED_VALUE"""),"{""typ"":""lc"",""txt"":""LC_ITEM_2024sci_lowcity_skin_desc_2day""}")</f>
        <v>{"typ":"lc","txt":"LC_ITEM_2024sci_lowcity_skin_desc_2day"}</v>
      </c>
      <c r="L341" s="148" t="str">
        <f>IFERROR(__xludf.DUMMYFUNCTION("""COMPUTED_VALUE"""),"{""typ"":""lc"",""txt"":""LC_ITEM_city_skin_rocket_use_tips""}")</f>
        <v>{"typ":"lc","txt":"LC_ITEM_city_skin_rocket_use_tips"}</v>
      </c>
      <c r="M341" s="148">
        <f>IFERROR(__xludf.DUMMYFUNCTION("""COMPUTED_VALUE"""),500.0)</f>
        <v>500</v>
      </c>
      <c r="N341" s="148">
        <f>IFERROR(__xludf.DUMMYFUNCTION("""COMPUTED_VALUE"""),999.0)</f>
        <v>999</v>
      </c>
      <c r="O341" s="148">
        <f>IFERROR(__xludf.DUMMYFUNCTION("""COMPUTED_VALUE"""),1.0)</f>
        <v>1</v>
      </c>
      <c r="P341" s="148">
        <f>IFERROR(__xludf.DUMMYFUNCTION("""COMPUTED_VALUE"""),1.0)</f>
        <v>1</v>
      </c>
      <c r="Q341" s="148" t="str">
        <f>IFERROR(__xludf.DUMMYFUNCTION("""COMPUTED_VALUE"""),"[""bag_other""]")</f>
        <v>["bag_other"]</v>
      </c>
      <c r="R341" s="148" t="str">
        <f>IFERROR(__xludf.DUMMYFUNCTION("""COMPUTED_VALUE"""),"[""bag"",""13121036""]")</f>
        <v>["bag","13121036"]</v>
      </c>
      <c r="S341" s="148" t="str">
        <f>IFERROR(__xludf.DUMMYFUNCTION("""COMPUTED_VALUE"""),"{""effect"":[{""typ"":""city_skin"",""id"":13121036,""val"":172800000},{""typ"":""item"",""id"":11111021,""val"":1}]}")</f>
        <v>{"effect":[{"typ":"city_skin","id":13121036,"val":172800000},{"typ":"item","id":11111021,"val":1}]}</v>
      </c>
      <c r="T341" s="148">
        <f>IFERROR(__xludf.DUMMYFUNCTION("""COMPUTED_VALUE"""),-1.0)</f>
        <v>-1</v>
      </c>
      <c r="U341" s="148">
        <f>IFERROR(__xludf.DUMMYFUNCTION("""COMPUTED_VALUE"""),0.0)</f>
        <v>0</v>
      </c>
      <c r="V341" s="148" t="str">
        <f>IFERROR(__xludf.DUMMYFUNCTION("""COMPUTED_VALUE"""),"[]")</f>
        <v>[]</v>
      </c>
      <c r="W341" s="148">
        <f>IFERROR(__xludf.DUMMYFUNCTION("""COMPUTED_VALUE"""),1.174E7)</f>
        <v>11740000</v>
      </c>
      <c r="X341" s="148">
        <f>IFERROR(__xludf.DUMMYFUNCTION("""COMPUTED_VALUE"""),0.0)</f>
        <v>0</v>
      </c>
      <c r="Y341" s="148">
        <f>IFERROR(__xludf.DUMMYFUNCTION("""COMPUTED_VALUE"""),0.0)</f>
        <v>0</v>
      </c>
      <c r="Z341" s="148"/>
    </row>
    <row r="342">
      <c r="A342" s="148">
        <f>IFERROR(__xludf.DUMMYFUNCTION("""COMPUTED_VALUE"""),1.1112133E7)</f>
        <v>11112133</v>
      </c>
      <c r="B342" s="148" t="str">
        <f>IFERROR(__xludf.DUMMYFUNCTION("""COMPUTED_VALUE"""),"科技节2024-装饰升级版本")</f>
        <v>科技节2024-装饰升级版本</v>
      </c>
      <c r="C342" s="148"/>
      <c r="D342" s="148" t="str">
        <f>IFERROR(__xludf.DUMMYFUNCTION("""COMPUTED_VALUE"""),"statue_decorate")</f>
        <v>statue_decorate</v>
      </c>
      <c r="E342" s="148">
        <f>IFERROR(__xludf.DUMMYFUNCTION("""COMPUTED_VALUE"""),23.0)</f>
        <v>23</v>
      </c>
      <c r="F342" s="148">
        <f>IFERROR(__xludf.DUMMYFUNCTION("""COMPUTED_VALUE"""),0.0)</f>
        <v>0</v>
      </c>
      <c r="G342" s="148">
        <f>IFERROR(__xludf.DUMMYFUNCTION("""COMPUTED_VALUE"""),1.5119019E7)</f>
        <v>15119019</v>
      </c>
      <c r="H342" s="148">
        <f>IFERROR(__xludf.DUMMYFUNCTION("""COMPUTED_VALUE"""),1.5112564E7)</f>
        <v>15112564</v>
      </c>
      <c r="I342" s="148" t="str">
        <f>IFERROR(__xludf.DUMMYFUNCTION("""COMPUTED_VALUE"""),"{}")</f>
        <v>{}</v>
      </c>
      <c r="J342" s="148" t="str">
        <f>IFERROR(__xludf.DUMMYFUNCTION("""COMPUTED_VALUE"""),"{""typ"":""lc"",""txt"":""LC_ITEM_2024sci_dec_item_2""}")</f>
        <v>{"typ":"lc","txt":"LC_ITEM_2024sci_dec_item_2"}</v>
      </c>
      <c r="K342" s="148" t="str">
        <f>IFERROR(__xludf.DUMMYFUNCTION("""COMPUTED_VALUE"""),"{""typ"":""lc"",""txt"":""LC_ITEM_2024sci_dec_item_3_desc""}")</f>
        <v>{"typ":"lc","txt":"LC_ITEM_2024sci_dec_item_3_desc"}</v>
      </c>
      <c r="L342" s="148" t="str">
        <f>IFERROR(__xludf.DUMMYFUNCTION("""COMPUTED_VALUE"""),"{}")</f>
        <v>{}</v>
      </c>
      <c r="M342" s="148">
        <f>IFERROR(__xludf.DUMMYFUNCTION("""COMPUTED_VALUE"""),5000.0)</f>
        <v>5000</v>
      </c>
      <c r="N342" s="148">
        <f>IFERROR(__xludf.DUMMYFUNCTION("""COMPUTED_VALUE"""),999.0)</f>
        <v>999</v>
      </c>
      <c r="O342" s="148">
        <f>IFERROR(__xludf.DUMMYFUNCTION("""COMPUTED_VALUE"""),99999.0)</f>
        <v>99999</v>
      </c>
      <c r="P342" s="148">
        <f>IFERROR(__xludf.DUMMYFUNCTION("""COMPUTED_VALUE"""),99999.0)</f>
        <v>99999</v>
      </c>
      <c r="Q342" s="148" t="str">
        <f>IFERROR(__xludf.DUMMYFUNCTION("""COMPUTED_VALUE"""),"[]")</f>
        <v>[]</v>
      </c>
      <c r="R342" s="148" t="str">
        <f>IFERROR(__xludf.DUMMYFUNCTION("""COMPUTED_VALUE"""),"[""bag""]")</f>
        <v>["bag"]</v>
      </c>
      <c r="S342" s="148" t="str">
        <f>IFERROR(__xludf.DUMMYFUNCTION("""COMPUTED_VALUE"""),"{""effect"":[{""typ"":""holiday_statue"",""id"":21481401},{""typ"":""item"",""id"":11112134,""val"":1}]}")</f>
        <v>{"effect":[{"typ":"holiday_statue","id":21481401},{"typ":"item","id":11112134,"val":1}]}</v>
      </c>
      <c r="T342" s="148">
        <f>IFERROR(__xludf.DUMMYFUNCTION("""COMPUTED_VALUE"""),-1.0)</f>
        <v>-1</v>
      </c>
      <c r="U342" s="148">
        <f>IFERROR(__xludf.DUMMYFUNCTION("""COMPUTED_VALUE"""),1.0)</f>
        <v>1</v>
      </c>
      <c r="V342" s="148" t="str">
        <f>IFERROR(__xludf.DUMMYFUNCTION("""COMPUTED_VALUE"""),"[]")</f>
        <v>[]</v>
      </c>
      <c r="W342" s="148">
        <f>IFERROR(__xludf.DUMMYFUNCTION("""COMPUTED_VALUE"""),1.174E7)</f>
        <v>11740000</v>
      </c>
      <c r="X342" s="148">
        <f>IFERROR(__xludf.DUMMYFUNCTION("""COMPUTED_VALUE"""),0.0)</f>
        <v>0</v>
      </c>
      <c r="Y342" s="148">
        <f>IFERROR(__xludf.DUMMYFUNCTION("""COMPUTED_VALUE"""),0.0)</f>
        <v>0</v>
      </c>
      <c r="Z342" s="148"/>
    </row>
    <row r="343">
      <c r="A343" s="148">
        <f>IFERROR(__xludf.DUMMYFUNCTION("""COMPUTED_VALUE"""),1.1112134E7)</f>
        <v>11112134</v>
      </c>
      <c r="B343" s="148" t="str">
        <f>IFERROR(__xludf.DUMMYFUNCTION("""COMPUTED_VALUE"""),"科技节2024-装饰升级道具")</f>
        <v>科技节2024-装饰升级道具</v>
      </c>
      <c r="C343" s="148"/>
      <c r="D343" s="148" t="str">
        <f>IFERROR(__xludf.DUMMYFUNCTION("""COMPUTED_VALUE"""),"event")</f>
        <v>event</v>
      </c>
      <c r="E343" s="148">
        <f>IFERROR(__xludf.DUMMYFUNCTION("""COMPUTED_VALUE"""),0.0)</f>
        <v>0</v>
      </c>
      <c r="F343" s="148">
        <f>IFERROR(__xludf.DUMMYFUNCTION("""COMPUTED_VALUE"""),405243.0)</f>
        <v>405243</v>
      </c>
      <c r="G343" s="148">
        <f>IFERROR(__xludf.DUMMYFUNCTION("""COMPUTED_VALUE"""),1.5119019E7)</f>
        <v>15119019</v>
      </c>
      <c r="H343" s="148">
        <f>IFERROR(__xludf.DUMMYFUNCTION("""COMPUTED_VALUE"""),1.5112564E7)</f>
        <v>15112564</v>
      </c>
      <c r="I343" s="148" t="str">
        <f>IFERROR(__xludf.DUMMYFUNCTION("""COMPUTED_VALUE"""),"{}")</f>
        <v>{}</v>
      </c>
      <c r="J343" s="148" t="str">
        <f>IFERROR(__xludf.DUMMYFUNCTION("""COMPUTED_VALUE"""),"{""typ"":""lc"",""txt"":""LC_ITEM_2024sci_dec_item_2""}")</f>
        <v>{"typ":"lc","txt":"LC_ITEM_2024sci_dec_item_2"}</v>
      </c>
      <c r="K343" s="148" t="str">
        <f>IFERROR(__xludf.DUMMYFUNCTION("""COMPUTED_VALUE"""),"{""typ"":""lc"",""txt"":""LC_ITEM_2024sci_dec_item_3_desc""}")</f>
        <v>{"typ":"lc","txt":"LC_ITEM_2024sci_dec_item_3_desc"}</v>
      </c>
      <c r="L343" s="148" t="str">
        <f>IFERROR(__xludf.DUMMYFUNCTION("""COMPUTED_VALUE"""),"{}")</f>
        <v>{}</v>
      </c>
      <c r="M343" s="148">
        <f>IFERROR(__xludf.DUMMYFUNCTION("""COMPUTED_VALUE"""),1000.0)</f>
        <v>1000</v>
      </c>
      <c r="N343" s="148">
        <f>IFERROR(__xludf.DUMMYFUNCTION("""COMPUTED_VALUE"""),9.99999999E8)</f>
        <v>999999999</v>
      </c>
      <c r="O343" s="148">
        <f>IFERROR(__xludf.DUMMYFUNCTION("""COMPUTED_VALUE"""),9.99999999E8)</f>
        <v>999999999</v>
      </c>
      <c r="P343" s="148">
        <f>IFERROR(__xludf.DUMMYFUNCTION("""COMPUTED_VALUE"""),9.99999999E8)</f>
        <v>999999999</v>
      </c>
      <c r="Q343" s="148" t="str">
        <f>IFERROR(__xludf.DUMMYFUNCTION("""COMPUTED_VALUE"""),"[""bag_other""]")</f>
        <v>["bag_other"]</v>
      </c>
      <c r="R343" s="148" t="str">
        <f>IFERROR(__xludf.DUMMYFUNCTION("""COMPUTED_VALUE"""),"[]")</f>
        <v>[]</v>
      </c>
      <c r="S343" s="148" t="str">
        <f>IFERROR(__xludf.DUMMYFUNCTION("""COMPUTED_VALUE"""),"{}")</f>
        <v>{}</v>
      </c>
      <c r="T343" s="148">
        <f>IFERROR(__xludf.DUMMYFUNCTION("""COMPUTED_VALUE"""),-1.0)</f>
        <v>-1</v>
      </c>
      <c r="U343" s="148">
        <f>IFERROR(__xludf.DUMMYFUNCTION("""COMPUTED_VALUE"""),0.0)</f>
        <v>0</v>
      </c>
      <c r="V343" s="148" t="str">
        <f>IFERROR(__xludf.DUMMYFUNCTION("""COMPUTED_VALUE"""),"[]")</f>
        <v>[]</v>
      </c>
      <c r="W343" s="148">
        <f>IFERROR(__xludf.DUMMYFUNCTION("""COMPUTED_VALUE"""),1.174E7)</f>
        <v>11740000</v>
      </c>
      <c r="X343" s="148">
        <f>IFERROR(__xludf.DUMMYFUNCTION("""COMPUTED_VALUE"""),0.0)</f>
        <v>0</v>
      </c>
      <c r="Y343" s="148">
        <f>IFERROR(__xludf.DUMMYFUNCTION("""COMPUTED_VALUE"""),0.0)</f>
        <v>0</v>
      </c>
      <c r="Z343" s="148"/>
    </row>
    <row r="344">
      <c r="A344" s="148">
        <f>IFERROR(__xludf.DUMMYFUNCTION("""COMPUTED_VALUE"""),1.1112135E7)</f>
        <v>11112135</v>
      </c>
      <c r="B344" s="148" t="str">
        <f>IFERROR(__xludf.DUMMYFUNCTION("""COMPUTED_VALUE"""),"科技节拼图好礼-友情币")</f>
        <v>科技节拼图好礼-友情币</v>
      </c>
      <c r="C344" s="148"/>
      <c r="D344" s="148" t="str">
        <f>IFERROR(__xludf.DUMMYFUNCTION("""COMPUTED_VALUE"""),"event")</f>
        <v>event</v>
      </c>
      <c r="E344" s="148">
        <f>IFERROR(__xludf.DUMMYFUNCTION("""COMPUTED_VALUE"""),0.0)</f>
        <v>0</v>
      </c>
      <c r="F344" s="148">
        <f>IFERROR(__xludf.DUMMYFUNCTION("""COMPUTED_VALUE"""),405217.0)</f>
        <v>405217</v>
      </c>
      <c r="G344" s="148">
        <f>IFERROR(__xludf.DUMMYFUNCTION("""COMPUTED_VALUE"""),1.51191E7)</f>
        <v>15119100</v>
      </c>
      <c r="H344" s="148">
        <f>IFERROR(__xludf.DUMMYFUNCTION("""COMPUTED_VALUE"""),1.5112563E7)</f>
        <v>15112563</v>
      </c>
      <c r="I344" s="148" t="str">
        <f>IFERROR(__xludf.DUMMYFUNCTION("""COMPUTED_VALUE"""),"{}")</f>
        <v>{}</v>
      </c>
      <c r="J344" s="148" t="str">
        <f>IFERROR(__xludf.DUMMYFUNCTION("""COMPUTED_VALUE"""),"{""typ"":""lc"",""txt"":""LC_EVENT_science_coin_gift""}")</f>
        <v>{"typ":"lc","txt":"LC_EVENT_science_coin_gift"}</v>
      </c>
      <c r="K344" s="148" t="str">
        <f>IFERROR(__xludf.DUMMYFUNCTION("""COMPUTED_VALUE"""),"{""typ"":""lc"",""txt"":""LC_EVENT_science_coin_gift_desc""}")</f>
        <v>{"typ":"lc","txt":"LC_EVENT_science_coin_gift_desc"}</v>
      </c>
      <c r="L344" s="148" t="str">
        <f>IFERROR(__xludf.DUMMYFUNCTION("""COMPUTED_VALUE"""),"{}")</f>
        <v>{}</v>
      </c>
      <c r="M344" s="148">
        <f>IFERROR(__xludf.DUMMYFUNCTION("""COMPUTED_VALUE"""),35.0)</f>
        <v>35</v>
      </c>
      <c r="N344" s="148">
        <f>IFERROR(__xludf.DUMMYFUNCTION("""COMPUTED_VALUE"""),999999.0)</f>
        <v>999999</v>
      </c>
      <c r="O344" s="148">
        <f>IFERROR(__xludf.DUMMYFUNCTION("""COMPUTED_VALUE"""),99999.0)</f>
        <v>99999</v>
      </c>
      <c r="P344" s="148">
        <f>IFERROR(__xludf.DUMMYFUNCTION("""COMPUTED_VALUE"""),99999.0)</f>
        <v>99999</v>
      </c>
      <c r="Q344" s="148" t="str">
        <f>IFERROR(__xludf.DUMMYFUNCTION("""COMPUTED_VALUE"""),"[""bag_other""]")</f>
        <v>["bag_other"]</v>
      </c>
      <c r="R344" s="148" t="str">
        <f>IFERROR(__xludf.DUMMYFUNCTION("""COMPUTED_VALUE"""),"[]")</f>
        <v>[]</v>
      </c>
      <c r="S344" s="148" t="str">
        <f>IFERROR(__xludf.DUMMYFUNCTION("""COMPUTED_VALUE"""),"{}")</f>
        <v>{}</v>
      </c>
      <c r="T344" s="148">
        <f>IFERROR(__xludf.DUMMYFUNCTION("""COMPUTED_VALUE"""),-1.0)</f>
        <v>-1</v>
      </c>
      <c r="U344" s="148">
        <f>IFERROR(__xludf.DUMMYFUNCTION("""COMPUTED_VALUE"""),0.0)</f>
        <v>0</v>
      </c>
      <c r="V344" s="148" t="str">
        <f>IFERROR(__xludf.DUMMYFUNCTION("""COMPUTED_VALUE"""),"[]")</f>
        <v>[]</v>
      </c>
      <c r="W344" s="148">
        <f>IFERROR(__xludf.DUMMYFUNCTION("""COMPUTED_VALUE"""),1.174E7)</f>
        <v>11740000</v>
      </c>
      <c r="X344" s="148">
        <f>IFERROR(__xludf.DUMMYFUNCTION("""COMPUTED_VALUE"""),0.0)</f>
        <v>0</v>
      </c>
      <c r="Y344" s="148">
        <f>IFERROR(__xludf.DUMMYFUNCTION("""COMPUTED_VALUE"""),0.0)</f>
        <v>0</v>
      </c>
      <c r="Z344" s="148"/>
    </row>
    <row r="345">
      <c r="A345" s="148">
        <f>IFERROR(__xludf.DUMMYFUNCTION("""COMPUTED_VALUE"""),1.1112136E7)</f>
        <v>11112136</v>
      </c>
      <c r="B345" s="148" t="str">
        <f>IFERROR(__xludf.DUMMYFUNCTION("""COMPUTED_VALUE"""),"科技节拼图好礼-猩链币")</f>
        <v>科技节拼图好礼-猩链币</v>
      </c>
      <c r="C345" s="148"/>
      <c r="D345" s="148" t="str">
        <f>IFERROR(__xludf.DUMMYFUNCTION("""COMPUTED_VALUE"""),"event")</f>
        <v>event</v>
      </c>
      <c r="E345" s="148">
        <f>IFERROR(__xludf.DUMMYFUNCTION("""COMPUTED_VALUE"""),0.0)</f>
        <v>0</v>
      </c>
      <c r="F345" s="148">
        <f>IFERROR(__xludf.DUMMYFUNCTION("""COMPUTED_VALUE"""),405217.0)</f>
        <v>405217</v>
      </c>
      <c r="G345" s="148">
        <f>IFERROR(__xludf.DUMMYFUNCTION("""COMPUTED_VALUE"""),1.5119101E7)</f>
        <v>15119101</v>
      </c>
      <c r="H345" s="148">
        <f>IFERROR(__xludf.DUMMYFUNCTION("""COMPUTED_VALUE"""),1.5112563E7)</f>
        <v>15112563</v>
      </c>
      <c r="I345" s="148" t="str">
        <f>IFERROR(__xludf.DUMMYFUNCTION("""COMPUTED_VALUE"""),"{}")</f>
        <v>{}</v>
      </c>
      <c r="J345" s="148" t="str">
        <f>IFERROR(__xludf.DUMMYFUNCTION("""COMPUTED_VALUE"""),"{""typ"":""lc"",""txt"":""LC_EVENT_science_coin_unlock""}")</f>
        <v>{"typ":"lc","txt":"LC_EVENT_science_coin_unlock"}</v>
      </c>
      <c r="K345" s="148" t="str">
        <f>IFERROR(__xludf.DUMMYFUNCTION("""COMPUTED_VALUE"""),"{""typ"":""lc"",""txt"":""LC_EVENT_science_coin_unlock_desc""}")</f>
        <v>{"typ":"lc","txt":"LC_EVENT_science_coin_unlock_desc"}</v>
      </c>
      <c r="L345" s="148" t="str">
        <f>IFERROR(__xludf.DUMMYFUNCTION("""COMPUTED_VALUE"""),"{}")</f>
        <v>{}</v>
      </c>
      <c r="M345" s="148">
        <f>IFERROR(__xludf.DUMMYFUNCTION("""COMPUTED_VALUE"""),35.0)</f>
        <v>35</v>
      </c>
      <c r="N345" s="148">
        <f>IFERROR(__xludf.DUMMYFUNCTION("""COMPUTED_VALUE"""),999999.0)</f>
        <v>999999</v>
      </c>
      <c r="O345" s="148">
        <f>IFERROR(__xludf.DUMMYFUNCTION("""COMPUTED_VALUE"""),99999.0)</f>
        <v>99999</v>
      </c>
      <c r="P345" s="148">
        <f>IFERROR(__xludf.DUMMYFUNCTION("""COMPUTED_VALUE"""),99999.0)</f>
        <v>99999</v>
      </c>
      <c r="Q345" s="148" t="str">
        <f>IFERROR(__xludf.DUMMYFUNCTION("""COMPUTED_VALUE"""),"[""bag_other""]")</f>
        <v>["bag_other"]</v>
      </c>
      <c r="R345" s="148" t="str">
        <f>IFERROR(__xludf.DUMMYFUNCTION("""COMPUTED_VALUE"""),"[""bag""]")</f>
        <v>["bag"]</v>
      </c>
      <c r="S345" s="148" t="str">
        <f>IFERROR(__xludf.DUMMYFUNCTION("""COMPUTED_VALUE"""),"{}")</f>
        <v>{}</v>
      </c>
      <c r="T345" s="148">
        <f>IFERROR(__xludf.DUMMYFUNCTION("""COMPUTED_VALUE"""),1.0)</f>
        <v>1</v>
      </c>
      <c r="U345" s="148">
        <f>IFERROR(__xludf.DUMMYFUNCTION("""COMPUTED_VALUE"""),0.0)</f>
        <v>0</v>
      </c>
      <c r="V345" s="148" t="str">
        <f>IFERROR(__xludf.DUMMYFUNCTION("""COMPUTED_VALUE"""),"[]")</f>
        <v>[]</v>
      </c>
      <c r="W345" s="148">
        <f>IFERROR(__xludf.DUMMYFUNCTION("""COMPUTED_VALUE"""),1.174E7)</f>
        <v>11740000</v>
      </c>
      <c r="X345" s="148">
        <f>IFERROR(__xludf.DUMMYFUNCTION("""COMPUTED_VALUE"""),0.0)</f>
        <v>0</v>
      </c>
      <c r="Y345" s="148">
        <f>IFERROR(__xludf.DUMMYFUNCTION("""COMPUTED_VALUE"""),0.0)</f>
        <v>0</v>
      </c>
      <c r="Z345" s="148"/>
    </row>
    <row r="346">
      <c r="A346" s="148">
        <f>IFERROR(__xludf.DUMMYFUNCTION("""COMPUTED_VALUE"""),1.1112137E7)</f>
        <v>11112137</v>
      </c>
      <c r="B346" s="148" t="str">
        <f>IFERROR(__xludf.DUMMYFUNCTION("""COMPUTED_VALUE"""),"新工具铲-科技节通用抽奖道具")</f>
        <v>新工具铲-科技节通用抽奖道具</v>
      </c>
      <c r="C346" s="148"/>
      <c r="D346" s="148" t="str">
        <f>IFERROR(__xludf.DUMMYFUNCTION("""COMPUTED_VALUE"""),"event")</f>
        <v>event</v>
      </c>
      <c r="E346" s="148">
        <f>IFERROR(__xludf.DUMMYFUNCTION("""COMPUTED_VALUE"""),0.0)</f>
        <v>0</v>
      </c>
      <c r="F346" s="148">
        <f>IFERROR(__xludf.DUMMYFUNCTION("""COMPUTED_VALUE"""),0.0)</f>
        <v>0</v>
      </c>
      <c r="G346" s="148">
        <f>IFERROR(__xludf.DUMMYFUNCTION("""COMPUTED_VALUE"""),1.5115076E7)</f>
        <v>15115076</v>
      </c>
      <c r="H346" s="148">
        <f>IFERROR(__xludf.DUMMYFUNCTION("""COMPUTED_VALUE"""),1.5112563E7)</f>
        <v>15112563</v>
      </c>
      <c r="I346" s="148" t="str">
        <f>IFERROR(__xludf.DUMMYFUNCTION("""COMPUTED_VALUE"""),"{}")</f>
        <v>{}</v>
      </c>
      <c r="J346" s="148" t="str">
        <f>IFERROR(__xludf.DUMMYFUNCTION("""COMPUTED_VALUE"""),"{""typ"":""lc"",""txt"":""LC_ITEM_sci_gacha_item_name""}")</f>
        <v>{"typ":"lc","txt":"LC_ITEM_sci_gacha_item_name"}</v>
      </c>
      <c r="K346" s="148" t="str">
        <f>IFERROR(__xludf.DUMMYFUNCTION("""COMPUTED_VALUE"""),"{""typ"":""lc"",""txt"":""LC_ITEM_sci_gacha_item_desc""}")</f>
        <v>{"typ":"lc","txt":"LC_ITEM_sci_gacha_item_desc"}</v>
      </c>
      <c r="L346" s="148" t="str">
        <f>IFERROR(__xludf.DUMMYFUNCTION("""COMPUTED_VALUE"""),"{}")</f>
        <v>{}</v>
      </c>
      <c r="M346" s="148">
        <f>IFERROR(__xludf.DUMMYFUNCTION("""COMPUTED_VALUE"""),160.0)</f>
        <v>160</v>
      </c>
      <c r="N346" s="148">
        <f>IFERROR(__xludf.DUMMYFUNCTION("""COMPUTED_VALUE"""),999999.0)</f>
        <v>999999</v>
      </c>
      <c r="O346" s="148">
        <f>IFERROR(__xludf.DUMMYFUNCTION("""COMPUTED_VALUE"""),99999.0)</f>
        <v>99999</v>
      </c>
      <c r="P346" s="148">
        <f>IFERROR(__xludf.DUMMYFUNCTION("""COMPUTED_VALUE"""),99999.0)</f>
        <v>99999</v>
      </c>
      <c r="Q346" s="148" t="str">
        <f>IFERROR(__xludf.DUMMYFUNCTION("""COMPUTED_VALUE"""),"[""bag_other""]")</f>
        <v>["bag_other"]</v>
      </c>
      <c r="R346" s="148" t="str">
        <f>IFERROR(__xludf.DUMMYFUNCTION("""COMPUTED_VALUE"""),"[""bag""]")</f>
        <v>["bag"]</v>
      </c>
      <c r="S346" s="148" t="str">
        <f>IFERROR(__xludf.DUMMYFUNCTION("""COMPUTED_VALUE"""),"{}")</f>
        <v>{}</v>
      </c>
      <c r="T346" s="148">
        <f>IFERROR(__xludf.DUMMYFUNCTION("""COMPUTED_VALUE"""),-1.0)</f>
        <v>-1</v>
      </c>
      <c r="U346" s="148">
        <f>IFERROR(__xludf.DUMMYFUNCTION("""COMPUTED_VALUE"""),0.0)</f>
        <v>0</v>
      </c>
      <c r="V346" s="148" t="str">
        <f>IFERROR(__xludf.DUMMYFUNCTION("""COMPUTED_VALUE"""),"[]")</f>
        <v>[]</v>
      </c>
      <c r="W346" s="148">
        <f>IFERROR(__xludf.DUMMYFUNCTION("""COMPUTED_VALUE"""),1.174E7)</f>
        <v>11740000</v>
      </c>
      <c r="X346" s="148">
        <f>IFERROR(__xludf.DUMMYFUNCTION("""COMPUTED_VALUE"""),0.0)</f>
        <v>0</v>
      </c>
      <c r="Y346" s="148">
        <f>IFERROR(__xludf.DUMMYFUNCTION("""COMPUTED_VALUE"""),0.0)</f>
        <v>0</v>
      </c>
      <c r="Z346" s="148"/>
    </row>
    <row r="347">
      <c r="A347" s="148">
        <f>IFERROR(__xludf.DUMMYFUNCTION("""COMPUTED_VALUE"""),1.1112138E7)</f>
        <v>11112138</v>
      </c>
      <c r="B347" s="148" t="str">
        <f>IFERROR(__xludf.DUMMYFUNCTION("""COMPUTED_VALUE"""),"2024科技节-装饰券宝箱")</f>
        <v>2024科技节-装饰券宝箱</v>
      </c>
      <c r="C347" s="148"/>
      <c r="D347" s="148" t="str">
        <f>IFERROR(__xludf.DUMMYFUNCTION("""COMPUTED_VALUE"""),"valentine_reward_box")</f>
        <v>valentine_reward_box</v>
      </c>
      <c r="E347" s="148">
        <f>IFERROR(__xludf.DUMMYFUNCTION("""COMPUTED_VALUE"""),19.0)</f>
        <v>19</v>
      </c>
      <c r="F347" s="148">
        <f>IFERROR(__xludf.DUMMYFUNCTION("""COMPUTED_VALUE"""),201101.0)</f>
        <v>201101</v>
      </c>
      <c r="G347" s="148">
        <f>IFERROR(__xludf.DUMMYFUNCTION("""COMPUTED_VALUE"""),1.5118225E7)</f>
        <v>15118225</v>
      </c>
      <c r="H347" s="148">
        <f>IFERROR(__xludf.DUMMYFUNCTION("""COMPUTED_VALUE"""),1.5112564E7)</f>
        <v>15112564</v>
      </c>
      <c r="I347" s="148" t="str">
        <f>IFERROR(__xludf.DUMMYFUNCTION("""COMPUTED_VALUE"""),"{}")</f>
        <v>{}</v>
      </c>
      <c r="J347" s="148" t="str">
        <f>IFERROR(__xludf.DUMMYFUNCTION("""COMPUTED_VALUE"""),"{""typ"":""lc"",""txt"":""LC_ITEM_sci_fes_box_name""}")</f>
        <v>{"typ":"lc","txt":"LC_ITEM_sci_fes_box_name"}</v>
      </c>
      <c r="K347" s="148" t="str">
        <f>IFERROR(__xludf.DUMMYFUNCTION("""COMPUTED_VALUE"""),"{""typ"":""lc"",""txt"":""LC_ITEM_fes_box_desc""}")</f>
        <v>{"typ":"lc","txt":"LC_ITEM_fes_box_desc"}</v>
      </c>
      <c r="L347" s="148" t="str">
        <f>IFERROR(__xludf.DUMMYFUNCTION("""COMPUTED_VALUE"""),"{""typ"":""lc"",""txt"":""LC_ITEM_horde_elite_box_usedtip""}")</f>
        <v>{"typ":"lc","txt":"LC_ITEM_horde_elite_box_usedtip"}</v>
      </c>
      <c r="M347" s="148">
        <f>IFERROR(__xludf.DUMMYFUNCTION("""COMPUTED_VALUE"""),40.0)</f>
        <v>40</v>
      </c>
      <c r="N347" s="148">
        <f>IFERROR(__xludf.DUMMYFUNCTION("""COMPUTED_VALUE"""),999999.0)</f>
        <v>999999</v>
      </c>
      <c r="O347" s="148">
        <f>IFERROR(__xludf.DUMMYFUNCTION("""COMPUTED_VALUE"""),99999.0)</f>
        <v>99999</v>
      </c>
      <c r="P347" s="148">
        <f>IFERROR(__xludf.DUMMYFUNCTION("""COMPUTED_VALUE"""),99999.0)</f>
        <v>99999</v>
      </c>
      <c r="Q347" s="148" t="str">
        <f>IFERROR(__xludf.DUMMYFUNCTION("""COMPUTED_VALUE"""),"[""bag_other""]")</f>
        <v>["bag_other"]</v>
      </c>
      <c r="R347" s="148" t="str">
        <f>IFERROR(__xludf.DUMMYFUNCTION("""COMPUTED_VALUE"""),"[""bag""]")</f>
        <v>["bag"]</v>
      </c>
      <c r="S347" s="148" t="str">
        <f>IFERROR(__xludf.DUMMYFUNCTION("""COMPUTED_VALUE"""),"{""drop"":{""typ"":""single_random"",""num"":1,""args"":[{""typ"":""item"",""id"":11112030,""num"":1000,""wgt"":19980},{""typ"":""item"",""id"":11112030,""num"":200,""wgt"":120000},{""typ"":""item"",""id"":11112030,""num"":50,""wgt"":200000},{""typ"":""it"&amp;"em"",""id"":11111344,""num"":1,""wgt"":10},{""typ"":""item"",""id"":11112131,""num"":1,""wgt"":10},{""typ"":""item"",""id"":11112030,""num"":20,""wgt"":400000},{""typ"":""item"",""id"":11112030,""num"":100,""wgt"":200000},{""typ"":""item"",""id"":11112030"&amp;",""num"":400,""wgt"":60000}]}}")</f>
        <v>{"drop":{"typ":"single_random","num":1,"args":[{"typ":"item","id":11112030,"num":1000,"wgt":19980},{"typ":"item","id":11112030,"num":200,"wgt":120000},{"typ":"item","id":11112030,"num":50,"wgt":200000},{"typ":"item","id":11111344,"num":1,"wgt":10},{"typ":"item","id":11112131,"num":1,"wgt":10},{"typ":"item","id":11112030,"num":20,"wgt":400000},{"typ":"item","id":11112030,"num":100,"wgt":200000},{"typ":"item","id":11112030,"num":400,"wgt":60000}]}}</v>
      </c>
      <c r="T347" s="148">
        <f>IFERROR(__xludf.DUMMYFUNCTION("""COMPUTED_VALUE"""),-1.0)</f>
        <v>-1</v>
      </c>
      <c r="U347" s="148">
        <f>IFERROR(__xludf.DUMMYFUNCTION("""COMPUTED_VALUE"""),0.0)</f>
        <v>0</v>
      </c>
      <c r="V347" s="148" t="str">
        <f>IFERROR(__xludf.DUMMYFUNCTION("""COMPUTED_VALUE"""),"[]")</f>
        <v>[]</v>
      </c>
      <c r="W347" s="148">
        <f>IFERROR(__xludf.DUMMYFUNCTION("""COMPUTED_VALUE"""),1.174E7)</f>
        <v>11740000</v>
      </c>
      <c r="X347" s="148">
        <f>IFERROR(__xludf.DUMMYFUNCTION("""COMPUTED_VALUE"""),0.0)</f>
        <v>0</v>
      </c>
      <c r="Y347" s="148">
        <f>IFERROR(__xludf.DUMMYFUNCTION("""COMPUTED_VALUE"""),0.0)</f>
        <v>0</v>
      </c>
      <c r="Z347" s="148"/>
    </row>
    <row r="348">
      <c r="A348" s="148">
        <f>IFERROR(__xludf.DUMMYFUNCTION("""COMPUTED_VALUE"""),1.1112139E7)</f>
        <v>11112139</v>
      </c>
      <c r="B348" s="148" t="str">
        <f>IFERROR(__xludf.DUMMYFUNCTION("""COMPUTED_VALUE"""),"科技节拼图-头部天线")</f>
        <v>科技节拼图-头部天线</v>
      </c>
      <c r="C348" s="148"/>
      <c r="D348" s="148" t="str">
        <f>IFERROR(__xludf.DUMMYFUNCTION("""COMPUTED_VALUE"""),"event")</f>
        <v>event</v>
      </c>
      <c r="E348" s="148">
        <f>IFERROR(__xludf.DUMMYFUNCTION("""COMPUTED_VALUE"""),0.0)</f>
        <v>0</v>
      </c>
      <c r="F348" s="148">
        <f>IFERROR(__xludf.DUMMYFUNCTION("""COMPUTED_VALUE"""),405217.0)</f>
        <v>405217</v>
      </c>
      <c r="G348" s="148">
        <f>IFERROR(__xludf.DUMMYFUNCTION("""COMPUTED_VALUE"""),1.5119227E7)</f>
        <v>15119227</v>
      </c>
      <c r="H348" s="148">
        <f>IFERROR(__xludf.DUMMYFUNCTION("""COMPUTED_VALUE"""),1.5112563E7)</f>
        <v>15112563</v>
      </c>
      <c r="I348" s="148" t="str">
        <f>IFERROR(__xludf.DUMMYFUNCTION("""COMPUTED_VALUE"""),"{}")</f>
        <v>{}</v>
      </c>
      <c r="J348" s="148" t="str">
        <f>IFERROR(__xludf.DUMMYFUNCTION("""COMPUTED_VALUE"""),"{""typ"":""lc"",""txt"":""LC_EVENT_science_puzzel_unlock_puzzel""}")</f>
        <v>{"typ":"lc","txt":"LC_EVENT_science_puzzel_unlock_puzzel"}</v>
      </c>
      <c r="K348" s="148" t="str">
        <f>IFERROR(__xludf.DUMMYFUNCTION("""COMPUTED_VALUE"""),"{""typ"":""lc"",""txt"":""LC_EVENT_science_coin_unlock_desc""}")</f>
        <v>{"typ":"lc","txt":"LC_EVENT_science_coin_unlock_desc"}</v>
      </c>
      <c r="L348" s="148" t="str">
        <f>IFERROR(__xludf.DUMMYFUNCTION("""COMPUTED_VALUE"""),"{}")</f>
        <v>{}</v>
      </c>
      <c r="M348" s="148">
        <f>IFERROR(__xludf.DUMMYFUNCTION("""COMPUTED_VALUE"""),35.0)</f>
        <v>35</v>
      </c>
      <c r="N348" s="148">
        <f>IFERROR(__xludf.DUMMYFUNCTION("""COMPUTED_VALUE"""),999999.0)</f>
        <v>999999</v>
      </c>
      <c r="O348" s="148">
        <f>IFERROR(__xludf.DUMMYFUNCTION("""COMPUTED_VALUE"""),99999.0)</f>
        <v>99999</v>
      </c>
      <c r="P348" s="148">
        <f>IFERROR(__xludf.DUMMYFUNCTION("""COMPUTED_VALUE"""),99999.0)</f>
        <v>99999</v>
      </c>
      <c r="Q348" s="148" t="str">
        <f>IFERROR(__xludf.DUMMYFUNCTION("""COMPUTED_VALUE"""),"[]")</f>
        <v>[]</v>
      </c>
      <c r="R348" s="148" t="str">
        <f>IFERROR(__xludf.DUMMYFUNCTION("""COMPUTED_VALUE"""),"[]")</f>
        <v>[]</v>
      </c>
      <c r="S348" s="148" t="str">
        <f>IFERROR(__xludf.DUMMYFUNCTION("""COMPUTED_VALUE"""),"{}")</f>
        <v>{}</v>
      </c>
      <c r="T348" s="148">
        <f>IFERROR(__xludf.DUMMYFUNCTION("""COMPUTED_VALUE"""),-1.0)</f>
        <v>-1</v>
      </c>
      <c r="U348" s="148">
        <f>IFERROR(__xludf.DUMMYFUNCTION("""COMPUTED_VALUE"""),0.0)</f>
        <v>0</v>
      </c>
      <c r="V348" s="148" t="str">
        <f>IFERROR(__xludf.DUMMYFUNCTION("""COMPUTED_VALUE"""),"[]")</f>
        <v>[]</v>
      </c>
      <c r="W348" s="148">
        <f>IFERROR(__xludf.DUMMYFUNCTION("""COMPUTED_VALUE"""),1.174E7)</f>
        <v>11740000</v>
      </c>
      <c r="X348" s="148">
        <f>IFERROR(__xludf.DUMMYFUNCTION("""COMPUTED_VALUE"""),0.0)</f>
        <v>0</v>
      </c>
      <c r="Y348" s="148">
        <f>IFERROR(__xludf.DUMMYFUNCTION("""COMPUTED_VALUE"""),0.0)</f>
        <v>0</v>
      </c>
      <c r="Z348" s="148"/>
    </row>
    <row r="349">
      <c r="A349" s="148">
        <f>IFERROR(__xludf.DUMMYFUNCTION("""COMPUTED_VALUE"""),1.111214E7)</f>
        <v>11112140</v>
      </c>
      <c r="B349" s="148" t="str">
        <f>IFERROR(__xludf.DUMMYFUNCTION("""COMPUTED_VALUE"""),"科技节拼图-左眼睛")</f>
        <v>科技节拼图-左眼睛</v>
      </c>
      <c r="C349" s="148"/>
      <c r="D349" s="148" t="str">
        <f>IFERROR(__xludf.DUMMYFUNCTION("""COMPUTED_VALUE"""),"event")</f>
        <v>event</v>
      </c>
      <c r="E349" s="148">
        <f>IFERROR(__xludf.DUMMYFUNCTION("""COMPUTED_VALUE"""),0.0)</f>
        <v>0</v>
      </c>
      <c r="F349" s="148">
        <f>IFERROR(__xludf.DUMMYFUNCTION("""COMPUTED_VALUE"""),405217.0)</f>
        <v>405217</v>
      </c>
      <c r="G349" s="148">
        <f>IFERROR(__xludf.DUMMYFUNCTION("""COMPUTED_VALUE"""),1.5119228E7)</f>
        <v>15119228</v>
      </c>
      <c r="H349" s="148">
        <f>IFERROR(__xludf.DUMMYFUNCTION("""COMPUTED_VALUE"""),1.5112563E7)</f>
        <v>15112563</v>
      </c>
      <c r="I349" s="148" t="str">
        <f>IFERROR(__xludf.DUMMYFUNCTION("""COMPUTED_VALUE"""),"{}")</f>
        <v>{}</v>
      </c>
      <c r="J349" s="148" t="str">
        <f>IFERROR(__xludf.DUMMYFUNCTION("""COMPUTED_VALUE"""),"{""typ"":""lc"",""txt"":""LC_EVENT_science_puzzel_unlock_puzzel""}")</f>
        <v>{"typ":"lc","txt":"LC_EVENT_science_puzzel_unlock_puzzel"}</v>
      </c>
      <c r="K349" s="148" t="str">
        <f>IFERROR(__xludf.DUMMYFUNCTION("""COMPUTED_VALUE"""),"{""typ"":""lc"",""txt"":""LC_EVENT_science_coin_unlock_desc""}")</f>
        <v>{"typ":"lc","txt":"LC_EVENT_science_coin_unlock_desc"}</v>
      </c>
      <c r="L349" s="148" t="str">
        <f>IFERROR(__xludf.DUMMYFUNCTION("""COMPUTED_VALUE"""),"{}")</f>
        <v>{}</v>
      </c>
      <c r="M349" s="148">
        <f>IFERROR(__xludf.DUMMYFUNCTION("""COMPUTED_VALUE"""),35.0)</f>
        <v>35</v>
      </c>
      <c r="N349" s="148">
        <f>IFERROR(__xludf.DUMMYFUNCTION("""COMPUTED_VALUE"""),999999.0)</f>
        <v>999999</v>
      </c>
      <c r="O349" s="148">
        <f>IFERROR(__xludf.DUMMYFUNCTION("""COMPUTED_VALUE"""),99999.0)</f>
        <v>99999</v>
      </c>
      <c r="P349" s="148">
        <f>IFERROR(__xludf.DUMMYFUNCTION("""COMPUTED_VALUE"""),99999.0)</f>
        <v>99999</v>
      </c>
      <c r="Q349" s="148" t="str">
        <f>IFERROR(__xludf.DUMMYFUNCTION("""COMPUTED_VALUE"""),"[]")</f>
        <v>[]</v>
      </c>
      <c r="R349" s="148" t="str">
        <f>IFERROR(__xludf.DUMMYFUNCTION("""COMPUTED_VALUE"""),"[]")</f>
        <v>[]</v>
      </c>
      <c r="S349" s="148" t="str">
        <f>IFERROR(__xludf.DUMMYFUNCTION("""COMPUTED_VALUE"""),"{}")</f>
        <v>{}</v>
      </c>
      <c r="T349" s="148">
        <f>IFERROR(__xludf.DUMMYFUNCTION("""COMPUTED_VALUE"""),-1.0)</f>
        <v>-1</v>
      </c>
      <c r="U349" s="148">
        <f>IFERROR(__xludf.DUMMYFUNCTION("""COMPUTED_VALUE"""),0.0)</f>
        <v>0</v>
      </c>
      <c r="V349" s="148" t="str">
        <f>IFERROR(__xludf.DUMMYFUNCTION("""COMPUTED_VALUE"""),"[]")</f>
        <v>[]</v>
      </c>
      <c r="W349" s="148">
        <f>IFERROR(__xludf.DUMMYFUNCTION("""COMPUTED_VALUE"""),1.174E7)</f>
        <v>11740000</v>
      </c>
      <c r="X349" s="148">
        <f>IFERROR(__xludf.DUMMYFUNCTION("""COMPUTED_VALUE"""),0.0)</f>
        <v>0</v>
      </c>
      <c r="Y349" s="148">
        <f>IFERROR(__xludf.DUMMYFUNCTION("""COMPUTED_VALUE"""),0.0)</f>
        <v>0</v>
      </c>
      <c r="Z349" s="148"/>
    </row>
    <row r="350">
      <c r="A350" s="148">
        <f>IFERROR(__xludf.DUMMYFUNCTION("""COMPUTED_VALUE"""),1.1112141E7)</f>
        <v>11112141</v>
      </c>
      <c r="B350" s="148" t="str">
        <f>IFERROR(__xludf.DUMMYFUNCTION("""COMPUTED_VALUE"""),"科技节拼图-右眼睛")</f>
        <v>科技节拼图-右眼睛</v>
      </c>
      <c r="C350" s="148"/>
      <c r="D350" s="148" t="str">
        <f>IFERROR(__xludf.DUMMYFUNCTION("""COMPUTED_VALUE"""),"event")</f>
        <v>event</v>
      </c>
      <c r="E350" s="148">
        <f>IFERROR(__xludf.DUMMYFUNCTION("""COMPUTED_VALUE"""),0.0)</f>
        <v>0</v>
      </c>
      <c r="F350" s="148">
        <f>IFERROR(__xludf.DUMMYFUNCTION("""COMPUTED_VALUE"""),405217.0)</f>
        <v>405217</v>
      </c>
      <c r="G350" s="148">
        <f>IFERROR(__xludf.DUMMYFUNCTION("""COMPUTED_VALUE"""),1.5119229E7)</f>
        <v>15119229</v>
      </c>
      <c r="H350" s="148">
        <f>IFERROR(__xludf.DUMMYFUNCTION("""COMPUTED_VALUE"""),1.5112563E7)</f>
        <v>15112563</v>
      </c>
      <c r="I350" s="148" t="str">
        <f>IFERROR(__xludf.DUMMYFUNCTION("""COMPUTED_VALUE"""),"{}")</f>
        <v>{}</v>
      </c>
      <c r="J350" s="148" t="str">
        <f>IFERROR(__xludf.DUMMYFUNCTION("""COMPUTED_VALUE"""),"{""typ"":""lc"",""txt"":""LC_EVENT_science_puzzel_unlock_puzzel""}")</f>
        <v>{"typ":"lc","txt":"LC_EVENT_science_puzzel_unlock_puzzel"}</v>
      </c>
      <c r="K350" s="148" t="str">
        <f>IFERROR(__xludf.DUMMYFUNCTION("""COMPUTED_VALUE"""),"{""typ"":""lc"",""txt"":""LC_EVENT_science_coin_unlock_desc""}")</f>
        <v>{"typ":"lc","txt":"LC_EVENT_science_coin_unlock_desc"}</v>
      </c>
      <c r="L350" s="148" t="str">
        <f>IFERROR(__xludf.DUMMYFUNCTION("""COMPUTED_VALUE"""),"{}")</f>
        <v>{}</v>
      </c>
      <c r="M350" s="148">
        <f>IFERROR(__xludf.DUMMYFUNCTION("""COMPUTED_VALUE"""),35.0)</f>
        <v>35</v>
      </c>
      <c r="N350" s="148">
        <f>IFERROR(__xludf.DUMMYFUNCTION("""COMPUTED_VALUE"""),999999.0)</f>
        <v>999999</v>
      </c>
      <c r="O350" s="148">
        <f>IFERROR(__xludf.DUMMYFUNCTION("""COMPUTED_VALUE"""),99999.0)</f>
        <v>99999</v>
      </c>
      <c r="P350" s="148">
        <f>IFERROR(__xludf.DUMMYFUNCTION("""COMPUTED_VALUE"""),99999.0)</f>
        <v>99999</v>
      </c>
      <c r="Q350" s="148" t="str">
        <f>IFERROR(__xludf.DUMMYFUNCTION("""COMPUTED_VALUE"""),"[]")</f>
        <v>[]</v>
      </c>
      <c r="R350" s="148" t="str">
        <f>IFERROR(__xludf.DUMMYFUNCTION("""COMPUTED_VALUE"""),"[]")</f>
        <v>[]</v>
      </c>
      <c r="S350" s="148" t="str">
        <f>IFERROR(__xludf.DUMMYFUNCTION("""COMPUTED_VALUE"""),"{}")</f>
        <v>{}</v>
      </c>
      <c r="T350" s="148">
        <f>IFERROR(__xludf.DUMMYFUNCTION("""COMPUTED_VALUE"""),-1.0)</f>
        <v>-1</v>
      </c>
      <c r="U350" s="148">
        <f>IFERROR(__xludf.DUMMYFUNCTION("""COMPUTED_VALUE"""),0.0)</f>
        <v>0</v>
      </c>
      <c r="V350" s="148" t="str">
        <f>IFERROR(__xludf.DUMMYFUNCTION("""COMPUTED_VALUE"""),"[]")</f>
        <v>[]</v>
      </c>
      <c r="W350" s="148">
        <f>IFERROR(__xludf.DUMMYFUNCTION("""COMPUTED_VALUE"""),1.174E7)</f>
        <v>11740000</v>
      </c>
      <c r="X350" s="148">
        <f>IFERROR(__xludf.DUMMYFUNCTION("""COMPUTED_VALUE"""),0.0)</f>
        <v>0</v>
      </c>
      <c r="Y350" s="148">
        <f>IFERROR(__xludf.DUMMYFUNCTION("""COMPUTED_VALUE"""),0.0)</f>
        <v>0</v>
      </c>
      <c r="Z350" s="148"/>
    </row>
    <row r="351">
      <c r="A351" s="148">
        <f>IFERROR(__xludf.DUMMYFUNCTION("""COMPUTED_VALUE"""),1.1112142E7)</f>
        <v>11112142</v>
      </c>
      <c r="B351" s="148" t="str">
        <f>IFERROR(__xludf.DUMMYFUNCTION("""COMPUTED_VALUE"""),"科技节拼图-左轮胎")</f>
        <v>科技节拼图-左轮胎</v>
      </c>
      <c r="C351" s="148"/>
      <c r="D351" s="148" t="str">
        <f>IFERROR(__xludf.DUMMYFUNCTION("""COMPUTED_VALUE"""),"event")</f>
        <v>event</v>
      </c>
      <c r="E351" s="148">
        <f>IFERROR(__xludf.DUMMYFUNCTION("""COMPUTED_VALUE"""),0.0)</f>
        <v>0</v>
      </c>
      <c r="F351" s="148">
        <f>IFERROR(__xludf.DUMMYFUNCTION("""COMPUTED_VALUE"""),405217.0)</f>
        <v>405217</v>
      </c>
      <c r="G351" s="148">
        <f>IFERROR(__xludf.DUMMYFUNCTION("""COMPUTED_VALUE"""),1.511923E7)</f>
        <v>15119230</v>
      </c>
      <c r="H351" s="148">
        <f>IFERROR(__xludf.DUMMYFUNCTION("""COMPUTED_VALUE"""),1.5112563E7)</f>
        <v>15112563</v>
      </c>
      <c r="I351" s="148" t="str">
        <f>IFERROR(__xludf.DUMMYFUNCTION("""COMPUTED_VALUE"""),"{}")</f>
        <v>{}</v>
      </c>
      <c r="J351" s="148" t="str">
        <f>IFERROR(__xludf.DUMMYFUNCTION("""COMPUTED_VALUE"""),"{""typ"":""lc"",""txt"":""LC_EVENT_science_puzzel_unlock_puzzel""}")</f>
        <v>{"typ":"lc","txt":"LC_EVENT_science_puzzel_unlock_puzzel"}</v>
      </c>
      <c r="K351" s="148" t="str">
        <f>IFERROR(__xludf.DUMMYFUNCTION("""COMPUTED_VALUE"""),"{""typ"":""lc"",""txt"":""LC_EVENT_science_coin_unlock_desc""}")</f>
        <v>{"typ":"lc","txt":"LC_EVENT_science_coin_unlock_desc"}</v>
      </c>
      <c r="L351" s="148" t="str">
        <f>IFERROR(__xludf.DUMMYFUNCTION("""COMPUTED_VALUE"""),"{}")</f>
        <v>{}</v>
      </c>
      <c r="M351" s="148">
        <f>IFERROR(__xludf.DUMMYFUNCTION("""COMPUTED_VALUE"""),35.0)</f>
        <v>35</v>
      </c>
      <c r="N351" s="148">
        <f>IFERROR(__xludf.DUMMYFUNCTION("""COMPUTED_VALUE"""),999999.0)</f>
        <v>999999</v>
      </c>
      <c r="O351" s="148">
        <f>IFERROR(__xludf.DUMMYFUNCTION("""COMPUTED_VALUE"""),99999.0)</f>
        <v>99999</v>
      </c>
      <c r="P351" s="148">
        <f>IFERROR(__xludf.DUMMYFUNCTION("""COMPUTED_VALUE"""),99999.0)</f>
        <v>99999</v>
      </c>
      <c r="Q351" s="148" t="str">
        <f>IFERROR(__xludf.DUMMYFUNCTION("""COMPUTED_VALUE"""),"[]")</f>
        <v>[]</v>
      </c>
      <c r="R351" s="148" t="str">
        <f>IFERROR(__xludf.DUMMYFUNCTION("""COMPUTED_VALUE"""),"[]")</f>
        <v>[]</v>
      </c>
      <c r="S351" s="148" t="str">
        <f>IFERROR(__xludf.DUMMYFUNCTION("""COMPUTED_VALUE"""),"{}")</f>
        <v>{}</v>
      </c>
      <c r="T351" s="148">
        <f>IFERROR(__xludf.DUMMYFUNCTION("""COMPUTED_VALUE"""),-1.0)</f>
        <v>-1</v>
      </c>
      <c r="U351" s="148">
        <f>IFERROR(__xludf.DUMMYFUNCTION("""COMPUTED_VALUE"""),0.0)</f>
        <v>0</v>
      </c>
      <c r="V351" s="148" t="str">
        <f>IFERROR(__xludf.DUMMYFUNCTION("""COMPUTED_VALUE"""),"[]")</f>
        <v>[]</v>
      </c>
      <c r="W351" s="148">
        <f>IFERROR(__xludf.DUMMYFUNCTION("""COMPUTED_VALUE"""),1.174E7)</f>
        <v>11740000</v>
      </c>
      <c r="X351" s="148">
        <f>IFERROR(__xludf.DUMMYFUNCTION("""COMPUTED_VALUE"""),0.0)</f>
        <v>0</v>
      </c>
      <c r="Y351" s="148">
        <f>IFERROR(__xludf.DUMMYFUNCTION("""COMPUTED_VALUE"""),0.0)</f>
        <v>0</v>
      </c>
      <c r="Z351" s="148"/>
    </row>
    <row r="352">
      <c r="A352" s="148">
        <f>IFERROR(__xludf.DUMMYFUNCTION("""COMPUTED_VALUE"""),1.1112143E7)</f>
        <v>11112143</v>
      </c>
      <c r="B352" s="148" t="str">
        <f>IFERROR(__xludf.DUMMYFUNCTION("""COMPUTED_VALUE"""),"科技节拼图-右轮胎")</f>
        <v>科技节拼图-右轮胎</v>
      </c>
      <c r="C352" s="148"/>
      <c r="D352" s="148" t="str">
        <f>IFERROR(__xludf.DUMMYFUNCTION("""COMPUTED_VALUE"""),"event")</f>
        <v>event</v>
      </c>
      <c r="E352" s="148">
        <f>IFERROR(__xludf.DUMMYFUNCTION("""COMPUTED_VALUE"""),0.0)</f>
        <v>0</v>
      </c>
      <c r="F352" s="148">
        <f>IFERROR(__xludf.DUMMYFUNCTION("""COMPUTED_VALUE"""),405217.0)</f>
        <v>405217</v>
      </c>
      <c r="G352" s="148">
        <f>IFERROR(__xludf.DUMMYFUNCTION("""COMPUTED_VALUE"""),1.5119231E7)</f>
        <v>15119231</v>
      </c>
      <c r="H352" s="148">
        <f>IFERROR(__xludf.DUMMYFUNCTION("""COMPUTED_VALUE"""),1.5112563E7)</f>
        <v>15112563</v>
      </c>
      <c r="I352" s="148" t="str">
        <f>IFERROR(__xludf.DUMMYFUNCTION("""COMPUTED_VALUE"""),"{}")</f>
        <v>{}</v>
      </c>
      <c r="J352" s="148" t="str">
        <f>IFERROR(__xludf.DUMMYFUNCTION("""COMPUTED_VALUE"""),"{""typ"":""lc"",""txt"":""LC_EVENT_science_puzzel_unlock_puzzel""}")</f>
        <v>{"typ":"lc","txt":"LC_EVENT_science_puzzel_unlock_puzzel"}</v>
      </c>
      <c r="K352" s="148" t="str">
        <f>IFERROR(__xludf.DUMMYFUNCTION("""COMPUTED_VALUE"""),"{""typ"":""lc"",""txt"":""LC_EVENT_science_coin_unlock_desc""}")</f>
        <v>{"typ":"lc","txt":"LC_EVENT_science_coin_unlock_desc"}</v>
      </c>
      <c r="L352" s="148" t="str">
        <f>IFERROR(__xludf.DUMMYFUNCTION("""COMPUTED_VALUE"""),"{}")</f>
        <v>{}</v>
      </c>
      <c r="M352" s="148">
        <f>IFERROR(__xludf.DUMMYFUNCTION("""COMPUTED_VALUE"""),35.0)</f>
        <v>35</v>
      </c>
      <c r="N352" s="148">
        <f>IFERROR(__xludf.DUMMYFUNCTION("""COMPUTED_VALUE"""),999999.0)</f>
        <v>999999</v>
      </c>
      <c r="O352" s="148">
        <f>IFERROR(__xludf.DUMMYFUNCTION("""COMPUTED_VALUE"""),99999.0)</f>
        <v>99999</v>
      </c>
      <c r="P352" s="148">
        <f>IFERROR(__xludf.DUMMYFUNCTION("""COMPUTED_VALUE"""),99999.0)</f>
        <v>99999</v>
      </c>
      <c r="Q352" s="148" t="str">
        <f>IFERROR(__xludf.DUMMYFUNCTION("""COMPUTED_VALUE"""),"[]")</f>
        <v>[]</v>
      </c>
      <c r="R352" s="148" t="str">
        <f>IFERROR(__xludf.DUMMYFUNCTION("""COMPUTED_VALUE"""),"[]")</f>
        <v>[]</v>
      </c>
      <c r="S352" s="148" t="str">
        <f>IFERROR(__xludf.DUMMYFUNCTION("""COMPUTED_VALUE"""),"{}")</f>
        <v>{}</v>
      </c>
      <c r="T352" s="148">
        <f>IFERROR(__xludf.DUMMYFUNCTION("""COMPUTED_VALUE"""),-1.0)</f>
        <v>-1</v>
      </c>
      <c r="U352" s="148">
        <f>IFERROR(__xludf.DUMMYFUNCTION("""COMPUTED_VALUE"""),0.0)</f>
        <v>0</v>
      </c>
      <c r="V352" s="148" t="str">
        <f>IFERROR(__xludf.DUMMYFUNCTION("""COMPUTED_VALUE"""),"[]")</f>
        <v>[]</v>
      </c>
      <c r="W352" s="148">
        <f>IFERROR(__xludf.DUMMYFUNCTION("""COMPUTED_VALUE"""),1.174E7)</f>
        <v>11740000</v>
      </c>
      <c r="X352" s="148">
        <f>IFERROR(__xludf.DUMMYFUNCTION("""COMPUTED_VALUE"""),0.0)</f>
        <v>0</v>
      </c>
      <c r="Y352" s="148">
        <f>IFERROR(__xludf.DUMMYFUNCTION("""COMPUTED_VALUE"""),0.0)</f>
        <v>0</v>
      </c>
      <c r="Z352" s="148"/>
    </row>
    <row r="353">
      <c r="A353" s="148">
        <f>IFERROR(__xludf.DUMMYFUNCTION("""COMPUTED_VALUE"""),1.1112144E7)</f>
        <v>11112144</v>
      </c>
      <c r="B353" s="148" t="str">
        <f>IFERROR(__xludf.DUMMYFUNCTION("""COMPUTED_VALUE"""),"科技节拼图-钥匙孔")</f>
        <v>科技节拼图-钥匙孔</v>
      </c>
      <c r="C353" s="148"/>
      <c r="D353" s="148" t="str">
        <f>IFERROR(__xludf.DUMMYFUNCTION("""COMPUTED_VALUE"""),"event")</f>
        <v>event</v>
      </c>
      <c r="E353" s="148">
        <f>IFERROR(__xludf.DUMMYFUNCTION("""COMPUTED_VALUE"""),0.0)</f>
        <v>0</v>
      </c>
      <c r="F353" s="148">
        <f>IFERROR(__xludf.DUMMYFUNCTION("""COMPUTED_VALUE"""),405217.0)</f>
        <v>405217</v>
      </c>
      <c r="G353" s="148">
        <f>IFERROR(__xludf.DUMMYFUNCTION("""COMPUTED_VALUE"""),1.5119232E7)</f>
        <v>15119232</v>
      </c>
      <c r="H353" s="148">
        <f>IFERROR(__xludf.DUMMYFUNCTION("""COMPUTED_VALUE"""),1.5112563E7)</f>
        <v>15112563</v>
      </c>
      <c r="I353" s="148" t="str">
        <f>IFERROR(__xludf.DUMMYFUNCTION("""COMPUTED_VALUE"""),"{}")</f>
        <v>{}</v>
      </c>
      <c r="J353" s="148" t="str">
        <f>IFERROR(__xludf.DUMMYFUNCTION("""COMPUTED_VALUE"""),"{""typ"":""lc"",""txt"":""LC_EVENT_science_puzzel_unlock_puzzel""}")</f>
        <v>{"typ":"lc","txt":"LC_EVENT_science_puzzel_unlock_puzzel"}</v>
      </c>
      <c r="K353" s="148" t="str">
        <f>IFERROR(__xludf.DUMMYFUNCTION("""COMPUTED_VALUE"""),"{""typ"":""lc"",""txt"":""LC_EVENT_science_coin_unlock_desc""}")</f>
        <v>{"typ":"lc","txt":"LC_EVENT_science_coin_unlock_desc"}</v>
      </c>
      <c r="L353" s="148" t="str">
        <f>IFERROR(__xludf.DUMMYFUNCTION("""COMPUTED_VALUE"""),"{}")</f>
        <v>{}</v>
      </c>
      <c r="M353" s="148">
        <f>IFERROR(__xludf.DUMMYFUNCTION("""COMPUTED_VALUE"""),35.0)</f>
        <v>35</v>
      </c>
      <c r="N353" s="148">
        <f>IFERROR(__xludf.DUMMYFUNCTION("""COMPUTED_VALUE"""),999999.0)</f>
        <v>999999</v>
      </c>
      <c r="O353" s="148">
        <f>IFERROR(__xludf.DUMMYFUNCTION("""COMPUTED_VALUE"""),99999.0)</f>
        <v>99999</v>
      </c>
      <c r="P353" s="148">
        <f>IFERROR(__xludf.DUMMYFUNCTION("""COMPUTED_VALUE"""),99999.0)</f>
        <v>99999</v>
      </c>
      <c r="Q353" s="148" t="str">
        <f>IFERROR(__xludf.DUMMYFUNCTION("""COMPUTED_VALUE"""),"[]")</f>
        <v>[]</v>
      </c>
      <c r="R353" s="148" t="str">
        <f>IFERROR(__xludf.DUMMYFUNCTION("""COMPUTED_VALUE"""),"[]")</f>
        <v>[]</v>
      </c>
      <c r="S353" s="148" t="str">
        <f>IFERROR(__xludf.DUMMYFUNCTION("""COMPUTED_VALUE"""),"{}")</f>
        <v>{}</v>
      </c>
      <c r="T353" s="148">
        <f>IFERROR(__xludf.DUMMYFUNCTION("""COMPUTED_VALUE"""),-1.0)</f>
        <v>-1</v>
      </c>
      <c r="U353" s="148">
        <f>IFERROR(__xludf.DUMMYFUNCTION("""COMPUTED_VALUE"""),0.0)</f>
        <v>0</v>
      </c>
      <c r="V353" s="148" t="str">
        <f>IFERROR(__xludf.DUMMYFUNCTION("""COMPUTED_VALUE"""),"[]")</f>
        <v>[]</v>
      </c>
      <c r="W353" s="148">
        <f>IFERROR(__xludf.DUMMYFUNCTION("""COMPUTED_VALUE"""),1.174E7)</f>
        <v>11740000</v>
      </c>
      <c r="X353" s="148">
        <f>IFERROR(__xludf.DUMMYFUNCTION("""COMPUTED_VALUE"""),0.0)</f>
        <v>0</v>
      </c>
      <c r="Y353" s="148">
        <f>IFERROR(__xludf.DUMMYFUNCTION("""COMPUTED_VALUE"""),0.0)</f>
        <v>0</v>
      </c>
      <c r="Z353" s="148"/>
    </row>
    <row r="354">
      <c r="A354" s="148">
        <f>IFERROR(__xludf.DUMMYFUNCTION("""COMPUTED_VALUE"""),1.1112145E7)</f>
        <v>11112145</v>
      </c>
      <c r="B354" s="148" t="str">
        <f>IFERROR(__xludf.DUMMYFUNCTION("""COMPUTED_VALUE"""),"科技节拼图-脸部")</f>
        <v>科技节拼图-脸部</v>
      </c>
      <c r="C354" s="148"/>
      <c r="D354" s="148" t="str">
        <f>IFERROR(__xludf.DUMMYFUNCTION("""COMPUTED_VALUE"""),"event")</f>
        <v>event</v>
      </c>
      <c r="E354" s="148">
        <f>IFERROR(__xludf.DUMMYFUNCTION("""COMPUTED_VALUE"""),0.0)</f>
        <v>0</v>
      </c>
      <c r="F354" s="148">
        <f>IFERROR(__xludf.DUMMYFUNCTION("""COMPUTED_VALUE"""),405217.0)</f>
        <v>405217</v>
      </c>
      <c r="G354" s="148">
        <f>IFERROR(__xludf.DUMMYFUNCTION("""COMPUTED_VALUE"""),1.5119233E7)</f>
        <v>15119233</v>
      </c>
      <c r="H354" s="148">
        <f>IFERROR(__xludf.DUMMYFUNCTION("""COMPUTED_VALUE"""),1.5112563E7)</f>
        <v>15112563</v>
      </c>
      <c r="I354" s="148" t="str">
        <f>IFERROR(__xludf.DUMMYFUNCTION("""COMPUTED_VALUE"""),"{}")</f>
        <v>{}</v>
      </c>
      <c r="J354" s="148" t="str">
        <f>IFERROR(__xludf.DUMMYFUNCTION("""COMPUTED_VALUE"""),"{""typ"":""lc"",""txt"":""LC_EVENT_science_puzzel_unlock_puzzel""}")</f>
        <v>{"typ":"lc","txt":"LC_EVENT_science_puzzel_unlock_puzzel"}</v>
      </c>
      <c r="K354" s="148" t="str">
        <f>IFERROR(__xludf.DUMMYFUNCTION("""COMPUTED_VALUE"""),"{""typ"":""lc"",""txt"":""LC_EVENT_science_coin_unlock_desc""}")</f>
        <v>{"typ":"lc","txt":"LC_EVENT_science_coin_unlock_desc"}</v>
      </c>
      <c r="L354" s="148" t="str">
        <f>IFERROR(__xludf.DUMMYFUNCTION("""COMPUTED_VALUE"""),"{}")</f>
        <v>{}</v>
      </c>
      <c r="M354" s="148">
        <f>IFERROR(__xludf.DUMMYFUNCTION("""COMPUTED_VALUE"""),35.0)</f>
        <v>35</v>
      </c>
      <c r="N354" s="148">
        <f>IFERROR(__xludf.DUMMYFUNCTION("""COMPUTED_VALUE"""),999999.0)</f>
        <v>999999</v>
      </c>
      <c r="O354" s="148">
        <f>IFERROR(__xludf.DUMMYFUNCTION("""COMPUTED_VALUE"""),99999.0)</f>
        <v>99999</v>
      </c>
      <c r="P354" s="148">
        <f>IFERROR(__xludf.DUMMYFUNCTION("""COMPUTED_VALUE"""),99999.0)</f>
        <v>99999</v>
      </c>
      <c r="Q354" s="148" t="str">
        <f>IFERROR(__xludf.DUMMYFUNCTION("""COMPUTED_VALUE"""),"[]")</f>
        <v>[]</v>
      </c>
      <c r="R354" s="148" t="str">
        <f>IFERROR(__xludf.DUMMYFUNCTION("""COMPUTED_VALUE"""),"[]")</f>
        <v>[]</v>
      </c>
      <c r="S354" s="148" t="str">
        <f>IFERROR(__xludf.DUMMYFUNCTION("""COMPUTED_VALUE"""),"{}")</f>
        <v>{}</v>
      </c>
      <c r="T354" s="148">
        <f>IFERROR(__xludf.DUMMYFUNCTION("""COMPUTED_VALUE"""),-1.0)</f>
        <v>-1</v>
      </c>
      <c r="U354" s="148">
        <f>IFERROR(__xludf.DUMMYFUNCTION("""COMPUTED_VALUE"""),0.0)</f>
        <v>0</v>
      </c>
      <c r="V354" s="148" t="str">
        <f>IFERROR(__xludf.DUMMYFUNCTION("""COMPUTED_VALUE"""),"[]")</f>
        <v>[]</v>
      </c>
      <c r="W354" s="148">
        <f>IFERROR(__xludf.DUMMYFUNCTION("""COMPUTED_VALUE"""),1.174E7)</f>
        <v>11740000</v>
      </c>
      <c r="X354" s="148">
        <f>IFERROR(__xludf.DUMMYFUNCTION("""COMPUTED_VALUE"""),0.0)</f>
        <v>0</v>
      </c>
      <c r="Y354" s="148">
        <f>IFERROR(__xludf.DUMMYFUNCTION("""COMPUTED_VALUE"""),0.0)</f>
        <v>0</v>
      </c>
      <c r="Z354" s="148"/>
    </row>
    <row r="355">
      <c r="A355" s="148">
        <f>IFERROR(__xludf.DUMMYFUNCTION("""COMPUTED_VALUE"""),1.1112146E7)</f>
        <v>11112146</v>
      </c>
      <c r="B355" s="148" t="str">
        <f>IFERROR(__xludf.DUMMYFUNCTION("""COMPUTED_VALUE"""),"科技节拼图-头部框架")</f>
        <v>科技节拼图-头部框架</v>
      </c>
      <c r="C355" s="148"/>
      <c r="D355" s="148" t="str">
        <f>IFERROR(__xludf.DUMMYFUNCTION("""COMPUTED_VALUE"""),"event")</f>
        <v>event</v>
      </c>
      <c r="E355" s="148">
        <f>IFERROR(__xludf.DUMMYFUNCTION("""COMPUTED_VALUE"""),0.0)</f>
        <v>0</v>
      </c>
      <c r="F355" s="148">
        <f>IFERROR(__xludf.DUMMYFUNCTION("""COMPUTED_VALUE"""),405217.0)</f>
        <v>405217</v>
      </c>
      <c r="G355" s="148">
        <f>IFERROR(__xludf.DUMMYFUNCTION("""COMPUTED_VALUE"""),1.5119234E7)</f>
        <v>15119234</v>
      </c>
      <c r="H355" s="148">
        <f>IFERROR(__xludf.DUMMYFUNCTION("""COMPUTED_VALUE"""),1.5112563E7)</f>
        <v>15112563</v>
      </c>
      <c r="I355" s="148" t="str">
        <f>IFERROR(__xludf.DUMMYFUNCTION("""COMPUTED_VALUE"""),"{}")</f>
        <v>{}</v>
      </c>
      <c r="J355" s="148" t="str">
        <f>IFERROR(__xludf.DUMMYFUNCTION("""COMPUTED_VALUE"""),"{""typ"":""lc"",""txt"":""LC_EVENT_science_puzzel_unlock_puzzel""}")</f>
        <v>{"typ":"lc","txt":"LC_EVENT_science_puzzel_unlock_puzzel"}</v>
      </c>
      <c r="K355" s="148" t="str">
        <f>IFERROR(__xludf.DUMMYFUNCTION("""COMPUTED_VALUE"""),"{""typ"":""lc"",""txt"":""LC_EVENT_science_coin_unlock_desc""}")</f>
        <v>{"typ":"lc","txt":"LC_EVENT_science_coin_unlock_desc"}</v>
      </c>
      <c r="L355" s="148" t="str">
        <f>IFERROR(__xludf.DUMMYFUNCTION("""COMPUTED_VALUE"""),"{}")</f>
        <v>{}</v>
      </c>
      <c r="M355" s="148">
        <f>IFERROR(__xludf.DUMMYFUNCTION("""COMPUTED_VALUE"""),35.0)</f>
        <v>35</v>
      </c>
      <c r="N355" s="148">
        <f>IFERROR(__xludf.DUMMYFUNCTION("""COMPUTED_VALUE"""),999999.0)</f>
        <v>999999</v>
      </c>
      <c r="O355" s="148">
        <f>IFERROR(__xludf.DUMMYFUNCTION("""COMPUTED_VALUE"""),99999.0)</f>
        <v>99999</v>
      </c>
      <c r="P355" s="148">
        <f>IFERROR(__xludf.DUMMYFUNCTION("""COMPUTED_VALUE"""),99999.0)</f>
        <v>99999</v>
      </c>
      <c r="Q355" s="148" t="str">
        <f>IFERROR(__xludf.DUMMYFUNCTION("""COMPUTED_VALUE"""),"[]")</f>
        <v>[]</v>
      </c>
      <c r="R355" s="148" t="str">
        <f>IFERROR(__xludf.DUMMYFUNCTION("""COMPUTED_VALUE"""),"[]")</f>
        <v>[]</v>
      </c>
      <c r="S355" s="148" t="str">
        <f>IFERROR(__xludf.DUMMYFUNCTION("""COMPUTED_VALUE"""),"{}")</f>
        <v>{}</v>
      </c>
      <c r="T355" s="148">
        <f>IFERROR(__xludf.DUMMYFUNCTION("""COMPUTED_VALUE"""),-1.0)</f>
        <v>-1</v>
      </c>
      <c r="U355" s="148">
        <f>IFERROR(__xludf.DUMMYFUNCTION("""COMPUTED_VALUE"""),0.0)</f>
        <v>0</v>
      </c>
      <c r="V355" s="148" t="str">
        <f>IFERROR(__xludf.DUMMYFUNCTION("""COMPUTED_VALUE"""),"[]")</f>
        <v>[]</v>
      </c>
      <c r="W355" s="148">
        <f>IFERROR(__xludf.DUMMYFUNCTION("""COMPUTED_VALUE"""),1.174E7)</f>
        <v>11740000</v>
      </c>
      <c r="X355" s="148">
        <f>IFERROR(__xludf.DUMMYFUNCTION("""COMPUTED_VALUE"""),0.0)</f>
        <v>0</v>
      </c>
      <c r="Y355" s="148">
        <f>IFERROR(__xludf.DUMMYFUNCTION("""COMPUTED_VALUE"""),0.0)</f>
        <v>0</v>
      </c>
      <c r="Z355" s="148"/>
    </row>
    <row r="356">
      <c r="A356" s="148">
        <f>IFERROR(__xludf.DUMMYFUNCTION("""COMPUTED_VALUE"""),1.1112147E7)</f>
        <v>11112147</v>
      </c>
      <c r="B356" s="148" t="str">
        <f>IFERROR(__xludf.DUMMYFUNCTION("""COMPUTED_VALUE"""),"科技节拼图-底座")</f>
        <v>科技节拼图-底座</v>
      </c>
      <c r="C356" s="148"/>
      <c r="D356" s="148" t="str">
        <f>IFERROR(__xludf.DUMMYFUNCTION("""COMPUTED_VALUE"""),"event")</f>
        <v>event</v>
      </c>
      <c r="E356" s="148">
        <f>IFERROR(__xludf.DUMMYFUNCTION("""COMPUTED_VALUE"""),0.0)</f>
        <v>0</v>
      </c>
      <c r="F356" s="148">
        <f>IFERROR(__xludf.DUMMYFUNCTION("""COMPUTED_VALUE"""),405217.0)</f>
        <v>405217</v>
      </c>
      <c r="G356" s="148">
        <f>IFERROR(__xludf.DUMMYFUNCTION("""COMPUTED_VALUE"""),1.5119235E7)</f>
        <v>15119235</v>
      </c>
      <c r="H356" s="148">
        <f>IFERROR(__xludf.DUMMYFUNCTION("""COMPUTED_VALUE"""),1.5112563E7)</f>
        <v>15112563</v>
      </c>
      <c r="I356" s="148" t="str">
        <f>IFERROR(__xludf.DUMMYFUNCTION("""COMPUTED_VALUE"""),"{}")</f>
        <v>{}</v>
      </c>
      <c r="J356" s="148" t="str">
        <f>IFERROR(__xludf.DUMMYFUNCTION("""COMPUTED_VALUE"""),"{""typ"":""lc"",""txt"":""LC_EVENT_science_puzzel_unlock_puzzel""}")</f>
        <v>{"typ":"lc","txt":"LC_EVENT_science_puzzel_unlock_puzzel"}</v>
      </c>
      <c r="K356" s="148" t="str">
        <f>IFERROR(__xludf.DUMMYFUNCTION("""COMPUTED_VALUE"""),"{""typ"":""lc"",""txt"":""LC_EVENT_science_coin_unlock_desc""}")</f>
        <v>{"typ":"lc","txt":"LC_EVENT_science_coin_unlock_desc"}</v>
      </c>
      <c r="L356" s="148" t="str">
        <f>IFERROR(__xludf.DUMMYFUNCTION("""COMPUTED_VALUE"""),"{}")</f>
        <v>{}</v>
      </c>
      <c r="M356" s="148">
        <f>IFERROR(__xludf.DUMMYFUNCTION("""COMPUTED_VALUE"""),35.0)</f>
        <v>35</v>
      </c>
      <c r="N356" s="148">
        <f>IFERROR(__xludf.DUMMYFUNCTION("""COMPUTED_VALUE"""),999999.0)</f>
        <v>999999</v>
      </c>
      <c r="O356" s="148">
        <f>IFERROR(__xludf.DUMMYFUNCTION("""COMPUTED_VALUE"""),99999.0)</f>
        <v>99999</v>
      </c>
      <c r="P356" s="148">
        <f>IFERROR(__xludf.DUMMYFUNCTION("""COMPUTED_VALUE"""),99999.0)</f>
        <v>99999</v>
      </c>
      <c r="Q356" s="148" t="str">
        <f>IFERROR(__xludf.DUMMYFUNCTION("""COMPUTED_VALUE"""),"[]")</f>
        <v>[]</v>
      </c>
      <c r="R356" s="148" t="str">
        <f>IFERROR(__xludf.DUMMYFUNCTION("""COMPUTED_VALUE"""),"[]")</f>
        <v>[]</v>
      </c>
      <c r="S356" s="148" t="str">
        <f>IFERROR(__xludf.DUMMYFUNCTION("""COMPUTED_VALUE"""),"{}")</f>
        <v>{}</v>
      </c>
      <c r="T356" s="148">
        <f>IFERROR(__xludf.DUMMYFUNCTION("""COMPUTED_VALUE"""),-1.0)</f>
        <v>-1</v>
      </c>
      <c r="U356" s="148">
        <f>IFERROR(__xludf.DUMMYFUNCTION("""COMPUTED_VALUE"""),0.0)</f>
        <v>0</v>
      </c>
      <c r="V356" s="148" t="str">
        <f>IFERROR(__xludf.DUMMYFUNCTION("""COMPUTED_VALUE"""),"[]")</f>
        <v>[]</v>
      </c>
      <c r="W356" s="148">
        <f>IFERROR(__xludf.DUMMYFUNCTION("""COMPUTED_VALUE"""),1.174E7)</f>
        <v>11740000</v>
      </c>
      <c r="X356" s="148">
        <f>IFERROR(__xludf.DUMMYFUNCTION("""COMPUTED_VALUE"""),0.0)</f>
        <v>0</v>
      </c>
      <c r="Y356" s="148">
        <f>IFERROR(__xludf.DUMMYFUNCTION("""COMPUTED_VALUE"""),0.0)</f>
        <v>0</v>
      </c>
      <c r="Z356" s="148"/>
    </row>
    <row r="357">
      <c r="A357" s="148">
        <f>IFERROR(__xludf.DUMMYFUNCTION("""COMPUTED_VALUE"""),1.1112148E7)</f>
        <v>11112148</v>
      </c>
      <c r="B357" s="148" t="str">
        <f>IFERROR(__xludf.DUMMYFUNCTION("""COMPUTED_VALUE"""),"2024拓荒节BattlePass-初级通行证")</f>
        <v>2024拓荒节BattlePass-初级通行证</v>
      </c>
      <c r="C357" s="148"/>
      <c r="D357" s="148" t="str">
        <f>IFERROR(__xludf.DUMMYFUNCTION("""COMPUTED_VALUE"""),"battle_pass_card")</f>
        <v>battle_pass_card</v>
      </c>
      <c r="E357" s="148">
        <f>IFERROR(__xludf.DUMMYFUNCTION("""COMPUTED_VALUE"""),0.0)</f>
        <v>0</v>
      </c>
      <c r="F357" s="148">
        <f>IFERROR(__xludf.DUMMYFUNCTION("""COMPUTED_VALUE"""),0.0)</f>
        <v>0</v>
      </c>
      <c r="G357" s="148">
        <f>IFERROR(__xludf.DUMMYFUNCTION("""COMPUTED_VALUE"""),1.5116173E7)</f>
        <v>15116173</v>
      </c>
      <c r="H357" s="148">
        <f>IFERROR(__xludf.DUMMYFUNCTION("""COMPUTED_VALUE"""),1.5112563E7)</f>
        <v>15112563</v>
      </c>
      <c r="I357" s="148" t="str">
        <f>IFERROR(__xludf.DUMMYFUNCTION("""COMPUTED_VALUE"""),"{}")</f>
        <v>{}</v>
      </c>
      <c r="J357" s="148" t="str">
        <f>IFERROR(__xludf.DUMMYFUNCTION("""COMPUTED_VALUE"""),"{""typ"":""lc"",""txt"":""LC_IAP_labor_unlock_pack_1""}")</f>
        <v>{"typ":"lc","txt":"LC_IAP_labor_unlock_pack_1"}</v>
      </c>
      <c r="K357" s="148" t="str">
        <f>IFERROR(__xludf.DUMMYFUNCTION("""COMPUTED_VALUE"""),"{}")</f>
        <v>{}</v>
      </c>
      <c r="L357" s="148" t="str">
        <f>IFERROR(__xludf.DUMMYFUNCTION("""COMPUTED_VALUE"""),"{}")</f>
        <v>{}</v>
      </c>
      <c r="M357" s="148">
        <f>IFERROR(__xludf.DUMMYFUNCTION("""COMPUTED_VALUE"""),10.0)</f>
        <v>10</v>
      </c>
      <c r="N357" s="148">
        <f>IFERROR(__xludf.DUMMYFUNCTION("""COMPUTED_VALUE"""),999999.0)</f>
        <v>999999</v>
      </c>
      <c r="O357" s="148">
        <f>IFERROR(__xludf.DUMMYFUNCTION("""COMPUTED_VALUE"""),99999.0)</f>
        <v>99999</v>
      </c>
      <c r="P357" s="148">
        <f>IFERROR(__xludf.DUMMYFUNCTION("""COMPUTED_VALUE"""),9999.0)</f>
        <v>9999</v>
      </c>
      <c r="Q357" s="148" t="str">
        <f>IFERROR(__xludf.DUMMYFUNCTION("""COMPUTED_VALUE"""),"[]")</f>
        <v>[]</v>
      </c>
      <c r="R357" s="148" t="str">
        <f>IFERROR(__xludf.DUMMYFUNCTION("""COMPUTED_VALUE"""),"[]")</f>
        <v>[]</v>
      </c>
      <c r="S357" s="148" t="str">
        <f>IFERROR(__xludf.DUMMYFUNCTION("""COMPUTED_VALUE"""),"{}")</f>
        <v>{}</v>
      </c>
      <c r="T357" s="148">
        <f>IFERROR(__xludf.DUMMYFUNCTION("""COMPUTED_VALUE"""),-1.0)</f>
        <v>-1</v>
      </c>
      <c r="U357" s="148">
        <f>IFERROR(__xludf.DUMMYFUNCTION("""COMPUTED_VALUE"""),1.0)</f>
        <v>1</v>
      </c>
      <c r="V357" s="148" t="str">
        <f>IFERROR(__xludf.DUMMYFUNCTION("""COMPUTED_VALUE"""),"[]")</f>
        <v>[]</v>
      </c>
      <c r="W357" s="148">
        <f>IFERROR(__xludf.DUMMYFUNCTION("""COMPUTED_VALUE"""),1.174E7)</f>
        <v>11740000</v>
      </c>
      <c r="X357" s="148">
        <f>IFERROR(__xludf.DUMMYFUNCTION("""COMPUTED_VALUE"""),0.0)</f>
        <v>0</v>
      </c>
      <c r="Y357" s="148">
        <f>IFERROR(__xludf.DUMMYFUNCTION("""COMPUTED_VALUE"""),0.0)</f>
        <v>0</v>
      </c>
      <c r="Z357" s="148"/>
    </row>
    <row r="358">
      <c r="A358" s="148">
        <f>IFERROR(__xludf.DUMMYFUNCTION("""COMPUTED_VALUE"""),1.1112149E7)</f>
        <v>11112149</v>
      </c>
      <c r="B358" s="148" t="str">
        <f>IFERROR(__xludf.DUMMYFUNCTION("""COMPUTED_VALUE"""),"2024拓荒节BattlePass-高级通行证")</f>
        <v>2024拓荒节BattlePass-高级通行证</v>
      </c>
      <c r="C358" s="148"/>
      <c r="D358" s="148" t="str">
        <f>IFERROR(__xludf.DUMMYFUNCTION("""COMPUTED_VALUE"""),"battle_pass_card")</f>
        <v>battle_pass_card</v>
      </c>
      <c r="E358" s="148">
        <f>IFERROR(__xludf.DUMMYFUNCTION("""COMPUTED_VALUE"""),0.0)</f>
        <v>0</v>
      </c>
      <c r="F358" s="148">
        <f>IFERROR(__xludf.DUMMYFUNCTION("""COMPUTED_VALUE"""),0.0)</f>
        <v>0</v>
      </c>
      <c r="G358" s="148">
        <f>IFERROR(__xludf.DUMMYFUNCTION("""COMPUTED_VALUE"""),1.5116173E7)</f>
        <v>15116173</v>
      </c>
      <c r="H358" s="148">
        <f>IFERROR(__xludf.DUMMYFUNCTION("""COMPUTED_VALUE"""),1.5112564E7)</f>
        <v>15112564</v>
      </c>
      <c r="I358" s="148" t="str">
        <f>IFERROR(__xludf.DUMMYFUNCTION("""COMPUTED_VALUE"""),"{}")</f>
        <v>{}</v>
      </c>
      <c r="J358" s="148" t="str">
        <f>IFERROR(__xludf.DUMMYFUNCTION("""COMPUTED_VALUE"""),"{""typ"":""lc"",""txt"":""LC_IAP_labor_unlock_pack_2""}")</f>
        <v>{"typ":"lc","txt":"LC_IAP_labor_unlock_pack_2"}</v>
      </c>
      <c r="K358" s="148" t="str">
        <f>IFERROR(__xludf.DUMMYFUNCTION("""COMPUTED_VALUE"""),"{}")</f>
        <v>{}</v>
      </c>
      <c r="L358" s="148" t="str">
        <f>IFERROR(__xludf.DUMMYFUNCTION("""COMPUTED_VALUE"""),"{}")</f>
        <v>{}</v>
      </c>
      <c r="M358" s="148">
        <f>IFERROR(__xludf.DUMMYFUNCTION("""COMPUTED_VALUE"""),10.0)</f>
        <v>10</v>
      </c>
      <c r="N358" s="148">
        <f>IFERROR(__xludf.DUMMYFUNCTION("""COMPUTED_VALUE"""),999999.0)</f>
        <v>999999</v>
      </c>
      <c r="O358" s="148">
        <f>IFERROR(__xludf.DUMMYFUNCTION("""COMPUTED_VALUE"""),99999.0)</f>
        <v>99999</v>
      </c>
      <c r="P358" s="148">
        <f>IFERROR(__xludf.DUMMYFUNCTION("""COMPUTED_VALUE"""),9999.0)</f>
        <v>9999</v>
      </c>
      <c r="Q358" s="148" t="str">
        <f>IFERROR(__xludf.DUMMYFUNCTION("""COMPUTED_VALUE"""),"[]")</f>
        <v>[]</v>
      </c>
      <c r="R358" s="148" t="str">
        <f>IFERROR(__xludf.DUMMYFUNCTION("""COMPUTED_VALUE"""),"[]")</f>
        <v>[]</v>
      </c>
      <c r="S358" s="148" t="str">
        <f>IFERROR(__xludf.DUMMYFUNCTION("""COMPUTED_VALUE"""),"{}")</f>
        <v>{}</v>
      </c>
      <c r="T358" s="148">
        <f>IFERROR(__xludf.DUMMYFUNCTION("""COMPUTED_VALUE"""),-1.0)</f>
        <v>-1</v>
      </c>
      <c r="U358" s="148">
        <f>IFERROR(__xludf.DUMMYFUNCTION("""COMPUTED_VALUE"""),1.0)</f>
        <v>1</v>
      </c>
      <c r="V358" s="148" t="str">
        <f>IFERROR(__xludf.DUMMYFUNCTION("""COMPUTED_VALUE"""),"[]")</f>
        <v>[]</v>
      </c>
      <c r="W358" s="148">
        <f>IFERROR(__xludf.DUMMYFUNCTION("""COMPUTED_VALUE"""),1.174E7)</f>
        <v>11740000</v>
      </c>
      <c r="X358" s="148">
        <f>IFERROR(__xludf.DUMMYFUNCTION("""COMPUTED_VALUE"""),0.0)</f>
        <v>0</v>
      </c>
      <c r="Y358" s="148">
        <f>IFERROR(__xludf.DUMMYFUNCTION("""COMPUTED_VALUE"""),0.0)</f>
        <v>0</v>
      </c>
      <c r="Z358" s="148"/>
    </row>
    <row r="359">
      <c r="A359" s="148">
        <f>IFERROR(__xludf.DUMMYFUNCTION("""COMPUTED_VALUE"""),1.111215E7)</f>
        <v>11112150</v>
      </c>
      <c r="B359" s="148" t="str">
        <f>IFERROR(__xludf.DUMMYFUNCTION("""COMPUTED_VALUE"""),"纪念钻头-拓荒节通用BP活动道具")</f>
        <v>纪念钻头-拓荒节通用BP活动道具</v>
      </c>
      <c r="C359" s="148"/>
      <c r="D359" s="148" t="str">
        <f>IFERROR(__xludf.DUMMYFUNCTION("""COMPUTED_VALUE"""),"battle_pass_exp")</f>
        <v>battle_pass_exp</v>
      </c>
      <c r="E359" s="148">
        <f>IFERROR(__xludf.DUMMYFUNCTION("""COMPUTED_VALUE"""),0.0)</f>
        <v>0</v>
      </c>
      <c r="F359" s="148">
        <f>IFERROR(__xludf.DUMMYFUNCTION("""COMPUTED_VALUE"""),405217.0)</f>
        <v>405217</v>
      </c>
      <c r="G359" s="148">
        <f>IFERROR(__xludf.DUMMYFUNCTION("""COMPUTED_VALUE"""),1.5116173E7)</f>
        <v>15116173</v>
      </c>
      <c r="H359" s="148">
        <f>IFERROR(__xludf.DUMMYFUNCTION("""COMPUTED_VALUE"""),1.5112563E7)</f>
        <v>15112563</v>
      </c>
      <c r="I359" s="148" t="str">
        <f>IFERROR(__xludf.DUMMYFUNCTION("""COMPUTED_VALUE"""),"{}")</f>
        <v>{}</v>
      </c>
      <c r="J359" s="148" t="str">
        <f>IFERROR(__xludf.DUMMYFUNCTION("""COMPUTED_VALUE"""),"{""typ"":""lc"",""txt"":""LC_ITEM_labor_battlepass_event_item""}")</f>
        <v>{"typ":"lc","txt":"LC_ITEM_labor_battlepass_event_item"}</v>
      </c>
      <c r="K359" s="148" t="str">
        <f>IFERROR(__xludf.DUMMYFUNCTION("""COMPUTED_VALUE"""),"{""typ"":""lc"",""txt"":""LC_ITEM_labor_battlepass_event_item_desc""}")</f>
        <v>{"typ":"lc","txt":"LC_ITEM_labor_battlepass_event_item_desc"}</v>
      </c>
      <c r="L359" s="148" t="str">
        <f>IFERROR(__xludf.DUMMYFUNCTION("""COMPUTED_VALUE"""),"{}")</f>
        <v>{}</v>
      </c>
      <c r="M359" s="148">
        <f>IFERROR(__xludf.DUMMYFUNCTION("""COMPUTED_VALUE"""),35.0)</f>
        <v>35</v>
      </c>
      <c r="N359" s="148">
        <f>IFERROR(__xludf.DUMMYFUNCTION("""COMPUTED_VALUE"""),999999.0)</f>
        <v>999999</v>
      </c>
      <c r="O359" s="148">
        <f>IFERROR(__xludf.DUMMYFUNCTION("""COMPUTED_VALUE"""),99999.0)</f>
        <v>99999</v>
      </c>
      <c r="P359" s="148">
        <f>IFERROR(__xludf.DUMMYFUNCTION("""COMPUTED_VALUE"""),99999.0)</f>
        <v>99999</v>
      </c>
      <c r="Q359" s="148" t="str">
        <f>IFERROR(__xludf.DUMMYFUNCTION("""COMPUTED_VALUE"""),"[""bag_other""]")</f>
        <v>["bag_other"]</v>
      </c>
      <c r="R359" s="148" t="str">
        <f>IFERROR(__xludf.DUMMYFUNCTION("""COMPUTED_VALUE"""),"[""bag""]")</f>
        <v>["bag"]</v>
      </c>
      <c r="S359" s="148" t="str">
        <f>IFERROR(__xludf.DUMMYFUNCTION("""COMPUTED_VALUE"""),"{}")</f>
        <v>{}</v>
      </c>
      <c r="T359" s="148">
        <f>IFERROR(__xludf.DUMMYFUNCTION("""COMPUTED_VALUE"""),-1.0)</f>
        <v>-1</v>
      </c>
      <c r="U359" s="148">
        <f>IFERROR(__xludf.DUMMYFUNCTION("""COMPUTED_VALUE"""),0.0)</f>
        <v>0</v>
      </c>
      <c r="V359" s="148" t="str">
        <f>IFERROR(__xludf.DUMMYFUNCTION("""COMPUTED_VALUE"""),"[]")</f>
        <v>[]</v>
      </c>
      <c r="W359" s="148">
        <f>IFERROR(__xludf.DUMMYFUNCTION("""COMPUTED_VALUE"""),1.174E7)</f>
        <v>11740000</v>
      </c>
      <c r="X359" s="148">
        <f>IFERROR(__xludf.DUMMYFUNCTION("""COMPUTED_VALUE"""),0.0)</f>
        <v>0</v>
      </c>
      <c r="Y359" s="148">
        <f>IFERROR(__xludf.DUMMYFUNCTION("""COMPUTED_VALUE"""),0.0)</f>
        <v>0</v>
      </c>
      <c r="Z359" s="148"/>
    </row>
    <row r="360">
      <c r="A360" s="148">
        <f>IFERROR(__xludf.DUMMYFUNCTION("""COMPUTED_VALUE"""),1.1112151E7)</f>
        <v>11112151</v>
      </c>
      <c r="B360" s="148" t="str">
        <f>IFERROR(__xludf.DUMMYFUNCTION("""COMPUTED_VALUE"""),"拓荒节2024-7日箱子奖励")</f>
        <v>拓荒节2024-7日箱子奖励</v>
      </c>
      <c r="C360" s="148"/>
      <c r="D360" s="148" t="str">
        <f>IFERROR(__xludf.DUMMYFUNCTION("""COMPUTED_VALUE"""),"item_asset")</f>
        <v>item_asset</v>
      </c>
      <c r="E360" s="148">
        <f>IFERROR(__xludf.DUMMYFUNCTION("""COMPUTED_VALUE"""),19.0)</f>
        <v>19</v>
      </c>
      <c r="F360" s="148">
        <f>IFERROR(__xludf.DUMMYFUNCTION("""COMPUTED_VALUE"""),201101.0)</f>
        <v>201101</v>
      </c>
      <c r="G360" s="148">
        <f>IFERROR(__xludf.DUMMYFUNCTION("""COMPUTED_VALUE"""),1.5117141E7)</f>
        <v>15117141</v>
      </c>
      <c r="H360" s="148">
        <f>IFERROR(__xludf.DUMMYFUNCTION("""COMPUTED_VALUE"""),1.5112564E7)</f>
        <v>15112564</v>
      </c>
      <c r="I360" s="148" t="str">
        <f>IFERROR(__xludf.DUMMYFUNCTION("""COMPUTED_VALUE"""),"{}")</f>
        <v>{}</v>
      </c>
      <c r="J360" s="148" t="str">
        <f>IFERROR(__xludf.DUMMYFUNCTION("""COMPUTED_VALUE"""),"{""typ"":""lc"",""txt"":""LC_ITEM_seven_day_box_name""}")</f>
        <v>{"typ":"lc","txt":"LC_ITEM_seven_day_box_name"}</v>
      </c>
      <c r="K360" s="148" t="str">
        <f>IFERROR(__xludf.DUMMYFUNCTION("""COMPUTED_VALUE"""),"{""typ"":""lc"",""txt"":""LC_ITEM_seven_day_box_desc""}")</f>
        <v>{"typ":"lc","txt":"LC_ITEM_seven_day_box_desc"}</v>
      </c>
      <c r="L360" s="148" t="str">
        <f>IFERROR(__xludf.DUMMYFUNCTION("""COMPUTED_VALUE"""),"{""typ"":""lc"",""txt"":""LC_ITEM_horde_elite_box_usedtip""}")</f>
        <v>{"typ":"lc","txt":"LC_ITEM_horde_elite_box_usedtip"}</v>
      </c>
      <c r="M360" s="148">
        <f>IFERROR(__xludf.DUMMYFUNCTION("""COMPUTED_VALUE"""),40.0)</f>
        <v>40</v>
      </c>
      <c r="N360" s="148">
        <f>IFERROR(__xludf.DUMMYFUNCTION("""COMPUTED_VALUE"""),999999.0)</f>
        <v>999999</v>
      </c>
      <c r="O360" s="148">
        <f>IFERROR(__xludf.DUMMYFUNCTION("""COMPUTED_VALUE"""),99999.0)</f>
        <v>99999</v>
      </c>
      <c r="P360" s="148">
        <f>IFERROR(__xludf.DUMMYFUNCTION("""COMPUTED_VALUE"""),99999.0)</f>
        <v>99999</v>
      </c>
      <c r="Q360" s="148" t="str">
        <f>IFERROR(__xludf.DUMMYFUNCTION("""COMPUTED_VALUE"""),"[""bag_other""]")</f>
        <v>["bag_other"]</v>
      </c>
      <c r="R360" s="148" t="str">
        <f>IFERROR(__xludf.DUMMYFUNCTION("""COMPUTED_VALUE"""),"[""bag""]")</f>
        <v>["bag"]</v>
      </c>
      <c r="S360"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360" s="148">
        <f>IFERROR(__xludf.DUMMYFUNCTION("""COMPUTED_VALUE"""),-1.0)</f>
        <v>-1</v>
      </c>
      <c r="U360" s="148">
        <f>IFERROR(__xludf.DUMMYFUNCTION("""COMPUTED_VALUE"""),0.0)</f>
        <v>0</v>
      </c>
      <c r="V360" s="148" t="str">
        <f>IFERROR(__xludf.DUMMYFUNCTION("""COMPUTED_VALUE"""),"[]")</f>
        <v>[]</v>
      </c>
      <c r="W360" s="148">
        <f>IFERROR(__xludf.DUMMYFUNCTION("""COMPUTED_VALUE"""),1.174E7)</f>
        <v>11740000</v>
      </c>
      <c r="X360" s="148">
        <f>IFERROR(__xludf.DUMMYFUNCTION("""COMPUTED_VALUE"""),0.0)</f>
        <v>0</v>
      </c>
      <c r="Y360" s="148">
        <f>IFERROR(__xludf.DUMMYFUNCTION("""COMPUTED_VALUE"""),0.0)</f>
        <v>0</v>
      </c>
      <c r="Z360" s="148"/>
    </row>
    <row r="361">
      <c r="A361" s="148">
        <f>IFERROR(__xludf.DUMMYFUNCTION("""COMPUTED_VALUE"""),1.1112152E7)</f>
        <v>11112152</v>
      </c>
      <c r="B361" s="148" t="str">
        <f>IFERROR(__xludf.DUMMYFUNCTION("""COMPUTED_VALUE"""),"拓荒节2024活动-解锁宝箱礼包钥匙")</f>
        <v>拓荒节2024活动-解锁宝箱礼包钥匙</v>
      </c>
      <c r="C361" s="148"/>
      <c r="D361" s="148" t="str">
        <f>IFERROR(__xludf.DUMMYFUNCTION("""COMPUTED_VALUE"""),"event")</f>
        <v>event</v>
      </c>
      <c r="E361" s="148">
        <f>IFERROR(__xludf.DUMMYFUNCTION("""COMPUTED_VALUE"""),0.0)</f>
        <v>0</v>
      </c>
      <c r="F361" s="148">
        <f>IFERROR(__xludf.DUMMYFUNCTION("""COMPUTED_VALUE"""),0.0)</f>
        <v>0</v>
      </c>
      <c r="G361" s="148">
        <f>IFERROR(__xludf.DUMMYFUNCTION("""COMPUTED_VALUE"""),1.5117142E7)</f>
        <v>15117142</v>
      </c>
      <c r="H361" s="148">
        <f>IFERROR(__xludf.DUMMYFUNCTION("""COMPUTED_VALUE"""),1.5112564E7)</f>
        <v>15112564</v>
      </c>
      <c r="I361" s="148" t="str">
        <f>IFERROR(__xludf.DUMMYFUNCTION("""COMPUTED_VALUE"""),"{}")</f>
        <v>{}</v>
      </c>
      <c r="J361" s="148" t="str">
        <f>IFERROR(__xludf.DUMMYFUNCTION("""COMPUTED_VALUE"""),"{""typ"":""lc"",""txt"":""LC_ITEM_seven_day_box_key_name""}")</f>
        <v>{"typ":"lc","txt":"LC_ITEM_seven_day_box_key_name"}</v>
      </c>
      <c r="K361" s="148" t="str">
        <f>IFERROR(__xludf.DUMMYFUNCTION("""COMPUTED_VALUE"""),"{""typ"":""lc"",""txt"":""LC_ITEM_seven_day_box_key_desc""}")</f>
        <v>{"typ":"lc","txt":"LC_ITEM_seven_day_box_key_desc"}</v>
      </c>
      <c r="L361" s="148" t="str">
        <f>IFERROR(__xludf.DUMMYFUNCTION("""COMPUTED_VALUE"""),"{}")</f>
        <v>{}</v>
      </c>
      <c r="M361" s="148">
        <f>IFERROR(__xludf.DUMMYFUNCTION("""COMPUTED_VALUE"""),10.0)</f>
        <v>10</v>
      </c>
      <c r="N361" s="148">
        <f>IFERROR(__xludf.DUMMYFUNCTION("""COMPUTED_VALUE"""),999999.0)</f>
        <v>999999</v>
      </c>
      <c r="O361" s="148">
        <f>IFERROR(__xludf.DUMMYFUNCTION("""COMPUTED_VALUE"""),99999.0)</f>
        <v>99999</v>
      </c>
      <c r="P361" s="148">
        <f>IFERROR(__xludf.DUMMYFUNCTION("""COMPUTED_VALUE"""),9999.0)</f>
        <v>9999</v>
      </c>
      <c r="Q361" s="148" t="str">
        <f>IFERROR(__xludf.DUMMYFUNCTION("""COMPUTED_VALUE"""),"[""bag_other""]")</f>
        <v>["bag_other"]</v>
      </c>
      <c r="R361" s="148" t="str">
        <f>IFERROR(__xludf.DUMMYFUNCTION("""COMPUTED_VALUE"""),"[]")</f>
        <v>[]</v>
      </c>
      <c r="S361" s="148" t="str">
        <f>IFERROR(__xludf.DUMMYFUNCTION("""COMPUTED_VALUE"""),"{}")</f>
        <v>{}</v>
      </c>
      <c r="T361" s="148">
        <f>IFERROR(__xludf.DUMMYFUNCTION("""COMPUTED_VALUE"""),-1.0)</f>
        <v>-1</v>
      </c>
      <c r="U361" s="148">
        <f>IFERROR(__xludf.DUMMYFUNCTION("""COMPUTED_VALUE"""),0.0)</f>
        <v>0</v>
      </c>
      <c r="V361" s="148" t="str">
        <f>IFERROR(__xludf.DUMMYFUNCTION("""COMPUTED_VALUE"""),"[]")</f>
        <v>[]</v>
      </c>
      <c r="W361" s="148">
        <f>IFERROR(__xludf.DUMMYFUNCTION("""COMPUTED_VALUE"""),1.174E7)</f>
        <v>11740000</v>
      </c>
      <c r="X361" s="148">
        <f>IFERROR(__xludf.DUMMYFUNCTION("""COMPUTED_VALUE"""),0.0)</f>
        <v>0</v>
      </c>
      <c r="Y361" s="148">
        <f>IFERROR(__xludf.DUMMYFUNCTION("""COMPUTED_VALUE"""),0.0)</f>
        <v>0</v>
      </c>
      <c r="Z361" s="148"/>
    </row>
    <row r="362">
      <c r="A362" s="148">
        <f>IFERROR(__xludf.DUMMYFUNCTION("""COMPUTED_VALUE"""),1.1112153E7)</f>
        <v>11112153</v>
      </c>
      <c r="B362" s="148" t="str">
        <f>IFERROR(__xludf.DUMMYFUNCTION("""COMPUTED_VALUE"""),"拓荒节2024-7日活动宝箱-显示用")</f>
        <v>拓荒节2024-7日活动宝箱-显示用</v>
      </c>
      <c r="C362" s="148"/>
      <c r="D362" s="148" t="str">
        <f>IFERROR(__xludf.DUMMYFUNCTION("""COMPUTED_VALUE"""),"event")</f>
        <v>event</v>
      </c>
      <c r="E362" s="148">
        <f>IFERROR(__xludf.DUMMYFUNCTION("""COMPUTED_VALUE"""),0.0)</f>
        <v>0</v>
      </c>
      <c r="F362" s="148">
        <f>IFERROR(__xludf.DUMMYFUNCTION("""COMPUTED_VALUE"""),0.0)</f>
        <v>0</v>
      </c>
      <c r="G362" s="148">
        <f>IFERROR(__xludf.DUMMYFUNCTION("""COMPUTED_VALUE"""),1.5117141E7)</f>
        <v>15117141</v>
      </c>
      <c r="H362" s="148">
        <f>IFERROR(__xludf.DUMMYFUNCTION("""COMPUTED_VALUE"""),1.5112564E7)</f>
        <v>15112564</v>
      </c>
      <c r="I362" s="148" t="str">
        <f>IFERROR(__xludf.DUMMYFUNCTION("""COMPUTED_VALUE"""),"{}")</f>
        <v>{}</v>
      </c>
      <c r="J362" s="148" t="str">
        <f>IFERROR(__xludf.DUMMYFUNCTION("""COMPUTED_VALUE"""),"{""typ"":""lc"",""txt"":""LC_ITEM_seven_day_box_name""}")</f>
        <v>{"typ":"lc","txt":"LC_ITEM_seven_day_box_name"}</v>
      </c>
      <c r="K362" s="148" t="str">
        <f>IFERROR(__xludf.DUMMYFUNCTION("""COMPUTED_VALUE"""),"{""typ"":""lc"",""txt"":""LC_ITEM_seven_day_box_desc""}")</f>
        <v>{"typ":"lc","txt":"LC_ITEM_seven_day_box_desc"}</v>
      </c>
      <c r="L362" s="148" t="str">
        <f>IFERROR(__xludf.DUMMYFUNCTION("""COMPUTED_VALUE"""),"{}")</f>
        <v>{}</v>
      </c>
      <c r="M362" s="148">
        <f>IFERROR(__xludf.DUMMYFUNCTION("""COMPUTED_VALUE"""),1.0)</f>
        <v>1</v>
      </c>
      <c r="N362" s="148">
        <f>IFERROR(__xludf.DUMMYFUNCTION("""COMPUTED_VALUE"""),999999.0)</f>
        <v>999999</v>
      </c>
      <c r="O362" s="148">
        <f>IFERROR(__xludf.DUMMYFUNCTION("""COMPUTED_VALUE"""),99999.0)</f>
        <v>99999</v>
      </c>
      <c r="P362" s="148">
        <f>IFERROR(__xludf.DUMMYFUNCTION("""COMPUTED_VALUE"""),9999.0)</f>
        <v>9999</v>
      </c>
      <c r="Q362" s="148" t="str">
        <f>IFERROR(__xludf.DUMMYFUNCTION("""COMPUTED_VALUE"""),"[]")</f>
        <v>[]</v>
      </c>
      <c r="R362" s="148" t="str">
        <f>IFERROR(__xludf.DUMMYFUNCTION("""COMPUTED_VALUE"""),"[]")</f>
        <v>[]</v>
      </c>
      <c r="S362" s="148" t="str">
        <f>IFERROR(__xludf.DUMMYFUNCTION("""COMPUTED_VALUE"""),"{""effect"":[{""typ"":""miss_lost_reward""}]}")</f>
        <v>{"effect":[{"typ":"miss_lost_reward"}]}</v>
      </c>
      <c r="T362" s="148">
        <f>IFERROR(__xludf.DUMMYFUNCTION("""COMPUTED_VALUE"""),-1.0)</f>
        <v>-1</v>
      </c>
      <c r="U362" s="148">
        <f>IFERROR(__xludf.DUMMYFUNCTION("""COMPUTED_VALUE"""),1.0)</f>
        <v>1</v>
      </c>
      <c r="V362" s="148" t="str">
        <f>IFERROR(__xludf.DUMMYFUNCTION("""COMPUTED_VALUE"""),"[]")</f>
        <v>[]</v>
      </c>
      <c r="W362" s="148">
        <f>IFERROR(__xludf.DUMMYFUNCTION("""COMPUTED_VALUE"""),1.174E7)</f>
        <v>11740000</v>
      </c>
      <c r="X362" s="148">
        <f>IFERROR(__xludf.DUMMYFUNCTION("""COMPUTED_VALUE"""),0.0)</f>
        <v>0</v>
      </c>
      <c r="Y362" s="148">
        <f>IFERROR(__xludf.DUMMYFUNCTION("""COMPUTED_VALUE"""),0.0)</f>
        <v>0</v>
      </c>
      <c r="Z362" s="148"/>
    </row>
    <row r="363">
      <c r="A363" s="148">
        <f>IFERROR(__xludf.DUMMYFUNCTION("""COMPUTED_VALUE"""),1.1112154E7)</f>
        <v>11112154</v>
      </c>
      <c r="B363" s="148" t="str">
        <f>IFERROR(__xludf.DUMMYFUNCTION("""COMPUTED_VALUE"""),"2024拓荒节BattlePass-初级通行证-2")</f>
        <v>2024拓荒节BattlePass-初级通行证-2</v>
      </c>
      <c r="C363" s="148"/>
      <c r="D363" s="148" t="str">
        <f>IFERROR(__xludf.DUMMYFUNCTION("""COMPUTED_VALUE"""),"battle_pass_card")</f>
        <v>battle_pass_card</v>
      </c>
      <c r="E363" s="148">
        <f>IFERROR(__xludf.DUMMYFUNCTION("""COMPUTED_VALUE"""),0.0)</f>
        <v>0</v>
      </c>
      <c r="F363" s="148">
        <f>IFERROR(__xludf.DUMMYFUNCTION("""COMPUTED_VALUE"""),0.0)</f>
        <v>0</v>
      </c>
      <c r="G363" s="148">
        <f>IFERROR(__xludf.DUMMYFUNCTION("""COMPUTED_VALUE"""),1.5116173E7)</f>
        <v>15116173</v>
      </c>
      <c r="H363" s="148">
        <f>IFERROR(__xludf.DUMMYFUNCTION("""COMPUTED_VALUE"""),1.5112563E7)</f>
        <v>15112563</v>
      </c>
      <c r="I363" s="148" t="str">
        <f>IFERROR(__xludf.DUMMYFUNCTION("""COMPUTED_VALUE"""),"{}")</f>
        <v>{}</v>
      </c>
      <c r="J363" s="148" t="str">
        <f>IFERROR(__xludf.DUMMYFUNCTION("""COMPUTED_VALUE"""),"{""typ"":""lc"",""txt"":""LC_IAP_labor_unlock_pack_1""}")</f>
        <v>{"typ":"lc","txt":"LC_IAP_labor_unlock_pack_1"}</v>
      </c>
      <c r="K363" s="148" t="str">
        <f>IFERROR(__xludf.DUMMYFUNCTION("""COMPUTED_VALUE"""),"{}")</f>
        <v>{}</v>
      </c>
      <c r="L363" s="148" t="str">
        <f>IFERROR(__xludf.DUMMYFUNCTION("""COMPUTED_VALUE"""),"{}")</f>
        <v>{}</v>
      </c>
      <c r="M363" s="148">
        <f>IFERROR(__xludf.DUMMYFUNCTION("""COMPUTED_VALUE"""),10.0)</f>
        <v>10</v>
      </c>
      <c r="N363" s="148">
        <f>IFERROR(__xludf.DUMMYFUNCTION("""COMPUTED_VALUE"""),999999.0)</f>
        <v>999999</v>
      </c>
      <c r="O363" s="148">
        <f>IFERROR(__xludf.DUMMYFUNCTION("""COMPUTED_VALUE"""),99999.0)</f>
        <v>99999</v>
      </c>
      <c r="P363" s="148">
        <f>IFERROR(__xludf.DUMMYFUNCTION("""COMPUTED_VALUE"""),9999.0)</f>
        <v>9999</v>
      </c>
      <c r="Q363" s="148" t="str">
        <f>IFERROR(__xludf.DUMMYFUNCTION("""COMPUTED_VALUE"""),"[]")</f>
        <v>[]</v>
      </c>
      <c r="R363" s="148" t="str">
        <f>IFERROR(__xludf.DUMMYFUNCTION("""COMPUTED_VALUE"""),"[]")</f>
        <v>[]</v>
      </c>
      <c r="S363" s="148" t="str">
        <f>IFERROR(__xludf.DUMMYFUNCTION("""COMPUTED_VALUE"""),"{}")</f>
        <v>{}</v>
      </c>
      <c r="T363" s="148">
        <f>IFERROR(__xludf.DUMMYFUNCTION("""COMPUTED_VALUE"""),-1.0)</f>
        <v>-1</v>
      </c>
      <c r="U363" s="148">
        <f>IFERROR(__xludf.DUMMYFUNCTION("""COMPUTED_VALUE"""),1.0)</f>
        <v>1</v>
      </c>
      <c r="V363" s="148" t="str">
        <f>IFERROR(__xludf.DUMMYFUNCTION("""COMPUTED_VALUE"""),"[]")</f>
        <v>[]</v>
      </c>
      <c r="W363" s="148">
        <f>IFERROR(__xludf.DUMMYFUNCTION("""COMPUTED_VALUE"""),1.174E7)</f>
        <v>11740000</v>
      </c>
      <c r="X363" s="148">
        <f>IFERROR(__xludf.DUMMYFUNCTION("""COMPUTED_VALUE"""),0.0)</f>
        <v>0</v>
      </c>
      <c r="Y363" s="148">
        <f>IFERROR(__xludf.DUMMYFUNCTION("""COMPUTED_VALUE"""),0.0)</f>
        <v>0</v>
      </c>
      <c r="Z363" s="148"/>
    </row>
    <row r="364">
      <c r="A364" s="148">
        <f>IFERROR(__xludf.DUMMYFUNCTION("""COMPUTED_VALUE"""),1.1112155E7)</f>
        <v>11112155</v>
      </c>
      <c r="B364" s="148" t="str">
        <f>IFERROR(__xludf.DUMMYFUNCTION("""COMPUTED_VALUE"""),"2024拓荒节BattlePass-高级通行证-2")</f>
        <v>2024拓荒节BattlePass-高级通行证-2</v>
      </c>
      <c r="C364" s="148"/>
      <c r="D364" s="148" t="str">
        <f>IFERROR(__xludf.DUMMYFUNCTION("""COMPUTED_VALUE"""),"battle_pass_card")</f>
        <v>battle_pass_card</v>
      </c>
      <c r="E364" s="148">
        <f>IFERROR(__xludf.DUMMYFUNCTION("""COMPUTED_VALUE"""),0.0)</f>
        <v>0</v>
      </c>
      <c r="F364" s="148">
        <f>IFERROR(__xludf.DUMMYFUNCTION("""COMPUTED_VALUE"""),0.0)</f>
        <v>0</v>
      </c>
      <c r="G364" s="148">
        <f>IFERROR(__xludf.DUMMYFUNCTION("""COMPUTED_VALUE"""),1.5116173E7)</f>
        <v>15116173</v>
      </c>
      <c r="H364" s="148">
        <f>IFERROR(__xludf.DUMMYFUNCTION("""COMPUTED_VALUE"""),1.5112564E7)</f>
        <v>15112564</v>
      </c>
      <c r="I364" s="148" t="str">
        <f>IFERROR(__xludf.DUMMYFUNCTION("""COMPUTED_VALUE"""),"{}")</f>
        <v>{}</v>
      </c>
      <c r="J364" s="148" t="str">
        <f>IFERROR(__xludf.DUMMYFUNCTION("""COMPUTED_VALUE"""),"{""typ"":""lc"",""txt"":""LC_IAP_labor_unlock_pack_2""}")</f>
        <v>{"typ":"lc","txt":"LC_IAP_labor_unlock_pack_2"}</v>
      </c>
      <c r="K364" s="148" t="str">
        <f>IFERROR(__xludf.DUMMYFUNCTION("""COMPUTED_VALUE"""),"{}")</f>
        <v>{}</v>
      </c>
      <c r="L364" s="148" t="str">
        <f>IFERROR(__xludf.DUMMYFUNCTION("""COMPUTED_VALUE"""),"{}")</f>
        <v>{}</v>
      </c>
      <c r="M364" s="148">
        <f>IFERROR(__xludf.DUMMYFUNCTION("""COMPUTED_VALUE"""),10.0)</f>
        <v>10</v>
      </c>
      <c r="N364" s="148">
        <f>IFERROR(__xludf.DUMMYFUNCTION("""COMPUTED_VALUE"""),999999.0)</f>
        <v>999999</v>
      </c>
      <c r="O364" s="148">
        <f>IFERROR(__xludf.DUMMYFUNCTION("""COMPUTED_VALUE"""),99999.0)</f>
        <v>99999</v>
      </c>
      <c r="P364" s="148">
        <f>IFERROR(__xludf.DUMMYFUNCTION("""COMPUTED_VALUE"""),9999.0)</f>
        <v>9999</v>
      </c>
      <c r="Q364" s="148" t="str">
        <f>IFERROR(__xludf.DUMMYFUNCTION("""COMPUTED_VALUE"""),"[]")</f>
        <v>[]</v>
      </c>
      <c r="R364" s="148" t="str">
        <f>IFERROR(__xludf.DUMMYFUNCTION("""COMPUTED_VALUE"""),"[]")</f>
        <v>[]</v>
      </c>
      <c r="S364" s="148" t="str">
        <f>IFERROR(__xludf.DUMMYFUNCTION("""COMPUTED_VALUE"""),"{}")</f>
        <v>{}</v>
      </c>
      <c r="T364" s="148">
        <f>IFERROR(__xludf.DUMMYFUNCTION("""COMPUTED_VALUE"""),-1.0)</f>
        <v>-1</v>
      </c>
      <c r="U364" s="148">
        <f>IFERROR(__xludf.DUMMYFUNCTION("""COMPUTED_VALUE"""),1.0)</f>
        <v>1</v>
      </c>
      <c r="V364" s="148" t="str">
        <f>IFERROR(__xludf.DUMMYFUNCTION("""COMPUTED_VALUE"""),"[]")</f>
        <v>[]</v>
      </c>
      <c r="W364" s="148">
        <f>IFERROR(__xludf.DUMMYFUNCTION("""COMPUTED_VALUE"""),1.174E7)</f>
        <v>11740000</v>
      </c>
      <c r="X364" s="148">
        <f>IFERROR(__xludf.DUMMYFUNCTION("""COMPUTED_VALUE"""),0.0)</f>
        <v>0</v>
      </c>
      <c r="Y364" s="148">
        <f>IFERROR(__xludf.DUMMYFUNCTION("""COMPUTED_VALUE"""),0.0)</f>
        <v>0</v>
      </c>
      <c r="Z364" s="148"/>
    </row>
    <row r="365">
      <c r="A365" s="148">
        <f>IFERROR(__xludf.DUMMYFUNCTION("""COMPUTED_VALUE"""),1.1112156E7)</f>
        <v>11112156</v>
      </c>
      <c r="B365" s="148" t="str">
        <f>IFERROR(__xludf.DUMMYFUNCTION("""COMPUTED_VALUE"""),"2024拓荒节行军特效-淘金之梦-1天限时")</f>
        <v>2024拓荒节行军特效-淘金之梦-1天限时</v>
      </c>
      <c r="C365" s="148"/>
      <c r="D365" s="148" t="str">
        <f>IFERROR(__xludf.DUMMYFUNCTION("""COMPUTED_VALUE"""),"marching_effect")</f>
        <v>marching_effect</v>
      </c>
      <c r="E365" s="148">
        <f>IFERROR(__xludf.DUMMYFUNCTION("""COMPUTED_VALUE"""),0.0)</f>
        <v>0</v>
      </c>
      <c r="F365" s="148">
        <f>IFERROR(__xludf.DUMMYFUNCTION("""COMPUTED_VALUE"""),408200.0)</f>
        <v>408200</v>
      </c>
      <c r="G365" s="148">
        <f>IFERROR(__xludf.DUMMYFUNCTION("""COMPUTED_VALUE"""),1.5119315E7)</f>
        <v>15119315</v>
      </c>
      <c r="H365" s="148">
        <f>IFERROR(__xludf.DUMMYFUNCTION("""COMPUTED_VALUE"""),1.511256E7)</f>
        <v>15112560</v>
      </c>
      <c r="I365" s="148" t="str">
        <f>IFERROR(__xludf.DUMMYFUNCTION("""COMPUTED_VALUE"""),"{""typ"":""lc"",""txt"":""LC_ITEM_time_day_upper_show"",""args"":[{""typ"":""int_unit"",""val"":1}]}")</f>
        <v>{"typ":"lc","txt":"LC_ITEM_time_day_upper_show","args":[{"typ":"int_unit","val":1}]}</v>
      </c>
      <c r="J365" s="148" t="str">
        <f>IFERROR(__xludf.DUMMYFUNCTION("""COMPUTED_VALUE"""),"{""typ"":""lc"",""txt"":""LC_ITEM_labor_march_skin_2024""}")</f>
        <v>{"typ":"lc","txt":"LC_ITEM_labor_march_skin_2024"}</v>
      </c>
      <c r="K365" s="148" t="str">
        <f>IFERROR(__xludf.DUMMYFUNCTION("""COMPUTED_VALUE"""),"{""typ"":""lc"",""txt"":""LC_ITEM_labor_march_skin_2024_desc""}")</f>
        <v>{"typ":"lc","txt":"LC_ITEM_labor_march_skin_2024_desc"}</v>
      </c>
      <c r="L365" s="148" t="str">
        <f>IFERROR(__xludf.DUMMYFUNCTION("""COMPUTED_VALUE"""),"{""typ"":""lc"",""txt"":""LC_ITEM_labor_marcheffect_2024_usetip_2_1d""}")</f>
        <v>{"typ":"lc","txt":"LC_ITEM_labor_marcheffect_2024_usetip_2_1d"}</v>
      </c>
      <c r="M365" s="148">
        <f>IFERROR(__xludf.DUMMYFUNCTION("""COMPUTED_VALUE"""),50.0)</f>
        <v>50</v>
      </c>
      <c r="N365" s="148">
        <f>IFERROR(__xludf.DUMMYFUNCTION("""COMPUTED_VALUE"""),999999.0)</f>
        <v>999999</v>
      </c>
      <c r="O365" s="148">
        <f>IFERROR(__xludf.DUMMYFUNCTION("""COMPUTED_VALUE"""),99999.0)</f>
        <v>99999</v>
      </c>
      <c r="P365" s="148">
        <f>IFERROR(__xludf.DUMMYFUNCTION("""COMPUTED_VALUE"""),1.0)</f>
        <v>1</v>
      </c>
      <c r="Q365" s="148" t="str">
        <f>IFERROR(__xludf.DUMMYFUNCTION("""COMPUTED_VALUE"""),"[""bag_other""]")</f>
        <v>["bag_other"]</v>
      </c>
      <c r="R365" s="148" t="str">
        <f>IFERROR(__xludf.DUMMYFUNCTION("""COMPUTED_VALUE"""),"[""bag"",""13650120""]")</f>
        <v>["bag","13650120"]</v>
      </c>
      <c r="S365" s="148" t="str">
        <f>IFERROR(__xludf.DUMMYFUNCTION("""COMPUTED_VALUE"""),"{""effect"":[{""typ"":""marching_effect"",""id"":13650120,""val"":86400000},{""typ"":""vm"",""id"":11151001,""val"":50}]}")</f>
        <v>{"effect":[{"typ":"marching_effect","id":13650120,"val":86400000},{"typ":"vm","id":11151001,"val":50}]}</v>
      </c>
      <c r="T365" s="148">
        <f>IFERROR(__xludf.DUMMYFUNCTION("""COMPUTED_VALUE"""),-1.0)</f>
        <v>-1</v>
      </c>
      <c r="U365" s="148">
        <f>IFERROR(__xludf.DUMMYFUNCTION("""COMPUTED_VALUE"""),0.0)</f>
        <v>0</v>
      </c>
      <c r="V365" s="148" t="str">
        <f>IFERROR(__xludf.DUMMYFUNCTION("""COMPUTED_VALUE"""),"[]")</f>
        <v>[]</v>
      </c>
      <c r="W365" s="148">
        <f>IFERROR(__xludf.DUMMYFUNCTION("""COMPUTED_VALUE"""),1.174E7)</f>
        <v>11740000</v>
      </c>
      <c r="X365" s="148">
        <f>IFERROR(__xludf.DUMMYFUNCTION("""COMPUTED_VALUE"""),0.0)</f>
        <v>0</v>
      </c>
      <c r="Y365" s="148">
        <f>IFERROR(__xludf.DUMMYFUNCTION("""COMPUTED_VALUE"""),0.0)</f>
        <v>0</v>
      </c>
      <c r="Z365" s="148"/>
    </row>
    <row r="366">
      <c r="A366" s="148">
        <f>IFERROR(__xludf.DUMMYFUNCTION("""COMPUTED_VALUE"""),1.1112157E7)</f>
        <v>11112157</v>
      </c>
      <c r="B366" s="148" t="str">
        <f>IFERROR(__xludf.DUMMYFUNCTION("""COMPUTED_VALUE"""),"2024拓荒节行军特效-淘金之梦-3天限时")</f>
        <v>2024拓荒节行军特效-淘金之梦-3天限时</v>
      </c>
      <c r="C366" s="148"/>
      <c r="D366" s="148" t="str">
        <f>IFERROR(__xludf.DUMMYFUNCTION("""COMPUTED_VALUE"""),"marching_effect")</f>
        <v>marching_effect</v>
      </c>
      <c r="E366" s="148">
        <f>IFERROR(__xludf.DUMMYFUNCTION("""COMPUTED_VALUE"""),0.0)</f>
        <v>0</v>
      </c>
      <c r="F366" s="148">
        <f>IFERROR(__xludf.DUMMYFUNCTION("""COMPUTED_VALUE"""),408199.0)</f>
        <v>408199</v>
      </c>
      <c r="G366" s="148">
        <f>IFERROR(__xludf.DUMMYFUNCTION("""COMPUTED_VALUE"""),1.5119315E7)</f>
        <v>15119315</v>
      </c>
      <c r="H366" s="148">
        <f>IFERROR(__xludf.DUMMYFUNCTION("""COMPUTED_VALUE"""),1.5112561E7)</f>
        <v>15112561</v>
      </c>
      <c r="I366" s="148" t="str">
        <f>IFERROR(__xludf.DUMMYFUNCTION("""COMPUTED_VALUE"""),"{""typ"":""lc"",""txt"":""LC_ITEM_time_day_upper_show"",""args"":[{""typ"":""int_unit"",""val"":3}]}")</f>
        <v>{"typ":"lc","txt":"LC_ITEM_time_day_upper_show","args":[{"typ":"int_unit","val":3}]}</v>
      </c>
      <c r="J366" s="148" t="str">
        <f>IFERROR(__xludf.DUMMYFUNCTION("""COMPUTED_VALUE"""),"{""typ"":""lc"",""txt"":""LC_ITEM_labor_march_skin_2024""}")</f>
        <v>{"typ":"lc","txt":"LC_ITEM_labor_march_skin_2024"}</v>
      </c>
      <c r="K366" s="148" t="str">
        <f>IFERROR(__xludf.DUMMYFUNCTION("""COMPUTED_VALUE"""),"{""typ"":""lc"",""txt"":""LC_ITEM_labor_march_skin_2024_desc""}")</f>
        <v>{"typ":"lc","txt":"LC_ITEM_labor_march_skin_2024_desc"}</v>
      </c>
      <c r="L366" s="148" t="str">
        <f>IFERROR(__xludf.DUMMYFUNCTION("""COMPUTED_VALUE"""),"{""typ"":""lc"",""txt"":""LC_ITEM_labor_marcheffect_2024_usetip_2_3d""}")</f>
        <v>{"typ":"lc","txt":"LC_ITEM_labor_marcheffect_2024_usetip_2_3d"}</v>
      </c>
      <c r="M366" s="148">
        <f>IFERROR(__xludf.DUMMYFUNCTION("""COMPUTED_VALUE"""),200.0)</f>
        <v>200</v>
      </c>
      <c r="N366" s="148">
        <f>IFERROR(__xludf.DUMMYFUNCTION("""COMPUTED_VALUE"""),999999.0)</f>
        <v>999999</v>
      </c>
      <c r="O366" s="148">
        <f>IFERROR(__xludf.DUMMYFUNCTION("""COMPUTED_VALUE"""),99999.0)</f>
        <v>99999</v>
      </c>
      <c r="P366" s="148">
        <f>IFERROR(__xludf.DUMMYFUNCTION("""COMPUTED_VALUE"""),1.0)</f>
        <v>1</v>
      </c>
      <c r="Q366" s="148" t="str">
        <f>IFERROR(__xludf.DUMMYFUNCTION("""COMPUTED_VALUE"""),"[""bag_other""]")</f>
        <v>["bag_other"]</v>
      </c>
      <c r="R366" s="148" t="str">
        <f>IFERROR(__xludf.DUMMYFUNCTION("""COMPUTED_VALUE"""),"[""bag"",""13650120""]")</f>
        <v>["bag","13650120"]</v>
      </c>
      <c r="S366" s="148" t="str">
        <f>IFERROR(__xludf.DUMMYFUNCTION("""COMPUTED_VALUE"""),"{""effect"":[{""typ"":""marching_effect"",""id"":13650120,""val"":259200000},{""typ"":""vm"",""id"":11151001,""val"":200}]}")</f>
        <v>{"effect":[{"typ":"marching_effect","id":13650120,"val":259200000},{"typ":"vm","id":11151001,"val":200}]}</v>
      </c>
      <c r="T366" s="148">
        <f>IFERROR(__xludf.DUMMYFUNCTION("""COMPUTED_VALUE"""),-1.0)</f>
        <v>-1</v>
      </c>
      <c r="U366" s="148">
        <f>IFERROR(__xludf.DUMMYFUNCTION("""COMPUTED_VALUE"""),0.0)</f>
        <v>0</v>
      </c>
      <c r="V366" s="148" t="str">
        <f>IFERROR(__xludf.DUMMYFUNCTION("""COMPUTED_VALUE"""),"[]")</f>
        <v>[]</v>
      </c>
      <c r="W366" s="148">
        <f>IFERROR(__xludf.DUMMYFUNCTION("""COMPUTED_VALUE"""),1.174E7)</f>
        <v>11740000</v>
      </c>
      <c r="X366" s="148">
        <f>IFERROR(__xludf.DUMMYFUNCTION("""COMPUTED_VALUE"""),0.0)</f>
        <v>0</v>
      </c>
      <c r="Y366" s="148">
        <f>IFERROR(__xludf.DUMMYFUNCTION("""COMPUTED_VALUE"""),0.0)</f>
        <v>0</v>
      </c>
      <c r="Z366" s="148"/>
    </row>
    <row r="367">
      <c r="A367" s="148">
        <f>IFERROR(__xludf.DUMMYFUNCTION("""COMPUTED_VALUE"""),1.1112158E7)</f>
        <v>11112158</v>
      </c>
      <c r="B367" s="148" t="str">
        <f>IFERROR(__xludf.DUMMYFUNCTION("""COMPUTED_VALUE"""),"2024拓荒节行军特效-淘金之梦-7天限时")</f>
        <v>2024拓荒节行军特效-淘金之梦-7天限时</v>
      </c>
      <c r="C367" s="148"/>
      <c r="D367" s="148" t="str">
        <f>IFERROR(__xludf.DUMMYFUNCTION("""COMPUTED_VALUE"""),"marching_effect")</f>
        <v>marching_effect</v>
      </c>
      <c r="E367" s="148">
        <f>IFERROR(__xludf.DUMMYFUNCTION("""COMPUTED_VALUE"""),0.0)</f>
        <v>0</v>
      </c>
      <c r="F367" s="148">
        <f>IFERROR(__xludf.DUMMYFUNCTION("""COMPUTED_VALUE"""),408198.0)</f>
        <v>408198</v>
      </c>
      <c r="G367" s="148">
        <f>IFERROR(__xludf.DUMMYFUNCTION("""COMPUTED_VALUE"""),1.5119315E7)</f>
        <v>15119315</v>
      </c>
      <c r="H367" s="148">
        <f>IFERROR(__xludf.DUMMYFUNCTION("""COMPUTED_VALUE"""),1.5112562E7)</f>
        <v>15112562</v>
      </c>
      <c r="I367" s="148" t="str">
        <f>IFERROR(__xludf.DUMMYFUNCTION("""COMPUTED_VALUE"""),"{""typ"":""lc"",""txt"":""LC_ITEM_time_day_upper_show"",""args"":[{""typ"":""int_unit"",""val"":7}]}")</f>
        <v>{"typ":"lc","txt":"LC_ITEM_time_day_upper_show","args":[{"typ":"int_unit","val":7}]}</v>
      </c>
      <c r="J367" s="148" t="str">
        <f>IFERROR(__xludf.DUMMYFUNCTION("""COMPUTED_VALUE"""),"{""typ"":""lc"",""txt"":""LC_ITEM_labor_march_skin_2024""}")</f>
        <v>{"typ":"lc","txt":"LC_ITEM_labor_march_skin_2024"}</v>
      </c>
      <c r="K367" s="148" t="str">
        <f>IFERROR(__xludf.DUMMYFUNCTION("""COMPUTED_VALUE"""),"{""typ"":""lc"",""txt"":""LC_ITEM_labor_march_skin_2024_desc""}")</f>
        <v>{"typ":"lc","txt":"LC_ITEM_labor_march_skin_2024_desc"}</v>
      </c>
      <c r="L367" s="148" t="str">
        <f>IFERROR(__xludf.DUMMYFUNCTION("""COMPUTED_VALUE"""),"{""typ"":""lc"",""txt"":""LC_ITEM_labor_marcheffect_2024_usetip_2_7d""}")</f>
        <v>{"typ":"lc","txt":"LC_ITEM_labor_marcheffect_2024_usetip_2_7d"}</v>
      </c>
      <c r="M367" s="148">
        <f>IFERROR(__xludf.DUMMYFUNCTION("""COMPUTED_VALUE"""),500.0)</f>
        <v>500</v>
      </c>
      <c r="N367" s="148">
        <f>IFERROR(__xludf.DUMMYFUNCTION("""COMPUTED_VALUE"""),999999.0)</f>
        <v>999999</v>
      </c>
      <c r="O367" s="148">
        <f>IFERROR(__xludf.DUMMYFUNCTION("""COMPUTED_VALUE"""),99999.0)</f>
        <v>99999</v>
      </c>
      <c r="P367" s="148">
        <f>IFERROR(__xludf.DUMMYFUNCTION("""COMPUTED_VALUE"""),1.0)</f>
        <v>1</v>
      </c>
      <c r="Q367" s="148" t="str">
        <f>IFERROR(__xludf.DUMMYFUNCTION("""COMPUTED_VALUE"""),"[""bag_other""]")</f>
        <v>["bag_other"]</v>
      </c>
      <c r="R367" s="148" t="str">
        <f>IFERROR(__xludf.DUMMYFUNCTION("""COMPUTED_VALUE"""),"[""bag"",""13650120""]")</f>
        <v>["bag","13650120"]</v>
      </c>
      <c r="S367" s="148" t="str">
        <f>IFERROR(__xludf.DUMMYFUNCTION("""COMPUTED_VALUE"""),"{""effect"":[{""typ"":""marching_effect"",""id"":13650120,""val"":604800000},{""typ"":""vm"",""id"":11151001,""val"":500}]}")</f>
        <v>{"effect":[{"typ":"marching_effect","id":13650120,"val":604800000},{"typ":"vm","id":11151001,"val":500}]}</v>
      </c>
      <c r="T367" s="148">
        <f>IFERROR(__xludf.DUMMYFUNCTION("""COMPUTED_VALUE"""),-1.0)</f>
        <v>-1</v>
      </c>
      <c r="U367" s="148">
        <f>IFERROR(__xludf.DUMMYFUNCTION("""COMPUTED_VALUE"""),0.0)</f>
        <v>0</v>
      </c>
      <c r="V367" s="148" t="str">
        <f>IFERROR(__xludf.DUMMYFUNCTION("""COMPUTED_VALUE"""),"[]")</f>
        <v>[]</v>
      </c>
      <c r="W367" s="148">
        <f>IFERROR(__xludf.DUMMYFUNCTION("""COMPUTED_VALUE"""),1.174E7)</f>
        <v>11740000</v>
      </c>
      <c r="X367" s="148">
        <f>IFERROR(__xludf.DUMMYFUNCTION("""COMPUTED_VALUE"""),0.0)</f>
        <v>0</v>
      </c>
      <c r="Y367" s="148">
        <f>IFERROR(__xludf.DUMMYFUNCTION("""COMPUTED_VALUE"""),0.0)</f>
        <v>0</v>
      </c>
      <c r="Z367" s="148"/>
    </row>
    <row r="368">
      <c r="A368" s="148">
        <f>IFERROR(__xludf.DUMMYFUNCTION("""COMPUTED_VALUE"""),1.1112159E7)</f>
        <v>11112159</v>
      </c>
      <c r="B368" s="148" t="str">
        <f>IFERROR(__xludf.DUMMYFUNCTION("""COMPUTED_VALUE"""),"2024拓荒节行军特效-淘金之梦-14天限时")</f>
        <v>2024拓荒节行军特效-淘金之梦-14天限时</v>
      </c>
      <c r="C368" s="148"/>
      <c r="D368" s="148" t="str">
        <f>IFERROR(__xludf.DUMMYFUNCTION("""COMPUTED_VALUE"""),"marching_effect")</f>
        <v>marching_effect</v>
      </c>
      <c r="E368" s="148">
        <f>IFERROR(__xludf.DUMMYFUNCTION("""COMPUTED_VALUE"""),0.0)</f>
        <v>0</v>
      </c>
      <c r="F368" s="148">
        <f>IFERROR(__xludf.DUMMYFUNCTION("""COMPUTED_VALUE"""),408197.0)</f>
        <v>408197</v>
      </c>
      <c r="G368" s="148">
        <f>IFERROR(__xludf.DUMMYFUNCTION("""COMPUTED_VALUE"""),1.5119315E7)</f>
        <v>15119315</v>
      </c>
      <c r="H368" s="148">
        <f>IFERROR(__xludf.DUMMYFUNCTION("""COMPUTED_VALUE"""),1.5112563E7)</f>
        <v>15112563</v>
      </c>
      <c r="I368" s="148" t="str">
        <f>IFERROR(__xludf.DUMMYFUNCTION("""COMPUTED_VALUE"""),"{""typ"":""lc"",""txt"":""LC_ITEM_time_day_upper_show"",""args"":[{""typ"":""int_unit"",""val"":14}]}")</f>
        <v>{"typ":"lc","txt":"LC_ITEM_time_day_upper_show","args":[{"typ":"int_unit","val":14}]}</v>
      </c>
      <c r="J368" s="148" t="str">
        <f>IFERROR(__xludf.DUMMYFUNCTION("""COMPUTED_VALUE"""),"{""typ"":""lc"",""txt"":""LC_ITEM_labor_march_skin_2024""}")</f>
        <v>{"typ":"lc","txt":"LC_ITEM_labor_march_skin_2024"}</v>
      </c>
      <c r="K368" s="148" t="str">
        <f>IFERROR(__xludf.DUMMYFUNCTION("""COMPUTED_VALUE"""),"{""typ"":""lc"",""txt"":""LC_ITEM_labor_march_skin_2024_desc""}")</f>
        <v>{"typ":"lc","txt":"LC_ITEM_labor_march_skin_2024_desc"}</v>
      </c>
      <c r="L368" s="148" t="str">
        <f>IFERROR(__xludf.DUMMYFUNCTION("""COMPUTED_VALUE"""),"{""typ"":""lc"",""txt"":""LC_ITEM_labor_marcheffect_2024_usetip_2_14d""}")</f>
        <v>{"typ":"lc","txt":"LC_ITEM_labor_marcheffect_2024_usetip_2_14d"}</v>
      </c>
      <c r="M368" s="148">
        <f>IFERROR(__xludf.DUMMYFUNCTION("""COMPUTED_VALUE"""),1000.0)</f>
        <v>1000</v>
      </c>
      <c r="N368" s="148">
        <f>IFERROR(__xludf.DUMMYFUNCTION("""COMPUTED_VALUE"""),999999.0)</f>
        <v>999999</v>
      </c>
      <c r="O368" s="148">
        <f>IFERROR(__xludf.DUMMYFUNCTION("""COMPUTED_VALUE"""),99999.0)</f>
        <v>99999</v>
      </c>
      <c r="P368" s="148">
        <f>IFERROR(__xludf.DUMMYFUNCTION("""COMPUTED_VALUE"""),1.0)</f>
        <v>1</v>
      </c>
      <c r="Q368" s="148" t="str">
        <f>IFERROR(__xludf.DUMMYFUNCTION("""COMPUTED_VALUE"""),"[""bag_other""]")</f>
        <v>["bag_other"]</v>
      </c>
      <c r="R368" s="148" t="str">
        <f>IFERROR(__xludf.DUMMYFUNCTION("""COMPUTED_VALUE"""),"[""bag"",""13650120""]")</f>
        <v>["bag","13650120"]</v>
      </c>
      <c r="S368" s="148" t="str">
        <f>IFERROR(__xludf.DUMMYFUNCTION("""COMPUTED_VALUE"""),"{""effect"":[{""typ"":""marching_effect"",""id"":13650120,""val"":1209600000},{""typ"":""vm"",""id"":11151001,""val"":1000}]}")</f>
        <v>{"effect":[{"typ":"marching_effect","id":13650120,"val":1209600000},{"typ":"vm","id":11151001,"val":1000}]}</v>
      </c>
      <c r="T368" s="148">
        <f>IFERROR(__xludf.DUMMYFUNCTION("""COMPUTED_VALUE"""),-1.0)</f>
        <v>-1</v>
      </c>
      <c r="U368" s="148">
        <f>IFERROR(__xludf.DUMMYFUNCTION("""COMPUTED_VALUE"""),0.0)</f>
        <v>0</v>
      </c>
      <c r="V368" s="148" t="str">
        <f>IFERROR(__xludf.DUMMYFUNCTION("""COMPUTED_VALUE"""),"[]")</f>
        <v>[]</v>
      </c>
      <c r="W368" s="148">
        <f>IFERROR(__xludf.DUMMYFUNCTION("""COMPUTED_VALUE"""),1.174E7)</f>
        <v>11740000</v>
      </c>
      <c r="X368" s="148">
        <f>IFERROR(__xludf.DUMMYFUNCTION("""COMPUTED_VALUE"""),0.0)</f>
        <v>0</v>
      </c>
      <c r="Y368" s="148">
        <f>IFERROR(__xludf.DUMMYFUNCTION("""COMPUTED_VALUE"""),0.0)</f>
        <v>0</v>
      </c>
      <c r="Z368" s="148"/>
    </row>
    <row r="369">
      <c r="A369" s="148">
        <f>IFERROR(__xludf.DUMMYFUNCTION("""COMPUTED_VALUE"""),1.111216E7)</f>
        <v>11112160</v>
      </c>
      <c r="B369" s="148" t="str">
        <f>IFERROR(__xludf.DUMMYFUNCTION("""COMPUTED_VALUE"""),"2024拓荒节行军特效-淘金之梦-30天限时")</f>
        <v>2024拓荒节行军特效-淘金之梦-30天限时</v>
      </c>
      <c r="C369" s="148"/>
      <c r="D369" s="148" t="str">
        <f>IFERROR(__xludf.DUMMYFUNCTION("""COMPUTED_VALUE"""),"marching_effect")</f>
        <v>marching_effect</v>
      </c>
      <c r="E369" s="148">
        <f>IFERROR(__xludf.DUMMYFUNCTION("""COMPUTED_VALUE"""),0.0)</f>
        <v>0</v>
      </c>
      <c r="F369" s="148">
        <f>IFERROR(__xludf.DUMMYFUNCTION("""COMPUTED_VALUE"""),408197.0)</f>
        <v>408197</v>
      </c>
      <c r="G369" s="148">
        <f>IFERROR(__xludf.DUMMYFUNCTION("""COMPUTED_VALUE"""),1.5119315E7)</f>
        <v>15119315</v>
      </c>
      <c r="H369" s="148">
        <f>IFERROR(__xludf.DUMMYFUNCTION("""COMPUTED_VALUE"""),1.5112563E7)</f>
        <v>15112563</v>
      </c>
      <c r="I369" s="148" t="str">
        <f>IFERROR(__xludf.DUMMYFUNCTION("""COMPUTED_VALUE"""),"{""typ"":""lc"",""txt"":""LC_ITEM_time_day_upper_show"",""args"":[{""typ"":""int_unit"",""val"":30}]}")</f>
        <v>{"typ":"lc","txt":"LC_ITEM_time_day_upper_show","args":[{"typ":"int_unit","val":30}]}</v>
      </c>
      <c r="J369" s="148" t="str">
        <f>IFERROR(__xludf.DUMMYFUNCTION("""COMPUTED_VALUE"""),"{""typ"":""lc"",""txt"":""LC_ITEM_labor_march_skin_2024""}")</f>
        <v>{"typ":"lc","txt":"LC_ITEM_labor_march_skin_2024"}</v>
      </c>
      <c r="K369" s="148" t="str">
        <f>IFERROR(__xludf.DUMMYFUNCTION("""COMPUTED_VALUE"""),"{""typ"":""lc"",""txt"":""LC_ITEM_labor_march_skin_2024_desc""}")</f>
        <v>{"typ":"lc","txt":"LC_ITEM_labor_march_skin_2024_desc"}</v>
      </c>
      <c r="L369" s="148" t="str">
        <f>IFERROR(__xludf.DUMMYFUNCTION("""COMPUTED_VALUE"""),"{""typ"":""lc"",""txt"":""LC_ITEM_labor_marcheffect_2024_usetip_2_30d""}")</f>
        <v>{"typ":"lc","txt":"LC_ITEM_labor_marcheffect_2024_usetip_2_30d"}</v>
      </c>
      <c r="M369" s="148">
        <f>IFERROR(__xludf.DUMMYFUNCTION("""COMPUTED_VALUE"""),1000.0)</f>
        <v>1000</v>
      </c>
      <c r="N369" s="148">
        <f>IFERROR(__xludf.DUMMYFUNCTION("""COMPUTED_VALUE"""),999999.0)</f>
        <v>999999</v>
      </c>
      <c r="O369" s="148">
        <f>IFERROR(__xludf.DUMMYFUNCTION("""COMPUTED_VALUE"""),99999.0)</f>
        <v>99999</v>
      </c>
      <c r="P369" s="148">
        <f>IFERROR(__xludf.DUMMYFUNCTION("""COMPUTED_VALUE"""),1.0)</f>
        <v>1</v>
      </c>
      <c r="Q369" s="148" t="str">
        <f>IFERROR(__xludf.DUMMYFUNCTION("""COMPUTED_VALUE"""),"[""bag_other""]")</f>
        <v>["bag_other"]</v>
      </c>
      <c r="R369" s="148" t="str">
        <f>IFERROR(__xludf.DUMMYFUNCTION("""COMPUTED_VALUE"""),"[""bag"",""13650120""]")</f>
        <v>["bag","13650120"]</v>
      </c>
      <c r="S369" s="148" t="str">
        <f>IFERROR(__xludf.DUMMYFUNCTION("""COMPUTED_VALUE"""),"{""effect"":[{""typ"":""marching_effect"",""id"":13650120,""val"":2592000000},{""typ"":""vm"",""id"":11151001,""val"":1000}]}")</f>
        <v>{"effect":[{"typ":"marching_effect","id":13650120,"val":2592000000},{"typ":"vm","id":11151001,"val":1000}]}</v>
      </c>
      <c r="T369" s="148">
        <f>IFERROR(__xludf.DUMMYFUNCTION("""COMPUTED_VALUE"""),-1.0)</f>
        <v>-1</v>
      </c>
      <c r="U369" s="148">
        <f>IFERROR(__xludf.DUMMYFUNCTION("""COMPUTED_VALUE"""),0.0)</f>
        <v>0</v>
      </c>
      <c r="V369" s="148" t="str">
        <f>IFERROR(__xludf.DUMMYFUNCTION("""COMPUTED_VALUE"""),"[]")</f>
        <v>[]</v>
      </c>
      <c r="W369" s="148">
        <f>IFERROR(__xludf.DUMMYFUNCTION("""COMPUTED_VALUE"""),1.174E7)</f>
        <v>11740000</v>
      </c>
      <c r="X369" s="148">
        <f>IFERROR(__xludf.DUMMYFUNCTION("""COMPUTED_VALUE"""),0.0)</f>
        <v>0</v>
      </c>
      <c r="Y369" s="148">
        <f>IFERROR(__xludf.DUMMYFUNCTION("""COMPUTED_VALUE"""),0.0)</f>
        <v>0</v>
      </c>
      <c r="Z369" s="148"/>
    </row>
    <row r="370">
      <c r="A370" s="148">
        <f>IFERROR(__xludf.DUMMYFUNCTION("""COMPUTED_VALUE"""),1.1112161E7)</f>
        <v>11112161</v>
      </c>
      <c r="B370" s="148" t="str">
        <f>IFERROR(__xludf.DUMMYFUNCTION("""COMPUTED_VALUE"""),"2024拓荒节行军特效-淘金之梦-永久")</f>
        <v>2024拓荒节行军特效-淘金之梦-永久</v>
      </c>
      <c r="C370" s="148"/>
      <c r="D370" s="148" t="str">
        <f>IFERROR(__xludf.DUMMYFUNCTION("""COMPUTED_VALUE"""),"marching_effect")</f>
        <v>marching_effect</v>
      </c>
      <c r="E370" s="148">
        <f>IFERROR(__xludf.DUMMYFUNCTION("""COMPUTED_VALUE"""),0.0)</f>
        <v>0</v>
      </c>
      <c r="F370" s="148">
        <f>IFERROR(__xludf.DUMMYFUNCTION("""COMPUTED_VALUE"""),408195.0)</f>
        <v>408195</v>
      </c>
      <c r="G370" s="148">
        <f>IFERROR(__xludf.DUMMYFUNCTION("""COMPUTED_VALUE"""),1.5119315E7)</f>
        <v>15119315</v>
      </c>
      <c r="H370" s="148">
        <f>IFERROR(__xludf.DUMMYFUNCTION("""COMPUTED_VALUE"""),1.5112564E7)</f>
        <v>15112564</v>
      </c>
      <c r="I370" s="148" t="str">
        <f>IFERROR(__xludf.DUMMYFUNCTION("""COMPUTED_VALUE"""),"{}")</f>
        <v>{}</v>
      </c>
      <c r="J370" s="148" t="str">
        <f>IFERROR(__xludf.DUMMYFUNCTION("""COMPUTED_VALUE"""),"{""typ"":""lc"",""txt"":""LC_ITEM_labor_march_skin_2024""}")</f>
        <v>{"typ":"lc","txt":"LC_ITEM_labor_march_skin_2024"}</v>
      </c>
      <c r="K370" s="148" t="str">
        <f>IFERROR(__xludf.DUMMYFUNCTION("""COMPUTED_VALUE"""),"{""typ"":""lc"",""txt"":""LC_ITEM_labor_march_skin_2024_desc""}")</f>
        <v>{"typ":"lc","txt":"LC_ITEM_labor_march_skin_2024_desc"}</v>
      </c>
      <c r="L370" s="148" t="str">
        <f>IFERROR(__xludf.DUMMYFUNCTION("""COMPUTED_VALUE"""),"{""typ"":""lc"",""txt"":""LC_ITEM_labor_marcheffect_2024_usetip""}")</f>
        <v>{"typ":"lc","txt":"LC_ITEM_labor_marcheffect_2024_usetip"}</v>
      </c>
      <c r="M370" s="148">
        <f>IFERROR(__xludf.DUMMYFUNCTION("""COMPUTED_VALUE"""),5000.0)</f>
        <v>5000</v>
      </c>
      <c r="N370" s="148">
        <f>IFERROR(__xludf.DUMMYFUNCTION("""COMPUTED_VALUE"""),999999.0)</f>
        <v>999999</v>
      </c>
      <c r="O370" s="148">
        <f>IFERROR(__xludf.DUMMYFUNCTION("""COMPUTED_VALUE"""),99999.0)</f>
        <v>99999</v>
      </c>
      <c r="P370" s="148">
        <f>IFERROR(__xludf.DUMMYFUNCTION("""COMPUTED_VALUE"""),1.0)</f>
        <v>1</v>
      </c>
      <c r="Q370" s="148" t="str">
        <f>IFERROR(__xludf.DUMMYFUNCTION("""COMPUTED_VALUE"""),"[""bag_other""]")</f>
        <v>["bag_other"]</v>
      </c>
      <c r="R370" s="148" t="str">
        <f>IFERROR(__xludf.DUMMYFUNCTION("""COMPUTED_VALUE"""),"[""bag"",""13650120""]")</f>
        <v>["bag","13650120"]</v>
      </c>
      <c r="S370" s="148" t="str">
        <f>IFERROR(__xludf.DUMMYFUNCTION("""COMPUTED_VALUE"""),"{""effect"":[{""typ"":""marching_effect"",""id"":13650120,""val"":-1},{""typ"":""vm"",""id"":11151001,""val"":2500}]}")</f>
        <v>{"effect":[{"typ":"marching_effect","id":13650120,"val":-1},{"typ":"vm","id":11151001,"val":2500}]}</v>
      </c>
      <c r="T370" s="148">
        <f>IFERROR(__xludf.DUMMYFUNCTION("""COMPUTED_VALUE"""),-1.0)</f>
        <v>-1</v>
      </c>
      <c r="U370" s="148">
        <f>IFERROR(__xludf.DUMMYFUNCTION("""COMPUTED_VALUE"""),0.0)</f>
        <v>0</v>
      </c>
      <c r="V370" s="148" t="str">
        <f>IFERROR(__xludf.DUMMYFUNCTION("""COMPUTED_VALUE"""),"[]")</f>
        <v>[]</v>
      </c>
      <c r="W370" s="148">
        <f>IFERROR(__xludf.DUMMYFUNCTION("""COMPUTED_VALUE"""),1.174E7)</f>
        <v>11740000</v>
      </c>
      <c r="X370" s="148">
        <f>IFERROR(__xludf.DUMMYFUNCTION("""COMPUTED_VALUE"""),0.0)</f>
        <v>0</v>
      </c>
      <c r="Y370" s="148">
        <f>IFERROR(__xludf.DUMMYFUNCTION("""COMPUTED_VALUE"""),0.0)</f>
        <v>0</v>
      </c>
      <c r="Z370" s="148"/>
    </row>
    <row r="371">
      <c r="A371" s="148">
        <f>IFERROR(__xludf.DUMMYFUNCTION("""COMPUTED_VALUE"""),1.1112162E7)</f>
        <v>11112162</v>
      </c>
      <c r="B371" s="148" t="str">
        <f>IFERROR(__xludf.DUMMYFUNCTION("""COMPUTED_VALUE"""),"2024拓荒节铭牌-拓荒创想")</f>
        <v>2024拓荒节铭牌-拓荒创想</v>
      </c>
      <c r="C371" s="148"/>
      <c r="D371" s="148" t="str">
        <f>IFERROR(__xludf.DUMMYFUNCTION("""COMPUTED_VALUE"""),"chat_skin")</f>
        <v>chat_skin</v>
      </c>
      <c r="E371" s="148">
        <f>IFERROR(__xludf.DUMMYFUNCTION("""COMPUTED_VALUE"""),30.0)</f>
        <v>30</v>
      </c>
      <c r="F371" s="148">
        <f>IFERROR(__xludf.DUMMYFUNCTION("""COMPUTED_VALUE"""),401107.0)</f>
        <v>401107</v>
      </c>
      <c r="G371" s="148">
        <f>IFERROR(__xludf.DUMMYFUNCTION("""COMPUTED_VALUE"""),1.5119316E7)</f>
        <v>15119316</v>
      </c>
      <c r="H371" s="148">
        <f>IFERROR(__xludf.DUMMYFUNCTION("""COMPUTED_VALUE"""),1.5112564E7)</f>
        <v>15112564</v>
      </c>
      <c r="I371" s="148" t="str">
        <f>IFERROR(__xludf.DUMMYFUNCTION("""COMPUTED_VALUE"""),"{}")</f>
        <v>{}</v>
      </c>
      <c r="J371" s="148" t="str">
        <f>IFERROR(__xludf.DUMMYFUNCTION("""COMPUTED_VALUE"""),"{""typ"":""lc"",""txt"":""LC_ITEM_labor_nameplate_2024""}")</f>
        <v>{"typ":"lc","txt":"LC_ITEM_labor_nameplate_2024"}</v>
      </c>
      <c r="K371" s="148" t="str">
        <f>IFERROR(__xludf.DUMMYFUNCTION("""COMPUTED_VALUE"""),"{""typ"":""lc"",""txt"":""LC_ITEM_labor_nameplate_2024_desc_item""}")</f>
        <v>{"typ":"lc","txt":"LC_ITEM_labor_nameplate_2024_desc_item"}</v>
      </c>
      <c r="L371" s="148" t="str">
        <f>IFERROR(__xludf.DUMMYFUNCTION("""COMPUTED_VALUE"""),"{""typ"":""lc"",""txt"":""LC_ITEM_season_extra_reward_usedtip""}")</f>
        <v>{"typ":"lc","txt":"LC_ITEM_season_extra_reward_usedtip"}</v>
      </c>
      <c r="M371" s="148">
        <f>IFERROR(__xludf.DUMMYFUNCTION("""COMPUTED_VALUE"""),2500.0)</f>
        <v>2500</v>
      </c>
      <c r="N371" s="148">
        <f>IFERROR(__xludf.DUMMYFUNCTION("""COMPUTED_VALUE"""),9999999.0)</f>
        <v>9999999</v>
      </c>
      <c r="O371" s="148">
        <f>IFERROR(__xludf.DUMMYFUNCTION("""COMPUTED_VALUE"""),1.0)</f>
        <v>1</v>
      </c>
      <c r="P371" s="148">
        <f>IFERROR(__xludf.DUMMYFUNCTION("""COMPUTED_VALUE"""),1.0)</f>
        <v>1</v>
      </c>
      <c r="Q371" s="148" t="str">
        <f>IFERROR(__xludf.DUMMYFUNCTION("""COMPUTED_VALUE"""),"[""bag_other""]")</f>
        <v>["bag_other"]</v>
      </c>
      <c r="R371" s="148" t="str">
        <f>IFERROR(__xludf.DUMMYFUNCTION("""COMPUTED_VALUE"""),"[""11731023"",""bag""]")</f>
        <v>["11731023","bag"]</v>
      </c>
      <c r="S371" s="148" t="str">
        <f>IFERROR(__xludf.DUMMYFUNCTION("""COMPUTED_VALUE"""),"{""effect"":[{""typ"":""nameplate"",""id"":11731023,""val"":-1}]}")</f>
        <v>{"effect":[{"typ":"nameplate","id":11731023,"val":-1}]}</v>
      </c>
      <c r="T371" s="148">
        <f>IFERROR(__xludf.DUMMYFUNCTION("""COMPUTED_VALUE"""),-1.0)</f>
        <v>-1</v>
      </c>
      <c r="U371" s="148">
        <f>IFERROR(__xludf.DUMMYFUNCTION("""COMPUTED_VALUE"""),0.0)</f>
        <v>0</v>
      </c>
      <c r="V371" s="148" t="str">
        <f>IFERROR(__xludf.DUMMYFUNCTION("""COMPUTED_VALUE"""),"[]")</f>
        <v>[]</v>
      </c>
      <c r="W371" s="148">
        <f>IFERROR(__xludf.DUMMYFUNCTION("""COMPUTED_VALUE"""),1.174E7)</f>
        <v>11740000</v>
      </c>
      <c r="X371" s="148">
        <f>IFERROR(__xludf.DUMMYFUNCTION("""COMPUTED_VALUE"""),0.0)</f>
        <v>0</v>
      </c>
      <c r="Y371" s="148">
        <f>IFERROR(__xludf.DUMMYFUNCTION("""COMPUTED_VALUE"""),0.0)</f>
        <v>0</v>
      </c>
      <c r="Z371" s="148"/>
    </row>
    <row r="372">
      <c r="A372" s="148">
        <f>IFERROR(__xludf.DUMMYFUNCTION("""COMPUTED_VALUE"""),1.1112163E7)</f>
        <v>11112163</v>
      </c>
      <c r="B372" s="148" t="str">
        <f>IFERROR(__xludf.DUMMYFUNCTION("""COMPUTED_VALUE"""),"2024拓荒节-犀牛染色自选箱")</f>
        <v>2024拓荒节-犀牛染色自选箱</v>
      </c>
      <c r="C372" s="148"/>
      <c r="D372" s="148" t="str">
        <f>IFERROR(__xludf.DUMMYFUNCTION("""COMPUTED_VALUE"""),"item_select_box")</f>
        <v>item_select_box</v>
      </c>
      <c r="E372" s="148">
        <f>IFERROR(__xludf.DUMMYFUNCTION("""COMPUTED_VALUE"""),19.0)</f>
        <v>19</v>
      </c>
      <c r="F372" s="148">
        <f>IFERROR(__xludf.DUMMYFUNCTION("""COMPUTED_VALUE"""),403200.0)</f>
        <v>403200</v>
      </c>
      <c r="G372" s="148">
        <f>IFERROR(__xludf.DUMMYFUNCTION("""COMPUTED_VALUE"""),1.5119319E7)</f>
        <v>15119319</v>
      </c>
      <c r="H372" s="148">
        <f>IFERROR(__xludf.DUMMYFUNCTION("""COMPUTED_VALUE"""),1.5112563E7)</f>
        <v>15112563</v>
      </c>
      <c r="I372" s="148" t="str">
        <f>IFERROR(__xludf.DUMMYFUNCTION("""COMPUTED_VALUE"""),"{}")</f>
        <v>{}</v>
      </c>
      <c r="J372" s="148" t="str">
        <f>IFERROR(__xludf.DUMMYFUNCTION("""COMPUTED_VALUE"""),"{""typ"":""lc"",""txt"":""LC_ITEM_mecha_skin_colour_name_choose""}")</f>
        <v>{"typ":"lc","txt":"LC_ITEM_mecha_skin_colour_name_choose"}</v>
      </c>
      <c r="K372" s="148" t="str">
        <f>IFERROR(__xludf.DUMMYFUNCTION("""COMPUTED_VALUE"""),"{""typ"":""lc"",""txt"":""LC_ITEM_mecha_skin_colour_name_choose_desc"",""args"":[{""typ"":""int"",""val"":1},{""typ"":""int"",""val"":1}]}")</f>
        <v>{"typ":"lc","txt":"LC_ITEM_mecha_skin_colour_name_choose_desc","args":[{"typ":"int","val":1},{"typ":"int","val":1}]}</v>
      </c>
      <c r="L372" s="148" t="str">
        <f>IFERROR(__xludf.DUMMYFUNCTION("""COMPUTED_VALUE"""),"{""typ"":""lc"",""txt"":""LC_ITEM_chest_from_atk_npc_usedtip""}")</f>
        <v>{"typ":"lc","txt":"LC_ITEM_chest_from_atk_npc_usedtip"}</v>
      </c>
      <c r="M372" s="148">
        <f>IFERROR(__xludf.DUMMYFUNCTION("""COMPUTED_VALUE"""),1000.0)</f>
        <v>1000</v>
      </c>
      <c r="N372" s="148">
        <f>IFERROR(__xludf.DUMMYFUNCTION("""COMPUTED_VALUE"""),999999.0)</f>
        <v>999999</v>
      </c>
      <c r="O372" s="148">
        <f>IFERROR(__xludf.DUMMYFUNCTION("""COMPUTED_VALUE"""),99999.0)</f>
        <v>99999</v>
      </c>
      <c r="P372" s="148">
        <f>IFERROR(__xludf.DUMMYFUNCTION("""COMPUTED_VALUE"""),99999.0)</f>
        <v>99999</v>
      </c>
      <c r="Q372" s="148" t="str">
        <f>IFERROR(__xludf.DUMMYFUNCTION("""COMPUTED_VALUE"""),"[""bag_other""]")</f>
        <v>["bag_other"]</v>
      </c>
      <c r="R372" s="148" t="str">
        <f>IFERROR(__xludf.DUMMYFUNCTION("""COMPUTED_VALUE"""),"[""bag""]")</f>
        <v>["bag"]</v>
      </c>
      <c r="S372" s="148" t="str">
        <f>IFERROR(__xludf.DUMMYFUNCTION("""COMPUTED_VALUE"""),"{""select_box"":[{""typ"":""item"",""id"":11118682,""val"":1},{""typ"":""item"",""id"":11118683,""val"":1},{""typ"":""item"",""id"":11118684,""val"":1},{""typ"":""item"",""id"":11118698,""val"":1},{""typ"":""item"",""id"":11118699,""val"":1},{""typ"":""it"&amp;"em"",""id"":11118697,""val"":1}],""effect"":[{""typ"":""select_box_own_mark""}]}")</f>
        <v>{"select_box":[{"typ":"item","id":11118682,"val":1},{"typ":"item","id":11118683,"val":1},{"typ":"item","id":11118684,"val":1},{"typ":"item","id":11118698,"val":1},{"typ":"item","id":11118699,"val":1},{"typ":"item","id":11118697,"val":1}],"effect":[{"typ":"select_box_own_mark"}]}</v>
      </c>
      <c r="T372" s="148">
        <f>IFERROR(__xludf.DUMMYFUNCTION("""COMPUTED_VALUE"""),1.0)</f>
        <v>1</v>
      </c>
      <c r="U372" s="148">
        <f>IFERROR(__xludf.DUMMYFUNCTION("""COMPUTED_VALUE"""),1.0)</f>
        <v>1</v>
      </c>
      <c r="V372" s="148" t="str">
        <f>IFERROR(__xludf.DUMMYFUNCTION("""COMPUTED_VALUE"""),"[]")</f>
        <v>[]</v>
      </c>
      <c r="W372" s="148">
        <f>IFERROR(__xludf.DUMMYFUNCTION("""COMPUTED_VALUE"""),1.174E7)</f>
        <v>11740000</v>
      </c>
      <c r="X372" s="148">
        <f>IFERROR(__xludf.DUMMYFUNCTION("""COMPUTED_VALUE"""),0.0)</f>
        <v>0</v>
      </c>
      <c r="Y372" s="148">
        <f>IFERROR(__xludf.DUMMYFUNCTION("""COMPUTED_VALUE"""),0.0)</f>
        <v>0</v>
      </c>
      <c r="Z372" s="148"/>
    </row>
    <row r="373">
      <c r="A373" s="148">
        <f>IFERROR(__xludf.DUMMYFUNCTION("""COMPUTED_VALUE"""),1.1112164E7)</f>
        <v>11112164</v>
      </c>
      <c r="B373" s="148" t="str">
        <f>IFERROR(__xludf.DUMMYFUNCTION("""COMPUTED_VALUE"""),"纪念扳手-拓荒节-通用活动GACHA道具")</f>
        <v>纪念扳手-拓荒节-通用活动GACHA道具</v>
      </c>
      <c r="C373" s="148"/>
      <c r="D373" s="148" t="str">
        <f>IFERROR(__xludf.DUMMYFUNCTION("""COMPUTED_VALUE"""),"event")</f>
        <v>event</v>
      </c>
      <c r="E373" s="148">
        <f>IFERROR(__xludf.DUMMYFUNCTION("""COMPUTED_VALUE"""),0.0)</f>
        <v>0</v>
      </c>
      <c r="F373" s="148">
        <f>IFERROR(__xludf.DUMMYFUNCTION("""COMPUTED_VALUE"""),405243.0)</f>
        <v>405243</v>
      </c>
      <c r="G373" s="148">
        <f>IFERROR(__xludf.DUMMYFUNCTION("""COMPUTED_VALUE"""),1.5116143E7)</f>
        <v>15116143</v>
      </c>
      <c r="H373" s="148">
        <f>IFERROR(__xludf.DUMMYFUNCTION("""COMPUTED_VALUE"""),1.5112564E7)</f>
        <v>15112564</v>
      </c>
      <c r="I373" s="148" t="str">
        <f>IFERROR(__xludf.DUMMYFUNCTION("""COMPUTED_VALUE"""),"{}")</f>
        <v>{}</v>
      </c>
      <c r="J373" s="148" t="str">
        <f>IFERROR(__xludf.DUMMYFUNCTION("""COMPUTED_VALUE"""),"{""typ"":""lc"",""txt"":""LC_ITEM_2023laborday_gacha_item""}")</f>
        <v>{"typ":"lc","txt":"LC_ITEM_2023laborday_gacha_item"}</v>
      </c>
      <c r="K373" s="148" t="str">
        <f>IFERROR(__xludf.DUMMYFUNCTION("""COMPUTED_VALUE"""),"{""typ"":""lc"",""txt"":""LC_ITEM_2023laborday_gacha_item_desc""}")</f>
        <v>{"typ":"lc","txt":"LC_ITEM_2023laborday_gacha_item_desc"}</v>
      </c>
      <c r="L373" s="148" t="str">
        <f>IFERROR(__xludf.DUMMYFUNCTION("""COMPUTED_VALUE"""),"{}")</f>
        <v>{}</v>
      </c>
      <c r="M373" s="148">
        <f>IFERROR(__xludf.DUMMYFUNCTION("""COMPUTED_VALUE"""),700.0)</f>
        <v>700</v>
      </c>
      <c r="N373" s="148">
        <f>IFERROR(__xludf.DUMMYFUNCTION("""COMPUTED_VALUE"""),9.99999999E8)</f>
        <v>999999999</v>
      </c>
      <c r="O373" s="148">
        <f>IFERROR(__xludf.DUMMYFUNCTION("""COMPUTED_VALUE"""),9.99999999E8)</f>
        <v>999999999</v>
      </c>
      <c r="P373" s="148">
        <f>IFERROR(__xludf.DUMMYFUNCTION("""COMPUTED_VALUE"""),9.99999999E8)</f>
        <v>999999999</v>
      </c>
      <c r="Q373" s="148" t="str">
        <f>IFERROR(__xludf.DUMMYFUNCTION("""COMPUTED_VALUE"""),"[""bag_other""]")</f>
        <v>["bag_other"]</v>
      </c>
      <c r="R373" s="148" t="str">
        <f>IFERROR(__xludf.DUMMYFUNCTION("""COMPUTED_VALUE"""),"[""bag""]")</f>
        <v>["bag"]</v>
      </c>
      <c r="S373" s="148" t="str">
        <f>IFERROR(__xludf.DUMMYFUNCTION("""COMPUTED_VALUE"""),"{}")</f>
        <v>{}</v>
      </c>
      <c r="T373" s="148">
        <f>IFERROR(__xludf.DUMMYFUNCTION("""COMPUTED_VALUE"""),1.0)</f>
        <v>1</v>
      </c>
      <c r="U373" s="148">
        <f>IFERROR(__xludf.DUMMYFUNCTION("""COMPUTED_VALUE"""),0.0)</f>
        <v>0</v>
      </c>
      <c r="V373" s="148" t="str">
        <f>IFERROR(__xludf.DUMMYFUNCTION("""COMPUTED_VALUE"""),"[]")</f>
        <v>[]</v>
      </c>
      <c r="W373" s="148">
        <f>IFERROR(__xludf.DUMMYFUNCTION("""COMPUTED_VALUE"""),1.174E7)</f>
        <v>11740000</v>
      </c>
      <c r="X373" s="148">
        <f>IFERROR(__xludf.DUMMYFUNCTION("""COMPUTED_VALUE"""),0.0)</f>
        <v>0</v>
      </c>
      <c r="Y373" s="148">
        <f>IFERROR(__xludf.DUMMYFUNCTION("""COMPUTED_VALUE"""),0.0)</f>
        <v>0</v>
      </c>
      <c r="Z373" s="148"/>
    </row>
    <row r="374">
      <c r="A374" s="148">
        <f>IFERROR(__xludf.DUMMYFUNCTION("""COMPUTED_VALUE"""),1.1112165E7)</f>
        <v>11112165</v>
      </c>
      <c r="B374" s="148" t="str">
        <f>IFERROR(__xludf.DUMMYFUNCTION("""COMPUTED_VALUE"""),"拓荒节2024gacha专用-增加内圈抽奖次数")</f>
        <v>拓荒节2024gacha专用-增加内圈抽奖次数</v>
      </c>
      <c r="C374" s="148"/>
      <c r="D374" s="148" t="str">
        <f>IFERROR(__xludf.DUMMYFUNCTION("""COMPUTED_VALUE"""),"event")</f>
        <v>event</v>
      </c>
      <c r="E374" s="148">
        <f>IFERROR(__xludf.DUMMYFUNCTION("""COMPUTED_VALUE"""),0.0)</f>
        <v>0</v>
      </c>
      <c r="F374" s="148">
        <f>IFERROR(__xludf.DUMMYFUNCTION("""COMPUTED_VALUE"""),0.0)</f>
        <v>0</v>
      </c>
      <c r="G374" s="148">
        <f>IFERROR(__xludf.DUMMYFUNCTION("""COMPUTED_VALUE"""),1.5116146E7)</f>
        <v>15116146</v>
      </c>
      <c r="H374" s="148">
        <f>IFERROR(__xludf.DUMMYFUNCTION("""COMPUTED_VALUE"""),1.5112564E7)</f>
        <v>15112564</v>
      </c>
      <c r="I374" s="148" t="str">
        <f>IFERROR(__xludf.DUMMYFUNCTION("""COMPUTED_VALUE"""),"{}")</f>
        <v>{}</v>
      </c>
      <c r="J374" s="148" t="str">
        <f>IFERROR(__xludf.DUMMYFUNCTION("""COMPUTED_VALUE"""),"{""typ"":""lc"",""txt"":""LC_ITEM_2023laborday_gacha_inner_item""}")</f>
        <v>{"typ":"lc","txt":"LC_ITEM_2023laborday_gacha_inner_item"}</v>
      </c>
      <c r="K374" s="148" t="str">
        <f>IFERROR(__xludf.DUMMYFUNCTION("""COMPUTED_VALUE"""),"{""typ"":""lc"",""txt"":""LC_ITEM_2023laborday_gacha_inner_item_desc""}")</f>
        <v>{"typ":"lc","txt":"LC_ITEM_2023laborday_gacha_inner_item_desc"}</v>
      </c>
      <c r="L374" s="148" t="str">
        <f>IFERROR(__xludf.DUMMYFUNCTION("""COMPUTED_VALUE"""),"{}")</f>
        <v>{}</v>
      </c>
      <c r="M374" s="148">
        <f>IFERROR(__xludf.DUMMYFUNCTION("""COMPUTED_VALUE"""),700.0)</f>
        <v>700</v>
      </c>
      <c r="N374" s="148">
        <f>IFERROR(__xludf.DUMMYFUNCTION("""COMPUTED_VALUE"""),9.99999999E8)</f>
        <v>999999999</v>
      </c>
      <c r="O374" s="148">
        <f>IFERROR(__xludf.DUMMYFUNCTION("""COMPUTED_VALUE"""),9.99999999E8)</f>
        <v>999999999</v>
      </c>
      <c r="P374" s="148">
        <f>IFERROR(__xludf.DUMMYFUNCTION("""COMPUTED_VALUE"""),9.99999999E8)</f>
        <v>999999999</v>
      </c>
      <c r="Q374" s="148" t="str">
        <f>IFERROR(__xludf.DUMMYFUNCTION("""COMPUTED_VALUE"""),"[]")</f>
        <v>[]</v>
      </c>
      <c r="R374" s="148" t="str">
        <f>IFERROR(__xludf.DUMMYFUNCTION("""COMPUTED_VALUE"""),"[""bag""]")</f>
        <v>["bag"]</v>
      </c>
      <c r="S374" s="148" t="str">
        <f>IFERROR(__xludf.DUMMYFUNCTION("""COMPUTED_VALUE"""),"{}")</f>
        <v>{}</v>
      </c>
      <c r="T374" s="148">
        <f>IFERROR(__xludf.DUMMYFUNCTION("""COMPUTED_VALUE"""),1.0)</f>
        <v>1</v>
      </c>
      <c r="U374" s="148">
        <f>IFERROR(__xludf.DUMMYFUNCTION("""COMPUTED_VALUE"""),0.0)</f>
        <v>0</v>
      </c>
      <c r="V374" s="148" t="str">
        <f>IFERROR(__xludf.DUMMYFUNCTION("""COMPUTED_VALUE"""),"[]")</f>
        <v>[]</v>
      </c>
      <c r="W374" s="148">
        <f>IFERROR(__xludf.DUMMYFUNCTION("""COMPUTED_VALUE"""),1.174E7)</f>
        <v>11740000</v>
      </c>
      <c r="X374" s="148">
        <f>IFERROR(__xludf.DUMMYFUNCTION("""COMPUTED_VALUE"""),0.0)</f>
        <v>0</v>
      </c>
      <c r="Y374" s="148">
        <f>IFERROR(__xludf.DUMMYFUNCTION("""COMPUTED_VALUE"""),0.0)</f>
        <v>0</v>
      </c>
      <c r="Z374" s="148"/>
    </row>
    <row r="375">
      <c r="A375" s="148">
        <f>IFERROR(__xludf.DUMMYFUNCTION("""COMPUTED_VALUE"""),1.1112166E7)</f>
        <v>11112166</v>
      </c>
      <c r="B375" s="148" t="str">
        <f>IFERROR(__xludf.DUMMYFUNCTION("""COMPUTED_VALUE"""),"主城皮肤-拓荒节高级皮肤2024-14天")</f>
        <v>主城皮肤-拓荒节高级皮肤2024-14天</v>
      </c>
      <c r="C375" s="148"/>
      <c r="D375" s="148" t="str">
        <f>IFERROR(__xludf.DUMMYFUNCTION("""COMPUTED_VALUE"""),"city_skin")</f>
        <v>city_skin</v>
      </c>
      <c r="E375" s="148">
        <f>IFERROR(__xludf.DUMMYFUNCTION("""COMPUTED_VALUE"""),21.0)</f>
        <v>21</v>
      </c>
      <c r="F375" s="148">
        <f>IFERROR(__xludf.DUMMYFUNCTION("""COMPUTED_VALUE"""),400106.0)</f>
        <v>400106</v>
      </c>
      <c r="G375" s="148">
        <f>IFERROR(__xludf.DUMMYFUNCTION("""COMPUTED_VALUE"""),1.5119287E7)</f>
        <v>15119287</v>
      </c>
      <c r="H375" s="148">
        <f>IFERROR(__xludf.DUMMYFUNCTION("""COMPUTED_VALUE"""),1.5112564E7)</f>
        <v>15112564</v>
      </c>
      <c r="I375" s="148" t="str">
        <f>IFERROR(__xludf.DUMMYFUNCTION("""COMPUTED_VALUE"""),"{""typ"":""lc"",""txt"":""LC_ITEM_time_day_upper_show"",""args"":[{""typ"":""int"",""val"":14}]}")</f>
        <v>{"typ":"lc","txt":"LC_ITEM_time_day_upper_show","args":[{"typ":"int","val":14}]}</v>
      </c>
      <c r="J375" s="148" t="str">
        <f>IFERROR(__xludf.DUMMYFUNCTION("""COMPUTED_VALUE"""),"{""typ"":""lc"",""txt"":""LC_ITEM_2024labor_highcity_skin_title_14day""}")</f>
        <v>{"typ":"lc","txt":"LC_ITEM_2024labor_highcity_skin_title_14day"}</v>
      </c>
      <c r="K375" s="148" t="str">
        <f>IFERROR(__xludf.DUMMYFUNCTION("""COMPUTED_VALUE"""),"{""typ"":""lc"",""txt"":""LC_ITEM_2024labor_highskin_desc_14days""}")</f>
        <v>{"typ":"lc","txt":"LC_ITEM_2024labor_highskin_desc_14days"}</v>
      </c>
      <c r="L375" s="148" t="str">
        <f>IFERROR(__xludf.DUMMYFUNCTION("""COMPUTED_VALUE"""),"{""typ"":""lc"",""txt"":""LC_ITEM_city_skin_rocket_use_tips""}")</f>
        <v>{"typ":"lc","txt":"LC_ITEM_city_skin_rocket_use_tips"}</v>
      </c>
      <c r="M375" s="148">
        <f>IFERROR(__xludf.DUMMYFUNCTION("""COMPUTED_VALUE"""),10000.0)</f>
        <v>10000</v>
      </c>
      <c r="N375" s="148">
        <f>IFERROR(__xludf.DUMMYFUNCTION("""COMPUTED_VALUE"""),999.0)</f>
        <v>999</v>
      </c>
      <c r="O375" s="148">
        <f>IFERROR(__xludf.DUMMYFUNCTION("""COMPUTED_VALUE"""),1.0)</f>
        <v>1</v>
      </c>
      <c r="P375" s="148">
        <f>IFERROR(__xludf.DUMMYFUNCTION("""COMPUTED_VALUE"""),1.0)</f>
        <v>1</v>
      </c>
      <c r="Q375" s="148" t="str">
        <f>IFERROR(__xludf.DUMMYFUNCTION("""COMPUTED_VALUE"""),"[""bag_other""]")</f>
        <v>["bag_other"]</v>
      </c>
      <c r="R375" s="148" t="str">
        <f>IFERROR(__xludf.DUMMYFUNCTION("""COMPUTED_VALUE"""),"[""bag"",""13121039""]")</f>
        <v>["bag","13121039"]</v>
      </c>
      <c r="S375" s="148" t="str">
        <f>IFERROR(__xludf.DUMMYFUNCTION("""COMPUTED_VALUE"""),"{""effect"":[{""typ"":""city_skin"",""id"":13121039,""val"":1209600000},{""typ"":""item"",""id"":11111021,""val"":7}]}")</f>
        <v>{"effect":[{"typ":"city_skin","id":13121039,"val":1209600000},{"typ":"item","id":11111021,"val":7}]}</v>
      </c>
      <c r="T375" s="148">
        <f>IFERROR(__xludf.DUMMYFUNCTION("""COMPUTED_VALUE"""),-1.0)</f>
        <v>-1</v>
      </c>
      <c r="U375" s="148">
        <f>IFERROR(__xludf.DUMMYFUNCTION("""COMPUTED_VALUE"""),0.0)</f>
        <v>0</v>
      </c>
      <c r="V375" s="148" t="str">
        <f>IFERROR(__xludf.DUMMYFUNCTION("""COMPUTED_VALUE"""),"[]")</f>
        <v>[]</v>
      </c>
      <c r="W375" s="148">
        <f>IFERROR(__xludf.DUMMYFUNCTION("""COMPUTED_VALUE"""),1.174E7)</f>
        <v>11740000</v>
      </c>
      <c r="X375" s="148">
        <f>IFERROR(__xludf.DUMMYFUNCTION("""COMPUTED_VALUE"""),0.0)</f>
        <v>0</v>
      </c>
      <c r="Y375" s="148">
        <f>IFERROR(__xludf.DUMMYFUNCTION("""COMPUTED_VALUE"""),0.0)</f>
        <v>0</v>
      </c>
      <c r="Z375" s="148"/>
    </row>
    <row r="376">
      <c r="A376" s="148">
        <f>IFERROR(__xludf.DUMMYFUNCTION("""COMPUTED_VALUE"""),1.1112167E7)</f>
        <v>11112167</v>
      </c>
      <c r="B376" s="148" t="str">
        <f>IFERROR(__xludf.DUMMYFUNCTION("""COMPUTED_VALUE"""),"主城皮肤-拓荒节高级皮肤2024-7天")</f>
        <v>主城皮肤-拓荒节高级皮肤2024-7天</v>
      </c>
      <c r="C376" s="148"/>
      <c r="D376" s="148" t="str">
        <f>IFERROR(__xludf.DUMMYFUNCTION("""COMPUTED_VALUE"""),"city_skin")</f>
        <v>city_skin</v>
      </c>
      <c r="E376" s="148">
        <f>IFERROR(__xludf.DUMMYFUNCTION("""COMPUTED_VALUE"""),21.0)</f>
        <v>21</v>
      </c>
      <c r="F376" s="148">
        <f>IFERROR(__xludf.DUMMYFUNCTION("""COMPUTED_VALUE"""),400106.0)</f>
        <v>400106</v>
      </c>
      <c r="G376" s="148">
        <f>IFERROR(__xludf.DUMMYFUNCTION("""COMPUTED_VALUE"""),1.5119287E7)</f>
        <v>15119287</v>
      </c>
      <c r="H376" s="148">
        <f>IFERROR(__xludf.DUMMYFUNCTION("""COMPUTED_VALUE"""),1.5112564E7)</f>
        <v>15112564</v>
      </c>
      <c r="I376" s="148" t="str">
        <f>IFERROR(__xludf.DUMMYFUNCTION("""COMPUTED_VALUE"""),"{""typ"":""lc"",""txt"":""LC_ITEM_time_day_upper_show"",""args"":[{""typ"":""int"",""val"":7}]}")</f>
        <v>{"typ":"lc","txt":"LC_ITEM_time_day_upper_show","args":[{"typ":"int","val":7}]}</v>
      </c>
      <c r="J376" s="148" t="str">
        <f>IFERROR(__xludf.DUMMYFUNCTION("""COMPUTED_VALUE"""),"{""typ"":""lc"",""txt"":""LC_ITEM_2024labor_highcity_skin_title_7day""}")</f>
        <v>{"typ":"lc","txt":"LC_ITEM_2024labor_highcity_skin_title_7day"}</v>
      </c>
      <c r="K376" s="148" t="str">
        <f>IFERROR(__xludf.DUMMYFUNCTION("""COMPUTED_VALUE"""),"{""typ"":""lc"",""txt"":""LC_ITEM_2024labor_highskin_desc_7days""}")</f>
        <v>{"typ":"lc","txt":"LC_ITEM_2024labor_highskin_desc_7days"}</v>
      </c>
      <c r="L376" s="148" t="str">
        <f>IFERROR(__xludf.DUMMYFUNCTION("""COMPUTED_VALUE"""),"{""typ"":""lc"",""txt"":""LC_ITEM_city_skin_rocket_use_tips""}")</f>
        <v>{"typ":"lc","txt":"LC_ITEM_city_skin_rocket_use_tips"}</v>
      </c>
      <c r="M376" s="148">
        <f>IFERROR(__xludf.DUMMYFUNCTION("""COMPUTED_VALUE"""),10000.0)</f>
        <v>10000</v>
      </c>
      <c r="N376" s="148">
        <f>IFERROR(__xludf.DUMMYFUNCTION("""COMPUTED_VALUE"""),999.0)</f>
        <v>999</v>
      </c>
      <c r="O376" s="148">
        <f>IFERROR(__xludf.DUMMYFUNCTION("""COMPUTED_VALUE"""),1.0)</f>
        <v>1</v>
      </c>
      <c r="P376" s="148">
        <f>IFERROR(__xludf.DUMMYFUNCTION("""COMPUTED_VALUE"""),1.0)</f>
        <v>1</v>
      </c>
      <c r="Q376" s="148" t="str">
        <f>IFERROR(__xludf.DUMMYFUNCTION("""COMPUTED_VALUE"""),"[""bag_other""]")</f>
        <v>["bag_other"]</v>
      </c>
      <c r="R376" s="148" t="str">
        <f>IFERROR(__xludf.DUMMYFUNCTION("""COMPUTED_VALUE"""),"[""bag"",""13121039""]")</f>
        <v>["bag","13121039"]</v>
      </c>
      <c r="S376" s="148" t="str">
        <f>IFERROR(__xludf.DUMMYFUNCTION("""COMPUTED_VALUE"""),"{""effect"":[{""typ"":""city_skin"",""id"":13121039,""val"":604800000},{""typ"":""item"",""id"":11111021,""val"":3}]}")</f>
        <v>{"effect":[{"typ":"city_skin","id":13121039,"val":604800000},{"typ":"item","id":11111021,"val":3}]}</v>
      </c>
      <c r="T376" s="148">
        <f>IFERROR(__xludf.DUMMYFUNCTION("""COMPUTED_VALUE"""),-1.0)</f>
        <v>-1</v>
      </c>
      <c r="U376" s="148">
        <f>IFERROR(__xludf.DUMMYFUNCTION("""COMPUTED_VALUE"""),0.0)</f>
        <v>0</v>
      </c>
      <c r="V376" s="148" t="str">
        <f>IFERROR(__xludf.DUMMYFUNCTION("""COMPUTED_VALUE"""),"[]")</f>
        <v>[]</v>
      </c>
      <c r="W376" s="148">
        <f>IFERROR(__xludf.DUMMYFUNCTION("""COMPUTED_VALUE"""),1.174E7)</f>
        <v>11740000</v>
      </c>
      <c r="X376" s="148">
        <f>IFERROR(__xludf.DUMMYFUNCTION("""COMPUTED_VALUE"""),0.0)</f>
        <v>0</v>
      </c>
      <c r="Y376" s="148">
        <f>IFERROR(__xludf.DUMMYFUNCTION("""COMPUTED_VALUE"""),0.0)</f>
        <v>0</v>
      </c>
      <c r="Z376" s="148"/>
    </row>
    <row r="377">
      <c r="A377" s="148">
        <f>IFERROR(__xludf.DUMMYFUNCTION("""COMPUTED_VALUE"""),1.1112168E7)</f>
        <v>11112168</v>
      </c>
      <c r="B377" s="148" t="str">
        <f>IFERROR(__xludf.DUMMYFUNCTION("""COMPUTED_VALUE"""),"主城皮肤-拓荒节高级皮肤2024")</f>
        <v>主城皮肤-拓荒节高级皮肤2024</v>
      </c>
      <c r="C377" s="148"/>
      <c r="D377" s="148" t="str">
        <f>IFERROR(__xludf.DUMMYFUNCTION("""COMPUTED_VALUE"""),"city_skin")</f>
        <v>city_skin</v>
      </c>
      <c r="E377" s="148">
        <f>IFERROR(__xludf.DUMMYFUNCTION("""COMPUTED_VALUE"""),21.0)</f>
        <v>21</v>
      </c>
      <c r="F377" s="148">
        <f>IFERROR(__xludf.DUMMYFUNCTION("""COMPUTED_VALUE"""),400106.0)</f>
        <v>400106</v>
      </c>
      <c r="G377" s="148">
        <f>IFERROR(__xludf.DUMMYFUNCTION("""COMPUTED_VALUE"""),1.5119287E7)</f>
        <v>15119287</v>
      </c>
      <c r="H377" s="148">
        <f>IFERROR(__xludf.DUMMYFUNCTION("""COMPUTED_VALUE"""),1.5112564E7)</f>
        <v>15112564</v>
      </c>
      <c r="I377" s="148" t="str">
        <f>IFERROR(__xludf.DUMMYFUNCTION("""COMPUTED_VALUE"""),"{}")</f>
        <v>{}</v>
      </c>
      <c r="J377" s="148" t="str">
        <f>IFERROR(__xludf.DUMMYFUNCTION("""COMPUTED_VALUE"""),"{""typ"":""lc"",""txt"":""LC_ITEM_2024labor_highcity_skin_title""}")</f>
        <v>{"typ":"lc","txt":"LC_ITEM_2024labor_highcity_skin_title"}</v>
      </c>
      <c r="K377" s="148" t="str">
        <f>IFERROR(__xludf.DUMMYFUNCTION("""COMPUTED_VALUE"""),"{""typ"":""lc"",""txt"":""LC_ITEM_2024labor_highskin_desc_forever""}")</f>
        <v>{"typ":"lc","txt":"LC_ITEM_2024labor_highskin_desc_forever"}</v>
      </c>
      <c r="L377" s="148" t="str">
        <f>IFERROR(__xludf.DUMMYFUNCTION("""COMPUTED_VALUE"""),"{""typ"":""lc"",""txt"":""LC_ITEM_city_skin_rocket_use_tips""}")</f>
        <v>{"typ":"lc","txt":"LC_ITEM_city_skin_rocket_use_tips"}</v>
      </c>
      <c r="M377" s="148">
        <f>IFERROR(__xludf.DUMMYFUNCTION("""COMPUTED_VALUE"""),10000.0)</f>
        <v>10000</v>
      </c>
      <c r="N377" s="148">
        <f>IFERROR(__xludf.DUMMYFUNCTION("""COMPUTED_VALUE"""),999.0)</f>
        <v>999</v>
      </c>
      <c r="O377" s="148">
        <f>IFERROR(__xludf.DUMMYFUNCTION("""COMPUTED_VALUE"""),1.0)</f>
        <v>1</v>
      </c>
      <c r="P377" s="148">
        <f>IFERROR(__xludf.DUMMYFUNCTION("""COMPUTED_VALUE"""),1.0)</f>
        <v>1</v>
      </c>
      <c r="Q377" s="148" t="str">
        <f>IFERROR(__xludf.DUMMYFUNCTION("""COMPUTED_VALUE"""),"[""bag_other""]")</f>
        <v>["bag_other"]</v>
      </c>
      <c r="R377" s="148" t="str">
        <f>IFERROR(__xludf.DUMMYFUNCTION("""COMPUTED_VALUE"""),"[""bag"",""13121039""]")</f>
        <v>["bag","13121039"]</v>
      </c>
      <c r="S377" s="148" t="str">
        <f>IFERROR(__xludf.DUMMYFUNCTION("""COMPUTED_VALUE"""),"{""effect"":[{""typ"":""city_skin"",""id"":13121039,""val"":-1},{""typ"":""item"",""id"":11111034,""val"":10}]}")</f>
        <v>{"effect":[{"typ":"city_skin","id":13121039,"val":-1},{"typ":"item","id":11111034,"val":10}]}</v>
      </c>
      <c r="T377" s="148">
        <f>IFERROR(__xludf.DUMMYFUNCTION("""COMPUTED_VALUE"""),-1.0)</f>
        <v>-1</v>
      </c>
      <c r="U377" s="148">
        <f>IFERROR(__xludf.DUMMYFUNCTION("""COMPUTED_VALUE"""),0.0)</f>
        <v>0</v>
      </c>
      <c r="V377" s="148" t="str">
        <f>IFERROR(__xludf.DUMMYFUNCTION("""COMPUTED_VALUE"""),"[]")</f>
        <v>[]</v>
      </c>
      <c r="W377" s="148">
        <f>IFERROR(__xludf.DUMMYFUNCTION("""COMPUTED_VALUE"""),1.174E7)</f>
        <v>11740000</v>
      </c>
      <c r="X377" s="148">
        <f>IFERROR(__xludf.DUMMYFUNCTION("""COMPUTED_VALUE"""),0.0)</f>
        <v>0</v>
      </c>
      <c r="Y377" s="148">
        <f>IFERROR(__xludf.DUMMYFUNCTION("""COMPUTED_VALUE"""),0.0)</f>
        <v>0</v>
      </c>
      <c r="Z377" s="148"/>
    </row>
    <row r="378">
      <c r="A378" s="148">
        <f>IFERROR(__xludf.DUMMYFUNCTION("""COMPUTED_VALUE"""),1.1112169E7)</f>
        <v>11112169</v>
      </c>
      <c r="B378" s="148" t="str">
        <f>IFERROR(__xludf.DUMMYFUNCTION("""COMPUTED_VALUE"""),"主城皮肤-拓荒节2024")</f>
        <v>主城皮肤-拓荒节2024</v>
      </c>
      <c r="C378" s="148"/>
      <c r="D378" s="148" t="str">
        <f>IFERROR(__xludf.DUMMYFUNCTION("""COMPUTED_VALUE"""),"city_skin")</f>
        <v>city_skin</v>
      </c>
      <c r="E378" s="148">
        <f>IFERROR(__xludf.DUMMYFUNCTION("""COMPUTED_VALUE"""),21.0)</f>
        <v>21</v>
      </c>
      <c r="F378" s="148">
        <f>IFERROR(__xludf.DUMMYFUNCTION("""COMPUTED_VALUE"""),1.0)</f>
        <v>1</v>
      </c>
      <c r="G378" s="148">
        <f>IFERROR(__xludf.DUMMYFUNCTION("""COMPUTED_VALUE"""),1.5119286E7)</f>
        <v>15119286</v>
      </c>
      <c r="H378" s="148">
        <f>IFERROR(__xludf.DUMMYFUNCTION("""COMPUTED_VALUE"""),1.5112564E7)</f>
        <v>15112564</v>
      </c>
      <c r="I378" s="148" t="str">
        <f>IFERROR(__xludf.DUMMYFUNCTION("""COMPUTED_VALUE"""),"{}")</f>
        <v>{}</v>
      </c>
      <c r="J378" s="148" t="str">
        <f>IFERROR(__xludf.DUMMYFUNCTION("""COMPUTED_VALUE"""),"{""typ"":""lc"",""txt"":""LC_ITEM_2024labor_lowcity_skin_title""}")</f>
        <v>{"typ":"lc","txt":"LC_ITEM_2024labor_lowcity_skin_title"}</v>
      </c>
      <c r="K378" s="148" t="str">
        <f>IFERROR(__xludf.DUMMYFUNCTION("""COMPUTED_VALUE"""),"{""typ"":""lc"",""txt"":""LC_ITEM_2024labor_lowcity_skin_desc_forever""}")</f>
        <v>{"typ":"lc","txt":"LC_ITEM_2024labor_lowcity_skin_desc_forever"}</v>
      </c>
      <c r="L378" s="148" t="str">
        <f>IFERROR(__xludf.DUMMYFUNCTION("""COMPUTED_VALUE"""),"{""typ"":""lc"",""txt"":""LC_ITEM_city_skin_rocket_use_tips""}")</f>
        <v>{"typ":"lc","txt":"LC_ITEM_city_skin_rocket_use_tips"}</v>
      </c>
      <c r="M378" s="148">
        <f>IFERROR(__xludf.DUMMYFUNCTION("""COMPUTED_VALUE"""),10000.0)</f>
        <v>10000</v>
      </c>
      <c r="N378" s="148">
        <f>IFERROR(__xludf.DUMMYFUNCTION("""COMPUTED_VALUE"""),999.0)</f>
        <v>999</v>
      </c>
      <c r="O378" s="148">
        <f>IFERROR(__xludf.DUMMYFUNCTION("""COMPUTED_VALUE"""),1.0)</f>
        <v>1</v>
      </c>
      <c r="P378" s="148">
        <f>IFERROR(__xludf.DUMMYFUNCTION("""COMPUTED_VALUE"""),1.0)</f>
        <v>1</v>
      </c>
      <c r="Q378" s="148" t="str">
        <f>IFERROR(__xludf.DUMMYFUNCTION("""COMPUTED_VALUE"""),"[""bag_other""]")</f>
        <v>["bag_other"]</v>
      </c>
      <c r="R378" s="148" t="str">
        <f>IFERROR(__xludf.DUMMYFUNCTION("""COMPUTED_VALUE"""),"[""bag"",""13121038""]")</f>
        <v>["bag","13121038"]</v>
      </c>
      <c r="S378" s="148" t="str">
        <f>IFERROR(__xludf.DUMMYFUNCTION("""COMPUTED_VALUE"""),"{""effect"":[{""typ"":""city_skin"",""id"":13121038,""val"":-1},{""typ"":""item"",""id"":11111034,""val"":10}]}")</f>
        <v>{"effect":[{"typ":"city_skin","id":13121038,"val":-1},{"typ":"item","id":11111034,"val":10}]}</v>
      </c>
      <c r="T378" s="148">
        <f>IFERROR(__xludf.DUMMYFUNCTION("""COMPUTED_VALUE"""),-1.0)</f>
        <v>-1</v>
      </c>
      <c r="U378" s="148">
        <f>IFERROR(__xludf.DUMMYFUNCTION("""COMPUTED_VALUE"""),0.0)</f>
        <v>0</v>
      </c>
      <c r="V378" s="148" t="str">
        <f>IFERROR(__xludf.DUMMYFUNCTION("""COMPUTED_VALUE"""),"[]")</f>
        <v>[]</v>
      </c>
      <c r="W378" s="148">
        <f>IFERROR(__xludf.DUMMYFUNCTION("""COMPUTED_VALUE"""),1.174E7)</f>
        <v>11740000</v>
      </c>
      <c r="X378" s="148">
        <f>IFERROR(__xludf.DUMMYFUNCTION("""COMPUTED_VALUE"""),0.0)</f>
        <v>0</v>
      </c>
      <c r="Y378" s="148">
        <f>IFERROR(__xludf.DUMMYFUNCTION("""COMPUTED_VALUE"""),0.0)</f>
        <v>0</v>
      </c>
      <c r="Z378" s="148"/>
    </row>
    <row r="379">
      <c r="A379" s="148">
        <f>IFERROR(__xludf.DUMMYFUNCTION("""COMPUTED_VALUE"""),1.111217E7)</f>
        <v>11112170</v>
      </c>
      <c r="B379" s="148" t="str">
        <f>IFERROR(__xludf.DUMMYFUNCTION("""COMPUTED_VALUE"""),"主城皮肤-拓荒节2024（2天）")</f>
        <v>主城皮肤-拓荒节2024（2天）</v>
      </c>
      <c r="C379" s="148"/>
      <c r="D379" s="148" t="str">
        <f>IFERROR(__xludf.DUMMYFUNCTION("""COMPUTED_VALUE"""),"city_skin")</f>
        <v>city_skin</v>
      </c>
      <c r="E379" s="148">
        <f>IFERROR(__xludf.DUMMYFUNCTION("""COMPUTED_VALUE"""),21.0)</f>
        <v>21</v>
      </c>
      <c r="F379" s="148">
        <f>IFERROR(__xludf.DUMMYFUNCTION("""COMPUTED_VALUE"""),404201.0)</f>
        <v>404201</v>
      </c>
      <c r="G379" s="148">
        <f>IFERROR(__xludf.DUMMYFUNCTION("""COMPUTED_VALUE"""),1.5119286E7)</f>
        <v>15119286</v>
      </c>
      <c r="H379" s="148">
        <f>IFERROR(__xludf.DUMMYFUNCTION("""COMPUTED_VALUE"""),1.5112563E7)</f>
        <v>15112563</v>
      </c>
      <c r="I379" s="148" t="str">
        <f>IFERROR(__xludf.DUMMYFUNCTION("""COMPUTED_VALUE"""),"{""typ"":""lc"",""txt"":""LC_ITEM_time_day_upper_show"",""args"":[{""typ"":""int"",""val"":2}]}")</f>
        <v>{"typ":"lc","txt":"LC_ITEM_time_day_upper_show","args":[{"typ":"int","val":2}]}</v>
      </c>
      <c r="J379" s="148" t="str">
        <f>IFERROR(__xludf.DUMMYFUNCTION("""COMPUTED_VALUE"""),"{""typ"":""lc"",""txt"":""LC_ITEM_2024labor_lowcity_skin_title_2day""}")</f>
        <v>{"typ":"lc","txt":"LC_ITEM_2024labor_lowcity_skin_title_2day"}</v>
      </c>
      <c r="K379" s="148" t="str">
        <f>IFERROR(__xludf.DUMMYFUNCTION("""COMPUTED_VALUE"""),"{""typ"":""lc"",""txt"":""LC_ITEM_2024labor_lowcity_skin_desc_2day""}")</f>
        <v>{"typ":"lc","txt":"LC_ITEM_2024labor_lowcity_skin_desc_2day"}</v>
      </c>
      <c r="L379" s="148" t="str">
        <f>IFERROR(__xludf.DUMMYFUNCTION("""COMPUTED_VALUE"""),"{""typ"":""lc"",""txt"":""LC_ITEM_city_skin_rocket_use_tips""}")</f>
        <v>{"typ":"lc","txt":"LC_ITEM_city_skin_rocket_use_tips"}</v>
      </c>
      <c r="M379" s="148">
        <f>IFERROR(__xludf.DUMMYFUNCTION("""COMPUTED_VALUE"""),500.0)</f>
        <v>500</v>
      </c>
      <c r="N379" s="148">
        <f>IFERROR(__xludf.DUMMYFUNCTION("""COMPUTED_VALUE"""),999.0)</f>
        <v>999</v>
      </c>
      <c r="O379" s="148">
        <f>IFERROR(__xludf.DUMMYFUNCTION("""COMPUTED_VALUE"""),1.0)</f>
        <v>1</v>
      </c>
      <c r="P379" s="148">
        <f>IFERROR(__xludf.DUMMYFUNCTION("""COMPUTED_VALUE"""),1.0)</f>
        <v>1</v>
      </c>
      <c r="Q379" s="148" t="str">
        <f>IFERROR(__xludf.DUMMYFUNCTION("""COMPUTED_VALUE"""),"[""bag_other""]")</f>
        <v>["bag_other"]</v>
      </c>
      <c r="R379" s="148" t="str">
        <f>IFERROR(__xludf.DUMMYFUNCTION("""COMPUTED_VALUE"""),"[""bag"",""13121038""]")</f>
        <v>["bag","13121038"]</v>
      </c>
      <c r="S379" s="148" t="str">
        <f>IFERROR(__xludf.DUMMYFUNCTION("""COMPUTED_VALUE"""),"{""effect"":[{""typ"":""city_skin"",""id"":13121038,""val"":172800000},{""typ"":""item"",""id"":11111021,""val"":1}]}")</f>
        <v>{"effect":[{"typ":"city_skin","id":13121038,"val":172800000},{"typ":"item","id":11111021,"val":1}]}</v>
      </c>
      <c r="T379" s="148">
        <f>IFERROR(__xludf.DUMMYFUNCTION("""COMPUTED_VALUE"""),-1.0)</f>
        <v>-1</v>
      </c>
      <c r="U379" s="148">
        <f>IFERROR(__xludf.DUMMYFUNCTION("""COMPUTED_VALUE"""),0.0)</f>
        <v>0</v>
      </c>
      <c r="V379" s="148" t="str">
        <f>IFERROR(__xludf.DUMMYFUNCTION("""COMPUTED_VALUE"""),"[]")</f>
        <v>[]</v>
      </c>
      <c r="W379" s="148">
        <f>IFERROR(__xludf.DUMMYFUNCTION("""COMPUTED_VALUE"""),1.174E7)</f>
        <v>11740000</v>
      </c>
      <c r="X379" s="148">
        <f>IFERROR(__xludf.DUMMYFUNCTION("""COMPUTED_VALUE"""),0.0)</f>
        <v>0</v>
      </c>
      <c r="Y379" s="148">
        <f>IFERROR(__xludf.DUMMYFUNCTION("""COMPUTED_VALUE"""),0.0)</f>
        <v>0</v>
      </c>
      <c r="Z379" s="148"/>
    </row>
    <row r="380">
      <c r="A380" s="148">
        <f>IFERROR(__xludf.DUMMYFUNCTION("""COMPUTED_VALUE"""),1.1112171E7)</f>
        <v>11112171</v>
      </c>
      <c r="B380" s="148" t="str">
        <f>IFERROR(__xludf.DUMMYFUNCTION("""COMPUTED_VALUE"""),"拓荒节2024-装饰升级版本")</f>
        <v>拓荒节2024-装饰升级版本</v>
      </c>
      <c r="C380" s="148"/>
      <c r="D380" s="148" t="str">
        <f>IFERROR(__xludf.DUMMYFUNCTION("""COMPUTED_VALUE"""),"statue_decorate")</f>
        <v>statue_decorate</v>
      </c>
      <c r="E380" s="148">
        <f>IFERROR(__xludf.DUMMYFUNCTION("""COMPUTED_VALUE"""),23.0)</f>
        <v>23</v>
      </c>
      <c r="F380" s="148">
        <f>IFERROR(__xludf.DUMMYFUNCTION("""COMPUTED_VALUE"""),0.0)</f>
        <v>0</v>
      </c>
      <c r="G380" s="148">
        <f>IFERROR(__xludf.DUMMYFUNCTION("""COMPUTED_VALUE"""),1.5119293E7)</f>
        <v>15119293</v>
      </c>
      <c r="H380" s="148">
        <f>IFERROR(__xludf.DUMMYFUNCTION("""COMPUTED_VALUE"""),1.5112564E7)</f>
        <v>15112564</v>
      </c>
      <c r="I380" s="148" t="str">
        <f>IFERROR(__xludf.DUMMYFUNCTION("""COMPUTED_VALUE"""),"{}")</f>
        <v>{}</v>
      </c>
      <c r="J380" s="148" t="str">
        <f>IFERROR(__xludf.DUMMYFUNCTION("""COMPUTED_VALUE"""),"{""typ"":""lc"",""txt"":""LC_ITEM_2024labor_dec_item_2""}")</f>
        <v>{"typ":"lc","txt":"LC_ITEM_2024labor_dec_item_2"}</v>
      </c>
      <c r="K380" s="148" t="str">
        <f>IFERROR(__xludf.DUMMYFUNCTION("""COMPUTED_VALUE"""),"{""typ"":""lc"",""txt"":""LC_ITEM_2024labor_dec_item_3_desc""}")</f>
        <v>{"typ":"lc","txt":"LC_ITEM_2024labor_dec_item_3_desc"}</v>
      </c>
      <c r="L380" s="148" t="str">
        <f>IFERROR(__xludf.DUMMYFUNCTION("""COMPUTED_VALUE"""),"{}")</f>
        <v>{}</v>
      </c>
      <c r="M380" s="148">
        <f>IFERROR(__xludf.DUMMYFUNCTION("""COMPUTED_VALUE"""),5000.0)</f>
        <v>5000</v>
      </c>
      <c r="N380" s="148">
        <f>IFERROR(__xludf.DUMMYFUNCTION("""COMPUTED_VALUE"""),999.0)</f>
        <v>999</v>
      </c>
      <c r="O380" s="148">
        <f>IFERROR(__xludf.DUMMYFUNCTION("""COMPUTED_VALUE"""),99999.0)</f>
        <v>99999</v>
      </c>
      <c r="P380" s="148">
        <f>IFERROR(__xludf.DUMMYFUNCTION("""COMPUTED_VALUE"""),99999.0)</f>
        <v>99999</v>
      </c>
      <c r="Q380" s="148" t="str">
        <f>IFERROR(__xludf.DUMMYFUNCTION("""COMPUTED_VALUE"""),"[]")</f>
        <v>[]</v>
      </c>
      <c r="R380" s="148" t="str">
        <f>IFERROR(__xludf.DUMMYFUNCTION("""COMPUTED_VALUE"""),"[""bag""]")</f>
        <v>["bag"]</v>
      </c>
      <c r="S380" s="148" t="str">
        <f>IFERROR(__xludf.DUMMYFUNCTION("""COMPUTED_VALUE"""),"{""effect"":[{""typ"":""holiday_statue"",""id"":21481501},{""typ"":""item"",""id"":11111021,""val"":1}]}")</f>
        <v>{"effect":[{"typ":"holiday_statue","id":21481501},{"typ":"item","id":11111021,"val":1}]}</v>
      </c>
      <c r="T380" s="148">
        <f>IFERROR(__xludf.DUMMYFUNCTION("""COMPUTED_VALUE"""),-1.0)</f>
        <v>-1</v>
      </c>
      <c r="U380" s="148">
        <f>IFERROR(__xludf.DUMMYFUNCTION("""COMPUTED_VALUE"""),1.0)</f>
        <v>1</v>
      </c>
      <c r="V380" s="148" t="str">
        <f>IFERROR(__xludf.DUMMYFUNCTION("""COMPUTED_VALUE"""),"[]")</f>
        <v>[]</v>
      </c>
      <c r="W380" s="148">
        <f>IFERROR(__xludf.DUMMYFUNCTION("""COMPUTED_VALUE"""),1.174E7)</f>
        <v>11740000</v>
      </c>
      <c r="X380" s="148">
        <f>IFERROR(__xludf.DUMMYFUNCTION("""COMPUTED_VALUE"""),0.0)</f>
        <v>0</v>
      </c>
      <c r="Y380" s="148">
        <f>IFERROR(__xludf.DUMMYFUNCTION("""COMPUTED_VALUE"""),0.0)</f>
        <v>0</v>
      </c>
      <c r="Z380" s="148"/>
    </row>
    <row r="381">
      <c r="A381" s="148">
        <f>IFERROR(__xludf.DUMMYFUNCTION("""COMPUTED_VALUE"""),1.1112172E7)</f>
        <v>11112172</v>
      </c>
      <c r="B381" s="148" t="str">
        <f>IFERROR(__xludf.DUMMYFUNCTION("""COMPUTED_VALUE"""),"拓荒节2024-装饰升级道具")</f>
        <v>拓荒节2024-装饰升级道具</v>
      </c>
      <c r="C381" s="148"/>
      <c r="D381" s="148" t="str">
        <f>IFERROR(__xludf.DUMMYFUNCTION("""COMPUTED_VALUE"""),"event")</f>
        <v>event</v>
      </c>
      <c r="E381" s="148">
        <f>IFERROR(__xludf.DUMMYFUNCTION("""COMPUTED_VALUE"""),0.0)</f>
        <v>0</v>
      </c>
      <c r="F381" s="148">
        <f>IFERROR(__xludf.DUMMYFUNCTION("""COMPUTED_VALUE"""),405243.0)</f>
        <v>405243</v>
      </c>
      <c r="G381" s="148">
        <f>IFERROR(__xludf.DUMMYFUNCTION("""COMPUTED_VALUE"""),1.5119293E7)</f>
        <v>15119293</v>
      </c>
      <c r="H381" s="148">
        <f>IFERROR(__xludf.DUMMYFUNCTION("""COMPUTED_VALUE"""),1.5112564E7)</f>
        <v>15112564</v>
      </c>
      <c r="I381" s="148" t="str">
        <f>IFERROR(__xludf.DUMMYFUNCTION("""COMPUTED_VALUE"""),"{}")</f>
        <v>{}</v>
      </c>
      <c r="J381" s="148" t="str">
        <f>IFERROR(__xludf.DUMMYFUNCTION("""COMPUTED_VALUE"""),"{""typ"":""lc"",""txt"":""LC_ITEM_2024labor_dec_item_2""}")</f>
        <v>{"typ":"lc","txt":"LC_ITEM_2024labor_dec_item_2"}</v>
      </c>
      <c r="K381" s="148" t="str">
        <f>IFERROR(__xludf.DUMMYFUNCTION("""COMPUTED_VALUE"""),"{""typ"":""lc"",""txt"":""LC_ITEM_2024labor_dec_item_3_desc""}")</f>
        <v>{"typ":"lc","txt":"LC_ITEM_2024labor_dec_item_3_desc"}</v>
      </c>
      <c r="L381" s="148" t="str">
        <f>IFERROR(__xludf.DUMMYFUNCTION("""COMPUTED_VALUE"""),"{}")</f>
        <v>{}</v>
      </c>
      <c r="M381" s="148">
        <f>IFERROR(__xludf.DUMMYFUNCTION("""COMPUTED_VALUE"""),1000.0)</f>
        <v>1000</v>
      </c>
      <c r="N381" s="148">
        <f>IFERROR(__xludf.DUMMYFUNCTION("""COMPUTED_VALUE"""),9.99999999E8)</f>
        <v>999999999</v>
      </c>
      <c r="O381" s="148">
        <f>IFERROR(__xludf.DUMMYFUNCTION("""COMPUTED_VALUE"""),9.99999999E8)</f>
        <v>999999999</v>
      </c>
      <c r="P381" s="148">
        <f>IFERROR(__xludf.DUMMYFUNCTION("""COMPUTED_VALUE"""),9.99999999E8)</f>
        <v>999999999</v>
      </c>
      <c r="Q381" s="148" t="str">
        <f>IFERROR(__xludf.DUMMYFUNCTION("""COMPUTED_VALUE"""),"[""bag_other""]")</f>
        <v>["bag_other"]</v>
      </c>
      <c r="R381" s="148" t="str">
        <f>IFERROR(__xludf.DUMMYFUNCTION("""COMPUTED_VALUE"""),"[]")</f>
        <v>[]</v>
      </c>
      <c r="S381" s="148" t="str">
        <f>IFERROR(__xludf.DUMMYFUNCTION("""COMPUTED_VALUE"""),"{}")</f>
        <v>{}</v>
      </c>
      <c r="T381" s="148">
        <f>IFERROR(__xludf.DUMMYFUNCTION("""COMPUTED_VALUE"""),-1.0)</f>
        <v>-1</v>
      </c>
      <c r="U381" s="148">
        <f>IFERROR(__xludf.DUMMYFUNCTION("""COMPUTED_VALUE"""),0.0)</f>
        <v>0</v>
      </c>
      <c r="V381" s="148" t="str">
        <f>IFERROR(__xludf.DUMMYFUNCTION("""COMPUTED_VALUE"""),"[]")</f>
        <v>[]</v>
      </c>
      <c r="W381" s="148">
        <f>IFERROR(__xludf.DUMMYFUNCTION("""COMPUTED_VALUE"""),1.174E7)</f>
        <v>11740000</v>
      </c>
      <c r="X381" s="148">
        <f>IFERROR(__xludf.DUMMYFUNCTION("""COMPUTED_VALUE"""),0.0)</f>
        <v>0</v>
      </c>
      <c r="Y381" s="148">
        <f>IFERROR(__xludf.DUMMYFUNCTION("""COMPUTED_VALUE"""),0.0)</f>
        <v>0</v>
      </c>
      <c r="Z381" s="148"/>
    </row>
    <row r="382">
      <c r="A382" s="148">
        <f>IFERROR(__xludf.DUMMYFUNCTION("""COMPUTED_VALUE"""),1.1112173E7)</f>
        <v>11112173</v>
      </c>
      <c r="B382" s="148" t="str">
        <f>IFERROR(__xludf.DUMMYFUNCTION("""COMPUTED_VALUE"""),"2024拓荒节-装饰券宝箱")</f>
        <v>2024拓荒节-装饰券宝箱</v>
      </c>
      <c r="C382" s="148"/>
      <c r="D382" s="148" t="str">
        <f>IFERROR(__xludf.DUMMYFUNCTION("""COMPUTED_VALUE"""),"valentine_reward_box")</f>
        <v>valentine_reward_box</v>
      </c>
      <c r="E382" s="148">
        <f>IFERROR(__xludf.DUMMYFUNCTION("""COMPUTED_VALUE"""),19.0)</f>
        <v>19</v>
      </c>
      <c r="F382" s="148">
        <f>IFERROR(__xludf.DUMMYFUNCTION("""COMPUTED_VALUE"""),201101.0)</f>
        <v>201101</v>
      </c>
      <c r="G382" s="148">
        <f>IFERROR(__xludf.DUMMYFUNCTION("""COMPUTED_VALUE"""),1.5118225E7)</f>
        <v>15118225</v>
      </c>
      <c r="H382" s="148">
        <f>IFERROR(__xludf.DUMMYFUNCTION("""COMPUTED_VALUE"""),1.5112564E7)</f>
        <v>15112564</v>
      </c>
      <c r="I382" s="148" t="str">
        <f>IFERROR(__xludf.DUMMYFUNCTION("""COMPUTED_VALUE"""),"{}")</f>
        <v>{}</v>
      </c>
      <c r="J382" s="148" t="str">
        <f>IFERROR(__xludf.DUMMYFUNCTION("""COMPUTED_VALUE"""),"{""typ"":""lc"",""txt"":""LC_ITEM_labor_fes_box_name""}")</f>
        <v>{"typ":"lc","txt":"LC_ITEM_labor_fes_box_name"}</v>
      </c>
      <c r="K382" s="148" t="str">
        <f>IFERROR(__xludf.DUMMYFUNCTION("""COMPUTED_VALUE"""),"{""typ"":""lc"",""txt"":""LC_ITEM_fes_box_desc""}")</f>
        <v>{"typ":"lc","txt":"LC_ITEM_fes_box_desc"}</v>
      </c>
      <c r="L382" s="148" t="str">
        <f>IFERROR(__xludf.DUMMYFUNCTION("""COMPUTED_VALUE"""),"{""typ"":""lc"",""txt"":""LC_ITEM_horde_elite_box_usedtip""}")</f>
        <v>{"typ":"lc","txt":"LC_ITEM_horde_elite_box_usedtip"}</v>
      </c>
      <c r="M382" s="148">
        <f>IFERROR(__xludf.DUMMYFUNCTION("""COMPUTED_VALUE"""),40.0)</f>
        <v>40</v>
      </c>
      <c r="N382" s="148">
        <f>IFERROR(__xludf.DUMMYFUNCTION("""COMPUTED_VALUE"""),999999.0)</f>
        <v>999999</v>
      </c>
      <c r="O382" s="148">
        <f>IFERROR(__xludf.DUMMYFUNCTION("""COMPUTED_VALUE"""),99999.0)</f>
        <v>99999</v>
      </c>
      <c r="P382" s="148">
        <f>IFERROR(__xludf.DUMMYFUNCTION("""COMPUTED_VALUE"""),99999.0)</f>
        <v>99999</v>
      </c>
      <c r="Q382" s="148" t="str">
        <f>IFERROR(__xludf.DUMMYFUNCTION("""COMPUTED_VALUE"""),"[""bag_other""]")</f>
        <v>["bag_other"]</v>
      </c>
      <c r="R382" s="148" t="str">
        <f>IFERROR(__xludf.DUMMYFUNCTION("""COMPUTED_VALUE"""),"[""bag""]")</f>
        <v>["bag"]</v>
      </c>
      <c r="S382" s="148" t="str">
        <f>IFERROR(__xludf.DUMMYFUNCTION("""COMPUTED_VALUE"""),"{""drop"":{""typ"":""single_random"",""num"":1,""args"":[{""typ"":""item"",""id"":11112030,""num"":1000,""wgt"":19980},{""typ"":""item"",""id"":11112030,""num"":200,""wgt"":120000},{""typ"":""item"",""id"":11112030,""num"":50,""wgt"":200000},{""typ"":""it"&amp;"em"",""id"":11112169,""num"":1,""wgt"":10},{""typ"":""item"",""id"":11117406,""num"":1,""wgt"":10},{""typ"":""item"",""id"":11112030,""num"":20,""wgt"":400000},{""typ"":""item"",""id"":11112030,""num"":100,""wgt"":200000},{""typ"":""item"",""id"":11112030"&amp;",""num"":400,""wgt"":60000}]}}")</f>
        <v>{"drop":{"typ":"single_random","num":1,"args":[{"typ":"item","id":11112030,"num":1000,"wgt":19980},{"typ":"item","id":11112030,"num":200,"wgt":120000},{"typ":"item","id":11112030,"num":50,"wgt":200000},{"typ":"item","id":11112169,"num":1,"wgt":10},{"typ":"item","id":11117406,"num":1,"wgt":10},{"typ":"item","id":11112030,"num":20,"wgt":400000},{"typ":"item","id":11112030,"num":100,"wgt":200000},{"typ":"item","id":11112030,"num":400,"wgt":60000}]}}</v>
      </c>
      <c r="T382" s="148">
        <f>IFERROR(__xludf.DUMMYFUNCTION("""COMPUTED_VALUE"""),-1.0)</f>
        <v>-1</v>
      </c>
      <c r="U382" s="148">
        <f>IFERROR(__xludf.DUMMYFUNCTION("""COMPUTED_VALUE"""),0.0)</f>
        <v>0</v>
      </c>
      <c r="V382" s="148" t="str">
        <f>IFERROR(__xludf.DUMMYFUNCTION("""COMPUTED_VALUE"""),"[]")</f>
        <v>[]</v>
      </c>
      <c r="W382" s="148">
        <f>IFERROR(__xludf.DUMMYFUNCTION("""COMPUTED_VALUE"""),1.174E7)</f>
        <v>11740000</v>
      </c>
      <c r="X382" s="148">
        <f>IFERROR(__xludf.DUMMYFUNCTION("""COMPUTED_VALUE"""),0.0)</f>
        <v>0</v>
      </c>
      <c r="Y382" s="148">
        <f>IFERROR(__xludf.DUMMYFUNCTION("""COMPUTED_VALUE"""),0.0)</f>
        <v>0</v>
      </c>
      <c r="Z382" s="148"/>
    </row>
    <row r="383">
      <c r="A383" s="148">
        <f>IFERROR(__xludf.DUMMYFUNCTION("""COMPUTED_VALUE"""),1.1112174E7)</f>
        <v>11112174</v>
      </c>
      <c r="B383" s="148" t="str">
        <f>IFERROR(__xludf.DUMMYFUNCTION("""COMPUTED_VALUE"""),"拓荒节2024活动专用-增加次数道具")</f>
        <v>拓荒节2024活动专用-增加次数道具</v>
      </c>
      <c r="C383" s="148"/>
      <c r="D383" s="148" t="str">
        <f>IFERROR(__xludf.DUMMYFUNCTION("""COMPUTED_VALUE"""),"event_progress")</f>
        <v>event_progress</v>
      </c>
      <c r="E383" s="148">
        <f>IFERROR(__xludf.DUMMYFUNCTION("""COMPUTED_VALUE"""),0.0)</f>
        <v>0</v>
      </c>
      <c r="F383" s="148">
        <f>IFERROR(__xludf.DUMMYFUNCTION("""COMPUTED_VALUE"""),0.0)</f>
        <v>0</v>
      </c>
      <c r="G383" s="148">
        <f>IFERROR(__xludf.DUMMYFUNCTION("""COMPUTED_VALUE"""),1.5114438E7)</f>
        <v>15114438</v>
      </c>
      <c r="H383" s="148">
        <f>IFERROR(__xludf.DUMMYFUNCTION("""COMPUTED_VALUE"""),1.5112563E7)</f>
        <v>15112563</v>
      </c>
      <c r="I383" s="148" t="str">
        <f>IFERROR(__xludf.DUMMYFUNCTION("""COMPUTED_VALUE"""),"{}")</f>
        <v>{}</v>
      </c>
      <c r="J383" s="148" t="str">
        <f>IFERROR(__xludf.DUMMYFUNCTION("""COMPUTED_VALUE"""),"{}")</f>
        <v>{}</v>
      </c>
      <c r="K383" s="148" t="str">
        <f>IFERROR(__xludf.DUMMYFUNCTION("""COMPUTED_VALUE"""),"{}")</f>
        <v>{}</v>
      </c>
      <c r="L383" s="148" t="str">
        <f>IFERROR(__xludf.DUMMYFUNCTION("""COMPUTED_VALUE"""),"{}")</f>
        <v>{}</v>
      </c>
      <c r="M383" s="148">
        <f>IFERROR(__xludf.DUMMYFUNCTION("""COMPUTED_VALUE"""),1.0)</f>
        <v>1</v>
      </c>
      <c r="N383" s="148">
        <f>IFERROR(__xludf.DUMMYFUNCTION("""COMPUTED_VALUE"""),999999.0)</f>
        <v>999999</v>
      </c>
      <c r="O383" s="148">
        <f>IFERROR(__xludf.DUMMYFUNCTION("""COMPUTED_VALUE"""),99999.0)</f>
        <v>99999</v>
      </c>
      <c r="P383" s="148">
        <f>IFERROR(__xludf.DUMMYFUNCTION("""COMPUTED_VALUE"""),9999.0)</f>
        <v>9999</v>
      </c>
      <c r="Q383" s="148" t="str">
        <f>IFERROR(__xludf.DUMMYFUNCTION("""COMPUTED_VALUE"""),"[]")</f>
        <v>[]</v>
      </c>
      <c r="R383" s="148" t="str">
        <f>IFERROR(__xludf.DUMMYFUNCTION("""COMPUTED_VALUE"""),"[]")</f>
        <v>[]</v>
      </c>
      <c r="S383" s="148" t="str">
        <f>IFERROR(__xludf.DUMMYFUNCTION("""COMPUTED_VALUE"""),"{""effect"":[{""typ"":""event"",""id"":21127090},{""typ"":""event"",""id"":21127441},{""typ"":""event"",""id"":21127035},{""typ"":""miss_lost_reward""}]}")</f>
        <v>{"effect":[{"typ":"event","id":21127090},{"typ":"event","id":21127441},{"typ":"event","id":21127035},{"typ":"miss_lost_reward"}]}</v>
      </c>
      <c r="T383" s="148">
        <f>IFERROR(__xludf.DUMMYFUNCTION("""COMPUTED_VALUE"""),-1.0)</f>
        <v>-1</v>
      </c>
      <c r="U383" s="148">
        <f>IFERROR(__xludf.DUMMYFUNCTION("""COMPUTED_VALUE"""),1.0)</f>
        <v>1</v>
      </c>
      <c r="V383" s="148" t="str">
        <f>IFERROR(__xludf.DUMMYFUNCTION("""COMPUTED_VALUE"""),"[]")</f>
        <v>[]</v>
      </c>
      <c r="W383" s="148">
        <f>IFERROR(__xludf.DUMMYFUNCTION("""COMPUTED_VALUE"""),1.174E7)</f>
        <v>11740000</v>
      </c>
      <c r="X383" s="148">
        <f>IFERROR(__xludf.DUMMYFUNCTION("""COMPUTED_VALUE"""),0.0)</f>
        <v>0</v>
      </c>
      <c r="Y383" s="148">
        <f>IFERROR(__xludf.DUMMYFUNCTION("""COMPUTED_VALUE"""),0.0)</f>
        <v>0</v>
      </c>
      <c r="Z383" s="148"/>
    </row>
    <row r="384">
      <c r="A384" s="148">
        <f>IFERROR(__xludf.DUMMYFUNCTION("""COMPUTED_VALUE"""),1.1112175E7)</f>
        <v>11112175</v>
      </c>
      <c r="B384" s="148" t="str">
        <f>IFERROR(__xludf.DUMMYFUNCTION("""COMPUTED_VALUE"""),"节日通用-机甲GACHA道具")</f>
        <v>节日通用-机甲GACHA道具</v>
      </c>
      <c r="C384" s="148"/>
      <c r="D384" s="148" t="str">
        <f>IFERROR(__xludf.DUMMYFUNCTION("""COMPUTED_VALUE"""),"event")</f>
        <v>event</v>
      </c>
      <c r="E384" s="148">
        <f>IFERROR(__xludf.DUMMYFUNCTION("""COMPUTED_VALUE"""),0.0)</f>
        <v>0</v>
      </c>
      <c r="F384" s="148">
        <f>IFERROR(__xludf.DUMMYFUNCTION("""COMPUTED_VALUE"""),405243.0)</f>
        <v>405243</v>
      </c>
      <c r="G384" s="148">
        <f>IFERROR(__xludf.DUMMYFUNCTION("""COMPUTED_VALUE"""),1.5119532E7)</f>
        <v>15119532</v>
      </c>
      <c r="H384" s="148">
        <f>IFERROR(__xludf.DUMMYFUNCTION("""COMPUTED_VALUE"""),1.5112564E7)</f>
        <v>15112564</v>
      </c>
      <c r="I384" s="148" t="str">
        <f>IFERROR(__xludf.DUMMYFUNCTION("""COMPUTED_VALUE"""),"{}")</f>
        <v>{}</v>
      </c>
      <c r="J384" s="148" t="str">
        <f>IFERROR(__xludf.DUMMYFUNCTION("""COMPUTED_VALUE"""),"{""typ"":""lc"",""txt"":""LC_ITEM_mecha_gacha_item""}")</f>
        <v>{"typ":"lc","txt":"LC_ITEM_mecha_gacha_item"}</v>
      </c>
      <c r="K384" s="148" t="str">
        <f>IFERROR(__xludf.DUMMYFUNCTION("""COMPUTED_VALUE"""),"{""typ"":""lc"",""txt"":""LC_ITEM_mecha_gacha_desc""}")</f>
        <v>{"typ":"lc","txt":"LC_ITEM_mecha_gacha_desc"}</v>
      </c>
      <c r="L384" s="148" t="str">
        <f>IFERROR(__xludf.DUMMYFUNCTION("""COMPUTED_VALUE"""),"{}")</f>
        <v>{}</v>
      </c>
      <c r="M384" s="148">
        <f>IFERROR(__xludf.DUMMYFUNCTION("""COMPUTED_VALUE"""),700.0)</f>
        <v>700</v>
      </c>
      <c r="N384" s="148">
        <f>IFERROR(__xludf.DUMMYFUNCTION("""COMPUTED_VALUE"""),9.99999999E8)</f>
        <v>999999999</v>
      </c>
      <c r="O384" s="148">
        <f>IFERROR(__xludf.DUMMYFUNCTION("""COMPUTED_VALUE"""),9.99999999E8)</f>
        <v>999999999</v>
      </c>
      <c r="P384" s="148">
        <f>IFERROR(__xludf.DUMMYFUNCTION("""COMPUTED_VALUE"""),9.99999999E8)</f>
        <v>999999999</v>
      </c>
      <c r="Q384" s="148" t="str">
        <f>IFERROR(__xludf.DUMMYFUNCTION("""COMPUTED_VALUE"""),"[""bag_other""]")</f>
        <v>["bag_other"]</v>
      </c>
      <c r="R384" s="148" t="str">
        <f>IFERROR(__xludf.DUMMYFUNCTION("""COMPUTED_VALUE"""),"[]")</f>
        <v>[]</v>
      </c>
      <c r="S384" s="148" t="str">
        <f>IFERROR(__xludf.DUMMYFUNCTION("""COMPUTED_VALUE"""),"{}")</f>
        <v>{}</v>
      </c>
      <c r="T384" s="148">
        <f>IFERROR(__xludf.DUMMYFUNCTION("""COMPUTED_VALUE"""),1.0)</f>
        <v>1</v>
      </c>
      <c r="U384" s="148">
        <f>IFERROR(__xludf.DUMMYFUNCTION("""COMPUTED_VALUE"""),0.0)</f>
        <v>0</v>
      </c>
      <c r="V384" s="148" t="str">
        <f>IFERROR(__xludf.DUMMYFUNCTION("""COMPUTED_VALUE"""),"[]")</f>
        <v>[]</v>
      </c>
      <c r="W384" s="148">
        <f>IFERROR(__xludf.DUMMYFUNCTION("""COMPUTED_VALUE"""),1.174E7)</f>
        <v>11740000</v>
      </c>
      <c r="X384" s="148">
        <f>IFERROR(__xludf.DUMMYFUNCTION("""COMPUTED_VALUE"""),0.0)</f>
        <v>0</v>
      </c>
      <c r="Y384" s="148">
        <f>IFERROR(__xludf.DUMMYFUNCTION("""COMPUTED_VALUE"""),0.0)</f>
        <v>0</v>
      </c>
      <c r="Z384" s="148"/>
    </row>
    <row r="385">
      <c r="A385" s="148">
        <f>IFERROR(__xludf.DUMMYFUNCTION("""COMPUTED_VALUE"""),1.1112176E7)</f>
        <v>11112176</v>
      </c>
      <c r="B385" s="148" t="str">
        <f>IFERROR(__xludf.DUMMYFUNCTION("""COMPUTED_VALUE"""),"2024端午节BattlePass-初级通行证")</f>
        <v>2024端午节BattlePass-初级通行证</v>
      </c>
      <c r="C385" s="148"/>
      <c r="D385" s="148" t="str">
        <f>IFERROR(__xludf.DUMMYFUNCTION("""COMPUTED_VALUE"""),"battle_pass_card")</f>
        <v>battle_pass_card</v>
      </c>
      <c r="E385" s="148">
        <f>IFERROR(__xludf.DUMMYFUNCTION("""COMPUTED_VALUE"""),0.0)</f>
        <v>0</v>
      </c>
      <c r="F385" s="148">
        <f>IFERROR(__xludf.DUMMYFUNCTION("""COMPUTED_VALUE"""),0.0)</f>
        <v>0</v>
      </c>
      <c r="G385" s="148">
        <f>IFERROR(__xludf.DUMMYFUNCTION("""COMPUTED_VALUE"""),1.5116526E7)</f>
        <v>15116526</v>
      </c>
      <c r="H385" s="148">
        <f>IFERROR(__xludf.DUMMYFUNCTION("""COMPUTED_VALUE"""),1.5112563E7)</f>
        <v>15112563</v>
      </c>
      <c r="I385" s="148" t="str">
        <f>IFERROR(__xludf.DUMMYFUNCTION("""COMPUTED_VALUE"""),"{}")</f>
        <v>{}</v>
      </c>
      <c r="J385" s="148" t="str">
        <f>IFERROR(__xludf.DUMMYFUNCTION("""COMPUTED_VALUE"""),"{""typ"":""lc"",""txt"":""LC_IAP_dragon_boat_pack_1_unlock""}")</f>
        <v>{"typ":"lc","txt":"LC_IAP_dragon_boat_pack_1_unlock"}</v>
      </c>
      <c r="K385" s="148" t="str">
        <f>IFERROR(__xludf.DUMMYFUNCTION("""COMPUTED_VALUE"""),"{}")</f>
        <v>{}</v>
      </c>
      <c r="L385" s="148" t="str">
        <f>IFERROR(__xludf.DUMMYFUNCTION("""COMPUTED_VALUE"""),"{}")</f>
        <v>{}</v>
      </c>
      <c r="M385" s="148">
        <f>IFERROR(__xludf.DUMMYFUNCTION("""COMPUTED_VALUE"""),10.0)</f>
        <v>10</v>
      </c>
      <c r="N385" s="148">
        <f>IFERROR(__xludf.DUMMYFUNCTION("""COMPUTED_VALUE"""),999999.0)</f>
        <v>999999</v>
      </c>
      <c r="O385" s="148">
        <f>IFERROR(__xludf.DUMMYFUNCTION("""COMPUTED_VALUE"""),99999.0)</f>
        <v>99999</v>
      </c>
      <c r="P385" s="148">
        <f>IFERROR(__xludf.DUMMYFUNCTION("""COMPUTED_VALUE"""),9999.0)</f>
        <v>9999</v>
      </c>
      <c r="Q385" s="148" t="str">
        <f>IFERROR(__xludf.DUMMYFUNCTION("""COMPUTED_VALUE"""),"[]")</f>
        <v>[]</v>
      </c>
      <c r="R385" s="148" t="str">
        <f>IFERROR(__xludf.DUMMYFUNCTION("""COMPUTED_VALUE"""),"[]")</f>
        <v>[]</v>
      </c>
      <c r="S385" s="148" t="str">
        <f>IFERROR(__xludf.DUMMYFUNCTION("""COMPUTED_VALUE"""),"{}")</f>
        <v>{}</v>
      </c>
      <c r="T385" s="148">
        <f>IFERROR(__xludf.DUMMYFUNCTION("""COMPUTED_VALUE"""),-1.0)</f>
        <v>-1</v>
      </c>
      <c r="U385" s="148">
        <f>IFERROR(__xludf.DUMMYFUNCTION("""COMPUTED_VALUE"""),1.0)</f>
        <v>1</v>
      </c>
      <c r="V385" s="148" t="str">
        <f>IFERROR(__xludf.DUMMYFUNCTION("""COMPUTED_VALUE"""),"[]")</f>
        <v>[]</v>
      </c>
      <c r="W385" s="148">
        <f>IFERROR(__xludf.DUMMYFUNCTION("""COMPUTED_VALUE"""),1.174E7)</f>
        <v>11740000</v>
      </c>
      <c r="X385" s="148">
        <f>IFERROR(__xludf.DUMMYFUNCTION("""COMPUTED_VALUE"""),0.0)</f>
        <v>0</v>
      </c>
      <c r="Y385" s="148">
        <f>IFERROR(__xludf.DUMMYFUNCTION("""COMPUTED_VALUE"""),0.0)</f>
        <v>0</v>
      </c>
      <c r="Z385" s="148"/>
    </row>
    <row r="386">
      <c r="A386" s="148">
        <f>IFERROR(__xludf.DUMMYFUNCTION("""COMPUTED_VALUE"""),1.1112177E7)</f>
        <v>11112177</v>
      </c>
      <c r="B386" s="148" t="str">
        <f>IFERROR(__xludf.DUMMYFUNCTION("""COMPUTED_VALUE"""),"2024端午节BattlePass-高级通行证")</f>
        <v>2024端午节BattlePass-高级通行证</v>
      </c>
      <c r="C386" s="148"/>
      <c r="D386" s="148" t="str">
        <f>IFERROR(__xludf.DUMMYFUNCTION("""COMPUTED_VALUE"""),"battle_pass_card")</f>
        <v>battle_pass_card</v>
      </c>
      <c r="E386" s="148">
        <f>IFERROR(__xludf.DUMMYFUNCTION("""COMPUTED_VALUE"""),0.0)</f>
        <v>0</v>
      </c>
      <c r="F386" s="148">
        <f>IFERROR(__xludf.DUMMYFUNCTION("""COMPUTED_VALUE"""),0.0)</f>
        <v>0</v>
      </c>
      <c r="G386" s="148">
        <f>IFERROR(__xludf.DUMMYFUNCTION("""COMPUTED_VALUE"""),1.5116526E7)</f>
        <v>15116526</v>
      </c>
      <c r="H386" s="148">
        <f>IFERROR(__xludf.DUMMYFUNCTION("""COMPUTED_VALUE"""),1.5112564E7)</f>
        <v>15112564</v>
      </c>
      <c r="I386" s="148" t="str">
        <f>IFERROR(__xludf.DUMMYFUNCTION("""COMPUTED_VALUE"""),"{}")</f>
        <v>{}</v>
      </c>
      <c r="J386" s="148" t="str">
        <f>IFERROR(__xludf.DUMMYFUNCTION("""COMPUTED_VALUE"""),"{""typ"":""lc"",""txt"":""LC_IAP_dragon_boat_pack_2_unlock""}")</f>
        <v>{"typ":"lc","txt":"LC_IAP_dragon_boat_pack_2_unlock"}</v>
      </c>
      <c r="K386" s="148" t="str">
        <f>IFERROR(__xludf.DUMMYFUNCTION("""COMPUTED_VALUE"""),"{}")</f>
        <v>{}</v>
      </c>
      <c r="L386" s="148" t="str">
        <f>IFERROR(__xludf.DUMMYFUNCTION("""COMPUTED_VALUE"""),"{}")</f>
        <v>{}</v>
      </c>
      <c r="M386" s="148">
        <f>IFERROR(__xludf.DUMMYFUNCTION("""COMPUTED_VALUE"""),10.0)</f>
        <v>10</v>
      </c>
      <c r="N386" s="148">
        <f>IFERROR(__xludf.DUMMYFUNCTION("""COMPUTED_VALUE"""),999999.0)</f>
        <v>999999</v>
      </c>
      <c r="O386" s="148">
        <f>IFERROR(__xludf.DUMMYFUNCTION("""COMPUTED_VALUE"""),99999.0)</f>
        <v>99999</v>
      </c>
      <c r="P386" s="148">
        <f>IFERROR(__xludf.DUMMYFUNCTION("""COMPUTED_VALUE"""),9999.0)</f>
        <v>9999</v>
      </c>
      <c r="Q386" s="148" t="str">
        <f>IFERROR(__xludf.DUMMYFUNCTION("""COMPUTED_VALUE"""),"[]")</f>
        <v>[]</v>
      </c>
      <c r="R386" s="148" t="str">
        <f>IFERROR(__xludf.DUMMYFUNCTION("""COMPUTED_VALUE"""),"[]")</f>
        <v>[]</v>
      </c>
      <c r="S386" s="148" t="str">
        <f>IFERROR(__xludf.DUMMYFUNCTION("""COMPUTED_VALUE"""),"{}")</f>
        <v>{}</v>
      </c>
      <c r="T386" s="148">
        <f>IFERROR(__xludf.DUMMYFUNCTION("""COMPUTED_VALUE"""),-1.0)</f>
        <v>-1</v>
      </c>
      <c r="U386" s="148">
        <f>IFERROR(__xludf.DUMMYFUNCTION("""COMPUTED_VALUE"""),1.0)</f>
        <v>1</v>
      </c>
      <c r="V386" s="148" t="str">
        <f>IFERROR(__xludf.DUMMYFUNCTION("""COMPUTED_VALUE"""),"[]")</f>
        <v>[]</v>
      </c>
      <c r="W386" s="148">
        <f>IFERROR(__xludf.DUMMYFUNCTION("""COMPUTED_VALUE"""),1.174E7)</f>
        <v>11740000</v>
      </c>
      <c r="X386" s="148">
        <f>IFERROR(__xludf.DUMMYFUNCTION("""COMPUTED_VALUE"""),0.0)</f>
        <v>0</v>
      </c>
      <c r="Y386" s="148">
        <f>IFERROR(__xludf.DUMMYFUNCTION("""COMPUTED_VALUE"""),0.0)</f>
        <v>0</v>
      </c>
      <c r="Z386" s="148"/>
    </row>
    <row r="387">
      <c r="A387" s="148">
        <f>IFERROR(__xludf.DUMMYFUNCTION("""COMPUTED_VALUE"""),1.1112178E7)</f>
        <v>11112178</v>
      </c>
      <c r="B387" s="148" t="str">
        <f>IFERROR(__xludf.DUMMYFUNCTION("""COMPUTED_VALUE"""),"船桨-端午节2024活动BP道具")</f>
        <v>船桨-端午节2024活动BP道具</v>
      </c>
      <c r="C387" s="148"/>
      <c r="D387" s="148" t="str">
        <f>IFERROR(__xludf.DUMMYFUNCTION("""COMPUTED_VALUE"""),"battle_pass_exp")</f>
        <v>battle_pass_exp</v>
      </c>
      <c r="E387" s="148">
        <f>IFERROR(__xludf.DUMMYFUNCTION("""COMPUTED_VALUE"""),0.0)</f>
        <v>0</v>
      </c>
      <c r="F387" s="148">
        <f>IFERROR(__xludf.DUMMYFUNCTION("""COMPUTED_VALUE"""),405217.0)</f>
        <v>405217</v>
      </c>
      <c r="G387" s="148">
        <f>IFERROR(__xludf.DUMMYFUNCTION("""COMPUTED_VALUE"""),1.5116529E7)</f>
        <v>15116529</v>
      </c>
      <c r="H387" s="148">
        <f>IFERROR(__xludf.DUMMYFUNCTION("""COMPUTED_VALUE"""),1.5112563E7)</f>
        <v>15112563</v>
      </c>
      <c r="I387" s="148" t="str">
        <f>IFERROR(__xludf.DUMMYFUNCTION("""COMPUTED_VALUE"""),"{}")</f>
        <v>{}</v>
      </c>
      <c r="J387" s="148" t="str">
        <f>IFERROR(__xludf.DUMMYFUNCTION("""COMPUTED_VALUE"""),"{""typ"":""lc"",""txt"":""LC_EVENT_23dragonboat_actv_item""}")</f>
        <v>{"typ":"lc","txt":"LC_EVENT_23dragonboat_actv_item"}</v>
      </c>
      <c r="K387" s="148" t="str">
        <f>IFERROR(__xludf.DUMMYFUNCTION("""COMPUTED_VALUE"""),"{""typ"":""lc"",""txt"":""LC_EVENT_23dragonboat_actv_item_desc""}")</f>
        <v>{"typ":"lc","txt":"LC_EVENT_23dragonboat_actv_item_desc"}</v>
      </c>
      <c r="L387" s="148" t="str">
        <f>IFERROR(__xludf.DUMMYFUNCTION("""COMPUTED_VALUE"""),"{}")</f>
        <v>{}</v>
      </c>
      <c r="M387" s="148">
        <f>IFERROR(__xludf.DUMMYFUNCTION("""COMPUTED_VALUE"""),35.0)</f>
        <v>35</v>
      </c>
      <c r="N387" s="148">
        <f>IFERROR(__xludf.DUMMYFUNCTION("""COMPUTED_VALUE"""),999999.0)</f>
        <v>999999</v>
      </c>
      <c r="O387" s="148">
        <f>IFERROR(__xludf.DUMMYFUNCTION("""COMPUTED_VALUE"""),99999.0)</f>
        <v>99999</v>
      </c>
      <c r="P387" s="148">
        <f>IFERROR(__xludf.DUMMYFUNCTION("""COMPUTED_VALUE"""),99999.0)</f>
        <v>99999</v>
      </c>
      <c r="Q387" s="148" t="str">
        <f>IFERROR(__xludf.DUMMYFUNCTION("""COMPUTED_VALUE"""),"[""bag_other""]")</f>
        <v>["bag_other"]</v>
      </c>
      <c r="R387" s="148" t="str">
        <f>IFERROR(__xludf.DUMMYFUNCTION("""COMPUTED_VALUE"""),"[""bag""]")</f>
        <v>["bag"]</v>
      </c>
      <c r="S387" s="148" t="str">
        <f>IFERROR(__xludf.DUMMYFUNCTION("""COMPUTED_VALUE"""),"{}")</f>
        <v>{}</v>
      </c>
      <c r="T387" s="148">
        <f>IFERROR(__xludf.DUMMYFUNCTION("""COMPUTED_VALUE"""),-1.0)</f>
        <v>-1</v>
      </c>
      <c r="U387" s="148">
        <f>IFERROR(__xludf.DUMMYFUNCTION("""COMPUTED_VALUE"""),0.0)</f>
        <v>0</v>
      </c>
      <c r="V387" s="148" t="str">
        <f>IFERROR(__xludf.DUMMYFUNCTION("""COMPUTED_VALUE"""),"[]")</f>
        <v>[]</v>
      </c>
      <c r="W387" s="148">
        <f>IFERROR(__xludf.DUMMYFUNCTION("""COMPUTED_VALUE"""),1.174E7)</f>
        <v>11740000</v>
      </c>
      <c r="X387" s="148">
        <f>IFERROR(__xludf.DUMMYFUNCTION("""COMPUTED_VALUE"""),0.0)</f>
        <v>0</v>
      </c>
      <c r="Y387" s="148">
        <f>IFERROR(__xludf.DUMMYFUNCTION("""COMPUTED_VALUE"""),0.0)</f>
        <v>0</v>
      </c>
      <c r="Z387" s="148"/>
    </row>
    <row r="388">
      <c r="A388" s="148">
        <f>IFERROR(__xludf.DUMMYFUNCTION("""COMPUTED_VALUE"""),1.1112179E7)</f>
        <v>11112179</v>
      </c>
      <c r="B388" s="148" t="str">
        <f>IFERROR(__xludf.DUMMYFUNCTION("""COMPUTED_VALUE"""),"6月活动-7日箱子奖励")</f>
        <v>6月活动-7日箱子奖励</v>
      </c>
      <c r="C388" s="148"/>
      <c r="D388" s="148" t="str">
        <f>IFERROR(__xludf.DUMMYFUNCTION("""COMPUTED_VALUE"""),"item_asset")</f>
        <v>item_asset</v>
      </c>
      <c r="E388" s="148">
        <f>IFERROR(__xludf.DUMMYFUNCTION("""COMPUTED_VALUE"""),19.0)</f>
        <v>19</v>
      </c>
      <c r="F388" s="148">
        <f>IFERROR(__xludf.DUMMYFUNCTION("""COMPUTED_VALUE"""),201101.0)</f>
        <v>201101</v>
      </c>
      <c r="G388" s="148">
        <f>IFERROR(__xludf.DUMMYFUNCTION("""COMPUTED_VALUE"""),1.5117141E7)</f>
        <v>15117141</v>
      </c>
      <c r="H388" s="148">
        <f>IFERROR(__xludf.DUMMYFUNCTION("""COMPUTED_VALUE"""),1.5112564E7)</f>
        <v>15112564</v>
      </c>
      <c r="I388" s="148" t="str">
        <f>IFERROR(__xludf.DUMMYFUNCTION("""COMPUTED_VALUE"""),"{}")</f>
        <v>{}</v>
      </c>
      <c r="J388" s="148" t="str">
        <f>IFERROR(__xludf.DUMMYFUNCTION("""COMPUTED_VALUE"""),"{""typ"":""lc"",""txt"":""LC_ITEM_seven_day_box_name""}")</f>
        <v>{"typ":"lc","txt":"LC_ITEM_seven_day_box_name"}</v>
      </c>
      <c r="K388" s="148" t="str">
        <f>IFERROR(__xludf.DUMMYFUNCTION("""COMPUTED_VALUE"""),"{""typ"":""lc"",""txt"":""LC_ITEM_seven_day_box_desc""}")</f>
        <v>{"typ":"lc","txt":"LC_ITEM_seven_day_box_desc"}</v>
      </c>
      <c r="L388" s="148" t="str">
        <f>IFERROR(__xludf.DUMMYFUNCTION("""COMPUTED_VALUE"""),"{""typ"":""lc"",""txt"":""LC_ITEM_horde_elite_box_usedtip""}")</f>
        <v>{"typ":"lc","txt":"LC_ITEM_horde_elite_box_usedtip"}</v>
      </c>
      <c r="M388" s="148">
        <f>IFERROR(__xludf.DUMMYFUNCTION("""COMPUTED_VALUE"""),40.0)</f>
        <v>40</v>
      </c>
      <c r="N388" s="148">
        <f>IFERROR(__xludf.DUMMYFUNCTION("""COMPUTED_VALUE"""),999999.0)</f>
        <v>999999</v>
      </c>
      <c r="O388" s="148">
        <f>IFERROR(__xludf.DUMMYFUNCTION("""COMPUTED_VALUE"""),99999.0)</f>
        <v>99999</v>
      </c>
      <c r="P388" s="148">
        <f>IFERROR(__xludf.DUMMYFUNCTION("""COMPUTED_VALUE"""),99999.0)</f>
        <v>99999</v>
      </c>
      <c r="Q388" s="148" t="str">
        <f>IFERROR(__xludf.DUMMYFUNCTION("""COMPUTED_VALUE"""),"[""bag_other""]")</f>
        <v>["bag_other"]</v>
      </c>
      <c r="R388" s="148" t="str">
        <f>IFERROR(__xludf.DUMMYFUNCTION("""COMPUTED_VALUE"""),"[""bag""]")</f>
        <v>["bag"]</v>
      </c>
      <c r="S388" s="148" t="str">
        <f>IFERROR(__xludf.DUMMYFUNCTION("""COMPUTED_VALUE"""),"{""drop"":{""typ"":""single_random"",""num"":1,""args"":[{""typ"":""item"",""id"":11116304,""num"":1,""wgt"":50},{""typ"":""item"",""id"":11118501,""num"":1,""wgt"":400},{""typ"":""item"",""id"":11117069,""num"":1,""wgt"":400},{""typ"":""material"",""id"""&amp;":19345004,""num"":2,""wgt"":400},{""typ"":""item"",""id"":11117024,""num"":1,""wgt"":800},{""typ"":""item"",""id"":11117068,""num"":10,""wgt"":800},{""typ"":""material"",""id"":19345003,""num"":15,""wgt"":800},{""typ"":""item"",""id"":11111103,""num"":2,"&amp;"""wgt"":1200}]}}")</f>
        <v>{"drop":{"typ":"single_random","num":1,"args":[{"typ":"item","id":11116304,"num":1,"wgt":50},{"typ":"item","id":11118501,"num":1,"wgt":400},{"typ":"item","id":11117069,"num":1,"wgt":400},{"typ":"material","id":19345004,"num":2,"wgt":400},{"typ":"item","id":11117024,"num":1,"wgt":800},{"typ":"item","id":11117068,"num":10,"wgt":800},{"typ":"material","id":19345003,"num":15,"wgt":800},{"typ":"item","id":11111103,"num":2,"wgt":1200}]}}</v>
      </c>
      <c r="T388" s="148">
        <f>IFERROR(__xludf.DUMMYFUNCTION("""COMPUTED_VALUE"""),-1.0)</f>
        <v>-1</v>
      </c>
      <c r="U388" s="148">
        <f>IFERROR(__xludf.DUMMYFUNCTION("""COMPUTED_VALUE"""),0.0)</f>
        <v>0</v>
      </c>
      <c r="V388" s="148" t="str">
        <f>IFERROR(__xludf.DUMMYFUNCTION("""COMPUTED_VALUE"""),"[]")</f>
        <v>[]</v>
      </c>
      <c r="W388" s="148">
        <f>IFERROR(__xludf.DUMMYFUNCTION("""COMPUTED_VALUE"""),1.174E7)</f>
        <v>11740000</v>
      </c>
      <c r="X388" s="148">
        <f>IFERROR(__xludf.DUMMYFUNCTION("""COMPUTED_VALUE"""),0.0)</f>
        <v>0</v>
      </c>
      <c r="Y388" s="148">
        <f>IFERROR(__xludf.DUMMYFUNCTION("""COMPUTED_VALUE"""),0.0)</f>
        <v>0</v>
      </c>
      <c r="Z388" s="148"/>
    </row>
    <row r="389">
      <c r="A389" s="148">
        <f>IFERROR(__xludf.DUMMYFUNCTION("""COMPUTED_VALUE"""),1.111218E7)</f>
        <v>11112180</v>
      </c>
      <c r="B389" s="148" t="str">
        <f>IFERROR(__xludf.DUMMYFUNCTION("""COMPUTED_VALUE"""),"6月活动专用-增加次数道具")</f>
        <v>6月活动专用-增加次数道具</v>
      </c>
      <c r="C389" s="148"/>
      <c r="D389" s="148" t="str">
        <f>IFERROR(__xludf.DUMMYFUNCTION("""COMPUTED_VALUE"""),"event_progress")</f>
        <v>event_progress</v>
      </c>
      <c r="E389" s="148">
        <f>IFERROR(__xludf.DUMMYFUNCTION("""COMPUTED_VALUE"""),0.0)</f>
        <v>0</v>
      </c>
      <c r="F389" s="148">
        <f>IFERROR(__xludf.DUMMYFUNCTION("""COMPUTED_VALUE"""),0.0)</f>
        <v>0</v>
      </c>
      <c r="G389" s="148">
        <f>IFERROR(__xludf.DUMMYFUNCTION("""COMPUTED_VALUE"""),1.5113732E7)</f>
        <v>15113732</v>
      </c>
      <c r="H389" s="148">
        <f>IFERROR(__xludf.DUMMYFUNCTION("""COMPUTED_VALUE"""),1.5112563E7)</f>
        <v>15112563</v>
      </c>
      <c r="I389" s="148" t="str">
        <f>IFERROR(__xludf.DUMMYFUNCTION("""COMPUTED_VALUE"""),"{}")</f>
        <v>{}</v>
      </c>
      <c r="J389" s="148" t="str">
        <f>IFERROR(__xludf.DUMMYFUNCTION("""COMPUTED_VALUE"""),"{}")</f>
        <v>{}</v>
      </c>
      <c r="K389" s="148" t="str">
        <f>IFERROR(__xludf.DUMMYFUNCTION("""COMPUTED_VALUE"""),"{}")</f>
        <v>{}</v>
      </c>
      <c r="L389" s="148" t="str">
        <f>IFERROR(__xludf.DUMMYFUNCTION("""COMPUTED_VALUE"""),"{}")</f>
        <v>{}</v>
      </c>
      <c r="M389" s="148">
        <f>IFERROR(__xludf.DUMMYFUNCTION("""COMPUTED_VALUE"""),1.0)</f>
        <v>1</v>
      </c>
      <c r="N389" s="148">
        <f>IFERROR(__xludf.DUMMYFUNCTION("""COMPUTED_VALUE"""),999999.0)</f>
        <v>999999</v>
      </c>
      <c r="O389" s="148">
        <f>IFERROR(__xludf.DUMMYFUNCTION("""COMPUTED_VALUE"""),99999.0)</f>
        <v>99999</v>
      </c>
      <c r="P389" s="148">
        <f>IFERROR(__xludf.DUMMYFUNCTION("""COMPUTED_VALUE"""),9999.0)</f>
        <v>9999</v>
      </c>
      <c r="Q389" s="148" t="str">
        <f>IFERROR(__xludf.DUMMYFUNCTION("""COMPUTED_VALUE"""),"[]")</f>
        <v>[]</v>
      </c>
      <c r="R389" s="148" t="str">
        <f>IFERROR(__xludf.DUMMYFUNCTION("""COMPUTED_VALUE"""),"[]")</f>
        <v>[]</v>
      </c>
      <c r="S389" s="148" t="str">
        <f>IFERROR(__xludf.DUMMYFUNCTION("""COMPUTED_VALUE"""),"{""effect"":[{""typ"":""event"",""id"":21127107},{""typ"":""miss_lost_reward""}]}")</f>
        <v>{"effect":[{"typ":"event","id":21127107},{"typ":"miss_lost_reward"}]}</v>
      </c>
      <c r="T389" s="148">
        <f>IFERROR(__xludf.DUMMYFUNCTION("""COMPUTED_VALUE"""),-1.0)</f>
        <v>-1</v>
      </c>
      <c r="U389" s="148">
        <f>IFERROR(__xludf.DUMMYFUNCTION("""COMPUTED_VALUE"""),1.0)</f>
        <v>1</v>
      </c>
      <c r="V389" s="148" t="str">
        <f>IFERROR(__xludf.DUMMYFUNCTION("""COMPUTED_VALUE"""),"[]")</f>
        <v>[]</v>
      </c>
      <c r="W389" s="148">
        <f>IFERROR(__xludf.DUMMYFUNCTION("""COMPUTED_VALUE"""),1.174E7)</f>
        <v>11740000</v>
      </c>
      <c r="X389" s="148">
        <f>IFERROR(__xludf.DUMMYFUNCTION("""COMPUTED_VALUE"""),0.0)</f>
        <v>0</v>
      </c>
      <c r="Y389" s="148">
        <f>IFERROR(__xludf.DUMMYFUNCTION("""COMPUTED_VALUE"""),0.0)</f>
        <v>0</v>
      </c>
      <c r="Z389" s="148"/>
    </row>
    <row r="390">
      <c r="A390" s="148">
        <f>IFERROR(__xludf.DUMMYFUNCTION("""COMPUTED_VALUE"""),1.1112181E7)</f>
        <v>11112181</v>
      </c>
      <c r="B390" s="148" t="str">
        <f>IFERROR(__xludf.DUMMYFUNCTION("""COMPUTED_VALUE"""),"6月活动-解锁宝箱礼包钥匙")</f>
        <v>6月活动-解锁宝箱礼包钥匙</v>
      </c>
      <c r="C390" s="148"/>
      <c r="D390" s="148" t="str">
        <f>IFERROR(__xludf.DUMMYFUNCTION("""COMPUTED_VALUE"""),"event")</f>
        <v>event</v>
      </c>
      <c r="E390" s="148">
        <f>IFERROR(__xludf.DUMMYFUNCTION("""COMPUTED_VALUE"""),0.0)</f>
        <v>0</v>
      </c>
      <c r="F390" s="148">
        <f>IFERROR(__xludf.DUMMYFUNCTION("""COMPUTED_VALUE"""),0.0)</f>
        <v>0</v>
      </c>
      <c r="G390" s="148">
        <f>IFERROR(__xludf.DUMMYFUNCTION("""COMPUTED_VALUE"""),1.5117142E7)</f>
        <v>15117142</v>
      </c>
      <c r="H390" s="148">
        <f>IFERROR(__xludf.DUMMYFUNCTION("""COMPUTED_VALUE"""),1.5112564E7)</f>
        <v>15112564</v>
      </c>
      <c r="I390" s="148" t="str">
        <f>IFERROR(__xludf.DUMMYFUNCTION("""COMPUTED_VALUE"""),"{}")</f>
        <v>{}</v>
      </c>
      <c r="J390" s="148" t="str">
        <f>IFERROR(__xludf.DUMMYFUNCTION("""COMPUTED_VALUE"""),"{""typ"":""lc"",""txt"":""LC_ITEM_seven_day_box_key_name""}")</f>
        <v>{"typ":"lc","txt":"LC_ITEM_seven_day_box_key_name"}</v>
      </c>
      <c r="K390" s="148" t="str">
        <f>IFERROR(__xludf.DUMMYFUNCTION("""COMPUTED_VALUE"""),"{""typ"":""lc"",""txt"":""LC_ITEM_seven_day_box_key_desc""}")</f>
        <v>{"typ":"lc","txt":"LC_ITEM_seven_day_box_key_desc"}</v>
      </c>
      <c r="L390" s="148" t="str">
        <f>IFERROR(__xludf.DUMMYFUNCTION("""COMPUTED_VALUE"""),"{}")</f>
        <v>{}</v>
      </c>
      <c r="M390" s="148">
        <f>IFERROR(__xludf.DUMMYFUNCTION("""COMPUTED_VALUE"""),10.0)</f>
        <v>10</v>
      </c>
      <c r="N390" s="148">
        <f>IFERROR(__xludf.DUMMYFUNCTION("""COMPUTED_VALUE"""),999999.0)</f>
        <v>999999</v>
      </c>
      <c r="O390" s="148">
        <f>IFERROR(__xludf.DUMMYFUNCTION("""COMPUTED_VALUE"""),99999.0)</f>
        <v>99999</v>
      </c>
      <c r="P390" s="148">
        <f>IFERROR(__xludf.DUMMYFUNCTION("""COMPUTED_VALUE"""),9999.0)</f>
        <v>9999</v>
      </c>
      <c r="Q390" s="148" t="str">
        <f>IFERROR(__xludf.DUMMYFUNCTION("""COMPUTED_VALUE"""),"[""bag_other""]")</f>
        <v>["bag_other"]</v>
      </c>
      <c r="R390" s="148" t="str">
        <f>IFERROR(__xludf.DUMMYFUNCTION("""COMPUTED_VALUE"""),"[]")</f>
        <v>[]</v>
      </c>
      <c r="S390" s="148" t="str">
        <f>IFERROR(__xludf.DUMMYFUNCTION("""COMPUTED_VALUE"""),"{}")</f>
        <v>{}</v>
      </c>
      <c r="T390" s="148">
        <f>IFERROR(__xludf.DUMMYFUNCTION("""COMPUTED_VALUE"""),-1.0)</f>
        <v>-1</v>
      </c>
      <c r="U390" s="148">
        <f>IFERROR(__xludf.DUMMYFUNCTION("""COMPUTED_VALUE"""),0.0)</f>
        <v>0</v>
      </c>
      <c r="V390" s="148" t="str">
        <f>IFERROR(__xludf.DUMMYFUNCTION("""COMPUTED_VALUE"""),"[]")</f>
        <v>[]</v>
      </c>
      <c r="W390" s="148">
        <f>IFERROR(__xludf.DUMMYFUNCTION("""COMPUTED_VALUE"""),1.174E7)</f>
        <v>11740000</v>
      </c>
      <c r="X390" s="148">
        <f>IFERROR(__xludf.DUMMYFUNCTION("""COMPUTED_VALUE"""),0.0)</f>
        <v>0</v>
      </c>
      <c r="Y390" s="148">
        <f>IFERROR(__xludf.DUMMYFUNCTION("""COMPUTED_VALUE"""),0.0)</f>
        <v>0</v>
      </c>
      <c r="Z390" s="148"/>
    </row>
    <row r="391">
      <c r="A391" s="148">
        <f>IFERROR(__xludf.DUMMYFUNCTION("""COMPUTED_VALUE"""),1.1112182E7)</f>
        <v>11112182</v>
      </c>
      <c r="B391" s="148" t="str">
        <f>IFERROR(__xludf.DUMMYFUNCTION("""COMPUTED_VALUE"""),"6月活动-7日活动宝箱-显示用")</f>
        <v>6月活动-7日活动宝箱-显示用</v>
      </c>
      <c r="C391" s="148"/>
      <c r="D391" s="148" t="str">
        <f>IFERROR(__xludf.DUMMYFUNCTION("""COMPUTED_VALUE"""),"event")</f>
        <v>event</v>
      </c>
      <c r="E391" s="148">
        <f>IFERROR(__xludf.DUMMYFUNCTION("""COMPUTED_VALUE"""),0.0)</f>
        <v>0</v>
      </c>
      <c r="F391" s="148">
        <f>IFERROR(__xludf.DUMMYFUNCTION("""COMPUTED_VALUE"""),0.0)</f>
        <v>0</v>
      </c>
      <c r="G391" s="148">
        <f>IFERROR(__xludf.DUMMYFUNCTION("""COMPUTED_VALUE"""),1.5117141E7)</f>
        <v>15117141</v>
      </c>
      <c r="H391" s="148">
        <f>IFERROR(__xludf.DUMMYFUNCTION("""COMPUTED_VALUE"""),1.5112564E7)</f>
        <v>15112564</v>
      </c>
      <c r="I391" s="148" t="str">
        <f>IFERROR(__xludf.DUMMYFUNCTION("""COMPUTED_VALUE"""),"{}")</f>
        <v>{}</v>
      </c>
      <c r="J391" s="148" t="str">
        <f>IFERROR(__xludf.DUMMYFUNCTION("""COMPUTED_VALUE"""),"{""typ"":""lc"",""txt"":""LC_ITEM_seven_day_box_name""}")</f>
        <v>{"typ":"lc","txt":"LC_ITEM_seven_day_box_name"}</v>
      </c>
      <c r="K391" s="148" t="str">
        <f>IFERROR(__xludf.DUMMYFUNCTION("""COMPUTED_VALUE"""),"{""typ"":""lc"",""txt"":""LC_ITEM_seven_day_box_desc""}")</f>
        <v>{"typ":"lc","txt":"LC_ITEM_seven_day_box_desc"}</v>
      </c>
      <c r="L391" s="148" t="str">
        <f>IFERROR(__xludf.DUMMYFUNCTION("""COMPUTED_VALUE"""),"{}")</f>
        <v>{}</v>
      </c>
      <c r="M391" s="148">
        <f>IFERROR(__xludf.DUMMYFUNCTION("""COMPUTED_VALUE"""),1.0)</f>
        <v>1</v>
      </c>
      <c r="N391" s="148">
        <f>IFERROR(__xludf.DUMMYFUNCTION("""COMPUTED_VALUE"""),999999.0)</f>
        <v>999999</v>
      </c>
      <c r="O391" s="148">
        <f>IFERROR(__xludf.DUMMYFUNCTION("""COMPUTED_VALUE"""),99999.0)</f>
        <v>99999</v>
      </c>
      <c r="P391" s="148">
        <f>IFERROR(__xludf.DUMMYFUNCTION("""COMPUTED_VALUE"""),9999.0)</f>
        <v>9999</v>
      </c>
      <c r="Q391" s="148" t="str">
        <f>IFERROR(__xludf.DUMMYFUNCTION("""COMPUTED_VALUE"""),"[]")</f>
        <v>[]</v>
      </c>
      <c r="R391" s="148" t="str">
        <f>IFERROR(__xludf.DUMMYFUNCTION("""COMPUTED_VALUE"""),"[]")</f>
        <v>[]</v>
      </c>
      <c r="S391" s="148" t="str">
        <f>IFERROR(__xludf.DUMMYFUNCTION("""COMPUTED_VALUE"""),"{""effect"":[{""typ"":""miss_lost_reward""}]}")</f>
        <v>{"effect":[{"typ":"miss_lost_reward"}]}</v>
      </c>
      <c r="T391" s="148">
        <f>IFERROR(__xludf.DUMMYFUNCTION("""COMPUTED_VALUE"""),-1.0)</f>
        <v>-1</v>
      </c>
      <c r="U391" s="148">
        <f>IFERROR(__xludf.DUMMYFUNCTION("""COMPUTED_VALUE"""),1.0)</f>
        <v>1</v>
      </c>
      <c r="V391" s="148" t="str">
        <f>IFERROR(__xludf.DUMMYFUNCTION("""COMPUTED_VALUE"""),"[]")</f>
        <v>[]</v>
      </c>
      <c r="W391" s="148">
        <f>IFERROR(__xludf.DUMMYFUNCTION("""COMPUTED_VALUE"""),1.174E7)</f>
        <v>11740000</v>
      </c>
      <c r="X391" s="148">
        <f>IFERROR(__xludf.DUMMYFUNCTION("""COMPUTED_VALUE"""),0.0)</f>
        <v>0</v>
      </c>
      <c r="Y391" s="148">
        <f>IFERROR(__xludf.DUMMYFUNCTION("""COMPUTED_VALUE"""),0.0)</f>
        <v>0</v>
      </c>
      <c r="Z391" s="148"/>
    </row>
    <row r="392">
      <c r="A392" s="148">
        <f>IFERROR(__xludf.DUMMYFUNCTION("""COMPUTED_VALUE"""),1.1112183E7)</f>
        <v>11112183</v>
      </c>
      <c r="B392" s="148" t="str">
        <f>IFERROR(__xludf.DUMMYFUNCTION("""COMPUTED_VALUE"""),"6月活动-皮肤GACHA道具")</f>
        <v>6月活动-皮肤GACHA道具</v>
      </c>
      <c r="C392" s="148"/>
      <c r="D392" s="148" t="str">
        <f>IFERROR(__xludf.DUMMYFUNCTION("""COMPUTED_VALUE"""),"event")</f>
        <v>event</v>
      </c>
      <c r="E392" s="148">
        <f>IFERROR(__xludf.DUMMYFUNCTION("""COMPUTED_VALUE"""),0.0)</f>
        <v>0</v>
      </c>
      <c r="F392" s="148">
        <f>IFERROR(__xludf.DUMMYFUNCTION("""COMPUTED_VALUE"""),405243.0)</f>
        <v>405243</v>
      </c>
      <c r="G392" s="148">
        <f>IFERROR(__xludf.DUMMYFUNCTION("""COMPUTED_VALUE"""),1.5119689E7)</f>
        <v>15119689</v>
      </c>
      <c r="H392" s="148">
        <f>IFERROR(__xludf.DUMMYFUNCTION("""COMPUTED_VALUE"""),1.5112564E7)</f>
        <v>15112564</v>
      </c>
      <c r="I392" s="148" t="str">
        <f>IFERROR(__xludf.DUMMYFUNCTION("""COMPUTED_VALUE"""),"{}")</f>
        <v>{}</v>
      </c>
      <c r="J392" s="148" t="str">
        <f>IFERROR(__xludf.DUMMYFUNCTION("""COMPUTED_VALUE"""),"{""typ"":""lc"",""txt"":""LC_ITEM_24dragonboat_gacha_item""}")</f>
        <v>{"typ":"lc","txt":"LC_ITEM_24dragonboat_gacha_item"}</v>
      </c>
      <c r="K392" s="148" t="str">
        <f>IFERROR(__xludf.DUMMYFUNCTION("""COMPUTED_VALUE"""),"{""typ"":""lc"",""txt"":""LC_ITEM_24dragonboat_gacha_item_desc""}")</f>
        <v>{"typ":"lc","txt":"LC_ITEM_24dragonboat_gacha_item_desc"}</v>
      </c>
      <c r="L392" s="148" t="str">
        <f>IFERROR(__xludf.DUMMYFUNCTION("""COMPUTED_VALUE"""),"{}")</f>
        <v>{}</v>
      </c>
      <c r="M392" s="148">
        <f>IFERROR(__xludf.DUMMYFUNCTION("""COMPUTED_VALUE"""),700.0)</f>
        <v>700</v>
      </c>
      <c r="N392" s="148">
        <f>IFERROR(__xludf.DUMMYFUNCTION("""COMPUTED_VALUE"""),9.99999999E8)</f>
        <v>999999999</v>
      </c>
      <c r="O392" s="148">
        <f>IFERROR(__xludf.DUMMYFUNCTION("""COMPUTED_VALUE"""),9.99999999E8)</f>
        <v>999999999</v>
      </c>
      <c r="P392" s="148">
        <f>IFERROR(__xludf.DUMMYFUNCTION("""COMPUTED_VALUE"""),9.99999999E8)</f>
        <v>999999999</v>
      </c>
      <c r="Q392" s="148" t="str">
        <f>IFERROR(__xludf.DUMMYFUNCTION("""COMPUTED_VALUE"""),"[""bag_other""]")</f>
        <v>["bag_other"]</v>
      </c>
      <c r="R392" s="148" t="str">
        <f>IFERROR(__xludf.DUMMYFUNCTION("""COMPUTED_VALUE"""),"[""bag""]")</f>
        <v>["bag"]</v>
      </c>
      <c r="S392" s="148" t="str">
        <f>IFERROR(__xludf.DUMMYFUNCTION("""COMPUTED_VALUE"""),"{}")</f>
        <v>{}</v>
      </c>
      <c r="T392" s="148">
        <f>IFERROR(__xludf.DUMMYFUNCTION("""COMPUTED_VALUE"""),1.0)</f>
        <v>1</v>
      </c>
      <c r="U392" s="148">
        <f>IFERROR(__xludf.DUMMYFUNCTION("""COMPUTED_VALUE"""),0.0)</f>
        <v>0</v>
      </c>
      <c r="V392" s="148" t="str">
        <f>IFERROR(__xludf.DUMMYFUNCTION("""COMPUTED_VALUE"""),"[]")</f>
        <v>[]</v>
      </c>
      <c r="W392" s="148">
        <f>IFERROR(__xludf.DUMMYFUNCTION("""COMPUTED_VALUE"""),1.174E7)</f>
        <v>11740000</v>
      </c>
      <c r="X392" s="148">
        <f>IFERROR(__xludf.DUMMYFUNCTION("""COMPUTED_VALUE"""),0.0)</f>
        <v>0</v>
      </c>
      <c r="Y392" s="148">
        <f>IFERROR(__xludf.DUMMYFUNCTION("""COMPUTED_VALUE"""),0.0)</f>
        <v>0</v>
      </c>
      <c r="Z392" s="148"/>
    </row>
    <row r="393">
      <c r="A393" s="148">
        <f>IFERROR(__xludf.DUMMYFUNCTION("""COMPUTED_VALUE"""),1.1112184E7)</f>
        <v>11112184</v>
      </c>
      <c r="B393" s="148" t="str">
        <f>IFERROR(__xludf.DUMMYFUNCTION("""COMPUTED_VALUE"""),"2024端午节行军特效-粽情高歌-1天限时")</f>
        <v>2024端午节行军特效-粽情高歌-1天限时</v>
      </c>
      <c r="C393" s="148"/>
      <c r="D393" s="148" t="str">
        <f>IFERROR(__xludf.DUMMYFUNCTION("""COMPUTED_VALUE"""),"marching_effect")</f>
        <v>marching_effect</v>
      </c>
      <c r="E393" s="148">
        <f>IFERROR(__xludf.DUMMYFUNCTION("""COMPUTED_VALUE"""),0.0)</f>
        <v>0</v>
      </c>
      <c r="F393" s="148">
        <f>IFERROR(__xludf.DUMMYFUNCTION("""COMPUTED_VALUE"""),408200.0)</f>
        <v>408200</v>
      </c>
      <c r="G393" s="148">
        <f>IFERROR(__xludf.DUMMYFUNCTION("""COMPUTED_VALUE"""),1.5119629E7)</f>
        <v>15119629</v>
      </c>
      <c r="H393" s="148">
        <f>IFERROR(__xludf.DUMMYFUNCTION("""COMPUTED_VALUE"""),1.511256E7)</f>
        <v>15112560</v>
      </c>
      <c r="I393" s="148" t="str">
        <f>IFERROR(__xludf.DUMMYFUNCTION("""COMPUTED_VALUE"""),"{""typ"":""lc"",""txt"":""LC_ITEM_time_day_upper_show"",""args"":[{""typ"":""int_unit"",""val"":1}]}")</f>
        <v>{"typ":"lc","txt":"LC_ITEM_time_day_upper_show","args":[{"typ":"int_unit","val":1}]}</v>
      </c>
      <c r="J393" s="148" t="str">
        <f>IFERROR(__xludf.DUMMYFUNCTION("""COMPUTED_VALUE"""),"{""typ"":""lc"",""txt"":""LC_ITEM_24dragonboat_march_effect_name""}")</f>
        <v>{"typ":"lc","txt":"LC_ITEM_24dragonboat_march_effect_name"}</v>
      </c>
      <c r="K393" s="148" t="str">
        <f>IFERROR(__xludf.DUMMYFUNCTION("""COMPUTED_VALUE"""),"{""typ"":""lc"",""txt"":""LC_ITEM_24dragonboat_march_effect_name_desc""}")</f>
        <v>{"typ":"lc","txt":"LC_ITEM_24dragonboat_march_effect_name_desc"}</v>
      </c>
      <c r="L393" s="148" t="str">
        <f>IFERROR(__xludf.DUMMYFUNCTION("""COMPUTED_VALUE"""),"{""typ"":""lc"",""txt"":""LC_ITEM_24dragonboat_march_effect_usetip_1""}")</f>
        <v>{"typ":"lc","txt":"LC_ITEM_24dragonboat_march_effect_usetip_1"}</v>
      </c>
      <c r="M393" s="148">
        <f>IFERROR(__xludf.DUMMYFUNCTION("""COMPUTED_VALUE"""),50.0)</f>
        <v>50</v>
      </c>
      <c r="N393" s="148">
        <f>IFERROR(__xludf.DUMMYFUNCTION("""COMPUTED_VALUE"""),999999.0)</f>
        <v>999999</v>
      </c>
      <c r="O393" s="148">
        <f>IFERROR(__xludf.DUMMYFUNCTION("""COMPUTED_VALUE"""),99999.0)</f>
        <v>99999</v>
      </c>
      <c r="P393" s="148">
        <f>IFERROR(__xludf.DUMMYFUNCTION("""COMPUTED_VALUE"""),1.0)</f>
        <v>1</v>
      </c>
      <c r="Q393" s="148" t="str">
        <f>IFERROR(__xludf.DUMMYFUNCTION("""COMPUTED_VALUE"""),"[""bag_other""]")</f>
        <v>["bag_other"]</v>
      </c>
      <c r="R393" s="148" t="str">
        <f>IFERROR(__xludf.DUMMYFUNCTION("""COMPUTED_VALUE"""),"[""bag"",""13650121""]")</f>
        <v>["bag","13650121"]</v>
      </c>
      <c r="S393" s="148" t="str">
        <f>IFERROR(__xludf.DUMMYFUNCTION("""COMPUTED_VALUE"""),"{""effect"":[{""typ"":""marching_effect"",""id"":13650121,""val"":86400000},{""typ"":""vm"",""id"":11151001,""val"":50}]}")</f>
        <v>{"effect":[{"typ":"marching_effect","id":13650121,"val":86400000},{"typ":"vm","id":11151001,"val":50}]}</v>
      </c>
      <c r="T393" s="148">
        <f>IFERROR(__xludf.DUMMYFUNCTION("""COMPUTED_VALUE"""),-1.0)</f>
        <v>-1</v>
      </c>
      <c r="U393" s="148">
        <f>IFERROR(__xludf.DUMMYFUNCTION("""COMPUTED_VALUE"""),0.0)</f>
        <v>0</v>
      </c>
      <c r="V393" s="148" t="str">
        <f>IFERROR(__xludf.DUMMYFUNCTION("""COMPUTED_VALUE"""),"[]")</f>
        <v>[]</v>
      </c>
      <c r="W393" s="148">
        <f>IFERROR(__xludf.DUMMYFUNCTION("""COMPUTED_VALUE"""),1.174E7)</f>
        <v>11740000</v>
      </c>
      <c r="X393" s="148">
        <f>IFERROR(__xludf.DUMMYFUNCTION("""COMPUTED_VALUE"""),0.0)</f>
        <v>0</v>
      </c>
      <c r="Y393" s="148">
        <f>IFERROR(__xludf.DUMMYFUNCTION("""COMPUTED_VALUE"""),0.0)</f>
        <v>0</v>
      </c>
      <c r="Z393" s="148"/>
    </row>
    <row r="394">
      <c r="A394" s="148">
        <f>IFERROR(__xludf.DUMMYFUNCTION("""COMPUTED_VALUE"""),1.1112185E7)</f>
        <v>11112185</v>
      </c>
      <c r="B394" s="148" t="str">
        <f>IFERROR(__xludf.DUMMYFUNCTION("""COMPUTED_VALUE"""),"2024端午节行军特效-粽情高歌-3天限时")</f>
        <v>2024端午节行军特效-粽情高歌-3天限时</v>
      </c>
      <c r="C394" s="148"/>
      <c r="D394" s="148" t="str">
        <f>IFERROR(__xludf.DUMMYFUNCTION("""COMPUTED_VALUE"""),"marching_effect")</f>
        <v>marching_effect</v>
      </c>
      <c r="E394" s="148">
        <f>IFERROR(__xludf.DUMMYFUNCTION("""COMPUTED_VALUE"""),0.0)</f>
        <v>0</v>
      </c>
      <c r="F394" s="148">
        <f>IFERROR(__xludf.DUMMYFUNCTION("""COMPUTED_VALUE"""),408199.0)</f>
        <v>408199</v>
      </c>
      <c r="G394" s="148">
        <f>IFERROR(__xludf.DUMMYFUNCTION("""COMPUTED_VALUE"""),1.5119629E7)</f>
        <v>15119629</v>
      </c>
      <c r="H394" s="148">
        <f>IFERROR(__xludf.DUMMYFUNCTION("""COMPUTED_VALUE"""),1.5112561E7)</f>
        <v>15112561</v>
      </c>
      <c r="I394" s="148" t="str">
        <f>IFERROR(__xludf.DUMMYFUNCTION("""COMPUTED_VALUE"""),"{""typ"":""lc"",""txt"":""LC_ITEM_time_day_upper_show"",""args"":[{""typ"":""int_unit"",""val"":3}]}")</f>
        <v>{"typ":"lc","txt":"LC_ITEM_time_day_upper_show","args":[{"typ":"int_unit","val":3}]}</v>
      </c>
      <c r="J394" s="148" t="str">
        <f>IFERROR(__xludf.DUMMYFUNCTION("""COMPUTED_VALUE"""),"{""typ"":""lc"",""txt"":""LC_ITEM_24dragonboat_march_effect_name""}")</f>
        <v>{"typ":"lc","txt":"LC_ITEM_24dragonboat_march_effect_name"}</v>
      </c>
      <c r="K394" s="148" t="str">
        <f>IFERROR(__xludf.DUMMYFUNCTION("""COMPUTED_VALUE"""),"{""typ"":""lc"",""txt"":""LC_ITEM_24dragonboat_march_effect_name_desc""}")</f>
        <v>{"typ":"lc","txt":"LC_ITEM_24dragonboat_march_effect_name_desc"}</v>
      </c>
      <c r="L394" s="148" t="str">
        <f>IFERROR(__xludf.DUMMYFUNCTION("""COMPUTED_VALUE"""),"{""typ"":""lc"",""txt"":""LC_ITEM_24dragonboat_march_effect_usetip_3""}")</f>
        <v>{"typ":"lc","txt":"LC_ITEM_24dragonboat_march_effect_usetip_3"}</v>
      </c>
      <c r="M394" s="148">
        <f>IFERROR(__xludf.DUMMYFUNCTION("""COMPUTED_VALUE"""),200.0)</f>
        <v>200</v>
      </c>
      <c r="N394" s="148">
        <f>IFERROR(__xludf.DUMMYFUNCTION("""COMPUTED_VALUE"""),999999.0)</f>
        <v>999999</v>
      </c>
      <c r="O394" s="148">
        <f>IFERROR(__xludf.DUMMYFUNCTION("""COMPUTED_VALUE"""),99999.0)</f>
        <v>99999</v>
      </c>
      <c r="P394" s="148">
        <f>IFERROR(__xludf.DUMMYFUNCTION("""COMPUTED_VALUE"""),1.0)</f>
        <v>1</v>
      </c>
      <c r="Q394" s="148" t="str">
        <f>IFERROR(__xludf.DUMMYFUNCTION("""COMPUTED_VALUE"""),"[""bag_other""]")</f>
        <v>["bag_other"]</v>
      </c>
      <c r="R394" s="148" t="str">
        <f>IFERROR(__xludf.DUMMYFUNCTION("""COMPUTED_VALUE"""),"[""bag"",""13650121""]")</f>
        <v>["bag","13650121"]</v>
      </c>
      <c r="S394" s="148" t="str">
        <f>IFERROR(__xludf.DUMMYFUNCTION("""COMPUTED_VALUE"""),"{""effect"":[{""typ"":""marching_effect"",""id"":13650121,""val"":259200000},{""typ"":""vm"",""id"":11151001,""val"":200}]}")</f>
        <v>{"effect":[{"typ":"marching_effect","id":13650121,"val":259200000},{"typ":"vm","id":11151001,"val":200}]}</v>
      </c>
      <c r="T394" s="148">
        <f>IFERROR(__xludf.DUMMYFUNCTION("""COMPUTED_VALUE"""),-1.0)</f>
        <v>-1</v>
      </c>
      <c r="U394" s="148">
        <f>IFERROR(__xludf.DUMMYFUNCTION("""COMPUTED_VALUE"""),0.0)</f>
        <v>0</v>
      </c>
      <c r="V394" s="148" t="str">
        <f>IFERROR(__xludf.DUMMYFUNCTION("""COMPUTED_VALUE"""),"[]")</f>
        <v>[]</v>
      </c>
      <c r="W394" s="148">
        <f>IFERROR(__xludf.DUMMYFUNCTION("""COMPUTED_VALUE"""),1.174E7)</f>
        <v>11740000</v>
      </c>
      <c r="X394" s="148">
        <f>IFERROR(__xludf.DUMMYFUNCTION("""COMPUTED_VALUE"""),0.0)</f>
        <v>0</v>
      </c>
      <c r="Y394" s="148">
        <f>IFERROR(__xludf.DUMMYFUNCTION("""COMPUTED_VALUE"""),0.0)</f>
        <v>0</v>
      </c>
      <c r="Z394" s="148"/>
    </row>
    <row r="395">
      <c r="A395" s="148">
        <f>IFERROR(__xludf.DUMMYFUNCTION("""COMPUTED_VALUE"""),1.1112186E7)</f>
        <v>11112186</v>
      </c>
      <c r="B395" s="148" t="str">
        <f>IFERROR(__xludf.DUMMYFUNCTION("""COMPUTED_VALUE"""),"2024端午节行军特效-粽情高歌-7天限时")</f>
        <v>2024端午节行军特效-粽情高歌-7天限时</v>
      </c>
      <c r="C395" s="148"/>
      <c r="D395" s="148" t="str">
        <f>IFERROR(__xludf.DUMMYFUNCTION("""COMPUTED_VALUE"""),"marching_effect")</f>
        <v>marching_effect</v>
      </c>
      <c r="E395" s="148">
        <f>IFERROR(__xludf.DUMMYFUNCTION("""COMPUTED_VALUE"""),0.0)</f>
        <v>0</v>
      </c>
      <c r="F395" s="148">
        <f>IFERROR(__xludf.DUMMYFUNCTION("""COMPUTED_VALUE"""),408198.0)</f>
        <v>408198</v>
      </c>
      <c r="G395" s="148">
        <f>IFERROR(__xludf.DUMMYFUNCTION("""COMPUTED_VALUE"""),1.5119629E7)</f>
        <v>15119629</v>
      </c>
      <c r="H395" s="148">
        <f>IFERROR(__xludf.DUMMYFUNCTION("""COMPUTED_VALUE"""),1.5112562E7)</f>
        <v>15112562</v>
      </c>
      <c r="I395" s="148" t="str">
        <f>IFERROR(__xludf.DUMMYFUNCTION("""COMPUTED_VALUE"""),"{""typ"":""lc"",""txt"":""LC_ITEM_time_day_upper_show"",""args"":[{""typ"":""int_unit"",""val"":7}]}")</f>
        <v>{"typ":"lc","txt":"LC_ITEM_time_day_upper_show","args":[{"typ":"int_unit","val":7}]}</v>
      </c>
      <c r="J395" s="148" t="str">
        <f>IFERROR(__xludf.DUMMYFUNCTION("""COMPUTED_VALUE"""),"{""typ"":""lc"",""txt"":""LC_ITEM_24dragonboat_march_effect_name""}")</f>
        <v>{"typ":"lc","txt":"LC_ITEM_24dragonboat_march_effect_name"}</v>
      </c>
      <c r="K395" s="148" t="str">
        <f>IFERROR(__xludf.DUMMYFUNCTION("""COMPUTED_VALUE"""),"{""typ"":""lc"",""txt"":""LC_ITEM_24dragonboat_march_effect_name_desc""}")</f>
        <v>{"typ":"lc","txt":"LC_ITEM_24dragonboat_march_effect_name_desc"}</v>
      </c>
      <c r="L395" s="148" t="str">
        <f>IFERROR(__xludf.DUMMYFUNCTION("""COMPUTED_VALUE"""),"{""typ"":""lc"",""txt"":""LC_ITEM_24dragonboat_march_effect_usetip_7""}")</f>
        <v>{"typ":"lc","txt":"LC_ITEM_24dragonboat_march_effect_usetip_7"}</v>
      </c>
      <c r="M395" s="148">
        <f>IFERROR(__xludf.DUMMYFUNCTION("""COMPUTED_VALUE"""),500.0)</f>
        <v>500</v>
      </c>
      <c r="N395" s="148">
        <f>IFERROR(__xludf.DUMMYFUNCTION("""COMPUTED_VALUE"""),999999.0)</f>
        <v>999999</v>
      </c>
      <c r="O395" s="148">
        <f>IFERROR(__xludf.DUMMYFUNCTION("""COMPUTED_VALUE"""),99999.0)</f>
        <v>99999</v>
      </c>
      <c r="P395" s="148">
        <f>IFERROR(__xludf.DUMMYFUNCTION("""COMPUTED_VALUE"""),1.0)</f>
        <v>1</v>
      </c>
      <c r="Q395" s="148" t="str">
        <f>IFERROR(__xludf.DUMMYFUNCTION("""COMPUTED_VALUE"""),"[""bag_other""]")</f>
        <v>["bag_other"]</v>
      </c>
      <c r="R395" s="148" t="str">
        <f>IFERROR(__xludf.DUMMYFUNCTION("""COMPUTED_VALUE"""),"[""bag"",""13650121""]")</f>
        <v>["bag","13650121"]</v>
      </c>
      <c r="S395" s="148" t="str">
        <f>IFERROR(__xludf.DUMMYFUNCTION("""COMPUTED_VALUE"""),"{""effect"":[{""typ"":""marching_effect"",""id"":13650121,""val"":604800000},{""typ"":""vm"",""id"":11151001,""val"":500}]}")</f>
        <v>{"effect":[{"typ":"marching_effect","id":13650121,"val":604800000},{"typ":"vm","id":11151001,"val":500}]}</v>
      </c>
      <c r="T395" s="148">
        <f>IFERROR(__xludf.DUMMYFUNCTION("""COMPUTED_VALUE"""),-1.0)</f>
        <v>-1</v>
      </c>
      <c r="U395" s="148">
        <f>IFERROR(__xludf.DUMMYFUNCTION("""COMPUTED_VALUE"""),0.0)</f>
        <v>0</v>
      </c>
      <c r="V395" s="148" t="str">
        <f>IFERROR(__xludf.DUMMYFUNCTION("""COMPUTED_VALUE"""),"[]")</f>
        <v>[]</v>
      </c>
      <c r="W395" s="148">
        <f>IFERROR(__xludf.DUMMYFUNCTION("""COMPUTED_VALUE"""),1.174E7)</f>
        <v>11740000</v>
      </c>
      <c r="X395" s="148">
        <f>IFERROR(__xludf.DUMMYFUNCTION("""COMPUTED_VALUE"""),0.0)</f>
        <v>0</v>
      </c>
      <c r="Y395" s="148">
        <f>IFERROR(__xludf.DUMMYFUNCTION("""COMPUTED_VALUE"""),0.0)</f>
        <v>0</v>
      </c>
      <c r="Z395" s="148"/>
    </row>
    <row r="396">
      <c r="A396" s="148">
        <f>IFERROR(__xludf.DUMMYFUNCTION("""COMPUTED_VALUE"""),1.1112187E7)</f>
        <v>11112187</v>
      </c>
      <c r="B396" s="148" t="str">
        <f>IFERROR(__xludf.DUMMYFUNCTION("""COMPUTED_VALUE"""),"2024端午节行军特效-粽情高歌-14天限时")</f>
        <v>2024端午节行军特效-粽情高歌-14天限时</v>
      </c>
      <c r="C396" s="148"/>
      <c r="D396" s="148" t="str">
        <f>IFERROR(__xludf.DUMMYFUNCTION("""COMPUTED_VALUE"""),"marching_effect")</f>
        <v>marching_effect</v>
      </c>
      <c r="E396" s="148">
        <f>IFERROR(__xludf.DUMMYFUNCTION("""COMPUTED_VALUE"""),0.0)</f>
        <v>0</v>
      </c>
      <c r="F396" s="148">
        <f>IFERROR(__xludf.DUMMYFUNCTION("""COMPUTED_VALUE"""),408197.0)</f>
        <v>408197</v>
      </c>
      <c r="G396" s="148">
        <f>IFERROR(__xludf.DUMMYFUNCTION("""COMPUTED_VALUE"""),1.5119629E7)</f>
        <v>15119629</v>
      </c>
      <c r="H396" s="148">
        <f>IFERROR(__xludf.DUMMYFUNCTION("""COMPUTED_VALUE"""),1.5112563E7)</f>
        <v>15112563</v>
      </c>
      <c r="I396" s="148" t="str">
        <f>IFERROR(__xludf.DUMMYFUNCTION("""COMPUTED_VALUE"""),"{""typ"":""lc"",""txt"":""LC_ITEM_time_day_upper_show"",""args"":[{""typ"":""int_unit"",""val"":14}]}")</f>
        <v>{"typ":"lc","txt":"LC_ITEM_time_day_upper_show","args":[{"typ":"int_unit","val":14}]}</v>
      </c>
      <c r="J396" s="148" t="str">
        <f>IFERROR(__xludf.DUMMYFUNCTION("""COMPUTED_VALUE"""),"{""typ"":""lc"",""txt"":""LC_ITEM_24dragonboat_march_effect_name""}")</f>
        <v>{"typ":"lc","txt":"LC_ITEM_24dragonboat_march_effect_name"}</v>
      </c>
      <c r="K396" s="148" t="str">
        <f>IFERROR(__xludf.DUMMYFUNCTION("""COMPUTED_VALUE"""),"{""typ"":""lc"",""txt"":""LC_ITEM_24dragonboat_march_effect_name_desc""}")</f>
        <v>{"typ":"lc","txt":"LC_ITEM_24dragonboat_march_effect_name_desc"}</v>
      </c>
      <c r="L396" s="148" t="str">
        <f>IFERROR(__xludf.DUMMYFUNCTION("""COMPUTED_VALUE"""),"{""typ"":""lc"",""txt"":""LC_ITEM_24dragonboat_march_effect_usetip_14""}")</f>
        <v>{"typ":"lc","txt":"LC_ITEM_24dragonboat_march_effect_usetip_14"}</v>
      </c>
      <c r="M396" s="148">
        <f>IFERROR(__xludf.DUMMYFUNCTION("""COMPUTED_VALUE"""),1000.0)</f>
        <v>1000</v>
      </c>
      <c r="N396" s="148">
        <f>IFERROR(__xludf.DUMMYFUNCTION("""COMPUTED_VALUE"""),999999.0)</f>
        <v>999999</v>
      </c>
      <c r="O396" s="148">
        <f>IFERROR(__xludf.DUMMYFUNCTION("""COMPUTED_VALUE"""),99999.0)</f>
        <v>99999</v>
      </c>
      <c r="P396" s="148">
        <f>IFERROR(__xludf.DUMMYFUNCTION("""COMPUTED_VALUE"""),1.0)</f>
        <v>1</v>
      </c>
      <c r="Q396" s="148" t="str">
        <f>IFERROR(__xludf.DUMMYFUNCTION("""COMPUTED_VALUE"""),"[""bag_other""]")</f>
        <v>["bag_other"]</v>
      </c>
      <c r="R396" s="148" t="str">
        <f>IFERROR(__xludf.DUMMYFUNCTION("""COMPUTED_VALUE"""),"[""bag"",""13650121""]")</f>
        <v>["bag","13650121"]</v>
      </c>
      <c r="S396" s="148" t="str">
        <f>IFERROR(__xludf.DUMMYFUNCTION("""COMPUTED_VALUE"""),"{""effect"":[{""typ"":""marching_effect"",""id"":13650121,""val"":1209600000},{""typ"":""vm"",""id"":11151001,""val"":1000}]}")</f>
        <v>{"effect":[{"typ":"marching_effect","id":13650121,"val":1209600000},{"typ":"vm","id":11151001,"val":1000}]}</v>
      </c>
      <c r="T396" s="148">
        <f>IFERROR(__xludf.DUMMYFUNCTION("""COMPUTED_VALUE"""),-1.0)</f>
        <v>-1</v>
      </c>
      <c r="U396" s="148">
        <f>IFERROR(__xludf.DUMMYFUNCTION("""COMPUTED_VALUE"""),0.0)</f>
        <v>0</v>
      </c>
      <c r="V396" s="148" t="str">
        <f>IFERROR(__xludf.DUMMYFUNCTION("""COMPUTED_VALUE"""),"[]")</f>
        <v>[]</v>
      </c>
      <c r="W396" s="148">
        <f>IFERROR(__xludf.DUMMYFUNCTION("""COMPUTED_VALUE"""),1.174E7)</f>
        <v>11740000</v>
      </c>
      <c r="X396" s="148">
        <f>IFERROR(__xludf.DUMMYFUNCTION("""COMPUTED_VALUE"""),0.0)</f>
        <v>0</v>
      </c>
      <c r="Y396" s="148">
        <f>IFERROR(__xludf.DUMMYFUNCTION("""COMPUTED_VALUE"""),0.0)</f>
        <v>0</v>
      </c>
      <c r="Z396" s="148"/>
    </row>
    <row r="397">
      <c r="A397" s="148">
        <f>IFERROR(__xludf.DUMMYFUNCTION("""COMPUTED_VALUE"""),1.1112188E7)</f>
        <v>11112188</v>
      </c>
      <c r="B397" s="148" t="str">
        <f>IFERROR(__xludf.DUMMYFUNCTION("""COMPUTED_VALUE"""),"2024端午节行军特效-粽情高歌-30天限时")</f>
        <v>2024端午节行军特效-粽情高歌-30天限时</v>
      </c>
      <c r="C397" s="148"/>
      <c r="D397" s="148" t="str">
        <f>IFERROR(__xludf.DUMMYFUNCTION("""COMPUTED_VALUE"""),"marching_effect")</f>
        <v>marching_effect</v>
      </c>
      <c r="E397" s="148">
        <f>IFERROR(__xludf.DUMMYFUNCTION("""COMPUTED_VALUE"""),0.0)</f>
        <v>0</v>
      </c>
      <c r="F397" s="148">
        <f>IFERROR(__xludf.DUMMYFUNCTION("""COMPUTED_VALUE"""),408197.0)</f>
        <v>408197</v>
      </c>
      <c r="G397" s="148">
        <f>IFERROR(__xludf.DUMMYFUNCTION("""COMPUTED_VALUE"""),1.5119629E7)</f>
        <v>15119629</v>
      </c>
      <c r="H397" s="148">
        <f>IFERROR(__xludf.DUMMYFUNCTION("""COMPUTED_VALUE"""),1.5112563E7)</f>
        <v>15112563</v>
      </c>
      <c r="I397" s="148" t="str">
        <f>IFERROR(__xludf.DUMMYFUNCTION("""COMPUTED_VALUE"""),"{""typ"":""lc"",""txt"":""LC_ITEM_time_day_upper_show"",""args"":[{""typ"":""int_unit"",""val"":30}]}")</f>
        <v>{"typ":"lc","txt":"LC_ITEM_time_day_upper_show","args":[{"typ":"int_unit","val":30}]}</v>
      </c>
      <c r="J397" s="148" t="str">
        <f>IFERROR(__xludf.DUMMYFUNCTION("""COMPUTED_VALUE"""),"{""typ"":""lc"",""txt"":""LC_ITEM_24dragonboat_march_effect_name""}")</f>
        <v>{"typ":"lc","txt":"LC_ITEM_24dragonboat_march_effect_name"}</v>
      </c>
      <c r="K397" s="148" t="str">
        <f>IFERROR(__xludf.DUMMYFUNCTION("""COMPUTED_VALUE"""),"{""typ"":""lc"",""txt"":""LC_ITEM_24dragonboat_march_effect_name_desc""}")</f>
        <v>{"typ":"lc","txt":"LC_ITEM_24dragonboat_march_effect_name_desc"}</v>
      </c>
      <c r="L397" s="148" t="str">
        <f>IFERROR(__xludf.DUMMYFUNCTION("""COMPUTED_VALUE"""),"{""typ"":""lc"",""txt"":""LC_ITEM_24dragonboat_march_effect_usetip_30""}")</f>
        <v>{"typ":"lc","txt":"LC_ITEM_24dragonboat_march_effect_usetip_30"}</v>
      </c>
      <c r="M397" s="148">
        <f>IFERROR(__xludf.DUMMYFUNCTION("""COMPUTED_VALUE"""),1000.0)</f>
        <v>1000</v>
      </c>
      <c r="N397" s="148">
        <f>IFERROR(__xludf.DUMMYFUNCTION("""COMPUTED_VALUE"""),999999.0)</f>
        <v>999999</v>
      </c>
      <c r="O397" s="148">
        <f>IFERROR(__xludf.DUMMYFUNCTION("""COMPUTED_VALUE"""),99999.0)</f>
        <v>99999</v>
      </c>
      <c r="P397" s="148">
        <f>IFERROR(__xludf.DUMMYFUNCTION("""COMPUTED_VALUE"""),1.0)</f>
        <v>1</v>
      </c>
      <c r="Q397" s="148" t="str">
        <f>IFERROR(__xludf.DUMMYFUNCTION("""COMPUTED_VALUE"""),"[""bag_other""]")</f>
        <v>["bag_other"]</v>
      </c>
      <c r="R397" s="148" t="str">
        <f>IFERROR(__xludf.DUMMYFUNCTION("""COMPUTED_VALUE"""),"[""bag"",""13650121""]")</f>
        <v>["bag","13650121"]</v>
      </c>
      <c r="S397" s="148" t="str">
        <f>IFERROR(__xludf.DUMMYFUNCTION("""COMPUTED_VALUE"""),"{""effect"":[{""typ"":""marching_effect"",""id"":13650121,""val"":2592000000},{""typ"":""vm"",""id"":11151001,""val"":1000}]}")</f>
        <v>{"effect":[{"typ":"marching_effect","id":13650121,"val":2592000000},{"typ":"vm","id":11151001,"val":1000}]}</v>
      </c>
      <c r="T397" s="148">
        <f>IFERROR(__xludf.DUMMYFUNCTION("""COMPUTED_VALUE"""),-1.0)</f>
        <v>-1</v>
      </c>
      <c r="U397" s="148">
        <f>IFERROR(__xludf.DUMMYFUNCTION("""COMPUTED_VALUE"""),0.0)</f>
        <v>0</v>
      </c>
      <c r="V397" s="148" t="str">
        <f>IFERROR(__xludf.DUMMYFUNCTION("""COMPUTED_VALUE"""),"[]")</f>
        <v>[]</v>
      </c>
      <c r="W397" s="148">
        <f>IFERROR(__xludf.DUMMYFUNCTION("""COMPUTED_VALUE"""),1.174E7)</f>
        <v>11740000</v>
      </c>
      <c r="X397" s="148">
        <f>IFERROR(__xludf.DUMMYFUNCTION("""COMPUTED_VALUE"""),0.0)</f>
        <v>0</v>
      </c>
      <c r="Y397" s="148">
        <f>IFERROR(__xludf.DUMMYFUNCTION("""COMPUTED_VALUE"""),0.0)</f>
        <v>0</v>
      </c>
      <c r="Z397" s="148"/>
    </row>
    <row r="398">
      <c r="A398" s="148">
        <f>IFERROR(__xludf.DUMMYFUNCTION("""COMPUTED_VALUE"""),1.1112189E7)</f>
        <v>11112189</v>
      </c>
      <c r="B398" s="148" t="str">
        <f>IFERROR(__xludf.DUMMYFUNCTION("""COMPUTED_VALUE"""),"2024端午节行军特效-粽情高歌-永久")</f>
        <v>2024端午节行军特效-粽情高歌-永久</v>
      </c>
      <c r="C398" s="148"/>
      <c r="D398" s="148" t="str">
        <f>IFERROR(__xludf.DUMMYFUNCTION("""COMPUTED_VALUE"""),"marching_effect")</f>
        <v>marching_effect</v>
      </c>
      <c r="E398" s="148">
        <f>IFERROR(__xludf.DUMMYFUNCTION("""COMPUTED_VALUE"""),0.0)</f>
        <v>0</v>
      </c>
      <c r="F398" s="148">
        <f>IFERROR(__xludf.DUMMYFUNCTION("""COMPUTED_VALUE"""),408195.0)</f>
        <v>408195</v>
      </c>
      <c r="G398" s="148">
        <f>IFERROR(__xludf.DUMMYFUNCTION("""COMPUTED_VALUE"""),1.5119629E7)</f>
        <v>15119629</v>
      </c>
      <c r="H398" s="148">
        <f>IFERROR(__xludf.DUMMYFUNCTION("""COMPUTED_VALUE"""),1.5112564E7)</f>
        <v>15112564</v>
      </c>
      <c r="I398" s="148" t="str">
        <f>IFERROR(__xludf.DUMMYFUNCTION("""COMPUTED_VALUE"""),"{}")</f>
        <v>{}</v>
      </c>
      <c r="J398" s="148" t="str">
        <f>IFERROR(__xludf.DUMMYFUNCTION("""COMPUTED_VALUE"""),"{""typ"":""lc"",""txt"":""LC_ITEM_24dragonboat_march_effect_name""}")</f>
        <v>{"typ":"lc","txt":"LC_ITEM_24dragonboat_march_effect_name"}</v>
      </c>
      <c r="K398" s="148" t="str">
        <f>IFERROR(__xludf.DUMMYFUNCTION("""COMPUTED_VALUE"""),"{""typ"":""lc"",""txt"":""LC_ITEM_24dragonboat_march_effect_name_desc""}")</f>
        <v>{"typ":"lc","txt":"LC_ITEM_24dragonboat_march_effect_name_desc"}</v>
      </c>
      <c r="L398" s="148" t="str">
        <f>IFERROR(__xludf.DUMMYFUNCTION("""COMPUTED_VALUE"""),"{""typ"":""lc"",""txt"":""LC_ITEM_24dragonboat_march_effect_usetip""}")</f>
        <v>{"typ":"lc","txt":"LC_ITEM_24dragonboat_march_effect_usetip"}</v>
      </c>
      <c r="M398" s="148">
        <f>IFERROR(__xludf.DUMMYFUNCTION("""COMPUTED_VALUE"""),5000.0)</f>
        <v>5000</v>
      </c>
      <c r="N398" s="148">
        <f>IFERROR(__xludf.DUMMYFUNCTION("""COMPUTED_VALUE"""),999999.0)</f>
        <v>999999</v>
      </c>
      <c r="O398" s="148">
        <f>IFERROR(__xludf.DUMMYFUNCTION("""COMPUTED_VALUE"""),99999.0)</f>
        <v>99999</v>
      </c>
      <c r="P398" s="148">
        <f>IFERROR(__xludf.DUMMYFUNCTION("""COMPUTED_VALUE"""),1.0)</f>
        <v>1</v>
      </c>
      <c r="Q398" s="148" t="str">
        <f>IFERROR(__xludf.DUMMYFUNCTION("""COMPUTED_VALUE"""),"[""bag_other""]")</f>
        <v>["bag_other"]</v>
      </c>
      <c r="R398" s="148" t="str">
        <f>IFERROR(__xludf.DUMMYFUNCTION("""COMPUTED_VALUE"""),"[""bag"",""13650121""]")</f>
        <v>["bag","13650121"]</v>
      </c>
      <c r="S398" s="148" t="str">
        <f>IFERROR(__xludf.DUMMYFUNCTION("""COMPUTED_VALUE"""),"{""effect"":[{""typ"":""marching_effect"",""id"":13650121,""val"":-1},{""typ"":""vm"",""id"":11151001,""val"":2500}]}")</f>
        <v>{"effect":[{"typ":"marching_effect","id":13650121,"val":-1},{"typ":"vm","id":11151001,"val":2500}]}</v>
      </c>
      <c r="T398" s="148">
        <f>IFERROR(__xludf.DUMMYFUNCTION("""COMPUTED_VALUE"""),-1.0)</f>
        <v>-1</v>
      </c>
      <c r="U398" s="148">
        <f>IFERROR(__xludf.DUMMYFUNCTION("""COMPUTED_VALUE"""),0.0)</f>
        <v>0</v>
      </c>
      <c r="V398" s="148" t="str">
        <f>IFERROR(__xludf.DUMMYFUNCTION("""COMPUTED_VALUE"""),"[]")</f>
        <v>[]</v>
      </c>
      <c r="W398" s="148">
        <f>IFERROR(__xludf.DUMMYFUNCTION("""COMPUTED_VALUE"""),1.174E7)</f>
        <v>11740000</v>
      </c>
      <c r="X398" s="148">
        <f>IFERROR(__xludf.DUMMYFUNCTION("""COMPUTED_VALUE"""),0.0)</f>
        <v>0</v>
      </c>
      <c r="Y398" s="148">
        <f>IFERROR(__xludf.DUMMYFUNCTION("""COMPUTED_VALUE"""),0.0)</f>
        <v>0</v>
      </c>
      <c r="Z398" s="148"/>
    </row>
    <row r="399">
      <c r="A399" s="148">
        <f>IFERROR(__xludf.DUMMYFUNCTION("""COMPUTED_VALUE"""),1.111219E7)</f>
        <v>11112190</v>
      </c>
      <c r="B399" s="148" t="str">
        <f>IFERROR(__xludf.DUMMYFUNCTION("""COMPUTED_VALUE"""),"2024端午节铭牌-跃水龙舟")</f>
        <v>2024端午节铭牌-跃水龙舟</v>
      </c>
      <c r="C399" s="148"/>
      <c r="D399" s="148" t="str">
        <f>IFERROR(__xludf.DUMMYFUNCTION("""COMPUTED_VALUE"""),"chat_skin")</f>
        <v>chat_skin</v>
      </c>
      <c r="E399" s="148">
        <f>IFERROR(__xludf.DUMMYFUNCTION("""COMPUTED_VALUE"""),30.0)</f>
        <v>30</v>
      </c>
      <c r="F399" s="148">
        <f>IFERROR(__xludf.DUMMYFUNCTION("""COMPUTED_VALUE"""),401107.0)</f>
        <v>401107</v>
      </c>
      <c r="G399" s="148">
        <f>IFERROR(__xludf.DUMMYFUNCTION("""COMPUTED_VALUE"""),1.511963E7)</f>
        <v>15119630</v>
      </c>
      <c r="H399" s="148">
        <f>IFERROR(__xludf.DUMMYFUNCTION("""COMPUTED_VALUE"""),1.5112564E7)</f>
        <v>15112564</v>
      </c>
      <c r="I399" s="148" t="str">
        <f>IFERROR(__xludf.DUMMYFUNCTION("""COMPUTED_VALUE"""),"{}")</f>
        <v>{}</v>
      </c>
      <c r="J399" s="148" t="str">
        <f>IFERROR(__xludf.DUMMYFUNCTION("""COMPUTED_VALUE"""),"{""typ"":""lc"",""txt"":""LC_ITEM_24dragonboat_nameplate""}")</f>
        <v>{"typ":"lc","txt":"LC_ITEM_24dragonboat_nameplate"}</v>
      </c>
      <c r="K399" s="148" t="str">
        <f>IFERROR(__xludf.DUMMYFUNCTION("""COMPUTED_VALUE"""),"{""typ"":""lc"",""txt"":""LC_ITEM_24dragonboat_nameplate_desc_item""}")</f>
        <v>{"typ":"lc","txt":"LC_ITEM_24dragonboat_nameplate_desc_item"}</v>
      </c>
      <c r="L399" s="148" t="str">
        <f>IFERROR(__xludf.DUMMYFUNCTION("""COMPUTED_VALUE"""),"{""typ"":""lc"",""txt"":""LC_ITEM_season_extra_reward_usedtip""}")</f>
        <v>{"typ":"lc","txt":"LC_ITEM_season_extra_reward_usedtip"}</v>
      </c>
      <c r="M399" s="148">
        <f>IFERROR(__xludf.DUMMYFUNCTION("""COMPUTED_VALUE"""),2500.0)</f>
        <v>2500</v>
      </c>
      <c r="N399" s="148">
        <f>IFERROR(__xludf.DUMMYFUNCTION("""COMPUTED_VALUE"""),9999999.0)</f>
        <v>9999999</v>
      </c>
      <c r="O399" s="148">
        <f>IFERROR(__xludf.DUMMYFUNCTION("""COMPUTED_VALUE"""),1.0)</f>
        <v>1</v>
      </c>
      <c r="P399" s="148">
        <f>IFERROR(__xludf.DUMMYFUNCTION("""COMPUTED_VALUE"""),1.0)</f>
        <v>1</v>
      </c>
      <c r="Q399" s="148" t="str">
        <f>IFERROR(__xludf.DUMMYFUNCTION("""COMPUTED_VALUE"""),"[""bag_other""]")</f>
        <v>["bag_other"]</v>
      </c>
      <c r="R399" s="148" t="str">
        <f>IFERROR(__xludf.DUMMYFUNCTION("""COMPUTED_VALUE"""),"[""11731024"",""bag""]")</f>
        <v>["11731024","bag"]</v>
      </c>
      <c r="S399" s="148" t="str">
        <f>IFERROR(__xludf.DUMMYFUNCTION("""COMPUTED_VALUE"""),"{""effect"":[{""typ"":""nameplate"",""id"":11731024,""val"":-1}]}")</f>
        <v>{"effect":[{"typ":"nameplate","id":11731024,"val":-1}]}</v>
      </c>
      <c r="T399" s="148">
        <f>IFERROR(__xludf.DUMMYFUNCTION("""COMPUTED_VALUE"""),-1.0)</f>
        <v>-1</v>
      </c>
      <c r="U399" s="148">
        <f>IFERROR(__xludf.DUMMYFUNCTION("""COMPUTED_VALUE"""),0.0)</f>
        <v>0</v>
      </c>
      <c r="V399" s="148" t="str">
        <f>IFERROR(__xludf.DUMMYFUNCTION("""COMPUTED_VALUE"""),"[]")</f>
        <v>[]</v>
      </c>
      <c r="W399" s="148">
        <f>IFERROR(__xludf.DUMMYFUNCTION("""COMPUTED_VALUE"""),1.174E7)</f>
        <v>11740000</v>
      </c>
      <c r="X399" s="148">
        <f>IFERROR(__xludf.DUMMYFUNCTION("""COMPUTED_VALUE"""),0.0)</f>
        <v>0</v>
      </c>
      <c r="Y399" s="148">
        <f>IFERROR(__xludf.DUMMYFUNCTION("""COMPUTED_VALUE"""),0.0)</f>
        <v>0</v>
      </c>
      <c r="Z399" s="148"/>
    </row>
    <row r="400">
      <c r="A400" s="148">
        <f>IFERROR(__xludf.DUMMYFUNCTION("""COMPUTED_VALUE"""),1.1112191E7)</f>
        <v>11112191</v>
      </c>
      <c r="B400" s="148" t="str">
        <f>IFERROR(__xludf.DUMMYFUNCTION("""COMPUTED_VALUE"""),"主城皮肤-端午节高级皮肤2024-14天")</f>
        <v>主城皮肤-端午节高级皮肤2024-14天</v>
      </c>
      <c r="C400" s="148"/>
      <c r="D400" s="148" t="str">
        <f>IFERROR(__xludf.DUMMYFUNCTION("""COMPUTED_VALUE"""),"city_skin")</f>
        <v>city_skin</v>
      </c>
      <c r="E400" s="148">
        <f>IFERROR(__xludf.DUMMYFUNCTION("""COMPUTED_VALUE"""),21.0)</f>
        <v>21</v>
      </c>
      <c r="F400" s="148">
        <f>IFERROR(__xludf.DUMMYFUNCTION("""COMPUTED_VALUE"""),400106.0)</f>
        <v>400106</v>
      </c>
      <c r="G400" s="148">
        <f>IFERROR(__xludf.DUMMYFUNCTION("""COMPUTED_VALUE"""),1.5119476E7)</f>
        <v>15119476</v>
      </c>
      <c r="H400" s="148">
        <f>IFERROR(__xludf.DUMMYFUNCTION("""COMPUTED_VALUE"""),1.5112564E7)</f>
        <v>15112564</v>
      </c>
      <c r="I400" s="148" t="str">
        <f>IFERROR(__xludf.DUMMYFUNCTION("""COMPUTED_VALUE"""),"{""typ"":""lc"",""txt"":""LC_ITEM_time_day_upper_show"",""args"":[{""typ"":""int"",""val"":14}]}")</f>
        <v>{"typ":"lc","txt":"LC_ITEM_time_day_upper_show","args":[{"typ":"int","val":14}]}</v>
      </c>
      <c r="J400" s="148" t="str">
        <f>IFERROR(__xludf.DUMMYFUNCTION("""COMPUTED_VALUE"""),"{""typ"":""lc"",""txt"":""LC_ITEM_2024dragon_highcity_skin_title_14day""}")</f>
        <v>{"typ":"lc","txt":"LC_ITEM_2024dragon_highcity_skin_title_14day"}</v>
      </c>
      <c r="K400" s="148" t="str">
        <f>IFERROR(__xludf.DUMMYFUNCTION("""COMPUTED_VALUE"""),"{""typ"":""lc"",""txt"":""LC_ITEM_2024dragon_highskin_desc_14days""}")</f>
        <v>{"typ":"lc","txt":"LC_ITEM_2024dragon_highskin_desc_14days"}</v>
      </c>
      <c r="L400" s="148" t="str">
        <f>IFERROR(__xludf.DUMMYFUNCTION("""COMPUTED_VALUE"""),"{""typ"":""lc"",""txt"":""LC_ITEM_city_skin_rocket_use_tips""}")</f>
        <v>{"typ":"lc","txt":"LC_ITEM_city_skin_rocket_use_tips"}</v>
      </c>
      <c r="M400" s="148">
        <f>IFERROR(__xludf.DUMMYFUNCTION("""COMPUTED_VALUE"""),10000.0)</f>
        <v>10000</v>
      </c>
      <c r="N400" s="148">
        <f>IFERROR(__xludf.DUMMYFUNCTION("""COMPUTED_VALUE"""),999.0)</f>
        <v>999</v>
      </c>
      <c r="O400" s="148">
        <f>IFERROR(__xludf.DUMMYFUNCTION("""COMPUTED_VALUE"""),1.0)</f>
        <v>1</v>
      </c>
      <c r="P400" s="148">
        <f>IFERROR(__xludf.DUMMYFUNCTION("""COMPUTED_VALUE"""),1.0)</f>
        <v>1</v>
      </c>
      <c r="Q400" s="148" t="str">
        <f>IFERROR(__xludf.DUMMYFUNCTION("""COMPUTED_VALUE"""),"[""bag_other""]")</f>
        <v>["bag_other"]</v>
      </c>
      <c r="R400" s="148" t="str">
        <f>IFERROR(__xludf.DUMMYFUNCTION("""COMPUTED_VALUE"""),"[""bag"",""13121041""]")</f>
        <v>["bag","13121041"]</v>
      </c>
      <c r="S400" s="148" t="str">
        <f>IFERROR(__xludf.DUMMYFUNCTION("""COMPUTED_VALUE"""),"{""effect"":[{""typ"":""city_skin"",""id"":13121041,""val"":1209600000},{""typ"":""item"",""id"":11111021,""val"":7}]}")</f>
        <v>{"effect":[{"typ":"city_skin","id":13121041,"val":1209600000},{"typ":"item","id":11111021,"val":7}]}</v>
      </c>
      <c r="T400" s="148">
        <f>IFERROR(__xludf.DUMMYFUNCTION("""COMPUTED_VALUE"""),-1.0)</f>
        <v>-1</v>
      </c>
      <c r="U400" s="148">
        <f>IFERROR(__xludf.DUMMYFUNCTION("""COMPUTED_VALUE"""),0.0)</f>
        <v>0</v>
      </c>
      <c r="V400" s="148" t="str">
        <f>IFERROR(__xludf.DUMMYFUNCTION("""COMPUTED_VALUE"""),"[]")</f>
        <v>[]</v>
      </c>
      <c r="W400" s="148">
        <f>IFERROR(__xludf.DUMMYFUNCTION("""COMPUTED_VALUE"""),1.174E7)</f>
        <v>11740000</v>
      </c>
      <c r="X400" s="148">
        <f>IFERROR(__xludf.DUMMYFUNCTION("""COMPUTED_VALUE"""),0.0)</f>
        <v>0</v>
      </c>
      <c r="Y400" s="148">
        <f>IFERROR(__xludf.DUMMYFUNCTION("""COMPUTED_VALUE"""),0.0)</f>
        <v>0</v>
      </c>
      <c r="Z400" s="148"/>
    </row>
    <row r="401">
      <c r="A401" s="148">
        <f>IFERROR(__xludf.DUMMYFUNCTION("""COMPUTED_VALUE"""),1.1112192E7)</f>
        <v>11112192</v>
      </c>
      <c r="B401" s="148" t="str">
        <f>IFERROR(__xludf.DUMMYFUNCTION("""COMPUTED_VALUE"""),"主城皮肤-端午节高级皮肤2024-7天")</f>
        <v>主城皮肤-端午节高级皮肤2024-7天</v>
      </c>
      <c r="C401" s="148"/>
      <c r="D401" s="148" t="str">
        <f>IFERROR(__xludf.DUMMYFUNCTION("""COMPUTED_VALUE"""),"city_skin")</f>
        <v>city_skin</v>
      </c>
      <c r="E401" s="148">
        <f>IFERROR(__xludf.DUMMYFUNCTION("""COMPUTED_VALUE"""),21.0)</f>
        <v>21</v>
      </c>
      <c r="F401" s="148">
        <f>IFERROR(__xludf.DUMMYFUNCTION("""COMPUTED_VALUE"""),400106.0)</f>
        <v>400106</v>
      </c>
      <c r="G401" s="148">
        <f>IFERROR(__xludf.DUMMYFUNCTION("""COMPUTED_VALUE"""),1.5119476E7)</f>
        <v>15119476</v>
      </c>
      <c r="H401" s="148">
        <f>IFERROR(__xludf.DUMMYFUNCTION("""COMPUTED_VALUE"""),1.5112564E7)</f>
        <v>15112564</v>
      </c>
      <c r="I401" s="148" t="str">
        <f>IFERROR(__xludf.DUMMYFUNCTION("""COMPUTED_VALUE"""),"{""typ"":""lc"",""txt"":""LC_ITEM_time_day_upper_show"",""args"":[{""typ"":""int"",""val"":7}]}")</f>
        <v>{"typ":"lc","txt":"LC_ITEM_time_day_upper_show","args":[{"typ":"int","val":7}]}</v>
      </c>
      <c r="J401" s="148" t="str">
        <f>IFERROR(__xludf.DUMMYFUNCTION("""COMPUTED_VALUE"""),"{""typ"":""lc"",""txt"":""LC_ITEM_2024dragon_highcity_skin_title_7day""}")</f>
        <v>{"typ":"lc","txt":"LC_ITEM_2024dragon_highcity_skin_title_7day"}</v>
      </c>
      <c r="K401" s="148" t="str">
        <f>IFERROR(__xludf.DUMMYFUNCTION("""COMPUTED_VALUE"""),"{""typ"":""lc"",""txt"":""LC_ITEM_2024dragon_highskin_desc_7days""}")</f>
        <v>{"typ":"lc","txt":"LC_ITEM_2024dragon_highskin_desc_7days"}</v>
      </c>
      <c r="L401" s="148" t="str">
        <f>IFERROR(__xludf.DUMMYFUNCTION("""COMPUTED_VALUE"""),"{""typ"":""lc"",""txt"":""LC_ITEM_city_skin_rocket_use_tips""}")</f>
        <v>{"typ":"lc","txt":"LC_ITEM_city_skin_rocket_use_tips"}</v>
      </c>
      <c r="M401" s="148">
        <f>IFERROR(__xludf.DUMMYFUNCTION("""COMPUTED_VALUE"""),10000.0)</f>
        <v>10000</v>
      </c>
      <c r="N401" s="148">
        <f>IFERROR(__xludf.DUMMYFUNCTION("""COMPUTED_VALUE"""),999.0)</f>
        <v>999</v>
      </c>
      <c r="O401" s="148">
        <f>IFERROR(__xludf.DUMMYFUNCTION("""COMPUTED_VALUE"""),1.0)</f>
        <v>1</v>
      </c>
      <c r="P401" s="148">
        <f>IFERROR(__xludf.DUMMYFUNCTION("""COMPUTED_VALUE"""),1.0)</f>
        <v>1</v>
      </c>
      <c r="Q401" s="148" t="str">
        <f>IFERROR(__xludf.DUMMYFUNCTION("""COMPUTED_VALUE"""),"[""bag_other""]")</f>
        <v>["bag_other"]</v>
      </c>
      <c r="R401" s="148" t="str">
        <f>IFERROR(__xludf.DUMMYFUNCTION("""COMPUTED_VALUE"""),"[""bag"",""13121041""]")</f>
        <v>["bag","13121041"]</v>
      </c>
      <c r="S401" s="148" t="str">
        <f>IFERROR(__xludf.DUMMYFUNCTION("""COMPUTED_VALUE"""),"{""effect"":[{""typ"":""city_skin"",""id"":13121041,""val"":604800000},{""typ"":""item"",""id"":11111021,""val"":3}]}")</f>
        <v>{"effect":[{"typ":"city_skin","id":13121041,"val":604800000},{"typ":"item","id":11111021,"val":3}]}</v>
      </c>
      <c r="T401" s="148">
        <f>IFERROR(__xludf.DUMMYFUNCTION("""COMPUTED_VALUE"""),-1.0)</f>
        <v>-1</v>
      </c>
      <c r="U401" s="148">
        <f>IFERROR(__xludf.DUMMYFUNCTION("""COMPUTED_VALUE"""),0.0)</f>
        <v>0</v>
      </c>
      <c r="V401" s="148" t="str">
        <f>IFERROR(__xludf.DUMMYFUNCTION("""COMPUTED_VALUE"""),"[]")</f>
        <v>[]</v>
      </c>
      <c r="W401" s="148">
        <f>IFERROR(__xludf.DUMMYFUNCTION("""COMPUTED_VALUE"""),1.174E7)</f>
        <v>11740000</v>
      </c>
      <c r="X401" s="148">
        <f>IFERROR(__xludf.DUMMYFUNCTION("""COMPUTED_VALUE"""),0.0)</f>
        <v>0</v>
      </c>
      <c r="Y401" s="148">
        <f>IFERROR(__xludf.DUMMYFUNCTION("""COMPUTED_VALUE"""),0.0)</f>
        <v>0</v>
      </c>
      <c r="Z401" s="148"/>
    </row>
    <row r="402">
      <c r="A402" s="148">
        <f>IFERROR(__xludf.DUMMYFUNCTION("""COMPUTED_VALUE"""),1.1112193E7)</f>
        <v>11112193</v>
      </c>
      <c r="B402" s="148" t="str">
        <f>IFERROR(__xludf.DUMMYFUNCTION("""COMPUTED_VALUE"""),"主城皮肤-端午节高级皮肤2024")</f>
        <v>主城皮肤-端午节高级皮肤2024</v>
      </c>
      <c r="C402" s="148"/>
      <c r="D402" s="148" t="str">
        <f>IFERROR(__xludf.DUMMYFUNCTION("""COMPUTED_VALUE"""),"city_skin")</f>
        <v>city_skin</v>
      </c>
      <c r="E402" s="148">
        <f>IFERROR(__xludf.DUMMYFUNCTION("""COMPUTED_VALUE"""),21.0)</f>
        <v>21</v>
      </c>
      <c r="F402" s="148">
        <f>IFERROR(__xludf.DUMMYFUNCTION("""COMPUTED_VALUE"""),400106.0)</f>
        <v>400106</v>
      </c>
      <c r="G402" s="148">
        <f>IFERROR(__xludf.DUMMYFUNCTION("""COMPUTED_VALUE"""),1.5119476E7)</f>
        <v>15119476</v>
      </c>
      <c r="H402" s="148">
        <f>IFERROR(__xludf.DUMMYFUNCTION("""COMPUTED_VALUE"""),1.5112564E7)</f>
        <v>15112564</v>
      </c>
      <c r="I402" s="148" t="str">
        <f>IFERROR(__xludf.DUMMYFUNCTION("""COMPUTED_VALUE"""),"{}")</f>
        <v>{}</v>
      </c>
      <c r="J402" s="148" t="str">
        <f>IFERROR(__xludf.DUMMYFUNCTION("""COMPUTED_VALUE"""),"{""typ"":""lc"",""txt"":""LC_ITEM_2024dragon_highcity_skin_title""}")</f>
        <v>{"typ":"lc","txt":"LC_ITEM_2024dragon_highcity_skin_title"}</v>
      </c>
      <c r="K402" s="148" t="str">
        <f>IFERROR(__xludf.DUMMYFUNCTION("""COMPUTED_VALUE"""),"{""typ"":""lc"",""txt"":""LC_ITEM_2024dragon_highskin_desc_forever""}")</f>
        <v>{"typ":"lc","txt":"LC_ITEM_2024dragon_highskin_desc_forever"}</v>
      </c>
      <c r="L402" s="148" t="str">
        <f>IFERROR(__xludf.DUMMYFUNCTION("""COMPUTED_VALUE"""),"{""typ"":""lc"",""txt"":""LC_ITEM_city_skin_rocket_use_tips""}")</f>
        <v>{"typ":"lc","txt":"LC_ITEM_city_skin_rocket_use_tips"}</v>
      </c>
      <c r="M402" s="148">
        <f>IFERROR(__xludf.DUMMYFUNCTION("""COMPUTED_VALUE"""),10000.0)</f>
        <v>10000</v>
      </c>
      <c r="N402" s="148">
        <f>IFERROR(__xludf.DUMMYFUNCTION("""COMPUTED_VALUE"""),999.0)</f>
        <v>999</v>
      </c>
      <c r="O402" s="148">
        <f>IFERROR(__xludf.DUMMYFUNCTION("""COMPUTED_VALUE"""),1.0)</f>
        <v>1</v>
      </c>
      <c r="P402" s="148">
        <f>IFERROR(__xludf.DUMMYFUNCTION("""COMPUTED_VALUE"""),1.0)</f>
        <v>1</v>
      </c>
      <c r="Q402" s="148" t="str">
        <f>IFERROR(__xludf.DUMMYFUNCTION("""COMPUTED_VALUE"""),"[""bag_other""]")</f>
        <v>["bag_other"]</v>
      </c>
      <c r="R402" s="148" t="str">
        <f>IFERROR(__xludf.DUMMYFUNCTION("""COMPUTED_VALUE"""),"[""bag"",""13121041""]")</f>
        <v>["bag","13121041"]</v>
      </c>
      <c r="S402" s="148" t="str">
        <f>IFERROR(__xludf.DUMMYFUNCTION("""COMPUTED_VALUE"""),"{""effect"":[{""typ"":""city_skin"",""id"":13121041,""val"":-1},{""typ"":""item"",""id"":11111034,""val"":10}]}")</f>
        <v>{"effect":[{"typ":"city_skin","id":13121041,"val":-1},{"typ":"item","id":11111034,"val":10}]}</v>
      </c>
      <c r="T402" s="148">
        <f>IFERROR(__xludf.DUMMYFUNCTION("""COMPUTED_VALUE"""),-1.0)</f>
        <v>-1</v>
      </c>
      <c r="U402" s="148">
        <f>IFERROR(__xludf.DUMMYFUNCTION("""COMPUTED_VALUE"""),0.0)</f>
        <v>0</v>
      </c>
      <c r="V402" s="148" t="str">
        <f>IFERROR(__xludf.DUMMYFUNCTION("""COMPUTED_VALUE"""),"[]")</f>
        <v>[]</v>
      </c>
      <c r="W402" s="148">
        <f>IFERROR(__xludf.DUMMYFUNCTION("""COMPUTED_VALUE"""),1.174E7)</f>
        <v>11740000</v>
      </c>
      <c r="X402" s="148">
        <f>IFERROR(__xludf.DUMMYFUNCTION("""COMPUTED_VALUE"""),0.0)</f>
        <v>0</v>
      </c>
      <c r="Y402" s="148">
        <f>IFERROR(__xludf.DUMMYFUNCTION("""COMPUTED_VALUE"""),0.0)</f>
        <v>0</v>
      </c>
      <c r="Z402" s="148"/>
    </row>
    <row r="403">
      <c r="A403" s="148">
        <f>IFERROR(__xludf.DUMMYFUNCTION("""COMPUTED_VALUE"""),1.1112194E7)</f>
        <v>11112194</v>
      </c>
      <c r="B403" s="148" t="str">
        <f>IFERROR(__xludf.DUMMYFUNCTION("""COMPUTED_VALUE"""),"主城皮肤-端午节2024")</f>
        <v>主城皮肤-端午节2024</v>
      </c>
      <c r="C403" s="148"/>
      <c r="D403" s="148" t="str">
        <f>IFERROR(__xludf.DUMMYFUNCTION("""COMPUTED_VALUE"""),"city_skin")</f>
        <v>city_skin</v>
      </c>
      <c r="E403" s="148">
        <f>IFERROR(__xludf.DUMMYFUNCTION("""COMPUTED_VALUE"""),21.0)</f>
        <v>21</v>
      </c>
      <c r="F403" s="148">
        <f>IFERROR(__xludf.DUMMYFUNCTION("""COMPUTED_VALUE"""),1.0)</f>
        <v>1</v>
      </c>
      <c r="G403" s="148">
        <f>IFERROR(__xludf.DUMMYFUNCTION("""COMPUTED_VALUE"""),1.5119475E7)</f>
        <v>15119475</v>
      </c>
      <c r="H403" s="148">
        <f>IFERROR(__xludf.DUMMYFUNCTION("""COMPUTED_VALUE"""),1.5112564E7)</f>
        <v>15112564</v>
      </c>
      <c r="I403" s="148" t="str">
        <f>IFERROR(__xludf.DUMMYFUNCTION("""COMPUTED_VALUE"""),"{}")</f>
        <v>{}</v>
      </c>
      <c r="J403" s="148" t="str">
        <f>IFERROR(__xludf.DUMMYFUNCTION("""COMPUTED_VALUE"""),"{""typ"":""lc"",""txt"":""LC_ITEM_2024dragon_lowcity_skin_title""}")</f>
        <v>{"typ":"lc","txt":"LC_ITEM_2024dragon_lowcity_skin_title"}</v>
      </c>
      <c r="K403" s="148" t="str">
        <f>IFERROR(__xludf.DUMMYFUNCTION("""COMPUTED_VALUE"""),"{""typ"":""lc"",""txt"":""LC_ITEM_2024dragon_lowcity_skin_desc_forever""}")</f>
        <v>{"typ":"lc","txt":"LC_ITEM_2024dragon_lowcity_skin_desc_forever"}</v>
      </c>
      <c r="L403" s="148" t="str">
        <f>IFERROR(__xludf.DUMMYFUNCTION("""COMPUTED_VALUE"""),"{""typ"":""lc"",""txt"":""LC_ITEM_city_skin_rocket_use_tips""}")</f>
        <v>{"typ":"lc","txt":"LC_ITEM_city_skin_rocket_use_tips"}</v>
      </c>
      <c r="M403" s="148">
        <f>IFERROR(__xludf.DUMMYFUNCTION("""COMPUTED_VALUE"""),10000.0)</f>
        <v>10000</v>
      </c>
      <c r="N403" s="148">
        <f>IFERROR(__xludf.DUMMYFUNCTION("""COMPUTED_VALUE"""),999.0)</f>
        <v>999</v>
      </c>
      <c r="O403" s="148">
        <f>IFERROR(__xludf.DUMMYFUNCTION("""COMPUTED_VALUE"""),1.0)</f>
        <v>1</v>
      </c>
      <c r="P403" s="148">
        <f>IFERROR(__xludf.DUMMYFUNCTION("""COMPUTED_VALUE"""),1.0)</f>
        <v>1</v>
      </c>
      <c r="Q403" s="148" t="str">
        <f>IFERROR(__xludf.DUMMYFUNCTION("""COMPUTED_VALUE"""),"[""bag_other""]")</f>
        <v>["bag_other"]</v>
      </c>
      <c r="R403" s="148" t="str">
        <f>IFERROR(__xludf.DUMMYFUNCTION("""COMPUTED_VALUE"""),"[""bag"",""13121040""]")</f>
        <v>["bag","13121040"]</v>
      </c>
      <c r="S403" s="148" t="str">
        <f>IFERROR(__xludf.DUMMYFUNCTION("""COMPUTED_VALUE"""),"{""effect"":[{""typ"":""city_skin"",""id"":13121040,""val"":-1},{""typ"":""item"",""id"":11112030,""val"":4000}]}")</f>
        <v>{"effect":[{"typ":"city_skin","id":13121040,"val":-1},{"typ":"item","id":11112030,"val":4000}]}</v>
      </c>
      <c r="T403" s="148">
        <f>IFERROR(__xludf.DUMMYFUNCTION("""COMPUTED_VALUE"""),-1.0)</f>
        <v>-1</v>
      </c>
      <c r="U403" s="148">
        <f>IFERROR(__xludf.DUMMYFUNCTION("""COMPUTED_VALUE"""),0.0)</f>
        <v>0</v>
      </c>
      <c r="V403" s="148" t="str">
        <f>IFERROR(__xludf.DUMMYFUNCTION("""COMPUTED_VALUE"""),"[]")</f>
        <v>[]</v>
      </c>
      <c r="W403" s="148">
        <f>IFERROR(__xludf.DUMMYFUNCTION("""COMPUTED_VALUE"""),1.174E7)</f>
        <v>11740000</v>
      </c>
      <c r="X403" s="148">
        <f>IFERROR(__xludf.DUMMYFUNCTION("""COMPUTED_VALUE"""),0.0)</f>
        <v>0</v>
      </c>
      <c r="Y403" s="148">
        <f>IFERROR(__xludf.DUMMYFUNCTION("""COMPUTED_VALUE"""),0.0)</f>
        <v>0</v>
      </c>
      <c r="Z403" s="148"/>
    </row>
    <row r="404">
      <c r="A404" s="148">
        <f>IFERROR(__xludf.DUMMYFUNCTION("""COMPUTED_VALUE"""),1.1112195E7)</f>
        <v>11112195</v>
      </c>
      <c r="B404" s="148" t="str">
        <f>IFERROR(__xludf.DUMMYFUNCTION("""COMPUTED_VALUE"""),"主城皮肤-端午节2024（2天）")</f>
        <v>主城皮肤-端午节2024（2天）</v>
      </c>
      <c r="C404" s="148"/>
      <c r="D404" s="148" t="str">
        <f>IFERROR(__xludf.DUMMYFUNCTION("""COMPUTED_VALUE"""),"city_skin")</f>
        <v>city_skin</v>
      </c>
      <c r="E404" s="148">
        <f>IFERROR(__xludf.DUMMYFUNCTION("""COMPUTED_VALUE"""),21.0)</f>
        <v>21</v>
      </c>
      <c r="F404" s="148">
        <f>IFERROR(__xludf.DUMMYFUNCTION("""COMPUTED_VALUE"""),404201.0)</f>
        <v>404201</v>
      </c>
      <c r="G404" s="148">
        <f>IFERROR(__xludf.DUMMYFUNCTION("""COMPUTED_VALUE"""),1.5119475E7)</f>
        <v>15119475</v>
      </c>
      <c r="H404" s="148">
        <f>IFERROR(__xludf.DUMMYFUNCTION("""COMPUTED_VALUE"""),1.5112563E7)</f>
        <v>15112563</v>
      </c>
      <c r="I404" s="148" t="str">
        <f>IFERROR(__xludf.DUMMYFUNCTION("""COMPUTED_VALUE"""),"{""typ"":""lc"",""txt"":""LC_ITEM_time_day_upper_show"",""args"":[{""typ"":""int"",""val"":2}]}")</f>
        <v>{"typ":"lc","txt":"LC_ITEM_time_day_upper_show","args":[{"typ":"int","val":2}]}</v>
      </c>
      <c r="J404" s="148" t="str">
        <f>IFERROR(__xludf.DUMMYFUNCTION("""COMPUTED_VALUE"""),"{""typ"":""lc"",""txt"":""LC_ITEM_2024dragon_lowcity_skin_title_2day""}")</f>
        <v>{"typ":"lc","txt":"LC_ITEM_2024dragon_lowcity_skin_title_2day"}</v>
      </c>
      <c r="K404" s="148" t="str">
        <f>IFERROR(__xludf.DUMMYFUNCTION("""COMPUTED_VALUE"""),"{""typ"":""lc"",""txt"":""LC_ITEM_2024dragon_lowcity_skin_desc_2day""}")</f>
        <v>{"typ":"lc","txt":"LC_ITEM_2024dragon_lowcity_skin_desc_2day"}</v>
      </c>
      <c r="L404" s="148" t="str">
        <f>IFERROR(__xludf.DUMMYFUNCTION("""COMPUTED_VALUE"""),"{""typ"":""lc"",""txt"":""LC_ITEM_city_skin_rocket_use_tips""}")</f>
        <v>{"typ":"lc","txt":"LC_ITEM_city_skin_rocket_use_tips"}</v>
      </c>
      <c r="M404" s="148">
        <f>IFERROR(__xludf.DUMMYFUNCTION("""COMPUTED_VALUE"""),500.0)</f>
        <v>500</v>
      </c>
      <c r="N404" s="148">
        <f>IFERROR(__xludf.DUMMYFUNCTION("""COMPUTED_VALUE"""),999.0)</f>
        <v>999</v>
      </c>
      <c r="O404" s="148">
        <f>IFERROR(__xludf.DUMMYFUNCTION("""COMPUTED_VALUE"""),1.0)</f>
        <v>1</v>
      </c>
      <c r="P404" s="148">
        <f>IFERROR(__xludf.DUMMYFUNCTION("""COMPUTED_VALUE"""),1.0)</f>
        <v>1</v>
      </c>
      <c r="Q404" s="148" t="str">
        <f>IFERROR(__xludf.DUMMYFUNCTION("""COMPUTED_VALUE"""),"[""bag_other""]")</f>
        <v>["bag_other"]</v>
      </c>
      <c r="R404" s="148" t="str">
        <f>IFERROR(__xludf.DUMMYFUNCTION("""COMPUTED_VALUE"""),"[""bag"",""13121040""]")</f>
        <v>["bag","13121040"]</v>
      </c>
      <c r="S404" s="148" t="str">
        <f>IFERROR(__xludf.DUMMYFUNCTION("""COMPUTED_VALUE"""),"{""effect"":[{""typ"":""city_skin"",""id"":13121040,""val"":172800000},{""typ"":""item"",""id"":11111021,""val"":1}]}")</f>
        <v>{"effect":[{"typ":"city_skin","id":13121040,"val":172800000},{"typ":"item","id":11111021,"val":1}]}</v>
      </c>
      <c r="T404" s="148">
        <f>IFERROR(__xludf.DUMMYFUNCTION("""COMPUTED_VALUE"""),-1.0)</f>
        <v>-1</v>
      </c>
      <c r="U404" s="148">
        <f>IFERROR(__xludf.DUMMYFUNCTION("""COMPUTED_VALUE"""),0.0)</f>
        <v>0</v>
      </c>
      <c r="V404" s="148" t="str">
        <f>IFERROR(__xludf.DUMMYFUNCTION("""COMPUTED_VALUE"""),"[]")</f>
        <v>[]</v>
      </c>
      <c r="W404" s="148">
        <f>IFERROR(__xludf.DUMMYFUNCTION("""COMPUTED_VALUE"""),1.174E7)</f>
        <v>11740000</v>
      </c>
      <c r="X404" s="148">
        <f>IFERROR(__xludf.DUMMYFUNCTION("""COMPUTED_VALUE"""),0.0)</f>
        <v>0</v>
      </c>
      <c r="Y404" s="148">
        <f>IFERROR(__xludf.DUMMYFUNCTION("""COMPUTED_VALUE"""),0.0)</f>
        <v>0</v>
      </c>
      <c r="Z404" s="148"/>
    </row>
    <row r="405">
      <c r="A405" s="148">
        <f>IFERROR(__xludf.DUMMYFUNCTION("""COMPUTED_VALUE"""),1.1112196E7)</f>
        <v>11112196</v>
      </c>
      <c r="B405" s="148" t="str">
        <f>IFERROR(__xludf.DUMMYFUNCTION("""COMPUTED_VALUE"""),"端午节2024-装饰升级版本")</f>
        <v>端午节2024-装饰升级版本</v>
      </c>
      <c r="C405" s="148"/>
      <c r="D405" s="148" t="str">
        <f>IFERROR(__xludf.DUMMYFUNCTION("""COMPUTED_VALUE"""),"statue_decorate")</f>
        <v>statue_decorate</v>
      </c>
      <c r="E405" s="148">
        <f>IFERROR(__xludf.DUMMYFUNCTION("""COMPUTED_VALUE"""),23.0)</f>
        <v>23</v>
      </c>
      <c r="F405" s="148">
        <f>IFERROR(__xludf.DUMMYFUNCTION("""COMPUTED_VALUE"""),0.0)</f>
        <v>0</v>
      </c>
      <c r="G405" s="148">
        <f>IFERROR(__xludf.DUMMYFUNCTION("""COMPUTED_VALUE"""),1.5119479E7)</f>
        <v>15119479</v>
      </c>
      <c r="H405" s="148">
        <f>IFERROR(__xludf.DUMMYFUNCTION("""COMPUTED_VALUE"""),1.5112564E7)</f>
        <v>15112564</v>
      </c>
      <c r="I405" s="148" t="str">
        <f>IFERROR(__xludf.DUMMYFUNCTION("""COMPUTED_VALUE"""),"{}")</f>
        <v>{}</v>
      </c>
      <c r="J405" s="148" t="str">
        <f>IFERROR(__xludf.DUMMYFUNCTION("""COMPUTED_VALUE"""),"{""typ"":""lc"",""txt"":""LC_ITEM_2024dragon_dec_item_2""}")</f>
        <v>{"typ":"lc","txt":"LC_ITEM_2024dragon_dec_item_2"}</v>
      </c>
      <c r="K405" s="148" t="str">
        <f>IFERROR(__xludf.DUMMYFUNCTION("""COMPUTED_VALUE"""),"{""typ"":""lc"",""txt"":""LC_ITEM_2024dragon_dec_item_3_desc""}")</f>
        <v>{"typ":"lc","txt":"LC_ITEM_2024dragon_dec_item_3_desc"}</v>
      </c>
      <c r="L405" s="148" t="str">
        <f>IFERROR(__xludf.DUMMYFUNCTION("""COMPUTED_VALUE"""),"{}")</f>
        <v>{}</v>
      </c>
      <c r="M405" s="148">
        <f>IFERROR(__xludf.DUMMYFUNCTION("""COMPUTED_VALUE"""),5000.0)</f>
        <v>5000</v>
      </c>
      <c r="N405" s="148">
        <f>IFERROR(__xludf.DUMMYFUNCTION("""COMPUTED_VALUE"""),999.0)</f>
        <v>999</v>
      </c>
      <c r="O405" s="148">
        <f>IFERROR(__xludf.DUMMYFUNCTION("""COMPUTED_VALUE"""),99999.0)</f>
        <v>99999</v>
      </c>
      <c r="P405" s="148">
        <f>IFERROR(__xludf.DUMMYFUNCTION("""COMPUTED_VALUE"""),99999.0)</f>
        <v>99999</v>
      </c>
      <c r="Q405" s="148" t="str">
        <f>IFERROR(__xludf.DUMMYFUNCTION("""COMPUTED_VALUE"""),"[]")</f>
        <v>[]</v>
      </c>
      <c r="R405" s="148" t="str">
        <f>IFERROR(__xludf.DUMMYFUNCTION("""COMPUTED_VALUE"""),"[""bag""]")</f>
        <v>["bag"]</v>
      </c>
      <c r="S405" s="148" t="str">
        <f>IFERROR(__xludf.DUMMYFUNCTION("""COMPUTED_VALUE"""),"{""effect"":[{""typ"":""holiday_statue"",""id"":21481601}]}")</f>
        <v>{"effect":[{"typ":"holiday_statue","id":21481601}]}</v>
      </c>
      <c r="T405" s="148">
        <f>IFERROR(__xludf.DUMMYFUNCTION("""COMPUTED_VALUE"""),-1.0)</f>
        <v>-1</v>
      </c>
      <c r="U405" s="148">
        <f>IFERROR(__xludf.DUMMYFUNCTION("""COMPUTED_VALUE"""),1.0)</f>
        <v>1</v>
      </c>
      <c r="V405" s="148" t="str">
        <f>IFERROR(__xludf.DUMMYFUNCTION("""COMPUTED_VALUE"""),"[]")</f>
        <v>[]</v>
      </c>
      <c r="W405" s="148">
        <f>IFERROR(__xludf.DUMMYFUNCTION("""COMPUTED_VALUE"""),1.174E7)</f>
        <v>11740000</v>
      </c>
      <c r="X405" s="148">
        <f>IFERROR(__xludf.DUMMYFUNCTION("""COMPUTED_VALUE"""),0.0)</f>
        <v>0</v>
      </c>
      <c r="Y405" s="148">
        <f>IFERROR(__xludf.DUMMYFUNCTION("""COMPUTED_VALUE"""),0.0)</f>
        <v>0</v>
      </c>
      <c r="Z405" s="148"/>
    </row>
    <row r="406">
      <c r="A406" s="148">
        <f>IFERROR(__xludf.DUMMYFUNCTION("""COMPUTED_VALUE"""),1.1112197E7)</f>
        <v>11112197</v>
      </c>
      <c r="B406" s="148" t="str">
        <f>IFERROR(__xludf.DUMMYFUNCTION("""COMPUTED_VALUE"""),"端午节2024-装饰升级道具")</f>
        <v>端午节2024-装饰升级道具</v>
      </c>
      <c r="C406" s="148"/>
      <c r="D406" s="148" t="str">
        <f>IFERROR(__xludf.DUMMYFUNCTION("""COMPUTED_VALUE"""),"event")</f>
        <v>event</v>
      </c>
      <c r="E406" s="148">
        <f>IFERROR(__xludf.DUMMYFUNCTION("""COMPUTED_VALUE"""),0.0)</f>
        <v>0</v>
      </c>
      <c r="F406" s="148">
        <f>IFERROR(__xludf.DUMMYFUNCTION("""COMPUTED_VALUE"""),405243.0)</f>
        <v>405243</v>
      </c>
      <c r="G406" s="148">
        <f>IFERROR(__xludf.DUMMYFUNCTION("""COMPUTED_VALUE"""),1.5119479E7)</f>
        <v>15119479</v>
      </c>
      <c r="H406" s="148">
        <f>IFERROR(__xludf.DUMMYFUNCTION("""COMPUTED_VALUE"""),1.5112564E7)</f>
        <v>15112564</v>
      </c>
      <c r="I406" s="148" t="str">
        <f>IFERROR(__xludf.DUMMYFUNCTION("""COMPUTED_VALUE"""),"{}")</f>
        <v>{}</v>
      </c>
      <c r="J406" s="148" t="str">
        <f>IFERROR(__xludf.DUMMYFUNCTION("""COMPUTED_VALUE"""),"{""typ"":""lc"",""txt"":""LC_ITEM_2024dragon_dec_item_2""}")</f>
        <v>{"typ":"lc","txt":"LC_ITEM_2024dragon_dec_item_2"}</v>
      </c>
      <c r="K406" s="148" t="str">
        <f>IFERROR(__xludf.DUMMYFUNCTION("""COMPUTED_VALUE"""),"{""typ"":""lc"",""txt"":""LC_ITEM_2024dragon_dec_item_3_desc""}")</f>
        <v>{"typ":"lc","txt":"LC_ITEM_2024dragon_dec_item_3_desc"}</v>
      </c>
      <c r="L406" s="148" t="str">
        <f>IFERROR(__xludf.DUMMYFUNCTION("""COMPUTED_VALUE"""),"{}")</f>
        <v>{}</v>
      </c>
      <c r="M406" s="148">
        <f>IFERROR(__xludf.DUMMYFUNCTION("""COMPUTED_VALUE"""),1000.0)</f>
        <v>1000</v>
      </c>
      <c r="N406" s="148">
        <f>IFERROR(__xludf.DUMMYFUNCTION("""COMPUTED_VALUE"""),9.99999999E8)</f>
        <v>999999999</v>
      </c>
      <c r="O406" s="148">
        <f>IFERROR(__xludf.DUMMYFUNCTION("""COMPUTED_VALUE"""),9.99999999E8)</f>
        <v>999999999</v>
      </c>
      <c r="P406" s="148">
        <f>IFERROR(__xludf.DUMMYFUNCTION("""COMPUTED_VALUE"""),9.99999999E8)</f>
        <v>999999999</v>
      </c>
      <c r="Q406" s="148" t="str">
        <f>IFERROR(__xludf.DUMMYFUNCTION("""COMPUTED_VALUE"""),"[""bag_other""]")</f>
        <v>["bag_other"]</v>
      </c>
      <c r="R406" s="148" t="str">
        <f>IFERROR(__xludf.DUMMYFUNCTION("""COMPUTED_VALUE"""),"[]")</f>
        <v>[]</v>
      </c>
      <c r="S406" s="148" t="str">
        <f>IFERROR(__xludf.DUMMYFUNCTION("""COMPUTED_VALUE"""),"{}")</f>
        <v>{}</v>
      </c>
      <c r="T406" s="148">
        <f>IFERROR(__xludf.DUMMYFUNCTION("""COMPUTED_VALUE"""),-1.0)</f>
        <v>-1</v>
      </c>
      <c r="U406" s="148">
        <f>IFERROR(__xludf.DUMMYFUNCTION("""COMPUTED_VALUE"""),0.0)</f>
        <v>0</v>
      </c>
      <c r="V406" s="148" t="str">
        <f>IFERROR(__xludf.DUMMYFUNCTION("""COMPUTED_VALUE"""),"[]")</f>
        <v>[]</v>
      </c>
      <c r="W406" s="148">
        <f>IFERROR(__xludf.DUMMYFUNCTION("""COMPUTED_VALUE"""),1.174E7)</f>
        <v>11740000</v>
      </c>
      <c r="X406" s="148">
        <f>IFERROR(__xludf.DUMMYFUNCTION("""COMPUTED_VALUE"""),0.0)</f>
        <v>0</v>
      </c>
      <c r="Y406" s="148">
        <f>IFERROR(__xludf.DUMMYFUNCTION("""COMPUTED_VALUE"""),0.0)</f>
        <v>0</v>
      </c>
      <c r="Z406" s="148"/>
    </row>
    <row r="407">
      <c r="A407" s="148">
        <f>IFERROR(__xludf.DUMMYFUNCTION("""COMPUTED_VALUE"""),1.1112198E7)</f>
        <v>11112198</v>
      </c>
      <c r="B407" s="148" t="str">
        <f>IFERROR(__xludf.DUMMYFUNCTION("""COMPUTED_VALUE"""),"2024端午节-装饰券宝箱")</f>
        <v>2024端午节-装饰券宝箱</v>
      </c>
      <c r="C407" s="148"/>
      <c r="D407" s="148" t="str">
        <f>IFERROR(__xludf.DUMMYFUNCTION("""COMPUTED_VALUE"""),"valentine_reward_box")</f>
        <v>valentine_reward_box</v>
      </c>
      <c r="E407" s="148">
        <f>IFERROR(__xludf.DUMMYFUNCTION("""COMPUTED_VALUE"""),19.0)</f>
        <v>19</v>
      </c>
      <c r="F407" s="148">
        <f>IFERROR(__xludf.DUMMYFUNCTION("""COMPUTED_VALUE"""),201101.0)</f>
        <v>201101</v>
      </c>
      <c r="G407" s="148">
        <f>IFERROR(__xludf.DUMMYFUNCTION("""COMPUTED_VALUE"""),1.5118225E7)</f>
        <v>15118225</v>
      </c>
      <c r="H407" s="148">
        <f>IFERROR(__xludf.DUMMYFUNCTION("""COMPUTED_VALUE"""),1.5112564E7)</f>
        <v>15112564</v>
      </c>
      <c r="I407" s="148" t="str">
        <f>IFERROR(__xludf.DUMMYFUNCTION("""COMPUTED_VALUE"""),"{}")</f>
        <v>{}</v>
      </c>
      <c r="J407" s="148" t="str">
        <f>IFERROR(__xludf.DUMMYFUNCTION("""COMPUTED_VALUE"""),"{""typ"":""lc"",""txt"":""LC_ITEM_dragon_fes_box_name""}")</f>
        <v>{"typ":"lc","txt":"LC_ITEM_dragon_fes_box_name"}</v>
      </c>
      <c r="K407" s="148" t="str">
        <f>IFERROR(__xludf.DUMMYFUNCTION("""COMPUTED_VALUE"""),"{""typ"":""lc"",""txt"":""LC_ITEM_fes_box_desc""}")</f>
        <v>{"typ":"lc","txt":"LC_ITEM_fes_box_desc"}</v>
      </c>
      <c r="L407" s="148" t="str">
        <f>IFERROR(__xludf.DUMMYFUNCTION("""COMPUTED_VALUE"""),"{""typ"":""lc"",""txt"":""LC_ITEM_horde_elite_box_usedtip""}")</f>
        <v>{"typ":"lc","txt":"LC_ITEM_horde_elite_box_usedtip"}</v>
      </c>
      <c r="M407" s="148">
        <f>IFERROR(__xludf.DUMMYFUNCTION("""COMPUTED_VALUE"""),40.0)</f>
        <v>40</v>
      </c>
      <c r="N407" s="148">
        <f>IFERROR(__xludf.DUMMYFUNCTION("""COMPUTED_VALUE"""),999999.0)</f>
        <v>999999</v>
      </c>
      <c r="O407" s="148">
        <f>IFERROR(__xludf.DUMMYFUNCTION("""COMPUTED_VALUE"""),99999.0)</f>
        <v>99999</v>
      </c>
      <c r="P407" s="148">
        <f>IFERROR(__xludf.DUMMYFUNCTION("""COMPUTED_VALUE"""),99999.0)</f>
        <v>99999</v>
      </c>
      <c r="Q407" s="148" t="str">
        <f>IFERROR(__xludf.DUMMYFUNCTION("""COMPUTED_VALUE"""),"[""bag_other""]")</f>
        <v>["bag_other"]</v>
      </c>
      <c r="R407" s="148" t="str">
        <f>IFERROR(__xludf.DUMMYFUNCTION("""COMPUTED_VALUE"""),"[""bag""]")</f>
        <v>["bag"]</v>
      </c>
      <c r="S407" s="148" t="str">
        <f>IFERROR(__xludf.DUMMYFUNCTION("""COMPUTED_VALUE"""),"{""drop"":{""typ"":""single_random"",""num"":1,""args"":[{""typ"":""item"",""id"":11112030,""num"":1000,""wgt"":19980},{""typ"":""item"",""id"":11112030,""num"":200,""wgt"":120000},{""typ"":""item"",""id"":11112030,""num"":50,""wgt"":200000},{""typ"":""it"&amp;"em"",""id"":11112194,""num"":1,""wgt"":10},{""typ"":""item"",""id"":11117446,""num"":1,""wgt"":10},{""typ"":""item"",""id"":11112030,""num"":20,""wgt"":400000},{""typ"":""item"",""id"":11112030,""num"":100,""wgt"":200000},{""typ"":""item"",""id"":11112030"&amp;",""num"":400,""wgt"":60000}]}}")</f>
        <v>{"drop":{"typ":"single_random","num":1,"args":[{"typ":"item","id":11112030,"num":1000,"wgt":19980},{"typ":"item","id":11112030,"num":200,"wgt":120000},{"typ":"item","id":11112030,"num":50,"wgt":200000},{"typ":"item","id":11112194,"num":1,"wgt":10},{"typ":"item","id":11117446,"num":1,"wgt":10},{"typ":"item","id":11112030,"num":20,"wgt":400000},{"typ":"item","id":11112030,"num":100,"wgt":200000},{"typ":"item","id":11112030,"num":400,"wgt":60000}]}}</v>
      </c>
      <c r="T407" s="148">
        <f>IFERROR(__xludf.DUMMYFUNCTION("""COMPUTED_VALUE"""),-1.0)</f>
        <v>-1</v>
      </c>
      <c r="U407" s="148">
        <f>IFERROR(__xludf.DUMMYFUNCTION("""COMPUTED_VALUE"""),0.0)</f>
        <v>0</v>
      </c>
      <c r="V407" s="148" t="str">
        <f>IFERROR(__xludf.DUMMYFUNCTION("""COMPUTED_VALUE"""),"[]")</f>
        <v>[]</v>
      </c>
      <c r="W407" s="148">
        <f>IFERROR(__xludf.DUMMYFUNCTION("""COMPUTED_VALUE"""),1.174E7)</f>
        <v>11740000</v>
      </c>
      <c r="X407" s="148">
        <f>IFERROR(__xludf.DUMMYFUNCTION("""COMPUTED_VALUE"""),0.0)</f>
        <v>0</v>
      </c>
      <c r="Y407" s="148">
        <f>IFERROR(__xludf.DUMMYFUNCTION("""COMPUTED_VALUE"""),0.0)</f>
        <v>0</v>
      </c>
      <c r="Z407" s="148"/>
    </row>
    <row r="408">
      <c r="A408" s="148">
        <f>IFERROR(__xludf.DUMMYFUNCTION("""COMPUTED_VALUE"""),1.1112199E7)</f>
        <v>11112199</v>
      </c>
      <c r="B408" s="148" t="str">
        <f>IFERROR(__xludf.DUMMYFUNCTION("""COMPUTED_VALUE"""),"深海节通用BattlePass-初级通行证")</f>
        <v>深海节通用BattlePass-初级通行证</v>
      </c>
      <c r="C408" s="148"/>
      <c r="D408" s="148" t="str">
        <f>IFERROR(__xludf.DUMMYFUNCTION("""COMPUTED_VALUE"""),"battle_pass_card")</f>
        <v>battle_pass_card</v>
      </c>
      <c r="E408" s="148">
        <f>IFERROR(__xludf.DUMMYFUNCTION("""COMPUTED_VALUE"""),0.0)</f>
        <v>0</v>
      </c>
      <c r="F408" s="148">
        <f>IFERROR(__xludf.DUMMYFUNCTION("""COMPUTED_VALUE"""),0.0)</f>
        <v>0</v>
      </c>
      <c r="G408" s="148">
        <f>IFERROR(__xludf.DUMMYFUNCTION("""COMPUTED_VALUE"""),1.5114996E7)</f>
        <v>15114996</v>
      </c>
      <c r="H408" s="148">
        <f>IFERROR(__xludf.DUMMYFUNCTION("""COMPUTED_VALUE"""),1.5112563E7)</f>
        <v>15112563</v>
      </c>
      <c r="I408" s="148" t="str">
        <f>IFERROR(__xludf.DUMMYFUNCTION("""COMPUTED_VALUE"""),"{}")</f>
        <v>{}</v>
      </c>
      <c r="J408" s="148" t="str">
        <f>IFERROR(__xludf.DUMMYFUNCTION("""COMPUTED_VALUE"""),"{""typ"":""lc"",""txt"":""LC_IAP_summer_normal_bp""}")</f>
        <v>{"typ":"lc","txt":"LC_IAP_summer_normal_bp"}</v>
      </c>
      <c r="K408" s="148" t="str">
        <f>IFERROR(__xludf.DUMMYFUNCTION("""COMPUTED_VALUE"""),"{}")</f>
        <v>{}</v>
      </c>
      <c r="L408" s="148" t="str">
        <f>IFERROR(__xludf.DUMMYFUNCTION("""COMPUTED_VALUE"""),"{}")</f>
        <v>{}</v>
      </c>
      <c r="M408" s="148">
        <f>IFERROR(__xludf.DUMMYFUNCTION("""COMPUTED_VALUE"""),10.0)</f>
        <v>10</v>
      </c>
      <c r="N408" s="148">
        <f>IFERROR(__xludf.DUMMYFUNCTION("""COMPUTED_VALUE"""),999999.0)</f>
        <v>999999</v>
      </c>
      <c r="O408" s="148">
        <f>IFERROR(__xludf.DUMMYFUNCTION("""COMPUTED_VALUE"""),99999.0)</f>
        <v>99999</v>
      </c>
      <c r="P408" s="148">
        <f>IFERROR(__xludf.DUMMYFUNCTION("""COMPUTED_VALUE"""),9999.0)</f>
        <v>9999</v>
      </c>
      <c r="Q408" s="148" t="str">
        <f>IFERROR(__xludf.DUMMYFUNCTION("""COMPUTED_VALUE"""),"[]")</f>
        <v>[]</v>
      </c>
      <c r="R408" s="148" t="str">
        <f>IFERROR(__xludf.DUMMYFUNCTION("""COMPUTED_VALUE"""),"[]")</f>
        <v>[]</v>
      </c>
      <c r="S408" s="148" t="str">
        <f>IFERROR(__xludf.DUMMYFUNCTION("""COMPUTED_VALUE"""),"{}")</f>
        <v>{}</v>
      </c>
      <c r="T408" s="148">
        <f>IFERROR(__xludf.DUMMYFUNCTION("""COMPUTED_VALUE"""),-1.0)</f>
        <v>-1</v>
      </c>
      <c r="U408" s="148">
        <f>IFERROR(__xludf.DUMMYFUNCTION("""COMPUTED_VALUE"""),1.0)</f>
        <v>1</v>
      </c>
      <c r="V408" s="148" t="str">
        <f>IFERROR(__xludf.DUMMYFUNCTION("""COMPUTED_VALUE"""),"[]")</f>
        <v>[]</v>
      </c>
      <c r="W408" s="148">
        <f>IFERROR(__xludf.DUMMYFUNCTION("""COMPUTED_VALUE"""),1.174E7)</f>
        <v>11740000</v>
      </c>
      <c r="X408" s="148">
        <f>IFERROR(__xludf.DUMMYFUNCTION("""COMPUTED_VALUE"""),0.0)</f>
        <v>0</v>
      </c>
      <c r="Y408" s="148">
        <f>IFERROR(__xludf.DUMMYFUNCTION("""COMPUTED_VALUE"""),0.0)</f>
        <v>0</v>
      </c>
      <c r="Z408" s="148"/>
    </row>
    <row r="409">
      <c r="A409" s="148">
        <f>IFERROR(__xludf.DUMMYFUNCTION("""COMPUTED_VALUE"""),1.11122E7)</f>
        <v>11112200</v>
      </c>
      <c r="B409" s="148" t="str">
        <f>IFERROR(__xludf.DUMMYFUNCTION("""COMPUTED_VALUE"""),"深海节通用BattlePass-高级通行证")</f>
        <v>深海节通用BattlePass-高级通行证</v>
      </c>
      <c r="C409" s="148"/>
      <c r="D409" s="148" t="str">
        <f>IFERROR(__xludf.DUMMYFUNCTION("""COMPUTED_VALUE"""),"battle_pass_card")</f>
        <v>battle_pass_card</v>
      </c>
      <c r="E409" s="148">
        <f>IFERROR(__xludf.DUMMYFUNCTION("""COMPUTED_VALUE"""),0.0)</f>
        <v>0</v>
      </c>
      <c r="F409" s="148">
        <f>IFERROR(__xludf.DUMMYFUNCTION("""COMPUTED_VALUE"""),0.0)</f>
        <v>0</v>
      </c>
      <c r="G409" s="148">
        <f>IFERROR(__xludf.DUMMYFUNCTION("""COMPUTED_VALUE"""),1.5114996E7)</f>
        <v>15114996</v>
      </c>
      <c r="H409" s="148">
        <f>IFERROR(__xludf.DUMMYFUNCTION("""COMPUTED_VALUE"""),1.5112564E7)</f>
        <v>15112564</v>
      </c>
      <c r="I409" s="148" t="str">
        <f>IFERROR(__xludf.DUMMYFUNCTION("""COMPUTED_VALUE"""),"{}")</f>
        <v>{}</v>
      </c>
      <c r="J409" s="148" t="str">
        <f>IFERROR(__xludf.DUMMYFUNCTION("""COMPUTED_VALUE"""),"{""typ"":""lc"",""txt"":""LC_IAP_summer_senior_bp""}")</f>
        <v>{"typ":"lc","txt":"LC_IAP_summer_senior_bp"}</v>
      </c>
      <c r="K409" s="148" t="str">
        <f>IFERROR(__xludf.DUMMYFUNCTION("""COMPUTED_VALUE"""),"{}")</f>
        <v>{}</v>
      </c>
      <c r="L409" s="148" t="str">
        <f>IFERROR(__xludf.DUMMYFUNCTION("""COMPUTED_VALUE"""),"{}")</f>
        <v>{}</v>
      </c>
      <c r="M409" s="148">
        <f>IFERROR(__xludf.DUMMYFUNCTION("""COMPUTED_VALUE"""),10.0)</f>
        <v>10</v>
      </c>
      <c r="N409" s="148">
        <f>IFERROR(__xludf.DUMMYFUNCTION("""COMPUTED_VALUE"""),999999.0)</f>
        <v>999999</v>
      </c>
      <c r="O409" s="148">
        <f>IFERROR(__xludf.DUMMYFUNCTION("""COMPUTED_VALUE"""),99999.0)</f>
        <v>99999</v>
      </c>
      <c r="P409" s="148">
        <f>IFERROR(__xludf.DUMMYFUNCTION("""COMPUTED_VALUE"""),9999.0)</f>
        <v>9999</v>
      </c>
      <c r="Q409" s="148" t="str">
        <f>IFERROR(__xludf.DUMMYFUNCTION("""COMPUTED_VALUE"""),"[]")</f>
        <v>[]</v>
      </c>
      <c r="R409" s="148" t="str">
        <f>IFERROR(__xludf.DUMMYFUNCTION("""COMPUTED_VALUE"""),"[]")</f>
        <v>[]</v>
      </c>
      <c r="S409" s="148" t="str">
        <f>IFERROR(__xludf.DUMMYFUNCTION("""COMPUTED_VALUE"""),"{}")</f>
        <v>{}</v>
      </c>
      <c r="T409" s="148">
        <f>IFERROR(__xludf.DUMMYFUNCTION("""COMPUTED_VALUE"""),-1.0)</f>
        <v>-1</v>
      </c>
      <c r="U409" s="148">
        <f>IFERROR(__xludf.DUMMYFUNCTION("""COMPUTED_VALUE"""),1.0)</f>
        <v>1</v>
      </c>
      <c r="V409" s="148" t="str">
        <f>IFERROR(__xludf.DUMMYFUNCTION("""COMPUTED_VALUE"""),"[]")</f>
        <v>[]</v>
      </c>
      <c r="W409" s="148">
        <f>IFERROR(__xludf.DUMMYFUNCTION("""COMPUTED_VALUE"""),1.174E7)</f>
        <v>11740000</v>
      </c>
      <c r="X409" s="148">
        <f>IFERROR(__xludf.DUMMYFUNCTION("""COMPUTED_VALUE"""),0.0)</f>
        <v>0</v>
      </c>
      <c r="Y409" s="148">
        <f>IFERROR(__xludf.DUMMYFUNCTION("""COMPUTED_VALUE"""),0.0)</f>
        <v>0</v>
      </c>
      <c r="Z409" s="148"/>
    </row>
    <row r="410">
      <c r="A410" s="148">
        <f>IFERROR(__xludf.DUMMYFUNCTION("""COMPUTED_VALUE"""),1.1112201E7)</f>
        <v>11112201</v>
      </c>
      <c r="B410" s="148" t="str">
        <f>IFERROR(__xludf.DUMMYFUNCTION("""COMPUTED_VALUE"""),"藏宝图碎片-深海节通用活动BP道具")</f>
        <v>藏宝图碎片-深海节通用活动BP道具</v>
      </c>
      <c r="C410" s="148"/>
      <c r="D410" s="148" t="str">
        <f>IFERROR(__xludf.DUMMYFUNCTION("""COMPUTED_VALUE"""),"battle_pass_exp")</f>
        <v>battle_pass_exp</v>
      </c>
      <c r="E410" s="148">
        <f>IFERROR(__xludf.DUMMYFUNCTION("""COMPUTED_VALUE"""),0.0)</f>
        <v>0</v>
      </c>
      <c r="F410" s="148">
        <f>IFERROR(__xludf.DUMMYFUNCTION("""COMPUTED_VALUE"""),405217.0)</f>
        <v>405217</v>
      </c>
      <c r="G410" s="148">
        <f>IFERROR(__xludf.DUMMYFUNCTION("""COMPUTED_VALUE"""),1.51102211E8)</f>
        <v>151102211</v>
      </c>
      <c r="H410" s="148">
        <f>IFERROR(__xludf.DUMMYFUNCTION("""COMPUTED_VALUE"""),1.5112563E7)</f>
        <v>15112563</v>
      </c>
      <c r="I410" s="148" t="str">
        <f>IFERROR(__xludf.DUMMYFUNCTION("""COMPUTED_VALUE"""),"{}")</f>
        <v>{}</v>
      </c>
      <c r="J410" s="148" t="str">
        <f>IFERROR(__xludf.DUMMYFUNCTION("""COMPUTED_VALUE"""),"{""typ"":""lc"",""txt"":""LC_ITEM_sea_bp_item""}")</f>
        <v>{"typ":"lc","txt":"LC_ITEM_sea_bp_item"}</v>
      </c>
      <c r="K410" s="148" t="str">
        <f>IFERROR(__xludf.DUMMYFUNCTION("""COMPUTED_VALUE"""),"{""typ"":""lc"",""txt"":""LC_ITEM_sea_bp_item_desc""}")</f>
        <v>{"typ":"lc","txt":"LC_ITEM_sea_bp_item_desc"}</v>
      </c>
      <c r="L410" s="148" t="str">
        <f>IFERROR(__xludf.DUMMYFUNCTION("""COMPUTED_VALUE"""),"{}")</f>
        <v>{}</v>
      </c>
      <c r="M410" s="148">
        <f>IFERROR(__xludf.DUMMYFUNCTION("""COMPUTED_VALUE"""),35.0)</f>
        <v>35</v>
      </c>
      <c r="N410" s="148">
        <f>IFERROR(__xludf.DUMMYFUNCTION("""COMPUTED_VALUE"""),999999.0)</f>
        <v>999999</v>
      </c>
      <c r="O410" s="148">
        <f>IFERROR(__xludf.DUMMYFUNCTION("""COMPUTED_VALUE"""),99999.0)</f>
        <v>99999</v>
      </c>
      <c r="P410" s="148">
        <f>IFERROR(__xludf.DUMMYFUNCTION("""COMPUTED_VALUE"""),99999.0)</f>
        <v>99999</v>
      </c>
      <c r="Q410" s="148" t="str">
        <f>IFERROR(__xludf.DUMMYFUNCTION("""COMPUTED_VALUE"""),"[""bag_other""]")</f>
        <v>["bag_other"]</v>
      </c>
      <c r="R410" s="148" t="str">
        <f>IFERROR(__xludf.DUMMYFUNCTION("""COMPUTED_VALUE"""),"[""bag""]")</f>
        <v>["bag"]</v>
      </c>
      <c r="S410" s="148" t="str">
        <f>IFERROR(__xludf.DUMMYFUNCTION("""COMPUTED_VALUE"""),"{}")</f>
        <v>{}</v>
      </c>
      <c r="T410" s="148">
        <f>IFERROR(__xludf.DUMMYFUNCTION("""COMPUTED_VALUE"""),-1.0)</f>
        <v>-1</v>
      </c>
      <c r="U410" s="148">
        <f>IFERROR(__xludf.DUMMYFUNCTION("""COMPUTED_VALUE"""),0.0)</f>
        <v>0</v>
      </c>
      <c r="V410" s="148" t="str">
        <f>IFERROR(__xludf.DUMMYFUNCTION("""COMPUTED_VALUE"""),"[]")</f>
        <v>[]</v>
      </c>
      <c r="W410" s="148">
        <f>IFERROR(__xludf.DUMMYFUNCTION("""COMPUTED_VALUE"""),1.174E7)</f>
        <v>11740000</v>
      </c>
      <c r="X410" s="148">
        <f>IFERROR(__xludf.DUMMYFUNCTION("""COMPUTED_VALUE"""),0.0)</f>
        <v>0</v>
      </c>
      <c r="Y410" s="148">
        <f>IFERROR(__xludf.DUMMYFUNCTION("""COMPUTED_VALUE"""),0.0)</f>
        <v>0</v>
      </c>
      <c r="Z410" s="148"/>
    </row>
    <row r="411">
      <c r="A411" s="148">
        <f>IFERROR(__xludf.DUMMYFUNCTION("""COMPUTED_VALUE"""),1.1112202E7)</f>
        <v>11112202</v>
      </c>
      <c r="B411" s="148" t="str">
        <f>IFERROR(__xludf.DUMMYFUNCTION("""COMPUTED_VALUE"""),"主城皮肤-沙滩节高级皮肤2024-14天")</f>
        <v>主城皮肤-沙滩节高级皮肤2024-14天</v>
      </c>
      <c r="C411" s="148"/>
      <c r="D411" s="148" t="str">
        <f>IFERROR(__xludf.DUMMYFUNCTION("""COMPUTED_VALUE"""),"city_skin")</f>
        <v>city_skin</v>
      </c>
      <c r="E411" s="148">
        <f>IFERROR(__xludf.DUMMYFUNCTION("""COMPUTED_VALUE"""),21.0)</f>
        <v>21</v>
      </c>
      <c r="F411" s="148">
        <f>IFERROR(__xludf.DUMMYFUNCTION("""COMPUTED_VALUE"""),400106.0)</f>
        <v>400106</v>
      </c>
      <c r="G411" s="148">
        <f>IFERROR(__xludf.DUMMYFUNCTION("""COMPUTED_VALUE"""),1.5119773E7)</f>
        <v>15119773</v>
      </c>
      <c r="H411" s="148">
        <f>IFERROR(__xludf.DUMMYFUNCTION("""COMPUTED_VALUE"""),1.5112564E7)</f>
        <v>15112564</v>
      </c>
      <c r="I411" s="148" t="str">
        <f>IFERROR(__xludf.DUMMYFUNCTION("""COMPUTED_VALUE"""),"{""typ"":""lc"",""txt"":""LC_ITEM_time_day_upper_show"",""args"":[{""typ"":""int"",""val"":14}]}")</f>
        <v>{"typ":"lc","txt":"LC_ITEM_time_day_upper_show","args":[{"typ":"int","val":14}]}</v>
      </c>
      <c r="J411" s="148" t="str">
        <f>IFERROR(__xludf.DUMMYFUNCTION("""COMPUTED_VALUE"""),"{""typ"":""lc"",""txt"":""LC_ITEM_2024beach_highcity_skin_title_14day""}")</f>
        <v>{"typ":"lc","txt":"LC_ITEM_2024beach_highcity_skin_title_14day"}</v>
      </c>
      <c r="K411" s="148" t="str">
        <f>IFERROR(__xludf.DUMMYFUNCTION("""COMPUTED_VALUE"""),"{""typ"":""lc"",""txt"":""LC_ITEM_2024beach_highskin_desc_14days""}")</f>
        <v>{"typ":"lc","txt":"LC_ITEM_2024beach_highskin_desc_14days"}</v>
      </c>
      <c r="L411" s="148" t="str">
        <f>IFERROR(__xludf.DUMMYFUNCTION("""COMPUTED_VALUE"""),"{""typ"":""lc"",""txt"":""LC_ITEM_city_skin_rocket_use_tips""}")</f>
        <v>{"typ":"lc","txt":"LC_ITEM_city_skin_rocket_use_tips"}</v>
      </c>
      <c r="M411" s="148">
        <f>IFERROR(__xludf.DUMMYFUNCTION("""COMPUTED_VALUE"""),10000.0)</f>
        <v>10000</v>
      </c>
      <c r="N411" s="148">
        <f>IFERROR(__xludf.DUMMYFUNCTION("""COMPUTED_VALUE"""),999.0)</f>
        <v>999</v>
      </c>
      <c r="O411" s="148">
        <f>IFERROR(__xludf.DUMMYFUNCTION("""COMPUTED_VALUE"""),1.0)</f>
        <v>1</v>
      </c>
      <c r="P411" s="148">
        <f>IFERROR(__xludf.DUMMYFUNCTION("""COMPUTED_VALUE"""),1.0)</f>
        <v>1</v>
      </c>
      <c r="Q411" s="148" t="str">
        <f>IFERROR(__xludf.DUMMYFUNCTION("""COMPUTED_VALUE"""),"[""bag_other""]")</f>
        <v>["bag_other"]</v>
      </c>
      <c r="R411" s="148" t="str">
        <f>IFERROR(__xludf.DUMMYFUNCTION("""COMPUTED_VALUE"""),"[""bag"",""13121043""]")</f>
        <v>["bag","13121043"]</v>
      </c>
      <c r="S411" s="148" t="str">
        <f>IFERROR(__xludf.DUMMYFUNCTION("""COMPUTED_VALUE"""),"{""effect"":[{""typ"":""city_skin"",""id"":13121043,""val"":1209600000},{""typ"":""item"",""id"":11111021,""val"":7}]}")</f>
        <v>{"effect":[{"typ":"city_skin","id":13121043,"val":1209600000},{"typ":"item","id":11111021,"val":7}]}</v>
      </c>
      <c r="T411" s="148">
        <f>IFERROR(__xludf.DUMMYFUNCTION("""COMPUTED_VALUE"""),-1.0)</f>
        <v>-1</v>
      </c>
      <c r="U411" s="148">
        <f>IFERROR(__xludf.DUMMYFUNCTION("""COMPUTED_VALUE"""),0.0)</f>
        <v>0</v>
      </c>
      <c r="V411" s="148" t="str">
        <f>IFERROR(__xludf.DUMMYFUNCTION("""COMPUTED_VALUE"""),"[]")</f>
        <v>[]</v>
      </c>
      <c r="W411" s="148">
        <f>IFERROR(__xludf.DUMMYFUNCTION("""COMPUTED_VALUE"""),1.174E7)</f>
        <v>11740000</v>
      </c>
      <c r="X411" s="148">
        <f>IFERROR(__xludf.DUMMYFUNCTION("""COMPUTED_VALUE"""),0.0)</f>
        <v>0</v>
      </c>
      <c r="Y411" s="148">
        <f>IFERROR(__xludf.DUMMYFUNCTION("""COMPUTED_VALUE"""),0.0)</f>
        <v>0</v>
      </c>
      <c r="Z411" s="148"/>
    </row>
    <row r="412">
      <c r="A412" s="148">
        <f>IFERROR(__xludf.DUMMYFUNCTION("""COMPUTED_VALUE"""),1.1112203E7)</f>
        <v>11112203</v>
      </c>
      <c r="B412" s="148" t="str">
        <f>IFERROR(__xludf.DUMMYFUNCTION("""COMPUTED_VALUE"""),"主城皮肤-沙滩节高级皮肤2024-7天")</f>
        <v>主城皮肤-沙滩节高级皮肤2024-7天</v>
      </c>
      <c r="C412" s="148"/>
      <c r="D412" s="148" t="str">
        <f>IFERROR(__xludf.DUMMYFUNCTION("""COMPUTED_VALUE"""),"city_skin")</f>
        <v>city_skin</v>
      </c>
      <c r="E412" s="148">
        <f>IFERROR(__xludf.DUMMYFUNCTION("""COMPUTED_VALUE"""),21.0)</f>
        <v>21</v>
      </c>
      <c r="F412" s="148">
        <f>IFERROR(__xludf.DUMMYFUNCTION("""COMPUTED_VALUE"""),400106.0)</f>
        <v>400106</v>
      </c>
      <c r="G412" s="148">
        <f>IFERROR(__xludf.DUMMYFUNCTION("""COMPUTED_VALUE"""),1.5119773E7)</f>
        <v>15119773</v>
      </c>
      <c r="H412" s="148">
        <f>IFERROR(__xludf.DUMMYFUNCTION("""COMPUTED_VALUE"""),1.5112564E7)</f>
        <v>15112564</v>
      </c>
      <c r="I412" s="148" t="str">
        <f>IFERROR(__xludf.DUMMYFUNCTION("""COMPUTED_VALUE"""),"{""typ"":""lc"",""txt"":""LC_ITEM_time_day_upper_show"",""args"":[{""typ"":""int"",""val"":7}]}")</f>
        <v>{"typ":"lc","txt":"LC_ITEM_time_day_upper_show","args":[{"typ":"int","val":7}]}</v>
      </c>
      <c r="J412" s="148" t="str">
        <f>IFERROR(__xludf.DUMMYFUNCTION("""COMPUTED_VALUE"""),"{""typ"":""lc"",""txt"":""LC_ITEM_2024beach_highcity_skin_title_7day""}")</f>
        <v>{"typ":"lc","txt":"LC_ITEM_2024beach_highcity_skin_title_7day"}</v>
      </c>
      <c r="K412" s="148" t="str">
        <f>IFERROR(__xludf.DUMMYFUNCTION("""COMPUTED_VALUE"""),"{""typ"":""lc"",""txt"":""LC_ITEM_2024beach_highskin_desc_7days""}")</f>
        <v>{"typ":"lc","txt":"LC_ITEM_2024beach_highskin_desc_7days"}</v>
      </c>
      <c r="L412" s="148" t="str">
        <f>IFERROR(__xludf.DUMMYFUNCTION("""COMPUTED_VALUE"""),"{""typ"":""lc"",""txt"":""LC_ITEM_city_skin_rocket_use_tips""}")</f>
        <v>{"typ":"lc","txt":"LC_ITEM_city_skin_rocket_use_tips"}</v>
      </c>
      <c r="M412" s="148">
        <f>IFERROR(__xludf.DUMMYFUNCTION("""COMPUTED_VALUE"""),10000.0)</f>
        <v>10000</v>
      </c>
      <c r="N412" s="148">
        <f>IFERROR(__xludf.DUMMYFUNCTION("""COMPUTED_VALUE"""),999.0)</f>
        <v>999</v>
      </c>
      <c r="O412" s="148">
        <f>IFERROR(__xludf.DUMMYFUNCTION("""COMPUTED_VALUE"""),1.0)</f>
        <v>1</v>
      </c>
      <c r="P412" s="148">
        <f>IFERROR(__xludf.DUMMYFUNCTION("""COMPUTED_VALUE"""),1.0)</f>
        <v>1</v>
      </c>
      <c r="Q412" s="148" t="str">
        <f>IFERROR(__xludf.DUMMYFUNCTION("""COMPUTED_VALUE"""),"[""bag_other""]")</f>
        <v>["bag_other"]</v>
      </c>
      <c r="R412" s="148" t="str">
        <f>IFERROR(__xludf.DUMMYFUNCTION("""COMPUTED_VALUE"""),"[""bag"",""13121043""]")</f>
        <v>["bag","13121043"]</v>
      </c>
      <c r="S412" s="148" t="str">
        <f>IFERROR(__xludf.DUMMYFUNCTION("""COMPUTED_VALUE"""),"{""effect"":[{""typ"":""city_skin"",""id"":13121043,""val"":604800000},{""typ"":""item"",""id"":11111021,""val"":3}]}")</f>
        <v>{"effect":[{"typ":"city_skin","id":13121043,"val":604800000},{"typ":"item","id":11111021,"val":3}]}</v>
      </c>
      <c r="T412" s="148">
        <f>IFERROR(__xludf.DUMMYFUNCTION("""COMPUTED_VALUE"""),-1.0)</f>
        <v>-1</v>
      </c>
      <c r="U412" s="148">
        <f>IFERROR(__xludf.DUMMYFUNCTION("""COMPUTED_VALUE"""),0.0)</f>
        <v>0</v>
      </c>
      <c r="V412" s="148" t="str">
        <f>IFERROR(__xludf.DUMMYFUNCTION("""COMPUTED_VALUE"""),"[]")</f>
        <v>[]</v>
      </c>
      <c r="W412" s="148">
        <f>IFERROR(__xludf.DUMMYFUNCTION("""COMPUTED_VALUE"""),1.174E7)</f>
        <v>11740000</v>
      </c>
      <c r="X412" s="148">
        <f>IFERROR(__xludf.DUMMYFUNCTION("""COMPUTED_VALUE"""),0.0)</f>
        <v>0</v>
      </c>
      <c r="Y412" s="148">
        <f>IFERROR(__xludf.DUMMYFUNCTION("""COMPUTED_VALUE"""),0.0)</f>
        <v>0</v>
      </c>
      <c r="Z412" s="148"/>
    </row>
    <row r="413">
      <c r="A413" s="148">
        <f>IFERROR(__xludf.DUMMYFUNCTION("""COMPUTED_VALUE"""),1.1112204E7)</f>
        <v>11112204</v>
      </c>
      <c r="B413" s="148" t="str">
        <f>IFERROR(__xludf.DUMMYFUNCTION("""COMPUTED_VALUE"""),"主城皮肤-沙滩节高级皮肤2024")</f>
        <v>主城皮肤-沙滩节高级皮肤2024</v>
      </c>
      <c r="C413" s="148"/>
      <c r="D413" s="148" t="str">
        <f>IFERROR(__xludf.DUMMYFUNCTION("""COMPUTED_VALUE"""),"city_skin")</f>
        <v>city_skin</v>
      </c>
      <c r="E413" s="148">
        <f>IFERROR(__xludf.DUMMYFUNCTION("""COMPUTED_VALUE"""),21.0)</f>
        <v>21</v>
      </c>
      <c r="F413" s="148">
        <f>IFERROR(__xludf.DUMMYFUNCTION("""COMPUTED_VALUE"""),400106.0)</f>
        <v>400106</v>
      </c>
      <c r="G413" s="148">
        <f>IFERROR(__xludf.DUMMYFUNCTION("""COMPUTED_VALUE"""),1.5119773E7)</f>
        <v>15119773</v>
      </c>
      <c r="H413" s="148">
        <f>IFERROR(__xludf.DUMMYFUNCTION("""COMPUTED_VALUE"""),1.5112564E7)</f>
        <v>15112564</v>
      </c>
      <c r="I413" s="148" t="str">
        <f>IFERROR(__xludf.DUMMYFUNCTION("""COMPUTED_VALUE"""),"{}")</f>
        <v>{}</v>
      </c>
      <c r="J413" s="148" t="str">
        <f>IFERROR(__xludf.DUMMYFUNCTION("""COMPUTED_VALUE"""),"{""typ"":""lc"",""txt"":""LC_ITEM_2024beach_highcity_skin_title""}")</f>
        <v>{"typ":"lc","txt":"LC_ITEM_2024beach_highcity_skin_title"}</v>
      </c>
      <c r="K413" s="148" t="str">
        <f>IFERROR(__xludf.DUMMYFUNCTION("""COMPUTED_VALUE"""),"{""typ"":""lc"",""txt"":""LC_ITEM_2024beach_highskin_desc_forever""}")</f>
        <v>{"typ":"lc","txt":"LC_ITEM_2024beach_highskin_desc_forever"}</v>
      </c>
      <c r="L413" s="148" t="str">
        <f>IFERROR(__xludf.DUMMYFUNCTION("""COMPUTED_VALUE"""),"{""typ"":""lc"",""txt"":""LC_ITEM_city_skin_rocket_use_tips""}")</f>
        <v>{"typ":"lc","txt":"LC_ITEM_city_skin_rocket_use_tips"}</v>
      </c>
      <c r="M413" s="148">
        <f>IFERROR(__xludf.DUMMYFUNCTION("""COMPUTED_VALUE"""),10000.0)</f>
        <v>10000</v>
      </c>
      <c r="N413" s="148">
        <f>IFERROR(__xludf.DUMMYFUNCTION("""COMPUTED_VALUE"""),999.0)</f>
        <v>999</v>
      </c>
      <c r="O413" s="148">
        <f>IFERROR(__xludf.DUMMYFUNCTION("""COMPUTED_VALUE"""),1.0)</f>
        <v>1</v>
      </c>
      <c r="P413" s="148">
        <f>IFERROR(__xludf.DUMMYFUNCTION("""COMPUTED_VALUE"""),1.0)</f>
        <v>1</v>
      </c>
      <c r="Q413" s="148" t="str">
        <f>IFERROR(__xludf.DUMMYFUNCTION("""COMPUTED_VALUE"""),"[""bag_other""]")</f>
        <v>["bag_other"]</v>
      </c>
      <c r="R413" s="148" t="str">
        <f>IFERROR(__xludf.DUMMYFUNCTION("""COMPUTED_VALUE"""),"[""bag"",""13121043""]")</f>
        <v>["bag","13121043"]</v>
      </c>
      <c r="S413" s="148" t="str">
        <f>IFERROR(__xludf.DUMMYFUNCTION("""COMPUTED_VALUE"""),"{""effect"":[{""typ"":""city_skin"",""id"":13121043,""val"":-1},{""typ"":""item"",""id"":11111034,""val"":10}]}")</f>
        <v>{"effect":[{"typ":"city_skin","id":13121043,"val":-1},{"typ":"item","id":11111034,"val":10}]}</v>
      </c>
      <c r="T413" s="148">
        <f>IFERROR(__xludf.DUMMYFUNCTION("""COMPUTED_VALUE"""),-1.0)</f>
        <v>-1</v>
      </c>
      <c r="U413" s="148">
        <f>IFERROR(__xludf.DUMMYFUNCTION("""COMPUTED_VALUE"""),0.0)</f>
        <v>0</v>
      </c>
      <c r="V413" s="148" t="str">
        <f>IFERROR(__xludf.DUMMYFUNCTION("""COMPUTED_VALUE"""),"[]")</f>
        <v>[]</v>
      </c>
      <c r="W413" s="148">
        <f>IFERROR(__xludf.DUMMYFUNCTION("""COMPUTED_VALUE"""),1.174E7)</f>
        <v>11740000</v>
      </c>
      <c r="X413" s="148">
        <f>IFERROR(__xludf.DUMMYFUNCTION("""COMPUTED_VALUE"""),0.0)</f>
        <v>0</v>
      </c>
      <c r="Y413" s="148">
        <f>IFERROR(__xludf.DUMMYFUNCTION("""COMPUTED_VALUE"""),0.0)</f>
        <v>0</v>
      </c>
      <c r="Z413" s="148"/>
    </row>
    <row r="414">
      <c r="A414" s="148">
        <f>IFERROR(__xludf.DUMMYFUNCTION("""COMPUTED_VALUE"""),1.1112205E7)</f>
        <v>11112205</v>
      </c>
      <c r="B414" s="148" t="str">
        <f>IFERROR(__xludf.DUMMYFUNCTION("""COMPUTED_VALUE"""),"主城皮肤-沙滩节2024")</f>
        <v>主城皮肤-沙滩节2024</v>
      </c>
      <c r="C414" s="148"/>
      <c r="D414" s="148" t="str">
        <f>IFERROR(__xludf.DUMMYFUNCTION("""COMPUTED_VALUE"""),"city_skin")</f>
        <v>city_skin</v>
      </c>
      <c r="E414" s="148">
        <f>IFERROR(__xludf.DUMMYFUNCTION("""COMPUTED_VALUE"""),21.0)</f>
        <v>21</v>
      </c>
      <c r="F414" s="148">
        <f>IFERROR(__xludf.DUMMYFUNCTION("""COMPUTED_VALUE"""),1.0)</f>
        <v>1</v>
      </c>
      <c r="G414" s="148">
        <f>IFERROR(__xludf.DUMMYFUNCTION("""COMPUTED_VALUE"""),1.5119772E7)</f>
        <v>15119772</v>
      </c>
      <c r="H414" s="148">
        <f>IFERROR(__xludf.DUMMYFUNCTION("""COMPUTED_VALUE"""),1.5112564E7)</f>
        <v>15112564</v>
      </c>
      <c r="I414" s="148" t="str">
        <f>IFERROR(__xludf.DUMMYFUNCTION("""COMPUTED_VALUE"""),"{}")</f>
        <v>{}</v>
      </c>
      <c r="J414" s="148" t="str">
        <f>IFERROR(__xludf.DUMMYFUNCTION("""COMPUTED_VALUE"""),"{""typ"":""lc"",""txt"":""LC_ITEM_2024beach_lowcity_skin_title""}")</f>
        <v>{"typ":"lc","txt":"LC_ITEM_2024beach_lowcity_skin_title"}</v>
      </c>
      <c r="K414" s="148" t="str">
        <f>IFERROR(__xludf.DUMMYFUNCTION("""COMPUTED_VALUE"""),"{""typ"":""lc"",""txt"":""LC_ITEM_2024beach_lowcity_skin_desc_forever""}")</f>
        <v>{"typ":"lc","txt":"LC_ITEM_2024beach_lowcity_skin_desc_forever"}</v>
      </c>
      <c r="L414" s="148" t="str">
        <f>IFERROR(__xludf.DUMMYFUNCTION("""COMPUTED_VALUE"""),"{""typ"":""lc"",""txt"":""LC_ITEM_city_skin_rocket_use_tips""}")</f>
        <v>{"typ":"lc","txt":"LC_ITEM_city_skin_rocket_use_tips"}</v>
      </c>
      <c r="M414" s="148">
        <f>IFERROR(__xludf.DUMMYFUNCTION("""COMPUTED_VALUE"""),10000.0)</f>
        <v>10000</v>
      </c>
      <c r="N414" s="148">
        <f>IFERROR(__xludf.DUMMYFUNCTION("""COMPUTED_VALUE"""),999.0)</f>
        <v>999</v>
      </c>
      <c r="O414" s="148">
        <f>IFERROR(__xludf.DUMMYFUNCTION("""COMPUTED_VALUE"""),1.0)</f>
        <v>1</v>
      </c>
      <c r="P414" s="148">
        <f>IFERROR(__xludf.DUMMYFUNCTION("""COMPUTED_VALUE"""),1.0)</f>
        <v>1</v>
      </c>
      <c r="Q414" s="148" t="str">
        <f>IFERROR(__xludf.DUMMYFUNCTION("""COMPUTED_VALUE"""),"[""bag_other""]")</f>
        <v>["bag_other"]</v>
      </c>
      <c r="R414" s="148" t="str">
        <f>IFERROR(__xludf.DUMMYFUNCTION("""COMPUTED_VALUE"""),"[""bag"",""13121042""]")</f>
        <v>["bag","13121042"]</v>
      </c>
      <c r="S414" s="148" t="str">
        <f>IFERROR(__xludf.DUMMYFUNCTION("""COMPUTED_VALUE"""),"{""effect"":[{""typ"":""city_skin"",""id"":13121042,""val"":-1},{""typ"":""item"",""id"":11111034,""val"":10}]}")</f>
        <v>{"effect":[{"typ":"city_skin","id":13121042,"val":-1},{"typ":"item","id":11111034,"val":10}]}</v>
      </c>
      <c r="T414" s="148">
        <f>IFERROR(__xludf.DUMMYFUNCTION("""COMPUTED_VALUE"""),-1.0)</f>
        <v>-1</v>
      </c>
      <c r="U414" s="148">
        <f>IFERROR(__xludf.DUMMYFUNCTION("""COMPUTED_VALUE"""),0.0)</f>
        <v>0</v>
      </c>
      <c r="V414" s="148" t="str">
        <f>IFERROR(__xludf.DUMMYFUNCTION("""COMPUTED_VALUE"""),"[]")</f>
        <v>[]</v>
      </c>
      <c r="W414" s="148">
        <f>IFERROR(__xludf.DUMMYFUNCTION("""COMPUTED_VALUE"""),1.174E7)</f>
        <v>11740000</v>
      </c>
      <c r="X414" s="148">
        <f>IFERROR(__xludf.DUMMYFUNCTION("""COMPUTED_VALUE"""),0.0)</f>
        <v>0</v>
      </c>
      <c r="Y414" s="148">
        <f>IFERROR(__xludf.DUMMYFUNCTION("""COMPUTED_VALUE"""),0.0)</f>
        <v>0</v>
      </c>
      <c r="Z414" s="148"/>
    </row>
    <row r="415">
      <c r="A415" s="148">
        <f>IFERROR(__xludf.DUMMYFUNCTION("""COMPUTED_VALUE"""),1.1112206E7)</f>
        <v>11112206</v>
      </c>
      <c r="B415" s="148" t="str">
        <f>IFERROR(__xludf.DUMMYFUNCTION("""COMPUTED_VALUE"""),"主城皮肤-沙滩节2024（2天）")</f>
        <v>主城皮肤-沙滩节2024（2天）</v>
      </c>
      <c r="C415" s="148"/>
      <c r="D415" s="148" t="str">
        <f>IFERROR(__xludf.DUMMYFUNCTION("""COMPUTED_VALUE"""),"city_skin")</f>
        <v>city_skin</v>
      </c>
      <c r="E415" s="148">
        <f>IFERROR(__xludf.DUMMYFUNCTION("""COMPUTED_VALUE"""),21.0)</f>
        <v>21</v>
      </c>
      <c r="F415" s="148">
        <f>IFERROR(__xludf.DUMMYFUNCTION("""COMPUTED_VALUE"""),404201.0)</f>
        <v>404201</v>
      </c>
      <c r="G415" s="148">
        <f>IFERROR(__xludf.DUMMYFUNCTION("""COMPUTED_VALUE"""),1.5119772E7)</f>
        <v>15119772</v>
      </c>
      <c r="H415" s="148">
        <f>IFERROR(__xludf.DUMMYFUNCTION("""COMPUTED_VALUE"""),1.5112563E7)</f>
        <v>15112563</v>
      </c>
      <c r="I415" s="148" t="str">
        <f>IFERROR(__xludf.DUMMYFUNCTION("""COMPUTED_VALUE"""),"{""typ"":""lc"",""txt"":""LC_ITEM_time_day_upper_show"",""args"":[{""typ"":""int"",""val"":2}]}")</f>
        <v>{"typ":"lc","txt":"LC_ITEM_time_day_upper_show","args":[{"typ":"int","val":2}]}</v>
      </c>
      <c r="J415" s="148" t="str">
        <f>IFERROR(__xludf.DUMMYFUNCTION("""COMPUTED_VALUE"""),"{""typ"":""lc"",""txt"":""LC_ITEM_2024beach_lowcity_skin_title_2day""}")</f>
        <v>{"typ":"lc","txt":"LC_ITEM_2024beach_lowcity_skin_title_2day"}</v>
      </c>
      <c r="K415" s="148" t="str">
        <f>IFERROR(__xludf.DUMMYFUNCTION("""COMPUTED_VALUE"""),"{""typ"":""lc"",""txt"":""LC_ITEM_2024beach_lowcity_skin_desc_2day""}")</f>
        <v>{"typ":"lc","txt":"LC_ITEM_2024beach_lowcity_skin_desc_2day"}</v>
      </c>
      <c r="L415" s="148" t="str">
        <f>IFERROR(__xludf.DUMMYFUNCTION("""COMPUTED_VALUE"""),"{""typ"":""lc"",""txt"":""LC_ITEM_city_skin_rocket_use_tips""}")</f>
        <v>{"typ":"lc","txt":"LC_ITEM_city_skin_rocket_use_tips"}</v>
      </c>
      <c r="M415" s="148">
        <f>IFERROR(__xludf.DUMMYFUNCTION("""COMPUTED_VALUE"""),500.0)</f>
        <v>500</v>
      </c>
      <c r="N415" s="148">
        <f>IFERROR(__xludf.DUMMYFUNCTION("""COMPUTED_VALUE"""),999.0)</f>
        <v>999</v>
      </c>
      <c r="O415" s="148">
        <f>IFERROR(__xludf.DUMMYFUNCTION("""COMPUTED_VALUE"""),1.0)</f>
        <v>1</v>
      </c>
      <c r="P415" s="148">
        <f>IFERROR(__xludf.DUMMYFUNCTION("""COMPUTED_VALUE"""),1.0)</f>
        <v>1</v>
      </c>
      <c r="Q415" s="148" t="str">
        <f>IFERROR(__xludf.DUMMYFUNCTION("""COMPUTED_VALUE"""),"[""bag_other""]")</f>
        <v>["bag_other"]</v>
      </c>
      <c r="R415" s="148" t="str">
        <f>IFERROR(__xludf.DUMMYFUNCTION("""COMPUTED_VALUE"""),"[""bag"",""13121042""]")</f>
        <v>["bag","13121042"]</v>
      </c>
      <c r="S415" s="148" t="str">
        <f>IFERROR(__xludf.DUMMYFUNCTION("""COMPUTED_VALUE"""),"{""effect"":[{""typ"":""city_skin"",""id"":13121042,""val"":172800000},{""typ"":""item"",""id"":11111021,""val"":1}]}")</f>
        <v>{"effect":[{"typ":"city_skin","id":13121042,"val":172800000},{"typ":"item","id":11111021,"val":1}]}</v>
      </c>
      <c r="T415" s="148">
        <f>IFERROR(__xludf.DUMMYFUNCTION("""COMPUTED_VALUE"""),-1.0)</f>
        <v>-1</v>
      </c>
      <c r="U415" s="148">
        <f>IFERROR(__xludf.DUMMYFUNCTION("""COMPUTED_VALUE"""),0.0)</f>
        <v>0</v>
      </c>
      <c r="V415" s="148" t="str">
        <f>IFERROR(__xludf.DUMMYFUNCTION("""COMPUTED_VALUE"""),"[]")</f>
        <v>[]</v>
      </c>
      <c r="W415" s="148">
        <f>IFERROR(__xludf.DUMMYFUNCTION("""COMPUTED_VALUE"""),1.174E7)</f>
        <v>11740000</v>
      </c>
      <c r="X415" s="148">
        <f>IFERROR(__xludf.DUMMYFUNCTION("""COMPUTED_VALUE"""),0.0)</f>
        <v>0</v>
      </c>
      <c r="Y415" s="148">
        <f>IFERROR(__xludf.DUMMYFUNCTION("""COMPUTED_VALUE"""),0.0)</f>
        <v>0</v>
      </c>
      <c r="Z415" s="148"/>
    </row>
    <row r="416">
      <c r="A416" s="148">
        <f>IFERROR(__xludf.DUMMYFUNCTION("""COMPUTED_VALUE"""),1.1112207E7)</f>
        <v>11112207</v>
      </c>
      <c r="B416" s="148" t="str">
        <f>IFERROR(__xludf.DUMMYFUNCTION("""COMPUTED_VALUE"""),"沙滩节2024-装饰升级版本（投放用）")</f>
        <v>沙滩节2024-装饰升级版本（投放用）</v>
      </c>
      <c r="C416" s="148"/>
      <c r="D416" s="148" t="str">
        <f>IFERROR(__xludf.DUMMYFUNCTION("""COMPUTED_VALUE"""),"statue_decorate")</f>
        <v>statue_decorate</v>
      </c>
      <c r="E416" s="148">
        <f>IFERROR(__xludf.DUMMYFUNCTION("""COMPUTED_VALUE"""),23.0)</f>
        <v>23</v>
      </c>
      <c r="F416" s="148">
        <f>IFERROR(__xludf.DUMMYFUNCTION("""COMPUTED_VALUE"""),0.0)</f>
        <v>0</v>
      </c>
      <c r="G416" s="148">
        <f>IFERROR(__xludf.DUMMYFUNCTION("""COMPUTED_VALUE"""),1.5119779E7)</f>
        <v>15119779</v>
      </c>
      <c r="H416" s="148">
        <f>IFERROR(__xludf.DUMMYFUNCTION("""COMPUTED_VALUE"""),1.5112564E7)</f>
        <v>15112564</v>
      </c>
      <c r="I416" s="148" t="str">
        <f>IFERROR(__xludf.DUMMYFUNCTION("""COMPUTED_VALUE"""),"{}")</f>
        <v>{}</v>
      </c>
      <c r="J416" s="148" t="str">
        <f>IFERROR(__xludf.DUMMYFUNCTION("""COMPUTED_VALUE"""),"{""typ"":""lc"",""txt"":""LC_ITEM_2024beach_dec_item_2""}")</f>
        <v>{"typ":"lc","txt":"LC_ITEM_2024beach_dec_item_2"}</v>
      </c>
      <c r="K416" s="148" t="str">
        <f>IFERROR(__xludf.DUMMYFUNCTION("""COMPUTED_VALUE"""),"{""typ"":""lc"",""txt"":""LC_ITEM_2024beach_dec_item_3_desc""}")</f>
        <v>{"typ":"lc","txt":"LC_ITEM_2024beach_dec_item_3_desc"}</v>
      </c>
      <c r="L416" s="148" t="str">
        <f>IFERROR(__xludf.DUMMYFUNCTION("""COMPUTED_VALUE"""),"{}")</f>
        <v>{}</v>
      </c>
      <c r="M416" s="148">
        <f>IFERROR(__xludf.DUMMYFUNCTION("""COMPUTED_VALUE"""),5000.0)</f>
        <v>5000</v>
      </c>
      <c r="N416" s="148">
        <f>IFERROR(__xludf.DUMMYFUNCTION("""COMPUTED_VALUE"""),999.0)</f>
        <v>999</v>
      </c>
      <c r="O416" s="148">
        <f>IFERROR(__xludf.DUMMYFUNCTION("""COMPUTED_VALUE"""),99999.0)</f>
        <v>99999</v>
      </c>
      <c r="P416" s="148">
        <f>IFERROR(__xludf.DUMMYFUNCTION("""COMPUTED_VALUE"""),99999.0)</f>
        <v>99999</v>
      </c>
      <c r="Q416" s="148" t="str">
        <f>IFERROR(__xludf.DUMMYFUNCTION("""COMPUTED_VALUE"""),"[]")</f>
        <v>[]</v>
      </c>
      <c r="R416" s="148" t="str">
        <f>IFERROR(__xludf.DUMMYFUNCTION("""COMPUTED_VALUE"""),"[""bag""]")</f>
        <v>["bag"]</v>
      </c>
      <c r="S416" s="148" t="str">
        <f>IFERROR(__xludf.DUMMYFUNCTION("""COMPUTED_VALUE"""),"{""effect"":[{""typ"":""holiday_statue"",""id"":21481701}]}")</f>
        <v>{"effect":[{"typ":"holiday_statue","id":21481701}]}</v>
      </c>
      <c r="T416" s="148">
        <f>IFERROR(__xludf.DUMMYFUNCTION("""COMPUTED_VALUE"""),-1.0)</f>
        <v>-1</v>
      </c>
      <c r="U416" s="148">
        <f>IFERROR(__xludf.DUMMYFUNCTION("""COMPUTED_VALUE"""),1.0)</f>
        <v>1</v>
      </c>
      <c r="V416" s="148" t="str">
        <f>IFERROR(__xludf.DUMMYFUNCTION("""COMPUTED_VALUE"""),"[]")</f>
        <v>[]</v>
      </c>
      <c r="W416" s="148">
        <f>IFERROR(__xludf.DUMMYFUNCTION("""COMPUTED_VALUE"""),1.174E7)</f>
        <v>11740000</v>
      </c>
      <c r="X416" s="148">
        <f>IFERROR(__xludf.DUMMYFUNCTION("""COMPUTED_VALUE"""),0.0)</f>
        <v>0</v>
      </c>
      <c r="Y416" s="148">
        <f>IFERROR(__xludf.DUMMYFUNCTION("""COMPUTED_VALUE"""),0.0)</f>
        <v>0</v>
      </c>
      <c r="Z416" s="148"/>
    </row>
    <row r="417">
      <c r="A417" s="148">
        <f>IFERROR(__xludf.DUMMYFUNCTION("""COMPUTED_VALUE"""),1.1112208E7)</f>
        <v>11112208</v>
      </c>
      <c r="B417" s="148" t="str">
        <f>IFERROR(__xludf.DUMMYFUNCTION("""COMPUTED_VALUE"""),"沙滩节2024-装饰升级道具")</f>
        <v>沙滩节2024-装饰升级道具</v>
      </c>
      <c r="C417" s="148"/>
      <c r="D417" s="148" t="str">
        <f>IFERROR(__xludf.DUMMYFUNCTION("""COMPUTED_VALUE"""),"event")</f>
        <v>event</v>
      </c>
      <c r="E417" s="148">
        <f>IFERROR(__xludf.DUMMYFUNCTION("""COMPUTED_VALUE"""),0.0)</f>
        <v>0</v>
      </c>
      <c r="F417" s="148">
        <f>IFERROR(__xludf.DUMMYFUNCTION("""COMPUTED_VALUE"""),405243.0)</f>
        <v>405243</v>
      </c>
      <c r="G417" s="148">
        <f>IFERROR(__xludf.DUMMYFUNCTION("""COMPUTED_VALUE"""),1.5119779E7)</f>
        <v>15119779</v>
      </c>
      <c r="H417" s="148">
        <f>IFERROR(__xludf.DUMMYFUNCTION("""COMPUTED_VALUE"""),1.5112564E7)</f>
        <v>15112564</v>
      </c>
      <c r="I417" s="148" t="str">
        <f>IFERROR(__xludf.DUMMYFUNCTION("""COMPUTED_VALUE"""),"{}")</f>
        <v>{}</v>
      </c>
      <c r="J417" s="148" t="str">
        <f>IFERROR(__xludf.DUMMYFUNCTION("""COMPUTED_VALUE"""),"{""typ"":""lc"",""txt"":""LC_ITEM_2024beach_dec_item_2""}")</f>
        <v>{"typ":"lc","txt":"LC_ITEM_2024beach_dec_item_2"}</v>
      </c>
      <c r="K417" s="148" t="str">
        <f>IFERROR(__xludf.DUMMYFUNCTION("""COMPUTED_VALUE"""),"{""typ"":""lc"",""txt"":""LC_ITEM_2024beach_dec_item_3_desc""}")</f>
        <v>{"typ":"lc","txt":"LC_ITEM_2024beach_dec_item_3_desc"}</v>
      </c>
      <c r="L417" s="148" t="str">
        <f>IFERROR(__xludf.DUMMYFUNCTION("""COMPUTED_VALUE"""),"{}")</f>
        <v>{}</v>
      </c>
      <c r="M417" s="148">
        <f>IFERROR(__xludf.DUMMYFUNCTION("""COMPUTED_VALUE"""),1000.0)</f>
        <v>1000</v>
      </c>
      <c r="N417" s="148">
        <f>IFERROR(__xludf.DUMMYFUNCTION("""COMPUTED_VALUE"""),9.99999999E8)</f>
        <v>999999999</v>
      </c>
      <c r="O417" s="148">
        <f>IFERROR(__xludf.DUMMYFUNCTION("""COMPUTED_VALUE"""),9.99999999E8)</f>
        <v>999999999</v>
      </c>
      <c r="P417" s="148">
        <f>IFERROR(__xludf.DUMMYFUNCTION("""COMPUTED_VALUE"""),9.99999999E8)</f>
        <v>999999999</v>
      </c>
      <c r="Q417" s="148" t="str">
        <f>IFERROR(__xludf.DUMMYFUNCTION("""COMPUTED_VALUE"""),"[""bag_other""]")</f>
        <v>["bag_other"]</v>
      </c>
      <c r="R417" s="148" t="str">
        <f>IFERROR(__xludf.DUMMYFUNCTION("""COMPUTED_VALUE"""),"[]")</f>
        <v>[]</v>
      </c>
      <c r="S417" s="148" t="str">
        <f>IFERROR(__xludf.DUMMYFUNCTION("""COMPUTED_VALUE"""),"{}")</f>
        <v>{}</v>
      </c>
      <c r="T417" s="148">
        <f>IFERROR(__xludf.DUMMYFUNCTION("""COMPUTED_VALUE"""),-1.0)</f>
        <v>-1</v>
      </c>
      <c r="U417" s="148">
        <f>IFERROR(__xludf.DUMMYFUNCTION("""COMPUTED_VALUE"""),0.0)</f>
        <v>0</v>
      </c>
      <c r="V417" s="148" t="str">
        <f>IFERROR(__xludf.DUMMYFUNCTION("""COMPUTED_VALUE"""),"[]")</f>
        <v>[]</v>
      </c>
      <c r="W417" s="148">
        <f>IFERROR(__xludf.DUMMYFUNCTION("""COMPUTED_VALUE"""),1.174E7)</f>
        <v>11740000</v>
      </c>
      <c r="X417" s="148">
        <f>IFERROR(__xludf.DUMMYFUNCTION("""COMPUTED_VALUE"""),0.0)</f>
        <v>0</v>
      </c>
      <c r="Y417" s="148">
        <f>IFERROR(__xludf.DUMMYFUNCTION("""COMPUTED_VALUE"""),0.0)</f>
        <v>0</v>
      </c>
      <c r="Z417" s="148"/>
    </row>
    <row r="418">
      <c r="A418" s="148">
        <f>IFERROR(__xludf.DUMMYFUNCTION("""COMPUTED_VALUE"""),1.1112209E7)</f>
        <v>11112209</v>
      </c>
      <c r="B418" s="148" t="str">
        <f>IFERROR(__xludf.DUMMYFUNCTION("""COMPUTED_VALUE"""),"2024沙滩节-装饰券宝箱")</f>
        <v>2024沙滩节-装饰券宝箱</v>
      </c>
      <c r="C418" s="148"/>
      <c r="D418" s="148" t="str">
        <f>IFERROR(__xludf.DUMMYFUNCTION("""COMPUTED_VALUE"""),"valentine_reward_box")</f>
        <v>valentine_reward_box</v>
      </c>
      <c r="E418" s="148">
        <f>IFERROR(__xludf.DUMMYFUNCTION("""COMPUTED_VALUE"""),19.0)</f>
        <v>19</v>
      </c>
      <c r="F418" s="148">
        <f>IFERROR(__xludf.DUMMYFUNCTION("""COMPUTED_VALUE"""),201101.0)</f>
        <v>201101</v>
      </c>
      <c r="G418" s="148">
        <f>IFERROR(__xludf.DUMMYFUNCTION("""COMPUTED_VALUE"""),1.5118225E7)</f>
        <v>15118225</v>
      </c>
      <c r="H418" s="148">
        <f>IFERROR(__xludf.DUMMYFUNCTION("""COMPUTED_VALUE"""),1.5112564E7)</f>
        <v>15112564</v>
      </c>
      <c r="I418" s="148" t="str">
        <f>IFERROR(__xludf.DUMMYFUNCTION("""COMPUTED_VALUE"""),"{}")</f>
        <v>{}</v>
      </c>
      <c r="J418" s="148" t="str">
        <f>IFERROR(__xludf.DUMMYFUNCTION("""COMPUTED_VALUE"""),"{""typ"":""lc"",""txt"":""LC_ITEM_beach_fes_box_name""}")</f>
        <v>{"typ":"lc","txt":"LC_ITEM_beach_fes_box_name"}</v>
      </c>
      <c r="K418" s="148" t="str">
        <f>IFERROR(__xludf.DUMMYFUNCTION("""COMPUTED_VALUE"""),"{""typ"":""lc"",""txt"":""LC_ITEM_fes_box_desc""}")</f>
        <v>{"typ":"lc","txt":"LC_ITEM_fes_box_desc"}</v>
      </c>
      <c r="L418" s="148" t="str">
        <f>IFERROR(__xludf.DUMMYFUNCTION("""COMPUTED_VALUE"""),"{""typ"":""lc"",""txt"":""LC_ITEM_horde_elite_box_usedtip""}")</f>
        <v>{"typ":"lc","txt":"LC_ITEM_horde_elite_box_usedtip"}</v>
      </c>
      <c r="M418" s="148">
        <f>IFERROR(__xludf.DUMMYFUNCTION("""COMPUTED_VALUE"""),40.0)</f>
        <v>40</v>
      </c>
      <c r="N418" s="148">
        <f>IFERROR(__xludf.DUMMYFUNCTION("""COMPUTED_VALUE"""),999999.0)</f>
        <v>999999</v>
      </c>
      <c r="O418" s="148">
        <f>IFERROR(__xludf.DUMMYFUNCTION("""COMPUTED_VALUE"""),99999.0)</f>
        <v>99999</v>
      </c>
      <c r="P418" s="148">
        <f>IFERROR(__xludf.DUMMYFUNCTION("""COMPUTED_VALUE"""),99999.0)</f>
        <v>99999</v>
      </c>
      <c r="Q418" s="148" t="str">
        <f>IFERROR(__xludf.DUMMYFUNCTION("""COMPUTED_VALUE"""),"[""bag_other""]")</f>
        <v>["bag_other"]</v>
      </c>
      <c r="R418" s="148" t="str">
        <f>IFERROR(__xludf.DUMMYFUNCTION("""COMPUTED_VALUE"""),"[""bag""]")</f>
        <v>["bag"]</v>
      </c>
      <c r="S418" s="148" t="str">
        <f>IFERROR(__xludf.DUMMYFUNCTION("""COMPUTED_VALUE"""),"{""drop"":{""typ"":""single_random"",""num"":1,""args"":[{""typ"":""item"",""id"":11112030,""num"":1000,""wgt"":19980},{""typ"":""item"",""id"":11112030,""num"":200,""wgt"":120000},{""typ"":""item"",""id"":11112030,""num"":50,""wgt"":200000},{""typ"":""it"&amp;"em"",""id"":11112205,""num"":1,""wgt"":10},{""typ"":""item"",""id"":11117468,""num"":1,""wgt"":10},{""typ"":""item"",""id"":11112030,""num"":20,""wgt"":400000},{""typ"":""item"",""id"":11112030,""num"":100,""wgt"":200000},{""typ"":""item"",""id"":11112030"&amp;",""num"":400,""wgt"":60000}]}}")</f>
        <v>{"drop":{"typ":"single_random","num":1,"args":[{"typ":"item","id":11112030,"num":1000,"wgt":19980},{"typ":"item","id":11112030,"num":200,"wgt":120000},{"typ":"item","id":11112030,"num":50,"wgt":200000},{"typ":"item","id":11112205,"num":1,"wgt":10},{"typ":"item","id":11117468,"num":1,"wgt":10},{"typ":"item","id":11112030,"num":20,"wgt":400000},{"typ":"item","id":11112030,"num":100,"wgt":200000},{"typ":"item","id":11112030,"num":400,"wgt":60000}]}}</v>
      </c>
      <c r="T418" s="148">
        <f>IFERROR(__xludf.DUMMYFUNCTION("""COMPUTED_VALUE"""),-1.0)</f>
        <v>-1</v>
      </c>
      <c r="U418" s="148">
        <f>IFERROR(__xludf.DUMMYFUNCTION("""COMPUTED_VALUE"""),0.0)</f>
        <v>0</v>
      </c>
      <c r="V418" s="148" t="str">
        <f>IFERROR(__xludf.DUMMYFUNCTION("""COMPUTED_VALUE"""),"[]")</f>
        <v>[]</v>
      </c>
      <c r="W418" s="148">
        <f>IFERROR(__xludf.DUMMYFUNCTION("""COMPUTED_VALUE"""),1.174E7)</f>
        <v>11740000</v>
      </c>
      <c r="X418" s="148">
        <f>IFERROR(__xludf.DUMMYFUNCTION("""COMPUTED_VALUE"""),0.0)</f>
        <v>0</v>
      </c>
      <c r="Y418" s="148">
        <f>IFERROR(__xludf.DUMMYFUNCTION("""COMPUTED_VALUE"""),0.0)</f>
        <v>0</v>
      </c>
      <c r="Z418" s="148"/>
    </row>
    <row r="419">
      <c r="A419" s="148">
        <f>IFERROR(__xludf.DUMMYFUNCTION("""COMPUTED_VALUE"""),1.111221E7)</f>
        <v>11112210</v>
      </c>
      <c r="B419" s="148" t="str">
        <f>IFERROR(__xludf.DUMMYFUNCTION("""COMPUTED_VALUE"""),"沙滩节2024-7日箱子奖励")</f>
        <v>沙滩节2024-7日箱子奖励</v>
      </c>
      <c r="C419" s="148"/>
      <c r="D419" s="148" t="str">
        <f>IFERROR(__xludf.DUMMYFUNCTION("""COMPUTED_VALUE"""),"item_asset")</f>
        <v>item_asset</v>
      </c>
      <c r="E419" s="148">
        <f>IFERROR(__xludf.DUMMYFUNCTION("""COMPUTED_VALUE"""),19.0)</f>
        <v>19</v>
      </c>
      <c r="F419" s="148">
        <f>IFERROR(__xludf.DUMMYFUNCTION("""COMPUTED_VALUE"""),201101.0)</f>
        <v>201101</v>
      </c>
      <c r="G419" s="148">
        <f>IFERROR(__xludf.DUMMYFUNCTION("""COMPUTED_VALUE"""),1.5117141E7)</f>
        <v>15117141</v>
      </c>
      <c r="H419" s="148">
        <f>IFERROR(__xludf.DUMMYFUNCTION("""COMPUTED_VALUE"""),1.5112564E7)</f>
        <v>15112564</v>
      </c>
      <c r="I419" s="148" t="str">
        <f>IFERROR(__xludf.DUMMYFUNCTION("""COMPUTED_VALUE"""),"{}")</f>
        <v>{}</v>
      </c>
      <c r="J419" s="148" t="str">
        <f>IFERROR(__xludf.DUMMYFUNCTION("""COMPUTED_VALUE"""),"{""typ"":""lc"",""txt"":""LC_ITEM_seven_day_box_name""}")</f>
        <v>{"typ":"lc","txt":"LC_ITEM_seven_day_box_name"}</v>
      </c>
      <c r="K419" s="148" t="str">
        <f>IFERROR(__xludf.DUMMYFUNCTION("""COMPUTED_VALUE"""),"{""typ"":""lc"",""txt"":""LC_ITEM_seven_day_box_desc""}")</f>
        <v>{"typ":"lc","txt":"LC_ITEM_seven_day_box_desc"}</v>
      </c>
      <c r="L419" s="148" t="str">
        <f>IFERROR(__xludf.DUMMYFUNCTION("""COMPUTED_VALUE"""),"{""typ"":""lc"",""txt"":""LC_ITEM_horde_elite_box_usedtip""}")</f>
        <v>{"typ":"lc","txt":"LC_ITEM_horde_elite_box_usedtip"}</v>
      </c>
      <c r="M419" s="148">
        <f>IFERROR(__xludf.DUMMYFUNCTION("""COMPUTED_VALUE"""),40.0)</f>
        <v>40</v>
      </c>
      <c r="N419" s="148">
        <f>IFERROR(__xludf.DUMMYFUNCTION("""COMPUTED_VALUE"""),999999.0)</f>
        <v>999999</v>
      </c>
      <c r="O419" s="148">
        <f>IFERROR(__xludf.DUMMYFUNCTION("""COMPUTED_VALUE"""),99999.0)</f>
        <v>99999</v>
      </c>
      <c r="P419" s="148">
        <f>IFERROR(__xludf.DUMMYFUNCTION("""COMPUTED_VALUE"""),99999.0)</f>
        <v>99999</v>
      </c>
      <c r="Q419" s="148" t="str">
        <f>IFERROR(__xludf.DUMMYFUNCTION("""COMPUTED_VALUE"""),"[""bag_other""]")</f>
        <v>["bag_other"]</v>
      </c>
      <c r="R419" s="148" t="str">
        <f>IFERROR(__xludf.DUMMYFUNCTION("""COMPUTED_VALUE"""),"[""bag""]")</f>
        <v>["bag"]</v>
      </c>
      <c r="S419" s="148" t="str">
        <f>IFERROR(__xludf.DUMMYFUNCTION("""COMPUTED_VALUE"""),"{""drop"":{""typ"":""single_random"",""num"":1,""args"":[{""typ"":""item"",""id"":11116304,""num"":1,""wgt"":50},{""typ"":""item"",""id"":11111103,""num"":2,""wgt"":1500},{""typ"":""item"",""id"":11117024,""num"":1,""wgt"":800},{""typ"":""item"",""id"":11"&amp;"117068,""num"":10,""wgt"":800},{""typ"":""item"",""id"":11111105,""num"":1,""wgt"":800},{""typ"":""item"",""id"":11116111,""num"":1,""wgt"":50},{""typ"":""item"",""id"":11111107,""num"":1,""wgt"":100},{""typ"":""item"",""id"":11117069,""num"":1,""wgt"":30"&amp;"0},{""typ"":""item"",""id"":11118501,""num"":1,""wgt"":300}]}}")</f>
        <v>{"drop":{"typ":"single_random","num":1,"args":[{"typ":"item","id":11116304,"num":1,"wgt":50},{"typ":"item","id":11111103,"num":2,"wgt":1500},{"typ":"item","id":11117024,"num":1,"wgt":800},{"typ":"item","id":11117068,"num":10,"wgt":800},{"typ":"item","id":11111105,"num":1,"wgt":800},{"typ":"item","id":11116111,"num":1,"wgt":50},{"typ":"item","id":11111107,"num":1,"wgt":100},{"typ":"item","id":11117069,"num":1,"wgt":300},{"typ":"item","id":11118501,"num":1,"wgt":300}]}}</v>
      </c>
      <c r="T419" s="148">
        <f>IFERROR(__xludf.DUMMYFUNCTION("""COMPUTED_VALUE"""),-1.0)</f>
        <v>-1</v>
      </c>
      <c r="U419" s="148">
        <f>IFERROR(__xludf.DUMMYFUNCTION("""COMPUTED_VALUE"""),0.0)</f>
        <v>0</v>
      </c>
      <c r="V419" s="148" t="str">
        <f>IFERROR(__xludf.DUMMYFUNCTION("""COMPUTED_VALUE"""),"[]")</f>
        <v>[]</v>
      </c>
      <c r="W419" s="148">
        <f>IFERROR(__xludf.DUMMYFUNCTION("""COMPUTED_VALUE"""),1.174E7)</f>
        <v>11740000</v>
      </c>
      <c r="X419" s="148">
        <f>IFERROR(__xludf.DUMMYFUNCTION("""COMPUTED_VALUE"""),0.0)</f>
        <v>0</v>
      </c>
      <c r="Y419" s="148">
        <f>IFERROR(__xludf.DUMMYFUNCTION("""COMPUTED_VALUE"""),0.0)</f>
        <v>0</v>
      </c>
      <c r="Z419" s="148"/>
    </row>
    <row r="420">
      <c r="A420" s="148">
        <f>IFERROR(__xludf.DUMMYFUNCTION("""COMPUTED_VALUE"""),1.1112211E7)</f>
        <v>11112211</v>
      </c>
      <c r="B420" s="148" t="str">
        <f>IFERROR(__xludf.DUMMYFUNCTION("""COMPUTED_VALUE"""),"沙滩节通用活动专用-增加次数道具")</f>
        <v>沙滩节通用活动专用-增加次数道具</v>
      </c>
      <c r="C420" s="148"/>
      <c r="D420" s="148" t="str">
        <f>IFERROR(__xludf.DUMMYFUNCTION("""COMPUTED_VALUE"""),"event_progress")</f>
        <v>event_progress</v>
      </c>
      <c r="E420" s="148">
        <f>IFERROR(__xludf.DUMMYFUNCTION("""COMPUTED_VALUE"""),0.0)</f>
        <v>0</v>
      </c>
      <c r="F420" s="148">
        <f>IFERROR(__xludf.DUMMYFUNCTION("""COMPUTED_VALUE"""),0.0)</f>
        <v>0</v>
      </c>
      <c r="G420" s="148">
        <f>IFERROR(__xludf.DUMMYFUNCTION("""COMPUTED_VALUE"""),1.5113732E7)</f>
        <v>15113732</v>
      </c>
      <c r="H420" s="148">
        <f>IFERROR(__xludf.DUMMYFUNCTION("""COMPUTED_VALUE"""),1.5112563E7)</f>
        <v>15112563</v>
      </c>
      <c r="I420" s="148" t="str">
        <f>IFERROR(__xludf.DUMMYFUNCTION("""COMPUTED_VALUE"""),"{}")</f>
        <v>{}</v>
      </c>
      <c r="J420" s="148" t="str">
        <f>IFERROR(__xludf.DUMMYFUNCTION("""COMPUTED_VALUE"""),"{}")</f>
        <v>{}</v>
      </c>
      <c r="K420" s="148" t="str">
        <f>IFERROR(__xludf.DUMMYFUNCTION("""COMPUTED_VALUE"""),"{}")</f>
        <v>{}</v>
      </c>
      <c r="L420" s="148" t="str">
        <f>IFERROR(__xludf.DUMMYFUNCTION("""COMPUTED_VALUE"""),"{}")</f>
        <v>{}</v>
      </c>
      <c r="M420" s="148">
        <f>IFERROR(__xludf.DUMMYFUNCTION("""COMPUTED_VALUE"""),1.0)</f>
        <v>1</v>
      </c>
      <c r="N420" s="148">
        <f>IFERROR(__xludf.DUMMYFUNCTION("""COMPUTED_VALUE"""),999999.0)</f>
        <v>999999</v>
      </c>
      <c r="O420" s="148">
        <f>IFERROR(__xludf.DUMMYFUNCTION("""COMPUTED_VALUE"""),99999.0)</f>
        <v>99999</v>
      </c>
      <c r="P420" s="148">
        <f>IFERROR(__xludf.DUMMYFUNCTION("""COMPUTED_VALUE"""),9999.0)</f>
        <v>9999</v>
      </c>
      <c r="Q420" s="148" t="str">
        <f>IFERROR(__xludf.DUMMYFUNCTION("""COMPUTED_VALUE"""),"[]")</f>
        <v>[]</v>
      </c>
      <c r="R420" s="148" t="str">
        <f>IFERROR(__xludf.DUMMYFUNCTION("""COMPUTED_VALUE"""),"[]")</f>
        <v>[]</v>
      </c>
      <c r="S420" s="148" t="str">
        <f>IFERROR(__xludf.DUMMYFUNCTION("""COMPUTED_VALUE"""),"{""effect"":[{""typ"":""event"",""id"":21127129},{""typ"":""miss_lost_reward""}]}")</f>
        <v>{"effect":[{"typ":"event","id":21127129},{"typ":"miss_lost_reward"}]}</v>
      </c>
      <c r="T420" s="148">
        <f>IFERROR(__xludf.DUMMYFUNCTION("""COMPUTED_VALUE"""),-1.0)</f>
        <v>-1</v>
      </c>
      <c r="U420" s="148">
        <f>IFERROR(__xludf.DUMMYFUNCTION("""COMPUTED_VALUE"""),1.0)</f>
        <v>1</v>
      </c>
      <c r="V420" s="148" t="str">
        <f>IFERROR(__xludf.DUMMYFUNCTION("""COMPUTED_VALUE"""),"[]")</f>
        <v>[]</v>
      </c>
      <c r="W420" s="148">
        <f>IFERROR(__xludf.DUMMYFUNCTION("""COMPUTED_VALUE"""),1.174E7)</f>
        <v>11740000</v>
      </c>
      <c r="X420" s="148">
        <f>IFERROR(__xludf.DUMMYFUNCTION("""COMPUTED_VALUE"""),0.0)</f>
        <v>0</v>
      </c>
      <c r="Y420" s="148">
        <f>IFERROR(__xludf.DUMMYFUNCTION("""COMPUTED_VALUE"""),0.0)</f>
        <v>0</v>
      </c>
      <c r="Z420" s="148"/>
    </row>
    <row r="421">
      <c r="A421" s="148">
        <f>IFERROR(__xludf.DUMMYFUNCTION("""COMPUTED_VALUE"""),1.1112212E7)</f>
        <v>11112212</v>
      </c>
      <c r="B421" s="148" t="str">
        <f>IFERROR(__xludf.DUMMYFUNCTION("""COMPUTED_VALUE"""),"沙滩节2024活动-解锁宝箱礼包钥匙")</f>
        <v>沙滩节2024活动-解锁宝箱礼包钥匙</v>
      </c>
      <c r="C421" s="148"/>
      <c r="D421" s="148" t="str">
        <f>IFERROR(__xludf.DUMMYFUNCTION("""COMPUTED_VALUE"""),"event")</f>
        <v>event</v>
      </c>
      <c r="E421" s="148">
        <f>IFERROR(__xludf.DUMMYFUNCTION("""COMPUTED_VALUE"""),0.0)</f>
        <v>0</v>
      </c>
      <c r="F421" s="148">
        <f>IFERROR(__xludf.DUMMYFUNCTION("""COMPUTED_VALUE"""),0.0)</f>
        <v>0</v>
      </c>
      <c r="G421" s="148">
        <f>IFERROR(__xludf.DUMMYFUNCTION("""COMPUTED_VALUE"""),1.5117142E7)</f>
        <v>15117142</v>
      </c>
      <c r="H421" s="148">
        <f>IFERROR(__xludf.DUMMYFUNCTION("""COMPUTED_VALUE"""),1.5112564E7)</f>
        <v>15112564</v>
      </c>
      <c r="I421" s="148" t="str">
        <f>IFERROR(__xludf.DUMMYFUNCTION("""COMPUTED_VALUE"""),"{}")</f>
        <v>{}</v>
      </c>
      <c r="J421" s="148" t="str">
        <f>IFERROR(__xludf.DUMMYFUNCTION("""COMPUTED_VALUE"""),"{""typ"":""lc"",""txt"":""LC_ITEM_seven_day_box_key_name""}")</f>
        <v>{"typ":"lc","txt":"LC_ITEM_seven_day_box_key_name"}</v>
      </c>
      <c r="K421" s="148" t="str">
        <f>IFERROR(__xludf.DUMMYFUNCTION("""COMPUTED_VALUE"""),"{""typ"":""lc"",""txt"":""LC_ITEM_seven_day_box_key_desc""}")</f>
        <v>{"typ":"lc","txt":"LC_ITEM_seven_day_box_key_desc"}</v>
      </c>
      <c r="L421" s="148" t="str">
        <f>IFERROR(__xludf.DUMMYFUNCTION("""COMPUTED_VALUE"""),"{}")</f>
        <v>{}</v>
      </c>
      <c r="M421" s="148">
        <f>IFERROR(__xludf.DUMMYFUNCTION("""COMPUTED_VALUE"""),10.0)</f>
        <v>10</v>
      </c>
      <c r="N421" s="148">
        <f>IFERROR(__xludf.DUMMYFUNCTION("""COMPUTED_VALUE"""),999999.0)</f>
        <v>999999</v>
      </c>
      <c r="O421" s="148">
        <f>IFERROR(__xludf.DUMMYFUNCTION("""COMPUTED_VALUE"""),99999.0)</f>
        <v>99999</v>
      </c>
      <c r="P421" s="148">
        <f>IFERROR(__xludf.DUMMYFUNCTION("""COMPUTED_VALUE"""),9999.0)</f>
        <v>9999</v>
      </c>
      <c r="Q421" s="148" t="str">
        <f>IFERROR(__xludf.DUMMYFUNCTION("""COMPUTED_VALUE"""),"[""bag_other""]")</f>
        <v>["bag_other"]</v>
      </c>
      <c r="R421" s="148" t="str">
        <f>IFERROR(__xludf.DUMMYFUNCTION("""COMPUTED_VALUE"""),"[]")</f>
        <v>[]</v>
      </c>
      <c r="S421" s="148" t="str">
        <f>IFERROR(__xludf.DUMMYFUNCTION("""COMPUTED_VALUE"""),"{}")</f>
        <v>{}</v>
      </c>
      <c r="T421" s="148">
        <f>IFERROR(__xludf.DUMMYFUNCTION("""COMPUTED_VALUE"""),-1.0)</f>
        <v>-1</v>
      </c>
      <c r="U421" s="148">
        <f>IFERROR(__xludf.DUMMYFUNCTION("""COMPUTED_VALUE"""),0.0)</f>
        <v>0</v>
      </c>
      <c r="V421" s="148" t="str">
        <f>IFERROR(__xludf.DUMMYFUNCTION("""COMPUTED_VALUE"""),"[]")</f>
        <v>[]</v>
      </c>
      <c r="W421" s="148">
        <f>IFERROR(__xludf.DUMMYFUNCTION("""COMPUTED_VALUE"""),1.174E7)</f>
        <v>11740000</v>
      </c>
      <c r="X421" s="148">
        <f>IFERROR(__xludf.DUMMYFUNCTION("""COMPUTED_VALUE"""),0.0)</f>
        <v>0</v>
      </c>
      <c r="Y421" s="148">
        <f>IFERROR(__xludf.DUMMYFUNCTION("""COMPUTED_VALUE"""),0.0)</f>
        <v>0</v>
      </c>
      <c r="Z421" s="148"/>
    </row>
    <row r="422">
      <c r="A422" s="148">
        <f>IFERROR(__xludf.DUMMYFUNCTION("""COMPUTED_VALUE"""),1.1112213E7)</f>
        <v>11112213</v>
      </c>
      <c r="B422" s="148" t="str">
        <f>IFERROR(__xludf.DUMMYFUNCTION("""COMPUTED_VALUE"""),"沙滩节2024-7日活动宝箱-显示用")</f>
        <v>沙滩节2024-7日活动宝箱-显示用</v>
      </c>
      <c r="C422" s="148"/>
      <c r="D422" s="148" t="str">
        <f>IFERROR(__xludf.DUMMYFUNCTION("""COMPUTED_VALUE"""),"event")</f>
        <v>event</v>
      </c>
      <c r="E422" s="148">
        <f>IFERROR(__xludf.DUMMYFUNCTION("""COMPUTED_VALUE"""),0.0)</f>
        <v>0</v>
      </c>
      <c r="F422" s="148">
        <f>IFERROR(__xludf.DUMMYFUNCTION("""COMPUTED_VALUE"""),0.0)</f>
        <v>0</v>
      </c>
      <c r="G422" s="148">
        <f>IFERROR(__xludf.DUMMYFUNCTION("""COMPUTED_VALUE"""),1.5117141E7)</f>
        <v>15117141</v>
      </c>
      <c r="H422" s="148">
        <f>IFERROR(__xludf.DUMMYFUNCTION("""COMPUTED_VALUE"""),1.5112564E7)</f>
        <v>15112564</v>
      </c>
      <c r="I422" s="148" t="str">
        <f>IFERROR(__xludf.DUMMYFUNCTION("""COMPUTED_VALUE"""),"{}")</f>
        <v>{}</v>
      </c>
      <c r="J422" s="148" t="str">
        <f>IFERROR(__xludf.DUMMYFUNCTION("""COMPUTED_VALUE"""),"{""typ"":""lc"",""txt"":""LC_ITEM_seven_day_box_name""}")</f>
        <v>{"typ":"lc","txt":"LC_ITEM_seven_day_box_name"}</v>
      </c>
      <c r="K422" s="148" t="str">
        <f>IFERROR(__xludf.DUMMYFUNCTION("""COMPUTED_VALUE"""),"{""typ"":""lc"",""txt"":""LC_ITEM_seven_day_box_desc""}")</f>
        <v>{"typ":"lc","txt":"LC_ITEM_seven_day_box_desc"}</v>
      </c>
      <c r="L422" s="148" t="str">
        <f>IFERROR(__xludf.DUMMYFUNCTION("""COMPUTED_VALUE"""),"{}")</f>
        <v>{}</v>
      </c>
      <c r="M422" s="148">
        <f>IFERROR(__xludf.DUMMYFUNCTION("""COMPUTED_VALUE"""),1.0)</f>
        <v>1</v>
      </c>
      <c r="N422" s="148">
        <f>IFERROR(__xludf.DUMMYFUNCTION("""COMPUTED_VALUE"""),999999.0)</f>
        <v>999999</v>
      </c>
      <c r="O422" s="148">
        <f>IFERROR(__xludf.DUMMYFUNCTION("""COMPUTED_VALUE"""),99999.0)</f>
        <v>99999</v>
      </c>
      <c r="P422" s="148">
        <f>IFERROR(__xludf.DUMMYFUNCTION("""COMPUTED_VALUE"""),9999.0)</f>
        <v>9999</v>
      </c>
      <c r="Q422" s="148" t="str">
        <f>IFERROR(__xludf.DUMMYFUNCTION("""COMPUTED_VALUE"""),"[]")</f>
        <v>[]</v>
      </c>
      <c r="R422" s="148" t="str">
        <f>IFERROR(__xludf.DUMMYFUNCTION("""COMPUTED_VALUE"""),"[]")</f>
        <v>[]</v>
      </c>
      <c r="S422" s="148" t="str">
        <f>IFERROR(__xludf.DUMMYFUNCTION("""COMPUTED_VALUE"""),"{""effect"":[{""typ"":""miss_lost_reward""}]}")</f>
        <v>{"effect":[{"typ":"miss_lost_reward"}]}</v>
      </c>
      <c r="T422" s="148">
        <f>IFERROR(__xludf.DUMMYFUNCTION("""COMPUTED_VALUE"""),-1.0)</f>
        <v>-1</v>
      </c>
      <c r="U422" s="148">
        <f>IFERROR(__xludf.DUMMYFUNCTION("""COMPUTED_VALUE"""),1.0)</f>
        <v>1</v>
      </c>
      <c r="V422" s="148" t="str">
        <f>IFERROR(__xludf.DUMMYFUNCTION("""COMPUTED_VALUE"""),"[]")</f>
        <v>[]</v>
      </c>
      <c r="W422" s="148">
        <f>IFERROR(__xludf.DUMMYFUNCTION("""COMPUTED_VALUE"""),1.174E7)</f>
        <v>11740000</v>
      </c>
      <c r="X422" s="148">
        <f>IFERROR(__xludf.DUMMYFUNCTION("""COMPUTED_VALUE"""),0.0)</f>
        <v>0</v>
      </c>
      <c r="Y422" s="148">
        <f>IFERROR(__xludf.DUMMYFUNCTION("""COMPUTED_VALUE"""),0.0)</f>
        <v>0</v>
      </c>
      <c r="Z422" s="148"/>
    </row>
    <row r="423">
      <c r="A423" s="148">
        <f>IFERROR(__xludf.DUMMYFUNCTION("""COMPUTED_VALUE"""),1.1112214E7)</f>
        <v>11112214</v>
      </c>
      <c r="B423" s="148" t="str">
        <f>IFERROR(__xludf.DUMMYFUNCTION("""COMPUTED_VALUE"""),"冰爽畅饮券-2024沙滩节抽奖道具")</f>
        <v>冰爽畅饮券-2024沙滩节抽奖道具</v>
      </c>
      <c r="C423" s="148"/>
      <c r="D423" s="148" t="str">
        <f>IFERROR(__xludf.DUMMYFUNCTION("""COMPUTED_VALUE"""),"event")</f>
        <v>event</v>
      </c>
      <c r="E423" s="148">
        <f>IFERROR(__xludf.DUMMYFUNCTION("""COMPUTED_VALUE"""),0.0)</f>
        <v>0</v>
      </c>
      <c r="F423" s="148">
        <f>IFERROR(__xludf.DUMMYFUNCTION("""COMPUTED_VALUE"""),0.0)</f>
        <v>0</v>
      </c>
      <c r="G423" s="148">
        <f>IFERROR(__xludf.DUMMYFUNCTION("""COMPUTED_VALUE"""),1.5116708E7)</f>
        <v>15116708</v>
      </c>
      <c r="H423" s="148">
        <f>IFERROR(__xludf.DUMMYFUNCTION("""COMPUTED_VALUE"""),1.5112564E7)</f>
        <v>15112564</v>
      </c>
      <c r="I423" s="148" t="str">
        <f>IFERROR(__xludf.DUMMYFUNCTION("""COMPUTED_VALUE"""),"{}")</f>
        <v>{}</v>
      </c>
      <c r="J423" s="148" t="str">
        <f>IFERROR(__xludf.DUMMYFUNCTION("""COMPUTED_VALUE"""),"{""typ"":""lc"",""txt"":""LC_ITEM_beach_gacha_2023_item_title""}")</f>
        <v>{"typ":"lc","txt":"LC_ITEM_beach_gacha_2023_item_title"}</v>
      </c>
      <c r="K423" s="148" t="str">
        <f>IFERROR(__xludf.DUMMYFUNCTION("""COMPUTED_VALUE"""),"{""typ"":""lc"",""txt"":""LC_ITEM_beach_gacha_2023_item_desc""}")</f>
        <v>{"typ":"lc","txt":"LC_ITEM_beach_gacha_2023_item_desc"}</v>
      </c>
      <c r="L423" s="148" t="str">
        <f>IFERROR(__xludf.DUMMYFUNCTION("""COMPUTED_VALUE"""),"{}")</f>
        <v>{}</v>
      </c>
      <c r="M423" s="148">
        <f>IFERROR(__xludf.DUMMYFUNCTION("""COMPUTED_VALUE"""),500.0)</f>
        <v>500</v>
      </c>
      <c r="N423" s="148">
        <f>IFERROR(__xludf.DUMMYFUNCTION("""COMPUTED_VALUE"""),999999.0)</f>
        <v>999999</v>
      </c>
      <c r="O423" s="148">
        <f>IFERROR(__xludf.DUMMYFUNCTION("""COMPUTED_VALUE"""),99999.0)</f>
        <v>99999</v>
      </c>
      <c r="P423" s="148">
        <f>IFERROR(__xludf.DUMMYFUNCTION("""COMPUTED_VALUE"""),9.99999999E8)</f>
        <v>999999999</v>
      </c>
      <c r="Q423" s="148" t="str">
        <f>IFERROR(__xludf.DUMMYFUNCTION("""COMPUTED_VALUE"""),"[""bag_other""]")</f>
        <v>["bag_other"]</v>
      </c>
      <c r="R423" s="148" t="str">
        <f>IFERROR(__xludf.DUMMYFUNCTION("""COMPUTED_VALUE"""),"[""bag""]")</f>
        <v>["bag"]</v>
      </c>
      <c r="S423" s="148" t="str">
        <f>IFERROR(__xludf.DUMMYFUNCTION("""COMPUTED_VALUE"""),"{}")</f>
        <v>{}</v>
      </c>
      <c r="T423" s="148">
        <f>IFERROR(__xludf.DUMMYFUNCTION("""COMPUTED_VALUE"""),1.0)</f>
        <v>1</v>
      </c>
      <c r="U423" s="148">
        <f>IFERROR(__xludf.DUMMYFUNCTION("""COMPUTED_VALUE"""),0.0)</f>
        <v>0</v>
      </c>
      <c r="V423" s="148" t="str">
        <f>IFERROR(__xludf.DUMMYFUNCTION("""COMPUTED_VALUE"""),"[]")</f>
        <v>[]</v>
      </c>
      <c r="W423" s="148">
        <f>IFERROR(__xludf.DUMMYFUNCTION("""COMPUTED_VALUE"""),1.174E7)</f>
        <v>11740000</v>
      </c>
      <c r="X423" s="148">
        <f>IFERROR(__xludf.DUMMYFUNCTION("""COMPUTED_VALUE"""),0.0)</f>
        <v>0</v>
      </c>
      <c r="Y423" s="148">
        <f>IFERROR(__xludf.DUMMYFUNCTION("""COMPUTED_VALUE"""),0.0)</f>
        <v>0</v>
      </c>
      <c r="Z423" s="148"/>
    </row>
    <row r="424">
      <c r="A424" s="148">
        <f>IFERROR(__xludf.DUMMYFUNCTION("""COMPUTED_VALUE"""),1.1112215E7)</f>
        <v>11112215</v>
      </c>
      <c r="B424" s="148" t="str">
        <f>IFERROR(__xludf.DUMMYFUNCTION("""COMPUTED_VALUE"""),"2024沙滩节行军特效-夏荷幽幽-1天限时")</f>
        <v>2024沙滩节行军特效-夏荷幽幽-1天限时</v>
      </c>
      <c r="C424" s="148"/>
      <c r="D424" s="148" t="str">
        <f>IFERROR(__xludf.DUMMYFUNCTION("""COMPUTED_VALUE"""),"marching_effect")</f>
        <v>marching_effect</v>
      </c>
      <c r="E424" s="148">
        <f>IFERROR(__xludf.DUMMYFUNCTION("""COMPUTED_VALUE"""),0.0)</f>
        <v>0</v>
      </c>
      <c r="F424" s="148">
        <f>IFERROR(__xludf.DUMMYFUNCTION("""COMPUTED_VALUE"""),408200.0)</f>
        <v>408200</v>
      </c>
      <c r="G424" s="148">
        <f>IFERROR(__xludf.DUMMYFUNCTION("""COMPUTED_VALUE"""),1.5119858E7)</f>
        <v>15119858</v>
      </c>
      <c r="H424" s="148">
        <f>IFERROR(__xludf.DUMMYFUNCTION("""COMPUTED_VALUE"""),1.511256E7)</f>
        <v>15112560</v>
      </c>
      <c r="I424" s="148" t="str">
        <f>IFERROR(__xludf.DUMMYFUNCTION("""COMPUTED_VALUE"""),"{""typ"":""lc"",""txt"":""LC_ITEM_time_day_upper_show"",""args"":[{""typ"":""int_unit"",""val"":1}]}")</f>
        <v>{"typ":"lc","txt":"LC_ITEM_time_day_upper_show","args":[{"typ":"int_unit","val":1}]}</v>
      </c>
      <c r="J424" s="148" t="str">
        <f>IFERROR(__xludf.DUMMYFUNCTION("""COMPUTED_VALUE"""),"{""typ"":""lc"",""txt"":""LC_ITEM_2024_beach_march_effect_name""}")</f>
        <v>{"typ":"lc","txt":"LC_ITEM_2024_beach_march_effect_name"}</v>
      </c>
      <c r="K424" s="148" t="str">
        <f>IFERROR(__xludf.DUMMYFUNCTION("""COMPUTED_VALUE"""),"{""typ"":""lc"",""txt"":""LC_ITEM_2024_beach_march_effect_name_desc""}")</f>
        <v>{"typ":"lc","txt":"LC_ITEM_2024_beach_march_effect_name_desc"}</v>
      </c>
      <c r="L424" s="148" t="str">
        <f>IFERROR(__xludf.DUMMYFUNCTION("""COMPUTED_VALUE"""),"{""typ"":""lc"",""txt"":""LC_ITEM_2024_beach_march_effect_usetip_1""}")</f>
        <v>{"typ":"lc","txt":"LC_ITEM_2024_beach_march_effect_usetip_1"}</v>
      </c>
      <c r="M424" s="148">
        <f>IFERROR(__xludf.DUMMYFUNCTION("""COMPUTED_VALUE"""),50.0)</f>
        <v>50</v>
      </c>
      <c r="N424" s="148">
        <f>IFERROR(__xludf.DUMMYFUNCTION("""COMPUTED_VALUE"""),999999.0)</f>
        <v>999999</v>
      </c>
      <c r="O424" s="148">
        <f>IFERROR(__xludf.DUMMYFUNCTION("""COMPUTED_VALUE"""),99999.0)</f>
        <v>99999</v>
      </c>
      <c r="P424" s="148">
        <f>IFERROR(__xludf.DUMMYFUNCTION("""COMPUTED_VALUE"""),1.0)</f>
        <v>1</v>
      </c>
      <c r="Q424" s="148" t="str">
        <f>IFERROR(__xludf.DUMMYFUNCTION("""COMPUTED_VALUE"""),"[""bag_other""]")</f>
        <v>["bag_other"]</v>
      </c>
      <c r="R424" s="148" t="str">
        <f>IFERROR(__xludf.DUMMYFUNCTION("""COMPUTED_VALUE"""),"[""bag"",""13650122""]")</f>
        <v>["bag","13650122"]</v>
      </c>
      <c r="S424" s="148" t="str">
        <f>IFERROR(__xludf.DUMMYFUNCTION("""COMPUTED_VALUE"""),"{""effect"":[{""typ"":""marching_effect"",""id"":13650122,""val"":86400000},{""typ"":""vm"",""id"":11151001,""val"":50}]}")</f>
        <v>{"effect":[{"typ":"marching_effect","id":13650122,"val":86400000},{"typ":"vm","id":11151001,"val":50}]}</v>
      </c>
      <c r="T424" s="148">
        <f>IFERROR(__xludf.DUMMYFUNCTION("""COMPUTED_VALUE"""),-1.0)</f>
        <v>-1</v>
      </c>
      <c r="U424" s="148">
        <f>IFERROR(__xludf.DUMMYFUNCTION("""COMPUTED_VALUE"""),0.0)</f>
        <v>0</v>
      </c>
      <c r="V424" s="148" t="str">
        <f>IFERROR(__xludf.DUMMYFUNCTION("""COMPUTED_VALUE"""),"[]")</f>
        <v>[]</v>
      </c>
      <c r="W424" s="148">
        <f>IFERROR(__xludf.DUMMYFUNCTION("""COMPUTED_VALUE"""),1.174E7)</f>
        <v>11740000</v>
      </c>
      <c r="X424" s="148">
        <f>IFERROR(__xludf.DUMMYFUNCTION("""COMPUTED_VALUE"""),0.0)</f>
        <v>0</v>
      </c>
      <c r="Y424" s="148">
        <f>IFERROR(__xludf.DUMMYFUNCTION("""COMPUTED_VALUE"""),0.0)</f>
        <v>0</v>
      </c>
      <c r="Z424" s="148"/>
    </row>
    <row r="425">
      <c r="A425" s="148">
        <f>IFERROR(__xludf.DUMMYFUNCTION("""COMPUTED_VALUE"""),1.1112216E7)</f>
        <v>11112216</v>
      </c>
      <c r="B425" s="148" t="str">
        <f>IFERROR(__xludf.DUMMYFUNCTION("""COMPUTED_VALUE"""),"2024沙滩节行军特效-夏荷幽幽-3天限时")</f>
        <v>2024沙滩节行军特效-夏荷幽幽-3天限时</v>
      </c>
      <c r="C425" s="148"/>
      <c r="D425" s="148" t="str">
        <f>IFERROR(__xludf.DUMMYFUNCTION("""COMPUTED_VALUE"""),"marching_effect")</f>
        <v>marching_effect</v>
      </c>
      <c r="E425" s="148">
        <f>IFERROR(__xludf.DUMMYFUNCTION("""COMPUTED_VALUE"""),0.0)</f>
        <v>0</v>
      </c>
      <c r="F425" s="148">
        <f>IFERROR(__xludf.DUMMYFUNCTION("""COMPUTED_VALUE"""),408199.0)</f>
        <v>408199</v>
      </c>
      <c r="G425" s="148">
        <f>IFERROR(__xludf.DUMMYFUNCTION("""COMPUTED_VALUE"""),1.5119858E7)</f>
        <v>15119858</v>
      </c>
      <c r="H425" s="148">
        <f>IFERROR(__xludf.DUMMYFUNCTION("""COMPUTED_VALUE"""),1.5112561E7)</f>
        <v>15112561</v>
      </c>
      <c r="I425" s="148" t="str">
        <f>IFERROR(__xludf.DUMMYFUNCTION("""COMPUTED_VALUE"""),"{""typ"":""lc"",""txt"":""LC_ITEM_time_day_upper_show"",""args"":[{""typ"":""int_unit"",""val"":3}]}")</f>
        <v>{"typ":"lc","txt":"LC_ITEM_time_day_upper_show","args":[{"typ":"int_unit","val":3}]}</v>
      </c>
      <c r="J425" s="148" t="str">
        <f>IFERROR(__xludf.DUMMYFUNCTION("""COMPUTED_VALUE"""),"{""typ"":""lc"",""txt"":""LC_ITEM_2024_beach_march_effect_name""}")</f>
        <v>{"typ":"lc","txt":"LC_ITEM_2024_beach_march_effect_name"}</v>
      </c>
      <c r="K425" s="148" t="str">
        <f>IFERROR(__xludf.DUMMYFUNCTION("""COMPUTED_VALUE"""),"{""typ"":""lc"",""txt"":""LC_ITEM_2024_beach_march_effect_name_desc""}")</f>
        <v>{"typ":"lc","txt":"LC_ITEM_2024_beach_march_effect_name_desc"}</v>
      </c>
      <c r="L425" s="148" t="str">
        <f>IFERROR(__xludf.DUMMYFUNCTION("""COMPUTED_VALUE"""),"{""typ"":""lc"",""txt"":""LC_ITEM_2024_beach_march_effect_usetip_3""}")</f>
        <v>{"typ":"lc","txt":"LC_ITEM_2024_beach_march_effect_usetip_3"}</v>
      </c>
      <c r="M425" s="148">
        <f>IFERROR(__xludf.DUMMYFUNCTION("""COMPUTED_VALUE"""),200.0)</f>
        <v>200</v>
      </c>
      <c r="N425" s="148">
        <f>IFERROR(__xludf.DUMMYFUNCTION("""COMPUTED_VALUE"""),999999.0)</f>
        <v>999999</v>
      </c>
      <c r="O425" s="148">
        <f>IFERROR(__xludf.DUMMYFUNCTION("""COMPUTED_VALUE"""),99999.0)</f>
        <v>99999</v>
      </c>
      <c r="P425" s="148">
        <f>IFERROR(__xludf.DUMMYFUNCTION("""COMPUTED_VALUE"""),1.0)</f>
        <v>1</v>
      </c>
      <c r="Q425" s="148" t="str">
        <f>IFERROR(__xludf.DUMMYFUNCTION("""COMPUTED_VALUE"""),"[""bag_other""]")</f>
        <v>["bag_other"]</v>
      </c>
      <c r="R425" s="148" t="str">
        <f>IFERROR(__xludf.DUMMYFUNCTION("""COMPUTED_VALUE"""),"[""bag"",""13650122""]")</f>
        <v>["bag","13650122"]</v>
      </c>
      <c r="S425" s="148" t="str">
        <f>IFERROR(__xludf.DUMMYFUNCTION("""COMPUTED_VALUE"""),"{""effect"":[{""typ"":""marching_effect"",""id"":13650122,""val"":259200000},{""typ"":""vm"",""id"":11151001,""val"":200}]}")</f>
        <v>{"effect":[{"typ":"marching_effect","id":13650122,"val":259200000},{"typ":"vm","id":11151001,"val":200}]}</v>
      </c>
      <c r="T425" s="148">
        <f>IFERROR(__xludf.DUMMYFUNCTION("""COMPUTED_VALUE"""),-1.0)</f>
        <v>-1</v>
      </c>
      <c r="U425" s="148">
        <f>IFERROR(__xludf.DUMMYFUNCTION("""COMPUTED_VALUE"""),0.0)</f>
        <v>0</v>
      </c>
      <c r="V425" s="148" t="str">
        <f>IFERROR(__xludf.DUMMYFUNCTION("""COMPUTED_VALUE"""),"[]")</f>
        <v>[]</v>
      </c>
      <c r="W425" s="148">
        <f>IFERROR(__xludf.DUMMYFUNCTION("""COMPUTED_VALUE"""),1.174E7)</f>
        <v>11740000</v>
      </c>
      <c r="X425" s="148">
        <f>IFERROR(__xludf.DUMMYFUNCTION("""COMPUTED_VALUE"""),0.0)</f>
        <v>0</v>
      </c>
      <c r="Y425" s="148">
        <f>IFERROR(__xludf.DUMMYFUNCTION("""COMPUTED_VALUE"""),0.0)</f>
        <v>0</v>
      </c>
      <c r="Z425" s="148"/>
    </row>
    <row r="426">
      <c r="A426" s="148">
        <f>IFERROR(__xludf.DUMMYFUNCTION("""COMPUTED_VALUE"""),1.1112217E7)</f>
        <v>11112217</v>
      </c>
      <c r="B426" s="148" t="str">
        <f>IFERROR(__xludf.DUMMYFUNCTION("""COMPUTED_VALUE"""),"2024沙滩节行军特效-夏荷幽幽-7天限时")</f>
        <v>2024沙滩节行军特效-夏荷幽幽-7天限时</v>
      </c>
      <c r="C426" s="148"/>
      <c r="D426" s="148" t="str">
        <f>IFERROR(__xludf.DUMMYFUNCTION("""COMPUTED_VALUE"""),"marching_effect")</f>
        <v>marching_effect</v>
      </c>
      <c r="E426" s="148">
        <f>IFERROR(__xludf.DUMMYFUNCTION("""COMPUTED_VALUE"""),0.0)</f>
        <v>0</v>
      </c>
      <c r="F426" s="148">
        <f>IFERROR(__xludf.DUMMYFUNCTION("""COMPUTED_VALUE"""),408198.0)</f>
        <v>408198</v>
      </c>
      <c r="G426" s="148">
        <f>IFERROR(__xludf.DUMMYFUNCTION("""COMPUTED_VALUE"""),1.5119858E7)</f>
        <v>15119858</v>
      </c>
      <c r="H426" s="148">
        <f>IFERROR(__xludf.DUMMYFUNCTION("""COMPUTED_VALUE"""),1.5112562E7)</f>
        <v>15112562</v>
      </c>
      <c r="I426" s="148" t="str">
        <f>IFERROR(__xludf.DUMMYFUNCTION("""COMPUTED_VALUE"""),"{""typ"":""lc"",""txt"":""LC_ITEM_time_day_upper_show"",""args"":[{""typ"":""int_unit"",""val"":7}]}")</f>
        <v>{"typ":"lc","txt":"LC_ITEM_time_day_upper_show","args":[{"typ":"int_unit","val":7}]}</v>
      </c>
      <c r="J426" s="148" t="str">
        <f>IFERROR(__xludf.DUMMYFUNCTION("""COMPUTED_VALUE"""),"{""typ"":""lc"",""txt"":""LC_ITEM_2024_beach_march_effect_name""}")</f>
        <v>{"typ":"lc","txt":"LC_ITEM_2024_beach_march_effect_name"}</v>
      </c>
      <c r="K426" s="148" t="str">
        <f>IFERROR(__xludf.DUMMYFUNCTION("""COMPUTED_VALUE"""),"{""typ"":""lc"",""txt"":""LC_ITEM_2024_beach_march_effect_name_desc""}")</f>
        <v>{"typ":"lc","txt":"LC_ITEM_2024_beach_march_effect_name_desc"}</v>
      </c>
      <c r="L426" s="148" t="str">
        <f>IFERROR(__xludf.DUMMYFUNCTION("""COMPUTED_VALUE"""),"{""typ"":""lc"",""txt"":""LC_ITEM_2024_beach_march_effect_usetip_7""}")</f>
        <v>{"typ":"lc","txt":"LC_ITEM_2024_beach_march_effect_usetip_7"}</v>
      </c>
      <c r="M426" s="148">
        <f>IFERROR(__xludf.DUMMYFUNCTION("""COMPUTED_VALUE"""),500.0)</f>
        <v>500</v>
      </c>
      <c r="N426" s="148">
        <f>IFERROR(__xludf.DUMMYFUNCTION("""COMPUTED_VALUE"""),999999.0)</f>
        <v>999999</v>
      </c>
      <c r="O426" s="148">
        <f>IFERROR(__xludf.DUMMYFUNCTION("""COMPUTED_VALUE"""),99999.0)</f>
        <v>99999</v>
      </c>
      <c r="P426" s="148">
        <f>IFERROR(__xludf.DUMMYFUNCTION("""COMPUTED_VALUE"""),1.0)</f>
        <v>1</v>
      </c>
      <c r="Q426" s="148" t="str">
        <f>IFERROR(__xludf.DUMMYFUNCTION("""COMPUTED_VALUE"""),"[""bag_other""]")</f>
        <v>["bag_other"]</v>
      </c>
      <c r="R426" s="148" t="str">
        <f>IFERROR(__xludf.DUMMYFUNCTION("""COMPUTED_VALUE"""),"[""bag"",""13650122""]")</f>
        <v>["bag","13650122"]</v>
      </c>
      <c r="S426" s="148" t="str">
        <f>IFERROR(__xludf.DUMMYFUNCTION("""COMPUTED_VALUE"""),"{""effect"":[{""typ"":""marching_effect"",""id"":13650122,""val"":604800000},{""typ"":""vm"",""id"":11151001,""val"":500}]}")</f>
        <v>{"effect":[{"typ":"marching_effect","id":13650122,"val":604800000},{"typ":"vm","id":11151001,"val":500}]}</v>
      </c>
      <c r="T426" s="148">
        <f>IFERROR(__xludf.DUMMYFUNCTION("""COMPUTED_VALUE"""),-1.0)</f>
        <v>-1</v>
      </c>
      <c r="U426" s="148">
        <f>IFERROR(__xludf.DUMMYFUNCTION("""COMPUTED_VALUE"""),0.0)</f>
        <v>0</v>
      </c>
      <c r="V426" s="148" t="str">
        <f>IFERROR(__xludf.DUMMYFUNCTION("""COMPUTED_VALUE"""),"[]")</f>
        <v>[]</v>
      </c>
      <c r="W426" s="148">
        <f>IFERROR(__xludf.DUMMYFUNCTION("""COMPUTED_VALUE"""),1.174E7)</f>
        <v>11740000</v>
      </c>
      <c r="X426" s="148">
        <f>IFERROR(__xludf.DUMMYFUNCTION("""COMPUTED_VALUE"""),0.0)</f>
        <v>0</v>
      </c>
      <c r="Y426" s="148">
        <f>IFERROR(__xludf.DUMMYFUNCTION("""COMPUTED_VALUE"""),0.0)</f>
        <v>0</v>
      </c>
      <c r="Z426" s="148"/>
    </row>
    <row r="427">
      <c r="A427" s="148">
        <f>IFERROR(__xludf.DUMMYFUNCTION("""COMPUTED_VALUE"""),1.1112218E7)</f>
        <v>11112218</v>
      </c>
      <c r="B427" s="148" t="str">
        <f>IFERROR(__xludf.DUMMYFUNCTION("""COMPUTED_VALUE"""),"2024沙滩节行军特效-夏荷幽幽-14天限时")</f>
        <v>2024沙滩节行军特效-夏荷幽幽-14天限时</v>
      </c>
      <c r="C427" s="148"/>
      <c r="D427" s="148" t="str">
        <f>IFERROR(__xludf.DUMMYFUNCTION("""COMPUTED_VALUE"""),"marching_effect")</f>
        <v>marching_effect</v>
      </c>
      <c r="E427" s="148">
        <f>IFERROR(__xludf.DUMMYFUNCTION("""COMPUTED_VALUE"""),0.0)</f>
        <v>0</v>
      </c>
      <c r="F427" s="148">
        <f>IFERROR(__xludf.DUMMYFUNCTION("""COMPUTED_VALUE"""),408197.0)</f>
        <v>408197</v>
      </c>
      <c r="G427" s="148">
        <f>IFERROR(__xludf.DUMMYFUNCTION("""COMPUTED_VALUE"""),1.5119858E7)</f>
        <v>15119858</v>
      </c>
      <c r="H427" s="148">
        <f>IFERROR(__xludf.DUMMYFUNCTION("""COMPUTED_VALUE"""),1.5112563E7)</f>
        <v>15112563</v>
      </c>
      <c r="I427" s="148" t="str">
        <f>IFERROR(__xludf.DUMMYFUNCTION("""COMPUTED_VALUE"""),"{""typ"":""lc"",""txt"":""LC_ITEM_time_day_upper_show"",""args"":[{""typ"":""int_unit"",""val"":14}]}")</f>
        <v>{"typ":"lc","txt":"LC_ITEM_time_day_upper_show","args":[{"typ":"int_unit","val":14}]}</v>
      </c>
      <c r="J427" s="148" t="str">
        <f>IFERROR(__xludf.DUMMYFUNCTION("""COMPUTED_VALUE"""),"{""typ"":""lc"",""txt"":""LC_ITEM_2024_beach_march_effect_name""}")</f>
        <v>{"typ":"lc","txt":"LC_ITEM_2024_beach_march_effect_name"}</v>
      </c>
      <c r="K427" s="148" t="str">
        <f>IFERROR(__xludf.DUMMYFUNCTION("""COMPUTED_VALUE"""),"{""typ"":""lc"",""txt"":""LC_ITEM_2024_beach_march_effect_name_desc""}")</f>
        <v>{"typ":"lc","txt":"LC_ITEM_2024_beach_march_effect_name_desc"}</v>
      </c>
      <c r="L427" s="148" t="str">
        <f>IFERROR(__xludf.DUMMYFUNCTION("""COMPUTED_VALUE"""),"{""typ"":""lc"",""txt"":""LC_ITEM_2024_beach_march_effect_usetip_14""}")</f>
        <v>{"typ":"lc","txt":"LC_ITEM_2024_beach_march_effect_usetip_14"}</v>
      </c>
      <c r="M427" s="148">
        <f>IFERROR(__xludf.DUMMYFUNCTION("""COMPUTED_VALUE"""),1000.0)</f>
        <v>1000</v>
      </c>
      <c r="N427" s="148">
        <f>IFERROR(__xludf.DUMMYFUNCTION("""COMPUTED_VALUE"""),999999.0)</f>
        <v>999999</v>
      </c>
      <c r="O427" s="148">
        <f>IFERROR(__xludf.DUMMYFUNCTION("""COMPUTED_VALUE"""),99999.0)</f>
        <v>99999</v>
      </c>
      <c r="P427" s="148">
        <f>IFERROR(__xludf.DUMMYFUNCTION("""COMPUTED_VALUE"""),1.0)</f>
        <v>1</v>
      </c>
      <c r="Q427" s="148" t="str">
        <f>IFERROR(__xludf.DUMMYFUNCTION("""COMPUTED_VALUE"""),"[""bag_other""]")</f>
        <v>["bag_other"]</v>
      </c>
      <c r="R427" s="148" t="str">
        <f>IFERROR(__xludf.DUMMYFUNCTION("""COMPUTED_VALUE"""),"[""bag"",""13650122""]")</f>
        <v>["bag","13650122"]</v>
      </c>
      <c r="S427" s="148" t="str">
        <f>IFERROR(__xludf.DUMMYFUNCTION("""COMPUTED_VALUE"""),"{""effect"":[{""typ"":""marching_effect"",""id"":13650122,""val"":1209600000},{""typ"":""vm"",""id"":11151001,""val"":1000}]}")</f>
        <v>{"effect":[{"typ":"marching_effect","id":13650122,"val":1209600000},{"typ":"vm","id":11151001,"val":1000}]}</v>
      </c>
      <c r="T427" s="148">
        <f>IFERROR(__xludf.DUMMYFUNCTION("""COMPUTED_VALUE"""),-1.0)</f>
        <v>-1</v>
      </c>
      <c r="U427" s="148">
        <f>IFERROR(__xludf.DUMMYFUNCTION("""COMPUTED_VALUE"""),0.0)</f>
        <v>0</v>
      </c>
      <c r="V427" s="148" t="str">
        <f>IFERROR(__xludf.DUMMYFUNCTION("""COMPUTED_VALUE"""),"[]")</f>
        <v>[]</v>
      </c>
      <c r="W427" s="148">
        <f>IFERROR(__xludf.DUMMYFUNCTION("""COMPUTED_VALUE"""),1.174E7)</f>
        <v>11740000</v>
      </c>
      <c r="X427" s="148">
        <f>IFERROR(__xludf.DUMMYFUNCTION("""COMPUTED_VALUE"""),0.0)</f>
        <v>0</v>
      </c>
      <c r="Y427" s="148">
        <f>IFERROR(__xludf.DUMMYFUNCTION("""COMPUTED_VALUE"""),0.0)</f>
        <v>0</v>
      </c>
      <c r="Z427" s="148"/>
    </row>
    <row r="428">
      <c r="A428" s="148">
        <f>IFERROR(__xludf.DUMMYFUNCTION("""COMPUTED_VALUE"""),1.1112219E7)</f>
        <v>11112219</v>
      </c>
      <c r="B428" s="148" t="str">
        <f>IFERROR(__xludf.DUMMYFUNCTION("""COMPUTED_VALUE"""),"2024沙滩节行军特效-夏荷幽幽-30天限时")</f>
        <v>2024沙滩节行军特效-夏荷幽幽-30天限时</v>
      </c>
      <c r="C428" s="148"/>
      <c r="D428" s="148" t="str">
        <f>IFERROR(__xludf.DUMMYFUNCTION("""COMPUTED_VALUE"""),"marching_effect")</f>
        <v>marching_effect</v>
      </c>
      <c r="E428" s="148">
        <f>IFERROR(__xludf.DUMMYFUNCTION("""COMPUTED_VALUE"""),0.0)</f>
        <v>0</v>
      </c>
      <c r="F428" s="148">
        <f>IFERROR(__xludf.DUMMYFUNCTION("""COMPUTED_VALUE"""),408197.0)</f>
        <v>408197</v>
      </c>
      <c r="G428" s="148">
        <f>IFERROR(__xludf.DUMMYFUNCTION("""COMPUTED_VALUE"""),1.5119858E7)</f>
        <v>15119858</v>
      </c>
      <c r="H428" s="148">
        <f>IFERROR(__xludf.DUMMYFUNCTION("""COMPUTED_VALUE"""),1.5112563E7)</f>
        <v>15112563</v>
      </c>
      <c r="I428" s="148" t="str">
        <f>IFERROR(__xludf.DUMMYFUNCTION("""COMPUTED_VALUE"""),"{""typ"":""lc"",""txt"":""LC_ITEM_time_day_upper_show"",""args"":[{""typ"":""int_unit"",""val"":30}]}")</f>
        <v>{"typ":"lc","txt":"LC_ITEM_time_day_upper_show","args":[{"typ":"int_unit","val":30}]}</v>
      </c>
      <c r="J428" s="148" t="str">
        <f>IFERROR(__xludf.DUMMYFUNCTION("""COMPUTED_VALUE"""),"{""typ"":""lc"",""txt"":""LC_ITEM_2024_beach_march_effect_name""}")</f>
        <v>{"typ":"lc","txt":"LC_ITEM_2024_beach_march_effect_name"}</v>
      </c>
      <c r="K428" s="148" t="str">
        <f>IFERROR(__xludf.DUMMYFUNCTION("""COMPUTED_VALUE"""),"{""typ"":""lc"",""txt"":""LC_ITEM_2024_beach_march_effect_name_desc""}")</f>
        <v>{"typ":"lc","txt":"LC_ITEM_2024_beach_march_effect_name_desc"}</v>
      </c>
      <c r="L428" s="148" t="str">
        <f>IFERROR(__xludf.DUMMYFUNCTION("""COMPUTED_VALUE"""),"{""typ"":""lc"",""txt"":""LC_ITEM_2024_beach_march_effect_usetip_30""}")</f>
        <v>{"typ":"lc","txt":"LC_ITEM_2024_beach_march_effect_usetip_30"}</v>
      </c>
      <c r="M428" s="148">
        <f>IFERROR(__xludf.DUMMYFUNCTION("""COMPUTED_VALUE"""),1000.0)</f>
        <v>1000</v>
      </c>
      <c r="N428" s="148">
        <f>IFERROR(__xludf.DUMMYFUNCTION("""COMPUTED_VALUE"""),999999.0)</f>
        <v>999999</v>
      </c>
      <c r="O428" s="148">
        <f>IFERROR(__xludf.DUMMYFUNCTION("""COMPUTED_VALUE"""),99999.0)</f>
        <v>99999</v>
      </c>
      <c r="P428" s="148">
        <f>IFERROR(__xludf.DUMMYFUNCTION("""COMPUTED_VALUE"""),1.0)</f>
        <v>1</v>
      </c>
      <c r="Q428" s="148" t="str">
        <f>IFERROR(__xludf.DUMMYFUNCTION("""COMPUTED_VALUE"""),"[""bag_other""]")</f>
        <v>["bag_other"]</v>
      </c>
      <c r="R428" s="148" t="str">
        <f>IFERROR(__xludf.DUMMYFUNCTION("""COMPUTED_VALUE"""),"[""bag"",""13650122""]")</f>
        <v>["bag","13650122"]</v>
      </c>
      <c r="S428" s="148" t="str">
        <f>IFERROR(__xludf.DUMMYFUNCTION("""COMPUTED_VALUE"""),"{""effect"":[{""typ"":""marching_effect"",""id"":13650122,""val"":2592000000},{""typ"":""vm"",""id"":11151001,""val"":1000}]}")</f>
        <v>{"effect":[{"typ":"marching_effect","id":13650122,"val":2592000000},{"typ":"vm","id":11151001,"val":1000}]}</v>
      </c>
      <c r="T428" s="148">
        <f>IFERROR(__xludf.DUMMYFUNCTION("""COMPUTED_VALUE"""),-1.0)</f>
        <v>-1</v>
      </c>
      <c r="U428" s="148">
        <f>IFERROR(__xludf.DUMMYFUNCTION("""COMPUTED_VALUE"""),0.0)</f>
        <v>0</v>
      </c>
      <c r="V428" s="148" t="str">
        <f>IFERROR(__xludf.DUMMYFUNCTION("""COMPUTED_VALUE"""),"[]")</f>
        <v>[]</v>
      </c>
      <c r="W428" s="148">
        <f>IFERROR(__xludf.DUMMYFUNCTION("""COMPUTED_VALUE"""),1.174E7)</f>
        <v>11740000</v>
      </c>
      <c r="X428" s="148">
        <f>IFERROR(__xludf.DUMMYFUNCTION("""COMPUTED_VALUE"""),0.0)</f>
        <v>0</v>
      </c>
      <c r="Y428" s="148">
        <f>IFERROR(__xludf.DUMMYFUNCTION("""COMPUTED_VALUE"""),0.0)</f>
        <v>0</v>
      </c>
      <c r="Z428" s="148"/>
    </row>
    <row r="429">
      <c r="A429" s="148">
        <f>IFERROR(__xludf.DUMMYFUNCTION("""COMPUTED_VALUE"""),1.111222E7)</f>
        <v>11112220</v>
      </c>
      <c r="B429" s="148" t="str">
        <f>IFERROR(__xludf.DUMMYFUNCTION("""COMPUTED_VALUE"""),"2024沙滩节行军特效-夏荷幽幽-永久")</f>
        <v>2024沙滩节行军特效-夏荷幽幽-永久</v>
      </c>
      <c r="C429" s="148"/>
      <c r="D429" s="148" t="str">
        <f>IFERROR(__xludf.DUMMYFUNCTION("""COMPUTED_VALUE"""),"marching_effect")</f>
        <v>marching_effect</v>
      </c>
      <c r="E429" s="148">
        <f>IFERROR(__xludf.DUMMYFUNCTION("""COMPUTED_VALUE"""),0.0)</f>
        <v>0</v>
      </c>
      <c r="F429" s="148">
        <f>IFERROR(__xludf.DUMMYFUNCTION("""COMPUTED_VALUE"""),408195.0)</f>
        <v>408195</v>
      </c>
      <c r="G429" s="148">
        <f>IFERROR(__xludf.DUMMYFUNCTION("""COMPUTED_VALUE"""),1.5119858E7)</f>
        <v>15119858</v>
      </c>
      <c r="H429" s="148">
        <f>IFERROR(__xludf.DUMMYFUNCTION("""COMPUTED_VALUE"""),1.5112564E7)</f>
        <v>15112564</v>
      </c>
      <c r="I429" s="148" t="str">
        <f>IFERROR(__xludf.DUMMYFUNCTION("""COMPUTED_VALUE"""),"{}")</f>
        <v>{}</v>
      </c>
      <c r="J429" s="148" t="str">
        <f>IFERROR(__xludf.DUMMYFUNCTION("""COMPUTED_VALUE"""),"{""typ"":""lc"",""txt"":""LC_ITEM_2024_beach_march_effect_name""}")</f>
        <v>{"typ":"lc","txt":"LC_ITEM_2024_beach_march_effect_name"}</v>
      </c>
      <c r="K429" s="148" t="str">
        <f>IFERROR(__xludf.DUMMYFUNCTION("""COMPUTED_VALUE"""),"{""typ"":""lc"",""txt"":""LC_ITEM_2024_beach_march_effect_name_desc""}")</f>
        <v>{"typ":"lc","txt":"LC_ITEM_2024_beach_march_effect_name_desc"}</v>
      </c>
      <c r="L429" s="148" t="str">
        <f>IFERROR(__xludf.DUMMYFUNCTION("""COMPUTED_VALUE"""),"{""typ"":""lc"",""txt"":""LC_ITEM_2024_beach_march_effect_usetip""}")</f>
        <v>{"typ":"lc","txt":"LC_ITEM_2024_beach_march_effect_usetip"}</v>
      </c>
      <c r="M429" s="148">
        <f>IFERROR(__xludf.DUMMYFUNCTION("""COMPUTED_VALUE"""),5000.0)</f>
        <v>5000</v>
      </c>
      <c r="N429" s="148">
        <f>IFERROR(__xludf.DUMMYFUNCTION("""COMPUTED_VALUE"""),999999.0)</f>
        <v>999999</v>
      </c>
      <c r="O429" s="148">
        <f>IFERROR(__xludf.DUMMYFUNCTION("""COMPUTED_VALUE"""),99999.0)</f>
        <v>99999</v>
      </c>
      <c r="P429" s="148">
        <f>IFERROR(__xludf.DUMMYFUNCTION("""COMPUTED_VALUE"""),1.0)</f>
        <v>1</v>
      </c>
      <c r="Q429" s="148" t="str">
        <f>IFERROR(__xludf.DUMMYFUNCTION("""COMPUTED_VALUE"""),"[""bag_other""]")</f>
        <v>["bag_other"]</v>
      </c>
      <c r="R429" s="148" t="str">
        <f>IFERROR(__xludf.DUMMYFUNCTION("""COMPUTED_VALUE"""),"[""bag"",""13650122""]")</f>
        <v>["bag","13650122"]</v>
      </c>
      <c r="S429" s="148" t="str">
        <f>IFERROR(__xludf.DUMMYFUNCTION("""COMPUTED_VALUE"""),"{""effect"":[{""typ"":""marching_effect"",""id"":13650122,""val"":-1},{""typ"":""vm"",""id"":11151001,""val"":2500}]}")</f>
        <v>{"effect":[{"typ":"marching_effect","id":13650122,"val":-1},{"typ":"vm","id":11151001,"val":2500}]}</v>
      </c>
      <c r="T429" s="148">
        <f>IFERROR(__xludf.DUMMYFUNCTION("""COMPUTED_VALUE"""),-1.0)</f>
        <v>-1</v>
      </c>
      <c r="U429" s="148">
        <f>IFERROR(__xludf.DUMMYFUNCTION("""COMPUTED_VALUE"""),0.0)</f>
        <v>0</v>
      </c>
      <c r="V429" s="148" t="str">
        <f>IFERROR(__xludf.DUMMYFUNCTION("""COMPUTED_VALUE"""),"[]")</f>
        <v>[]</v>
      </c>
      <c r="W429" s="148">
        <f>IFERROR(__xludf.DUMMYFUNCTION("""COMPUTED_VALUE"""),1.174E7)</f>
        <v>11740000</v>
      </c>
      <c r="X429" s="148">
        <f>IFERROR(__xludf.DUMMYFUNCTION("""COMPUTED_VALUE"""),0.0)</f>
        <v>0</v>
      </c>
      <c r="Y429" s="148">
        <f>IFERROR(__xludf.DUMMYFUNCTION("""COMPUTED_VALUE"""),0.0)</f>
        <v>0</v>
      </c>
      <c r="Z429" s="148"/>
    </row>
    <row r="430">
      <c r="A430" s="148">
        <f>IFERROR(__xludf.DUMMYFUNCTION("""COMPUTED_VALUE"""),1.1112221E7)</f>
        <v>11112221</v>
      </c>
      <c r="B430" s="148" t="str">
        <f>IFERROR(__xludf.DUMMYFUNCTION("""COMPUTED_VALUE"""),"2024沙滩节铭牌-炎夏椰香")</f>
        <v>2024沙滩节铭牌-炎夏椰香</v>
      </c>
      <c r="C430" s="148"/>
      <c r="D430" s="148" t="str">
        <f>IFERROR(__xludf.DUMMYFUNCTION("""COMPUTED_VALUE"""),"chat_skin")</f>
        <v>chat_skin</v>
      </c>
      <c r="E430" s="148">
        <f>IFERROR(__xludf.DUMMYFUNCTION("""COMPUTED_VALUE"""),30.0)</f>
        <v>30</v>
      </c>
      <c r="F430" s="148">
        <f>IFERROR(__xludf.DUMMYFUNCTION("""COMPUTED_VALUE"""),401107.0)</f>
        <v>401107</v>
      </c>
      <c r="G430" s="148">
        <f>IFERROR(__xludf.DUMMYFUNCTION("""COMPUTED_VALUE"""),1.5119859E7)</f>
        <v>15119859</v>
      </c>
      <c r="H430" s="148">
        <f>IFERROR(__xludf.DUMMYFUNCTION("""COMPUTED_VALUE"""),1.5112564E7)</f>
        <v>15112564</v>
      </c>
      <c r="I430" s="148" t="str">
        <f>IFERROR(__xludf.DUMMYFUNCTION("""COMPUTED_VALUE"""),"{}")</f>
        <v>{}</v>
      </c>
      <c r="J430" s="148" t="str">
        <f>IFERROR(__xludf.DUMMYFUNCTION("""COMPUTED_VALUE"""),"{""typ"":""lc"",""txt"":""LC_ITEM_2024_beach_nameplate""}")</f>
        <v>{"typ":"lc","txt":"LC_ITEM_2024_beach_nameplate"}</v>
      </c>
      <c r="K430" s="148" t="str">
        <f>IFERROR(__xludf.DUMMYFUNCTION("""COMPUTED_VALUE"""),"{""typ"":""lc"",""txt"":""LC_ITEM_2024_beach_nameplate_desc_item""}")</f>
        <v>{"typ":"lc","txt":"LC_ITEM_2024_beach_nameplate_desc_item"}</v>
      </c>
      <c r="L430" s="148" t="str">
        <f>IFERROR(__xludf.DUMMYFUNCTION("""COMPUTED_VALUE"""),"{""typ"":""lc"",""txt"":""LC_ITEM_season_extra_reward_usedtip""}")</f>
        <v>{"typ":"lc","txt":"LC_ITEM_season_extra_reward_usedtip"}</v>
      </c>
      <c r="M430" s="148">
        <f>IFERROR(__xludf.DUMMYFUNCTION("""COMPUTED_VALUE"""),2500.0)</f>
        <v>2500</v>
      </c>
      <c r="N430" s="148">
        <f>IFERROR(__xludf.DUMMYFUNCTION("""COMPUTED_VALUE"""),9999999.0)</f>
        <v>9999999</v>
      </c>
      <c r="O430" s="148">
        <f>IFERROR(__xludf.DUMMYFUNCTION("""COMPUTED_VALUE"""),1.0)</f>
        <v>1</v>
      </c>
      <c r="P430" s="148">
        <f>IFERROR(__xludf.DUMMYFUNCTION("""COMPUTED_VALUE"""),1.0)</f>
        <v>1</v>
      </c>
      <c r="Q430" s="148" t="str">
        <f>IFERROR(__xludf.DUMMYFUNCTION("""COMPUTED_VALUE"""),"[""bag_other""]")</f>
        <v>["bag_other"]</v>
      </c>
      <c r="R430" s="148" t="str">
        <f>IFERROR(__xludf.DUMMYFUNCTION("""COMPUTED_VALUE"""),"[""11731025"",""bag""]")</f>
        <v>["11731025","bag"]</v>
      </c>
      <c r="S430" s="148" t="str">
        <f>IFERROR(__xludf.DUMMYFUNCTION("""COMPUTED_VALUE"""),"{""effect"":[{""typ"":""nameplate"",""id"":11731025,""val"":-1}]}")</f>
        <v>{"effect":[{"typ":"nameplate","id":11731025,"val":-1}]}</v>
      </c>
      <c r="T430" s="148">
        <f>IFERROR(__xludf.DUMMYFUNCTION("""COMPUTED_VALUE"""),-1.0)</f>
        <v>-1</v>
      </c>
      <c r="U430" s="148">
        <f>IFERROR(__xludf.DUMMYFUNCTION("""COMPUTED_VALUE"""),0.0)</f>
        <v>0</v>
      </c>
      <c r="V430" s="148" t="str">
        <f>IFERROR(__xludf.DUMMYFUNCTION("""COMPUTED_VALUE"""),"[]")</f>
        <v>[]</v>
      </c>
      <c r="W430" s="148">
        <f>IFERROR(__xludf.DUMMYFUNCTION("""COMPUTED_VALUE"""),1.174E7)</f>
        <v>11740000</v>
      </c>
      <c r="X430" s="148">
        <f>IFERROR(__xludf.DUMMYFUNCTION("""COMPUTED_VALUE"""),0.0)</f>
        <v>0</v>
      </c>
      <c r="Y430" s="148">
        <f>IFERROR(__xludf.DUMMYFUNCTION("""COMPUTED_VALUE"""),0.0)</f>
        <v>0</v>
      </c>
      <c r="Z430" s="148"/>
    </row>
    <row r="431">
      <c r="A431" s="148">
        <f>IFERROR(__xludf.DUMMYFUNCTION("""COMPUTED_VALUE"""),1.1112222E7)</f>
        <v>11112222</v>
      </c>
      <c r="B431" s="148" t="str">
        <f>IFERROR(__xludf.DUMMYFUNCTION("""COMPUTED_VALUE"""),"主城皮肤-沙滩节普通皮肤2024-14天")</f>
        <v>主城皮肤-沙滩节普通皮肤2024-14天</v>
      </c>
      <c r="C431" s="148"/>
      <c r="D431" s="148" t="str">
        <f>IFERROR(__xludf.DUMMYFUNCTION("""COMPUTED_VALUE"""),"city_skin")</f>
        <v>city_skin</v>
      </c>
      <c r="E431" s="148">
        <f>IFERROR(__xludf.DUMMYFUNCTION("""COMPUTED_VALUE"""),21.0)</f>
        <v>21</v>
      </c>
      <c r="F431" s="148">
        <f>IFERROR(__xludf.DUMMYFUNCTION("""COMPUTED_VALUE"""),400106.0)</f>
        <v>400106</v>
      </c>
      <c r="G431" s="148">
        <f>IFERROR(__xludf.DUMMYFUNCTION("""COMPUTED_VALUE"""),1.5119772E7)</f>
        <v>15119772</v>
      </c>
      <c r="H431" s="148">
        <f>IFERROR(__xludf.DUMMYFUNCTION("""COMPUTED_VALUE"""),1.5112564E7)</f>
        <v>15112564</v>
      </c>
      <c r="I431" s="148" t="str">
        <f>IFERROR(__xludf.DUMMYFUNCTION("""COMPUTED_VALUE"""),"{""typ"":""lc"",""txt"":""LC_ITEM_time_day_upper_show"",""args"":[{""typ"":""int"",""val"":14}]}")</f>
        <v>{"typ":"lc","txt":"LC_ITEM_time_day_upper_show","args":[{"typ":"int","val":14}]}</v>
      </c>
      <c r="J431" s="148" t="str">
        <f>IFERROR(__xludf.DUMMYFUNCTION("""COMPUTED_VALUE"""),"{""typ"":""lc"",""txt"":""LC_ITEM_2024beach_lowcity_skin_title_14day""}")</f>
        <v>{"typ":"lc","txt":"LC_ITEM_2024beach_lowcity_skin_title_14day"}</v>
      </c>
      <c r="K431" s="148" t="str">
        <f>IFERROR(__xludf.DUMMYFUNCTION("""COMPUTED_VALUE"""),"{""typ"":""lc"",""txt"":""LC_ITEM_2024beach_lowcity_skin_desc_14day""}")</f>
        <v>{"typ":"lc","txt":"LC_ITEM_2024beach_lowcity_skin_desc_14day"}</v>
      </c>
      <c r="L431" s="148" t="str">
        <f>IFERROR(__xludf.DUMMYFUNCTION("""COMPUTED_VALUE"""),"{""typ"":""lc"",""txt"":""LC_ITEM_city_skin_rocket_use_tips""}")</f>
        <v>{"typ":"lc","txt":"LC_ITEM_city_skin_rocket_use_tips"}</v>
      </c>
      <c r="M431" s="148">
        <f>IFERROR(__xludf.DUMMYFUNCTION("""COMPUTED_VALUE"""),10000.0)</f>
        <v>10000</v>
      </c>
      <c r="N431" s="148">
        <f>IFERROR(__xludf.DUMMYFUNCTION("""COMPUTED_VALUE"""),999.0)</f>
        <v>999</v>
      </c>
      <c r="O431" s="148">
        <f>IFERROR(__xludf.DUMMYFUNCTION("""COMPUTED_VALUE"""),1.0)</f>
        <v>1</v>
      </c>
      <c r="P431" s="148">
        <f>IFERROR(__xludf.DUMMYFUNCTION("""COMPUTED_VALUE"""),1.0)</f>
        <v>1</v>
      </c>
      <c r="Q431" s="148" t="str">
        <f>IFERROR(__xludf.DUMMYFUNCTION("""COMPUTED_VALUE"""),"[""bag_other""]")</f>
        <v>["bag_other"]</v>
      </c>
      <c r="R431" s="148" t="str">
        <f>IFERROR(__xludf.DUMMYFUNCTION("""COMPUTED_VALUE"""),"[""bag"",""13121042""]")</f>
        <v>["bag","13121042"]</v>
      </c>
      <c r="S431" s="148" t="str">
        <f>IFERROR(__xludf.DUMMYFUNCTION("""COMPUTED_VALUE"""),"{""effect"":[{""typ"":""city_skin"",""id"":13121042,""val"":1209600000},{""typ"":""item"",""id"":11111021,""val"":3}]}")</f>
        <v>{"effect":[{"typ":"city_skin","id":13121042,"val":1209600000},{"typ":"item","id":11111021,"val":3}]}</v>
      </c>
      <c r="T431" s="148">
        <f>IFERROR(__xludf.DUMMYFUNCTION("""COMPUTED_VALUE"""),-1.0)</f>
        <v>-1</v>
      </c>
      <c r="U431" s="148">
        <f>IFERROR(__xludf.DUMMYFUNCTION("""COMPUTED_VALUE"""),0.0)</f>
        <v>0</v>
      </c>
      <c r="V431" s="148" t="str">
        <f>IFERROR(__xludf.DUMMYFUNCTION("""COMPUTED_VALUE"""),"[]")</f>
        <v>[]</v>
      </c>
      <c r="W431" s="148">
        <f>IFERROR(__xludf.DUMMYFUNCTION("""COMPUTED_VALUE"""),1.174E7)</f>
        <v>11740000</v>
      </c>
      <c r="X431" s="148">
        <f>IFERROR(__xludf.DUMMYFUNCTION("""COMPUTED_VALUE"""),0.0)</f>
        <v>0</v>
      </c>
      <c r="Y431" s="148">
        <f>IFERROR(__xludf.DUMMYFUNCTION("""COMPUTED_VALUE"""),0.0)</f>
        <v>0</v>
      </c>
      <c r="Z431" s="148"/>
    </row>
    <row r="432">
      <c r="A432" s="148">
        <f>IFERROR(__xludf.DUMMYFUNCTION("""COMPUTED_VALUE"""),1.1112223E7)</f>
        <v>11112223</v>
      </c>
      <c r="B432" s="148" t="str">
        <f>IFERROR(__xludf.DUMMYFUNCTION("""COMPUTED_VALUE"""),"主城皮肤-沙滩节普通皮肤2024-7天")</f>
        <v>主城皮肤-沙滩节普通皮肤2024-7天</v>
      </c>
      <c r="C432" s="148"/>
      <c r="D432" s="148" t="str">
        <f>IFERROR(__xludf.DUMMYFUNCTION("""COMPUTED_VALUE"""),"city_skin")</f>
        <v>city_skin</v>
      </c>
      <c r="E432" s="148">
        <f>IFERROR(__xludf.DUMMYFUNCTION("""COMPUTED_VALUE"""),21.0)</f>
        <v>21</v>
      </c>
      <c r="F432" s="148">
        <f>IFERROR(__xludf.DUMMYFUNCTION("""COMPUTED_VALUE"""),400106.0)</f>
        <v>400106</v>
      </c>
      <c r="G432" s="148">
        <f>IFERROR(__xludf.DUMMYFUNCTION("""COMPUTED_VALUE"""),1.5119772E7)</f>
        <v>15119772</v>
      </c>
      <c r="H432" s="148">
        <f>IFERROR(__xludf.DUMMYFUNCTION("""COMPUTED_VALUE"""),1.5112564E7)</f>
        <v>15112564</v>
      </c>
      <c r="I432" s="148" t="str">
        <f>IFERROR(__xludf.DUMMYFUNCTION("""COMPUTED_VALUE"""),"{""typ"":""lc"",""txt"":""LC_ITEM_time_day_upper_show"",""args"":[{""typ"":""int"",""val"":7}]}")</f>
        <v>{"typ":"lc","txt":"LC_ITEM_time_day_upper_show","args":[{"typ":"int","val":7}]}</v>
      </c>
      <c r="J432" s="148" t="str">
        <f>IFERROR(__xludf.DUMMYFUNCTION("""COMPUTED_VALUE"""),"{""typ"":""lc"",""txt"":""LC_ITEM_2024beach_lowcity_skin_title_7day""}")</f>
        <v>{"typ":"lc","txt":"LC_ITEM_2024beach_lowcity_skin_title_7day"}</v>
      </c>
      <c r="K432" s="148" t="str">
        <f>IFERROR(__xludf.DUMMYFUNCTION("""COMPUTED_VALUE"""),"{""typ"":""lc"",""txt"":""LC_ITEM_2024beach_lowcity_skin_desc_7day""}")</f>
        <v>{"typ":"lc","txt":"LC_ITEM_2024beach_lowcity_skin_desc_7day"}</v>
      </c>
      <c r="L432" s="148" t="str">
        <f>IFERROR(__xludf.DUMMYFUNCTION("""COMPUTED_VALUE"""),"{""typ"":""lc"",""txt"":""LC_ITEM_city_skin_rocket_use_tips""}")</f>
        <v>{"typ":"lc","txt":"LC_ITEM_city_skin_rocket_use_tips"}</v>
      </c>
      <c r="M432" s="148">
        <f>IFERROR(__xludf.DUMMYFUNCTION("""COMPUTED_VALUE"""),10000.0)</f>
        <v>10000</v>
      </c>
      <c r="N432" s="148">
        <f>IFERROR(__xludf.DUMMYFUNCTION("""COMPUTED_VALUE"""),999.0)</f>
        <v>999</v>
      </c>
      <c r="O432" s="148">
        <f>IFERROR(__xludf.DUMMYFUNCTION("""COMPUTED_VALUE"""),1.0)</f>
        <v>1</v>
      </c>
      <c r="P432" s="148">
        <f>IFERROR(__xludf.DUMMYFUNCTION("""COMPUTED_VALUE"""),1.0)</f>
        <v>1</v>
      </c>
      <c r="Q432" s="148" t="str">
        <f>IFERROR(__xludf.DUMMYFUNCTION("""COMPUTED_VALUE"""),"[""bag_other""]")</f>
        <v>["bag_other"]</v>
      </c>
      <c r="R432" s="148" t="str">
        <f>IFERROR(__xludf.DUMMYFUNCTION("""COMPUTED_VALUE"""),"[""bag"",""13121042""]")</f>
        <v>["bag","13121042"]</v>
      </c>
      <c r="S432" s="148" t="str">
        <f>IFERROR(__xludf.DUMMYFUNCTION("""COMPUTED_VALUE"""),"{""effect"":[{""typ"":""city_skin"",""id"":13121042,""val"":604800000},{""typ"":""item"",""id"":11111021,""val"":1}]}")</f>
        <v>{"effect":[{"typ":"city_skin","id":13121042,"val":604800000},{"typ":"item","id":11111021,"val":1}]}</v>
      </c>
      <c r="T432" s="148">
        <f>IFERROR(__xludf.DUMMYFUNCTION("""COMPUTED_VALUE"""),-1.0)</f>
        <v>-1</v>
      </c>
      <c r="U432" s="148">
        <f>IFERROR(__xludf.DUMMYFUNCTION("""COMPUTED_VALUE"""),0.0)</f>
        <v>0</v>
      </c>
      <c r="V432" s="148" t="str">
        <f>IFERROR(__xludf.DUMMYFUNCTION("""COMPUTED_VALUE"""),"[]")</f>
        <v>[]</v>
      </c>
      <c r="W432" s="148">
        <f>IFERROR(__xludf.DUMMYFUNCTION("""COMPUTED_VALUE"""),1.174E7)</f>
        <v>11740000</v>
      </c>
      <c r="X432" s="148">
        <f>IFERROR(__xludf.DUMMYFUNCTION("""COMPUTED_VALUE"""),0.0)</f>
        <v>0</v>
      </c>
      <c r="Y432" s="148">
        <f>IFERROR(__xludf.DUMMYFUNCTION("""COMPUTED_VALUE"""),0.0)</f>
        <v>0</v>
      </c>
      <c r="Z432" s="148"/>
    </row>
    <row r="433">
      <c r="A433" s="148">
        <f>IFERROR(__xludf.DUMMYFUNCTION("""COMPUTED_VALUE"""),1.1112224E7)</f>
        <v>11112224</v>
      </c>
      <c r="B433" s="148" t="str">
        <f>IFERROR(__xludf.DUMMYFUNCTION("""COMPUTED_VALUE"""),"2024周年庆节BattlePass-初级通行证")</f>
        <v>2024周年庆节BattlePass-初级通行证</v>
      </c>
      <c r="C433" s="148"/>
      <c r="D433" s="148" t="str">
        <f>IFERROR(__xludf.DUMMYFUNCTION("""COMPUTED_VALUE"""),"battle_pass_card")</f>
        <v>battle_pass_card</v>
      </c>
      <c r="E433" s="148">
        <f>IFERROR(__xludf.DUMMYFUNCTION("""COMPUTED_VALUE"""),0.0)</f>
        <v>0</v>
      </c>
      <c r="F433" s="148">
        <f>IFERROR(__xludf.DUMMYFUNCTION("""COMPUTED_VALUE"""),0.0)</f>
        <v>0</v>
      </c>
      <c r="G433" s="148">
        <f>IFERROR(__xludf.DUMMYFUNCTION("""COMPUTED_VALUE"""),1.5110013E8)</f>
        <v>151100130</v>
      </c>
      <c r="H433" s="148">
        <f>IFERROR(__xludf.DUMMYFUNCTION("""COMPUTED_VALUE"""),1.5112563E7)</f>
        <v>15112563</v>
      </c>
      <c r="I433" s="148" t="str">
        <f>IFERROR(__xludf.DUMMYFUNCTION("""COMPUTED_VALUE"""),"{}")</f>
        <v>{}</v>
      </c>
      <c r="J433" s="148" t="str">
        <f>IFERROR(__xludf.DUMMYFUNCTION("""COMPUTED_VALUE"""),"{""typ"":""lc"",""txt"":""LC_IAP_anniversary2023_normal_bp""}")</f>
        <v>{"typ":"lc","txt":"LC_IAP_anniversary2023_normal_bp"}</v>
      </c>
      <c r="K433" s="148" t="str">
        <f>IFERROR(__xludf.DUMMYFUNCTION("""COMPUTED_VALUE"""),"{}")</f>
        <v>{}</v>
      </c>
      <c r="L433" s="148" t="str">
        <f>IFERROR(__xludf.DUMMYFUNCTION("""COMPUTED_VALUE"""),"{}")</f>
        <v>{}</v>
      </c>
      <c r="M433" s="148">
        <f>IFERROR(__xludf.DUMMYFUNCTION("""COMPUTED_VALUE"""),10.0)</f>
        <v>10</v>
      </c>
      <c r="N433" s="148">
        <f>IFERROR(__xludf.DUMMYFUNCTION("""COMPUTED_VALUE"""),999999.0)</f>
        <v>999999</v>
      </c>
      <c r="O433" s="148">
        <f>IFERROR(__xludf.DUMMYFUNCTION("""COMPUTED_VALUE"""),99999.0)</f>
        <v>99999</v>
      </c>
      <c r="P433" s="148">
        <f>IFERROR(__xludf.DUMMYFUNCTION("""COMPUTED_VALUE"""),9999.0)</f>
        <v>9999</v>
      </c>
      <c r="Q433" s="148" t="str">
        <f>IFERROR(__xludf.DUMMYFUNCTION("""COMPUTED_VALUE"""),"[]")</f>
        <v>[]</v>
      </c>
      <c r="R433" s="148" t="str">
        <f>IFERROR(__xludf.DUMMYFUNCTION("""COMPUTED_VALUE"""),"[]")</f>
        <v>[]</v>
      </c>
      <c r="S433" s="148" t="str">
        <f>IFERROR(__xludf.DUMMYFUNCTION("""COMPUTED_VALUE"""),"{}")</f>
        <v>{}</v>
      </c>
      <c r="T433" s="148">
        <f>IFERROR(__xludf.DUMMYFUNCTION("""COMPUTED_VALUE"""),-1.0)</f>
        <v>-1</v>
      </c>
      <c r="U433" s="148">
        <f>IFERROR(__xludf.DUMMYFUNCTION("""COMPUTED_VALUE"""),1.0)</f>
        <v>1</v>
      </c>
      <c r="V433" s="148" t="str">
        <f>IFERROR(__xludf.DUMMYFUNCTION("""COMPUTED_VALUE"""),"[]")</f>
        <v>[]</v>
      </c>
      <c r="W433" s="148">
        <f>IFERROR(__xludf.DUMMYFUNCTION("""COMPUTED_VALUE"""),1.174E7)</f>
        <v>11740000</v>
      </c>
      <c r="X433" s="148">
        <f>IFERROR(__xludf.DUMMYFUNCTION("""COMPUTED_VALUE"""),0.0)</f>
        <v>0</v>
      </c>
      <c r="Y433" s="148">
        <f>IFERROR(__xludf.DUMMYFUNCTION("""COMPUTED_VALUE"""),0.0)</f>
        <v>0</v>
      </c>
      <c r="Z433" s="148"/>
    </row>
    <row r="434">
      <c r="A434" s="148">
        <f>IFERROR(__xludf.DUMMYFUNCTION("""COMPUTED_VALUE"""),1.1112225E7)</f>
        <v>11112225</v>
      </c>
      <c r="B434" s="148" t="str">
        <f>IFERROR(__xludf.DUMMYFUNCTION("""COMPUTED_VALUE"""),"2024周年庆BattlePass-高级通行证")</f>
        <v>2024周年庆BattlePass-高级通行证</v>
      </c>
      <c r="C434" s="148"/>
      <c r="D434" s="148" t="str">
        <f>IFERROR(__xludf.DUMMYFUNCTION("""COMPUTED_VALUE"""),"battle_pass_card")</f>
        <v>battle_pass_card</v>
      </c>
      <c r="E434" s="148">
        <f>IFERROR(__xludf.DUMMYFUNCTION("""COMPUTED_VALUE"""),0.0)</f>
        <v>0</v>
      </c>
      <c r="F434" s="148">
        <f>IFERROR(__xludf.DUMMYFUNCTION("""COMPUTED_VALUE"""),0.0)</f>
        <v>0</v>
      </c>
      <c r="G434" s="148">
        <f>IFERROR(__xludf.DUMMYFUNCTION("""COMPUTED_VALUE"""),1.5110013E8)</f>
        <v>151100130</v>
      </c>
      <c r="H434" s="148">
        <f>IFERROR(__xludf.DUMMYFUNCTION("""COMPUTED_VALUE"""),1.5112564E7)</f>
        <v>15112564</v>
      </c>
      <c r="I434" s="148" t="str">
        <f>IFERROR(__xludf.DUMMYFUNCTION("""COMPUTED_VALUE"""),"{}")</f>
        <v>{}</v>
      </c>
      <c r="J434" s="148" t="str">
        <f>IFERROR(__xludf.DUMMYFUNCTION("""COMPUTED_VALUE"""),"{""typ"":""lc"",""txt"":""LC_IAP_anniversary2023_senior_bp""}")</f>
        <v>{"typ":"lc","txt":"LC_IAP_anniversary2023_senior_bp"}</v>
      </c>
      <c r="K434" s="148" t="str">
        <f>IFERROR(__xludf.DUMMYFUNCTION("""COMPUTED_VALUE"""),"{}")</f>
        <v>{}</v>
      </c>
      <c r="L434" s="148" t="str">
        <f>IFERROR(__xludf.DUMMYFUNCTION("""COMPUTED_VALUE"""),"{}")</f>
        <v>{}</v>
      </c>
      <c r="M434" s="148">
        <f>IFERROR(__xludf.DUMMYFUNCTION("""COMPUTED_VALUE"""),10.0)</f>
        <v>10</v>
      </c>
      <c r="N434" s="148">
        <f>IFERROR(__xludf.DUMMYFUNCTION("""COMPUTED_VALUE"""),999999.0)</f>
        <v>999999</v>
      </c>
      <c r="O434" s="148">
        <f>IFERROR(__xludf.DUMMYFUNCTION("""COMPUTED_VALUE"""),99999.0)</f>
        <v>99999</v>
      </c>
      <c r="P434" s="148">
        <f>IFERROR(__xludf.DUMMYFUNCTION("""COMPUTED_VALUE"""),9999.0)</f>
        <v>9999</v>
      </c>
      <c r="Q434" s="148" t="str">
        <f>IFERROR(__xludf.DUMMYFUNCTION("""COMPUTED_VALUE"""),"[]")</f>
        <v>[]</v>
      </c>
      <c r="R434" s="148" t="str">
        <f>IFERROR(__xludf.DUMMYFUNCTION("""COMPUTED_VALUE"""),"[]")</f>
        <v>[]</v>
      </c>
      <c r="S434" s="148" t="str">
        <f>IFERROR(__xludf.DUMMYFUNCTION("""COMPUTED_VALUE"""),"{}")</f>
        <v>{}</v>
      </c>
      <c r="T434" s="148">
        <f>IFERROR(__xludf.DUMMYFUNCTION("""COMPUTED_VALUE"""),-1.0)</f>
        <v>-1</v>
      </c>
      <c r="U434" s="148">
        <f>IFERROR(__xludf.DUMMYFUNCTION("""COMPUTED_VALUE"""),1.0)</f>
        <v>1</v>
      </c>
      <c r="V434" s="148" t="str">
        <f>IFERROR(__xludf.DUMMYFUNCTION("""COMPUTED_VALUE"""),"[]")</f>
        <v>[]</v>
      </c>
      <c r="W434" s="148">
        <f>IFERROR(__xludf.DUMMYFUNCTION("""COMPUTED_VALUE"""),1.174E7)</f>
        <v>11740000</v>
      </c>
      <c r="X434" s="148">
        <f>IFERROR(__xludf.DUMMYFUNCTION("""COMPUTED_VALUE"""),0.0)</f>
        <v>0</v>
      </c>
      <c r="Y434" s="148">
        <f>IFERROR(__xludf.DUMMYFUNCTION("""COMPUTED_VALUE"""),0.0)</f>
        <v>0</v>
      </c>
      <c r="Z434" s="148"/>
    </row>
    <row r="435">
      <c r="A435" s="148">
        <f>IFERROR(__xludf.DUMMYFUNCTION("""COMPUTED_VALUE"""),1.1112226E7)</f>
        <v>11112226</v>
      </c>
      <c r="B435" s="148" t="str">
        <f>IFERROR(__xludf.DUMMYFUNCTION("""COMPUTED_VALUE"""),"欢乐气筒-周年庆2024活动BP道具")</f>
        <v>欢乐气筒-周年庆2024活动BP道具</v>
      </c>
      <c r="C435" s="148"/>
      <c r="D435" s="148" t="str">
        <f>IFERROR(__xludf.DUMMYFUNCTION("""COMPUTED_VALUE"""),"battle_pass_exp")</f>
        <v>battle_pass_exp</v>
      </c>
      <c r="E435" s="148">
        <f>IFERROR(__xludf.DUMMYFUNCTION("""COMPUTED_VALUE"""),0.0)</f>
        <v>0</v>
      </c>
      <c r="F435" s="148">
        <f>IFERROR(__xludf.DUMMYFUNCTION("""COMPUTED_VALUE"""),405217.0)</f>
        <v>405217</v>
      </c>
      <c r="G435" s="148">
        <f>IFERROR(__xludf.DUMMYFUNCTION("""COMPUTED_VALUE"""),1.5110013E8)</f>
        <v>151100130</v>
      </c>
      <c r="H435" s="148">
        <f>IFERROR(__xludf.DUMMYFUNCTION("""COMPUTED_VALUE"""),1.5112563E7)</f>
        <v>15112563</v>
      </c>
      <c r="I435" s="148" t="str">
        <f>IFERROR(__xludf.DUMMYFUNCTION("""COMPUTED_VALUE"""),"{}")</f>
        <v>{}</v>
      </c>
      <c r="J435" s="148" t="str">
        <f>IFERROR(__xludf.DUMMYFUNCTION("""COMPUTED_VALUE"""),"{""typ"":""lc"",""txt"":""LC_ITEM_anni_bp_2024_item""}")</f>
        <v>{"typ":"lc","txt":"LC_ITEM_anni_bp_2024_item"}</v>
      </c>
      <c r="K435" s="148" t="str">
        <f>IFERROR(__xludf.DUMMYFUNCTION("""COMPUTED_VALUE"""),"{""typ"":""lc"",""txt"":""LC_ITEM_anni_bp_2024_item_desc""}")</f>
        <v>{"typ":"lc","txt":"LC_ITEM_anni_bp_2024_item_desc"}</v>
      </c>
      <c r="L435" s="148" t="str">
        <f>IFERROR(__xludf.DUMMYFUNCTION("""COMPUTED_VALUE"""),"{}")</f>
        <v>{}</v>
      </c>
      <c r="M435" s="148">
        <f>IFERROR(__xludf.DUMMYFUNCTION("""COMPUTED_VALUE"""),35.0)</f>
        <v>35</v>
      </c>
      <c r="N435" s="148">
        <f>IFERROR(__xludf.DUMMYFUNCTION("""COMPUTED_VALUE"""),999999.0)</f>
        <v>999999</v>
      </c>
      <c r="O435" s="148">
        <f>IFERROR(__xludf.DUMMYFUNCTION("""COMPUTED_VALUE"""),99999.0)</f>
        <v>99999</v>
      </c>
      <c r="P435" s="148">
        <f>IFERROR(__xludf.DUMMYFUNCTION("""COMPUTED_VALUE"""),9999.0)</f>
        <v>9999</v>
      </c>
      <c r="Q435" s="148" t="str">
        <f>IFERROR(__xludf.DUMMYFUNCTION("""COMPUTED_VALUE"""),"[""bag_other""]")</f>
        <v>["bag_other"]</v>
      </c>
      <c r="R435" s="148" t="str">
        <f>IFERROR(__xludf.DUMMYFUNCTION("""COMPUTED_VALUE"""),"[""bag""]")</f>
        <v>["bag"]</v>
      </c>
      <c r="S435" s="148" t="str">
        <f>IFERROR(__xludf.DUMMYFUNCTION("""COMPUTED_VALUE"""),"{}")</f>
        <v>{}</v>
      </c>
      <c r="T435" s="148">
        <f>IFERROR(__xludf.DUMMYFUNCTION("""COMPUTED_VALUE"""),-1.0)</f>
        <v>-1</v>
      </c>
      <c r="U435" s="148">
        <f>IFERROR(__xludf.DUMMYFUNCTION("""COMPUTED_VALUE"""),0.0)</f>
        <v>0</v>
      </c>
      <c r="V435" s="148" t="str">
        <f>IFERROR(__xludf.DUMMYFUNCTION("""COMPUTED_VALUE"""),"[]")</f>
        <v>[]</v>
      </c>
      <c r="W435" s="148">
        <f>IFERROR(__xludf.DUMMYFUNCTION("""COMPUTED_VALUE"""),1.174E7)</f>
        <v>11740000</v>
      </c>
      <c r="X435" s="148">
        <f>IFERROR(__xludf.DUMMYFUNCTION("""COMPUTED_VALUE"""),0.0)</f>
        <v>0</v>
      </c>
      <c r="Y435" s="148">
        <f>IFERROR(__xludf.DUMMYFUNCTION("""COMPUTED_VALUE"""),0.0)</f>
        <v>0</v>
      </c>
      <c r="Z435" s="148"/>
    </row>
    <row r="436">
      <c r="A436" s="148">
        <f>IFERROR(__xludf.DUMMYFUNCTION("""COMPUTED_VALUE"""),1.1112227E7)</f>
        <v>11112227</v>
      </c>
      <c r="B436" s="148" t="str">
        <f>IFERROR(__xludf.DUMMYFUNCTION("""COMPUTED_VALUE"""),"2024周年庆行军特效-幸运庆典-1天限时")</f>
        <v>2024周年庆行军特效-幸运庆典-1天限时</v>
      </c>
      <c r="C436" s="148"/>
      <c r="D436" s="148" t="str">
        <f>IFERROR(__xludf.DUMMYFUNCTION("""COMPUTED_VALUE"""),"marching_effect")</f>
        <v>marching_effect</v>
      </c>
      <c r="E436" s="148">
        <f>IFERROR(__xludf.DUMMYFUNCTION("""COMPUTED_VALUE"""),0.0)</f>
        <v>0</v>
      </c>
      <c r="F436" s="148">
        <f>IFERROR(__xludf.DUMMYFUNCTION("""COMPUTED_VALUE"""),408200.0)</f>
        <v>408200</v>
      </c>
      <c r="G436" s="148">
        <f>IFERROR(__xludf.DUMMYFUNCTION("""COMPUTED_VALUE"""),1.51100128E8)</f>
        <v>151100128</v>
      </c>
      <c r="H436" s="148">
        <f>IFERROR(__xludf.DUMMYFUNCTION("""COMPUTED_VALUE"""),1.511256E7)</f>
        <v>15112560</v>
      </c>
      <c r="I436" s="148" t="str">
        <f>IFERROR(__xludf.DUMMYFUNCTION("""COMPUTED_VALUE"""),"{""typ"":""lc"",""txt"":""LC_ITEM_time_day_upper_show"",""args"":[{""typ"":""int_unit"",""val"":1}]}")</f>
        <v>{"typ":"lc","txt":"LC_ITEM_time_day_upper_show","args":[{"typ":"int_unit","val":1}]}</v>
      </c>
      <c r="J436" s="148" t="str">
        <f>IFERROR(__xludf.DUMMYFUNCTION("""COMPUTED_VALUE"""),"{""typ"":""lc"",""txt"":""LC_ITEM_2024_anni_march_effect_name_normal""}")</f>
        <v>{"typ":"lc","txt":"LC_ITEM_2024_anni_march_effect_name_normal"}</v>
      </c>
      <c r="K436" s="148" t="str">
        <f>IFERROR(__xludf.DUMMYFUNCTION("""COMPUTED_VALUE"""),"{""typ"":""lc"",""txt"":""LC_ITEM_2024_anni_march_effect_name_normal_desc""}")</f>
        <v>{"typ":"lc","txt":"LC_ITEM_2024_anni_march_effect_name_normal_desc"}</v>
      </c>
      <c r="L436" s="148" t="str">
        <f>IFERROR(__xludf.DUMMYFUNCTION("""COMPUTED_VALUE"""),"{""typ"":""lc"",""txt"":""LC_ITEM_2024_anni_normal_march_effect_usetip_1""}")</f>
        <v>{"typ":"lc","txt":"LC_ITEM_2024_anni_normal_march_effect_usetip_1"}</v>
      </c>
      <c r="M436" s="148">
        <f>IFERROR(__xludf.DUMMYFUNCTION("""COMPUTED_VALUE"""),50.0)</f>
        <v>50</v>
      </c>
      <c r="N436" s="148">
        <f>IFERROR(__xludf.DUMMYFUNCTION("""COMPUTED_VALUE"""),999999.0)</f>
        <v>999999</v>
      </c>
      <c r="O436" s="148">
        <f>IFERROR(__xludf.DUMMYFUNCTION("""COMPUTED_VALUE"""),99999.0)</f>
        <v>99999</v>
      </c>
      <c r="P436" s="148">
        <f>IFERROR(__xludf.DUMMYFUNCTION("""COMPUTED_VALUE"""),1.0)</f>
        <v>1</v>
      </c>
      <c r="Q436" s="148" t="str">
        <f>IFERROR(__xludf.DUMMYFUNCTION("""COMPUTED_VALUE"""),"[""bag_other""]")</f>
        <v>["bag_other"]</v>
      </c>
      <c r="R436" s="148" t="str">
        <f>IFERROR(__xludf.DUMMYFUNCTION("""COMPUTED_VALUE"""),"[""bag"",""13650123""]")</f>
        <v>["bag","13650123"]</v>
      </c>
      <c r="S436" s="148" t="str">
        <f>IFERROR(__xludf.DUMMYFUNCTION("""COMPUTED_VALUE"""),"{""effect"":[{""typ"":""marching_effect"",""id"":13650123,""val"":86400000},{""typ"":""vm"",""id"":11151001,""val"":50}]}")</f>
        <v>{"effect":[{"typ":"marching_effect","id":13650123,"val":86400000},{"typ":"vm","id":11151001,"val":50}]}</v>
      </c>
      <c r="T436" s="148">
        <f>IFERROR(__xludf.DUMMYFUNCTION("""COMPUTED_VALUE"""),-1.0)</f>
        <v>-1</v>
      </c>
      <c r="U436" s="148">
        <f>IFERROR(__xludf.DUMMYFUNCTION("""COMPUTED_VALUE"""),0.0)</f>
        <v>0</v>
      </c>
      <c r="V436" s="148" t="str">
        <f>IFERROR(__xludf.DUMMYFUNCTION("""COMPUTED_VALUE"""),"[]")</f>
        <v>[]</v>
      </c>
      <c r="W436" s="148">
        <f>IFERROR(__xludf.DUMMYFUNCTION("""COMPUTED_VALUE"""),1.174E7)</f>
        <v>11740000</v>
      </c>
      <c r="X436" s="148">
        <f>IFERROR(__xludf.DUMMYFUNCTION("""COMPUTED_VALUE"""),0.0)</f>
        <v>0</v>
      </c>
      <c r="Y436" s="148">
        <f>IFERROR(__xludf.DUMMYFUNCTION("""COMPUTED_VALUE"""),0.0)</f>
        <v>0</v>
      </c>
      <c r="Z436" s="148"/>
    </row>
    <row r="437">
      <c r="A437" s="148">
        <f>IFERROR(__xludf.DUMMYFUNCTION("""COMPUTED_VALUE"""),1.1112228E7)</f>
        <v>11112228</v>
      </c>
      <c r="B437" s="148" t="str">
        <f>IFERROR(__xludf.DUMMYFUNCTION("""COMPUTED_VALUE"""),"2024周年庆行军特效-幸运庆典-3天限时")</f>
        <v>2024周年庆行军特效-幸运庆典-3天限时</v>
      </c>
      <c r="C437" s="148"/>
      <c r="D437" s="148" t="str">
        <f>IFERROR(__xludf.DUMMYFUNCTION("""COMPUTED_VALUE"""),"marching_effect")</f>
        <v>marching_effect</v>
      </c>
      <c r="E437" s="148">
        <f>IFERROR(__xludf.DUMMYFUNCTION("""COMPUTED_VALUE"""),0.0)</f>
        <v>0</v>
      </c>
      <c r="F437" s="148">
        <f>IFERROR(__xludf.DUMMYFUNCTION("""COMPUTED_VALUE"""),408199.0)</f>
        <v>408199</v>
      </c>
      <c r="G437" s="148">
        <f>IFERROR(__xludf.DUMMYFUNCTION("""COMPUTED_VALUE"""),1.51100128E8)</f>
        <v>151100128</v>
      </c>
      <c r="H437" s="148">
        <f>IFERROR(__xludf.DUMMYFUNCTION("""COMPUTED_VALUE"""),1.5112561E7)</f>
        <v>15112561</v>
      </c>
      <c r="I437" s="148" t="str">
        <f>IFERROR(__xludf.DUMMYFUNCTION("""COMPUTED_VALUE"""),"{""typ"":""lc"",""txt"":""LC_ITEM_time_day_upper_show"",""args"":[{""typ"":""int_unit"",""val"":3}]}")</f>
        <v>{"typ":"lc","txt":"LC_ITEM_time_day_upper_show","args":[{"typ":"int_unit","val":3}]}</v>
      </c>
      <c r="J437" s="148" t="str">
        <f>IFERROR(__xludf.DUMMYFUNCTION("""COMPUTED_VALUE"""),"{""typ"":""lc"",""txt"":""LC_ITEM_2024_anni_march_effect_name_normal""}")</f>
        <v>{"typ":"lc","txt":"LC_ITEM_2024_anni_march_effect_name_normal"}</v>
      </c>
      <c r="K437" s="148" t="str">
        <f>IFERROR(__xludf.DUMMYFUNCTION("""COMPUTED_VALUE"""),"{""typ"":""lc"",""txt"":""LC_ITEM_2024_anni_march_effect_name_normal_desc""}")</f>
        <v>{"typ":"lc","txt":"LC_ITEM_2024_anni_march_effect_name_normal_desc"}</v>
      </c>
      <c r="L437" s="148" t="str">
        <f>IFERROR(__xludf.DUMMYFUNCTION("""COMPUTED_VALUE"""),"{""typ"":""lc"",""txt"":""LC_ITEM_2024_anni_normal_march_effect_usetip_3""}")</f>
        <v>{"typ":"lc","txt":"LC_ITEM_2024_anni_normal_march_effect_usetip_3"}</v>
      </c>
      <c r="M437" s="148">
        <f>IFERROR(__xludf.DUMMYFUNCTION("""COMPUTED_VALUE"""),200.0)</f>
        <v>200</v>
      </c>
      <c r="N437" s="148">
        <f>IFERROR(__xludf.DUMMYFUNCTION("""COMPUTED_VALUE"""),999999.0)</f>
        <v>999999</v>
      </c>
      <c r="O437" s="148">
        <f>IFERROR(__xludf.DUMMYFUNCTION("""COMPUTED_VALUE"""),99999.0)</f>
        <v>99999</v>
      </c>
      <c r="P437" s="148">
        <f>IFERROR(__xludf.DUMMYFUNCTION("""COMPUTED_VALUE"""),1.0)</f>
        <v>1</v>
      </c>
      <c r="Q437" s="148" t="str">
        <f>IFERROR(__xludf.DUMMYFUNCTION("""COMPUTED_VALUE"""),"[""bag_other""]")</f>
        <v>["bag_other"]</v>
      </c>
      <c r="R437" s="148" t="str">
        <f>IFERROR(__xludf.DUMMYFUNCTION("""COMPUTED_VALUE"""),"[""bag"",""13650123""]")</f>
        <v>["bag","13650123"]</v>
      </c>
      <c r="S437" s="148" t="str">
        <f>IFERROR(__xludf.DUMMYFUNCTION("""COMPUTED_VALUE"""),"{""effect"":[{""typ"":""marching_effect"",""id"":13650123,""val"":259200000},{""typ"":""vm"",""id"":11151001,""val"":200}]}")</f>
        <v>{"effect":[{"typ":"marching_effect","id":13650123,"val":259200000},{"typ":"vm","id":11151001,"val":200}]}</v>
      </c>
      <c r="T437" s="148">
        <f>IFERROR(__xludf.DUMMYFUNCTION("""COMPUTED_VALUE"""),-1.0)</f>
        <v>-1</v>
      </c>
      <c r="U437" s="148">
        <f>IFERROR(__xludf.DUMMYFUNCTION("""COMPUTED_VALUE"""),0.0)</f>
        <v>0</v>
      </c>
      <c r="V437" s="148" t="str">
        <f>IFERROR(__xludf.DUMMYFUNCTION("""COMPUTED_VALUE"""),"[]")</f>
        <v>[]</v>
      </c>
      <c r="W437" s="148">
        <f>IFERROR(__xludf.DUMMYFUNCTION("""COMPUTED_VALUE"""),1.174E7)</f>
        <v>11740000</v>
      </c>
      <c r="X437" s="148">
        <f>IFERROR(__xludf.DUMMYFUNCTION("""COMPUTED_VALUE"""),0.0)</f>
        <v>0</v>
      </c>
      <c r="Y437" s="148">
        <f>IFERROR(__xludf.DUMMYFUNCTION("""COMPUTED_VALUE"""),0.0)</f>
        <v>0</v>
      </c>
      <c r="Z437" s="148"/>
    </row>
    <row r="438">
      <c r="A438" s="148">
        <f>IFERROR(__xludf.DUMMYFUNCTION("""COMPUTED_VALUE"""),1.1112229E7)</f>
        <v>11112229</v>
      </c>
      <c r="B438" s="148" t="str">
        <f>IFERROR(__xludf.DUMMYFUNCTION("""COMPUTED_VALUE"""),"2024周年庆行军特效-幸运庆典-7天限时")</f>
        <v>2024周年庆行军特效-幸运庆典-7天限时</v>
      </c>
      <c r="C438" s="148"/>
      <c r="D438" s="148" t="str">
        <f>IFERROR(__xludf.DUMMYFUNCTION("""COMPUTED_VALUE"""),"marching_effect")</f>
        <v>marching_effect</v>
      </c>
      <c r="E438" s="148">
        <f>IFERROR(__xludf.DUMMYFUNCTION("""COMPUTED_VALUE"""),0.0)</f>
        <v>0</v>
      </c>
      <c r="F438" s="148">
        <f>IFERROR(__xludf.DUMMYFUNCTION("""COMPUTED_VALUE"""),408198.0)</f>
        <v>408198</v>
      </c>
      <c r="G438" s="148">
        <f>IFERROR(__xludf.DUMMYFUNCTION("""COMPUTED_VALUE"""),1.51100128E8)</f>
        <v>151100128</v>
      </c>
      <c r="H438" s="148">
        <f>IFERROR(__xludf.DUMMYFUNCTION("""COMPUTED_VALUE"""),1.5112562E7)</f>
        <v>15112562</v>
      </c>
      <c r="I438" s="148" t="str">
        <f>IFERROR(__xludf.DUMMYFUNCTION("""COMPUTED_VALUE"""),"{""typ"":""lc"",""txt"":""LC_ITEM_time_day_upper_show"",""args"":[{""typ"":""int_unit"",""val"":7}]}")</f>
        <v>{"typ":"lc","txt":"LC_ITEM_time_day_upper_show","args":[{"typ":"int_unit","val":7}]}</v>
      </c>
      <c r="J438" s="148" t="str">
        <f>IFERROR(__xludf.DUMMYFUNCTION("""COMPUTED_VALUE"""),"{""typ"":""lc"",""txt"":""LC_ITEM_2024_anni_march_effect_name_normal""}")</f>
        <v>{"typ":"lc","txt":"LC_ITEM_2024_anni_march_effect_name_normal"}</v>
      </c>
      <c r="K438" s="148" t="str">
        <f>IFERROR(__xludf.DUMMYFUNCTION("""COMPUTED_VALUE"""),"{""typ"":""lc"",""txt"":""LC_ITEM_2024_anni_march_effect_name_normal_desc""}")</f>
        <v>{"typ":"lc","txt":"LC_ITEM_2024_anni_march_effect_name_normal_desc"}</v>
      </c>
      <c r="L438" s="148" t="str">
        <f>IFERROR(__xludf.DUMMYFUNCTION("""COMPUTED_VALUE"""),"{""typ"":""lc"",""txt"":""LC_ITEM_2024_anni_normal_march_effect_usetip_7""}")</f>
        <v>{"typ":"lc","txt":"LC_ITEM_2024_anni_normal_march_effect_usetip_7"}</v>
      </c>
      <c r="M438" s="148">
        <f>IFERROR(__xludf.DUMMYFUNCTION("""COMPUTED_VALUE"""),500.0)</f>
        <v>500</v>
      </c>
      <c r="N438" s="148">
        <f>IFERROR(__xludf.DUMMYFUNCTION("""COMPUTED_VALUE"""),999999.0)</f>
        <v>999999</v>
      </c>
      <c r="O438" s="148">
        <f>IFERROR(__xludf.DUMMYFUNCTION("""COMPUTED_VALUE"""),99999.0)</f>
        <v>99999</v>
      </c>
      <c r="P438" s="148">
        <f>IFERROR(__xludf.DUMMYFUNCTION("""COMPUTED_VALUE"""),1.0)</f>
        <v>1</v>
      </c>
      <c r="Q438" s="148" t="str">
        <f>IFERROR(__xludf.DUMMYFUNCTION("""COMPUTED_VALUE"""),"[""bag_other""]")</f>
        <v>["bag_other"]</v>
      </c>
      <c r="R438" s="148" t="str">
        <f>IFERROR(__xludf.DUMMYFUNCTION("""COMPUTED_VALUE"""),"[""bag"",""13650123""]")</f>
        <v>["bag","13650123"]</v>
      </c>
      <c r="S438" s="148" t="str">
        <f>IFERROR(__xludf.DUMMYFUNCTION("""COMPUTED_VALUE"""),"{""effect"":[{""typ"":""marching_effect"",""id"":13650123,""val"":604800000},{""typ"":""vm"",""id"":11151001,""val"":500}]}")</f>
        <v>{"effect":[{"typ":"marching_effect","id":13650123,"val":604800000},{"typ":"vm","id":11151001,"val":500}]}</v>
      </c>
      <c r="T438" s="148">
        <f>IFERROR(__xludf.DUMMYFUNCTION("""COMPUTED_VALUE"""),-1.0)</f>
        <v>-1</v>
      </c>
      <c r="U438" s="148">
        <f>IFERROR(__xludf.DUMMYFUNCTION("""COMPUTED_VALUE"""),0.0)</f>
        <v>0</v>
      </c>
      <c r="V438" s="148" t="str">
        <f>IFERROR(__xludf.DUMMYFUNCTION("""COMPUTED_VALUE"""),"[]")</f>
        <v>[]</v>
      </c>
      <c r="W438" s="148">
        <f>IFERROR(__xludf.DUMMYFUNCTION("""COMPUTED_VALUE"""),1.174E7)</f>
        <v>11740000</v>
      </c>
      <c r="X438" s="148">
        <f>IFERROR(__xludf.DUMMYFUNCTION("""COMPUTED_VALUE"""),0.0)</f>
        <v>0</v>
      </c>
      <c r="Y438" s="148">
        <f>IFERROR(__xludf.DUMMYFUNCTION("""COMPUTED_VALUE"""),0.0)</f>
        <v>0</v>
      </c>
      <c r="Z438" s="148"/>
    </row>
    <row r="439">
      <c r="A439" s="148">
        <f>IFERROR(__xludf.DUMMYFUNCTION("""COMPUTED_VALUE"""),1.111223E7)</f>
        <v>11112230</v>
      </c>
      <c r="B439" s="148" t="str">
        <f>IFERROR(__xludf.DUMMYFUNCTION("""COMPUTED_VALUE"""),"2024周年庆行军特效-幸运庆典-14天限时")</f>
        <v>2024周年庆行军特效-幸运庆典-14天限时</v>
      </c>
      <c r="C439" s="148"/>
      <c r="D439" s="148" t="str">
        <f>IFERROR(__xludf.DUMMYFUNCTION("""COMPUTED_VALUE"""),"marching_effect")</f>
        <v>marching_effect</v>
      </c>
      <c r="E439" s="148">
        <f>IFERROR(__xludf.DUMMYFUNCTION("""COMPUTED_VALUE"""),0.0)</f>
        <v>0</v>
      </c>
      <c r="F439" s="148">
        <f>IFERROR(__xludf.DUMMYFUNCTION("""COMPUTED_VALUE"""),408197.0)</f>
        <v>408197</v>
      </c>
      <c r="G439" s="148">
        <f>IFERROR(__xludf.DUMMYFUNCTION("""COMPUTED_VALUE"""),1.51100128E8)</f>
        <v>151100128</v>
      </c>
      <c r="H439" s="148">
        <f>IFERROR(__xludf.DUMMYFUNCTION("""COMPUTED_VALUE"""),1.5112563E7)</f>
        <v>15112563</v>
      </c>
      <c r="I439" s="148" t="str">
        <f>IFERROR(__xludf.DUMMYFUNCTION("""COMPUTED_VALUE"""),"{""typ"":""lc"",""txt"":""LC_ITEM_time_day_upper_show"",""args"":[{""typ"":""int_unit"",""val"":14}]}")</f>
        <v>{"typ":"lc","txt":"LC_ITEM_time_day_upper_show","args":[{"typ":"int_unit","val":14}]}</v>
      </c>
      <c r="J439" s="148" t="str">
        <f>IFERROR(__xludf.DUMMYFUNCTION("""COMPUTED_VALUE"""),"{""typ"":""lc"",""txt"":""LC_ITEM_2024_anni_march_effect_name_normal""}")</f>
        <v>{"typ":"lc","txt":"LC_ITEM_2024_anni_march_effect_name_normal"}</v>
      </c>
      <c r="K439" s="148" t="str">
        <f>IFERROR(__xludf.DUMMYFUNCTION("""COMPUTED_VALUE"""),"{""typ"":""lc"",""txt"":""LC_ITEM_2024_anni_march_effect_name_normal_desc""}")</f>
        <v>{"typ":"lc","txt":"LC_ITEM_2024_anni_march_effect_name_normal_desc"}</v>
      </c>
      <c r="L439" s="148" t="str">
        <f>IFERROR(__xludf.DUMMYFUNCTION("""COMPUTED_VALUE"""),"{""typ"":""lc"",""txt"":""LC_ITEM_2024_anni_normal_march_effect_usetip_14""}")</f>
        <v>{"typ":"lc","txt":"LC_ITEM_2024_anni_normal_march_effect_usetip_14"}</v>
      </c>
      <c r="M439" s="148">
        <f>IFERROR(__xludf.DUMMYFUNCTION("""COMPUTED_VALUE"""),1000.0)</f>
        <v>1000</v>
      </c>
      <c r="N439" s="148">
        <f>IFERROR(__xludf.DUMMYFUNCTION("""COMPUTED_VALUE"""),999999.0)</f>
        <v>999999</v>
      </c>
      <c r="O439" s="148">
        <f>IFERROR(__xludf.DUMMYFUNCTION("""COMPUTED_VALUE"""),99999.0)</f>
        <v>99999</v>
      </c>
      <c r="P439" s="148">
        <f>IFERROR(__xludf.DUMMYFUNCTION("""COMPUTED_VALUE"""),1.0)</f>
        <v>1</v>
      </c>
      <c r="Q439" s="148" t="str">
        <f>IFERROR(__xludf.DUMMYFUNCTION("""COMPUTED_VALUE"""),"[""bag_other""]")</f>
        <v>["bag_other"]</v>
      </c>
      <c r="R439" s="148" t="str">
        <f>IFERROR(__xludf.DUMMYFUNCTION("""COMPUTED_VALUE"""),"[""bag"",""13650123""]")</f>
        <v>["bag","13650123"]</v>
      </c>
      <c r="S439" s="148" t="str">
        <f>IFERROR(__xludf.DUMMYFUNCTION("""COMPUTED_VALUE"""),"{""effect"":[{""typ"":""marching_effect"",""id"":13650123,""val"":1209600000},{""typ"":""vm"",""id"":11151001,""val"":1000}]}")</f>
        <v>{"effect":[{"typ":"marching_effect","id":13650123,"val":1209600000},{"typ":"vm","id":11151001,"val":1000}]}</v>
      </c>
      <c r="T439" s="148">
        <f>IFERROR(__xludf.DUMMYFUNCTION("""COMPUTED_VALUE"""),-1.0)</f>
        <v>-1</v>
      </c>
      <c r="U439" s="148">
        <f>IFERROR(__xludf.DUMMYFUNCTION("""COMPUTED_VALUE"""),0.0)</f>
        <v>0</v>
      </c>
      <c r="V439" s="148" t="str">
        <f>IFERROR(__xludf.DUMMYFUNCTION("""COMPUTED_VALUE"""),"[]")</f>
        <v>[]</v>
      </c>
      <c r="W439" s="148">
        <f>IFERROR(__xludf.DUMMYFUNCTION("""COMPUTED_VALUE"""),1.174E7)</f>
        <v>11740000</v>
      </c>
      <c r="X439" s="148">
        <f>IFERROR(__xludf.DUMMYFUNCTION("""COMPUTED_VALUE"""),0.0)</f>
        <v>0</v>
      </c>
      <c r="Y439" s="148">
        <f>IFERROR(__xludf.DUMMYFUNCTION("""COMPUTED_VALUE"""),0.0)</f>
        <v>0</v>
      </c>
      <c r="Z439" s="148"/>
    </row>
    <row r="440">
      <c r="A440" s="148">
        <f>IFERROR(__xludf.DUMMYFUNCTION("""COMPUTED_VALUE"""),1.1112231E7)</f>
        <v>11112231</v>
      </c>
      <c r="B440" s="148" t="str">
        <f>IFERROR(__xludf.DUMMYFUNCTION("""COMPUTED_VALUE"""),"2024周年庆行军特效-幸运庆典-30天限时")</f>
        <v>2024周年庆行军特效-幸运庆典-30天限时</v>
      </c>
      <c r="C440" s="148"/>
      <c r="D440" s="148" t="str">
        <f>IFERROR(__xludf.DUMMYFUNCTION("""COMPUTED_VALUE"""),"marching_effect")</f>
        <v>marching_effect</v>
      </c>
      <c r="E440" s="148">
        <f>IFERROR(__xludf.DUMMYFUNCTION("""COMPUTED_VALUE"""),0.0)</f>
        <v>0</v>
      </c>
      <c r="F440" s="148">
        <f>IFERROR(__xludf.DUMMYFUNCTION("""COMPUTED_VALUE"""),408197.0)</f>
        <v>408197</v>
      </c>
      <c r="G440" s="148">
        <f>IFERROR(__xludf.DUMMYFUNCTION("""COMPUTED_VALUE"""),1.51100128E8)</f>
        <v>151100128</v>
      </c>
      <c r="H440" s="148">
        <f>IFERROR(__xludf.DUMMYFUNCTION("""COMPUTED_VALUE"""),1.5112563E7)</f>
        <v>15112563</v>
      </c>
      <c r="I440" s="148" t="str">
        <f>IFERROR(__xludf.DUMMYFUNCTION("""COMPUTED_VALUE"""),"{""typ"":""lc"",""txt"":""LC_ITEM_time_day_upper_show"",""args"":[{""typ"":""int_unit"",""val"":30}]}")</f>
        <v>{"typ":"lc","txt":"LC_ITEM_time_day_upper_show","args":[{"typ":"int_unit","val":30}]}</v>
      </c>
      <c r="J440" s="148" t="str">
        <f>IFERROR(__xludf.DUMMYFUNCTION("""COMPUTED_VALUE"""),"{""typ"":""lc"",""txt"":""LC_ITEM_2024_anni_march_effect_name_normal""}")</f>
        <v>{"typ":"lc","txt":"LC_ITEM_2024_anni_march_effect_name_normal"}</v>
      </c>
      <c r="K440" s="148" t="str">
        <f>IFERROR(__xludf.DUMMYFUNCTION("""COMPUTED_VALUE"""),"{""typ"":""lc"",""txt"":""LC_ITEM_2024_anni_march_effect_name_normal_desc""}")</f>
        <v>{"typ":"lc","txt":"LC_ITEM_2024_anni_march_effect_name_normal_desc"}</v>
      </c>
      <c r="L440" s="148" t="str">
        <f>IFERROR(__xludf.DUMMYFUNCTION("""COMPUTED_VALUE"""),"{""typ"":""lc"",""txt"":""LC_ITEM_2024_anni_normal_march_effect_usetip_30""}")</f>
        <v>{"typ":"lc","txt":"LC_ITEM_2024_anni_normal_march_effect_usetip_30"}</v>
      </c>
      <c r="M440" s="148">
        <f>IFERROR(__xludf.DUMMYFUNCTION("""COMPUTED_VALUE"""),1000.0)</f>
        <v>1000</v>
      </c>
      <c r="N440" s="148">
        <f>IFERROR(__xludf.DUMMYFUNCTION("""COMPUTED_VALUE"""),999999.0)</f>
        <v>999999</v>
      </c>
      <c r="O440" s="148">
        <f>IFERROR(__xludf.DUMMYFUNCTION("""COMPUTED_VALUE"""),99999.0)</f>
        <v>99999</v>
      </c>
      <c r="P440" s="148">
        <f>IFERROR(__xludf.DUMMYFUNCTION("""COMPUTED_VALUE"""),1.0)</f>
        <v>1</v>
      </c>
      <c r="Q440" s="148" t="str">
        <f>IFERROR(__xludf.DUMMYFUNCTION("""COMPUTED_VALUE"""),"[""bag_other""]")</f>
        <v>["bag_other"]</v>
      </c>
      <c r="R440" s="148" t="str">
        <f>IFERROR(__xludf.DUMMYFUNCTION("""COMPUTED_VALUE"""),"[""bag"",""13650123""]")</f>
        <v>["bag","13650123"]</v>
      </c>
      <c r="S440" s="148" t="str">
        <f>IFERROR(__xludf.DUMMYFUNCTION("""COMPUTED_VALUE"""),"{""effect"":[{""typ"":""marching_effect"",""id"":13650123,""val"":2592000000},{""typ"":""vm"",""id"":11151001,""val"":1000}]}")</f>
        <v>{"effect":[{"typ":"marching_effect","id":13650123,"val":2592000000},{"typ":"vm","id":11151001,"val":1000}]}</v>
      </c>
      <c r="T440" s="148">
        <f>IFERROR(__xludf.DUMMYFUNCTION("""COMPUTED_VALUE"""),-1.0)</f>
        <v>-1</v>
      </c>
      <c r="U440" s="148">
        <f>IFERROR(__xludf.DUMMYFUNCTION("""COMPUTED_VALUE"""),0.0)</f>
        <v>0</v>
      </c>
      <c r="V440" s="148" t="str">
        <f>IFERROR(__xludf.DUMMYFUNCTION("""COMPUTED_VALUE"""),"[]")</f>
        <v>[]</v>
      </c>
      <c r="W440" s="148">
        <f>IFERROR(__xludf.DUMMYFUNCTION("""COMPUTED_VALUE"""),1.174E7)</f>
        <v>11740000</v>
      </c>
      <c r="X440" s="148">
        <f>IFERROR(__xludf.DUMMYFUNCTION("""COMPUTED_VALUE"""),0.0)</f>
        <v>0</v>
      </c>
      <c r="Y440" s="148">
        <f>IFERROR(__xludf.DUMMYFUNCTION("""COMPUTED_VALUE"""),0.0)</f>
        <v>0</v>
      </c>
      <c r="Z440" s="148"/>
    </row>
    <row r="441">
      <c r="A441" s="148">
        <f>IFERROR(__xludf.DUMMYFUNCTION("""COMPUTED_VALUE"""),1.1112232E7)</f>
        <v>11112232</v>
      </c>
      <c r="B441" s="148" t="str">
        <f>IFERROR(__xludf.DUMMYFUNCTION("""COMPUTED_VALUE"""),"2024周年庆行军特效-幸运庆典-永久")</f>
        <v>2024周年庆行军特效-幸运庆典-永久</v>
      </c>
      <c r="C441" s="148"/>
      <c r="D441" s="148" t="str">
        <f>IFERROR(__xludf.DUMMYFUNCTION("""COMPUTED_VALUE"""),"marching_effect")</f>
        <v>marching_effect</v>
      </c>
      <c r="E441" s="148">
        <f>IFERROR(__xludf.DUMMYFUNCTION("""COMPUTED_VALUE"""),0.0)</f>
        <v>0</v>
      </c>
      <c r="F441" s="148">
        <f>IFERROR(__xludf.DUMMYFUNCTION("""COMPUTED_VALUE"""),408195.0)</f>
        <v>408195</v>
      </c>
      <c r="G441" s="148">
        <f>IFERROR(__xludf.DUMMYFUNCTION("""COMPUTED_VALUE"""),1.51100128E8)</f>
        <v>151100128</v>
      </c>
      <c r="H441" s="148">
        <f>IFERROR(__xludf.DUMMYFUNCTION("""COMPUTED_VALUE"""),1.5112564E7)</f>
        <v>15112564</v>
      </c>
      <c r="I441" s="148" t="str">
        <f>IFERROR(__xludf.DUMMYFUNCTION("""COMPUTED_VALUE"""),"{}")</f>
        <v>{}</v>
      </c>
      <c r="J441" s="148" t="str">
        <f>IFERROR(__xludf.DUMMYFUNCTION("""COMPUTED_VALUE"""),"{""typ"":""lc"",""txt"":""LC_ITEM_2024_anni_march_effect_name_normal""}")</f>
        <v>{"typ":"lc","txt":"LC_ITEM_2024_anni_march_effect_name_normal"}</v>
      </c>
      <c r="K441" s="148" t="str">
        <f>IFERROR(__xludf.DUMMYFUNCTION("""COMPUTED_VALUE"""),"{""typ"":""lc"",""txt"":""LC_ITEM_2024_anni_march_effect_name_normal_desc""}")</f>
        <v>{"typ":"lc","txt":"LC_ITEM_2024_anni_march_effect_name_normal_desc"}</v>
      </c>
      <c r="L441" s="148" t="str">
        <f>IFERROR(__xludf.DUMMYFUNCTION("""COMPUTED_VALUE"""),"{""typ"":""lc"",""txt"":""LC_ITEM_2024_anni_normal_march_effect_usetip""}")</f>
        <v>{"typ":"lc","txt":"LC_ITEM_2024_anni_normal_march_effect_usetip"}</v>
      </c>
      <c r="M441" s="148">
        <f>IFERROR(__xludf.DUMMYFUNCTION("""COMPUTED_VALUE"""),5000.0)</f>
        <v>5000</v>
      </c>
      <c r="N441" s="148">
        <f>IFERROR(__xludf.DUMMYFUNCTION("""COMPUTED_VALUE"""),999999.0)</f>
        <v>999999</v>
      </c>
      <c r="O441" s="148">
        <f>IFERROR(__xludf.DUMMYFUNCTION("""COMPUTED_VALUE"""),99999.0)</f>
        <v>99999</v>
      </c>
      <c r="P441" s="148">
        <f>IFERROR(__xludf.DUMMYFUNCTION("""COMPUTED_VALUE"""),1.0)</f>
        <v>1</v>
      </c>
      <c r="Q441" s="148" t="str">
        <f>IFERROR(__xludf.DUMMYFUNCTION("""COMPUTED_VALUE"""),"[""bag_other""]")</f>
        <v>["bag_other"]</v>
      </c>
      <c r="R441" s="148" t="str">
        <f>IFERROR(__xludf.DUMMYFUNCTION("""COMPUTED_VALUE"""),"[""bag"",""13650123""]")</f>
        <v>["bag","13650123"]</v>
      </c>
      <c r="S441" s="148" t="str">
        <f>IFERROR(__xludf.DUMMYFUNCTION("""COMPUTED_VALUE"""),"{""effect"":[{""typ"":""marching_effect"",""id"":13650123,""val"":-1},{""typ"":""vm"",""id"":11151001,""val"":2500}]}")</f>
        <v>{"effect":[{"typ":"marching_effect","id":13650123,"val":-1},{"typ":"vm","id":11151001,"val":2500}]}</v>
      </c>
      <c r="T441" s="148">
        <f>IFERROR(__xludf.DUMMYFUNCTION("""COMPUTED_VALUE"""),-1.0)</f>
        <v>-1</v>
      </c>
      <c r="U441" s="148">
        <f>IFERROR(__xludf.DUMMYFUNCTION("""COMPUTED_VALUE"""),0.0)</f>
        <v>0</v>
      </c>
      <c r="V441" s="148" t="str">
        <f>IFERROR(__xludf.DUMMYFUNCTION("""COMPUTED_VALUE"""),"[]")</f>
        <v>[]</v>
      </c>
      <c r="W441" s="148">
        <f>IFERROR(__xludf.DUMMYFUNCTION("""COMPUTED_VALUE"""),1.174E7)</f>
        <v>11740000</v>
      </c>
      <c r="X441" s="148">
        <f>IFERROR(__xludf.DUMMYFUNCTION("""COMPUTED_VALUE"""),0.0)</f>
        <v>0</v>
      </c>
      <c r="Y441" s="148">
        <f>IFERROR(__xludf.DUMMYFUNCTION("""COMPUTED_VALUE"""),0.0)</f>
        <v>0</v>
      </c>
      <c r="Z441" s="148"/>
    </row>
    <row r="442">
      <c r="A442" s="148">
        <f>IFERROR(__xludf.DUMMYFUNCTION("""COMPUTED_VALUE"""),1.1112233E7)</f>
        <v>11112233</v>
      </c>
      <c r="B442" s="148" t="str">
        <f>IFERROR(__xludf.DUMMYFUNCTION("""COMPUTED_VALUE"""),"2024周年庆铭牌-狂欢烙印")</f>
        <v>2024周年庆铭牌-狂欢烙印</v>
      </c>
      <c r="C442" s="148"/>
      <c r="D442" s="148" t="str">
        <f>IFERROR(__xludf.DUMMYFUNCTION("""COMPUTED_VALUE"""),"chat_skin")</f>
        <v>chat_skin</v>
      </c>
      <c r="E442" s="148">
        <f>IFERROR(__xludf.DUMMYFUNCTION("""COMPUTED_VALUE"""),30.0)</f>
        <v>30</v>
      </c>
      <c r="F442" s="148">
        <f>IFERROR(__xludf.DUMMYFUNCTION("""COMPUTED_VALUE"""),401107.0)</f>
        <v>401107</v>
      </c>
      <c r="G442" s="148">
        <f>IFERROR(__xludf.DUMMYFUNCTION("""COMPUTED_VALUE"""),1.51100211E8)</f>
        <v>151100211</v>
      </c>
      <c r="H442" s="148">
        <f>IFERROR(__xludf.DUMMYFUNCTION("""COMPUTED_VALUE"""),1.5112564E7)</f>
        <v>15112564</v>
      </c>
      <c r="I442" s="148" t="str">
        <f>IFERROR(__xludf.DUMMYFUNCTION("""COMPUTED_VALUE"""),"{}")</f>
        <v>{}</v>
      </c>
      <c r="J442" s="148" t="str">
        <f>IFERROR(__xludf.DUMMYFUNCTION("""COMPUTED_VALUE"""),"{""typ"":""lc"",""txt"":""LC_ITEM_anni_nameplate_title_2024""}")</f>
        <v>{"typ":"lc","txt":"LC_ITEM_anni_nameplate_title_2024"}</v>
      </c>
      <c r="K442" s="148" t="str">
        <f>IFERROR(__xludf.DUMMYFUNCTION("""COMPUTED_VALUE"""),"{""typ"":""lc"",""txt"":""LC_ITEM_anni_nameplate_title_2024_desc_item""}")</f>
        <v>{"typ":"lc","txt":"LC_ITEM_anni_nameplate_title_2024_desc_item"}</v>
      </c>
      <c r="L442" s="148" t="str">
        <f>IFERROR(__xludf.DUMMYFUNCTION("""COMPUTED_VALUE"""),"{""typ"":""lc"",""txt"":""LC_ITEM_season_extra_reward_usedtip""}")</f>
        <v>{"typ":"lc","txt":"LC_ITEM_season_extra_reward_usedtip"}</v>
      </c>
      <c r="M442" s="148">
        <f>IFERROR(__xludf.DUMMYFUNCTION("""COMPUTED_VALUE"""),2500.0)</f>
        <v>2500</v>
      </c>
      <c r="N442" s="148">
        <f>IFERROR(__xludf.DUMMYFUNCTION("""COMPUTED_VALUE"""),9999999.0)</f>
        <v>9999999</v>
      </c>
      <c r="O442" s="148">
        <f>IFERROR(__xludf.DUMMYFUNCTION("""COMPUTED_VALUE"""),1.0)</f>
        <v>1</v>
      </c>
      <c r="P442" s="148">
        <f>IFERROR(__xludf.DUMMYFUNCTION("""COMPUTED_VALUE"""),1.0)</f>
        <v>1</v>
      </c>
      <c r="Q442" s="148" t="str">
        <f>IFERROR(__xludf.DUMMYFUNCTION("""COMPUTED_VALUE"""),"[""bag_other""]")</f>
        <v>["bag_other"]</v>
      </c>
      <c r="R442" s="148" t="str">
        <f>IFERROR(__xludf.DUMMYFUNCTION("""COMPUTED_VALUE"""),"[""11731026"",""bag""]")</f>
        <v>["11731026","bag"]</v>
      </c>
      <c r="S442" s="148" t="str">
        <f>IFERROR(__xludf.DUMMYFUNCTION("""COMPUTED_VALUE"""),"{""effect"":[{""typ"":""nameplate"",""id"":11731026,""val"":-1}]}")</f>
        <v>{"effect":[{"typ":"nameplate","id":11731026,"val":-1}]}</v>
      </c>
      <c r="T442" s="148">
        <f>IFERROR(__xludf.DUMMYFUNCTION("""COMPUTED_VALUE"""),-1.0)</f>
        <v>-1</v>
      </c>
      <c r="U442" s="148">
        <f>IFERROR(__xludf.DUMMYFUNCTION("""COMPUTED_VALUE"""),0.0)</f>
        <v>0</v>
      </c>
      <c r="V442" s="148" t="str">
        <f>IFERROR(__xludf.DUMMYFUNCTION("""COMPUTED_VALUE"""),"[]")</f>
        <v>[]</v>
      </c>
      <c r="W442" s="148">
        <f>IFERROR(__xludf.DUMMYFUNCTION("""COMPUTED_VALUE"""),1.174E7)</f>
        <v>11740000</v>
      </c>
      <c r="X442" s="148">
        <f>IFERROR(__xludf.DUMMYFUNCTION("""COMPUTED_VALUE"""),0.0)</f>
        <v>0</v>
      </c>
      <c r="Y442" s="148">
        <f>IFERROR(__xludf.DUMMYFUNCTION("""COMPUTED_VALUE"""),0.0)</f>
        <v>0</v>
      </c>
      <c r="Z442" s="148"/>
    </row>
    <row r="443">
      <c r="A443" s="148">
        <f>IFERROR(__xludf.DUMMYFUNCTION("""COMPUTED_VALUE"""),1.1112234E7)</f>
        <v>11112234</v>
      </c>
      <c r="B443" s="148" t="str">
        <f>IFERROR(__xludf.DUMMYFUNCTION("""COMPUTED_VALUE"""),"2024周年庆行军特效-璀璨之星-1天限时")</f>
        <v>2024周年庆行军特效-璀璨之星-1天限时</v>
      </c>
      <c r="C443" s="148"/>
      <c r="D443" s="148" t="str">
        <f>IFERROR(__xludf.DUMMYFUNCTION("""COMPUTED_VALUE"""),"marching_effect")</f>
        <v>marching_effect</v>
      </c>
      <c r="E443" s="148">
        <f>IFERROR(__xludf.DUMMYFUNCTION("""COMPUTED_VALUE"""),0.0)</f>
        <v>0</v>
      </c>
      <c r="F443" s="148">
        <f>IFERROR(__xludf.DUMMYFUNCTION("""COMPUTED_VALUE"""),408200.0)</f>
        <v>408200</v>
      </c>
      <c r="G443" s="148">
        <f>IFERROR(__xludf.DUMMYFUNCTION("""COMPUTED_VALUE"""),1.51100129E8)</f>
        <v>151100129</v>
      </c>
      <c r="H443" s="148">
        <f>IFERROR(__xludf.DUMMYFUNCTION("""COMPUTED_VALUE"""),1.511256E7)</f>
        <v>15112560</v>
      </c>
      <c r="I443" s="148" t="str">
        <f>IFERROR(__xludf.DUMMYFUNCTION("""COMPUTED_VALUE"""),"{""typ"":""lc"",""txt"":""LC_ITEM_time_day_upper_show"",""args"":[{""typ"":""int_unit"",""val"":1}]}")</f>
        <v>{"typ":"lc","txt":"LC_ITEM_time_day_upper_show","args":[{"typ":"int_unit","val":1}]}</v>
      </c>
      <c r="J443" s="148" t="str">
        <f>IFERROR(__xludf.DUMMYFUNCTION("""COMPUTED_VALUE"""),"{""typ"":""lc"",""txt"":""LC_ITEM_2024_anni_march_effect_name_advance""}")</f>
        <v>{"typ":"lc","txt":"LC_ITEM_2024_anni_march_effect_name_advance"}</v>
      </c>
      <c r="K443" s="148" t="str">
        <f>IFERROR(__xludf.DUMMYFUNCTION("""COMPUTED_VALUE"""),"{""typ"":""lc"",""txt"":""LC_ITEM_2024_anni_march_effect_name_advance_desc""}")</f>
        <v>{"typ":"lc","txt":"LC_ITEM_2024_anni_march_effect_name_advance_desc"}</v>
      </c>
      <c r="L443" s="148" t="str">
        <f>IFERROR(__xludf.DUMMYFUNCTION("""COMPUTED_VALUE"""),"{""typ"":""lc"",""txt"":""LC_ITEM_2024_anni_advance_march_effect_usetip_1""}")</f>
        <v>{"typ":"lc","txt":"LC_ITEM_2024_anni_advance_march_effect_usetip_1"}</v>
      </c>
      <c r="M443" s="148">
        <f>IFERROR(__xludf.DUMMYFUNCTION("""COMPUTED_VALUE"""),250.0)</f>
        <v>250</v>
      </c>
      <c r="N443" s="148">
        <f>IFERROR(__xludf.DUMMYFUNCTION("""COMPUTED_VALUE"""),999999.0)</f>
        <v>999999</v>
      </c>
      <c r="O443" s="148">
        <f>IFERROR(__xludf.DUMMYFUNCTION("""COMPUTED_VALUE"""),99999.0)</f>
        <v>99999</v>
      </c>
      <c r="P443" s="148">
        <f>IFERROR(__xludf.DUMMYFUNCTION("""COMPUTED_VALUE"""),1.0)</f>
        <v>1</v>
      </c>
      <c r="Q443" s="148" t="str">
        <f>IFERROR(__xludf.DUMMYFUNCTION("""COMPUTED_VALUE"""),"[""bag_other""]")</f>
        <v>["bag_other"]</v>
      </c>
      <c r="R443" s="148" t="str">
        <f>IFERROR(__xludf.DUMMYFUNCTION("""COMPUTED_VALUE"""),"[""bag"",""13650124""]")</f>
        <v>["bag","13650124"]</v>
      </c>
      <c r="S443" s="148" t="str">
        <f>IFERROR(__xludf.DUMMYFUNCTION("""COMPUTED_VALUE"""),"{""effect"":[{""typ"":""marching_effect"",""id"":13650124,""val"":86400000},{""typ"":""vm"",""id"":11151001,""val"":50}]}")</f>
        <v>{"effect":[{"typ":"marching_effect","id":13650124,"val":86400000},{"typ":"vm","id":11151001,"val":50}]}</v>
      </c>
      <c r="T443" s="148">
        <f>IFERROR(__xludf.DUMMYFUNCTION("""COMPUTED_VALUE"""),-1.0)</f>
        <v>-1</v>
      </c>
      <c r="U443" s="148">
        <f>IFERROR(__xludf.DUMMYFUNCTION("""COMPUTED_VALUE"""),0.0)</f>
        <v>0</v>
      </c>
      <c r="V443" s="148" t="str">
        <f>IFERROR(__xludf.DUMMYFUNCTION("""COMPUTED_VALUE"""),"[]")</f>
        <v>[]</v>
      </c>
      <c r="W443" s="148">
        <f>IFERROR(__xludf.DUMMYFUNCTION("""COMPUTED_VALUE"""),1.174E7)</f>
        <v>11740000</v>
      </c>
      <c r="X443" s="148">
        <f>IFERROR(__xludf.DUMMYFUNCTION("""COMPUTED_VALUE"""),0.0)</f>
        <v>0</v>
      </c>
      <c r="Y443" s="148">
        <f>IFERROR(__xludf.DUMMYFUNCTION("""COMPUTED_VALUE"""),0.0)</f>
        <v>0</v>
      </c>
      <c r="Z443" s="148"/>
    </row>
    <row r="444">
      <c r="A444" s="148">
        <f>IFERROR(__xludf.DUMMYFUNCTION("""COMPUTED_VALUE"""),1.1112235E7)</f>
        <v>11112235</v>
      </c>
      <c r="B444" s="148" t="str">
        <f>IFERROR(__xludf.DUMMYFUNCTION("""COMPUTED_VALUE"""),"2024周年庆行军特效-璀璨之星-3天限时")</f>
        <v>2024周年庆行军特效-璀璨之星-3天限时</v>
      </c>
      <c r="C444" s="148"/>
      <c r="D444" s="148" t="str">
        <f>IFERROR(__xludf.DUMMYFUNCTION("""COMPUTED_VALUE"""),"marching_effect")</f>
        <v>marching_effect</v>
      </c>
      <c r="E444" s="148">
        <f>IFERROR(__xludf.DUMMYFUNCTION("""COMPUTED_VALUE"""),0.0)</f>
        <v>0</v>
      </c>
      <c r="F444" s="148">
        <f>IFERROR(__xludf.DUMMYFUNCTION("""COMPUTED_VALUE"""),408199.0)</f>
        <v>408199</v>
      </c>
      <c r="G444" s="148">
        <f>IFERROR(__xludf.DUMMYFUNCTION("""COMPUTED_VALUE"""),1.51100129E8)</f>
        <v>151100129</v>
      </c>
      <c r="H444" s="148">
        <f>IFERROR(__xludf.DUMMYFUNCTION("""COMPUTED_VALUE"""),1.5112561E7)</f>
        <v>15112561</v>
      </c>
      <c r="I444" s="148" t="str">
        <f>IFERROR(__xludf.DUMMYFUNCTION("""COMPUTED_VALUE"""),"{""typ"":""lc"",""txt"":""LC_ITEM_time_day_upper_show"",""args"":[{""typ"":""int_unit"",""val"":3}]}")</f>
        <v>{"typ":"lc","txt":"LC_ITEM_time_day_upper_show","args":[{"typ":"int_unit","val":3}]}</v>
      </c>
      <c r="J444" s="148" t="str">
        <f>IFERROR(__xludf.DUMMYFUNCTION("""COMPUTED_VALUE"""),"{""typ"":""lc"",""txt"":""LC_ITEM_2024_anni_march_effect_name_advance""}")</f>
        <v>{"typ":"lc","txt":"LC_ITEM_2024_anni_march_effect_name_advance"}</v>
      </c>
      <c r="K444" s="148" t="str">
        <f>IFERROR(__xludf.DUMMYFUNCTION("""COMPUTED_VALUE"""),"{""typ"":""lc"",""txt"":""LC_ITEM_2024_anni_march_effect_name_advance_desc""}")</f>
        <v>{"typ":"lc","txt":"LC_ITEM_2024_anni_march_effect_name_advance_desc"}</v>
      </c>
      <c r="L444" s="148" t="str">
        <f>IFERROR(__xludf.DUMMYFUNCTION("""COMPUTED_VALUE"""),"{""typ"":""lc"",""txt"":""LC_ITEM_2024_anni_advance_march_effect_usetip_3""}")</f>
        <v>{"typ":"lc","txt":"LC_ITEM_2024_anni_advance_march_effect_usetip_3"}</v>
      </c>
      <c r="M444" s="148">
        <f>IFERROR(__xludf.DUMMYFUNCTION("""COMPUTED_VALUE"""),2000.0)</f>
        <v>2000</v>
      </c>
      <c r="N444" s="148">
        <f>IFERROR(__xludf.DUMMYFUNCTION("""COMPUTED_VALUE"""),999999.0)</f>
        <v>999999</v>
      </c>
      <c r="O444" s="148">
        <f>IFERROR(__xludf.DUMMYFUNCTION("""COMPUTED_VALUE"""),99999.0)</f>
        <v>99999</v>
      </c>
      <c r="P444" s="148">
        <f>IFERROR(__xludf.DUMMYFUNCTION("""COMPUTED_VALUE"""),1.0)</f>
        <v>1</v>
      </c>
      <c r="Q444" s="148" t="str">
        <f>IFERROR(__xludf.DUMMYFUNCTION("""COMPUTED_VALUE"""),"[""bag_other""]")</f>
        <v>["bag_other"]</v>
      </c>
      <c r="R444" s="148" t="str">
        <f>IFERROR(__xludf.DUMMYFUNCTION("""COMPUTED_VALUE"""),"[""bag"",""13650124""]")</f>
        <v>["bag","13650124"]</v>
      </c>
      <c r="S444" s="148" t="str">
        <f>IFERROR(__xludf.DUMMYFUNCTION("""COMPUTED_VALUE"""),"{""effect"":[{""typ"":""marching_effect"",""id"":13650124,""val"":259200000},{""typ"":""vm"",""id"":11151001,""val"":200}]}")</f>
        <v>{"effect":[{"typ":"marching_effect","id":13650124,"val":259200000},{"typ":"vm","id":11151001,"val":200}]}</v>
      </c>
      <c r="T444" s="148">
        <f>IFERROR(__xludf.DUMMYFUNCTION("""COMPUTED_VALUE"""),-1.0)</f>
        <v>-1</v>
      </c>
      <c r="U444" s="148">
        <f>IFERROR(__xludf.DUMMYFUNCTION("""COMPUTED_VALUE"""),0.0)</f>
        <v>0</v>
      </c>
      <c r="V444" s="148" t="str">
        <f>IFERROR(__xludf.DUMMYFUNCTION("""COMPUTED_VALUE"""),"[]")</f>
        <v>[]</v>
      </c>
      <c r="W444" s="148">
        <f>IFERROR(__xludf.DUMMYFUNCTION("""COMPUTED_VALUE"""),1.174E7)</f>
        <v>11740000</v>
      </c>
      <c r="X444" s="148">
        <f>IFERROR(__xludf.DUMMYFUNCTION("""COMPUTED_VALUE"""),0.0)</f>
        <v>0</v>
      </c>
      <c r="Y444" s="148">
        <f>IFERROR(__xludf.DUMMYFUNCTION("""COMPUTED_VALUE"""),0.0)</f>
        <v>0</v>
      </c>
      <c r="Z444" s="148"/>
    </row>
    <row r="445">
      <c r="A445" s="148">
        <f>IFERROR(__xludf.DUMMYFUNCTION("""COMPUTED_VALUE"""),1.1112236E7)</f>
        <v>11112236</v>
      </c>
      <c r="B445" s="148" t="str">
        <f>IFERROR(__xludf.DUMMYFUNCTION("""COMPUTED_VALUE"""),"2024周年庆行军特效-璀璨之星-7天限时")</f>
        <v>2024周年庆行军特效-璀璨之星-7天限时</v>
      </c>
      <c r="C445" s="148"/>
      <c r="D445" s="148" t="str">
        <f>IFERROR(__xludf.DUMMYFUNCTION("""COMPUTED_VALUE"""),"marching_effect")</f>
        <v>marching_effect</v>
      </c>
      <c r="E445" s="148">
        <f>IFERROR(__xludf.DUMMYFUNCTION("""COMPUTED_VALUE"""),0.0)</f>
        <v>0</v>
      </c>
      <c r="F445" s="148">
        <f>IFERROR(__xludf.DUMMYFUNCTION("""COMPUTED_VALUE"""),408198.0)</f>
        <v>408198</v>
      </c>
      <c r="G445" s="148">
        <f>IFERROR(__xludf.DUMMYFUNCTION("""COMPUTED_VALUE"""),1.51100129E8)</f>
        <v>151100129</v>
      </c>
      <c r="H445" s="148">
        <f>IFERROR(__xludf.DUMMYFUNCTION("""COMPUTED_VALUE"""),1.5112562E7)</f>
        <v>15112562</v>
      </c>
      <c r="I445" s="148" t="str">
        <f>IFERROR(__xludf.DUMMYFUNCTION("""COMPUTED_VALUE"""),"{""typ"":""lc"",""txt"":""LC_ITEM_time_day_upper_show"",""args"":[{""typ"":""int_unit"",""val"":7}]}")</f>
        <v>{"typ":"lc","txt":"LC_ITEM_time_day_upper_show","args":[{"typ":"int_unit","val":7}]}</v>
      </c>
      <c r="J445" s="148" t="str">
        <f>IFERROR(__xludf.DUMMYFUNCTION("""COMPUTED_VALUE"""),"{""typ"":""lc"",""txt"":""LC_ITEM_2024_anni_march_effect_name_advance""}")</f>
        <v>{"typ":"lc","txt":"LC_ITEM_2024_anni_march_effect_name_advance"}</v>
      </c>
      <c r="K445" s="148" t="str">
        <f>IFERROR(__xludf.DUMMYFUNCTION("""COMPUTED_VALUE"""),"{""typ"":""lc"",""txt"":""LC_ITEM_2024_anni_march_effect_name_advance_desc""}")</f>
        <v>{"typ":"lc","txt":"LC_ITEM_2024_anni_march_effect_name_advance_desc"}</v>
      </c>
      <c r="L445" s="148" t="str">
        <f>IFERROR(__xludf.DUMMYFUNCTION("""COMPUTED_VALUE"""),"{""typ"":""lc"",""txt"":""LC_ITEM_2024_anni_advance_march_effect_usetip_7""}")</f>
        <v>{"typ":"lc","txt":"LC_ITEM_2024_anni_advance_march_effect_usetip_7"}</v>
      </c>
      <c r="M445" s="148">
        <f>IFERROR(__xludf.DUMMYFUNCTION("""COMPUTED_VALUE"""),5000.0)</f>
        <v>5000</v>
      </c>
      <c r="N445" s="148">
        <f>IFERROR(__xludf.DUMMYFUNCTION("""COMPUTED_VALUE"""),999999.0)</f>
        <v>999999</v>
      </c>
      <c r="O445" s="148">
        <f>IFERROR(__xludf.DUMMYFUNCTION("""COMPUTED_VALUE"""),99999.0)</f>
        <v>99999</v>
      </c>
      <c r="P445" s="148">
        <f>IFERROR(__xludf.DUMMYFUNCTION("""COMPUTED_VALUE"""),1.0)</f>
        <v>1</v>
      </c>
      <c r="Q445" s="148" t="str">
        <f>IFERROR(__xludf.DUMMYFUNCTION("""COMPUTED_VALUE"""),"[""bag_other""]")</f>
        <v>["bag_other"]</v>
      </c>
      <c r="R445" s="148" t="str">
        <f>IFERROR(__xludf.DUMMYFUNCTION("""COMPUTED_VALUE"""),"[""bag"",""13650124""]")</f>
        <v>["bag","13650124"]</v>
      </c>
      <c r="S445" s="148" t="str">
        <f>IFERROR(__xludf.DUMMYFUNCTION("""COMPUTED_VALUE"""),"{""effect"":[{""typ"":""marching_effect"",""id"":13650124,""val"":604800000},{""typ"":""vm"",""id"":11151001,""val"":500}]}")</f>
        <v>{"effect":[{"typ":"marching_effect","id":13650124,"val":604800000},{"typ":"vm","id":11151001,"val":500}]}</v>
      </c>
      <c r="T445" s="148">
        <f>IFERROR(__xludf.DUMMYFUNCTION("""COMPUTED_VALUE"""),-1.0)</f>
        <v>-1</v>
      </c>
      <c r="U445" s="148">
        <f>IFERROR(__xludf.DUMMYFUNCTION("""COMPUTED_VALUE"""),0.0)</f>
        <v>0</v>
      </c>
      <c r="V445" s="148" t="str">
        <f>IFERROR(__xludf.DUMMYFUNCTION("""COMPUTED_VALUE"""),"[]")</f>
        <v>[]</v>
      </c>
      <c r="W445" s="148">
        <f>IFERROR(__xludf.DUMMYFUNCTION("""COMPUTED_VALUE"""),1.174E7)</f>
        <v>11740000</v>
      </c>
      <c r="X445" s="148">
        <f>IFERROR(__xludf.DUMMYFUNCTION("""COMPUTED_VALUE"""),0.0)</f>
        <v>0</v>
      </c>
      <c r="Y445" s="148">
        <f>IFERROR(__xludf.DUMMYFUNCTION("""COMPUTED_VALUE"""),0.0)</f>
        <v>0</v>
      </c>
      <c r="Z445" s="148"/>
    </row>
    <row r="446">
      <c r="A446" s="148">
        <f>IFERROR(__xludf.DUMMYFUNCTION("""COMPUTED_VALUE"""),1.1112237E7)</f>
        <v>11112237</v>
      </c>
      <c r="B446" s="148" t="str">
        <f>IFERROR(__xludf.DUMMYFUNCTION("""COMPUTED_VALUE"""),"2024周年庆行军特效-璀璨之星-14天限时")</f>
        <v>2024周年庆行军特效-璀璨之星-14天限时</v>
      </c>
      <c r="C446" s="148"/>
      <c r="D446" s="148" t="str">
        <f>IFERROR(__xludf.DUMMYFUNCTION("""COMPUTED_VALUE"""),"marching_effect")</f>
        <v>marching_effect</v>
      </c>
      <c r="E446" s="148">
        <f>IFERROR(__xludf.DUMMYFUNCTION("""COMPUTED_VALUE"""),0.0)</f>
        <v>0</v>
      </c>
      <c r="F446" s="148">
        <f>IFERROR(__xludf.DUMMYFUNCTION("""COMPUTED_VALUE"""),408197.0)</f>
        <v>408197</v>
      </c>
      <c r="G446" s="148">
        <f>IFERROR(__xludf.DUMMYFUNCTION("""COMPUTED_VALUE"""),1.51100129E8)</f>
        <v>151100129</v>
      </c>
      <c r="H446" s="148">
        <f>IFERROR(__xludf.DUMMYFUNCTION("""COMPUTED_VALUE"""),1.5112563E7)</f>
        <v>15112563</v>
      </c>
      <c r="I446" s="148" t="str">
        <f>IFERROR(__xludf.DUMMYFUNCTION("""COMPUTED_VALUE"""),"{""typ"":""lc"",""txt"":""LC_ITEM_time_day_upper_show"",""args"":[{""typ"":""int_unit"",""val"":14}]}")</f>
        <v>{"typ":"lc","txt":"LC_ITEM_time_day_upper_show","args":[{"typ":"int_unit","val":14}]}</v>
      </c>
      <c r="J446" s="148" t="str">
        <f>IFERROR(__xludf.DUMMYFUNCTION("""COMPUTED_VALUE"""),"{""typ"":""lc"",""txt"":""LC_ITEM_2024_anni_march_effect_name_advance""}")</f>
        <v>{"typ":"lc","txt":"LC_ITEM_2024_anni_march_effect_name_advance"}</v>
      </c>
      <c r="K446" s="148" t="str">
        <f>IFERROR(__xludf.DUMMYFUNCTION("""COMPUTED_VALUE"""),"{""typ"":""lc"",""txt"":""LC_ITEM_2024_anni_march_effect_name_advance_desc""}")</f>
        <v>{"typ":"lc","txt":"LC_ITEM_2024_anni_march_effect_name_advance_desc"}</v>
      </c>
      <c r="L446" s="148" t="str">
        <f>IFERROR(__xludf.DUMMYFUNCTION("""COMPUTED_VALUE"""),"{""typ"":""lc"",""txt"":""LC_ITEM_2024_anni_advance_march_effect_usetip_14""}")</f>
        <v>{"typ":"lc","txt":"LC_ITEM_2024_anni_advance_march_effect_usetip_14"}</v>
      </c>
      <c r="M446" s="148">
        <f>IFERROR(__xludf.DUMMYFUNCTION("""COMPUTED_VALUE"""),10000.0)</f>
        <v>10000</v>
      </c>
      <c r="N446" s="148">
        <f>IFERROR(__xludf.DUMMYFUNCTION("""COMPUTED_VALUE"""),999999.0)</f>
        <v>999999</v>
      </c>
      <c r="O446" s="148">
        <f>IFERROR(__xludf.DUMMYFUNCTION("""COMPUTED_VALUE"""),99999.0)</f>
        <v>99999</v>
      </c>
      <c r="P446" s="148">
        <f>IFERROR(__xludf.DUMMYFUNCTION("""COMPUTED_VALUE"""),1.0)</f>
        <v>1</v>
      </c>
      <c r="Q446" s="148" t="str">
        <f>IFERROR(__xludf.DUMMYFUNCTION("""COMPUTED_VALUE"""),"[""bag_other""]")</f>
        <v>["bag_other"]</v>
      </c>
      <c r="R446" s="148" t="str">
        <f>IFERROR(__xludf.DUMMYFUNCTION("""COMPUTED_VALUE"""),"[""bag"",""13650124""]")</f>
        <v>["bag","13650124"]</v>
      </c>
      <c r="S446" s="148" t="str">
        <f>IFERROR(__xludf.DUMMYFUNCTION("""COMPUTED_VALUE"""),"{""effect"":[{""typ"":""marching_effect"",""id"":13650124,""val"":1209600000},{""typ"":""vm"",""id"":11151001,""val"":1000}]}")</f>
        <v>{"effect":[{"typ":"marching_effect","id":13650124,"val":1209600000},{"typ":"vm","id":11151001,"val":1000}]}</v>
      </c>
      <c r="T446" s="148">
        <f>IFERROR(__xludf.DUMMYFUNCTION("""COMPUTED_VALUE"""),-1.0)</f>
        <v>-1</v>
      </c>
      <c r="U446" s="148">
        <f>IFERROR(__xludf.DUMMYFUNCTION("""COMPUTED_VALUE"""),0.0)</f>
        <v>0</v>
      </c>
      <c r="V446" s="148" t="str">
        <f>IFERROR(__xludf.DUMMYFUNCTION("""COMPUTED_VALUE"""),"[]")</f>
        <v>[]</v>
      </c>
      <c r="W446" s="148">
        <f>IFERROR(__xludf.DUMMYFUNCTION("""COMPUTED_VALUE"""),1.174E7)</f>
        <v>11740000</v>
      </c>
      <c r="X446" s="148">
        <f>IFERROR(__xludf.DUMMYFUNCTION("""COMPUTED_VALUE"""),0.0)</f>
        <v>0</v>
      </c>
      <c r="Y446" s="148">
        <f>IFERROR(__xludf.DUMMYFUNCTION("""COMPUTED_VALUE"""),0.0)</f>
        <v>0</v>
      </c>
      <c r="Z446" s="148"/>
    </row>
    <row r="447">
      <c r="A447" s="148">
        <f>IFERROR(__xludf.DUMMYFUNCTION("""COMPUTED_VALUE"""),1.1112238E7)</f>
        <v>11112238</v>
      </c>
      <c r="B447" s="148" t="str">
        <f>IFERROR(__xludf.DUMMYFUNCTION("""COMPUTED_VALUE"""),"2024周年庆行军特效-璀璨之星-30天限时")</f>
        <v>2024周年庆行军特效-璀璨之星-30天限时</v>
      </c>
      <c r="C447" s="148"/>
      <c r="D447" s="148" t="str">
        <f>IFERROR(__xludf.DUMMYFUNCTION("""COMPUTED_VALUE"""),"marching_effect")</f>
        <v>marching_effect</v>
      </c>
      <c r="E447" s="148">
        <f>IFERROR(__xludf.DUMMYFUNCTION("""COMPUTED_VALUE"""),0.0)</f>
        <v>0</v>
      </c>
      <c r="F447" s="148">
        <f>IFERROR(__xludf.DUMMYFUNCTION("""COMPUTED_VALUE"""),408197.0)</f>
        <v>408197</v>
      </c>
      <c r="G447" s="148">
        <f>IFERROR(__xludf.DUMMYFUNCTION("""COMPUTED_VALUE"""),1.51100129E8)</f>
        <v>151100129</v>
      </c>
      <c r="H447" s="148">
        <f>IFERROR(__xludf.DUMMYFUNCTION("""COMPUTED_VALUE"""),1.5112563E7)</f>
        <v>15112563</v>
      </c>
      <c r="I447" s="148" t="str">
        <f>IFERROR(__xludf.DUMMYFUNCTION("""COMPUTED_VALUE"""),"{""typ"":""lc"",""txt"":""LC_ITEM_time_day_upper_show"",""args"":[{""typ"":""int_unit"",""val"":30}]}")</f>
        <v>{"typ":"lc","txt":"LC_ITEM_time_day_upper_show","args":[{"typ":"int_unit","val":30}]}</v>
      </c>
      <c r="J447" s="148" t="str">
        <f>IFERROR(__xludf.DUMMYFUNCTION("""COMPUTED_VALUE"""),"{""typ"":""lc"",""txt"":""LC_ITEM_2024_anni_march_effect_name_advance""}")</f>
        <v>{"typ":"lc","txt":"LC_ITEM_2024_anni_march_effect_name_advance"}</v>
      </c>
      <c r="K447" s="148" t="str">
        <f>IFERROR(__xludf.DUMMYFUNCTION("""COMPUTED_VALUE"""),"{""typ"":""lc"",""txt"":""LC_ITEM_2024_anni_march_effect_name_advance_desc""}")</f>
        <v>{"typ":"lc","txt":"LC_ITEM_2024_anni_march_effect_name_advance_desc"}</v>
      </c>
      <c r="L447" s="148" t="str">
        <f>IFERROR(__xludf.DUMMYFUNCTION("""COMPUTED_VALUE"""),"{""typ"":""lc"",""txt"":""LC_ITEM_2024_anni_advance_march_effect_usetip_30""}")</f>
        <v>{"typ":"lc","txt":"LC_ITEM_2024_anni_advance_march_effect_usetip_30"}</v>
      </c>
      <c r="M447" s="148">
        <f>IFERROR(__xludf.DUMMYFUNCTION("""COMPUTED_VALUE"""),10000.0)</f>
        <v>10000</v>
      </c>
      <c r="N447" s="148">
        <f>IFERROR(__xludf.DUMMYFUNCTION("""COMPUTED_VALUE"""),999999.0)</f>
        <v>999999</v>
      </c>
      <c r="O447" s="148">
        <f>IFERROR(__xludf.DUMMYFUNCTION("""COMPUTED_VALUE"""),99999.0)</f>
        <v>99999</v>
      </c>
      <c r="P447" s="148">
        <f>IFERROR(__xludf.DUMMYFUNCTION("""COMPUTED_VALUE"""),1.0)</f>
        <v>1</v>
      </c>
      <c r="Q447" s="148" t="str">
        <f>IFERROR(__xludf.DUMMYFUNCTION("""COMPUTED_VALUE"""),"[""bag_other""]")</f>
        <v>["bag_other"]</v>
      </c>
      <c r="R447" s="148" t="str">
        <f>IFERROR(__xludf.DUMMYFUNCTION("""COMPUTED_VALUE"""),"[""bag"",""13650124""]")</f>
        <v>["bag","13650124"]</v>
      </c>
      <c r="S447" s="148" t="str">
        <f>IFERROR(__xludf.DUMMYFUNCTION("""COMPUTED_VALUE"""),"{""effect"":[{""typ"":""marching_effect"",""id"":13650124,""val"":2592000000},{""typ"":""vm"",""id"":11151001,""val"":1000}]}")</f>
        <v>{"effect":[{"typ":"marching_effect","id":13650124,"val":2592000000},{"typ":"vm","id":11151001,"val":1000}]}</v>
      </c>
      <c r="T447" s="148">
        <f>IFERROR(__xludf.DUMMYFUNCTION("""COMPUTED_VALUE"""),-1.0)</f>
        <v>-1</v>
      </c>
      <c r="U447" s="148">
        <f>IFERROR(__xludf.DUMMYFUNCTION("""COMPUTED_VALUE"""),0.0)</f>
        <v>0</v>
      </c>
      <c r="V447" s="148" t="str">
        <f>IFERROR(__xludf.DUMMYFUNCTION("""COMPUTED_VALUE"""),"[]")</f>
        <v>[]</v>
      </c>
      <c r="W447" s="148">
        <f>IFERROR(__xludf.DUMMYFUNCTION("""COMPUTED_VALUE"""),1.174E7)</f>
        <v>11740000</v>
      </c>
      <c r="X447" s="148">
        <f>IFERROR(__xludf.DUMMYFUNCTION("""COMPUTED_VALUE"""),0.0)</f>
        <v>0</v>
      </c>
      <c r="Y447" s="148">
        <f>IFERROR(__xludf.DUMMYFUNCTION("""COMPUTED_VALUE"""),0.0)</f>
        <v>0</v>
      </c>
      <c r="Z447" s="148"/>
    </row>
    <row r="448">
      <c r="A448" s="148">
        <f>IFERROR(__xludf.DUMMYFUNCTION("""COMPUTED_VALUE"""),1.1112239E7)</f>
        <v>11112239</v>
      </c>
      <c r="B448" s="148" t="str">
        <f>IFERROR(__xludf.DUMMYFUNCTION("""COMPUTED_VALUE"""),"2024周年庆行军特效-璀璨之星-永久")</f>
        <v>2024周年庆行军特效-璀璨之星-永久</v>
      </c>
      <c r="C448" s="148"/>
      <c r="D448" s="148" t="str">
        <f>IFERROR(__xludf.DUMMYFUNCTION("""COMPUTED_VALUE"""),"marching_effect")</f>
        <v>marching_effect</v>
      </c>
      <c r="E448" s="148">
        <f>IFERROR(__xludf.DUMMYFUNCTION("""COMPUTED_VALUE"""),0.0)</f>
        <v>0</v>
      </c>
      <c r="F448" s="148">
        <f>IFERROR(__xludf.DUMMYFUNCTION("""COMPUTED_VALUE"""),408195.0)</f>
        <v>408195</v>
      </c>
      <c r="G448" s="148">
        <f>IFERROR(__xludf.DUMMYFUNCTION("""COMPUTED_VALUE"""),1.51100129E8)</f>
        <v>151100129</v>
      </c>
      <c r="H448" s="148">
        <f>IFERROR(__xludf.DUMMYFUNCTION("""COMPUTED_VALUE"""),1.5112564E7)</f>
        <v>15112564</v>
      </c>
      <c r="I448" s="148" t="str">
        <f>IFERROR(__xludf.DUMMYFUNCTION("""COMPUTED_VALUE"""),"{}")</f>
        <v>{}</v>
      </c>
      <c r="J448" s="148" t="str">
        <f>IFERROR(__xludf.DUMMYFUNCTION("""COMPUTED_VALUE"""),"{""typ"":""lc"",""txt"":""LC_ITEM_2024_anni_march_effect_name_advance""}")</f>
        <v>{"typ":"lc","txt":"LC_ITEM_2024_anni_march_effect_name_advance"}</v>
      </c>
      <c r="K448" s="148" t="str">
        <f>IFERROR(__xludf.DUMMYFUNCTION("""COMPUTED_VALUE"""),"{""typ"":""lc"",""txt"":""LC_ITEM_2024_anni_march_effect_name_advance_desc""}")</f>
        <v>{"typ":"lc","txt":"LC_ITEM_2024_anni_march_effect_name_advance_desc"}</v>
      </c>
      <c r="L448" s="148" t="str">
        <f>IFERROR(__xludf.DUMMYFUNCTION("""COMPUTED_VALUE"""),"{""typ"":""lc"",""txt"":""LC_ITEM_2024_anni_advance_march_effect_usetip""}")</f>
        <v>{"typ":"lc","txt":"LC_ITEM_2024_anni_advance_march_effect_usetip"}</v>
      </c>
      <c r="M448" s="148">
        <f>IFERROR(__xludf.DUMMYFUNCTION("""COMPUTED_VALUE"""),20000.0)</f>
        <v>20000</v>
      </c>
      <c r="N448" s="148">
        <f>IFERROR(__xludf.DUMMYFUNCTION("""COMPUTED_VALUE"""),999999.0)</f>
        <v>999999</v>
      </c>
      <c r="O448" s="148">
        <f>IFERROR(__xludf.DUMMYFUNCTION("""COMPUTED_VALUE"""),99999.0)</f>
        <v>99999</v>
      </c>
      <c r="P448" s="148">
        <f>IFERROR(__xludf.DUMMYFUNCTION("""COMPUTED_VALUE"""),1.0)</f>
        <v>1</v>
      </c>
      <c r="Q448" s="148" t="str">
        <f>IFERROR(__xludf.DUMMYFUNCTION("""COMPUTED_VALUE"""),"[""bag_other""]")</f>
        <v>["bag_other"]</v>
      </c>
      <c r="R448" s="148" t="str">
        <f>IFERROR(__xludf.DUMMYFUNCTION("""COMPUTED_VALUE"""),"[""bag"",""13650124""]")</f>
        <v>["bag","13650124"]</v>
      </c>
      <c r="S448" s="148" t="str">
        <f>IFERROR(__xludf.DUMMYFUNCTION("""COMPUTED_VALUE"""),"{""effect"":[{""typ"":""marching_effect"",""id"":13650124,""val"":-1},{""typ"":""vm"",""id"":11151001,""val"":2500}]}")</f>
        <v>{"effect":[{"typ":"marching_effect","id":13650124,"val":-1},{"typ":"vm","id":11151001,"val":2500}]}</v>
      </c>
      <c r="T448" s="148">
        <f>IFERROR(__xludf.DUMMYFUNCTION("""COMPUTED_VALUE"""),-1.0)</f>
        <v>-1</v>
      </c>
      <c r="U448" s="148">
        <f>IFERROR(__xludf.DUMMYFUNCTION("""COMPUTED_VALUE"""),0.0)</f>
        <v>0</v>
      </c>
      <c r="V448" s="148" t="str">
        <f>IFERROR(__xludf.DUMMYFUNCTION("""COMPUTED_VALUE"""),"[]")</f>
        <v>[]</v>
      </c>
      <c r="W448" s="148">
        <f>IFERROR(__xludf.DUMMYFUNCTION("""COMPUTED_VALUE"""),1.174E7)</f>
        <v>11740000</v>
      </c>
      <c r="X448" s="148">
        <f>IFERROR(__xludf.DUMMYFUNCTION("""COMPUTED_VALUE"""),0.0)</f>
        <v>0</v>
      </c>
      <c r="Y448" s="148">
        <f>IFERROR(__xludf.DUMMYFUNCTION("""COMPUTED_VALUE"""),0.0)</f>
        <v>0</v>
      </c>
      <c r="Z448" s="148"/>
    </row>
    <row r="449">
      <c r="A449" s="148">
        <f>IFERROR(__xludf.DUMMYFUNCTION("""COMPUTED_VALUE"""),1.111224E7)</f>
        <v>11112240</v>
      </c>
      <c r="B449" s="148" t="str">
        <f>IFERROR(__xludf.DUMMYFUNCTION("""COMPUTED_VALUE"""),"庆典纪念章-2024周年庆典道具")</f>
        <v>庆典纪念章-2024周年庆典道具</v>
      </c>
      <c r="C449" s="148"/>
      <c r="D449" s="148" t="str">
        <f>IFERROR(__xludf.DUMMYFUNCTION("""COMPUTED_VALUE"""),"event")</f>
        <v>event</v>
      </c>
      <c r="E449" s="148">
        <f>IFERROR(__xludf.DUMMYFUNCTION("""COMPUTED_VALUE"""),0.0)</f>
        <v>0</v>
      </c>
      <c r="F449" s="148">
        <f>IFERROR(__xludf.DUMMYFUNCTION("""COMPUTED_VALUE"""),405217.0)</f>
        <v>405217</v>
      </c>
      <c r="G449" s="148">
        <f>IFERROR(__xludf.DUMMYFUNCTION("""COMPUTED_VALUE"""),1.5110031E8)</f>
        <v>151100310</v>
      </c>
      <c r="H449" s="148">
        <f>IFERROR(__xludf.DUMMYFUNCTION("""COMPUTED_VALUE"""),1.5112564E7)</f>
        <v>15112564</v>
      </c>
      <c r="I449" s="148" t="str">
        <f>IFERROR(__xludf.DUMMYFUNCTION("""COMPUTED_VALUE"""),"{}")</f>
        <v>{}</v>
      </c>
      <c r="J449" s="148" t="str">
        <f>IFERROR(__xludf.DUMMYFUNCTION("""COMPUTED_VALUE"""),"{""typ"":""lc"",""txt"":""LC_ITEM_anni_item_name""}")</f>
        <v>{"typ":"lc","txt":"LC_ITEM_anni_item_name"}</v>
      </c>
      <c r="K449" s="148" t="str">
        <f>IFERROR(__xludf.DUMMYFUNCTION("""COMPUTED_VALUE"""),"{""typ"":""lc"",""txt"":""LC_ITEM_anni_item_desc""}")</f>
        <v>{"typ":"lc","txt":"LC_ITEM_anni_item_desc"}</v>
      </c>
      <c r="L449" s="148" t="str">
        <f>IFERROR(__xludf.DUMMYFUNCTION("""COMPUTED_VALUE"""),"{}")</f>
        <v>{}</v>
      </c>
      <c r="M449" s="148">
        <f>IFERROR(__xludf.DUMMYFUNCTION("""COMPUTED_VALUE"""),35.0)</f>
        <v>35</v>
      </c>
      <c r="N449" s="148">
        <f>IFERROR(__xludf.DUMMYFUNCTION("""COMPUTED_VALUE"""),999999.0)</f>
        <v>999999</v>
      </c>
      <c r="O449" s="148">
        <f>IFERROR(__xludf.DUMMYFUNCTION("""COMPUTED_VALUE"""),99999.0)</f>
        <v>99999</v>
      </c>
      <c r="P449" s="148">
        <f>IFERROR(__xludf.DUMMYFUNCTION("""COMPUTED_VALUE"""),99999.0)</f>
        <v>99999</v>
      </c>
      <c r="Q449" s="148" t="str">
        <f>IFERROR(__xludf.DUMMYFUNCTION("""COMPUTED_VALUE"""),"[""bag_other""]")</f>
        <v>["bag_other"]</v>
      </c>
      <c r="R449" s="148" t="str">
        <f>IFERROR(__xludf.DUMMYFUNCTION("""COMPUTED_VALUE"""),"[]")</f>
        <v>[]</v>
      </c>
      <c r="S449" s="148" t="str">
        <f>IFERROR(__xludf.DUMMYFUNCTION("""COMPUTED_VALUE"""),"{}")</f>
        <v>{}</v>
      </c>
      <c r="T449" s="148">
        <f>IFERROR(__xludf.DUMMYFUNCTION("""COMPUTED_VALUE"""),-1.0)</f>
        <v>-1</v>
      </c>
      <c r="U449" s="148">
        <f>IFERROR(__xludf.DUMMYFUNCTION("""COMPUTED_VALUE"""),1.0)</f>
        <v>1</v>
      </c>
      <c r="V449" s="148" t="str">
        <f>IFERROR(__xludf.DUMMYFUNCTION("""COMPUTED_VALUE"""),"[]")</f>
        <v>[]</v>
      </c>
      <c r="W449" s="148">
        <f>IFERROR(__xludf.DUMMYFUNCTION("""COMPUTED_VALUE"""),1.174E7)</f>
        <v>11740000</v>
      </c>
      <c r="X449" s="148">
        <f>IFERROR(__xludf.DUMMYFUNCTION("""COMPUTED_VALUE"""),0.0)</f>
        <v>0</v>
      </c>
      <c r="Y449" s="148">
        <f>IFERROR(__xludf.DUMMYFUNCTION("""COMPUTED_VALUE"""),0.0)</f>
        <v>0</v>
      </c>
      <c r="Z449" s="148"/>
    </row>
    <row r="450">
      <c r="A450" s="148">
        <f>IFERROR(__xludf.DUMMYFUNCTION("""COMPUTED_VALUE"""),1.1112241E7)</f>
        <v>11112241</v>
      </c>
      <c r="B450" s="148" t="str">
        <f>IFERROR(__xludf.DUMMYFUNCTION("""COMPUTED_VALUE"""),"主城皮肤-周年庆高级皮肤2024-14天")</f>
        <v>主城皮肤-周年庆高级皮肤2024-14天</v>
      </c>
      <c r="C450" s="148"/>
      <c r="D450" s="148" t="str">
        <f>IFERROR(__xludf.DUMMYFUNCTION("""COMPUTED_VALUE"""),"city_skin")</f>
        <v>city_skin</v>
      </c>
      <c r="E450" s="148">
        <f>IFERROR(__xludf.DUMMYFUNCTION("""COMPUTED_VALUE"""),21.0)</f>
        <v>21</v>
      </c>
      <c r="F450" s="148">
        <f>IFERROR(__xludf.DUMMYFUNCTION("""COMPUTED_VALUE"""),400106.0)</f>
        <v>400106</v>
      </c>
      <c r="G450" s="148">
        <f>IFERROR(__xludf.DUMMYFUNCTION("""COMPUTED_VALUE"""),1.51100042E8)</f>
        <v>151100042</v>
      </c>
      <c r="H450" s="148">
        <f>IFERROR(__xludf.DUMMYFUNCTION("""COMPUTED_VALUE"""),1.5112564E7)</f>
        <v>15112564</v>
      </c>
      <c r="I450" s="148" t="str">
        <f>IFERROR(__xludf.DUMMYFUNCTION("""COMPUTED_VALUE"""),"{""typ"":""lc"",""txt"":""LC_ITEM_time_day_upper_show"",""args"":[{""typ"":""int"",""val"":14}]}")</f>
        <v>{"typ":"lc","txt":"LC_ITEM_time_day_upper_show","args":[{"typ":"int","val":14}]}</v>
      </c>
      <c r="J450" s="148" t="str">
        <f>IFERROR(__xludf.DUMMYFUNCTION("""COMPUTED_VALUE"""),"{""typ"":""lc"",""txt"":""LC_ITEM_2024anni_highcity_skin_title_14day""}")</f>
        <v>{"typ":"lc","txt":"LC_ITEM_2024anni_highcity_skin_title_14day"}</v>
      </c>
      <c r="K450" s="148" t="str">
        <f>IFERROR(__xludf.DUMMYFUNCTION("""COMPUTED_VALUE"""),"{""typ"":""lc"",""txt"":""LC_ITEM_2024anni_highskin_desc_14days""}")</f>
        <v>{"typ":"lc","txt":"LC_ITEM_2024anni_highskin_desc_14days"}</v>
      </c>
      <c r="L450" s="148" t="str">
        <f>IFERROR(__xludf.DUMMYFUNCTION("""COMPUTED_VALUE"""),"{""typ"":""lc"",""txt"":""LC_ITEM_city_skin_rocket_use_tips""}")</f>
        <v>{"typ":"lc","txt":"LC_ITEM_city_skin_rocket_use_tips"}</v>
      </c>
      <c r="M450" s="148">
        <f>IFERROR(__xludf.DUMMYFUNCTION("""COMPUTED_VALUE"""),10000.0)</f>
        <v>10000</v>
      </c>
      <c r="N450" s="148">
        <f>IFERROR(__xludf.DUMMYFUNCTION("""COMPUTED_VALUE"""),999.0)</f>
        <v>999</v>
      </c>
      <c r="O450" s="148">
        <f>IFERROR(__xludf.DUMMYFUNCTION("""COMPUTED_VALUE"""),1.0)</f>
        <v>1</v>
      </c>
      <c r="P450" s="148">
        <f>IFERROR(__xludf.DUMMYFUNCTION("""COMPUTED_VALUE"""),1.0)</f>
        <v>1</v>
      </c>
      <c r="Q450" s="148" t="str">
        <f>IFERROR(__xludf.DUMMYFUNCTION("""COMPUTED_VALUE"""),"[""bag_other""]")</f>
        <v>["bag_other"]</v>
      </c>
      <c r="R450" s="148" t="str">
        <f>IFERROR(__xludf.DUMMYFUNCTION("""COMPUTED_VALUE"""),"[""bag"",""13121045""]")</f>
        <v>["bag","13121045"]</v>
      </c>
      <c r="S450" s="148" t="str">
        <f>IFERROR(__xludf.DUMMYFUNCTION("""COMPUTED_VALUE"""),"{""effect"":[{""typ"":""city_skin"",""id"":13121045,""val"":1209600000},{""typ"":""item"",""id"":11111021,""val"":7}]}")</f>
        <v>{"effect":[{"typ":"city_skin","id":13121045,"val":1209600000},{"typ":"item","id":11111021,"val":7}]}</v>
      </c>
      <c r="T450" s="148">
        <f>IFERROR(__xludf.DUMMYFUNCTION("""COMPUTED_VALUE"""),-1.0)</f>
        <v>-1</v>
      </c>
      <c r="U450" s="148">
        <f>IFERROR(__xludf.DUMMYFUNCTION("""COMPUTED_VALUE"""),0.0)</f>
        <v>0</v>
      </c>
      <c r="V450" s="148" t="str">
        <f>IFERROR(__xludf.DUMMYFUNCTION("""COMPUTED_VALUE"""),"[]")</f>
        <v>[]</v>
      </c>
      <c r="W450" s="148">
        <f>IFERROR(__xludf.DUMMYFUNCTION("""COMPUTED_VALUE"""),1.174E7)</f>
        <v>11740000</v>
      </c>
      <c r="X450" s="148">
        <f>IFERROR(__xludf.DUMMYFUNCTION("""COMPUTED_VALUE"""),0.0)</f>
        <v>0</v>
      </c>
      <c r="Y450" s="148">
        <f>IFERROR(__xludf.DUMMYFUNCTION("""COMPUTED_VALUE"""),0.0)</f>
        <v>0</v>
      </c>
      <c r="Z450" s="148"/>
    </row>
    <row r="451">
      <c r="A451" s="148">
        <f>IFERROR(__xludf.DUMMYFUNCTION("""COMPUTED_VALUE"""),1.1112242E7)</f>
        <v>11112242</v>
      </c>
      <c r="B451" s="148" t="str">
        <f>IFERROR(__xludf.DUMMYFUNCTION("""COMPUTED_VALUE"""),"主城皮肤-周年庆高级皮肤2024-7天")</f>
        <v>主城皮肤-周年庆高级皮肤2024-7天</v>
      </c>
      <c r="C451" s="148"/>
      <c r="D451" s="148" t="str">
        <f>IFERROR(__xludf.DUMMYFUNCTION("""COMPUTED_VALUE"""),"city_skin")</f>
        <v>city_skin</v>
      </c>
      <c r="E451" s="148">
        <f>IFERROR(__xludf.DUMMYFUNCTION("""COMPUTED_VALUE"""),21.0)</f>
        <v>21</v>
      </c>
      <c r="F451" s="148">
        <f>IFERROR(__xludf.DUMMYFUNCTION("""COMPUTED_VALUE"""),400106.0)</f>
        <v>400106</v>
      </c>
      <c r="G451" s="148">
        <f>IFERROR(__xludf.DUMMYFUNCTION("""COMPUTED_VALUE"""),1.51100042E8)</f>
        <v>151100042</v>
      </c>
      <c r="H451" s="148">
        <f>IFERROR(__xludf.DUMMYFUNCTION("""COMPUTED_VALUE"""),1.5112564E7)</f>
        <v>15112564</v>
      </c>
      <c r="I451" s="148" t="str">
        <f>IFERROR(__xludf.DUMMYFUNCTION("""COMPUTED_VALUE"""),"{""typ"":""lc"",""txt"":""LC_ITEM_time_day_upper_show"",""args"":[{""typ"":""int"",""val"":7}]}")</f>
        <v>{"typ":"lc","txt":"LC_ITEM_time_day_upper_show","args":[{"typ":"int","val":7}]}</v>
      </c>
      <c r="J451" s="148" t="str">
        <f>IFERROR(__xludf.DUMMYFUNCTION("""COMPUTED_VALUE"""),"{""typ"":""lc"",""txt"":""LC_ITEM_2024anni_highcity_skin_title_7day""}")</f>
        <v>{"typ":"lc","txt":"LC_ITEM_2024anni_highcity_skin_title_7day"}</v>
      </c>
      <c r="K451" s="148" t="str">
        <f>IFERROR(__xludf.DUMMYFUNCTION("""COMPUTED_VALUE"""),"{""typ"":""lc"",""txt"":""LC_ITEM_2024anni_highskin_desc_7days""}")</f>
        <v>{"typ":"lc","txt":"LC_ITEM_2024anni_highskin_desc_7days"}</v>
      </c>
      <c r="L451" s="148" t="str">
        <f>IFERROR(__xludf.DUMMYFUNCTION("""COMPUTED_VALUE"""),"{""typ"":""lc"",""txt"":""LC_ITEM_city_skin_rocket_use_tips""}")</f>
        <v>{"typ":"lc","txt":"LC_ITEM_city_skin_rocket_use_tips"}</v>
      </c>
      <c r="M451" s="148">
        <f>IFERROR(__xludf.DUMMYFUNCTION("""COMPUTED_VALUE"""),10000.0)</f>
        <v>10000</v>
      </c>
      <c r="N451" s="148">
        <f>IFERROR(__xludf.DUMMYFUNCTION("""COMPUTED_VALUE"""),999.0)</f>
        <v>999</v>
      </c>
      <c r="O451" s="148">
        <f>IFERROR(__xludf.DUMMYFUNCTION("""COMPUTED_VALUE"""),1.0)</f>
        <v>1</v>
      </c>
      <c r="P451" s="148">
        <f>IFERROR(__xludf.DUMMYFUNCTION("""COMPUTED_VALUE"""),1.0)</f>
        <v>1</v>
      </c>
      <c r="Q451" s="148" t="str">
        <f>IFERROR(__xludf.DUMMYFUNCTION("""COMPUTED_VALUE"""),"[""bag_other""]")</f>
        <v>["bag_other"]</v>
      </c>
      <c r="R451" s="148" t="str">
        <f>IFERROR(__xludf.DUMMYFUNCTION("""COMPUTED_VALUE"""),"[""bag"",""13121045""]")</f>
        <v>["bag","13121045"]</v>
      </c>
      <c r="S451" s="148" t="str">
        <f>IFERROR(__xludf.DUMMYFUNCTION("""COMPUTED_VALUE"""),"{""effect"":[{""typ"":""city_skin"",""id"":13121045,""val"":604800000},{""typ"":""item"",""id"":11111021,""val"":3}]}")</f>
        <v>{"effect":[{"typ":"city_skin","id":13121045,"val":604800000},{"typ":"item","id":11111021,"val":3}]}</v>
      </c>
      <c r="T451" s="148">
        <f>IFERROR(__xludf.DUMMYFUNCTION("""COMPUTED_VALUE"""),-1.0)</f>
        <v>-1</v>
      </c>
      <c r="U451" s="148">
        <f>IFERROR(__xludf.DUMMYFUNCTION("""COMPUTED_VALUE"""),0.0)</f>
        <v>0</v>
      </c>
      <c r="V451" s="148" t="str">
        <f>IFERROR(__xludf.DUMMYFUNCTION("""COMPUTED_VALUE"""),"[]")</f>
        <v>[]</v>
      </c>
      <c r="W451" s="148">
        <f>IFERROR(__xludf.DUMMYFUNCTION("""COMPUTED_VALUE"""),1.174E7)</f>
        <v>11740000</v>
      </c>
      <c r="X451" s="148">
        <f>IFERROR(__xludf.DUMMYFUNCTION("""COMPUTED_VALUE"""),0.0)</f>
        <v>0</v>
      </c>
      <c r="Y451" s="148">
        <f>IFERROR(__xludf.DUMMYFUNCTION("""COMPUTED_VALUE"""),0.0)</f>
        <v>0</v>
      </c>
      <c r="Z451" s="148"/>
    </row>
    <row r="452">
      <c r="A452" s="148">
        <f>IFERROR(__xludf.DUMMYFUNCTION("""COMPUTED_VALUE"""),1.1112243E7)</f>
        <v>11112243</v>
      </c>
      <c r="B452" s="148" t="str">
        <f>IFERROR(__xludf.DUMMYFUNCTION("""COMPUTED_VALUE"""),"主城皮肤-周年庆高级皮肤2024")</f>
        <v>主城皮肤-周年庆高级皮肤2024</v>
      </c>
      <c r="C452" s="148"/>
      <c r="D452" s="148" t="str">
        <f>IFERROR(__xludf.DUMMYFUNCTION("""COMPUTED_VALUE"""),"city_skin")</f>
        <v>city_skin</v>
      </c>
      <c r="E452" s="148">
        <f>IFERROR(__xludf.DUMMYFUNCTION("""COMPUTED_VALUE"""),21.0)</f>
        <v>21</v>
      </c>
      <c r="F452" s="148">
        <f>IFERROR(__xludf.DUMMYFUNCTION("""COMPUTED_VALUE"""),400106.0)</f>
        <v>400106</v>
      </c>
      <c r="G452" s="148">
        <f>IFERROR(__xludf.DUMMYFUNCTION("""COMPUTED_VALUE"""),1.51100042E8)</f>
        <v>151100042</v>
      </c>
      <c r="H452" s="148">
        <f>IFERROR(__xludf.DUMMYFUNCTION("""COMPUTED_VALUE"""),1.5115983E7)</f>
        <v>15115983</v>
      </c>
      <c r="I452" s="148" t="str">
        <f>IFERROR(__xludf.DUMMYFUNCTION("""COMPUTED_VALUE"""),"{}")</f>
        <v>{}</v>
      </c>
      <c r="J452" s="148" t="str">
        <f>IFERROR(__xludf.DUMMYFUNCTION("""COMPUTED_VALUE"""),"{""typ"":""lc"",""txt"":""LC_ITEM_2024anni_highcity_skin_title""}")</f>
        <v>{"typ":"lc","txt":"LC_ITEM_2024anni_highcity_skin_title"}</v>
      </c>
      <c r="K452" s="148" t="str">
        <f>IFERROR(__xludf.DUMMYFUNCTION("""COMPUTED_VALUE"""),"{""typ"":""lc"",""txt"":""LC_ITEM_2024anni_highskin_desc_forever""}")</f>
        <v>{"typ":"lc","txt":"LC_ITEM_2024anni_highskin_desc_forever"}</v>
      </c>
      <c r="L452" s="148" t="str">
        <f>IFERROR(__xludf.DUMMYFUNCTION("""COMPUTED_VALUE"""),"{""typ"":""lc"",""txt"":""LC_ITEM_city_skin_rocket_use_tips""}")</f>
        <v>{"typ":"lc","txt":"LC_ITEM_city_skin_rocket_use_tips"}</v>
      </c>
      <c r="M452" s="148">
        <f>IFERROR(__xludf.DUMMYFUNCTION("""COMPUTED_VALUE"""),10000.0)</f>
        <v>10000</v>
      </c>
      <c r="N452" s="148">
        <f>IFERROR(__xludf.DUMMYFUNCTION("""COMPUTED_VALUE"""),999.0)</f>
        <v>999</v>
      </c>
      <c r="O452" s="148">
        <f>IFERROR(__xludf.DUMMYFUNCTION("""COMPUTED_VALUE"""),1.0)</f>
        <v>1</v>
      </c>
      <c r="P452" s="148">
        <f>IFERROR(__xludf.DUMMYFUNCTION("""COMPUTED_VALUE"""),1.0)</f>
        <v>1</v>
      </c>
      <c r="Q452" s="148" t="str">
        <f>IFERROR(__xludf.DUMMYFUNCTION("""COMPUTED_VALUE"""),"[""bag_other""]")</f>
        <v>["bag_other"]</v>
      </c>
      <c r="R452" s="148" t="str">
        <f>IFERROR(__xludf.DUMMYFUNCTION("""COMPUTED_VALUE"""),"[""bag"",""13121045""]")</f>
        <v>["bag","13121045"]</v>
      </c>
      <c r="S452" s="148" t="str">
        <f>IFERROR(__xludf.DUMMYFUNCTION("""COMPUTED_VALUE"""),"{""effect"":[{""typ"":""city_skin"",""id"":13121045,""val"":-1},{""typ"":""item"",""id"":11111034,""val"":10}]}")</f>
        <v>{"effect":[{"typ":"city_skin","id":13121045,"val":-1},{"typ":"item","id":11111034,"val":10}]}</v>
      </c>
      <c r="T452" s="148">
        <f>IFERROR(__xludf.DUMMYFUNCTION("""COMPUTED_VALUE"""),-1.0)</f>
        <v>-1</v>
      </c>
      <c r="U452" s="148">
        <f>IFERROR(__xludf.DUMMYFUNCTION("""COMPUTED_VALUE"""),0.0)</f>
        <v>0</v>
      </c>
      <c r="V452" s="148" t="str">
        <f>IFERROR(__xludf.DUMMYFUNCTION("""COMPUTED_VALUE"""),"[]")</f>
        <v>[]</v>
      </c>
      <c r="W452" s="148">
        <f>IFERROR(__xludf.DUMMYFUNCTION("""COMPUTED_VALUE"""),1.174E7)</f>
        <v>11740000</v>
      </c>
      <c r="X452" s="148">
        <f>IFERROR(__xludf.DUMMYFUNCTION("""COMPUTED_VALUE"""),0.0)</f>
        <v>0</v>
      </c>
      <c r="Y452" s="148">
        <f>IFERROR(__xludf.DUMMYFUNCTION("""COMPUTED_VALUE"""),0.0)</f>
        <v>0</v>
      </c>
      <c r="Z452" s="148"/>
    </row>
    <row r="453">
      <c r="A453" s="148">
        <f>IFERROR(__xludf.DUMMYFUNCTION("""COMPUTED_VALUE"""),1.1112244E7)</f>
        <v>11112244</v>
      </c>
      <c r="B453" s="148" t="str">
        <f>IFERROR(__xludf.DUMMYFUNCTION("""COMPUTED_VALUE"""),"主城皮肤-周年庆2024")</f>
        <v>主城皮肤-周年庆2024</v>
      </c>
      <c r="C453" s="148"/>
      <c r="D453" s="148" t="str">
        <f>IFERROR(__xludf.DUMMYFUNCTION("""COMPUTED_VALUE"""),"city_skin")</f>
        <v>city_skin</v>
      </c>
      <c r="E453" s="148">
        <f>IFERROR(__xludf.DUMMYFUNCTION("""COMPUTED_VALUE"""),21.0)</f>
        <v>21</v>
      </c>
      <c r="F453" s="148">
        <f>IFERROR(__xludf.DUMMYFUNCTION("""COMPUTED_VALUE"""),1.0)</f>
        <v>1</v>
      </c>
      <c r="G453" s="148">
        <f>IFERROR(__xludf.DUMMYFUNCTION("""COMPUTED_VALUE"""),1.51100041E8)</f>
        <v>151100041</v>
      </c>
      <c r="H453" s="148">
        <f>IFERROR(__xludf.DUMMYFUNCTION("""COMPUTED_VALUE"""),1.5112564E7)</f>
        <v>15112564</v>
      </c>
      <c r="I453" s="148" t="str">
        <f>IFERROR(__xludf.DUMMYFUNCTION("""COMPUTED_VALUE"""),"{}")</f>
        <v>{}</v>
      </c>
      <c r="J453" s="148" t="str">
        <f>IFERROR(__xludf.DUMMYFUNCTION("""COMPUTED_VALUE"""),"{""typ"":""lc"",""txt"":""LC_ITEM_2024anni_lowcity_skin_title""}")</f>
        <v>{"typ":"lc","txt":"LC_ITEM_2024anni_lowcity_skin_title"}</v>
      </c>
      <c r="K453" s="148" t="str">
        <f>IFERROR(__xludf.DUMMYFUNCTION("""COMPUTED_VALUE"""),"{""typ"":""lc"",""txt"":""LC_ITEM_2024anni_lowcity_skin_desc_forever""}")</f>
        <v>{"typ":"lc","txt":"LC_ITEM_2024anni_lowcity_skin_desc_forever"}</v>
      </c>
      <c r="L453" s="148" t="str">
        <f>IFERROR(__xludf.DUMMYFUNCTION("""COMPUTED_VALUE"""),"{""typ"":""lc"",""txt"":""LC_ITEM_city_skin_rocket_use_tips""}")</f>
        <v>{"typ":"lc","txt":"LC_ITEM_city_skin_rocket_use_tips"}</v>
      </c>
      <c r="M453" s="148">
        <f>IFERROR(__xludf.DUMMYFUNCTION("""COMPUTED_VALUE"""),10000.0)</f>
        <v>10000</v>
      </c>
      <c r="N453" s="148">
        <f>IFERROR(__xludf.DUMMYFUNCTION("""COMPUTED_VALUE"""),999.0)</f>
        <v>999</v>
      </c>
      <c r="O453" s="148">
        <f>IFERROR(__xludf.DUMMYFUNCTION("""COMPUTED_VALUE"""),1.0)</f>
        <v>1</v>
      </c>
      <c r="P453" s="148">
        <f>IFERROR(__xludf.DUMMYFUNCTION("""COMPUTED_VALUE"""),1.0)</f>
        <v>1</v>
      </c>
      <c r="Q453" s="148" t="str">
        <f>IFERROR(__xludf.DUMMYFUNCTION("""COMPUTED_VALUE"""),"[""bag_other""]")</f>
        <v>["bag_other"]</v>
      </c>
      <c r="R453" s="148" t="str">
        <f>IFERROR(__xludf.DUMMYFUNCTION("""COMPUTED_VALUE"""),"[""bag"",""13121044""]")</f>
        <v>["bag","13121044"]</v>
      </c>
      <c r="S453" s="148" t="str">
        <f>IFERROR(__xludf.DUMMYFUNCTION("""COMPUTED_VALUE"""),"{""effect"":[{""typ"":""city_skin"",""id"":13121044,""val"":-1},{""typ"":""item"",""id"":11111034,""val"":10}]}")</f>
        <v>{"effect":[{"typ":"city_skin","id":13121044,"val":-1},{"typ":"item","id":11111034,"val":10}]}</v>
      </c>
      <c r="T453" s="148">
        <f>IFERROR(__xludf.DUMMYFUNCTION("""COMPUTED_VALUE"""),-1.0)</f>
        <v>-1</v>
      </c>
      <c r="U453" s="148">
        <f>IFERROR(__xludf.DUMMYFUNCTION("""COMPUTED_VALUE"""),0.0)</f>
        <v>0</v>
      </c>
      <c r="V453" s="148" t="str">
        <f>IFERROR(__xludf.DUMMYFUNCTION("""COMPUTED_VALUE"""),"[]")</f>
        <v>[]</v>
      </c>
      <c r="W453" s="148">
        <f>IFERROR(__xludf.DUMMYFUNCTION("""COMPUTED_VALUE"""),1.174E7)</f>
        <v>11740000</v>
      </c>
      <c r="X453" s="148">
        <f>IFERROR(__xludf.DUMMYFUNCTION("""COMPUTED_VALUE"""),0.0)</f>
        <v>0</v>
      </c>
      <c r="Y453" s="148">
        <f>IFERROR(__xludf.DUMMYFUNCTION("""COMPUTED_VALUE"""),0.0)</f>
        <v>0</v>
      </c>
      <c r="Z453" s="148"/>
    </row>
    <row r="454">
      <c r="A454" s="148">
        <f>IFERROR(__xludf.DUMMYFUNCTION("""COMPUTED_VALUE"""),1.1112245E7)</f>
        <v>11112245</v>
      </c>
      <c r="B454" s="148" t="str">
        <f>IFERROR(__xludf.DUMMYFUNCTION("""COMPUTED_VALUE"""),"主城皮肤-周年庆2024（2天）")</f>
        <v>主城皮肤-周年庆2024（2天）</v>
      </c>
      <c r="C454" s="148"/>
      <c r="D454" s="148" t="str">
        <f>IFERROR(__xludf.DUMMYFUNCTION("""COMPUTED_VALUE"""),"city_skin")</f>
        <v>city_skin</v>
      </c>
      <c r="E454" s="148">
        <f>IFERROR(__xludf.DUMMYFUNCTION("""COMPUTED_VALUE"""),21.0)</f>
        <v>21</v>
      </c>
      <c r="F454" s="148">
        <f>IFERROR(__xludf.DUMMYFUNCTION("""COMPUTED_VALUE"""),404201.0)</f>
        <v>404201</v>
      </c>
      <c r="G454" s="148">
        <f>IFERROR(__xludf.DUMMYFUNCTION("""COMPUTED_VALUE"""),1.51100041E8)</f>
        <v>151100041</v>
      </c>
      <c r="H454" s="148">
        <f>IFERROR(__xludf.DUMMYFUNCTION("""COMPUTED_VALUE"""),1.5112563E7)</f>
        <v>15112563</v>
      </c>
      <c r="I454" s="148" t="str">
        <f>IFERROR(__xludf.DUMMYFUNCTION("""COMPUTED_VALUE"""),"{""typ"":""lc"",""txt"":""LC_ITEM_time_day_upper_show"",""args"":[{""typ"":""int"",""val"":2}]}")</f>
        <v>{"typ":"lc","txt":"LC_ITEM_time_day_upper_show","args":[{"typ":"int","val":2}]}</v>
      </c>
      <c r="J454" s="148" t="str">
        <f>IFERROR(__xludf.DUMMYFUNCTION("""COMPUTED_VALUE"""),"{""typ"":""lc"",""txt"":""LC_ITEM_2024anni_lowcity_skin_title_2day""}")</f>
        <v>{"typ":"lc","txt":"LC_ITEM_2024anni_lowcity_skin_title_2day"}</v>
      </c>
      <c r="K454" s="148" t="str">
        <f>IFERROR(__xludf.DUMMYFUNCTION("""COMPUTED_VALUE"""),"{""typ"":""lc"",""txt"":""LC_ITEM_2024anni_lowcity_skin_desc_2day""}")</f>
        <v>{"typ":"lc","txt":"LC_ITEM_2024anni_lowcity_skin_desc_2day"}</v>
      </c>
      <c r="L454" s="148" t="str">
        <f>IFERROR(__xludf.DUMMYFUNCTION("""COMPUTED_VALUE"""),"{""typ"":""lc"",""txt"":""LC_ITEM_city_skin_rocket_use_tips""}")</f>
        <v>{"typ":"lc","txt":"LC_ITEM_city_skin_rocket_use_tips"}</v>
      </c>
      <c r="M454" s="148">
        <f>IFERROR(__xludf.DUMMYFUNCTION("""COMPUTED_VALUE"""),500.0)</f>
        <v>500</v>
      </c>
      <c r="N454" s="148">
        <f>IFERROR(__xludf.DUMMYFUNCTION("""COMPUTED_VALUE"""),999.0)</f>
        <v>999</v>
      </c>
      <c r="O454" s="148">
        <f>IFERROR(__xludf.DUMMYFUNCTION("""COMPUTED_VALUE"""),1.0)</f>
        <v>1</v>
      </c>
      <c r="P454" s="148">
        <f>IFERROR(__xludf.DUMMYFUNCTION("""COMPUTED_VALUE"""),1.0)</f>
        <v>1</v>
      </c>
      <c r="Q454" s="148" t="str">
        <f>IFERROR(__xludf.DUMMYFUNCTION("""COMPUTED_VALUE"""),"[""bag_other""]")</f>
        <v>["bag_other"]</v>
      </c>
      <c r="R454" s="148" t="str">
        <f>IFERROR(__xludf.DUMMYFUNCTION("""COMPUTED_VALUE"""),"[""bag"",""13121044""]")</f>
        <v>["bag","13121044"]</v>
      </c>
      <c r="S454" s="148" t="str">
        <f>IFERROR(__xludf.DUMMYFUNCTION("""COMPUTED_VALUE"""),"{""effect"":[{""typ"":""city_skin"",""id"":13121044,""val"":172800000},{""typ"":""item"",""id"":11111021,""val"":1}]}")</f>
        <v>{"effect":[{"typ":"city_skin","id":13121044,"val":172800000},{"typ":"item","id":11111021,"val":1}]}</v>
      </c>
      <c r="T454" s="148">
        <f>IFERROR(__xludf.DUMMYFUNCTION("""COMPUTED_VALUE"""),-1.0)</f>
        <v>-1</v>
      </c>
      <c r="U454" s="148">
        <f>IFERROR(__xludf.DUMMYFUNCTION("""COMPUTED_VALUE"""),0.0)</f>
        <v>0</v>
      </c>
      <c r="V454" s="148" t="str">
        <f>IFERROR(__xludf.DUMMYFUNCTION("""COMPUTED_VALUE"""),"[]")</f>
        <v>[]</v>
      </c>
      <c r="W454" s="148">
        <f>IFERROR(__xludf.DUMMYFUNCTION("""COMPUTED_VALUE"""),1.174E7)</f>
        <v>11740000</v>
      </c>
      <c r="X454" s="148">
        <f>IFERROR(__xludf.DUMMYFUNCTION("""COMPUTED_VALUE"""),0.0)</f>
        <v>0</v>
      </c>
      <c r="Y454" s="148">
        <f>IFERROR(__xludf.DUMMYFUNCTION("""COMPUTED_VALUE"""),0.0)</f>
        <v>0</v>
      </c>
      <c r="Z454" s="148"/>
    </row>
    <row r="455">
      <c r="A455" s="148">
        <f>IFERROR(__xludf.DUMMYFUNCTION("""COMPUTED_VALUE"""),1.1112246E7)</f>
        <v>11112246</v>
      </c>
      <c r="B455" s="148" t="str">
        <f>IFERROR(__xludf.DUMMYFUNCTION("""COMPUTED_VALUE"""),"周年庆2024-装饰升级版本-1级（投放用）")</f>
        <v>周年庆2024-装饰升级版本-1级（投放用）</v>
      </c>
      <c r="C455" s="148"/>
      <c r="D455" s="148" t="str">
        <f>IFERROR(__xludf.DUMMYFUNCTION("""COMPUTED_VALUE"""),"statue_decorate")</f>
        <v>statue_decorate</v>
      </c>
      <c r="E455" s="148">
        <f>IFERROR(__xludf.DUMMYFUNCTION("""COMPUTED_VALUE"""),23.0)</f>
        <v>23</v>
      </c>
      <c r="F455" s="148">
        <f>IFERROR(__xludf.DUMMYFUNCTION("""COMPUTED_VALUE"""),0.0)</f>
        <v>0</v>
      </c>
      <c r="G455" s="148">
        <f>IFERROR(__xludf.DUMMYFUNCTION("""COMPUTED_VALUE"""),1.51100048E8)</f>
        <v>151100048</v>
      </c>
      <c r="H455" s="148">
        <f>IFERROR(__xludf.DUMMYFUNCTION("""COMPUTED_VALUE"""),1.5112564E7)</f>
        <v>15112564</v>
      </c>
      <c r="I455" s="148" t="str">
        <f>IFERROR(__xludf.DUMMYFUNCTION("""COMPUTED_VALUE"""),"{}")</f>
        <v>{}</v>
      </c>
      <c r="J455" s="148" t="str">
        <f>IFERROR(__xludf.DUMMYFUNCTION("""COMPUTED_VALUE"""),"{""typ"":""lc"",""txt"":""LC_ITEM_2024anni_dec_item_2""}")</f>
        <v>{"typ":"lc","txt":"LC_ITEM_2024anni_dec_item_2"}</v>
      </c>
      <c r="K455" s="148" t="str">
        <f>IFERROR(__xludf.DUMMYFUNCTION("""COMPUTED_VALUE"""),"{""typ"":""lc"",""txt"":""LC_ITEM_2024anni_dec_item_3_desc""}")</f>
        <v>{"typ":"lc","txt":"LC_ITEM_2024anni_dec_item_3_desc"}</v>
      </c>
      <c r="L455" s="148" t="str">
        <f>IFERROR(__xludf.DUMMYFUNCTION("""COMPUTED_VALUE"""),"{}")</f>
        <v>{}</v>
      </c>
      <c r="M455" s="148">
        <f>IFERROR(__xludf.DUMMYFUNCTION("""COMPUTED_VALUE"""),5000.0)</f>
        <v>5000</v>
      </c>
      <c r="N455" s="148">
        <f>IFERROR(__xludf.DUMMYFUNCTION("""COMPUTED_VALUE"""),999.0)</f>
        <v>999</v>
      </c>
      <c r="O455" s="148">
        <f>IFERROR(__xludf.DUMMYFUNCTION("""COMPUTED_VALUE"""),99999.0)</f>
        <v>99999</v>
      </c>
      <c r="P455" s="148">
        <f>IFERROR(__xludf.DUMMYFUNCTION("""COMPUTED_VALUE"""),99999.0)</f>
        <v>99999</v>
      </c>
      <c r="Q455" s="148" t="str">
        <f>IFERROR(__xludf.DUMMYFUNCTION("""COMPUTED_VALUE"""),"[]")</f>
        <v>[]</v>
      </c>
      <c r="R455" s="148" t="str">
        <f>IFERROR(__xludf.DUMMYFUNCTION("""COMPUTED_VALUE"""),"[""bag""]")</f>
        <v>["bag"]</v>
      </c>
      <c r="S455" s="148" t="str">
        <f>IFERROR(__xludf.DUMMYFUNCTION("""COMPUTED_VALUE"""),"{""effect"":[{""typ"":""holiday_statue"",""id"":21481801},{""typ"":""miss_lost_reward""}]}")</f>
        <v>{"effect":[{"typ":"holiday_statue","id":21481801},{"typ":"miss_lost_reward"}]}</v>
      </c>
      <c r="T455" s="148">
        <f>IFERROR(__xludf.DUMMYFUNCTION("""COMPUTED_VALUE"""),-1.0)</f>
        <v>-1</v>
      </c>
      <c r="U455" s="148">
        <f>IFERROR(__xludf.DUMMYFUNCTION("""COMPUTED_VALUE"""),1.0)</f>
        <v>1</v>
      </c>
      <c r="V455" s="148" t="str">
        <f>IFERROR(__xludf.DUMMYFUNCTION("""COMPUTED_VALUE"""),"[]")</f>
        <v>[]</v>
      </c>
      <c r="W455" s="148">
        <f>IFERROR(__xludf.DUMMYFUNCTION("""COMPUTED_VALUE"""),1.174E7)</f>
        <v>11740000</v>
      </c>
      <c r="X455" s="148">
        <f>IFERROR(__xludf.DUMMYFUNCTION("""COMPUTED_VALUE"""),0.0)</f>
        <v>0</v>
      </c>
      <c r="Y455" s="148">
        <f>IFERROR(__xludf.DUMMYFUNCTION("""COMPUTED_VALUE"""),0.0)</f>
        <v>0</v>
      </c>
      <c r="Z455" s="148"/>
    </row>
    <row r="456">
      <c r="A456" s="148">
        <f>IFERROR(__xludf.DUMMYFUNCTION("""COMPUTED_VALUE"""),1.1112247E7)</f>
        <v>11112247</v>
      </c>
      <c r="B456" s="148" t="str">
        <f>IFERROR(__xludf.DUMMYFUNCTION("""COMPUTED_VALUE"""),"周年庆2024-装饰升级道具")</f>
        <v>周年庆2024-装饰升级道具</v>
      </c>
      <c r="C456" s="148"/>
      <c r="D456" s="148" t="str">
        <f>IFERROR(__xludf.DUMMYFUNCTION("""COMPUTED_VALUE"""),"event")</f>
        <v>event</v>
      </c>
      <c r="E456" s="148">
        <f>IFERROR(__xludf.DUMMYFUNCTION("""COMPUTED_VALUE"""),0.0)</f>
        <v>0</v>
      </c>
      <c r="F456" s="148">
        <f>IFERROR(__xludf.DUMMYFUNCTION("""COMPUTED_VALUE"""),405243.0)</f>
        <v>405243</v>
      </c>
      <c r="G456" s="148">
        <f>IFERROR(__xludf.DUMMYFUNCTION("""COMPUTED_VALUE"""),1.51100048E8)</f>
        <v>151100048</v>
      </c>
      <c r="H456" s="148">
        <f>IFERROR(__xludf.DUMMYFUNCTION("""COMPUTED_VALUE"""),1.5112564E7)</f>
        <v>15112564</v>
      </c>
      <c r="I456" s="148" t="str">
        <f>IFERROR(__xludf.DUMMYFUNCTION("""COMPUTED_VALUE"""),"{}")</f>
        <v>{}</v>
      </c>
      <c r="J456" s="148" t="str">
        <f>IFERROR(__xludf.DUMMYFUNCTION("""COMPUTED_VALUE"""),"{""typ"":""lc"",""txt"":""LC_ITEM_2024anni_dec_item_2""}")</f>
        <v>{"typ":"lc","txt":"LC_ITEM_2024anni_dec_item_2"}</v>
      </c>
      <c r="K456" s="148" t="str">
        <f>IFERROR(__xludf.DUMMYFUNCTION("""COMPUTED_VALUE"""),"{""typ"":""lc"",""txt"":""LC_ITEM_2024anni_dec_item_3_desc""}")</f>
        <v>{"typ":"lc","txt":"LC_ITEM_2024anni_dec_item_3_desc"}</v>
      </c>
      <c r="L456" s="148" t="str">
        <f>IFERROR(__xludf.DUMMYFUNCTION("""COMPUTED_VALUE"""),"{}")</f>
        <v>{}</v>
      </c>
      <c r="M456" s="148">
        <f>IFERROR(__xludf.DUMMYFUNCTION("""COMPUTED_VALUE"""),1000.0)</f>
        <v>1000</v>
      </c>
      <c r="N456" s="148">
        <f>IFERROR(__xludf.DUMMYFUNCTION("""COMPUTED_VALUE"""),9.99999999E8)</f>
        <v>999999999</v>
      </c>
      <c r="O456" s="148">
        <f>IFERROR(__xludf.DUMMYFUNCTION("""COMPUTED_VALUE"""),9.99999999E8)</f>
        <v>999999999</v>
      </c>
      <c r="P456" s="148">
        <f>IFERROR(__xludf.DUMMYFUNCTION("""COMPUTED_VALUE"""),9.99999999E8)</f>
        <v>999999999</v>
      </c>
      <c r="Q456" s="148" t="str">
        <f>IFERROR(__xludf.DUMMYFUNCTION("""COMPUTED_VALUE"""),"[""bag_other""]")</f>
        <v>["bag_other"]</v>
      </c>
      <c r="R456" s="148" t="str">
        <f>IFERROR(__xludf.DUMMYFUNCTION("""COMPUTED_VALUE"""),"[]")</f>
        <v>[]</v>
      </c>
      <c r="S456" s="148" t="str">
        <f>IFERROR(__xludf.DUMMYFUNCTION("""COMPUTED_VALUE"""),"{}")</f>
        <v>{}</v>
      </c>
      <c r="T456" s="148">
        <f>IFERROR(__xludf.DUMMYFUNCTION("""COMPUTED_VALUE"""),-1.0)</f>
        <v>-1</v>
      </c>
      <c r="U456" s="148">
        <f>IFERROR(__xludf.DUMMYFUNCTION("""COMPUTED_VALUE"""),0.0)</f>
        <v>0</v>
      </c>
      <c r="V456" s="148" t="str">
        <f>IFERROR(__xludf.DUMMYFUNCTION("""COMPUTED_VALUE"""),"[]")</f>
        <v>[]</v>
      </c>
      <c r="W456" s="148">
        <f>IFERROR(__xludf.DUMMYFUNCTION("""COMPUTED_VALUE"""),1.174E7)</f>
        <v>11740000</v>
      </c>
      <c r="X456" s="148">
        <f>IFERROR(__xludf.DUMMYFUNCTION("""COMPUTED_VALUE"""),0.0)</f>
        <v>0</v>
      </c>
      <c r="Y456" s="148">
        <f>IFERROR(__xludf.DUMMYFUNCTION("""COMPUTED_VALUE"""),0.0)</f>
        <v>0</v>
      </c>
      <c r="Z456" s="148"/>
    </row>
    <row r="457">
      <c r="A457" s="148">
        <f>IFERROR(__xludf.DUMMYFUNCTION("""COMPUTED_VALUE"""),1.1112248E7)</f>
        <v>11112248</v>
      </c>
      <c r="B457" s="148" t="str">
        <f>IFERROR(__xludf.DUMMYFUNCTION("""COMPUTED_VALUE"""),"2024周年庆-装饰券宝箱")</f>
        <v>2024周年庆-装饰券宝箱</v>
      </c>
      <c r="C457" s="148"/>
      <c r="D457" s="148" t="str">
        <f>IFERROR(__xludf.DUMMYFUNCTION("""COMPUTED_VALUE"""),"valentine_reward_box")</f>
        <v>valentine_reward_box</v>
      </c>
      <c r="E457" s="148">
        <f>IFERROR(__xludf.DUMMYFUNCTION("""COMPUTED_VALUE"""),19.0)</f>
        <v>19</v>
      </c>
      <c r="F457" s="148">
        <f>IFERROR(__xludf.DUMMYFUNCTION("""COMPUTED_VALUE"""),201101.0)</f>
        <v>201101</v>
      </c>
      <c r="G457" s="148">
        <f>IFERROR(__xludf.DUMMYFUNCTION("""COMPUTED_VALUE"""),1.5118225E7)</f>
        <v>15118225</v>
      </c>
      <c r="H457" s="148">
        <f>IFERROR(__xludf.DUMMYFUNCTION("""COMPUTED_VALUE"""),1.5112564E7)</f>
        <v>15112564</v>
      </c>
      <c r="I457" s="148" t="str">
        <f>IFERROR(__xludf.DUMMYFUNCTION("""COMPUTED_VALUE"""),"{}")</f>
        <v>{}</v>
      </c>
      <c r="J457" s="148" t="str">
        <f>IFERROR(__xludf.DUMMYFUNCTION("""COMPUTED_VALUE"""),"{""typ"":""lc"",""txt"":""LC_ITEM_anni_fes_box_name""}")</f>
        <v>{"typ":"lc","txt":"LC_ITEM_anni_fes_box_name"}</v>
      </c>
      <c r="K457" s="148" t="str">
        <f>IFERROR(__xludf.DUMMYFUNCTION("""COMPUTED_VALUE"""),"{""typ"":""lc"",""txt"":""LC_ITEM_fes_box_desc""}")</f>
        <v>{"typ":"lc","txt":"LC_ITEM_fes_box_desc"}</v>
      </c>
      <c r="L457" s="148" t="str">
        <f>IFERROR(__xludf.DUMMYFUNCTION("""COMPUTED_VALUE"""),"{""typ"":""lc"",""txt"":""LC_ITEM_horde_elite_box_usedtip""}")</f>
        <v>{"typ":"lc","txt":"LC_ITEM_horde_elite_box_usedtip"}</v>
      </c>
      <c r="M457" s="148">
        <f>IFERROR(__xludf.DUMMYFUNCTION("""COMPUTED_VALUE"""),40.0)</f>
        <v>40</v>
      </c>
      <c r="N457" s="148">
        <f>IFERROR(__xludf.DUMMYFUNCTION("""COMPUTED_VALUE"""),999999.0)</f>
        <v>999999</v>
      </c>
      <c r="O457" s="148">
        <f>IFERROR(__xludf.DUMMYFUNCTION("""COMPUTED_VALUE"""),99999.0)</f>
        <v>99999</v>
      </c>
      <c r="P457" s="148">
        <f>IFERROR(__xludf.DUMMYFUNCTION("""COMPUTED_VALUE"""),99999.0)</f>
        <v>99999</v>
      </c>
      <c r="Q457" s="148" t="str">
        <f>IFERROR(__xludf.DUMMYFUNCTION("""COMPUTED_VALUE"""),"[""bag_other""]")</f>
        <v>["bag_other"]</v>
      </c>
      <c r="R457" s="148" t="str">
        <f>IFERROR(__xludf.DUMMYFUNCTION("""COMPUTED_VALUE"""),"[""bag""]")</f>
        <v>["bag"]</v>
      </c>
      <c r="S457" s="148" t="str">
        <f>IFERROR(__xludf.DUMMYFUNCTION("""COMPUTED_VALUE"""),"{""drop"":{""typ"":""single_random"",""num"":1,""args"":[{""typ"":""item"",""id"":11112030,""num"":1000,""wgt"":19980},{""typ"":""item"",""id"":11112030,""num"":200,""wgt"":120000},{""typ"":""item"",""id"":11112030,""num"":50,""wgt"":200000},{""typ"":""it"&amp;"em"",""id"":11112244,""num"":1,""wgt"":10},{""typ"":""item"",""id"":11112271,""num"":1,""wgt"":10},{""typ"":""item"",""id"":11112030,""num"":20,""wgt"":400000},{""typ"":""item"",""id"":11112030,""num"":100,""wgt"":200000},{""typ"":""item"",""id"":11112030"&amp;",""num"":400,""wgt"":60000}]}}")</f>
        <v>{"drop":{"typ":"single_random","num":1,"args":[{"typ":"item","id":11112030,"num":1000,"wgt":19980},{"typ":"item","id":11112030,"num":200,"wgt":120000},{"typ":"item","id":11112030,"num":50,"wgt":200000},{"typ":"item","id":11112244,"num":1,"wgt":10},{"typ":"item","id":11112271,"num":1,"wgt":10},{"typ":"item","id":11112030,"num":20,"wgt":400000},{"typ":"item","id":11112030,"num":100,"wgt":200000},{"typ":"item","id":11112030,"num":400,"wgt":60000}]}}</v>
      </c>
      <c r="T457" s="148">
        <f>IFERROR(__xludf.DUMMYFUNCTION("""COMPUTED_VALUE"""),-1.0)</f>
        <v>-1</v>
      </c>
      <c r="U457" s="148">
        <f>IFERROR(__xludf.DUMMYFUNCTION("""COMPUTED_VALUE"""),0.0)</f>
        <v>0</v>
      </c>
      <c r="V457" s="148" t="str">
        <f>IFERROR(__xludf.DUMMYFUNCTION("""COMPUTED_VALUE"""),"[]")</f>
        <v>[]</v>
      </c>
      <c r="W457" s="148">
        <f>IFERROR(__xludf.DUMMYFUNCTION("""COMPUTED_VALUE"""),1.174E7)</f>
        <v>11740000</v>
      </c>
      <c r="X457" s="148">
        <f>IFERROR(__xludf.DUMMYFUNCTION("""COMPUTED_VALUE"""),0.0)</f>
        <v>0</v>
      </c>
      <c r="Y457" s="148">
        <f>IFERROR(__xludf.DUMMYFUNCTION("""COMPUTED_VALUE"""),0.0)</f>
        <v>0</v>
      </c>
      <c r="Z457" s="148"/>
    </row>
    <row r="458">
      <c r="A458" s="148">
        <f>IFERROR(__xludf.DUMMYFUNCTION("""COMPUTED_VALUE"""),1.1112249E7)</f>
        <v>11112249</v>
      </c>
      <c r="B458" s="148" t="str">
        <f>IFERROR(__xludf.DUMMYFUNCTION("""COMPUTED_VALUE"""),"周年庆2024-7日箱子奖励")</f>
        <v>周年庆2024-7日箱子奖励</v>
      </c>
      <c r="C458" s="148"/>
      <c r="D458" s="148" t="str">
        <f>IFERROR(__xludf.DUMMYFUNCTION("""COMPUTED_VALUE"""),"item_asset")</f>
        <v>item_asset</v>
      </c>
      <c r="E458" s="148">
        <f>IFERROR(__xludf.DUMMYFUNCTION("""COMPUTED_VALUE"""),19.0)</f>
        <v>19</v>
      </c>
      <c r="F458" s="148">
        <f>IFERROR(__xludf.DUMMYFUNCTION("""COMPUTED_VALUE"""),201101.0)</f>
        <v>201101</v>
      </c>
      <c r="G458" s="148">
        <f>IFERROR(__xludf.DUMMYFUNCTION("""COMPUTED_VALUE"""),1.5117141E7)</f>
        <v>15117141</v>
      </c>
      <c r="H458" s="148">
        <f>IFERROR(__xludf.DUMMYFUNCTION("""COMPUTED_VALUE"""),1.5112564E7)</f>
        <v>15112564</v>
      </c>
      <c r="I458" s="148" t="str">
        <f>IFERROR(__xludf.DUMMYFUNCTION("""COMPUTED_VALUE"""),"{}")</f>
        <v>{}</v>
      </c>
      <c r="J458" s="148" t="str">
        <f>IFERROR(__xludf.DUMMYFUNCTION("""COMPUTED_VALUE"""),"{""typ"":""lc"",""txt"":""LC_ITEM_seven_day_box_name""}")</f>
        <v>{"typ":"lc","txt":"LC_ITEM_seven_day_box_name"}</v>
      </c>
      <c r="K458" s="148" t="str">
        <f>IFERROR(__xludf.DUMMYFUNCTION("""COMPUTED_VALUE"""),"{""typ"":""lc"",""txt"":""LC_ITEM_seven_day_box_desc""}")</f>
        <v>{"typ":"lc","txt":"LC_ITEM_seven_day_box_desc"}</v>
      </c>
      <c r="L458" s="148" t="str">
        <f>IFERROR(__xludf.DUMMYFUNCTION("""COMPUTED_VALUE"""),"{""typ"":""lc"",""txt"":""LC_ITEM_horde_elite_box_usedtip""}")</f>
        <v>{"typ":"lc","txt":"LC_ITEM_horde_elite_box_usedtip"}</v>
      </c>
      <c r="M458" s="148">
        <f>IFERROR(__xludf.DUMMYFUNCTION("""COMPUTED_VALUE"""),40.0)</f>
        <v>40</v>
      </c>
      <c r="N458" s="148">
        <f>IFERROR(__xludf.DUMMYFUNCTION("""COMPUTED_VALUE"""),999999.0)</f>
        <v>999999</v>
      </c>
      <c r="O458" s="148">
        <f>IFERROR(__xludf.DUMMYFUNCTION("""COMPUTED_VALUE"""),99999.0)</f>
        <v>99999</v>
      </c>
      <c r="P458" s="148">
        <f>IFERROR(__xludf.DUMMYFUNCTION("""COMPUTED_VALUE"""),99999.0)</f>
        <v>99999</v>
      </c>
      <c r="Q458" s="148" t="str">
        <f>IFERROR(__xludf.DUMMYFUNCTION("""COMPUTED_VALUE"""),"[""bag_other""]")</f>
        <v>["bag_other"]</v>
      </c>
      <c r="R458" s="148" t="str">
        <f>IFERROR(__xludf.DUMMYFUNCTION("""COMPUTED_VALUE"""),"[""bag""]")</f>
        <v>["bag"]</v>
      </c>
      <c r="S458" s="148" t="str">
        <f>IFERROR(__xludf.DUMMYFUNCTION("""COMPUTED_VALUE"""),"{""drop"":{""typ"":""single_random"",""num"":1,""args"":[{""typ"":""item"",""id"":11111103,""num"":2,""wgt"":1500},{""typ"":""item"",""id"":11117024,""num"":1,""wgt"":800},{""typ"":""item"",""id"":11117068,""num"":10,""wgt"":800},{""typ"":""item"",""id"":"&amp;"11111105,""num"":1,""wgt"":800},{""typ"":""item"",""id"":11116111,""num"":1,""wgt"":50},{""typ"":""item"",""id"":11111107,""num"":1,""wgt"":100},{""typ"":""item"",""id"":11117069,""num"":1,""wgt"":300},{""typ"":""item"",""id"":11118501,""num"":1,""wgt"":3"&amp;"00},{""typ"":""item"",""id"":11116304,""num"":1,""wgt"":50}]}}")</f>
        <v>{"drop":{"typ":"single_random","num":1,"args":[{"typ":"item","id":11111103,"num":2,"wgt":1500},{"typ":"item","id":11117024,"num":1,"wgt":800},{"typ":"item","id":11117068,"num":10,"wgt":800},{"typ":"item","id":11111105,"num":1,"wgt":800},{"typ":"item","id":11116111,"num":1,"wgt":50},{"typ":"item","id":11111107,"num":1,"wgt":100},{"typ":"item","id":11117069,"num":1,"wgt":300},{"typ":"item","id":11118501,"num":1,"wgt":300},{"typ":"item","id":11116304,"num":1,"wgt":50}]}}</v>
      </c>
      <c r="T458" s="148">
        <f>IFERROR(__xludf.DUMMYFUNCTION("""COMPUTED_VALUE"""),-1.0)</f>
        <v>-1</v>
      </c>
      <c r="U458" s="148">
        <f>IFERROR(__xludf.DUMMYFUNCTION("""COMPUTED_VALUE"""),0.0)</f>
        <v>0</v>
      </c>
      <c r="V458" s="148" t="str">
        <f>IFERROR(__xludf.DUMMYFUNCTION("""COMPUTED_VALUE"""),"[]")</f>
        <v>[]</v>
      </c>
      <c r="W458" s="148">
        <f>IFERROR(__xludf.DUMMYFUNCTION("""COMPUTED_VALUE"""),1.174E7)</f>
        <v>11740000</v>
      </c>
      <c r="X458" s="148">
        <f>IFERROR(__xludf.DUMMYFUNCTION("""COMPUTED_VALUE"""),0.0)</f>
        <v>0</v>
      </c>
      <c r="Y458" s="148">
        <f>IFERROR(__xludf.DUMMYFUNCTION("""COMPUTED_VALUE"""),0.0)</f>
        <v>0</v>
      </c>
      <c r="Z458" s="148"/>
    </row>
    <row r="459">
      <c r="A459" s="148">
        <f>IFERROR(__xludf.DUMMYFUNCTION("""COMPUTED_VALUE"""),1.111225E7)</f>
        <v>11112250</v>
      </c>
      <c r="B459" s="148" t="str">
        <f>IFERROR(__xludf.DUMMYFUNCTION("""COMPUTED_VALUE"""),"周年庆2024活动专用-增加次数道具-1")</f>
        <v>周年庆2024活动专用-增加次数道具-1</v>
      </c>
      <c r="C459" s="148"/>
      <c r="D459" s="148" t="str">
        <f>IFERROR(__xludf.DUMMYFUNCTION("""COMPUTED_VALUE"""),"event_progress")</f>
        <v>event_progress</v>
      </c>
      <c r="E459" s="148">
        <f>IFERROR(__xludf.DUMMYFUNCTION("""COMPUTED_VALUE"""),0.0)</f>
        <v>0</v>
      </c>
      <c r="F459" s="148">
        <f>IFERROR(__xludf.DUMMYFUNCTION("""COMPUTED_VALUE"""),0.0)</f>
        <v>0</v>
      </c>
      <c r="G459" s="148">
        <f>IFERROR(__xludf.DUMMYFUNCTION("""COMPUTED_VALUE"""),1.5113732E7)</f>
        <v>15113732</v>
      </c>
      <c r="H459" s="148">
        <f>IFERROR(__xludf.DUMMYFUNCTION("""COMPUTED_VALUE"""),1.5112563E7)</f>
        <v>15112563</v>
      </c>
      <c r="I459" s="148" t="str">
        <f>IFERROR(__xludf.DUMMYFUNCTION("""COMPUTED_VALUE"""),"{}")</f>
        <v>{}</v>
      </c>
      <c r="J459" s="148" t="str">
        <f>IFERROR(__xludf.DUMMYFUNCTION("""COMPUTED_VALUE"""),"{}")</f>
        <v>{}</v>
      </c>
      <c r="K459" s="148" t="str">
        <f>IFERROR(__xludf.DUMMYFUNCTION("""COMPUTED_VALUE"""),"{}")</f>
        <v>{}</v>
      </c>
      <c r="L459" s="148" t="str">
        <f>IFERROR(__xludf.DUMMYFUNCTION("""COMPUTED_VALUE"""),"{}")</f>
        <v>{}</v>
      </c>
      <c r="M459" s="148">
        <f>IFERROR(__xludf.DUMMYFUNCTION("""COMPUTED_VALUE"""),1.0)</f>
        <v>1</v>
      </c>
      <c r="N459" s="148">
        <f>IFERROR(__xludf.DUMMYFUNCTION("""COMPUTED_VALUE"""),999999.0)</f>
        <v>999999</v>
      </c>
      <c r="O459" s="148">
        <f>IFERROR(__xludf.DUMMYFUNCTION("""COMPUTED_VALUE"""),99999.0)</f>
        <v>99999</v>
      </c>
      <c r="P459" s="148">
        <f>IFERROR(__xludf.DUMMYFUNCTION("""COMPUTED_VALUE"""),9999.0)</f>
        <v>9999</v>
      </c>
      <c r="Q459" s="148" t="str">
        <f>IFERROR(__xludf.DUMMYFUNCTION("""COMPUTED_VALUE"""),"[]")</f>
        <v>[]</v>
      </c>
      <c r="R459" s="148" t="str">
        <f>IFERROR(__xludf.DUMMYFUNCTION("""COMPUTED_VALUE"""),"[]")</f>
        <v>[]</v>
      </c>
      <c r="S459" s="148" t="str">
        <f>IFERROR(__xludf.DUMMYFUNCTION("""COMPUTED_VALUE"""),"{""effect"":[{""typ"":""event"",""id"":21127155},{""typ"":""miss_lost_reward""}]}")</f>
        <v>{"effect":[{"typ":"event","id":21127155},{"typ":"miss_lost_reward"}]}</v>
      </c>
      <c r="T459" s="148">
        <f>IFERROR(__xludf.DUMMYFUNCTION("""COMPUTED_VALUE"""),-1.0)</f>
        <v>-1</v>
      </c>
      <c r="U459" s="148">
        <f>IFERROR(__xludf.DUMMYFUNCTION("""COMPUTED_VALUE"""),1.0)</f>
        <v>1</v>
      </c>
      <c r="V459" s="148" t="str">
        <f>IFERROR(__xludf.DUMMYFUNCTION("""COMPUTED_VALUE"""),"[]")</f>
        <v>[]</v>
      </c>
      <c r="W459" s="148">
        <f>IFERROR(__xludf.DUMMYFUNCTION("""COMPUTED_VALUE"""),1.174E7)</f>
        <v>11740000</v>
      </c>
      <c r="X459" s="148">
        <f>IFERROR(__xludf.DUMMYFUNCTION("""COMPUTED_VALUE"""),0.0)</f>
        <v>0</v>
      </c>
      <c r="Y459" s="148">
        <f>IFERROR(__xludf.DUMMYFUNCTION("""COMPUTED_VALUE"""),0.0)</f>
        <v>0</v>
      </c>
      <c r="Z459" s="148"/>
    </row>
    <row r="460">
      <c r="A460" s="148">
        <f>IFERROR(__xludf.DUMMYFUNCTION("""COMPUTED_VALUE"""),1.1112251E7)</f>
        <v>11112251</v>
      </c>
      <c r="B460" s="148" t="str">
        <f>IFERROR(__xludf.DUMMYFUNCTION("""COMPUTED_VALUE"""),"周年庆2024活动-解锁宝箱礼包钥匙")</f>
        <v>周年庆2024活动-解锁宝箱礼包钥匙</v>
      </c>
      <c r="C460" s="148"/>
      <c r="D460" s="148" t="str">
        <f>IFERROR(__xludf.DUMMYFUNCTION("""COMPUTED_VALUE"""),"event")</f>
        <v>event</v>
      </c>
      <c r="E460" s="148">
        <f>IFERROR(__xludf.DUMMYFUNCTION("""COMPUTED_VALUE"""),0.0)</f>
        <v>0</v>
      </c>
      <c r="F460" s="148">
        <f>IFERROR(__xludf.DUMMYFUNCTION("""COMPUTED_VALUE"""),0.0)</f>
        <v>0</v>
      </c>
      <c r="G460" s="148">
        <f>IFERROR(__xludf.DUMMYFUNCTION("""COMPUTED_VALUE"""),1.5117142E7)</f>
        <v>15117142</v>
      </c>
      <c r="H460" s="148">
        <f>IFERROR(__xludf.DUMMYFUNCTION("""COMPUTED_VALUE"""),1.5112564E7)</f>
        <v>15112564</v>
      </c>
      <c r="I460" s="148" t="str">
        <f>IFERROR(__xludf.DUMMYFUNCTION("""COMPUTED_VALUE"""),"{}")</f>
        <v>{}</v>
      </c>
      <c r="J460" s="148" t="str">
        <f>IFERROR(__xludf.DUMMYFUNCTION("""COMPUTED_VALUE"""),"{""typ"":""lc"",""txt"":""LC_ITEM_seven_day_box_key_name""}")</f>
        <v>{"typ":"lc","txt":"LC_ITEM_seven_day_box_key_name"}</v>
      </c>
      <c r="K460" s="148" t="str">
        <f>IFERROR(__xludf.DUMMYFUNCTION("""COMPUTED_VALUE"""),"{""typ"":""lc"",""txt"":""LC_ITEM_seven_day_box_key_desc""}")</f>
        <v>{"typ":"lc","txt":"LC_ITEM_seven_day_box_key_desc"}</v>
      </c>
      <c r="L460" s="148" t="str">
        <f>IFERROR(__xludf.DUMMYFUNCTION("""COMPUTED_VALUE"""),"{}")</f>
        <v>{}</v>
      </c>
      <c r="M460" s="148">
        <f>IFERROR(__xludf.DUMMYFUNCTION("""COMPUTED_VALUE"""),10.0)</f>
        <v>10</v>
      </c>
      <c r="N460" s="148">
        <f>IFERROR(__xludf.DUMMYFUNCTION("""COMPUTED_VALUE"""),999999.0)</f>
        <v>999999</v>
      </c>
      <c r="O460" s="148">
        <f>IFERROR(__xludf.DUMMYFUNCTION("""COMPUTED_VALUE"""),99999.0)</f>
        <v>99999</v>
      </c>
      <c r="P460" s="148">
        <f>IFERROR(__xludf.DUMMYFUNCTION("""COMPUTED_VALUE"""),9999.0)</f>
        <v>9999</v>
      </c>
      <c r="Q460" s="148" t="str">
        <f>IFERROR(__xludf.DUMMYFUNCTION("""COMPUTED_VALUE"""),"[""bag_other""]")</f>
        <v>["bag_other"]</v>
      </c>
      <c r="R460" s="148" t="str">
        <f>IFERROR(__xludf.DUMMYFUNCTION("""COMPUTED_VALUE"""),"[]")</f>
        <v>[]</v>
      </c>
      <c r="S460" s="148" t="str">
        <f>IFERROR(__xludf.DUMMYFUNCTION("""COMPUTED_VALUE"""),"{}")</f>
        <v>{}</v>
      </c>
      <c r="T460" s="148">
        <f>IFERROR(__xludf.DUMMYFUNCTION("""COMPUTED_VALUE"""),-1.0)</f>
        <v>-1</v>
      </c>
      <c r="U460" s="148">
        <f>IFERROR(__xludf.DUMMYFUNCTION("""COMPUTED_VALUE"""),0.0)</f>
        <v>0</v>
      </c>
      <c r="V460" s="148" t="str">
        <f>IFERROR(__xludf.DUMMYFUNCTION("""COMPUTED_VALUE"""),"[]")</f>
        <v>[]</v>
      </c>
      <c r="W460" s="148">
        <f>IFERROR(__xludf.DUMMYFUNCTION("""COMPUTED_VALUE"""),1.174E7)</f>
        <v>11740000</v>
      </c>
      <c r="X460" s="148">
        <f>IFERROR(__xludf.DUMMYFUNCTION("""COMPUTED_VALUE"""),0.0)</f>
        <v>0</v>
      </c>
      <c r="Y460" s="148">
        <f>IFERROR(__xludf.DUMMYFUNCTION("""COMPUTED_VALUE"""),0.0)</f>
        <v>0</v>
      </c>
      <c r="Z460" s="148"/>
    </row>
    <row r="461">
      <c r="A461" s="148">
        <f>IFERROR(__xludf.DUMMYFUNCTION("""COMPUTED_VALUE"""),1.1112252E7)</f>
        <v>11112252</v>
      </c>
      <c r="B461" s="148" t="str">
        <f>IFERROR(__xludf.DUMMYFUNCTION("""COMPUTED_VALUE"""),"周年庆2024-7日活动宝箱-显示用")</f>
        <v>周年庆2024-7日活动宝箱-显示用</v>
      </c>
      <c r="C461" s="148"/>
      <c r="D461" s="148" t="str">
        <f>IFERROR(__xludf.DUMMYFUNCTION("""COMPUTED_VALUE"""),"event")</f>
        <v>event</v>
      </c>
      <c r="E461" s="148">
        <f>IFERROR(__xludf.DUMMYFUNCTION("""COMPUTED_VALUE"""),0.0)</f>
        <v>0</v>
      </c>
      <c r="F461" s="148">
        <f>IFERROR(__xludf.DUMMYFUNCTION("""COMPUTED_VALUE"""),0.0)</f>
        <v>0</v>
      </c>
      <c r="G461" s="148">
        <f>IFERROR(__xludf.DUMMYFUNCTION("""COMPUTED_VALUE"""),1.5117141E7)</f>
        <v>15117141</v>
      </c>
      <c r="H461" s="148">
        <f>IFERROR(__xludf.DUMMYFUNCTION("""COMPUTED_VALUE"""),1.5112564E7)</f>
        <v>15112564</v>
      </c>
      <c r="I461" s="148" t="str">
        <f>IFERROR(__xludf.DUMMYFUNCTION("""COMPUTED_VALUE"""),"{}")</f>
        <v>{}</v>
      </c>
      <c r="J461" s="148" t="str">
        <f>IFERROR(__xludf.DUMMYFUNCTION("""COMPUTED_VALUE"""),"{""typ"":""lc"",""txt"":""LC_ITEM_seven_day_box_name""}")</f>
        <v>{"typ":"lc","txt":"LC_ITEM_seven_day_box_name"}</v>
      </c>
      <c r="K461" s="148" t="str">
        <f>IFERROR(__xludf.DUMMYFUNCTION("""COMPUTED_VALUE"""),"{""typ"":""lc"",""txt"":""LC_ITEM_seven_day_box_desc""}")</f>
        <v>{"typ":"lc","txt":"LC_ITEM_seven_day_box_desc"}</v>
      </c>
      <c r="L461" s="148" t="str">
        <f>IFERROR(__xludf.DUMMYFUNCTION("""COMPUTED_VALUE"""),"{}")</f>
        <v>{}</v>
      </c>
      <c r="M461" s="148">
        <f>IFERROR(__xludf.DUMMYFUNCTION("""COMPUTED_VALUE"""),1.0)</f>
        <v>1</v>
      </c>
      <c r="N461" s="148">
        <f>IFERROR(__xludf.DUMMYFUNCTION("""COMPUTED_VALUE"""),999999.0)</f>
        <v>999999</v>
      </c>
      <c r="O461" s="148">
        <f>IFERROR(__xludf.DUMMYFUNCTION("""COMPUTED_VALUE"""),99999.0)</f>
        <v>99999</v>
      </c>
      <c r="P461" s="148">
        <f>IFERROR(__xludf.DUMMYFUNCTION("""COMPUTED_VALUE"""),9999.0)</f>
        <v>9999</v>
      </c>
      <c r="Q461" s="148" t="str">
        <f>IFERROR(__xludf.DUMMYFUNCTION("""COMPUTED_VALUE"""),"[]")</f>
        <v>[]</v>
      </c>
      <c r="R461" s="148" t="str">
        <f>IFERROR(__xludf.DUMMYFUNCTION("""COMPUTED_VALUE"""),"[]")</f>
        <v>[]</v>
      </c>
      <c r="S461" s="148" t="str">
        <f>IFERROR(__xludf.DUMMYFUNCTION("""COMPUTED_VALUE"""),"{""effect"":[{""typ"":""miss_lost_reward""}]}")</f>
        <v>{"effect":[{"typ":"miss_lost_reward"}]}</v>
      </c>
      <c r="T461" s="148">
        <f>IFERROR(__xludf.DUMMYFUNCTION("""COMPUTED_VALUE"""),-1.0)</f>
        <v>-1</v>
      </c>
      <c r="U461" s="148">
        <f>IFERROR(__xludf.DUMMYFUNCTION("""COMPUTED_VALUE"""),1.0)</f>
        <v>1</v>
      </c>
      <c r="V461" s="148" t="str">
        <f>IFERROR(__xludf.DUMMYFUNCTION("""COMPUTED_VALUE"""),"[]")</f>
        <v>[]</v>
      </c>
      <c r="W461" s="148">
        <f>IFERROR(__xludf.DUMMYFUNCTION("""COMPUTED_VALUE"""),1.174E7)</f>
        <v>11740000</v>
      </c>
      <c r="X461" s="148">
        <f>IFERROR(__xludf.DUMMYFUNCTION("""COMPUTED_VALUE"""),0.0)</f>
        <v>0</v>
      </c>
      <c r="Y461" s="148">
        <f>IFERROR(__xludf.DUMMYFUNCTION("""COMPUTED_VALUE"""),0.0)</f>
        <v>0</v>
      </c>
      <c r="Z461" s="148"/>
    </row>
    <row r="462">
      <c r="A462" s="148">
        <f>IFERROR(__xludf.DUMMYFUNCTION("""COMPUTED_VALUE"""),1.1112253E7)</f>
        <v>11112253</v>
      </c>
      <c r="B462" s="148" t="str">
        <f>IFERROR(__xludf.DUMMYFUNCTION("""COMPUTED_VALUE"""),"周年纪念币-2024周年庆抽奖道具")</f>
        <v>周年纪念币-2024周年庆抽奖道具</v>
      </c>
      <c r="C462" s="148"/>
      <c r="D462" s="148" t="str">
        <f>IFERROR(__xludf.DUMMYFUNCTION("""COMPUTED_VALUE"""),"event")</f>
        <v>event</v>
      </c>
      <c r="E462" s="148">
        <f>IFERROR(__xludf.DUMMYFUNCTION("""COMPUTED_VALUE"""),0.0)</f>
        <v>0</v>
      </c>
      <c r="F462" s="148">
        <f>IFERROR(__xludf.DUMMYFUNCTION("""COMPUTED_VALUE"""),0.0)</f>
        <v>0</v>
      </c>
      <c r="G462" s="148">
        <f>IFERROR(__xludf.DUMMYFUNCTION("""COMPUTED_VALUE"""),1.5116785E7)</f>
        <v>15116785</v>
      </c>
      <c r="H462" s="148">
        <f>IFERROR(__xludf.DUMMYFUNCTION("""COMPUTED_VALUE"""),1.5112564E7)</f>
        <v>15112564</v>
      </c>
      <c r="I462" s="148" t="str">
        <f>IFERROR(__xludf.DUMMYFUNCTION("""COMPUTED_VALUE"""),"{}")</f>
        <v>{}</v>
      </c>
      <c r="J462" s="148" t="str">
        <f>IFERROR(__xludf.DUMMYFUNCTION("""COMPUTED_VALUE"""),"{""typ"":""lc"",""txt"":""LC_ITEM_2023anniversary_gacha_item""}")</f>
        <v>{"typ":"lc","txt":"LC_ITEM_2023anniversary_gacha_item"}</v>
      </c>
      <c r="K462" s="148" t="str">
        <f>IFERROR(__xludf.DUMMYFUNCTION("""COMPUTED_VALUE"""),"{""typ"":""lc"",""txt"":""LC_ITEM_2023anniversary_gacha_item_desc""}")</f>
        <v>{"typ":"lc","txt":"LC_ITEM_2023anniversary_gacha_item_desc"}</v>
      </c>
      <c r="L462" s="148" t="str">
        <f>IFERROR(__xludf.DUMMYFUNCTION("""COMPUTED_VALUE"""),"{}")</f>
        <v>{}</v>
      </c>
      <c r="M462" s="148">
        <f>IFERROR(__xludf.DUMMYFUNCTION("""COMPUTED_VALUE"""),500.0)</f>
        <v>500</v>
      </c>
      <c r="N462" s="148">
        <f>IFERROR(__xludf.DUMMYFUNCTION("""COMPUTED_VALUE"""),999999.0)</f>
        <v>999999</v>
      </c>
      <c r="O462" s="148">
        <f>IFERROR(__xludf.DUMMYFUNCTION("""COMPUTED_VALUE"""),99999.0)</f>
        <v>99999</v>
      </c>
      <c r="P462" s="148">
        <f>IFERROR(__xludf.DUMMYFUNCTION("""COMPUTED_VALUE"""),9.99999999E8)</f>
        <v>999999999</v>
      </c>
      <c r="Q462" s="148" t="str">
        <f>IFERROR(__xludf.DUMMYFUNCTION("""COMPUTED_VALUE"""),"[""bag_other""]")</f>
        <v>["bag_other"]</v>
      </c>
      <c r="R462" s="148" t="str">
        <f>IFERROR(__xludf.DUMMYFUNCTION("""COMPUTED_VALUE"""),"[""bag""]")</f>
        <v>["bag"]</v>
      </c>
      <c r="S462" s="148" t="str">
        <f>IFERROR(__xludf.DUMMYFUNCTION("""COMPUTED_VALUE"""),"{}")</f>
        <v>{}</v>
      </c>
      <c r="T462" s="148">
        <f>IFERROR(__xludf.DUMMYFUNCTION("""COMPUTED_VALUE"""),1.0)</f>
        <v>1</v>
      </c>
      <c r="U462" s="148">
        <f>IFERROR(__xludf.DUMMYFUNCTION("""COMPUTED_VALUE"""),0.0)</f>
        <v>0</v>
      </c>
      <c r="V462" s="148" t="str">
        <f>IFERROR(__xludf.DUMMYFUNCTION("""COMPUTED_VALUE"""),"[]")</f>
        <v>[]</v>
      </c>
      <c r="W462" s="148">
        <f>IFERROR(__xludf.DUMMYFUNCTION("""COMPUTED_VALUE"""),1.174E7)</f>
        <v>11740000</v>
      </c>
      <c r="X462" s="148">
        <f>IFERROR(__xludf.DUMMYFUNCTION("""COMPUTED_VALUE"""),0.0)</f>
        <v>0</v>
      </c>
      <c r="Y462" s="148">
        <f>IFERROR(__xludf.DUMMYFUNCTION("""COMPUTED_VALUE"""),0.0)</f>
        <v>0</v>
      </c>
      <c r="Z462" s="148"/>
    </row>
    <row r="463">
      <c r="A463" s="148">
        <f>IFERROR(__xludf.DUMMYFUNCTION("""COMPUTED_VALUE"""),1.1112254E7)</f>
        <v>11112254</v>
      </c>
      <c r="B463" s="148" t="str">
        <f>IFERROR(__xludf.DUMMYFUNCTION("""COMPUTED_VALUE"""),"周年庆相册好礼-友情胶片")</f>
        <v>周年庆相册好礼-友情胶片</v>
      </c>
      <c r="C463" s="148"/>
      <c r="D463" s="148" t="str">
        <f>IFERROR(__xludf.DUMMYFUNCTION("""COMPUTED_VALUE"""),"event")</f>
        <v>event</v>
      </c>
      <c r="E463" s="148">
        <f>IFERROR(__xludf.DUMMYFUNCTION("""COMPUTED_VALUE"""),0.0)</f>
        <v>0</v>
      </c>
      <c r="F463" s="148">
        <f>IFERROR(__xludf.DUMMYFUNCTION("""COMPUTED_VALUE"""),405217.0)</f>
        <v>405217</v>
      </c>
      <c r="G463" s="148">
        <f>IFERROR(__xludf.DUMMYFUNCTION("""COMPUTED_VALUE"""),1.51100176E8)</f>
        <v>151100176</v>
      </c>
      <c r="H463" s="148">
        <f>IFERROR(__xludf.DUMMYFUNCTION("""COMPUTED_VALUE"""),1.5112563E7)</f>
        <v>15112563</v>
      </c>
      <c r="I463" s="148" t="str">
        <f>IFERROR(__xludf.DUMMYFUNCTION("""COMPUTED_VALUE"""),"{}")</f>
        <v>{}</v>
      </c>
      <c r="J463" s="148" t="str">
        <f>IFERROR(__xludf.DUMMYFUNCTION("""COMPUTED_VALUE"""),"{""typ"":""lc"",""txt"":""LC_ITEM_2024_anni_exchange_event_item_2""}")</f>
        <v>{"typ":"lc","txt":"LC_ITEM_2024_anni_exchange_event_item_2"}</v>
      </c>
      <c r="K463" s="148" t="str">
        <f>IFERROR(__xludf.DUMMYFUNCTION("""COMPUTED_VALUE"""),"{""typ"":""lc"",""txt"":""LC_ITEM_2024_anni_exchange_event_item_2_desc""}")</f>
        <v>{"typ":"lc","txt":"LC_ITEM_2024_anni_exchange_event_item_2_desc"}</v>
      </c>
      <c r="L463" s="148" t="str">
        <f>IFERROR(__xludf.DUMMYFUNCTION("""COMPUTED_VALUE"""),"{}")</f>
        <v>{}</v>
      </c>
      <c r="M463" s="148">
        <f>IFERROR(__xludf.DUMMYFUNCTION("""COMPUTED_VALUE"""),35.0)</f>
        <v>35</v>
      </c>
      <c r="N463" s="148">
        <f>IFERROR(__xludf.DUMMYFUNCTION("""COMPUTED_VALUE"""),999999.0)</f>
        <v>999999</v>
      </c>
      <c r="O463" s="148">
        <f>IFERROR(__xludf.DUMMYFUNCTION("""COMPUTED_VALUE"""),99999.0)</f>
        <v>99999</v>
      </c>
      <c r="P463" s="148">
        <f>IFERROR(__xludf.DUMMYFUNCTION("""COMPUTED_VALUE"""),99999.0)</f>
        <v>99999</v>
      </c>
      <c r="Q463" s="148" t="str">
        <f>IFERROR(__xludf.DUMMYFUNCTION("""COMPUTED_VALUE"""),"[""bag_other""]")</f>
        <v>["bag_other"]</v>
      </c>
      <c r="R463" s="148" t="str">
        <f>IFERROR(__xludf.DUMMYFUNCTION("""COMPUTED_VALUE"""),"[]")</f>
        <v>[]</v>
      </c>
      <c r="S463" s="148" t="str">
        <f>IFERROR(__xludf.DUMMYFUNCTION("""COMPUTED_VALUE"""),"{}")</f>
        <v>{}</v>
      </c>
      <c r="T463" s="148">
        <f>IFERROR(__xludf.DUMMYFUNCTION("""COMPUTED_VALUE"""),-1.0)</f>
        <v>-1</v>
      </c>
      <c r="U463" s="148">
        <f>IFERROR(__xludf.DUMMYFUNCTION("""COMPUTED_VALUE"""),0.0)</f>
        <v>0</v>
      </c>
      <c r="V463" s="148" t="str">
        <f>IFERROR(__xludf.DUMMYFUNCTION("""COMPUTED_VALUE"""),"[]")</f>
        <v>[]</v>
      </c>
      <c r="W463" s="148">
        <f>IFERROR(__xludf.DUMMYFUNCTION("""COMPUTED_VALUE"""),1.174E7)</f>
        <v>11740000</v>
      </c>
      <c r="X463" s="148">
        <f>IFERROR(__xludf.DUMMYFUNCTION("""COMPUTED_VALUE"""),0.0)</f>
        <v>0</v>
      </c>
      <c r="Y463" s="148">
        <f>IFERROR(__xludf.DUMMYFUNCTION("""COMPUTED_VALUE"""),0.0)</f>
        <v>0</v>
      </c>
      <c r="Z463" s="148"/>
    </row>
    <row r="464">
      <c r="A464" s="148">
        <f>IFERROR(__xludf.DUMMYFUNCTION("""COMPUTED_VALUE"""),1.1112255E7)</f>
        <v>11112255</v>
      </c>
      <c r="B464" s="148" t="str">
        <f>IFERROR(__xludf.DUMMYFUNCTION("""COMPUTED_VALUE"""),"周年庆相册好礼-时光胶片")</f>
        <v>周年庆相册好礼-时光胶片</v>
      </c>
      <c r="C464" s="148"/>
      <c r="D464" s="148" t="str">
        <f>IFERROR(__xludf.DUMMYFUNCTION("""COMPUTED_VALUE"""),"event")</f>
        <v>event</v>
      </c>
      <c r="E464" s="148">
        <f>IFERROR(__xludf.DUMMYFUNCTION("""COMPUTED_VALUE"""),0.0)</f>
        <v>0</v>
      </c>
      <c r="F464" s="148">
        <f>IFERROR(__xludf.DUMMYFUNCTION("""COMPUTED_VALUE"""),405216.0)</f>
        <v>405216</v>
      </c>
      <c r="G464" s="148">
        <f>IFERROR(__xludf.DUMMYFUNCTION("""COMPUTED_VALUE"""),1.51100175E8)</f>
        <v>151100175</v>
      </c>
      <c r="H464" s="148">
        <f>IFERROR(__xludf.DUMMYFUNCTION("""COMPUTED_VALUE"""),1.5112563E7)</f>
        <v>15112563</v>
      </c>
      <c r="I464" s="148" t="str">
        <f>IFERROR(__xludf.DUMMYFUNCTION("""COMPUTED_VALUE"""),"{}")</f>
        <v>{}</v>
      </c>
      <c r="J464" s="148" t="str">
        <f>IFERROR(__xludf.DUMMYFUNCTION("""COMPUTED_VALUE"""),"{""typ"":""lc"",""txt"":""LC_ITEM_2024_anni_exchange_event_item_1""}")</f>
        <v>{"typ":"lc","txt":"LC_ITEM_2024_anni_exchange_event_item_1"}</v>
      </c>
      <c r="K464" s="148" t="str">
        <f>IFERROR(__xludf.DUMMYFUNCTION("""COMPUTED_VALUE"""),"{""typ"":""lc"",""txt"":""LC_ITEM_2024_anni_exchange_event_item_1_desc""}")</f>
        <v>{"typ":"lc","txt":"LC_ITEM_2024_anni_exchange_event_item_1_desc"}</v>
      </c>
      <c r="L464" s="148" t="str">
        <f>IFERROR(__xludf.DUMMYFUNCTION("""COMPUTED_VALUE"""),"{}")</f>
        <v>{}</v>
      </c>
      <c r="M464" s="148">
        <f>IFERROR(__xludf.DUMMYFUNCTION("""COMPUTED_VALUE"""),35.0)</f>
        <v>35</v>
      </c>
      <c r="N464" s="148">
        <f>IFERROR(__xludf.DUMMYFUNCTION("""COMPUTED_VALUE"""),999999.0)</f>
        <v>999999</v>
      </c>
      <c r="O464" s="148">
        <f>IFERROR(__xludf.DUMMYFUNCTION("""COMPUTED_VALUE"""),99999.0)</f>
        <v>99999</v>
      </c>
      <c r="P464" s="148">
        <f>IFERROR(__xludf.DUMMYFUNCTION("""COMPUTED_VALUE"""),99999.0)</f>
        <v>99999</v>
      </c>
      <c r="Q464" s="148" t="str">
        <f>IFERROR(__xludf.DUMMYFUNCTION("""COMPUTED_VALUE"""),"[""bag_other""]")</f>
        <v>["bag_other"]</v>
      </c>
      <c r="R464" s="148" t="str">
        <f>IFERROR(__xludf.DUMMYFUNCTION("""COMPUTED_VALUE"""),"[""bag""]")</f>
        <v>["bag"]</v>
      </c>
      <c r="S464" s="148" t="str">
        <f>IFERROR(__xludf.DUMMYFUNCTION("""COMPUTED_VALUE"""),"{}")</f>
        <v>{}</v>
      </c>
      <c r="T464" s="148">
        <f>IFERROR(__xludf.DUMMYFUNCTION("""COMPUTED_VALUE"""),1.0)</f>
        <v>1</v>
      </c>
      <c r="U464" s="148">
        <f>IFERROR(__xludf.DUMMYFUNCTION("""COMPUTED_VALUE"""),0.0)</f>
        <v>0</v>
      </c>
      <c r="V464" s="148" t="str">
        <f>IFERROR(__xludf.DUMMYFUNCTION("""COMPUTED_VALUE"""),"[]")</f>
        <v>[]</v>
      </c>
      <c r="W464" s="148">
        <f>IFERROR(__xludf.DUMMYFUNCTION("""COMPUTED_VALUE"""),1.174E7)</f>
        <v>11740000</v>
      </c>
      <c r="X464" s="148">
        <f>IFERROR(__xludf.DUMMYFUNCTION("""COMPUTED_VALUE"""),0.0)</f>
        <v>0</v>
      </c>
      <c r="Y464" s="148">
        <f>IFERROR(__xludf.DUMMYFUNCTION("""COMPUTED_VALUE"""),0.0)</f>
        <v>0</v>
      </c>
      <c r="Z464" s="148"/>
    </row>
    <row r="465">
      <c r="A465" s="148">
        <f>IFERROR(__xludf.DUMMYFUNCTION("""COMPUTED_VALUE"""),1.1112257E7)</f>
        <v>11112257</v>
      </c>
      <c r="B465" s="148" t="str">
        <f>IFERROR(__xludf.DUMMYFUNCTION("""COMPUTED_VALUE"""),"周年庆2024装饰建筑-1级-组件1-底部水池")</f>
        <v>周年庆2024装饰建筑-1级-组件1-底部水池</v>
      </c>
      <c r="C465" s="148"/>
      <c r="D465" s="148" t="str">
        <f>IFERROR(__xludf.DUMMYFUNCTION("""COMPUTED_VALUE"""),"event")</f>
        <v>event</v>
      </c>
      <c r="E465" s="148">
        <f>IFERROR(__xludf.DUMMYFUNCTION("""COMPUTED_VALUE"""),0.0)</f>
        <v>0</v>
      </c>
      <c r="F465" s="148">
        <f>IFERROR(__xludf.DUMMYFUNCTION("""COMPUTED_VALUE"""),405215.0)</f>
        <v>405215</v>
      </c>
      <c r="G465" s="148">
        <f>IFERROR(__xludf.DUMMYFUNCTION("""COMPUTED_VALUE"""),1.51100191E8)</f>
        <v>151100191</v>
      </c>
      <c r="H465" s="148">
        <f>IFERROR(__xludf.DUMMYFUNCTION("""COMPUTED_VALUE"""),1.5112564E7)</f>
        <v>15112564</v>
      </c>
      <c r="I465" s="148" t="str">
        <f>IFERROR(__xludf.DUMMYFUNCTION("""COMPUTED_VALUE"""),"{}")</f>
        <v>{}</v>
      </c>
      <c r="J465" s="148" t="str">
        <f>IFERROR(__xludf.DUMMYFUNCTION("""COMPUTED_VALUE"""),"{""typ"":""lc"",""txt"":""LC_ITEM_anni_dec_1_name""}")</f>
        <v>{"typ":"lc","txt":"LC_ITEM_anni_dec_1_name"}</v>
      </c>
      <c r="K465" s="148" t="str">
        <f>IFERROR(__xludf.DUMMYFUNCTION("""COMPUTED_VALUE"""),"{""typ"":""lc"",""txt"":""LC_ITEM_anni_dec_1_desc""}")</f>
        <v>{"typ":"lc","txt":"LC_ITEM_anni_dec_1_desc"}</v>
      </c>
      <c r="L465" s="148" t="str">
        <f>IFERROR(__xludf.DUMMYFUNCTION("""COMPUTED_VALUE"""),"{}")</f>
        <v>{}</v>
      </c>
      <c r="M465" s="148">
        <f>IFERROR(__xludf.DUMMYFUNCTION("""COMPUTED_VALUE"""),35.0)</f>
        <v>35</v>
      </c>
      <c r="N465" s="148">
        <f>IFERROR(__xludf.DUMMYFUNCTION("""COMPUTED_VALUE"""),999999.0)</f>
        <v>999999</v>
      </c>
      <c r="O465" s="148">
        <f>IFERROR(__xludf.DUMMYFUNCTION("""COMPUTED_VALUE"""),99999.0)</f>
        <v>99999</v>
      </c>
      <c r="P465" s="148">
        <f>IFERROR(__xludf.DUMMYFUNCTION("""COMPUTED_VALUE"""),99999.0)</f>
        <v>99999</v>
      </c>
      <c r="Q465" s="148" t="str">
        <f>IFERROR(__xludf.DUMMYFUNCTION("""COMPUTED_VALUE"""),"[""bag_other""]")</f>
        <v>["bag_other"]</v>
      </c>
      <c r="R465" s="148" t="str">
        <f>IFERROR(__xludf.DUMMYFUNCTION("""COMPUTED_VALUE"""),"[]")</f>
        <v>[]</v>
      </c>
      <c r="S465" s="148" t="str">
        <f>IFERROR(__xludf.DUMMYFUNCTION("""COMPUTED_VALUE"""),"{}")</f>
        <v>{}</v>
      </c>
      <c r="T465" s="148">
        <f>IFERROR(__xludf.DUMMYFUNCTION("""COMPUTED_VALUE"""),1.0)</f>
        <v>1</v>
      </c>
      <c r="U465" s="148">
        <f>IFERROR(__xludf.DUMMYFUNCTION("""COMPUTED_VALUE"""),0.0)</f>
        <v>0</v>
      </c>
      <c r="V465" s="148" t="str">
        <f>IFERROR(__xludf.DUMMYFUNCTION("""COMPUTED_VALUE"""),"[]")</f>
        <v>[]</v>
      </c>
      <c r="W465" s="148">
        <f>IFERROR(__xludf.DUMMYFUNCTION("""COMPUTED_VALUE"""),1.174E7)</f>
        <v>11740000</v>
      </c>
      <c r="X465" s="148">
        <f>IFERROR(__xludf.DUMMYFUNCTION("""COMPUTED_VALUE"""),0.0)</f>
        <v>0</v>
      </c>
      <c r="Y465" s="148">
        <f>IFERROR(__xludf.DUMMYFUNCTION("""COMPUTED_VALUE"""),0.0)</f>
        <v>0</v>
      </c>
      <c r="Z465" s="148"/>
    </row>
    <row r="466">
      <c r="A466" s="148">
        <f>IFERROR(__xludf.DUMMYFUNCTION("""COMPUTED_VALUE"""),1.1112258E7)</f>
        <v>11112258</v>
      </c>
      <c r="B466" s="148" t="str">
        <f>IFERROR(__xludf.DUMMYFUNCTION("""COMPUTED_VALUE"""),"周年庆2024装饰建筑-1级-组件2-香蕉石台（西北）")</f>
        <v>周年庆2024装饰建筑-1级-组件2-香蕉石台（西北）</v>
      </c>
      <c r="C466" s="148"/>
      <c r="D466" s="148" t="str">
        <f>IFERROR(__xludf.DUMMYFUNCTION("""COMPUTED_VALUE"""),"event")</f>
        <v>event</v>
      </c>
      <c r="E466" s="148">
        <f>IFERROR(__xludf.DUMMYFUNCTION("""COMPUTED_VALUE"""),0.0)</f>
        <v>0</v>
      </c>
      <c r="F466" s="148">
        <f>IFERROR(__xludf.DUMMYFUNCTION("""COMPUTED_VALUE"""),405214.0)</f>
        <v>405214</v>
      </c>
      <c r="G466" s="148">
        <f>IFERROR(__xludf.DUMMYFUNCTION("""COMPUTED_VALUE"""),1.51100192E8)</f>
        <v>151100192</v>
      </c>
      <c r="H466" s="148">
        <f>IFERROR(__xludf.DUMMYFUNCTION("""COMPUTED_VALUE"""),1.5112564E7)</f>
        <v>15112564</v>
      </c>
      <c r="I466" s="148" t="str">
        <f>IFERROR(__xludf.DUMMYFUNCTION("""COMPUTED_VALUE"""),"{}")</f>
        <v>{}</v>
      </c>
      <c r="J466" s="148" t="str">
        <f>IFERROR(__xludf.DUMMYFUNCTION("""COMPUTED_VALUE"""),"{""typ"":""lc"",""txt"":""LC_ITEM_anni_dec_2_name""}")</f>
        <v>{"typ":"lc","txt":"LC_ITEM_anni_dec_2_name"}</v>
      </c>
      <c r="K466" s="148" t="str">
        <f>IFERROR(__xludf.DUMMYFUNCTION("""COMPUTED_VALUE"""),"{""typ"":""lc"",""txt"":""LC_ITEM_anni_dec_2_desc""}")</f>
        <v>{"typ":"lc","txt":"LC_ITEM_anni_dec_2_desc"}</v>
      </c>
      <c r="L466" s="148" t="str">
        <f>IFERROR(__xludf.DUMMYFUNCTION("""COMPUTED_VALUE"""),"{}")</f>
        <v>{}</v>
      </c>
      <c r="M466" s="148">
        <f>IFERROR(__xludf.DUMMYFUNCTION("""COMPUTED_VALUE"""),35.0)</f>
        <v>35</v>
      </c>
      <c r="N466" s="148">
        <f>IFERROR(__xludf.DUMMYFUNCTION("""COMPUTED_VALUE"""),999999.0)</f>
        <v>999999</v>
      </c>
      <c r="O466" s="148">
        <f>IFERROR(__xludf.DUMMYFUNCTION("""COMPUTED_VALUE"""),99999.0)</f>
        <v>99999</v>
      </c>
      <c r="P466" s="148">
        <f>IFERROR(__xludf.DUMMYFUNCTION("""COMPUTED_VALUE"""),99999.0)</f>
        <v>99999</v>
      </c>
      <c r="Q466" s="148" t="str">
        <f>IFERROR(__xludf.DUMMYFUNCTION("""COMPUTED_VALUE"""),"[""bag_other""]")</f>
        <v>["bag_other"]</v>
      </c>
      <c r="R466" s="148" t="str">
        <f>IFERROR(__xludf.DUMMYFUNCTION("""COMPUTED_VALUE"""),"[]")</f>
        <v>[]</v>
      </c>
      <c r="S466" s="148" t="str">
        <f>IFERROR(__xludf.DUMMYFUNCTION("""COMPUTED_VALUE"""),"{}")</f>
        <v>{}</v>
      </c>
      <c r="T466" s="148">
        <f>IFERROR(__xludf.DUMMYFUNCTION("""COMPUTED_VALUE"""),1.0)</f>
        <v>1</v>
      </c>
      <c r="U466" s="148">
        <f>IFERROR(__xludf.DUMMYFUNCTION("""COMPUTED_VALUE"""),0.0)</f>
        <v>0</v>
      </c>
      <c r="V466" s="148" t="str">
        <f>IFERROR(__xludf.DUMMYFUNCTION("""COMPUTED_VALUE"""),"[]")</f>
        <v>[]</v>
      </c>
      <c r="W466" s="148">
        <f>IFERROR(__xludf.DUMMYFUNCTION("""COMPUTED_VALUE"""),1.174E7)</f>
        <v>11740000</v>
      </c>
      <c r="X466" s="148">
        <f>IFERROR(__xludf.DUMMYFUNCTION("""COMPUTED_VALUE"""),0.0)</f>
        <v>0</v>
      </c>
      <c r="Y466" s="148">
        <f>IFERROR(__xludf.DUMMYFUNCTION("""COMPUTED_VALUE"""),0.0)</f>
        <v>0</v>
      </c>
      <c r="Z466" s="148"/>
    </row>
    <row r="467">
      <c r="A467" s="148">
        <f>IFERROR(__xludf.DUMMYFUNCTION("""COMPUTED_VALUE"""),1.1112259E7)</f>
        <v>11112259</v>
      </c>
      <c r="B467" s="148" t="str">
        <f>IFERROR(__xludf.DUMMYFUNCTION("""COMPUTED_VALUE"""),"周年庆2024装饰建筑-1级-组件3-香蕉石台（东北）")</f>
        <v>周年庆2024装饰建筑-1级-组件3-香蕉石台（东北）</v>
      </c>
      <c r="C467" s="148"/>
      <c r="D467" s="148" t="str">
        <f>IFERROR(__xludf.DUMMYFUNCTION("""COMPUTED_VALUE"""),"event")</f>
        <v>event</v>
      </c>
      <c r="E467" s="148">
        <f>IFERROR(__xludf.DUMMYFUNCTION("""COMPUTED_VALUE"""),0.0)</f>
        <v>0</v>
      </c>
      <c r="F467" s="148">
        <f>IFERROR(__xludf.DUMMYFUNCTION("""COMPUTED_VALUE"""),405213.0)</f>
        <v>405213</v>
      </c>
      <c r="G467" s="148">
        <f>IFERROR(__xludf.DUMMYFUNCTION("""COMPUTED_VALUE"""),1.51100193E8)</f>
        <v>151100193</v>
      </c>
      <c r="H467" s="148">
        <f>IFERROR(__xludf.DUMMYFUNCTION("""COMPUTED_VALUE"""),1.5112564E7)</f>
        <v>15112564</v>
      </c>
      <c r="I467" s="148" t="str">
        <f>IFERROR(__xludf.DUMMYFUNCTION("""COMPUTED_VALUE"""),"{}")</f>
        <v>{}</v>
      </c>
      <c r="J467" s="148" t="str">
        <f>IFERROR(__xludf.DUMMYFUNCTION("""COMPUTED_VALUE"""),"{""typ"":""lc"",""txt"":""LC_ITEM_anni_dec_3_name""}")</f>
        <v>{"typ":"lc","txt":"LC_ITEM_anni_dec_3_name"}</v>
      </c>
      <c r="K467" s="148" t="str">
        <f>IFERROR(__xludf.DUMMYFUNCTION("""COMPUTED_VALUE"""),"{""typ"":""lc"",""txt"":""LC_ITEM_anni_dec_3_desc""}")</f>
        <v>{"typ":"lc","txt":"LC_ITEM_anni_dec_3_desc"}</v>
      </c>
      <c r="L467" s="148" t="str">
        <f>IFERROR(__xludf.DUMMYFUNCTION("""COMPUTED_VALUE"""),"{}")</f>
        <v>{}</v>
      </c>
      <c r="M467" s="148">
        <f>IFERROR(__xludf.DUMMYFUNCTION("""COMPUTED_VALUE"""),35.0)</f>
        <v>35</v>
      </c>
      <c r="N467" s="148">
        <f>IFERROR(__xludf.DUMMYFUNCTION("""COMPUTED_VALUE"""),999999.0)</f>
        <v>999999</v>
      </c>
      <c r="O467" s="148">
        <f>IFERROR(__xludf.DUMMYFUNCTION("""COMPUTED_VALUE"""),99999.0)</f>
        <v>99999</v>
      </c>
      <c r="P467" s="148">
        <f>IFERROR(__xludf.DUMMYFUNCTION("""COMPUTED_VALUE"""),99999.0)</f>
        <v>99999</v>
      </c>
      <c r="Q467" s="148" t="str">
        <f>IFERROR(__xludf.DUMMYFUNCTION("""COMPUTED_VALUE"""),"[""bag_other""]")</f>
        <v>["bag_other"]</v>
      </c>
      <c r="R467" s="148" t="str">
        <f>IFERROR(__xludf.DUMMYFUNCTION("""COMPUTED_VALUE"""),"[]")</f>
        <v>[]</v>
      </c>
      <c r="S467" s="148" t="str">
        <f>IFERROR(__xludf.DUMMYFUNCTION("""COMPUTED_VALUE"""),"{}")</f>
        <v>{}</v>
      </c>
      <c r="T467" s="148">
        <f>IFERROR(__xludf.DUMMYFUNCTION("""COMPUTED_VALUE"""),1.0)</f>
        <v>1</v>
      </c>
      <c r="U467" s="148">
        <f>IFERROR(__xludf.DUMMYFUNCTION("""COMPUTED_VALUE"""),0.0)</f>
        <v>0</v>
      </c>
      <c r="V467" s="148" t="str">
        <f>IFERROR(__xludf.DUMMYFUNCTION("""COMPUTED_VALUE"""),"[]")</f>
        <v>[]</v>
      </c>
      <c r="W467" s="148">
        <f>IFERROR(__xludf.DUMMYFUNCTION("""COMPUTED_VALUE"""),1.174E7)</f>
        <v>11740000</v>
      </c>
      <c r="X467" s="148">
        <f>IFERROR(__xludf.DUMMYFUNCTION("""COMPUTED_VALUE"""),0.0)</f>
        <v>0</v>
      </c>
      <c r="Y467" s="148">
        <f>IFERROR(__xludf.DUMMYFUNCTION("""COMPUTED_VALUE"""),0.0)</f>
        <v>0</v>
      </c>
      <c r="Z467" s="148"/>
    </row>
    <row r="468">
      <c r="A468" s="148">
        <f>IFERROR(__xludf.DUMMYFUNCTION("""COMPUTED_VALUE"""),1.111226E7)</f>
        <v>11112260</v>
      </c>
      <c r="B468" s="148" t="str">
        <f>IFERROR(__xludf.DUMMYFUNCTION("""COMPUTED_VALUE"""),"周年庆2024装饰建筑-1级-组件4-香蕉石台（西南）")</f>
        <v>周年庆2024装饰建筑-1级-组件4-香蕉石台（西南）</v>
      </c>
      <c r="C468" s="148"/>
      <c r="D468" s="148" t="str">
        <f>IFERROR(__xludf.DUMMYFUNCTION("""COMPUTED_VALUE"""),"event")</f>
        <v>event</v>
      </c>
      <c r="E468" s="148">
        <f>IFERROR(__xludf.DUMMYFUNCTION("""COMPUTED_VALUE"""),0.0)</f>
        <v>0</v>
      </c>
      <c r="F468" s="148">
        <f>IFERROR(__xludf.DUMMYFUNCTION("""COMPUTED_VALUE"""),405212.0)</f>
        <v>405212</v>
      </c>
      <c r="G468" s="148">
        <f>IFERROR(__xludf.DUMMYFUNCTION("""COMPUTED_VALUE"""),1.51100194E8)</f>
        <v>151100194</v>
      </c>
      <c r="H468" s="148">
        <f>IFERROR(__xludf.DUMMYFUNCTION("""COMPUTED_VALUE"""),1.5112564E7)</f>
        <v>15112564</v>
      </c>
      <c r="I468" s="148" t="str">
        <f>IFERROR(__xludf.DUMMYFUNCTION("""COMPUTED_VALUE"""),"{}")</f>
        <v>{}</v>
      </c>
      <c r="J468" s="148" t="str">
        <f>IFERROR(__xludf.DUMMYFUNCTION("""COMPUTED_VALUE"""),"{""typ"":""lc"",""txt"":""LC_ITEM_anni_dec_4_name""}")</f>
        <v>{"typ":"lc","txt":"LC_ITEM_anni_dec_4_name"}</v>
      </c>
      <c r="K468" s="148" t="str">
        <f>IFERROR(__xludf.DUMMYFUNCTION("""COMPUTED_VALUE"""),"{""typ"":""lc"",""txt"":""LC_ITEM_anni_dec_4_desc""}")</f>
        <v>{"typ":"lc","txt":"LC_ITEM_anni_dec_4_desc"}</v>
      </c>
      <c r="L468" s="148" t="str">
        <f>IFERROR(__xludf.DUMMYFUNCTION("""COMPUTED_VALUE"""),"{}")</f>
        <v>{}</v>
      </c>
      <c r="M468" s="148">
        <f>IFERROR(__xludf.DUMMYFUNCTION("""COMPUTED_VALUE"""),35.0)</f>
        <v>35</v>
      </c>
      <c r="N468" s="148">
        <f>IFERROR(__xludf.DUMMYFUNCTION("""COMPUTED_VALUE"""),999999.0)</f>
        <v>999999</v>
      </c>
      <c r="O468" s="148">
        <f>IFERROR(__xludf.DUMMYFUNCTION("""COMPUTED_VALUE"""),99999.0)</f>
        <v>99999</v>
      </c>
      <c r="P468" s="148">
        <f>IFERROR(__xludf.DUMMYFUNCTION("""COMPUTED_VALUE"""),99999.0)</f>
        <v>99999</v>
      </c>
      <c r="Q468" s="148" t="str">
        <f>IFERROR(__xludf.DUMMYFUNCTION("""COMPUTED_VALUE"""),"[""bag_other""]")</f>
        <v>["bag_other"]</v>
      </c>
      <c r="R468" s="148" t="str">
        <f>IFERROR(__xludf.DUMMYFUNCTION("""COMPUTED_VALUE"""),"[]")</f>
        <v>[]</v>
      </c>
      <c r="S468" s="148" t="str">
        <f>IFERROR(__xludf.DUMMYFUNCTION("""COMPUTED_VALUE"""),"{}")</f>
        <v>{}</v>
      </c>
      <c r="T468" s="148">
        <f>IFERROR(__xludf.DUMMYFUNCTION("""COMPUTED_VALUE"""),1.0)</f>
        <v>1</v>
      </c>
      <c r="U468" s="148">
        <f>IFERROR(__xludf.DUMMYFUNCTION("""COMPUTED_VALUE"""),0.0)</f>
        <v>0</v>
      </c>
      <c r="V468" s="148" t="str">
        <f>IFERROR(__xludf.DUMMYFUNCTION("""COMPUTED_VALUE"""),"[]")</f>
        <v>[]</v>
      </c>
      <c r="W468" s="148">
        <f>IFERROR(__xludf.DUMMYFUNCTION("""COMPUTED_VALUE"""),1.174E7)</f>
        <v>11740000</v>
      </c>
      <c r="X468" s="148">
        <f>IFERROR(__xludf.DUMMYFUNCTION("""COMPUTED_VALUE"""),0.0)</f>
        <v>0</v>
      </c>
      <c r="Y468" s="148">
        <f>IFERROR(__xludf.DUMMYFUNCTION("""COMPUTED_VALUE"""),0.0)</f>
        <v>0</v>
      </c>
      <c r="Z468" s="148"/>
    </row>
    <row r="469">
      <c r="A469" s="148">
        <f>IFERROR(__xludf.DUMMYFUNCTION("""COMPUTED_VALUE"""),1.1112261E7)</f>
        <v>11112261</v>
      </c>
      <c r="B469" s="148" t="str">
        <f>IFERROR(__xludf.DUMMYFUNCTION("""COMPUTED_VALUE"""),"周年庆2024装饰建筑-1级-组件5-香蕉石台（东南）")</f>
        <v>周年庆2024装饰建筑-1级-组件5-香蕉石台（东南）</v>
      </c>
      <c r="C469" s="148"/>
      <c r="D469" s="148" t="str">
        <f>IFERROR(__xludf.DUMMYFUNCTION("""COMPUTED_VALUE"""),"event")</f>
        <v>event</v>
      </c>
      <c r="E469" s="148">
        <f>IFERROR(__xludf.DUMMYFUNCTION("""COMPUTED_VALUE"""),0.0)</f>
        <v>0</v>
      </c>
      <c r="F469" s="148">
        <f>IFERROR(__xludf.DUMMYFUNCTION("""COMPUTED_VALUE"""),405211.0)</f>
        <v>405211</v>
      </c>
      <c r="G469" s="148">
        <f>IFERROR(__xludf.DUMMYFUNCTION("""COMPUTED_VALUE"""),1.51100195E8)</f>
        <v>151100195</v>
      </c>
      <c r="H469" s="148">
        <f>IFERROR(__xludf.DUMMYFUNCTION("""COMPUTED_VALUE"""),1.5112564E7)</f>
        <v>15112564</v>
      </c>
      <c r="I469" s="148" t="str">
        <f>IFERROR(__xludf.DUMMYFUNCTION("""COMPUTED_VALUE"""),"{}")</f>
        <v>{}</v>
      </c>
      <c r="J469" s="148" t="str">
        <f>IFERROR(__xludf.DUMMYFUNCTION("""COMPUTED_VALUE"""),"{""typ"":""lc"",""txt"":""LC_ITEM_anni_dec_5_name""}")</f>
        <v>{"typ":"lc","txt":"LC_ITEM_anni_dec_5_name"}</v>
      </c>
      <c r="K469" s="148" t="str">
        <f>IFERROR(__xludf.DUMMYFUNCTION("""COMPUTED_VALUE"""),"{""typ"":""lc"",""txt"":""LC_ITEM_anni_dec_5_desc""}")</f>
        <v>{"typ":"lc","txt":"LC_ITEM_anni_dec_5_desc"}</v>
      </c>
      <c r="L469" s="148" t="str">
        <f>IFERROR(__xludf.DUMMYFUNCTION("""COMPUTED_VALUE"""),"{}")</f>
        <v>{}</v>
      </c>
      <c r="M469" s="148">
        <f>IFERROR(__xludf.DUMMYFUNCTION("""COMPUTED_VALUE"""),35.0)</f>
        <v>35</v>
      </c>
      <c r="N469" s="148">
        <f>IFERROR(__xludf.DUMMYFUNCTION("""COMPUTED_VALUE"""),999999.0)</f>
        <v>999999</v>
      </c>
      <c r="O469" s="148">
        <f>IFERROR(__xludf.DUMMYFUNCTION("""COMPUTED_VALUE"""),99999.0)</f>
        <v>99999</v>
      </c>
      <c r="P469" s="148">
        <f>IFERROR(__xludf.DUMMYFUNCTION("""COMPUTED_VALUE"""),99999.0)</f>
        <v>99999</v>
      </c>
      <c r="Q469" s="148" t="str">
        <f>IFERROR(__xludf.DUMMYFUNCTION("""COMPUTED_VALUE"""),"[""bag_other""]")</f>
        <v>["bag_other"]</v>
      </c>
      <c r="R469" s="148" t="str">
        <f>IFERROR(__xludf.DUMMYFUNCTION("""COMPUTED_VALUE"""),"[]")</f>
        <v>[]</v>
      </c>
      <c r="S469" s="148" t="str">
        <f>IFERROR(__xludf.DUMMYFUNCTION("""COMPUTED_VALUE"""),"{}")</f>
        <v>{}</v>
      </c>
      <c r="T469" s="148">
        <f>IFERROR(__xludf.DUMMYFUNCTION("""COMPUTED_VALUE"""),1.0)</f>
        <v>1</v>
      </c>
      <c r="U469" s="148">
        <f>IFERROR(__xludf.DUMMYFUNCTION("""COMPUTED_VALUE"""),0.0)</f>
        <v>0</v>
      </c>
      <c r="V469" s="148" t="str">
        <f>IFERROR(__xludf.DUMMYFUNCTION("""COMPUTED_VALUE"""),"[]")</f>
        <v>[]</v>
      </c>
      <c r="W469" s="148">
        <f>IFERROR(__xludf.DUMMYFUNCTION("""COMPUTED_VALUE"""),1.174E7)</f>
        <v>11740000</v>
      </c>
      <c r="X469" s="148">
        <f>IFERROR(__xludf.DUMMYFUNCTION("""COMPUTED_VALUE"""),0.0)</f>
        <v>0</v>
      </c>
      <c r="Y469" s="148">
        <f>IFERROR(__xludf.DUMMYFUNCTION("""COMPUTED_VALUE"""),0.0)</f>
        <v>0</v>
      </c>
      <c r="Z469" s="148"/>
    </row>
    <row r="470">
      <c r="A470" s="148">
        <f>IFERROR(__xludf.DUMMYFUNCTION("""COMPUTED_VALUE"""),1.1112262E7)</f>
        <v>11112262</v>
      </c>
      <c r="B470" s="148" t="str">
        <f>IFERROR(__xludf.DUMMYFUNCTION("""COMPUTED_VALUE"""),"周年庆2024装饰建筑-1级-组件6-水池底柱")</f>
        <v>周年庆2024装饰建筑-1级-组件6-水池底柱</v>
      </c>
      <c r="C470" s="148"/>
      <c r="D470" s="148" t="str">
        <f>IFERROR(__xludf.DUMMYFUNCTION("""COMPUTED_VALUE"""),"event")</f>
        <v>event</v>
      </c>
      <c r="E470" s="148">
        <f>IFERROR(__xludf.DUMMYFUNCTION("""COMPUTED_VALUE"""),0.0)</f>
        <v>0</v>
      </c>
      <c r="F470" s="148">
        <f>IFERROR(__xludf.DUMMYFUNCTION("""COMPUTED_VALUE"""),405210.0)</f>
        <v>405210</v>
      </c>
      <c r="G470" s="148">
        <f>IFERROR(__xludf.DUMMYFUNCTION("""COMPUTED_VALUE"""),1.51100196E8)</f>
        <v>151100196</v>
      </c>
      <c r="H470" s="148">
        <f>IFERROR(__xludf.DUMMYFUNCTION("""COMPUTED_VALUE"""),1.5112564E7)</f>
        <v>15112564</v>
      </c>
      <c r="I470" s="148" t="str">
        <f>IFERROR(__xludf.DUMMYFUNCTION("""COMPUTED_VALUE"""),"{}")</f>
        <v>{}</v>
      </c>
      <c r="J470" s="148" t="str">
        <f>IFERROR(__xludf.DUMMYFUNCTION("""COMPUTED_VALUE"""),"{""typ"":""lc"",""txt"":""LC_ITEM_anni_dec_6_name""}")</f>
        <v>{"typ":"lc","txt":"LC_ITEM_anni_dec_6_name"}</v>
      </c>
      <c r="K470" s="148" t="str">
        <f>IFERROR(__xludf.DUMMYFUNCTION("""COMPUTED_VALUE"""),"{""typ"":""lc"",""txt"":""LC_ITEM_anni_dec_6_desc""}")</f>
        <v>{"typ":"lc","txt":"LC_ITEM_anni_dec_6_desc"}</v>
      </c>
      <c r="L470" s="148" t="str">
        <f>IFERROR(__xludf.DUMMYFUNCTION("""COMPUTED_VALUE"""),"{}")</f>
        <v>{}</v>
      </c>
      <c r="M470" s="148">
        <f>IFERROR(__xludf.DUMMYFUNCTION("""COMPUTED_VALUE"""),35.0)</f>
        <v>35</v>
      </c>
      <c r="N470" s="148">
        <f>IFERROR(__xludf.DUMMYFUNCTION("""COMPUTED_VALUE"""),999999.0)</f>
        <v>999999</v>
      </c>
      <c r="O470" s="148">
        <f>IFERROR(__xludf.DUMMYFUNCTION("""COMPUTED_VALUE"""),99999.0)</f>
        <v>99999</v>
      </c>
      <c r="P470" s="148">
        <f>IFERROR(__xludf.DUMMYFUNCTION("""COMPUTED_VALUE"""),99999.0)</f>
        <v>99999</v>
      </c>
      <c r="Q470" s="148" t="str">
        <f>IFERROR(__xludf.DUMMYFUNCTION("""COMPUTED_VALUE"""),"[""bag_other""]")</f>
        <v>["bag_other"]</v>
      </c>
      <c r="R470" s="148" t="str">
        <f>IFERROR(__xludf.DUMMYFUNCTION("""COMPUTED_VALUE"""),"[]")</f>
        <v>[]</v>
      </c>
      <c r="S470" s="148" t="str">
        <f>IFERROR(__xludf.DUMMYFUNCTION("""COMPUTED_VALUE"""),"{}")</f>
        <v>{}</v>
      </c>
      <c r="T470" s="148">
        <f>IFERROR(__xludf.DUMMYFUNCTION("""COMPUTED_VALUE"""),1.0)</f>
        <v>1</v>
      </c>
      <c r="U470" s="148">
        <f>IFERROR(__xludf.DUMMYFUNCTION("""COMPUTED_VALUE"""),0.0)</f>
        <v>0</v>
      </c>
      <c r="V470" s="148" t="str">
        <f>IFERROR(__xludf.DUMMYFUNCTION("""COMPUTED_VALUE"""),"[]")</f>
        <v>[]</v>
      </c>
      <c r="W470" s="148">
        <f>IFERROR(__xludf.DUMMYFUNCTION("""COMPUTED_VALUE"""),1.174E7)</f>
        <v>11740000</v>
      </c>
      <c r="X470" s="148">
        <f>IFERROR(__xludf.DUMMYFUNCTION("""COMPUTED_VALUE"""),0.0)</f>
        <v>0</v>
      </c>
      <c r="Y470" s="148">
        <f>IFERROR(__xludf.DUMMYFUNCTION("""COMPUTED_VALUE"""),0.0)</f>
        <v>0</v>
      </c>
      <c r="Z470" s="148"/>
    </row>
    <row r="471">
      <c r="A471" s="148">
        <f>IFERROR(__xludf.DUMMYFUNCTION("""COMPUTED_VALUE"""),1.1112263E7)</f>
        <v>11112263</v>
      </c>
      <c r="B471" s="148" t="str">
        <f>IFERROR(__xludf.DUMMYFUNCTION("""COMPUTED_VALUE"""),"周年庆2024装饰建筑-1级-组件7-中部蓄水台")</f>
        <v>周年庆2024装饰建筑-1级-组件7-中部蓄水台</v>
      </c>
      <c r="C471" s="148"/>
      <c r="D471" s="148" t="str">
        <f>IFERROR(__xludf.DUMMYFUNCTION("""COMPUTED_VALUE"""),"event")</f>
        <v>event</v>
      </c>
      <c r="E471" s="148">
        <f>IFERROR(__xludf.DUMMYFUNCTION("""COMPUTED_VALUE"""),0.0)</f>
        <v>0</v>
      </c>
      <c r="F471" s="148">
        <f>IFERROR(__xludf.DUMMYFUNCTION("""COMPUTED_VALUE"""),405209.0)</f>
        <v>405209</v>
      </c>
      <c r="G471" s="148">
        <f>IFERROR(__xludf.DUMMYFUNCTION("""COMPUTED_VALUE"""),1.51100197E8)</f>
        <v>151100197</v>
      </c>
      <c r="H471" s="148">
        <f>IFERROR(__xludf.DUMMYFUNCTION("""COMPUTED_VALUE"""),1.5112564E7)</f>
        <v>15112564</v>
      </c>
      <c r="I471" s="148" t="str">
        <f>IFERROR(__xludf.DUMMYFUNCTION("""COMPUTED_VALUE"""),"{}")</f>
        <v>{}</v>
      </c>
      <c r="J471" s="148" t="str">
        <f>IFERROR(__xludf.DUMMYFUNCTION("""COMPUTED_VALUE"""),"{""typ"":""lc"",""txt"":""LC_ITEM_anni_dec_7_name""}")</f>
        <v>{"typ":"lc","txt":"LC_ITEM_anni_dec_7_name"}</v>
      </c>
      <c r="K471" s="148" t="str">
        <f>IFERROR(__xludf.DUMMYFUNCTION("""COMPUTED_VALUE"""),"{""typ"":""lc"",""txt"":""LC_ITEM_anni_dec_7_desc""}")</f>
        <v>{"typ":"lc","txt":"LC_ITEM_anni_dec_7_desc"}</v>
      </c>
      <c r="L471" s="148" t="str">
        <f>IFERROR(__xludf.DUMMYFUNCTION("""COMPUTED_VALUE"""),"{}")</f>
        <v>{}</v>
      </c>
      <c r="M471" s="148">
        <f>IFERROR(__xludf.DUMMYFUNCTION("""COMPUTED_VALUE"""),35.0)</f>
        <v>35</v>
      </c>
      <c r="N471" s="148">
        <f>IFERROR(__xludf.DUMMYFUNCTION("""COMPUTED_VALUE"""),999999.0)</f>
        <v>999999</v>
      </c>
      <c r="O471" s="148">
        <f>IFERROR(__xludf.DUMMYFUNCTION("""COMPUTED_VALUE"""),99999.0)</f>
        <v>99999</v>
      </c>
      <c r="P471" s="148">
        <f>IFERROR(__xludf.DUMMYFUNCTION("""COMPUTED_VALUE"""),99999.0)</f>
        <v>99999</v>
      </c>
      <c r="Q471" s="148" t="str">
        <f>IFERROR(__xludf.DUMMYFUNCTION("""COMPUTED_VALUE"""),"[""bag_other""]")</f>
        <v>["bag_other"]</v>
      </c>
      <c r="R471" s="148" t="str">
        <f>IFERROR(__xludf.DUMMYFUNCTION("""COMPUTED_VALUE"""),"[]")</f>
        <v>[]</v>
      </c>
      <c r="S471" s="148" t="str">
        <f>IFERROR(__xludf.DUMMYFUNCTION("""COMPUTED_VALUE"""),"{}")</f>
        <v>{}</v>
      </c>
      <c r="T471" s="148">
        <f>IFERROR(__xludf.DUMMYFUNCTION("""COMPUTED_VALUE"""),1.0)</f>
        <v>1</v>
      </c>
      <c r="U471" s="148">
        <f>IFERROR(__xludf.DUMMYFUNCTION("""COMPUTED_VALUE"""),0.0)</f>
        <v>0</v>
      </c>
      <c r="V471" s="148" t="str">
        <f>IFERROR(__xludf.DUMMYFUNCTION("""COMPUTED_VALUE"""),"[]")</f>
        <v>[]</v>
      </c>
      <c r="W471" s="148">
        <f>IFERROR(__xludf.DUMMYFUNCTION("""COMPUTED_VALUE"""),1.174E7)</f>
        <v>11740000</v>
      </c>
      <c r="X471" s="148">
        <f>IFERROR(__xludf.DUMMYFUNCTION("""COMPUTED_VALUE"""),0.0)</f>
        <v>0</v>
      </c>
      <c r="Y471" s="148">
        <f>IFERROR(__xludf.DUMMYFUNCTION("""COMPUTED_VALUE"""),0.0)</f>
        <v>0</v>
      </c>
      <c r="Z471" s="148"/>
    </row>
    <row r="472">
      <c r="A472" s="148">
        <f>IFERROR(__xludf.DUMMYFUNCTION("""COMPUTED_VALUE"""),1.1112264E7)</f>
        <v>11112264</v>
      </c>
      <c r="B472" s="148" t="str">
        <f>IFERROR(__xludf.DUMMYFUNCTION("""COMPUTED_VALUE"""),"周年庆2024装饰建筑-2级-组件8-喷泉石柱")</f>
        <v>周年庆2024装饰建筑-2级-组件8-喷泉石柱</v>
      </c>
      <c r="C472" s="148"/>
      <c r="D472" s="148" t="str">
        <f>IFERROR(__xludf.DUMMYFUNCTION("""COMPUTED_VALUE"""),"event")</f>
        <v>event</v>
      </c>
      <c r="E472" s="148">
        <f>IFERROR(__xludf.DUMMYFUNCTION("""COMPUTED_VALUE"""),0.0)</f>
        <v>0</v>
      </c>
      <c r="F472" s="148">
        <f>IFERROR(__xludf.DUMMYFUNCTION("""COMPUTED_VALUE"""),405208.0)</f>
        <v>405208</v>
      </c>
      <c r="G472" s="148">
        <f>IFERROR(__xludf.DUMMYFUNCTION("""COMPUTED_VALUE"""),1.51100198E8)</f>
        <v>151100198</v>
      </c>
      <c r="H472" s="148">
        <f>IFERROR(__xludf.DUMMYFUNCTION("""COMPUTED_VALUE"""),1.5112564E7)</f>
        <v>15112564</v>
      </c>
      <c r="I472" s="148" t="str">
        <f>IFERROR(__xludf.DUMMYFUNCTION("""COMPUTED_VALUE"""),"{}")</f>
        <v>{}</v>
      </c>
      <c r="J472" s="148" t="str">
        <f>IFERROR(__xludf.DUMMYFUNCTION("""COMPUTED_VALUE"""),"{""typ"":""lc"",""txt"":""LC_ITEM_anni_dec_8_name""}")</f>
        <v>{"typ":"lc","txt":"LC_ITEM_anni_dec_8_name"}</v>
      </c>
      <c r="K472" s="148" t="str">
        <f>IFERROR(__xludf.DUMMYFUNCTION("""COMPUTED_VALUE"""),"{""typ"":""lc"",""txt"":""LC_ITEM_anni_dec_8_desc""}")</f>
        <v>{"typ":"lc","txt":"LC_ITEM_anni_dec_8_desc"}</v>
      </c>
      <c r="L472" s="148" t="str">
        <f>IFERROR(__xludf.DUMMYFUNCTION("""COMPUTED_VALUE"""),"{}")</f>
        <v>{}</v>
      </c>
      <c r="M472" s="148">
        <f>IFERROR(__xludf.DUMMYFUNCTION("""COMPUTED_VALUE"""),35.0)</f>
        <v>35</v>
      </c>
      <c r="N472" s="148">
        <f>IFERROR(__xludf.DUMMYFUNCTION("""COMPUTED_VALUE"""),999999.0)</f>
        <v>999999</v>
      </c>
      <c r="O472" s="148">
        <f>IFERROR(__xludf.DUMMYFUNCTION("""COMPUTED_VALUE"""),99999.0)</f>
        <v>99999</v>
      </c>
      <c r="P472" s="148">
        <f>IFERROR(__xludf.DUMMYFUNCTION("""COMPUTED_VALUE"""),99999.0)</f>
        <v>99999</v>
      </c>
      <c r="Q472" s="148" t="str">
        <f>IFERROR(__xludf.DUMMYFUNCTION("""COMPUTED_VALUE"""),"[""bag_other""]")</f>
        <v>["bag_other"]</v>
      </c>
      <c r="R472" s="148" t="str">
        <f>IFERROR(__xludf.DUMMYFUNCTION("""COMPUTED_VALUE"""),"[]")</f>
        <v>[]</v>
      </c>
      <c r="S472" s="148" t="str">
        <f>IFERROR(__xludf.DUMMYFUNCTION("""COMPUTED_VALUE"""),"{}")</f>
        <v>{}</v>
      </c>
      <c r="T472" s="148">
        <f>IFERROR(__xludf.DUMMYFUNCTION("""COMPUTED_VALUE"""),1.0)</f>
        <v>1</v>
      </c>
      <c r="U472" s="148">
        <f>IFERROR(__xludf.DUMMYFUNCTION("""COMPUTED_VALUE"""),0.0)</f>
        <v>0</v>
      </c>
      <c r="V472" s="148" t="str">
        <f>IFERROR(__xludf.DUMMYFUNCTION("""COMPUTED_VALUE"""),"[]")</f>
        <v>[]</v>
      </c>
      <c r="W472" s="148">
        <f>IFERROR(__xludf.DUMMYFUNCTION("""COMPUTED_VALUE"""),1.174E7)</f>
        <v>11740000</v>
      </c>
      <c r="X472" s="148">
        <f>IFERROR(__xludf.DUMMYFUNCTION("""COMPUTED_VALUE"""),0.0)</f>
        <v>0</v>
      </c>
      <c r="Y472" s="148">
        <f>IFERROR(__xludf.DUMMYFUNCTION("""COMPUTED_VALUE"""),0.0)</f>
        <v>0</v>
      </c>
      <c r="Z472" s="148"/>
    </row>
    <row r="473">
      <c r="A473" s="148">
        <f>IFERROR(__xludf.DUMMYFUNCTION("""COMPUTED_VALUE"""),1.1112265E7)</f>
        <v>11112265</v>
      </c>
      <c r="B473" s="148" t="str">
        <f>IFERROR(__xludf.DUMMYFUNCTION("""COMPUTED_VALUE"""),"周年庆2024装饰建筑-2级-组件9-顶部蓄水台")</f>
        <v>周年庆2024装饰建筑-2级-组件9-顶部蓄水台</v>
      </c>
      <c r="C473" s="148"/>
      <c r="D473" s="148" t="str">
        <f>IFERROR(__xludf.DUMMYFUNCTION("""COMPUTED_VALUE"""),"event")</f>
        <v>event</v>
      </c>
      <c r="E473" s="148">
        <f>IFERROR(__xludf.DUMMYFUNCTION("""COMPUTED_VALUE"""),0.0)</f>
        <v>0</v>
      </c>
      <c r="F473" s="148">
        <f>IFERROR(__xludf.DUMMYFUNCTION("""COMPUTED_VALUE"""),405207.0)</f>
        <v>405207</v>
      </c>
      <c r="G473" s="148">
        <f>IFERROR(__xludf.DUMMYFUNCTION("""COMPUTED_VALUE"""),1.51100199E8)</f>
        <v>151100199</v>
      </c>
      <c r="H473" s="148">
        <f>IFERROR(__xludf.DUMMYFUNCTION("""COMPUTED_VALUE"""),1.5112564E7)</f>
        <v>15112564</v>
      </c>
      <c r="I473" s="148" t="str">
        <f>IFERROR(__xludf.DUMMYFUNCTION("""COMPUTED_VALUE"""),"{}")</f>
        <v>{}</v>
      </c>
      <c r="J473" s="148" t="str">
        <f>IFERROR(__xludf.DUMMYFUNCTION("""COMPUTED_VALUE"""),"{""typ"":""lc"",""txt"":""LC_ITEM_anni_dec_9_name""}")</f>
        <v>{"typ":"lc","txt":"LC_ITEM_anni_dec_9_name"}</v>
      </c>
      <c r="K473" s="148" t="str">
        <f>IFERROR(__xludf.DUMMYFUNCTION("""COMPUTED_VALUE"""),"{""typ"":""lc"",""txt"":""LC_ITEM_anni_dec_9_desc""}")</f>
        <v>{"typ":"lc","txt":"LC_ITEM_anni_dec_9_desc"}</v>
      </c>
      <c r="L473" s="148" t="str">
        <f>IFERROR(__xludf.DUMMYFUNCTION("""COMPUTED_VALUE"""),"{}")</f>
        <v>{}</v>
      </c>
      <c r="M473" s="148">
        <f>IFERROR(__xludf.DUMMYFUNCTION("""COMPUTED_VALUE"""),35.0)</f>
        <v>35</v>
      </c>
      <c r="N473" s="148">
        <f>IFERROR(__xludf.DUMMYFUNCTION("""COMPUTED_VALUE"""),999999.0)</f>
        <v>999999</v>
      </c>
      <c r="O473" s="148">
        <f>IFERROR(__xludf.DUMMYFUNCTION("""COMPUTED_VALUE"""),99999.0)</f>
        <v>99999</v>
      </c>
      <c r="P473" s="148">
        <f>IFERROR(__xludf.DUMMYFUNCTION("""COMPUTED_VALUE"""),99999.0)</f>
        <v>99999</v>
      </c>
      <c r="Q473" s="148" t="str">
        <f>IFERROR(__xludf.DUMMYFUNCTION("""COMPUTED_VALUE"""),"[""bag_other""]")</f>
        <v>["bag_other"]</v>
      </c>
      <c r="R473" s="148" t="str">
        <f>IFERROR(__xludf.DUMMYFUNCTION("""COMPUTED_VALUE"""),"[]")</f>
        <v>[]</v>
      </c>
      <c r="S473" s="148" t="str">
        <f>IFERROR(__xludf.DUMMYFUNCTION("""COMPUTED_VALUE"""),"{}")</f>
        <v>{}</v>
      </c>
      <c r="T473" s="148">
        <f>IFERROR(__xludf.DUMMYFUNCTION("""COMPUTED_VALUE"""),1.0)</f>
        <v>1</v>
      </c>
      <c r="U473" s="148">
        <f>IFERROR(__xludf.DUMMYFUNCTION("""COMPUTED_VALUE"""),0.0)</f>
        <v>0</v>
      </c>
      <c r="V473" s="148" t="str">
        <f>IFERROR(__xludf.DUMMYFUNCTION("""COMPUTED_VALUE"""),"[]")</f>
        <v>[]</v>
      </c>
      <c r="W473" s="148">
        <f>IFERROR(__xludf.DUMMYFUNCTION("""COMPUTED_VALUE"""),1.174E7)</f>
        <v>11740000</v>
      </c>
      <c r="X473" s="148">
        <f>IFERROR(__xludf.DUMMYFUNCTION("""COMPUTED_VALUE"""),0.0)</f>
        <v>0</v>
      </c>
      <c r="Y473" s="148">
        <f>IFERROR(__xludf.DUMMYFUNCTION("""COMPUTED_VALUE"""),0.0)</f>
        <v>0</v>
      </c>
      <c r="Z473" s="148"/>
    </row>
    <row r="474">
      <c r="A474" s="148">
        <f>IFERROR(__xludf.DUMMYFUNCTION("""COMPUTED_VALUE"""),1.1112266E7)</f>
        <v>11112266</v>
      </c>
      <c r="B474" s="148" t="str">
        <f>IFERROR(__xludf.DUMMYFUNCTION("""COMPUTED_VALUE"""),"周年庆2024装饰建筑-2级-组件10-周年幸运星")</f>
        <v>周年庆2024装饰建筑-2级-组件10-周年幸运星</v>
      </c>
      <c r="C474" s="148"/>
      <c r="D474" s="148" t="str">
        <f>IFERROR(__xludf.DUMMYFUNCTION("""COMPUTED_VALUE"""),"event")</f>
        <v>event</v>
      </c>
      <c r="E474" s="148">
        <f>IFERROR(__xludf.DUMMYFUNCTION("""COMPUTED_VALUE"""),0.0)</f>
        <v>0</v>
      </c>
      <c r="F474" s="148">
        <f>IFERROR(__xludf.DUMMYFUNCTION("""COMPUTED_VALUE"""),405206.0)</f>
        <v>405206</v>
      </c>
      <c r="G474" s="148">
        <f>IFERROR(__xludf.DUMMYFUNCTION("""COMPUTED_VALUE"""),1.511002E8)</f>
        <v>151100200</v>
      </c>
      <c r="H474" s="148">
        <f>IFERROR(__xludf.DUMMYFUNCTION("""COMPUTED_VALUE"""),1.5112564E7)</f>
        <v>15112564</v>
      </c>
      <c r="I474" s="148" t="str">
        <f>IFERROR(__xludf.DUMMYFUNCTION("""COMPUTED_VALUE"""),"{}")</f>
        <v>{}</v>
      </c>
      <c r="J474" s="148" t="str">
        <f>IFERROR(__xludf.DUMMYFUNCTION("""COMPUTED_VALUE"""),"{""typ"":""lc"",""txt"":""LC_ITEM_anni_dec_10_name""}")</f>
        <v>{"typ":"lc","txt":"LC_ITEM_anni_dec_10_name"}</v>
      </c>
      <c r="K474" s="148" t="str">
        <f>IFERROR(__xludf.DUMMYFUNCTION("""COMPUTED_VALUE"""),"{""typ"":""lc"",""txt"":""LC_ITEM_anni_dec_10_desc""}")</f>
        <v>{"typ":"lc","txt":"LC_ITEM_anni_dec_10_desc"}</v>
      </c>
      <c r="L474" s="148" t="str">
        <f>IFERROR(__xludf.DUMMYFUNCTION("""COMPUTED_VALUE"""),"{}")</f>
        <v>{}</v>
      </c>
      <c r="M474" s="148">
        <f>IFERROR(__xludf.DUMMYFUNCTION("""COMPUTED_VALUE"""),35.0)</f>
        <v>35</v>
      </c>
      <c r="N474" s="148">
        <f>IFERROR(__xludf.DUMMYFUNCTION("""COMPUTED_VALUE"""),999999.0)</f>
        <v>999999</v>
      </c>
      <c r="O474" s="148">
        <f>IFERROR(__xludf.DUMMYFUNCTION("""COMPUTED_VALUE"""),99999.0)</f>
        <v>99999</v>
      </c>
      <c r="P474" s="148">
        <f>IFERROR(__xludf.DUMMYFUNCTION("""COMPUTED_VALUE"""),99999.0)</f>
        <v>99999</v>
      </c>
      <c r="Q474" s="148" t="str">
        <f>IFERROR(__xludf.DUMMYFUNCTION("""COMPUTED_VALUE"""),"[""bag_other""]")</f>
        <v>["bag_other"]</v>
      </c>
      <c r="R474" s="148" t="str">
        <f>IFERROR(__xludf.DUMMYFUNCTION("""COMPUTED_VALUE"""),"[]")</f>
        <v>[]</v>
      </c>
      <c r="S474" s="148" t="str">
        <f>IFERROR(__xludf.DUMMYFUNCTION("""COMPUTED_VALUE"""),"{}")</f>
        <v>{}</v>
      </c>
      <c r="T474" s="148">
        <f>IFERROR(__xludf.DUMMYFUNCTION("""COMPUTED_VALUE"""),1.0)</f>
        <v>1</v>
      </c>
      <c r="U474" s="148">
        <f>IFERROR(__xludf.DUMMYFUNCTION("""COMPUTED_VALUE"""),0.0)</f>
        <v>0</v>
      </c>
      <c r="V474" s="148" t="str">
        <f>IFERROR(__xludf.DUMMYFUNCTION("""COMPUTED_VALUE"""),"[]")</f>
        <v>[]</v>
      </c>
      <c r="W474" s="148">
        <f>IFERROR(__xludf.DUMMYFUNCTION("""COMPUTED_VALUE"""),1.174E7)</f>
        <v>11740000</v>
      </c>
      <c r="X474" s="148">
        <f>IFERROR(__xludf.DUMMYFUNCTION("""COMPUTED_VALUE"""),0.0)</f>
        <v>0</v>
      </c>
      <c r="Y474" s="148">
        <f>IFERROR(__xludf.DUMMYFUNCTION("""COMPUTED_VALUE"""),0.0)</f>
        <v>0</v>
      </c>
      <c r="Z474" s="148"/>
    </row>
    <row r="475">
      <c r="A475" s="148">
        <f>IFERROR(__xludf.DUMMYFUNCTION("""COMPUTED_VALUE"""),1.1112267E7)</f>
        <v>11112267</v>
      </c>
      <c r="B475" s="148" t="str">
        <f>IFERROR(__xludf.DUMMYFUNCTION("""COMPUTED_VALUE"""),"周年庆2024装饰建筑-3级-组件11-周年花坛")</f>
        <v>周年庆2024装饰建筑-3级-组件11-周年花坛</v>
      </c>
      <c r="C475" s="148"/>
      <c r="D475" s="148" t="str">
        <f>IFERROR(__xludf.DUMMYFUNCTION("""COMPUTED_VALUE"""),"event")</f>
        <v>event</v>
      </c>
      <c r="E475" s="148">
        <f>IFERROR(__xludf.DUMMYFUNCTION("""COMPUTED_VALUE"""),0.0)</f>
        <v>0</v>
      </c>
      <c r="F475" s="148">
        <f>IFERROR(__xludf.DUMMYFUNCTION("""COMPUTED_VALUE"""),405205.0)</f>
        <v>405205</v>
      </c>
      <c r="G475" s="148">
        <f>IFERROR(__xludf.DUMMYFUNCTION("""COMPUTED_VALUE"""),1.51100201E8)</f>
        <v>151100201</v>
      </c>
      <c r="H475" s="148">
        <f>IFERROR(__xludf.DUMMYFUNCTION("""COMPUTED_VALUE"""),1.5112564E7)</f>
        <v>15112564</v>
      </c>
      <c r="I475" s="148" t="str">
        <f>IFERROR(__xludf.DUMMYFUNCTION("""COMPUTED_VALUE"""),"{}")</f>
        <v>{}</v>
      </c>
      <c r="J475" s="148" t="str">
        <f>IFERROR(__xludf.DUMMYFUNCTION("""COMPUTED_VALUE"""),"{""typ"":""lc"",""txt"":""LC_ITEM_anni_dec_11_name""}")</f>
        <v>{"typ":"lc","txt":"LC_ITEM_anni_dec_11_name"}</v>
      </c>
      <c r="K475" s="148" t="str">
        <f>IFERROR(__xludf.DUMMYFUNCTION("""COMPUTED_VALUE"""),"{""typ"":""lc"",""txt"":""LC_ITEM_anni_dec_11_desc""}")</f>
        <v>{"typ":"lc","txt":"LC_ITEM_anni_dec_11_desc"}</v>
      </c>
      <c r="L475" s="148" t="str">
        <f>IFERROR(__xludf.DUMMYFUNCTION("""COMPUTED_VALUE"""),"{}")</f>
        <v>{}</v>
      </c>
      <c r="M475" s="148">
        <f>IFERROR(__xludf.DUMMYFUNCTION("""COMPUTED_VALUE"""),35.0)</f>
        <v>35</v>
      </c>
      <c r="N475" s="148">
        <f>IFERROR(__xludf.DUMMYFUNCTION("""COMPUTED_VALUE"""),999999.0)</f>
        <v>999999</v>
      </c>
      <c r="O475" s="148">
        <f>IFERROR(__xludf.DUMMYFUNCTION("""COMPUTED_VALUE"""),99999.0)</f>
        <v>99999</v>
      </c>
      <c r="P475" s="148">
        <f>IFERROR(__xludf.DUMMYFUNCTION("""COMPUTED_VALUE"""),99999.0)</f>
        <v>99999</v>
      </c>
      <c r="Q475" s="148" t="str">
        <f>IFERROR(__xludf.DUMMYFUNCTION("""COMPUTED_VALUE"""),"[""bag_other""]")</f>
        <v>["bag_other"]</v>
      </c>
      <c r="R475" s="148" t="str">
        <f>IFERROR(__xludf.DUMMYFUNCTION("""COMPUTED_VALUE"""),"[]")</f>
        <v>[]</v>
      </c>
      <c r="S475" s="148" t="str">
        <f>IFERROR(__xludf.DUMMYFUNCTION("""COMPUTED_VALUE"""),"{}")</f>
        <v>{}</v>
      </c>
      <c r="T475" s="148">
        <f>IFERROR(__xludf.DUMMYFUNCTION("""COMPUTED_VALUE"""),1.0)</f>
        <v>1</v>
      </c>
      <c r="U475" s="148">
        <f>IFERROR(__xludf.DUMMYFUNCTION("""COMPUTED_VALUE"""),0.0)</f>
        <v>0</v>
      </c>
      <c r="V475" s="148" t="str">
        <f>IFERROR(__xludf.DUMMYFUNCTION("""COMPUTED_VALUE"""),"[]")</f>
        <v>[]</v>
      </c>
      <c r="W475" s="148">
        <f>IFERROR(__xludf.DUMMYFUNCTION("""COMPUTED_VALUE"""),1.174E7)</f>
        <v>11740000</v>
      </c>
      <c r="X475" s="148">
        <f>IFERROR(__xludf.DUMMYFUNCTION("""COMPUTED_VALUE"""),0.0)</f>
        <v>0</v>
      </c>
      <c r="Y475" s="148">
        <f>IFERROR(__xludf.DUMMYFUNCTION("""COMPUTED_VALUE"""),0.0)</f>
        <v>0</v>
      </c>
      <c r="Z475" s="148"/>
    </row>
    <row r="476">
      <c r="A476" s="148">
        <f>IFERROR(__xludf.DUMMYFUNCTION("""COMPUTED_VALUE"""),1.1112268E7)</f>
        <v>11112268</v>
      </c>
      <c r="B476" s="148" t="str">
        <f>IFERROR(__xludf.DUMMYFUNCTION("""COMPUTED_VALUE"""),"周年庆2024装饰建筑-3级-组件12-香蕉船")</f>
        <v>周年庆2024装饰建筑-3级-组件12-香蕉船</v>
      </c>
      <c r="C476" s="148"/>
      <c r="D476" s="148" t="str">
        <f>IFERROR(__xludf.DUMMYFUNCTION("""COMPUTED_VALUE"""),"event")</f>
        <v>event</v>
      </c>
      <c r="E476" s="148">
        <f>IFERROR(__xludf.DUMMYFUNCTION("""COMPUTED_VALUE"""),0.0)</f>
        <v>0</v>
      </c>
      <c r="F476" s="148">
        <f>IFERROR(__xludf.DUMMYFUNCTION("""COMPUTED_VALUE"""),405204.0)</f>
        <v>405204</v>
      </c>
      <c r="G476" s="148">
        <f>IFERROR(__xludf.DUMMYFUNCTION("""COMPUTED_VALUE"""),1.51100202E8)</f>
        <v>151100202</v>
      </c>
      <c r="H476" s="148">
        <f>IFERROR(__xludf.DUMMYFUNCTION("""COMPUTED_VALUE"""),1.5112564E7)</f>
        <v>15112564</v>
      </c>
      <c r="I476" s="148" t="str">
        <f>IFERROR(__xludf.DUMMYFUNCTION("""COMPUTED_VALUE"""),"{}")</f>
        <v>{}</v>
      </c>
      <c r="J476" s="148" t="str">
        <f>IFERROR(__xludf.DUMMYFUNCTION("""COMPUTED_VALUE"""),"{""typ"":""lc"",""txt"":""LC_ITEM_anni_dec_12_name""}")</f>
        <v>{"typ":"lc","txt":"LC_ITEM_anni_dec_12_name"}</v>
      </c>
      <c r="K476" s="148" t="str">
        <f>IFERROR(__xludf.DUMMYFUNCTION("""COMPUTED_VALUE"""),"{""typ"":""lc"",""txt"":""LC_ITEM_anni_dec_12_desc""}")</f>
        <v>{"typ":"lc","txt":"LC_ITEM_anni_dec_12_desc"}</v>
      </c>
      <c r="L476" s="148" t="str">
        <f>IFERROR(__xludf.DUMMYFUNCTION("""COMPUTED_VALUE"""),"{}")</f>
        <v>{}</v>
      </c>
      <c r="M476" s="148">
        <f>IFERROR(__xludf.DUMMYFUNCTION("""COMPUTED_VALUE"""),35.0)</f>
        <v>35</v>
      </c>
      <c r="N476" s="148">
        <f>IFERROR(__xludf.DUMMYFUNCTION("""COMPUTED_VALUE"""),999999.0)</f>
        <v>999999</v>
      </c>
      <c r="O476" s="148">
        <f>IFERROR(__xludf.DUMMYFUNCTION("""COMPUTED_VALUE"""),99999.0)</f>
        <v>99999</v>
      </c>
      <c r="P476" s="148">
        <f>IFERROR(__xludf.DUMMYFUNCTION("""COMPUTED_VALUE"""),99999.0)</f>
        <v>99999</v>
      </c>
      <c r="Q476" s="148" t="str">
        <f>IFERROR(__xludf.DUMMYFUNCTION("""COMPUTED_VALUE"""),"[""bag_other""]")</f>
        <v>["bag_other"]</v>
      </c>
      <c r="R476" s="148" t="str">
        <f>IFERROR(__xludf.DUMMYFUNCTION("""COMPUTED_VALUE"""),"[]")</f>
        <v>[]</v>
      </c>
      <c r="S476" s="148" t="str">
        <f>IFERROR(__xludf.DUMMYFUNCTION("""COMPUTED_VALUE"""),"{}")</f>
        <v>{}</v>
      </c>
      <c r="T476" s="148">
        <f>IFERROR(__xludf.DUMMYFUNCTION("""COMPUTED_VALUE"""),1.0)</f>
        <v>1</v>
      </c>
      <c r="U476" s="148">
        <f>IFERROR(__xludf.DUMMYFUNCTION("""COMPUTED_VALUE"""),0.0)</f>
        <v>0</v>
      </c>
      <c r="V476" s="148" t="str">
        <f>IFERROR(__xludf.DUMMYFUNCTION("""COMPUTED_VALUE"""),"[]")</f>
        <v>[]</v>
      </c>
      <c r="W476" s="148">
        <f>IFERROR(__xludf.DUMMYFUNCTION("""COMPUTED_VALUE"""),1.174E7)</f>
        <v>11740000</v>
      </c>
      <c r="X476" s="148">
        <f>IFERROR(__xludf.DUMMYFUNCTION("""COMPUTED_VALUE"""),0.0)</f>
        <v>0</v>
      </c>
      <c r="Y476" s="148">
        <f>IFERROR(__xludf.DUMMYFUNCTION("""COMPUTED_VALUE"""),0.0)</f>
        <v>0</v>
      </c>
      <c r="Z476" s="148"/>
    </row>
    <row r="477">
      <c r="A477" s="148">
        <f>IFERROR(__xludf.DUMMYFUNCTION("""COMPUTED_VALUE"""),1.1112269E7)</f>
        <v>11112269</v>
      </c>
      <c r="B477" s="148" t="str">
        <f>IFERROR(__xludf.DUMMYFUNCTION("""COMPUTED_VALUE"""),"周年庆2024装饰建筑-3级-组件13-周年灯牌")</f>
        <v>周年庆2024装饰建筑-3级-组件13-周年灯牌</v>
      </c>
      <c r="C477" s="148"/>
      <c r="D477" s="148" t="str">
        <f>IFERROR(__xludf.DUMMYFUNCTION("""COMPUTED_VALUE"""),"event")</f>
        <v>event</v>
      </c>
      <c r="E477" s="148">
        <f>IFERROR(__xludf.DUMMYFUNCTION("""COMPUTED_VALUE"""),0.0)</f>
        <v>0</v>
      </c>
      <c r="F477" s="148">
        <f>IFERROR(__xludf.DUMMYFUNCTION("""COMPUTED_VALUE"""),405203.0)</f>
        <v>405203</v>
      </c>
      <c r="G477" s="148">
        <f>IFERROR(__xludf.DUMMYFUNCTION("""COMPUTED_VALUE"""),1.51100203E8)</f>
        <v>151100203</v>
      </c>
      <c r="H477" s="148">
        <f>IFERROR(__xludf.DUMMYFUNCTION("""COMPUTED_VALUE"""),1.5112564E7)</f>
        <v>15112564</v>
      </c>
      <c r="I477" s="148" t="str">
        <f>IFERROR(__xludf.DUMMYFUNCTION("""COMPUTED_VALUE"""),"{}")</f>
        <v>{}</v>
      </c>
      <c r="J477" s="148" t="str">
        <f>IFERROR(__xludf.DUMMYFUNCTION("""COMPUTED_VALUE"""),"{""typ"":""lc"",""txt"":""LC_ITEM_anni_dec_13_name""}")</f>
        <v>{"typ":"lc","txt":"LC_ITEM_anni_dec_13_name"}</v>
      </c>
      <c r="K477" s="148" t="str">
        <f>IFERROR(__xludf.DUMMYFUNCTION("""COMPUTED_VALUE"""),"{""typ"":""lc"",""txt"":""LC_ITEM_anni_dec_13_desc""}")</f>
        <v>{"typ":"lc","txt":"LC_ITEM_anni_dec_13_desc"}</v>
      </c>
      <c r="L477" s="148" t="str">
        <f>IFERROR(__xludf.DUMMYFUNCTION("""COMPUTED_VALUE"""),"{}")</f>
        <v>{}</v>
      </c>
      <c r="M477" s="148">
        <f>IFERROR(__xludf.DUMMYFUNCTION("""COMPUTED_VALUE"""),35.0)</f>
        <v>35</v>
      </c>
      <c r="N477" s="148">
        <f>IFERROR(__xludf.DUMMYFUNCTION("""COMPUTED_VALUE"""),999999.0)</f>
        <v>999999</v>
      </c>
      <c r="O477" s="148">
        <f>IFERROR(__xludf.DUMMYFUNCTION("""COMPUTED_VALUE"""),99999.0)</f>
        <v>99999</v>
      </c>
      <c r="P477" s="148">
        <f>IFERROR(__xludf.DUMMYFUNCTION("""COMPUTED_VALUE"""),99999.0)</f>
        <v>99999</v>
      </c>
      <c r="Q477" s="148" t="str">
        <f>IFERROR(__xludf.DUMMYFUNCTION("""COMPUTED_VALUE"""),"[""bag_other""]")</f>
        <v>["bag_other"]</v>
      </c>
      <c r="R477" s="148" t="str">
        <f>IFERROR(__xludf.DUMMYFUNCTION("""COMPUTED_VALUE"""),"[]")</f>
        <v>[]</v>
      </c>
      <c r="S477" s="148" t="str">
        <f>IFERROR(__xludf.DUMMYFUNCTION("""COMPUTED_VALUE"""),"{}")</f>
        <v>{}</v>
      </c>
      <c r="T477" s="148">
        <f>IFERROR(__xludf.DUMMYFUNCTION("""COMPUTED_VALUE"""),1.0)</f>
        <v>1</v>
      </c>
      <c r="U477" s="148">
        <f>IFERROR(__xludf.DUMMYFUNCTION("""COMPUTED_VALUE"""),0.0)</f>
        <v>0</v>
      </c>
      <c r="V477" s="148" t="str">
        <f>IFERROR(__xludf.DUMMYFUNCTION("""COMPUTED_VALUE"""),"[]")</f>
        <v>[]</v>
      </c>
      <c r="W477" s="148">
        <f>IFERROR(__xludf.DUMMYFUNCTION("""COMPUTED_VALUE"""),1.174E7)</f>
        <v>11740000</v>
      </c>
      <c r="X477" s="148">
        <f>IFERROR(__xludf.DUMMYFUNCTION("""COMPUTED_VALUE"""),0.0)</f>
        <v>0</v>
      </c>
      <c r="Y477" s="148">
        <f>IFERROR(__xludf.DUMMYFUNCTION("""COMPUTED_VALUE"""),0.0)</f>
        <v>0</v>
      </c>
      <c r="Z477" s="148"/>
    </row>
    <row r="478">
      <c r="A478" s="148">
        <f>IFERROR(__xludf.DUMMYFUNCTION("""COMPUTED_VALUE"""),1.111227E7)</f>
        <v>11112270</v>
      </c>
      <c r="B478" s="148" t="str">
        <f>IFERROR(__xludf.DUMMYFUNCTION("""COMPUTED_VALUE"""),"二周年纪念勋章")</f>
        <v>二周年纪念勋章</v>
      </c>
      <c r="C478" s="148"/>
      <c r="D478" s="148" t="str">
        <f>IFERROR(__xludf.DUMMYFUNCTION("""COMPUTED_VALUE"""),"event")</f>
        <v>event</v>
      </c>
      <c r="E478" s="148">
        <f>IFERROR(__xludf.DUMMYFUNCTION("""COMPUTED_VALUE"""),0.0)</f>
        <v>0</v>
      </c>
      <c r="F478" s="148">
        <f>IFERROR(__xludf.DUMMYFUNCTION("""COMPUTED_VALUE"""),0.0)</f>
        <v>0</v>
      </c>
      <c r="G478" s="148">
        <f>IFERROR(__xludf.DUMMYFUNCTION("""COMPUTED_VALUE"""),1.51100331E8)</f>
        <v>151100331</v>
      </c>
      <c r="H478" s="148">
        <f>IFERROR(__xludf.DUMMYFUNCTION("""COMPUTED_VALUE"""),1.5112564E7)</f>
        <v>15112564</v>
      </c>
      <c r="I478" s="148" t="str">
        <f>IFERROR(__xludf.DUMMYFUNCTION("""COMPUTED_VALUE"""),"{}")</f>
        <v>{}</v>
      </c>
      <c r="J478" s="148" t="str">
        <f>IFERROR(__xludf.DUMMYFUNCTION("""COMPUTED_VALUE"""),"{""typ"":""lc"",""txt"":""LC_ITEM_anni_badge_2024""}")</f>
        <v>{"typ":"lc","txt":"LC_ITEM_anni_badge_2024"}</v>
      </c>
      <c r="K478" s="148" t="str">
        <f>IFERROR(__xludf.DUMMYFUNCTION("""COMPUTED_VALUE"""),"{""typ"":""lc"",""txt"":""LC_ITEM_anni_badge_2024_desc""}")</f>
        <v>{"typ":"lc","txt":"LC_ITEM_anni_badge_2024_desc"}</v>
      </c>
      <c r="L478" s="148" t="str">
        <f>IFERROR(__xludf.DUMMYFUNCTION("""COMPUTED_VALUE"""),"{}")</f>
        <v>{}</v>
      </c>
      <c r="M478" s="148">
        <f>IFERROR(__xludf.DUMMYFUNCTION("""COMPUTED_VALUE"""),1000.0)</f>
        <v>1000</v>
      </c>
      <c r="N478" s="148">
        <f>IFERROR(__xludf.DUMMYFUNCTION("""COMPUTED_VALUE"""),1.0)</f>
        <v>1</v>
      </c>
      <c r="O478" s="148">
        <f>IFERROR(__xludf.DUMMYFUNCTION("""COMPUTED_VALUE"""),1.0)</f>
        <v>1</v>
      </c>
      <c r="P478" s="148">
        <f>IFERROR(__xludf.DUMMYFUNCTION("""COMPUTED_VALUE"""),1.0)</f>
        <v>1</v>
      </c>
      <c r="Q478" s="148" t="str">
        <f>IFERROR(__xludf.DUMMYFUNCTION("""COMPUTED_VALUE"""),"[]")</f>
        <v>[]</v>
      </c>
      <c r="R478" s="148" t="str">
        <f>IFERROR(__xludf.DUMMYFUNCTION("""COMPUTED_VALUE"""),"[]")</f>
        <v>[]</v>
      </c>
      <c r="S478" s="148" t="str">
        <f>IFERROR(__xludf.DUMMYFUNCTION("""COMPUTED_VALUE"""),"{}")</f>
        <v>{}</v>
      </c>
      <c r="T478" s="148">
        <f>IFERROR(__xludf.DUMMYFUNCTION("""COMPUTED_VALUE"""),-1.0)</f>
        <v>-1</v>
      </c>
      <c r="U478" s="148">
        <f>IFERROR(__xludf.DUMMYFUNCTION("""COMPUTED_VALUE"""),0.0)</f>
        <v>0</v>
      </c>
      <c r="V478" s="148" t="str">
        <f>IFERROR(__xludf.DUMMYFUNCTION("""COMPUTED_VALUE"""),"[]")</f>
        <v>[]</v>
      </c>
      <c r="W478" s="148">
        <f>IFERROR(__xludf.DUMMYFUNCTION("""COMPUTED_VALUE"""),1.174E7)</f>
        <v>11740000</v>
      </c>
      <c r="X478" s="148">
        <f>IFERROR(__xludf.DUMMYFUNCTION("""COMPUTED_VALUE"""),0.0)</f>
        <v>0</v>
      </c>
      <c r="Y478" s="148">
        <f>IFERROR(__xludf.DUMMYFUNCTION("""COMPUTED_VALUE"""),0.0)</f>
        <v>0</v>
      </c>
      <c r="Z478" s="148"/>
    </row>
    <row r="479">
      <c r="A479" s="148">
        <f>IFERROR(__xludf.DUMMYFUNCTION("""COMPUTED_VALUE"""),1.1112271E7)</f>
        <v>11112271</v>
      </c>
      <c r="B479" s="148" t="str">
        <f>IFERROR(__xludf.DUMMYFUNCTION("""COMPUTED_VALUE"""),"2周年主城自选道具")</f>
        <v>2周年主城自选道具</v>
      </c>
      <c r="C479" s="148"/>
      <c r="D479" s="148" t="str">
        <f>IFERROR(__xludf.DUMMYFUNCTION("""COMPUTED_VALUE"""),"item_select_box")</f>
        <v>item_select_box</v>
      </c>
      <c r="E479" s="148">
        <f>IFERROR(__xludf.DUMMYFUNCTION("""COMPUTED_VALUE"""),19.0)</f>
        <v>19</v>
      </c>
      <c r="F479" s="148">
        <f>IFERROR(__xludf.DUMMYFUNCTION("""COMPUTED_VALUE"""),403200.0)</f>
        <v>403200</v>
      </c>
      <c r="G479" s="148">
        <f>IFERROR(__xludf.DUMMYFUNCTION("""COMPUTED_VALUE"""),1.5110021E8)</f>
        <v>151100210</v>
      </c>
      <c r="H479" s="148">
        <f>IFERROR(__xludf.DUMMYFUNCTION("""COMPUTED_VALUE"""),1.5112564E7)</f>
        <v>15112564</v>
      </c>
      <c r="I479" s="148" t="str">
        <f>IFERROR(__xludf.DUMMYFUNCTION("""COMPUTED_VALUE"""),"{}")</f>
        <v>{}</v>
      </c>
      <c r="J479" s="148" t="str">
        <f>IFERROR(__xludf.DUMMYFUNCTION("""COMPUTED_VALUE"""),"{""typ"":""lc"",""txt"":""LC_ITEM_2023anniversary_box_name""}")</f>
        <v>{"typ":"lc","txt":"LC_ITEM_2023anniversary_box_name"}</v>
      </c>
      <c r="K479" s="148" t="str">
        <f>IFERROR(__xludf.DUMMYFUNCTION("""COMPUTED_VALUE"""),"{""typ"":""lc"",""txt"":""LC_ITEM_2023anniversary_box_desc"",""args"":[{""typ"":""int"",""val"":1},{""typ"":""int"",""val"":1}]}")</f>
        <v>{"typ":"lc","txt":"LC_ITEM_2023anniversary_box_desc","args":[{"typ":"int","val":1},{"typ":"int","val":1}]}</v>
      </c>
      <c r="L479" s="148" t="str">
        <f>IFERROR(__xludf.DUMMYFUNCTION("""COMPUTED_VALUE"""),"{""typ"":""lc"",""txt"":""LC_ITEM_chest_from_atk_npc_usedtip""}")</f>
        <v>{"typ":"lc","txt":"LC_ITEM_chest_from_atk_npc_usedtip"}</v>
      </c>
      <c r="M479" s="148">
        <f>IFERROR(__xludf.DUMMYFUNCTION("""COMPUTED_VALUE"""),1000.0)</f>
        <v>1000</v>
      </c>
      <c r="N479" s="148">
        <f>IFERROR(__xludf.DUMMYFUNCTION("""COMPUTED_VALUE"""),999999.0)</f>
        <v>999999</v>
      </c>
      <c r="O479" s="148">
        <f>IFERROR(__xludf.DUMMYFUNCTION("""COMPUTED_VALUE"""),99999.0)</f>
        <v>99999</v>
      </c>
      <c r="P479" s="148">
        <f>IFERROR(__xludf.DUMMYFUNCTION("""COMPUTED_VALUE"""),99999.0)</f>
        <v>99999</v>
      </c>
      <c r="Q479" s="148" t="str">
        <f>IFERROR(__xludf.DUMMYFUNCTION("""COMPUTED_VALUE"""),"[""bag_other""]")</f>
        <v>["bag_other"]</v>
      </c>
      <c r="R479" s="148" t="str">
        <f>IFERROR(__xludf.DUMMYFUNCTION("""COMPUTED_VALUE"""),"[""bag""]")</f>
        <v>["bag"]</v>
      </c>
      <c r="S479" s="148" t="str">
        <f>IFERROR(__xludf.DUMMYFUNCTION("""COMPUTED_VALUE"""),"{""select_box"":[{""typ"":""item"",""id"":11111337,""val"":1},{""typ"":""item"",""id"":11111341,""val"":1},{""typ"":""item"",""id"":11111344,""val"":1},{""typ"":""item"",""id"":11112022,""val"":1},{""typ"":""item"",""id"":11117330,""val"":1},{""typ"":""it"&amp;"em"",""id"":11117372,""val"":1},{""typ"":""item"",""id"":11117406,""val"":1},{""typ"":""item"",""id"":11117446,""val"":1},{""typ"":""item"",""id"":11117468,""val"":1},{""typ"":""item"",""id"":11117497,""val"":1},{""typ"":""item"",""id"":11117512,""val"":1"&amp;"}]}")</f>
        <v>{"select_box":[{"typ":"item","id":11111337,"val":1},{"typ":"item","id":11111341,"val":1},{"typ":"item","id":11111344,"val":1},{"typ":"item","id":11112022,"val":1},{"typ":"item","id":11117330,"val":1},{"typ":"item","id":11117372,"val":1},{"typ":"item","id":11117406,"val":1},{"typ":"item","id":11117446,"val":1},{"typ":"item","id":11117468,"val":1},{"typ":"item","id":11117497,"val":1},{"typ":"item","id":11117512,"val":1}]}</v>
      </c>
      <c r="T479" s="148">
        <f>IFERROR(__xludf.DUMMYFUNCTION("""COMPUTED_VALUE"""),1.0)</f>
        <v>1</v>
      </c>
      <c r="U479" s="148">
        <f>IFERROR(__xludf.DUMMYFUNCTION("""COMPUTED_VALUE"""),1.0)</f>
        <v>1</v>
      </c>
      <c r="V479" s="148" t="str">
        <f>IFERROR(__xludf.DUMMYFUNCTION("""COMPUTED_VALUE"""),"[]")</f>
        <v>[]</v>
      </c>
      <c r="W479" s="148">
        <f>IFERROR(__xludf.DUMMYFUNCTION("""COMPUTED_VALUE"""),1.174E7)</f>
        <v>11740000</v>
      </c>
      <c r="X479" s="148">
        <f>IFERROR(__xludf.DUMMYFUNCTION("""COMPUTED_VALUE"""),0.0)</f>
        <v>0</v>
      </c>
      <c r="Y479" s="148">
        <f>IFERROR(__xludf.DUMMYFUNCTION("""COMPUTED_VALUE"""),0.0)</f>
        <v>0</v>
      </c>
      <c r="Z479" s="148"/>
    </row>
    <row r="480">
      <c r="A480" s="148">
        <f>IFERROR(__xludf.DUMMYFUNCTION("""COMPUTED_VALUE"""),1.1112272E7)</f>
        <v>11112272</v>
      </c>
      <c r="B480" s="148" t="str">
        <f>IFERROR(__xludf.DUMMYFUNCTION("""COMPUTED_VALUE"""),"2周年动态头像框")</f>
        <v>2周年动态头像框</v>
      </c>
      <c r="C480" s="148"/>
      <c r="D480" s="148" t="str">
        <f>IFERROR(__xludf.DUMMYFUNCTION("""COMPUTED_VALUE"""),"avatar_frame")</f>
        <v>avatar_frame</v>
      </c>
      <c r="E480" s="148">
        <f>IFERROR(__xludf.DUMMYFUNCTION("""COMPUTED_VALUE"""),20.0)</f>
        <v>20</v>
      </c>
      <c r="F480" s="148">
        <f>IFERROR(__xludf.DUMMYFUNCTION("""COMPUTED_VALUE"""),0.0)</f>
        <v>0</v>
      </c>
      <c r="G480" s="148">
        <f>IFERROR(__xludf.DUMMYFUNCTION("""COMPUTED_VALUE"""),1.51100212E8)</f>
        <v>151100212</v>
      </c>
      <c r="H480" s="148">
        <f>IFERROR(__xludf.DUMMYFUNCTION("""COMPUTED_VALUE"""),1.5112564E7)</f>
        <v>15112564</v>
      </c>
      <c r="I480" s="148" t="str">
        <f>IFERROR(__xludf.DUMMYFUNCTION("""COMPUTED_VALUE"""),"{}")</f>
        <v>{}</v>
      </c>
      <c r="J480" s="148" t="str">
        <f>IFERROR(__xludf.DUMMYFUNCTION("""COMPUTED_VALUE"""),"{""typ"":""lc"",""txt"":""LC_ITEM_anni_avatar_title_2024""}")</f>
        <v>{"typ":"lc","txt":"LC_ITEM_anni_avatar_title_2024"}</v>
      </c>
      <c r="K480" s="148" t="str">
        <f>IFERROR(__xludf.DUMMYFUNCTION("""COMPUTED_VALUE"""),"{""typ"":""lc"",""txt"":""LC_ITEM_anni_avatar_title_2024_desc""}")</f>
        <v>{"typ":"lc","txt":"LC_ITEM_anni_avatar_title_2024_desc"}</v>
      </c>
      <c r="L480" s="148" t="str">
        <f>IFERROR(__xludf.DUMMYFUNCTION("""COMPUTED_VALUE"""),"{}")</f>
        <v>{}</v>
      </c>
      <c r="M480" s="148">
        <f>IFERROR(__xludf.DUMMYFUNCTION("""COMPUTED_VALUE"""),1000.0)</f>
        <v>1000</v>
      </c>
      <c r="N480" s="148">
        <f>IFERROR(__xludf.DUMMYFUNCTION("""COMPUTED_VALUE"""),99.0)</f>
        <v>99</v>
      </c>
      <c r="O480" s="148">
        <f>IFERROR(__xludf.DUMMYFUNCTION("""COMPUTED_VALUE"""),1.0)</f>
        <v>1</v>
      </c>
      <c r="P480" s="148">
        <f>IFERROR(__xludf.DUMMYFUNCTION("""COMPUTED_VALUE"""),1.0)</f>
        <v>1</v>
      </c>
      <c r="Q480" s="148" t="str">
        <f>IFERROR(__xludf.DUMMYFUNCTION("""COMPUTED_VALUE"""),"[]")</f>
        <v>[]</v>
      </c>
      <c r="R480" s="148" t="str">
        <f>IFERROR(__xludf.DUMMYFUNCTION("""COMPUTED_VALUE"""),"[""11421044""]")</f>
        <v>["11421044"]</v>
      </c>
      <c r="S480" s="148" t="str">
        <f>IFERROR(__xludf.DUMMYFUNCTION("""COMPUTED_VALUE"""),"{""effect"":[{""typ"":""avatar_frame"",""id"":11421044,""val"":-1},{""typ"":""item"",""id"":11111031,""val"":1000}]}")</f>
        <v>{"effect":[{"typ":"avatar_frame","id":11421044,"val":-1},{"typ":"item","id":11111031,"val":1000}]}</v>
      </c>
      <c r="T480" s="148">
        <f>IFERROR(__xludf.DUMMYFUNCTION("""COMPUTED_VALUE"""),-1.0)</f>
        <v>-1</v>
      </c>
      <c r="U480" s="148">
        <f>IFERROR(__xludf.DUMMYFUNCTION("""COMPUTED_VALUE"""),1.0)</f>
        <v>1</v>
      </c>
      <c r="V480" s="148" t="str">
        <f>IFERROR(__xludf.DUMMYFUNCTION("""COMPUTED_VALUE"""),"[]")</f>
        <v>[]</v>
      </c>
      <c r="W480" s="148">
        <f>IFERROR(__xludf.DUMMYFUNCTION("""COMPUTED_VALUE"""),1.174E7)</f>
        <v>11740000</v>
      </c>
      <c r="X480" s="148">
        <f>IFERROR(__xludf.DUMMYFUNCTION("""COMPUTED_VALUE"""),0.0)</f>
        <v>0</v>
      </c>
      <c r="Y480" s="148">
        <f>IFERROR(__xludf.DUMMYFUNCTION("""COMPUTED_VALUE"""),0.0)</f>
        <v>0</v>
      </c>
      <c r="Z480" s="148"/>
    </row>
    <row r="481">
      <c r="A481" s="148">
        <f>IFERROR(__xludf.DUMMYFUNCTION("""COMPUTED_VALUE"""),1.1112273E7)</f>
        <v>11112273</v>
      </c>
      <c r="B481" s="148" t="str">
        <f>IFERROR(__xludf.DUMMYFUNCTION("""COMPUTED_VALUE"""),"周年庆2024活动专用-增加次数道具-2-第四周")</f>
        <v>周年庆2024活动专用-增加次数道具-2-第四周</v>
      </c>
      <c r="C481" s="148"/>
      <c r="D481" s="148" t="str">
        <f>IFERROR(__xludf.DUMMYFUNCTION("""COMPUTED_VALUE"""),"event_progress")</f>
        <v>event_progress</v>
      </c>
      <c r="E481" s="148">
        <f>IFERROR(__xludf.DUMMYFUNCTION("""COMPUTED_VALUE"""),0.0)</f>
        <v>0</v>
      </c>
      <c r="F481" s="148">
        <f>IFERROR(__xludf.DUMMYFUNCTION("""COMPUTED_VALUE"""),0.0)</f>
        <v>0</v>
      </c>
      <c r="G481" s="148">
        <f>IFERROR(__xludf.DUMMYFUNCTION("""COMPUTED_VALUE"""),1.5113732E7)</f>
        <v>15113732</v>
      </c>
      <c r="H481" s="148">
        <f>IFERROR(__xludf.DUMMYFUNCTION("""COMPUTED_VALUE"""),1.5112563E7)</f>
        <v>15112563</v>
      </c>
      <c r="I481" s="148" t="str">
        <f>IFERROR(__xludf.DUMMYFUNCTION("""COMPUTED_VALUE"""),"{}")</f>
        <v>{}</v>
      </c>
      <c r="J481" s="148" t="str">
        <f>IFERROR(__xludf.DUMMYFUNCTION("""COMPUTED_VALUE"""),"{}")</f>
        <v>{}</v>
      </c>
      <c r="K481" s="148" t="str">
        <f>IFERROR(__xludf.DUMMYFUNCTION("""COMPUTED_VALUE"""),"{}")</f>
        <v>{}</v>
      </c>
      <c r="L481" s="148" t="str">
        <f>IFERROR(__xludf.DUMMYFUNCTION("""COMPUTED_VALUE"""),"{}")</f>
        <v>{}</v>
      </c>
      <c r="M481" s="148">
        <f>IFERROR(__xludf.DUMMYFUNCTION("""COMPUTED_VALUE"""),1.0)</f>
        <v>1</v>
      </c>
      <c r="N481" s="148">
        <f>IFERROR(__xludf.DUMMYFUNCTION("""COMPUTED_VALUE"""),999999.0)</f>
        <v>999999</v>
      </c>
      <c r="O481" s="148">
        <f>IFERROR(__xludf.DUMMYFUNCTION("""COMPUTED_VALUE"""),99999.0)</f>
        <v>99999</v>
      </c>
      <c r="P481" s="148">
        <f>IFERROR(__xludf.DUMMYFUNCTION("""COMPUTED_VALUE"""),9999.0)</f>
        <v>9999</v>
      </c>
      <c r="Q481" s="148" t="str">
        <f>IFERROR(__xludf.DUMMYFUNCTION("""COMPUTED_VALUE"""),"[]")</f>
        <v>[]</v>
      </c>
      <c r="R481" s="148" t="str">
        <f>IFERROR(__xludf.DUMMYFUNCTION("""COMPUTED_VALUE"""),"[]")</f>
        <v>[]</v>
      </c>
      <c r="S481" s="148" t="str">
        <f>IFERROR(__xludf.DUMMYFUNCTION("""COMPUTED_VALUE"""),"{""effect"":[{""typ"":""event"",""id"":21127156},{""typ"":""miss_lost_reward""}]}")</f>
        <v>{"effect":[{"typ":"event","id":21127156},{"typ":"miss_lost_reward"}]}</v>
      </c>
      <c r="T481" s="148">
        <f>IFERROR(__xludf.DUMMYFUNCTION("""COMPUTED_VALUE"""),-1.0)</f>
        <v>-1</v>
      </c>
      <c r="U481" s="148">
        <f>IFERROR(__xludf.DUMMYFUNCTION("""COMPUTED_VALUE"""),1.0)</f>
        <v>1</v>
      </c>
      <c r="V481" s="148" t="str">
        <f>IFERROR(__xludf.DUMMYFUNCTION("""COMPUTED_VALUE"""),"[]")</f>
        <v>[]</v>
      </c>
      <c r="W481" s="148">
        <f>IFERROR(__xludf.DUMMYFUNCTION("""COMPUTED_VALUE"""),1.174E7)</f>
        <v>11740000</v>
      </c>
      <c r="X481" s="148">
        <f>IFERROR(__xludf.DUMMYFUNCTION("""COMPUTED_VALUE"""),0.0)</f>
        <v>0</v>
      </c>
      <c r="Y481" s="148">
        <f>IFERROR(__xludf.DUMMYFUNCTION("""COMPUTED_VALUE"""),0.0)</f>
        <v>0</v>
      </c>
      <c r="Z481" s="148"/>
    </row>
    <row r="482">
      <c r="A482" s="148">
        <f>IFERROR(__xludf.DUMMYFUNCTION("""COMPUTED_VALUE"""),1.1112274E7)</f>
        <v>11112274</v>
      </c>
      <c r="B482" s="148" t="str">
        <f>IFERROR(__xludf.DUMMYFUNCTION("""COMPUTED_VALUE"""),"节日通用砍价-欢乐币")</f>
        <v>节日通用砍价-欢乐币</v>
      </c>
      <c r="C482" s="148"/>
      <c r="D482" s="148" t="str">
        <f>IFERROR(__xludf.DUMMYFUNCTION("""COMPUTED_VALUE"""),"event")</f>
        <v>event</v>
      </c>
      <c r="E482" s="148">
        <f>IFERROR(__xludf.DUMMYFUNCTION("""COMPUTED_VALUE"""),0.0)</f>
        <v>0</v>
      </c>
      <c r="F482" s="148">
        <f>IFERROR(__xludf.DUMMYFUNCTION("""COMPUTED_VALUE"""),408201.0)</f>
        <v>408201</v>
      </c>
      <c r="G482" s="148">
        <f>IFERROR(__xludf.DUMMYFUNCTION("""COMPUTED_VALUE"""),1.51100308E8)</f>
        <v>151100308</v>
      </c>
      <c r="H482" s="148">
        <f>IFERROR(__xludf.DUMMYFUNCTION("""COMPUTED_VALUE"""),1.5112564E7)</f>
        <v>15112564</v>
      </c>
      <c r="I482" s="148" t="str">
        <f>IFERROR(__xludf.DUMMYFUNCTION("""COMPUTED_VALUE"""),"{}")</f>
        <v>{}</v>
      </c>
      <c r="J482" s="148" t="str">
        <f>IFERROR(__xludf.DUMMYFUNCTION("""COMPUTED_VALUE"""),"{""typ"":""lc"",""txt"":""LC_ITEM_2Anniversary_Bargain_currency""}")</f>
        <v>{"typ":"lc","txt":"LC_ITEM_2Anniversary_Bargain_currency"}</v>
      </c>
      <c r="K482" s="148" t="str">
        <f>IFERROR(__xludf.DUMMYFUNCTION("""COMPUTED_VALUE"""),"{""typ"":""lc"",""txt"":""LC_ITEM_2Anniversary_Bargain_currency_desc""}")</f>
        <v>{"typ":"lc","txt":"LC_ITEM_2Anniversary_Bargain_currency_desc"}</v>
      </c>
      <c r="L482" s="148" t="str">
        <f>IFERROR(__xludf.DUMMYFUNCTION("""COMPUTED_VALUE"""),"{}")</f>
        <v>{}</v>
      </c>
      <c r="M482" s="148">
        <f>IFERROR(__xludf.DUMMYFUNCTION("""COMPUTED_VALUE"""),100.0)</f>
        <v>100</v>
      </c>
      <c r="N482" s="148">
        <f>IFERROR(__xludf.DUMMYFUNCTION("""COMPUTED_VALUE"""),999999.0)</f>
        <v>999999</v>
      </c>
      <c r="O482" s="148">
        <f>IFERROR(__xludf.DUMMYFUNCTION("""COMPUTED_VALUE"""),99999.0)</f>
        <v>99999</v>
      </c>
      <c r="P482" s="148">
        <f>IFERROR(__xludf.DUMMYFUNCTION("""COMPUTED_VALUE"""),99999.0)</f>
        <v>99999</v>
      </c>
      <c r="Q482" s="148" t="str">
        <f>IFERROR(__xludf.DUMMYFUNCTION("""COMPUTED_VALUE"""),"[""bag_other""]")</f>
        <v>["bag_other"]</v>
      </c>
      <c r="R482" s="148" t="str">
        <f>IFERROR(__xludf.DUMMYFUNCTION("""COMPUTED_VALUE"""),"[]")</f>
        <v>[]</v>
      </c>
      <c r="S482" s="148" t="str">
        <f>IFERROR(__xludf.DUMMYFUNCTION("""COMPUTED_VALUE"""),"{}")</f>
        <v>{}</v>
      </c>
      <c r="T482" s="148">
        <f>IFERROR(__xludf.DUMMYFUNCTION("""COMPUTED_VALUE"""),-1.0)</f>
        <v>-1</v>
      </c>
      <c r="U482" s="148">
        <f>IFERROR(__xludf.DUMMYFUNCTION("""COMPUTED_VALUE"""),0.0)</f>
        <v>0</v>
      </c>
      <c r="V482" s="148" t="str">
        <f>IFERROR(__xludf.DUMMYFUNCTION("""COMPUTED_VALUE"""),"[]")</f>
        <v>[]</v>
      </c>
      <c r="W482" s="148">
        <f>IFERROR(__xludf.DUMMYFUNCTION("""COMPUTED_VALUE"""),1.174E7)</f>
        <v>11740000</v>
      </c>
      <c r="X482" s="148">
        <f>IFERROR(__xludf.DUMMYFUNCTION("""COMPUTED_VALUE"""),0.0)</f>
        <v>0</v>
      </c>
      <c r="Y482" s="148">
        <f>IFERROR(__xludf.DUMMYFUNCTION("""COMPUTED_VALUE"""),0.0)</f>
        <v>0</v>
      </c>
      <c r="Z482" s="148"/>
    </row>
    <row r="483">
      <c r="A483" s="148">
        <f>IFERROR(__xludf.DUMMYFUNCTION("""COMPUTED_VALUE"""),1.1112275E7)</f>
        <v>11112275</v>
      </c>
      <c r="B483" s="148" t="str">
        <f>IFERROR(__xludf.DUMMYFUNCTION("""COMPUTED_VALUE"""),"节日通用砍价-帮帮卡")</f>
        <v>节日通用砍价-帮帮卡</v>
      </c>
      <c r="C483" s="148"/>
      <c r="D483" s="148" t="str">
        <f>IFERROR(__xludf.DUMMYFUNCTION("""COMPUTED_VALUE"""),"event")</f>
        <v>event</v>
      </c>
      <c r="E483" s="148">
        <f>IFERROR(__xludf.DUMMYFUNCTION("""COMPUTED_VALUE"""),0.0)</f>
        <v>0</v>
      </c>
      <c r="F483" s="148">
        <f>IFERROR(__xludf.DUMMYFUNCTION("""COMPUTED_VALUE"""),408202.0)</f>
        <v>408202</v>
      </c>
      <c r="G483" s="148">
        <f>IFERROR(__xludf.DUMMYFUNCTION("""COMPUTED_VALUE"""),1.51100309E8)</f>
        <v>151100309</v>
      </c>
      <c r="H483" s="148">
        <f>IFERROR(__xludf.DUMMYFUNCTION("""COMPUTED_VALUE"""),1.5112562E7)</f>
        <v>15112562</v>
      </c>
      <c r="I483" s="148" t="str">
        <f>IFERROR(__xludf.DUMMYFUNCTION("""COMPUTED_VALUE"""),"{}")</f>
        <v>{}</v>
      </c>
      <c r="J483" s="148" t="str">
        <f>IFERROR(__xludf.DUMMYFUNCTION("""COMPUTED_VALUE"""),"{""typ"":""lc"",""txt"":""LC_ITEM_2Anniversary_Bargain_help_item""}")</f>
        <v>{"typ":"lc","txt":"LC_ITEM_2Anniversary_Bargain_help_item"}</v>
      </c>
      <c r="K483" s="148" t="str">
        <f>IFERROR(__xludf.DUMMYFUNCTION("""COMPUTED_VALUE"""),"{""typ"":""lc"",""txt"":""LC_ITEM_2Anniversary_Bargain_help_item_desc""}")</f>
        <v>{"typ":"lc","txt":"LC_ITEM_2Anniversary_Bargain_help_item_desc"}</v>
      </c>
      <c r="L483" s="148" t="str">
        <f>IFERROR(__xludf.DUMMYFUNCTION("""COMPUTED_VALUE"""),"{}")</f>
        <v>{}</v>
      </c>
      <c r="M483" s="148">
        <f>IFERROR(__xludf.DUMMYFUNCTION("""COMPUTED_VALUE"""),100.0)</f>
        <v>100</v>
      </c>
      <c r="N483" s="148">
        <f>IFERROR(__xludf.DUMMYFUNCTION("""COMPUTED_VALUE"""),999999.0)</f>
        <v>999999</v>
      </c>
      <c r="O483" s="148">
        <f>IFERROR(__xludf.DUMMYFUNCTION("""COMPUTED_VALUE"""),99999.0)</f>
        <v>99999</v>
      </c>
      <c r="P483" s="148">
        <f>IFERROR(__xludf.DUMMYFUNCTION("""COMPUTED_VALUE"""),1.0)</f>
        <v>1</v>
      </c>
      <c r="Q483" s="148" t="str">
        <f>IFERROR(__xludf.DUMMYFUNCTION("""COMPUTED_VALUE"""),"[""bag_other""]")</f>
        <v>["bag_other"]</v>
      </c>
      <c r="R483" s="148" t="str">
        <f>IFERROR(__xludf.DUMMYFUNCTION("""COMPUTED_VALUE"""),"[]")</f>
        <v>[]</v>
      </c>
      <c r="S483" s="148" t="str">
        <f>IFERROR(__xludf.DUMMYFUNCTION("""COMPUTED_VALUE"""),"{}")</f>
        <v>{}</v>
      </c>
      <c r="T483" s="148">
        <f>IFERROR(__xludf.DUMMYFUNCTION("""COMPUTED_VALUE"""),-1.0)</f>
        <v>-1</v>
      </c>
      <c r="U483" s="148">
        <f>IFERROR(__xludf.DUMMYFUNCTION("""COMPUTED_VALUE"""),0.0)</f>
        <v>0</v>
      </c>
      <c r="V483" s="148" t="str">
        <f>IFERROR(__xludf.DUMMYFUNCTION("""COMPUTED_VALUE"""),"[]")</f>
        <v>[]</v>
      </c>
      <c r="W483" s="148">
        <f>IFERROR(__xludf.DUMMYFUNCTION("""COMPUTED_VALUE"""),1.174E7)</f>
        <v>11740000</v>
      </c>
      <c r="X483" s="148">
        <f>IFERROR(__xludf.DUMMYFUNCTION("""COMPUTED_VALUE"""),0.0)</f>
        <v>0</v>
      </c>
      <c r="Y483" s="148">
        <f>IFERROR(__xludf.DUMMYFUNCTION("""COMPUTED_VALUE"""),0.0)</f>
        <v>0</v>
      </c>
      <c r="Z483" s="148"/>
    </row>
    <row r="484">
      <c r="A484" s="148">
        <f>IFERROR(__xludf.DUMMYFUNCTION("""COMPUTED_VALUE"""),1.1112276E7)</f>
        <v>11112276</v>
      </c>
      <c r="B484" s="148" t="str">
        <f>IFERROR(__xludf.DUMMYFUNCTION("""COMPUTED_VALUE"""),"节日通用砍价-砍价谢礼")</f>
        <v>节日通用砍价-砍价谢礼</v>
      </c>
      <c r="C484" s="148"/>
      <c r="D484" s="148" t="str">
        <f>IFERROR(__xludf.DUMMYFUNCTION("""COMPUTED_VALUE"""),"item_asset")</f>
        <v>item_asset</v>
      </c>
      <c r="E484" s="148">
        <f>IFERROR(__xludf.DUMMYFUNCTION("""COMPUTED_VALUE"""),0.0)</f>
        <v>0</v>
      </c>
      <c r="F484" s="148">
        <f>IFERROR(__xludf.DUMMYFUNCTION("""COMPUTED_VALUE"""),408203.0)</f>
        <v>408203</v>
      </c>
      <c r="G484" s="148">
        <f>IFERROR(__xludf.DUMMYFUNCTION("""COMPUTED_VALUE"""),1.511035E7)</f>
        <v>15110350</v>
      </c>
      <c r="H484" s="148">
        <f>IFERROR(__xludf.DUMMYFUNCTION("""COMPUTED_VALUE"""),1.5112563E7)</f>
        <v>15112563</v>
      </c>
      <c r="I484" s="148" t="str">
        <f>IFERROR(__xludf.DUMMYFUNCTION("""COMPUTED_VALUE"""),"{}")</f>
        <v>{}</v>
      </c>
      <c r="J484" s="148" t="str">
        <f>IFERROR(__xludf.DUMMYFUNCTION("""COMPUTED_VALUE"""),"{""typ"":""lc"",""txt"":""LC_ITEM_2Anniversary_Bargain_to_help_gift""}")</f>
        <v>{"typ":"lc","txt":"LC_ITEM_2Anniversary_Bargain_to_help_gift"}</v>
      </c>
      <c r="K484" s="148" t="str">
        <f>IFERROR(__xludf.DUMMYFUNCTION("""COMPUTED_VALUE"""),"{""typ"":""lc"",""txt"":""LC_ITEM_2Anniversary_Bargain_to_help_gift_desc""}")</f>
        <v>{"typ":"lc","txt":"LC_ITEM_2Anniversary_Bargain_to_help_gift_desc"}</v>
      </c>
      <c r="L484" s="148" t="str">
        <f>IFERROR(__xludf.DUMMYFUNCTION("""COMPUTED_VALUE"""),"{}")</f>
        <v>{}</v>
      </c>
      <c r="M484" s="148">
        <f>IFERROR(__xludf.DUMMYFUNCTION("""COMPUTED_VALUE"""),100.0)</f>
        <v>100</v>
      </c>
      <c r="N484" s="148">
        <f>IFERROR(__xludf.DUMMYFUNCTION("""COMPUTED_VALUE"""),999999.0)</f>
        <v>999999</v>
      </c>
      <c r="O484" s="148">
        <f>IFERROR(__xludf.DUMMYFUNCTION("""COMPUTED_VALUE"""),99999.0)</f>
        <v>99999</v>
      </c>
      <c r="P484" s="148">
        <f>IFERROR(__xludf.DUMMYFUNCTION("""COMPUTED_VALUE"""),9999.0)</f>
        <v>9999</v>
      </c>
      <c r="Q484" s="148" t="str">
        <f>IFERROR(__xludf.DUMMYFUNCTION("""COMPUTED_VALUE"""),"[""bag_other""]")</f>
        <v>["bag_other"]</v>
      </c>
      <c r="R484" s="148" t="str">
        <f>IFERROR(__xludf.DUMMYFUNCTION("""COMPUTED_VALUE"""),"[""bag""]")</f>
        <v>["bag"]</v>
      </c>
      <c r="S484" s="148" t="str">
        <f>IFERROR(__xludf.DUMMYFUNCTION("""COMPUTED_VALUE"""),"{""drop"":{""typ"":""single_random"",""num"":1,""args"":[{""typ"":""item"",""id"":11111102,""num"":1,""wgt"":3000},{""typ"":""item"",""id"":11114315,""num"":1,""wgt"":3000},{""typ"":""item"",""id"":11118007,""num"":1,""wgt"":3000},{""typ"":""item"",""id"""&amp;":11116110,""num"":1,""wgt"":200},{""typ"":""item"",""id"":11116304,""num"":1,""wgt"":100}]}}")</f>
        <v>{"drop":{"typ":"single_random","num":1,"args":[{"typ":"item","id":11111102,"num":1,"wgt":3000},{"typ":"item","id":11114315,"num":1,"wgt":3000},{"typ":"item","id":11118007,"num":1,"wgt":3000},{"typ":"item","id":11116110,"num":1,"wgt":200},{"typ":"item","id":11116304,"num":1,"wgt":100}]}}</v>
      </c>
      <c r="T484" s="148">
        <f>IFERROR(__xludf.DUMMYFUNCTION("""COMPUTED_VALUE"""),-1.0)</f>
        <v>-1</v>
      </c>
      <c r="U484" s="148">
        <f>IFERROR(__xludf.DUMMYFUNCTION("""COMPUTED_VALUE"""),0.0)</f>
        <v>0</v>
      </c>
      <c r="V484" s="148" t="str">
        <f>IFERROR(__xludf.DUMMYFUNCTION("""COMPUTED_VALUE"""),"[]")</f>
        <v>[]</v>
      </c>
      <c r="W484" s="148">
        <f>IFERROR(__xludf.DUMMYFUNCTION("""COMPUTED_VALUE"""),1.174E7)</f>
        <v>11740000</v>
      </c>
      <c r="X484" s="148">
        <f>IFERROR(__xludf.DUMMYFUNCTION("""COMPUTED_VALUE"""),0.0)</f>
        <v>0</v>
      </c>
      <c r="Y484" s="148">
        <f>IFERROR(__xludf.DUMMYFUNCTION("""COMPUTED_VALUE"""),0.0)</f>
        <v>0</v>
      </c>
      <c r="Z484" s="148"/>
    </row>
    <row r="485">
      <c r="A485" s="148">
        <f>IFERROR(__xludf.DUMMYFUNCTION("""COMPUTED_VALUE"""),1.1112277E7)</f>
        <v>11112277</v>
      </c>
      <c r="B485" s="148" t="str">
        <f>IFERROR(__xludf.DUMMYFUNCTION("""COMPUTED_VALUE"""),"周年庆2024gacha专用-增加内圈抽奖次数")</f>
        <v>周年庆2024gacha专用-增加内圈抽奖次数</v>
      </c>
      <c r="C485" s="148"/>
      <c r="D485" s="148" t="str">
        <f>IFERROR(__xludf.DUMMYFUNCTION("""COMPUTED_VALUE"""),"event")</f>
        <v>event</v>
      </c>
      <c r="E485" s="148">
        <f>IFERROR(__xludf.DUMMYFUNCTION("""COMPUTED_VALUE"""),0.0)</f>
        <v>0</v>
      </c>
      <c r="F485" s="148">
        <f>IFERROR(__xludf.DUMMYFUNCTION("""COMPUTED_VALUE"""),0.0)</f>
        <v>0</v>
      </c>
      <c r="G485" s="148">
        <f>IFERROR(__xludf.DUMMYFUNCTION("""COMPUTED_VALUE"""),1.5116809E7)</f>
        <v>15116809</v>
      </c>
      <c r="H485" s="148">
        <f>IFERROR(__xludf.DUMMYFUNCTION("""COMPUTED_VALUE"""),1.5112564E7)</f>
        <v>15112564</v>
      </c>
      <c r="I485" s="148" t="str">
        <f>IFERROR(__xludf.DUMMYFUNCTION("""COMPUTED_VALUE"""),"{}")</f>
        <v>{}</v>
      </c>
      <c r="J485" s="148" t="str">
        <f>IFERROR(__xludf.DUMMYFUNCTION("""COMPUTED_VALUE"""),"{""typ"":""lc"",""txt"":""LC_ITEM_2023laborday_gacha_inner_item""}")</f>
        <v>{"typ":"lc","txt":"LC_ITEM_2023laborday_gacha_inner_item"}</v>
      </c>
      <c r="K485" s="148" t="str">
        <f>IFERROR(__xludf.DUMMYFUNCTION("""COMPUTED_VALUE"""),"{""typ"":""lc"",""txt"":""LC_ITEM_2023laborday_gacha_inner_item_desc""}")</f>
        <v>{"typ":"lc","txt":"LC_ITEM_2023laborday_gacha_inner_item_desc"}</v>
      </c>
      <c r="L485" s="148" t="str">
        <f>IFERROR(__xludf.DUMMYFUNCTION("""COMPUTED_VALUE"""),"{}")</f>
        <v>{}</v>
      </c>
      <c r="M485" s="148">
        <f>IFERROR(__xludf.DUMMYFUNCTION("""COMPUTED_VALUE"""),700.0)</f>
        <v>700</v>
      </c>
      <c r="N485" s="148">
        <f>IFERROR(__xludf.DUMMYFUNCTION("""COMPUTED_VALUE"""),9.99999999E8)</f>
        <v>999999999</v>
      </c>
      <c r="O485" s="148">
        <f>IFERROR(__xludf.DUMMYFUNCTION("""COMPUTED_VALUE"""),9.99999999E8)</f>
        <v>999999999</v>
      </c>
      <c r="P485" s="148">
        <f>IFERROR(__xludf.DUMMYFUNCTION("""COMPUTED_VALUE"""),9.99999999E8)</f>
        <v>999999999</v>
      </c>
      <c r="Q485" s="148" t="str">
        <f>IFERROR(__xludf.DUMMYFUNCTION("""COMPUTED_VALUE"""),"[]")</f>
        <v>[]</v>
      </c>
      <c r="R485" s="148" t="str">
        <f>IFERROR(__xludf.DUMMYFUNCTION("""COMPUTED_VALUE"""),"[""bag""]")</f>
        <v>["bag"]</v>
      </c>
      <c r="S485" s="148" t="str">
        <f>IFERROR(__xludf.DUMMYFUNCTION("""COMPUTED_VALUE"""),"{}")</f>
        <v>{}</v>
      </c>
      <c r="T485" s="148">
        <f>IFERROR(__xludf.DUMMYFUNCTION("""COMPUTED_VALUE"""),1.0)</f>
        <v>1</v>
      </c>
      <c r="U485" s="148">
        <f>IFERROR(__xludf.DUMMYFUNCTION("""COMPUTED_VALUE"""),0.0)</f>
        <v>0</v>
      </c>
      <c r="V485" s="148" t="str">
        <f>IFERROR(__xludf.DUMMYFUNCTION("""COMPUTED_VALUE"""),"[]")</f>
        <v>[]</v>
      </c>
      <c r="W485" s="148">
        <f>IFERROR(__xludf.DUMMYFUNCTION("""COMPUTED_VALUE"""),1.174E7)</f>
        <v>11740000</v>
      </c>
      <c r="X485" s="148">
        <f>IFERROR(__xludf.DUMMYFUNCTION("""COMPUTED_VALUE"""),0.0)</f>
        <v>0</v>
      </c>
      <c r="Y485" s="148">
        <f>IFERROR(__xludf.DUMMYFUNCTION("""COMPUTED_VALUE"""),0.0)</f>
        <v>0</v>
      </c>
      <c r="Z485" s="148"/>
    </row>
    <row r="486">
      <c r="A486" s="148">
        <f>IFERROR(__xludf.DUMMYFUNCTION("""COMPUTED_VALUE"""),1.1112278E7)</f>
        <v>11112278</v>
      </c>
      <c r="B486" s="148" t="str">
        <f>IFERROR(__xludf.DUMMYFUNCTION("""COMPUTED_VALUE"""),"周年庆2024gacha专用-增加大奖抽奖次数")</f>
        <v>周年庆2024gacha专用-增加大奖抽奖次数</v>
      </c>
      <c r="C486" s="148"/>
      <c r="D486" s="148" t="str">
        <f>IFERROR(__xludf.DUMMYFUNCTION("""COMPUTED_VALUE"""),"event")</f>
        <v>event</v>
      </c>
      <c r="E486" s="148">
        <f>IFERROR(__xludf.DUMMYFUNCTION("""COMPUTED_VALUE"""),0.0)</f>
        <v>0</v>
      </c>
      <c r="F486" s="148">
        <f>IFERROR(__xludf.DUMMYFUNCTION("""COMPUTED_VALUE"""),0.0)</f>
        <v>0</v>
      </c>
      <c r="G486" s="148">
        <f>IFERROR(__xludf.DUMMYFUNCTION("""COMPUTED_VALUE"""),1.5116809E7)</f>
        <v>15116809</v>
      </c>
      <c r="H486" s="148">
        <f>IFERROR(__xludf.DUMMYFUNCTION("""COMPUTED_VALUE"""),1.5112564E7)</f>
        <v>15112564</v>
      </c>
      <c r="I486" s="148" t="str">
        <f>IFERROR(__xludf.DUMMYFUNCTION("""COMPUTED_VALUE"""),"{}")</f>
        <v>{}</v>
      </c>
      <c r="J486" s="148" t="str">
        <f>IFERROR(__xludf.DUMMYFUNCTION("""COMPUTED_VALUE"""),"{""typ"":""lc"",""txt"":""LC_ITEM_2023laborday_gacha_inner_item""}")</f>
        <v>{"typ":"lc","txt":"LC_ITEM_2023laborday_gacha_inner_item"}</v>
      </c>
      <c r="K486" s="148" t="str">
        <f>IFERROR(__xludf.DUMMYFUNCTION("""COMPUTED_VALUE"""),"{""typ"":""lc"",""txt"":""LC_ITEM_2023laborday_gacha_inner_item_desc""}")</f>
        <v>{"typ":"lc","txt":"LC_ITEM_2023laborday_gacha_inner_item_desc"}</v>
      </c>
      <c r="L486" s="148" t="str">
        <f>IFERROR(__xludf.DUMMYFUNCTION("""COMPUTED_VALUE"""),"{}")</f>
        <v>{}</v>
      </c>
      <c r="M486" s="148">
        <f>IFERROR(__xludf.DUMMYFUNCTION("""COMPUTED_VALUE"""),700.0)</f>
        <v>700</v>
      </c>
      <c r="N486" s="148">
        <f>IFERROR(__xludf.DUMMYFUNCTION("""COMPUTED_VALUE"""),9.99999999E8)</f>
        <v>999999999</v>
      </c>
      <c r="O486" s="148">
        <f>IFERROR(__xludf.DUMMYFUNCTION("""COMPUTED_VALUE"""),9.99999999E8)</f>
        <v>999999999</v>
      </c>
      <c r="P486" s="148">
        <f>IFERROR(__xludf.DUMMYFUNCTION("""COMPUTED_VALUE"""),9.99999999E8)</f>
        <v>999999999</v>
      </c>
      <c r="Q486" s="148" t="str">
        <f>IFERROR(__xludf.DUMMYFUNCTION("""COMPUTED_VALUE"""),"[]")</f>
        <v>[]</v>
      </c>
      <c r="R486" s="148" t="str">
        <f>IFERROR(__xludf.DUMMYFUNCTION("""COMPUTED_VALUE"""),"[""bag""]")</f>
        <v>["bag"]</v>
      </c>
      <c r="S486" s="148" t="str">
        <f>IFERROR(__xludf.DUMMYFUNCTION("""COMPUTED_VALUE"""),"{}")</f>
        <v>{}</v>
      </c>
      <c r="T486" s="148">
        <f>IFERROR(__xludf.DUMMYFUNCTION("""COMPUTED_VALUE"""),1.0)</f>
        <v>1</v>
      </c>
      <c r="U486" s="148">
        <f>IFERROR(__xludf.DUMMYFUNCTION("""COMPUTED_VALUE"""),0.0)</f>
        <v>0</v>
      </c>
      <c r="V486" s="148" t="str">
        <f>IFERROR(__xludf.DUMMYFUNCTION("""COMPUTED_VALUE"""),"[]")</f>
        <v>[]</v>
      </c>
      <c r="W486" s="148">
        <f>IFERROR(__xludf.DUMMYFUNCTION("""COMPUTED_VALUE"""),1.174E7)</f>
        <v>11740000</v>
      </c>
      <c r="X486" s="148">
        <f>IFERROR(__xludf.DUMMYFUNCTION("""COMPUTED_VALUE"""),0.0)</f>
        <v>0</v>
      </c>
      <c r="Y486" s="148">
        <f>IFERROR(__xludf.DUMMYFUNCTION("""COMPUTED_VALUE"""),0.0)</f>
        <v>0</v>
      </c>
      <c r="Z486" s="148"/>
    </row>
    <row r="487">
      <c r="A487" s="148">
        <f>IFERROR(__xludf.DUMMYFUNCTION("""COMPUTED_VALUE"""),1.1112279E7)</f>
        <v>11112279</v>
      </c>
      <c r="B487" s="148" t="str">
        <f>IFERROR(__xludf.DUMMYFUNCTION("""COMPUTED_VALUE"""),"24周年庆进度宝箱")</f>
        <v>24周年庆进度宝箱</v>
      </c>
      <c r="C487" s="148"/>
      <c r="D487" s="148" t="str">
        <f>IFERROR(__xludf.DUMMYFUNCTION("""COMPUTED_VALUE"""),"item_asset")</f>
        <v>item_asset</v>
      </c>
      <c r="E487" s="148">
        <f>IFERROR(__xludf.DUMMYFUNCTION("""COMPUTED_VALUE"""),19.0)</f>
        <v>19</v>
      </c>
      <c r="F487" s="148">
        <f>IFERROR(__xludf.DUMMYFUNCTION("""COMPUTED_VALUE"""),201101.0)</f>
        <v>201101</v>
      </c>
      <c r="G487" s="148">
        <f>IFERROR(__xludf.DUMMYFUNCTION("""COMPUTED_VALUE"""),1.5112492E7)</f>
        <v>15112492</v>
      </c>
      <c r="H487" s="148">
        <f>IFERROR(__xludf.DUMMYFUNCTION("""COMPUTED_VALUE"""),1.5112564E7)</f>
        <v>15112564</v>
      </c>
      <c r="I487" s="148" t="str">
        <f>IFERROR(__xludf.DUMMYFUNCTION("""COMPUTED_VALUE"""),"{}")</f>
        <v>{}</v>
      </c>
      <c r="J487" s="148" t="str">
        <f>IFERROR(__xludf.DUMMYFUNCTION("""COMPUTED_VALUE"""),"{""typ"":""lc"",""txt"":""LC_ITEM_2024anni_box_name""}")</f>
        <v>{"typ":"lc","txt":"LC_ITEM_2024anni_box_name"}</v>
      </c>
      <c r="K487" s="148" t="str">
        <f>IFERROR(__xludf.DUMMYFUNCTION("""COMPUTED_VALUE"""),"{""typ"":""lc"",""txt"":""LC_ITEM_2024anni_box_desc""}")</f>
        <v>{"typ":"lc","txt":"LC_ITEM_2024anni_box_desc"}</v>
      </c>
      <c r="L487" s="148" t="str">
        <f>IFERROR(__xludf.DUMMYFUNCTION("""COMPUTED_VALUE"""),"{}")</f>
        <v>{}</v>
      </c>
      <c r="M487" s="148">
        <f>IFERROR(__xludf.DUMMYFUNCTION("""COMPUTED_VALUE"""),100.0)</f>
        <v>100</v>
      </c>
      <c r="N487" s="148">
        <f>IFERROR(__xludf.DUMMYFUNCTION("""COMPUTED_VALUE"""),999999.0)</f>
        <v>999999</v>
      </c>
      <c r="O487" s="148">
        <f>IFERROR(__xludf.DUMMYFUNCTION("""COMPUTED_VALUE"""),99999.0)</f>
        <v>99999</v>
      </c>
      <c r="P487" s="148">
        <f>IFERROR(__xludf.DUMMYFUNCTION("""COMPUTED_VALUE"""),99999.0)</f>
        <v>99999</v>
      </c>
      <c r="Q487" s="148" t="str">
        <f>IFERROR(__xludf.DUMMYFUNCTION("""COMPUTED_VALUE"""),"[""bag_other""]")</f>
        <v>["bag_other"]</v>
      </c>
      <c r="R487" s="148" t="str">
        <f>IFERROR(__xludf.DUMMYFUNCTION("""COMPUTED_VALUE"""),"[""bag""]")</f>
        <v>["bag"]</v>
      </c>
      <c r="S487" s="148" t="str">
        <f>IFERROR(__xludf.DUMMYFUNCTION("""COMPUTED_VALUE"""),"{""drop"":{""typ"":""single_random"",""num"":1,""args"":[{""typ"":""item"",""id"":11111153,""num"":1,""wgt"":4000},{""typ"":""item"",""id"":11111002,""num"":1,""wgt"":2000},{""typ"":""item"",""id"":11111006,""num"":1,""wgt"":2000},{""typ"":""item"",""id"""&amp;":11111156,""num"":1,""wgt"":1500},{""typ"":""item"",""id"":11111158,""num"":1,""wgt"":250},{""typ"":""item"",""id"":11116110,""num"":1,""wgt"":250},{""typ"":""item"",""id"":11116304,""num"":1,""wgt"":10}]}}")</f>
        <v>{"drop":{"typ":"single_random","num":1,"args":[{"typ":"item","id":11111153,"num":1,"wgt":4000},{"typ":"item","id":11111002,"num":1,"wgt":2000},{"typ":"item","id":11111006,"num":1,"wgt":2000},{"typ":"item","id":11111156,"num":1,"wgt":1500},{"typ":"item","id":11111158,"num":1,"wgt":250},{"typ":"item","id":11116110,"num":1,"wgt":250},{"typ":"item","id":11116304,"num":1,"wgt":10}]}}</v>
      </c>
      <c r="T487" s="148">
        <f>IFERROR(__xludf.DUMMYFUNCTION("""COMPUTED_VALUE"""),-1.0)</f>
        <v>-1</v>
      </c>
      <c r="U487" s="148">
        <f>IFERROR(__xludf.DUMMYFUNCTION("""COMPUTED_VALUE"""),0.0)</f>
        <v>0</v>
      </c>
      <c r="V487" s="148" t="str">
        <f>IFERROR(__xludf.DUMMYFUNCTION("""COMPUTED_VALUE"""),"[]")</f>
        <v>[]</v>
      </c>
      <c r="W487" s="148">
        <f>IFERROR(__xludf.DUMMYFUNCTION("""COMPUTED_VALUE"""),1.174E7)</f>
        <v>11740000</v>
      </c>
      <c r="X487" s="148">
        <f>IFERROR(__xludf.DUMMYFUNCTION("""COMPUTED_VALUE"""),0.0)</f>
        <v>0</v>
      </c>
      <c r="Y487" s="148">
        <f>IFERROR(__xludf.DUMMYFUNCTION("""COMPUTED_VALUE"""),0.0)</f>
        <v>0</v>
      </c>
      <c r="Z487" s="148"/>
    </row>
    <row r="488">
      <c r="A488" s="148">
        <f>IFERROR(__xludf.DUMMYFUNCTION("""COMPUTED_VALUE"""),1.111228E7)</f>
        <v>11112280</v>
      </c>
      <c r="B488" s="148" t="str">
        <f>IFERROR(__xludf.DUMMYFUNCTION("""COMPUTED_VALUE"""),"感恩节机甲自选假道具")</f>
        <v>感恩节机甲自选假道具</v>
      </c>
      <c r="C488" s="148"/>
      <c r="D488" s="148" t="str">
        <f>IFERROR(__xludf.DUMMYFUNCTION("""COMPUTED_VALUE"""),"mecha_skin_select")</f>
        <v>mecha_skin_select</v>
      </c>
      <c r="E488" s="148">
        <f>IFERROR(__xludf.DUMMYFUNCTION("""COMPUTED_VALUE"""),19.0)</f>
        <v>19</v>
      </c>
      <c r="F488" s="148">
        <f>IFERROR(__xludf.DUMMYFUNCTION("""COMPUTED_VALUE"""),201101.0)</f>
        <v>201101</v>
      </c>
      <c r="G488" s="148">
        <f>IFERROR(__xludf.DUMMYFUNCTION("""COMPUTED_VALUE"""),1.5112492E7)</f>
        <v>15112492</v>
      </c>
      <c r="H488" s="148">
        <f>IFERROR(__xludf.DUMMYFUNCTION("""COMPUTED_VALUE"""),1.5112564E7)</f>
        <v>15112564</v>
      </c>
      <c r="I488" s="148" t="str">
        <f>IFERROR(__xludf.DUMMYFUNCTION("""COMPUTED_VALUE"""),"{}")</f>
        <v>{}</v>
      </c>
      <c r="J488" s="148" t="str">
        <f>IFERROR(__xludf.DUMMYFUNCTION("""COMPUTED_VALUE"""),"{""typ"":""lc"",""txt"":""LC_ITEM_mecha_skin_box""}")</f>
        <v>{"typ":"lc","txt":"LC_ITEM_mecha_skin_box"}</v>
      </c>
      <c r="K488" s="148" t="str">
        <f>IFERROR(__xludf.DUMMYFUNCTION("""COMPUTED_VALUE"""),"{""typ"":""lc"",""txt"":""LC_ITEM_mecha_skin_box_desc""}")</f>
        <v>{"typ":"lc","txt":"LC_ITEM_mecha_skin_box_desc"}</v>
      </c>
      <c r="L488" s="148" t="str">
        <f>IFERROR(__xludf.DUMMYFUNCTION("""COMPUTED_VALUE"""),"{}")</f>
        <v>{}</v>
      </c>
      <c r="M488" s="148">
        <f>IFERROR(__xludf.DUMMYFUNCTION("""COMPUTED_VALUE"""),100.0)</f>
        <v>100</v>
      </c>
      <c r="N488" s="148">
        <f>IFERROR(__xludf.DUMMYFUNCTION("""COMPUTED_VALUE"""),999999.0)</f>
        <v>999999</v>
      </c>
      <c r="O488" s="148">
        <f>IFERROR(__xludf.DUMMYFUNCTION("""COMPUTED_VALUE"""),99999.0)</f>
        <v>99999</v>
      </c>
      <c r="P488" s="148">
        <f>IFERROR(__xludf.DUMMYFUNCTION("""COMPUTED_VALUE"""),99999.0)</f>
        <v>99999</v>
      </c>
      <c r="Q488" s="148" t="str">
        <f>IFERROR(__xludf.DUMMYFUNCTION("""COMPUTED_VALUE"""),"[]")</f>
        <v>[]</v>
      </c>
      <c r="R488" s="148" t="str">
        <f>IFERROR(__xludf.DUMMYFUNCTION("""COMPUTED_VALUE"""),"[]")</f>
        <v>[]</v>
      </c>
      <c r="S488" s="148" t="str">
        <f>IFERROR(__xludf.DUMMYFUNCTION("""COMPUTED_VALUE"""),"{}")</f>
        <v>{}</v>
      </c>
      <c r="T488" s="148">
        <f>IFERROR(__xludf.DUMMYFUNCTION("""COMPUTED_VALUE"""),-1.0)</f>
        <v>-1</v>
      </c>
      <c r="U488" s="148">
        <f>IFERROR(__xludf.DUMMYFUNCTION("""COMPUTED_VALUE"""),1.0)</f>
        <v>1</v>
      </c>
      <c r="V488" s="148" t="str">
        <f>IFERROR(__xludf.DUMMYFUNCTION("""COMPUTED_VALUE"""),"[]")</f>
        <v>[]</v>
      </c>
      <c r="W488" s="148">
        <f>IFERROR(__xludf.DUMMYFUNCTION("""COMPUTED_VALUE"""),1.174E7)</f>
        <v>11740000</v>
      </c>
      <c r="X488" s="148">
        <f>IFERROR(__xludf.DUMMYFUNCTION("""COMPUTED_VALUE"""),0.0)</f>
        <v>0</v>
      </c>
      <c r="Y488" s="148">
        <f>IFERROR(__xludf.DUMMYFUNCTION("""COMPUTED_VALUE"""),0.0)</f>
        <v>0</v>
      </c>
      <c r="Z488" s="148"/>
    </row>
    <row r="489">
      <c r="A489" s="148">
        <f>IFERROR(__xludf.DUMMYFUNCTION("""COMPUTED_VALUE"""),1.1112281E7)</f>
        <v>11112281</v>
      </c>
      <c r="B489" s="148" t="str">
        <f>IFERROR(__xludf.DUMMYFUNCTION("""COMPUTED_VALUE"""),"月球通行证-登月节2024活动GACHA道具")</f>
        <v>月球通行证-登月节2024活动GACHA道具</v>
      </c>
      <c r="C489" s="148"/>
      <c r="D489" s="148" t="str">
        <f>IFERROR(__xludf.DUMMYFUNCTION("""COMPUTED_VALUE"""),"event")</f>
        <v>event</v>
      </c>
      <c r="E489" s="148">
        <f>IFERROR(__xludf.DUMMYFUNCTION("""COMPUTED_VALUE"""),0.0)</f>
        <v>0</v>
      </c>
      <c r="F489" s="148">
        <f>IFERROR(__xludf.DUMMYFUNCTION("""COMPUTED_VALUE"""),405243.0)</f>
        <v>405243</v>
      </c>
      <c r="G489" s="148">
        <f>IFERROR(__xludf.DUMMYFUNCTION("""COMPUTED_VALUE"""),1.5117135E7)</f>
        <v>15117135</v>
      </c>
      <c r="H489" s="148">
        <f>IFERROR(__xludf.DUMMYFUNCTION("""COMPUTED_VALUE"""),1.5112564E7)</f>
        <v>15112564</v>
      </c>
      <c r="I489" s="148" t="str">
        <f>IFERROR(__xludf.DUMMYFUNCTION("""COMPUTED_VALUE"""),"{}")</f>
        <v>{}</v>
      </c>
      <c r="J489" s="148" t="str">
        <f>IFERROR(__xludf.DUMMYFUNCTION("""COMPUTED_VALUE"""),"{""typ"":""lc"",""txt"":""LC_EVENT_2023moon_gacha_item_name_2""}")</f>
        <v>{"typ":"lc","txt":"LC_EVENT_2023moon_gacha_item_name_2"}</v>
      </c>
      <c r="K489" s="148" t="str">
        <f>IFERROR(__xludf.DUMMYFUNCTION("""COMPUTED_VALUE"""),"{""typ"":""lc"",""txt"":""LC_EVENT_2023moon_gacha_item_desc_2""}")</f>
        <v>{"typ":"lc","txt":"LC_EVENT_2023moon_gacha_item_desc_2"}</v>
      </c>
      <c r="L489" s="148" t="str">
        <f>IFERROR(__xludf.DUMMYFUNCTION("""COMPUTED_VALUE"""),"{}")</f>
        <v>{}</v>
      </c>
      <c r="M489" s="148">
        <f>IFERROR(__xludf.DUMMYFUNCTION("""COMPUTED_VALUE"""),700.0)</f>
        <v>700</v>
      </c>
      <c r="N489" s="148">
        <f>IFERROR(__xludf.DUMMYFUNCTION("""COMPUTED_VALUE"""),9.99999999E8)</f>
        <v>999999999</v>
      </c>
      <c r="O489" s="148">
        <f>IFERROR(__xludf.DUMMYFUNCTION("""COMPUTED_VALUE"""),9.99999999E8)</f>
        <v>999999999</v>
      </c>
      <c r="P489" s="148">
        <f>IFERROR(__xludf.DUMMYFUNCTION("""COMPUTED_VALUE"""),9.99999999E8)</f>
        <v>999999999</v>
      </c>
      <c r="Q489" s="148" t="str">
        <f>IFERROR(__xludf.DUMMYFUNCTION("""COMPUTED_VALUE"""),"[""bag_other""]")</f>
        <v>["bag_other"]</v>
      </c>
      <c r="R489" s="148" t="str">
        <f>IFERROR(__xludf.DUMMYFUNCTION("""COMPUTED_VALUE"""),"[""bag""]")</f>
        <v>["bag"]</v>
      </c>
      <c r="S489" s="148" t="str">
        <f>IFERROR(__xludf.DUMMYFUNCTION("""COMPUTED_VALUE"""),"{}")</f>
        <v>{}</v>
      </c>
      <c r="T489" s="148">
        <f>IFERROR(__xludf.DUMMYFUNCTION("""COMPUTED_VALUE"""),1.0)</f>
        <v>1</v>
      </c>
      <c r="U489" s="148">
        <f>IFERROR(__xludf.DUMMYFUNCTION("""COMPUTED_VALUE"""),0.0)</f>
        <v>0</v>
      </c>
      <c r="V489" s="148" t="str">
        <f>IFERROR(__xludf.DUMMYFUNCTION("""COMPUTED_VALUE"""),"[]")</f>
        <v>[]</v>
      </c>
      <c r="W489" s="148">
        <f>IFERROR(__xludf.DUMMYFUNCTION("""COMPUTED_VALUE"""),1.174E7)</f>
        <v>11740000</v>
      </c>
      <c r="X489" s="148">
        <f>IFERROR(__xludf.DUMMYFUNCTION("""COMPUTED_VALUE"""),0.0)</f>
        <v>0</v>
      </c>
      <c r="Y489" s="148">
        <f>IFERROR(__xludf.DUMMYFUNCTION("""COMPUTED_VALUE"""),0.0)</f>
        <v>0</v>
      </c>
      <c r="Z489" s="148"/>
    </row>
    <row r="490">
      <c r="A490" s="148">
        <f>IFERROR(__xludf.DUMMYFUNCTION("""COMPUTED_VALUE"""),1.1112282E7)</f>
        <v>11112282</v>
      </c>
      <c r="B490" s="148" t="str">
        <f>IFERROR(__xludf.DUMMYFUNCTION("""COMPUTED_VALUE"""),"登月节2024gacha专用-增加内圈抽奖次数")</f>
        <v>登月节2024gacha专用-增加内圈抽奖次数</v>
      </c>
      <c r="C490" s="148"/>
      <c r="D490" s="148" t="str">
        <f>IFERROR(__xludf.DUMMYFUNCTION("""COMPUTED_VALUE"""),"event")</f>
        <v>event</v>
      </c>
      <c r="E490" s="148">
        <f>IFERROR(__xludf.DUMMYFUNCTION("""COMPUTED_VALUE"""),0.0)</f>
        <v>0</v>
      </c>
      <c r="F490" s="148">
        <f>IFERROR(__xludf.DUMMYFUNCTION("""COMPUTED_VALUE"""),0.0)</f>
        <v>0</v>
      </c>
      <c r="G490" s="148">
        <f>IFERROR(__xludf.DUMMYFUNCTION("""COMPUTED_VALUE"""),1.51100465E8)</f>
        <v>151100465</v>
      </c>
      <c r="H490" s="148">
        <f>IFERROR(__xludf.DUMMYFUNCTION("""COMPUTED_VALUE"""),1.5112564E7)</f>
        <v>15112564</v>
      </c>
      <c r="I490" s="148" t="str">
        <f>IFERROR(__xludf.DUMMYFUNCTION("""COMPUTED_VALUE"""),"{}")</f>
        <v>{}</v>
      </c>
      <c r="J490" s="148" t="str">
        <f>IFERROR(__xludf.DUMMYFUNCTION("""COMPUTED_VALUE"""),"{""typ"":""lc"",""txt"":""LC_ITEM_2024moon_gacha_item_name_2""}")</f>
        <v>{"typ":"lc","txt":"LC_ITEM_2024moon_gacha_item_name_2"}</v>
      </c>
      <c r="K490" s="148" t="str">
        <f>IFERROR(__xludf.DUMMYFUNCTION("""COMPUTED_VALUE"""),"{""typ"":""lc"",""txt"":""LC_ITEM_2024moon_gacha_item_desc_2""}")</f>
        <v>{"typ":"lc","txt":"LC_ITEM_2024moon_gacha_item_desc_2"}</v>
      </c>
      <c r="L490" s="148" t="str">
        <f>IFERROR(__xludf.DUMMYFUNCTION("""COMPUTED_VALUE"""),"{}")</f>
        <v>{}</v>
      </c>
      <c r="M490" s="148">
        <f>IFERROR(__xludf.DUMMYFUNCTION("""COMPUTED_VALUE"""),700.0)</f>
        <v>700</v>
      </c>
      <c r="N490" s="148">
        <f>IFERROR(__xludf.DUMMYFUNCTION("""COMPUTED_VALUE"""),9.99999999E8)</f>
        <v>999999999</v>
      </c>
      <c r="O490" s="148">
        <f>IFERROR(__xludf.DUMMYFUNCTION("""COMPUTED_VALUE"""),9.99999999E8)</f>
        <v>999999999</v>
      </c>
      <c r="P490" s="148">
        <f>IFERROR(__xludf.DUMMYFUNCTION("""COMPUTED_VALUE"""),9.99999999E8)</f>
        <v>999999999</v>
      </c>
      <c r="Q490" s="148" t="str">
        <f>IFERROR(__xludf.DUMMYFUNCTION("""COMPUTED_VALUE"""),"[]")</f>
        <v>[]</v>
      </c>
      <c r="R490" s="148" t="str">
        <f>IFERROR(__xludf.DUMMYFUNCTION("""COMPUTED_VALUE"""),"[""bag""]")</f>
        <v>["bag"]</v>
      </c>
      <c r="S490" s="148" t="str">
        <f>IFERROR(__xludf.DUMMYFUNCTION("""COMPUTED_VALUE"""),"{}")</f>
        <v>{}</v>
      </c>
      <c r="T490" s="148">
        <f>IFERROR(__xludf.DUMMYFUNCTION("""COMPUTED_VALUE"""),1.0)</f>
        <v>1</v>
      </c>
      <c r="U490" s="148">
        <f>IFERROR(__xludf.DUMMYFUNCTION("""COMPUTED_VALUE"""),0.0)</f>
        <v>0</v>
      </c>
      <c r="V490" s="148" t="str">
        <f>IFERROR(__xludf.DUMMYFUNCTION("""COMPUTED_VALUE"""),"[]")</f>
        <v>[]</v>
      </c>
      <c r="W490" s="148">
        <f>IFERROR(__xludf.DUMMYFUNCTION("""COMPUTED_VALUE"""),1.174E7)</f>
        <v>11740000</v>
      </c>
      <c r="X490" s="148">
        <f>IFERROR(__xludf.DUMMYFUNCTION("""COMPUTED_VALUE"""),0.0)</f>
        <v>0</v>
      </c>
      <c r="Y490" s="148">
        <f>IFERROR(__xludf.DUMMYFUNCTION("""COMPUTED_VALUE"""),0.0)</f>
        <v>0</v>
      </c>
      <c r="Z490" s="148"/>
    </row>
    <row r="491">
      <c r="A491" s="148">
        <f>IFERROR(__xludf.DUMMYFUNCTION("""COMPUTED_VALUE"""),1.1112283E7)</f>
        <v>11112283</v>
      </c>
      <c r="B491" s="148" t="str">
        <f>IFERROR(__xludf.DUMMYFUNCTION("""COMPUTED_VALUE"""),"主城皮肤-登月节高级皮肤2024-14天")</f>
        <v>主城皮肤-登月节高级皮肤2024-14天</v>
      </c>
      <c r="C491" s="148"/>
      <c r="D491" s="148" t="str">
        <f>IFERROR(__xludf.DUMMYFUNCTION("""COMPUTED_VALUE"""),"city_skin")</f>
        <v>city_skin</v>
      </c>
      <c r="E491" s="148">
        <f>IFERROR(__xludf.DUMMYFUNCTION("""COMPUTED_VALUE"""),21.0)</f>
        <v>21</v>
      </c>
      <c r="F491" s="148">
        <f>IFERROR(__xludf.DUMMYFUNCTION("""COMPUTED_VALUE"""),400106.0)</f>
        <v>400106</v>
      </c>
      <c r="G491" s="148">
        <f>IFERROR(__xludf.DUMMYFUNCTION("""COMPUTED_VALUE"""),1.51100438E8)</f>
        <v>151100438</v>
      </c>
      <c r="H491" s="148">
        <f>IFERROR(__xludf.DUMMYFUNCTION("""COMPUTED_VALUE"""),1.5112564E7)</f>
        <v>15112564</v>
      </c>
      <c r="I491" s="148" t="str">
        <f>IFERROR(__xludf.DUMMYFUNCTION("""COMPUTED_VALUE"""),"{""typ"":""lc"",""txt"":""LC_ITEM_time_day_upper_show"",""args"":[{""typ"":""int"",""val"":14}]}")</f>
        <v>{"typ":"lc","txt":"LC_ITEM_time_day_upper_show","args":[{"typ":"int","val":14}]}</v>
      </c>
      <c r="J491" s="148" t="str">
        <f>IFERROR(__xludf.DUMMYFUNCTION("""COMPUTED_VALUE"""),"{""typ"":""lc"",""txt"":""LC_ITEM_2024moon_highcity_skin_title_14day""}")</f>
        <v>{"typ":"lc","txt":"LC_ITEM_2024moon_highcity_skin_title_14day"}</v>
      </c>
      <c r="K491" s="148" t="str">
        <f>IFERROR(__xludf.DUMMYFUNCTION("""COMPUTED_VALUE"""),"{""typ"":""lc"",""txt"":""LC_ITEM_2024moon_highskin_desc_14days""}")</f>
        <v>{"typ":"lc","txt":"LC_ITEM_2024moon_highskin_desc_14days"}</v>
      </c>
      <c r="L491" s="148" t="str">
        <f>IFERROR(__xludf.DUMMYFUNCTION("""COMPUTED_VALUE"""),"{""typ"":""lc"",""txt"":""LC_ITEM_city_skin_rocket_use_tips""}")</f>
        <v>{"typ":"lc","txt":"LC_ITEM_city_skin_rocket_use_tips"}</v>
      </c>
      <c r="M491" s="148">
        <f>IFERROR(__xludf.DUMMYFUNCTION("""COMPUTED_VALUE"""),10000.0)</f>
        <v>10000</v>
      </c>
      <c r="N491" s="148">
        <f>IFERROR(__xludf.DUMMYFUNCTION("""COMPUTED_VALUE"""),999.0)</f>
        <v>999</v>
      </c>
      <c r="O491" s="148">
        <f>IFERROR(__xludf.DUMMYFUNCTION("""COMPUTED_VALUE"""),1.0)</f>
        <v>1</v>
      </c>
      <c r="P491" s="148">
        <f>IFERROR(__xludf.DUMMYFUNCTION("""COMPUTED_VALUE"""),1.0)</f>
        <v>1</v>
      </c>
      <c r="Q491" s="148" t="str">
        <f>IFERROR(__xludf.DUMMYFUNCTION("""COMPUTED_VALUE"""),"[""bag_other""]")</f>
        <v>["bag_other"]</v>
      </c>
      <c r="R491" s="148" t="str">
        <f>IFERROR(__xludf.DUMMYFUNCTION("""COMPUTED_VALUE"""),"[""bag"",""13121047""]")</f>
        <v>["bag","13121047"]</v>
      </c>
      <c r="S491" s="148" t="str">
        <f>IFERROR(__xludf.DUMMYFUNCTION("""COMPUTED_VALUE"""),"{""effect"":[{""typ"":""city_skin"",""id"":13121047,""val"":1209600000},{""typ"":""item"",""id"":11111021,""val"":7}]}")</f>
        <v>{"effect":[{"typ":"city_skin","id":13121047,"val":1209600000},{"typ":"item","id":11111021,"val":7}]}</v>
      </c>
      <c r="T491" s="148">
        <f>IFERROR(__xludf.DUMMYFUNCTION("""COMPUTED_VALUE"""),-1.0)</f>
        <v>-1</v>
      </c>
      <c r="U491" s="148">
        <f>IFERROR(__xludf.DUMMYFUNCTION("""COMPUTED_VALUE"""),0.0)</f>
        <v>0</v>
      </c>
      <c r="V491" s="148" t="str">
        <f>IFERROR(__xludf.DUMMYFUNCTION("""COMPUTED_VALUE"""),"[]")</f>
        <v>[]</v>
      </c>
      <c r="W491" s="148">
        <f>IFERROR(__xludf.DUMMYFUNCTION("""COMPUTED_VALUE"""),1.174E7)</f>
        <v>11740000</v>
      </c>
      <c r="X491" s="148">
        <f>IFERROR(__xludf.DUMMYFUNCTION("""COMPUTED_VALUE"""),0.0)</f>
        <v>0</v>
      </c>
      <c r="Y491" s="148">
        <f>IFERROR(__xludf.DUMMYFUNCTION("""COMPUTED_VALUE"""),0.0)</f>
        <v>0</v>
      </c>
      <c r="Z491" s="148"/>
    </row>
    <row r="492">
      <c r="A492" s="148">
        <f>IFERROR(__xludf.DUMMYFUNCTION("""COMPUTED_VALUE"""),1.1112284E7)</f>
        <v>11112284</v>
      </c>
      <c r="B492" s="148" t="str">
        <f>IFERROR(__xludf.DUMMYFUNCTION("""COMPUTED_VALUE"""),"主城皮肤-登月节高级皮肤2024-7天")</f>
        <v>主城皮肤-登月节高级皮肤2024-7天</v>
      </c>
      <c r="C492" s="148"/>
      <c r="D492" s="148" t="str">
        <f>IFERROR(__xludf.DUMMYFUNCTION("""COMPUTED_VALUE"""),"city_skin")</f>
        <v>city_skin</v>
      </c>
      <c r="E492" s="148">
        <f>IFERROR(__xludf.DUMMYFUNCTION("""COMPUTED_VALUE"""),21.0)</f>
        <v>21</v>
      </c>
      <c r="F492" s="148">
        <f>IFERROR(__xludf.DUMMYFUNCTION("""COMPUTED_VALUE"""),400106.0)</f>
        <v>400106</v>
      </c>
      <c r="G492" s="148">
        <f>IFERROR(__xludf.DUMMYFUNCTION("""COMPUTED_VALUE"""),1.51100438E8)</f>
        <v>151100438</v>
      </c>
      <c r="H492" s="148">
        <f>IFERROR(__xludf.DUMMYFUNCTION("""COMPUTED_VALUE"""),1.5112564E7)</f>
        <v>15112564</v>
      </c>
      <c r="I492" s="148" t="str">
        <f>IFERROR(__xludf.DUMMYFUNCTION("""COMPUTED_VALUE"""),"{""typ"":""lc"",""txt"":""LC_ITEM_time_day_upper_show"",""args"":[{""typ"":""int"",""val"":7}]}")</f>
        <v>{"typ":"lc","txt":"LC_ITEM_time_day_upper_show","args":[{"typ":"int","val":7}]}</v>
      </c>
      <c r="J492" s="148" t="str">
        <f>IFERROR(__xludf.DUMMYFUNCTION("""COMPUTED_VALUE"""),"{""typ"":""lc"",""txt"":""LC_ITEM_2024moon_highcity_skin_title_7day""}")</f>
        <v>{"typ":"lc","txt":"LC_ITEM_2024moon_highcity_skin_title_7day"}</v>
      </c>
      <c r="K492" s="148" t="str">
        <f>IFERROR(__xludf.DUMMYFUNCTION("""COMPUTED_VALUE"""),"{""typ"":""lc"",""txt"":""LC_ITEM_2024moon_highskin_desc_7days""}")</f>
        <v>{"typ":"lc","txt":"LC_ITEM_2024moon_highskin_desc_7days"}</v>
      </c>
      <c r="L492" s="148" t="str">
        <f>IFERROR(__xludf.DUMMYFUNCTION("""COMPUTED_VALUE"""),"{""typ"":""lc"",""txt"":""LC_ITEM_city_skin_rocket_use_tips""}")</f>
        <v>{"typ":"lc","txt":"LC_ITEM_city_skin_rocket_use_tips"}</v>
      </c>
      <c r="M492" s="148">
        <f>IFERROR(__xludf.DUMMYFUNCTION("""COMPUTED_VALUE"""),10000.0)</f>
        <v>10000</v>
      </c>
      <c r="N492" s="148">
        <f>IFERROR(__xludf.DUMMYFUNCTION("""COMPUTED_VALUE"""),999.0)</f>
        <v>999</v>
      </c>
      <c r="O492" s="148">
        <f>IFERROR(__xludf.DUMMYFUNCTION("""COMPUTED_VALUE"""),1.0)</f>
        <v>1</v>
      </c>
      <c r="P492" s="148">
        <f>IFERROR(__xludf.DUMMYFUNCTION("""COMPUTED_VALUE"""),1.0)</f>
        <v>1</v>
      </c>
      <c r="Q492" s="148" t="str">
        <f>IFERROR(__xludf.DUMMYFUNCTION("""COMPUTED_VALUE"""),"[""bag_other""]")</f>
        <v>["bag_other"]</v>
      </c>
      <c r="R492" s="148" t="str">
        <f>IFERROR(__xludf.DUMMYFUNCTION("""COMPUTED_VALUE"""),"[""bag"",""13121047""]")</f>
        <v>["bag","13121047"]</v>
      </c>
      <c r="S492" s="148" t="str">
        <f>IFERROR(__xludf.DUMMYFUNCTION("""COMPUTED_VALUE"""),"{""effect"":[{""typ"":""city_skin"",""id"":13121047,""val"":604800000},{""typ"":""item"",""id"":11111021,""val"":3}]}")</f>
        <v>{"effect":[{"typ":"city_skin","id":13121047,"val":604800000},{"typ":"item","id":11111021,"val":3}]}</v>
      </c>
      <c r="T492" s="148">
        <f>IFERROR(__xludf.DUMMYFUNCTION("""COMPUTED_VALUE"""),-1.0)</f>
        <v>-1</v>
      </c>
      <c r="U492" s="148">
        <f>IFERROR(__xludf.DUMMYFUNCTION("""COMPUTED_VALUE"""),0.0)</f>
        <v>0</v>
      </c>
      <c r="V492" s="148" t="str">
        <f>IFERROR(__xludf.DUMMYFUNCTION("""COMPUTED_VALUE"""),"[]")</f>
        <v>[]</v>
      </c>
      <c r="W492" s="148">
        <f>IFERROR(__xludf.DUMMYFUNCTION("""COMPUTED_VALUE"""),1.174E7)</f>
        <v>11740000</v>
      </c>
      <c r="X492" s="148">
        <f>IFERROR(__xludf.DUMMYFUNCTION("""COMPUTED_VALUE"""),0.0)</f>
        <v>0</v>
      </c>
      <c r="Y492" s="148">
        <f>IFERROR(__xludf.DUMMYFUNCTION("""COMPUTED_VALUE"""),0.0)</f>
        <v>0</v>
      </c>
      <c r="Z492" s="148"/>
    </row>
    <row r="493">
      <c r="A493" s="148">
        <f>IFERROR(__xludf.DUMMYFUNCTION("""COMPUTED_VALUE"""),1.1112285E7)</f>
        <v>11112285</v>
      </c>
      <c r="B493" s="148" t="str">
        <f>IFERROR(__xludf.DUMMYFUNCTION("""COMPUTED_VALUE"""),"主城皮肤-登月节高级皮肤2024")</f>
        <v>主城皮肤-登月节高级皮肤2024</v>
      </c>
      <c r="C493" s="148"/>
      <c r="D493" s="148" t="str">
        <f>IFERROR(__xludf.DUMMYFUNCTION("""COMPUTED_VALUE"""),"city_skin")</f>
        <v>city_skin</v>
      </c>
      <c r="E493" s="148">
        <f>IFERROR(__xludf.DUMMYFUNCTION("""COMPUTED_VALUE"""),21.0)</f>
        <v>21</v>
      </c>
      <c r="F493" s="148">
        <f>IFERROR(__xludf.DUMMYFUNCTION("""COMPUTED_VALUE"""),400106.0)</f>
        <v>400106</v>
      </c>
      <c r="G493" s="148">
        <f>IFERROR(__xludf.DUMMYFUNCTION("""COMPUTED_VALUE"""),1.51100438E8)</f>
        <v>151100438</v>
      </c>
      <c r="H493" s="148">
        <f>IFERROR(__xludf.DUMMYFUNCTION("""COMPUTED_VALUE"""),1.5112564E7)</f>
        <v>15112564</v>
      </c>
      <c r="I493" s="148" t="str">
        <f>IFERROR(__xludf.DUMMYFUNCTION("""COMPUTED_VALUE"""),"{}")</f>
        <v>{}</v>
      </c>
      <c r="J493" s="148" t="str">
        <f>IFERROR(__xludf.DUMMYFUNCTION("""COMPUTED_VALUE"""),"{""typ"":""lc"",""txt"":""LC_ITEM_2024moon_highcity_skin_title""}")</f>
        <v>{"typ":"lc","txt":"LC_ITEM_2024moon_highcity_skin_title"}</v>
      </c>
      <c r="K493" s="148" t="str">
        <f>IFERROR(__xludf.DUMMYFUNCTION("""COMPUTED_VALUE"""),"{""typ"":""lc"",""txt"":""LC_ITEM_2024moon_highskin_desc_forever""}")</f>
        <v>{"typ":"lc","txt":"LC_ITEM_2024moon_highskin_desc_forever"}</v>
      </c>
      <c r="L493" s="148" t="str">
        <f>IFERROR(__xludf.DUMMYFUNCTION("""COMPUTED_VALUE"""),"{""typ"":""lc"",""txt"":""LC_ITEM_city_skin_rocket_use_tips""}")</f>
        <v>{"typ":"lc","txt":"LC_ITEM_city_skin_rocket_use_tips"}</v>
      </c>
      <c r="M493" s="148">
        <f>IFERROR(__xludf.DUMMYFUNCTION("""COMPUTED_VALUE"""),10000.0)</f>
        <v>10000</v>
      </c>
      <c r="N493" s="148">
        <f>IFERROR(__xludf.DUMMYFUNCTION("""COMPUTED_VALUE"""),999.0)</f>
        <v>999</v>
      </c>
      <c r="O493" s="148">
        <f>IFERROR(__xludf.DUMMYFUNCTION("""COMPUTED_VALUE"""),1.0)</f>
        <v>1</v>
      </c>
      <c r="P493" s="148">
        <f>IFERROR(__xludf.DUMMYFUNCTION("""COMPUTED_VALUE"""),1.0)</f>
        <v>1</v>
      </c>
      <c r="Q493" s="148" t="str">
        <f>IFERROR(__xludf.DUMMYFUNCTION("""COMPUTED_VALUE"""),"[""bag_other""]")</f>
        <v>["bag_other"]</v>
      </c>
      <c r="R493" s="148" t="str">
        <f>IFERROR(__xludf.DUMMYFUNCTION("""COMPUTED_VALUE"""),"[""bag"",""13121047""]")</f>
        <v>["bag","13121047"]</v>
      </c>
      <c r="S493" s="148" t="str">
        <f>IFERROR(__xludf.DUMMYFUNCTION("""COMPUTED_VALUE"""),"{""effect"":[{""typ"":""city_skin"",""id"":13121047,""val"":-1},{""typ"":""item"",""id"":11111034,""val"":10}]}")</f>
        <v>{"effect":[{"typ":"city_skin","id":13121047,"val":-1},{"typ":"item","id":11111034,"val":10}]}</v>
      </c>
      <c r="T493" s="148">
        <f>IFERROR(__xludf.DUMMYFUNCTION("""COMPUTED_VALUE"""),-1.0)</f>
        <v>-1</v>
      </c>
      <c r="U493" s="148">
        <f>IFERROR(__xludf.DUMMYFUNCTION("""COMPUTED_VALUE"""),0.0)</f>
        <v>0</v>
      </c>
      <c r="V493" s="148" t="str">
        <f>IFERROR(__xludf.DUMMYFUNCTION("""COMPUTED_VALUE"""),"[]")</f>
        <v>[]</v>
      </c>
      <c r="W493" s="148">
        <f>IFERROR(__xludf.DUMMYFUNCTION("""COMPUTED_VALUE"""),1.174E7)</f>
        <v>11740000</v>
      </c>
      <c r="X493" s="148">
        <f>IFERROR(__xludf.DUMMYFUNCTION("""COMPUTED_VALUE"""),0.0)</f>
        <v>0</v>
      </c>
      <c r="Y493" s="148">
        <f>IFERROR(__xludf.DUMMYFUNCTION("""COMPUTED_VALUE"""),0.0)</f>
        <v>0</v>
      </c>
      <c r="Z493" s="148"/>
    </row>
    <row r="494">
      <c r="A494" s="148">
        <f>IFERROR(__xludf.DUMMYFUNCTION("""COMPUTED_VALUE"""),1.1112286E7)</f>
        <v>11112286</v>
      </c>
      <c r="B494" s="148" t="str">
        <f>IFERROR(__xludf.DUMMYFUNCTION("""COMPUTED_VALUE"""),"主城皮肤-登月节2024")</f>
        <v>主城皮肤-登月节2024</v>
      </c>
      <c r="C494" s="148"/>
      <c r="D494" s="148" t="str">
        <f>IFERROR(__xludf.DUMMYFUNCTION("""COMPUTED_VALUE"""),"city_skin")</f>
        <v>city_skin</v>
      </c>
      <c r="E494" s="148">
        <f>IFERROR(__xludf.DUMMYFUNCTION("""COMPUTED_VALUE"""),21.0)</f>
        <v>21</v>
      </c>
      <c r="F494" s="148">
        <f>IFERROR(__xludf.DUMMYFUNCTION("""COMPUTED_VALUE"""),1.0)</f>
        <v>1</v>
      </c>
      <c r="G494" s="148">
        <f>IFERROR(__xludf.DUMMYFUNCTION("""COMPUTED_VALUE"""),1.51100437E8)</f>
        <v>151100437</v>
      </c>
      <c r="H494" s="148">
        <f>IFERROR(__xludf.DUMMYFUNCTION("""COMPUTED_VALUE"""),1.5112564E7)</f>
        <v>15112564</v>
      </c>
      <c r="I494" s="148" t="str">
        <f>IFERROR(__xludf.DUMMYFUNCTION("""COMPUTED_VALUE"""),"{}")</f>
        <v>{}</v>
      </c>
      <c r="J494" s="148" t="str">
        <f>IFERROR(__xludf.DUMMYFUNCTION("""COMPUTED_VALUE"""),"{""typ"":""lc"",""txt"":""LC_ITEM_2024moon_lowcity_skin_title""}")</f>
        <v>{"typ":"lc","txt":"LC_ITEM_2024moon_lowcity_skin_title"}</v>
      </c>
      <c r="K494" s="148" t="str">
        <f>IFERROR(__xludf.DUMMYFUNCTION("""COMPUTED_VALUE"""),"{""typ"":""lc"",""txt"":""LC_ITEM_2024moon_lowcity_skin_desc_forever""}")</f>
        <v>{"typ":"lc","txt":"LC_ITEM_2024moon_lowcity_skin_desc_forever"}</v>
      </c>
      <c r="L494" s="148" t="str">
        <f>IFERROR(__xludf.DUMMYFUNCTION("""COMPUTED_VALUE"""),"{""typ"":""lc"",""txt"":""LC_ITEM_city_skin_rocket_use_tips""}")</f>
        <v>{"typ":"lc","txt":"LC_ITEM_city_skin_rocket_use_tips"}</v>
      </c>
      <c r="M494" s="148">
        <f>IFERROR(__xludf.DUMMYFUNCTION("""COMPUTED_VALUE"""),10000.0)</f>
        <v>10000</v>
      </c>
      <c r="N494" s="148">
        <f>IFERROR(__xludf.DUMMYFUNCTION("""COMPUTED_VALUE"""),999.0)</f>
        <v>999</v>
      </c>
      <c r="O494" s="148">
        <f>IFERROR(__xludf.DUMMYFUNCTION("""COMPUTED_VALUE"""),1.0)</f>
        <v>1</v>
      </c>
      <c r="P494" s="148">
        <f>IFERROR(__xludf.DUMMYFUNCTION("""COMPUTED_VALUE"""),1.0)</f>
        <v>1</v>
      </c>
      <c r="Q494" s="148" t="str">
        <f>IFERROR(__xludf.DUMMYFUNCTION("""COMPUTED_VALUE"""),"[""bag_other""]")</f>
        <v>["bag_other"]</v>
      </c>
      <c r="R494" s="148" t="str">
        <f>IFERROR(__xludf.DUMMYFUNCTION("""COMPUTED_VALUE"""),"[""bag"",""13121046""]")</f>
        <v>["bag","13121046"]</v>
      </c>
      <c r="S494" s="148" t="str">
        <f>IFERROR(__xludf.DUMMYFUNCTION("""COMPUTED_VALUE"""),"{""effect"":[{""typ"":""city_skin"",""id"":13121046,""val"":-1},{""typ"":""item"",""id"":11111034,""val"":10}]}")</f>
        <v>{"effect":[{"typ":"city_skin","id":13121046,"val":-1},{"typ":"item","id":11111034,"val":10}]}</v>
      </c>
      <c r="T494" s="148">
        <f>IFERROR(__xludf.DUMMYFUNCTION("""COMPUTED_VALUE"""),-1.0)</f>
        <v>-1</v>
      </c>
      <c r="U494" s="148">
        <f>IFERROR(__xludf.DUMMYFUNCTION("""COMPUTED_VALUE"""),0.0)</f>
        <v>0</v>
      </c>
      <c r="V494" s="148" t="str">
        <f>IFERROR(__xludf.DUMMYFUNCTION("""COMPUTED_VALUE"""),"[]")</f>
        <v>[]</v>
      </c>
      <c r="W494" s="148">
        <f>IFERROR(__xludf.DUMMYFUNCTION("""COMPUTED_VALUE"""),1.174E7)</f>
        <v>11740000</v>
      </c>
      <c r="X494" s="148">
        <f>IFERROR(__xludf.DUMMYFUNCTION("""COMPUTED_VALUE"""),0.0)</f>
        <v>0</v>
      </c>
      <c r="Y494" s="148">
        <f>IFERROR(__xludf.DUMMYFUNCTION("""COMPUTED_VALUE"""),0.0)</f>
        <v>0</v>
      </c>
      <c r="Z494" s="148"/>
    </row>
    <row r="495">
      <c r="A495" s="148">
        <f>IFERROR(__xludf.DUMMYFUNCTION("""COMPUTED_VALUE"""),1.1112287E7)</f>
        <v>11112287</v>
      </c>
      <c r="B495" s="148" t="str">
        <f>IFERROR(__xludf.DUMMYFUNCTION("""COMPUTED_VALUE"""),"主城皮肤-登月节2024（2天）")</f>
        <v>主城皮肤-登月节2024（2天）</v>
      </c>
      <c r="C495" s="148"/>
      <c r="D495" s="148" t="str">
        <f>IFERROR(__xludf.DUMMYFUNCTION("""COMPUTED_VALUE"""),"city_skin")</f>
        <v>city_skin</v>
      </c>
      <c r="E495" s="148">
        <f>IFERROR(__xludf.DUMMYFUNCTION("""COMPUTED_VALUE"""),21.0)</f>
        <v>21</v>
      </c>
      <c r="F495" s="148">
        <f>IFERROR(__xludf.DUMMYFUNCTION("""COMPUTED_VALUE"""),404201.0)</f>
        <v>404201</v>
      </c>
      <c r="G495" s="148">
        <f>IFERROR(__xludf.DUMMYFUNCTION("""COMPUTED_VALUE"""),1.51100437E8)</f>
        <v>151100437</v>
      </c>
      <c r="H495" s="148">
        <f>IFERROR(__xludf.DUMMYFUNCTION("""COMPUTED_VALUE"""),1.5112563E7)</f>
        <v>15112563</v>
      </c>
      <c r="I495" s="148" t="str">
        <f>IFERROR(__xludf.DUMMYFUNCTION("""COMPUTED_VALUE"""),"{""typ"":""lc"",""txt"":""LC_ITEM_time_day_upper_show"",""args"":[{""typ"":""int"",""val"":2}]}")</f>
        <v>{"typ":"lc","txt":"LC_ITEM_time_day_upper_show","args":[{"typ":"int","val":2}]}</v>
      </c>
      <c r="J495" s="148" t="str">
        <f>IFERROR(__xludf.DUMMYFUNCTION("""COMPUTED_VALUE"""),"{""typ"":""lc"",""txt"":""LC_ITEM_2024moon_lowcity_skin_title_2day""}")</f>
        <v>{"typ":"lc","txt":"LC_ITEM_2024moon_lowcity_skin_title_2day"}</v>
      </c>
      <c r="K495" s="148" t="str">
        <f>IFERROR(__xludf.DUMMYFUNCTION("""COMPUTED_VALUE"""),"{""typ"":""lc"",""txt"":""LC_ITEM_2024moon_lowcity_skin_desc_2day""}")</f>
        <v>{"typ":"lc","txt":"LC_ITEM_2024moon_lowcity_skin_desc_2day"}</v>
      </c>
      <c r="L495" s="148" t="str">
        <f>IFERROR(__xludf.DUMMYFUNCTION("""COMPUTED_VALUE"""),"{""typ"":""lc"",""txt"":""LC_ITEM_city_skin_rocket_use_tips""}")</f>
        <v>{"typ":"lc","txt":"LC_ITEM_city_skin_rocket_use_tips"}</v>
      </c>
      <c r="M495" s="148">
        <f>IFERROR(__xludf.DUMMYFUNCTION("""COMPUTED_VALUE"""),500.0)</f>
        <v>500</v>
      </c>
      <c r="N495" s="148">
        <f>IFERROR(__xludf.DUMMYFUNCTION("""COMPUTED_VALUE"""),999.0)</f>
        <v>999</v>
      </c>
      <c r="O495" s="148">
        <f>IFERROR(__xludf.DUMMYFUNCTION("""COMPUTED_VALUE"""),1.0)</f>
        <v>1</v>
      </c>
      <c r="P495" s="148">
        <f>IFERROR(__xludf.DUMMYFUNCTION("""COMPUTED_VALUE"""),1.0)</f>
        <v>1</v>
      </c>
      <c r="Q495" s="148" t="str">
        <f>IFERROR(__xludf.DUMMYFUNCTION("""COMPUTED_VALUE"""),"[""bag_other""]")</f>
        <v>["bag_other"]</v>
      </c>
      <c r="R495" s="148" t="str">
        <f>IFERROR(__xludf.DUMMYFUNCTION("""COMPUTED_VALUE"""),"[""bag"",""13121046""]")</f>
        <v>["bag","13121046"]</v>
      </c>
      <c r="S495" s="148" t="str">
        <f>IFERROR(__xludf.DUMMYFUNCTION("""COMPUTED_VALUE"""),"{""effect"":[{""typ"":""city_skin"",""id"":13121046,""val"":172800000},{""typ"":""item"",""id"":11111021,""val"":1}]}")</f>
        <v>{"effect":[{"typ":"city_skin","id":13121046,"val":172800000},{"typ":"item","id":11111021,"val":1}]}</v>
      </c>
      <c r="T495" s="148">
        <f>IFERROR(__xludf.DUMMYFUNCTION("""COMPUTED_VALUE"""),-1.0)</f>
        <v>-1</v>
      </c>
      <c r="U495" s="148">
        <f>IFERROR(__xludf.DUMMYFUNCTION("""COMPUTED_VALUE"""),0.0)</f>
        <v>0</v>
      </c>
      <c r="V495" s="148" t="str">
        <f>IFERROR(__xludf.DUMMYFUNCTION("""COMPUTED_VALUE"""),"[]")</f>
        <v>[]</v>
      </c>
      <c r="W495" s="148">
        <f>IFERROR(__xludf.DUMMYFUNCTION("""COMPUTED_VALUE"""),1.174E7)</f>
        <v>11740000</v>
      </c>
      <c r="X495" s="148">
        <f>IFERROR(__xludf.DUMMYFUNCTION("""COMPUTED_VALUE"""),0.0)</f>
        <v>0</v>
      </c>
      <c r="Y495" s="148">
        <f>IFERROR(__xludf.DUMMYFUNCTION("""COMPUTED_VALUE"""),0.0)</f>
        <v>0</v>
      </c>
      <c r="Z495" s="148"/>
    </row>
    <row r="496">
      <c r="A496" s="148">
        <f>IFERROR(__xludf.DUMMYFUNCTION("""COMPUTED_VALUE"""),1.1112288E7)</f>
        <v>11112288</v>
      </c>
      <c r="B496" s="148" t="str">
        <f>IFERROR(__xludf.DUMMYFUNCTION("""COMPUTED_VALUE"""),"登月节2024-装饰升级版本")</f>
        <v>登月节2024-装饰升级版本</v>
      </c>
      <c r="C496" s="148"/>
      <c r="D496" s="148" t="str">
        <f>IFERROR(__xludf.DUMMYFUNCTION("""COMPUTED_VALUE"""),"statue_decorate")</f>
        <v>statue_decorate</v>
      </c>
      <c r="E496" s="148">
        <f>IFERROR(__xludf.DUMMYFUNCTION("""COMPUTED_VALUE"""),23.0)</f>
        <v>23</v>
      </c>
      <c r="F496" s="148">
        <f>IFERROR(__xludf.DUMMYFUNCTION("""COMPUTED_VALUE"""),0.0)</f>
        <v>0</v>
      </c>
      <c r="G496" s="148">
        <f>IFERROR(__xludf.DUMMYFUNCTION("""COMPUTED_VALUE"""),1.51100444E8)</f>
        <v>151100444</v>
      </c>
      <c r="H496" s="148">
        <f>IFERROR(__xludf.DUMMYFUNCTION("""COMPUTED_VALUE"""),1.5112564E7)</f>
        <v>15112564</v>
      </c>
      <c r="I496" s="148" t="str">
        <f>IFERROR(__xludf.DUMMYFUNCTION("""COMPUTED_VALUE"""),"{}")</f>
        <v>{}</v>
      </c>
      <c r="J496" s="148" t="str">
        <f>IFERROR(__xludf.DUMMYFUNCTION("""COMPUTED_VALUE"""),"{""typ"":""lc"",""txt"":""LC_ITEM_2024moon_dec_item_2""}")</f>
        <v>{"typ":"lc","txt":"LC_ITEM_2024moon_dec_item_2"}</v>
      </c>
      <c r="K496" s="148" t="str">
        <f>IFERROR(__xludf.DUMMYFUNCTION("""COMPUTED_VALUE"""),"{""typ"":""lc"",""txt"":""LC_ITEM_2024moon_dec_item_3_desc""}")</f>
        <v>{"typ":"lc","txt":"LC_ITEM_2024moon_dec_item_3_desc"}</v>
      </c>
      <c r="L496" s="148" t="str">
        <f>IFERROR(__xludf.DUMMYFUNCTION("""COMPUTED_VALUE"""),"{}")</f>
        <v>{}</v>
      </c>
      <c r="M496" s="148">
        <f>IFERROR(__xludf.DUMMYFUNCTION("""COMPUTED_VALUE"""),5000.0)</f>
        <v>5000</v>
      </c>
      <c r="N496" s="148">
        <f>IFERROR(__xludf.DUMMYFUNCTION("""COMPUTED_VALUE"""),999.0)</f>
        <v>999</v>
      </c>
      <c r="O496" s="148">
        <f>IFERROR(__xludf.DUMMYFUNCTION("""COMPUTED_VALUE"""),99999.0)</f>
        <v>99999</v>
      </c>
      <c r="P496" s="148">
        <f>IFERROR(__xludf.DUMMYFUNCTION("""COMPUTED_VALUE"""),99999.0)</f>
        <v>99999</v>
      </c>
      <c r="Q496" s="148" t="str">
        <f>IFERROR(__xludf.DUMMYFUNCTION("""COMPUTED_VALUE"""),"[]")</f>
        <v>[]</v>
      </c>
      <c r="R496" s="148" t="str">
        <f>IFERROR(__xludf.DUMMYFUNCTION("""COMPUTED_VALUE"""),"[""bag""]")</f>
        <v>["bag"]</v>
      </c>
      <c r="S496" s="148" t="str">
        <f>IFERROR(__xludf.DUMMYFUNCTION("""COMPUTED_VALUE"""),"{""effect"":[{""typ"":""holiday_statue"",""id"":21481901},{""typ"":""item"",""id"":11112289,""val"":1}]}")</f>
        <v>{"effect":[{"typ":"holiday_statue","id":21481901},{"typ":"item","id":11112289,"val":1}]}</v>
      </c>
      <c r="T496" s="148">
        <f>IFERROR(__xludf.DUMMYFUNCTION("""COMPUTED_VALUE"""),-1.0)</f>
        <v>-1</v>
      </c>
      <c r="U496" s="148">
        <f>IFERROR(__xludf.DUMMYFUNCTION("""COMPUTED_VALUE"""),1.0)</f>
        <v>1</v>
      </c>
      <c r="V496" s="148" t="str">
        <f>IFERROR(__xludf.DUMMYFUNCTION("""COMPUTED_VALUE"""),"[]")</f>
        <v>[]</v>
      </c>
      <c r="W496" s="148">
        <f>IFERROR(__xludf.DUMMYFUNCTION("""COMPUTED_VALUE"""),1.174E7)</f>
        <v>11740000</v>
      </c>
      <c r="X496" s="148">
        <f>IFERROR(__xludf.DUMMYFUNCTION("""COMPUTED_VALUE"""),0.0)</f>
        <v>0</v>
      </c>
      <c r="Y496" s="148">
        <f>IFERROR(__xludf.DUMMYFUNCTION("""COMPUTED_VALUE"""),0.0)</f>
        <v>0</v>
      </c>
      <c r="Z496" s="148"/>
    </row>
    <row r="497">
      <c r="A497" s="148">
        <f>IFERROR(__xludf.DUMMYFUNCTION("""COMPUTED_VALUE"""),1.1112289E7)</f>
        <v>11112289</v>
      </c>
      <c r="B497" s="148" t="str">
        <f>IFERROR(__xludf.DUMMYFUNCTION("""COMPUTED_VALUE"""),"登月节2024-装饰升级道具")</f>
        <v>登月节2024-装饰升级道具</v>
      </c>
      <c r="C497" s="148"/>
      <c r="D497" s="148" t="str">
        <f>IFERROR(__xludf.DUMMYFUNCTION("""COMPUTED_VALUE"""),"event")</f>
        <v>event</v>
      </c>
      <c r="E497" s="148">
        <f>IFERROR(__xludf.DUMMYFUNCTION("""COMPUTED_VALUE"""),0.0)</f>
        <v>0</v>
      </c>
      <c r="F497" s="148">
        <f>IFERROR(__xludf.DUMMYFUNCTION("""COMPUTED_VALUE"""),405243.0)</f>
        <v>405243</v>
      </c>
      <c r="G497" s="148">
        <f>IFERROR(__xludf.DUMMYFUNCTION("""COMPUTED_VALUE"""),1.51100444E8)</f>
        <v>151100444</v>
      </c>
      <c r="H497" s="148">
        <f>IFERROR(__xludf.DUMMYFUNCTION("""COMPUTED_VALUE"""),1.5112564E7)</f>
        <v>15112564</v>
      </c>
      <c r="I497" s="148" t="str">
        <f>IFERROR(__xludf.DUMMYFUNCTION("""COMPUTED_VALUE"""),"{}")</f>
        <v>{}</v>
      </c>
      <c r="J497" s="148" t="str">
        <f>IFERROR(__xludf.DUMMYFUNCTION("""COMPUTED_VALUE"""),"{""typ"":""lc"",""txt"":""LC_ITEM_2024moon_dec_item_2""}")</f>
        <v>{"typ":"lc","txt":"LC_ITEM_2024moon_dec_item_2"}</v>
      </c>
      <c r="K497" s="148" t="str">
        <f>IFERROR(__xludf.DUMMYFUNCTION("""COMPUTED_VALUE"""),"{""typ"":""lc"",""txt"":""LC_ITEM_2024moon_dec_item_3_desc""}")</f>
        <v>{"typ":"lc","txt":"LC_ITEM_2024moon_dec_item_3_desc"}</v>
      </c>
      <c r="L497" s="148" t="str">
        <f>IFERROR(__xludf.DUMMYFUNCTION("""COMPUTED_VALUE"""),"{}")</f>
        <v>{}</v>
      </c>
      <c r="M497" s="148">
        <f>IFERROR(__xludf.DUMMYFUNCTION("""COMPUTED_VALUE"""),1000.0)</f>
        <v>1000</v>
      </c>
      <c r="N497" s="148">
        <f>IFERROR(__xludf.DUMMYFUNCTION("""COMPUTED_VALUE"""),9.99999999E8)</f>
        <v>999999999</v>
      </c>
      <c r="O497" s="148">
        <f>IFERROR(__xludf.DUMMYFUNCTION("""COMPUTED_VALUE"""),9.99999999E8)</f>
        <v>999999999</v>
      </c>
      <c r="P497" s="148">
        <f>IFERROR(__xludf.DUMMYFUNCTION("""COMPUTED_VALUE"""),9.99999999E8)</f>
        <v>999999999</v>
      </c>
      <c r="Q497" s="148" t="str">
        <f>IFERROR(__xludf.DUMMYFUNCTION("""COMPUTED_VALUE"""),"[""bag_other""]")</f>
        <v>["bag_other"]</v>
      </c>
      <c r="R497" s="148" t="str">
        <f>IFERROR(__xludf.DUMMYFUNCTION("""COMPUTED_VALUE"""),"[]")</f>
        <v>[]</v>
      </c>
      <c r="S497" s="148" t="str">
        <f>IFERROR(__xludf.DUMMYFUNCTION("""COMPUTED_VALUE"""),"{}")</f>
        <v>{}</v>
      </c>
      <c r="T497" s="148">
        <f>IFERROR(__xludf.DUMMYFUNCTION("""COMPUTED_VALUE"""),-1.0)</f>
        <v>-1</v>
      </c>
      <c r="U497" s="148">
        <f>IFERROR(__xludf.DUMMYFUNCTION("""COMPUTED_VALUE"""),0.0)</f>
        <v>0</v>
      </c>
      <c r="V497" s="148" t="str">
        <f>IFERROR(__xludf.DUMMYFUNCTION("""COMPUTED_VALUE"""),"[]")</f>
        <v>[]</v>
      </c>
      <c r="W497" s="148">
        <f>IFERROR(__xludf.DUMMYFUNCTION("""COMPUTED_VALUE"""),1.174E7)</f>
        <v>11740000</v>
      </c>
      <c r="X497" s="148">
        <f>IFERROR(__xludf.DUMMYFUNCTION("""COMPUTED_VALUE"""),0.0)</f>
        <v>0</v>
      </c>
      <c r="Y497" s="148">
        <f>IFERROR(__xludf.DUMMYFUNCTION("""COMPUTED_VALUE"""),0.0)</f>
        <v>0</v>
      </c>
      <c r="Z497" s="148"/>
    </row>
    <row r="498">
      <c r="A498" s="148">
        <f>IFERROR(__xludf.DUMMYFUNCTION("""COMPUTED_VALUE"""),1.111229E7)</f>
        <v>11112290</v>
      </c>
      <c r="B498" s="148" t="str">
        <f>IFERROR(__xludf.DUMMYFUNCTION("""COMPUTED_VALUE"""),"2024登月节-装饰券宝箱")</f>
        <v>2024登月节-装饰券宝箱</v>
      </c>
      <c r="C498" s="148"/>
      <c r="D498" s="148" t="str">
        <f>IFERROR(__xludf.DUMMYFUNCTION("""COMPUTED_VALUE"""),"valentine_reward_box")</f>
        <v>valentine_reward_box</v>
      </c>
      <c r="E498" s="148">
        <f>IFERROR(__xludf.DUMMYFUNCTION("""COMPUTED_VALUE"""),19.0)</f>
        <v>19</v>
      </c>
      <c r="F498" s="148">
        <f>IFERROR(__xludf.DUMMYFUNCTION("""COMPUTED_VALUE"""),201101.0)</f>
        <v>201101</v>
      </c>
      <c r="G498" s="148">
        <f>IFERROR(__xludf.DUMMYFUNCTION("""COMPUTED_VALUE"""),1.5118225E7)</f>
        <v>15118225</v>
      </c>
      <c r="H498" s="148">
        <f>IFERROR(__xludf.DUMMYFUNCTION("""COMPUTED_VALUE"""),1.5112564E7)</f>
        <v>15112564</v>
      </c>
      <c r="I498" s="148" t="str">
        <f>IFERROR(__xludf.DUMMYFUNCTION("""COMPUTED_VALUE"""),"{}")</f>
        <v>{}</v>
      </c>
      <c r="J498" s="148" t="str">
        <f>IFERROR(__xludf.DUMMYFUNCTION("""COMPUTED_VALUE"""),"{""typ"":""lc"",""txt"":""LC_ITEM_moon2024_fes_box_name""}")</f>
        <v>{"typ":"lc","txt":"LC_ITEM_moon2024_fes_box_name"}</v>
      </c>
      <c r="K498" s="148" t="str">
        <f>IFERROR(__xludf.DUMMYFUNCTION("""COMPUTED_VALUE"""),"{""typ"":""lc"",""txt"":""LC_ITEM_fes_box_desc""}")</f>
        <v>{"typ":"lc","txt":"LC_ITEM_fes_box_desc"}</v>
      </c>
      <c r="L498" s="148" t="str">
        <f>IFERROR(__xludf.DUMMYFUNCTION("""COMPUTED_VALUE"""),"{""typ"":""lc"",""txt"":""LC_ITEM_horde_elite_box_usedtip""}")</f>
        <v>{"typ":"lc","txt":"LC_ITEM_horde_elite_box_usedtip"}</v>
      </c>
      <c r="M498" s="148">
        <f>IFERROR(__xludf.DUMMYFUNCTION("""COMPUTED_VALUE"""),40.0)</f>
        <v>40</v>
      </c>
      <c r="N498" s="148">
        <f>IFERROR(__xludf.DUMMYFUNCTION("""COMPUTED_VALUE"""),999999.0)</f>
        <v>999999</v>
      </c>
      <c r="O498" s="148">
        <f>IFERROR(__xludf.DUMMYFUNCTION("""COMPUTED_VALUE"""),99999.0)</f>
        <v>99999</v>
      </c>
      <c r="P498" s="148">
        <f>IFERROR(__xludf.DUMMYFUNCTION("""COMPUTED_VALUE"""),99999.0)</f>
        <v>99999</v>
      </c>
      <c r="Q498" s="148" t="str">
        <f>IFERROR(__xludf.DUMMYFUNCTION("""COMPUTED_VALUE"""),"[""bag_other""]")</f>
        <v>["bag_other"]</v>
      </c>
      <c r="R498" s="148" t="str">
        <f>IFERROR(__xludf.DUMMYFUNCTION("""COMPUTED_VALUE"""),"[""bag""]")</f>
        <v>["bag"]</v>
      </c>
      <c r="S498" s="148" t="str">
        <f>IFERROR(__xludf.DUMMYFUNCTION("""COMPUTED_VALUE"""),"{""drop"":{""typ"":""single_random"",""num"":1,""args"":[{""typ"":""item"",""id"":11112030,""num"":1000,""wgt"":19980},{""typ"":""item"",""id"":11112030,""num"":200,""wgt"":120000},{""typ"":""item"",""id"":11112030,""num"":50,""wgt"":200000},{""typ"":""it"&amp;"em"",""id"":11112286,""num"":1,""wgt"":10},{""typ"":""item"",""id"":11117497,""num"":1,""wgt"":10},{""typ"":""item"",""id"":11112030,""num"":20,""wgt"":400000},{""typ"":""item"",""id"":11112030,""num"":100,""wgt"":200000},{""typ"":""item"",""id"":11112030"&amp;",""num"":400,""wgt"":60000}]}}")</f>
        <v>{"drop":{"typ":"single_random","num":1,"args":[{"typ":"item","id":11112030,"num":1000,"wgt":19980},{"typ":"item","id":11112030,"num":200,"wgt":120000},{"typ":"item","id":11112030,"num":50,"wgt":200000},{"typ":"item","id":11112286,"num":1,"wgt":10},{"typ":"item","id":11117497,"num":1,"wgt":10},{"typ":"item","id":11112030,"num":20,"wgt":400000},{"typ":"item","id":11112030,"num":100,"wgt":200000},{"typ":"item","id":11112030,"num":400,"wgt":60000}]}}</v>
      </c>
      <c r="T498" s="148">
        <f>IFERROR(__xludf.DUMMYFUNCTION("""COMPUTED_VALUE"""),-1.0)</f>
        <v>-1</v>
      </c>
      <c r="U498" s="148">
        <f>IFERROR(__xludf.DUMMYFUNCTION("""COMPUTED_VALUE"""),0.0)</f>
        <v>0</v>
      </c>
      <c r="V498" s="148" t="str">
        <f>IFERROR(__xludf.DUMMYFUNCTION("""COMPUTED_VALUE"""),"[]")</f>
        <v>[]</v>
      </c>
      <c r="W498" s="148">
        <f>IFERROR(__xludf.DUMMYFUNCTION("""COMPUTED_VALUE"""),1.174E7)</f>
        <v>11740000</v>
      </c>
      <c r="X498" s="148">
        <f>IFERROR(__xludf.DUMMYFUNCTION("""COMPUTED_VALUE"""),0.0)</f>
        <v>0</v>
      </c>
      <c r="Y498" s="148">
        <f>IFERROR(__xludf.DUMMYFUNCTION("""COMPUTED_VALUE"""),0.0)</f>
        <v>0</v>
      </c>
      <c r="Z498" s="148"/>
    </row>
    <row r="499">
      <c r="A499" s="148">
        <f>IFERROR(__xludf.DUMMYFUNCTION("""COMPUTED_VALUE"""),1.1112291E7)</f>
        <v>11112291</v>
      </c>
      <c r="B499" s="148" t="str">
        <f>IFERROR(__xludf.DUMMYFUNCTION("""COMPUTED_VALUE"""),"2024登月节BattlePass-初级通行证")</f>
        <v>2024登月节BattlePass-初级通行证</v>
      </c>
      <c r="C499" s="148"/>
      <c r="D499" s="148" t="str">
        <f>IFERROR(__xludf.DUMMYFUNCTION("""COMPUTED_VALUE"""),"battle_pass_card")</f>
        <v>battle_pass_card</v>
      </c>
      <c r="E499" s="148">
        <f>IFERROR(__xludf.DUMMYFUNCTION("""COMPUTED_VALUE"""),0.0)</f>
        <v>0</v>
      </c>
      <c r="F499" s="148">
        <f>IFERROR(__xludf.DUMMYFUNCTION("""COMPUTED_VALUE"""),0.0)</f>
        <v>0</v>
      </c>
      <c r="G499" s="148">
        <f>IFERROR(__xludf.DUMMYFUNCTION("""COMPUTED_VALUE"""),1.5117129E7)</f>
        <v>15117129</v>
      </c>
      <c r="H499" s="148">
        <f>IFERROR(__xludf.DUMMYFUNCTION("""COMPUTED_VALUE"""),1.5112563E7)</f>
        <v>15112563</v>
      </c>
      <c r="I499" s="148" t="str">
        <f>IFERROR(__xludf.DUMMYFUNCTION("""COMPUTED_VALUE"""),"{}")</f>
        <v>{}</v>
      </c>
      <c r="J499" s="148" t="str">
        <f>IFERROR(__xludf.DUMMYFUNCTION("""COMPUTED_VALUE"""),"{""typ"":""lc"",""txt"":""LC_IAP_moonday2023_normal_bp""}")</f>
        <v>{"typ":"lc","txt":"LC_IAP_moonday2023_normal_bp"}</v>
      </c>
      <c r="K499" s="148" t="str">
        <f>IFERROR(__xludf.DUMMYFUNCTION("""COMPUTED_VALUE"""),"{}")</f>
        <v>{}</v>
      </c>
      <c r="L499" s="148" t="str">
        <f>IFERROR(__xludf.DUMMYFUNCTION("""COMPUTED_VALUE"""),"{}")</f>
        <v>{}</v>
      </c>
      <c r="M499" s="148">
        <f>IFERROR(__xludf.DUMMYFUNCTION("""COMPUTED_VALUE"""),10.0)</f>
        <v>10</v>
      </c>
      <c r="N499" s="148">
        <f>IFERROR(__xludf.DUMMYFUNCTION("""COMPUTED_VALUE"""),999999.0)</f>
        <v>999999</v>
      </c>
      <c r="O499" s="148">
        <f>IFERROR(__xludf.DUMMYFUNCTION("""COMPUTED_VALUE"""),99999.0)</f>
        <v>99999</v>
      </c>
      <c r="P499" s="148">
        <f>IFERROR(__xludf.DUMMYFUNCTION("""COMPUTED_VALUE"""),9999.0)</f>
        <v>9999</v>
      </c>
      <c r="Q499" s="148" t="str">
        <f>IFERROR(__xludf.DUMMYFUNCTION("""COMPUTED_VALUE"""),"[]")</f>
        <v>[]</v>
      </c>
      <c r="R499" s="148" t="str">
        <f>IFERROR(__xludf.DUMMYFUNCTION("""COMPUTED_VALUE"""),"[]")</f>
        <v>[]</v>
      </c>
      <c r="S499" s="148" t="str">
        <f>IFERROR(__xludf.DUMMYFUNCTION("""COMPUTED_VALUE"""),"{}")</f>
        <v>{}</v>
      </c>
      <c r="T499" s="148">
        <f>IFERROR(__xludf.DUMMYFUNCTION("""COMPUTED_VALUE"""),-1.0)</f>
        <v>-1</v>
      </c>
      <c r="U499" s="148">
        <f>IFERROR(__xludf.DUMMYFUNCTION("""COMPUTED_VALUE"""),1.0)</f>
        <v>1</v>
      </c>
      <c r="V499" s="148" t="str">
        <f>IFERROR(__xludf.DUMMYFUNCTION("""COMPUTED_VALUE"""),"[]")</f>
        <v>[]</v>
      </c>
      <c r="W499" s="148">
        <f>IFERROR(__xludf.DUMMYFUNCTION("""COMPUTED_VALUE"""),1.174E7)</f>
        <v>11740000</v>
      </c>
      <c r="X499" s="148">
        <f>IFERROR(__xludf.DUMMYFUNCTION("""COMPUTED_VALUE"""),0.0)</f>
        <v>0</v>
      </c>
      <c r="Y499" s="148">
        <f>IFERROR(__xludf.DUMMYFUNCTION("""COMPUTED_VALUE"""),0.0)</f>
        <v>0</v>
      </c>
      <c r="Z499" s="148"/>
    </row>
    <row r="500">
      <c r="A500" s="148">
        <f>IFERROR(__xludf.DUMMYFUNCTION("""COMPUTED_VALUE"""),1.1112292E7)</f>
        <v>11112292</v>
      </c>
      <c r="B500" s="148" t="str">
        <f>IFERROR(__xludf.DUMMYFUNCTION("""COMPUTED_VALUE"""),"2024登月节BattlePass-高级通行证")</f>
        <v>2024登月节BattlePass-高级通行证</v>
      </c>
      <c r="C500" s="148"/>
      <c r="D500" s="148" t="str">
        <f>IFERROR(__xludf.DUMMYFUNCTION("""COMPUTED_VALUE"""),"battle_pass_card")</f>
        <v>battle_pass_card</v>
      </c>
      <c r="E500" s="148">
        <f>IFERROR(__xludf.DUMMYFUNCTION("""COMPUTED_VALUE"""),0.0)</f>
        <v>0</v>
      </c>
      <c r="F500" s="148">
        <f>IFERROR(__xludf.DUMMYFUNCTION("""COMPUTED_VALUE"""),0.0)</f>
        <v>0</v>
      </c>
      <c r="G500" s="148">
        <f>IFERROR(__xludf.DUMMYFUNCTION("""COMPUTED_VALUE"""),1.5117129E7)</f>
        <v>15117129</v>
      </c>
      <c r="H500" s="148">
        <f>IFERROR(__xludf.DUMMYFUNCTION("""COMPUTED_VALUE"""),1.5112564E7)</f>
        <v>15112564</v>
      </c>
      <c r="I500" s="148" t="str">
        <f>IFERROR(__xludf.DUMMYFUNCTION("""COMPUTED_VALUE"""),"{}")</f>
        <v>{}</v>
      </c>
      <c r="J500" s="148" t="str">
        <f>IFERROR(__xludf.DUMMYFUNCTION("""COMPUTED_VALUE"""),"{""typ"":""lc"",""txt"":""LC_IAP_moonday2023_senior_bp""}")</f>
        <v>{"typ":"lc","txt":"LC_IAP_moonday2023_senior_bp"}</v>
      </c>
      <c r="K500" s="148" t="str">
        <f>IFERROR(__xludf.DUMMYFUNCTION("""COMPUTED_VALUE"""),"{}")</f>
        <v>{}</v>
      </c>
      <c r="L500" s="148" t="str">
        <f>IFERROR(__xludf.DUMMYFUNCTION("""COMPUTED_VALUE"""),"{}")</f>
        <v>{}</v>
      </c>
      <c r="M500" s="148">
        <f>IFERROR(__xludf.DUMMYFUNCTION("""COMPUTED_VALUE"""),10.0)</f>
        <v>10</v>
      </c>
      <c r="N500" s="148">
        <f>IFERROR(__xludf.DUMMYFUNCTION("""COMPUTED_VALUE"""),999999.0)</f>
        <v>999999</v>
      </c>
      <c r="O500" s="148">
        <f>IFERROR(__xludf.DUMMYFUNCTION("""COMPUTED_VALUE"""),99999.0)</f>
        <v>99999</v>
      </c>
      <c r="P500" s="148">
        <f>IFERROR(__xludf.DUMMYFUNCTION("""COMPUTED_VALUE"""),9999.0)</f>
        <v>9999</v>
      </c>
      <c r="Q500" s="148" t="str">
        <f>IFERROR(__xludf.DUMMYFUNCTION("""COMPUTED_VALUE"""),"[]")</f>
        <v>[]</v>
      </c>
      <c r="R500" s="148" t="str">
        <f>IFERROR(__xludf.DUMMYFUNCTION("""COMPUTED_VALUE"""),"[]")</f>
        <v>[]</v>
      </c>
      <c r="S500" s="148" t="str">
        <f>IFERROR(__xludf.DUMMYFUNCTION("""COMPUTED_VALUE"""),"{}")</f>
        <v>{}</v>
      </c>
      <c r="T500" s="148">
        <f>IFERROR(__xludf.DUMMYFUNCTION("""COMPUTED_VALUE"""),-1.0)</f>
        <v>-1</v>
      </c>
      <c r="U500" s="148">
        <f>IFERROR(__xludf.DUMMYFUNCTION("""COMPUTED_VALUE"""),1.0)</f>
        <v>1</v>
      </c>
      <c r="V500" s="148" t="str">
        <f>IFERROR(__xludf.DUMMYFUNCTION("""COMPUTED_VALUE"""),"[]")</f>
        <v>[]</v>
      </c>
      <c r="W500" s="148">
        <f>IFERROR(__xludf.DUMMYFUNCTION("""COMPUTED_VALUE"""),1.174E7)</f>
        <v>11740000</v>
      </c>
      <c r="X500" s="148">
        <f>IFERROR(__xludf.DUMMYFUNCTION("""COMPUTED_VALUE"""),0.0)</f>
        <v>0</v>
      </c>
      <c r="Y500" s="148">
        <f>IFERROR(__xludf.DUMMYFUNCTION("""COMPUTED_VALUE"""),0.0)</f>
        <v>0</v>
      </c>
      <c r="Z500" s="148"/>
    </row>
    <row r="501">
      <c r="A501" s="148">
        <f>IFERROR(__xludf.DUMMYFUNCTION("""COMPUTED_VALUE"""),1.1112293E7)</f>
        <v>11112293</v>
      </c>
      <c r="B501" s="148" t="str">
        <f>IFERROR(__xludf.DUMMYFUNCTION("""COMPUTED_VALUE"""),"纪念胶卷-登月节通用活动BP道具")</f>
        <v>纪念胶卷-登月节通用活动BP道具</v>
      </c>
      <c r="C501" s="148"/>
      <c r="D501" s="148" t="str">
        <f>IFERROR(__xludf.DUMMYFUNCTION("""COMPUTED_VALUE"""),"battle_pass_exp")</f>
        <v>battle_pass_exp</v>
      </c>
      <c r="E501" s="148">
        <f>IFERROR(__xludf.DUMMYFUNCTION("""COMPUTED_VALUE"""),0.0)</f>
        <v>0</v>
      </c>
      <c r="F501" s="148">
        <f>IFERROR(__xludf.DUMMYFUNCTION("""COMPUTED_VALUE"""),405217.0)</f>
        <v>405217</v>
      </c>
      <c r="G501" s="148">
        <f>IFERROR(__xludf.DUMMYFUNCTION("""COMPUTED_VALUE"""),1.5117129E7)</f>
        <v>15117129</v>
      </c>
      <c r="H501" s="148">
        <f>IFERROR(__xludf.DUMMYFUNCTION("""COMPUTED_VALUE"""),1.5112563E7)</f>
        <v>15112563</v>
      </c>
      <c r="I501" s="148" t="str">
        <f>IFERROR(__xludf.DUMMYFUNCTION("""COMPUTED_VALUE"""),"{}")</f>
        <v>{}</v>
      </c>
      <c r="J501" s="148" t="str">
        <f>IFERROR(__xludf.DUMMYFUNCTION("""COMPUTED_VALUE"""),"{""typ"":""lc"",""txt"":""LC_ITEM_festival_bp_23_moon_item""}")</f>
        <v>{"typ":"lc","txt":"LC_ITEM_festival_bp_23_moon_item"}</v>
      </c>
      <c r="K501" s="148" t="str">
        <f>IFERROR(__xludf.DUMMYFUNCTION("""COMPUTED_VALUE"""),"{""typ"":""lc"",""txt"":""LC_ITEM_festival_bp_23_moon_item_desc""}")</f>
        <v>{"typ":"lc","txt":"LC_ITEM_festival_bp_23_moon_item_desc"}</v>
      </c>
      <c r="L501" s="148" t="str">
        <f>IFERROR(__xludf.DUMMYFUNCTION("""COMPUTED_VALUE"""),"{}")</f>
        <v>{}</v>
      </c>
      <c r="M501" s="148">
        <f>IFERROR(__xludf.DUMMYFUNCTION("""COMPUTED_VALUE"""),35.0)</f>
        <v>35</v>
      </c>
      <c r="N501" s="148">
        <f>IFERROR(__xludf.DUMMYFUNCTION("""COMPUTED_VALUE"""),999999.0)</f>
        <v>999999</v>
      </c>
      <c r="O501" s="148">
        <f>IFERROR(__xludf.DUMMYFUNCTION("""COMPUTED_VALUE"""),99999.0)</f>
        <v>99999</v>
      </c>
      <c r="P501" s="148">
        <f>IFERROR(__xludf.DUMMYFUNCTION("""COMPUTED_VALUE"""),99999.0)</f>
        <v>99999</v>
      </c>
      <c r="Q501" s="148" t="str">
        <f>IFERROR(__xludf.DUMMYFUNCTION("""COMPUTED_VALUE"""),"[""bag_other""]")</f>
        <v>["bag_other"]</v>
      </c>
      <c r="R501" s="148" t="str">
        <f>IFERROR(__xludf.DUMMYFUNCTION("""COMPUTED_VALUE"""),"[""bag""]")</f>
        <v>["bag"]</v>
      </c>
      <c r="S501" s="148" t="str">
        <f>IFERROR(__xludf.DUMMYFUNCTION("""COMPUTED_VALUE"""),"{}")</f>
        <v>{}</v>
      </c>
      <c r="T501" s="148">
        <f>IFERROR(__xludf.DUMMYFUNCTION("""COMPUTED_VALUE"""),-1.0)</f>
        <v>-1</v>
      </c>
      <c r="U501" s="148">
        <f>IFERROR(__xludf.DUMMYFUNCTION("""COMPUTED_VALUE"""),0.0)</f>
        <v>0</v>
      </c>
      <c r="V501" s="148" t="str">
        <f>IFERROR(__xludf.DUMMYFUNCTION("""COMPUTED_VALUE"""),"[]")</f>
        <v>[]</v>
      </c>
      <c r="W501" s="148">
        <f>IFERROR(__xludf.DUMMYFUNCTION("""COMPUTED_VALUE"""),1.174E7)</f>
        <v>11740000</v>
      </c>
      <c r="X501" s="148">
        <f>IFERROR(__xludf.DUMMYFUNCTION("""COMPUTED_VALUE"""),0.0)</f>
        <v>0</v>
      </c>
      <c r="Y501" s="148">
        <f>IFERROR(__xludf.DUMMYFUNCTION("""COMPUTED_VALUE"""),0.0)</f>
        <v>0</v>
      </c>
      <c r="Z501" s="148"/>
    </row>
    <row r="502">
      <c r="A502" s="148">
        <f>IFERROR(__xludf.DUMMYFUNCTION("""COMPUTED_VALUE"""),1.1112294E7)</f>
        <v>11112294</v>
      </c>
      <c r="B502" s="148" t="str">
        <f>IFERROR(__xludf.DUMMYFUNCTION("""COMPUTED_VALUE"""),"行军特效-彩云追月-1天限时")</f>
        <v>行军特效-彩云追月-1天限时</v>
      </c>
      <c r="C502" s="148"/>
      <c r="D502" s="148" t="str">
        <f>IFERROR(__xludf.DUMMYFUNCTION("""COMPUTED_VALUE"""),"marching_effect")</f>
        <v>marching_effect</v>
      </c>
      <c r="E502" s="148">
        <f>IFERROR(__xludf.DUMMYFUNCTION("""COMPUTED_VALUE"""),0.0)</f>
        <v>0</v>
      </c>
      <c r="F502" s="148">
        <f>IFERROR(__xludf.DUMMYFUNCTION("""COMPUTED_VALUE"""),408200.0)</f>
        <v>408200</v>
      </c>
      <c r="G502" s="148">
        <f>IFERROR(__xludf.DUMMYFUNCTION("""COMPUTED_VALUE"""),1.51100445E8)</f>
        <v>151100445</v>
      </c>
      <c r="H502" s="148">
        <f>IFERROR(__xludf.DUMMYFUNCTION("""COMPUTED_VALUE"""),1.511256E7)</f>
        <v>15112560</v>
      </c>
      <c r="I502" s="148" t="str">
        <f>IFERROR(__xludf.DUMMYFUNCTION("""COMPUTED_VALUE"""),"{""typ"":""lc"",""txt"":""LC_ITEM_time_day_upper_show"",""args"":[{""typ"":""int_unit"",""val"":1}]}")</f>
        <v>{"typ":"lc","txt":"LC_ITEM_time_day_upper_show","args":[{"typ":"int_unit","val":1}]}</v>
      </c>
      <c r="J502" s="148" t="str">
        <f>IFERROR(__xludf.DUMMYFUNCTION("""COMPUTED_VALUE"""),"{""typ"":""lc"",""txt"":""LC_ITEM_festival_bp_24_moon_march_effect""}")</f>
        <v>{"typ":"lc","txt":"LC_ITEM_festival_bp_24_moon_march_effect"}</v>
      </c>
      <c r="K502" s="148" t="str">
        <f>IFERROR(__xludf.DUMMYFUNCTION("""COMPUTED_VALUE"""),"{""typ"":""lc"",""txt"":""LC_ITEM_festival_bp_24_moon_march_effect_desc""}")</f>
        <v>{"typ":"lc","txt":"LC_ITEM_festival_bp_24_moon_march_effect_desc"}</v>
      </c>
      <c r="L502" s="148" t="str">
        <f>IFERROR(__xludf.DUMMYFUNCTION("""COMPUTED_VALUE"""),"{""typ"":""lc"",""txt"":""LC_ITEM_festival_bp_24_moon_march_effect_used_1d""}")</f>
        <v>{"typ":"lc","txt":"LC_ITEM_festival_bp_24_moon_march_effect_used_1d"}</v>
      </c>
      <c r="M502" s="148">
        <f>IFERROR(__xludf.DUMMYFUNCTION("""COMPUTED_VALUE"""),50.0)</f>
        <v>50</v>
      </c>
      <c r="N502" s="148">
        <f>IFERROR(__xludf.DUMMYFUNCTION("""COMPUTED_VALUE"""),999999.0)</f>
        <v>999999</v>
      </c>
      <c r="O502" s="148">
        <f>IFERROR(__xludf.DUMMYFUNCTION("""COMPUTED_VALUE"""),99999.0)</f>
        <v>99999</v>
      </c>
      <c r="P502" s="148">
        <f>IFERROR(__xludf.DUMMYFUNCTION("""COMPUTED_VALUE"""),1.0)</f>
        <v>1</v>
      </c>
      <c r="Q502" s="148" t="str">
        <f>IFERROR(__xludf.DUMMYFUNCTION("""COMPUTED_VALUE"""),"[""bag_other""]")</f>
        <v>["bag_other"]</v>
      </c>
      <c r="R502" s="148" t="str">
        <f>IFERROR(__xludf.DUMMYFUNCTION("""COMPUTED_VALUE"""),"[""bag"",""13650125""]")</f>
        <v>["bag","13650125"]</v>
      </c>
      <c r="S502" s="148" t="str">
        <f>IFERROR(__xludf.DUMMYFUNCTION("""COMPUTED_VALUE"""),"{""effect"":[{""typ"":""marching_effect"",""id"":13650125,""val"":86400000},{""typ"":""vm"",""id"":11151001,""val"":50}]}")</f>
        <v>{"effect":[{"typ":"marching_effect","id":13650125,"val":86400000},{"typ":"vm","id":11151001,"val":50}]}</v>
      </c>
      <c r="T502" s="148">
        <f>IFERROR(__xludf.DUMMYFUNCTION("""COMPUTED_VALUE"""),-1.0)</f>
        <v>-1</v>
      </c>
      <c r="U502" s="148">
        <f>IFERROR(__xludf.DUMMYFUNCTION("""COMPUTED_VALUE"""),0.0)</f>
        <v>0</v>
      </c>
      <c r="V502" s="148" t="str">
        <f>IFERROR(__xludf.DUMMYFUNCTION("""COMPUTED_VALUE"""),"[]")</f>
        <v>[]</v>
      </c>
      <c r="W502" s="148">
        <f>IFERROR(__xludf.DUMMYFUNCTION("""COMPUTED_VALUE"""),1.174E7)</f>
        <v>11740000</v>
      </c>
      <c r="X502" s="148">
        <f>IFERROR(__xludf.DUMMYFUNCTION("""COMPUTED_VALUE"""),0.0)</f>
        <v>0</v>
      </c>
      <c r="Y502" s="148">
        <f>IFERROR(__xludf.DUMMYFUNCTION("""COMPUTED_VALUE"""),0.0)</f>
        <v>0</v>
      </c>
      <c r="Z502" s="148"/>
    </row>
    <row r="503">
      <c r="A503" s="148">
        <f>IFERROR(__xludf.DUMMYFUNCTION("""COMPUTED_VALUE"""),1.1112295E7)</f>
        <v>11112295</v>
      </c>
      <c r="B503" s="148" t="str">
        <f>IFERROR(__xludf.DUMMYFUNCTION("""COMPUTED_VALUE"""),"行军特效-彩云追月-3天限时")</f>
        <v>行军特效-彩云追月-3天限时</v>
      </c>
      <c r="C503" s="148"/>
      <c r="D503" s="148" t="str">
        <f>IFERROR(__xludf.DUMMYFUNCTION("""COMPUTED_VALUE"""),"marching_effect")</f>
        <v>marching_effect</v>
      </c>
      <c r="E503" s="148">
        <f>IFERROR(__xludf.DUMMYFUNCTION("""COMPUTED_VALUE"""),0.0)</f>
        <v>0</v>
      </c>
      <c r="F503" s="148">
        <f>IFERROR(__xludf.DUMMYFUNCTION("""COMPUTED_VALUE"""),408199.0)</f>
        <v>408199</v>
      </c>
      <c r="G503" s="148">
        <f>IFERROR(__xludf.DUMMYFUNCTION("""COMPUTED_VALUE"""),1.51100445E8)</f>
        <v>151100445</v>
      </c>
      <c r="H503" s="148">
        <f>IFERROR(__xludf.DUMMYFUNCTION("""COMPUTED_VALUE"""),1.5112561E7)</f>
        <v>15112561</v>
      </c>
      <c r="I503" s="148" t="str">
        <f>IFERROR(__xludf.DUMMYFUNCTION("""COMPUTED_VALUE"""),"{""typ"":""lc"",""txt"":""LC_ITEM_time_day_upper_show"",""args"":[{""typ"":""int_unit"",""val"":3}]}")</f>
        <v>{"typ":"lc","txt":"LC_ITEM_time_day_upper_show","args":[{"typ":"int_unit","val":3}]}</v>
      </c>
      <c r="J503" s="148" t="str">
        <f>IFERROR(__xludf.DUMMYFUNCTION("""COMPUTED_VALUE"""),"{""typ"":""lc"",""txt"":""LC_ITEM_festival_bp_24_moon_march_effect""}")</f>
        <v>{"typ":"lc","txt":"LC_ITEM_festival_bp_24_moon_march_effect"}</v>
      </c>
      <c r="K503" s="148" t="str">
        <f>IFERROR(__xludf.DUMMYFUNCTION("""COMPUTED_VALUE"""),"{""typ"":""lc"",""txt"":""LC_ITEM_festival_bp_24_moon_march_effect_desc""}")</f>
        <v>{"typ":"lc","txt":"LC_ITEM_festival_bp_24_moon_march_effect_desc"}</v>
      </c>
      <c r="L503" s="148" t="str">
        <f>IFERROR(__xludf.DUMMYFUNCTION("""COMPUTED_VALUE"""),"{""typ"":""lc"",""txt"":""LC_ITEM_festival_bp_24_moon_march_effect_used_3d""}")</f>
        <v>{"typ":"lc","txt":"LC_ITEM_festival_bp_24_moon_march_effect_used_3d"}</v>
      </c>
      <c r="M503" s="148">
        <f>IFERROR(__xludf.DUMMYFUNCTION("""COMPUTED_VALUE"""),200.0)</f>
        <v>200</v>
      </c>
      <c r="N503" s="148">
        <f>IFERROR(__xludf.DUMMYFUNCTION("""COMPUTED_VALUE"""),999999.0)</f>
        <v>999999</v>
      </c>
      <c r="O503" s="148">
        <f>IFERROR(__xludf.DUMMYFUNCTION("""COMPUTED_VALUE"""),99999.0)</f>
        <v>99999</v>
      </c>
      <c r="P503" s="148">
        <f>IFERROR(__xludf.DUMMYFUNCTION("""COMPUTED_VALUE"""),1.0)</f>
        <v>1</v>
      </c>
      <c r="Q503" s="148" t="str">
        <f>IFERROR(__xludf.DUMMYFUNCTION("""COMPUTED_VALUE"""),"[""bag_other""]")</f>
        <v>["bag_other"]</v>
      </c>
      <c r="R503" s="148" t="str">
        <f>IFERROR(__xludf.DUMMYFUNCTION("""COMPUTED_VALUE"""),"[""bag"",""13650125""]")</f>
        <v>["bag","13650125"]</v>
      </c>
      <c r="S503" s="148" t="str">
        <f>IFERROR(__xludf.DUMMYFUNCTION("""COMPUTED_VALUE"""),"{""effect"":[{""typ"":""marching_effect"",""id"":13650125,""val"":259200000},{""typ"":""vm"",""id"":11151001,""val"":200}]}")</f>
        <v>{"effect":[{"typ":"marching_effect","id":13650125,"val":259200000},{"typ":"vm","id":11151001,"val":200}]}</v>
      </c>
      <c r="T503" s="148">
        <f>IFERROR(__xludf.DUMMYFUNCTION("""COMPUTED_VALUE"""),-1.0)</f>
        <v>-1</v>
      </c>
      <c r="U503" s="148">
        <f>IFERROR(__xludf.DUMMYFUNCTION("""COMPUTED_VALUE"""),0.0)</f>
        <v>0</v>
      </c>
      <c r="V503" s="148" t="str">
        <f>IFERROR(__xludf.DUMMYFUNCTION("""COMPUTED_VALUE"""),"[]")</f>
        <v>[]</v>
      </c>
      <c r="W503" s="148">
        <f>IFERROR(__xludf.DUMMYFUNCTION("""COMPUTED_VALUE"""),1.174E7)</f>
        <v>11740000</v>
      </c>
      <c r="X503" s="148">
        <f>IFERROR(__xludf.DUMMYFUNCTION("""COMPUTED_VALUE"""),0.0)</f>
        <v>0</v>
      </c>
      <c r="Y503" s="148">
        <f>IFERROR(__xludf.DUMMYFUNCTION("""COMPUTED_VALUE"""),0.0)</f>
        <v>0</v>
      </c>
      <c r="Z503" s="148"/>
    </row>
    <row r="504">
      <c r="A504" s="148">
        <f>IFERROR(__xludf.DUMMYFUNCTION("""COMPUTED_VALUE"""),1.1112296E7)</f>
        <v>11112296</v>
      </c>
      <c r="B504" s="148" t="str">
        <f>IFERROR(__xludf.DUMMYFUNCTION("""COMPUTED_VALUE"""),"行军特效-彩云追月-7天限时")</f>
        <v>行军特效-彩云追月-7天限时</v>
      </c>
      <c r="C504" s="148"/>
      <c r="D504" s="148" t="str">
        <f>IFERROR(__xludf.DUMMYFUNCTION("""COMPUTED_VALUE"""),"marching_effect")</f>
        <v>marching_effect</v>
      </c>
      <c r="E504" s="148">
        <f>IFERROR(__xludf.DUMMYFUNCTION("""COMPUTED_VALUE"""),0.0)</f>
        <v>0</v>
      </c>
      <c r="F504" s="148">
        <f>IFERROR(__xludf.DUMMYFUNCTION("""COMPUTED_VALUE"""),408198.0)</f>
        <v>408198</v>
      </c>
      <c r="G504" s="148">
        <f>IFERROR(__xludf.DUMMYFUNCTION("""COMPUTED_VALUE"""),1.51100445E8)</f>
        <v>151100445</v>
      </c>
      <c r="H504" s="148">
        <f>IFERROR(__xludf.DUMMYFUNCTION("""COMPUTED_VALUE"""),1.5112562E7)</f>
        <v>15112562</v>
      </c>
      <c r="I504" s="148" t="str">
        <f>IFERROR(__xludf.DUMMYFUNCTION("""COMPUTED_VALUE"""),"{""typ"":""lc"",""txt"":""LC_ITEM_time_day_upper_show"",""args"":[{""typ"":""int_unit"",""val"":7}]}")</f>
        <v>{"typ":"lc","txt":"LC_ITEM_time_day_upper_show","args":[{"typ":"int_unit","val":7}]}</v>
      </c>
      <c r="J504" s="148" t="str">
        <f>IFERROR(__xludf.DUMMYFUNCTION("""COMPUTED_VALUE"""),"{""typ"":""lc"",""txt"":""LC_ITEM_festival_bp_24_moon_march_effect""}")</f>
        <v>{"typ":"lc","txt":"LC_ITEM_festival_bp_24_moon_march_effect"}</v>
      </c>
      <c r="K504" s="148" t="str">
        <f>IFERROR(__xludf.DUMMYFUNCTION("""COMPUTED_VALUE"""),"{""typ"":""lc"",""txt"":""LC_ITEM_festival_bp_24_moon_march_effect_desc""}")</f>
        <v>{"typ":"lc","txt":"LC_ITEM_festival_bp_24_moon_march_effect_desc"}</v>
      </c>
      <c r="L504" s="148" t="str">
        <f>IFERROR(__xludf.DUMMYFUNCTION("""COMPUTED_VALUE"""),"{""typ"":""lc"",""txt"":""LC_ITEM_festival_bp_24_moon_march_effect_used_7d""}")</f>
        <v>{"typ":"lc","txt":"LC_ITEM_festival_bp_24_moon_march_effect_used_7d"}</v>
      </c>
      <c r="M504" s="148">
        <f>IFERROR(__xludf.DUMMYFUNCTION("""COMPUTED_VALUE"""),500.0)</f>
        <v>500</v>
      </c>
      <c r="N504" s="148">
        <f>IFERROR(__xludf.DUMMYFUNCTION("""COMPUTED_VALUE"""),999999.0)</f>
        <v>999999</v>
      </c>
      <c r="O504" s="148">
        <f>IFERROR(__xludf.DUMMYFUNCTION("""COMPUTED_VALUE"""),99999.0)</f>
        <v>99999</v>
      </c>
      <c r="P504" s="148">
        <f>IFERROR(__xludf.DUMMYFUNCTION("""COMPUTED_VALUE"""),1.0)</f>
        <v>1</v>
      </c>
      <c r="Q504" s="148" t="str">
        <f>IFERROR(__xludf.DUMMYFUNCTION("""COMPUTED_VALUE"""),"[""bag_other""]")</f>
        <v>["bag_other"]</v>
      </c>
      <c r="R504" s="148" t="str">
        <f>IFERROR(__xludf.DUMMYFUNCTION("""COMPUTED_VALUE"""),"[""bag"",""13650125""]")</f>
        <v>["bag","13650125"]</v>
      </c>
      <c r="S504" s="148" t="str">
        <f>IFERROR(__xludf.DUMMYFUNCTION("""COMPUTED_VALUE"""),"{""effect"":[{""typ"":""marching_effect"",""id"":13650125,""val"":604800000},{""typ"":""vm"",""id"":11151001,""val"":500}]}")</f>
        <v>{"effect":[{"typ":"marching_effect","id":13650125,"val":604800000},{"typ":"vm","id":11151001,"val":500}]}</v>
      </c>
      <c r="T504" s="148">
        <f>IFERROR(__xludf.DUMMYFUNCTION("""COMPUTED_VALUE"""),-1.0)</f>
        <v>-1</v>
      </c>
      <c r="U504" s="148">
        <f>IFERROR(__xludf.DUMMYFUNCTION("""COMPUTED_VALUE"""),0.0)</f>
        <v>0</v>
      </c>
      <c r="V504" s="148" t="str">
        <f>IFERROR(__xludf.DUMMYFUNCTION("""COMPUTED_VALUE"""),"[]")</f>
        <v>[]</v>
      </c>
      <c r="W504" s="148">
        <f>IFERROR(__xludf.DUMMYFUNCTION("""COMPUTED_VALUE"""),1.174E7)</f>
        <v>11740000</v>
      </c>
      <c r="X504" s="148">
        <f>IFERROR(__xludf.DUMMYFUNCTION("""COMPUTED_VALUE"""),0.0)</f>
        <v>0</v>
      </c>
      <c r="Y504" s="148">
        <f>IFERROR(__xludf.DUMMYFUNCTION("""COMPUTED_VALUE"""),0.0)</f>
        <v>0</v>
      </c>
      <c r="Z504" s="148"/>
    </row>
    <row r="505">
      <c r="A505" s="148">
        <f>IFERROR(__xludf.DUMMYFUNCTION("""COMPUTED_VALUE"""),1.1112297E7)</f>
        <v>11112297</v>
      </c>
      <c r="B505" s="148" t="str">
        <f>IFERROR(__xludf.DUMMYFUNCTION("""COMPUTED_VALUE"""),"行军特效-彩云追月-14天限时")</f>
        <v>行军特效-彩云追月-14天限时</v>
      </c>
      <c r="C505" s="148"/>
      <c r="D505" s="148" t="str">
        <f>IFERROR(__xludf.DUMMYFUNCTION("""COMPUTED_VALUE"""),"marching_effect")</f>
        <v>marching_effect</v>
      </c>
      <c r="E505" s="148">
        <f>IFERROR(__xludf.DUMMYFUNCTION("""COMPUTED_VALUE"""),0.0)</f>
        <v>0</v>
      </c>
      <c r="F505" s="148">
        <f>IFERROR(__xludf.DUMMYFUNCTION("""COMPUTED_VALUE"""),408197.0)</f>
        <v>408197</v>
      </c>
      <c r="G505" s="148">
        <f>IFERROR(__xludf.DUMMYFUNCTION("""COMPUTED_VALUE"""),1.51100445E8)</f>
        <v>151100445</v>
      </c>
      <c r="H505" s="148">
        <f>IFERROR(__xludf.DUMMYFUNCTION("""COMPUTED_VALUE"""),1.5112563E7)</f>
        <v>15112563</v>
      </c>
      <c r="I505" s="148" t="str">
        <f>IFERROR(__xludf.DUMMYFUNCTION("""COMPUTED_VALUE"""),"{""typ"":""lc"",""txt"":""LC_ITEM_time_day_upper_show"",""args"":[{""typ"":""int_unit"",""val"":14}]}")</f>
        <v>{"typ":"lc","txt":"LC_ITEM_time_day_upper_show","args":[{"typ":"int_unit","val":14}]}</v>
      </c>
      <c r="J505" s="148" t="str">
        <f>IFERROR(__xludf.DUMMYFUNCTION("""COMPUTED_VALUE"""),"{""typ"":""lc"",""txt"":""LC_ITEM_festival_bp_24_moon_march_effect""}")</f>
        <v>{"typ":"lc","txt":"LC_ITEM_festival_bp_24_moon_march_effect"}</v>
      </c>
      <c r="K505" s="148" t="str">
        <f>IFERROR(__xludf.DUMMYFUNCTION("""COMPUTED_VALUE"""),"{""typ"":""lc"",""txt"":""LC_ITEM_festival_bp_24_moon_march_effect_desc""}")</f>
        <v>{"typ":"lc","txt":"LC_ITEM_festival_bp_24_moon_march_effect_desc"}</v>
      </c>
      <c r="L505" s="148" t="str">
        <f>IFERROR(__xludf.DUMMYFUNCTION("""COMPUTED_VALUE"""),"{""typ"":""lc"",""txt"":""LC_ITEM_festival_bp_24_moon_march_effect_used_14d""}")</f>
        <v>{"typ":"lc","txt":"LC_ITEM_festival_bp_24_moon_march_effect_used_14d"}</v>
      </c>
      <c r="M505" s="148">
        <f>IFERROR(__xludf.DUMMYFUNCTION("""COMPUTED_VALUE"""),1000.0)</f>
        <v>1000</v>
      </c>
      <c r="N505" s="148">
        <f>IFERROR(__xludf.DUMMYFUNCTION("""COMPUTED_VALUE"""),999999.0)</f>
        <v>999999</v>
      </c>
      <c r="O505" s="148">
        <f>IFERROR(__xludf.DUMMYFUNCTION("""COMPUTED_VALUE"""),99999.0)</f>
        <v>99999</v>
      </c>
      <c r="P505" s="148">
        <f>IFERROR(__xludf.DUMMYFUNCTION("""COMPUTED_VALUE"""),1.0)</f>
        <v>1</v>
      </c>
      <c r="Q505" s="148" t="str">
        <f>IFERROR(__xludf.DUMMYFUNCTION("""COMPUTED_VALUE"""),"[""bag_other""]")</f>
        <v>["bag_other"]</v>
      </c>
      <c r="R505" s="148" t="str">
        <f>IFERROR(__xludf.DUMMYFUNCTION("""COMPUTED_VALUE"""),"[""bag"",""13650125""]")</f>
        <v>["bag","13650125"]</v>
      </c>
      <c r="S505" s="148" t="str">
        <f>IFERROR(__xludf.DUMMYFUNCTION("""COMPUTED_VALUE"""),"{""effect"":[{""typ"":""marching_effect"",""id"":13650125,""val"":1209600000},{""typ"":""vm"",""id"":11151001,""val"":1000}]}")</f>
        <v>{"effect":[{"typ":"marching_effect","id":13650125,"val":1209600000},{"typ":"vm","id":11151001,"val":1000}]}</v>
      </c>
      <c r="T505" s="148">
        <f>IFERROR(__xludf.DUMMYFUNCTION("""COMPUTED_VALUE"""),-1.0)</f>
        <v>-1</v>
      </c>
      <c r="U505" s="148">
        <f>IFERROR(__xludf.DUMMYFUNCTION("""COMPUTED_VALUE"""),0.0)</f>
        <v>0</v>
      </c>
      <c r="V505" s="148" t="str">
        <f>IFERROR(__xludf.DUMMYFUNCTION("""COMPUTED_VALUE"""),"[]")</f>
        <v>[]</v>
      </c>
      <c r="W505" s="148">
        <f>IFERROR(__xludf.DUMMYFUNCTION("""COMPUTED_VALUE"""),1.174E7)</f>
        <v>11740000</v>
      </c>
      <c r="X505" s="148">
        <f>IFERROR(__xludf.DUMMYFUNCTION("""COMPUTED_VALUE"""),0.0)</f>
        <v>0</v>
      </c>
      <c r="Y505" s="148">
        <f>IFERROR(__xludf.DUMMYFUNCTION("""COMPUTED_VALUE"""),0.0)</f>
        <v>0</v>
      </c>
      <c r="Z505" s="148"/>
    </row>
    <row r="506">
      <c r="A506" s="148">
        <f>IFERROR(__xludf.DUMMYFUNCTION("""COMPUTED_VALUE"""),1.1112298E7)</f>
        <v>11112298</v>
      </c>
      <c r="B506" s="148" t="str">
        <f>IFERROR(__xludf.DUMMYFUNCTION("""COMPUTED_VALUE"""),"行军特效-彩云追月-30天限时")</f>
        <v>行军特效-彩云追月-30天限时</v>
      </c>
      <c r="C506" s="148"/>
      <c r="D506" s="148" t="str">
        <f>IFERROR(__xludf.DUMMYFUNCTION("""COMPUTED_VALUE"""),"marching_effect")</f>
        <v>marching_effect</v>
      </c>
      <c r="E506" s="148">
        <f>IFERROR(__xludf.DUMMYFUNCTION("""COMPUTED_VALUE"""),0.0)</f>
        <v>0</v>
      </c>
      <c r="F506" s="148">
        <f>IFERROR(__xludf.DUMMYFUNCTION("""COMPUTED_VALUE"""),408196.0)</f>
        <v>408196</v>
      </c>
      <c r="G506" s="148">
        <f>IFERROR(__xludf.DUMMYFUNCTION("""COMPUTED_VALUE"""),1.51100445E8)</f>
        <v>151100445</v>
      </c>
      <c r="H506" s="148">
        <f>IFERROR(__xludf.DUMMYFUNCTION("""COMPUTED_VALUE"""),1.5112563E7)</f>
        <v>15112563</v>
      </c>
      <c r="I506" s="148" t="str">
        <f>IFERROR(__xludf.DUMMYFUNCTION("""COMPUTED_VALUE"""),"{""typ"":""lc"",""txt"":""LC_ITEM_time_day_upper_show"",""args"":[{""typ"":""int_unit"",""val"":30}]}")</f>
        <v>{"typ":"lc","txt":"LC_ITEM_time_day_upper_show","args":[{"typ":"int_unit","val":30}]}</v>
      </c>
      <c r="J506" s="148" t="str">
        <f>IFERROR(__xludf.DUMMYFUNCTION("""COMPUTED_VALUE"""),"{""typ"":""lc"",""txt"":""LC_ITEM_festival_bp_24_moon_march_effect""}")</f>
        <v>{"typ":"lc","txt":"LC_ITEM_festival_bp_24_moon_march_effect"}</v>
      </c>
      <c r="K506" s="148" t="str">
        <f>IFERROR(__xludf.DUMMYFUNCTION("""COMPUTED_VALUE"""),"{""typ"":""lc"",""txt"":""LC_ITEM_festival_bp_24_moon_march_effect_desc""}")</f>
        <v>{"typ":"lc","txt":"LC_ITEM_festival_bp_24_moon_march_effect_desc"}</v>
      </c>
      <c r="L506" s="148" t="str">
        <f>IFERROR(__xludf.DUMMYFUNCTION("""COMPUTED_VALUE"""),"{""typ"":""lc"",""txt"":""LC_ITEM_festival_bp_24_moon_march_effect_used_30d""}")</f>
        <v>{"typ":"lc","txt":"LC_ITEM_festival_bp_24_moon_march_effect_used_30d"}</v>
      </c>
      <c r="M506" s="148">
        <f>IFERROR(__xludf.DUMMYFUNCTION("""COMPUTED_VALUE"""),2000.0)</f>
        <v>2000</v>
      </c>
      <c r="N506" s="148">
        <f>IFERROR(__xludf.DUMMYFUNCTION("""COMPUTED_VALUE"""),999999.0)</f>
        <v>999999</v>
      </c>
      <c r="O506" s="148">
        <f>IFERROR(__xludf.DUMMYFUNCTION("""COMPUTED_VALUE"""),99999.0)</f>
        <v>99999</v>
      </c>
      <c r="P506" s="148">
        <f>IFERROR(__xludf.DUMMYFUNCTION("""COMPUTED_VALUE"""),1.0)</f>
        <v>1</v>
      </c>
      <c r="Q506" s="148" t="str">
        <f>IFERROR(__xludf.DUMMYFUNCTION("""COMPUTED_VALUE"""),"[""bag_other""]")</f>
        <v>["bag_other"]</v>
      </c>
      <c r="R506" s="148" t="str">
        <f>IFERROR(__xludf.DUMMYFUNCTION("""COMPUTED_VALUE"""),"[""bag"",""13650125""]")</f>
        <v>["bag","13650125"]</v>
      </c>
      <c r="S506" s="148" t="str">
        <f>IFERROR(__xludf.DUMMYFUNCTION("""COMPUTED_VALUE"""),"{""effect"":[{""typ"":""marching_effect"",""id"":13650125,""val"":2592000000},{""typ"":""vm"",""id"":11151001,""val"":1000}]}")</f>
        <v>{"effect":[{"typ":"marching_effect","id":13650125,"val":2592000000},{"typ":"vm","id":11151001,"val":1000}]}</v>
      </c>
      <c r="T506" s="148">
        <f>IFERROR(__xludf.DUMMYFUNCTION("""COMPUTED_VALUE"""),-1.0)</f>
        <v>-1</v>
      </c>
      <c r="U506" s="148">
        <f>IFERROR(__xludf.DUMMYFUNCTION("""COMPUTED_VALUE"""),0.0)</f>
        <v>0</v>
      </c>
      <c r="V506" s="148" t="str">
        <f>IFERROR(__xludf.DUMMYFUNCTION("""COMPUTED_VALUE"""),"[]")</f>
        <v>[]</v>
      </c>
      <c r="W506" s="148">
        <f>IFERROR(__xludf.DUMMYFUNCTION("""COMPUTED_VALUE"""),1.174E7)</f>
        <v>11740000</v>
      </c>
      <c r="X506" s="148">
        <f>IFERROR(__xludf.DUMMYFUNCTION("""COMPUTED_VALUE"""),0.0)</f>
        <v>0</v>
      </c>
      <c r="Y506" s="148">
        <f>IFERROR(__xludf.DUMMYFUNCTION("""COMPUTED_VALUE"""),0.0)</f>
        <v>0</v>
      </c>
      <c r="Z506" s="148"/>
    </row>
    <row r="507">
      <c r="A507" s="148">
        <f>IFERROR(__xludf.DUMMYFUNCTION("""COMPUTED_VALUE"""),1.1112299E7)</f>
        <v>11112299</v>
      </c>
      <c r="B507" s="148" t="str">
        <f>IFERROR(__xludf.DUMMYFUNCTION("""COMPUTED_VALUE"""),"行军特效-彩云追月-永久")</f>
        <v>行军特效-彩云追月-永久</v>
      </c>
      <c r="C507" s="148"/>
      <c r="D507" s="148" t="str">
        <f>IFERROR(__xludf.DUMMYFUNCTION("""COMPUTED_VALUE"""),"marching_effect")</f>
        <v>marching_effect</v>
      </c>
      <c r="E507" s="148">
        <f>IFERROR(__xludf.DUMMYFUNCTION("""COMPUTED_VALUE"""),0.0)</f>
        <v>0</v>
      </c>
      <c r="F507" s="148">
        <f>IFERROR(__xludf.DUMMYFUNCTION("""COMPUTED_VALUE"""),408195.0)</f>
        <v>408195</v>
      </c>
      <c r="G507" s="148">
        <f>IFERROR(__xludf.DUMMYFUNCTION("""COMPUTED_VALUE"""),1.51100445E8)</f>
        <v>151100445</v>
      </c>
      <c r="H507" s="148">
        <f>IFERROR(__xludf.DUMMYFUNCTION("""COMPUTED_VALUE"""),1.5112564E7)</f>
        <v>15112564</v>
      </c>
      <c r="I507" s="148" t="str">
        <f>IFERROR(__xludf.DUMMYFUNCTION("""COMPUTED_VALUE"""),"{}")</f>
        <v>{}</v>
      </c>
      <c r="J507" s="148" t="str">
        <f>IFERROR(__xludf.DUMMYFUNCTION("""COMPUTED_VALUE"""),"{""typ"":""lc"",""txt"":""LC_ITEM_festival_bp_24_moon_march_effect""}")</f>
        <v>{"typ":"lc","txt":"LC_ITEM_festival_bp_24_moon_march_effect"}</v>
      </c>
      <c r="K507" s="148" t="str">
        <f>IFERROR(__xludf.DUMMYFUNCTION("""COMPUTED_VALUE"""),"{""typ"":""lc"",""txt"":""LC_ITEM_festival_bp_24_moon_march_effect_desc""}")</f>
        <v>{"typ":"lc","txt":"LC_ITEM_festival_bp_24_moon_march_effect_desc"}</v>
      </c>
      <c r="L507" s="148" t="str">
        <f>IFERROR(__xludf.DUMMYFUNCTION("""COMPUTED_VALUE"""),"{""typ"":""lc"",""txt"":""LC_ITEM_festival_bp_24_moon_march_effect_used""}")</f>
        <v>{"typ":"lc","txt":"LC_ITEM_festival_bp_24_moon_march_effect_used"}</v>
      </c>
      <c r="M507" s="148">
        <f>IFERROR(__xludf.DUMMYFUNCTION("""COMPUTED_VALUE"""),5000.0)</f>
        <v>5000</v>
      </c>
      <c r="N507" s="148">
        <f>IFERROR(__xludf.DUMMYFUNCTION("""COMPUTED_VALUE"""),999999.0)</f>
        <v>999999</v>
      </c>
      <c r="O507" s="148">
        <f>IFERROR(__xludf.DUMMYFUNCTION("""COMPUTED_VALUE"""),99999.0)</f>
        <v>99999</v>
      </c>
      <c r="P507" s="148">
        <f>IFERROR(__xludf.DUMMYFUNCTION("""COMPUTED_VALUE"""),1.0)</f>
        <v>1</v>
      </c>
      <c r="Q507" s="148" t="str">
        <f>IFERROR(__xludf.DUMMYFUNCTION("""COMPUTED_VALUE"""),"[""bag_other""]")</f>
        <v>["bag_other"]</v>
      </c>
      <c r="R507" s="148" t="str">
        <f>IFERROR(__xludf.DUMMYFUNCTION("""COMPUTED_VALUE"""),"[""bag"",""13650125""]")</f>
        <v>["bag","13650125"]</v>
      </c>
      <c r="S507" s="148" t="str">
        <f>IFERROR(__xludf.DUMMYFUNCTION("""COMPUTED_VALUE"""),"{""effect"":[{""typ"":""marching_effect"",""id"":13650125,""val"":-1},{""typ"":""vm"",""id"":11151001,""val"":2500}]}")</f>
        <v>{"effect":[{"typ":"marching_effect","id":13650125,"val":-1},{"typ":"vm","id":11151001,"val":2500}]}</v>
      </c>
      <c r="T507" s="148">
        <f>IFERROR(__xludf.DUMMYFUNCTION("""COMPUTED_VALUE"""),-1.0)</f>
        <v>-1</v>
      </c>
      <c r="U507" s="148">
        <f>IFERROR(__xludf.DUMMYFUNCTION("""COMPUTED_VALUE"""),0.0)</f>
        <v>0</v>
      </c>
      <c r="V507" s="148" t="str">
        <f>IFERROR(__xludf.DUMMYFUNCTION("""COMPUTED_VALUE"""),"[]")</f>
        <v>[]</v>
      </c>
      <c r="W507" s="148">
        <f>IFERROR(__xludf.DUMMYFUNCTION("""COMPUTED_VALUE"""),1.174E7)</f>
        <v>11740000</v>
      </c>
      <c r="X507" s="148">
        <f>IFERROR(__xludf.DUMMYFUNCTION("""COMPUTED_VALUE"""),0.0)</f>
        <v>0</v>
      </c>
      <c r="Y507" s="148">
        <f>IFERROR(__xludf.DUMMYFUNCTION("""COMPUTED_VALUE"""),0.0)</f>
        <v>0</v>
      </c>
      <c r="Z507" s="148"/>
    </row>
    <row r="508">
      <c r="A508" s="148">
        <f>IFERROR(__xludf.DUMMYFUNCTION("""COMPUTED_VALUE"""),1.11123E7)</f>
        <v>11112300</v>
      </c>
      <c r="B508" s="148" t="str">
        <f>IFERROR(__xludf.DUMMYFUNCTION("""COMPUTED_VALUE"""),"铭牌-登月节2024铭牌")</f>
        <v>铭牌-登月节2024铭牌</v>
      </c>
      <c r="C508" s="148"/>
      <c r="D508" s="148" t="str">
        <f>IFERROR(__xludf.DUMMYFUNCTION("""COMPUTED_VALUE"""),"chat_skin")</f>
        <v>chat_skin</v>
      </c>
      <c r="E508" s="148">
        <f>IFERROR(__xludf.DUMMYFUNCTION("""COMPUTED_VALUE"""),30.0)</f>
        <v>30</v>
      </c>
      <c r="F508" s="148">
        <f>IFERROR(__xludf.DUMMYFUNCTION("""COMPUTED_VALUE"""),401107.0)</f>
        <v>401107</v>
      </c>
      <c r="G508" s="148">
        <f>IFERROR(__xludf.DUMMYFUNCTION("""COMPUTED_VALUE"""),1.51100446E8)</f>
        <v>151100446</v>
      </c>
      <c r="H508" s="148">
        <f>IFERROR(__xludf.DUMMYFUNCTION("""COMPUTED_VALUE"""),1.5112564E7)</f>
        <v>15112564</v>
      </c>
      <c r="I508" s="148" t="str">
        <f>IFERROR(__xludf.DUMMYFUNCTION("""COMPUTED_VALUE"""),"{}")</f>
        <v>{}</v>
      </c>
      <c r="J508" s="148" t="str">
        <f>IFERROR(__xludf.DUMMYFUNCTION("""COMPUTED_VALUE"""),"{""typ"":""lc"",""txt"":""LC_ITEM_moon2024_nameplate_item_name""}")</f>
        <v>{"typ":"lc","txt":"LC_ITEM_moon2024_nameplate_item_name"}</v>
      </c>
      <c r="K508" s="148" t="str">
        <f>IFERROR(__xludf.DUMMYFUNCTION("""COMPUTED_VALUE"""),"{""typ"":""lc"",""txt"":""LC_ITEM_moon2024_nameplate_item_desc_item""}")</f>
        <v>{"typ":"lc","txt":"LC_ITEM_moon2024_nameplate_item_desc_item"}</v>
      </c>
      <c r="L508" s="148" t="str">
        <f>IFERROR(__xludf.DUMMYFUNCTION("""COMPUTED_VALUE"""),"{""typ"":""lc"",""txt"":""LC_ITEM_season_extra_reward_usedtip""}")</f>
        <v>{"typ":"lc","txt":"LC_ITEM_season_extra_reward_usedtip"}</v>
      </c>
      <c r="M508" s="148">
        <f>IFERROR(__xludf.DUMMYFUNCTION("""COMPUTED_VALUE"""),2500.0)</f>
        <v>2500</v>
      </c>
      <c r="N508" s="148">
        <f>IFERROR(__xludf.DUMMYFUNCTION("""COMPUTED_VALUE"""),9999999.0)</f>
        <v>9999999</v>
      </c>
      <c r="O508" s="148">
        <f>IFERROR(__xludf.DUMMYFUNCTION("""COMPUTED_VALUE"""),1.0)</f>
        <v>1</v>
      </c>
      <c r="P508" s="148">
        <f>IFERROR(__xludf.DUMMYFUNCTION("""COMPUTED_VALUE"""),1.0)</f>
        <v>1</v>
      </c>
      <c r="Q508" s="148" t="str">
        <f>IFERROR(__xludf.DUMMYFUNCTION("""COMPUTED_VALUE"""),"[""bag_other""]")</f>
        <v>["bag_other"]</v>
      </c>
      <c r="R508" s="148" t="str">
        <f>IFERROR(__xludf.DUMMYFUNCTION("""COMPUTED_VALUE"""),"[""11731027"",""bag""]")</f>
        <v>["11731027","bag"]</v>
      </c>
      <c r="S508" s="148" t="str">
        <f>IFERROR(__xludf.DUMMYFUNCTION("""COMPUTED_VALUE"""),"{""effect"":[{""typ"":""nameplate"",""id"":11731027,""val"":-1}]}")</f>
        <v>{"effect":[{"typ":"nameplate","id":11731027,"val":-1}]}</v>
      </c>
      <c r="T508" s="148">
        <f>IFERROR(__xludf.DUMMYFUNCTION("""COMPUTED_VALUE"""),-1.0)</f>
        <v>-1</v>
      </c>
      <c r="U508" s="148">
        <f>IFERROR(__xludf.DUMMYFUNCTION("""COMPUTED_VALUE"""),0.0)</f>
        <v>0</v>
      </c>
      <c r="V508" s="148" t="str">
        <f>IFERROR(__xludf.DUMMYFUNCTION("""COMPUTED_VALUE"""),"[]")</f>
        <v>[]</v>
      </c>
      <c r="W508" s="148">
        <f>IFERROR(__xludf.DUMMYFUNCTION("""COMPUTED_VALUE"""),1.174E7)</f>
        <v>11740000</v>
      </c>
      <c r="X508" s="148">
        <f>IFERROR(__xludf.DUMMYFUNCTION("""COMPUTED_VALUE"""),0.0)</f>
        <v>0</v>
      </c>
      <c r="Y508" s="148">
        <f>IFERROR(__xludf.DUMMYFUNCTION("""COMPUTED_VALUE"""),0.0)</f>
        <v>0</v>
      </c>
      <c r="Z508" s="148"/>
    </row>
    <row r="509">
      <c r="A509" s="148">
        <f>IFERROR(__xludf.DUMMYFUNCTION("""COMPUTED_VALUE"""),1.1112301E7)</f>
        <v>11112301</v>
      </c>
      <c r="B509" s="148" t="str">
        <f>IFERROR(__xludf.DUMMYFUNCTION("""COMPUTED_VALUE"""),"登月节2024-主城特效")</f>
        <v>登月节2024-主城特效</v>
      </c>
      <c r="C509" s="148"/>
      <c r="D509" s="148" t="str">
        <f>IFERROR(__xludf.DUMMYFUNCTION("""COMPUTED_VALUE"""),"city_effect")</f>
        <v>city_effect</v>
      </c>
      <c r="E509" s="148">
        <f>IFERROR(__xludf.DUMMYFUNCTION("""COMPUTED_VALUE"""),0.0)</f>
        <v>0</v>
      </c>
      <c r="F509" s="148">
        <f>IFERROR(__xludf.DUMMYFUNCTION("""COMPUTED_VALUE"""),405217.0)</f>
        <v>405217</v>
      </c>
      <c r="G509" s="148">
        <f>IFERROR(__xludf.DUMMYFUNCTION("""COMPUTED_VALUE"""),1.51100452E8)</f>
        <v>151100452</v>
      </c>
      <c r="H509" s="148">
        <f>IFERROR(__xludf.DUMMYFUNCTION("""COMPUTED_VALUE"""),1.5112564E7)</f>
        <v>15112564</v>
      </c>
      <c r="I509" s="148" t="str">
        <f>IFERROR(__xludf.DUMMYFUNCTION("""COMPUTED_VALUE"""),"{}")</f>
        <v>{}</v>
      </c>
      <c r="J509" s="148" t="str">
        <f>IFERROR(__xludf.DUMMYFUNCTION("""COMPUTED_VALUE"""),"{""typ"":""lc"",""txt"":""LC_ITEM_moon_city_effect_name""}")</f>
        <v>{"typ":"lc","txt":"LC_ITEM_moon_city_effect_name"}</v>
      </c>
      <c r="K509" s="148" t="str">
        <f>IFERROR(__xludf.DUMMYFUNCTION("""COMPUTED_VALUE"""),"{""typ"":""lc"",""txt"":""LC_ITEM_moon_city_effect_desc""}")</f>
        <v>{"typ":"lc","txt":"LC_ITEM_moon_city_effect_desc"}</v>
      </c>
      <c r="L509" s="148" t="str">
        <f>IFERROR(__xludf.DUMMYFUNCTION("""COMPUTED_VALUE"""),"{}")</f>
        <v>{}</v>
      </c>
      <c r="M509" s="148">
        <f>IFERROR(__xludf.DUMMYFUNCTION("""COMPUTED_VALUE"""),10000.0)</f>
        <v>10000</v>
      </c>
      <c r="N509" s="148">
        <f>IFERROR(__xludf.DUMMYFUNCTION("""COMPUTED_VALUE"""),999999.0)</f>
        <v>999999</v>
      </c>
      <c r="O509" s="148">
        <f>IFERROR(__xludf.DUMMYFUNCTION("""COMPUTED_VALUE"""),99999.0)</f>
        <v>99999</v>
      </c>
      <c r="P509" s="148">
        <f>IFERROR(__xludf.DUMMYFUNCTION("""COMPUTED_VALUE"""),1.0)</f>
        <v>1</v>
      </c>
      <c r="Q509" s="148" t="str">
        <f>IFERROR(__xludf.DUMMYFUNCTION("""COMPUTED_VALUE"""),"[""bag_other""]")</f>
        <v>["bag_other"]</v>
      </c>
      <c r="R509" s="148" t="str">
        <f>IFERROR(__xludf.DUMMYFUNCTION("""COMPUTED_VALUE"""),"[""bag"",""13871002""]")</f>
        <v>["bag","13871002"]</v>
      </c>
      <c r="S509" s="148" t="str">
        <f>IFERROR(__xludf.DUMMYFUNCTION("""COMPUTED_VALUE"""),"{""effect"":[{""typ"":""city_effect"",""id"":13871002,""val"":-1},{""typ"":""item"",""id"":11111034,""val"":10}]}")</f>
        <v>{"effect":[{"typ":"city_effect","id":13871002,"val":-1},{"typ":"item","id":11111034,"val":10}]}</v>
      </c>
      <c r="T509" s="148">
        <f>IFERROR(__xludf.DUMMYFUNCTION("""COMPUTED_VALUE"""),-1.0)</f>
        <v>-1</v>
      </c>
      <c r="U509" s="148">
        <f>IFERROR(__xludf.DUMMYFUNCTION("""COMPUTED_VALUE"""),0.0)</f>
        <v>0</v>
      </c>
      <c r="V509" s="148" t="str">
        <f>IFERROR(__xludf.DUMMYFUNCTION("""COMPUTED_VALUE"""),"[]")</f>
        <v>[]</v>
      </c>
      <c r="W509" s="148">
        <f>IFERROR(__xludf.DUMMYFUNCTION("""COMPUTED_VALUE"""),1.174E7)</f>
        <v>11740000</v>
      </c>
      <c r="X509" s="148">
        <f>IFERROR(__xludf.DUMMYFUNCTION("""COMPUTED_VALUE"""),0.0)</f>
        <v>0</v>
      </c>
      <c r="Y509" s="148">
        <f>IFERROR(__xludf.DUMMYFUNCTION("""COMPUTED_VALUE"""),0.0)</f>
        <v>0</v>
      </c>
      <c r="Z509" s="148"/>
    </row>
    <row r="510">
      <c r="A510" s="148">
        <f>IFERROR(__xludf.DUMMYFUNCTION("""COMPUTED_VALUE"""),1.1112302E7)</f>
        <v>11112302</v>
      </c>
      <c r="B510" s="148" t="str">
        <f>IFERROR(__xludf.DUMMYFUNCTION("""COMPUTED_VALUE"""),"登月节2024-兼容特效")</f>
        <v>登月节2024-兼容特效</v>
      </c>
      <c r="C510" s="148"/>
      <c r="D510" s="148" t="str">
        <f>IFERROR(__xludf.DUMMYFUNCTION("""COMPUTED_VALUE"""),"city_effect")</f>
        <v>city_effect</v>
      </c>
      <c r="E510" s="148">
        <f>IFERROR(__xludf.DUMMYFUNCTION("""COMPUTED_VALUE"""),0.0)</f>
        <v>0</v>
      </c>
      <c r="F510" s="148">
        <f>IFERROR(__xludf.DUMMYFUNCTION("""COMPUTED_VALUE"""),405217.0)</f>
        <v>405217</v>
      </c>
      <c r="G510" s="148">
        <f>IFERROR(__xludf.DUMMYFUNCTION("""COMPUTED_VALUE"""),1.51100452E8)</f>
        <v>151100452</v>
      </c>
      <c r="H510" s="148">
        <f>IFERROR(__xludf.DUMMYFUNCTION("""COMPUTED_VALUE"""),1.5112564E7)</f>
        <v>15112564</v>
      </c>
      <c r="I510" s="148" t="str">
        <f>IFERROR(__xludf.DUMMYFUNCTION("""COMPUTED_VALUE"""),"{}")</f>
        <v>{}</v>
      </c>
      <c r="J510" s="148" t="str">
        <f>IFERROR(__xludf.DUMMYFUNCTION("""COMPUTED_VALUE"""),"{""typ"":""lc"",""txt"":""LC_ITEM_moon_city_effect_name""}")</f>
        <v>{"typ":"lc","txt":"LC_ITEM_moon_city_effect_name"}</v>
      </c>
      <c r="K510" s="148" t="str">
        <f>IFERROR(__xludf.DUMMYFUNCTION("""COMPUTED_VALUE"""),"{""typ"":""lc"",""txt"":""LC_ITEM_moon_city_effect_desc""}")</f>
        <v>{"typ":"lc","txt":"LC_ITEM_moon_city_effect_desc"}</v>
      </c>
      <c r="L510" s="148" t="str">
        <f>IFERROR(__xludf.DUMMYFUNCTION("""COMPUTED_VALUE"""),"{}")</f>
        <v>{}</v>
      </c>
      <c r="M510" s="148">
        <f>IFERROR(__xludf.DUMMYFUNCTION("""COMPUTED_VALUE"""),10000.0)</f>
        <v>10000</v>
      </c>
      <c r="N510" s="148">
        <f>IFERROR(__xludf.DUMMYFUNCTION("""COMPUTED_VALUE"""),999999.0)</f>
        <v>999999</v>
      </c>
      <c r="O510" s="148">
        <f>IFERROR(__xludf.DUMMYFUNCTION("""COMPUTED_VALUE"""),99999.0)</f>
        <v>99999</v>
      </c>
      <c r="P510" s="148">
        <f>IFERROR(__xludf.DUMMYFUNCTION("""COMPUTED_VALUE"""),1.0)</f>
        <v>1</v>
      </c>
      <c r="Q510" s="148" t="str">
        <f>IFERROR(__xludf.DUMMYFUNCTION("""COMPUTED_VALUE"""),"[""bag_other""]")</f>
        <v>["bag_other"]</v>
      </c>
      <c r="R510" s="148" t="str">
        <f>IFERROR(__xludf.DUMMYFUNCTION("""COMPUTED_VALUE"""),"[""bag"",""13871001""]")</f>
        <v>["bag","13871001"]</v>
      </c>
      <c r="S510" s="148" t="str">
        <f>IFERROR(__xludf.DUMMYFUNCTION("""COMPUTED_VALUE"""),"{""effect"":[{""typ"":""city_effect"",""id"":13871001,""val"":-1},{""typ"":""item"",""id"":11111034,""val"":10}]}")</f>
        <v>{"effect":[{"typ":"city_effect","id":13871001,"val":-1},{"typ":"item","id":11111034,"val":10}]}</v>
      </c>
      <c r="T510" s="148">
        <f>IFERROR(__xludf.DUMMYFUNCTION("""COMPUTED_VALUE"""),-1.0)</f>
        <v>-1</v>
      </c>
      <c r="U510" s="148">
        <f>IFERROR(__xludf.DUMMYFUNCTION("""COMPUTED_VALUE"""),0.0)</f>
        <v>0</v>
      </c>
      <c r="V510" s="148" t="str">
        <f>IFERROR(__xludf.DUMMYFUNCTION("""COMPUTED_VALUE"""),"[]")</f>
        <v>[]</v>
      </c>
      <c r="W510" s="148">
        <f>IFERROR(__xludf.DUMMYFUNCTION("""COMPUTED_VALUE"""),1.174E7)</f>
        <v>11740000</v>
      </c>
      <c r="X510" s="148">
        <f>IFERROR(__xludf.DUMMYFUNCTION("""COMPUTED_VALUE"""),0.0)</f>
        <v>0</v>
      </c>
      <c r="Y510" s="148">
        <f>IFERROR(__xludf.DUMMYFUNCTION("""COMPUTED_VALUE"""),0.0)</f>
        <v>0</v>
      </c>
      <c r="Z510" s="148"/>
    </row>
    <row r="511">
      <c r="A511" s="148">
        <f>IFERROR(__xludf.DUMMYFUNCTION("""COMPUTED_VALUE"""),1.1112303E7)</f>
        <v>11112303</v>
      </c>
      <c r="B511" s="148" t="str">
        <f>IFERROR(__xludf.DUMMYFUNCTION("""COMPUTED_VALUE"""),"登月节签到bp解锁道具")</f>
        <v>登月节签到bp解锁道具</v>
      </c>
      <c r="C511" s="148"/>
      <c r="D511" s="148" t="str">
        <f>IFERROR(__xludf.DUMMYFUNCTION("""COMPUTED_VALUE"""),"battle_pass_card")</f>
        <v>battle_pass_card</v>
      </c>
      <c r="E511" s="148">
        <f>IFERROR(__xludf.DUMMYFUNCTION("""COMPUTED_VALUE"""),0.0)</f>
        <v>0</v>
      </c>
      <c r="F511" s="148">
        <f>IFERROR(__xludf.DUMMYFUNCTION("""COMPUTED_VALUE"""),0.0)</f>
        <v>0</v>
      </c>
      <c r="G511" s="148">
        <f>IFERROR(__xludf.DUMMYFUNCTION("""COMPUTED_VALUE"""),0.0)</f>
        <v>0</v>
      </c>
      <c r="H511" s="148">
        <f>IFERROR(__xludf.DUMMYFUNCTION("""COMPUTED_VALUE"""),1.5112564E7)</f>
        <v>15112564</v>
      </c>
      <c r="I511" s="148" t="str">
        <f>IFERROR(__xludf.DUMMYFUNCTION("""COMPUTED_VALUE"""),"{}")</f>
        <v>{}</v>
      </c>
      <c r="J511" s="148" t="str">
        <f>IFERROR(__xludf.DUMMYFUNCTION("""COMPUTED_VALUE"""),"{""typ"":""lc"",""txt"":""LC_EVENT_thankgive_login_bp_2024""}")</f>
        <v>{"typ":"lc","txt":"LC_EVENT_thankgive_login_bp_2024"}</v>
      </c>
      <c r="K511" s="148" t="str">
        <f>IFERROR(__xludf.DUMMYFUNCTION("""COMPUTED_VALUE"""),"{""typ"":""lc"",""txt"":""LC_EVENT_24_moon_log_in_advance""}")</f>
        <v>{"typ":"lc","txt":"LC_EVENT_24_moon_log_in_advance"}</v>
      </c>
      <c r="L511" s="148" t="str">
        <f>IFERROR(__xludf.DUMMYFUNCTION("""COMPUTED_VALUE"""),"{}")</f>
        <v>{}</v>
      </c>
      <c r="M511" s="148">
        <f>IFERROR(__xludf.DUMMYFUNCTION("""COMPUTED_VALUE"""),10.0)</f>
        <v>10</v>
      </c>
      <c r="N511" s="148">
        <f>IFERROR(__xludf.DUMMYFUNCTION("""COMPUTED_VALUE"""),999999.0)</f>
        <v>999999</v>
      </c>
      <c r="O511" s="148">
        <f>IFERROR(__xludf.DUMMYFUNCTION("""COMPUTED_VALUE"""),99999.0)</f>
        <v>99999</v>
      </c>
      <c r="P511" s="148">
        <f>IFERROR(__xludf.DUMMYFUNCTION("""COMPUTED_VALUE"""),9999.0)</f>
        <v>9999</v>
      </c>
      <c r="Q511" s="148" t="str">
        <f>IFERROR(__xludf.DUMMYFUNCTION("""COMPUTED_VALUE"""),"[]")</f>
        <v>[]</v>
      </c>
      <c r="R511" s="148" t="str">
        <f>IFERROR(__xludf.DUMMYFUNCTION("""COMPUTED_VALUE"""),"[]")</f>
        <v>[]</v>
      </c>
      <c r="S511" s="148" t="str">
        <f>IFERROR(__xludf.DUMMYFUNCTION("""COMPUTED_VALUE"""),"{}")</f>
        <v>{}</v>
      </c>
      <c r="T511" s="148">
        <f>IFERROR(__xludf.DUMMYFUNCTION("""COMPUTED_VALUE"""),-1.0)</f>
        <v>-1</v>
      </c>
      <c r="U511" s="148">
        <f>IFERROR(__xludf.DUMMYFUNCTION("""COMPUTED_VALUE"""),1.0)</f>
        <v>1</v>
      </c>
      <c r="V511" s="148" t="str">
        <f>IFERROR(__xludf.DUMMYFUNCTION("""COMPUTED_VALUE"""),"[]")</f>
        <v>[]</v>
      </c>
      <c r="W511" s="148">
        <f>IFERROR(__xludf.DUMMYFUNCTION("""COMPUTED_VALUE"""),1.174E7)</f>
        <v>11740000</v>
      </c>
      <c r="X511" s="148">
        <f>IFERROR(__xludf.DUMMYFUNCTION("""COMPUTED_VALUE"""),0.0)</f>
        <v>0</v>
      </c>
      <c r="Y511" s="148">
        <f>IFERROR(__xludf.DUMMYFUNCTION("""COMPUTED_VALUE"""),0.0)</f>
        <v>0</v>
      </c>
      <c r="Z511" s="148"/>
    </row>
    <row r="512">
      <c r="A512" s="148">
        <f>IFERROR(__xludf.DUMMYFUNCTION("""COMPUTED_VALUE"""),1.1112304E7)</f>
        <v>11112304</v>
      </c>
      <c r="B512" s="148" t="str">
        <f>IFERROR(__xludf.DUMMYFUNCTION("""COMPUTED_VALUE"""),"万圣节-BattlePass-初级通行证-2024")</f>
        <v>万圣节-BattlePass-初级通行证-2024</v>
      </c>
      <c r="C512" s="148"/>
      <c r="D512" s="148" t="str">
        <f>IFERROR(__xludf.DUMMYFUNCTION("""COMPUTED_VALUE"""),"battle_pass_card")</f>
        <v>battle_pass_card</v>
      </c>
      <c r="E512" s="148">
        <f>IFERROR(__xludf.DUMMYFUNCTION("""COMPUTED_VALUE"""),0.0)</f>
        <v>0</v>
      </c>
      <c r="F512" s="148">
        <f>IFERROR(__xludf.DUMMYFUNCTION("""COMPUTED_VALUE"""),0.0)</f>
        <v>0</v>
      </c>
      <c r="G512" s="148">
        <f>IFERROR(__xludf.DUMMYFUNCTION("""COMPUTED_VALUE"""),1.5117279E7)</f>
        <v>15117279</v>
      </c>
      <c r="H512" s="148">
        <f>IFERROR(__xludf.DUMMYFUNCTION("""COMPUTED_VALUE"""),1.5112563E7)</f>
        <v>15112563</v>
      </c>
      <c r="I512" s="148" t="str">
        <f>IFERROR(__xludf.DUMMYFUNCTION("""COMPUTED_VALUE"""),"{}")</f>
        <v>{}</v>
      </c>
      <c r="J512" s="148" t="str">
        <f>IFERROR(__xludf.DUMMYFUNCTION("""COMPUTED_VALUE"""),"{""typ"":""lc"",""txt"":""LC_ITEM_halloween_item_2022_name_1""}")</f>
        <v>{"typ":"lc","txt":"LC_ITEM_halloween_item_2022_name_1"}</v>
      </c>
      <c r="K512" s="148" t="str">
        <f>IFERROR(__xludf.DUMMYFUNCTION("""COMPUTED_VALUE"""),"{}")</f>
        <v>{}</v>
      </c>
      <c r="L512" s="148" t="str">
        <f>IFERROR(__xludf.DUMMYFUNCTION("""COMPUTED_VALUE"""),"{}")</f>
        <v>{}</v>
      </c>
      <c r="M512" s="148">
        <f>IFERROR(__xludf.DUMMYFUNCTION("""COMPUTED_VALUE"""),10.0)</f>
        <v>10</v>
      </c>
      <c r="N512" s="148">
        <f>IFERROR(__xludf.DUMMYFUNCTION("""COMPUTED_VALUE"""),999999.0)</f>
        <v>999999</v>
      </c>
      <c r="O512" s="148">
        <f>IFERROR(__xludf.DUMMYFUNCTION("""COMPUTED_VALUE"""),99999.0)</f>
        <v>99999</v>
      </c>
      <c r="P512" s="148">
        <f>IFERROR(__xludf.DUMMYFUNCTION("""COMPUTED_VALUE"""),9999.0)</f>
        <v>9999</v>
      </c>
      <c r="Q512" s="148" t="str">
        <f>IFERROR(__xludf.DUMMYFUNCTION("""COMPUTED_VALUE"""),"[]")</f>
        <v>[]</v>
      </c>
      <c r="R512" s="148" t="str">
        <f>IFERROR(__xludf.DUMMYFUNCTION("""COMPUTED_VALUE"""),"[]")</f>
        <v>[]</v>
      </c>
      <c r="S512" s="148" t="str">
        <f>IFERROR(__xludf.DUMMYFUNCTION("""COMPUTED_VALUE"""),"{}")</f>
        <v>{}</v>
      </c>
      <c r="T512" s="148">
        <f>IFERROR(__xludf.DUMMYFUNCTION("""COMPUTED_VALUE"""),-1.0)</f>
        <v>-1</v>
      </c>
      <c r="U512" s="148">
        <f>IFERROR(__xludf.DUMMYFUNCTION("""COMPUTED_VALUE"""),1.0)</f>
        <v>1</v>
      </c>
      <c r="V512" s="148" t="str">
        <f>IFERROR(__xludf.DUMMYFUNCTION("""COMPUTED_VALUE"""),"[]")</f>
        <v>[]</v>
      </c>
      <c r="W512" s="148">
        <f>IFERROR(__xludf.DUMMYFUNCTION("""COMPUTED_VALUE"""),1.174E7)</f>
        <v>11740000</v>
      </c>
      <c r="X512" s="148">
        <f>IFERROR(__xludf.DUMMYFUNCTION("""COMPUTED_VALUE"""),0.0)</f>
        <v>0</v>
      </c>
      <c r="Y512" s="148">
        <f>IFERROR(__xludf.DUMMYFUNCTION("""COMPUTED_VALUE"""),0.0)</f>
        <v>0</v>
      </c>
      <c r="Z512" s="148"/>
    </row>
    <row r="513">
      <c r="A513" s="148">
        <f>IFERROR(__xludf.DUMMYFUNCTION("""COMPUTED_VALUE"""),1.1112305E7)</f>
        <v>11112305</v>
      </c>
      <c r="B513" s="148" t="str">
        <f>IFERROR(__xludf.DUMMYFUNCTION("""COMPUTED_VALUE"""),"万圣节-BattlePass-高级通行证-2024")</f>
        <v>万圣节-BattlePass-高级通行证-2024</v>
      </c>
      <c r="C513" s="148"/>
      <c r="D513" s="148" t="str">
        <f>IFERROR(__xludf.DUMMYFUNCTION("""COMPUTED_VALUE"""),"battle_pass_card")</f>
        <v>battle_pass_card</v>
      </c>
      <c r="E513" s="148">
        <f>IFERROR(__xludf.DUMMYFUNCTION("""COMPUTED_VALUE"""),0.0)</f>
        <v>0</v>
      </c>
      <c r="F513" s="148">
        <f>IFERROR(__xludf.DUMMYFUNCTION("""COMPUTED_VALUE"""),0.0)</f>
        <v>0</v>
      </c>
      <c r="G513" s="148">
        <f>IFERROR(__xludf.DUMMYFUNCTION("""COMPUTED_VALUE"""),1.5117279E7)</f>
        <v>15117279</v>
      </c>
      <c r="H513" s="148">
        <f>IFERROR(__xludf.DUMMYFUNCTION("""COMPUTED_VALUE"""),1.5112563E7)</f>
        <v>15112563</v>
      </c>
      <c r="I513" s="148" t="str">
        <f>IFERROR(__xludf.DUMMYFUNCTION("""COMPUTED_VALUE"""),"{}")</f>
        <v>{}</v>
      </c>
      <c r="J513" s="148" t="str">
        <f>IFERROR(__xludf.DUMMYFUNCTION("""COMPUTED_VALUE"""),"{""typ"":""lc"",""txt"":""LC_ITEM_halloween_item_2022_name_1""}")</f>
        <v>{"typ":"lc","txt":"LC_ITEM_halloween_item_2022_name_1"}</v>
      </c>
      <c r="K513" s="148" t="str">
        <f>IFERROR(__xludf.DUMMYFUNCTION("""COMPUTED_VALUE"""),"{}")</f>
        <v>{}</v>
      </c>
      <c r="L513" s="148" t="str">
        <f>IFERROR(__xludf.DUMMYFUNCTION("""COMPUTED_VALUE"""),"{}")</f>
        <v>{}</v>
      </c>
      <c r="M513" s="148">
        <f>IFERROR(__xludf.DUMMYFUNCTION("""COMPUTED_VALUE"""),10.0)</f>
        <v>10</v>
      </c>
      <c r="N513" s="148">
        <f>IFERROR(__xludf.DUMMYFUNCTION("""COMPUTED_VALUE"""),999999.0)</f>
        <v>999999</v>
      </c>
      <c r="O513" s="148">
        <f>IFERROR(__xludf.DUMMYFUNCTION("""COMPUTED_VALUE"""),99999.0)</f>
        <v>99999</v>
      </c>
      <c r="P513" s="148">
        <f>IFERROR(__xludf.DUMMYFUNCTION("""COMPUTED_VALUE"""),9999.0)</f>
        <v>9999</v>
      </c>
      <c r="Q513" s="148" t="str">
        <f>IFERROR(__xludf.DUMMYFUNCTION("""COMPUTED_VALUE"""),"[]")</f>
        <v>[]</v>
      </c>
      <c r="R513" s="148" t="str">
        <f>IFERROR(__xludf.DUMMYFUNCTION("""COMPUTED_VALUE"""),"[]")</f>
        <v>[]</v>
      </c>
      <c r="S513" s="148" t="str">
        <f>IFERROR(__xludf.DUMMYFUNCTION("""COMPUTED_VALUE"""),"{}")</f>
        <v>{}</v>
      </c>
      <c r="T513" s="148">
        <f>IFERROR(__xludf.DUMMYFUNCTION("""COMPUTED_VALUE"""),-1.0)</f>
        <v>-1</v>
      </c>
      <c r="U513" s="148">
        <f>IFERROR(__xludf.DUMMYFUNCTION("""COMPUTED_VALUE"""),1.0)</f>
        <v>1</v>
      </c>
      <c r="V513" s="148" t="str">
        <f>IFERROR(__xludf.DUMMYFUNCTION("""COMPUTED_VALUE"""),"[]")</f>
        <v>[]</v>
      </c>
      <c r="W513" s="148">
        <f>IFERROR(__xludf.DUMMYFUNCTION("""COMPUTED_VALUE"""),1.174E7)</f>
        <v>11740000</v>
      </c>
      <c r="X513" s="148">
        <f>IFERROR(__xludf.DUMMYFUNCTION("""COMPUTED_VALUE"""),0.0)</f>
        <v>0</v>
      </c>
      <c r="Y513" s="148">
        <f>IFERROR(__xludf.DUMMYFUNCTION("""COMPUTED_VALUE"""),0.0)</f>
        <v>0</v>
      </c>
      <c r="Z513" s="148"/>
    </row>
    <row r="514">
      <c r="A514" s="148">
        <f>IFERROR(__xludf.DUMMYFUNCTION("""COMPUTED_VALUE"""),1.1112306E7)</f>
        <v>11112306</v>
      </c>
      <c r="B514" s="148" t="str">
        <f>IFERROR(__xludf.DUMMYFUNCTION("""COMPUTED_VALUE"""),"南瓜币-万圣节通用BP道具")</f>
        <v>南瓜币-万圣节通用BP道具</v>
      </c>
      <c r="C514" s="148"/>
      <c r="D514" s="148" t="str">
        <f>IFERROR(__xludf.DUMMYFUNCTION("""COMPUTED_VALUE"""),"battle_pass_exp")</f>
        <v>battle_pass_exp</v>
      </c>
      <c r="E514" s="148">
        <f>IFERROR(__xludf.DUMMYFUNCTION("""COMPUTED_VALUE"""),0.0)</f>
        <v>0</v>
      </c>
      <c r="F514" s="148">
        <f>IFERROR(__xludf.DUMMYFUNCTION("""COMPUTED_VALUE"""),405246.0)</f>
        <v>405246</v>
      </c>
      <c r="G514" s="148">
        <f>IFERROR(__xludf.DUMMYFUNCTION("""COMPUTED_VALUE"""),1.5117279E7)</f>
        <v>15117279</v>
      </c>
      <c r="H514" s="148">
        <f>IFERROR(__xludf.DUMMYFUNCTION("""COMPUTED_VALUE"""),1.5112563E7)</f>
        <v>15112563</v>
      </c>
      <c r="I514" s="148" t="str">
        <f>IFERROR(__xludf.DUMMYFUNCTION("""COMPUTED_VALUE"""),"{}")</f>
        <v>{}</v>
      </c>
      <c r="J514" s="148" t="str">
        <f>IFERROR(__xludf.DUMMYFUNCTION("""COMPUTED_VALUE"""),"{""typ"":""lc"",""txt"":""LC_ITEM_halloween_item_2022_name_1""}")</f>
        <v>{"typ":"lc","txt":"LC_ITEM_halloween_item_2022_name_1"}</v>
      </c>
      <c r="K514" s="148" t="str">
        <f>IFERROR(__xludf.DUMMYFUNCTION("""COMPUTED_VALUE"""),"{""typ"":""lc"",""txt"":""LC_ITEM_halloween_item_2022_desc_1""}")</f>
        <v>{"typ":"lc","txt":"LC_ITEM_halloween_item_2022_desc_1"}</v>
      </c>
      <c r="L514" s="148" t="str">
        <f>IFERROR(__xludf.DUMMYFUNCTION("""COMPUTED_VALUE"""),"{}")</f>
        <v>{}</v>
      </c>
      <c r="M514" s="148">
        <f>IFERROR(__xludf.DUMMYFUNCTION("""COMPUTED_VALUE"""),35.0)</f>
        <v>35</v>
      </c>
      <c r="N514" s="148">
        <f>IFERROR(__xludf.DUMMYFUNCTION("""COMPUTED_VALUE"""),999999.0)</f>
        <v>999999</v>
      </c>
      <c r="O514" s="148">
        <f>IFERROR(__xludf.DUMMYFUNCTION("""COMPUTED_VALUE"""),99999.0)</f>
        <v>99999</v>
      </c>
      <c r="P514" s="148">
        <f>IFERROR(__xludf.DUMMYFUNCTION("""COMPUTED_VALUE"""),999999.0)</f>
        <v>999999</v>
      </c>
      <c r="Q514" s="148" t="str">
        <f>IFERROR(__xludf.DUMMYFUNCTION("""COMPUTED_VALUE"""),"[""bag_other""]")</f>
        <v>["bag_other"]</v>
      </c>
      <c r="R514" s="148" t="str">
        <f>IFERROR(__xludf.DUMMYFUNCTION("""COMPUTED_VALUE"""),"[""bag""]")</f>
        <v>["bag"]</v>
      </c>
      <c r="S514" s="148" t="str">
        <f>IFERROR(__xludf.DUMMYFUNCTION("""COMPUTED_VALUE"""),"{}")</f>
        <v>{}</v>
      </c>
      <c r="T514" s="148">
        <f>IFERROR(__xludf.DUMMYFUNCTION("""COMPUTED_VALUE"""),-1.0)</f>
        <v>-1</v>
      </c>
      <c r="U514" s="148">
        <f>IFERROR(__xludf.DUMMYFUNCTION("""COMPUTED_VALUE"""),0.0)</f>
        <v>0</v>
      </c>
      <c r="V514" s="148" t="str">
        <f>IFERROR(__xludf.DUMMYFUNCTION("""COMPUTED_VALUE"""),"[]")</f>
        <v>[]</v>
      </c>
      <c r="W514" s="148">
        <f>IFERROR(__xludf.DUMMYFUNCTION("""COMPUTED_VALUE"""),1.174E7)</f>
        <v>11740000</v>
      </c>
      <c r="X514" s="148">
        <f>IFERROR(__xludf.DUMMYFUNCTION("""COMPUTED_VALUE"""),0.0)</f>
        <v>0</v>
      </c>
      <c r="Y514" s="148">
        <f>IFERROR(__xludf.DUMMYFUNCTION("""COMPUTED_VALUE"""),0.0)</f>
        <v>0</v>
      </c>
      <c r="Z514" s="148"/>
    </row>
    <row r="515">
      <c r="A515" s="148">
        <f>IFERROR(__xludf.DUMMYFUNCTION("""COMPUTED_VALUE"""),1.1112307E7)</f>
        <v>11112307</v>
      </c>
      <c r="B515" s="148" t="str">
        <f>IFERROR(__xludf.DUMMYFUNCTION("""COMPUTED_VALUE"""),"主城皮肤-万圣节高级皮肤2024-14天")</f>
        <v>主城皮肤-万圣节高级皮肤2024-14天</v>
      </c>
      <c r="C515" s="148"/>
      <c r="D515" s="148" t="str">
        <f>IFERROR(__xludf.DUMMYFUNCTION("""COMPUTED_VALUE"""),"city_skin")</f>
        <v>city_skin</v>
      </c>
      <c r="E515" s="148">
        <f>IFERROR(__xludf.DUMMYFUNCTION("""COMPUTED_VALUE"""),21.0)</f>
        <v>21</v>
      </c>
      <c r="F515" s="148">
        <f>IFERROR(__xludf.DUMMYFUNCTION("""COMPUTED_VALUE"""),400106.0)</f>
        <v>400106</v>
      </c>
      <c r="G515" s="148">
        <f>IFERROR(__xludf.DUMMYFUNCTION("""COMPUTED_VALUE"""),1.51100591E8)</f>
        <v>151100591</v>
      </c>
      <c r="H515" s="148">
        <f>IFERROR(__xludf.DUMMYFUNCTION("""COMPUTED_VALUE"""),1.5112564E7)</f>
        <v>15112564</v>
      </c>
      <c r="I515" s="148" t="str">
        <f>IFERROR(__xludf.DUMMYFUNCTION("""COMPUTED_VALUE"""),"{""typ"":""lc"",""txt"":""LC_ITEM_time_day_upper_show"",""args"":[{""typ"":""int"",""val"":14}]}")</f>
        <v>{"typ":"lc","txt":"LC_ITEM_time_day_upper_show","args":[{"typ":"int","val":14}]}</v>
      </c>
      <c r="J515" s="148" t="str">
        <f>IFERROR(__xludf.DUMMYFUNCTION("""COMPUTED_VALUE"""),"{""typ"":""lc"",""txt"":""LC_ITEM_2024hallo_highcity_skin_title_14day""}")</f>
        <v>{"typ":"lc","txt":"LC_ITEM_2024hallo_highcity_skin_title_14day"}</v>
      </c>
      <c r="K515" s="148" t="str">
        <f>IFERROR(__xludf.DUMMYFUNCTION("""COMPUTED_VALUE"""),"{""typ"":""lc"",""txt"":""LC_ITEM_2024hallo_highskin_desc_14days""}")</f>
        <v>{"typ":"lc","txt":"LC_ITEM_2024hallo_highskin_desc_14days"}</v>
      </c>
      <c r="L515" s="148" t="str">
        <f>IFERROR(__xludf.DUMMYFUNCTION("""COMPUTED_VALUE"""),"{""typ"":""lc"",""txt"":""LC_ITEM_city_skin_rocket_use_tips""}")</f>
        <v>{"typ":"lc","txt":"LC_ITEM_city_skin_rocket_use_tips"}</v>
      </c>
      <c r="M515" s="148">
        <f>IFERROR(__xludf.DUMMYFUNCTION("""COMPUTED_VALUE"""),10000.0)</f>
        <v>10000</v>
      </c>
      <c r="N515" s="148">
        <f>IFERROR(__xludf.DUMMYFUNCTION("""COMPUTED_VALUE"""),999.0)</f>
        <v>999</v>
      </c>
      <c r="O515" s="148">
        <f>IFERROR(__xludf.DUMMYFUNCTION("""COMPUTED_VALUE"""),1.0)</f>
        <v>1</v>
      </c>
      <c r="P515" s="148">
        <f>IFERROR(__xludf.DUMMYFUNCTION("""COMPUTED_VALUE"""),1.0)</f>
        <v>1</v>
      </c>
      <c r="Q515" s="148" t="str">
        <f>IFERROR(__xludf.DUMMYFUNCTION("""COMPUTED_VALUE"""),"[""bag_other""]")</f>
        <v>["bag_other"]</v>
      </c>
      <c r="R515" s="148" t="str">
        <f>IFERROR(__xludf.DUMMYFUNCTION("""COMPUTED_VALUE"""),"[""bag"",""13121049""]")</f>
        <v>["bag","13121049"]</v>
      </c>
      <c r="S515" s="148" t="str">
        <f>IFERROR(__xludf.DUMMYFUNCTION("""COMPUTED_VALUE"""),"{""effect"":[{""typ"":""city_skin"",""id"":13121049,""val"":1209600000},{""typ"":""item"",""id"":11111021,""val"":7}]}")</f>
        <v>{"effect":[{"typ":"city_skin","id":13121049,"val":1209600000},{"typ":"item","id":11111021,"val":7}]}</v>
      </c>
      <c r="T515" s="148">
        <f>IFERROR(__xludf.DUMMYFUNCTION("""COMPUTED_VALUE"""),-1.0)</f>
        <v>-1</v>
      </c>
      <c r="U515" s="148">
        <f>IFERROR(__xludf.DUMMYFUNCTION("""COMPUTED_VALUE"""),0.0)</f>
        <v>0</v>
      </c>
      <c r="V515" s="148" t="str">
        <f>IFERROR(__xludf.DUMMYFUNCTION("""COMPUTED_VALUE"""),"[]")</f>
        <v>[]</v>
      </c>
      <c r="W515" s="148">
        <f>IFERROR(__xludf.DUMMYFUNCTION("""COMPUTED_VALUE"""),1.174E7)</f>
        <v>11740000</v>
      </c>
      <c r="X515" s="148">
        <f>IFERROR(__xludf.DUMMYFUNCTION("""COMPUTED_VALUE"""),0.0)</f>
        <v>0</v>
      </c>
      <c r="Y515" s="148">
        <f>IFERROR(__xludf.DUMMYFUNCTION("""COMPUTED_VALUE"""),0.0)</f>
        <v>0</v>
      </c>
      <c r="Z515" s="148"/>
    </row>
    <row r="516">
      <c r="A516" s="148">
        <f>IFERROR(__xludf.DUMMYFUNCTION("""COMPUTED_VALUE"""),1.1112308E7)</f>
        <v>11112308</v>
      </c>
      <c r="B516" s="148" t="str">
        <f>IFERROR(__xludf.DUMMYFUNCTION("""COMPUTED_VALUE"""),"主城皮肤-万圣节高级皮肤2024-7天")</f>
        <v>主城皮肤-万圣节高级皮肤2024-7天</v>
      </c>
      <c r="C516" s="148"/>
      <c r="D516" s="148" t="str">
        <f>IFERROR(__xludf.DUMMYFUNCTION("""COMPUTED_VALUE"""),"city_skin")</f>
        <v>city_skin</v>
      </c>
      <c r="E516" s="148">
        <f>IFERROR(__xludf.DUMMYFUNCTION("""COMPUTED_VALUE"""),21.0)</f>
        <v>21</v>
      </c>
      <c r="F516" s="148">
        <f>IFERROR(__xludf.DUMMYFUNCTION("""COMPUTED_VALUE"""),400106.0)</f>
        <v>400106</v>
      </c>
      <c r="G516" s="148">
        <f>IFERROR(__xludf.DUMMYFUNCTION("""COMPUTED_VALUE"""),1.51100591E8)</f>
        <v>151100591</v>
      </c>
      <c r="H516" s="148">
        <f>IFERROR(__xludf.DUMMYFUNCTION("""COMPUTED_VALUE"""),1.5112564E7)</f>
        <v>15112564</v>
      </c>
      <c r="I516" s="148" t="str">
        <f>IFERROR(__xludf.DUMMYFUNCTION("""COMPUTED_VALUE"""),"{""typ"":""lc"",""txt"":""LC_ITEM_time_day_upper_show"",""args"":[{""typ"":""int"",""val"":7}]}")</f>
        <v>{"typ":"lc","txt":"LC_ITEM_time_day_upper_show","args":[{"typ":"int","val":7}]}</v>
      </c>
      <c r="J516" s="148" t="str">
        <f>IFERROR(__xludf.DUMMYFUNCTION("""COMPUTED_VALUE"""),"{""typ"":""lc"",""txt"":""LC_ITEM_2024hallo_highcity_skin_title_7day""}")</f>
        <v>{"typ":"lc","txt":"LC_ITEM_2024hallo_highcity_skin_title_7day"}</v>
      </c>
      <c r="K516" s="148" t="str">
        <f>IFERROR(__xludf.DUMMYFUNCTION("""COMPUTED_VALUE"""),"{""typ"":""lc"",""txt"":""LC_ITEM_2024hallo_highskin_desc_7days""}")</f>
        <v>{"typ":"lc","txt":"LC_ITEM_2024hallo_highskin_desc_7days"}</v>
      </c>
      <c r="L516" s="148" t="str">
        <f>IFERROR(__xludf.DUMMYFUNCTION("""COMPUTED_VALUE"""),"{""typ"":""lc"",""txt"":""LC_ITEM_city_skin_rocket_use_tips""}")</f>
        <v>{"typ":"lc","txt":"LC_ITEM_city_skin_rocket_use_tips"}</v>
      </c>
      <c r="M516" s="148">
        <f>IFERROR(__xludf.DUMMYFUNCTION("""COMPUTED_VALUE"""),10000.0)</f>
        <v>10000</v>
      </c>
      <c r="N516" s="148">
        <f>IFERROR(__xludf.DUMMYFUNCTION("""COMPUTED_VALUE"""),999.0)</f>
        <v>999</v>
      </c>
      <c r="O516" s="148">
        <f>IFERROR(__xludf.DUMMYFUNCTION("""COMPUTED_VALUE"""),1.0)</f>
        <v>1</v>
      </c>
      <c r="P516" s="148">
        <f>IFERROR(__xludf.DUMMYFUNCTION("""COMPUTED_VALUE"""),1.0)</f>
        <v>1</v>
      </c>
      <c r="Q516" s="148" t="str">
        <f>IFERROR(__xludf.DUMMYFUNCTION("""COMPUTED_VALUE"""),"[""bag_other""]")</f>
        <v>["bag_other"]</v>
      </c>
      <c r="R516" s="148" t="str">
        <f>IFERROR(__xludf.DUMMYFUNCTION("""COMPUTED_VALUE"""),"[""bag"",""13121049""]")</f>
        <v>["bag","13121049"]</v>
      </c>
      <c r="S516" s="148" t="str">
        <f>IFERROR(__xludf.DUMMYFUNCTION("""COMPUTED_VALUE"""),"{""effect"":[{""typ"":""city_skin"",""id"":13121049,""val"":604800000},{""typ"":""item"",""id"":11111021,""val"":3}]}")</f>
        <v>{"effect":[{"typ":"city_skin","id":13121049,"val":604800000},{"typ":"item","id":11111021,"val":3}]}</v>
      </c>
      <c r="T516" s="148">
        <f>IFERROR(__xludf.DUMMYFUNCTION("""COMPUTED_VALUE"""),-1.0)</f>
        <v>-1</v>
      </c>
      <c r="U516" s="148">
        <f>IFERROR(__xludf.DUMMYFUNCTION("""COMPUTED_VALUE"""),0.0)</f>
        <v>0</v>
      </c>
      <c r="V516" s="148" t="str">
        <f>IFERROR(__xludf.DUMMYFUNCTION("""COMPUTED_VALUE"""),"[]")</f>
        <v>[]</v>
      </c>
      <c r="W516" s="148">
        <f>IFERROR(__xludf.DUMMYFUNCTION("""COMPUTED_VALUE"""),1.174E7)</f>
        <v>11740000</v>
      </c>
      <c r="X516" s="148">
        <f>IFERROR(__xludf.DUMMYFUNCTION("""COMPUTED_VALUE"""),0.0)</f>
        <v>0</v>
      </c>
      <c r="Y516" s="148">
        <f>IFERROR(__xludf.DUMMYFUNCTION("""COMPUTED_VALUE"""),0.0)</f>
        <v>0</v>
      </c>
      <c r="Z516" s="148"/>
    </row>
    <row r="517">
      <c r="A517" s="148">
        <f>IFERROR(__xludf.DUMMYFUNCTION("""COMPUTED_VALUE"""),1.1112309E7)</f>
        <v>11112309</v>
      </c>
      <c r="B517" s="148" t="str">
        <f>IFERROR(__xludf.DUMMYFUNCTION("""COMPUTED_VALUE"""),"主城皮肤-万圣节高级皮肤2024")</f>
        <v>主城皮肤-万圣节高级皮肤2024</v>
      </c>
      <c r="C517" s="148"/>
      <c r="D517" s="148" t="str">
        <f>IFERROR(__xludf.DUMMYFUNCTION("""COMPUTED_VALUE"""),"city_skin")</f>
        <v>city_skin</v>
      </c>
      <c r="E517" s="148">
        <f>IFERROR(__xludf.DUMMYFUNCTION("""COMPUTED_VALUE"""),21.0)</f>
        <v>21</v>
      </c>
      <c r="F517" s="148">
        <f>IFERROR(__xludf.DUMMYFUNCTION("""COMPUTED_VALUE"""),400106.0)</f>
        <v>400106</v>
      </c>
      <c r="G517" s="148">
        <f>IFERROR(__xludf.DUMMYFUNCTION("""COMPUTED_VALUE"""),1.51100591E8)</f>
        <v>151100591</v>
      </c>
      <c r="H517" s="148">
        <f>IFERROR(__xludf.DUMMYFUNCTION("""COMPUTED_VALUE"""),1.5112564E7)</f>
        <v>15112564</v>
      </c>
      <c r="I517" s="148" t="str">
        <f>IFERROR(__xludf.DUMMYFUNCTION("""COMPUTED_VALUE"""),"{}")</f>
        <v>{}</v>
      </c>
      <c r="J517" s="148" t="str">
        <f>IFERROR(__xludf.DUMMYFUNCTION("""COMPUTED_VALUE"""),"{""typ"":""lc"",""txt"":""LC_ITEM_2024hallo_highcity_skin_title""}")</f>
        <v>{"typ":"lc","txt":"LC_ITEM_2024hallo_highcity_skin_title"}</v>
      </c>
      <c r="K517" s="148" t="str">
        <f>IFERROR(__xludf.DUMMYFUNCTION("""COMPUTED_VALUE"""),"{""typ"":""lc"",""txt"":""LC_ITEM_2024hallo_highskin_desc_forever""}")</f>
        <v>{"typ":"lc","txt":"LC_ITEM_2024hallo_highskin_desc_forever"}</v>
      </c>
      <c r="L517" s="148" t="str">
        <f>IFERROR(__xludf.DUMMYFUNCTION("""COMPUTED_VALUE"""),"{""typ"":""lc"",""txt"":""LC_ITEM_city_skin_rocket_use_tips""}")</f>
        <v>{"typ":"lc","txt":"LC_ITEM_city_skin_rocket_use_tips"}</v>
      </c>
      <c r="M517" s="148">
        <f>IFERROR(__xludf.DUMMYFUNCTION("""COMPUTED_VALUE"""),10000.0)</f>
        <v>10000</v>
      </c>
      <c r="N517" s="148">
        <f>IFERROR(__xludf.DUMMYFUNCTION("""COMPUTED_VALUE"""),999.0)</f>
        <v>999</v>
      </c>
      <c r="O517" s="148">
        <f>IFERROR(__xludf.DUMMYFUNCTION("""COMPUTED_VALUE"""),1.0)</f>
        <v>1</v>
      </c>
      <c r="P517" s="148">
        <f>IFERROR(__xludf.DUMMYFUNCTION("""COMPUTED_VALUE"""),1.0)</f>
        <v>1</v>
      </c>
      <c r="Q517" s="148" t="str">
        <f>IFERROR(__xludf.DUMMYFUNCTION("""COMPUTED_VALUE"""),"[""bag_other""]")</f>
        <v>["bag_other"]</v>
      </c>
      <c r="R517" s="148" t="str">
        <f>IFERROR(__xludf.DUMMYFUNCTION("""COMPUTED_VALUE"""),"[""bag"",""13121049""]")</f>
        <v>["bag","13121049"]</v>
      </c>
      <c r="S517" s="148" t="str">
        <f>IFERROR(__xludf.DUMMYFUNCTION("""COMPUTED_VALUE"""),"{""effect"":[{""typ"":""city_skin"",""id"":13121049,""val"":-1},{""typ"":""item"",""id"":11111034,""val"":10}]}")</f>
        <v>{"effect":[{"typ":"city_skin","id":13121049,"val":-1},{"typ":"item","id":11111034,"val":10}]}</v>
      </c>
      <c r="T517" s="148">
        <f>IFERROR(__xludf.DUMMYFUNCTION("""COMPUTED_VALUE"""),-1.0)</f>
        <v>-1</v>
      </c>
      <c r="U517" s="148">
        <f>IFERROR(__xludf.DUMMYFUNCTION("""COMPUTED_VALUE"""),0.0)</f>
        <v>0</v>
      </c>
      <c r="V517" s="148" t="str">
        <f>IFERROR(__xludf.DUMMYFUNCTION("""COMPUTED_VALUE"""),"[]")</f>
        <v>[]</v>
      </c>
      <c r="W517" s="148">
        <f>IFERROR(__xludf.DUMMYFUNCTION("""COMPUTED_VALUE"""),1.174E7)</f>
        <v>11740000</v>
      </c>
      <c r="X517" s="148">
        <f>IFERROR(__xludf.DUMMYFUNCTION("""COMPUTED_VALUE"""),0.0)</f>
        <v>0</v>
      </c>
      <c r="Y517" s="148">
        <f>IFERROR(__xludf.DUMMYFUNCTION("""COMPUTED_VALUE"""),0.0)</f>
        <v>0</v>
      </c>
      <c r="Z517" s="148"/>
    </row>
    <row r="518">
      <c r="A518" s="148">
        <f>IFERROR(__xludf.DUMMYFUNCTION("""COMPUTED_VALUE"""),1.111231E7)</f>
        <v>11112310</v>
      </c>
      <c r="B518" s="148" t="str">
        <f>IFERROR(__xludf.DUMMYFUNCTION("""COMPUTED_VALUE"""),"主城皮肤-万圣节2024")</f>
        <v>主城皮肤-万圣节2024</v>
      </c>
      <c r="C518" s="148"/>
      <c r="D518" s="148" t="str">
        <f>IFERROR(__xludf.DUMMYFUNCTION("""COMPUTED_VALUE"""),"city_skin")</f>
        <v>city_skin</v>
      </c>
      <c r="E518" s="148">
        <f>IFERROR(__xludf.DUMMYFUNCTION("""COMPUTED_VALUE"""),21.0)</f>
        <v>21</v>
      </c>
      <c r="F518" s="148">
        <f>IFERROR(__xludf.DUMMYFUNCTION("""COMPUTED_VALUE"""),1.0)</f>
        <v>1</v>
      </c>
      <c r="G518" s="148">
        <f>IFERROR(__xludf.DUMMYFUNCTION("""COMPUTED_VALUE"""),1.5110059E8)</f>
        <v>151100590</v>
      </c>
      <c r="H518" s="148">
        <f>IFERROR(__xludf.DUMMYFUNCTION("""COMPUTED_VALUE"""),1.5112564E7)</f>
        <v>15112564</v>
      </c>
      <c r="I518" s="148" t="str">
        <f>IFERROR(__xludf.DUMMYFUNCTION("""COMPUTED_VALUE"""),"{}")</f>
        <v>{}</v>
      </c>
      <c r="J518" s="148" t="str">
        <f>IFERROR(__xludf.DUMMYFUNCTION("""COMPUTED_VALUE"""),"{""typ"":""lc"",""txt"":""LC_ITEM_2024hallo_lowcity_skin_title""}")</f>
        <v>{"typ":"lc","txt":"LC_ITEM_2024hallo_lowcity_skin_title"}</v>
      </c>
      <c r="K518" s="148" t="str">
        <f>IFERROR(__xludf.DUMMYFUNCTION("""COMPUTED_VALUE"""),"{""typ"":""lc"",""txt"":""LC_ITEM_2024hallo_lowcity_skin_desc_forever""}")</f>
        <v>{"typ":"lc","txt":"LC_ITEM_2024hallo_lowcity_skin_desc_forever"}</v>
      </c>
      <c r="L518" s="148" t="str">
        <f>IFERROR(__xludf.DUMMYFUNCTION("""COMPUTED_VALUE"""),"{""typ"":""lc"",""txt"":""LC_ITEM_city_skin_rocket_use_tips""}")</f>
        <v>{"typ":"lc","txt":"LC_ITEM_city_skin_rocket_use_tips"}</v>
      </c>
      <c r="M518" s="148">
        <f>IFERROR(__xludf.DUMMYFUNCTION("""COMPUTED_VALUE"""),10000.0)</f>
        <v>10000</v>
      </c>
      <c r="N518" s="148">
        <f>IFERROR(__xludf.DUMMYFUNCTION("""COMPUTED_VALUE"""),999.0)</f>
        <v>999</v>
      </c>
      <c r="O518" s="148">
        <f>IFERROR(__xludf.DUMMYFUNCTION("""COMPUTED_VALUE"""),1.0)</f>
        <v>1</v>
      </c>
      <c r="P518" s="148">
        <f>IFERROR(__xludf.DUMMYFUNCTION("""COMPUTED_VALUE"""),1.0)</f>
        <v>1</v>
      </c>
      <c r="Q518" s="148" t="str">
        <f>IFERROR(__xludf.DUMMYFUNCTION("""COMPUTED_VALUE"""),"[""bag_other""]")</f>
        <v>["bag_other"]</v>
      </c>
      <c r="R518" s="148" t="str">
        <f>IFERROR(__xludf.DUMMYFUNCTION("""COMPUTED_VALUE"""),"[""bag"",""13121048""]")</f>
        <v>["bag","13121048"]</v>
      </c>
      <c r="S518" s="148" t="str">
        <f>IFERROR(__xludf.DUMMYFUNCTION("""COMPUTED_VALUE"""),"{""effect"":[{""typ"":""city_skin"",""id"":13121048,""val"":-1},{""typ"":""item"",""id"":11111034,""val"":10}]}")</f>
        <v>{"effect":[{"typ":"city_skin","id":13121048,"val":-1},{"typ":"item","id":11111034,"val":10}]}</v>
      </c>
      <c r="T518" s="148">
        <f>IFERROR(__xludf.DUMMYFUNCTION("""COMPUTED_VALUE"""),-1.0)</f>
        <v>-1</v>
      </c>
      <c r="U518" s="148">
        <f>IFERROR(__xludf.DUMMYFUNCTION("""COMPUTED_VALUE"""),0.0)</f>
        <v>0</v>
      </c>
      <c r="V518" s="148" t="str">
        <f>IFERROR(__xludf.DUMMYFUNCTION("""COMPUTED_VALUE"""),"[]")</f>
        <v>[]</v>
      </c>
      <c r="W518" s="148">
        <f>IFERROR(__xludf.DUMMYFUNCTION("""COMPUTED_VALUE"""),1.174E7)</f>
        <v>11740000</v>
      </c>
      <c r="X518" s="148">
        <f>IFERROR(__xludf.DUMMYFUNCTION("""COMPUTED_VALUE"""),0.0)</f>
        <v>0</v>
      </c>
      <c r="Y518" s="148">
        <f>IFERROR(__xludf.DUMMYFUNCTION("""COMPUTED_VALUE"""),0.0)</f>
        <v>0</v>
      </c>
      <c r="Z518" s="148"/>
    </row>
    <row r="519">
      <c r="A519" s="148">
        <f>IFERROR(__xludf.DUMMYFUNCTION("""COMPUTED_VALUE"""),1.1112311E7)</f>
        <v>11112311</v>
      </c>
      <c r="B519" s="148" t="str">
        <f>IFERROR(__xludf.DUMMYFUNCTION("""COMPUTED_VALUE"""),"主城皮肤-万圣节2024（2天）")</f>
        <v>主城皮肤-万圣节2024（2天）</v>
      </c>
      <c r="C519" s="148"/>
      <c r="D519" s="148" t="str">
        <f>IFERROR(__xludf.DUMMYFUNCTION("""COMPUTED_VALUE"""),"city_skin")</f>
        <v>city_skin</v>
      </c>
      <c r="E519" s="148">
        <f>IFERROR(__xludf.DUMMYFUNCTION("""COMPUTED_VALUE"""),21.0)</f>
        <v>21</v>
      </c>
      <c r="F519" s="148">
        <f>IFERROR(__xludf.DUMMYFUNCTION("""COMPUTED_VALUE"""),404201.0)</f>
        <v>404201</v>
      </c>
      <c r="G519" s="148">
        <f>IFERROR(__xludf.DUMMYFUNCTION("""COMPUTED_VALUE"""),1.5110059E8)</f>
        <v>151100590</v>
      </c>
      <c r="H519" s="148">
        <f>IFERROR(__xludf.DUMMYFUNCTION("""COMPUTED_VALUE"""),1.5112563E7)</f>
        <v>15112563</v>
      </c>
      <c r="I519" s="148" t="str">
        <f>IFERROR(__xludf.DUMMYFUNCTION("""COMPUTED_VALUE"""),"{""typ"":""lc"",""txt"":""LC_ITEM_time_day_upper_show"",""args"":[{""typ"":""int"",""val"":2}]}")</f>
        <v>{"typ":"lc","txt":"LC_ITEM_time_day_upper_show","args":[{"typ":"int","val":2}]}</v>
      </c>
      <c r="J519" s="148" t="str">
        <f>IFERROR(__xludf.DUMMYFUNCTION("""COMPUTED_VALUE"""),"{""typ"":""lc"",""txt"":""LC_ITEM_2024hallo_lowcity_skin_title_2day""}")</f>
        <v>{"typ":"lc","txt":"LC_ITEM_2024hallo_lowcity_skin_title_2day"}</v>
      </c>
      <c r="K519" s="148" t="str">
        <f>IFERROR(__xludf.DUMMYFUNCTION("""COMPUTED_VALUE"""),"{""typ"":""lc"",""txt"":""LC_ITEM_2024hallo_lowcity_skin_desc_2day""}")</f>
        <v>{"typ":"lc","txt":"LC_ITEM_2024hallo_lowcity_skin_desc_2day"}</v>
      </c>
      <c r="L519" s="148" t="str">
        <f>IFERROR(__xludf.DUMMYFUNCTION("""COMPUTED_VALUE"""),"{""typ"":""lc"",""txt"":""LC_ITEM_city_skin_rocket_use_tips""}")</f>
        <v>{"typ":"lc","txt":"LC_ITEM_city_skin_rocket_use_tips"}</v>
      </c>
      <c r="M519" s="148">
        <f>IFERROR(__xludf.DUMMYFUNCTION("""COMPUTED_VALUE"""),500.0)</f>
        <v>500</v>
      </c>
      <c r="N519" s="148">
        <f>IFERROR(__xludf.DUMMYFUNCTION("""COMPUTED_VALUE"""),999.0)</f>
        <v>999</v>
      </c>
      <c r="O519" s="148">
        <f>IFERROR(__xludf.DUMMYFUNCTION("""COMPUTED_VALUE"""),1.0)</f>
        <v>1</v>
      </c>
      <c r="P519" s="148">
        <f>IFERROR(__xludf.DUMMYFUNCTION("""COMPUTED_VALUE"""),1.0)</f>
        <v>1</v>
      </c>
      <c r="Q519" s="148" t="str">
        <f>IFERROR(__xludf.DUMMYFUNCTION("""COMPUTED_VALUE"""),"[""bag_other""]")</f>
        <v>["bag_other"]</v>
      </c>
      <c r="R519" s="148" t="str">
        <f>IFERROR(__xludf.DUMMYFUNCTION("""COMPUTED_VALUE"""),"[""bag"",""13121048""]")</f>
        <v>["bag","13121048"]</v>
      </c>
      <c r="S519" s="148" t="str">
        <f>IFERROR(__xludf.DUMMYFUNCTION("""COMPUTED_VALUE"""),"{""effect"":[{""typ"":""city_skin"",""id"":13121048,""val"":172800000},{""typ"":""item"",""id"":11111021,""val"":1}]}")</f>
        <v>{"effect":[{"typ":"city_skin","id":13121048,"val":172800000},{"typ":"item","id":11111021,"val":1}]}</v>
      </c>
      <c r="T519" s="148">
        <f>IFERROR(__xludf.DUMMYFUNCTION("""COMPUTED_VALUE"""),-1.0)</f>
        <v>-1</v>
      </c>
      <c r="U519" s="148">
        <f>IFERROR(__xludf.DUMMYFUNCTION("""COMPUTED_VALUE"""),0.0)</f>
        <v>0</v>
      </c>
      <c r="V519" s="148" t="str">
        <f>IFERROR(__xludf.DUMMYFUNCTION("""COMPUTED_VALUE"""),"[]")</f>
        <v>[]</v>
      </c>
      <c r="W519" s="148">
        <f>IFERROR(__xludf.DUMMYFUNCTION("""COMPUTED_VALUE"""),1.174E7)</f>
        <v>11740000</v>
      </c>
      <c r="X519" s="148">
        <f>IFERROR(__xludf.DUMMYFUNCTION("""COMPUTED_VALUE"""),0.0)</f>
        <v>0</v>
      </c>
      <c r="Y519" s="148">
        <f>IFERROR(__xludf.DUMMYFUNCTION("""COMPUTED_VALUE"""),0.0)</f>
        <v>0</v>
      </c>
      <c r="Z519" s="148"/>
    </row>
    <row r="520">
      <c r="A520" s="148">
        <f>IFERROR(__xludf.DUMMYFUNCTION("""COMPUTED_VALUE"""),1.1112312E7)</f>
        <v>11112312</v>
      </c>
      <c r="B520" s="148" t="str">
        <f>IFERROR(__xludf.DUMMYFUNCTION("""COMPUTED_VALUE"""),"万圣节2024-装饰升级版本（投放用）")</f>
        <v>万圣节2024-装饰升级版本（投放用）</v>
      </c>
      <c r="C520" s="148"/>
      <c r="D520" s="148" t="str">
        <f>IFERROR(__xludf.DUMMYFUNCTION("""COMPUTED_VALUE"""),"statue_decorate")</f>
        <v>statue_decorate</v>
      </c>
      <c r="E520" s="148">
        <f>IFERROR(__xludf.DUMMYFUNCTION("""COMPUTED_VALUE"""),23.0)</f>
        <v>23</v>
      </c>
      <c r="F520" s="148">
        <f>IFERROR(__xludf.DUMMYFUNCTION("""COMPUTED_VALUE"""),0.0)</f>
        <v>0</v>
      </c>
      <c r="G520" s="148">
        <f>IFERROR(__xludf.DUMMYFUNCTION("""COMPUTED_VALUE"""),1.51100597E8)</f>
        <v>151100597</v>
      </c>
      <c r="H520" s="148">
        <f>IFERROR(__xludf.DUMMYFUNCTION("""COMPUTED_VALUE"""),1.5112564E7)</f>
        <v>15112564</v>
      </c>
      <c r="I520" s="148" t="str">
        <f>IFERROR(__xludf.DUMMYFUNCTION("""COMPUTED_VALUE"""),"{}")</f>
        <v>{}</v>
      </c>
      <c r="J520" s="148" t="str">
        <f>IFERROR(__xludf.DUMMYFUNCTION("""COMPUTED_VALUE"""),"{""typ"":""lc"",""txt"":""LC_ITEM_2024hallo_dec_item_2""}")</f>
        <v>{"typ":"lc","txt":"LC_ITEM_2024hallo_dec_item_2"}</v>
      </c>
      <c r="K520" s="148" t="str">
        <f>IFERROR(__xludf.DUMMYFUNCTION("""COMPUTED_VALUE"""),"{""typ"":""lc"",""txt"":""LC_ITEM_2024hallo_dec_item_3_desc""}")</f>
        <v>{"typ":"lc","txt":"LC_ITEM_2024hallo_dec_item_3_desc"}</v>
      </c>
      <c r="L520" s="148" t="str">
        <f>IFERROR(__xludf.DUMMYFUNCTION("""COMPUTED_VALUE"""),"{}")</f>
        <v>{}</v>
      </c>
      <c r="M520" s="148">
        <f>IFERROR(__xludf.DUMMYFUNCTION("""COMPUTED_VALUE"""),5000.0)</f>
        <v>5000</v>
      </c>
      <c r="N520" s="148">
        <f>IFERROR(__xludf.DUMMYFUNCTION("""COMPUTED_VALUE"""),999.0)</f>
        <v>999</v>
      </c>
      <c r="O520" s="148">
        <f>IFERROR(__xludf.DUMMYFUNCTION("""COMPUTED_VALUE"""),99999.0)</f>
        <v>99999</v>
      </c>
      <c r="P520" s="148">
        <f>IFERROR(__xludf.DUMMYFUNCTION("""COMPUTED_VALUE"""),99999.0)</f>
        <v>99999</v>
      </c>
      <c r="Q520" s="148" t="str">
        <f>IFERROR(__xludf.DUMMYFUNCTION("""COMPUTED_VALUE"""),"[]")</f>
        <v>[]</v>
      </c>
      <c r="R520" s="148" t="str">
        <f>IFERROR(__xludf.DUMMYFUNCTION("""COMPUTED_VALUE"""),"[""bag""]")</f>
        <v>["bag"]</v>
      </c>
      <c r="S520" s="148" t="str">
        <f>IFERROR(__xludf.DUMMYFUNCTION("""COMPUTED_VALUE"""),"{""effect"":[{""typ"":""holiday_statue"",""id"":21482001}]}")</f>
        <v>{"effect":[{"typ":"holiday_statue","id":21482001}]}</v>
      </c>
      <c r="T520" s="148">
        <f>IFERROR(__xludf.DUMMYFUNCTION("""COMPUTED_VALUE"""),-1.0)</f>
        <v>-1</v>
      </c>
      <c r="U520" s="148">
        <f>IFERROR(__xludf.DUMMYFUNCTION("""COMPUTED_VALUE"""),1.0)</f>
        <v>1</v>
      </c>
      <c r="V520" s="148" t="str">
        <f>IFERROR(__xludf.DUMMYFUNCTION("""COMPUTED_VALUE"""),"[]")</f>
        <v>[]</v>
      </c>
      <c r="W520" s="148">
        <f>IFERROR(__xludf.DUMMYFUNCTION("""COMPUTED_VALUE"""),1.174E7)</f>
        <v>11740000</v>
      </c>
      <c r="X520" s="148">
        <f>IFERROR(__xludf.DUMMYFUNCTION("""COMPUTED_VALUE"""),0.0)</f>
        <v>0</v>
      </c>
      <c r="Y520" s="148">
        <f>IFERROR(__xludf.DUMMYFUNCTION("""COMPUTED_VALUE"""),0.0)</f>
        <v>0</v>
      </c>
      <c r="Z520" s="148"/>
    </row>
    <row r="521">
      <c r="A521" s="148">
        <f>IFERROR(__xludf.DUMMYFUNCTION("""COMPUTED_VALUE"""),1.1112313E7)</f>
        <v>11112313</v>
      </c>
      <c r="B521" s="148" t="str">
        <f>IFERROR(__xludf.DUMMYFUNCTION("""COMPUTED_VALUE"""),"万圣节2024-装饰升级道具")</f>
        <v>万圣节2024-装饰升级道具</v>
      </c>
      <c r="C521" s="148"/>
      <c r="D521" s="148" t="str">
        <f>IFERROR(__xludf.DUMMYFUNCTION("""COMPUTED_VALUE"""),"event")</f>
        <v>event</v>
      </c>
      <c r="E521" s="148">
        <f>IFERROR(__xludf.DUMMYFUNCTION("""COMPUTED_VALUE"""),0.0)</f>
        <v>0</v>
      </c>
      <c r="F521" s="148">
        <f>IFERROR(__xludf.DUMMYFUNCTION("""COMPUTED_VALUE"""),405243.0)</f>
        <v>405243</v>
      </c>
      <c r="G521" s="148">
        <f>IFERROR(__xludf.DUMMYFUNCTION("""COMPUTED_VALUE"""),1.51100597E8)</f>
        <v>151100597</v>
      </c>
      <c r="H521" s="148">
        <f>IFERROR(__xludf.DUMMYFUNCTION("""COMPUTED_VALUE"""),1.5112564E7)</f>
        <v>15112564</v>
      </c>
      <c r="I521" s="148" t="str">
        <f>IFERROR(__xludf.DUMMYFUNCTION("""COMPUTED_VALUE"""),"{}")</f>
        <v>{}</v>
      </c>
      <c r="J521" s="148" t="str">
        <f>IFERROR(__xludf.DUMMYFUNCTION("""COMPUTED_VALUE"""),"{""typ"":""lc"",""txt"":""LC_ITEM_2024hallo_dec_item_2""}")</f>
        <v>{"typ":"lc","txt":"LC_ITEM_2024hallo_dec_item_2"}</v>
      </c>
      <c r="K521" s="148" t="str">
        <f>IFERROR(__xludf.DUMMYFUNCTION("""COMPUTED_VALUE"""),"{""typ"":""lc"",""txt"":""LC_ITEM_2024hallo_dec_item_3_desc""}")</f>
        <v>{"typ":"lc","txt":"LC_ITEM_2024hallo_dec_item_3_desc"}</v>
      </c>
      <c r="L521" s="148" t="str">
        <f>IFERROR(__xludf.DUMMYFUNCTION("""COMPUTED_VALUE"""),"{}")</f>
        <v>{}</v>
      </c>
      <c r="M521" s="148">
        <f>IFERROR(__xludf.DUMMYFUNCTION("""COMPUTED_VALUE"""),1000.0)</f>
        <v>1000</v>
      </c>
      <c r="N521" s="148">
        <f>IFERROR(__xludf.DUMMYFUNCTION("""COMPUTED_VALUE"""),9.99999999E8)</f>
        <v>999999999</v>
      </c>
      <c r="O521" s="148">
        <f>IFERROR(__xludf.DUMMYFUNCTION("""COMPUTED_VALUE"""),9.99999999E8)</f>
        <v>999999999</v>
      </c>
      <c r="P521" s="148">
        <f>IFERROR(__xludf.DUMMYFUNCTION("""COMPUTED_VALUE"""),9.99999999E8)</f>
        <v>999999999</v>
      </c>
      <c r="Q521" s="148" t="str">
        <f>IFERROR(__xludf.DUMMYFUNCTION("""COMPUTED_VALUE"""),"[""bag_other""]")</f>
        <v>["bag_other"]</v>
      </c>
      <c r="R521" s="148" t="str">
        <f>IFERROR(__xludf.DUMMYFUNCTION("""COMPUTED_VALUE"""),"[]")</f>
        <v>[]</v>
      </c>
      <c r="S521" s="148" t="str">
        <f>IFERROR(__xludf.DUMMYFUNCTION("""COMPUTED_VALUE"""),"{}")</f>
        <v>{}</v>
      </c>
      <c r="T521" s="148">
        <f>IFERROR(__xludf.DUMMYFUNCTION("""COMPUTED_VALUE"""),-1.0)</f>
        <v>-1</v>
      </c>
      <c r="U521" s="148">
        <f>IFERROR(__xludf.DUMMYFUNCTION("""COMPUTED_VALUE"""),0.0)</f>
        <v>0</v>
      </c>
      <c r="V521" s="148" t="str">
        <f>IFERROR(__xludf.DUMMYFUNCTION("""COMPUTED_VALUE"""),"[]")</f>
        <v>[]</v>
      </c>
      <c r="W521" s="148">
        <f>IFERROR(__xludf.DUMMYFUNCTION("""COMPUTED_VALUE"""),1.174E7)</f>
        <v>11740000</v>
      </c>
      <c r="X521" s="148">
        <f>IFERROR(__xludf.DUMMYFUNCTION("""COMPUTED_VALUE"""),0.0)</f>
        <v>0</v>
      </c>
      <c r="Y521" s="148">
        <f>IFERROR(__xludf.DUMMYFUNCTION("""COMPUTED_VALUE"""),0.0)</f>
        <v>0</v>
      </c>
      <c r="Z521" s="148"/>
    </row>
    <row r="522">
      <c r="A522" s="148">
        <f>IFERROR(__xludf.DUMMYFUNCTION("""COMPUTED_VALUE"""),1.1112314E7)</f>
        <v>11112314</v>
      </c>
      <c r="B522" s="148" t="str">
        <f>IFERROR(__xludf.DUMMYFUNCTION("""COMPUTED_VALUE"""),"2024万圣节-装饰券宝箱")</f>
        <v>2024万圣节-装饰券宝箱</v>
      </c>
      <c r="C522" s="148"/>
      <c r="D522" s="148" t="str">
        <f>IFERROR(__xludf.DUMMYFUNCTION("""COMPUTED_VALUE"""),"valentine_reward_box")</f>
        <v>valentine_reward_box</v>
      </c>
      <c r="E522" s="148">
        <f>IFERROR(__xludf.DUMMYFUNCTION("""COMPUTED_VALUE"""),19.0)</f>
        <v>19</v>
      </c>
      <c r="F522" s="148">
        <f>IFERROR(__xludf.DUMMYFUNCTION("""COMPUTED_VALUE"""),201101.0)</f>
        <v>201101</v>
      </c>
      <c r="G522" s="148">
        <f>IFERROR(__xludf.DUMMYFUNCTION("""COMPUTED_VALUE"""),1.5118225E7)</f>
        <v>15118225</v>
      </c>
      <c r="H522" s="148">
        <f>IFERROR(__xludf.DUMMYFUNCTION("""COMPUTED_VALUE"""),1.5112564E7)</f>
        <v>15112564</v>
      </c>
      <c r="I522" s="148" t="str">
        <f>IFERROR(__xludf.DUMMYFUNCTION("""COMPUTED_VALUE"""),"{}")</f>
        <v>{}</v>
      </c>
      <c r="J522" s="148" t="str">
        <f>IFERROR(__xludf.DUMMYFUNCTION("""COMPUTED_VALUE"""),"{""typ"":""lc"",""txt"":""LC_ITEM_hallo2024_fes_box_name""}")</f>
        <v>{"typ":"lc","txt":"LC_ITEM_hallo2024_fes_box_name"}</v>
      </c>
      <c r="K522" s="148" t="str">
        <f>IFERROR(__xludf.DUMMYFUNCTION("""COMPUTED_VALUE"""),"{""typ"":""lc"",""txt"":""LC_ITEM_fes_box_desc""}")</f>
        <v>{"typ":"lc","txt":"LC_ITEM_fes_box_desc"}</v>
      </c>
      <c r="L522" s="148" t="str">
        <f>IFERROR(__xludf.DUMMYFUNCTION("""COMPUTED_VALUE"""),"{""typ"":""lc"",""txt"":""LC_ITEM_horde_elite_box_usedtip""}")</f>
        <v>{"typ":"lc","txt":"LC_ITEM_horde_elite_box_usedtip"}</v>
      </c>
      <c r="M522" s="148">
        <f>IFERROR(__xludf.DUMMYFUNCTION("""COMPUTED_VALUE"""),40.0)</f>
        <v>40</v>
      </c>
      <c r="N522" s="148">
        <f>IFERROR(__xludf.DUMMYFUNCTION("""COMPUTED_VALUE"""),999999.0)</f>
        <v>999999</v>
      </c>
      <c r="O522" s="148">
        <f>IFERROR(__xludf.DUMMYFUNCTION("""COMPUTED_VALUE"""),99999.0)</f>
        <v>99999</v>
      </c>
      <c r="P522" s="148">
        <f>IFERROR(__xludf.DUMMYFUNCTION("""COMPUTED_VALUE"""),99999.0)</f>
        <v>99999</v>
      </c>
      <c r="Q522" s="148" t="str">
        <f>IFERROR(__xludf.DUMMYFUNCTION("""COMPUTED_VALUE"""),"[""bag_other""]")</f>
        <v>["bag_other"]</v>
      </c>
      <c r="R522" s="148" t="str">
        <f>IFERROR(__xludf.DUMMYFUNCTION("""COMPUTED_VALUE"""),"[""bag""]")</f>
        <v>["bag"]</v>
      </c>
      <c r="S522" s="148" t="str">
        <f>IFERROR(__xludf.DUMMYFUNCTION("""COMPUTED_VALUE"""),"{""drop"":{""typ"":""single_random"",""num"":1,""args"":[{""typ"":""item"",""id"":11112030,""num"":1000,""wgt"":19980},{""typ"":""item"",""id"":11112030,""num"":200,""wgt"":120000},{""typ"":""item"",""id"":11112030,""num"":50,""wgt"":200000},{""typ"":""it"&amp;"em"",""id"":11112310,""num"":1,""wgt"":10},{""typ"":""item"",""id"":11112688,""num"":1,""wgt"":10},{""typ"":""item"",""id"":11112030,""num"":20,""wgt"":400000},{""typ"":""item"",""id"":11112030,""num"":100,""wgt"":200000},{""typ"":""item"",""id"":11112030"&amp;",""num"":400,""wgt"":60000}]}}")</f>
        <v>{"drop":{"typ":"single_random","num":1,"args":[{"typ":"item","id":11112030,"num":1000,"wgt":19980},{"typ":"item","id":11112030,"num":200,"wgt":120000},{"typ":"item","id":11112030,"num":50,"wgt":200000},{"typ":"item","id":11112310,"num":1,"wgt":10},{"typ":"item","id":11112688,"num":1,"wgt":10},{"typ":"item","id":11112030,"num":20,"wgt":400000},{"typ":"item","id":11112030,"num":100,"wgt":200000},{"typ":"item","id":11112030,"num":400,"wgt":60000}]}}</v>
      </c>
      <c r="T522" s="148">
        <f>IFERROR(__xludf.DUMMYFUNCTION("""COMPUTED_VALUE"""),-1.0)</f>
        <v>-1</v>
      </c>
      <c r="U522" s="148">
        <f>IFERROR(__xludf.DUMMYFUNCTION("""COMPUTED_VALUE"""),0.0)</f>
        <v>0</v>
      </c>
      <c r="V522" s="148" t="str">
        <f>IFERROR(__xludf.DUMMYFUNCTION("""COMPUTED_VALUE"""),"[]")</f>
        <v>[]</v>
      </c>
      <c r="W522" s="148">
        <f>IFERROR(__xludf.DUMMYFUNCTION("""COMPUTED_VALUE"""),1.174E7)</f>
        <v>11740000</v>
      </c>
      <c r="X522" s="148">
        <f>IFERROR(__xludf.DUMMYFUNCTION("""COMPUTED_VALUE"""),0.0)</f>
        <v>0</v>
      </c>
      <c r="Y522" s="148">
        <f>IFERROR(__xludf.DUMMYFUNCTION("""COMPUTED_VALUE"""),0.0)</f>
        <v>0</v>
      </c>
      <c r="Z522" s="148"/>
    </row>
    <row r="523">
      <c r="A523" s="148">
        <f>IFERROR(__xludf.DUMMYFUNCTION("""COMPUTED_VALUE"""),1.1112315E7)</f>
        <v>11112315</v>
      </c>
      <c r="B523" s="148" t="str">
        <f>IFERROR(__xludf.DUMMYFUNCTION("""COMPUTED_VALUE"""),"万圣节2024-7日箱子奖励")</f>
        <v>万圣节2024-7日箱子奖励</v>
      </c>
      <c r="C523" s="148"/>
      <c r="D523" s="148" t="str">
        <f>IFERROR(__xludf.DUMMYFUNCTION("""COMPUTED_VALUE"""),"item_asset")</f>
        <v>item_asset</v>
      </c>
      <c r="E523" s="148">
        <f>IFERROR(__xludf.DUMMYFUNCTION("""COMPUTED_VALUE"""),19.0)</f>
        <v>19</v>
      </c>
      <c r="F523" s="148">
        <f>IFERROR(__xludf.DUMMYFUNCTION("""COMPUTED_VALUE"""),201101.0)</f>
        <v>201101</v>
      </c>
      <c r="G523" s="148">
        <f>IFERROR(__xludf.DUMMYFUNCTION("""COMPUTED_VALUE"""),1.5117141E7)</f>
        <v>15117141</v>
      </c>
      <c r="H523" s="148">
        <f>IFERROR(__xludf.DUMMYFUNCTION("""COMPUTED_VALUE"""),1.5112564E7)</f>
        <v>15112564</v>
      </c>
      <c r="I523" s="148" t="str">
        <f>IFERROR(__xludf.DUMMYFUNCTION("""COMPUTED_VALUE"""),"{}")</f>
        <v>{}</v>
      </c>
      <c r="J523" s="148" t="str">
        <f>IFERROR(__xludf.DUMMYFUNCTION("""COMPUTED_VALUE"""),"{""typ"":""lc"",""txt"":""LC_ITEM_seven_day_box_name""}")</f>
        <v>{"typ":"lc","txt":"LC_ITEM_seven_day_box_name"}</v>
      </c>
      <c r="K523" s="148" t="str">
        <f>IFERROR(__xludf.DUMMYFUNCTION("""COMPUTED_VALUE"""),"{""typ"":""lc"",""txt"":""LC_ITEM_seven_day_box_desc""}")</f>
        <v>{"typ":"lc","txt":"LC_ITEM_seven_day_box_desc"}</v>
      </c>
      <c r="L523" s="148" t="str">
        <f>IFERROR(__xludf.DUMMYFUNCTION("""COMPUTED_VALUE"""),"{""typ"":""lc"",""txt"":""LC_ITEM_horde_elite_box_usedtip""}")</f>
        <v>{"typ":"lc","txt":"LC_ITEM_horde_elite_box_usedtip"}</v>
      </c>
      <c r="M523" s="148">
        <f>IFERROR(__xludf.DUMMYFUNCTION("""COMPUTED_VALUE"""),40.0)</f>
        <v>40</v>
      </c>
      <c r="N523" s="148">
        <f>IFERROR(__xludf.DUMMYFUNCTION("""COMPUTED_VALUE"""),999999.0)</f>
        <v>999999</v>
      </c>
      <c r="O523" s="148">
        <f>IFERROR(__xludf.DUMMYFUNCTION("""COMPUTED_VALUE"""),99999.0)</f>
        <v>99999</v>
      </c>
      <c r="P523" s="148">
        <f>IFERROR(__xludf.DUMMYFUNCTION("""COMPUTED_VALUE"""),99999.0)</f>
        <v>99999</v>
      </c>
      <c r="Q523" s="148" t="str">
        <f>IFERROR(__xludf.DUMMYFUNCTION("""COMPUTED_VALUE"""),"[""bag_other""]")</f>
        <v>["bag_other"]</v>
      </c>
      <c r="R523" s="148" t="str">
        <f>IFERROR(__xludf.DUMMYFUNCTION("""COMPUTED_VALUE"""),"[""bag""]")</f>
        <v>["bag"]</v>
      </c>
      <c r="S523" s="148" t="str">
        <f>IFERROR(__xludf.DUMMYFUNCTION("""COMPUTED_VALUE"""),"{""drop"":{""typ"":""single_random"",""num"":1,""args"":[{""typ"":""item"",""id"":11116304,""num"":1,""wgt"":50},{""typ"":""item"",""id"":11111103,""num"":2,""wgt"":1500},{""typ"":""item"",""id"":11117024,""num"":1,""wgt"":800},{""typ"":""item"",""id"":11"&amp;"117068,""num"":10,""wgt"":800},{""typ"":""item"",""id"":11111105,""num"":1,""wgt"":800},{""typ"":""item"",""id"":11116111,""num"":1,""wgt"":50},{""typ"":""item"",""id"":11111107,""num"":1,""wgt"":100},{""typ"":""item"",""id"":11117069,""num"":1,""wgt"":30"&amp;"0},{""typ"":""item"",""id"":11118501,""num"":1,""wgt"":300}]}}")</f>
        <v>{"drop":{"typ":"single_random","num":1,"args":[{"typ":"item","id":11116304,"num":1,"wgt":50},{"typ":"item","id":11111103,"num":2,"wgt":1500},{"typ":"item","id":11117024,"num":1,"wgt":800},{"typ":"item","id":11117068,"num":10,"wgt":800},{"typ":"item","id":11111105,"num":1,"wgt":800},{"typ":"item","id":11116111,"num":1,"wgt":50},{"typ":"item","id":11111107,"num":1,"wgt":100},{"typ":"item","id":11117069,"num":1,"wgt":300},{"typ":"item","id":11118501,"num":1,"wgt":300}]}}</v>
      </c>
      <c r="T523" s="148">
        <f>IFERROR(__xludf.DUMMYFUNCTION("""COMPUTED_VALUE"""),-1.0)</f>
        <v>-1</v>
      </c>
      <c r="U523" s="148">
        <f>IFERROR(__xludf.DUMMYFUNCTION("""COMPUTED_VALUE"""),0.0)</f>
        <v>0</v>
      </c>
      <c r="V523" s="148" t="str">
        <f>IFERROR(__xludf.DUMMYFUNCTION("""COMPUTED_VALUE"""),"[]")</f>
        <v>[]</v>
      </c>
      <c r="W523" s="148">
        <f>IFERROR(__xludf.DUMMYFUNCTION("""COMPUTED_VALUE"""),1.174E7)</f>
        <v>11740000</v>
      </c>
      <c r="X523" s="148">
        <f>IFERROR(__xludf.DUMMYFUNCTION("""COMPUTED_VALUE"""),0.0)</f>
        <v>0</v>
      </c>
      <c r="Y523" s="148">
        <f>IFERROR(__xludf.DUMMYFUNCTION("""COMPUTED_VALUE"""),0.0)</f>
        <v>0</v>
      </c>
      <c r="Z523" s="148"/>
    </row>
    <row r="524">
      <c r="A524" s="148">
        <f>IFERROR(__xludf.DUMMYFUNCTION("""COMPUTED_VALUE"""),1.1112316E7)</f>
        <v>11112316</v>
      </c>
      <c r="B524" s="148" t="str">
        <f>IFERROR(__xludf.DUMMYFUNCTION("""COMPUTED_VALUE"""),"万圣节2024活动专用-增加次数道具")</f>
        <v>万圣节2024活动专用-增加次数道具</v>
      </c>
      <c r="C524" s="148"/>
      <c r="D524" s="148" t="str">
        <f>IFERROR(__xludf.DUMMYFUNCTION("""COMPUTED_VALUE"""),"event_progress")</f>
        <v>event_progress</v>
      </c>
      <c r="E524" s="148">
        <f>IFERROR(__xludf.DUMMYFUNCTION("""COMPUTED_VALUE"""),0.0)</f>
        <v>0</v>
      </c>
      <c r="F524" s="148">
        <f>IFERROR(__xludf.DUMMYFUNCTION("""COMPUTED_VALUE"""),0.0)</f>
        <v>0</v>
      </c>
      <c r="G524" s="148">
        <f>IFERROR(__xludf.DUMMYFUNCTION("""COMPUTED_VALUE"""),1.5113732E7)</f>
        <v>15113732</v>
      </c>
      <c r="H524" s="148">
        <f>IFERROR(__xludf.DUMMYFUNCTION("""COMPUTED_VALUE"""),1.5112563E7)</f>
        <v>15112563</v>
      </c>
      <c r="I524" s="148" t="str">
        <f>IFERROR(__xludf.DUMMYFUNCTION("""COMPUTED_VALUE"""),"{}")</f>
        <v>{}</v>
      </c>
      <c r="J524" s="148" t="str">
        <f>IFERROR(__xludf.DUMMYFUNCTION("""COMPUTED_VALUE"""),"{}")</f>
        <v>{}</v>
      </c>
      <c r="K524" s="148" t="str">
        <f>IFERROR(__xludf.DUMMYFUNCTION("""COMPUTED_VALUE"""),"{}")</f>
        <v>{}</v>
      </c>
      <c r="L524" s="148" t="str">
        <f>IFERROR(__xludf.DUMMYFUNCTION("""COMPUTED_VALUE"""),"{}")</f>
        <v>{}</v>
      </c>
      <c r="M524" s="148">
        <f>IFERROR(__xludf.DUMMYFUNCTION("""COMPUTED_VALUE"""),1.0)</f>
        <v>1</v>
      </c>
      <c r="N524" s="148">
        <f>IFERROR(__xludf.DUMMYFUNCTION("""COMPUTED_VALUE"""),999999.0)</f>
        <v>999999</v>
      </c>
      <c r="O524" s="148">
        <f>IFERROR(__xludf.DUMMYFUNCTION("""COMPUTED_VALUE"""),99999.0)</f>
        <v>99999</v>
      </c>
      <c r="P524" s="148">
        <f>IFERROR(__xludf.DUMMYFUNCTION("""COMPUTED_VALUE"""),9999.0)</f>
        <v>9999</v>
      </c>
      <c r="Q524" s="148" t="str">
        <f>IFERROR(__xludf.DUMMYFUNCTION("""COMPUTED_VALUE"""),"[]")</f>
        <v>[]</v>
      </c>
      <c r="R524" s="148" t="str">
        <f>IFERROR(__xludf.DUMMYFUNCTION("""COMPUTED_VALUE"""),"[]")</f>
        <v>[]</v>
      </c>
      <c r="S524" s="148" t="str">
        <f>IFERROR(__xludf.DUMMYFUNCTION("""COMPUTED_VALUE"""),"{""effect"":[{""typ"":""event"",""id"":21127215},{""typ"":""miss_lost_reward""}]}")</f>
        <v>{"effect":[{"typ":"event","id":21127215},{"typ":"miss_lost_reward"}]}</v>
      </c>
      <c r="T524" s="148">
        <f>IFERROR(__xludf.DUMMYFUNCTION("""COMPUTED_VALUE"""),-1.0)</f>
        <v>-1</v>
      </c>
      <c r="U524" s="148">
        <f>IFERROR(__xludf.DUMMYFUNCTION("""COMPUTED_VALUE"""),1.0)</f>
        <v>1</v>
      </c>
      <c r="V524" s="148" t="str">
        <f>IFERROR(__xludf.DUMMYFUNCTION("""COMPUTED_VALUE"""),"[]")</f>
        <v>[]</v>
      </c>
      <c r="W524" s="148">
        <f>IFERROR(__xludf.DUMMYFUNCTION("""COMPUTED_VALUE"""),1.174E7)</f>
        <v>11740000</v>
      </c>
      <c r="X524" s="148">
        <f>IFERROR(__xludf.DUMMYFUNCTION("""COMPUTED_VALUE"""),0.0)</f>
        <v>0</v>
      </c>
      <c r="Y524" s="148">
        <f>IFERROR(__xludf.DUMMYFUNCTION("""COMPUTED_VALUE"""),0.0)</f>
        <v>0</v>
      </c>
      <c r="Z524" s="148"/>
    </row>
    <row r="525">
      <c r="A525" s="148">
        <f>IFERROR(__xludf.DUMMYFUNCTION("""COMPUTED_VALUE"""),1.1112317E7)</f>
        <v>11112317</v>
      </c>
      <c r="B525" s="148" t="str">
        <f>IFERROR(__xludf.DUMMYFUNCTION("""COMPUTED_VALUE"""),"万圣节2024活动-解锁宝箱礼包钥匙")</f>
        <v>万圣节2024活动-解锁宝箱礼包钥匙</v>
      </c>
      <c r="C525" s="148"/>
      <c r="D525" s="148" t="str">
        <f>IFERROR(__xludf.DUMMYFUNCTION("""COMPUTED_VALUE"""),"event")</f>
        <v>event</v>
      </c>
      <c r="E525" s="148">
        <f>IFERROR(__xludf.DUMMYFUNCTION("""COMPUTED_VALUE"""),0.0)</f>
        <v>0</v>
      </c>
      <c r="F525" s="148">
        <f>IFERROR(__xludf.DUMMYFUNCTION("""COMPUTED_VALUE"""),0.0)</f>
        <v>0</v>
      </c>
      <c r="G525" s="148">
        <f>IFERROR(__xludf.DUMMYFUNCTION("""COMPUTED_VALUE"""),1.5117142E7)</f>
        <v>15117142</v>
      </c>
      <c r="H525" s="148">
        <f>IFERROR(__xludf.DUMMYFUNCTION("""COMPUTED_VALUE"""),1.5112564E7)</f>
        <v>15112564</v>
      </c>
      <c r="I525" s="148" t="str">
        <f>IFERROR(__xludf.DUMMYFUNCTION("""COMPUTED_VALUE"""),"{}")</f>
        <v>{}</v>
      </c>
      <c r="J525" s="148" t="str">
        <f>IFERROR(__xludf.DUMMYFUNCTION("""COMPUTED_VALUE"""),"{""typ"":""lc"",""txt"":""LC_ITEM_seven_day_box_key_name""}")</f>
        <v>{"typ":"lc","txt":"LC_ITEM_seven_day_box_key_name"}</v>
      </c>
      <c r="K525" s="148" t="str">
        <f>IFERROR(__xludf.DUMMYFUNCTION("""COMPUTED_VALUE"""),"{""typ"":""lc"",""txt"":""LC_ITEM_seven_day_box_key_desc""}")</f>
        <v>{"typ":"lc","txt":"LC_ITEM_seven_day_box_key_desc"}</v>
      </c>
      <c r="L525" s="148" t="str">
        <f>IFERROR(__xludf.DUMMYFUNCTION("""COMPUTED_VALUE"""),"{}")</f>
        <v>{}</v>
      </c>
      <c r="M525" s="148">
        <f>IFERROR(__xludf.DUMMYFUNCTION("""COMPUTED_VALUE"""),10.0)</f>
        <v>10</v>
      </c>
      <c r="N525" s="148">
        <f>IFERROR(__xludf.DUMMYFUNCTION("""COMPUTED_VALUE"""),999999.0)</f>
        <v>999999</v>
      </c>
      <c r="O525" s="148">
        <f>IFERROR(__xludf.DUMMYFUNCTION("""COMPUTED_VALUE"""),99999.0)</f>
        <v>99999</v>
      </c>
      <c r="P525" s="148">
        <f>IFERROR(__xludf.DUMMYFUNCTION("""COMPUTED_VALUE"""),9999.0)</f>
        <v>9999</v>
      </c>
      <c r="Q525" s="148" t="str">
        <f>IFERROR(__xludf.DUMMYFUNCTION("""COMPUTED_VALUE"""),"[""bag_other""]")</f>
        <v>["bag_other"]</v>
      </c>
      <c r="R525" s="148" t="str">
        <f>IFERROR(__xludf.DUMMYFUNCTION("""COMPUTED_VALUE"""),"[]")</f>
        <v>[]</v>
      </c>
      <c r="S525" s="148" t="str">
        <f>IFERROR(__xludf.DUMMYFUNCTION("""COMPUTED_VALUE"""),"{}")</f>
        <v>{}</v>
      </c>
      <c r="T525" s="148">
        <f>IFERROR(__xludf.DUMMYFUNCTION("""COMPUTED_VALUE"""),-1.0)</f>
        <v>-1</v>
      </c>
      <c r="U525" s="148">
        <f>IFERROR(__xludf.DUMMYFUNCTION("""COMPUTED_VALUE"""),0.0)</f>
        <v>0</v>
      </c>
      <c r="V525" s="148" t="str">
        <f>IFERROR(__xludf.DUMMYFUNCTION("""COMPUTED_VALUE"""),"[]")</f>
        <v>[]</v>
      </c>
      <c r="W525" s="148">
        <f>IFERROR(__xludf.DUMMYFUNCTION("""COMPUTED_VALUE"""),1.174E7)</f>
        <v>11740000</v>
      </c>
      <c r="X525" s="148">
        <f>IFERROR(__xludf.DUMMYFUNCTION("""COMPUTED_VALUE"""),0.0)</f>
        <v>0</v>
      </c>
      <c r="Y525" s="148">
        <f>IFERROR(__xludf.DUMMYFUNCTION("""COMPUTED_VALUE"""),0.0)</f>
        <v>0</v>
      </c>
      <c r="Z525" s="148"/>
    </row>
    <row r="526">
      <c r="A526" s="148">
        <f>IFERROR(__xludf.DUMMYFUNCTION("""COMPUTED_VALUE"""),1.1112318E7)</f>
        <v>11112318</v>
      </c>
      <c r="B526" s="148" t="str">
        <f>IFERROR(__xludf.DUMMYFUNCTION("""COMPUTED_VALUE"""),"万圣节2024-7日活动宝箱-显示用")</f>
        <v>万圣节2024-7日活动宝箱-显示用</v>
      </c>
      <c r="C526" s="148"/>
      <c r="D526" s="148" t="str">
        <f>IFERROR(__xludf.DUMMYFUNCTION("""COMPUTED_VALUE"""),"event")</f>
        <v>event</v>
      </c>
      <c r="E526" s="148">
        <f>IFERROR(__xludf.DUMMYFUNCTION("""COMPUTED_VALUE"""),0.0)</f>
        <v>0</v>
      </c>
      <c r="F526" s="148">
        <f>IFERROR(__xludf.DUMMYFUNCTION("""COMPUTED_VALUE"""),0.0)</f>
        <v>0</v>
      </c>
      <c r="G526" s="148">
        <f>IFERROR(__xludf.DUMMYFUNCTION("""COMPUTED_VALUE"""),1.5117141E7)</f>
        <v>15117141</v>
      </c>
      <c r="H526" s="148">
        <f>IFERROR(__xludf.DUMMYFUNCTION("""COMPUTED_VALUE"""),1.5112564E7)</f>
        <v>15112564</v>
      </c>
      <c r="I526" s="148" t="str">
        <f>IFERROR(__xludf.DUMMYFUNCTION("""COMPUTED_VALUE"""),"{}")</f>
        <v>{}</v>
      </c>
      <c r="J526" s="148" t="str">
        <f>IFERROR(__xludf.DUMMYFUNCTION("""COMPUTED_VALUE"""),"{""typ"":""lc"",""txt"":""LC_ITEM_seven_day_box_name""}")</f>
        <v>{"typ":"lc","txt":"LC_ITEM_seven_day_box_name"}</v>
      </c>
      <c r="K526" s="148" t="str">
        <f>IFERROR(__xludf.DUMMYFUNCTION("""COMPUTED_VALUE"""),"{""typ"":""lc"",""txt"":""LC_ITEM_seven_day_box_desc""}")</f>
        <v>{"typ":"lc","txt":"LC_ITEM_seven_day_box_desc"}</v>
      </c>
      <c r="L526" s="148" t="str">
        <f>IFERROR(__xludf.DUMMYFUNCTION("""COMPUTED_VALUE"""),"{}")</f>
        <v>{}</v>
      </c>
      <c r="M526" s="148">
        <f>IFERROR(__xludf.DUMMYFUNCTION("""COMPUTED_VALUE"""),1.0)</f>
        <v>1</v>
      </c>
      <c r="N526" s="148">
        <f>IFERROR(__xludf.DUMMYFUNCTION("""COMPUTED_VALUE"""),999999.0)</f>
        <v>999999</v>
      </c>
      <c r="O526" s="148">
        <f>IFERROR(__xludf.DUMMYFUNCTION("""COMPUTED_VALUE"""),99999.0)</f>
        <v>99999</v>
      </c>
      <c r="P526" s="148">
        <f>IFERROR(__xludf.DUMMYFUNCTION("""COMPUTED_VALUE"""),9999.0)</f>
        <v>9999</v>
      </c>
      <c r="Q526" s="148" t="str">
        <f>IFERROR(__xludf.DUMMYFUNCTION("""COMPUTED_VALUE"""),"[]")</f>
        <v>[]</v>
      </c>
      <c r="R526" s="148" t="str">
        <f>IFERROR(__xludf.DUMMYFUNCTION("""COMPUTED_VALUE"""),"[]")</f>
        <v>[]</v>
      </c>
      <c r="S526" s="148" t="str">
        <f>IFERROR(__xludf.DUMMYFUNCTION("""COMPUTED_VALUE"""),"{""effect"":[{""typ"":""miss_lost_reward""}]}")</f>
        <v>{"effect":[{"typ":"miss_lost_reward"}]}</v>
      </c>
      <c r="T526" s="148">
        <f>IFERROR(__xludf.DUMMYFUNCTION("""COMPUTED_VALUE"""),-1.0)</f>
        <v>-1</v>
      </c>
      <c r="U526" s="148">
        <f>IFERROR(__xludf.DUMMYFUNCTION("""COMPUTED_VALUE"""),1.0)</f>
        <v>1</v>
      </c>
      <c r="V526" s="148" t="str">
        <f>IFERROR(__xludf.DUMMYFUNCTION("""COMPUTED_VALUE"""),"[]")</f>
        <v>[]</v>
      </c>
      <c r="W526" s="148">
        <f>IFERROR(__xludf.DUMMYFUNCTION("""COMPUTED_VALUE"""),1.174E7)</f>
        <v>11740000</v>
      </c>
      <c r="X526" s="148">
        <f>IFERROR(__xludf.DUMMYFUNCTION("""COMPUTED_VALUE"""),0.0)</f>
        <v>0</v>
      </c>
      <c r="Y526" s="148">
        <f>IFERROR(__xludf.DUMMYFUNCTION("""COMPUTED_VALUE"""),0.0)</f>
        <v>0</v>
      </c>
      <c r="Z526" s="148"/>
    </row>
    <row r="527">
      <c r="A527" s="148">
        <f>IFERROR(__xludf.DUMMYFUNCTION("""COMPUTED_VALUE"""),1.1112319E7)</f>
        <v>11112319</v>
      </c>
      <c r="B527" s="148" t="str">
        <f>IFERROR(__xludf.DUMMYFUNCTION("""COMPUTED_VALUE"""),"南瓜奖券-2024万圣节抽奖道具")</f>
        <v>南瓜奖券-2024万圣节抽奖道具</v>
      </c>
      <c r="C527" s="148"/>
      <c r="D527" s="148" t="str">
        <f>IFERROR(__xludf.DUMMYFUNCTION("""COMPUTED_VALUE"""),"event")</f>
        <v>event</v>
      </c>
      <c r="E527" s="148">
        <f>IFERROR(__xludf.DUMMYFUNCTION("""COMPUTED_VALUE"""),0.0)</f>
        <v>0</v>
      </c>
      <c r="F527" s="148">
        <f>IFERROR(__xludf.DUMMYFUNCTION("""COMPUTED_VALUE"""),0.0)</f>
        <v>0</v>
      </c>
      <c r="G527" s="148">
        <f>IFERROR(__xludf.DUMMYFUNCTION("""COMPUTED_VALUE"""),1.51100602E8)</f>
        <v>151100602</v>
      </c>
      <c r="H527" s="148">
        <f>IFERROR(__xludf.DUMMYFUNCTION("""COMPUTED_VALUE"""),1.5112564E7)</f>
        <v>15112564</v>
      </c>
      <c r="I527" s="148" t="str">
        <f>IFERROR(__xludf.DUMMYFUNCTION("""COMPUTED_VALUE"""),"{}")</f>
        <v>{}</v>
      </c>
      <c r="J527" s="148" t="str">
        <f>IFERROR(__xludf.DUMMYFUNCTION("""COMPUTED_VALUE"""),"{""typ"":""lc"",""txt"":""LC_ITEM_2024hallo_gacha_item_name_2""}")</f>
        <v>{"typ":"lc","txt":"LC_ITEM_2024hallo_gacha_item_name_2"}</v>
      </c>
      <c r="K527" s="148" t="str">
        <f>IFERROR(__xludf.DUMMYFUNCTION("""COMPUTED_VALUE"""),"{""typ"":""lc"",""txt"":""LC_ITEM_2024hallo_gacha_item_desc_2""}")</f>
        <v>{"typ":"lc","txt":"LC_ITEM_2024hallo_gacha_item_desc_2"}</v>
      </c>
      <c r="L527" s="148" t="str">
        <f>IFERROR(__xludf.DUMMYFUNCTION("""COMPUTED_VALUE"""),"{}")</f>
        <v>{}</v>
      </c>
      <c r="M527" s="148">
        <f>IFERROR(__xludf.DUMMYFUNCTION("""COMPUTED_VALUE"""),500.0)</f>
        <v>500</v>
      </c>
      <c r="N527" s="148">
        <f>IFERROR(__xludf.DUMMYFUNCTION("""COMPUTED_VALUE"""),999999.0)</f>
        <v>999999</v>
      </c>
      <c r="O527" s="148">
        <f>IFERROR(__xludf.DUMMYFUNCTION("""COMPUTED_VALUE"""),99999.0)</f>
        <v>99999</v>
      </c>
      <c r="P527" s="148">
        <f>IFERROR(__xludf.DUMMYFUNCTION("""COMPUTED_VALUE"""),9.99999999E8)</f>
        <v>999999999</v>
      </c>
      <c r="Q527" s="148" t="str">
        <f>IFERROR(__xludf.DUMMYFUNCTION("""COMPUTED_VALUE"""),"[""bag_other""]")</f>
        <v>["bag_other"]</v>
      </c>
      <c r="R527" s="148" t="str">
        <f>IFERROR(__xludf.DUMMYFUNCTION("""COMPUTED_VALUE"""),"[""bag""]")</f>
        <v>["bag"]</v>
      </c>
      <c r="S527" s="148" t="str">
        <f>IFERROR(__xludf.DUMMYFUNCTION("""COMPUTED_VALUE"""),"{}")</f>
        <v>{}</v>
      </c>
      <c r="T527" s="148">
        <f>IFERROR(__xludf.DUMMYFUNCTION("""COMPUTED_VALUE"""),1.0)</f>
        <v>1</v>
      </c>
      <c r="U527" s="148">
        <f>IFERROR(__xludf.DUMMYFUNCTION("""COMPUTED_VALUE"""),0.0)</f>
        <v>0</v>
      </c>
      <c r="V527" s="148" t="str">
        <f>IFERROR(__xludf.DUMMYFUNCTION("""COMPUTED_VALUE"""),"[]")</f>
        <v>[]</v>
      </c>
      <c r="W527" s="148">
        <f>IFERROR(__xludf.DUMMYFUNCTION("""COMPUTED_VALUE"""),1.174E7)</f>
        <v>11740000</v>
      </c>
      <c r="X527" s="148">
        <f>IFERROR(__xludf.DUMMYFUNCTION("""COMPUTED_VALUE"""),0.0)</f>
        <v>0</v>
      </c>
      <c r="Y527" s="148">
        <f>IFERROR(__xludf.DUMMYFUNCTION("""COMPUTED_VALUE"""),0.0)</f>
        <v>0</v>
      </c>
      <c r="Z527" s="148"/>
    </row>
    <row r="528">
      <c r="A528" s="148">
        <f>IFERROR(__xludf.DUMMYFUNCTION("""COMPUTED_VALUE"""),1.111232E7)</f>
        <v>11112320</v>
      </c>
      <c r="B528" s="148" t="str">
        <f>IFERROR(__xludf.DUMMYFUNCTION("""COMPUTED_VALUE"""),"行军特效-索命暗影-1天限时")</f>
        <v>行军特效-索命暗影-1天限时</v>
      </c>
      <c r="C528" s="148"/>
      <c r="D528" s="148" t="str">
        <f>IFERROR(__xludf.DUMMYFUNCTION("""COMPUTED_VALUE"""),"marching_effect")</f>
        <v>marching_effect</v>
      </c>
      <c r="E528" s="148">
        <f>IFERROR(__xludf.DUMMYFUNCTION("""COMPUTED_VALUE"""),0.0)</f>
        <v>0</v>
      </c>
      <c r="F528" s="148">
        <f>IFERROR(__xludf.DUMMYFUNCTION("""COMPUTED_VALUE"""),408200.0)</f>
        <v>408200</v>
      </c>
      <c r="G528" s="148">
        <f>IFERROR(__xludf.DUMMYFUNCTION("""COMPUTED_VALUE"""),1.5110058E8)</f>
        <v>151100580</v>
      </c>
      <c r="H528" s="148">
        <f>IFERROR(__xludf.DUMMYFUNCTION("""COMPUTED_VALUE"""),1.511256E7)</f>
        <v>15112560</v>
      </c>
      <c r="I528" s="148" t="str">
        <f>IFERROR(__xludf.DUMMYFUNCTION("""COMPUTED_VALUE"""),"{""typ"":""lc"",""txt"":""LC_ITEM_time_day_upper_show"",""args"":[{""typ"":""int_unit"",""val"":1}]}")</f>
        <v>{"typ":"lc","txt":"LC_ITEM_time_day_upper_show","args":[{"typ":"int_unit","val":1}]}</v>
      </c>
      <c r="J528" s="148" t="str">
        <f>IFERROR(__xludf.DUMMYFUNCTION("""COMPUTED_VALUE"""),"{""typ"":""lc"",""txt"":""LC_ITEM_festival_bp_24_hallo_march_effect""}")</f>
        <v>{"typ":"lc","txt":"LC_ITEM_festival_bp_24_hallo_march_effect"}</v>
      </c>
      <c r="K528" s="148" t="str">
        <f>IFERROR(__xludf.DUMMYFUNCTION("""COMPUTED_VALUE"""),"{""typ"":""lc"",""txt"":""LC_ITEM_festival_bp_24_hallo_march_effect_desc""}")</f>
        <v>{"typ":"lc","txt":"LC_ITEM_festival_bp_24_hallo_march_effect_desc"}</v>
      </c>
      <c r="L528" s="148" t="str">
        <f>IFERROR(__xludf.DUMMYFUNCTION("""COMPUTED_VALUE"""),"{""typ"":""lc"",""txt"":""LC_ITEM_festival_bp_24_hallo_march_effect_used_1d""}")</f>
        <v>{"typ":"lc","txt":"LC_ITEM_festival_bp_24_hallo_march_effect_used_1d"}</v>
      </c>
      <c r="M528" s="148">
        <f>IFERROR(__xludf.DUMMYFUNCTION("""COMPUTED_VALUE"""),50.0)</f>
        <v>50</v>
      </c>
      <c r="N528" s="148">
        <f>IFERROR(__xludf.DUMMYFUNCTION("""COMPUTED_VALUE"""),999999.0)</f>
        <v>999999</v>
      </c>
      <c r="O528" s="148">
        <f>IFERROR(__xludf.DUMMYFUNCTION("""COMPUTED_VALUE"""),99999.0)</f>
        <v>99999</v>
      </c>
      <c r="P528" s="148">
        <f>IFERROR(__xludf.DUMMYFUNCTION("""COMPUTED_VALUE"""),1.0)</f>
        <v>1</v>
      </c>
      <c r="Q528" s="148" t="str">
        <f>IFERROR(__xludf.DUMMYFUNCTION("""COMPUTED_VALUE"""),"[""bag_other""]")</f>
        <v>["bag_other"]</v>
      </c>
      <c r="R528" s="148" t="str">
        <f>IFERROR(__xludf.DUMMYFUNCTION("""COMPUTED_VALUE"""),"[""bag"",""13650126""]")</f>
        <v>["bag","13650126"]</v>
      </c>
      <c r="S528" s="148" t="str">
        <f>IFERROR(__xludf.DUMMYFUNCTION("""COMPUTED_VALUE"""),"{""effect"":[{""typ"":""marching_effect"",""id"":13650126,""val"":86400000},{""typ"":""vm"",""id"":11151001,""val"":50}]}")</f>
        <v>{"effect":[{"typ":"marching_effect","id":13650126,"val":86400000},{"typ":"vm","id":11151001,"val":50}]}</v>
      </c>
      <c r="T528" s="148">
        <f>IFERROR(__xludf.DUMMYFUNCTION("""COMPUTED_VALUE"""),-1.0)</f>
        <v>-1</v>
      </c>
      <c r="U528" s="148">
        <f>IFERROR(__xludf.DUMMYFUNCTION("""COMPUTED_VALUE"""),0.0)</f>
        <v>0</v>
      </c>
      <c r="V528" s="148" t="str">
        <f>IFERROR(__xludf.DUMMYFUNCTION("""COMPUTED_VALUE"""),"[]")</f>
        <v>[]</v>
      </c>
      <c r="W528" s="148">
        <f>IFERROR(__xludf.DUMMYFUNCTION("""COMPUTED_VALUE"""),1.174E7)</f>
        <v>11740000</v>
      </c>
      <c r="X528" s="148">
        <f>IFERROR(__xludf.DUMMYFUNCTION("""COMPUTED_VALUE"""),0.0)</f>
        <v>0</v>
      </c>
      <c r="Y528" s="148">
        <f>IFERROR(__xludf.DUMMYFUNCTION("""COMPUTED_VALUE"""),0.0)</f>
        <v>0</v>
      </c>
      <c r="Z528" s="148"/>
    </row>
    <row r="529">
      <c r="A529" s="148">
        <f>IFERROR(__xludf.DUMMYFUNCTION("""COMPUTED_VALUE"""),1.1112321E7)</f>
        <v>11112321</v>
      </c>
      <c r="B529" s="148" t="str">
        <f>IFERROR(__xludf.DUMMYFUNCTION("""COMPUTED_VALUE"""),"行军特效-索命暗影-3天限时")</f>
        <v>行军特效-索命暗影-3天限时</v>
      </c>
      <c r="C529" s="148"/>
      <c r="D529" s="148" t="str">
        <f>IFERROR(__xludf.DUMMYFUNCTION("""COMPUTED_VALUE"""),"marching_effect")</f>
        <v>marching_effect</v>
      </c>
      <c r="E529" s="148">
        <f>IFERROR(__xludf.DUMMYFUNCTION("""COMPUTED_VALUE"""),0.0)</f>
        <v>0</v>
      </c>
      <c r="F529" s="148">
        <f>IFERROR(__xludf.DUMMYFUNCTION("""COMPUTED_VALUE"""),408199.0)</f>
        <v>408199</v>
      </c>
      <c r="G529" s="148">
        <f>IFERROR(__xludf.DUMMYFUNCTION("""COMPUTED_VALUE"""),1.5110058E8)</f>
        <v>151100580</v>
      </c>
      <c r="H529" s="148">
        <f>IFERROR(__xludf.DUMMYFUNCTION("""COMPUTED_VALUE"""),1.5112561E7)</f>
        <v>15112561</v>
      </c>
      <c r="I529" s="148" t="str">
        <f>IFERROR(__xludf.DUMMYFUNCTION("""COMPUTED_VALUE"""),"{""typ"":""lc"",""txt"":""LC_ITEM_time_day_upper_show"",""args"":[{""typ"":""int_unit"",""val"":3}]}")</f>
        <v>{"typ":"lc","txt":"LC_ITEM_time_day_upper_show","args":[{"typ":"int_unit","val":3}]}</v>
      </c>
      <c r="J529" s="148" t="str">
        <f>IFERROR(__xludf.DUMMYFUNCTION("""COMPUTED_VALUE"""),"{""typ"":""lc"",""txt"":""LC_ITEM_festival_bp_24_hallo_march_effect""}")</f>
        <v>{"typ":"lc","txt":"LC_ITEM_festival_bp_24_hallo_march_effect"}</v>
      </c>
      <c r="K529" s="148" t="str">
        <f>IFERROR(__xludf.DUMMYFUNCTION("""COMPUTED_VALUE"""),"{""typ"":""lc"",""txt"":""LC_ITEM_festival_bp_24_hallo_march_effect_desc""}")</f>
        <v>{"typ":"lc","txt":"LC_ITEM_festival_bp_24_hallo_march_effect_desc"}</v>
      </c>
      <c r="L529" s="148" t="str">
        <f>IFERROR(__xludf.DUMMYFUNCTION("""COMPUTED_VALUE"""),"{""typ"":""lc"",""txt"":""LC_ITEM_festival_bp_24_hallo_march_effect_used_3d""}")</f>
        <v>{"typ":"lc","txt":"LC_ITEM_festival_bp_24_hallo_march_effect_used_3d"}</v>
      </c>
      <c r="M529" s="148">
        <f>IFERROR(__xludf.DUMMYFUNCTION("""COMPUTED_VALUE"""),200.0)</f>
        <v>200</v>
      </c>
      <c r="N529" s="148">
        <f>IFERROR(__xludf.DUMMYFUNCTION("""COMPUTED_VALUE"""),999999.0)</f>
        <v>999999</v>
      </c>
      <c r="O529" s="148">
        <f>IFERROR(__xludf.DUMMYFUNCTION("""COMPUTED_VALUE"""),99999.0)</f>
        <v>99999</v>
      </c>
      <c r="P529" s="148">
        <f>IFERROR(__xludf.DUMMYFUNCTION("""COMPUTED_VALUE"""),1.0)</f>
        <v>1</v>
      </c>
      <c r="Q529" s="148" t="str">
        <f>IFERROR(__xludf.DUMMYFUNCTION("""COMPUTED_VALUE"""),"[""bag_other""]")</f>
        <v>["bag_other"]</v>
      </c>
      <c r="R529" s="148" t="str">
        <f>IFERROR(__xludf.DUMMYFUNCTION("""COMPUTED_VALUE"""),"[""bag"",""13650126""]")</f>
        <v>["bag","13650126"]</v>
      </c>
      <c r="S529" s="148" t="str">
        <f>IFERROR(__xludf.DUMMYFUNCTION("""COMPUTED_VALUE"""),"{""effect"":[{""typ"":""marching_effect"",""id"":13650126,""val"":259200000},{""typ"":""vm"",""id"":11151001,""val"":200}]}")</f>
        <v>{"effect":[{"typ":"marching_effect","id":13650126,"val":259200000},{"typ":"vm","id":11151001,"val":200}]}</v>
      </c>
      <c r="T529" s="148">
        <f>IFERROR(__xludf.DUMMYFUNCTION("""COMPUTED_VALUE"""),-1.0)</f>
        <v>-1</v>
      </c>
      <c r="U529" s="148">
        <f>IFERROR(__xludf.DUMMYFUNCTION("""COMPUTED_VALUE"""),0.0)</f>
        <v>0</v>
      </c>
      <c r="V529" s="148" t="str">
        <f>IFERROR(__xludf.DUMMYFUNCTION("""COMPUTED_VALUE"""),"[]")</f>
        <v>[]</v>
      </c>
      <c r="W529" s="148">
        <f>IFERROR(__xludf.DUMMYFUNCTION("""COMPUTED_VALUE"""),1.174E7)</f>
        <v>11740000</v>
      </c>
      <c r="X529" s="148">
        <f>IFERROR(__xludf.DUMMYFUNCTION("""COMPUTED_VALUE"""),0.0)</f>
        <v>0</v>
      </c>
      <c r="Y529" s="148">
        <f>IFERROR(__xludf.DUMMYFUNCTION("""COMPUTED_VALUE"""),0.0)</f>
        <v>0</v>
      </c>
      <c r="Z529" s="148"/>
    </row>
    <row r="530">
      <c r="A530" s="148">
        <f>IFERROR(__xludf.DUMMYFUNCTION("""COMPUTED_VALUE"""),1.1112322E7)</f>
        <v>11112322</v>
      </c>
      <c r="B530" s="148" t="str">
        <f>IFERROR(__xludf.DUMMYFUNCTION("""COMPUTED_VALUE"""),"行军特效-索命暗影-7天限时")</f>
        <v>行军特效-索命暗影-7天限时</v>
      </c>
      <c r="C530" s="148"/>
      <c r="D530" s="148" t="str">
        <f>IFERROR(__xludf.DUMMYFUNCTION("""COMPUTED_VALUE"""),"marching_effect")</f>
        <v>marching_effect</v>
      </c>
      <c r="E530" s="148">
        <f>IFERROR(__xludf.DUMMYFUNCTION("""COMPUTED_VALUE"""),0.0)</f>
        <v>0</v>
      </c>
      <c r="F530" s="148">
        <f>IFERROR(__xludf.DUMMYFUNCTION("""COMPUTED_VALUE"""),408198.0)</f>
        <v>408198</v>
      </c>
      <c r="G530" s="148">
        <f>IFERROR(__xludf.DUMMYFUNCTION("""COMPUTED_VALUE"""),1.5110058E8)</f>
        <v>151100580</v>
      </c>
      <c r="H530" s="148">
        <f>IFERROR(__xludf.DUMMYFUNCTION("""COMPUTED_VALUE"""),1.5112562E7)</f>
        <v>15112562</v>
      </c>
      <c r="I530" s="148" t="str">
        <f>IFERROR(__xludf.DUMMYFUNCTION("""COMPUTED_VALUE"""),"{""typ"":""lc"",""txt"":""LC_ITEM_time_day_upper_show"",""args"":[{""typ"":""int_unit"",""val"":7}]}")</f>
        <v>{"typ":"lc","txt":"LC_ITEM_time_day_upper_show","args":[{"typ":"int_unit","val":7}]}</v>
      </c>
      <c r="J530" s="148" t="str">
        <f>IFERROR(__xludf.DUMMYFUNCTION("""COMPUTED_VALUE"""),"{""typ"":""lc"",""txt"":""LC_ITEM_festival_bp_24_hallo_march_effect""}")</f>
        <v>{"typ":"lc","txt":"LC_ITEM_festival_bp_24_hallo_march_effect"}</v>
      </c>
      <c r="K530" s="148" t="str">
        <f>IFERROR(__xludf.DUMMYFUNCTION("""COMPUTED_VALUE"""),"{""typ"":""lc"",""txt"":""LC_ITEM_festival_bp_24_hallo_march_effect_desc""}")</f>
        <v>{"typ":"lc","txt":"LC_ITEM_festival_bp_24_hallo_march_effect_desc"}</v>
      </c>
      <c r="L530" s="148" t="str">
        <f>IFERROR(__xludf.DUMMYFUNCTION("""COMPUTED_VALUE"""),"{""typ"":""lc"",""txt"":""LC_ITEM_festival_bp_24_hallo_march_effect_used_7d""}")</f>
        <v>{"typ":"lc","txt":"LC_ITEM_festival_bp_24_hallo_march_effect_used_7d"}</v>
      </c>
      <c r="M530" s="148">
        <f>IFERROR(__xludf.DUMMYFUNCTION("""COMPUTED_VALUE"""),500.0)</f>
        <v>500</v>
      </c>
      <c r="N530" s="148">
        <f>IFERROR(__xludf.DUMMYFUNCTION("""COMPUTED_VALUE"""),999999.0)</f>
        <v>999999</v>
      </c>
      <c r="O530" s="148">
        <f>IFERROR(__xludf.DUMMYFUNCTION("""COMPUTED_VALUE"""),99999.0)</f>
        <v>99999</v>
      </c>
      <c r="P530" s="148">
        <f>IFERROR(__xludf.DUMMYFUNCTION("""COMPUTED_VALUE"""),1.0)</f>
        <v>1</v>
      </c>
      <c r="Q530" s="148" t="str">
        <f>IFERROR(__xludf.DUMMYFUNCTION("""COMPUTED_VALUE"""),"[""bag_other""]")</f>
        <v>["bag_other"]</v>
      </c>
      <c r="R530" s="148" t="str">
        <f>IFERROR(__xludf.DUMMYFUNCTION("""COMPUTED_VALUE"""),"[""bag"",""13650126""]")</f>
        <v>["bag","13650126"]</v>
      </c>
      <c r="S530" s="148" t="str">
        <f>IFERROR(__xludf.DUMMYFUNCTION("""COMPUTED_VALUE"""),"{""effect"":[{""typ"":""marching_effect"",""id"":13650126,""val"":604800000},{""typ"":""vm"",""id"":11151001,""val"":500}]}")</f>
        <v>{"effect":[{"typ":"marching_effect","id":13650126,"val":604800000},{"typ":"vm","id":11151001,"val":500}]}</v>
      </c>
      <c r="T530" s="148">
        <f>IFERROR(__xludf.DUMMYFUNCTION("""COMPUTED_VALUE"""),-1.0)</f>
        <v>-1</v>
      </c>
      <c r="U530" s="148">
        <f>IFERROR(__xludf.DUMMYFUNCTION("""COMPUTED_VALUE"""),0.0)</f>
        <v>0</v>
      </c>
      <c r="V530" s="148" t="str">
        <f>IFERROR(__xludf.DUMMYFUNCTION("""COMPUTED_VALUE"""),"[]")</f>
        <v>[]</v>
      </c>
      <c r="W530" s="148">
        <f>IFERROR(__xludf.DUMMYFUNCTION("""COMPUTED_VALUE"""),1.174E7)</f>
        <v>11740000</v>
      </c>
      <c r="X530" s="148">
        <f>IFERROR(__xludf.DUMMYFUNCTION("""COMPUTED_VALUE"""),0.0)</f>
        <v>0</v>
      </c>
      <c r="Y530" s="148">
        <f>IFERROR(__xludf.DUMMYFUNCTION("""COMPUTED_VALUE"""),0.0)</f>
        <v>0</v>
      </c>
      <c r="Z530" s="148"/>
    </row>
    <row r="531">
      <c r="A531" s="148">
        <f>IFERROR(__xludf.DUMMYFUNCTION("""COMPUTED_VALUE"""),1.1112323E7)</f>
        <v>11112323</v>
      </c>
      <c r="B531" s="148" t="str">
        <f>IFERROR(__xludf.DUMMYFUNCTION("""COMPUTED_VALUE"""),"行军特效-索命暗影-14天限时")</f>
        <v>行军特效-索命暗影-14天限时</v>
      </c>
      <c r="C531" s="148"/>
      <c r="D531" s="148" t="str">
        <f>IFERROR(__xludf.DUMMYFUNCTION("""COMPUTED_VALUE"""),"marching_effect")</f>
        <v>marching_effect</v>
      </c>
      <c r="E531" s="148">
        <f>IFERROR(__xludf.DUMMYFUNCTION("""COMPUTED_VALUE"""),0.0)</f>
        <v>0</v>
      </c>
      <c r="F531" s="148">
        <f>IFERROR(__xludf.DUMMYFUNCTION("""COMPUTED_VALUE"""),408197.0)</f>
        <v>408197</v>
      </c>
      <c r="G531" s="148">
        <f>IFERROR(__xludf.DUMMYFUNCTION("""COMPUTED_VALUE"""),1.5110058E8)</f>
        <v>151100580</v>
      </c>
      <c r="H531" s="148">
        <f>IFERROR(__xludf.DUMMYFUNCTION("""COMPUTED_VALUE"""),1.5112563E7)</f>
        <v>15112563</v>
      </c>
      <c r="I531" s="148" t="str">
        <f>IFERROR(__xludf.DUMMYFUNCTION("""COMPUTED_VALUE"""),"{""typ"":""lc"",""txt"":""LC_ITEM_time_day_upper_show"",""args"":[{""typ"":""int_unit"",""val"":14}]}")</f>
        <v>{"typ":"lc","txt":"LC_ITEM_time_day_upper_show","args":[{"typ":"int_unit","val":14}]}</v>
      </c>
      <c r="J531" s="148" t="str">
        <f>IFERROR(__xludf.DUMMYFUNCTION("""COMPUTED_VALUE"""),"{""typ"":""lc"",""txt"":""LC_ITEM_festival_bp_24_hallo_march_effect""}")</f>
        <v>{"typ":"lc","txt":"LC_ITEM_festival_bp_24_hallo_march_effect"}</v>
      </c>
      <c r="K531" s="148" t="str">
        <f>IFERROR(__xludf.DUMMYFUNCTION("""COMPUTED_VALUE"""),"{""typ"":""lc"",""txt"":""LC_ITEM_festival_bp_24_hallo_march_effect_desc""}")</f>
        <v>{"typ":"lc","txt":"LC_ITEM_festival_bp_24_hallo_march_effect_desc"}</v>
      </c>
      <c r="L531" s="148" t="str">
        <f>IFERROR(__xludf.DUMMYFUNCTION("""COMPUTED_VALUE"""),"{""typ"":""lc"",""txt"":""LC_ITEM_festival_bp_24_hallo_march_effect_used_14d""}")</f>
        <v>{"typ":"lc","txt":"LC_ITEM_festival_bp_24_hallo_march_effect_used_14d"}</v>
      </c>
      <c r="M531" s="148">
        <f>IFERROR(__xludf.DUMMYFUNCTION("""COMPUTED_VALUE"""),1000.0)</f>
        <v>1000</v>
      </c>
      <c r="N531" s="148">
        <f>IFERROR(__xludf.DUMMYFUNCTION("""COMPUTED_VALUE"""),999999.0)</f>
        <v>999999</v>
      </c>
      <c r="O531" s="148">
        <f>IFERROR(__xludf.DUMMYFUNCTION("""COMPUTED_VALUE"""),99999.0)</f>
        <v>99999</v>
      </c>
      <c r="P531" s="148">
        <f>IFERROR(__xludf.DUMMYFUNCTION("""COMPUTED_VALUE"""),1.0)</f>
        <v>1</v>
      </c>
      <c r="Q531" s="148" t="str">
        <f>IFERROR(__xludf.DUMMYFUNCTION("""COMPUTED_VALUE"""),"[""bag_other""]")</f>
        <v>["bag_other"]</v>
      </c>
      <c r="R531" s="148" t="str">
        <f>IFERROR(__xludf.DUMMYFUNCTION("""COMPUTED_VALUE"""),"[""bag"",""13650126""]")</f>
        <v>["bag","13650126"]</v>
      </c>
      <c r="S531" s="148" t="str">
        <f>IFERROR(__xludf.DUMMYFUNCTION("""COMPUTED_VALUE"""),"{""effect"":[{""typ"":""marching_effect"",""id"":13650126,""val"":1209600000},{""typ"":""vm"",""id"":11151001,""val"":1000}]}")</f>
        <v>{"effect":[{"typ":"marching_effect","id":13650126,"val":1209600000},{"typ":"vm","id":11151001,"val":1000}]}</v>
      </c>
      <c r="T531" s="148">
        <f>IFERROR(__xludf.DUMMYFUNCTION("""COMPUTED_VALUE"""),-1.0)</f>
        <v>-1</v>
      </c>
      <c r="U531" s="148">
        <f>IFERROR(__xludf.DUMMYFUNCTION("""COMPUTED_VALUE"""),0.0)</f>
        <v>0</v>
      </c>
      <c r="V531" s="148" t="str">
        <f>IFERROR(__xludf.DUMMYFUNCTION("""COMPUTED_VALUE"""),"[]")</f>
        <v>[]</v>
      </c>
      <c r="W531" s="148">
        <f>IFERROR(__xludf.DUMMYFUNCTION("""COMPUTED_VALUE"""),1.174E7)</f>
        <v>11740000</v>
      </c>
      <c r="X531" s="148">
        <f>IFERROR(__xludf.DUMMYFUNCTION("""COMPUTED_VALUE"""),0.0)</f>
        <v>0</v>
      </c>
      <c r="Y531" s="148">
        <f>IFERROR(__xludf.DUMMYFUNCTION("""COMPUTED_VALUE"""),0.0)</f>
        <v>0</v>
      </c>
      <c r="Z531" s="148"/>
    </row>
    <row r="532">
      <c r="A532" s="148">
        <f>IFERROR(__xludf.DUMMYFUNCTION("""COMPUTED_VALUE"""),1.1112324E7)</f>
        <v>11112324</v>
      </c>
      <c r="B532" s="148" t="str">
        <f>IFERROR(__xludf.DUMMYFUNCTION("""COMPUTED_VALUE"""),"行军特效-索命暗影-30天限时")</f>
        <v>行军特效-索命暗影-30天限时</v>
      </c>
      <c r="C532" s="148"/>
      <c r="D532" s="148" t="str">
        <f>IFERROR(__xludf.DUMMYFUNCTION("""COMPUTED_VALUE"""),"marching_effect")</f>
        <v>marching_effect</v>
      </c>
      <c r="E532" s="148">
        <f>IFERROR(__xludf.DUMMYFUNCTION("""COMPUTED_VALUE"""),0.0)</f>
        <v>0</v>
      </c>
      <c r="F532" s="148">
        <f>IFERROR(__xludf.DUMMYFUNCTION("""COMPUTED_VALUE"""),408196.0)</f>
        <v>408196</v>
      </c>
      <c r="G532" s="148">
        <f>IFERROR(__xludf.DUMMYFUNCTION("""COMPUTED_VALUE"""),1.5110058E8)</f>
        <v>151100580</v>
      </c>
      <c r="H532" s="148">
        <f>IFERROR(__xludf.DUMMYFUNCTION("""COMPUTED_VALUE"""),1.5112563E7)</f>
        <v>15112563</v>
      </c>
      <c r="I532" s="148" t="str">
        <f>IFERROR(__xludf.DUMMYFUNCTION("""COMPUTED_VALUE"""),"{""typ"":""lc"",""txt"":""LC_ITEM_time_day_upper_show"",""args"":[{""typ"":""int_unit"",""val"":30}]}")</f>
        <v>{"typ":"lc","txt":"LC_ITEM_time_day_upper_show","args":[{"typ":"int_unit","val":30}]}</v>
      </c>
      <c r="J532" s="148" t="str">
        <f>IFERROR(__xludf.DUMMYFUNCTION("""COMPUTED_VALUE"""),"{""typ"":""lc"",""txt"":""LC_ITEM_festival_bp_24_hallo_march_effect""}")</f>
        <v>{"typ":"lc","txt":"LC_ITEM_festival_bp_24_hallo_march_effect"}</v>
      </c>
      <c r="K532" s="148" t="str">
        <f>IFERROR(__xludf.DUMMYFUNCTION("""COMPUTED_VALUE"""),"{""typ"":""lc"",""txt"":""LC_ITEM_festival_bp_24_hallo_march_effect_desc""}")</f>
        <v>{"typ":"lc","txt":"LC_ITEM_festival_bp_24_hallo_march_effect_desc"}</v>
      </c>
      <c r="L532" s="148" t="str">
        <f>IFERROR(__xludf.DUMMYFUNCTION("""COMPUTED_VALUE"""),"{""typ"":""lc"",""txt"":""LC_ITEM_festival_bp_24_hallo_march_effect_used_30d""}")</f>
        <v>{"typ":"lc","txt":"LC_ITEM_festival_bp_24_hallo_march_effect_used_30d"}</v>
      </c>
      <c r="M532" s="148">
        <f>IFERROR(__xludf.DUMMYFUNCTION("""COMPUTED_VALUE"""),2000.0)</f>
        <v>2000</v>
      </c>
      <c r="N532" s="148">
        <f>IFERROR(__xludf.DUMMYFUNCTION("""COMPUTED_VALUE"""),999999.0)</f>
        <v>999999</v>
      </c>
      <c r="O532" s="148">
        <f>IFERROR(__xludf.DUMMYFUNCTION("""COMPUTED_VALUE"""),99999.0)</f>
        <v>99999</v>
      </c>
      <c r="P532" s="148">
        <f>IFERROR(__xludf.DUMMYFUNCTION("""COMPUTED_VALUE"""),1.0)</f>
        <v>1</v>
      </c>
      <c r="Q532" s="148" t="str">
        <f>IFERROR(__xludf.DUMMYFUNCTION("""COMPUTED_VALUE"""),"[""bag_other""]")</f>
        <v>["bag_other"]</v>
      </c>
      <c r="R532" s="148" t="str">
        <f>IFERROR(__xludf.DUMMYFUNCTION("""COMPUTED_VALUE"""),"[""bag"",""13650126""]")</f>
        <v>["bag","13650126"]</v>
      </c>
      <c r="S532" s="148" t="str">
        <f>IFERROR(__xludf.DUMMYFUNCTION("""COMPUTED_VALUE"""),"{""effect"":[{""typ"":""marching_effect"",""id"":13650126,""val"":2592000000},{""typ"":""vm"",""id"":11151001,""val"":1000}]}")</f>
        <v>{"effect":[{"typ":"marching_effect","id":13650126,"val":2592000000},{"typ":"vm","id":11151001,"val":1000}]}</v>
      </c>
      <c r="T532" s="148">
        <f>IFERROR(__xludf.DUMMYFUNCTION("""COMPUTED_VALUE"""),-1.0)</f>
        <v>-1</v>
      </c>
      <c r="U532" s="148">
        <f>IFERROR(__xludf.DUMMYFUNCTION("""COMPUTED_VALUE"""),0.0)</f>
        <v>0</v>
      </c>
      <c r="V532" s="148" t="str">
        <f>IFERROR(__xludf.DUMMYFUNCTION("""COMPUTED_VALUE"""),"[]")</f>
        <v>[]</v>
      </c>
      <c r="W532" s="148">
        <f>IFERROR(__xludf.DUMMYFUNCTION("""COMPUTED_VALUE"""),1.174E7)</f>
        <v>11740000</v>
      </c>
      <c r="X532" s="148">
        <f>IFERROR(__xludf.DUMMYFUNCTION("""COMPUTED_VALUE"""),0.0)</f>
        <v>0</v>
      </c>
      <c r="Y532" s="148">
        <f>IFERROR(__xludf.DUMMYFUNCTION("""COMPUTED_VALUE"""),0.0)</f>
        <v>0</v>
      </c>
      <c r="Z532" s="148"/>
    </row>
    <row r="533">
      <c r="A533" s="148">
        <f>IFERROR(__xludf.DUMMYFUNCTION("""COMPUTED_VALUE"""),1.1112325E7)</f>
        <v>11112325</v>
      </c>
      <c r="B533" s="148" t="str">
        <f>IFERROR(__xludf.DUMMYFUNCTION("""COMPUTED_VALUE"""),"行军特效-索命暗影-永久")</f>
        <v>行军特效-索命暗影-永久</v>
      </c>
      <c r="C533" s="148"/>
      <c r="D533" s="148" t="str">
        <f>IFERROR(__xludf.DUMMYFUNCTION("""COMPUTED_VALUE"""),"marching_effect")</f>
        <v>marching_effect</v>
      </c>
      <c r="E533" s="148">
        <f>IFERROR(__xludf.DUMMYFUNCTION("""COMPUTED_VALUE"""),0.0)</f>
        <v>0</v>
      </c>
      <c r="F533" s="148">
        <f>IFERROR(__xludf.DUMMYFUNCTION("""COMPUTED_VALUE"""),408195.0)</f>
        <v>408195</v>
      </c>
      <c r="G533" s="148">
        <f>IFERROR(__xludf.DUMMYFUNCTION("""COMPUTED_VALUE"""),1.5110058E8)</f>
        <v>151100580</v>
      </c>
      <c r="H533" s="148">
        <f>IFERROR(__xludf.DUMMYFUNCTION("""COMPUTED_VALUE"""),1.5112564E7)</f>
        <v>15112564</v>
      </c>
      <c r="I533" s="148" t="str">
        <f>IFERROR(__xludf.DUMMYFUNCTION("""COMPUTED_VALUE"""),"{}")</f>
        <v>{}</v>
      </c>
      <c r="J533" s="148" t="str">
        <f>IFERROR(__xludf.DUMMYFUNCTION("""COMPUTED_VALUE"""),"{""typ"":""lc"",""txt"":""LC_ITEM_festival_bp_24_hallo_march_effect""}")</f>
        <v>{"typ":"lc","txt":"LC_ITEM_festival_bp_24_hallo_march_effect"}</v>
      </c>
      <c r="K533" s="148" t="str">
        <f>IFERROR(__xludf.DUMMYFUNCTION("""COMPUTED_VALUE"""),"{""typ"":""lc"",""txt"":""LC_ITEM_festival_bp_24_hallo_march_effect_desc""}")</f>
        <v>{"typ":"lc","txt":"LC_ITEM_festival_bp_24_hallo_march_effect_desc"}</v>
      </c>
      <c r="L533" s="148" t="str">
        <f>IFERROR(__xludf.DUMMYFUNCTION("""COMPUTED_VALUE"""),"{""typ"":""lc"",""txt"":""LC_ITEM_festival_bp_24_hallo_march_effect_used""}")</f>
        <v>{"typ":"lc","txt":"LC_ITEM_festival_bp_24_hallo_march_effect_used"}</v>
      </c>
      <c r="M533" s="148">
        <f>IFERROR(__xludf.DUMMYFUNCTION("""COMPUTED_VALUE"""),5000.0)</f>
        <v>5000</v>
      </c>
      <c r="N533" s="148">
        <f>IFERROR(__xludf.DUMMYFUNCTION("""COMPUTED_VALUE"""),999999.0)</f>
        <v>999999</v>
      </c>
      <c r="O533" s="148">
        <f>IFERROR(__xludf.DUMMYFUNCTION("""COMPUTED_VALUE"""),99999.0)</f>
        <v>99999</v>
      </c>
      <c r="P533" s="148">
        <f>IFERROR(__xludf.DUMMYFUNCTION("""COMPUTED_VALUE"""),1.0)</f>
        <v>1</v>
      </c>
      <c r="Q533" s="148" t="str">
        <f>IFERROR(__xludf.DUMMYFUNCTION("""COMPUTED_VALUE"""),"[""bag_other""]")</f>
        <v>["bag_other"]</v>
      </c>
      <c r="R533" s="148" t="str">
        <f>IFERROR(__xludf.DUMMYFUNCTION("""COMPUTED_VALUE"""),"[""bag"",""13650126""]")</f>
        <v>["bag","13650126"]</v>
      </c>
      <c r="S533" s="148" t="str">
        <f>IFERROR(__xludf.DUMMYFUNCTION("""COMPUTED_VALUE"""),"{""effect"":[{""typ"":""marching_effect"",""id"":13650126,""val"":-1},{""typ"":""vm"",""id"":11151001,""val"":2500}]}")</f>
        <v>{"effect":[{"typ":"marching_effect","id":13650126,"val":-1},{"typ":"vm","id":11151001,"val":2500}]}</v>
      </c>
      <c r="T533" s="148">
        <f>IFERROR(__xludf.DUMMYFUNCTION("""COMPUTED_VALUE"""),-1.0)</f>
        <v>-1</v>
      </c>
      <c r="U533" s="148">
        <f>IFERROR(__xludf.DUMMYFUNCTION("""COMPUTED_VALUE"""),0.0)</f>
        <v>0</v>
      </c>
      <c r="V533" s="148" t="str">
        <f>IFERROR(__xludf.DUMMYFUNCTION("""COMPUTED_VALUE"""),"[]")</f>
        <v>[]</v>
      </c>
      <c r="W533" s="148">
        <f>IFERROR(__xludf.DUMMYFUNCTION("""COMPUTED_VALUE"""),1.174E7)</f>
        <v>11740000</v>
      </c>
      <c r="X533" s="148">
        <f>IFERROR(__xludf.DUMMYFUNCTION("""COMPUTED_VALUE"""),0.0)</f>
        <v>0</v>
      </c>
      <c r="Y533" s="148">
        <f>IFERROR(__xludf.DUMMYFUNCTION("""COMPUTED_VALUE"""),0.0)</f>
        <v>0</v>
      </c>
      <c r="Z533" s="148"/>
    </row>
    <row r="534">
      <c r="A534" s="148">
        <f>IFERROR(__xludf.DUMMYFUNCTION("""COMPUTED_VALUE"""),1.1112326E7)</f>
        <v>11112326</v>
      </c>
      <c r="B534" s="148" t="str">
        <f>IFERROR(__xludf.DUMMYFUNCTION("""COMPUTED_VALUE"""),"铭牌-万圣节2024铭牌")</f>
        <v>铭牌-万圣节2024铭牌</v>
      </c>
      <c r="C534" s="148"/>
      <c r="D534" s="148" t="str">
        <f>IFERROR(__xludf.DUMMYFUNCTION("""COMPUTED_VALUE"""),"chat_skin")</f>
        <v>chat_skin</v>
      </c>
      <c r="E534" s="148">
        <f>IFERROR(__xludf.DUMMYFUNCTION("""COMPUTED_VALUE"""),30.0)</f>
        <v>30</v>
      </c>
      <c r="F534" s="148">
        <f>IFERROR(__xludf.DUMMYFUNCTION("""COMPUTED_VALUE"""),401107.0)</f>
        <v>401107</v>
      </c>
      <c r="G534" s="148">
        <f>IFERROR(__xludf.DUMMYFUNCTION("""COMPUTED_VALUE"""),1.51100578E8)</f>
        <v>151100578</v>
      </c>
      <c r="H534" s="148">
        <f>IFERROR(__xludf.DUMMYFUNCTION("""COMPUTED_VALUE"""),1.5112564E7)</f>
        <v>15112564</v>
      </c>
      <c r="I534" s="148" t="str">
        <f>IFERROR(__xludf.DUMMYFUNCTION("""COMPUTED_VALUE"""),"{}")</f>
        <v>{}</v>
      </c>
      <c r="J534" s="148" t="str">
        <f>IFERROR(__xludf.DUMMYFUNCTION("""COMPUTED_VALUE"""),"{""typ"":""lc"",""txt"":""LC_ITEM_hallo2024_nameplate_item_name""}")</f>
        <v>{"typ":"lc","txt":"LC_ITEM_hallo2024_nameplate_item_name"}</v>
      </c>
      <c r="K534" s="148" t="str">
        <f>IFERROR(__xludf.DUMMYFUNCTION("""COMPUTED_VALUE"""),"{""typ"":""lc"",""txt"":""LC_ITEM_hallo2024_nameplate_item_desc_item""}")</f>
        <v>{"typ":"lc","txt":"LC_ITEM_hallo2024_nameplate_item_desc_item"}</v>
      </c>
      <c r="L534" s="148" t="str">
        <f>IFERROR(__xludf.DUMMYFUNCTION("""COMPUTED_VALUE"""),"{""typ"":""lc"",""txt"":""LC_ITEM_season_extra_reward_usedtip""}")</f>
        <v>{"typ":"lc","txt":"LC_ITEM_season_extra_reward_usedtip"}</v>
      </c>
      <c r="M534" s="148">
        <f>IFERROR(__xludf.DUMMYFUNCTION("""COMPUTED_VALUE"""),2500.0)</f>
        <v>2500</v>
      </c>
      <c r="N534" s="148">
        <f>IFERROR(__xludf.DUMMYFUNCTION("""COMPUTED_VALUE"""),9999999.0)</f>
        <v>9999999</v>
      </c>
      <c r="O534" s="148">
        <f>IFERROR(__xludf.DUMMYFUNCTION("""COMPUTED_VALUE"""),1.0)</f>
        <v>1</v>
      </c>
      <c r="P534" s="148">
        <f>IFERROR(__xludf.DUMMYFUNCTION("""COMPUTED_VALUE"""),1.0)</f>
        <v>1</v>
      </c>
      <c r="Q534" s="148" t="str">
        <f>IFERROR(__xludf.DUMMYFUNCTION("""COMPUTED_VALUE"""),"[""bag_other""]")</f>
        <v>["bag_other"]</v>
      </c>
      <c r="R534" s="148" t="str">
        <f>IFERROR(__xludf.DUMMYFUNCTION("""COMPUTED_VALUE"""),"[""11731028"",""bag""]")</f>
        <v>["11731028","bag"]</v>
      </c>
      <c r="S534" s="148" t="str">
        <f>IFERROR(__xludf.DUMMYFUNCTION("""COMPUTED_VALUE"""),"{""effect"":[{""typ"":""nameplate"",""id"":11731028,""val"":-1}]}")</f>
        <v>{"effect":[{"typ":"nameplate","id":11731028,"val":-1}]}</v>
      </c>
      <c r="T534" s="148">
        <f>IFERROR(__xludf.DUMMYFUNCTION("""COMPUTED_VALUE"""),-1.0)</f>
        <v>-1</v>
      </c>
      <c r="U534" s="148">
        <f>IFERROR(__xludf.DUMMYFUNCTION("""COMPUTED_VALUE"""),0.0)</f>
        <v>0</v>
      </c>
      <c r="V534" s="148" t="str">
        <f>IFERROR(__xludf.DUMMYFUNCTION("""COMPUTED_VALUE"""),"[]")</f>
        <v>[]</v>
      </c>
      <c r="W534" s="148">
        <f>IFERROR(__xludf.DUMMYFUNCTION("""COMPUTED_VALUE"""),1.174E7)</f>
        <v>11740000</v>
      </c>
      <c r="X534" s="148">
        <f>IFERROR(__xludf.DUMMYFUNCTION("""COMPUTED_VALUE"""),0.0)</f>
        <v>0</v>
      </c>
      <c r="Y534" s="148">
        <f>IFERROR(__xludf.DUMMYFUNCTION("""COMPUTED_VALUE"""),0.0)</f>
        <v>0</v>
      </c>
      <c r="Z534" s="148"/>
    </row>
    <row r="535">
      <c r="A535" s="148">
        <f>IFERROR(__xludf.DUMMYFUNCTION("""COMPUTED_VALUE"""),1.1112327E7)</f>
        <v>11112327</v>
      </c>
      <c r="B535" s="148" t="str">
        <f>IFERROR(__xludf.DUMMYFUNCTION("""COMPUTED_VALUE"""),"通用道具-巨猿排行榜可替换道具")</f>
        <v>通用道具-巨猿排行榜可替换道具</v>
      </c>
      <c r="C535" s="148"/>
      <c r="D535" s="148" t="str">
        <f>IFERROR(__xludf.DUMMYFUNCTION("""COMPUTED_VALUE"""),"event")</f>
        <v>event</v>
      </c>
      <c r="E535" s="148">
        <f>IFERROR(__xludf.DUMMYFUNCTION("""COMPUTED_VALUE"""),0.0)</f>
        <v>0</v>
      </c>
      <c r="F535" s="148">
        <f>IFERROR(__xludf.DUMMYFUNCTION("""COMPUTED_VALUE"""),400100.0)</f>
        <v>400100</v>
      </c>
      <c r="G535" s="148">
        <f>IFERROR(__xludf.DUMMYFUNCTION("""COMPUTED_VALUE"""),1.5114399E7)</f>
        <v>15114399</v>
      </c>
      <c r="H535" s="148">
        <f>IFERROR(__xludf.DUMMYFUNCTION("""COMPUTED_VALUE"""),1.5112564E7)</f>
        <v>15112564</v>
      </c>
      <c r="I535" s="148" t="str">
        <f>IFERROR(__xludf.DUMMYFUNCTION("""COMPUTED_VALUE"""),"{}")</f>
        <v>{}</v>
      </c>
      <c r="J535" s="148" t="str">
        <f>IFERROR(__xludf.DUMMYFUNCTION("""COMPUTED_VALUE"""),"{""typ"":""lc"",""txt"":""LC_ITEM_halloween_2021item_2""}")</f>
        <v>{"typ":"lc","txt":"LC_ITEM_halloween_2021item_2"}</v>
      </c>
      <c r="K535" s="148" t="str">
        <f>IFERROR(__xludf.DUMMYFUNCTION("""COMPUTED_VALUE"""),"{""typ"":""lc"",""txt"":""LC_ITEM_halloween_2021item_2_desc""}")</f>
        <v>{"typ":"lc","txt":"LC_ITEM_halloween_2021item_2_desc"}</v>
      </c>
      <c r="L535" s="148" t="str">
        <f>IFERROR(__xludf.DUMMYFUNCTION("""COMPUTED_VALUE"""),"{}")</f>
        <v>{}</v>
      </c>
      <c r="M535" s="148">
        <f>IFERROR(__xludf.DUMMYFUNCTION("""COMPUTED_VALUE"""),50.0)</f>
        <v>50</v>
      </c>
      <c r="N535" s="148">
        <f>IFERROR(__xludf.DUMMYFUNCTION("""COMPUTED_VALUE"""),999999.0)</f>
        <v>999999</v>
      </c>
      <c r="O535" s="148">
        <f>IFERROR(__xludf.DUMMYFUNCTION("""COMPUTED_VALUE"""),99999.0)</f>
        <v>99999</v>
      </c>
      <c r="P535" s="148">
        <f>IFERROR(__xludf.DUMMYFUNCTION("""COMPUTED_VALUE"""),9999.0)</f>
        <v>9999</v>
      </c>
      <c r="Q535" s="148" t="str">
        <f>IFERROR(__xludf.DUMMYFUNCTION("""COMPUTED_VALUE"""),"[""bag_other""]")</f>
        <v>["bag_other"]</v>
      </c>
      <c r="R535" s="148" t="str">
        <f>IFERROR(__xludf.DUMMYFUNCTION("""COMPUTED_VALUE"""),"[]")</f>
        <v>[]</v>
      </c>
      <c r="S535" s="148" t="str">
        <f>IFERROR(__xludf.DUMMYFUNCTION("""COMPUTED_VALUE"""),"{}")</f>
        <v>{}</v>
      </c>
      <c r="T535" s="148">
        <f>IFERROR(__xludf.DUMMYFUNCTION("""COMPUTED_VALUE"""),-1.0)</f>
        <v>-1</v>
      </c>
      <c r="U535" s="148">
        <f>IFERROR(__xludf.DUMMYFUNCTION("""COMPUTED_VALUE"""),0.0)</f>
        <v>0</v>
      </c>
      <c r="V535" s="148" t="str">
        <f>IFERROR(__xludf.DUMMYFUNCTION("""COMPUTED_VALUE"""),"[]")</f>
        <v>[]</v>
      </c>
      <c r="W535" s="148">
        <f>IFERROR(__xludf.DUMMYFUNCTION("""COMPUTED_VALUE"""),1.174E7)</f>
        <v>11740000</v>
      </c>
      <c r="X535" s="148">
        <f>IFERROR(__xludf.DUMMYFUNCTION("""COMPUTED_VALUE"""),0.0)</f>
        <v>0</v>
      </c>
      <c r="Y535" s="148">
        <f>IFERROR(__xludf.DUMMYFUNCTION("""COMPUTED_VALUE"""),0.0)</f>
        <v>0</v>
      </c>
      <c r="Z535" s="148"/>
    </row>
    <row r="536">
      <c r="A536" s="148">
        <f>IFERROR(__xludf.DUMMYFUNCTION("""COMPUTED_VALUE"""),1.1112328E7)</f>
        <v>11112328</v>
      </c>
      <c r="B536" s="148" t="str">
        <f>IFERROR(__xludf.DUMMYFUNCTION("""COMPUTED_VALUE"""),"主城皮肤-万圣节2024-7天")</f>
        <v>主城皮肤-万圣节2024-7天</v>
      </c>
      <c r="C536" s="148"/>
      <c r="D536" s="148" t="str">
        <f>IFERROR(__xludf.DUMMYFUNCTION("""COMPUTED_VALUE"""),"city_skin")</f>
        <v>city_skin</v>
      </c>
      <c r="E536" s="148">
        <f>IFERROR(__xludf.DUMMYFUNCTION("""COMPUTED_VALUE"""),21.0)</f>
        <v>21</v>
      </c>
      <c r="F536" s="148">
        <f>IFERROR(__xludf.DUMMYFUNCTION("""COMPUTED_VALUE"""),1.0)</f>
        <v>1</v>
      </c>
      <c r="G536" s="148">
        <f>IFERROR(__xludf.DUMMYFUNCTION("""COMPUTED_VALUE"""),1.5110059E8)</f>
        <v>151100590</v>
      </c>
      <c r="H536" s="148">
        <f>IFERROR(__xludf.DUMMYFUNCTION("""COMPUTED_VALUE"""),1.5112563E7)</f>
        <v>15112563</v>
      </c>
      <c r="I536" s="148" t="str">
        <f>IFERROR(__xludf.DUMMYFUNCTION("""COMPUTED_VALUE"""),"{""typ"":""lc"",""txt"":""LC_ITEM_time_day_upper_show"",""args"":[{""typ"":""int"",""val"":7}]}")</f>
        <v>{"typ":"lc","txt":"LC_ITEM_time_day_upper_show","args":[{"typ":"int","val":7}]}</v>
      </c>
      <c r="J536" s="148" t="str">
        <f>IFERROR(__xludf.DUMMYFUNCTION("""COMPUTED_VALUE"""),"{""typ"":""lc"",""txt"":""LC_ITEM_2024hallo_lowcity_skin_title_7day""}")</f>
        <v>{"typ":"lc","txt":"LC_ITEM_2024hallo_lowcity_skin_title_7day"}</v>
      </c>
      <c r="K536" s="148" t="str">
        <f>IFERROR(__xludf.DUMMYFUNCTION("""COMPUTED_VALUE"""),"{""typ"":""lc"",""txt"":""LC_ITEM_2024hallo_lowcity_skin_desc_7day""}")</f>
        <v>{"typ":"lc","txt":"LC_ITEM_2024hallo_lowcity_skin_desc_7day"}</v>
      </c>
      <c r="L536" s="148" t="str">
        <f>IFERROR(__xludf.DUMMYFUNCTION("""COMPUTED_VALUE"""),"{""typ"":""lc"",""txt"":""LC_ITEM_city_skin_rocket_use_tips""}")</f>
        <v>{"typ":"lc","txt":"LC_ITEM_city_skin_rocket_use_tips"}</v>
      </c>
      <c r="M536" s="148">
        <f>IFERROR(__xludf.DUMMYFUNCTION("""COMPUTED_VALUE"""),10000.0)</f>
        <v>10000</v>
      </c>
      <c r="N536" s="148">
        <f>IFERROR(__xludf.DUMMYFUNCTION("""COMPUTED_VALUE"""),999.0)</f>
        <v>999</v>
      </c>
      <c r="O536" s="148">
        <f>IFERROR(__xludf.DUMMYFUNCTION("""COMPUTED_VALUE"""),1.0)</f>
        <v>1</v>
      </c>
      <c r="P536" s="148">
        <f>IFERROR(__xludf.DUMMYFUNCTION("""COMPUTED_VALUE"""),1.0)</f>
        <v>1</v>
      </c>
      <c r="Q536" s="148" t="str">
        <f>IFERROR(__xludf.DUMMYFUNCTION("""COMPUTED_VALUE"""),"[""bag_other""]")</f>
        <v>["bag_other"]</v>
      </c>
      <c r="R536" s="148" t="str">
        <f>IFERROR(__xludf.DUMMYFUNCTION("""COMPUTED_VALUE"""),"[""bag"",""13121048""]")</f>
        <v>["bag","13121048"]</v>
      </c>
      <c r="S536" s="148" t="str">
        <f>IFERROR(__xludf.DUMMYFUNCTION("""COMPUTED_VALUE"""),"{""effect"":[{""typ"":""city_skin"",""id"":13121048,""val"":604800000},{""typ"":""item"",""id"":11111021,""val"":3}]}")</f>
        <v>{"effect":[{"typ":"city_skin","id":13121048,"val":604800000},{"typ":"item","id":11111021,"val":3}]}</v>
      </c>
      <c r="T536" s="148">
        <f>IFERROR(__xludf.DUMMYFUNCTION("""COMPUTED_VALUE"""),-1.0)</f>
        <v>-1</v>
      </c>
      <c r="U536" s="148">
        <f>IFERROR(__xludf.DUMMYFUNCTION("""COMPUTED_VALUE"""),0.0)</f>
        <v>0</v>
      </c>
      <c r="V536" s="148" t="str">
        <f>IFERROR(__xludf.DUMMYFUNCTION("""COMPUTED_VALUE"""),"[]")</f>
        <v>[]</v>
      </c>
      <c r="W536" s="148">
        <f>IFERROR(__xludf.DUMMYFUNCTION("""COMPUTED_VALUE"""),1.174E7)</f>
        <v>11740000</v>
      </c>
      <c r="X536" s="148">
        <f>IFERROR(__xludf.DUMMYFUNCTION("""COMPUTED_VALUE"""),0.0)</f>
        <v>0</v>
      </c>
      <c r="Y536" s="148">
        <f>IFERROR(__xludf.DUMMYFUNCTION("""COMPUTED_VALUE"""),0.0)</f>
        <v>0</v>
      </c>
      <c r="Z536" s="148"/>
    </row>
    <row r="537">
      <c r="A537" s="148">
        <f>IFERROR(__xludf.DUMMYFUNCTION("""COMPUTED_VALUE"""),1.1112329E7)</f>
        <v>11112329</v>
      </c>
      <c r="B537" s="148" t="str">
        <f>IFERROR(__xludf.DUMMYFUNCTION("""COMPUTED_VALUE"""),"主城皮肤-万圣节2024-14天")</f>
        <v>主城皮肤-万圣节2024-14天</v>
      </c>
      <c r="C537" s="148"/>
      <c r="D537" s="148" t="str">
        <f>IFERROR(__xludf.DUMMYFUNCTION("""COMPUTED_VALUE"""),"city_skin")</f>
        <v>city_skin</v>
      </c>
      <c r="E537" s="148">
        <f>IFERROR(__xludf.DUMMYFUNCTION("""COMPUTED_VALUE"""),21.0)</f>
        <v>21</v>
      </c>
      <c r="F537" s="148">
        <f>IFERROR(__xludf.DUMMYFUNCTION("""COMPUTED_VALUE"""),404201.0)</f>
        <v>404201</v>
      </c>
      <c r="G537" s="148">
        <f>IFERROR(__xludf.DUMMYFUNCTION("""COMPUTED_VALUE"""),1.5110059E8)</f>
        <v>151100590</v>
      </c>
      <c r="H537" s="148">
        <f>IFERROR(__xludf.DUMMYFUNCTION("""COMPUTED_VALUE"""),1.5112563E7)</f>
        <v>15112563</v>
      </c>
      <c r="I537" s="148" t="str">
        <f>IFERROR(__xludf.DUMMYFUNCTION("""COMPUTED_VALUE"""),"{""typ"":""lc"",""txt"":""LC_ITEM_time_day_upper_show"",""args"":[{""typ"":""int"",""val"":14}]}")</f>
        <v>{"typ":"lc","txt":"LC_ITEM_time_day_upper_show","args":[{"typ":"int","val":14}]}</v>
      </c>
      <c r="J537" s="148" t="str">
        <f>IFERROR(__xludf.DUMMYFUNCTION("""COMPUTED_VALUE"""),"{""typ"":""lc"",""txt"":""LC_ITEM_2024hallo_lowcity_skin_title_14day""}")</f>
        <v>{"typ":"lc","txt":"LC_ITEM_2024hallo_lowcity_skin_title_14day"}</v>
      </c>
      <c r="K537" s="148" t="str">
        <f>IFERROR(__xludf.DUMMYFUNCTION("""COMPUTED_VALUE"""),"{""typ"":""lc"",""txt"":""LC_ITEM_2024hallo_lowcity_skin_desc_14day""}")</f>
        <v>{"typ":"lc","txt":"LC_ITEM_2024hallo_lowcity_skin_desc_14day"}</v>
      </c>
      <c r="L537" s="148" t="str">
        <f>IFERROR(__xludf.DUMMYFUNCTION("""COMPUTED_VALUE"""),"{""typ"":""lc"",""txt"":""LC_ITEM_city_skin_rocket_use_tips""}")</f>
        <v>{"typ":"lc","txt":"LC_ITEM_city_skin_rocket_use_tips"}</v>
      </c>
      <c r="M537" s="148">
        <f>IFERROR(__xludf.DUMMYFUNCTION("""COMPUTED_VALUE"""),10000.0)</f>
        <v>10000</v>
      </c>
      <c r="N537" s="148">
        <f>IFERROR(__xludf.DUMMYFUNCTION("""COMPUTED_VALUE"""),999.0)</f>
        <v>999</v>
      </c>
      <c r="O537" s="148">
        <f>IFERROR(__xludf.DUMMYFUNCTION("""COMPUTED_VALUE"""),1.0)</f>
        <v>1</v>
      </c>
      <c r="P537" s="148">
        <f>IFERROR(__xludf.DUMMYFUNCTION("""COMPUTED_VALUE"""),1.0)</f>
        <v>1</v>
      </c>
      <c r="Q537" s="148" t="str">
        <f>IFERROR(__xludf.DUMMYFUNCTION("""COMPUTED_VALUE"""),"[""bag_other""]")</f>
        <v>["bag_other"]</v>
      </c>
      <c r="R537" s="148" t="str">
        <f>IFERROR(__xludf.DUMMYFUNCTION("""COMPUTED_VALUE"""),"[""bag"",""13121048""]")</f>
        <v>["bag","13121048"]</v>
      </c>
      <c r="S537" s="148" t="str">
        <f>IFERROR(__xludf.DUMMYFUNCTION("""COMPUTED_VALUE"""),"{""effect"":[{""typ"":""city_skin"",""id"":13121048,""val"":1209600000},{""typ"":""item"",""id"":11111021,""val"":7}]}")</f>
        <v>{"effect":[{"typ":"city_skin","id":13121048,"val":1209600000},{"typ":"item","id":11111021,"val":7}]}</v>
      </c>
      <c r="T537" s="148">
        <f>IFERROR(__xludf.DUMMYFUNCTION("""COMPUTED_VALUE"""),-1.0)</f>
        <v>-1</v>
      </c>
      <c r="U537" s="148">
        <f>IFERROR(__xludf.DUMMYFUNCTION("""COMPUTED_VALUE"""),0.0)</f>
        <v>0</v>
      </c>
      <c r="V537" s="148" t="str">
        <f>IFERROR(__xludf.DUMMYFUNCTION("""COMPUTED_VALUE"""),"[]")</f>
        <v>[]</v>
      </c>
      <c r="W537" s="148">
        <f>IFERROR(__xludf.DUMMYFUNCTION("""COMPUTED_VALUE"""),1.174E7)</f>
        <v>11740000</v>
      </c>
      <c r="X537" s="148">
        <f>IFERROR(__xludf.DUMMYFUNCTION("""COMPUTED_VALUE"""),0.0)</f>
        <v>0</v>
      </c>
      <c r="Y537" s="148">
        <f>IFERROR(__xludf.DUMMYFUNCTION("""COMPUTED_VALUE"""),0.0)</f>
        <v>0</v>
      </c>
      <c r="Z537" s="148"/>
    </row>
    <row r="538">
      <c r="A538" s="148">
        <f>IFERROR(__xludf.DUMMYFUNCTION("""COMPUTED_VALUE"""),1.111233E7)</f>
        <v>11112330</v>
      </c>
      <c r="B538" s="148" t="str">
        <f>IFERROR(__xludf.DUMMYFUNCTION("""COMPUTED_VALUE"""),"万圣节机甲皮肤自选假道具-活动限定")</f>
        <v>万圣节机甲皮肤自选假道具-活动限定</v>
      </c>
      <c r="C538" s="148"/>
      <c r="D538" s="148" t="str">
        <f>IFERROR(__xludf.DUMMYFUNCTION("""COMPUTED_VALUE"""),"mecha_notcolor_skin_select")</f>
        <v>mecha_notcolor_skin_select</v>
      </c>
      <c r="E538" s="148">
        <f>IFERROR(__xludf.DUMMYFUNCTION("""COMPUTED_VALUE"""),19.0)</f>
        <v>19</v>
      </c>
      <c r="F538" s="148">
        <f>IFERROR(__xludf.DUMMYFUNCTION("""COMPUTED_VALUE"""),201101.0)</f>
        <v>201101</v>
      </c>
      <c r="G538" s="148">
        <f>IFERROR(__xludf.DUMMYFUNCTION("""COMPUTED_VALUE"""),1.5112492E7)</f>
        <v>15112492</v>
      </c>
      <c r="H538" s="148">
        <f>IFERROR(__xludf.DUMMYFUNCTION("""COMPUTED_VALUE"""),1.5112564E7)</f>
        <v>15112564</v>
      </c>
      <c r="I538" s="148" t="str">
        <f>IFERROR(__xludf.DUMMYFUNCTION("""COMPUTED_VALUE"""),"{}")</f>
        <v>{}</v>
      </c>
      <c r="J538" s="148" t="str">
        <f>IFERROR(__xludf.DUMMYFUNCTION("""COMPUTED_VALUE"""),"{}")</f>
        <v>{}</v>
      </c>
      <c r="K538" s="148" t="str">
        <f>IFERROR(__xludf.DUMMYFUNCTION("""COMPUTED_VALUE"""),"{}")</f>
        <v>{}</v>
      </c>
      <c r="L538" s="148" t="str">
        <f>IFERROR(__xludf.DUMMYFUNCTION("""COMPUTED_VALUE"""),"{}")</f>
        <v>{}</v>
      </c>
      <c r="M538" s="148">
        <f>IFERROR(__xludf.DUMMYFUNCTION("""COMPUTED_VALUE"""),100.0)</f>
        <v>100</v>
      </c>
      <c r="N538" s="148">
        <f>IFERROR(__xludf.DUMMYFUNCTION("""COMPUTED_VALUE"""),999999.0)</f>
        <v>999999</v>
      </c>
      <c r="O538" s="148">
        <f>IFERROR(__xludf.DUMMYFUNCTION("""COMPUTED_VALUE"""),99999.0)</f>
        <v>99999</v>
      </c>
      <c r="P538" s="148">
        <f>IFERROR(__xludf.DUMMYFUNCTION("""COMPUTED_VALUE"""),99999.0)</f>
        <v>99999</v>
      </c>
      <c r="Q538" s="148" t="str">
        <f>IFERROR(__xludf.DUMMYFUNCTION("""COMPUTED_VALUE"""),"[]")</f>
        <v>[]</v>
      </c>
      <c r="R538" s="148" t="str">
        <f>IFERROR(__xludf.DUMMYFUNCTION("""COMPUTED_VALUE"""),"[]")</f>
        <v>[]</v>
      </c>
      <c r="S538" s="148" t="str">
        <f>IFERROR(__xludf.DUMMYFUNCTION("""COMPUTED_VALUE"""),"{}")</f>
        <v>{}</v>
      </c>
      <c r="T538" s="148">
        <f>IFERROR(__xludf.DUMMYFUNCTION("""COMPUTED_VALUE"""),-1.0)</f>
        <v>-1</v>
      </c>
      <c r="U538" s="148">
        <f>IFERROR(__xludf.DUMMYFUNCTION("""COMPUTED_VALUE"""),1.0)</f>
        <v>1</v>
      </c>
      <c r="V538" s="148" t="str">
        <f>IFERROR(__xludf.DUMMYFUNCTION("""COMPUTED_VALUE"""),"[]")</f>
        <v>[]</v>
      </c>
      <c r="W538" s="148">
        <f>IFERROR(__xludf.DUMMYFUNCTION("""COMPUTED_VALUE"""),1.174E7)</f>
        <v>11740000</v>
      </c>
      <c r="X538" s="148">
        <f>IFERROR(__xludf.DUMMYFUNCTION("""COMPUTED_VALUE"""),0.0)</f>
        <v>0</v>
      </c>
      <c r="Y538" s="148">
        <f>IFERROR(__xludf.DUMMYFUNCTION("""COMPUTED_VALUE"""),0.0)</f>
        <v>0</v>
      </c>
      <c r="Z538" s="148"/>
    </row>
    <row r="539">
      <c r="A539" s="148">
        <f>IFERROR(__xludf.DUMMYFUNCTION("""COMPUTED_VALUE"""),1.1112331E7)</f>
        <v>11112331</v>
      </c>
      <c r="B539" s="148" t="str">
        <f>IFERROR(__xludf.DUMMYFUNCTION("""COMPUTED_VALUE"""),"万圣节2024-主城特效")</f>
        <v>万圣节2024-主城特效</v>
      </c>
      <c r="C539" s="148"/>
      <c r="D539" s="148" t="str">
        <f>IFERROR(__xludf.DUMMYFUNCTION("""COMPUTED_VALUE"""),"city_effect")</f>
        <v>city_effect</v>
      </c>
      <c r="E539" s="148">
        <f>IFERROR(__xludf.DUMMYFUNCTION("""COMPUTED_VALUE"""),0.0)</f>
        <v>0</v>
      </c>
      <c r="F539" s="148">
        <f>IFERROR(__xludf.DUMMYFUNCTION("""COMPUTED_VALUE"""),405217.0)</f>
        <v>405217</v>
      </c>
      <c r="G539" s="148">
        <f>IFERROR(__xludf.DUMMYFUNCTION("""COMPUTED_VALUE"""),1.51100687E8)</f>
        <v>151100687</v>
      </c>
      <c r="H539" s="148">
        <f>IFERROR(__xludf.DUMMYFUNCTION("""COMPUTED_VALUE"""),1.5112564E7)</f>
        <v>15112564</v>
      </c>
      <c r="I539" s="148" t="str">
        <f>IFERROR(__xludf.DUMMYFUNCTION("""COMPUTED_VALUE"""),"{}")</f>
        <v>{}</v>
      </c>
      <c r="J539" s="148" t="str">
        <f>IFERROR(__xludf.DUMMYFUNCTION("""COMPUTED_VALUE"""),"{""typ"":""lc"",""txt"":""LC_ITEM_hallo_city_effect_name""}")</f>
        <v>{"typ":"lc","txt":"LC_ITEM_hallo_city_effect_name"}</v>
      </c>
      <c r="K539" s="148" t="str">
        <f>IFERROR(__xludf.DUMMYFUNCTION("""COMPUTED_VALUE"""),"{""typ"":""lc"",""txt"":""LC_ITEM_hallo_city_effect_desc""}")</f>
        <v>{"typ":"lc","txt":"LC_ITEM_hallo_city_effect_desc"}</v>
      </c>
      <c r="L539" s="148" t="str">
        <f>IFERROR(__xludf.DUMMYFUNCTION("""COMPUTED_VALUE"""),"{}")</f>
        <v>{}</v>
      </c>
      <c r="M539" s="148">
        <f>IFERROR(__xludf.DUMMYFUNCTION("""COMPUTED_VALUE"""),10000.0)</f>
        <v>10000</v>
      </c>
      <c r="N539" s="148">
        <f>IFERROR(__xludf.DUMMYFUNCTION("""COMPUTED_VALUE"""),999999.0)</f>
        <v>999999</v>
      </c>
      <c r="O539" s="148">
        <f>IFERROR(__xludf.DUMMYFUNCTION("""COMPUTED_VALUE"""),99999.0)</f>
        <v>99999</v>
      </c>
      <c r="P539" s="148">
        <f>IFERROR(__xludf.DUMMYFUNCTION("""COMPUTED_VALUE"""),1.0)</f>
        <v>1</v>
      </c>
      <c r="Q539" s="148" t="str">
        <f>IFERROR(__xludf.DUMMYFUNCTION("""COMPUTED_VALUE"""),"[""bag_other""]")</f>
        <v>["bag_other"]</v>
      </c>
      <c r="R539" s="148" t="str">
        <f>IFERROR(__xludf.DUMMYFUNCTION("""COMPUTED_VALUE"""),"[""bag"",""13871004""]")</f>
        <v>["bag","13871004"]</v>
      </c>
      <c r="S539" s="148" t="str">
        <f>IFERROR(__xludf.DUMMYFUNCTION("""COMPUTED_VALUE"""),"{""effect"":[{""typ"":""city_effect"",""id"":13871004,""val"":-1},{""typ"":""item"",""id"":11111034,""val"":10}]}")</f>
        <v>{"effect":[{"typ":"city_effect","id":13871004,"val":-1},{"typ":"item","id":11111034,"val":10}]}</v>
      </c>
      <c r="T539" s="148">
        <f>IFERROR(__xludf.DUMMYFUNCTION("""COMPUTED_VALUE"""),-1.0)</f>
        <v>-1</v>
      </c>
      <c r="U539" s="148">
        <f>IFERROR(__xludf.DUMMYFUNCTION("""COMPUTED_VALUE"""),0.0)</f>
        <v>0</v>
      </c>
      <c r="V539" s="148" t="str">
        <f>IFERROR(__xludf.DUMMYFUNCTION("""COMPUTED_VALUE"""),"[]")</f>
        <v>[]</v>
      </c>
      <c r="W539" s="148">
        <f>IFERROR(__xludf.DUMMYFUNCTION("""COMPUTED_VALUE"""),1.174E7)</f>
        <v>11740000</v>
      </c>
      <c r="X539" s="148">
        <f>IFERROR(__xludf.DUMMYFUNCTION("""COMPUTED_VALUE"""),0.0)</f>
        <v>0</v>
      </c>
      <c r="Y539" s="148">
        <f>IFERROR(__xludf.DUMMYFUNCTION("""COMPUTED_VALUE"""),0.0)</f>
        <v>0</v>
      </c>
      <c r="Z539" s="148"/>
    </row>
    <row r="540">
      <c r="A540" s="148">
        <f>IFERROR(__xludf.DUMMYFUNCTION("""COMPUTED_VALUE"""),1.1112332E7)</f>
        <v>11112332</v>
      </c>
      <c r="B540" s="148" t="str">
        <f>IFERROR(__xludf.DUMMYFUNCTION("""COMPUTED_VALUE"""),"感恩节BattlePass-初级通行证")</f>
        <v>感恩节BattlePass-初级通行证</v>
      </c>
      <c r="C540" s="148"/>
      <c r="D540" s="148" t="str">
        <f>IFERROR(__xludf.DUMMYFUNCTION("""COMPUTED_VALUE"""),"battle_pass_card")</f>
        <v>battle_pass_card</v>
      </c>
      <c r="E540" s="148">
        <f>IFERROR(__xludf.DUMMYFUNCTION("""COMPUTED_VALUE"""),0.0)</f>
        <v>0</v>
      </c>
      <c r="F540" s="148">
        <f>IFERROR(__xludf.DUMMYFUNCTION("""COMPUTED_VALUE"""),0.0)</f>
        <v>0</v>
      </c>
      <c r="G540" s="148">
        <f>IFERROR(__xludf.DUMMYFUNCTION("""COMPUTED_VALUE"""),1.5114438E7)</f>
        <v>15114438</v>
      </c>
      <c r="H540" s="148">
        <f>IFERROR(__xludf.DUMMYFUNCTION("""COMPUTED_VALUE"""),1.5112563E7)</f>
        <v>15112563</v>
      </c>
      <c r="I540" s="148" t="str">
        <f>IFERROR(__xludf.DUMMYFUNCTION("""COMPUTED_VALUE"""),"{}")</f>
        <v>{}</v>
      </c>
      <c r="J540" s="148" t="str">
        <f>IFERROR(__xludf.DUMMYFUNCTION("""COMPUTED_VALUE"""),"{""typ"":""lc"",""txt"":""LC_IAP_tg2024_normal_bp""}")</f>
        <v>{"typ":"lc","txt":"LC_IAP_tg2024_normal_bp"}</v>
      </c>
      <c r="K540" s="148" t="str">
        <f>IFERROR(__xludf.DUMMYFUNCTION("""COMPUTED_VALUE"""),"{}")</f>
        <v>{}</v>
      </c>
      <c r="L540" s="148" t="str">
        <f>IFERROR(__xludf.DUMMYFUNCTION("""COMPUTED_VALUE"""),"{}")</f>
        <v>{}</v>
      </c>
      <c r="M540" s="148">
        <f>IFERROR(__xludf.DUMMYFUNCTION("""COMPUTED_VALUE"""),10.0)</f>
        <v>10</v>
      </c>
      <c r="N540" s="148">
        <f>IFERROR(__xludf.DUMMYFUNCTION("""COMPUTED_VALUE"""),999999.0)</f>
        <v>999999</v>
      </c>
      <c r="O540" s="148">
        <f>IFERROR(__xludf.DUMMYFUNCTION("""COMPUTED_VALUE"""),99999.0)</f>
        <v>99999</v>
      </c>
      <c r="P540" s="148">
        <f>IFERROR(__xludf.DUMMYFUNCTION("""COMPUTED_VALUE"""),9999.0)</f>
        <v>9999</v>
      </c>
      <c r="Q540" s="148" t="str">
        <f>IFERROR(__xludf.DUMMYFUNCTION("""COMPUTED_VALUE"""),"[]")</f>
        <v>[]</v>
      </c>
      <c r="R540" s="148" t="str">
        <f>IFERROR(__xludf.DUMMYFUNCTION("""COMPUTED_VALUE"""),"[]")</f>
        <v>[]</v>
      </c>
      <c r="S540" s="148" t="str">
        <f>IFERROR(__xludf.DUMMYFUNCTION("""COMPUTED_VALUE"""),"{}")</f>
        <v>{}</v>
      </c>
      <c r="T540" s="148">
        <f>IFERROR(__xludf.DUMMYFUNCTION("""COMPUTED_VALUE"""),-1.0)</f>
        <v>-1</v>
      </c>
      <c r="U540" s="148">
        <f>IFERROR(__xludf.DUMMYFUNCTION("""COMPUTED_VALUE"""),1.0)</f>
        <v>1</v>
      </c>
      <c r="V540" s="148" t="str">
        <f>IFERROR(__xludf.DUMMYFUNCTION("""COMPUTED_VALUE"""),"[]")</f>
        <v>[]</v>
      </c>
      <c r="W540" s="148">
        <f>IFERROR(__xludf.DUMMYFUNCTION("""COMPUTED_VALUE"""),1.174E7)</f>
        <v>11740000</v>
      </c>
      <c r="X540" s="148">
        <f>IFERROR(__xludf.DUMMYFUNCTION("""COMPUTED_VALUE"""),0.0)</f>
        <v>0</v>
      </c>
      <c r="Y540" s="148">
        <f>IFERROR(__xludf.DUMMYFUNCTION("""COMPUTED_VALUE"""),0.0)</f>
        <v>0</v>
      </c>
      <c r="Z540" s="148"/>
    </row>
    <row r="541">
      <c r="A541" s="148">
        <f>IFERROR(__xludf.DUMMYFUNCTION("""COMPUTED_VALUE"""),1.1112333E7)</f>
        <v>11112333</v>
      </c>
      <c r="B541" s="148" t="str">
        <f>IFERROR(__xludf.DUMMYFUNCTION("""COMPUTED_VALUE"""),"感恩节BattlePass-高级通行证")</f>
        <v>感恩节BattlePass-高级通行证</v>
      </c>
      <c r="C541" s="148"/>
      <c r="D541" s="148" t="str">
        <f>IFERROR(__xludf.DUMMYFUNCTION("""COMPUTED_VALUE"""),"battle_pass_card")</f>
        <v>battle_pass_card</v>
      </c>
      <c r="E541" s="148">
        <f>IFERROR(__xludf.DUMMYFUNCTION("""COMPUTED_VALUE"""),0.0)</f>
        <v>0</v>
      </c>
      <c r="F541" s="148">
        <f>IFERROR(__xludf.DUMMYFUNCTION("""COMPUTED_VALUE"""),0.0)</f>
        <v>0</v>
      </c>
      <c r="G541" s="148">
        <f>IFERROR(__xludf.DUMMYFUNCTION("""COMPUTED_VALUE"""),1.5114438E7)</f>
        <v>15114438</v>
      </c>
      <c r="H541" s="148">
        <f>IFERROR(__xludf.DUMMYFUNCTION("""COMPUTED_VALUE"""),1.5112564E7)</f>
        <v>15112564</v>
      </c>
      <c r="I541" s="148" t="str">
        <f>IFERROR(__xludf.DUMMYFUNCTION("""COMPUTED_VALUE"""),"{}")</f>
        <v>{}</v>
      </c>
      <c r="J541" s="148" t="str">
        <f>IFERROR(__xludf.DUMMYFUNCTION("""COMPUTED_VALUE"""),"{""typ"":""lc"",""txt"":""LC_IAP_tg2024_senior_bp""}")</f>
        <v>{"typ":"lc","txt":"LC_IAP_tg2024_senior_bp"}</v>
      </c>
      <c r="K541" s="148" t="str">
        <f>IFERROR(__xludf.DUMMYFUNCTION("""COMPUTED_VALUE"""),"{}")</f>
        <v>{}</v>
      </c>
      <c r="L541" s="148" t="str">
        <f>IFERROR(__xludf.DUMMYFUNCTION("""COMPUTED_VALUE"""),"{}")</f>
        <v>{}</v>
      </c>
      <c r="M541" s="148">
        <f>IFERROR(__xludf.DUMMYFUNCTION("""COMPUTED_VALUE"""),10.0)</f>
        <v>10</v>
      </c>
      <c r="N541" s="148">
        <f>IFERROR(__xludf.DUMMYFUNCTION("""COMPUTED_VALUE"""),999999.0)</f>
        <v>999999</v>
      </c>
      <c r="O541" s="148">
        <f>IFERROR(__xludf.DUMMYFUNCTION("""COMPUTED_VALUE"""),99999.0)</f>
        <v>99999</v>
      </c>
      <c r="P541" s="148">
        <f>IFERROR(__xludf.DUMMYFUNCTION("""COMPUTED_VALUE"""),9999.0)</f>
        <v>9999</v>
      </c>
      <c r="Q541" s="148" t="str">
        <f>IFERROR(__xludf.DUMMYFUNCTION("""COMPUTED_VALUE"""),"[]")</f>
        <v>[]</v>
      </c>
      <c r="R541" s="148" t="str">
        <f>IFERROR(__xludf.DUMMYFUNCTION("""COMPUTED_VALUE"""),"[]")</f>
        <v>[]</v>
      </c>
      <c r="S541" s="148" t="str">
        <f>IFERROR(__xludf.DUMMYFUNCTION("""COMPUTED_VALUE"""),"{}")</f>
        <v>{}</v>
      </c>
      <c r="T541" s="148">
        <f>IFERROR(__xludf.DUMMYFUNCTION("""COMPUTED_VALUE"""),-1.0)</f>
        <v>-1</v>
      </c>
      <c r="U541" s="148">
        <f>IFERROR(__xludf.DUMMYFUNCTION("""COMPUTED_VALUE"""),1.0)</f>
        <v>1</v>
      </c>
      <c r="V541" s="148" t="str">
        <f>IFERROR(__xludf.DUMMYFUNCTION("""COMPUTED_VALUE"""),"[]")</f>
        <v>[]</v>
      </c>
      <c r="W541" s="148">
        <f>IFERROR(__xludf.DUMMYFUNCTION("""COMPUTED_VALUE"""),1.174E7)</f>
        <v>11740000</v>
      </c>
      <c r="X541" s="148">
        <f>IFERROR(__xludf.DUMMYFUNCTION("""COMPUTED_VALUE"""),0.0)</f>
        <v>0</v>
      </c>
      <c r="Y541" s="148">
        <f>IFERROR(__xludf.DUMMYFUNCTION("""COMPUTED_VALUE"""),0.0)</f>
        <v>0</v>
      </c>
      <c r="Z541" s="148"/>
    </row>
    <row r="542">
      <c r="A542" s="148">
        <f>IFERROR(__xludf.DUMMYFUNCTION("""COMPUTED_VALUE"""),1.1112334E7)</f>
        <v>11112334</v>
      </c>
      <c r="B542" s="148" t="str">
        <f>IFERROR(__xludf.DUMMYFUNCTION("""COMPUTED_VALUE"""),"感恩食材盒-感恩节BP升级道具")</f>
        <v>感恩食材盒-感恩节BP升级道具</v>
      </c>
      <c r="C542" s="148"/>
      <c r="D542" s="148" t="str">
        <f>IFERROR(__xludf.DUMMYFUNCTION("""COMPUTED_VALUE"""),"battle_pass_exp")</f>
        <v>battle_pass_exp</v>
      </c>
      <c r="E542" s="148">
        <f>IFERROR(__xludf.DUMMYFUNCTION("""COMPUTED_VALUE"""),0.0)</f>
        <v>0</v>
      </c>
      <c r="F542" s="148">
        <f>IFERROR(__xludf.DUMMYFUNCTION("""COMPUTED_VALUE"""),405224.0)</f>
        <v>405224</v>
      </c>
      <c r="G542" s="148">
        <f>IFERROR(__xludf.DUMMYFUNCTION("""COMPUTED_VALUE"""),1.5114438E7)</f>
        <v>15114438</v>
      </c>
      <c r="H542" s="148">
        <f>IFERROR(__xludf.DUMMYFUNCTION("""COMPUTED_VALUE"""),1.5112563E7)</f>
        <v>15112563</v>
      </c>
      <c r="I542" s="148" t="str">
        <f>IFERROR(__xludf.DUMMYFUNCTION("""COMPUTED_VALUE"""),"{}")</f>
        <v>{}</v>
      </c>
      <c r="J542" s="148" t="str">
        <f>IFERROR(__xludf.DUMMYFUNCTION("""COMPUTED_VALUE"""),"{""typ"":""lc"",""txt"":""LC_ITEM_thanksgiving_2021_item_1""}")</f>
        <v>{"typ":"lc","txt":"LC_ITEM_thanksgiving_2021_item_1"}</v>
      </c>
      <c r="K542" s="148" t="str">
        <f>IFERROR(__xludf.DUMMYFUNCTION("""COMPUTED_VALUE"""),"{""typ"":""lc"",""txt"":""LC_ITEM_thanksgiving_2021_item_1_desc""}")</f>
        <v>{"typ":"lc","txt":"LC_ITEM_thanksgiving_2021_item_1_desc"}</v>
      </c>
      <c r="L542" s="148" t="str">
        <f>IFERROR(__xludf.DUMMYFUNCTION("""COMPUTED_VALUE"""),"{}")</f>
        <v>{}</v>
      </c>
      <c r="M542" s="148">
        <f>IFERROR(__xludf.DUMMYFUNCTION("""COMPUTED_VALUE"""),35.0)</f>
        <v>35</v>
      </c>
      <c r="N542" s="148">
        <f>IFERROR(__xludf.DUMMYFUNCTION("""COMPUTED_VALUE"""),9999999.0)</f>
        <v>9999999</v>
      </c>
      <c r="O542" s="148">
        <f>IFERROR(__xludf.DUMMYFUNCTION("""COMPUTED_VALUE"""),999999.0)</f>
        <v>999999</v>
      </c>
      <c r="P542" s="148">
        <f>IFERROR(__xludf.DUMMYFUNCTION("""COMPUTED_VALUE"""),999999.0)</f>
        <v>999999</v>
      </c>
      <c r="Q542" s="148" t="str">
        <f>IFERROR(__xludf.DUMMYFUNCTION("""COMPUTED_VALUE"""),"[""bag_other""]")</f>
        <v>["bag_other"]</v>
      </c>
      <c r="R542" s="148" t="str">
        <f>IFERROR(__xludf.DUMMYFUNCTION("""COMPUTED_VALUE"""),"[""bag""]")</f>
        <v>["bag"]</v>
      </c>
      <c r="S542" s="148" t="str">
        <f>IFERROR(__xludf.DUMMYFUNCTION("""COMPUTED_VALUE"""),"{}")</f>
        <v>{}</v>
      </c>
      <c r="T542" s="148">
        <f>IFERROR(__xludf.DUMMYFUNCTION("""COMPUTED_VALUE"""),-1.0)</f>
        <v>-1</v>
      </c>
      <c r="U542" s="148">
        <f>IFERROR(__xludf.DUMMYFUNCTION("""COMPUTED_VALUE"""),0.0)</f>
        <v>0</v>
      </c>
      <c r="V542" s="148" t="str">
        <f>IFERROR(__xludf.DUMMYFUNCTION("""COMPUTED_VALUE"""),"[]")</f>
        <v>[]</v>
      </c>
      <c r="W542" s="148">
        <f>IFERROR(__xludf.DUMMYFUNCTION("""COMPUTED_VALUE"""),1.174E7)</f>
        <v>11740000</v>
      </c>
      <c r="X542" s="148">
        <f>IFERROR(__xludf.DUMMYFUNCTION("""COMPUTED_VALUE"""),0.0)</f>
        <v>0</v>
      </c>
      <c r="Y542" s="148">
        <f>IFERROR(__xludf.DUMMYFUNCTION("""COMPUTED_VALUE"""),0.0)</f>
        <v>0</v>
      </c>
      <c r="Z542" s="148"/>
    </row>
    <row r="543">
      <c r="A543" s="148">
        <f>IFERROR(__xludf.DUMMYFUNCTION("""COMPUTED_VALUE"""),1.1112335E7)</f>
        <v>11112335</v>
      </c>
      <c r="B543" s="148" t="str">
        <f>IFERROR(__xludf.DUMMYFUNCTION("""COMPUTED_VALUE"""),"行军特效-向阳而生-1天限时")</f>
        <v>行军特效-向阳而生-1天限时</v>
      </c>
      <c r="C543" s="148"/>
      <c r="D543" s="148" t="str">
        <f>IFERROR(__xludf.DUMMYFUNCTION("""COMPUTED_VALUE"""),"marching_effect")</f>
        <v>marching_effect</v>
      </c>
      <c r="E543" s="148">
        <f>IFERROR(__xludf.DUMMYFUNCTION("""COMPUTED_VALUE"""),0.0)</f>
        <v>0</v>
      </c>
      <c r="F543" s="148">
        <f>IFERROR(__xludf.DUMMYFUNCTION("""COMPUTED_VALUE"""),408200.0)</f>
        <v>408200</v>
      </c>
      <c r="G543" s="148">
        <f>IFERROR(__xludf.DUMMYFUNCTION("""COMPUTED_VALUE"""),1.51100719E8)</f>
        <v>151100719</v>
      </c>
      <c r="H543" s="148">
        <f>IFERROR(__xludf.DUMMYFUNCTION("""COMPUTED_VALUE"""),1.511256E7)</f>
        <v>15112560</v>
      </c>
      <c r="I543" s="148" t="str">
        <f>IFERROR(__xludf.DUMMYFUNCTION("""COMPUTED_VALUE"""),"{""typ"":""lc"",""txt"":""LC_ITEM_time_day_upper_show"",""args"":[{""typ"":""int_unit"",""val"":1}]}")</f>
        <v>{"typ":"lc","txt":"LC_ITEM_time_day_upper_show","args":[{"typ":"int_unit","val":1}]}</v>
      </c>
      <c r="J543" s="148" t="str">
        <f>IFERROR(__xludf.DUMMYFUNCTION("""COMPUTED_VALUE"""),"{""typ"":""lc"",""txt"":""LC_ITEM_thanks24_march_effect_name""}")</f>
        <v>{"typ":"lc","txt":"LC_ITEM_thanks24_march_effect_name"}</v>
      </c>
      <c r="K543" s="148" t="str">
        <f>IFERROR(__xludf.DUMMYFUNCTION("""COMPUTED_VALUE"""),"{""typ"":""lc"",""txt"":""LC_ITEM_thanks24_march_effect_desc""}")</f>
        <v>{"typ":"lc","txt":"LC_ITEM_thanks24_march_effect_desc"}</v>
      </c>
      <c r="L543" s="148" t="str">
        <f>IFERROR(__xludf.DUMMYFUNCTION("""COMPUTED_VALUE"""),"{""typ"":""lc"",""txt"":""LC_ITEM_march_effect_use_tip_all""}")</f>
        <v>{"typ":"lc","txt":"LC_ITEM_march_effect_use_tip_all"}</v>
      </c>
      <c r="M543" s="148">
        <f>IFERROR(__xludf.DUMMYFUNCTION("""COMPUTED_VALUE"""),50.0)</f>
        <v>50</v>
      </c>
      <c r="N543" s="148">
        <f>IFERROR(__xludf.DUMMYFUNCTION("""COMPUTED_VALUE"""),999999.0)</f>
        <v>999999</v>
      </c>
      <c r="O543" s="148">
        <f>IFERROR(__xludf.DUMMYFUNCTION("""COMPUTED_VALUE"""),99999.0)</f>
        <v>99999</v>
      </c>
      <c r="P543" s="148">
        <f>IFERROR(__xludf.DUMMYFUNCTION("""COMPUTED_VALUE"""),1.0)</f>
        <v>1</v>
      </c>
      <c r="Q543" s="148" t="str">
        <f>IFERROR(__xludf.DUMMYFUNCTION("""COMPUTED_VALUE"""),"[""bag_other""]")</f>
        <v>["bag_other"]</v>
      </c>
      <c r="R543" s="148" t="str">
        <f>IFERROR(__xludf.DUMMYFUNCTION("""COMPUTED_VALUE"""),"[""bag"",""13650127""]")</f>
        <v>["bag","13650127"]</v>
      </c>
      <c r="S543" s="148" t="str">
        <f>IFERROR(__xludf.DUMMYFUNCTION("""COMPUTED_VALUE"""),"{""effect"":[{""typ"":""marching_effect"",""id"":13650127,""val"":86400000},{""typ"":""vm"",""id"":11151001,""val"":50}]}")</f>
        <v>{"effect":[{"typ":"marching_effect","id":13650127,"val":86400000},{"typ":"vm","id":11151001,"val":50}]}</v>
      </c>
      <c r="T543" s="148">
        <f>IFERROR(__xludf.DUMMYFUNCTION("""COMPUTED_VALUE"""),-1.0)</f>
        <v>-1</v>
      </c>
      <c r="U543" s="148">
        <f>IFERROR(__xludf.DUMMYFUNCTION("""COMPUTED_VALUE"""),0.0)</f>
        <v>0</v>
      </c>
      <c r="V543" s="148" t="str">
        <f>IFERROR(__xludf.DUMMYFUNCTION("""COMPUTED_VALUE"""),"[]")</f>
        <v>[]</v>
      </c>
      <c r="W543" s="148">
        <f>IFERROR(__xludf.DUMMYFUNCTION("""COMPUTED_VALUE"""),1.174E7)</f>
        <v>11740000</v>
      </c>
      <c r="X543" s="148">
        <f>IFERROR(__xludf.DUMMYFUNCTION("""COMPUTED_VALUE"""),0.0)</f>
        <v>0</v>
      </c>
      <c r="Y543" s="148">
        <f>IFERROR(__xludf.DUMMYFUNCTION("""COMPUTED_VALUE"""),0.0)</f>
        <v>0</v>
      </c>
      <c r="Z543" s="148"/>
    </row>
    <row r="544">
      <c r="A544" s="148">
        <f>IFERROR(__xludf.DUMMYFUNCTION("""COMPUTED_VALUE"""),1.1112336E7)</f>
        <v>11112336</v>
      </c>
      <c r="B544" s="148" t="str">
        <f>IFERROR(__xludf.DUMMYFUNCTION("""COMPUTED_VALUE"""),"行军特效-向阳而生-3天限时")</f>
        <v>行军特效-向阳而生-3天限时</v>
      </c>
      <c r="C544" s="148"/>
      <c r="D544" s="148" t="str">
        <f>IFERROR(__xludf.DUMMYFUNCTION("""COMPUTED_VALUE"""),"marching_effect")</f>
        <v>marching_effect</v>
      </c>
      <c r="E544" s="148">
        <f>IFERROR(__xludf.DUMMYFUNCTION("""COMPUTED_VALUE"""),0.0)</f>
        <v>0</v>
      </c>
      <c r="F544" s="148">
        <f>IFERROR(__xludf.DUMMYFUNCTION("""COMPUTED_VALUE"""),408199.0)</f>
        <v>408199</v>
      </c>
      <c r="G544" s="148">
        <f>IFERROR(__xludf.DUMMYFUNCTION("""COMPUTED_VALUE"""),1.51100719E8)</f>
        <v>151100719</v>
      </c>
      <c r="H544" s="148">
        <f>IFERROR(__xludf.DUMMYFUNCTION("""COMPUTED_VALUE"""),1.5112561E7)</f>
        <v>15112561</v>
      </c>
      <c r="I544" s="148" t="str">
        <f>IFERROR(__xludf.DUMMYFUNCTION("""COMPUTED_VALUE"""),"{""typ"":""lc"",""txt"":""LC_ITEM_time_day_upper_show"",""args"":[{""typ"":""int_unit"",""val"":3}]}")</f>
        <v>{"typ":"lc","txt":"LC_ITEM_time_day_upper_show","args":[{"typ":"int_unit","val":3}]}</v>
      </c>
      <c r="J544" s="148" t="str">
        <f>IFERROR(__xludf.DUMMYFUNCTION("""COMPUTED_VALUE"""),"{""typ"":""lc"",""txt"":""LC_ITEM_thanks24_march_effect_name""}")</f>
        <v>{"typ":"lc","txt":"LC_ITEM_thanks24_march_effect_name"}</v>
      </c>
      <c r="K544" s="148" t="str">
        <f>IFERROR(__xludf.DUMMYFUNCTION("""COMPUTED_VALUE"""),"{""typ"":""lc"",""txt"":""LC_ITEM_thanks24_march_effect_desc""}")</f>
        <v>{"typ":"lc","txt":"LC_ITEM_thanks24_march_effect_desc"}</v>
      </c>
      <c r="L544" s="148" t="str">
        <f>IFERROR(__xludf.DUMMYFUNCTION("""COMPUTED_VALUE"""),"{""typ"":""lc"",""txt"":""LC_ITEM_march_effect_use_tip_all""}")</f>
        <v>{"typ":"lc","txt":"LC_ITEM_march_effect_use_tip_all"}</v>
      </c>
      <c r="M544" s="148">
        <f>IFERROR(__xludf.DUMMYFUNCTION("""COMPUTED_VALUE"""),200.0)</f>
        <v>200</v>
      </c>
      <c r="N544" s="148">
        <f>IFERROR(__xludf.DUMMYFUNCTION("""COMPUTED_VALUE"""),999999.0)</f>
        <v>999999</v>
      </c>
      <c r="O544" s="148">
        <f>IFERROR(__xludf.DUMMYFUNCTION("""COMPUTED_VALUE"""),99999.0)</f>
        <v>99999</v>
      </c>
      <c r="P544" s="148">
        <f>IFERROR(__xludf.DUMMYFUNCTION("""COMPUTED_VALUE"""),1.0)</f>
        <v>1</v>
      </c>
      <c r="Q544" s="148" t="str">
        <f>IFERROR(__xludf.DUMMYFUNCTION("""COMPUTED_VALUE"""),"[""bag_other""]")</f>
        <v>["bag_other"]</v>
      </c>
      <c r="R544" s="148" t="str">
        <f>IFERROR(__xludf.DUMMYFUNCTION("""COMPUTED_VALUE"""),"[""bag"",""13650127""]")</f>
        <v>["bag","13650127"]</v>
      </c>
      <c r="S544" s="148" t="str">
        <f>IFERROR(__xludf.DUMMYFUNCTION("""COMPUTED_VALUE"""),"{""effect"":[{""typ"":""marching_effect"",""id"":13650127,""val"":259200000},{""typ"":""vm"",""id"":11151001,""val"":200}]}")</f>
        <v>{"effect":[{"typ":"marching_effect","id":13650127,"val":259200000},{"typ":"vm","id":11151001,"val":200}]}</v>
      </c>
      <c r="T544" s="148">
        <f>IFERROR(__xludf.DUMMYFUNCTION("""COMPUTED_VALUE"""),-1.0)</f>
        <v>-1</v>
      </c>
      <c r="U544" s="148">
        <f>IFERROR(__xludf.DUMMYFUNCTION("""COMPUTED_VALUE"""),0.0)</f>
        <v>0</v>
      </c>
      <c r="V544" s="148" t="str">
        <f>IFERROR(__xludf.DUMMYFUNCTION("""COMPUTED_VALUE"""),"[]")</f>
        <v>[]</v>
      </c>
      <c r="W544" s="148">
        <f>IFERROR(__xludf.DUMMYFUNCTION("""COMPUTED_VALUE"""),1.174E7)</f>
        <v>11740000</v>
      </c>
      <c r="X544" s="148">
        <f>IFERROR(__xludf.DUMMYFUNCTION("""COMPUTED_VALUE"""),0.0)</f>
        <v>0</v>
      </c>
      <c r="Y544" s="148">
        <f>IFERROR(__xludf.DUMMYFUNCTION("""COMPUTED_VALUE"""),0.0)</f>
        <v>0</v>
      </c>
      <c r="Z544" s="148"/>
    </row>
    <row r="545">
      <c r="A545" s="148">
        <f>IFERROR(__xludf.DUMMYFUNCTION("""COMPUTED_VALUE"""),1.1112337E7)</f>
        <v>11112337</v>
      </c>
      <c r="B545" s="148" t="str">
        <f>IFERROR(__xludf.DUMMYFUNCTION("""COMPUTED_VALUE"""),"行军特效-向阳而生-7天限时")</f>
        <v>行军特效-向阳而生-7天限时</v>
      </c>
      <c r="C545" s="148"/>
      <c r="D545" s="148" t="str">
        <f>IFERROR(__xludf.DUMMYFUNCTION("""COMPUTED_VALUE"""),"marching_effect")</f>
        <v>marching_effect</v>
      </c>
      <c r="E545" s="148">
        <f>IFERROR(__xludf.DUMMYFUNCTION("""COMPUTED_VALUE"""),0.0)</f>
        <v>0</v>
      </c>
      <c r="F545" s="148">
        <f>IFERROR(__xludf.DUMMYFUNCTION("""COMPUTED_VALUE"""),408198.0)</f>
        <v>408198</v>
      </c>
      <c r="G545" s="148">
        <f>IFERROR(__xludf.DUMMYFUNCTION("""COMPUTED_VALUE"""),1.51100719E8)</f>
        <v>151100719</v>
      </c>
      <c r="H545" s="148">
        <f>IFERROR(__xludf.DUMMYFUNCTION("""COMPUTED_VALUE"""),1.5112562E7)</f>
        <v>15112562</v>
      </c>
      <c r="I545" s="148" t="str">
        <f>IFERROR(__xludf.DUMMYFUNCTION("""COMPUTED_VALUE"""),"{""typ"":""lc"",""txt"":""LC_ITEM_time_day_upper_show"",""args"":[{""typ"":""int_unit"",""val"":7}]}")</f>
        <v>{"typ":"lc","txt":"LC_ITEM_time_day_upper_show","args":[{"typ":"int_unit","val":7}]}</v>
      </c>
      <c r="J545" s="148" t="str">
        <f>IFERROR(__xludf.DUMMYFUNCTION("""COMPUTED_VALUE"""),"{""typ"":""lc"",""txt"":""LC_ITEM_thanks24_march_effect_name""}")</f>
        <v>{"typ":"lc","txt":"LC_ITEM_thanks24_march_effect_name"}</v>
      </c>
      <c r="K545" s="148" t="str">
        <f>IFERROR(__xludf.DUMMYFUNCTION("""COMPUTED_VALUE"""),"{""typ"":""lc"",""txt"":""LC_ITEM_thanks24_march_effect_desc""}")</f>
        <v>{"typ":"lc","txt":"LC_ITEM_thanks24_march_effect_desc"}</v>
      </c>
      <c r="L545" s="148" t="str">
        <f>IFERROR(__xludf.DUMMYFUNCTION("""COMPUTED_VALUE"""),"{""typ"":""lc"",""txt"":""LC_ITEM_march_effect_use_tip_all""}")</f>
        <v>{"typ":"lc","txt":"LC_ITEM_march_effect_use_tip_all"}</v>
      </c>
      <c r="M545" s="148">
        <f>IFERROR(__xludf.DUMMYFUNCTION("""COMPUTED_VALUE"""),500.0)</f>
        <v>500</v>
      </c>
      <c r="N545" s="148">
        <f>IFERROR(__xludf.DUMMYFUNCTION("""COMPUTED_VALUE"""),999999.0)</f>
        <v>999999</v>
      </c>
      <c r="O545" s="148">
        <f>IFERROR(__xludf.DUMMYFUNCTION("""COMPUTED_VALUE"""),99999.0)</f>
        <v>99999</v>
      </c>
      <c r="P545" s="148">
        <f>IFERROR(__xludf.DUMMYFUNCTION("""COMPUTED_VALUE"""),1.0)</f>
        <v>1</v>
      </c>
      <c r="Q545" s="148" t="str">
        <f>IFERROR(__xludf.DUMMYFUNCTION("""COMPUTED_VALUE"""),"[""bag_other""]")</f>
        <v>["bag_other"]</v>
      </c>
      <c r="R545" s="148" t="str">
        <f>IFERROR(__xludf.DUMMYFUNCTION("""COMPUTED_VALUE"""),"[""bag"",""13650127""]")</f>
        <v>["bag","13650127"]</v>
      </c>
      <c r="S545" s="148" t="str">
        <f>IFERROR(__xludf.DUMMYFUNCTION("""COMPUTED_VALUE"""),"{""effect"":[{""typ"":""marching_effect"",""id"":13650127,""val"":604800000},{""typ"":""vm"",""id"":11151001,""val"":500}]}")</f>
        <v>{"effect":[{"typ":"marching_effect","id":13650127,"val":604800000},{"typ":"vm","id":11151001,"val":500}]}</v>
      </c>
      <c r="T545" s="148">
        <f>IFERROR(__xludf.DUMMYFUNCTION("""COMPUTED_VALUE"""),-1.0)</f>
        <v>-1</v>
      </c>
      <c r="U545" s="148">
        <f>IFERROR(__xludf.DUMMYFUNCTION("""COMPUTED_VALUE"""),0.0)</f>
        <v>0</v>
      </c>
      <c r="V545" s="148" t="str">
        <f>IFERROR(__xludf.DUMMYFUNCTION("""COMPUTED_VALUE"""),"[]")</f>
        <v>[]</v>
      </c>
      <c r="W545" s="148">
        <f>IFERROR(__xludf.DUMMYFUNCTION("""COMPUTED_VALUE"""),1.174E7)</f>
        <v>11740000</v>
      </c>
      <c r="X545" s="148">
        <f>IFERROR(__xludf.DUMMYFUNCTION("""COMPUTED_VALUE"""),0.0)</f>
        <v>0</v>
      </c>
      <c r="Y545" s="148">
        <f>IFERROR(__xludf.DUMMYFUNCTION("""COMPUTED_VALUE"""),0.0)</f>
        <v>0</v>
      </c>
      <c r="Z545" s="148"/>
    </row>
    <row r="546">
      <c r="A546" s="148">
        <f>IFERROR(__xludf.DUMMYFUNCTION("""COMPUTED_VALUE"""),1.1112338E7)</f>
        <v>11112338</v>
      </c>
      <c r="B546" s="148" t="str">
        <f>IFERROR(__xludf.DUMMYFUNCTION("""COMPUTED_VALUE"""),"行军特效-向阳而生-14天限时")</f>
        <v>行军特效-向阳而生-14天限时</v>
      </c>
      <c r="C546" s="148"/>
      <c r="D546" s="148" t="str">
        <f>IFERROR(__xludf.DUMMYFUNCTION("""COMPUTED_VALUE"""),"marching_effect")</f>
        <v>marching_effect</v>
      </c>
      <c r="E546" s="148">
        <f>IFERROR(__xludf.DUMMYFUNCTION("""COMPUTED_VALUE"""),0.0)</f>
        <v>0</v>
      </c>
      <c r="F546" s="148">
        <f>IFERROR(__xludf.DUMMYFUNCTION("""COMPUTED_VALUE"""),408197.0)</f>
        <v>408197</v>
      </c>
      <c r="G546" s="148">
        <f>IFERROR(__xludf.DUMMYFUNCTION("""COMPUTED_VALUE"""),1.51100719E8)</f>
        <v>151100719</v>
      </c>
      <c r="H546" s="148">
        <f>IFERROR(__xludf.DUMMYFUNCTION("""COMPUTED_VALUE"""),1.5112563E7)</f>
        <v>15112563</v>
      </c>
      <c r="I546" s="148" t="str">
        <f>IFERROR(__xludf.DUMMYFUNCTION("""COMPUTED_VALUE"""),"{""typ"":""lc"",""txt"":""LC_ITEM_time_day_upper_show"",""args"":[{""typ"":""int_unit"",""val"":14}]}")</f>
        <v>{"typ":"lc","txt":"LC_ITEM_time_day_upper_show","args":[{"typ":"int_unit","val":14}]}</v>
      </c>
      <c r="J546" s="148" t="str">
        <f>IFERROR(__xludf.DUMMYFUNCTION("""COMPUTED_VALUE"""),"{""typ"":""lc"",""txt"":""LC_ITEM_thanks24_march_effect_name""}")</f>
        <v>{"typ":"lc","txt":"LC_ITEM_thanks24_march_effect_name"}</v>
      </c>
      <c r="K546" s="148" t="str">
        <f>IFERROR(__xludf.DUMMYFUNCTION("""COMPUTED_VALUE"""),"{""typ"":""lc"",""txt"":""LC_ITEM_thanks24_march_effect_desc""}")</f>
        <v>{"typ":"lc","txt":"LC_ITEM_thanks24_march_effect_desc"}</v>
      </c>
      <c r="L546" s="148" t="str">
        <f>IFERROR(__xludf.DUMMYFUNCTION("""COMPUTED_VALUE"""),"{""typ"":""lc"",""txt"":""LC_ITEM_march_effect_use_tip_all""}")</f>
        <v>{"typ":"lc","txt":"LC_ITEM_march_effect_use_tip_all"}</v>
      </c>
      <c r="M546" s="148">
        <f>IFERROR(__xludf.DUMMYFUNCTION("""COMPUTED_VALUE"""),1000.0)</f>
        <v>1000</v>
      </c>
      <c r="N546" s="148">
        <f>IFERROR(__xludf.DUMMYFUNCTION("""COMPUTED_VALUE"""),999999.0)</f>
        <v>999999</v>
      </c>
      <c r="O546" s="148">
        <f>IFERROR(__xludf.DUMMYFUNCTION("""COMPUTED_VALUE"""),99999.0)</f>
        <v>99999</v>
      </c>
      <c r="P546" s="148">
        <f>IFERROR(__xludf.DUMMYFUNCTION("""COMPUTED_VALUE"""),1.0)</f>
        <v>1</v>
      </c>
      <c r="Q546" s="148" t="str">
        <f>IFERROR(__xludf.DUMMYFUNCTION("""COMPUTED_VALUE"""),"[""bag_other""]")</f>
        <v>["bag_other"]</v>
      </c>
      <c r="R546" s="148" t="str">
        <f>IFERROR(__xludf.DUMMYFUNCTION("""COMPUTED_VALUE"""),"[""bag"",""13650127""]")</f>
        <v>["bag","13650127"]</v>
      </c>
      <c r="S546" s="148" t="str">
        <f>IFERROR(__xludf.DUMMYFUNCTION("""COMPUTED_VALUE"""),"{""effect"":[{""typ"":""marching_effect"",""id"":13650127,""val"":1209600000},{""typ"":""vm"",""id"":11151001,""val"":1000}]}")</f>
        <v>{"effect":[{"typ":"marching_effect","id":13650127,"val":1209600000},{"typ":"vm","id":11151001,"val":1000}]}</v>
      </c>
      <c r="T546" s="148">
        <f>IFERROR(__xludf.DUMMYFUNCTION("""COMPUTED_VALUE"""),-1.0)</f>
        <v>-1</v>
      </c>
      <c r="U546" s="148">
        <f>IFERROR(__xludf.DUMMYFUNCTION("""COMPUTED_VALUE"""),0.0)</f>
        <v>0</v>
      </c>
      <c r="V546" s="148" t="str">
        <f>IFERROR(__xludf.DUMMYFUNCTION("""COMPUTED_VALUE"""),"[]")</f>
        <v>[]</v>
      </c>
      <c r="W546" s="148">
        <f>IFERROR(__xludf.DUMMYFUNCTION("""COMPUTED_VALUE"""),1.174E7)</f>
        <v>11740000</v>
      </c>
      <c r="X546" s="148">
        <f>IFERROR(__xludf.DUMMYFUNCTION("""COMPUTED_VALUE"""),0.0)</f>
        <v>0</v>
      </c>
      <c r="Y546" s="148">
        <f>IFERROR(__xludf.DUMMYFUNCTION("""COMPUTED_VALUE"""),0.0)</f>
        <v>0</v>
      </c>
      <c r="Z546" s="148"/>
    </row>
    <row r="547">
      <c r="A547" s="148">
        <f>IFERROR(__xludf.DUMMYFUNCTION("""COMPUTED_VALUE"""),1.1112339E7)</f>
        <v>11112339</v>
      </c>
      <c r="B547" s="148" t="str">
        <f>IFERROR(__xludf.DUMMYFUNCTION("""COMPUTED_VALUE"""),"行军特效-向阳而生-30天限时")</f>
        <v>行军特效-向阳而生-30天限时</v>
      </c>
      <c r="C547" s="148"/>
      <c r="D547" s="148" t="str">
        <f>IFERROR(__xludf.DUMMYFUNCTION("""COMPUTED_VALUE"""),"marching_effect")</f>
        <v>marching_effect</v>
      </c>
      <c r="E547" s="148">
        <f>IFERROR(__xludf.DUMMYFUNCTION("""COMPUTED_VALUE"""),0.0)</f>
        <v>0</v>
      </c>
      <c r="F547" s="148">
        <f>IFERROR(__xludf.DUMMYFUNCTION("""COMPUTED_VALUE"""),408196.0)</f>
        <v>408196</v>
      </c>
      <c r="G547" s="148">
        <f>IFERROR(__xludf.DUMMYFUNCTION("""COMPUTED_VALUE"""),1.51100719E8)</f>
        <v>151100719</v>
      </c>
      <c r="H547" s="148">
        <f>IFERROR(__xludf.DUMMYFUNCTION("""COMPUTED_VALUE"""),1.5112563E7)</f>
        <v>15112563</v>
      </c>
      <c r="I547" s="148" t="str">
        <f>IFERROR(__xludf.DUMMYFUNCTION("""COMPUTED_VALUE"""),"{""typ"":""lc"",""txt"":""LC_ITEM_time_day_upper_show"",""args"":[{""typ"":""int_unit"",""val"":30}]}")</f>
        <v>{"typ":"lc","txt":"LC_ITEM_time_day_upper_show","args":[{"typ":"int_unit","val":30}]}</v>
      </c>
      <c r="J547" s="148" t="str">
        <f>IFERROR(__xludf.DUMMYFUNCTION("""COMPUTED_VALUE"""),"{""typ"":""lc"",""txt"":""LC_ITEM_thanks24_march_effect_name""}")</f>
        <v>{"typ":"lc","txt":"LC_ITEM_thanks24_march_effect_name"}</v>
      </c>
      <c r="K547" s="148" t="str">
        <f>IFERROR(__xludf.DUMMYFUNCTION("""COMPUTED_VALUE"""),"{""typ"":""lc"",""txt"":""LC_ITEM_thanks24_march_effect_desc""}")</f>
        <v>{"typ":"lc","txt":"LC_ITEM_thanks24_march_effect_desc"}</v>
      </c>
      <c r="L547" s="148" t="str">
        <f>IFERROR(__xludf.DUMMYFUNCTION("""COMPUTED_VALUE"""),"{""typ"":""lc"",""txt"":""LC_ITEM_march_effect_use_tip_all""}")</f>
        <v>{"typ":"lc","txt":"LC_ITEM_march_effect_use_tip_all"}</v>
      </c>
      <c r="M547" s="148">
        <f>IFERROR(__xludf.DUMMYFUNCTION("""COMPUTED_VALUE"""),2000.0)</f>
        <v>2000</v>
      </c>
      <c r="N547" s="148">
        <f>IFERROR(__xludf.DUMMYFUNCTION("""COMPUTED_VALUE"""),999999.0)</f>
        <v>999999</v>
      </c>
      <c r="O547" s="148">
        <f>IFERROR(__xludf.DUMMYFUNCTION("""COMPUTED_VALUE"""),99999.0)</f>
        <v>99999</v>
      </c>
      <c r="P547" s="148">
        <f>IFERROR(__xludf.DUMMYFUNCTION("""COMPUTED_VALUE"""),1.0)</f>
        <v>1</v>
      </c>
      <c r="Q547" s="148" t="str">
        <f>IFERROR(__xludf.DUMMYFUNCTION("""COMPUTED_VALUE"""),"[""bag_other""]")</f>
        <v>["bag_other"]</v>
      </c>
      <c r="R547" s="148" t="str">
        <f>IFERROR(__xludf.DUMMYFUNCTION("""COMPUTED_VALUE"""),"[""bag"",""13650127""]")</f>
        <v>["bag","13650127"]</v>
      </c>
      <c r="S547" s="148" t="str">
        <f>IFERROR(__xludf.DUMMYFUNCTION("""COMPUTED_VALUE"""),"{""effect"":[{""typ"":""marching_effect"",""id"":13650127,""val"":2592000000},{""typ"":""vm"",""id"":11151001,""val"":1000}]}")</f>
        <v>{"effect":[{"typ":"marching_effect","id":13650127,"val":2592000000},{"typ":"vm","id":11151001,"val":1000}]}</v>
      </c>
      <c r="T547" s="148">
        <f>IFERROR(__xludf.DUMMYFUNCTION("""COMPUTED_VALUE"""),-1.0)</f>
        <v>-1</v>
      </c>
      <c r="U547" s="148">
        <f>IFERROR(__xludf.DUMMYFUNCTION("""COMPUTED_VALUE"""),0.0)</f>
        <v>0</v>
      </c>
      <c r="V547" s="148" t="str">
        <f>IFERROR(__xludf.DUMMYFUNCTION("""COMPUTED_VALUE"""),"[]")</f>
        <v>[]</v>
      </c>
      <c r="W547" s="148">
        <f>IFERROR(__xludf.DUMMYFUNCTION("""COMPUTED_VALUE"""),1.174E7)</f>
        <v>11740000</v>
      </c>
      <c r="X547" s="148">
        <f>IFERROR(__xludf.DUMMYFUNCTION("""COMPUTED_VALUE"""),0.0)</f>
        <v>0</v>
      </c>
      <c r="Y547" s="148">
        <f>IFERROR(__xludf.DUMMYFUNCTION("""COMPUTED_VALUE"""),0.0)</f>
        <v>0</v>
      </c>
      <c r="Z547" s="148"/>
    </row>
    <row r="548">
      <c r="A548" s="148">
        <f>IFERROR(__xludf.DUMMYFUNCTION("""COMPUTED_VALUE"""),1.111234E7)</f>
        <v>11112340</v>
      </c>
      <c r="B548" s="148" t="str">
        <f>IFERROR(__xludf.DUMMYFUNCTION("""COMPUTED_VALUE"""),"行军特效-向阳而生-永久")</f>
        <v>行军特效-向阳而生-永久</v>
      </c>
      <c r="C548" s="148"/>
      <c r="D548" s="148" t="str">
        <f>IFERROR(__xludf.DUMMYFUNCTION("""COMPUTED_VALUE"""),"marching_effect")</f>
        <v>marching_effect</v>
      </c>
      <c r="E548" s="148">
        <f>IFERROR(__xludf.DUMMYFUNCTION("""COMPUTED_VALUE"""),0.0)</f>
        <v>0</v>
      </c>
      <c r="F548" s="148">
        <f>IFERROR(__xludf.DUMMYFUNCTION("""COMPUTED_VALUE"""),408195.0)</f>
        <v>408195</v>
      </c>
      <c r="G548" s="148">
        <f>IFERROR(__xludf.DUMMYFUNCTION("""COMPUTED_VALUE"""),1.51100719E8)</f>
        <v>151100719</v>
      </c>
      <c r="H548" s="148">
        <f>IFERROR(__xludf.DUMMYFUNCTION("""COMPUTED_VALUE"""),1.5112564E7)</f>
        <v>15112564</v>
      </c>
      <c r="I548" s="148" t="str">
        <f>IFERROR(__xludf.DUMMYFUNCTION("""COMPUTED_VALUE"""),"{}")</f>
        <v>{}</v>
      </c>
      <c r="J548" s="148" t="str">
        <f>IFERROR(__xludf.DUMMYFUNCTION("""COMPUTED_VALUE"""),"{""typ"":""lc"",""txt"":""LC_ITEM_thanks24_march_effect_name""}")</f>
        <v>{"typ":"lc","txt":"LC_ITEM_thanks24_march_effect_name"}</v>
      </c>
      <c r="K548" s="148" t="str">
        <f>IFERROR(__xludf.DUMMYFUNCTION("""COMPUTED_VALUE"""),"{""typ"":""lc"",""txt"":""LC_ITEM_thanks24_march_effect_desc""}")</f>
        <v>{"typ":"lc","txt":"LC_ITEM_thanks24_march_effect_desc"}</v>
      </c>
      <c r="L548" s="148" t="str">
        <f>IFERROR(__xludf.DUMMYFUNCTION("""COMPUTED_VALUE"""),"{""typ"":""lc"",""txt"":""LC_ITEM_march_effect_use_tip_all""}")</f>
        <v>{"typ":"lc","txt":"LC_ITEM_march_effect_use_tip_all"}</v>
      </c>
      <c r="M548" s="148">
        <f>IFERROR(__xludf.DUMMYFUNCTION("""COMPUTED_VALUE"""),5000.0)</f>
        <v>5000</v>
      </c>
      <c r="N548" s="148">
        <f>IFERROR(__xludf.DUMMYFUNCTION("""COMPUTED_VALUE"""),999999.0)</f>
        <v>999999</v>
      </c>
      <c r="O548" s="148">
        <f>IFERROR(__xludf.DUMMYFUNCTION("""COMPUTED_VALUE"""),99999.0)</f>
        <v>99999</v>
      </c>
      <c r="P548" s="148">
        <f>IFERROR(__xludf.DUMMYFUNCTION("""COMPUTED_VALUE"""),1.0)</f>
        <v>1</v>
      </c>
      <c r="Q548" s="148" t="str">
        <f>IFERROR(__xludf.DUMMYFUNCTION("""COMPUTED_VALUE"""),"[""bag_other""]")</f>
        <v>["bag_other"]</v>
      </c>
      <c r="R548" s="148" t="str">
        <f>IFERROR(__xludf.DUMMYFUNCTION("""COMPUTED_VALUE"""),"[""bag"",""13650127""]")</f>
        <v>["bag","13650127"]</v>
      </c>
      <c r="S548" s="148" t="str">
        <f>IFERROR(__xludf.DUMMYFUNCTION("""COMPUTED_VALUE"""),"{""effect"":[{""typ"":""marching_effect"",""id"":13650127,""val"":-1},{""typ"":""vm"",""id"":11151001,""val"":2500}]}")</f>
        <v>{"effect":[{"typ":"marching_effect","id":13650127,"val":-1},{"typ":"vm","id":11151001,"val":2500}]}</v>
      </c>
      <c r="T548" s="148">
        <f>IFERROR(__xludf.DUMMYFUNCTION("""COMPUTED_VALUE"""),-1.0)</f>
        <v>-1</v>
      </c>
      <c r="U548" s="148">
        <f>IFERROR(__xludf.DUMMYFUNCTION("""COMPUTED_VALUE"""),0.0)</f>
        <v>0</v>
      </c>
      <c r="V548" s="148" t="str">
        <f>IFERROR(__xludf.DUMMYFUNCTION("""COMPUTED_VALUE"""),"[]")</f>
        <v>[]</v>
      </c>
      <c r="W548" s="148">
        <f>IFERROR(__xludf.DUMMYFUNCTION("""COMPUTED_VALUE"""),1.174E7)</f>
        <v>11740000</v>
      </c>
      <c r="X548" s="148">
        <f>IFERROR(__xludf.DUMMYFUNCTION("""COMPUTED_VALUE"""),0.0)</f>
        <v>0</v>
      </c>
      <c r="Y548" s="148">
        <f>IFERROR(__xludf.DUMMYFUNCTION("""COMPUTED_VALUE"""),0.0)</f>
        <v>0</v>
      </c>
      <c r="Z548" s="148"/>
    </row>
    <row r="549">
      <c r="A549" s="148">
        <f>IFERROR(__xludf.DUMMYFUNCTION("""COMPUTED_VALUE"""),1.1112341E7)</f>
        <v>11112341</v>
      </c>
      <c r="B549" s="148" t="str">
        <f>IFERROR(__xludf.DUMMYFUNCTION("""COMPUTED_VALUE"""),"铭牌-感恩节2024铭牌")</f>
        <v>铭牌-感恩节2024铭牌</v>
      </c>
      <c r="C549" s="148"/>
      <c r="D549" s="148" t="str">
        <f>IFERROR(__xludf.DUMMYFUNCTION("""COMPUTED_VALUE"""),"chat_skin")</f>
        <v>chat_skin</v>
      </c>
      <c r="E549" s="148">
        <f>IFERROR(__xludf.DUMMYFUNCTION("""COMPUTED_VALUE"""),30.0)</f>
        <v>30</v>
      </c>
      <c r="F549" s="148">
        <f>IFERROR(__xludf.DUMMYFUNCTION("""COMPUTED_VALUE"""),401107.0)</f>
        <v>401107</v>
      </c>
      <c r="G549" s="148">
        <f>IFERROR(__xludf.DUMMYFUNCTION("""COMPUTED_VALUE"""),1.5110072E8)</f>
        <v>151100720</v>
      </c>
      <c r="H549" s="148">
        <f>IFERROR(__xludf.DUMMYFUNCTION("""COMPUTED_VALUE"""),1.5112564E7)</f>
        <v>15112564</v>
      </c>
      <c r="I549" s="148" t="str">
        <f>IFERROR(__xludf.DUMMYFUNCTION("""COMPUTED_VALUE"""),"{}")</f>
        <v>{}</v>
      </c>
      <c r="J549" s="148" t="str">
        <f>IFERROR(__xludf.DUMMYFUNCTION("""COMPUTED_VALUE"""),"{""typ"":""lc"",""txt"":""LC_ITEM_thanks24_nameplate_name""}")</f>
        <v>{"typ":"lc","txt":"LC_ITEM_thanks24_nameplate_name"}</v>
      </c>
      <c r="K549" s="148" t="str">
        <f>IFERROR(__xludf.DUMMYFUNCTION("""COMPUTED_VALUE"""),"{""typ"":""lc"",""txt"":""LC_ITEM_thanks24_nameplate_desc_item""}")</f>
        <v>{"typ":"lc","txt":"LC_ITEM_thanks24_nameplate_desc_item"}</v>
      </c>
      <c r="L549" s="148" t="str">
        <f>IFERROR(__xludf.DUMMYFUNCTION("""COMPUTED_VALUE"""),"{""typ"":""lc"",""txt"":""LC_ITEM_season_extra_reward_usedtip""}")</f>
        <v>{"typ":"lc","txt":"LC_ITEM_season_extra_reward_usedtip"}</v>
      </c>
      <c r="M549" s="148">
        <f>IFERROR(__xludf.DUMMYFUNCTION("""COMPUTED_VALUE"""),2500.0)</f>
        <v>2500</v>
      </c>
      <c r="N549" s="148">
        <f>IFERROR(__xludf.DUMMYFUNCTION("""COMPUTED_VALUE"""),9999999.0)</f>
        <v>9999999</v>
      </c>
      <c r="O549" s="148">
        <f>IFERROR(__xludf.DUMMYFUNCTION("""COMPUTED_VALUE"""),1.0)</f>
        <v>1</v>
      </c>
      <c r="P549" s="148">
        <f>IFERROR(__xludf.DUMMYFUNCTION("""COMPUTED_VALUE"""),1.0)</f>
        <v>1</v>
      </c>
      <c r="Q549" s="148" t="str">
        <f>IFERROR(__xludf.DUMMYFUNCTION("""COMPUTED_VALUE"""),"[""bag_other""]")</f>
        <v>["bag_other"]</v>
      </c>
      <c r="R549" s="148" t="str">
        <f>IFERROR(__xludf.DUMMYFUNCTION("""COMPUTED_VALUE"""),"[""11731029"",""bag""]")</f>
        <v>["11731029","bag"]</v>
      </c>
      <c r="S549" s="148" t="str">
        <f>IFERROR(__xludf.DUMMYFUNCTION("""COMPUTED_VALUE"""),"{""effect"":[{""typ"":""nameplate"",""id"":11731029,""val"":-1}]}")</f>
        <v>{"effect":[{"typ":"nameplate","id":11731029,"val":-1}]}</v>
      </c>
      <c r="T549" s="148">
        <f>IFERROR(__xludf.DUMMYFUNCTION("""COMPUTED_VALUE"""),-1.0)</f>
        <v>-1</v>
      </c>
      <c r="U549" s="148">
        <f>IFERROR(__xludf.DUMMYFUNCTION("""COMPUTED_VALUE"""),0.0)</f>
        <v>0</v>
      </c>
      <c r="V549" s="148" t="str">
        <f>IFERROR(__xludf.DUMMYFUNCTION("""COMPUTED_VALUE"""),"[]")</f>
        <v>[]</v>
      </c>
      <c r="W549" s="148">
        <f>IFERROR(__xludf.DUMMYFUNCTION("""COMPUTED_VALUE"""),1.174E7)</f>
        <v>11740000</v>
      </c>
      <c r="X549" s="148">
        <f>IFERROR(__xludf.DUMMYFUNCTION("""COMPUTED_VALUE"""),0.0)</f>
        <v>0</v>
      </c>
      <c r="Y549" s="148">
        <f>IFERROR(__xludf.DUMMYFUNCTION("""COMPUTED_VALUE"""),0.0)</f>
        <v>0</v>
      </c>
      <c r="Z549" s="148"/>
    </row>
    <row r="550">
      <c r="A550" s="148">
        <f>IFERROR(__xludf.DUMMYFUNCTION("""COMPUTED_VALUE"""),1.1112342E7)</f>
        <v>11112342</v>
      </c>
      <c r="B550" s="148" t="str">
        <f>IFERROR(__xludf.DUMMYFUNCTION("""COMPUTED_VALUE"""),"主城皮肤-感恩节高级皮肤2024-14天")</f>
        <v>主城皮肤-感恩节高级皮肤2024-14天</v>
      </c>
      <c r="C550" s="148"/>
      <c r="D550" s="148" t="str">
        <f>IFERROR(__xludf.DUMMYFUNCTION("""COMPUTED_VALUE"""),"city_skin")</f>
        <v>city_skin</v>
      </c>
      <c r="E550" s="148">
        <f>IFERROR(__xludf.DUMMYFUNCTION("""COMPUTED_VALUE"""),21.0)</f>
        <v>21</v>
      </c>
      <c r="F550" s="148">
        <f>IFERROR(__xludf.DUMMYFUNCTION("""COMPUTED_VALUE"""),400106.0)</f>
        <v>400106</v>
      </c>
      <c r="G550" s="148">
        <f>IFERROR(__xludf.DUMMYFUNCTION("""COMPUTED_VALUE"""),1.51100766E8)</f>
        <v>151100766</v>
      </c>
      <c r="H550" s="148">
        <f>IFERROR(__xludf.DUMMYFUNCTION("""COMPUTED_VALUE"""),1.5112564E7)</f>
        <v>15112564</v>
      </c>
      <c r="I550" s="148" t="str">
        <f>IFERROR(__xludf.DUMMYFUNCTION("""COMPUTED_VALUE"""),"{""typ"":""lc"",""txt"":""LC_ITEM_time_day_upper_show"",""args"":[{""typ"":""int"",""val"":14}]}")</f>
        <v>{"typ":"lc","txt":"LC_ITEM_time_day_upper_show","args":[{"typ":"int","val":14}]}</v>
      </c>
      <c r="J550" s="148" t="str">
        <f>IFERROR(__xludf.DUMMYFUNCTION("""COMPUTED_VALUE"""),"{""typ"":""lc"",""txt"":""LC_ITEM_2024thankgive_highcity_skin_title_14day""}")</f>
        <v>{"typ":"lc","txt":"LC_ITEM_2024thankgive_highcity_skin_title_14day"}</v>
      </c>
      <c r="K550" s="148" t="str">
        <f>IFERROR(__xludf.DUMMYFUNCTION("""COMPUTED_VALUE"""),"{""typ"":""lc"",""txt"":""LC_ITEM_2024thankgive_highskin_desc_14days""}")</f>
        <v>{"typ":"lc","txt":"LC_ITEM_2024thankgive_highskin_desc_14days"}</v>
      </c>
      <c r="L550" s="148" t="str">
        <f>IFERROR(__xludf.DUMMYFUNCTION("""COMPUTED_VALUE"""),"{""typ"":""lc"",""txt"":""LC_ITEM_city_skin_rocket_use_tips""}")</f>
        <v>{"typ":"lc","txt":"LC_ITEM_city_skin_rocket_use_tips"}</v>
      </c>
      <c r="M550" s="148">
        <f>IFERROR(__xludf.DUMMYFUNCTION("""COMPUTED_VALUE"""),10000.0)</f>
        <v>10000</v>
      </c>
      <c r="N550" s="148">
        <f>IFERROR(__xludf.DUMMYFUNCTION("""COMPUTED_VALUE"""),999.0)</f>
        <v>999</v>
      </c>
      <c r="O550" s="148">
        <f>IFERROR(__xludf.DUMMYFUNCTION("""COMPUTED_VALUE"""),1.0)</f>
        <v>1</v>
      </c>
      <c r="P550" s="148">
        <f>IFERROR(__xludf.DUMMYFUNCTION("""COMPUTED_VALUE"""),1.0)</f>
        <v>1</v>
      </c>
      <c r="Q550" s="148" t="str">
        <f>IFERROR(__xludf.DUMMYFUNCTION("""COMPUTED_VALUE"""),"[""bag_other""]")</f>
        <v>["bag_other"]</v>
      </c>
      <c r="R550" s="148" t="str">
        <f>IFERROR(__xludf.DUMMYFUNCTION("""COMPUTED_VALUE"""),"[""bag"",""13121051""]")</f>
        <v>["bag","13121051"]</v>
      </c>
      <c r="S550" s="148" t="str">
        <f>IFERROR(__xludf.DUMMYFUNCTION("""COMPUTED_VALUE"""),"{""effect"":[{""typ"":""city_skin"",""id"":13121051,""val"":1209600000},{""typ"":""item"",""id"":11111021,""val"":7}]}")</f>
        <v>{"effect":[{"typ":"city_skin","id":13121051,"val":1209600000},{"typ":"item","id":11111021,"val":7}]}</v>
      </c>
      <c r="T550" s="148">
        <f>IFERROR(__xludf.DUMMYFUNCTION("""COMPUTED_VALUE"""),-1.0)</f>
        <v>-1</v>
      </c>
      <c r="U550" s="148">
        <f>IFERROR(__xludf.DUMMYFUNCTION("""COMPUTED_VALUE"""),0.0)</f>
        <v>0</v>
      </c>
      <c r="V550" s="148" t="str">
        <f>IFERROR(__xludf.DUMMYFUNCTION("""COMPUTED_VALUE"""),"[]")</f>
        <v>[]</v>
      </c>
      <c r="W550" s="148">
        <f>IFERROR(__xludf.DUMMYFUNCTION("""COMPUTED_VALUE"""),1.174E7)</f>
        <v>11740000</v>
      </c>
      <c r="X550" s="148">
        <f>IFERROR(__xludf.DUMMYFUNCTION("""COMPUTED_VALUE"""),0.0)</f>
        <v>0</v>
      </c>
      <c r="Y550" s="148">
        <f>IFERROR(__xludf.DUMMYFUNCTION("""COMPUTED_VALUE"""),0.0)</f>
        <v>0</v>
      </c>
      <c r="Z550" s="148"/>
    </row>
    <row r="551">
      <c r="A551" s="148">
        <f>IFERROR(__xludf.DUMMYFUNCTION("""COMPUTED_VALUE"""),1.1112343E7)</f>
        <v>11112343</v>
      </c>
      <c r="B551" s="148" t="str">
        <f>IFERROR(__xludf.DUMMYFUNCTION("""COMPUTED_VALUE"""),"主城皮肤-感恩节高级皮肤2024-7天")</f>
        <v>主城皮肤-感恩节高级皮肤2024-7天</v>
      </c>
      <c r="C551" s="148"/>
      <c r="D551" s="148" t="str">
        <f>IFERROR(__xludf.DUMMYFUNCTION("""COMPUTED_VALUE"""),"city_skin")</f>
        <v>city_skin</v>
      </c>
      <c r="E551" s="148">
        <f>IFERROR(__xludf.DUMMYFUNCTION("""COMPUTED_VALUE"""),21.0)</f>
        <v>21</v>
      </c>
      <c r="F551" s="148">
        <f>IFERROR(__xludf.DUMMYFUNCTION("""COMPUTED_VALUE"""),400106.0)</f>
        <v>400106</v>
      </c>
      <c r="G551" s="148">
        <f>IFERROR(__xludf.DUMMYFUNCTION("""COMPUTED_VALUE"""),1.51100766E8)</f>
        <v>151100766</v>
      </c>
      <c r="H551" s="148">
        <f>IFERROR(__xludf.DUMMYFUNCTION("""COMPUTED_VALUE"""),1.5112564E7)</f>
        <v>15112564</v>
      </c>
      <c r="I551" s="148" t="str">
        <f>IFERROR(__xludf.DUMMYFUNCTION("""COMPUTED_VALUE"""),"{""typ"":""lc"",""txt"":""LC_ITEM_time_day_upper_show"",""args"":[{""typ"":""int"",""val"":7}]}")</f>
        <v>{"typ":"lc","txt":"LC_ITEM_time_day_upper_show","args":[{"typ":"int","val":7}]}</v>
      </c>
      <c r="J551" s="148" t="str">
        <f>IFERROR(__xludf.DUMMYFUNCTION("""COMPUTED_VALUE"""),"{""typ"":""lc"",""txt"":""LC_ITEM_2024thankgive_highcity_skin_title_7day""}")</f>
        <v>{"typ":"lc","txt":"LC_ITEM_2024thankgive_highcity_skin_title_7day"}</v>
      </c>
      <c r="K551" s="148" t="str">
        <f>IFERROR(__xludf.DUMMYFUNCTION("""COMPUTED_VALUE"""),"{""typ"":""lc"",""txt"":""LC_ITEM_2024thankgive_highskin_desc_7days""}")</f>
        <v>{"typ":"lc","txt":"LC_ITEM_2024thankgive_highskin_desc_7days"}</v>
      </c>
      <c r="L551" s="148" t="str">
        <f>IFERROR(__xludf.DUMMYFUNCTION("""COMPUTED_VALUE"""),"{""typ"":""lc"",""txt"":""LC_ITEM_city_skin_rocket_use_tips""}")</f>
        <v>{"typ":"lc","txt":"LC_ITEM_city_skin_rocket_use_tips"}</v>
      </c>
      <c r="M551" s="148">
        <f>IFERROR(__xludf.DUMMYFUNCTION("""COMPUTED_VALUE"""),10000.0)</f>
        <v>10000</v>
      </c>
      <c r="N551" s="148">
        <f>IFERROR(__xludf.DUMMYFUNCTION("""COMPUTED_VALUE"""),999.0)</f>
        <v>999</v>
      </c>
      <c r="O551" s="148">
        <f>IFERROR(__xludf.DUMMYFUNCTION("""COMPUTED_VALUE"""),1.0)</f>
        <v>1</v>
      </c>
      <c r="P551" s="148">
        <f>IFERROR(__xludf.DUMMYFUNCTION("""COMPUTED_VALUE"""),1.0)</f>
        <v>1</v>
      </c>
      <c r="Q551" s="148" t="str">
        <f>IFERROR(__xludf.DUMMYFUNCTION("""COMPUTED_VALUE"""),"[""bag_other""]")</f>
        <v>["bag_other"]</v>
      </c>
      <c r="R551" s="148" t="str">
        <f>IFERROR(__xludf.DUMMYFUNCTION("""COMPUTED_VALUE"""),"[""bag"",""13121051""]")</f>
        <v>["bag","13121051"]</v>
      </c>
      <c r="S551" s="148" t="str">
        <f>IFERROR(__xludf.DUMMYFUNCTION("""COMPUTED_VALUE"""),"{""effect"":[{""typ"":""city_skin"",""id"":13121051,""val"":604800000},{""typ"":""item"",""id"":11111021,""val"":3}]}")</f>
        <v>{"effect":[{"typ":"city_skin","id":13121051,"val":604800000},{"typ":"item","id":11111021,"val":3}]}</v>
      </c>
      <c r="T551" s="148">
        <f>IFERROR(__xludf.DUMMYFUNCTION("""COMPUTED_VALUE"""),-1.0)</f>
        <v>-1</v>
      </c>
      <c r="U551" s="148">
        <f>IFERROR(__xludf.DUMMYFUNCTION("""COMPUTED_VALUE"""),0.0)</f>
        <v>0</v>
      </c>
      <c r="V551" s="148" t="str">
        <f>IFERROR(__xludf.DUMMYFUNCTION("""COMPUTED_VALUE"""),"[]")</f>
        <v>[]</v>
      </c>
      <c r="W551" s="148">
        <f>IFERROR(__xludf.DUMMYFUNCTION("""COMPUTED_VALUE"""),1.174E7)</f>
        <v>11740000</v>
      </c>
      <c r="X551" s="148">
        <f>IFERROR(__xludf.DUMMYFUNCTION("""COMPUTED_VALUE"""),0.0)</f>
        <v>0</v>
      </c>
      <c r="Y551" s="148">
        <f>IFERROR(__xludf.DUMMYFUNCTION("""COMPUTED_VALUE"""),0.0)</f>
        <v>0</v>
      </c>
      <c r="Z551" s="148"/>
    </row>
    <row r="552">
      <c r="A552" s="148">
        <f>IFERROR(__xludf.DUMMYFUNCTION("""COMPUTED_VALUE"""),1.1112344E7)</f>
        <v>11112344</v>
      </c>
      <c r="B552" s="148" t="str">
        <f>IFERROR(__xludf.DUMMYFUNCTION("""COMPUTED_VALUE"""),"主城皮肤-感恩节高级皮肤2024")</f>
        <v>主城皮肤-感恩节高级皮肤2024</v>
      </c>
      <c r="C552" s="148"/>
      <c r="D552" s="148" t="str">
        <f>IFERROR(__xludf.DUMMYFUNCTION("""COMPUTED_VALUE"""),"city_skin")</f>
        <v>city_skin</v>
      </c>
      <c r="E552" s="148">
        <f>IFERROR(__xludf.DUMMYFUNCTION("""COMPUTED_VALUE"""),21.0)</f>
        <v>21</v>
      </c>
      <c r="F552" s="148">
        <f>IFERROR(__xludf.DUMMYFUNCTION("""COMPUTED_VALUE"""),400106.0)</f>
        <v>400106</v>
      </c>
      <c r="G552" s="148">
        <f>IFERROR(__xludf.DUMMYFUNCTION("""COMPUTED_VALUE"""),1.51100766E8)</f>
        <v>151100766</v>
      </c>
      <c r="H552" s="148">
        <f>IFERROR(__xludf.DUMMYFUNCTION("""COMPUTED_VALUE"""),1.5112564E7)</f>
        <v>15112564</v>
      </c>
      <c r="I552" s="148" t="str">
        <f>IFERROR(__xludf.DUMMYFUNCTION("""COMPUTED_VALUE"""),"{}")</f>
        <v>{}</v>
      </c>
      <c r="J552" s="148" t="str">
        <f>IFERROR(__xludf.DUMMYFUNCTION("""COMPUTED_VALUE"""),"{""typ"":""lc"",""txt"":""LC_ITEM_2024thankgive_highcity_skin_title""}")</f>
        <v>{"typ":"lc","txt":"LC_ITEM_2024thankgive_highcity_skin_title"}</v>
      </c>
      <c r="K552" s="148" t="str">
        <f>IFERROR(__xludf.DUMMYFUNCTION("""COMPUTED_VALUE"""),"{""typ"":""lc"",""txt"":""LC_ITEM_2024thankgive_highskin_desc_forever""}")</f>
        <v>{"typ":"lc","txt":"LC_ITEM_2024thankgive_highskin_desc_forever"}</v>
      </c>
      <c r="L552" s="148" t="str">
        <f>IFERROR(__xludf.DUMMYFUNCTION("""COMPUTED_VALUE"""),"{""typ"":""lc"",""txt"":""LC_ITEM_city_skin_rocket_use_tips""}")</f>
        <v>{"typ":"lc","txt":"LC_ITEM_city_skin_rocket_use_tips"}</v>
      </c>
      <c r="M552" s="148">
        <f>IFERROR(__xludf.DUMMYFUNCTION("""COMPUTED_VALUE"""),10000.0)</f>
        <v>10000</v>
      </c>
      <c r="N552" s="148">
        <f>IFERROR(__xludf.DUMMYFUNCTION("""COMPUTED_VALUE"""),999.0)</f>
        <v>999</v>
      </c>
      <c r="O552" s="148">
        <f>IFERROR(__xludf.DUMMYFUNCTION("""COMPUTED_VALUE"""),1.0)</f>
        <v>1</v>
      </c>
      <c r="P552" s="148">
        <f>IFERROR(__xludf.DUMMYFUNCTION("""COMPUTED_VALUE"""),1.0)</f>
        <v>1</v>
      </c>
      <c r="Q552" s="148" t="str">
        <f>IFERROR(__xludf.DUMMYFUNCTION("""COMPUTED_VALUE"""),"[""bag_other""]")</f>
        <v>["bag_other"]</v>
      </c>
      <c r="R552" s="148" t="str">
        <f>IFERROR(__xludf.DUMMYFUNCTION("""COMPUTED_VALUE"""),"[""bag"",""13121051""]")</f>
        <v>["bag","13121051"]</v>
      </c>
      <c r="S552" s="148" t="str">
        <f>IFERROR(__xludf.DUMMYFUNCTION("""COMPUTED_VALUE"""),"{""effect"":[{""typ"":""city_skin"",""id"":13121051,""val"":-1},{""typ"":""item"",""id"":11111034,""val"":10}]}")</f>
        <v>{"effect":[{"typ":"city_skin","id":13121051,"val":-1},{"typ":"item","id":11111034,"val":10}]}</v>
      </c>
      <c r="T552" s="148">
        <f>IFERROR(__xludf.DUMMYFUNCTION("""COMPUTED_VALUE"""),-1.0)</f>
        <v>-1</v>
      </c>
      <c r="U552" s="148">
        <f>IFERROR(__xludf.DUMMYFUNCTION("""COMPUTED_VALUE"""),0.0)</f>
        <v>0</v>
      </c>
      <c r="V552" s="148" t="str">
        <f>IFERROR(__xludf.DUMMYFUNCTION("""COMPUTED_VALUE"""),"[]")</f>
        <v>[]</v>
      </c>
      <c r="W552" s="148">
        <f>IFERROR(__xludf.DUMMYFUNCTION("""COMPUTED_VALUE"""),1.174E7)</f>
        <v>11740000</v>
      </c>
      <c r="X552" s="148">
        <f>IFERROR(__xludf.DUMMYFUNCTION("""COMPUTED_VALUE"""),0.0)</f>
        <v>0</v>
      </c>
      <c r="Y552" s="148">
        <f>IFERROR(__xludf.DUMMYFUNCTION("""COMPUTED_VALUE"""),0.0)</f>
        <v>0</v>
      </c>
      <c r="Z552" s="148"/>
    </row>
    <row r="553">
      <c r="A553" s="148">
        <f>IFERROR(__xludf.DUMMYFUNCTION("""COMPUTED_VALUE"""),1.1112345E7)</f>
        <v>11112345</v>
      </c>
      <c r="B553" s="148" t="str">
        <f>IFERROR(__xludf.DUMMYFUNCTION("""COMPUTED_VALUE"""),"主城皮肤-感恩节2024")</f>
        <v>主城皮肤-感恩节2024</v>
      </c>
      <c r="C553" s="148"/>
      <c r="D553" s="148" t="str">
        <f>IFERROR(__xludf.DUMMYFUNCTION("""COMPUTED_VALUE"""),"city_skin")</f>
        <v>city_skin</v>
      </c>
      <c r="E553" s="148">
        <f>IFERROR(__xludf.DUMMYFUNCTION("""COMPUTED_VALUE"""),21.0)</f>
        <v>21</v>
      </c>
      <c r="F553" s="148">
        <f>IFERROR(__xludf.DUMMYFUNCTION("""COMPUTED_VALUE"""),404201.0)</f>
        <v>404201</v>
      </c>
      <c r="G553" s="148">
        <f>IFERROR(__xludf.DUMMYFUNCTION("""COMPUTED_VALUE"""),1.51100765E8)</f>
        <v>151100765</v>
      </c>
      <c r="H553" s="148">
        <f>IFERROR(__xludf.DUMMYFUNCTION("""COMPUTED_VALUE"""),1.5112564E7)</f>
        <v>15112564</v>
      </c>
      <c r="I553" s="148" t="str">
        <f>IFERROR(__xludf.DUMMYFUNCTION("""COMPUTED_VALUE"""),"{}")</f>
        <v>{}</v>
      </c>
      <c r="J553" s="148" t="str">
        <f>IFERROR(__xludf.DUMMYFUNCTION("""COMPUTED_VALUE"""),"{""typ"":""lc"",""txt"":""LC_ITEM_2024thankgive_lowcity_skin_title""}")</f>
        <v>{"typ":"lc","txt":"LC_ITEM_2024thankgive_lowcity_skin_title"}</v>
      </c>
      <c r="K553" s="148" t="str">
        <f>IFERROR(__xludf.DUMMYFUNCTION("""COMPUTED_VALUE"""),"{""typ"":""lc"",""txt"":""LC_ITEM_2024thankgive_lowcity_skin_desc_forever""}")</f>
        <v>{"typ":"lc","txt":"LC_ITEM_2024thankgive_lowcity_skin_desc_forever"}</v>
      </c>
      <c r="L553" s="148" t="str">
        <f>IFERROR(__xludf.DUMMYFUNCTION("""COMPUTED_VALUE"""),"{""typ"":""lc"",""txt"":""LC_ITEM_city_skin_rocket_use_tips""}")</f>
        <v>{"typ":"lc","txt":"LC_ITEM_city_skin_rocket_use_tips"}</v>
      </c>
      <c r="M553" s="148">
        <f>IFERROR(__xludf.DUMMYFUNCTION("""COMPUTED_VALUE"""),10000.0)</f>
        <v>10000</v>
      </c>
      <c r="N553" s="148">
        <f>IFERROR(__xludf.DUMMYFUNCTION("""COMPUTED_VALUE"""),999.0)</f>
        <v>999</v>
      </c>
      <c r="O553" s="148">
        <f>IFERROR(__xludf.DUMMYFUNCTION("""COMPUTED_VALUE"""),1.0)</f>
        <v>1</v>
      </c>
      <c r="P553" s="148">
        <f>IFERROR(__xludf.DUMMYFUNCTION("""COMPUTED_VALUE"""),1.0)</f>
        <v>1</v>
      </c>
      <c r="Q553" s="148" t="str">
        <f>IFERROR(__xludf.DUMMYFUNCTION("""COMPUTED_VALUE"""),"[""bag_other""]")</f>
        <v>["bag_other"]</v>
      </c>
      <c r="R553" s="148" t="str">
        <f>IFERROR(__xludf.DUMMYFUNCTION("""COMPUTED_VALUE"""),"[""bag"",""13121050""]")</f>
        <v>["bag","13121050"]</v>
      </c>
      <c r="S553" s="148" t="str">
        <f>IFERROR(__xludf.DUMMYFUNCTION("""COMPUTED_VALUE"""),"{""effect"":[{""typ"":""city_skin"",""id"":13121050,""val"":-1},{""typ"":""item"",""id"":11111034,""val"":10}]}")</f>
        <v>{"effect":[{"typ":"city_skin","id":13121050,"val":-1},{"typ":"item","id":11111034,"val":10}]}</v>
      </c>
      <c r="T553" s="148">
        <f>IFERROR(__xludf.DUMMYFUNCTION("""COMPUTED_VALUE"""),-1.0)</f>
        <v>-1</v>
      </c>
      <c r="U553" s="148">
        <f>IFERROR(__xludf.DUMMYFUNCTION("""COMPUTED_VALUE"""),0.0)</f>
        <v>0</v>
      </c>
      <c r="V553" s="148" t="str">
        <f>IFERROR(__xludf.DUMMYFUNCTION("""COMPUTED_VALUE"""),"[]")</f>
        <v>[]</v>
      </c>
      <c r="W553" s="148">
        <f>IFERROR(__xludf.DUMMYFUNCTION("""COMPUTED_VALUE"""),1.174E7)</f>
        <v>11740000</v>
      </c>
      <c r="X553" s="148">
        <f>IFERROR(__xludf.DUMMYFUNCTION("""COMPUTED_VALUE"""),0.0)</f>
        <v>0</v>
      </c>
      <c r="Y553" s="148">
        <f>IFERROR(__xludf.DUMMYFUNCTION("""COMPUTED_VALUE"""),0.0)</f>
        <v>0</v>
      </c>
      <c r="Z553" s="148"/>
    </row>
    <row r="554">
      <c r="A554" s="148">
        <f>IFERROR(__xludf.DUMMYFUNCTION("""COMPUTED_VALUE"""),1.1112346E7)</f>
        <v>11112346</v>
      </c>
      <c r="B554" s="148" t="str">
        <f>IFERROR(__xludf.DUMMYFUNCTION("""COMPUTED_VALUE"""),"主城皮肤-感恩节2024-2天")</f>
        <v>主城皮肤-感恩节2024-2天</v>
      </c>
      <c r="C554" s="148"/>
      <c r="D554" s="148" t="str">
        <f>IFERROR(__xludf.DUMMYFUNCTION("""COMPUTED_VALUE"""),"city_skin")</f>
        <v>city_skin</v>
      </c>
      <c r="E554" s="148">
        <f>IFERROR(__xludf.DUMMYFUNCTION("""COMPUTED_VALUE"""),21.0)</f>
        <v>21</v>
      </c>
      <c r="F554" s="148">
        <f>IFERROR(__xludf.DUMMYFUNCTION("""COMPUTED_VALUE"""),404201.0)</f>
        <v>404201</v>
      </c>
      <c r="G554" s="148">
        <f>IFERROR(__xludf.DUMMYFUNCTION("""COMPUTED_VALUE"""),1.51100765E8)</f>
        <v>151100765</v>
      </c>
      <c r="H554" s="148">
        <f>IFERROR(__xludf.DUMMYFUNCTION("""COMPUTED_VALUE"""),1.5112563E7)</f>
        <v>15112563</v>
      </c>
      <c r="I554" s="148" t="str">
        <f>IFERROR(__xludf.DUMMYFUNCTION("""COMPUTED_VALUE"""),"{""typ"":""lc"",""txt"":""LC_ITEM_time_day_upper_show"",""args"":[{""typ"":""int"",""val"":2}]}")</f>
        <v>{"typ":"lc","txt":"LC_ITEM_time_day_upper_show","args":[{"typ":"int","val":2}]}</v>
      </c>
      <c r="J554" s="148" t="str">
        <f>IFERROR(__xludf.DUMMYFUNCTION("""COMPUTED_VALUE"""),"{""typ"":""lc"",""txt"":""LC_ITEM_2024thankgive_lowcity_skin_title_2day""}")</f>
        <v>{"typ":"lc","txt":"LC_ITEM_2024thankgive_lowcity_skin_title_2day"}</v>
      </c>
      <c r="K554" s="148" t="str">
        <f>IFERROR(__xludf.DUMMYFUNCTION("""COMPUTED_VALUE"""),"{""typ"":""lc"",""txt"":""LC_ITEM_2024thankgive_lowcity_skin_desc_2day""}")</f>
        <v>{"typ":"lc","txt":"LC_ITEM_2024thankgive_lowcity_skin_desc_2day"}</v>
      </c>
      <c r="L554" s="148" t="str">
        <f>IFERROR(__xludf.DUMMYFUNCTION("""COMPUTED_VALUE"""),"{""typ"":""lc"",""txt"":""LC_ITEM_city_skin_rocket_use_tips""}")</f>
        <v>{"typ":"lc","txt":"LC_ITEM_city_skin_rocket_use_tips"}</v>
      </c>
      <c r="M554" s="148">
        <f>IFERROR(__xludf.DUMMYFUNCTION("""COMPUTED_VALUE"""),500.0)</f>
        <v>500</v>
      </c>
      <c r="N554" s="148">
        <f>IFERROR(__xludf.DUMMYFUNCTION("""COMPUTED_VALUE"""),999.0)</f>
        <v>999</v>
      </c>
      <c r="O554" s="148">
        <f>IFERROR(__xludf.DUMMYFUNCTION("""COMPUTED_VALUE"""),1.0)</f>
        <v>1</v>
      </c>
      <c r="P554" s="148">
        <f>IFERROR(__xludf.DUMMYFUNCTION("""COMPUTED_VALUE"""),1.0)</f>
        <v>1</v>
      </c>
      <c r="Q554" s="148" t="str">
        <f>IFERROR(__xludf.DUMMYFUNCTION("""COMPUTED_VALUE"""),"[""bag_other""]")</f>
        <v>["bag_other"]</v>
      </c>
      <c r="R554" s="148" t="str">
        <f>IFERROR(__xludf.DUMMYFUNCTION("""COMPUTED_VALUE"""),"[""bag"",""13121050""]")</f>
        <v>["bag","13121050"]</v>
      </c>
      <c r="S554" s="148" t="str">
        <f>IFERROR(__xludf.DUMMYFUNCTION("""COMPUTED_VALUE"""),"{""effect"":[{""typ"":""city_skin"",""id"":13121050,""val"":172800000},{""typ"":""item"",""id"":11111021,""val"":1}]}")</f>
        <v>{"effect":[{"typ":"city_skin","id":13121050,"val":172800000},{"typ":"item","id":11111021,"val":1}]}</v>
      </c>
      <c r="T554" s="148">
        <f>IFERROR(__xludf.DUMMYFUNCTION("""COMPUTED_VALUE"""),-1.0)</f>
        <v>-1</v>
      </c>
      <c r="U554" s="148">
        <f>IFERROR(__xludf.DUMMYFUNCTION("""COMPUTED_VALUE"""),0.0)</f>
        <v>0</v>
      </c>
      <c r="V554" s="148" t="str">
        <f>IFERROR(__xludf.DUMMYFUNCTION("""COMPUTED_VALUE"""),"[]")</f>
        <v>[]</v>
      </c>
      <c r="W554" s="148">
        <f>IFERROR(__xludf.DUMMYFUNCTION("""COMPUTED_VALUE"""),1.174E7)</f>
        <v>11740000</v>
      </c>
      <c r="X554" s="148">
        <f>IFERROR(__xludf.DUMMYFUNCTION("""COMPUTED_VALUE"""),0.0)</f>
        <v>0</v>
      </c>
      <c r="Y554" s="148">
        <f>IFERROR(__xludf.DUMMYFUNCTION("""COMPUTED_VALUE"""),0.0)</f>
        <v>0</v>
      </c>
      <c r="Z554" s="148"/>
    </row>
    <row r="555">
      <c r="A555" s="148">
        <f>IFERROR(__xludf.DUMMYFUNCTION("""COMPUTED_VALUE"""),1.1112347E7)</f>
        <v>11112347</v>
      </c>
      <c r="B555" s="148" t="str">
        <f>IFERROR(__xludf.DUMMYFUNCTION("""COMPUTED_VALUE"""),"主城皮肤-感恩节2024-7天")</f>
        <v>主城皮肤-感恩节2024-7天</v>
      </c>
      <c r="C555" s="148"/>
      <c r="D555" s="148" t="str">
        <f>IFERROR(__xludf.DUMMYFUNCTION("""COMPUTED_VALUE"""),"city_skin")</f>
        <v>city_skin</v>
      </c>
      <c r="E555" s="148">
        <f>IFERROR(__xludf.DUMMYFUNCTION("""COMPUTED_VALUE"""),21.0)</f>
        <v>21</v>
      </c>
      <c r="F555" s="148">
        <f>IFERROR(__xludf.DUMMYFUNCTION("""COMPUTED_VALUE"""),404201.0)</f>
        <v>404201</v>
      </c>
      <c r="G555" s="148">
        <f>IFERROR(__xludf.DUMMYFUNCTION("""COMPUTED_VALUE"""),1.51100765E8)</f>
        <v>151100765</v>
      </c>
      <c r="H555" s="148">
        <f>IFERROR(__xludf.DUMMYFUNCTION("""COMPUTED_VALUE"""),1.5112564E7)</f>
        <v>15112564</v>
      </c>
      <c r="I555" s="148" t="str">
        <f>IFERROR(__xludf.DUMMYFUNCTION("""COMPUTED_VALUE"""),"{""typ"":""lc"",""txt"":""LC_ITEM_time_day_upper_show"",""args"":[{""typ"":""int"",""val"":7}]}")</f>
        <v>{"typ":"lc","txt":"LC_ITEM_time_day_upper_show","args":[{"typ":"int","val":7}]}</v>
      </c>
      <c r="J555" s="148" t="str">
        <f>IFERROR(__xludf.DUMMYFUNCTION("""COMPUTED_VALUE"""),"{""typ"":""lc"",""txt"":""LC_ITEM_2024thankgive_lowcity_skin_title_7day""}")</f>
        <v>{"typ":"lc","txt":"LC_ITEM_2024thankgive_lowcity_skin_title_7day"}</v>
      </c>
      <c r="K555" s="148" t="str">
        <f>IFERROR(__xludf.DUMMYFUNCTION("""COMPUTED_VALUE"""),"{""typ"":""lc"",""txt"":""LC_ITEM_2024thankgive_lowcity_skin_desc_7day""}")</f>
        <v>{"typ":"lc","txt":"LC_ITEM_2024thankgive_lowcity_skin_desc_7day"}</v>
      </c>
      <c r="L555" s="148" t="str">
        <f>IFERROR(__xludf.DUMMYFUNCTION("""COMPUTED_VALUE"""),"{""typ"":""lc"",""txt"":""LC_ITEM_city_skin_rocket_use_tips""}")</f>
        <v>{"typ":"lc","txt":"LC_ITEM_city_skin_rocket_use_tips"}</v>
      </c>
      <c r="M555" s="148">
        <f>IFERROR(__xludf.DUMMYFUNCTION("""COMPUTED_VALUE"""),10000.0)</f>
        <v>10000</v>
      </c>
      <c r="N555" s="148">
        <f>IFERROR(__xludf.DUMMYFUNCTION("""COMPUTED_VALUE"""),999.0)</f>
        <v>999</v>
      </c>
      <c r="O555" s="148">
        <f>IFERROR(__xludf.DUMMYFUNCTION("""COMPUTED_VALUE"""),1.0)</f>
        <v>1</v>
      </c>
      <c r="P555" s="148">
        <f>IFERROR(__xludf.DUMMYFUNCTION("""COMPUTED_VALUE"""),1.0)</f>
        <v>1</v>
      </c>
      <c r="Q555" s="148" t="str">
        <f>IFERROR(__xludf.DUMMYFUNCTION("""COMPUTED_VALUE"""),"[""bag_other""]")</f>
        <v>["bag_other"]</v>
      </c>
      <c r="R555" s="148" t="str">
        <f>IFERROR(__xludf.DUMMYFUNCTION("""COMPUTED_VALUE"""),"[""bag"",""13121050""]")</f>
        <v>["bag","13121050"]</v>
      </c>
      <c r="S555" s="148" t="str">
        <f>IFERROR(__xludf.DUMMYFUNCTION("""COMPUTED_VALUE"""),"{""effect"":[{""typ"":""city_skin"",""id"":13121050,""val"":604800000},{""typ"":""item"",""id"":11111021,""val"":3}]}")</f>
        <v>{"effect":[{"typ":"city_skin","id":13121050,"val":604800000},{"typ":"item","id":11111021,"val":3}]}</v>
      </c>
      <c r="T555" s="148">
        <f>IFERROR(__xludf.DUMMYFUNCTION("""COMPUTED_VALUE"""),-1.0)</f>
        <v>-1</v>
      </c>
      <c r="U555" s="148">
        <f>IFERROR(__xludf.DUMMYFUNCTION("""COMPUTED_VALUE"""),0.0)</f>
        <v>0</v>
      </c>
      <c r="V555" s="148" t="str">
        <f>IFERROR(__xludf.DUMMYFUNCTION("""COMPUTED_VALUE"""),"[]")</f>
        <v>[]</v>
      </c>
      <c r="W555" s="148">
        <f>IFERROR(__xludf.DUMMYFUNCTION("""COMPUTED_VALUE"""),1.174E7)</f>
        <v>11740000</v>
      </c>
      <c r="X555" s="148">
        <f>IFERROR(__xludf.DUMMYFUNCTION("""COMPUTED_VALUE"""),0.0)</f>
        <v>0</v>
      </c>
      <c r="Y555" s="148">
        <f>IFERROR(__xludf.DUMMYFUNCTION("""COMPUTED_VALUE"""),0.0)</f>
        <v>0</v>
      </c>
      <c r="Z555" s="148"/>
    </row>
    <row r="556">
      <c r="A556" s="148">
        <f>IFERROR(__xludf.DUMMYFUNCTION("""COMPUTED_VALUE"""),1.1112348E7)</f>
        <v>11112348</v>
      </c>
      <c r="B556" s="148" t="str">
        <f>IFERROR(__xludf.DUMMYFUNCTION("""COMPUTED_VALUE"""),"主城皮肤-感恩节2024-14天")</f>
        <v>主城皮肤-感恩节2024-14天</v>
      </c>
      <c r="C556" s="148"/>
      <c r="D556" s="148" t="str">
        <f>IFERROR(__xludf.DUMMYFUNCTION("""COMPUTED_VALUE"""),"city_skin")</f>
        <v>city_skin</v>
      </c>
      <c r="E556" s="148">
        <f>IFERROR(__xludf.DUMMYFUNCTION("""COMPUTED_VALUE"""),21.0)</f>
        <v>21</v>
      </c>
      <c r="F556" s="148">
        <f>IFERROR(__xludf.DUMMYFUNCTION("""COMPUTED_VALUE"""),404201.0)</f>
        <v>404201</v>
      </c>
      <c r="G556" s="148">
        <f>IFERROR(__xludf.DUMMYFUNCTION("""COMPUTED_VALUE"""),1.51100765E8)</f>
        <v>151100765</v>
      </c>
      <c r="H556" s="148">
        <f>IFERROR(__xludf.DUMMYFUNCTION("""COMPUTED_VALUE"""),1.5112564E7)</f>
        <v>15112564</v>
      </c>
      <c r="I556" s="148" t="str">
        <f>IFERROR(__xludf.DUMMYFUNCTION("""COMPUTED_VALUE"""),"{""typ"":""lc"",""txt"":""LC_ITEM_time_day_upper_show"",""args"":[{""typ"":""int"",""val"":14}]}")</f>
        <v>{"typ":"lc","txt":"LC_ITEM_time_day_upper_show","args":[{"typ":"int","val":14}]}</v>
      </c>
      <c r="J556" s="148" t="str">
        <f>IFERROR(__xludf.DUMMYFUNCTION("""COMPUTED_VALUE"""),"{""typ"":""lc"",""txt"":""LC_ITEM_2024thankgive_lowcity_skin_title_14day""}")</f>
        <v>{"typ":"lc","txt":"LC_ITEM_2024thankgive_lowcity_skin_title_14day"}</v>
      </c>
      <c r="K556" s="148" t="str">
        <f>IFERROR(__xludf.DUMMYFUNCTION("""COMPUTED_VALUE"""),"{""typ"":""lc"",""txt"":""LC_ITEM_2024thankgive_lowcity_skin_desc_14day""}")</f>
        <v>{"typ":"lc","txt":"LC_ITEM_2024thankgive_lowcity_skin_desc_14day"}</v>
      </c>
      <c r="L556" s="148" t="str">
        <f>IFERROR(__xludf.DUMMYFUNCTION("""COMPUTED_VALUE"""),"{""typ"":""lc"",""txt"":""LC_ITEM_city_skin_rocket_use_tips""}")</f>
        <v>{"typ":"lc","txt":"LC_ITEM_city_skin_rocket_use_tips"}</v>
      </c>
      <c r="M556" s="148">
        <f>IFERROR(__xludf.DUMMYFUNCTION("""COMPUTED_VALUE"""),10000.0)</f>
        <v>10000</v>
      </c>
      <c r="N556" s="148">
        <f>IFERROR(__xludf.DUMMYFUNCTION("""COMPUTED_VALUE"""),999.0)</f>
        <v>999</v>
      </c>
      <c r="O556" s="148">
        <f>IFERROR(__xludf.DUMMYFUNCTION("""COMPUTED_VALUE"""),1.0)</f>
        <v>1</v>
      </c>
      <c r="P556" s="148">
        <f>IFERROR(__xludf.DUMMYFUNCTION("""COMPUTED_VALUE"""),1.0)</f>
        <v>1</v>
      </c>
      <c r="Q556" s="148" t="str">
        <f>IFERROR(__xludf.DUMMYFUNCTION("""COMPUTED_VALUE"""),"[""bag_other""]")</f>
        <v>["bag_other"]</v>
      </c>
      <c r="R556" s="148" t="str">
        <f>IFERROR(__xludf.DUMMYFUNCTION("""COMPUTED_VALUE"""),"[""bag"",""13121050""]")</f>
        <v>["bag","13121050"]</v>
      </c>
      <c r="S556" s="148" t="str">
        <f>IFERROR(__xludf.DUMMYFUNCTION("""COMPUTED_VALUE"""),"{""effect"":[{""typ"":""city_skin"",""id"":13121050,""val"":1209600000},{""typ"":""item"",""id"":11111021,""val"":7}]}")</f>
        <v>{"effect":[{"typ":"city_skin","id":13121050,"val":1209600000},{"typ":"item","id":11111021,"val":7}]}</v>
      </c>
      <c r="T556" s="148">
        <f>IFERROR(__xludf.DUMMYFUNCTION("""COMPUTED_VALUE"""),-1.0)</f>
        <v>-1</v>
      </c>
      <c r="U556" s="148">
        <f>IFERROR(__xludf.DUMMYFUNCTION("""COMPUTED_VALUE"""),0.0)</f>
        <v>0</v>
      </c>
      <c r="V556" s="148" t="str">
        <f>IFERROR(__xludf.DUMMYFUNCTION("""COMPUTED_VALUE"""),"[]")</f>
        <v>[]</v>
      </c>
      <c r="W556" s="148">
        <f>IFERROR(__xludf.DUMMYFUNCTION("""COMPUTED_VALUE"""),1.174E7)</f>
        <v>11740000</v>
      </c>
      <c r="X556" s="148">
        <f>IFERROR(__xludf.DUMMYFUNCTION("""COMPUTED_VALUE"""),0.0)</f>
        <v>0</v>
      </c>
      <c r="Y556" s="148">
        <f>IFERROR(__xludf.DUMMYFUNCTION("""COMPUTED_VALUE"""),0.0)</f>
        <v>0</v>
      </c>
      <c r="Z556" s="148"/>
    </row>
    <row r="557">
      <c r="A557" s="148">
        <f>IFERROR(__xludf.DUMMYFUNCTION("""COMPUTED_VALUE"""),1.1112349E7)</f>
        <v>11112349</v>
      </c>
      <c r="B557" s="148" t="str">
        <f>IFERROR(__xludf.DUMMYFUNCTION("""COMPUTED_VALUE"""),"感恩节2024-装饰升级版本（投放用）")</f>
        <v>感恩节2024-装饰升级版本（投放用）</v>
      </c>
      <c r="C557" s="148"/>
      <c r="D557" s="148" t="str">
        <f>IFERROR(__xludf.DUMMYFUNCTION("""COMPUTED_VALUE"""),"statue_decorate")</f>
        <v>statue_decorate</v>
      </c>
      <c r="E557" s="148">
        <f>IFERROR(__xludf.DUMMYFUNCTION("""COMPUTED_VALUE"""),23.0)</f>
        <v>23</v>
      </c>
      <c r="F557" s="148">
        <f>IFERROR(__xludf.DUMMYFUNCTION("""COMPUTED_VALUE"""),0.0)</f>
        <v>0</v>
      </c>
      <c r="G557" s="148">
        <f>IFERROR(__xludf.DUMMYFUNCTION("""COMPUTED_VALUE"""),1.51100772E8)</f>
        <v>151100772</v>
      </c>
      <c r="H557" s="148">
        <f>IFERROR(__xludf.DUMMYFUNCTION("""COMPUTED_VALUE"""),1.5112564E7)</f>
        <v>15112564</v>
      </c>
      <c r="I557" s="148" t="str">
        <f>IFERROR(__xludf.DUMMYFUNCTION("""COMPUTED_VALUE"""),"{}")</f>
        <v>{}</v>
      </c>
      <c r="J557" s="148" t="str">
        <f>IFERROR(__xludf.DUMMYFUNCTION("""COMPUTED_VALUE"""),"{""typ"":""lc"",""txt"":""LC_ITEM_2024thankgive_dec_item_2""}")</f>
        <v>{"typ":"lc","txt":"LC_ITEM_2024thankgive_dec_item_2"}</v>
      </c>
      <c r="K557" s="148" t="str">
        <f>IFERROR(__xludf.DUMMYFUNCTION("""COMPUTED_VALUE"""),"{""typ"":""lc"",""txt"":""LC_ITEM_2024thankgive_dec_item_3_desc""}")</f>
        <v>{"typ":"lc","txt":"LC_ITEM_2024thankgive_dec_item_3_desc"}</v>
      </c>
      <c r="L557" s="148" t="str">
        <f>IFERROR(__xludf.DUMMYFUNCTION("""COMPUTED_VALUE"""),"{}")</f>
        <v>{}</v>
      </c>
      <c r="M557" s="148">
        <f>IFERROR(__xludf.DUMMYFUNCTION("""COMPUTED_VALUE"""),5000.0)</f>
        <v>5000</v>
      </c>
      <c r="N557" s="148">
        <f>IFERROR(__xludf.DUMMYFUNCTION("""COMPUTED_VALUE"""),999.0)</f>
        <v>999</v>
      </c>
      <c r="O557" s="148">
        <f>IFERROR(__xludf.DUMMYFUNCTION("""COMPUTED_VALUE"""),99999.0)</f>
        <v>99999</v>
      </c>
      <c r="P557" s="148">
        <f>IFERROR(__xludf.DUMMYFUNCTION("""COMPUTED_VALUE"""),99999.0)</f>
        <v>99999</v>
      </c>
      <c r="Q557" s="148" t="str">
        <f>IFERROR(__xludf.DUMMYFUNCTION("""COMPUTED_VALUE"""),"[]")</f>
        <v>[]</v>
      </c>
      <c r="R557" s="148" t="str">
        <f>IFERROR(__xludf.DUMMYFUNCTION("""COMPUTED_VALUE"""),"[""bag""]")</f>
        <v>["bag"]</v>
      </c>
      <c r="S557" s="148" t="str">
        <f>IFERROR(__xludf.DUMMYFUNCTION("""COMPUTED_VALUE"""),"{""effect"":[{""typ"":""holiday_statue"",""id"":21482101}]}")</f>
        <v>{"effect":[{"typ":"holiday_statue","id":21482101}]}</v>
      </c>
      <c r="T557" s="148">
        <f>IFERROR(__xludf.DUMMYFUNCTION("""COMPUTED_VALUE"""),-1.0)</f>
        <v>-1</v>
      </c>
      <c r="U557" s="148">
        <f>IFERROR(__xludf.DUMMYFUNCTION("""COMPUTED_VALUE"""),1.0)</f>
        <v>1</v>
      </c>
      <c r="V557" s="148" t="str">
        <f>IFERROR(__xludf.DUMMYFUNCTION("""COMPUTED_VALUE"""),"[]")</f>
        <v>[]</v>
      </c>
      <c r="W557" s="148">
        <f>IFERROR(__xludf.DUMMYFUNCTION("""COMPUTED_VALUE"""),1.174E7)</f>
        <v>11740000</v>
      </c>
      <c r="X557" s="148">
        <f>IFERROR(__xludf.DUMMYFUNCTION("""COMPUTED_VALUE"""),0.0)</f>
        <v>0</v>
      </c>
      <c r="Y557" s="148">
        <f>IFERROR(__xludf.DUMMYFUNCTION("""COMPUTED_VALUE"""),0.0)</f>
        <v>0</v>
      </c>
      <c r="Z557" s="148"/>
    </row>
    <row r="558">
      <c r="A558" s="148">
        <f>IFERROR(__xludf.DUMMYFUNCTION("""COMPUTED_VALUE"""),1.111235E7)</f>
        <v>11112350</v>
      </c>
      <c r="B558" s="148" t="str">
        <f>IFERROR(__xludf.DUMMYFUNCTION("""COMPUTED_VALUE"""),"感恩节2024-装饰升级道具")</f>
        <v>感恩节2024-装饰升级道具</v>
      </c>
      <c r="C558" s="148"/>
      <c r="D558" s="148" t="str">
        <f>IFERROR(__xludf.DUMMYFUNCTION("""COMPUTED_VALUE"""),"event")</f>
        <v>event</v>
      </c>
      <c r="E558" s="148">
        <f>IFERROR(__xludf.DUMMYFUNCTION("""COMPUTED_VALUE"""),0.0)</f>
        <v>0</v>
      </c>
      <c r="F558" s="148">
        <f>IFERROR(__xludf.DUMMYFUNCTION("""COMPUTED_VALUE"""),405243.0)</f>
        <v>405243</v>
      </c>
      <c r="G558" s="148">
        <f>IFERROR(__xludf.DUMMYFUNCTION("""COMPUTED_VALUE"""),1.51100772E8)</f>
        <v>151100772</v>
      </c>
      <c r="H558" s="148">
        <f>IFERROR(__xludf.DUMMYFUNCTION("""COMPUTED_VALUE"""),1.5112564E7)</f>
        <v>15112564</v>
      </c>
      <c r="I558" s="148" t="str">
        <f>IFERROR(__xludf.DUMMYFUNCTION("""COMPUTED_VALUE"""),"{}")</f>
        <v>{}</v>
      </c>
      <c r="J558" s="148" t="str">
        <f>IFERROR(__xludf.DUMMYFUNCTION("""COMPUTED_VALUE"""),"{""typ"":""lc"",""txt"":""LC_ITEM_2024thankgive_dec_item_2""}")</f>
        <v>{"typ":"lc","txt":"LC_ITEM_2024thankgive_dec_item_2"}</v>
      </c>
      <c r="K558" s="148" t="str">
        <f>IFERROR(__xludf.DUMMYFUNCTION("""COMPUTED_VALUE"""),"{""typ"":""lc"",""txt"":""LC_ITEM_2024thankgive_dec_item_3_desc""}")</f>
        <v>{"typ":"lc","txt":"LC_ITEM_2024thankgive_dec_item_3_desc"}</v>
      </c>
      <c r="L558" s="148" t="str">
        <f>IFERROR(__xludf.DUMMYFUNCTION("""COMPUTED_VALUE"""),"{}")</f>
        <v>{}</v>
      </c>
      <c r="M558" s="148">
        <f>IFERROR(__xludf.DUMMYFUNCTION("""COMPUTED_VALUE"""),1000.0)</f>
        <v>1000</v>
      </c>
      <c r="N558" s="148">
        <f>IFERROR(__xludf.DUMMYFUNCTION("""COMPUTED_VALUE"""),9.99999999E8)</f>
        <v>999999999</v>
      </c>
      <c r="O558" s="148">
        <f>IFERROR(__xludf.DUMMYFUNCTION("""COMPUTED_VALUE"""),9.99999999E8)</f>
        <v>999999999</v>
      </c>
      <c r="P558" s="148">
        <f>IFERROR(__xludf.DUMMYFUNCTION("""COMPUTED_VALUE"""),9.99999999E8)</f>
        <v>999999999</v>
      </c>
      <c r="Q558" s="148" t="str">
        <f>IFERROR(__xludf.DUMMYFUNCTION("""COMPUTED_VALUE"""),"[""bag_other""]")</f>
        <v>["bag_other"]</v>
      </c>
      <c r="R558" s="148" t="str">
        <f>IFERROR(__xludf.DUMMYFUNCTION("""COMPUTED_VALUE"""),"[]")</f>
        <v>[]</v>
      </c>
      <c r="S558" s="148" t="str">
        <f>IFERROR(__xludf.DUMMYFUNCTION("""COMPUTED_VALUE"""),"{}")</f>
        <v>{}</v>
      </c>
      <c r="T558" s="148">
        <f>IFERROR(__xludf.DUMMYFUNCTION("""COMPUTED_VALUE"""),-1.0)</f>
        <v>-1</v>
      </c>
      <c r="U558" s="148">
        <f>IFERROR(__xludf.DUMMYFUNCTION("""COMPUTED_VALUE"""),0.0)</f>
        <v>0</v>
      </c>
      <c r="V558" s="148" t="str">
        <f>IFERROR(__xludf.DUMMYFUNCTION("""COMPUTED_VALUE"""),"[]")</f>
        <v>[]</v>
      </c>
      <c r="W558" s="148">
        <f>IFERROR(__xludf.DUMMYFUNCTION("""COMPUTED_VALUE"""),1.174E7)</f>
        <v>11740000</v>
      </c>
      <c r="X558" s="148">
        <f>IFERROR(__xludf.DUMMYFUNCTION("""COMPUTED_VALUE"""),0.0)</f>
        <v>0</v>
      </c>
      <c r="Y558" s="148">
        <f>IFERROR(__xludf.DUMMYFUNCTION("""COMPUTED_VALUE"""),0.0)</f>
        <v>0</v>
      </c>
      <c r="Z558" s="148"/>
    </row>
    <row r="559">
      <c r="A559" s="148">
        <f>IFERROR(__xludf.DUMMYFUNCTION("""COMPUTED_VALUE"""),1.1112351E7)</f>
        <v>11112351</v>
      </c>
      <c r="B559" s="148" t="str">
        <f>IFERROR(__xludf.DUMMYFUNCTION("""COMPUTED_VALUE"""),"2024感恩节-装饰券宝箱")</f>
        <v>2024感恩节-装饰券宝箱</v>
      </c>
      <c r="C559" s="148"/>
      <c r="D559" s="148" t="str">
        <f>IFERROR(__xludf.DUMMYFUNCTION("""COMPUTED_VALUE"""),"valentine_reward_box")</f>
        <v>valentine_reward_box</v>
      </c>
      <c r="E559" s="148">
        <f>IFERROR(__xludf.DUMMYFUNCTION("""COMPUTED_VALUE"""),19.0)</f>
        <v>19</v>
      </c>
      <c r="F559" s="148">
        <f>IFERROR(__xludf.DUMMYFUNCTION("""COMPUTED_VALUE"""),201101.0)</f>
        <v>201101</v>
      </c>
      <c r="G559" s="148">
        <f>IFERROR(__xludf.DUMMYFUNCTION("""COMPUTED_VALUE"""),1.5118225E7)</f>
        <v>15118225</v>
      </c>
      <c r="H559" s="148">
        <f>IFERROR(__xludf.DUMMYFUNCTION("""COMPUTED_VALUE"""),1.5112564E7)</f>
        <v>15112564</v>
      </c>
      <c r="I559" s="148" t="str">
        <f>IFERROR(__xludf.DUMMYFUNCTION("""COMPUTED_VALUE"""),"{}")</f>
        <v>{}</v>
      </c>
      <c r="J559" s="148" t="str">
        <f>IFERROR(__xludf.DUMMYFUNCTION("""COMPUTED_VALUE"""),"{""typ"":""lc"",""txt"":""LC_ITEM_thankgive2024_fes_box_name""}")</f>
        <v>{"typ":"lc","txt":"LC_ITEM_thankgive2024_fes_box_name"}</v>
      </c>
      <c r="K559" s="148" t="str">
        <f>IFERROR(__xludf.DUMMYFUNCTION("""COMPUTED_VALUE"""),"{""typ"":""lc"",""txt"":""LC_ITEM_fes_box_desc""}")</f>
        <v>{"typ":"lc","txt":"LC_ITEM_fes_box_desc"}</v>
      </c>
      <c r="L559" s="148" t="str">
        <f>IFERROR(__xludf.DUMMYFUNCTION("""COMPUTED_VALUE"""),"{""typ"":""lc"",""txt"":""LC_ITEM_horde_elite_box_usedtip""}")</f>
        <v>{"typ":"lc","txt":"LC_ITEM_horde_elite_box_usedtip"}</v>
      </c>
      <c r="M559" s="148">
        <f>IFERROR(__xludf.DUMMYFUNCTION("""COMPUTED_VALUE"""),40.0)</f>
        <v>40</v>
      </c>
      <c r="N559" s="148">
        <f>IFERROR(__xludf.DUMMYFUNCTION("""COMPUTED_VALUE"""),999999.0)</f>
        <v>999999</v>
      </c>
      <c r="O559" s="148">
        <f>IFERROR(__xludf.DUMMYFUNCTION("""COMPUTED_VALUE"""),99999.0)</f>
        <v>99999</v>
      </c>
      <c r="P559" s="148">
        <f>IFERROR(__xludf.DUMMYFUNCTION("""COMPUTED_VALUE"""),99999.0)</f>
        <v>99999</v>
      </c>
      <c r="Q559" s="148" t="str">
        <f>IFERROR(__xludf.DUMMYFUNCTION("""COMPUTED_VALUE"""),"[""bag_other""]")</f>
        <v>["bag_other"]</v>
      </c>
      <c r="R559" s="148" t="str">
        <f>IFERROR(__xludf.DUMMYFUNCTION("""COMPUTED_VALUE"""),"[""bag""]")</f>
        <v>["bag"]</v>
      </c>
      <c r="S559" s="148" t="str">
        <f>IFERROR(__xludf.DUMMYFUNCTION("""COMPUTED_VALUE"""),"{""drop"":{""typ"":""single_random"",""num"":1,""args"":[{""typ"":""item"",""id"":11112030,""num"":1000,""wgt"":19980},{""typ"":""item"",""id"":11112030,""num"":200,""wgt"":120000},{""typ"":""item"",""id"":11112030,""num"":50,""wgt"":200000},{""typ"":""it"&amp;"em"",""id"":11112345,""num"":1,""wgt"":10},{""typ"":""item"",""id"":11117512,""num"":1,""wgt"":10},{""typ"":""item"",""id"":11112030,""num"":20,""wgt"":400000},{""typ"":""item"",""id"":11112030,""num"":100,""wgt"":200000},{""typ"":""item"",""id"":11112030"&amp;",""num"":400,""wgt"":60000}]}}")</f>
        <v>{"drop":{"typ":"single_random","num":1,"args":[{"typ":"item","id":11112030,"num":1000,"wgt":19980},{"typ":"item","id":11112030,"num":200,"wgt":120000},{"typ":"item","id":11112030,"num":50,"wgt":200000},{"typ":"item","id":11112345,"num":1,"wgt":10},{"typ":"item","id":11117512,"num":1,"wgt":10},{"typ":"item","id":11112030,"num":20,"wgt":400000},{"typ":"item","id":11112030,"num":100,"wgt":200000},{"typ":"item","id":11112030,"num":400,"wgt":60000}]}}</v>
      </c>
      <c r="T559" s="148">
        <f>IFERROR(__xludf.DUMMYFUNCTION("""COMPUTED_VALUE"""),-1.0)</f>
        <v>-1</v>
      </c>
      <c r="U559" s="148">
        <f>IFERROR(__xludf.DUMMYFUNCTION("""COMPUTED_VALUE"""),0.0)</f>
        <v>0</v>
      </c>
      <c r="V559" s="148" t="str">
        <f>IFERROR(__xludf.DUMMYFUNCTION("""COMPUTED_VALUE"""),"[]")</f>
        <v>[]</v>
      </c>
      <c r="W559" s="148">
        <f>IFERROR(__xludf.DUMMYFUNCTION("""COMPUTED_VALUE"""),1.174E7)</f>
        <v>11740000</v>
      </c>
      <c r="X559" s="148">
        <f>IFERROR(__xludf.DUMMYFUNCTION("""COMPUTED_VALUE"""),0.0)</f>
        <v>0</v>
      </c>
      <c r="Y559" s="148">
        <f>IFERROR(__xludf.DUMMYFUNCTION("""COMPUTED_VALUE"""),0.0)</f>
        <v>0</v>
      </c>
      <c r="Z559" s="148"/>
    </row>
    <row r="560">
      <c r="A560" s="148">
        <f>IFERROR(__xludf.DUMMYFUNCTION("""COMPUTED_VALUE"""),1.1112352E7)</f>
        <v>11112352</v>
      </c>
      <c r="B560" s="148" t="str">
        <f>IFERROR(__xludf.DUMMYFUNCTION("""COMPUTED_VALUE"""),"美食奖券_2024")</f>
        <v>美食奖券_2024</v>
      </c>
      <c r="C560" s="148"/>
      <c r="D560" s="148" t="str">
        <f>IFERROR(__xludf.DUMMYFUNCTION("""COMPUTED_VALUE"""),"event")</f>
        <v>event</v>
      </c>
      <c r="E560" s="148">
        <f>IFERROR(__xludf.DUMMYFUNCTION("""COMPUTED_VALUE"""),0.0)</f>
        <v>0</v>
      </c>
      <c r="F560" s="148">
        <f>IFERROR(__xludf.DUMMYFUNCTION("""COMPUTED_VALUE"""),405242.0)</f>
        <v>405242</v>
      </c>
      <c r="G560" s="148">
        <f>IFERROR(__xludf.DUMMYFUNCTION("""COMPUTED_VALUE"""),1.5115396E7)</f>
        <v>15115396</v>
      </c>
      <c r="H560" s="148">
        <f>IFERROR(__xludf.DUMMYFUNCTION("""COMPUTED_VALUE"""),1.5112564E7)</f>
        <v>15112564</v>
      </c>
      <c r="I560" s="148" t="str">
        <f>IFERROR(__xludf.DUMMYFUNCTION("""COMPUTED_VALUE"""),"{}")</f>
        <v>{}</v>
      </c>
      <c r="J560" s="148" t="str">
        <f>IFERROR(__xludf.DUMMYFUNCTION("""COMPUTED_VALUE"""),"{""typ"":""lc"",""txt"":""LC_ITEM_2022_thanksgiving_skingacha_fork""}")</f>
        <v>{"typ":"lc","txt":"LC_ITEM_2022_thanksgiving_skingacha_fork"}</v>
      </c>
      <c r="K560" s="148" t="str">
        <f>IFERROR(__xludf.DUMMYFUNCTION("""COMPUTED_VALUE"""),"{""typ"":""lc"",""txt"":""LC_ITEM_2022_thanksgiving_skingacha_fork_desc""}")</f>
        <v>{"typ":"lc","txt":"LC_ITEM_2022_thanksgiving_skingacha_fork_desc"}</v>
      </c>
      <c r="L560" s="148" t="str">
        <f>IFERROR(__xludf.DUMMYFUNCTION("""COMPUTED_VALUE"""),"{}")</f>
        <v>{}</v>
      </c>
      <c r="M560" s="148">
        <f>IFERROR(__xludf.DUMMYFUNCTION("""COMPUTED_VALUE"""),200.0)</f>
        <v>200</v>
      </c>
      <c r="N560" s="148">
        <f>IFERROR(__xludf.DUMMYFUNCTION("""COMPUTED_VALUE"""),9.99999999E8)</f>
        <v>999999999</v>
      </c>
      <c r="O560" s="148">
        <f>IFERROR(__xludf.DUMMYFUNCTION("""COMPUTED_VALUE"""),9.99999999E8)</f>
        <v>999999999</v>
      </c>
      <c r="P560" s="148">
        <f>IFERROR(__xludf.DUMMYFUNCTION("""COMPUTED_VALUE"""),9.99999999E8)</f>
        <v>999999999</v>
      </c>
      <c r="Q560" s="148" t="str">
        <f>IFERROR(__xludf.DUMMYFUNCTION("""COMPUTED_VALUE"""),"[""bag_other""]")</f>
        <v>["bag_other"]</v>
      </c>
      <c r="R560" s="148" t="str">
        <f>IFERROR(__xludf.DUMMYFUNCTION("""COMPUTED_VALUE"""),"[]")</f>
        <v>[]</v>
      </c>
      <c r="S560" s="148" t="str">
        <f>IFERROR(__xludf.DUMMYFUNCTION("""COMPUTED_VALUE"""),"{}")</f>
        <v>{}</v>
      </c>
      <c r="T560" s="148">
        <f>IFERROR(__xludf.DUMMYFUNCTION("""COMPUTED_VALUE"""),1.0)</f>
        <v>1</v>
      </c>
      <c r="U560" s="148">
        <f>IFERROR(__xludf.DUMMYFUNCTION("""COMPUTED_VALUE"""),0.0)</f>
        <v>0</v>
      </c>
      <c r="V560" s="148" t="str">
        <f>IFERROR(__xludf.DUMMYFUNCTION("""COMPUTED_VALUE"""),"[]")</f>
        <v>[]</v>
      </c>
      <c r="W560" s="148">
        <f>IFERROR(__xludf.DUMMYFUNCTION("""COMPUTED_VALUE"""),1.174E7)</f>
        <v>11740000</v>
      </c>
      <c r="X560" s="148">
        <f>IFERROR(__xludf.DUMMYFUNCTION("""COMPUTED_VALUE"""),0.0)</f>
        <v>0</v>
      </c>
      <c r="Y560" s="148">
        <f>IFERROR(__xludf.DUMMYFUNCTION("""COMPUTED_VALUE"""),0.0)</f>
        <v>0</v>
      </c>
      <c r="Z560" s="148"/>
    </row>
    <row r="561">
      <c r="A561" s="148">
        <f>IFERROR(__xludf.DUMMYFUNCTION("""COMPUTED_VALUE"""),1.1112353E7)</f>
        <v>11112353</v>
      </c>
      <c r="B561" s="148" t="str">
        <f>IFERROR(__xludf.DUMMYFUNCTION("""COMPUTED_VALUE"""),"感恩节2024-主城特效")</f>
        <v>感恩节2024-主城特效</v>
      </c>
      <c r="C561" s="148"/>
      <c r="D561" s="148" t="str">
        <f>IFERROR(__xludf.DUMMYFUNCTION("""COMPUTED_VALUE"""),"city_effect")</f>
        <v>city_effect</v>
      </c>
      <c r="E561" s="148">
        <f>IFERROR(__xludf.DUMMYFUNCTION("""COMPUTED_VALUE"""),0.0)</f>
        <v>0</v>
      </c>
      <c r="F561" s="148">
        <f>IFERROR(__xludf.DUMMYFUNCTION("""COMPUTED_VALUE"""),405217.0)</f>
        <v>405217</v>
      </c>
      <c r="G561" s="148">
        <f>IFERROR(__xludf.DUMMYFUNCTION("""COMPUTED_VALUE"""),1.51100842E8)</f>
        <v>151100842</v>
      </c>
      <c r="H561" s="148">
        <f>IFERROR(__xludf.DUMMYFUNCTION("""COMPUTED_VALUE"""),1.5112564E7)</f>
        <v>15112564</v>
      </c>
      <c r="I561" s="148" t="str">
        <f>IFERROR(__xludf.DUMMYFUNCTION("""COMPUTED_VALUE"""),"{}")</f>
        <v>{}</v>
      </c>
      <c r="J561" s="148" t="str">
        <f>IFERROR(__xludf.DUMMYFUNCTION("""COMPUTED_VALUE"""),"{""typ"":""lc"",""txt"":""LC_ITEM_thanksgiving_city_effect_name""}")</f>
        <v>{"typ":"lc","txt":"LC_ITEM_thanksgiving_city_effect_name"}</v>
      </c>
      <c r="K561" s="148" t="str">
        <f>IFERROR(__xludf.DUMMYFUNCTION("""COMPUTED_VALUE"""),"{""typ"":""lc"",""txt"":""LC_ITEM_thanksgiving_city_effect_desc""}")</f>
        <v>{"typ":"lc","txt":"LC_ITEM_thanksgiving_city_effect_desc"}</v>
      </c>
      <c r="L561" s="148" t="str">
        <f>IFERROR(__xludf.DUMMYFUNCTION("""COMPUTED_VALUE"""),"{}")</f>
        <v>{}</v>
      </c>
      <c r="M561" s="148">
        <f>IFERROR(__xludf.DUMMYFUNCTION("""COMPUTED_VALUE"""),10000.0)</f>
        <v>10000</v>
      </c>
      <c r="N561" s="148">
        <f>IFERROR(__xludf.DUMMYFUNCTION("""COMPUTED_VALUE"""),999999.0)</f>
        <v>999999</v>
      </c>
      <c r="O561" s="148">
        <f>IFERROR(__xludf.DUMMYFUNCTION("""COMPUTED_VALUE"""),99999.0)</f>
        <v>99999</v>
      </c>
      <c r="P561" s="148">
        <f>IFERROR(__xludf.DUMMYFUNCTION("""COMPUTED_VALUE"""),1.0)</f>
        <v>1</v>
      </c>
      <c r="Q561" s="148" t="str">
        <f>IFERROR(__xludf.DUMMYFUNCTION("""COMPUTED_VALUE"""),"[""bag_other""]")</f>
        <v>["bag_other"]</v>
      </c>
      <c r="R561" s="148" t="str">
        <f>IFERROR(__xludf.DUMMYFUNCTION("""COMPUTED_VALUE"""),"[""bag"",""13871005""]")</f>
        <v>["bag","13871005"]</v>
      </c>
      <c r="S561" s="148" t="str">
        <f>IFERROR(__xludf.DUMMYFUNCTION("""COMPUTED_VALUE"""),"{""effect"":[{""typ"":""city_effect"",""id"":13871005,""val"":-1},{""typ"":""item"",""id"":11111034,""val"":10}]}")</f>
        <v>{"effect":[{"typ":"city_effect","id":13871005,"val":-1},{"typ":"item","id":11111034,"val":10}]}</v>
      </c>
      <c r="T561" s="148">
        <f>IFERROR(__xludf.DUMMYFUNCTION("""COMPUTED_VALUE"""),-1.0)</f>
        <v>-1</v>
      </c>
      <c r="U561" s="148">
        <f>IFERROR(__xludf.DUMMYFUNCTION("""COMPUTED_VALUE"""),0.0)</f>
        <v>0</v>
      </c>
      <c r="V561" s="148" t="str">
        <f>IFERROR(__xludf.DUMMYFUNCTION("""COMPUTED_VALUE"""),"[]")</f>
        <v>[]</v>
      </c>
      <c r="W561" s="148">
        <f>IFERROR(__xludf.DUMMYFUNCTION("""COMPUTED_VALUE"""),1.174E7)</f>
        <v>11740000</v>
      </c>
      <c r="X561" s="148">
        <f>IFERROR(__xludf.DUMMYFUNCTION("""COMPUTED_VALUE"""),0.0)</f>
        <v>0</v>
      </c>
      <c r="Y561" s="148">
        <f>IFERROR(__xludf.DUMMYFUNCTION("""COMPUTED_VALUE"""),0.0)</f>
        <v>0</v>
      </c>
      <c r="Z561" s="148"/>
    </row>
    <row r="562">
      <c r="A562" s="148">
        <f>IFERROR(__xludf.DUMMYFUNCTION("""COMPUTED_VALUE"""),1.1112354E7)</f>
        <v>11112354</v>
      </c>
      <c r="B562" s="148" t="str">
        <f>IFERROR(__xludf.DUMMYFUNCTION("""COMPUTED_VALUE"""),"圣诞节BattlePass-初级通行证")</f>
        <v>圣诞节BattlePass-初级通行证</v>
      </c>
      <c r="C562" s="148"/>
      <c r="D562" s="148" t="str">
        <f>IFERROR(__xludf.DUMMYFUNCTION("""COMPUTED_VALUE"""),"battle_pass_card")</f>
        <v>battle_pass_card</v>
      </c>
      <c r="E562" s="148">
        <f>IFERROR(__xludf.DUMMYFUNCTION("""COMPUTED_VALUE"""),0.0)</f>
        <v>0</v>
      </c>
      <c r="F562" s="148">
        <f>IFERROR(__xludf.DUMMYFUNCTION("""COMPUTED_VALUE"""),0.0)</f>
        <v>0</v>
      </c>
      <c r="G562" s="148">
        <f>IFERROR(__xludf.DUMMYFUNCTION("""COMPUTED_VALUE"""),1.5114479E7)</f>
        <v>15114479</v>
      </c>
      <c r="H562" s="148">
        <f>IFERROR(__xludf.DUMMYFUNCTION("""COMPUTED_VALUE"""),1.5112563E7)</f>
        <v>15112563</v>
      </c>
      <c r="I562" s="148" t="str">
        <f>IFERROR(__xludf.DUMMYFUNCTION("""COMPUTED_VALUE"""),"{}")</f>
        <v>{}</v>
      </c>
      <c r="J562" s="148" t="str">
        <f>IFERROR(__xludf.DUMMYFUNCTION("""COMPUTED_VALUE"""),"{""typ"":""lc"",""txt"":""LC_IAP_luxury_2022_winter_gift""}")</f>
        <v>{"typ":"lc","txt":"LC_IAP_luxury_2022_winter_gift"}</v>
      </c>
      <c r="K562" s="148" t="str">
        <f>IFERROR(__xludf.DUMMYFUNCTION("""COMPUTED_VALUE"""),"{}")</f>
        <v>{}</v>
      </c>
      <c r="L562" s="148" t="str">
        <f>IFERROR(__xludf.DUMMYFUNCTION("""COMPUTED_VALUE"""),"{}")</f>
        <v>{}</v>
      </c>
      <c r="M562" s="148">
        <f>IFERROR(__xludf.DUMMYFUNCTION("""COMPUTED_VALUE"""),10.0)</f>
        <v>10</v>
      </c>
      <c r="N562" s="148">
        <f>IFERROR(__xludf.DUMMYFUNCTION("""COMPUTED_VALUE"""),999999.0)</f>
        <v>999999</v>
      </c>
      <c r="O562" s="148">
        <f>IFERROR(__xludf.DUMMYFUNCTION("""COMPUTED_VALUE"""),99999.0)</f>
        <v>99999</v>
      </c>
      <c r="P562" s="148">
        <f>IFERROR(__xludf.DUMMYFUNCTION("""COMPUTED_VALUE"""),9999.0)</f>
        <v>9999</v>
      </c>
      <c r="Q562" s="148" t="str">
        <f>IFERROR(__xludf.DUMMYFUNCTION("""COMPUTED_VALUE"""),"[]")</f>
        <v>[]</v>
      </c>
      <c r="R562" s="148" t="str">
        <f>IFERROR(__xludf.DUMMYFUNCTION("""COMPUTED_VALUE"""),"[]")</f>
        <v>[]</v>
      </c>
      <c r="S562" s="148" t="str">
        <f>IFERROR(__xludf.DUMMYFUNCTION("""COMPUTED_VALUE"""),"{}")</f>
        <v>{}</v>
      </c>
      <c r="T562" s="148">
        <f>IFERROR(__xludf.DUMMYFUNCTION("""COMPUTED_VALUE"""),-1.0)</f>
        <v>-1</v>
      </c>
      <c r="U562" s="148">
        <f>IFERROR(__xludf.DUMMYFUNCTION("""COMPUTED_VALUE"""),1.0)</f>
        <v>1</v>
      </c>
      <c r="V562" s="148" t="str">
        <f>IFERROR(__xludf.DUMMYFUNCTION("""COMPUTED_VALUE"""),"[]")</f>
        <v>[]</v>
      </c>
      <c r="W562" s="148">
        <f>IFERROR(__xludf.DUMMYFUNCTION("""COMPUTED_VALUE"""),1.174E7)</f>
        <v>11740000</v>
      </c>
      <c r="X562" s="148">
        <f>IFERROR(__xludf.DUMMYFUNCTION("""COMPUTED_VALUE"""),0.0)</f>
        <v>0</v>
      </c>
      <c r="Y562" s="148">
        <f>IFERROR(__xludf.DUMMYFUNCTION("""COMPUTED_VALUE"""),0.0)</f>
        <v>0</v>
      </c>
      <c r="Z562" s="148"/>
    </row>
    <row r="563">
      <c r="A563" s="148">
        <f>IFERROR(__xludf.DUMMYFUNCTION("""COMPUTED_VALUE"""),1.1112355E7)</f>
        <v>11112355</v>
      </c>
      <c r="B563" s="148" t="str">
        <f>IFERROR(__xludf.DUMMYFUNCTION("""COMPUTED_VALUE"""),"圣诞节BattlePass-高级通行证")</f>
        <v>圣诞节BattlePass-高级通行证</v>
      </c>
      <c r="C563" s="148"/>
      <c r="D563" s="148" t="str">
        <f>IFERROR(__xludf.DUMMYFUNCTION("""COMPUTED_VALUE"""),"battle_pass_card")</f>
        <v>battle_pass_card</v>
      </c>
      <c r="E563" s="148">
        <f>IFERROR(__xludf.DUMMYFUNCTION("""COMPUTED_VALUE"""),0.0)</f>
        <v>0</v>
      </c>
      <c r="F563" s="148">
        <f>IFERROR(__xludf.DUMMYFUNCTION("""COMPUTED_VALUE"""),0.0)</f>
        <v>0</v>
      </c>
      <c r="G563" s="148">
        <f>IFERROR(__xludf.DUMMYFUNCTION("""COMPUTED_VALUE"""),1.5114479E7)</f>
        <v>15114479</v>
      </c>
      <c r="H563" s="148">
        <f>IFERROR(__xludf.DUMMYFUNCTION("""COMPUTED_VALUE"""),1.5112564E7)</f>
        <v>15112564</v>
      </c>
      <c r="I563" s="148" t="str">
        <f>IFERROR(__xludf.DUMMYFUNCTION("""COMPUTED_VALUE"""),"{}")</f>
        <v>{}</v>
      </c>
      <c r="J563" s="148" t="str">
        <f>IFERROR(__xludf.DUMMYFUNCTION("""COMPUTED_VALUE"""),"{""typ"":""lc"",""txt"":""LC_IAP_luxury_2022_winter_gift""}")</f>
        <v>{"typ":"lc","txt":"LC_IAP_luxury_2022_winter_gift"}</v>
      </c>
      <c r="K563" s="148" t="str">
        <f>IFERROR(__xludf.DUMMYFUNCTION("""COMPUTED_VALUE"""),"{}")</f>
        <v>{}</v>
      </c>
      <c r="L563" s="148" t="str">
        <f>IFERROR(__xludf.DUMMYFUNCTION("""COMPUTED_VALUE"""),"{}")</f>
        <v>{}</v>
      </c>
      <c r="M563" s="148">
        <f>IFERROR(__xludf.DUMMYFUNCTION("""COMPUTED_VALUE"""),10.0)</f>
        <v>10</v>
      </c>
      <c r="N563" s="148">
        <f>IFERROR(__xludf.DUMMYFUNCTION("""COMPUTED_VALUE"""),999999.0)</f>
        <v>999999</v>
      </c>
      <c r="O563" s="148">
        <f>IFERROR(__xludf.DUMMYFUNCTION("""COMPUTED_VALUE"""),99999.0)</f>
        <v>99999</v>
      </c>
      <c r="P563" s="148">
        <f>IFERROR(__xludf.DUMMYFUNCTION("""COMPUTED_VALUE"""),9999.0)</f>
        <v>9999</v>
      </c>
      <c r="Q563" s="148" t="str">
        <f>IFERROR(__xludf.DUMMYFUNCTION("""COMPUTED_VALUE"""),"[]")</f>
        <v>[]</v>
      </c>
      <c r="R563" s="148" t="str">
        <f>IFERROR(__xludf.DUMMYFUNCTION("""COMPUTED_VALUE"""),"[]")</f>
        <v>[]</v>
      </c>
      <c r="S563" s="148" t="str">
        <f>IFERROR(__xludf.DUMMYFUNCTION("""COMPUTED_VALUE"""),"{}")</f>
        <v>{}</v>
      </c>
      <c r="T563" s="148">
        <f>IFERROR(__xludf.DUMMYFUNCTION("""COMPUTED_VALUE"""),-1.0)</f>
        <v>-1</v>
      </c>
      <c r="U563" s="148">
        <f>IFERROR(__xludf.DUMMYFUNCTION("""COMPUTED_VALUE"""),1.0)</f>
        <v>1</v>
      </c>
      <c r="V563" s="148" t="str">
        <f>IFERROR(__xludf.DUMMYFUNCTION("""COMPUTED_VALUE"""),"[]")</f>
        <v>[]</v>
      </c>
      <c r="W563" s="148">
        <f>IFERROR(__xludf.DUMMYFUNCTION("""COMPUTED_VALUE"""),1.174E7)</f>
        <v>11740000</v>
      </c>
      <c r="X563" s="148">
        <f>IFERROR(__xludf.DUMMYFUNCTION("""COMPUTED_VALUE"""),0.0)</f>
        <v>0</v>
      </c>
      <c r="Y563" s="148">
        <f>IFERROR(__xludf.DUMMYFUNCTION("""COMPUTED_VALUE"""),0.0)</f>
        <v>0</v>
      </c>
      <c r="Z563" s="148"/>
    </row>
    <row r="564">
      <c r="A564" s="148">
        <f>IFERROR(__xludf.DUMMYFUNCTION("""COMPUTED_VALUE"""),1.1112356E7)</f>
        <v>11112356</v>
      </c>
      <c r="B564" s="148" t="str">
        <f>IFERROR(__xludf.DUMMYFUNCTION("""COMPUTED_VALUE"""),"幸运铃铛-通用圣诞节BP升级道具")</f>
        <v>幸运铃铛-通用圣诞节BP升级道具</v>
      </c>
      <c r="C564" s="148"/>
      <c r="D564" s="148" t="str">
        <f>IFERROR(__xludf.DUMMYFUNCTION("""COMPUTED_VALUE"""),"battle_pass_exp")</f>
        <v>battle_pass_exp</v>
      </c>
      <c r="E564" s="148">
        <f>IFERROR(__xludf.DUMMYFUNCTION("""COMPUTED_VALUE"""),0.0)</f>
        <v>0</v>
      </c>
      <c r="F564" s="148">
        <f>IFERROR(__xludf.DUMMYFUNCTION("""COMPUTED_VALUE"""),405224.0)</f>
        <v>405224</v>
      </c>
      <c r="G564" s="148">
        <f>IFERROR(__xludf.DUMMYFUNCTION("""COMPUTED_VALUE"""),1.5114479E7)</f>
        <v>15114479</v>
      </c>
      <c r="H564" s="148">
        <f>IFERROR(__xludf.DUMMYFUNCTION("""COMPUTED_VALUE"""),1.5112563E7)</f>
        <v>15112563</v>
      </c>
      <c r="I564" s="148" t="str">
        <f>IFERROR(__xludf.DUMMYFUNCTION("""COMPUTED_VALUE"""),"{}")</f>
        <v>{}</v>
      </c>
      <c r="J564" s="148" t="str">
        <f>IFERROR(__xludf.DUMMYFUNCTION("""COMPUTED_VALUE"""),"{""typ"":""lc"",""txt"":""LC_ITEM_winter_event_2022_battlepass_item_name""}")</f>
        <v>{"typ":"lc","txt":"LC_ITEM_winter_event_2022_battlepass_item_name"}</v>
      </c>
      <c r="K564" s="148" t="str">
        <f>IFERROR(__xludf.DUMMYFUNCTION("""COMPUTED_VALUE"""),"{""typ"":""lc"",""txt"":""LC_ITEM_winter_event_2022_battlepass_item_desc""}")</f>
        <v>{"typ":"lc","txt":"LC_ITEM_winter_event_2022_battlepass_item_desc"}</v>
      </c>
      <c r="L564" s="148" t="str">
        <f>IFERROR(__xludf.DUMMYFUNCTION("""COMPUTED_VALUE"""),"{}")</f>
        <v>{}</v>
      </c>
      <c r="M564" s="148">
        <f>IFERROR(__xludf.DUMMYFUNCTION("""COMPUTED_VALUE"""),35.0)</f>
        <v>35</v>
      </c>
      <c r="N564" s="148">
        <f>IFERROR(__xludf.DUMMYFUNCTION("""COMPUTED_VALUE"""),999999.0)</f>
        <v>999999</v>
      </c>
      <c r="O564" s="148">
        <f>IFERROR(__xludf.DUMMYFUNCTION("""COMPUTED_VALUE"""),99999.0)</f>
        <v>99999</v>
      </c>
      <c r="P564" s="148">
        <f>IFERROR(__xludf.DUMMYFUNCTION("""COMPUTED_VALUE"""),99999.0)</f>
        <v>99999</v>
      </c>
      <c r="Q564" s="148" t="str">
        <f>IFERROR(__xludf.DUMMYFUNCTION("""COMPUTED_VALUE"""),"[""bag_other""]")</f>
        <v>["bag_other"]</v>
      </c>
      <c r="R564" s="148" t="str">
        <f>IFERROR(__xludf.DUMMYFUNCTION("""COMPUTED_VALUE"""),"[""bag""]")</f>
        <v>["bag"]</v>
      </c>
      <c r="S564" s="148" t="str">
        <f>IFERROR(__xludf.DUMMYFUNCTION("""COMPUTED_VALUE"""),"{}")</f>
        <v>{}</v>
      </c>
      <c r="T564" s="148">
        <f>IFERROR(__xludf.DUMMYFUNCTION("""COMPUTED_VALUE"""),-1.0)</f>
        <v>-1</v>
      </c>
      <c r="U564" s="148">
        <f>IFERROR(__xludf.DUMMYFUNCTION("""COMPUTED_VALUE"""),0.0)</f>
        <v>0</v>
      </c>
      <c r="V564" s="148" t="str">
        <f>IFERROR(__xludf.DUMMYFUNCTION("""COMPUTED_VALUE"""),"[]")</f>
        <v>[]</v>
      </c>
      <c r="W564" s="148">
        <f>IFERROR(__xludf.DUMMYFUNCTION("""COMPUTED_VALUE"""),1.174E7)</f>
        <v>11740000</v>
      </c>
      <c r="X564" s="148">
        <f>IFERROR(__xludf.DUMMYFUNCTION("""COMPUTED_VALUE"""),0.0)</f>
        <v>0</v>
      </c>
      <c r="Y564" s="148">
        <f>IFERROR(__xludf.DUMMYFUNCTION("""COMPUTED_VALUE"""),0.0)</f>
        <v>0</v>
      </c>
      <c r="Z564" s="148"/>
    </row>
    <row r="565">
      <c r="A565" s="148">
        <f>IFERROR(__xludf.DUMMYFUNCTION("""COMPUTED_VALUE"""),1.1112357E7)</f>
        <v>11112357</v>
      </c>
      <c r="B565" s="148" t="str">
        <f>IFERROR(__xludf.DUMMYFUNCTION("""COMPUTED_VALUE"""),"行军特效-星辉礼赞-1天限时")</f>
        <v>行军特效-星辉礼赞-1天限时</v>
      </c>
      <c r="C565" s="148"/>
      <c r="D565" s="148" t="str">
        <f>IFERROR(__xludf.DUMMYFUNCTION("""COMPUTED_VALUE"""),"marching_effect")</f>
        <v>marching_effect</v>
      </c>
      <c r="E565" s="148">
        <f>IFERROR(__xludf.DUMMYFUNCTION("""COMPUTED_VALUE"""),0.0)</f>
        <v>0</v>
      </c>
      <c r="F565" s="148">
        <f>IFERROR(__xludf.DUMMYFUNCTION("""COMPUTED_VALUE"""),408200.0)</f>
        <v>408200</v>
      </c>
      <c r="G565" s="148">
        <f>IFERROR(__xludf.DUMMYFUNCTION("""COMPUTED_VALUE"""),1.51101037E8)</f>
        <v>151101037</v>
      </c>
      <c r="H565" s="148">
        <f>IFERROR(__xludf.DUMMYFUNCTION("""COMPUTED_VALUE"""),1.511256E7)</f>
        <v>15112560</v>
      </c>
      <c r="I565" s="148" t="str">
        <f>IFERROR(__xludf.DUMMYFUNCTION("""COMPUTED_VALUE"""),"{""typ"":""lc"",""txt"":""LC_ITEM_time_day_upper_show"",""args"":[{""typ"":""int_unit"",""val"":1}]}")</f>
        <v>{"typ":"lc","txt":"LC_ITEM_time_day_upper_show","args":[{"typ":"int_unit","val":1}]}</v>
      </c>
      <c r="J565" s="148" t="str">
        <f>IFERROR(__xludf.DUMMYFUNCTION("""COMPUTED_VALUE"""),"{""typ"":""lc"",""txt"":""LC_ITEM_xmas24_march_effect_name""}")</f>
        <v>{"typ":"lc","txt":"LC_ITEM_xmas24_march_effect_name"}</v>
      </c>
      <c r="K565" s="148" t="str">
        <f>IFERROR(__xludf.DUMMYFUNCTION("""COMPUTED_VALUE"""),"{""typ"":""lc"",""txt"":""LC_ITEM_xmas24_march_effect_desc""}")</f>
        <v>{"typ":"lc","txt":"LC_ITEM_xmas24_march_effect_desc"}</v>
      </c>
      <c r="L565" s="148" t="str">
        <f>IFERROR(__xludf.DUMMYFUNCTION("""COMPUTED_VALUE"""),"{""typ"":""lc"",""txt"":""LC_ITEM_xmas24_march_effect_use_tip_1d""}")</f>
        <v>{"typ":"lc","txt":"LC_ITEM_xmas24_march_effect_use_tip_1d"}</v>
      </c>
      <c r="M565" s="148">
        <f>IFERROR(__xludf.DUMMYFUNCTION("""COMPUTED_VALUE"""),50.0)</f>
        <v>50</v>
      </c>
      <c r="N565" s="148">
        <f>IFERROR(__xludf.DUMMYFUNCTION("""COMPUTED_VALUE"""),999999.0)</f>
        <v>999999</v>
      </c>
      <c r="O565" s="148">
        <f>IFERROR(__xludf.DUMMYFUNCTION("""COMPUTED_VALUE"""),99999.0)</f>
        <v>99999</v>
      </c>
      <c r="P565" s="148">
        <f>IFERROR(__xludf.DUMMYFUNCTION("""COMPUTED_VALUE"""),1.0)</f>
        <v>1</v>
      </c>
      <c r="Q565" s="148" t="str">
        <f>IFERROR(__xludf.DUMMYFUNCTION("""COMPUTED_VALUE"""),"[""bag_other""]")</f>
        <v>["bag_other"]</v>
      </c>
      <c r="R565" s="148" t="str">
        <f>IFERROR(__xludf.DUMMYFUNCTION("""COMPUTED_VALUE"""),"[""bag"",""13650128""]")</f>
        <v>["bag","13650128"]</v>
      </c>
      <c r="S565" s="148" t="str">
        <f>IFERROR(__xludf.DUMMYFUNCTION("""COMPUTED_VALUE"""),"{""effect"":[{""typ"":""marching_effect"",""id"":13650128,""val"":86400000},{""typ"":""vm"",""id"":11151001,""val"":50}]}")</f>
        <v>{"effect":[{"typ":"marching_effect","id":13650128,"val":86400000},{"typ":"vm","id":11151001,"val":50}]}</v>
      </c>
      <c r="T565" s="148">
        <f>IFERROR(__xludf.DUMMYFUNCTION("""COMPUTED_VALUE"""),-1.0)</f>
        <v>-1</v>
      </c>
      <c r="U565" s="148">
        <f>IFERROR(__xludf.DUMMYFUNCTION("""COMPUTED_VALUE"""),0.0)</f>
        <v>0</v>
      </c>
      <c r="V565" s="148" t="str">
        <f>IFERROR(__xludf.DUMMYFUNCTION("""COMPUTED_VALUE"""),"[]")</f>
        <v>[]</v>
      </c>
      <c r="W565" s="148">
        <f>IFERROR(__xludf.DUMMYFUNCTION("""COMPUTED_VALUE"""),1.174E7)</f>
        <v>11740000</v>
      </c>
      <c r="X565" s="148">
        <f>IFERROR(__xludf.DUMMYFUNCTION("""COMPUTED_VALUE"""),0.0)</f>
        <v>0</v>
      </c>
      <c r="Y565" s="148">
        <f>IFERROR(__xludf.DUMMYFUNCTION("""COMPUTED_VALUE"""),0.0)</f>
        <v>0</v>
      </c>
      <c r="Z565" s="148"/>
    </row>
    <row r="566">
      <c r="A566" s="148">
        <f>IFERROR(__xludf.DUMMYFUNCTION("""COMPUTED_VALUE"""),1.1112358E7)</f>
        <v>11112358</v>
      </c>
      <c r="B566" s="148" t="str">
        <f>IFERROR(__xludf.DUMMYFUNCTION("""COMPUTED_VALUE"""),"行军特效-星辉礼赞-3天限时")</f>
        <v>行军特效-星辉礼赞-3天限时</v>
      </c>
      <c r="C566" s="148"/>
      <c r="D566" s="148" t="str">
        <f>IFERROR(__xludf.DUMMYFUNCTION("""COMPUTED_VALUE"""),"marching_effect")</f>
        <v>marching_effect</v>
      </c>
      <c r="E566" s="148">
        <f>IFERROR(__xludf.DUMMYFUNCTION("""COMPUTED_VALUE"""),0.0)</f>
        <v>0</v>
      </c>
      <c r="F566" s="148">
        <f>IFERROR(__xludf.DUMMYFUNCTION("""COMPUTED_VALUE"""),408199.0)</f>
        <v>408199</v>
      </c>
      <c r="G566" s="148">
        <f>IFERROR(__xludf.DUMMYFUNCTION("""COMPUTED_VALUE"""),1.51101037E8)</f>
        <v>151101037</v>
      </c>
      <c r="H566" s="148">
        <f>IFERROR(__xludf.DUMMYFUNCTION("""COMPUTED_VALUE"""),1.5112561E7)</f>
        <v>15112561</v>
      </c>
      <c r="I566" s="148" t="str">
        <f>IFERROR(__xludf.DUMMYFUNCTION("""COMPUTED_VALUE"""),"{""typ"":""lc"",""txt"":""LC_ITEM_time_day_upper_show"",""args"":[{""typ"":""int_unit"",""val"":3}]}")</f>
        <v>{"typ":"lc","txt":"LC_ITEM_time_day_upper_show","args":[{"typ":"int_unit","val":3}]}</v>
      </c>
      <c r="J566" s="148" t="str">
        <f>IFERROR(__xludf.DUMMYFUNCTION("""COMPUTED_VALUE"""),"{""typ"":""lc"",""txt"":""LC_ITEM_xmas24_march_effect_name""}")</f>
        <v>{"typ":"lc","txt":"LC_ITEM_xmas24_march_effect_name"}</v>
      </c>
      <c r="K566" s="148" t="str">
        <f>IFERROR(__xludf.DUMMYFUNCTION("""COMPUTED_VALUE"""),"{""typ"":""lc"",""txt"":""LC_ITEM_xmas24_march_effect_desc""}")</f>
        <v>{"typ":"lc","txt":"LC_ITEM_xmas24_march_effect_desc"}</v>
      </c>
      <c r="L566" s="148" t="str">
        <f>IFERROR(__xludf.DUMMYFUNCTION("""COMPUTED_VALUE"""),"{""typ"":""lc"",""txt"":""LC_ITEM_xmas24_march_effect_use_tip_3d""}")</f>
        <v>{"typ":"lc","txt":"LC_ITEM_xmas24_march_effect_use_tip_3d"}</v>
      </c>
      <c r="M566" s="148">
        <f>IFERROR(__xludf.DUMMYFUNCTION("""COMPUTED_VALUE"""),200.0)</f>
        <v>200</v>
      </c>
      <c r="N566" s="148">
        <f>IFERROR(__xludf.DUMMYFUNCTION("""COMPUTED_VALUE"""),999999.0)</f>
        <v>999999</v>
      </c>
      <c r="O566" s="148">
        <f>IFERROR(__xludf.DUMMYFUNCTION("""COMPUTED_VALUE"""),99999.0)</f>
        <v>99999</v>
      </c>
      <c r="P566" s="148">
        <f>IFERROR(__xludf.DUMMYFUNCTION("""COMPUTED_VALUE"""),1.0)</f>
        <v>1</v>
      </c>
      <c r="Q566" s="148" t="str">
        <f>IFERROR(__xludf.DUMMYFUNCTION("""COMPUTED_VALUE"""),"[""bag_other""]")</f>
        <v>["bag_other"]</v>
      </c>
      <c r="R566" s="148" t="str">
        <f>IFERROR(__xludf.DUMMYFUNCTION("""COMPUTED_VALUE"""),"[""bag"",""13650128""]")</f>
        <v>["bag","13650128"]</v>
      </c>
      <c r="S566" s="148" t="str">
        <f>IFERROR(__xludf.DUMMYFUNCTION("""COMPUTED_VALUE"""),"{""effect"":[{""typ"":""marching_effect"",""id"":13650128,""val"":259200000},{""typ"":""vm"",""id"":11151001,""val"":200}]}")</f>
        <v>{"effect":[{"typ":"marching_effect","id":13650128,"val":259200000},{"typ":"vm","id":11151001,"val":200}]}</v>
      </c>
      <c r="T566" s="148">
        <f>IFERROR(__xludf.DUMMYFUNCTION("""COMPUTED_VALUE"""),-1.0)</f>
        <v>-1</v>
      </c>
      <c r="U566" s="148">
        <f>IFERROR(__xludf.DUMMYFUNCTION("""COMPUTED_VALUE"""),0.0)</f>
        <v>0</v>
      </c>
      <c r="V566" s="148" t="str">
        <f>IFERROR(__xludf.DUMMYFUNCTION("""COMPUTED_VALUE"""),"[]")</f>
        <v>[]</v>
      </c>
      <c r="W566" s="148">
        <f>IFERROR(__xludf.DUMMYFUNCTION("""COMPUTED_VALUE"""),1.174E7)</f>
        <v>11740000</v>
      </c>
      <c r="X566" s="148">
        <f>IFERROR(__xludf.DUMMYFUNCTION("""COMPUTED_VALUE"""),0.0)</f>
        <v>0</v>
      </c>
      <c r="Y566" s="148">
        <f>IFERROR(__xludf.DUMMYFUNCTION("""COMPUTED_VALUE"""),0.0)</f>
        <v>0</v>
      </c>
      <c r="Z566" s="148"/>
    </row>
    <row r="567">
      <c r="A567" s="148">
        <f>IFERROR(__xludf.DUMMYFUNCTION("""COMPUTED_VALUE"""),1.1112359E7)</f>
        <v>11112359</v>
      </c>
      <c r="B567" s="148" t="str">
        <f>IFERROR(__xludf.DUMMYFUNCTION("""COMPUTED_VALUE"""),"行军特效-星辉礼赞-7天限时")</f>
        <v>行军特效-星辉礼赞-7天限时</v>
      </c>
      <c r="C567" s="148"/>
      <c r="D567" s="148" t="str">
        <f>IFERROR(__xludf.DUMMYFUNCTION("""COMPUTED_VALUE"""),"marching_effect")</f>
        <v>marching_effect</v>
      </c>
      <c r="E567" s="148">
        <f>IFERROR(__xludf.DUMMYFUNCTION("""COMPUTED_VALUE"""),0.0)</f>
        <v>0</v>
      </c>
      <c r="F567" s="148">
        <f>IFERROR(__xludf.DUMMYFUNCTION("""COMPUTED_VALUE"""),408198.0)</f>
        <v>408198</v>
      </c>
      <c r="G567" s="148">
        <f>IFERROR(__xludf.DUMMYFUNCTION("""COMPUTED_VALUE"""),1.51101037E8)</f>
        <v>151101037</v>
      </c>
      <c r="H567" s="148">
        <f>IFERROR(__xludf.DUMMYFUNCTION("""COMPUTED_VALUE"""),1.5112562E7)</f>
        <v>15112562</v>
      </c>
      <c r="I567" s="148" t="str">
        <f>IFERROR(__xludf.DUMMYFUNCTION("""COMPUTED_VALUE"""),"{""typ"":""lc"",""txt"":""LC_ITEM_time_day_upper_show"",""args"":[{""typ"":""int_unit"",""val"":7}]}")</f>
        <v>{"typ":"lc","txt":"LC_ITEM_time_day_upper_show","args":[{"typ":"int_unit","val":7}]}</v>
      </c>
      <c r="J567" s="148" t="str">
        <f>IFERROR(__xludf.DUMMYFUNCTION("""COMPUTED_VALUE"""),"{""typ"":""lc"",""txt"":""LC_ITEM_xmas24_march_effect_name""}")</f>
        <v>{"typ":"lc","txt":"LC_ITEM_xmas24_march_effect_name"}</v>
      </c>
      <c r="K567" s="148" t="str">
        <f>IFERROR(__xludf.DUMMYFUNCTION("""COMPUTED_VALUE"""),"{""typ"":""lc"",""txt"":""LC_ITEM_xmas24_march_effect_desc""}")</f>
        <v>{"typ":"lc","txt":"LC_ITEM_xmas24_march_effect_desc"}</v>
      </c>
      <c r="L567" s="148" t="str">
        <f>IFERROR(__xludf.DUMMYFUNCTION("""COMPUTED_VALUE"""),"{""typ"":""lc"",""txt"":""LC_ITEM_xmas24_march_effect_use_tip_7d""}")</f>
        <v>{"typ":"lc","txt":"LC_ITEM_xmas24_march_effect_use_tip_7d"}</v>
      </c>
      <c r="M567" s="148">
        <f>IFERROR(__xludf.DUMMYFUNCTION("""COMPUTED_VALUE"""),500.0)</f>
        <v>500</v>
      </c>
      <c r="N567" s="148">
        <f>IFERROR(__xludf.DUMMYFUNCTION("""COMPUTED_VALUE"""),999999.0)</f>
        <v>999999</v>
      </c>
      <c r="O567" s="148">
        <f>IFERROR(__xludf.DUMMYFUNCTION("""COMPUTED_VALUE"""),99999.0)</f>
        <v>99999</v>
      </c>
      <c r="P567" s="148">
        <f>IFERROR(__xludf.DUMMYFUNCTION("""COMPUTED_VALUE"""),1.0)</f>
        <v>1</v>
      </c>
      <c r="Q567" s="148" t="str">
        <f>IFERROR(__xludf.DUMMYFUNCTION("""COMPUTED_VALUE"""),"[""bag_other""]")</f>
        <v>["bag_other"]</v>
      </c>
      <c r="R567" s="148" t="str">
        <f>IFERROR(__xludf.DUMMYFUNCTION("""COMPUTED_VALUE"""),"[""bag"",""13650128""]")</f>
        <v>["bag","13650128"]</v>
      </c>
      <c r="S567" s="148" t="str">
        <f>IFERROR(__xludf.DUMMYFUNCTION("""COMPUTED_VALUE"""),"{""effect"":[{""typ"":""marching_effect"",""id"":13650128,""val"":604800000},{""typ"":""vm"",""id"":11151001,""val"":500}]}")</f>
        <v>{"effect":[{"typ":"marching_effect","id":13650128,"val":604800000},{"typ":"vm","id":11151001,"val":500}]}</v>
      </c>
      <c r="T567" s="148">
        <f>IFERROR(__xludf.DUMMYFUNCTION("""COMPUTED_VALUE"""),-1.0)</f>
        <v>-1</v>
      </c>
      <c r="U567" s="148">
        <f>IFERROR(__xludf.DUMMYFUNCTION("""COMPUTED_VALUE"""),0.0)</f>
        <v>0</v>
      </c>
      <c r="V567" s="148" t="str">
        <f>IFERROR(__xludf.DUMMYFUNCTION("""COMPUTED_VALUE"""),"[]")</f>
        <v>[]</v>
      </c>
      <c r="W567" s="148">
        <f>IFERROR(__xludf.DUMMYFUNCTION("""COMPUTED_VALUE"""),1.174E7)</f>
        <v>11740000</v>
      </c>
      <c r="X567" s="148">
        <f>IFERROR(__xludf.DUMMYFUNCTION("""COMPUTED_VALUE"""),0.0)</f>
        <v>0</v>
      </c>
      <c r="Y567" s="148">
        <f>IFERROR(__xludf.DUMMYFUNCTION("""COMPUTED_VALUE"""),0.0)</f>
        <v>0</v>
      </c>
      <c r="Z567" s="148"/>
    </row>
    <row r="568">
      <c r="A568" s="148">
        <f>IFERROR(__xludf.DUMMYFUNCTION("""COMPUTED_VALUE"""),1.111236E7)</f>
        <v>11112360</v>
      </c>
      <c r="B568" s="148" t="str">
        <f>IFERROR(__xludf.DUMMYFUNCTION("""COMPUTED_VALUE"""),"行军特效-星辉礼赞-14天限时")</f>
        <v>行军特效-星辉礼赞-14天限时</v>
      </c>
      <c r="C568" s="148"/>
      <c r="D568" s="148" t="str">
        <f>IFERROR(__xludf.DUMMYFUNCTION("""COMPUTED_VALUE"""),"marching_effect")</f>
        <v>marching_effect</v>
      </c>
      <c r="E568" s="148">
        <f>IFERROR(__xludf.DUMMYFUNCTION("""COMPUTED_VALUE"""),0.0)</f>
        <v>0</v>
      </c>
      <c r="F568" s="148">
        <f>IFERROR(__xludf.DUMMYFUNCTION("""COMPUTED_VALUE"""),408197.0)</f>
        <v>408197</v>
      </c>
      <c r="G568" s="148">
        <f>IFERROR(__xludf.DUMMYFUNCTION("""COMPUTED_VALUE"""),1.51101037E8)</f>
        <v>151101037</v>
      </c>
      <c r="H568" s="148">
        <f>IFERROR(__xludf.DUMMYFUNCTION("""COMPUTED_VALUE"""),1.5112563E7)</f>
        <v>15112563</v>
      </c>
      <c r="I568" s="148" t="str">
        <f>IFERROR(__xludf.DUMMYFUNCTION("""COMPUTED_VALUE"""),"{""typ"":""lc"",""txt"":""LC_ITEM_time_day_upper_show"",""args"":[{""typ"":""int_unit"",""val"":14}]}")</f>
        <v>{"typ":"lc","txt":"LC_ITEM_time_day_upper_show","args":[{"typ":"int_unit","val":14}]}</v>
      </c>
      <c r="J568" s="148" t="str">
        <f>IFERROR(__xludf.DUMMYFUNCTION("""COMPUTED_VALUE"""),"{""typ"":""lc"",""txt"":""LC_ITEM_xmas24_march_effect_name""}")</f>
        <v>{"typ":"lc","txt":"LC_ITEM_xmas24_march_effect_name"}</v>
      </c>
      <c r="K568" s="148" t="str">
        <f>IFERROR(__xludf.DUMMYFUNCTION("""COMPUTED_VALUE"""),"{""typ"":""lc"",""txt"":""LC_ITEM_xmas24_march_effect_desc""}")</f>
        <v>{"typ":"lc","txt":"LC_ITEM_xmas24_march_effect_desc"}</v>
      </c>
      <c r="L568" s="148" t="str">
        <f>IFERROR(__xludf.DUMMYFUNCTION("""COMPUTED_VALUE"""),"{""typ"":""lc"",""txt"":""LC_ITEM_xmas24_march_effect_use_tip_14d""}")</f>
        <v>{"typ":"lc","txt":"LC_ITEM_xmas24_march_effect_use_tip_14d"}</v>
      </c>
      <c r="M568" s="148">
        <f>IFERROR(__xludf.DUMMYFUNCTION("""COMPUTED_VALUE"""),1000.0)</f>
        <v>1000</v>
      </c>
      <c r="N568" s="148">
        <f>IFERROR(__xludf.DUMMYFUNCTION("""COMPUTED_VALUE"""),999999.0)</f>
        <v>999999</v>
      </c>
      <c r="O568" s="148">
        <f>IFERROR(__xludf.DUMMYFUNCTION("""COMPUTED_VALUE"""),99999.0)</f>
        <v>99999</v>
      </c>
      <c r="P568" s="148">
        <f>IFERROR(__xludf.DUMMYFUNCTION("""COMPUTED_VALUE"""),1.0)</f>
        <v>1</v>
      </c>
      <c r="Q568" s="148" t="str">
        <f>IFERROR(__xludf.DUMMYFUNCTION("""COMPUTED_VALUE"""),"[""bag_other""]")</f>
        <v>["bag_other"]</v>
      </c>
      <c r="R568" s="148" t="str">
        <f>IFERROR(__xludf.DUMMYFUNCTION("""COMPUTED_VALUE"""),"[""bag"",""13650128""]")</f>
        <v>["bag","13650128"]</v>
      </c>
      <c r="S568" s="148" t="str">
        <f>IFERROR(__xludf.DUMMYFUNCTION("""COMPUTED_VALUE"""),"{""effect"":[{""typ"":""marching_effect"",""id"":13650128,""val"":1209600000},{""typ"":""vm"",""id"":11151001,""val"":1000}]}")</f>
        <v>{"effect":[{"typ":"marching_effect","id":13650128,"val":1209600000},{"typ":"vm","id":11151001,"val":1000}]}</v>
      </c>
      <c r="T568" s="148">
        <f>IFERROR(__xludf.DUMMYFUNCTION("""COMPUTED_VALUE"""),-1.0)</f>
        <v>-1</v>
      </c>
      <c r="U568" s="148">
        <f>IFERROR(__xludf.DUMMYFUNCTION("""COMPUTED_VALUE"""),0.0)</f>
        <v>0</v>
      </c>
      <c r="V568" s="148" t="str">
        <f>IFERROR(__xludf.DUMMYFUNCTION("""COMPUTED_VALUE"""),"[]")</f>
        <v>[]</v>
      </c>
      <c r="W568" s="148">
        <f>IFERROR(__xludf.DUMMYFUNCTION("""COMPUTED_VALUE"""),1.174E7)</f>
        <v>11740000</v>
      </c>
      <c r="X568" s="148">
        <f>IFERROR(__xludf.DUMMYFUNCTION("""COMPUTED_VALUE"""),0.0)</f>
        <v>0</v>
      </c>
      <c r="Y568" s="148">
        <f>IFERROR(__xludf.DUMMYFUNCTION("""COMPUTED_VALUE"""),0.0)</f>
        <v>0</v>
      </c>
      <c r="Z568" s="148"/>
    </row>
    <row r="569">
      <c r="A569" s="148">
        <f>IFERROR(__xludf.DUMMYFUNCTION("""COMPUTED_VALUE"""),1.1112361E7)</f>
        <v>11112361</v>
      </c>
      <c r="B569" s="148" t="str">
        <f>IFERROR(__xludf.DUMMYFUNCTION("""COMPUTED_VALUE"""),"行军特效-星辉礼赞30天限时")</f>
        <v>行军特效-星辉礼赞30天限时</v>
      </c>
      <c r="C569" s="148"/>
      <c r="D569" s="148" t="str">
        <f>IFERROR(__xludf.DUMMYFUNCTION("""COMPUTED_VALUE"""),"marching_effect")</f>
        <v>marching_effect</v>
      </c>
      <c r="E569" s="148">
        <f>IFERROR(__xludf.DUMMYFUNCTION("""COMPUTED_VALUE"""),0.0)</f>
        <v>0</v>
      </c>
      <c r="F569" s="148">
        <f>IFERROR(__xludf.DUMMYFUNCTION("""COMPUTED_VALUE"""),408196.0)</f>
        <v>408196</v>
      </c>
      <c r="G569" s="148">
        <f>IFERROR(__xludf.DUMMYFUNCTION("""COMPUTED_VALUE"""),1.51101037E8)</f>
        <v>151101037</v>
      </c>
      <c r="H569" s="148">
        <f>IFERROR(__xludf.DUMMYFUNCTION("""COMPUTED_VALUE"""),1.5112563E7)</f>
        <v>15112563</v>
      </c>
      <c r="I569" s="148" t="str">
        <f>IFERROR(__xludf.DUMMYFUNCTION("""COMPUTED_VALUE"""),"{""typ"":""lc"",""txt"":""LC_ITEM_time_day_upper_show"",""args"":[{""typ"":""int_unit"",""val"":30}]}")</f>
        <v>{"typ":"lc","txt":"LC_ITEM_time_day_upper_show","args":[{"typ":"int_unit","val":30}]}</v>
      </c>
      <c r="J569" s="148" t="str">
        <f>IFERROR(__xludf.DUMMYFUNCTION("""COMPUTED_VALUE"""),"{""typ"":""lc"",""txt"":""LC_ITEM_xmas24_march_effect_name""}")</f>
        <v>{"typ":"lc","txt":"LC_ITEM_xmas24_march_effect_name"}</v>
      </c>
      <c r="K569" s="148" t="str">
        <f>IFERROR(__xludf.DUMMYFUNCTION("""COMPUTED_VALUE"""),"{""typ"":""lc"",""txt"":""LC_ITEM_xmas24_march_effect_desc""}")</f>
        <v>{"typ":"lc","txt":"LC_ITEM_xmas24_march_effect_desc"}</v>
      </c>
      <c r="L569" s="148" t="str">
        <f>IFERROR(__xludf.DUMMYFUNCTION("""COMPUTED_VALUE"""),"{""typ"":""lc"",""txt"":""LC_ITEM_xmas24_march_effect_use_tip_30d""}")</f>
        <v>{"typ":"lc","txt":"LC_ITEM_xmas24_march_effect_use_tip_30d"}</v>
      </c>
      <c r="M569" s="148">
        <f>IFERROR(__xludf.DUMMYFUNCTION("""COMPUTED_VALUE"""),2000.0)</f>
        <v>2000</v>
      </c>
      <c r="N569" s="148">
        <f>IFERROR(__xludf.DUMMYFUNCTION("""COMPUTED_VALUE"""),999999.0)</f>
        <v>999999</v>
      </c>
      <c r="O569" s="148">
        <f>IFERROR(__xludf.DUMMYFUNCTION("""COMPUTED_VALUE"""),99999.0)</f>
        <v>99999</v>
      </c>
      <c r="P569" s="148">
        <f>IFERROR(__xludf.DUMMYFUNCTION("""COMPUTED_VALUE"""),1.0)</f>
        <v>1</v>
      </c>
      <c r="Q569" s="148" t="str">
        <f>IFERROR(__xludf.DUMMYFUNCTION("""COMPUTED_VALUE"""),"[""bag_other""]")</f>
        <v>["bag_other"]</v>
      </c>
      <c r="R569" s="148" t="str">
        <f>IFERROR(__xludf.DUMMYFUNCTION("""COMPUTED_VALUE"""),"[""bag"",""13650128""]")</f>
        <v>["bag","13650128"]</v>
      </c>
      <c r="S569" s="148" t="str">
        <f>IFERROR(__xludf.DUMMYFUNCTION("""COMPUTED_VALUE"""),"{""effect"":[{""typ"":""marching_effect"",""id"":13650128,""val"":2592000000},{""typ"":""vm"",""id"":11151001,""val"":1000}]}")</f>
        <v>{"effect":[{"typ":"marching_effect","id":13650128,"val":2592000000},{"typ":"vm","id":11151001,"val":1000}]}</v>
      </c>
      <c r="T569" s="148">
        <f>IFERROR(__xludf.DUMMYFUNCTION("""COMPUTED_VALUE"""),-1.0)</f>
        <v>-1</v>
      </c>
      <c r="U569" s="148">
        <f>IFERROR(__xludf.DUMMYFUNCTION("""COMPUTED_VALUE"""),0.0)</f>
        <v>0</v>
      </c>
      <c r="V569" s="148" t="str">
        <f>IFERROR(__xludf.DUMMYFUNCTION("""COMPUTED_VALUE"""),"[]")</f>
        <v>[]</v>
      </c>
      <c r="W569" s="148">
        <f>IFERROR(__xludf.DUMMYFUNCTION("""COMPUTED_VALUE"""),1.174E7)</f>
        <v>11740000</v>
      </c>
      <c r="X569" s="148">
        <f>IFERROR(__xludf.DUMMYFUNCTION("""COMPUTED_VALUE"""),0.0)</f>
        <v>0</v>
      </c>
      <c r="Y569" s="148">
        <f>IFERROR(__xludf.DUMMYFUNCTION("""COMPUTED_VALUE"""),0.0)</f>
        <v>0</v>
      </c>
      <c r="Z569" s="148"/>
    </row>
    <row r="570">
      <c r="A570" s="148">
        <f>IFERROR(__xludf.DUMMYFUNCTION("""COMPUTED_VALUE"""),1.1112362E7)</f>
        <v>11112362</v>
      </c>
      <c r="B570" s="148" t="str">
        <f>IFERROR(__xludf.DUMMYFUNCTION("""COMPUTED_VALUE"""),"行军特效-星辉礼赞-永久")</f>
        <v>行军特效-星辉礼赞-永久</v>
      </c>
      <c r="C570" s="148"/>
      <c r="D570" s="148" t="str">
        <f>IFERROR(__xludf.DUMMYFUNCTION("""COMPUTED_VALUE"""),"marching_effect")</f>
        <v>marching_effect</v>
      </c>
      <c r="E570" s="148">
        <f>IFERROR(__xludf.DUMMYFUNCTION("""COMPUTED_VALUE"""),0.0)</f>
        <v>0</v>
      </c>
      <c r="F570" s="148">
        <f>IFERROR(__xludf.DUMMYFUNCTION("""COMPUTED_VALUE"""),408195.0)</f>
        <v>408195</v>
      </c>
      <c r="G570" s="148">
        <f>IFERROR(__xludf.DUMMYFUNCTION("""COMPUTED_VALUE"""),1.51101037E8)</f>
        <v>151101037</v>
      </c>
      <c r="H570" s="148">
        <f>IFERROR(__xludf.DUMMYFUNCTION("""COMPUTED_VALUE"""),1.5112564E7)</f>
        <v>15112564</v>
      </c>
      <c r="I570" s="148" t="str">
        <f>IFERROR(__xludf.DUMMYFUNCTION("""COMPUTED_VALUE"""),"{}")</f>
        <v>{}</v>
      </c>
      <c r="J570" s="148" t="str">
        <f>IFERROR(__xludf.DUMMYFUNCTION("""COMPUTED_VALUE"""),"{""typ"":""lc"",""txt"":""LC_ITEM_xmas24_march_effect_name""}")</f>
        <v>{"typ":"lc","txt":"LC_ITEM_xmas24_march_effect_name"}</v>
      </c>
      <c r="K570" s="148" t="str">
        <f>IFERROR(__xludf.DUMMYFUNCTION("""COMPUTED_VALUE"""),"{""typ"":""lc"",""txt"":""LC_ITEM_xmas24_march_effect_desc""}")</f>
        <v>{"typ":"lc","txt":"LC_ITEM_xmas24_march_effect_desc"}</v>
      </c>
      <c r="L570" s="148" t="str">
        <f>IFERROR(__xludf.DUMMYFUNCTION("""COMPUTED_VALUE"""),"{""typ"":""lc"",""txt"":""LC_ITEM_xmas24_march_effect_use_tip""}")</f>
        <v>{"typ":"lc","txt":"LC_ITEM_xmas24_march_effect_use_tip"}</v>
      </c>
      <c r="M570" s="148">
        <f>IFERROR(__xludf.DUMMYFUNCTION("""COMPUTED_VALUE"""),5000.0)</f>
        <v>5000</v>
      </c>
      <c r="N570" s="148">
        <f>IFERROR(__xludf.DUMMYFUNCTION("""COMPUTED_VALUE"""),999999.0)</f>
        <v>999999</v>
      </c>
      <c r="O570" s="148">
        <f>IFERROR(__xludf.DUMMYFUNCTION("""COMPUTED_VALUE"""),99999.0)</f>
        <v>99999</v>
      </c>
      <c r="P570" s="148">
        <f>IFERROR(__xludf.DUMMYFUNCTION("""COMPUTED_VALUE"""),1.0)</f>
        <v>1</v>
      </c>
      <c r="Q570" s="148" t="str">
        <f>IFERROR(__xludf.DUMMYFUNCTION("""COMPUTED_VALUE"""),"[""bag_other""]")</f>
        <v>["bag_other"]</v>
      </c>
      <c r="R570" s="148" t="str">
        <f>IFERROR(__xludf.DUMMYFUNCTION("""COMPUTED_VALUE"""),"[""bag"",""13650128""]")</f>
        <v>["bag","13650128"]</v>
      </c>
      <c r="S570" s="148" t="str">
        <f>IFERROR(__xludf.DUMMYFUNCTION("""COMPUTED_VALUE"""),"{""effect"":[{""typ"":""marching_effect"",""id"":13650128,""val"":-1},{""typ"":""vm"",""id"":11151001,""val"":2500}]}")</f>
        <v>{"effect":[{"typ":"marching_effect","id":13650128,"val":-1},{"typ":"vm","id":11151001,"val":2500}]}</v>
      </c>
      <c r="T570" s="148">
        <f>IFERROR(__xludf.DUMMYFUNCTION("""COMPUTED_VALUE"""),-1.0)</f>
        <v>-1</v>
      </c>
      <c r="U570" s="148">
        <f>IFERROR(__xludf.DUMMYFUNCTION("""COMPUTED_VALUE"""),0.0)</f>
        <v>0</v>
      </c>
      <c r="V570" s="148" t="str">
        <f>IFERROR(__xludf.DUMMYFUNCTION("""COMPUTED_VALUE"""),"[]")</f>
        <v>[]</v>
      </c>
      <c r="W570" s="148">
        <f>IFERROR(__xludf.DUMMYFUNCTION("""COMPUTED_VALUE"""),1.174E7)</f>
        <v>11740000</v>
      </c>
      <c r="X570" s="148">
        <f>IFERROR(__xludf.DUMMYFUNCTION("""COMPUTED_VALUE"""),0.0)</f>
        <v>0</v>
      </c>
      <c r="Y570" s="148">
        <f>IFERROR(__xludf.DUMMYFUNCTION("""COMPUTED_VALUE"""),0.0)</f>
        <v>0</v>
      </c>
      <c r="Z570" s="148"/>
    </row>
    <row r="571">
      <c r="A571" s="148">
        <f>IFERROR(__xludf.DUMMYFUNCTION("""COMPUTED_VALUE"""),1.1112363E7)</f>
        <v>11112363</v>
      </c>
      <c r="B571" s="148" t="str">
        <f>IFERROR(__xludf.DUMMYFUNCTION("""COMPUTED_VALUE"""),"铭牌-感恩节2024铭牌-冬日颂歌")</f>
        <v>铭牌-感恩节2024铭牌-冬日颂歌</v>
      </c>
      <c r="C571" s="148"/>
      <c r="D571" s="148" t="str">
        <f>IFERROR(__xludf.DUMMYFUNCTION("""COMPUTED_VALUE"""),"chat_skin")</f>
        <v>chat_skin</v>
      </c>
      <c r="E571" s="148">
        <f>IFERROR(__xludf.DUMMYFUNCTION("""COMPUTED_VALUE"""),30.0)</f>
        <v>30</v>
      </c>
      <c r="F571" s="148">
        <f>IFERROR(__xludf.DUMMYFUNCTION("""COMPUTED_VALUE"""),401107.0)</f>
        <v>401107</v>
      </c>
      <c r="G571" s="148">
        <f>IFERROR(__xludf.DUMMYFUNCTION("""COMPUTED_VALUE"""),1.51101038E8)</f>
        <v>151101038</v>
      </c>
      <c r="H571" s="148">
        <f>IFERROR(__xludf.DUMMYFUNCTION("""COMPUTED_VALUE"""),1.5112564E7)</f>
        <v>15112564</v>
      </c>
      <c r="I571" s="148" t="str">
        <f>IFERROR(__xludf.DUMMYFUNCTION("""COMPUTED_VALUE"""),"{}")</f>
        <v>{}</v>
      </c>
      <c r="J571" s="148" t="str">
        <f>IFERROR(__xludf.DUMMYFUNCTION("""COMPUTED_VALUE"""),"{""typ"":""lc"",""txt"":""LC_ITEM_xmas24_nameplate_name""}")</f>
        <v>{"typ":"lc","txt":"LC_ITEM_xmas24_nameplate_name"}</v>
      </c>
      <c r="K571" s="148" t="str">
        <f>IFERROR(__xludf.DUMMYFUNCTION("""COMPUTED_VALUE"""),"{""typ"":""lc"",""txt"":""LC_ITEM_xmas24_nameplate_desc_item""}")</f>
        <v>{"typ":"lc","txt":"LC_ITEM_xmas24_nameplate_desc_item"}</v>
      </c>
      <c r="L571" s="148" t="str">
        <f>IFERROR(__xludf.DUMMYFUNCTION("""COMPUTED_VALUE"""),"{""typ"":""lc"",""txt"":""LC_ITEM_season_extra_reward_usedtip""}")</f>
        <v>{"typ":"lc","txt":"LC_ITEM_season_extra_reward_usedtip"}</v>
      </c>
      <c r="M571" s="148">
        <f>IFERROR(__xludf.DUMMYFUNCTION("""COMPUTED_VALUE"""),2500.0)</f>
        <v>2500</v>
      </c>
      <c r="N571" s="148">
        <f>IFERROR(__xludf.DUMMYFUNCTION("""COMPUTED_VALUE"""),9999999.0)</f>
        <v>9999999</v>
      </c>
      <c r="O571" s="148">
        <f>IFERROR(__xludf.DUMMYFUNCTION("""COMPUTED_VALUE"""),1.0)</f>
        <v>1</v>
      </c>
      <c r="P571" s="148">
        <f>IFERROR(__xludf.DUMMYFUNCTION("""COMPUTED_VALUE"""),1.0)</f>
        <v>1</v>
      </c>
      <c r="Q571" s="148" t="str">
        <f>IFERROR(__xludf.DUMMYFUNCTION("""COMPUTED_VALUE"""),"[""bag_other""]")</f>
        <v>["bag_other"]</v>
      </c>
      <c r="R571" s="148" t="str">
        <f>IFERROR(__xludf.DUMMYFUNCTION("""COMPUTED_VALUE"""),"[""11731030"",""bag""]")</f>
        <v>["11731030","bag"]</v>
      </c>
      <c r="S571" s="148" t="str">
        <f>IFERROR(__xludf.DUMMYFUNCTION("""COMPUTED_VALUE"""),"{""effect"":[{""typ"":""nameplate"",""id"":11731030,""val"":-1}]}")</f>
        <v>{"effect":[{"typ":"nameplate","id":11731030,"val":-1}]}</v>
      </c>
      <c r="T571" s="148">
        <f>IFERROR(__xludf.DUMMYFUNCTION("""COMPUTED_VALUE"""),-1.0)</f>
        <v>-1</v>
      </c>
      <c r="U571" s="148">
        <f>IFERROR(__xludf.DUMMYFUNCTION("""COMPUTED_VALUE"""),0.0)</f>
        <v>0</v>
      </c>
      <c r="V571" s="148" t="str">
        <f>IFERROR(__xludf.DUMMYFUNCTION("""COMPUTED_VALUE"""),"[]")</f>
        <v>[]</v>
      </c>
      <c r="W571" s="148">
        <f>IFERROR(__xludf.DUMMYFUNCTION("""COMPUTED_VALUE"""),1.174E7)</f>
        <v>11740000</v>
      </c>
      <c r="X571" s="148">
        <f>IFERROR(__xludf.DUMMYFUNCTION("""COMPUTED_VALUE"""),0.0)</f>
        <v>0</v>
      </c>
      <c r="Y571" s="148">
        <f>IFERROR(__xludf.DUMMYFUNCTION("""COMPUTED_VALUE"""),0.0)</f>
        <v>0</v>
      </c>
      <c r="Z571" s="148"/>
    </row>
    <row r="572">
      <c r="A572" s="148">
        <f>IFERROR(__xludf.DUMMYFUNCTION("""COMPUTED_VALUE"""),1.1112364E7)</f>
        <v>11112364</v>
      </c>
      <c r="B572" s="148" t="str">
        <f>IFERROR(__xludf.DUMMYFUNCTION("""COMPUTED_VALUE"""),"圣诞节2024-主城特效")</f>
        <v>圣诞节2024-主城特效</v>
      </c>
      <c r="C572" s="148"/>
      <c r="D572" s="148" t="str">
        <f>IFERROR(__xludf.DUMMYFUNCTION("""COMPUTED_VALUE"""),"city_effect")</f>
        <v>city_effect</v>
      </c>
      <c r="E572" s="148">
        <f>IFERROR(__xludf.DUMMYFUNCTION("""COMPUTED_VALUE"""),0.0)</f>
        <v>0</v>
      </c>
      <c r="F572" s="148">
        <f>IFERROR(__xludf.DUMMYFUNCTION("""COMPUTED_VALUE"""),405217.0)</f>
        <v>405217</v>
      </c>
      <c r="G572" s="148">
        <f>IFERROR(__xludf.DUMMYFUNCTION("""COMPUTED_VALUE"""),1.51101088E8)</f>
        <v>151101088</v>
      </c>
      <c r="H572" s="148">
        <f>IFERROR(__xludf.DUMMYFUNCTION("""COMPUTED_VALUE"""),1.5112564E7)</f>
        <v>15112564</v>
      </c>
      <c r="I572" s="148" t="str">
        <f>IFERROR(__xludf.DUMMYFUNCTION("""COMPUTED_VALUE"""),"{}")</f>
        <v>{}</v>
      </c>
      <c r="J572" s="148" t="str">
        <f>IFERROR(__xludf.DUMMYFUNCTION("""COMPUTED_VALUE"""),"{""typ"":""lc"",""txt"":""LC_ITEM_christmas_city_effect""}")</f>
        <v>{"typ":"lc","txt":"LC_ITEM_christmas_city_effect"}</v>
      </c>
      <c r="K572" s="148" t="str">
        <f>IFERROR(__xludf.DUMMYFUNCTION("""COMPUTED_VALUE"""),"{""typ"":""lc"",""txt"":""LC_ITEM_christmas_city_effect_desc""}")</f>
        <v>{"typ":"lc","txt":"LC_ITEM_christmas_city_effect_desc"}</v>
      </c>
      <c r="L572" s="148" t="str">
        <f>IFERROR(__xludf.DUMMYFUNCTION("""COMPUTED_VALUE"""),"{}")</f>
        <v>{}</v>
      </c>
      <c r="M572" s="148">
        <f>IFERROR(__xludf.DUMMYFUNCTION("""COMPUTED_VALUE"""),10000.0)</f>
        <v>10000</v>
      </c>
      <c r="N572" s="148">
        <f>IFERROR(__xludf.DUMMYFUNCTION("""COMPUTED_VALUE"""),999999.0)</f>
        <v>999999</v>
      </c>
      <c r="O572" s="148">
        <f>IFERROR(__xludf.DUMMYFUNCTION("""COMPUTED_VALUE"""),99999.0)</f>
        <v>99999</v>
      </c>
      <c r="P572" s="148">
        <f>IFERROR(__xludf.DUMMYFUNCTION("""COMPUTED_VALUE"""),1.0)</f>
        <v>1</v>
      </c>
      <c r="Q572" s="148" t="str">
        <f>IFERROR(__xludf.DUMMYFUNCTION("""COMPUTED_VALUE"""),"[""bag_other""]")</f>
        <v>["bag_other"]</v>
      </c>
      <c r="R572" s="148" t="str">
        <f>IFERROR(__xludf.DUMMYFUNCTION("""COMPUTED_VALUE"""),"[""bag"",""13871006""]")</f>
        <v>["bag","13871006"]</v>
      </c>
      <c r="S572" s="148" t="str">
        <f>IFERROR(__xludf.DUMMYFUNCTION("""COMPUTED_VALUE"""),"{""effect"":[{""typ"":""city_effect"",""id"":13871006,""val"":-1},{""typ"":""item"",""id"":11111034,""val"":10}]}")</f>
        <v>{"effect":[{"typ":"city_effect","id":13871006,"val":-1},{"typ":"item","id":11111034,"val":10}]}</v>
      </c>
      <c r="T572" s="148">
        <f>IFERROR(__xludf.DUMMYFUNCTION("""COMPUTED_VALUE"""),-1.0)</f>
        <v>-1</v>
      </c>
      <c r="U572" s="148">
        <f>IFERROR(__xludf.DUMMYFUNCTION("""COMPUTED_VALUE"""),0.0)</f>
        <v>0</v>
      </c>
      <c r="V572" s="148" t="str">
        <f>IFERROR(__xludf.DUMMYFUNCTION("""COMPUTED_VALUE"""),"[]")</f>
        <v>[]</v>
      </c>
      <c r="W572" s="148">
        <f>IFERROR(__xludf.DUMMYFUNCTION("""COMPUTED_VALUE"""),1.174E7)</f>
        <v>11740000</v>
      </c>
      <c r="X572" s="148">
        <f>IFERROR(__xludf.DUMMYFUNCTION("""COMPUTED_VALUE"""),0.0)</f>
        <v>0</v>
      </c>
      <c r="Y572" s="148">
        <f>IFERROR(__xludf.DUMMYFUNCTION("""COMPUTED_VALUE"""),0.0)</f>
        <v>0</v>
      </c>
      <c r="Z572" s="148"/>
    </row>
    <row r="573">
      <c r="A573" s="148">
        <f>IFERROR(__xludf.DUMMYFUNCTION("""COMPUTED_VALUE"""),1.1112366E7)</f>
        <v>11112366</v>
      </c>
      <c r="B573" s="148" t="str">
        <f>IFERROR(__xludf.DUMMYFUNCTION("""COMPUTED_VALUE"""),"主城皮肤-圣诞节高级皮肤-银色旅程-2024-14天")</f>
        <v>主城皮肤-圣诞节高级皮肤-银色旅程-2024-14天</v>
      </c>
      <c r="C573" s="148"/>
      <c r="D573" s="148" t="str">
        <f>IFERROR(__xludf.DUMMYFUNCTION("""COMPUTED_VALUE"""),"city_skin")</f>
        <v>city_skin</v>
      </c>
      <c r="E573" s="148">
        <f>IFERROR(__xludf.DUMMYFUNCTION("""COMPUTED_VALUE"""),21.0)</f>
        <v>21</v>
      </c>
      <c r="F573" s="148">
        <f>IFERROR(__xludf.DUMMYFUNCTION("""COMPUTED_VALUE"""),400106.0)</f>
        <v>400106</v>
      </c>
      <c r="G573" s="148">
        <f>IFERROR(__xludf.DUMMYFUNCTION("""COMPUTED_VALUE"""),1.51100929E8)</f>
        <v>151100929</v>
      </c>
      <c r="H573" s="148">
        <f>IFERROR(__xludf.DUMMYFUNCTION("""COMPUTED_VALUE"""),1.5112564E7)</f>
        <v>15112564</v>
      </c>
      <c r="I573" s="148" t="str">
        <f>IFERROR(__xludf.DUMMYFUNCTION("""COMPUTED_VALUE"""),"{""typ"":""lc"",""txt"":""LC_ITEM_time_day_upper_show"",""args"":[{""typ"":""int"",""val"":14}]}")</f>
        <v>{"typ":"lc","txt":"LC_ITEM_time_day_upper_show","args":[{"typ":"int","val":14}]}</v>
      </c>
      <c r="J573" s="148" t="str">
        <f>IFERROR(__xludf.DUMMYFUNCTION("""COMPUTED_VALUE"""),"{""typ"":""lc"",""txt"":""LC_ITEM_2024christmas_highcity_skin_title_14day""}")</f>
        <v>{"typ":"lc","txt":"LC_ITEM_2024christmas_highcity_skin_title_14day"}</v>
      </c>
      <c r="K573" s="148" t="str">
        <f>IFERROR(__xludf.DUMMYFUNCTION("""COMPUTED_VALUE"""),"{""typ"":""lc"",""txt"":""LC_ITEM_2024christmas_highskin_desc_14days""}")</f>
        <v>{"typ":"lc","txt":"LC_ITEM_2024christmas_highskin_desc_14days"}</v>
      </c>
      <c r="L573" s="148" t="str">
        <f>IFERROR(__xludf.DUMMYFUNCTION("""COMPUTED_VALUE"""),"{""typ"":""lc"",""txt"":""LC_ITEM_city_skin_rocket_use_tips""}")</f>
        <v>{"typ":"lc","txt":"LC_ITEM_city_skin_rocket_use_tips"}</v>
      </c>
      <c r="M573" s="148">
        <f>IFERROR(__xludf.DUMMYFUNCTION("""COMPUTED_VALUE"""),10000.0)</f>
        <v>10000</v>
      </c>
      <c r="N573" s="148">
        <f>IFERROR(__xludf.DUMMYFUNCTION("""COMPUTED_VALUE"""),999.0)</f>
        <v>999</v>
      </c>
      <c r="O573" s="148">
        <f>IFERROR(__xludf.DUMMYFUNCTION("""COMPUTED_VALUE"""),1.0)</f>
        <v>1</v>
      </c>
      <c r="P573" s="148">
        <f>IFERROR(__xludf.DUMMYFUNCTION("""COMPUTED_VALUE"""),1.0)</f>
        <v>1</v>
      </c>
      <c r="Q573" s="148" t="str">
        <f>IFERROR(__xludf.DUMMYFUNCTION("""COMPUTED_VALUE"""),"[""bag_other""]")</f>
        <v>["bag_other"]</v>
      </c>
      <c r="R573" s="148" t="str">
        <f>IFERROR(__xludf.DUMMYFUNCTION("""COMPUTED_VALUE"""),"[""bag"",""13121053""]")</f>
        <v>["bag","13121053"]</v>
      </c>
      <c r="S573" s="148" t="str">
        <f>IFERROR(__xludf.DUMMYFUNCTION("""COMPUTED_VALUE"""),"{""effect"":[{""typ"":""city_skin"",""id"":13121053,""val"":1209600000},{""typ"":""item"",""id"":11111021,""val"":7}]}")</f>
        <v>{"effect":[{"typ":"city_skin","id":13121053,"val":1209600000},{"typ":"item","id":11111021,"val":7}]}</v>
      </c>
      <c r="T573" s="148">
        <f>IFERROR(__xludf.DUMMYFUNCTION("""COMPUTED_VALUE"""),-1.0)</f>
        <v>-1</v>
      </c>
      <c r="U573" s="148">
        <f>IFERROR(__xludf.DUMMYFUNCTION("""COMPUTED_VALUE"""),0.0)</f>
        <v>0</v>
      </c>
      <c r="V573" s="148" t="str">
        <f>IFERROR(__xludf.DUMMYFUNCTION("""COMPUTED_VALUE"""),"[]")</f>
        <v>[]</v>
      </c>
      <c r="W573" s="148">
        <f>IFERROR(__xludf.DUMMYFUNCTION("""COMPUTED_VALUE"""),1.174E7)</f>
        <v>11740000</v>
      </c>
      <c r="X573" s="148">
        <f>IFERROR(__xludf.DUMMYFUNCTION("""COMPUTED_VALUE"""),0.0)</f>
        <v>0</v>
      </c>
      <c r="Y573" s="148">
        <f>IFERROR(__xludf.DUMMYFUNCTION("""COMPUTED_VALUE"""),0.0)</f>
        <v>0</v>
      </c>
      <c r="Z573" s="148"/>
    </row>
    <row r="574">
      <c r="A574" s="148">
        <f>IFERROR(__xludf.DUMMYFUNCTION("""COMPUTED_VALUE"""),1.1112367E7)</f>
        <v>11112367</v>
      </c>
      <c r="B574" s="148" t="str">
        <f>IFERROR(__xludf.DUMMYFUNCTION("""COMPUTED_VALUE"""),"主城皮肤-圣诞节高级皮肤-银色旅程-2024-7天")</f>
        <v>主城皮肤-圣诞节高级皮肤-银色旅程-2024-7天</v>
      </c>
      <c r="C574" s="148"/>
      <c r="D574" s="148" t="str">
        <f>IFERROR(__xludf.DUMMYFUNCTION("""COMPUTED_VALUE"""),"city_skin")</f>
        <v>city_skin</v>
      </c>
      <c r="E574" s="148">
        <f>IFERROR(__xludf.DUMMYFUNCTION("""COMPUTED_VALUE"""),21.0)</f>
        <v>21</v>
      </c>
      <c r="F574" s="148">
        <f>IFERROR(__xludf.DUMMYFUNCTION("""COMPUTED_VALUE"""),400106.0)</f>
        <v>400106</v>
      </c>
      <c r="G574" s="148">
        <f>IFERROR(__xludf.DUMMYFUNCTION("""COMPUTED_VALUE"""),1.51100929E8)</f>
        <v>151100929</v>
      </c>
      <c r="H574" s="148">
        <f>IFERROR(__xludf.DUMMYFUNCTION("""COMPUTED_VALUE"""),1.5112564E7)</f>
        <v>15112564</v>
      </c>
      <c r="I574" s="148" t="str">
        <f>IFERROR(__xludf.DUMMYFUNCTION("""COMPUTED_VALUE"""),"{""typ"":""lc"",""txt"":""LC_ITEM_time_day_upper_show"",""args"":[{""typ"":""int"",""val"":7}]}")</f>
        <v>{"typ":"lc","txt":"LC_ITEM_time_day_upper_show","args":[{"typ":"int","val":7}]}</v>
      </c>
      <c r="J574" s="148" t="str">
        <f>IFERROR(__xludf.DUMMYFUNCTION("""COMPUTED_VALUE"""),"{""typ"":""lc"",""txt"":""LC_ITEM_2024christmas_highcity_skin_title_7day""}")</f>
        <v>{"typ":"lc","txt":"LC_ITEM_2024christmas_highcity_skin_title_7day"}</v>
      </c>
      <c r="K574" s="148" t="str">
        <f>IFERROR(__xludf.DUMMYFUNCTION("""COMPUTED_VALUE"""),"{""typ"":""lc"",""txt"":""LC_ITEM_2024christmas_highskin_desc_7days""}")</f>
        <v>{"typ":"lc","txt":"LC_ITEM_2024christmas_highskin_desc_7days"}</v>
      </c>
      <c r="L574" s="148" t="str">
        <f>IFERROR(__xludf.DUMMYFUNCTION("""COMPUTED_VALUE"""),"{""typ"":""lc"",""txt"":""LC_ITEM_city_skin_rocket_use_tips""}")</f>
        <v>{"typ":"lc","txt":"LC_ITEM_city_skin_rocket_use_tips"}</v>
      </c>
      <c r="M574" s="148">
        <f>IFERROR(__xludf.DUMMYFUNCTION("""COMPUTED_VALUE"""),10000.0)</f>
        <v>10000</v>
      </c>
      <c r="N574" s="148">
        <f>IFERROR(__xludf.DUMMYFUNCTION("""COMPUTED_VALUE"""),999.0)</f>
        <v>999</v>
      </c>
      <c r="O574" s="148">
        <f>IFERROR(__xludf.DUMMYFUNCTION("""COMPUTED_VALUE"""),1.0)</f>
        <v>1</v>
      </c>
      <c r="P574" s="148">
        <f>IFERROR(__xludf.DUMMYFUNCTION("""COMPUTED_VALUE"""),1.0)</f>
        <v>1</v>
      </c>
      <c r="Q574" s="148" t="str">
        <f>IFERROR(__xludf.DUMMYFUNCTION("""COMPUTED_VALUE"""),"[""bag_other""]")</f>
        <v>["bag_other"]</v>
      </c>
      <c r="R574" s="148" t="str">
        <f>IFERROR(__xludf.DUMMYFUNCTION("""COMPUTED_VALUE"""),"[""bag"",""13121053""]")</f>
        <v>["bag","13121053"]</v>
      </c>
      <c r="S574" s="148" t="str">
        <f>IFERROR(__xludf.DUMMYFUNCTION("""COMPUTED_VALUE"""),"{""effect"":[{""typ"":""city_skin"",""id"":13121053,""val"":604800000},{""typ"":""item"",""id"":11111021,""val"":3}]}")</f>
        <v>{"effect":[{"typ":"city_skin","id":13121053,"val":604800000},{"typ":"item","id":11111021,"val":3}]}</v>
      </c>
      <c r="T574" s="148">
        <f>IFERROR(__xludf.DUMMYFUNCTION("""COMPUTED_VALUE"""),-1.0)</f>
        <v>-1</v>
      </c>
      <c r="U574" s="148">
        <f>IFERROR(__xludf.DUMMYFUNCTION("""COMPUTED_VALUE"""),0.0)</f>
        <v>0</v>
      </c>
      <c r="V574" s="148" t="str">
        <f>IFERROR(__xludf.DUMMYFUNCTION("""COMPUTED_VALUE"""),"[]")</f>
        <v>[]</v>
      </c>
      <c r="W574" s="148">
        <f>IFERROR(__xludf.DUMMYFUNCTION("""COMPUTED_VALUE"""),1.174E7)</f>
        <v>11740000</v>
      </c>
      <c r="X574" s="148">
        <f>IFERROR(__xludf.DUMMYFUNCTION("""COMPUTED_VALUE"""),0.0)</f>
        <v>0</v>
      </c>
      <c r="Y574" s="148">
        <f>IFERROR(__xludf.DUMMYFUNCTION("""COMPUTED_VALUE"""),0.0)</f>
        <v>0</v>
      </c>
      <c r="Z574" s="148"/>
    </row>
    <row r="575">
      <c r="A575" s="148">
        <f>IFERROR(__xludf.DUMMYFUNCTION("""COMPUTED_VALUE"""),1.1112368E7)</f>
        <v>11112368</v>
      </c>
      <c r="B575" s="148" t="str">
        <f>IFERROR(__xludf.DUMMYFUNCTION("""COMPUTED_VALUE"""),"主城皮肤-圣诞节高级皮肤-银色旅程-2024")</f>
        <v>主城皮肤-圣诞节高级皮肤-银色旅程-2024</v>
      </c>
      <c r="C575" s="148"/>
      <c r="D575" s="148" t="str">
        <f>IFERROR(__xludf.DUMMYFUNCTION("""COMPUTED_VALUE"""),"city_skin")</f>
        <v>city_skin</v>
      </c>
      <c r="E575" s="148">
        <f>IFERROR(__xludf.DUMMYFUNCTION("""COMPUTED_VALUE"""),21.0)</f>
        <v>21</v>
      </c>
      <c r="F575" s="148">
        <f>IFERROR(__xludf.DUMMYFUNCTION("""COMPUTED_VALUE"""),400106.0)</f>
        <v>400106</v>
      </c>
      <c r="G575" s="148">
        <f>IFERROR(__xludf.DUMMYFUNCTION("""COMPUTED_VALUE"""),1.51100929E8)</f>
        <v>151100929</v>
      </c>
      <c r="H575" s="148">
        <f>IFERROR(__xludf.DUMMYFUNCTION("""COMPUTED_VALUE"""),1.5115983E7)</f>
        <v>15115983</v>
      </c>
      <c r="I575" s="148" t="str">
        <f>IFERROR(__xludf.DUMMYFUNCTION("""COMPUTED_VALUE"""),"{}")</f>
        <v>{}</v>
      </c>
      <c r="J575" s="148" t="str">
        <f>IFERROR(__xludf.DUMMYFUNCTION("""COMPUTED_VALUE"""),"{""typ"":""lc"",""txt"":""LC_ITEM_2024christmas_highcity_skin_title""}")</f>
        <v>{"typ":"lc","txt":"LC_ITEM_2024christmas_highcity_skin_title"}</v>
      </c>
      <c r="K575" s="148" t="str">
        <f>IFERROR(__xludf.DUMMYFUNCTION("""COMPUTED_VALUE"""),"{""typ"":""lc"",""txt"":""LC_ITEM_2024christmas_highskin_desc_forever""}")</f>
        <v>{"typ":"lc","txt":"LC_ITEM_2024christmas_highskin_desc_forever"}</v>
      </c>
      <c r="L575" s="148" t="str">
        <f>IFERROR(__xludf.DUMMYFUNCTION("""COMPUTED_VALUE"""),"{""typ"":""lc"",""txt"":""LC_ITEM_city_skin_rocket_use_tips""}")</f>
        <v>{"typ":"lc","txt":"LC_ITEM_city_skin_rocket_use_tips"}</v>
      </c>
      <c r="M575" s="148">
        <f>IFERROR(__xludf.DUMMYFUNCTION("""COMPUTED_VALUE"""),10000.0)</f>
        <v>10000</v>
      </c>
      <c r="N575" s="148">
        <f>IFERROR(__xludf.DUMMYFUNCTION("""COMPUTED_VALUE"""),999.0)</f>
        <v>999</v>
      </c>
      <c r="O575" s="148">
        <f>IFERROR(__xludf.DUMMYFUNCTION("""COMPUTED_VALUE"""),1.0)</f>
        <v>1</v>
      </c>
      <c r="P575" s="148">
        <f>IFERROR(__xludf.DUMMYFUNCTION("""COMPUTED_VALUE"""),1.0)</f>
        <v>1</v>
      </c>
      <c r="Q575" s="148" t="str">
        <f>IFERROR(__xludf.DUMMYFUNCTION("""COMPUTED_VALUE"""),"[""bag_other""]")</f>
        <v>["bag_other"]</v>
      </c>
      <c r="R575" s="148" t="str">
        <f>IFERROR(__xludf.DUMMYFUNCTION("""COMPUTED_VALUE"""),"[""bag"",""13121053""]")</f>
        <v>["bag","13121053"]</v>
      </c>
      <c r="S575" s="148" t="str">
        <f>IFERROR(__xludf.DUMMYFUNCTION("""COMPUTED_VALUE"""),"{""effect"":[{""typ"":""city_skin"",""id"":13121053,""val"":-1},{""typ"":""item"",""id"":11111034,""val"":10}]}")</f>
        <v>{"effect":[{"typ":"city_skin","id":13121053,"val":-1},{"typ":"item","id":11111034,"val":10}]}</v>
      </c>
      <c r="T575" s="148">
        <f>IFERROR(__xludf.DUMMYFUNCTION("""COMPUTED_VALUE"""),-1.0)</f>
        <v>-1</v>
      </c>
      <c r="U575" s="148">
        <f>IFERROR(__xludf.DUMMYFUNCTION("""COMPUTED_VALUE"""),0.0)</f>
        <v>0</v>
      </c>
      <c r="V575" s="148" t="str">
        <f>IFERROR(__xludf.DUMMYFUNCTION("""COMPUTED_VALUE"""),"[]")</f>
        <v>[]</v>
      </c>
      <c r="W575" s="148">
        <f>IFERROR(__xludf.DUMMYFUNCTION("""COMPUTED_VALUE"""),1.174E7)</f>
        <v>11740000</v>
      </c>
      <c r="X575" s="148">
        <f>IFERROR(__xludf.DUMMYFUNCTION("""COMPUTED_VALUE"""),0.0)</f>
        <v>0</v>
      </c>
      <c r="Y575" s="148">
        <f>IFERROR(__xludf.DUMMYFUNCTION("""COMPUTED_VALUE"""),0.0)</f>
        <v>0</v>
      </c>
      <c r="Z575" s="148"/>
    </row>
    <row r="576">
      <c r="A576" s="148">
        <f>IFERROR(__xludf.DUMMYFUNCTION("""COMPUTED_VALUE"""),1.1112369E7)</f>
        <v>11112369</v>
      </c>
      <c r="B576" s="148" t="str">
        <f>IFERROR(__xludf.DUMMYFUNCTION("""COMPUTED_VALUE"""),"主城皮肤-圣诞节2024")</f>
        <v>主城皮肤-圣诞节2024</v>
      </c>
      <c r="C576" s="148"/>
      <c r="D576" s="148" t="str">
        <f>IFERROR(__xludf.DUMMYFUNCTION("""COMPUTED_VALUE"""),"city_skin")</f>
        <v>city_skin</v>
      </c>
      <c r="E576" s="148">
        <f>IFERROR(__xludf.DUMMYFUNCTION("""COMPUTED_VALUE"""),21.0)</f>
        <v>21</v>
      </c>
      <c r="F576" s="148">
        <f>IFERROR(__xludf.DUMMYFUNCTION("""COMPUTED_VALUE"""),404201.0)</f>
        <v>404201</v>
      </c>
      <c r="G576" s="148">
        <f>IFERROR(__xludf.DUMMYFUNCTION("""COMPUTED_VALUE"""),1.51100927E8)</f>
        <v>151100927</v>
      </c>
      <c r="H576" s="148">
        <f>IFERROR(__xludf.DUMMYFUNCTION("""COMPUTED_VALUE"""),1.5112564E7)</f>
        <v>15112564</v>
      </c>
      <c r="I576" s="148" t="str">
        <f>IFERROR(__xludf.DUMMYFUNCTION("""COMPUTED_VALUE"""),"{}")</f>
        <v>{}</v>
      </c>
      <c r="J576" s="148" t="str">
        <f>IFERROR(__xludf.DUMMYFUNCTION("""COMPUTED_VALUE"""),"{""typ"":""lc"",""txt"":""LC_ITEM_2024christmas_lowcity_skin_title""}")</f>
        <v>{"typ":"lc","txt":"LC_ITEM_2024christmas_lowcity_skin_title"}</v>
      </c>
      <c r="K576" s="148" t="str">
        <f>IFERROR(__xludf.DUMMYFUNCTION("""COMPUTED_VALUE"""),"{""typ"":""lc"",""txt"":""LC_ITEM_2024christmas_lowcity_skin_desc_forever""}")</f>
        <v>{"typ":"lc","txt":"LC_ITEM_2024christmas_lowcity_skin_desc_forever"}</v>
      </c>
      <c r="L576" s="148" t="str">
        <f>IFERROR(__xludf.DUMMYFUNCTION("""COMPUTED_VALUE"""),"{""typ"":""lc"",""txt"":""LC_ITEM_city_skin_rocket_use_tips""}")</f>
        <v>{"typ":"lc","txt":"LC_ITEM_city_skin_rocket_use_tips"}</v>
      </c>
      <c r="M576" s="148">
        <f>IFERROR(__xludf.DUMMYFUNCTION("""COMPUTED_VALUE"""),10000.0)</f>
        <v>10000</v>
      </c>
      <c r="N576" s="148">
        <f>IFERROR(__xludf.DUMMYFUNCTION("""COMPUTED_VALUE"""),999.0)</f>
        <v>999</v>
      </c>
      <c r="O576" s="148">
        <f>IFERROR(__xludf.DUMMYFUNCTION("""COMPUTED_VALUE"""),1.0)</f>
        <v>1</v>
      </c>
      <c r="P576" s="148">
        <f>IFERROR(__xludf.DUMMYFUNCTION("""COMPUTED_VALUE"""),1.0)</f>
        <v>1</v>
      </c>
      <c r="Q576" s="148" t="str">
        <f>IFERROR(__xludf.DUMMYFUNCTION("""COMPUTED_VALUE"""),"[""bag_other""]")</f>
        <v>["bag_other"]</v>
      </c>
      <c r="R576" s="148" t="str">
        <f>IFERROR(__xludf.DUMMYFUNCTION("""COMPUTED_VALUE"""),"[""bag"",""13121052""]")</f>
        <v>["bag","13121052"]</v>
      </c>
      <c r="S576" s="148" t="str">
        <f>IFERROR(__xludf.DUMMYFUNCTION("""COMPUTED_VALUE"""),"{""effect"":[{""typ"":""city_skin"",""id"":13121052,""val"":-1},{""typ"":""item"",""id"":11111034,""val"":10}]}")</f>
        <v>{"effect":[{"typ":"city_skin","id":13121052,"val":-1},{"typ":"item","id":11111034,"val":10}]}</v>
      </c>
      <c r="T576" s="148">
        <f>IFERROR(__xludf.DUMMYFUNCTION("""COMPUTED_VALUE"""),-1.0)</f>
        <v>-1</v>
      </c>
      <c r="U576" s="148">
        <f>IFERROR(__xludf.DUMMYFUNCTION("""COMPUTED_VALUE"""),0.0)</f>
        <v>0</v>
      </c>
      <c r="V576" s="148" t="str">
        <f>IFERROR(__xludf.DUMMYFUNCTION("""COMPUTED_VALUE"""),"[]")</f>
        <v>[]</v>
      </c>
      <c r="W576" s="148">
        <f>IFERROR(__xludf.DUMMYFUNCTION("""COMPUTED_VALUE"""),1.174E7)</f>
        <v>11740000</v>
      </c>
      <c r="X576" s="148">
        <f>IFERROR(__xludf.DUMMYFUNCTION("""COMPUTED_VALUE"""),0.0)</f>
        <v>0</v>
      </c>
      <c r="Y576" s="148">
        <f>IFERROR(__xludf.DUMMYFUNCTION("""COMPUTED_VALUE"""),0.0)</f>
        <v>0</v>
      </c>
      <c r="Z576" s="148"/>
    </row>
    <row r="577">
      <c r="A577" s="148">
        <f>IFERROR(__xludf.DUMMYFUNCTION("""COMPUTED_VALUE"""),1.111237E7)</f>
        <v>11112370</v>
      </c>
      <c r="B577" s="148" t="str">
        <f>IFERROR(__xludf.DUMMYFUNCTION("""COMPUTED_VALUE"""),"主城皮肤-圣诞节2024-2天")</f>
        <v>主城皮肤-圣诞节2024-2天</v>
      </c>
      <c r="C577" s="148"/>
      <c r="D577" s="148" t="str">
        <f>IFERROR(__xludf.DUMMYFUNCTION("""COMPUTED_VALUE"""),"city_skin")</f>
        <v>city_skin</v>
      </c>
      <c r="E577" s="148">
        <f>IFERROR(__xludf.DUMMYFUNCTION("""COMPUTED_VALUE"""),21.0)</f>
        <v>21</v>
      </c>
      <c r="F577" s="148">
        <f>IFERROR(__xludf.DUMMYFUNCTION("""COMPUTED_VALUE"""),404201.0)</f>
        <v>404201</v>
      </c>
      <c r="G577" s="148">
        <f>IFERROR(__xludf.DUMMYFUNCTION("""COMPUTED_VALUE"""),1.51100927E8)</f>
        <v>151100927</v>
      </c>
      <c r="H577" s="148">
        <f>IFERROR(__xludf.DUMMYFUNCTION("""COMPUTED_VALUE"""),1.5112563E7)</f>
        <v>15112563</v>
      </c>
      <c r="I577" s="148" t="str">
        <f>IFERROR(__xludf.DUMMYFUNCTION("""COMPUTED_VALUE"""),"{""typ"":""lc"",""txt"":""LC_ITEM_time_day_upper_show"",""args"":[{""typ"":""int"",""val"":2}]}")</f>
        <v>{"typ":"lc","txt":"LC_ITEM_time_day_upper_show","args":[{"typ":"int","val":2}]}</v>
      </c>
      <c r="J577" s="148" t="str">
        <f>IFERROR(__xludf.DUMMYFUNCTION("""COMPUTED_VALUE"""),"{""typ"":""lc"",""txt"":""LC_ITEM_2024christmas_lowcity_skin_title_2day""}")</f>
        <v>{"typ":"lc","txt":"LC_ITEM_2024christmas_lowcity_skin_title_2day"}</v>
      </c>
      <c r="K577" s="148" t="str">
        <f>IFERROR(__xludf.DUMMYFUNCTION("""COMPUTED_VALUE"""),"{""typ"":""lc"",""txt"":""LC_ITEM_2024christmas_lowcity_skin_desc_2day""}")</f>
        <v>{"typ":"lc","txt":"LC_ITEM_2024christmas_lowcity_skin_desc_2day"}</v>
      </c>
      <c r="L577" s="148" t="str">
        <f>IFERROR(__xludf.DUMMYFUNCTION("""COMPUTED_VALUE"""),"{""typ"":""lc"",""txt"":""LC_ITEM_city_skin_rocket_use_tips""}")</f>
        <v>{"typ":"lc","txt":"LC_ITEM_city_skin_rocket_use_tips"}</v>
      </c>
      <c r="M577" s="148">
        <f>IFERROR(__xludf.DUMMYFUNCTION("""COMPUTED_VALUE"""),500.0)</f>
        <v>500</v>
      </c>
      <c r="N577" s="148">
        <f>IFERROR(__xludf.DUMMYFUNCTION("""COMPUTED_VALUE"""),999.0)</f>
        <v>999</v>
      </c>
      <c r="O577" s="148">
        <f>IFERROR(__xludf.DUMMYFUNCTION("""COMPUTED_VALUE"""),1.0)</f>
        <v>1</v>
      </c>
      <c r="P577" s="148">
        <f>IFERROR(__xludf.DUMMYFUNCTION("""COMPUTED_VALUE"""),1.0)</f>
        <v>1</v>
      </c>
      <c r="Q577" s="148" t="str">
        <f>IFERROR(__xludf.DUMMYFUNCTION("""COMPUTED_VALUE"""),"[""bag_other""]")</f>
        <v>["bag_other"]</v>
      </c>
      <c r="R577" s="148" t="str">
        <f>IFERROR(__xludf.DUMMYFUNCTION("""COMPUTED_VALUE"""),"[""bag"",""13121052""]")</f>
        <v>["bag","13121052"]</v>
      </c>
      <c r="S577" s="148" t="str">
        <f>IFERROR(__xludf.DUMMYFUNCTION("""COMPUTED_VALUE"""),"{""effect"":[{""typ"":""city_skin"",""id"":13121052,""val"":172800000},{""typ"":""item"",""id"":11111021,""val"":1}]}")</f>
        <v>{"effect":[{"typ":"city_skin","id":13121052,"val":172800000},{"typ":"item","id":11111021,"val":1}]}</v>
      </c>
      <c r="T577" s="148">
        <f>IFERROR(__xludf.DUMMYFUNCTION("""COMPUTED_VALUE"""),-1.0)</f>
        <v>-1</v>
      </c>
      <c r="U577" s="148">
        <f>IFERROR(__xludf.DUMMYFUNCTION("""COMPUTED_VALUE"""),0.0)</f>
        <v>0</v>
      </c>
      <c r="V577" s="148" t="str">
        <f>IFERROR(__xludf.DUMMYFUNCTION("""COMPUTED_VALUE"""),"[]")</f>
        <v>[]</v>
      </c>
      <c r="W577" s="148">
        <f>IFERROR(__xludf.DUMMYFUNCTION("""COMPUTED_VALUE"""),1.174E7)</f>
        <v>11740000</v>
      </c>
      <c r="X577" s="148">
        <f>IFERROR(__xludf.DUMMYFUNCTION("""COMPUTED_VALUE"""),0.0)</f>
        <v>0</v>
      </c>
      <c r="Y577" s="148">
        <f>IFERROR(__xludf.DUMMYFUNCTION("""COMPUTED_VALUE"""),0.0)</f>
        <v>0</v>
      </c>
      <c r="Z577" s="148"/>
    </row>
    <row r="578">
      <c r="A578" s="148">
        <f>IFERROR(__xludf.DUMMYFUNCTION("""COMPUTED_VALUE"""),1.1112371E7)</f>
        <v>11112371</v>
      </c>
      <c r="B578" s="148" t="str">
        <f>IFERROR(__xludf.DUMMYFUNCTION("""COMPUTED_VALUE"""),"主城皮肤-圣诞节2024-7天")</f>
        <v>主城皮肤-圣诞节2024-7天</v>
      </c>
      <c r="C578" s="148"/>
      <c r="D578" s="148" t="str">
        <f>IFERROR(__xludf.DUMMYFUNCTION("""COMPUTED_VALUE"""),"city_skin")</f>
        <v>city_skin</v>
      </c>
      <c r="E578" s="148">
        <f>IFERROR(__xludf.DUMMYFUNCTION("""COMPUTED_VALUE"""),21.0)</f>
        <v>21</v>
      </c>
      <c r="F578" s="148">
        <f>IFERROR(__xludf.DUMMYFUNCTION("""COMPUTED_VALUE"""),404201.0)</f>
        <v>404201</v>
      </c>
      <c r="G578" s="148">
        <f>IFERROR(__xludf.DUMMYFUNCTION("""COMPUTED_VALUE"""),1.51100927E8)</f>
        <v>151100927</v>
      </c>
      <c r="H578" s="148">
        <f>IFERROR(__xludf.DUMMYFUNCTION("""COMPUTED_VALUE"""),1.5112564E7)</f>
        <v>15112564</v>
      </c>
      <c r="I578" s="148" t="str">
        <f>IFERROR(__xludf.DUMMYFUNCTION("""COMPUTED_VALUE"""),"{""typ"":""lc"",""txt"":""LC_ITEM_time_day_upper_show"",""args"":[{""typ"":""int"",""val"":7}]}")</f>
        <v>{"typ":"lc","txt":"LC_ITEM_time_day_upper_show","args":[{"typ":"int","val":7}]}</v>
      </c>
      <c r="J578" s="148" t="str">
        <f>IFERROR(__xludf.DUMMYFUNCTION("""COMPUTED_VALUE"""),"{""typ"":""lc"",""txt"":""LC_ITEM_2024christmas_lowcity_skin_title_7day""}")</f>
        <v>{"typ":"lc","txt":"LC_ITEM_2024christmas_lowcity_skin_title_7day"}</v>
      </c>
      <c r="K578" s="148" t="str">
        <f>IFERROR(__xludf.DUMMYFUNCTION("""COMPUTED_VALUE"""),"{""typ"":""lc"",""txt"":""LC_ITEM_2024christmas_lowcity_skin_desc_7day""}")</f>
        <v>{"typ":"lc","txt":"LC_ITEM_2024christmas_lowcity_skin_desc_7day"}</v>
      </c>
      <c r="L578" s="148" t="str">
        <f>IFERROR(__xludf.DUMMYFUNCTION("""COMPUTED_VALUE"""),"{""typ"":""lc"",""txt"":""LC_ITEM_city_skin_rocket_use_tips""}")</f>
        <v>{"typ":"lc","txt":"LC_ITEM_city_skin_rocket_use_tips"}</v>
      </c>
      <c r="M578" s="148">
        <f>IFERROR(__xludf.DUMMYFUNCTION("""COMPUTED_VALUE"""),10000.0)</f>
        <v>10000</v>
      </c>
      <c r="N578" s="148">
        <f>IFERROR(__xludf.DUMMYFUNCTION("""COMPUTED_VALUE"""),999.0)</f>
        <v>999</v>
      </c>
      <c r="O578" s="148">
        <f>IFERROR(__xludf.DUMMYFUNCTION("""COMPUTED_VALUE"""),1.0)</f>
        <v>1</v>
      </c>
      <c r="P578" s="148">
        <f>IFERROR(__xludf.DUMMYFUNCTION("""COMPUTED_VALUE"""),1.0)</f>
        <v>1</v>
      </c>
      <c r="Q578" s="148" t="str">
        <f>IFERROR(__xludf.DUMMYFUNCTION("""COMPUTED_VALUE"""),"[""bag_other""]")</f>
        <v>["bag_other"]</v>
      </c>
      <c r="R578" s="148" t="str">
        <f>IFERROR(__xludf.DUMMYFUNCTION("""COMPUTED_VALUE"""),"[""bag"",""13121052""]")</f>
        <v>["bag","13121052"]</v>
      </c>
      <c r="S578" s="148" t="str">
        <f>IFERROR(__xludf.DUMMYFUNCTION("""COMPUTED_VALUE"""),"{""effect"":[{""typ"":""city_skin"",""id"":13121052,""val"":604800000},{""typ"":""item"",""id"":11111021,""val"":3}]}")</f>
        <v>{"effect":[{"typ":"city_skin","id":13121052,"val":604800000},{"typ":"item","id":11111021,"val":3}]}</v>
      </c>
      <c r="T578" s="148">
        <f>IFERROR(__xludf.DUMMYFUNCTION("""COMPUTED_VALUE"""),-1.0)</f>
        <v>-1</v>
      </c>
      <c r="U578" s="148">
        <f>IFERROR(__xludf.DUMMYFUNCTION("""COMPUTED_VALUE"""),0.0)</f>
        <v>0</v>
      </c>
      <c r="V578" s="148" t="str">
        <f>IFERROR(__xludf.DUMMYFUNCTION("""COMPUTED_VALUE"""),"[]")</f>
        <v>[]</v>
      </c>
      <c r="W578" s="148">
        <f>IFERROR(__xludf.DUMMYFUNCTION("""COMPUTED_VALUE"""),1.174E7)</f>
        <v>11740000</v>
      </c>
      <c r="X578" s="148">
        <f>IFERROR(__xludf.DUMMYFUNCTION("""COMPUTED_VALUE"""),0.0)</f>
        <v>0</v>
      </c>
      <c r="Y578" s="148">
        <f>IFERROR(__xludf.DUMMYFUNCTION("""COMPUTED_VALUE"""),0.0)</f>
        <v>0</v>
      </c>
      <c r="Z578" s="148"/>
    </row>
    <row r="579">
      <c r="A579" s="148">
        <f>IFERROR(__xludf.DUMMYFUNCTION("""COMPUTED_VALUE"""),1.1112372E7)</f>
        <v>11112372</v>
      </c>
      <c r="B579" s="148" t="str">
        <f>IFERROR(__xludf.DUMMYFUNCTION("""COMPUTED_VALUE"""),"主城皮肤-圣诞节2024-14天")</f>
        <v>主城皮肤-圣诞节2024-14天</v>
      </c>
      <c r="C579" s="148"/>
      <c r="D579" s="148" t="str">
        <f>IFERROR(__xludf.DUMMYFUNCTION("""COMPUTED_VALUE"""),"city_skin")</f>
        <v>city_skin</v>
      </c>
      <c r="E579" s="148">
        <f>IFERROR(__xludf.DUMMYFUNCTION("""COMPUTED_VALUE"""),21.0)</f>
        <v>21</v>
      </c>
      <c r="F579" s="148">
        <f>IFERROR(__xludf.DUMMYFUNCTION("""COMPUTED_VALUE"""),404201.0)</f>
        <v>404201</v>
      </c>
      <c r="G579" s="148">
        <f>IFERROR(__xludf.DUMMYFUNCTION("""COMPUTED_VALUE"""),1.51100927E8)</f>
        <v>151100927</v>
      </c>
      <c r="H579" s="148">
        <f>IFERROR(__xludf.DUMMYFUNCTION("""COMPUTED_VALUE"""),1.5112564E7)</f>
        <v>15112564</v>
      </c>
      <c r="I579" s="148" t="str">
        <f>IFERROR(__xludf.DUMMYFUNCTION("""COMPUTED_VALUE"""),"{""typ"":""lc"",""txt"":""LC_ITEM_time_day_upper_show"",""args"":[{""typ"":""int"",""val"":14}]}")</f>
        <v>{"typ":"lc","txt":"LC_ITEM_time_day_upper_show","args":[{"typ":"int","val":14}]}</v>
      </c>
      <c r="J579" s="148" t="str">
        <f>IFERROR(__xludf.DUMMYFUNCTION("""COMPUTED_VALUE"""),"{""typ"":""lc"",""txt"":""LC_ITEM_2024christmas_lowcity_skin_title_14day""}")</f>
        <v>{"typ":"lc","txt":"LC_ITEM_2024christmas_lowcity_skin_title_14day"}</v>
      </c>
      <c r="K579" s="148" t="str">
        <f>IFERROR(__xludf.DUMMYFUNCTION("""COMPUTED_VALUE"""),"{""typ"":""lc"",""txt"":""LC_ITEM_2024christmas_lowcity_skin_desc_14day""}")</f>
        <v>{"typ":"lc","txt":"LC_ITEM_2024christmas_lowcity_skin_desc_14day"}</v>
      </c>
      <c r="L579" s="148" t="str">
        <f>IFERROR(__xludf.DUMMYFUNCTION("""COMPUTED_VALUE"""),"{""typ"":""lc"",""txt"":""LC_ITEM_city_skin_rocket_use_tips""}")</f>
        <v>{"typ":"lc","txt":"LC_ITEM_city_skin_rocket_use_tips"}</v>
      </c>
      <c r="M579" s="148">
        <f>IFERROR(__xludf.DUMMYFUNCTION("""COMPUTED_VALUE"""),10000.0)</f>
        <v>10000</v>
      </c>
      <c r="N579" s="148">
        <f>IFERROR(__xludf.DUMMYFUNCTION("""COMPUTED_VALUE"""),999.0)</f>
        <v>999</v>
      </c>
      <c r="O579" s="148">
        <f>IFERROR(__xludf.DUMMYFUNCTION("""COMPUTED_VALUE"""),1.0)</f>
        <v>1</v>
      </c>
      <c r="P579" s="148">
        <f>IFERROR(__xludf.DUMMYFUNCTION("""COMPUTED_VALUE"""),1.0)</f>
        <v>1</v>
      </c>
      <c r="Q579" s="148" t="str">
        <f>IFERROR(__xludf.DUMMYFUNCTION("""COMPUTED_VALUE"""),"[""bag_other""]")</f>
        <v>["bag_other"]</v>
      </c>
      <c r="R579" s="148" t="str">
        <f>IFERROR(__xludf.DUMMYFUNCTION("""COMPUTED_VALUE"""),"[""bag"",""13121052""]")</f>
        <v>["bag","13121052"]</v>
      </c>
      <c r="S579" s="148" t="str">
        <f>IFERROR(__xludf.DUMMYFUNCTION("""COMPUTED_VALUE"""),"{""effect"":[{""typ"":""city_skin"",""id"":13121052,""val"":1209600000},{""typ"":""item"",""id"":11111021,""val"":7}]}")</f>
        <v>{"effect":[{"typ":"city_skin","id":13121052,"val":1209600000},{"typ":"item","id":11111021,"val":7}]}</v>
      </c>
      <c r="T579" s="148">
        <f>IFERROR(__xludf.DUMMYFUNCTION("""COMPUTED_VALUE"""),-1.0)</f>
        <v>-1</v>
      </c>
      <c r="U579" s="148">
        <f>IFERROR(__xludf.DUMMYFUNCTION("""COMPUTED_VALUE"""),0.0)</f>
        <v>0</v>
      </c>
      <c r="V579" s="148" t="str">
        <f>IFERROR(__xludf.DUMMYFUNCTION("""COMPUTED_VALUE"""),"[]")</f>
        <v>[]</v>
      </c>
      <c r="W579" s="148">
        <f>IFERROR(__xludf.DUMMYFUNCTION("""COMPUTED_VALUE"""),1.174E7)</f>
        <v>11740000</v>
      </c>
      <c r="X579" s="148">
        <f>IFERROR(__xludf.DUMMYFUNCTION("""COMPUTED_VALUE"""),0.0)</f>
        <v>0</v>
      </c>
      <c r="Y579" s="148">
        <f>IFERROR(__xludf.DUMMYFUNCTION("""COMPUTED_VALUE"""),0.0)</f>
        <v>0</v>
      </c>
      <c r="Z579" s="148"/>
    </row>
    <row r="580">
      <c r="A580" s="148">
        <f>IFERROR(__xludf.DUMMYFUNCTION("""COMPUTED_VALUE"""),1.1112373E7)</f>
        <v>11112373</v>
      </c>
      <c r="B580" s="148" t="str">
        <f>IFERROR(__xludf.DUMMYFUNCTION("""COMPUTED_VALUE"""),"圣诞节2024-装饰升级版本（投放用）")</f>
        <v>圣诞节2024-装饰升级版本（投放用）</v>
      </c>
      <c r="C580" s="148"/>
      <c r="D580" s="148" t="str">
        <f>IFERROR(__xludf.DUMMYFUNCTION("""COMPUTED_VALUE"""),"statue_decorate")</f>
        <v>statue_decorate</v>
      </c>
      <c r="E580" s="148">
        <f>IFERROR(__xludf.DUMMYFUNCTION("""COMPUTED_VALUE"""),23.0)</f>
        <v>23</v>
      </c>
      <c r="F580" s="148">
        <f>IFERROR(__xludf.DUMMYFUNCTION("""COMPUTED_VALUE"""),0.0)</f>
        <v>0</v>
      </c>
      <c r="G580" s="148">
        <f>IFERROR(__xludf.DUMMYFUNCTION("""COMPUTED_VALUE"""),1.5110094E8)</f>
        <v>151100940</v>
      </c>
      <c r="H580" s="148">
        <f>IFERROR(__xludf.DUMMYFUNCTION("""COMPUTED_VALUE"""),1.5112564E7)</f>
        <v>15112564</v>
      </c>
      <c r="I580" s="148" t="str">
        <f>IFERROR(__xludf.DUMMYFUNCTION("""COMPUTED_VALUE"""),"{}")</f>
        <v>{}</v>
      </c>
      <c r="J580" s="148" t="str">
        <f>IFERROR(__xludf.DUMMYFUNCTION("""COMPUTED_VALUE"""),"{""typ"":""lc"",""txt"":""LC_ITEM_2024christmas_dec_item_2""}")</f>
        <v>{"typ":"lc","txt":"LC_ITEM_2024christmas_dec_item_2"}</v>
      </c>
      <c r="K580" s="148" t="str">
        <f>IFERROR(__xludf.DUMMYFUNCTION("""COMPUTED_VALUE"""),"{""typ"":""lc"",""txt"":""LC_ITEM_2024christmas_dec_item_3_desc""}")</f>
        <v>{"typ":"lc","txt":"LC_ITEM_2024christmas_dec_item_3_desc"}</v>
      </c>
      <c r="L580" s="148" t="str">
        <f>IFERROR(__xludf.DUMMYFUNCTION("""COMPUTED_VALUE"""),"{}")</f>
        <v>{}</v>
      </c>
      <c r="M580" s="148">
        <f>IFERROR(__xludf.DUMMYFUNCTION("""COMPUTED_VALUE"""),5000.0)</f>
        <v>5000</v>
      </c>
      <c r="N580" s="148">
        <f>IFERROR(__xludf.DUMMYFUNCTION("""COMPUTED_VALUE"""),999.0)</f>
        <v>999</v>
      </c>
      <c r="O580" s="148">
        <f>IFERROR(__xludf.DUMMYFUNCTION("""COMPUTED_VALUE"""),99999.0)</f>
        <v>99999</v>
      </c>
      <c r="P580" s="148">
        <f>IFERROR(__xludf.DUMMYFUNCTION("""COMPUTED_VALUE"""),99999.0)</f>
        <v>99999</v>
      </c>
      <c r="Q580" s="148" t="str">
        <f>IFERROR(__xludf.DUMMYFUNCTION("""COMPUTED_VALUE"""),"[]")</f>
        <v>[]</v>
      </c>
      <c r="R580" s="148" t="str">
        <f>IFERROR(__xludf.DUMMYFUNCTION("""COMPUTED_VALUE"""),"[""bag""]")</f>
        <v>["bag"]</v>
      </c>
      <c r="S580" s="148" t="str">
        <f>IFERROR(__xludf.DUMMYFUNCTION("""COMPUTED_VALUE"""),"{""effect"":[{""typ"":""holiday_statue"",""id"":21482201},{""typ"":""miss_lost_reward""}]}")</f>
        <v>{"effect":[{"typ":"holiday_statue","id":21482201},{"typ":"miss_lost_reward"}]}</v>
      </c>
      <c r="T580" s="148">
        <f>IFERROR(__xludf.DUMMYFUNCTION("""COMPUTED_VALUE"""),-1.0)</f>
        <v>-1</v>
      </c>
      <c r="U580" s="148">
        <f>IFERROR(__xludf.DUMMYFUNCTION("""COMPUTED_VALUE"""),1.0)</f>
        <v>1</v>
      </c>
      <c r="V580" s="148" t="str">
        <f>IFERROR(__xludf.DUMMYFUNCTION("""COMPUTED_VALUE"""),"[]")</f>
        <v>[]</v>
      </c>
      <c r="W580" s="148">
        <f>IFERROR(__xludf.DUMMYFUNCTION("""COMPUTED_VALUE"""),1.174E7)</f>
        <v>11740000</v>
      </c>
      <c r="X580" s="148">
        <f>IFERROR(__xludf.DUMMYFUNCTION("""COMPUTED_VALUE"""),0.0)</f>
        <v>0</v>
      </c>
      <c r="Y580" s="148">
        <f>IFERROR(__xludf.DUMMYFUNCTION("""COMPUTED_VALUE"""),0.0)</f>
        <v>0</v>
      </c>
      <c r="Z580" s="148"/>
    </row>
    <row r="581">
      <c r="A581" s="148">
        <f>IFERROR(__xludf.DUMMYFUNCTION("""COMPUTED_VALUE"""),1.1112374E7)</f>
        <v>11112374</v>
      </c>
      <c r="B581" s="148" t="str">
        <f>IFERROR(__xludf.DUMMYFUNCTION("""COMPUTED_VALUE"""),"圣诞节2024-装饰升级道具")</f>
        <v>圣诞节2024-装饰升级道具</v>
      </c>
      <c r="C581" s="148"/>
      <c r="D581" s="148" t="str">
        <f>IFERROR(__xludf.DUMMYFUNCTION("""COMPUTED_VALUE"""),"event")</f>
        <v>event</v>
      </c>
      <c r="E581" s="148">
        <f>IFERROR(__xludf.DUMMYFUNCTION("""COMPUTED_VALUE"""),0.0)</f>
        <v>0</v>
      </c>
      <c r="F581" s="148">
        <f>IFERROR(__xludf.DUMMYFUNCTION("""COMPUTED_VALUE"""),405243.0)</f>
        <v>405243</v>
      </c>
      <c r="G581" s="148">
        <f>IFERROR(__xludf.DUMMYFUNCTION("""COMPUTED_VALUE"""),1.5110094E8)</f>
        <v>151100940</v>
      </c>
      <c r="H581" s="148">
        <f>IFERROR(__xludf.DUMMYFUNCTION("""COMPUTED_VALUE"""),1.5112564E7)</f>
        <v>15112564</v>
      </c>
      <c r="I581" s="148" t="str">
        <f>IFERROR(__xludf.DUMMYFUNCTION("""COMPUTED_VALUE"""),"{}")</f>
        <v>{}</v>
      </c>
      <c r="J581" s="148" t="str">
        <f>IFERROR(__xludf.DUMMYFUNCTION("""COMPUTED_VALUE"""),"{""typ"":""lc"",""txt"":""LC_ITEM_2024christmas_dec_item_2""}")</f>
        <v>{"typ":"lc","txt":"LC_ITEM_2024christmas_dec_item_2"}</v>
      </c>
      <c r="K581" s="148" t="str">
        <f>IFERROR(__xludf.DUMMYFUNCTION("""COMPUTED_VALUE"""),"{""typ"":""lc"",""txt"":""LC_ITEM_2024christmas_dec_item_3_desc""}")</f>
        <v>{"typ":"lc","txt":"LC_ITEM_2024christmas_dec_item_3_desc"}</v>
      </c>
      <c r="L581" s="148" t="str">
        <f>IFERROR(__xludf.DUMMYFUNCTION("""COMPUTED_VALUE"""),"{}")</f>
        <v>{}</v>
      </c>
      <c r="M581" s="148">
        <f>IFERROR(__xludf.DUMMYFUNCTION("""COMPUTED_VALUE"""),1000.0)</f>
        <v>1000</v>
      </c>
      <c r="N581" s="148">
        <f>IFERROR(__xludf.DUMMYFUNCTION("""COMPUTED_VALUE"""),9.99999999E8)</f>
        <v>999999999</v>
      </c>
      <c r="O581" s="148">
        <f>IFERROR(__xludf.DUMMYFUNCTION("""COMPUTED_VALUE"""),9.99999999E8)</f>
        <v>999999999</v>
      </c>
      <c r="P581" s="148">
        <f>IFERROR(__xludf.DUMMYFUNCTION("""COMPUTED_VALUE"""),9.99999999E8)</f>
        <v>999999999</v>
      </c>
      <c r="Q581" s="148" t="str">
        <f>IFERROR(__xludf.DUMMYFUNCTION("""COMPUTED_VALUE"""),"[""bag_other""]")</f>
        <v>["bag_other"]</v>
      </c>
      <c r="R581" s="148" t="str">
        <f>IFERROR(__xludf.DUMMYFUNCTION("""COMPUTED_VALUE"""),"[]")</f>
        <v>[]</v>
      </c>
      <c r="S581" s="148" t="str">
        <f>IFERROR(__xludf.DUMMYFUNCTION("""COMPUTED_VALUE"""),"{}")</f>
        <v>{}</v>
      </c>
      <c r="T581" s="148">
        <f>IFERROR(__xludf.DUMMYFUNCTION("""COMPUTED_VALUE"""),-1.0)</f>
        <v>-1</v>
      </c>
      <c r="U581" s="148">
        <f>IFERROR(__xludf.DUMMYFUNCTION("""COMPUTED_VALUE"""),0.0)</f>
        <v>0</v>
      </c>
      <c r="V581" s="148" t="str">
        <f>IFERROR(__xludf.DUMMYFUNCTION("""COMPUTED_VALUE"""),"[]")</f>
        <v>[]</v>
      </c>
      <c r="W581" s="148">
        <f>IFERROR(__xludf.DUMMYFUNCTION("""COMPUTED_VALUE"""),1.174E7)</f>
        <v>11740000</v>
      </c>
      <c r="X581" s="148">
        <f>IFERROR(__xludf.DUMMYFUNCTION("""COMPUTED_VALUE"""),0.0)</f>
        <v>0</v>
      </c>
      <c r="Y581" s="148">
        <f>IFERROR(__xludf.DUMMYFUNCTION("""COMPUTED_VALUE"""),0.0)</f>
        <v>0</v>
      </c>
      <c r="Z581" s="148"/>
    </row>
    <row r="582">
      <c r="A582" s="148">
        <f>IFERROR(__xludf.DUMMYFUNCTION("""COMPUTED_VALUE"""),1.1112375E7)</f>
        <v>11112375</v>
      </c>
      <c r="B582" s="148" t="str">
        <f>IFERROR(__xludf.DUMMYFUNCTION("""COMPUTED_VALUE"""),"2024圣诞节-装饰券宝箱")</f>
        <v>2024圣诞节-装饰券宝箱</v>
      </c>
      <c r="C582" s="148"/>
      <c r="D582" s="148" t="str">
        <f>IFERROR(__xludf.DUMMYFUNCTION("""COMPUTED_VALUE"""),"valentine_reward_box")</f>
        <v>valentine_reward_box</v>
      </c>
      <c r="E582" s="148">
        <f>IFERROR(__xludf.DUMMYFUNCTION("""COMPUTED_VALUE"""),19.0)</f>
        <v>19</v>
      </c>
      <c r="F582" s="148">
        <f>IFERROR(__xludf.DUMMYFUNCTION("""COMPUTED_VALUE"""),201101.0)</f>
        <v>201101</v>
      </c>
      <c r="G582" s="148">
        <f>IFERROR(__xludf.DUMMYFUNCTION("""COMPUTED_VALUE"""),1.5118225E7)</f>
        <v>15118225</v>
      </c>
      <c r="H582" s="148">
        <f>IFERROR(__xludf.DUMMYFUNCTION("""COMPUTED_VALUE"""),1.5112564E7)</f>
        <v>15112564</v>
      </c>
      <c r="I582" s="148" t="str">
        <f>IFERROR(__xludf.DUMMYFUNCTION("""COMPUTED_VALUE"""),"{}")</f>
        <v>{}</v>
      </c>
      <c r="J582" s="148" t="str">
        <f>IFERROR(__xludf.DUMMYFUNCTION("""COMPUTED_VALUE"""),"{""typ"":""lc"",""txt"":""LC_ITEM_christmas2024_fes_box_name""}")</f>
        <v>{"typ":"lc","txt":"LC_ITEM_christmas2024_fes_box_name"}</v>
      </c>
      <c r="K582" s="148" t="str">
        <f>IFERROR(__xludf.DUMMYFUNCTION("""COMPUTED_VALUE"""),"{""typ"":""lc"",""txt"":""LC_ITEM_fes_box_desc""}")</f>
        <v>{"typ":"lc","txt":"LC_ITEM_fes_box_desc"}</v>
      </c>
      <c r="L582" s="148" t="str">
        <f>IFERROR(__xludf.DUMMYFUNCTION("""COMPUTED_VALUE"""),"{""typ"":""lc"",""txt"":""LC_ITEM_horde_elite_box_usedtip""}")</f>
        <v>{"typ":"lc","txt":"LC_ITEM_horde_elite_box_usedtip"}</v>
      </c>
      <c r="M582" s="148">
        <f>IFERROR(__xludf.DUMMYFUNCTION("""COMPUTED_VALUE"""),40.0)</f>
        <v>40</v>
      </c>
      <c r="N582" s="148">
        <f>IFERROR(__xludf.DUMMYFUNCTION("""COMPUTED_VALUE"""),999999.0)</f>
        <v>999999</v>
      </c>
      <c r="O582" s="148">
        <f>IFERROR(__xludf.DUMMYFUNCTION("""COMPUTED_VALUE"""),99999.0)</f>
        <v>99999</v>
      </c>
      <c r="P582" s="148">
        <f>IFERROR(__xludf.DUMMYFUNCTION("""COMPUTED_VALUE"""),99999.0)</f>
        <v>99999</v>
      </c>
      <c r="Q582" s="148" t="str">
        <f>IFERROR(__xludf.DUMMYFUNCTION("""COMPUTED_VALUE"""),"[""bag_other""]")</f>
        <v>["bag_other"]</v>
      </c>
      <c r="R582" s="148" t="str">
        <f>IFERROR(__xludf.DUMMYFUNCTION("""COMPUTED_VALUE"""),"[""bag""]")</f>
        <v>["bag"]</v>
      </c>
      <c r="S582" s="148" t="str">
        <f>IFERROR(__xludf.DUMMYFUNCTION("""COMPUTED_VALUE"""),"{""drop"":{""typ"":""single_random"",""num"":1,""args"":[{""typ"":""item"",""id"":11112030,""num"":1000,""wgt"":19980},{""typ"":""item"",""id"":11112030,""num"":200,""wgt"":120000},{""typ"":""item"",""id"":11112030,""num"":50,""wgt"":200000},{""typ"":""it"&amp;"em"",""id"":11112369,""num"":1,""wgt"":10},{""typ"":""item"",""id"":11112022,""num"":1,""wgt"":10},{""typ"":""item"",""id"":11112030,""num"":20,""wgt"":400000},{""typ"":""item"",""id"":11112030,""num"":100,""wgt"":200000},{""typ"":""item"",""id"":11112030"&amp;",""num"":400,""wgt"":60000}]}}")</f>
        <v>{"drop":{"typ":"single_random","num":1,"args":[{"typ":"item","id":11112030,"num":1000,"wgt":19980},{"typ":"item","id":11112030,"num":200,"wgt":120000},{"typ":"item","id":11112030,"num":50,"wgt":200000},{"typ":"item","id":11112369,"num":1,"wgt":10},{"typ":"item","id":11112022,"num":1,"wgt":10},{"typ":"item","id":11112030,"num":20,"wgt":400000},{"typ":"item","id":11112030,"num":100,"wgt":200000},{"typ":"item","id":11112030,"num":400,"wgt":60000}]}}</v>
      </c>
      <c r="T582" s="148">
        <f>IFERROR(__xludf.DUMMYFUNCTION("""COMPUTED_VALUE"""),-1.0)</f>
        <v>-1</v>
      </c>
      <c r="U582" s="148">
        <f>IFERROR(__xludf.DUMMYFUNCTION("""COMPUTED_VALUE"""),0.0)</f>
        <v>0</v>
      </c>
      <c r="V582" s="148" t="str">
        <f>IFERROR(__xludf.DUMMYFUNCTION("""COMPUTED_VALUE"""),"[]")</f>
        <v>[]</v>
      </c>
      <c r="W582" s="148">
        <f>IFERROR(__xludf.DUMMYFUNCTION("""COMPUTED_VALUE"""),1.174E7)</f>
        <v>11740000</v>
      </c>
      <c r="X582" s="148">
        <f>IFERROR(__xludf.DUMMYFUNCTION("""COMPUTED_VALUE"""),0.0)</f>
        <v>0</v>
      </c>
      <c r="Y582" s="148">
        <f>IFERROR(__xludf.DUMMYFUNCTION("""COMPUTED_VALUE"""),0.0)</f>
        <v>0</v>
      </c>
      <c r="Z582" s="148"/>
    </row>
    <row r="583">
      <c r="A583" s="148">
        <f>IFERROR(__xludf.DUMMYFUNCTION("""COMPUTED_VALUE"""),1.1112376E7)</f>
        <v>11112376</v>
      </c>
      <c r="B583" s="148" t="str">
        <f>IFERROR(__xludf.DUMMYFUNCTION("""COMPUTED_VALUE"""),"对对碰奖券_2024")</f>
        <v>对对碰奖券_2024</v>
      </c>
      <c r="C583" s="148"/>
      <c r="D583" s="148" t="str">
        <f>IFERROR(__xludf.DUMMYFUNCTION("""COMPUTED_VALUE"""),"event")</f>
        <v>event</v>
      </c>
      <c r="E583" s="148">
        <f>IFERROR(__xludf.DUMMYFUNCTION("""COMPUTED_VALUE"""),0.0)</f>
        <v>0</v>
      </c>
      <c r="F583" s="148">
        <f>IFERROR(__xludf.DUMMYFUNCTION("""COMPUTED_VALUE"""),405242.0)</f>
        <v>405242</v>
      </c>
      <c r="G583" s="148">
        <f>IFERROR(__xludf.DUMMYFUNCTION("""COMPUTED_VALUE"""),1.5110108E8)</f>
        <v>151101080</v>
      </c>
      <c r="H583" s="148">
        <f>IFERROR(__xludf.DUMMYFUNCTION("""COMPUTED_VALUE"""),1.5112564E7)</f>
        <v>15112564</v>
      </c>
      <c r="I583" s="148" t="str">
        <f>IFERROR(__xludf.DUMMYFUNCTION("""COMPUTED_VALUE"""),"{}")</f>
        <v>{}</v>
      </c>
      <c r="J583" s="148" t="str">
        <f>IFERROR(__xludf.DUMMYFUNCTION("""COMPUTED_VALUE"""),"{""typ"":""lc"",""txt"":""LC_ITEM_christmas2024_gift_ticket_name""}")</f>
        <v>{"typ":"lc","txt":"LC_ITEM_christmas2024_gift_ticket_name"}</v>
      </c>
      <c r="K583" s="148" t="str">
        <f>IFERROR(__xludf.DUMMYFUNCTION("""COMPUTED_VALUE"""),"{""typ"":""lc"",""txt"":""LC_ITEM_christmas2024_gift_ticket_desc""}")</f>
        <v>{"typ":"lc","txt":"LC_ITEM_christmas2024_gift_ticket_desc"}</v>
      </c>
      <c r="L583" s="148" t="str">
        <f>IFERROR(__xludf.DUMMYFUNCTION("""COMPUTED_VALUE"""),"{}")</f>
        <v>{}</v>
      </c>
      <c r="M583" s="148">
        <f>IFERROR(__xludf.DUMMYFUNCTION("""COMPUTED_VALUE"""),200.0)</f>
        <v>200</v>
      </c>
      <c r="N583" s="148">
        <f>IFERROR(__xludf.DUMMYFUNCTION("""COMPUTED_VALUE"""),9.99999999E8)</f>
        <v>999999999</v>
      </c>
      <c r="O583" s="148">
        <f>IFERROR(__xludf.DUMMYFUNCTION("""COMPUTED_VALUE"""),9.99999999E8)</f>
        <v>999999999</v>
      </c>
      <c r="P583" s="148">
        <f>IFERROR(__xludf.DUMMYFUNCTION("""COMPUTED_VALUE"""),9.99999999E8)</f>
        <v>999999999</v>
      </c>
      <c r="Q583" s="148" t="str">
        <f>IFERROR(__xludf.DUMMYFUNCTION("""COMPUTED_VALUE"""),"[""bag_other""]")</f>
        <v>["bag_other"]</v>
      </c>
      <c r="R583" s="148" t="str">
        <f>IFERROR(__xludf.DUMMYFUNCTION("""COMPUTED_VALUE"""),"[]")</f>
        <v>[]</v>
      </c>
      <c r="S583" s="148" t="str">
        <f>IFERROR(__xludf.DUMMYFUNCTION("""COMPUTED_VALUE"""),"{}")</f>
        <v>{}</v>
      </c>
      <c r="T583" s="148">
        <f>IFERROR(__xludf.DUMMYFUNCTION("""COMPUTED_VALUE"""),1.0)</f>
        <v>1</v>
      </c>
      <c r="U583" s="148">
        <f>IFERROR(__xludf.DUMMYFUNCTION("""COMPUTED_VALUE"""),0.0)</f>
        <v>0</v>
      </c>
      <c r="V583" s="148" t="str">
        <f>IFERROR(__xludf.DUMMYFUNCTION("""COMPUTED_VALUE"""),"[]")</f>
        <v>[]</v>
      </c>
      <c r="W583" s="148">
        <f>IFERROR(__xludf.DUMMYFUNCTION("""COMPUTED_VALUE"""),1.174E7)</f>
        <v>11740000</v>
      </c>
      <c r="X583" s="148">
        <f>IFERROR(__xludf.DUMMYFUNCTION("""COMPUTED_VALUE"""),0.0)</f>
        <v>0</v>
      </c>
      <c r="Y583" s="148">
        <f>IFERROR(__xludf.DUMMYFUNCTION("""COMPUTED_VALUE"""),0.0)</f>
        <v>0</v>
      </c>
      <c r="Z583" s="148"/>
    </row>
    <row r="584">
      <c r="A584" s="148">
        <f>IFERROR(__xludf.DUMMYFUNCTION("""COMPUTED_VALUE"""),1.1112377E7)</f>
        <v>11112377</v>
      </c>
      <c r="B584" s="148" t="str">
        <f>IFERROR(__xludf.DUMMYFUNCTION("""COMPUTED_VALUE"""),"对对碰高级奖券_2024")</f>
        <v>对对碰高级奖券_2024</v>
      </c>
      <c r="C584" s="148"/>
      <c r="D584" s="148" t="str">
        <f>IFERROR(__xludf.DUMMYFUNCTION("""COMPUTED_VALUE"""),"event")</f>
        <v>event</v>
      </c>
      <c r="E584" s="148">
        <f>IFERROR(__xludf.DUMMYFUNCTION("""COMPUTED_VALUE"""),0.0)</f>
        <v>0</v>
      </c>
      <c r="F584" s="148">
        <f>IFERROR(__xludf.DUMMYFUNCTION("""COMPUTED_VALUE"""),405242.0)</f>
        <v>405242</v>
      </c>
      <c r="G584" s="148">
        <f>IFERROR(__xludf.DUMMYFUNCTION("""COMPUTED_VALUE"""),1.51101081E8)</f>
        <v>151101081</v>
      </c>
      <c r="H584" s="148">
        <f>IFERROR(__xludf.DUMMYFUNCTION("""COMPUTED_VALUE"""),1.5112564E7)</f>
        <v>15112564</v>
      </c>
      <c r="I584" s="148" t="str">
        <f>IFERROR(__xludf.DUMMYFUNCTION("""COMPUTED_VALUE"""),"{}")</f>
        <v>{}</v>
      </c>
      <c r="J584" s="148" t="str">
        <f>IFERROR(__xludf.DUMMYFUNCTION("""COMPUTED_VALUE"""),"{""typ"":""lc"",""txt"":""LC_ITEM_christmas2024_gift_highticket_name""}")</f>
        <v>{"typ":"lc","txt":"LC_ITEM_christmas2024_gift_highticket_name"}</v>
      </c>
      <c r="K584" s="148" t="str">
        <f>IFERROR(__xludf.DUMMYFUNCTION("""COMPUTED_VALUE"""),"{""typ"":""lc"",""txt"":""LC_ITEM_christmas2024_gift_highticket_desc""}")</f>
        <v>{"typ":"lc","txt":"LC_ITEM_christmas2024_gift_highticket_desc"}</v>
      </c>
      <c r="L584" s="148" t="str">
        <f>IFERROR(__xludf.DUMMYFUNCTION("""COMPUTED_VALUE"""),"{}")</f>
        <v>{}</v>
      </c>
      <c r="M584" s="148">
        <f>IFERROR(__xludf.DUMMYFUNCTION("""COMPUTED_VALUE"""),200.0)</f>
        <v>200</v>
      </c>
      <c r="N584" s="148">
        <f>IFERROR(__xludf.DUMMYFUNCTION("""COMPUTED_VALUE"""),9.99999999E8)</f>
        <v>999999999</v>
      </c>
      <c r="O584" s="148">
        <f>IFERROR(__xludf.DUMMYFUNCTION("""COMPUTED_VALUE"""),9.99999999E8)</f>
        <v>999999999</v>
      </c>
      <c r="P584" s="148">
        <f>IFERROR(__xludf.DUMMYFUNCTION("""COMPUTED_VALUE"""),9.99999999E8)</f>
        <v>999999999</v>
      </c>
      <c r="Q584" s="148" t="str">
        <f>IFERROR(__xludf.DUMMYFUNCTION("""COMPUTED_VALUE"""),"[""bag_other""]")</f>
        <v>["bag_other"]</v>
      </c>
      <c r="R584" s="148" t="str">
        <f>IFERROR(__xludf.DUMMYFUNCTION("""COMPUTED_VALUE"""),"[]")</f>
        <v>[]</v>
      </c>
      <c r="S584" s="148" t="str">
        <f>IFERROR(__xludf.DUMMYFUNCTION("""COMPUTED_VALUE"""),"{}")</f>
        <v>{}</v>
      </c>
      <c r="T584" s="148">
        <f>IFERROR(__xludf.DUMMYFUNCTION("""COMPUTED_VALUE"""),1.0)</f>
        <v>1</v>
      </c>
      <c r="U584" s="148">
        <f>IFERROR(__xludf.DUMMYFUNCTION("""COMPUTED_VALUE"""),0.0)</f>
        <v>0</v>
      </c>
      <c r="V584" s="148" t="str">
        <f>IFERROR(__xludf.DUMMYFUNCTION("""COMPUTED_VALUE"""),"[]")</f>
        <v>[]</v>
      </c>
      <c r="W584" s="148">
        <f>IFERROR(__xludf.DUMMYFUNCTION("""COMPUTED_VALUE"""),1.174E7)</f>
        <v>11740000</v>
      </c>
      <c r="X584" s="148">
        <f>IFERROR(__xludf.DUMMYFUNCTION("""COMPUTED_VALUE"""),0.0)</f>
        <v>0</v>
      </c>
      <c r="Y584" s="148">
        <f>IFERROR(__xludf.DUMMYFUNCTION("""COMPUTED_VALUE"""),0.0)</f>
        <v>0</v>
      </c>
      <c r="Z584" s="148"/>
    </row>
    <row r="585">
      <c r="A585" s="148">
        <f>IFERROR(__xludf.DUMMYFUNCTION("""COMPUTED_VALUE"""),1.1112378E7)</f>
        <v>11112378</v>
      </c>
      <c r="B585" s="148" t="str">
        <f>IFERROR(__xludf.DUMMYFUNCTION("""COMPUTED_VALUE"""),"圣诞对对碰进度道具_2024")</f>
        <v>圣诞对对碰进度道具_2024</v>
      </c>
      <c r="C585" s="148"/>
      <c r="D585" s="148" t="str">
        <f>IFERROR(__xludf.DUMMYFUNCTION("""COMPUTED_VALUE"""),"event")</f>
        <v>event</v>
      </c>
      <c r="E585" s="148">
        <f>IFERROR(__xludf.DUMMYFUNCTION("""COMPUTED_VALUE"""),0.0)</f>
        <v>0</v>
      </c>
      <c r="F585" s="148">
        <f>IFERROR(__xludf.DUMMYFUNCTION("""COMPUTED_VALUE"""),405242.0)</f>
        <v>405242</v>
      </c>
      <c r="G585" s="148">
        <f>IFERROR(__xludf.DUMMYFUNCTION("""COMPUTED_VALUE"""),1.511355E7)</f>
        <v>15113550</v>
      </c>
      <c r="H585" s="148">
        <f>IFERROR(__xludf.DUMMYFUNCTION("""COMPUTED_VALUE"""),1.5112564E7)</f>
        <v>15112564</v>
      </c>
      <c r="I585" s="148" t="str">
        <f>IFERROR(__xludf.DUMMYFUNCTION("""COMPUTED_VALUE"""),"{}")</f>
        <v>{}</v>
      </c>
      <c r="J585" s="148" t="str">
        <f>IFERROR(__xludf.DUMMYFUNCTION("""COMPUTED_VALUE"""),"{""typ"":""lc"",""txt"":""LC_ITEM_christmas_gift_name""}")</f>
        <v>{"typ":"lc","txt":"LC_ITEM_christmas_gift_name"}</v>
      </c>
      <c r="K585" s="148" t="str">
        <f>IFERROR(__xludf.DUMMYFUNCTION("""COMPUTED_VALUE"""),"{""typ"":""lc"",""txt"":""LC_ITEM_christmas_gift_desc""}")</f>
        <v>{"typ":"lc","txt":"LC_ITEM_christmas_gift_desc"}</v>
      </c>
      <c r="L585" s="148" t="str">
        <f>IFERROR(__xludf.DUMMYFUNCTION("""COMPUTED_VALUE"""),"{}")</f>
        <v>{}</v>
      </c>
      <c r="M585" s="148">
        <f>IFERROR(__xludf.DUMMYFUNCTION("""COMPUTED_VALUE"""),1.0)</f>
        <v>1</v>
      </c>
      <c r="N585" s="148">
        <f>IFERROR(__xludf.DUMMYFUNCTION("""COMPUTED_VALUE"""),9.99999999E8)</f>
        <v>999999999</v>
      </c>
      <c r="O585" s="148">
        <f>IFERROR(__xludf.DUMMYFUNCTION("""COMPUTED_VALUE"""),9.99999999E8)</f>
        <v>999999999</v>
      </c>
      <c r="P585" s="148">
        <f>IFERROR(__xludf.DUMMYFUNCTION("""COMPUTED_VALUE"""),9.99999999E8)</f>
        <v>999999999</v>
      </c>
      <c r="Q585" s="148" t="str">
        <f>IFERROR(__xludf.DUMMYFUNCTION("""COMPUTED_VALUE"""),"[]")</f>
        <v>[]</v>
      </c>
      <c r="R585" s="148" t="str">
        <f>IFERROR(__xludf.DUMMYFUNCTION("""COMPUTED_VALUE"""),"[]")</f>
        <v>[]</v>
      </c>
      <c r="S585" s="148" t="str">
        <f>IFERROR(__xludf.DUMMYFUNCTION("""COMPUTED_VALUE"""),"{}")</f>
        <v>{}</v>
      </c>
      <c r="T585" s="148">
        <f>IFERROR(__xludf.DUMMYFUNCTION("""COMPUTED_VALUE"""),-1.0)</f>
        <v>-1</v>
      </c>
      <c r="U585" s="148">
        <f>IFERROR(__xludf.DUMMYFUNCTION("""COMPUTED_VALUE"""),1.0)</f>
        <v>1</v>
      </c>
      <c r="V585" s="148" t="str">
        <f>IFERROR(__xludf.DUMMYFUNCTION("""COMPUTED_VALUE"""),"[]")</f>
        <v>[]</v>
      </c>
      <c r="W585" s="148">
        <f>IFERROR(__xludf.DUMMYFUNCTION("""COMPUTED_VALUE"""),1.174E7)</f>
        <v>11740000</v>
      </c>
      <c r="X585" s="148">
        <f>IFERROR(__xludf.DUMMYFUNCTION("""COMPUTED_VALUE"""),0.0)</f>
        <v>0</v>
      </c>
      <c r="Y585" s="148">
        <f>IFERROR(__xludf.DUMMYFUNCTION("""COMPUTED_VALUE"""),0.0)</f>
        <v>0</v>
      </c>
      <c r="Z585" s="148"/>
    </row>
    <row r="586">
      <c r="A586" s="148">
        <f>IFERROR(__xludf.DUMMYFUNCTION("""COMPUTED_VALUE"""),1.1112379E7)</f>
        <v>11112379</v>
      </c>
      <c r="B586" s="148" t="str">
        <f>IFERROR(__xludf.DUMMYFUNCTION("""COMPUTED_VALUE"""),"圣诞庆典纪念章")</f>
        <v>圣诞庆典纪念章</v>
      </c>
      <c r="C586" s="148"/>
      <c r="D586" s="148" t="str">
        <f>IFERROR(__xludf.DUMMYFUNCTION("""COMPUTED_VALUE"""),"event")</f>
        <v>event</v>
      </c>
      <c r="E586" s="148">
        <f>IFERROR(__xludf.DUMMYFUNCTION("""COMPUTED_VALUE"""),0.0)</f>
        <v>0</v>
      </c>
      <c r="F586" s="148">
        <f>IFERROR(__xludf.DUMMYFUNCTION("""COMPUTED_VALUE"""),405217.0)</f>
        <v>405217</v>
      </c>
      <c r="G586" s="148">
        <f>IFERROR(__xludf.DUMMYFUNCTION("""COMPUTED_VALUE"""),1.51101005E8)</f>
        <v>151101005</v>
      </c>
      <c r="H586" s="148">
        <f>IFERROR(__xludf.DUMMYFUNCTION("""COMPUTED_VALUE"""),1.5112564E7)</f>
        <v>15112564</v>
      </c>
      <c r="I586" s="148" t="str">
        <f>IFERROR(__xludf.DUMMYFUNCTION("""COMPUTED_VALUE"""),"{}")</f>
        <v>{}</v>
      </c>
      <c r="J586" s="148" t="str">
        <f>IFERROR(__xludf.DUMMYFUNCTION("""COMPUTED_VALUE"""),"{""typ"":""lc"",""txt"":""LC_ITEM_anni_item_name""}")</f>
        <v>{"typ":"lc","txt":"LC_ITEM_anni_item_name"}</v>
      </c>
      <c r="K586" s="148" t="str">
        <f>IFERROR(__xludf.DUMMYFUNCTION("""COMPUTED_VALUE"""),"{""typ"":""lc"",""txt"":""LC_ITEM_christmas_item_desc""}")</f>
        <v>{"typ":"lc","txt":"LC_ITEM_christmas_item_desc"}</v>
      </c>
      <c r="L586" s="148" t="str">
        <f>IFERROR(__xludf.DUMMYFUNCTION("""COMPUTED_VALUE"""),"{}")</f>
        <v>{}</v>
      </c>
      <c r="M586" s="148">
        <f>IFERROR(__xludf.DUMMYFUNCTION("""COMPUTED_VALUE"""),35.0)</f>
        <v>35</v>
      </c>
      <c r="N586" s="148">
        <f>IFERROR(__xludf.DUMMYFUNCTION("""COMPUTED_VALUE"""),999999.0)</f>
        <v>999999</v>
      </c>
      <c r="O586" s="148">
        <f>IFERROR(__xludf.DUMMYFUNCTION("""COMPUTED_VALUE"""),99999.0)</f>
        <v>99999</v>
      </c>
      <c r="P586" s="148">
        <f>IFERROR(__xludf.DUMMYFUNCTION("""COMPUTED_VALUE"""),99999.0)</f>
        <v>99999</v>
      </c>
      <c r="Q586" s="148" t="str">
        <f>IFERROR(__xludf.DUMMYFUNCTION("""COMPUTED_VALUE"""),"[""bag_other""]")</f>
        <v>["bag_other"]</v>
      </c>
      <c r="R586" s="148" t="str">
        <f>IFERROR(__xludf.DUMMYFUNCTION("""COMPUTED_VALUE"""),"[]")</f>
        <v>[]</v>
      </c>
      <c r="S586" s="148" t="str">
        <f>IFERROR(__xludf.DUMMYFUNCTION("""COMPUTED_VALUE"""),"{}")</f>
        <v>{}</v>
      </c>
      <c r="T586" s="148">
        <f>IFERROR(__xludf.DUMMYFUNCTION("""COMPUTED_VALUE"""),-1.0)</f>
        <v>-1</v>
      </c>
      <c r="U586" s="148">
        <f>IFERROR(__xludf.DUMMYFUNCTION("""COMPUTED_VALUE"""),1.0)</f>
        <v>1</v>
      </c>
      <c r="V586" s="148" t="str">
        <f>IFERROR(__xludf.DUMMYFUNCTION("""COMPUTED_VALUE"""),"[]")</f>
        <v>[]</v>
      </c>
      <c r="W586" s="148">
        <f>IFERROR(__xludf.DUMMYFUNCTION("""COMPUTED_VALUE"""),1.174E7)</f>
        <v>11740000</v>
      </c>
      <c r="X586" s="148">
        <f>IFERROR(__xludf.DUMMYFUNCTION("""COMPUTED_VALUE"""),0.0)</f>
        <v>0</v>
      </c>
      <c r="Y586" s="148">
        <f>IFERROR(__xludf.DUMMYFUNCTION("""COMPUTED_VALUE"""),0.0)</f>
        <v>0</v>
      </c>
      <c r="Z586" s="148"/>
    </row>
    <row r="587">
      <c r="A587" s="148">
        <f>IFERROR(__xludf.DUMMYFUNCTION("""COMPUTED_VALUE"""),1.111238E7)</f>
        <v>11112380</v>
      </c>
      <c r="B587" s="148" t="str">
        <f>IFERROR(__xludf.DUMMYFUNCTION("""COMPUTED_VALUE"""),"主城皮肤-圣诞节高级皮肤2024-染色1-蓝色幻想号")</f>
        <v>主城皮肤-圣诞节高级皮肤2024-染色1-蓝色幻想号</v>
      </c>
      <c r="C587" s="148"/>
      <c r="D587" s="148" t="str">
        <f>IFERROR(__xludf.DUMMYFUNCTION("""COMPUTED_VALUE"""),"city_skin")</f>
        <v>city_skin</v>
      </c>
      <c r="E587" s="148">
        <f>IFERROR(__xludf.DUMMYFUNCTION("""COMPUTED_VALUE"""),21.0)</f>
        <v>21</v>
      </c>
      <c r="F587" s="148">
        <f>IFERROR(__xludf.DUMMYFUNCTION("""COMPUTED_VALUE"""),400106.0)</f>
        <v>400106</v>
      </c>
      <c r="G587" s="148">
        <f>IFERROR(__xludf.DUMMYFUNCTION("""COMPUTED_VALUE"""),1.51100931E8)</f>
        <v>151100931</v>
      </c>
      <c r="H587" s="148">
        <f>IFERROR(__xludf.DUMMYFUNCTION("""COMPUTED_VALUE"""),1.5115983E7)</f>
        <v>15115983</v>
      </c>
      <c r="I587" s="148" t="str">
        <f>IFERROR(__xludf.DUMMYFUNCTION("""COMPUTED_VALUE"""),"{}")</f>
        <v>{}</v>
      </c>
      <c r="J587" s="148" t="str">
        <f>IFERROR(__xludf.DUMMYFUNCTION("""COMPUTED_VALUE"""),"{""typ"":""lc"",""txt"":""LC_ITEM_2024christmas_highcity_skin_color_2_title""}")</f>
        <v>{"typ":"lc","txt":"LC_ITEM_2024christmas_highcity_skin_color_2_title"}</v>
      </c>
      <c r="K587" s="148" t="str">
        <f>IFERROR(__xludf.DUMMYFUNCTION("""COMPUTED_VALUE"""),"{""typ"":""lc"",""txt"":""LC_ITEM_2024christmas_highcity_skin_color_2_desc""}")</f>
        <v>{"typ":"lc","txt":"LC_ITEM_2024christmas_highcity_skin_color_2_desc"}</v>
      </c>
      <c r="L587" s="148" t="str">
        <f>IFERROR(__xludf.DUMMYFUNCTION("""COMPUTED_VALUE"""),"{""typ"":""lc"",""txt"":""LC_ITEM_city_skin_rocket_use_tips""}")</f>
        <v>{"typ":"lc","txt":"LC_ITEM_city_skin_rocket_use_tips"}</v>
      </c>
      <c r="M587" s="148">
        <f>IFERROR(__xludf.DUMMYFUNCTION("""COMPUTED_VALUE"""),10000.0)</f>
        <v>10000</v>
      </c>
      <c r="N587" s="148">
        <f>IFERROR(__xludf.DUMMYFUNCTION("""COMPUTED_VALUE"""),999.0)</f>
        <v>999</v>
      </c>
      <c r="O587" s="148">
        <f>IFERROR(__xludf.DUMMYFUNCTION("""COMPUTED_VALUE"""),1.0)</f>
        <v>1</v>
      </c>
      <c r="P587" s="148">
        <f>IFERROR(__xludf.DUMMYFUNCTION("""COMPUTED_VALUE"""),1.0)</f>
        <v>1</v>
      </c>
      <c r="Q587" s="148" t="str">
        <f>IFERROR(__xludf.DUMMYFUNCTION("""COMPUTED_VALUE"""),"[""bag_other""]")</f>
        <v>["bag_other"]</v>
      </c>
      <c r="R587" s="148" t="str">
        <f>IFERROR(__xludf.DUMMYFUNCTION("""COMPUTED_VALUE"""),"[""bag"",""13121054""]")</f>
        <v>["bag","13121054"]</v>
      </c>
      <c r="S587" s="148" t="str">
        <f>IFERROR(__xludf.DUMMYFUNCTION("""COMPUTED_VALUE"""),"{""effect"":[{""typ"":""city_skin"",""id"":13121054,""val"":-1},{""typ"":""item"",""id"":11111034,""val"":10},{""typ"":""use_origin"",""id"":11112368,""val"":-1}]}")</f>
        <v>{"effect":[{"typ":"city_skin","id":13121054,"val":-1},{"typ":"item","id":11111034,"val":10},{"typ":"use_origin","id":11112368,"val":-1}]}</v>
      </c>
      <c r="T587" s="148">
        <f>IFERROR(__xludf.DUMMYFUNCTION("""COMPUTED_VALUE"""),-1.0)</f>
        <v>-1</v>
      </c>
      <c r="U587" s="148">
        <f>IFERROR(__xludf.DUMMYFUNCTION("""COMPUTED_VALUE"""),0.0)</f>
        <v>0</v>
      </c>
      <c r="V587" s="148" t="str">
        <f>IFERROR(__xludf.DUMMYFUNCTION("""COMPUTED_VALUE"""),"[]")</f>
        <v>[]</v>
      </c>
      <c r="W587" s="148">
        <f>IFERROR(__xludf.DUMMYFUNCTION("""COMPUTED_VALUE"""),1.174E7)</f>
        <v>11740000</v>
      </c>
      <c r="X587" s="148">
        <f>IFERROR(__xludf.DUMMYFUNCTION("""COMPUTED_VALUE"""),0.0)</f>
        <v>0</v>
      </c>
      <c r="Y587" s="148">
        <f>IFERROR(__xludf.DUMMYFUNCTION("""COMPUTED_VALUE"""),0.0)</f>
        <v>0</v>
      </c>
      <c r="Z587" s="148"/>
    </row>
    <row r="588">
      <c r="A588" s="148">
        <f>IFERROR(__xludf.DUMMYFUNCTION("""COMPUTED_VALUE"""),1.1112381E7)</f>
        <v>11112381</v>
      </c>
      <c r="B588" s="148" t="str">
        <f>IFERROR(__xludf.DUMMYFUNCTION("""COMPUTED_VALUE"""),"主城皮肤-圣诞节高级皮肤2024-染色2-黑夜极光号")</f>
        <v>主城皮肤-圣诞节高级皮肤2024-染色2-黑夜极光号</v>
      </c>
      <c r="C588" s="148"/>
      <c r="D588" s="148" t="str">
        <f>IFERROR(__xludf.DUMMYFUNCTION("""COMPUTED_VALUE"""),"city_skin")</f>
        <v>city_skin</v>
      </c>
      <c r="E588" s="148">
        <f>IFERROR(__xludf.DUMMYFUNCTION("""COMPUTED_VALUE"""),21.0)</f>
        <v>21</v>
      </c>
      <c r="F588" s="148">
        <f>IFERROR(__xludf.DUMMYFUNCTION("""COMPUTED_VALUE"""),404201.0)</f>
        <v>404201</v>
      </c>
      <c r="G588" s="148">
        <f>IFERROR(__xludf.DUMMYFUNCTION("""COMPUTED_VALUE"""),1.51100933E8)</f>
        <v>151100933</v>
      </c>
      <c r="H588" s="148">
        <f>IFERROR(__xludf.DUMMYFUNCTION("""COMPUTED_VALUE"""),1.5115983E7)</f>
        <v>15115983</v>
      </c>
      <c r="I588" s="148" t="str">
        <f>IFERROR(__xludf.DUMMYFUNCTION("""COMPUTED_VALUE"""),"{}")</f>
        <v>{}</v>
      </c>
      <c r="J588" s="148" t="str">
        <f>IFERROR(__xludf.DUMMYFUNCTION("""COMPUTED_VALUE"""),"{""typ"":""lc"",""txt"":""LC_ITEM_2024christmas_highcity_skin_color_1_title""}")</f>
        <v>{"typ":"lc","txt":"LC_ITEM_2024christmas_highcity_skin_color_1_title"}</v>
      </c>
      <c r="K588" s="148" t="str">
        <f>IFERROR(__xludf.DUMMYFUNCTION("""COMPUTED_VALUE"""),"{""typ"":""lc"",""txt"":""LC_ITEM_2024christmas_highcity_skin_color_1_desc""}")</f>
        <v>{"typ":"lc","txt":"LC_ITEM_2024christmas_highcity_skin_color_1_desc"}</v>
      </c>
      <c r="L588" s="148" t="str">
        <f>IFERROR(__xludf.DUMMYFUNCTION("""COMPUTED_VALUE"""),"{""typ"":""lc"",""txt"":""LC_ITEM_city_skin_rocket_use_tips""}")</f>
        <v>{"typ":"lc","txt":"LC_ITEM_city_skin_rocket_use_tips"}</v>
      </c>
      <c r="M588" s="148">
        <f>IFERROR(__xludf.DUMMYFUNCTION("""COMPUTED_VALUE"""),10000.0)</f>
        <v>10000</v>
      </c>
      <c r="N588" s="148">
        <f>IFERROR(__xludf.DUMMYFUNCTION("""COMPUTED_VALUE"""),999.0)</f>
        <v>999</v>
      </c>
      <c r="O588" s="148">
        <f>IFERROR(__xludf.DUMMYFUNCTION("""COMPUTED_VALUE"""),1.0)</f>
        <v>1</v>
      </c>
      <c r="P588" s="148">
        <f>IFERROR(__xludf.DUMMYFUNCTION("""COMPUTED_VALUE"""),1.0)</f>
        <v>1</v>
      </c>
      <c r="Q588" s="148" t="str">
        <f>IFERROR(__xludf.DUMMYFUNCTION("""COMPUTED_VALUE"""),"[""bag_other""]")</f>
        <v>["bag_other"]</v>
      </c>
      <c r="R588" s="148" t="str">
        <f>IFERROR(__xludf.DUMMYFUNCTION("""COMPUTED_VALUE"""),"[""bag"",""13121055""]")</f>
        <v>["bag","13121055"]</v>
      </c>
      <c r="S588" s="148" t="str">
        <f>IFERROR(__xludf.DUMMYFUNCTION("""COMPUTED_VALUE"""),"{""effect"":[{""typ"":""city_skin"",""id"":13121055,""val"":-1},{""typ"":""item"",""id"":11111034,""val"":10},{""typ"":""use_origin"",""id"":11112368,""val"":-1}]}")</f>
        <v>{"effect":[{"typ":"city_skin","id":13121055,"val":-1},{"typ":"item","id":11111034,"val":10},{"typ":"use_origin","id":11112368,"val":-1}]}</v>
      </c>
      <c r="T588" s="148">
        <f>IFERROR(__xludf.DUMMYFUNCTION("""COMPUTED_VALUE"""),-1.0)</f>
        <v>-1</v>
      </c>
      <c r="U588" s="148">
        <f>IFERROR(__xludf.DUMMYFUNCTION("""COMPUTED_VALUE"""),0.0)</f>
        <v>0</v>
      </c>
      <c r="V588" s="148" t="str">
        <f>IFERROR(__xludf.DUMMYFUNCTION("""COMPUTED_VALUE"""),"[]")</f>
        <v>[]</v>
      </c>
      <c r="W588" s="148">
        <f>IFERROR(__xludf.DUMMYFUNCTION("""COMPUTED_VALUE"""),1.174E7)</f>
        <v>11740000</v>
      </c>
      <c r="X588" s="148">
        <f>IFERROR(__xludf.DUMMYFUNCTION("""COMPUTED_VALUE"""),0.0)</f>
        <v>0</v>
      </c>
      <c r="Y588" s="148">
        <f>IFERROR(__xludf.DUMMYFUNCTION("""COMPUTED_VALUE"""),0.0)</f>
        <v>0</v>
      </c>
      <c r="Z588" s="148"/>
    </row>
    <row r="589">
      <c r="A589" s="148">
        <f>IFERROR(__xludf.DUMMYFUNCTION("""COMPUTED_VALUE"""),1.1112382E7)</f>
        <v>11112382</v>
      </c>
      <c r="B589" s="148" t="str">
        <f>IFERROR(__xludf.DUMMYFUNCTION("""COMPUTED_VALUE"""),"主城皮肤-圣诞节高级皮肤2024-染色3-限定染色-欢乐使者号")</f>
        <v>主城皮肤-圣诞节高级皮肤2024-染色3-限定染色-欢乐使者号</v>
      </c>
      <c r="C589" s="148"/>
      <c r="D589" s="148" t="str">
        <f>IFERROR(__xludf.DUMMYFUNCTION("""COMPUTED_VALUE"""),"city_skin")</f>
        <v>city_skin</v>
      </c>
      <c r="E589" s="148">
        <f>IFERROR(__xludf.DUMMYFUNCTION("""COMPUTED_VALUE"""),21.0)</f>
        <v>21</v>
      </c>
      <c r="F589" s="148">
        <f>IFERROR(__xludf.DUMMYFUNCTION("""COMPUTED_VALUE"""),404201.0)</f>
        <v>404201</v>
      </c>
      <c r="G589" s="148">
        <f>IFERROR(__xludf.DUMMYFUNCTION("""COMPUTED_VALUE"""),1.51100935E8)</f>
        <v>151100935</v>
      </c>
      <c r="H589" s="148">
        <f>IFERROR(__xludf.DUMMYFUNCTION("""COMPUTED_VALUE"""),1.51101093E8)</f>
        <v>151101093</v>
      </c>
      <c r="I589" s="148" t="str">
        <f>IFERROR(__xludf.DUMMYFUNCTION("""COMPUTED_VALUE"""),"{}")</f>
        <v>{}</v>
      </c>
      <c r="J589" s="148" t="str">
        <f>IFERROR(__xludf.DUMMYFUNCTION("""COMPUTED_VALUE"""),"{""typ"":""lc"",""txt"":""LC_ITEM_2024christmas_highcity_skin_color_3_title""}")</f>
        <v>{"typ":"lc","txt":"LC_ITEM_2024christmas_highcity_skin_color_3_title"}</v>
      </c>
      <c r="K589" s="148" t="str">
        <f>IFERROR(__xludf.DUMMYFUNCTION("""COMPUTED_VALUE"""),"{""typ"":""lc"",""txt"":""LC_ITEM_2024christmas_highcity_skin_color_3_desc""}")</f>
        <v>{"typ":"lc","txt":"LC_ITEM_2024christmas_highcity_skin_color_3_desc"}</v>
      </c>
      <c r="L589" s="148" t="str">
        <f>IFERROR(__xludf.DUMMYFUNCTION("""COMPUTED_VALUE"""),"{""typ"":""lc"",""txt"":""LC_ITEM_city_skin_rocket_use_tips""}")</f>
        <v>{"typ":"lc","txt":"LC_ITEM_city_skin_rocket_use_tips"}</v>
      </c>
      <c r="M589" s="148">
        <f>IFERROR(__xludf.DUMMYFUNCTION("""COMPUTED_VALUE"""),10000.0)</f>
        <v>10000</v>
      </c>
      <c r="N589" s="148">
        <f>IFERROR(__xludf.DUMMYFUNCTION("""COMPUTED_VALUE"""),999.0)</f>
        <v>999</v>
      </c>
      <c r="O589" s="148">
        <f>IFERROR(__xludf.DUMMYFUNCTION("""COMPUTED_VALUE"""),1.0)</f>
        <v>1</v>
      </c>
      <c r="P589" s="148">
        <f>IFERROR(__xludf.DUMMYFUNCTION("""COMPUTED_VALUE"""),1.0)</f>
        <v>1</v>
      </c>
      <c r="Q589" s="148" t="str">
        <f>IFERROR(__xludf.DUMMYFUNCTION("""COMPUTED_VALUE"""),"[""bag_other""]")</f>
        <v>["bag_other"]</v>
      </c>
      <c r="R589" s="148" t="str">
        <f>IFERROR(__xludf.DUMMYFUNCTION("""COMPUTED_VALUE"""),"[""bag"",""13121056""]")</f>
        <v>["bag","13121056"]</v>
      </c>
      <c r="S589" s="148" t="str">
        <f>IFERROR(__xludf.DUMMYFUNCTION("""COMPUTED_VALUE"""),"{""effect"":[{""typ"":""city_skin"",""id"":13121056,""val"":-1},{""typ"":""item"",""id"":11111034,""val"":10},{""typ"":""use_origin"",""id"":11112368,""val"":-1}]}")</f>
        <v>{"effect":[{"typ":"city_skin","id":13121056,"val":-1},{"typ":"item","id":11111034,"val":10},{"typ":"use_origin","id":11112368,"val":-1}]}</v>
      </c>
      <c r="T589" s="148">
        <f>IFERROR(__xludf.DUMMYFUNCTION("""COMPUTED_VALUE"""),-1.0)</f>
        <v>-1</v>
      </c>
      <c r="U589" s="148">
        <f>IFERROR(__xludf.DUMMYFUNCTION("""COMPUTED_VALUE"""),0.0)</f>
        <v>0</v>
      </c>
      <c r="V589" s="148" t="str">
        <f>IFERROR(__xludf.DUMMYFUNCTION("""COMPUTED_VALUE"""),"[]")</f>
        <v>[]</v>
      </c>
      <c r="W589" s="148">
        <f>IFERROR(__xludf.DUMMYFUNCTION("""COMPUTED_VALUE"""),1.174E7)</f>
        <v>11740000</v>
      </c>
      <c r="X589" s="148">
        <f>IFERROR(__xludf.DUMMYFUNCTION("""COMPUTED_VALUE"""),0.0)</f>
        <v>0</v>
      </c>
      <c r="Y589" s="148">
        <f>IFERROR(__xludf.DUMMYFUNCTION("""COMPUTED_VALUE"""),0.0)</f>
        <v>0</v>
      </c>
      <c r="Z589" s="148"/>
    </row>
    <row r="590">
      <c r="A590" s="148">
        <f>IFERROR(__xludf.DUMMYFUNCTION("""COMPUTED_VALUE"""),1.1112383E7)</f>
        <v>11112383</v>
      </c>
      <c r="B590" s="148" t="str">
        <f>IFERROR(__xludf.DUMMYFUNCTION("""COMPUTED_VALUE"""),"圣诞节2024装饰建筑-1级-组件1-暖冬托盘")</f>
        <v>圣诞节2024装饰建筑-1级-组件1-暖冬托盘</v>
      </c>
      <c r="C590" s="148"/>
      <c r="D590" s="148" t="str">
        <f>IFERROR(__xludf.DUMMYFUNCTION("""COMPUTED_VALUE"""),"event")</f>
        <v>event</v>
      </c>
      <c r="E590" s="148">
        <f>IFERROR(__xludf.DUMMYFUNCTION("""COMPUTED_VALUE"""),0.0)</f>
        <v>0</v>
      </c>
      <c r="F590" s="148">
        <f>IFERROR(__xludf.DUMMYFUNCTION("""COMPUTED_VALUE"""),405215.0)</f>
        <v>405215</v>
      </c>
      <c r="G590" s="148">
        <f>IFERROR(__xludf.DUMMYFUNCTION("""COMPUTED_VALUE"""),1.51100999E8)</f>
        <v>151100999</v>
      </c>
      <c r="H590" s="148">
        <f>IFERROR(__xludf.DUMMYFUNCTION("""COMPUTED_VALUE"""),1.5112564E7)</f>
        <v>15112564</v>
      </c>
      <c r="I590" s="148" t="str">
        <f>IFERROR(__xludf.DUMMYFUNCTION("""COMPUTED_VALUE"""),"{}")</f>
        <v>{}</v>
      </c>
      <c r="J590" s="148" t="str">
        <f>IFERROR(__xludf.DUMMYFUNCTION("""COMPUTED_VALUE"""),"{""typ"":""lc"",""txt"":""LC_ITEM_2024christmas_dec_part_item_name_1""}")</f>
        <v>{"typ":"lc","txt":"LC_ITEM_2024christmas_dec_part_item_name_1"}</v>
      </c>
      <c r="K590" s="148" t="str">
        <f>IFERROR(__xludf.DUMMYFUNCTION("""COMPUTED_VALUE"""),"{""typ"":""lc"",""txt"":""LC_ITEM_2024christmas_dec_part_item_desc_1""}")</f>
        <v>{"typ":"lc","txt":"LC_ITEM_2024christmas_dec_part_item_desc_1"}</v>
      </c>
      <c r="L590" s="148" t="str">
        <f>IFERROR(__xludf.DUMMYFUNCTION("""COMPUTED_VALUE"""),"{}")</f>
        <v>{}</v>
      </c>
      <c r="M590" s="148">
        <f>IFERROR(__xludf.DUMMYFUNCTION("""COMPUTED_VALUE"""),35.0)</f>
        <v>35</v>
      </c>
      <c r="N590" s="148">
        <f>IFERROR(__xludf.DUMMYFUNCTION("""COMPUTED_VALUE"""),999999.0)</f>
        <v>999999</v>
      </c>
      <c r="O590" s="148">
        <f>IFERROR(__xludf.DUMMYFUNCTION("""COMPUTED_VALUE"""),99999.0)</f>
        <v>99999</v>
      </c>
      <c r="P590" s="148">
        <f>IFERROR(__xludf.DUMMYFUNCTION("""COMPUTED_VALUE"""),99999.0)</f>
        <v>99999</v>
      </c>
      <c r="Q590" s="148" t="str">
        <f>IFERROR(__xludf.DUMMYFUNCTION("""COMPUTED_VALUE"""),"[""bag_other""]")</f>
        <v>["bag_other"]</v>
      </c>
      <c r="R590" s="148" t="str">
        <f>IFERROR(__xludf.DUMMYFUNCTION("""COMPUTED_VALUE"""),"[]")</f>
        <v>[]</v>
      </c>
      <c r="S590" s="148" t="str">
        <f>IFERROR(__xludf.DUMMYFUNCTION("""COMPUTED_VALUE"""),"{}")</f>
        <v>{}</v>
      </c>
      <c r="T590" s="148">
        <f>IFERROR(__xludf.DUMMYFUNCTION("""COMPUTED_VALUE"""),1.0)</f>
        <v>1</v>
      </c>
      <c r="U590" s="148">
        <f>IFERROR(__xludf.DUMMYFUNCTION("""COMPUTED_VALUE"""),0.0)</f>
        <v>0</v>
      </c>
      <c r="V590" s="148" t="str">
        <f>IFERROR(__xludf.DUMMYFUNCTION("""COMPUTED_VALUE"""),"[]")</f>
        <v>[]</v>
      </c>
      <c r="W590" s="148">
        <f>IFERROR(__xludf.DUMMYFUNCTION("""COMPUTED_VALUE"""),1.174E7)</f>
        <v>11740000</v>
      </c>
      <c r="X590" s="148">
        <f>IFERROR(__xludf.DUMMYFUNCTION("""COMPUTED_VALUE"""),0.0)</f>
        <v>0</v>
      </c>
      <c r="Y590" s="148">
        <f>IFERROR(__xludf.DUMMYFUNCTION("""COMPUTED_VALUE"""),0.0)</f>
        <v>0</v>
      </c>
      <c r="Z590" s="148"/>
    </row>
    <row r="591">
      <c r="A591" s="148">
        <f>IFERROR(__xludf.DUMMYFUNCTION("""COMPUTED_VALUE"""),1.1112384E7)</f>
        <v>11112384</v>
      </c>
      <c r="B591" s="148" t="str">
        <f>IFERROR(__xludf.DUMMYFUNCTION("""COMPUTED_VALUE"""),"圣诞节2024装饰建筑-1级-组件2-雪花茶杯")</f>
        <v>圣诞节2024装饰建筑-1级-组件2-雪花茶杯</v>
      </c>
      <c r="C591" s="148"/>
      <c r="D591" s="148" t="str">
        <f>IFERROR(__xludf.DUMMYFUNCTION("""COMPUTED_VALUE"""),"event")</f>
        <v>event</v>
      </c>
      <c r="E591" s="148">
        <f>IFERROR(__xludf.DUMMYFUNCTION("""COMPUTED_VALUE"""),0.0)</f>
        <v>0</v>
      </c>
      <c r="F591" s="148">
        <f>IFERROR(__xludf.DUMMYFUNCTION("""COMPUTED_VALUE"""),405214.0)</f>
        <v>405214</v>
      </c>
      <c r="G591" s="148">
        <f>IFERROR(__xludf.DUMMYFUNCTION("""COMPUTED_VALUE"""),1.51101E8)</f>
        <v>151101000</v>
      </c>
      <c r="H591" s="148">
        <f>IFERROR(__xludf.DUMMYFUNCTION("""COMPUTED_VALUE"""),1.5112564E7)</f>
        <v>15112564</v>
      </c>
      <c r="I591" s="148" t="str">
        <f>IFERROR(__xludf.DUMMYFUNCTION("""COMPUTED_VALUE"""),"{}")</f>
        <v>{}</v>
      </c>
      <c r="J591" s="148" t="str">
        <f>IFERROR(__xludf.DUMMYFUNCTION("""COMPUTED_VALUE"""),"{""typ"":""lc"",""txt"":""LC_ITEM_2024christmas_dec_part_item_name_2""}")</f>
        <v>{"typ":"lc","txt":"LC_ITEM_2024christmas_dec_part_item_name_2"}</v>
      </c>
      <c r="K591" s="148" t="str">
        <f>IFERROR(__xludf.DUMMYFUNCTION("""COMPUTED_VALUE"""),"{""typ"":""lc"",""txt"":""LC_ITEM_2024christmas_dec_part_item_desc_2""}")</f>
        <v>{"typ":"lc","txt":"LC_ITEM_2024christmas_dec_part_item_desc_2"}</v>
      </c>
      <c r="L591" s="148" t="str">
        <f>IFERROR(__xludf.DUMMYFUNCTION("""COMPUTED_VALUE"""),"{}")</f>
        <v>{}</v>
      </c>
      <c r="M591" s="148">
        <f>IFERROR(__xludf.DUMMYFUNCTION("""COMPUTED_VALUE"""),35.0)</f>
        <v>35</v>
      </c>
      <c r="N591" s="148">
        <f>IFERROR(__xludf.DUMMYFUNCTION("""COMPUTED_VALUE"""),999999.0)</f>
        <v>999999</v>
      </c>
      <c r="O591" s="148">
        <f>IFERROR(__xludf.DUMMYFUNCTION("""COMPUTED_VALUE"""),99999.0)</f>
        <v>99999</v>
      </c>
      <c r="P591" s="148">
        <f>IFERROR(__xludf.DUMMYFUNCTION("""COMPUTED_VALUE"""),99999.0)</f>
        <v>99999</v>
      </c>
      <c r="Q591" s="148" t="str">
        <f>IFERROR(__xludf.DUMMYFUNCTION("""COMPUTED_VALUE"""),"[""bag_other""]")</f>
        <v>["bag_other"]</v>
      </c>
      <c r="R591" s="148" t="str">
        <f>IFERROR(__xludf.DUMMYFUNCTION("""COMPUTED_VALUE"""),"[]")</f>
        <v>[]</v>
      </c>
      <c r="S591" s="148" t="str">
        <f>IFERROR(__xludf.DUMMYFUNCTION("""COMPUTED_VALUE"""),"{}")</f>
        <v>{}</v>
      </c>
      <c r="T591" s="148">
        <f>IFERROR(__xludf.DUMMYFUNCTION("""COMPUTED_VALUE"""),1.0)</f>
        <v>1</v>
      </c>
      <c r="U591" s="148">
        <f>IFERROR(__xludf.DUMMYFUNCTION("""COMPUTED_VALUE"""),0.0)</f>
        <v>0</v>
      </c>
      <c r="V591" s="148" t="str">
        <f>IFERROR(__xludf.DUMMYFUNCTION("""COMPUTED_VALUE"""),"[]")</f>
        <v>[]</v>
      </c>
      <c r="W591" s="148">
        <f>IFERROR(__xludf.DUMMYFUNCTION("""COMPUTED_VALUE"""),1.174E7)</f>
        <v>11740000</v>
      </c>
      <c r="X591" s="148">
        <f>IFERROR(__xludf.DUMMYFUNCTION("""COMPUTED_VALUE"""),0.0)</f>
        <v>0</v>
      </c>
      <c r="Y591" s="148">
        <f>IFERROR(__xludf.DUMMYFUNCTION("""COMPUTED_VALUE"""),0.0)</f>
        <v>0</v>
      </c>
      <c r="Z591" s="148"/>
    </row>
    <row r="592">
      <c r="A592" s="148">
        <f>IFERROR(__xludf.DUMMYFUNCTION("""COMPUTED_VALUE"""),1.1112385E7)</f>
        <v>11112385</v>
      </c>
      <c r="B592" s="148" t="str">
        <f>IFERROR(__xludf.DUMMYFUNCTION("""COMPUTED_VALUE"""),"圣诞节2024装饰建筑-1级-组件3-绵绵奶油")</f>
        <v>圣诞节2024装饰建筑-1级-组件3-绵绵奶油</v>
      </c>
      <c r="C592" s="148"/>
      <c r="D592" s="148" t="str">
        <f>IFERROR(__xludf.DUMMYFUNCTION("""COMPUTED_VALUE"""),"event")</f>
        <v>event</v>
      </c>
      <c r="E592" s="148">
        <f>IFERROR(__xludf.DUMMYFUNCTION("""COMPUTED_VALUE"""),0.0)</f>
        <v>0</v>
      </c>
      <c r="F592" s="148">
        <f>IFERROR(__xludf.DUMMYFUNCTION("""COMPUTED_VALUE"""),405213.0)</f>
        <v>405213</v>
      </c>
      <c r="G592" s="148">
        <f>IFERROR(__xludf.DUMMYFUNCTION("""COMPUTED_VALUE"""),1.51101001E8)</f>
        <v>151101001</v>
      </c>
      <c r="H592" s="148">
        <f>IFERROR(__xludf.DUMMYFUNCTION("""COMPUTED_VALUE"""),1.5112564E7)</f>
        <v>15112564</v>
      </c>
      <c r="I592" s="148" t="str">
        <f>IFERROR(__xludf.DUMMYFUNCTION("""COMPUTED_VALUE"""),"{}")</f>
        <v>{}</v>
      </c>
      <c r="J592" s="148" t="str">
        <f>IFERROR(__xludf.DUMMYFUNCTION("""COMPUTED_VALUE"""),"{""typ"":""lc"",""txt"":""LC_ITEM_2024christmas_dec_part_item_name_3""}")</f>
        <v>{"typ":"lc","txt":"LC_ITEM_2024christmas_dec_part_item_name_3"}</v>
      </c>
      <c r="K592" s="148" t="str">
        <f>IFERROR(__xludf.DUMMYFUNCTION("""COMPUTED_VALUE"""),"{""typ"":""lc"",""txt"":""LC_ITEM_2024christmas_dec_part_item_desc_3""}")</f>
        <v>{"typ":"lc","txt":"LC_ITEM_2024christmas_dec_part_item_desc_3"}</v>
      </c>
      <c r="L592" s="148" t="str">
        <f>IFERROR(__xludf.DUMMYFUNCTION("""COMPUTED_VALUE"""),"{}")</f>
        <v>{}</v>
      </c>
      <c r="M592" s="148">
        <f>IFERROR(__xludf.DUMMYFUNCTION("""COMPUTED_VALUE"""),35.0)</f>
        <v>35</v>
      </c>
      <c r="N592" s="148">
        <f>IFERROR(__xludf.DUMMYFUNCTION("""COMPUTED_VALUE"""),999999.0)</f>
        <v>999999</v>
      </c>
      <c r="O592" s="148">
        <f>IFERROR(__xludf.DUMMYFUNCTION("""COMPUTED_VALUE"""),99999.0)</f>
        <v>99999</v>
      </c>
      <c r="P592" s="148">
        <f>IFERROR(__xludf.DUMMYFUNCTION("""COMPUTED_VALUE"""),99999.0)</f>
        <v>99999</v>
      </c>
      <c r="Q592" s="148" t="str">
        <f>IFERROR(__xludf.DUMMYFUNCTION("""COMPUTED_VALUE"""),"[""bag_other""]")</f>
        <v>["bag_other"]</v>
      </c>
      <c r="R592" s="148" t="str">
        <f>IFERROR(__xludf.DUMMYFUNCTION("""COMPUTED_VALUE"""),"[]")</f>
        <v>[]</v>
      </c>
      <c r="S592" s="148" t="str">
        <f>IFERROR(__xludf.DUMMYFUNCTION("""COMPUTED_VALUE"""),"{}")</f>
        <v>{}</v>
      </c>
      <c r="T592" s="148">
        <f>IFERROR(__xludf.DUMMYFUNCTION("""COMPUTED_VALUE"""),1.0)</f>
        <v>1</v>
      </c>
      <c r="U592" s="148">
        <f>IFERROR(__xludf.DUMMYFUNCTION("""COMPUTED_VALUE"""),0.0)</f>
        <v>0</v>
      </c>
      <c r="V592" s="148" t="str">
        <f>IFERROR(__xludf.DUMMYFUNCTION("""COMPUTED_VALUE"""),"[]")</f>
        <v>[]</v>
      </c>
      <c r="W592" s="148">
        <f>IFERROR(__xludf.DUMMYFUNCTION("""COMPUTED_VALUE"""),1.174E7)</f>
        <v>11740000</v>
      </c>
      <c r="X592" s="148">
        <f>IFERROR(__xludf.DUMMYFUNCTION("""COMPUTED_VALUE"""),0.0)</f>
        <v>0</v>
      </c>
      <c r="Y592" s="148">
        <f>IFERROR(__xludf.DUMMYFUNCTION("""COMPUTED_VALUE"""),0.0)</f>
        <v>0</v>
      </c>
      <c r="Z592" s="148"/>
    </row>
    <row r="593">
      <c r="A593" s="148">
        <f>IFERROR(__xludf.DUMMYFUNCTION("""COMPUTED_VALUE"""),1.1112386E7)</f>
        <v>11112386</v>
      </c>
      <c r="B593" s="148" t="str">
        <f>IFERROR(__xludf.DUMMYFUNCTION("""COMPUTED_VALUE"""),"圣诞节2024装饰建筑-1级-组件4-甜蜜糖果")</f>
        <v>圣诞节2024装饰建筑-1级-组件4-甜蜜糖果</v>
      </c>
      <c r="C593" s="148"/>
      <c r="D593" s="148" t="str">
        <f>IFERROR(__xludf.DUMMYFUNCTION("""COMPUTED_VALUE"""),"event")</f>
        <v>event</v>
      </c>
      <c r="E593" s="148">
        <f>IFERROR(__xludf.DUMMYFUNCTION("""COMPUTED_VALUE"""),0.0)</f>
        <v>0</v>
      </c>
      <c r="F593" s="148">
        <f>IFERROR(__xludf.DUMMYFUNCTION("""COMPUTED_VALUE"""),405212.0)</f>
        <v>405212</v>
      </c>
      <c r="G593" s="148">
        <f>IFERROR(__xludf.DUMMYFUNCTION("""COMPUTED_VALUE"""),1.51101002E8)</f>
        <v>151101002</v>
      </c>
      <c r="H593" s="148">
        <f>IFERROR(__xludf.DUMMYFUNCTION("""COMPUTED_VALUE"""),1.5112564E7)</f>
        <v>15112564</v>
      </c>
      <c r="I593" s="148" t="str">
        <f>IFERROR(__xludf.DUMMYFUNCTION("""COMPUTED_VALUE"""),"{}")</f>
        <v>{}</v>
      </c>
      <c r="J593" s="148" t="str">
        <f>IFERROR(__xludf.DUMMYFUNCTION("""COMPUTED_VALUE"""),"{""typ"":""lc"",""txt"":""LC_ITEM_2024christmas_dec_part_item_name_4""}")</f>
        <v>{"typ":"lc","txt":"LC_ITEM_2024christmas_dec_part_item_name_4"}</v>
      </c>
      <c r="K593" s="148" t="str">
        <f>IFERROR(__xludf.DUMMYFUNCTION("""COMPUTED_VALUE"""),"{""typ"":""lc"",""txt"":""LC_ITEM_2024christmas_dec_part_item_desc_4""}")</f>
        <v>{"typ":"lc","txt":"LC_ITEM_2024christmas_dec_part_item_desc_4"}</v>
      </c>
      <c r="L593" s="148" t="str">
        <f>IFERROR(__xludf.DUMMYFUNCTION("""COMPUTED_VALUE"""),"{}")</f>
        <v>{}</v>
      </c>
      <c r="M593" s="148">
        <f>IFERROR(__xludf.DUMMYFUNCTION("""COMPUTED_VALUE"""),35.0)</f>
        <v>35</v>
      </c>
      <c r="N593" s="148">
        <f>IFERROR(__xludf.DUMMYFUNCTION("""COMPUTED_VALUE"""),999999.0)</f>
        <v>999999</v>
      </c>
      <c r="O593" s="148">
        <f>IFERROR(__xludf.DUMMYFUNCTION("""COMPUTED_VALUE"""),99999.0)</f>
        <v>99999</v>
      </c>
      <c r="P593" s="148">
        <f>IFERROR(__xludf.DUMMYFUNCTION("""COMPUTED_VALUE"""),99999.0)</f>
        <v>99999</v>
      </c>
      <c r="Q593" s="148" t="str">
        <f>IFERROR(__xludf.DUMMYFUNCTION("""COMPUTED_VALUE"""),"[""bag_other""]")</f>
        <v>["bag_other"]</v>
      </c>
      <c r="R593" s="148" t="str">
        <f>IFERROR(__xludf.DUMMYFUNCTION("""COMPUTED_VALUE"""),"[]")</f>
        <v>[]</v>
      </c>
      <c r="S593" s="148" t="str">
        <f>IFERROR(__xludf.DUMMYFUNCTION("""COMPUTED_VALUE"""),"{}")</f>
        <v>{}</v>
      </c>
      <c r="T593" s="148">
        <f>IFERROR(__xludf.DUMMYFUNCTION("""COMPUTED_VALUE"""),1.0)</f>
        <v>1</v>
      </c>
      <c r="U593" s="148">
        <f>IFERROR(__xludf.DUMMYFUNCTION("""COMPUTED_VALUE"""),0.0)</f>
        <v>0</v>
      </c>
      <c r="V593" s="148" t="str">
        <f>IFERROR(__xludf.DUMMYFUNCTION("""COMPUTED_VALUE"""),"[]")</f>
        <v>[]</v>
      </c>
      <c r="W593" s="148">
        <f>IFERROR(__xludf.DUMMYFUNCTION("""COMPUTED_VALUE"""),1.174E7)</f>
        <v>11740000</v>
      </c>
      <c r="X593" s="148">
        <f>IFERROR(__xludf.DUMMYFUNCTION("""COMPUTED_VALUE"""),0.0)</f>
        <v>0</v>
      </c>
      <c r="Y593" s="148">
        <f>IFERROR(__xludf.DUMMYFUNCTION("""COMPUTED_VALUE"""),0.0)</f>
        <v>0</v>
      </c>
      <c r="Z593" s="148"/>
    </row>
    <row r="594">
      <c r="A594" s="148">
        <f>IFERROR(__xludf.DUMMYFUNCTION("""COMPUTED_VALUE"""),1.1112387E7)</f>
        <v>11112387</v>
      </c>
      <c r="B594" s="148" t="str">
        <f>IFERROR(__xludf.DUMMYFUNCTION("""COMPUTED_VALUE"""),"圣诞节2024装饰建筑-1级-组件5-泡沫雪人")</f>
        <v>圣诞节2024装饰建筑-1级-组件5-泡沫雪人</v>
      </c>
      <c r="C594" s="148"/>
      <c r="D594" s="148" t="str">
        <f>IFERROR(__xludf.DUMMYFUNCTION("""COMPUTED_VALUE"""),"event")</f>
        <v>event</v>
      </c>
      <c r="E594" s="148">
        <f>IFERROR(__xludf.DUMMYFUNCTION("""COMPUTED_VALUE"""),0.0)</f>
        <v>0</v>
      </c>
      <c r="F594" s="148">
        <f>IFERROR(__xludf.DUMMYFUNCTION("""COMPUTED_VALUE"""),405211.0)</f>
        <v>405211</v>
      </c>
      <c r="G594" s="148">
        <f>IFERROR(__xludf.DUMMYFUNCTION("""COMPUTED_VALUE"""),1.51101003E8)</f>
        <v>151101003</v>
      </c>
      <c r="H594" s="148">
        <f>IFERROR(__xludf.DUMMYFUNCTION("""COMPUTED_VALUE"""),1.5112564E7)</f>
        <v>15112564</v>
      </c>
      <c r="I594" s="148" t="str">
        <f>IFERROR(__xludf.DUMMYFUNCTION("""COMPUTED_VALUE"""),"{}")</f>
        <v>{}</v>
      </c>
      <c r="J594" s="148" t="str">
        <f>IFERROR(__xludf.DUMMYFUNCTION("""COMPUTED_VALUE"""),"{""typ"":""lc"",""txt"":""LC_ITEM_2024christmas_dec_part_item_name_5""}")</f>
        <v>{"typ":"lc","txt":"LC_ITEM_2024christmas_dec_part_item_name_5"}</v>
      </c>
      <c r="K594" s="148" t="str">
        <f>IFERROR(__xludf.DUMMYFUNCTION("""COMPUTED_VALUE"""),"{""typ"":""lc"",""txt"":""LC_ITEM_2024christmas_dec_part_item_desc_5""}")</f>
        <v>{"typ":"lc","txt":"LC_ITEM_2024christmas_dec_part_item_desc_5"}</v>
      </c>
      <c r="L594" s="148" t="str">
        <f>IFERROR(__xludf.DUMMYFUNCTION("""COMPUTED_VALUE"""),"{}")</f>
        <v>{}</v>
      </c>
      <c r="M594" s="148">
        <f>IFERROR(__xludf.DUMMYFUNCTION("""COMPUTED_VALUE"""),35.0)</f>
        <v>35</v>
      </c>
      <c r="N594" s="148">
        <f>IFERROR(__xludf.DUMMYFUNCTION("""COMPUTED_VALUE"""),999999.0)</f>
        <v>999999</v>
      </c>
      <c r="O594" s="148">
        <f>IFERROR(__xludf.DUMMYFUNCTION("""COMPUTED_VALUE"""),99999.0)</f>
        <v>99999</v>
      </c>
      <c r="P594" s="148">
        <f>IFERROR(__xludf.DUMMYFUNCTION("""COMPUTED_VALUE"""),99999.0)</f>
        <v>99999</v>
      </c>
      <c r="Q594" s="148" t="str">
        <f>IFERROR(__xludf.DUMMYFUNCTION("""COMPUTED_VALUE"""),"[""bag_other""]")</f>
        <v>["bag_other"]</v>
      </c>
      <c r="R594" s="148" t="str">
        <f>IFERROR(__xludf.DUMMYFUNCTION("""COMPUTED_VALUE"""),"[]")</f>
        <v>[]</v>
      </c>
      <c r="S594" s="148" t="str">
        <f>IFERROR(__xludf.DUMMYFUNCTION("""COMPUTED_VALUE"""),"{}")</f>
        <v>{}</v>
      </c>
      <c r="T594" s="148">
        <f>IFERROR(__xludf.DUMMYFUNCTION("""COMPUTED_VALUE"""),1.0)</f>
        <v>1</v>
      </c>
      <c r="U594" s="148">
        <f>IFERROR(__xludf.DUMMYFUNCTION("""COMPUTED_VALUE"""),0.0)</f>
        <v>0</v>
      </c>
      <c r="V594" s="148" t="str">
        <f>IFERROR(__xludf.DUMMYFUNCTION("""COMPUTED_VALUE"""),"[]")</f>
        <v>[]</v>
      </c>
      <c r="W594" s="148">
        <f>IFERROR(__xludf.DUMMYFUNCTION("""COMPUTED_VALUE"""),1.174E7)</f>
        <v>11740000</v>
      </c>
      <c r="X594" s="148">
        <f>IFERROR(__xludf.DUMMYFUNCTION("""COMPUTED_VALUE"""),0.0)</f>
        <v>0</v>
      </c>
      <c r="Y594" s="148">
        <f>IFERROR(__xludf.DUMMYFUNCTION("""COMPUTED_VALUE"""),0.0)</f>
        <v>0</v>
      </c>
      <c r="Z594" s="148"/>
    </row>
    <row r="595">
      <c r="A595" s="148">
        <f>IFERROR(__xludf.DUMMYFUNCTION("""COMPUTED_VALUE"""),1.1112388E7)</f>
        <v>11112388</v>
      </c>
      <c r="B595" s="148" t="str">
        <f>IFERROR(__xludf.DUMMYFUNCTION("""COMPUTED_VALUE"""),"圣诞袜（2024）gacha道具")</f>
        <v>圣诞袜（2024）gacha道具</v>
      </c>
      <c r="C595" s="148"/>
      <c r="D595" s="148" t="str">
        <f>IFERROR(__xludf.DUMMYFUNCTION("""COMPUTED_VALUE"""),"event")</f>
        <v>event</v>
      </c>
      <c r="E595" s="148">
        <f>IFERROR(__xludf.DUMMYFUNCTION("""COMPUTED_VALUE"""),0.0)</f>
        <v>0</v>
      </c>
      <c r="F595" s="148">
        <f>IFERROR(__xludf.DUMMYFUNCTION("""COMPUTED_VALUE"""),405226.0)</f>
        <v>405226</v>
      </c>
      <c r="G595" s="148">
        <f>IFERROR(__xludf.DUMMYFUNCTION("""COMPUTED_VALUE"""),1.5113551E7)</f>
        <v>15113551</v>
      </c>
      <c r="H595" s="148">
        <f>IFERROR(__xludf.DUMMYFUNCTION("""COMPUTED_VALUE"""),1.5112564E7)</f>
        <v>15112564</v>
      </c>
      <c r="I595" s="148" t="str">
        <f>IFERROR(__xludf.DUMMYFUNCTION("""COMPUTED_VALUE"""),"{}")</f>
        <v>{}</v>
      </c>
      <c r="J595" s="148" t="str">
        <f>IFERROR(__xludf.DUMMYFUNCTION("""COMPUTED_VALUE"""),"{""typ"":""lc"",""txt"":""LC_ITEM_2022chrismas_gacha_item""}")</f>
        <v>{"typ":"lc","txt":"LC_ITEM_2022chrismas_gacha_item"}</v>
      </c>
      <c r="K595" s="148" t="str">
        <f>IFERROR(__xludf.DUMMYFUNCTION("""COMPUTED_VALUE"""),"{""typ"":""lc"",""txt"":""LC_ITEM_2022chrismas_gacha_item_desc""}")</f>
        <v>{"typ":"lc","txt":"LC_ITEM_2022chrismas_gacha_item_desc"}</v>
      </c>
      <c r="L595" s="148" t="str">
        <f>IFERROR(__xludf.DUMMYFUNCTION("""COMPUTED_VALUE"""),"{}")</f>
        <v>{}</v>
      </c>
      <c r="M595" s="148">
        <f>IFERROR(__xludf.DUMMYFUNCTION("""COMPUTED_VALUE"""),700.0)</f>
        <v>700</v>
      </c>
      <c r="N595" s="148">
        <f>IFERROR(__xludf.DUMMYFUNCTION("""COMPUTED_VALUE"""),9.99999999E8)</f>
        <v>999999999</v>
      </c>
      <c r="O595" s="148">
        <f>IFERROR(__xludf.DUMMYFUNCTION("""COMPUTED_VALUE"""),9.99999999E8)</f>
        <v>999999999</v>
      </c>
      <c r="P595" s="148">
        <f>IFERROR(__xludf.DUMMYFUNCTION("""COMPUTED_VALUE"""),9.99999999E8)</f>
        <v>999999999</v>
      </c>
      <c r="Q595" s="148" t="str">
        <f>IFERROR(__xludf.DUMMYFUNCTION("""COMPUTED_VALUE"""),"[""bag_other""]")</f>
        <v>["bag_other"]</v>
      </c>
      <c r="R595" s="148" t="str">
        <f>IFERROR(__xludf.DUMMYFUNCTION("""COMPUTED_VALUE"""),"[""bag""]")</f>
        <v>["bag"]</v>
      </c>
      <c r="S595" s="148" t="str">
        <f>IFERROR(__xludf.DUMMYFUNCTION("""COMPUTED_VALUE"""),"{}")</f>
        <v>{}</v>
      </c>
      <c r="T595" s="148">
        <f>IFERROR(__xludf.DUMMYFUNCTION("""COMPUTED_VALUE"""),1.0)</f>
        <v>1</v>
      </c>
      <c r="U595" s="148">
        <f>IFERROR(__xludf.DUMMYFUNCTION("""COMPUTED_VALUE"""),0.0)</f>
        <v>0</v>
      </c>
      <c r="V595" s="148" t="str">
        <f>IFERROR(__xludf.DUMMYFUNCTION("""COMPUTED_VALUE"""),"[]")</f>
        <v>[]</v>
      </c>
      <c r="W595" s="148">
        <f>IFERROR(__xludf.DUMMYFUNCTION("""COMPUTED_VALUE"""),1.174E7)</f>
        <v>11740000</v>
      </c>
      <c r="X595" s="148">
        <f>IFERROR(__xludf.DUMMYFUNCTION("""COMPUTED_VALUE"""),0.0)</f>
        <v>0</v>
      </c>
      <c r="Y595" s="148">
        <f>IFERROR(__xludf.DUMMYFUNCTION("""COMPUTED_VALUE"""),0.0)</f>
        <v>0</v>
      </c>
      <c r="Z595" s="148"/>
    </row>
    <row r="596">
      <c r="A596" s="148">
        <f>IFERROR(__xludf.DUMMYFUNCTION("""COMPUTED_VALUE"""),1.1112389E7)</f>
        <v>11112389</v>
      </c>
      <c r="B596" s="148" t="str">
        <f>IFERROR(__xludf.DUMMYFUNCTION("""COMPUTED_VALUE"""),"圣诞节2024gacha专用-增加内圈抽奖次数")</f>
        <v>圣诞节2024gacha专用-增加内圈抽奖次数</v>
      </c>
      <c r="C596" s="148"/>
      <c r="D596" s="148" t="str">
        <f>IFERROR(__xludf.DUMMYFUNCTION("""COMPUTED_VALUE"""),"event")</f>
        <v>event</v>
      </c>
      <c r="E596" s="148">
        <f>IFERROR(__xludf.DUMMYFUNCTION("""COMPUTED_VALUE"""),0.0)</f>
        <v>0</v>
      </c>
      <c r="F596" s="148">
        <f>IFERROR(__xludf.DUMMYFUNCTION("""COMPUTED_VALUE"""),0.0)</f>
        <v>0</v>
      </c>
      <c r="G596" s="148">
        <f>IFERROR(__xludf.DUMMYFUNCTION("""COMPUTED_VALUE"""),1.5117559E7)</f>
        <v>15117559</v>
      </c>
      <c r="H596" s="148">
        <f>IFERROR(__xludf.DUMMYFUNCTION("""COMPUTED_VALUE"""),1.5112563E7)</f>
        <v>15112563</v>
      </c>
      <c r="I596" s="148" t="str">
        <f>IFERROR(__xludf.DUMMYFUNCTION("""COMPUTED_VALUE"""),"{}")</f>
        <v>{}</v>
      </c>
      <c r="J596" s="148" t="str">
        <f>IFERROR(__xludf.DUMMYFUNCTION("""COMPUTED_VALUE"""),"{""typ"":""lc"",""txt"":""LC_ITEM_2023christmas_gacha_item_name_2""}")</f>
        <v>{"typ":"lc","txt":"LC_ITEM_2023christmas_gacha_item_name_2"}</v>
      </c>
      <c r="K596" s="148" t="str">
        <f>IFERROR(__xludf.DUMMYFUNCTION("""COMPUTED_VALUE"""),"{""typ"":""lc"",""txt"":""LC_ITEM_2023christmas_gacha_item_desc_2""}")</f>
        <v>{"typ":"lc","txt":"LC_ITEM_2023christmas_gacha_item_desc_2"}</v>
      </c>
      <c r="L596" s="148" t="str">
        <f>IFERROR(__xludf.DUMMYFUNCTION("""COMPUTED_VALUE"""),"{}")</f>
        <v>{}</v>
      </c>
      <c r="M596" s="148">
        <f>IFERROR(__xludf.DUMMYFUNCTION("""COMPUTED_VALUE"""),700.0)</f>
        <v>700</v>
      </c>
      <c r="N596" s="148">
        <f>IFERROR(__xludf.DUMMYFUNCTION("""COMPUTED_VALUE"""),9.99999999E8)</f>
        <v>999999999</v>
      </c>
      <c r="O596" s="148">
        <f>IFERROR(__xludf.DUMMYFUNCTION("""COMPUTED_VALUE"""),9.99999999E8)</f>
        <v>999999999</v>
      </c>
      <c r="P596" s="148">
        <f>IFERROR(__xludf.DUMMYFUNCTION("""COMPUTED_VALUE"""),9.99999999E8)</f>
        <v>999999999</v>
      </c>
      <c r="Q596" s="148" t="str">
        <f>IFERROR(__xludf.DUMMYFUNCTION("""COMPUTED_VALUE"""),"[]")</f>
        <v>[]</v>
      </c>
      <c r="R596" s="148" t="str">
        <f>IFERROR(__xludf.DUMMYFUNCTION("""COMPUTED_VALUE"""),"[""bag""]")</f>
        <v>["bag"]</v>
      </c>
      <c r="S596" s="148" t="str">
        <f>IFERROR(__xludf.DUMMYFUNCTION("""COMPUTED_VALUE"""),"{}")</f>
        <v>{}</v>
      </c>
      <c r="T596" s="148">
        <f>IFERROR(__xludf.DUMMYFUNCTION("""COMPUTED_VALUE"""),1.0)</f>
        <v>1</v>
      </c>
      <c r="U596" s="148">
        <f>IFERROR(__xludf.DUMMYFUNCTION("""COMPUTED_VALUE"""),0.0)</f>
        <v>0</v>
      </c>
      <c r="V596" s="148" t="str">
        <f>IFERROR(__xludf.DUMMYFUNCTION("""COMPUTED_VALUE"""),"[]")</f>
        <v>[]</v>
      </c>
      <c r="W596" s="148">
        <f>IFERROR(__xludf.DUMMYFUNCTION("""COMPUTED_VALUE"""),1.174E7)</f>
        <v>11740000</v>
      </c>
      <c r="X596" s="148">
        <f>IFERROR(__xludf.DUMMYFUNCTION("""COMPUTED_VALUE"""),0.0)</f>
        <v>0</v>
      </c>
      <c r="Y596" s="148">
        <f>IFERROR(__xludf.DUMMYFUNCTION("""COMPUTED_VALUE"""),0.0)</f>
        <v>0</v>
      </c>
      <c r="Z596" s="148"/>
    </row>
    <row r="597">
      <c r="A597" s="148">
        <f>IFERROR(__xludf.DUMMYFUNCTION("""COMPUTED_VALUE"""),1.111239E7)</f>
        <v>11112390</v>
      </c>
      <c r="B597" s="148" t="str">
        <f>IFERROR(__xludf.DUMMYFUNCTION("""COMPUTED_VALUE"""),"圣诞主城自选道具")</f>
        <v>圣诞主城自选道具</v>
      </c>
      <c r="C597" s="148"/>
      <c r="D597" s="148" t="str">
        <f>IFERROR(__xludf.DUMMYFUNCTION("""COMPUTED_VALUE"""),"item_select_box")</f>
        <v>item_select_box</v>
      </c>
      <c r="E597" s="148">
        <f>IFERROR(__xludf.DUMMYFUNCTION("""COMPUTED_VALUE"""),19.0)</f>
        <v>19</v>
      </c>
      <c r="F597" s="148">
        <f>IFERROR(__xludf.DUMMYFUNCTION("""COMPUTED_VALUE"""),403200.0)</f>
        <v>403200</v>
      </c>
      <c r="G597" s="148">
        <f>IFERROR(__xludf.DUMMYFUNCTION("""COMPUTED_VALUE"""),1.5110021E8)</f>
        <v>151100210</v>
      </c>
      <c r="H597" s="148">
        <f>IFERROR(__xludf.DUMMYFUNCTION("""COMPUTED_VALUE"""),1.5112564E7)</f>
        <v>15112564</v>
      </c>
      <c r="I597" s="148" t="str">
        <f>IFERROR(__xludf.DUMMYFUNCTION("""COMPUTED_VALUE"""),"{}")</f>
        <v>{}</v>
      </c>
      <c r="J597" s="148" t="str">
        <f>IFERROR(__xludf.DUMMYFUNCTION("""COMPUTED_VALUE"""),"{""typ"":""lc"",""txt"":""LC_ITEM_2024christmas_skin_box_name""}")</f>
        <v>{"typ":"lc","txt":"LC_ITEM_2024christmas_skin_box_name"}</v>
      </c>
      <c r="K597" s="148" t="str">
        <f>IFERROR(__xludf.DUMMYFUNCTION("""COMPUTED_VALUE"""),"{""typ"":""lc"",""txt"":""LC_ITEM_2024christmas_skin_box_desc"",""args"":[{""typ"":""int"",""val"":1},{""typ"":""int"",""val"":1}]}")</f>
        <v>{"typ":"lc","txt":"LC_ITEM_2024christmas_skin_box_desc","args":[{"typ":"int","val":1},{"typ":"int","val":1}]}</v>
      </c>
      <c r="L597" s="148" t="str">
        <f>IFERROR(__xludf.DUMMYFUNCTION("""COMPUTED_VALUE"""),"{""typ"":""lc"",""txt"":""LC_ITEM_chest_from_atk_npc_usedtip""}")</f>
        <v>{"typ":"lc","txt":"LC_ITEM_chest_from_atk_npc_usedtip"}</v>
      </c>
      <c r="M597" s="148">
        <f>IFERROR(__xludf.DUMMYFUNCTION("""COMPUTED_VALUE"""),1000.0)</f>
        <v>1000</v>
      </c>
      <c r="N597" s="148">
        <f>IFERROR(__xludf.DUMMYFUNCTION("""COMPUTED_VALUE"""),999999.0)</f>
        <v>999999</v>
      </c>
      <c r="O597" s="148">
        <f>IFERROR(__xludf.DUMMYFUNCTION("""COMPUTED_VALUE"""),99999.0)</f>
        <v>99999</v>
      </c>
      <c r="P597" s="148">
        <f>IFERROR(__xludf.DUMMYFUNCTION("""COMPUTED_VALUE"""),99999.0)</f>
        <v>99999</v>
      </c>
      <c r="Q597" s="148" t="str">
        <f>IFERROR(__xludf.DUMMYFUNCTION("""COMPUTED_VALUE"""),"[""bag_other""]")</f>
        <v>["bag_other"]</v>
      </c>
      <c r="R597" s="148" t="str">
        <f>IFERROR(__xludf.DUMMYFUNCTION("""COMPUTED_VALUE"""),"[""bag""]")</f>
        <v>["bag"]</v>
      </c>
      <c r="S597" s="148" t="str">
        <f>IFERROR(__xludf.DUMMYFUNCTION("""COMPUTED_VALUE"""),"{""select_box"":[{""typ"":""item"",""id"":11112022,""val"":1},{""typ"":""item"",""id"":11117512,""val"":1},{""typ"":""item"",""id"":11111337,""val"":1}]}")</f>
        <v>{"select_box":[{"typ":"item","id":11112022,"val":1},{"typ":"item","id":11117512,"val":1},{"typ":"item","id":11111337,"val":1}]}</v>
      </c>
      <c r="T597" s="148">
        <f>IFERROR(__xludf.DUMMYFUNCTION("""COMPUTED_VALUE"""),1.0)</f>
        <v>1</v>
      </c>
      <c r="U597" s="148">
        <f>IFERROR(__xludf.DUMMYFUNCTION("""COMPUTED_VALUE"""),1.0)</f>
        <v>1</v>
      </c>
      <c r="V597" s="148" t="str">
        <f>IFERROR(__xludf.DUMMYFUNCTION("""COMPUTED_VALUE"""),"[]")</f>
        <v>[]</v>
      </c>
      <c r="W597" s="148">
        <f>IFERROR(__xludf.DUMMYFUNCTION("""COMPUTED_VALUE"""),1.174E7)</f>
        <v>11740000</v>
      </c>
      <c r="X597" s="148">
        <f>IFERROR(__xludf.DUMMYFUNCTION("""COMPUTED_VALUE"""),0.0)</f>
        <v>0</v>
      </c>
      <c r="Y597" s="148">
        <f>IFERROR(__xludf.DUMMYFUNCTION("""COMPUTED_VALUE"""),0.0)</f>
        <v>0</v>
      </c>
      <c r="Z597" s="148"/>
    </row>
    <row r="598">
      <c r="A598" s="148">
        <f>IFERROR(__xludf.DUMMYFUNCTION("""COMPUTED_VALUE"""),1.1112391E7)</f>
        <v>11112391</v>
      </c>
      <c r="B598" s="148" t="str">
        <f>IFERROR(__xludf.DUMMYFUNCTION("""COMPUTED_VALUE"""),"圣诞进度宝箱")</f>
        <v>圣诞进度宝箱</v>
      </c>
      <c r="C598" s="148"/>
      <c r="D598" s="148" t="str">
        <f>IFERROR(__xludf.DUMMYFUNCTION("""COMPUTED_VALUE"""),"item_asset")</f>
        <v>item_asset</v>
      </c>
      <c r="E598" s="148">
        <f>IFERROR(__xludf.DUMMYFUNCTION("""COMPUTED_VALUE"""),19.0)</f>
        <v>19</v>
      </c>
      <c r="F598" s="148">
        <f>IFERROR(__xludf.DUMMYFUNCTION("""COMPUTED_VALUE"""),201101.0)</f>
        <v>201101</v>
      </c>
      <c r="G598" s="148">
        <f>IFERROR(__xludf.DUMMYFUNCTION("""COMPUTED_VALUE"""),1.5112492E7)</f>
        <v>15112492</v>
      </c>
      <c r="H598" s="148">
        <f>IFERROR(__xludf.DUMMYFUNCTION("""COMPUTED_VALUE"""),1.5112564E7)</f>
        <v>15112564</v>
      </c>
      <c r="I598" s="148" t="str">
        <f>IFERROR(__xludf.DUMMYFUNCTION("""COMPUTED_VALUE"""),"{}")</f>
        <v>{}</v>
      </c>
      <c r="J598" s="148" t="str">
        <f>IFERROR(__xludf.DUMMYFUNCTION("""COMPUTED_VALUE"""),"{""typ"":""lc"",""txt"":""LC_ITEM_2024christmas_box_name""}")</f>
        <v>{"typ":"lc","txt":"LC_ITEM_2024christmas_box_name"}</v>
      </c>
      <c r="K598" s="148" t="str">
        <f>IFERROR(__xludf.DUMMYFUNCTION("""COMPUTED_VALUE"""),"{""typ"":""lc"",""txt"":""LC_ITEM_2024christmas_box_desc""}")</f>
        <v>{"typ":"lc","txt":"LC_ITEM_2024christmas_box_desc"}</v>
      </c>
      <c r="L598" s="148" t="str">
        <f>IFERROR(__xludf.DUMMYFUNCTION("""COMPUTED_VALUE"""),"{}")</f>
        <v>{}</v>
      </c>
      <c r="M598" s="148">
        <f>IFERROR(__xludf.DUMMYFUNCTION("""COMPUTED_VALUE"""),100.0)</f>
        <v>100</v>
      </c>
      <c r="N598" s="148">
        <f>IFERROR(__xludf.DUMMYFUNCTION("""COMPUTED_VALUE"""),999999.0)</f>
        <v>999999</v>
      </c>
      <c r="O598" s="148">
        <f>IFERROR(__xludf.DUMMYFUNCTION("""COMPUTED_VALUE"""),99999.0)</f>
        <v>99999</v>
      </c>
      <c r="P598" s="148">
        <f>IFERROR(__xludf.DUMMYFUNCTION("""COMPUTED_VALUE"""),99999.0)</f>
        <v>99999</v>
      </c>
      <c r="Q598" s="148" t="str">
        <f>IFERROR(__xludf.DUMMYFUNCTION("""COMPUTED_VALUE"""),"[""bag_other""]")</f>
        <v>["bag_other"]</v>
      </c>
      <c r="R598" s="148" t="str">
        <f>IFERROR(__xludf.DUMMYFUNCTION("""COMPUTED_VALUE"""),"[""bag""]")</f>
        <v>["bag"]</v>
      </c>
      <c r="S598" s="148" t="str">
        <f>IFERROR(__xludf.DUMMYFUNCTION("""COMPUTED_VALUE"""),"{""drop"":{""typ"":""single_random"",""num"":1,""args"":[{""typ"":""item"",""id"":11111153,""num"":1,""wgt"":4000},{""typ"":""item"",""id"":11111002,""num"":1,""wgt"":2000},{""typ"":""item"",""id"":11111006,""num"":1,""wgt"":2000},{""typ"":""item"",""id"""&amp;":11111156,""num"":1,""wgt"":1500},{""typ"":""item"",""id"":11111158,""num"":1,""wgt"":250},{""typ"":""item"",""id"":11116110,""num"":1,""wgt"":250},{""typ"":""item"",""id"":11116304,""num"":1,""wgt"":10}]}}")</f>
        <v>{"drop":{"typ":"single_random","num":1,"args":[{"typ":"item","id":11111153,"num":1,"wgt":4000},{"typ":"item","id":11111002,"num":1,"wgt":2000},{"typ":"item","id":11111006,"num":1,"wgt":2000},{"typ":"item","id":11111156,"num":1,"wgt":1500},{"typ":"item","id":11111158,"num":1,"wgt":250},{"typ":"item","id":11116110,"num":1,"wgt":250},{"typ":"item","id":11116304,"num":1,"wgt":10}]}}</v>
      </c>
      <c r="T598" s="148">
        <f>IFERROR(__xludf.DUMMYFUNCTION("""COMPUTED_VALUE"""),-1.0)</f>
        <v>-1</v>
      </c>
      <c r="U598" s="148">
        <f>IFERROR(__xludf.DUMMYFUNCTION("""COMPUTED_VALUE"""),0.0)</f>
        <v>0</v>
      </c>
      <c r="V598" s="148" t="str">
        <f>IFERROR(__xludf.DUMMYFUNCTION("""COMPUTED_VALUE"""),"[]")</f>
        <v>[]</v>
      </c>
      <c r="W598" s="148">
        <f>IFERROR(__xludf.DUMMYFUNCTION("""COMPUTED_VALUE"""),1.174E7)</f>
        <v>11740000</v>
      </c>
      <c r="X598" s="148">
        <f>IFERROR(__xludf.DUMMYFUNCTION("""COMPUTED_VALUE"""),0.0)</f>
        <v>0</v>
      </c>
      <c r="Y598" s="148">
        <f>IFERROR(__xludf.DUMMYFUNCTION("""COMPUTED_VALUE"""),0.0)</f>
        <v>0</v>
      </c>
      <c r="Z598" s="148"/>
    </row>
    <row r="599">
      <c r="A599" s="148">
        <f>IFERROR(__xludf.DUMMYFUNCTION("""COMPUTED_VALUE"""),1.1112392E7)</f>
        <v>11112392</v>
      </c>
      <c r="B599" s="148" t="str">
        <f>IFERROR(__xludf.DUMMYFUNCTION("""COMPUTED_VALUE"""),"春节骰子（2025）gacha道具")</f>
        <v>春节骰子（2025）gacha道具</v>
      </c>
      <c r="C599" s="148"/>
      <c r="D599" s="148" t="str">
        <f>IFERROR(__xludf.DUMMYFUNCTION("""COMPUTED_VALUE"""),"event")</f>
        <v>event</v>
      </c>
      <c r="E599" s="148">
        <f>IFERROR(__xludf.DUMMYFUNCTION("""COMPUTED_VALUE"""),0.0)</f>
        <v>0</v>
      </c>
      <c r="F599" s="148">
        <f>IFERROR(__xludf.DUMMYFUNCTION("""COMPUTED_VALUE"""),405226.0)</f>
        <v>405226</v>
      </c>
      <c r="G599" s="148">
        <f>IFERROR(__xludf.DUMMYFUNCTION("""COMPUTED_VALUE"""),1.511584E7)</f>
        <v>15115840</v>
      </c>
      <c r="H599" s="148">
        <f>IFERROR(__xludf.DUMMYFUNCTION("""COMPUTED_VALUE"""),1.5112564E7)</f>
        <v>15112564</v>
      </c>
      <c r="I599" s="148" t="str">
        <f>IFERROR(__xludf.DUMMYFUNCTION("""COMPUTED_VALUE"""),"{}")</f>
        <v>{}</v>
      </c>
      <c r="J599" s="148" t="str">
        <f>IFERROR(__xludf.DUMMYFUNCTION("""COMPUTED_VALUE"""),"{""typ"":""lc"",""txt"":""LC_ITEM_2023spring_gacha_item""}")</f>
        <v>{"typ":"lc","txt":"LC_ITEM_2023spring_gacha_item"}</v>
      </c>
      <c r="K599" s="148" t="str">
        <f>IFERROR(__xludf.DUMMYFUNCTION("""COMPUTED_VALUE"""),"{""typ"":""lc"",""txt"":""LC_ITEM_2023spring_gacha_item_desc""}")</f>
        <v>{"typ":"lc","txt":"LC_ITEM_2023spring_gacha_item_desc"}</v>
      </c>
      <c r="L599" s="148" t="str">
        <f>IFERROR(__xludf.DUMMYFUNCTION("""COMPUTED_VALUE"""),"{}")</f>
        <v>{}</v>
      </c>
      <c r="M599" s="148">
        <f>IFERROR(__xludf.DUMMYFUNCTION("""COMPUTED_VALUE"""),700.0)</f>
        <v>700</v>
      </c>
      <c r="N599" s="148">
        <f>IFERROR(__xludf.DUMMYFUNCTION("""COMPUTED_VALUE"""),9.99999999E8)</f>
        <v>999999999</v>
      </c>
      <c r="O599" s="148">
        <f>IFERROR(__xludf.DUMMYFUNCTION("""COMPUTED_VALUE"""),9.99999999E8)</f>
        <v>999999999</v>
      </c>
      <c r="P599" s="148">
        <f>IFERROR(__xludf.DUMMYFUNCTION("""COMPUTED_VALUE"""),9.99999999E8)</f>
        <v>999999999</v>
      </c>
      <c r="Q599" s="148" t="str">
        <f>IFERROR(__xludf.DUMMYFUNCTION("""COMPUTED_VALUE"""),"[""bag_other""]")</f>
        <v>["bag_other"]</v>
      </c>
      <c r="R599" s="148" t="str">
        <f>IFERROR(__xludf.DUMMYFUNCTION("""COMPUTED_VALUE"""),"[""bag""]")</f>
        <v>["bag"]</v>
      </c>
      <c r="S599" s="148" t="str">
        <f>IFERROR(__xludf.DUMMYFUNCTION("""COMPUTED_VALUE"""),"{}")</f>
        <v>{}</v>
      </c>
      <c r="T599" s="148">
        <f>IFERROR(__xludf.DUMMYFUNCTION("""COMPUTED_VALUE"""),1.0)</f>
        <v>1</v>
      </c>
      <c r="U599" s="148">
        <f>IFERROR(__xludf.DUMMYFUNCTION("""COMPUTED_VALUE"""),0.0)</f>
        <v>0</v>
      </c>
      <c r="V599" s="148" t="str">
        <f>IFERROR(__xludf.DUMMYFUNCTION("""COMPUTED_VALUE"""),"[]")</f>
        <v>[]</v>
      </c>
      <c r="W599" s="148">
        <f>IFERROR(__xludf.DUMMYFUNCTION("""COMPUTED_VALUE"""),1.174E7)</f>
        <v>11740000</v>
      </c>
      <c r="X599" s="148">
        <f>IFERROR(__xludf.DUMMYFUNCTION("""COMPUTED_VALUE"""),0.0)</f>
        <v>0</v>
      </c>
      <c r="Y599" s="148">
        <f>IFERROR(__xludf.DUMMYFUNCTION("""COMPUTED_VALUE"""),0.0)</f>
        <v>0</v>
      </c>
      <c r="Z599" s="148"/>
    </row>
    <row r="600">
      <c r="A600" s="148">
        <f>IFERROR(__xludf.DUMMYFUNCTION("""COMPUTED_VALUE"""),1.1112393E7)</f>
        <v>11112393</v>
      </c>
      <c r="B600" s="148" t="str">
        <f>IFERROR(__xludf.DUMMYFUNCTION("""COMPUTED_VALUE"""),"2025情人节-装饰券宝箱")</f>
        <v>2025情人节-装饰券宝箱</v>
      </c>
      <c r="C600" s="148"/>
      <c r="D600" s="148" t="str">
        <f>IFERROR(__xludf.DUMMYFUNCTION("""COMPUTED_VALUE"""),"valentine_reward_box")</f>
        <v>valentine_reward_box</v>
      </c>
      <c r="E600" s="148">
        <f>IFERROR(__xludf.DUMMYFUNCTION("""COMPUTED_VALUE"""),19.0)</f>
        <v>19</v>
      </c>
      <c r="F600" s="148">
        <f>IFERROR(__xludf.DUMMYFUNCTION("""COMPUTED_VALUE"""),201101.0)</f>
        <v>201101</v>
      </c>
      <c r="G600" s="148">
        <f>IFERROR(__xludf.DUMMYFUNCTION("""COMPUTED_VALUE"""),1.5118225E7)</f>
        <v>15118225</v>
      </c>
      <c r="H600" s="148">
        <f>IFERROR(__xludf.DUMMYFUNCTION("""COMPUTED_VALUE"""),1.5112564E7)</f>
        <v>15112564</v>
      </c>
      <c r="I600" s="148" t="str">
        <f>IFERROR(__xludf.DUMMYFUNCTION("""COMPUTED_VALUE"""),"{}")</f>
        <v>{}</v>
      </c>
      <c r="J600" s="148" t="str">
        <f>IFERROR(__xludf.DUMMYFUNCTION("""COMPUTED_VALUE"""),"{""typ"":""lc"",""txt"":""LC_ITEM_fes_box_name""}")</f>
        <v>{"typ":"lc","txt":"LC_ITEM_fes_box_name"}</v>
      </c>
      <c r="K600" s="148" t="str">
        <f>IFERROR(__xludf.DUMMYFUNCTION("""COMPUTED_VALUE"""),"{""typ"":""lc"",""txt"":""LC_ITEM_fes_box_desc""}")</f>
        <v>{"typ":"lc","txt":"LC_ITEM_fes_box_desc"}</v>
      </c>
      <c r="L600" s="148" t="str">
        <f>IFERROR(__xludf.DUMMYFUNCTION("""COMPUTED_VALUE"""),"{""typ"":""lc"",""txt"":""LC_ITEM_horde_elite_box_usedtip""}")</f>
        <v>{"typ":"lc","txt":"LC_ITEM_horde_elite_box_usedtip"}</v>
      </c>
      <c r="M600" s="148">
        <f>IFERROR(__xludf.DUMMYFUNCTION("""COMPUTED_VALUE"""),40.0)</f>
        <v>40</v>
      </c>
      <c r="N600" s="148">
        <f>IFERROR(__xludf.DUMMYFUNCTION("""COMPUTED_VALUE"""),999999.0)</f>
        <v>999999</v>
      </c>
      <c r="O600" s="148">
        <f>IFERROR(__xludf.DUMMYFUNCTION("""COMPUTED_VALUE"""),99999.0)</f>
        <v>99999</v>
      </c>
      <c r="P600" s="148">
        <f>IFERROR(__xludf.DUMMYFUNCTION("""COMPUTED_VALUE"""),99999.0)</f>
        <v>99999</v>
      </c>
      <c r="Q600" s="148" t="str">
        <f>IFERROR(__xludf.DUMMYFUNCTION("""COMPUTED_VALUE"""),"[""bag_other""]")</f>
        <v>["bag_other"]</v>
      </c>
      <c r="R600" s="148" t="str">
        <f>IFERROR(__xludf.DUMMYFUNCTION("""COMPUTED_VALUE"""),"[""bag""]")</f>
        <v>["bag"]</v>
      </c>
      <c r="S600" s="148" t="str">
        <f>IFERROR(__xludf.DUMMYFUNCTION("""COMPUTED_VALUE"""),"{""drop"":{""typ"":""single_random"",""num"":1,""args"":[{""typ"":""item"",""id"":11112030,""num"":1000,""wgt"":19980},{""typ"":""item"",""id"":11112030,""num"":200,""wgt"":120000},{""typ"":""item"",""id"":11112030,""num"":50,""wgt"":200000},{""typ"":""it"&amp;"em"",""id"":11112080,""num"":1,""wgt"":10},{""typ"":""item"",""id"":11112439,""num"":1,""wgt"":10},{""typ"":""item"",""id"":11112030,""num"":20,""wgt"":400000},{""typ"":""item"",""id"":11112030,""num"":100,""wgt"":200000},{""typ"":""item"",""id"":11112030"&amp;",""num"":400,""wgt"":60000}]}}")</f>
        <v>{"drop":{"typ":"single_random","num":1,"args":[{"typ":"item","id":11112030,"num":1000,"wgt":19980},{"typ":"item","id":11112030,"num":200,"wgt":120000},{"typ":"item","id":11112030,"num":50,"wgt":200000},{"typ":"item","id":11112080,"num":1,"wgt":10},{"typ":"item","id":11112439,"num":1,"wgt":10},{"typ":"item","id":11112030,"num":20,"wgt":400000},{"typ":"item","id":11112030,"num":100,"wgt":200000},{"typ":"item","id":11112030,"num":400,"wgt":60000}]}}</v>
      </c>
      <c r="T600" s="148">
        <f>IFERROR(__xludf.DUMMYFUNCTION("""COMPUTED_VALUE"""),-1.0)</f>
        <v>-1</v>
      </c>
      <c r="U600" s="148">
        <f>IFERROR(__xludf.DUMMYFUNCTION("""COMPUTED_VALUE"""),0.0)</f>
        <v>0</v>
      </c>
      <c r="V600" s="148" t="str">
        <f>IFERROR(__xludf.DUMMYFUNCTION("""COMPUTED_VALUE"""),"[]")</f>
        <v>[]</v>
      </c>
      <c r="W600" s="148">
        <f>IFERROR(__xludf.DUMMYFUNCTION("""COMPUTED_VALUE"""),1.174E7)</f>
        <v>11740000</v>
      </c>
      <c r="X600" s="148">
        <f>IFERROR(__xludf.DUMMYFUNCTION("""COMPUTED_VALUE"""),0.0)</f>
        <v>0</v>
      </c>
      <c r="Y600" s="148">
        <f>IFERROR(__xludf.DUMMYFUNCTION("""COMPUTED_VALUE"""),0.0)</f>
        <v>0</v>
      </c>
      <c r="Z600" s="148"/>
    </row>
    <row r="601">
      <c r="A601" s="148">
        <f>IFERROR(__xludf.DUMMYFUNCTION("""COMPUTED_VALUE"""),1.1112394E7)</f>
        <v>11112394</v>
      </c>
      <c r="B601" s="148" t="str">
        <f>IFERROR(__xludf.DUMMYFUNCTION("""COMPUTED_VALUE"""),"情书-情人节2025活动GACHA道具")</f>
        <v>情书-情人节2025活动GACHA道具</v>
      </c>
      <c r="C601" s="148"/>
      <c r="D601" s="148" t="str">
        <f>IFERROR(__xludf.DUMMYFUNCTION("""COMPUTED_VALUE"""),"event")</f>
        <v>event</v>
      </c>
      <c r="E601" s="148">
        <f>IFERROR(__xludf.DUMMYFUNCTION("""COMPUTED_VALUE"""),0.0)</f>
        <v>0</v>
      </c>
      <c r="F601" s="148">
        <f>IFERROR(__xludf.DUMMYFUNCTION("""COMPUTED_VALUE"""),405243.0)</f>
        <v>405243</v>
      </c>
      <c r="G601" s="148">
        <f>IFERROR(__xludf.DUMMYFUNCTION("""COMPUTED_VALUE"""),1.5115834E7)</f>
        <v>15115834</v>
      </c>
      <c r="H601" s="148">
        <f>IFERROR(__xludf.DUMMYFUNCTION("""COMPUTED_VALUE"""),1.5112564E7)</f>
        <v>15112564</v>
      </c>
      <c r="I601" s="148" t="str">
        <f>IFERROR(__xludf.DUMMYFUNCTION("""COMPUTED_VALUE"""),"{}")</f>
        <v>{}</v>
      </c>
      <c r="J601" s="148" t="str">
        <f>IFERROR(__xludf.DUMMYFUNCTION("""COMPUTED_VALUE"""),"{""typ"":""lc"",""txt"":""LC_ITEM_2025valentine_item_name""}")</f>
        <v>{"typ":"lc","txt":"LC_ITEM_2025valentine_item_name"}</v>
      </c>
      <c r="K601" s="148" t="str">
        <f>IFERROR(__xludf.DUMMYFUNCTION("""COMPUTED_VALUE"""),"{""typ"":""lc"",""txt"":""LC_ITEM_2025valentine_item_desc""}")</f>
        <v>{"typ":"lc","txt":"LC_ITEM_2025valentine_item_desc"}</v>
      </c>
      <c r="L601" s="148" t="str">
        <f>IFERROR(__xludf.DUMMYFUNCTION("""COMPUTED_VALUE"""),"{}")</f>
        <v>{}</v>
      </c>
      <c r="M601" s="148">
        <f>IFERROR(__xludf.DUMMYFUNCTION("""COMPUTED_VALUE"""),700.0)</f>
        <v>700</v>
      </c>
      <c r="N601" s="148">
        <f>IFERROR(__xludf.DUMMYFUNCTION("""COMPUTED_VALUE"""),9.99999999E8)</f>
        <v>999999999</v>
      </c>
      <c r="O601" s="148">
        <f>IFERROR(__xludf.DUMMYFUNCTION("""COMPUTED_VALUE"""),9.99999999E8)</f>
        <v>999999999</v>
      </c>
      <c r="P601" s="148">
        <f>IFERROR(__xludf.DUMMYFUNCTION("""COMPUTED_VALUE"""),9.99999999E8)</f>
        <v>999999999</v>
      </c>
      <c r="Q601" s="148" t="str">
        <f>IFERROR(__xludf.DUMMYFUNCTION("""COMPUTED_VALUE"""),"[""bag_other""]")</f>
        <v>["bag_other"]</v>
      </c>
      <c r="R601" s="148" t="str">
        <f>IFERROR(__xludf.DUMMYFUNCTION("""COMPUTED_VALUE"""),"[""bag""]")</f>
        <v>["bag"]</v>
      </c>
      <c r="S601" s="148" t="str">
        <f>IFERROR(__xludf.DUMMYFUNCTION("""COMPUTED_VALUE"""),"{}")</f>
        <v>{}</v>
      </c>
      <c r="T601" s="148">
        <f>IFERROR(__xludf.DUMMYFUNCTION("""COMPUTED_VALUE"""),1.0)</f>
        <v>1</v>
      </c>
      <c r="U601" s="148">
        <f>IFERROR(__xludf.DUMMYFUNCTION("""COMPUTED_VALUE"""),0.0)</f>
        <v>0</v>
      </c>
      <c r="V601" s="148" t="str">
        <f>IFERROR(__xludf.DUMMYFUNCTION("""COMPUTED_VALUE"""),"[]")</f>
        <v>[]</v>
      </c>
      <c r="W601" s="148">
        <f>IFERROR(__xludf.DUMMYFUNCTION("""COMPUTED_VALUE"""),1.174E7)</f>
        <v>11740000</v>
      </c>
      <c r="X601" s="148">
        <f>IFERROR(__xludf.DUMMYFUNCTION("""COMPUTED_VALUE"""),0.0)</f>
        <v>0</v>
      </c>
      <c r="Y601" s="148">
        <f>IFERROR(__xludf.DUMMYFUNCTION("""COMPUTED_VALUE"""),0.0)</f>
        <v>0</v>
      </c>
      <c r="Z601" s="148"/>
    </row>
    <row r="602">
      <c r="A602" s="148">
        <f>IFERROR(__xludf.DUMMYFUNCTION("""COMPUTED_VALUE"""),1.1112395E7)</f>
        <v>11112395</v>
      </c>
      <c r="B602" s="148" t="str">
        <f>IFERROR(__xludf.DUMMYFUNCTION("""COMPUTED_VALUE"""),"情人节2025gacha专用-增加内圈抽奖次数-水晶球")</f>
        <v>情人节2025gacha专用-增加内圈抽奖次数-水晶球</v>
      </c>
      <c r="C602" s="148"/>
      <c r="D602" s="148" t="str">
        <f>IFERROR(__xludf.DUMMYFUNCTION("""COMPUTED_VALUE"""),"event")</f>
        <v>event</v>
      </c>
      <c r="E602" s="148">
        <f>IFERROR(__xludf.DUMMYFUNCTION("""COMPUTED_VALUE"""),0.0)</f>
        <v>0</v>
      </c>
      <c r="F602" s="148">
        <f>IFERROR(__xludf.DUMMYFUNCTION("""COMPUTED_VALUE"""),0.0)</f>
        <v>0</v>
      </c>
      <c r="G602" s="148">
        <f>IFERROR(__xludf.DUMMYFUNCTION("""COMPUTED_VALUE"""),1.5118224E7)</f>
        <v>15118224</v>
      </c>
      <c r="H602" s="148">
        <f>IFERROR(__xludf.DUMMYFUNCTION("""COMPUTED_VALUE"""),1.5112564E7)</f>
        <v>15112564</v>
      </c>
      <c r="I602" s="148" t="str">
        <f>IFERROR(__xludf.DUMMYFUNCTION("""COMPUTED_VALUE"""),"{}")</f>
        <v>{}</v>
      </c>
      <c r="J602" s="148" t="str">
        <f>IFERROR(__xludf.DUMMYFUNCTION("""COMPUTED_VALUE"""),"{""typ"":""lc"",""txt"":""LC_ITEM_valentine_item_2024_name_1""}")</f>
        <v>{"typ":"lc","txt":"LC_ITEM_valentine_item_2024_name_1"}</v>
      </c>
      <c r="K602" s="148" t="str">
        <f>IFERROR(__xludf.DUMMYFUNCTION("""COMPUTED_VALUE"""),"{""typ"":""lc"",""txt"":""LC_ITEM_valentine_item_2024_desc_1""}")</f>
        <v>{"typ":"lc","txt":"LC_ITEM_valentine_item_2024_desc_1"}</v>
      </c>
      <c r="L602" s="148" t="str">
        <f>IFERROR(__xludf.DUMMYFUNCTION("""COMPUTED_VALUE"""),"{}")</f>
        <v>{}</v>
      </c>
      <c r="M602" s="148">
        <f>IFERROR(__xludf.DUMMYFUNCTION("""COMPUTED_VALUE"""),700.0)</f>
        <v>700</v>
      </c>
      <c r="N602" s="148">
        <f>IFERROR(__xludf.DUMMYFUNCTION("""COMPUTED_VALUE"""),9.99999999E8)</f>
        <v>999999999</v>
      </c>
      <c r="O602" s="148">
        <f>IFERROR(__xludf.DUMMYFUNCTION("""COMPUTED_VALUE"""),9.99999999E8)</f>
        <v>999999999</v>
      </c>
      <c r="P602" s="148">
        <f>IFERROR(__xludf.DUMMYFUNCTION("""COMPUTED_VALUE"""),9.99999999E8)</f>
        <v>999999999</v>
      </c>
      <c r="Q602" s="148" t="str">
        <f>IFERROR(__xludf.DUMMYFUNCTION("""COMPUTED_VALUE"""),"[]")</f>
        <v>[]</v>
      </c>
      <c r="R602" s="148" t="str">
        <f>IFERROR(__xludf.DUMMYFUNCTION("""COMPUTED_VALUE"""),"[""bag""]")</f>
        <v>["bag"]</v>
      </c>
      <c r="S602" s="148" t="str">
        <f>IFERROR(__xludf.DUMMYFUNCTION("""COMPUTED_VALUE"""),"{}")</f>
        <v>{}</v>
      </c>
      <c r="T602" s="148">
        <f>IFERROR(__xludf.DUMMYFUNCTION("""COMPUTED_VALUE"""),1.0)</f>
        <v>1</v>
      </c>
      <c r="U602" s="148">
        <f>IFERROR(__xludf.DUMMYFUNCTION("""COMPUTED_VALUE"""),0.0)</f>
        <v>0</v>
      </c>
      <c r="V602" s="148" t="str">
        <f>IFERROR(__xludf.DUMMYFUNCTION("""COMPUTED_VALUE"""),"[]")</f>
        <v>[]</v>
      </c>
      <c r="W602" s="148">
        <f>IFERROR(__xludf.DUMMYFUNCTION("""COMPUTED_VALUE"""),1.174E7)</f>
        <v>11740000</v>
      </c>
      <c r="X602" s="148">
        <f>IFERROR(__xludf.DUMMYFUNCTION("""COMPUTED_VALUE"""),0.0)</f>
        <v>0</v>
      </c>
      <c r="Y602" s="148">
        <f>IFERROR(__xludf.DUMMYFUNCTION("""COMPUTED_VALUE"""),0.0)</f>
        <v>0</v>
      </c>
      <c r="Z602" s="148"/>
    </row>
    <row r="603">
      <c r="A603" s="148">
        <f>IFERROR(__xludf.DUMMYFUNCTION("""COMPUTED_VALUE"""),1.1112396E7)</f>
        <v>11112396</v>
      </c>
      <c r="B603" s="148" t="str">
        <f>IFERROR(__xludf.DUMMYFUNCTION("""COMPUTED_VALUE"""),"春节通用BattlePass-初级通行证")</f>
        <v>春节通用BattlePass-初级通行证</v>
      </c>
      <c r="C603" s="148"/>
      <c r="D603" s="148" t="str">
        <f>IFERROR(__xludf.DUMMYFUNCTION("""COMPUTED_VALUE"""),"battle_pass_card")</f>
        <v>battle_pass_card</v>
      </c>
      <c r="E603" s="148">
        <f>IFERROR(__xludf.DUMMYFUNCTION("""COMPUTED_VALUE"""),0.0)</f>
        <v>0</v>
      </c>
      <c r="F603" s="148">
        <f>IFERROR(__xludf.DUMMYFUNCTION("""COMPUTED_VALUE"""),0.0)</f>
        <v>0</v>
      </c>
      <c r="G603" s="148">
        <f>IFERROR(__xludf.DUMMYFUNCTION("""COMPUTED_VALUE"""),1.5115833E7)</f>
        <v>15115833</v>
      </c>
      <c r="H603" s="148">
        <f>IFERROR(__xludf.DUMMYFUNCTION("""COMPUTED_VALUE"""),1.5112563E7)</f>
        <v>15112563</v>
      </c>
      <c r="I603" s="148" t="str">
        <f>IFERROR(__xludf.DUMMYFUNCTION("""COMPUTED_VALUE"""),"{}")</f>
        <v>{}</v>
      </c>
      <c r="J603" s="148" t="str">
        <f>IFERROR(__xludf.DUMMYFUNCTION("""COMPUTED_VALUE"""),"{""typ"":""lc"",""txt"":""LC_EVENT_spring_actv4_iap_2023_1""}")</f>
        <v>{"typ":"lc","txt":"LC_EVENT_spring_actv4_iap_2023_1"}</v>
      </c>
      <c r="K603" s="148" t="str">
        <f>IFERROR(__xludf.DUMMYFUNCTION("""COMPUTED_VALUE"""),"{}")</f>
        <v>{}</v>
      </c>
      <c r="L603" s="148" t="str">
        <f>IFERROR(__xludf.DUMMYFUNCTION("""COMPUTED_VALUE"""),"{}")</f>
        <v>{}</v>
      </c>
      <c r="M603" s="148">
        <f>IFERROR(__xludf.DUMMYFUNCTION("""COMPUTED_VALUE"""),10.0)</f>
        <v>10</v>
      </c>
      <c r="N603" s="148">
        <f>IFERROR(__xludf.DUMMYFUNCTION("""COMPUTED_VALUE"""),999999.0)</f>
        <v>999999</v>
      </c>
      <c r="O603" s="148">
        <f>IFERROR(__xludf.DUMMYFUNCTION("""COMPUTED_VALUE"""),99999.0)</f>
        <v>99999</v>
      </c>
      <c r="P603" s="148">
        <f>IFERROR(__xludf.DUMMYFUNCTION("""COMPUTED_VALUE"""),9999.0)</f>
        <v>9999</v>
      </c>
      <c r="Q603" s="148" t="str">
        <f>IFERROR(__xludf.DUMMYFUNCTION("""COMPUTED_VALUE"""),"[]")</f>
        <v>[]</v>
      </c>
      <c r="R603" s="148" t="str">
        <f>IFERROR(__xludf.DUMMYFUNCTION("""COMPUTED_VALUE"""),"[]")</f>
        <v>[]</v>
      </c>
      <c r="S603" s="148" t="str">
        <f>IFERROR(__xludf.DUMMYFUNCTION("""COMPUTED_VALUE"""),"{}")</f>
        <v>{}</v>
      </c>
      <c r="T603" s="148">
        <f>IFERROR(__xludf.DUMMYFUNCTION("""COMPUTED_VALUE"""),-1.0)</f>
        <v>-1</v>
      </c>
      <c r="U603" s="148">
        <f>IFERROR(__xludf.DUMMYFUNCTION("""COMPUTED_VALUE"""),1.0)</f>
        <v>1</v>
      </c>
      <c r="V603" s="148" t="str">
        <f>IFERROR(__xludf.DUMMYFUNCTION("""COMPUTED_VALUE"""),"[]")</f>
        <v>[]</v>
      </c>
      <c r="W603" s="148">
        <f>IFERROR(__xludf.DUMMYFUNCTION("""COMPUTED_VALUE"""),1.174E7)</f>
        <v>11740000</v>
      </c>
      <c r="X603" s="148">
        <f>IFERROR(__xludf.DUMMYFUNCTION("""COMPUTED_VALUE"""),0.0)</f>
        <v>0</v>
      </c>
      <c r="Y603" s="148">
        <f>IFERROR(__xludf.DUMMYFUNCTION("""COMPUTED_VALUE"""),0.0)</f>
        <v>0</v>
      </c>
      <c r="Z603" s="148"/>
    </row>
    <row r="604">
      <c r="A604" s="148">
        <f>IFERROR(__xludf.DUMMYFUNCTION("""COMPUTED_VALUE"""),1.1112397E7)</f>
        <v>11112397</v>
      </c>
      <c r="B604" s="148" t="str">
        <f>IFERROR(__xludf.DUMMYFUNCTION("""COMPUTED_VALUE"""),"春节通用BattlePass-高级通行证")</f>
        <v>春节通用BattlePass-高级通行证</v>
      </c>
      <c r="C604" s="148"/>
      <c r="D604" s="148" t="str">
        <f>IFERROR(__xludf.DUMMYFUNCTION("""COMPUTED_VALUE"""),"battle_pass_card")</f>
        <v>battle_pass_card</v>
      </c>
      <c r="E604" s="148">
        <f>IFERROR(__xludf.DUMMYFUNCTION("""COMPUTED_VALUE"""),0.0)</f>
        <v>0</v>
      </c>
      <c r="F604" s="148">
        <f>IFERROR(__xludf.DUMMYFUNCTION("""COMPUTED_VALUE"""),0.0)</f>
        <v>0</v>
      </c>
      <c r="G604" s="148">
        <f>IFERROR(__xludf.DUMMYFUNCTION("""COMPUTED_VALUE"""),1.5115833E7)</f>
        <v>15115833</v>
      </c>
      <c r="H604" s="148">
        <f>IFERROR(__xludf.DUMMYFUNCTION("""COMPUTED_VALUE"""),1.5112564E7)</f>
        <v>15112564</v>
      </c>
      <c r="I604" s="148" t="str">
        <f>IFERROR(__xludf.DUMMYFUNCTION("""COMPUTED_VALUE"""),"{}")</f>
        <v>{}</v>
      </c>
      <c r="J604" s="148" t="str">
        <f>IFERROR(__xludf.DUMMYFUNCTION("""COMPUTED_VALUE"""),"{""typ"":""lc"",""txt"":""LC_EVENT_spring_actv4_iap_2023_2""}")</f>
        <v>{"typ":"lc","txt":"LC_EVENT_spring_actv4_iap_2023_2"}</v>
      </c>
      <c r="K604" s="148" t="str">
        <f>IFERROR(__xludf.DUMMYFUNCTION("""COMPUTED_VALUE"""),"{}")</f>
        <v>{}</v>
      </c>
      <c r="L604" s="148" t="str">
        <f>IFERROR(__xludf.DUMMYFUNCTION("""COMPUTED_VALUE"""),"{}")</f>
        <v>{}</v>
      </c>
      <c r="M604" s="148">
        <f>IFERROR(__xludf.DUMMYFUNCTION("""COMPUTED_VALUE"""),10.0)</f>
        <v>10</v>
      </c>
      <c r="N604" s="148">
        <f>IFERROR(__xludf.DUMMYFUNCTION("""COMPUTED_VALUE"""),999999.0)</f>
        <v>999999</v>
      </c>
      <c r="O604" s="148">
        <f>IFERROR(__xludf.DUMMYFUNCTION("""COMPUTED_VALUE"""),99999.0)</f>
        <v>99999</v>
      </c>
      <c r="P604" s="148">
        <f>IFERROR(__xludf.DUMMYFUNCTION("""COMPUTED_VALUE"""),9999.0)</f>
        <v>9999</v>
      </c>
      <c r="Q604" s="148" t="str">
        <f>IFERROR(__xludf.DUMMYFUNCTION("""COMPUTED_VALUE"""),"[]")</f>
        <v>[]</v>
      </c>
      <c r="R604" s="148" t="str">
        <f>IFERROR(__xludf.DUMMYFUNCTION("""COMPUTED_VALUE"""),"[]")</f>
        <v>[]</v>
      </c>
      <c r="S604" s="148" t="str">
        <f>IFERROR(__xludf.DUMMYFUNCTION("""COMPUTED_VALUE"""),"{}")</f>
        <v>{}</v>
      </c>
      <c r="T604" s="148">
        <f>IFERROR(__xludf.DUMMYFUNCTION("""COMPUTED_VALUE"""),-1.0)</f>
        <v>-1</v>
      </c>
      <c r="U604" s="148">
        <f>IFERROR(__xludf.DUMMYFUNCTION("""COMPUTED_VALUE"""),1.0)</f>
        <v>1</v>
      </c>
      <c r="V604" s="148" t="str">
        <f>IFERROR(__xludf.DUMMYFUNCTION("""COMPUTED_VALUE"""),"[]")</f>
        <v>[]</v>
      </c>
      <c r="W604" s="148">
        <f>IFERROR(__xludf.DUMMYFUNCTION("""COMPUTED_VALUE"""),1.174E7)</f>
        <v>11740000</v>
      </c>
      <c r="X604" s="148">
        <f>IFERROR(__xludf.DUMMYFUNCTION("""COMPUTED_VALUE"""),0.0)</f>
        <v>0</v>
      </c>
      <c r="Y604" s="148">
        <f>IFERROR(__xludf.DUMMYFUNCTION("""COMPUTED_VALUE"""),0.0)</f>
        <v>0</v>
      </c>
      <c r="Z604" s="148"/>
    </row>
    <row r="605">
      <c r="A605" s="148">
        <f>IFERROR(__xludf.DUMMYFUNCTION("""COMPUTED_VALUE"""),1.1112398E7)</f>
        <v>11112398</v>
      </c>
      <c r="B605" s="148" t="str">
        <f>IFERROR(__xludf.DUMMYFUNCTION("""COMPUTED_VALUE"""),"绣球-春节通用BP升级道具")</f>
        <v>绣球-春节通用BP升级道具</v>
      </c>
      <c r="C605" s="148"/>
      <c r="D605" s="148" t="str">
        <f>IFERROR(__xludf.DUMMYFUNCTION("""COMPUTED_VALUE"""),"battle_pass_exp")</f>
        <v>battle_pass_exp</v>
      </c>
      <c r="E605" s="148">
        <f>IFERROR(__xludf.DUMMYFUNCTION("""COMPUTED_VALUE"""),0.0)</f>
        <v>0</v>
      </c>
      <c r="F605" s="148">
        <f>IFERROR(__xludf.DUMMYFUNCTION("""COMPUTED_VALUE"""),405224.0)</f>
        <v>405224</v>
      </c>
      <c r="G605" s="148">
        <f>IFERROR(__xludf.DUMMYFUNCTION("""COMPUTED_VALUE"""),1.5115833E7)</f>
        <v>15115833</v>
      </c>
      <c r="H605" s="148">
        <f>IFERROR(__xludf.DUMMYFUNCTION("""COMPUTED_VALUE"""),1.5112563E7)</f>
        <v>15112563</v>
      </c>
      <c r="I605" s="148" t="str">
        <f>IFERROR(__xludf.DUMMYFUNCTION("""COMPUTED_VALUE"""),"{}")</f>
        <v>{}</v>
      </c>
      <c r="J605" s="148" t="str">
        <f>IFERROR(__xludf.DUMMYFUNCTION("""COMPUTED_VALUE"""),"{""typ"":""lc"",""txt"":""LC_ITEM_spring_item_2023_name_1""}")</f>
        <v>{"typ":"lc","txt":"LC_ITEM_spring_item_2023_name_1"}</v>
      </c>
      <c r="K605" s="148" t="str">
        <f>IFERROR(__xludf.DUMMYFUNCTION("""COMPUTED_VALUE"""),"{""typ"":""lc"",""txt"":""LC_ITEM_spring_item_2023_desc_1""}")</f>
        <v>{"typ":"lc","txt":"LC_ITEM_spring_item_2023_desc_1"}</v>
      </c>
      <c r="L605" s="148" t="str">
        <f>IFERROR(__xludf.DUMMYFUNCTION("""COMPUTED_VALUE"""),"{}")</f>
        <v>{}</v>
      </c>
      <c r="M605" s="148">
        <f>IFERROR(__xludf.DUMMYFUNCTION("""COMPUTED_VALUE"""),35.0)</f>
        <v>35</v>
      </c>
      <c r="N605" s="148">
        <f>IFERROR(__xludf.DUMMYFUNCTION("""COMPUTED_VALUE"""),999999.0)</f>
        <v>999999</v>
      </c>
      <c r="O605" s="148">
        <f>IFERROR(__xludf.DUMMYFUNCTION("""COMPUTED_VALUE"""),99999.0)</f>
        <v>99999</v>
      </c>
      <c r="P605" s="148">
        <f>IFERROR(__xludf.DUMMYFUNCTION("""COMPUTED_VALUE"""),99999.0)</f>
        <v>99999</v>
      </c>
      <c r="Q605" s="148" t="str">
        <f>IFERROR(__xludf.DUMMYFUNCTION("""COMPUTED_VALUE"""),"[""bag_other""]")</f>
        <v>["bag_other"]</v>
      </c>
      <c r="R605" s="148" t="str">
        <f>IFERROR(__xludf.DUMMYFUNCTION("""COMPUTED_VALUE"""),"[""bag""]")</f>
        <v>["bag"]</v>
      </c>
      <c r="S605" s="148" t="str">
        <f>IFERROR(__xludf.DUMMYFUNCTION("""COMPUTED_VALUE"""),"{}")</f>
        <v>{}</v>
      </c>
      <c r="T605" s="148">
        <f>IFERROR(__xludf.DUMMYFUNCTION("""COMPUTED_VALUE"""),-1.0)</f>
        <v>-1</v>
      </c>
      <c r="U605" s="148">
        <f>IFERROR(__xludf.DUMMYFUNCTION("""COMPUTED_VALUE"""),0.0)</f>
        <v>0</v>
      </c>
      <c r="V605" s="148" t="str">
        <f>IFERROR(__xludf.DUMMYFUNCTION("""COMPUTED_VALUE"""),"[]")</f>
        <v>[]</v>
      </c>
      <c r="W605" s="148">
        <f>IFERROR(__xludf.DUMMYFUNCTION("""COMPUTED_VALUE"""),1.174E7)</f>
        <v>11740000</v>
      </c>
      <c r="X605" s="148">
        <f>IFERROR(__xludf.DUMMYFUNCTION("""COMPUTED_VALUE"""),0.0)</f>
        <v>0</v>
      </c>
      <c r="Y605" s="148">
        <f>IFERROR(__xludf.DUMMYFUNCTION("""COMPUTED_VALUE"""),0.0)</f>
        <v>0</v>
      </c>
      <c r="Z605" s="148"/>
    </row>
    <row r="606">
      <c r="A606" s="148">
        <f>IFERROR(__xludf.DUMMYFUNCTION("""COMPUTED_VALUE"""),1.1112399E7)</f>
        <v>11112399</v>
      </c>
      <c r="B606" s="148" t="str">
        <f>IFERROR(__xludf.DUMMYFUNCTION("""COMPUTED_VALUE"""),"行军特效-年年有余-1天限时")</f>
        <v>行军特效-年年有余-1天限时</v>
      </c>
      <c r="C606" s="148"/>
      <c r="D606" s="148" t="str">
        <f>IFERROR(__xludf.DUMMYFUNCTION("""COMPUTED_VALUE"""),"marching_effect")</f>
        <v>marching_effect</v>
      </c>
      <c r="E606" s="148">
        <f>IFERROR(__xludf.DUMMYFUNCTION("""COMPUTED_VALUE"""),0.0)</f>
        <v>0</v>
      </c>
      <c r="F606" s="148">
        <f>IFERROR(__xludf.DUMMYFUNCTION("""COMPUTED_VALUE"""),408200.0)</f>
        <v>408200</v>
      </c>
      <c r="G606" s="148">
        <f>IFERROR(__xludf.DUMMYFUNCTION("""COMPUTED_VALUE"""),1.51101289E8)</f>
        <v>151101289</v>
      </c>
      <c r="H606" s="148">
        <f>IFERROR(__xludf.DUMMYFUNCTION("""COMPUTED_VALUE"""),1.511256E7)</f>
        <v>15112560</v>
      </c>
      <c r="I606" s="148" t="str">
        <f>IFERROR(__xludf.DUMMYFUNCTION("""COMPUTED_VALUE"""),"{""typ"":""lc"",""txt"":""LC_ITEM_time_day_upper_show"",""args"":[{""typ"":""int_unit"",""val"":1}]}")</f>
        <v>{"typ":"lc","txt":"LC_ITEM_time_day_upper_show","args":[{"typ":"int_unit","val":1}]}</v>
      </c>
      <c r="J606" s="148" t="str">
        <f>IFERROR(__xludf.DUMMYFUNCTION("""COMPUTED_VALUE"""),"{""typ"":""lc"",""txt"":""LC_ITEM_spring25_march_effect_name""}")</f>
        <v>{"typ":"lc","txt":"LC_ITEM_spring25_march_effect_name"}</v>
      </c>
      <c r="K606" s="148" t="str">
        <f>IFERROR(__xludf.DUMMYFUNCTION("""COMPUTED_VALUE"""),"{""typ"":""lc"",""txt"":""LC_ITEM_spring25_march_effect_desc""}")</f>
        <v>{"typ":"lc","txt":"LC_ITEM_spring25_march_effect_desc"}</v>
      </c>
      <c r="L606" s="148" t="str">
        <f>IFERROR(__xludf.DUMMYFUNCTION("""COMPUTED_VALUE"""),"{""typ"":""lc"",""txt"":""LC_ITEM_march_effect_use_tip_all""}")</f>
        <v>{"typ":"lc","txt":"LC_ITEM_march_effect_use_tip_all"}</v>
      </c>
      <c r="M606" s="148">
        <f>IFERROR(__xludf.DUMMYFUNCTION("""COMPUTED_VALUE"""),50.0)</f>
        <v>50</v>
      </c>
      <c r="N606" s="148">
        <f>IFERROR(__xludf.DUMMYFUNCTION("""COMPUTED_VALUE"""),999999.0)</f>
        <v>999999</v>
      </c>
      <c r="O606" s="148">
        <f>IFERROR(__xludf.DUMMYFUNCTION("""COMPUTED_VALUE"""),99999.0)</f>
        <v>99999</v>
      </c>
      <c r="P606" s="148">
        <f>IFERROR(__xludf.DUMMYFUNCTION("""COMPUTED_VALUE"""),1.0)</f>
        <v>1</v>
      </c>
      <c r="Q606" s="148" t="str">
        <f>IFERROR(__xludf.DUMMYFUNCTION("""COMPUTED_VALUE"""),"[""bag_other""]")</f>
        <v>["bag_other"]</v>
      </c>
      <c r="R606" s="148" t="str">
        <f>IFERROR(__xludf.DUMMYFUNCTION("""COMPUTED_VALUE"""),"[""bag"",""13650129""]")</f>
        <v>["bag","13650129"]</v>
      </c>
      <c r="S606" s="148" t="str">
        <f>IFERROR(__xludf.DUMMYFUNCTION("""COMPUTED_VALUE"""),"{""effect"":[{""typ"":""marching_effect"",""id"":13650129,""val"":86400000},{""typ"":""vm"",""id"":11151001,""val"":50}]}")</f>
        <v>{"effect":[{"typ":"marching_effect","id":13650129,"val":86400000},{"typ":"vm","id":11151001,"val":50}]}</v>
      </c>
      <c r="T606" s="148">
        <f>IFERROR(__xludf.DUMMYFUNCTION("""COMPUTED_VALUE"""),-1.0)</f>
        <v>-1</v>
      </c>
      <c r="U606" s="148">
        <f>IFERROR(__xludf.DUMMYFUNCTION("""COMPUTED_VALUE"""),0.0)</f>
        <v>0</v>
      </c>
      <c r="V606" s="148" t="str">
        <f>IFERROR(__xludf.DUMMYFUNCTION("""COMPUTED_VALUE"""),"[]")</f>
        <v>[]</v>
      </c>
      <c r="W606" s="148">
        <f>IFERROR(__xludf.DUMMYFUNCTION("""COMPUTED_VALUE"""),1.174E7)</f>
        <v>11740000</v>
      </c>
      <c r="X606" s="148">
        <f>IFERROR(__xludf.DUMMYFUNCTION("""COMPUTED_VALUE"""),0.0)</f>
        <v>0</v>
      </c>
      <c r="Y606" s="148">
        <f>IFERROR(__xludf.DUMMYFUNCTION("""COMPUTED_VALUE"""),0.0)</f>
        <v>0</v>
      </c>
      <c r="Z606" s="148"/>
    </row>
    <row r="607">
      <c r="A607" s="148">
        <f>IFERROR(__xludf.DUMMYFUNCTION("""COMPUTED_VALUE"""),1.11124E7)</f>
        <v>11112400</v>
      </c>
      <c r="B607" s="148" t="str">
        <f>IFERROR(__xludf.DUMMYFUNCTION("""COMPUTED_VALUE"""),"行军特效-年年有余-3天限时")</f>
        <v>行军特效-年年有余-3天限时</v>
      </c>
      <c r="C607" s="148"/>
      <c r="D607" s="148" t="str">
        <f>IFERROR(__xludf.DUMMYFUNCTION("""COMPUTED_VALUE"""),"marching_effect")</f>
        <v>marching_effect</v>
      </c>
      <c r="E607" s="148">
        <f>IFERROR(__xludf.DUMMYFUNCTION("""COMPUTED_VALUE"""),0.0)</f>
        <v>0</v>
      </c>
      <c r="F607" s="148">
        <f>IFERROR(__xludf.DUMMYFUNCTION("""COMPUTED_VALUE"""),408199.0)</f>
        <v>408199</v>
      </c>
      <c r="G607" s="148">
        <f>IFERROR(__xludf.DUMMYFUNCTION("""COMPUTED_VALUE"""),1.51101289E8)</f>
        <v>151101289</v>
      </c>
      <c r="H607" s="148">
        <f>IFERROR(__xludf.DUMMYFUNCTION("""COMPUTED_VALUE"""),1.5112561E7)</f>
        <v>15112561</v>
      </c>
      <c r="I607" s="148" t="str">
        <f>IFERROR(__xludf.DUMMYFUNCTION("""COMPUTED_VALUE"""),"{""typ"":""lc"",""txt"":""LC_ITEM_time_day_upper_show"",""args"":[{""typ"":""int_unit"",""val"":3}]}")</f>
        <v>{"typ":"lc","txt":"LC_ITEM_time_day_upper_show","args":[{"typ":"int_unit","val":3}]}</v>
      </c>
      <c r="J607" s="148" t="str">
        <f>IFERROR(__xludf.DUMMYFUNCTION("""COMPUTED_VALUE"""),"{""typ"":""lc"",""txt"":""LC_ITEM_spring25_march_effect_name""}")</f>
        <v>{"typ":"lc","txt":"LC_ITEM_spring25_march_effect_name"}</v>
      </c>
      <c r="K607" s="148" t="str">
        <f>IFERROR(__xludf.DUMMYFUNCTION("""COMPUTED_VALUE"""),"{""typ"":""lc"",""txt"":""LC_ITEM_spring25_march_effect_desc""}")</f>
        <v>{"typ":"lc","txt":"LC_ITEM_spring25_march_effect_desc"}</v>
      </c>
      <c r="L607" s="148" t="str">
        <f>IFERROR(__xludf.DUMMYFUNCTION("""COMPUTED_VALUE"""),"{""typ"":""lc"",""txt"":""LC_ITEM_march_effect_use_tip_all""}")</f>
        <v>{"typ":"lc","txt":"LC_ITEM_march_effect_use_tip_all"}</v>
      </c>
      <c r="M607" s="148">
        <f>IFERROR(__xludf.DUMMYFUNCTION("""COMPUTED_VALUE"""),200.0)</f>
        <v>200</v>
      </c>
      <c r="N607" s="148">
        <f>IFERROR(__xludf.DUMMYFUNCTION("""COMPUTED_VALUE"""),999999.0)</f>
        <v>999999</v>
      </c>
      <c r="O607" s="148">
        <f>IFERROR(__xludf.DUMMYFUNCTION("""COMPUTED_VALUE"""),99999.0)</f>
        <v>99999</v>
      </c>
      <c r="P607" s="148">
        <f>IFERROR(__xludf.DUMMYFUNCTION("""COMPUTED_VALUE"""),1.0)</f>
        <v>1</v>
      </c>
      <c r="Q607" s="148" t="str">
        <f>IFERROR(__xludf.DUMMYFUNCTION("""COMPUTED_VALUE"""),"[""bag_other""]")</f>
        <v>["bag_other"]</v>
      </c>
      <c r="R607" s="148" t="str">
        <f>IFERROR(__xludf.DUMMYFUNCTION("""COMPUTED_VALUE"""),"[""bag"",""13650129""]")</f>
        <v>["bag","13650129"]</v>
      </c>
      <c r="S607" s="148" t="str">
        <f>IFERROR(__xludf.DUMMYFUNCTION("""COMPUTED_VALUE"""),"{""effect"":[{""typ"":""marching_effect"",""id"":13650129,""val"":259200000},{""typ"":""vm"",""id"":11151001,""val"":200}]}")</f>
        <v>{"effect":[{"typ":"marching_effect","id":13650129,"val":259200000},{"typ":"vm","id":11151001,"val":200}]}</v>
      </c>
      <c r="T607" s="148">
        <f>IFERROR(__xludf.DUMMYFUNCTION("""COMPUTED_VALUE"""),-1.0)</f>
        <v>-1</v>
      </c>
      <c r="U607" s="148">
        <f>IFERROR(__xludf.DUMMYFUNCTION("""COMPUTED_VALUE"""),0.0)</f>
        <v>0</v>
      </c>
      <c r="V607" s="148" t="str">
        <f>IFERROR(__xludf.DUMMYFUNCTION("""COMPUTED_VALUE"""),"[]")</f>
        <v>[]</v>
      </c>
      <c r="W607" s="148">
        <f>IFERROR(__xludf.DUMMYFUNCTION("""COMPUTED_VALUE"""),1.174E7)</f>
        <v>11740000</v>
      </c>
      <c r="X607" s="148">
        <f>IFERROR(__xludf.DUMMYFUNCTION("""COMPUTED_VALUE"""),0.0)</f>
        <v>0</v>
      </c>
      <c r="Y607" s="148">
        <f>IFERROR(__xludf.DUMMYFUNCTION("""COMPUTED_VALUE"""),0.0)</f>
        <v>0</v>
      </c>
      <c r="Z607" s="148"/>
    </row>
    <row r="608">
      <c r="A608" s="148">
        <f>IFERROR(__xludf.DUMMYFUNCTION("""COMPUTED_VALUE"""),1.1112401E7)</f>
        <v>11112401</v>
      </c>
      <c r="B608" s="148" t="str">
        <f>IFERROR(__xludf.DUMMYFUNCTION("""COMPUTED_VALUE"""),"行军特效-年年有余-7天限时")</f>
        <v>行军特效-年年有余-7天限时</v>
      </c>
      <c r="C608" s="148"/>
      <c r="D608" s="148" t="str">
        <f>IFERROR(__xludf.DUMMYFUNCTION("""COMPUTED_VALUE"""),"marching_effect")</f>
        <v>marching_effect</v>
      </c>
      <c r="E608" s="148">
        <f>IFERROR(__xludf.DUMMYFUNCTION("""COMPUTED_VALUE"""),0.0)</f>
        <v>0</v>
      </c>
      <c r="F608" s="148">
        <f>IFERROR(__xludf.DUMMYFUNCTION("""COMPUTED_VALUE"""),408198.0)</f>
        <v>408198</v>
      </c>
      <c r="G608" s="148">
        <f>IFERROR(__xludf.DUMMYFUNCTION("""COMPUTED_VALUE"""),1.51101289E8)</f>
        <v>151101289</v>
      </c>
      <c r="H608" s="148">
        <f>IFERROR(__xludf.DUMMYFUNCTION("""COMPUTED_VALUE"""),1.5112562E7)</f>
        <v>15112562</v>
      </c>
      <c r="I608" s="148" t="str">
        <f>IFERROR(__xludf.DUMMYFUNCTION("""COMPUTED_VALUE"""),"{""typ"":""lc"",""txt"":""LC_ITEM_time_day_upper_show"",""args"":[{""typ"":""int_unit"",""val"":7}]}")</f>
        <v>{"typ":"lc","txt":"LC_ITEM_time_day_upper_show","args":[{"typ":"int_unit","val":7}]}</v>
      </c>
      <c r="J608" s="148" t="str">
        <f>IFERROR(__xludf.DUMMYFUNCTION("""COMPUTED_VALUE"""),"{""typ"":""lc"",""txt"":""LC_ITEM_spring25_march_effect_name""}")</f>
        <v>{"typ":"lc","txt":"LC_ITEM_spring25_march_effect_name"}</v>
      </c>
      <c r="K608" s="148" t="str">
        <f>IFERROR(__xludf.DUMMYFUNCTION("""COMPUTED_VALUE"""),"{""typ"":""lc"",""txt"":""LC_ITEM_spring25_march_effect_desc""}")</f>
        <v>{"typ":"lc","txt":"LC_ITEM_spring25_march_effect_desc"}</v>
      </c>
      <c r="L608" s="148" t="str">
        <f>IFERROR(__xludf.DUMMYFUNCTION("""COMPUTED_VALUE"""),"{""typ"":""lc"",""txt"":""LC_ITEM_march_effect_use_tip_all""}")</f>
        <v>{"typ":"lc","txt":"LC_ITEM_march_effect_use_tip_all"}</v>
      </c>
      <c r="M608" s="148">
        <f>IFERROR(__xludf.DUMMYFUNCTION("""COMPUTED_VALUE"""),500.0)</f>
        <v>500</v>
      </c>
      <c r="N608" s="148">
        <f>IFERROR(__xludf.DUMMYFUNCTION("""COMPUTED_VALUE"""),999999.0)</f>
        <v>999999</v>
      </c>
      <c r="O608" s="148">
        <f>IFERROR(__xludf.DUMMYFUNCTION("""COMPUTED_VALUE"""),99999.0)</f>
        <v>99999</v>
      </c>
      <c r="P608" s="148">
        <f>IFERROR(__xludf.DUMMYFUNCTION("""COMPUTED_VALUE"""),1.0)</f>
        <v>1</v>
      </c>
      <c r="Q608" s="148" t="str">
        <f>IFERROR(__xludf.DUMMYFUNCTION("""COMPUTED_VALUE"""),"[""bag_other""]")</f>
        <v>["bag_other"]</v>
      </c>
      <c r="R608" s="148" t="str">
        <f>IFERROR(__xludf.DUMMYFUNCTION("""COMPUTED_VALUE"""),"[""bag"",""13650129""]")</f>
        <v>["bag","13650129"]</v>
      </c>
      <c r="S608" s="148" t="str">
        <f>IFERROR(__xludf.DUMMYFUNCTION("""COMPUTED_VALUE"""),"{""effect"":[{""typ"":""marching_effect"",""id"":13650129,""val"":604800000},{""typ"":""vm"",""id"":11151001,""val"":500}]}")</f>
        <v>{"effect":[{"typ":"marching_effect","id":13650129,"val":604800000},{"typ":"vm","id":11151001,"val":500}]}</v>
      </c>
      <c r="T608" s="148">
        <f>IFERROR(__xludf.DUMMYFUNCTION("""COMPUTED_VALUE"""),-1.0)</f>
        <v>-1</v>
      </c>
      <c r="U608" s="148">
        <f>IFERROR(__xludf.DUMMYFUNCTION("""COMPUTED_VALUE"""),0.0)</f>
        <v>0</v>
      </c>
      <c r="V608" s="148" t="str">
        <f>IFERROR(__xludf.DUMMYFUNCTION("""COMPUTED_VALUE"""),"[]")</f>
        <v>[]</v>
      </c>
      <c r="W608" s="148">
        <f>IFERROR(__xludf.DUMMYFUNCTION("""COMPUTED_VALUE"""),1.174E7)</f>
        <v>11740000</v>
      </c>
      <c r="X608" s="148">
        <f>IFERROR(__xludf.DUMMYFUNCTION("""COMPUTED_VALUE"""),0.0)</f>
        <v>0</v>
      </c>
      <c r="Y608" s="148">
        <f>IFERROR(__xludf.DUMMYFUNCTION("""COMPUTED_VALUE"""),0.0)</f>
        <v>0</v>
      </c>
      <c r="Z608" s="148"/>
    </row>
    <row r="609">
      <c r="A609" s="148">
        <f>IFERROR(__xludf.DUMMYFUNCTION("""COMPUTED_VALUE"""),1.1112402E7)</f>
        <v>11112402</v>
      </c>
      <c r="B609" s="148" t="str">
        <f>IFERROR(__xludf.DUMMYFUNCTION("""COMPUTED_VALUE"""),"行军特效-年年有余-14天限时")</f>
        <v>行军特效-年年有余-14天限时</v>
      </c>
      <c r="C609" s="148"/>
      <c r="D609" s="148" t="str">
        <f>IFERROR(__xludf.DUMMYFUNCTION("""COMPUTED_VALUE"""),"marching_effect")</f>
        <v>marching_effect</v>
      </c>
      <c r="E609" s="148">
        <f>IFERROR(__xludf.DUMMYFUNCTION("""COMPUTED_VALUE"""),0.0)</f>
        <v>0</v>
      </c>
      <c r="F609" s="148">
        <f>IFERROR(__xludf.DUMMYFUNCTION("""COMPUTED_VALUE"""),408197.0)</f>
        <v>408197</v>
      </c>
      <c r="G609" s="148">
        <f>IFERROR(__xludf.DUMMYFUNCTION("""COMPUTED_VALUE"""),1.51101289E8)</f>
        <v>151101289</v>
      </c>
      <c r="H609" s="148">
        <f>IFERROR(__xludf.DUMMYFUNCTION("""COMPUTED_VALUE"""),1.5112563E7)</f>
        <v>15112563</v>
      </c>
      <c r="I609" s="148" t="str">
        <f>IFERROR(__xludf.DUMMYFUNCTION("""COMPUTED_VALUE"""),"{""typ"":""lc"",""txt"":""LC_ITEM_time_day_upper_show"",""args"":[{""typ"":""int_unit"",""val"":14}]}")</f>
        <v>{"typ":"lc","txt":"LC_ITEM_time_day_upper_show","args":[{"typ":"int_unit","val":14}]}</v>
      </c>
      <c r="J609" s="148" t="str">
        <f>IFERROR(__xludf.DUMMYFUNCTION("""COMPUTED_VALUE"""),"{""typ"":""lc"",""txt"":""LC_ITEM_spring25_march_effect_name""}")</f>
        <v>{"typ":"lc","txt":"LC_ITEM_spring25_march_effect_name"}</v>
      </c>
      <c r="K609" s="148" t="str">
        <f>IFERROR(__xludf.DUMMYFUNCTION("""COMPUTED_VALUE"""),"{""typ"":""lc"",""txt"":""LC_ITEM_spring25_march_effect_desc""}")</f>
        <v>{"typ":"lc","txt":"LC_ITEM_spring25_march_effect_desc"}</v>
      </c>
      <c r="L609" s="148" t="str">
        <f>IFERROR(__xludf.DUMMYFUNCTION("""COMPUTED_VALUE"""),"{""typ"":""lc"",""txt"":""LC_ITEM_march_effect_use_tip_all""}")</f>
        <v>{"typ":"lc","txt":"LC_ITEM_march_effect_use_tip_all"}</v>
      </c>
      <c r="M609" s="148">
        <f>IFERROR(__xludf.DUMMYFUNCTION("""COMPUTED_VALUE"""),1000.0)</f>
        <v>1000</v>
      </c>
      <c r="N609" s="148">
        <f>IFERROR(__xludf.DUMMYFUNCTION("""COMPUTED_VALUE"""),999999.0)</f>
        <v>999999</v>
      </c>
      <c r="O609" s="148">
        <f>IFERROR(__xludf.DUMMYFUNCTION("""COMPUTED_VALUE"""),99999.0)</f>
        <v>99999</v>
      </c>
      <c r="P609" s="148">
        <f>IFERROR(__xludf.DUMMYFUNCTION("""COMPUTED_VALUE"""),1.0)</f>
        <v>1</v>
      </c>
      <c r="Q609" s="148" t="str">
        <f>IFERROR(__xludf.DUMMYFUNCTION("""COMPUTED_VALUE"""),"[""bag_other""]")</f>
        <v>["bag_other"]</v>
      </c>
      <c r="R609" s="148" t="str">
        <f>IFERROR(__xludf.DUMMYFUNCTION("""COMPUTED_VALUE"""),"[""bag"",""13650129""]")</f>
        <v>["bag","13650129"]</v>
      </c>
      <c r="S609" s="148" t="str">
        <f>IFERROR(__xludf.DUMMYFUNCTION("""COMPUTED_VALUE"""),"{""effect"":[{""typ"":""marching_effect"",""id"":13650129,""val"":1209600000},{""typ"":""vm"",""id"":11151001,""val"":1000}]}")</f>
        <v>{"effect":[{"typ":"marching_effect","id":13650129,"val":1209600000},{"typ":"vm","id":11151001,"val":1000}]}</v>
      </c>
      <c r="T609" s="148">
        <f>IFERROR(__xludf.DUMMYFUNCTION("""COMPUTED_VALUE"""),-1.0)</f>
        <v>-1</v>
      </c>
      <c r="U609" s="148">
        <f>IFERROR(__xludf.DUMMYFUNCTION("""COMPUTED_VALUE"""),0.0)</f>
        <v>0</v>
      </c>
      <c r="V609" s="148" t="str">
        <f>IFERROR(__xludf.DUMMYFUNCTION("""COMPUTED_VALUE"""),"[]")</f>
        <v>[]</v>
      </c>
      <c r="W609" s="148">
        <f>IFERROR(__xludf.DUMMYFUNCTION("""COMPUTED_VALUE"""),1.174E7)</f>
        <v>11740000</v>
      </c>
      <c r="X609" s="148">
        <f>IFERROR(__xludf.DUMMYFUNCTION("""COMPUTED_VALUE"""),0.0)</f>
        <v>0</v>
      </c>
      <c r="Y609" s="148">
        <f>IFERROR(__xludf.DUMMYFUNCTION("""COMPUTED_VALUE"""),0.0)</f>
        <v>0</v>
      </c>
      <c r="Z609" s="148"/>
    </row>
    <row r="610">
      <c r="A610" s="148">
        <f>IFERROR(__xludf.DUMMYFUNCTION("""COMPUTED_VALUE"""),1.1112403E7)</f>
        <v>11112403</v>
      </c>
      <c r="B610" s="148" t="str">
        <f>IFERROR(__xludf.DUMMYFUNCTION("""COMPUTED_VALUE"""),"行军特效-年年有余-30天限时")</f>
        <v>行军特效-年年有余-30天限时</v>
      </c>
      <c r="C610" s="148"/>
      <c r="D610" s="148" t="str">
        <f>IFERROR(__xludf.DUMMYFUNCTION("""COMPUTED_VALUE"""),"marching_effect")</f>
        <v>marching_effect</v>
      </c>
      <c r="E610" s="148">
        <f>IFERROR(__xludf.DUMMYFUNCTION("""COMPUTED_VALUE"""),0.0)</f>
        <v>0</v>
      </c>
      <c r="F610" s="148">
        <f>IFERROR(__xludf.DUMMYFUNCTION("""COMPUTED_VALUE"""),408196.0)</f>
        <v>408196</v>
      </c>
      <c r="G610" s="148">
        <f>IFERROR(__xludf.DUMMYFUNCTION("""COMPUTED_VALUE"""),1.51101289E8)</f>
        <v>151101289</v>
      </c>
      <c r="H610" s="148">
        <f>IFERROR(__xludf.DUMMYFUNCTION("""COMPUTED_VALUE"""),1.5112563E7)</f>
        <v>15112563</v>
      </c>
      <c r="I610" s="148" t="str">
        <f>IFERROR(__xludf.DUMMYFUNCTION("""COMPUTED_VALUE"""),"{""typ"":""lc"",""txt"":""LC_ITEM_time_day_upper_show"",""args"":[{""typ"":""int_unit"",""val"":30}]}")</f>
        <v>{"typ":"lc","txt":"LC_ITEM_time_day_upper_show","args":[{"typ":"int_unit","val":30}]}</v>
      </c>
      <c r="J610" s="148" t="str">
        <f>IFERROR(__xludf.DUMMYFUNCTION("""COMPUTED_VALUE"""),"{""typ"":""lc"",""txt"":""LC_ITEM_spring25_march_effect_name""}")</f>
        <v>{"typ":"lc","txt":"LC_ITEM_spring25_march_effect_name"}</v>
      </c>
      <c r="K610" s="148" t="str">
        <f>IFERROR(__xludf.DUMMYFUNCTION("""COMPUTED_VALUE"""),"{""typ"":""lc"",""txt"":""LC_ITEM_spring25_march_effect_desc""}")</f>
        <v>{"typ":"lc","txt":"LC_ITEM_spring25_march_effect_desc"}</v>
      </c>
      <c r="L610" s="148" t="str">
        <f>IFERROR(__xludf.DUMMYFUNCTION("""COMPUTED_VALUE"""),"{""typ"":""lc"",""txt"":""LC_ITEM_march_effect_use_tip_all""}")</f>
        <v>{"typ":"lc","txt":"LC_ITEM_march_effect_use_tip_all"}</v>
      </c>
      <c r="M610" s="148">
        <f>IFERROR(__xludf.DUMMYFUNCTION("""COMPUTED_VALUE"""),2000.0)</f>
        <v>2000</v>
      </c>
      <c r="N610" s="148">
        <f>IFERROR(__xludf.DUMMYFUNCTION("""COMPUTED_VALUE"""),999999.0)</f>
        <v>999999</v>
      </c>
      <c r="O610" s="148">
        <f>IFERROR(__xludf.DUMMYFUNCTION("""COMPUTED_VALUE"""),99999.0)</f>
        <v>99999</v>
      </c>
      <c r="P610" s="148">
        <f>IFERROR(__xludf.DUMMYFUNCTION("""COMPUTED_VALUE"""),1.0)</f>
        <v>1</v>
      </c>
      <c r="Q610" s="148" t="str">
        <f>IFERROR(__xludf.DUMMYFUNCTION("""COMPUTED_VALUE"""),"[""bag_other""]")</f>
        <v>["bag_other"]</v>
      </c>
      <c r="R610" s="148" t="str">
        <f>IFERROR(__xludf.DUMMYFUNCTION("""COMPUTED_VALUE"""),"[""bag"",""13650129""]")</f>
        <v>["bag","13650129"]</v>
      </c>
      <c r="S610" s="148" t="str">
        <f>IFERROR(__xludf.DUMMYFUNCTION("""COMPUTED_VALUE"""),"{""effect"":[{""typ"":""marching_effect"",""id"":13650129,""val"":2592000000},{""typ"":""vm"",""id"":11151001,""val"":1000}]}")</f>
        <v>{"effect":[{"typ":"marching_effect","id":13650129,"val":2592000000},{"typ":"vm","id":11151001,"val":1000}]}</v>
      </c>
      <c r="T610" s="148">
        <f>IFERROR(__xludf.DUMMYFUNCTION("""COMPUTED_VALUE"""),-1.0)</f>
        <v>-1</v>
      </c>
      <c r="U610" s="148">
        <f>IFERROR(__xludf.DUMMYFUNCTION("""COMPUTED_VALUE"""),0.0)</f>
        <v>0</v>
      </c>
      <c r="V610" s="148" t="str">
        <f>IFERROR(__xludf.DUMMYFUNCTION("""COMPUTED_VALUE"""),"[]")</f>
        <v>[]</v>
      </c>
      <c r="W610" s="148">
        <f>IFERROR(__xludf.DUMMYFUNCTION("""COMPUTED_VALUE"""),1.174E7)</f>
        <v>11740000</v>
      </c>
      <c r="X610" s="148">
        <f>IFERROR(__xludf.DUMMYFUNCTION("""COMPUTED_VALUE"""),0.0)</f>
        <v>0</v>
      </c>
      <c r="Y610" s="148">
        <f>IFERROR(__xludf.DUMMYFUNCTION("""COMPUTED_VALUE"""),0.0)</f>
        <v>0</v>
      </c>
      <c r="Z610" s="148"/>
    </row>
    <row r="611">
      <c r="A611" s="148">
        <f>IFERROR(__xludf.DUMMYFUNCTION("""COMPUTED_VALUE"""),1.1112404E7)</f>
        <v>11112404</v>
      </c>
      <c r="B611" s="148" t="str">
        <f>IFERROR(__xludf.DUMMYFUNCTION("""COMPUTED_VALUE"""),"行军特效-年年有余-永久")</f>
        <v>行军特效-年年有余-永久</v>
      </c>
      <c r="C611" s="148"/>
      <c r="D611" s="148" t="str">
        <f>IFERROR(__xludf.DUMMYFUNCTION("""COMPUTED_VALUE"""),"marching_effect")</f>
        <v>marching_effect</v>
      </c>
      <c r="E611" s="148">
        <f>IFERROR(__xludf.DUMMYFUNCTION("""COMPUTED_VALUE"""),0.0)</f>
        <v>0</v>
      </c>
      <c r="F611" s="148">
        <f>IFERROR(__xludf.DUMMYFUNCTION("""COMPUTED_VALUE"""),408195.0)</f>
        <v>408195</v>
      </c>
      <c r="G611" s="148">
        <f>IFERROR(__xludf.DUMMYFUNCTION("""COMPUTED_VALUE"""),1.51101289E8)</f>
        <v>151101289</v>
      </c>
      <c r="H611" s="148">
        <f>IFERROR(__xludf.DUMMYFUNCTION("""COMPUTED_VALUE"""),1.5112564E7)</f>
        <v>15112564</v>
      </c>
      <c r="I611" s="148" t="str">
        <f>IFERROR(__xludf.DUMMYFUNCTION("""COMPUTED_VALUE"""),"{}")</f>
        <v>{}</v>
      </c>
      <c r="J611" s="148" t="str">
        <f>IFERROR(__xludf.DUMMYFUNCTION("""COMPUTED_VALUE"""),"{""typ"":""lc"",""txt"":""LC_ITEM_spring25_march_effect_name""}")</f>
        <v>{"typ":"lc","txt":"LC_ITEM_spring25_march_effect_name"}</v>
      </c>
      <c r="K611" s="148" t="str">
        <f>IFERROR(__xludf.DUMMYFUNCTION("""COMPUTED_VALUE"""),"{""typ"":""lc"",""txt"":""LC_ITEM_spring25_march_effect_desc""}")</f>
        <v>{"typ":"lc","txt":"LC_ITEM_spring25_march_effect_desc"}</v>
      </c>
      <c r="L611" s="148" t="str">
        <f>IFERROR(__xludf.DUMMYFUNCTION("""COMPUTED_VALUE"""),"{""typ"":""lc"",""txt"":""LC_ITEM_march_effect_use_tip_all""}")</f>
        <v>{"typ":"lc","txt":"LC_ITEM_march_effect_use_tip_all"}</v>
      </c>
      <c r="M611" s="148">
        <f>IFERROR(__xludf.DUMMYFUNCTION("""COMPUTED_VALUE"""),5000.0)</f>
        <v>5000</v>
      </c>
      <c r="N611" s="148">
        <f>IFERROR(__xludf.DUMMYFUNCTION("""COMPUTED_VALUE"""),999999.0)</f>
        <v>999999</v>
      </c>
      <c r="O611" s="148">
        <f>IFERROR(__xludf.DUMMYFUNCTION("""COMPUTED_VALUE"""),99999.0)</f>
        <v>99999</v>
      </c>
      <c r="P611" s="148">
        <f>IFERROR(__xludf.DUMMYFUNCTION("""COMPUTED_VALUE"""),1.0)</f>
        <v>1</v>
      </c>
      <c r="Q611" s="148" t="str">
        <f>IFERROR(__xludf.DUMMYFUNCTION("""COMPUTED_VALUE"""),"[""bag_other""]")</f>
        <v>["bag_other"]</v>
      </c>
      <c r="R611" s="148" t="str">
        <f>IFERROR(__xludf.DUMMYFUNCTION("""COMPUTED_VALUE"""),"[""bag"",""13650129""]")</f>
        <v>["bag","13650129"]</v>
      </c>
      <c r="S611" s="148" t="str">
        <f>IFERROR(__xludf.DUMMYFUNCTION("""COMPUTED_VALUE"""),"{""effect"":[{""typ"":""marching_effect"",""id"":13650129,""val"":-1},{""typ"":""vm"",""id"":11151001,""val"":2500}]}")</f>
        <v>{"effect":[{"typ":"marching_effect","id":13650129,"val":-1},{"typ":"vm","id":11151001,"val":2500}]}</v>
      </c>
      <c r="T611" s="148">
        <f>IFERROR(__xludf.DUMMYFUNCTION("""COMPUTED_VALUE"""),-1.0)</f>
        <v>-1</v>
      </c>
      <c r="U611" s="148">
        <f>IFERROR(__xludf.DUMMYFUNCTION("""COMPUTED_VALUE"""),0.0)</f>
        <v>0</v>
      </c>
      <c r="V611" s="148" t="str">
        <f>IFERROR(__xludf.DUMMYFUNCTION("""COMPUTED_VALUE"""),"[]")</f>
        <v>[]</v>
      </c>
      <c r="W611" s="148">
        <f>IFERROR(__xludf.DUMMYFUNCTION("""COMPUTED_VALUE"""),1.174E7)</f>
        <v>11740000</v>
      </c>
      <c r="X611" s="148">
        <f>IFERROR(__xludf.DUMMYFUNCTION("""COMPUTED_VALUE"""),0.0)</f>
        <v>0</v>
      </c>
      <c r="Y611" s="148">
        <f>IFERROR(__xludf.DUMMYFUNCTION("""COMPUTED_VALUE"""),0.0)</f>
        <v>0</v>
      </c>
      <c r="Z611" s="148"/>
    </row>
    <row r="612">
      <c r="A612" s="148">
        <f>IFERROR(__xludf.DUMMYFUNCTION("""COMPUTED_VALUE"""),1.1112405E7)</f>
        <v>11112405</v>
      </c>
      <c r="B612" s="148" t="str">
        <f>IFERROR(__xludf.DUMMYFUNCTION("""COMPUTED_VALUE"""),"铭牌-春节2025铭牌-金蛇贺岁")</f>
        <v>铭牌-春节2025铭牌-金蛇贺岁</v>
      </c>
      <c r="C612" s="148"/>
      <c r="D612" s="148" t="str">
        <f>IFERROR(__xludf.DUMMYFUNCTION("""COMPUTED_VALUE"""),"chat_skin")</f>
        <v>chat_skin</v>
      </c>
      <c r="E612" s="148">
        <f>IFERROR(__xludf.DUMMYFUNCTION("""COMPUTED_VALUE"""),30.0)</f>
        <v>30</v>
      </c>
      <c r="F612" s="148">
        <f>IFERROR(__xludf.DUMMYFUNCTION("""COMPUTED_VALUE"""),401107.0)</f>
        <v>401107</v>
      </c>
      <c r="G612" s="148">
        <f>IFERROR(__xludf.DUMMYFUNCTION("""COMPUTED_VALUE"""),1.5110129E8)</f>
        <v>151101290</v>
      </c>
      <c r="H612" s="148">
        <f>IFERROR(__xludf.DUMMYFUNCTION("""COMPUTED_VALUE"""),1.5112564E7)</f>
        <v>15112564</v>
      </c>
      <c r="I612" s="148" t="str">
        <f>IFERROR(__xludf.DUMMYFUNCTION("""COMPUTED_VALUE"""),"{}")</f>
        <v>{}</v>
      </c>
      <c r="J612" s="148" t="str">
        <f>IFERROR(__xludf.DUMMYFUNCTION("""COMPUTED_VALUE"""),"{""typ"":""lc"",""txt"":""LC_ITEM_spring25_nameplate_name""}")</f>
        <v>{"typ":"lc","txt":"LC_ITEM_spring25_nameplate_name"}</v>
      </c>
      <c r="K612" s="148" t="str">
        <f>IFERROR(__xludf.DUMMYFUNCTION("""COMPUTED_VALUE"""),"{""typ"":""lc"",""txt"":""LC_ITEM_spring25_nameplate_name_desc_item""}")</f>
        <v>{"typ":"lc","txt":"LC_ITEM_spring25_nameplate_name_desc_item"}</v>
      </c>
      <c r="L612" s="148" t="str">
        <f>IFERROR(__xludf.DUMMYFUNCTION("""COMPUTED_VALUE"""),"{""typ"":""lc"",""txt"":""LC_ITEM_season_extra_reward_usedtip""}")</f>
        <v>{"typ":"lc","txt":"LC_ITEM_season_extra_reward_usedtip"}</v>
      </c>
      <c r="M612" s="148">
        <f>IFERROR(__xludf.DUMMYFUNCTION("""COMPUTED_VALUE"""),2500.0)</f>
        <v>2500</v>
      </c>
      <c r="N612" s="148">
        <f>IFERROR(__xludf.DUMMYFUNCTION("""COMPUTED_VALUE"""),9999999.0)</f>
        <v>9999999</v>
      </c>
      <c r="O612" s="148">
        <f>IFERROR(__xludf.DUMMYFUNCTION("""COMPUTED_VALUE"""),1.0)</f>
        <v>1</v>
      </c>
      <c r="P612" s="148">
        <f>IFERROR(__xludf.DUMMYFUNCTION("""COMPUTED_VALUE"""),1.0)</f>
        <v>1</v>
      </c>
      <c r="Q612" s="148" t="str">
        <f>IFERROR(__xludf.DUMMYFUNCTION("""COMPUTED_VALUE"""),"[""bag_other""]")</f>
        <v>["bag_other"]</v>
      </c>
      <c r="R612" s="148" t="str">
        <f>IFERROR(__xludf.DUMMYFUNCTION("""COMPUTED_VALUE"""),"[""11731031"",""bag""]")</f>
        <v>["11731031","bag"]</v>
      </c>
      <c r="S612" s="148" t="str">
        <f>IFERROR(__xludf.DUMMYFUNCTION("""COMPUTED_VALUE"""),"{""effect"":[{""typ"":""nameplate"",""id"":11731031,""val"":-1}]}")</f>
        <v>{"effect":[{"typ":"nameplate","id":11731031,"val":-1}]}</v>
      </c>
      <c r="T612" s="148">
        <f>IFERROR(__xludf.DUMMYFUNCTION("""COMPUTED_VALUE"""),-1.0)</f>
        <v>-1</v>
      </c>
      <c r="U612" s="148">
        <f>IFERROR(__xludf.DUMMYFUNCTION("""COMPUTED_VALUE"""),0.0)</f>
        <v>0</v>
      </c>
      <c r="V612" s="148" t="str">
        <f>IFERROR(__xludf.DUMMYFUNCTION("""COMPUTED_VALUE"""),"[]")</f>
        <v>[]</v>
      </c>
      <c r="W612" s="148">
        <f>IFERROR(__xludf.DUMMYFUNCTION("""COMPUTED_VALUE"""),1.174E7)</f>
        <v>11740000</v>
      </c>
      <c r="X612" s="148">
        <f>IFERROR(__xludf.DUMMYFUNCTION("""COMPUTED_VALUE"""),0.0)</f>
        <v>0</v>
      </c>
      <c r="Y612" s="148">
        <f>IFERROR(__xludf.DUMMYFUNCTION("""COMPUTED_VALUE"""),0.0)</f>
        <v>0</v>
      </c>
      <c r="Z612" s="148"/>
    </row>
    <row r="613">
      <c r="A613" s="148">
        <f>IFERROR(__xludf.DUMMYFUNCTION("""COMPUTED_VALUE"""),1.1112406E7)</f>
        <v>11112406</v>
      </c>
      <c r="B613" s="148" t="str">
        <f>IFERROR(__xludf.DUMMYFUNCTION("""COMPUTED_VALUE"""),"2025情人节BattlePass-初级通行证")</f>
        <v>2025情人节BattlePass-初级通行证</v>
      </c>
      <c r="C613" s="148"/>
      <c r="D613" s="148" t="str">
        <f>IFERROR(__xludf.DUMMYFUNCTION("""COMPUTED_VALUE"""),"battle_pass_card")</f>
        <v>battle_pass_card</v>
      </c>
      <c r="E613" s="148">
        <f>IFERROR(__xludf.DUMMYFUNCTION("""COMPUTED_VALUE"""),0.0)</f>
        <v>0</v>
      </c>
      <c r="F613" s="148">
        <f>IFERROR(__xludf.DUMMYFUNCTION("""COMPUTED_VALUE"""),0.0)</f>
        <v>0</v>
      </c>
      <c r="G613" s="148">
        <f>IFERROR(__xludf.DUMMYFUNCTION("""COMPUTED_VALUE"""),1.5113625E7)</f>
        <v>15113625</v>
      </c>
      <c r="H613" s="148">
        <f>IFERROR(__xludf.DUMMYFUNCTION("""COMPUTED_VALUE"""),1.5112563E7)</f>
        <v>15112563</v>
      </c>
      <c r="I613" s="148" t="str">
        <f>IFERROR(__xludf.DUMMYFUNCTION("""COMPUTED_VALUE"""),"{}")</f>
        <v>{}</v>
      </c>
      <c r="J613" s="148" t="str">
        <f>IFERROR(__xludf.DUMMYFUNCTION("""COMPUTED_VALUE"""),"{""typ"":""lc"",""txt"":""LC_IAP_classic_2023_valentine_gift""}")</f>
        <v>{"typ":"lc","txt":"LC_IAP_classic_2023_valentine_gift"}</v>
      </c>
      <c r="K613" s="148" t="str">
        <f>IFERROR(__xludf.DUMMYFUNCTION("""COMPUTED_VALUE"""),"{}")</f>
        <v>{}</v>
      </c>
      <c r="L613" s="148" t="str">
        <f>IFERROR(__xludf.DUMMYFUNCTION("""COMPUTED_VALUE"""),"{}")</f>
        <v>{}</v>
      </c>
      <c r="M613" s="148">
        <f>IFERROR(__xludf.DUMMYFUNCTION("""COMPUTED_VALUE"""),10.0)</f>
        <v>10</v>
      </c>
      <c r="N613" s="148">
        <f>IFERROR(__xludf.DUMMYFUNCTION("""COMPUTED_VALUE"""),999999.0)</f>
        <v>999999</v>
      </c>
      <c r="O613" s="148">
        <f>IFERROR(__xludf.DUMMYFUNCTION("""COMPUTED_VALUE"""),99999.0)</f>
        <v>99999</v>
      </c>
      <c r="P613" s="148">
        <f>IFERROR(__xludf.DUMMYFUNCTION("""COMPUTED_VALUE"""),9999.0)</f>
        <v>9999</v>
      </c>
      <c r="Q613" s="148" t="str">
        <f>IFERROR(__xludf.DUMMYFUNCTION("""COMPUTED_VALUE"""),"[]")</f>
        <v>[]</v>
      </c>
      <c r="R613" s="148" t="str">
        <f>IFERROR(__xludf.DUMMYFUNCTION("""COMPUTED_VALUE"""),"[]")</f>
        <v>[]</v>
      </c>
      <c r="S613" s="148" t="str">
        <f>IFERROR(__xludf.DUMMYFUNCTION("""COMPUTED_VALUE"""),"{}")</f>
        <v>{}</v>
      </c>
      <c r="T613" s="148">
        <f>IFERROR(__xludf.DUMMYFUNCTION("""COMPUTED_VALUE"""),-1.0)</f>
        <v>-1</v>
      </c>
      <c r="U613" s="148">
        <f>IFERROR(__xludf.DUMMYFUNCTION("""COMPUTED_VALUE"""),1.0)</f>
        <v>1</v>
      </c>
      <c r="V613" s="148" t="str">
        <f>IFERROR(__xludf.DUMMYFUNCTION("""COMPUTED_VALUE"""),"[]")</f>
        <v>[]</v>
      </c>
      <c r="W613" s="148">
        <f>IFERROR(__xludf.DUMMYFUNCTION("""COMPUTED_VALUE"""),1.174E7)</f>
        <v>11740000</v>
      </c>
      <c r="X613" s="148">
        <f>IFERROR(__xludf.DUMMYFUNCTION("""COMPUTED_VALUE"""),0.0)</f>
        <v>0</v>
      </c>
      <c r="Y613" s="148">
        <f>IFERROR(__xludf.DUMMYFUNCTION("""COMPUTED_VALUE"""),0.0)</f>
        <v>0</v>
      </c>
      <c r="Z613" s="148"/>
    </row>
    <row r="614">
      <c r="A614" s="148">
        <f>IFERROR(__xludf.DUMMYFUNCTION("""COMPUTED_VALUE"""),1.1112407E7)</f>
        <v>11112407</v>
      </c>
      <c r="B614" s="148" t="str">
        <f>IFERROR(__xludf.DUMMYFUNCTION("""COMPUTED_VALUE"""),"2025情人节BattlePass-高级通行证")</f>
        <v>2025情人节BattlePass-高级通行证</v>
      </c>
      <c r="C614" s="148"/>
      <c r="D614" s="148" t="str">
        <f>IFERROR(__xludf.DUMMYFUNCTION("""COMPUTED_VALUE"""),"battle_pass_card")</f>
        <v>battle_pass_card</v>
      </c>
      <c r="E614" s="148">
        <f>IFERROR(__xludf.DUMMYFUNCTION("""COMPUTED_VALUE"""),0.0)</f>
        <v>0</v>
      </c>
      <c r="F614" s="148">
        <f>IFERROR(__xludf.DUMMYFUNCTION("""COMPUTED_VALUE"""),0.0)</f>
        <v>0</v>
      </c>
      <c r="G614" s="148">
        <f>IFERROR(__xludf.DUMMYFUNCTION("""COMPUTED_VALUE"""),1.5113625E7)</f>
        <v>15113625</v>
      </c>
      <c r="H614" s="148">
        <f>IFERROR(__xludf.DUMMYFUNCTION("""COMPUTED_VALUE"""),1.5112564E7)</f>
        <v>15112564</v>
      </c>
      <c r="I614" s="148" t="str">
        <f>IFERROR(__xludf.DUMMYFUNCTION("""COMPUTED_VALUE"""),"{}")</f>
        <v>{}</v>
      </c>
      <c r="J614" s="148" t="str">
        <f>IFERROR(__xludf.DUMMYFUNCTION("""COMPUTED_VALUE"""),"{""typ"":""lc"",""txt"":""LC_IAP_luxury_2023_valentine_gift""}")</f>
        <v>{"typ":"lc","txt":"LC_IAP_luxury_2023_valentine_gift"}</v>
      </c>
      <c r="K614" s="148" t="str">
        <f>IFERROR(__xludf.DUMMYFUNCTION("""COMPUTED_VALUE"""),"{}")</f>
        <v>{}</v>
      </c>
      <c r="L614" s="148" t="str">
        <f>IFERROR(__xludf.DUMMYFUNCTION("""COMPUTED_VALUE"""),"{}")</f>
        <v>{}</v>
      </c>
      <c r="M614" s="148">
        <f>IFERROR(__xludf.DUMMYFUNCTION("""COMPUTED_VALUE"""),10.0)</f>
        <v>10</v>
      </c>
      <c r="N614" s="148">
        <f>IFERROR(__xludf.DUMMYFUNCTION("""COMPUTED_VALUE"""),999999.0)</f>
        <v>999999</v>
      </c>
      <c r="O614" s="148">
        <f>IFERROR(__xludf.DUMMYFUNCTION("""COMPUTED_VALUE"""),99999.0)</f>
        <v>99999</v>
      </c>
      <c r="P614" s="148">
        <f>IFERROR(__xludf.DUMMYFUNCTION("""COMPUTED_VALUE"""),9999.0)</f>
        <v>9999</v>
      </c>
      <c r="Q614" s="148" t="str">
        <f>IFERROR(__xludf.DUMMYFUNCTION("""COMPUTED_VALUE"""),"[]")</f>
        <v>[]</v>
      </c>
      <c r="R614" s="148" t="str">
        <f>IFERROR(__xludf.DUMMYFUNCTION("""COMPUTED_VALUE"""),"[]")</f>
        <v>[]</v>
      </c>
      <c r="S614" s="148" t="str">
        <f>IFERROR(__xludf.DUMMYFUNCTION("""COMPUTED_VALUE"""),"{}")</f>
        <v>{}</v>
      </c>
      <c r="T614" s="148">
        <f>IFERROR(__xludf.DUMMYFUNCTION("""COMPUTED_VALUE"""),-1.0)</f>
        <v>-1</v>
      </c>
      <c r="U614" s="148">
        <f>IFERROR(__xludf.DUMMYFUNCTION("""COMPUTED_VALUE"""),1.0)</f>
        <v>1</v>
      </c>
      <c r="V614" s="148" t="str">
        <f>IFERROR(__xludf.DUMMYFUNCTION("""COMPUTED_VALUE"""),"[]")</f>
        <v>[]</v>
      </c>
      <c r="W614" s="148">
        <f>IFERROR(__xludf.DUMMYFUNCTION("""COMPUTED_VALUE"""),1.174E7)</f>
        <v>11740000</v>
      </c>
      <c r="X614" s="148">
        <f>IFERROR(__xludf.DUMMYFUNCTION("""COMPUTED_VALUE"""),0.0)</f>
        <v>0</v>
      </c>
      <c r="Y614" s="148">
        <f>IFERROR(__xludf.DUMMYFUNCTION("""COMPUTED_VALUE"""),0.0)</f>
        <v>0</v>
      </c>
      <c r="Z614" s="148"/>
    </row>
    <row r="615">
      <c r="A615" s="148">
        <f>IFERROR(__xludf.DUMMYFUNCTION("""COMPUTED_VALUE"""),1.1112408E7)</f>
        <v>11112408</v>
      </c>
      <c r="B615" s="148" t="str">
        <f>IFERROR(__xludf.DUMMYFUNCTION("""COMPUTED_VALUE"""),"夹心巧克力-通用情人节BP升级道具")</f>
        <v>夹心巧克力-通用情人节BP升级道具</v>
      </c>
      <c r="C615" s="148"/>
      <c r="D615" s="148" t="str">
        <f>IFERROR(__xludf.DUMMYFUNCTION("""COMPUTED_VALUE"""),"battle_pass_exp")</f>
        <v>battle_pass_exp</v>
      </c>
      <c r="E615" s="148">
        <f>IFERROR(__xludf.DUMMYFUNCTION("""COMPUTED_VALUE"""),0.0)</f>
        <v>0</v>
      </c>
      <c r="F615" s="148">
        <f>IFERROR(__xludf.DUMMYFUNCTION("""COMPUTED_VALUE"""),405224.0)</f>
        <v>405224</v>
      </c>
      <c r="G615" s="148">
        <f>IFERROR(__xludf.DUMMYFUNCTION("""COMPUTED_VALUE"""),1.5113625E7)</f>
        <v>15113625</v>
      </c>
      <c r="H615" s="148">
        <f>IFERROR(__xludf.DUMMYFUNCTION("""COMPUTED_VALUE"""),1.5112563E7)</f>
        <v>15112563</v>
      </c>
      <c r="I615" s="148" t="str">
        <f>IFERROR(__xludf.DUMMYFUNCTION("""COMPUTED_VALUE"""),"{}")</f>
        <v>{}</v>
      </c>
      <c r="J615" s="148" t="str">
        <f>IFERROR(__xludf.DUMMYFUNCTION("""COMPUTED_VALUE"""),"{""typ"":""lc"",""txt"":""LC_ITEM_filled_chocolate_name""}")</f>
        <v>{"typ":"lc","txt":"LC_ITEM_filled_chocolate_name"}</v>
      </c>
      <c r="K615" s="148" t="str">
        <f>IFERROR(__xludf.DUMMYFUNCTION("""COMPUTED_VALUE"""),"{""typ"":""lc"",""txt"":""LC_ITEM_filled_chocolate_desc""}")</f>
        <v>{"typ":"lc","txt":"LC_ITEM_filled_chocolate_desc"}</v>
      </c>
      <c r="L615" s="148" t="str">
        <f>IFERROR(__xludf.DUMMYFUNCTION("""COMPUTED_VALUE"""),"{}")</f>
        <v>{}</v>
      </c>
      <c r="M615" s="148">
        <f>IFERROR(__xludf.DUMMYFUNCTION("""COMPUTED_VALUE"""),35.0)</f>
        <v>35</v>
      </c>
      <c r="N615" s="148">
        <f>IFERROR(__xludf.DUMMYFUNCTION("""COMPUTED_VALUE"""),999999.0)</f>
        <v>999999</v>
      </c>
      <c r="O615" s="148">
        <f>IFERROR(__xludf.DUMMYFUNCTION("""COMPUTED_VALUE"""),99999.0)</f>
        <v>99999</v>
      </c>
      <c r="P615" s="148">
        <f>IFERROR(__xludf.DUMMYFUNCTION("""COMPUTED_VALUE"""),99999.0)</f>
        <v>99999</v>
      </c>
      <c r="Q615" s="148" t="str">
        <f>IFERROR(__xludf.DUMMYFUNCTION("""COMPUTED_VALUE"""),"[""bag_other""]")</f>
        <v>["bag_other"]</v>
      </c>
      <c r="R615" s="148" t="str">
        <f>IFERROR(__xludf.DUMMYFUNCTION("""COMPUTED_VALUE"""),"[""bag""]")</f>
        <v>["bag"]</v>
      </c>
      <c r="S615" s="148" t="str">
        <f>IFERROR(__xludf.DUMMYFUNCTION("""COMPUTED_VALUE"""),"{""effect"":[{""typ"":""actv_open"",""arg2"":[21127638]}]}")</f>
        <v>{"effect":[{"typ":"actv_open","arg2":[21127638]}]}</v>
      </c>
      <c r="T615" s="148">
        <f>IFERROR(__xludf.DUMMYFUNCTION("""COMPUTED_VALUE"""),-1.0)</f>
        <v>-1</v>
      </c>
      <c r="U615" s="148">
        <f>IFERROR(__xludf.DUMMYFUNCTION("""COMPUTED_VALUE"""),0.0)</f>
        <v>0</v>
      </c>
      <c r="V615" s="148" t="str">
        <f>IFERROR(__xludf.DUMMYFUNCTION("""COMPUTED_VALUE"""),"[]")</f>
        <v>[]</v>
      </c>
      <c r="W615" s="148">
        <f>IFERROR(__xludf.DUMMYFUNCTION("""COMPUTED_VALUE"""),1.174E7)</f>
        <v>11740000</v>
      </c>
      <c r="X615" s="148">
        <f>IFERROR(__xludf.DUMMYFUNCTION("""COMPUTED_VALUE"""),0.0)</f>
        <v>0</v>
      </c>
      <c r="Y615" s="148">
        <f>IFERROR(__xludf.DUMMYFUNCTION("""COMPUTED_VALUE"""),0.0)</f>
        <v>0</v>
      </c>
      <c r="Z615" s="148"/>
    </row>
    <row r="616">
      <c r="A616" s="148">
        <f>IFERROR(__xludf.DUMMYFUNCTION("""COMPUTED_VALUE"""),1.1112409E7)</f>
        <v>11112409</v>
      </c>
      <c r="B616" s="148" t="str">
        <f>IFERROR(__xludf.DUMMYFUNCTION("""COMPUTED_VALUE"""),"行军特效-世纪婚礼-1天限时")</f>
        <v>行军特效-世纪婚礼-1天限时</v>
      </c>
      <c r="C616" s="148"/>
      <c r="D616" s="148" t="str">
        <f>IFERROR(__xludf.DUMMYFUNCTION("""COMPUTED_VALUE"""),"marching_effect")</f>
        <v>marching_effect</v>
      </c>
      <c r="E616" s="148">
        <f>IFERROR(__xludf.DUMMYFUNCTION("""COMPUTED_VALUE"""),0.0)</f>
        <v>0</v>
      </c>
      <c r="F616" s="148">
        <f>IFERROR(__xludf.DUMMYFUNCTION("""COMPUTED_VALUE"""),408200.0)</f>
        <v>408200</v>
      </c>
      <c r="G616" s="148">
        <f>IFERROR(__xludf.DUMMYFUNCTION("""COMPUTED_VALUE"""),1.51101292E8)</f>
        <v>151101292</v>
      </c>
      <c r="H616" s="148">
        <f>IFERROR(__xludf.DUMMYFUNCTION("""COMPUTED_VALUE"""),1.511256E7)</f>
        <v>15112560</v>
      </c>
      <c r="I616" s="148" t="str">
        <f>IFERROR(__xludf.DUMMYFUNCTION("""COMPUTED_VALUE"""),"{""typ"":""lc"",""txt"":""LC_ITEM_time_day_upper_show"",""args"":[{""typ"":""int_unit"",""val"":1}]}")</f>
        <v>{"typ":"lc","txt":"LC_ITEM_time_day_upper_show","args":[{"typ":"int_unit","val":1}]}</v>
      </c>
      <c r="J616" s="148" t="str">
        <f>IFERROR(__xludf.DUMMYFUNCTION("""COMPUTED_VALUE"""),"{""typ"":""lc"",""txt"":""LC_ITEM_valentine25_march_effect_name""}")</f>
        <v>{"typ":"lc","txt":"LC_ITEM_valentine25_march_effect_name"}</v>
      </c>
      <c r="K616" s="148" t="str">
        <f>IFERROR(__xludf.DUMMYFUNCTION("""COMPUTED_VALUE"""),"{""typ"":""lc"",""txt"":""LC_ITEM_valentine25_march_effect_desc""}")</f>
        <v>{"typ":"lc","txt":"LC_ITEM_valentine25_march_effect_desc"}</v>
      </c>
      <c r="L616" s="148" t="str">
        <f>IFERROR(__xludf.DUMMYFUNCTION("""COMPUTED_VALUE"""),"{""typ"":""lc"",""txt"":""LC_ITEM_march_effect_use_tip_all""}")</f>
        <v>{"typ":"lc","txt":"LC_ITEM_march_effect_use_tip_all"}</v>
      </c>
      <c r="M616" s="148">
        <f>IFERROR(__xludf.DUMMYFUNCTION("""COMPUTED_VALUE"""),50.0)</f>
        <v>50</v>
      </c>
      <c r="N616" s="148">
        <f>IFERROR(__xludf.DUMMYFUNCTION("""COMPUTED_VALUE"""),999999.0)</f>
        <v>999999</v>
      </c>
      <c r="O616" s="148">
        <f>IFERROR(__xludf.DUMMYFUNCTION("""COMPUTED_VALUE"""),99999.0)</f>
        <v>99999</v>
      </c>
      <c r="P616" s="148">
        <f>IFERROR(__xludf.DUMMYFUNCTION("""COMPUTED_VALUE"""),1.0)</f>
        <v>1</v>
      </c>
      <c r="Q616" s="148" t="str">
        <f>IFERROR(__xludf.DUMMYFUNCTION("""COMPUTED_VALUE"""),"[""bag_other""]")</f>
        <v>["bag_other"]</v>
      </c>
      <c r="R616" s="148" t="str">
        <f>IFERROR(__xludf.DUMMYFUNCTION("""COMPUTED_VALUE"""),"[""bag"",""13650130""]")</f>
        <v>["bag","13650130"]</v>
      </c>
      <c r="S616" s="148" t="str">
        <f>IFERROR(__xludf.DUMMYFUNCTION("""COMPUTED_VALUE"""),"{""effect"":[{""typ"":""marching_effect"",""id"":13650130,""val"":86400000},{""typ"":""vm"",""id"":11151001,""val"":50}]}")</f>
        <v>{"effect":[{"typ":"marching_effect","id":13650130,"val":86400000},{"typ":"vm","id":11151001,"val":50}]}</v>
      </c>
      <c r="T616" s="148">
        <f>IFERROR(__xludf.DUMMYFUNCTION("""COMPUTED_VALUE"""),-1.0)</f>
        <v>-1</v>
      </c>
      <c r="U616" s="148">
        <f>IFERROR(__xludf.DUMMYFUNCTION("""COMPUTED_VALUE"""),0.0)</f>
        <v>0</v>
      </c>
      <c r="V616" s="148" t="str">
        <f>IFERROR(__xludf.DUMMYFUNCTION("""COMPUTED_VALUE"""),"[]")</f>
        <v>[]</v>
      </c>
      <c r="W616" s="148">
        <f>IFERROR(__xludf.DUMMYFUNCTION("""COMPUTED_VALUE"""),1.174E7)</f>
        <v>11740000</v>
      </c>
      <c r="X616" s="148">
        <f>IFERROR(__xludf.DUMMYFUNCTION("""COMPUTED_VALUE"""),0.0)</f>
        <v>0</v>
      </c>
      <c r="Y616" s="148">
        <f>IFERROR(__xludf.DUMMYFUNCTION("""COMPUTED_VALUE"""),0.0)</f>
        <v>0</v>
      </c>
      <c r="Z616" s="148"/>
    </row>
    <row r="617">
      <c r="A617" s="148">
        <f>IFERROR(__xludf.DUMMYFUNCTION("""COMPUTED_VALUE"""),1.111241E7)</f>
        <v>11112410</v>
      </c>
      <c r="B617" s="148" t="str">
        <f>IFERROR(__xludf.DUMMYFUNCTION("""COMPUTED_VALUE"""),"行军特效-世纪婚礼-3天限时")</f>
        <v>行军特效-世纪婚礼-3天限时</v>
      </c>
      <c r="C617" s="148"/>
      <c r="D617" s="148" t="str">
        <f>IFERROR(__xludf.DUMMYFUNCTION("""COMPUTED_VALUE"""),"marching_effect")</f>
        <v>marching_effect</v>
      </c>
      <c r="E617" s="148">
        <f>IFERROR(__xludf.DUMMYFUNCTION("""COMPUTED_VALUE"""),0.0)</f>
        <v>0</v>
      </c>
      <c r="F617" s="148">
        <f>IFERROR(__xludf.DUMMYFUNCTION("""COMPUTED_VALUE"""),408199.0)</f>
        <v>408199</v>
      </c>
      <c r="G617" s="148">
        <f>IFERROR(__xludf.DUMMYFUNCTION("""COMPUTED_VALUE"""),1.51101292E8)</f>
        <v>151101292</v>
      </c>
      <c r="H617" s="148">
        <f>IFERROR(__xludf.DUMMYFUNCTION("""COMPUTED_VALUE"""),1.5112561E7)</f>
        <v>15112561</v>
      </c>
      <c r="I617" s="148" t="str">
        <f>IFERROR(__xludf.DUMMYFUNCTION("""COMPUTED_VALUE"""),"{""typ"":""lc"",""txt"":""LC_ITEM_time_day_upper_show"",""args"":[{""typ"":""int_unit"",""val"":3}]}")</f>
        <v>{"typ":"lc","txt":"LC_ITEM_time_day_upper_show","args":[{"typ":"int_unit","val":3}]}</v>
      </c>
      <c r="J617" s="148" t="str">
        <f>IFERROR(__xludf.DUMMYFUNCTION("""COMPUTED_VALUE"""),"{""typ"":""lc"",""txt"":""LC_ITEM_valentine25_march_effect_name""}")</f>
        <v>{"typ":"lc","txt":"LC_ITEM_valentine25_march_effect_name"}</v>
      </c>
      <c r="K617" s="148" t="str">
        <f>IFERROR(__xludf.DUMMYFUNCTION("""COMPUTED_VALUE"""),"{""typ"":""lc"",""txt"":""LC_ITEM_valentine25_march_effect_desc""}")</f>
        <v>{"typ":"lc","txt":"LC_ITEM_valentine25_march_effect_desc"}</v>
      </c>
      <c r="L617" s="148" t="str">
        <f>IFERROR(__xludf.DUMMYFUNCTION("""COMPUTED_VALUE"""),"{""typ"":""lc"",""txt"":""LC_ITEM_march_effect_use_tip_all""}")</f>
        <v>{"typ":"lc","txt":"LC_ITEM_march_effect_use_tip_all"}</v>
      </c>
      <c r="M617" s="148">
        <f>IFERROR(__xludf.DUMMYFUNCTION("""COMPUTED_VALUE"""),200.0)</f>
        <v>200</v>
      </c>
      <c r="N617" s="148">
        <f>IFERROR(__xludf.DUMMYFUNCTION("""COMPUTED_VALUE"""),999999.0)</f>
        <v>999999</v>
      </c>
      <c r="O617" s="148">
        <f>IFERROR(__xludf.DUMMYFUNCTION("""COMPUTED_VALUE"""),99999.0)</f>
        <v>99999</v>
      </c>
      <c r="P617" s="148">
        <f>IFERROR(__xludf.DUMMYFUNCTION("""COMPUTED_VALUE"""),1.0)</f>
        <v>1</v>
      </c>
      <c r="Q617" s="148" t="str">
        <f>IFERROR(__xludf.DUMMYFUNCTION("""COMPUTED_VALUE"""),"[""bag_other""]")</f>
        <v>["bag_other"]</v>
      </c>
      <c r="R617" s="148" t="str">
        <f>IFERROR(__xludf.DUMMYFUNCTION("""COMPUTED_VALUE"""),"[""bag"",""13650130""]")</f>
        <v>["bag","13650130"]</v>
      </c>
      <c r="S617" s="148" t="str">
        <f>IFERROR(__xludf.DUMMYFUNCTION("""COMPUTED_VALUE"""),"{""effect"":[{""typ"":""marching_effect"",""id"":13650130,""val"":259200000},{""typ"":""vm"",""id"":11151001,""val"":200}]}")</f>
        <v>{"effect":[{"typ":"marching_effect","id":13650130,"val":259200000},{"typ":"vm","id":11151001,"val":200}]}</v>
      </c>
      <c r="T617" s="148">
        <f>IFERROR(__xludf.DUMMYFUNCTION("""COMPUTED_VALUE"""),-1.0)</f>
        <v>-1</v>
      </c>
      <c r="U617" s="148">
        <f>IFERROR(__xludf.DUMMYFUNCTION("""COMPUTED_VALUE"""),0.0)</f>
        <v>0</v>
      </c>
      <c r="V617" s="148" t="str">
        <f>IFERROR(__xludf.DUMMYFUNCTION("""COMPUTED_VALUE"""),"[]")</f>
        <v>[]</v>
      </c>
      <c r="W617" s="148">
        <f>IFERROR(__xludf.DUMMYFUNCTION("""COMPUTED_VALUE"""),1.174E7)</f>
        <v>11740000</v>
      </c>
      <c r="X617" s="148">
        <f>IFERROR(__xludf.DUMMYFUNCTION("""COMPUTED_VALUE"""),0.0)</f>
        <v>0</v>
      </c>
      <c r="Y617" s="148">
        <f>IFERROR(__xludf.DUMMYFUNCTION("""COMPUTED_VALUE"""),0.0)</f>
        <v>0</v>
      </c>
      <c r="Z617" s="148"/>
    </row>
    <row r="618">
      <c r="A618" s="148">
        <f>IFERROR(__xludf.DUMMYFUNCTION("""COMPUTED_VALUE"""),1.1112411E7)</f>
        <v>11112411</v>
      </c>
      <c r="B618" s="148" t="str">
        <f>IFERROR(__xludf.DUMMYFUNCTION("""COMPUTED_VALUE"""),"行军特效-世纪婚礼-7天限时")</f>
        <v>行军特效-世纪婚礼-7天限时</v>
      </c>
      <c r="C618" s="148"/>
      <c r="D618" s="148" t="str">
        <f>IFERROR(__xludf.DUMMYFUNCTION("""COMPUTED_VALUE"""),"marching_effect")</f>
        <v>marching_effect</v>
      </c>
      <c r="E618" s="148">
        <f>IFERROR(__xludf.DUMMYFUNCTION("""COMPUTED_VALUE"""),0.0)</f>
        <v>0</v>
      </c>
      <c r="F618" s="148">
        <f>IFERROR(__xludf.DUMMYFUNCTION("""COMPUTED_VALUE"""),408198.0)</f>
        <v>408198</v>
      </c>
      <c r="G618" s="148">
        <f>IFERROR(__xludf.DUMMYFUNCTION("""COMPUTED_VALUE"""),1.51101292E8)</f>
        <v>151101292</v>
      </c>
      <c r="H618" s="148">
        <f>IFERROR(__xludf.DUMMYFUNCTION("""COMPUTED_VALUE"""),1.5112562E7)</f>
        <v>15112562</v>
      </c>
      <c r="I618" s="148" t="str">
        <f>IFERROR(__xludf.DUMMYFUNCTION("""COMPUTED_VALUE"""),"{""typ"":""lc"",""txt"":""LC_ITEM_time_day_upper_show"",""args"":[{""typ"":""int_unit"",""val"":7}]}")</f>
        <v>{"typ":"lc","txt":"LC_ITEM_time_day_upper_show","args":[{"typ":"int_unit","val":7}]}</v>
      </c>
      <c r="J618" s="148" t="str">
        <f>IFERROR(__xludf.DUMMYFUNCTION("""COMPUTED_VALUE"""),"{""typ"":""lc"",""txt"":""LC_ITEM_valentine25_march_effect_name""}")</f>
        <v>{"typ":"lc","txt":"LC_ITEM_valentine25_march_effect_name"}</v>
      </c>
      <c r="K618" s="148" t="str">
        <f>IFERROR(__xludf.DUMMYFUNCTION("""COMPUTED_VALUE"""),"{""typ"":""lc"",""txt"":""LC_ITEM_valentine25_march_effect_desc""}")</f>
        <v>{"typ":"lc","txt":"LC_ITEM_valentine25_march_effect_desc"}</v>
      </c>
      <c r="L618" s="148" t="str">
        <f>IFERROR(__xludf.DUMMYFUNCTION("""COMPUTED_VALUE"""),"{""typ"":""lc"",""txt"":""LC_ITEM_march_effect_use_tip_all""}")</f>
        <v>{"typ":"lc","txt":"LC_ITEM_march_effect_use_tip_all"}</v>
      </c>
      <c r="M618" s="148">
        <f>IFERROR(__xludf.DUMMYFUNCTION("""COMPUTED_VALUE"""),500.0)</f>
        <v>500</v>
      </c>
      <c r="N618" s="148">
        <f>IFERROR(__xludf.DUMMYFUNCTION("""COMPUTED_VALUE"""),999999.0)</f>
        <v>999999</v>
      </c>
      <c r="O618" s="148">
        <f>IFERROR(__xludf.DUMMYFUNCTION("""COMPUTED_VALUE"""),99999.0)</f>
        <v>99999</v>
      </c>
      <c r="P618" s="148">
        <f>IFERROR(__xludf.DUMMYFUNCTION("""COMPUTED_VALUE"""),1.0)</f>
        <v>1</v>
      </c>
      <c r="Q618" s="148" t="str">
        <f>IFERROR(__xludf.DUMMYFUNCTION("""COMPUTED_VALUE"""),"[""bag_other""]")</f>
        <v>["bag_other"]</v>
      </c>
      <c r="R618" s="148" t="str">
        <f>IFERROR(__xludf.DUMMYFUNCTION("""COMPUTED_VALUE"""),"[""bag"",""13650130""]")</f>
        <v>["bag","13650130"]</v>
      </c>
      <c r="S618" s="148" t="str">
        <f>IFERROR(__xludf.DUMMYFUNCTION("""COMPUTED_VALUE"""),"{""effect"":[{""typ"":""marching_effect"",""id"":13650130,""val"":604800000},{""typ"":""vm"",""id"":11151001,""val"":500}]}")</f>
        <v>{"effect":[{"typ":"marching_effect","id":13650130,"val":604800000},{"typ":"vm","id":11151001,"val":500}]}</v>
      </c>
      <c r="T618" s="148">
        <f>IFERROR(__xludf.DUMMYFUNCTION("""COMPUTED_VALUE"""),-1.0)</f>
        <v>-1</v>
      </c>
      <c r="U618" s="148">
        <f>IFERROR(__xludf.DUMMYFUNCTION("""COMPUTED_VALUE"""),0.0)</f>
        <v>0</v>
      </c>
      <c r="V618" s="148" t="str">
        <f>IFERROR(__xludf.DUMMYFUNCTION("""COMPUTED_VALUE"""),"[]")</f>
        <v>[]</v>
      </c>
      <c r="W618" s="148">
        <f>IFERROR(__xludf.DUMMYFUNCTION("""COMPUTED_VALUE"""),1.174E7)</f>
        <v>11740000</v>
      </c>
      <c r="X618" s="148">
        <f>IFERROR(__xludf.DUMMYFUNCTION("""COMPUTED_VALUE"""),0.0)</f>
        <v>0</v>
      </c>
      <c r="Y618" s="148">
        <f>IFERROR(__xludf.DUMMYFUNCTION("""COMPUTED_VALUE"""),0.0)</f>
        <v>0</v>
      </c>
      <c r="Z618" s="148"/>
    </row>
    <row r="619">
      <c r="A619" s="148">
        <f>IFERROR(__xludf.DUMMYFUNCTION("""COMPUTED_VALUE"""),1.1112412E7)</f>
        <v>11112412</v>
      </c>
      <c r="B619" s="148" t="str">
        <f>IFERROR(__xludf.DUMMYFUNCTION("""COMPUTED_VALUE"""),"行军特效-世纪婚礼-14天限时")</f>
        <v>行军特效-世纪婚礼-14天限时</v>
      </c>
      <c r="C619" s="148"/>
      <c r="D619" s="148" t="str">
        <f>IFERROR(__xludf.DUMMYFUNCTION("""COMPUTED_VALUE"""),"marching_effect")</f>
        <v>marching_effect</v>
      </c>
      <c r="E619" s="148">
        <f>IFERROR(__xludf.DUMMYFUNCTION("""COMPUTED_VALUE"""),0.0)</f>
        <v>0</v>
      </c>
      <c r="F619" s="148">
        <f>IFERROR(__xludf.DUMMYFUNCTION("""COMPUTED_VALUE"""),408197.0)</f>
        <v>408197</v>
      </c>
      <c r="G619" s="148">
        <f>IFERROR(__xludf.DUMMYFUNCTION("""COMPUTED_VALUE"""),1.51101292E8)</f>
        <v>151101292</v>
      </c>
      <c r="H619" s="148">
        <f>IFERROR(__xludf.DUMMYFUNCTION("""COMPUTED_VALUE"""),1.5112563E7)</f>
        <v>15112563</v>
      </c>
      <c r="I619" s="148" t="str">
        <f>IFERROR(__xludf.DUMMYFUNCTION("""COMPUTED_VALUE"""),"{""typ"":""lc"",""txt"":""LC_ITEM_time_day_upper_show"",""args"":[{""typ"":""int_unit"",""val"":14}]}")</f>
        <v>{"typ":"lc","txt":"LC_ITEM_time_day_upper_show","args":[{"typ":"int_unit","val":14}]}</v>
      </c>
      <c r="J619" s="148" t="str">
        <f>IFERROR(__xludf.DUMMYFUNCTION("""COMPUTED_VALUE"""),"{""typ"":""lc"",""txt"":""LC_ITEM_valentine25_march_effect_name""}")</f>
        <v>{"typ":"lc","txt":"LC_ITEM_valentine25_march_effect_name"}</v>
      </c>
      <c r="K619" s="148" t="str">
        <f>IFERROR(__xludf.DUMMYFUNCTION("""COMPUTED_VALUE"""),"{""typ"":""lc"",""txt"":""LC_ITEM_valentine25_march_effect_desc""}")</f>
        <v>{"typ":"lc","txt":"LC_ITEM_valentine25_march_effect_desc"}</v>
      </c>
      <c r="L619" s="148" t="str">
        <f>IFERROR(__xludf.DUMMYFUNCTION("""COMPUTED_VALUE"""),"{""typ"":""lc"",""txt"":""LC_ITEM_march_effect_use_tip_all""}")</f>
        <v>{"typ":"lc","txt":"LC_ITEM_march_effect_use_tip_all"}</v>
      </c>
      <c r="M619" s="148">
        <f>IFERROR(__xludf.DUMMYFUNCTION("""COMPUTED_VALUE"""),1000.0)</f>
        <v>1000</v>
      </c>
      <c r="N619" s="148">
        <f>IFERROR(__xludf.DUMMYFUNCTION("""COMPUTED_VALUE"""),999999.0)</f>
        <v>999999</v>
      </c>
      <c r="O619" s="148">
        <f>IFERROR(__xludf.DUMMYFUNCTION("""COMPUTED_VALUE"""),99999.0)</f>
        <v>99999</v>
      </c>
      <c r="P619" s="148">
        <f>IFERROR(__xludf.DUMMYFUNCTION("""COMPUTED_VALUE"""),1.0)</f>
        <v>1</v>
      </c>
      <c r="Q619" s="148" t="str">
        <f>IFERROR(__xludf.DUMMYFUNCTION("""COMPUTED_VALUE"""),"[""bag_other""]")</f>
        <v>["bag_other"]</v>
      </c>
      <c r="R619" s="148" t="str">
        <f>IFERROR(__xludf.DUMMYFUNCTION("""COMPUTED_VALUE"""),"[""bag"",""13650130""]")</f>
        <v>["bag","13650130"]</v>
      </c>
      <c r="S619" s="148" t="str">
        <f>IFERROR(__xludf.DUMMYFUNCTION("""COMPUTED_VALUE"""),"{""effect"":[{""typ"":""marching_effect"",""id"":13650130,""val"":1209600000},{""typ"":""vm"",""id"":11151001,""val"":1000}]}")</f>
        <v>{"effect":[{"typ":"marching_effect","id":13650130,"val":1209600000},{"typ":"vm","id":11151001,"val":1000}]}</v>
      </c>
      <c r="T619" s="148">
        <f>IFERROR(__xludf.DUMMYFUNCTION("""COMPUTED_VALUE"""),-1.0)</f>
        <v>-1</v>
      </c>
      <c r="U619" s="148">
        <f>IFERROR(__xludf.DUMMYFUNCTION("""COMPUTED_VALUE"""),0.0)</f>
        <v>0</v>
      </c>
      <c r="V619" s="148" t="str">
        <f>IFERROR(__xludf.DUMMYFUNCTION("""COMPUTED_VALUE"""),"[]")</f>
        <v>[]</v>
      </c>
      <c r="W619" s="148">
        <f>IFERROR(__xludf.DUMMYFUNCTION("""COMPUTED_VALUE"""),1.174E7)</f>
        <v>11740000</v>
      </c>
      <c r="X619" s="148">
        <f>IFERROR(__xludf.DUMMYFUNCTION("""COMPUTED_VALUE"""),0.0)</f>
        <v>0</v>
      </c>
      <c r="Y619" s="148">
        <f>IFERROR(__xludf.DUMMYFUNCTION("""COMPUTED_VALUE"""),0.0)</f>
        <v>0</v>
      </c>
      <c r="Z619" s="148"/>
    </row>
    <row r="620">
      <c r="A620" s="148">
        <f>IFERROR(__xludf.DUMMYFUNCTION("""COMPUTED_VALUE"""),1.1112413E7)</f>
        <v>11112413</v>
      </c>
      <c r="B620" s="148" t="str">
        <f>IFERROR(__xludf.DUMMYFUNCTION("""COMPUTED_VALUE"""),"行军特效-世纪婚礼-30天限时")</f>
        <v>行军特效-世纪婚礼-30天限时</v>
      </c>
      <c r="C620" s="148"/>
      <c r="D620" s="148" t="str">
        <f>IFERROR(__xludf.DUMMYFUNCTION("""COMPUTED_VALUE"""),"marching_effect")</f>
        <v>marching_effect</v>
      </c>
      <c r="E620" s="148">
        <f>IFERROR(__xludf.DUMMYFUNCTION("""COMPUTED_VALUE"""),0.0)</f>
        <v>0</v>
      </c>
      <c r="F620" s="148">
        <f>IFERROR(__xludf.DUMMYFUNCTION("""COMPUTED_VALUE"""),408196.0)</f>
        <v>408196</v>
      </c>
      <c r="G620" s="148">
        <f>IFERROR(__xludf.DUMMYFUNCTION("""COMPUTED_VALUE"""),1.51101292E8)</f>
        <v>151101292</v>
      </c>
      <c r="H620" s="148">
        <f>IFERROR(__xludf.DUMMYFUNCTION("""COMPUTED_VALUE"""),1.5112563E7)</f>
        <v>15112563</v>
      </c>
      <c r="I620" s="148" t="str">
        <f>IFERROR(__xludf.DUMMYFUNCTION("""COMPUTED_VALUE"""),"{""typ"":""lc"",""txt"":""LC_ITEM_time_day_upper_show"",""args"":[{""typ"":""int_unit"",""val"":30}]}")</f>
        <v>{"typ":"lc","txt":"LC_ITEM_time_day_upper_show","args":[{"typ":"int_unit","val":30}]}</v>
      </c>
      <c r="J620" s="148" t="str">
        <f>IFERROR(__xludf.DUMMYFUNCTION("""COMPUTED_VALUE"""),"{""typ"":""lc"",""txt"":""LC_ITEM_valentine25_march_effect_name""}")</f>
        <v>{"typ":"lc","txt":"LC_ITEM_valentine25_march_effect_name"}</v>
      </c>
      <c r="K620" s="148" t="str">
        <f>IFERROR(__xludf.DUMMYFUNCTION("""COMPUTED_VALUE"""),"{""typ"":""lc"",""txt"":""LC_ITEM_valentine25_march_effect_desc""}")</f>
        <v>{"typ":"lc","txt":"LC_ITEM_valentine25_march_effect_desc"}</v>
      </c>
      <c r="L620" s="148" t="str">
        <f>IFERROR(__xludf.DUMMYFUNCTION("""COMPUTED_VALUE"""),"{""typ"":""lc"",""txt"":""LC_ITEM_march_effect_use_tip_all""}")</f>
        <v>{"typ":"lc","txt":"LC_ITEM_march_effect_use_tip_all"}</v>
      </c>
      <c r="M620" s="148">
        <f>IFERROR(__xludf.DUMMYFUNCTION("""COMPUTED_VALUE"""),2000.0)</f>
        <v>2000</v>
      </c>
      <c r="N620" s="148">
        <f>IFERROR(__xludf.DUMMYFUNCTION("""COMPUTED_VALUE"""),999999.0)</f>
        <v>999999</v>
      </c>
      <c r="O620" s="148">
        <f>IFERROR(__xludf.DUMMYFUNCTION("""COMPUTED_VALUE"""),99999.0)</f>
        <v>99999</v>
      </c>
      <c r="P620" s="148">
        <f>IFERROR(__xludf.DUMMYFUNCTION("""COMPUTED_VALUE"""),1.0)</f>
        <v>1</v>
      </c>
      <c r="Q620" s="148" t="str">
        <f>IFERROR(__xludf.DUMMYFUNCTION("""COMPUTED_VALUE"""),"[""bag_other""]")</f>
        <v>["bag_other"]</v>
      </c>
      <c r="R620" s="148" t="str">
        <f>IFERROR(__xludf.DUMMYFUNCTION("""COMPUTED_VALUE"""),"[""bag"",""13650130""]")</f>
        <v>["bag","13650130"]</v>
      </c>
      <c r="S620" s="148" t="str">
        <f>IFERROR(__xludf.DUMMYFUNCTION("""COMPUTED_VALUE"""),"{""effect"":[{""typ"":""marching_effect"",""id"":13650130,""val"":2592000000},{""typ"":""vm"",""id"":11151001,""val"":1000}]}")</f>
        <v>{"effect":[{"typ":"marching_effect","id":13650130,"val":2592000000},{"typ":"vm","id":11151001,"val":1000}]}</v>
      </c>
      <c r="T620" s="148">
        <f>IFERROR(__xludf.DUMMYFUNCTION("""COMPUTED_VALUE"""),-1.0)</f>
        <v>-1</v>
      </c>
      <c r="U620" s="148">
        <f>IFERROR(__xludf.DUMMYFUNCTION("""COMPUTED_VALUE"""),0.0)</f>
        <v>0</v>
      </c>
      <c r="V620" s="148" t="str">
        <f>IFERROR(__xludf.DUMMYFUNCTION("""COMPUTED_VALUE"""),"[]")</f>
        <v>[]</v>
      </c>
      <c r="W620" s="148">
        <f>IFERROR(__xludf.DUMMYFUNCTION("""COMPUTED_VALUE"""),1.174E7)</f>
        <v>11740000</v>
      </c>
      <c r="X620" s="148">
        <f>IFERROR(__xludf.DUMMYFUNCTION("""COMPUTED_VALUE"""),0.0)</f>
        <v>0</v>
      </c>
      <c r="Y620" s="148">
        <f>IFERROR(__xludf.DUMMYFUNCTION("""COMPUTED_VALUE"""),0.0)</f>
        <v>0</v>
      </c>
      <c r="Z620" s="148"/>
    </row>
    <row r="621">
      <c r="A621" s="148">
        <f>IFERROR(__xludf.DUMMYFUNCTION("""COMPUTED_VALUE"""),1.1112414E7)</f>
        <v>11112414</v>
      </c>
      <c r="B621" s="148" t="str">
        <f>IFERROR(__xludf.DUMMYFUNCTION("""COMPUTED_VALUE"""),"行军特效-世纪婚礼-永久")</f>
        <v>行军特效-世纪婚礼-永久</v>
      </c>
      <c r="C621" s="148"/>
      <c r="D621" s="148" t="str">
        <f>IFERROR(__xludf.DUMMYFUNCTION("""COMPUTED_VALUE"""),"marching_effect")</f>
        <v>marching_effect</v>
      </c>
      <c r="E621" s="148">
        <f>IFERROR(__xludf.DUMMYFUNCTION("""COMPUTED_VALUE"""),0.0)</f>
        <v>0</v>
      </c>
      <c r="F621" s="148">
        <f>IFERROR(__xludf.DUMMYFUNCTION("""COMPUTED_VALUE"""),408195.0)</f>
        <v>408195</v>
      </c>
      <c r="G621" s="148">
        <f>IFERROR(__xludf.DUMMYFUNCTION("""COMPUTED_VALUE"""),1.51101292E8)</f>
        <v>151101292</v>
      </c>
      <c r="H621" s="148">
        <f>IFERROR(__xludf.DUMMYFUNCTION("""COMPUTED_VALUE"""),1.5112564E7)</f>
        <v>15112564</v>
      </c>
      <c r="I621" s="148" t="str">
        <f>IFERROR(__xludf.DUMMYFUNCTION("""COMPUTED_VALUE"""),"{}")</f>
        <v>{}</v>
      </c>
      <c r="J621" s="148" t="str">
        <f>IFERROR(__xludf.DUMMYFUNCTION("""COMPUTED_VALUE"""),"{""typ"":""lc"",""txt"":""LC_ITEM_valentine25_march_effect_name""}")</f>
        <v>{"typ":"lc","txt":"LC_ITEM_valentine25_march_effect_name"}</v>
      </c>
      <c r="K621" s="148" t="str">
        <f>IFERROR(__xludf.DUMMYFUNCTION("""COMPUTED_VALUE"""),"{""typ"":""lc"",""txt"":""LC_ITEM_valentine25_march_effect_desc""}")</f>
        <v>{"typ":"lc","txt":"LC_ITEM_valentine25_march_effect_desc"}</v>
      </c>
      <c r="L621" s="148" t="str">
        <f>IFERROR(__xludf.DUMMYFUNCTION("""COMPUTED_VALUE"""),"{""typ"":""lc"",""txt"":""LC_ITEM_march_effect_use_tip_all""}")</f>
        <v>{"typ":"lc","txt":"LC_ITEM_march_effect_use_tip_all"}</v>
      </c>
      <c r="M621" s="148">
        <f>IFERROR(__xludf.DUMMYFUNCTION("""COMPUTED_VALUE"""),5000.0)</f>
        <v>5000</v>
      </c>
      <c r="N621" s="148">
        <f>IFERROR(__xludf.DUMMYFUNCTION("""COMPUTED_VALUE"""),999999.0)</f>
        <v>999999</v>
      </c>
      <c r="O621" s="148">
        <f>IFERROR(__xludf.DUMMYFUNCTION("""COMPUTED_VALUE"""),99999.0)</f>
        <v>99999</v>
      </c>
      <c r="P621" s="148">
        <f>IFERROR(__xludf.DUMMYFUNCTION("""COMPUTED_VALUE"""),1.0)</f>
        <v>1</v>
      </c>
      <c r="Q621" s="148" t="str">
        <f>IFERROR(__xludf.DUMMYFUNCTION("""COMPUTED_VALUE"""),"[""bag_other""]")</f>
        <v>["bag_other"]</v>
      </c>
      <c r="R621" s="148" t="str">
        <f>IFERROR(__xludf.DUMMYFUNCTION("""COMPUTED_VALUE"""),"[""bag"",""13650130""]")</f>
        <v>["bag","13650130"]</v>
      </c>
      <c r="S621" s="148" t="str">
        <f>IFERROR(__xludf.DUMMYFUNCTION("""COMPUTED_VALUE"""),"{""effect"":[{""typ"":""marching_effect"",""id"":13650130,""val"":-1},{""typ"":""vm"",""id"":11151001,""val"":2500}]}")</f>
        <v>{"effect":[{"typ":"marching_effect","id":13650130,"val":-1},{"typ":"vm","id":11151001,"val":2500}]}</v>
      </c>
      <c r="T621" s="148">
        <f>IFERROR(__xludf.DUMMYFUNCTION("""COMPUTED_VALUE"""),-1.0)</f>
        <v>-1</v>
      </c>
      <c r="U621" s="148">
        <f>IFERROR(__xludf.DUMMYFUNCTION("""COMPUTED_VALUE"""),0.0)</f>
        <v>0</v>
      </c>
      <c r="V621" s="148" t="str">
        <f>IFERROR(__xludf.DUMMYFUNCTION("""COMPUTED_VALUE"""),"[]")</f>
        <v>[]</v>
      </c>
      <c r="W621" s="148">
        <f>IFERROR(__xludf.DUMMYFUNCTION("""COMPUTED_VALUE"""),1.174E7)</f>
        <v>11740000</v>
      </c>
      <c r="X621" s="148">
        <f>IFERROR(__xludf.DUMMYFUNCTION("""COMPUTED_VALUE"""),0.0)</f>
        <v>0</v>
      </c>
      <c r="Y621" s="148">
        <f>IFERROR(__xludf.DUMMYFUNCTION("""COMPUTED_VALUE"""),0.0)</f>
        <v>0</v>
      </c>
      <c r="Z621" s="148"/>
    </row>
    <row r="622">
      <c r="A622" s="148">
        <f>IFERROR(__xludf.DUMMYFUNCTION("""COMPUTED_VALUE"""),1.1112415E7)</f>
        <v>11112415</v>
      </c>
      <c r="B622" s="148" t="str">
        <f>IFERROR(__xludf.DUMMYFUNCTION("""COMPUTED_VALUE"""),"铭牌-情人节2025铭牌-甜蜜心情")</f>
        <v>铭牌-情人节2025铭牌-甜蜜心情</v>
      </c>
      <c r="C622" s="148"/>
      <c r="D622" s="148" t="str">
        <f>IFERROR(__xludf.DUMMYFUNCTION("""COMPUTED_VALUE"""),"chat_skin")</f>
        <v>chat_skin</v>
      </c>
      <c r="E622" s="148">
        <f>IFERROR(__xludf.DUMMYFUNCTION("""COMPUTED_VALUE"""),30.0)</f>
        <v>30</v>
      </c>
      <c r="F622" s="148">
        <f>IFERROR(__xludf.DUMMYFUNCTION("""COMPUTED_VALUE"""),401107.0)</f>
        <v>401107</v>
      </c>
      <c r="G622" s="148">
        <f>IFERROR(__xludf.DUMMYFUNCTION("""COMPUTED_VALUE"""),1.51101293E8)</f>
        <v>151101293</v>
      </c>
      <c r="H622" s="148">
        <f>IFERROR(__xludf.DUMMYFUNCTION("""COMPUTED_VALUE"""),1.5112564E7)</f>
        <v>15112564</v>
      </c>
      <c r="I622" s="148" t="str">
        <f>IFERROR(__xludf.DUMMYFUNCTION("""COMPUTED_VALUE"""),"{}")</f>
        <v>{}</v>
      </c>
      <c r="J622" s="148" t="str">
        <f>IFERROR(__xludf.DUMMYFUNCTION("""COMPUTED_VALUE"""),"{""typ"":""lc"",""txt"":""LC_ITEM_valentine25_nameplate_name""}")</f>
        <v>{"typ":"lc","txt":"LC_ITEM_valentine25_nameplate_name"}</v>
      </c>
      <c r="K622" s="148" t="str">
        <f>IFERROR(__xludf.DUMMYFUNCTION("""COMPUTED_VALUE"""),"{""typ"":""lc"",""txt"":""LC_ITEM_valentine25_nameplate_name_desc_item""}")</f>
        <v>{"typ":"lc","txt":"LC_ITEM_valentine25_nameplate_name_desc_item"}</v>
      </c>
      <c r="L622" s="148" t="str">
        <f>IFERROR(__xludf.DUMMYFUNCTION("""COMPUTED_VALUE"""),"{""typ"":""lc"",""txt"":""LC_ITEM_season_extra_reward_usedtip""}")</f>
        <v>{"typ":"lc","txt":"LC_ITEM_season_extra_reward_usedtip"}</v>
      </c>
      <c r="M622" s="148">
        <f>IFERROR(__xludf.DUMMYFUNCTION("""COMPUTED_VALUE"""),2500.0)</f>
        <v>2500</v>
      </c>
      <c r="N622" s="148">
        <f>IFERROR(__xludf.DUMMYFUNCTION("""COMPUTED_VALUE"""),9999999.0)</f>
        <v>9999999</v>
      </c>
      <c r="O622" s="148">
        <f>IFERROR(__xludf.DUMMYFUNCTION("""COMPUTED_VALUE"""),1.0)</f>
        <v>1</v>
      </c>
      <c r="P622" s="148">
        <f>IFERROR(__xludf.DUMMYFUNCTION("""COMPUTED_VALUE"""),1.0)</f>
        <v>1</v>
      </c>
      <c r="Q622" s="148" t="str">
        <f>IFERROR(__xludf.DUMMYFUNCTION("""COMPUTED_VALUE"""),"[""bag_other""]")</f>
        <v>["bag_other"]</v>
      </c>
      <c r="R622" s="148" t="str">
        <f>IFERROR(__xludf.DUMMYFUNCTION("""COMPUTED_VALUE"""),"[""11731033"",""bag""]")</f>
        <v>["11731033","bag"]</v>
      </c>
      <c r="S622" s="148" t="str">
        <f>IFERROR(__xludf.DUMMYFUNCTION("""COMPUTED_VALUE"""),"{""effect"":[{""typ"":""nameplate"",""id"":11731033,""val"":-1}]}")</f>
        <v>{"effect":[{"typ":"nameplate","id":11731033,"val":-1}]}</v>
      </c>
      <c r="T622" s="148">
        <f>IFERROR(__xludf.DUMMYFUNCTION("""COMPUTED_VALUE"""),-1.0)</f>
        <v>-1</v>
      </c>
      <c r="U622" s="148">
        <f>IFERROR(__xludf.DUMMYFUNCTION("""COMPUTED_VALUE"""),0.0)</f>
        <v>0</v>
      </c>
      <c r="V622" s="148" t="str">
        <f>IFERROR(__xludf.DUMMYFUNCTION("""COMPUTED_VALUE"""),"[]")</f>
        <v>[]</v>
      </c>
      <c r="W622" s="148">
        <f>IFERROR(__xludf.DUMMYFUNCTION("""COMPUTED_VALUE"""),1.174E7)</f>
        <v>11740000</v>
      </c>
      <c r="X622" s="148">
        <f>IFERROR(__xludf.DUMMYFUNCTION("""COMPUTED_VALUE"""),0.0)</f>
        <v>0</v>
      </c>
      <c r="Y622" s="148">
        <f>IFERROR(__xludf.DUMMYFUNCTION("""COMPUTED_VALUE"""),0.0)</f>
        <v>0</v>
      </c>
      <c r="Z622" s="148"/>
    </row>
    <row r="623">
      <c r="A623" s="148">
        <f>IFERROR(__xludf.DUMMYFUNCTION("""COMPUTED_VALUE"""),1.1112417E7)</f>
        <v>11112417</v>
      </c>
      <c r="B623" s="148" t="str">
        <f>IFERROR(__xludf.DUMMYFUNCTION("""COMPUTED_VALUE"""),"心意红包")</f>
        <v>心意红包</v>
      </c>
      <c r="C623" s="148"/>
      <c r="D623" s="148" t="str">
        <f>IFERROR(__xludf.DUMMYFUNCTION("""COMPUTED_VALUE"""),"red_package")</f>
        <v>red_package</v>
      </c>
      <c r="E623" s="148">
        <f>IFERROR(__xludf.DUMMYFUNCTION("""COMPUTED_VALUE"""),0.0)</f>
        <v>0</v>
      </c>
      <c r="F623" s="148">
        <f>IFERROR(__xludf.DUMMYFUNCTION("""COMPUTED_VALUE"""),101105.0)</f>
        <v>101105</v>
      </c>
      <c r="G623" s="148">
        <f>IFERROR(__xludf.DUMMYFUNCTION("""COMPUTED_VALUE"""),1.51158E7)</f>
        <v>15115800</v>
      </c>
      <c r="H623" s="148">
        <f>IFERROR(__xludf.DUMMYFUNCTION("""COMPUTED_VALUE"""),1.511256E7)</f>
        <v>15112560</v>
      </c>
      <c r="I623" s="148" t="str">
        <f>IFERROR(__xludf.DUMMYFUNCTION("""COMPUTED_VALUE"""),"{}")</f>
        <v>{}</v>
      </c>
      <c r="J623" s="148" t="str">
        <f>IFERROR(__xludf.DUMMYFUNCTION("""COMPUTED_VALUE"""),"{""typ"":""lc"",""txt"":""LC_ITEM_spring_red_packages_2023_title_1""}")</f>
        <v>{"typ":"lc","txt":"LC_ITEM_spring_red_packages_2023_title_1"}</v>
      </c>
      <c r="K623" s="148" t="str">
        <f>IFERROR(__xludf.DUMMYFUNCTION("""COMPUTED_VALUE"""),"{""typ"":""lc"",""txt"":""LC_ITEM_spring_red_packages_2023_title_desc"",""args"":[{""typ"":""int"",""val"":75}]}")</f>
        <v>{"typ":"lc","txt":"LC_ITEM_spring_red_packages_2023_title_desc","args":[{"typ":"int","val":75}]}</v>
      </c>
      <c r="L623" s="148" t="str">
        <f>IFERROR(__xludf.DUMMYFUNCTION("""COMPUTED_VALUE"""),"{}")</f>
        <v>{}</v>
      </c>
      <c r="M623" s="148">
        <f>IFERROR(__xludf.DUMMYFUNCTION("""COMPUTED_VALUE"""),50.0)</f>
        <v>50</v>
      </c>
      <c r="N623" s="148">
        <f>IFERROR(__xludf.DUMMYFUNCTION("""COMPUTED_VALUE"""),999999.0)</f>
        <v>999999</v>
      </c>
      <c r="O623" s="148">
        <f>IFERROR(__xludf.DUMMYFUNCTION("""COMPUTED_VALUE"""),99999.0)</f>
        <v>99999</v>
      </c>
      <c r="P623" s="148">
        <f>IFERROR(__xludf.DUMMYFUNCTION("""COMPUTED_VALUE"""),1.0)</f>
        <v>1</v>
      </c>
      <c r="Q623" s="148" t="str">
        <f>IFERROR(__xludf.DUMMYFUNCTION("""COMPUTED_VALUE"""),"[""bag_other""]")</f>
        <v>["bag_other"]</v>
      </c>
      <c r="R623" s="148" t="str">
        <f>IFERROR(__xludf.DUMMYFUNCTION("""COMPUTED_VALUE"""),"[""bag""]")</f>
        <v>["bag"]</v>
      </c>
      <c r="S623" s="148" t="str">
        <f>IFERROR(__xludf.DUMMYFUNCTION("""COMPUTED_VALUE"""),"{""effect"":[{""typ"":""red_pack"",""id"":20290012}]}")</f>
        <v>{"effect":[{"typ":"red_pack","id":20290012}]}</v>
      </c>
      <c r="T623" s="148">
        <f>IFERROR(__xludf.DUMMYFUNCTION("""COMPUTED_VALUE"""),1.0)</f>
        <v>1</v>
      </c>
      <c r="U623" s="148">
        <f>IFERROR(__xludf.DUMMYFUNCTION("""COMPUTED_VALUE"""),0.0)</f>
        <v>0</v>
      </c>
      <c r="V623" s="148" t="str">
        <f>IFERROR(__xludf.DUMMYFUNCTION("""COMPUTED_VALUE"""),"[]")</f>
        <v>[]</v>
      </c>
      <c r="W623" s="148">
        <f>IFERROR(__xludf.DUMMYFUNCTION("""COMPUTED_VALUE"""),1.174E7)</f>
        <v>11740000</v>
      </c>
      <c r="X623" s="148">
        <f>IFERROR(__xludf.DUMMYFUNCTION("""COMPUTED_VALUE"""),0.0)</f>
        <v>0</v>
      </c>
      <c r="Y623" s="148">
        <f>IFERROR(__xludf.DUMMYFUNCTION("""COMPUTED_VALUE"""),0.0)</f>
        <v>0</v>
      </c>
      <c r="Z623" s="148"/>
    </row>
    <row r="624">
      <c r="A624" s="148">
        <f>IFERROR(__xludf.DUMMYFUNCTION("""COMPUTED_VALUE"""),1.1112418E7)</f>
        <v>11112418</v>
      </c>
      <c r="B624" s="148" t="str">
        <f>IFERROR(__xludf.DUMMYFUNCTION("""COMPUTED_VALUE"""),"吉利红包")</f>
        <v>吉利红包</v>
      </c>
      <c r="C624" s="148"/>
      <c r="D624" s="148" t="str">
        <f>IFERROR(__xludf.DUMMYFUNCTION("""COMPUTED_VALUE"""),"red_package")</f>
        <v>red_package</v>
      </c>
      <c r="E624" s="148">
        <f>IFERROR(__xludf.DUMMYFUNCTION("""COMPUTED_VALUE"""),0.0)</f>
        <v>0</v>
      </c>
      <c r="F624" s="148">
        <f>IFERROR(__xludf.DUMMYFUNCTION("""COMPUTED_VALUE"""),101104.0)</f>
        <v>101104</v>
      </c>
      <c r="G624" s="148">
        <f>IFERROR(__xludf.DUMMYFUNCTION("""COMPUTED_VALUE"""),1.5115801E7)</f>
        <v>15115801</v>
      </c>
      <c r="H624" s="148">
        <f>IFERROR(__xludf.DUMMYFUNCTION("""COMPUTED_VALUE"""),1.5112561E7)</f>
        <v>15112561</v>
      </c>
      <c r="I624" s="148" t="str">
        <f>IFERROR(__xludf.DUMMYFUNCTION("""COMPUTED_VALUE"""),"{}")</f>
        <v>{}</v>
      </c>
      <c r="J624" s="148" t="str">
        <f>IFERROR(__xludf.DUMMYFUNCTION("""COMPUTED_VALUE"""),"{""typ"":""lc"",""txt"":""LC_ITEM_spring_red_packages_2023_title_2""}")</f>
        <v>{"typ":"lc","txt":"LC_ITEM_spring_red_packages_2023_title_2"}</v>
      </c>
      <c r="K624" s="148" t="str">
        <f>IFERROR(__xludf.DUMMYFUNCTION("""COMPUTED_VALUE"""),"{""typ"":""lc"",""txt"":""LC_ITEM_spring_red_packages_2023_title_desc"",""args"":[{""typ"":""int"",""val"":250}]}")</f>
        <v>{"typ":"lc","txt":"LC_ITEM_spring_red_packages_2023_title_desc","args":[{"typ":"int","val":250}]}</v>
      </c>
      <c r="L624" s="148" t="str">
        <f>IFERROR(__xludf.DUMMYFUNCTION("""COMPUTED_VALUE"""),"{}")</f>
        <v>{}</v>
      </c>
      <c r="M624" s="148">
        <f>IFERROR(__xludf.DUMMYFUNCTION("""COMPUTED_VALUE"""),100.0)</f>
        <v>100</v>
      </c>
      <c r="N624" s="148">
        <f>IFERROR(__xludf.DUMMYFUNCTION("""COMPUTED_VALUE"""),999999.0)</f>
        <v>999999</v>
      </c>
      <c r="O624" s="148">
        <f>IFERROR(__xludf.DUMMYFUNCTION("""COMPUTED_VALUE"""),99999.0)</f>
        <v>99999</v>
      </c>
      <c r="P624" s="148">
        <f>IFERROR(__xludf.DUMMYFUNCTION("""COMPUTED_VALUE"""),1.0)</f>
        <v>1</v>
      </c>
      <c r="Q624" s="148" t="str">
        <f>IFERROR(__xludf.DUMMYFUNCTION("""COMPUTED_VALUE"""),"[""bag_other""]")</f>
        <v>["bag_other"]</v>
      </c>
      <c r="R624" s="148" t="str">
        <f>IFERROR(__xludf.DUMMYFUNCTION("""COMPUTED_VALUE"""),"[""bag""]")</f>
        <v>["bag"]</v>
      </c>
      <c r="S624" s="148" t="str">
        <f>IFERROR(__xludf.DUMMYFUNCTION("""COMPUTED_VALUE"""),"{""effect"":[{""typ"":""red_pack"",""id"":20290013}]}")</f>
        <v>{"effect":[{"typ":"red_pack","id":20290013}]}</v>
      </c>
      <c r="T624" s="148">
        <f>IFERROR(__xludf.DUMMYFUNCTION("""COMPUTED_VALUE"""),1.0)</f>
        <v>1</v>
      </c>
      <c r="U624" s="148">
        <f>IFERROR(__xludf.DUMMYFUNCTION("""COMPUTED_VALUE"""),0.0)</f>
        <v>0</v>
      </c>
      <c r="V624" s="148" t="str">
        <f>IFERROR(__xludf.DUMMYFUNCTION("""COMPUTED_VALUE"""),"[]")</f>
        <v>[]</v>
      </c>
      <c r="W624" s="148">
        <f>IFERROR(__xludf.DUMMYFUNCTION("""COMPUTED_VALUE"""),1.174E7)</f>
        <v>11740000</v>
      </c>
      <c r="X624" s="148">
        <f>IFERROR(__xludf.DUMMYFUNCTION("""COMPUTED_VALUE"""),0.0)</f>
        <v>0</v>
      </c>
      <c r="Y624" s="148">
        <f>IFERROR(__xludf.DUMMYFUNCTION("""COMPUTED_VALUE"""),0.0)</f>
        <v>0</v>
      </c>
      <c r="Z624" s="148"/>
    </row>
    <row r="625">
      <c r="A625" s="148">
        <f>IFERROR(__xludf.DUMMYFUNCTION("""COMPUTED_VALUE"""),1.1112419E7)</f>
        <v>11112419</v>
      </c>
      <c r="B625" s="148" t="str">
        <f>IFERROR(__xludf.DUMMYFUNCTION("""COMPUTED_VALUE"""),"福运红包")</f>
        <v>福运红包</v>
      </c>
      <c r="C625" s="148"/>
      <c r="D625" s="148" t="str">
        <f>IFERROR(__xludf.DUMMYFUNCTION("""COMPUTED_VALUE"""),"red_package")</f>
        <v>red_package</v>
      </c>
      <c r="E625" s="148">
        <f>IFERROR(__xludf.DUMMYFUNCTION("""COMPUTED_VALUE"""),0.0)</f>
        <v>0</v>
      </c>
      <c r="F625" s="148">
        <f>IFERROR(__xludf.DUMMYFUNCTION("""COMPUTED_VALUE"""),101103.0)</f>
        <v>101103</v>
      </c>
      <c r="G625" s="148">
        <f>IFERROR(__xludf.DUMMYFUNCTION("""COMPUTED_VALUE"""),1.5115802E7)</f>
        <v>15115802</v>
      </c>
      <c r="H625" s="148">
        <f>IFERROR(__xludf.DUMMYFUNCTION("""COMPUTED_VALUE"""),1.5112562E7)</f>
        <v>15112562</v>
      </c>
      <c r="I625" s="148" t="str">
        <f>IFERROR(__xludf.DUMMYFUNCTION("""COMPUTED_VALUE"""),"{}")</f>
        <v>{}</v>
      </c>
      <c r="J625" s="148" t="str">
        <f>IFERROR(__xludf.DUMMYFUNCTION("""COMPUTED_VALUE"""),"{""typ"":""lc"",""txt"":""LC_ITEM_spring_red_packages_2023_title_3""}")</f>
        <v>{"typ":"lc","txt":"LC_ITEM_spring_red_packages_2023_title_3"}</v>
      </c>
      <c r="K625" s="148" t="str">
        <f>IFERROR(__xludf.DUMMYFUNCTION("""COMPUTED_VALUE"""),"{""typ"":""lc"",""txt"":""LC_ITEM_spring_red_packages_2023_title_desc"",""args"":[{""typ"":""int"",""val"":500}]}")</f>
        <v>{"typ":"lc","txt":"LC_ITEM_spring_red_packages_2023_title_desc","args":[{"typ":"int","val":500}]}</v>
      </c>
      <c r="L625" s="148" t="str">
        <f>IFERROR(__xludf.DUMMYFUNCTION("""COMPUTED_VALUE"""),"{}")</f>
        <v>{}</v>
      </c>
      <c r="M625" s="148">
        <f>IFERROR(__xludf.DUMMYFUNCTION("""COMPUTED_VALUE"""),200.0)</f>
        <v>200</v>
      </c>
      <c r="N625" s="148">
        <f>IFERROR(__xludf.DUMMYFUNCTION("""COMPUTED_VALUE"""),999999.0)</f>
        <v>999999</v>
      </c>
      <c r="O625" s="148">
        <f>IFERROR(__xludf.DUMMYFUNCTION("""COMPUTED_VALUE"""),99999.0)</f>
        <v>99999</v>
      </c>
      <c r="P625" s="148">
        <f>IFERROR(__xludf.DUMMYFUNCTION("""COMPUTED_VALUE"""),1.0)</f>
        <v>1</v>
      </c>
      <c r="Q625" s="148" t="str">
        <f>IFERROR(__xludf.DUMMYFUNCTION("""COMPUTED_VALUE"""),"[""bag_other""]")</f>
        <v>["bag_other"]</v>
      </c>
      <c r="R625" s="148" t="str">
        <f>IFERROR(__xludf.DUMMYFUNCTION("""COMPUTED_VALUE"""),"[""bag""]")</f>
        <v>["bag"]</v>
      </c>
      <c r="S625" s="148" t="str">
        <f>IFERROR(__xludf.DUMMYFUNCTION("""COMPUTED_VALUE"""),"{""effect"":[{""typ"":""red_pack"",""id"":20290014}]}")</f>
        <v>{"effect":[{"typ":"red_pack","id":20290014}]}</v>
      </c>
      <c r="T625" s="148">
        <f>IFERROR(__xludf.DUMMYFUNCTION("""COMPUTED_VALUE"""),1.0)</f>
        <v>1</v>
      </c>
      <c r="U625" s="148">
        <f>IFERROR(__xludf.DUMMYFUNCTION("""COMPUTED_VALUE"""),0.0)</f>
        <v>0</v>
      </c>
      <c r="V625" s="148" t="str">
        <f>IFERROR(__xludf.DUMMYFUNCTION("""COMPUTED_VALUE"""),"[]")</f>
        <v>[]</v>
      </c>
      <c r="W625" s="148">
        <f>IFERROR(__xludf.DUMMYFUNCTION("""COMPUTED_VALUE"""),1.174E7)</f>
        <v>11740000</v>
      </c>
      <c r="X625" s="148">
        <f>IFERROR(__xludf.DUMMYFUNCTION("""COMPUTED_VALUE"""),0.0)</f>
        <v>0</v>
      </c>
      <c r="Y625" s="148">
        <f>IFERROR(__xludf.DUMMYFUNCTION("""COMPUTED_VALUE"""),0.0)</f>
        <v>0</v>
      </c>
      <c r="Z625" s="148"/>
    </row>
    <row r="626">
      <c r="A626" s="148">
        <f>IFERROR(__xludf.DUMMYFUNCTION("""COMPUTED_VALUE"""),1.111242E7)</f>
        <v>11112420</v>
      </c>
      <c r="B626" s="148" t="str">
        <f>IFERROR(__xludf.DUMMYFUNCTION("""COMPUTED_VALUE"""),"奢享红包")</f>
        <v>奢享红包</v>
      </c>
      <c r="C626" s="148"/>
      <c r="D626" s="148" t="str">
        <f>IFERROR(__xludf.DUMMYFUNCTION("""COMPUTED_VALUE"""),"red_package")</f>
        <v>red_package</v>
      </c>
      <c r="E626" s="148">
        <f>IFERROR(__xludf.DUMMYFUNCTION("""COMPUTED_VALUE"""),0.0)</f>
        <v>0</v>
      </c>
      <c r="F626" s="148">
        <f>IFERROR(__xludf.DUMMYFUNCTION("""COMPUTED_VALUE"""),101102.0)</f>
        <v>101102</v>
      </c>
      <c r="G626" s="148">
        <f>IFERROR(__xludf.DUMMYFUNCTION("""COMPUTED_VALUE"""),1.5115803E7)</f>
        <v>15115803</v>
      </c>
      <c r="H626" s="148">
        <f>IFERROR(__xludf.DUMMYFUNCTION("""COMPUTED_VALUE"""),1.5112563E7)</f>
        <v>15112563</v>
      </c>
      <c r="I626" s="148" t="str">
        <f>IFERROR(__xludf.DUMMYFUNCTION("""COMPUTED_VALUE"""),"{}")</f>
        <v>{}</v>
      </c>
      <c r="J626" s="148" t="str">
        <f>IFERROR(__xludf.DUMMYFUNCTION("""COMPUTED_VALUE"""),"{""typ"":""lc"",""txt"":""LC_ITEM_spring_red_packages_2023_title_4""}")</f>
        <v>{"typ":"lc","txt":"LC_ITEM_spring_red_packages_2023_title_4"}</v>
      </c>
      <c r="K626" s="148" t="str">
        <f>IFERROR(__xludf.DUMMYFUNCTION("""COMPUTED_VALUE"""),"{""typ"":""lc"",""txt"":""LC_ITEM_spring_red_packages_2023_title_desc"",""args"":[{""typ"":""int"",""val"":1250}]}")</f>
        <v>{"typ":"lc","txt":"LC_ITEM_spring_red_packages_2023_title_desc","args":[{"typ":"int","val":1250}]}</v>
      </c>
      <c r="L626" s="148" t="str">
        <f>IFERROR(__xludf.DUMMYFUNCTION("""COMPUTED_VALUE"""),"{}")</f>
        <v>{}</v>
      </c>
      <c r="M626" s="148">
        <f>IFERROR(__xludf.DUMMYFUNCTION("""COMPUTED_VALUE"""),500.0)</f>
        <v>500</v>
      </c>
      <c r="N626" s="148">
        <f>IFERROR(__xludf.DUMMYFUNCTION("""COMPUTED_VALUE"""),999999.0)</f>
        <v>999999</v>
      </c>
      <c r="O626" s="148">
        <f>IFERROR(__xludf.DUMMYFUNCTION("""COMPUTED_VALUE"""),99999.0)</f>
        <v>99999</v>
      </c>
      <c r="P626" s="148">
        <f>IFERROR(__xludf.DUMMYFUNCTION("""COMPUTED_VALUE"""),1.0)</f>
        <v>1</v>
      </c>
      <c r="Q626" s="148" t="str">
        <f>IFERROR(__xludf.DUMMYFUNCTION("""COMPUTED_VALUE"""),"[""bag_other""]")</f>
        <v>["bag_other"]</v>
      </c>
      <c r="R626" s="148" t="str">
        <f>IFERROR(__xludf.DUMMYFUNCTION("""COMPUTED_VALUE"""),"[""bag""]")</f>
        <v>["bag"]</v>
      </c>
      <c r="S626" s="148" t="str">
        <f>IFERROR(__xludf.DUMMYFUNCTION("""COMPUTED_VALUE"""),"{""effect"":[{""typ"":""red_pack"",""id"":20290015}]}")</f>
        <v>{"effect":[{"typ":"red_pack","id":20290015}]}</v>
      </c>
      <c r="T626" s="148">
        <f>IFERROR(__xludf.DUMMYFUNCTION("""COMPUTED_VALUE"""),1.0)</f>
        <v>1</v>
      </c>
      <c r="U626" s="148">
        <f>IFERROR(__xludf.DUMMYFUNCTION("""COMPUTED_VALUE"""),0.0)</f>
        <v>0</v>
      </c>
      <c r="V626" s="148" t="str">
        <f>IFERROR(__xludf.DUMMYFUNCTION("""COMPUTED_VALUE"""),"[]")</f>
        <v>[]</v>
      </c>
      <c r="W626" s="148">
        <f>IFERROR(__xludf.DUMMYFUNCTION("""COMPUTED_VALUE"""),1.174E7)</f>
        <v>11740000</v>
      </c>
      <c r="X626" s="148">
        <f>IFERROR(__xludf.DUMMYFUNCTION("""COMPUTED_VALUE"""),0.0)</f>
        <v>0</v>
      </c>
      <c r="Y626" s="148">
        <f>IFERROR(__xludf.DUMMYFUNCTION("""COMPUTED_VALUE"""),0.0)</f>
        <v>0</v>
      </c>
      <c r="Z626" s="148"/>
    </row>
    <row r="627">
      <c r="A627" s="148">
        <f>IFERROR(__xludf.DUMMYFUNCTION("""COMPUTED_VALUE"""),1.1112421E7)</f>
        <v>11112421</v>
      </c>
      <c r="B627" s="148" t="str">
        <f>IFERROR(__xludf.DUMMYFUNCTION("""COMPUTED_VALUE"""),"至尊红包")</f>
        <v>至尊红包</v>
      </c>
      <c r="C627" s="148"/>
      <c r="D627" s="148" t="str">
        <f>IFERROR(__xludf.DUMMYFUNCTION("""COMPUTED_VALUE"""),"red_package")</f>
        <v>red_package</v>
      </c>
      <c r="E627" s="148">
        <f>IFERROR(__xludf.DUMMYFUNCTION("""COMPUTED_VALUE"""),0.0)</f>
        <v>0</v>
      </c>
      <c r="F627" s="148">
        <f>IFERROR(__xludf.DUMMYFUNCTION("""COMPUTED_VALUE"""),101101.0)</f>
        <v>101101</v>
      </c>
      <c r="G627" s="148">
        <f>IFERROR(__xludf.DUMMYFUNCTION("""COMPUTED_VALUE"""),1.5115804E7)</f>
        <v>15115804</v>
      </c>
      <c r="H627" s="148">
        <f>IFERROR(__xludf.DUMMYFUNCTION("""COMPUTED_VALUE"""),1.5112564E7)</f>
        <v>15112564</v>
      </c>
      <c r="I627" s="148" t="str">
        <f>IFERROR(__xludf.DUMMYFUNCTION("""COMPUTED_VALUE"""),"{}")</f>
        <v>{}</v>
      </c>
      <c r="J627" s="148" t="str">
        <f>IFERROR(__xludf.DUMMYFUNCTION("""COMPUTED_VALUE"""),"{""typ"":""lc"",""txt"":""LC_ITEM_spring_red_packages_2023_title_5""}")</f>
        <v>{"typ":"lc","txt":"LC_ITEM_spring_red_packages_2023_title_5"}</v>
      </c>
      <c r="K627" s="148" t="str">
        <f>IFERROR(__xludf.DUMMYFUNCTION("""COMPUTED_VALUE"""),"{""typ"":""lc"",""txt"":""LC_ITEM_spring_red_packages_2023_title_desc"",""args"":[{""typ"":""int"",""val"":2500}]}")</f>
        <v>{"typ":"lc","txt":"LC_ITEM_spring_red_packages_2023_title_desc","args":[{"typ":"int","val":2500}]}</v>
      </c>
      <c r="L627" s="148" t="str">
        <f>IFERROR(__xludf.DUMMYFUNCTION("""COMPUTED_VALUE"""),"{}")</f>
        <v>{}</v>
      </c>
      <c r="M627" s="148">
        <f>IFERROR(__xludf.DUMMYFUNCTION("""COMPUTED_VALUE"""),1000.0)</f>
        <v>1000</v>
      </c>
      <c r="N627" s="148">
        <f>IFERROR(__xludf.DUMMYFUNCTION("""COMPUTED_VALUE"""),999999.0)</f>
        <v>999999</v>
      </c>
      <c r="O627" s="148">
        <f>IFERROR(__xludf.DUMMYFUNCTION("""COMPUTED_VALUE"""),99999.0)</f>
        <v>99999</v>
      </c>
      <c r="P627" s="148">
        <f>IFERROR(__xludf.DUMMYFUNCTION("""COMPUTED_VALUE"""),1.0)</f>
        <v>1</v>
      </c>
      <c r="Q627" s="148" t="str">
        <f>IFERROR(__xludf.DUMMYFUNCTION("""COMPUTED_VALUE"""),"[""bag_other""]")</f>
        <v>["bag_other"]</v>
      </c>
      <c r="R627" s="148" t="str">
        <f>IFERROR(__xludf.DUMMYFUNCTION("""COMPUTED_VALUE"""),"[""bag""]")</f>
        <v>["bag"]</v>
      </c>
      <c r="S627" s="148" t="str">
        <f>IFERROR(__xludf.DUMMYFUNCTION("""COMPUTED_VALUE"""),"{""effect"":[{""typ"":""red_pack"",""id"":20290016}]}")</f>
        <v>{"effect":[{"typ":"red_pack","id":20290016}]}</v>
      </c>
      <c r="T627" s="148">
        <f>IFERROR(__xludf.DUMMYFUNCTION("""COMPUTED_VALUE"""),1.0)</f>
        <v>1</v>
      </c>
      <c r="U627" s="148">
        <f>IFERROR(__xludf.DUMMYFUNCTION("""COMPUTED_VALUE"""),0.0)</f>
        <v>0</v>
      </c>
      <c r="V627" s="148" t="str">
        <f>IFERROR(__xludf.DUMMYFUNCTION("""COMPUTED_VALUE"""),"[]")</f>
        <v>[]</v>
      </c>
      <c r="W627" s="148">
        <f>IFERROR(__xludf.DUMMYFUNCTION("""COMPUTED_VALUE"""),1.174E7)</f>
        <v>11740000</v>
      </c>
      <c r="X627" s="148">
        <f>IFERROR(__xludf.DUMMYFUNCTION("""COMPUTED_VALUE"""),0.0)</f>
        <v>0</v>
      </c>
      <c r="Y627" s="148">
        <f>IFERROR(__xludf.DUMMYFUNCTION("""COMPUTED_VALUE"""),0.0)</f>
        <v>0</v>
      </c>
      <c r="Z627" s="148"/>
    </row>
    <row r="628">
      <c r="A628" s="148">
        <f>IFERROR(__xludf.DUMMYFUNCTION("""COMPUTED_VALUE"""),1.1112422E7)</f>
        <v>11112422</v>
      </c>
      <c r="B628" s="148" t="str">
        <f>IFERROR(__xludf.DUMMYFUNCTION("""COMPUTED_VALUE"""),"春节2025-主城特效")</f>
        <v>春节2025-主城特效</v>
      </c>
      <c r="C628" s="148"/>
      <c r="D628" s="148" t="str">
        <f>IFERROR(__xludf.DUMMYFUNCTION("""COMPUTED_VALUE"""),"city_effect")</f>
        <v>city_effect</v>
      </c>
      <c r="E628" s="148">
        <f>IFERROR(__xludf.DUMMYFUNCTION("""COMPUTED_VALUE"""),0.0)</f>
        <v>0</v>
      </c>
      <c r="F628" s="148">
        <f>IFERROR(__xludf.DUMMYFUNCTION("""COMPUTED_VALUE"""),405217.0)</f>
        <v>405217</v>
      </c>
      <c r="G628" s="148">
        <f>IFERROR(__xludf.DUMMYFUNCTION("""COMPUTED_VALUE"""),1.51101208E8)</f>
        <v>151101208</v>
      </c>
      <c r="H628" s="148">
        <f>IFERROR(__xludf.DUMMYFUNCTION("""COMPUTED_VALUE"""),1.5112564E7)</f>
        <v>15112564</v>
      </c>
      <c r="I628" s="148" t="str">
        <f>IFERROR(__xludf.DUMMYFUNCTION("""COMPUTED_VALUE"""),"{}")</f>
        <v>{}</v>
      </c>
      <c r="J628" s="148" t="str">
        <f>IFERROR(__xludf.DUMMYFUNCTION("""COMPUTED_VALUE"""),"{""typ"":""lc"",""txt"":""LC_ITEM_2025spring_city_effect_name""}")</f>
        <v>{"typ":"lc","txt":"LC_ITEM_2025spring_city_effect_name"}</v>
      </c>
      <c r="K628" s="148" t="str">
        <f>IFERROR(__xludf.DUMMYFUNCTION("""COMPUTED_VALUE"""),"{""typ"":""lc"",""txt"":""LC_ITEM_2025spring_city_effect_desc""}")</f>
        <v>{"typ":"lc","txt":"LC_ITEM_2025spring_city_effect_desc"}</v>
      </c>
      <c r="L628" s="148" t="str">
        <f>IFERROR(__xludf.DUMMYFUNCTION("""COMPUTED_VALUE"""),"{}")</f>
        <v>{}</v>
      </c>
      <c r="M628" s="148">
        <f>IFERROR(__xludf.DUMMYFUNCTION("""COMPUTED_VALUE"""),10000.0)</f>
        <v>10000</v>
      </c>
      <c r="N628" s="148">
        <f>IFERROR(__xludf.DUMMYFUNCTION("""COMPUTED_VALUE"""),999999.0)</f>
        <v>999999</v>
      </c>
      <c r="O628" s="148">
        <f>IFERROR(__xludf.DUMMYFUNCTION("""COMPUTED_VALUE"""),99999.0)</f>
        <v>99999</v>
      </c>
      <c r="P628" s="148">
        <f>IFERROR(__xludf.DUMMYFUNCTION("""COMPUTED_VALUE"""),1.0)</f>
        <v>1</v>
      </c>
      <c r="Q628" s="148" t="str">
        <f>IFERROR(__xludf.DUMMYFUNCTION("""COMPUTED_VALUE"""),"[""bag_other""]")</f>
        <v>["bag_other"]</v>
      </c>
      <c r="R628" s="148" t="str">
        <f>IFERROR(__xludf.DUMMYFUNCTION("""COMPUTED_VALUE"""),"[""bag"",""13871007""]")</f>
        <v>["bag","13871007"]</v>
      </c>
      <c r="S628" s="148" t="str">
        <f>IFERROR(__xludf.DUMMYFUNCTION("""COMPUTED_VALUE"""),"{""effect"":[{""typ"":""city_effect"",""id"":13871007,""val"":-1},{""typ"":""item"",""id"":11111034,""val"":10}]}")</f>
        <v>{"effect":[{"typ":"city_effect","id":13871007,"val":-1},{"typ":"item","id":11111034,"val":10}]}</v>
      </c>
      <c r="T628" s="148">
        <f>IFERROR(__xludf.DUMMYFUNCTION("""COMPUTED_VALUE"""),-1.0)</f>
        <v>-1</v>
      </c>
      <c r="U628" s="148">
        <f>IFERROR(__xludf.DUMMYFUNCTION("""COMPUTED_VALUE"""),0.0)</f>
        <v>0</v>
      </c>
      <c r="V628" s="148" t="str">
        <f>IFERROR(__xludf.DUMMYFUNCTION("""COMPUTED_VALUE"""),"[]")</f>
        <v>[]</v>
      </c>
      <c r="W628" s="148">
        <f>IFERROR(__xludf.DUMMYFUNCTION("""COMPUTED_VALUE"""),1.174E7)</f>
        <v>11740000</v>
      </c>
      <c r="X628" s="148">
        <f>IFERROR(__xludf.DUMMYFUNCTION("""COMPUTED_VALUE"""),0.0)</f>
        <v>0</v>
      </c>
      <c r="Y628" s="148">
        <f>IFERROR(__xludf.DUMMYFUNCTION("""COMPUTED_VALUE"""),0.0)</f>
        <v>0</v>
      </c>
      <c r="Z628" s="148"/>
    </row>
    <row r="629">
      <c r="A629" s="148">
        <f>IFERROR(__xludf.DUMMYFUNCTION("""COMPUTED_VALUE"""),1.1112423E7)</f>
        <v>11112423</v>
      </c>
      <c r="B629" s="148" t="str">
        <f>IFERROR(__xludf.DUMMYFUNCTION("""COMPUTED_VALUE"""),"情人节2025-主城特效")</f>
        <v>情人节2025-主城特效</v>
      </c>
      <c r="C629" s="148"/>
      <c r="D629" s="148" t="str">
        <f>IFERROR(__xludf.DUMMYFUNCTION("""COMPUTED_VALUE"""),"city_effect")</f>
        <v>city_effect</v>
      </c>
      <c r="E629" s="148">
        <f>IFERROR(__xludf.DUMMYFUNCTION("""COMPUTED_VALUE"""),0.0)</f>
        <v>0</v>
      </c>
      <c r="F629" s="148">
        <f>IFERROR(__xludf.DUMMYFUNCTION("""COMPUTED_VALUE"""),405217.0)</f>
        <v>405217</v>
      </c>
      <c r="G629" s="148">
        <f>IFERROR(__xludf.DUMMYFUNCTION("""COMPUTED_VALUE"""),1.51101209E8)</f>
        <v>151101209</v>
      </c>
      <c r="H629" s="148">
        <f>IFERROR(__xludf.DUMMYFUNCTION("""COMPUTED_VALUE"""),1.5112564E7)</f>
        <v>15112564</v>
      </c>
      <c r="I629" s="148" t="str">
        <f>IFERROR(__xludf.DUMMYFUNCTION("""COMPUTED_VALUE"""),"{}")</f>
        <v>{}</v>
      </c>
      <c r="J629" s="148" t="str">
        <f>IFERROR(__xludf.DUMMYFUNCTION("""COMPUTED_VALUE"""),"{""typ"":""lc"",""txt"":""LC_ITEM_2025valentine_city_effect_name""}")</f>
        <v>{"typ":"lc","txt":"LC_ITEM_2025valentine_city_effect_name"}</v>
      </c>
      <c r="K629" s="148" t="str">
        <f>IFERROR(__xludf.DUMMYFUNCTION("""COMPUTED_VALUE"""),"{""typ"":""lc"",""txt"":""LC_ITEM_2025valentine_city_effect_desc""}")</f>
        <v>{"typ":"lc","txt":"LC_ITEM_2025valentine_city_effect_desc"}</v>
      </c>
      <c r="L629" s="148" t="str">
        <f>IFERROR(__xludf.DUMMYFUNCTION("""COMPUTED_VALUE"""),"{}")</f>
        <v>{}</v>
      </c>
      <c r="M629" s="148">
        <f>IFERROR(__xludf.DUMMYFUNCTION("""COMPUTED_VALUE"""),10000.0)</f>
        <v>10000</v>
      </c>
      <c r="N629" s="148">
        <f>IFERROR(__xludf.DUMMYFUNCTION("""COMPUTED_VALUE"""),999999.0)</f>
        <v>999999</v>
      </c>
      <c r="O629" s="148">
        <f>IFERROR(__xludf.DUMMYFUNCTION("""COMPUTED_VALUE"""),99999.0)</f>
        <v>99999</v>
      </c>
      <c r="P629" s="148">
        <f>IFERROR(__xludf.DUMMYFUNCTION("""COMPUTED_VALUE"""),1.0)</f>
        <v>1</v>
      </c>
      <c r="Q629" s="148" t="str">
        <f>IFERROR(__xludf.DUMMYFUNCTION("""COMPUTED_VALUE"""),"[""bag_other""]")</f>
        <v>["bag_other"]</v>
      </c>
      <c r="R629" s="148" t="str">
        <f>IFERROR(__xludf.DUMMYFUNCTION("""COMPUTED_VALUE"""),"[""bag"",""13871008""]")</f>
        <v>["bag","13871008"]</v>
      </c>
      <c r="S629" s="148" t="str">
        <f>IFERROR(__xludf.DUMMYFUNCTION("""COMPUTED_VALUE"""),"{""effect"":[{""typ"":""city_effect"",""id"":13871008,""val"":-1},{""typ"":""item"",""id"":11111034,""val"":10}]}")</f>
        <v>{"effect":[{"typ":"city_effect","id":13871008,"val":-1},{"typ":"item","id":11111034,"val":10}]}</v>
      </c>
      <c r="T629" s="148">
        <f>IFERROR(__xludf.DUMMYFUNCTION("""COMPUTED_VALUE"""),-1.0)</f>
        <v>-1</v>
      </c>
      <c r="U629" s="148">
        <f>IFERROR(__xludf.DUMMYFUNCTION("""COMPUTED_VALUE"""),0.0)</f>
        <v>0</v>
      </c>
      <c r="V629" s="148" t="str">
        <f>IFERROR(__xludf.DUMMYFUNCTION("""COMPUTED_VALUE"""),"[]")</f>
        <v>[]</v>
      </c>
      <c r="W629" s="148">
        <f>IFERROR(__xludf.DUMMYFUNCTION("""COMPUTED_VALUE"""),1.174E7)</f>
        <v>11740000</v>
      </c>
      <c r="X629" s="148">
        <f>IFERROR(__xludf.DUMMYFUNCTION("""COMPUTED_VALUE"""),0.0)</f>
        <v>0</v>
      </c>
      <c r="Y629" s="148">
        <f>IFERROR(__xludf.DUMMYFUNCTION("""COMPUTED_VALUE"""),0.0)</f>
        <v>0</v>
      </c>
      <c r="Z629" s="148"/>
    </row>
    <row r="630">
      <c r="A630" s="148">
        <f>IFERROR(__xludf.DUMMYFUNCTION("""COMPUTED_VALUE"""),1.1112424E7)</f>
        <v>11112424</v>
      </c>
      <c r="B630" s="148" t="str">
        <f>IFERROR(__xludf.DUMMYFUNCTION("""COMPUTED_VALUE"""),"春节2025-装饰升级版本（投放用）")</f>
        <v>春节2025-装饰升级版本（投放用）</v>
      </c>
      <c r="C630" s="148"/>
      <c r="D630" s="148" t="str">
        <f>IFERROR(__xludf.DUMMYFUNCTION("""COMPUTED_VALUE"""),"statue_decorate")</f>
        <v>statue_decorate</v>
      </c>
      <c r="E630" s="148">
        <f>IFERROR(__xludf.DUMMYFUNCTION("""COMPUTED_VALUE"""),23.0)</f>
        <v>23</v>
      </c>
      <c r="F630" s="148">
        <f>IFERROR(__xludf.DUMMYFUNCTION("""COMPUTED_VALUE"""),0.0)</f>
        <v>0</v>
      </c>
      <c r="G630" s="148">
        <f>IFERROR(__xludf.DUMMYFUNCTION("""COMPUTED_VALUE"""),1.5110115E8)</f>
        <v>151101150</v>
      </c>
      <c r="H630" s="148">
        <f>IFERROR(__xludf.DUMMYFUNCTION("""COMPUTED_VALUE"""),1.5112564E7)</f>
        <v>15112564</v>
      </c>
      <c r="I630" s="148" t="str">
        <f>IFERROR(__xludf.DUMMYFUNCTION("""COMPUTED_VALUE"""),"{}")</f>
        <v>{}</v>
      </c>
      <c r="J630" s="148" t="str">
        <f>IFERROR(__xludf.DUMMYFUNCTION("""COMPUTED_VALUE"""),"{""typ"":""lc"",""txt"":""LC_ITEM_2025lunar_dec_item_2""}")</f>
        <v>{"typ":"lc","txt":"LC_ITEM_2025lunar_dec_item_2"}</v>
      </c>
      <c r="K630" s="148" t="str">
        <f>IFERROR(__xludf.DUMMYFUNCTION("""COMPUTED_VALUE"""),"{""typ"":""lc"",""txt"":""LC_ITEM_2025lunar_dec_item_3_desc""}")</f>
        <v>{"typ":"lc","txt":"LC_ITEM_2025lunar_dec_item_3_desc"}</v>
      </c>
      <c r="L630" s="148" t="str">
        <f>IFERROR(__xludf.DUMMYFUNCTION("""COMPUTED_VALUE"""),"{}")</f>
        <v>{}</v>
      </c>
      <c r="M630" s="148">
        <f>IFERROR(__xludf.DUMMYFUNCTION("""COMPUTED_VALUE"""),5000.0)</f>
        <v>5000</v>
      </c>
      <c r="N630" s="148">
        <f>IFERROR(__xludf.DUMMYFUNCTION("""COMPUTED_VALUE"""),999.0)</f>
        <v>999</v>
      </c>
      <c r="O630" s="148">
        <f>IFERROR(__xludf.DUMMYFUNCTION("""COMPUTED_VALUE"""),99999.0)</f>
        <v>99999</v>
      </c>
      <c r="P630" s="148">
        <f>IFERROR(__xludf.DUMMYFUNCTION("""COMPUTED_VALUE"""),99999.0)</f>
        <v>99999</v>
      </c>
      <c r="Q630" s="148" t="str">
        <f>IFERROR(__xludf.DUMMYFUNCTION("""COMPUTED_VALUE"""),"[]")</f>
        <v>[]</v>
      </c>
      <c r="R630" s="148" t="str">
        <f>IFERROR(__xludf.DUMMYFUNCTION("""COMPUTED_VALUE"""),"[""bag""]")</f>
        <v>["bag"]</v>
      </c>
      <c r="S630" s="148" t="str">
        <f>IFERROR(__xludf.DUMMYFUNCTION("""COMPUTED_VALUE"""),"{""effect"":[{""typ"":""holiday_statue"",""id"":21482301},{""typ"":""item"",""id"":11112425,""val"":1}]}")</f>
        <v>{"effect":[{"typ":"holiday_statue","id":21482301},{"typ":"item","id":11112425,"val":1}]}</v>
      </c>
      <c r="T630" s="148">
        <f>IFERROR(__xludf.DUMMYFUNCTION("""COMPUTED_VALUE"""),-1.0)</f>
        <v>-1</v>
      </c>
      <c r="U630" s="148">
        <f>IFERROR(__xludf.DUMMYFUNCTION("""COMPUTED_VALUE"""),1.0)</f>
        <v>1</v>
      </c>
      <c r="V630" s="148" t="str">
        <f>IFERROR(__xludf.DUMMYFUNCTION("""COMPUTED_VALUE"""),"[]")</f>
        <v>[]</v>
      </c>
      <c r="W630" s="148">
        <f>IFERROR(__xludf.DUMMYFUNCTION("""COMPUTED_VALUE"""),1.174E7)</f>
        <v>11740000</v>
      </c>
      <c r="X630" s="148">
        <f>IFERROR(__xludf.DUMMYFUNCTION("""COMPUTED_VALUE"""),0.0)</f>
        <v>0</v>
      </c>
      <c r="Y630" s="148">
        <f>IFERROR(__xludf.DUMMYFUNCTION("""COMPUTED_VALUE"""),0.0)</f>
        <v>0</v>
      </c>
      <c r="Z630" s="148"/>
    </row>
    <row r="631">
      <c r="A631" s="148">
        <f>IFERROR(__xludf.DUMMYFUNCTION("""COMPUTED_VALUE"""),1.1112425E7)</f>
        <v>11112425</v>
      </c>
      <c r="B631" s="148" t="str">
        <f>IFERROR(__xludf.DUMMYFUNCTION("""COMPUTED_VALUE"""),"春节2025-装饰升级道具")</f>
        <v>春节2025-装饰升级道具</v>
      </c>
      <c r="C631" s="148"/>
      <c r="D631" s="148" t="str">
        <f>IFERROR(__xludf.DUMMYFUNCTION("""COMPUTED_VALUE"""),"event")</f>
        <v>event</v>
      </c>
      <c r="E631" s="148">
        <f>IFERROR(__xludf.DUMMYFUNCTION("""COMPUTED_VALUE"""),0.0)</f>
        <v>0</v>
      </c>
      <c r="F631" s="148">
        <f>IFERROR(__xludf.DUMMYFUNCTION("""COMPUTED_VALUE"""),405243.0)</f>
        <v>405243</v>
      </c>
      <c r="G631" s="148">
        <f>IFERROR(__xludf.DUMMYFUNCTION("""COMPUTED_VALUE"""),1.5110115E8)</f>
        <v>151101150</v>
      </c>
      <c r="H631" s="148">
        <f>IFERROR(__xludf.DUMMYFUNCTION("""COMPUTED_VALUE"""),1.5112564E7)</f>
        <v>15112564</v>
      </c>
      <c r="I631" s="148" t="str">
        <f>IFERROR(__xludf.DUMMYFUNCTION("""COMPUTED_VALUE"""),"{}")</f>
        <v>{}</v>
      </c>
      <c r="J631" s="148" t="str">
        <f>IFERROR(__xludf.DUMMYFUNCTION("""COMPUTED_VALUE"""),"{""typ"":""lc"",""txt"":""LC_ITEM_2025lunar_dec_item_2""}")</f>
        <v>{"typ":"lc","txt":"LC_ITEM_2025lunar_dec_item_2"}</v>
      </c>
      <c r="K631" s="148" t="str">
        <f>IFERROR(__xludf.DUMMYFUNCTION("""COMPUTED_VALUE"""),"{""typ"":""lc"",""txt"":""LC_ITEM_2025lunar_dec_item_3_desc""}")</f>
        <v>{"typ":"lc","txt":"LC_ITEM_2025lunar_dec_item_3_desc"}</v>
      </c>
      <c r="L631" s="148" t="str">
        <f>IFERROR(__xludf.DUMMYFUNCTION("""COMPUTED_VALUE"""),"{}")</f>
        <v>{}</v>
      </c>
      <c r="M631" s="148">
        <f>IFERROR(__xludf.DUMMYFUNCTION("""COMPUTED_VALUE"""),1000.0)</f>
        <v>1000</v>
      </c>
      <c r="N631" s="148">
        <f>IFERROR(__xludf.DUMMYFUNCTION("""COMPUTED_VALUE"""),9.99999999E8)</f>
        <v>999999999</v>
      </c>
      <c r="O631" s="148">
        <f>IFERROR(__xludf.DUMMYFUNCTION("""COMPUTED_VALUE"""),9.99999999E8)</f>
        <v>999999999</v>
      </c>
      <c r="P631" s="148">
        <f>IFERROR(__xludf.DUMMYFUNCTION("""COMPUTED_VALUE"""),9.99999999E8)</f>
        <v>999999999</v>
      </c>
      <c r="Q631" s="148" t="str">
        <f>IFERROR(__xludf.DUMMYFUNCTION("""COMPUTED_VALUE"""),"[""bag_other""]")</f>
        <v>["bag_other"]</v>
      </c>
      <c r="R631" s="148" t="str">
        <f>IFERROR(__xludf.DUMMYFUNCTION("""COMPUTED_VALUE"""),"[]")</f>
        <v>[]</v>
      </c>
      <c r="S631" s="148" t="str">
        <f>IFERROR(__xludf.DUMMYFUNCTION("""COMPUTED_VALUE"""),"{}")</f>
        <v>{}</v>
      </c>
      <c r="T631" s="148">
        <f>IFERROR(__xludf.DUMMYFUNCTION("""COMPUTED_VALUE"""),-1.0)</f>
        <v>-1</v>
      </c>
      <c r="U631" s="148">
        <f>IFERROR(__xludf.DUMMYFUNCTION("""COMPUTED_VALUE"""),0.0)</f>
        <v>0</v>
      </c>
      <c r="V631" s="148" t="str">
        <f>IFERROR(__xludf.DUMMYFUNCTION("""COMPUTED_VALUE"""),"[]")</f>
        <v>[]</v>
      </c>
      <c r="W631" s="148">
        <f>IFERROR(__xludf.DUMMYFUNCTION("""COMPUTED_VALUE"""),1.174E7)</f>
        <v>11740000</v>
      </c>
      <c r="X631" s="148">
        <f>IFERROR(__xludf.DUMMYFUNCTION("""COMPUTED_VALUE"""),0.0)</f>
        <v>0</v>
      </c>
      <c r="Y631" s="148">
        <f>IFERROR(__xludf.DUMMYFUNCTION("""COMPUTED_VALUE"""),0.0)</f>
        <v>0</v>
      </c>
      <c r="Z631" s="148"/>
    </row>
    <row r="632">
      <c r="A632" s="148">
        <f>IFERROR(__xludf.DUMMYFUNCTION("""COMPUTED_VALUE"""),1.1112426E7)</f>
        <v>11112426</v>
      </c>
      <c r="B632" s="148" t="str">
        <f>IFERROR(__xludf.DUMMYFUNCTION("""COMPUTED_VALUE"""),"情人节2025-装饰升级版本（投放用）")</f>
        <v>情人节2025-装饰升级版本（投放用）</v>
      </c>
      <c r="C632" s="148"/>
      <c r="D632" s="148" t="str">
        <f>IFERROR(__xludf.DUMMYFUNCTION("""COMPUTED_VALUE"""),"statue_decorate")</f>
        <v>statue_decorate</v>
      </c>
      <c r="E632" s="148">
        <f>IFERROR(__xludf.DUMMYFUNCTION("""COMPUTED_VALUE"""),23.0)</f>
        <v>23</v>
      </c>
      <c r="F632" s="148">
        <f>IFERROR(__xludf.DUMMYFUNCTION("""COMPUTED_VALUE"""),0.0)</f>
        <v>0</v>
      </c>
      <c r="G632" s="148">
        <f>IFERROR(__xludf.DUMMYFUNCTION("""COMPUTED_VALUE"""),1.51101134E8)</f>
        <v>151101134</v>
      </c>
      <c r="H632" s="148">
        <f>IFERROR(__xludf.DUMMYFUNCTION("""COMPUTED_VALUE"""),1.5112564E7)</f>
        <v>15112564</v>
      </c>
      <c r="I632" s="148" t="str">
        <f>IFERROR(__xludf.DUMMYFUNCTION("""COMPUTED_VALUE"""),"{}")</f>
        <v>{}</v>
      </c>
      <c r="J632" s="148" t="str">
        <f>IFERROR(__xludf.DUMMYFUNCTION("""COMPUTED_VALUE"""),"{""typ"":""lc"",""txt"":""LC_ITEM_2025valentine_dec_item_2""}")</f>
        <v>{"typ":"lc","txt":"LC_ITEM_2025valentine_dec_item_2"}</v>
      </c>
      <c r="K632" s="148" t="str">
        <f>IFERROR(__xludf.DUMMYFUNCTION("""COMPUTED_VALUE"""),"{""typ"":""lc"",""txt"":""LC_ITEM_2025valentine_dec_item_3_desc""}")</f>
        <v>{"typ":"lc","txt":"LC_ITEM_2025valentine_dec_item_3_desc"}</v>
      </c>
      <c r="L632" s="148" t="str">
        <f>IFERROR(__xludf.DUMMYFUNCTION("""COMPUTED_VALUE"""),"{}")</f>
        <v>{}</v>
      </c>
      <c r="M632" s="148">
        <f>IFERROR(__xludf.DUMMYFUNCTION("""COMPUTED_VALUE"""),5000.0)</f>
        <v>5000</v>
      </c>
      <c r="N632" s="148">
        <f>IFERROR(__xludf.DUMMYFUNCTION("""COMPUTED_VALUE"""),999.0)</f>
        <v>999</v>
      </c>
      <c r="O632" s="148">
        <f>IFERROR(__xludf.DUMMYFUNCTION("""COMPUTED_VALUE"""),99999.0)</f>
        <v>99999</v>
      </c>
      <c r="P632" s="148">
        <f>IFERROR(__xludf.DUMMYFUNCTION("""COMPUTED_VALUE"""),99999.0)</f>
        <v>99999</v>
      </c>
      <c r="Q632" s="148" t="str">
        <f>IFERROR(__xludf.DUMMYFUNCTION("""COMPUTED_VALUE"""),"[]")</f>
        <v>[]</v>
      </c>
      <c r="R632" s="148" t="str">
        <f>IFERROR(__xludf.DUMMYFUNCTION("""COMPUTED_VALUE"""),"[""bag""]")</f>
        <v>["bag"]</v>
      </c>
      <c r="S632" s="148" t="str">
        <f>IFERROR(__xludf.DUMMYFUNCTION("""COMPUTED_VALUE"""),"{""effect"":[{""typ"":""holiday_statue"",""id"":21482401}]}")</f>
        <v>{"effect":[{"typ":"holiday_statue","id":21482401}]}</v>
      </c>
      <c r="T632" s="148">
        <f>IFERROR(__xludf.DUMMYFUNCTION("""COMPUTED_VALUE"""),-1.0)</f>
        <v>-1</v>
      </c>
      <c r="U632" s="148">
        <f>IFERROR(__xludf.DUMMYFUNCTION("""COMPUTED_VALUE"""),1.0)</f>
        <v>1</v>
      </c>
      <c r="V632" s="148" t="str">
        <f>IFERROR(__xludf.DUMMYFUNCTION("""COMPUTED_VALUE"""),"[]")</f>
        <v>[]</v>
      </c>
      <c r="W632" s="148">
        <f>IFERROR(__xludf.DUMMYFUNCTION("""COMPUTED_VALUE"""),1.174E7)</f>
        <v>11740000</v>
      </c>
      <c r="X632" s="148">
        <f>IFERROR(__xludf.DUMMYFUNCTION("""COMPUTED_VALUE"""),0.0)</f>
        <v>0</v>
      </c>
      <c r="Y632" s="148">
        <f>IFERROR(__xludf.DUMMYFUNCTION("""COMPUTED_VALUE"""),0.0)</f>
        <v>0</v>
      </c>
      <c r="Z632" s="148"/>
    </row>
    <row r="633">
      <c r="A633" s="148">
        <f>IFERROR(__xludf.DUMMYFUNCTION("""COMPUTED_VALUE"""),1.1112427E7)</f>
        <v>11112427</v>
      </c>
      <c r="B633" s="148" t="str">
        <f>IFERROR(__xludf.DUMMYFUNCTION("""COMPUTED_VALUE"""),"情人节2025-装饰升级道具")</f>
        <v>情人节2025-装饰升级道具</v>
      </c>
      <c r="C633" s="148"/>
      <c r="D633" s="148" t="str">
        <f>IFERROR(__xludf.DUMMYFUNCTION("""COMPUTED_VALUE"""),"event")</f>
        <v>event</v>
      </c>
      <c r="E633" s="148">
        <f>IFERROR(__xludf.DUMMYFUNCTION("""COMPUTED_VALUE"""),0.0)</f>
        <v>0</v>
      </c>
      <c r="F633" s="148">
        <f>IFERROR(__xludf.DUMMYFUNCTION("""COMPUTED_VALUE"""),405243.0)</f>
        <v>405243</v>
      </c>
      <c r="G633" s="148">
        <f>IFERROR(__xludf.DUMMYFUNCTION("""COMPUTED_VALUE"""),1.51101134E8)</f>
        <v>151101134</v>
      </c>
      <c r="H633" s="148">
        <f>IFERROR(__xludf.DUMMYFUNCTION("""COMPUTED_VALUE"""),1.5112564E7)</f>
        <v>15112564</v>
      </c>
      <c r="I633" s="148" t="str">
        <f>IFERROR(__xludf.DUMMYFUNCTION("""COMPUTED_VALUE"""),"{}")</f>
        <v>{}</v>
      </c>
      <c r="J633" s="148" t="str">
        <f>IFERROR(__xludf.DUMMYFUNCTION("""COMPUTED_VALUE"""),"{""typ"":""lc"",""txt"":""LC_ITEM_2025valentine_dec_item_2""}")</f>
        <v>{"typ":"lc","txt":"LC_ITEM_2025valentine_dec_item_2"}</v>
      </c>
      <c r="K633" s="148" t="str">
        <f>IFERROR(__xludf.DUMMYFUNCTION("""COMPUTED_VALUE"""),"{""typ"":""lc"",""txt"":""LC_ITEM_2025valentine_dec_item_3_desc""}")</f>
        <v>{"typ":"lc","txt":"LC_ITEM_2025valentine_dec_item_3_desc"}</v>
      </c>
      <c r="L633" s="148" t="str">
        <f>IFERROR(__xludf.DUMMYFUNCTION("""COMPUTED_VALUE"""),"{}")</f>
        <v>{}</v>
      </c>
      <c r="M633" s="148">
        <f>IFERROR(__xludf.DUMMYFUNCTION("""COMPUTED_VALUE"""),1000.0)</f>
        <v>1000</v>
      </c>
      <c r="N633" s="148">
        <f>IFERROR(__xludf.DUMMYFUNCTION("""COMPUTED_VALUE"""),9.99999999E8)</f>
        <v>999999999</v>
      </c>
      <c r="O633" s="148">
        <f>IFERROR(__xludf.DUMMYFUNCTION("""COMPUTED_VALUE"""),9.99999999E8)</f>
        <v>999999999</v>
      </c>
      <c r="P633" s="148">
        <f>IFERROR(__xludf.DUMMYFUNCTION("""COMPUTED_VALUE"""),9.99999999E8)</f>
        <v>999999999</v>
      </c>
      <c r="Q633" s="148" t="str">
        <f>IFERROR(__xludf.DUMMYFUNCTION("""COMPUTED_VALUE"""),"[""bag_other""]")</f>
        <v>["bag_other"]</v>
      </c>
      <c r="R633" s="148" t="str">
        <f>IFERROR(__xludf.DUMMYFUNCTION("""COMPUTED_VALUE"""),"[]")</f>
        <v>[]</v>
      </c>
      <c r="S633" s="148" t="str">
        <f>IFERROR(__xludf.DUMMYFUNCTION("""COMPUTED_VALUE"""),"{}")</f>
        <v>{}</v>
      </c>
      <c r="T633" s="148">
        <f>IFERROR(__xludf.DUMMYFUNCTION("""COMPUTED_VALUE"""),-1.0)</f>
        <v>-1</v>
      </c>
      <c r="U633" s="148">
        <f>IFERROR(__xludf.DUMMYFUNCTION("""COMPUTED_VALUE"""),0.0)</f>
        <v>0</v>
      </c>
      <c r="V633" s="148" t="str">
        <f>IFERROR(__xludf.DUMMYFUNCTION("""COMPUTED_VALUE"""),"[]")</f>
        <v>[]</v>
      </c>
      <c r="W633" s="148">
        <f>IFERROR(__xludf.DUMMYFUNCTION("""COMPUTED_VALUE"""),1.174E7)</f>
        <v>11740000</v>
      </c>
      <c r="X633" s="148">
        <f>IFERROR(__xludf.DUMMYFUNCTION("""COMPUTED_VALUE"""),0.0)</f>
        <v>0</v>
      </c>
      <c r="Y633" s="148">
        <f>IFERROR(__xludf.DUMMYFUNCTION("""COMPUTED_VALUE"""),0.0)</f>
        <v>0</v>
      </c>
      <c r="Z633" s="148"/>
    </row>
    <row r="634">
      <c r="A634" s="148">
        <f>IFERROR(__xludf.DUMMYFUNCTION("""COMPUTED_VALUE"""),1.1112428E7)</f>
        <v>11112428</v>
      </c>
      <c r="B634" s="148" t="str">
        <f>IFERROR(__xludf.DUMMYFUNCTION("""COMPUTED_VALUE"""),"主城皮肤-春节高级皮肤2025-14天")</f>
        <v>主城皮肤-春节高级皮肤2025-14天</v>
      </c>
      <c r="C634" s="148"/>
      <c r="D634" s="148" t="str">
        <f>IFERROR(__xludf.DUMMYFUNCTION("""COMPUTED_VALUE"""),"city_skin")</f>
        <v>city_skin</v>
      </c>
      <c r="E634" s="148">
        <f>IFERROR(__xludf.DUMMYFUNCTION("""COMPUTED_VALUE"""),21.0)</f>
        <v>21</v>
      </c>
      <c r="F634" s="148">
        <f>IFERROR(__xludf.DUMMYFUNCTION("""COMPUTED_VALUE"""),400106.0)</f>
        <v>400106</v>
      </c>
      <c r="G634" s="148">
        <f>IFERROR(__xludf.DUMMYFUNCTION("""COMPUTED_VALUE"""),1.51101145E8)</f>
        <v>151101145</v>
      </c>
      <c r="H634" s="148">
        <f>IFERROR(__xludf.DUMMYFUNCTION("""COMPUTED_VALUE"""),1.5112564E7)</f>
        <v>15112564</v>
      </c>
      <c r="I634" s="148" t="str">
        <f>IFERROR(__xludf.DUMMYFUNCTION("""COMPUTED_VALUE"""),"{""typ"":""lc"",""txt"":""LC_ITEM_time_day_upper_show"",""args"":[{""typ"":""int"",""val"":14}]}")</f>
        <v>{"typ":"lc","txt":"LC_ITEM_time_day_upper_show","args":[{"typ":"int","val":14}]}</v>
      </c>
      <c r="J634" s="148" t="str">
        <f>IFERROR(__xludf.DUMMYFUNCTION("""COMPUTED_VALUE"""),"{""typ"":""lc"",""txt"":""LC_ITEM_2025lunar_highcity_skin_title_14day""}")</f>
        <v>{"typ":"lc","txt":"LC_ITEM_2025lunar_highcity_skin_title_14day"}</v>
      </c>
      <c r="K634" s="148" t="str">
        <f>IFERROR(__xludf.DUMMYFUNCTION("""COMPUTED_VALUE"""),"{""typ"":""lc"",""txt"":""LC_ITEM_2025lunar_highskin_desc_14days""}")</f>
        <v>{"typ":"lc","txt":"LC_ITEM_2025lunar_highskin_desc_14days"}</v>
      </c>
      <c r="L634" s="148" t="str">
        <f>IFERROR(__xludf.DUMMYFUNCTION("""COMPUTED_VALUE"""),"{""typ"":""lc"",""txt"":""LC_ITEM_city_skin_rocket_use_tips""}")</f>
        <v>{"typ":"lc","txt":"LC_ITEM_city_skin_rocket_use_tips"}</v>
      </c>
      <c r="M634" s="148">
        <f>IFERROR(__xludf.DUMMYFUNCTION("""COMPUTED_VALUE"""),10000.0)</f>
        <v>10000</v>
      </c>
      <c r="N634" s="148">
        <f>IFERROR(__xludf.DUMMYFUNCTION("""COMPUTED_VALUE"""),999.0)</f>
        <v>999</v>
      </c>
      <c r="O634" s="148">
        <f>IFERROR(__xludf.DUMMYFUNCTION("""COMPUTED_VALUE"""),1.0)</f>
        <v>1</v>
      </c>
      <c r="P634" s="148">
        <f>IFERROR(__xludf.DUMMYFUNCTION("""COMPUTED_VALUE"""),1.0)</f>
        <v>1</v>
      </c>
      <c r="Q634" s="148" t="str">
        <f>IFERROR(__xludf.DUMMYFUNCTION("""COMPUTED_VALUE"""),"[""bag_other""]")</f>
        <v>["bag_other"]</v>
      </c>
      <c r="R634" s="148" t="str">
        <f>IFERROR(__xludf.DUMMYFUNCTION("""COMPUTED_VALUE"""),"[""bag"",""13121058""]")</f>
        <v>["bag","13121058"]</v>
      </c>
      <c r="S634" s="148" t="str">
        <f>IFERROR(__xludf.DUMMYFUNCTION("""COMPUTED_VALUE"""),"{""effect"":[{""typ"":""city_skin"",""id"":13121058,""val"":1209600000},{""typ"":""item"",""id"":11111021,""val"":7}]}")</f>
        <v>{"effect":[{"typ":"city_skin","id":13121058,"val":1209600000},{"typ":"item","id":11111021,"val":7}]}</v>
      </c>
      <c r="T634" s="148">
        <f>IFERROR(__xludf.DUMMYFUNCTION("""COMPUTED_VALUE"""),-1.0)</f>
        <v>-1</v>
      </c>
      <c r="U634" s="148">
        <f>IFERROR(__xludf.DUMMYFUNCTION("""COMPUTED_VALUE"""),0.0)</f>
        <v>0</v>
      </c>
      <c r="V634" s="148" t="str">
        <f>IFERROR(__xludf.DUMMYFUNCTION("""COMPUTED_VALUE"""),"[]")</f>
        <v>[]</v>
      </c>
      <c r="W634" s="148">
        <f>IFERROR(__xludf.DUMMYFUNCTION("""COMPUTED_VALUE"""),1.174E7)</f>
        <v>11740000</v>
      </c>
      <c r="X634" s="148">
        <f>IFERROR(__xludf.DUMMYFUNCTION("""COMPUTED_VALUE"""),0.0)</f>
        <v>0</v>
      </c>
      <c r="Y634" s="148">
        <f>IFERROR(__xludf.DUMMYFUNCTION("""COMPUTED_VALUE"""),0.0)</f>
        <v>0</v>
      </c>
      <c r="Z634" s="148"/>
    </row>
    <row r="635">
      <c r="A635" s="148">
        <f>IFERROR(__xludf.DUMMYFUNCTION("""COMPUTED_VALUE"""),1.1112429E7)</f>
        <v>11112429</v>
      </c>
      <c r="B635" s="148" t="str">
        <f>IFERROR(__xludf.DUMMYFUNCTION("""COMPUTED_VALUE"""),"主城皮肤-春节高级皮肤2025-7天")</f>
        <v>主城皮肤-春节高级皮肤2025-7天</v>
      </c>
      <c r="C635" s="148"/>
      <c r="D635" s="148" t="str">
        <f>IFERROR(__xludf.DUMMYFUNCTION("""COMPUTED_VALUE"""),"city_skin")</f>
        <v>city_skin</v>
      </c>
      <c r="E635" s="148">
        <f>IFERROR(__xludf.DUMMYFUNCTION("""COMPUTED_VALUE"""),21.0)</f>
        <v>21</v>
      </c>
      <c r="F635" s="148">
        <f>IFERROR(__xludf.DUMMYFUNCTION("""COMPUTED_VALUE"""),400106.0)</f>
        <v>400106</v>
      </c>
      <c r="G635" s="148">
        <f>IFERROR(__xludf.DUMMYFUNCTION("""COMPUTED_VALUE"""),1.51101145E8)</f>
        <v>151101145</v>
      </c>
      <c r="H635" s="148">
        <f>IFERROR(__xludf.DUMMYFUNCTION("""COMPUTED_VALUE"""),1.5112564E7)</f>
        <v>15112564</v>
      </c>
      <c r="I635" s="148" t="str">
        <f>IFERROR(__xludf.DUMMYFUNCTION("""COMPUTED_VALUE"""),"{""typ"":""lc"",""txt"":""LC_ITEM_time_day_upper_show"",""args"":[{""typ"":""int"",""val"":7}]}")</f>
        <v>{"typ":"lc","txt":"LC_ITEM_time_day_upper_show","args":[{"typ":"int","val":7}]}</v>
      </c>
      <c r="J635" s="148" t="str">
        <f>IFERROR(__xludf.DUMMYFUNCTION("""COMPUTED_VALUE"""),"{""typ"":""lc"",""txt"":""LC_ITEM_2025lunar_highcity_skin_title_7day""}")</f>
        <v>{"typ":"lc","txt":"LC_ITEM_2025lunar_highcity_skin_title_7day"}</v>
      </c>
      <c r="K635" s="148" t="str">
        <f>IFERROR(__xludf.DUMMYFUNCTION("""COMPUTED_VALUE"""),"{""typ"":""lc"",""txt"":""LC_ITEM_2025lunar_highskin_desc_7days""}")</f>
        <v>{"typ":"lc","txt":"LC_ITEM_2025lunar_highskin_desc_7days"}</v>
      </c>
      <c r="L635" s="148" t="str">
        <f>IFERROR(__xludf.DUMMYFUNCTION("""COMPUTED_VALUE"""),"{""typ"":""lc"",""txt"":""LC_ITEM_city_skin_rocket_use_tips""}")</f>
        <v>{"typ":"lc","txt":"LC_ITEM_city_skin_rocket_use_tips"}</v>
      </c>
      <c r="M635" s="148">
        <f>IFERROR(__xludf.DUMMYFUNCTION("""COMPUTED_VALUE"""),10000.0)</f>
        <v>10000</v>
      </c>
      <c r="N635" s="148">
        <f>IFERROR(__xludf.DUMMYFUNCTION("""COMPUTED_VALUE"""),999.0)</f>
        <v>999</v>
      </c>
      <c r="O635" s="148">
        <f>IFERROR(__xludf.DUMMYFUNCTION("""COMPUTED_VALUE"""),1.0)</f>
        <v>1</v>
      </c>
      <c r="P635" s="148">
        <f>IFERROR(__xludf.DUMMYFUNCTION("""COMPUTED_VALUE"""),1.0)</f>
        <v>1</v>
      </c>
      <c r="Q635" s="148" t="str">
        <f>IFERROR(__xludf.DUMMYFUNCTION("""COMPUTED_VALUE"""),"[""bag_other""]")</f>
        <v>["bag_other"]</v>
      </c>
      <c r="R635" s="148" t="str">
        <f>IFERROR(__xludf.DUMMYFUNCTION("""COMPUTED_VALUE"""),"[""bag"",""13121058""]")</f>
        <v>["bag","13121058"]</v>
      </c>
      <c r="S635" s="148" t="str">
        <f>IFERROR(__xludf.DUMMYFUNCTION("""COMPUTED_VALUE"""),"{""effect"":[{""typ"":""city_skin"",""id"":13121058,""val"":604800000},{""typ"":""item"",""id"":11111021,""val"":3}]}")</f>
        <v>{"effect":[{"typ":"city_skin","id":13121058,"val":604800000},{"typ":"item","id":11111021,"val":3}]}</v>
      </c>
      <c r="T635" s="148">
        <f>IFERROR(__xludf.DUMMYFUNCTION("""COMPUTED_VALUE"""),-1.0)</f>
        <v>-1</v>
      </c>
      <c r="U635" s="148">
        <f>IFERROR(__xludf.DUMMYFUNCTION("""COMPUTED_VALUE"""),0.0)</f>
        <v>0</v>
      </c>
      <c r="V635" s="148" t="str">
        <f>IFERROR(__xludf.DUMMYFUNCTION("""COMPUTED_VALUE"""),"[]")</f>
        <v>[]</v>
      </c>
      <c r="W635" s="148">
        <f>IFERROR(__xludf.DUMMYFUNCTION("""COMPUTED_VALUE"""),1.174E7)</f>
        <v>11740000</v>
      </c>
      <c r="X635" s="148">
        <f>IFERROR(__xludf.DUMMYFUNCTION("""COMPUTED_VALUE"""),0.0)</f>
        <v>0</v>
      </c>
      <c r="Y635" s="148">
        <f>IFERROR(__xludf.DUMMYFUNCTION("""COMPUTED_VALUE"""),0.0)</f>
        <v>0</v>
      </c>
      <c r="Z635" s="148"/>
    </row>
    <row r="636">
      <c r="A636" s="148">
        <f>IFERROR(__xludf.DUMMYFUNCTION("""COMPUTED_VALUE"""),1.111243E7)</f>
        <v>11112430</v>
      </c>
      <c r="B636" s="148" t="str">
        <f>IFERROR(__xludf.DUMMYFUNCTION("""COMPUTED_VALUE"""),"主城皮肤-春节高级皮肤2025")</f>
        <v>主城皮肤-春节高级皮肤2025</v>
      </c>
      <c r="C636" s="148"/>
      <c r="D636" s="148" t="str">
        <f>IFERROR(__xludf.DUMMYFUNCTION("""COMPUTED_VALUE"""),"city_skin")</f>
        <v>city_skin</v>
      </c>
      <c r="E636" s="148">
        <f>IFERROR(__xludf.DUMMYFUNCTION("""COMPUTED_VALUE"""),21.0)</f>
        <v>21</v>
      </c>
      <c r="F636" s="148">
        <f>IFERROR(__xludf.DUMMYFUNCTION("""COMPUTED_VALUE"""),400106.0)</f>
        <v>400106</v>
      </c>
      <c r="G636" s="148">
        <f>IFERROR(__xludf.DUMMYFUNCTION("""COMPUTED_VALUE"""),1.51101145E8)</f>
        <v>151101145</v>
      </c>
      <c r="H636" s="148">
        <f>IFERROR(__xludf.DUMMYFUNCTION("""COMPUTED_VALUE"""),1.5115983E7)</f>
        <v>15115983</v>
      </c>
      <c r="I636" s="148" t="str">
        <f>IFERROR(__xludf.DUMMYFUNCTION("""COMPUTED_VALUE"""),"{}")</f>
        <v>{}</v>
      </c>
      <c r="J636" s="148" t="str">
        <f>IFERROR(__xludf.DUMMYFUNCTION("""COMPUTED_VALUE"""),"{""typ"":""lc"",""txt"":""LC_ITEM_2025lunar_highcity_skin_title""}")</f>
        <v>{"typ":"lc","txt":"LC_ITEM_2025lunar_highcity_skin_title"}</v>
      </c>
      <c r="K636" s="148" t="str">
        <f>IFERROR(__xludf.DUMMYFUNCTION("""COMPUTED_VALUE"""),"{""typ"":""lc"",""txt"":""LC_ITEM_2025lunar_highskin_desc_forever""}")</f>
        <v>{"typ":"lc","txt":"LC_ITEM_2025lunar_highskin_desc_forever"}</v>
      </c>
      <c r="L636" s="148" t="str">
        <f>IFERROR(__xludf.DUMMYFUNCTION("""COMPUTED_VALUE"""),"{""typ"":""lc"",""txt"":""LC_ITEM_city_skin_rocket_use_tips""}")</f>
        <v>{"typ":"lc","txt":"LC_ITEM_city_skin_rocket_use_tips"}</v>
      </c>
      <c r="M636" s="148">
        <f>IFERROR(__xludf.DUMMYFUNCTION("""COMPUTED_VALUE"""),10000.0)</f>
        <v>10000</v>
      </c>
      <c r="N636" s="148">
        <f>IFERROR(__xludf.DUMMYFUNCTION("""COMPUTED_VALUE"""),999.0)</f>
        <v>999</v>
      </c>
      <c r="O636" s="148">
        <f>IFERROR(__xludf.DUMMYFUNCTION("""COMPUTED_VALUE"""),1.0)</f>
        <v>1</v>
      </c>
      <c r="P636" s="148">
        <f>IFERROR(__xludf.DUMMYFUNCTION("""COMPUTED_VALUE"""),1.0)</f>
        <v>1</v>
      </c>
      <c r="Q636" s="148" t="str">
        <f>IFERROR(__xludf.DUMMYFUNCTION("""COMPUTED_VALUE"""),"[""bag_other""]")</f>
        <v>["bag_other"]</v>
      </c>
      <c r="R636" s="148" t="str">
        <f>IFERROR(__xludf.DUMMYFUNCTION("""COMPUTED_VALUE"""),"[""bag"",""13121058""]")</f>
        <v>["bag","13121058"]</v>
      </c>
      <c r="S636" s="148" t="str">
        <f>IFERROR(__xludf.DUMMYFUNCTION("""COMPUTED_VALUE"""),"{""effect"":[{""typ"":""city_skin"",""id"":13121058,""val"":-1},{""typ"":""item"",""id"":11111034,""val"":10}]}")</f>
        <v>{"effect":[{"typ":"city_skin","id":13121058,"val":-1},{"typ":"item","id":11111034,"val":10}]}</v>
      </c>
      <c r="T636" s="148">
        <f>IFERROR(__xludf.DUMMYFUNCTION("""COMPUTED_VALUE"""),-1.0)</f>
        <v>-1</v>
      </c>
      <c r="U636" s="148">
        <f>IFERROR(__xludf.DUMMYFUNCTION("""COMPUTED_VALUE"""),0.0)</f>
        <v>0</v>
      </c>
      <c r="V636" s="148" t="str">
        <f>IFERROR(__xludf.DUMMYFUNCTION("""COMPUTED_VALUE"""),"[]")</f>
        <v>[]</v>
      </c>
      <c r="W636" s="148">
        <f>IFERROR(__xludf.DUMMYFUNCTION("""COMPUTED_VALUE"""),1.174E7)</f>
        <v>11740000</v>
      </c>
      <c r="X636" s="148">
        <f>IFERROR(__xludf.DUMMYFUNCTION("""COMPUTED_VALUE"""),0.0)</f>
        <v>0</v>
      </c>
      <c r="Y636" s="148">
        <f>IFERROR(__xludf.DUMMYFUNCTION("""COMPUTED_VALUE"""),0.0)</f>
        <v>0</v>
      </c>
      <c r="Z636" s="148"/>
    </row>
    <row r="637">
      <c r="A637" s="148">
        <f>IFERROR(__xludf.DUMMYFUNCTION("""COMPUTED_VALUE"""),1.1112431E7)</f>
        <v>11112431</v>
      </c>
      <c r="B637" s="148" t="str">
        <f>IFERROR(__xludf.DUMMYFUNCTION("""COMPUTED_VALUE"""),"主城皮肤-春节2025")</f>
        <v>主城皮肤-春节2025</v>
      </c>
      <c r="C637" s="148"/>
      <c r="D637" s="148" t="str">
        <f>IFERROR(__xludf.DUMMYFUNCTION("""COMPUTED_VALUE"""),"city_skin")</f>
        <v>city_skin</v>
      </c>
      <c r="E637" s="148">
        <f>IFERROR(__xludf.DUMMYFUNCTION("""COMPUTED_VALUE"""),21.0)</f>
        <v>21</v>
      </c>
      <c r="F637" s="148">
        <f>IFERROR(__xludf.DUMMYFUNCTION("""COMPUTED_VALUE"""),404201.0)</f>
        <v>404201</v>
      </c>
      <c r="G637" s="148">
        <f>IFERROR(__xludf.DUMMYFUNCTION("""COMPUTED_VALUE"""),1.51101143E8)</f>
        <v>151101143</v>
      </c>
      <c r="H637" s="148">
        <f>IFERROR(__xludf.DUMMYFUNCTION("""COMPUTED_VALUE"""),1.5112564E7)</f>
        <v>15112564</v>
      </c>
      <c r="I637" s="148" t="str">
        <f>IFERROR(__xludf.DUMMYFUNCTION("""COMPUTED_VALUE"""),"{}")</f>
        <v>{}</v>
      </c>
      <c r="J637" s="148" t="str">
        <f>IFERROR(__xludf.DUMMYFUNCTION("""COMPUTED_VALUE"""),"{""typ"":""lc"",""txt"":""LC_ITEM_2025lunar_lowcity_skin_title""}")</f>
        <v>{"typ":"lc","txt":"LC_ITEM_2025lunar_lowcity_skin_title"}</v>
      </c>
      <c r="K637" s="148" t="str">
        <f>IFERROR(__xludf.DUMMYFUNCTION("""COMPUTED_VALUE"""),"{""typ"":""lc"",""txt"":""LC_ITEM_2025lunar_lowcity_skin_desc_forever""}")</f>
        <v>{"typ":"lc","txt":"LC_ITEM_2025lunar_lowcity_skin_desc_forever"}</v>
      </c>
      <c r="L637" s="148" t="str">
        <f>IFERROR(__xludf.DUMMYFUNCTION("""COMPUTED_VALUE"""),"{""typ"":""lc"",""txt"":""LC_ITEM_city_skin_rocket_use_tips""}")</f>
        <v>{"typ":"lc","txt":"LC_ITEM_city_skin_rocket_use_tips"}</v>
      </c>
      <c r="M637" s="148">
        <f>IFERROR(__xludf.DUMMYFUNCTION("""COMPUTED_VALUE"""),10000.0)</f>
        <v>10000</v>
      </c>
      <c r="N637" s="148">
        <f>IFERROR(__xludf.DUMMYFUNCTION("""COMPUTED_VALUE"""),999.0)</f>
        <v>999</v>
      </c>
      <c r="O637" s="148">
        <f>IFERROR(__xludf.DUMMYFUNCTION("""COMPUTED_VALUE"""),1.0)</f>
        <v>1</v>
      </c>
      <c r="P637" s="148">
        <f>IFERROR(__xludf.DUMMYFUNCTION("""COMPUTED_VALUE"""),1.0)</f>
        <v>1</v>
      </c>
      <c r="Q637" s="148" t="str">
        <f>IFERROR(__xludf.DUMMYFUNCTION("""COMPUTED_VALUE"""),"[""bag_other""]")</f>
        <v>["bag_other"]</v>
      </c>
      <c r="R637" s="148" t="str">
        <f>IFERROR(__xludf.DUMMYFUNCTION("""COMPUTED_VALUE"""),"[""bag"",""13121057""]")</f>
        <v>["bag","13121057"]</v>
      </c>
      <c r="S637" s="148" t="str">
        <f>IFERROR(__xludf.DUMMYFUNCTION("""COMPUTED_VALUE"""),"{""effect"":[{""typ"":""city_skin"",""id"":13121057,""val"":-1},{""typ"":""item"",""id"":11111034,""val"":10}]}")</f>
        <v>{"effect":[{"typ":"city_skin","id":13121057,"val":-1},{"typ":"item","id":11111034,"val":10}]}</v>
      </c>
      <c r="T637" s="148">
        <f>IFERROR(__xludf.DUMMYFUNCTION("""COMPUTED_VALUE"""),-1.0)</f>
        <v>-1</v>
      </c>
      <c r="U637" s="148">
        <f>IFERROR(__xludf.DUMMYFUNCTION("""COMPUTED_VALUE"""),0.0)</f>
        <v>0</v>
      </c>
      <c r="V637" s="148" t="str">
        <f>IFERROR(__xludf.DUMMYFUNCTION("""COMPUTED_VALUE"""),"[]")</f>
        <v>[]</v>
      </c>
      <c r="W637" s="148">
        <f>IFERROR(__xludf.DUMMYFUNCTION("""COMPUTED_VALUE"""),1.174E7)</f>
        <v>11740000</v>
      </c>
      <c r="X637" s="148">
        <f>IFERROR(__xludf.DUMMYFUNCTION("""COMPUTED_VALUE"""),0.0)</f>
        <v>0</v>
      </c>
      <c r="Y637" s="148">
        <f>IFERROR(__xludf.DUMMYFUNCTION("""COMPUTED_VALUE"""),0.0)</f>
        <v>0</v>
      </c>
      <c r="Z637" s="148"/>
    </row>
    <row r="638">
      <c r="A638" s="148">
        <f>IFERROR(__xludf.DUMMYFUNCTION("""COMPUTED_VALUE"""),1.1112432E7)</f>
        <v>11112432</v>
      </c>
      <c r="B638" s="148" t="str">
        <f>IFERROR(__xludf.DUMMYFUNCTION("""COMPUTED_VALUE"""),"主城皮肤-春节2025-2天")</f>
        <v>主城皮肤-春节2025-2天</v>
      </c>
      <c r="C638" s="148"/>
      <c r="D638" s="148" t="str">
        <f>IFERROR(__xludf.DUMMYFUNCTION("""COMPUTED_VALUE"""),"city_skin")</f>
        <v>city_skin</v>
      </c>
      <c r="E638" s="148">
        <f>IFERROR(__xludf.DUMMYFUNCTION("""COMPUTED_VALUE"""),21.0)</f>
        <v>21</v>
      </c>
      <c r="F638" s="148">
        <f>IFERROR(__xludf.DUMMYFUNCTION("""COMPUTED_VALUE"""),404201.0)</f>
        <v>404201</v>
      </c>
      <c r="G638" s="148">
        <f>IFERROR(__xludf.DUMMYFUNCTION("""COMPUTED_VALUE"""),1.51101143E8)</f>
        <v>151101143</v>
      </c>
      <c r="H638" s="148">
        <f>IFERROR(__xludf.DUMMYFUNCTION("""COMPUTED_VALUE"""),1.5112563E7)</f>
        <v>15112563</v>
      </c>
      <c r="I638" s="148" t="str">
        <f>IFERROR(__xludf.DUMMYFUNCTION("""COMPUTED_VALUE"""),"{""typ"":""lc"",""txt"":""LC_ITEM_time_day_upper_show"",""args"":[{""typ"":""int"",""val"":2}]}")</f>
        <v>{"typ":"lc","txt":"LC_ITEM_time_day_upper_show","args":[{"typ":"int","val":2}]}</v>
      </c>
      <c r="J638" s="148" t="str">
        <f>IFERROR(__xludf.DUMMYFUNCTION("""COMPUTED_VALUE"""),"{""typ"":""lc"",""txt"":""LC_ITEM_2025lunar_lowcity_skin_title_2day""}")</f>
        <v>{"typ":"lc","txt":"LC_ITEM_2025lunar_lowcity_skin_title_2day"}</v>
      </c>
      <c r="K638" s="148" t="str">
        <f>IFERROR(__xludf.DUMMYFUNCTION("""COMPUTED_VALUE"""),"{""typ"":""lc"",""txt"":""LC_ITEM_2025lunar_lowcity_skin_desc_2day""}")</f>
        <v>{"typ":"lc","txt":"LC_ITEM_2025lunar_lowcity_skin_desc_2day"}</v>
      </c>
      <c r="L638" s="148" t="str">
        <f>IFERROR(__xludf.DUMMYFUNCTION("""COMPUTED_VALUE"""),"{""typ"":""lc"",""txt"":""LC_ITEM_city_skin_rocket_use_tips""}")</f>
        <v>{"typ":"lc","txt":"LC_ITEM_city_skin_rocket_use_tips"}</v>
      </c>
      <c r="M638" s="148">
        <f>IFERROR(__xludf.DUMMYFUNCTION("""COMPUTED_VALUE"""),500.0)</f>
        <v>500</v>
      </c>
      <c r="N638" s="148">
        <f>IFERROR(__xludf.DUMMYFUNCTION("""COMPUTED_VALUE"""),999.0)</f>
        <v>999</v>
      </c>
      <c r="O638" s="148">
        <f>IFERROR(__xludf.DUMMYFUNCTION("""COMPUTED_VALUE"""),1.0)</f>
        <v>1</v>
      </c>
      <c r="P638" s="148">
        <f>IFERROR(__xludf.DUMMYFUNCTION("""COMPUTED_VALUE"""),1.0)</f>
        <v>1</v>
      </c>
      <c r="Q638" s="148" t="str">
        <f>IFERROR(__xludf.DUMMYFUNCTION("""COMPUTED_VALUE"""),"[""bag_other""]")</f>
        <v>["bag_other"]</v>
      </c>
      <c r="R638" s="148" t="str">
        <f>IFERROR(__xludf.DUMMYFUNCTION("""COMPUTED_VALUE"""),"[""bag"",""13121057""]")</f>
        <v>["bag","13121057"]</v>
      </c>
      <c r="S638" s="148" t="str">
        <f>IFERROR(__xludf.DUMMYFUNCTION("""COMPUTED_VALUE"""),"{""effect"":[{""typ"":""city_skin"",""id"":13121057,""val"":172800000},{""typ"":""item"",""id"":11111021,""val"":1}]}")</f>
        <v>{"effect":[{"typ":"city_skin","id":13121057,"val":172800000},{"typ":"item","id":11111021,"val":1}]}</v>
      </c>
      <c r="T638" s="148">
        <f>IFERROR(__xludf.DUMMYFUNCTION("""COMPUTED_VALUE"""),-1.0)</f>
        <v>-1</v>
      </c>
      <c r="U638" s="148">
        <f>IFERROR(__xludf.DUMMYFUNCTION("""COMPUTED_VALUE"""),0.0)</f>
        <v>0</v>
      </c>
      <c r="V638" s="148" t="str">
        <f>IFERROR(__xludf.DUMMYFUNCTION("""COMPUTED_VALUE"""),"[]")</f>
        <v>[]</v>
      </c>
      <c r="W638" s="148">
        <f>IFERROR(__xludf.DUMMYFUNCTION("""COMPUTED_VALUE"""),1.174E7)</f>
        <v>11740000</v>
      </c>
      <c r="X638" s="148">
        <f>IFERROR(__xludf.DUMMYFUNCTION("""COMPUTED_VALUE"""),0.0)</f>
        <v>0</v>
      </c>
      <c r="Y638" s="148">
        <f>IFERROR(__xludf.DUMMYFUNCTION("""COMPUTED_VALUE"""),0.0)</f>
        <v>0</v>
      </c>
      <c r="Z638" s="148"/>
    </row>
    <row r="639">
      <c r="A639" s="148">
        <f>IFERROR(__xludf.DUMMYFUNCTION("""COMPUTED_VALUE"""),1.1112433E7)</f>
        <v>11112433</v>
      </c>
      <c r="B639" s="148" t="str">
        <f>IFERROR(__xludf.DUMMYFUNCTION("""COMPUTED_VALUE"""),"主城皮肤-春节2025-7天")</f>
        <v>主城皮肤-春节2025-7天</v>
      </c>
      <c r="C639" s="148"/>
      <c r="D639" s="148" t="str">
        <f>IFERROR(__xludf.DUMMYFUNCTION("""COMPUTED_VALUE"""),"city_skin")</f>
        <v>city_skin</v>
      </c>
      <c r="E639" s="148">
        <f>IFERROR(__xludf.DUMMYFUNCTION("""COMPUTED_VALUE"""),21.0)</f>
        <v>21</v>
      </c>
      <c r="F639" s="148">
        <f>IFERROR(__xludf.DUMMYFUNCTION("""COMPUTED_VALUE"""),404201.0)</f>
        <v>404201</v>
      </c>
      <c r="G639" s="148">
        <f>IFERROR(__xludf.DUMMYFUNCTION("""COMPUTED_VALUE"""),1.51101143E8)</f>
        <v>151101143</v>
      </c>
      <c r="H639" s="148">
        <f>IFERROR(__xludf.DUMMYFUNCTION("""COMPUTED_VALUE"""),1.5112564E7)</f>
        <v>15112564</v>
      </c>
      <c r="I639" s="148" t="str">
        <f>IFERROR(__xludf.DUMMYFUNCTION("""COMPUTED_VALUE"""),"{""typ"":""lc"",""txt"":""LC_ITEM_time_day_upper_show"",""args"":[{""typ"":""int"",""val"":7}]}")</f>
        <v>{"typ":"lc","txt":"LC_ITEM_time_day_upper_show","args":[{"typ":"int","val":7}]}</v>
      </c>
      <c r="J639" s="148" t="str">
        <f>IFERROR(__xludf.DUMMYFUNCTION("""COMPUTED_VALUE"""),"{""typ"":""lc"",""txt"":""LC_ITEM_2025lunar_lowcity_skin_title_7day""}")</f>
        <v>{"typ":"lc","txt":"LC_ITEM_2025lunar_lowcity_skin_title_7day"}</v>
      </c>
      <c r="K639" s="148" t="str">
        <f>IFERROR(__xludf.DUMMYFUNCTION("""COMPUTED_VALUE"""),"{""typ"":""lc"",""txt"":""LC_ITEM_2025lunar_lowcity_skin_desc_7day""}")</f>
        <v>{"typ":"lc","txt":"LC_ITEM_2025lunar_lowcity_skin_desc_7day"}</v>
      </c>
      <c r="L639" s="148" t="str">
        <f>IFERROR(__xludf.DUMMYFUNCTION("""COMPUTED_VALUE"""),"{""typ"":""lc"",""txt"":""LC_ITEM_city_skin_rocket_use_tips""}")</f>
        <v>{"typ":"lc","txt":"LC_ITEM_city_skin_rocket_use_tips"}</v>
      </c>
      <c r="M639" s="148">
        <f>IFERROR(__xludf.DUMMYFUNCTION("""COMPUTED_VALUE"""),10000.0)</f>
        <v>10000</v>
      </c>
      <c r="N639" s="148">
        <f>IFERROR(__xludf.DUMMYFUNCTION("""COMPUTED_VALUE"""),999.0)</f>
        <v>999</v>
      </c>
      <c r="O639" s="148">
        <f>IFERROR(__xludf.DUMMYFUNCTION("""COMPUTED_VALUE"""),1.0)</f>
        <v>1</v>
      </c>
      <c r="P639" s="148">
        <f>IFERROR(__xludf.DUMMYFUNCTION("""COMPUTED_VALUE"""),1.0)</f>
        <v>1</v>
      </c>
      <c r="Q639" s="148" t="str">
        <f>IFERROR(__xludf.DUMMYFUNCTION("""COMPUTED_VALUE"""),"[""bag_other""]")</f>
        <v>["bag_other"]</v>
      </c>
      <c r="R639" s="148" t="str">
        <f>IFERROR(__xludf.DUMMYFUNCTION("""COMPUTED_VALUE"""),"[""bag"",""13121057""]")</f>
        <v>["bag","13121057"]</v>
      </c>
      <c r="S639" s="148" t="str">
        <f>IFERROR(__xludf.DUMMYFUNCTION("""COMPUTED_VALUE"""),"{""effect"":[{""typ"":""city_skin"",""id"":13121057,""val"":604800000},{""typ"":""item"",""id"":11111021,""val"":3}]}")</f>
        <v>{"effect":[{"typ":"city_skin","id":13121057,"val":604800000},{"typ":"item","id":11111021,"val":3}]}</v>
      </c>
      <c r="T639" s="148">
        <f>IFERROR(__xludf.DUMMYFUNCTION("""COMPUTED_VALUE"""),-1.0)</f>
        <v>-1</v>
      </c>
      <c r="U639" s="148">
        <f>IFERROR(__xludf.DUMMYFUNCTION("""COMPUTED_VALUE"""),0.0)</f>
        <v>0</v>
      </c>
      <c r="V639" s="148" t="str">
        <f>IFERROR(__xludf.DUMMYFUNCTION("""COMPUTED_VALUE"""),"[]")</f>
        <v>[]</v>
      </c>
      <c r="W639" s="148">
        <f>IFERROR(__xludf.DUMMYFUNCTION("""COMPUTED_VALUE"""),1.174E7)</f>
        <v>11740000</v>
      </c>
      <c r="X639" s="148">
        <f>IFERROR(__xludf.DUMMYFUNCTION("""COMPUTED_VALUE"""),0.0)</f>
        <v>0</v>
      </c>
      <c r="Y639" s="148">
        <f>IFERROR(__xludf.DUMMYFUNCTION("""COMPUTED_VALUE"""),0.0)</f>
        <v>0</v>
      </c>
      <c r="Z639" s="148"/>
    </row>
    <row r="640">
      <c r="A640" s="148">
        <f>IFERROR(__xludf.DUMMYFUNCTION("""COMPUTED_VALUE"""),1.1112434E7)</f>
        <v>11112434</v>
      </c>
      <c r="B640" s="148" t="str">
        <f>IFERROR(__xludf.DUMMYFUNCTION("""COMPUTED_VALUE"""),"主城皮肤-春节2025-14天")</f>
        <v>主城皮肤-春节2025-14天</v>
      </c>
      <c r="C640" s="148"/>
      <c r="D640" s="148" t="str">
        <f>IFERROR(__xludf.DUMMYFUNCTION("""COMPUTED_VALUE"""),"city_skin")</f>
        <v>city_skin</v>
      </c>
      <c r="E640" s="148">
        <f>IFERROR(__xludf.DUMMYFUNCTION("""COMPUTED_VALUE"""),21.0)</f>
        <v>21</v>
      </c>
      <c r="F640" s="148">
        <f>IFERROR(__xludf.DUMMYFUNCTION("""COMPUTED_VALUE"""),404201.0)</f>
        <v>404201</v>
      </c>
      <c r="G640" s="148">
        <f>IFERROR(__xludf.DUMMYFUNCTION("""COMPUTED_VALUE"""),1.51101143E8)</f>
        <v>151101143</v>
      </c>
      <c r="H640" s="148">
        <f>IFERROR(__xludf.DUMMYFUNCTION("""COMPUTED_VALUE"""),1.5112564E7)</f>
        <v>15112564</v>
      </c>
      <c r="I640" s="148" t="str">
        <f>IFERROR(__xludf.DUMMYFUNCTION("""COMPUTED_VALUE"""),"{""typ"":""lc"",""txt"":""LC_ITEM_time_day_upper_show"",""args"":[{""typ"":""int"",""val"":14}]}")</f>
        <v>{"typ":"lc","txt":"LC_ITEM_time_day_upper_show","args":[{"typ":"int","val":14}]}</v>
      </c>
      <c r="J640" s="148" t="str">
        <f>IFERROR(__xludf.DUMMYFUNCTION("""COMPUTED_VALUE"""),"{""typ"":""lc"",""txt"":""LC_ITEM_2025lunar_lowcity_skin_title_14day""}")</f>
        <v>{"typ":"lc","txt":"LC_ITEM_2025lunar_lowcity_skin_title_14day"}</v>
      </c>
      <c r="K640" s="148" t="str">
        <f>IFERROR(__xludf.DUMMYFUNCTION("""COMPUTED_VALUE"""),"{""typ"":""lc"",""txt"":""LC_ITEM_2025lunar_lowcity_skin_desc_14day""}")</f>
        <v>{"typ":"lc","txt":"LC_ITEM_2025lunar_lowcity_skin_desc_14day"}</v>
      </c>
      <c r="L640" s="148" t="str">
        <f>IFERROR(__xludf.DUMMYFUNCTION("""COMPUTED_VALUE"""),"{""typ"":""lc"",""txt"":""LC_ITEM_city_skin_rocket_use_tips""}")</f>
        <v>{"typ":"lc","txt":"LC_ITEM_city_skin_rocket_use_tips"}</v>
      </c>
      <c r="M640" s="148">
        <f>IFERROR(__xludf.DUMMYFUNCTION("""COMPUTED_VALUE"""),10000.0)</f>
        <v>10000</v>
      </c>
      <c r="N640" s="148">
        <f>IFERROR(__xludf.DUMMYFUNCTION("""COMPUTED_VALUE"""),999.0)</f>
        <v>999</v>
      </c>
      <c r="O640" s="148">
        <f>IFERROR(__xludf.DUMMYFUNCTION("""COMPUTED_VALUE"""),1.0)</f>
        <v>1</v>
      </c>
      <c r="P640" s="148">
        <f>IFERROR(__xludf.DUMMYFUNCTION("""COMPUTED_VALUE"""),1.0)</f>
        <v>1</v>
      </c>
      <c r="Q640" s="148" t="str">
        <f>IFERROR(__xludf.DUMMYFUNCTION("""COMPUTED_VALUE"""),"[""bag_other""]")</f>
        <v>["bag_other"]</v>
      </c>
      <c r="R640" s="148" t="str">
        <f>IFERROR(__xludf.DUMMYFUNCTION("""COMPUTED_VALUE"""),"[""bag"",""13121057""]")</f>
        <v>["bag","13121057"]</v>
      </c>
      <c r="S640" s="148" t="str">
        <f>IFERROR(__xludf.DUMMYFUNCTION("""COMPUTED_VALUE"""),"{""effect"":[{""typ"":""city_skin"",""id"":13121057,""val"":1209600000},{""typ"":""item"",""id"":11111021,""val"":7}]}")</f>
        <v>{"effect":[{"typ":"city_skin","id":13121057,"val":1209600000},{"typ":"item","id":11111021,"val":7}]}</v>
      </c>
      <c r="T640" s="148">
        <f>IFERROR(__xludf.DUMMYFUNCTION("""COMPUTED_VALUE"""),-1.0)</f>
        <v>-1</v>
      </c>
      <c r="U640" s="148">
        <f>IFERROR(__xludf.DUMMYFUNCTION("""COMPUTED_VALUE"""),0.0)</f>
        <v>0</v>
      </c>
      <c r="V640" s="148" t="str">
        <f>IFERROR(__xludf.DUMMYFUNCTION("""COMPUTED_VALUE"""),"[]")</f>
        <v>[]</v>
      </c>
      <c r="W640" s="148">
        <f>IFERROR(__xludf.DUMMYFUNCTION("""COMPUTED_VALUE"""),1.174E7)</f>
        <v>11740000</v>
      </c>
      <c r="X640" s="148">
        <f>IFERROR(__xludf.DUMMYFUNCTION("""COMPUTED_VALUE"""),0.0)</f>
        <v>0</v>
      </c>
      <c r="Y640" s="148">
        <f>IFERROR(__xludf.DUMMYFUNCTION("""COMPUTED_VALUE"""),0.0)</f>
        <v>0</v>
      </c>
      <c r="Z640" s="148"/>
    </row>
    <row r="641">
      <c r="A641" s="148">
        <f>IFERROR(__xludf.DUMMYFUNCTION("""COMPUTED_VALUE"""),1.1112435E7)</f>
        <v>11112435</v>
      </c>
      <c r="B641" s="148" t="str">
        <f>IFERROR(__xludf.DUMMYFUNCTION("""COMPUTED_VALUE"""),"春节通用-装饰券宝箱")</f>
        <v>春节通用-装饰券宝箱</v>
      </c>
      <c r="C641" s="148"/>
      <c r="D641" s="148" t="str">
        <f>IFERROR(__xludf.DUMMYFUNCTION("""COMPUTED_VALUE"""),"valentine_reward_box")</f>
        <v>valentine_reward_box</v>
      </c>
      <c r="E641" s="148">
        <f>IFERROR(__xludf.DUMMYFUNCTION("""COMPUTED_VALUE"""),19.0)</f>
        <v>19</v>
      </c>
      <c r="F641" s="148">
        <f>IFERROR(__xludf.DUMMYFUNCTION("""COMPUTED_VALUE"""),201101.0)</f>
        <v>201101</v>
      </c>
      <c r="G641" s="148">
        <f>IFERROR(__xludf.DUMMYFUNCTION("""COMPUTED_VALUE"""),1.5118225E7)</f>
        <v>15118225</v>
      </c>
      <c r="H641" s="148">
        <f>IFERROR(__xludf.DUMMYFUNCTION("""COMPUTED_VALUE"""),1.5112564E7)</f>
        <v>15112564</v>
      </c>
      <c r="I641" s="148" t="str">
        <f>IFERROR(__xludf.DUMMYFUNCTION("""COMPUTED_VALUE"""),"{}")</f>
        <v>{}</v>
      </c>
      <c r="J641" s="148" t="str">
        <f>IFERROR(__xludf.DUMMYFUNCTION("""COMPUTED_VALUE"""),"{""typ"":""lc"",""txt"":""LC_ITEM_2025lunar_fes_box_name""}")</f>
        <v>{"typ":"lc","txt":"LC_ITEM_2025lunar_fes_box_name"}</v>
      </c>
      <c r="K641" s="148" t="str">
        <f>IFERROR(__xludf.DUMMYFUNCTION("""COMPUTED_VALUE"""),"{""typ"":""lc"",""txt"":""LC_ITEM_fes_box_desc""}")</f>
        <v>{"typ":"lc","txt":"LC_ITEM_fes_box_desc"}</v>
      </c>
      <c r="L641" s="148" t="str">
        <f>IFERROR(__xludf.DUMMYFUNCTION("""COMPUTED_VALUE"""),"{""typ"":""lc"",""txt"":""LC_ITEM_horde_elite_box_usedtip""}")</f>
        <v>{"typ":"lc","txt":"LC_ITEM_horde_elite_box_usedtip"}</v>
      </c>
      <c r="M641" s="148">
        <f>IFERROR(__xludf.DUMMYFUNCTION("""COMPUTED_VALUE"""),40.0)</f>
        <v>40</v>
      </c>
      <c r="N641" s="148">
        <f>IFERROR(__xludf.DUMMYFUNCTION("""COMPUTED_VALUE"""),999999.0)</f>
        <v>999999</v>
      </c>
      <c r="O641" s="148">
        <f>IFERROR(__xludf.DUMMYFUNCTION("""COMPUTED_VALUE"""),99999.0)</f>
        <v>99999</v>
      </c>
      <c r="P641" s="148">
        <f>IFERROR(__xludf.DUMMYFUNCTION("""COMPUTED_VALUE"""),99999.0)</f>
        <v>99999</v>
      </c>
      <c r="Q641" s="148" t="str">
        <f>IFERROR(__xludf.DUMMYFUNCTION("""COMPUTED_VALUE"""),"[""bag_other""]")</f>
        <v>["bag_other"]</v>
      </c>
      <c r="R641" s="148" t="str">
        <f>IFERROR(__xludf.DUMMYFUNCTION("""COMPUTED_VALUE"""),"[""bag""]")</f>
        <v>["bag"]</v>
      </c>
      <c r="S641" s="148" t="str">
        <f>IFERROR(__xludf.DUMMYFUNCTION("""COMPUTED_VALUE"""),"{""drop"":{""typ"":""single_random"",""num"":1,""args"":[{""typ"":""item"",""id"":11112030,""num"":1000,""wgt"":19980},{""typ"":""item"",""id"":11112030,""num"":200,""wgt"":120000},{""typ"":""item"",""id"":11112030,""num"":50,""wgt"":200000},{""typ"":""it"&amp;"em"",""id"":11112431,""num"":1,""wgt"":10},{""typ"":""item"",""id"":11112774,""num"":1,""wgt"":10},{""typ"":""item"",""id"":11112030,""num"":20,""wgt"":400000},{""typ"":""item"",""id"":11112030,""num"":100,""wgt"":200000},{""typ"":""item"",""id"":11112030"&amp;",""num"":400,""wgt"":60000}]}}")</f>
        <v>{"drop":{"typ":"single_random","num":1,"args":[{"typ":"item","id":11112030,"num":1000,"wgt":19980},{"typ":"item","id":11112030,"num":200,"wgt":120000},{"typ":"item","id":11112030,"num":50,"wgt":200000},{"typ":"item","id":11112431,"num":1,"wgt":10},{"typ":"item","id":11112774,"num":1,"wgt":10},{"typ":"item","id":11112030,"num":20,"wgt":400000},{"typ":"item","id":11112030,"num":100,"wgt":200000},{"typ":"item","id":11112030,"num":400,"wgt":60000}]}}</v>
      </c>
      <c r="T641" s="148">
        <f>IFERROR(__xludf.DUMMYFUNCTION("""COMPUTED_VALUE"""),-1.0)</f>
        <v>-1</v>
      </c>
      <c r="U641" s="148">
        <f>IFERROR(__xludf.DUMMYFUNCTION("""COMPUTED_VALUE"""),0.0)</f>
        <v>0</v>
      </c>
      <c r="V641" s="148" t="str">
        <f>IFERROR(__xludf.DUMMYFUNCTION("""COMPUTED_VALUE"""),"[]")</f>
        <v>[]</v>
      </c>
      <c r="W641" s="148">
        <f>IFERROR(__xludf.DUMMYFUNCTION("""COMPUTED_VALUE"""),1.174E7)</f>
        <v>11740000</v>
      </c>
      <c r="X641" s="148">
        <f>IFERROR(__xludf.DUMMYFUNCTION("""COMPUTED_VALUE"""),0.0)</f>
        <v>0</v>
      </c>
      <c r="Y641" s="148">
        <f>IFERROR(__xludf.DUMMYFUNCTION("""COMPUTED_VALUE"""),0.0)</f>
        <v>0</v>
      </c>
      <c r="Z641" s="148"/>
    </row>
    <row r="642">
      <c r="A642" s="148">
        <f>IFERROR(__xludf.DUMMYFUNCTION("""COMPUTED_VALUE"""),1.1112436E7)</f>
        <v>11112436</v>
      </c>
      <c r="B642" s="148" t="str">
        <f>IFERROR(__xludf.DUMMYFUNCTION("""COMPUTED_VALUE"""),"主城皮肤-情人节高级皮肤2025-14天")</f>
        <v>主城皮肤-情人节高级皮肤2025-14天</v>
      </c>
      <c r="C642" s="148"/>
      <c r="D642" s="148" t="str">
        <f>IFERROR(__xludf.DUMMYFUNCTION("""COMPUTED_VALUE"""),"city_skin")</f>
        <v>city_skin</v>
      </c>
      <c r="E642" s="148">
        <f>IFERROR(__xludf.DUMMYFUNCTION("""COMPUTED_VALUE"""),21.0)</f>
        <v>21</v>
      </c>
      <c r="F642" s="148">
        <f>IFERROR(__xludf.DUMMYFUNCTION("""COMPUTED_VALUE"""),400106.0)</f>
        <v>400106</v>
      </c>
      <c r="G642" s="148">
        <f>IFERROR(__xludf.DUMMYFUNCTION("""COMPUTED_VALUE"""),1.51101129E8)</f>
        <v>151101129</v>
      </c>
      <c r="H642" s="148">
        <f>IFERROR(__xludf.DUMMYFUNCTION("""COMPUTED_VALUE"""),1.5112564E7)</f>
        <v>15112564</v>
      </c>
      <c r="I642" s="148" t="str">
        <f>IFERROR(__xludf.DUMMYFUNCTION("""COMPUTED_VALUE"""),"{""typ"":""lc"",""txt"":""LC_ITEM_time_day_upper_show"",""args"":[{""typ"":""int"",""val"":14}]}")</f>
        <v>{"typ":"lc","txt":"LC_ITEM_time_day_upper_show","args":[{"typ":"int","val":14}]}</v>
      </c>
      <c r="J642" s="148" t="str">
        <f>IFERROR(__xludf.DUMMYFUNCTION("""COMPUTED_VALUE"""),"{""typ"":""lc"",""txt"":""LC_ITEM_2025valentine_highcity_skin_title_14day""}")</f>
        <v>{"typ":"lc","txt":"LC_ITEM_2025valentine_highcity_skin_title_14day"}</v>
      </c>
      <c r="K642" s="148" t="str">
        <f>IFERROR(__xludf.DUMMYFUNCTION("""COMPUTED_VALUE"""),"{""typ"":""lc"",""txt"":""LC_ITEM_2025valentine_highskin_desc_14days""}")</f>
        <v>{"typ":"lc","txt":"LC_ITEM_2025valentine_highskin_desc_14days"}</v>
      </c>
      <c r="L642" s="148" t="str">
        <f>IFERROR(__xludf.DUMMYFUNCTION("""COMPUTED_VALUE"""),"{""typ"":""lc"",""txt"":""LC_ITEM_city_skin_rocket_use_tips""}")</f>
        <v>{"typ":"lc","txt":"LC_ITEM_city_skin_rocket_use_tips"}</v>
      </c>
      <c r="M642" s="148">
        <f>IFERROR(__xludf.DUMMYFUNCTION("""COMPUTED_VALUE"""),10000.0)</f>
        <v>10000</v>
      </c>
      <c r="N642" s="148">
        <f>IFERROR(__xludf.DUMMYFUNCTION("""COMPUTED_VALUE"""),999.0)</f>
        <v>999</v>
      </c>
      <c r="O642" s="148">
        <f>IFERROR(__xludf.DUMMYFUNCTION("""COMPUTED_VALUE"""),1.0)</f>
        <v>1</v>
      </c>
      <c r="P642" s="148">
        <f>IFERROR(__xludf.DUMMYFUNCTION("""COMPUTED_VALUE"""),1.0)</f>
        <v>1</v>
      </c>
      <c r="Q642" s="148" t="str">
        <f>IFERROR(__xludf.DUMMYFUNCTION("""COMPUTED_VALUE"""),"[""bag_other""]")</f>
        <v>["bag_other"]</v>
      </c>
      <c r="R642" s="148" t="str">
        <f>IFERROR(__xludf.DUMMYFUNCTION("""COMPUTED_VALUE"""),"[""bag"",""13121060""]")</f>
        <v>["bag","13121060"]</v>
      </c>
      <c r="S642" s="148" t="str">
        <f>IFERROR(__xludf.DUMMYFUNCTION("""COMPUTED_VALUE"""),"{""effect"":[{""typ"":""city_skin"",""id"":13121060,""val"":1209600000},{""typ"":""item"",""id"":11111021,""val"":7}]}")</f>
        <v>{"effect":[{"typ":"city_skin","id":13121060,"val":1209600000},{"typ":"item","id":11111021,"val":7}]}</v>
      </c>
      <c r="T642" s="148">
        <f>IFERROR(__xludf.DUMMYFUNCTION("""COMPUTED_VALUE"""),-1.0)</f>
        <v>-1</v>
      </c>
      <c r="U642" s="148">
        <f>IFERROR(__xludf.DUMMYFUNCTION("""COMPUTED_VALUE"""),0.0)</f>
        <v>0</v>
      </c>
      <c r="V642" s="148" t="str">
        <f>IFERROR(__xludf.DUMMYFUNCTION("""COMPUTED_VALUE"""),"[]")</f>
        <v>[]</v>
      </c>
      <c r="W642" s="148">
        <f>IFERROR(__xludf.DUMMYFUNCTION("""COMPUTED_VALUE"""),1.174E7)</f>
        <v>11740000</v>
      </c>
      <c r="X642" s="148">
        <f>IFERROR(__xludf.DUMMYFUNCTION("""COMPUTED_VALUE"""),0.0)</f>
        <v>0</v>
      </c>
      <c r="Y642" s="148">
        <f>IFERROR(__xludf.DUMMYFUNCTION("""COMPUTED_VALUE"""),0.0)</f>
        <v>0</v>
      </c>
      <c r="Z642" s="148"/>
    </row>
    <row r="643">
      <c r="A643" s="148">
        <f>IFERROR(__xludf.DUMMYFUNCTION("""COMPUTED_VALUE"""),1.1112437E7)</f>
        <v>11112437</v>
      </c>
      <c r="B643" s="148" t="str">
        <f>IFERROR(__xludf.DUMMYFUNCTION("""COMPUTED_VALUE"""),"主城皮肤-情人节高级皮肤2025-7天")</f>
        <v>主城皮肤-情人节高级皮肤2025-7天</v>
      </c>
      <c r="C643" s="148"/>
      <c r="D643" s="148" t="str">
        <f>IFERROR(__xludf.DUMMYFUNCTION("""COMPUTED_VALUE"""),"city_skin")</f>
        <v>city_skin</v>
      </c>
      <c r="E643" s="148">
        <f>IFERROR(__xludf.DUMMYFUNCTION("""COMPUTED_VALUE"""),21.0)</f>
        <v>21</v>
      </c>
      <c r="F643" s="148">
        <f>IFERROR(__xludf.DUMMYFUNCTION("""COMPUTED_VALUE"""),400106.0)</f>
        <v>400106</v>
      </c>
      <c r="G643" s="148">
        <f>IFERROR(__xludf.DUMMYFUNCTION("""COMPUTED_VALUE"""),1.51101129E8)</f>
        <v>151101129</v>
      </c>
      <c r="H643" s="148">
        <f>IFERROR(__xludf.DUMMYFUNCTION("""COMPUTED_VALUE"""),1.5112564E7)</f>
        <v>15112564</v>
      </c>
      <c r="I643" s="148" t="str">
        <f>IFERROR(__xludf.DUMMYFUNCTION("""COMPUTED_VALUE"""),"{""typ"":""lc"",""txt"":""LC_ITEM_time_day_upper_show"",""args"":[{""typ"":""int"",""val"":7}]}")</f>
        <v>{"typ":"lc","txt":"LC_ITEM_time_day_upper_show","args":[{"typ":"int","val":7}]}</v>
      </c>
      <c r="J643" s="148" t="str">
        <f>IFERROR(__xludf.DUMMYFUNCTION("""COMPUTED_VALUE"""),"{""typ"":""lc"",""txt"":""LC_ITEM_2025valentine_highcity_skin_title_7day""}")</f>
        <v>{"typ":"lc","txt":"LC_ITEM_2025valentine_highcity_skin_title_7day"}</v>
      </c>
      <c r="K643" s="148" t="str">
        <f>IFERROR(__xludf.DUMMYFUNCTION("""COMPUTED_VALUE"""),"{""typ"":""lc"",""txt"":""LC_ITEM_2025valentine_highskin_desc_7days""}")</f>
        <v>{"typ":"lc","txt":"LC_ITEM_2025valentine_highskin_desc_7days"}</v>
      </c>
      <c r="L643" s="148" t="str">
        <f>IFERROR(__xludf.DUMMYFUNCTION("""COMPUTED_VALUE"""),"{""typ"":""lc"",""txt"":""LC_ITEM_city_skin_rocket_use_tips""}")</f>
        <v>{"typ":"lc","txt":"LC_ITEM_city_skin_rocket_use_tips"}</v>
      </c>
      <c r="M643" s="148">
        <f>IFERROR(__xludf.DUMMYFUNCTION("""COMPUTED_VALUE"""),10000.0)</f>
        <v>10000</v>
      </c>
      <c r="N643" s="148">
        <f>IFERROR(__xludf.DUMMYFUNCTION("""COMPUTED_VALUE"""),999.0)</f>
        <v>999</v>
      </c>
      <c r="O643" s="148">
        <f>IFERROR(__xludf.DUMMYFUNCTION("""COMPUTED_VALUE"""),1.0)</f>
        <v>1</v>
      </c>
      <c r="P643" s="148">
        <f>IFERROR(__xludf.DUMMYFUNCTION("""COMPUTED_VALUE"""),1.0)</f>
        <v>1</v>
      </c>
      <c r="Q643" s="148" t="str">
        <f>IFERROR(__xludf.DUMMYFUNCTION("""COMPUTED_VALUE"""),"[""bag_other""]")</f>
        <v>["bag_other"]</v>
      </c>
      <c r="R643" s="148" t="str">
        <f>IFERROR(__xludf.DUMMYFUNCTION("""COMPUTED_VALUE"""),"[""bag"",""13121060""]")</f>
        <v>["bag","13121060"]</v>
      </c>
      <c r="S643" s="148" t="str">
        <f>IFERROR(__xludf.DUMMYFUNCTION("""COMPUTED_VALUE"""),"{""effect"":[{""typ"":""city_skin"",""id"":13121060,""val"":604800000},{""typ"":""item"",""id"":11111021,""val"":3}]}")</f>
        <v>{"effect":[{"typ":"city_skin","id":13121060,"val":604800000},{"typ":"item","id":11111021,"val":3}]}</v>
      </c>
      <c r="T643" s="148">
        <f>IFERROR(__xludf.DUMMYFUNCTION("""COMPUTED_VALUE"""),-1.0)</f>
        <v>-1</v>
      </c>
      <c r="U643" s="148">
        <f>IFERROR(__xludf.DUMMYFUNCTION("""COMPUTED_VALUE"""),0.0)</f>
        <v>0</v>
      </c>
      <c r="V643" s="148" t="str">
        <f>IFERROR(__xludf.DUMMYFUNCTION("""COMPUTED_VALUE"""),"[]")</f>
        <v>[]</v>
      </c>
      <c r="W643" s="148">
        <f>IFERROR(__xludf.DUMMYFUNCTION("""COMPUTED_VALUE"""),1.174E7)</f>
        <v>11740000</v>
      </c>
      <c r="X643" s="148">
        <f>IFERROR(__xludf.DUMMYFUNCTION("""COMPUTED_VALUE"""),0.0)</f>
        <v>0</v>
      </c>
      <c r="Y643" s="148">
        <f>IFERROR(__xludf.DUMMYFUNCTION("""COMPUTED_VALUE"""),0.0)</f>
        <v>0</v>
      </c>
      <c r="Z643" s="148"/>
    </row>
    <row r="644">
      <c r="A644" s="148">
        <f>IFERROR(__xludf.DUMMYFUNCTION("""COMPUTED_VALUE"""),1.1112438E7)</f>
        <v>11112438</v>
      </c>
      <c r="B644" s="148" t="str">
        <f>IFERROR(__xludf.DUMMYFUNCTION("""COMPUTED_VALUE"""),"主城皮肤-情人节高级皮肤2025")</f>
        <v>主城皮肤-情人节高级皮肤2025</v>
      </c>
      <c r="C644" s="148"/>
      <c r="D644" s="148" t="str">
        <f>IFERROR(__xludf.DUMMYFUNCTION("""COMPUTED_VALUE"""),"city_skin")</f>
        <v>city_skin</v>
      </c>
      <c r="E644" s="148">
        <f>IFERROR(__xludf.DUMMYFUNCTION("""COMPUTED_VALUE"""),21.0)</f>
        <v>21</v>
      </c>
      <c r="F644" s="148">
        <f>IFERROR(__xludf.DUMMYFUNCTION("""COMPUTED_VALUE"""),400106.0)</f>
        <v>400106</v>
      </c>
      <c r="G644" s="148">
        <f>IFERROR(__xludf.DUMMYFUNCTION("""COMPUTED_VALUE"""),1.51101129E8)</f>
        <v>151101129</v>
      </c>
      <c r="H644" s="148">
        <f>IFERROR(__xludf.DUMMYFUNCTION("""COMPUTED_VALUE"""),1.5115983E7)</f>
        <v>15115983</v>
      </c>
      <c r="I644" s="148" t="str">
        <f>IFERROR(__xludf.DUMMYFUNCTION("""COMPUTED_VALUE"""),"{}")</f>
        <v>{}</v>
      </c>
      <c r="J644" s="148" t="str">
        <f>IFERROR(__xludf.DUMMYFUNCTION("""COMPUTED_VALUE"""),"{""typ"":""lc"",""txt"":""LC_ITEM_2025valentine_highcity_skin_title""}")</f>
        <v>{"typ":"lc","txt":"LC_ITEM_2025valentine_highcity_skin_title"}</v>
      </c>
      <c r="K644" s="148" t="str">
        <f>IFERROR(__xludf.DUMMYFUNCTION("""COMPUTED_VALUE"""),"{""typ"":""lc"",""txt"":""LC_ITEM_2025valentine_highskin_desc_forever""}")</f>
        <v>{"typ":"lc","txt":"LC_ITEM_2025valentine_highskin_desc_forever"}</v>
      </c>
      <c r="L644" s="148" t="str">
        <f>IFERROR(__xludf.DUMMYFUNCTION("""COMPUTED_VALUE"""),"{""typ"":""lc"",""txt"":""LC_ITEM_city_skin_rocket_use_tips""}")</f>
        <v>{"typ":"lc","txt":"LC_ITEM_city_skin_rocket_use_tips"}</v>
      </c>
      <c r="M644" s="148">
        <f>IFERROR(__xludf.DUMMYFUNCTION("""COMPUTED_VALUE"""),10000.0)</f>
        <v>10000</v>
      </c>
      <c r="N644" s="148">
        <f>IFERROR(__xludf.DUMMYFUNCTION("""COMPUTED_VALUE"""),999.0)</f>
        <v>999</v>
      </c>
      <c r="O644" s="148">
        <f>IFERROR(__xludf.DUMMYFUNCTION("""COMPUTED_VALUE"""),1.0)</f>
        <v>1</v>
      </c>
      <c r="P644" s="148">
        <f>IFERROR(__xludf.DUMMYFUNCTION("""COMPUTED_VALUE"""),1.0)</f>
        <v>1</v>
      </c>
      <c r="Q644" s="148" t="str">
        <f>IFERROR(__xludf.DUMMYFUNCTION("""COMPUTED_VALUE"""),"[""bag_other""]")</f>
        <v>["bag_other"]</v>
      </c>
      <c r="R644" s="148" t="str">
        <f>IFERROR(__xludf.DUMMYFUNCTION("""COMPUTED_VALUE"""),"[""bag"",""13121060""]")</f>
        <v>["bag","13121060"]</v>
      </c>
      <c r="S644" s="148" t="str">
        <f>IFERROR(__xludf.DUMMYFUNCTION("""COMPUTED_VALUE"""),"{""effect"":[{""typ"":""city_skin"",""id"":13121060,""val"":-1},{""typ"":""item"",""id"":11111034,""val"":10}]}")</f>
        <v>{"effect":[{"typ":"city_skin","id":13121060,"val":-1},{"typ":"item","id":11111034,"val":10}]}</v>
      </c>
      <c r="T644" s="148">
        <f>IFERROR(__xludf.DUMMYFUNCTION("""COMPUTED_VALUE"""),-1.0)</f>
        <v>-1</v>
      </c>
      <c r="U644" s="148">
        <f>IFERROR(__xludf.DUMMYFUNCTION("""COMPUTED_VALUE"""),0.0)</f>
        <v>0</v>
      </c>
      <c r="V644" s="148" t="str">
        <f>IFERROR(__xludf.DUMMYFUNCTION("""COMPUTED_VALUE"""),"[]")</f>
        <v>[]</v>
      </c>
      <c r="W644" s="148">
        <f>IFERROR(__xludf.DUMMYFUNCTION("""COMPUTED_VALUE"""),1.174E7)</f>
        <v>11740000</v>
      </c>
      <c r="X644" s="148">
        <f>IFERROR(__xludf.DUMMYFUNCTION("""COMPUTED_VALUE"""),0.0)</f>
        <v>0</v>
      </c>
      <c r="Y644" s="148">
        <f>IFERROR(__xludf.DUMMYFUNCTION("""COMPUTED_VALUE"""),0.0)</f>
        <v>0</v>
      </c>
      <c r="Z644" s="148"/>
    </row>
    <row r="645">
      <c r="A645" s="148">
        <f>IFERROR(__xludf.DUMMYFUNCTION("""COMPUTED_VALUE"""),1.1112439E7)</f>
        <v>11112439</v>
      </c>
      <c r="B645" s="148" t="str">
        <f>IFERROR(__xludf.DUMMYFUNCTION("""COMPUTED_VALUE"""),"主城皮肤-情人节2025")</f>
        <v>主城皮肤-情人节2025</v>
      </c>
      <c r="C645" s="148"/>
      <c r="D645" s="148" t="str">
        <f>IFERROR(__xludf.DUMMYFUNCTION("""COMPUTED_VALUE"""),"city_skin")</f>
        <v>city_skin</v>
      </c>
      <c r="E645" s="148">
        <f>IFERROR(__xludf.DUMMYFUNCTION("""COMPUTED_VALUE"""),21.0)</f>
        <v>21</v>
      </c>
      <c r="F645" s="148">
        <f>IFERROR(__xludf.DUMMYFUNCTION("""COMPUTED_VALUE"""),404201.0)</f>
        <v>404201</v>
      </c>
      <c r="G645" s="148">
        <f>IFERROR(__xludf.DUMMYFUNCTION("""COMPUTED_VALUE"""),1.51101127E8)</f>
        <v>151101127</v>
      </c>
      <c r="H645" s="148">
        <f>IFERROR(__xludf.DUMMYFUNCTION("""COMPUTED_VALUE"""),1.5112564E7)</f>
        <v>15112564</v>
      </c>
      <c r="I645" s="148" t="str">
        <f>IFERROR(__xludf.DUMMYFUNCTION("""COMPUTED_VALUE"""),"{}")</f>
        <v>{}</v>
      </c>
      <c r="J645" s="148" t="str">
        <f>IFERROR(__xludf.DUMMYFUNCTION("""COMPUTED_VALUE"""),"{""typ"":""lc"",""txt"":""LC_ITEM_2025valentine_lowcity_skin_title""}")</f>
        <v>{"typ":"lc","txt":"LC_ITEM_2025valentine_lowcity_skin_title"}</v>
      </c>
      <c r="K645" s="148" t="str">
        <f>IFERROR(__xludf.DUMMYFUNCTION("""COMPUTED_VALUE"""),"{""typ"":""lc"",""txt"":""LC_ITEM_2025valentine_lowcity_skin_desc_forever""}")</f>
        <v>{"typ":"lc","txt":"LC_ITEM_2025valentine_lowcity_skin_desc_forever"}</v>
      </c>
      <c r="L645" s="148" t="str">
        <f>IFERROR(__xludf.DUMMYFUNCTION("""COMPUTED_VALUE"""),"{""typ"":""lc"",""txt"":""LC_ITEM_city_skin_rocket_use_tips""}")</f>
        <v>{"typ":"lc","txt":"LC_ITEM_city_skin_rocket_use_tips"}</v>
      </c>
      <c r="M645" s="148">
        <f>IFERROR(__xludf.DUMMYFUNCTION("""COMPUTED_VALUE"""),10000.0)</f>
        <v>10000</v>
      </c>
      <c r="N645" s="148">
        <f>IFERROR(__xludf.DUMMYFUNCTION("""COMPUTED_VALUE"""),999.0)</f>
        <v>999</v>
      </c>
      <c r="O645" s="148">
        <f>IFERROR(__xludf.DUMMYFUNCTION("""COMPUTED_VALUE"""),1.0)</f>
        <v>1</v>
      </c>
      <c r="P645" s="148">
        <f>IFERROR(__xludf.DUMMYFUNCTION("""COMPUTED_VALUE"""),1.0)</f>
        <v>1</v>
      </c>
      <c r="Q645" s="148" t="str">
        <f>IFERROR(__xludf.DUMMYFUNCTION("""COMPUTED_VALUE"""),"[""bag_other""]")</f>
        <v>["bag_other"]</v>
      </c>
      <c r="R645" s="148" t="str">
        <f>IFERROR(__xludf.DUMMYFUNCTION("""COMPUTED_VALUE"""),"[""bag"",""13121059""]")</f>
        <v>["bag","13121059"]</v>
      </c>
      <c r="S645" s="148" t="str">
        <f>IFERROR(__xludf.DUMMYFUNCTION("""COMPUTED_VALUE"""),"{""effect"":[{""typ"":""city_skin"",""id"":13121059,""val"":-1},{""typ"":""item"",""id"":11111034,""val"":10}]}")</f>
        <v>{"effect":[{"typ":"city_skin","id":13121059,"val":-1},{"typ":"item","id":11111034,"val":10}]}</v>
      </c>
      <c r="T645" s="148">
        <f>IFERROR(__xludf.DUMMYFUNCTION("""COMPUTED_VALUE"""),-1.0)</f>
        <v>-1</v>
      </c>
      <c r="U645" s="148">
        <f>IFERROR(__xludf.DUMMYFUNCTION("""COMPUTED_VALUE"""),0.0)</f>
        <v>0</v>
      </c>
      <c r="V645" s="148" t="str">
        <f>IFERROR(__xludf.DUMMYFUNCTION("""COMPUTED_VALUE"""),"[]")</f>
        <v>[]</v>
      </c>
      <c r="W645" s="148">
        <f>IFERROR(__xludf.DUMMYFUNCTION("""COMPUTED_VALUE"""),1.174E7)</f>
        <v>11740000</v>
      </c>
      <c r="X645" s="148">
        <f>IFERROR(__xludf.DUMMYFUNCTION("""COMPUTED_VALUE"""),0.0)</f>
        <v>0</v>
      </c>
      <c r="Y645" s="148">
        <f>IFERROR(__xludf.DUMMYFUNCTION("""COMPUTED_VALUE"""),0.0)</f>
        <v>0</v>
      </c>
      <c r="Z645" s="148"/>
    </row>
    <row r="646">
      <c r="A646" s="148">
        <f>IFERROR(__xludf.DUMMYFUNCTION("""COMPUTED_VALUE"""),1.111244E7)</f>
        <v>11112440</v>
      </c>
      <c r="B646" s="148" t="str">
        <f>IFERROR(__xludf.DUMMYFUNCTION("""COMPUTED_VALUE"""),"主城皮肤-情人节2025-2天")</f>
        <v>主城皮肤-情人节2025-2天</v>
      </c>
      <c r="C646" s="148"/>
      <c r="D646" s="148" t="str">
        <f>IFERROR(__xludf.DUMMYFUNCTION("""COMPUTED_VALUE"""),"city_skin")</f>
        <v>city_skin</v>
      </c>
      <c r="E646" s="148">
        <f>IFERROR(__xludf.DUMMYFUNCTION("""COMPUTED_VALUE"""),21.0)</f>
        <v>21</v>
      </c>
      <c r="F646" s="148">
        <f>IFERROR(__xludf.DUMMYFUNCTION("""COMPUTED_VALUE"""),404201.0)</f>
        <v>404201</v>
      </c>
      <c r="G646" s="148">
        <f>IFERROR(__xludf.DUMMYFUNCTION("""COMPUTED_VALUE"""),1.51101127E8)</f>
        <v>151101127</v>
      </c>
      <c r="H646" s="148">
        <f>IFERROR(__xludf.DUMMYFUNCTION("""COMPUTED_VALUE"""),1.5112563E7)</f>
        <v>15112563</v>
      </c>
      <c r="I646" s="148" t="str">
        <f>IFERROR(__xludf.DUMMYFUNCTION("""COMPUTED_VALUE"""),"{""typ"":""lc"",""txt"":""LC_ITEM_time_day_upper_show"",""args"":[{""typ"":""int"",""val"":2}]}")</f>
        <v>{"typ":"lc","txt":"LC_ITEM_time_day_upper_show","args":[{"typ":"int","val":2}]}</v>
      </c>
      <c r="J646" s="148" t="str">
        <f>IFERROR(__xludf.DUMMYFUNCTION("""COMPUTED_VALUE"""),"{""typ"":""lc"",""txt"":""LC_ITEM_2025valentine_lowcity_skin_title_2day""}")</f>
        <v>{"typ":"lc","txt":"LC_ITEM_2025valentine_lowcity_skin_title_2day"}</v>
      </c>
      <c r="K646" s="148" t="str">
        <f>IFERROR(__xludf.DUMMYFUNCTION("""COMPUTED_VALUE"""),"{""typ"":""lc"",""txt"":""LC_ITEM_2025valentine_lowcity_skin_desc_2day""}")</f>
        <v>{"typ":"lc","txt":"LC_ITEM_2025valentine_lowcity_skin_desc_2day"}</v>
      </c>
      <c r="L646" s="148" t="str">
        <f>IFERROR(__xludf.DUMMYFUNCTION("""COMPUTED_VALUE"""),"{""typ"":""lc"",""txt"":""LC_ITEM_city_skin_rocket_use_tips""}")</f>
        <v>{"typ":"lc","txt":"LC_ITEM_city_skin_rocket_use_tips"}</v>
      </c>
      <c r="M646" s="148">
        <f>IFERROR(__xludf.DUMMYFUNCTION("""COMPUTED_VALUE"""),500.0)</f>
        <v>500</v>
      </c>
      <c r="N646" s="148">
        <f>IFERROR(__xludf.DUMMYFUNCTION("""COMPUTED_VALUE"""),999.0)</f>
        <v>999</v>
      </c>
      <c r="O646" s="148">
        <f>IFERROR(__xludf.DUMMYFUNCTION("""COMPUTED_VALUE"""),1.0)</f>
        <v>1</v>
      </c>
      <c r="P646" s="148">
        <f>IFERROR(__xludf.DUMMYFUNCTION("""COMPUTED_VALUE"""),1.0)</f>
        <v>1</v>
      </c>
      <c r="Q646" s="148" t="str">
        <f>IFERROR(__xludf.DUMMYFUNCTION("""COMPUTED_VALUE"""),"[""bag_other""]")</f>
        <v>["bag_other"]</v>
      </c>
      <c r="R646" s="148" t="str">
        <f>IFERROR(__xludf.DUMMYFUNCTION("""COMPUTED_VALUE"""),"[""bag"",""13121059""]")</f>
        <v>["bag","13121059"]</v>
      </c>
      <c r="S646" s="148" t="str">
        <f>IFERROR(__xludf.DUMMYFUNCTION("""COMPUTED_VALUE"""),"{""effect"":[{""typ"":""city_skin"",""id"":13121059,""val"":172800000},{""typ"":""item"",""id"":11111021,""val"":1}]}")</f>
        <v>{"effect":[{"typ":"city_skin","id":13121059,"val":172800000},{"typ":"item","id":11111021,"val":1}]}</v>
      </c>
      <c r="T646" s="148">
        <f>IFERROR(__xludf.DUMMYFUNCTION("""COMPUTED_VALUE"""),-1.0)</f>
        <v>-1</v>
      </c>
      <c r="U646" s="148">
        <f>IFERROR(__xludf.DUMMYFUNCTION("""COMPUTED_VALUE"""),0.0)</f>
        <v>0</v>
      </c>
      <c r="V646" s="148" t="str">
        <f>IFERROR(__xludf.DUMMYFUNCTION("""COMPUTED_VALUE"""),"[]")</f>
        <v>[]</v>
      </c>
      <c r="W646" s="148">
        <f>IFERROR(__xludf.DUMMYFUNCTION("""COMPUTED_VALUE"""),1.174E7)</f>
        <v>11740000</v>
      </c>
      <c r="X646" s="148">
        <f>IFERROR(__xludf.DUMMYFUNCTION("""COMPUTED_VALUE"""),0.0)</f>
        <v>0</v>
      </c>
      <c r="Y646" s="148">
        <f>IFERROR(__xludf.DUMMYFUNCTION("""COMPUTED_VALUE"""),0.0)</f>
        <v>0</v>
      </c>
      <c r="Z646" s="148"/>
    </row>
    <row r="647">
      <c r="A647" s="148">
        <f>IFERROR(__xludf.DUMMYFUNCTION("""COMPUTED_VALUE"""),1.1112441E7)</f>
        <v>11112441</v>
      </c>
      <c r="B647" s="148" t="str">
        <f>IFERROR(__xludf.DUMMYFUNCTION("""COMPUTED_VALUE"""),"主城皮肤-情人节2025-7天")</f>
        <v>主城皮肤-情人节2025-7天</v>
      </c>
      <c r="C647" s="148"/>
      <c r="D647" s="148" t="str">
        <f>IFERROR(__xludf.DUMMYFUNCTION("""COMPUTED_VALUE"""),"city_skin")</f>
        <v>city_skin</v>
      </c>
      <c r="E647" s="148">
        <f>IFERROR(__xludf.DUMMYFUNCTION("""COMPUTED_VALUE"""),21.0)</f>
        <v>21</v>
      </c>
      <c r="F647" s="148">
        <f>IFERROR(__xludf.DUMMYFUNCTION("""COMPUTED_VALUE"""),404201.0)</f>
        <v>404201</v>
      </c>
      <c r="G647" s="148">
        <f>IFERROR(__xludf.DUMMYFUNCTION("""COMPUTED_VALUE"""),1.51101127E8)</f>
        <v>151101127</v>
      </c>
      <c r="H647" s="148">
        <f>IFERROR(__xludf.DUMMYFUNCTION("""COMPUTED_VALUE"""),1.5112564E7)</f>
        <v>15112564</v>
      </c>
      <c r="I647" s="148" t="str">
        <f>IFERROR(__xludf.DUMMYFUNCTION("""COMPUTED_VALUE"""),"{""typ"":""lc"",""txt"":""LC_ITEM_time_day_upper_show"",""args"":[{""typ"":""int"",""val"":7}]}")</f>
        <v>{"typ":"lc","txt":"LC_ITEM_time_day_upper_show","args":[{"typ":"int","val":7}]}</v>
      </c>
      <c r="J647" s="148" t="str">
        <f>IFERROR(__xludf.DUMMYFUNCTION("""COMPUTED_VALUE"""),"{""typ"":""lc"",""txt"":""LC_ITEM_2025valentine_lowcity_skin_title_7day""}")</f>
        <v>{"typ":"lc","txt":"LC_ITEM_2025valentine_lowcity_skin_title_7day"}</v>
      </c>
      <c r="K647" s="148" t="str">
        <f>IFERROR(__xludf.DUMMYFUNCTION("""COMPUTED_VALUE"""),"{""typ"":""lc"",""txt"":""LC_ITEM_2025valentine_lowcity_skin_desc_7day""}")</f>
        <v>{"typ":"lc","txt":"LC_ITEM_2025valentine_lowcity_skin_desc_7day"}</v>
      </c>
      <c r="L647" s="148" t="str">
        <f>IFERROR(__xludf.DUMMYFUNCTION("""COMPUTED_VALUE"""),"{""typ"":""lc"",""txt"":""LC_ITEM_city_skin_rocket_use_tips""}")</f>
        <v>{"typ":"lc","txt":"LC_ITEM_city_skin_rocket_use_tips"}</v>
      </c>
      <c r="M647" s="148">
        <f>IFERROR(__xludf.DUMMYFUNCTION("""COMPUTED_VALUE"""),10000.0)</f>
        <v>10000</v>
      </c>
      <c r="N647" s="148">
        <f>IFERROR(__xludf.DUMMYFUNCTION("""COMPUTED_VALUE"""),999.0)</f>
        <v>999</v>
      </c>
      <c r="O647" s="148">
        <f>IFERROR(__xludf.DUMMYFUNCTION("""COMPUTED_VALUE"""),1.0)</f>
        <v>1</v>
      </c>
      <c r="P647" s="148">
        <f>IFERROR(__xludf.DUMMYFUNCTION("""COMPUTED_VALUE"""),1.0)</f>
        <v>1</v>
      </c>
      <c r="Q647" s="148" t="str">
        <f>IFERROR(__xludf.DUMMYFUNCTION("""COMPUTED_VALUE"""),"[""bag_other""]")</f>
        <v>["bag_other"]</v>
      </c>
      <c r="R647" s="148" t="str">
        <f>IFERROR(__xludf.DUMMYFUNCTION("""COMPUTED_VALUE"""),"[""bag"",""13121059""]")</f>
        <v>["bag","13121059"]</v>
      </c>
      <c r="S647" s="148" t="str">
        <f>IFERROR(__xludf.DUMMYFUNCTION("""COMPUTED_VALUE"""),"{""effect"":[{""typ"":""city_skin"",""id"":13121059,""val"":604800000},{""typ"":""item"",""id"":11111021,""val"":3}]}")</f>
        <v>{"effect":[{"typ":"city_skin","id":13121059,"val":604800000},{"typ":"item","id":11111021,"val":3}]}</v>
      </c>
      <c r="T647" s="148">
        <f>IFERROR(__xludf.DUMMYFUNCTION("""COMPUTED_VALUE"""),-1.0)</f>
        <v>-1</v>
      </c>
      <c r="U647" s="148">
        <f>IFERROR(__xludf.DUMMYFUNCTION("""COMPUTED_VALUE"""),0.0)</f>
        <v>0</v>
      </c>
      <c r="V647" s="148" t="str">
        <f>IFERROR(__xludf.DUMMYFUNCTION("""COMPUTED_VALUE"""),"[]")</f>
        <v>[]</v>
      </c>
      <c r="W647" s="148">
        <f>IFERROR(__xludf.DUMMYFUNCTION("""COMPUTED_VALUE"""),1.174E7)</f>
        <v>11740000</v>
      </c>
      <c r="X647" s="148">
        <f>IFERROR(__xludf.DUMMYFUNCTION("""COMPUTED_VALUE"""),0.0)</f>
        <v>0</v>
      </c>
      <c r="Y647" s="148">
        <f>IFERROR(__xludf.DUMMYFUNCTION("""COMPUTED_VALUE"""),0.0)</f>
        <v>0</v>
      </c>
      <c r="Z647" s="148"/>
    </row>
    <row r="648">
      <c r="A648" s="148">
        <f>IFERROR(__xludf.DUMMYFUNCTION("""COMPUTED_VALUE"""),1.1112442E7)</f>
        <v>11112442</v>
      </c>
      <c r="B648" s="148" t="str">
        <f>IFERROR(__xludf.DUMMYFUNCTION("""COMPUTED_VALUE"""),"主城皮肤-情人节2025-14天")</f>
        <v>主城皮肤-情人节2025-14天</v>
      </c>
      <c r="C648" s="148"/>
      <c r="D648" s="148" t="str">
        <f>IFERROR(__xludf.DUMMYFUNCTION("""COMPUTED_VALUE"""),"city_skin")</f>
        <v>city_skin</v>
      </c>
      <c r="E648" s="148">
        <f>IFERROR(__xludf.DUMMYFUNCTION("""COMPUTED_VALUE"""),21.0)</f>
        <v>21</v>
      </c>
      <c r="F648" s="148">
        <f>IFERROR(__xludf.DUMMYFUNCTION("""COMPUTED_VALUE"""),404201.0)</f>
        <v>404201</v>
      </c>
      <c r="G648" s="148">
        <f>IFERROR(__xludf.DUMMYFUNCTION("""COMPUTED_VALUE"""),1.51101127E8)</f>
        <v>151101127</v>
      </c>
      <c r="H648" s="148">
        <f>IFERROR(__xludf.DUMMYFUNCTION("""COMPUTED_VALUE"""),1.5112564E7)</f>
        <v>15112564</v>
      </c>
      <c r="I648" s="148" t="str">
        <f>IFERROR(__xludf.DUMMYFUNCTION("""COMPUTED_VALUE"""),"{""typ"":""lc"",""txt"":""LC_ITEM_time_day_upper_show"",""args"":[{""typ"":""int"",""val"":14}]}")</f>
        <v>{"typ":"lc","txt":"LC_ITEM_time_day_upper_show","args":[{"typ":"int","val":14}]}</v>
      </c>
      <c r="J648" s="148" t="str">
        <f>IFERROR(__xludf.DUMMYFUNCTION("""COMPUTED_VALUE"""),"{""typ"":""lc"",""txt"":""LC_ITEM_2025valentine_lowcity_skin_title_14day""}")</f>
        <v>{"typ":"lc","txt":"LC_ITEM_2025valentine_lowcity_skin_title_14day"}</v>
      </c>
      <c r="K648" s="148" t="str">
        <f>IFERROR(__xludf.DUMMYFUNCTION("""COMPUTED_VALUE"""),"{""typ"":""lc"",""txt"":""LC_ITEM_2025valentine_lowcity_skin_desc_14day""}")</f>
        <v>{"typ":"lc","txt":"LC_ITEM_2025valentine_lowcity_skin_desc_14day"}</v>
      </c>
      <c r="L648" s="148" t="str">
        <f>IFERROR(__xludf.DUMMYFUNCTION("""COMPUTED_VALUE"""),"{""typ"":""lc"",""txt"":""LC_ITEM_city_skin_rocket_use_tips""}")</f>
        <v>{"typ":"lc","txt":"LC_ITEM_city_skin_rocket_use_tips"}</v>
      </c>
      <c r="M648" s="148">
        <f>IFERROR(__xludf.DUMMYFUNCTION("""COMPUTED_VALUE"""),10000.0)</f>
        <v>10000</v>
      </c>
      <c r="N648" s="148">
        <f>IFERROR(__xludf.DUMMYFUNCTION("""COMPUTED_VALUE"""),999.0)</f>
        <v>999</v>
      </c>
      <c r="O648" s="148">
        <f>IFERROR(__xludf.DUMMYFUNCTION("""COMPUTED_VALUE"""),1.0)</f>
        <v>1</v>
      </c>
      <c r="P648" s="148">
        <f>IFERROR(__xludf.DUMMYFUNCTION("""COMPUTED_VALUE"""),1.0)</f>
        <v>1</v>
      </c>
      <c r="Q648" s="148" t="str">
        <f>IFERROR(__xludf.DUMMYFUNCTION("""COMPUTED_VALUE"""),"[""bag_other""]")</f>
        <v>["bag_other"]</v>
      </c>
      <c r="R648" s="148" t="str">
        <f>IFERROR(__xludf.DUMMYFUNCTION("""COMPUTED_VALUE"""),"[""bag"",""13121059""]")</f>
        <v>["bag","13121059"]</v>
      </c>
      <c r="S648" s="148" t="str">
        <f>IFERROR(__xludf.DUMMYFUNCTION("""COMPUTED_VALUE"""),"{""effect"":[{""typ"":""city_skin"",""id"":13121059,""val"":1209600000},{""typ"":""item"",""id"":11111021,""val"":7}]}")</f>
        <v>{"effect":[{"typ":"city_skin","id":13121059,"val":1209600000},{"typ":"item","id":11111021,"val":7}]}</v>
      </c>
      <c r="T648" s="148">
        <f>IFERROR(__xludf.DUMMYFUNCTION("""COMPUTED_VALUE"""),-1.0)</f>
        <v>-1</v>
      </c>
      <c r="U648" s="148">
        <f>IFERROR(__xludf.DUMMYFUNCTION("""COMPUTED_VALUE"""),0.0)</f>
        <v>0</v>
      </c>
      <c r="V648" s="148" t="str">
        <f>IFERROR(__xludf.DUMMYFUNCTION("""COMPUTED_VALUE"""),"[]")</f>
        <v>[]</v>
      </c>
      <c r="W648" s="148">
        <f>IFERROR(__xludf.DUMMYFUNCTION("""COMPUTED_VALUE"""),1.174E7)</f>
        <v>11740000</v>
      </c>
      <c r="X648" s="148">
        <f>IFERROR(__xludf.DUMMYFUNCTION("""COMPUTED_VALUE"""),0.0)</f>
        <v>0</v>
      </c>
      <c r="Y648" s="148">
        <f>IFERROR(__xludf.DUMMYFUNCTION("""COMPUTED_VALUE"""),0.0)</f>
        <v>0</v>
      </c>
      <c r="Z648" s="148"/>
    </row>
    <row r="649">
      <c r="A649" s="148">
        <f>IFERROR(__xludf.DUMMYFUNCTION("""COMPUTED_VALUE"""),1.1112443E7)</f>
        <v>11112443</v>
      </c>
      <c r="B649" s="148" t="str">
        <f>IFERROR(__xludf.DUMMYFUNCTION("""COMPUTED_VALUE"""),"2025情人节-装饰券宝箱废弃")</f>
        <v>2025情人节-装饰券宝箱废弃</v>
      </c>
      <c r="C649" s="148"/>
      <c r="D649" s="148" t="str">
        <f>IFERROR(__xludf.DUMMYFUNCTION("""COMPUTED_VALUE"""),"valentine_reward_box")</f>
        <v>valentine_reward_box</v>
      </c>
      <c r="E649" s="148">
        <f>IFERROR(__xludf.DUMMYFUNCTION("""COMPUTED_VALUE"""),19.0)</f>
        <v>19</v>
      </c>
      <c r="F649" s="148">
        <f>IFERROR(__xludf.DUMMYFUNCTION("""COMPUTED_VALUE"""),201101.0)</f>
        <v>201101</v>
      </c>
      <c r="G649" s="148">
        <f>IFERROR(__xludf.DUMMYFUNCTION("""COMPUTED_VALUE"""),1.5118225E7)</f>
        <v>15118225</v>
      </c>
      <c r="H649" s="148">
        <f>IFERROR(__xludf.DUMMYFUNCTION("""COMPUTED_VALUE"""),1.5112564E7)</f>
        <v>15112564</v>
      </c>
      <c r="I649" s="148" t="str">
        <f>IFERROR(__xludf.DUMMYFUNCTION("""COMPUTED_VALUE"""),"{}")</f>
        <v>{}</v>
      </c>
      <c r="J649" s="148" t="str">
        <f>IFERROR(__xludf.DUMMYFUNCTION("""COMPUTED_VALUE"""),"{""typ"":""lc"",""txt"":""LC_ITEM_valentine2025_fes_box_name""}")</f>
        <v>{"typ":"lc","txt":"LC_ITEM_valentine2025_fes_box_name"}</v>
      </c>
      <c r="K649" s="148" t="str">
        <f>IFERROR(__xludf.DUMMYFUNCTION("""COMPUTED_VALUE"""),"{""typ"":""lc"",""txt"":""LC_ITEM_fes_box_desc""}")</f>
        <v>{"typ":"lc","txt":"LC_ITEM_fes_box_desc"}</v>
      </c>
      <c r="L649" s="148" t="str">
        <f>IFERROR(__xludf.DUMMYFUNCTION("""COMPUTED_VALUE"""),"{""typ"":""lc"",""txt"":""LC_ITEM_horde_elite_box_usedtip""}")</f>
        <v>{"typ":"lc","txt":"LC_ITEM_horde_elite_box_usedtip"}</v>
      </c>
      <c r="M649" s="148">
        <f>IFERROR(__xludf.DUMMYFUNCTION("""COMPUTED_VALUE"""),40.0)</f>
        <v>40</v>
      </c>
      <c r="N649" s="148">
        <f>IFERROR(__xludf.DUMMYFUNCTION("""COMPUTED_VALUE"""),999999.0)</f>
        <v>999999</v>
      </c>
      <c r="O649" s="148">
        <f>IFERROR(__xludf.DUMMYFUNCTION("""COMPUTED_VALUE"""),99999.0)</f>
        <v>99999</v>
      </c>
      <c r="P649" s="148">
        <f>IFERROR(__xludf.DUMMYFUNCTION("""COMPUTED_VALUE"""),99999.0)</f>
        <v>99999</v>
      </c>
      <c r="Q649" s="148" t="str">
        <f>IFERROR(__xludf.DUMMYFUNCTION("""COMPUTED_VALUE"""),"[""bag_other""]")</f>
        <v>["bag_other"]</v>
      </c>
      <c r="R649" s="148" t="str">
        <f>IFERROR(__xludf.DUMMYFUNCTION("""COMPUTED_VALUE"""),"[""bag""]")</f>
        <v>["bag"]</v>
      </c>
      <c r="S649" s="148" t="str">
        <f>IFERROR(__xludf.DUMMYFUNCTION("""COMPUTED_VALUE"""),"{""drop"":{""typ"":""single_random"",""num"":1,""args"":[{""typ"":""item"",""id"":11112030,""num"":1000,""wgt"":19980},{""typ"":""item"",""id"":11112030,""num"":200,""wgt"":120000},{""typ"":""item"",""id"":11112030,""num"":50,""wgt"":200000},{""typ"":""it"&amp;"em"",""id"":11112439,""num"":1,""wgt"":10},{""typ"":""item"",""id"":11112080,""num"":1,""wgt"":10},{""typ"":""item"",""id"":11112030,""num"":20,""wgt"":400000},{""typ"":""item"",""id"":11112030,""num"":100,""wgt"":200000},{""typ"":""item"",""id"":11112030"&amp;",""num"":400,""wgt"":60000}]}}")</f>
        <v>{"drop":{"typ":"single_random","num":1,"args":[{"typ":"item","id":11112030,"num":1000,"wgt":19980},{"typ":"item","id":11112030,"num":200,"wgt":120000},{"typ":"item","id":11112030,"num":50,"wgt":200000},{"typ":"item","id":11112439,"num":1,"wgt":10},{"typ":"item","id":11112080,"num":1,"wgt":10},{"typ":"item","id":11112030,"num":20,"wgt":400000},{"typ":"item","id":11112030,"num":100,"wgt":200000},{"typ":"item","id":11112030,"num":400,"wgt":60000}]}}</v>
      </c>
      <c r="T649" s="148">
        <f>IFERROR(__xludf.DUMMYFUNCTION("""COMPUTED_VALUE"""),-1.0)</f>
        <v>-1</v>
      </c>
      <c r="U649" s="148">
        <f>IFERROR(__xludf.DUMMYFUNCTION("""COMPUTED_VALUE"""),0.0)</f>
        <v>0</v>
      </c>
      <c r="V649" s="148" t="str">
        <f>IFERROR(__xludf.DUMMYFUNCTION("""COMPUTED_VALUE"""),"[]")</f>
        <v>[]</v>
      </c>
      <c r="W649" s="148">
        <f>IFERROR(__xludf.DUMMYFUNCTION("""COMPUTED_VALUE"""),1.174E7)</f>
        <v>11740000</v>
      </c>
      <c r="X649" s="148">
        <f>IFERROR(__xludf.DUMMYFUNCTION("""COMPUTED_VALUE"""),0.0)</f>
        <v>0</v>
      </c>
      <c r="Y649" s="148">
        <f>IFERROR(__xludf.DUMMYFUNCTION("""COMPUTED_VALUE"""),0.0)</f>
        <v>0</v>
      </c>
      <c r="Z649" s="148"/>
    </row>
    <row r="650">
      <c r="A650" s="148">
        <f>IFERROR(__xludf.DUMMYFUNCTION("""COMPUTED_VALUE"""),1.1112444E7)</f>
        <v>11112444</v>
      </c>
      <c r="B650" s="148" t="str">
        <f>IFERROR(__xludf.DUMMYFUNCTION("""COMPUTED_VALUE"""),"情人节2025小连锁免费宝箱")</f>
        <v>情人节2025小连锁免费宝箱</v>
      </c>
      <c r="C650" s="148"/>
      <c r="D650" s="148" t="str">
        <f>IFERROR(__xludf.DUMMYFUNCTION("""COMPUTED_VALUE"""),"item_asset")</f>
        <v>item_asset</v>
      </c>
      <c r="E650" s="148">
        <f>IFERROR(__xludf.DUMMYFUNCTION("""COMPUTED_VALUE"""),19.0)</f>
        <v>19</v>
      </c>
      <c r="F650" s="148">
        <f>IFERROR(__xludf.DUMMYFUNCTION("""COMPUTED_VALUE"""),403308.0)</f>
        <v>403308</v>
      </c>
      <c r="G650" s="148">
        <f>IFERROR(__xludf.DUMMYFUNCTION("""COMPUTED_VALUE"""),1.51100669E8)</f>
        <v>151100669</v>
      </c>
      <c r="H650" s="148">
        <f>IFERROR(__xludf.DUMMYFUNCTION("""COMPUTED_VALUE"""),1.5112564E7)</f>
        <v>15112564</v>
      </c>
      <c r="I650" s="148" t="str">
        <f>IFERROR(__xludf.DUMMYFUNCTION("""COMPUTED_VALUE"""),"{}")</f>
        <v>{}</v>
      </c>
      <c r="J650" s="148" t="str">
        <f>IFERROR(__xludf.DUMMYFUNCTION("""COMPUTED_VALUE"""),"{""typ"":""lc"",""txt"":""LC_ITEM_hallo_chain_task_2024_box_name""}")</f>
        <v>{"typ":"lc","txt":"LC_ITEM_hallo_chain_task_2024_box_name"}</v>
      </c>
      <c r="K650" s="148" t="str">
        <f>IFERROR(__xludf.DUMMYFUNCTION("""COMPUTED_VALUE"""),"{""typ"":""lc"",""txt"":""LC_ITEM_hallo_chain_task_2024_box_desc""}")</f>
        <v>{"typ":"lc","txt":"LC_ITEM_hallo_chain_task_2024_box_desc"}</v>
      </c>
      <c r="L650" s="148" t="str">
        <f>IFERROR(__xludf.DUMMYFUNCTION("""COMPUTED_VALUE"""),"{}")</f>
        <v>{}</v>
      </c>
      <c r="M650" s="148">
        <f>IFERROR(__xludf.DUMMYFUNCTION("""COMPUTED_VALUE"""),135.0)</f>
        <v>135</v>
      </c>
      <c r="N650" s="148">
        <f>IFERROR(__xludf.DUMMYFUNCTION("""COMPUTED_VALUE"""),999999.0)</f>
        <v>999999</v>
      </c>
      <c r="O650" s="148">
        <f>IFERROR(__xludf.DUMMYFUNCTION("""COMPUTED_VALUE"""),99999.0)</f>
        <v>99999</v>
      </c>
      <c r="P650" s="148">
        <f>IFERROR(__xludf.DUMMYFUNCTION("""COMPUTED_VALUE"""),9999.0)</f>
        <v>9999</v>
      </c>
      <c r="Q650" s="148" t="str">
        <f>IFERROR(__xludf.DUMMYFUNCTION("""COMPUTED_VALUE"""),"[""bag_other""]")</f>
        <v>["bag_other"]</v>
      </c>
      <c r="R650" s="148" t="str">
        <f>IFERROR(__xludf.DUMMYFUNCTION("""COMPUTED_VALUE"""),"[""bag""]")</f>
        <v>["bag"]</v>
      </c>
      <c r="S650" s="148" t="str">
        <f>IFERROR(__xludf.DUMMYFUNCTION("""COMPUTED_VALUE"""),"{""drop"":{""typ"":""single_random"",""num"":1,""args"":[{""typ"":""item"",""id"":11112394,""num"":2,""wgt"":20},{""typ"":""item"",""id"":11112408,""num"":2,""wgt"":20},{""typ"":""item"",""id"":11119241,""num"":2,""wgt"":20},{""typ"":""item"",""id"":11116"&amp;"304,""num"":1,""wgt"":5},{""typ"":""item"",""id"":11116110,""num"":1,""wgt"":20},{""typ"":""item"",""id"":11114330,""num"":1,""wgt"":100},{""typ"":""item"",""id"":11111155,""num"":2,""wgt"":100},{""typ"":""item"",""id"":11111105,""num"":1,""wgt"":50}]}}")</f>
        <v>{"drop":{"typ":"single_random","num":1,"args":[{"typ":"item","id":11112394,"num":2,"wgt":20},{"typ":"item","id":11112408,"num":2,"wgt":20},{"typ":"item","id":11119241,"num":2,"wgt":20},{"typ":"item","id":11116304,"num":1,"wgt":5},{"typ":"item","id":11116110,"num":1,"wgt":20},{"typ":"item","id":11114330,"num":1,"wgt":100},{"typ":"item","id":11111155,"num":2,"wgt":100},{"typ":"item","id":11111105,"num":1,"wgt":50}]}}</v>
      </c>
      <c r="T650" s="148">
        <f>IFERROR(__xludf.DUMMYFUNCTION("""COMPUTED_VALUE"""),-1.0)</f>
        <v>-1</v>
      </c>
      <c r="U650" s="148">
        <f>IFERROR(__xludf.DUMMYFUNCTION("""COMPUTED_VALUE"""),0.0)</f>
        <v>0</v>
      </c>
      <c r="V650" s="148" t="str">
        <f>IFERROR(__xludf.DUMMYFUNCTION("""COMPUTED_VALUE"""),"[]")</f>
        <v>[]</v>
      </c>
      <c r="W650" s="148">
        <f>IFERROR(__xludf.DUMMYFUNCTION("""COMPUTED_VALUE"""),1.174E7)</f>
        <v>11740000</v>
      </c>
      <c r="X650" s="148">
        <f>IFERROR(__xludf.DUMMYFUNCTION("""COMPUTED_VALUE"""),0.0)</f>
        <v>0</v>
      </c>
      <c r="Y650" s="148">
        <f>IFERROR(__xludf.DUMMYFUNCTION("""COMPUTED_VALUE"""),0.0)</f>
        <v>0</v>
      </c>
      <c r="Z650" s="148"/>
    </row>
    <row r="651">
      <c r="A651" s="148">
        <f>IFERROR(__xludf.DUMMYFUNCTION("""COMPUTED_VALUE"""),1.1112445E7)</f>
        <v>11112445</v>
      </c>
      <c r="B651" s="148" t="str">
        <f>IFERROR(__xludf.DUMMYFUNCTION("""COMPUTED_VALUE"""),"情人节2025-送花道具")</f>
        <v>情人节2025-送花道具</v>
      </c>
      <c r="C651" s="148"/>
      <c r="D651" s="148" t="str">
        <f>IFERROR(__xludf.DUMMYFUNCTION("""COMPUTED_VALUE"""),"give_point")</f>
        <v>give_point</v>
      </c>
      <c r="E651" s="148">
        <f>IFERROR(__xludf.DUMMYFUNCTION("""COMPUTED_VALUE"""),19.0)</f>
        <v>19</v>
      </c>
      <c r="F651" s="148">
        <f>IFERROR(__xludf.DUMMYFUNCTION("""COMPUTED_VALUE"""),403308.0)</f>
        <v>403308</v>
      </c>
      <c r="G651" s="148">
        <f>IFERROR(__xludf.DUMMYFUNCTION("""COMPUTED_VALUE"""),1.51104522E8)</f>
        <v>151104522</v>
      </c>
      <c r="H651" s="148">
        <f>IFERROR(__xludf.DUMMYFUNCTION("""COMPUTED_VALUE"""),1.5112564E7)</f>
        <v>15112564</v>
      </c>
      <c r="I651" s="148" t="str">
        <f>IFERROR(__xludf.DUMMYFUNCTION("""COMPUTED_VALUE"""),"{}")</f>
        <v>{}</v>
      </c>
      <c r="J651" s="148" t="str">
        <f>IFERROR(__xludf.DUMMYFUNCTION("""COMPUTED_VALUE"""),"{""typ"":""lc"",""txt"":""LC_ITEM_valentine_chat_actv_item_name""}")</f>
        <v>{"typ":"lc","txt":"LC_ITEM_valentine_chat_actv_item_name"}</v>
      </c>
      <c r="K651" s="148" t="str">
        <f>IFERROR(__xludf.DUMMYFUNCTION("""COMPUTED_VALUE"""),"{""typ"":""lc"",""txt"":""LC_ITEM_valentine_chat_actv_item_desc""}")</f>
        <v>{"typ":"lc","txt":"LC_ITEM_valentine_chat_actv_item_desc"}</v>
      </c>
      <c r="L651" s="148" t="str">
        <f>IFERROR(__xludf.DUMMYFUNCTION("""COMPUTED_VALUE"""),"{}")</f>
        <v>{}</v>
      </c>
      <c r="M651" s="148">
        <f>IFERROR(__xludf.DUMMYFUNCTION("""COMPUTED_VALUE"""),135.0)</f>
        <v>135</v>
      </c>
      <c r="N651" s="148">
        <f>IFERROR(__xludf.DUMMYFUNCTION("""COMPUTED_VALUE"""),9999999.0)</f>
        <v>9999999</v>
      </c>
      <c r="O651" s="148">
        <f>IFERROR(__xludf.DUMMYFUNCTION("""COMPUTED_VALUE"""),9999999.0)</f>
        <v>9999999</v>
      </c>
      <c r="P651" s="148">
        <f>IFERROR(__xludf.DUMMYFUNCTION("""COMPUTED_VALUE"""),10000.0)</f>
        <v>10000</v>
      </c>
      <c r="Q651" s="148" t="str">
        <f>IFERROR(__xludf.DUMMYFUNCTION("""COMPUTED_VALUE"""),"[""bag_other""]")</f>
        <v>["bag_other"]</v>
      </c>
      <c r="R651" s="148" t="str">
        <f>IFERROR(__xludf.DUMMYFUNCTION("""COMPUTED_VALUE"""),"[""bag""]")</f>
        <v>["bag"]</v>
      </c>
      <c r="S651" s="148" t="str">
        <f>IFERROR(__xludf.DUMMYFUNCTION("""COMPUTED_VALUE"""),"{""drop"":{""typ"":""single_random"",""num"":1,""args"":[{""typ"":""item"",""id"":11112394,""num"":2,""wgt"":20},{""typ"":""item"",""id"":11112408,""num"":2,""wgt"":20},{""typ"":""item"",""id"":11119241,""num"":2,""wgt"":20},{""typ"":""item"",""id"":11116"&amp;"304,""num"":1,""wgt"":5},{""typ"":""item"",""id"":11116110,""num"":1,""wgt"":20},{""typ"":""item"",""id"":11114330,""num"":1,""wgt"":100},{""typ"":""item"",""id"":11111155,""num"":2,""wgt"":100},{""typ"":""item"",""id"":11111105,""num"":1,""wgt"":50}]},"""&amp;"effect"":[{""typ"":""actv_open"",""arg2"":[21127323]}]}")</f>
        <v>{"drop":{"typ":"single_random","num":1,"args":[{"typ":"item","id":11112394,"num":2,"wgt":20},{"typ":"item","id":11112408,"num":2,"wgt":20},{"typ":"item","id":11119241,"num":2,"wgt":20},{"typ":"item","id":11116304,"num":1,"wgt":5},{"typ":"item","id":11116110,"num":1,"wgt":20},{"typ":"item","id":11114330,"num":1,"wgt":100},{"typ":"item","id":11111155,"num":2,"wgt":100},{"typ":"item","id":11111105,"num":1,"wgt":50}]},"effect":[{"typ":"actv_open","arg2":[21127323]}]}</v>
      </c>
      <c r="T651" s="148">
        <f>IFERROR(__xludf.DUMMYFUNCTION("""COMPUTED_VALUE"""),-1.0)</f>
        <v>-1</v>
      </c>
      <c r="U651" s="148">
        <f>IFERROR(__xludf.DUMMYFUNCTION("""COMPUTED_VALUE"""),0.0)</f>
        <v>0</v>
      </c>
      <c r="V651" s="148" t="str">
        <f>IFERROR(__xludf.DUMMYFUNCTION("""COMPUTED_VALUE"""),"[]")</f>
        <v>[]</v>
      </c>
      <c r="W651" s="148">
        <f>IFERROR(__xludf.DUMMYFUNCTION("""COMPUTED_VALUE"""),1.174E7)</f>
        <v>11740000</v>
      </c>
      <c r="X651" s="148">
        <f>IFERROR(__xludf.DUMMYFUNCTION("""COMPUTED_VALUE"""),0.0)</f>
        <v>0</v>
      </c>
      <c r="Y651" s="148">
        <f>IFERROR(__xludf.DUMMYFUNCTION("""COMPUTED_VALUE"""),0.0)</f>
        <v>0</v>
      </c>
      <c r="Z651" s="148"/>
    </row>
    <row r="652">
      <c r="A652" s="148">
        <f>IFERROR(__xludf.DUMMYFUNCTION("""COMPUTED_VALUE"""),1.1112446E7)</f>
        <v>11112446</v>
      </c>
      <c r="B652" s="148" t="str">
        <f>IFERROR(__xludf.DUMMYFUNCTION("""COMPUTED_VALUE"""),"主城皮肤-情人节送花2025-男版")</f>
        <v>主城皮肤-情人节送花2025-男版</v>
      </c>
      <c r="C652" s="148"/>
      <c r="D652" s="148" t="str">
        <f>IFERROR(__xludf.DUMMYFUNCTION("""COMPUTED_VALUE"""),"city_skin")</f>
        <v>city_skin</v>
      </c>
      <c r="E652" s="148">
        <f>IFERROR(__xludf.DUMMYFUNCTION("""COMPUTED_VALUE"""),21.0)</f>
        <v>21</v>
      </c>
      <c r="F652" s="148">
        <f>IFERROR(__xludf.DUMMYFUNCTION("""COMPUTED_VALUE"""),400106.0)</f>
        <v>400106</v>
      </c>
      <c r="G652" s="148">
        <f>IFERROR(__xludf.DUMMYFUNCTION("""COMPUTED_VALUE"""),1.51101285E8)</f>
        <v>151101285</v>
      </c>
      <c r="H652" s="148">
        <f>IFERROR(__xludf.DUMMYFUNCTION("""COMPUTED_VALUE"""),1.5115983E7)</f>
        <v>15115983</v>
      </c>
      <c r="I652" s="148" t="str">
        <f>IFERROR(__xludf.DUMMYFUNCTION("""COMPUTED_VALUE"""),"{}")</f>
        <v>{}</v>
      </c>
      <c r="J652" s="148" t="str">
        <f>IFERROR(__xludf.DUMMYFUNCTION("""COMPUTED_VALUE"""),"{""typ"":""lc"",""txt"":""LC_ITEM_2025valentine_highcity_skin_couple_1_title""}")</f>
        <v>{"typ":"lc","txt":"LC_ITEM_2025valentine_highcity_skin_couple_1_title"}</v>
      </c>
      <c r="K652" s="148" t="str">
        <f>IFERROR(__xludf.DUMMYFUNCTION("""COMPUTED_VALUE"""),"{""typ"":""lc"",""txt"":""LC_ITEM_2025valentine_couple_1_desc_forever""}")</f>
        <v>{"typ":"lc","txt":"LC_ITEM_2025valentine_couple_1_desc_forever"}</v>
      </c>
      <c r="L652" s="148" t="str">
        <f>IFERROR(__xludf.DUMMYFUNCTION("""COMPUTED_VALUE"""),"{""typ"":""lc"",""txt"":""LC_ITEM_city_skin_rocket_use_tips""}")</f>
        <v>{"typ":"lc","txt":"LC_ITEM_city_skin_rocket_use_tips"}</v>
      </c>
      <c r="M652" s="148">
        <f>IFERROR(__xludf.DUMMYFUNCTION("""COMPUTED_VALUE"""),10000.0)</f>
        <v>10000</v>
      </c>
      <c r="N652" s="148">
        <f>IFERROR(__xludf.DUMMYFUNCTION("""COMPUTED_VALUE"""),999.0)</f>
        <v>999</v>
      </c>
      <c r="O652" s="148">
        <f>IFERROR(__xludf.DUMMYFUNCTION("""COMPUTED_VALUE"""),1.0)</f>
        <v>1</v>
      </c>
      <c r="P652" s="148">
        <f>IFERROR(__xludf.DUMMYFUNCTION("""COMPUTED_VALUE"""),1.0)</f>
        <v>1</v>
      </c>
      <c r="Q652" s="148" t="str">
        <f>IFERROR(__xludf.DUMMYFUNCTION("""COMPUTED_VALUE"""),"[""bag_other""]")</f>
        <v>["bag_other"]</v>
      </c>
      <c r="R652" s="148" t="str">
        <f>IFERROR(__xludf.DUMMYFUNCTION("""COMPUTED_VALUE"""),"[""bag"",""13121061""]")</f>
        <v>["bag","13121061"]</v>
      </c>
      <c r="S652" s="148" t="str">
        <f>IFERROR(__xludf.DUMMYFUNCTION("""COMPUTED_VALUE"""),"{""effect"":[{""typ"":""city_skin"",""id"":13121061,""val"":-1},{""typ"":""item"",""id"":11111034,""val"":10}]}")</f>
        <v>{"effect":[{"typ":"city_skin","id":13121061,"val":-1},{"typ":"item","id":11111034,"val":10}]}</v>
      </c>
      <c r="T652" s="148">
        <f>IFERROR(__xludf.DUMMYFUNCTION("""COMPUTED_VALUE"""),-1.0)</f>
        <v>-1</v>
      </c>
      <c r="U652" s="148">
        <f>IFERROR(__xludf.DUMMYFUNCTION("""COMPUTED_VALUE"""),0.0)</f>
        <v>0</v>
      </c>
      <c r="V652" s="148" t="str">
        <f>IFERROR(__xludf.DUMMYFUNCTION("""COMPUTED_VALUE"""),"[]")</f>
        <v>[]</v>
      </c>
      <c r="W652" s="148">
        <f>IFERROR(__xludf.DUMMYFUNCTION("""COMPUTED_VALUE"""),1.174E7)</f>
        <v>11740000</v>
      </c>
      <c r="X652" s="148">
        <f>IFERROR(__xludf.DUMMYFUNCTION("""COMPUTED_VALUE"""),0.0)</f>
        <v>0</v>
      </c>
      <c r="Y652" s="148">
        <f>IFERROR(__xludf.DUMMYFUNCTION("""COMPUTED_VALUE"""),0.0)</f>
        <v>0</v>
      </c>
      <c r="Z652" s="148"/>
    </row>
    <row r="653">
      <c r="A653" s="148">
        <f>IFERROR(__xludf.DUMMYFUNCTION("""COMPUTED_VALUE"""),1.1112447E7)</f>
        <v>11112447</v>
      </c>
      <c r="B653" s="148" t="str">
        <f>IFERROR(__xludf.DUMMYFUNCTION("""COMPUTED_VALUE"""),"主城皮肤-情人节送花2025-男版-7天")</f>
        <v>主城皮肤-情人节送花2025-男版-7天</v>
      </c>
      <c r="C653" s="148"/>
      <c r="D653" s="148" t="str">
        <f>IFERROR(__xludf.DUMMYFUNCTION("""COMPUTED_VALUE"""),"city_skin")</f>
        <v>city_skin</v>
      </c>
      <c r="E653" s="148">
        <f>IFERROR(__xludf.DUMMYFUNCTION("""COMPUTED_VALUE"""),21.0)</f>
        <v>21</v>
      </c>
      <c r="F653" s="148">
        <f>IFERROR(__xludf.DUMMYFUNCTION("""COMPUTED_VALUE"""),400106.0)</f>
        <v>400106</v>
      </c>
      <c r="G653" s="148">
        <f>IFERROR(__xludf.DUMMYFUNCTION("""COMPUTED_VALUE"""),1.51101285E8)</f>
        <v>151101285</v>
      </c>
      <c r="H653" s="148">
        <f>IFERROR(__xludf.DUMMYFUNCTION("""COMPUTED_VALUE"""),1.5112564E7)</f>
        <v>15112564</v>
      </c>
      <c r="I653" s="148" t="str">
        <f>IFERROR(__xludf.DUMMYFUNCTION("""COMPUTED_VALUE"""),"{""typ"":""lc"",""txt"":""LC_ITEM_time_day_upper_show"",""args"":[{""typ"":""int"",""val"":7}]}")</f>
        <v>{"typ":"lc","txt":"LC_ITEM_time_day_upper_show","args":[{"typ":"int","val":7}]}</v>
      </c>
      <c r="J653" s="148" t="str">
        <f>IFERROR(__xludf.DUMMYFUNCTION("""COMPUTED_VALUE"""),"{""typ"":""lc"",""txt"":""LC_ITEM_2025valentine_highcity_skin_couple_1_title_7day""}")</f>
        <v>{"typ":"lc","txt":"LC_ITEM_2025valentine_highcity_skin_couple_1_title_7day"}</v>
      </c>
      <c r="K653" s="148" t="str">
        <f>IFERROR(__xludf.DUMMYFUNCTION("""COMPUTED_VALUE"""),"{""typ"":""lc"",""txt"":""LC_ITEM_2025valentine_couple_1_desc_7day""}")</f>
        <v>{"typ":"lc","txt":"LC_ITEM_2025valentine_couple_1_desc_7day"}</v>
      </c>
      <c r="L653" s="148" t="str">
        <f>IFERROR(__xludf.DUMMYFUNCTION("""COMPUTED_VALUE"""),"{""typ"":""lc"",""txt"":""LC_ITEM_city_skin_rocket_use_tips""}")</f>
        <v>{"typ":"lc","txt":"LC_ITEM_city_skin_rocket_use_tips"}</v>
      </c>
      <c r="M653" s="148">
        <f>IFERROR(__xludf.DUMMYFUNCTION("""COMPUTED_VALUE"""),10000.0)</f>
        <v>10000</v>
      </c>
      <c r="N653" s="148">
        <f>IFERROR(__xludf.DUMMYFUNCTION("""COMPUTED_VALUE"""),999.0)</f>
        <v>999</v>
      </c>
      <c r="O653" s="148">
        <f>IFERROR(__xludf.DUMMYFUNCTION("""COMPUTED_VALUE"""),1.0)</f>
        <v>1</v>
      </c>
      <c r="P653" s="148">
        <f>IFERROR(__xludf.DUMMYFUNCTION("""COMPUTED_VALUE"""),1.0)</f>
        <v>1</v>
      </c>
      <c r="Q653" s="148" t="str">
        <f>IFERROR(__xludf.DUMMYFUNCTION("""COMPUTED_VALUE"""),"[""bag_other""]")</f>
        <v>["bag_other"]</v>
      </c>
      <c r="R653" s="148" t="str">
        <f>IFERROR(__xludf.DUMMYFUNCTION("""COMPUTED_VALUE"""),"[""bag"",""13121061""]")</f>
        <v>["bag","13121061"]</v>
      </c>
      <c r="S653" s="148" t="str">
        <f>IFERROR(__xludf.DUMMYFUNCTION("""COMPUTED_VALUE"""),"{""effect"":[{""typ"":""city_skin"",""id"":13121061,""val"":604800000},{""typ"":""item"",""id"":11111021,""val"":3}]}")</f>
        <v>{"effect":[{"typ":"city_skin","id":13121061,"val":604800000},{"typ":"item","id":11111021,"val":3}]}</v>
      </c>
      <c r="T653" s="148">
        <f>IFERROR(__xludf.DUMMYFUNCTION("""COMPUTED_VALUE"""),-1.0)</f>
        <v>-1</v>
      </c>
      <c r="U653" s="148">
        <f>IFERROR(__xludf.DUMMYFUNCTION("""COMPUTED_VALUE"""),0.0)</f>
        <v>0</v>
      </c>
      <c r="V653" s="148" t="str">
        <f>IFERROR(__xludf.DUMMYFUNCTION("""COMPUTED_VALUE"""),"[]")</f>
        <v>[]</v>
      </c>
      <c r="W653" s="148">
        <f>IFERROR(__xludf.DUMMYFUNCTION("""COMPUTED_VALUE"""),1.174E7)</f>
        <v>11740000</v>
      </c>
      <c r="X653" s="148">
        <f>IFERROR(__xludf.DUMMYFUNCTION("""COMPUTED_VALUE"""),0.0)</f>
        <v>0</v>
      </c>
      <c r="Y653" s="148">
        <f>IFERROR(__xludf.DUMMYFUNCTION("""COMPUTED_VALUE"""),0.0)</f>
        <v>0</v>
      </c>
      <c r="Z653" s="148"/>
    </row>
    <row r="654">
      <c r="A654" s="148">
        <f>IFERROR(__xludf.DUMMYFUNCTION("""COMPUTED_VALUE"""),1.1112448E7)</f>
        <v>11112448</v>
      </c>
      <c r="B654" s="148" t="str">
        <f>IFERROR(__xludf.DUMMYFUNCTION("""COMPUTED_VALUE"""),"主城皮肤-情人节送花2025-男版-14天")</f>
        <v>主城皮肤-情人节送花2025-男版-14天</v>
      </c>
      <c r="C654" s="148"/>
      <c r="D654" s="148" t="str">
        <f>IFERROR(__xludf.DUMMYFUNCTION("""COMPUTED_VALUE"""),"city_skin")</f>
        <v>city_skin</v>
      </c>
      <c r="E654" s="148">
        <f>IFERROR(__xludf.DUMMYFUNCTION("""COMPUTED_VALUE"""),21.0)</f>
        <v>21</v>
      </c>
      <c r="F654" s="148">
        <f>IFERROR(__xludf.DUMMYFUNCTION("""COMPUTED_VALUE"""),400106.0)</f>
        <v>400106</v>
      </c>
      <c r="G654" s="148">
        <f>IFERROR(__xludf.DUMMYFUNCTION("""COMPUTED_VALUE"""),1.51101285E8)</f>
        <v>151101285</v>
      </c>
      <c r="H654" s="148">
        <f>IFERROR(__xludf.DUMMYFUNCTION("""COMPUTED_VALUE"""),1.5112564E7)</f>
        <v>15112564</v>
      </c>
      <c r="I654" s="148" t="str">
        <f>IFERROR(__xludf.DUMMYFUNCTION("""COMPUTED_VALUE"""),"{""typ"":""lc"",""txt"":""LC_ITEM_time_day_upper_show"",""args"":[{""typ"":""int"",""val"":14}]}")</f>
        <v>{"typ":"lc","txt":"LC_ITEM_time_day_upper_show","args":[{"typ":"int","val":14}]}</v>
      </c>
      <c r="J654" s="148" t="str">
        <f>IFERROR(__xludf.DUMMYFUNCTION("""COMPUTED_VALUE"""),"{""typ"":""lc"",""txt"":""LC_ITEM_2025valentine_highcity_skin_couple_1_title_14day""}")</f>
        <v>{"typ":"lc","txt":"LC_ITEM_2025valentine_highcity_skin_couple_1_title_14day"}</v>
      </c>
      <c r="K654" s="148" t="str">
        <f>IFERROR(__xludf.DUMMYFUNCTION("""COMPUTED_VALUE"""),"{""typ"":""lc"",""txt"":""LC_ITEM_2025valentine_couple_1_desc_14day""}")</f>
        <v>{"typ":"lc","txt":"LC_ITEM_2025valentine_couple_1_desc_14day"}</v>
      </c>
      <c r="L654" s="148" t="str">
        <f>IFERROR(__xludf.DUMMYFUNCTION("""COMPUTED_VALUE"""),"{""typ"":""lc"",""txt"":""LC_ITEM_city_skin_rocket_use_tips""}")</f>
        <v>{"typ":"lc","txt":"LC_ITEM_city_skin_rocket_use_tips"}</v>
      </c>
      <c r="M654" s="148">
        <f>IFERROR(__xludf.DUMMYFUNCTION("""COMPUTED_VALUE"""),10000.0)</f>
        <v>10000</v>
      </c>
      <c r="N654" s="148">
        <f>IFERROR(__xludf.DUMMYFUNCTION("""COMPUTED_VALUE"""),999.0)</f>
        <v>999</v>
      </c>
      <c r="O654" s="148">
        <f>IFERROR(__xludf.DUMMYFUNCTION("""COMPUTED_VALUE"""),1.0)</f>
        <v>1</v>
      </c>
      <c r="P654" s="148">
        <f>IFERROR(__xludf.DUMMYFUNCTION("""COMPUTED_VALUE"""),1.0)</f>
        <v>1</v>
      </c>
      <c r="Q654" s="148" t="str">
        <f>IFERROR(__xludf.DUMMYFUNCTION("""COMPUTED_VALUE"""),"[""bag_other""]")</f>
        <v>["bag_other"]</v>
      </c>
      <c r="R654" s="148" t="str">
        <f>IFERROR(__xludf.DUMMYFUNCTION("""COMPUTED_VALUE"""),"[""bag"",""13121061""]")</f>
        <v>["bag","13121061"]</v>
      </c>
      <c r="S654" s="148" t="str">
        <f>IFERROR(__xludf.DUMMYFUNCTION("""COMPUTED_VALUE"""),"{""effect"":[{""typ"":""city_skin"",""id"":13121061,""val"":1209600000},{""typ"":""item"",""id"":11111021,""val"":7}]}")</f>
        <v>{"effect":[{"typ":"city_skin","id":13121061,"val":1209600000},{"typ":"item","id":11111021,"val":7}]}</v>
      </c>
      <c r="T654" s="148">
        <f>IFERROR(__xludf.DUMMYFUNCTION("""COMPUTED_VALUE"""),-1.0)</f>
        <v>-1</v>
      </c>
      <c r="U654" s="148">
        <f>IFERROR(__xludf.DUMMYFUNCTION("""COMPUTED_VALUE"""),0.0)</f>
        <v>0</v>
      </c>
      <c r="V654" s="148" t="str">
        <f>IFERROR(__xludf.DUMMYFUNCTION("""COMPUTED_VALUE"""),"[]")</f>
        <v>[]</v>
      </c>
      <c r="W654" s="148">
        <f>IFERROR(__xludf.DUMMYFUNCTION("""COMPUTED_VALUE"""),1.174E7)</f>
        <v>11740000</v>
      </c>
      <c r="X654" s="148">
        <f>IFERROR(__xludf.DUMMYFUNCTION("""COMPUTED_VALUE"""),0.0)</f>
        <v>0</v>
      </c>
      <c r="Y654" s="148">
        <f>IFERROR(__xludf.DUMMYFUNCTION("""COMPUTED_VALUE"""),0.0)</f>
        <v>0</v>
      </c>
      <c r="Z654" s="148"/>
    </row>
    <row r="655">
      <c r="A655" s="148">
        <f>IFERROR(__xludf.DUMMYFUNCTION("""COMPUTED_VALUE"""),1.1112449E7)</f>
        <v>11112449</v>
      </c>
      <c r="B655" s="148" t="str">
        <f>IFERROR(__xludf.DUMMYFUNCTION("""COMPUTED_VALUE"""),"主城皮肤-情人节送花2025-女版")</f>
        <v>主城皮肤-情人节送花2025-女版</v>
      </c>
      <c r="C655" s="148"/>
      <c r="D655" s="148" t="str">
        <f>IFERROR(__xludf.DUMMYFUNCTION("""COMPUTED_VALUE"""),"city_skin")</f>
        <v>city_skin</v>
      </c>
      <c r="E655" s="148">
        <f>IFERROR(__xludf.DUMMYFUNCTION("""COMPUTED_VALUE"""),21.0)</f>
        <v>21</v>
      </c>
      <c r="F655" s="148">
        <f>IFERROR(__xludf.DUMMYFUNCTION("""COMPUTED_VALUE"""),404201.0)</f>
        <v>404201</v>
      </c>
      <c r="G655" s="148">
        <f>IFERROR(__xludf.DUMMYFUNCTION("""COMPUTED_VALUE"""),1.51101287E8)</f>
        <v>151101287</v>
      </c>
      <c r="H655" s="148">
        <f>IFERROR(__xludf.DUMMYFUNCTION("""COMPUTED_VALUE"""),1.5115983E7)</f>
        <v>15115983</v>
      </c>
      <c r="I655" s="148" t="str">
        <f>IFERROR(__xludf.DUMMYFUNCTION("""COMPUTED_VALUE"""),"{}")</f>
        <v>{}</v>
      </c>
      <c r="J655" s="148" t="str">
        <f>IFERROR(__xludf.DUMMYFUNCTION("""COMPUTED_VALUE"""),"{""typ"":""lc"",""txt"":""LC_ITEM_2025valentine_highcity_skin_couple_2_title""}")</f>
        <v>{"typ":"lc","txt":"LC_ITEM_2025valentine_highcity_skin_couple_2_title"}</v>
      </c>
      <c r="K655" s="148" t="str">
        <f>IFERROR(__xludf.DUMMYFUNCTION("""COMPUTED_VALUE"""),"{""typ"":""lc"",""txt"":""LC_ITEM_2025valentine_couple_2_desc_forever""}")</f>
        <v>{"typ":"lc","txt":"LC_ITEM_2025valentine_couple_2_desc_forever"}</v>
      </c>
      <c r="L655" s="148" t="str">
        <f>IFERROR(__xludf.DUMMYFUNCTION("""COMPUTED_VALUE"""),"{""typ"":""lc"",""txt"":""LC_ITEM_city_skin_rocket_use_tips""}")</f>
        <v>{"typ":"lc","txt":"LC_ITEM_city_skin_rocket_use_tips"}</v>
      </c>
      <c r="M655" s="148">
        <f>IFERROR(__xludf.DUMMYFUNCTION("""COMPUTED_VALUE"""),10000.0)</f>
        <v>10000</v>
      </c>
      <c r="N655" s="148">
        <f>IFERROR(__xludf.DUMMYFUNCTION("""COMPUTED_VALUE"""),999.0)</f>
        <v>999</v>
      </c>
      <c r="O655" s="148">
        <f>IFERROR(__xludf.DUMMYFUNCTION("""COMPUTED_VALUE"""),1.0)</f>
        <v>1</v>
      </c>
      <c r="P655" s="148">
        <f>IFERROR(__xludf.DUMMYFUNCTION("""COMPUTED_VALUE"""),1.0)</f>
        <v>1</v>
      </c>
      <c r="Q655" s="148" t="str">
        <f>IFERROR(__xludf.DUMMYFUNCTION("""COMPUTED_VALUE"""),"[""bag_other""]")</f>
        <v>["bag_other"]</v>
      </c>
      <c r="R655" s="148" t="str">
        <f>IFERROR(__xludf.DUMMYFUNCTION("""COMPUTED_VALUE"""),"[""bag"",""13121061""]")</f>
        <v>["bag","13121061"]</v>
      </c>
      <c r="S655" s="148" t="str">
        <f>IFERROR(__xludf.DUMMYFUNCTION("""COMPUTED_VALUE"""),"{""effect"":[{""typ"":""city_skin"",""id"":13121062,""val"":-1},{""typ"":""item"",""id"":11111034,""val"":10}]}")</f>
        <v>{"effect":[{"typ":"city_skin","id":13121062,"val":-1},{"typ":"item","id":11111034,"val":10}]}</v>
      </c>
      <c r="T655" s="148">
        <f>IFERROR(__xludf.DUMMYFUNCTION("""COMPUTED_VALUE"""),-1.0)</f>
        <v>-1</v>
      </c>
      <c r="U655" s="148">
        <f>IFERROR(__xludf.DUMMYFUNCTION("""COMPUTED_VALUE"""),0.0)</f>
        <v>0</v>
      </c>
      <c r="V655" s="148" t="str">
        <f>IFERROR(__xludf.DUMMYFUNCTION("""COMPUTED_VALUE"""),"[]")</f>
        <v>[]</v>
      </c>
      <c r="W655" s="148">
        <f>IFERROR(__xludf.DUMMYFUNCTION("""COMPUTED_VALUE"""),1.174E7)</f>
        <v>11740000</v>
      </c>
      <c r="X655" s="148">
        <f>IFERROR(__xludf.DUMMYFUNCTION("""COMPUTED_VALUE"""),0.0)</f>
        <v>0</v>
      </c>
      <c r="Y655" s="148">
        <f>IFERROR(__xludf.DUMMYFUNCTION("""COMPUTED_VALUE"""),0.0)</f>
        <v>0</v>
      </c>
      <c r="Z655" s="148"/>
    </row>
    <row r="656">
      <c r="A656" s="148">
        <f>IFERROR(__xludf.DUMMYFUNCTION("""COMPUTED_VALUE"""),1.111245E7)</f>
        <v>11112450</v>
      </c>
      <c r="B656" s="148" t="str">
        <f>IFERROR(__xludf.DUMMYFUNCTION("""COMPUTED_VALUE"""),"主城皮肤-情人节送花2025-女版-7天")</f>
        <v>主城皮肤-情人节送花2025-女版-7天</v>
      </c>
      <c r="C656" s="148"/>
      <c r="D656" s="148" t="str">
        <f>IFERROR(__xludf.DUMMYFUNCTION("""COMPUTED_VALUE"""),"city_skin")</f>
        <v>city_skin</v>
      </c>
      <c r="E656" s="148">
        <f>IFERROR(__xludf.DUMMYFUNCTION("""COMPUTED_VALUE"""),21.0)</f>
        <v>21</v>
      </c>
      <c r="F656" s="148">
        <f>IFERROR(__xludf.DUMMYFUNCTION("""COMPUTED_VALUE"""),404201.0)</f>
        <v>404201</v>
      </c>
      <c r="G656" s="148">
        <f>IFERROR(__xludf.DUMMYFUNCTION("""COMPUTED_VALUE"""),1.51101287E8)</f>
        <v>151101287</v>
      </c>
      <c r="H656" s="148">
        <f>IFERROR(__xludf.DUMMYFUNCTION("""COMPUTED_VALUE"""),1.5112564E7)</f>
        <v>15112564</v>
      </c>
      <c r="I656" s="148" t="str">
        <f>IFERROR(__xludf.DUMMYFUNCTION("""COMPUTED_VALUE"""),"{""typ"":""lc"",""txt"":""LC_ITEM_time_day_upper_show"",""args"":[{""typ"":""int"",""val"":7}]}")</f>
        <v>{"typ":"lc","txt":"LC_ITEM_time_day_upper_show","args":[{"typ":"int","val":7}]}</v>
      </c>
      <c r="J656" s="148" t="str">
        <f>IFERROR(__xludf.DUMMYFUNCTION("""COMPUTED_VALUE"""),"{""typ"":""lc"",""txt"":""LC_ITEM_2025valentine_highcity_skin_couple_2_title_7day""}")</f>
        <v>{"typ":"lc","txt":"LC_ITEM_2025valentine_highcity_skin_couple_2_title_7day"}</v>
      </c>
      <c r="K656" s="148" t="str">
        <f>IFERROR(__xludf.DUMMYFUNCTION("""COMPUTED_VALUE"""),"{""typ"":""lc"",""txt"":""LC_ITEM_2025valentine_couple_2_desc_7day""}")</f>
        <v>{"typ":"lc","txt":"LC_ITEM_2025valentine_couple_2_desc_7day"}</v>
      </c>
      <c r="L656" s="148" t="str">
        <f>IFERROR(__xludf.DUMMYFUNCTION("""COMPUTED_VALUE"""),"{""typ"":""lc"",""txt"":""LC_ITEM_city_skin_rocket_use_tips""}")</f>
        <v>{"typ":"lc","txt":"LC_ITEM_city_skin_rocket_use_tips"}</v>
      </c>
      <c r="M656" s="148">
        <f>IFERROR(__xludf.DUMMYFUNCTION("""COMPUTED_VALUE"""),10000.0)</f>
        <v>10000</v>
      </c>
      <c r="N656" s="148">
        <f>IFERROR(__xludf.DUMMYFUNCTION("""COMPUTED_VALUE"""),999.0)</f>
        <v>999</v>
      </c>
      <c r="O656" s="148">
        <f>IFERROR(__xludf.DUMMYFUNCTION("""COMPUTED_VALUE"""),1.0)</f>
        <v>1</v>
      </c>
      <c r="P656" s="148">
        <f>IFERROR(__xludf.DUMMYFUNCTION("""COMPUTED_VALUE"""),1.0)</f>
        <v>1</v>
      </c>
      <c r="Q656" s="148" t="str">
        <f>IFERROR(__xludf.DUMMYFUNCTION("""COMPUTED_VALUE"""),"[""bag_other""]")</f>
        <v>["bag_other"]</v>
      </c>
      <c r="R656" s="148" t="str">
        <f>IFERROR(__xludf.DUMMYFUNCTION("""COMPUTED_VALUE"""),"[""bag"",""13121062""]")</f>
        <v>["bag","13121062"]</v>
      </c>
      <c r="S656" s="148" t="str">
        <f>IFERROR(__xludf.DUMMYFUNCTION("""COMPUTED_VALUE"""),"{""effect"":[{""typ"":""city_skin"",""id"":13121062,""val"":604800000},{""typ"":""item"",""id"":11111021,""val"":3}]}")</f>
        <v>{"effect":[{"typ":"city_skin","id":13121062,"val":604800000},{"typ":"item","id":11111021,"val":3}]}</v>
      </c>
      <c r="T656" s="148">
        <f>IFERROR(__xludf.DUMMYFUNCTION("""COMPUTED_VALUE"""),-1.0)</f>
        <v>-1</v>
      </c>
      <c r="U656" s="148">
        <f>IFERROR(__xludf.DUMMYFUNCTION("""COMPUTED_VALUE"""),0.0)</f>
        <v>0</v>
      </c>
      <c r="V656" s="148" t="str">
        <f>IFERROR(__xludf.DUMMYFUNCTION("""COMPUTED_VALUE"""),"[]")</f>
        <v>[]</v>
      </c>
      <c r="W656" s="148">
        <f>IFERROR(__xludf.DUMMYFUNCTION("""COMPUTED_VALUE"""),1.174E7)</f>
        <v>11740000</v>
      </c>
      <c r="X656" s="148">
        <f>IFERROR(__xludf.DUMMYFUNCTION("""COMPUTED_VALUE"""),0.0)</f>
        <v>0</v>
      </c>
      <c r="Y656" s="148">
        <f>IFERROR(__xludf.DUMMYFUNCTION("""COMPUTED_VALUE"""),0.0)</f>
        <v>0</v>
      </c>
      <c r="Z656" s="148"/>
    </row>
    <row r="657">
      <c r="A657" s="148">
        <f>IFERROR(__xludf.DUMMYFUNCTION("""COMPUTED_VALUE"""),1.1112451E7)</f>
        <v>11112451</v>
      </c>
      <c r="B657" s="148" t="str">
        <f>IFERROR(__xludf.DUMMYFUNCTION("""COMPUTED_VALUE"""),"主城皮肤-情人节送花2025-女版-14天")</f>
        <v>主城皮肤-情人节送花2025-女版-14天</v>
      </c>
      <c r="C657" s="148"/>
      <c r="D657" s="148" t="str">
        <f>IFERROR(__xludf.DUMMYFUNCTION("""COMPUTED_VALUE"""),"city_skin")</f>
        <v>city_skin</v>
      </c>
      <c r="E657" s="148">
        <f>IFERROR(__xludf.DUMMYFUNCTION("""COMPUTED_VALUE"""),21.0)</f>
        <v>21</v>
      </c>
      <c r="F657" s="148">
        <f>IFERROR(__xludf.DUMMYFUNCTION("""COMPUTED_VALUE"""),404201.0)</f>
        <v>404201</v>
      </c>
      <c r="G657" s="148">
        <f>IFERROR(__xludf.DUMMYFUNCTION("""COMPUTED_VALUE"""),1.51101287E8)</f>
        <v>151101287</v>
      </c>
      <c r="H657" s="148">
        <f>IFERROR(__xludf.DUMMYFUNCTION("""COMPUTED_VALUE"""),1.5112564E7)</f>
        <v>15112564</v>
      </c>
      <c r="I657" s="148" t="str">
        <f>IFERROR(__xludf.DUMMYFUNCTION("""COMPUTED_VALUE"""),"{""typ"":""lc"",""txt"":""LC_ITEM_time_day_upper_show"",""args"":[{""typ"":""int"",""val"":14}]}")</f>
        <v>{"typ":"lc","txt":"LC_ITEM_time_day_upper_show","args":[{"typ":"int","val":14}]}</v>
      </c>
      <c r="J657" s="148" t="str">
        <f>IFERROR(__xludf.DUMMYFUNCTION("""COMPUTED_VALUE"""),"{""typ"":""lc"",""txt"":""LC_ITEM_2025valentine_highcity_skin_couple_2_title_14day""}")</f>
        <v>{"typ":"lc","txt":"LC_ITEM_2025valentine_highcity_skin_couple_2_title_14day"}</v>
      </c>
      <c r="K657" s="148" t="str">
        <f>IFERROR(__xludf.DUMMYFUNCTION("""COMPUTED_VALUE"""),"{""typ"":""lc"",""txt"":""LC_ITEM_2025valentine_couple_2_desc_14day""}")</f>
        <v>{"typ":"lc","txt":"LC_ITEM_2025valentine_couple_2_desc_14day"}</v>
      </c>
      <c r="L657" s="148" t="str">
        <f>IFERROR(__xludf.DUMMYFUNCTION("""COMPUTED_VALUE"""),"{""typ"":""lc"",""txt"":""LC_ITEM_city_skin_rocket_use_tips""}")</f>
        <v>{"typ":"lc","txt":"LC_ITEM_city_skin_rocket_use_tips"}</v>
      </c>
      <c r="M657" s="148">
        <f>IFERROR(__xludf.DUMMYFUNCTION("""COMPUTED_VALUE"""),10000.0)</f>
        <v>10000</v>
      </c>
      <c r="N657" s="148">
        <f>IFERROR(__xludf.DUMMYFUNCTION("""COMPUTED_VALUE"""),999.0)</f>
        <v>999</v>
      </c>
      <c r="O657" s="148">
        <f>IFERROR(__xludf.DUMMYFUNCTION("""COMPUTED_VALUE"""),1.0)</f>
        <v>1</v>
      </c>
      <c r="P657" s="148">
        <f>IFERROR(__xludf.DUMMYFUNCTION("""COMPUTED_VALUE"""),1.0)</f>
        <v>1</v>
      </c>
      <c r="Q657" s="148" t="str">
        <f>IFERROR(__xludf.DUMMYFUNCTION("""COMPUTED_VALUE"""),"[""bag_other""]")</f>
        <v>["bag_other"]</v>
      </c>
      <c r="R657" s="148" t="str">
        <f>IFERROR(__xludf.DUMMYFUNCTION("""COMPUTED_VALUE"""),"[""bag"",""13121062""]")</f>
        <v>["bag","13121062"]</v>
      </c>
      <c r="S657" s="148" t="str">
        <f>IFERROR(__xludf.DUMMYFUNCTION("""COMPUTED_VALUE"""),"{""effect"":[{""typ"":""city_skin"",""id"":13121062,""val"":1209600000},{""typ"":""item"",""id"":11111021,""val"":7}]}")</f>
        <v>{"effect":[{"typ":"city_skin","id":13121062,"val":1209600000},{"typ":"item","id":11111021,"val":7}]}</v>
      </c>
      <c r="T657" s="148">
        <f>IFERROR(__xludf.DUMMYFUNCTION("""COMPUTED_VALUE"""),-1.0)</f>
        <v>-1</v>
      </c>
      <c r="U657" s="148">
        <f>IFERROR(__xludf.DUMMYFUNCTION("""COMPUTED_VALUE"""),0.0)</f>
        <v>0</v>
      </c>
      <c r="V657" s="148" t="str">
        <f>IFERROR(__xludf.DUMMYFUNCTION("""COMPUTED_VALUE"""),"[]")</f>
        <v>[]</v>
      </c>
      <c r="W657" s="148">
        <f>IFERROR(__xludf.DUMMYFUNCTION("""COMPUTED_VALUE"""),1.174E7)</f>
        <v>11740000</v>
      </c>
      <c r="X657" s="148">
        <f>IFERROR(__xludf.DUMMYFUNCTION("""COMPUTED_VALUE"""),0.0)</f>
        <v>0</v>
      </c>
      <c r="Y657" s="148">
        <f>IFERROR(__xludf.DUMMYFUNCTION("""COMPUTED_VALUE"""),0.0)</f>
        <v>0</v>
      </c>
      <c r="Z657" s="148"/>
    </row>
    <row r="658">
      <c r="A658" s="148">
        <f>IFERROR(__xludf.DUMMYFUNCTION("""COMPUTED_VALUE"""),1.1112452E7)</f>
        <v>11112452</v>
      </c>
      <c r="B658" s="148" t="str">
        <f>IFERROR(__xludf.DUMMYFUNCTION("""COMPUTED_VALUE"""),"情人节2025-收花道具")</f>
        <v>情人节2025-收花道具</v>
      </c>
      <c r="C658" s="148"/>
      <c r="D658" s="148" t="str">
        <f>IFERROR(__xludf.DUMMYFUNCTION("""COMPUTED_VALUE"""),"event")</f>
        <v>event</v>
      </c>
      <c r="E658" s="148">
        <f>IFERROR(__xludf.DUMMYFUNCTION("""COMPUTED_VALUE"""),0.0)</f>
        <v>0</v>
      </c>
      <c r="F658" s="148">
        <f>IFERROR(__xludf.DUMMYFUNCTION("""COMPUTED_VALUE"""),405243.0)</f>
        <v>405243</v>
      </c>
      <c r="G658" s="148">
        <f>IFERROR(__xludf.DUMMYFUNCTION("""COMPUTED_VALUE"""),1.51101314E8)</f>
        <v>151101314</v>
      </c>
      <c r="H658" s="148">
        <f>IFERROR(__xludf.DUMMYFUNCTION("""COMPUTED_VALUE"""),1.5112564E7)</f>
        <v>15112564</v>
      </c>
      <c r="I658" s="148" t="str">
        <f>IFERROR(__xludf.DUMMYFUNCTION("""COMPUTED_VALUE"""),"{}")</f>
        <v>{}</v>
      </c>
      <c r="J658" s="148" t="str">
        <f>IFERROR(__xludf.DUMMYFUNCTION("""COMPUTED_VALUE"""),"{""typ"":""lc"",""txt"":""LC_ITEM_2025lunar_dec_item_2""}")</f>
        <v>{"typ":"lc","txt":"LC_ITEM_2025lunar_dec_item_2"}</v>
      </c>
      <c r="K658" s="148" t="str">
        <f>IFERROR(__xludf.DUMMYFUNCTION("""COMPUTED_VALUE"""),"{""typ"":""lc"",""txt"":""LC_ITEM_2025lunar_dec_item_3_desc""}")</f>
        <v>{"typ":"lc","txt":"LC_ITEM_2025lunar_dec_item_3_desc"}</v>
      </c>
      <c r="L658" s="148" t="str">
        <f>IFERROR(__xludf.DUMMYFUNCTION("""COMPUTED_VALUE"""),"{}")</f>
        <v>{}</v>
      </c>
      <c r="M658" s="148">
        <f>IFERROR(__xludf.DUMMYFUNCTION("""COMPUTED_VALUE"""),1000.0)</f>
        <v>1000</v>
      </c>
      <c r="N658" s="148">
        <f>IFERROR(__xludf.DUMMYFUNCTION("""COMPUTED_VALUE"""),9999999.0)</f>
        <v>9999999</v>
      </c>
      <c r="O658" s="148">
        <f>IFERROR(__xludf.DUMMYFUNCTION("""COMPUTED_VALUE"""),9999999.0)</f>
        <v>9999999</v>
      </c>
      <c r="P658" s="148">
        <f>IFERROR(__xludf.DUMMYFUNCTION("""COMPUTED_VALUE"""),10000.0)</f>
        <v>10000</v>
      </c>
      <c r="Q658" s="148" t="str">
        <f>IFERROR(__xludf.DUMMYFUNCTION("""COMPUTED_VALUE"""),"[""bag_other""]")</f>
        <v>["bag_other"]</v>
      </c>
      <c r="R658" s="148" t="str">
        <f>IFERROR(__xludf.DUMMYFUNCTION("""COMPUTED_VALUE"""),"[]")</f>
        <v>[]</v>
      </c>
      <c r="S658" s="148" t="str">
        <f>IFERROR(__xludf.DUMMYFUNCTION("""COMPUTED_VALUE"""),"{}")</f>
        <v>{}</v>
      </c>
      <c r="T658" s="148">
        <f>IFERROR(__xludf.DUMMYFUNCTION("""COMPUTED_VALUE"""),-1.0)</f>
        <v>-1</v>
      </c>
      <c r="U658" s="148">
        <f>IFERROR(__xludf.DUMMYFUNCTION("""COMPUTED_VALUE"""),1.0)</f>
        <v>1</v>
      </c>
      <c r="V658" s="148" t="str">
        <f>IFERROR(__xludf.DUMMYFUNCTION("""COMPUTED_VALUE"""),"[]")</f>
        <v>[]</v>
      </c>
      <c r="W658" s="148">
        <f>IFERROR(__xludf.DUMMYFUNCTION("""COMPUTED_VALUE"""),1.174E7)</f>
        <v>11740000</v>
      </c>
      <c r="X658" s="148">
        <f>IFERROR(__xludf.DUMMYFUNCTION("""COMPUTED_VALUE"""),0.0)</f>
        <v>0</v>
      </c>
      <c r="Y658" s="148">
        <f>IFERROR(__xludf.DUMMYFUNCTION("""COMPUTED_VALUE"""),0.0)</f>
        <v>0</v>
      </c>
      <c r="Z658" s="148"/>
    </row>
    <row r="659">
      <c r="A659" s="148">
        <f>IFERROR(__xludf.DUMMYFUNCTION("""COMPUTED_VALUE"""),1.1112453E7)</f>
        <v>11112453</v>
      </c>
      <c r="B659" s="148" t="str">
        <f>IFERROR(__xludf.DUMMYFUNCTION("""COMPUTED_VALUE"""),"科技节（2025）外圈gacha道具")</f>
        <v>科技节（2025）外圈gacha道具</v>
      </c>
      <c r="C659" s="148"/>
      <c r="D659" s="148" t="str">
        <f>IFERROR(__xludf.DUMMYFUNCTION("""COMPUTED_VALUE"""),"event")</f>
        <v>event</v>
      </c>
      <c r="E659" s="148">
        <f>IFERROR(__xludf.DUMMYFUNCTION("""COMPUTED_VALUE"""),0.0)</f>
        <v>0</v>
      </c>
      <c r="F659" s="148">
        <f>IFERROR(__xludf.DUMMYFUNCTION("""COMPUTED_VALUE"""),405226.0)</f>
        <v>405226</v>
      </c>
      <c r="G659" s="148">
        <f>IFERROR(__xludf.DUMMYFUNCTION("""COMPUTED_VALUE"""),1.51101535E8)</f>
        <v>151101535</v>
      </c>
      <c r="H659" s="148">
        <f>IFERROR(__xludf.DUMMYFUNCTION("""COMPUTED_VALUE"""),1.5112564E7)</f>
        <v>15112564</v>
      </c>
      <c r="I659" s="148" t="str">
        <f>IFERROR(__xludf.DUMMYFUNCTION("""COMPUTED_VALUE"""),"{}")</f>
        <v>{}</v>
      </c>
      <c r="J659" s="148" t="str">
        <f>IFERROR(__xludf.DUMMYFUNCTION("""COMPUTED_VALUE"""),"{""typ"":""lc"",""txt"":""LC_ITEM_2025sci_item_name_0""}")</f>
        <v>{"typ":"lc","txt":"LC_ITEM_2025sci_item_name_0"}</v>
      </c>
      <c r="K659" s="148" t="str">
        <f>IFERROR(__xludf.DUMMYFUNCTION("""COMPUTED_VALUE"""),"{""typ"":""lc"",""txt"":""LC_ITEM_2025sci_item_desc_0""}")</f>
        <v>{"typ":"lc","txt":"LC_ITEM_2025sci_item_desc_0"}</v>
      </c>
      <c r="L659" s="148" t="str">
        <f>IFERROR(__xludf.DUMMYFUNCTION("""COMPUTED_VALUE"""),"{}")</f>
        <v>{}</v>
      </c>
      <c r="M659" s="148">
        <f>IFERROR(__xludf.DUMMYFUNCTION("""COMPUTED_VALUE"""),700.0)</f>
        <v>700</v>
      </c>
      <c r="N659" s="148">
        <f>IFERROR(__xludf.DUMMYFUNCTION("""COMPUTED_VALUE"""),9.99999999E8)</f>
        <v>999999999</v>
      </c>
      <c r="O659" s="148">
        <f>IFERROR(__xludf.DUMMYFUNCTION("""COMPUTED_VALUE"""),9.99999999E8)</f>
        <v>999999999</v>
      </c>
      <c r="P659" s="148">
        <f>IFERROR(__xludf.DUMMYFUNCTION("""COMPUTED_VALUE"""),9.99999999E8)</f>
        <v>999999999</v>
      </c>
      <c r="Q659" s="148" t="str">
        <f>IFERROR(__xludf.DUMMYFUNCTION("""COMPUTED_VALUE"""),"[""bag_other""]")</f>
        <v>["bag_other"]</v>
      </c>
      <c r="R659" s="148" t="str">
        <f>IFERROR(__xludf.DUMMYFUNCTION("""COMPUTED_VALUE"""),"[""bag""]")</f>
        <v>["bag"]</v>
      </c>
      <c r="S659" s="148" t="str">
        <f>IFERROR(__xludf.DUMMYFUNCTION("""COMPUTED_VALUE"""),"{}")</f>
        <v>{}</v>
      </c>
      <c r="T659" s="148">
        <f>IFERROR(__xludf.DUMMYFUNCTION("""COMPUTED_VALUE"""),1.0)</f>
        <v>1</v>
      </c>
      <c r="U659" s="148">
        <f>IFERROR(__xludf.DUMMYFUNCTION("""COMPUTED_VALUE"""),0.0)</f>
        <v>0</v>
      </c>
      <c r="V659" s="148" t="str">
        <f>IFERROR(__xludf.DUMMYFUNCTION("""COMPUTED_VALUE"""),"[]")</f>
        <v>[]</v>
      </c>
      <c r="W659" s="148">
        <f>IFERROR(__xludf.DUMMYFUNCTION("""COMPUTED_VALUE"""),1.174E7)</f>
        <v>11740000</v>
      </c>
      <c r="X659" s="148">
        <f>IFERROR(__xludf.DUMMYFUNCTION("""COMPUTED_VALUE"""),0.0)</f>
        <v>0</v>
      </c>
      <c r="Y659" s="148">
        <f>IFERROR(__xludf.DUMMYFUNCTION("""COMPUTED_VALUE"""),0.0)</f>
        <v>0</v>
      </c>
      <c r="Z659" s="148"/>
    </row>
    <row r="660">
      <c r="A660" s="148">
        <f>IFERROR(__xludf.DUMMYFUNCTION("""COMPUTED_VALUE"""),1.1112454E7)</f>
        <v>11112454</v>
      </c>
      <c r="B660" s="148" t="str">
        <f>IFERROR(__xludf.DUMMYFUNCTION("""COMPUTED_VALUE"""),"科技节2025gacha专用-增加内圈抽奖次数")</f>
        <v>科技节2025gacha专用-增加内圈抽奖次数</v>
      </c>
      <c r="C660" s="148"/>
      <c r="D660" s="148" t="str">
        <f>IFERROR(__xludf.DUMMYFUNCTION("""COMPUTED_VALUE"""),"event")</f>
        <v>event</v>
      </c>
      <c r="E660" s="148">
        <f>IFERROR(__xludf.DUMMYFUNCTION("""COMPUTED_VALUE"""),0.0)</f>
        <v>0</v>
      </c>
      <c r="F660" s="148">
        <f>IFERROR(__xludf.DUMMYFUNCTION("""COMPUTED_VALUE"""),0.0)</f>
        <v>0</v>
      </c>
      <c r="G660" s="148">
        <f>IFERROR(__xludf.DUMMYFUNCTION("""COMPUTED_VALUE"""),1.51101536E8)</f>
        <v>151101536</v>
      </c>
      <c r="H660" s="148">
        <f>IFERROR(__xludf.DUMMYFUNCTION("""COMPUTED_VALUE"""),1.5112564E7)</f>
        <v>15112564</v>
      </c>
      <c r="I660" s="148" t="str">
        <f>IFERROR(__xludf.DUMMYFUNCTION("""COMPUTED_VALUE"""),"{}")</f>
        <v>{}</v>
      </c>
      <c r="J660" s="148" t="str">
        <f>IFERROR(__xludf.DUMMYFUNCTION("""COMPUTED_VALUE"""),"{""typ"":""lc"",""txt"":""LC_ITEM_2025sci_item_name_1""}")</f>
        <v>{"typ":"lc","txt":"LC_ITEM_2025sci_item_name_1"}</v>
      </c>
      <c r="K660" s="148" t="str">
        <f>IFERROR(__xludf.DUMMYFUNCTION("""COMPUTED_VALUE"""),"{""typ"":""lc"",""txt"":""LC_ITEM_2025sci_item_desc_1""}")</f>
        <v>{"typ":"lc","txt":"LC_ITEM_2025sci_item_desc_1"}</v>
      </c>
      <c r="L660" s="148" t="str">
        <f>IFERROR(__xludf.DUMMYFUNCTION("""COMPUTED_VALUE"""),"{}")</f>
        <v>{}</v>
      </c>
      <c r="M660" s="148">
        <f>IFERROR(__xludf.DUMMYFUNCTION("""COMPUTED_VALUE"""),700.0)</f>
        <v>700</v>
      </c>
      <c r="N660" s="148">
        <f>IFERROR(__xludf.DUMMYFUNCTION("""COMPUTED_VALUE"""),9.99999999E8)</f>
        <v>999999999</v>
      </c>
      <c r="O660" s="148">
        <f>IFERROR(__xludf.DUMMYFUNCTION("""COMPUTED_VALUE"""),9.99999999E8)</f>
        <v>999999999</v>
      </c>
      <c r="P660" s="148">
        <f>IFERROR(__xludf.DUMMYFUNCTION("""COMPUTED_VALUE"""),9.99999999E8)</f>
        <v>999999999</v>
      </c>
      <c r="Q660" s="148" t="str">
        <f>IFERROR(__xludf.DUMMYFUNCTION("""COMPUTED_VALUE"""),"[]")</f>
        <v>[]</v>
      </c>
      <c r="R660" s="148" t="str">
        <f>IFERROR(__xludf.DUMMYFUNCTION("""COMPUTED_VALUE"""),"[""bag""]")</f>
        <v>["bag"]</v>
      </c>
      <c r="S660" s="148" t="str">
        <f>IFERROR(__xludf.DUMMYFUNCTION("""COMPUTED_VALUE"""),"{}")</f>
        <v>{}</v>
      </c>
      <c r="T660" s="148">
        <f>IFERROR(__xludf.DUMMYFUNCTION("""COMPUTED_VALUE"""),1.0)</f>
        <v>1</v>
      </c>
      <c r="U660" s="148">
        <f>IFERROR(__xludf.DUMMYFUNCTION("""COMPUTED_VALUE"""),0.0)</f>
        <v>0</v>
      </c>
      <c r="V660" s="148" t="str">
        <f>IFERROR(__xludf.DUMMYFUNCTION("""COMPUTED_VALUE"""),"[]")</f>
        <v>[]</v>
      </c>
      <c r="W660" s="148">
        <f>IFERROR(__xludf.DUMMYFUNCTION("""COMPUTED_VALUE"""),1.174E7)</f>
        <v>11740000</v>
      </c>
      <c r="X660" s="148">
        <f>IFERROR(__xludf.DUMMYFUNCTION("""COMPUTED_VALUE"""),0.0)</f>
        <v>0</v>
      </c>
      <c r="Y660" s="148">
        <f>IFERROR(__xludf.DUMMYFUNCTION("""COMPUTED_VALUE"""),0.0)</f>
        <v>0</v>
      </c>
      <c r="Z660" s="148"/>
    </row>
    <row r="661">
      <c r="A661" s="148">
        <f>IFERROR(__xludf.DUMMYFUNCTION("""COMPUTED_VALUE"""),1.1112455E7)</f>
        <v>11112455</v>
      </c>
      <c r="B661" s="148" t="str">
        <f>IFERROR(__xludf.DUMMYFUNCTION("""COMPUTED_VALUE"""),"科技节2025-装饰升级版本（投放用）")</f>
        <v>科技节2025-装饰升级版本（投放用）</v>
      </c>
      <c r="C661" s="148"/>
      <c r="D661" s="148" t="str">
        <f>IFERROR(__xludf.DUMMYFUNCTION("""COMPUTED_VALUE"""),"statue_decorate")</f>
        <v>statue_decorate</v>
      </c>
      <c r="E661" s="148">
        <f>IFERROR(__xludf.DUMMYFUNCTION("""COMPUTED_VALUE"""),23.0)</f>
        <v>23</v>
      </c>
      <c r="F661" s="148">
        <f>IFERROR(__xludf.DUMMYFUNCTION("""COMPUTED_VALUE"""),0.0)</f>
        <v>0</v>
      </c>
      <c r="G661" s="148">
        <f>IFERROR(__xludf.DUMMYFUNCTION("""COMPUTED_VALUE"""),1.5110143E8)</f>
        <v>151101430</v>
      </c>
      <c r="H661" s="148">
        <f>IFERROR(__xludf.DUMMYFUNCTION("""COMPUTED_VALUE"""),1.5112564E7)</f>
        <v>15112564</v>
      </c>
      <c r="I661" s="148" t="str">
        <f>IFERROR(__xludf.DUMMYFUNCTION("""COMPUTED_VALUE"""),"{}")</f>
        <v>{}</v>
      </c>
      <c r="J661" s="148" t="str">
        <f>IFERROR(__xludf.DUMMYFUNCTION("""COMPUTED_VALUE"""),"{""typ"":""lc"",""txt"":""LC_ITEM_2025sci_dec_item_2""}")</f>
        <v>{"typ":"lc","txt":"LC_ITEM_2025sci_dec_item_2"}</v>
      </c>
      <c r="K661" s="148" t="str">
        <f>IFERROR(__xludf.DUMMYFUNCTION("""COMPUTED_VALUE"""),"{""typ"":""lc"",""txt"":""LC_ITEM_2025sci_dec_item_3_desc""}")</f>
        <v>{"typ":"lc","txt":"LC_ITEM_2025sci_dec_item_3_desc"}</v>
      </c>
      <c r="L661" s="148" t="str">
        <f>IFERROR(__xludf.DUMMYFUNCTION("""COMPUTED_VALUE"""),"{}")</f>
        <v>{}</v>
      </c>
      <c r="M661" s="148">
        <f>IFERROR(__xludf.DUMMYFUNCTION("""COMPUTED_VALUE"""),5000.0)</f>
        <v>5000</v>
      </c>
      <c r="N661" s="148">
        <f>IFERROR(__xludf.DUMMYFUNCTION("""COMPUTED_VALUE"""),999.0)</f>
        <v>999</v>
      </c>
      <c r="O661" s="148">
        <f>IFERROR(__xludf.DUMMYFUNCTION("""COMPUTED_VALUE"""),99999.0)</f>
        <v>99999</v>
      </c>
      <c r="P661" s="148">
        <f>IFERROR(__xludf.DUMMYFUNCTION("""COMPUTED_VALUE"""),99999.0)</f>
        <v>99999</v>
      </c>
      <c r="Q661" s="148" t="str">
        <f>IFERROR(__xludf.DUMMYFUNCTION("""COMPUTED_VALUE"""),"[]")</f>
        <v>[]</v>
      </c>
      <c r="R661" s="148" t="str">
        <f>IFERROR(__xludf.DUMMYFUNCTION("""COMPUTED_VALUE"""),"[""bag""]")</f>
        <v>["bag"]</v>
      </c>
      <c r="S661" s="148" t="str">
        <f>IFERROR(__xludf.DUMMYFUNCTION("""COMPUTED_VALUE"""),"{""effect"":[{""typ"":""holiday_statue"",""id"":21482501}]}")</f>
        <v>{"effect":[{"typ":"holiday_statue","id":21482501}]}</v>
      </c>
      <c r="T661" s="148">
        <f>IFERROR(__xludf.DUMMYFUNCTION("""COMPUTED_VALUE"""),-1.0)</f>
        <v>-1</v>
      </c>
      <c r="U661" s="148">
        <f>IFERROR(__xludf.DUMMYFUNCTION("""COMPUTED_VALUE"""),1.0)</f>
        <v>1</v>
      </c>
      <c r="V661" s="148" t="str">
        <f>IFERROR(__xludf.DUMMYFUNCTION("""COMPUTED_VALUE"""),"[]")</f>
        <v>[]</v>
      </c>
      <c r="W661" s="148">
        <f>IFERROR(__xludf.DUMMYFUNCTION("""COMPUTED_VALUE"""),1.174E7)</f>
        <v>11740000</v>
      </c>
      <c r="X661" s="148">
        <f>IFERROR(__xludf.DUMMYFUNCTION("""COMPUTED_VALUE"""),0.0)</f>
        <v>0</v>
      </c>
      <c r="Y661" s="148">
        <f>IFERROR(__xludf.DUMMYFUNCTION("""COMPUTED_VALUE"""),0.0)</f>
        <v>0</v>
      </c>
      <c r="Z661" s="148"/>
    </row>
    <row r="662">
      <c r="A662" s="148">
        <f>IFERROR(__xludf.DUMMYFUNCTION("""COMPUTED_VALUE"""),1.1112456E7)</f>
        <v>11112456</v>
      </c>
      <c r="B662" s="148" t="str">
        <f>IFERROR(__xludf.DUMMYFUNCTION("""COMPUTED_VALUE"""),"科技节2025-装饰升级道具")</f>
        <v>科技节2025-装饰升级道具</v>
      </c>
      <c r="C662" s="148"/>
      <c r="D662" s="148" t="str">
        <f>IFERROR(__xludf.DUMMYFUNCTION("""COMPUTED_VALUE"""),"event")</f>
        <v>event</v>
      </c>
      <c r="E662" s="148">
        <f>IFERROR(__xludf.DUMMYFUNCTION("""COMPUTED_VALUE"""),0.0)</f>
        <v>0</v>
      </c>
      <c r="F662" s="148">
        <f>IFERROR(__xludf.DUMMYFUNCTION("""COMPUTED_VALUE"""),405243.0)</f>
        <v>405243</v>
      </c>
      <c r="G662" s="148">
        <f>IFERROR(__xludf.DUMMYFUNCTION("""COMPUTED_VALUE"""),1.5110143E8)</f>
        <v>151101430</v>
      </c>
      <c r="H662" s="148">
        <f>IFERROR(__xludf.DUMMYFUNCTION("""COMPUTED_VALUE"""),1.5112564E7)</f>
        <v>15112564</v>
      </c>
      <c r="I662" s="148" t="str">
        <f>IFERROR(__xludf.DUMMYFUNCTION("""COMPUTED_VALUE"""),"{}")</f>
        <v>{}</v>
      </c>
      <c r="J662" s="148" t="str">
        <f>IFERROR(__xludf.DUMMYFUNCTION("""COMPUTED_VALUE"""),"{""typ"":""lc"",""txt"":""LC_ITEM_2025sci_dec_item_2""}")</f>
        <v>{"typ":"lc","txt":"LC_ITEM_2025sci_dec_item_2"}</v>
      </c>
      <c r="K662" s="148" t="str">
        <f>IFERROR(__xludf.DUMMYFUNCTION("""COMPUTED_VALUE"""),"{""typ"":""lc"",""txt"":""LC_ITEM_2025sci_dec_item_3_desc""}")</f>
        <v>{"typ":"lc","txt":"LC_ITEM_2025sci_dec_item_3_desc"}</v>
      </c>
      <c r="L662" s="148" t="str">
        <f>IFERROR(__xludf.DUMMYFUNCTION("""COMPUTED_VALUE"""),"{}")</f>
        <v>{}</v>
      </c>
      <c r="M662" s="148">
        <f>IFERROR(__xludf.DUMMYFUNCTION("""COMPUTED_VALUE"""),1000.0)</f>
        <v>1000</v>
      </c>
      <c r="N662" s="148">
        <f>IFERROR(__xludf.DUMMYFUNCTION("""COMPUTED_VALUE"""),9.99999999E8)</f>
        <v>999999999</v>
      </c>
      <c r="O662" s="148">
        <f>IFERROR(__xludf.DUMMYFUNCTION("""COMPUTED_VALUE"""),9.99999999E8)</f>
        <v>999999999</v>
      </c>
      <c r="P662" s="148">
        <f>IFERROR(__xludf.DUMMYFUNCTION("""COMPUTED_VALUE"""),9.99999999E8)</f>
        <v>999999999</v>
      </c>
      <c r="Q662" s="148" t="str">
        <f>IFERROR(__xludf.DUMMYFUNCTION("""COMPUTED_VALUE"""),"[""bag_other""]")</f>
        <v>["bag_other"]</v>
      </c>
      <c r="R662" s="148" t="str">
        <f>IFERROR(__xludf.DUMMYFUNCTION("""COMPUTED_VALUE"""),"[]")</f>
        <v>[]</v>
      </c>
      <c r="S662" s="148" t="str">
        <f>IFERROR(__xludf.DUMMYFUNCTION("""COMPUTED_VALUE"""),"{}")</f>
        <v>{}</v>
      </c>
      <c r="T662" s="148">
        <f>IFERROR(__xludf.DUMMYFUNCTION("""COMPUTED_VALUE"""),-1.0)</f>
        <v>-1</v>
      </c>
      <c r="U662" s="148">
        <f>IFERROR(__xludf.DUMMYFUNCTION("""COMPUTED_VALUE"""),0.0)</f>
        <v>0</v>
      </c>
      <c r="V662" s="148" t="str">
        <f>IFERROR(__xludf.DUMMYFUNCTION("""COMPUTED_VALUE"""),"[]")</f>
        <v>[]</v>
      </c>
      <c r="W662" s="148">
        <f>IFERROR(__xludf.DUMMYFUNCTION("""COMPUTED_VALUE"""),1.174E7)</f>
        <v>11740000</v>
      </c>
      <c r="X662" s="148">
        <f>IFERROR(__xludf.DUMMYFUNCTION("""COMPUTED_VALUE"""),0.0)</f>
        <v>0</v>
      </c>
      <c r="Y662" s="148">
        <f>IFERROR(__xludf.DUMMYFUNCTION("""COMPUTED_VALUE"""),0.0)</f>
        <v>0</v>
      </c>
      <c r="Z662" s="148"/>
    </row>
    <row r="663">
      <c r="A663" s="148">
        <f>IFERROR(__xludf.DUMMYFUNCTION("""COMPUTED_VALUE"""),1.1112457E7)</f>
        <v>11112457</v>
      </c>
      <c r="B663" s="148" t="str">
        <f>IFERROR(__xludf.DUMMYFUNCTION("""COMPUTED_VALUE"""),"2025科技节行军特效-赛博警戒带-1天限时")</f>
        <v>2025科技节行军特效-赛博警戒带-1天限时</v>
      </c>
      <c r="C663" s="148"/>
      <c r="D663" s="148" t="str">
        <f>IFERROR(__xludf.DUMMYFUNCTION("""COMPUTED_VALUE"""),"marching_effect")</f>
        <v>marching_effect</v>
      </c>
      <c r="E663" s="148">
        <f>IFERROR(__xludf.DUMMYFUNCTION("""COMPUTED_VALUE"""),0.0)</f>
        <v>0</v>
      </c>
      <c r="F663" s="148">
        <f>IFERROR(__xludf.DUMMYFUNCTION("""COMPUTED_VALUE"""),408200.0)</f>
        <v>408200</v>
      </c>
      <c r="G663" s="148">
        <f>IFERROR(__xludf.DUMMYFUNCTION("""COMPUTED_VALUE"""),1.51101546E8)</f>
        <v>151101546</v>
      </c>
      <c r="H663" s="148">
        <f>IFERROR(__xludf.DUMMYFUNCTION("""COMPUTED_VALUE"""),1.511256E7)</f>
        <v>15112560</v>
      </c>
      <c r="I663" s="148" t="str">
        <f>IFERROR(__xludf.DUMMYFUNCTION("""COMPUTED_VALUE"""),"{""typ"":""lc"",""txt"":""LC_ITEM_time_day_upper_show"",""args"":[{""typ"":""int_unit"",""val"":1}]}")</f>
        <v>{"typ":"lc","txt":"LC_ITEM_time_day_upper_show","args":[{"typ":"int_unit","val":1}]}</v>
      </c>
      <c r="J663" s="148" t="str">
        <f>IFERROR(__xludf.DUMMYFUNCTION("""COMPUTED_VALUE"""),"{""typ"":""lc"",""txt"":""LC_ITEM_sci_march_skin_2025""}")</f>
        <v>{"typ":"lc","txt":"LC_ITEM_sci_march_skin_2025"}</v>
      </c>
      <c r="K663" s="148" t="str">
        <f>IFERROR(__xludf.DUMMYFUNCTION("""COMPUTED_VALUE"""),"{""typ"":""lc"",""txt"":""LC_ITEM_sci_march_skin_2025_desc""}")</f>
        <v>{"typ":"lc","txt":"LC_ITEM_sci_march_skin_2025_desc"}</v>
      </c>
      <c r="L663" s="148" t="str">
        <f>IFERROR(__xludf.DUMMYFUNCTION("""COMPUTED_VALUE"""),"{""typ"":""lc"",""txt"":""LC_ITEM_march_effect_use_tip_all""}")</f>
        <v>{"typ":"lc","txt":"LC_ITEM_march_effect_use_tip_all"}</v>
      </c>
      <c r="M663" s="148">
        <f>IFERROR(__xludf.DUMMYFUNCTION("""COMPUTED_VALUE"""),50.0)</f>
        <v>50</v>
      </c>
      <c r="N663" s="148">
        <f>IFERROR(__xludf.DUMMYFUNCTION("""COMPUTED_VALUE"""),999999.0)</f>
        <v>999999</v>
      </c>
      <c r="O663" s="148">
        <f>IFERROR(__xludf.DUMMYFUNCTION("""COMPUTED_VALUE"""),99999.0)</f>
        <v>99999</v>
      </c>
      <c r="P663" s="148">
        <f>IFERROR(__xludf.DUMMYFUNCTION("""COMPUTED_VALUE"""),1.0)</f>
        <v>1</v>
      </c>
      <c r="Q663" s="148" t="str">
        <f>IFERROR(__xludf.DUMMYFUNCTION("""COMPUTED_VALUE"""),"[""bag_other""]")</f>
        <v>["bag_other"]</v>
      </c>
      <c r="R663" s="148" t="str">
        <f>IFERROR(__xludf.DUMMYFUNCTION("""COMPUTED_VALUE"""),"[""bag"",""13650131""]")</f>
        <v>["bag","13650131"]</v>
      </c>
      <c r="S663" s="148" t="str">
        <f>IFERROR(__xludf.DUMMYFUNCTION("""COMPUTED_VALUE"""),"{""effect"":[{""typ"":""marching_effect"",""id"":13650131,""val"":86400000},{""typ"":""vm"",""id"":11151001,""val"":50}]}")</f>
        <v>{"effect":[{"typ":"marching_effect","id":13650131,"val":86400000},{"typ":"vm","id":11151001,"val":50}]}</v>
      </c>
      <c r="T663" s="148">
        <f>IFERROR(__xludf.DUMMYFUNCTION("""COMPUTED_VALUE"""),-1.0)</f>
        <v>-1</v>
      </c>
      <c r="U663" s="148">
        <f>IFERROR(__xludf.DUMMYFUNCTION("""COMPUTED_VALUE"""),0.0)</f>
        <v>0</v>
      </c>
      <c r="V663" s="148" t="str">
        <f>IFERROR(__xludf.DUMMYFUNCTION("""COMPUTED_VALUE"""),"[]")</f>
        <v>[]</v>
      </c>
      <c r="W663" s="148">
        <f>IFERROR(__xludf.DUMMYFUNCTION("""COMPUTED_VALUE"""),1.174E7)</f>
        <v>11740000</v>
      </c>
      <c r="X663" s="148">
        <f>IFERROR(__xludf.DUMMYFUNCTION("""COMPUTED_VALUE"""),0.0)</f>
        <v>0</v>
      </c>
      <c r="Y663" s="148">
        <f>IFERROR(__xludf.DUMMYFUNCTION("""COMPUTED_VALUE"""),0.0)</f>
        <v>0</v>
      </c>
      <c r="Z663" s="148"/>
    </row>
    <row r="664">
      <c r="A664" s="148">
        <f>IFERROR(__xludf.DUMMYFUNCTION("""COMPUTED_VALUE"""),1.1112458E7)</f>
        <v>11112458</v>
      </c>
      <c r="B664" s="148" t="str">
        <f>IFERROR(__xludf.DUMMYFUNCTION("""COMPUTED_VALUE"""),"2025科技节行军特效-赛博警戒带-3天限时")</f>
        <v>2025科技节行军特效-赛博警戒带-3天限时</v>
      </c>
      <c r="C664" s="148"/>
      <c r="D664" s="148" t="str">
        <f>IFERROR(__xludf.DUMMYFUNCTION("""COMPUTED_VALUE"""),"marching_effect")</f>
        <v>marching_effect</v>
      </c>
      <c r="E664" s="148">
        <f>IFERROR(__xludf.DUMMYFUNCTION("""COMPUTED_VALUE"""),0.0)</f>
        <v>0</v>
      </c>
      <c r="F664" s="148">
        <f>IFERROR(__xludf.DUMMYFUNCTION("""COMPUTED_VALUE"""),408199.0)</f>
        <v>408199</v>
      </c>
      <c r="G664" s="148">
        <f>IFERROR(__xludf.DUMMYFUNCTION("""COMPUTED_VALUE"""),1.51101546E8)</f>
        <v>151101546</v>
      </c>
      <c r="H664" s="148">
        <f>IFERROR(__xludf.DUMMYFUNCTION("""COMPUTED_VALUE"""),1.5112561E7)</f>
        <v>15112561</v>
      </c>
      <c r="I664" s="148" t="str">
        <f>IFERROR(__xludf.DUMMYFUNCTION("""COMPUTED_VALUE"""),"{""typ"":""lc"",""txt"":""LC_ITEM_time_day_upper_show"",""args"":[{""typ"":""int_unit"",""val"":3}]}")</f>
        <v>{"typ":"lc","txt":"LC_ITEM_time_day_upper_show","args":[{"typ":"int_unit","val":3}]}</v>
      </c>
      <c r="J664" s="148" t="str">
        <f>IFERROR(__xludf.DUMMYFUNCTION("""COMPUTED_VALUE"""),"{""typ"":""lc"",""txt"":""LC_ITEM_sci_march_skin_2025""}")</f>
        <v>{"typ":"lc","txt":"LC_ITEM_sci_march_skin_2025"}</v>
      </c>
      <c r="K664" s="148" t="str">
        <f>IFERROR(__xludf.DUMMYFUNCTION("""COMPUTED_VALUE"""),"{""typ"":""lc"",""txt"":""LC_ITEM_sci_march_skin_2025_desc""}")</f>
        <v>{"typ":"lc","txt":"LC_ITEM_sci_march_skin_2025_desc"}</v>
      </c>
      <c r="L664" s="148" t="str">
        <f>IFERROR(__xludf.DUMMYFUNCTION("""COMPUTED_VALUE"""),"{""typ"":""lc"",""txt"":""LC_ITEM_march_effect_use_tip_all""}")</f>
        <v>{"typ":"lc","txt":"LC_ITEM_march_effect_use_tip_all"}</v>
      </c>
      <c r="M664" s="148">
        <f>IFERROR(__xludf.DUMMYFUNCTION("""COMPUTED_VALUE"""),200.0)</f>
        <v>200</v>
      </c>
      <c r="N664" s="148">
        <f>IFERROR(__xludf.DUMMYFUNCTION("""COMPUTED_VALUE"""),999999.0)</f>
        <v>999999</v>
      </c>
      <c r="O664" s="148">
        <f>IFERROR(__xludf.DUMMYFUNCTION("""COMPUTED_VALUE"""),99999.0)</f>
        <v>99999</v>
      </c>
      <c r="P664" s="148">
        <f>IFERROR(__xludf.DUMMYFUNCTION("""COMPUTED_VALUE"""),1.0)</f>
        <v>1</v>
      </c>
      <c r="Q664" s="148" t="str">
        <f>IFERROR(__xludf.DUMMYFUNCTION("""COMPUTED_VALUE"""),"[""bag_other""]")</f>
        <v>["bag_other"]</v>
      </c>
      <c r="R664" s="148" t="str">
        <f>IFERROR(__xludf.DUMMYFUNCTION("""COMPUTED_VALUE"""),"[""bag"",""13650131""]")</f>
        <v>["bag","13650131"]</v>
      </c>
      <c r="S664" s="148" t="str">
        <f>IFERROR(__xludf.DUMMYFUNCTION("""COMPUTED_VALUE"""),"{""effect"":[{""typ"":""marching_effect"",""id"":13650131,""val"":259200000},{""typ"":""vm"",""id"":11151001,""val"":200}]}")</f>
        <v>{"effect":[{"typ":"marching_effect","id":13650131,"val":259200000},{"typ":"vm","id":11151001,"val":200}]}</v>
      </c>
      <c r="T664" s="148">
        <f>IFERROR(__xludf.DUMMYFUNCTION("""COMPUTED_VALUE"""),-1.0)</f>
        <v>-1</v>
      </c>
      <c r="U664" s="148">
        <f>IFERROR(__xludf.DUMMYFUNCTION("""COMPUTED_VALUE"""),0.0)</f>
        <v>0</v>
      </c>
      <c r="V664" s="148" t="str">
        <f>IFERROR(__xludf.DUMMYFUNCTION("""COMPUTED_VALUE"""),"[]")</f>
        <v>[]</v>
      </c>
      <c r="W664" s="148">
        <f>IFERROR(__xludf.DUMMYFUNCTION("""COMPUTED_VALUE"""),1.174E7)</f>
        <v>11740000</v>
      </c>
      <c r="X664" s="148">
        <f>IFERROR(__xludf.DUMMYFUNCTION("""COMPUTED_VALUE"""),0.0)</f>
        <v>0</v>
      </c>
      <c r="Y664" s="148">
        <f>IFERROR(__xludf.DUMMYFUNCTION("""COMPUTED_VALUE"""),0.0)</f>
        <v>0</v>
      </c>
      <c r="Z664" s="148"/>
    </row>
    <row r="665">
      <c r="A665" s="148">
        <f>IFERROR(__xludf.DUMMYFUNCTION("""COMPUTED_VALUE"""),1.1112459E7)</f>
        <v>11112459</v>
      </c>
      <c r="B665" s="148" t="str">
        <f>IFERROR(__xludf.DUMMYFUNCTION("""COMPUTED_VALUE"""),"2025科技节行军特效-赛博警戒带-7天限时")</f>
        <v>2025科技节行军特效-赛博警戒带-7天限时</v>
      </c>
      <c r="C665" s="148"/>
      <c r="D665" s="148" t="str">
        <f>IFERROR(__xludf.DUMMYFUNCTION("""COMPUTED_VALUE"""),"marching_effect")</f>
        <v>marching_effect</v>
      </c>
      <c r="E665" s="148">
        <f>IFERROR(__xludf.DUMMYFUNCTION("""COMPUTED_VALUE"""),0.0)</f>
        <v>0</v>
      </c>
      <c r="F665" s="148">
        <f>IFERROR(__xludf.DUMMYFUNCTION("""COMPUTED_VALUE"""),408198.0)</f>
        <v>408198</v>
      </c>
      <c r="G665" s="148">
        <f>IFERROR(__xludf.DUMMYFUNCTION("""COMPUTED_VALUE"""),1.51101546E8)</f>
        <v>151101546</v>
      </c>
      <c r="H665" s="148">
        <f>IFERROR(__xludf.DUMMYFUNCTION("""COMPUTED_VALUE"""),1.5112562E7)</f>
        <v>15112562</v>
      </c>
      <c r="I665" s="148" t="str">
        <f>IFERROR(__xludf.DUMMYFUNCTION("""COMPUTED_VALUE"""),"{""typ"":""lc"",""txt"":""LC_ITEM_time_day_upper_show"",""args"":[{""typ"":""int_unit"",""val"":7}]}")</f>
        <v>{"typ":"lc","txt":"LC_ITEM_time_day_upper_show","args":[{"typ":"int_unit","val":7}]}</v>
      </c>
      <c r="J665" s="148" t="str">
        <f>IFERROR(__xludf.DUMMYFUNCTION("""COMPUTED_VALUE"""),"{""typ"":""lc"",""txt"":""LC_ITEM_sci_march_skin_2025""}")</f>
        <v>{"typ":"lc","txt":"LC_ITEM_sci_march_skin_2025"}</v>
      </c>
      <c r="K665" s="148" t="str">
        <f>IFERROR(__xludf.DUMMYFUNCTION("""COMPUTED_VALUE"""),"{""typ"":""lc"",""txt"":""LC_ITEM_sci_march_skin_2025_desc""}")</f>
        <v>{"typ":"lc","txt":"LC_ITEM_sci_march_skin_2025_desc"}</v>
      </c>
      <c r="L665" s="148" t="str">
        <f>IFERROR(__xludf.DUMMYFUNCTION("""COMPUTED_VALUE"""),"{""typ"":""lc"",""txt"":""LC_ITEM_march_effect_use_tip_all""}")</f>
        <v>{"typ":"lc","txt":"LC_ITEM_march_effect_use_tip_all"}</v>
      </c>
      <c r="M665" s="148">
        <f>IFERROR(__xludf.DUMMYFUNCTION("""COMPUTED_VALUE"""),500.0)</f>
        <v>500</v>
      </c>
      <c r="N665" s="148">
        <f>IFERROR(__xludf.DUMMYFUNCTION("""COMPUTED_VALUE"""),999999.0)</f>
        <v>999999</v>
      </c>
      <c r="O665" s="148">
        <f>IFERROR(__xludf.DUMMYFUNCTION("""COMPUTED_VALUE"""),99999.0)</f>
        <v>99999</v>
      </c>
      <c r="P665" s="148">
        <f>IFERROR(__xludf.DUMMYFUNCTION("""COMPUTED_VALUE"""),1.0)</f>
        <v>1</v>
      </c>
      <c r="Q665" s="148" t="str">
        <f>IFERROR(__xludf.DUMMYFUNCTION("""COMPUTED_VALUE"""),"[""bag_other""]")</f>
        <v>["bag_other"]</v>
      </c>
      <c r="R665" s="148" t="str">
        <f>IFERROR(__xludf.DUMMYFUNCTION("""COMPUTED_VALUE"""),"[""bag"",""13650131""]")</f>
        <v>["bag","13650131"]</v>
      </c>
      <c r="S665" s="148" t="str">
        <f>IFERROR(__xludf.DUMMYFUNCTION("""COMPUTED_VALUE"""),"{""effect"":[{""typ"":""marching_effect"",""id"":13650131,""val"":604800000},{""typ"":""vm"",""id"":11151001,""val"":500}]}")</f>
        <v>{"effect":[{"typ":"marching_effect","id":13650131,"val":604800000},{"typ":"vm","id":11151001,"val":500}]}</v>
      </c>
      <c r="T665" s="148">
        <f>IFERROR(__xludf.DUMMYFUNCTION("""COMPUTED_VALUE"""),-1.0)</f>
        <v>-1</v>
      </c>
      <c r="U665" s="148">
        <f>IFERROR(__xludf.DUMMYFUNCTION("""COMPUTED_VALUE"""),0.0)</f>
        <v>0</v>
      </c>
      <c r="V665" s="148" t="str">
        <f>IFERROR(__xludf.DUMMYFUNCTION("""COMPUTED_VALUE"""),"[]")</f>
        <v>[]</v>
      </c>
      <c r="W665" s="148">
        <f>IFERROR(__xludf.DUMMYFUNCTION("""COMPUTED_VALUE"""),1.174E7)</f>
        <v>11740000</v>
      </c>
      <c r="X665" s="148">
        <f>IFERROR(__xludf.DUMMYFUNCTION("""COMPUTED_VALUE"""),0.0)</f>
        <v>0</v>
      </c>
      <c r="Y665" s="148">
        <f>IFERROR(__xludf.DUMMYFUNCTION("""COMPUTED_VALUE"""),0.0)</f>
        <v>0</v>
      </c>
      <c r="Z665" s="148"/>
    </row>
    <row r="666">
      <c r="A666" s="148">
        <f>IFERROR(__xludf.DUMMYFUNCTION("""COMPUTED_VALUE"""),1.111246E7)</f>
        <v>11112460</v>
      </c>
      <c r="B666" s="148" t="str">
        <f>IFERROR(__xludf.DUMMYFUNCTION("""COMPUTED_VALUE"""),"2025科技节行军特效-赛博警戒带-14天限时")</f>
        <v>2025科技节行军特效-赛博警戒带-14天限时</v>
      </c>
      <c r="C666" s="148"/>
      <c r="D666" s="148" t="str">
        <f>IFERROR(__xludf.DUMMYFUNCTION("""COMPUTED_VALUE"""),"marching_effect")</f>
        <v>marching_effect</v>
      </c>
      <c r="E666" s="148">
        <f>IFERROR(__xludf.DUMMYFUNCTION("""COMPUTED_VALUE"""),0.0)</f>
        <v>0</v>
      </c>
      <c r="F666" s="148">
        <f>IFERROR(__xludf.DUMMYFUNCTION("""COMPUTED_VALUE"""),408197.0)</f>
        <v>408197</v>
      </c>
      <c r="G666" s="148">
        <f>IFERROR(__xludf.DUMMYFUNCTION("""COMPUTED_VALUE"""),1.51101546E8)</f>
        <v>151101546</v>
      </c>
      <c r="H666" s="148">
        <f>IFERROR(__xludf.DUMMYFUNCTION("""COMPUTED_VALUE"""),1.5112563E7)</f>
        <v>15112563</v>
      </c>
      <c r="I666" s="148" t="str">
        <f>IFERROR(__xludf.DUMMYFUNCTION("""COMPUTED_VALUE"""),"{""typ"":""lc"",""txt"":""LC_ITEM_time_day_upper_show"",""args"":[{""typ"":""int_unit"",""val"":14}]}")</f>
        <v>{"typ":"lc","txt":"LC_ITEM_time_day_upper_show","args":[{"typ":"int_unit","val":14}]}</v>
      </c>
      <c r="J666" s="148" t="str">
        <f>IFERROR(__xludf.DUMMYFUNCTION("""COMPUTED_VALUE"""),"{""typ"":""lc"",""txt"":""LC_ITEM_sci_march_skin_2025""}")</f>
        <v>{"typ":"lc","txt":"LC_ITEM_sci_march_skin_2025"}</v>
      </c>
      <c r="K666" s="148" t="str">
        <f>IFERROR(__xludf.DUMMYFUNCTION("""COMPUTED_VALUE"""),"{""typ"":""lc"",""txt"":""LC_ITEM_sci_march_skin_2025_desc""}")</f>
        <v>{"typ":"lc","txt":"LC_ITEM_sci_march_skin_2025_desc"}</v>
      </c>
      <c r="L666" s="148" t="str">
        <f>IFERROR(__xludf.DUMMYFUNCTION("""COMPUTED_VALUE"""),"{""typ"":""lc"",""txt"":""LC_ITEM_march_effect_use_tip_all""}")</f>
        <v>{"typ":"lc","txt":"LC_ITEM_march_effect_use_tip_all"}</v>
      </c>
      <c r="M666" s="148">
        <f>IFERROR(__xludf.DUMMYFUNCTION("""COMPUTED_VALUE"""),1000.0)</f>
        <v>1000</v>
      </c>
      <c r="N666" s="148">
        <f>IFERROR(__xludf.DUMMYFUNCTION("""COMPUTED_VALUE"""),999999.0)</f>
        <v>999999</v>
      </c>
      <c r="O666" s="148">
        <f>IFERROR(__xludf.DUMMYFUNCTION("""COMPUTED_VALUE"""),99999.0)</f>
        <v>99999</v>
      </c>
      <c r="P666" s="148">
        <f>IFERROR(__xludf.DUMMYFUNCTION("""COMPUTED_VALUE"""),1.0)</f>
        <v>1</v>
      </c>
      <c r="Q666" s="148" t="str">
        <f>IFERROR(__xludf.DUMMYFUNCTION("""COMPUTED_VALUE"""),"[""bag_other""]")</f>
        <v>["bag_other"]</v>
      </c>
      <c r="R666" s="148" t="str">
        <f>IFERROR(__xludf.DUMMYFUNCTION("""COMPUTED_VALUE"""),"[""bag"",""13650131""]")</f>
        <v>["bag","13650131"]</v>
      </c>
      <c r="S666" s="148" t="str">
        <f>IFERROR(__xludf.DUMMYFUNCTION("""COMPUTED_VALUE"""),"{""effect"":[{""typ"":""marching_effect"",""id"":13650131,""val"":1209600000},{""typ"":""vm"",""id"":11151001,""val"":1000}]}")</f>
        <v>{"effect":[{"typ":"marching_effect","id":13650131,"val":1209600000},{"typ":"vm","id":11151001,"val":1000}]}</v>
      </c>
      <c r="T666" s="148">
        <f>IFERROR(__xludf.DUMMYFUNCTION("""COMPUTED_VALUE"""),-1.0)</f>
        <v>-1</v>
      </c>
      <c r="U666" s="148">
        <f>IFERROR(__xludf.DUMMYFUNCTION("""COMPUTED_VALUE"""),0.0)</f>
        <v>0</v>
      </c>
      <c r="V666" s="148" t="str">
        <f>IFERROR(__xludf.DUMMYFUNCTION("""COMPUTED_VALUE"""),"[]")</f>
        <v>[]</v>
      </c>
      <c r="W666" s="148">
        <f>IFERROR(__xludf.DUMMYFUNCTION("""COMPUTED_VALUE"""),1.174E7)</f>
        <v>11740000</v>
      </c>
      <c r="X666" s="148">
        <f>IFERROR(__xludf.DUMMYFUNCTION("""COMPUTED_VALUE"""),0.0)</f>
        <v>0</v>
      </c>
      <c r="Y666" s="148">
        <f>IFERROR(__xludf.DUMMYFUNCTION("""COMPUTED_VALUE"""),0.0)</f>
        <v>0</v>
      </c>
      <c r="Z666" s="148"/>
    </row>
    <row r="667">
      <c r="A667" s="148">
        <f>IFERROR(__xludf.DUMMYFUNCTION("""COMPUTED_VALUE"""),1.1112461E7)</f>
        <v>11112461</v>
      </c>
      <c r="B667" s="148" t="str">
        <f>IFERROR(__xludf.DUMMYFUNCTION("""COMPUTED_VALUE"""),"2025科技节行军特效-赛博警戒带-30天限时")</f>
        <v>2025科技节行军特效-赛博警戒带-30天限时</v>
      </c>
      <c r="C667" s="148"/>
      <c r="D667" s="148" t="str">
        <f>IFERROR(__xludf.DUMMYFUNCTION("""COMPUTED_VALUE"""),"marching_effect")</f>
        <v>marching_effect</v>
      </c>
      <c r="E667" s="148">
        <f>IFERROR(__xludf.DUMMYFUNCTION("""COMPUTED_VALUE"""),0.0)</f>
        <v>0</v>
      </c>
      <c r="F667" s="148">
        <f>IFERROR(__xludf.DUMMYFUNCTION("""COMPUTED_VALUE"""),408197.0)</f>
        <v>408197</v>
      </c>
      <c r="G667" s="148">
        <f>IFERROR(__xludf.DUMMYFUNCTION("""COMPUTED_VALUE"""),1.51101546E8)</f>
        <v>151101546</v>
      </c>
      <c r="H667" s="148">
        <f>IFERROR(__xludf.DUMMYFUNCTION("""COMPUTED_VALUE"""),1.5112563E7)</f>
        <v>15112563</v>
      </c>
      <c r="I667" s="148" t="str">
        <f>IFERROR(__xludf.DUMMYFUNCTION("""COMPUTED_VALUE"""),"{""typ"":""lc"",""txt"":""LC_ITEM_time_day_upper_show"",""args"":[{""typ"":""int_unit"",""val"":30}]}")</f>
        <v>{"typ":"lc","txt":"LC_ITEM_time_day_upper_show","args":[{"typ":"int_unit","val":30}]}</v>
      </c>
      <c r="J667" s="148" t="str">
        <f>IFERROR(__xludf.DUMMYFUNCTION("""COMPUTED_VALUE"""),"{""typ"":""lc"",""txt"":""LC_ITEM_sci_march_skin_2025""}")</f>
        <v>{"typ":"lc","txt":"LC_ITEM_sci_march_skin_2025"}</v>
      </c>
      <c r="K667" s="148" t="str">
        <f>IFERROR(__xludf.DUMMYFUNCTION("""COMPUTED_VALUE"""),"{""typ"":""lc"",""txt"":""LC_ITEM_sci_march_skin_2025_desc""}")</f>
        <v>{"typ":"lc","txt":"LC_ITEM_sci_march_skin_2025_desc"}</v>
      </c>
      <c r="L667" s="148" t="str">
        <f>IFERROR(__xludf.DUMMYFUNCTION("""COMPUTED_VALUE"""),"{""typ"":""lc"",""txt"":""LC_ITEM_march_effect_use_tip_all""}")</f>
        <v>{"typ":"lc","txt":"LC_ITEM_march_effect_use_tip_all"}</v>
      </c>
      <c r="M667" s="148">
        <f>IFERROR(__xludf.DUMMYFUNCTION("""COMPUTED_VALUE"""),1000.0)</f>
        <v>1000</v>
      </c>
      <c r="N667" s="148">
        <f>IFERROR(__xludf.DUMMYFUNCTION("""COMPUTED_VALUE"""),999999.0)</f>
        <v>999999</v>
      </c>
      <c r="O667" s="148">
        <f>IFERROR(__xludf.DUMMYFUNCTION("""COMPUTED_VALUE"""),99999.0)</f>
        <v>99999</v>
      </c>
      <c r="P667" s="148">
        <f>IFERROR(__xludf.DUMMYFUNCTION("""COMPUTED_VALUE"""),1.0)</f>
        <v>1</v>
      </c>
      <c r="Q667" s="148" t="str">
        <f>IFERROR(__xludf.DUMMYFUNCTION("""COMPUTED_VALUE"""),"[""bag_other""]")</f>
        <v>["bag_other"]</v>
      </c>
      <c r="R667" s="148" t="str">
        <f>IFERROR(__xludf.DUMMYFUNCTION("""COMPUTED_VALUE"""),"[""bag"",""13650131""]")</f>
        <v>["bag","13650131"]</v>
      </c>
      <c r="S667" s="148" t="str">
        <f>IFERROR(__xludf.DUMMYFUNCTION("""COMPUTED_VALUE"""),"{""effect"":[{""typ"":""marching_effect"",""id"":13650131,""val"":2592000000},{""typ"":""vm"",""id"":11151001,""val"":1000}]}")</f>
        <v>{"effect":[{"typ":"marching_effect","id":13650131,"val":2592000000},{"typ":"vm","id":11151001,"val":1000}]}</v>
      </c>
      <c r="T667" s="148">
        <f>IFERROR(__xludf.DUMMYFUNCTION("""COMPUTED_VALUE"""),-1.0)</f>
        <v>-1</v>
      </c>
      <c r="U667" s="148">
        <f>IFERROR(__xludf.DUMMYFUNCTION("""COMPUTED_VALUE"""),0.0)</f>
        <v>0</v>
      </c>
      <c r="V667" s="148" t="str">
        <f>IFERROR(__xludf.DUMMYFUNCTION("""COMPUTED_VALUE"""),"[]")</f>
        <v>[]</v>
      </c>
      <c r="W667" s="148">
        <f>IFERROR(__xludf.DUMMYFUNCTION("""COMPUTED_VALUE"""),1.174E7)</f>
        <v>11740000</v>
      </c>
      <c r="X667" s="148">
        <f>IFERROR(__xludf.DUMMYFUNCTION("""COMPUTED_VALUE"""),0.0)</f>
        <v>0</v>
      </c>
      <c r="Y667" s="148">
        <f>IFERROR(__xludf.DUMMYFUNCTION("""COMPUTED_VALUE"""),0.0)</f>
        <v>0</v>
      </c>
      <c r="Z667" s="148"/>
    </row>
    <row r="668">
      <c r="A668" s="148">
        <f>IFERROR(__xludf.DUMMYFUNCTION("""COMPUTED_VALUE"""),1.1112462E7)</f>
        <v>11112462</v>
      </c>
      <c r="B668" s="148" t="str">
        <f>IFERROR(__xludf.DUMMYFUNCTION("""COMPUTED_VALUE"""),"2025科技节行军特效-赛博警戒带-永久")</f>
        <v>2025科技节行军特效-赛博警戒带-永久</v>
      </c>
      <c r="C668" s="148"/>
      <c r="D668" s="148" t="str">
        <f>IFERROR(__xludf.DUMMYFUNCTION("""COMPUTED_VALUE"""),"marching_effect")</f>
        <v>marching_effect</v>
      </c>
      <c r="E668" s="148">
        <f>IFERROR(__xludf.DUMMYFUNCTION("""COMPUTED_VALUE"""),0.0)</f>
        <v>0</v>
      </c>
      <c r="F668" s="148">
        <f>IFERROR(__xludf.DUMMYFUNCTION("""COMPUTED_VALUE"""),408195.0)</f>
        <v>408195</v>
      </c>
      <c r="G668" s="148">
        <f>IFERROR(__xludf.DUMMYFUNCTION("""COMPUTED_VALUE"""),1.51101546E8)</f>
        <v>151101546</v>
      </c>
      <c r="H668" s="148">
        <f>IFERROR(__xludf.DUMMYFUNCTION("""COMPUTED_VALUE"""),1.5112564E7)</f>
        <v>15112564</v>
      </c>
      <c r="I668" s="148" t="str">
        <f>IFERROR(__xludf.DUMMYFUNCTION("""COMPUTED_VALUE"""),"{}")</f>
        <v>{}</v>
      </c>
      <c r="J668" s="148" t="str">
        <f>IFERROR(__xludf.DUMMYFUNCTION("""COMPUTED_VALUE"""),"{""typ"":""lc"",""txt"":""LC_ITEM_sci_march_skin_2025""}")</f>
        <v>{"typ":"lc","txt":"LC_ITEM_sci_march_skin_2025"}</v>
      </c>
      <c r="K668" s="148" t="str">
        <f>IFERROR(__xludf.DUMMYFUNCTION("""COMPUTED_VALUE"""),"{""typ"":""lc"",""txt"":""LC_ITEM_sci_march_skin_2025_desc""}")</f>
        <v>{"typ":"lc","txt":"LC_ITEM_sci_march_skin_2025_desc"}</v>
      </c>
      <c r="L668" s="148" t="str">
        <f>IFERROR(__xludf.DUMMYFUNCTION("""COMPUTED_VALUE"""),"{""typ"":""lc"",""txt"":""LC_ITEM_march_effect_use_tip_all""}")</f>
        <v>{"typ":"lc","txt":"LC_ITEM_march_effect_use_tip_all"}</v>
      </c>
      <c r="M668" s="148">
        <f>IFERROR(__xludf.DUMMYFUNCTION("""COMPUTED_VALUE"""),5000.0)</f>
        <v>5000</v>
      </c>
      <c r="N668" s="148">
        <f>IFERROR(__xludf.DUMMYFUNCTION("""COMPUTED_VALUE"""),999999.0)</f>
        <v>999999</v>
      </c>
      <c r="O668" s="148">
        <f>IFERROR(__xludf.DUMMYFUNCTION("""COMPUTED_VALUE"""),99999.0)</f>
        <v>99999</v>
      </c>
      <c r="P668" s="148">
        <f>IFERROR(__xludf.DUMMYFUNCTION("""COMPUTED_VALUE"""),1.0)</f>
        <v>1</v>
      </c>
      <c r="Q668" s="148" t="str">
        <f>IFERROR(__xludf.DUMMYFUNCTION("""COMPUTED_VALUE"""),"[""bag_other""]")</f>
        <v>["bag_other"]</v>
      </c>
      <c r="R668" s="148" t="str">
        <f>IFERROR(__xludf.DUMMYFUNCTION("""COMPUTED_VALUE"""),"[""bag"",""13650131""]")</f>
        <v>["bag","13650131"]</v>
      </c>
      <c r="S668" s="148" t="str">
        <f>IFERROR(__xludf.DUMMYFUNCTION("""COMPUTED_VALUE"""),"{""effect"":[{""typ"":""marching_effect"",""id"":13650131,""val"":-1},{""typ"":""vm"",""id"":11151001,""val"":2500}]}")</f>
        <v>{"effect":[{"typ":"marching_effect","id":13650131,"val":-1},{"typ":"vm","id":11151001,"val":2500}]}</v>
      </c>
      <c r="T668" s="148">
        <f>IFERROR(__xludf.DUMMYFUNCTION("""COMPUTED_VALUE"""),-1.0)</f>
        <v>-1</v>
      </c>
      <c r="U668" s="148">
        <f>IFERROR(__xludf.DUMMYFUNCTION("""COMPUTED_VALUE"""),0.0)</f>
        <v>0</v>
      </c>
      <c r="V668" s="148" t="str">
        <f>IFERROR(__xludf.DUMMYFUNCTION("""COMPUTED_VALUE"""),"[]")</f>
        <v>[]</v>
      </c>
      <c r="W668" s="148">
        <f>IFERROR(__xludf.DUMMYFUNCTION("""COMPUTED_VALUE"""),1.174E7)</f>
        <v>11740000</v>
      </c>
      <c r="X668" s="148">
        <f>IFERROR(__xludf.DUMMYFUNCTION("""COMPUTED_VALUE"""),0.0)</f>
        <v>0</v>
      </c>
      <c r="Y668" s="148">
        <f>IFERROR(__xludf.DUMMYFUNCTION("""COMPUTED_VALUE"""),0.0)</f>
        <v>0</v>
      </c>
      <c r="Z668" s="148"/>
    </row>
    <row r="669">
      <c r="A669" s="148">
        <f>IFERROR(__xludf.DUMMYFUNCTION("""COMPUTED_VALUE"""),1.1112463E7)</f>
        <v>11112463</v>
      </c>
      <c r="B669" s="148" t="str">
        <f>IFERROR(__xludf.DUMMYFUNCTION("""COMPUTED_VALUE"""),"2025科技节铭牌-智能助手")</f>
        <v>2025科技节铭牌-智能助手</v>
      </c>
      <c r="C669" s="148"/>
      <c r="D669" s="148" t="str">
        <f>IFERROR(__xludf.DUMMYFUNCTION("""COMPUTED_VALUE"""),"chat_skin")</f>
        <v>chat_skin</v>
      </c>
      <c r="E669" s="148">
        <f>IFERROR(__xludf.DUMMYFUNCTION("""COMPUTED_VALUE"""),30.0)</f>
        <v>30</v>
      </c>
      <c r="F669" s="148">
        <f>IFERROR(__xludf.DUMMYFUNCTION("""COMPUTED_VALUE"""),401107.0)</f>
        <v>401107</v>
      </c>
      <c r="G669" s="148">
        <f>IFERROR(__xludf.DUMMYFUNCTION("""COMPUTED_VALUE"""),1.51101547E8)</f>
        <v>151101547</v>
      </c>
      <c r="H669" s="148">
        <f>IFERROR(__xludf.DUMMYFUNCTION("""COMPUTED_VALUE"""),1.5112564E7)</f>
        <v>15112564</v>
      </c>
      <c r="I669" s="148" t="str">
        <f>IFERROR(__xludf.DUMMYFUNCTION("""COMPUTED_VALUE"""),"{}")</f>
        <v>{}</v>
      </c>
      <c r="J669" s="148" t="str">
        <f>IFERROR(__xludf.DUMMYFUNCTION("""COMPUTED_VALUE"""),"{""typ"":""lc"",""txt"":""LC_ITEM_sci_nameplate_2025""}")</f>
        <v>{"typ":"lc","txt":"LC_ITEM_sci_nameplate_2025"}</v>
      </c>
      <c r="K669" s="148" t="str">
        <f>IFERROR(__xludf.DUMMYFUNCTION("""COMPUTED_VALUE"""),"{""typ"":""lc"",""txt"":""LC_ITEM_sci_nameplate_2025_desc_item""}")</f>
        <v>{"typ":"lc","txt":"LC_ITEM_sci_nameplate_2025_desc_item"}</v>
      </c>
      <c r="L669" s="148" t="str">
        <f>IFERROR(__xludf.DUMMYFUNCTION("""COMPUTED_VALUE"""),"{""typ"":""lc"",""txt"":""LC_ITEM_season_extra_reward_usedtip""}")</f>
        <v>{"typ":"lc","txt":"LC_ITEM_season_extra_reward_usedtip"}</v>
      </c>
      <c r="M669" s="148">
        <f>IFERROR(__xludf.DUMMYFUNCTION("""COMPUTED_VALUE"""),2500.0)</f>
        <v>2500</v>
      </c>
      <c r="N669" s="148">
        <f>IFERROR(__xludf.DUMMYFUNCTION("""COMPUTED_VALUE"""),9999999.0)</f>
        <v>9999999</v>
      </c>
      <c r="O669" s="148">
        <f>IFERROR(__xludf.DUMMYFUNCTION("""COMPUTED_VALUE"""),1.0)</f>
        <v>1</v>
      </c>
      <c r="P669" s="148">
        <f>IFERROR(__xludf.DUMMYFUNCTION("""COMPUTED_VALUE"""),1.0)</f>
        <v>1</v>
      </c>
      <c r="Q669" s="148" t="str">
        <f>IFERROR(__xludf.DUMMYFUNCTION("""COMPUTED_VALUE"""),"[""bag_other""]")</f>
        <v>["bag_other"]</v>
      </c>
      <c r="R669" s="148" t="str">
        <f>IFERROR(__xludf.DUMMYFUNCTION("""COMPUTED_VALUE"""),"[""11731034"",""bag""]")</f>
        <v>["11731034","bag"]</v>
      </c>
      <c r="S669" s="148" t="str">
        <f>IFERROR(__xludf.DUMMYFUNCTION("""COMPUTED_VALUE"""),"{""effect"":[{""typ"":""nameplate"",""id"":11731034,""val"":-1}]}")</f>
        <v>{"effect":[{"typ":"nameplate","id":11731034,"val":-1}]}</v>
      </c>
      <c r="T669" s="148">
        <f>IFERROR(__xludf.DUMMYFUNCTION("""COMPUTED_VALUE"""),-1.0)</f>
        <v>-1</v>
      </c>
      <c r="U669" s="148">
        <f>IFERROR(__xludf.DUMMYFUNCTION("""COMPUTED_VALUE"""),0.0)</f>
        <v>0</v>
      </c>
      <c r="V669" s="148" t="str">
        <f>IFERROR(__xludf.DUMMYFUNCTION("""COMPUTED_VALUE"""),"[]")</f>
        <v>[]</v>
      </c>
      <c r="W669" s="148">
        <f>IFERROR(__xludf.DUMMYFUNCTION("""COMPUTED_VALUE"""),1.174E7)</f>
        <v>11740000</v>
      </c>
      <c r="X669" s="148">
        <f>IFERROR(__xludf.DUMMYFUNCTION("""COMPUTED_VALUE"""),0.0)</f>
        <v>0</v>
      </c>
      <c r="Y669" s="148">
        <f>IFERROR(__xludf.DUMMYFUNCTION("""COMPUTED_VALUE"""),0.0)</f>
        <v>0</v>
      </c>
      <c r="Z669" s="148"/>
    </row>
    <row r="670">
      <c r="A670" s="148">
        <f>IFERROR(__xludf.DUMMYFUNCTION("""COMPUTED_VALUE"""),1.1112467E7)</f>
        <v>11112467</v>
      </c>
      <c r="B670" s="148" t="str">
        <f>IFERROR(__xludf.DUMMYFUNCTION("""COMPUTED_VALUE"""),"2025科技节拼图好礼-友情币（弃用）")</f>
        <v>2025科技节拼图好礼-友情币（弃用）</v>
      </c>
      <c r="C670" s="148"/>
      <c r="D670" s="148" t="str">
        <f>IFERROR(__xludf.DUMMYFUNCTION("""COMPUTED_VALUE"""),"event")</f>
        <v>event</v>
      </c>
      <c r="E670" s="148">
        <f>IFERROR(__xludf.DUMMYFUNCTION("""COMPUTED_VALUE"""),0.0)</f>
        <v>0</v>
      </c>
      <c r="F670" s="148">
        <f>IFERROR(__xludf.DUMMYFUNCTION("""COMPUTED_VALUE"""),405217.0)</f>
        <v>405217</v>
      </c>
      <c r="G670" s="148">
        <f>IFERROR(__xludf.DUMMYFUNCTION("""COMPUTED_VALUE"""),1.51191E7)</f>
        <v>15119100</v>
      </c>
      <c r="H670" s="148">
        <f>IFERROR(__xludf.DUMMYFUNCTION("""COMPUTED_VALUE"""),1.5112563E7)</f>
        <v>15112563</v>
      </c>
      <c r="I670" s="148" t="str">
        <f>IFERROR(__xludf.DUMMYFUNCTION("""COMPUTED_VALUE"""),"{}")</f>
        <v>{}</v>
      </c>
      <c r="J670" s="148" t="str">
        <f>IFERROR(__xludf.DUMMYFUNCTION("""COMPUTED_VALUE"""),"{""typ"":""lc"",""txt"":""LC_EVENT_science_coin_gift""}")</f>
        <v>{"typ":"lc","txt":"LC_EVENT_science_coin_gift"}</v>
      </c>
      <c r="K670" s="148" t="str">
        <f>IFERROR(__xludf.DUMMYFUNCTION("""COMPUTED_VALUE"""),"{""typ"":""lc"",""txt"":""LC_EVENT_science_coin_gift_desc""}")</f>
        <v>{"typ":"lc","txt":"LC_EVENT_science_coin_gift_desc"}</v>
      </c>
      <c r="L670" s="148" t="str">
        <f>IFERROR(__xludf.DUMMYFUNCTION("""COMPUTED_VALUE"""),"{}")</f>
        <v>{}</v>
      </c>
      <c r="M670" s="148">
        <f>IFERROR(__xludf.DUMMYFUNCTION("""COMPUTED_VALUE"""),35.0)</f>
        <v>35</v>
      </c>
      <c r="N670" s="148">
        <f>IFERROR(__xludf.DUMMYFUNCTION("""COMPUTED_VALUE"""),999999.0)</f>
        <v>999999</v>
      </c>
      <c r="O670" s="148">
        <f>IFERROR(__xludf.DUMMYFUNCTION("""COMPUTED_VALUE"""),99999.0)</f>
        <v>99999</v>
      </c>
      <c r="P670" s="148">
        <f>IFERROR(__xludf.DUMMYFUNCTION("""COMPUTED_VALUE"""),99999.0)</f>
        <v>99999</v>
      </c>
      <c r="Q670" s="148" t="str">
        <f>IFERROR(__xludf.DUMMYFUNCTION("""COMPUTED_VALUE"""),"[""bag_other""]")</f>
        <v>["bag_other"]</v>
      </c>
      <c r="R670" s="148" t="str">
        <f>IFERROR(__xludf.DUMMYFUNCTION("""COMPUTED_VALUE"""),"[]")</f>
        <v>[]</v>
      </c>
      <c r="S670" s="148" t="str">
        <f>IFERROR(__xludf.DUMMYFUNCTION("""COMPUTED_VALUE"""),"{}")</f>
        <v>{}</v>
      </c>
      <c r="T670" s="148">
        <f>IFERROR(__xludf.DUMMYFUNCTION("""COMPUTED_VALUE"""),-1.0)</f>
        <v>-1</v>
      </c>
      <c r="U670" s="148">
        <f>IFERROR(__xludf.DUMMYFUNCTION("""COMPUTED_VALUE"""),0.0)</f>
        <v>0</v>
      </c>
      <c r="V670" s="148" t="str">
        <f>IFERROR(__xludf.DUMMYFUNCTION("""COMPUTED_VALUE"""),"[]")</f>
        <v>[]</v>
      </c>
      <c r="W670" s="148">
        <f>IFERROR(__xludf.DUMMYFUNCTION("""COMPUTED_VALUE"""),1.174E7)</f>
        <v>11740000</v>
      </c>
      <c r="X670" s="148">
        <f>IFERROR(__xludf.DUMMYFUNCTION("""COMPUTED_VALUE"""),0.0)</f>
        <v>0</v>
      </c>
      <c r="Y670" s="148">
        <f>IFERROR(__xludf.DUMMYFUNCTION("""COMPUTED_VALUE"""),0.0)</f>
        <v>0</v>
      </c>
      <c r="Z670" s="148"/>
    </row>
    <row r="671">
      <c r="A671" s="148">
        <f>IFERROR(__xludf.DUMMYFUNCTION("""COMPUTED_VALUE"""),1.1112468E7)</f>
        <v>11112468</v>
      </c>
      <c r="B671" s="148" t="str">
        <f>IFERROR(__xludf.DUMMYFUNCTION("""COMPUTED_VALUE"""),"2025科技节拼图好礼-猩链币（弃用）")</f>
        <v>2025科技节拼图好礼-猩链币（弃用）</v>
      </c>
      <c r="C671" s="148"/>
      <c r="D671" s="148" t="str">
        <f>IFERROR(__xludf.DUMMYFUNCTION("""COMPUTED_VALUE"""),"event")</f>
        <v>event</v>
      </c>
      <c r="E671" s="148">
        <f>IFERROR(__xludf.DUMMYFUNCTION("""COMPUTED_VALUE"""),0.0)</f>
        <v>0</v>
      </c>
      <c r="F671" s="148">
        <f>IFERROR(__xludf.DUMMYFUNCTION("""COMPUTED_VALUE"""),405217.0)</f>
        <v>405217</v>
      </c>
      <c r="G671" s="148">
        <f>IFERROR(__xludf.DUMMYFUNCTION("""COMPUTED_VALUE"""),1.5119101E7)</f>
        <v>15119101</v>
      </c>
      <c r="H671" s="148">
        <f>IFERROR(__xludf.DUMMYFUNCTION("""COMPUTED_VALUE"""),1.5112563E7)</f>
        <v>15112563</v>
      </c>
      <c r="I671" s="148" t="str">
        <f>IFERROR(__xludf.DUMMYFUNCTION("""COMPUTED_VALUE"""),"{}")</f>
        <v>{}</v>
      </c>
      <c r="J671" s="148" t="str">
        <f>IFERROR(__xludf.DUMMYFUNCTION("""COMPUTED_VALUE"""),"{""typ"":""lc"",""txt"":""LC_EVENT_science_coin_unlock""}")</f>
        <v>{"typ":"lc","txt":"LC_EVENT_science_coin_unlock"}</v>
      </c>
      <c r="K671" s="148" t="str">
        <f>IFERROR(__xludf.DUMMYFUNCTION("""COMPUTED_VALUE"""),"{""typ"":""lc"",""txt"":""LC_EVENT_science_coin_unlock_desc""}")</f>
        <v>{"typ":"lc","txt":"LC_EVENT_science_coin_unlock_desc"}</v>
      </c>
      <c r="L671" s="148" t="str">
        <f>IFERROR(__xludf.DUMMYFUNCTION("""COMPUTED_VALUE"""),"{}")</f>
        <v>{}</v>
      </c>
      <c r="M671" s="148">
        <f>IFERROR(__xludf.DUMMYFUNCTION("""COMPUTED_VALUE"""),35.0)</f>
        <v>35</v>
      </c>
      <c r="N671" s="148">
        <f>IFERROR(__xludf.DUMMYFUNCTION("""COMPUTED_VALUE"""),999999.0)</f>
        <v>999999</v>
      </c>
      <c r="O671" s="148">
        <f>IFERROR(__xludf.DUMMYFUNCTION("""COMPUTED_VALUE"""),99999.0)</f>
        <v>99999</v>
      </c>
      <c r="P671" s="148">
        <f>IFERROR(__xludf.DUMMYFUNCTION("""COMPUTED_VALUE"""),99999.0)</f>
        <v>99999</v>
      </c>
      <c r="Q671" s="148" t="str">
        <f>IFERROR(__xludf.DUMMYFUNCTION("""COMPUTED_VALUE"""),"[""bag_other""]")</f>
        <v>["bag_other"]</v>
      </c>
      <c r="R671" s="148" t="str">
        <f>IFERROR(__xludf.DUMMYFUNCTION("""COMPUTED_VALUE"""),"[""bag""]")</f>
        <v>["bag"]</v>
      </c>
      <c r="S671" s="148" t="str">
        <f>IFERROR(__xludf.DUMMYFUNCTION("""COMPUTED_VALUE"""),"{}")</f>
        <v>{}</v>
      </c>
      <c r="T671" s="148">
        <f>IFERROR(__xludf.DUMMYFUNCTION("""COMPUTED_VALUE"""),1.0)</f>
        <v>1</v>
      </c>
      <c r="U671" s="148">
        <f>IFERROR(__xludf.DUMMYFUNCTION("""COMPUTED_VALUE"""),0.0)</f>
        <v>0</v>
      </c>
      <c r="V671" s="148" t="str">
        <f>IFERROR(__xludf.DUMMYFUNCTION("""COMPUTED_VALUE"""),"[]")</f>
        <v>[]</v>
      </c>
      <c r="W671" s="148">
        <f>IFERROR(__xludf.DUMMYFUNCTION("""COMPUTED_VALUE"""),1.174E7)</f>
        <v>11740000</v>
      </c>
      <c r="X671" s="148">
        <f>IFERROR(__xludf.DUMMYFUNCTION("""COMPUTED_VALUE"""),0.0)</f>
        <v>0</v>
      </c>
      <c r="Y671" s="148">
        <f>IFERROR(__xludf.DUMMYFUNCTION("""COMPUTED_VALUE"""),0.0)</f>
        <v>0</v>
      </c>
      <c r="Z671" s="148"/>
    </row>
    <row r="672">
      <c r="A672" s="148">
        <f>IFERROR(__xludf.DUMMYFUNCTION("""COMPUTED_VALUE"""),1.1112469E7)</f>
        <v>11112469</v>
      </c>
      <c r="B672" s="148" t="str">
        <f>IFERROR(__xludf.DUMMYFUNCTION("""COMPUTED_VALUE"""),"科技节拼图-水晶1")</f>
        <v>科技节拼图-水晶1</v>
      </c>
      <c r="C672" s="148"/>
      <c r="D672" s="148" t="str">
        <f>IFERROR(__xludf.DUMMYFUNCTION("""COMPUTED_VALUE"""),"event")</f>
        <v>event</v>
      </c>
      <c r="E672" s="148">
        <f>IFERROR(__xludf.DUMMYFUNCTION("""COMPUTED_VALUE"""),0.0)</f>
        <v>0</v>
      </c>
      <c r="F672" s="148">
        <f>IFERROR(__xludf.DUMMYFUNCTION("""COMPUTED_VALUE"""),405217.0)</f>
        <v>405217</v>
      </c>
      <c r="G672" s="148">
        <f>IFERROR(__xludf.DUMMYFUNCTION("""COMPUTED_VALUE"""),1.511015E8)</f>
        <v>151101500</v>
      </c>
      <c r="H672" s="148">
        <f>IFERROR(__xludf.DUMMYFUNCTION("""COMPUTED_VALUE"""),1.5112563E7)</f>
        <v>15112563</v>
      </c>
      <c r="I672" s="148" t="str">
        <f>IFERROR(__xludf.DUMMYFUNCTION("""COMPUTED_VALUE"""),"{}")</f>
        <v>{}</v>
      </c>
      <c r="J672" s="148" t="str">
        <f>IFERROR(__xludf.DUMMYFUNCTION("""COMPUTED_VALUE"""),"{""typ"":""lc"",""txt"":""LC_EVENT_science_puzzel_unlock_puzzel""}")</f>
        <v>{"typ":"lc","txt":"LC_EVENT_science_puzzel_unlock_puzzel"}</v>
      </c>
      <c r="K672" s="148" t="str">
        <f>IFERROR(__xludf.DUMMYFUNCTION("""COMPUTED_VALUE"""),"{""typ"":""lc"",""txt"":""LC_EVENT_science_coin_unlock_desc""}")</f>
        <v>{"typ":"lc","txt":"LC_EVENT_science_coin_unlock_desc"}</v>
      </c>
      <c r="L672" s="148" t="str">
        <f>IFERROR(__xludf.DUMMYFUNCTION("""COMPUTED_VALUE"""),"{}")</f>
        <v>{}</v>
      </c>
      <c r="M672" s="148">
        <f>IFERROR(__xludf.DUMMYFUNCTION("""COMPUTED_VALUE"""),35.0)</f>
        <v>35</v>
      </c>
      <c r="N672" s="148">
        <f>IFERROR(__xludf.DUMMYFUNCTION("""COMPUTED_VALUE"""),999999.0)</f>
        <v>999999</v>
      </c>
      <c r="O672" s="148">
        <f>IFERROR(__xludf.DUMMYFUNCTION("""COMPUTED_VALUE"""),99999.0)</f>
        <v>99999</v>
      </c>
      <c r="P672" s="148">
        <f>IFERROR(__xludf.DUMMYFUNCTION("""COMPUTED_VALUE"""),99999.0)</f>
        <v>99999</v>
      </c>
      <c r="Q672" s="148" t="str">
        <f>IFERROR(__xludf.DUMMYFUNCTION("""COMPUTED_VALUE"""),"[]")</f>
        <v>[]</v>
      </c>
      <c r="R672" s="148" t="str">
        <f>IFERROR(__xludf.DUMMYFUNCTION("""COMPUTED_VALUE"""),"[]")</f>
        <v>[]</v>
      </c>
      <c r="S672" s="148" t="str">
        <f>IFERROR(__xludf.DUMMYFUNCTION("""COMPUTED_VALUE"""),"{}")</f>
        <v>{}</v>
      </c>
      <c r="T672" s="148">
        <f>IFERROR(__xludf.DUMMYFUNCTION("""COMPUTED_VALUE"""),-1.0)</f>
        <v>-1</v>
      </c>
      <c r="U672" s="148">
        <f>IFERROR(__xludf.DUMMYFUNCTION("""COMPUTED_VALUE"""),0.0)</f>
        <v>0</v>
      </c>
      <c r="V672" s="148" t="str">
        <f>IFERROR(__xludf.DUMMYFUNCTION("""COMPUTED_VALUE"""),"[]")</f>
        <v>[]</v>
      </c>
      <c r="W672" s="148">
        <f>IFERROR(__xludf.DUMMYFUNCTION("""COMPUTED_VALUE"""),1.174E7)</f>
        <v>11740000</v>
      </c>
      <c r="X672" s="148">
        <f>IFERROR(__xludf.DUMMYFUNCTION("""COMPUTED_VALUE"""),0.0)</f>
        <v>0</v>
      </c>
      <c r="Y672" s="148">
        <f>IFERROR(__xludf.DUMMYFUNCTION("""COMPUTED_VALUE"""),0.0)</f>
        <v>0</v>
      </c>
      <c r="Z672" s="148"/>
    </row>
    <row r="673">
      <c r="A673" s="148">
        <f>IFERROR(__xludf.DUMMYFUNCTION("""COMPUTED_VALUE"""),1.111247E7)</f>
        <v>11112470</v>
      </c>
      <c r="B673" s="148" t="str">
        <f>IFERROR(__xludf.DUMMYFUNCTION("""COMPUTED_VALUE"""),"科技节拼图-水晶2")</f>
        <v>科技节拼图-水晶2</v>
      </c>
      <c r="C673" s="148"/>
      <c r="D673" s="148" t="str">
        <f>IFERROR(__xludf.DUMMYFUNCTION("""COMPUTED_VALUE"""),"event")</f>
        <v>event</v>
      </c>
      <c r="E673" s="148">
        <f>IFERROR(__xludf.DUMMYFUNCTION("""COMPUTED_VALUE"""),0.0)</f>
        <v>0</v>
      </c>
      <c r="F673" s="148">
        <f>IFERROR(__xludf.DUMMYFUNCTION("""COMPUTED_VALUE"""),405217.0)</f>
        <v>405217</v>
      </c>
      <c r="G673" s="148">
        <f>IFERROR(__xludf.DUMMYFUNCTION("""COMPUTED_VALUE"""),1.51101501E8)</f>
        <v>151101501</v>
      </c>
      <c r="H673" s="148">
        <f>IFERROR(__xludf.DUMMYFUNCTION("""COMPUTED_VALUE"""),1.5112563E7)</f>
        <v>15112563</v>
      </c>
      <c r="I673" s="148" t="str">
        <f>IFERROR(__xludf.DUMMYFUNCTION("""COMPUTED_VALUE"""),"{}")</f>
        <v>{}</v>
      </c>
      <c r="J673" s="148" t="str">
        <f>IFERROR(__xludf.DUMMYFUNCTION("""COMPUTED_VALUE"""),"{""typ"":""lc"",""txt"":""LC_EVENT_science_puzzel_unlock_puzzel""}")</f>
        <v>{"typ":"lc","txt":"LC_EVENT_science_puzzel_unlock_puzzel"}</v>
      </c>
      <c r="K673" s="148" t="str">
        <f>IFERROR(__xludf.DUMMYFUNCTION("""COMPUTED_VALUE"""),"{""typ"":""lc"",""txt"":""LC_EVENT_science_coin_unlock_desc""}")</f>
        <v>{"typ":"lc","txt":"LC_EVENT_science_coin_unlock_desc"}</v>
      </c>
      <c r="L673" s="148" t="str">
        <f>IFERROR(__xludf.DUMMYFUNCTION("""COMPUTED_VALUE"""),"{}")</f>
        <v>{}</v>
      </c>
      <c r="M673" s="148">
        <f>IFERROR(__xludf.DUMMYFUNCTION("""COMPUTED_VALUE"""),35.0)</f>
        <v>35</v>
      </c>
      <c r="N673" s="148">
        <f>IFERROR(__xludf.DUMMYFUNCTION("""COMPUTED_VALUE"""),999999.0)</f>
        <v>999999</v>
      </c>
      <c r="O673" s="148">
        <f>IFERROR(__xludf.DUMMYFUNCTION("""COMPUTED_VALUE"""),99999.0)</f>
        <v>99999</v>
      </c>
      <c r="P673" s="148">
        <f>IFERROR(__xludf.DUMMYFUNCTION("""COMPUTED_VALUE"""),99999.0)</f>
        <v>99999</v>
      </c>
      <c r="Q673" s="148" t="str">
        <f>IFERROR(__xludf.DUMMYFUNCTION("""COMPUTED_VALUE"""),"[]")</f>
        <v>[]</v>
      </c>
      <c r="R673" s="148" t="str">
        <f>IFERROR(__xludf.DUMMYFUNCTION("""COMPUTED_VALUE"""),"[]")</f>
        <v>[]</v>
      </c>
      <c r="S673" s="148" t="str">
        <f>IFERROR(__xludf.DUMMYFUNCTION("""COMPUTED_VALUE"""),"{}")</f>
        <v>{}</v>
      </c>
      <c r="T673" s="148">
        <f>IFERROR(__xludf.DUMMYFUNCTION("""COMPUTED_VALUE"""),-1.0)</f>
        <v>-1</v>
      </c>
      <c r="U673" s="148">
        <f>IFERROR(__xludf.DUMMYFUNCTION("""COMPUTED_VALUE"""),0.0)</f>
        <v>0</v>
      </c>
      <c r="V673" s="148" t="str">
        <f>IFERROR(__xludf.DUMMYFUNCTION("""COMPUTED_VALUE"""),"[]")</f>
        <v>[]</v>
      </c>
      <c r="W673" s="148">
        <f>IFERROR(__xludf.DUMMYFUNCTION("""COMPUTED_VALUE"""),1.174E7)</f>
        <v>11740000</v>
      </c>
      <c r="X673" s="148">
        <f>IFERROR(__xludf.DUMMYFUNCTION("""COMPUTED_VALUE"""),0.0)</f>
        <v>0</v>
      </c>
      <c r="Y673" s="148">
        <f>IFERROR(__xludf.DUMMYFUNCTION("""COMPUTED_VALUE"""),0.0)</f>
        <v>0</v>
      </c>
      <c r="Z673" s="148"/>
    </row>
    <row r="674">
      <c r="A674" s="148">
        <f>IFERROR(__xludf.DUMMYFUNCTION("""COMPUTED_VALUE"""),1.1112471E7)</f>
        <v>11112471</v>
      </c>
      <c r="B674" s="148" t="str">
        <f>IFERROR(__xludf.DUMMYFUNCTION("""COMPUTED_VALUE"""),"科技节拼图-水晶3")</f>
        <v>科技节拼图-水晶3</v>
      </c>
      <c r="C674" s="148"/>
      <c r="D674" s="148" t="str">
        <f>IFERROR(__xludf.DUMMYFUNCTION("""COMPUTED_VALUE"""),"event")</f>
        <v>event</v>
      </c>
      <c r="E674" s="148">
        <f>IFERROR(__xludf.DUMMYFUNCTION("""COMPUTED_VALUE"""),0.0)</f>
        <v>0</v>
      </c>
      <c r="F674" s="148">
        <f>IFERROR(__xludf.DUMMYFUNCTION("""COMPUTED_VALUE"""),405217.0)</f>
        <v>405217</v>
      </c>
      <c r="G674" s="148">
        <f>IFERROR(__xludf.DUMMYFUNCTION("""COMPUTED_VALUE"""),1.51101502E8)</f>
        <v>151101502</v>
      </c>
      <c r="H674" s="148">
        <f>IFERROR(__xludf.DUMMYFUNCTION("""COMPUTED_VALUE"""),1.5112563E7)</f>
        <v>15112563</v>
      </c>
      <c r="I674" s="148" t="str">
        <f>IFERROR(__xludf.DUMMYFUNCTION("""COMPUTED_VALUE"""),"{}")</f>
        <v>{}</v>
      </c>
      <c r="J674" s="148" t="str">
        <f>IFERROR(__xludf.DUMMYFUNCTION("""COMPUTED_VALUE"""),"{""typ"":""lc"",""txt"":""LC_EVENT_science_puzzel_unlock_puzzel""}")</f>
        <v>{"typ":"lc","txt":"LC_EVENT_science_puzzel_unlock_puzzel"}</v>
      </c>
      <c r="K674" s="148" t="str">
        <f>IFERROR(__xludf.DUMMYFUNCTION("""COMPUTED_VALUE"""),"{""typ"":""lc"",""txt"":""LC_EVENT_science_coin_unlock_desc""}")</f>
        <v>{"typ":"lc","txt":"LC_EVENT_science_coin_unlock_desc"}</v>
      </c>
      <c r="L674" s="148" t="str">
        <f>IFERROR(__xludf.DUMMYFUNCTION("""COMPUTED_VALUE"""),"{}")</f>
        <v>{}</v>
      </c>
      <c r="M674" s="148">
        <f>IFERROR(__xludf.DUMMYFUNCTION("""COMPUTED_VALUE"""),35.0)</f>
        <v>35</v>
      </c>
      <c r="N674" s="148">
        <f>IFERROR(__xludf.DUMMYFUNCTION("""COMPUTED_VALUE"""),999999.0)</f>
        <v>999999</v>
      </c>
      <c r="O674" s="148">
        <f>IFERROR(__xludf.DUMMYFUNCTION("""COMPUTED_VALUE"""),99999.0)</f>
        <v>99999</v>
      </c>
      <c r="P674" s="148">
        <f>IFERROR(__xludf.DUMMYFUNCTION("""COMPUTED_VALUE"""),99999.0)</f>
        <v>99999</v>
      </c>
      <c r="Q674" s="148" t="str">
        <f>IFERROR(__xludf.DUMMYFUNCTION("""COMPUTED_VALUE"""),"[]")</f>
        <v>[]</v>
      </c>
      <c r="R674" s="148" t="str">
        <f>IFERROR(__xludf.DUMMYFUNCTION("""COMPUTED_VALUE"""),"[]")</f>
        <v>[]</v>
      </c>
      <c r="S674" s="148" t="str">
        <f>IFERROR(__xludf.DUMMYFUNCTION("""COMPUTED_VALUE"""),"{}")</f>
        <v>{}</v>
      </c>
      <c r="T674" s="148">
        <f>IFERROR(__xludf.DUMMYFUNCTION("""COMPUTED_VALUE"""),-1.0)</f>
        <v>-1</v>
      </c>
      <c r="U674" s="148">
        <f>IFERROR(__xludf.DUMMYFUNCTION("""COMPUTED_VALUE"""),0.0)</f>
        <v>0</v>
      </c>
      <c r="V674" s="148" t="str">
        <f>IFERROR(__xludf.DUMMYFUNCTION("""COMPUTED_VALUE"""),"[]")</f>
        <v>[]</v>
      </c>
      <c r="W674" s="148">
        <f>IFERROR(__xludf.DUMMYFUNCTION("""COMPUTED_VALUE"""),1.174E7)</f>
        <v>11740000</v>
      </c>
      <c r="X674" s="148">
        <f>IFERROR(__xludf.DUMMYFUNCTION("""COMPUTED_VALUE"""),0.0)</f>
        <v>0</v>
      </c>
      <c r="Y674" s="148">
        <f>IFERROR(__xludf.DUMMYFUNCTION("""COMPUTED_VALUE"""),0.0)</f>
        <v>0</v>
      </c>
      <c r="Z674" s="148"/>
    </row>
    <row r="675">
      <c r="A675" s="148">
        <f>IFERROR(__xludf.DUMMYFUNCTION("""COMPUTED_VALUE"""),1.1112472E7)</f>
        <v>11112472</v>
      </c>
      <c r="B675" s="148" t="str">
        <f>IFERROR(__xludf.DUMMYFUNCTION("""COMPUTED_VALUE"""),"科技节拼图-底座1")</f>
        <v>科技节拼图-底座1</v>
      </c>
      <c r="C675" s="148"/>
      <c r="D675" s="148" t="str">
        <f>IFERROR(__xludf.DUMMYFUNCTION("""COMPUTED_VALUE"""),"event")</f>
        <v>event</v>
      </c>
      <c r="E675" s="148">
        <f>IFERROR(__xludf.DUMMYFUNCTION("""COMPUTED_VALUE"""),0.0)</f>
        <v>0</v>
      </c>
      <c r="F675" s="148">
        <f>IFERROR(__xludf.DUMMYFUNCTION("""COMPUTED_VALUE"""),405217.0)</f>
        <v>405217</v>
      </c>
      <c r="G675" s="148">
        <f>IFERROR(__xludf.DUMMYFUNCTION("""COMPUTED_VALUE"""),1.51101503E8)</f>
        <v>151101503</v>
      </c>
      <c r="H675" s="148">
        <f>IFERROR(__xludf.DUMMYFUNCTION("""COMPUTED_VALUE"""),1.5112563E7)</f>
        <v>15112563</v>
      </c>
      <c r="I675" s="148" t="str">
        <f>IFERROR(__xludf.DUMMYFUNCTION("""COMPUTED_VALUE"""),"{}")</f>
        <v>{}</v>
      </c>
      <c r="J675" s="148" t="str">
        <f>IFERROR(__xludf.DUMMYFUNCTION("""COMPUTED_VALUE"""),"{""typ"":""lc"",""txt"":""LC_EVENT_science_puzzel_unlock_puzzel""}")</f>
        <v>{"typ":"lc","txt":"LC_EVENT_science_puzzel_unlock_puzzel"}</v>
      </c>
      <c r="K675" s="148" t="str">
        <f>IFERROR(__xludf.DUMMYFUNCTION("""COMPUTED_VALUE"""),"{""typ"":""lc"",""txt"":""LC_EVENT_science_coin_unlock_desc""}")</f>
        <v>{"typ":"lc","txt":"LC_EVENT_science_coin_unlock_desc"}</v>
      </c>
      <c r="L675" s="148" t="str">
        <f>IFERROR(__xludf.DUMMYFUNCTION("""COMPUTED_VALUE"""),"{}")</f>
        <v>{}</v>
      </c>
      <c r="M675" s="148">
        <f>IFERROR(__xludf.DUMMYFUNCTION("""COMPUTED_VALUE"""),35.0)</f>
        <v>35</v>
      </c>
      <c r="N675" s="148">
        <f>IFERROR(__xludf.DUMMYFUNCTION("""COMPUTED_VALUE"""),999999.0)</f>
        <v>999999</v>
      </c>
      <c r="O675" s="148">
        <f>IFERROR(__xludf.DUMMYFUNCTION("""COMPUTED_VALUE"""),99999.0)</f>
        <v>99999</v>
      </c>
      <c r="P675" s="148">
        <f>IFERROR(__xludf.DUMMYFUNCTION("""COMPUTED_VALUE"""),99999.0)</f>
        <v>99999</v>
      </c>
      <c r="Q675" s="148" t="str">
        <f>IFERROR(__xludf.DUMMYFUNCTION("""COMPUTED_VALUE"""),"[]")</f>
        <v>[]</v>
      </c>
      <c r="R675" s="148" t="str">
        <f>IFERROR(__xludf.DUMMYFUNCTION("""COMPUTED_VALUE"""),"[]")</f>
        <v>[]</v>
      </c>
      <c r="S675" s="148" t="str">
        <f>IFERROR(__xludf.DUMMYFUNCTION("""COMPUTED_VALUE"""),"{}")</f>
        <v>{}</v>
      </c>
      <c r="T675" s="148">
        <f>IFERROR(__xludf.DUMMYFUNCTION("""COMPUTED_VALUE"""),-1.0)</f>
        <v>-1</v>
      </c>
      <c r="U675" s="148">
        <f>IFERROR(__xludf.DUMMYFUNCTION("""COMPUTED_VALUE"""),0.0)</f>
        <v>0</v>
      </c>
      <c r="V675" s="148" t="str">
        <f>IFERROR(__xludf.DUMMYFUNCTION("""COMPUTED_VALUE"""),"[]")</f>
        <v>[]</v>
      </c>
      <c r="W675" s="148">
        <f>IFERROR(__xludf.DUMMYFUNCTION("""COMPUTED_VALUE"""),1.174E7)</f>
        <v>11740000</v>
      </c>
      <c r="X675" s="148">
        <f>IFERROR(__xludf.DUMMYFUNCTION("""COMPUTED_VALUE"""),0.0)</f>
        <v>0</v>
      </c>
      <c r="Y675" s="148">
        <f>IFERROR(__xludf.DUMMYFUNCTION("""COMPUTED_VALUE"""),0.0)</f>
        <v>0</v>
      </c>
      <c r="Z675" s="148"/>
    </row>
    <row r="676">
      <c r="A676" s="148">
        <f>IFERROR(__xludf.DUMMYFUNCTION("""COMPUTED_VALUE"""),1.1112473E7)</f>
        <v>11112473</v>
      </c>
      <c r="B676" s="148" t="str">
        <f>IFERROR(__xludf.DUMMYFUNCTION("""COMPUTED_VALUE"""),"科技节拼图-底座2")</f>
        <v>科技节拼图-底座2</v>
      </c>
      <c r="C676" s="148"/>
      <c r="D676" s="148" t="str">
        <f>IFERROR(__xludf.DUMMYFUNCTION("""COMPUTED_VALUE"""),"event")</f>
        <v>event</v>
      </c>
      <c r="E676" s="148">
        <f>IFERROR(__xludf.DUMMYFUNCTION("""COMPUTED_VALUE"""),0.0)</f>
        <v>0</v>
      </c>
      <c r="F676" s="148">
        <f>IFERROR(__xludf.DUMMYFUNCTION("""COMPUTED_VALUE"""),405217.0)</f>
        <v>405217</v>
      </c>
      <c r="G676" s="148">
        <f>IFERROR(__xludf.DUMMYFUNCTION("""COMPUTED_VALUE"""),1.51101504E8)</f>
        <v>151101504</v>
      </c>
      <c r="H676" s="148">
        <f>IFERROR(__xludf.DUMMYFUNCTION("""COMPUTED_VALUE"""),1.5112563E7)</f>
        <v>15112563</v>
      </c>
      <c r="I676" s="148" t="str">
        <f>IFERROR(__xludf.DUMMYFUNCTION("""COMPUTED_VALUE"""),"{}")</f>
        <v>{}</v>
      </c>
      <c r="J676" s="148" t="str">
        <f>IFERROR(__xludf.DUMMYFUNCTION("""COMPUTED_VALUE"""),"{""typ"":""lc"",""txt"":""LC_EVENT_science_puzzel_unlock_puzzel""}")</f>
        <v>{"typ":"lc","txt":"LC_EVENT_science_puzzel_unlock_puzzel"}</v>
      </c>
      <c r="K676" s="148" t="str">
        <f>IFERROR(__xludf.DUMMYFUNCTION("""COMPUTED_VALUE"""),"{""typ"":""lc"",""txt"":""LC_EVENT_science_coin_unlock_desc""}")</f>
        <v>{"typ":"lc","txt":"LC_EVENT_science_coin_unlock_desc"}</v>
      </c>
      <c r="L676" s="148" t="str">
        <f>IFERROR(__xludf.DUMMYFUNCTION("""COMPUTED_VALUE"""),"{}")</f>
        <v>{}</v>
      </c>
      <c r="M676" s="148">
        <f>IFERROR(__xludf.DUMMYFUNCTION("""COMPUTED_VALUE"""),35.0)</f>
        <v>35</v>
      </c>
      <c r="N676" s="148">
        <f>IFERROR(__xludf.DUMMYFUNCTION("""COMPUTED_VALUE"""),999999.0)</f>
        <v>999999</v>
      </c>
      <c r="O676" s="148">
        <f>IFERROR(__xludf.DUMMYFUNCTION("""COMPUTED_VALUE"""),99999.0)</f>
        <v>99999</v>
      </c>
      <c r="P676" s="148">
        <f>IFERROR(__xludf.DUMMYFUNCTION("""COMPUTED_VALUE"""),99999.0)</f>
        <v>99999</v>
      </c>
      <c r="Q676" s="148" t="str">
        <f>IFERROR(__xludf.DUMMYFUNCTION("""COMPUTED_VALUE"""),"[]")</f>
        <v>[]</v>
      </c>
      <c r="R676" s="148" t="str">
        <f>IFERROR(__xludf.DUMMYFUNCTION("""COMPUTED_VALUE"""),"[]")</f>
        <v>[]</v>
      </c>
      <c r="S676" s="148" t="str">
        <f>IFERROR(__xludf.DUMMYFUNCTION("""COMPUTED_VALUE"""),"{}")</f>
        <v>{}</v>
      </c>
      <c r="T676" s="148">
        <f>IFERROR(__xludf.DUMMYFUNCTION("""COMPUTED_VALUE"""),-1.0)</f>
        <v>-1</v>
      </c>
      <c r="U676" s="148">
        <f>IFERROR(__xludf.DUMMYFUNCTION("""COMPUTED_VALUE"""),0.0)</f>
        <v>0</v>
      </c>
      <c r="V676" s="148" t="str">
        <f>IFERROR(__xludf.DUMMYFUNCTION("""COMPUTED_VALUE"""),"[]")</f>
        <v>[]</v>
      </c>
      <c r="W676" s="148">
        <f>IFERROR(__xludf.DUMMYFUNCTION("""COMPUTED_VALUE"""),1.174E7)</f>
        <v>11740000</v>
      </c>
      <c r="X676" s="148">
        <f>IFERROR(__xludf.DUMMYFUNCTION("""COMPUTED_VALUE"""),0.0)</f>
        <v>0</v>
      </c>
      <c r="Y676" s="148">
        <f>IFERROR(__xludf.DUMMYFUNCTION("""COMPUTED_VALUE"""),0.0)</f>
        <v>0</v>
      </c>
      <c r="Z676" s="148"/>
    </row>
    <row r="677">
      <c r="A677" s="148">
        <f>IFERROR(__xludf.DUMMYFUNCTION("""COMPUTED_VALUE"""),1.1112474E7)</f>
        <v>11112474</v>
      </c>
      <c r="B677" s="148" t="str">
        <f>IFERROR(__xludf.DUMMYFUNCTION("""COMPUTED_VALUE"""),"2025科技节-装饰券宝箱-1")</f>
        <v>2025科技节-装饰券宝箱-1</v>
      </c>
      <c r="C677" s="148"/>
      <c r="D677" s="148" t="str">
        <f>IFERROR(__xludf.DUMMYFUNCTION("""COMPUTED_VALUE"""),"valentine_reward_box")</f>
        <v>valentine_reward_box</v>
      </c>
      <c r="E677" s="148">
        <f>IFERROR(__xludf.DUMMYFUNCTION("""COMPUTED_VALUE"""),19.0)</f>
        <v>19</v>
      </c>
      <c r="F677" s="148">
        <f>IFERROR(__xludf.DUMMYFUNCTION("""COMPUTED_VALUE"""),201101.0)</f>
        <v>201101</v>
      </c>
      <c r="G677" s="148">
        <f>IFERROR(__xludf.DUMMYFUNCTION("""COMPUTED_VALUE"""),1.5118225E7)</f>
        <v>15118225</v>
      </c>
      <c r="H677" s="148">
        <f>IFERROR(__xludf.DUMMYFUNCTION("""COMPUTED_VALUE"""),1.5112564E7)</f>
        <v>15112564</v>
      </c>
      <c r="I677" s="148" t="str">
        <f>IFERROR(__xludf.DUMMYFUNCTION("""COMPUTED_VALUE"""),"{}")</f>
        <v>{}</v>
      </c>
      <c r="J677" s="148" t="str">
        <f>IFERROR(__xludf.DUMMYFUNCTION("""COMPUTED_VALUE"""),"{""typ"":""lc"",""txt"":""LC_ITEM_fes_box_name""}")</f>
        <v>{"typ":"lc","txt":"LC_ITEM_fes_box_name"}</v>
      </c>
      <c r="K677" s="148" t="str">
        <f>IFERROR(__xludf.DUMMYFUNCTION("""COMPUTED_VALUE"""),"{""typ"":""lc"",""txt"":""LC_ITEM_fes_box_desc""}")</f>
        <v>{"typ":"lc","txt":"LC_ITEM_fes_box_desc"}</v>
      </c>
      <c r="L677" s="148" t="str">
        <f>IFERROR(__xludf.DUMMYFUNCTION("""COMPUTED_VALUE"""),"{""typ"":""lc"",""txt"":""LC_ITEM_horde_elite_box_usedtip""}")</f>
        <v>{"typ":"lc","txt":"LC_ITEM_horde_elite_box_usedtip"}</v>
      </c>
      <c r="M677" s="148">
        <f>IFERROR(__xludf.DUMMYFUNCTION("""COMPUTED_VALUE"""),40.0)</f>
        <v>40</v>
      </c>
      <c r="N677" s="148">
        <f>IFERROR(__xludf.DUMMYFUNCTION("""COMPUTED_VALUE"""),999999.0)</f>
        <v>999999</v>
      </c>
      <c r="O677" s="148">
        <f>IFERROR(__xludf.DUMMYFUNCTION("""COMPUTED_VALUE"""),99999.0)</f>
        <v>99999</v>
      </c>
      <c r="P677" s="148">
        <f>IFERROR(__xludf.DUMMYFUNCTION("""COMPUTED_VALUE"""),99999.0)</f>
        <v>99999</v>
      </c>
      <c r="Q677" s="148" t="str">
        <f>IFERROR(__xludf.DUMMYFUNCTION("""COMPUTED_VALUE"""),"[""bag_other""]")</f>
        <v>["bag_other"]</v>
      </c>
      <c r="R677" s="148" t="str">
        <f>IFERROR(__xludf.DUMMYFUNCTION("""COMPUTED_VALUE"""),"[""bag""]")</f>
        <v>["bag"]</v>
      </c>
      <c r="S677" s="148" t="str">
        <f>IFERROR(__xludf.DUMMYFUNCTION("""COMPUTED_VALUE"""),"{""drop"":{""typ"":""single_random"",""num"":1,""args"":[{""typ"":""item"",""id"":11112030,""num"":1000,""wgt"":19980},{""typ"":""item"",""id"":11112030,""num"":200,""wgt"":120000},{""typ"":""item"",""id"":11112030,""num"":50,""wgt"":200000},{""typ"":""it"&amp;"em"",""id"":11112431,""num"":1,""wgt"":10},{""typ"":""item"",""id"":11119473,""num"":1,""wgt"":10},{""typ"":""item"",""id"":11112030,""num"":20,""wgt"":400000},{""typ"":""item"",""id"":11112030,""num"":100,""wgt"":200000},{""typ"":""item"",""id"":11112030"&amp;",""num"":400,""wgt"":60000}]}}")</f>
        <v>{"drop":{"typ":"single_random","num":1,"args":[{"typ":"item","id":11112030,"num":1000,"wgt":19980},{"typ":"item","id":11112030,"num":200,"wgt":120000},{"typ":"item","id":11112030,"num":50,"wgt":200000},{"typ":"item","id":11112431,"num":1,"wgt":10},{"typ":"item","id":11119473,"num":1,"wgt":10},{"typ":"item","id":11112030,"num":20,"wgt":400000},{"typ":"item","id":11112030,"num":100,"wgt":200000},{"typ":"item","id":11112030,"num":400,"wgt":60000}]}}</v>
      </c>
      <c r="T677" s="148">
        <f>IFERROR(__xludf.DUMMYFUNCTION("""COMPUTED_VALUE"""),-1.0)</f>
        <v>-1</v>
      </c>
      <c r="U677" s="148">
        <f>IFERROR(__xludf.DUMMYFUNCTION("""COMPUTED_VALUE"""),0.0)</f>
        <v>0</v>
      </c>
      <c r="V677" s="148" t="str">
        <f>IFERROR(__xludf.DUMMYFUNCTION("""COMPUTED_VALUE"""),"[]")</f>
        <v>[]</v>
      </c>
      <c r="W677" s="148">
        <f>IFERROR(__xludf.DUMMYFUNCTION("""COMPUTED_VALUE"""),1.174E7)</f>
        <v>11740000</v>
      </c>
      <c r="X677" s="148">
        <f>IFERROR(__xludf.DUMMYFUNCTION("""COMPUTED_VALUE"""),0.0)</f>
        <v>0</v>
      </c>
      <c r="Y677" s="148">
        <f>IFERROR(__xludf.DUMMYFUNCTION("""COMPUTED_VALUE"""),0.0)</f>
        <v>0</v>
      </c>
      <c r="Z677" s="148"/>
    </row>
    <row r="678">
      <c r="A678" s="148">
        <f>IFERROR(__xludf.DUMMYFUNCTION("""COMPUTED_VALUE"""),1.1112475E7)</f>
        <v>11112475</v>
      </c>
      <c r="B678" s="148" t="str">
        <f>IFERROR(__xludf.DUMMYFUNCTION("""COMPUTED_VALUE"""),"2025科技节-装饰券组件宝箱-2")</f>
        <v>2025科技节-装饰券组件宝箱-2</v>
      </c>
      <c r="C678" s="148"/>
      <c r="D678" s="148" t="str">
        <f>IFERROR(__xludf.DUMMYFUNCTION("""COMPUTED_VALUE"""),"valentine_reward_box")</f>
        <v>valentine_reward_box</v>
      </c>
      <c r="E678" s="148">
        <f>IFERROR(__xludf.DUMMYFUNCTION("""COMPUTED_VALUE"""),19.0)</f>
        <v>19</v>
      </c>
      <c r="F678" s="148">
        <f>IFERROR(__xludf.DUMMYFUNCTION("""COMPUTED_VALUE"""),201101.0)</f>
        <v>201101</v>
      </c>
      <c r="G678" s="148">
        <f>IFERROR(__xludf.DUMMYFUNCTION("""COMPUTED_VALUE"""),1.5118225E7)</f>
        <v>15118225</v>
      </c>
      <c r="H678" s="148">
        <f>IFERROR(__xludf.DUMMYFUNCTION("""COMPUTED_VALUE"""),1.5112564E7)</f>
        <v>15112564</v>
      </c>
      <c r="I678" s="148" t="str">
        <f>IFERROR(__xludf.DUMMYFUNCTION("""COMPUTED_VALUE"""),"{}")</f>
        <v>{}</v>
      </c>
      <c r="J678" s="148" t="str">
        <f>IFERROR(__xludf.DUMMYFUNCTION("""COMPUTED_VALUE"""),"{""typ"":""lc"",""txt"":""LC_ITEM_sci_fes_box_name_1""}")</f>
        <v>{"typ":"lc","txt":"LC_ITEM_sci_fes_box_name_1"}</v>
      </c>
      <c r="K678" s="148" t="str">
        <f>IFERROR(__xludf.DUMMYFUNCTION("""COMPUTED_VALUE"""),"{""typ"":""lc"",""txt"":""LC_ITEM_sci_fes_box_desc_1""}")</f>
        <v>{"typ":"lc","txt":"LC_ITEM_sci_fes_box_desc_1"}</v>
      </c>
      <c r="L678" s="148" t="str">
        <f>IFERROR(__xludf.DUMMYFUNCTION("""COMPUTED_VALUE"""),"{""typ"":""lc"",""txt"":""LC_ITEM_horde_elite_box_usedtip""}")</f>
        <v>{"typ":"lc","txt":"LC_ITEM_horde_elite_box_usedtip"}</v>
      </c>
      <c r="M678" s="148">
        <f>IFERROR(__xludf.DUMMYFUNCTION("""COMPUTED_VALUE"""),40.0)</f>
        <v>40</v>
      </c>
      <c r="N678" s="148">
        <f>IFERROR(__xludf.DUMMYFUNCTION("""COMPUTED_VALUE"""),999999.0)</f>
        <v>999999</v>
      </c>
      <c r="O678" s="148">
        <f>IFERROR(__xludf.DUMMYFUNCTION("""COMPUTED_VALUE"""),99999.0)</f>
        <v>99999</v>
      </c>
      <c r="P678" s="148">
        <f>IFERROR(__xludf.DUMMYFUNCTION("""COMPUTED_VALUE"""),99999.0)</f>
        <v>99999</v>
      </c>
      <c r="Q678" s="148" t="str">
        <f>IFERROR(__xludf.DUMMYFUNCTION("""COMPUTED_VALUE"""),"[""bag_other""]")</f>
        <v>["bag_other"]</v>
      </c>
      <c r="R678" s="148" t="str">
        <f>IFERROR(__xludf.DUMMYFUNCTION("""COMPUTED_VALUE"""),"[""bag""]")</f>
        <v>["bag"]</v>
      </c>
      <c r="S678" s="148" t="str">
        <f>IFERROR(__xludf.DUMMYFUNCTION("""COMPUTED_VALUE"""),"{""drop"":{""typ"":""single_random"",""num"":1,""args"":[{""typ"":""item"",""id"":11112030,""num"":1000,""wgt"":19980},{""typ"":""item"",""id"":11112030,""num"":200,""wgt"":120000},{""typ"":""item"",""id"":11112030,""num"":50,""wgt"":200000},{""typ"":""it"&amp;"em"",""id"":11119467,""num"":1,""wgt"":10},{""typ"":""item"",""id"":11119468,""num"":1,""wgt"":10},{""typ"":""item"",""id"":11112030,""num"":20,""wgt"":400000},{""typ"":""item"",""id"":11112030,""num"":100,""wgt"":200000},{""typ"":""item"",""id"":11112030"&amp;",""num"":400,""wgt"":60000}]}}")</f>
        <v>{"drop":{"typ":"single_random","num":1,"args":[{"typ":"item","id":11112030,"num":1000,"wgt":19980},{"typ":"item","id":11112030,"num":200,"wgt":120000},{"typ":"item","id":11112030,"num":50,"wgt":200000},{"typ":"item","id":11119467,"num":1,"wgt":10},{"typ":"item","id":11119468,"num":1,"wgt":10},{"typ":"item","id":11112030,"num":20,"wgt":400000},{"typ":"item","id":11112030,"num":100,"wgt":200000},{"typ":"item","id":11112030,"num":400,"wgt":60000}]}}</v>
      </c>
      <c r="T678" s="148">
        <f>IFERROR(__xludf.DUMMYFUNCTION("""COMPUTED_VALUE"""),-1.0)</f>
        <v>-1</v>
      </c>
      <c r="U678" s="148">
        <f>IFERROR(__xludf.DUMMYFUNCTION("""COMPUTED_VALUE"""),0.0)</f>
        <v>0</v>
      </c>
      <c r="V678" s="148" t="str">
        <f>IFERROR(__xludf.DUMMYFUNCTION("""COMPUTED_VALUE"""),"[]")</f>
        <v>[]</v>
      </c>
      <c r="W678" s="148">
        <f>IFERROR(__xludf.DUMMYFUNCTION("""COMPUTED_VALUE"""),1.174E7)</f>
        <v>11740000</v>
      </c>
      <c r="X678" s="148">
        <f>IFERROR(__xludf.DUMMYFUNCTION("""COMPUTED_VALUE"""),0.0)</f>
        <v>0</v>
      </c>
      <c r="Y678" s="148">
        <f>IFERROR(__xludf.DUMMYFUNCTION("""COMPUTED_VALUE"""),0.0)</f>
        <v>0</v>
      </c>
      <c r="Z678" s="148"/>
    </row>
    <row r="679">
      <c r="A679" s="148">
        <f>IFERROR(__xludf.DUMMYFUNCTION("""COMPUTED_VALUE"""),1.1112476E7)</f>
        <v>11112476</v>
      </c>
      <c r="B679" s="148" t="str">
        <f>IFERROR(__xludf.DUMMYFUNCTION("""COMPUTED_VALUE"""),"科技节2025gacha专用-增加大奖抽奖次数")</f>
        <v>科技节2025gacha专用-增加大奖抽奖次数</v>
      </c>
      <c r="C679" s="148"/>
      <c r="D679" s="148" t="str">
        <f>IFERROR(__xludf.DUMMYFUNCTION("""COMPUTED_VALUE"""),"event")</f>
        <v>event</v>
      </c>
      <c r="E679" s="148">
        <f>IFERROR(__xludf.DUMMYFUNCTION("""COMPUTED_VALUE"""),0.0)</f>
        <v>0</v>
      </c>
      <c r="F679" s="148">
        <f>IFERROR(__xludf.DUMMYFUNCTION("""COMPUTED_VALUE"""),0.0)</f>
        <v>0</v>
      </c>
      <c r="G679" s="148">
        <f>IFERROR(__xludf.DUMMYFUNCTION("""COMPUTED_VALUE"""),1.5116809E7)</f>
        <v>15116809</v>
      </c>
      <c r="H679" s="148">
        <f>IFERROR(__xludf.DUMMYFUNCTION("""COMPUTED_VALUE"""),1.5112564E7)</f>
        <v>15112564</v>
      </c>
      <c r="I679" s="148" t="str">
        <f>IFERROR(__xludf.DUMMYFUNCTION("""COMPUTED_VALUE"""),"{}")</f>
        <v>{}</v>
      </c>
      <c r="J679" s="148" t="str">
        <f>IFERROR(__xludf.DUMMYFUNCTION("""COMPUTED_VALUE"""),"{""typ"":""lc"",""txt"":""LC_ITEM_2023laborday_gacha_inner_item""}")</f>
        <v>{"typ":"lc","txt":"LC_ITEM_2023laborday_gacha_inner_item"}</v>
      </c>
      <c r="K679" s="148" t="str">
        <f>IFERROR(__xludf.DUMMYFUNCTION("""COMPUTED_VALUE"""),"{""typ"":""lc"",""txt"":""LC_ITEM_2023laborday_gacha_inner_item_desc""}")</f>
        <v>{"typ":"lc","txt":"LC_ITEM_2023laborday_gacha_inner_item_desc"}</v>
      </c>
      <c r="L679" s="148" t="str">
        <f>IFERROR(__xludf.DUMMYFUNCTION("""COMPUTED_VALUE"""),"{}")</f>
        <v>{}</v>
      </c>
      <c r="M679" s="148">
        <f>IFERROR(__xludf.DUMMYFUNCTION("""COMPUTED_VALUE"""),700.0)</f>
        <v>700</v>
      </c>
      <c r="N679" s="148">
        <f>IFERROR(__xludf.DUMMYFUNCTION("""COMPUTED_VALUE"""),9.99999999E8)</f>
        <v>999999999</v>
      </c>
      <c r="O679" s="148">
        <f>IFERROR(__xludf.DUMMYFUNCTION("""COMPUTED_VALUE"""),9.99999999E8)</f>
        <v>999999999</v>
      </c>
      <c r="P679" s="148">
        <f>IFERROR(__xludf.DUMMYFUNCTION("""COMPUTED_VALUE"""),9.99999999E8)</f>
        <v>999999999</v>
      </c>
      <c r="Q679" s="148" t="str">
        <f>IFERROR(__xludf.DUMMYFUNCTION("""COMPUTED_VALUE"""),"[]")</f>
        <v>[]</v>
      </c>
      <c r="R679" s="148" t="str">
        <f>IFERROR(__xludf.DUMMYFUNCTION("""COMPUTED_VALUE"""),"[""bag""]")</f>
        <v>["bag"]</v>
      </c>
      <c r="S679" s="148" t="str">
        <f>IFERROR(__xludf.DUMMYFUNCTION("""COMPUTED_VALUE"""),"{}")</f>
        <v>{}</v>
      </c>
      <c r="T679" s="148">
        <f>IFERROR(__xludf.DUMMYFUNCTION("""COMPUTED_VALUE"""),1.0)</f>
        <v>1</v>
      </c>
      <c r="U679" s="148">
        <f>IFERROR(__xludf.DUMMYFUNCTION("""COMPUTED_VALUE"""),0.0)</f>
        <v>0</v>
      </c>
      <c r="V679" s="148" t="str">
        <f>IFERROR(__xludf.DUMMYFUNCTION("""COMPUTED_VALUE"""),"[]")</f>
        <v>[]</v>
      </c>
      <c r="W679" s="148">
        <f>IFERROR(__xludf.DUMMYFUNCTION("""COMPUTED_VALUE"""),1.174E7)</f>
        <v>11740000</v>
      </c>
      <c r="X679" s="148">
        <f>IFERROR(__xludf.DUMMYFUNCTION("""COMPUTED_VALUE"""),0.0)</f>
        <v>0</v>
      </c>
      <c r="Y679" s="148">
        <f>IFERROR(__xludf.DUMMYFUNCTION("""COMPUTED_VALUE"""),0.0)</f>
        <v>0</v>
      </c>
      <c r="Z679" s="148"/>
    </row>
    <row r="680">
      <c r="A680" s="148">
        <f>IFERROR(__xludf.DUMMYFUNCTION("""COMPUTED_VALUE"""),1.1112477E7)</f>
        <v>11112477</v>
      </c>
      <c r="B680" s="148" t="str">
        <f>IFERROR(__xludf.DUMMYFUNCTION("""COMPUTED_VALUE"""),"2025科技节主城自选道具")</f>
        <v>2025科技节主城自选道具</v>
      </c>
      <c r="C680" s="148"/>
      <c r="D680" s="148" t="str">
        <f>IFERROR(__xludf.DUMMYFUNCTION("""COMPUTED_VALUE"""),"item_select_box")</f>
        <v>item_select_box</v>
      </c>
      <c r="E680" s="148">
        <f>IFERROR(__xludf.DUMMYFUNCTION("""COMPUTED_VALUE"""),19.0)</f>
        <v>19</v>
      </c>
      <c r="F680" s="148">
        <f>IFERROR(__xludf.DUMMYFUNCTION("""COMPUTED_VALUE"""),403200.0)</f>
        <v>403200</v>
      </c>
      <c r="G680" s="148">
        <f>IFERROR(__xludf.DUMMYFUNCTION("""COMPUTED_VALUE"""),1.5110021E8)</f>
        <v>151100210</v>
      </c>
      <c r="H680" s="148">
        <f>IFERROR(__xludf.DUMMYFUNCTION("""COMPUTED_VALUE"""),1.5112564E7)</f>
        <v>15112564</v>
      </c>
      <c r="I680" s="148" t="str">
        <f>IFERROR(__xludf.DUMMYFUNCTION("""COMPUTED_VALUE"""),"{}")</f>
        <v>{}</v>
      </c>
      <c r="J680" s="148" t="str">
        <f>IFERROR(__xludf.DUMMYFUNCTION("""COMPUTED_VALUE"""),"{""typ"":""lc"",""txt"":""LC_ITEM_2025tech_skin_box_name""}")</f>
        <v>{"typ":"lc","txt":"LC_ITEM_2025tech_skin_box_name"}</v>
      </c>
      <c r="K680" s="148" t="str">
        <f>IFERROR(__xludf.DUMMYFUNCTION("""COMPUTED_VALUE"""),"{""typ"":""lc"",""txt"":""LC_ITEM_2025tech_skin_box_desc"",""args"":[{""typ"":""int"",""val"":1},{""typ"":""int"",""val"":1}]}")</f>
        <v>{"typ":"lc","txt":"LC_ITEM_2025tech_skin_box_desc","args":[{"typ":"int","val":1},{"typ":"int","val":1}]}</v>
      </c>
      <c r="L680" s="148" t="str">
        <f>IFERROR(__xludf.DUMMYFUNCTION("""COMPUTED_VALUE"""),"{""typ"":""lc"",""txt"":""LC_ITEM_chest_from_atk_npc_usedtip""}")</f>
        <v>{"typ":"lc","txt":"LC_ITEM_chest_from_atk_npc_usedtip"}</v>
      </c>
      <c r="M680" s="148">
        <f>IFERROR(__xludf.DUMMYFUNCTION("""COMPUTED_VALUE"""),1000.0)</f>
        <v>1000</v>
      </c>
      <c r="N680" s="148">
        <f>IFERROR(__xludf.DUMMYFUNCTION("""COMPUTED_VALUE"""),999999.0)</f>
        <v>999999</v>
      </c>
      <c r="O680" s="148">
        <f>IFERROR(__xludf.DUMMYFUNCTION("""COMPUTED_VALUE"""),99999.0)</f>
        <v>99999</v>
      </c>
      <c r="P680" s="148">
        <f>IFERROR(__xludf.DUMMYFUNCTION("""COMPUTED_VALUE"""),99999.0)</f>
        <v>99999</v>
      </c>
      <c r="Q680" s="148" t="str">
        <f>IFERROR(__xludf.DUMMYFUNCTION("""COMPUTED_VALUE"""),"[""bag_other""]")</f>
        <v>["bag_other"]</v>
      </c>
      <c r="R680" s="148" t="str">
        <f>IFERROR(__xludf.DUMMYFUNCTION("""COMPUTED_VALUE"""),"[""bag""]")</f>
        <v>["bag"]</v>
      </c>
      <c r="S680" s="148" t="str">
        <f>IFERROR(__xludf.DUMMYFUNCTION("""COMPUTED_VALUE"""),"{""select_box"":[{""typ"":""item"",""id"":11112022,""val"":1},{""typ"":""item"",""id"":11112036,""val"":1},{""typ"":""item"",""id"":11112131,""val"":1}]}")</f>
        <v>{"select_box":[{"typ":"item","id":11112022,"val":1},{"typ":"item","id":11112036,"val":1},{"typ":"item","id":11112131,"val":1}]}</v>
      </c>
      <c r="T680" s="148">
        <f>IFERROR(__xludf.DUMMYFUNCTION("""COMPUTED_VALUE"""),1.0)</f>
        <v>1</v>
      </c>
      <c r="U680" s="148">
        <f>IFERROR(__xludf.DUMMYFUNCTION("""COMPUTED_VALUE"""),0.0)</f>
        <v>0</v>
      </c>
      <c r="V680" s="148" t="str">
        <f>IFERROR(__xludf.DUMMYFUNCTION("""COMPUTED_VALUE"""),"[]")</f>
        <v>[]</v>
      </c>
      <c r="W680" s="148">
        <f>IFERROR(__xludf.DUMMYFUNCTION("""COMPUTED_VALUE"""),1.174E7)</f>
        <v>11740000</v>
      </c>
      <c r="X680" s="148">
        <f>IFERROR(__xludf.DUMMYFUNCTION("""COMPUTED_VALUE"""),0.0)</f>
        <v>0</v>
      </c>
      <c r="Y680" s="148">
        <f>IFERROR(__xludf.DUMMYFUNCTION("""COMPUTED_VALUE"""),0.0)</f>
        <v>0</v>
      </c>
      <c r="Z680" s="148"/>
    </row>
    <row r="681">
      <c r="A681" s="148">
        <f>IFERROR(__xludf.DUMMYFUNCTION("""COMPUTED_VALUE"""),1.1112478E7)</f>
        <v>11112478</v>
      </c>
      <c r="B681" s="148" t="str">
        <f>IFERROR(__xludf.DUMMYFUNCTION("""COMPUTED_VALUE"""),"2025复活节主城自选道具")</f>
        <v>2025复活节主城自选道具</v>
      </c>
      <c r="C681" s="148"/>
      <c r="D681" s="148" t="str">
        <f>IFERROR(__xludf.DUMMYFUNCTION("""COMPUTED_VALUE"""),"item_select_box")</f>
        <v>item_select_box</v>
      </c>
      <c r="E681" s="148">
        <f>IFERROR(__xludf.DUMMYFUNCTION("""COMPUTED_VALUE"""),19.0)</f>
        <v>19</v>
      </c>
      <c r="F681" s="148">
        <f>IFERROR(__xludf.DUMMYFUNCTION("""COMPUTED_VALUE"""),403200.0)</f>
        <v>403200</v>
      </c>
      <c r="G681" s="148">
        <f>IFERROR(__xludf.DUMMYFUNCTION("""COMPUTED_VALUE"""),1.51101732E8)</f>
        <v>151101732</v>
      </c>
      <c r="H681" s="148">
        <f>IFERROR(__xludf.DUMMYFUNCTION("""COMPUTED_VALUE"""),1.5112564E7)</f>
        <v>15112564</v>
      </c>
      <c r="I681" s="148" t="str">
        <f>IFERROR(__xludf.DUMMYFUNCTION("""COMPUTED_VALUE"""),"{}")</f>
        <v>{}</v>
      </c>
      <c r="J681" s="148" t="str">
        <f>IFERROR(__xludf.DUMMYFUNCTION("""COMPUTED_VALUE"""),"{""typ"":""lc"",""txt"":""LC_ITEM_2025easter_skin_box_name""}")</f>
        <v>{"typ":"lc","txt":"LC_ITEM_2025easter_skin_box_name"}</v>
      </c>
      <c r="K681" s="148" t="str">
        <f>IFERROR(__xludf.DUMMYFUNCTION("""COMPUTED_VALUE"""),"{""typ"":""lc"",""txt"":""LC_ITEM_2025easter_skin_box_desc"",""args"":[{""typ"":""int"",""val"":1},{""typ"":""int"",""val"":1}]}")</f>
        <v>{"typ":"lc","txt":"LC_ITEM_2025easter_skin_box_desc","args":[{"typ":"int","val":1},{"typ":"int","val":1}]}</v>
      </c>
      <c r="L681" s="148" t="str">
        <f>IFERROR(__xludf.DUMMYFUNCTION("""COMPUTED_VALUE"""),"{""typ"":""lc"",""txt"":""LC_ITEM_chest_from_atk_npc_usedtip""}")</f>
        <v>{"typ":"lc","txt":"LC_ITEM_chest_from_atk_npc_usedtip"}</v>
      </c>
      <c r="M681" s="148">
        <f>IFERROR(__xludf.DUMMYFUNCTION("""COMPUTED_VALUE"""),1000.0)</f>
        <v>1000</v>
      </c>
      <c r="N681" s="148">
        <f>IFERROR(__xludf.DUMMYFUNCTION("""COMPUTED_VALUE"""),999999.0)</f>
        <v>999999</v>
      </c>
      <c r="O681" s="148">
        <f>IFERROR(__xludf.DUMMYFUNCTION("""COMPUTED_VALUE"""),99999.0)</f>
        <v>99999</v>
      </c>
      <c r="P681" s="148">
        <f>IFERROR(__xludf.DUMMYFUNCTION("""COMPUTED_VALUE"""),99999.0)</f>
        <v>99999</v>
      </c>
      <c r="Q681" s="148" t="str">
        <f>IFERROR(__xludf.DUMMYFUNCTION("""COMPUTED_VALUE"""),"[""bag_other""]")</f>
        <v>["bag_other"]</v>
      </c>
      <c r="R681" s="148" t="str">
        <f>IFERROR(__xludf.DUMMYFUNCTION("""COMPUTED_VALUE"""),"[""bag""]")</f>
        <v>["bag"]</v>
      </c>
      <c r="S681" s="148" t="str">
        <f>IFERROR(__xludf.DUMMYFUNCTION("""COMPUTED_VALUE"""),"{""select_box"":[{""typ"":""item"",""id"":11112194,""val"":1},{""typ"":""item"",""id"":11117085,""val"":1},{""typ"":""item"",""id"":11117246,""val"":1},{""typ"":""item"",""id"":11111334,""val"":1},{""typ"":""item"",""id"":11111331,""val"":1},{""typ"":""it"&amp;"em"",""id"":11112030,""val"":4500}]}")</f>
        <v>{"select_box":[{"typ":"item","id":11112194,"val":1},{"typ":"item","id":11117085,"val":1},{"typ":"item","id":11117246,"val":1},{"typ":"item","id":11111334,"val":1},{"typ":"item","id":11111331,"val":1},{"typ":"item","id":11112030,"val":4500}]}</v>
      </c>
      <c r="T681" s="148">
        <f>IFERROR(__xludf.DUMMYFUNCTION("""COMPUTED_VALUE"""),1.0)</f>
        <v>1</v>
      </c>
      <c r="U681" s="148">
        <f>IFERROR(__xludf.DUMMYFUNCTION("""COMPUTED_VALUE"""),0.0)</f>
        <v>0</v>
      </c>
      <c r="V681" s="148" t="str">
        <f>IFERROR(__xludf.DUMMYFUNCTION("""COMPUTED_VALUE"""),"[]")</f>
        <v>[]</v>
      </c>
      <c r="W681" s="148">
        <f>IFERROR(__xludf.DUMMYFUNCTION("""COMPUTED_VALUE"""),1.174E7)</f>
        <v>11740000</v>
      </c>
      <c r="X681" s="148">
        <f>IFERROR(__xludf.DUMMYFUNCTION("""COMPUTED_VALUE"""),0.0)</f>
        <v>0</v>
      </c>
      <c r="Y681" s="148">
        <f>IFERROR(__xludf.DUMMYFUNCTION("""COMPUTED_VALUE"""),0.0)</f>
        <v>0</v>
      </c>
      <c r="Z681" s="148"/>
    </row>
    <row r="682">
      <c r="A682" s="148">
        <f>IFERROR(__xludf.DUMMYFUNCTION("""COMPUTED_VALUE"""),1.1112479E7)</f>
        <v>11112479</v>
      </c>
      <c r="B682" s="148" t="str">
        <f>IFERROR(__xludf.DUMMYFUNCTION("""COMPUTED_VALUE"""),"2025复活节行军特效-龙蛋卫士-1天限时")</f>
        <v>2025复活节行军特效-龙蛋卫士-1天限时</v>
      </c>
      <c r="C682" s="148"/>
      <c r="D682" s="148" t="str">
        <f>IFERROR(__xludf.DUMMYFUNCTION("""COMPUTED_VALUE"""),"marching_effect")</f>
        <v>marching_effect</v>
      </c>
      <c r="E682" s="148">
        <f>IFERROR(__xludf.DUMMYFUNCTION("""COMPUTED_VALUE"""),0.0)</f>
        <v>0</v>
      </c>
      <c r="F682" s="148">
        <f>IFERROR(__xludf.DUMMYFUNCTION("""COMPUTED_VALUE"""),408200.0)</f>
        <v>408200</v>
      </c>
      <c r="G682" s="148">
        <f>IFERROR(__xludf.DUMMYFUNCTION("""COMPUTED_VALUE"""),1.51101597E8)</f>
        <v>151101597</v>
      </c>
      <c r="H682" s="148">
        <f>IFERROR(__xludf.DUMMYFUNCTION("""COMPUTED_VALUE"""),1.511256E7)</f>
        <v>15112560</v>
      </c>
      <c r="I682" s="148" t="str">
        <f>IFERROR(__xludf.DUMMYFUNCTION("""COMPUTED_VALUE"""),"{""typ"":""lc"",""txt"":""LC_ITEM_time_day_upper_show"",""args"":[{""typ"":""int_unit"",""val"":1}]}")</f>
        <v>{"typ":"lc","txt":"LC_ITEM_time_day_upper_show","args":[{"typ":"int_unit","val":1}]}</v>
      </c>
      <c r="J682" s="148" t="str">
        <f>IFERROR(__xludf.DUMMYFUNCTION("""COMPUTED_VALUE"""),"{""typ"":""lc"",""txt"":""LC_ITEM_egg_marcheffect_low_2025""}")</f>
        <v>{"typ":"lc","txt":"LC_ITEM_egg_marcheffect_low_2025"}</v>
      </c>
      <c r="K682" s="148" t="str">
        <f>IFERROR(__xludf.DUMMYFUNCTION("""COMPUTED_VALUE"""),"{""typ"":""lc"",""txt"":""LC_ITEM_egg_marcheffect_low_2025_desc""}")</f>
        <v>{"typ":"lc","txt":"LC_ITEM_egg_marcheffect_low_2025_desc"}</v>
      </c>
      <c r="L682" s="148" t="str">
        <f>IFERROR(__xludf.DUMMYFUNCTION("""COMPUTED_VALUE"""),"{""typ"":""lc"",""txt"":""LC_ITEM_march_effect_use_tip_all""}")</f>
        <v>{"typ":"lc","txt":"LC_ITEM_march_effect_use_tip_all"}</v>
      </c>
      <c r="M682" s="148">
        <f>IFERROR(__xludf.DUMMYFUNCTION("""COMPUTED_VALUE"""),50.0)</f>
        <v>50</v>
      </c>
      <c r="N682" s="148">
        <f>IFERROR(__xludf.DUMMYFUNCTION("""COMPUTED_VALUE"""),999999.0)</f>
        <v>999999</v>
      </c>
      <c r="O682" s="148">
        <f>IFERROR(__xludf.DUMMYFUNCTION("""COMPUTED_VALUE"""),99999.0)</f>
        <v>99999</v>
      </c>
      <c r="P682" s="148">
        <f>IFERROR(__xludf.DUMMYFUNCTION("""COMPUTED_VALUE"""),1.0)</f>
        <v>1</v>
      </c>
      <c r="Q682" s="148" t="str">
        <f>IFERROR(__xludf.DUMMYFUNCTION("""COMPUTED_VALUE"""),"[""bag_other""]")</f>
        <v>["bag_other"]</v>
      </c>
      <c r="R682" s="148" t="str">
        <f>IFERROR(__xludf.DUMMYFUNCTION("""COMPUTED_VALUE"""),"[""bag"",""13650132""]")</f>
        <v>["bag","13650132"]</v>
      </c>
      <c r="S682" s="148" t="str">
        <f>IFERROR(__xludf.DUMMYFUNCTION("""COMPUTED_VALUE"""),"{""effect"":[{""typ"":""marching_effect"",""id"":13650132,""val"":86400000},{""typ"":""vm"",""id"":11151001,""val"":50}]}")</f>
        <v>{"effect":[{"typ":"marching_effect","id":13650132,"val":86400000},{"typ":"vm","id":11151001,"val":50}]}</v>
      </c>
      <c r="T682" s="148">
        <f>IFERROR(__xludf.DUMMYFUNCTION("""COMPUTED_VALUE"""),-1.0)</f>
        <v>-1</v>
      </c>
      <c r="U682" s="148">
        <f>IFERROR(__xludf.DUMMYFUNCTION("""COMPUTED_VALUE"""),0.0)</f>
        <v>0</v>
      </c>
      <c r="V682" s="148" t="str">
        <f>IFERROR(__xludf.DUMMYFUNCTION("""COMPUTED_VALUE"""),"[]")</f>
        <v>[]</v>
      </c>
      <c r="W682" s="148">
        <f>IFERROR(__xludf.DUMMYFUNCTION("""COMPUTED_VALUE"""),1.174E7)</f>
        <v>11740000</v>
      </c>
      <c r="X682" s="148">
        <f>IFERROR(__xludf.DUMMYFUNCTION("""COMPUTED_VALUE"""),0.0)</f>
        <v>0</v>
      </c>
      <c r="Y682" s="148">
        <f>IFERROR(__xludf.DUMMYFUNCTION("""COMPUTED_VALUE"""),0.0)</f>
        <v>0</v>
      </c>
      <c r="Z682" s="148"/>
    </row>
    <row r="683">
      <c r="A683" s="148">
        <f>IFERROR(__xludf.DUMMYFUNCTION("""COMPUTED_VALUE"""),1.111248E7)</f>
        <v>11112480</v>
      </c>
      <c r="B683" s="148" t="str">
        <f>IFERROR(__xludf.DUMMYFUNCTION("""COMPUTED_VALUE"""),"2025复活节行军特效-龙蛋卫士-3天限时")</f>
        <v>2025复活节行军特效-龙蛋卫士-3天限时</v>
      </c>
      <c r="C683" s="148"/>
      <c r="D683" s="148" t="str">
        <f>IFERROR(__xludf.DUMMYFUNCTION("""COMPUTED_VALUE"""),"marching_effect")</f>
        <v>marching_effect</v>
      </c>
      <c r="E683" s="148">
        <f>IFERROR(__xludf.DUMMYFUNCTION("""COMPUTED_VALUE"""),0.0)</f>
        <v>0</v>
      </c>
      <c r="F683" s="148">
        <f>IFERROR(__xludf.DUMMYFUNCTION("""COMPUTED_VALUE"""),408199.0)</f>
        <v>408199</v>
      </c>
      <c r="G683" s="148">
        <f>IFERROR(__xludf.DUMMYFUNCTION("""COMPUTED_VALUE"""),1.51101597E8)</f>
        <v>151101597</v>
      </c>
      <c r="H683" s="148">
        <f>IFERROR(__xludf.DUMMYFUNCTION("""COMPUTED_VALUE"""),1.5112561E7)</f>
        <v>15112561</v>
      </c>
      <c r="I683" s="148" t="str">
        <f>IFERROR(__xludf.DUMMYFUNCTION("""COMPUTED_VALUE"""),"{""typ"":""lc"",""txt"":""LC_ITEM_time_day_upper_show"",""args"":[{""typ"":""int_unit"",""val"":3}]}")</f>
        <v>{"typ":"lc","txt":"LC_ITEM_time_day_upper_show","args":[{"typ":"int_unit","val":3}]}</v>
      </c>
      <c r="J683" s="148" t="str">
        <f>IFERROR(__xludf.DUMMYFUNCTION("""COMPUTED_VALUE"""),"{""typ"":""lc"",""txt"":""LC_ITEM_egg_marcheffect_low_2025""}")</f>
        <v>{"typ":"lc","txt":"LC_ITEM_egg_marcheffect_low_2025"}</v>
      </c>
      <c r="K683" s="148" t="str">
        <f>IFERROR(__xludf.DUMMYFUNCTION("""COMPUTED_VALUE"""),"{""typ"":""lc"",""txt"":""LC_ITEM_egg_marcheffect_low_2025_desc""}")</f>
        <v>{"typ":"lc","txt":"LC_ITEM_egg_marcheffect_low_2025_desc"}</v>
      </c>
      <c r="L683" s="148" t="str">
        <f>IFERROR(__xludf.DUMMYFUNCTION("""COMPUTED_VALUE"""),"{""typ"":""lc"",""txt"":""LC_ITEM_march_effect_use_tip_all""}")</f>
        <v>{"typ":"lc","txt":"LC_ITEM_march_effect_use_tip_all"}</v>
      </c>
      <c r="M683" s="148">
        <f>IFERROR(__xludf.DUMMYFUNCTION("""COMPUTED_VALUE"""),200.0)</f>
        <v>200</v>
      </c>
      <c r="N683" s="148">
        <f>IFERROR(__xludf.DUMMYFUNCTION("""COMPUTED_VALUE"""),999999.0)</f>
        <v>999999</v>
      </c>
      <c r="O683" s="148">
        <f>IFERROR(__xludf.DUMMYFUNCTION("""COMPUTED_VALUE"""),99999.0)</f>
        <v>99999</v>
      </c>
      <c r="P683" s="148">
        <f>IFERROR(__xludf.DUMMYFUNCTION("""COMPUTED_VALUE"""),1.0)</f>
        <v>1</v>
      </c>
      <c r="Q683" s="148" t="str">
        <f>IFERROR(__xludf.DUMMYFUNCTION("""COMPUTED_VALUE"""),"[""bag_other""]")</f>
        <v>["bag_other"]</v>
      </c>
      <c r="R683" s="148" t="str">
        <f>IFERROR(__xludf.DUMMYFUNCTION("""COMPUTED_VALUE"""),"[""bag"",""13650132""]")</f>
        <v>["bag","13650132"]</v>
      </c>
      <c r="S683" s="148" t="str">
        <f>IFERROR(__xludf.DUMMYFUNCTION("""COMPUTED_VALUE"""),"{""effect"":[{""typ"":""marching_effect"",""id"":13650132,""val"":259200000},{""typ"":""vm"",""id"":11151001,""val"":200}]}")</f>
        <v>{"effect":[{"typ":"marching_effect","id":13650132,"val":259200000},{"typ":"vm","id":11151001,"val":200}]}</v>
      </c>
      <c r="T683" s="148">
        <f>IFERROR(__xludf.DUMMYFUNCTION("""COMPUTED_VALUE"""),-1.0)</f>
        <v>-1</v>
      </c>
      <c r="U683" s="148">
        <f>IFERROR(__xludf.DUMMYFUNCTION("""COMPUTED_VALUE"""),0.0)</f>
        <v>0</v>
      </c>
      <c r="V683" s="148" t="str">
        <f>IFERROR(__xludf.DUMMYFUNCTION("""COMPUTED_VALUE"""),"[]")</f>
        <v>[]</v>
      </c>
      <c r="W683" s="148">
        <f>IFERROR(__xludf.DUMMYFUNCTION("""COMPUTED_VALUE"""),1.174E7)</f>
        <v>11740000</v>
      </c>
      <c r="X683" s="148">
        <f>IFERROR(__xludf.DUMMYFUNCTION("""COMPUTED_VALUE"""),0.0)</f>
        <v>0</v>
      </c>
      <c r="Y683" s="148">
        <f>IFERROR(__xludf.DUMMYFUNCTION("""COMPUTED_VALUE"""),0.0)</f>
        <v>0</v>
      </c>
      <c r="Z683" s="148"/>
    </row>
    <row r="684">
      <c r="A684" s="148">
        <f>IFERROR(__xludf.DUMMYFUNCTION("""COMPUTED_VALUE"""),1.1112481E7)</f>
        <v>11112481</v>
      </c>
      <c r="B684" s="148" t="str">
        <f>IFERROR(__xludf.DUMMYFUNCTION("""COMPUTED_VALUE"""),"2025复活节行军特效-龙蛋卫士-7天限时")</f>
        <v>2025复活节行军特效-龙蛋卫士-7天限时</v>
      </c>
      <c r="C684" s="148"/>
      <c r="D684" s="148" t="str">
        <f>IFERROR(__xludf.DUMMYFUNCTION("""COMPUTED_VALUE"""),"marching_effect")</f>
        <v>marching_effect</v>
      </c>
      <c r="E684" s="148">
        <f>IFERROR(__xludf.DUMMYFUNCTION("""COMPUTED_VALUE"""),0.0)</f>
        <v>0</v>
      </c>
      <c r="F684" s="148">
        <f>IFERROR(__xludf.DUMMYFUNCTION("""COMPUTED_VALUE"""),408198.0)</f>
        <v>408198</v>
      </c>
      <c r="G684" s="148">
        <f>IFERROR(__xludf.DUMMYFUNCTION("""COMPUTED_VALUE"""),1.51101597E8)</f>
        <v>151101597</v>
      </c>
      <c r="H684" s="148">
        <f>IFERROR(__xludf.DUMMYFUNCTION("""COMPUTED_VALUE"""),1.5112562E7)</f>
        <v>15112562</v>
      </c>
      <c r="I684" s="148" t="str">
        <f>IFERROR(__xludf.DUMMYFUNCTION("""COMPUTED_VALUE"""),"{""typ"":""lc"",""txt"":""LC_ITEM_time_day_upper_show"",""args"":[{""typ"":""int_unit"",""val"":7}]}")</f>
        <v>{"typ":"lc","txt":"LC_ITEM_time_day_upper_show","args":[{"typ":"int_unit","val":7}]}</v>
      </c>
      <c r="J684" s="148" t="str">
        <f>IFERROR(__xludf.DUMMYFUNCTION("""COMPUTED_VALUE"""),"{""typ"":""lc"",""txt"":""LC_ITEM_egg_marcheffect_low_2025""}")</f>
        <v>{"typ":"lc","txt":"LC_ITEM_egg_marcheffect_low_2025"}</v>
      </c>
      <c r="K684" s="148" t="str">
        <f>IFERROR(__xludf.DUMMYFUNCTION("""COMPUTED_VALUE"""),"{""typ"":""lc"",""txt"":""LC_ITEM_egg_marcheffect_low_2025_desc""}")</f>
        <v>{"typ":"lc","txt":"LC_ITEM_egg_marcheffect_low_2025_desc"}</v>
      </c>
      <c r="L684" s="148" t="str">
        <f>IFERROR(__xludf.DUMMYFUNCTION("""COMPUTED_VALUE"""),"{""typ"":""lc"",""txt"":""LC_ITEM_march_effect_use_tip_all""}")</f>
        <v>{"typ":"lc","txt":"LC_ITEM_march_effect_use_tip_all"}</v>
      </c>
      <c r="M684" s="148">
        <f>IFERROR(__xludf.DUMMYFUNCTION("""COMPUTED_VALUE"""),500.0)</f>
        <v>500</v>
      </c>
      <c r="N684" s="148">
        <f>IFERROR(__xludf.DUMMYFUNCTION("""COMPUTED_VALUE"""),999999.0)</f>
        <v>999999</v>
      </c>
      <c r="O684" s="148">
        <f>IFERROR(__xludf.DUMMYFUNCTION("""COMPUTED_VALUE"""),99999.0)</f>
        <v>99999</v>
      </c>
      <c r="P684" s="148">
        <f>IFERROR(__xludf.DUMMYFUNCTION("""COMPUTED_VALUE"""),1.0)</f>
        <v>1</v>
      </c>
      <c r="Q684" s="148" t="str">
        <f>IFERROR(__xludf.DUMMYFUNCTION("""COMPUTED_VALUE"""),"[""bag_other""]")</f>
        <v>["bag_other"]</v>
      </c>
      <c r="R684" s="148" t="str">
        <f>IFERROR(__xludf.DUMMYFUNCTION("""COMPUTED_VALUE"""),"[""bag"",""13650132""]")</f>
        <v>["bag","13650132"]</v>
      </c>
      <c r="S684" s="148" t="str">
        <f>IFERROR(__xludf.DUMMYFUNCTION("""COMPUTED_VALUE"""),"{""effect"":[{""typ"":""marching_effect"",""id"":13650132,""val"":604800000},{""typ"":""vm"",""id"":11151001,""val"":500}]}")</f>
        <v>{"effect":[{"typ":"marching_effect","id":13650132,"val":604800000},{"typ":"vm","id":11151001,"val":500}]}</v>
      </c>
      <c r="T684" s="148">
        <f>IFERROR(__xludf.DUMMYFUNCTION("""COMPUTED_VALUE"""),-1.0)</f>
        <v>-1</v>
      </c>
      <c r="U684" s="148">
        <f>IFERROR(__xludf.DUMMYFUNCTION("""COMPUTED_VALUE"""),0.0)</f>
        <v>0</v>
      </c>
      <c r="V684" s="148" t="str">
        <f>IFERROR(__xludf.DUMMYFUNCTION("""COMPUTED_VALUE"""),"[]")</f>
        <v>[]</v>
      </c>
      <c r="W684" s="148">
        <f>IFERROR(__xludf.DUMMYFUNCTION("""COMPUTED_VALUE"""),1.174E7)</f>
        <v>11740000</v>
      </c>
      <c r="X684" s="148">
        <f>IFERROR(__xludf.DUMMYFUNCTION("""COMPUTED_VALUE"""),0.0)</f>
        <v>0</v>
      </c>
      <c r="Y684" s="148">
        <f>IFERROR(__xludf.DUMMYFUNCTION("""COMPUTED_VALUE"""),0.0)</f>
        <v>0</v>
      </c>
      <c r="Z684" s="148"/>
    </row>
    <row r="685">
      <c r="A685" s="148">
        <f>IFERROR(__xludf.DUMMYFUNCTION("""COMPUTED_VALUE"""),1.1112482E7)</f>
        <v>11112482</v>
      </c>
      <c r="B685" s="148" t="str">
        <f>IFERROR(__xludf.DUMMYFUNCTION("""COMPUTED_VALUE"""),"2025复活节行军特效-龙蛋卫士-14天限时")</f>
        <v>2025复活节行军特效-龙蛋卫士-14天限时</v>
      </c>
      <c r="C685" s="148"/>
      <c r="D685" s="148" t="str">
        <f>IFERROR(__xludf.DUMMYFUNCTION("""COMPUTED_VALUE"""),"marching_effect")</f>
        <v>marching_effect</v>
      </c>
      <c r="E685" s="148">
        <f>IFERROR(__xludf.DUMMYFUNCTION("""COMPUTED_VALUE"""),0.0)</f>
        <v>0</v>
      </c>
      <c r="F685" s="148">
        <f>IFERROR(__xludf.DUMMYFUNCTION("""COMPUTED_VALUE"""),408197.0)</f>
        <v>408197</v>
      </c>
      <c r="G685" s="148">
        <f>IFERROR(__xludf.DUMMYFUNCTION("""COMPUTED_VALUE"""),1.51101597E8)</f>
        <v>151101597</v>
      </c>
      <c r="H685" s="148">
        <f>IFERROR(__xludf.DUMMYFUNCTION("""COMPUTED_VALUE"""),1.5112563E7)</f>
        <v>15112563</v>
      </c>
      <c r="I685" s="148" t="str">
        <f>IFERROR(__xludf.DUMMYFUNCTION("""COMPUTED_VALUE"""),"{""typ"":""lc"",""txt"":""LC_ITEM_time_day_upper_show"",""args"":[{""typ"":""int_unit"",""val"":14}]}")</f>
        <v>{"typ":"lc","txt":"LC_ITEM_time_day_upper_show","args":[{"typ":"int_unit","val":14}]}</v>
      </c>
      <c r="J685" s="148" t="str">
        <f>IFERROR(__xludf.DUMMYFUNCTION("""COMPUTED_VALUE"""),"{""typ"":""lc"",""txt"":""LC_ITEM_egg_marcheffect_low_2025""}")</f>
        <v>{"typ":"lc","txt":"LC_ITEM_egg_marcheffect_low_2025"}</v>
      </c>
      <c r="K685" s="148" t="str">
        <f>IFERROR(__xludf.DUMMYFUNCTION("""COMPUTED_VALUE"""),"{""typ"":""lc"",""txt"":""LC_ITEM_egg_marcheffect_low_2025_desc""}")</f>
        <v>{"typ":"lc","txt":"LC_ITEM_egg_marcheffect_low_2025_desc"}</v>
      </c>
      <c r="L685" s="148" t="str">
        <f>IFERROR(__xludf.DUMMYFUNCTION("""COMPUTED_VALUE"""),"{""typ"":""lc"",""txt"":""LC_ITEM_march_effect_use_tip_all""}")</f>
        <v>{"typ":"lc","txt":"LC_ITEM_march_effect_use_tip_all"}</v>
      </c>
      <c r="M685" s="148">
        <f>IFERROR(__xludf.DUMMYFUNCTION("""COMPUTED_VALUE"""),1000.0)</f>
        <v>1000</v>
      </c>
      <c r="N685" s="148">
        <f>IFERROR(__xludf.DUMMYFUNCTION("""COMPUTED_VALUE"""),999999.0)</f>
        <v>999999</v>
      </c>
      <c r="O685" s="148">
        <f>IFERROR(__xludf.DUMMYFUNCTION("""COMPUTED_VALUE"""),99999.0)</f>
        <v>99999</v>
      </c>
      <c r="P685" s="148">
        <f>IFERROR(__xludf.DUMMYFUNCTION("""COMPUTED_VALUE"""),1.0)</f>
        <v>1</v>
      </c>
      <c r="Q685" s="148" t="str">
        <f>IFERROR(__xludf.DUMMYFUNCTION("""COMPUTED_VALUE"""),"[""bag_other""]")</f>
        <v>["bag_other"]</v>
      </c>
      <c r="R685" s="148" t="str">
        <f>IFERROR(__xludf.DUMMYFUNCTION("""COMPUTED_VALUE"""),"[""bag"",""13650132""]")</f>
        <v>["bag","13650132"]</v>
      </c>
      <c r="S685" s="148" t="str">
        <f>IFERROR(__xludf.DUMMYFUNCTION("""COMPUTED_VALUE"""),"{""effect"":[{""typ"":""marching_effect"",""id"":13650132,""val"":1209600000},{""typ"":""vm"",""id"":11151001,""val"":1000}]}")</f>
        <v>{"effect":[{"typ":"marching_effect","id":13650132,"val":1209600000},{"typ":"vm","id":11151001,"val":1000}]}</v>
      </c>
      <c r="T685" s="148">
        <f>IFERROR(__xludf.DUMMYFUNCTION("""COMPUTED_VALUE"""),-1.0)</f>
        <v>-1</v>
      </c>
      <c r="U685" s="148">
        <f>IFERROR(__xludf.DUMMYFUNCTION("""COMPUTED_VALUE"""),0.0)</f>
        <v>0</v>
      </c>
      <c r="V685" s="148" t="str">
        <f>IFERROR(__xludf.DUMMYFUNCTION("""COMPUTED_VALUE"""),"[]")</f>
        <v>[]</v>
      </c>
      <c r="W685" s="148">
        <f>IFERROR(__xludf.DUMMYFUNCTION("""COMPUTED_VALUE"""),1.174E7)</f>
        <v>11740000</v>
      </c>
      <c r="X685" s="148">
        <f>IFERROR(__xludf.DUMMYFUNCTION("""COMPUTED_VALUE"""),0.0)</f>
        <v>0</v>
      </c>
      <c r="Y685" s="148">
        <f>IFERROR(__xludf.DUMMYFUNCTION("""COMPUTED_VALUE"""),0.0)</f>
        <v>0</v>
      </c>
      <c r="Z685" s="148"/>
    </row>
    <row r="686">
      <c r="A686" s="148">
        <f>IFERROR(__xludf.DUMMYFUNCTION("""COMPUTED_VALUE"""),1.1112483E7)</f>
        <v>11112483</v>
      </c>
      <c r="B686" s="148" t="str">
        <f>IFERROR(__xludf.DUMMYFUNCTION("""COMPUTED_VALUE"""),"2025复活节行军特效-龙蛋卫士-30天限时")</f>
        <v>2025复活节行军特效-龙蛋卫士-30天限时</v>
      </c>
      <c r="C686" s="148"/>
      <c r="D686" s="148" t="str">
        <f>IFERROR(__xludf.DUMMYFUNCTION("""COMPUTED_VALUE"""),"marching_effect")</f>
        <v>marching_effect</v>
      </c>
      <c r="E686" s="148">
        <f>IFERROR(__xludf.DUMMYFUNCTION("""COMPUTED_VALUE"""),0.0)</f>
        <v>0</v>
      </c>
      <c r="F686" s="148">
        <f>IFERROR(__xludf.DUMMYFUNCTION("""COMPUTED_VALUE"""),408197.0)</f>
        <v>408197</v>
      </c>
      <c r="G686" s="148">
        <f>IFERROR(__xludf.DUMMYFUNCTION("""COMPUTED_VALUE"""),1.51101597E8)</f>
        <v>151101597</v>
      </c>
      <c r="H686" s="148">
        <f>IFERROR(__xludf.DUMMYFUNCTION("""COMPUTED_VALUE"""),1.5112563E7)</f>
        <v>15112563</v>
      </c>
      <c r="I686" s="148" t="str">
        <f>IFERROR(__xludf.DUMMYFUNCTION("""COMPUTED_VALUE"""),"{""typ"":""lc"",""txt"":""LC_ITEM_time_day_upper_show"",""args"":[{""typ"":""int_unit"",""val"":30}]}")</f>
        <v>{"typ":"lc","txt":"LC_ITEM_time_day_upper_show","args":[{"typ":"int_unit","val":30}]}</v>
      </c>
      <c r="J686" s="148" t="str">
        <f>IFERROR(__xludf.DUMMYFUNCTION("""COMPUTED_VALUE"""),"{""typ"":""lc"",""txt"":""LC_ITEM_egg_marcheffect_low_2025""}")</f>
        <v>{"typ":"lc","txt":"LC_ITEM_egg_marcheffect_low_2025"}</v>
      </c>
      <c r="K686" s="148" t="str">
        <f>IFERROR(__xludf.DUMMYFUNCTION("""COMPUTED_VALUE"""),"{""typ"":""lc"",""txt"":""LC_ITEM_egg_marcheffect_low_2025_desc""}")</f>
        <v>{"typ":"lc","txt":"LC_ITEM_egg_marcheffect_low_2025_desc"}</v>
      </c>
      <c r="L686" s="148" t="str">
        <f>IFERROR(__xludf.DUMMYFUNCTION("""COMPUTED_VALUE"""),"{""typ"":""lc"",""txt"":""LC_ITEM_march_effect_use_tip_all""}")</f>
        <v>{"typ":"lc","txt":"LC_ITEM_march_effect_use_tip_all"}</v>
      </c>
      <c r="M686" s="148">
        <f>IFERROR(__xludf.DUMMYFUNCTION("""COMPUTED_VALUE"""),1000.0)</f>
        <v>1000</v>
      </c>
      <c r="N686" s="148">
        <f>IFERROR(__xludf.DUMMYFUNCTION("""COMPUTED_VALUE"""),999999.0)</f>
        <v>999999</v>
      </c>
      <c r="O686" s="148">
        <f>IFERROR(__xludf.DUMMYFUNCTION("""COMPUTED_VALUE"""),99999.0)</f>
        <v>99999</v>
      </c>
      <c r="P686" s="148">
        <f>IFERROR(__xludf.DUMMYFUNCTION("""COMPUTED_VALUE"""),1.0)</f>
        <v>1</v>
      </c>
      <c r="Q686" s="148" t="str">
        <f>IFERROR(__xludf.DUMMYFUNCTION("""COMPUTED_VALUE"""),"[""bag_other""]")</f>
        <v>["bag_other"]</v>
      </c>
      <c r="R686" s="148" t="str">
        <f>IFERROR(__xludf.DUMMYFUNCTION("""COMPUTED_VALUE"""),"[""bag"",""13650132""]")</f>
        <v>["bag","13650132"]</v>
      </c>
      <c r="S686" s="148" t="str">
        <f>IFERROR(__xludf.DUMMYFUNCTION("""COMPUTED_VALUE"""),"{""effect"":[{""typ"":""marching_effect"",""id"":13650132,""val"":2592000000},{""typ"":""vm"",""id"":11151001,""val"":1000}]}")</f>
        <v>{"effect":[{"typ":"marching_effect","id":13650132,"val":2592000000},{"typ":"vm","id":11151001,"val":1000}]}</v>
      </c>
      <c r="T686" s="148">
        <f>IFERROR(__xludf.DUMMYFUNCTION("""COMPUTED_VALUE"""),-1.0)</f>
        <v>-1</v>
      </c>
      <c r="U686" s="148">
        <f>IFERROR(__xludf.DUMMYFUNCTION("""COMPUTED_VALUE"""),0.0)</f>
        <v>0</v>
      </c>
      <c r="V686" s="148" t="str">
        <f>IFERROR(__xludf.DUMMYFUNCTION("""COMPUTED_VALUE"""),"[]")</f>
        <v>[]</v>
      </c>
      <c r="W686" s="148">
        <f>IFERROR(__xludf.DUMMYFUNCTION("""COMPUTED_VALUE"""),1.174E7)</f>
        <v>11740000</v>
      </c>
      <c r="X686" s="148">
        <f>IFERROR(__xludf.DUMMYFUNCTION("""COMPUTED_VALUE"""),0.0)</f>
        <v>0</v>
      </c>
      <c r="Y686" s="148">
        <f>IFERROR(__xludf.DUMMYFUNCTION("""COMPUTED_VALUE"""),0.0)</f>
        <v>0</v>
      </c>
      <c r="Z686" s="148"/>
    </row>
    <row r="687">
      <c r="A687" s="148">
        <f>IFERROR(__xludf.DUMMYFUNCTION("""COMPUTED_VALUE"""),1.1112484E7)</f>
        <v>11112484</v>
      </c>
      <c r="B687" s="148" t="str">
        <f>IFERROR(__xludf.DUMMYFUNCTION("""COMPUTED_VALUE"""),"2025复活节行军特效-龙蛋卫士-永久")</f>
        <v>2025复活节行军特效-龙蛋卫士-永久</v>
      </c>
      <c r="C687" s="148"/>
      <c r="D687" s="148" t="str">
        <f>IFERROR(__xludf.DUMMYFUNCTION("""COMPUTED_VALUE"""),"marching_effect")</f>
        <v>marching_effect</v>
      </c>
      <c r="E687" s="148">
        <f>IFERROR(__xludf.DUMMYFUNCTION("""COMPUTED_VALUE"""),0.0)</f>
        <v>0</v>
      </c>
      <c r="F687" s="148">
        <f>IFERROR(__xludf.DUMMYFUNCTION("""COMPUTED_VALUE"""),408195.0)</f>
        <v>408195</v>
      </c>
      <c r="G687" s="148">
        <f>IFERROR(__xludf.DUMMYFUNCTION("""COMPUTED_VALUE"""),1.51101597E8)</f>
        <v>151101597</v>
      </c>
      <c r="H687" s="148">
        <f>IFERROR(__xludf.DUMMYFUNCTION("""COMPUTED_VALUE"""),1.5112564E7)</f>
        <v>15112564</v>
      </c>
      <c r="I687" s="148" t="str">
        <f>IFERROR(__xludf.DUMMYFUNCTION("""COMPUTED_VALUE"""),"{}")</f>
        <v>{}</v>
      </c>
      <c r="J687" s="148" t="str">
        <f>IFERROR(__xludf.DUMMYFUNCTION("""COMPUTED_VALUE"""),"{""typ"":""lc"",""txt"":""LC_ITEM_egg_marcheffect_low_2025""}")</f>
        <v>{"typ":"lc","txt":"LC_ITEM_egg_marcheffect_low_2025"}</v>
      </c>
      <c r="K687" s="148" t="str">
        <f>IFERROR(__xludf.DUMMYFUNCTION("""COMPUTED_VALUE"""),"{""typ"":""lc"",""txt"":""LC_ITEM_egg_marcheffect_low_2025_desc""}")</f>
        <v>{"typ":"lc","txt":"LC_ITEM_egg_marcheffect_low_2025_desc"}</v>
      </c>
      <c r="L687" s="148" t="str">
        <f>IFERROR(__xludf.DUMMYFUNCTION("""COMPUTED_VALUE"""),"{""typ"":""lc"",""txt"":""LC_ITEM_march_effect_use_tip_all""}")</f>
        <v>{"typ":"lc","txt":"LC_ITEM_march_effect_use_tip_all"}</v>
      </c>
      <c r="M687" s="148">
        <f>IFERROR(__xludf.DUMMYFUNCTION("""COMPUTED_VALUE"""),5000.0)</f>
        <v>5000</v>
      </c>
      <c r="N687" s="148">
        <f>IFERROR(__xludf.DUMMYFUNCTION("""COMPUTED_VALUE"""),999999.0)</f>
        <v>999999</v>
      </c>
      <c r="O687" s="148">
        <f>IFERROR(__xludf.DUMMYFUNCTION("""COMPUTED_VALUE"""),99999.0)</f>
        <v>99999</v>
      </c>
      <c r="P687" s="148">
        <f>IFERROR(__xludf.DUMMYFUNCTION("""COMPUTED_VALUE"""),1.0)</f>
        <v>1</v>
      </c>
      <c r="Q687" s="148" t="str">
        <f>IFERROR(__xludf.DUMMYFUNCTION("""COMPUTED_VALUE"""),"[""bag_other""]")</f>
        <v>["bag_other"]</v>
      </c>
      <c r="R687" s="148" t="str">
        <f>IFERROR(__xludf.DUMMYFUNCTION("""COMPUTED_VALUE"""),"[""bag"",""13650132""]")</f>
        <v>["bag","13650132"]</v>
      </c>
      <c r="S687" s="148" t="str">
        <f>IFERROR(__xludf.DUMMYFUNCTION("""COMPUTED_VALUE"""),"{""effect"":[{""typ"":""marching_effect"",""id"":13650132,""val"":-1},{""typ"":""vm"",""id"":11151001,""val"":2500}]}")</f>
        <v>{"effect":[{"typ":"marching_effect","id":13650132,"val":-1},{"typ":"vm","id":11151001,"val":2500}]}</v>
      </c>
      <c r="T687" s="148">
        <f>IFERROR(__xludf.DUMMYFUNCTION("""COMPUTED_VALUE"""),-1.0)</f>
        <v>-1</v>
      </c>
      <c r="U687" s="148">
        <f>IFERROR(__xludf.DUMMYFUNCTION("""COMPUTED_VALUE"""),0.0)</f>
        <v>0</v>
      </c>
      <c r="V687" s="148" t="str">
        <f>IFERROR(__xludf.DUMMYFUNCTION("""COMPUTED_VALUE"""),"[]")</f>
        <v>[]</v>
      </c>
      <c r="W687" s="148">
        <f>IFERROR(__xludf.DUMMYFUNCTION("""COMPUTED_VALUE"""),1.174E7)</f>
        <v>11740000</v>
      </c>
      <c r="X687" s="148">
        <f>IFERROR(__xludf.DUMMYFUNCTION("""COMPUTED_VALUE"""),0.0)</f>
        <v>0</v>
      </c>
      <c r="Y687" s="148">
        <f>IFERROR(__xludf.DUMMYFUNCTION("""COMPUTED_VALUE"""),0.0)</f>
        <v>0</v>
      </c>
      <c r="Z687" s="148"/>
    </row>
    <row r="688">
      <c r="A688" s="148">
        <f>IFERROR(__xludf.DUMMYFUNCTION("""COMPUTED_VALUE"""),1.1112485E7)</f>
        <v>11112485</v>
      </c>
      <c r="B688" s="148" t="str">
        <f>IFERROR(__xludf.DUMMYFUNCTION("""COMPUTED_VALUE"""),"2025复活节铭牌-龙巢奇遇")</f>
        <v>2025复活节铭牌-龙巢奇遇</v>
      </c>
      <c r="C688" s="148"/>
      <c r="D688" s="148" t="str">
        <f>IFERROR(__xludf.DUMMYFUNCTION("""COMPUTED_VALUE"""),"chat_skin")</f>
        <v>chat_skin</v>
      </c>
      <c r="E688" s="148">
        <f>IFERROR(__xludf.DUMMYFUNCTION("""COMPUTED_VALUE"""),30.0)</f>
        <v>30</v>
      </c>
      <c r="F688" s="148">
        <f>IFERROR(__xludf.DUMMYFUNCTION("""COMPUTED_VALUE"""),401107.0)</f>
        <v>401107</v>
      </c>
      <c r="G688" s="148">
        <f>IFERROR(__xludf.DUMMYFUNCTION("""COMPUTED_VALUE"""),1.51101598E8)</f>
        <v>151101598</v>
      </c>
      <c r="H688" s="148">
        <f>IFERROR(__xludf.DUMMYFUNCTION("""COMPUTED_VALUE"""),1.5112564E7)</f>
        <v>15112564</v>
      </c>
      <c r="I688" s="148" t="str">
        <f>IFERROR(__xludf.DUMMYFUNCTION("""COMPUTED_VALUE"""),"{}")</f>
        <v>{}</v>
      </c>
      <c r="J688" s="148" t="str">
        <f>IFERROR(__xludf.DUMMYFUNCTION("""COMPUTED_VALUE"""),"{""typ"":""lc"",""txt"":""LC_ITEM_egg_nameplate_2025""}")</f>
        <v>{"typ":"lc","txt":"LC_ITEM_egg_nameplate_2025"}</v>
      </c>
      <c r="K688" s="148" t="str">
        <f>IFERROR(__xludf.DUMMYFUNCTION("""COMPUTED_VALUE"""),"{""typ"":""lc"",""txt"":""LC_ITEM_egg_nameplate_2025_desc_item""}")</f>
        <v>{"typ":"lc","txt":"LC_ITEM_egg_nameplate_2025_desc_item"}</v>
      </c>
      <c r="L688" s="148" t="str">
        <f>IFERROR(__xludf.DUMMYFUNCTION("""COMPUTED_VALUE"""),"{""typ"":""lc"",""txt"":""LC_ITEM_season_extra_reward_usedtip""}")</f>
        <v>{"typ":"lc","txt":"LC_ITEM_season_extra_reward_usedtip"}</v>
      </c>
      <c r="M688" s="148">
        <f>IFERROR(__xludf.DUMMYFUNCTION("""COMPUTED_VALUE"""),2500.0)</f>
        <v>2500</v>
      </c>
      <c r="N688" s="148">
        <f>IFERROR(__xludf.DUMMYFUNCTION("""COMPUTED_VALUE"""),9999999.0)</f>
        <v>9999999</v>
      </c>
      <c r="O688" s="148">
        <f>IFERROR(__xludf.DUMMYFUNCTION("""COMPUTED_VALUE"""),1.0)</f>
        <v>1</v>
      </c>
      <c r="P688" s="148">
        <f>IFERROR(__xludf.DUMMYFUNCTION("""COMPUTED_VALUE"""),1.0)</f>
        <v>1</v>
      </c>
      <c r="Q688" s="148" t="str">
        <f>IFERROR(__xludf.DUMMYFUNCTION("""COMPUTED_VALUE"""),"[""bag_other""]")</f>
        <v>["bag_other"]</v>
      </c>
      <c r="R688" s="148" t="str">
        <f>IFERROR(__xludf.DUMMYFUNCTION("""COMPUTED_VALUE"""),"[""11731035"",""bag""]")</f>
        <v>["11731035","bag"]</v>
      </c>
      <c r="S688" s="148" t="str">
        <f>IFERROR(__xludf.DUMMYFUNCTION("""COMPUTED_VALUE"""),"{""effect"":[{""typ"":""nameplate"",""id"":11731035,""val"":-1}]}")</f>
        <v>{"effect":[{"typ":"nameplate","id":11731035,"val":-1}]}</v>
      </c>
      <c r="T688" s="148">
        <f>IFERROR(__xludf.DUMMYFUNCTION("""COMPUTED_VALUE"""),-1.0)</f>
        <v>-1</v>
      </c>
      <c r="U688" s="148">
        <f>IFERROR(__xludf.DUMMYFUNCTION("""COMPUTED_VALUE"""),0.0)</f>
        <v>0</v>
      </c>
      <c r="V688" s="148" t="str">
        <f>IFERROR(__xludf.DUMMYFUNCTION("""COMPUTED_VALUE"""),"[]")</f>
        <v>[]</v>
      </c>
      <c r="W688" s="148">
        <f>IFERROR(__xludf.DUMMYFUNCTION("""COMPUTED_VALUE"""),1.174E7)</f>
        <v>11740000</v>
      </c>
      <c r="X688" s="148">
        <f>IFERROR(__xludf.DUMMYFUNCTION("""COMPUTED_VALUE"""),0.0)</f>
        <v>0</v>
      </c>
      <c r="Y688" s="148">
        <f>IFERROR(__xludf.DUMMYFUNCTION("""COMPUTED_VALUE"""),0.0)</f>
        <v>0</v>
      </c>
      <c r="Z688" s="148"/>
    </row>
    <row r="689">
      <c r="A689" s="148">
        <f>IFERROR(__xludf.DUMMYFUNCTION("""COMPUTED_VALUE"""),1.1112486E7)</f>
        <v>11112486</v>
      </c>
      <c r="B689" s="148" t="str">
        <f>IFERROR(__xludf.DUMMYFUNCTION("""COMPUTED_VALUE"""),"2025复活节行军特效-龙蛋守护者-1天限时")</f>
        <v>2025复活节行军特效-龙蛋守护者-1天限时</v>
      </c>
      <c r="C689" s="148"/>
      <c r="D689" s="148" t="str">
        <f>IFERROR(__xludf.DUMMYFUNCTION("""COMPUTED_VALUE"""),"marching_effect")</f>
        <v>marching_effect</v>
      </c>
      <c r="E689" s="148">
        <f>IFERROR(__xludf.DUMMYFUNCTION("""COMPUTED_VALUE"""),0.0)</f>
        <v>0</v>
      </c>
      <c r="F689" s="148">
        <f>IFERROR(__xludf.DUMMYFUNCTION("""COMPUTED_VALUE"""),408200.0)</f>
        <v>408200</v>
      </c>
      <c r="G689" s="148">
        <f>IFERROR(__xludf.DUMMYFUNCTION("""COMPUTED_VALUE"""),1.51101602E8)</f>
        <v>151101602</v>
      </c>
      <c r="H689" s="148">
        <f>IFERROR(__xludf.DUMMYFUNCTION("""COMPUTED_VALUE"""),1.511256E7)</f>
        <v>15112560</v>
      </c>
      <c r="I689" s="148" t="str">
        <f>IFERROR(__xludf.DUMMYFUNCTION("""COMPUTED_VALUE"""),"{""typ"":""lc"",""txt"":""LC_ITEM_time_day_upper_show"",""args"":[{""typ"":""int_unit"",""val"":1}]}")</f>
        <v>{"typ":"lc","txt":"LC_ITEM_time_day_upper_show","args":[{"typ":"int_unit","val":1}]}</v>
      </c>
      <c r="J689" s="148" t="str">
        <f>IFERROR(__xludf.DUMMYFUNCTION("""COMPUTED_VALUE"""),"{""typ"":""lc"",""txt"":""LC_ITEM_egg_marcheffect_medium_2025""}")</f>
        <v>{"typ":"lc","txt":"LC_ITEM_egg_marcheffect_medium_2025"}</v>
      </c>
      <c r="K689" s="148" t="str">
        <f>IFERROR(__xludf.DUMMYFUNCTION("""COMPUTED_VALUE"""),"{""typ"":""lc"",""txt"":""LC_ITEM_egg_marcheffect_medium_2025_desc""}")</f>
        <v>{"typ":"lc","txt":"LC_ITEM_egg_marcheffect_medium_2025_desc"}</v>
      </c>
      <c r="L689" s="148" t="str">
        <f>IFERROR(__xludf.DUMMYFUNCTION("""COMPUTED_VALUE"""),"{""typ"":""lc"",""txt"":""LC_ITEM_march_effect_use_tip_all""}")</f>
        <v>{"typ":"lc","txt":"LC_ITEM_march_effect_use_tip_all"}</v>
      </c>
      <c r="M689" s="148">
        <f>IFERROR(__xludf.DUMMYFUNCTION("""COMPUTED_VALUE"""),50.0)</f>
        <v>50</v>
      </c>
      <c r="N689" s="148">
        <f>IFERROR(__xludf.DUMMYFUNCTION("""COMPUTED_VALUE"""),999999.0)</f>
        <v>999999</v>
      </c>
      <c r="O689" s="148">
        <f>IFERROR(__xludf.DUMMYFUNCTION("""COMPUTED_VALUE"""),99999.0)</f>
        <v>99999</v>
      </c>
      <c r="P689" s="148">
        <f>IFERROR(__xludf.DUMMYFUNCTION("""COMPUTED_VALUE"""),1.0)</f>
        <v>1</v>
      </c>
      <c r="Q689" s="148" t="str">
        <f>IFERROR(__xludf.DUMMYFUNCTION("""COMPUTED_VALUE"""),"[""bag_other""]")</f>
        <v>["bag_other"]</v>
      </c>
      <c r="R689" s="148" t="str">
        <f>IFERROR(__xludf.DUMMYFUNCTION("""COMPUTED_VALUE"""),"[""bag"",""13650133""]")</f>
        <v>["bag","13650133"]</v>
      </c>
      <c r="S689" s="148" t="str">
        <f>IFERROR(__xludf.DUMMYFUNCTION("""COMPUTED_VALUE"""),"{""effect"":[{""typ"":""marching_effect"",""id"":13650133,""val"":86400000},{""typ"":""vm"",""id"":11151001,""val"":50}]}")</f>
        <v>{"effect":[{"typ":"marching_effect","id":13650133,"val":86400000},{"typ":"vm","id":11151001,"val":50}]}</v>
      </c>
      <c r="T689" s="148">
        <f>IFERROR(__xludf.DUMMYFUNCTION("""COMPUTED_VALUE"""),-1.0)</f>
        <v>-1</v>
      </c>
      <c r="U689" s="148">
        <f>IFERROR(__xludf.DUMMYFUNCTION("""COMPUTED_VALUE"""),0.0)</f>
        <v>0</v>
      </c>
      <c r="V689" s="148" t="str">
        <f>IFERROR(__xludf.DUMMYFUNCTION("""COMPUTED_VALUE"""),"[]")</f>
        <v>[]</v>
      </c>
      <c r="W689" s="148">
        <f>IFERROR(__xludf.DUMMYFUNCTION("""COMPUTED_VALUE"""),1.174E7)</f>
        <v>11740000</v>
      </c>
      <c r="X689" s="148">
        <f>IFERROR(__xludf.DUMMYFUNCTION("""COMPUTED_VALUE"""),0.0)</f>
        <v>0</v>
      </c>
      <c r="Y689" s="148">
        <f>IFERROR(__xludf.DUMMYFUNCTION("""COMPUTED_VALUE"""),0.0)</f>
        <v>0</v>
      </c>
      <c r="Z689" s="148"/>
    </row>
    <row r="690">
      <c r="A690" s="148">
        <f>IFERROR(__xludf.DUMMYFUNCTION("""COMPUTED_VALUE"""),1.1112487E7)</f>
        <v>11112487</v>
      </c>
      <c r="B690" s="148" t="str">
        <f>IFERROR(__xludf.DUMMYFUNCTION("""COMPUTED_VALUE"""),"2025复活节行军特效-龙蛋守护者-3天限时")</f>
        <v>2025复活节行军特效-龙蛋守护者-3天限时</v>
      </c>
      <c r="C690" s="148"/>
      <c r="D690" s="148" t="str">
        <f>IFERROR(__xludf.DUMMYFUNCTION("""COMPUTED_VALUE"""),"marching_effect")</f>
        <v>marching_effect</v>
      </c>
      <c r="E690" s="148">
        <f>IFERROR(__xludf.DUMMYFUNCTION("""COMPUTED_VALUE"""),0.0)</f>
        <v>0</v>
      </c>
      <c r="F690" s="148">
        <f>IFERROR(__xludf.DUMMYFUNCTION("""COMPUTED_VALUE"""),408199.0)</f>
        <v>408199</v>
      </c>
      <c r="G690" s="148">
        <f>IFERROR(__xludf.DUMMYFUNCTION("""COMPUTED_VALUE"""),1.51101602E8)</f>
        <v>151101602</v>
      </c>
      <c r="H690" s="148">
        <f>IFERROR(__xludf.DUMMYFUNCTION("""COMPUTED_VALUE"""),1.5112561E7)</f>
        <v>15112561</v>
      </c>
      <c r="I690" s="148" t="str">
        <f>IFERROR(__xludf.DUMMYFUNCTION("""COMPUTED_VALUE"""),"{""typ"":""lc"",""txt"":""LC_ITEM_time_day_upper_show"",""args"":[{""typ"":""int_unit"",""val"":3}]}")</f>
        <v>{"typ":"lc","txt":"LC_ITEM_time_day_upper_show","args":[{"typ":"int_unit","val":3}]}</v>
      </c>
      <c r="J690" s="148" t="str">
        <f>IFERROR(__xludf.DUMMYFUNCTION("""COMPUTED_VALUE"""),"{""typ"":""lc"",""txt"":""LC_ITEM_egg_marcheffect_medium_2025""}")</f>
        <v>{"typ":"lc","txt":"LC_ITEM_egg_marcheffect_medium_2025"}</v>
      </c>
      <c r="K690" s="148" t="str">
        <f>IFERROR(__xludf.DUMMYFUNCTION("""COMPUTED_VALUE"""),"{""typ"":""lc"",""txt"":""LC_ITEM_egg_marcheffect_medium_2025_desc""}")</f>
        <v>{"typ":"lc","txt":"LC_ITEM_egg_marcheffect_medium_2025_desc"}</v>
      </c>
      <c r="L690" s="148" t="str">
        <f>IFERROR(__xludf.DUMMYFUNCTION("""COMPUTED_VALUE"""),"{""typ"":""lc"",""txt"":""LC_ITEM_march_effect_use_tip_all""}")</f>
        <v>{"typ":"lc","txt":"LC_ITEM_march_effect_use_tip_all"}</v>
      </c>
      <c r="M690" s="148">
        <f>IFERROR(__xludf.DUMMYFUNCTION("""COMPUTED_VALUE"""),200.0)</f>
        <v>200</v>
      </c>
      <c r="N690" s="148">
        <f>IFERROR(__xludf.DUMMYFUNCTION("""COMPUTED_VALUE"""),999999.0)</f>
        <v>999999</v>
      </c>
      <c r="O690" s="148">
        <f>IFERROR(__xludf.DUMMYFUNCTION("""COMPUTED_VALUE"""),99999.0)</f>
        <v>99999</v>
      </c>
      <c r="P690" s="148">
        <f>IFERROR(__xludf.DUMMYFUNCTION("""COMPUTED_VALUE"""),1.0)</f>
        <v>1</v>
      </c>
      <c r="Q690" s="148" t="str">
        <f>IFERROR(__xludf.DUMMYFUNCTION("""COMPUTED_VALUE"""),"[""bag_other""]")</f>
        <v>["bag_other"]</v>
      </c>
      <c r="R690" s="148" t="str">
        <f>IFERROR(__xludf.DUMMYFUNCTION("""COMPUTED_VALUE"""),"[""bag"",""13650133""]")</f>
        <v>["bag","13650133"]</v>
      </c>
      <c r="S690" s="148" t="str">
        <f>IFERROR(__xludf.DUMMYFUNCTION("""COMPUTED_VALUE"""),"{""effect"":[{""typ"":""marching_effect"",""id"":13650133,""val"":259200000},{""typ"":""vm"",""id"":11151001,""val"":200}]}")</f>
        <v>{"effect":[{"typ":"marching_effect","id":13650133,"val":259200000},{"typ":"vm","id":11151001,"val":200}]}</v>
      </c>
      <c r="T690" s="148">
        <f>IFERROR(__xludf.DUMMYFUNCTION("""COMPUTED_VALUE"""),-1.0)</f>
        <v>-1</v>
      </c>
      <c r="U690" s="148">
        <f>IFERROR(__xludf.DUMMYFUNCTION("""COMPUTED_VALUE"""),0.0)</f>
        <v>0</v>
      </c>
      <c r="V690" s="148" t="str">
        <f>IFERROR(__xludf.DUMMYFUNCTION("""COMPUTED_VALUE"""),"[]")</f>
        <v>[]</v>
      </c>
      <c r="W690" s="148">
        <f>IFERROR(__xludf.DUMMYFUNCTION("""COMPUTED_VALUE"""),1.174E7)</f>
        <v>11740000</v>
      </c>
      <c r="X690" s="148">
        <f>IFERROR(__xludf.DUMMYFUNCTION("""COMPUTED_VALUE"""),0.0)</f>
        <v>0</v>
      </c>
      <c r="Y690" s="148">
        <f>IFERROR(__xludf.DUMMYFUNCTION("""COMPUTED_VALUE"""),0.0)</f>
        <v>0</v>
      </c>
      <c r="Z690" s="148"/>
    </row>
    <row r="691">
      <c r="A691" s="148">
        <f>IFERROR(__xludf.DUMMYFUNCTION("""COMPUTED_VALUE"""),1.1112488E7)</f>
        <v>11112488</v>
      </c>
      <c r="B691" s="148" t="str">
        <f>IFERROR(__xludf.DUMMYFUNCTION("""COMPUTED_VALUE"""),"2025复活节行军特效-龙蛋守护者-7天限时")</f>
        <v>2025复活节行军特效-龙蛋守护者-7天限时</v>
      </c>
      <c r="C691" s="148"/>
      <c r="D691" s="148" t="str">
        <f>IFERROR(__xludf.DUMMYFUNCTION("""COMPUTED_VALUE"""),"marching_effect")</f>
        <v>marching_effect</v>
      </c>
      <c r="E691" s="148">
        <f>IFERROR(__xludf.DUMMYFUNCTION("""COMPUTED_VALUE"""),0.0)</f>
        <v>0</v>
      </c>
      <c r="F691" s="148">
        <f>IFERROR(__xludf.DUMMYFUNCTION("""COMPUTED_VALUE"""),408198.0)</f>
        <v>408198</v>
      </c>
      <c r="G691" s="148">
        <f>IFERROR(__xludf.DUMMYFUNCTION("""COMPUTED_VALUE"""),1.51101602E8)</f>
        <v>151101602</v>
      </c>
      <c r="H691" s="148">
        <f>IFERROR(__xludf.DUMMYFUNCTION("""COMPUTED_VALUE"""),1.5112562E7)</f>
        <v>15112562</v>
      </c>
      <c r="I691" s="148" t="str">
        <f>IFERROR(__xludf.DUMMYFUNCTION("""COMPUTED_VALUE"""),"{""typ"":""lc"",""txt"":""LC_ITEM_time_day_upper_show"",""args"":[{""typ"":""int_unit"",""val"":7}]}")</f>
        <v>{"typ":"lc","txt":"LC_ITEM_time_day_upper_show","args":[{"typ":"int_unit","val":7}]}</v>
      </c>
      <c r="J691" s="148" t="str">
        <f>IFERROR(__xludf.DUMMYFUNCTION("""COMPUTED_VALUE"""),"{""typ"":""lc"",""txt"":""LC_ITEM_egg_marcheffect_medium_2025""}")</f>
        <v>{"typ":"lc","txt":"LC_ITEM_egg_marcheffect_medium_2025"}</v>
      </c>
      <c r="K691" s="148" t="str">
        <f>IFERROR(__xludf.DUMMYFUNCTION("""COMPUTED_VALUE"""),"{""typ"":""lc"",""txt"":""LC_ITEM_egg_marcheffect_medium_2025_desc""}")</f>
        <v>{"typ":"lc","txt":"LC_ITEM_egg_marcheffect_medium_2025_desc"}</v>
      </c>
      <c r="L691" s="148" t="str">
        <f>IFERROR(__xludf.DUMMYFUNCTION("""COMPUTED_VALUE"""),"{""typ"":""lc"",""txt"":""LC_ITEM_march_effect_use_tip_all""}")</f>
        <v>{"typ":"lc","txt":"LC_ITEM_march_effect_use_tip_all"}</v>
      </c>
      <c r="M691" s="148">
        <f>IFERROR(__xludf.DUMMYFUNCTION("""COMPUTED_VALUE"""),500.0)</f>
        <v>500</v>
      </c>
      <c r="N691" s="148">
        <f>IFERROR(__xludf.DUMMYFUNCTION("""COMPUTED_VALUE"""),999999.0)</f>
        <v>999999</v>
      </c>
      <c r="O691" s="148">
        <f>IFERROR(__xludf.DUMMYFUNCTION("""COMPUTED_VALUE"""),99999.0)</f>
        <v>99999</v>
      </c>
      <c r="P691" s="148">
        <f>IFERROR(__xludf.DUMMYFUNCTION("""COMPUTED_VALUE"""),1.0)</f>
        <v>1</v>
      </c>
      <c r="Q691" s="148" t="str">
        <f>IFERROR(__xludf.DUMMYFUNCTION("""COMPUTED_VALUE"""),"[""bag_other""]")</f>
        <v>["bag_other"]</v>
      </c>
      <c r="R691" s="148" t="str">
        <f>IFERROR(__xludf.DUMMYFUNCTION("""COMPUTED_VALUE"""),"[""bag"",""13650133""]")</f>
        <v>["bag","13650133"]</v>
      </c>
      <c r="S691" s="148" t="str">
        <f>IFERROR(__xludf.DUMMYFUNCTION("""COMPUTED_VALUE"""),"{""effect"":[{""typ"":""marching_effect"",""id"":13650133,""val"":604800000},{""typ"":""vm"",""id"":11151001,""val"":500}]}")</f>
        <v>{"effect":[{"typ":"marching_effect","id":13650133,"val":604800000},{"typ":"vm","id":11151001,"val":500}]}</v>
      </c>
      <c r="T691" s="148">
        <f>IFERROR(__xludf.DUMMYFUNCTION("""COMPUTED_VALUE"""),-1.0)</f>
        <v>-1</v>
      </c>
      <c r="U691" s="148">
        <f>IFERROR(__xludf.DUMMYFUNCTION("""COMPUTED_VALUE"""),0.0)</f>
        <v>0</v>
      </c>
      <c r="V691" s="148" t="str">
        <f>IFERROR(__xludf.DUMMYFUNCTION("""COMPUTED_VALUE"""),"[]")</f>
        <v>[]</v>
      </c>
      <c r="W691" s="148">
        <f>IFERROR(__xludf.DUMMYFUNCTION("""COMPUTED_VALUE"""),1.174E7)</f>
        <v>11740000</v>
      </c>
      <c r="X691" s="148">
        <f>IFERROR(__xludf.DUMMYFUNCTION("""COMPUTED_VALUE"""),0.0)</f>
        <v>0</v>
      </c>
      <c r="Y691" s="148">
        <f>IFERROR(__xludf.DUMMYFUNCTION("""COMPUTED_VALUE"""),0.0)</f>
        <v>0</v>
      </c>
      <c r="Z691" s="148"/>
    </row>
    <row r="692">
      <c r="A692" s="148">
        <f>IFERROR(__xludf.DUMMYFUNCTION("""COMPUTED_VALUE"""),1.1112489E7)</f>
        <v>11112489</v>
      </c>
      <c r="B692" s="148" t="str">
        <f>IFERROR(__xludf.DUMMYFUNCTION("""COMPUTED_VALUE"""),"2025复活节行军特效-龙蛋守护者-14天限时")</f>
        <v>2025复活节行军特效-龙蛋守护者-14天限时</v>
      </c>
      <c r="C692" s="148"/>
      <c r="D692" s="148" t="str">
        <f>IFERROR(__xludf.DUMMYFUNCTION("""COMPUTED_VALUE"""),"marching_effect")</f>
        <v>marching_effect</v>
      </c>
      <c r="E692" s="148">
        <f>IFERROR(__xludf.DUMMYFUNCTION("""COMPUTED_VALUE"""),0.0)</f>
        <v>0</v>
      </c>
      <c r="F692" s="148">
        <f>IFERROR(__xludf.DUMMYFUNCTION("""COMPUTED_VALUE"""),408197.0)</f>
        <v>408197</v>
      </c>
      <c r="G692" s="148">
        <f>IFERROR(__xludf.DUMMYFUNCTION("""COMPUTED_VALUE"""),1.51101602E8)</f>
        <v>151101602</v>
      </c>
      <c r="H692" s="148">
        <f>IFERROR(__xludf.DUMMYFUNCTION("""COMPUTED_VALUE"""),1.5112563E7)</f>
        <v>15112563</v>
      </c>
      <c r="I692" s="148" t="str">
        <f>IFERROR(__xludf.DUMMYFUNCTION("""COMPUTED_VALUE"""),"{""typ"":""lc"",""txt"":""LC_ITEM_time_day_upper_show"",""args"":[{""typ"":""int_unit"",""val"":14}]}")</f>
        <v>{"typ":"lc","txt":"LC_ITEM_time_day_upper_show","args":[{"typ":"int_unit","val":14}]}</v>
      </c>
      <c r="J692" s="148" t="str">
        <f>IFERROR(__xludf.DUMMYFUNCTION("""COMPUTED_VALUE"""),"{""typ"":""lc"",""txt"":""LC_ITEM_egg_marcheffect_medium_2025""}")</f>
        <v>{"typ":"lc","txt":"LC_ITEM_egg_marcheffect_medium_2025"}</v>
      </c>
      <c r="K692" s="148" t="str">
        <f>IFERROR(__xludf.DUMMYFUNCTION("""COMPUTED_VALUE"""),"{""typ"":""lc"",""txt"":""LC_ITEM_egg_marcheffect_medium_2025_desc""}")</f>
        <v>{"typ":"lc","txt":"LC_ITEM_egg_marcheffect_medium_2025_desc"}</v>
      </c>
      <c r="L692" s="148" t="str">
        <f>IFERROR(__xludf.DUMMYFUNCTION("""COMPUTED_VALUE"""),"{""typ"":""lc"",""txt"":""LC_ITEM_march_effect_use_tip_all""}")</f>
        <v>{"typ":"lc","txt":"LC_ITEM_march_effect_use_tip_all"}</v>
      </c>
      <c r="M692" s="148">
        <f>IFERROR(__xludf.DUMMYFUNCTION("""COMPUTED_VALUE"""),1000.0)</f>
        <v>1000</v>
      </c>
      <c r="N692" s="148">
        <f>IFERROR(__xludf.DUMMYFUNCTION("""COMPUTED_VALUE"""),999999.0)</f>
        <v>999999</v>
      </c>
      <c r="O692" s="148">
        <f>IFERROR(__xludf.DUMMYFUNCTION("""COMPUTED_VALUE"""),99999.0)</f>
        <v>99999</v>
      </c>
      <c r="P692" s="148">
        <f>IFERROR(__xludf.DUMMYFUNCTION("""COMPUTED_VALUE"""),1.0)</f>
        <v>1</v>
      </c>
      <c r="Q692" s="148" t="str">
        <f>IFERROR(__xludf.DUMMYFUNCTION("""COMPUTED_VALUE"""),"[""bag_other""]")</f>
        <v>["bag_other"]</v>
      </c>
      <c r="R692" s="148" t="str">
        <f>IFERROR(__xludf.DUMMYFUNCTION("""COMPUTED_VALUE"""),"[""bag"",""13650133""]")</f>
        <v>["bag","13650133"]</v>
      </c>
      <c r="S692" s="148" t="str">
        <f>IFERROR(__xludf.DUMMYFUNCTION("""COMPUTED_VALUE"""),"{""effect"":[{""typ"":""marching_effect"",""id"":13650133,""val"":1209600000},{""typ"":""vm"",""id"":11151001,""val"":1000}]}")</f>
        <v>{"effect":[{"typ":"marching_effect","id":13650133,"val":1209600000},{"typ":"vm","id":11151001,"val":1000}]}</v>
      </c>
      <c r="T692" s="148">
        <f>IFERROR(__xludf.DUMMYFUNCTION("""COMPUTED_VALUE"""),-1.0)</f>
        <v>-1</v>
      </c>
      <c r="U692" s="148">
        <f>IFERROR(__xludf.DUMMYFUNCTION("""COMPUTED_VALUE"""),0.0)</f>
        <v>0</v>
      </c>
      <c r="V692" s="148" t="str">
        <f>IFERROR(__xludf.DUMMYFUNCTION("""COMPUTED_VALUE"""),"[]")</f>
        <v>[]</v>
      </c>
      <c r="W692" s="148">
        <f>IFERROR(__xludf.DUMMYFUNCTION("""COMPUTED_VALUE"""),1.174E7)</f>
        <v>11740000</v>
      </c>
      <c r="X692" s="148">
        <f>IFERROR(__xludf.DUMMYFUNCTION("""COMPUTED_VALUE"""),0.0)</f>
        <v>0</v>
      </c>
      <c r="Y692" s="148">
        <f>IFERROR(__xludf.DUMMYFUNCTION("""COMPUTED_VALUE"""),0.0)</f>
        <v>0</v>
      </c>
      <c r="Z692" s="148"/>
    </row>
    <row r="693">
      <c r="A693" s="148">
        <f>IFERROR(__xludf.DUMMYFUNCTION("""COMPUTED_VALUE"""),1.111249E7)</f>
        <v>11112490</v>
      </c>
      <c r="B693" s="148" t="str">
        <f>IFERROR(__xludf.DUMMYFUNCTION("""COMPUTED_VALUE"""),"2025复活节行军特效-龙蛋守护者-30天限时")</f>
        <v>2025复活节行军特效-龙蛋守护者-30天限时</v>
      </c>
      <c r="C693" s="148"/>
      <c r="D693" s="148" t="str">
        <f>IFERROR(__xludf.DUMMYFUNCTION("""COMPUTED_VALUE"""),"marching_effect")</f>
        <v>marching_effect</v>
      </c>
      <c r="E693" s="148">
        <f>IFERROR(__xludf.DUMMYFUNCTION("""COMPUTED_VALUE"""),0.0)</f>
        <v>0</v>
      </c>
      <c r="F693" s="148">
        <f>IFERROR(__xludf.DUMMYFUNCTION("""COMPUTED_VALUE"""),408197.0)</f>
        <v>408197</v>
      </c>
      <c r="G693" s="148">
        <f>IFERROR(__xludf.DUMMYFUNCTION("""COMPUTED_VALUE"""),1.51101602E8)</f>
        <v>151101602</v>
      </c>
      <c r="H693" s="148">
        <f>IFERROR(__xludf.DUMMYFUNCTION("""COMPUTED_VALUE"""),1.5112563E7)</f>
        <v>15112563</v>
      </c>
      <c r="I693" s="148" t="str">
        <f>IFERROR(__xludf.DUMMYFUNCTION("""COMPUTED_VALUE"""),"{""typ"":""lc"",""txt"":""LC_ITEM_time_day_upper_show"",""args"":[{""typ"":""int_unit"",""val"":30}]}")</f>
        <v>{"typ":"lc","txt":"LC_ITEM_time_day_upper_show","args":[{"typ":"int_unit","val":30}]}</v>
      </c>
      <c r="J693" s="148" t="str">
        <f>IFERROR(__xludf.DUMMYFUNCTION("""COMPUTED_VALUE"""),"{""typ"":""lc"",""txt"":""LC_ITEM_egg_marcheffect_medium_2025""}")</f>
        <v>{"typ":"lc","txt":"LC_ITEM_egg_marcheffect_medium_2025"}</v>
      </c>
      <c r="K693" s="148" t="str">
        <f>IFERROR(__xludf.DUMMYFUNCTION("""COMPUTED_VALUE"""),"{""typ"":""lc"",""txt"":""LC_ITEM_egg_marcheffect_medium_2025_desc""}")</f>
        <v>{"typ":"lc","txt":"LC_ITEM_egg_marcheffect_medium_2025_desc"}</v>
      </c>
      <c r="L693" s="148" t="str">
        <f>IFERROR(__xludf.DUMMYFUNCTION("""COMPUTED_VALUE"""),"{""typ"":""lc"",""txt"":""LC_ITEM_march_effect_use_tip_all""}")</f>
        <v>{"typ":"lc","txt":"LC_ITEM_march_effect_use_tip_all"}</v>
      </c>
      <c r="M693" s="148">
        <f>IFERROR(__xludf.DUMMYFUNCTION("""COMPUTED_VALUE"""),1000.0)</f>
        <v>1000</v>
      </c>
      <c r="N693" s="148">
        <f>IFERROR(__xludf.DUMMYFUNCTION("""COMPUTED_VALUE"""),999999.0)</f>
        <v>999999</v>
      </c>
      <c r="O693" s="148">
        <f>IFERROR(__xludf.DUMMYFUNCTION("""COMPUTED_VALUE"""),99999.0)</f>
        <v>99999</v>
      </c>
      <c r="P693" s="148">
        <f>IFERROR(__xludf.DUMMYFUNCTION("""COMPUTED_VALUE"""),1.0)</f>
        <v>1</v>
      </c>
      <c r="Q693" s="148" t="str">
        <f>IFERROR(__xludf.DUMMYFUNCTION("""COMPUTED_VALUE"""),"[""bag_other""]")</f>
        <v>["bag_other"]</v>
      </c>
      <c r="R693" s="148" t="str">
        <f>IFERROR(__xludf.DUMMYFUNCTION("""COMPUTED_VALUE"""),"[""bag"",""13650133""]")</f>
        <v>["bag","13650133"]</v>
      </c>
      <c r="S693" s="148" t="str">
        <f>IFERROR(__xludf.DUMMYFUNCTION("""COMPUTED_VALUE"""),"{""effect"":[{""typ"":""marching_effect"",""id"":13650133,""val"":2592000000},{""typ"":""vm"",""id"":11151001,""val"":1000}]}")</f>
        <v>{"effect":[{"typ":"marching_effect","id":13650133,"val":2592000000},{"typ":"vm","id":11151001,"val":1000}]}</v>
      </c>
      <c r="T693" s="148">
        <f>IFERROR(__xludf.DUMMYFUNCTION("""COMPUTED_VALUE"""),-1.0)</f>
        <v>-1</v>
      </c>
      <c r="U693" s="148">
        <f>IFERROR(__xludf.DUMMYFUNCTION("""COMPUTED_VALUE"""),0.0)</f>
        <v>0</v>
      </c>
      <c r="V693" s="148" t="str">
        <f>IFERROR(__xludf.DUMMYFUNCTION("""COMPUTED_VALUE"""),"[]")</f>
        <v>[]</v>
      </c>
      <c r="W693" s="148">
        <f>IFERROR(__xludf.DUMMYFUNCTION("""COMPUTED_VALUE"""),1.174E7)</f>
        <v>11740000</v>
      </c>
      <c r="X693" s="148">
        <f>IFERROR(__xludf.DUMMYFUNCTION("""COMPUTED_VALUE"""),0.0)</f>
        <v>0</v>
      </c>
      <c r="Y693" s="148">
        <f>IFERROR(__xludf.DUMMYFUNCTION("""COMPUTED_VALUE"""),0.0)</f>
        <v>0</v>
      </c>
      <c r="Z693" s="148"/>
    </row>
    <row r="694">
      <c r="A694" s="148">
        <f>IFERROR(__xludf.DUMMYFUNCTION("""COMPUTED_VALUE"""),1.1112491E7)</f>
        <v>11112491</v>
      </c>
      <c r="B694" s="148" t="str">
        <f>IFERROR(__xludf.DUMMYFUNCTION("""COMPUTED_VALUE"""),"2025复活节行军特效-龙蛋守护者-永久")</f>
        <v>2025复活节行军特效-龙蛋守护者-永久</v>
      </c>
      <c r="C694" s="148"/>
      <c r="D694" s="148" t="str">
        <f>IFERROR(__xludf.DUMMYFUNCTION("""COMPUTED_VALUE"""),"marching_effect")</f>
        <v>marching_effect</v>
      </c>
      <c r="E694" s="148">
        <f>IFERROR(__xludf.DUMMYFUNCTION("""COMPUTED_VALUE"""),0.0)</f>
        <v>0</v>
      </c>
      <c r="F694" s="148">
        <f>IFERROR(__xludf.DUMMYFUNCTION("""COMPUTED_VALUE"""),408195.0)</f>
        <v>408195</v>
      </c>
      <c r="G694" s="148">
        <f>IFERROR(__xludf.DUMMYFUNCTION("""COMPUTED_VALUE"""),1.51101602E8)</f>
        <v>151101602</v>
      </c>
      <c r="H694" s="148">
        <f>IFERROR(__xludf.DUMMYFUNCTION("""COMPUTED_VALUE"""),1.5112564E7)</f>
        <v>15112564</v>
      </c>
      <c r="I694" s="148" t="str">
        <f>IFERROR(__xludf.DUMMYFUNCTION("""COMPUTED_VALUE"""),"{}")</f>
        <v>{}</v>
      </c>
      <c r="J694" s="148" t="str">
        <f>IFERROR(__xludf.DUMMYFUNCTION("""COMPUTED_VALUE"""),"{""typ"":""lc"",""txt"":""LC_ITEM_egg_marcheffect_medium_2025""}")</f>
        <v>{"typ":"lc","txt":"LC_ITEM_egg_marcheffect_medium_2025"}</v>
      </c>
      <c r="K694" s="148" t="str">
        <f>IFERROR(__xludf.DUMMYFUNCTION("""COMPUTED_VALUE"""),"{""typ"":""lc"",""txt"":""LC_ITEM_egg_marcheffect_medium_2025_desc""}")</f>
        <v>{"typ":"lc","txt":"LC_ITEM_egg_marcheffect_medium_2025_desc"}</v>
      </c>
      <c r="L694" s="148" t="str">
        <f>IFERROR(__xludf.DUMMYFUNCTION("""COMPUTED_VALUE"""),"{""typ"":""lc"",""txt"":""LC_ITEM_march_effect_use_tip_all""}")</f>
        <v>{"typ":"lc","txt":"LC_ITEM_march_effect_use_tip_all"}</v>
      </c>
      <c r="M694" s="148">
        <f>IFERROR(__xludf.DUMMYFUNCTION("""COMPUTED_VALUE"""),5000.0)</f>
        <v>5000</v>
      </c>
      <c r="N694" s="148">
        <f>IFERROR(__xludf.DUMMYFUNCTION("""COMPUTED_VALUE"""),999999.0)</f>
        <v>999999</v>
      </c>
      <c r="O694" s="148">
        <f>IFERROR(__xludf.DUMMYFUNCTION("""COMPUTED_VALUE"""),99999.0)</f>
        <v>99999</v>
      </c>
      <c r="P694" s="148">
        <f>IFERROR(__xludf.DUMMYFUNCTION("""COMPUTED_VALUE"""),1.0)</f>
        <v>1</v>
      </c>
      <c r="Q694" s="148" t="str">
        <f>IFERROR(__xludf.DUMMYFUNCTION("""COMPUTED_VALUE"""),"[""bag_other""]")</f>
        <v>["bag_other"]</v>
      </c>
      <c r="R694" s="148" t="str">
        <f>IFERROR(__xludf.DUMMYFUNCTION("""COMPUTED_VALUE"""),"[""bag"",""13650133""]")</f>
        <v>["bag","13650133"]</v>
      </c>
      <c r="S694" s="148" t="str">
        <f>IFERROR(__xludf.DUMMYFUNCTION("""COMPUTED_VALUE"""),"{""effect"":[{""typ"":""marching_effect"",""id"":13650133,""val"":-1},{""typ"":""vm"",""id"":11151001,""val"":2500}]}")</f>
        <v>{"effect":[{"typ":"marching_effect","id":13650133,"val":-1},{"typ":"vm","id":11151001,"val":2500}]}</v>
      </c>
      <c r="T694" s="148">
        <f>IFERROR(__xludf.DUMMYFUNCTION("""COMPUTED_VALUE"""),-1.0)</f>
        <v>-1</v>
      </c>
      <c r="U694" s="148">
        <f>IFERROR(__xludf.DUMMYFUNCTION("""COMPUTED_VALUE"""),0.0)</f>
        <v>0</v>
      </c>
      <c r="V694" s="148" t="str">
        <f>IFERROR(__xludf.DUMMYFUNCTION("""COMPUTED_VALUE"""),"[]")</f>
        <v>[]</v>
      </c>
      <c r="W694" s="148">
        <f>IFERROR(__xludf.DUMMYFUNCTION("""COMPUTED_VALUE"""),1.174E7)</f>
        <v>11740000</v>
      </c>
      <c r="X694" s="148">
        <f>IFERROR(__xludf.DUMMYFUNCTION("""COMPUTED_VALUE"""),0.0)</f>
        <v>0</v>
      </c>
      <c r="Y694" s="148">
        <f>IFERROR(__xludf.DUMMYFUNCTION("""COMPUTED_VALUE"""),0.0)</f>
        <v>0</v>
      </c>
      <c r="Z694" s="148"/>
    </row>
    <row r="695">
      <c r="A695" s="148">
        <f>IFERROR(__xludf.DUMMYFUNCTION("""COMPUTED_VALUE"""),1.1112492E7)</f>
        <v>11112492</v>
      </c>
      <c r="B695" s="148" t="str">
        <f>IFERROR(__xludf.DUMMYFUNCTION("""COMPUTED_VALUE"""),"2025复活节行军特效-龙魂守护者-1天限时")</f>
        <v>2025复活节行军特效-龙魂守护者-1天限时</v>
      </c>
      <c r="C695" s="148"/>
      <c r="D695" s="148" t="str">
        <f>IFERROR(__xludf.DUMMYFUNCTION("""COMPUTED_VALUE"""),"marching_effect")</f>
        <v>marching_effect</v>
      </c>
      <c r="E695" s="148">
        <f>IFERROR(__xludf.DUMMYFUNCTION("""COMPUTED_VALUE"""),0.0)</f>
        <v>0</v>
      </c>
      <c r="F695" s="148">
        <f>IFERROR(__xludf.DUMMYFUNCTION("""COMPUTED_VALUE"""),408200.0)</f>
        <v>408200</v>
      </c>
      <c r="G695" s="148">
        <f>IFERROR(__xludf.DUMMYFUNCTION("""COMPUTED_VALUE"""),1.51101603E8)</f>
        <v>151101603</v>
      </c>
      <c r="H695" s="148">
        <f>IFERROR(__xludf.DUMMYFUNCTION("""COMPUTED_VALUE"""),1.511256E7)</f>
        <v>15112560</v>
      </c>
      <c r="I695" s="148" t="str">
        <f>IFERROR(__xludf.DUMMYFUNCTION("""COMPUTED_VALUE"""),"{""typ"":""lc"",""txt"":""LC_ITEM_time_day_upper_show"",""args"":[{""typ"":""int_unit"",""val"":1}]}")</f>
        <v>{"typ":"lc","txt":"LC_ITEM_time_day_upper_show","args":[{"typ":"int_unit","val":1}]}</v>
      </c>
      <c r="J695" s="148" t="str">
        <f>IFERROR(__xludf.DUMMYFUNCTION("""COMPUTED_VALUE"""),"{""typ"":""lc"",""txt"":""LC_ITEM_egg_marcheffect_high_2025""}")</f>
        <v>{"typ":"lc","txt":"LC_ITEM_egg_marcheffect_high_2025"}</v>
      </c>
      <c r="K695" s="148" t="str">
        <f>IFERROR(__xludf.DUMMYFUNCTION("""COMPUTED_VALUE"""),"{""typ"":""lc"",""txt"":""LC_ITEM_egg_marcheffect_high_2025_desc""}")</f>
        <v>{"typ":"lc","txt":"LC_ITEM_egg_marcheffect_high_2025_desc"}</v>
      </c>
      <c r="L695" s="148" t="str">
        <f>IFERROR(__xludf.DUMMYFUNCTION("""COMPUTED_VALUE"""),"{""typ"":""lc"",""txt"":""LC_ITEM_march_effect_use_tip_all""}")</f>
        <v>{"typ":"lc","txt":"LC_ITEM_march_effect_use_tip_all"}</v>
      </c>
      <c r="M695" s="148">
        <f>IFERROR(__xludf.DUMMYFUNCTION("""COMPUTED_VALUE"""),50.0)</f>
        <v>50</v>
      </c>
      <c r="N695" s="148">
        <f>IFERROR(__xludf.DUMMYFUNCTION("""COMPUTED_VALUE"""),999999.0)</f>
        <v>999999</v>
      </c>
      <c r="O695" s="148">
        <f>IFERROR(__xludf.DUMMYFUNCTION("""COMPUTED_VALUE"""),99999.0)</f>
        <v>99999</v>
      </c>
      <c r="P695" s="148">
        <f>IFERROR(__xludf.DUMMYFUNCTION("""COMPUTED_VALUE"""),1.0)</f>
        <v>1</v>
      </c>
      <c r="Q695" s="148" t="str">
        <f>IFERROR(__xludf.DUMMYFUNCTION("""COMPUTED_VALUE"""),"[""bag_other""]")</f>
        <v>["bag_other"]</v>
      </c>
      <c r="R695" s="148" t="str">
        <f>IFERROR(__xludf.DUMMYFUNCTION("""COMPUTED_VALUE"""),"[""bag"",""13650134""]")</f>
        <v>["bag","13650134"]</v>
      </c>
      <c r="S695" s="148" t="str">
        <f>IFERROR(__xludf.DUMMYFUNCTION("""COMPUTED_VALUE"""),"{""effect"":[{""typ"":""marching_effect"",""id"":13650134,""val"":86400000},{""typ"":""vm"",""id"":11151001,""val"":50}]}")</f>
        <v>{"effect":[{"typ":"marching_effect","id":13650134,"val":86400000},{"typ":"vm","id":11151001,"val":50}]}</v>
      </c>
      <c r="T695" s="148">
        <f>IFERROR(__xludf.DUMMYFUNCTION("""COMPUTED_VALUE"""),-1.0)</f>
        <v>-1</v>
      </c>
      <c r="U695" s="148">
        <f>IFERROR(__xludf.DUMMYFUNCTION("""COMPUTED_VALUE"""),0.0)</f>
        <v>0</v>
      </c>
      <c r="V695" s="148" t="str">
        <f>IFERROR(__xludf.DUMMYFUNCTION("""COMPUTED_VALUE"""),"[]")</f>
        <v>[]</v>
      </c>
      <c r="W695" s="148">
        <f>IFERROR(__xludf.DUMMYFUNCTION("""COMPUTED_VALUE"""),1.174E7)</f>
        <v>11740000</v>
      </c>
      <c r="X695" s="148">
        <f>IFERROR(__xludf.DUMMYFUNCTION("""COMPUTED_VALUE"""),0.0)</f>
        <v>0</v>
      </c>
      <c r="Y695" s="148">
        <f>IFERROR(__xludf.DUMMYFUNCTION("""COMPUTED_VALUE"""),0.0)</f>
        <v>0</v>
      </c>
      <c r="Z695" s="148"/>
    </row>
    <row r="696">
      <c r="A696" s="148">
        <f>IFERROR(__xludf.DUMMYFUNCTION("""COMPUTED_VALUE"""),1.1112493E7)</f>
        <v>11112493</v>
      </c>
      <c r="B696" s="148" t="str">
        <f>IFERROR(__xludf.DUMMYFUNCTION("""COMPUTED_VALUE"""),"2025复活节行军特效-龙魂守护者-3天限时")</f>
        <v>2025复活节行军特效-龙魂守护者-3天限时</v>
      </c>
      <c r="C696" s="148"/>
      <c r="D696" s="148" t="str">
        <f>IFERROR(__xludf.DUMMYFUNCTION("""COMPUTED_VALUE"""),"marching_effect")</f>
        <v>marching_effect</v>
      </c>
      <c r="E696" s="148">
        <f>IFERROR(__xludf.DUMMYFUNCTION("""COMPUTED_VALUE"""),0.0)</f>
        <v>0</v>
      </c>
      <c r="F696" s="148">
        <f>IFERROR(__xludf.DUMMYFUNCTION("""COMPUTED_VALUE"""),408199.0)</f>
        <v>408199</v>
      </c>
      <c r="G696" s="148">
        <f>IFERROR(__xludf.DUMMYFUNCTION("""COMPUTED_VALUE"""),1.51101603E8)</f>
        <v>151101603</v>
      </c>
      <c r="H696" s="148">
        <f>IFERROR(__xludf.DUMMYFUNCTION("""COMPUTED_VALUE"""),1.5112561E7)</f>
        <v>15112561</v>
      </c>
      <c r="I696" s="148" t="str">
        <f>IFERROR(__xludf.DUMMYFUNCTION("""COMPUTED_VALUE"""),"{""typ"":""lc"",""txt"":""LC_ITEM_time_day_upper_show"",""args"":[{""typ"":""int_unit"",""val"":3}]}")</f>
        <v>{"typ":"lc","txt":"LC_ITEM_time_day_upper_show","args":[{"typ":"int_unit","val":3}]}</v>
      </c>
      <c r="J696" s="148" t="str">
        <f>IFERROR(__xludf.DUMMYFUNCTION("""COMPUTED_VALUE"""),"{""typ"":""lc"",""txt"":""LC_ITEM_egg_marcheffect_high_2025""}")</f>
        <v>{"typ":"lc","txt":"LC_ITEM_egg_marcheffect_high_2025"}</v>
      </c>
      <c r="K696" s="148" t="str">
        <f>IFERROR(__xludf.DUMMYFUNCTION("""COMPUTED_VALUE"""),"{""typ"":""lc"",""txt"":""LC_ITEM_egg_marcheffect_high_2025_desc""}")</f>
        <v>{"typ":"lc","txt":"LC_ITEM_egg_marcheffect_high_2025_desc"}</v>
      </c>
      <c r="L696" s="148" t="str">
        <f>IFERROR(__xludf.DUMMYFUNCTION("""COMPUTED_VALUE"""),"{""typ"":""lc"",""txt"":""LC_ITEM_march_effect_use_tip_all""}")</f>
        <v>{"typ":"lc","txt":"LC_ITEM_march_effect_use_tip_all"}</v>
      </c>
      <c r="M696" s="148">
        <f>IFERROR(__xludf.DUMMYFUNCTION("""COMPUTED_VALUE"""),200.0)</f>
        <v>200</v>
      </c>
      <c r="N696" s="148">
        <f>IFERROR(__xludf.DUMMYFUNCTION("""COMPUTED_VALUE"""),999999.0)</f>
        <v>999999</v>
      </c>
      <c r="O696" s="148">
        <f>IFERROR(__xludf.DUMMYFUNCTION("""COMPUTED_VALUE"""),99999.0)</f>
        <v>99999</v>
      </c>
      <c r="P696" s="148">
        <f>IFERROR(__xludf.DUMMYFUNCTION("""COMPUTED_VALUE"""),1.0)</f>
        <v>1</v>
      </c>
      <c r="Q696" s="148" t="str">
        <f>IFERROR(__xludf.DUMMYFUNCTION("""COMPUTED_VALUE"""),"[""bag_other""]")</f>
        <v>["bag_other"]</v>
      </c>
      <c r="R696" s="148" t="str">
        <f>IFERROR(__xludf.DUMMYFUNCTION("""COMPUTED_VALUE"""),"[""bag"",""13650134""]")</f>
        <v>["bag","13650134"]</v>
      </c>
      <c r="S696" s="148" t="str">
        <f>IFERROR(__xludf.DUMMYFUNCTION("""COMPUTED_VALUE"""),"{""effect"":[{""typ"":""marching_effect"",""id"":13650134,""val"":259200000},{""typ"":""vm"",""id"":11151001,""val"":200}]}")</f>
        <v>{"effect":[{"typ":"marching_effect","id":13650134,"val":259200000},{"typ":"vm","id":11151001,"val":200}]}</v>
      </c>
      <c r="T696" s="148">
        <f>IFERROR(__xludf.DUMMYFUNCTION("""COMPUTED_VALUE"""),-1.0)</f>
        <v>-1</v>
      </c>
      <c r="U696" s="148">
        <f>IFERROR(__xludf.DUMMYFUNCTION("""COMPUTED_VALUE"""),0.0)</f>
        <v>0</v>
      </c>
      <c r="V696" s="148" t="str">
        <f>IFERROR(__xludf.DUMMYFUNCTION("""COMPUTED_VALUE"""),"[]")</f>
        <v>[]</v>
      </c>
      <c r="W696" s="148">
        <f>IFERROR(__xludf.DUMMYFUNCTION("""COMPUTED_VALUE"""),1.174E7)</f>
        <v>11740000</v>
      </c>
      <c r="X696" s="148">
        <f>IFERROR(__xludf.DUMMYFUNCTION("""COMPUTED_VALUE"""),0.0)</f>
        <v>0</v>
      </c>
      <c r="Y696" s="148">
        <f>IFERROR(__xludf.DUMMYFUNCTION("""COMPUTED_VALUE"""),0.0)</f>
        <v>0</v>
      </c>
      <c r="Z696" s="148"/>
    </row>
    <row r="697">
      <c r="A697" s="148">
        <f>IFERROR(__xludf.DUMMYFUNCTION("""COMPUTED_VALUE"""),1.1112494E7)</f>
        <v>11112494</v>
      </c>
      <c r="B697" s="148" t="str">
        <f>IFERROR(__xludf.DUMMYFUNCTION("""COMPUTED_VALUE"""),"2025复活节行军特效-龙魂守护者-7天限时")</f>
        <v>2025复活节行军特效-龙魂守护者-7天限时</v>
      </c>
      <c r="C697" s="148"/>
      <c r="D697" s="148" t="str">
        <f>IFERROR(__xludf.DUMMYFUNCTION("""COMPUTED_VALUE"""),"marching_effect")</f>
        <v>marching_effect</v>
      </c>
      <c r="E697" s="148">
        <f>IFERROR(__xludf.DUMMYFUNCTION("""COMPUTED_VALUE"""),0.0)</f>
        <v>0</v>
      </c>
      <c r="F697" s="148">
        <f>IFERROR(__xludf.DUMMYFUNCTION("""COMPUTED_VALUE"""),408198.0)</f>
        <v>408198</v>
      </c>
      <c r="G697" s="148">
        <f>IFERROR(__xludf.DUMMYFUNCTION("""COMPUTED_VALUE"""),1.51101603E8)</f>
        <v>151101603</v>
      </c>
      <c r="H697" s="148">
        <f>IFERROR(__xludf.DUMMYFUNCTION("""COMPUTED_VALUE"""),1.5112562E7)</f>
        <v>15112562</v>
      </c>
      <c r="I697" s="148" t="str">
        <f>IFERROR(__xludf.DUMMYFUNCTION("""COMPUTED_VALUE"""),"{""typ"":""lc"",""txt"":""LC_ITEM_time_day_upper_show"",""args"":[{""typ"":""int_unit"",""val"":7}]}")</f>
        <v>{"typ":"lc","txt":"LC_ITEM_time_day_upper_show","args":[{"typ":"int_unit","val":7}]}</v>
      </c>
      <c r="J697" s="148" t="str">
        <f>IFERROR(__xludf.DUMMYFUNCTION("""COMPUTED_VALUE"""),"{""typ"":""lc"",""txt"":""LC_ITEM_egg_marcheffect_high_2025""}")</f>
        <v>{"typ":"lc","txt":"LC_ITEM_egg_marcheffect_high_2025"}</v>
      </c>
      <c r="K697" s="148" t="str">
        <f>IFERROR(__xludf.DUMMYFUNCTION("""COMPUTED_VALUE"""),"{""typ"":""lc"",""txt"":""LC_ITEM_egg_marcheffect_high_2025_desc""}")</f>
        <v>{"typ":"lc","txt":"LC_ITEM_egg_marcheffect_high_2025_desc"}</v>
      </c>
      <c r="L697" s="148" t="str">
        <f>IFERROR(__xludf.DUMMYFUNCTION("""COMPUTED_VALUE"""),"{""typ"":""lc"",""txt"":""LC_ITEM_march_effect_use_tip_all""}")</f>
        <v>{"typ":"lc","txt":"LC_ITEM_march_effect_use_tip_all"}</v>
      </c>
      <c r="M697" s="148">
        <f>IFERROR(__xludf.DUMMYFUNCTION("""COMPUTED_VALUE"""),500.0)</f>
        <v>500</v>
      </c>
      <c r="N697" s="148">
        <f>IFERROR(__xludf.DUMMYFUNCTION("""COMPUTED_VALUE"""),999999.0)</f>
        <v>999999</v>
      </c>
      <c r="O697" s="148">
        <f>IFERROR(__xludf.DUMMYFUNCTION("""COMPUTED_VALUE"""),99999.0)</f>
        <v>99999</v>
      </c>
      <c r="P697" s="148">
        <f>IFERROR(__xludf.DUMMYFUNCTION("""COMPUTED_VALUE"""),1.0)</f>
        <v>1</v>
      </c>
      <c r="Q697" s="148" t="str">
        <f>IFERROR(__xludf.DUMMYFUNCTION("""COMPUTED_VALUE"""),"[""bag_other""]")</f>
        <v>["bag_other"]</v>
      </c>
      <c r="R697" s="148" t="str">
        <f>IFERROR(__xludf.DUMMYFUNCTION("""COMPUTED_VALUE"""),"[""bag"",""13650134""]")</f>
        <v>["bag","13650134"]</v>
      </c>
      <c r="S697" s="148" t="str">
        <f>IFERROR(__xludf.DUMMYFUNCTION("""COMPUTED_VALUE"""),"{""effect"":[{""typ"":""marching_effect"",""id"":13650134,""val"":604800000},{""typ"":""vm"",""id"":11151001,""val"":500}]}")</f>
        <v>{"effect":[{"typ":"marching_effect","id":13650134,"val":604800000},{"typ":"vm","id":11151001,"val":500}]}</v>
      </c>
      <c r="T697" s="148">
        <f>IFERROR(__xludf.DUMMYFUNCTION("""COMPUTED_VALUE"""),-1.0)</f>
        <v>-1</v>
      </c>
      <c r="U697" s="148">
        <f>IFERROR(__xludf.DUMMYFUNCTION("""COMPUTED_VALUE"""),0.0)</f>
        <v>0</v>
      </c>
      <c r="V697" s="148" t="str">
        <f>IFERROR(__xludf.DUMMYFUNCTION("""COMPUTED_VALUE"""),"[]")</f>
        <v>[]</v>
      </c>
      <c r="W697" s="148">
        <f>IFERROR(__xludf.DUMMYFUNCTION("""COMPUTED_VALUE"""),1.174E7)</f>
        <v>11740000</v>
      </c>
      <c r="X697" s="148">
        <f>IFERROR(__xludf.DUMMYFUNCTION("""COMPUTED_VALUE"""),0.0)</f>
        <v>0</v>
      </c>
      <c r="Y697" s="148">
        <f>IFERROR(__xludf.DUMMYFUNCTION("""COMPUTED_VALUE"""),0.0)</f>
        <v>0</v>
      </c>
      <c r="Z697" s="148"/>
    </row>
    <row r="698">
      <c r="A698" s="148">
        <f>IFERROR(__xludf.DUMMYFUNCTION("""COMPUTED_VALUE"""),1.1112495E7)</f>
        <v>11112495</v>
      </c>
      <c r="B698" s="148" t="str">
        <f>IFERROR(__xludf.DUMMYFUNCTION("""COMPUTED_VALUE"""),"2025复活节行军特效-龙魂守护者-14天限时")</f>
        <v>2025复活节行军特效-龙魂守护者-14天限时</v>
      </c>
      <c r="C698" s="148"/>
      <c r="D698" s="148" t="str">
        <f>IFERROR(__xludf.DUMMYFUNCTION("""COMPUTED_VALUE"""),"marching_effect")</f>
        <v>marching_effect</v>
      </c>
      <c r="E698" s="148">
        <f>IFERROR(__xludf.DUMMYFUNCTION("""COMPUTED_VALUE"""),0.0)</f>
        <v>0</v>
      </c>
      <c r="F698" s="148">
        <f>IFERROR(__xludf.DUMMYFUNCTION("""COMPUTED_VALUE"""),408197.0)</f>
        <v>408197</v>
      </c>
      <c r="G698" s="148">
        <f>IFERROR(__xludf.DUMMYFUNCTION("""COMPUTED_VALUE"""),1.51101603E8)</f>
        <v>151101603</v>
      </c>
      <c r="H698" s="148">
        <f>IFERROR(__xludf.DUMMYFUNCTION("""COMPUTED_VALUE"""),1.5112563E7)</f>
        <v>15112563</v>
      </c>
      <c r="I698" s="148" t="str">
        <f>IFERROR(__xludf.DUMMYFUNCTION("""COMPUTED_VALUE"""),"{""typ"":""lc"",""txt"":""LC_ITEM_time_day_upper_show"",""args"":[{""typ"":""int_unit"",""val"":14}]}")</f>
        <v>{"typ":"lc","txt":"LC_ITEM_time_day_upper_show","args":[{"typ":"int_unit","val":14}]}</v>
      </c>
      <c r="J698" s="148" t="str">
        <f>IFERROR(__xludf.DUMMYFUNCTION("""COMPUTED_VALUE"""),"{""typ"":""lc"",""txt"":""LC_ITEM_egg_marcheffect_high_2025""}")</f>
        <v>{"typ":"lc","txt":"LC_ITEM_egg_marcheffect_high_2025"}</v>
      </c>
      <c r="K698" s="148" t="str">
        <f>IFERROR(__xludf.DUMMYFUNCTION("""COMPUTED_VALUE"""),"{""typ"":""lc"",""txt"":""LC_ITEM_egg_marcheffect_high_2025_desc""}")</f>
        <v>{"typ":"lc","txt":"LC_ITEM_egg_marcheffect_high_2025_desc"}</v>
      </c>
      <c r="L698" s="148" t="str">
        <f>IFERROR(__xludf.DUMMYFUNCTION("""COMPUTED_VALUE"""),"{""typ"":""lc"",""txt"":""LC_ITEM_march_effect_use_tip_all""}")</f>
        <v>{"typ":"lc","txt":"LC_ITEM_march_effect_use_tip_all"}</v>
      </c>
      <c r="M698" s="148">
        <f>IFERROR(__xludf.DUMMYFUNCTION("""COMPUTED_VALUE"""),1000.0)</f>
        <v>1000</v>
      </c>
      <c r="N698" s="148">
        <f>IFERROR(__xludf.DUMMYFUNCTION("""COMPUTED_VALUE"""),999999.0)</f>
        <v>999999</v>
      </c>
      <c r="O698" s="148">
        <f>IFERROR(__xludf.DUMMYFUNCTION("""COMPUTED_VALUE"""),99999.0)</f>
        <v>99999</v>
      </c>
      <c r="P698" s="148">
        <f>IFERROR(__xludf.DUMMYFUNCTION("""COMPUTED_VALUE"""),1.0)</f>
        <v>1</v>
      </c>
      <c r="Q698" s="148" t="str">
        <f>IFERROR(__xludf.DUMMYFUNCTION("""COMPUTED_VALUE"""),"[""bag_other""]")</f>
        <v>["bag_other"]</v>
      </c>
      <c r="R698" s="148" t="str">
        <f>IFERROR(__xludf.DUMMYFUNCTION("""COMPUTED_VALUE"""),"[""bag"",""13650134""]")</f>
        <v>["bag","13650134"]</v>
      </c>
      <c r="S698" s="148" t="str">
        <f>IFERROR(__xludf.DUMMYFUNCTION("""COMPUTED_VALUE"""),"{""effect"":[{""typ"":""marching_effect"",""id"":13650134,""val"":1209600000},{""typ"":""vm"",""id"":11151001,""val"":1000}]}")</f>
        <v>{"effect":[{"typ":"marching_effect","id":13650134,"val":1209600000},{"typ":"vm","id":11151001,"val":1000}]}</v>
      </c>
      <c r="T698" s="148">
        <f>IFERROR(__xludf.DUMMYFUNCTION("""COMPUTED_VALUE"""),-1.0)</f>
        <v>-1</v>
      </c>
      <c r="U698" s="148">
        <f>IFERROR(__xludf.DUMMYFUNCTION("""COMPUTED_VALUE"""),0.0)</f>
        <v>0</v>
      </c>
      <c r="V698" s="148" t="str">
        <f>IFERROR(__xludf.DUMMYFUNCTION("""COMPUTED_VALUE"""),"[]")</f>
        <v>[]</v>
      </c>
      <c r="W698" s="148">
        <f>IFERROR(__xludf.DUMMYFUNCTION("""COMPUTED_VALUE"""),1.174E7)</f>
        <v>11740000</v>
      </c>
      <c r="X698" s="148">
        <f>IFERROR(__xludf.DUMMYFUNCTION("""COMPUTED_VALUE"""),0.0)</f>
        <v>0</v>
      </c>
      <c r="Y698" s="148">
        <f>IFERROR(__xludf.DUMMYFUNCTION("""COMPUTED_VALUE"""),0.0)</f>
        <v>0</v>
      </c>
      <c r="Z698" s="148"/>
    </row>
    <row r="699">
      <c r="A699" s="148">
        <f>IFERROR(__xludf.DUMMYFUNCTION("""COMPUTED_VALUE"""),1.1112496E7)</f>
        <v>11112496</v>
      </c>
      <c r="B699" s="148" t="str">
        <f>IFERROR(__xludf.DUMMYFUNCTION("""COMPUTED_VALUE"""),"2025复活节行军特效-龙魂守护者-30天限时")</f>
        <v>2025复活节行军特效-龙魂守护者-30天限时</v>
      </c>
      <c r="C699" s="148"/>
      <c r="D699" s="148" t="str">
        <f>IFERROR(__xludf.DUMMYFUNCTION("""COMPUTED_VALUE"""),"marching_effect")</f>
        <v>marching_effect</v>
      </c>
      <c r="E699" s="148">
        <f>IFERROR(__xludf.DUMMYFUNCTION("""COMPUTED_VALUE"""),0.0)</f>
        <v>0</v>
      </c>
      <c r="F699" s="148">
        <f>IFERROR(__xludf.DUMMYFUNCTION("""COMPUTED_VALUE"""),408197.0)</f>
        <v>408197</v>
      </c>
      <c r="G699" s="148">
        <f>IFERROR(__xludf.DUMMYFUNCTION("""COMPUTED_VALUE"""),1.51101603E8)</f>
        <v>151101603</v>
      </c>
      <c r="H699" s="148">
        <f>IFERROR(__xludf.DUMMYFUNCTION("""COMPUTED_VALUE"""),1.5112563E7)</f>
        <v>15112563</v>
      </c>
      <c r="I699" s="148" t="str">
        <f>IFERROR(__xludf.DUMMYFUNCTION("""COMPUTED_VALUE"""),"{""typ"":""lc"",""txt"":""LC_ITEM_time_day_upper_show"",""args"":[{""typ"":""int_unit"",""val"":30}]}")</f>
        <v>{"typ":"lc","txt":"LC_ITEM_time_day_upper_show","args":[{"typ":"int_unit","val":30}]}</v>
      </c>
      <c r="J699" s="148" t="str">
        <f>IFERROR(__xludf.DUMMYFUNCTION("""COMPUTED_VALUE"""),"{""typ"":""lc"",""txt"":""LC_ITEM_egg_marcheffect_high_2025""}")</f>
        <v>{"typ":"lc","txt":"LC_ITEM_egg_marcheffect_high_2025"}</v>
      </c>
      <c r="K699" s="148" t="str">
        <f>IFERROR(__xludf.DUMMYFUNCTION("""COMPUTED_VALUE"""),"{""typ"":""lc"",""txt"":""LC_ITEM_egg_marcheffect_high_2025_desc""}")</f>
        <v>{"typ":"lc","txt":"LC_ITEM_egg_marcheffect_high_2025_desc"}</v>
      </c>
      <c r="L699" s="148" t="str">
        <f>IFERROR(__xludf.DUMMYFUNCTION("""COMPUTED_VALUE"""),"{""typ"":""lc"",""txt"":""LC_ITEM_march_effect_use_tip_all""}")</f>
        <v>{"typ":"lc","txt":"LC_ITEM_march_effect_use_tip_all"}</v>
      </c>
      <c r="M699" s="148">
        <f>IFERROR(__xludf.DUMMYFUNCTION("""COMPUTED_VALUE"""),1000.0)</f>
        <v>1000</v>
      </c>
      <c r="N699" s="148">
        <f>IFERROR(__xludf.DUMMYFUNCTION("""COMPUTED_VALUE"""),999999.0)</f>
        <v>999999</v>
      </c>
      <c r="O699" s="148">
        <f>IFERROR(__xludf.DUMMYFUNCTION("""COMPUTED_VALUE"""),99999.0)</f>
        <v>99999</v>
      </c>
      <c r="P699" s="148">
        <f>IFERROR(__xludf.DUMMYFUNCTION("""COMPUTED_VALUE"""),1.0)</f>
        <v>1</v>
      </c>
      <c r="Q699" s="148" t="str">
        <f>IFERROR(__xludf.DUMMYFUNCTION("""COMPUTED_VALUE"""),"[""bag_other""]")</f>
        <v>["bag_other"]</v>
      </c>
      <c r="R699" s="148" t="str">
        <f>IFERROR(__xludf.DUMMYFUNCTION("""COMPUTED_VALUE"""),"[""bag"",""13650134""]")</f>
        <v>["bag","13650134"]</v>
      </c>
      <c r="S699" s="148" t="str">
        <f>IFERROR(__xludf.DUMMYFUNCTION("""COMPUTED_VALUE"""),"{""effect"":[{""typ"":""marching_effect"",""id"":13650134,""val"":2592000000},{""typ"":""vm"",""id"":11151001,""val"":1000}]}")</f>
        <v>{"effect":[{"typ":"marching_effect","id":13650134,"val":2592000000},{"typ":"vm","id":11151001,"val":1000}]}</v>
      </c>
      <c r="T699" s="148">
        <f>IFERROR(__xludf.DUMMYFUNCTION("""COMPUTED_VALUE"""),-1.0)</f>
        <v>-1</v>
      </c>
      <c r="U699" s="148">
        <f>IFERROR(__xludf.DUMMYFUNCTION("""COMPUTED_VALUE"""),0.0)</f>
        <v>0</v>
      </c>
      <c r="V699" s="148" t="str">
        <f>IFERROR(__xludf.DUMMYFUNCTION("""COMPUTED_VALUE"""),"[]")</f>
        <v>[]</v>
      </c>
      <c r="W699" s="148">
        <f>IFERROR(__xludf.DUMMYFUNCTION("""COMPUTED_VALUE"""),1.174E7)</f>
        <v>11740000</v>
      </c>
      <c r="X699" s="148">
        <f>IFERROR(__xludf.DUMMYFUNCTION("""COMPUTED_VALUE"""),0.0)</f>
        <v>0</v>
      </c>
      <c r="Y699" s="148">
        <f>IFERROR(__xludf.DUMMYFUNCTION("""COMPUTED_VALUE"""),0.0)</f>
        <v>0</v>
      </c>
      <c r="Z699" s="148"/>
    </row>
    <row r="700">
      <c r="A700" s="148">
        <f>IFERROR(__xludf.DUMMYFUNCTION("""COMPUTED_VALUE"""),1.1112497E7)</f>
        <v>11112497</v>
      </c>
      <c r="B700" s="148" t="str">
        <f>IFERROR(__xludf.DUMMYFUNCTION("""COMPUTED_VALUE"""),"2025复活节行军特效-龙魂守护者-永久")</f>
        <v>2025复活节行军特效-龙魂守护者-永久</v>
      </c>
      <c r="C700" s="148"/>
      <c r="D700" s="148" t="str">
        <f>IFERROR(__xludf.DUMMYFUNCTION("""COMPUTED_VALUE"""),"marching_effect")</f>
        <v>marching_effect</v>
      </c>
      <c r="E700" s="148">
        <f>IFERROR(__xludf.DUMMYFUNCTION("""COMPUTED_VALUE"""),0.0)</f>
        <v>0</v>
      </c>
      <c r="F700" s="148">
        <f>IFERROR(__xludf.DUMMYFUNCTION("""COMPUTED_VALUE"""),408195.0)</f>
        <v>408195</v>
      </c>
      <c r="G700" s="148">
        <f>IFERROR(__xludf.DUMMYFUNCTION("""COMPUTED_VALUE"""),1.51101603E8)</f>
        <v>151101603</v>
      </c>
      <c r="H700" s="148">
        <f>IFERROR(__xludf.DUMMYFUNCTION("""COMPUTED_VALUE"""),1.5112564E7)</f>
        <v>15112564</v>
      </c>
      <c r="I700" s="148" t="str">
        <f>IFERROR(__xludf.DUMMYFUNCTION("""COMPUTED_VALUE"""),"{}")</f>
        <v>{}</v>
      </c>
      <c r="J700" s="148" t="str">
        <f>IFERROR(__xludf.DUMMYFUNCTION("""COMPUTED_VALUE"""),"{""typ"":""lc"",""txt"":""LC_ITEM_egg_marcheffect_high_2025""}")</f>
        <v>{"typ":"lc","txt":"LC_ITEM_egg_marcheffect_high_2025"}</v>
      </c>
      <c r="K700" s="148" t="str">
        <f>IFERROR(__xludf.DUMMYFUNCTION("""COMPUTED_VALUE"""),"{""typ"":""lc"",""txt"":""LC_ITEM_egg_marcheffect_high_2025_desc""}")</f>
        <v>{"typ":"lc","txt":"LC_ITEM_egg_marcheffect_high_2025_desc"}</v>
      </c>
      <c r="L700" s="148" t="str">
        <f>IFERROR(__xludf.DUMMYFUNCTION("""COMPUTED_VALUE"""),"{""typ"":""lc"",""txt"":""LC_ITEM_march_effect_use_tip_all""}")</f>
        <v>{"typ":"lc","txt":"LC_ITEM_march_effect_use_tip_all"}</v>
      </c>
      <c r="M700" s="148">
        <f>IFERROR(__xludf.DUMMYFUNCTION("""COMPUTED_VALUE"""),5000.0)</f>
        <v>5000</v>
      </c>
      <c r="N700" s="148">
        <f>IFERROR(__xludf.DUMMYFUNCTION("""COMPUTED_VALUE"""),999999.0)</f>
        <v>999999</v>
      </c>
      <c r="O700" s="148">
        <f>IFERROR(__xludf.DUMMYFUNCTION("""COMPUTED_VALUE"""),99999.0)</f>
        <v>99999</v>
      </c>
      <c r="P700" s="148">
        <f>IFERROR(__xludf.DUMMYFUNCTION("""COMPUTED_VALUE"""),1.0)</f>
        <v>1</v>
      </c>
      <c r="Q700" s="148" t="str">
        <f>IFERROR(__xludf.DUMMYFUNCTION("""COMPUTED_VALUE"""),"[""bag_other""]")</f>
        <v>["bag_other"]</v>
      </c>
      <c r="R700" s="148" t="str">
        <f>IFERROR(__xludf.DUMMYFUNCTION("""COMPUTED_VALUE"""),"[""bag"",""13650134""]")</f>
        <v>["bag","13650134"]</v>
      </c>
      <c r="S700" s="148" t="str">
        <f>IFERROR(__xludf.DUMMYFUNCTION("""COMPUTED_VALUE"""),"{""effect"":[{""typ"":""marching_effect"",""id"":13650134,""val"":-1},{""typ"":""vm"",""id"":11151001,""val"":2500}]}")</f>
        <v>{"effect":[{"typ":"marching_effect","id":13650134,"val":-1},{"typ":"vm","id":11151001,"val":2500}]}</v>
      </c>
      <c r="T700" s="148">
        <f>IFERROR(__xludf.DUMMYFUNCTION("""COMPUTED_VALUE"""),-1.0)</f>
        <v>-1</v>
      </c>
      <c r="U700" s="148">
        <f>IFERROR(__xludf.DUMMYFUNCTION("""COMPUTED_VALUE"""),0.0)</f>
        <v>0</v>
      </c>
      <c r="V700" s="148" t="str">
        <f>IFERROR(__xludf.DUMMYFUNCTION("""COMPUTED_VALUE"""),"[]")</f>
        <v>[]</v>
      </c>
      <c r="W700" s="148">
        <f>IFERROR(__xludf.DUMMYFUNCTION("""COMPUTED_VALUE"""),1.174E7)</f>
        <v>11740000</v>
      </c>
      <c r="X700" s="148">
        <f>IFERROR(__xludf.DUMMYFUNCTION("""COMPUTED_VALUE"""),0.0)</f>
        <v>0</v>
      </c>
      <c r="Y700" s="148">
        <f>IFERROR(__xludf.DUMMYFUNCTION("""COMPUTED_VALUE"""),0.0)</f>
        <v>0</v>
      </c>
      <c r="Z700" s="148"/>
    </row>
    <row r="701">
      <c r="A701" s="148">
        <f>IFERROR(__xludf.DUMMYFUNCTION("""COMPUTED_VALUE"""),1.1112498E7)</f>
        <v>11112498</v>
      </c>
      <c r="B701" s="148" t="str">
        <f>IFERROR(__xludf.DUMMYFUNCTION("""COMPUTED_VALUE"""),"漫游骰子-节日进度活动")</f>
        <v>漫游骰子-节日进度活动</v>
      </c>
      <c r="C701" s="148"/>
      <c r="D701" s="148" t="str">
        <f>IFERROR(__xludf.DUMMYFUNCTION("""COMPUTED_VALUE"""),"event")</f>
        <v>event</v>
      </c>
      <c r="E701" s="148">
        <f>IFERROR(__xludf.DUMMYFUNCTION("""COMPUTED_VALUE"""),0.0)</f>
        <v>0</v>
      </c>
      <c r="F701" s="148">
        <f>IFERROR(__xludf.DUMMYFUNCTION("""COMPUTED_VALUE"""),405226.0)</f>
        <v>405226</v>
      </c>
      <c r="G701" s="148">
        <f>IFERROR(__xludf.DUMMYFUNCTION("""COMPUTED_VALUE"""),1.511584E7)</f>
        <v>15115840</v>
      </c>
      <c r="H701" s="148">
        <f>IFERROR(__xludf.DUMMYFUNCTION("""COMPUTED_VALUE"""),1.5112564E7)</f>
        <v>15112564</v>
      </c>
      <c r="I701" s="148" t="str">
        <f>IFERROR(__xludf.DUMMYFUNCTION("""COMPUTED_VALUE"""),"{}")</f>
        <v>{}</v>
      </c>
      <c r="J701" s="148" t="str">
        <f>IFERROR(__xludf.DUMMYFUNCTION("""COMPUTED_VALUE"""),"{""typ"":""lc"",""txt"":""LC_ITEM_easter_monopoly_item_name""}")</f>
        <v>{"typ":"lc","txt":"LC_ITEM_easter_monopoly_item_name"}</v>
      </c>
      <c r="K701" s="148" t="str">
        <f>IFERROR(__xludf.DUMMYFUNCTION("""COMPUTED_VALUE"""),"{""typ"":""lc"",""txt"":""LC_ITEM_easter_monopoly_item_desc""}")</f>
        <v>{"typ":"lc","txt":"LC_ITEM_easter_monopoly_item_desc"}</v>
      </c>
      <c r="L701" s="148" t="str">
        <f>IFERROR(__xludf.DUMMYFUNCTION("""COMPUTED_VALUE"""),"{}")</f>
        <v>{}</v>
      </c>
      <c r="M701" s="148">
        <f>IFERROR(__xludf.DUMMYFUNCTION("""COMPUTED_VALUE"""),700.0)</f>
        <v>700</v>
      </c>
      <c r="N701" s="148">
        <f>IFERROR(__xludf.DUMMYFUNCTION("""COMPUTED_VALUE"""),9.99999999E8)</f>
        <v>999999999</v>
      </c>
      <c r="O701" s="148">
        <f>IFERROR(__xludf.DUMMYFUNCTION("""COMPUTED_VALUE"""),9.99999999E8)</f>
        <v>999999999</v>
      </c>
      <c r="P701" s="148">
        <f>IFERROR(__xludf.DUMMYFUNCTION("""COMPUTED_VALUE"""),9.99999999E8)</f>
        <v>999999999</v>
      </c>
      <c r="Q701" s="148" t="str">
        <f>IFERROR(__xludf.DUMMYFUNCTION("""COMPUTED_VALUE"""),"[""bag_other""]")</f>
        <v>["bag_other"]</v>
      </c>
      <c r="R701" s="148" t="str">
        <f>IFERROR(__xludf.DUMMYFUNCTION("""COMPUTED_VALUE"""),"[""bag""]")</f>
        <v>["bag"]</v>
      </c>
      <c r="S701" s="148" t="str">
        <f>IFERROR(__xludf.DUMMYFUNCTION("""COMPUTED_VALUE"""),"{""effect"":[{""typ"":""actv_open"",""arg2"":[21127362,21127614]}]}")</f>
        <v>{"effect":[{"typ":"actv_open","arg2":[21127362,21127614]}]}</v>
      </c>
      <c r="T701" s="148">
        <f>IFERROR(__xludf.DUMMYFUNCTION("""COMPUTED_VALUE"""),1.0)</f>
        <v>1</v>
      </c>
      <c r="U701" s="148">
        <f>IFERROR(__xludf.DUMMYFUNCTION("""COMPUTED_VALUE"""),0.0)</f>
        <v>0</v>
      </c>
      <c r="V701" s="148" t="str">
        <f>IFERROR(__xludf.DUMMYFUNCTION("""COMPUTED_VALUE"""),"[]")</f>
        <v>[]</v>
      </c>
      <c r="W701" s="148">
        <f>IFERROR(__xludf.DUMMYFUNCTION("""COMPUTED_VALUE"""),1.174E7)</f>
        <v>11740000</v>
      </c>
      <c r="X701" s="148">
        <f>IFERROR(__xludf.DUMMYFUNCTION("""COMPUTED_VALUE"""),0.0)</f>
        <v>0</v>
      </c>
      <c r="Y701" s="148">
        <f>IFERROR(__xludf.DUMMYFUNCTION("""COMPUTED_VALUE"""),0.0)</f>
        <v>0</v>
      </c>
      <c r="Z701" s="148"/>
    </row>
    <row r="702">
      <c r="A702" s="148">
        <f>IFERROR(__xludf.DUMMYFUNCTION("""COMPUTED_VALUE"""),1.1112499E7)</f>
        <v>11112499</v>
      </c>
      <c r="B702" s="148" t="str">
        <f>IFERROR(__xludf.DUMMYFUNCTION("""COMPUTED_VALUE"""),"2025复活节动态头像框-红龙之翼")</f>
        <v>2025复活节动态头像框-红龙之翼</v>
      </c>
      <c r="C702" s="148"/>
      <c r="D702" s="148" t="str">
        <f>IFERROR(__xludf.DUMMYFUNCTION("""COMPUTED_VALUE"""),"avatar_frame")</f>
        <v>avatar_frame</v>
      </c>
      <c r="E702" s="148">
        <f>IFERROR(__xludf.DUMMYFUNCTION("""COMPUTED_VALUE"""),20.0)</f>
        <v>20</v>
      </c>
      <c r="F702" s="148">
        <f>IFERROR(__xludf.DUMMYFUNCTION("""COMPUTED_VALUE"""),0.0)</f>
        <v>0</v>
      </c>
      <c r="G702" s="148">
        <f>IFERROR(__xludf.DUMMYFUNCTION("""COMPUTED_VALUE"""),1.51101601E8)</f>
        <v>151101601</v>
      </c>
      <c r="H702" s="148">
        <f>IFERROR(__xludf.DUMMYFUNCTION("""COMPUTED_VALUE"""),1.5112564E7)</f>
        <v>15112564</v>
      </c>
      <c r="I702" s="148" t="str">
        <f>IFERROR(__xludf.DUMMYFUNCTION("""COMPUTED_VALUE"""),"{}")</f>
        <v>{}</v>
      </c>
      <c r="J702" s="148" t="str">
        <f>IFERROR(__xludf.DUMMYFUNCTION("""COMPUTED_VALUE"""),"{""typ"":""lc"",""txt"":""LC_ITEM_easter_avatar_name_2025""}")</f>
        <v>{"typ":"lc","txt":"LC_ITEM_easter_avatar_name_2025"}</v>
      </c>
      <c r="K702" s="148" t="str">
        <f>IFERROR(__xludf.DUMMYFUNCTION("""COMPUTED_VALUE"""),"{""typ"":""lc"",""txt"":""LC_ITEM_easter_avatar_desc_2025""}")</f>
        <v>{"typ":"lc","txt":"LC_ITEM_easter_avatar_desc_2025"}</v>
      </c>
      <c r="L702" s="148" t="str">
        <f>IFERROR(__xludf.DUMMYFUNCTION("""COMPUTED_VALUE"""),"{}")</f>
        <v>{}</v>
      </c>
      <c r="M702" s="148">
        <f>IFERROR(__xludf.DUMMYFUNCTION("""COMPUTED_VALUE"""),1000.0)</f>
        <v>1000</v>
      </c>
      <c r="N702" s="148">
        <f>IFERROR(__xludf.DUMMYFUNCTION("""COMPUTED_VALUE"""),99.0)</f>
        <v>99</v>
      </c>
      <c r="O702" s="148">
        <f>IFERROR(__xludf.DUMMYFUNCTION("""COMPUTED_VALUE"""),1.0)</f>
        <v>1</v>
      </c>
      <c r="P702" s="148">
        <f>IFERROR(__xludf.DUMMYFUNCTION("""COMPUTED_VALUE"""),1.0)</f>
        <v>1</v>
      </c>
      <c r="Q702" s="148" t="str">
        <f>IFERROR(__xludf.DUMMYFUNCTION("""COMPUTED_VALUE"""),"[]")</f>
        <v>[]</v>
      </c>
      <c r="R702" s="148" t="str">
        <f>IFERROR(__xludf.DUMMYFUNCTION("""COMPUTED_VALUE"""),"[""11421062""]")</f>
        <v>["11421062"]</v>
      </c>
      <c r="S702" s="148" t="str">
        <f>IFERROR(__xludf.DUMMYFUNCTION("""COMPUTED_VALUE"""),"{""effect"":[{""typ"":""avatar_frame"",""id"":11421062,""val"":-1},{""typ"":""item"",""id"":11111031,""val"":1000}]}")</f>
        <v>{"effect":[{"typ":"avatar_frame","id":11421062,"val":-1},{"typ":"item","id":11111031,"val":1000}]}</v>
      </c>
      <c r="T702" s="148">
        <f>IFERROR(__xludf.DUMMYFUNCTION("""COMPUTED_VALUE"""),-1.0)</f>
        <v>-1</v>
      </c>
      <c r="U702" s="148">
        <f>IFERROR(__xludf.DUMMYFUNCTION("""COMPUTED_VALUE"""),1.0)</f>
        <v>1</v>
      </c>
      <c r="V702" s="148" t="str">
        <f>IFERROR(__xludf.DUMMYFUNCTION("""COMPUTED_VALUE"""),"[]")</f>
        <v>[]</v>
      </c>
      <c r="W702" s="148">
        <f>IFERROR(__xludf.DUMMYFUNCTION("""COMPUTED_VALUE"""),1.174E7)</f>
        <v>11740000</v>
      </c>
      <c r="X702" s="148">
        <f>IFERROR(__xludf.DUMMYFUNCTION("""COMPUTED_VALUE"""),0.0)</f>
        <v>0</v>
      </c>
      <c r="Y702" s="148">
        <f>IFERROR(__xludf.DUMMYFUNCTION("""COMPUTED_VALUE"""),0.0)</f>
        <v>0</v>
      </c>
      <c r="Z702" s="148"/>
    </row>
    <row r="703">
      <c r="A703" s="148">
        <f>IFERROR(__xludf.DUMMYFUNCTION("""COMPUTED_VALUE"""),1.11125E7)</f>
        <v>11112500</v>
      </c>
      <c r="B703" s="148" t="str">
        <f>IFERROR(__xludf.DUMMYFUNCTION("""COMPUTED_VALUE"""),"2025复活节bp随机宝箱")</f>
        <v>2025复活节bp随机宝箱</v>
      </c>
      <c r="C703" s="148"/>
      <c r="D703" s="148" t="str">
        <f>IFERROR(__xludf.DUMMYFUNCTION("""COMPUTED_VALUE"""),"item_asset")</f>
        <v>item_asset</v>
      </c>
      <c r="E703" s="148">
        <f>IFERROR(__xludf.DUMMYFUNCTION("""COMPUTED_VALUE"""),19.0)</f>
        <v>19</v>
      </c>
      <c r="F703" s="148">
        <f>IFERROR(__xludf.DUMMYFUNCTION("""COMPUTED_VALUE"""),403308.0)</f>
        <v>403308</v>
      </c>
      <c r="G703" s="148">
        <f>IFERROR(__xludf.DUMMYFUNCTION("""COMPUTED_VALUE"""),1.51101545E8)</f>
        <v>151101545</v>
      </c>
      <c r="H703" s="148">
        <f>IFERROR(__xludf.DUMMYFUNCTION("""COMPUTED_VALUE"""),1.5112564E7)</f>
        <v>15112564</v>
      </c>
      <c r="I703" s="148" t="str">
        <f>IFERROR(__xludf.DUMMYFUNCTION("""COMPUTED_VALUE"""),"{}")</f>
        <v>{}</v>
      </c>
      <c r="J703" s="148" t="str">
        <f>IFERROR(__xludf.DUMMYFUNCTION("""COMPUTED_VALUE"""),"{""typ"":""lc"",""txt"":""LC_ITEM_fes_bp_box_name""}")</f>
        <v>{"typ":"lc","txt":"LC_ITEM_fes_bp_box_name"}</v>
      </c>
      <c r="K703" s="148" t="str">
        <f>IFERROR(__xludf.DUMMYFUNCTION("""COMPUTED_VALUE"""),"{""typ"":""lc"",""txt"":""LC_ITEM_fes_bp_box_desc_egg_2025""}")</f>
        <v>{"typ":"lc","txt":"LC_ITEM_fes_bp_box_desc_egg_2025"}</v>
      </c>
      <c r="L703" s="148" t="str">
        <f>IFERROR(__xludf.DUMMYFUNCTION("""COMPUTED_VALUE"""),"{}")</f>
        <v>{}</v>
      </c>
      <c r="M703" s="148">
        <f>IFERROR(__xludf.DUMMYFUNCTION("""COMPUTED_VALUE"""),135.0)</f>
        <v>135</v>
      </c>
      <c r="N703" s="148">
        <f>IFERROR(__xludf.DUMMYFUNCTION("""COMPUTED_VALUE"""),999999.0)</f>
        <v>999999</v>
      </c>
      <c r="O703" s="148">
        <f>IFERROR(__xludf.DUMMYFUNCTION("""COMPUTED_VALUE"""),99999.0)</f>
        <v>99999</v>
      </c>
      <c r="P703" s="148">
        <f>IFERROR(__xludf.DUMMYFUNCTION("""COMPUTED_VALUE"""),9999.0)</f>
        <v>9999</v>
      </c>
      <c r="Q703" s="148" t="str">
        <f>IFERROR(__xludf.DUMMYFUNCTION("""COMPUTED_VALUE"""),"[""bag_other""]")</f>
        <v>["bag_other"]</v>
      </c>
      <c r="R703" s="148" t="str">
        <f>IFERROR(__xludf.DUMMYFUNCTION("""COMPUTED_VALUE"""),"[""bag""]")</f>
        <v>["bag"]</v>
      </c>
      <c r="S703" s="148" t="str">
        <f>IFERROR(__xludf.DUMMYFUNCTION("""COMPUTED_VALUE"""),"{""drop"":{""typ"":""single_random"",""num"":1,""args"":[{""typ"":""item"",""id"":11112497,""num"":1,""wgt"":1},{""typ"":""item"",""id"":11112491,""num"":1,""wgt"":1},{""typ"":""item"",""id"":11112484,""num"":1,""wgt"":1},{""typ"":""item"",""id"":11112091"&amp;",""num"":10,""wgt"":30},{""typ"":""item"",""id"":11116304,""num"":1,""wgt"":5},{""typ"":""item"",""id"":11118663,""num"":2,""wgt"":30},{""typ"":""item"",""id"":11116110,""num"":2,""wgt"":30},{""typ"":""item"",""id"":11114330,""num"":1,""wgt"":200},{""typ"&amp;""":""item"",""id"":11111155,""num"":2,""wgt"":200},{""typ"":""item"",""id"":11111105,""num"":2,""wgt"":50}]}}")</f>
        <v>{"drop":{"typ":"single_random","num":1,"args":[{"typ":"item","id":11112497,"num":1,"wgt":1},{"typ":"item","id":11112491,"num":1,"wgt":1},{"typ":"item","id":11112484,"num":1,"wgt":1},{"typ":"item","id":11112091,"num":10,"wgt":30},{"typ":"item","id":11116304,"num":1,"wgt":5},{"typ":"item","id":11118663,"num":2,"wgt":30},{"typ":"item","id":11116110,"num":2,"wgt":30},{"typ":"item","id":11114330,"num":1,"wgt":200},{"typ":"item","id":11111155,"num":2,"wgt":200},{"typ":"item","id":11111105,"num":2,"wgt":50}]}}</v>
      </c>
      <c r="T703" s="148">
        <f>IFERROR(__xludf.DUMMYFUNCTION("""COMPUTED_VALUE"""),-1.0)</f>
        <v>-1</v>
      </c>
      <c r="U703" s="148">
        <f>IFERROR(__xludf.DUMMYFUNCTION("""COMPUTED_VALUE"""),0.0)</f>
        <v>0</v>
      </c>
      <c r="V703" s="148" t="str">
        <f>IFERROR(__xludf.DUMMYFUNCTION("""COMPUTED_VALUE"""),"[]")</f>
        <v>[]</v>
      </c>
      <c r="W703" s="148">
        <f>IFERROR(__xludf.DUMMYFUNCTION("""COMPUTED_VALUE"""),1.174E7)</f>
        <v>11740000</v>
      </c>
      <c r="X703" s="148">
        <f>IFERROR(__xludf.DUMMYFUNCTION("""COMPUTED_VALUE"""),0.0)</f>
        <v>0</v>
      </c>
      <c r="Y703" s="148">
        <f>IFERROR(__xludf.DUMMYFUNCTION("""COMPUTED_VALUE"""),0.0)</f>
        <v>0</v>
      </c>
      <c r="Z703" s="148"/>
    </row>
    <row r="704">
      <c r="A704" s="148">
        <f>IFERROR(__xludf.DUMMYFUNCTION("""COMPUTED_VALUE"""),1.1112501E7)</f>
        <v>11112501</v>
      </c>
      <c r="B704" s="148" t="str">
        <f>IFERROR(__xludf.DUMMYFUNCTION("""COMPUTED_VALUE"""),"2025复活节-装饰升级版本（投放用）")</f>
        <v>2025复活节-装饰升级版本（投放用）</v>
      </c>
      <c r="C704" s="148"/>
      <c r="D704" s="148" t="str">
        <f>IFERROR(__xludf.DUMMYFUNCTION("""COMPUTED_VALUE"""),"statue_decorate")</f>
        <v>statue_decorate</v>
      </c>
      <c r="E704" s="148">
        <f>IFERROR(__xludf.DUMMYFUNCTION("""COMPUTED_VALUE"""),23.0)</f>
        <v>23</v>
      </c>
      <c r="F704" s="148">
        <f>IFERROR(__xludf.DUMMYFUNCTION("""COMPUTED_VALUE"""),0.0)</f>
        <v>0</v>
      </c>
      <c r="G704" s="148">
        <f>IFERROR(__xludf.DUMMYFUNCTION("""COMPUTED_VALUE"""),1.51101613E8)</f>
        <v>151101613</v>
      </c>
      <c r="H704" s="148">
        <f>IFERROR(__xludf.DUMMYFUNCTION("""COMPUTED_VALUE"""),1.5112564E7)</f>
        <v>15112564</v>
      </c>
      <c r="I704" s="148" t="str">
        <f>IFERROR(__xludf.DUMMYFUNCTION("""COMPUTED_VALUE"""),"{}")</f>
        <v>{}</v>
      </c>
      <c r="J704" s="148" t="str">
        <f>IFERROR(__xludf.DUMMYFUNCTION("""COMPUTED_VALUE"""),"{""typ"":""lc"",""txt"":""LC_ITEM_2025easter_dec_item_2""}")</f>
        <v>{"typ":"lc","txt":"LC_ITEM_2025easter_dec_item_2"}</v>
      </c>
      <c r="K704" s="148" t="str">
        <f>IFERROR(__xludf.DUMMYFUNCTION("""COMPUTED_VALUE"""),"{""typ"":""lc"",""txt"":""LC_ITEM_2025easter_dec_item_3_desc""}")</f>
        <v>{"typ":"lc","txt":"LC_ITEM_2025easter_dec_item_3_desc"}</v>
      </c>
      <c r="L704" s="148" t="str">
        <f>IFERROR(__xludf.DUMMYFUNCTION("""COMPUTED_VALUE"""),"{}")</f>
        <v>{}</v>
      </c>
      <c r="M704" s="148">
        <f>IFERROR(__xludf.DUMMYFUNCTION("""COMPUTED_VALUE"""),5000.0)</f>
        <v>5000</v>
      </c>
      <c r="N704" s="148">
        <f>IFERROR(__xludf.DUMMYFUNCTION("""COMPUTED_VALUE"""),999.0)</f>
        <v>999</v>
      </c>
      <c r="O704" s="148">
        <f>IFERROR(__xludf.DUMMYFUNCTION("""COMPUTED_VALUE"""),99999.0)</f>
        <v>99999</v>
      </c>
      <c r="P704" s="148">
        <f>IFERROR(__xludf.DUMMYFUNCTION("""COMPUTED_VALUE"""),99999.0)</f>
        <v>99999</v>
      </c>
      <c r="Q704" s="148" t="str">
        <f>IFERROR(__xludf.DUMMYFUNCTION("""COMPUTED_VALUE"""),"[]")</f>
        <v>[]</v>
      </c>
      <c r="R704" s="148" t="str">
        <f>IFERROR(__xludf.DUMMYFUNCTION("""COMPUTED_VALUE"""),"[""bag""]")</f>
        <v>["bag"]</v>
      </c>
      <c r="S704" s="148" t="str">
        <f>IFERROR(__xludf.DUMMYFUNCTION("""COMPUTED_VALUE"""),"{""effect"":[{""typ"":""holiday_statue"",""id"":21482701},{""typ"":""miss_lost_reward""}]}")</f>
        <v>{"effect":[{"typ":"holiday_statue","id":21482701},{"typ":"miss_lost_reward"}]}</v>
      </c>
      <c r="T704" s="148">
        <f>IFERROR(__xludf.DUMMYFUNCTION("""COMPUTED_VALUE"""),-1.0)</f>
        <v>-1</v>
      </c>
      <c r="U704" s="148">
        <f>IFERROR(__xludf.DUMMYFUNCTION("""COMPUTED_VALUE"""),1.0)</f>
        <v>1</v>
      </c>
      <c r="V704" s="148" t="str">
        <f>IFERROR(__xludf.DUMMYFUNCTION("""COMPUTED_VALUE"""),"[]")</f>
        <v>[]</v>
      </c>
      <c r="W704" s="148">
        <f>IFERROR(__xludf.DUMMYFUNCTION("""COMPUTED_VALUE"""),1.174E7)</f>
        <v>11740000</v>
      </c>
      <c r="X704" s="148">
        <f>IFERROR(__xludf.DUMMYFUNCTION("""COMPUTED_VALUE"""),0.0)</f>
        <v>0</v>
      </c>
      <c r="Y704" s="148">
        <f>IFERROR(__xludf.DUMMYFUNCTION("""COMPUTED_VALUE"""),0.0)</f>
        <v>0</v>
      </c>
      <c r="Z704" s="148"/>
    </row>
    <row r="705">
      <c r="A705" s="148">
        <f>IFERROR(__xludf.DUMMYFUNCTION("""COMPUTED_VALUE"""),1.1112502E7)</f>
        <v>11112502</v>
      </c>
      <c r="B705" s="148" t="str">
        <f>IFERROR(__xludf.DUMMYFUNCTION("""COMPUTED_VALUE"""),"2025复活节-装饰升级道具")</f>
        <v>2025复活节-装饰升级道具</v>
      </c>
      <c r="C705" s="148"/>
      <c r="D705" s="148" t="str">
        <f>IFERROR(__xludf.DUMMYFUNCTION("""COMPUTED_VALUE"""),"event")</f>
        <v>event</v>
      </c>
      <c r="E705" s="148">
        <f>IFERROR(__xludf.DUMMYFUNCTION("""COMPUTED_VALUE"""),0.0)</f>
        <v>0</v>
      </c>
      <c r="F705" s="148">
        <f>IFERROR(__xludf.DUMMYFUNCTION("""COMPUTED_VALUE"""),405243.0)</f>
        <v>405243</v>
      </c>
      <c r="G705" s="148">
        <f>IFERROR(__xludf.DUMMYFUNCTION("""COMPUTED_VALUE"""),1.51101613E8)</f>
        <v>151101613</v>
      </c>
      <c r="H705" s="148">
        <f>IFERROR(__xludf.DUMMYFUNCTION("""COMPUTED_VALUE"""),1.5112564E7)</f>
        <v>15112564</v>
      </c>
      <c r="I705" s="148" t="str">
        <f>IFERROR(__xludf.DUMMYFUNCTION("""COMPUTED_VALUE"""),"{}")</f>
        <v>{}</v>
      </c>
      <c r="J705" s="148" t="str">
        <f>IFERROR(__xludf.DUMMYFUNCTION("""COMPUTED_VALUE"""),"{""typ"":""lc"",""txt"":""LC_ITEM_2025easter_dec_item_2""}")</f>
        <v>{"typ":"lc","txt":"LC_ITEM_2025easter_dec_item_2"}</v>
      </c>
      <c r="K705" s="148" t="str">
        <f>IFERROR(__xludf.DUMMYFUNCTION("""COMPUTED_VALUE"""),"{""typ"":""lc"",""txt"":""LC_ITEM_2025easter_dec_item_3_desc""}")</f>
        <v>{"typ":"lc","txt":"LC_ITEM_2025easter_dec_item_3_desc"}</v>
      </c>
      <c r="L705" s="148" t="str">
        <f>IFERROR(__xludf.DUMMYFUNCTION("""COMPUTED_VALUE"""),"{}")</f>
        <v>{}</v>
      </c>
      <c r="M705" s="148">
        <f>IFERROR(__xludf.DUMMYFUNCTION("""COMPUTED_VALUE"""),1000.0)</f>
        <v>1000</v>
      </c>
      <c r="N705" s="148">
        <f>IFERROR(__xludf.DUMMYFUNCTION("""COMPUTED_VALUE"""),9.99999999E8)</f>
        <v>999999999</v>
      </c>
      <c r="O705" s="148">
        <f>IFERROR(__xludf.DUMMYFUNCTION("""COMPUTED_VALUE"""),9.99999999E8)</f>
        <v>999999999</v>
      </c>
      <c r="P705" s="148">
        <f>IFERROR(__xludf.DUMMYFUNCTION("""COMPUTED_VALUE"""),9.99999999E8)</f>
        <v>999999999</v>
      </c>
      <c r="Q705" s="148" t="str">
        <f>IFERROR(__xludf.DUMMYFUNCTION("""COMPUTED_VALUE"""),"[""bag_other""]")</f>
        <v>["bag_other"]</v>
      </c>
      <c r="R705" s="148" t="str">
        <f>IFERROR(__xludf.DUMMYFUNCTION("""COMPUTED_VALUE"""),"[]")</f>
        <v>[]</v>
      </c>
      <c r="S705" s="148" t="str">
        <f>IFERROR(__xludf.DUMMYFUNCTION("""COMPUTED_VALUE"""),"{}")</f>
        <v>{}</v>
      </c>
      <c r="T705" s="148">
        <f>IFERROR(__xludf.DUMMYFUNCTION("""COMPUTED_VALUE"""),-1.0)</f>
        <v>-1</v>
      </c>
      <c r="U705" s="148">
        <f>IFERROR(__xludf.DUMMYFUNCTION("""COMPUTED_VALUE"""),0.0)</f>
        <v>0</v>
      </c>
      <c r="V705" s="148" t="str">
        <f>IFERROR(__xludf.DUMMYFUNCTION("""COMPUTED_VALUE"""),"[]")</f>
        <v>[]</v>
      </c>
      <c r="W705" s="148">
        <f>IFERROR(__xludf.DUMMYFUNCTION("""COMPUTED_VALUE"""),1.174E7)</f>
        <v>11740000</v>
      </c>
      <c r="X705" s="148">
        <f>IFERROR(__xludf.DUMMYFUNCTION("""COMPUTED_VALUE"""),0.0)</f>
        <v>0</v>
      </c>
      <c r="Y705" s="148">
        <f>IFERROR(__xludf.DUMMYFUNCTION("""COMPUTED_VALUE"""),0.0)</f>
        <v>0</v>
      </c>
      <c r="Z705" s="148"/>
    </row>
    <row r="706">
      <c r="A706" s="148">
        <f>IFERROR(__xludf.DUMMYFUNCTION("""COMPUTED_VALUE"""),1.1112503E7)</f>
        <v>11112503</v>
      </c>
      <c r="B706" s="148" t="str">
        <f>IFERROR(__xludf.DUMMYFUNCTION("""COMPUTED_VALUE"""),"2025复活节-装饰建筑-1级-组件1-彩蛋平台")</f>
        <v>2025复活节-装饰建筑-1级-组件1-彩蛋平台</v>
      </c>
      <c r="C706" s="148"/>
      <c r="D706" s="148" t="str">
        <f>IFERROR(__xludf.DUMMYFUNCTION("""COMPUTED_VALUE"""),"event")</f>
        <v>event</v>
      </c>
      <c r="E706" s="148">
        <f>IFERROR(__xludf.DUMMYFUNCTION("""COMPUTED_VALUE"""),0.0)</f>
        <v>0</v>
      </c>
      <c r="F706" s="148">
        <f>IFERROR(__xludf.DUMMYFUNCTION("""COMPUTED_VALUE"""),405215.0)</f>
        <v>405215</v>
      </c>
      <c r="G706" s="148">
        <f>IFERROR(__xludf.DUMMYFUNCTION("""COMPUTED_VALUE"""),1.5110168E8)</f>
        <v>151101680</v>
      </c>
      <c r="H706" s="148">
        <f>IFERROR(__xludf.DUMMYFUNCTION("""COMPUTED_VALUE"""),1.5112564E7)</f>
        <v>15112564</v>
      </c>
      <c r="I706" s="148" t="str">
        <f>IFERROR(__xludf.DUMMYFUNCTION("""COMPUTED_VALUE"""),"{}")</f>
        <v>{}</v>
      </c>
      <c r="J706" s="148" t="str">
        <f>IFERROR(__xludf.DUMMYFUNCTION("""COMPUTED_VALUE"""),"{""typ"":""lc"",""txt"":""LC_ITEM_2025easter_dec_part_item_name_1""}")</f>
        <v>{"typ":"lc","txt":"LC_ITEM_2025easter_dec_part_item_name_1"}</v>
      </c>
      <c r="K706" s="148" t="str">
        <f>IFERROR(__xludf.DUMMYFUNCTION("""COMPUTED_VALUE"""),"{""typ"":""lc"",""txt"":""LC_ITEM_2025easter_dec_part_item_desc_1""}")</f>
        <v>{"typ":"lc","txt":"LC_ITEM_2025easter_dec_part_item_desc_1"}</v>
      </c>
      <c r="L706" s="148" t="str">
        <f>IFERROR(__xludf.DUMMYFUNCTION("""COMPUTED_VALUE"""),"{}")</f>
        <v>{}</v>
      </c>
      <c r="M706" s="148">
        <f>IFERROR(__xludf.DUMMYFUNCTION("""COMPUTED_VALUE"""),35.0)</f>
        <v>35</v>
      </c>
      <c r="N706" s="148">
        <f>IFERROR(__xludf.DUMMYFUNCTION("""COMPUTED_VALUE"""),999999.0)</f>
        <v>999999</v>
      </c>
      <c r="O706" s="148">
        <f>IFERROR(__xludf.DUMMYFUNCTION("""COMPUTED_VALUE"""),99999.0)</f>
        <v>99999</v>
      </c>
      <c r="P706" s="148">
        <f>IFERROR(__xludf.DUMMYFUNCTION("""COMPUTED_VALUE"""),99999.0)</f>
        <v>99999</v>
      </c>
      <c r="Q706" s="148" t="str">
        <f>IFERROR(__xludf.DUMMYFUNCTION("""COMPUTED_VALUE"""),"[""bag_other""]")</f>
        <v>["bag_other"]</v>
      </c>
      <c r="R706" s="148" t="str">
        <f>IFERROR(__xludf.DUMMYFUNCTION("""COMPUTED_VALUE"""),"[]")</f>
        <v>[]</v>
      </c>
      <c r="S706" s="148" t="str">
        <f>IFERROR(__xludf.DUMMYFUNCTION("""COMPUTED_VALUE"""),"{}")</f>
        <v>{}</v>
      </c>
      <c r="T706" s="148">
        <f>IFERROR(__xludf.DUMMYFUNCTION("""COMPUTED_VALUE"""),1.0)</f>
        <v>1</v>
      </c>
      <c r="U706" s="148">
        <f>IFERROR(__xludf.DUMMYFUNCTION("""COMPUTED_VALUE"""),0.0)</f>
        <v>0</v>
      </c>
      <c r="V706" s="148" t="str">
        <f>IFERROR(__xludf.DUMMYFUNCTION("""COMPUTED_VALUE"""),"[]")</f>
        <v>[]</v>
      </c>
      <c r="W706" s="148">
        <f>IFERROR(__xludf.DUMMYFUNCTION("""COMPUTED_VALUE"""),1.174E7)</f>
        <v>11740000</v>
      </c>
      <c r="X706" s="148">
        <f>IFERROR(__xludf.DUMMYFUNCTION("""COMPUTED_VALUE"""),0.0)</f>
        <v>0</v>
      </c>
      <c r="Y706" s="148">
        <f>IFERROR(__xludf.DUMMYFUNCTION("""COMPUTED_VALUE"""),0.0)</f>
        <v>0</v>
      </c>
      <c r="Z706" s="148"/>
    </row>
    <row r="707">
      <c r="A707" s="148">
        <f>IFERROR(__xludf.DUMMYFUNCTION("""COMPUTED_VALUE"""),1.1112504E7)</f>
        <v>11112504</v>
      </c>
      <c r="B707" s="148" t="str">
        <f>IFERROR(__xludf.DUMMYFUNCTION("""COMPUTED_VALUE"""),"2025复活节-装饰建筑-1级-组件2-绿叶圆环")</f>
        <v>2025复活节-装饰建筑-1级-组件2-绿叶圆环</v>
      </c>
      <c r="C707" s="148"/>
      <c r="D707" s="148" t="str">
        <f>IFERROR(__xludf.DUMMYFUNCTION("""COMPUTED_VALUE"""),"event")</f>
        <v>event</v>
      </c>
      <c r="E707" s="148">
        <f>IFERROR(__xludf.DUMMYFUNCTION("""COMPUTED_VALUE"""),0.0)</f>
        <v>0</v>
      </c>
      <c r="F707" s="148">
        <f>IFERROR(__xludf.DUMMYFUNCTION("""COMPUTED_VALUE"""),405214.0)</f>
        <v>405214</v>
      </c>
      <c r="G707" s="148">
        <f>IFERROR(__xludf.DUMMYFUNCTION("""COMPUTED_VALUE"""),1.51101681E8)</f>
        <v>151101681</v>
      </c>
      <c r="H707" s="148">
        <f>IFERROR(__xludf.DUMMYFUNCTION("""COMPUTED_VALUE"""),1.5112564E7)</f>
        <v>15112564</v>
      </c>
      <c r="I707" s="148" t="str">
        <f>IFERROR(__xludf.DUMMYFUNCTION("""COMPUTED_VALUE"""),"{}")</f>
        <v>{}</v>
      </c>
      <c r="J707" s="148" t="str">
        <f>IFERROR(__xludf.DUMMYFUNCTION("""COMPUTED_VALUE"""),"{""typ"":""lc"",""txt"":""LC_ITEM_2025easter_dec_part_item_name_2""}")</f>
        <v>{"typ":"lc","txt":"LC_ITEM_2025easter_dec_part_item_name_2"}</v>
      </c>
      <c r="K707" s="148" t="str">
        <f>IFERROR(__xludf.DUMMYFUNCTION("""COMPUTED_VALUE"""),"{""typ"":""lc"",""txt"":""LC_ITEM_2025easter_dec_part_item_desc_2""}")</f>
        <v>{"typ":"lc","txt":"LC_ITEM_2025easter_dec_part_item_desc_2"}</v>
      </c>
      <c r="L707" s="148" t="str">
        <f>IFERROR(__xludf.DUMMYFUNCTION("""COMPUTED_VALUE"""),"{}")</f>
        <v>{}</v>
      </c>
      <c r="M707" s="148">
        <f>IFERROR(__xludf.DUMMYFUNCTION("""COMPUTED_VALUE"""),35.0)</f>
        <v>35</v>
      </c>
      <c r="N707" s="148">
        <f>IFERROR(__xludf.DUMMYFUNCTION("""COMPUTED_VALUE"""),999999.0)</f>
        <v>999999</v>
      </c>
      <c r="O707" s="148">
        <f>IFERROR(__xludf.DUMMYFUNCTION("""COMPUTED_VALUE"""),99999.0)</f>
        <v>99999</v>
      </c>
      <c r="P707" s="148">
        <f>IFERROR(__xludf.DUMMYFUNCTION("""COMPUTED_VALUE"""),99999.0)</f>
        <v>99999</v>
      </c>
      <c r="Q707" s="148" t="str">
        <f>IFERROR(__xludf.DUMMYFUNCTION("""COMPUTED_VALUE"""),"[""bag_other""]")</f>
        <v>["bag_other"]</v>
      </c>
      <c r="R707" s="148" t="str">
        <f>IFERROR(__xludf.DUMMYFUNCTION("""COMPUTED_VALUE"""),"[]")</f>
        <v>[]</v>
      </c>
      <c r="S707" s="148" t="str">
        <f>IFERROR(__xludf.DUMMYFUNCTION("""COMPUTED_VALUE"""),"{}")</f>
        <v>{}</v>
      </c>
      <c r="T707" s="148">
        <f>IFERROR(__xludf.DUMMYFUNCTION("""COMPUTED_VALUE"""),1.0)</f>
        <v>1</v>
      </c>
      <c r="U707" s="148">
        <f>IFERROR(__xludf.DUMMYFUNCTION("""COMPUTED_VALUE"""),0.0)</f>
        <v>0</v>
      </c>
      <c r="V707" s="148" t="str">
        <f>IFERROR(__xludf.DUMMYFUNCTION("""COMPUTED_VALUE"""),"[]")</f>
        <v>[]</v>
      </c>
      <c r="W707" s="148">
        <f>IFERROR(__xludf.DUMMYFUNCTION("""COMPUTED_VALUE"""),1.174E7)</f>
        <v>11740000</v>
      </c>
      <c r="X707" s="148">
        <f>IFERROR(__xludf.DUMMYFUNCTION("""COMPUTED_VALUE"""),0.0)</f>
        <v>0</v>
      </c>
      <c r="Y707" s="148">
        <f>IFERROR(__xludf.DUMMYFUNCTION("""COMPUTED_VALUE"""),0.0)</f>
        <v>0</v>
      </c>
      <c r="Z707" s="148"/>
    </row>
    <row r="708">
      <c r="A708" s="148">
        <f>IFERROR(__xludf.DUMMYFUNCTION("""COMPUTED_VALUE"""),1.1112505E7)</f>
        <v>11112505</v>
      </c>
      <c r="B708" s="148" t="str">
        <f>IFERROR(__xludf.DUMMYFUNCTION("""COMPUTED_VALUE"""),"2025复活节-装饰建筑-1级-组件3-蛋壳雕塑")</f>
        <v>2025复活节-装饰建筑-1级-组件3-蛋壳雕塑</v>
      </c>
      <c r="C708" s="148"/>
      <c r="D708" s="148" t="str">
        <f>IFERROR(__xludf.DUMMYFUNCTION("""COMPUTED_VALUE"""),"event")</f>
        <v>event</v>
      </c>
      <c r="E708" s="148">
        <f>IFERROR(__xludf.DUMMYFUNCTION("""COMPUTED_VALUE"""),0.0)</f>
        <v>0</v>
      </c>
      <c r="F708" s="148">
        <f>IFERROR(__xludf.DUMMYFUNCTION("""COMPUTED_VALUE"""),405213.0)</f>
        <v>405213</v>
      </c>
      <c r="G708" s="148">
        <f>IFERROR(__xludf.DUMMYFUNCTION("""COMPUTED_VALUE"""),1.51101682E8)</f>
        <v>151101682</v>
      </c>
      <c r="H708" s="148">
        <f>IFERROR(__xludf.DUMMYFUNCTION("""COMPUTED_VALUE"""),1.5112564E7)</f>
        <v>15112564</v>
      </c>
      <c r="I708" s="148" t="str">
        <f>IFERROR(__xludf.DUMMYFUNCTION("""COMPUTED_VALUE"""),"{}")</f>
        <v>{}</v>
      </c>
      <c r="J708" s="148" t="str">
        <f>IFERROR(__xludf.DUMMYFUNCTION("""COMPUTED_VALUE"""),"{""typ"":""lc"",""txt"":""LC_ITEM_2025easter_dec_part_item_name_3""}")</f>
        <v>{"typ":"lc","txt":"LC_ITEM_2025easter_dec_part_item_name_3"}</v>
      </c>
      <c r="K708" s="148" t="str">
        <f>IFERROR(__xludf.DUMMYFUNCTION("""COMPUTED_VALUE"""),"{""typ"":""lc"",""txt"":""LC_ITEM_2025easter_dec_part_item_desc_3""}")</f>
        <v>{"typ":"lc","txt":"LC_ITEM_2025easter_dec_part_item_desc_3"}</v>
      </c>
      <c r="L708" s="148" t="str">
        <f>IFERROR(__xludf.DUMMYFUNCTION("""COMPUTED_VALUE"""),"{}")</f>
        <v>{}</v>
      </c>
      <c r="M708" s="148">
        <f>IFERROR(__xludf.DUMMYFUNCTION("""COMPUTED_VALUE"""),35.0)</f>
        <v>35</v>
      </c>
      <c r="N708" s="148">
        <f>IFERROR(__xludf.DUMMYFUNCTION("""COMPUTED_VALUE"""),999999.0)</f>
        <v>999999</v>
      </c>
      <c r="O708" s="148">
        <f>IFERROR(__xludf.DUMMYFUNCTION("""COMPUTED_VALUE"""),99999.0)</f>
        <v>99999</v>
      </c>
      <c r="P708" s="148">
        <f>IFERROR(__xludf.DUMMYFUNCTION("""COMPUTED_VALUE"""),99999.0)</f>
        <v>99999</v>
      </c>
      <c r="Q708" s="148" t="str">
        <f>IFERROR(__xludf.DUMMYFUNCTION("""COMPUTED_VALUE"""),"[""bag_other""]")</f>
        <v>["bag_other"]</v>
      </c>
      <c r="R708" s="148" t="str">
        <f>IFERROR(__xludf.DUMMYFUNCTION("""COMPUTED_VALUE"""),"[]")</f>
        <v>[]</v>
      </c>
      <c r="S708" s="148" t="str">
        <f>IFERROR(__xludf.DUMMYFUNCTION("""COMPUTED_VALUE"""),"{}")</f>
        <v>{}</v>
      </c>
      <c r="T708" s="148">
        <f>IFERROR(__xludf.DUMMYFUNCTION("""COMPUTED_VALUE"""),1.0)</f>
        <v>1</v>
      </c>
      <c r="U708" s="148">
        <f>IFERROR(__xludf.DUMMYFUNCTION("""COMPUTED_VALUE"""),0.0)</f>
        <v>0</v>
      </c>
      <c r="V708" s="148" t="str">
        <f>IFERROR(__xludf.DUMMYFUNCTION("""COMPUTED_VALUE"""),"[]")</f>
        <v>[]</v>
      </c>
      <c r="W708" s="148">
        <f>IFERROR(__xludf.DUMMYFUNCTION("""COMPUTED_VALUE"""),1.174E7)</f>
        <v>11740000</v>
      </c>
      <c r="X708" s="148">
        <f>IFERROR(__xludf.DUMMYFUNCTION("""COMPUTED_VALUE"""),0.0)</f>
        <v>0</v>
      </c>
      <c r="Y708" s="148">
        <f>IFERROR(__xludf.DUMMYFUNCTION("""COMPUTED_VALUE"""),0.0)</f>
        <v>0</v>
      </c>
      <c r="Z708" s="148"/>
    </row>
    <row r="709">
      <c r="A709" s="148">
        <f>IFERROR(__xludf.DUMMYFUNCTION("""COMPUTED_VALUE"""),1.1112506E7)</f>
        <v>11112506</v>
      </c>
      <c r="B709" s="148" t="str">
        <f>IFERROR(__xludf.DUMMYFUNCTION("""COMPUTED_VALUE"""),"2025复活节-装饰建筑-1级-组件4-兔子雕像")</f>
        <v>2025复活节-装饰建筑-1级-组件4-兔子雕像</v>
      </c>
      <c r="C709" s="148"/>
      <c r="D709" s="148" t="str">
        <f>IFERROR(__xludf.DUMMYFUNCTION("""COMPUTED_VALUE"""),"event")</f>
        <v>event</v>
      </c>
      <c r="E709" s="148">
        <f>IFERROR(__xludf.DUMMYFUNCTION("""COMPUTED_VALUE"""),0.0)</f>
        <v>0</v>
      </c>
      <c r="F709" s="148">
        <f>IFERROR(__xludf.DUMMYFUNCTION("""COMPUTED_VALUE"""),405212.0)</f>
        <v>405212</v>
      </c>
      <c r="G709" s="148">
        <f>IFERROR(__xludf.DUMMYFUNCTION("""COMPUTED_VALUE"""),1.51101683E8)</f>
        <v>151101683</v>
      </c>
      <c r="H709" s="148">
        <f>IFERROR(__xludf.DUMMYFUNCTION("""COMPUTED_VALUE"""),1.5112564E7)</f>
        <v>15112564</v>
      </c>
      <c r="I709" s="148" t="str">
        <f>IFERROR(__xludf.DUMMYFUNCTION("""COMPUTED_VALUE"""),"{}")</f>
        <v>{}</v>
      </c>
      <c r="J709" s="148" t="str">
        <f>IFERROR(__xludf.DUMMYFUNCTION("""COMPUTED_VALUE"""),"{""typ"":""lc"",""txt"":""LC_ITEM_2025easter_dec_part_item_name_4""}")</f>
        <v>{"typ":"lc","txt":"LC_ITEM_2025easter_dec_part_item_name_4"}</v>
      </c>
      <c r="K709" s="148" t="str">
        <f>IFERROR(__xludf.DUMMYFUNCTION("""COMPUTED_VALUE"""),"{""typ"":""lc"",""txt"":""LC_ITEM_2025easter_dec_part_item_desc_4""}")</f>
        <v>{"typ":"lc","txt":"LC_ITEM_2025easter_dec_part_item_desc_4"}</v>
      </c>
      <c r="L709" s="148" t="str">
        <f>IFERROR(__xludf.DUMMYFUNCTION("""COMPUTED_VALUE"""),"{}")</f>
        <v>{}</v>
      </c>
      <c r="M709" s="148">
        <f>IFERROR(__xludf.DUMMYFUNCTION("""COMPUTED_VALUE"""),35.0)</f>
        <v>35</v>
      </c>
      <c r="N709" s="148">
        <f>IFERROR(__xludf.DUMMYFUNCTION("""COMPUTED_VALUE"""),999999.0)</f>
        <v>999999</v>
      </c>
      <c r="O709" s="148">
        <f>IFERROR(__xludf.DUMMYFUNCTION("""COMPUTED_VALUE"""),99999.0)</f>
        <v>99999</v>
      </c>
      <c r="P709" s="148">
        <f>IFERROR(__xludf.DUMMYFUNCTION("""COMPUTED_VALUE"""),99999.0)</f>
        <v>99999</v>
      </c>
      <c r="Q709" s="148" t="str">
        <f>IFERROR(__xludf.DUMMYFUNCTION("""COMPUTED_VALUE"""),"[""bag_other""]")</f>
        <v>["bag_other"]</v>
      </c>
      <c r="R709" s="148" t="str">
        <f>IFERROR(__xludf.DUMMYFUNCTION("""COMPUTED_VALUE"""),"[]")</f>
        <v>[]</v>
      </c>
      <c r="S709" s="148" t="str">
        <f>IFERROR(__xludf.DUMMYFUNCTION("""COMPUTED_VALUE"""),"{}")</f>
        <v>{}</v>
      </c>
      <c r="T709" s="148">
        <f>IFERROR(__xludf.DUMMYFUNCTION("""COMPUTED_VALUE"""),1.0)</f>
        <v>1</v>
      </c>
      <c r="U709" s="148">
        <f>IFERROR(__xludf.DUMMYFUNCTION("""COMPUTED_VALUE"""),0.0)</f>
        <v>0</v>
      </c>
      <c r="V709" s="148" t="str">
        <f>IFERROR(__xludf.DUMMYFUNCTION("""COMPUTED_VALUE"""),"[]")</f>
        <v>[]</v>
      </c>
      <c r="W709" s="148">
        <f>IFERROR(__xludf.DUMMYFUNCTION("""COMPUTED_VALUE"""),1.174E7)</f>
        <v>11740000</v>
      </c>
      <c r="X709" s="148">
        <f>IFERROR(__xludf.DUMMYFUNCTION("""COMPUTED_VALUE"""),0.0)</f>
        <v>0</v>
      </c>
      <c r="Y709" s="148">
        <f>IFERROR(__xludf.DUMMYFUNCTION("""COMPUTED_VALUE"""),0.0)</f>
        <v>0</v>
      </c>
      <c r="Z709" s="148"/>
    </row>
    <row r="710">
      <c r="A710" s="148">
        <f>IFERROR(__xludf.DUMMYFUNCTION("""COMPUTED_VALUE"""),1.1112507E7)</f>
        <v>11112507</v>
      </c>
      <c r="B710" s="148" t="str">
        <f>IFERROR(__xludf.DUMMYFUNCTION("""COMPUTED_VALUE"""),"2025复活节-装饰建筑-1级-组件5-彩蛋花束")</f>
        <v>2025复活节-装饰建筑-1级-组件5-彩蛋花束</v>
      </c>
      <c r="C710" s="148"/>
      <c r="D710" s="148" t="str">
        <f>IFERROR(__xludf.DUMMYFUNCTION("""COMPUTED_VALUE"""),"event")</f>
        <v>event</v>
      </c>
      <c r="E710" s="148">
        <f>IFERROR(__xludf.DUMMYFUNCTION("""COMPUTED_VALUE"""),0.0)</f>
        <v>0</v>
      </c>
      <c r="F710" s="148">
        <f>IFERROR(__xludf.DUMMYFUNCTION("""COMPUTED_VALUE"""),405211.0)</f>
        <v>405211</v>
      </c>
      <c r="G710" s="148">
        <f>IFERROR(__xludf.DUMMYFUNCTION("""COMPUTED_VALUE"""),1.51101684E8)</f>
        <v>151101684</v>
      </c>
      <c r="H710" s="148">
        <f>IFERROR(__xludf.DUMMYFUNCTION("""COMPUTED_VALUE"""),1.5112564E7)</f>
        <v>15112564</v>
      </c>
      <c r="I710" s="148" t="str">
        <f>IFERROR(__xludf.DUMMYFUNCTION("""COMPUTED_VALUE"""),"{}")</f>
        <v>{}</v>
      </c>
      <c r="J710" s="148" t="str">
        <f>IFERROR(__xludf.DUMMYFUNCTION("""COMPUTED_VALUE"""),"{""typ"":""lc"",""txt"":""LC_ITEM_2025easter_dec_part_item_name_5""}")</f>
        <v>{"typ":"lc","txt":"LC_ITEM_2025easter_dec_part_item_name_5"}</v>
      </c>
      <c r="K710" s="148" t="str">
        <f>IFERROR(__xludf.DUMMYFUNCTION("""COMPUTED_VALUE"""),"{""typ"":""lc"",""txt"":""LC_ITEM_2025easter_dec_part_item_desc_5""}")</f>
        <v>{"typ":"lc","txt":"LC_ITEM_2025easter_dec_part_item_desc_5"}</v>
      </c>
      <c r="L710" s="148" t="str">
        <f>IFERROR(__xludf.DUMMYFUNCTION("""COMPUTED_VALUE"""),"{}")</f>
        <v>{}</v>
      </c>
      <c r="M710" s="148">
        <f>IFERROR(__xludf.DUMMYFUNCTION("""COMPUTED_VALUE"""),35.0)</f>
        <v>35</v>
      </c>
      <c r="N710" s="148">
        <f>IFERROR(__xludf.DUMMYFUNCTION("""COMPUTED_VALUE"""),999999.0)</f>
        <v>999999</v>
      </c>
      <c r="O710" s="148">
        <f>IFERROR(__xludf.DUMMYFUNCTION("""COMPUTED_VALUE"""),99999.0)</f>
        <v>99999</v>
      </c>
      <c r="P710" s="148">
        <f>IFERROR(__xludf.DUMMYFUNCTION("""COMPUTED_VALUE"""),99999.0)</f>
        <v>99999</v>
      </c>
      <c r="Q710" s="148" t="str">
        <f>IFERROR(__xludf.DUMMYFUNCTION("""COMPUTED_VALUE"""),"[""bag_other""]")</f>
        <v>["bag_other"]</v>
      </c>
      <c r="R710" s="148" t="str">
        <f>IFERROR(__xludf.DUMMYFUNCTION("""COMPUTED_VALUE"""),"[]")</f>
        <v>[]</v>
      </c>
      <c r="S710" s="148" t="str">
        <f>IFERROR(__xludf.DUMMYFUNCTION("""COMPUTED_VALUE"""),"{}")</f>
        <v>{}</v>
      </c>
      <c r="T710" s="148">
        <f>IFERROR(__xludf.DUMMYFUNCTION("""COMPUTED_VALUE"""),1.0)</f>
        <v>1</v>
      </c>
      <c r="U710" s="148">
        <f>IFERROR(__xludf.DUMMYFUNCTION("""COMPUTED_VALUE"""),0.0)</f>
        <v>0</v>
      </c>
      <c r="V710" s="148" t="str">
        <f>IFERROR(__xludf.DUMMYFUNCTION("""COMPUTED_VALUE"""),"[]")</f>
        <v>[]</v>
      </c>
      <c r="W710" s="148">
        <f>IFERROR(__xludf.DUMMYFUNCTION("""COMPUTED_VALUE"""),1.174E7)</f>
        <v>11740000</v>
      </c>
      <c r="X710" s="148">
        <f>IFERROR(__xludf.DUMMYFUNCTION("""COMPUTED_VALUE"""),0.0)</f>
        <v>0</v>
      </c>
      <c r="Y710" s="148">
        <f>IFERROR(__xludf.DUMMYFUNCTION("""COMPUTED_VALUE"""),0.0)</f>
        <v>0</v>
      </c>
      <c r="Z710" s="148"/>
    </row>
    <row r="711">
      <c r="A711" s="148">
        <f>IFERROR(__xludf.DUMMYFUNCTION("""COMPUTED_VALUE"""),1.1112508E7)</f>
        <v>11112508</v>
      </c>
      <c r="B711" s="148" t="str">
        <f>IFERROR(__xludf.DUMMYFUNCTION("""COMPUTED_VALUE"""),"主城皮肤-复活节高级皮肤2025")</f>
        <v>主城皮肤-复活节高级皮肤2025</v>
      </c>
      <c r="C711" s="148"/>
      <c r="D711" s="148" t="str">
        <f>IFERROR(__xludf.DUMMYFUNCTION("""COMPUTED_VALUE"""),"city_skin")</f>
        <v>city_skin</v>
      </c>
      <c r="E711" s="148">
        <f>IFERROR(__xludf.DUMMYFUNCTION("""COMPUTED_VALUE"""),21.0)</f>
        <v>21</v>
      </c>
      <c r="F711" s="148">
        <f>IFERROR(__xludf.DUMMYFUNCTION("""COMPUTED_VALUE"""),400106.0)</f>
        <v>400106</v>
      </c>
      <c r="G711" s="148">
        <f>IFERROR(__xludf.DUMMYFUNCTION("""COMPUTED_VALUE"""),1.51101608E8)</f>
        <v>151101608</v>
      </c>
      <c r="H711" s="148">
        <f>IFERROR(__xludf.DUMMYFUNCTION("""COMPUTED_VALUE"""),1.5115983E7)</f>
        <v>15115983</v>
      </c>
      <c r="I711" s="148" t="str">
        <f>IFERROR(__xludf.DUMMYFUNCTION("""COMPUTED_VALUE"""),"{}")</f>
        <v>{}</v>
      </c>
      <c r="J711" s="148" t="str">
        <f>IFERROR(__xludf.DUMMYFUNCTION("""COMPUTED_VALUE"""),"{""typ"":""lc"",""txt"":""LC_ITEM_2025easter_highcity_skin_title""}")</f>
        <v>{"typ":"lc","txt":"LC_ITEM_2025easter_highcity_skin_title"}</v>
      </c>
      <c r="K711" s="148" t="str">
        <f>IFERROR(__xludf.DUMMYFUNCTION("""COMPUTED_VALUE"""),"{""typ"":""lc"",""txt"":""LC_ITEM_2025easter_highskin_desc_forever""}")</f>
        <v>{"typ":"lc","txt":"LC_ITEM_2025easter_highskin_desc_forever"}</v>
      </c>
      <c r="L711" s="148" t="str">
        <f>IFERROR(__xludf.DUMMYFUNCTION("""COMPUTED_VALUE"""),"{""typ"":""lc"",""txt"":""LC_ITEM_city_skin_rocket_use_tips""}")</f>
        <v>{"typ":"lc","txt":"LC_ITEM_city_skin_rocket_use_tips"}</v>
      </c>
      <c r="M711" s="148">
        <f>IFERROR(__xludf.DUMMYFUNCTION("""COMPUTED_VALUE"""),10000.0)</f>
        <v>10000</v>
      </c>
      <c r="N711" s="148">
        <f>IFERROR(__xludf.DUMMYFUNCTION("""COMPUTED_VALUE"""),999.0)</f>
        <v>999</v>
      </c>
      <c r="O711" s="148">
        <f>IFERROR(__xludf.DUMMYFUNCTION("""COMPUTED_VALUE"""),1.0)</f>
        <v>1</v>
      </c>
      <c r="P711" s="148">
        <f>IFERROR(__xludf.DUMMYFUNCTION("""COMPUTED_VALUE"""),1.0)</f>
        <v>1</v>
      </c>
      <c r="Q711" s="148" t="str">
        <f>IFERROR(__xludf.DUMMYFUNCTION("""COMPUTED_VALUE"""),"[""bag_other""]")</f>
        <v>["bag_other"]</v>
      </c>
      <c r="R711" s="148" t="str">
        <f>IFERROR(__xludf.DUMMYFUNCTION("""COMPUTED_VALUE"""),"[""bag"",""13121067""]")</f>
        <v>["bag","13121067"]</v>
      </c>
      <c r="S711" s="148" t="str">
        <f>IFERROR(__xludf.DUMMYFUNCTION("""COMPUTED_VALUE"""),"{""effect"":[{""typ"":""city_skin"",""id"":13121067,""val"":-1},{""typ"":""item"",""id"":11111034,""val"":10}]}")</f>
        <v>{"effect":[{"typ":"city_skin","id":13121067,"val":-1},{"typ":"item","id":11111034,"val":10}]}</v>
      </c>
      <c r="T711" s="148">
        <f>IFERROR(__xludf.DUMMYFUNCTION("""COMPUTED_VALUE"""),-1.0)</f>
        <v>-1</v>
      </c>
      <c r="U711" s="148">
        <f>IFERROR(__xludf.DUMMYFUNCTION("""COMPUTED_VALUE"""),0.0)</f>
        <v>0</v>
      </c>
      <c r="V711" s="148" t="str">
        <f>IFERROR(__xludf.DUMMYFUNCTION("""COMPUTED_VALUE"""),"[]")</f>
        <v>[]</v>
      </c>
      <c r="W711" s="148">
        <f>IFERROR(__xludf.DUMMYFUNCTION("""COMPUTED_VALUE"""),1.174E7)</f>
        <v>11740000</v>
      </c>
      <c r="X711" s="148">
        <f>IFERROR(__xludf.DUMMYFUNCTION("""COMPUTED_VALUE"""),0.0)</f>
        <v>0</v>
      </c>
      <c r="Y711" s="148">
        <f>IFERROR(__xludf.DUMMYFUNCTION("""COMPUTED_VALUE"""),0.0)</f>
        <v>0</v>
      </c>
      <c r="Z711" s="148"/>
    </row>
    <row r="712">
      <c r="A712" s="148">
        <f>IFERROR(__xludf.DUMMYFUNCTION("""COMPUTED_VALUE"""),1.1112509E7)</f>
        <v>11112509</v>
      </c>
      <c r="B712" s="148" t="str">
        <f>IFERROR(__xludf.DUMMYFUNCTION("""COMPUTED_VALUE"""),"主城皮肤-复活节高级皮肤2025-7天")</f>
        <v>主城皮肤-复活节高级皮肤2025-7天</v>
      </c>
      <c r="C712" s="148"/>
      <c r="D712" s="148" t="str">
        <f>IFERROR(__xludf.DUMMYFUNCTION("""COMPUTED_VALUE"""),"city_skin")</f>
        <v>city_skin</v>
      </c>
      <c r="E712" s="148">
        <f>IFERROR(__xludf.DUMMYFUNCTION("""COMPUTED_VALUE"""),21.0)</f>
        <v>21</v>
      </c>
      <c r="F712" s="148">
        <f>IFERROR(__xludf.DUMMYFUNCTION("""COMPUTED_VALUE"""),400106.0)</f>
        <v>400106</v>
      </c>
      <c r="G712" s="148">
        <f>IFERROR(__xludf.DUMMYFUNCTION("""COMPUTED_VALUE"""),1.51101608E8)</f>
        <v>151101608</v>
      </c>
      <c r="H712" s="148">
        <f>IFERROR(__xludf.DUMMYFUNCTION("""COMPUTED_VALUE"""),1.5112564E7)</f>
        <v>15112564</v>
      </c>
      <c r="I712" s="148" t="str">
        <f>IFERROR(__xludf.DUMMYFUNCTION("""COMPUTED_VALUE"""),"{""typ"":""lc"",""txt"":""LC_ITEM_time_day_upper_show"",""args"":[{""typ"":""int"",""val"":7}]}")</f>
        <v>{"typ":"lc","txt":"LC_ITEM_time_day_upper_show","args":[{"typ":"int","val":7}]}</v>
      </c>
      <c r="J712" s="148" t="str">
        <f>IFERROR(__xludf.DUMMYFUNCTION("""COMPUTED_VALUE"""),"{""typ"":""lc"",""txt"":""LC_ITEM_2025easter_highcity_skin_title_7day""}")</f>
        <v>{"typ":"lc","txt":"LC_ITEM_2025easter_highcity_skin_title_7day"}</v>
      </c>
      <c r="K712" s="148" t="str">
        <f>IFERROR(__xludf.DUMMYFUNCTION("""COMPUTED_VALUE"""),"{""typ"":""lc"",""txt"":""LC_ITEM_2025easter_highskin_desc_7day""}")</f>
        <v>{"typ":"lc","txt":"LC_ITEM_2025easter_highskin_desc_7day"}</v>
      </c>
      <c r="L712" s="148" t="str">
        <f>IFERROR(__xludf.DUMMYFUNCTION("""COMPUTED_VALUE"""),"{""typ"":""lc"",""txt"":""LC_ITEM_city_skin_rocket_use_tips""}")</f>
        <v>{"typ":"lc","txt":"LC_ITEM_city_skin_rocket_use_tips"}</v>
      </c>
      <c r="M712" s="148">
        <f>IFERROR(__xludf.DUMMYFUNCTION("""COMPUTED_VALUE"""),10000.0)</f>
        <v>10000</v>
      </c>
      <c r="N712" s="148">
        <f>IFERROR(__xludf.DUMMYFUNCTION("""COMPUTED_VALUE"""),999.0)</f>
        <v>999</v>
      </c>
      <c r="O712" s="148">
        <f>IFERROR(__xludf.DUMMYFUNCTION("""COMPUTED_VALUE"""),1.0)</f>
        <v>1</v>
      </c>
      <c r="P712" s="148">
        <f>IFERROR(__xludf.DUMMYFUNCTION("""COMPUTED_VALUE"""),1.0)</f>
        <v>1</v>
      </c>
      <c r="Q712" s="148" t="str">
        <f>IFERROR(__xludf.DUMMYFUNCTION("""COMPUTED_VALUE"""),"[""bag_other""]")</f>
        <v>["bag_other"]</v>
      </c>
      <c r="R712" s="148" t="str">
        <f>IFERROR(__xludf.DUMMYFUNCTION("""COMPUTED_VALUE"""),"[""bag"",""13121067""]")</f>
        <v>["bag","13121067"]</v>
      </c>
      <c r="S712" s="148" t="str">
        <f>IFERROR(__xludf.DUMMYFUNCTION("""COMPUTED_VALUE"""),"{""effect"":[{""typ"":""city_skin"",""id"":13121067,""val"":604800000},{""typ"":""item"",""id"":11111021,""val"":3}]}")</f>
        <v>{"effect":[{"typ":"city_skin","id":13121067,"val":604800000},{"typ":"item","id":11111021,"val":3}]}</v>
      </c>
      <c r="T712" s="148">
        <f>IFERROR(__xludf.DUMMYFUNCTION("""COMPUTED_VALUE"""),-1.0)</f>
        <v>-1</v>
      </c>
      <c r="U712" s="148">
        <f>IFERROR(__xludf.DUMMYFUNCTION("""COMPUTED_VALUE"""),0.0)</f>
        <v>0</v>
      </c>
      <c r="V712" s="148" t="str">
        <f>IFERROR(__xludf.DUMMYFUNCTION("""COMPUTED_VALUE"""),"[]")</f>
        <v>[]</v>
      </c>
      <c r="W712" s="148">
        <f>IFERROR(__xludf.DUMMYFUNCTION("""COMPUTED_VALUE"""),1.174E7)</f>
        <v>11740000</v>
      </c>
      <c r="X712" s="148">
        <f>IFERROR(__xludf.DUMMYFUNCTION("""COMPUTED_VALUE"""),0.0)</f>
        <v>0</v>
      </c>
      <c r="Y712" s="148">
        <f>IFERROR(__xludf.DUMMYFUNCTION("""COMPUTED_VALUE"""),0.0)</f>
        <v>0</v>
      </c>
      <c r="Z712" s="148"/>
    </row>
    <row r="713">
      <c r="A713" s="148">
        <f>IFERROR(__xludf.DUMMYFUNCTION("""COMPUTED_VALUE"""),1.111251E7)</f>
        <v>11112510</v>
      </c>
      <c r="B713" s="148" t="str">
        <f>IFERROR(__xludf.DUMMYFUNCTION("""COMPUTED_VALUE"""),"主城皮肤-复活节高级皮肤2025-14天")</f>
        <v>主城皮肤-复活节高级皮肤2025-14天</v>
      </c>
      <c r="C713" s="148"/>
      <c r="D713" s="148" t="str">
        <f>IFERROR(__xludf.DUMMYFUNCTION("""COMPUTED_VALUE"""),"city_skin")</f>
        <v>city_skin</v>
      </c>
      <c r="E713" s="148">
        <f>IFERROR(__xludf.DUMMYFUNCTION("""COMPUTED_VALUE"""),21.0)</f>
        <v>21</v>
      </c>
      <c r="F713" s="148">
        <f>IFERROR(__xludf.DUMMYFUNCTION("""COMPUTED_VALUE"""),400106.0)</f>
        <v>400106</v>
      </c>
      <c r="G713" s="148">
        <f>IFERROR(__xludf.DUMMYFUNCTION("""COMPUTED_VALUE"""),1.51101608E8)</f>
        <v>151101608</v>
      </c>
      <c r="H713" s="148">
        <f>IFERROR(__xludf.DUMMYFUNCTION("""COMPUTED_VALUE"""),1.5112564E7)</f>
        <v>15112564</v>
      </c>
      <c r="I713" s="148" t="str">
        <f>IFERROR(__xludf.DUMMYFUNCTION("""COMPUTED_VALUE"""),"{""typ"":""lc"",""txt"":""LC_ITEM_time_day_upper_show"",""args"":[{""typ"":""int"",""val"":14}]}")</f>
        <v>{"typ":"lc","txt":"LC_ITEM_time_day_upper_show","args":[{"typ":"int","val":14}]}</v>
      </c>
      <c r="J713" s="148" t="str">
        <f>IFERROR(__xludf.DUMMYFUNCTION("""COMPUTED_VALUE"""),"{""typ"":""lc"",""txt"":""LC_ITEM_2025easter_highcity_skin_title_14day""}")</f>
        <v>{"typ":"lc","txt":"LC_ITEM_2025easter_highcity_skin_title_14day"}</v>
      </c>
      <c r="K713" s="148" t="str">
        <f>IFERROR(__xludf.DUMMYFUNCTION("""COMPUTED_VALUE"""),"{""typ"":""lc"",""txt"":""LC_ITEM_2025easter_highskin_desc_14day""}")</f>
        <v>{"typ":"lc","txt":"LC_ITEM_2025easter_highskin_desc_14day"}</v>
      </c>
      <c r="L713" s="148" t="str">
        <f>IFERROR(__xludf.DUMMYFUNCTION("""COMPUTED_VALUE"""),"{""typ"":""lc"",""txt"":""LC_ITEM_city_skin_rocket_use_tips""}")</f>
        <v>{"typ":"lc","txt":"LC_ITEM_city_skin_rocket_use_tips"}</v>
      </c>
      <c r="M713" s="148">
        <f>IFERROR(__xludf.DUMMYFUNCTION("""COMPUTED_VALUE"""),10000.0)</f>
        <v>10000</v>
      </c>
      <c r="N713" s="148">
        <f>IFERROR(__xludf.DUMMYFUNCTION("""COMPUTED_VALUE"""),999.0)</f>
        <v>999</v>
      </c>
      <c r="O713" s="148">
        <f>IFERROR(__xludf.DUMMYFUNCTION("""COMPUTED_VALUE"""),1.0)</f>
        <v>1</v>
      </c>
      <c r="P713" s="148">
        <f>IFERROR(__xludf.DUMMYFUNCTION("""COMPUTED_VALUE"""),1.0)</f>
        <v>1</v>
      </c>
      <c r="Q713" s="148" t="str">
        <f>IFERROR(__xludf.DUMMYFUNCTION("""COMPUTED_VALUE"""),"[""bag_other""]")</f>
        <v>["bag_other"]</v>
      </c>
      <c r="R713" s="148" t="str">
        <f>IFERROR(__xludf.DUMMYFUNCTION("""COMPUTED_VALUE"""),"[""bag"",""13121067""]")</f>
        <v>["bag","13121067"]</v>
      </c>
      <c r="S713" s="148" t="str">
        <f>IFERROR(__xludf.DUMMYFUNCTION("""COMPUTED_VALUE"""),"{""effect"":[{""typ"":""city_skin"",""id"":13121067,""val"":1209600000},{""typ"":""item"",""id"":11111021,""val"":7}]}")</f>
        <v>{"effect":[{"typ":"city_skin","id":13121067,"val":1209600000},{"typ":"item","id":11111021,"val":7}]}</v>
      </c>
      <c r="T713" s="148">
        <f>IFERROR(__xludf.DUMMYFUNCTION("""COMPUTED_VALUE"""),-1.0)</f>
        <v>-1</v>
      </c>
      <c r="U713" s="148">
        <f>IFERROR(__xludf.DUMMYFUNCTION("""COMPUTED_VALUE"""),0.0)</f>
        <v>0</v>
      </c>
      <c r="V713" s="148" t="str">
        <f>IFERROR(__xludf.DUMMYFUNCTION("""COMPUTED_VALUE"""),"[]")</f>
        <v>[]</v>
      </c>
      <c r="W713" s="148">
        <f>IFERROR(__xludf.DUMMYFUNCTION("""COMPUTED_VALUE"""),1.174E7)</f>
        <v>11740000</v>
      </c>
      <c r="X713" s="148">
        <f>IFERROR(__xludf.DUMMYFUNCTION("""COMPUTED_VALUE"""),0.0)</f>
        <v>0</v>
      </c>
      <c r="Y713" s="148">
        <f>IFERROR(__xludf.DUMMYFUNCTION("""COMPUTED_VALUE"""),0.0)</f>
        <v>0</v>
      </c>
      <c r="Z713" s="148"/>
    </row>
    <row r="714">
      <c r="A714" s="148">
        <f>IFERROR(__xludf.DUMMYFUNCTION("""COMPUTED_VALUE"""),1.1112511E7)</f>
        <v>11112511</v>
      </c>
      <c r="B714" s="148" t="str">
        <f>IFERROR(__xludf.DUMMYFUNCTION("""COMPUTED_VALUE"""),"主城皮肤-复活节高级皮肤2025-28天")</f>
        <v>主城皮肤-复活节高级皮肤2025-28天</v>
      </c>
      <c r="C714" s="148"/>
      <c r="D714" s="148" t="str">
        <f>IFERROR(__xludf.DUMMYFUNCTION("""COMPUTED_VALUE"""),"city_skin")</f>
        <v>city_skin</v>
      </c>
      <c r="E714" s="148">
        <f>IFERROR(__xludf.DUMMYFUNCTION("""COMPUTED_VALUE"""),21.0)</f>
        <v>21</v>
      </c>
      <c r="F714" s="148">
        <f>IFERROR(__xludf.DUMMYFUNCTION("""COMPUTED_VALUE"""),408197.0)</f>
        <v>408197</v>
      </c>
      <c r="G714" s="148">
        <f>IFERROR(__xludf.DUMMYFUNCTION("""COMPUTED_VALUE"""),1.51101608E8)</f>
        <v>151101608</v>
      </c>
      <c r="H714" s="148">
        <f>IFERROR(__xludf.DUMMYFUNCTION("""COMPUTED_VALUE"""),1.5112564E7)</f>
        <v>15112564</v>
      </c>
      <c r="I714" s="148" t="str">
        <f>IFERROR(__xludf.DUMMYFUNCTION("""COMPUTED_VALUE"""),"{""typ"":""lc"",""txt"":""LC_ITEM_time_day_upper_show"",""args"":[{""typ"":""int"",""val"":28}]}")</f>
        <v>{"typ":"lc","txt":"LC_ITEM_time_day_upper_show","args":[{"typ":"int","val":28}]}</v>
      </c>
      <c r="J714" s="148" t="str">
        <f>IFERROR(__xludf.DUMMYFUNCTION("""COMPUTED_VALUE"""),"{""typ"":""lc"",""txt"":""LC_ITEM_2025easter_highcity_skin_title_28day""}")</f>
        <v>{"typ":"lc","txt":"LC_ITEM_2025easter_highcity_skin_title_28day"}</v>
      </c>
      <c r="K714" s="148" t="str">
        <f>IFERROR(__xludf.DUMMYFUNCTION("""COMPUTED_VALUE"""),"{""typ"":""lc"",""txt"":""LC_ITEM_2025easter_highskin_desc_28day""}")</f>
        <v>{"typ":"lc","txt":"LC_ITEM_2025easter_highskin_desc_28day"}</v>
      </c>
      <c r="L714" s="148" t="str">
        <f>IFERROR(__xludf.DUMMYFUNCTION("""COMPUTED_VALUE"""),"{""typ"":""lc"",""txt"":""LC_ITEM_city_skin_rocket_use_tips""}")</f>
        <v>{"typ":"lc","txt":"LC_ITEM_city_skin_rocket_use_tips"}</v>
      </c>
      <c r="M714" s="148">
        <f>IFERROR(__xludf.DUMMYFUNCTION("""COMPUTED_VALUE"""),10000.0)</f>
        <v>10000</v>
      </c>
      <c r="N714" s="148">
        <f>IFERROR(__xludf.DUMMYFUNCTION("""COMPUTED_VALUE"""),999.0)</f>
        <v>999</v>
      </c>
      <c r="O714" s="148">
        <f>IFERROR(__xludf.DUMMYFUNCTION("""COMPUTED_VALUE"""),1.0)</f>
        <v>1</v>
      </c>
      <c r="P714" s="148">
        <f>IFERROR(__xludf.DUMMYFUNCTION("""COMPUTED_VALUE"""),1.0)</f>
        <v>1</v>
      </c>
      <c r="Q714" s="148" t="str">
        <f>IFERROR(__xludf.DUMMYFUNCTION("""COMPUTED_VALUE"""),"[""bag_other""]")</f>
        <v>["bag_other"]</v>
      </c>
      <c r="R714" s="148" t="str">
        <f>IFERROR(__xludf.DUMMYFUNCTION("""COMPUTED_VALUE"""),"[""bag"",""13121067""]")</f>
        <v>["bag","13121067"]</v>
      </c>
      <c r="S714" s="148" t="str">
        <f>IFERROR(__xludf.DUMMYFUNCTION("""COMPUTED_VALUE"""),"{""effect"":[{""typ"":""city_skin"",""id"":13121067,""val"":2419200000},{""typ"":""item"",""id"":11111021,""val"":15}]}")</f>
        <v>{"effect":[{"typ":"city_skin","id":13121067,"val":2419200000},{"typ":"item","id":11111021,"val":15}]}</v>
      </c>
      <c r="T714" s="148">
        <f>IFERROR(__xludf.DUMMYFUNCTION("""COMPUTED_VALUE"""),-1.0)</f>
        <v>-1</v>
      </c>
      <c r="U714" s="148">
        <f>IFERROR(__xludf.DUMMYFUNCTION("""COMPUTED_VALUE"""),0.0)</f>
        <v>0</v>
      </c>
      <c r="V714" s="148" t="str">
        <f>IFERROR(__xludf.DUMMYFUNCTION("""COMPUTED_VALUE"""),"[]")</f>
        <v>[]</v>
      </c>
      <c r="W714" s="148">
        <f>IFERROR(__xludf.DUMMYFUNCTION("""COMPUTED_VALUE"""),1.174E7)</f>
        <v>11740000</v>
      </c>
      <c r="X714" s="148">
        <f>IFERROR(__xludf.DUMMYFUNCTION("""COMPUTED_VALUE"""),0.0)</f>
        <v>0</v>
      </c>
      <c r="Y714" s="148">
        <f>IFERROR(__xludf.DUMMYFUNCTION("""COMPUTED_VALUE"""),0.0)</f>
        <v>0</v>
      </c>
      <c r="Z714" s="148"/>
    </row>
    <row r="715">
      <c r="A715" s="148">
        <f>IFERROR(__xludf.DUMMYFUNCTION("""COMPUTED_VALUE"""),1.1112512E7)</f>
        <v>11112512</v>
      </c>
      <c r="B715" s="148" t="str">
        <f>IFERROR(__xludf.DUMMYFUNCTION("""COMPUTED_VALUE"""),"主城皮肤-复活节2025")</f>
        <v>主城皮肤-复活节2025</v>
      </c>
      <c r="C715" s="148"/>
      <c r="D715" s="148" t="str">
        <f>IFERROR(__xludf.DUMMYFUNCTION("""COMPUTED_VALUE"""),"city_skin")</f>
        <v>city_skin</v>
      </c>
      <c r="E715" s="148">
        <f>IFERROR(__xludf.DUMMYFUNCTION("""COMPUTED_VALUE"""),21.0)</f>
        <v>21</v>
      </c>
      <c r="F715" s="148">
        <f>IFERROR(__xludf.DUMMYFUNCTION("""COMPUTED_VALUE"""),404201.0)</f>
        <v>404201</v>
      </c>
      <c r="G715" s="148">
        <f>IFERROR(__xludf.DUMMYFUNCTION("""COMPUTED_VALUE"""),1.51101606E8)</f>
        <v>151101606</v>
      </c>
      <c r="H715" s="148">
        <f>IFERROR(__xludf.DUMMYFUNCTION("""COMPUTED_VALUE"""),1.5112564E7)</f>
        <v>15112564</v>
      </c>
      <c r="I715" s="148" t="str">
        <f>IFERROR(__xludf.DUMMYFUNCTION("""COMPUTED_VALUE"""),"{}")</f>
        <v>{}</v>
      </c>
      <c r="J715" s="148" t="str">
        <f>IFERROR(__xludf.DUMMYFUNCTION("""COMPUTED_VALUE"""),"{""typ"":""lc"",""txt"":""LC_ITEM_2025easter_lowcity_skin_title""}")</f>
        <v>{"typ":"lc","txt":"LC_ITEM_2025easter_lowcity_skin_title"}</v>
      </c>
      <c r="K715" s="148" t="str">
        <f>IFERROR(__xludf.DUMMYFUNCTION("""COMPUTED_VALUE"""),"{""typ"":""lc"",""txt"":""LC_ITEM_2025easter_lowcity_skin_desc_forever""}")</f>
        <v>{"typ":"lc","txt":"LC_ITEM_2025easter_lowcity_skin_desc_forever"}</v>
      </c>
      <c r="L715" s="148" t="str">
        <f>IFERROR(__xludf.DUMMYFUNCTION("""COMPUTED_VALUE"""),"{""typ"":""lc"",""txt"":""LC_ITEM_city_skin_rocket_use_tips""}")</f>
        <v>{"typ":"lc","txt":"LC_ITEM_city_skin_rocket_use_tips"}</v>
      </c>
      <c r="M715" s="148">
        <f>IFERROR(__xludf.DUMMYFUNCTION("""COMPUTED_VALUE"""),10000.0)</f>
        <v>10000</v>
      </c>
      <c r="N715" s="148">
        <f>IFERROR(__xludf.DUMMYFUNCTION("""COMPUTED_VALUE"""),999.0)</f>
        <v>999</v>
      </c>
      <c r="O715" s="148">
        <f>IFERROR(__xludf.DUMMYFUNCTION("""COMPUTED_VALUE"""),1.0)</f>
        <v>1</v>
      </c>
      <c r="P715" s="148">
        <f>IFERROR(__xludf.DUMMYFUNCTION("""COMPUTED_VALUE"""),1.0)</f>
        <v>1</v>
      </c>
      <c r="Q715" s="148" t="str">
        <f>IFERROR(__xludf.DUMMYFUNCTION("""COMPUTED_VALUE"""),"[""bag_other""]")</f>
        <v>["bag_other"]</v>
      </c>
      <c r="R715" s="148" t="str">
        <f>IFERROR(__xludf.DUMMYFUNCTION("""COMPUTED_VALUE"""),"[""bag"",""13121066""]")</f>
        <v>["bag","13121066"]</v>
      </c>
      <c r="S715" s="148" t="str">
        <f>IFERROR(__xludf.DUMMYFUNCTION("""COMPUTED_VALUE"""),"{""effect"":[{""typ"":""city_skin"",""id"":13121066,""val"":-1},{""typ"":""item"",""id"":11111034,""val"":10}]}")</f>
        <v>{"effect":[{"typ":"city_skin","id":13121066,"val":-1},{"typ":"item","id":11111034,"val":10}]}</v>
      </c>
      <c r="T715" s="148">
        <f>IFERROR(__xludf.DUMMYFUNCTION("""COMPUTED_VALUE"""),-1.0)</f>
        <v>-1</v>
      </c>
      <c r="U715" s="148">
        <f>IFERROR(__xludf.DUMMYFUNCTION("""COMPUTED_VALUE"""),0.0)</f>
        <v>0</v>
      </c>
      <c r="V715" s="148" t="str">
        <f>IFERROR(__xludf.DUMMYFUNCTION("""COMPUTED_VALUE"""),"[]")</f>
        <v>[]</v>
      </c>
      <c r="W715" s="148">
        <f>IFERROR(__xludf.DUMMYFUNCTION("""COMPUTED_VALUE"""),1.174E7)</f>
        <v>11740000</v>
      </c>
      <c r="X715" s="148">
        <f>IFERROR(__xludf.DUMMYFUNCTION("""COMPUTED_VALUE"""),0.0)</f>
        <v>0</v>
      </c>
      <c r="Y715" s="148">
        <f>IFERROR(__xludf.DUMMYFUNCTION("""COMPUTED_VALUE"""),0.0)</f>
        <v>0</v>
      </c>
      <c r="Z715" s="148"/>
    </row>
    <row r="716">
      <c r="A716" s="148">
        <f>IFERROR(__xludf.DUMMYFUNCTION("""COMPUTED_VALUE"""),1.1112513E7)</f>
        <v>11112513</v>
      </c>
      <c r="B716" s="148" t="str">
        <f>IFERROR(__xludf.DUMMYFUNCTION("""COMPUTED_VALUE"""),"主城皮肤-复活节2025-2天")</f>
        <v>主城皮肤-复活节2025-2天</v>
      </c>
      <c r="C716" s="148"/>
      <c r="D716" s="148" t="str">
        <f>IFERROR(__xludf.DUMMYFUNCTION("""COMPUTED_VALUE"""),"city_skin")</f>
        <v>city_skin</v>
      </c>
      <c r="E716" s="148">
        <f>IFERROR(__xludf.DUMMYFUNCTION("""COMPUTED_VALUE"""),21.0)</f>
        <v>21</v>
      </c>
      <c r="F716" s="148">
        <f>IFERROR(__xludf.DUMMYFUNCTION("""COMPUTED_VALUE"""),404201.0)</f>
        <v>404201</v>
      </c>
      <c r="G716" s="148">
        <f>IFERROR(__xludf.DUMMYFUNCTION("""COMPUTED_VALUE"""),1.51101606E8)</f>
        <v>151101606</v>
      </c>
      <c r="H716" s="148">
        <f>IFERROR(__xludf.DUMMYFUNCTION("""COMPUTED_VALUE"""),1.5112563E7)</f>
        <v>15112563</v>
      </c>
      <c r="I716" s="148" t="str">
        <f>IFERROR(__xludf.DUMMYFUNCTION("""COMPUTED_VALUE"""),"{""typ"":""lc"",""txt"":""LC_ITEM_time_day_upper_show"",""args"":[{""typ"":""int"",""val"":2}]}")</f>
        <v>{"typ":"lc","txt":"LC_ITEM_time_day_upper_show","args":[{"typ":"int","val":2}]}</v>
      </c>
      <c r="J716" s="148" t="str">
        <f>IFERROR(__xludf.DUMMYFUNCTION("""COMPUTED_VALUE"""),"{""typ"":""lc"",""txt"":""LC_ITEM_2025easter_lowcity_skin_title_2day""}")</f>
        <v>{"typ":"lc","txt":"LC_ITEM_2025easter_lowcity_skin_title_2day"}</v>
      </c>
      <c r="K716" s="148" t="str">
        <f>IFERROR(__xludf.DUMMYFUNCTION("""COMPUTED_VALUE"""),"{""typ"":""lc"",""txt"":""LC_ITEM_2025easter_lowcity_skin_desc_2day""}")</f>
        <v>{"typ":"lc","txt":"LC_ITEM_2025easter_lowcity_skin_desc_2day"}</v>
      </c>
      <c r="L716" s="148" t="str">
        <f>IFERROR(__xludf.DUMMYFUNCTION("""COMPUTED_VALUE"""),"{""typ"":""lc"",""txt"":""LC_ITEM_city_skin_rocket_use_tips""}")</f>
        <v>{"typ":"lc","txt":"LC_ITEM_city_skin_rocket_use_tips"}</v>
      </c>
      <c r="M716" s="148">
        <f>IFERROR(__xludf.DUMMYFUNCTION("""COMPUTED_VALUE"""),10000.0)</f>
        <v>10000</v>
      </c>
      <c r="N716" s="148">
        <f>IFERROR(__xludf.DUMMYFUNCTION("""COMPUTED_VALUE"""),999.0)</f>
        <v>999</v>
      </c>
      <c r="O716" s="148">
        <f>IFERROR(__xludf.DUMMYFUNCTION("""COMPUTED_VALUE"""),1.0)</f>
        <v>1</v>
      </c>
      <c r="P716" s="148">
        <f>IFERROR(__xludf.DUMMYFUNCTION("""COMPUTED_VALUE"""),1.0)</f>
        <v>1</v>
      </c>
      <c r="Q716" s="148" t="str">
        <f>IFERROR(__xludf.DUMMYFUNCTION("""COMPUTED_VALUE"""),"[""bag_other""]")</f>
        <v>["bag_other"]</v>
      </c>
      <c r="R716" s="148" t="str">
        <f>IFERROR(__xludf.DUMMYFUNCTION("""COMPUTED_VALUE"""),"[""bag"",""13121066""]")</f>
        <v>["bag","13121066"]</v>
      </c>
      <c r="S716" s="148" t="str">
        <f>IFERROR(__xludf.DUMMYFUNCTION("""COMPUTED_VALUE"""),"{""effect"":[{""typ"":""city_skin"",""id"":13121066,""val"":172800000},{""typ"":""item"",""id"":11111021,""val"":1}]}")</f>
        <v>{"effect":[{"typ":"city_skin","id":13121066,"val":172800000},{"typ":"item","id":11111021,"val":1}]}</v>
      </c>
      <c r="T716" s="148">
        <f>IFERROR(__xludf.DUMMYFUNCTION("""COMPUTED_VALUE"""),-1.0)</f>
        <v>-1</v>
      </c>
      <c r="U716" s="148">
        <f>IFERROR(__xludf.DUMMYFUNCTION("""COMPUTED_VALUE"""),0.0)</f>
        <v>0</v>
      </c>
      <c r="V716" s="148" t="str">
        <f>IFERROR(__xludf.DUMMYFUNCTION("""COMPUTED_VALUE"""),"[]")</f>
        <v>[]</v>
      </c>
      <c r="W716" s="148">
        <f>IFERROR(__xludf.DUMMYFUNCTION("""COMPUTED_VALUE"""),1.174E7)</f>
        <v>11740000</v>
      </c>
      <c r="X716" s="148">
        <f>IFERROR(__xludf.DUMMYFUNCTION("""COMPUTED_VALUE"""),0.0)</f>
        <v>0</v>
      </c>
      <c r="Y716" s="148">
        <f>IFERROR(__xludf.DUMMYFUNCTION("""COMPUTED_VALUE"""),0.0)</f>
        <v>0</v>
      </c>
      <c r="Z716" s="148"/>
    </row>
    <row r="717">
      <c r="A717" s="148">
        <f>IFERROR(__xludf.DUMMYFUNCTION("""COMPUTED_VALUE"""),1.1112514E7)</f>
        <v>11112514</v>
      </c>
      <c r="B717" s="148" t="str">
        <f>IFERROR(__xludf.DUMMYFUNCTION("""COMPUTED_VALUE"""),"主城皮肤-复活节2025-7天")</f>
        <v>主城皮肤-复活节2025-7天</v>
      </c>
      <c r="C717" s="148"/>
      <c r="D717" s="148" t="str">
        <f>IFERROR(__xludf.DUMMYFUNCTION("""COMPUTED_VALUE"""),"city_skin")</f>
        <v>city_skin</v>
      </c>
      <c r="E717" s="148">
        <f>IFERROR(__xludf.DUMMYFUNCTION("""COMPUTED_VALUE"""),21.0)</f>
        <v>21</v>
      </c>
      <c r="F717" s="148">
        <f>IFERROR(__xludf.DUMMYFUNCTION("""COMPUTED_VALUE"""),404201.0)</f>
        <v>404201</v>
      </c>
      <c r="G717" s="148">
        <f>IFERROR(__xludf.DUMMYFUNCTION("""COMPUTED_VALUE"""),1.51101606E8)</f>
        <v>151101606</v>
      </c>
      <c r="H717" s="148">
        <f>IFERROR(__xludf.DUMMYFUNCTION("""COMPUTED_VALUE"""),1.5112564E7)</f>
        <v>15112564</v>
      </c>
      <c r="I717" s="148" t="str">
        <f>IFERROR(__xludf.DUMMYFUNCTION("""COMPUTED_VALUE"""),"{""typ"":""lc"",""txt"":""LC_ITEM_time_day_upper_show"",""args"":[{""typ"":""int"",""val"":7}]}")</f>
        <v>{"typ":"lc","txt":"LC_ITEM_time_day_upper_show","args":[{"typ":"int","val":7}]}</v>
      </c>
      <c r="J717" s="148" t="str">
        <f>IFERROR(__xludf.DUMMYFUNCTION("""COMPUTED_VALUE"""),"{""typ"":""lc"",""txt"":""LC_ITEM_2025easter_lowcity_skin_title_7day""}")</f>
        <v>{"typ":"lc","txt":"LC_ITEM_2025easter_lowcity_skin_title_7day"}</v>
      </c>
      <c r="K717" s="148" t="str">
        <f>IFERROR(__xludf.DUMMYFUNCTION("""COMPUTED_VALUE"""),"{""typ"":""lc"",""txt"":""LC_ITEM_2025easter_lowcity_skin_desc_7day""}")</f>
        <v>{"typ":"lc","txt":"LC_ITEM_2025easter_lowcity_skin_desc_7day"}</v>
      </c>
      <c r="L717" s="148" t="str">
        <f>IFERROR(__xludf.DUMMYFUNCTION("""COMPUTED_VALUE"""),"{""typ"":""lc"",""txt"":""LC_ITEM_city_skin_rocket_use_tips""}")</f>
        <v>{"typ":"lc","txt":"LC_ITEM_city_skin_rocket_use_tips"}</v>
      </c>
      <c r="M717" s="148">
        <f>IFERROR(__xludf.DUMMYFUNCTION("""COMPUTED_VALUE"""),10000.0)</f>
        <v>10000</v>
      </c>
      <c r="N717" s="148">
        <f>IFERROR(__xludf.DUMMYFUNCTION("""COMPUTED_VALUE"""),999.0)</f>
        <v>999</v>
      </c>
      <c r="O717" s="148">
        <f>IFERROR(__xludf.DUMMYFUNCTION("""COMPUTED_VALUE"""),1.0)</f>
        <v>1</v>
      </c>
      <c r="P717" s="148">
        <f>IFERROR(__xludf.DUMMYFUNCTION("""COMPUTED_VALUE"""),1.0)</f>
        <v>1</v>
      </c>
      <c r="Q717" s="148" t="str">
        <f>IFERROR(__xludf.DUMMYFUNCTION("""COMPUTED_VALUE"""),"[""bag_other""]")</f>
        <v>["bag_other"]</v>
      </c>
      <c r="R717" s="148" t="str">
        <f>IFERROR(__xludf.DUMMYFUNCTION("""COMPUTED_VALUE"""),"[""bag"",""13121066""]")</f>
        <v>["bag","13121066"]</v>
      </c>
      <c r="S717" s="148" t="str">
        <f>IFERROR(__xludf.DUMMYFUNCTION("""COMPUTED_VALUE"""),"{""effect"":[{""typ"":""city_skin"",""id"":13121066,""val"":604800000},{""typ"":""item"",""id"":11111021,""val"":3}]}")</f>
        <v>{"effect":[{"typ":"city_skin","id":13121066,"val":604800000},{"typ":"item","id":11111021,"val":3}]}</v>
      </c>
      <c r="T717" s="148">
        <f>IFERROR(__xludf.DUMMYFUNCTION("""COMPUTED_VALUE"""),-1.0)</f>
        <v>-1</v>
      </c>
      <c r="U717" s="148">
        <f>IFERROR(__xludf.DUMMYFUNCTION("""COMPUTED_VALUE"""),0.0)</f>
        <v>0</v>
      </c>
      <c r="V717" s="148" t="str">
        <f>IFERROR(__xludf.DUMMYFUNCTION("""COMPUTED_VALUE"""),"[]")</f>
        <v>[]</v>
      </c>
      <c r="W717" s="148">
        <f>IFERROR(__xludf.DUMMYFUNCTION("""COMPUTED_VALUE"""),1.174E7)</f>
        <v>11740000</v>
      </c>
      <c r="X717" s="148">
        <f>IFERROR(__xludf.DUMMYFUNCTION("""COMPUTED_VALUE"""),0.0)</f>
        <v>0</v>
      </c>
      <c r="Y717" s="148">
        <f>IFERROR(__xludf.DUMMYFUNCTION("""COMPUTED_VALUE"""),0.0)</f>
        <v>0</v>
      </c>
      <c r="Z717" s="148"/>
    </row>
    <row r="718">
      <c r="A718" s="148">
        <f>IFERROR(__xludf.DUMMYFUNCTION("""COMPUTED_VALUE"""),1.1112515E7)</f>
        <v>11112515</v>
      </c>
      <c r="B718" s="148" t="str">
        <f>IFERROR(__xludf.DUMMYFUNCTION("""COMPUTED_VALUE"""),"主城皮肤-复活节2025-14天")</f>
        <v>主城皮肤-复活节2025-14天</v>
      </c>
      <c r="C718" s="148"/>
      <c r="D718" s="148" t="str">
        <f>IFERROR(__xludf.DUMMYFUNCTION("""COMPUTED_VALUE"""),"city_skin")</f>
        <v>city_skin</v>
      </c>
      <c r="E718" s="148">
        <f>IFERROR(__xludf.DUMMYFUNCTION("""COMPUTED_VALUE"""),21.0)</f>
        <v>21</v>
      </c>
      <c r="F718" s="148">
        <f>IFERROR(__xludf.DUMMYFUNCTION("""COMPUTED_VALUE"""),404201.0)</f>
        <v>404201</v>
      </c>
      <c r="G718" s="148">
        <f>IFERROR(__xludf.DUMMYFUNCTION("""COMPUTED_VALUE"""),1.51101606E8)</f>
        <v>151101606</v>
      </c>
      <c r="H718" s="148">
        <f>IFERROR(__xludf.DUMMYFUNCTION("""COMPUTED_VALUE"""),1.5112564E7)</f>
        <v>15112564</v>
      </c>
      <c r="I718" s="148" t="str">
        <f>IFERROR(__xludf.DUMMYFUNCTION("""COMPUTED_VALUE"""),"{""typ"":""lc"",""txt"":""LC_ITEM_time_day_upper_show"",""args"":[{""typ"":""int"",""val"":14}]}")</f>
        <v>{"typ":"lc","txt":"LC_ITEM_time_day_upper_show","args":[{"typ":"int","val":14}]}</v>
      </c>
      <c r="J718" s="148" t="str">
        <f>IFERROR(__xludf.DUMMYFUNCTION("""COMPUTED_VALUE"""),"{""typ"":""lc"",""txt"":""LC_ITEM_2025easter_lowcity_skin_title_14day""}")</f>
        <v>{"typ":"lc","txt":"LC_ITEM_2025easter_lowcity_skin_title_14day"}</v>
      </c>
      <c r="K718" s="148" t="str">
        <f>IFERROR(__xludf.DUMMYFUNCTION("""COMPUTED_VALUE"""),"{""typ"":""lc"",""txt"":""LC_ITEM_2025easter_lowcity_skin_desc_14day""}")</f>
        <v>{"typ":"lc","txt":"LC_ITEM_2025easter_lowcity_skin_desc_14day"}</v>
      </c>
      <c r="L718" s="148" t="str">
        <f>IFERROR(__xludf.DUMMYFUNCTION("""COMPUTED_VALUE"""),"{""typ"":""lc"",""txt"":""LC_ITEM_city_skin_rocket_use_tips""}")</f>
        <v>{"typ":"lc","txt":"LC_ITEM_city_skin_rocket_use_tips"}</v>
      </c>
      <c r="M718" s="148">
        <f>IFERROR(__xludf.DUMMYFUNCTION("""COMPUTED_VALUE"""),10000.0)</f>
        <v>10000</v>
      </c>
      <c r="N718" s="148">
        <f>IFERROR(__xludf.DUMMYFUNCTION("""COMPUTED_VALUE"""),999.0)</f>
        <v>999</v>
      </c>
      <c r="O718" s="148">
        <f>IFERROR(__xludf.DUMMYFUNCTION("""COMPUTED_VALUE"""),1.0)</f>
        <v>1</v>
      </c>
      <c r="P718" s="148">
        <f>IFERROR(__xludf.DUMMYFUNCTION("""COMPUTED_VALUE"""),1.0)</f>
        <v>1</v>
      </c>
      <c r="Q718" s="148" t="str">
        <f>IFERROR(__xludf.DUMMYFUNCTION("""COMPUTED_VALUE"""),"[""bag_other""]")</f>
        <v>["bag_other"]</v>
      </c>
      <c r="R718" s="148" t="str">
        <f>IFERROR(__xludf.DUMMYFUNCTION("""COMPUTED_VALUE"""),"[""bag"",""13121066""]")</f>
        <v>["bag","13121066"]</v>
      </c>
      <c r="S718" s="148" t="str">
        <f>IFERROR(__xludf.DUMMYFUNCTION("""COMPUTED_VALUE"""),"{""effect"":[{""typ"":""city_skin"",""id"":13121066,""val"":1209600000},{""typ"":""item"",""id"":11111021,""val"":7}]}")</f>
        <v>{"effect":[{"typ":"city_skin","id":13121066,"val":1209600000},{"typ":"item","id":11111021,"val":7}]}</v>
      </c>
      <c r="T718" s="148">
        <f>IFERROR(__xludf.DUMMYFUNCTION("""COMPUTED_VALUE"""),-1.0)</f>
        <v>-1</v>
      </c>
      <c r="U718" s="148">
        <f>IFERROR(__xludf.DUMMYFUNCTION("""COMPUTED_VALUE"""),0.0)</f>
        <v>0</v>
      </c>
      <c r="V718" s="148" t="str">
        <f>IFERROR(__xludf.DUMMYFUNCTION("""COMPUTED_VALUE"""),"[]")</f>
        <v>[]</v>
      </c>
      <c r="W718" s="148">
        <f>IFERROR(__xludf.DUMMYFUNCTION("""COMPUTED_VALUE"""),1.174E7)</f>
        <v>11740000</v>
      </c>
      <c r="X718" s="148">
        <f>IFERROR(__xludf.DUMMYFUNCTION("""COMPUTED_VALUE"""),0.0)</f>
        <v>0</v>
      </c>
      <c r="Y718" s="148">
        <f>IFERROR(__xludf.DUMMYFUNCTION("""COMPUTED_VALUE"""),0.0)</f>
        <v>0</v>
      </c>
      <c r="Z718" s="148"/>
    </row>
    <row r="719">
      <c r="A719" s="148">
        <f>IFERROR(__xludf.DUMMYFUNCTION("""COMPUTED_VALUE"""),1.1112516E7)</f>
        <v>11112516</v>
      </c>
      <c r="B719" s="148" t="str">
        <f>IFERROR(__xludf.DUMMYFUNCTION("""COMPUTED_VALUE"""),"2025复活节-装饰券宝箱")</f>
        <v>2025复活节-装饰券宝箱</v>
      </c>
      <c r="C719" s="148"/>
      <c r="D719" s="148" t="str">
        <f>IFERROR(__xludf.DUMMYFUNCTION("""COMPUTED_VALUE"""),"valentine_reward_box")</f>
        <v>valentine_reward_box</v>
      </c>
      <c r="E719" s="148">
        <f>IFERROR(__xludf.DUMMYFUNCTION("""COMPUTED_VALUE"""),19.0)</f>
        <v>19</v>
      </c>
      <c r="F719" s="148">
        <f>IFERROR(__xludf.DUMMYFUNCTION("""COMPUTED_VALUE"""),201101.0)</f>
        <v>201101</v>
      </c>
      <c r="G719" s="148">
        <f>IFERROR(__xludf.DUMMYFUNCTION("""COMPUTED_VALUE"""),1.5118225E7)</f>
        <v>15118225</v>
      </c>
      <c r="H719" s="148">
        <f>IFERROR(__xludf.DUMMYFUNCTION("""COMPUTED_VALUE"""),1.5112564E7)</f>
        <v>15112564</v>
      </c>
      <c r="I719" s="148" t="str">
        <f>IFERROR(__xludf.DUMMYFUNCTION("""COMPUTED_VALUE"""),"{}")</f>
        <v>{}</v>
      </c>
      <c r="J719" s="148" t="str">
        <f>IFERROR(__xludf.DUMMYFUNCTION("""COMPUTED_VALUE"""),"{""typ"":""lc"",""txt"":""LC_ITEM_fes_box_name""}")</f>
        <v>{"typ":"lc","txt":"LC_ITEM_fes_box_name"}</v>
      </c>
      <c r="K719" s="148" t="str">
        <f>IFERROR(__xludf.DUMMYFUNCTION("""COMPUTED_VALUE"""),"{""typ"":""lc"",""txt"":""LC_ITEM_fes_box_desc""}")</f>
        <v>{"typ":"lc","txt":"LC_ITEM_fes_box_desc"}</v>
      </c>
      <c r="L719" s="148" t="str">
        <f>IFERROR(__xludf.DUMMYFUNCTION("""COMPUTED_VALUE"""),"{""typ"":""lc"",""txt"":""LC_ITEM_horde_elite_box_usedtip""}")</f>
        <v>{"typ":"lc","txt":"LC_ITEM_horde_elite_box_usedtip"}</v>
      </c>
      <c r="M719" s="148">
        <f>IFERROR(__xludf.DUMMYFUNCTION("""COMPUTED_VALUE"""),40.0)</f>
        <v>40</v>
      </c>
      <c r="N719" s="148">
        <f>IFERROR(__xludf.DUMMYFUNCTION("""COMPUTED_VALUE"""),999999.0)</f>
        <v>999999</v>
      </c>
      <c r="O719" s="148">
        <f>IFERROR(__xludf.DUMMYFUNCTION("""COMPUTED_VALUE"""),99999.0)</f>
        <v>99999</v>
      </c>
      <c r="P719" s="148">
        <f>IFERROR(__xludf.DUMMYFUNCTION("""COMPUTED_VALUE"""),99999.0)</f>
        <v>99999</v>
      </c>
      <c r="Q719" s="148" t="str">
        <f>IFERROR(__xludf.DUMMYFUNCTION("""COMPUTED_VALUE"""),"[""bag_other""]")</f>
        <v>["bag_other"]</v>
      </c>
      <c r="R719" s="148" t="str">
        <f>IFERROR(__xludf.DUMMYFUNCTION("""COMPUTED_VALUE"""),"[""bag""]")</f>
        <v>["bag"]</v>
      </c>
      <c r="S719" s="148" t="str">
        <f>IFERROR(__xludf.DUMMYFUNCTION("""COMPUTED_VALUE"""),"{""drop"":{""typ"":""single_random"",""num"":1,""args"":[{""typ"":""item"",""id"":11112030,""num"":1000,""wgt"":19980},{""typ"":""item"",""id"":11112030,""num"":200,""wgt"":120000},{""typ"":""item"",""id"":11112030,""num"":50,""wgt"":200000},{""typ"":""it"&amp;"em"",""id"":11112512,""num"":1,""wgt"":10},{""typ"":""item"",""id"":11112104,""num"":1,""wgt"":10},{""typ"":""item"",""id"":11112030,""num"":20,""wgt"":400000},{""typ"":""item"",""id"":11112030,""num"":100,""wgt"":200000},{""typ"":""item"",""id"":11112030"&amp;",""num"":400,""wgt"":60000}]}}")</f>
        <v>{"drop":{"typ":"single_random","num":1,"args":[{"typ":"item","id":11112030,"num":1000,"wgt":19980},{"typ":"item","id":11112030,"num":200,"wgt":120000},{"typ":"item","id":11112030,"num":50,"wgt":200000},{"typ":"item","id":11112512,"num":1,"wgt":10},{"typ":"item","id":11112104,"num":1,"wgt":10},{"typ":"item","id":11112030,"num":20,"wgt":400000},{"typ":"item","id":11112030,"num":100,"wgt":200000},{"typ":"item","id":11112030,"num":400,"wgt":60000}]}}</v>
      </c>
      <c r="T719" s="148">
        <f>IFERROR(__xludf.DUMMYFUNCTION("""COMPUTED_VALUE"""),-1.0)</f>
        <v>-1</v>
      </c>
      <c r="U719" s="148">
        <f>IFERROR(__xludf.DUMMYFUNCTION("""COMPUTED_VALUE"""),0.0)</f>
        <v>0</v>
      </c>
      <c r="V719" s="148" t="str">
        <f>IFERROR(__xludf.DUMMYFUNCTION("""COMPUTED_VALUE"""),"[]")</f>
        <v>[]</v>
      </c>
      <c r="W719" s="148">
        <f>IFERROR(__xludf.DUMMYFUNCTION("""COMPUTED_VALUE"""),1.174E7)</f>
        <v>11740000</v>
      </c>
      <c r="X719" s="148">
        <f>IFERROR(__xludf.DUMMYFUNCTION("""COMPUTED_VALUE"""),0.0)</f>
        <v>0</v>
      </c>
      <c r="Y719" s="148">
        <f>IFERROR(__xludf.DUMMYFUNCTION("""COMPUTED_VALUE"""),0.0)</f>
        <v>0</v>
      </c>
      <c r="Z719" s="148"/>
    </row>
    <row r="720">
      <c r="A720" s="148">
        <f>IFERROR(__xludf.DUMMYFUNCTION("""COMPUTED_VALUE"""),1.1112517E7)</f>
        <v>11112517</v>
      </c>
      <c r="B720" s="148" t="str">
        <f>IFERROR(__xludf.DUMMYFUNCTION("""COMPUTED_VALUE"""),"彩蛋节自选宝箱")</f>
        <v>彩蛋节自选宝箱</v>
      </c>
      <c r="C720" s="148"/>
      <c r="D720" s="148" t="str">
        <f>IFERROR(__xludf.DUMMYFUNCTION("""COMPUTED_VALUE"""),"item_select_box")</f>
        <v>item_select_box</v>
      </c>
      <c r="E720" s="148">
        <f>IFERROR(__xludf.DUMMYFUNCTION("""COMPUTED_VALUE"""),19.0)</f>
        <v>19</v>
      </c>
      <c r="F720" s="148">
        <f>IFERROR(__xludf.DUMMYFUNCTION("""COMPUTED_VALUE"""),403308.0)</f>
        <v>403308</v>
      </c>
      <c r="G720" s="148">
        <f>IFERROR(__xludf.DUMMYFUNCTION("""COMPUTED_VALUE"""),1.51101648E8)</f>
        <v>151101648</v>
      </c>
      <c r="H720" s="148">
        <f>IFERROR(__xludf.DUMMYFUNCTION("""COMPUTED_VALUE"""),1.5112564E7)</f>
        <v>15112564</v>
      </c>
      <c r="I720" s="148" t="str">
        <f>IFERROR(__xludf.DUMMYFUNCTION("""COMPUTED_VALUE"""),"{}")</f>
        <v>{}</v>
      </c>
      <c r="J720" s="148" t="str">
        <f>IFERROR(__xludf.DUMMYFUNCTION("""COMPUTED_VALUE"""),"{""typ"":""lc"",""txt"":""LC_ITEM_easter_monopoly_cbox_name""}")</f>
        <v>{"typ":"lc","txt":"LC_ITEM_easter_monopoly_cbox_name"}</v>
      </c>
      <c r="K720" s="148" t="str">
        <f>IFERROR(__xludf.DUMMYFUNCTION("""COMPUTED_VALUE"""),"{""typ"":""lc"",""txt"":""LC_ITEM_easter_monopoly_cbox_desc""}")</f>
        <v>{"typ":"lc","txt":"LC_ITEM_easter_monopoly_cbox_desc"}</v>
      </c>
      <c r="L720" s="148" t="str">
        <f>IFERROR(__xludf.DUMMYFUNCTION("""COMPUTED_VALUE"""),"{}")</f>
        <v>{}</v>
      </c>
      <c r="M720" s="148">
        <f>IFERROR(__xludf.DUMMYFUNCTION("""COMPUTED_VALUE"""),750.0)</f>
        <v>750</v>
      </c>
      <c r="N720" s="148">
        <f>IFERROR(__xludf.DUMMYFUNCTION("""COMPUTED_VALUE"""),999999.0)</f>
        <v>999999</v>
      </c>
      <c r="O720" s="148">
        <f>IFERROR(__xludf.DUMMYFUNCTION("""COMPUTED_VALUE"""),99999.0)</f>
        <v>99999</v>
      </c>
      <c r="P720" s="148">
        <f>IFERROR(__xludf.DUMMYFUNCTION("""COMPUTED_VALUE"""),99999.0)</f>
        <v>99999</v>
      </c>
      <c r="Q720" s="148" t="str">
        <f>IFERROR(__xludf.DUMMYFUNCTION("""COMPUTED_VALUE"""),"[""bag_other""]")</f>
        <v>["bag_other"]</v>
      </c>
      <c r="R720" s="148" t="str">
        <f>IFERROR(__xludf.DUMMYFUNCTION("""COMPUTED_VALUE"""),"[""bag""]")</f>
        <v>["bag"]</v>
      </c>
      <c r="S720" s="148" t="str">
        <f>IFERROR(__xludf.DUMMYFUNCTION("""COMPUTED_VALUE"""),"{""select_box"":[{""typ"":""item"",""id"":11112091,""val"":5},{""typ"":""item"",""id"":11112099,""val"":1},{""typ"":""item"",""id"":11119279,""val"":1}]}")</f>
        <v>{"select_box":[{"typ":"item","id":11112091,"val":5},{"typ":"item","id":11112099,"val":1},{"typ":"item","id":11119279,"val":1}]}</v>
      </c>
      <c r="T720" s="148">
        <f>IFERROR(__xludf.DUMMYFUNCTION("""COMPUTED_VALUE"""),-1.0)</f>
        <v>-1</v>
      </c>
      <c r="U720" s="148">
        <f>IFERROR(__xludf.DUMMYFUNCTION("""COMPUTED_VALUE"""),0.0)</f>
        <v>0</v>
      </c>
      <c r="V720" s="148" t="str">
        <f>IFERROR(__xludf.DUMMYFUNCTION("""COMPUTED_VALUE"""),"[]")</f>
        <v>[]</v>
      </c>
      <c r="W720" s="148">
        <f>IFERROR(__xludf.DUMMYFUNCTION("""COMPUTED_VALUE"""),1.174E7)</f>
        <v>11740000</v>
      </c>
      <c r="X720" s="148">
        <f>IFERROR(__xludf.DUMMYFUNCTION("""COMPUTED_VALUE"""),0.0)</f>
        <v>0</v>
      </c>
      <c r="Y720" s="148">
        <f>IFERROR(__xludf.DUMMYFUNCTION("""COMPUTED_VALUE"""),0.0)</f>
        <v>0</v>
      </c>
      <c r="Z720" s="148"/>
    </row>
    <row r="721">
      <c r="A721" s="148">
        <f>IFERROR(__xludf.DUMMYFUNCTION("""COMPUTED_VALUE"""),1.1112518E7)</f>
        <v>11112518</v>
      </c>
      <c r="B721" s="148" t="str">
        <f>IFERROR(__xludf.DUMMYFUNCTION("""COMPUTED_VALUE"""),"奇遇起点的馈赠（废弃）")</f>
        <v>奇遇起点的馈赠（废弃）</v>
      </c>
      <c r="C721" s="148"/>
      <c r="D721" s="148" t="str">
        <f>IFERROR(__xludf.DUMMYFUNCTION("""COMPUTED_VALUE"""),"item_asset")</f>
        <v>item_asset</v>
      </c>
      <c r="E721" s="148">
        <f>IFERROR(__xludf.DUMMYFUNCTION("""COMPUTED_VALUE"""),19.0)</f>
        <v>19</v>
      </c>
      <c r="F721" s="148">
        <f>IFERROR(__xludf.DUMMYFUNCTION("""COMPUTED_VALUE"""),403308.0)</f>
        <v>403308</v>
      </c>
      <c r="G721" s="148">
        <f>IFERROR(__xludf.DUMMYFUNCTION("""COMPUTED_VALUE"""),1.51101545E8)</f>
        <v>151101545</v>
      </c>
      <c r="H721" s="148">
        <f>IFERROR(__xludf.DUMMYFUNCTION("""COMPUTED_VALUE"""),1.5112564E7)</f>
        <v>15112564</v>
      </c>
      <c r="I721" s="148" t="str">
        <f>IFERROR(__xludf.DUMMYFUNCTION("""COMPUTED_VALUE"""),"{}")</f>
        <v>{}</v>
      </c>
      <c r="J721" s="148" t="str">
        <f>IFERROR(__xludf.DUMMYFUNCTION("""COMPUTED_VALUE"""),"{""typ"":""lc"",""txt"":""LC_ITEM_easter_monopoly_rbox_name""}")</f>
        <v>{"typ":"lc","txt":"LC_ITEM_easter_monopoly_rbox_name"}</v>
      </c>
      <c r="K721" s="148" t="str">
        <f>IFERROR(__xludf.DUMMYFUNCTION("""COMPUTED_VALUE"""),"{""typ"":""lc"",""txt"":""LC_ITEM_easter_monopoly_rbox_desc""}")</f>
        <v>{"typ":"lc","txt":"LC_ITEM_easter_monopoly_rbox_desc"}</v>
      </c>
      <c r="L721" s="148" t="str">
        <f>IFERROR(__xludf.DUMMYFUNCTION("""COMPUTED_VALUE"""),"{}")</f>
        <v>{}</v>
      </c>
      <c r="M721" s="148">
        <f>IFERROR(__xludf.DUMMYFUNCTION("""COMPUTED_VALUE"""),250.0)</f>
        <v>250</v>
      </c>
      <c r="N721" s="148">
        <f>IFERROR(__xludf.DUMMYFUNCTION("""COMPUTED_VALUE"""),999999.0)</f>
        <v>999999</v>
      </c>
      <c r="O721" s="148">
        <f>IFERROR(__xludf.DUMMYFUNCTION("""COMPUTED_VALUE"""),99999.0)</f>
        <v>99999</v>
      </c>
      <c r="P721" s="148">
        <f>IFERROR(__xludf.DUMMYFUNCTION("""COMPUTED_VALUE"""),99999.0)</f>
        <v>99999</v>
      </c>
      <c r="Q721" s="148" t="str">
        <f>IFERROR(__xludf.DUMMYFUNCTION("""COMPUTED_VALUE"""),"[""bag_other""]")</f>
        <v>["bag_other"]</v>
      </c>
      <c r="R721" s="148" t="str">
        <f>IFERROR(__xludf.DUMMYFUNCTION("""COMPUTED_VALUE"""),"[""bag""]")</f>
        <v>["bag"]</v>
      </c>
      <c r="S721" s="148" t="str">
        <f>IFERROR(__xludf.DUMMYFUNCTION("""COMPUTED_VALUE"""),"{""drop"":{""typ"":""single_random"",""num"":1,""args"":[{""typ"":""item"",""id"":11112091,""num"":5,""wgt"":100},{""typ"":""item"",""id"":11112099,""num"":2,""wgt"":50},{""typ"":""item"",""id"":11119279,""num"":2,""wgt"":50},{""typ"":""item"",""id"":1111"&amp;"1105,""num"":2,""wgt"":100},{""typ"":""item"",""id"":11114330,""num"":5,""wgt"":200},{""typ"":""item"",""id"":11116304,""num"":1,""wgt"":10}]}}")</f>
        <v>{"drop":{"typ":"single_random","num":1,"args":[{"typ":"item","id":11112091,"num":5,"wgt":100},{"typ":"item","id":11112099,"num":2,"wgt":50},{"typ":"item","id":11119279,"num":2,"wgt":50},{"typ":"item","id":11111105,"num":2,"wgt":100},{"typ":"item","id":11114330,"num":5,"wgt":200},{"typ":"item","id":11116304,"num":1,"wgt":10}]}}</v>
      </c>
      <c r="T721" s="148">
        <f>IFERROR(__xludf.DUMMYFUNCTION("""COMPUTED_VALUE"""),-1.0)</f>
        <v>-1</v>
      </c>
      <c r="U721" s="148">
        <f>IFERROR(__xludf.DUMMYFUNCTION("""COMPUTED_VALUE"""),0.0)</f>
        <v>0</v>
      </c>
      <c r="V721" s="148" t="str">
        <f>IFERROR(__xludf.DUMMYFUNCTION("""COMPUTED_VALUE"""),"[]")</f>
        <v>[]</v>
      </c>
      <c r="W721" s="148">
        <f>IFERROR(__xludf.DUMMYFUNCTION("""COMPUTED_VALUE"""),1.174E7)</f>
        <v>11740000</v>
      </c>
      <c r="X721" s="148">
        <f>IFERROR(__xludf.DUMMYFUNCTION("""COMPUTED_VALUE"""),0.0)</f>
        <v>0</v>
      </c>
      <c r="Y721" s="148">
        <f>IFERROR(__xludf.DUMMYFUNCTION("""COMPUTED_VALUE"""),0.0)</f>
        <v>0</v>
      </c>
      <c r="Z721" s="148"/>
    </row>
    <row r="722">
      <c r="A722" s="148">
        <f>IFERROR(__xludf.DUMMYFUNCTION("""COMPUTED_VALUE"""),1.1112519E7)</f>
        <v>11112519</v>
      </c>
      <c r="B722" s="148" t="str">
        <f>IFERROR(__xludf.DUMMYFUNCTION("""COMPUTED_VALUE"""),"复活节2025gacha专用-增加大奖抽奖次数")</f>
        <v>复活节2025gacha专用-增加大奖抽奖次数</v>
      </c>
      <c r="C722" s="148"/>
      <c r="D722" s="148" t="str">
        <f>IFERROR(__xludf.DUMMYFUNCTION("""COMPUTED_VALUE"""),"event")</f>
        <v>event</v>
      </c>
      <c r="E722" s="148">
        <f>IFERROR(__xludf.DUMMYFUNCTION("""COMPUTED_VALUE"""),0.0)</f>
        <v>0</v>
      </c>
      <c r="F722" s="148">
        <f>IFERROR(__xludf.DUMMYFUNCTION("""COMPUTED_VALUE"""),0.0)</f>
        <v>0</v>
      </c>
      <c r="G722" s="148">
        <f>IFERROR(__xludf.DUMMYFUNCTION("""COMPUTED_VALUE"""),1.5116809E7)</f>
        <v>15116809</v>
      </c>
      <c r="H722" s="148">
        <f>IFERROR(__xludf.DUMMYFUNCTION("""COMPUTED_VALUE"""),1.5112564E7)</f>
        <v>15112564</v>
      </c>
      <c r="I722" s="148" t="str">
        <f>IFERROR(__xludf.DUMMYFUNCTION("""COMPUTED_VALUE"""),"{}")</f>
        <v>{}</v>
      </c>
      <c r="J722" s="148" t="str">
        <f>IFERROR(__xludf.DUMMYFUNCTION("""COMPUTED_VALUE"""),"{""typ"":""lc"",""txt"":""LC_ITEM_2023laborday_gacha_inner_item""}")</f>
        <v>{"typ":"lc","txt":"LC_ITEM_2023laborday_gacha_inner_item"}</v>
      </c>
      <c r="K722" s="148" t="str">
        <f>IFERROR(__xludf.DUMMYFUNCTION("""COMPUTED_VALUE"""),"{""typ"":""lc"",""txt"":""LC_ITEM_2023laborday_gacha_inner_item_desc""}")</f>
        <v>{"typ":"lc","txt":"LC_ITEM_2023laborday_gacha_inner_item_desc"}</v>
      </c>
      <c r="L722" s="148" t="str">
        <f>IFERROR(__xludf.DUMMYFUNCTION("""COMPUTED_VALUE"""),"{}")</f>
        <v>{}</v>
      </c>
      <c r="M722" s="148">
        <f>IFERROR(__xludf.DUMMYFUNCTION("""COMPUTED_VALUE"""),700.0)</f>
        <v>700</v>
      </c>
      <c r="N722" s="148">
        <f>IFERROR(__xludf.DUMMYFUNCTION("""COMPUTED_VALUE"""),9.99999999E8)</f>
        <v>999999999</v>
      </c>
      <c r="O722" s="148">
        <f>IFERROR(__xludf.DUMMYFUNCTION("""COMPUTED_VALUE"""),9.99999999E8)</f>
        <v>999999999</v>
      </c>
      <c r="P722" s="148">
        <f>IFERROR(__xludf.DUMMYFUNCTION("""COMPUTED_VALUE"""),9.99999999E8)</f>
        <v>999999999</v>
      </c>
      <c r="Q722" s="148" t="str">
        <f>IFERROR(__xludf.DUMMYFUNCTION("""COMPUTED_VALUE"""),"[]")</f>
        <v>[]</v>
      </c>
      <c r="R722" s="148" t="str">
        <f>IFERROR(__xludf.DUMMYFUNCTION("""COMPUTED_VALUE"""),"[""bag""]")</f>
        <v>["bag"]</v>
      </c>
      <c r="S722" s="148" t="str">
        <f>IFERROR(__xludf.DUMMYFUNCTION("""COMPUTED_VALUE"""),"{}")</f>
        <v>{}</v>
      </c>
      <c r="T722" s="148">
        <f>IFERROR(__xludf.DUMMYFUNCTION("""COMPUTED_VALUE"""),1.0)</f>
        <v>1</v>
      </c>
      <c r="U722" s="148">
        <f>IFERROR(__xludf.DUMMYFUNCTION("""COMPUTED_VALUE"""),0.0)</f>
        <v>0</v>
      </c>
      <c r="V722" s="148" t="str">
        <f>IFERROR(__xludf.DUMMYFUNCTION("""COMPUTED_VALUE"""),"[]")</f>
        <v>[]</v>
      </c>
      <c r="W722" s="148">
        <f>IFERROR(__xludf.DUMMYFUNCTION("""COMPUTED_VALUE"""),1.174E7)</f>
        <v>11740000</v>
      </c>
      <c r="X722" s="148">
        <f>IFERROR(__xludf.DUMMYFUNCTION("""COMPUTED_VALUE"""),0.0)</f>
        <v>0</v>
      </c>
      <c r="Y722" s="148">
        <f>IFERROR(__xludf.DUMMYFUNCTION("""COMPUTED_VALUE"""),0.0)</f>
        <v>0</v>
      </c>
      <c r="Z722" s="148"/>
    </row>
    <row r="723">
      <c r="A723" s="148">
        <f>IFERROR(__xludf.DUMMYFUNCTION("""COMPUTED_VALUE"""),1.111252E7)</f>
        <v>11112520</v>
      </c>
      <c r="B723" s="148" t="str">
        <f>IFERROR(__xludf.DUMMYFUNCTION("""COMPUTED_VALUE"""),"漫游骰子-红包")</f>
        <v>漫游骰子-红包</v>
      </c>
      <c r="C723" s="148"/>
      <c r="D723" s="148" t="str">
        <f>IFERROR(__xludf.DUMMYFUNCTION("""COMPUTED_VALUE"""),"red_package")</f>
        <v>red_package</v>
      </c>
      <c r="E723" s="148">
        <f>IFERROR(__xludf.DUMMYFUNCTION("""COMPUTED_VALUE"""),0.0)</f>
        <v>0</v>
      </c>
      <c r="F723" s="148">
        <f>IFERROR(__xludf.DUMMYFUNCTION("""COMPUTED_VALUE"""),101101.0)</f>
        <v>101101</v>
      </c>
      <c r="G723" s="148">
        <f>IFERROR(__xludf.DUMMYFUNCTION("""COMPUTED_VALUE"""),1.51101662E8)</f>
        <v>151101662</v>
      </c>
      <c r="H723" s="148">
        <f>IFERROR(__xludf.DUMMYFUNCTION("""COMPUTED_VALUE"""),1.5112564E7)</f>
        <v>15112564</v>
      </c>
      <c r="I723" s="148" t="str">
        <f>IFERROR(__xludf.DUMMYFUNCTION("""COMPUTED_VALUE"""),"{}")</f>
        <v>{}</v>
      </c>
      <c r="J723" s="148" t="str">
        <f>IFERROR(__xludf.DUMMYFUNCTION("""COMPUTED_VALUE"""),"{""typ"":""lc"",""txt"":""LC_ITEM_easter_monopoly_red_pack_name""}")</f>
        <v>{"typ":"lc","txt":"LC_ITEM_easter_monopoly_red_pack_name"}</v>
      </c>
      <c r="K723" s="148" t="str">
        <f>IFERROR(__xludf.DUMMYFUNCTION("""COMPUTED_VALUE"""),"{""typ"":""lc"",""txt"":""LC_ITEM_easter_monopoly_red_pack_desc"",""args"":[{""typ"":""int"",""val"":40}]}")</f>
        <v>{"typ":"lc","txt":"LC_ITEM_easter_monopoly_red_pack_desc","args":[{"typ":"int","val":40}]}</v>
      </c>
      <c r="L723" s="148" t="str">
        <f>IFERROR(__xludf.DUMMYFUNCTION("""COMPUTED_VALUE"""),"{}")</f>
        <v>{}</v>
      </c>
      <c r="M723" s="148">
        <f>IFERROR(__xludf.DUMMYFUNCTION("""COMPUTED_VALUE"""),1000.0)</f>
        <v>1000</v>
      </c>
      <c r="N723" s="148">
        <f>IFERROR(__xludf.DUMMYFUNCTION("""COMPUTED_VALUE"""),999999.0)</f>
        <v>999999</v>
      </c>
      <c r="O723" s="148">
        <f>IFERROR(__xludf.DUMMYFUNCTION("""COMPUTED_VALUE"""),99999.0)</f>
        <v>99999</v>
      </c>
      <c r="P723" s="148">
        <f>IFERROR(__xludf.DUMMYFUNCTION("""COMPUTED_VALUE"""),1.0)</f>
        <v>1</v>
      </c>
      <c r="Q723" s="148" t="str">
        <f>IFERROR(__xludf.DUMMYFUNCTION("""COMPUTED_VALUE"""),"[""bag_other""]")</f>
        <v>["bag_other"]</v>
      </c>
      <c r="R723" s="148" t="str">
        <f>IFERROR(__xludf.DUMMYFUNCTION("""COMPUTED_VALUE"""),"[""bag""]")</f>
        <v>["bag"]</v>
      </c>
      <c r="S723" s="148" t="str">
        <f>IFERROR(__xludf.DUMMYFUNCTION("""COMPUTED_VALUE"""),"{""effect"":[{""typ"":""red_pack"",""id"":20290018}]}")</f>
        <v>{"effect":[{"typ":"red_pack","id":20290018}]}</v>
      </c>
      <c r="T723" s="148">
        <f>IFERROR(__xludf.DUMMYFUNCTION("""COMPUTED_VALUE"""),1.0)</f>
        <v>1</v>
      </c>
      <c r="U723" s="148">
        <f>IFERROR(__xludf.DUMMYFUNCTION("""COMPUTED_VALUE"""),0.0)</f>
        <v>0</v>
      </c>
      <c r="V723" s="148" t="str">
        <f>IFERROR(__xludf.DUMMYFUNCTION("""COMPUTED_VALUE"""),"[]")</f>
        <v>[]</v>
      </c>
      <c r="W723" s="148">
        <f>IFERROR(__xludf.DUMMYFUNCTION("""COMPUTED_VALUE"""),1.174E7)</f>
        <v>11740000</v>
      </c>
      <c r="X723" s="148">
        <f>IFERROR(__xludf.DUMMYFUNCTION("""COMPUTED_VALUE"""),0.0)</f>
        <v>0</v>
      </c>
      <c r="Y723" s="148">
        <f>IFERROR(__xludf.DUMMYFUNCTION("""COMPUTED_VALUE"""),0.0)</f>
        <v>0</v>
      </c>
      <c r="Z723" s="148"/>
    </row>
    <row r="724">
      <c r="A724" s="148">
        <f>IFERROR(__xludf.DUMMYFUNCTION("""COMPUTED_VALUE"""),1.1112521E7)</f>
        <v>11112521</v>
      </c>
      <c r="B724" s="148" t="str">
        <f>IFERROR(__xludf.DUMMYFUNCTION("""COMPUTED_VALUE"""),"复活节2025-主城特效")</f>
        <v>复活节2025-主城特效</v>
      </c>
      <c r="C724" s="148"/>
      <c r="D724" s="148" t="str">
        <f>IFERROR(__xludf.DUMMYFUNCTION("""COMPUTED_VALUE"""),"city_effect")</f>
        <v>city_effect</v>
      </c>
      <c r="E724" s="148">
        <f>IFERROR(__xludf.DUMMYFUNCTION("""COMPUTED_VALUE"""),0.0)</f>
        <v>0</v>
      </c>
      <c r="F724" s="148">
        <f>IFERROR(__xludf.DUMMYFUNCTION("""COMPUTED_VALUE"""),405217.0)</f>
        <v>405217</v>
      </c>
      <c r="G724" s="148">
        <f>IFERROR(__xludf.DUMMYFUNCTION("""COMPUTED_VALUE"""),1.51101661E8)</f>
        <v>151101661</v>
      </c>
      <c r="H724" s="148">
        <f>IFERROR(__xludf.DUMMYFUNCTION("""COMPUTED_VALUE"""),1.5112564E7)</f>
        <v>15112564</v>
      </c>
      <c r="I724" s="148" t="str">
        <f>IFERROR(__xludf.DUMMYFUNCTION("""COMPUTED_VALUE"""),"{}")</f>
        <v>{}</v>
      </c>
      <c r="J724" s="148" t="str">
        <f>IFERROR(__xludf.DUMMYFUNCTION("""COMPUTED_VALUE"""),"{""typ"":""lc"",""txt"":""LC_ITEM_2025easter_city_effect_name""}")</f>
        <v>{"typ":"lc","txt":"LC_ITEM_2025easter_city_effect_name"}</v>
      </c>
      <c r="K724" s="148" t="str">
        <f>IFERROR(__xludf.DUMMYFUNCTION("""COMPUTED_VALUE"""),"{""typ"":""lc"",""txt"":""LC_ITEM_2025easter_city_effect_desc""}")</f>
        <v>{"typ":"lc","txt":"LC_ITEM_2025easter_city_effect_desc"}</v>
      </c>
      <c r="L724" s="148" t="str">
        <f>IFERROR(__xludf.DUMMYFUNCTION("""COMPUTED_VALUE"""),"{}")</f>
        <v>{}</v>
      </c>
      <c r="M724" s="148">
        <f>IFERROR(__xludf.DUMMYFUNCTION("""COMPUTED_VALUE"""),10000.0)</f>
        <v>10000</v>
      </c>
      <c r="N724" s="148">
        <f>IFERROR(__xludf.DUMMYFUNCTION("""COMPUTED_VALUE"""),999999.0)</f>
        <v>999999</v>
      </c>
      <c r="O724" s="148">
        <f>IFERROR(__xludf.DUMMYFUNCTION("""COMPUTED_VALUE"""),99999.0)</f>
        <v>99999</v>
      </c>
      <c r="P724" s="148">
        <f>IFERROR(__xludf.DUMMYFUNCTION("""COMPUTED_VALUE"""),1.0)</f>
        <v>1</v>
      </c>
      <c r="Q724" s="148" t="str">
        <f>IFERROR(__xludf.DUMMYFUNCTION("""COMPUTED_VALUE"""),"[""bag_other""]")</f>
        <v>["bag_other"]</v>
      </c>
      <c r="R724" s="148" t="str">
        <f>IFERROR(__xludf.DUMMYFUNCTION("""COMPUTED_VALUE"""),"[""bag"",""13871009""]")</f>
        <v>["bag","13871009"]</v>
      </c>
      <c r="S724" s="148" t="str">
        <f>IFERROR(__xludf.DUMMYFUNCTION("""COMPUTED_VALUE"""),"{""effect"":[{""typ"":""city_effect"",""id"":13871009,""val"":-1},{""typ"":""item"",""id"":11111034,""val"":10}]}")</f>
        <v>{"effect":[{"typ":"city_effect","id":13871009,"val":-1},{"typ":"item","id":11111034,"val":10}]}</v>
      </c>
      <c r="T724" s="148">
        <f>IFERROR(__xludf.DUMMYFUNCTION("""COMPUTED_VALUE"""),-1.0)</f>
        <v>-1</v>
      </c>
      <c r="U724" s="148">
        <f>IFERROR(__xludf.DUMMYFUNCTION("""COMPUTED_VALUE"""),0.0)</f>
        <v>0</v>
      </c>
      <c r="V724" s="148" t="str">
        <f>IFERROR(__xludf.DUMMYFUNCTION("""COMPUTED_VALUE"""),"[]")</f>
        <v>[]</v>
      </c>
      <c r="W724" s="148">
        <f>IFERROR(__xludf.DUMMYFUNCTION("""COMPUTED_VALUE"""),1.174E7)</f>
        <v>11740000</v>
      </c>
      <c r="X724" s="148">
        <f>IFERROR(__xludf.DUMMYFUNCTION("""COMPUTED_VALUE"""),0.0)</f>
        <v>0</v>
      </c>
      <c r="Y724" s="148">
        <f>IFERROR(__xludf.DUMMYFUNCTION("""COMPUTED_VALUE"""),0.0)</f>
        <v>0</v>
      </c>
      <c r="Z724" s="148"/>
    </row>
    <row r="725">
      <c r="A725" s="148">
        <f>IFERROR(__xludf.DUMMYFUNCTION("""COMPUTED_VALUE"""),1.1112522E7)</f>
        <v>11112522</v>
      </c>
      <c r="B725" s="148" t="str">
        <f>IFERROR(__xludf.DUMMYFUNCTION("""COMPUTED_VALUE"""),"对对碰bp-豪华通行证")</f>
        <v>对对碰bp-豪华通行证</v>
      </c>
      <c r="C725" s="148"/>
      <c r="D725" s="148" t="str">
        <f>IFERROR(__xludf.DUMMYFUNCTION("""COMPUTED_VALUE"""),"battle_pass_card")</f>
        <v>battle_pass_card</v>
      </c>
      <c r="E725" s="148">
        <f>IFERROR(__xludf.DUMMYFUNCTION("""COMPUTED_VALUE"""),0.0)</f>
        <v>0</v>
      </c>
      <c r="F725" s="148">
        <f>IFERROR(__xludf.DUMMYFUNCTION("""COMPUTED_VALUE"""),0.0)</f>
        <v>0</v>
      </c>
      <c r="G725" s="148">
        <f>IFERROR(__xludf.DUMMYFUNCTION("""COMPUTED_VALUE"""),1.5119217E7)</f>
        <v>15119217</v>
      </c>
      <c r="H725" s="148">
        <f>IFERROR(__xludf.DUMMYFUNCTION("""COMPUTED_VALUE"""),1.5112564E7)</f>
        <v>15112564</v>
      </c>
      <c r="I725" s="148" t="str">
        <f>IFERROR(__xludf.DUMMYFUNCTION("""COMPUTED_VALUE"""),"{}")</f>
        <v>{}</v>
      </c>
      <c r="J725" s="148" t="str">
        <f>IFERROR(__xludf.DUMMYFUNCTION("""COMPUTED_VALUE"""),"{""typ"":""lc"",""txt"":""LC_EVENT_gift_bp_pay1_reward""}")</f>
        <v>{"typ":"lc","txt":"LC_EVENT_gift_bp_pay1_reward"}</v>
      </c>
      <c r="K725" s="148" t="str">
        <f>IFERROR(__xludf.DUMMYFUNCTION("""COMPUTED_VALUE"""),"{}")</f>
        <v>{}</v>
      </c>
      <c r="L725" s="148" t="str">
        <f>IFERROR(__xludf.DUMMYFUNCTION("""COMPUTED_VALUE"""),"{}")</f>
        <v>{}</v>
      </c>
      <c r="M725" s="148">
        <f>IFERROR(__xludf.DUMMYFUNCTION("""COMPUTED_VALUE"""),10.0)</f>
        <v>10</v>
      </c>
      <c r="N725" s="148">
        <f>IFERROR(__xludf.DUMMYFUNCTION("""COMPUTED_VALUE"""),999999.0)</f>
        <v>999999</v>
      </c>
      <c r="O725" s="148">
        <f>IFERROR(__xludf.DUMMYFUNCTION("""COMPUTED_VALUE"""),99999.0)</f>
        <v>99999</v>
      </c>
      <c r="P725" s="148">
        <f>IFERROR(__xludf.DUMMYFUNCTION("""COMPUTED_VALUE"""),9999.0)</f>
        <v>9999</v>
      </c>
      <c r="Q725" s="148" t="str">
        <f>IFERROR(__xludf.DUMMYFUNCTION("""COMPUTED_VALUE"""),"[]")</f>
        <v>[]</v>
      </c>
      <c r="R725" s="148" t="str">
        <f>IFERROR(__xludf.DUMMYFUNCTION("""COMPUTED_VALUE"""),"[]")</f>
        <v>[]</v>
      </c>
      <c r="S725" s="148" t="str">
        <f>IFERROR(__xludf.DUMMYFUNCTION("""COMPUTED_VALUE"""),"{}")</f>
        <v>{}</v>
      </c>
      <c r="T725" s="148">
        <f>IFERROR(__xludf.DUMMYFUNCTION("""COMPUTED_VALUE"""),-1.0)</f>
        <v>-1</v>
      </c>
      <c r="U725" s="148">
        <f>IFERROR(__xludf.DUMMYFUNCTION("""COMPUTED_VALUE"""),1.0)</f>
        <v>1</v>
      </c>
      <c r="V725" s="148" t="str">
        <f>IFERROR(__xludf.DUMMYFUNCTION("""COMPUTED_VALUE"""),"[]")</f>
        <v>[]</v>
      </c>
      <c r="W725" s="148">
        <f>IFERROR(__xludf.DUMMYFUNCTION("""COMPUTED_VALUE"""),1.174E7)</f>
        <v>11740000</v>
      </c>
      <c r="X725" s="148">
        <f>IFERROR(__xludf.DUMMYFUNCTION("""COMPUTED_VALUE"""),0.0)</f>
        <v>0</v>
      </c>
      <c r="Y725" s="148">
        <f>IFERROR(__xludf.DUMMYFUNCTION("""COMPUTED_VALUE"""),0.0)</f>
        <v>0</v>
      </c>
      <c r="Z725" s="148"/>
    </row>
    <row r="726">
      <c r="A726" s="148">
        <f>IFERROR(__xludf.DUMMYFUNCTION("""COMPUTED_VALUE"""),1.1112523E7)</f>
        <v>11112523</v>
      </c>
      <c r="B726" s="148" t="str">
        <f>IFERROR(__xludf.DUMMYFUNCTION("""COMPUTED_VALUE"""),"对对碰bp-典藏通行证")</f>
        <v>对对碰bp-典藏通行证</v>
      </c>
      <c r="C726" s="148"/>
      <c r="D726" s="148" t="str">
        <f>IFERROR(__xludf.DUMMYFUNCTION("""COMPUTED_VALUE"""),"battle_pass_card")</f>
        <v>battle_pass_card</v>
      </c>
      <c r="E726" s="148">
        <f>IFERROR(__xludf.DUMMYFUNCTION("""COMPUTED_VALUE"""),0.0)</f>
        <v>0</v>
      </c>
      <c r="F726" s="148">
        <f>IFERROR(__xludf.DUMMYFUNCTION("""COMPUTED_VALUE"""),0.0)</f>
        <v>0</v>
      </c>
      <c r="G726" s="148">
        <f>IFERROR(__xludf.DUMMYFUNCTION("""COMPUTED_VALUE"""),1.5119217E7)</f>
        <v>15119217</v>
      </c>
      <c r="H726" s="148">
        <f>IFERROR(__xludf.DUMMYFUNCTION("""COMPUTED_VALUE"""),1.5112564E7)</f>
        <v>15112564</v>
      </c>
      <c r="I726" s="148" t="str">
        <f>IFERROR(__xludf.DUMMYFUNCTION("""COMPUTED_VALUE"""),"{}")</f>
        <v>{}</v>
      </c>
      <c r="J726" s="148" t="str">
        <f>IFERROR(__xludf.DUMMYFUNCTION("""COMPUTED_VALUE"""),"{""typ"":""lc"",""txt"":""LC_EVENT_gift_bp_pay2_reward""}")</f>
        <v>{"typ":"lc","txt":"LC_EVENT_gift_bp_pay2_reward"}</v>
      </c>
      <c r="K726" s="148" t="str">
        <f>IFERROR(__xludf.DUMMYFUNCTION("""COMPUTED_VALUE"""),"{}")</f>
        <v>{}</v>
      </c>
      <c r="L726" s="148" t="str">
        <f>IFERROR(__xludf.DUMMYFUNCTION("""COMPUTED_VALUE"""),"{}")</f>
        <v>{}</v>
      </c>
      <c r="M726" s="148">
        <f>IFERROR(__xludf.DUMMYFUNCTION("""COMPUTED_VALUE"""),10.0)</f>
        <v>10</v>
      </c>
      <c r="N726" s="148">
        <f>IFERROR(__xludf.DUMMYFUNCTION("""COMPUTED_VALUE"""),999999.0)</f>
        <v>999999</v>
      </c>
      <c r="O726" s="148">
        <f>IFERROR(__xludf.DUMMYFUNCTION("""COMPUTED_VALUE"""),99999.0)</f>
        <v>99999</v>
      </c>
      <c r="P726" s="148">
        <f>IFERROR(__xludf.DUMMYFUNCTION("""COMPUTED_VALUE"""),9999.0)</f>
        <v>9999</v>
      </c>
      <c r="Q726" s="148" t="str">
        <f>IFERROR(__xludf.DUMMYFUNCTION("""COMPUTED_VALUE"""),"[]")</f>
        <v>[]</v>
      </c>
      <c r="R726" s="148" t="str">
        <f>IFERROR(__xludf.DUMMYFUNCTION("""COMPUTED_VALUE"""),"[]")</f>
        <v>[]</v>
      </c>
      <c r="S726" s="148" t="str">
        <f>IFERROR(__xludf.DUMMYFUNCTION("""COMPUTED_VALUE"""),"{}")</f>
        <v>{}</v>
      </c>
      <c r="T726" s="148">
        <f>IFERROR(__xludf.DUMMYFUNCTION("""COMPUTED_VALUE"""),-1.0)</f>
        <v>-1</v>
      </c>
      <c r="U726" s="148">
        <f>IFERROR(__xludf.DUMMYFUNCTION("""COMPUTED_VALUE"""),1.0)</f>
        <v>1</v>
      </c>
      <c r="V726" s="148" t="str">
        <f>IFERROR(__xludf.DUMMYFUNCTION("""COMPUTED_VALUE"""),"[]")</f>
        <v>[]</v>
      </c>
      <c r="W726" s="148">
        <f>IFERROR(__xludf.DUMMYFUNCTION("""COMPUTED_VALUE"""),1.174E7)</f>
        <v>11740000</v>
      </c>
      <c r="X726" s="148">
        <f>IFERROR(__xludf.DUMMYFUNCTION("""COMPUTED_VALUE"""),0.0)</f>
        <v>0</v>
      </c>
      <c r="Y726" s="148">
        <f>IFERROR(__xludf.DUMMYFUNCTION("""COMPUTED_VALUE"""),0.0)</f>
        <v>0</v>
      </c>
      <c r="Z726" s="148"/>
    </row>
    <row r="727">
      <c r="A727" s="148">
        <f>IFERROR(__xludf.DUMMYFUNCTION("""COMPUTED_VALUE"""),1.1112524E7)</f>
        <v>11112524</v>
      </c>
      <c r="B727" s="148" t="str">
        <f>IFERROR(__xludf.DUMMYFUNCTION("""COMPUTED_VALUE"""),"对对碰bp-升级道具1")</f>
        <v>对对碰bp-升级道具1</v>
      </c>
      <c r="C727" s="148"/>
      <c r="D727" s="148" t="str">
        <f>IFERROR(__xludf.DUMMYFUNCTION("""COMPUTED_VALUE"""),"battle_pass_exp")</f>
        <v>battle_pass_exp</v>
      </c>
      <c r="E727" s="148">
        <f>IFERROR(__xludf.DUMMYFUNCTION("""COMPUTED_VALUE"""),0.0)</f>
        <v>0</v>
      </c>
      <c r="F727" s="148">
        <f>IFERROR(__xludf.DUMMYFUNCTION("""COMPUTED_VALUE"""),405218.0)</f>
        <v>405218</v>
      </c>
      <c r="G727" s="148">
        <f>IFERROR(__xludf.DUMMYFUNCTION("""COMPUTED_VALUE"""),1.51100894E8)</f>
        <v>151100894</v>
      </c>
      <c r="H727" s="148">
        <f>IFERROR(__xludf.DUMMYFUNCTION("""COMPUTED_VALUE"""),1.5112563E7)</f>
        <v>15112563</v>
      </c>
      <c r="I727" s="148" t="str">
        <f>IFERROR(__xludf.DUMMYFUNCTION("""COMPUTED_VALUE"""),"{}")</f>
        <v>{}</v>
      </c>
      <c r="J727" s="148" t="str">
        <f>IFERROR(__xludf.DUMMYFUNCTION("""COMPUTED_VALUE"""),"{""typ"":""lc"",""txt"":""LC_EVENT_gift_bp_expitem_name""}")</f>
        <v>{"typ":"lc","txt":"LC_EVENT_gift_bp_expitem_name"}</v>
      </c>
      <c r="K727" s="148" t="str">
        <f>IFERROR(__xludf.DUMMYFUNCTION("""COMPUTED_VALUE"""),"{""typ"":""lc"",""txt"":""LC_EVENT_gift_bp_expitem_desc""}")</f>
        <v>{"typ":"lc","txt":"LC_EVENT_gift_bp_expitem_desc"}</v>
      </c>
      <c r="L727" s="148" t="str">
        <f>IFERROR(__xludf.DUMMYFUNCTION("""COMPUTED_VALUE"""),"{}")</f>
        <v>{}</v>
      </c>
      <c r="M727" s="148">
        <f>IFERROR(__xludf.DUMMYFUNCTION("""COMPUTED_VALUE"""),6.0)</f>
        <v>6</v>
      </c>
      <c r="N727" s="148">
        <f>IFERROR(__xludf.DUMMYFUNCTION("""COMPUTED_VALUE"""),999999.0)</f>
        <v>999999</v>
      </c>
      <c r="O727" s="148">
        <f>IFERROR(__xludf.DUMMYFUNCTION("""COMPUTED_VALUE"""),99999.0)</f>
        <v>99999</v>
      </c>
      <c r="P727" s="148">
        <f>IFERROR(__xludf.DUMMYFUNCTION("""COMPUTED_VALUE"""),99999.0)</f>
        <v>99999</v>
      </c>
      <c r="Q727" s="148" t="str">
        <f>IFERROR(__xludf.DUMMYFUNCTION("""COMPUTED_VALUE"""),"[""bag_other""]")</f>
        <v>["bag_other"]</v>
      </c>
      <c r="R727" s="148" t="str">
        <f>IFERROR(__xludf.DUMMYFUNCTION("""COMPUTED_VALUE"""),"[]")</f>
        <v>[]</v>
      </c>
      <c r="S727" s="148" t="str">
        <f>IFERROR(__xludf.DUMMYFUNCTION("""COMPUTED_VALUE"""),"{""effect"":[{""typ"":""event"",""id"":21127247},{""typ"":""miss_lost_reward""}]}")</f>
        <v>{"effect":[{"typ":"event","id":21127247},{"typ":"miss_lost_reward"}]}</v>
      </c>
      <c r="T727" s="148">
        <f>IFERROR(__xludf.DUMMYFUNCTION("""COMPUTED_VALUE"""),-1.0)</f>
        <v>-1</v>
      </c>
      <c r="U727" s="148">
        <f>IFERROR(__xludf.DUMMYFUNCTION("""COMPUTED_VALUE"""),1.0)</f>
        <v>1</v>
      </c>
      <c r="V727" s="148" t="str">
        <f>IFERROR(__xludf.DUMMYFUNCTION("""COMPUTED_VALUE"""),"[]")</f>
        <v>[]</v>
      </c>
      <c r="W727" s="148">
        <f>IFERROR(__xludf.DUMMYFUNCTION("""COMPUTED_VALUE"""),1.174E7)</f>
        <v>11740000</v>
      </c>
      <c r="X727" s="148">
        <f>IFERROR(__xludf.DUMMYFUNCTION("""COMPUTED_VALUE"""),0.0)</f>
        <v>0</v>
      </c>
      <c r="Y727" s="148">
        <f>IFERROR(__xludf.DUMMYFUNCTION("""COMPUTED_VALUE"""),0.0)</f>
        <v>0</v>
      </c>
      <c r="Z727" s="148"/>
    </row>
    <row r="728">
      <c r="A728" s="148">
        <f>IFERROR(__xludf.DUMMYFUNCTION("""COMPUTED_VALUE"""),1.1112525E7)</f>
        <v>11112525</v>
      </c>
      <c r="B728" s="148" t="str">
        <f>IFERROR(__xludf.DUMMYFUNCTION("""COMPUTED_VALUE"""),"2025拓荒节-装饰升级版本（投放用）")</f>
        <v>2025拓荒节-装饰升级版本（投放用）</v>
      </c>
      <c r="C728" s="148"/>
      <c r="D728" s="148" t="str">
        <f>IFERROR(__xludf.DUMMYFUNCTION("""COMPUTED_VALUE"""),"statue_decorate")</f>
        <v>statue_decorate</v>
      </c>
      <c r="E728" s="148">
        <f>IFERROR(__xludf.DUMMYFUNCTION("""COMPUTED_VALUE"""),23.0)</f>
        <v>23</v>
      </c>
      <c r="F728" s="148">
        <f>IFERROR(__xludf.DUMMYFUNCTION("""COMPUTED_VALUE"""),0.0)</f>
        <v>0</v>
      </c>
      <c r="G728" s="148">
        <f>IFERROR(__xludf.DUMMYFUNCTION("""COMPUTED_VALUE"""),1.51101621E8)</f>
        <v>151101621</v>
      </c>
      <c r="H728" s="148">
        <f>IFERROR(__xludf.DUMMYFUNCTION("""COMPUTED_VALUE"""),1.5112564E7)</f>
        <v>15112564</v>
      </c>
      <c r="I728" s="148" t="str">
        <f>IFERROR(__xludf.DUMMYFUNCTION("""COMPUTED_VALUE"""),"{}")</f>
        <v>{}</v>
      </c>
      <c r="J728" s="148" t="str">
        <f>IFERROR(__xludf.DUMMYFUNCTION("""COMPUTED_VALUE"""),"{""typ"":""lc"",""txt"":""LC_ITEM_2025labor_dec_item_2""}")</f>
        <v>{"typ":"lc","txt":"LC_ITEM_2025labor_dec_item_2"}</v>
      </c>
      <c r="K728" s="148" t="str">
        <f>IFERROR(__xludf.DUMMYFUNCTION("""COMPUTED_VALUE"""),"{""typ"":""lc"",""txt"":""LC_ITEM_2025labor_dec_item_3_desc""}")</f>
        <v>{"typ":"lc","txt":"LC_ITEM_2025labor_dec_item_3_desc"}</v>
      </c>
      <c r="L728" s="148" t="str">
        <f>IFERROR(__xludf.DUMMYFUNCTION("""COMPUTED_VALUE"""),"{}")</f>
        <v>{}</v>
      </c>
      <c r="M728" s="148">
        <f>IFERROR(__xludf.DUMMYFUNCTION("""COMPUTED_VALUE"""),5000.0)</f>
        <v>5000</v>
      </c>
      <c r="N728" s="148">
        <f>IFERROR(__xludf.DUMMYFUNCTION("""COMPUTED_VALUE"""),999.0)</f>
        <v>999</v>
      </c>
      <c r="O728" s="148">
        <f>IFERROR(__xludf.DUMMYFUNCTION("""COMPUTED_VALUE"""),99999.0)</f>
        <v>99999</v>
      </c>
      <c r="P728" s="148">
        <f>IFERROR(__xludf.DUMMYFUNCTION("""COMPUTED_VALUE"""),99999.0)</f>
        <v>99999</v>
      </c>
      <c r="Q728" s="148" t="str">
        <f>IFERROR(__xludf.DUMMYFUNCTION("""COMPUTED_VALUE"""),"[]")</f>
        <v>[]</v>
      </c>
      <c r="R728" s="148" t="str">
        <f>IFERROR(__xludf.DUMMYFUNCTION("""COMPUTED_VALUE"""),"[""bag""]")</f>
        <v>["bag"]</v>
      </c>
      <c r="S728" s="148" t="str">
        <f>IFERROR(__xludf.DUMMYFUNCTION("""COMPUTED_VALUE"""),"{""effect"":[{""typ"":""holiday_statue"",""id"":21482801}]}")</f>
        <v>{"effect":[{"typ":"holiday_statue","id":21482801}]}</v>
      </c>
      <c r="T728" s="148">
        <f>IFERROR(__xludf.DUMMYFUNCTION("""COMPUTED_VALUE"""),-1.0)</f>
        <v>-1</v>
      </c>
      <c r="U728" s="148">
        <f>IFERROR(__xludf.DUMMYFUNCTION("""COMPUTED_VALUE"""),1.0)</f>
        <v>1</v>
      </c>
      <c r="V728" s="148" t="str">
        <f>IFERROR(__xludf.DUMMYFUNCTION("""COMPUTED_VALUE"""),"[]")</f>
        <v>[]</v>
      </c>
      <c r="W728" s="148">
        <f>IFERROR(__xludf.DUMMYFUNCTION("""COMPUTED_VALUE"""),1.174E7)</f>
        <v>11740000</v>
      </c>
      <c r="X728" s="148">
        <f>IFERROR(__xludf.DUMMYFUNCTION("""COMPUTED_VALUE"""),0.0)</f>
        <v>0</v>
      </c>
      <c r="Y728" s="148">
        <f>IFERROR(__xludf.DUMMYFUNCTION("""COMPUTED_VALUE"""),0.0)</f>
        <v>0</v>
      </c>
      <c r="Z728" s="148"/>
    </row>
    <row r="729">
      <c r="A729" s="148">
        <f>IFERROR(__xludf.DUMMYFUNCTION("""COMPUTED_VALUE"""),1.1112526E7)</f>
        <v>11112526</v>
      </c>
      <c r="B729" s="148" t="str">
        <f>IFERROR(__xludf.DUMMYFUNCTION("""COMPUTED_VALUE"""),"2025拓荒节-装饰升级道具")</f>
        <v>2025拓荒节-装饰升级道具</v>
      </c>
      <c r="C729" s="148"/>
      <c r="D729" s="148" t="str">
        <f>IFERROR(__xludf.DUMMYFUNCTION("""COMPUTED_VALUE"""),"event")</f>
        <v>event</v>
      </c>
      <c r="E729" s="148">
        <f>IFERROR(__xludf.DUMMYFUNCTION("""COMPUTED_VALUE"""),0.0)</f>
        <v>0</v>
      </c>
      <c r="F729" s="148">
        <f>IFERROR(__xludf.DUMMYFUNCTION("""COMPUTED_VALUE"""),405243.0)</f>
        <v>405243</v>
      </c>
      <c r="G729" s="148">
        <f>IFERROR(__xludf.DUMMYFUNCTION("""COMPUTED_VALUE"""),1.51101621E8)</f>
        <v>151101621</v>
      </c>
      <c r="H729" s="148">
        <f>IFERROR(__xludf.DUMMYFUNCTION("""COMPUTED_VALUE"""),1.5112564E7)</f>
        <v>15112564</v>
      </c>
      <c r="I729" s="148" t="str">
        <f>IFERROR(__xludf.DUMMYFUNCTION("""COMPUTED_VALUE"""),"{}")</f>
        <v>{}</v>
      </c>
      <c r="J729" s="148" t="str">
        <f>IFERROR(__xludf.DUMMYFUNCTION("""COMPUTED_VALUE"""),"{""typ"":""lc"",""txt"":""LC_ITEM_2025labor_dec_item_2""}")</f>
        <v>{"typ":"lc","txt":"LC_ITEM_2025labor_dec_item_2"}</v>
      </c>
      <c r="K729" s="148" t="str">
        <f>IFERROR(__xludf.DUMMYFUNCTION("""COMPUTED_VALUE"""),"{""typ"":""lc"",""txt"":""LC_ITEM_2025labor_dec_item_3_desc""}")</f>
        <v>{"typ":"lc","txt":"LC_ITEM_2025labor_dec_item_3_desc"}</v>
      </c>
      <c r="L729" s="148" t="str">
        <f>IFERROR(__xludf.DUMMYFUNCTION("""COMPUTED_VALUE"""),"{}")</f>
        <v>{}</v>
      </c>
      <c r="M729" s="148">
        <f>IFERROR(__xludf.DUMMYFUNCTION("""COMPUTED_VALUE"""),1000.0)</f>
        <v>1000</v>
      </c>
      <c r="N729" s="148">
        <f>IFERROR(__xludf.DUMMYFUNCTION("""COMPUTED_VALUE"""),9.99999999E8)</f>
        <v>999999999</v>
      </c>
      <c r="O729" s="148">
        <f>IFERROR(__xludf.DUMMYFUNCTION("""COMPUTED_VALUE"""),9.99999999E8)</f>
        <v>999999999</v>
      </c>
      <c r="P729" s="148">
        <f>IFERROR(__xludf.DUMMYFUNCTION("""COMPUTED_VALUE"""),9.99999999E8)</f>
        <v>999999999</v>
      </c>
      <c r="Q729" s="148" t="str">
        <f>IFERROR(__xludf.DUMMYFUNCTION("""COMPUTED_VALUE"""),"[""bag_other""]")</f>
        <v>["bag_other"]</v>
      </c>
      <c r="R729" s="148" t="str">
        <f>IFERROR(__xludf.DUMMYFUNCTION("""COMPUTED_VALUE"""),"[]")</f>
        <v>[]</v>
      </c>
      <c r="S729" s="148" t="str">
        <f>IFERROR(__xludf.DUMMYFUNCTION("""COMPUTED_VALUE"""),"{}")</f>
        <v>{}</v>
      </c>
      <c r="T729" s="148">
        <f>IFERROR(__xludf.DUMMYFUNCTION("""COMPUTED_VALUE"""),-1.0)</f>
        <v>-1</v>
      </c>
      <c r="U729" s="148">
        <f>IFERROR(__xludf.DUMMYFUNCTION("""COMPUTED_VALUE"""),0.0)</f>
        <v>0</v>
      </c>
      <c r="V729" s="148" t="str">
        <f>IFERROR(__xludf.DUMMYFUNCTION("""COMPUTED_VALUE"""),"[]")</f>
        <v>[]</v>
      </c>
      <c r="W729" s="148">
        <f>IFERROR(__xludf.DUMMYFUNCTION("""COMPUTED_VALUE"""),1.174E7)</f>
        <v>11740000</v>
      </c>
      <c r="X729" s="148">
        <f>IFERROR(__xludf.DUMMYFUNCTION("""COMPUTED_VALUE"""),0.0)</f>
        <v>0</v>
      </c>
      <c r="Y729" s="148">
        <f>IFERROR(__xludf.DUMMYFUNCTION("""COMPUTED_VALUE"""),0.0)</f>
        <v>0</v>
      </c>
      <c r="Z729" s="148"/>
    </row>
    <row r="730">
      <c r="A730" s="148">
        <f>IFERROR(__xludf.DUMMYFUNCTION("""COMPUTED_VALUE"""),1.1112527E7)</f>
        <v>11112527</v>
      </c>
      <c r="B730" s="148" t="str">
        <f>IFERROR(__xludf.DUMMYFUNCTION("""COMPUTED_VALUE"""),"拓荒节2025gacha专用-增加大奖抽奖次数")</f>
        <v>拓荒节2025gacha专用-增加大奖抽奖次数</v>
      </c>
      <c r="C730" s="148"/>
      <c r="D730" s="148" t="str">
        <f>IFERROR(__xludf.DUMMYFUNCTION("""COMPUTED_VALUE"""),"event")</f>
        <v>event</v>
      </c>
      <c r="E730" s="148">
        <f>IFERROR(__xludf.DUMMYFUNCTION("""COMPUTED_VALUE"""),0.0)</f>
        <v>0</v>
      </c>
      <c r="F730" s="148">
        <f>IFERROR(__xludf.DUMMYFUNCTION("""COMPUTED_VALUE"""),0.0)</f>
        <v>0</v>
      </c>
      <c r="G730" s="148">
        <f>IFERROR(__xludf.DUMMYFUNCTION("""COMPUTED_VALUE"""),1.5116809E7)</f>
        <v>15116809</v>
      </c>
      <c r="H730" s="148">
        <f>IFERROR(__xludf.DUMMYFUNCTION("""COMPUTED_VALUE"""),1.5112564E7)</f>
        <v>15112564</v>
      </c>
      <c r="I730" s="148" t="str">
        <f>IFERROR(__xludf.DUMMYFUNCTION("""COMPUTED_VALUE"""),"{}")</f>
        <v>{}</v>
      </c>
      <c r="J730" s="148" t="str">
        <f>IFERROR(__xludf.DUMMYFUNCTION("""COMPUTED_VALUE"""),"{""typ"":""lc"",""txt"":""LC_ITEM_2023laborday_gacha_inner_item""}")</f>
        <v>{"typ":"lc","txt":"LC_ITEM_2023laborday_gacha_inner_item"}</v>
      </c>
      <c r="K730" s="148" t="str">
        <f>IFERROR(__xludf.DUMMYFUNCTION("""COMPUTED_VALUE"""),"{""typ"":""lc"",""txt"":""LC_ITEM_2023laborday_gacha_inner_item_desc""}")</f>
        <v>{"typ":"lc","txt":"LC_ITEM_2023laborday_gacha_inner_item_desc"}</v>
      </c>
      <c r="L730" s="148" t="str">
        <f>IFERROR(__xludf.DUMMYFUNCTION("""COMPUTED_VALUE"""),"{}")</f>
        <v>{}</v>
      </c>
      <c r="M730" s="148">
        <f>IFERROR(__xludf.DUMMYFUNCTION("""COMPUTED_VALUE"""),700.0)</f>
        <v>700</v>
      </c>
      <c r="N730" s="148">
        <f>IFERROR(__xludf.DUMMYFUNCTION("""COMPUTED_VALUE"""),9.99999999E8)</f>
        <v>999999999</v>
      </c>
      <c r="O730" s="148">
        <f>IFERROR(__xludf.DUMMYFUNCTION("""COMPUTED_VALUE"""),9.99999999E8)</f>
        <v>999999999</v>
      </c>
      <c r="P730" s="148">
        <f>IFERROR(__xludf.DUMMYFUNCTION("""COMPUTED_VALUE"""),9.99999999E8)</f>
        <v>999999999</v>
      </c>
      <c r="Q730" s="148" t="str">
        <f>IFERROR(__xludf.DUMMYFUNCTION("""COMPUTED_VALUE"""),"[]")</f>
        <v>[]</v>
      </c>
      <c r="R730" s="148" t="str">
        <f>IFERROR(__xludf.DUMMYFUNCTION("""COMPUTED_VALUE"""),"[""bag""]")</f>
        <v>["bag"]</v>
      </c>
      <c r="S730" s="148" t="str">
        <f>IFERROR(__xludf.DUMMYFUNCTION("""COMPUTED_VALUE"""),"{}")</f>
        <v>{}</v>
      </c>
      <c r="T730" s="148">
        <f>IFERROR(__xludf.DUMMYFUNCTION("""COMPUTED_VALUE"""),1.0)</f>
        <v>1</v>
      </c>
      <c r="U730" s="148">
        <f>IFERROR(__xludf.DUMMYFUNCTION("""COMPUTED_VALUE"""),0.0)</f>
        <v>0</v>
      </c>
      <c r="V730" s="148" t="str">
        <f>IFERROR(__xludf.DUMMYFUNCTION("""COMPUTED_VALUE"""),"[]")</f>
        <v>[]</v>
      </c>
      <c r="W730" s="148">
        <f>IFERROR(__xludf.DUMMYFUNCTION("""COMPUTED_VALUE"""),1.174E7)</f>
        <v>11740000</v>
      </c>
      <c r="X730" s="148">
        <f>IFERROR(__xludf.DUMMYFUNCTION("""COMPUTED_VALUE"""),0.0)</f>
        <v>0</v>
      </c>
      <c r="Y730" s="148">
        <f>IFERROR(__xludf.DUMMYFUNCTION("""COMPUTED_VALUE"""),0.0)</f>
        <v>0</v>
      </c>
      <c r="Z730" s="148"/>
    </row>
    <row r="731">
      <c r="A731" s="148">
        <f>IFERROR(__xludf.DUMMYFUNCTION("""COMPUTED_VALUE"""),1.1112528E7)</f>
        <v>11112528</v>
      </c>
      <c r="B731" s="148" t="str">
        <f>IFERROR(__xludf.DUMMYFUNCTION("""COMPUTED_VALUE"""),"主城皮肤-拓荒节高级皮肤2025")</f>
        <v>主城皮肤-拓荒节高级皮肤2025</v>
      </c>
      <c r="C731" s="148"/>
      <c r="D731" s="148" t="str">
        <f>IFERROR(__xludf.DUMMYFUNCTION("""COMPUTED_VALUE"""),"city_skin")</f>
        <v>city_skin</v>
      </c>
      <c r="E731" s="148">
        <f>IFERROR(__xludf.DUMMYFUNCTION("""COMPUTED_VALUE"""),21.0)</f>
        <v>21</v>
      </c>
      <c r="F731" s="148">
        <f>IFERROR(__xludf.DUMMYFUNCTION("""COMPUTED_VALUE"""),400106.0)</f>
        <v>400106</v>
      </c>
      <c r="G731" s="148">
        <f>IFERROR(__xludf.DUMMYFUNCTION("""COMPUTED_VALUE"""),1.51101616E8)</f>
        <v>151101616</v>
      </c>
      <c r="H731" s="148">
        <f>IFERROR(__xludf.DUMMYFUNCTION("""COMPUTED_VALUE"""),1.5115983E7)</f>
        <v>15115983</v>
      </c>
      <c r="I731" s="148" t="str">
        <f>IFERROR(__xludf.DUMMYFUNCTION("""COMPUTED_VALUE"""),"{}")</f>
        <v>{}</v>
      </c>
      <c r="J731" s="148" t="str">
        <f>IFERROR(__xludf.DUMMYFUNCTION("""COMPUTED_VALUE"""),"{""typ"":""lc"",""txt"":""LC_ITEM_2025labor_highcity_skin_title""}")</f>
        <v>{"typ":"lc","txt":"LC_ITEM_2025labor_highcity_skin_title"}</v>
      </c>
      <c r="K731" s="148" t="str">
        <f>IFERROR(__xludf.DUMMYFUNCTION("""COMPUTED_VALUE"""),"{""typ"":""lc"",""txt"":""LC_ITEM_2025labor_highskin_desc_forever""}")</f>
        <v>{"typ":"lc","txt":"LC_ITEM_2025labor_highskin_desc_forever"}</v>
      </c>
      <c r="L731" s="148" t="str">
        <f>IFERROR(__xludf.DUMMYFUNCTION("""COMPUTED_VALUE"""),"{""typ"":""lc"",""txt"":""LC_ITEM_city_skin_rocket_use_tips""}")</f>
        <v>{"typ":"lc","txt":"LC_ITEM_city_skin_rocket_use_tips"}</v>
      </c>
      <c r="M731" s="148">
        <f>IFERROR(__xludf.DUMMYFUNCTION("""COMPUTED_VALUE"""),10000.0)</f>
        <v>10000</v>
      </c>
      <c r="N731" s="148">
        <f>IFERROR(__xludf.DUMMYFUNCTION("""COMPUTED_VALUE"""),999.0)</f>
        <v>999</v>
      </c>
      <c r="O731" s="148">
        <f>IFERROR(__xludf.DUMMYFUNCTION("""COMPUTED_VALUE"""),1.0)</f>
        <v>1</v>
      </c>
      <c r="P731" s="148">
        <f>IFERROR(__xludf.DUMMYFUNCTION("""COMPUTED_VALUE"""),1.0)</f>
        <v>1</v>
      </c>
      <c r="Q731" s="148" t="str">
        <f>IFERROR(__xludf.DUMMYFUNCTION("""COMPUTED_VALUE"""),"[""bag_other""]")</f>
        <v>["bag_other"]</v>
      </c>
      <c r="R731" s="148" t="str">
        <f>IFERROR(__xludf.DUMMYFUNCTION("""COMPUTED_VALUE"""),"[""bag"",""13121069""]")</f>
        <v>["bag","13121069"]</v>
      </c>
      <c r="S731" s="148" t="str">
        <f>IFERROR(__xludf.DUMMYFUNCTION("""COMPUTED_VALUE"""),"{""effect"":[{""typ"":""city_skin"",""id"":13121069,""val"":-1},{""typ"":""item"",""id"":11111034,""val"":10}]}")</f>
        <v>{"effect":[{"typ":"city_skin","id":13121069,"val":-1},{"typ":"item","id":11111034,"val":10}]}</v>
      </c>
      <c r="T731" s="148">
        <f>IFERROR(__xludf.DUMMYFUNCTION("""COMPUTED_VALUE"""),-1.0)</f>
        <v>-1</v>
      </c>
      <c r="U731" s="148">
        <f>IFERROR(__xludf.DUMMYFUNCTION("""COMPUTED_VALUE"""),0.0)</f>
        <v>0</v>
      </c>
      <c r="V731" s="148" t="str">
        <f>IFERROR(__xludf.DUMMYFUNCTION("""COMPUTED_VALUE"""),"[]")</f>
        <v>[]</v>
      </c>
      <c r="W731" s="148">
        <f>IFERROR(__xludf.DUMMYFUNCTION("""COMPUTED_VALUE"""),1.174E7)</f>
        <v>11740000</v>
      </c>
      <c r="X731" s="148">
        <f>IFERROR(__xludf.DUMMYFUNCTION("""COMPUTED_VALUE"""),0.0)</f>
        <v>0</v>
      </c>
      <c r="Y731" s="148">
        <f>IFERROR(__xludf.DUMMYFUNCTION("""COMPUTED_VALUE"""),0.0)</f>
        <v>0</v>
      </c>
      <c r="Z731" s="148"/>
    </row>
    <row r="732">
      <c r="A732" s="148">
        <f>IFERROR(__xludf.DUMMYFUNCTION("""COMPUTED_VALUE"""),1.1112529E7)</f>
        <v>11112529</v>
      </c>
      <c r="B732" s="148" t="str">
        <f>IFERROR(__xludf.DUMMYFUNCTION("""COMPUTED_VALUE"""),"主城皮肤-拓荒节高级皮肤2025-7天")</f>
        <v>主城皮肤-拓荒节高级皮肤2025-7天</v>
      </c>
      <c r="C732" s="148"/>
      <c r="D732" s="148" t="str">
        <f>IFERROR(__xludf.DUMMYFUNCTION("""COMPUTED_VALUE"""),"city_skin")</f>
        <v>city_skin</v>
      </c>
      <c r="E732" s="148">
        <f>IFERROR(__xludf.DUMMYFUNCTION("""COMPUTED_VALUE"""),21.0)</f>
        <v>21</v>
      </c>
      <c r="F732" s="148">
        <f>IFERROR(__xludf.DUMMYFUNCTION("""COMPUTED_VALUE"""),400106.0)</f>
        <v>400106</v>
      </c>
      <c r="G732" s="148">
        <f>IFERROR(__xludf.DUMMYFUNCTION("""COMPUTED_VALUE"""),1.51101616E8)</f>
        <v>151101616</v>
      </c>
      <c r="H732" s="148">
        <f>IFERROR(__xludf.DUMMYFUNCTION("""COMPUTED_VALUE"""),1.5112564E7)</f>
        <v>15112564</v>
      </c>
      <c r="I732" s="148" t="str">
        <f>IFERROR(__xludf.DUMMYFUNCTION("""COMPUTED_VALUE"""),"{""typ"":""lc"",""txt"":""LC_ITEM_time_day_upper_show"",""args"":[{""typ"":""int"",""val"":7}]}")</f>
        <v>{"typ":"lc","txt":"LC_ITEM_time_day_upper_show","args":[{"typ":"int","val":7}]}</v>
      </c>
      <c r="J732" s="148" t="str">
        <f>IFERROR(__xludf.DUMMYFUNCTION("""COMPUTED_VALUE"""),"{""typ"":""lc"",""txt"":""LC_ITEM_2025labor_highcity_skin_title_7day""}")</f>
        <v>{"typ":"lc","txt":"LC_ITEM_2025labor_highcity_skin_title_7day"}</v>
      </c>
      <c r="K732" s="148" t="str">
        <f>IFERROR(__xludf.DUMMYFUNCTION("""COMPUTED_VALUE"""),"{""typ"":""lc"",""txt"":""LC_ITEM_2025labor_highskin_desc_7day""}")</f>
        <v>{"typ":"lc","txt":"LC_ITEM_2025labor_highskin_desc_7day"}</v>
      </c>
      <c r="L732" s="148" t="str">
        <f>IFERROR(__xludf.DUMMYFUNCTION("""COMPUTED_VALUE"""),"{""typ"":""lc"",""txt"":""LC_ITEM_city_skin_rocket_use_tips""}")</f>
        <v>{"typ":"lc","txt":"LC_ITEM_city_skin_rocket_use_tips"}</v>
      </c>
      <c r="M732" s="148">
        <f>IFERROR(__xludf.DUMMYFUNCTION("""COMPUTED_VALUE"""),10000.0)</f>
        <v>10000</v>
      </c>
      <c r="N732" s="148">
        <f>IFERROR(__xludf.DUMMYFUNCTION("""COMPUTED_VALUE"""),999.0)</f>
        <v>999</v>
      </c>
      <c r="O732" s="148">
        <f>IFERROR(__xludf.DUMMYFUNCTION("""COMPUTED_VALUE"""),1.0)</f>
        <v>1</v>
      </c>
      <c r="P732" s="148">
        <f>IFERROR(__xludf.DUMMYFUNCTION("""COMPUTED_VALUE"""),1.0)</f>
        <v>1</v>
      </c>
      <c r="Q732" s="148" t="str">
        <f>IFERROR(__xludf.DUMMYFUNCTION("""COMPUTED_VALUE"""),"[""bag_other""]")</f>
        <v>["bag_other"]</v>
      </c>
      <c r="R732" s="148" t="str">
        <f>IFERROR(__xludf.DUMMYFUNCTION("""COMPUTED_VALUE"""),"[""bag"",""13121069""]")</f>
        <v>["bag","13121069"]</v>
      </c>
      <c r="S732" s="148" t="str">
        <f>IFERROR(__xludf.DUMMYFUNCTION("""COMPUTED_VALUE"""),"{""effect"":[{""typ"":""city_skin"",""id"":13121069,""val"":604800000},{""typ"":""item"",""id"":11111021,""val"":3}]}")</f>
        <v>{"effect":[{"typ":"city_skin","id":13121069,"val":604800000},{"typ":"item","id":11111021,"val":3}]}</v>
      </c>
      <c r="T732" s="148">
        <f>IFERROR(__xludf.DUMMYFUNCTION("""COMPUTED_VALUE"""),-1.0)</f>
        <v>-1</v>
      </c>
      <c r="U732" s="148">
        <f>IFERROR(__xludf.DUMMYFUNCTION("""COMPUTED_VALUE"""),0.0)</f>
        <v>0</v>
      </c>
      <c r="V732" s="148" t="str">
        <f>IFERROR(__xludf.DUMMYFUNCTION("""COMPUTED_VALUE"""),"[]")</f>
        <v>[]</v>
      </c>
      <c r="W732" s="148">
        <f>IFERROR(__xludf.DUMMYFUNCTION("""COMPUTED_VALUE"""),1.174E7)</f>
        <v>11740000</v>
      </c>
      <c r="X732" s="148">
        <f>IFERROR(__xludf.DUMMYFUNCTION("""COMPUTED_VALUE"""),0.0)</f>
        <v>0</v>
      </c>
      <c r="Y732" s="148">
        <f>IFERROR(__xludf.DUMMYFUNCTION("""COMPUTED_VALUE"""),0.0)</f>
        <v>0</v>
      </c>
      <c r="Z732" s="148"/>
    </row>
    <row r="733">
      <c r="A733" s="148">
        <f>IFERROR(__xludf.DUMMYFUNCTION("""COMPUTED_VALUE"""),1.111253E7)</f>
        <v>11112530</v>
      </c>
      <c r="B733" s="148" t="str">
        <f>IFERROR(__xludf.DUMMYFUNCTION("""COMPUTED_VALUE"""),"主城皮肤-拓荒节高级皮肤2025-14天")</f>
        <v>主城皮肤-拓荒节高级皮肤2025-14天</v>
      </c>
      <c r="C733" s="148"/>
      <c r="D733" s="148" t="str">
        <f>IFERROR(__xludf.DUMMYFUNCTION("""COMPUTED_VALUE"""),"city_skin")</f>
        <v>city_skin</v>
      </c>
      <c r="E733" s="148">
        <f>IFERROR(__xludf.DUMMYFUNCTION("""COMPUTED_VALUE"""),21.0)</f>
        <v>21</v>
      </c>
      <c r="F733" s="148">
        <f>IFERROR(__xludf.DUMMYFUNCTION("""COMPUTED_VALUE"""),400106.0)</f>
        <v>400106</v>
      </c>
      <c r="G733" s="148">
        <f>IFERROR(__xludf.DUMMYFUNCTION("""COMPUTED_VALUE"""),1.51101616E8)</f>
        <v>151101616</v>
      </c>
      <c r="H733" s="148">
        <f>IFERROR(__xludf.DUMMYFUNCTION("""COMPUTED_VALUE"""),1.5112564E7)</f>
        <v>15112564</v>
      </c>
      <c r="I733" s="148" t="str">
        <f>IFERROR(__xludf.DUMMYFUNCTION("""COMPUTED_VALUE"""),"{""typ"":""lc"",""txt"":""LC_ITEM_time_day_upper_show"",""args"":[{""typ"":""int"",""val"":14}]}")</f>
        <v>{"typ":"lc","txt":"LC_ITEM_time_day_upper_show","args":[{"typ":"int","val":14}]}</v>
      </c>
      <c r="J733" s="148" t="str">
        <f>IFERROR(__xludf.DUMMYFUNCTION("""COMPUTED_VALUE"""),"{""typ"":""lc"",""txt"":""LC_ITEM_2025labor_highcity_skin_title_14day""}")</f>
        <v>{"typ":"lc","txt":"LC_ITEM_2025labor_highcity_skin_title_14day"}</v>
      </c>
      <c r="K733" s="148" t="str">
        <f>IFERROR(__xludf.DUMMYFUNCTION("""COMPUTED_VALUE"""),"{""typ"":""lc"",""txt"":""LC_ITEM_2025labor_highskin_desc_14day""}")</f>
        <v>{"typ":"lc","txt":"LC_ITEM_2025labor_highskin_desc_14day"}</v>
      </c>
      <c r="L733" s="148" t="str">
        <f>IFERROR(__xludf.DUMMYFUNCTION("""COMPUTED_VALUE"""),"{""typ"":""lc"",""txt"":""LC_ITEM_city_skin_rocket_use_tips""}")</f>
        <v>{"typ":"lc","txt":"LC_ITEM_city_skin_rocket_use_tips"}</v>
      </c>
      <c r="M733" s="148">
        <f>IFERROR(__xludf.DUMMYFUNCTION("""COMPUTED_VALUE"""),10000.0)</f>
        <v>10000</v>
      </c>
      <c r="N733" s="148">
        <f>IFERROR(__xludf.DUMMYFUNCTION("""COMPUTED_VALUE"""),999.0)</f>
        <v>999</v>
      </c>
      <c r="O733" s="148">
        <f>IFERROR(__xludf.DUMMYFUNCTION("""COMPUTED_VALUE"""),1.0)</f>
        <v>1</v>
      </c>
      <c r="P733" s="148">
        <f>IFERROR(__xludf.DUMMYFUNCTION("""COMPUTED_VALUE"""),1.0)</f>
        <v>1</v>
      </c>
      <c r="Q733" s="148" t="str">
        <f>IFERROR(__xludf.DUMMYFUNCTION("""COMPUTED_VALUE"""),"[""bag_other""]")</f>
        <v>["bag_other"]</v>
      </c>
      <c r="R733" s="148" t="str">
        <f>IFERROR(__xludf.DUMMYFUNCTION("""COMPUTED_VALUE"""),"[""bag"",""13121069""]")</f>
        <v>["bag","13121069"]</v>
      </c>
      <c r="S733" s="148" t="str">
        <f>IFERROR(__xludf.DUMMYFUNCTION("""COMPUTED_VALUE"""),"{""effect"":[{""typ"":""city_skin"",""id"":13121069,""val"":1209600000},{""typ"":""item"",""id"":11111021,""val"":7}]}")</f>
        <v>{"effect":[{"typ":"city_skin","id":13121069,"val":1209600000},{"typ":"item","id":11111021,"val":7}]}</v>
      </c>
      <c r="T733" s="148">
        <f>IFERROR(__xludf.DUMMYFUNCTION("""COMPUTED_VALUE"""),-1.0)</f>
        <v>-1</v>
      </c>
      <c r="U733" s="148">
        <f>IFERROR(__xludf.DUMMYFUNCTION("""COMPUTED_VALUE"""),0.0)</f>
        <v>0</v>
      </c>
      <c r="V733" s="148" t="str">
        <f>IFERROR(__xludf.DUMMYFUNCTION("""COMPUTED_VALUE"""),"[]")</f>
        <v>[]</v>
      </c>
      <c r="W733" s="148">
        <f>IFERROR(__xludf.DUMMYFUNCTION("""COMPUTED_VALUE"""),1.174E7)</f>
        <v>11740000</v>
      </c>
      <c r="X733" s="148">
        <f>IFERROR(__xludf.DUMMYFUNCTION("""COMPUTED_VALUE"""),0.0)</f>
        <v>0</v>
      </c>
      <c r="Y733" s="148">
        <f>IFERROR(__xludf.DUMMYFUNCTION("""COMPUTED_VALUE"""),0.0)</f>
        <v>0</v>
      </c>
      <c r="Z733" s="148"/>
    </row>
    <row r="734">
      <c r="A734" s="148">
        <f>IFERROR(__xludf.DUMMYFUNCTION("""COMPUTED_VALUE"""),1.1112531E7)</f>
        <v>11112531</v>
      </c>
      <c r="B734" s="148" t="str">
        <f>IFERROR(__xludf.DUMMYFUNCTION("""COMPUTED_VALUE"""),"主城皮肤-拓荒节高级皮肤2025-28天")</f>
        <v>主城皮肤-拓荒节高级皮肤2025-28天</v>
      </c>
      <c r="C734" s="148"/>
      <c r="D734" s="148" t="str">
        <f>IFERROR(__xludf.DUMMYFUNCTION("""COMPUTED_VALUE"""),"city_skin")</f>
        <v>city_skin</v>
      </c>
      <c r="E734" s="148">
        <f>IFERROR(__xludf.DUMMYFUNCTION("""COMPUTED_VALUE"""),21.0)</f>
        <v>21</v>
      </c>
      <c r="F734" s="148">
        <f>IFERROR(__xludf.DUMMYFUNCTION("""COMPUTED_VALUE"""),408197.0)</f>
        <v>408197</v>
      </c>
      <c r="G734" s="148">
        <f>IFERROR(__xludf.DUMMYFUNCTION("""COMPUTED_VALUE"""),1.51101616E8)</f>
        <v>151101616</v>
      </c>
      <c r="H734" s="148">
        <f>IFERROR(__xludf.DUMMYFUNCTION("""COMPUTED_VALUE"""),1.5112564E7)</f>
        <v>15112564</v>
      </c>
      <c r="I734" s="148" t="str">
        <f>IFERROR(__xludf.DUMMYFUNCTION("""COMPUTED_VALUE"""),"{""typ"":""lc"",""txt"":""LC_ITEM_time_day_upper_show"",""args"":[{""typ"":""int"",""val"":28}]}")</f>
        <v>{"typ":"lc","txt":"LC_ITEM_time_day_upper_show","args":[{"typ":"int","val":28}]}</v>
      </c>
      <c r="J734" s="148" t="str">
        <f>IFERROR(__xludf.DUMMYFUNCTION("""COMPUTED_VALUE"""),"{""typ"":""lc"",""txt"":""LC_ITEM_2025labor_highcity_skin_title_28day""}")</f>
        <v>{"typ":"lc","txt":"LC_ITEM_2025labor_highcity_skin_title_28day"}</v>
      </c>
      <c r="K734" s="148" t="str">
        <f>IFERROR(__xludf.DUMMYFUNCTION("""COMPUTED_VALUE"""),"{""typ"":""lc"",""txt"":""LC_ITEM_2025labor_highskin_desc_28day""}")</f>
        <v>{"typ":"lc","txt":"LC_ITEM_2025labor_highskin_desc_28day"}</v>
      </c>
      <c r="L734" s="148" t="str">
        <f>IFERROR(__xludf.DUMMYFUNCTION("""COMPUTED_VALUE"""),"{""typ"":""lc"",""txt"":""LC_ITEM_city_skin_rocket_use_tips""}")</f>
        <v>{"typ":"lc","txt":"LC_ITEM_city_skin_rocket_use_tips"}</v>
      </c>
      <c r="M734" s="148">
        <f>IFERROR(__xludf.DUMMYFUNCTION("""COMPUTED_VALUE"""),10000.0)</f>
        <v>10000</v>
      </c>
      <c r="N734" s="148">
        <f>IFERROR(__xludf.DUMMYFUNCTION("""COMPUTED_VALUE"""),999.0)</f>
        <v>999</v>
      </c>
      <c r="O734" s="148">
        <f>IFERROR(__xludf.DUMMYFUNCTION("""COMPUTED_VALUE"""),1.0)</f>
        <v>1</v>
      </c>
      <c r="P734" s="148">
        <f>IFERROR(__xludf.DUMMYFUNCTION("""COMPUTED_VALUE"""),1.0)</f>
        <v>1</v>
      </c>
      <c r="Q734" s="148" t="str">
        <f>IFERROR(__xludf.DUMMYFUNCTION("""COMPUTED_VALUE"""),"[""bag_other""]")</f>
        <v>["bag_other"]</v>
      </c>
      <c r="R734" s="148" t="str">
        <f>IFERROR(__xludf.DUMMYFUNCTION("""COMPUTED_VALUE"""),"[""bag"",""13121069""]")</f>
        <v>["bag","13121069"]</v>
      </c>
      <c r="S734" s="148" t="str">
        <f>IFERROR(__xludf.DUMMYFUNCTION("""COMPUTED_VALUE"""),"{""effect"":[{""typ"":""city_skin"",""id"":13121069,""val"":2419200000},{""typ"":""item"",""id"":11111021,""val"":15}]}")</f>
        <v>{"effect":[{"typ":"city_skin","id":13121069,"val":2419200000},{"typ":"item","id":11111021,"val":15}]}</v>
      </c>
      <c r="T734" s="148">
        <f>IFERROR(__xludf.DUMMYFUNCTION("""COMPUTED_VALUE"""),-1.0)</f>
        <v>-1</v>
      </c>
      <c r="U734" s="148">
        <f>IFERROR(__xludf.DUMMYFUNCTION("""COMPUTED_VALUE"""),0.0)</f>
        <v>0</v>
      </c>
      <c r="V734" s="148" t="str">
        <f>IFERROR(__xludf.DUMMYFUNCTION("""COMPUTED_VALUE"""),"[]")</f>
        <v>[]</v>
      </c>
      <c r="W734" s="148">
        <f>IFERROR(__xludf.DUMMYFUNCTION("""COMPUTED_VALUE"""),1.174E7)</f>
        <v>11740000</v>
      </c>
      <c r="X734" s="148">
        <f>IFERROR(__xludf.DUMMYFUNCTION("""COMPUTED_VALUE"""),0.0)</f>
        <v>0</v>
      </c>
      <c r="Y734" s="148">
        <f>IFERROR(__xludf.DUMMYFUNCTION("""COMPUTED_VALUE"""),0.0)</f>
        <v>0</v>
      </c>
      <c r="Z734" s="148"/>
    </row>
    <row r="735">
      <c r="A735" s="148">
        <f>IFERROR(__xludf.DUMMYFUNCTION("""COMPUTED_VALUE"""),1.1112532E7)</f>
        <v>11112532</v>
      </c>
      <c r="B735" s="148" t="str">
        <f>IFERROR(__xludf.DUMMYFUNCTION("""COMPUTED_VALUE"""),"主城皮肤-拓荒节2025")</f>
        <v>主城皮肤-拓荒节2025</v>
      </c>
      <c r="C735" s="148"/>
      <c r="D735" s="148" t="str">
        <f>IFERROR(__xludf.DUMMYFUNCTION("""COMPUTED_VALUE"""),"city_skin")</f>
        <v>city_skin</v>
      </c>
      <c r="E735" s="148">
        <f>IFERROR(__xludf.DUMMYFUNCTION("""COMPUTED_VALUE"""),21.0)</f>
        <v>21</v>
      </c>
      <c r="F735" s="148">
        <f>IFERROR(__xludf.DUMMYFUNCTION("""COMPUTED_VALUE"""),404201.0)</f>
        <v>404201</v>
      </c>
      <c r="G735" s="148">
        <f>IFERROR(__xludf.DUMMYFUNCTION("""COMPUTED_VALUE"""),1.51101614E8)</f>
        <v>151101614</v>
      </c>
      <c r="H735" s="148">
        <f>IFERROR(__xludf.DUMMYFUNCTION("""COMPUTED_VALUE"""),1.5112564E7)</f>
        <v>15112564</v>
      </c>
      <c r="I735" s="148" t="str">
        <f>IFERROR(__xludf.DUMMYFUNCTION("""COMPUTED_VALUE"""),"{}")</f>
        <v>{}</v>
      </c>
      <c r="J735" s="148" t="str">
        <f>IFERROR(__xludf.DUMMYFUNCTION("""COMPUTED_VALUE"""),"{""typ"":""lc"",""txt"":""LC_ITEM_2025labor_lowcity_skin_title""}")</f>
        <v>{"typ":"lc","txt":"LC_ITEM_2025labor_lowcity_skin_title"}</v>
      </c>
      <c r="K735" s="148" t="str">
        <f>IFERROR(__xludf.DUMMYFUNCTION("""COMPUTED_VALUE"""),"{""typ"":""lc"",""txt"":""LC_ITEM_2025labor_lowcity_skin_desc_forever""}")</f>
        <v>{"typ":"lc","txt":"LC_ITEM_2025labor_lowcity_skin_desc_forever"}</v>
      </c>
      <c r="L735" s="148" t="str">
        <f>IFERROR(__xludf.DUMMYFUNCTION("""COMPUTED_VALUE"""),"{""typ"":""lc"",""txt"":""LC_ITEM_city_skin_rocket_use_tips""}")</f>
        <v>{"typ":"lc","txt":"LC_ITEM_city_skin_rocket_use_tips"}</v>
      </c>
      <c r="M735" s="148">
        <f>IFERROR(__xludf.DUMMYFUNCTION("""COMPUTED_VALUE"""),10000.0)</f>
        <v>10000</v>
      </c>
      <c r="N735" s="148">
        <f>IFERROR(__xludf.DUMMYFUNCTION("""COMPUTED_VALUE"""),999.0)</f>
        <v>999</v>
      </c>
      <c r="O735" s="148">
        <f>IFERROR(__xludf.DUMMYFUNCTION("""COMPUTED_VALUE"""),1.0)</f>
        <v>1</v>
      </c>
      <c r="P735" s="148">
        <f>IFERROR(__xludf.DUMMYFUNCTION("""COMPUTED_VALUE"""),1.0)</f>
        <v>1</v>
      </c>
      <c r="Q735" s="148" t="str">
        <f>IFERROR(__xludf.DUMMYFUNCTION("""COMPUTED_VALUE"""),"[""bag_other""]")</f>
        <v>["bag_other"]</v>
      </c>
      <c r="R735" s="148" t="str">
        <f>IFERROR(__xludf.DUMMYFUNCTION("""COMPUTED_VALUE"""),"[""bag"",""13121068""]")</f>
        <v>["bag","13121068"]</v>
      </c>
      <c r="S735" s="148" t="str">
        <f>IFERROR(__xludf.DUMMYFUNCTION("""COMPUTED_VALUE"""),"{""effect"":[{""typ"":""city_skin"",""id"":13121068,""val"":-1},{""typ"":""item"",""id"":11111034,""val"":10}]}")</f>
        <v>{"effect":[{"typ":"city_skin","id":13121068,"val":-1},{"typ":"item","id":11111034,"val":10}]}</v>
      </c>
      <c r="T735" s="148">
        <f>IFERROR(__xludf.DUMMYFUNCTION("""COMPUTED_VALUE"""),-1.0)</f>
        <v>-1</v>
      </c>
      <c r="U735" s="148">
        <f>IFERROR(__xludf.DUMMYFUNCTION("""COMPUTED_VALUE"""),0.0)</f>
        <v>0</v>
      </c>
      <c r="V735" s="148" t="str">
        <f>IFERROR(__xludf.DUMMYFUNCTION("""COMPUTED_VALUE"""),"[]")</f>
        <v>[]</v>
      </c>
      <c r="W735" s="148">
        <f>IFERROR(__xludf.DUMMYFUNCTION("""COMPUTED_VALUE"""),1.174E7)</f>
        <v>11740000</v>
      </c>
      <c r="X735" s="148">
        <f>IFERROR(__xludf.DUMMYFUNCTION("""COMPUTED_VALUE"""),0.0)</f>
        <v>0</v>
      </c>
      <c r="Y735" s="148">
        <f>IFERROR(__xludf.DUMMYFUNCTION("""COMPUTED_VALUE"""),0.0)</f>
        <v>0</v>
      </c>
      <c r="Z735" s="148"/>
    </row>
    <row r="736">
      <c r="A736" s="148">
        <f>IFERROR(__xludf.DUMMYFUNCTION("""COMPUTED_VALUE"""),1.1112533E7)</f>
        <v>11112533</v>
      </c>
      <c r="B736" s="148" t="str">
        <f>IFERROR(__xludf.DUMMYFUNCTION("""COMPUTED_VALUE"""),"主城皮肤-拓荒节2025-2天")</f>
        <v>主城皮肤-拓荒节2025-2天</v>
      </c>
      <c r="C736" s="148"/>
      <c r="D736" s="148" t="str">
        <f>IFERROR(__xludf.DUMMYFUNCTION("""COMPUTED_VALUE"""),"city_skin")</f>
        <v>city_skin</v>
      </c>
      <c r="E736" s="148">
        <f>IFERROR(__xludf.DUMMYFUNCTION("""COMPUTED_VALUE"""),21.0)</f>
        <v>21</v>
      </c>
      <c r="F736" s="148">
        <f>IFERROR(__xludf.DUMMYFUNCTION("""COMPUTED_VALUE"""),404201.0)</f>
        <v>404201</v>
      </c>
      <c r="G736" s="148">
        <f>IFERROR(__xludf.DUMMYFUNCTION("""COMPUTED_VALUE"""),1.51101614E8)</f>
        <v>151101614</v>
      </c>
      <c r="H736" s="148">
        <f>IFERROR(__xludf.DUMMYFUNCTION("""COMPUTED_VALUE"""),1.5112563E7)</f>
        <v>15112563</v>
      </c>
      <c r="I736" s="148" t="str">
        <f>IFERROR(__xludf.DUMMYFUNCTION("""COMPUTED_VALUE"""),"{""typ"":""lc"",""txt"":""LC_ITEM_time_day_upper_show"",""args"":[{""typ"":""int"",""val"":2}]}")</f>
        <v>{"typ":"lc","txt":"LC_ITEM_time_day_upper_show","args":[{"typ":"int","val":2}]}</v>
      </c>
      <c r="J736" s="148" t="str">
        <f>IFERROR(__xludf.DUMMYFUNCTION("""COMPUTED_VALUE"""),"{""typ"":""lc"",""txt"":""LC_ITEM_2025labor_lowcity_skin_title_2day""}")</f>
        <v>{"typ":"lc","txt":"LC_ITEM_2025labor_lowcity_skin_title_2day"}</v>
      </c>
      <c r="K736" s="148" t="str">
        <f>IFERROR(__xludf.DUMMYFUNCTION("""COMPUTED_VALUE"""),"{""typ"":""lc"",""txt"":""LC_ITEM_2025labor_lowcity_skin_desc_2day""}")</f>
        <v>{"typ":"lc","txt":"LC_ITEM_2025labor_lowcity_skin_desc_2day"}</v>
      </c>
      <c r="L736" s="148" t="str">
        <f>IFERROR(__xludf.DUMMYFUNCTION("""COMPUTED_VALUE"""),"{""typ"":""lc"",""txt"":""LC_ITEM_city_skin_rocket_use_tips""}")</f>
        <v>{"typ":"lc","txt":"LC_ITEM_city_skin_rocket_use_tips"}</v>
      </c>
      <c r="M736" s="148">
        <f>IFERROR(__xludf.DUMMYFUNCTION("""COMPUTED_VALUE"""),10000.0)</f>
        <v>10000</v>
      </c>
      <c r="N736" s="148">
        <f>IFERROR(__xludf.DUMMYFUNCTION("""COMPUTED_VALUE"""),999.0)</f>
        <v>999</v>
      </c>
      <c r="O736" s="148">
        <f>IFERROR(__xludf.DUMMYFUNCTION("""COMPUTED_VALUE"""),1.0)</f>
        <v>1</v>
      </c>
      <c r="P736" s="148">
        <f>IFERROR(__xludf.DUMMYFUNCTION("""COMPUTED_VALUE"""),1.0)</f>
        <v>1</v>
      </c>
      <c r="Q736" s="148" t="str">
        <f>IFERROR(__xludf.DUMMYFUNCTION("""COMPUTED_VALUE"""),"[""bag_other""]")</f>
        <v>["bag_other"]</v>
      </c>
      <c r="R736" s="148" t="str">
        <f>IFERROR(__xludf.DUMMYFUNCTION("""COMPUTED_VALUE"""),"[""bag"",""13121068""]")</f>
        <v>["bag","13121068"]</v>
      </c>
      <c r="S736" s="148" t="str">
        <f>IFERROR(__xludf.DUMMYFUNCTION("""COMPUTED_VALUE"""),"{""effect"":[{""typ"":""city_skin"",""id"":13121068,""val"":172800000},{""typ"":""item"",""id"":11111021,""val"":1}]}")</f>
        <v>{"effect":[{"typ":"city_skin","id":13121068,"val":172800000},{"typ":"item","id":11111021,"val":1}]}</v>
      </c>
      <c r="T736" s="148">
        <f>IFERROR(__xludf.DUMMYFUNCTION("""COMPUTED_VALUE"""),-1.0)</f>
        <v>-1</v>
      </c>
      <c r="U736" s="148">
        <f>IFERROR(__xludf.DUMMYFUNCTION("""COMPUTED_VALUE"""),0.0)</f>
        <v>0</v>
      </c>
      <c r="V736" s="148" t="str">
        <f>IFERROR(__xludf.DUMMYFUNCTION("""COMPUTED_VALUE"""),"[]")</f>
        <v>[]</v>
      </c>
      <c r="W736" s="148">
        <f>IFERROR(__xludf.DUMMYFUNCTION("""COMPUTED_VALUE"""),1.174E7)</f>
        <v>11740000</v>
      </c>
      <c r="X736" s="148">
        <f>IFERROR(__xludf.DUMMYFUNCTION("""COMPUTED_VALUE"""),0.0)</f>
        <v>0</v>
      </c>
      <c r="Y736" s="148">
        <f>IFERROR(__xludf.DUMMYFUNCTION("""COMPUTED_VALUE"""),0.0)</f>
        <v>0</v>
      </c>
      <c r="Z736" s="148"/>
    </row>
    <row r="737">
      <c r="A737" s="148">
        <f>IFERROR(__xludf.DUMMYFUNCTION("""COMPUTED_VALUE"""),1.1112534E7)</f>
        <v>11112534</v>
      </c>
      <c r="B737" s="148" t="str">
        <f>IFERROR(__xludf.DUMMYFUNCTION("""COMPUTED_VALUE"""),"主城皮肤-拓荒节2025-7天")</f>
        <v>主城皮肤-拓荒节2025-7天</v>
      </c>
      <c r="C737" s="148"/>
      <c r="D737" s="148" t="str">
        <f>IFERROR(__xludf.DUMMYFUNCTION("""COMPUTED_VALUE"""),"city_skin")</f>
        <v>city_skin</v>
      </c>
      <c r="E737" s="148">
        <f>IFERROR(__xludf.DUMMYFUNCTION("""COMPUTED_VALUE"""),21.0)</f>
        <v>21</v>
      </c>
      <c r="F737" s="148">
        <f>IFERROR(__xludf.DUMMYFUNCTION("""COMPUTED_VALUE"""),404201.0)</f>
        <v>404201</v>
      </c>
      <c r="G737" s="148">
        <f>IFERROR(__xludf.DUMMYFUNCTION("""COMPUTED_VALUE"""),1.51101614E8)</f>
        <v>151101614</v>
      </c>
      <c r="H737" s="148">
        <f>IFERROR(__xludf.DUMMYFUNCTION("""COMPUTED_VALUE"""),1.5112564E7)</f>
        <v>15112564</v>
      </c>
      <c r="I737" s="148" t="str">
        <f>IFERROR(__xludf.DUMMYFUNCTION("""COMPUTED_VALUE"""),"{""typ"":""lc"",""txt"":""LC_ITEM_time_day_upper_show"",""args"":[{""typ"":""int"",""val"":7}]}")</f>
        <v>{"typ":"lc","txt":"LC_ITEM_time_day_upper_show","args":[{"typ":"int","val":7}]}</v>
      </c>
      <c r="J737" s="148" t="str">
        <f>IFERROR(__xludf.DUMMYFUNCTION("""COMPUTED_VALUE"""),"{""typ"":""lc"",""txt"":""LC_ITEM_2025labor_lowcity_skin_title_7day""}")</f>
        <v>{"typ":"lc","txt":"LC_ITEM_2025labor_lowcity_skin_title_7day"}</v>
      </c>
      <c r="K737" s="148" t="str">
        <f>IFERROR(__xludf.DUMMYFUNCTION("""COMPUTED_VALUE"""),"{""typ"":""lc"",""txt"":""LC_ITEM_2025labor_lowcity_skin_desc_7day""}")</f>
        <v>{"typ":"lc","txt":"LC_ITEM_2025labor_lowcity_skin_desc_7day"}</v>
      </c>
      <c r="L737" s="148" t="str">
        <f>IFERROR(__xludf.DUMMYFUNCTION("""COMPUTED_VALUE"""),"{""typ"":""lc"",""txt"":""LC_ITEM_city_skin_rocket_use_tips""}")</f>
        <v>{"typ":"lc","txt":"LC_ITEM_city_skin_rocket_use_tips"}</v>
      </c>
      <c r="M737" s="148">
        <f>IFERROR(__xludf.DUMMYFUNCTION("""COMPUTED_VALUE"""),10000.0)</f>
        <v>10000</v>
      </c>
      <c r="N737" s="148">
        <f>IFERROR(__xludf.DUMMYFUNCTION("""COMPUTED_VALUE"""),999.0)</f>
        <v>999</v>
      </c>
      <c r="O737" s="148">
        <f>IFERROR(__xludf.DUMMYFUNCTION("""COMPUTED_VALUE"""),1.0)</f>
        <v>1</v>
      </c>
      <c r="P737" s="148">
        <f>IFERROR(__xludf.DUMMYFUNCTION("""COMPUTED_VALUE"""),1.0)</f>
        <v>1</v>
      </c>
      <c r="Q737" s="148" t="str">
        <f>IFERROR(__xludf.DUMMYFUNCTION("""COMPUTED_VALUE"""),"[""bag_other""]")</f>
        <v>["bag_other"]</v>
      </c>
      <c r="R737" s="148" t="str">
        <f>IFERROR(__xludf.DUMMYFUNCTION("""COMPUTED_VALUE"""),"[""bag"",""13121068""]")</f>
        <v>["bag","13121068"]</v>
      </c>
      <c r="S737" s="148" t="str">
        <f>IFERROR(__xludf.DUMMYFUNCTION("""COMPUTED_VALUE"""),"{""effect"":[{""typ"":""city_skin"",""id"":13121068,""val"":604800000},{""typ"":""item"",""id"":11111021,""val"":3}]}")</f>
        <v>{"effect":[{"typ":"city_skin","id":13121068,"val":604800000},{"typ":"item","id":11111021,"val":3}]}</v>
      </c>
      <c r="T737" s="148">
        <f>IFERROR(__xludf.DUMMYFUNCTION("""COMPUTED_VALUE"""),-1.0)</f>
        <v>-1</v>
      </c>
      <c r="U737" s="148">
        <f>IFERROR(__xludf.DUMMYFUNCTION("""COMPUTED_VALUE"""),0.0)</f>
        <v>0</v>
      </c>
      <c r="V737" s="148" t="str">
        <f>IFERROR(__xludf.DUMMYFUNCTION("""COMPUTED_VALUE"""),"[]")</f>
        <v>[]</v>
      </c>
      <c r="W737" s="148">
        <f>IFERROR(__xludf.DUMMYFUNCTION("""COMPUTED_VALUE"""),1.174E7)</f>
        <v>11740000</v>
      </c>
      <c r="X737" s="148">
        <f>IFERROR(__xludf.DUMMYFUNCTION("""COMPUTED_VALUE"""),0.0)</f>
        <v>0</v>
      </c>
      <c r="Y737" s="148">
        <f>IFERROR(__xludf.DUMMYFUNCTION("""COMPUTED_VALUE"""),0.0)</f>
        <v>0</v>
      </c>
      <c r="Z737" s="148"/>
    </row>
    <row r="738">
      <c r="A738" s="148">
        <f>IFERROR(__xludf.DUMMYFUNCTION("""COMPUTED_VALUE"""),1.1112535E7)</f>
        <v>11112535</v>
      </c>
      <c r="B738" s="148" t="str">
        <f>IFERROR(__xludf.DUMMYFUNCTION("""COMPUTED_VALUE"""),"主城皮肤-拓荒节2025-14天")</f>
        <v>主城皮肤-拓荒节2025-14天</v>
      </c>
      <c r="C738" s="148"/>
      <c r="D738" s="148" t="str">
        <f>IFERROR(__xludf.DUMMYFUNCTION("""COMPUTED_VALUE"""),"city_skin")</f>
        <v>city_skin</v>
      </c>
      <c r="E738" s="148">
        <f>IFERROR(__xludf.DUMMYFUNCTION("""COMPUTED_VALUE"""),21.0)</f>
        <v>21</v>
      </c>
      <c r="F738" s="148">
        <f>IFERROR(__xludf.DUMMYFUNCTION("""COMPUTED_VALUE"""),404201.0)</f>
        <v>404201</v>
      </c>
      <c r="G738" s="148">
        <f>IFERROR(__xludf.DUMMYFUNCTION("""COMPUTED_VALUE"""),1.51101614E8)</f>
        <v>151101614</v>
      </c>
      <c r="H738" s="148">
        <f>IFERROR(__xludf.DUMMYFUNCTION("""COMPUTED_VALUE"""),1.5112564E7)</f>
        <v>15112564</v>
      </c>
      <c r="I738" s="148" t="str">
        <f>IFERROR(__xludf.DUMMYFUNCTION("""COMPUTED_VALUE"""),"{""typ"":""lc"",""txt"":""LC_ITEM_time_day_upper_show"",""args"":[{""typ"":""int"",""val"":14}]}")</f>
        <v>{"typ":"lc","txt":"LC_ITEM_time_day_upper_show","args":[{"typ":"int","val":14}]}</v>
      </c>
      <c r="J738" s="148" t="str">
        <f>IFERROR(__xludf.DUMMYFUNCTION("""COMPUTED_VALUE"""),"{""typ"":""lc"",""txt"":""LC_ITEM_2025labor_lowcity_skin_title_14day""}")</f>
        <v>{"typ":"lc","txt":"LC_ITEM_2025labor_lowcity_skin_title_14day"}</v>
      </c>
      <c r="K738" s="148" t="str">
        <f>IFERROR(__xludf.DUMMYFUNCTION("""COMPUTED_VALUE"""),"{""typ"":""lc"",""txt"":""LC_ITEM_2025labor_lowcity_skin_desc_14day""}")</f>
        <v>{"typ":"lc","txt":"LC_ITEM_2025labor_lowcity_skin_desc_14day"}</v>
      </c>
      <c r="L738" s="148" t="str">
        <f>IFERROR(__xludf.DUMMYFUNCTION("""COMPUTED_VALUE"""),"{""typ"":""lc"",""txt"":""LC_ITEM_city_skin_rocket_use_tips""}")</f>
        <v>{"typ":"lc","txt":"LC_ITEM_city_skin_rocket_use_tips"}</v>
      </c>
      <c r="M738" s="148">
        <f>IFERROR(__xludf.DUMMYFUNCTION("""COMPUTED_VALUE"""),10000.0)</f>
        <v>10000</v>
      </c>
      <c r="N738" s="148">
        <f>IFERROR(__xludf.DUMMYFUNCTION("""COMPUTED_VALUE"""),999.0)</f>
        <v>999</v>
      </c>
      <c r="O738" s="148">
        <f>IFERROR(__xludf.DUMMYFUNCTION("""COMPUTED_VALUE"""),1.0)</f>
        <v>1</v>
      </c>
      <c r="P738" s="148">
        <f>IFERROR(__xludf.DUMMYFUNCTION("""COMPUTED_VALUE"""),1.0)</f>
        <v>1</v>
      </c>
      <c r="Q738" s="148" t="str">
        <f>IFERROR(__xludf.DUMMYFUNCTION("""COMPUTED_VALUE"""),"[""bag_other""]")</f>
        <v>["bag_other"]</v>
      </c>
      <c r="R738" s="148" t="str">
        <f>IFERROR(__xludf.DUMMYFUNCTION("""COMPUTED_VALUE"""),"[""bag"",""13121068""]")</f>
        <v>["bag","13121068"]</v>
      </c>
      <c r="S738" s="148" t="str">
        <f>IFERROR(__xludf.DUMMYFUNCTION("""COMPUTED_VALUE"""),"{""effect"":[{""typ"":""city_skin"",""id"":13121068,""val"":1209600000},{""typ"":""item"",""id"":11111021,""val"":7}]}")</f>
        <v>{"effect":[{"typ":"city_skin","id":13121068,"val":1209600000},{"typ":"item","id":11111021,"val":7}]}</v>
      </c>
      <c r="T738" s="148">
        <f>IFERROR(__xludf.DUMMYFUNCTION("""COMPUTED_VALUE"""),-1.0)</f>
        <v>-1</v>
      </c>
      <c r="U738" s="148">
        <f>IFERROR(__xludf.DUMMYFUNCTION("""COMPUTED_VALUE"""),0.0)</f>
        <v>0</v>
      </c>
      <c r="V738" s="148" t="str">
        <f>IFERROR(__xludf.DUMMYFUNCTION("""COMPUTED_VALUE"""),"[]")</f>
        <v>[]</v>
      </c>
      <c r="W738" s="148">
        <f>IFERROR(__xludf.DUMMYFUNCTION("""COMPUTED_VALUE"""),1.174E7)</f>
        <v>11740000</v>
      </c>
      <c r="X738" s="148">
        <f>IFERROR(__xludf.DUMMYFUNCTION("""COMPUTED_VALUE"""),0.0)</f>
        <v>0</v>
      </c>
      <c r="Y738" s="148">
        <f>IFERROR(__xludf.DUMMYFUNCTION("""COMPUTED_VALUE"""),0.0)</f>
        <v>0</v>
      </c>
      <c r="Z738" s="148"/>
    </row>
    <row r="739">
      <c r="A739" s="148">
        <f>IFERROR(__xludf.DUMMYFUNCTION("""COMPUTED_VALUE"""),1.1112536E7)</f>
        <v>11112536</v>
      </c>
      <c r="B739" s="148" t="str">
        <f>IFERROR(__xludf.DUMMYFUNCTION("""COMPUTED_VALUE"""),"2025拓荒节-装饰券宝箱")</f>
        <v>2025拓荒节-装饰券宝箱</v>
      </c>
      <c r="C739" s="148"/>
      <c r="D739" s="148" t="str">
        <f>IFERROR(__xludf.DUMMYFUNCTION("""COMPUTED_VALUE"""),"valentine_reward_box")</f>
        <v>valentine_reward_box</v>
      </c>
      <c r="E739" s="148">
        <f>IFERROR(__xludf.DUMMYFUNCTION("""COMPUTED_VALUE"""),19.0)</f>
        <v>19</v>
      </c>
      <c r="F739" s="148">
        <f>IFERROR(__xludf.DUMMYFUNCTION("""COMPUTED_VALUE"""),201101.0)</f>
        <v>201101</v>
      </c>
      <c r="G739" s="148">
        <f>IFERROR(__xludf.DUMMYFUNCTION("""COMPUTED_VALUE"""),1.5118225E7)</f>
        <v>15118225</v>
      </c>
      <c r="H739" s="148">
        <f>IFERROR(__xludf.DUMMYFUNCTION("""COMPUTED_VALUE"""),1.5112564E7)</f>
        <v>15112564</v>
      </c>
      <c r="I739" s="148" t="str">
        <f>IFERROR(__xludf.DUMMYFUNCTION("""COMPUTED_VALUE"""),"{}")</f>
        <v>{}</v>
      </c>
      <c r="J739" s="148" t="str">
        <f>IFERROR(__xludf.DUMMYFUNCTION("""COMPUTED_VALUE"""),"{""typ"":""lc"",""txt"":""LC_ITEM_fes_box_name""}")</f>
        <v>{"typ":"lc","txt":"LC_ITEM_fes_box_name"}</v>
      </c>
      <c r="K739" s="148" t="str">
        <f>IFERROR(__xludf.DUMMYFUNCTION("""COMPUTED_VALUE"""),"{""typ"":""lc"",""txt"":""LC_ITEM_fes_box_desc""}")</f>
        <v>{"typ":"lc","txt":"LC_ITEM_fes_box_desc"}</v>
      </c>
      <c r="L739" s="148" t="str">
        <f>IFERROR(__xludf.DUMMYFUNCTION("""COMPUTED_VALUE"""),"{""typ"":""lc"",""txt"":""LC_ITEM_horde_elite_box_usedtip""}")</f>
        <v>{"typ":"lc","txt":"LC_ITEM_horde_elite_box_usedtip"}</v>
      </c>
      <c r="M739" s="148">
        <f>IFERROR(__xludf.DUMMYFUNCTION("""COMPUTED_VALUE"""),40.0)</f>
        <v>40</v>
      </c>
      <c r="N739" s="148">
        <f>IFERROR(__xludf.DUMMYFUNCTION("""COMPUTED_VALUE"""),999999.0)</f>
        <v>999999</v>
      </c>
      <c r="O739" s="148">
        <f>IFERROR(__xludf.DUMMYFUNCTION("""COMPUTED_VALUE"""),99999.0)</f>
        <v>99999</v>
      </c>
      <c r="P739" s="148">
        <f>IFERROR(__xludf.DUMMYFUNCTION("""COMPUTED_VALUE"""),99999.0)</f>
        <v>99999</v>
      </c>
      <c r="Q739" s="148" t="str">
        <f>IFERROR(__xludf.DUMMYFUNCTION("""COMPUTED_VALUE"""),"[""bag_other""]")</f>
        <v>["bag_other"]</v>
      </c>
      <c r="R739" s="148" t="str">
        <f>IFERROR(__xludf.DUMMYFUNCTION("""COMPUTED_VALUE"""),"[""bag""]")</f>
        <v>["bag"]</v>
      </c>
      <c r="S739" s="148" t="str">
        <f>IFERROR(__xludf.DUMMYFUNCTION("""COMPUTED_VALUE"""),"{""drop"":{""typ"":""single_random"",""num"":1,""args"":[{""typ"":""item"",""id"":11112030,""num"":1000,""wgt"":19980},{""typ"":""item"",""id"":11112030,""num"":200,""wgt"":120000},{""typ"":""item"",""id"":11112030,""num"":50,""wgt"":200000},{""typ"":""it"&amp;"em"",""id"":11112532,""num"":1,""wgt"":10},{""typ"":""item"",""id"":11112169,""num"":1,""wgt"":10},{""typ"":""item"",""id"":11112030,""num"":20,""wgt"":400000},{""typ"":""item"",""id"":11112030,""num"":100,""wgt"":200000},{""typ"":""item"",""id"":11112030"&amp;",""num"":400,""wgt"":60000}]}}")</f>
        <v>{"drop":{"typ":"single_random","num":1,"args":[{"typ":"item","id":11112030,"num":1000,"wgt":19980},{"typ":"item","id":11112030,"num":200,"wgt":120000},{"typ":"item","id":11112030,"num":50,"wgt":200000},{"typ":"item","id":11112532,"num":1,"wgt":10},{"typ":"item","id":11112169,"num":1,"wgt":10},{"typ":"item","id":11112030,"num":20,"wgt":400000},{"typ":"item","id":11112030,"num":100,"wgt":200000},{"typ":"item","id":11112030,"num":400,"wgt":60000}]}}</v>
      </c>
      <c r="T739" s="148">
        <f>IFERROR(__xludf.DUMMYFUNCTION("""COMPUTED_VALUE"""),-1.0)</f>
        <v>-1</v>
      </c>
      <c r="U739" s="148">
        <f>IFERROR(__xludf.DUMMYFUNCTION("""COMPUTED_VALUE"""),0.0)</f>
        <v>0</v>
      </c>
      <c r="V739" s="148" t="str">
        <f>IFERROR(__xludf.DUMMYFUNCTION("""COMPUTED_VALUE"""),"[]")</f>
        <v>[]</v>
      </c>
      <c r="W739" s="148">
        <f>IFERROR(__xludf.DUMMYFUNCTION("""COMPUTED_VALUE"""),1.174E7)</f>
        <v>11740000</v>
      </c>
      <c r="X739" s="148">
        <f>IFERROR(__xludf.DUMMYFUNCTION("""COMPUTED_VALUE"""),0.0)</f>
        <v>0</v>
      </c>
      <c r="Y739" s="148">
        <f>IFERROR(__xludf.DUMMYFUNCTION("""COMPUTED_VALUE"""),0.0)</f>
        <v>0</v>
      </c>
      <c r="Z739" s="148"/>
    </row>
    <row r="740">
      <c r="A740" s="148">
        <f>IFERROR(__xludf.DUMMYFUNCTION("""COMPUTED_VALUE"""),1.1112537E7)</f>
        <v>11112537</v>
      </c>
      <c r="B740" s="148" t="str">
        <f>IFERROR(__xludf.DUMMYFUNCTION("""COMPUTED_VALUE"""),"2025拓荒节行军特效-穿越沙海-1天限时")</f>
        <v>2025拓荒节行军特效-穿越沙海-1天限时</v>
      </c>
      <c r="C740" s="148"/>
      <c r="D740" s="148" t="str">
        <f>IFERROR(__xludf.DUMMYFUNCTION("""COMPUTED_VALUE"""),"marching_effect")</f>
        <v>marching_effect</v>
      </c>
      <c r="E740" s="148">
        <f>IFERROR(__xludf.DUMMYFUNCTION("""COMPUTED_VALUE"""),0.0)</f>
        <v>0</v>
      </c>
      <c r="F740" s="148">
        <f>IFERROR(__xludf.DUMMYFUNCTION("""COMPUTED_VALUE"""),408200.0)</f>
        <v>408200</v>
      </c>
      <c r="G740" s="148">
        <f>IFERROR(__xludf.DUMMYFUNCTION("""COMPUTED_VALUE"""),1.51101848E8)</f>
        <v>151101848</v>
      </c>
      <c r="H740" s="148">
        <f>IFERROR(__xludf.DUMMYFUNCTION("""COMPUTED_VALUE"""),1.511256E7)</f>
        <v>15112560</v>
      </c>
      <c r="I740" s="148" t="str">
        <f>IFERROR(__xludf.DUMMYFUNCTION("""COMPUTED_VALUE"""),"{""typ"":""lc"",""txt"":""LC_ITEM_time_day_upper_show"",""args"":[{""typ"":""int_unit"",""val"":1}]}")</f>
        <v>{"typ":"lc","txt":"LC_ITEM_time_day_upper_show","args":[{"typ":"int_unit","val":1}]}</v>
      </c>
      <c r="J740" s="148" t="str">
        <f>IFERROR(__xludf.DUMMYFUNCTION("""COMPUTED_VALUE"""),"{""typ"":""lc"",""txt"":""LC_ITEM_labor_marcheffect_high_2025""}")</f>
        <v>{"typ":"lc","txt":"LC_ITEM_labor_marcheffect_high_2025"}</v>
      </c>
      <c r="K740" s="148" t="str">
        <f>IFERROR(__xludf.DUMMYFUNCTION("""COMPUTED_VALUE"""),"{""typ"":""lc"",""txt"":""LC_ITEM_labor_marcheffect_high_2025_desc""}")</f>
        <v>{"typ":"lc","txt":"LC_ITEM_labor_marcheffect_high_2025_desc"}</v>
      </c>
      <c r="L740" s="148" t="str">
        <f>IFERROR(__xludf.DUMMYFUNCTION("""COMPUTED_VALUE"""),"{""typ"":""lc"",""txt"":""LC_ITEM_march_effect_use_tip_all""}")</f>
        <v>{"typ":"lc","txt":"LC_ITEM_march_effect_use_tip_all"}</v>
      </c>
      <c r="M740" s="148">
        <f>IFERROR(__xludf.DUMMYFUNCTION("""COMPUTED_VALUE"""),50.0)</f>
        <v>50</v>
      </c>
      <c r="N740" s="148">
        <f>IFERROR(__xludf.DUMMYFUNCTION("""COMPUTED_VALUE"""),999999.0)</f>
        <v>999999</v>
      </c>
      <c r="O740" s="148">
        <f>IFERROR(__xludf.DUMMYFUNCTION("""COMPUTED_VALUE"""),99999.0)</f>
        <v>99999</v>
      </c>
      <c r="P740" s="148">
        <f>IFERROR(__xludf.DUMMYFUNCTION("""COMPUTED_VALUE"""),1.0)</f>
        <v>1</v>
      </c>
      <c r="Q740" s="148" t="str">
        <f>IFERROR(__xludf.DUMMYFUNCTION("""COMPUTED_VALUE"""),"[""bag_other""]")</f>
        <v>["bag_other"]</v>
      </c>
      <c r="R740" s="148" t="str">
        <f>IFERROR(__xludf.DUMMYFUNCTION("""COMPUTED_VALUE"""),"[""bag"",""13650135""]")</f>
        <v>["bag","13650135"]</v>
      </c>
      <c r="S740" s="148" t="str">
        <f>IFERROR(__xludf.DUMMYFUNCTION("""COMPUTED_VALUE"""),"{""effect"":[{""typ"":""marching_effect"",""id"":13650135,""val"":86400000},{""typ"":""vm"",""id"":11151001,""val"":50}]}")</f>
        <v>{"effect":[{"typ":"marching_effect","id":13650135,"val":86400000},{"typ":"vm","id":11151001,"val":50}]}</v>
      </c>
      <c r="T740" s="148">
        <f>IFERROR(__xludf.DUMMYFUNCTION("""COMPUTED_VALUE"""),-1.0)</f>
        <v>-1</v>
      </c>
      <c r="U740" s="148">
        <f>IFERROR(__xludf.DUMMYFUNCTION("""COMPUTED_VALUE"""),0.0)</f>
        <v>0</v>
      </c>
      <c r="V740" s="148" t="str">
        <f>IFERROR(__xludf.DUMMYFUNCTION("""COMPUTED_VALUE"""),"[]")</f>
        <v>[]</v>
      </c>
      <c r="W740" s="148">
        <f>IFERROR(__xludf.DUMMYFUNCTION("""COMPUTED_VALUE"""),1.174E7)</f>
        <v>11740000</v>
      </c>
      <c r="X740" s="148">
        <f>IFERROR(__xludf.DUMMYFUNCTION("""COMPUTED_VALUE"""),0.0)</f>
        <v>0</v>
      </c>
      <c r="Y740" s="148">
        <f>IFERROR(__xludf.DUMMYFUNCTION("""COMPUTED_VALUE"""),0.0)</f>
        <v>0</v>
      </c>
      <c r="Z740" s="148"/>
    </row>
    <row r="741">
      <c r="A741" s="148">
        <f>IFERROR(__xludf.DUMMYFUNCTION("""COMPUTED_VALUE"""),1.1112538E7)</f>
        <v>11112538</v>
      </c>
      <c r="B741" s="148" t="str">
        <f>IFERROR(__xludf.DUMMYFUNCTION("""COMPUTED_VALUE"""),"2025拓荒节行军特效-穿越沙海-3天限时")</f>
        <v>2025拓荒节行军特效-穿越沙海-3天限时</v>
      </c>
      <c r="C741" s="148"/>
      <c r="D741" s="148" t="str">
        <f>IFERROR(__xludf.DUMMYFUNCTION("""COMPUTED_VALUE"""),"marching_effect")</f>
        <v>marching_effect</v>
      </c>
      <c r="E741" s="148">
        <f>IFERROR(__xludf.DUMMYFUNCTION("""COMPUTED_VALUE"""),0.0)</f>
        <v>0</v>
      </c>
      <c r="F741" s="148">
        <f>IFERROR(__xludf.DUMMYFUNCTION("""COMPUTED_VALUE"""),408199.0)</f>
        <v>408199</v>
      </c>
      <c r="G741" s="148">
        <f>IFERROR(__xludf.DUMMYFUNCTION("""COMPUTED_VALUE"""),1.51101848E8)</f>
        <v>151101848</v>
      </c>
      <c r="H741" s="148">
        <f>IFERROR(__xludf.DUMMYFUNCTION("""COMPUTED_VALUE"""),1.5112561E7)</f>
        <v>15112561</v>
      </c>
      <c r="I741" s="148" t="str">
        <f>IFERROR(__xludf.DUMMYFUNCTION("""COMPUTED_VALUE"""),"{""typ"":""lc"",""txt"":""LC_ITEM_time_day_upper_show"",""args"":[{""typ"":""int_unit"",""val"":3}]}")</f>
        <v>{"typ":"lc","txt":"LC_ITEM_time_day_upper_show","args":[{"typ":"int_unit","val":3}]}</v>
      </c>
      <c r="J741" s="148" t="str">
        <f>IFERROR(__xludf.DUMMYFUNCTION("""COMPUTED_VALUE"""),"{""typ"":""lc"",""txt"":""LC_ITEM_labor_marcheffect_high_2025""}")</f>
        <v>{"typ":"lc","txt":"LC_ITEM_labor_marcheffect_high_2025"}</v>
      </c>
      <c r="K741" s="148" t="str">
        <f>IFERROR(__xludf.DUMMYFUNCTION("""COMPUTED_VALUE"""),"{""typ"":""lc"",""txt"":""LC_ITEM_labor_marcheffect_high_2025_desc""}")</f>
        <v>{"typ":"lc","txt":"LC_ITEM_labor_marcheffect_high_2025_desc"}</v>
      </c>
      <c r="L741" s="148" t="str">
        <f>IFERROR(__xludf.DUMMYFUNCTION("""COMPUTED_VALUE"""),"{""typ"":""lc"",""txt"":""LC_ITEM_march_effect_use_tip_all""}")</f>
        <v>{"typ":"lc","txt":"LC_ITEM_march_effect_use_tip_all"}</v>
      </c>
      <c r="M741" s="148">
        <f>IFERROR(__xludf.DUMMYFUNCTION("""COMPUTED_VALUE"""),200.0)</f>
        <v>200</v>
      </c>
      <c r="N741" s="148">
        <f>IFERROR(__xludf.DUMMYFUNCTION("""COMPUTED_VALUE"""),999999.0)</f>
        <v>999999</v>
      </c>
      <c r="O741" s="148">
        <f>IFERROR(__xludf.DUMMYFUNCTION("""COMPUTED_VALUE"""),99999.0)</f>
        <v>99999</v>
      </c>
      <c r="P741" s="148">
        <f>IFERROR(__xludf.DUMMYFUNCTION("""COMPUTED_VALUE"""),1.0)</f>
        <v>1</v>
      </c>
      <c r="Q741" s="148" t="str">
        <f>IFERROR(__xludf.DUMMYFUNCTION("""COMPUTED_VALUE"""),"[""bag_other""]")</f>
        <v>["bag_other"]</v>
      </c>
      <c r="R741" s="148" t="str">
        <f>IFERROR(__xludf.DUMMYFUNCTION("""COMPUTED_VALUE"""),"[""bag"",""13650135""]")</f>
        <v>["bag","13650135"]</v>
      </c>
      <c r="S741" s="148" t="str">
        <f>IFERROR(__xludf.DUMMYFUNCTION("""COMPUTED_VALUE"""),"{""effect"":[{""typ"":""marching_effect"",""id"":13650135,""val"":259200000},{""typ"":""vm"",""id"":11151001,""val"":200}]}")</f>
        <v>{"effect":[{"typ":"marching_effect","id":13650135,"val":259200000},{"typ":"vm","id":11151001,"val":200}]}</v>
      </c>
      <c r="T741" s="148">
        <f>IFERROR(__xludf.DUMMYFUNCTION("""COMPUTED_VALUE"""),-1.0)</f>
        <v>-1</v>
      </c>
      <c r="U741" s="148">
        <f>IFERROR(__xludf.DUMMYFUNCTION("""COMPUTED_VALUE"""),0.0)</f>
        <v>0</v>
      </c>
      <c r="V741" s="148" t="str">
        <f>IFERROR(__xludf.DUMMYFUNCTION("""COMPUTED_VALUE"""),"[]")</f>
        <v>[]</v>
      </c>
      <c r="W741" s="148">
        <f>IFERROR(__xludf.DUMMYFUNCTION("""COMPUTED_VALUE"""),1.174E7)</f>
        <v>11740000</v>
      </c>
      <c r="X741" s="148">
        <f>IFERROR(__xludf.DUMMYFUNCTION("""COMPUTED_VALUE"""),0.0)</f>
        <v>0</v>
      </c>
      <c r="Y741" s="148">
        <f>IFERROR(__xludf.DUMMYFUNCTION("""COMPUTED_VALUE"""),0.0)</f>
        <v>0</v>
      </c>
      <c r="Z741" s="148"/>
    </row>
    <row r="742">
      <c r="A742" s="148">
        <f>IFERROR(__xludf.DUMMYFUNCTION("""COMPUTED_VALUE"""),1.1112539E7)</f>
        <v>11112539</v>
      </c>
      <c r="B742" s="148" t="str">
        <f>IFERROR(__xludf.DUMMYFUNCTION("""COMPUTED_VALUE"""),"2025拓荒节行军特效-穿越沙海-7天限时")</f>
        <v>2025拓荒节行军特效-穿越沙海-7天限时</v>
      </c>
      <c r="C742" s="148"/>
      <c r="D742" s="148" t="str">
        <f>IFERROR(__xludf.DUMMYFUNCTION("""COMPUTED_VALUE"""),"marching_effect")</f>
        <v>marching_effect</v>
      </c>
      <c r="E742" s="148">
        <f>IFERROR(__xludf.DUMMYFUNCTION("""COMPUTED_VALUE"""),0.0)</f>
        <v>0</v>
      </c>
      <c r="F742" s="148">
        <f>IFERROR(__xludf.DUMMYFUNCTION("""COMPUTED_VALUE"""),408198.0)</f>
        <v>408198</v>
      </c>
      <c r="G742" s="148">
        <f>IFERROR(__xludf.DUMMYFUNCTION("""COMPUTED_VALUE"""),1.51101848E8)</f>
        <v>151101848</v>
      </c>
      <c r="H742" s="148">
        <f>IFERROR(__xludf.DUMMYFUNCTION("""COMPUTED_VALUE"""),1.5112562E7)</f>
        <v>15112562</v>
      </c>
      <c r="I742" s="148" t="str">
        <f>IFERROR(__xludf.DUMMYFUNCTION("""COMPUTED_VALUE"""),"{""typ"":""lc"",""txt"":""LC_ITEM_time_day_upper_show"",""args"":[{""typ"":""int_unit"",""val"":7}]}")</f>
        <v>{"typ":"lc","txt":"LC_ITEM_time_day_upper_show","args":[{"typ":"int_unit","val":7}]}</v>
      </c>
      <c r="J742" s="148" t="str">
        <f>IFERROR(__xludf.DUMMYFUNCTION("""COMPUTED_VALUE"""),"{""typ"":""lc"",""txt"":""LC_ITEM_labor_marcheffect_high_2025""}")</f>
        <v>{"typ":"lc","txt":"LC_ITEM_labor_marcheffect_high_2025"}</v>
      </c>
      <c r="K742" s="148" t="str">
        <f>IFERROR(__xludf.DUMMYFUNCTION("""COMPUTED_VALUE"""),"{""typ"":""lc"",""txt"":""LC_ITEM_labor_marcheffect_high_2025_desc""}")</f>
        <v>{"typ":"lc","txt":"LC_ITEM_labor_marcheffect_high_2025_desc"}</v>
      </c>
      <c r="L742" s="148" t="str">
        <f>IFERROR(__xludf.DUMMYFUNCTION("""COMPUTED_VALUE"""),"{""typ"":""lc"",""txt"":""LC_ITEM_march_effect_use_tip_all""}")</f>
        <v>{"typ":"lc","txt":"LC_ITEM_march_effect_use_tip_all"}</v>
      </c>
      <c r="M742" s="148">
        <f>IFERROR(__xludf.DUMMYFUNCTION("""COMPUTED_VALUE"""),500.0)</f>
        <v>500</v>
      </c>
      <c r="N742" s="148">
        <f>IFERROR(__xludf.DUMMYFUNCTION("""COMPUTED_VALUE"""),999999.0)</f>
        <v>999999</v>
      </c>
      <c r="O742" s="148">
        <f>IFERROR(__xludf.DUMMYFUNCTION("""COMPUTED_VALUE"""),99999.0)</f>
        <v>99999</v>
      </c>
      <c r="P742" s="148">
        <f>IFERROR(__xludf.DUMMYFUNCTION("""COMPUTED_VALUE"""),1.0)</f>
        <v>1</v>
      </c>
      <c r="Q742" s="148" t="str">
        <f>IFERROR(__xludf.DUMMYFUNCTION("""COMPUTED_VALUE"""),"[""bag_other""]")</f>
        <v>["bag_other"]</v>
      </c>
      <c r="R742" s="148" t="str">
        <f>IFERROR(__xludf.DUMMYFUNCTION("""COMPUTED_VALUE"""),"[""bag"",""13650135""]")</f>
        <v>["bag","13650135"]</v>
      </c>
      <c r="S742" s="148" t="str">
        <f>IFERROR(__xludf.DUMMYFUNCTION("""COMPUTED_VALUE"""),"{""effect"":[{""typ"":""marching_effect"",""id"":13650135,""val"":604800000},{""typ"":""vm"",""id"":11151001,""val"":500}]}")</f>
        <v>{"effect":[{"typ":"marching_effect","id":13650135,"val":604800000},{"typ":"vm","id":11151001,"val":500}]}</v>
      </c>
      <c r="T742" s="148">
        <f>IFERROR(__xludf.DUMMYFUNCTION("""COMPUTED_VALUE"""),-1.0)</f>
        <v>-1</v>
      </c>
      <c r="U742" s="148">
        <f>IFERROR(__xludf.DUMMYFUNCTION("""COMPUTED_VALUE"""),0.0)</f>
        <v>0</v>
      </c>
      <c r="V742" s="148" t="str">
        <f>IFERROR(__xludf.DUMMYFUNCTION("""COMPUTED_VALUE"""),"[]")</f>
        <v>[]</v>
      </c>
      <c r="W742" s="148">
        <f>IFERROR(__xludf.DUMMYFUNCTION("""COMPUTED_VALUE"""),1.174E7)</f>
        <v>11740000</v>
      </c>
      <c r="X742" s="148">
        <f>IFERROR(__xludf.DUMMYFUNCTION("""COMPUTED_VALUE"""),0.0)</f>
        <v>0</v>
      </c>
      <c r="Y742" s="148">
        <f>IFERROR(__xludf.DUMMYFUNCTION("""COMPUTED_VALUE"""),0.0)</f>
        <v>0</v>
      </c>
      <c r="Z742" s="148"/>
    </row>
    <row r="743">
      <c r="A743" s="148">
        <f>IFERROR(__xludf.DUMMYFUNCTION("""COMPUTED_VALUE"""),1.111254E7)</f>
        <v>11112540</v>
      </c>
      <c r="B743" s="148" t="str">
        <f>IFERROR(__xludf.DUMMYFUNCTION("""COMPUTED_VALUE"""),"2025拓荒节行军特效-穿越沙海-14天限时")</f>
        <v>2025拓荒节行军特效-穿越沙海-14天限时</v>
      </c>
      <c r="C743" s="148"/>
      <c r="D743" s="148" t="str">
        <f>IFERROR(__xludf.DUMMYFUNCTION("""COMPUTED_VALUE"""),"marching_effect")</f>
        <v>marching_effect</v>
      </c>
      <c r="E743" s="148">
        <f>IFERROR(__xludf.DUMMYFUNCTION("""COMPUTED_VALUE"""),0.0)</f>
        <v>0</v>
      </c>
      <c r="F743" s="148">
        <f>IFERROR(__xludf.DUMMYFUNCTION("""COMPUTED_VALUE"""),408197.0)</f>
        <v>408197</v>
      </c>
      <c r="G743" s="148">
        <f>IFERROR(__xludf.DUMMYFUNCTION("""COMPUTED_VALUE"""),1.51101848E8)</f>
        <v>151101848</v>
      </c>
      <c r="H743" s="148">
        <f>IFERROR(__xludf.DUMMYFUNCTION("""COMPUTED_VALUE"""),1.5112563E7)</f>
        <v>15112563</v>
      </c>
      <c r="I743" s="148" t="str">
        <f>IFERROR(__xludf.DUMMYFUNCTION("""COMPUTED_VALUE"""),"{""typ"":""lc"",""txt"":""LC_ITEM_time_day_upper_show"",""args"":[{""typ"":""int_unit"",""val"":14}]}")</f>
        <v>{"typ":"lc","txt":"LC_ITEM_time_day_upper_show","args":[{"typ":"int_unit","val":14}]}</v>
      </c>
      <c r="J743" s="148" t="str">
        <f>IFERROR(__xludf.DUMMYFUNCTION("""COMPUTED_VALUE"""),"{""typ"":""lc"",""txt"":""LC_ITEM_labor_marcheffect_high_2025""}")</f>
        <v>{"typ":"lc","txt":"LC_ITEM_labor_marcheffect_high_2025"}</v>
      </c>
      <c r="K743" s="148" t="str">
        <f>IFERROR(__xludf.DUMMYFUNCTION("""COMPUTED_VALUE"""),"{""typ"":""lc"",""txt"":""LC_ITEM_labor_marcheffect_high_2025_desc""}")</f>
        <v>{"typ":"lc","txt":"LC_ITEM_labor_marcheffect_high_2025_desc"}</v>
      </c>
      <c r="L743" s="148" t="str">
        <f>IFERROR(__xludf.DUMMYFUNCTION("""COMPUTED_VALUE"""),"{""typ"":""lc"",""txt"":""LC_ITEM_march_effect_use_tip_all""}")</f>
        <v>{"typ":"lc","txt":"LC_ITEM_march_effect_use_tip_all"}</v>
      </c>
      <c r="M743" s="148">
        <f>IFERROR(__xludf.DUMMYFUNCTION("""COMPUTED_VALUE"""),1000.0)</f>
        <v>1000</v>
      </c>
      <c r="N743" s="148">
        <f>IFERROR(__xludf.DUMMYFUNCTION("""COMPUTED_VALUE"""),999999.0)</f>
        <v>999999</v>
      </c>
      <c r="O743" s="148">
        <f>IFERROR(__xludf.DUMMYFUNCTION("""COMPUTED_VALUE"""),99999.0)</f>
        <v>99999</v>
      </c>
      <c r="P743" s="148">
        <f>IFERROR(__xludf.DUMMYFUNCTION("""COMPUTED_VALUE"""),1.0)</f>
        <v>1</v>
      </c>
      <c r="Q743" s="148" t="str">
        <f>IFERROR(__xludf.DUMMYFUNCTION("""COMPUTED_VALUE"""),"[""bag_other""]")</f>
        <v>["bag_other"]</v>
      </c>
      <c r="R743" s="148" t="str">
        <f>IFERROR(__xludf.DUMMYFUNCTION("""COMPUTED_VALUE"""),"[""bag"",""13650135""]")</f>
        <v>["bag","13650135"]</v>
      </c>
      <c r="S743" s="148" t="str">
        <f>IFERROR(__xludf.DUMMYFUNCTION("""COMPUTED_VALUE"""),"{""effect"":[{""typ"":""marching_effect"",""id"":13650135,""val"":1209600000},{""typ"":""vm"",""id"":11151001,""val"":1000}]}")</f>
        <v>{"effect":[{"typ":"marching_effect","id":13650135,"val":1209600000},{"typ":"vm","id":11151001,"val":1000}]}</v>
      </c>
      <c r="T743" s="148">
        <f>IFERROR(__xludf.DUMMYFUNCTION("""COMPUTED_VALUE"""),-1.0)</f>
        <v>-1</v>
      </c>
      <c r="U743" s="148">
        <f>IFERROR(__xludf.DUMMYFUNCTION("""COMPUTED_VALUE"""),0.0)</f>
        <v>0</v>
      </c>
      <c r="V743" s="148" t="str">
        <f>IFERROR(__xludf.DUMMYFUNCTION("""COMPUTED_VALUE"""),"[]")</f>
        <v>[]</v>
      </c>
      <c r="W743" s="148">
        <f>IFERROR(__xludf.DUMMYFUNCTION("""COMPUTED_VALUE"""),1.174E7)</f>
        <v>11740000</v>
      </c>
      <c r="X743" s="148">
        <f>IFERROR(__xludf.DUMMYFUNCTION("""COMPUTED_VALUE"""),0.0)</f>
        <v>0</v>
      </c>
      <c r="Y743" s="148">
        <f>IFERROR(__xludf.DUMMYFUNCTION("""COMPUTED_VALUE"""),0.0)</f>
        <v>0</v>
      </c>
      <c r="Z743" s="148"/>
    </row>
    <row r="744">
      <c r="A744" s="148">
        <f>IFERROR(__xludf.DUMMYFUNCTION("""COMPUTED_VALUE"""),1.1112541E7)</f>
        <v>11112541</v>
      </c>
      <c r="B744" s="148" t="str">
        <f>IFERROR(__xludf.DUMMYFUNCTION("""COMPUTED_VALUE"""),"2025拓荒节行军特效-穿越沙海-30天限时")</f>
        <v>2025拓荒节行军特效-穿越沙海-30天限时</v>
      </c>
      <c r="C744" s="148"/>
      <c r="D744" s="148" t="str">
        <f>IFERROR(__xludf.DUMMYFUNCTION("""COMPUTED_VALUE"""),"marching_effect")</f>
        <v>marching_effect</v>
      </c>
      <c r="E744" s="148">
        <f>IFERROR(__xludf.DUMMYFUNCTION("""COMPUTED_VALUE"""),0.0)</f>
        <v>0</v>
      </c>
      <c r="F744" s="148">
        <f>IFERROR(__xludf.DUMMYFUNCTION("""COMPUTED_VALUE"""),408197.0)</f>
        <v>408197</v>
      </c>
      <c r="G744" s="148">
        <f>IFERROR(__xludf.DUMMYFUNCTION("""COMPUTED_VALUE"""),1.51101848E8)</f>
        <v>151101848</v>
      </c>
      <c r="H744" s="148">
        <f>IFERROR(__xludf.DUMMYFUNCTION("""COMPUTED_VALUE"""),1.5112563E7)</f>
        <v>15112563</v>
      </c>
      <c r="I744" s="148" t="str">
        <f>IFERROR(__xludf.DUMMYFUNCTION("""COMPUTED_VALUE"""),"{""typ"":""lc"",""txt"":""LC_ITEM_time_day_upper_show"",""args"":[{""typ"":""int_unit"",""val"":30}]}")</f>
        <v>{"typ":"lc","txt":"LC_ITEM_time_day_upper_show","args":[{"typ":"int_unit","val":30}]}</v>
      </c>
      <c r="J744" s="148" t="str">
        <f>IFERROR(__xludf.DUMMYFUNCTION("""COMPUTED_VALUE"""),"{""typ"":""lc"",""txt"":""LC_ITEM_labor_marcheffect_high_2025""}")</f>
        <v>{"typ":"lc","txt":"LC_ITEM_labor_marcheffect_high_2025"}</v>
      </c>
      <c r="K744" s="148" t="str">
        <f>IFERROR(__xludf.DUMMYFUNCTION("""COMPUTED_VALUE"""),"{""typ"":""lc"",""txt"":""LC_ITEM_labor_marcheffect_high_2025_desc""}")</f>
        <v>{"typ":"lc","txt":"LC_ITEM_labor_marcheffect_high_2025_desc"}</v>
      </c>
      <c r="L744" s="148" t="str">
        <f>IFERROR(__xludf.DUMMYFUNCTION("""COMPUTED_VALUE"""),"{""typ"":""lc"",""txt"":""LC_ITEM_march_effect_use_tip_all""}")</f>
        <v>{"typ":"lc","txt":"LC_ITEM_march_effect_use_tip_all"}</v>
      </c>
      <c r="M744" s="148">
        <f>IFERROR(__xludf.DUMMYFUNCTION("""COMPUTED_VALUE"""),1000.0)</f>
        <v>1000</v>
      </c>
      <c r="N744" s="148">
        <f>IFERROR(__xludf.DUMMYFUNCTION("""COMPUTED_VALUE"""),999999.0)</f>
        <v>999999</v>
      </c>
      <c r="O744" s="148">
        <f>IFERROR(__xludf.DUMMYFUNCTION("""COMPUTED_VALUE"""),99999.0)</f>
        <v>99999</v>
      </c>
      <c r="P744" s="148">
        <f>IFERROR(__xludf.DUMMYFUNCTION("""COMPUTED_VALUE"""),1.0)</f>
        <v>1</v>
      </c>
      <c r="Q744" s="148" t="str">
        <f>IFERROR(__xludf.DUMMYFUNCTION("""COMPUTED_VALUE"""),"[""bag_other""]")</f>
        <v>["bag_other"]</v>
      </c>
      <c r="R744" s="148" t="str">
        <f>IFERROR(__xludf.DUMMYFUNCTION("""COMPUTED_VALUE"""),"[""bag"",""13650135""]")</f>
        <v>["bag","13650135"]</v>
      </c>
      <c r="S744" s="148" t="str">
        <f>IFERROR(__xludf.DUMMYFUNCTION("""COMPUTED_VALUE"""),"{""effect"":[{""typ"":""marching_effect"",""id"":13650135,""val"":2592000000},{""typ"":""vm"",""id"":11151001,""val"":1000}]}")</f>
        <v>{"effect":[{"typ":"marching_effect","id":13650135,"val":2592000000},{"typ":"vm","id":11151001,"val":1000}]}</v>
      </c>
      <c r="T744" s="148">
        <f>IFERROR(__xludf.DUMMYFUNCTION("""COMPUTED_VALUE"""),-1.0)</f>
        <v>-1</v>
      </c>
      <c r="U744" s="148">
        <f>IFERROR(__xludf.DUMMYFUNCTION("""COMPUTED_VALUE"""),0.0)</f>
        <v>0</v>
      </c>
      <c r="V744" s="148" t="str">
        <f>IFERROR(__xludf.DUMMYFUNCTION("""COMPUTED_VALUE"""),"[]")</f>
        <v>[]</v>
      </c>
      <c r="W744" s="148">
        <f>IFERROR(__xludf.DUMMYFUNCTION("""COMPUTED_VALUE"""),1.174E7)</f>
        <v>11740000</v>
      </c>
      <c r="X744" s="148">
        <f>IFERROR(__xludf.DUMMYFUNCTION("""COMPUTED_VALUE"""),0.0)</f>
        <v>0</v>
      </c>
      <c r="Y744" s="148">
        <f>IFERROR(__xludf.DUMMYFUNCTION("""COMPUTED_VALUE"""),0.0)</f>
        <v>0</v>
      </c>
      <c r="Z744" s="148"/>
    </row>
    <row r="745">
      <c r="A745" s="148">
        <f>IFERROR(__xludf.DUMMYFUNCTION("""COMPUTED_VALUE"""),1.1112542E7)</f>
        <v>11112542</v>
      </c>
      <c r="B745" s="148" t="str">
        <f>IFERROR(__xludf.DUMMYFUNCTION("""COMPUTED_VALUE"""),"2025拓荒节行军特效-穿越沙海-永久")</f>
        <v>2025拓荒节行军特效-穿越沙海-永久</v>
      </c>
      <c r="C745" s="148"/>
      <c r="D745" s="148" t="str">
        <f>IFERROR(__xludf.DUMMYFUNCTION("""COMPUTED_VALUE"""),"marching_effect")</f>
        <v>marching_effect</v>
      </c>
      <c r="E745" s="148">
        <f>IFERROR(__xludf.DUMMYFUNCTION("""COMPUTED_VALUE"""),0.0)</f>
        <v>0</v>
      </c>
      <c r="F745" s="148">
        <f>IFERROR(__xludf.DUMMYFUNCTION("""COMPUTED_VALUE"""),408195.0)</f>
        <v>408195</v>
      </c>
      <c r="G745" s="148">
        <f>IFERROR(__xludf.DUMMYFUNCTION("""COMPUTED_VALUE"""),1.51101848E8)</f>
        <v>151101848</v>
      </c>
      <c r="H745" s="148">
        <f>IFERROR(__xludf.DUMMYFUNCTION("""COMPUTED_VALUE"""),1.5112564E7)</f>
        <v>15112564</v>
      </c>
      <c r="I745" s="148" t="str">
        <f>IFERROR(__xludf.DUMMYFUNCTION("""COMPUTED_VALUE"""),"{}")</f>
        <v>{}</v>
      </c>
      <c r="J745" s="148" t="str">
        <f>IFERROR(__xludf.DUMMYFUNCTION("""COMPUTED_VALUE"""),"{""typ"":""lc"",""txt"":""LC_ITEM_labor_marcheffect_high_2025""}")</f>
        <v>{"typ":"lc","txt":"LC_ITEM_labor_marcheffect_high_2025"}</v>
      </c>
      <c r="K745" s="148" t="str">
        <f>IFERROR(__xludf.DUMMYFUNCTION("""COMPUTED_VALUE"""),"{""typ"":""lc"",""txt"":""LC_ITEM_labor_marcheffect_high_2025_desc""}")</f>
        <v>{"typ":"lc","txt":"LC_ITEM_labor_marcheffect_high_2025_desc"}</v>
      </c>
      <c r="L745" s="148" t="str">
        <f>IFERROR(__xludf.DUMMYFUNCTION("""COMPUTED_VALUE"""),"{""typ"":""lc"",""txt"":""LC_ITEM_march_effect_use_tip_all""}")</f>
        <v>{"typ":"lc","txt":"LC_ITEM_march_effect_use_tip_all"}</v>
      </c>
      <c r="M745" s="148">
        <f>IFERROR(__xludf.DUMMYFUNCTION("""COMPUTED_VALUE"""),5000.0)</f>
        <v>5000</v>
      </c>
      <c r="N745" s="148">
        <f>IFERROR(__xludf.DUMMYFUNCTION("""COMPUTED_VALUE"""),999999.0)</f>
        <v>999999</v>
      </c>
      <c r="O745" s="148">
        <f>IFERROR(__xludf.DUMMYFUNCTION("""COMPUTED_VALUE"""),99999.0)</f>
        <v>99999</v>
      </c>
      <c r="P745" s="148">
        <f>IFERROR(__xludf.DUMMYFUNCTION("""COMPUTED_VALUE"""),1.0)</f>
        <v>1</v>
      </c>
      <c r="Q745" s="148" t="str">
        <f>IFERROR(__xludf.DUMMYFUNCTION("""COMPUTED_VALUE"""),"[""bag_other""]")</f>
        <v>["bag_other"]</v>
      </c>
      <c r="R745" s="148" t="str">
        <f>IFERROR(__xludf.DUMMYFUNCTION("""COMPUTED_VALUE"""),"[""bag"",""13650135""]")</f>
        <v>["bag","13650135"]</v>
      </c>
      <c r="S745" s="148" t="str">
        <f>IFERROR(__xludf.DUMMYFUNCTION("""COMPUTED_VALUE"""),"{""effect"":[{""typ"":""marching_effect"",""id"":13650135,""val"":-1},{""typ"":""vm"",""id"":11151001,""val"":2500}]}")</f>
        <v>{"effect":[{"typ":"marching_effect","id":13650135,"val":-1},{"typ":"vm","id":11151001,"val":2500}]}</v>
      </c>
      <c r="T745" s="148">
        <f>IFERROR(__xludf.DUMMYFUNCTION("""COMPUTED_VALUE"""),-1.0)</f>
        <v>-1</v>
      </c>
      <c r="U745" s="148">
        <f>IFERROR(__xludf.DUMMYFUNCTION("""COMPUTED_VALUE"""),0.0)</f>
        <v>0</v>
      </c>
      <c r="V745" s="148" t="str">
        <f>IFERROR(__xludf.DUMMYFUNCTION("""COMPUTED_VALUE"""),"[]")</f>
        <v>[]</v>
      </c>
      <c r="W745" s="148">
        <f>IFERROR(__xludf.DUMMYFUNCTION("""COMPUTED_VALUE"""),1.174E7)</f>
        <v>11740000</v>
      </c>
      <c r="X745" s="148">
        <f>IFERROR(__xludf.DUMMYFUNCTION("""COMPUTED_VALUE"""),0.0)</f>
        <v>0</v>
      </c>
      <c r="Y745" s="148">
        <f>IFERROR(__xludf.DUMMYFUNCTION("""COMPUTED_VALUE"""),0.0)</f>
        <v>0</v>
      </c>
      <c r="Z745" s="148"/>
    </row>
    <row r="746">
      <c r="A746" s="148">
        <f>IFERROR(__xludf.DUMMYFUNCTION("""COMPUTED_VALUE"""),1.1112543E7)</f>
        <v>11112543</v>
      </c>
      <c r="B746" s="148" t="str">
        <f>IFERROR(__xludf.DUMMYFUNCTION("""COMPUTED_VALUE"""),"2025拓荒节铭牌-荒原枪手")</f>
        <v>2025拓荒节铭牌-荒原枪手</v>
      </c>
      <c r="C746" s="148"/>
      <c r="D746" s="148" t="str">
        <f>IFERROR(__xludf.DUMMYFUNCTION("""COMPUTED_VALUE"""),"chat_skin")</f>
        <v>chat_skin</v>
      </c>
      <c r="E746" s="148">
        <f>IFERROR(__xludf.DUMMYFUNCTION("""COMPUTED_VALUE"""),30.0)</f>
        <v>30</v>
      </c>
      <c r="F746" s="148">
        <f>IFERROR(__xludf.DUMMYFUNCTION("""COMPUTED_VALUE"""),401107.0)</f>
        <v>401107</v>
      </c>
      <c r="G746" s="148">
        <f>IFERROR(__xludf.DUMMYFUNCTION("""COMPUTED_VALUE"""),1.51101849E8)</f>
        <v>151101849</v>
      </c>
      <c r="H746" s="148">
        <f>IFERROR(__xludf.DUMMYFUNCTION("""COMPUTED_VALUE"""),1.5112564E7)</f>
        <v>15112564</v>
      </c>
      <c r="I746" s="148" t="str">
        <f>IFERROR(__xludf.DUMMYFUNCTION("""COMPUTED_VALUE"""),"{}")</f>
        <v>{}</v>
      </c>
      <c r="J746" s="148" t="str">
        <f>IFERROR(__xludf.DUMMYFUNCTION("""COMPUTED_VALUE"""),"{""typ"":""lc"",""txt"":""LC_ITEM_labor_nameplate_2025""}")</f>
        <v>{"typ":"lc","txt":"LC_ITEM_labor_nameplate_2025"}</v>
      </c>
      <c r="K746" s="148" t="str">
        <f>IFERROR(__xludf.DUMMYFUNCTION("""COMPUTED_VALUE"""),"{""typ"":""lc"",""txt"":""LC_ITEM_labor_nameplate_2025_desc_item""}")</f>
        <v>{"typ":"lc","txt":"LC_ITEM_labor_nameplate_2025_desc_item"}</v>
      </c>
      <c r="L746" s="148" t="str">
        <f>IFERROR(__xludf.DUMMYFUNCTION("""COMPUTED_VALUE"""),"{""typ"":""lc"",""txt"":""LC_ITEM_season_extra_reward_usedtip""}")</f>
        <v>{"typ":"lc","txt":"LC_ITEM_season_extra_reward_usedtip"}</v>
      </c>
      <c r="M746" s="148">
        <f>IFERROR(__xludf.DUMMYFUNCTION("""COMPUTED_VALUE"""),2500.0)</f>
        <v>2500</v>
      </c>
      <c r="N746" s="148">
        <f>IFERROR(__xludf.DUMMYFUNCTION("""COMPUTED_VALUE"""),9999999.0)</f>
        <v>9999999</v>
      </c>
      <c r="O746" s="148">
        <f>IFERROR(__xludf.DUMMYFUNCTION("""COMPUTED_VALUE"""),1.0)</f>
        <v>1</v>
      </c>
      <c r="P746" s="148">
        <f>IFERROR(__xludf.DUMMYFUNCTION("""COMPUTED_VALUE"""),1.0)</f>
        <v>1</v>
      </c>
      <c r="Q746" s="148" t="str">
        <f>IFERROR(__xludf.DUMMYFUNCTION("""COMPUTED_VALUE"""),"[""bag_other""]")</f>
        <v>["bag_other"]</v>
      </c>
      <c r="R746" s="148" t="str">
        <f>IFERROR(__xludf.DUMMYFUNCTION("""COMPUTED_VALUE"""),"[""11731036"",""bag""]")</f>
        <v>["11731036","bag"]</v>
      </c>
      <c r="S746" s="148" t="str">
        <f>IFERROR(__xludf.DUMMYFUNCTION("""COMPUTED_VALUE"""),"{""effect"":[{""typ"":""nameplate"",""id"":11731036,""val"":-1}]}")</f>
        <v>{"effect":[{"typ":"nameplate","id":11731036,"val":-1}]}</v>
      </c>
      <c r="T746" s="148">
        <f>IFERROR(__xludf.DUMMYFUNCTION("""COMPUTED_VALUE"""),-1.0)</f>
        <v>-1</v>
      </c>
      <c r="U746" s="148">
        <f>IFERROR(__xludf.DUMMYFUNCTION("""COMPUTED_VALUE"""),0.0)</f>
        <v>0</v>
      </c>
      <c r="V746" s="148" t="str">
        <f>IFERROR(__xludf.DUMMYFUNCTION("""COMPUTED_VALUE"""),"[]")</f>
        <v>[]</v>
      </c>
      <c r="W746" s="148">
        <f>IFERROR(__xludf.DUMMYFUNCTION("""COMPUTED_VALUE"""),1.174E7)</f>
        <v>11740000</v>
      </c>
      <c r="X746" s="148">
        <f>IFERROR(__xludf.DUMMYFUNCTION("""COMPUTED_VALUE"""),0.0)</f>
        <v>0</v>
      </c>
      <c r="Y746" s="148">
        <f>IFERROR(__xludf.DUMMYFUNCTION("""COMPUTED_VALUE"""),0.0)</f>
        <v>0</v>
      </c>
      <c r="Z746" s="148"/>
    </row>
    <row r="747">
      <c r="A747" s="148">
        <f>IFERROR(__xludf.DUMMYFUNCTION("""COMPUTED_VALUE"""),1.1112544E7)</f>
        <v>11112544</v>
      </c>
      <c r="B747" s="148" t="str">
        <f>IFERROR(__xludf.DUMMYFUNCTION("""COMPUTED_VALUE"""),"2025拓荒节bp随机宝箱")</f>
        <v>2025拓荒节bp随机宝箱</v>
      </c>
      <c r="C747" s="148"/>
      <c r="D747" s="148" t="str">
        <f>IFERROR(__xludf.DUMMYFUNCTION("""COMPUTED_VALUE"""),"item_asset")</f>
        <v>item_asset</v>
      </c>
      <c r="E747" s="148">
        <f>IFERROR(__xludf.DUMMYFUNCTION("""COMPUTED_VALUE"""),19.0)</f>
        <v>19</v>
      </c>
      <c r="F747" s="148">
        <f>IFERROR(__xludf.DUMMYFUNCTION("""COMPUTED_VALUE"""),403308.0)</f>
        <v>403308</v>
      </c>
      <c r="G747" s="148">
        <f>IFERROR(__xludf.DUMMYFUNCTION("""COMPUTED_VALUE"""),1.51101545E8)</f>
        <v>151101545</v>
      </c>
      <c r="H747" s="148">
        <f>IFERROR(__xludf.DUMMYFUNCTION("""COMPUTED_VALUE"""),1.5112564E7)</f>
        <v>15112564</v>
      </c>
      <c r="I747" s="148" t="str">
        <f>IFERROR(__xludf.DUMMYFUNCTION("""COMPUTED_VALUE"""),"{}")</f>
        <v>{}</v>
      </c>
      <c r="J747" s="148" t="str">
        <f>IFERROR(__xludf.DUMMYFUNCTION("""COMPUTED_VALUE"""),"{""typ"":""lc"",""txt"":""LC_ITEM_fes_bp_box_name""}")</f>
        <v>{"typ":"lc","txt":"LC_ITEM_fes_bp_box_name"}</v>
      </c>
      <c r="K747" s="148" t="str">
        <f>IFERROR(__xludf.DUMMYFUNCTION("""COMPUTED_VALUE"""),"{""typ"":""lc"",""txt"":""LC_ITEM_fes_bp_box_desc_labor_2025""}")</f>
        <v>{"typ":"lc","txt":"LC_ITEM_fes_bp_box_desc_labor_2025"}</v>
      </c>
      <c r="L747" s="148" t="str">
        <f>IFERROR(__xludf.DUMMYFUNCTION("""COMPUTED_VALUE"""),"{}")</f>
        <v>{}</v>
      </c>
      <c r="M747" s="148">
        <f>IFERROR(__xludf.DUMMYFUNCTION("""COMPUTED_VALUE"""),135.0)</f>
        <v>135</v>
      </c>
      <c r="N747" s="148">
        <f>IFERROR(__xludf.DUMMYFUNCTION("""COMPUTED_VALUE"""),999999.0)</f>
        <v>999999</v>
      </c>
      <c r="O747" s="148">
        <f>IFERROR(__xludf.DUMMYFUNCTION("""COMPUTED_VALUE"""),99999.0)</f>
        <v>99999</v>
      </c>
      <c r="P747" s="148">
        <f>IFERROR(__xludf.DUMMYFUNCTION("""COMPUTED_VALUE"""),9999.0)</f>
        <v>9999</v>
      </c>
      <c r="Q747" s="148" t="str">
        <f>IFERROR(__xludf.DUMMYFUNCTION("""COMPUTED_VALUE"""),"[""bag_other""]")</f>
        <v>["bag_other"]</v>
      </c>
      <c r="R747" s="148" t="str">
        <f>IFERROR(__xludf.DUMMYFUNCTION("""COMPUTED_VALUE"""),"[""bag""]")</f>
        <v>["bag"]</v>
      </c>
      <c r="S747" s="148" t="str">
        <f>IFERROR(__xludf.DUMMYFUNCTION("""COMPUTED_VALUE"""),"{""drop"":{""typ"":""single_random"",""num"":1,""args"":[{""typ"":""item"",""id"":11112542,""num"":1,""wgt"":1},{""typ"":""item"",""id"":11112150,""num"":10,""wgt"":60},{""typ"":""item"",""id"":11116304,""num"":1,""wgt"":10},{""typ"":""item"",""id"":11118"&amp;"663,""num"":2,""wgt"":60},{""typ"":""item"",""id"":11116110,""num"":2,""wgt"":60},{""typ"":""item"",""id"":11114330,""num"":1,""wgt"":300},{""typ"":""item"",""id"":11111155,""num"":2,""wgt"":300},{""typ"":""item"",""id"":11111105,""num"":2,""wgt"":100}]}}")</f>
        <v>{"drop":{"typ":"single_random","num":1,"args":[{"typ":"item","id":11112542,"num":1,"wgt":1},{"typ":"item","id":11112150,"num":10,"wgt":60},{"typ":"item","id":11116304,"num":1,"wgt":10},{"typ":"item","id":11118663,"num":2,"wgt":60},{"typ":"item","id":11116110,"num":2,"wgt":60},{"typ":"item","id":11114330,"num":1,"wgt":300},{"typ":"item","id":11111155,"num":2,"wgt":300},{"typ":"item","id":11111105,"num":2,"wgt":100}]}}</v>
      </c>
      <c r="T747" s="148">
        <f>IFERROR(__xludf.DUMMYFUNCTION("""COMPUTED_VALUE"""),-1.0)</f>
        <v>-1</v>
      </c>
      <c r="U747" s="148">
        <f>IFERROR(__xludf.DUMMYFUNCTION("""COMPUTED_VALUE"""),0.0)</f>
        <v>0</v>
      </c>
      <c r="V747" s="148" t="str">
        <f>IFERROR(__xludf.DUMMYFUNCTION("""COMPUTED_VALUE"""),"[]")</f>
        <v>[]</v>
      </c>
      <c r="W747" s="148">
        <f>IFERROR(__xludf.DUMMYFUNCTION("""COMPUTED_VALUE"""),1.174E7)</f>
        <v>11740000</v>
      </c>
      <c r="X747" s="148">
        <f>IFERROR(__xludf.DUMMYFUNCTION("""COMPUTED_VALUE"""),0.0)</f>
        <v>0</v>
      </c>
      <c r="Y747" s="148">
        <f>IFERROR(__xludf.DUMMYFUNCTION("""COMPUTED_VALUE"""),0.0)</f>
        <v>0</v>
      </c>
      <c r="Z747" s="148"/>
    </row>
    <row r="748">
      <c r="A748" s="148">
        <f>IFERROR(__xludf.DUMMYFUNCTION("""COMPUTED_VALUE"""),1.1112545E7)</f>
        <v>11112545</v>
      </c>
      <c r="B748" s="148" t="str">
        <f>IFERROR(__xludf.DUMMYFUNCTION("""COMPUTED_VALUE"""),"拓荒节2025-主城特效")</f>
        <v>拓荒节2025-主城特效</v>
      </c>
      <c r="C748" s="148"/>
      <c r="D748" s="148" t="str">
        <f>IFERROR(__xludf.DUMMYFUNCTION("""COMPUTED_VALUE"""),"city_effect")</f>
        <v>city_effect</v>
      </c>
      <c r="E748" s="148">
        <f>IFERROR(__xludf.DUMMYFUNCTION("""COMPUTED_VALUE"""),0.0)</f>
        <v>0</v>
      </c>
      <c r="F748" s="148">
        <f>IFERROR(__xludf.DUMMYFUNCTION("""COMPUTED_VALUE"""),405217.0)</f>
        <v>405217</v>
      </c>
      <c r="G748" s="148">
        <f>IFERROR(__xludf.DUMMYFUNCTION("""COMPUTED_VALUE"""),1.51101851E8)</f>
        <v>151101851</v>
      </c>
      <c r="H748" s="148">
        <f>IFERROR(__xludf.DUMMYFUNCTION("""COMPUTED_VALUE"""),1.5112564E7)</f>
        <v>15112564</v>
      </c>
      <c r="I748" s="148" t="str">
        <f>IFERROR(__xludf.DUMMYFUNCTION("""COMPUTED_VALUE"""),"{}")</f>
        <v>{}</v>
      </c>
      <c r="J748" s="148" t="str">
        <f>IFERROR(__xludf.DUMMYFUNCTION("""COMPUTED_VALUE"""),"{""typ"":""lc"",""txt"":""LC_ITEM_2025labor_city_effect_name""}")</f>
        <v>{"typ":"lc","txt":"LC_ITEM_2025labor_city_effect_name"}</v>
      </c>
      <c r="K748" s="148" t="str">
        <f>IFERROR(__xludf.DUMMYFUNCTION("""COMPUTED_VALUE"""),"{""typ"":""lc"",""txt"":""LC_ITEM_2025labor_city_effect_desc""}")</f>
        <v>{"typ":"lc","txt":"LC_ITEM_2025labor_city_effect_desc"}</v>
      </c>
      <c r="L748" s="148" t="str">
        <f>IFERROR(__xludf.DUMMYFUNCTION("""COMPUTED_VALUE"""),"{}")</f>
        <v>{}</v>
      </c>
      <c r="M748" s="148">
        <f>IFERROR(__xludf.DUMMYFUNCTION("""COMPUTED_VALUE"""),10000.0)</f>
        <v>10000</v>
      </c>
      <c r="N748" s="148">
        <f>IFERROR(__xludf.DUMMYFUNCTION("""COMPUTED_VALUE"""),999999.0)</f>
        <v>999999</v>
      </c>
      <c r="O748" s="148">
        <f>IFERROR(__xludf.DUMMYFUNCTION("""COMPUTED_VALUE"""),99999.0)</f>
        <v>99999</v>
      </c>
      <c r="P748" s="148">
        <f>IFERROR(__xludf.DUMMYFUNCTION("""COMPUTED_VALUE"""),1.0)</f>
        <v>1</v>
      </c>
      <c r="Q748" s="148" t="str">
        <f>IFERROR(__xludf.DUMMYFUNCTION("""COMPUTED_VALUE"""),"[""bag_other""]")</f>
        <v>["bag_other"]</v>
      </c>
      <c r="R748" s="148" t="str">
        <f>IFERROR(__xludf.DUMMYFUNCTION("""COMPUTED_VALUE"""),"[""bag"",""13871010""]")</f>
        <v>["bag","13871010"]</v>
      </c>
      <c r="S748" s="148" t="str">
        <f>IFERROR(__xludf.DUMMYFUNCTION("""COMPUTED_VALUE"""),"{""effect"":[{""typ"":""city_effect"",""id"":13871010,""val"":-1},{""typ"":""item"",""id"":11111034,""val"":10}]}")</f>
        <v>{"effect":[{"typ":"city_effect","id":13871010,"val":-1},{"typ":"item","id":11111034,"val":10}]}</v>
      </c>
      <c r="T748" s="148">
        <f>IFERROR(__xludf.DUMMYFUNCTION("""COMPUTED_VALUE"""),-1.0)</f>
        <v>-1</v>
      </c>
      <c r="U748" s="148">
        <f>IFERROR(__xludf.DUMMYFUNCTION("""COMPUTED_VALUE"""),0.0)</f>
        <v>0</v>
      </c>
      <c r="V748" s="148" t="str">
        <f>IFERROR(__xludf.DUMMYFUNCTION("""COMPUTED_VALUE"""),"[]")</f>
        <v>[]</v>
      </c>
      <c r="W748" s="148">
        <f>IFERROR(__xludf.DUMMYFUNCTION("""COMPUTED_VALUE"""),1.174E7)</f>
        <v>11740000</v>
      </c>
      <c r="X748" s="148">
        <f>IFERROR(__xludf.DUMMYFUNCTION("""COMPUTED_VALUE"""),0.0)</f>
        <v>0</v>
      </c>
      <c r="Y748" s="148">
        <f>IFERROR(__xludf.DUMMYFUNCTION("""COMPUTED_VALUE"""),0.0)</f>
        <v>0</v>
      </c>
      <c r="Z748" s="148"/>
    </row>
    <row r="749">
      <c r="A749" s="148">
        <f>IFERROR(__xludf.DUMMYFUNCTION("""COMPUTED_VALUE"""),1.1112546E7)</f>
        <v>11112546</v>
      </c>
      <c r="B749" s="148" t="str">
        <f>IFERROR(__xludf.DUMMYFUNCTION("""COMPUTED_VALUE"""),"2025拓荒节主城自选道具")</f>
        <v>2025拓荒节主城自选道具</v>
      </c>
      <c r="C749" s="148"/>
      <c r="D749" s="148" t="str">
        <f>IFERROR(__xludf.DUMMYFUNCTION("""COMPUTED_VALUE"""),"item_select_box")</f>
        <v>item_select_box</v>
      </c>
      <c r="E749" s="148">
        <f>IFERROR(__xludf.DUMMYFUNCTION("""COMPUTED_VALUE"""),19.0)</f>
        <v>19</v>
      </c>
      <c r="F749" s="148">
        <f>IFERROR(__xludf.DUMMYFUNCTION("""COMPUTED_VALUE"""),403200.0)</f>
        <v>403200</v>
      </c>
      <c r="G749" s="148">
        <f>IFERROR(__xludf.DUMMYFUNCTION("""COMPUTED_VALUE"""),1.51101732E8)</f>
        <v>151101732</v>
      </c>
      <c r="H749" s="148">
        <f>IFERROR(__xludf.DUMMYFUNCTION("""COMPUTED_VALUE"""),1.5112564E7)</f>
        <v>15112564</v>
      </c>
      <c r="I749" s="148" t="str">
        <f>IFERROR(__xludf.DUMMYFUNCTION("""COMPUTED_VALUE"""),"{}")</f>
        <v>{}</v>
      </c>
      <c r="J749" s="148" t="str">
        <f>IFERROR(__xludf.DUMMYFUNCTION("""COMPUTED_VALUE"""),"{""typ"":""lc"",""txt"":""LC_ITEM_2025labor_skin_box_name""}")</f>
        <v>{"typ":"lc","txt":"LC_ITEM_2025labor_skin_box_name"}</v>
      </c>
      <c r="K749" s="148" t="str">
        <f>IFERROR(__xludf.DUMMYFUNCTION("""COMPUTED_VALUE"""),"{""typ"":""lc"",""txt"":""LC_ITEM_2025labor_skin_box_desc"",""args"":[{""typ"":""int"",""val"":1},{""typ"":""int"",""val"":1}]}")</f>
        <v>{"typ":"lc","txt":"LC_ITEM_2025labor_skin_box_desc","args":[{"typ":"int","val":1},{"typ":"int","val":1}]}</v>
      </c>
      <c r="L749" s="148" t="str">
        <f>IFERROR(__xludf.DUMMYFUNCTION("""COMPUTED_VALUE"""),"{""typ"":""lc"",""txt"":""LC_ITEM_chest_from_atk_npc_usedtip""}")</f>
        <v>{"typ":"lc","txt":"LC_ITEM_chest_from_atk_npc_usedtip"}</v>
      </c>
      <c r="M749" s="148">
        <f>IFERROR(__xludf.DUMMYFUNCTION("""COMPUTED_VALUE"""),1000.0)</f>
        <v>1000</v>
      </c>
      <c r="N749" s="148">
        <f>IFERROR(__xludf.DUMMYFUNCTION("""COMPUTED_VALUE"""),999999.0)</f>
        <v>999999</v>
      </c>
      <c r="O749" s="148">
        <f>IFERROR(__xludf.DUMMYFUNCTION("""COMPUTED_VALUE"""),99999.0)</f>
        <v>99999</v>
      </c>
      <c r="P749" s="148">
        <f>IFERROR(__xludf.DUMMYFUNCTION("""COMPUTED_VALUE"""),99999.0)</f>
        <v>99999</v>
      </c>
      <c r="Q749" s="148" t="str">
        <f>IFERROR(__xludf.DUMMYFUNCTION("""COMPUTED_VALUE"""),"[""bag_other""]")</f>
        <v>["bag_other"]</v>
      </c>
      <c r="R749" s="148" t="str">
        <f>IFERROR(__xludf.DUMMYFUNCTION("""COMPUTED_VALUE"""),"[""bag""]")</f>
        <v>["bag"]</v>
      </c>
      <c r="S749" s="148" t="str">
        <f>IFERROR(__xludf.DUMMYFUNCTION("""COMPUTED_VALUE"""),"{""select_box"":[{""typ"":""item"",""id"":11112169,""val"":1},{""typ"":""item"",""id"":11112036,""val"":1},{""typ"":""item"",""id"":11112022,""val"":1},{""typ"":""item"",""id"":11111334,""val"":1},{""typ"":""item"",""id"":11111331,""val"":1},{""typ"":""it"&amp;"em"",""id"":11112030,""val"":4500}]}")</f>
        <v>{"select_box":[{"typ":"item","id":11112169,"val":1},{"typ":"item","id":11112036,"val":1},{"typ":"item","id":11112022,"val":1},{"typ":"item","id":11111334,"val":1},{"typ":"item","id":11111331,"val":1},{"typ":"item","id":11112030,"val":4500}]}</v>
      </c>
      <c r="T749" s="148">
        <f>IFERROR(__xludf.DUMMYFUNCTION("""COMPUTED_VALUE"""),1.0)</f>
        <v>1</v>
      </c>
      <c r="U749" s="148">
        <f>IFERROR(__xludf.DUMMYFUNCTION("""COMPUTED_VALUE"""),0.0)</f>
        <v>0</v>
      </c>
      <c r="V749" s="148" t="str">
        <f>IFERROR(__xludf.DUMMYFUNCTION("""COMPUTED_VALUE"""),"[]")</f>
        <v>[]</v>
      </c>
      <c r="W749" s="148">
        <f>IFERROR(__xludf.DUMMYFUNCTION("""COMPUTED_VALUE"""),1.174E7)</f>
        <v>11740000</v>
      </c>
      <c r="X749" s="148">
        <f>IFERROR(__xludf.DUMMYFUNCTION("""COMPUTED_VALUE"""),0.0)</f>
        <v>0</v>
      </c>
      <c r="Y749" s="148">
        <f>IFERROR(__xludf.DUMMYFUNCTION("""COMPUTED_VALUE"""),0.0)</f>
        <v>0</v>
      </c>
      <c r="Z749" s="148"/>
    </row>
    <row r="750">
      <c r="A750" s="148">
        <f>IFERROR(__xludf.DUMMYFUNCTION("""COMPUTED_VALUE"""),1.1112547E7)</f>
        <v>11112547</v>
      </c>
      <c r="B750" s="148" t="str">
        <f>IFERROR(__xludf.DUMMYFUNCTION("""COMPUTED_VALUE"""),"2025深海节-旧装饰自选宝箱")</f>
        <v>2025深海节-旧装饰自选宝箱</v>
      </c>
      <c r="C750" s="148"/>
      <c r="D750" s="148" t="str">
        <f>IFERROR(__xludf.DUMMYFUNCTION("""COMPUTED_VALUE"""),"item_select_box")</f>
        <v>item_select_box</v>
      </c>
      <c r="E750" s="148">
        <f>IFERROR(__xludf.DUMMYFUNCTION("""COMPUTED_VALUE"""),19.0)</f>
        <v>19</v>
      </c>
      <c r="F750" s="148">
        <f>IFERROR(__xludf.DUMMYFUNCTION("""COMPUTED_VALUE"""),408195.0)</f>
        <v>408195</v>
      </c>
      <c r="G750" s="148">
        <f>IFERROR(__xludf.DUMMYFUNCTION("""COMPUTED_VALUE"""),1.51102213E8)</f>
        <v>151102213</v>
      </c>
      <c r="H750" s="148">
        <f>IFERROR(__xludf.DUMMYFUNCTION("""COMPUTED_VALUE"""),1.5112564E7)</f>
        <v>15112564</v>
      </c>
      <c r="I750" s="148" t="str">
        <f>IFERROR(__xludf.DUMMYFUNCTION("""COMPUTED_VALUE"""),"{}")</f>
        <v>{}</v>
      </c>
      <c r="J750" s="148" t="str">
        <f>IFERROR(__xludf.DUMMYFUNCTION("""COMPUTED_VALUE"""),"{""typ"":""lc"",""txt"":""LC_ITEM_select_chest_box1""}")</f>
        <v>{"typ":"lc","txt":"LC_ITEM_select_chest_box1"}</v>
      </c>
      <c r="K750" s="148" t="str">
        <f>IFERROR(__xludf.DUMMYFUNCTION("""COMPUTED_VALUE"""),"{""typ"":""lc"",""txt"":""LC_ITEM_mecha_select_box_desc""}")</f>
        <v>{"typ":"lc","txt":"LC_ITEM_mecha_select_box_desc"}</v>
      </c>
      <c r="L750" s="148" t="str">
        <f>IFERROR(__xludf.DUMMYFUNCTION("""COMPUTED_VALUE"""),"{}")</f>
        <v>{}</v>
      </c>
      <c r="M750" s="148">
        <f>IFERROR(__xludf.DUMMYFUNCTION("""COMPUTED_VALUE"""),1000.0)</f>
        <v>1000</v>
      </c>
      <c r="N750" s="148">
        <f>IFERROR(__xludf.DUMMYFUNCTION("""COMPUTED_VALUE"""),9999999.0)</f>
        <v>9999999</v>
      </c>
      <c r="O750" s="148">
        <f>IFERROR(__xludf.DUMMYFUNCTION("""COMPUTED_VALUE"""),99999.0)</f>
        <v>99999</v>
      </c>
      <c r="P750" s="148">
        <f>IFERROR(__xludf.DUMMYFUNCTION("""COMPUTED_VALUE"""),99999.0)</f>
        <v>99999</v>
      </c>
      <c r="Q750" s="148" t="str">
        <f>IFERROR(__xludf.DUMMYFUNCTION("""COMPUTED_VALUE"""),"[""bag_other""]")</f>
        <v>["bag_other"]</v>
      </c>
      <c r="R750" s="148" t="str">
        <f>IFERROR(__xludf.DUMMYFUNCTION("""COMPUTED_VALUE"""),"[""bag""]")</f>
        <v>["bag"]</v>
      </c>
      <c r="S750" s="148" t="str">
        <f>IFERROR(__xludf.DUMMYFUNCTION("""COMPUTED_VALUE"""),"{""select_box"":[{""typ"":""item"",""id"":11111346,""val"":1},{""typ"":""item"",""id"":11111347,""val"":1},{""typ"":""item"",""id"":11111349,""val"":1},{""typ"":""item"",""id"":11111350,""val"":1},{""typ"":""item"",""id"":11111351,""val"":1},{""typ"":""it"&amp;"em"",""id"":11111353,""val"":1},{""typ"":""item"",""id"":11111356,""val"":1},{""typ"":""item"",""id"":11112018,""val"":1},{""typ"":""item"",""id"":11112042,""val"":1},{""typ"":""item"",""id"":11112082,""val"":1},{""typ"":""item"",""id"":11112111,""val"":1"&amp;"},{""typ"":""item"",""id"":11112133,""val"":1},{""typ"":""item"",""id"":11112171,""val"":1},{""typ"":""item"",""id"":11112030,""val"":50}]}")</f>
        <v>{"select_box":[{"typ":"item","id":11111346,"val":1},{"typ":"item","id":11111347,"val":1},{"typ":"item","id":11111349,"val":1},{"typ":"item","id":11111350,"val":1},{"typ":"item","id":11111351,"val":1},{"typ":"item","id":11111353,"val":1},{"typ":"item","id":11111356,"val":1},{"typ":"item","id":11112018,"val":1},{"typ":"item","id":11112042,"val":1},{"typ":"item","id":11112082,"val":1},{"typ":"item","id":11112111,"val":1},{"typ":"item","id":11112133,"val":1},{"typ":"item","id":11112171,"val":1},{"typ":"item","id":11112030,"val":50}]}</v>
      </c>
      <c r="T750" s="148">
        <f>IFERROR(__xludf.DUMMYFUNCTION("""COMPUTED_VALUE"""),-1.0)</f>
        <v>-1</v>
      </c>
      <c r="U750" s="148">
        <f>IFERROR(__xludf.DUMMYFUNCTION("""COMPUTED_VALUE"""),0.0)</f>
        <v>0</v>
      </c>
      <c r="V750" s="148" t="str">
        <f>IFERROR(__xludf.DUMMYFUNCTION("""COMPUTED_VALUE"""),"[]")</f>
        <v>[]</v>
      </c>
      <c r="W750" s="148">
        <f>IFERROR(__xludf.DUMMYFUNCTION("""COMPUTED_VALUE"""),1.1741002E7)</f>
        <v>11741002</v>
      </c>
      <c r="X750" s="148">
        <f>IFERROR(__xludf.DUMMYFUNCTION("""COMPUTED_VALUE"""),0.0)</f>
        <v>0</v>
      </c>
      <c r="Y750" s="148">
        <f>IFERROR(__xludf.DUMMYFUNCTION("""COMPUTED_VALUE"""),0.0)</f>
        <v>0</v>
      </c>
      <c r="Z750" s="148"/>
    </row>
    <row r="751">
      <c r="A751" s="148">
        <f>IFERROR(__xludf.DUMMYFUNCTION("""COMPUTED_VALUE"""),1.1112548E7)</f>
        <v>11112548</v>
      </c>
      <c r="B751" s="148" t="str">
        <f>IFERROR(__xludf.DUMMYFUNCTION("""COMPUTED_VALUE"""),"2025深海节头像框-静态")</f>
        <v>2025深海节头像框-静态</v>
      </c>
      <c r="C751" s="148"/>
      <c r="D751" s="148" t="str">
        <f>IFERROR(__xludf.DUMMYFUNCTION("""COMPUTED_VALUE"""),"avatar_frame")</f>
        <v>avatar_frame</v>
      </c>
      <c r="E751" s="148">
        <f>IFERROR(__xludf.DUMMYFUNCTION("""COMPUTED_VALUE"""),20.0)</f>
        <v>20</v>
      </c>
      <c r="F751" s="148">
        <f>IFERROR(__xludf.DUMMYFUNCTION("""COMPUTED_VALUE"""),0.0)</f>
        <v>0</v>
      </c>
      <c r="G751" s="148">
        <f>IFERROR(__xludf.DUMMYFUNCTION("""COMPUTED_VALUE"""),1.51102212E8)</f>
        <v>151102212</v>
      </c>
      <c r="H751" s="148">
        <f>IFERROR(__xludf.DUMMYFUNCTION("""COMPUTED_VALUE"""),1.5112564E7)</f>
        <v>15112564</v>
      </c>
      <c r="I751" s="148" t="str">
        <f>IFERROR(__xludf.DUMMYFUNCTION("""COMPUTED_VALUE"""),"{}")</f>
        <v>{}</v>
      </c>
      <c r="J751" s="148" t="str">
        <f>IFERROR(__xludf.DUMMYFUNCTION("""COMPUTED_VALUE"""),"{""typ"":""lc"",""txt"":""LC_ITEM_sea_stationary_avatar_name_2025""}")</f>
        <v>{"typ":"lc","txt":"LC_ITEM_sea_stationary_avatar_name_2025"}</v>
      </c>
      <c r="K751" s="148" t="str">
        <f>IFERROR(__xludf.DUMMYFUNCTION("""COMPUTED_VALUE"""),"{""typ"":""lc"",""txt"":""LC_ITEM_sea_stationary_avatar_desc_2025""}")</f>
        <v>{"typ":"lc","txt":"LC_ITEM_sea_stationary_avatar_desc_2025"}</v>
      </c>
      <c r="L751" s="148" t="str">
        <f>IFERROR(__xludf.DUMMYFUNCTION("""COMPUTED_VALUE"""),"{}")</f>
        <v>{}</v>
      </c>
      <c r="M751" s="148">
        <f>IFERROR(__xludf.DUMMYFUNCTION("""COMPUTED_VALUE"""),1000.0)</f>
        <v>1000</v>
      </c>
      <c r="N751" s="148">
        <f>IFERROR(__xludf.DUMMYFUNCTION("""COMPUTED_VALUE"""),1.0)</f>
        <v>1</v>
      </c>
      <c r="O751" s="148">
        <f>IFERROR(__xludf.DUMMYFUNCTION("""COMPUTED_VALUE"""),1.0)</f>
        <v>1</v>
      </c>
      <c r="P751" s="148">
        <f>IFERROR(__xludf.DUMMYFUNCTION("""COMPUTED_VALUE"""),1.0)</f>
        <v>1</v>
      </c>
      <c r="Q751" s="148" t="str">
        <f>IFERROR(__xludf.DUMMYFUNCTION("""COMPUTED_VALUE"""),"[]")</f>
        <v>[]</v>
      </c>
      <c r="R751" s="148" t="str">
        <f>IFERROR(__xludf.DUMMYFUNCTION("""COMPUTED_VALUE"""),"[""11421065""]")</f>
        <v>["11421065"]</v>
      </c>
      <c r="S751" s="148" t="str">
        <f>IFERROR(__xludf.DUMMYFUNCTION("""COMPUTED_VALUE"""),"{""effect"":[{""typ"":""avatar_frame"",""id"":11421065,""val"":-1}]}")</f>
        <v>{"effect":[{"typ":"avatar_frame","id":11421065,"val":-1}]}</v>
      </c>
      <c r="T751" s="148">
        <f>IFERROR(__xludf.DUMMYFUNCTION("""COMPUTED_VALUE"""),-1.0)</f>
        <v>-1</v>
      </c>
      <c r="U751" s="148">
        <f>IFERROR(__xludf.DUMMYFUNCTION("""COMPUTED_VALUE"""),1.0)</f>
        <v>1</v>
      </c>
      <c r="V751" s="148" t="str">
        <f>IFERROR(__xludf.DUMMYFUNCTION("""COMPUTED_VALUE"""),"[]")</f>
        <v>[]</v>
      </c>
      <c r="W751" s="148">
        <f>IFERROR(__xludf.DUMMYFUNCTION("""COMPUTED_VALUE"""),1.174E7)</f>
        <v>11740000</v>
      </c>
      <c r="X751" s="148">
        <f>IFERROR(__xludf.DUMMYFUNCTION("""COMPUTED_VALUE"""),0.0)</f>
        <v>0</v>
      </c>
      <c r="Y751" s="148">
        <f>IFERROR(__xludf.DUMMYFUNCTION("""COMPUTED_VALUE"""),0.0)</f>
        <v>0</v>
      </c>
      <c r="Z751" s="148"/>
    </row>
    <row r="752">
      <c r="A752" s="148">
        <f>IFERROR(__xludf.DUMMYFUNCTION("""COMPUTED_VALUE"""),1.1112549E7)</f>
        <v>11112549</v>
      </c>
      <c r="B752" s="148" t="str">
        <f>IFERROR(__xludf.DUMMYFUNCTION("""COMPUTED_VALUE"""),"深海节（2025）外圈gacha道具-废弃")</f>
        <v>深海节（2025）外圈gacha道具-废弃</v>
      </c>
      <c r="C752" s="148"/>
      <c r="D752" s="148" t="str">
        <f>IFERROR(__xludf.DUMMYFUNCTION("""COMPUTED_VALUE"""),"event")</f>
        <v>event</v>
      </c>
      <c r="E752" s="148">
        <f>IFERROR(__xludf.DUMMYFUNCTION("""COMPUTED_VALUE"""),0.0)</f>
        <v>0</v>
      </c>
      <c r="F752" s="148">
        <f>IFERROR(__xludf.DUMMYFUNCTION("""COMPUTED_VALUE"""),405226.0)</f>
        <v>405226</v>
      </c>
      <c r="G752" s="148">
        <f>IFERROR(__xludf.DUMMYFUNCTION("""COMPUTED_VALUE"""),1.51101535E8)</f>
        <v>151101535</v>
      </c>
      <c r="H752" s="148">
        <f>IFERROR(__xludf.DUMMYFUNCTION("""COMPUTED_VALUE"""),1.5112564E7)</f>
        <v>15112564</v>
      </c>
      <c r="I752" s="148" t="str">
        <f>IFERROR(__xludf.DUMMYFUNCTION("""COMPUTED_VALUE"""),"{}")</f>
        <v>{}</v>
      </c>
      <c r="J752" s="148" t="str">
        <f>IFERROR(__xludf.DUMMYFUNCTION("""COMPUTED_VALUE"""),"{""typ"":""lc"",""txt"":""LC_ITEM_2025sci_item_name_0""}")</f>
        <v>{"typ":"lc","txt":"LC_ITEM_2025sci_item_name_0"}</v>
      </c>
      <c r="K752" s="148" t="str">
        <f>IFERROR(__xludf.DUMMYFUNCTION("""COMPUTED_VALUE"""),"{""typ"":""lc"",""txt"":""LC_ITEM_2025sci_item_desc_0""}")</f>
        <v>{"typ":"lc","txt":"LC_ITEM_2025sci_item_desc_0"}</v>
      </c>
      <c r="L752" s="148" t="str">
        <f>IFERROR(__xludf.DUMMYFUNCTION("""COMPUTED_VALUE"""),"{}")</f>
        <v>{}</v>
      </c>
      <c r="M752" s="148">
        <f>IFERROR(__xludf.DUMMYFUNCTION("""COMPUTED_VALUE"""),700.0)</f>
        <v>700</v>
      </c>
      <c r="N752" s="148">
        <f>IFERROR(__xludf.DUMMYFUNCTION("""COMPUTED_VALUE"""),9.99999999E8)</f>
        <v>999999999</v>
      </c>
      <c r="O752" s="148">
        <f>IFERROR(__xludf.DUMMYFUNCTION("""COMPUTED_VALUE"""),9.99999999E8)</f>
        <v>999999999</v>
      </c>
      <c r="P752" s="148">
        <f>IFERROR(__xludf.DUMMYFUNCTION("""COMPUTED_VALUE"""),9.99999999E8)</f>
        <v>999999999</v>
      </c>
      <c r="Q752" s="148" t="str">
        <f>IFERROR(__xludf.DUMMYFUNCTION("""COMPUTED_VALUE"""),"[""bag_other""]")</f>
        <v>["bag_other"]</v>
      </c>
      <c r="R752" s="148" t="str">
        <f>IFERROR(__xludf.DUMMYFUNCTION("""COMPUTED_VALUE"""),"[""bag""]")</f>
        <v>["bag"]</v>
      </c>
      <c r="S752" s="148" t="str">
        <f>IFERROR(__xludf.DUMMYFUNCTION("""COMPUTED_VALUE"""),"{}")</f>
        <v>{}</v>
      </c>
      <c r="T752" s="148">
        <f>IFERROR(__xludf.DUMMYFUNCTION("""COMPUTED_VALUE"""),1.0)</f>
        <v>1</v>
      </c>
      <c r="U752" s="148">
        <f>IFERROR(__xludf.DUMMYFUNCTION("""COMPUTED_VALUE"""),0.0)</f>
        <v>0</v>
      </c>
      <c r="V752" s="148" t="str">
        <f>IFERROR(__xludf.DUMMYFUNCTION("""COMPUTED_VALUE"""),"[]")</f>
        <v>[]</v>
      </c>
      <c r="W752" s="148">
        <f>IFERROR(__xludf.DUMMYFUNCTION("""COMPUTED_VALUE"""),1.174E7)</f>
        <v>11740000</v>
      </c>
      <c r="X752" s="148">
        <f>IFERROR(__xludf.DUMMYFUNCTION("""COMPUTED_VALUE"""),0.0)</f>
        <v>0</v>
      </c>
      <c r="Y752" s="148">
        <f>IFERROR(__xludf.DUMMYFUNCTION("""COMPUTED_VALUE"""),0.0)</f>
        <v>0</v>
      </c>
      <c r="Z752" s="148"/>
    </row>
    <row r="753">
      <c r="A753" s="148">
        <f>IFERROR(__xludf.DUMMYFUNCTION("""COMPUTED_VALUE"""),1.111255E7)</f>
        <v>11112550</v>
      </c>
      <c r="B753" s="148" t="str">
        <f>IFERROR(__xludf.DUMMYFUNCTION("""COMPUTED_VALUE"""),"深海节2025gacha专用-增加内圈抽奖次数-废弃")</f>
        <v>深海节2025gacha专用-增加内圈抽奖次数-废弃</v>
      </c>
      <c r="C753" s="148"/>
      <c r="D753" s="148" t="str">
        <f>IFERROR(__xludf.DUMMYFUNCTION("""COMPUTED_VALUE"""),"event")</f>
        <v>event</v>
      </c>
      <c r="E753" s="148">
        <f>IFERROR(__xludf.DUMMYFUNCTION("""COMPUTED_VALUE"""),0.0)</f>
        <v>0</v>
      </c>
      <c r="F753" s="148">
        <f>IFERROR(__xludf.DUMMYFUNCTION("""COMPUTED_VALUE"""),0.0)</f>
        <v>0</v>
      </c>
      <c r="G753" s="148">
        <f>IFERROR(__xludf.DUMMYFUNCTION("""COMPUTED_VALUE"""),1.51101536E8)</f>
        <v>151101536</v>
      </c>
      <c r="H753" s="148">
        <f>IFERROR(__xludf.DUMMYFUNCTION("""COMPUTED_VALUE"""),1.5112564E7)</f>
        <v>15112564</v>
      </c>
      <c r="I753" s="148" t="str">
        <f>IFERROR(__xludf.DUMMYFUNCTION("""COMPUTED_VALUE"""),"{}")</f>
        <v>{}</v>
      </c>
      <c r="J753" s="148" t="str">
        <f>IFERROR(__xludf.DUMMYFUNCTION("""COMPUTED_VALUE"""),"{""typ"":""lc"",""txt"":""LC_ITEM_2025sci_item_name_1""}")</f>
        <v>{"typ":"lc","txt":"LC_ITEM_2025sci_item_name_1"}</v>
      </c>
      <c r="K753" s="148" t="str">
        <f>IFERROR(__xludf.DUMMYFUNCTION("""COMPUTED_VALUE"""),"{""typ"":""lc"",""txt"":""LC_ITEM_2025sci_item_desc_1""}")</f>
        <v>{"typ":"lc","txt":"LC_ITEM_2025sci_item_desc_1"}</v>
      </c>
      <c r="L753" s="148" t="str">
        <f>IFERROR(__xludf.DUMMYFUNCTION("""COMPUTED_VALUE"""),"{}")</f>
        <v>{}</v>
      </c>
      <c r="M753" s="148">
        <f>IFERROR(__xludf.DUMMYFUNCTION("""COMPUTED_VALUE"""),700.0)</f>
        <v>700</v>
      </c>
      <c r="N753" s="148">
        <f>IFERROR(__xludf.DUMMYFUNCTION("""COMPUTED_VALUE"""),9.99999999E8)</f>
        <v>999999999</v>
      </c>
      <c r="O753" s="148">
        <f>IFERROR(__xludf.DUMMYFUNCTION("""COMPUTED_VALUE"""),9.99999999E8)</f>
        <v>999999999</v>
      </c>
      <c r="P753" s="148">
        <f>IFERROR(__xludf.DUMMYFUNCTION("""COMPUTED_VALUE"""),9.99999999E8)</f>
        <v>999999999</v>
      </c>
      <c r="Q753" s="148" t="str">
        <f>IFERROR(__xludf.DUMMYFUNCTION("""COMPUTED_VALUE"""),"[]")</f>
        <v>[]</v>
      </c>
      <c r="R753" s="148" t="str">
        <f>IFERROR(__xludf.DUMMYFUNCTION("""COMPUTED_VALUE"""),"[""bag""]")</f>
        <v>["bag"]</v>
      </c>
      <c r="S753" s="148" t="str">
        <f>IFERROR(__xludf.DUMMYFUNCTION("""COMPUTED_VALUE"""),"{}")</f>
        <v>{}</v>
      </c>
      <c r="T753" s="148">
        <f>IFERROR(__xludf.DUMMYFUNCTION("""COMPUTED_VALUE"""),1.0)</f>
        <v>1</v>
      </c>
      <c r="U753" s="148">
        <f>IFERROR(__xludf.DUMMYFUNCTION("""COMPUTED_VALUE"""),0.0)</f>
        <v>0</v>
      </c>
      <c r="V753" s="148" t="str">
        <f>IFERROR(__xludf.DUMMYFUNCTION("""COMPUTED_VALUE"""),"[]")</f>
        <v>[]</v>
      </c>
      <c r="W753" s="148">
        <f>IFERROR(__xludf.DUMMYFUNCTION("""COMPUTED_VALUE"""),1.174E7)</f>
        <v>11740000</v>
      </c>
      <c r="X753" s="148">
        <f>IFERROR(__xludf.DUMMYFUNCTION("""COMPUTED_VALUE"""),0.0)</f>
        <v>0</v>
      </c>
      <c r="Y753" s="148">
        <f>IFERROR(__xludf.DUMMYFUNCTION("""COMPUTED_VALUE"""),0.0)</f>
        <v>0</v>
      </c>
      <c r="Z753" s="148"/>
    </row>
    <row r="754">
      <c r="A754" s="148">
        <f>IFERROR(__xludf.DUMMYFUNCTION("""COMPUTED_VALUE"""),1.1112551E7)</f>
        <v>11112551</v>
      </c>
      <c r="B754" s="148" t="str">
        <f>IFERROR(__xludf.DUMMYFUNCTION("""COMPUTED_VALUE"""),"罗盘-深海节2025活动GACHA道具")</f>
        <v>罗盘-深海节2025活动GACHA道具</v>
      </c>
      <c r="C754" s="148"/>
      <c r="D754" s="148" t="str">
        <f>IFERROR(__xludf.DUMMYFUNCTION("""COMPUTED_VALUE"""),"event")</f>
        <v>event</v>
      </c>
      <c r="E754" s="148">
        <f>IFERROR(__xludf.DUMMYFUNCTION("""COMPUTED_VALUE"""),0.0)</f>
        <v>0</v>
      </c>
      <c r="F754" s="148">
        <f>IFERROR(__xludf.DUMMYFUNCTION("""COMPUTED_VALUE"""),405243.0)</f>
        <v>405243</v>
      </c>
      <c r="G754" s="148">
        <f>IFERROR(__xludf.DUMMYFUNCTION("""COMPUTED_VALUE"""),1.51102191E8)</f>
        <v>151102191</v>
      </c>
      <c r="H754" s="148">
        <f>IFERROR(__xludf.DUMMYFUNCTION("""COMPUTED_VALUE"""),1.5112564E7)</f>
        <v>15112564</v>
      </c>
      <c r="I754" s="148" t="str">
        <f>IFERROR(__xludf.DUMMYFUNCTION("""COMPUTED_VALUE"""),"{}")</f>
        <v>{}</v>
      </c>
      <c r="J754" s="148" t="str">
        <f>IFERROR(__xludf.DUMMYFUNCTION("""COMPUTED_VALUE"""),"{""typ"":""lc"",""txt"":""LC_ITEM_2025deepsea_gacha_item""}")</f>
        <v>{"typ":"lc","txt":"LC_ITEM_2025deepsea_gacha_item"}</v>
      </c>
      <c r="K754" s="148" t="str">
        <f>IFERROR(__xludf.DUMMYFUNCTION("""COMPUTED_VALUE"""),"{""typ"":""lc"",""txt"":""LC_ITEM_2025deepsea_gacha_desc""}")</f>
        <v>{"typ":"lc","txt":"LC_ITEM_2025deepsea_gacha_desc"}</v>
      </c>
      <c r="L754" s="148" t="str">
        <f>IFERROR(__xludf.DUMMYFUNCTION("""COMPUTED_VALUE"""),"{}")</f>
        <v>{}</v>
      </c>
      <c r="M754" s="148">
        <f>IFERROR(__xludf.DUMMYFUNCTION("""COMPUTED_VALUE"""),700.0)</f>
        <v>700</v>
      </c>
      <c r="N754" s="148">
        <f>IFERROR(__xludf.DUMMYFUNCTION("""COMPUTED_VALUE"""),9.99999999E8)</f>
        <v>999999999</v>
      </c>
      <c r="O754" s="148">
        <f>IFERROR(__xludf.DUMMYFUNCTION("""COMPUTED_VALUE"""),9.99999999E8)</f>
        <v>999999999</v>
      </c>
      <c r="P754" s="148">
        <f>IFERROR(__xludf.DUMMYFUNCTION("""COMPUTED_VALUE"""),9.99999999E8)</f>
        <v>999999999</v>
      </c>
      <c r="Q754" s="148" t="str">
        <f>IFERROR(__xludf.DUMMYFUNCTION("""COMPUTED_VALUE"""),"[""bag_other""]")</f>
        <v>["bag_other"]</v>
      </c>
      <c r="R754" s="148" t="str">
        <f>IFERROR(__xludf.DUMMYFUNCTION("""COMPUTED_VALUE"""),"[""bag""]")</f>
        <v>["bag"]</v>
      </c>
      <c r="S754" s="148" t="str">
        <f>IFERROR(__xludf.DUMMYFUNCTION("""COMPUTED_VALUE"""),"{}")</f>
        <v>{}</v>
      </c>
      <c r="T754" s="148">
        <f>IFERROR(__xludf.DUMMYFUNCTION("""COMPUTED_VALUE"""),1.0)</f>
        <v>1</v>
      </c>
      <c r="U754" s="148">
        <f>IFERROR(__xludf.DUMMYFUNCTION("""COMPUTED_VALUE"""),0.0)</f>
        <v>0</v>
      </c>
      <c r="V754" s="148" t="str">
        <f>IFERROR(__xludf.DUMMYFUNCTION("""COMPUTED_VALUE"""),"[]")</f>
        <v>[]</v>
      </c>
      <c r="W754" s="148">
        <f>IFERROR(__xludf.DUMMYFUNCTION("""COMPUTED_VALUE"""),1.174E7)</f>
        <v>11740000</v>
      </c>
      <c r="X754" s="148">
        <f>IFERROR(__xludf.DUMMYFUNCTION("""COMPUTED_VALUE"""),0.0)</f>
        <v>0</v>
      </c>
      <c r="Y754" s="148">
        <f>IFERROR(__xludf.DUMMYFUNCTION("""COMPUTED_VALUE"""),0.0)</f>
        <v>0</v>
      </c>
      <c r="Z754" s="148"/>
    </row>
    <row r="755">
      <c r="A755" s="148">
        <f>IFERROR(__xludf.DUMMYFUNCTION("""COMPUTED_VALUE"""),1.1112552E7)</f>
        <v>11112552</v>
      </c>
      <c r="B755" s="148" t="str">
        <f>IFERROR(__xludf.DUMMYFUNCTION("""COMPUTED_VALUE"""),"2025深海节-装饰升级版本（投放用）")</f>
        <v>2025深海节-装饰升级版本（投放用）</v>
      </c>
      <c r="C755" s="148"/>
      <c r="D755" s="148" t="str">
        <f>IFERROR(__xludf.DUMMYFUNCTION("""COMPUTED_VALUE"""),"statue_decorate")</f>
        <v>statue_decorate</v>
      </c>
      <c r="E755" s="148">
        <f>IFERROR(__xludf.DUMMYFUNCTION("""COMPUTED_VALUE"""),23.0)</f>
        <v>23</v>
      </c>
      <c r="F755" s="148">
        <f>IFERROR(__xludf.DUMMYFUNCTION("""COMPUTED_VALUE"""),0.0)</f>
        <v>0</v>
      </c>
      <c r="G755" s="148">
        <f>IFERROR(__xludf.DUMMYFUNCTION("""COMPUTED_VALUE"""),1.51102093E8)</f>
        <v>151102093</v>
      </c>
      <c r="H755" s="148">
        <f>IFERROR(__xludf.DUMMYFUNCTION("""COMPUTED_VALUE"""),1.5112564E7)</f>
        <v>15112564</v>
      </c>
      <c r="I755" s="148" t="str">
        <f>IFERROR(__xludf.DUMMYFUNCTION("""COMPUTED_VALUE"""),"{}")</f>
        <v>{}</v>
      </c>
      <c r="J755" s="148" t="str">
        <f>IFERROR(__xludf.DUMMYFUNCTION("""COMPUTED_VALUE"""),"{""typ"":""lc"",""txt"":""LC_ITEM_2025deepsea_dec_item_2""}")</f>
        <v>{"typ":"lc","txt":"LC_ITEM_2025deepsea_dec_item_2"}</v>
      </c>
      <c r="K755" s="148" t="str">
        <f>IFERROR(__xludf.DUMMYFUNCTION("""COMPUTED_VALUE"""),"{""typ"":""lc"",""txt"":""LC_ITEM_2025deepsea_dec_item_3_desc""}")</f>
        <v>{"typ":"lc","txt":"LC_ITEM_2025deepsea_dec_item_3_desc"}</v>
      </c>
      <c r="L755" s="148" t="str">
        <f>IFERROR(__xludf.DUMMYFUNCTION("""COMPUTED_VALUE"""),"{}")</f>
        <v>{}</v>
      </c>
      <c r="M755" s="148">
        <f>IFERROR(__xludf.DUMMYFUNCTION("""COMPUTED_VALUE"""),5000.0)</f>
        <v>5000</v>
      </c>
      <c r="N755" s="148">
        <f>IFERROR(__xludf.DUMMYFUNCTION("""COMPUTED_VALUE"""),999.0)</f>
        <v>999</v>
      </c>
      <c r="O755" s="148">
        <f>IFERROR(__xludf.DUMMYFUNCTION("""COMPUTED_VALUE"""),99999.0)</f>
        <v>99999</v>
      </c>
      <c r="P755" s="148">
        <f>IFERROR(__xludf.DUMMYFUNCTION("""COMPUTED_VALUE"""),99999.0)</f>
        <v>99999</v>
      </c>
      <c r="Q755" s="148" t="str">
        <f>IFERROR(__xludf.DUMMYFUNCTION("""COMPUTED_VALUE"""),"[]")</f>
        <v>[]</v>
      </c>
      <c r="R755" s="148" t="str">
        <f>IFERROR(__xludf.DUMMYFUNCTION("""COMPUTED_VALUE"""),"[""bag""]")</f>
        <v>["bag"]</v>
      </c>
      <c r="S755" s="148" t="str">
        <f>IFERROR(__xludf.DUMMYFUNCTION("""COMPUTED_VALUE"""),"{""effect"":[{""typ"":""holiday_statue"",""id"":21483101}]}")</f>
        <v>{"effect":[{"typ":"holiday_statue","id":21483101}]}</v>
      </c>
      <c r="T755" s="148">
        <f>IFERROR(__xludf.DUMMYFUNCTION("""COMPUTED_VALUE"""),-1.0)</f>
        <v>-1</v>
      </c>
      <c r="U755" s="148">
        <f>IFERROR(__xludf.DUMMYFUNCTION("""COMPUTED_VALUE"""),1.0)</f>
        <v>1</v>
      </c>
      <c r="V755" s="148" t="str">
        <f>IFERROR(__xludf.DUMMYFUNCTION("""COMPUTED_VALUE"""),"[]")</f>
        <v>[]</v>
      </c>
      <c r="W755" s="148">
        <f>IFERROR(__xludf.DUMMYFUNCTION("""COMPUTED_VALUE"""),1.174E7)</f>
        <v>11740000</v>
      </c>
      <c r="X755" s="148">
        <f>IFERROR(__xludf.DUMMYFUNCTION("""COMPUTED_VALUE"""),0.0)</f>
        <v>0</v>
      </c>
      <c r="Y755" s="148">
        <f>IFERROR(__xludf.DUMMYFUNCTION("""COMPUTED_VALUE"""),0.0)</f>
        <v>0</v>
      </c>
      <c r="Z755" s="148"/>
    </row>
    <row r="756">
      <c r="A756" s="148">
        <f>IFERROR(__xludf.DUMMYFUNCTION("""COMPUTED_VALUE"""),1.1112553E7)</f>
        <v>11112553</v>
      </c>
      <c r="B756" s="148" t="str">
        <f>IFERROR(__xludf.DUMMYFUNCTION("""COMPUTED_VALUE"""),"2025深海节-装饰升级道具")</f>
        <v>2025深海节-装饰升级道具</v>
      </c>
      <c r="C756" s="148"/>
      <c r="D756" s="148" t="str">
        <f>IFERROR(__xludf.DUMMYFUNCTION("""COMPUTED_VALUE"""),"event")</f>
        <v>event</v>
      </c>
      <c r="E756" s="148">
        <f>IFERROR(__xludf.DUMMYFUNCTION("""COMPUTED_VALUE"""),0.0)</f>
        <v>0</v>
      </c>
      <c r="F756" s="148">
        <f>IFERROR(__xludf.DUMMYFUNCTION("""COMPUTED_VALUE"""),405243.0)</f>
        <v>405243</v>
      </c>
      <c r="G756" s="148">
        <f>IFERROR(__xludf.DUMMYFUNCTION("""COMPUTED_VALUE"""),1.51102093E8)</f>
        <v>151102093</v>
      </c>
      <c r="H756" s="148">
        <f>IFERROR(__xludf.DUMMYFUNCTION("""COMPUTED_VALUE"""),1.5112564E7)</f>
        <v>15112564</v>
      </c>
      <c r="I756" s="148" t="str">
        <f>IFERROR(__xludf.DUMMYFUNCTION("""COMPUTED_VALUE"""),"{}")</f>
        <v>{}</v>
      </c>
      <c r="J756" s="148" t="str">
        <f>IFERROR(__xludf.DUMMYFUNCTION("""COMPUTED_VALUE"""),"{""typ"":""lc"",""txt"":""LC_ITEM_2025deepsea_dec_item_2""}")</f>
        <v>{"typ":"lc","txt":"LC_ITEM_2025deepsea_dec_item_2"}</v>
      </c>
      <c r="K756" s="148" t="str">
        <f>IFERROR(__xludf.DUMMYFUNCTION("""COMPUTED_VALUE"""),"{""typ"":""lc"",""txt"":""LC_ITEM_2025deepsea_dec_item_3_desc""}")</f>
        <v>{"typ":"lc","txt":"LC_ITEM_2025deepsea_dec_item_3_desc"}</v>
      </c>
      <c r="L756" s="148" t="str">
        <f>IFERROR(__xludf.DUMMYFUNCTION("""COMPUTED_VALUE"""),"{}")</f>
        <v>{}</v>
      </c>
      <c r="M756" s="148">
        <f>IFERROR(__xludf.DUMMYFUNCTION("""COMPUTED_VALUE"""),1000.0)</f>
        <v>1000</v>
      </c>
      <c r="N756" s="148">
        <f>IFERROR(__xludf.DUMMYFUNCTION("""COMPUTED_VALUE"""),9.99999999E8)</f>
        <v>999999999</v>
      </c>
      <c r="O756" s="148">
        <f>IFERROR(__xludf.DUMMYFUNCTION("""COMPUTED_VALUE"""),9.99999999E8)</f>
        <v>999999999</v>
      </c>
      <c r="P756" s="148">
        <f>IFERROR(__xludf.DUMMYFUNCTION("""COMPUTED_VALUE"""),9.99999999E8)</f>
        <v>999999999</v>
      </c>
      <c r="Q756" s="148" t="str">
        <f>IFERROR(__xludf.DUMMYFUNCTION("""COMPUTED_VALUE"""),"[""bag_other""]")</f>
        <v>["bag_other"]</v>
      </c>
      <c r="R756" s="148" t="str">
        <f>IFERROR(__xludf.DUMMYFUNCTION("""COMPUTED_VALUE"""),"[]")</f>
        <v>[]</v>
      </c>
      <c r="S756" s="148" t="str">
        <f>IFERROR(__xludf.DUMMYFUNCTION("""COMPUTED_VALUE"""),"{}")</f>
        <v>{}</v>
      </c>
      <c r="T756" s="148">
        <f>IFERROR(__xludf.DUMMYFUNCTION("""COMPUTED_VALUE"""),-1.0)</f>
        <v>-1</v>
      </c>
      <c r="U756" s="148">
        <f>IFERROR(__xludf.DUMMYFUNCTION("""COMPUTED_VALUE"""),0.0)</f>
        <v>0</v>
      </c>
      <c r="V756" s="148" t="str">
        <f>IFERROR(__xludf.DUMMYFUNCTION("""COMPUTED_VALUE"""),"[]")</f>
        <v>[]</v>
      </c>
      <c r="W756" s="148">
        <f>IFERROR(__xludf.DUMMYFUNCTION("""COMPUTED_VALUE"""),1.174E7)</f>
        <v>11740000</v>
      </c>
      <c r="X756" s="148">
        <f>IFERROR(__xludf.DUMMYFUNCTION("""COMPUTED_VALUE"""),0.0)</f>
        <v>0</v>
      </c>
      <c r="Y756" s="148">
        <f>IFERROR(__xludf.DUMMYFUNCTION("""COMPUTED_VALUE"""),0.0)</f>
        <v>0</v>
      </c>
      <c r="Z756" s="148"/>
    </row>
    <row r="757">
      <c r="A757" s="148">
        <f>IFERROR(__xludf.DUMMYFUNCTION("""COMPUTED_VALUE"""),1.1112554E7)</f>
        <v>11112554</v>
      </c>
      <c r="B757" s="148" t="str">
        <f>IFERROR(__xludf.DUMMYFUNCTION("""COMPUTED_VALUE"""),"涂饰-2025深海节-涂饰道具-一天")</f>
        <v>涂饰-2025深海节-涂饰道具-一天</v>
      </c>
      <c r="C757" s="148"/>
      <c r="D757" s="148" t="str">
        <f>IFERROR(__xludf.DUMMYFUNCTION("""COMPUTED_VALUE"""),"decorate_paint")</f>
        <v>decorate_paint</v>
      </c>
      <c r="E757" s="148">
        <f>IFERROR(__xludf.DUMMYFUNCTION("""COMPUTED_VALUE"""),0.0)</f>
        <v>0</v>
      </c>
      <c r="F757" s="148">
        <f>IFERROR(__xludf.DUMMYFUNCTION("""COMPUTED_VALUE"""),0.0)</f>
        <v>0</v>
      </c>
      <c r="G757" s="148">
        <f>IFERROR(__xludf.DUMMYFUNCTION("""COMPUTED_VALUE"""),1.51102194E8)</f>
        <v>151102194</v>
      </c>
      <c r="H757" s="148">
        <f>IFERROR(__xludf.DUMMYFUNCTION("""COMPUTED_VALUE"""),1.5112564E7)</f>
        <v>15112564</v>
      </c>
      <c r="I757" s="148" t="str">
        <f>IFERROR(__xludf.DUMMYFUNCTION("""COMPUTED_VALUE"""),"{}")</f>
        <v>{}</v>
      </c>
      <c r="J757" s="148" t="str">
        <f>IFERROR(__xludf.DUMMYFUNCTION("""COMPUTED_VALUE"""),"{""typ"":""lc"",""txt"":""LC_ITEM_deepsea_paint_decoration_paint_name""}")</f>
        <v>{"typ":"lc","txt":"LC_ITEM_deepsea_paint_decoration_paint_name"}</v>
      </c>
      <c r="K757" s="148" t="str">
        <f>IFERROR(__xludf.DUMMYFUNCTION("""COMPUTED_VALUE"""),"{""typ"":""lc"",""txt"":""LC_ITEM_deepsea_paint_decoration_paint_desc""}")</f>
        <v>{"typ":"lc","txt":"LC_ITEM_deepsea_paint_decoration_paint_desc"}</v>
      </c>
      <c r="L757" s="148" t="str">
        <f>IFERROR(__xludf.DUMMYFUNCTION("""COMPUTED_VALUE"""),"{""typ"":""lc"",""txt"":""LC_TIP_use_success""}")</f>
        <v>{"typ":"lc","txt":"LC_TIP_use_success"}</v>
      </c>
      <c r="M757" s="148">
        <f>IFERROR(__xludf.DUMMYFUNCTION("""COMPUTED_VALUE"""),1000.0)</f>
        <v>1000</v>
      </c>
      <c r="N757" s="148">
        <f>IFERROR(__xludf.DUMMYFUNCTION("""COMPUTED_VALUE"""),9.99999999E8)</f>
        <v>999999999</v>
      </c>
      <c r="O757" s="148">
        <f>IFERROR(__xludf.DUMMYFUNCTION("""COMPUTED_VALUE"""),9.99999999E8)</f>
        <v>999999999</v>
      </c>
      <c r="P757" s="148">
        <f>IFERROR(__xludf.DUMMYFUNCTION("""COMPUTED_VALUE"""),1.0)</f>
        <v>1</v>
      </c>
      <c r="Q757" s="148" t="str">
        <f>IFERROR(__xludf.DUMMYFUNCTION("""COMPUTED_VALUE"""),"[""bag_other""]")</f>
        <v>["bag_other"]</v>
      </c>
      <c r="R757" s="148" t="str">
        <f>IFERROR(__xludf.DUMMYFUNCTION("""COMPUTED_VALUE"""),"[""bag"",""214831""]")</f>
        <v>["bag","214831"]</v>
      </c>
      <c r="S757" s="148" t="str">
        <f>IFERROR(__xludf.DUMMYFUNCTION("""COMPUTED_VALUE"""),"{""effect"":[{""typ"":""decorate_paint"",""id"":214831,""val"":86400000},{""typ"":""item"",""id"":11112554,""val"":1}]}")</f>
        <v>{"effect":[{"typ":"decorate_paint","id":214831,"val":86400000},{"typ":"item","id":11112554,"val":1}]}</v>
      </c>
      <c r="T757" s="148">
        <f>IFERROR(__xludf.DUMMYFUNCTION("""COMPUTED_VALUE"""),-1.0)</f>
        <v>-1</v>
      </c>
      <c r="U757" s="148">
        <f>IFERROR(__xludf.DUMMYFUNCTION("""COMPUTED_VALUE"""),0.0)</f>
        <v>0</v>
      </c>
      <c r="V757" s="148" t="str">
        <f>IFERROR(__xludf.DUMMYFUNCTION("""COMPUTED_VALUE"""),"[]")</f>
        <v>[]</v>
      </c>
      <c r="W757" s="148">
        <f>IFERROR(__xludf.DUMMYFUNCTION("""COMPUTED_VALUE"""),1.174E7)</f>
        <v>11740000</v>
      </c>
      <c r="X757" s="148">
        <f>IFERROR(__xludf.DUMMYFUNCTION("""COMPUTED_VALUE"""),1.1684569E7)</f>
        <v>11684569</v>
      </c>
      <c r="Y757" s="148">
        <f>IFERROR(__xludf.DUMMYFUNCTION("""COMPUTED_VALUE"""),0.0)</f>
        <v>0</v>
      </c>
      <c r="Z757" s="148"/>
    </row>
    <row r="758">
      <c r="A758" s="148">
        <f>IFERROR(__xludf.DUMMYFUNCTION("""COMPUTED_VALUE"""),1.1112555E7)</f>
        <v>11112555</v>
      </c>
      <c r="B758" s="148" t="str">
        <f>IFERROR(__xludf.DUMMYFUNCTION("""COMPUTED_VALUE"""),"2025深海节-装饰建筑-1级-组件1-石头平台")</f>
        <v>2025深海节-装饰建筑-1级-组件1-石头平台</v>
      </c>
      <c r="C758" s="148"/>
      <c r="D758" s="148" t="str">
        <f>IFERROR(__xludf.DUMMYFUNCTION("""COMPUTED_VALUE"""),"event")</f>
        <v>event</v>
      </c>
      <c r="E758" s="148">
        <f>IFERROR(__xludf.DUMMYFUNCTION("""COMPUTED_VALUE"""),0.0)</f>
        <v>0</v>
      </c>
      <c r="F758" s="148">
        <f>IFERROR(__xludf.DUMMYFUNCTION("""COMPUTED_VALUE"""),405215.0)</f>
        <v>405215</v>
      </c>
      <c r="G758" s="148">
        <f>IFERROR(__xludf.DUMMYFUNCTION("""COMPUTED_VALUE"""),1.51102168E8)</f>
        <v>151102168</v>
      </c>
      <c r="H758" s="148">
        <f>IFERROR(__xludf.DUMMYFUNCTION("""COMPUTED_VALUE"""),1.5112564E7)</f>
        <v>15112564</v>
      </c>
      <c r="I758" s="148" t="str">
        <f>IFERROR(__xludf.DUMMYFUNCTION("""COMPUTED_VALUE"""),"{}")</f>
        <v>{}</v>
      </c>
      <c r="J758" s="148" t="str">
        <f>IFERROR(__xludf.DUMMYFUNCTION("""COMPUTED_VALUE"""),"{""typ"":""lc"",""txt"":""LC_ITEM_2025deepsea_dec_part_item_name_1""}")</f>
        <v>{"typ":"lc","txt":"LC_ITEM_2025deepsea_dec_part_item_name_1"}</v>
      </c>
      <c r="K758" s="148" t="str">
        <f>IFERROR(__xludf.DUMMYFUNCTION("""COMPUTED_VALUE"""),"{""typ"":""lc"",""txt"":""LC_ITEM_2025deepsea_dec_part_item_desc_1""}")</f>
        <v>{"typ":"lc","txt":"LC_ITEM_2025deepsea_dec_part_item_desc_1"}</v>
      </c>
      <c r="L758" s="148" t="str">
        <f>IFERROR(__xludf.DUMMYFUNCTION("""COMPUTED_VALUE"""),"{}")</f>
        <v>{}</v>
      </c>
      <c r="M758" s="148">
        <f>IFERROR(__xludf.DUMMYFUNCTION("""COMPUTED_VALUE"""),35.0)</f>
        <v>35</v>
      </c>
      <c r="N758" s="148">
        <f>IFERROR(__xludf.DUMMYFUNCTION("""COMPUTED_VALUE"""),999999.0)</f>
        <v>999999</v>
      </c>
      <c r="O758" s="148">
        <f>IFERROR(__xludf.DUMMYFUNCTION("""COMPUTED_VALUE"""),99999.0)</f>
        <v>99999</v>
      </c>
      <c r="P758" s="148">
        <f>IFERROR(__xludf.DUMMYFUNCTION("""COMPUTED_VALUE"""),99999.0)</f>
        <v>99999</v>
      </c>
      <c r="Q758" s="148" t="str">
        <f>IFERROR(__xludf.DUMMYFUNCTION("""COMPUTED_VALUE"""),"[""bag_other""]")</f>
        <v>["bag_other"]</v>
      </c>
      <c r="R758" s="148" t="str">
        <f>IFERROR(__xludf.DUMMYFUNCTION("""COMPUTED_VALUE"""),"[]")</f>
        <v>[]</v>
      </c>
      <c r="S758" s="148" t="str">
        <f>IFERROR(__xludf.DUMMYFUNCTION("""COMPUTED_VALUE"""),"{}")</f>
        <v>{}</v>
      </c>
      <c r="T758" s="148">
        <f>IFERROR(__xludf.DUMMYFUNCTION("""COMPUTED_VALUE"""),1.0)</f>
        <v>1</v>
      </c>
      <c r="U758" s="148">
        <f>IFERROR(__xludf.DUMMYFUNCTION("""COMPUTED_VALUE"""),0.0)</f>
        <v>0</v>
      </c>
      <c r="V758" s="148" t="str">
        <f>IFERROR(__xludf.DUMMYFUNCTION("""COMPUTED_VALUE"""),"[]")</f>
        <v>[]</v>
      </c>
      <c r="W758" s="148">
        <f>IFERROR(__xludf.DUMMYFUNCTION("""COMPUTED_VALUE"""),1.174E7)</f>
        <v>11740000</v>
      </c>
      <c r="X758" s="148">
        <f>IFERROR(__xludf.DUMMYFUNCTION("""COMPUTED_VALUE"""),0.0)</f>
        <v>0</v>
      </c>
      <c r="Y758" s="148">
        <f>IFERROR(__xludf.DUMMYFUNCTION("""COMPUTED_VALUE"""),0.0)</f>
        <v>0</v>
      </c>
      <c r="Z758" s="148"/>
    </row>
    <row r="759">
      <c r="A759" s="148">
        <f>IFERROR(__xludf.DUMMYFUNCTION("""COMPUTED_VALUE"""),1.1112556E7)</f>
        <v>11112556</v>
      </c>
      <c r="B759" s="148" t="str">
        <f>IFERROR(__xludf.DUMMYFUNCTION("""COMPUTED_VALUE"""),"2025深海节-装饰建筑-1级-组件2-星星装饰")</f>
        <v>2025深海节-装饰建筑-1级-组件2-星星装饰</v>
      </c>
      <c r="C759" s="148"/>
      <c r="D759" s="148" t="str">
        <f>IFERROR(__xludf.DUMMYFUNCTION("""COMPUTED_VALUE"""),"event")</f>
        <v>event</v>
      </c>
      <c r="E759" s="148">
        <f>IFERROR(__xludf.DUMMYFUNCTION("""COMPUTED_VALUE"""),0.0)</f>
        <v>0</v>
      </c>
      <c r="F759" s="148">
        <f>IFERROR(__xludf.DUMMYFUNCTION("""COMPUTED_VALUE"""),405214.0)</f>
        <v>405214</v>
      </c>
      <c r="G759" s="148">
        <f>IFERROR(__xludf.DUMMYFUNCTION("""COMPUTED_VALUE"""),1.51102169E8)</f>
        <v>151102169</v>
      </c>
      <c r="H759" s="148">
        <f>IFERROR(__xludf.DUMMYFUNCTION("""COMPUTED_VALUE"""),1.5112564E7)</f>
        <v>15112564</v>
      </c>
      <c r="I759" s="148" t="str">
        <f>IFERROR(__xludf.DUMMYFUNCTION("""COMPUTED_VALUE"""),"{}")</f>
        <v>{}</v>
      </c>
      <c r="J759" s="148" t="str">
        <f>IFERROR(__xludf.DUMMYFUNCTION("""COMPUTED_VALUE"""),"{""typ"":""lc"",""txt"":""LC_ITEM_2025deepsea_dec_part_item_name_2""}")</f>
        <v>{"typ":"lc","txt":"LC_ITEM_2025deepsea_dec_part_item_name_2"}</v>
      </c>
      <c r="K759" s="148" t="str">
        <f>IFERROR(__xludf.DUMMYFUNCTION("""COMPUTED_VALUE"""),"{""typ"":""lc"",""txt"":""LC_ITEM_2025deepsea_dec_part_item_desc_2""}")</f>
        <v>{"typ":"lc","txt":"LC_ITEM_2025deepsea_dec_part_item_desc_2"}</v>
      </c>
      <c r="L759" s="148" t="str">
        <f>IFERROR(__xludf.DUMMYFUNCTION("""COMPUTED_VALUE"""),"{}")</f>
        <v>{}</v>
      </c>
      <c r="M759" s="148">
        <f>IFERROR(__xludf.DUMMYFUNCTION("""COMPUTED_VALUE"""),35.0)</f>
        <v>35</v>
      </c>
      <c r="N759" s="148">
        <f>IFERROR(__xludf.DUMMYFUNCTION("""COMPUTED_VALUE"""),999999.0)</f>
        <v>999999</v>
      </c>
      <c r="O759" s="148">
        <f>IFERROR(__xludf.DUMMYFUNCTION("""COMPUTED_VALUE"""),99999.0)</f>
        <v>99999</v>
      </c>
      <c r="P759" s="148">
        <f>IFERROR(__xludf.DUMMYFUNCTION("""COMPUTED_VALUE"""),99999.0)</f>
        <v>99999</v>
      </c>
      <c r="Q759" s="148" t="str">
        <f>IFERROR(__xludf.DUMMYFUNCTION("""COMPUTED_VALUE"""),"[""bag_other""]")</f>
        <v>["bag_other"]</v>
      </c>
      <c r="R759" s="148" t="str">
        <f>IFERROR(__xludf.DUMMYFUNCTION("""COMPUTED_VALUE"""),"[]")</f>
        <v>[]</v>
      </c>
      <c r="S759" s="148" t="str">
        <f>IFERROR(__xludf.DUMMYFUNCTION("""COMPUTED_VALUE"""),"{}")</f>
        <v>{}</v>
      </c>
      <c r="T759" s="148">
        <f>IFERROR(__xludf.DUMMYFUNCTION("""COMPUTED_VALUE"""),1.0)</f>
        <v>1</v>
      </c>
      <c r="U759" s="148">
        <f>IFERROR(__xludf.DUMMYFUNCTION("""COMPUTED_VALUE"""),0.0)</f>
        <v>0</v>
      </c>
      <c r="V759" s="148" t="str">
        <f>IFERROR(__xludf.DUMMYFUNCTION("""COMPUTED_VALUE"""),"[]")</f>
        <v>[]</v>
      </c>
      <c r="W759" s="148">
        <f>IFERROR(__xludf.DUMMYFUNCTION("""COMPUTED_VALUE"""),1.174E7)</f>
        <v>11740000</v>
      </c>
      <c r="X759" s="148">
        <f>IFERROR(__xludf.DUMMYFUNCTION("""COMPUTED_VALUE"""),0.0)</f>
        <v>0</v>
      </c>
      <c r="Y759" s="148">
        <f>IFERROR(__xludf.DUMMYFUNCTION("""COMPUTED_VALUE"""),0.0)</f>
        <v>0</v>
      </c>
      <c r="Z759" s="148"/>
    </row>
    <row r="760">
      <c r="A760" s="148">
        <f>IFERROR(__xludf.DUMMYFUNCTION("""COMPUTED_VALUE"""),1.1112557E7)</f>
        <v>11112557</v>
      </c>
      <c r="B760" s="148" t="str">
        <f>IFERROR(__xludf.DUMMYFUNCTION("""COMPUTED_VALUE"""),"2025深海节-装饰建筑-1级-组件3-水草装饰")</f>
        <v>2025深海节-装饰建筑-1级-组件3-水草装饰</v>
      </c>
      <c r="C760" s="148"/>
      <c r="D760" s="148" t="str">
        <f>IFERROR(__xludf.DUMMYFUNCTION("""COMPUTED_VALUE"""),"event")</f>
        <v>event</v>
      </c>
      <c r="E760" s="148">
        <f>IFERROR(__xludf.DUMMYFUNCTION("""COMPUTED_VALUE"""),0.0)</f>
        <v>0</v>
      </c>
      <c r="F760" s="148">
        <f>IFERROR(__xludf.DUMMYFUNCTION("""COMPUTED_VALUE"""),405213.0)</f>
        <v>405213</v>
      </c>
      <c r="G760" s="148">
        <f>IFERROR(__xludf.DUMMYFUNCTION("""COMPUTED_VALUE"""),1.5110217E8)</f>
        <v>151102170</v>
      </c>
      <c r="H760" s="148">
        <f>IFERROR(__xludf.DUMMYFUNCTION("""COMPUTED_VALUE"""),1.5112564E7)</f>
        <v>15112564</v>
      </c>
      <c r="I760" s="148" t="str">
        <f>IFERROR(__xludf.DUMMYFUNCTION("""COMPUTED_VALUE"""),"{}")</f>
        <v>{}</v>
      </c>
      <c r="J760" s="148" t="str">
        <f>IFERROR(__xludf.DUMMYFUNCTION("""COMPUTED_VALUE"""),"{""typ"":""lc"",""txt"":""LC_ITEM_2025deepsea_dec_part_item_name_3""}")</f>
        <v>{"typ":"lc","txt":"LC_ITEM_2025deepsea_dec_part_item_name_3"}</v>
      </c>
      <c r="K760" s="148" t="str">
        <f>IFERROR(__xludf.DUMMYFUNCTION("""COMPUTED_VALUE"""),"{""typ"":""lc"",""txt"":""LC_ITEM_2025deepsea_dec_part_item_desc_3""}")</f>
        <v>{"typ":"lc","txt":"LC_ITEM_2025deepsea_dec_part_item_desc_3"}</v>
      </c>
      <c r="L760" s="148" t="str">
        <f>IFERROR(__xludf.DUMMYFUNCTION("""COMPUTED_VALUE"""),"{}")</f>
        <v>{}</v>
      </c>
      <c r="M760" s="148">
        <f>IFERROR(__xludf.DUMMYFUNCTION("""COMPUTED_VALUE"""),35.0)</f>
        <v>35</v>
      </c>
      <c r="N760" s="148">
        <f>IFERROR(__xludf.DUMMYFUNCTION("""COMPUTED_VALUE"""),999999.0)</f>
        <v>999999</v>
      </c>
      <c r="O760" s="148">
        <f>IFERROR(__xludf.DUMMYFUNCTION("""COMPUTED_VALUE"""),99999.0)</f>
        <v>99999</v>
      </c>
      <c r="P760" s="148">
        <f>IFERROR(__xludf.DUMMYFUNCTION("""COMPUTED_VALUE"""),99999.0)</f>
        <v>99999</v>
      </c>
      <c r="Q760" s="148" t="str">
        <f>IFERROR(__xludf.DUMMYFUNCTION("""COMPUTED_VALUE"""),"[""bag_other""]")</f>
        <v>["bag_other"]</v>
      </c>
      <c r="R760" s="148" t="str">
        <f>IFERROR(__xludf.DUMMYFUNCTION("""COMPUTED_VALUE"""),"[]")</f>
        <v>[]</v>
      </c>
      <c r="S760" s="148" t="str">
        <f>IFERROR(__xludf.DUMMYFUNCTION("""COMPUTED_VALUE"""),"{}")</f>
        <v>{}</v>
      </c>
      <c r="T760" s="148">
        <f>IFERROR(__xludf.DUMMYFUNCTION("""COMPUTED_VALUE"""),1.0)</f>
        <v>1</v>
      </c>
      <c r="U760" s="148">
        <f>IFERROR(__xludf.DUMMYFUNCTION("""COMPUTED_VALUE"""),0.0)</f>
        <v>0</v>
      </c>
      <c r="V760" s="148" t="str">
        <f>IFERROR(__xludf.DUMMYFUNCTION("""COMPUTED_VALUE"""),"[]")</f>
        <v>[]</v>
      </c>
      <c r="W760" s="148">
        <f>IFERROR(__xludf.DUMMYFUNCTION("""COMPUTED_VALUE"""),1.174E7)</f>
        <v>11740000</v>
      </c>
      <c r="X760" s="148">
        <f>IFERROR(__xludf.DUMMYFUNCTION("""COMPUTED_VALUE"""),0.0)</f>
        <v>0</v>
      </c>
      <c r="Y760" s="148">
        <f>IFERROR(__xludf.DUMMYFUNCTION("""COMPUTED_VALUE"""),0.0)</f>
        <v>0</v>
      </c>
      <c r="Z760" s="148"/>
    </row>
    <row r="761">
      <c r="A761" s="148">
        <f>IFERROR(__xludf.DUMMYFUNCTION("""COMPUTED_VALUE"""),1.1112558E7)</f>
        <v>11112558</v>
      </c>
      <c r="B761" s="148" t="str">
        <f>IFERROR(__xludf.DUMMYFUNCTION("""COMPUTED_VALUE"""),"2025深海节-装饰建筑-1级-组件4-珍珠")</f>
        <v>2025深海节-装饰建筑-1级-组件4-珍珠</v>
      </c>
      <c r="C761" s="148"/>
      <c r="D761" s="148" t="str">
        <f>IFERROR(__xludf.DUMMYFUNCTION("""COMPUTED_VALUE"""),"event")</f>
        <v>event</v>
      </c>
      <c r="E761" s="148">
        <f>IFERROR(__xludf.DUMMYFUNCTION("""COMPUTED_VALUE"""),0.0)</f>
        <v>0</v>
      </c>
      <c r="F761" s="148">
        <f>IFERROR(__xludf.DUMMYFUNCTION("""COMPUTED_VALUE"""),405212.0)</f>
        <v>405212</v>
      </c>
      <c r="G761" s="148">
        <f>IFERROR(__xludf.DUMMYFUNCTION("""COMPUTED_VALUE"""),1.51102171E8)</f>
        <v>151102171</v>
      </c>
      <c r="H761" s="148">
        <f>IFERROR(__xludf.DUMMYFUNCTION("""COMPUTED_VALUE"""),1.5112564E7)</f>
        <v>15112564</v>
      </c>
      <c r="I761" s="148" t="str">
        <f>IFERROR(__xludf.DUMMYFUNCTION("""COMPUTED_VALUE"""),"{}")</f>
        <v>{}</v>
      </c>
      <c r="J761" s="148" t="str">
        <f>IFERROR(__xludf.DUMMYFUNCTION("""COMPUTED_VALUE"""),"{""typ"":""lc"",""txt"":""LC_ITEM_2025deepsea_dec_part_item_name_4""}")</f>
        <v>{"typ":"lc","txt":"LC_ITEM_2025deepsea_dec_part_item_name_4"}</v>
      </c>
      <c r="K761" s="148" t="str">
        <f>IFERROR(__xludf.DUMMYFUNCTION("""COMPUTED_VALUE"""),"{""typ"":""lc"",""txt"":""LC_ITEM_2025deepsea_dec_part_item_desc_4""}")</f>
        <v>{"typ":"lc","txt":"LC_ITEM_2025deepsea_dec_part_item_desc_4"}</v>
      </c>
      <c r="L761" s="148" t="str">
        <f>IFERROR(__xludf.DUMMYFUNCTION("""COMPUTED_VALUE"""),"{}")</f>
        <v>{}</v>
      </c>
      <c r="M761" s="148">
        <f>IFERROR(__xludf.DUMMYFUNCTION("""COMPUTED_VALUE"""),35.0)</f>
        <v>35</v>
      </c>
      <c r="N761" s="148">
        <f>IFERROR(__xludf.DUMMYFUNCTION("""COMPUTED_VALUE"""),999999.0)</f>
        <v>999999</v>
      </c>
      <c r="O761" s="148">
        <f>IFERROR(__xludf.DUMMYFUNCTION("""COMPUTED_VALUE"""),99999.0)</f>
        <v>99999</v>
      </c>
      <c r="P761" s="148">
        <f>IFERROR(__xludf.DUMMYFUNCTION("""COMPUTED_VALUE"""),99999.0)</f>
        <v>99999</v>
      </c>
      <c r="Q761" s="148" t="str">
        <f>IFERROR(__xludf.DUMMYFUNCTION("""COMPUTED_VALUE"""),"[""bag_other""]")</f>
        <v>["bag_other"]</v>
      </c>
      <c r="R761" s="148" t="str">
        <f>IFERROR(__xludf.DUMMYFUNCTION("""COMPUTED_VALUE"""),"[]")</f>
        <v>[]</v>
      </c>
      <c r="S761" s="148" t="str">
        <f>IFERROR(__xludf.DUMMYFUNCTION("""COMPUTED_VALUE"""),"{}")</f>
        <v>{}</v>
      </c>
      <c r="T761" s="148">
        <f>IFERROR(__xludf.DUMMYFUNCTION("""COMPUTED_VALUE"""),1.0)</f>
        <v>1</v>
      </c>
      <c r="U761" s="148">
        <f>IFERROR(__xludf.DUMMYFUNCTION("""COMPUTED_VALUE"""),0.0)</f>
        <v>0</v>
      </c>
      <c r="V761" s="148" t="str">
        <f>IFERROR(__xludf.DUMMYFUNCTION("""COMPUTED_VALUE"""),"[]")</f>
        <v>[]</v>
      </c>
      <c r="W761" s="148">
        <f>IFERROR(__xludf.DUMMYFUNCTION("""COMPUTED_VALUE"""),1.174E7)</f>
        <v>11740000</v>
      </c>
      <c r="X761" s="148">
        <f>IFERROR(__xludf.DUMMYFUNCTION("""COMPUTED_VALUE"""),0.0)</f>
        <v>0</v>
      </c>
      <c r="Y761" s="148">
        <f>IFERROR(__xludf.DUMMYFUNCTION("""COMPUTED_VALUE"""),0.0)</f>
        <v>0</v>
      </c>
      <c r="Z761" s="148"/>
    </row>
    <row r="762">
      <c r="A762" s="148">
        <f>IFERROR(__xludf.DUMMYFUNCTION("""COMPUTED_VALUE"""),1.1112559E7)</f>
        <v>11112559</v>
      </c>
      <c r="B762" s="148" t="str">
        <f>IFERROR(__xludf.DUMMYFUNCTION("""COMPUTED_VALUE"""),"2025深海节-装饰建筑-1级-组件5-海马")</f>
        <v>2025深海节-装饰建筑-1级-组件5-海马</v>
      </c>
      <c r="C762" s="148"/>
      <c r="D762" s="148" t="str">
        <f>IFERROR(__xludf.DUMMYFUNCTION("""COMPUTED_VALUE"""),"event")</f>
        <v>event</v>
      </c>
      <c r="E762" s="148">
        <f>IFERROR(__xludf.DUMMYFUNCTION("""COMPUTED_VALUE"""),0.0)</f>
        <v>0</v>
      </c>
      <c r="F762" s="148">
        <f>IFERROR(__xludf.DUMMYFUNCTION("""COMPUTED_VALUE"""),405211.0)</f>
        <v>405211</v>
      </c>
      <c r="G762" s="148">
        <f>IFERROR(__xludf.DUMMYFUNCTION("""COMPUTED_VALUE"""),1.51102172E8)</f>
        <v>151102172</v>
      </c>
      <c r="H762" s="148">
        <f>IFERROR(__xludf.DUMMYFUNCTION("""COMPUTED_VALUE"""),1.5112564E7)</f>
        <v>15112564</v>
      </c>
      <c r="I762" s="148" t="str">
        <f>IFERROR(__xludf.DUMMYFUNCTION("""COMPUTED_VALUE"""),"{}")</f>
        <v>{}</v>
      </c>
      <c r="J762" s="148" t="str">
        <f>IFERROR(__xludf.DUMMYFUNCTION("""COMPUTED_VALUE"""),"{""typ"":""lc"",""txt"":""LC_ITEM_2025deepsea_dec_part_item_name_5""}")</f>
        <v>{"typ":"lc","txt":"LC_ITEM_2025deepsea_dec_part_item_name_5"}</v>
      </c>
      <c r="K762" s="148" t="str">
        <f>IFERROR(__xludf.DUMMYFUNCTION("""COMPUTED_VALUE"""),"{""typ"":""lc"",""txt"":""LC_ITEM_2025deepsea_dec_part_item_desc_5""}")</f>
        <v>{"typ":"lc","txt":"LC_ITEM_2025deepsea_dec_part_item_desc_5"}</v>
      </c>
      <c r="L762" s="148" t="str">
        <f>IFERROR(__xludf.DUMMYFUNCTION("""COMPUTED_VALUE"""),"{}")</f>
        <v>{}</v>
      </c>
      <c r="M762" s="148">
        <f>IFERROR(__xludf.DUMMYFUNCTION("""COMPUTED_VALUE"""),35.0)</f>
        <v>35</v>
      </c>
      <c r="N762" s="148">
        <f>IFERROR(__xludf.DUMMYFUNCTION("""COMPUTED_VALUE"""),999999.0)</f>
        <v>999999</v>
      </c>
      <c r="O762" s="148">
        <f>IFERROR(__xludf.DUMMYFUNCTION("""COMPUTED_VALUE"""),99999.0)</f>
        <v>99999</v>
      </c>
      <c r="P762" s="148">
        <f>IFERROR(__xludf.DUMMYFUNCTION("""COMPUTED_VALUE"""),99999.0)</f>
        <v>99999</v>
      </c>
      <c r="Q762" s="148" t="str">
        <f>IFERROR(__xludf.DUMMYFUNCTION("""COMPUTED_VALUE"""),"[""bag_other""]")</f>
        <v>["bag_other"]</v>
      </c>
      <c r="R762" s="148" t="str">
        <f>IFERROR(__xludf.DUMMYFUNCTION("""COMPUTED_VALUE"""),"[]")</f>
        <v>[]</v>
      </c>
      <c r="S762" s="148" t="str">
        <f>IFERROR(__xludf.DUMMYFUNCTION("""COMPUTED_VALUE"""),"{}")</f>
        <v>{}</v>
      </c>
      <c r="T762" s="148">
        <f>IFERROR(__xludf.DUMMYFUNCTION("""COMPUTED_VALUE"""),1.0)</f>
        <v>1</v>
      </c>
      <c r="U762" s="148">
        <f>IFERROR(__xludf.DUMMYFUNCTION("""COMPUTED_VALUE"""),0.0)</f>
        <v>0</v>
      </c>
      <c r="V762" s="148" t="str">
        <f>IFERROR(__xludf.DUMMYFUNCTION("""COMPUTED_VALUE"""),"[]")</f>
        <v>[]</v>
      </c>
      <c r="W762" s="148">
        <f>IFERROR(__xludf.DUMMYFUNCTION("""COMPUTED_VALUE"""),1.174E7)</f>
        <v>11740000</v>
      </c>
      <c r="X762" s="148">
        <f>IFERROR(__xludf.DUMMYFUNCTION("""COMPUTED_VALUE"""),0.0)</f>
        <v>0</v>
      </c>
      <c r="Y762" s="148">
        <f>IFERROR(__xludf.DUMMYFUNCTION("""COMPUTED_VALUE"""),0.0)</f>
        <v>0</v>
      </c>
      <c r="Z762" s="148"/>
    </row>
    <row r="763">
      <c r="A763" s="148">
        <f>IFERROR(__xludf.DUMMYFUNCTION("""COMPUTED_VALUE"""),1.111256E7)</f>
        <v>11112560</v>
      </c>
      <c r="B763" s="148" t="str">
        <f>IFERROR(__xludf.DUMMYFUNCTION("""COMPUTED_VALUE"""),"2025深海节组件gacha专用-增加内圈抽奖次数")</f>
        <v>2025深海节组件gacha专用-增加内圈抽奖次数</v>
      </c>
      <c r="C763" s="148"/>
      <c r="D763" s="148" t="str">
        <f>IFERROR(__xludf.DUMMYFUNCTION("""COMPUTED_VALUE"""),"event")</f>
        <v>event</v>
      </c>
      <c r="E763" s="148">
        <f>IFERROR(__xludf.DUMMYFUNCTION("""COMPUTED_VALUE"""),0.0)</f>
        <v>0</v>
      </c>
      <c r="F763" s="148">
        <f>IFERROR(__xludf.DUMMYFUNCTION("""COMPUTED_VALUE"""),0.0)</f>
        <v>0</v>
      </c>
      <c r="G763" s="148">
        <f>IFERROR(__xludf.DUMMYFUNCTION("""COMPUTED_VALUE"""),1.51102181E8)</f>
        <v>151102181</v>
      </c>
      <c r="H763" s="148">
        <f>IFERROR(__xludf.DUMMYFUNCTION("""COMPUTED_VALUE"""),1.5112564E7)</f>
        <v>15112564</v>
      </c>
      <c r="I763" s="148" t="str">
        <f>IFERROR(__xludf.DUMMYFUNCTION("""COMPUTED_VALUE"""),"{}")</f>
        <v>{}</v>
      </c>
      <c r="J763" s="148" t="str">
        <f>IFERROR(__xludf.DUMMYFUNCTION("""COMPUTED_VALUE"""),"{""typ"":""lc"",""txt"":""LC_ITEM_2025deepsea_item_name_1""}")</f>
        <v>{"typ":"lc","txt":"LC_ITEM_2025deepsea_item_name_1"}</v>
      </c>
      <c r="K763" s="148" t="str">
        <f>IFERROR(__xludf.DUMMYFUNCTION("""COMPUTED_VALUE"""),"{""typ"":""lc"",""txt"":""LC_ITEM_2025deepsea_item_desc_1""}")</f>
        <v>{"typ":"lc","txt":"LC_ITEM_2025deepsea_item_desc_1"}</v>
      </c>
      <c r="L763" s="148" t="str">
        <f>IFERROR(__xludf.DUMMYFUNCTION("""COMPUTED_VALUE"""),"{}")</f>
        <v>{}</v>
      </c>
      <c r="M763" s="148">
        <f>IFERROR(__xludf.DUMMYFUNCTION("""COMPUTED_VALUE"""),700.0)</f>
        <v>700</v>
      </c>
      <c r="N763" s="148">
        <f>IFERROR(__xludf.DUMMYFUNCTION("""COMPUTED_VALUE"""),9.99999999E8)</f>
        <v>999999999</v>
      </c>
      <c r="O763" s="148">
        <f>IFERROR(__xludf.DUMMYFUNCTION("""COMPUTED_VALUE"""),9.99999999E8)</f>
        <v>999999999</v>
      </c>
      <c r="P763" s="148">
        <f>IFERROR(__xludf.DUMMYFUNCTION("""COMPUTED_VALUE"""),9.99999999E8)</f>
        <v>999999999</v>
      </c>
      <c r="Q763" s="148" t="str">
        <f>IFERROR(__xludf.DUMMYFUNCTION("""COMPUTED_VALUE"""),"[]")</f>
        <v>[]</v>
      </c>
      <c r="R763" s="148" t="str">
        <f>IFERROR(__xludf.DUMMYFUNCTION("""COMPUTED_VALUE"""),"[""bag""]")</f>
        <v>["bag"]</v>
      </c>
      <c r="S763" s="148" t="str">
        <f>IFERROR(__xludf.DUMMYFUNCTION("""COMPUTED_VALUE"""),"{}")</f>
        <v>{}</v>
      </c>
      <c r="T763" s="148">
        <f>IFERROR(__xludf.DUMMYFUNCTION("""COMPUTED_VALUE"""),1.0)</f>
        <v>1</v>
      </c>
      <c r="U763" s="148">
        <f>IFERROR(__xludf.DUMMYFUNCTION("""COMPUTED_VALUE"""),0.0)</f>
        <v>0</v>
      </c>
      <c r="V763" s="148" t="str">
        <f>IFERROR(__xludf.DUMMYFUNCTION("""COMPUTED_VALUE"""),"[]")</f>
        <v>[]</v>
      </c>
      <c r="W763" s="148">
        <f>IFERROR(__xludf.DUMMYFUNCTION("""COMPUTED_VALUE"""),1.174E7)</f>
        <v>11740000</v>
      </c>
      <c r="X763" s="148">
        <f>IFERROR(__xludf.DUMMYFUNCTION("""COMPUTED_VALUE"""),0.0)</f>
        <v>0</v>
      </c>
      <c r="Y763" s="148">
        <f>IFERROR(__xludf.DUMMYFUNCTION("""COMPUTED_VALUE"""),0.0)</f>
        <v>0</v>
      </c>
      <c r="Z763" s="148"/>
    </row>
    <row r="764">
      <c r="A764" s="148">
        <f>IFERROR(__xludf.DUMMYFUNCTION("""COMPUTED_VALUE"""),1.1112561E7)</f>
        <v>11112561</v>
      </c>
      <c r="B764" s="148" t="str">
        <f>IFERROR(__xludf.DUMMYFUNCTION("""COMPUTED_VALUE"""),"2025深海节组件gacha专用-增加大奖抽奖次数")</f>
        <v>2025深海节组件gacha专用-增加大奖抽奖次数</v>
      </c>
      <c r="C764" s="148"/>
      <c r="D764" s="148" t="str">
        <f>IFERROR(__xludf.DUMMYFUNCTION("""COMPUTED_VALUE"""),"event")</f>
        <v>event</v>
      </c>
      <c r="E764" s="148">
        <f>IFERROR(__xludf.DUMMYFUNCTION("""COMPUTED_VALUE"""),0.0)</f>
        <v>0</v>
      </c>
      <c r="F764" s="148">
        <f>IFERROR(__xludf.DUMMYFUNCTION("""COMPUTED_VALUE"""),0.0)</f>
        <v>0</v>
      </c>
      <c r="G764" s="148">
        <f>IFERROR(__xludf.DUMMYFUNCTION("""COMPUTED_VALUE"""),1.5116809E7)</f>
        <v>15116809</v>
      </c>
      <c r="H764" s="148">
        <f>IFERROR(__xludf.DUMMYFUNCTION("""COMPUTED_VALUE"""),1.5112564E7)</f>
        <v>15112564</v>
      </c>
      <c r="I764" s="148" t="str">
        <f>IFERROR(__xludf.DUMMYFUNCTION("""COMPUTED_VALUE"""),"{}")</f>
        <v>{}</v>
      </c>
      <c r="J764" s="148" t="str">
        <f>IFERROR(__xludf.DUMMYFUNCTION("""COMPUTED_VALUE"""),"{""typ"":""lc"",""txt"":""LC_ITEM_2023laborday_gacha_inner_item""}")</f>
        <v>{"typ":"lc","txt":"LC_ITEM_2023laborday_gacha_inner_item"}</v>
      </c>
      <c r="K764" s="148" t="str">
        <f>IFERROR(__xludf.DUMMYFUNCTION("""COMPUTED_VALUE"""),"{""typ"":""lc"",""txt"":""LC_ITEM_2023laborday_gacha_inner_item_desc""}")</f>
        <v>{"typ":"lc","txt":"LC_ITEM_2023laborday_gacha_inner_item_desc"}</v>
      </c>
      <c r="L764" s="148" t="str">
        <f>IFERROR(__xludf.DUMMYFUNCTION("""COMPUTED_VALUE"""),"{}")</f>
        <v>{}</v>
      </c>
      <c r="M764" s="148">
        <f>IFERROR(__xludf.DUMMYFUNCTION("""COMPUTED_VALUE"""),700.0)</f>
        <v>700</v>
      </c>
      <c r="N764" s="148">
        <f>IFERROR(__xludf.DUMMYFUNCTION("""COMPUTED_VALUE"""),9.99999999E8)</f>
        <v>999999999</v>
      </c>
      <c r="O764" s="148">
        <f>IFERROR(__xludf.DUMMYFUNCTION("""COMPUTED_VALUE"""),9.99999999E8)</f>
        <v>999999999</v>
      </c>
      <c r="P764" s="148">
        <f>IFERROR(__xludf.DUMMYFUNCTION("""COMPUTED_VALUE"""),9.99999999E8)</f>
        <v>999999999</v>
      </c>
      <c r="Q764" s="148" t="str">
        <f>IFERROR(__xludf.DUMMYFUNCTION("""COMPUTED_VALUE"""),"[]")</f>
        <v>[]</v>
      </c>
      <c r="R764" s="148" t="str">
        <f>IFERROR(__xludf.DUMMYFUNCTION("""COMPUTED_VALUE"""),"[""bag""]")</f>
        <v>["bag"]</v>
      </c>
      <c r="S764" s="148" t="str">
        <f>IFERROR(__xludf.DUMMYFUNCTION("""COMPUTED_VALUE"""),"{}")</f>
        <v>{}</v>
      </c>
      <c r="T764" s="148">
        <f>IFERROR(__xludf.DUMMYFUNCTION("""COMPUTED_VALUE"""),1.0)</f>
        <v>1</v>
      </c>
      <c r="U764" s="148">
        <f>IFERROR(__xludf.DUMMYFUNCTION("""COMPUTED_VALUE"""),0.0)</f>
        <v>0</v>
      </c>
      <c r="V764" s="148" t="str">
        <f>IFERROR(__xludf.DUMMYFUNCTION("""COMPUTED_VALUE"""),"[]")</f>
        <v>[]</v>
      </c>
      <c r="W764" s="148">
        <f>IFERROR(__xludf.DUMMYFUNCTION("""COMPUTED_VALUE"""),1.174E7)</f>
        <v>11740000</v>
      </c>
      <c r="X764" s="148">
        <f>IFERROR(__xludf.DUMMYFUNCTION("""COMPUTED_VALUE"""),0.0)</f>
        <v>0</v>
      </c>
      <c r="Y764" s="148">
        <f>IFERROR(__xludf.DUMMYFUNCTION("""COMPUTED_VALUE"""),0.0)</f>
        <v>0</v>
      </c>
      <c r="Z764" s="148"/>
    </row>
    <row r="765">
      <c r="A765" s="148">
        <f>IFERROR(__xludf.DUMMYFUNCTION("""COMPUTED_VALUE"""),1.1112562E7)</f>
        <v>11112562</v>
      </c>
      <c r="B765" s="148" t="str">
        <f>IFERROR(__xludf.DUMMYFUNCTION("""COMPUTED_VALUE"""),"2025深海节组件gacha-外圈gacha道具")</f>
        <v>2025深海节组件gacha-外圈gacha道具</v>
      </c>
      <c r="C765" s="148"/>
      <c r="D765" s="148" t="str">
        <f>IFERROR(__xludf.DUMMYFUNCTION("""COMPUTED_VALUE"""),"event")</f>
        <v>event</v>
      </c>
      <c r="E765" s="148">
        <f>IFERROR(__xludf.DUMMYFUNCTION("""COMPUTED_VALUE"""),0.0)</f>
        <v>0</v>
      </c>
      <c r="F765" s="148">
        <f>IFERROR(__xludf.DUMMYFUNCTION("""COMPUTED_VALUE"""),405210.0)</f>
        <v>405210</v>
      </c>
      <c r="G765" s="148">
        <f>IFERROR(__xludf.DUMMYFUNCTION("""COMPUTED_VALUE"""),1.5110218E8)</f>
        <v>151102180</v>
      </c>
      <c r="H765" s="148">
        <f>IFERROR(__xludf.DUMMYFUNCTION("""COMPUTED_VALUE"""),1.5112564E7)</f>
        <v>15112564</v>
      </c>
      <c r="I765" s="148" t="str">
        <f>IFERROR(__xludf.DUMMYFUNCTION("""COMPUTED_VALUE"""),"{}")</f>
        <v>{}</v>
      </c>
      <c r="J765" s="148" t="str">
        <f>IFERROR(__xludf.DUMMYFUNCTION("""COMPUTED_VALUE"""),"{""typ"":""lc"",""txt"":""LC_ITEM_2025deepsea_item_name_0""}")</f>
        <v>{"typ":"lc","txt":"LC_ITEM_2025deepsea_item_name_0"}</v>
      </c>
      <c r="K765" s="148" t="str">
        <f>IFERROR(__xludf.DUMMYFUNCTION("""COMPUTED_VALUE"""),"{""typ"":""lc"",""txt"":""LC_ITEM_2025deepsea_item_desc_0""}")</f>
        <v>{"typ":"lc","txt":"LC_ITEM_2025deepsea_item_desc_0"}</v>
      </c>
      <c r="L765" s="148" t="str">
        <f>IFERROR(__xludf.DUMMYFUNCTION("""COMPUTED_VALUE"""),"{}")</f>
        <v>{}</v>
      </c>
      <c r="M765" s="148">
        <f>IFERROR(__xludf.DUMMYFUNCTION("""COMPUTED_VALUE"""),700.0)</f>
        <v>700</v>
      </c>
      <c r="N765" s="148">
        <f>IFERROR(__xludf.DUMMYFUNCTION("""COMPUTED_VALUE"""),9.99999999E8)</f>
        <v>999999999</v>
      </c>
      <c r="O765" s="148">
        <f>IFERROR(__xludf.DUMMYFUNCTION("""COMPUTED_VALUE"""),9.99999999E8)</f>
        <v>999999999</v>
      </c>
      <c r="P765" s="148">
        <f>IFERROR(__xludf.DUMMYFUNCTION("""COMPUTED_VALUE"""),9.99999999E8)</f>
        <v>999999999</v>
      </c>
      <c r="Q765" s="148" t="str">
        <f>IFERROR(__xludf.DUMMYFUNCTION("""COMPUTED_VALUE"""),"[""bag_other""]")</f>
        <v>["bag_other"]</v>
      </c>
      <c r="R765" s="148" t="str">
        <f>IFERROR(__xludf.DUMMYFUNCTION("""COMPUTED_VALUE"""),"[""bag""]")</f>
        <v>["bag"]</v>
      </c>
      <c r="S765" s="148" t="str">
        <f>IFERROR(__xludf.DUMMYFUNCTION("""COMPUTED_VALUE"""),"{}")</f>
        <v>{}</v>
      </c>
      <c r="T765" s="148">
        <f>IFERROR(__xludf.DUMMYFUNCTION("""COMPUTED_VALUE"""),1.0)</f>
        <v>1</v>
      </c>
      <c r="U765" s="148">
        <f>IFERROR(__xludf.DUMMYFUNCTION("""COMPUTED_VALUE"""),0.0)</f>
        <v>0</v>
      </c>
      <c r="V765" s="148" t="str">
        <f>IFERROR(__xludf.DUMMYFUNCTION("""COMPUTED_VALUE"""),"[]")</f>
        <v>[]</v>
      </c>
      <c r="W765" s="148">
        <f>IFERROR(__xludf.DUMMYFUNCTION("""COMPUTED_VALUE"""),1.174E7)</f>
        <v>11740000</v>
      </c>
      <c r="X765" s="148">
        <f>IFERROR(__xludf.DUMMYFUNCTION("""COMPUTED_VALUE"""),0.0)</f>
        <v>0</v>
      </c>
      <c r="Y765" s="148">
        <f>IFERROR(__xludf.DUMMYFUNCTION("""COMPUTED_VALUE"""),0.0)</f>
        <v>0</v>
      </c>
      <c r="Z765" s="148"/>
    </row>
    <row r="766">
      <c r="A766" s="148">
        <f>IFERROR(__xludf.DUMMYFUNCTION("""COMPUTED_VALUE"""),1.1112563E7)</f>
        <v>11112563</v>
      </c>
      <c r="B766" s="148" t="str">
        <f>IFERROR(__xludf.DUMMYFUNCTION("""COMPUTED_VALUE"""),"2025深海节-装饰券组件宝箱-2")</f>
        <v>2025深海节-装饰券组件宝箱-2</v>
      </c>
      <c r="C766" s="148"/>
      <c r="D766" s="148" t="str">
        <f>IFERROR(__xludf.DUMMYFUNCTION("""COMPUTED_VALUE"""),"valentine_reward_box")</f>
        <v>valentine_reward_box</v>
      </c>
      <c r="E766" s="148">
        <f>IFERROR(__xludf.DUMMYFUNCTION("""COMPUTED_VALUE"""),19.0)</f>
        <v>19</v>
      </c>
      <c r="F766" s="148">
        <f>IFERROR(__xludf.DUMMYFUNCTION("""COMPUTED_VALUE"""),201101.0)</f>
        <v>201101</v>
      </c>
      <c r="G766" s="148">
        <f>IFERROR(__xludf.DUMMYFUNCTION("""COMPUTED_VALUE"""),1.5118225E7)</f>
        <v>15118225</v>
      </c>
      <c r="H766" s="148">
        <f>IFERROR(__xludf.DUMMYFUNCTION("""COMPUTED_VALUE"""),1.5112564E7)</f>
        <v>15112564</v>
      </c>
      <c r="I766" s="148" t="str">
        <f>IFERROR(__xludf.DUMMYFUNCTION("""COMPUTED_VALUE"""),"{}")</f>
        <v>{}</v>
      </c>
      <c r="J766" s="148" t="str">
        <f>IFERROR(__xludf.DUMMYFUNCTION("""COMPUTED_VALUE"""),"{""typ"":""lc"",""txt"":""LC_ITEM_sci_fes_box_name_1""}")</f>
        <v>{"typ":"lc","txt":"LC_ITEM_sci_fes_box_name_1"}</v>
      </c>
      <c r="K766" s="148" t="str">
        <f>IFERROR(__xludf.DUMMYFUNCTION("""COMPUTED_VALUE"""),"{""typ"":""lc"",""txt"":""LC_ITEM_sci_fes_box_desc_1""}")</f>
        <v>{"typ":"lc","txt":"LC_ITEM_sci_fes_box_desc_1"}</v>
      </c>
      <c r="L766" s="148" t="str">
        <f>IFERROR(__xludf.DUMMYFUNCTION("""COMPUTED_VALUE"""),"{""typ"":""lc"",""txt"":""LC_ITEM_horde_elite_box_usedtip""}")</f>
        <v>{"typ":"lc","txt":"LC_ITEM_horde_elite_box_usedtip"}</v>
      </c>
      <c r="M766" s="148">
        <f>IFERROR(__xludf.DUMMYFUNCTION("""COMPUTED_VALUE"""),40.0)</f>
        <v>40</v>
      </c>
      <c r="N766" s="148">
        <f>IFERROR(__xludf.DUMMYFUNCTION("""COMPUTED_VALUE"""),999999.0)</f>
        <v>999999</v>
      </c>
      <c r="O766" s="148">
        <f>IFERROR(__xludf.DUMMYFUNCTION("""COMPUTED_VALUE"""),99999.0)</f>
        <v>99999</v>
      </c>
      <c r="P766" s="148">
        <f>IFERROR(__xludf.DUMMYFUNCTION("""COMPUTED_VALUE"""),99999.0)</f>
        <v>99999</v>
      </c>
      <c r="Q766" s="148" t="str">
        <f>IFERROR(__xludf.DUMMYFUNCTION("""COMPUTED_VALUE"""),"[""bag_other""]")</f>
        <v>["bag_other"]</v>
      </c>
      <c r="R766" s="148" t="str">
        <f>IFERROR(__xludf.DUMMYFUNCTION("""COMPUTED_VALUE"""),"[""bag""]")</f>
        <v>["bag"]</v>
      </c>
      <c r="S766" s="148" t="str">
        <f>IFERROR(__xludf.DUMMYFUNCTION("""COMPUTED_VALUE"""),"{""drop"":{""typ"":""single_random"",""num"":1,""args"":[{""typ"":""item"",""id"":11112030,""num"":1000,""wgt"":19980},{""typ"":""item"",""id"":11112030,""num"":200,""wgt"":120000},{""typ"":""item"",""id"":11112030,""num"":50,""wgt"":200000},{""typ"":""it"&amp;"em"",""id"":11119595,""num"":1,""wgt"":10},{""typ"":""item"",""id"":11119599,""num"":1,""wgt"":10},{""typ"":""item"",""id"":11112030,""num"":20,""wgt"":400000},{""typ"":""item"",""id"":11112030,""num"":100,""wgt"":200000},{""typ"":""item"",""id"":11112030"&amp;",""num"":400,""wgt"":60000}]}}")</f>
        <v>{"drop":{"typ":"single_random","num":1,"args":[{"typ":"item","id":11112030,"num":1000,"wgt":19980},{"typ":"item","id":11112030,"num":200,"wgt":120000},{"typ":"item","id":11112030,"num":50,"wgt":200000},{"typ":"item","id":11119595,"num":1,"wgt":10},{"typ":"item","id":11119599,"num":1,"wgt":10},{"typ":"item","id":11112030,"num":20,"wgt":400000},{"typ":"item","id":11112030,"num":100,"wgt":200000},{"typ":"item","id":11112030,"num":400,"wgt":60000}]}}</v>
      </c>
      <c r="T766" s="148">
        <f>IFERROR(__xludf.DUMMYFUNCTION("""COMPUTED_VALUE"""),-1.0)</f>
        <v>-1</v>
      </c>
      <c r="U766" s="148">
        <f>IFERROR(__xludf.DUMMYFUNCTION("""COMPUTED_VALUE"""),0.0)</f>
        <v>0</v>
      </c>
      <c r="V766" s="148" t="str">
        <f>IFERROR(__xludf.DUMMYFUNCTION("""COMPUTED_VALUE"""),"[]")</f>
        <v>[]</v>
      </c>
      <c r="W766" s="148">
        <f>IFERROR(__xludf.DUMMYFUNCTION("""COMPUTED_VALUE"""),1.174E7)</f>
        <v>11740000</v>
      </c>
      <c r="X766" s="148">
        <f>IFERROR(__xludf.DUMMYFUNCTION("""COMPUTED_VALUE"""),0.0)</f>
        <v>0</v>
      </c>
      <c r="Y766" s="148">
        <f>IFERROR(__xludf.DUMMYFUNCTION("""COMPUTED_VALUE"""),0.0)</f>
        <v>0</v>
      </c>
      <c r="Z766" s="148"/>
    </row>
    <row r="767">
      <c r="A767" s="148">
        <f>IFERROR(__xludf.DUMMYFUNCTION("""COMPUTED_VALUE"""),1.1112564E7)</f>
        <v>11112564</v>
      </c>
      <c r="B767" s="148" t="str">
        <f>IFERROR(__xludf.DUMMYFUNCTION("""COMPUTED_VALUE"""),"2025深海节主城自选道具")</f>
        <v>2025深海节主城自选道具</v>
      </c>
      <c r="C767" s="148"/>
      <c r="D767" s="148" t="str">
        <f>IFERROR(__xludf.DUMMYFUNCTION("""COMPUTED_VALUE"""),"item_select_box")</f>
        <v>item_select_box</v>
      </c>
      <c r="E767" s="148">
        <f>IFERROR(__xludf.DUMMYFUNCTION("""COMPUTED_VALUE"""),19.0)</f>
        <v>19</v>
      </c>
      <c r="F767" s="148">
        <f>IFERROR(__xludf.DUMMYFUNCTION("""COMPUTED_VALUE"""),403200.0)</f>
        <v>403200</v>
      </c>
      <c r="G767" s="148">
        <f>IFERROR(__xludf.DUMMYFUNCTION("""COMPUTED_VALUE"""),1.51101732E8)</f>
        <v>151101732</v>
      </c>
      <c r="H767" s="148">
        <f>IFERROR(__xludf.DUMMYFUNCTION("""COMPUTED_VALUE"""),1.5112564E7)</f>
        <v>15112564</v>
      </c>
      <c r="I767" s="148" t="str">
        <f>IFERROR(__xludf.DUMMYFUNCTION("""COMPUTED_VALUE"""),"{}")</f>
        <v>{}</v>
      </c>
      <c r="J767" s="148" t="str">
        <f>IFERROR(__xludf.DUMMYFUNCTION("""COMPUTED_VALUE"""),"{""typ"":""lc"",""txt"":""LC_ITEM_2025deepsea_skin_box_name""}")</f>
        <v>{"typ":"lc","txt":"LC_ITEM_2025deepsea_skin_box_name"}</v>
      </c>
      <c r="K767" s="148" t="str">
        <f>IFERROR(__xludf.DUMMYFUNCTION("""COMPUTED_VALUE"""),"{""typ"":""lc"",""txt"":""LC_ITEM_2025easter_skin_box_desc"",""args"":[{""typ"":""int"",""val"":1},{""typ"":""int"",""val"":1}]}")</f>
        <v>{"typ":"lc","txt":"LC_ITEM_2025easter_skin_box_desc","args":[{"typ":"int","val":1},{"typ":"int","val":1}]}</v>
      </c>
      <c r="L767" s="148" t="str">
        <f>IFERROR(__xludf.DUMMYFUNCTION("""COMPUTED_VALUE"""),"{""typ"":""lc"",""txt"":""LC_ITEM_chest_from_atk_npc_usedtip""}")</f>
        <v>{"typ":"lc","txt":"LC_ITEM_chest_from_atk_npc_usedtip"}</v>
      </c>
      <c r="M767" s="148">
        <f>IFERROR(__xludf.DUMMYFUNCTION("""COMPUTED_VALUE"""),1000.0)</f>
        <v>1000</v>
      </c>
      <c r="N767" s="148">
        <f>IFERROR(__xludf.DUMMYFUNCTION("""COMPUTED_VALUE"""),999999.0)</f>
        <v>999999</v>
      </c>
      <c r="O767" s="148">
        <f>IFERROR(__xludf.DUMMYFUNCTION("""COMPUTED_VALUE"""),99999.0)</f>
        <v>99999</v>
      </c>
      <c r="P767" s="148">
        <f>IFERROR(__xludf.DUMMYFUNCTION("""COMPUTED_VALUE"""),99999.0)</f>
        <v>99999</v>
      </c>
      <c r="Q767" s="148" t="str">
        <f>IFERROR(__xludf.DUMMYFUNCTION("""COMPUTED_VALUE"""),"[""bag_other""]")</f>
        <v>["bag_other"]</v>
      </c>
      <c r="R767" s="148" t="str">
        <f>IFERROR(__xludf.DUMMYFUNCTION("""COMPUTED_VALUE"""),"[""bag""]")</f>
        <v>["bag"]</v>
      </c>
      <c r="S767" s="148" t="str">
        <f>IFERROR(__xludf.DUMMYFUNCTION("""COMPUTED_VALUE"""),"{""select_box"":[{""typ"":""item"",""id"":11112194,""val"":1},{""typ"":""item"",""id"":11117085,""val"":1},{""typ"":""item"",""id"":11117246,""val"":1},{""typ"":""item"",""id"":11111334,""val"":1},{""typ"":""item"",""id"":11111331,""val"":1},{""typ"":""it"&amp;"em"",""id"":11112030,""val"":4500}]}")</f>
        <v>{"select_box":[{"typ":"item","id":11112194,"val":1},{"typ":"item","id":11117085,"val":1},{"typ":"item","id":11117246,"val":1},{"typ":"item","id":11111334,"val":1},{"typ":"item","id":11111331,"val":1},{"typ":"item","id":11112030,"val":4500}]}</v>
      </c>
      <c r="T767" s="148">
        <f>IFERROR(__xludf.DUMMYFUNCTION("""COMPUTED_VALUE"""),1.0)</f>
        <v>1</v>
      </c>
      <c r="U767" s="148">
        <f>IFERROR(__xludf.DUMMYFUNCTION("""COMPUTED_VALUE"""),0.0)</f>
        <v>0</v>
      </c>
      <c r="V767" s="148" t="str">
        <f>IFERROR(__xludf.DUMMYFUNCTION("""COMPUTED_VALUE"""),"[]")</f>
        <v>[]</v>
      </c>
      <c r="W767" s="148">
        <f>IFERROR(__xludf.DUMMYFUNCTION("""COMPUTED_VALUE"""),1.174E7)</f>
        <v>11740000</v>
      </c>
      <c r="X767" s="148">
        <f>IFERROR(__xludf.DUMMYFUNCTION("""COMPUTED_VALUE"""),0.0)</f>
        <v>0</v>
      </c>
      <c r="Y767" s="148">
        <f>IFERROR(__xludf.DUMMYFUNCTION("""COMPUTED_VALUE"""),0.0)</f>
        <v>0</v>
      </c>
      <c r="Z767" s="148"/>
    </row>
    <row r="768">
      <c r="A768" s="148">
        <f>IFERROR(__xludf.DUMMYFUNCTION("""COMPUTED_VALUE"""),1.1112565E7)</f>
        <v>11112565</v>
      </c>
      <c r="B768" s="148" t="str">
        <f>IFERROR(__xludf.DUMMYFUNCTION("""COMPUTED_VALUE"""),"2025深海节行军特效-海洋之梦-1天限时")</f>
        <v>2025深海节行军特效-海洋之梦-1天限时</v>
      </c>
      <c r="C768" s="148"/>
      <c r="D768" s="148" t="str">
        <f>IFERROR(__xludf.DUMMYFUNCTION("""COMPUTED_VALUE"""),"marching_effect")</f>
        <v>marching_effect</v>
      </c>
      <c r="E768" s="148">
        <f>IFERROR(__xludf.DUMMYFUNCTION("""COMPUTED_VALUE"""),0.0)</f>
        <v>0</v>
      </c>
      <c r="F768" s="148">
        <f>IFERROR(__xludf.DUMMYFUNCTION("""COMPUTED_VALUE"""),408200.0)</f>
        <v>408200</v>
      </c>
      <c r="G768" s="148">
        <f>IFERROR(__xludf.DUMMYFUNCTION("""COMPUTED_VALUE"""),1.51102206E8)</f>
        <v>151102206</v>
      </c>
      <c r="H768" s="148">
        <f>IFERROR(__xludf.DUMMYFUNCTION("""COMPUTED_VALUE"""),1.511256E7)</f>
        <v>15112560</v>
      </c>
      <c r="I768" s="148" t="str">
        <f>IFERROR(__xludf.DUMMYFUNCTION("""COMPUTED_VALUE"""),"{""typ"":""lc"",""txt"":""LC_ITEM_time_day_upper_show"",""args"":[{""typ"":""int_unit"",""val"":1}]}")</f>
        <v>{"typ":"lc","txt":"LC_ITEM_time_day_upper_show","args":[{"typ":"int_unit","val":1}]}</v>
      </c>
      <c r="J768" s="148" t="str">
        <f>IFERROR(__xludf.DUMMYFUNCTION("""COMPUTED_VALUE"""),"{""typ"":""lc"",""txt"":""LC_ITEM_sea1_marcheffect_high_2025""}")</f>
        <v>{"typ":"lc","txt":"LC_ITEM_sea1_marcheffect_high_2025"}</v>
      </c>
      <c r="K768" s="148" t="str">
        <f>IFERROR(__xludf.DUMMYFUNCTION("""COMPUTED_VALUE"""),"{""typ"":""lc"",""txt"":""LC_ITEM_sea1_marcheffect_high_2025_desc""}")</f>
        <v>{"typ":"lc","txt":"LC_ITEM_sea1_marcheffect_high_2025_desc"}</v>
      </c>
      <c r="L768" s="148" t="str">
        <f>IFERROR(__xludf.DUMMYFUNCTION("""COMPUTED_VALUE"""),"{""typ"":""lc"",""txt"":""LC_ITEM_march_effect_use_tip_all""}")</f>
        <v>{"typ":"lc","txt":"LC_ITEM_march_effect_use_tip_all"}</v>
      </c>
      <c r="M768" s="148">
        <f>IFERROR(__xludf.DUMMYFUNCTION("""COMPUTED_VALUE"""),50.0)</f>
        <v>50</v>
      </c>
      <c r="N768" s="148">
        <f>IFERROR(__xludf.DUMMYFUNCTION("""COMPUTED_VALUE"""),999999.0)</f>
        <v>999999</v>
      </c>
      <c r="O768" s="148">
        <f>IFERROR(__xludf.DUMMYFUNCTION("""COMPUTED_VALUE"""),99999.0)</f>
        <v>99999</v>
      </c>
      <c r="P768" s="148">
        <f>IFERROR(__xludf.DUMMYFUNCTION("""COMPUTED_VALUE"""),1.0)</f>
        <v>1</v>
      </c>
      <c r="Q768" s="148" t="str">
        <f>IFERROR(__xludf.DUMMYFUNCTION("""COMPUTED_VALUE"""),"[""bag_other""]")</f>
        <v>["bag_other"]</v>
      </c>
      <c r="R768" s="148" t="str">
        <f>IFERROR(__xludf.DUMMYFUNCTION("""COMPUTED_VALUE"""),"[""bag"",""13650136""]")</f>
        <v>["bag","13650136"]</v>
      </c>
      <c r="S768" s="148" t="str">
        <f>IFERROR(__xludf.DUMMYFUNCTION("""COMPUTED_VALUE"""),"{""effect"":[{""typ"":""marching_effect"",""id"":13650136,""val"":86400000},{""typ"":""vm"",""id"":11151001,""val"":50}]}")</f>
        <v>{"effect":[{"typ":"marching_effect","id":13650136,"val":86400000},{"typ":"vm","id":11151001,"val":50}]}</v>
      </c>
      <c r="T768" s="148">
        <f>IFERROR(__xludf.DUMMYFUNCTION("""COMPUTED_VALUE"""),-1.0)</f>
        <v>-1</v>
      </c>
      <c r="U768" s="148">
        <f>IFERROR(__xludf.DUMMYFUNCTION("""COMPUTED_VALUE"""),0.0)</f>
        <v>0</v>
      </c>
      <c r="V768" s="148" t="str">
        <f>IFERROR(__xludf.DUMMYFUNCTION("""COMPUTED_VALUE"""),"[]")</f>
        <v>[]</v>
      </c>
      <c r="W768" s="148">
        <f>IFERROR(__xludf.DUMMYFUNCTION("""COMPUTED_VALUE"""),1.174E7)</f>
        <v>11740000</v>
      </c>
      <c r="X768" s="148">
        <f>IFERROR(__xludf.DUMMYFUNCTION("""COMPUTED_VALUE"""),0.0)</f>
        <v>0</v>
      </c>
      <c r="Y768" s="148">
        <f>IFERROR(__xludf.DUMMYFUNCTION("""COMPUTED_VALUE"""),0.0)</f>
        <v>0</v>
      </c>
      <c r="Z768" s="148"/>
    </row>
    <row r="769">
      <c r="A769" s="148">
        <f>IFERROR(__xludf.DUMMYFUNCTION("""COMPUTED_VALUE"""),1.1112566E7)</f>
        <v>11112566</v>
      </c>
      <c r="B769" s="148" t="str">
        <f>IFERROR(__xludf.DUMMYFUNCTION("""COMPUTED_VALUE"""),"2025深海节行军特效-海洋之梦-3天限时")</f>
        <v>2025深海节行军特效-海洋之梦-3天限时</v>
      </c>
      <c r="C769" s="148"/>
      <c r="D769" s="148" t="str">
        <f>IFERROR(__xludf.DUMMYFUNCTION("""COMPUTED_VALUE"""),"marching_effect")</f>
        <v>marching_effect</v>
      </c>
      <c r="E769" s="148">
        <f>IFERROR(__xludf.DUMMYFUNCTION("""COMPUTED_VALUE"""),0.0)</f>
        <v>0</v>
      </c>
      <c r="F769" s="148">
        <f>IFERROR(__xludf.DUMMYFUNCTION("""COMPUTED_VALUE"""),408199.0)</f>
        <v>408199</v>
      </c>
      <c r="G769" s="148">
        <f>IFERROR(__xludf.DUMMYFUNCTION("""COMPUTED_VALUE"""),1.51102206E8)</f>
        <v>151102206</v>
      </c>
      <c r="H769" s="148">
        <f>IFERROR(__xludf.DUMMYFUNCTION("""COMPUTED_VALUE"""),1.5112561E7)</f>
        <v>15112561</v>
      </c>
      <c r="I769" s="148" t="str">
        <f>IFERROR(__xludf.DUMMYFUNCTION("""COMPUTED_VALUE"""),"{""typ"":""lc"",""txt"":""LC_ITEM_time_day_upper_show"",""args"":[{""typ"":""int_unit"",""val"":3}]}")</f>
        <v>{"typ":"lc","txt":"LC_ITEM_time_day_upper_show","args":[{"typ":"int_unit","val":3}]}</v>
      </c>
      <c r="J769" s="148" t="str">
        <f>IFERROR(__xludf.DUMMYFUNCTION("""COMPUTED_VALUE"""),"{""typ"":""lc"",""txt"":""LC_ITEM_sea1_marcheffect_high_2025""}")</f>
        <v>{"typ":"lc","txt":"LC_ITEM_sea1_marcheffect_high_2025"}</v>
      </c>
      <c r="K769" s="148" t="str">
        <f>IFERROR(__xludf.DUMMYFUNCTION("""COMPUTED_VALUE"""),"{""typ"":""lc"",""txt"":""LC_ITEM_sea1_marcheffect_high_2025_desc""}")</f>
        <v>{"typ":"lc","txt":"LC_ITEM_sea1_marcheffect_high_2025_desc"}</v>
      </c>
      <c r="L769" s="148" t="str">
        <f>IFERROR(__xludf.DUMMYFUNCTION("""COMPUTED_VALUE"""),"{""typ"":""lc"",""txt"":""LC_ITEM_march_effect_use_tip_all""}")</f>
        <v>{"typ":"lc","txt":"LC_ITEM_march_effect_use_tip_all"}</v>
      </c>
      <c r="M769" s="148">
        <f>IFERROR(__xludf.DUMMYFUNCTION("""COMPUTED_VALUE"""),200.0)</f>
        <v>200</v>
      </c>
      <c r="N769" s="148">
        <f>IFERROR(__xludf.DUMMYFUNCTION("""COMPUTED_VALUE"""),999999.0)</f>
        <v>999999</v>
      </c>
      <c r="O769" s="148">
        <f>IFERROR(__xludf.DUMMYFUNCTION("""COMPUTED_VALUE"""),99999.0)</f>
        <v>99999</v>
      </c>
      <c r="P769" s="148">
        <f>IFERROR(__xludf.DUMMYFUNCTION("""COMPUTED_VALUE"""),1.0)</f>
        <v>1</v>
      </c>
      <c r="Q769" s="148" t="str">
        <f>IFERROR(__xludf.DUMMYFUNCTION("""COMPUTED_VALUE"""),"[""bag_other""]")</f>
        <v>["bag_other"]</v>
      </c>
      <c r="R769" s="148" t="str">
        <f>IFERROR(__xludf.DUMMYFUNCTION("""COMPUTED_VALUE"""),"[""bag"",""13650136""]")</f>
        <v>["bag","13650136"]</v>
      </c>
      <c r="S769" s="148" t="str">
        <f>IFERROR(__xludf.DUMMYFUNCTION("""COMPUTED_VALUE"""),"{""effect"":[{""typ"":""marching_effect"",""id"":13650136,""val"":259200000},{""typ"":""vm"",""id"":11151001,""val"":200}]}")</f>
        <v>{"effect":[{"typ":"marching_effect","id":13650136,"val":259200000},{"typ":"vm","id":11151001,"val":200}]}</v>
      </c>
      <c r="T769" s="148">
        <f>IFERROR(__xludf.DUMMYFUNCTION("""COMPUTED_VALUE"""),-1.0)</f>
        <v>-1</v>
      </c>
      <c r="U769" s="148">
        <f>IFERROR(__xludf.DUMMYFUNCTION("""COMPUTED_VALUE"""),0.0)</f>
        <v>0</v>
      </c>
      <c r="V769" s="148" t="str">
        <f>IFERROR(__xludf.DUMMYFUNCTION("""COMPUTED_VALUE"""),"[]")</f>
        <v>[]</v>
      </c>
      <c r="W769" s="148">
        <f>IFERROR(__xludf.DUMMYFUNCTION("""COMPUTED_VALUE"""),1.174E7)</f>
        <v>11740000</v>
      </c>
      <c r="X769" s="148">
        <f>IFERROR(__xludf.DUMMYFUNCTION("""COMPUTED_VALUE"""),0.0)</f>
        <v>0</v>
      </c>
      <c r="Y769" s="148">
        <f>IFERROR(__xludf.DUMMYFUNCTION("""COMPUTED_VALUE"""),0.0)</f>
        <v>0</v>
      </c>
      <c r="Z769" s="148"/>
    </row>
    <row r="770">
      <c r="A770" s="148">
        <f>IFERROR(__xludf.DUMMYFUNCTION("""COMPUTED_VALUE"""),1.1112567E7)</f>
        <v>11112567</v>
      </c>
      <c r="B770" s="148" t="str">
        <f>IFERROR(__xludf.DUMMYFUNCTION("""COMPUTED_VALUE"""),"2025深海节行军特效-海洋之梦-7天限时")</f>
        <v>2025深海节行军特效-海洋之梦-7天限时</v>
      </c>
      <c r="C770" s="148"/>
      <c r="D770" s="148" t="str">
        <f>IFERROR(__xludf.DUMMYFUNCTION("""COMPUTED_VALUE"""),"marching_effect")</f>
        <v>marching_effect</v>
      </c>
      <c r="E770" s="148">
        <f>IFERROR(__xludf.DUMMYFUNCTION("""COMPUTED_VALUE"""),0.0)</f>
        <v>0</v>
      </c>
      <c r="F770" s="148">
        <f>IFERROR(__xludf.DUMMYFUNCTION("""COMPUTED_VALUE"""),408198.0)</f>
        <v>408198</v>
      </c>
      <c r="G770" s="148">
        <f>IFERROR(__xludf.DUMMYFUNCTION("""COMPUTED_VALUE"""),1.51102206E8)</f>
        <v>151102206</v>
      </c>
      <c r="H770" s="148">
        <f>IFERROR(__xludf.DUMMYFUNCTION("""COMPUTED_VALUE"""),1.5112562E7)</f>
        <v>15112562</v>
      </c>
      <c r="I770" s="148" t="str">
        <f>IFERROR(__xludf.DUMMYFUNCTION("""COMPUTED_VALUE"""),"{""typ"":""lc"",""txt"":""LC_ITEM_time_day_upper_show"",""args"":[{""typ"":""int_unit"",""val"":7}]}")</f>
        <v>{"typ":"lc","txt":"LC_ITEM_time_day_upper_show","args":[{"typ":"int_unit","val":7}]}</v>
      </c>
      <c r="J770" s="148" t="str">
        <f>IFERROR(__xludf.DUMMYFUNCTION("""COMPUTED_VALUE"""),"{""typ"":""lc"",""txt"":""LC_ITEM_sea1_marcheffect_high_2025""}")</f>
        <v>{"typ":"lc","txt":"LC_ITEM_sea1_marcheffect_high_2025"}</v>
      </c>
      <c r="K770" s="148" t="str">
        <f>IFERROR(__xludf.DUMMYFUNCTION("""COMPUTED_VALUE"""),"{""typ"":""lc"",""txt"":""LC_ITEM_sea1_marcheffect_high_2025_desc""}")</f>
        <v>{"typ":"lc","txt":"LC_ITEM_sea1_marcheffect_high_2025_desc"}</v>
      </c>
      <c r="L770" s="148" t="str">
        <f>IFERROR(__xludf.DUMMYFUNCTION("""COMPUTED_VALUE"""),"{""typ"":""lc"",""txt"":""LC_ITEM_march_effect_use_tip_all""}")</f>
        <v>{"typ":"lc","txt":"LC_ITEM_march_effect_use_tip_all"}</v>
      </c>
      <c r="M770" s="148">
        <f>IFERROR(__xludf.DUMMYFUNCTION("""COMPUTED_VALUE"""),500.0)</f>
        <v>500</v>
      </c>
      <c r="N770" s="148">
        <f>IFERROR(__xludf.DUMMYFUNCTION("""COMPUTED_VALUE"""),999999.0)</f>
        <v>999999</v>
      </c>
      <c r="O770" s="148">
        <f>IFERROR(__xludf.DUMMYFUNCTION("""COMPUTED_VALUE"""),99999.0)</f>
        <v>99999</v>
      </c>
      <c r="P770" s="148">
        <f>IFERROR(__xludf.DUMMYFUNCTION("""COMPUTED_VALUE"""),1.0)</f>
        <v>1</v>
      </c>
      <c r="Q770" s="148" t="str">
        <f>IFERROR(__xludf.DUMMYFUNCTION("""COMPUTED_VALUE"""),"[""bag_other""]")</f>
        <v>["bag_other"]</v>
      </c>
      <c r="R770" s="148" t="str">
        <f>IFERROR(__xludf.DUMMYFUNCTION("""COMPUTED_VALUE"""),"[""bag"",""13650136""]")</f>
        <v>["bag","13650136"]</v>
      </c>
      <c r="S770" s="148" t="str">
        <f>IFERROR(__xludf.DUMMYFUNCTION("""COMPUTED_VALUE"""),"{""effect"":[{""typ"":""marching_effect"",""id"":13650136,""val"":604800000},{""typ"":""vm"",""id"":11151001,""val"":500}]}")</f>
        <v>{"effect":[{"typ":"marching_effect","id":13650136,"val":604800000},{"typ":"vm","id":11151001,"val":500}]}</v>
      </c>
      <c r="T770" s="148">
        <f>IFERROR(__xludf.DUMMYFUNCTION("""COMPUTED_VALUE"""),-1.0)</f>
        <v>-1</v>
      </c>
      <c r="U770" s="148">
        <f>IFERROR(__xludf.DUMMYFUNCTION("""COMPUTED_VALUE"""),0.0)</f>
        <v>0</v>
      </c>
      <c r="V770" s="148" t="str">
        <f>IFERROR(__xludf.DUMMYFUNCTION("""COMPUTED_VALUE"""),"[]")</f>
        <v>[]</v>
      </c>
      <c r="W770" s="148">
        <f>IFERROR(__xludf.DUMMYFUNCTION("""COMPUTED_VALUE"""),1.174E7)</f>
        <v>11740000</v>
      </c>
      <c r="X770" s="148">
        <f>IFERROR(__xludf.DUMMYFUNCTION("""COMPUTED_VALUE"""),0.0)</f>
        <v>0</v>
      </c>
      <c r="Y770" s="148">
        <f>IFERROR(__xludf.DUMMYFUNCTION("""COMPUTED_VALUE"""),0.0)</f>
        <v>0</v>
      </c>
      <c r="Z770" s="148"/>
    </row>
    <row r="771">
      <c r="A771" s="148">
        <f>IFERROR(__xludf.DUMMYFUNCTION("""COMPUTED_VALUE"""),1.1112568E7)</f>
        <v>11112568</v>
      </c>
      <c r="B771" s="148" t="str">
        <f>IFERROR(__xludf.DUMMYFUNCTION("""COMPUTED_VALUE"""),"2025深海节行军特效-海洋之梦-14天限时")</f>
        <v>2025深海节行军特效-海洋之梦-14天限时</v>
      </c>
      <c r="C771" s="148"/>
      <c r="D771" s="148" t="str">
        <f>IFERROR(__xludf.DUMMYFUNCTION("""COMPUTED_VALUE"""),"marching_effect")</f>
        <v>marching_effect</v>
      </c>
      <c r="E771" s="148">
        <f>IFERROR(__xludf.DUMMYFUNCTION("""COMPUTED_VALUE"""),0.0)</f>
        <v>0</v>
      </c>
      <c r="F771" s="148">
        <f>IFERROR(__xludf.DUMMYFUNCTION("""COMPUTED_VALUE"""),408197.0)</f>
        <v>408197</v>
      </c>
      <c r="G771" s="148">
        <f>IFERROR(__xludf.DUMMYFUNCTION("""COMPUTED_VALUE"""),1.51102206E8)</f>
        <v>151102206</v>
      </c>
      <c r="H771" s="148">
        <f>IFERROR(__xludf.DUMMYFUNCTION("""COMPUTED_VALUE"""),1.5112563E7)</f>
        <v>15112563</v>
      </c>
      <c r="I771" s="148" t="str">
        <f>IFERROR(__xludf.DUMMYFUNCTION("""COMPUTED_VALUE"""),"{""typ"":""lc"",""txt"":""LC_ITEM_time_day_upper_show"",""args"":[{""typ"":""int_unit"",""val"":14}]}")</f>
        <v>{"typ":"lc","txt":"LC_ITEM_time_day_upper_show","args":[{"typ":"int_unit","val":14}]}</v>
      </c>
      <c r="J771" s="148" t="str">
        <f>IFERROR(__xludf.DUMMYFUNCTION("""COMPUTED_VALUE"""),"{""typ"":""lc"",""txt"":""LC_ITEM_sea1_marcheffect_high_2025""}")</f>
        <v>{"typ":"lc","txt":"LC_ITEM_sea1_marcheffect_high_2025"}</v>
      </c>
      <c r="K771" s="148" t="str">
        <f>IFERROR(__xludf.DUMMYFUNCTION("""COMPUTED_VALUE"""),"{""typ"":""lc"",""txt"":""LC_ITEM_sea1_marcheffect_high_2025_desc""}")</f>
        <v>{"typ":"lc","txt":"LC_ITEM_sea1_marcheffect_high_2025_desc"}</v>
      </c>
      <c r="L771" s="148" t="str">
        <f>IFERROR(__xludf.DUMMYFUNCTION("""COMPUTED_VALUE"""),"{""typ"":""lc"",""txt"":""LC_ITEM_march_effect_use_tip_all""}")</f>
        <v>{"typ":"lc","txt":"LC_ITEM_march_effect_use_tip_all"}</v>
      </c>
      <c r="M771" s="148">
        <f>IFERROR(__xludf.DUMMYFUNCTION("""COMPUTED_VALUE"""),1000.0)</f>
        <v>1000</v>
      </c>
      <c r="N771" s="148">
        <f>IFERROR(__xludf.DUMMYFUNCTION("""COMPUTED_VALUE"""),999999.0)</f>
        <v>999999</v>
      </c>
      <c r="O771" s="148">
        <f>IFERROR(__xludf.DUMMYFUNCTION("""COMPUTED_VALUE"""),99999.0)</f>
        <v>99999</v>
      </c>
      <c r="P771" s="148">
        <f>IFERROR(__xludf.DUMMYFUNCTION("""COMPUTED_VALUE"""),1.0)</f>
        <v>1</v>
      </c>
      <c r="Q771" s="148" t="str">
        <f>IFERROR(__xludf.DUMMYFUNCTION("""COMPUTED_VALUE"""),"[""bag_other""]")</f>
        <v>["bag_other"]</v>
      </c>
      <c r="R771" s="148" t="str">
        <f>IFERROR(__xludf.DUMMYFUNCTION("""COMPUTED_VALUE"""),"[""bag"",""13650136""]")</f>
        <v>["bag","13650136"]</v>
      </c>
      <c r="S771" s="148" t="str">
        <f>IFERROR(__xludf.DUMMYFUNCTION("""COMPUTED_VALUE"""),"{""effect"":[{""typ"":""marching_effect"",""id"":13650136,""val"":1209600000},{""typ"":""vm"",""id"":11151001,""val"":1000}]}")</f>
        <v>{"effect":[{"typ":"marching_effect","id":13650136,"val":1209600000},{"typ":"vm","id":11151001,"val":1000}]}</v>
      </c>
      <c r="T771" s="148">
        <f>IFERROR(__xludf.DUMMYFUNCTION("""COMPUTED_VALUE"""),-1.0)</f>
        <v>-1</v>
      </c>
      <c r="U771" s="148">
        <f>IFERROR(__xludf.DUMMYFUNCTION("""COMPUTED_VALUE"""),0.0)</f>
        <v>0</v>
      </c>
      <c r="V771" s="148" t="str">
        <f>IFERROR(__xludf.DUMMYFUNCTION("""COMPUTED_VALUE"""),"[]")</f>
        <v>[]</v>
      </c>
      <c r="W771" s="148">
        <f>IFERROR(__xludf.DUMMYFUNCTION("""COMPUTED_VALUE"""),1.174E7)</f>
        <v>11740000</v>
      </c>
      <c r="X771" s="148">
        <f>IFERROR(__xludf.DUMMYFUNCTION("""COMPUTED_VALUE"""),0.0)</f>
        <v>0</v>
      </c>
      <c r="Y771" s="148">
        <f>IFERROR(__xludf.DUMMYFUNCTION("""COMPUTED_VALUE"""),0.0)</f>
        <v>0</v>
      </c>
      <c r="Z771" s="148"/>
    </row>
    <row r="772">
      <c r="A772" s="148">
        <f>IFERROR(__xludf.DUMMYFUNCTION("""COMPUTED_VALUE"""),1.1112569E7)</f>
        <v>11112569</v>
      </c>
      <c r="B772" s="148" t="str">
        <f>IFERROR(__xludf.DUMMYFUNCTION("""COMPUTED_VALUE"""),"2025深海节行军特效-海洋之梦-30天限时")</f>
        <v>2025深海节行军特效-海洋之梦-30天限时</v>
      </c>
      <c r="C772" s="148"/>
      <c r="D772" s="148" t="str">
        <f>IFERROR(__xludf.DUMMYFUNCTION("""COMPUTED_VALUE"""),"marching_effect")</f>
        <v>marching_effect</v>
      </c>
      <c r="E772" s="148">
        <f>IFERROR(__xludf.DUMMYFUNCTION("""COMPUTED_VALUE"""),0.0)</f>
        <v>0</v>
      </c>
      <c r="F772" s="148">
        <f>IFERROR(__xludf.DUMMYFUNCTION("""COMPUTED_VALUE"""),408197.0)</f>
        <v>408197</v>
      </c>
      <c r="G772" s="148">
        <f>IFERROR(__xludf.DUMMYFUNCTION("""COMPUTED_VALUE"""),1.51102206E8)</f>
        <v>151102206</v>
      </c>
      <c r="H772" s="148">
        <f>IFERROR(__xludf.DUMMYFUNCTION("""COMPUTED_VALUE"""),1.5112563E7)</f>
        <v>15112563</v>
      </c>
      <c r="I772" s="148" t="str">
        <f>IFERROR(__xludf.DUMMYFUNCTION("""COMPUTED_VALUE"""),"{""typ"":""lc"",""txt"":""LC_ITEM_time_day_upper_show"",""args"":[{""typ"":""int_unit"",""val"":30}]}")</f>
        <v>{"typ":"lc","txt":"LC_ITEM_time_day_upper_show","args":[{"typ":"int_unit","val":30}]}</v>
      </c>
      <c r="J772" s="148" t="str">
        <f>IFERROR(__xludf.DUMMYFUNCTION("""COMPUTED_VALUE"""),"{""typ"":""lc"",""txt"":""LC_ITEM_sea1_marcheffect_high_2025""}")</f>
        <v>{"typ":"lc","txt":"LC_ITEM_sea1_marcheffect_high_2025"}</v>
      </c>
      <c r="K772" s="148" t="str">
        <f>IFERROR(__xludf.DUMMYFUNCTION("""COMPUTED_VALUE"""),"{""typ"":""lc"",""txt"":""LC_ITEM_sea1_marcheffect_high_2025_desc""}")</f>
        <v>{"typ":"lc","txt":"LC_ITEM_sea1_marcheffect_high_2025_desc"}</v>
      </c>
      <c r="L772" s="148" t="str">
        <f>IFERROR(__xludf.DUMMYFUNCTION("""COMPUTED_VALUE"""),"{""typ"":""lc"",""txt"":""LC_ITEM_march_effect_use_tip_all""}")</f>
        <v>{"typ":"lc","txt":"LC_ITEM_march_effect_use_tip_all"}</v>
      </c>
      <c r="M772" s="148">
        <f>IFERROR(__xludf.DUMMYFUNCTION("""COMPUTED_VALUE"""),1000.0)</f>
        <v>1000</v>
      </c>
      <c r="N772" s="148">
        <f>IFERROR(__xludf.DUMMYFUNCTION("""COMPUTED_VALUE"""),999999.0)</f>
        <v>999999</v>
      </c>
      <c r="O772" s="148">
        <f>IFERROR(__xludf.DUMMYFUNCTION("""COMPUTED_VALUE"""),99999.0)</f>
        <v>99999</v>
      </c>
      <c r="P772" s="148">
        <f>IFERROR(__xludf.DUMMYFUNCTION("""COMPUTED_VALUE"""),1.0)</f>
        <v>1</v>
      </c>
      <c r="Q772" s="148" t="str">
        <f>IFERROR(__xludf.DUMMYFUNCTION("""COMPUTED_VALUE"""),"[""bag_other""]")</f>
        <v>["bag_other"]</v>
      </c>
      <c r="R772" s="148" t="str">
        <f>IFERROR(__xludf.DUMMYFUNCTION("""COMPUTED_VALUE"""),"[""bag"",""13650136""]")</f>
        <v>["bag","13650136"]</v>
      </c>
      <c r="S772" s="148" t="str">
        <f>IFERROR(__xludf.DUMMYFUNCTION("""COMPUTED_VALUE"""),"{""effect"":[{""typ"":""marching_effect"",""id"":13650136,""val"":2592000000},{""typ"":""vm"",""id"":11151001,""val"":1000}]}")</f>
        <v>{"effect":[{"typ":"marching_effect","id":13650136,"val":2592000000},{"typ":"vm","id":11151001,"val":1000}]}</v>
      </c>
      <c r="T772" s="148">
        <f>IFERROR(__xludf.DUMMYFUNCTION("""COMPUTED_VALUE"""),-1.0)</f>
        <v>-1</v>
      </c>
      <c r="U772" s="148">
        <f>IFERROR(__xludf.DUMMYFUNCTION("""COMPUTED_VALUE"""),0.0)</f>
        <v>0</v>
      </c>
      <c r="V772" s="148" t="str">
        <f>IFERROR(__xludf.DUMMYFUNCTION("""COMPUTED_VALUE"""),"[]")</f>
        <v>[]</v>
      </c>
      <c r="W772" s="148">
        <f>IFERROR(__xludf.DUMMYFUNCTION("""COMPUTED_VALUE"""),1.174E7)</f>
        <v>11740000</v>
      </c>
      <c r="X772" s="148">
        <f>IFERROR(__xludf.DUMMYFUNCTION("""COMPUTED_VALUE"""),0.0)</f>
        <v>0</v>
      </c>
      <c r="Y772" s="148">
        <f>IFERROR(__xludf.DUMMYFUNCTION("""COMPUTED_VALUE"""),0.0)</f>
        <v>0</v>
      </c>
      <c r="Z772" s="148"/>
    </row>
    <row r="773">
      <c r="A773" s="148">
        <f>IFERROR(__xludf.DUMMYFUNCTION("""COMPUTED_VALUE"""),1.111257E7)</f>
        <v>11112570</v>
      </c>
      <c r="B773" s="148" t="str">
        <f>IFERROR(__xludf.DUMMYFUNCTION("""COMPUTED_VALUE"""),"2025深海节行军特效-海洋之梦-永久")</f>
        <v>2025深海节行军特效-海洋之梦-永久</v>
      </c>
      <c r="C773" s="148"/>
      <c r="D773" s="148" t="str">
        <f>IFERROR(__xludf.DUMMYFUNCTION("""COMPUTED_VALUE"""),"marching_effect")</f>
        <v>marching_effect</v>
      </c>
      <c r="E773" s="148">
        <f>IFERROR(__xludf.DUMMYFUNCTION("""COMPUTED_VALUE"""),0.0)</f>
        <v>0</v>
      </c>
      <c r="F773" s="148">
        <f>IFERROR(__xludf.DUMMYFUNCTION("""COMPUTED_VALUE"""),408195.0)</f>
        <v>408195</v>
      </c>
      <c r="G773" s="148">
        <f>IFERROR(__xludf.DUMMYFUNCTION("""COMPUTED_VALUE"""),1.51102206E8)</f>
        <v>151102206</v>
      </c>
      <c r="H773" s="148">
        <f>IFERROR(__xludf.DUMMYFUNCTION("""COMPUTED_VALUE"""),1.5112564E7)</f>
        <v>15112564</v>
      </c>
      <c r="I773" s="148" t="str">
        <f>IFERROR(__xludf.DUMMYFUNCTION("""COMPUTED_VALUE"""),"{}")</f>
        <v>{}</v>
      </c>
      <c r="J773" s="148" t="str">
        <f>IFERROR(__xludf.DUMMYFUNCTION("""COMPUTED_VALUE"""),"{""typ"":""lc"",""txt"":""LC_ITEM_sea1_marcheffect_high_2025""}")</f>
        <v>{"typ":"lc","txt":"LC_ITEM_sea1_marcheffect_high_2025"}</v>
      </c>
      <c r="K773" s="148" t="str">
        <f>IFERROR(__xludf.DUMMYFUNCTION("""COMPUTED_VALUE"""),"{""typ"":""lc"",""txt"":""LC_ITEM_sea1_marcheffect_high_2025_desc""}")</f>
        <v>{"typ":"lc","txt":"LC_ITEM_sea1_marcheffect_high_2025_desc"}</v>
      </c>
      <c r="L773" s="148" t="str">
        <f>IFERROR(__xludf.DUMMYFUNCTION("""COMPUTED_VALUE"""),"{""typ"":""lc"",""txt"":""LC_ITEM_march_effect_use_tip_all""}")</f>
        <v>{"typ":"lc","txt":"LC_ITEM_march_effect_use_tip_all"}</v>
      </c>
      <c r="M773" s="148">
        <f>IFERROR(__xludf.DUMMYFUNCTION("""COMPUTED_VALUE"""),5000.0)</f>
        <v>5000</v>
      </c>
      <c r="N773" s="148">
        <f>IFERROR(__xludf.DUMMYFUNCTION("""COMPUTED_VALUE"""),999999.0)</f>
        <v>999999</v>
      </c>
      <c r="O773" s="148">
        <f>IFERROR(__xludf.DUMMYFUNCTION("""COMPUTED_VALUE"""),99999.0)</f>
        <v>99999</v>
      </c>
      <c r="P773" s="148">
        <f>IFERROR(__xludf.DUMMYFUNCTION("""COMPUTED_VALUE"""),1.0)</f>
        <v>1</v>
      </c>
      <c r="Q773" s="148" t="str">
        <f>IFERROR(__xludf.DUMMYFUNCTION("""COMPUTED_VALUE"""),"[""bag_other""]")</f>
        <v>["bag_other"]</v>
      </c>
      <c r="R773" s="148" t="str">
        <f>IFERROR(__xludf.DUMMYFUNCTION("""COMPUTED_VALUE"""),"[""bag"",""13650136""]")</f>
        <v>["bag","13650136"]</v>
      </c>
      <c r="S773" s="148" t="str">
        <f>IFERROR(__xludf.DUMMYFUNCTION("""COMPUTED_VALUE"""),"{""effect"":[{""typ"":""marching_effect"",""id"":13650136,""val"":-1},{""typ"":""vm"",""id"":11151001,""val"":2500}]}")</f>
        <v>{"effect":[{"typ":"marching_effect","id":13650136,"val":-1},{"typ":"vm","id":11151001,"val":2500}]}</v>
      </c>
      <c r="T773" s="148">
        <f>IFERROR(__xludf.DUMMYFUNCTION("""COMPUTED_VALUE"""),-1.0)</f>
        <v>-1</v>
      </c>
      <c r="U773" s="148">
        <f>IFERROR(__xludf.DUMMYFUNCTION("""COMPUTED_VALUE"""),0.0)</f>
        <v>0</v>
      </c>
      <c r="V773" s="148" t="str">
        <f>IFERROR(__xludf.DUMMYFUNCTION("""COMPUTED_VALUE"""),"[]")</f>
        <v>[]</v>
      </c>
      <c r="W773" s="148">
        <f>IFERROR(__xludf.DUMMYFUNCTION("""COMPUTED_VALUE"""),1.174E7)</f>
        <v>11740000</v>
      </c>
      <c r="X773" s="148">
        <f>IFERROR(__xludf.DUMMYFUNCTION("""COMPUTED_VALUE"""),0.0)</f>
        <v>0</v>
      </c>
      <c r="Y773" s="148">
        <f>IFERROR(__xludf.DUMMYFUNCTION("""COMPUTED_VALUE"""),0.0)</f>
        <v>0</v>
      </c>
      <c r="Z773" s="148"/>
    </row>
    <row r="774">
      <c r="A774" s="148">
        <f>IFERROR(__xludf.DUMMYFUNCTION("""COMPUTED_VALUE"""),1.1112571E7)</f>
        <v>11112571</v>
      </c>
      <c r="B774" s="148" t="str">
        <f>IFERROR(__xludf.DUMMYFUNCTION("""COMPUTED_VALUE"""),"2025深海节铭牌-海底探险")</f>
        <v>2025深海节铭牌-海底探险</v>
      </c>
      <c r="C774" s="148"/>
      <c r="D774" s="148" t="str">
        <f>IFERROR(__xludf.DUMMYFUNCTION("""COMPUTED_VALUE"""),"chat_skin")</f>
        <v>chat_skin</v>
      </c>
      <c r="E774" s="148">
        <f>IFERROR(__xludf.DUMMYFUNCTION("""COMPUTED_VALUE"""),30.0)</f>
        <v>30</v>
      </c>
      <c r="F774" s="148">
        <f>IFERROR(__xludf.DUMMYFUNCTION("""COMPUTED_VALUE"""),401107.0)</f>
        <v>401107</v>
      </c>
      <c r="G774" s="148">
        <f>IFERROR(__xludf.DUMMYFUNCTION("""COMPUTED_VALUE"""),1.51102208E8)</f>
        <v>151102208</v>
      </c>
      <c r="H774" s="148">
        <f>IFERROR(__xludf.DUMMYFUNCTION("""COMPUTED_VALUE"""),1.5112564E7)</f>
        <v>15112564</v>
      </c>
      <c r="I774" s="148" t="str">
        <f>IFERROR(__xludf.DUMMYFUNCTION("""COMPUTED_VALUE"""),"{}")</f>
        <v>{}</v>
      </c>
      <c r="J774" s="148" t="str">
        <f>IFERROR(__xludf.DUMMYFUNCTION("""COMPUTED_VALUE"""),"{""typ"":""lc"",""txt"":""LC_ITEM_sea_nameplate_2025""}")</f>
        <v>{"typ":"lc","txt":"LC_ITEM_sea_nameplate_2025"}</v>
      </c>
      <c r="K774" s="148" t="str">
        <f>IFERROR(__xludf.DUMMYFUNCTION("""COMPUTED_VALUE"""),"{""typ"":""lc"",""txt"":""LC_ITEM_sea_nameplate_2025_desc_item""}")</f>
        <v>{"typ":"lc","txt":"LC_ITEM_sea_nameplate_2025_desc_item"}</v>
      </c>
      <c r="L774" s="148" t="str">
        <f>IFERROR(__xludf.DUMMYFUNCTION("""COMPUTED_VALUE"""),"{""typ"":""lc"",""txt"":""LC_ITEM_season_extra_reward_usedtip""}")</f>
        <v>{"typ":"lc","txt":"LC_ITEM_season_extra_reward_usedtip"}</v>
      </c>
      <c r="M774" s="148">
        <f>IFERROR(__xludf.DUMMYFUNCTION("""COMPUTED_VALUE"""),2500.0)</f>
        <v>2500</v>
      </c>
      <c r="N774" s="148">
        <f>IFERROR(__xludf.DUMMYFUNCTION("""COMPUTED_VALUE"""),9999999.0)</f>
        <v>9999999</v>
      </c>
      <c r="O774" s="148">
        <f>IFERROR(__xludf.DUMMYFUNCTION("""COMPUTED_VALUE"""),1.0)</f>
        <v>1</v>
      </c>
      <c r="P774" s="148">
        <f>IFERROR(__xludf.DUMMYFUNCTION("""COMPUTED_VALUE"""),1.0)</f>
        <v>1</v>
      </c>
      <c r="Q774" s="148" t="str">
        <f>IFERROR(__xludf.DUMMYFUNCTION("""COMPUTED_VALUE"""),"[""bag_other""]")</f>
        <v>["bag_other"]</v>
      </c>
      <c r="R774" s="148" t="str">
        <f>IFERROR(__xludf.DUMMYFUNCTION("""COMPUTED_VALUE"""),"[""11731036"",""bag""]")</f>
        <v>["11731036","bag"]</v>
      </c>
      <c r="S774" s="148" t="str">
        <f>IFERROR(__xludf.DUMMYFUNCTION("""COMPUTED_VALUE"""),"{""effect"":[{""typ"":""nameplate"",""id"":11731036,""val"":-1}]}")</f>
        <v>{"effect":[{"typ":"nameplate","id":11731036,"val":-1}]}</v>
      </c>
      <c r="T774" s="148">
        <f>IFERROR(__xludf.DUMMYFUNCTION("""COMPUTED_VALUE"""),-1.0)</f>
        <v>-1</v>
      </c>
      <c r="U774" s="148">
        <f>IFERROR(__xludf.DUMMYFUNCTION("""COMPUTED_VALUE"""),0.0)</f>
        <v>0</v>
      </c>
      <c r="V774" s="148" t="str">
        <f>IFERROR(__xludf.DUMMYFUNCTION("""COMPUTED_VALUE"""),"[]")</f>
        <v>[]</v>
      </c>
      <c r="W774" s="148">
        <f>IFERROR(__xludf.DUMMYFUNCTION("""COMPUTED_VALUE"""),1.174E7)</f>
        <v>11740000</v>
      </c>
      <c r="X774" s="148">
        <f>IFERROR(__xludf.DUMMYFUNCTION("""COMPUTED_VALUE"""),0.0)</f>
        <v>0</v>
      </c>
      <c r="Y774" s="148">
        <f>IFERROR(__xludf.DUMMYFUNCTION("""COMPUTED_VALUE"""),0.0)</f>
        <v>0</v>
      </c>
      <c r="Z774" s="148"/>
    </row>
    <row r="775">
      <c r="A775" s="148">
        <f>IFERROR(__xludf.DUMMYFUNCTION("""COMPUTED_VALUE"""),1.1112572E7)</f>
        <v>11112572</v>
      </c>
      <c r="B775" s="148" t="str">
        <f>IFERROR(__xludf.DUMMYFUNCTION("""COMPUTED_VALUE"""),"2025深海节bp随机宝箱")</f>
        <v>2025深海节bp随机宝箱</v>
      </c>
      <c r="C775" s="148"/>
      <c r="D775" s="148" t="str">
        <f>IFERROR(__xludf.DUMMYFUNCTION("""COMPUTED_VALUE"""),"item_asset")</f>
        <v>item_asset</v>
      </c>
      <c r="E775" s="148">
        <f>IFERROR(__xludf.DUMMYFUNCTION("""COMPUTED_VALUE"""),19.0)</f>
        <v>19</v>
      </c>
      <c r="F775" s="148">
        <f>IFERROR(__xludf.DUMMYFUNCTION("""COMPUTED_VALUE"""),403308.0)</f>
        <v>403308</v>
      </c>
      <c r="G775" s="148">
        <f>IFERROR(__xludf.DUMMYFUNCTION("""COMPUTED_VALUE"""),1.51101545E8)</f>
        <v>151101545</v>
      </c>
      <c r="H775" s="148">
        <f>IFERROR(__xludf.DUMMYFUNCTION("""COMPUTED_VALUE"""),1.5112564E7)</f>
        <v>15112564</v>
      </c>
      <c r="I775" s="148" t="str">
        <f>IFERROR(__xludf.DUMMYFUNCTION("""COMPUTED_VALUE"""),"{}")</f>
        <v>{}</v>
      </c>
      <c r="J775" s="148" t="str">
        <f>IFERROR(__xludf.DUMMYFUNCTION("""COMPUTED_VALUE"""),"{""typ"":""lc"",""txt"":""LC_ITEM_fes_bp_box_name""}")</f>
        <v>{"typ":"lc","txt":"LC_ITEM_fes_bp_box_name"}</v>
      </c>
      <c r="K775" s="148" t="str">
        <f>IFERROR(__xludf.DUMMYFUNCTION("""COMPUTED_VALUE"""),"{""typ"":""lc"",""txt"":""LC_ITEM_fes_bp_box_desc_sea_2025""}")</f>
        <v>{"typ":"lc","txt":"LC_ITEM_fes_bp_box_desc_sea_2025"}</v>
      </c>
      <c r="L775" s="148" t="str">
        <f>IFERROR(__xludf.DUMMYFUNCTION("""COMPUTED_VALUE"""),"{}")</f>
        <v>{}</v>
      </c>
      <c r="M775" s="148">
        <f>IFERROR(__xludf.DUMMYFUNCTION("""COMPUTED_VALUE"""),135.0)</f>
        <v>135</v>
      </c>
      <c r="N775" s="148">
        <f>IFERROR(__xludf.DUMMYFUNCTION("""COMPUTED_VALUE"""),999999.0)</f>
        <v>999999</v>
      </c>
      <c r="O775" s="148">
        <f>IFERROR(__xludf.DUMMYFUNCTION("""COMPUTED_VALUE"""),99999.0)</f>
        <v>99999</v>
      </c>
      <c r="P775" s="148">
        <f>IFERROR(__xludf.DUMMYFUNCTION("""COMPUTED_VALUE"""),9999.0)</f>
        <v>9999</v>
      </c>
      <c r="Q775" s="148" t="str">
        <f>IFERROR(__xludf.DUMMYFUNCTION("""COMPUTED_VALUE"""),"[""bag_other""]")</f>
        <v>["bag_other"]</v>
      </c>
      <c r="R775" s="148" t="str">
        <f>IFERROR(__xludf.DUMMYFUNCTION("""COMPUTED_VALUE"""),"[""bag""]")</f>
        <v>["bag"]</v>
      </c>
      <c r="S775" s="148" t="str">
        <f>IFERROR(__xludf.DUMMYFUNCTION("""COMPUTED_VALUE"""),"{""drop"":{""typ"":""single_random"",""num"":1,""args"":[{""typ"":""item"",""id"":11112570,""num"":1,""wgt"":1},{""typ"":""item"",""id"":11112201,""num"":10,""wgt"":60},{""typ"":""item"",""id"":11116304,""num"":1,""wgt"":10},{""typ"":""item"",""id"":11118"&amp;"663,""num"":2,""wgt"":60},{""typ"":""item"",""id"":11116110,""num"":2,""wgt"":60},{""typ"":""item"",""id"":11114330,""num"":1,""wgt"":300},{""typ"":""item"",""id"":11111155,""num"":2,""wgt"":300},{""typ"":""item"",""id"":11111105,""num"":2,""wgt"":100}]}}")</f>
        <v>{"drop":{"typ":"single_random","num":1,"args":[{"typ":"item","id":11112570,"num":1,"wgt":1},{"typ":"item","id":11112201,"num":10,"wgt":60},{"typ":"item","id":11116304,"num":1,"wgt":10},{"typ":"item","id":11118663,"num":2,"wgt":60},{"typ":"item","id":11116110,"num":2,"wgt":60},{"typ":"item","id":11114330,"num":1,"wgt":300},{"typ":"item","id":11111155,"num":2,"wgt":300},{"typ":"item","id":11111105,"num":2,"wgt":100}]}}</v>
      </c>
      <c r="T775" s="148">
        <f>IFERROR(__xludf.DUMMYFUNCTION("""COMPUTED_VALUE"""),-1.0)</f>
        <v>-1</v>
      </c>
      <c r="U775" s="148">
        <f>IFERROR(__xludf.DUMMYFUNCTION("""COMPUTED_VALUE"""),0.0)</f>
        <v>0</v>
      </c>
      <c r="V775" s="148" t="str">
        <f>IFERROR(__xludf.DUMMYFUNCTION("""COMPUTED_VALUE"""),"[]")</f>
        <v>[]</v>
      </c>
      <c r="W775" s="148">
        <f>IFERROR(__xludf.DUMMYFUNCTION("""COMPUTED_VALUE"""),1.174E7)</f>
        <v>11740000</v>
      </c>
      <c r="X775" s="148">
        <f>IFERROR(__xludf.DUMMYFUNCTION("""COMPUTED_VALUE"""),0.0)</f>
        <v>0</v>
      </c>
      <c r="Y775" s="148">
        <f>IFERROR(__xludf.DUMMYFUNCTION("""COMPUTED_VALUE"""),0.0)</f>
        <v>0</v>
      </c>
      <c r="Z775" s="148"/>
    </row>
    <row r="776">
      <c r="A776" s="148">
        <f>IFERROR(__xludf.DUMMYFUNCTION("""COMPUTED_VALUE"""),1.1112573E7)</f>
        <v>11112573</v>
      </c>
      <c r="B776" s="148" t="str">
        <f>IFERROR(__xludf.DUMMYFUNCTION("""COMPUTED_VALUE"""),"2025深海节行军特效-波光巡礼-1天限时")</f>
        <v>2025深海节行军特效-波光巡礼-1天限时</v>
      </c>
      <c r="C776" s="148"/>
      <c r="D776" s="148" t="str">
        <f>IFERROR(__xludf.DUMMYFUNCTION("""COMPUTED_VALUE"""),"marching_effect")</f>
        <v>marching_effect</v>
      </c>
      <c r="E776" s="148">
        <f>IFERROR(__xludf.DUMMYFUNCTION("""COMPUTED_VALUE"""),0.0)</f>
        <v>0</v>
      </c>
      <c r="F776" s="148">
        <f>IFERROR(__xludf.DUMMYFUNCTION("""COMPUTED_VALUE"""),408200.0)</f>
        <v>408200</v>
      </c>
      <c r="G776" s="148">
        <f>IFERROR(__xludf.DUMMYFUNCTION("""COMPUTED_VALUE"""),1.51102207E8)</f>
        <v>151102207</v>
      </c>
      <c r="H776" s="148">
        <f>IFERROR(__xludf.DUMMYFUNCTION("""COMPUTED_VALUE"""),1.511256E7)</f>
        <v>15112560</v>
      </c>
      <c r="I776" s="148" t="str">
        <f>IFERROR(__xludf.DUMMYFUNCTION("""COMPUTED_VALUE"""),"{""typ"":""lc"",""txt"":""LC_ITEM_time_day_upper_show"",""args"":[{""typ"":""int_unit"",""val"":1}]}")</f>
        <v>{"typ":"lc","txt":"LC_ITEM_time_day_upper_show","args":[{"typ":"int_unit","val":1}]}</v>
      </c>
      <c r="J776" s="148" t="str">
        <f>IFERROR(__xludf.DUMMYFUNCTION("""COMPUTED_VALUE"""),"{""typ"":""lc"",""txt"":""LC_ITEM_sea2_marcheffect_high_2025""}")</f>
        <v>{"typ":"lc","txt":"LC_ITEM_sea2_marcheffect_high_2025"}</v>
      </c>
      <c r="K776" s="148" t="str">
        <f>IFERROR(__xludf.DUMMYFUNCTION("""COMPUTED_VALUE"""),"{""typ"":""lc"",""txt"":""LC_ITEM_sea2_marcheffect_high_2025_desc""}")</f>
        <v>{"typ":"lc","txt":"LC_ITEM_sea2_marcheffect_high_2025_desc"}</v>
      </c>
      <c r="L776" s="148" t="str">
        <f>IFERROR(__xludf.DUMMYFUNCTION("""COMPUTED_VALUE"""),"{""typ"":""lc"",""txt"":""LC_ITEM_march_effect_use_tip_all""}")</f>
        <v>{"typ":"lc","txt":"LC_ITEM_march_effect_use_tip_all"}</v>
      </c>
      <c r="M776" s="148">
        <f>IFERROR(__xludf.DUMMYFUNCTION("""COMPUTED_VALUE"""),50.0)</f>
        <v>50</v>
      </c>
      <c r="N776" s="148">
        <f>IFERROR(__xludf.DUMMYFUNCTION("""COMPUTED_VALUE"""),999999.0)</f>
        <v>999999</v>
      </c>
      <c r="O776" s="148">
        <f>IFERROR(__xludf.DUMMYFUNCTION("""COMPUTED_VALUE"""),99999.0)</f>
        <v>99999</v>
      </c>
      <c r="P776" s="148">
        <f>IFERROR(__xludf.DUMMYFUNCTION("""COMPUTED_VALUE"""),1.0)</f>
        <v>1</v>
      </c>
      <c r="Q776" s="148" t="str">
        <f>IFERROR(__xludf.DUMMYFUNCTION("""COMPUTED_VALUE"""),"[""bag_other""]")</f>
        <v>["bag_other"]</v>
      </c>
      <c r="R776" s="148" t="str">
        <f>IFERROR(__xludf.DUMMYFUNCTION("""COMPUTED_VALUE"""),"[""bag"",""13650137""]")</f>
        <v>["bag","13650137"]</v>
      </c>
      <c r="S776" s="148" t="str">
        <f>IFERROR(__xludf.DUMMYFUNCTION("""COMPUTED_VALUE"""),"{""effect"":[{""typ"":""marching_effect"",""id"":13650137,""val"":86400000},{""typ"":""vm"",""id"":11151001,""val"":50}]}")</f>
        <v>{"effect":[{"typ":"marching_effect","id":13650137,"val":86400000},{"typ":"vm","id":11151001,"val":50}]}</v>
      </c>
      <c r="T776" s="148">
        <f>IFERROR(__xludf.DUMMYFUNCTION("""COMPUTED_VALUE"""),-1.0)</f>
        <v>-1</v>
      </c>
      <c r="U776" s="148">
        <f>IFERROR(__xludf.DUMMYFUNCTION("""COMPUTED_VALUE"""),0.0)</f>
        <v>0</v>
      </c>
      <c r="V776" s="148" t="str">
        <f>IFERROR(__xludf.DUMMYFUNCTION("""COMPUTED_VALUE"""),"[]")</f>
        <v>[]</v>
      </c>
      <c r="W776" s="148">
        <f>IFERROR(__xludf.DUMMYFUNCTION("""COMPUTED_VALUE"""),1.174E7)</f>
        <v>11740000</v>
      </c>
      <c r="X776" s="148">
        <f>IFERROR(__xludf.DUMMYFUNCTION("""COMPUTED_VALUE"""),0.0)</f>
        <v>0</v>
      </c>
      <c r="Y776" s="148">
        <f>IFERROR(__xludf.DUMMYFUNCTION("""COMPUTED_VALUE"""),0.0)</f>
        <v>0</v>
      </c>
      <c r="Z776" s="148"/>
    </row>
    <row r="777">
      <c r="A777" s="148">
        <f>IFERROR(__xludf.DUMMYFUNCTION("""COMPUTED_VALUE"""),1.1112574E7)</f>
        <v>11112574</v>
      </c>
      <c r="B777" s="148" t="str">
        <f>IFERROR(__xludf.DUMMYFUNCTION("""COMPUTED_VALUE"""),"2025深海节行军特效-波光巡礼-3天限时")</f>
        <v>2025深海节行军特效-波光巡礼-3天限时</v>
      </c>
      <c r="C777" s="148"/>
      <c r="D777" s="148" t="str">
        <f>IFERROR(__xludf.DUMMYFUNCTION("""COMPUTED_VALUE"""),"marching_effect")</f>
        <v>marching_effect</v>
      </c>
      <c r="E777" s="148">
        <f>IFERROR(__xludf.DUMMYFUNCTION("""COMPUTED_VALUE"""),0.0)</f>
        <v>0</v>
      </c>
      <c r="F777" s="148">
        <f>IFERROR(__xludf.DUMMYFUNCTION("""COMPUTED_VALUE"""),408199.0)</f>
        <v>408199</v>
      </c>
      <c r="G777" s="148">
        <f>IFERROR(__xludf.DUMMYFUNCTION("""COMPUTED_VALUE"""),1.51102207E8)</f>
        <v>151102207</v>
      </c>
      <c r="H777" s="148">
        <f>IFERROR(__xludf.DUMMYFUNCTION("""COMPUTED_VALUE"""),1.5112561E7)</f>
        <v>15112561</v>
      </c>
      <c r="I777" s="148" t="str">
        <f>IFERROR(__xludf.DUMMYFUNCTION("""COMPUTED_VALUE"""),"{""typ"":""lc"",""txt"":""LC_ITEM_time_day_upper_show"",""args"":[{""typ"":""int_unit"",""val"":3}]}")</f>
        <v>{"typ":"lc","txt":"LC_ITEM_time_day_upper_show","args":[{"typ":"int_unit","val":3}]}</v>
      </c>
      <c r="J777" s="148" t="str">
        <f>IFERROR(__xludf.DUMMYFUNCTION("""COMPUTED_VALUE"""),"{""typ"":""lc"",""txt"":""LC_ITEM_sea2_marcheffect_high_2025""}")</f>
        <v>{"typ":"lc","txt":"LC_ITEM_sea2_marcheffect_high_2025"}</v>
      </c>
      <c r="K777" s="148" t="str">
        <f>IFERROR(__xludf.DUMMYFUNCTION("""COMPUTED_VALUE"""),"{""typ"":""lc"",""txt"":""LC_ITEM_sea2_marcheffect_high_2025_desc""}")</f>
        <v>{"typ":"lc","txt":"LC_ITEM_sea2_marcheffect_high_2025_desc"}</v>
      </c>
      <c r="L777" s="148" t="str">
        <f>IFERROR(__xludf.DUMMYFUNCTION("""COMPUTED_VALUE"""),"{""typ"":""lc"",""txt"":""LC_ITEM_march_effect_use_tip_all""}")</f>
        <v>{"typ":"lc","txt":"LC_ITEM_march_effect_use_tip_all"}</v>
      </c>
      <c r="M777" s="148">
        <f>IFERROR(__xludf.DUMMYFUNCTION("""COMPUTED_VALUE"""),200.0)</f>
        <v>200</v>
      </c>
      <c r="N777" s="148">
        <f>IFERROR(__xludf.DUMMYFUNCTION("""COMPUTED_VALUE"""),999999.0)</f>
        <v>999999</v>
      </c>
      <c r="O777" s="148">
        <f>IFERROR(__xludf.DUMMYFUNCTION("""COMPUTED_VALUE"""),99999.0)</f>
        <v>99999</v>
      </c>
      <c r="P777" s="148">
        <f>IFERROR(__xludf.DUMMYFUNCTION("""COMPUTED_VALUE"""),1.0)</f>
        <v>1</v>
      </c>
      <c r="Q777" s="148" t="str">
        <f>IFERROR(__xludf.DUMMYFUNCTION("""COMPUTED_VALUE"""),"[""bag_other""]")</f>
        <v>["bag_other"]</v>
      </c>
      <c r="R777" s="148" t="str">
        <f>IFERROR(__xludf.DUMMYFUNCTION("""COMPUTED_VALUE"""),"[""bag"",""13650137""]")</f>
        <v>["bag","13650137"]</v>
      </c>
      <c r="S777" s="148" t="str">
        <f>IFERROR(__xludf.DUMMYFUNCTION("""COMPUTED_VALUE"""),"{""effect"":[{""typ"":""marching_effect"",""id"":13650137,""val"":259200000},{""typ"":""vm"",""id"":11151001,""val"":200}]}")</f>
        <v>{"effect":[{"typ":"marching_effect","id":13650137,"val":259200000},{"typ":"vm","id":11151001,"val":200}]}</v>
      </c>
      <c r="T777" s="148">
        <f>IFERROR(__xludf.DUMMYFUNCTION("""COMPUTED_VALUE"""),-1.0)</f>
        <v>-1</v>
      </c>
      <c r="U777" s="148">
        <f>IFERROR(__xludf.DUMMYFUNCTION("""COMPUTED_VALUE"""),0.0)</f>
        <v>0</v>
      </c>
      <c r="V777" s="148" t="str">
        <f>IFERROR(__xludf.DUMMYFUNCTION("""COMPUTED_VALUE"""),"[]")</f>
        <v>[]</v>
      </c>
      <c r="W777" s="148">
        <f>IFERROR(__xludf.DUMMYFUNCTION("""COMPUTED_VALUE"""),1.174E7)</f>
        <v>11740000</v>
      </c>
      <c r="X777" s="148">
        <f>IFERROR(__xludf.DUMMYFUNCTION("""COMPUTED_VALUE"""),0.0)</f>
        <v>0</v>
      </c>
      <c r="Y777" s="148">
        <f>IFERROR(__xludf.DUMMYFUNCTION("""COMPUTED_VALUE"""),0.0)</f>
        <v>0</v>
      </c>
      <c r="Z777" s="148"/>
    </row>
    <row r="778">
      <c r="A778" s="148">
        <f>IFERROR(__xludf.DUMMYFUNCTION("""COMPUTED_VALUE"""),1.1112575E7)</f>
        <v>11112575</v>
      </c>
      <c r="B778" s="148" t="str">
        <f>IFERROR(__xludf.DUMMYFUNCTION("""COMPUTED_VALUE"""),"2025深海节行军特效-波光巡礼-7天限时")</f>
        <v>2025深海节行军特效-波光巡礼-7天限时</v>
      </c>
      <c r="C778" s="148"/>
      <c r="D778" s="148" t="str">
        <f>IFERROR(__xludf.DUMMYFUNCTION("""COMPUTED_VALUE"""),"marching_effect")</f>
        <v>marching_effect</v>
      </c>
      <c r="E778" s="148">
        <f>IFERROR(__xludf.DUMMYFUNCTION("""COMPUTED_VALUE"""),0.0)</f>
        <v>0</v>
      </c>
      <c r="F778" s="148">
        <f>IFERROR(__xludf.DUMMYFUNCTION("""COMPUTED_VALUE"""),408198.0)</f>
        <v>408198</v>
      </c>
      <c r="G778" s="148">
        <f>IFERROR(__xludf.DUMMYFUNCTION("""COMPUTED_VALUE"""),1.51102207E8)</f>
        <v>151102207</v>
      </c>
      <c r="H778" s="148">
        <f>IFERROR(__xludf.DUMMYFUNCTION("""COMPUTED_VALUE"""),1.5112562E7)</f>
        <v>15112562</v>
      </c>
      <c r="I778" s="148" t="str">
        <f>IFERROR(__xludf.DUMMYFUNCTION("""COMPUTED_VALUE"""),"{""typ"":""lc"",""txt"":""LC_ITEM_time_day_upper_show"",""args"":[{""typ"":""int_unit"",""val"":7}]}")</f>
        <v>{"typ":"lc","txt":"LC_ITEM_time_day_upper_show","args":[{"typ":"int_unit","val":7}]}</v>
      </c>
      <c r="J778" s="148" t="str">
        <f>IFERROR(__xludf.DUMMYFUNCTION("""COMPUTED_VALUE"""),"{""typ"":""lc"",""txt"":""LC_ITEM_sea2_marcheffect_high_2025""}")</f>
        <v>{"typ":"lc","txt":"LC_ITEM_sea2_marcheffect_high_2025"}</v>
      </c>
      <c r="K778" s="148" t="str">
        <f>IFERROR(__xludf.DUMMYFUNCTION("""COMPUTED_VALUE"""),"{""typ"":""lc"",""txt"":""LC_ITEM_sea2_marcheffect_high_2025_desc""}")</f>
        <v>{"typ":"lc","txt":"LC_ITEM_sea2_marcheffect_high_2025_desc"}</v>
      </c>
      <c r="L778" s="148" t="str">
        <f>IFERROR(__xludf.DUMMYFUNCTION("""COMPUTED_VALUE"""),"{""typ"":""lc"",""txt"":""LC_ITEM_march_effect_use_tip_all""}")</f>
        <v>{"typ":"lc","txt":"LC_ITEM_march_effect_use_tip_all"}</v>
      </c>
      <c r="M778" s="148">
        <f>IFERROR(__xludf.DUMMYFUNCTION("""COMPUTED_VALUE"""),500.0)</f>
        <v>500</v>
      </c>
      <c r="N778" s="148">
        <f>IFERROR(__xludf.DUMMYFUNCTION("""COMPUTED_VALUE"""),999999.0)</f>
        <v>999999</v>
      </c>
      <c r="O778" s="148">
        <f>IFERROR(__xludf.DUMMYFUNCTION("""COMPUTED_VALUE"""),99999.0)</f>
        <v>99999</v>
      </c>
      <c r="P778" s="148">
        <f>IFERROR(__xludf.DUMMYFUNCTION("""COMPUTED_VALUE"""),1.0)</f>
        <v>1</v>
      </c>
      <c r="Q778" s="148" t="str">
        <f>IFERROR(__xludf.DUMMYFUNCTION("""COMPUTED_VALUE"""),"[""bag_other""]")</f>
        <v>["bag_other"]</v>
      </c>
      <c r="R778" s="148" t="str">
        <f>IFERROR(__xludf.DUMMYFUNCTION("""COMPUTED_VALUE"""),"[""bag"",""13650137""]")</f>
        <v>["bag","13650137"]</v>
      </c>
      <c r="S778" s="148" t="str">
        <f>IFERROR(__xludf.DUMMYFUNCTION("""COMPUTED_VALUE"""),"{""effect"":[{""typ"":""marching_effect"",""id"":13650137,""val"":604800000},{""typ"":""vm"",""id"":11151001,""val"":500}]}")</f>
        <v>{"effect":[{"typ":"marching_effect","id":13650137,"val":604800000},{"typ":"vm","id":11151001,"val":500}]}</v>
      </c>
      <c r="T778" s="148">
        <f>IFERROR(__xludf.DUMMYFUNCTION("""COMPUTED_VALUE"""),-1.0)</f>
        <v>-1</v>
      </c>
      <c r="U778" s="148">
        <f>IFERROR(__xludf.DUMMYFUNCTION("""COMPUTED_VALUE"""),0.0)</f>
        <v>0</v>
      </c>
      <c r="V778" s="148" t="str">
        <f>IFERROR(__xludf.DUMMYFUNCTION("""COMPUTED_VALUE"""),"[]")</f>
        <v>[]</v>
      </c>
      <c r="W778" s="148">
        <f>IFERROR(__xludf.DUMMYFUNCTION("""COMPUTED_VALUE"""),1.174E7)</f>
        <v>11740000</v>
      </c>
      <c r="X778" s="148">
        <f>IFERROR(__xludf.DUMMYFUNCTION("""COMPUTED_VALUE"""),0.0)</f>
        <v>0</v>
      </c>
      <c r="Y778" s="148">
        <f>IFERROR(__xludf.DUMMYFUNCTION("""COMPUTED_VALUE"""),0.0)</f>
        <v>0</v>
      </c>
      <c r="Z778" s="148"/>
    </row>
    <row r="779">
      <c r="A779" s="148">
        <f>IFERROR(__xludf.DUMMYFUNCTION("""COMPUTED_VALUE"""),1.1112576E7)</f>
        <v>11112576</v>
      </c>
      <c r="B779" s="148" t="str">
        <f>IFERROR(__xludf.DUMMYFUNCTION("""COMPUTED_VALUE"""),"2025深海节行军特效-波光巡礼-14天限时")</f>
        <v>2025深海节行军特效-波光巡礼-14天限时</v>
      </c>
      <c r="C779" s="148"/>
      <c r="D779" s="148" t="str">
        <f>IFERROR(__xludf.DUMMYFUNCTION("""COMPUTED_VALUE"""),"marching_effect")</f>
        <v>marching_effect</v>
      </c>
      <c r="E779" s="148">
        <f>IFERROR(__xludf.DUMMYFUNCTION("""COMPUTED_VALUE"""),0.0)</f>
        <v>0</v>
      </c>
      <c r="F779" s="148">
        <f>IFERROR(__xludf.DUMMYFUNCTION("""COMPUTED_VALUE"""),408197.0)</f>
        <v>408197</v>
      </c>
      <c r="G779" s="148">
        <f>IFERROR(__xludf.DUMMYFUNCTION("""COMPUTED_VALUE"""),1.51102207E8)</f>
        <v>151102207</v>
      </c>
      <c r="H779" s="148">
        <f>IFERROR(__xludf.DUMMYFUNCTION("""COMPUTED_VALUE"""),1.5112563E7)</f>
        <v>15112563</v>
      </c>
      <c r="I779" s="148" t="str">
        <f>IFERROR(__xludf.DUMMYFUNCTION("""COMPUTED_VALUE"""),"{""typ"":""lc"",""txt"":""LC_ITEM_time_day_upper_show"",""args"":[{""typ"":""int_unit"",""val"":14}]}")</f>
        <v>{"typ":"lc","txt":"LC_ITEM_time_day_upper_show","args":[{"typ":"int_unit","val":14}]}</v>
      </c>
      <c r="J779" s="148" t="str">
        <f>IFERROR(__xludf.DUMMYFUNCTION("""COMPUTED_VALUE"""),"{""typ"":""lc"",""txt"":""LC_ITEM_sea2_marcheffect_high_2025""}")</f>
        <v>{"typ":"lc","txt":"LC_ITEM_sea2_marcheffect_high_2025"}</v>
      </c>
      <c r="K779" s="148" t="str">
        <f>IFERROR(__xludf.DUMMYFUNCTION("""COMPUTED_VALUE"""),"{""typ"":""lc"",""txt"":""LC_ITEM_sea2_marcheffect_high_2025_desc""}")</f>
        <v>{"typ":"lc","txt":"LC_ITEM_sea2_marcheffect_high_2025_desc"}</v>
      </c>
      <c r="L779" s="148" t="str">
        <f>IFERROR(__xludf.DUMMYFUNCTION("""COMPUTED_VALUE"""),"{""typ"":""lc"",""txt"":""LC_ITEM_march_effect_use_tip_all""}")</f>
        <v>{"typ":"lc","txt":"LC_ITEM_march_effect_use_tip_all"}</v>
      </c>
      <c r="M779" s="148">
        <f>IFERROR(__xludf.DUMMYFUNCTION("""COMPUTED_VALUE"""),1000.0)</f>
        <v>1000</v>
      </c>
      <c r="N779" s="148">
        <f>IFERROR(__xludf.DUMMYFUNCTION("""COMPUTED_VALUE"""),999999.0)</f>
        <v>999999</v>
      </c>
      <c r="O779" s="148">
        <f>IFERROR(__xludf.DUMMYFUNCTION("""COMPUTED_VALUE"""),99999.0)</f>
        <v>99999</v>
      </c>
      <c r="P779" s="148">
        <f>IFERROR(__xludf.DUMMYFUNCTION("""COMPUTED_VALUE"""),1.0)</f>
        <v>1</v>
      </c>
      <c r="Q779" s="148" t="str">
        <f>IFERROR(__xludf.DUMMYFUNCTION("""COMPUTED_VALUE"""),"[""bag_other""]")</f>
        <v>["bag_other"]</v>
      </c>
      <c r="R779" s="148" t="str">
        <f>IFERROR(__xludf.DUMMYFUNCTION("""COMPUTED_VALUE"""),"[""bag"",""13650137""]")</f>
        <v>["bag","13650137"]</v>
      </c>
      <c r="S779" s="148" t="str">
        <f>IFERROR(__xludf.DUMMYFUNCTION("""COMPUTED_VALUE"""),"{""effect"":[{""typ"":""marching_effect"",""id"":13650137,""val"":1209600000},{""typ"":""vm"",""id"":11151001,""val"":1000}]}")</f>
        <v>{"effect":[{"typ":"marching_effect","id":13650137,"val":1209600000},{"typ":"vm","id":11151001,"val":1000}]}</v>
      </c>
      <c r="T779" s="148">
        <f>IFERROR(__xludf.DUMMYFUNCTION("""COMPUTED_VALUE"""),-1.0)</f>
        <v>-1</v>
      </c>
      <c r="U779" s="148">
        <f>IFERROR(__xludf.DUMMYFUNCTION("""COMPUTED_VALUE"""),0.0)</f>
        <v>0</v>
      </c>
      <c r="V779" s="148" t="str">
        <f>IFERROR(__xludf.DUMMYFUNCTION("""COMPUTED_VALUE"""),"[]")</f>
        <v>[]</v>
      </c>
      <c r="W779" s="148">
        <f>IFERROR(__xludf.DUMMYFUNCTION("""COMPUTED_VALUE"""),1.174E7)</f>
        <v>11740000</v>
      </c>
      <c r="X779" s="148">
        <f>IFERROR(__xludf.DUMMYFUNCTION("""COMPUTED_VALUE"""),0.0)</f>
        <v>0</v>
      </c>
      <c r="Y779" s="148">
        <f>IFERROR(__xludf.DUMMYFUNCTION("""COMPUTED_VALUE"""),0.0)</f>
        <v>0</v>
      </c>
      <c r="Z779" s="148"/>
    </row>
    <row r="780">
      <c r="A780" s="148">
        <f>IFERROR(__xludf.DUMMYFUNCTION("""COMPUTED_VALUE"""),1.1112577E7)</f>
        <v>11112577</v>
      </c>
      <c r="B780" s="148" t="str">
        <f>IFERROR(__xludf.DUMMYFUNCTION("""COMPUTED_VALUE"""),"2025深海节行军特效-波光巡礼-30天限时")</f>
        <v>2025深海节行军特效-波光巡礼-30天限时</v>
      </c>
      <c r="C780" s="148"/>
      <c r="D780" s="148" t="str">
        <f>IFERROR(__xludf.DUMMYFUNCTION("""COMPUTED_VALUE"""),"marching_effect")</f>
        <v>marching_effect</v>
      </c>
      <c r="E780" s="148">
        <f>IFERROR(__xludf.DUMMYFUNCTION("""COMPUTED_VALUE"""),0.0)</f>
        <v>0</v>
      </c>
      <c r="F780" s="148">
        <f>IFERROR(__xludf.DUMMYFUNCTION("""COMPUTED_VALUE"""),408197.0)</f>
        <v>408197</v>
      </c>
      <c r="G780" s="148">
        <f>IFERROR(__xludf.DUMMYFUNCTION("""COMPUTED_VALUE"""),1.51102207E8)</f>
        <v>151102207</v>
      </c>
      <c r="H780" s="148">
        <f>IFERROR(__xludf.DUMMYFUNCTION("""COMPUTED_VALUE"""),1.5112563E7)</f>
        <v>15112563</v>
      </c>
      <c r="I780" s="148" t="str">
        <f>IFERROR(__xludf.DUMMYFUNCTION("""COMPUTED_VALUE"""),"{""typ"":""lc"",""txt"":""LC_ITEM_time_day_upper_show"",""args"":[{""typ"":""int_unit"",""val"":30}]}")</f>
        <v>{"typ":"lc","txt":"LC_ITEM_time_day_upper_show","args":[{"typ":"int_unit","val":30}]}</v>
      </c>
      <c r="J780" s="148" t="str">
        <f>IFERROR(__xludf.DUMMYFUNCTION("""COMPUTED_VALUE"""),"{""typ"":""lc"",""txt"":""LC_ITEM_sea2_marcheffect_high_2025""}")</f>
        <v>{"typ":"lc","txt":"LC_ITEM_sea2_marcheffect_high_2025"}</v>
      </c>
      <c r="K780" s="148" t="str">
        <f>IFERROR(__xludf.DUMMYFUNCTION("""COMPUTED_VALUE"""),"{""typ"":""lc"",""txt"":""LC_ITEM_sea2_marcheffect_high_2025_desc""}")</f>
        <v>{"typ":"lc","txt":"LC_ITEM_sea2_marcheffect_high_2025_desc"}</v>
      </c>
      <c r="L780" s="148" t="str">
        <f>IFERROR(__xludf.DUMMYFUNCTION("""COMPUTED_VALUE"""),"{""typ"":""lc"",""txt"":""LC_ITEM_march_effect_use_tip_all""}")</f>
        <v>{"typ":"lc","txt":"LC_ITEM_march_effect_use_tip_all"}</v>
      </c>
      <c r="M780" s="148">
        <f>IFERROR(__xludf.DUMMYFUNCTION("""COMPUTED_VALUE"""),1000.0)</f>
        <v>1000</v>
      </c>
      <c r="N780" s="148">
        <f>IFERROR(__xludf.DUMMYFUNCTION("""COMPUTED_VALUE"""),999999.0)</f>
        <v>999999</v>
      </c>
      <c r="O780" s="148">
        <f>IFERROR(__xludf.DUMMYFUNCTION("""COMPUTED_VALUE"""),99999.0)</f>
        <v>99999</v>
      </c>
      <c r="P780" s="148">
        <f>IFERROR(__xludf.DUMMYFUNCTION("""COMPUTED_VALUE"""),1.0)</f>
        <v>1</v>
      </c>
      <c r="Q780" s="148" t="str">
        <f>IFERROR(__xludf.DUMMYFUNCTION("""COMPUTED_VALUE"""),"[""bag_other""]")</f>
        <v>["bag_other"]</v>
      </c>
      <c r="R780" s="148" t="str">
        <f>IFERROR(__xludf.DUMMYFUNCTION("""COMPUTED_VALUE"""),"[""bag"",""13650137""]")</f>
        <v>["bag","13650137"]</v>
      </c>
      <c r="S780" s="148" t="str">
        <f>IFERROR(__xludf.DUMMYFUNCTION("""COMPUTED_VALUE"""),"{""effect"":[{""typ"":""marching_effect"",""id"":13650137,""val"":2592000000},{""typ"":""vm"",""id"":11151001,""val"":1000}]}")</f>
        <v>{"effect":[{"typ":"marching_effect","id":13650137,"val":2592000000},{"typ":"vm","id":11151001,"val":1000}]}</v>
      </c>
      <c r="T780" s="148">
        <f>IFERROR(__xludf.DUMMYFUNCTION("""COMPUTED_VALUE"""),-1.0)</f>
        <v>-1</v>
      </c>
      <c r="U780" s="148">
        <f>IFERROR(__xludf.DUMMYFUNCTION("""COMPUTED_VALUE"""),0.0)</f>
        <v>0</v>
      </c>
      <c r="V780" s="148" t="str">
        <f>IFERROR(__xludf.DUMMYFUNCTION("""COMPUTED_VALUE"""),"[]")</f>
        <v>[]</v>
      </c>
      <c r="W780" s="148">
        <f>IFERROR(__xludf.DUMMYFUNCTION("""COMPUTED_VALUE"""),1.174E7)</f>
        <v>11740000</v>
      </c>
      <c r="X780" s="148">
        <f>IFERROR(__xludf.DUMMYFUNCTION("""COMPUTED_VALUE"""),0.0)</f>
        <v>0</v>
      </c>
      <c r="Y780" s="148">
        <f>IFERROR(__xludf.DUMMYFUNCTION("""COMPUTED_VALUE"""),0.0)</f>
        <v>0</v>
      </c>
      <c r="Z780" s="148"/>
    </row>
    <row r="781">
      <c r="A781" s="148">
        <f>IFERROR(__xludf.DUMMYFUNCTION("""COMPUTED_VALUE"""),1.1112578E7)</f>
        <v>11112578</v>
      </c>
      <c r="B781" s="148" t="str">
        <f>IFERROR(__xludf.DUMMYFUNCTION("""COMPUTED_VALUE"""),"2025深海节行军特效-波光巡礼-永久")</f>
        <v>2025深海节行军特效-波光巡礼-永久</v>
      </c>
      <c r="C781" s="148"/>
      <c r="D781" s="148" t="str">
        <f>IFERROR(__xludf.DUMMYFUNCTION("""COMPUTED_VALUE"""),"marching_effect")</f>
        <v>marching_effect</v>
      </c>
      <c r="E781" s="148">
        <f>IFERROR(__xludf.DUMMYFUNCTION("""COMPUTED_VALUE"""),0.0)</f>
        <v>0</v>
      </c>
      <c r="F781" s="148">
        <f>IFERROR(__xludf.DUMMYFUNCTION("""COMPUTED_VALUE"""),408195.0)</f>
        <v>408195</v>
      </c>
      <c r="G781" s="148">
        <f>IFERROR(__xludf.DUMMYFUNCTION("""COMPUTED_VALUE"""),1.51102207E8)</f>
        <v>151102207</v>
      </c>
      <c r="H781" s="148">
        <f>IFERROR(__xludf.DUMMYFUNCTION("""COMPUTED_VALUE"""),1.5112564E7)</f>
        <v>15112564</v>
      </c>
      <c r="I781" s="148" t="str">
        <f>IFERROR(__xludf.DUMMYFUNCTION("""COMPUTED_VALUE"""),"{}")</f>
        <v>{}</v>
      </c>
      <c r="J781" s="148" t="str">
        <f>IFERROR(__xludf.DUMMYFUNCTION("""COMPUTED_VALUE"""),"{""typ"":""lc"",""txt"":""LC_ITEM_sea2_marcheffect_high_2025""}")</f>
        <v>{"typ":"lc","txt":"LC_ITEM_sea2_marcheffect_high_2025"}</v>
      </c>
      <c r="K781" s="148" t="str">
        <f>IFERROR(__xludf.DUMMYFUNCTION("""COMPUTED_VALUE"""),"{""typ"":""lc"",""txt"":""LC_ITEM_sea2_marcheffect_high_2025_desc""}")</f>
        <v>{"typ":"lc","txt":"LC_ITEM_sea2_marcheffect_high_2025_desc"}</v>
      </c>
      <c r="L781" s="148" t="str">
        <f>IFERROR(__xludf.DUMMYFUNCTION("""COMPUTED_VALUE"""),"{""typ"":""lc"",""txt"":""LC_ITEM_march_effect_use_tip_all""}")</f>
        <v>{"typ":"lc","txt":"LC_ITEM_march_effect_use_tip_all"}</v>
      </c>
      <c r="M781" s="148">
        <f>IFERROR(__xludf.DUMMYFUNCTION("""COMPUTED_VALUE"""),5000.0)</f>
        <v>5000</v>
      </c>
      <c r="N781" s="148">
        <f>IFERROR(__xludf.DUMMYFUNCTION("""COMPUTED_VALUE"""),999999.0)</f>
        <v>999999</v>
      </c>
      <c r="O781" s="148">
        <f>IFERROR(__xludf.DUMMYFUNCTION("""COMPUTED_VALUE"""),99999.0)</f>
        <v>99999</v>
      </c>
      <c r="P781" s="148">
        <f>IFERROR(__xludf.DUMMYFUNCTION("""COMPUTED_VALUE"""),1.0)</f>
        <v>1</v>
      </c>
      <c r="Q781" s="148" t="str">
        <f>IFERROR(__xludf.DUMMYFUNCTION("""COMPUTED_VALUE"""),"[""bag_other""]")</f>
        <v>["bag_other"]</v>
      </c>
      <c r="R781" s="148" t="str">
        <f>IFERROR(__xludf.DUMMYFUNCTION("""COMPUTED_VALUE"""),"[""bag"",""13650137""]")</f>
        <v>["bag","13650137"]</v>
      </c>
      <c r="S781" s="148" t="str">
        <f>IFERROR(__xludf.DUMMYFUNCTION("""COMPUTED_VALUE"""),"{""effect"":[{""typ"":""marching_effect"",""id"":13650137,""val"":-1},{""typ"":""vm"",""id"":11151001,""val"":2500}]}")</f>
        <v>{"effect":[{"typ":"marching_effect","id":13650137,"val":-1},{"typ":"vm","id":11151001,"val":2500}]}</v>
      </c>
      <c r="T781" s="148">
        <f>IFERROR(__xludf.DUMMYFUNCTION("""COMPUTED_VALUE"""),-1.0)</f>
        <v>-1</v>
      </c>
      <c r="U781" s="148">
        <f>IFERROR(__xludf.DUMMYFUNCTION("""COMPUTED_VALUE"""),0.0)</f>
        <v>0</v>
      </c>
      <c r="V781" s="148" t="str">
        <f>IFERROR(__xludf.DUMMYFUNCTION("""COMPUTED_VALUE"""),"[]")</f>
        <v>[]</v>
      </c>
      <c r="W781" s="148">
        <f>IFERROR(__xludf.DUMMYFUNCTION("""COMPUTED_VALUE"""),1.174E7)</f>
        <v>11740000</v>
      </c>
      <c r="X781" s="148">
        <f>IFERROR(__xludf.DUMMYFUNCTION("""COMPUTED_VALUE"""),0.0)</f>
        <v>0</v>
      </c>
      <c r="Y781" s="148">
        <f>IFERROR(__xludf.DUMMYFUNCTION("""COMPUTED_VALUE"""),0.0)</f>
        <v>0</v>
      </c>
      <c r="Z781" s="148"/>
    </row>
    <row r="782">
      <c r="A782" s="148">
        <f>IFERROR(__xludf.DUMMYFUNCTION("""COMPUTED_VALUE"""),1.1112579E7)</f>
        <v>11112579</v>
      </c>
      <c r="B782" s="148" t="str">
        <f>IFERROR(__xludf.DUMMYFUNCTION("""COMPUTED_VALUE"""),"2025深海节动态头像框-潮汐回响")</f>
        <v>2025深海节动态头像框-潮汐回响</v>
      </c>
      <c r="C782" s="148"/>
      <c r="D782" s="148" t="str">
        <f>IFERROR(__xludf.DUMMYFUNCTION("""COMPUTED_VALUE"""),"avatar_frame")</f>
        <v>avatar_frame</v>
      </c>
      <c r="E782" s="148">
        <f>IFERROR(__xludf.DUMMYFUNCTION("""COMPUTED_VALUE"""),20.0)</f>
        <v>20</v>
      </c>
      <c r="F782" s="148">
        <f>IFERROR(__xludf.DUMMYFUNCTION("""COMPUTED_VALUE"""),0.0)</f>
        <v>0</v>
      </c>
      <c r="G782" s="148">
        <f>IFERROR(__xludf.DUMMYFUNCTION("""COMPUTED_VALUE"""),1.5110221E8)</f>
        <v>151102210</v>
      </c>
      <c r="H782" s="148">
        <f>IFERROR(__xludf.DUMMYFUNCTION("""COMPUTED_VALUE"""),1.5112564E7)</f>
        <v>15112564</v>
      </c>
      <c r="I782" s="148" t="str">
        <f>IFERROR(__xludf.DUMMYFUNCTION("""COMPUTED_VALUE"""),"{}")</f>
        <v>{}</v>
      </c>
      <c r="J782" s="148" t="str">
        <f>IFERROR(__xludf.DUMMYFUNCTION("""COMPUTED_VALUE"""),"{""typ"":""lc"",""txt"":""LC_ITEM_sea_avatar_name_2025""}")</f>
        <v>{"typ":"lc","txt":"LC_ITEM_sea_avatar_name_2025"}</v>
      </c>
      <c r="K782" s="148" t="str">
        <f>IFERROR(__xludf.DUMMYFUNCTION("""COMPUTED_VALUE"""),"{""typ"":""lc"",""txt"":""LC_ITEM_sea_avatar_desc_2025""}")</f>
        <v>{"typ":"lc","txt":"LC_ITEM_sea_avatar_desc_2025"}</v>
      </c>
      <c r="L782" s="148" t="str">
        <f>IFERROR(__xludf.DUMMYFUNCTION("""COMPUTED_VALUE"""),"{}")</f>
        <v>{}</v>
      </c>
      <c r="M782" s="148">
        <f>IFERROR(__xludf.DUMMYFUNCTION("""COMPUTED_VALUE"""),1000.0)</f>
        <v>1000</v>
      </c>
      <c r="N782" s="148">
        <f>IFERROR(__xludf.DUMMYFUNCTION("""COMPUTED_VALUE"""),99.0)</f>
        <v>99</v>
      </c>
      <c r="O782" s="148">
        <f>IFERROR(__xludf.DUMMYFUNCTION("""COMPUTED_VALUE"""),1.0)</f>
        <v>1</v>
      </c>
      <c r="P782" s="148">
        <f>IFERROR(__xludf.DUMMYFUNCTION("""COMPUTED_VALUE"""),1.0)</f>
        <v>1</v>
      </c>
      <c r="Q782" s="148" t="str">
        <f>IFERROR(__xludf.DUMMYFUNCTION("""COMPUTED_VALUE"""),"[]")</f>
        <v>[]</v>
      </c>
      <c r="R782" s="148" t="str">
        <f>IFERROR(__xludf.DUMMYFUNCTION("""COMPUTED_VALUE"""),"[""11421064""]")</f>
        <v>["11421064"]</v>
      </c>
      <c r="S782" s="148" t="str">
        <f>IFERROR(__xludf.DUMMYFUNCTION("""COMPUTED_VALUE"""),"{""effect"":[{""typ"":""avatar_frame"",""id"":11421064,""val"":-1},{""typ"":""item"",""id"":11111031,""val"":1000}]}")</f>
        <v>{"effect":[{"typ":"avatar_frame","id":11421064,"val":-1},{"typ":"item","id":11111031,"val":1000}]}</v>
      </c>
      <c r="T782" s="148">
        <f>IFERROR(__xludf.DUMMYFUNCTION("""COMPUTED_VALUE"""),-1.0)</f>
        <v>-1</v>
      </c>
      <c r="U782" s="148">
        <f>IFERROR(__xludf.DUMMYFUNCTION("""COMPUTED_VALUE"""),1.0)</f>
        <v>1</v>
      </c>
      <c r="V782" s="148" t="str">
        <f>IFERROR(__xludf.DUMMYFUNCTION("""COMPUTED_VALUE"""),"[]")</f>
        <v>[]</v>
      </c>
      <c r="W782" s="148">
        <f>IFERROR(__xludf.DUMMYFUNCTION("""COMPUTED_VALUE"""),1.174E7)</f>
        <v>11740000</v>
      </c>
      <c r="X782" s="148">
        <f>IFERROR(__xludf.DUMMYFUNCTION("""COMPUTED_VALUE"""),0.0)</f>
        <v>0</v>
      </c>
      <c r="Y782" s="148">
        <f>IFERROR(__xludf.DUMMYFUNCTION("""COMPUTED_VALUE"""),0.0)</f>
        <v>0</v>
      </c>
      <c r="Z782" s="148"/>
    </row>
    <row r="783">
      <c r="A783" s="148">
        <f>IFERROR(__xludf.DUMMYFUNCTION("""COMPUTED_VALUE"""),1.111258E7)</f>
        <v>11112580</v>
      </c>
      <c r="B783" s="148" t="str">
        <f>IFERROR(__xludf.DUMMYFUNCTION("""COMPUTED_VALUE"""),"2025深海节-装饰券宝箱")</f>
        <v>2025深海节-装饰券宝箱</v>
      </c>
      <c r="C783" s="148"/>
      <c r="D783" s="148" t="str">
        <f>IFERROR(__xludf.DUMMYFUNCTION("""COMPUTED_VALUE"""),"valentine_reward_box")</f>
        <v>valentine_reward_box</v>
      </c>
      <c r="E783" s="148">
        <f>IFERROR(__xludf.DUMMYFUNCTION("""COMPUTED_VALUE"""),19.0)</f>
        <v>19</v>
      </c>
      <c r="F783" s="148">
        <f>IFERROR(__xludf.DUMMYFUNCTION("""COMPUTED_VALUE"""),201101.0)</f>
        <v>201101</v>
      </c>
      <c r="G783" s="148">
        <f>IFERROR(__xludf.DUMMYFUNCTION("""COMPUTED_VALUE"""),1.5118225E7)</f>
        <v>15118225</v>
      </c>
      <c r="H783" s="148">
        <f>IFERROR(__xludf.DUMMYFUNCTION("""COMPUTED_VALUE"""),1.5112564E7)</f>
        <v>15112564</v>
      </c>
      <c r="I783" s="148" t="str">
        <f>IFERROR(__xludf.DUMMYFUNCTION("""COMPUTED_VALUE"""),"{}")</f>
        <v>{}</v>
      </c>
      <c r="J783" s="148" t="str">
        <f>IFERROR(__xludf.DUMMYFUNCTION("""COMPUTED_VALUE"""),"{""typ"":""lc"",""txt"":""LC_ITEM_fes_box_name""}")</f>
        <v>{"typ":"lc","txt":"LC_ITEM_fes_box_name"}</v>
      </c>
      <c r="K783" s="148" t="str">
        <f>IFERROR(__xludf.DUMMYFUNCTION("""COMPUTED_VALUE"""),"{""typ"":""lc"",""txt"":""LC_ITEM_fes_box_desc""}")</f>
        <v>{"typ":"lc","txt":"LC_ITEM_fes_box_desc"}</v>
      </c>
      <c r="L783" s="148" t="str">
        <f>IFERROR(__xludf.DUMMYFUNCTION("""COMPUTED_VALUE"""),"{""typ"":""lc"",""txt"":""LC_ITEM_horde_elite_box_usedtip""}")</f>
        <v>{"typ":"lc","txt":"LC_ITEM_horde_elite_box_usedtip"}</v>
      </c>
      <c r="M783" s="148">
        <f>IFERROR(__xludf.DUMMYFUNCTION("""COMPUTED_VALUE"""),40.0)</f>
        <v>40</v>
      </c>
      <c r="N783" s="148">
        <f>IFERROR(__xludf.DUMMYFUNCTION("""COMPUTED_VALUE"""),999999.0)</f>
        <v>999999</v>
      </c>
      <c r="O783" s="148">
        <f>IFERROR(__xludf.DUMMYFUNCTION("""COMPUTED_VALUE"""),99999.0)</f>
        <v>99999</v>
      </c>
      <c r="P783" s="148">
        <f>IFERROR(__xludf.DUMMYFUNCTION("""COMPUTED_VALUE"""),99999.0)</f>
        <v>99999</v>
      </c>
      <c r="Q783" s="148" t="str">
        <f>IFERROR(__xludf.DUMMYFUNCTION("""COMPUTED_VALUE"""),"[""bag_other""]")</f>
        <v>["bag_other"]</v>
      </c>
      <c r="R783" s="148" t="str">
        <f>IFERROR(__xludf.DUMMYFUNCTION("""COMPUTED_VALUE"""),"[""bag""]")</f>
        <v>["bag"]</v>
      </c>
      <c r="S783" s="148" t="str">
        <f>IFERROR(__xludf.DUMMYFUNCTION("""COMPUTED_VALUE"""),"{""drop"":{""typ"":""single_random"",""num"":1,""args"":[{""typ"":""item"",""id"":11112030,""num"":1000,""wgt"":19980},{""typ"":""item"",""id"":11112030,""num"":200,""wgt"":120000},{""typ"":""item"",""id"":11112030,""num"":50,""wgt"":200000},{""typ"":""it"&amp;"em"",""id"":11119595,""num"":1,""wgt"":10},{""typ"":""item"",""id"":11112194,""num"":1,""wgt"":10},{""typ"":""item"",""id"":11112030,""num"":20,""wgt"":400000},{""typ"":""item"",""id"":11112030,""num"":100,""wgt"":200000},{""typ"":""item"",""id"":11112030"&amp;",""num"":400,""wgt"":60000}]}}")</f>
        <v>{"drop":{"typ":"single_random","num":1,"args":[{"typ":"item","id":11112030,"num":1000,"wgt":19980},{"typ":"item","id":11112030,"num":200,"wgt":120000},{"typ":"item","id":11112030,"num":50,"wgt":200000},{"typ":"item","id":11119595,"num":1,"wgt":10},{"typ":"item","id":11112194,"num":1,"wgt":10},{"typ":"item","id":11112030,"num":20,"wgt":400000},{"typ":"item","id":11112030,"num":100,"wgt":200000},{"typ":"item","id":11112030,"num":400,"wgt":60000}]}}</v>
      </c>
      <c r="T783" s="148">
        <f>IFERROR(__xludf.DUMMYFUNCTION("""COMPUTED_VALUE"""),-1.0)</f>
        <v>-1</v>
      </c>
      <c r="U783" s="148">
        <f>IFERROR(__xludf.DUMMYFUNCTION("""COMPUTED_VALUE"""),0.0)</f>
        <v>0</v>
      </c>
      <c r="V783" s="148" t="str">
        <f>IFERROR(__xludf.DUMMYFUNCTION("""COMPUTED_VALUE"""),"[]")</f>
        <v>[]</v>
      </c>
      <c r="W783" s="148">
        <f>IFERROR(__xludf.DUMMYFUNCTION("""COMPUTED_VALUE"""),1.174E7)</f>
        <v>11740000</v>
      </c>
      <c r="X783" s="148">
        <f>IFERROR(__xludf.DUMMYFUNCTION("""COMPUTED_VALUE"""),0.0)</f>
        <v>0</v>
      </c>
      <c r="Y783" s="148">
        <f>IFERROR(__xludf.DUMMYFUNCTION("""COMPUTED_VALUE"""),0.0)</f>
        <v>0</v>
      </c>
      <c r="Z783" s="148"/>
    </row>
    <row r="784">
      <c r="A784" s="148">
        <f>IFERROR(__xludf.DUMMYFUNCTION("""COMPUTED_VALUE"""),1.1112581E7)</f>
        <v>11112581</v>
      </c>
      <c r="B784" s="148" t="str">
        <f>IFERROR(__xludf.DUMMYFUNCTION("""COMPUTED_VALUE"""),"2025登月节-旧主城皮肤自选宝箱")</f>
        <v>2025登月节-旧主城皮肤自选宝箱</v>
      </c>
      <c r="C784" s="148"/>
      <c r="D784" s="148" t="str">
        <f>IFERROR(__xludf.DUMMYFUNCTION("""COMPUTED_VALUE"""),"item_select_box")</f>
        <v>item_select_box</v>
      </c>
      <c r="E784" s="148">
        <f>IFERROR(__xludf.DUMMYFUNCTION("""COMPUTED_VALUE"""),19.0)</f>
        <v>19</v>
      </c>
      <c r="F784" s="148">
        <f>IFERROR(__xludf.DUMMYFUNCTION("""COMPUTED_VALUE"""),408195.0)</f>
        <v>408195</v>
      </c>
      <c r="G784" s="148">
        <f>IFERROR(__xludf.DUMMYFUNCTION("""COMPUTED_VALUE"""),1.51102365E8)</f>
        <v>151102365</v>
      </c>
      <c r="H784" s="148">
        <f>IFERROR(__xludf.DUMMYFUNCTION("""COMPUTED_VALUE"""),1.5112564E7)</f>
        <v>15112564</v>
      </c>
      <c r="I784" s="148" t="str">
        <f>IFERROR(__xludf.DUMMYFUNCTION("""COMPUTED_VALUE"""),"{}")</f>
        <v>{}</v>
      </c>
      <c r="J784" s="148" t="str">
        <f>IFERROR(__xludf.DUMMYFUNCTION("""COMPUTED_VALUE"""),"{""typ"":""lc"",""txt"":""LC_ITEM_moon2025_skin_select""}")</f>
        <v>{"typ":"lc","txt":"LC_ITEM_moon2025_skin_select"}</v>
      </c>
      <c r="K784" s="148" t="str">
        <f>IFERROR(__xludf.DUMMYFUNCTION("""COMPUTED_VALUE"""),"{""typ"":""lc"",""txt"":""LC_ITEM_moon2025_skin_select_desc""}")</f>
        <v>{"typ":"lc","txt":"LC_ITEM_moon2025_skin_select_desc"}</v>
      </c>
      <c r="L784" s="148" t="str">
        <f>IFERROR(__xludf.DUMMYFUNCTION("""COMPUTED_VALUE"""),"{}")</f>
        <v>{}</v>
      </c>
      <c r="M784" s="148">
        <f>IFERROR(__xludf.DUMMYFUNCTION("""COMPUTED_VALUE"""),1000.0)</f>
        <v>1000</v>
      </c>
      <c r="N784" s="148">
        <f>IFERROR(__xludf.DUMMYFUNCTION("""COMPUTED_VALUE"""),9999999.0)</f>
        <v>9999999</v>
      </c>
      <c r="O784" s="148">
        <f>IFERROR(__xludf.DUMMYFUNCTION("""COMPUTED_VALUE"""),99999.0)</f>
        <v>99999</v>
      </c>
      <c r="P784" s="148">
        <f>IFERROR(__xludf.DUMMYFUNCTION("""COMPUTED_VALUE"""),99999.0)</f>
        <v>99999</v>
      </c>
      <c r="Q784" s="148" t="str">
        <f>IFERROR(__xludf.DUMMYFUNCTION("""COMPUTED_VALUE"""),"[""bag_other""]")</f>
        <v>["bag_other"]</v>
      </c>
      <c r="R784" s="148" t="str">
        <f>IFERROR(__xludf.DUMMYFUNCTION("""COMPUTED_VALUE"""),"[""bag""]")</f>
        <v>["bag"]</v>
      </c>
      <c r="S784" s="148" t="str">
        <f>IFERROR(__xludf.DUMMYFUNCTION("""COMPUTED_VALUE"""),"{""select_box"":[{""typ"":""item"",""id"":11111334,""val"":1},{""typ"":""item"",""id"":11117246,""val"":1},{""typ"":""item"",""id"":11112194,""val"":1},{""typ"":""item"",""id"":11117085,""val"":1},{""typ"":""item"",""id"":11111331,""val"":1},{""typ"":""it"&amp;"em"",""id"":11117330,""val"":1},{""typ"":""item"",""id"":11117497,""val"":1},{""typ"":""item"",""id"":11112030,""val"":4500}]}")</f>
        <v>{"select_box":[{"typ":"item","id":11111334,"val":1},{"typ":"item","id":11117246,"val":1},{"typ":"item","id":11112194,"val":1},{"typ":"item","id":11117085,"val":1},{"typ":"item","id":11111331,"val":1},{"typ":"item","id":11117330,"val":1},{"typ":"item","id":11117497,"val":1},{"typ":"item","id":11112030,"val":4500}]}</v>
      </c>
      <c r="T784" s="148">
        <f>IFERROR(__xludf.DUMMYFUNCTION("""COMPUTED_VALUE"""),-1.0)</f>
        <v>-1</v>
      </c>
      <c r="U784" s="148">
        <f>IFERROR(__xludf.DUMMYFUNCTION("""COMPUTED_VALUE"""),0.0)</f>
        <v>0</v>
      </c>
      <c r="V784" s="148" t="str">
        <f>IFERROR(__xludf.DUMMYFUNCTION("""COMPUTED_VALUE"""),"[]")</f>
        <v>[]</v>
      </c>
      <c r="W784" s="148">
        <f>IFERROR(__xludf.DUMMYFUNCTION("""COMPUTED_VALUE"""),1.1741002E7)</f>
        <v>11741002</v>
      </c>
      <c r="X784" s="148">
        <f>IFERROR(__xludf.DUMMYFUNCTION("""COMPUTED_VALUE"""),0.0)</f>
        <v>0</v>
      </c>
      <c r="Y784" s="148">
        <f>IFERROR(__xludf.DUMMYFUNCTION("""COMPUTED_VALUE"""),0.0)</f>
        <v>0</v>
      </c>
      <c r="Z784" s="148"/>
    </row>
    <row r="785">
      <c r="A785" s="148">
        <f>IFERROR(__xludf.DUMMYFUNCTION("""COMPUTED_VALUE"""),1.1112582E7)</f>
        <v>11112582</v>
      </c>
      <c r="B785" s="148" t="str">
        <f>IFERROR(__xludf.DUMMYFUNCTION("""COMPUTED_VALUE"""),"2025登月节-gacha道具自选箱")</f>
        <v>2025登月节-gacha道具自选箱</v>
      </c>
      <c r="C785" s="148"/>
      <c r="D785" s="148" t="str">
        <f>IFERROR(__xludf.DUMMYFUNCTION("""COMPUTED_VALUE"""),"item_select_box")</f>
        <v>item_select_box</v>
      </c>
      <c r="E785" s="148">
        <f>IFERROR(__xludf.DUMMYFUNCTION("""COMPUTED_VALUE"""),19.0)</f>
        <v>19</v>
      </c>
      <c r="F785" s="148">
        <f>IFERROR(__xludf.DUMMYFUNCTION("""COMPUTED_VALUE"""),408195.0)</f>
        <v>408195</v>
      </c>
      <c r="G785" s="148">
        <f>IFERROR(__xludf.DUMMYFUNCTION("""COMPUTED_VALUE"""),1.51102364E8)</f>
        <v>151102364</v>
      </c>
      <c r="H785" s="148">
        <f>IFERROR(__xludf.DUMMYFUNCTION("""COMPUTED_VALUE"""),1.5112564E7)</f>
        <v>15112564</v>
      </c>
      <c r="I785" s="148" t="str">
        <f>IFERROR(__xludf.DUMMYFUNCTION("""COMPUTED_VALUE"""),"{}")</f>
        <v>{}</v>
      </c>
      <c r="J785" s="148" t="str">
        <f>IFERROR(__xludf.DUMMYFUNCTION("""COMPUTED_VALUE"""),"{""typ"":""lc"",""txt"":""LC_ITEM_double_gacha_abchoose""}")</f>
        <v>{"typ":"lc","txt":"LC_ITEM_double_gacha_abchoose"}</v>
      </c>
      <c r="K785" s="148" t="str">
        <f>IFERROR(__xludf.DUMMYFUNCTION("""COMPUTED_VALUE"""),"{""typ"":""lc"",""txt"":""LC_ITEM_double_gacha_abchoose_desc""}")</f>
        <v>{"typ":"lc","txt":"LC_ITEM_double_gacha_abchoose_desc"}</v>
      </c>
      <c r="L785" s="148" t="str">
        <f>IFERROR(__xludf.DUMMYFUNCTION("""COMPUTED_VALUE"""),"{}")</f>
        <v>{}</v>
      </c>
      <c r="M785" s="148">
        <f>IFERROR(__xludf.DUMMYFUNCTION("""COMPUTED_VALUE"""),1000.0)</f>
        <v>1000</v>
      </c>
      <c r="N785" s="148">
        <f>IFERROR(__xludf.DUMMYFUNCTION("""COMPUTED_VALUE"""),9999999.0)</f>
        <v>9999999</v>
      </c>
      <c r="O785" s="148">
        <f>IFERROR(__xludf.DUMMYFUNCTION("""COMPUTED_VALUE"""),99999.0)</f>
        <v>99999</v>
      </c>
      <c r="P785" s="148">
        <f>IFERROR(__xludf.DUMMYFUNCTION("""COMPUTED_VALUE"""),99999.0)</f>
        <v>99999</v>
      </c>
      <c r="Q785" s="148" t="str">
        <f>IFERROR(__xludf.DUMMYFUNCTION("""COMPUTED_VALUE"""),"[""bag_other""]")</f>
        <v>["bag_other"]</v>
      </c>
      <c r="R785" s="148" t="str">
        <f>IFERROR(__xludf.DUMMYFUNCTION("""COMPUTED_VALUE"""),"[""bag""]")</f>
        <v>["bag"]</v>
      </c>
      <c r="S785" s="148" t="str">
        <f>IFERROR(__xludf.DUMMYFUNCTION("""COMPUTED_VALUE"""),"{""select_box"":[{""typ"":""item"",""id"":11112583,""val"":20},{""typ"":""item"",""id"":11112584,""val"":1}]}")</f>
        <v>{"select_box":[{"typ":"item","id":11112583,"val":20},{"typ":"item","id":11112584,"val":1}]}</v>
      </c>
      <c r="T785" s="148">
        <f>IFERROR(__xludf.DUMMYFUNCTION("""COMPUTED_VALUE"""),-1.0)</f>
        <v>-1</v>
      </c>
      <c r="U785" s="148">
        <f>IFERROR(__xludf.DUMMYFUNCTION("""COMPUTED_VALUE"""),0.0)</f>
        <v>0</v>
      </c>
      <c r="V785" s="148" t="str">
        <f>IFERROR(__xludf.DUMMYFUNCTION("""COMPUTED_VALUE"""),"[]")</f>
        <v>[]</v>
      </c>
      <c r="W785" s="148">
        <f>IFERROR(__xludf.DUMMYFUNCTION("""COMPUTED_VALUE"""),1.1741002E7)</f>
        <v>11741002</v>
      </c>
      <c r="X785" s="148">
        <f>IFERROR(__xludf.DUMMYFUNCTION("""COMPUTED_VALUE"""),0.0)</f>
        <v>0</v>
      </c>
      <c r="Y785" s="148">
        <f>IFERROR(__xludf.DUMMYFUNCTION("""COMPUTED_VALUE"""),0.0)</f>
        <v>0</v>
      </c>
      <c r="Z785" s="148"/>
    </row>
    <row r="786">
      <c r="A786" s="148">
        <f>IFERROR(__xludf.DUMMYFUNCTION("""COMPUTED_VALUE"""),1.1112583E7)</f>
        <v>11112583</v>
      </c>
      <c r="B786" s="148" t="str">
        <f>IFERROR(__xludf.DUMMYFUNCTION("""COMPUTED_VALUE"""),"2025登月节gacha-普通gacha道具")</f>
        <v>2025登月节gacha-普通gacha道具</v>
      </c>
      <c r="C786" s="148"/>
      <c r="D786" s="148" t="str">
        <f>IFERROR(__xludf.DUMMYFUNCTION("""COMPUTED_VALUE"""),"event")</f>
        <v>event</v>
      </c>
      <c r="E786" s="148">
        <f>IFERROR(__xludf.DUMMYFUNCTION("""COMPUTED_VALUE"""),0.0)</f>
        <v>0</v>
      </c>
      <c r="F786" s="148">
        <f>IFERROR(__xludf.DUMMYFUNCTION("""COMPUTED_VALUE"""),405210.0)</f>
        <v>405210</v>
      </c>
      <c r="G786" s="148">
        <f>IFERROR(__xludf.DUMMYFUNCTION("""COMPUTED_VALUE"""),1.51102362E8)</f>
        <v>151102362</v>
      </c>
      <c r="H786" s="148">
        <f>IFERROR(__xludf.DUMMYFUNCTION("""COMPUTED_VALUE"""),1.5112564E7)</f>
        <v>15112564</v>
      </c>
      <c r="I786" s="148" t="str">
        <f>IFERROR(__xludf.DUMMYFUNCTION("""COMPUTED_VALUE"""),"{}")</f>
        <v>{}</v>
      </c>
      <c r="J786" s="148" t="str">
        <f>IFERROR(__xludf.DUMMYFUNCTION("""COMPUTED_VALUE"""),"{""typ"":""lc"",""txt"":""LC_ITEM_double_gacha_a""}")</f>
        <v>{"typ":"lc","txt":"LC_ITEM_double_gacha_a"}</v>
      </c>
      <c r="K786" s="148" t="str">
        <f>IFERROR(__xludf.DUMMYFUNCTION("""COMPUTED_VALUE"""),"{""typ"":""lc"",""txt"":""LC_ITEM_double_gacha_a_desc""}")</f>
        <v>{"typ":"lc","txt":"LC_ITEM_double_gacha_a_desc"}</v>
      </c>
      <c r="L786" s="148" t="str">
        <f>IFERROR(__xludf.DUMMYFUNCTION("""COMPUTED_VALUE"""),"{}")</f>
        <v>{}</v>
      </c>
      <c r="M786" s="148">
        <f>IFERROR(__xludf.DUMMYFUNCTION("""COMPUTED_VALUE"""),700.0)</f>
        <v>700</v>
      </c>
      <c r="N786" s="148">
        <f>IFERROR(__xludf.DUMMYFUNCTION("""COMPUTED_VALUE"""),9.99999999E8)</f>
        <v>999999999</v>
      </c>
      <c r="O786" s="148">
        <f>IFERROR(__xludf.DUMMYFUNCTION("""COMPUTED_VALUE"""),9.99999999E8)</f>
        <v>999999999</v>
      </c>
      <c r="P786" s="148">
        <f>IFERROR(__xludf.DUMMYFUNCTION("""COMPUTED_VALUE"""),9.99999999E8)</f>
        <v>999999999</v>
      </c>
      <c r="Q786" s="148" t="str">
        <f>IFERROR(__xludf.DUMMYFUNCTION("""COMPUTED_VALUE"""),"[""bag_other""]")</f>
        <v>["bag_other"]</v>
      </c>
      <c r="R786" s="148" t="str">
        <f>IFERROR(__xludf.DUMMYFUNCTION("""COMPUTED_VALUE"""),"[""bag""]")</f>
        <v>["bag"]</v>
      </c>
      <c r="S786" s="148" t="str">
        <f>IFERROR(__xludf.DUMMYFUNCTION("""COMPUTED_VALUE"""),"{}")</f>
        <v>{}</v>
      </c>
      <c r="T786" s="148">
        <f>IFERROR(__xludf.DUMMYFUNCTION("""COMPUTED_VALUE"""),1.0)</f>
        <v>1</v>
      </c>
      <c r="U786" s="148">
        <f>IFERROR(__xludf.DUMMYFUNCTION("""COMPUTED_VALUE"""),0.0)</f>
        <v>0</v>
      </c>
      <c r="V786" s="148" t="str">
        <f>IFERROR(__xludf.DUMMYFUNCTION("""COMPUTED_VALUE"""),"[]")</f>
        <v>[]</v>
      </c>
      <c r="W786" s="148">
        <f>IFERROR(__xludf.DUMMYFUNCTION("""COMPUTED_VALUE"""),1.174E7)</f>
        <v>11740000</v>
      </c>
      <c r="X786" s="148">
        <f>IFERROR(__xludf.DUMMYFUNCTION("""COMPUTED_VALUE"""),0.0)</f>
        <v>0</v>
      </c>
      <c r="Y786" s="148">
        <f>IFERROR(__xludf.DUMMYFUNCTION("""COMPUTED_VALUE"""),0.0)</f>
        <v>0</v>
      </c>
      <c r="Z786" s="148"/>
    </row>
    <row r="787">
      <c r="A787" s="148">
        <f>IFERROR(__xludf.DUMMYFUNCTION("""COMPUTED_VALUE"""),1.1112584E7)</f>
        <v>11112584</v>
      </c>
      <c r="B787" s="148" t="str">
        <f>IFERROR(__xludf.DUMMYFUNCTION("""COMPUTED_VALUE"""),"2025登月节gacha-高级gacha道具")</f>
        <v>2025登月节gacha-高级gacha道具</v>
      </c>
      <c r="C787" s="148"/>
      <c r="D787" s="148" t="str">
        <f>IFERROR(__xludf.DUMMYFUNCTION("""COMPUTED_VALUE"""),"event")</f>
        <v>event</v>
      </c>
      <c r="E787" s="148">
        <f>IFERROR(__xludf.DUMMYFUNCTION("""COMPUTED_VALUE"""),0.0)</f>
        <v>0</v>
      </c>
      <c r="F787" s="148">
        <f>IFERROR(__xludf.DUMMYFUNCTION("""COMPUTED_VALUE"""),405210.0)</f>
        <v>405210</v>
      </c>
      <c r="G787" s="148">
        <f>IFERROR(__xludf.DUMMYFUNCTION("""COMPUTED_VALUE"""),1.51102363E8)</f>
        <v>151102363</v>
      </c>
      <c r="H787" s="148">
        <f>IFERROR(__xludf.DUMMYFUNCTION("""COMPUTED_VALUE"""),1.5112564E7)</f>
        <v>15112564</v>
      </c>
      <c r="I787" s="148" t="str">
        <f>IFERROR(__xludf.DUMMYFUNCTION("""COMPUTED_VALUE"""),"{}")</f>
        <v>{}</v>
      </c>
      <c r="J787" s="148" t="str">
        <f>IFERROR(__xludf.DUMMYFUNCTION("""COMPUTED_VALUE"""),"{""typ"":""lc"",""txt"":""LC_ITEM_double_gacha_b""}")</f>
        <v>{"typ":"lc","txt":"LC_ITEM_double_gacha_b"}</v>
      </c>
      <c r="K787" s="148" t="str">
        <f>IFERROR(__xludf.DUMMYFUNCTION("""COMPUTED_VALUE"""),"{""typ"":""lc"",""txt"":""LC_ITEM_double_gacha_b_desc""}")</f>
        <v>{"typ":"lc","txt":"LC_ITEM_double_gacha_b_desc"}</v>
      </c>
      <c r="L787" s="148" t="str">
        <f>IFERROR(__xludf.DUMMYFUNCTION("""COMPUTED_VALUE"""),"{}")</f>
        <v>{}</v>
      </c>
      <c r="M787" s="148">
        <f>IFERROR(__xludf.DUMMYFUNCTION("""COMPUTED_VALUE"""),14000.0)</f>
        <v>14000</v>
      </c>
      <c r="N787" s="148">
        <f>IFERROR(__xludf.DUMMYFUNCTION("""COMPUTED_VALUE"""),9.99999999E8)</f>
        <v>999999999</v>
      </c>
      <c r="O787" s="148">
        <f>IFERROR(__xludf.DUMMYFUNCTION("""COMPUTED_VALUE"""),9.99999999E8)</f>
        <v>999999999</v>
      </c>
      <c r="P787" s="148">
        <f>IFERROR(__xludf.DUMMYFUNCTION("""COMPUTED_VALUE"""),9.99999999E8)</f>
        <v>999999999</v>
      </c>
      <c r="Q787" s="148" t="str">
        <f>IFERROR(__xludf.DUMMYFUNCTION("""COMPUTED_VALUE"""),"[""bag_other""]")</f>
        <v>["bag_other"]</v>
      </c>
      <c r="R787" s="148" t="str">
        <f>IFERROR(__xludf.DUMMYFUNCTION("""COMPUTED_VALUE"""),"[""bag""]")</f>
        <v>["bag"]</v>
      </c>
      <c r="S787" s="148" t="str">
        <f>IFERROR(__xludf.DUMMYFUNCTION("""COMPUTED_VALUE"""),"{}")</f>
        <v>{}</v>
      </c>
      <c r="T787" s="148">
        <f>IFERROR(__xludf.DUMMYFUNCTION("""COMPUTED_VALUE"""),1.0)</f>
        <v>1</v>
      </c>
      <c r="U787" s="148">
        <f>IFERROR(__xludf.DUMMYFUNCTION("""COMPUTED_VALUE"""),0.0)</f>
        <v>0</v>
      </c>
      <c r="V787" s="148" t="str">
        <f>IFERROR(__xludf.DUMMYFUNCTION("""COMPUTED_VALUE"""),"[]")</f>
        <v>[]</v>
      </c>
      <c r="W787" s="148">
        <f>IFERROR(__xludf.DUMMYFUNCTION("""COMPUTED_VALUE"""),1.174E7)</f>
        <v>11740000</v>
      </c>
      <c r="X787" s="148">
        <f>IFERROR(__xludf.DUMMYFUNCTION("""COMPUTED_VALUE"""),0.0)</f>
        <v>0</v>
      </c>
      <c r="Y787" s="148">
        <f>IFERROR(__xludf.DUMMYFUNCTION("""COMPUTED_VALUE"""),0.0)</f>
        <v>0</v>
      </c>
      <c r="Z787" s="148"/>
    </row>
    <row r="788">
      <c r="A788" s="148">
        <f>IFERROR(__xludf.DUMMYFUNCTION("""COMPUTED_VALUE"""),1.1112585E7)</f>
        <v>11112585</v>
      </c>
      <c r="B788" s="148" t="str">
        <f>IFERROR(__xludf.DUMMYFUNCTION("""COMPUTED_VALUE"""),"2025登月节-装饰升级版本（投放用）")</f>
        <v>2025登月节-装饰升级版本（投放用）</v>
      </c>
      <c r="C788" s="148"/>
      <c r="D788" s="148" t="str">
        <f>IFERROR(__xludf.DUMMYFUNCTION("""COMPUTED_VALUE"""),"statue_decorate")</f>
        <v>statue_decorate</v>
      </c>
      <c r="E788" s="148">
        <f>IFERROR(__xludf.DUMMYFUNCTION("""COMPUTED_VALUE"""),23.0)</f>
        <v>23</v>
      </c>
      <c r="F788" s="148">
        <f>IFERROR(__xludf.DUMMYFUNCTION("""COMPUTED_VALUE"""),0.0)</f>
        <v>0</v>
      </c>
      <c r="G788" s="148">
        <f>IFERROR(__xludf.DUMMYFUNCTION("""COMPUTED_VALUE"""),1.51102277E8)</f>
        <v>151102277</v>
      </c>
      <c r="H788" s="148">
        <f>IFERROR(__xludf.DUMMYFUNCTION("""COMPUTED_VALUE"""),1.5112564E7)</f>
        <v>15112564</v>
      </c>
      <c r="I788" s="148" t="str">
        <f>IFERROR(__xludf.DUMMYFUNCTION("""COMPUTED_VALUE"""),"{}")</f>
        <v>{}</v>
      </c>
      <c r="J788" s="148" t="str">
        <f>IFERROR(__xludf.DUMMYFUNCTION("""COMPUTED_VALUE"""),"{""typ"":""lc"",""txt"":""LC_ITEM_2025moon_dec_item_2""}")</f>
        <v>{"typ":"lc","txt":"LC_ITEM_2025moon_dec_item_2"}</v>
      </c>
      <c r="K788" s="148" t="str">
        <f>IFERROR(__xludf.DUMMYFUNCTION("""COMPUTED_VALUE"""),"{""typ"":""lc"",""txt"":""LC_ITEM_2025moon_dec_item_3_desc""}")</f>
        <v>{"typ":"lc","txt":"LC_ITEM_2025moon_dec_item_3_desc"}</v>
      </c>
      <c r="L788" s="148" t="str">
        <f>IFERROR(__xludf.DUMMYFUNCTION("""COMPUTED_VALUE"""),"{}")</f>
        <v>{}</v>
      </c>
      <c r="M788" s="148">
        <f>IFERROR(__xludf.DUMMYFUNCTION("""COMPUTED_VALUE"""),5000.0)</f>
        <v>5000</v>
      </c>
      <c r="N788" s="148">
        <f>IFERROR(__xludf.DUMMYFUNCTION("""COMPUTED_VALUE"""),999.0)</f>
        <v>999</v>
      </c>
      <c r="O788" s="148">
        <f>IFERROR(__xludf.DUMMYFUNCTION("""COMPUTED_VALUE"""),99999.0)</f>
        <v>99999</v>
      </c>
      <c r="P788" s="148">
        <f>IFERROR(__xludf.DUMMYFUNCTION("""COMPUTED_VALUE"""),99999.0)</f>
        <v>99999</v>
      </c>
      <c r="Q788" s="148" t="str">
        <f>IFERROR(__xludf.DUMMYFUNCTION("""COMPUTED_VALUE"""),"[]")</f>
        <v>[]</v>
      </c>
      <c r="R788" s="148" t="str">
        <f>IFERROR(__xludf.DUMMYFUNCTION("""COMPUTED_VALUE"""),"[""bag""]")</f>
        <v>["bag"]</v>
      </c>
      <c r="S788" s="148" t="str">
        <f>IFERROR(__xludf.DUMMYFUNCTION("""COMPUTED_VALUE"""),"{""effect"":[{""typ"":""holiday_statue"",""id"":21483201}]}")</f>
        <v>{"effect":[{"typ":"holiday_statue","id":21483201}]}</v>
      </c>
      <c r="T788" s="148">
        <f>IFERROR(__xludf.DUMMYFUNCTION("""COMPUTED_VALUE"""),-1.0)</f>
        <v>-1</v>
      </c>
      <c r="U788" s="148">
        <f>IFERROR(__xludf.DUMMYFUNCTION("""COMPUTED_VALUE"""),1.0)</f>
        <v>1</v>
      </c>
      <c r="V788" s="148" t="str">
        <f>IFERROR(__xludf.DUMMYFUNCTION("""COMPUTED_VALUE"""),"[]")</f>
        <v>[]</v>
      </c>
      <c r="W788" s="148">
        <f>IFERROR(__xludf.DUMMYFUNCTION("""COMPUTED_VALUE"""),1.174E7)</f>
        <v>11740000</v>
      </c>
      <c r="X788" s="148">
        <f>IFERROR(__xludf.DUMMYFUNCTION("""COMPUTED_VALUE"""),0.0)</f>
        <v>0</v>
      </c>
      <c r="Y788" s="148">
        <f>IFERROR(__xludf.DUMMYFUNCTION("""COMPUTED_VALUE"""),0.0)</f>
        <v>0</v>
      </c>
      <c r="Z788" s="148"/>
    </row>
    <row r="789">
      <c r="A789" s="148">
        <f>IFERROR(__xludf.DUMMYFUNCTION("""COMPUTED_VALUE"""),1.1112586E7)</f>
        <v>11112586</v>
      </c>
      <c r="B789" s="148" t="str">
        <f>IFERROR(__xludf.DUMMYFUNCTION("""COMPUTED_VALUE"""),"2025登月节-装饰升级道具")</f>
        <v>2025登月节-装饰升级道具</v>
      </c>
      <c r="C789" s="148"/>
      <c r="D789" s="148" t="str">
        <f>IFERROR(__xludf.DUMMYFUNCTION("""COMPUTED_VALUE"""),"event")</f>
        <v>event</v>
      </c>
      <c r="E789" s="148">
        <f>IFERROR(__xludf.DUMMYFUNCTION("""COMPUTED_VALUE"""),0.0)</f>
        <v>0</v>
      </c>
      <c r="F789" s="148">
        <f>IFERROR(__xludf.DUMMYFUNCTION("""COMPUTED_VALUE"""),405243.0)</f>
        <v>405243</v>
      </c>
      <c r="G789" s="148">
        <f>IFERROR(__xludf.DUMMYFUNCTION("""COMPUTED_VALUE"""),1.51102277E8)</f>
        <v>151102277</v>
      </c>
      <c r="H789" s="148">
        <f>IFERROR(__xludf.DUMMYFUNCTION("""COMPUTED_VALUE"""),1.5112564E7)</f>
        <v>15112564</v>
      </c>
      <c r="I789" s="148" t="str">
        <f>IFERROR(__xludf.DUMMYFUNCTION("""COMPUTED_VALUE"""),"{}")</f>
        <v>{}</v>
      </c>
      <c r="J789" s="148" t="str">
        <f>IFERROR(__xludf.DUMMYFUNCTION("""COMPUTED_VALUE"""),"{""typ"":""lc"",""txt"":""LC_ITEM_2025moon_dec_item_2""}")</f>
        <v>{"typ":"lc","txt":"LC_ITEM_2025moon_dec_item_2"}</v>
      </c>
      <c r="K789" s="148" t="str">
        <f>IFERROR(__xludf.DUMMYFUNCTION("""COMPUTED_VALUE"""),"{""typ"":""lc"",""txt"":""LC_ITEM_2025moon_dec_item_3_desc""}")</f>
        <v>{"typ":"lc","txt":"LC_ITEM_2025moon_dec_item_3_desc"}</v>
      </c>
      <c r="L789" s="148" t="str">
        <f>IFERROR(__xludf.DUMMYFUNCTION("""COMPUTED_VALUE"""),"{}")</f>
        <v>{}</v>
      </c>
      <c r="M789" s="148">
        <f>IFERROR(__xludf.DUMMYFUNCTION("""COMPUTED_VALUE"""),1000.0)</f>
        <v>1000</v>
      </c>
      <c r="N789" s="148">
        <f>IFERROR(__xludf.DUMMYFUNCTION("""COMPUTED_VALUE"""),9.99999999E8)</f>
        <v>999999999</v>
      </c>
      <c r="O789" s="148">
        <f>IFERROR(__xludf.DUMMYFUNCTION("""COMPUTED_VALUE"""),9.99999999E8)</f>
        <v>999999999</v>
      </c>
      <c r="P789" s="148">
        <f>IFERROR(__xludf.DUMMYFUNCTION("""COMPUTED_VALUE"""),9.99999999E8)</f>
        <v>999999999</v>
      </c>
      <c r="Q789" s="148" t="str">
        <f>IFERROR(__xludf.DUMMYFUNCTION("""COMPUTED_VALUE"""),"[""bag_other""]")</f>
        <v>["bag_other"]</v>
      </c>
      <c r="R789" s="148" t="str">
        <f>IFERROR(__xludf.DUMMYFUNCTION("""COMPUTED_VALUE"""),"[]")</f>
        <v>[]</v>
      </c>
      <c r="S789" s="148" t="str">
        <f>IFERROR(__xludf.DUMMYFUNCTION("""COMPUTED_VALUE"""),"{}")</f>
        <v>{}</v>
      </c>
      <c r="T789" s="148">
        <f>IFERROR(__xludf.DUMMYFUNCTION("""COMPUTED_VALUE"""),-1.0)</f>
        <v>-1</v>
      </c>
      <c r="U789" s="148">
        <f>IFERROR(__xludf.DUMMYFUNCTION("""COMPUTED_VALUE"""),0.0)</f>
        <v>0</v>
      </c>
      <c r="V789" s="148" t="str">
        <f>IFERROR(__xludf.DUMMYFUNCTION("""COMPUTED_VALUE"""),"[]")</f>
        <v>[]</v>
      </c>
      <c r="W789" s="148">
        <f>IFERROR(__xludf.DUMMYFUNCTION("""COMPUTED_VALUE"""),1.174E7)</f>
        <v>11740000</v>
      </c>
      <c r="X789" s="148">
        <f>IFERROR(__xludf.DUMMYFUNCTION("""COMPUTED_VALUE"""),0.0)</f>
        <v>0</v>
      </c>
      <c r="Y789" s="148">
        <f>IFERROR(__xludf.DUMMYFUNCTION("""COMPUTED_VALUE"""),0.0)</f>
        <v>0</v>
      </c>
      <c r="Z789" s="148"/>
    </row>
    <row r="790">
      <c r="A790" s="148">
        <f>IFERROR(__xludf.DUMMYFUNCTION("""COMPUTED_VALUE"""),1.1112587E7)</f>
        <v>11112587</v>
      </c>
      <c r="B790" s="148" t="str">
        <f>IFERROR(__xludf.DUMMYFUNCTION("""COMPUTED_VALUE"""),"通用第三套-登月节-7日箱子奖励")</f>
        <v>通用第三套-登月节-7日箱子奖励</v>
      </c>
      <c r="C790" s="148"/>
      <c r="D790" s="148" t="str">
        <f>IFERROR(__xludf.DUMMYFUNCTION("""COMPUTED_VALUE"""),"item_asset")</f>
        <v>item_asset</v>
      </c>
      <c r="E790" s="148">
        <f>IFERROR(__xludf.DUMMYFUNCTION("""COMPUTED_VALUE"""),19.0)</f>
        <v>19</v>
      </c>
      <c r="F790" s="148">
        <f>IFERROR(__xludf.DUMMYFUNCTION("""COMPUTED_VALUE"""),201101.0)</f>
        <v>201101</v>
      </c>
      <c r="G790" s="148">
        <f>IFERROR(__xludf.DUMMYFUNCTION("""COMPUTED_VALUE"""),1.5117141E7)</f>
        <v>15117141</v>
      </c>
      <c r="H790" s="148">
        <f>IFERROR(__xludf.DUMMYFUNCTION("""COMPUTED_VALUE"""),1.5112564E7)</f>
        <v>15112564</v>
      </c>
      <c r="I790" s="148" t="str">
        <f>IFERROR(__xludf.DUMMYFUNCTION("""COMPUTED_VALUE"""),"{}")</f>
        <v>{}</v>
      </c>
      <c r="J790" s="148" t="str">
        <f>IFERROR(__xludf.DUMMYFUNCTION("""COMPUTED_VALUE"""),"{""typ"":""lc"",""txt"":""LC_ITEM_seven_day_box_name""}")</f>
        <v>{"typ":"lc","txt":"LC_ITEM_seven_day_box_name"}</v>
      </c>
      <c r="K790" s="148" t="str">
        <f>IFERROR(__xludf.DUMMYFUNCTION("""COMPUTED_VALUE"""),"{""typ"":""lc"",""txt"":""LC_ITEM_seven_day_box_desc""}")</f>
        <v>{"typ":"lc","txt":"LC_ITEM_seven_day_box_desc"}</v>
      </c>
      <c r="L790" s="148" t="str">
        <f>IFERROR(__xludf.DUMMYFUNCTION("""COMPUTED_VALUE"""),"{""typ"":""lc"",""txt"":""LC_ITEM_horde_elite_box_usedtip""}")</f>
        <v>{"typ":"lc","txt":"LC_ITEM_horde_elite_box_usedtip"}</v>
      </c>
      <c r="M790" s="148">
        <f>IFERROR(__xludf.DUMMYFUNCTION("""COMPUTED_VALUE"""),40.0)</f>
        <v>40</v>
      </c>
      <c r="N790" s="148">
        <f>IFERROR(__xludf.DUMMYFUNCTION("""COMPUTED_VALUE"""),999999.0)</f>
        <v>999999</v>
      </c>
      <c r="O790" s="148">
        <f>IFERROR(__xludf.DUMMYFUNCTION("""COMPUTED_VALUE"""),99999.0)</f>
        <v>99999</v>
      </c>
      <c r="P790" s="148">
        <f>IFERROR(__xludf.DUMMYFUNCTION("""COMPUTED_VALUE"""),99999.0)</f>
        <v>99999</v>
      </c>
      <c r="Q790" s="148" t="str">
        <f>IFERROR(__xludf.DUMMYFUNCTION("""COMPUTED_VALUE"""),"[""bag_other""]")</f>
        <v>["bag_other"]</v>
      </c>
      <c r="R790" s="148" t="str">
        <f>IFERROR(__xludf.DUMMYFUNCTION("""COMPUTED_VALUE"""),"[""bag""]")</f>
        <v>["bag"]</v>
      </c>
      <c r="S790"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790" s="148">
        <f>IFERROR(__xludf.DUMMYFUNCTION("""COMPUTED_VALUE"""),-1.0)</f>
        <v>-1</v>
      </c>
      <c r="U790" s="148">
        <f>IFERROR(__xludf.DUMMYFUNCTION("""COMPUTED_VALUE"""),0.0)</f>
        <v>0</v>
      </c>
      <c r="V790" s="148" t="str">
        <f>IFERROR(__xludf.DUMMYFUNCTION("""COMPUTED_VALUE"""),"[]")</f>
        <v>[]</v>
      </c>
      <c r="W790" s="148">
        <f>IFERROR(__xludf.DUMMYFUNCTION("""COMPUTED_VALUE"""),1.174E7)</f>
        <v>11740000</v>
      </c>
      <c r="X790" s="148">
        <f>IFERROR(__xludf.DUMMYFUNCTION("""COMPUTED_VALUE"""),0.0)</f>
        <v>0</v>
      </c>
      <c r="Y790" s="148">
        <f>IFERROR(__xludf.DUMMYFUNCTION("""COMPUTED_VALUE"""),0.0)</f>
        <v>0</v>
      </c>
      <c r="Z790" s="148"/>
    </row>
    <row r="791">
      <c r="A791" s="148">
        <f>IFERROR(__xludf.DUMMYFUNCTION("""COMPUTED_VALUE"""),1.1112588E7)</f>
        <v>11112588</v>
      </c>
      <c r="B791" s="148" t="str">
        <f>IFERROR(__xludf.DUMMYFUNCTION("""COMPUTED_VALUE"""),"通用第三套-登月节-活动-解锁宝箱礼包钥匙")</f>
        <v>通用第三套-登月节-活动-解锁宝箱礼包钥匙</v>
      </c>
      <c r="C791" s="148"/>
      <c r="D791" s="148" t="str">
        <f>IFERROR(__xludf.DUMMYFUNCTION("""COMPUTED_VALUE"""),"event")</f>
        <v>event</v>
      </c>
      <c r="E791" s="148">
        <f>IFERROR(__xludf.DUMMYFUNCTION("""COMPUTED_VALUE"""),0.0)</f>
        <v>0</v>
      </c>
      <c r="F791" s="148">
        <f>IFERROR(__xludf.DUMMYFUNCTION("""COMPUTED_VALUE"""),0.0)</f>
        <v>0</v>
      </c>
      <c r="G791" s="148">
        <f>IFERROR(__xludf.DUMMYFUNCTION("""COMPUTED_VALUE"""),1.5117142E7)</f>
        <v>15117142</v>
      </c>
      <c r="H791" s="148">
        <f>IFERROR(__xludf.DUMMYFUNCTION("""COMPUTED_VALUE"""),1.5112564E7)</f>
        <v>15112564</v>
      </c>
      <c r="I791" s="148" t="str">
        <f>IFERROR(__xludf.DUMMYFUNCTION("""COMPUTED_VALUE"""),"{}")</f>
        <v>{}</v>
      </c>
      <c r="J791" s="148" t="str">
        <f>IFERROR(__xludf.DUMMYFUNCTION("""COMPUTED_VALUE"""),"{""typ"":""lc"",""txt"":""LC_ITEM_seven_day_box_key_name""}")</f>
        <v>{"typ":"lc","txt":"LC_ITEM_seven_day_box_key_name"}</v>
      </c>
      <c r="K791" s="148" t="str">
        <f>IFERROR(__xludf.DUMMYFUNCTION("""COMPUTED_VALUE"""),"{""typ"":""lc"",""txt"":""LC_ITEM_seven_day_box_key_desc""}")</f>
        <v>{"typ":"lc","txt":"LC_ITEM_seven_day_box_key_desc"}</v>
      </c>
      <c r="L791" s="148" t="str">
        <f>IFERROR(__xludf.DUMMYFUNCTION("""COMPUTED_VALUE"""),"{}")</f>
        <v>{}</v>
      </c>
      <c r="M791" s="148">
        <f>IFERROR(__xludf.DUMMYFUNCTION("""COMPUTED_VALUE"""),10.0)</f>
        <v>10</v>
      </c>
      <c r="N791" s="148">
        <f>IFERROR(__xludf.DUMMYFUNCTION("""COMPUTED_VALUE"""),999999.0)</f>
        <v>999999</v>
      </c>
      <c r="O791" s="148">
        <f>IFERROR(__xludf.DUMMYFUNCTION("""COMPUTED_VALUE"""),99999.0)</f>
        <v>99999</v>
      </c>
      <c r="P791" s="148">
        <f>IFERROR(__xludf.DUMMYFUNCTION("""COMPUTED_VALUE"""),9999.0)</f>
        <v>9999</v>
      </c>
      <c r="Q791" s="148" t="str">
        <f>IFERROR(__xludf.DUMMYFUNCTION("""COMPUTED_VALUE"""),"[""bag_other""]")</f>
        <v>["bag_other"]</v>
      </c>
      <c r="R791" s="148" t="str">
        <f>IFERROR(__xludf.DUMMYFUNCTION("""COMPUTED_VALUE"""),"[]")</f>
        <v>[]</v>
      </c>
      <c r="S791" s="148" t="str">
        <f>IFERROR(__xludf.DUMMYFUNCTION("""COMPUTED_VALUE"""),"{}")</f>
        <v>{}</v>
      </c>
      <c r="T791" s="148">
        <f>IFERROR(__xludf.DUMMYFUNCTION("""COMPUTED_VALUE"""),-1.0)</f>
        <v>-1</v>
      </c>
      <c r="U791" s="148">
        <f>IFERROR(__xludf.DUMMYFUNCTION("""COMPUTED_VALUE"""),0.0)</f>
        <v>0</v>
      </c>
      <c r="V791" s="148" t="str">
        <f>IFERROR(__xludf.DUMMYFUNCTION("""COMPUTED_VALUE"""),"[]")</f>
        <v>[]</v>
      </c>
      <c r="W791" s="148">
        <f>IFERROR(__xludf.DUMMYFUNCTION("""COMPUTED_VALUE"""),1.174E7)</f>
        <v>11740000</v>
      </c>
      <c r="X791" s="148">
        <f>IFERROR(__xludf.DUMMYFUNCTION("""COMPUTED_VALUE"""),0.0)</f>
        <v>0</v>
      </c>
      <c r="Y791" s="148">
        <f>IFERROR(__xludf.DUMMYFUNCTION("""COMPUTED_VALUE"""),0.0)</f>
        <v>0</v>
      </c>
      <c r="Z791" s="148"/>
    </row>
    <row r="792">
      <c r="A792" s="148">
        <f>IFERROR(__xludf.DUMMYFUNCTION("""COMPUTED_VALUE"""),1.1112589E7)</f>
        <v>11112589</v>
      </c>
      <c r="B792" s="148" t="str">
        <f>IFERROR(__xludf.DUMMYFUNCTION("""COMPUTED_VALUE"""),"通用第三套-登月节-7日活动宝箱-显示用")</f>
        <v>通用第三套-登月节-7日活动宝箱-显示用</v>
      </c>
      <c r="C792" s="148"/>
      <c r="D792" s="148" t="str">
        <f>IFERROR(__xludf.DUMMYFUNCTION("""COMPUTED_VALUE"""),"event")</f>
        <v>event</v>
      </c>
      <c r="E792" s="148">
        <f>IFERROR(__xludf.DUMMYFUNCTION("""COMPUTED_VALUE"""),0.0)</f>
        <v>0</v>
      </c>
      <c r="F792" s="148">
        <f>IFERROR(__xludf.DUMMYFUNCTION("""COMPUTED_VALUE"""),0.0)</f>
        <v>0</v>
      </c>
      <c r="G792" s="148">
        <f>IFERROR(__xludf.DUMMYFUNCTION("""COMPUTED_VALUE"""),1.5117141E7)</f>
        <v>15117141</v>
      </c>
      <c r="H792" s="148">
        <f>IFERROR(__xludf.DUMMYFUNCTION("""COMPUTED_VALUE"""),1.5112564E7)</f>
        <v>15112564</v>
      </c>
      <c r="I792" s="148" t="str">
        <f>IFERROR(__xludf.DUMMYFUNCTION("""COMPUTED_VALUE"""),"{}")</f>
        <v>{}</v>
      </c>
      <c r="J792" s="148" t="str">
        <f>IFERROR(__xludf.DUMMYFUNCTION("""COMPUTED_VALUE"""),"{""typ"":""lc"",""txt"":""LC_ITEM_seven_day_box_name""}")</f>
        <v>{"typ":"lc","txt":"LC_ITEM_seven_day_box_name"}</v>
      </c>
      <c r="K792" s="148" t="str">
        <f>IFERROR(__xludf.DUMMYFUNCTION("""COMPUTED_VALUE"""),"{""typ"":""lc"",""txt"":""LC_ITEM_seven_day_box_desc""}")</f>
        <v>{"typ":"lc","txt":"LC_ITEM_seven_day_box_desc"}</v>
      </c>
      <c r="L792" s="148" t="str">
        <f>IFERROR(__xludf.DUMMYFUNCTION("""COMPUTED_VALUE"""),"{}")</f>
        <v>{}</v>
      </c>
      <c r="M792" s="148">
        <f>IFERROR(__xludf.DUMMYFUNCTION("""COMPUTED_VALUE"""),1.0)</f>
        <v>1</v>
      </c>
      <c r="N792" s="148">
        <f>IFERROR(__xludf.DUMMYFUNCTION("""COMPUTED_VALUE"""),999999.0)</f>
        <v>999999</v>
      </c>
      <c r="O792" s="148">
        <f>IFERROR(__xludf.DUMMYFUNCTION("""COMPUTED_VALUE"""),99999.0)</f>
        <v>99999</v>
      </c>
      <c r="P792" s="148">
        <f>IFERROR(__xludf.DUMMYFUNCTION("""COMPUTED_VALUE"""),9999.0)</f>
        <v>9999</v>
      </c>
      <c r="Q792" s="148" t="str">
        <f>IFERROR(__xludf.DUMMYFUNCTION("""COMPUTED_VALUE"""),"[]")</f>
        <v>[]</v>
      </c>
      <c r="R792" s="148" t="str">
        <f>IFERROR(__xludf.DUMMYFUNCTION("""COMPUTED_VALUE"""),"[]")</f>
        <v>[]</v>
      </c>
      <c r="S792" s="148" t="str">
        <f>IFERROR(__xludf.DUMMYFUNCTION("""COMPUTED_VALUE"""),"{""effect"":[{""typ"":""miss_lost_reward""}]}")</f>
        <v>{"effect":[{"typ":"miss_lost_reward"}]}</v>
      </c>
      <c r="T792" s="148">
        <f>IFERROR(__xludf.DUMMYFUNCTION("""COMPUTED_VALUE"""),-1.0)</f>
        <v>-1</v>
      </c>
      <c r="U792" s="148">
        <f>IFERROR(__xludf.DUMMYFUNCTION("""COMPUTED_VALUE"""),1.0)</f>
        <v>1</v>
      </c>
      <c r="V792" s="148" t="str">
        <f>IFERROR(__xludf.DUMMYFUNCTION("""COMPUTED_VALUE"""),"[]")</f>
        <v>[]</v>
      </c>
      <c r="W792" s="148">
        <f>IFERROR(__xludf.DUMMYFUNCTION("""COMPUTED_VALUE"""),1.174E7)</f>
        <v>11740000</v>
      </c>
      <c r="X792" s="148">
        <f>IFERROR(__xludf.DUMMYFUNCTION("""COMPUTED_VALUE"""),0.0)</f>
        <v>0</v>
      </c>
      <c r="Y792" s="148">
        <f>IFERROR(__xludf.DUMMYFUNCTION("""COMPUTED_VALUE"""),0.0)</f>
        <v>0</v>
      </c>
      <c r="Z792" s="148"/>
    </row>
    <row r="793">
      <c r="A793" s="148">
        <f>IFERROR(__xludf.DUMMYFUNCTION("""COMPUTED_VALUE"""),1.111259E7)</f>
        <v>11112590</v>
      </c>
      <c r="B793" s="148" t="str">
        <f>IFERROR(__xludf.DUMMYFUNCTION("""COMPUTED_VALUE"""),"通用第三套-登月节-增加次数道具")</f>
        <v>通用第三套-登月节-增加次数道具</v>
      </c>
      <c r="C793" s="148"/>
      <c r="D793" s="148" t="str">
        <f>IFERROR(__xludf.DUMMYFUNCTION("""COMPUTED_VALUE"""),"event_progress")</f>
        <v>event_progress</v>
      </c>
      <c r="E793" s="148">
        <f>IFERROR(__xludf.DUMMYFUNCTION("""COMPUTED_VALUE"""),0.0)</f>
        <v>0</v>
      </c>
      <c r="F793" s="148">
        <f>IFERROR(__xludf.DUMMYFUNCTION("""COMPUTED_VALUE"""),0.0)</f>
        <v>0</v>
      </c>
      <c r="G793" s="148">
        <f>IFERROR(__xludf.DUMMYFUNCTION("""COMPUTED_VALUE"""),1.5117129E7)</f>
        <v>15117129</v>
      </c>
      <c r="H793" s="148">
        <f>IFERROR(__xludf.DUMMYFUNCTION("""COMPUTED_VALUE"""),1.5112563E7)</f>
        <v>15112563</v>
      </c>
      <c r="I793" s="148" t="str">
        <f>IFERROR(__xludf.DUMMYFUNCTION("""COMPUTED_VALUE"""),"{}")</f>
        <v>{}</v>
      </c>
      <c r="J793" s="148" t="str">
        <f>IFERROR(__xludf.DUMMYFUNCTION("""COMPUTED_VALUE"""),"{}")</f>
        <v>{}</v>
      </c>
      <c r="K793" s="148" t="str">
        <f>IFERROR(__xludf.DUMMYFUNCTION("""COMPUTED_VALUE"""),"{}")</f>
        <v>{}</v>
      </c>
      <c r="L793" s="148" t="str">
        <f>IFERROR(__xludf.DUMMYFUNCTION("""COMPUTED_VALUE"""),"{}")</f>
        <v>{}</v>
      </c>
      <c r="M793" s="148">
        <f>IFERROR(__xludf.DUMMYFUNCTION("""COMPUTED_VALUE"""),1.0)</f>
        <v>1</v>
      </c>
      <c r="N793" s="148">
        <f>IFERROR(__xludf.DUMMYFUNCTION("""COMPUTED_VALUE"""),999999.0)</f>
        <v>999999</v>
      </c>
      <c r="O793" s="148">
        <f>IFERROR(__xludf.DUMMYFUNCTION("""COMPUTED_VALUE"""),99999.0)</f>
        <v>99999</v>
      </c>
      <c r="P793" s="148">
        <f>IFERROR(__xludf.DUMMYFUNCTION("""COMPUTED_VALUE"""),9999.0)</f>
        <v>9999</v>
      </c>
      <c r="Q793" s="148" t="str">
        <f>IFERROR(__xludf.DUMMYFUNCTION("""COMPUTED_VALUE"""),"[]")</f>
        <v>[]</v>
      </c>
      <c r="R793" s="148" t="str">
        <f>IFERROR(__xludf.DUMMYFUNCTION("""COMPUTED_VALUE"""),"[]")</f>
        <v>[]</v>
      </c>
      <c r="S793" s="148" t="str">
        <f>IFERROR(__xludf.DUMMYFUNCTION("""COMPUTED_VALUE"""),"{""effect"":[{""typ"":""event"",""id"":21127090},{""typ"":""event"",""id"":21127457},{""typ"":""event"",""id"":21127441},{""typ"":""miss_lost_reward""}]}")</f>
        <v>{"effect":[{"typ":"event","id":21127090},{"typ":"event","id":21127457},{"typ":"event","id":21127441},{"typ":"miss_lost_reward"}]}</v>
      </c>
      <c r="T793" s="148">
        <f>IFERROR(__xludf.DUMMYFUNCTION("""COMPUTED_VALUE"""),-1.0)</f>
        <v>-1</v>
      </c>
      <c r="U793" s="148">
        <f>IFERROR(__xludf.DUMMYFUNCTION("""COMPUTED_VALUE"""),1.0)</f>
        <v>1</v>
      </c>
      <c r="V793" s="148" t="str">
        <f>IFERROR(__xludf.DUMMYFUNCTION("""COMPUTED_VALUE"""),"[]")</f>
        <v>[]</v>
      </c>
      <c r="W793" s="148">
        <f>IFERROR(__xludf.DUMMYFUNCTION("""COMPUTED_VALUE"""),1.174E7)</f>
        <v>11740000</v>
      </c>
      <c r="X793" s="148">
        <f>IFERROR(__xludf.DUMMYFUNCTION("""COMPUTED_VALUE"""),0.0)</f>
        <v>0</v>
      </c>
      <c r="Y793" s="148">
        <f>IFERROR(__xludf.DUMMYFUNCTION("""COMPUTED_VALUE"""),0.0)</f>
        <v>0</v>
      </c>
      <c r="Z793" s="148"/>
    </row>
    <row r="794">
      <c r="A794" s="148">
        <f>IFERROR(__xludf.DUMMYFUNCTION("""COMPUTED_VALUE"""),1.1112591E7)</f>
        <v>11112591</v>
      </c>
      <c r="B794" s="148" t="str">
        <f>IFERROR(__xludf.DUMMYFUNCTION("""COMPUTED_VALUE"""),"2025登月节-装饰升级版本（投放用）-废弃")</f>
        <v>2025登月节-装饰升级版本（投放用）-废弃</v>
      </c>
      <c r="C794" s="148"/>
      <c r="D794" s="148" t="str">
        <f>IFERROR(__xludf.DUMMYFUNCTION("""COMPUTED_VALUE"""),"statue_decorate")</f>
        <v>statue_decorate</v>
      </c>
      <c r="E794" s="148">
        <f>IFERROR(__xludf.DUMMYFUNCTION("""COMPUTED_VALUE"""),23.0)</f>
        <v>23</v>
      </c>
      <c r="F794" s="148">
        <f>IFERROR(__xludf.DUMMYFUNCTION("""COMPUTED_VALUE"""),0.0)</f>
        <v>0</v>
      </c>
      <c r="G794" s="148">
        <f>IFERROR(__xludf.DUMMYFUNCTION("""COMPUTED_VALUE"""),1.51102277E8)</f>
        <v>151102277</v>
      </c>
      <c r="H794" s="148">
        <f>IFERROR(__xludf.DUMMYFUNCTION("""COMPUTED_VALUE"""),1.5112564E7)</f>
        <v>15112564</v>
      </c>
      <c r="I794" s="148" t="str">
        <f>IFERROR(__xludf.DUMMYFUNCTION("""COMPUTED_VALUE"""),"{}")</f>
        <v>{}</v>
      </c>
      <c r="J794" s="148" t="str">
        <f>IFERROR(__xludf.DUMMYFUNCTION("""COMPUTED_VALUE"""),"{""typ"":""lc"",""txt"":""LC_ITEM_2025moon_dec_item_2""}")</f>
        <v>{"typ":"lc","txt":"LC_ITEM_2025moon_dec_item_2"}</v>
      </c>
      <c r="K794" s="148" t="str">
        <f>IFERROR(__xludf.DUMMYFUNCTION("""COMPUTED_VALUE"""),"{""typ"":""lc"",""txt"":""LC_ITEM_2025moon_dec_item_3_desc""}")</f>
        <v>{"typ":"lc","txt":"LC_ITEM_2025moon_dec_item_3_desc"}</v>
      </c>
      <c r="L794" s="148" t="str">
        <f>IFERROR(__xludf.DUMMYFUNCTION("""COMPUTED_VALUE"""),"{}")</f>
        <v>{}</v>
      </c>
      <c r="M794" s="148">
        <f>IFERROR(__xludf.DUMMYFUNCTION("""COMPUTED_VALUE"""),5000.0)</f>
        <v>5000</v>
      </c>
      <c r="N794" s="148">
        <f>IFERROR(__xludf.DUMMYFUNCTION("""COMPUTED_VALUE"""),999.0)</f>
        <v>999</v>
      </c>
      <c r="O794" s="148">
        <f>IFERROR(__xludf.DUMMYFUNCTION("""COMPUTED_VALUE"""),99999.0)</f>
        <v>99999</v>
      </c>
      <c r="P794" s="148">
        <f>IFERROR(__xludf.DUMMYFUNCTION("""COMPUTED_VALUE"""),99999.0)</f>
        <v>99999</v>
      </c>
      <c r="Q794" s="148" t="str">
        <f>IFERROR(__xludf.DUMMYFUNCTION("""COMPUTED_VALUE"""),"[]")</f>
        <v>[]</v>
      </c>
      <c r="R794" s="148" t="str">
        <f>IFERROR(__xludf.DUMMYFUNCTION("""COMPUTED_VALUE"""),"[""bag""]")</f>
        <v>["bag"]</v>
      </c>
      <c r="S794" s="148" t="str">
        <f>IFERROR(__xludf.DUMMYFUNCTION("""COMPUTED_VALUE"""),"{""effect"":[{""typ"":""holiday_statue"",""id"":21482801}]}")</f>
        <v>{"effect":[{"typ":"holiday_statue","id":21482801}]}</v>
      </c>
      <c r="T794" s="148">
        <f>IFERROR(__xludf.DUMMYFUNCTION("""COMPUTED_VALUE"""),-1.0)</f>
        <v>-1</v>
      </c>
      <c r="U794" s="148">
        <f>IFERROR(__xludf.DUMMYFUNCTION("""COMPUTED_VALUE"""),1.0)</f>
        <v>1</v>
      </c>
      <c r="V794" s="148" t="str">
        <f>IFERROR(__xludf.DUMMYFUNCTION("""COMPUTED_VALUE"""),"[]")</f>
        <v>[]</v>
      </c>
      <c r="W794" s="148">
        <f>IFERROR(__xludf.DUMMYFUNCTION("""COMPUTED_VALUE"""),1.174E7)</f>
        <v>11740000</v>
      </c>
      <c r="X794" s="148">
        <f>IFERROR(__xludf.DUMMYFUNCTION("""COMPUTED_VALUE"""),0.0)</f>
        <v>0</v>
      </c>
      <c r="Y794" s="148">
        <f>IFERROR(__xludf.DUMMYFUNCTION("""COMPUTED_VALUE"""),0.0)</f>
        <v>0</v>
      </c>
      <c r="Z794" s="148"/>
    </row>
    <row r="795">
      <c r="A795" s="148">
        <f>IFERROR(__xludf.DUMMYFUNCTION("""COMPUTED_VALUE"""),1.1112592E7)</f>
        <v>11112592</v>
      </c>
      <c r="B795" s="148" t="str">
        <f>IFERROR(__xludf.DUMMYFUNCTION("""COMPUTED_VALUE"""),"2025登月节-装饰升级道具-废弃")</f>
        <v>2025登月节-装饰升级道具-废弃</v>
      </c>
      <c r="C795" s="148"/>
      <c r="D795" s="148" t="str">
        <f>IFERROR(__xludf.DUMMYFUNCTION("""COMPUTED_VALUE"""),"event")</f>
        <v>event</v>
      </c>
      <c r="E795" s="148">
        <f>IFERROR(__xludf.DUMMYFUNCTION("""COMPUTED_VALUE"""),0.0)</f>
        <v>0</v>
      </c>
      <c r="F795" s="148">
        <f>IFERROR(__xludf.DUMMYFUNCTION("""COMPUTED_VALUE"""),405243.0)</f>
        <v>405243</v>
      </c>
      <c r="G795" s="148">
        <f>IFERROR(__xludf.DUMMYFUNCTION("""COMPUTED_VALUE"""),1.51102277E8)</f>
        <v>151102277</v>
      </c>
      <c r="H795" s="148">
        <f>IFERROR(__xludf.DUMMYFUNCTION("""COMPUTED_VALUE"""),1.5112564E7)</f>
        <v>15112564</v>
      </c>
      <c r="I795" s="148" t="str">
        <f>IFERROR(__xludf.DUMMYFUNCTION("""COMPUTED_VALUE"""),"{}")</f>
        <v>{}</v>
      </c>
      <c r="J795" s="148" t="str">
        <f>IFERROR(__xludf.DUMMYFUNCTION("""COMPUTED_VALUE"""),"{""typ"":""lc"",""txt"":""LC_ITEM_2025moon_dec_item_2""}")</f>
        <v>{"typ":"lc","txt":"LC_ITEM_2025moon_dec_item_2"}</v>
      </c>
      <c r="K795" s="148" t="str">
        <f>IFERROR(__xludf.DUMMYFUNCTION("""COMPUTED_VALUE"""),"{""typ"":""lc"",""txt"":""LC_ITEM_2025moon_dec_item_3_desc""}")</f>
        <v>{"typ":"lc","txt":"LC_ITEM_2025moon_dec_item_3_desc"}</v>
      </c>
      <c r="L795" s="148" t="str">
        <f>IFERROR(__xludf.DUMMYFUNCTION("""COMPUTED_VALUE"""),"{}")</f>
        <v>{}</v>
      </c>
      <c r="M795" s="148">
        <f>IFERROR(__xludf.DUMMYFUNCTION("""COMPUTED_VALUE"""),1000.0)</f>
        <v>1000</v>
      </c>
      <c r="N795" s="148">
        <f>IFERROR(__xludf.DUMMYFUNCTION("""COMPUTED_VALUE"""),9.99999999E8)</f>
        <v>999999999</v>
      </c>
      <c r="O795" s="148">
        <f>IFERROR(__xludf.DUMMYFUNCTION("""COMPUTED_VALUE"""),9.99999999E8)</f>
        <v>999999999</v>
      </c>
      <c r="P795" s="148">
        <f>IFERROR(__xludf.DUMMYFUNCTION("""COMPUTED_VALUE"""),9.99999999E8)</f>
        <v>999999999</v>
      </c>
      <c r="Q795" s="148" t="str">
        <f>IFERROR(__xludf.DUMMYFUNCTION("""COMPUTED_VALUE"""),"[""bag_other""]")</f>
        <v>["bag_other"]</v>
      </c>
      <c r="R795" s="148" t="str">
        <f>IFERROR(__xludf.DUMMYFUNCTION("""COMPUTED_VALUE"""),"[]")</f>
        <v>[]</v>
      </c>
      <c r="S795" s="148" t="str">
        <f>IFERROR(__xludf.DUMMYFUNCTION("""COMPUTED_VALUE"""),"{}")</f>
        <v>{}</v>
      </c>
      <c r="T795" s="148">
        <f>IFERROR(__xludf.DUMMYFUNCTION("""COMPUTED_VALUE"""),-1.0)</f>
        <v>-1</v>
      </c>
      <c r="U795" s="148">
        <f>IFERROR(__xludf.DUMMYFUNCTION("""COMPUTED_VALUE"""),0.0)</f>
        <v>0</v>
      </c>
      <c r="V795" s="148" t="str">
        <f>IFERROR(__xludf.DUMMYFUNCTION("""COMPUTED_VALUE"""),"[]")</f>
        <v>[]</v>
      </c>
      <c r="W795" s="148">
        <f>IFERROR(__xludf.DUMMYFUNCTION("""COMPUTED_VALUE"""),1.174E7)</f>
        <v>11740000</v>
      </c>
      <c r="X795" s="148">
        <f>IFERROR(__xludf.DUMMYFUNCTION("""COMPUTED_VALUE"""),0.0)</f>
        <v>0</v>
      </c>
      <c r="Y795" s="148">
        <f>IFERROR(__xludf.DUMMYFUNCTION("""COMPUTED_VALUE"""),0.0)</f>
        <v>0</v>
      </c>
      <c r="Z795" s="148"/>
    </row>
    <row r="796">
      <c r="A796" s="148">
        <f>IFERROR(__xludf.DUMMYFUNCTION("""COMPUTED_VALUE"""),1.1112593E7)</f>
        <v>11112593</v>
      </c>
      <c r="B796" s="148" t="str">
        <f>IFERROR(__xludf.DUMMYFUNCTION("""COMPUTED_VALUE"""),"主城皮肤-登月节高级皮肤2025")</f>
        <v>主城皮肤-登月节高级皮肤2025</v>
      </c>
      <c r="C796" s="148"/>
      <c r="D796" s="148" t="str">
        <f>IFERROR(__xludf.DUMMYFUNCTION("""COMPUTED_VALUE"""),"city_skin")</f>
        <v>city_skin</v>
      </c>
      <c r="E796" s="148">
        <f>IFERROR(__xludf.DUMMYFUNCTION("""COMPUTED_VALUE"""),21.0)</f>
        <v>21</v>
      </c>
      <c r="F796" s="148">
        <f>IFERROR(__xludf.DUMMYFUNCTION("""COMPUTED_VALUE"""),400106.0)</f>
        <v>400106</v>
      </c>
      <c r="G796" s="148">
        <f>IFERROR(__xludf.DUMMYFUNCTION("""COMPUTED_VALUE"""),1.51102292E8)</f>
        <v>151102292</v>
      </c>
      <c r="H796" s="148">
        <f>IFERROR(__xludf.DUMMYFUNCTION("""COMPUTED_VALUE"""),1.5115983E7)</f>
        <v>15115983</v>
      </c>
      <c r="I796" s="148" t="str">
        <f>IFERROR(__xludf.DUMMYFUNCTION("""COMPUTED_VALUE"""),"{}")</f>
        <v>{}</v>
      </c>
      <c r="J796" s="148" t="str">
        <f>IFERROR(__xludf.DUMMYFUNCTION("""COMPUTED_VALUE"""),"{""typ"":""lc"",""txt"":""LC_ITEM_2025moon_highcity_skin_title""}")</f>
        <v>{"typ":"lc","txt":"LC_ITEM_2025moon_highcity_skin_title"}</v>
      </c>
      <c r="K796" s="148" t="str">
        <f>IFERROR(__xludf.DUMMYFUNCTION("""COMPUTED_VALUE"""),"{""typ"":""lc"",""txt"":""LC_ITEM_2025moon_highskin_desc_forever""}")</f>
        <v>{"typ":"lc","txt":"LC_ITEM_2025moon_highskin_desc_forever"}</v>
      </c>
      <c r="L796" s="148" t="str">
        <f>IFERROR(__xludf.DUMMYFUNCTION("""COMPUTED_VALUE"""),"{""typ"":""lc"",""txt"":""LC_ITEM_city_skin_rocket_use_tips""}")</f>
        <v>{"typ":"lc","txt":"LC_ITEM_city_skin_rocket_use_tips"}</v>
      </c>
      <c r="M796" s="148">
        <f>IFERROR(__xludf.DUMMYFUNCTION("""COMPUTED_VALUE"""),10000.0)</f>
        <v>10000</v>
      </c>
      <c r="N796" s="148">
        <f>IFERROR(__xludf.DUMMYFUNCTION("""COMPUTED_VALUE"""),999.0)</f>
        <v>999</v>
      </c>
      <c r="O796" s="148">
        <f>IFERROR(__xludf.DUMMYFUNCTION("""COMPUTED_VALUE"""),1.0)</f>
        <v>1</v>
      </c>
      <c r="P796" s="148">
        <f>IFERROR(__xludf.DUMMYFUNCTION("""COMPUTED_VALUE"""),1.0)</f>
        <v>1</v>
      </c>
      <c r="Q796" s="148" t="str">
        <f>IFERROR(__xludf.DUMMYFUNCTION("""COMPUTED_VALUE"""),"[""bag_other""]")</f>
        <v>["bag_other"]</v>
      </c>
      <c r="R796" s="148" t="str">
        <f>IFERROR(__xludf.DUMMYFUNCTION("""COMPUTED_VALUE"""),"[""bag"",""13121076""]")</f>
        <v>["bag","13121076"]</v>
      </c>
      <c r="S796" s="148" t="str">
        <f>IFERROR(__xludf.DUMMYFUNCTION("""COMPUTED_VALUE"""),"{""effect"":[{""typ"":""city_skin"",""id"":13121076,""val"":-1},{""typ"":""item"",""id"":11111034,""val"":10}]}")</f>
        <v>{"effect":[{"typ":"city_skin","id":13121076,"val":-1},{"typ":"item","id":11111034,"val":10}]}</v>
      </c>
      <c r="T796" s="148">
        <f>IFERROR(__xludf.DUMMYFUNCTION("""COMPUTED_VALUE"""),-1.0)</f>
        <v>-1</v>
      </c>
      <c r="U796" s="148">
        <f>IFERROR(__xludf.DUMMYFUNCTION("""COMPUTED_VALUE"""),0.0)</f>
        <v>0</v>
      </c>
      <c r="V796" s="148" t="str">
        <f>IFERROR(__xludf.DUMMYFUNCTION("""COMPUTED_VALUE"""),"[]")</f>
        <v>[]</v>
      </c>
      <c r="W796" s="148">
        <f>IFERROR(__xludf.DUMMYFUNCTION("""COMPUTED_VALUE"""),1.174E7)</f>
        <v>11740000</v>
      </c>
      <c r="X796" s="148">
        <f>IFERROR(__xludf.DUMMYFUNCTION("""COMPUTED_VALUE"""),0.0)</f>
        <v>0</v>
      </c>
      <c r="Y796" s="148">
        <f>IFERROR(__xludf.DUMMYFUNCTION("""COMPUTED_VALUE"""),0.0)</f>
        <v>0</v>
      </c>
      <c r="Z796" s="148"/>
    </row>
    <row r="797">
      <c r="A797" s="148">
        <f>IFERROR(__xludf.DUMMYFUNCTION("""COMPUTED_VALUE"""),1.1112594E7)</f>
        <v>11112594</v>
      </c>
      <c r="B797" s="148" t="str">
        <f>IFERROR(__xludf.DUMMYFUNCTION("""COMPUTED_VALUE"""),"主城皮肤-登月节高级皮肤2025-7天")</f>
        <v>主城皮肤-登月节高级皮肤2025-7天</v>
      </c>
      <c r="C797" s="148"/>
      <c r="D797" s="148" t="str">
        <f>IFERROR(__xludf.DUMMYFUNCTION("""COMPUTED_VALUE"""),"city_skin")</f>
        <v>city_skin</v>
      </c>
      <c r="E797" s="148">
        <f>IFERROR(__xludf.DUMMYFUNCTION("""COMPUTED_VALUE"""),21.0)</f>
        <v>21</v>
      </c>
      <c r="F797" s="148">
        <f>IFERROR(__xludf.DUMMYFUNCTION("""COMPUTED_VALUE"""),400106.0)</f>
        <v>400106</v>
      </c>
      <c r="G797" s="148">
        <f>IFERROR(__xludf.DUMMYFUNCTION("""COMPUTED_VALUE"""),1.51102292E8)</f>
        <v>151102292</v>
      </c>
      <c r="H797" s="148">
        <f>IFERROR(__xludf.DUMMYFUNCTION("""COMPUTED_VALUE"""),1.5112564E7)</f>
        <v>15112564</v>
      </c>
      <c r="I797" s="148" t="str">
        <f>IFERROR(__xludf.DUMMYFUNCTION("""COMPUTED_VALUE"""),"{""typ"":""lc"",""txt"":""LC_ITEM_time_day_upper_show"",""args"":[{""typ"":""int"",""val"":7}]}")</f>
        <v>{"typ":"lc","txt":"LC_ITEM_time_day_upper_show","args":[{"typ":"int","val":7}]}</v>
      </c>
      <c r="J797" s="148" t="str">
        <f>IFERROR(__xludf.DUMMYFUNCTION("""COMPUTED_VALUE"""),"{""typ"":""lc"",""txt"":""LC_ITEM_2025moon_highcity_skin_title_7day""}")</f>
        <v>{"typ":"lc","txt":"LC_ITEM_2025moon_highcity_skin_title_7day"}</v>
      </c>
      <c r="K797" s="148" t="str">
        <f>IFERROR(__xludf.DUMMYFUNCTION("""COMPUTED_VALUE"""),"{""typ"":""lc"",""txt"":""LC_ITEM_2025moon_highskin_desc_7day""}")</f>
        <v>{"typ":"lc","txt":"LC_ITEM_2025moon_highskin_desc_7day"}</v>
      </c>
      <c r="L797" s="148" t="str">
        <f>IFERROR(__xludf.DUMMYFUNCTION("""COMPUTED_VALUE"""),"{""typ"":""lc"",""txt"":""LC_ITEM_city_skin_rocket_use_tips""}")</f>
        <v>{"typ":"lc","txt":"LC_ITEM_city_skin_rocket_use_tips"}</v>
      </c>
      <c r="M797" s="148">
        <f>IFERROR(__xludf.DUMMYFUNCTION("""COMPUTED_VALUE"""),10000.0)</f>
        <v>10000</v>
      </c>
      <c r="N797" s="148">
        <f>IFERROR(__xludf.DUMMYFUNCTION("""COMPUTED_VALUE"""),999.0)</f>
        <v>999</v>
      </c>
      <c r="O797" s="148">
        <f>IFERROR(__xludf.DUMMYFUNCTION("""COMPUTED_VALUE"""),1.0)</f>
        <v>1</v>
      </c>
      <c r="P797" s="148">
        <f>IFERROR(__xludf.DUMMYFUNCTION("""COMPUTED_VALUE"""),1.0)</f>
        <v>1</v>
      </c>
      <c r="Q797" s="148" t="str">
        <f>IFERROR(__xludf.DUMMYFUNCTION("""COMPUTED_VALUE"""),"[""bag_other""]")</f>
        <v>["bag_other"]</v>
      </c>
      <c r="R797" s="148" t="str">
        <f>IFERROR(__xludf.DUMMYFUNCTION("""COMPUTED_VALUE"""),"[""bag"",""13121076""]")</f>
        <v>["bag","13121076"]</v>
      </c>
      <c r="S797" s="148" t="str">
        <f>IFERROR(__xludf.DUMMYFUNCTION("""COMPUTED_VALUE"""),"{""effect"":[{""typ"":""city_skin"",""id"":13121076,""val"":604800000},{""typ"":""item"",""id"":11111021,""val"":3}]}")</f>
        <v>{"effect":[{"typ":"city_skin","id":13121076,"val":604800000},{"typ":"item","id":11111021,"val":3}]}</v>
      </c>
      <c r="T797" s="148">
        <f>IFERROR(__xludf.DUMMYFUNCTION("""COMPUTED_VALUE"""),-1.0)</f>
        <v>-1</v>
      </c>
      <c r="U797" s="148">
        <f>IFERROR(__xludf.DUMMYFUNCTION("""COMPUTED_VALUE"""),0.0)</f>
        <v>0</v>
      </c>
      <c r="V797" s="148" t="str">
        <f>IFERROR(__xludf.DUMMYFUNCTION("""COMPUTED_VALUE"""),"[]")</f>
        <v>[]</v>
      </c>
      <c r="W797" s="148">
        <f>IFERROR(__xludf.DUMMYFUNCTION("""COMPUTED_VALUE"""),1.174E7)</f>
        <v>11740000</v>
      </c>
      <c r="X797" s="148">
        <f>IFERROR(__xludf.DUMMYFUNCTION("""COMPUTED_VALUE"""),0.0)</f>
        <v>0</v>
      </c>
      <c r="Y797" s="148">
        <f>IFERROR(__xludf.DUMMYFUNCTION("""COMPUTED_VALUE"""),0.0)</f>
        <v>0</v>
      </c>
      <c r="Z797" s="148"/>
    </row>
    <row r="798">
      <c r="A798" s="148">
        <f>IFERROR(__xludf.DUMMYFUNCTION("""COMPUTED_VALUE"""),1.1112595E7)</f>
        <v>11112595</v>
      </c>
      <c r="B798" s="148" t="str">
        <f>IFERROR(__xludf.DUMMYFUNCTION("""COMPUTED_VALUE"""),"主城皮肤-登月节高级皮肤2025-14天")</f>
        <v>主城皮肤-登月节高级皮肤2025-14天</v>
      </c>
      <c r="C798" s="148"/>
      <c r="D798" s="148" t="str">
        <f>IFERROR(__xludf.DUMMYFUNCTION("""COMPUTED_VALUE"""),"city_skin")</f>
        <v>city_skin</v>
      </c>
      <c r="E798" s="148">
        <f>IFERROR(__xludf.DUMMYFUNCTION("""COMPUTED_VALUE"""),21.0)</f>
        <v>21</v>
      </c>
      <c r="F798" s="148">
        <f>IFERROR(__xludf.DUMMYFUNCTION("""COMPUTED_VALUE"""),400106.0)</f>
        <v>400106</v>
      </c>
      <c r="G798" s="148">
        <f>IFERROR(__xludf.DUMMYFUNCTION("""COMPUTED_VALUE"""),1.51102292E8)</f>
        <v>151102292</v>
      </c>
      <c r="H798" s="148">
        <f>IFERROR(__xludf.DUMMYFUNCTION("""COMPUTED_VALUE"""),1.5112564E7)</f>
        <v>15112564</v>
      </c>
      <c r="I798" s="148" t="str">
        <f>IFERROR(__xludf.DUMMYFUNCTION("""COMPUTED_VALUE"""),"{""typ"":""lc"",""txt"":""LC_ITEM_time_day_upper_show"",""args"":[{""typ"":""int"",""val"":14}]}")</f>
        <v>{"typ":"lc","txt":"LC_ITEM_time_day_upper_show","args":[{"typ":"int","val":14}]}</v>
      </c>
      <c r="J798" s="148" t="str">
        <f>IFERROR(__xludf.DUMMYFUNCTION("""COMPUTED_VALUE"""),"{""typ"":""lc"",""txt"":""LC_ITEM_2025moon_highcity_skin_title_14day""}")</f>
        <v>{"typ":"lc","txt":"LC_ITEM_2025moon_highcity_skin_title_14day"}</v>
      </c>
      <c r="K798" s="148" t="str">
        <f>IFERROR(__xludf.DUMMYFUNCTION("""COMPUTED_VALUE"""),"{""typ"":""lc"",""txt"":""LC_ITEM_2025moon_highskin_desc_14day""}")</f>
        <v>{"typ":"lc","txt":"LC_ITEM_2025moon_highskin_desc_14day"}</v>
      </c>
      <c r="L798" s="148" t="str">
        <f>IFERROR(__xludf.DUMMYFUNCTION("""COMPUTED_VALUE"""),"{""typ"":""lc"",""txt"":""LC_ITEM_city_skin_rocket_use_tips""}")</f>
        <v>{"typ":"lc","txt":"LC_ITEM_city_skin_rocket_use_tips"}</v>
      </c>
      <c r="M798" s="148">
        <f>IFERROR(__xludf.DUMMYFUNCTION("""COMPUTED_VALUE"""),10000.0)</f>
        <v>10000</v>
      </c>
      <c r="N798" s="148">
        <f>IFERROR(__xludf.DUMMYFUNCTION("""COMPUTED_VALUE"""),999.0)</f>
        <v>999</v>
      </c>
      <c r="O798" s="148">
        <f>IFERROR(__xludf.DUMMYFUNCTION("""COMPUTED_VALUE"""),1.0)</f>
        <v>1</v>
      </c>
      <c r="P798" s="148">
        <f>IFERROR(__xludf.DUMMYFUNCTION("""COMPUTED_VALUE"""),1.0)</f>
        <v>1</v>
      </c>
      <c r="Q798" s="148" t="str">
        <f>IFERROR(__xludf.DUMMYFUNCTION("""COMPUTED_VALUE"""),"[""bag_other""]")</f>
        <v>["bag_other"]</v>
      </c>
      <c r="R798" s="148" t="str">
        <f>IFERROR(__xludf.DUMMYFUNCTION("""COMPUTED_VALUE"""),"[""bag"",""13121076""]")</f>
        <v>["bag","13121076"]</v>
      </c>
      <c r="S798" s="148" t="str">
        <f>IFERROR(__xludf.DUMMYFUNCTION("""COMPUTED_VALUE"""),"{""effect"":[{""typ"":""city_skin"",""id"":13121076,""val"":1209600000},{""typ"":""item"",""id"":11111021,""val"":7}]}")</f>
        <v>{"effect":[{"typ":"city_skin","id":13121076,"val":1209600000},{"typ":"item","id":11111021,"val":7}]}</v>
      </c>
      <c r="T798" s="148">
        <f>IFERROR(__xludf.DUMMYFUNCTION("""COMPUTED_VALUE"""),-1.0)</f>
        <v>-1</v>
      </c>
      <c r="U798" s="148">
        <f>IFERROR(__xludf.DUMMYFUNCTION("""COMPUTED_VALUE"""),0.0)</f>
        <v>0</v>
      </c>
      <c r="V798" s="148" t="str">
        <f>IFERROR(__xludf.DUMMYFUNCTION("""COMPUTED_VALUE"""),"[]")</f>
        <v>[]</v>
      </c>
      <c r="W798" s="148">
        <f>IFERROR(__xludf.DUMMYFUNCTION("""COMPUTED_VALUE"""),1.174E7)</f>
        <v>11740000</v>
      </c>
      <c r="X798" s="148">
        <f>IFERROR(__xludf.DUMMYFUNCTION("""COMPUTED_VALUE"""),0.0)</f>
        <v>0</v>
      </c>
      <c r="Y798" s="148">
        <f>IFERROR(__xludf.DUMMYFUNCTION("""COMPUTED_VALUE"""),0.0)</f>
        <v>0</v>
      </c>
      <c r="Z798" s="148"/>
    </row>
    <row r="799">
      <c r="A799" s="148">
        <f>IFERROR(__xludf.DUMMYFUNCTION("""COMPUTED_VALUE"""),1.1112596E7)</f>
        <v>11112596</v>
      </c>
      <c r="B799" s="148" t="str">
        <f>IFERROR(__xludf.DUMMYFUNCTION("""COMPUTED_VALUE"""),"主城皮肤-登月节高级皮肤2025-28天")</f>
        <v>主城皮肤-登月节高级皮肤2025-28天</v>
      </c>
      <c r="C799" s="148"/>
      <c r="D799" s="148" t="str">
        <f>IFERROR(__xludf.DUMMYFUNCTION("""COMPUTED_VALUE"""),"city_skin")</f>
        <v>city_skin</v>
      </c>
      <c r="E799" s="148">
        <f>IFERROR(__xludf.DUMMYFUNCTION("""COMPUTED_VALUE"""),21.0)</f>
        <v>21</v>
      </c>
      <c r="F799" s="148">
        <f>IFERROR(__xludf.DUMMYFUNCTION("""COMPUTED_VALUE"""),408197.0)</f>
        <v>408197</v>
      </c>
      <c r="G799" s="148">
        <f>IFERROR(__xludf.DUMMYFUNCTION("""COMPUTED_VALUE"""),1.51102292E8)</f>
        <v>151102292</v>
      </c>
      <c r="H799" s="148">
        <f>IFERROR(__xludf.DUMMYFUNCTION("""COMPUTED_VALUE"""),1.5112564E7)</f>
        <v>15112564</v>
      </c>
      <c r="I799" s="148" t="str">
        <f>IFERROR(__xludf.DUMMYFUNCTION("""COMPUTED_VALUE"""),"{""typ"":""lc"",""txt"":""LC_ITEM_time_day_upper_show"",""args"":[{""typ"":""int"",""val"":28}]}")</f>
        <v>{"typ":"lc","txt":"LC_ITEM_time_day_upper_show","args":[{"typ":"int","val":28}]}</v>
      </c>
      <c r="J799" s="148" t="str">
        <f>IFERROR(__xludf.DUMMYFUNCTION("""COMPUTED_VALUE"""),"{""typ"":""lc"",""txt"":""LC_ITEM_2025moon_highcity_skin_title_28day""}")</f>
        <v>{"typ":"lc","txt":"LC_ITEM_2025moon_highcity_skin_title_28day"}</v>
      </c>
      <c r="K799" s="148" t="str">
        <f>IFERROR(__xludf.DUMMYFUNCTION("""COMPUTED_VALUE"""),"{""typ"":""lc"",""txt"":""LC_ITEM_2025moon_highskin_desc_28day""}")</f>
        <v>{"typ":"lc","txt":"LC_ITEM_2025moon_highskin_desc_28day"}</v>
      </c>
      <c r="L799" s="148" t="str">
        <f>IFERROR(__xludf.DUMMYFUNCTION("""COMPUTED_VALUE"""),"{""typ"":""lc"",""txt"":""LC_ITEM_city_skin_rocket_use_tips""}")</f>
        <v>{"typ":"lc","txt":"LC_ITEM_city_skin_rocket_use_tips"}</v>
      </c>
      <c r="M799" s="148">
        <f>IFERROR(__xludf.DUMMYFUNCTION("""COMPUTED_VALUE"""),10000.0)</f>
        <v>10000</v>
      </c>
      <c r="N799" s="148">
        <f>IFERROR(__xludf.DUMMYFUNCTION("""COMPUTED_VALUE"""),999.0)</f>
        <v>999</v>
      </c>
      <c r="O799" s="148">
        <f>IFERROR(__xludf.DUMMYFUNCTION("""COMPUTED_VALUE"""),1.0)</f>
        <v>1</v>
      </c>
      <c r="P799" s="148">
        <f>IFERROR(__xludf.DUMMYFUNCTION("""COMPUTED_VALUE"""),1.0)</f>
        <v>1</v>
      </c>
      <c r="Q799" s="148" t="str">
        <f>IFERROR(__xludf.DUMMYFUNCTION("""COMPUTED_VALUE"""),"[""bag_other""]")</f>
        <v>["bag_other"]</v>
      </c>
      <c r="R799" s="148" t="str">
        <f>IFERROR(__xludf.DUMMYFUNCTION("""COMPUTED_VALUE"""),"[""bag"",""13121076""]")</f>
        <v>["bag","13121076"]</v>
      </c>
      <c r="S799" s="148" t="str">
        <f>IFERROR(__xludf.DUMMYFUNCTION("""COMPUTED_VALUE"""),"{""effect"":[{""typ"":""city_skin"",""id"":13121076,""val"":2419200000},{""typ"":""item"",""id"":11111021,""val"":15}]}")</f>
        <v>{"effect":[{"typ":"city_skin","id":13121076,"val":2419200000},{"typ":"item","id":11111021,"val":15}]}</v>
      </c>
      <c r="T799" s="148">
        <f>IFERROR(__xludf.DUMMYFUNCTION("""COMPUTED_VALUE"""),-1.0)</f>
        <v>-1</v>
      </c>
      <c r="U799" s="148">
        <f>IFERROR(__xludf.DUMMYFUNCTION("""COMPUTED_VALUE"""),0.0)</f>
        <v>0</v>
      </c>
      <c r="V799" s="148" t="str">
        <f>IFERROR(__xludf.DUMMYFUNCTION("""COMPUTED_VALUE"""),"[]")</f>
        <v>[]</v>
      </c>
      <c r="W799" s="148">
        <f>IFERROR(__xludf.DUMMYFUNCTION("""COMPUTED_VALUE"""),1.174E7)</f>
        <v>11740000</v>
      </c>
      <c r="X799" s="148">
        <f>IFERROR(__xludf.DUMMYFUNCTION("""COMPUTED_VALUE"""),0.0)</f>
        <v>0</v>
      </c>
      <c r="Y799" s="148">
        <f>IFERROR(__xludf.DUMMYFUNCTION("""COMPUTED_VALUE"""),0.0)</f>
        <v>0</v>
      </c>
      <c r="Z799" s="148"/>
    </row>
    <row r="800">
      <c r="A800" s="148">
        <f>IFERROR(__xludf.DUMMYFUNCTION("""COMPUTED_VALUE"""),1.1112597E7)</f>
        <v>11112597</v>
      </c>
      <c r="B800" s="148" t="str">
        <f>IFERROR(__xludf.DUMMYFUNCTION("""COMPUTED_VALUE"""),"主城皮肤-登月节2025")</f>
        <v>主城皮肤-登月节2025</v>
      </c>
      <c r="C800" s="148"/>
      <c r="D800" s="148" t="str">
        <f>IFERROR(__xludf.DUMMYFUNCTION("""COMPUTED_VALUE"""),"city_skin")</f>
        <v>city_skin</v>
      </c>
      <c r="E800" s="148">
        <f>IFERROR(__xludf.DUMMYFUNCTION("""COMPUTED_VALUE"""),21.0)</f>
        <v>21</v>
      </c>
      <c r="F800" s="148">
        <f>IFERROR(__xludf.DUMMYFUNCTION("""COMPUTED_VALUE"""),404201.0)</f>
        <v>404201</v>
      </c>
      <c r="G800" s="148">
        <f>IFERROR(__xludf.DUMMYFUNCTION("""COMPUTED_VALUE"""),1.5110229E8)</f>
        <v>151102290</v>
      </c>
      <c r="H800" s="148">
        <f>IFERROR(__xludf.DUMMYFUNCTION("""COMPUTED_VALUE"""),1.5112564E7)</f>
        <v>15112564</v>
      </c>
      <c r="I800" s="148" t="str">
        <f>IFERROR(__xludf.DUMMYFUNCTION("""COMPUTED_VALUE"""),"{}")</f>
        <v>{}</v>
      </c>
      <c r="J800" s="148" t="str">
        <f>IFERROR(__xludf.DUMMYFUNCTION("""COMPUTED_VALUE"""),"{""typ"":""lc"",""txt"":""LC_ITEM_2025moon_lowcity_skin_title""}")</f>
        <v>{"typ":"lc","txt":"LC_ITEM_2025moon_lowcity_skin_title"}</v>
      </c>
      <c r="K800" s="148" t="str">
        <f>IFERROR(__xludf.DUMMYFUNCTION("""COMPUTED_VALUE"""),"{""typ"":""lc"",""txt"":""LC_ITEM_2025moon_lowcity_skin_desc_forever""}")</f>
        <v>{"typ":"lc","txt":"LC_ITEM_2025moon_lowcity_skin_desc_forever"}</v>
      </c>
      <c r="L800" s="148" t="str">
        <f>IFERROR(__xludf.DUMMYFUNCTION("""COMPUTED_VALUE"""),"{""typ"":""lc"",""txt"":""LC_ITEM_city_skin_rocket_use_tips""}")</f>
        <v>{"typ":"lc","txt":"LC_ITEM_city_skin_rocket_use_tips"}</v>
      </c>
      <c r="M800" s="148">
        <f>IFERROR(__xludf.DUMMYFUNCTION("""COMPUTED_VALUE"""),10000.0)</f>
        <v>10000</v>
      </c>
      <c r="N800" s="148">
        <f>IFERROR(__xludf.DUMMYFUNCTION("""COMPUTED_VALUE"""),999.0)</f>
        <v>999</v>
      </c>
      <c r="O800" s="148">
        <f>IFERROR(__xludf.DUMMYFUNCTION("""COMPUTED_VALUE"""),1.0)</f>
        <v>1</v>
      </c>
      <c r="P800" s="148">
        <f>IFERROR(__xludf.DUMMYFUNCTION("""COMPUTED_VALUE"""),1.0)</f>
        <v>1</v>
      </c>
      <c r="Q800" s="148" t="str">
        <f>IFERROR(__xludf.DUMMYFUNCTION("""COMPUTED_VALUE"""),"[""bag_other""]")</f>
        <v>["bag_other"]</v>
      </c>
      <c r="R800" s="148" t="str">
        <f>IFERROR(__xludf.DUMMYFUNCTION("""COMPUTED_VALUE"""),"[""bag"",""13121074""]")</f>
        <v>["bag","13121074"]</v>
      </c>
      <c r="S800" s="148" t="str">
        <f>IFERROR(__xludf.DUMMYFUNCTION("""COMPUTED_VALUE"""),"{""effect"":[{""typ"":""city_skin"",""id"":13121074,""val"":-1},{""typ"":""item"",""id"":11112030,""val"":4000}]}")</f>
        <v>{"effect":[{"typ":"city_skin","id":13121074,"val":-1},{"typ":"item","id":11112030,"val":4000}]}</v>
      </c>
      <c r="T800" s="148">
        <f>IFERROR(__xludf.DUMMYFUNCTION("""COMPUTED_VALUE"""),-1.0)</f>
        <v>-1</v>
      </c>
      <c r="U800" s="148">
        <f>IFERROR(__xludf.DUMMYFUNCTION("""COMPUTED_VALUE"""),0.0)</f>
        <v>0</v>
      </c>
      <c r="V800" s="148" t="str">
        <f>IFERROR(__xludf.DUMMYFUNCTION("""COMPUTED_VALUE"""),"[]")</f>
        <v>[]</v>
      </c>
      <c r="W800" s="148">
        <f>IFERROR(__xludf.DUMMYFUNCTION("""COMPUTED_VALUE"""),1.174E7)</f>
        <v>11740000</v>
      </c>
      <c r="X800" s="148">
        <f>IFERROR(__xludf.DUMMYFUNCTION("""COMPUTED_VALUE"""),0.0)</f>
        <v>0</v>
      </c>
      <c r="Y800" s="148">
        <f>IFERROR(__xludf.DUMMYFUNCTION("""COMPUTED_VALUE"""),0.0)</f>
        <v>0</v>
      </c>
      <c r="Z800" s="148"/>
    </row>
    <row r="801">
      <c r="A801" s="148">
        <f>IFERROR(__xludf.DUMMYFUNCTION("""COMPUTED_VALUE"""),1.1112598E7)</f>
        <v>11112598</v>
      </c>
      <c r="B801" s="148" t="str">
        <f>IFERROR(__xludf.DUMMYFUNCTION("""COMPUTED_VALUE"""),"主城皮肤-登月节2025-2天")</f>
        <v>主城皮肤-登月节2025-2天</v>
      </c>
      <c r="C801" s="148"/>
      <c r="D801" s="148" t="str">
        <f>IFERROR(__xludf.DUMMYFUNCTION("""COMPUTED_VALUE"""),"city_skin")</f>
        <v>city_skin</v>
      </c>
      <c r="E801" s="148">
        <f>IFERROR(__xludf.DUMMYFUNCTION("""COMPUTED_VALUE"""),21.0)</f>
        <v>21</v>
      </c>
      <c r="F801" s="148">
        <f>IFERROR(__xludf.DUMMYFUNCTION("""COMPUTED_VALUE"""),404201.0)</f>
        <v>404201</v>
      </c>
      <c r="G801" s="148">
        <f>IFERROR(__xludf.DUMMYFUNCTION("""COMPUTED_VALUE"""),1.5110229E8)</f>
        <v>151102290</v>
      </c>
      <c r="H801" s="148">
        <f>IFERROR(__xludf.DUMMYFUNCTION("""COMPUTED_VALUE"""),1.5112563E7)</f>
        <v>15112563</v>
      </c>
      <c r="I801" s="148" t="str">
        <f>IFERROR(__xludf.DUMMYFUNCTION("""COMPUTED_VALUE"""),"{""typ"":""lc"",""txt"":""LC_ITEM_time_day_upper_show"",""args"":[{""typ"":""int"",""val"":2}]}")</f>
        <v>{"typ":"lc","txt":"LC_ITEM_time_day_upper_show","args":[{"typ":"int","val":2}]}</v>
      </c>
      <c r="J801" s="148" t="str">
        <f>IFERROR(__xludf.DUMMYFUNCTION("""COMPUTED_VALUE"""),"{""typ"":""lc"",""txt"":""LC_ITEM_2025moon_lowcity_skin_title_2day""}")</f>
        <v>{"typ":"lc","txt":"LC_ITEM_2025moon_lowcity_skin_title_2day"}</v>
      </c>
      <c r="K801" s="148" t="str">
        <f>IFERROR(__xludf.DUMMYFUNCTION("""COMPUTED_VALUE"""),"{""typ"":""lc"",""txt"":""LC_ITEM_2025moon_lowcity_skin_desc_2day""}")</f>
        <v>{"typ":"lc","txt":"LC_ITEM_2025moon_lowcity_skin_desc_2day"}</v>
      </c>
      <c r="L801" s="148" t="str">
        <f>IFERROR(__xludf.DUMMYFUNCTION("""COMPUTED_VALUE"""),"{""typ"":""lc"",""txt"":""LC_ITEM_city_skin_rocket_use_tips""}")</f>
        <v>{"typ":"lc","txt":"LC_ITEM_city_skin_rocket_use_tips"}</v>
      </c>
      <c r="M801" s="148">
        <f>IFERROR(__xludf.DUMMYFUNCTION("""COMPUTED_VALUE"""),10000.0)</f>
        <v>10000</v>
      </c>
      <c r="N801" s="148">
        <f>IFERROR(__xludf.DUMMYFUNCTION("""COMPUTED_VALUE"""),999.0)</f>
        <v>999</v>
      </c>
      <c r="O801" s="148">
        <f>IFERROR(__xludf.DUMMYFUNCTION("""COMPUTED_VALUE"""),1.0)</f>
        <v>1</v>
      </c>
      <c r="P801" s="148">
        <f>IFERROR(__xludf.DUMMYFUNCTION("""COMPUTED_VALUE"""),1.0)</f>
        <v>1</v>
      </c>
      <c r="Q801" s="148" t="str">
        <f>IFERROR(__xludf.DUMMYFUNCTION("""COMPUTED_VALUE"""),"[""bag_other""]")</f>
        <v>["bag_other"]</v>
      </c>
      <c r="R801" s="148" t="str">
        <f>IFERROR(__xludf.DUMMYFUNCTION("""COMPUTED_VALUE"""),"[""bag"",""13121074""]")</f>
        <v>["bag","13121074"]</v>
      </c>
      <c r="S801" s="148" t="str">
        <f>IFERROR(__xludf.DUMMYFUNCTION("""COMPUTED_VALUE"""),"{""effect"":[{""typ"":""city_skin"",""id"":13121074,""val"":172800000},{""typ"":""item"",""id"":11111021,""val"":1}]}")</f>
        <v>{"effect":[{"typ":"city_skin","id":13121074,"val":172800000},{"typ":"item","id":11111021,"val":1}]}</v>
      </c>
      <c r="T801" s="148">
        <f>IFERROR(__xludf.DUMMYFUNCTION("""COMPUTED_VALUE"""),-1.0)</f>
        <v>-1</v>
      </c>
      <c r="U801" s="148">
        <f>IFERROR(__xludf.DUMMYFUNCTION("""COMPUTED_VALUE"""),0.0)</f>
        <v>0</v>
      </c>
      <c r="V801" s="148" t="str">
        <f>IFERROR(__xludf.DUMMYFUNCTION("""COMPUTED_VALUE"""),"[]")</f>
        <v>[]</v>
      </c>
      <c r="W801" s="148">
        <f>IFERROR(__xludf.DUMMYFUNCTION("""COMPUTED_VALUE"""),1.174E7)</f>
        <v>11740000</v>
      </c>
      <c r="X801" s="148">
        <f>IFERROR(__xludf.DUMMYFUNCTION("""COMPUTED_VALUE"""),0.0)</f>
        <v>0</v>
      </c>
      <c r="Y801" s="148">
        <f>IFERROR(__xludf.DUMMYFUNCTION("""COMPUTED_VALUE"""),0.0)</f>
        <v>0</v>
      </c>
      <c r="Z801" s="148"/>
    </row>
    <row r="802">
      <c r="A802" s="148">
        <f>IFERROR(__xludf.DUMMYFUNCTION("""COMPUTED_VALUE"""),1.1112599E7)</f>
        <v>11112599</v>
      </c>
      <c r="B802" s="148" t="str">
        <f>IFERROR(__xludf.DUMMYFUNCTION("""COMPUTED_VALUE"""),"主城皮肤-登月节2025-7天")</f>
        <v>主城皮肤-登月节2025-7天</v>
      </c>
      <c r="C802" s="148"/>
      <c r="D802" s="148" t="str">
        <f>IFERROR(__xludf.DUMMYFUNCTION("""COMPUTED_VALUE"""),"city_skin")</f>
        <v>city_skin</v>
      </c>
      <c r="E802" s="148">
        <f>IFERROR(__xludf.DUMMYFUNCTION("""COMPUTED_VALUE"""),21.0)</f>
        <v>21</v>
      </c>
      <c r="F802" s="148">
        <f>IFERROR(__xludf.DUMMYFUNCTION("""COMPUTED_VALUE"""),404201.0)</f>
        <v>404201</v>
      </c>
      <c r="G802" s="148">
        <f>IFERROR(__xludf.DUMMYFUNCTION("""COMPUTED_VALUE"""),1.5110229E8)</f>
        <v>151102290</v>
      </c>
      <c r="H802" s="148">
        <f>IFERROR(__xludf.DUMMYFUNCTION("""COMPUTED_VALUE"""),1.5112564E7)</f>
        <v>15112564</v>
      </c>
      <c r="I802" s="148" t="str">
        <f>IFERROR(__xludf.DUMMYFUNCTION("""COMPUTED_VALUE"""),"{""typ"":""lc"",""txt"":""LC_ITEM_time_day_upper_show"",""args"":[{""typ"":""int"",""val"":7}]}")</f>
        <v>{"typ":"lc","txt":"LC_ITEM_time_day_upper_show","args":[{"typ":"int","val":7}]}</v>
      </c>
      <c r="J802" s="148" t="str">
        <f>IFERROR(__xludf.DUMMYFUNCTION("""COMPUTED_VALUE"""),"{""typ"":""lc"",""txt"":""LC_ITEM_2025moon_lowcity_skin_title_7day""}")</f>
        <v>{"typ":"lc","txt":"LC_ITEM_2025moon_lowcity_skin_title_7day"}</v>
      </c>
      <c r="K802" s="148" t="str">
        <f>IFERROR(__xludf.DUMMYFUNCTION("""COMPUTED_VALUE"""),"{""typ"":""lc"",""txt"":""LC_ITEM_2025moon_lowcity_skin_desc_7day""}")</f>
        <v>{"typ":"lc","txt":"LC_ITEM_2025moon_lowcity_skin_desc_7day"}</v>
      </c>
      <c r="L802" s="148" t="str">
        <f>IFERROR(__xludf.DUMMYFUNCTION("""COMPUTED_VALUE"""),"{""typ"":""lc"",""txt"":""LC_ITEM_city_skin_rocket_use_tips""}")</f>
        <v>{"typ":"lc","txt":"LC_ITEM_city_skin_rocket_use_tips"}</v>
      </c>
      <c r="M802" s="148">
        <f>IFERROR(__xludf.DUMMYFUNCTION("""COMPUTED_VALUE"""),10000.0)</f>
        <v>10000</v>
      </c>
      <c r="N802" s="148">
        <f>IFERROR(__xludf.DUMMYFUNCTION("""COMPUTED_VALUE"""),999.0)</f>
        <v>999</v>
      </c>
      <c r="O802" s="148">
        <f>IFERROR(__xludf.DUMMYFUNCTION("""COMPUTED_VALUE"""),1.0)</f>
        <v>1</v>
      </c>
      <c r="P802" s="148">
        <f>IFERROR(__xludf.DUMMYFUNCTION("""COMPUTED_VALUE"""),1.0)</f>
        <v>1</v>
      </c>
      <c r="Q802" s="148" t="str">
        <f>IFERROR(__xludf.DUMMYFUNCTION("""COMPUTED_VALUE"""),"[""bag_other""]")</f>
        <v>["bag_other"]</v>
      </c>
      <c r="R802" s="148" t="str">
        <f>IFERROR(__xludf.DUMMYFUNCTION("""COMPUTED_VALUE"""),"[""bag"",""13121074""]")</f>
        <v>["bag","13121074"]</v>
      </c>
      <c r="S802" s="148" t="str">
        <f>IFERROR(__xludf.DUMMYFUNCTION("""COMPUTED_VALUE"""),"{""effect"":[{""typ"":""city_skin"",""id"":13121074,""val"":604800000},{""typ"":""item"",""id"":11111021,""val"":3}]}")</f>
        <v>{"effect":[{"typ":"city_skin","id":13121074,"val":604800000},{"typ":"item","id":11111021,"val":3}]}</v>
      </c>
      <c r="T802" s="148">
        <f>IFERROR(__xludf.DUMMYFUNCTION("""COMPUTED_VALUE"""),-1.0)</f>
        <v>-1</v>
      </c>
      <c r="U802" s="148">
        <f>IFERROR(__xludf.DUMMYFUNCTION("""COMPUTED_VALUE"""),0.0)</f>
        <v>0</v>
      </c>
      <c r="V802" s="148" t="str">
        <f>IFERROR(__xludf.DUMMYFUNCTION("""COMPUTED_VALUE"""),"[]")</f>
        <v>[]</v>
      </c>
      <c r="W802" s="148">
        <f>IFERROR(__xludf.DUMMYFUNCTION("""COMPUTED_VALUE"""),1.174E7)</f>
        <v>11740000</v>
      </c>
      <c r="X802" s="148">
        <f>IFERROR(__xludf.DUMMYFUNCTION("""COMPUTED_VALUE"""),0.0)</f>
        <v>0</v>
      </c>
      <c r="Y802" s="148">
        <f>IFERROR(__xludf.DUMMYFUNCTION("""COMPUTED_VALUE"""),0.0)</f>
        <v>0</v>
      </c>
      <c r="Z802" s="148"/>
    </row>
    <row r="803">
      <c r="A803" s="148">
        <f>IFERROR(__xludf.DUMMYFUNCTION("""COMPUTED_VALUE"""),1.11126E7)</f>
        <v>11112600</v>
      </c>
      <c r="B803" s="148" t="str">
        <f>IFERROR(__xludf.DUMMYFUNCTION("""COMPUTED_VALUE"""),"主城皮肤-登月节2025-14天")</f>
        <v>主城皮肤-登月节2025-14天</v>
      </c>
      <c r="C803" s="148"/>
      <c r="D803" s="148" t="str">
        <f>IFERROR(__xludf.DUMMYFUNCTION("""COMPUTED_VALUE"""),"city_skin")</f>
        <v>city_skin</v>
      </c>
      <c r="E803" s="148">
        <f>IFERROR(__xludf.DUMMYFUNCTION("""COMPUTED_VALUE"""),21.0)</f>
        <v>21</v>
      </c>
      <c r="F803" s="148">
        <f>IFERROR(__xludf.DUMMYFUNCTION("""COMPUTED_VALUE"""),404201.0)</f>
        <v>404201</v>
      </c>
      <c r="G803" s="148">
        <f>IFERROR(__xludf.DUMMYFUNCTION("""COMPUTED_VALUE"""),1.5110229E8)</f>
        <v>151102290</v>
      </c>
      <c r="H803" s="148">
        <f>IFERROR(__xludf.DUMMYFUNCTION("""COMPUTED_VALUE"""),1.5112564E7)</f>
        <v>15112564</v>
      </c>
      <c r="I803" s="148" t="str">
        <f>IFERROR(__xludf.DUMMYFUNCTION("""COMPUTED_VALUE"""),"{""typ"":""lc"",""txt"":""LC_ITEM_time_day_upper_show"",""args"":[{""typ"":""int"",""val"":14}]}")</f>
        <v>{"typ":"lc","txt":"LC_ITEM_time_day_upper_show","args":[{"typ":"int","val":14}]}</v>
      </c>
      <c r="J803" s="148" t="str">
        <f>IFERROR(__xludf.DUMMYFUNCTION("""COMPUTED_VALUE"""),"{""typ"":""lc"",""txt"":""LC_ITEM_2025moon_lowcity_skin_title_14day""}")</f>
        <v>{"typ":"lc","txt":"LC_ITEM_2025moon_lowcity_skin_title_14day"}</v>
      </c>
      <c r="K803" s="148" t="str">
        <f>IFERROR(__xludf.DUMMYFUNCTION("""COMPUTED_VALUE"""),"{""typ"":""lc"",""txt"":""LC_ITEM_2025moon_lowcity_skin_desc_14day""}")</f>
        <v>{"typ":"lc","txt":"LC_ITEM_2025moon_lowcity_skin_desc_14day"}</v>
      </c>
      <c r="L803" s="148" t="str">
        <f>IFERROR(__xludf.DUMMYFUNCTION("""COMPUTED_VALUE"""),"{""typ"":""lc"",""txt"":""LC_ITEM_city_skin_rocket_use_tips""}")</f>
        <v>{"typ":"lc","txt":"LC_ITEM_city_skin_rocket_use_tips"}</v>
      </c>
      <c r="M803" s="148">
        <f>IFERROR(__xludf.DUMMYFUNCTION("""COMPUTED_VALUE"""),10000.0)</f>
        <v>10000</v>
      </c>
      <c r="N803" s="148">
        <f>IFERROR(__xludf.DUMMYFUNCTION("""COMPUTED_VALUE"""),999.0)</f>
        <v>999</v>
      </c>
      <c r="O803" s="148">
        <f>IFERROR(__xludf.DUMMYFUNCTION("""COMPUTED_VALUE"""),1.0)</f>
        <v>1</v>
      </c>
      <c r="P803" s="148">
        <f>IFERROR(__xludf.DUMMYFUNCTION("""COMPUTED_VALUE"""),1.0)</f>
        <v>1</v>
      </c>
      <c r="Q803" s="148" t="str">
        <f>IFERROR(__xludf.DUMMYFUNCTION("""COMPUTED_VALUE"""),"[""bag_other""]")</f>
        <v>["bag_other"]</v>
      </c>
      <c r="R803" s="148" t="str">
        <f>IFERROR(__xludf.DUMMYFUNCTION("""COMPUTED_VALUE"""),"[""bag"",""13121074""]")</f>
        <v>["bag","13121074"]</v>
      </c>
      <c r="S803" s="148" t="str">
        <f>IFERROR(__xludf.DUMMYFUNCTION("""COMPUTED_VALUE"""),"{""effect"":[{""typ"":""city_skin"",""id"":13121074,""val"":1209600000},{""typ"":""item"",""id"":11111021,""val"":7}]}")</f>
        <v>{"effect":[{"typ":"city_skin","id":13121074,"val":1209600000},{"typ":"item","id":11111021,"val":7}]}</v>
      </c>
      <c r="T803" s="148">
        <f>IFERROR(__xludf.DUMMYFUNCTION("""COMPUTED_VALUE"""),-1.0)</f>
        <v>-1</v>
      </c>
      <c r="U803" s="148">
        <f>IFERROR(__xludf.DUMMYFUNCTION("""COMPUTED_VALUE"""),0.0)</f>
        <v>0</v>
      </c>
      <c r="V803" s="148" t="str">
        <f>IFERROR(__xludf.DUMMYFUNCTION("""COMPUTED_VALUE"""),"[]")</f>
        <v>[]</v>
      </c>
      <c r="W803" s="148">
        <f>IFERROR(__xludf.DUMMYFUNCTION("""COMPUTED_VALUE"""),1.174E7)</f>
        <v>11740000</v>
      </c>
      <c r="X803" s="148">
        <f>IFERROR(__xludf.DUMMYFUNCTION("""COMPUTED_VALUE"""),0.0)</f>
        <v>0</v>
      </c>
      <c r="Y803" s="148">
        <f>IFERROR(__xludf.DUMMYFUNCTION("""COMPUTED_VALUE"""),0.0)</f>
        <v>0</v>
      </c>
      <c r="Z803" s="148"/>
    </row>
    <row r="804">
      <c r="A804" s="148">
        <f>IFERROR(__xludf.DUMMYFUNCTION("""COMPUTED_VALUE"""),1.1112601E7)</f>
        <v>11112601</v>
      </c>
      <c r="B804" s="148" t="str">
        <f>IFERROR(__xludf.DUMMYFUNCTION("""COMPUTED_VALUE"""),"2025登月节-装饰券宝箱")</f>
        <v>2025登月节-装饰券宝箱</v>
      </c>
      <c r="C804" s="148"/>
      <c r="D804" s="148" t="str">
        <f>IFERROR(__xludf.DUMMYFUNCTION("""COMPUTED_VALUE"""),"valentine_reward_box")</f>
        <v>valentine_reward_box</v>
      </c>
      <c r="E804" s="148">
        <f>IFERROR(__xludf.DUMMYFUNCTION("""COMPUTED_VALUE"""),19.0)</f>
        <v>19</v>
      </c>
      <c r="F804" s="148">
        <f>IFERROR(__xludf.DUMMYFUNCTION("""COMPUTED_VALUE"""),201101.0)</f>
        <v>201101</v>
      </c>
      <c r="G804" s="148">
        <f>IFERROR(__xludf.DUMMYFUNCTION("""COMPUTED_VALUE"""),1.5118225E7)</f>
        <v>15118225</v>
      </c>
      <c r="H804" s="148">
        <f>IFERROR(__xludf.DUMMYFUNCTION("""COMPUTED_VALUE"""),1.5112564E7)</f>
        <v>15112564</v>
      </c>
      <c r="I804" s="148" t="str">
        <f>IFERROR(__xludf.DUMMYFUNCTION("""COMPUTED_VALUE"""),"{}")</f>
        <v>{}</v>
      </c>
      <c r="J804" s="148" t="str">
        <f>IFERROR(__xludf.DUMMYFUNCTION("""COMPUTED_VALUE"""),"{""typ"":""lc"",""txt"":""LC_ITEM_fes_box_name""}")</f>
        <v>{"typ":"lc","txt":"LC_ITEM_fes_box_name"}</v>
      </c>
      <c r="K804" s="148" t="str">
        <f>IFERROR(__xludf.DUMMYFUNCTION("""COMPUTED_VALUE"""),"{""typ"":""lc"",""txt"":""LC_ITEM_fes_box_desc""}")</f>
        <v>{"typ":"lc","txt":"LC_ITEM_fes_box_desc"}</v>
      </c>
      <c r="L804" s="148" t="str">
        <f>IFERROR(__xludf.DUMMYFUNCTION("""COMPUTED_VALUE"""),"{""typ"":""lc"",""txt"":""LC_ITEM_horde_elite_box_usedtip""}")</f>
        <v>{"typ":"lc","txt":"LC_ITEM_horde_elite_box_usedtip"}</v>
      </c>
      <c r="M804" s="148">
        <f>IFERROR(__xludf.DUMMYFUNCTION("""COMPUTED_VALUE"""),40.0)</f>
        <v>40</v>
      </c>
      <c r="N804" s="148">
        <f>IFERROR(__xludf.DUMMYFUNCTION("""COMPUTED_VALUE"""),999999.0)</f>
        <v>999999</v>
      </c>
      <c r="O804" s="148">
        <f>IFERROR(__xludf.DUMMYFUNCTION("""COMPUTED_VALUE"""),99999.0)</f>
        <v>99999</v>
      </c>
      <c r="P804" s="148">
        <f>IFERROR(__xludf.DUMMYFUNCTION("""COMPUTED_VALUE"""),99999.0)</f>
        <v>99999</v>
      </c>
      <c r="Q804" s="148" t="str">
        <f>IFERROR(__xludf.DUMMYFUNCTION("""COMPUTED_VALUE"""),"[""bag_other""]")</f>
        <v>["bag_other"]</v>
      </c>
      <c r="R804" s="148" t="str">
        <f>IFERROR(__xludf.DUMMYFUNCTION("""COMPUTED_VALUE"""),"[""bag""]")</f>
        <v>["bag"]</v>
      </c>
      <c r="S804" s="148" t="str">
        <f>IFERROR(__xludf.DUMMYFUNCTION("""COMPUTED_VALUE"""),"{""drop"":{""typ"":""single_random"",""num"":1,""args"":[{""typ"":""item"",""id"":11112030,""num"":1000,""wgt"":19980},{""typ"":""item"",""id"":11112030,""num"":200,""wgt"":120000},{""typ"":""item"",""id"":11112030,""num"":50,""wgt"":200000},{""typ"":""it"&amp;"em"",""id"":11112597,""num"":1,""wgt"":10},{""typ"":""item"",""id"":11112286,""num"":1,""wgt"":10},{""typ"":""item"",""id"":11112030,""num"":20,""wgt"":400000},{""typ"":""item"",""id"":11112030,""num"":100,""wgt"":200000},{""typ"":""item"",""id"":11112030"&amp;",""num"":400,""wgt"":60000}]}}")</f>
        <v>{"drop":{"typ":"single_random","num":1,"args":[{"typ":"item","id":11112030,"num":1000,"wgt":19980},{"typ":"item","id":11112030,"num":200,"wgt":120000},{"typ":"item","id":11112030,"num":50,"wgt":200000},{"typ":"item","id":11112597,"num":1,"wgt":10},{"typ":"item","id":11112286,"num":1,"wgt":10},{"typ":"item","id":11112030,"num":20,"wgt":400000},{"typ":"item","id":11112030,"num":100,"wgt":200000},{"typ":"item","id":11112030,"num":400,"wgt":60000}]}}</v>
      </c>
      <c r="T804" s="148">
        <f>IFERROR(__xludf.DUMMYFUNCTION("""COMPUTED_VALUE"""),-1.0)</f>
        <v>-1</v>
      </c>
      <c r="U804" s="148">
        <f>IFERROR(__xludf.DUMMYFUNCTION("""COMPUTED_VALUE"""),0.0)</f>
        <v>0</v>
      </c>
      <c r="V804" s="148" t="str">
        <f>IFERROR(__xludf.DUMMYFUNCTION("""COMPUTED_VALUE"""),"[]")</f>
        <v>[]</v>
      </c>
      <c r="W804" s="148">
        <f>IFERROR(__xludf.DUMMYFUNCTION("""COMPUTED_VALUE"""),1.174E7)</f>
        <v>11740000</v>
      </c>
      <c r="X804" s="148">
        <f>IFERROR(__xludf.DUMMYFUNCTION("""COMPUTED_VALUE"""),0.0)</f>
        <v>0</v>
      </c>
      <c r="Y804" s="148">
        <f>IFERROR(__xludf.DUMMYFUNCTION("""COMPUTED_VALUE"""),0.0)</f>
        <v>0</v>
      </c>
      <c r="Z804" s="148"/>
    </row>
    <row r="805">
      <c r="A805" s="148">
        <f>IFERROR(__xludf.DUMMYFUNCTION("""COMPUTED_VALUE"""),1.1112602E7)</f>
        <v>11112602</v>
      </c>
      <c r="B805" s="148" t="str">
        <f>IFERROR(__xludf.DUMMYFUNCTION("""COMPUTED_VALUE"""),"2025登月节动态头像框-寄情明月")</f>
        <v>2025登月节动态头像框-寄情明月</v>
      </c>
      <c r="C805" s="148"/>
      <c r="D805" s="148" t="str">
        <f>IFERROR(__xludf.DUMMYFUNCTION("""COMPUTED_VALUE"""),"avatar_frame")</f>
        <v>avatar_frame</v>
      </c>
      <c r="E805" s="148">
        <f>IFERROR(__xludf.DUMMYFUNCTION("""COMPUTED_VALUE"""),20.0)</f>
        <v>20</v>
      </c>
      <c r="F805" s="148">
        <f>IFERROR(__xludf.DUMMYFUNCTION("""COMPUTED_VALUE"""),0.0)</f>
        <v>0</v>
      </c>
      <c r="G805" s="148">
        <f>IFERROR(__xludf.DUMMYFUNCTION("""COMPUTED_VALUE"""),1.51102327E8)</f>
        <v>151102327</v>
      </c>
      <c r="H805" s="148">
        <f>IFERROR(__xludf.DUMMYFUNCTION("""COMPUTED_VALUE"""),1.5112564E7)</f>
        <v>15112564</v>
      </c>
      <c r="I805" s="148" t="str">
        <f>IFERROR(__xludf.DUMMYFUNCTION("""COMPUTED_VALUE"""),"{}")</f>
        <v>{}</v>
      </c>
      <c r="J805" s="148" t="str">
        <f>IFERROR(__xludf.DUMMYFUNCTION("""COMPUTED_VALUE"""),"{""typ"":""lc"",""txt"":""LC_ITEM_moon_avatar_name_2025""}")</f>
        <v>{"typ":"lc","txt":"LC_ITEM_moon_avatar_name_2025"}</v>
      </c>
      <c r="K805" s="148" t="str">
        <f>IFERROR(__xludf.DUMMYFUNCTION("""COMPUTED_VALUE"""),"{""typ"":""lc"",""txt"":""LC_ITEM_moon_avatar_desc_2025""}")</f>
        <v>{"typ":"lc","txt":"LC_ITEM_moon_avatar_desc_2025"}</v>
      </c>
      <c r="L805" s="148" t="str">
        <f>IFERROR(__xludf.DUMMYFUNCTION("""COMPUTED_VALUE"""),"{}")</f>
        <v>{}</v>
      </c>
      <c r="M805" s="148">
        <f>IFERROR(__xludf.DUMMYFUNCTION("""COMPUTED_VALUE"""),1000.0)</f>
        <v>1000</v>
      </c>
      <c r="N805" s="148">
        <f>IFERROR(__xludf.DUMMYFUNCTION("""COMPUTED_VALUE"""),99.0)</f>
        <v>99</v>
      </c>
      <c r="O805" s="148">
        <f>IFERROR(__xludf.DUMMYFUNCTION("""COMPUTED_VALUE"""),1.0)</f>
        <v>1</v>
      </c>
      <c r="P805" s="148">
        <f>IFERROR(__xludf.DUMMYFUNCTION("""COMPUTED_VALUE"""),1.0)</f>
        <v>1</v>
      </c>
      <c r="Q805" s="148" t="str">
        <f>IFERROR(__xludf.DUMMYFUNCTION("""COMPUTED_VALUE"""),"[]")</f>
        <v>[]</v>
      </c>
      <c r="R805" s="148" t="str">
        <f>IFERROR(__xludf.DUMMYFUNCTION("""COMPUTED_VALUE"""),"[""11421066""]")</f>
        <v>["11421066"]</v>
      </c>
      <c r="S805" s="148" t="str">
        <f>IFERROR(__xludf.DUMMYFUNCTION("""COMPUTED_VALUE"""),"{""effect"":[{""typ"":""avatar_frame"",""id"":11421066,""val"":-1},{""typ"":""item"",""id"":11111031,""val"":1000}]}")</f>
        <v>{"effect":[{"typ":"avatar_frame","id":11421066,"val":-1},{"typ":"item","id":11111031,"val":1000}]}</v>
      </c>
      <c r="T805" s="148">
        <f>IFERROR(__xludf.DUMMYFUNCTION("""COMPUTED_VALUE"""),-1.0)</f>
        <v>-1</v>
      </c>
      <c r="U805" s="148">
        <f>IFERROR(__xludf.DUMMYFUNCTION("""COMPUTED_VALUE"""),1.0)</f>
        <v>1</v>
      </c>
      <c r="V805" s="148" t="str">
        <f>IFERROR(__xludf.DUMMYFUNCTION("""COMPUTED_VALUE"""),"[]")</f>
        <v>[]</v>
      </c>
      <c r="W805" s="148">
        <f>IFERROR(__xludf.DUMMYFUNCTION("""COMPUTED_VALUE"""),1.174E7)</f>
        <v>11740000</v>
      </c>
      <c r="X805" s="148">
        <f>IFERROR(__xludf.DUMMYFUNCTION("""COMPUTED_VALUE"""),0.0)</f>
        <v>0</v>
      </c>
      <c r="Y805" s="148">
        <f>IFERROR(__xludf.DUMMYFUNCTION("""COMPUTED_VALUE"""),0.0)</f>
        <v>0</v>
      </c>
      <c r="Z805" s="148"/>
    </row>
    <row r="806">
      <c r="A806" s="148">
        <f>IFERROR(__xludf.DUMMYFUNCTION("""COMPUTED_VALUE"""),1.1112603E7)</f>
        <v>11112603</v>
      </c>
      <c r="B806" s="148" t="str">
        <f>IFERROR(__xludf.DUMMYFUNCTION("""COMPUTED_VALUE"""),"主城皮肤-登月节初级皮肤染色2025")</f>
        <v>主城皮肤-登月节初级皮肤染色2025</v>
      </c>
      <c r="C806" s="148"/>
      <c r="D806" s="148" t="str">
        <f>IFERROR(__xludf.DUMMYFUNCTION("""COMPUTED_VALUE"""),"city_skin")</f>
        <v>city_skin</v>
      </c>
      <c r="E806" s="148">
        <f>IFERROR(__xludf.DUMMYFUNCTION("""COMPUTED_VALUE"""),21.0)</f>
        <v>21</v>
      </c>
      <c r="F806" s="148">
        <f>IFERROR(__xludf.DUMMYFUNCTION("""COMPUTED_VALUE"""),404201.0)</f>
        <v>404201</v>
      </c>
      <c r="G806" s="148">
        <f>IFERROR(__xludf.DUMMYFUNCTION("""COMPUTED_VALUE"""),1.51102294E8)</f>
        <v>151102294</v>
      </c>
      <c r="H806" s="148">
        <f>IFERROR(__xludf.DUMMYFUNCTION("""COMPUTED_VALUE"""),1.5112564E7)</f>
        <v>15112564</v>
      </c>
      <c r="I806" s="148" t="str">
        <f>IFERROR(__xludf.DUMMYFUNCTION("""COMPUTED_VALUE"""),"{}")</f>
        <v>{}</v>
      </c>
      <c r="J806" s="148" t="str">
        <f>IFERROR(__xludf.DUMMYFUNCTION("""COMPUTED_VALUE"""),"{""typ"":""lc"",""txt"":""LC_ITEM_2025moon_lowcity_skin_title_color""}")</f>
        <v>{"typ":"lc","txt":"LC_ITEM_2025moon_lowcity_skin_title_color"}</v>
      </c>
      <c r="K806" s="148" t="str">
        <f>IFERROR(__xludf.DUMMYFUNCTION("""COMPUTED_VALUE"""),"{""typ"":""lc"",""txt"":""LC_ITEM_2025moon_lowcity_skin_desc_forever_color""}")</f>
        <v>{"typ":"lc","txt":"LC_ITEM_2025moon_lowcity_skin_desc_forever_color"}</v>
      </c>
      <c r="L806" s="148" t="str">
        <f>IFERROR(__xludf.DUMMYFUNCTION("""COMPUTED_VALUE"""),"{""typ"":""lc"",""txt"":""LC_ITEM_city_skin_rocket_use_tips""}")</f>
        <v>{"typ":"lc","txt":"LC_ITEM_city_skin_rocket_use_tips"}</v>
      </c>
      <c r="M806" s="148">
        <f>IFERROR(__xludf.DUMMYFUNCTION("""COMPUTED_VALUE"""),10000.0)</f>
        <v>10000</v>
      </c>
      <c r="N806" s="148">
        <f>IFERROR(__xludf.DUMMYFUNCTION("""COMPUTED_VALUE"""),999.0)</f>
        <v>999</v>
      </c>
      <c r="O806" s="148">
        <f>IFERROR(__xludf.DUMMYFUNCTION("""COMPUTED_VALUE"""),1.0)</f>
        <v>1</v>
      </c>
      <c r="P806" s="148">
        <f>IFERROR(__xludf.DUMMYFUNCTION("""COMPUTED_VALUE"""),1.0)</f>
        <v>1</v>
      </c>
      <c r="Q806" s="148" t="str">
        <f>IFERROR(__xludf.DUMMYFUNCTION("""COMPUTED_VALUE"""),"[""bag_other""]")</f>
        <v>["bag_other"]</v>
      </c>
      <c r="R806" s="148" t="str">
        <f>IFERROR(__xludf.DUMMYFUNCTION("""COMPUTED_VALUE"""),"[""bag"",""13121075""]")</f>
        <v>["bag","13121075"]</v>
      </c>
      <c r="S806" s="148" t="str">
        <f>IFERROR(__xludf.DUMMYFUNCTION("""COMPUTED_VALUE"""),"{""effect"":[{""typ"":""city_skin"",""id"":13121075,""val"":-1},{""typ"":""item"",""id"":11112030,""val"":4000}]}")</f>
        <v>{"effect":[{"typ":"city_skin","id":13121075,"val":-1},{"typ":"item","id":11112030,"val":4000}]}</v>
      </c>
      <c r="T806" s="148">
        <f>IFERROR(__xludf.DUMMYFUNCTION("""COMPUTED_VALUE"""),-1.0)</f>
        <v>-1</v>
      </c>
      <c r="U806" s="148">
        <f>IFERROR(__xludf.DUMMYFUNCTION("""COMPUTED_VALUE"""),0.0)</f>
        <v>0</v>
      </c>
      <c r="V806" s="148" t="str">
        <f>IFERROR(__xludf.DUMMYFUNCTION("""COMPUTED_VALUE"""),"[]")</f>
        <v>[]</v>
      </c>
      <c r="W806" s="148">
        <f>IFERROR(__xludf.DUMMYFUNCTION("""COMPUTED_VALUE"""),1.174E7)</f>
        <v>11740000</v>
      </c>
      <c r="X806" s="148">
        <f>IFERROR(__xludf.DUMMYFUNCTION("""COMPUTED_VALUE"""),0.0)</f>
        <v>0</v>
      </c>
      <c r="Y806" s="148">
        <f>IFERROR(__xludf.DUMMYFUNCTION("""COMPUTED_VALUE"""),0.0)</f>
        <v>0</v>
      </c>
      <c r="Z806" s="148"/>
    </row>
    <row r="807">
      <c r="A807" s="148">
        <f>IFERROR(__xludf.DUMMYFUNCTION("""COMPUTED_VALUE"""),1.1112604E7)</f>
        <v>11112604</v>
      </c>
      <c r="B807" s="148" t="str">
        <f>IFERROR(__xludf.DUMMYFUNCTION("""COMPUTED_VALUE"""),"主城特效-登月节2025")</f>
        <v>主城特效-登月节2025</v>
      </c>
      <c r="C807" s="148"/>
      <c r="D807" s="148" t="str">
        <f>IFERROR(__xludf.DUMMYFUNCTION("""COMPUTED_VALUE"""),"city_effect")</f>
        <v>city_effect</v>
      </c>
      <c r="E807" s="148">
        <f>IFERROR(__xludf.DUMMYFUNCTION("""COMPUTED_VALUE"""),0.0)</f>
        <v>0</v>
      </c>
      <c r="F807" s="148">
        <f>IFERROR(__xludf.DUMMYFUNCTION("""COMPUTED_VALUE"""),405217.0)</f>
        <v>405217</v>
      </c>
      <c r="G807" s="148">
        <f>IFERROR(__xludf.DUMMYFUNCTION("""COMPUTED_VALUE"""),1.51102312E8)</f>
        <v>151102312</v>
      </c>
      <c r="H807" s="148">
        <f>IFERROR(__xludf.DUMMYFUNCTION("""COMPUTED_VALUE"""),1.5112564E7)</f>
        <v>15112564</v>
      </c>
      <c r="I807" s="148" t="str">
        <f>IFERROR(__xludf.DUMMYFUNCTION("""COMPUTED_VALUE"""),"{}")</f>
        <v>{}</v>
      </c>
      <c r="J807" s="148" t="str">
        <f>IFERROR(__xludf.DUMMYFUNCTION("""COMPUTED_VALUE"""),"{""typ"":""lc"",""txt"":""LC_ITEM_2025moon_city_effect_name""}")</f>
        <v>{"typ":"lc","txt":"LC_ITEM_2025moon_city_effect_name"}</v>
      </c>
      <c r="K807" s="148" t="str">
        <f>IFERROR(__xludf.DUMMYFUNCTION("""COMPUTED_VALUE"""),"{""typ"":""lc"",""txt"":""LC_ITEM_2025moon_city_effect_desc""}")</f>
        <v>{"typ":"lc","txt":"LC_ITEM_2025moon_city_effect_desc"}</v>
      </c>
      <c r="L807" s="148" t="str">
        <f>IFERROR(__xludf.DUMMYFUNCTION("""COMPUTED_VALUE"""),"{}")</f>
        <v>{}</v>
      </c>
      <c r="M807" s="148">
        <f>IFERROR(__xludf.DUMMYFUNCTION("""COMPUTED_VALUE"""),10000.0)</f>
        <v>10000</v>
      </c>
      <c r="N807" s="148">
        <f>IFERROR(__xludf.DUMMYFUNCTION("""COMPUTED_VALUE"""),999999.0)</f>
        <v>999999</v>
      </c>
      <c r="O807" s="148">
        <f>IFERROR(__xludf.DUMMYFUNCTION("""COMPUTED_VALUE"""),99999.0)</f>
        <v>99999</v>
      </c>
      <c r="P807" s="148">
        <f>IFERROR(__xludf.DUMMYFUNCTION("""COMPUTED_VALUE"""),1.0)</f>
        <v>1</v>
      </c>
      <c r="Q807" s="148" t="str">
        <f>IFERROR(__xludf.DUMMYFUNCTION("""COMPUTED_VALUE"""),"[""bag_other""]")</f>
        <v>["bag_other"]</v>
      </c>
      <c r="R807" s="148" t="str">
        <f>IFERROR(__xludf.DUMMYFUNCTION("""COMPUTED_VALUE"""),"[""bag"",""13871011""]")</f>
        <v>["bag","13871011"]</v>
      </c>
      <c r="S807" s="148" t="str">
        <f>IFERROR(__xludf.DUMMYFUNCTION("""COMPUTED_VALUE"""),"{""effect"":[{""typ"":""city_effect"",""id"":13871011,""val"":-1},{""typ"":""item"",""id"":11112030,""val"":2000}]}")</f>
        <v>{"effect":[{"typ":"city_effect","id":13871011,"val":-1},{"typ":"item","id":11112030,"val":2000}]}</v>
      </c>
      <c r="T807" s="148">
        <f>IFERROR(__xludf.DUMMYFUNCTION("""COMPUTED_VALUE"""),-1.0)</f>
        <v>-1</v>
      </c>
      <c r="U807" s="148">
        <f>IFERROR(__xludf.DUMMYFUNCTION("""COMPUTED_VALUE"""),0.0)</f>
        <v>0</v>
      </c>
      <c r="V807" s="148" t="str">
        <f>IFERROR(__xludf.DUMMYFUNCTION("""COMPUTED_VALUE"""),"[]")</f>
        <v>[]</v>
      </c>
      <c r="W807" s="148">
        <f>IFERROR(__xludf.DUMMYFUNCTION("""COMPUTED_VALUE"""),1.174E7)</f>
        <v>11740000</v>
      </c>
      <c r="X807" s="148">
        <f>IFERROR(__xludf.DUMMYFUNCTION("""COMPUTED_VALUE"""),0.0)</f>
        <v>0</v>
      </c>
      <c r="Y807" s="148">
        <f>IFERROR(__xludf.DUMMYFUNCTION("""COMPUTED_VALUE"""),0.0)</f>
        <v>0</v>
      </c>
      <c r="Z807" s="148"/>
    </row>
    <row r="808">
      <c r="A808" s="148">
        <f>IFERROR(__xludf.DUMMYFUNCTION("""COMPUTED_VALUE"""),1.1112605E7)</f>
        <v>11112605</v>
      </c>
      <c r="B808" s="148" t="str">
        <f>IFERROR(__xludf.DUMMYFUNCTION("""COMPUTED_VALUE"""),"幸运星币-节日转盘抽奖活动")</f>
        <v>幸运星币-节日转盘抽奖活动</v>
      </c>
      <c r="C808" s="148"/>
      <c r="D808" s="148" t="str">
        <f>IFERROR(__xludf.DUMMYFUNCTION("""COMPUTED_VALUE"""),"event")</f>
        <v>event</v>
      </c>
      <c r="E808" s="148">
        <f>IFERROR(__xludf.DUMMYFUNCTION("""COMPUTED_VALUE"""),0.0)</f>
        <v>0</v>
      </c>
      <c r="F808" s="148">
        <f>IFERROR(__xludf.DUMMYFUNCTION("""COMPUTED_VALUE"""),405209.0)</f>
        <v>405209</v>
      </c>
      <c r="G808" s="148">
        <f>IFERROR(__xludf.DUMMYFUNCTION("""COMPUTED_VALUE"""),1.51102223E8)</f>
        <v>151102223</v>
      </c>
      <c r="H808" s="148">
        <f>IFERROR(__xludf.DUMMYFUNCTION("""COMPUTED_VALUE"""),1.5112564E7)</f>
        <v>15112564</v>
      </c>
      <c r="I808" s="148" t="str">
        <f>IFERROR(__xludf.DUMMYFUNCTION("""COMPUTED_VALUE"""),"{}")</f>
        <v>{}</v>
      </c>
      <c r="J808" s="148" t="str">
        <f>IFERROR(__xludf.DUMMYFUNCTION("""COMPUTED_VALUE"""),"{""typ"":""lc"",""txt"":""LC_ITEM_wheel_gacha_item""}")</f>
        <v>{"typ":"lc","txt":"LC_ITEM_wheel_gacha_item"}</v>
      </c>
      <c r="K808" s="148" t="str">
        <f>IFERROR(__xludf.DUMMYFUNCTION("""COMPUTED_VALUE"""),"{""typ"":""lc"",""txt"":""LC_ITEM_wheel_gacha_item_desc""}")</f>
        <v>{"typ":"lc","txt":"LC_ITEM_wheel_gacha_item_desc"}</v>
      </c>
      <c r="L808" s="148" t="str">
        <f>IFERROR(__xludf.DUMMYFUNCTION("""COMPUTED_VALUE"""),"{}")</f>
        <v>{}</v>
      </c>
      <c r="M808" s="148">
        <f>IFERROR(__xludf.DUMMYFUNCTION("""COMPUTED_VALUE"""),1400.0)</f>
        <v>1400</v>
      </c>
      <c r="N808" s="148">
        <f>IFERROR(__xludf.DUMMYFUNCTION("""COMPUTED_VALUE"""),9.99999999E8)</f>
        <v>999999999</v>
      </c>
      <c r="O808" s="148">
        <f>IFERROR(__xludf.DUMMYFUNCTION("""COMPUTED_VALUE"""),9.99999999E8)</f>
        <v>999999999</v>
      </c>
      <c r="P808" s="148">
        <f>IFERROR(__xludf.DUMMYFUNCTION("""COMPUTED_VALUE"""),9.99999999E8)</f>
        <v>999999999</v>
      </c>
      <c r="Q808" s="148" t="str">
        <f>IFERROR(__xludf.DUMMYFUNCTION("""COMPUTED_VALUE"""),"[""bag_other""]")</f>
        <v>["bag_other"]</v>
      </c>
      <c r="R808" s="148" t="str">
        <f>IFERROR(__xludf.DUMMYFUNCTION("""COMPUTED_VALUE"""),"[""bag""]")</f>
        <v>["bag"]</v>
      </c>
      <c r="S808" s="148" t="str">
        <f>IFERROR(__xludf.DUMMYFUNCTION("""COMPUTED_VALUE"""),"{}")</f>
        <v>{}</v>
      </c>
      <c r="T808" s="148">
        <f>IFERROR(__xludf.DUMMYFUNCTION("""COMPUTED_VALUE"""),1.0)</f>
        <v>1</v>
      </c>
      <c r="U808" s="148">
        <f>IFERROR(__xludf.DUMMYFUNCTION("""COMPUTED_VALUE"""),0.0)</f>
        <v>0</v>
      </c>
      <c r="V808" s="148" t="str">
        <f>IFERROR(__xludf.DUMMYFUNCTION("""COMPUTED_VALUE"""),"[]")</f>
        <v>[]</v>
      </c>
      <c r="W808" s="148">
        <f>IFERROR(__xludf.DUMMYFUNCTION("""COMPUTED_VALUE"""),1.174E7)</f>
        <v>11740000</v>
      </c>
      <c r="X808" s="148">
        <f>IFERROR(__xludf.DUMMYFUNCTION("""COMPUTED_VALUE"""),0.0)</f>
        <v>0</v>
      </c>
      <c r="Y808" s="148">
        <f>IFERROR(__xludf.DUMMYFUNCTION("""COMPUTED_VALUE"""),0.0)</f>
        <v>0</v>
      </c>
      <c r="Z808" s="148"/>
    </row>
    <row r="809">
      <c r="A809" s="148">
        <f>IFERROR(__xludf.DUMMYFUNCTION("""COMPUTED_VALUE"""),1.1112606E7)</f>
        <v>11112606</v>
      </c>
      <c r="B809" s="148" t="str">
        <f>IFERROR(__xludf.DUMMYFUNCTION("""COMPUTED_VALUE"""),"2025登月节gacha-高级奖池机会道具-不显示计数用")</f>
        <v>2025登月节gacha-高级奖池机会道具-不显示计数用</v>
      </c>
      <c r="C809" s="148"/>
      <c r="D809" s="148" t="str">
        <f>IFERROR(__xludf.DUMMYFUNCTION("""COMPUTED_VALUE"""),"event")</f>
        <v>event</v>
      </c>
      <c r="E809" s="148">
        <f>IFERROR(__xludf.DUMMYFUNCTION("""COMPUTED_VALUE"""),0.0)</f>
        <v>0</v>
      </c>
      <c r="F809" s="148">
        <f>IFERROR(__xludf.DUMMYFUNCTION("""COMPUTED_VALUE"""),405210.0)</f>
        <v>405210</v>
      </c>
      <c r="G809" s="148">
        <f>IFERROR(__xludf.DUMMYFUNCTION("""COMPUTED_VALUE"""),1.5110218E8)</f>
        <v>151102180</v>
      </c>
      <c r="H809" s="148">
        <f>IFERROR(__xludf.DUMMYFUNCTION("""COMPUTED_VALUE"""),1.5112564E7)</f>
        <v>15112564</v>
      </c>
      <c r="I809" s="148" t="str">
        <f>IFERROR(__xludf.DUMMYFUNCTION("""COMPUTED_VALUE"""),"{}")</f>
        <v>{}</v>
      </c>
      <c r="J809" s="148" t="str">
        <f>IFERROR(__xludf.DUMMYFUNCTION("""COMPUTED_VALUE"""),"{""typ"":""lc"",""txt"":""LC_ITEM_double_gacha_b""}")</f>
        <v>{"typ":"lc","txt":"LC_ITEM_double_gacha_b"}</v>
      </c>
      <c r="K809" s="148" t="str">
        <f>IFERROR(__xludf.DUMMYFUNCTION("""COMPUTED_VALUE"""),"{""typ"":""lc"",""txt"":""LC_ITEM_double_gacha_b_desc""}")</f>
        <v>{"typ":"lc","txt":"LC_ITEM_double_gacha_b_desc"}</v>
      </c>
      <c r="L809" s="148" t="str">
        <f>IFERROR(__xludf.DUMMYFUNCTION("""COMPUTED_VALUE"""),"{}")</f>
        <v>{}</v>
      </c>
      <c r="M809" s="148">
        <f>IFERROR(__xludf.DUMMYFUNCTION("""COMPUTED_VALUE"""),40.0)</f>
        <v>40</v>
      </c>
      <c r="N809" s="148">
        <f>IFERROR(__xludf.DUMMYFUNCTION("""COMPUTED_VALUE"""),9.99999999E8)</f>
        <v>999999999</v>
      </c>
      <c r="O809" s="148">
        <f>IFERROR(__xludf.DUMMYFUNCTION("""COMPUTED_VALUE"""),9.99999999E8)</f>
        <v>999999999</v>
      </c>
      <c r="P809" s="148">
        <f>IFERROR(__xludf.DUMMYFUNCTION("""COMPUTED_VALUE"""),9.99999999E8)</f>
        <v>999999999</v>
      </c>
      <c r="Q809" s="148" t="str">
        <f>IFERROR(__xludf.DUMMYFUNCTION("""COMPUTED_VALUE"""),"[]")</f>
        <v>[]</v>
      </c>
      <c r="R809" s="148" t="str">
        <f>IFERROR(__xludf.DUMMYFUNCTION("""COMPUTED_VALUE"""),"[""bag""]")</f>
        <v>["bag"]</v>
      </c>
      <c r="S809" s="148" t="str">
        <f>IFERROR(__xludf.DUMMYFUNCTION("""COMPUTED_VALUE"""),"{}")</f>
        <v>{}</v>
      </c>
      <c r="T809" s="148">
        <f>IFERROR(__xludf.DUMMYFUNCTION("""COMPUTED_VALUE"""),1.0)</f>
        <v>1</v>
      </c>
      <c r="U809" s="148">
        <f>IFERROR(__xludf.DUMMYFUNCTION("""COMPUTED_VALUE"""),0.0)</f>
        <v>0</v>
      </c>
      <c r="V809" s="148" t="str">
        <f>IFERROR(__xludf.DUMMYFUNCTION("""COMPUTED_VALUE"""),"[]")</f>
        <v>[]</v>
      </c>
      <c r="W809" s="148">
        <f>IFERROR(__xludf.DUMMYFUNCTION("""COMPUTED_VALUE"""),1.174E7)</f>
        <v>11740000</v>
      </c>
      <c r="X809" s="148">
        <f>IFERROR(__xludf.DUMMYFUNCTION("""COMPUTED_VALUE"""),0.0)</f>
        <v>0</v>
      </c>
      <c r="Y809" s="148">
        <f>IFERROR(__xludf.DUMMYFUNCTION("""COMPUTED_VALUE"""),0.0)</f>
        <v>0</v>
      </c>
      <c r="Z809" s="148"/>
    </row>
    <row r="810">
      <c r="A810" s="148">
        <f>IFERROR(__xludf.DUMMYFUNCTION("""COMPUTED_VALUE"""),1.1112607E7)</f>
        <v>11112607</v>
      </c>
      <c r="B810" s="148" t="str">
        <f>IFERROR(__xludf.DUMMYFUNCTION("""COMPUTED_VALUE"""),"2025登月节铭牌-月下荡舟")</f>
        <v>2025登月节铭牌-月下荡舟</v>
      </c>
      <c r="C810" s="148"/>
      <c r="D810" s="148" t="str">
        <f>IFERROR(__xludf.DUMMYFUNCTION("""COMPUTED_VALUE"""),"chat_skin")</f>
        <v>chat_skin</v>
      </c>
      <c r="E810" s="148">
        <f>IFERROR(__xludf.DUMMYFUNCTION("""COMPUTED_VALUE"""),30.0)</f>
        <v>30</v>
      </c>
      <c r="F810" s="148">
        <f>IFERROR(__xludf.DUMMYFUNCTION("""COMPUTED_VALUE"""),401107.0)</f>
        <v>401107</v>
      </c>
      <c r="G810" s="148">
        <f>IFERROR(__xludf.DUMMYFUNCTION("""COMPUTED_VALUE"""),1.51102324E8)</f>
        <v>151102324</v>
      </c>
      <c r="H810" s="148">
        <f>IFERROR(__xludf.DUMMYFUNCTION("""COMPUTED_VALUE"""),1.5112564E7)</f>
        <v>15112564</v>
      </c>
      <c r="I810" s="148" t="str">
        <f>IFERROR(__xludf.DUMMYFUNCTION("""COMPUTED_VALUE"""),"{}")</f>
        <v>{}</v>
      </c>
      <c r="J810" s="148" t="str">
        <f>IFERROR(__xludf.DUMMYFUNCTION("""COMPUTED_VALUE"""),"{""typ"":""lc"",""txt"":""LC_ITEM_moon_nameplate_2025""}")</f>
        <v>{"typ":"lc","txt":"LC_ITEM_moon_nameplate_2025"}</v>
      </c>
      <c r="K810" s="148" t="str">
        <f>IFERROR(__xludf.DUMMYFUNCTION("""COMPUTED_VALUE"""),"{""typ"":""lc"",""txt"":""LC_ITEM_moon_nameplate_2025_desc_item""}")</f>
        <v>{"typ":"lc","txt":"LC_ITEM_moon_nameplate_2025_desc_item"}</v>
      </c>
      <c r="L810" s="148" t="str">
        <f>IFERROR(__xludf.DUMMYFUNCTION("""COMPUTED_VALUE"""),"{""typ"":""lc"",""txt"":""LC_ITEM_season_extra_reward_usedtip""}")</f>
        <v>{"typ":"lc","txt":"LC_ITEM_season_extra_reward_usedtip"}</v>
      </c>
      <c r="M810" s="148">
        <f>IFERROR(__xludf.DUMMYFUNCTION("""COMPUTED_VALUE"""),2500.0)</f>
        <v>2500</v>
      </c>
      <c r="N810" s="148">
        <f>IFERROR(__xludf.DUMMYFUNCTION("""COMPUTED_VALUE"""),9999999.0)</f>
        <v>9999999</v>
      </c>
      <c r="O810" s="148">
        <f>IFERROR(__xludf.DUMMYFUNCTION("""COMPUTED_VALUE"""),1.0)</f>
        <v>1</v>
      </c>
      <c r="P810" s="148">
        <f>IFERROR(__xludf.DUMMYFUNCTION("""COMPUTED_VALUE"""),1.0)</f>
        <v>1</v>
      </c>
      <c r="Q810" s="148" t="str">
        <f>IFERROR(__xludf.DUMMYFUNCTION("""COMPUTED_VALUE"""),"[""bag_other""]")</f>
        <v>["bag_other"]</v>
      </c>
      <c r="R810" s="148" t="str">
        <f>IFERROR(__xludf.DUMMYFUNCTION("""COMPUTED_VALUE"""),"[""11731039"",""bag""]")</f>
        <v>["11731039","bag"]</v>
      </c>
      <c r="S810" s="148" t="str">
        <f>IFERROR(__xludf.DUMMYFUNCTION("""COMPUTED_VALUE"""),"{""effect"":[{""typ"":""nameplate"",""id"":11731039,""val"":-1}]}")</f>
        <v>{"effect":[{"typ":"nameplate","id":11731039,"val":-1}]}</v>
      </c>
      <c r="T810" s="148">
        <f>IFERROR(__xludf.DUMMYFUNCTION("""COMPUTED_VALUE"""),-1.0)</f>
        <v>-1</v>
      </c>
      <c r="U810" s="148">
        <f>IFERROR(__xludf.DUMMYFUNCTION("""COMPUTED_VALUE"""),0.0)</f>
        <v>0</v>
      </c>
      <c r="V810" s="148" t="str">
        <f>IFERROR(__xludf.DUMMYFUNCTION("""COMPUTED_VALUE"""),"[]")</f>
        <v>[]</v>
      </c>
      <c r="W810" s="148">
        <f>IFERROR(__xludf.DUMMYFUNCTION("""COMPUTED_VALUE"""),1.174E7)</f>
        <v>11740000</v>
      </c>
      <c r="X810" s="148">
        <f>IFERROR(__xludf.DUMMYFUNCTION("""COMPUTED_VALUE"""),0.0)</f>
        <v>0</v>
      </c>
      <c r="Y810" s="148">
        <f>IFERROR(__xludf.DUMMYFUNCTION("""COMPUTED_VALUE"""),0.0)</f>
        <v>0</v>
      </c>
      <c r="Z810" s="148"/>
    </row>
    <row r="811">
      <c r="A811" s="148">
        <f>IFERROR(__xludf.DUMMYFUNCTION("""COMPUTED_VALUE"""),1.1112608E7)</f>
        <v>11112608</v>
      </c>
      <c r="B811" s="148" t="str">
        <f>IFERROR(__xludf.DUMMYFUNCTION("""COMPUTED_VALUE"""),"2025登月节bp随机宝箱")</f>
        <v>2025登月节bp随机宝箱</v>
      </c>
      <c r="C811" s="148"/>
      <c r="D811" s="148" t="str">
        <f>IFERROR(__xludf.DUMMYFUNCTION("""COMPUTED_VALUE"""),"item_asset")</f>
        <v>item_asset</v>
      </c>
      <c r="E811" s="148">
        <f>IFERROR(__xludf.DUMMYFUNCTION("""COMPUTED_VALUE"""),19.0)</f>
        <v>19</v>
      </c>
      <c r="F811" s="148">
        <f>IFERROR(__xludf.DUMMYFUNCTION("""COMPUTED_VALUE"""),403308.0)</f>
        <v>403308</v>
      </c>
      <c r="G811" s="148">
        <f>IFERROR(__xludf.DUMMYFUNCTION("""COMPUTED_VALUE"""),1.51101545E8)</f>
        <v>151101545</v>
      </c>
      <c r="H811" s="148">
        <f>IFERROR(__xludf.DUMMYFUNCTION("""COMPUTED_VALUE"""),1.5112564E7)</f>
        <v>15112564</v>
      </c>
      <c r="I811" s="148" t="str">
        <f>IFERROR(__xludf.DUMMYFUNCTION("""COMPUTED_VALUE"""),"{}")</f>
        <v>{}</v>
      </c>
      <c r="J811" s="148" t="str">
        <f>IFERROR(__xludf.DUMMYFUNCTION("""COMPUTED_VALUE"""),"{""typ"":""lc"",""txt"":""LC_ITEM_fes_bp_box_name""}")</f>
        <v>{"typ":"lc","txt":"LC_ITEM_fes_bp_box_name"}</v>
      </c>
      <c r="K811" s="148" t="str">
        <f>IFERROR(__xludf.DUMMYFUNCTION("""COMPUTED_VALUE"""),"{""typ"":""lc"",""txt"":""LC_ITEM_fes_bp_box_desc_moon_2025""}")</f>
        <v>{"typ":"lc","txt":"LC_ITEM_fes_bp_box_desc_moon_2025"}</v>
      </c>
      <c r="L811" s="148" t="str">
        <f>IFERROR(__xludf.DUMMYFUNCTION("""COMPUTED_VALUE"""),"{}")</f>
        <v>{}</v>
      </c>
      <c r="M811" s="148">
        <f>IFERROR(__xludf.DUMMYFUNCTION("""COMPUTED_VALUE"""),135.0)</f>
        <v>135</v>
      </c>
      <c r="N811" s="148">
        <f>IFERROR(__xludf.DUMMYFUNCTION("""COMPUTED_VALUE"""),999999.0)</f>
        <v>999999</v>
      </c>
      <c r="O811" s="148">
        <f>IFERROR(__xludf.DUMMYFUNCTION("""COMPUTED_VALUE"""),99999.0)</f>
        <v>99999</v>
      </c>
      <c r="P811" s="148">
        <f>IFERROR(__xludf.DUMMYFUNCTION("""COMPUTED_VALUE"""),9999.0)</f>
        <v>9999</v>
      </c>
      <c r="Q811" s="148" t="str">
        <f>IFERROR(__xludf.DUMMYFUNCTION("""COMPUTED_VALUE"""),"[""bag_other""]")</f>
        <v>["bag_other"]</v>
      </c>
      <c r="R811" s="148" t="str">
        <f>IFERROR(__xludf.DUMMYFUNCTION("""COMPUTED_VALUE"""),"[""bag""]")</f>
        <v>["bag"]</v>
      </c>
      <c r="S811" s="148" t="str">
        <f>IFERROR(__xludf.DUMMYFUNCTION("""COMPUTED_VALUE"""),"{""drop"":{""typ"":""single_random"",""num"":1,""args"":[{""typ"":""item"",""id"":11112570,""num"":1,""wgt"":1},{""typ"":""item"",""id"":11112201,""num"":10,""wgt"":60},{""typ"":""item"",""id"":11116304,""num"":1,""wgt"":10},{""typ"":""item"",""id"":11118"&amp;"663,""num"":2,""wgt"":60},{""typ"":""item"",""id"":11116110,""num"":2,""wgt"":60},{""typ"":""item"",""id"":11114330,""num"":1,""wgt"":300},{""typ"":""item"",""id"":11111155,""num"":2,""wgt"":300},{""typ"":""item"",""id"":11111105,""num"":2,""wgt"":100}]}}")</f>
        <v>{"drop":{"typ":"single_random","num":1,"args":[{"typ":"item","id":11112570,"num":1,"wgt":1},{"typ":"item","id":11112201,"num":10,"wgt":60},{"typ":"item","id":11116304,"num":1,"wgt":10},{"typ":"item","id":11118663,"num":2,"wgt":60},{"typ":"item","id":11116110,"num":2,"wgt":60},{"typ":"item","id":11114330,"num":1,"wgt":300},{"typ":"item","id":11111155,"num":2,"wgt":300},{"typ":"item","id":11111105,"num":2,"wgt":100}]}}</v>
      </c>
      <c r="T811" s="148">
        <f>IFERROR(__xludf.DUMMYFUNCTION("""COMPUTED_VALUE"""),-1.0)</f>
        <v>-1</v>
      </c>
      <c r="U811" s="148">
        <f>IFERROR(__xludf.DUMMYFUNCTION("""COMPUTED_VALUE"""),0.0)</f>
        <v>0</v>
      </c>
      <c r="V811" s="148" t="str">
        <f>IFERROR(__xludf.DUMMYFUNCTION("""COMPUTED_VALUE"""),"[]")</f>
        <v>[]</v>
      </c>
      <c r="W811" s="148">
        <f>IFERROR(__xludf.DUMMYFUNCTION("""COMPUTED_VALUE"""),1.174E7)</f>
        <v>11740000</v>
      </c>
      <c r="X811" s="148">
        <f>IFERROR(__xludf.DUMMYFUNCTION("""COMPUTED_VALUE"""),0.0)</f>
        <v>0</v>
      </c>
      <c r="Y811" s="148">
        <f>IFERROR(__xludf.DUMMYFUNCTION("""COMPUTED_VALUE"""),0.0)</f>
        <v>0</v>
      </c>
      <c r="Z811" s="148"/>
    </row>
    <row r="812">
      <c r="A812" s="148">
        <f>IFERROR(__xludf.DUMMYFUNCTION("""COMPUTED_VALUE"""),1.1112609E7)</f>
        <v>11112609</v>
      </c>
      <c r="B812" s="148" t="str">
        <f>IFERROR(__xludf.DUMMYFUNCTION("""COMPUTED_VALUE"""),"2025登月节行军特效-月色入画-1天限时")</f>
        <v>2025登月节行军特效-月色入画-1天限时</v>
      </c>
      <c r="C812" s="148"/>
      <c r="D812" s="148" t="str">
        <f>IFERROR(__xludf.DUMMYFUNCTION("""COMPUTED_VALUE"""),"marching_effect")</f>
        <v>marching_effect</v>
      </c>
      <c r="E812" s="148">
        <f>IFERROR(__xludf.DUMMYFUNCTION("""COMPUTED_VALUE"""),0.0)</f>
        <v>0</v>
      </c>
      <c r="F812" s="148">
        <f>IFERROR(__xludf.DUMMYFUNCTION("""COMPUTED_VALUE"""),408200.0)</f>
        <v>408200</v>
      </c>
      <c r="G812" s="148">
        <f>IFERROR(__xludf.DUMMYFUNCTION("""COMPUTED_VALUE"""),1.51102323E8)</f>
        <v>151102323</v>
      </c>
      <c r="H812" s="148">
        <f>IFERROR(__xludf.DUMMYFUNCTION("""COMPUTED_VALUE"""),1.511256E7)</f>
        <v>15112560</v>
      </c>
      <c r="I812" s="148" t="str">
        <f>IFERROR(__xludf.DUMMYFUNCTION("""COMPUTED_VALUE"""),"{""typ"":""lc"",""txt"":""LC_ITEM_time_day_upper_show"",""args"":[{""typ"":""int_unit"",""val"":1}]}")</f>
        <v>{"typ":"lc","txt":"LC_ITEM_time_day_upper_show","args":[{"typ":"int_unit","val":1}]}</v>
      </c>
      <c r="J812" s="148" t="str">
        <f>IFERROR(__xludf.DUMMYFUNCTION("""COMPUTED_VALUE"""),"{""typ"":""lc"",""txt"":""LC_ITEM_moon_marcheffect_high_2025""}")</f>
        <v>{"typ":"lc","txt":"LC_ITEM_moon_marcheffect_high_2025"}</v>
      </c>
      <c r="K812" s="148" t="str">
        <f>IFERROR(__xludf.DUMMYFUNCTION("""COMPUTED_VALUE"""),"{""typ"":""lc"",""txt"":""LC_ITEM_moon_marcheffect_high_2025_desc""}")</f>
        <v>{"typ":"lc","txt":"LC_ITEM_moon_marcheffect_high_2025_desc"}</v>
      </c>
      <c r="L812" s="148" t="str">
        <f>IFERROR(__xludf.DUMMYFUNCTION("""COMPUTED_VALUE"""),"{""typ"":""lc"",""txt"":""LC_ITEM_march_effect_use_tip_all""}")</f>
        <v>{"typ":"lc","txt":"LC_ITEM_march_effect_use_tip_all"}</v>
      </c>
      <c r="M812" s="148">
        <f>IFERROR(__xludf.DUMMYFUNCTION("""COMPUTED_VALUE"""),50.0)</f>
        <v>50</v>
      </c>
      <c r="N812" s="148">
        <f>IFERROR(__xludf.DUMMYFUNCTION("""COMPUTED_VALUE"""),999999.0)</f>
        <v>999999</v>
      </c>
      <c r="O812" s="148">
        <f>IFERROR(__xludf.DUMMYFUNCTION("""COMPUTED_VALUE"""),99999.0)</f>
        <v>99999</v>
      </c>
      <c r="P812" s="148">
        <f>IFERROR(__xludf.DUMMYFUNCTION("""COMPUTED_VALUE"""),1.0)</f>
        <v>1</v>
      </c>
      <c r="Q812" s="148" t="str">
        <f>IFERROR(__xludf.DUMMYFUNCTION("""COMPUTED_VALUE"""),"[""bag_other""]")</f>
        <v>["bag_other"]</v>
      </c>
      <c r="R812" s="148" t="str">
        <f>IFERROR(__xludf.DUMMYFUNCTION("""COMPUTED_VALUE"""),"[""bag"",""13650138""]")</f>
        <v>["bag","13650138"]</v>
      </c>
      <c r="S812" s="148" t="str">
        <f>IFERROR(__xludf.DUMMYFUNCTION("""COMPUTED_VALUE"""),"{""effect"":[{""typ"":""marching_effect"",""id"":13650138,""val"":86400000},{""typ"":""vm"",""id"":11151001,""val"":50}]}")</f>
        <v>{"effect":[{"typ":"marching_effect","id":13650138,"val":86400000},{"typ":"vm","id":11151001,"val":50}]}</v>
      </c>
      <c r="T812" s="148">
        <f>IFERROR(__xludf.DUMMYFUNCTION("""COMPUTED_VALUE"""),-1.0)</f>
        <v>-1</v>
      </c>
      <c r="U812" s="148">
        <f>IFERROR(__xludf.DUMMYFUNCTION("""COMPUTED_VALUE"""),0.0)</f>
        <v>0</v>
      </c>
      <c r="V812" s="148" t="str">
        <f>IFERROR(__xludf.DUMMYFUNCTION("""COMPUTED_VALUE"""),"[]")</f>
        <v>[]</v>
      </c>
      <c r="W812" s="148">
        <f>IFERROR(__xludf.DUMMYFUNCTION("""COMPUTED_VALUE"""),1.174E7)</f>
        <v>11740000</v>
      </c>
      <c r="X812" s="148">
        <f>IFERROR(__xludf.DUMMYFUNCTION("""COMPUTED_VALUE"""),0.0)</f>
        <v>0</v>
      </c>
      <c r="Y812" s="148">
        <f>IFERROR(__xludf.DUMMYFUNCTION("""COMPUTED_VALUE"""),0.0)</f>
        <v>0</v>
      </c>
      <c r="Z812" s="148"/>
    </row>
    <row r="813">
      <c r="A813" s="148">
        <f>IFERROR(__xludf.DUMMYFUNCTION("""COMPUTED_VALUE"""),1.111261E7)</f>
        <v>11112610</v>
      </c>
      <c r="B813" s="148" t="str">
        <f>IFERROR(__xludf.DUMMYFUNCTION("""COMPUTED_VALUE"""),"2025登月节行军特效-月色入画-3天限时")</f>
        <v>2025登月节行军特效-月色入画-3天限时</v>
      </c>
      <c r="C813" s="148"/>
      <c r="D813" s="148" t="str">
        <f>IFERROR(__xludf.DUMMYFUNCTION("""COMPUTED_VALUE"""),"marching_effect")</f>
        <v>marching_effect</v>
      </c>
      <c r="E813" s="148">
        <f>IFERROR(__xludf.DUMMYFUNCTION("""COMPUTED_VALUE"""),0.0)</f>
        <v>0</v>
      </c>
      <c r="F813" s="148">
        <f>IFERROR(__xludf.DUMMYFUNCTION("""COMPUTED_VALUE"""),408199.0)</f>
        <v>408199</v>
      </c>
      <c r="G813" s="148">
        <f>IFERROR(__xludf.DUMMYFUNCTION("""COMPUTED_VALUE"""),1.51102323E8)</f>
        <v>151102323</v>
      </c>
      <c r="H813" s="148">
        <f>IFERROR(__xludf.DUMMYFUNCTION("""COMPUTED_VALUE"""),1.5112561E7)</f>
        <v>15112561</v>
      </c>
      <c r="I813" s="148" t="str">
        <f>IFERROR(__xludf.DUMMYFUNCTION("""COMPUTED_VALUE"""),"{""typ"":""lc"",""txt"":""LC_ITEM_time_day_upper_show"",""args"":[{""typ"":""int_unit"",""val"":3}]}")</f>
        <v>{"typ":"lc","txt":"LC_ITEM_time_day_upper_show","args":[{"typ":"int_unit","val":3}]}</v>
      </c>
      <c r="J813" s="148" t="str">
        <f>IFERROR(__xludf.DUMMYFUNCTION("""COMPUTED_VALUE"""),"{""typ"":""lc"",""txt"":""LC_ITEM_moon_marcheffect_high_2025""}")</f>
        <v>{"typ":"lc","txt":"LC_ITEM_moon_marcheffect_high_2025"}</v>
      </c>
      <c r="K813" s="148" t="str">
        <f>IFERROR(__xludf.DUMMYFUNCTION("""COMPUTED_VALUE"""),"{""typ"":""lc"",""txt"":""LC_ITEM_moon_marcheffect_high_2025_desc""}")</f>
        <v>{"typ":"lc","txt":"LC_ITEM_moon_marcheffect_high_2025_desc"}</v>
      </c>
      <c r="L813" s="148" t="str">
        <f>IFERROR(__xludf.DUMMYFUNCTION("""COMPUTED_VALUE"""),"{""typ"":""lc"",""txt"":""LC_ITEM_march_effect_use_tip_all""}")</f>
        <v>{"typ":"lc","txt":"LC_ITEM_march_effect_use_tip_all"}</v>
      </c>
      <c r="M813" s="148">
        <f>IFERROR(__xludf.DUMMYFUNCTION("""COMPUTED_VALUE"""),200.0)</f>
        <v>200</v>
      </c>
      <c r="N813" s="148">
        <f>IFERROR(__xludf.DUMMYFUNCTION("""COMPUTED_VALUE"""),999999.0)</f>
        <v>999999</v>
      </c>
      <c r="O813" s="148">
        <f>IFERROR(__xludf.DUMMYFUNCTION("""COMPUTED_VALUE"""),99999.0)</f>
        <v>99999</v>
      </c>
      <c r="P813" s="148">
        <f>IFERROR(__xludf.DUMMYFUNCTION("""COMPUTED_VALUE"""),1.0)</f>
        <v>1</v>
      </c>
      <c r="Q813" s="148" t="str">
        <f>IFERROR(__xludf.DUMMYFUNCTION("""COMPUTED_VALUE"""),"[""bag_other""]")</f>
        <v>["bag_other"]</v>
      </c>
      <c r="R813" s="148" t="str">
        <f>IFERROR(__xludf.DUMMYFUNCTION("""COMPUTED_VALUE"""),"[""bag"",""13650138""]")</f>
        <v>["bag","13650138"]</v>
      </c>
      <c r="S813" s="148" t="str">
        <f>IFERROR(__xludf.DUMMYFUNCTION("""COMPUTED_VALUE"""),"{""effect"":[{""typ"":""marching_effect"",""id"":13650138,""val"":259200000},{""typ"":""vm"",""id"":11151001,""val"":200}]}")</f>
        <v>{"effect":[{"typ":"marching_effect","id":13650138,"val":259200000},{"typ":"vm","id":11151001,"val":200}]}</v>
      </c>
      <c r="T813" s="148">
        <f>IFERROR(__xludf.DUMMYFUNCTION("""COMPUTED_VALUE"""),-1.0)</f>
        <v>-1</v>
      </c>
      <c r="U813" s="148">
        <f>IFERROR(__xludf.DUMMYFUNCTION("""COMPUTED_VALUE"""),0.0)</f>
        <v>0</v>
      </c>
      <c r="V813" s="148" t="str">
        <f>IFERROR(__xludf.DUMMYFUNCTION("""COMPUTED_VALUE"""),"[]")</f>
        <v>[]</v>
      </c>
      <c r="W813" s="148">
        <f>IFERROR(__xludf.DUMMYFUNCTION("""COMPUTED_VALUE"""),1.174E7)</f>
        <v>11740000</v>
      </c>
      <c r="X813" s="148">
        <f>IFERROR(__xludf.DUMMYFUNCTION("""COMPUTED_VALUE"""),0.0)</f>
        <v>0</v>
      </c>
      <c r="Y813" s="148">
        <f>IFERROR(__xludf.DUMMYFUNCTION("""COMPUTED_VALUE"""),0.0)</f>
        <v>0</v>
      </c>
      <c r="Z813" s="148"/>
    </row>
    <row r="814">
      <c r="A814" s="148">
        <f>IFERROR(__xludf.DUMMYFUNCTION("""COMPUTED_VALUE"""),1.1112611E7)</f>
        <v>11112611</v>
      </c>
      <c r="B814" s="148" t="str">
        <f>IFERROR(__xludf.DUMMYFUNCTION("""COMPUTED_VALUE"""),"2025登月节行军特效-月色入画-7天限时")</f>
        <v>2025登月节行军特效-月色入画-7天限时</v>
      </c>
      <c r="C814" s="148"/>
      <c r="D814" s="148" t="str">
        <f>IFERROR(__xludf.DUMMYFUNCTION("""COMPUTED_VALUE"""),"marching_effect")</f>
        <v>marching_effect</v>
      </c>
      <c r="E814" s="148">
        <f>IFERROR(__xludf.DUMMYFUNCTION("""COMPUTED_VALUE"""),0.0)</f>
        <v>0</v>
      </c>
      <c r="F814" s="148">
        <f>IFERROR(__xludf.DUMMYFUNCTION("""COMPUTED_VALUE"""),408198.0)</f>
        <v>408198</v>
      </c>
      <c r="G814" s="148">
        <f>IFERROR(__xludf.DUMMYFUNCTION("""COMPUTED_VALUE"""),1.51102323E8)</f>
        <v>151102323</v>
      </c>
      <c r="H814" s="148">
        <f>IFERROR(__xludf.DUMMYFUNCTION("""COMPUTED_VALUE"""),1.5112562E7)</f>
        <v>15112562</v>
      </c>
      <c r="I814" s="148" t="str">
        <f>IFERROR(__xludf.DUMMYFUNCTION("""COMPUTED_VALUE"""),"{""typ"":""lc"",""txt"":""LC_ITEM_time_day_upper_show"",""args"":[{""typ"":""int_unit"",""val"":7}]}")</f>
        <v>{"typ":"lc","txt":"LC_ITEM_time_day_upper_show","args":[{"typ":"int_unit","val":7}]}</v>
      </c>
      <c r="J814" s="148" t="str">
        <f>IFERROR(__xludf.DUMMYFUNCTION("""COMPUTED_VALUE"""),"{""typ"":""lc"",""txt"":""LC_ITEM_moon_marcheffect_high_2025""}")</f>
        <v>{"typ":"lc","txt":"LC_ITEM_moon_marcheffect_high_2025"}</v>
      </c>
      <c r="K814" s="148" t="str">
        <f>IFERROR(__xludf.DUMMYFUNCTION("""COMPUTED_VALUE"""),"{""typ"":""lc"",""txt"":""LC_ITEM_moon_marcheffect_high_2025_desc""}")</f>
        <v>{"typ":"lc","txt":"LC_ITEM_moon_marcheffect_high_2025_desc"}</v>
      </c>
      <c r="L814" s="148" t="str">
        <f>IFERROR(__xludf.DUMMYFUNCTION("""COMPUTED_VALUE"""),"{""typ"":""lc"",""txt"":""LC_ITEM_march_effect_use_tip_all""}")</f>
        <v>{"typ":"lc","txt":"LC_ITEM_march_effect_use_tip_all"}</v>
      </c>
      <c r="M814" s="148">
        <f>IFERROR(__xludf.DUMMYFUNCTION("""COMPUTED_VALUE"""),500.0)</f>
        <v>500</v>
      </c>
      <c r="N814" s="148">
        <f>IFERROR(__xludf.DUMMYFUNCTION("""COMPUTED_VALUE"""),999999.0)</f>
        <v>999999</v>
      </c>
      <c r="O814" s="148">
        <f>IFERROR(__xludf.DUMMYFUNCTION("""COMPUTED_VALUE"""),99999.0)</f>
        <v>99999</v>
      </c>
      <c r="P814" s="148">
        <f>IFERROR(__xludf.DUMMYFUNCTION("""COMPUTED_VALUE"""),1.0)</f>
        <v>1</v>
      </c>
      <c r="Q814" s="148" t="str">
        <f>IFERROR(__xludf.DUMMYFUNCTION("""COMPUTED_VALUE"""),"[""bag_other""]")</f>
        <v>["bag_other"]</v>
      </c>
      <c r="R814" s="148" t="str">
        <f>IFERROR(__xludf.DUMMYFUNCTION("""COMPUTED_VALUE"""),"[""bag"",""13650138""]")</f>
        <v>["bag","13650138"]</v>
      </c>
      <c r="S814" s="148" t="str">
        <f>IFERROR(__xludf.DUMMYFUNCTION("""COMPUTED_VALUE"""),"{""effect"":[{""typ"":""marching_effect"",""id"":13650138,""val"":604800000},{""typ"":""vm"",""id"":11151001,""val"":500}]}")</f>
        <v>{"effect":[{"typ":"marching_effect","id":13650138,"val":604800000},{"typ":"vm","id":11151001,"val":500}]}</v>
      </c>
      <c r="T814" s="148">
        <f>IFERROR(__xludf.DUMMYFUNCTION("""COMPUTED_VALUE"""),-1.0)</f>
        <v>-1</v>
      </c>
      <c r="U814" s="148">
        <f>IFERROR(__xludf.DUMMYFUNCTION("""COMPUTED_VALUE"""),0.0)</f>
        <v>0</v>
      </c>
      <c r="V814" s="148" t="str">
        <f>IFERROR(__xludf.DUMMYFUNCTION("""COMPUTED_VALUE"""),"[]")</f>
        <v>[]</v>
      </c>
      <c r="W814" s="148">
        <f>IFERROR(__xludf.DUMMYFUNCTION("""COMPUTED_VALUE"""),1.174E7)</f>
        <v>11740000</v>
      </c>
      <c r="X814" s="148">
        <f>IFERROR(__xludf.DUMMYFUNCTION("""COMPUTED_VALUE"""),0.0)</f>
        <v>0</v>
      </c>
      <c r="Y814" s="148">
        <f>IFERROR(__xludf.DUMMYFUNCTION("""COMPUTED_VALUE"""),0.0)</f>
        <v>0</v>
      </c>
      <c r="Z814" s="148"/>
    </row>
    <row r="815">
      <c r="A815" s="148">
        <f>IFERROR(__xludf.DUMMYFUNCTION("""COMPUTED_VALUE"""),1.1112612E7)</f>
        <v>11112612</v>
      </c>
      <c r="B815" s="148" t="str">
        <f>IFERROR(__xludf.DUMMYFUNCTION("""COMPUTED_VALUE"""),"2025登月节行军特效-月色入画-14天限时")</f>
        <v>2025登月节行军特效-月色入画-14天限时</v>
      </c>
      <c r="C815" s="148"/>
      <c r="D815" s="148" t="str">
        <f>IFERROR(__xludf.DUMMYFUNCTION("""COMPUTED_VALUE"""),"marching_effect")</f>
        <v>marching_effect</v>
      </c>
      <c r="E815" s="148">
        <f>IFERROR(__xludf.DUMMYFUNCTION("""COMPUTED_VALUE"""),0.0)</f>
        <v>0</v>
      </c>
      <c r="F815" s="148">
        <f>IFERROR(__xludf.DUMMYFUNCTION("""COMPUTED_VALUE"""),408197.0)</f>
        <v>408197</v>
      </c>
      <c r="G815" s="148">
        <f>IFERROR(__xludf.DUMMYFUNCTION("""COMPUTED_VALUE"""),1.51102323E8)</f>
        <v>151102323</v>
      </c>
      <c r="H815" s="148">
        <f>IFERROR(__xludf.DUMMYFUNCTION("""COMPUTED_VALUE"""),1.5112563E7)</f>
        <v>15112563</v>
      </c>
      <c r="I815" s="148" t="str">
        <f>IFERROR(__xludf.DUMMYFUNCTION("""COMPUTED_VALUE"""),"{""typ"":""lc"",""txt"":""LC_ITEM_time_day_upper_show"",""args"":[{""typ"":""int_unit"",""val"":14}]}")</f>
        <v>{"typ":"lc","txt":"LC_ITEM_time_day_upper_show","args":[{"typ":"int_unit","val":14}]}</v>
      </c>
      <c r="J815" s="148" t="str">
        <f>IFERROR(__xludf.DUMMYFUNCTION("""COMPUTED_VALUE"""),"{""typ"":""lc"",""txt"":""LC_ITEM_moon_marcheffect_high_2025""}")</f>
        <v>{"typ":"lc","txt":"LC_ITEM_moon_marcheffect_high_2025"}</v>
      </c>
      <c r="K815" s="148" t="str">
        <f>IFERROR(__xludf.DUMMYFUNCTION("""COMPUTED_VALUE"""),"{""typ"":""lc"",""txt"":""LC_ITEM_moon_marcheffect_high_2025_desc""}")</f>
        <v>{"typ":"lc","txt":"LC_ITEM_moon_marcheffect_high_2025_desc"}</v>
      </c>
      <c r="L815" s="148" t="str">
        <f>IFERROR(__xludf.DUMMYFUNCTION("""COMPUTED_VALUE"""),"{""typ"":""lc"",""txt"":""LC_ITEM_march_effect_use_tip_all""}")</f>
        <v>{"typ":"lc","txt":"LC_ITEM_march_effect_use_tip_all"}</v>
      </c>
      <c r="M815" s="148">
        <f>IFERROR(__xludf.DUMMYFUNCTION("""COMPUTED_VALUE"""),1000.0)</f>
        <v>1000</v>
      </c>
      <c r="N815" s="148">
        <f>IFERROR(__xludf.DUMMYFUNCTION("""COMPUTED_VALUE"""),999999.0)</f>
        <v>999999</v>
      </c>
      <c r="O815" s="148">
        <f>IFERROR(__xludf.DUMMYFUNCTION("""COMPUTED_VALUE"""),99999.0)</f>
        <v>99999</v>
      </c>
      <c r="P815" s="148">
        <f>IFERROR(__xludf.DUMMYFUNCTION("""COMPUTED_VALUE"""),1.0)</f>
        <v>1</v>
      </c>
      <c r="Q815" s="148" t="str">
        <f>IFERROR(__xludf.DUMMYFUNCTION("""COMPUTED_VALUE"""),"[""bag_other""]")</f>
        <v>["bag_other"]</v>
      </c>
      <c r="R815" s="148" t="str">
        <f>IFERROR(__xludf.DUMMYFUNCTION("""COMPUTED_VALUE"""),"[""bag"",""13650138""]")</f>
        <v>["bag","13650138"]</v>
      </c>
      <c r="S815" s="148" t="str">
        <f>IFERROR(__xludf.DUMMYFUNCTION("""COMPUTED_VALUE"""),"{""effect"":[{""typ"":""marching_effect"",""id"":13650138,""val"":1209600000},{""typ"":""vm"",""id"":11151001,""val"":1000}]}")</f>
        <v>{"effect":[{"typ":"marching_effect","id":13650138,"val":1209600000},{"typ":"vm","id":11151001,"val":1000}]}</v>
      </c>
      <c r="T815" s="148">
        <f>IFERROR(__xludf.DUMMYFUNCTION("""COMPUTED_VALUE"""),-1.0)</f>
        <v>-1</v>
      </c>
      <c r="U815" s="148">
        <f>IFERROR(__xludf.DUMMYFUNCTION("""COMPUTED_VALUE"""),0.0)</f>
        <v>0</v>
      </c>
      <c r="V815" s="148" t="str">
        <f>IFERROR(__xludf.DUMMYFUNCTION("""COMPUTED_VALUE"""),"[]")</f>
        <v>[]</v>
      </c>
      <c r="W815" s="148">
        <f>IFERROR(__xludf.DUMMYFUNCTION("""COMPUTED_VALUE"""),1.174E7)</f>
        <v>11740000</v>
      </c>
      <c r="X815" s="148">
        <f>IFERROR(__xludf.DUMMYFUNCTION("""COMPUTED_VALUE"""),0.0)</f>
        <v>0</v>
      </c>
      <c r="Y815" s="148">
        <f>IFERROR(__xludf.DUMMYFUNCTION("""COMPUTED_VALUE"""),0.0)</f>
        <v>0</v>
      </c>
      <c r="Z815" s="148"/>
    </row>
    <row r="816">
      <c r="A816" s="148">
        <f>IFERROR(__xludf.DUMMYFUNCTION("""COMPUTED_VALUE"""),1.1112613E7)</f>
        <v>11112613</v>
      </c>
      <c r="B816" s="148" t="str">
        <f>IFERROR(__xludf.DUMMYFUNCTION("""COMPUTED_VALUE"""),"2025登月节行军特效-月色入画-30天限时")</f>
        <v>2025登月节行军特效-月色入画-30天限时</v>
      </c>
      <c r="C816" s="148"/>
      <c r="D816" s="148" t="str">
        <f>IFERROR(__xludf.DUMMYFUNCTION("""COMPUTED_VALUE"""),"marching_effect")</f>
        <v>marching_effect</v>
      </c>
      <c r="E816" s="148">
        <f>IFERROR(__xludf.DUMMYFUNCTION("""COMPUTED_VALUE"""),0.0)</f>
        <v>0</v>
      </c>
      <c r="F816" s="148">
        <f>IFERROR(__xludf.DUMMYFUNCTION("""COMPUTED_VALUE"""),408197.0)</f>
        <v>408197</v>
      </c>
      <c r="G816" s="148">
        <f>IFERROR(__xludf.DUMMYFUNCTION("""COMPUTED_VALUE"""),1.51102323E8)</f>
        <v>151102323</v>
      </c>
      <c r="H816" s="148">
        <f>IFERROR(__xludf.DUMMYFUNCTION("""COMPUTED_VALUE"""),1.5112563E7)</f>
        <v>15112563</v>
      </c>
      <c r="I816" s="148" t="str">
        <f>IFERROR(__xludf.DUMMYFUNCTION("""COMPUTED_VALUE"""),"{""typ"":""lc"",""txt"":""LC_ITEM_time_day_upper_show"",""args"":[{""typ"":""int_unit"",""val"":30}]}")</f>
        <v>{"typ":"lc","txt":"LC_ITEM_time_day_upper_show","args":[{"typ":"int_unit","val":30}]}</v>
      </c>
      <c r="J816" s="148" t="str">
        <f>IFERROR(__xludf.DUMMYFUNCTION("""COMPUTED_VALUE"""),"{""typ"":""lc"",""txt"":""LC_ITEM_moon_marcheffect_high_2025""}")</f>
        <v>{"typ":"lc","txt":"LC_ITEM_moon_marcheffect_high_2025"}</v>
      </c>
      <c r="K816" s="148" t="str">
        <f>IFERROR(__xludf.DUMMYFUNCTION("""COMPUTED_VALUE"""),"{""typ"":""lc"",""txt"":""LC_ITEM_moon_marcheffect_high_2025_desc""}")</f>
        <v>{"typ":"lc","txt":"LC_ITEM_moon_marcheffect_high_2025_desc"}</v>
      </c>
      <c r="L816" s="148" t="str">
        <f>IFERROR(__xludf.DUMMYFUNCTION("""COMPUTED_VALUE"""),"{""typ"":""lc"",""txt"":""LC_ITEM_march_effect_use_tip_all""}")</f>
        <v>{"typ":"lc","txt":"LC_ITEM_march_effect_use_tip_all"}</v>
      </c>
      <c r="M816" s="148">
        <f>IFERROR(__xludf.DUMMYFUNCTION("""COMPUTED_VALUE"""),1000.0)</f>
        <v>1000</v>
      </c>
      <c r="N816" s="148">
        <f>IFERROR(__xludf.DUMMYFUNCTION("""COMPUTED_VALUE"""),999999.0)</f>
        <v>999999</v>
      </c>
      <c r="O816" s="148">
        <f>IFERROR(__xludf.DUMMYFUNCTION("""COMPUTED_VALUE"""),99999.0)</f>
        <v>99999</v>
      </c>
      <c r="P816" s="148">
        <f>IFERROR(__xludf.DUMMYFUNCTION("""COMPUTED_VALUE"""),1.0)</f>
        <v>1</v>
      </c>
      <c r="Q816" s="148" t="str">
        <f>IFERROR(__xludf.DUMMYFUNCTION("""COMPUTED_VALUE"""),"[""bag_other""]")</f>
        <v>["bag_other"]</v>
      </c>
      <c r="R816" s="148" t="str">
        <f>IFERROR(__xludf.DUMMYFUNCTION("""COMPUTED_VALUE"""),"[""bag"",""13650138""]")</f>
        <v>["bag","13650138"]</v>
      </c>
      <c r="S816" s="148" t="str">
        <f>IFERROR(__xludf.DUMMYFUNCTION("""COMPUTED_VALUE"""),"{""effect"":[{""typ"":""marching_effect"",""id"":13650138,""val"":2592000000},{""typ"":""vm"",""id"":11151001,""val"":1000}]}")</f>
        <v>{"effect":[{"typ":"marching_effect","id":13650138,"val":2592000000},{"typ":"vm","id":11151001,"val":1000}]}</v>
      </c>
      <c r="T816" s="148">
        <f>IFERROR(__xludf.DUMMYFUNCTION("""COMPUTED_VALUE"""),-1.0)</f>
        <v>-1</v>
      </c>
      <c r="U816" s="148">
        <f>IFERROR(__xludf.DUMMYFUNCTION("""COMPUTED_VALUE"""),0.0)</f>
        <v>0</v>
      </c>
      <c r="V816" s="148" t="str">
        <f>IFERROR(__xludf.DUMMYFUNCTION("""COMPUTED_VALUE"""),"[]")</f>
        <v>[]</v>
      </c>
      <c r="W816" s="148">
        <f>IFERROR(__xludf.DUMMYFUNCTION("""COMPUTED_VALUE"""),1.174E7)</f>
        <v>11740000</v>
      </c>
      <c r="X816" s="148">
        <f>IFERROR(__xludf.DUMMYFUNCTION("""COMPUTED_VALUE"""),0.0)</f>
        <v>0</v>
      </c>
      <c r="Y816" s="148">
        <f>IFERROR(__xludf.DUMMYFUNCTION("""COMPUTED_VALUE"""),0.0)</f>
        <v>0</v>
      </c>
      <c r="Z816" s="148"/>
    </row>
    <row r="817">
      <c r="A817" s="148">
        <f>IFERROR(__xludf.DUMMYFUNCTION("""COMPUTED_VALUE"""),1.1112614E7)</f>
        <v>11112614</v>
      </c>
      <c r="B817" s="148" t="str">
        <f>IFERROR(__xludf.DUMMYFUNCTION("""COMPUTED_VALUE"""),"2025登月节行军特效-月色入画-永久")</f>
        <v>2025登月节行军特效-月色入画-永久</v>
      </c>
      <c r="C817" s="148"/>
      <c r="D817" s="148" t="str">
        <f>IFERROR(__xludf.DUMMYFUNCTION("""COMPUTED_VALUE"""),"marching_effect")</f>
        <v>marching_effect</v>
      </c>
      <c r="E817" s="148">
        <f>IFERROR(__xludf.DUMMYFUNCTION("""COMPUTED_VALUE"""),0.0)</f>
        <v>0</v>
      </c>
      <c r="F817" s="148">
        <f>IFERROR(__xludf.DUMMYFUNCTION("""COMPUTED_VALUE"""),408195.0)</f>
        <v>408195</v>
      </c>
      <c r="G817" s="148">
        <f>IFERROR(__xludf.DUMMYFUNCTION("""COMPUTED_VALUE"""),1.51102323E8)</f>
        <v>151102323</v>
      </c>
      <c r="H817" s="148">
        <f>IFERROR(__xludf.DUMMYFUNCTION("""COMPUTED_VALUE"""),1.5112564E7)</f>
        <v>15112564</v>
      </c>
      <c r="I817" s="148" t="str">
        <f>IFERROR(__xludf.DUMMYFUNCTION("""COMPUTED_VALUE"""),"{}")</f>
        <v>{}</v>
      </c>
      <c r="J817" s="148" t="str">
        <f>IFERROR(__xludf.DUMMYFUNCTION("""COMPUTED_VALUE"""),"{""typ"":""lc"",""txt"":""LC_ITEM_moon_marcheffect_high_2025""}")</f>
        <v>{"typ":"lc","txt":"LC_ITEM_moon_marcheffect_high_2025"}</v>
      </c>
      <c r="K817" s="148" t="str">
        <f>IFERROR(__xludf.DUMMYFUNCTION("""COMPUTED_VALUE"""),"{""typ"":""lc"",""txt"":""LC_ITEM_moon_marcheffect_high_2025_desc""}")</f>
        <v>{"typ":"lc","txt":"LC_ITEM_moon_marcheffect_high_2025_desc"}</v>
      </c>
      <c r="L817" s="148" t="str">
        <f>IFERROR(__xludf.DUMMYFUNCTION("""COMPUTED_VALUE"""),"{""typ"":""lc"",""txt"":""LC_ITEM_march_effect_use_tip_all""}")</f>
        <v>{"typ":"lc","txt":"LC_ITEM_march_effect_use_tip_all"}</v>
      </c>
      <c r="M817" s="148">
        <f>IFERROR(__xludf.DUMMYFUNCTION("""COMPUTED_VALUE"""),5000.0)</f>
        <v>5000</v>
      </c>
      <c r="N817" s="148">
        <f>IFERROR(__xludf.DUMMYFUNCTION("""COMPUTED_VALUE"""),999999.0)</f>
        <v>999999</v>
      </c>
      <c r="O817" s="148">
        <f>IFERROR(__xludf.DUMMYFUNCTION("""COMPUTED_VALUE"""),99999.0)</f>
        <v>99999</v>
      </c>
      <c r="P817" s="148">
        <f>IFERROR(__xludf.DUMMYFUNCTION("""COMPUTED_VALUE"""),1.0)</f>
        <v>1</v>
      </c>
      <c r="Q817" s="148" t="str">
        <f>IFERROR(__xludf.DUMMYFUNCTION("""COMPUTED_VALUE"""),"[""bag_other""]")</f>
        <v>["bag_other"]</v>
      </c>
      <c r="R817" s="148" t="str">
        <f>IFERROR(__xludf.DUMMYFUNCTION("""COMPUTED_VALUE"""),"[""bag"",""13650138""]")</f>
        <v>["bag","13650138"]</v>
      </c>
      <c r="S817" s="148" t="str">
        <f>IFERROR(__xludf.DUMMYFUNCTION("""COMPUTED_VALUE"""),"{""effect"":[{""typ"":""marching_effect"",""id"":13650138,""val"":-1},{""typ"":""vm"",""id"":11151001,""val"":2500}]}")</f>
        <v>{"effect":[{"typ":"marching_effect","id":13650138,"val":-1},{"typ":"vm","id":11151001,"val":2500}]}</v>
      </c>
      <c r="T817" s="148">
        <f>IFERROR(__xludf.DUMMYFUNCTION("""COMPUTED_VALUE"""),-1.0)</f>
        <v>-1</v>
      </c>
      <c r="U817" s="148">
        <f>IFERROR(__xludf.DUMMYFUNCTION("""COMPUTED_VALUE"""),0.0)</f>
        <v>0</v>
      </c>
      <c r="V817" s="148" t="str">
        <f>IFERROR(__xludf.DUMMYFUNCTION("""COMPUTED_VALUE"""),"[]")</f>
        <v>[]</v>
      </c>
      <c r="W817" s="148">
        <f>IFERROR(__xludf.DUMMYFUNCTION("""COMPUTED_VALUE"""),1.174E7)</f>
        <v>11740000</v>
      </c>
      <c r="X817" s="148">
        <f>IFERROR(__xludf.DUMMYFUNCTION("""COMPUTED_VALUE"""),0.0)</f>
        <v>0</v>
      </c>
      <c r="Y817" s="148">
        <f>IFERROR(__xludf.DUMMYFUNCTION("""COMPUTED_VALUE"""),0.0)</f>
        <v>0</v>
      </c>
      <c r="Z817" s="148"/>
    </row>
    <row r="818">
      <c r="A818" s="148">
        <f>IFERROR(__xludf.DUMMYFUNCTION("""COMPUTED_VALUE"""),1.1112615E7)</f>
        <v>11112615</v>
      </c>
      <c r="B818" s="148" t="str">
        <f>IFERROR(__xludf.DUMMYFUNCTION("""COMPUTED_VALUE"""),"2025周年庆装饰gacha道具-许愿瓶")</f>
        <v>2025周年庆装饰gacha道具-许愿瓶</v>
      </c>
      <c r="C818" s="148"/>
      <c r="D818" s="148" t="str">
        <f>IFERROR(__xludf.DUMMYFUNCTION("""COMPUTED_VALUE"""),"event")</f>
        <v>event</v>
      </c>
      <c r="E818" s="148">
        <f>IFERROR(__xludf.DUMMYFUNCTION("""COMPUTED_VALUE"""),0.0)</f>
        <v>0</v>
      </c>
      <c r="F818" s="148">
        <f>IFERROR(__xludf.DUMMYFUNCTION("""COMPUTED_VALUE"""),408193.0)</f>
        <v>408193</v>
      </c>
      <c r="G818" s="148">
        <f>IFERROR(__xludf.DUMMYFUNCTION("""COMPUTED_VALUE"""),1.51102402E8)</f>
        <v>151102402</v>
      </c>
      <c r="H818" s="148">
        <f>IFERROR(__xludf.DUMMYFUNCTION("""COMPUTED_VALUE"""),1.5112564E7)</f>
        <v>15112564</v>
      </c>
      <c r="I818" s="148" t="str">
        <f>IFERROR(__xludf.DUMMYFUNCTION("""COMPUTED_VALUE"""),"{}")</f>
        <v>{}</v>
      </c>
      <c r="J818" s="148" t="str">
        <f>IFERROR(__xludf.DUMMYFUNCTION("""COMPUTED_VALUE"""),"{""typ"":""lc"",""txt"":""LC_ITEM_decorations_wish_item_name""}")</f>
        <v>{"typ":"lc","txt":"LC_ITEM_decorations_wish_item_name"}</v>
      </c>
      <c r="K818" s="148" t="str">
        <f>IFERROR(__xludf.DUMMYFUNCTION("""COMPUTED_VALUE"""),"{""typ"":""lc"",""txt"":""LC_ITEM_decorations_wish_item_desc""}")</f>
        <v>{"typ":"lc","txt":"LC_ITEM_decorations_wish_item_desc"}</v>
      </c>
      <c r="L818" s="148" t="str">
        <f>IFERROR(__xludf.DUMMYFUNCTION("""COMPUTED_VALUE"""),"{}")</f>
        <v>{}</v>
      </c>
      <c r="M818" s="148">
        <f>IFERROR(__xludf.DUMMYFUNCTION("""COMPUTED_VALUE"""),700.0)</f>
        <v>700</v>
      </c>
      <c r="N818" s="148">
        <f>IFERROR(__xludf.DUMMYFUNCTION("""COMPUTED_VALUE"""),9.99999999E8)</f>
        <v>999999999</v>
      </c>
      <c r="O818" s="148">
        <f>IFERROR(__xludf.DUMMYFUNCTION("""COMPUTED_VALUE"""),9.99999999E8)</f>
        <v>999999999</v>
      </c>
      <c r="P818" s="148">
        <f>IFERROR(__xludf.DUMMYFUNCTION("""COMPUTED_VALUE"""),9.99999999E8)</f>
        <v>999999999</v>
      </c>
      <c r="Q818" s="148" t="str">
        <f>IFERROR(__xludf.DUMMYFUNCTION("""COMPUTED_VALUE"""),"[""bag_other""]")</f>
        <v>["bag_other"]</v>
      </c>
      <c r="R818" s="148" t="str">
        <f>IFERROR(__xludf.DUMMYFUNCTION("""COMPUTED_VALUE"""),"[""bag""]")</f>
        <v>["bag"]</v>
      </c>
      <c r="S818" s="148" t="str">
        <f>IFERROR(__xludf.DUMMYFUNCTION("""COMPUTED_VALUE"""),"{}")</f>
        <v>{}</v>
      </c>
      <c r="T818" s="148">
        <f>IFERROR(__xludf.DUMMYFUNCTION("""COMPUTED_VALUE"""),1.0)</f>
        <v>1</v>
      </c>
      <c r="U818" s="148">
        <f>IFERROR(__xludf.DUMMYFUNCTION("""COMPUTED_VALUE"""),0.0)</f>
        <v>0</v>
      </c>
      <c r="V818" s="148" t="str">
        <f>IFERROR(__xludf.DUMMYFUNCTION("""COMPUTED_VALUE"""),"[]")</f>
        <v>[]</v>
      </c>
      <c r="W818" s="148">
        <f>IFERROR(__xludf.DUMMYFUNCTION("""COMPUTED_VALUE"""),1.174E7)</f>
        <v>11740000</v>
      </c>
      <c r="X818" s="148">
        <f>IFERROR(__xludf.DUMMYFUNCTION("""COMPUTED_VALUE"""),0.0)</f>
        <v>0</v>
      </c>
      <c r="Y818" s="148">
        <f>IFERROR(__xludf.DUMMYFUNCTION("""COMPUTED_VALUE"""),0.0)</f>
        <v>0</v>
      </c>
      <c r="Z818" s="148"/>
    </row>
    <row r="819">
      <c r="A819" s="148">
        <f>IFERROR(__xludf.DUMMYFUNCTION("""COMPUTED_VALUE"""),1.1112616E7)</f>
        <v>11112616</v>
      </c>
      <c r="B819" s="148" t="str">
        <f>IFERROR(__xludf.DUMMYFUNCTION("""COMPUTED_VALUE"""),"2025周年GACHA-弹珠GACHA兑换道具")</f>
        <v>2025周年GACHA-弹珠GACHA兑换道具</v>
      </c>
      <c r="C819" s="148"/>
      <c r="D819" s="148" t="str">
        <f>IFERROR(__xludf.DUMMYFUNCTION("""COMPUTED_VALUE"""),"event")</f>
        <v>event</v>
      </c>
      <c r="E819" s="148">
        <f>IFERROR(__xludf.DUMMYFUNCTION("""COMPUTED_VALUE"""),0.0)</f>
        <v>0</v>
      </c>
      <c r="F819" s="148">
        <f>IFERROR(__xludf.DUMMYFUNCTION("""COMPUTED_VALUE"""),405210.0)</f>
        <v>405210</v>
      </c>
      <c r="G819" s="148">
        <f>IFERROR(__xludf.DUMMYFUNCTION("""COMPUTED_VALUE"""),1.51102446E8)</f>
        <v>151102446</v>
      </c>
      <c r="H819" s="148">
        <f>IFERROR(__xludf.DUMMYFUNCTION("""COMPUTED_VALUE"""),1.5112564E7)</f>
        <v>15112564</v>
      </c>
      <c r="I819" s="148" t="str">
        <f>IFERROR(__xludf.DUMMYFUNCTION("""COMPUTED_VALUE"""),"{}")</f>
        <v>{}</v>
      </c>
      <c r="J819" s="148" t="str">
        <f>IFERROR(__xludf.DUMMYFUNCTION("""COMPUTED_VALUE"""),"{""typ"":""lc"",""txt"":""LC_EVENT_2025anni_marble_gacha_item_name_1""}")</f>
        <v>{"typ":"lc","txt":"LC_EVENT_2025anni_marble_gacha_item_name_1"}</v>
      </c>
      <c r="K819" s="148" t="str">
        <f>IFERROR(__xludf.DUMMYFUNCTION("""COMPUTED_VALUE"""),"{""typ"":""lc"",""txt"":""LC_EVENT_2025anni_marble_gacha_item_desc_1""}")</f>
        <v>{"typ":"lc","txt":"LC_EVENT_2025anni_marble_gacha_item_desc_1"}</v>
      </c>
      <c r="L819" s="148" t="str">
        <f>IFERROR(__xludf.DUMMYFUNCTION("""COMPUTED_VALUE"""),"{}")</f>
        <v>{}</v>
      </c>
      <c r="M819" s="148">
        <f>IFERROR(__xludf.DUMMYFUNCTION("""COMPUTED_VALUE"""),700.0)</f>
        <v>700</v>
      </c>
      <c r="N819" s="148">
        <f>IFERROR(__xludf.DUMMYFUNCTION("""COMPUTED_VALUE"""),9.99999999E8)</f>
        <v>999999999</v>
      </c>
      <c r="O819" s="148">
        <f>IFERROR(__xludf.DUMMYFUNCTION("""COMPUTED_VALUE"""),9.99999999E8)</f>
        <v>999999999</v>
      </c>
      <c r="P819" s="148">
        <f>IFERROR(__xludf.DUMMYFUNCTION("""COMPUTED_VALUE"""),9.99999999E8)</f>
        <v>999999999</v>
      </c>
      <c r="Q819" s="148" t="str">
        <f>IFERROR(__xludf.DUMMYFUNCTION("""COMPUTED_VALUE"""),"[""bag_other""]")</f>
        <v>["bag_other"]</v>
      </c>
      <c r="R819" s="148" t="str">
        <f>IFERROR(__xludf.DUMMYFUNCTION("""COMPUTED_VALUE"""),"[""bag""]")</f>
        <v>["bag"]</v>
      </c>
      <c r="S819" s="148" t="str">
        <f>IFERROR(__xludf.DUMMYFUNCTION("""COMPUTED_VALUE"""),"{}")</f>
        <v>{}</v>
      </c>
      <c r="T819" s="148">
        <f>IFERROR(__xludf.DUMMYFUNCTION("""COMPUTED_VALUE"""),1.0)</f>
        <v>1</v>
      </c>
      <c r="U819" s="148">
        <f>IFERROR(__xludf.DUMMYFUNCTION("""COMPUTED_VALUE"""),0.0)</f>
        <v>0</v>
      </c>
      <c r="V819" s="148" t="str">
        <f>IFERROR(__xludf.DUMMYFUNCTION("""COMPUTED_VALUE"""),"[]")</f>
        <v>[]</v>
      </c>
      <c r="W819" s="148">
        <f>IFERROR(__xludf.DUMMYFUNCTION("""COMPUTED_VALUE"""),1.174E7)</f>
        <v>11740000</v>
      </c>
      <c r="X819" s="148">
        <f>IFERROR(__xludf.DUMMYFUNCTION("""COMPUTED_VALUE"""),0.0)</f>
        <v>0</v>
      </c>
      <c r="Y819" s="148">
        <f>IFERROR(__xludf.DUMMYFUNCTION("""COMPUTED_VALUE"""),0.0)</f>
        <v>0</v>
      </c>
      <c r="Z819" s="148"/>
    </row>
    <row r="820">
      <c r="A820" s="148">
        <f>IFERROR(__xludf.DUMMYFUNCTION("""COMPUTED_VALUE"""),1.1112617E7)</f>
        <v>11112617</v>
      </c>
      <c r="B820" s="148" t="str">
        <f>IFERROR(__xludf.DUMMYFUNCTION("""COMPUTED_VALUE"""),"2025周年-投票券")</f>
        <v>2025周年-投票券</v>
      </c>
      <c r="C820" s="148"/>
      <c r="D820" s="148" t="str">
        <f>IFERROR(__xludf.DUMMYFUNCTION("""COMPUTED_VALUE"""),"event")</f>
        <v>event</v>
      </c>
      <c r="E820" s="148">
        <f>IFERROR(__xludf.DUMMYFUNCTION("""COMPUTED_VALUE"""),0.0)</f>
        <v>0</v>
      </c>
      <c r="F820" s="148">
        <f>IFERROR(__xludf.DUMMYFUNCTION("""COMPUTED_VALUE"""),405210.0)</f>
        <v>405210</v>
      </c>
      <c r="G820" s="148">
        <f>IFERROR(__xludf.DUMMYFUNCTION("""COMPUTED_VALUE"""),1.51102444E8)</f>
        <v>151102444</v>
      </c>
      <c r="H820" s="148">
        <f>IFERROR(__xludf.DUMMYFUNCTION("""COMPUTED_VALUE"""),1.5112564E7)</f>
        <v>15112564</v>
      </c>
      <c r="I820" s="148" t="str">
        <f>IFERROR(__xludf.DUMMYFUNCTION("""COMPUTED_VALUE"""),"{}")</f>
        <v>{}</v>
      </c>
      <c r="J820" s="148" t="str">
        <f>IFERROR(__xludf.DUMMYFUNCTION("""COMPUTED_VALUE"""),"{""typ"":""lc"",""txt"":""LC_EVENT_2025anni_vote_item_name""}")</f>
        <v>{"typ":"lc","txt":"LC_EVENT_2025anni_vote_item_name"}</v>
      </c>
      <c r="K820" s="148" t="str">
        <f>IFERROR(__xludf.DUMMYFUNCTION("""COMPUTED_VALUE"""),"{""typ"":""lc"",""txt"":""LC_EVENT_2025anni_vote_item_desc""}")</f>
        <v>{"typ":"lc","txt":"LC_EVENT_2025anni_vote_item_desc"}</v>
      </c>
      <c r="L820" s="148" t="str">
        <f>IFERROR(__xludf.DUMMYFUNCTION("""COMPUTED_VALUE"""),"{}")</f>
        <v>{}</v>
      </c>
      <c r="M820" s="148">
        <f>IFERROR(__xludf.DUMMYFUNCTION("""COMPUTED_VALUE"""),700.0)</f>
        <v>700</v>
      </c>
      <c r="N820" s="148">
        <f>IFERROR(__xludf.DUMMYFUNCTION("""COMPUTED_VALUE"""),9.99999999E8)</f>
        <v>999999999</v>
      </c>
      <c r="O820" s="148">
        <f>IFERROR(__xludf.DUMMYFUNCTION("""COMPUTED_VALUE"""),9.99999999E8)</f>
        <v>999999999</v>
      </c>
      <c r="P820" s="148">
        <f>IFERROR(__xludf.DUMMYFUNCTION("""COMPUTED_VALUE"""),9.99999999E8)</f>
        <v>999999999</v>
      </c>
      <c r="Q820" s="148" t="str">
        <f>IFERROR(__xludf.DUMMYFUNCTION("""COMPUTED_VALUE"""),"[""bag_other""]")</f>
        <v>["bag_other"]</v>
      </c>
      <c r="R820" s="148" t="str">
        <f>IFERROR(__xludf.DUMMYFUNCTION("""COMPUTED_VALUE"""),"[""bag""]")</f>
        <v>["bag"]</v>
      </c>
      <c r="S820" s="148" t="str">
        <f>IFERROR(__xludf.DUMMYFUNCTION("""COMPUTED_VALUE"""),"{}")</f>
        <v>{}</v>
      </c>
      <c r="T820" s="148">
        <f>IFERROR(__xludf.DUMMYFUNCTION("""COMPUTED_VALUE"""),1.0)</f>
        <v>1</v>
      </c>
      <c r="U820" s="148">
        <f>IFERROR(__xludf.DUMMYFUNCTION("""COMPUTED_VALUE"""),0.0)</f>
        <v>0</v>
      </c>
      <c r="V820" s="148" t="str">
        <f>IFERROR(__xludf.DUMMYFUNCTION("""COMPUTED_VALUE"""),"[]")</f>
        <v>[]</v>
      </c>
      <c r="W820" s="148">
        <f>IFERROR(__xludf.DUMMYFUNCTION("""COMPUTED_VALUE"""),1.174E7)</f>
        <v>11740000</v>
      </c>
      <c r="X820" s="148">
        <f>IFERROR(__xludf.DUMMYFUNCTION("""COMPUTED_VALUE"""),0.0)</f>
        <v>0</v>
      </c>
      <c r="Y820" s="148">
        <f>IFERROR(__xludf.DUMMYFUNCTION("""COMPUTED_VALUE"""),0.0)</f>
        <v>0</v>
      </c>
      <c r="Z820" s="148"/>
    </row>
    <row r="821">
      <c r="A821" s="148">
        <f>IFERROR(__xludf.DUMMYFUNCTION("""COMPUTED_VALUE"""),1.1112618E7)</f>
        <v>11112618</v>
      </c>
      <c r="B821" s="148" t="str">
        <f>IFERROR(__xludf.DUMMYFUNCTION("""COMPUTED_VALUE"""),"2025周年庆-装饰升级版本（投放用）")</f>
        <v>2025周年庆-装饰升级版本（投放用）</v>
      </c>
      <c r="C821" s="148"/>
      <c r="D821" s="148" t="str">
        <f>IFERROR(__xludf.DUMMYFUNCTION("""COMPUTED_VALUE"""),"statue_decorate")</f>
        <v>statue_decorate</v>
      </c>
      <c r="E821" s="148">
        <f>IFERROR(__xludf.DUMMYFUNCTION("""COMPUTED_VALUE"""),23.0)</f>
        <v>23</v>
      </c>
      <c r="F821" s="148">
        <f>IFERROR(__xludf.DUMMYFUNCTION("""COMPUTED_VALUE"""),0.0)</f>
        <v>0</v>
      </c>
      <c r="G821" s="148">
        <f>IFERROR(__xludf.DUMMYFUNCTION("""COMPUTED_VALUE"""),1.51102394E8)</f>
        <v>151102394</v>
      </c>
      <c r="H821" s="148">
        <f>IFERROR(__xludf.DUMMYFUNCTION("""COMPUTED_VALUE"""),1.5112564E7)</f>
        <v>15112564</v>
      </c>
      <c r="I821" s="148" t="str">
        <f>IFERROR(__xludf.DUMMYFUNCTION("""COMPUTED_VALUE"""),"{}")</f>
        <v>{}</v>
      </c>
      <c r="J821" s="148" t="str">
        <f>IFERROR(__xludf.DUMMYFUNCTION("""COMPUTED_VALUE"""),"{""typ"":""lc"",""txt"":""LC_ITEM_2025anni_dec_item_2""}")</f>
        <v>{"typ":"lc","txt":"LC_ITEM_2025anni_dec_item_2"}</v>
      </c>
      <c r="K821" s="148" t="str">
        <f>IFERROR(__xludf.DUMMYFUNCTION("""COMPUTED_VALUE"""),"{""typ"":""lc"",""txt"":""LC_ITEM_2025anni_dec_item_3_desc""}")</f>
        <v>{"typ":"lc","txt":"LC_ITEM_2025anni_dec_item_3_desc"}</v>
      </c>
      <c r="L821" s="148" t="str">
        <f>IFERROR(__xludf.DUMMYFUNCTION("""COMPUTED_VALUE"""),"{}")</f>
        <v>{}</v>
      </c>
      <c r="M821" s="148">
        <f>IFERROR(__xludf.DUMMYFUNCTION("""COMPUTED_VALUE"""),5000.0)</f>
        <v>5000</v>
      </c>
      <c r="N821" s="148">
        <f>IFERROR(__xludf.DUMMYFUNCTION("""COMPUTED_VALUE"""),999.0)</f>
        <v>999</v>
      </c>
      <c r="O821" s="148">
        <f>IFERROR(__xludf.DUMMYFUNCTION("""COMPUTED_VALUE"""),99999.0)</f>
        <v>99999</v>
      </c>
      <c r="P821" s="148">
        <f>IFERROR(__xludf.DUMMYFUNCTION("""COMPUTED_VALUE"""),99999.0)</f>
        <v>99999</v>
      </c>
      <c r="Q821" s="148" t="str">
        <f>IFERROR(__xludf.DUMMYFUNCTION("""COMPUTED_VALUE"""),"[]")</f>
        <v>[]</v>
      </c>
      <c r="R821" s="148" t="str">
        <f>IFERROR(__xludf.DUMMYFUNCTION("""COMPUTED_VALUE"""),"[""bag""]")</f>
        <v>["bag"]</v>
      </c>
      <c r="S821" s="148" t="str">
        <f>IFERROR(__xludf.DUMMYFUNCTION("""COMPUTED_VALUE"""),"{""effect"":[{""typ"":""holiday_statue"",""id"":21483301}]}")</f>
        <v>{"effect":[{"typ":"holiday_statue","id":21483301}]}</v>
      </c>
      <c r="T821" s="148">
        <f>IFERROR(__xludf.DUMMYFUNCTION("""COMPUTED_VALUE"""),-1.0)</f>
        <v>-1</v>
      </c>
      <c r="U821" s="148">
        <f>IFERROR(__xludf.DUMMYFUNCTION("""COMPUTED_VALUE"""),1.0)</f>
        <v>1</v>
      </c>
      <c r="V821" s="148" t="str">
        <f>IFERROR(__xludf.DUMMYFUNCTION("""COMPUTED_VALUE"""),"[]")</f>
        <v>[]</v>
      </c>
      <c r="W821" s="148">
        <f>IFERROR(__xludf.DUMMYFUNCTION("""COMPUTED_VALUE"""),1.174E7)</f>
        <v>11740000</v>
      </c>
      <c r="X821" s="148">
        <f>IFERROR(__xludf.DUMMYFUNCTION("""COMPUTED_VALUE"""),0.0)</f>
        <v>0</v>
      </c>
      <c r="Y821" s="148">
        <f>IFERROR(__xludf.DUMMYFUNCTION("""COMPUTED_VALUE"""),0.0)</f>
        <v>0</v>
      </c>
      <c r="Z821" s="148"/>
    </row>
    <row r="822">
      <c r="A822" s="148">
        <f>IFERROR(__xludf.DUMMYFUNCTION("""COMPUTED_VALUE"""),1.1112619E7)</f>
        <v>11112619</v>
      </c>
      <c r="B822" s="148" t="str">
        <f>IFERROR(__xludf.DUMMYFUNCTION("""COMPUTED_VALUE"""),"2025周年庆-装饰升级道具")</f>
        <v>2025周年庆-装饰升级道具</v>
      </c>
      <c r="C822" s="148"/>
      <c r="D822" s="148" t="str">
        <f>IFERROR(__xludf.DUMMYFUNCTION("""COMPUTED_VALUE"""),"event")</f>
        <v>event</v>
      </c>
      <c r="E822" s="148">
        <f>IFERROR(__xludf.DUMMYFUNCTION("""COMPUTED_VALUE"""),0.0)</f>
        <v>0</v>
      </c>
      <c r="F822" s="148">
        <f>IFERROR(__xludf.DUMMYFUNCTION("""COMPUTED_VALUE"""),405243.0)</f>
        <v>405243</v>
      </c>
      <c r="G822" s="148">
        <f>IFERROR(__xludf.DUMMYFUNCTION("""COMPUTED_VALUE"""),1.51102394E8)</f>
        <v>151102394</v>
      </c>
      <c r="H822" s="148">
        <f>IFERROR(__xludf.DUMMYFUNCTION("""COMPUTED_VALUE"""),1.5112564E7)</f>
        <v>15112564</v>
      </c>
      <c r="I822" s="148" t="str">
        <f>IFERROR(__xludf.DUMMYFUNCTION("""COMPUTED_VALUE"""),"{}")</f>
        <v>{}</v>
      </c>
      <c r="J822" s="148" t="str">
        <f>IFERROR(__xludf.DUMMYFUNCTION("""COMPUTED_VALUE"""),"{""typ"":""lc"",""txt"":""LC_ITEM_2025anni_dec_item_2""}")</f>
        <v>{"typ":"lc","txt":"LC_ITEM_2025anni_dec_item_2"}</v>
      </c>
      <c r="K822" s="148" t="str">
        <f>IFERROR(__xludf.DUMMYFUNCTION("""COMPUTED_VALUE"""),"{""typ"":""lc"",""txt"":""LC_ITEM_2025anni_dec_item_3_desc""}")</f>
        <v>{"typ":"lc","txt":"LC_ITEM_2025anni_dec_item_3_desc"}</v>
      </c>
      <c r="L822" s="148" t="str">
        <f>IFERROR(__xludf.DUMMYFUNCTION("""COMPUTED_VALUE"""),"{}")</f>
        <v>{}</v>
      </c>
      <c r="M822" s="148">
        <f>IFERROR(__xludf.DUMMYFUNCTION("""COMPUTED_VALUE"""),1000.0)</f>
        <v>1000</v>
      </c>
      <c r="N822" s="148">
        <f>IFERROR(__xludf.DUMMYFUNCTION("""COMPUTED_VALUE"""),9.99999999E8)</f>
        <v>999999999</v>
      </c>
      <c r="O822" s="148">
        <f>IFERROR(__xludf.DUMMYFUNCTION("""COMPUTED_VALUE"""),9.99999999E8)</f>
        <v>999999999</v>
      </c>
      <c r="P822" s="148">
        <f>IFERROR(__xludf.DUMMYFUNCTION("""COMPUTED_VALUE"""),9.99999999E8)</f>
        <v>999999999</v>
      </c>
      <c r="Q822" s="148" t="str">
        <f>IFERROR(__xludf.DUMMYFUNCTION("""COMPUTED_VALUE"""),"[""bag_other""]")</f>
        <v>["bag_other"]</v>
      </c>
      <c r="R822" s="148" t="str">
        <f>IFERROR(__xludf.DUMMYFUNCTION("""COMPUTED_VALUE"""),"[]")</f>
        <v>[]</v>
      </c>
      <c r="S822" s="148" t="str">
        <f>IFERROR(__xludf.DUMMYFUNCTION("""COMPUTED_VALUE"""),"{}")</f>
        <v>{}</v>
      </c>
      <c r="T822" s="148">
        <f>IFERROR(__xludf.DUMMYFUNCTION("""COMPUTED_VALUE"""),-1.0)</f>
        <v>-1</v>
      </c>
      <c r="U822" s="148">
        <f>IFERROR(__xludf.DUMMYFUNCTION("""COMPUTED_VALUE"""),0.0)</f>
        <v>0</v>
      </c>
      <c r="V822" s="148" t="str">
        <f>IFERROR(__xludf.DUMMYFUNCTION("""COMPUTED_VALUE"""),"[]")</f>
        <v>[]</v>
      </c>
      <c r="W822" s="148">
        <f>IFERROR(__xludf.DUMMYFUNCTION("""COMPUTED_VALUE"""),1.174E7)</f>
        <v>11740000</v>
      </c>
      <c r="X822" s="148">
        <f>IFERROR(__xludf.DUMMYFUNCTION("""COMPUTED_VALUE"""),0.0)</f>
        <v>0</v>
      </c>
      <c r="Y822" s="148">
        <f>IFERROR(__xludf.DUMMYFUNCTION("""COMPUTED_VALUE"""),0.0)</f>
        <v>0</v>
      </c>
      <c r="Z822" s="148"/>
    </row>
    <row r="823">
      <c r="A823" s="148">
        <f>IFERROR(__xludf.DUMMYFUNCTION("""COMPUTED_VALUE"""),1.111262E7)</f>
        <v>11112620</v>
      </c>
      <c r="B823" s="148" t="str">
        <f>IFERROR(__xludf.DUMMYFUNCTION("""COMPUTED_VALUE"""),"2025周年庆-装饰建筑-1级-组件1-石头平台")</f>
        <v>2025周年庆-装饰建筑-1级-组件1-石头平台</v>
      </c>
      <c r="C823" s="148"/>
      <c r="D823" s="148" t="str">
        <f>IFERROR(__xludf.DUMMYFUNCTION("""COMPUTED_VALUE"""),"event")</f>
        <v>event</v>
      </c>
      <c r="E823" s="148">
        <f>IFERROR(__xludf.DUMMYFUNCTION("""COMPUTED_VALUE"""),0.0)</f>
        <v>0</v>
      </c>
      <c r="F823" s="148">
        <f>IFERROR(__xludf.DUMMYFUNCTION("""COMPUTED_VALUE"""),405215.0)</f>
        <v>405215</v>
      </c>
      <c r="G823" s="148">
        <f>IFERROR(__xludf.DUMMYFUNCTION("""COMPUTED_VALUE"""),1.51102397E8)</f>
        <v>151102397</v>
      </c>
      <c r="H823" s="148">
        <f>IFERROR(__xludf.DUMMYFUNCTION("""COMPUTED_VALUE"""),1.5112564E7)</f>
        <v>15112564</v>
      </c>
      <c r="I823" s="148" t="str">
        <f>IFERROR(__xludf.DUMMYFUNCTION("""COMPUTED_VALUE"""),"{}")</f>
        <v>{}</v>
      </c>
      <c r="J823" s="148" t="str">
        <f>IFERROR(__xludf.DUMMYFUNCTION("""COMPUTED_VALUE"""),"{""typ"":""lc"",""txt"":""LC_ITEM_2025anni_dec_part_item_name_1""}")</f>
        <v>{"typ":"lc","txt":"LC_ITEM_2025anni_dec_part_item_name_1"}</v>
      </c>
      <c r="K823" s="148" t="str">
        <f>IFERROR(__xludf.DUMMYFUNCTION("""COMPUTED_VALUE"""),"{""typ"":""lc"",""txt"":""LC_ITEM_2025anni_dec_part_item_desc_1""}")</f>
        <v>{"typ":"lc","txt":"LC_ITEM_2025anni_dec_part_item_desc_1"}</v>
      </c>
      <c r="L823" s="148" t="str">
        <f>IFERROR(__xludf.DUMMYFUNCTION("""COMPUTED_VALUE"""),"{}")</f>
        <v>{}</v>
      </c>
      <c r="M823" s="148">
        <f>IFERROR(__xludf.DUMMYFUNCTION("""COMPUTED_VALUE"""),35.0)</f>
        <v>35</v>
      </c>
      <c r="N823" s="148">
        <f>IFERROR(__xludf.DUMMYFUNCTION("""COMPUTED_VALUE"""),999999.0)</f>
        <v>999999</v>
      </c>
      <c r="O823" s="148">
        <f>IFERROR(__xludf.DUMMYFUNCTION("""COMPUTED_VALUE"""),99999.0)</f>
        <v>99999</v>
      </c>
      <c r="P823" s="148">
        <f>IFERROR(__xludf.DUMMYFUNCTION("""COMPUTED_VALUE"""),99999.0)</f>
        <v>99999</v>
      </c>
      <c r="Q823" s="148" t="str">
        <f>IFERROR(__xludf.DUMMYFUNCTION("""COMPUTED_VALUE"""),"[""bag_other""]")</f>
        <v>["bag_other"]</v>
      </c>
      <c r="R823" s="148" t="str">
        <f>IFERROR(__xludf.DUMMYFUNCTION("""COMPUTED_VALUE"""),"[]")</f>
        <v>[]</v>
      </c>
      <c r="S823" s="148" t="str">
        <f>IFERROR(__xludf.DUMMYFUNCTION("""COMPUTED_VALUE"""),"{}")</f>
        <v>{}</v>
      </c>
      <c r="T823" s="148">
        <f>IFERROR(__xludf.DUMMYFUNCTION("""COMPUTED_VALUE"""),1.0)</f>
        <v>1</v>
      </c>
      <c r="U823" s="148">
        <f>IFERROR(__xludf.DUMMYFUNCTION("""COMPUTED_VALUE"""),0.0)</f>
        <v>0</v>
      </c>
      <c r="V823" s="148" t="str">
        <f>IFERROR(__xludf.DUMMYFUNCTION("""COMPUTED_VALUE"""),"[]")</f>
        <v>[]</v>
      </c>
      <c r="W823" s="148">
        <f>IFERROR(__xludf.DUMMYFUNCTION("""COMPUTED_VALUE"""),1.174E7)</f>
        <v>11740000</v>
      </c>
      <c r="X823" s="148">
        <f>IFERROR(__xludf.DUMMYFUNCTION("""COMPUTED_VALUE"""),0.0)</f>
        <v>0</v>
      </c>
      <c r="Y823" s="148">
        <f>IFERROR(__xludf.DUMMYFUNCTION("""COMPUTED_VALUE"""),0.0)</f>
        <v>0</v>
      </c>
      <c r="Z823" s="148"/>
    </row>
    <row r="824">
      <c r="A824" s="148">
        <f>IFERROR(__xludf.DUMMYFUNCTION("""COMPUTED_VALUE"""),1.1112621E7)</f>
        <v>11112621</v>
      </c>
      <c r="B824" s="148" t="str">
        <f>IFERROR(__xludf.DUMMYFUNCTION("""COMPUTED_VALUE"""),"2025周年庆-装饰建筑-1级-组件2-星星装饰")</f>
        <v>2025周年庆-装饰建筑-1级-组件2-星星装饰</v>
      </c>
      <c r="C824" s="148"/>
      <c r="D824" s="148" t="str">
        <f>IFERROR(__xludf.DUMMYFUNCTION("""COMPUTED_VALUE"""),"event")</f>
        <v>event</v>
      </c>
      <c r="E824" s="148">
        <f>IFERROR(__xludf.DUMMYFUNCTION("""COMPUTED_VALUE"""),0.0)</f>
        <v>0</v>
      </c>
      <c r="F824" s="148">
        <f>IFERROR(__xludf.DUMMYFUNCTION("""COMPUTED_VALUE"""),405214.0)</f>
        <v>405214</v>
      </c>
      <c r="G824" s="148">
        <f>IFERROR(__xludf.DUMMYFUNCTION("""COMPUTED_VALUE"""),1.51102398E8)</f>
        <v>151102398</v>
      </c>
      <c r="H824" s="148">
        <f>IFERROR(__xludf.DUMMYFUNCTION("""COMPUTED_VALUE"""),1.5112564E7)</f>
        <v>15112564</v>
      </c>
      <c r="I824" s="148" t="str">
        <f>IFERROR(__xludf.DUMMYFUNCTION("""COMPUTED_VALUE"""),"{}")</f>
        <v>{}</v>
      </c>
      <c r="J824" s="148" t="str">
        <f>IFERROR(__xludf.DUMMYFUNCTION("""COMPUTED_VALUE"""),"{""typ"":""lc"",""txt"":""LC_ITEM_2025anni_dec_part_item_name_2""}")</f>
        <v>{"typ":"lc","txt":"LC_ITEM_2025anni_dec_part_item_name_2"}</v>
      </c>
      <c r="K824" s="148" t="str">
        <f>IFERROR(__xludf.DUMMYFUNCTION("""COMPUTED_VALUE"""),"{""typ"":""lc"",""txt"":""LC_ITEM_2025anni_dec_part_item_desc_2""}")</f>
        <v>{"typ":"lc","txt":"LC_ITEM_2025anni_dec_part_item_desc_2"}</v>
      </c>
      <c r="L824" s="148" t="str">
        <f>IFERROR(__xludf.DUMMYFUNCTION("""COMPUTED_VALUE"""),"{}")</f>
        <v>{}</v>
      </c>
      <c r="M824" s="148">
        <f>IFERROR(__xludf.DUMMYFUNCTION("""COMPUTED_VALUE"""),35.0)</f>
        <v>35</v>
      </c>
      <c r="N824" s="148">
        <f>IFERROR(__xludf.DUMMYFUNCTION("""COMPUTED_VALUE"""),999999.0)</f>
        <v>999999</v>
      </c>
      <c r="O824" s="148">
        <f>IFERROR(__xludf.DUMMYFUNCTION("""COMPUTED_VALUE"""),99999.0)</f>
        <v>99999</v>
      </c>
      <c r="P824" s="148">
        <f>IFERROR(__xludf.DUMMYFUNCTION("""COMPUTED_VALUE"""),99999.0)</f>
        <v>99999</v>
      </c>
      <c r="Q824" s="148" t="str">
        <f>IFERROR(__xludf.DUMMYFUNCTION("""COMPUTED_VALUE"""),"[""bag_other""]")</f>
        <v>["bag_other"]</v>
      </c>
      <c r="R824" s="148" t="str">
        <f>IFERROR(__xludf.DUMMYFUNCTION("""COMPUTED_VALUE"""),"[]")</f>
        <v>[]</v>
      </c>
      <c r="S824" s="148" t="str">
        <f>IFERROR(__xludf.DUMMYFUNCTION("""COMPUTED_VALUE"""),"{}")</f>
        <v>{}</v>
      </c>
      <c r="T824" s="148">
        <f>IFERROR(__xludf.DUMMYFUNCTION("""COMPUTED_VALUE"""),1.0)</f>
        <v>1</v>
      </c>
      <c r="U824" s="148">
        <f>IFERROR(__xludf.DUMMYFUNCTION("""COMPUTED_VALUE"""),0.0)</f>
        <v>0</v>
      </c>
      <c r="V824" s="148" t="str">
        <f>IFERROR(__xludf.DUMMYFUNCTION("""COMPUTED_VALUE"""),"[]")</f>
        <v>[]</v>
      </c>
      <c r="W824" s="148">
        <f>IFERROR(__xludf.DUMMYFUNCTION("""COMPUTED_VALUE"""),1.174E7)</f>
        <v>11740000</v>
      </c>
      <c r="X824" s="148">
        <f>IFERROR(__xludf.DUMMYFUNCTION("""COMPUTED_VALUE"""),0.0)</f>
        <v>0</v>
      </c>
      <c r="Y824" s="148">
        <f>IFERROR(__xludf.DUMMYFUNCTION("""COMPUTED_VALUE"""),0.0)</f>
        <v>0</v>
      </c>
      <c r="Z824" s="148"/>
    </row>
    <row r="825">
      <c r="A825" s="148">
        <f>IFERROR(__xludf.DUMMYFUNCTION("""COMPUTED_VALUE"""),1.1112622E7)</f>
        <v>11112622</v>
      </c>
      <c r="B825" s="148" t="str">
        <f>IFERROR(__xludf.DUMMYFUNCTION("""COMPUTED_VALUE"""),"2025周年庆-装饰建筑-1级-组件3-水草装饰")</f>
        <v>2025周年庆-装饰建筑-1级-组件3-水草装饰</v>
      </c>
      <c r="C825" s="148"/>
      <c r="D825" s="148" t="str">
        <f>IFERROR(__xludf.DUMMYFUNCTION("""COMPUTED_VALUE"""),"event")</f>
        <v>event</v>
      </c>
      <c r="E825" s="148">
        <f>IFERROR(__xludf.DUMMYFUNCTION("""COMPUTED_VALUE"""),0.0)</f>
        <v>0</v>
      </c>
      <c r="F825" s="148">
        <f>IFERROR(__xludf.DUMMYFUNCTION("""COMPUTED_VALUE"""),405213.0)</f>
        <v>405213</v>
      </c>
      <c r="G825" s="148">
        <f>IFERROR(__xludf.DUMMYFUNCTION("""COMPUTED_VALUE"""),1.51102399E8)</f>
        <v>151102399</v>
      </c>
      <c r="H825" s="148">
        <f>IFERROR(__xludf.DUMMYFUNCTION("""COMPUTED_VALUE"""),1.5112564E7)</f>
        <v>15112564</v>
      </c>
      <c r="I825" s="148" t="str">
        <f>IFERROR(__xludf.DUMMYFUNCTION("""COMPUTED_VALUE"""),"{}")</f>
        <v>{}</v>
      </c>
      <c r="J825" s="148" t="str">
        <f>IFERROR(__xludf.DUMMYFUNCTION("""COMPUTED_VALUE"""),"{""typ"":""lc"",""txt"":""LC_ITEM_2025anni_dec_part_item_name_3""}")</f>
        <v>{"typ":"lc","txt":"LC_ITEM_2025anni_dec_part_item_name_3"}</v>
      </c>
      <c r="K825" s="148" t="str">
        <f>IFERROR(__xludf.DUMMYFUNCTION("""COMPUTED_VALUE"""),"{""typ"":""lc"",""txt"":""LC_ITEM_2025anni_dec_part_item_desc_3""}")</f>
        <v>{"typ":"lc","txt":"LC_ITEM_2025anni_dec_part_item_desc_3"}</v>
      </c>
      <c r="L825" s="148" t="str">
        <f>IFERROR(__xludf.DUMMYFUNCTION("""COMPUTED_VALUE"""),"{}")</f>
        <v>{}</v>
      </c>
      <c r="M825" s="148">
        <f>IFERROR(__xludf.DUMMYFUNCTION("""COMPUTED_VALUE"""),35.0)</f>
        <v>35</v>
      </c>
      <c r="N825" s="148">
        <f>IFERROR(__xludf.DUMMYFUNCTION("""COMPUTED_VALUE"""),999999.0)</f>
        <v>999999</v>
      </c>
      <c r="O825" s="148">
        <f>IFERROR(__xludf.DUMMYFUNCTION("""COMPUTED_VALUE"""),99999.0)</f>
        <v>99999</v>
      </c>
      <c r="P825" s="148">
        <f>IFERROR(__xludf.DUMMYFUNCTION("""COMPUTED_VALUE"""),99999.0)</f>
        <v>99999</v>
      </c>
      <c r="Q825" s="148" t="str">
        <f>IFERROR(__xludf.DUMMYFUNCTION("""COMPUTED_VALUE"""),"[""bag_other""]")</f>
        <v>["bag_other"]</v>
      </c>
      <c r="R825" s="148" t="str">
        <f>IFERROR(__xludf.DUMMYFUNCTION("""COMPUTED_VALUE"""),"[]")</f>
        <v>[]</v>
      </c>
      <c r="S825" s="148" t="str">
        <f>IFERROR(__xludf.DUMMYFUNCTION("""COMPUTED_VALUE"""),"{}")</f>
        <v>{}</v>
      </c>
      <c r="T825" s="148">
        <f>IFERROR(__xludf.DUMMYFUNCTION("""COMPUTED_VALUE"""),1.0)</f>
        <v>1</v>
      </c>
      <c r="U825" s="148">
        <f>IFERROR(__xludf.DUMMYFUNCTION("""COMPUTED_VALUE"""),0.0)</f>
        <v>0</v>
      </c>
      <c r="V825" s="148" t="str">
        <f>IFERROR(__xludf.DUMMYFUNCTION("""COMPUTED_VALUE"""),"[]")</f>
        <v>[]</v>
      </c>
      <c r="W825" s="148">
        <f>IFERROR(__xludf.DUMMYFUNCTION("""COMPUTED_VALUE"""),1.174E7)</f>
        <v>11740000</v>
      </c>
      <c r="X825" s="148">
        <f>IFERROR(__xludf.DUMMYFUNCTION("""COMPUTED_VALUE"""),0.0)</f>
        <v>0</v>
      </c>
      <c r="Y825" s="148">
        <f>IFERROR(__xludf.DUMMYFUNCTION("""COMPUTED_VALUE"""),0.0)</f>
        <v>0</v>
      </c>
      <c r="Z825" s="148"/>
    </row>
    <row r="826">
      <c r="A826" s="148">
        <f>IFERROR(__xludf.DUMMYFUNCTION("""COMPUTED_VALUE"""),1.1112623E7)</f>
        <v>11112623</v>
      </c>
      <c r="B826" s="148" t="str">
        <f>IFERROR(__xludf.DUMMYFUNCTION("""COMPUTED_VALUE"""),"2025周年庆-装饰建筑-1级-组件4-珍珠")</f>
        <v>2025周年庆-装饰建筑-1级-组件4-珍珠</v>
      </c>
      <c r="C826" s="148"/>
      <c r="D826" s="148" t="str">
        <f>IFERROR(__xludf.DUMMYFUNCTION("""COMPUTED_VALUE"""),"event")</f>
        <v>event</v>
      </c>
      <c r="E826" s="148">
        <f>IFERROR(__xludf.DUMMYFUNCTION("""COMPUTED_VALUE"""),0.0)</f>
        <v>0</v>
      </c>
      <c r="F826" s="148">
        <f>IFERROR(__xludf.DUMMYFUNCTION("""COMPUTED_VALUE"""),405212.0)</f>
        <v>405212</v>
      </c>
      <c r="G826" s="148">
        <f>IFERROR(__xludf.DUMMYFUNCTION("""COMPUTED_VALUE"""),1.511024E8)</f>
        <v>151102400</v>
      </c>
      <c r="H826" s="148">
        <f>IFERROR(__xludf.DUMMYFUNCTION("""COMPUTED_VALUE"""),1.5112564E7)</f>
        <v>15112564</v>
      </c>
      <c r="I826" s="148" t="str">
        <f>IFERROR(__xludf.DUMMYFUNCTION("""COMPUTED_VALUE"""),"{}")</f>
        <v>{}</v>
      </c>
      <c r="J826" s="148" t="str">
        <f>IFERROR(__xludf.DUMMYFUNCTION("""COMPUTED_VALUE"""),"{""typ"":""lc"",""txt"":""LC_ITEM_2025anni_dec_part_item_name_4""}")</f>
        <v>{"typ":"lc","txt":"LC_ITEM_2025anni_dec_part_item_name_4"}</v>
      </c>
      <c r="K826" s="148" t="str">
        <f>IFERROR(__xludf.DUMMYFUNCTION("""COMPUTED_VALUE"""),"{""typ"":""lc"",""txt"":""LC_ITEM_2025anni_dec_part_item_desc_4""}")</f>
        <v>{"typ":"lc","txt":"LC_ITEM_2025anni_dec_part_item_desc_4"}</v>
      </c>
      <c r="L826" s="148" t="str">
        <f>IFERROR(__xludf.DUMMYFUNCTION("""COMPUTED_VALUE"""),"{}")</f>
        <v>{}</v>
      </c>
      <c r="M826" s="148">
        <f>IFERROR(__xludf.DUMMYFUNCTION("""COMPUTED_VALUE"""),35.0)</f>
        <v>35</v>
      </c>
      <c r="N826" s="148">
        <f>IFERROR(__xludf.DUMMYFUNCTION("""COMPUTED_VALUE"""),999999.0)</f>
        <v>999999</v>
      </c>
      <c r="O826" s="148">
        <f>IFERROR(__xludf.DUMMYFUNCTION("""COMPUTED_VALUE"""),99999.0)</f>
        <v>99999</v>
      </c>
      <c r="P826" s="148">
        <f>IFERROR(__xludf.DUMMYFUNCTION("""COMPUTED_VALUE"""),99999.0)</f>
        <v>99999</v>
      </c>
      <c r="Q826" s="148" t="str">
        <f>IFERROR(__xludf.DUMMYFUNCTION("""COMPUTED_VALUE"""),"[""bag_other""]")</f>
        <v>["bag_other"]</v>
      </c>
      <c r="R826" s="148" t="str">
        <f>IFERROR(__xludf.DUMMYFUNCTION("""COMPUTED_VALUE"""),"[]")</f>
        <v>[]</v>
      </c>
      <c r="S826" s="148" t="str">
        <f>IFERROR(__xludf.DUMMYFUNCTION("""COMPUTED_VALUE"""),"{}")</f>
        <v>{}</v>
      </c>
      <c r="T826" s="148">
        <f>IFERROR(__xludf.DUMMYFUNCTION("""COMPUTED_VALUE"""),1.0)</f>
        <v>1</v>
      </c>
      <c r="U826" s="148">
        <f>IFERROR(__xludf.DUMMYFUNCTION("""COMPUTED_VALUE"""),0.0)</f>
        <v>0</v>
      </c>
      <c r="V826" s="148" t="str">
        <f>IFERROR(__xludf.DUMMYFUNCTION("""COMPUTED_VALUE"""),"[]")</f>
        <v>[]</v>
      </c>
      <c r="W826" s="148">
        <f>IFERROR(__xludf.DUMMYFUNCTION("""COMPUTED_VALUE"""),1.174E7)</f>
        <v>11740000</v>
      </c>
      <c r="X826" s="148">
        <f>IFERROR(__xludf.DUMMYFUNCTION("""COMPUTED_VALUE"""),0.0)</f>
        <v>0</v>
      </c>
      <c r="Y826" s="148">
        <f>IFERROR(__xludf.DUMMYFUNCTION("""COMPUTED_VALUE"""),0.0)</f>
        <v>0</v>
      </c>
      <c r="Z826" s="148"/>
    </row>
    <row r="827">
      <c r="A827" s="148">
        <f>IFERROR(__xludf.DUMMYFUNCTION("""COMPUTED_VALUE"""),1.1112624E7)</f>
        <v>11112624</v>
      </c>
      <c r="B827" s="148" t="str">
        <f>IFERROR(__xludf.DUMMYFUNCTION("""COMPUTED_VALUE"""),"2025周年庆-装饰建筑-1级-组件5-海马")</f>
        <v>2025周年庆-装饰建筑-1级-组件5-海马</v>
      </c>
      <c r="C827" s="148"/>
      <c r="D827" s="148" t="str">
        <f>IFERROR(__xludf.DUMMYFUNCTION("""COMPUTED_VALUE"""),"event")</f>
        <v>event</v>
      </c>
      <c r="E827" s="148">
        <f>IFERROR(__xludf.DUMMYFUNCTION("""COMPUTED_VALUE"""),0.0)</f>
        <v>0</v>
      </c>
      <c r="F827" s="148">
        <f>IFERROR(__xludf.DUMMYFUNCTION("""COMPUTED_VALUE"""),405211.0)</f>
        <v>405211</v>
      </c>
      <c r="G827" s="148">
        <f>IFERROR(__xludf.DUMMYFUNCTION("""COMPUTED_VALUE"""),1.51102401E8)</f>
        <v>151102401</v>
      </c>
      <c r="H827" s="148">
        <f>IFERROR(__xludf.DUMMYFUNCTION("""COMPUTED_VALUE"""),1.5112564E7)</f>
        <v>15112564</v>
      </c>
      <c r="I827" s="148" t="str">
        <f>IFERROR(__xludf.DUMMYFUNCTION("""COMPUTED_VALUE"""),"{}")</f>
        <v>{}</v>
      </c>
      <c r="J827" s="148" t="str">
        <f>IFERROR(__xludf.DUMMYFUNCTION("""COMPUTED_VALUE"""),"{""typ"":""lc"",""txt"":""LC_ITEM_2025anni_dec_part_item_name_5""}")</f>
        <v>{"typ":"lc","txt":"LC_ITEM_2025anni_dec_part_item_name_5"}</v>
      </c>
      <c r="K827" s="148" t="str">
        <f>IFERROR(__xludf.DUMMYFUNCTION("""COMPUTED_VALUE"""),"{""typ"":""lc"",""txt"":""LC_ITEM_2025anni_dec_part_item_desc_5""}")</f>
        <v>{"typ":"lc","txt":"LC_ITEM_2025anni_dec_part_item_desc_5"}</v>
      </c>
      <c r="L827" s="148" t="str">
        <f>IFERROR(__xludf.DUMMYFUNCTION("""COMPUTED_VALUE"""),"{}")</f>
        <v>{}</v>
      </c>
      <c r="M827" s="148">
        <f>IFERROR(__xludf.DUMMYFUNCTION("""COMPUTED_VALUE"""),35.0)</f>
        <v>35</v>
      </c>
      <c r="N827" s="148">
        <f>IFERROR(__xludf.DUMMYFUNCTION("""COMPUTED_VALUE"""),999999.0)</f>
        <v>999999</v>
      </c>
      <c r="O827" s="148">
        <f>IFERROR(__xludf.DUMMYFUNCTION("""COMPUTED_VALUE"""),99999.0)</f>
        <v>99999</v>
      </c>
      <c r="P827" s="148">
        <f>IFERROR(__xludf.DUMMYFUNCTION("""COMPUTED_VALUE"""),99999.0)</f>
        <v>99999</v>
      </c>
      <c r="Q827" s="148" t="str">
        <f>IFERROR(__xludf.DUMMYFUNCTION("""COMPUTED_VALUE"""),"[""bag_other""]")</f>
        <v>["bag_other"]</v>
      </c>
      <c r="R827" s="148" t="str">
        <f>IFERROR(__xludf.DUMMYFUNCTION("""COMPUTED_VALUE"""),"[]")</f>
        <v>[]</v>
      </c>
      <c r="S827" s="148" t="str">
        <f>IFERROR(__xludf.DUMMYFUNCTION("""COMPUTED_VALUE"""),"{}")</f>
        <v>{}</v>
      </c>
      <c r="T827" s="148">
        <f>IFERROR(__xludf.DUMMYFUNCTION("""COMPUTED_VALUE"""),1.0)</f>
        <v>1</v>
      </c>
      <c r="U827" s="148">
        <f>IFERROR(__xludf.DUMMYFUNCTION("""COMPUTED_VALUE"""),0.0)</f>
        <v>0</v>
      </c>
      <c r="V827" s="148" t="str">
        <f>IFERROR(__xludf.DUMMYFUNCTION("""COMPUTED_VALUE"""),"[]")</f>
        <v>[]</v>
      </c>
      <c r="W827" s="148">
        <f>IFERROR(__xludf.DUMMYFUNCTION("""COMPUTED_VALUE"""),1.174E7)</f>
        <v>11740000</v>
      </c>
      <c r="X827" s="148">
        <f>IFERROR(__xludf.DUMMYFUNCTION("""COMPUTED_VALUE"""),0.0)</f>
        <v>0</v>
      </c>
      <c r="Y827" s="148">
        <f>IFERROR(__xludf.DUMMYFUNCTION("""COMPUTED_VALUE"""),0.0)</f>
        <v>0</v>
      </c>
      <c r="Z827" s="148"/>
    </row>
    <row r="828">
      <c r="A828" s="148">
        <f>IFERROR(__xludf.DUMMYFUNCTION("""COMPUTED_VALUE"""),1.1112625E7)</f>
        <v>11112625</v>
      </c>
      <c r="B828" s="148" t="str">
        <f>IFERROR(__xludf.DUMMYFUNCTION("""COMPUTED_VALUE"""),"2025周年庆-单笔充值-个人阶段奖励1")</f>
        <v>2025周年庆-单笔充值-个人阶段奖励1</v>
      </c>
      <c r="C828" s="148"/>
      <c r="D828" s="148" t="str">
        <f>IFERROR(__xludf.DUMMYFUNCTION("""COMPUTED_VALUE"""),"item_asset")</f>
        <v>item_asset</v>
      </c>
      <c r="E828" s="148">
        <f>IFERROR(__xludf.DUMMYFUNCTION("""COMPUTED_VALUE"""),19.0)</f>
        <v>19</v>
      </c>
      <c r="F828" s="148">
        <f>IFERROR(__xludf.DUMMYFUNCTION("""COMPUTED_VALUE"""),0.0)</f>
        <v>0</v>
      </c>
      <c r="G828" s="148">
        <f>IFERROR(__xludf.DUMMYFUNCTION("""COMPUTED_VALUE"""),1.5110352E7)</f>
        <v>15110352</v>
      </c>
      <c r="H828" s="148">
        <f>IFERROR(__xludf.DUMMYFUNCTION("""COMPUTED_VALUE"""),1.5112564E7)</f>
        <v>15112564</v>
      </c>
      <c r="I828" s="148" t="str">
        <f>IFERROR(__xludf.DUMMYFUNCTION("""COMPUTED_VALUE"""),"{}")</f>
        <v>{}</v>
      </c>
      <c r="J828" s="148" t="str">
        <f>IFERROR(__xludf.DUMMYFUNCTION("""COMPUTED_VALUE"""),"{""typ"":""lc"",""txt"":""LC_EVENT_droptopay_tuohuang_box_name""}")</f>
        <v>{"typ":"lc","txt":"LC_EVENT_droptopay_tuohuang_box_name"}</v>
      </c>
      <c r="K828" s="148" t="str">
        <f>IFERROR(__xludf.DUMMYFUNCTION("""COMPUTED_VALUE"""),"{""typ"":""lc"",""txt"":""LC_EVENT_droptopay_tuohuang_box_desc""}")</f>
        <v>{"typ":"lc","txt":"LC_EVENT_droptopay_tuohuang_box_desc"}</v>
      </c>
      <c r="L828" s="148" t="str">
        <f>IFERROR(__xludf.DUMMYFUNCTION("""COMPUTED_VALUE"""),"{}")</f>
        <v>{}</v>
      </c>
      <c r="M828" s="148">
        <f>IFERROR(__xludf.DUMMYFUNCTION("""COMPUTED_VALUE"""),1000.0)</f>
        <v>1000</v>
      </c>
      <c r="N828" s="148">
        <f>IFERROR(__xludf.DUMMYFUNCTION("""COMPUTED_VALUE"""),999999.0)</f>
        <v>999999</v>
      </c>
      <c r="O828" s="148">
        <f>IFERROR(__xludf.DUMMYFUNCTION("""COMPUTED_VALUE"""),99999.0)</f>
        <v>99999</v>
      </c>
      <c r="P828" s="148">
        <f>IFERROR(__xludf.DUMMYFUNCTION("""COMPUTED_VALUE"""),9999.0)</f>
        <v>9999</v>
      </c>
      <c r="Q828" s="148" t="str">
        <f>IFERROR(__xludf.DUMMYFUNCTION("""COMPUTED_VALUE"""),"[""bag_other""]")</f>
        <v>["bag_other"]</v>
      </c>
      <c r="R828" s="148" t="str">
        <f>IFERROR(__xludf.DUMMYFUNCTION("""COMPUTED_VALUE"""),"[""bag""]")</f>
        <v>["bag"]</v>
      </c>
      <c r="S828" s="148" t="str">
        <f>IFERROR(__xludf.DUMMYFUNCTION("""COMPUTED_VALUE"""),"{""drop"":{""typ"":""single_random"",""num"":1,""args"":[{""typ"":""item"",""id"":11112649,""num"":1,""wgt"":500},{""typ"":""item"",""id"":11112649,""num"":2,""wgt"":300},{""typ"":""item"",""id"":11112649,""num"":3,""wgt"":100},{""typ"":""item"",""id"":11"&amp;"112649,""num"":5,""wgt"":80},{""typ"":""item"",""id"":11112649,""num"":8,""wgt"":20}]}}")</f>
        <v>{"drop":{"typ":"single_random","num":1,"args":[{"typ":"item","id":11112649,"num":1,"wgt":500},{"typ":"item","id":11112649,"num":2,"wgt":300},{"typ":"item","id":11112649,"num":3,"wgt":100},{"typ":"item","id":11112649,"num":5,"wgt":80},{"typ":"item","id":11112649,"num":8,"wgt":20}]}}</v>
      </c>
      <c r="T828" s="148">
        <f>IFERROR(__xludf.DUMMYFUNCTION("""COMPUTED_VALUE"""),-1.0)</f>
        <v>-1</v>
      </c>
      <c r="U828" s="148">
        <f>IFERROR(__xludf.DUMMYFUNCTION("""COMPUTED_VALUE"""),0.0)</f>
        <v>0</v>
      </c>
      <c r="V828" s="148" t="str">
        <f>IFERROR(__xludf.DUMMYFUNCTION("""COMPUTED_VALUE"""),"[]")</f>
        <v>[]</v>
      </c>
      <c r="W828" s="148">
        <f>IFERROR(__xludf.DUMMYFUNCTION("""COMPUTED_VALUE"""),1.174E7)</f>
        <v>11740000</v>
      </c>
      <c r="X828" s="148">
        <f>IFERROR(__xludf.DUMMYFUNCTION("""COMPUTED_VALUE"""),0.0)</f>
        <v>0</v>
      </c>
      <c r="Y828" s="148">
        <f>IFERROR(__xludf.DUMMYFUNCTION("""COMPUTED_VALUE"""),0.0)</f>
        <v>0</v>
      </c>
      <c r="Z828" s="148"/>
    </row>
    <row r="829">
      <c r="A829" s="148">
        <f>IFERROR(__xludf.DUMMYFUNCTION("""COMPUTED_VALUE"""),1.1112626E7)</f>
        <v>11112626</v>
      </c>
      <c r="B829" s="148" t="str">
        <f>IFERROR(__xludf.DUMMYFUNCTION("""COMPUTED_VALUE"""),"2025周年庆-单笔充值-个人阶段奖励2")</f>
        <v>2025周年庆-单笔充值-个人阶段奖励2</v>
      </c>
      <c r="C829" s="148"/>
      <c r="D829" s="148" t="str">
        <f>IFERROR(__xludf.DUMMYFUNCTION("""COMPUTED_VALUE"""),"item_asset")</f>
        <v>item_asset</v>
      </c>
      <c r="E829" s="148">
        <f>IFERROR(__xludf.DUMMYFUNCTION("""COMPUTED_VALUE"""),19.0)</f>
        <v>19</v>
      </c>
      <c r="F829" s="148">
        <f>IFERROR(__xludf.DUMMYFUNCTION("""COMPUTED_VALUE"""),0.0)</f>
        <v>0</v>
      </c>
      <c r="G829" s="148">
        <f>IFERROR(__xludf.DUMMYFUNCTION("""COMPUTED_VALUE"""),1.5110352E7)</f>
        <v>15110352</v>
      </c>
      <c r="H829" s="148">
        <f>IFERROR(__xludf.DUMMYFUNCTION("""COMPUTED_VALUE"""),1.5112564E7)</f>
        <v>15112564</v>
      </c>
      <c r="I829" s="148" t="str">
        <f>IFERROR(__xludf.DUMMYFUNCTION("""COMPUTED_VALUE"""),"{}")</f>
        <v>{}</v>
      </c>
      <c r="J829" s="148" t="str">
        <f>IFERROR(__xludf.DUMMYFUNCTION("""COMPUTED_VALUE"""),"{""typ"":""lc"",""txt"":""LC_EVENT_droptopay_tuohuang_box_name""}")</f>
        <v>{"typ":"lc","txt":"LC_EVENT_droptopay_tuohuang_box_name"}</v>
      </c>
      <c r="K829" s="148" t="str">
        <f>IFERROR(__xludf.DUMMYFUNCTION("""COMPUTED_VALUE"""),"{""typ"":""lc"",""txt"":""LC_EVENT_droptopay_tuohuang_box_desc""}")</f>
        <v>{"typ":"lc","txt":"LC_EVENT_droptopay_tuohuang_box_desc"}</v>
      </c>
      <c r="L829" s="148" t="str">
        <f>IFERROR(__xludf.DUMMYFUNCTION("""COMPUTED_VALUE"""),"{}")</f>
        <v>{}</v>
      </c>
      <c r="M829" s="148">
        <f>IFERROR(__xludf.DUMMYFUNCTION("""COMPUTED_VALUE"""),1000.0)</f>
        <v>1000</v>
      </c>
      <c r="N829" s="148">
        <f>IFERROR(__xludf.DUMMYFUNCTION("""COMPUTED_VALUE"""),999999.0)</f>
        <v>999999</v>
      </c>
      <c r="O829" s="148">
        <f>IFERROR(__xludf.DUMMYFUNCTION("""COMPUTED_VALUE"""),99999.0)</f>
        <v>99999</v>
      </c>
      <c r="P829" s="148">
        <f>IFERROR(__xludf.DUMMYFUNCTION("""COMPUTED_VALUE"""),9999.0)</f>
        <v>9999</v>
      </c>
      <c r="Q829" s="148" t="str">
        <f>IFERROR(__xludf.DUMMYFUNCTION("""COMPUTED_VALUE"""),"[""bag_other""]")</f>
        <v>["bag_other"]</v>
      </c>
      <c r="R829" s="148" t="str">
        <f>IFERROR(__xludf.DUMMYFUNCTION("""COMPUTED_VALUE"""),"[""bag""]")</f>
        <v>["bag"]</v>
      </c>
      <c r="S829" s="148" t="str">
        <f>IFERROR(__xludf.DUMMYFUNCTION("""COMPUTED_VALUE"""),"{""drop"":{""typ"":""single_random"",""num"":1,""args"":[{""typ"":""item"",""id"":11112649,""num"":4,""wgt"":500},{""typ"":""item"",""id"":11112649,""num"":5,""wgt"":300},{""typ"":""item"",""id"":11112649,""num"":6,""wgt"":100},{""typ"":""item"",""id"":11"&amp;"112649,""num"":10,""wgt"":80},{""typ"":""item"",""id"":11112649,""num"":15,""wgt"":20}]}}")</f>
        <v>{"drop":{"typ":"single_random","num":1,"args":[{"typ":"item","id":11112649,"num":4,"wgt":500},{"typ":"item","id":11112649,"num":5,"wgt":300},{"typ":"item","id":11112649,"num":6,"wgt":100},{"typ":"item","id":11112649,"num":10,"wgt":80},{"typ":"item","id":11112649,"num":15,"wgt":20}]}}</v>
      </c>
      <c r="T829" s="148">
        <f>IFERROR(__xludf.DUMMYFUNCTION("""COMPUTED_VALUE"""),-1.0)</f>
        <v>-1</v>
      </c>
      <c r="U829" s="148">
        <f>IFERROR(__xludf.DUMMYFUNCTION("""COMPUTED_VALUE"""),0.0)</f>
        <v>0</v>
      </c>
      <c r="V829" s="148" t="str">
        <f>IFERROR(__xludf.DUMMYFUNCTION("""COMPUTED_VALUE"""),"[]")</f>
        <v>[]</v>
      </c>
      <c r="W829" s="148">
        <f>IFERROR(__xludf.DUMMYFUNCTION("""COMPUTED_VALUE"""),1.174E7)</f>
        <v>11740000</v>
      </c>
      <c r="X829" s="148">
        <f>IFERROR(__xludf.DUMMYFUNCTION("""COMPUTED_VALUE"""),0.0)</f>
        <v>0</v>
      </c>
      <c r="Y829" s="148">
        <f>IFERROR(__xludf.DUMMYFUNCTION("""COMPUTED_VALUE"""),0.0)</f>
        <v>0</v>
      </c>
      <c r="Z829" s="148"/>
    </row>
    <row r="830">
      <c r="A830" s="148">
        <f>IFERROR(__xludf.DUMMYFUNCTION("""COMPUTED_VALUE"""),1.1112627E7)</f>
        <v>11112627</v>
      </c>
      <c r="B830" s="148" t="str">
        <f>IFERROR(__xludf.DUMMYFUNCTION("""COMPUTED_VALUE"""),"2025周年庆-单笔充值-个人阶段奖励3")</f>
        <v>2025周年庆-单笔充值-个人阶段奖励3</v>
      </c>
      <c r="C830" s="148"/>
      <c r="D830" s="148" t="str">
        <f>IFERROR(__xludf.DUMMYFUNCTION("""COMPUTED_VALUE"""),"item_asset")</f>
        <v>item_asset</v>
      </c>
      <c r="E830" s="148">
        <f>IFERROR(__xludf.DUMMYFUNCTION("""COMPUTED_VALUE"""),19.0)</f>
        <v>19</v>
      </c>
      <c r="F830" s="148">
        <f>IFERROR(__xludf.DUMMYFUNCTION("""COMPUTED_VALUE"""),0.0)</f>
        <v>0</v>
      </c>
      <c r="G830" s="148">
        <f>IFERROR(__xludf.DUMMYFUNCTION("""COMPUTED_VALUE"""),1.5110352E7)</f>
        <v>15110352</v>
      </c>
      <c r="H830" s="148">
        <f>IFERROR(__xludf.DUMMYFUNCTION("""COMPUTED_VALUE"""),1.5112564E7)</f>
        <v>15112564</v>
      </c>
      <c r="I830" s="148" t="str">
        <f>IFERROR(__xludf.DUMMYFUNCTION("""COMPUTED_VALUE"""),"{}")</f>
        <v>{}</v>
      </c>
      <c r="J830" s="148" t="str">
        <f>IFERROR(__xludf.DUMMYFUNCTION("""COMPUTED_VALUE"""),"{""typ"":""lc"",""txt"":""LC_EVENT_droptopay_tuohuang_box_name""}")</f>
        <v>{"typ":"lc","txt":"LC_EVENT_droptopay_tuohuang_box_name"}</v>
      </c>
      <c r="K830" s="148" t="str">
        <f>IFERROR(__xludf.DUMMYFUNCTION("""COMPUTED_VALUE"""),"{""typ"":""lc"",""txt"":""LC_EVENT_droptopay_tuohuang_box_desc""}")</f>
        <v>{"typ":"lc","txt":"LC_EVENT_droptopay_tuohuang_box_desc"}</v>
      </c>
      <c r="L830" s="148" t="str">
        <f>IFERROR(__xludf.DUMMYFUNCTION("""COMPUTED_VALUE"""),"{}")</f>
        <v>{}</v>
      </c>
      <c r="M830" s="148">
        <f>IFERROR(__xludf.DUMMYFUNCTION("""COMPUTED_VALUE"""),1000.0)</f>
        <v>1000</v>
      </c>
      <c r="N830" s="148">
        <f>IFERROR(__xludf.DUMMYFUNCTION("""COMPUTED_VALUE"""),999999.0)</f>
        <v>999999</v>
      </c>
      <c r="O830" s="148">
        <f>IFERROR(__xludf.DUMMYFUNCTION("""COMPUTED_VALUE"""),99999.0)</f>
        <v>99999</v>
      </c>
      <c r="P830" s="148">
        <f>IFERROR(__xludf.DUMMYFUNCTION("""COMPUTED_VALUE"""),9999.0)</f>
        <v>9999</v>
      </c>
      <c r="Q830" s="148" t="str">
        <f>IFERROR(__xludf.DUMMYFUNCTION("""COMPUTED_VALUE"""),"[""bag_other""]")</f>
        <v>["bag_other"]</v>
      </c>
      <c r="R830" s="148" t="str">
        <f>IFERROR(__xludf.DUMMYFUNCTION("""COMPUTED_VALUE"""),"[""bag""]")</f>
        <v>["bag"]</v>
      </c>
      <c r="S830" s="148" t="str">
        <f>IFERROR(__xludf.DUMMYFUNCTION("""COMPUTED_VALUE"""),"{""drop"":{""typ"":""single_random"",""num"":1,""args"":[{""typ"":""item"",""id"":11112649,""num"":8,""wgt"":500},{""typ"":""item"",""id"":11112649,""num"":10,""wgt"":300},{""typ"":""item"",""id"":11112649,""num"":12,""wgt"":100},{""typ"":""item"",""id"":"&amp;"11112649,""num"":15,""wgt"":80},{""typ"":""item"",""id"":11112649,""num"":30,""wgt"":20}]}}")</f>
        <v>{"drop":{"typ":"single_random","num":1,"args":[{"typ":"item","id":11112649,"num":8,"wgt":500},{"typ":"item","id":11112649,"num":10,"wgt":300},{"typ":"item","id":11112649,"num":12,"wgt":100},{"typ":"item","id":11112649,"num":15,"wgt":80},{"typ":"item","id":11112649,"num":30,"wgt":20}]}}</v>
      </c>
      <c r="T830" s="148">
        <f>IFERROR(__xludf.DUMMYFUNCTION("""COMPUTED_VALUE"""),-1.0)</f>
        <v>-1</v>
      </c>
      <c r="U830" s="148">
        <f>IFERROR(__xludf.DUMMYFUNCTION("""COMPUTED_VALUE"""),0.0)</f>
        <v>0</v>
      </c>
      <c r="V830" s="148" t="str">
        <f>IFERROR(__xludf.DUMMYFUNCTION("""COMPUTED_VALUE"""),"[]")</f>
        <v>[]</v>
      </c>
      <c r="W830" s="148">
        <f>IFERROR(__xludf.DUMMYFUNCTION("""COMPUTED_VALUE"""),1.174E7)</f>
        <v>11740000</v>
      </c>
      <c r="X830" s="148">
        <f>IFERROR(__xludf.DUMMYFUNCTION("""COMPUTED_VALUE"""),0.0)</f>
        <v>0</v>
      </c>
      <c r="Y830" s="148">
        <f>IFERROR(__xludf.DUMMYFUNCTION("""COMPUTED_VALUE"""),0.0)</f>
        <v>0</v>
      </c>
      <c r="Z830" s="148"/>
    </row>
    <row r="831">
      <c r="A831" s="148">
        <f>IFERROR(__xludf.DUMMYFUNCTION("""COMPUTED_VALUE"""),1.1112628E7)</f>
        <v>11112628</v>
      </c>
      <c r="B831" s="148" t="str">
        <f>IFERROR(__xludf.DUMMYFUNCTION("""COMPUTED_VALUE"""),"2025周年庆-单笔充值-个人阶段奖励4")</f>
        <v>2025周年庆-单笔充值-个人阶段奖励4</v>
      </c>
      <c r="C831" s="148"/>
      <c r="D831" s="148" t="str">
        <f>IFERROR(__xludf.DUMMYFUNCTION("""COMPUTED_VALUE"""),"item_asset")</f>
        <v>item_asset</v>
      </c>
      <c r="E831" s="148">
        <f>IFERROR(__xludf.DUMMYFUNCTION("""COMPUTED_VALUE"""),19.0)</f>
        <v>19</v>
      </c>
      <c r="F831" s="148">
        <f>IFERROR(__xludf.DUMMYFUNCTION("""COMPUTED_VALUE"""),0.0)</f>
        <v>0</v>
      </c>
      <c r="G831" s="148">
        <f>IFERROR(__xludf.DUMMYFUNCTION("""COMPUTED_VALUE"""),1.5110352E7)</f>
        <v>15110352</v>
      </c>
      <c r="H831" s="148">
        <f>IFERROR(__xludf.DUMMYFUNCTION("""COMPUTED_VALUE"""),1.5112564E7)</f>
        <v>15112564</v>
      </c>
      <c r="I831" s="148" t="str">
        <f>IFERROR(__xludf.DUMMYFUNCTION("""COMPUTED_VALUE"""),"{}")</f>
        <v>{}</v>
      </c>
      <c r="J831" s="148" t="str">
        <f>IFERROR(__xludf.DUMMYFUNCTION("""COMPUTED_VALUE"""),"{""typ"":""lc"",""txt"":""LC_EVENT_droptopay_tuohuang_box_name""}")</f>
        <v>{"typ":"lc","txt":"LC_EVENT_droptopay_tuohuang_box_name"}</v>
      </c>
      <c r="K831" s="148" t="str">
        <f>IFERROR(__xludf.DUMMYFUNCTION("""COMPUTED_VALUE"""),"{""typ"":""lc"",""txt"":""LC_EVENT_droptopay_tuohuang_box_desc""}")</f>
        <v>{"typ":"lc","txt":"LC_EVENT_droptopay_tuohuang_box_desc"}</v>
      </c>
      <c r="L831" s="148" t="str">
        <f>IFERROR(__xludf.DUMMYFUNCTION("""COMPUTED_VALUE"""),"{}")</f>
        <v>{}</v>
      </c>
      <c r="M831" s="148">
        <f>IFERROR(__xludf.DUMMYFUNCTION("""COMPUTED_VALUE"""),1000.0)</f>
        <v>1000</v>
      </c>
      <c r="N831" s="148">
        <f>IFERROR(__xludf.DUMMYFUNCTION("""COMPUTED_VALUE"""),999999.0)</f>
        <v>999999</v>
      </c>
      <c r="O831" s="148">
        <f>IFERROR(__xludf.DUMMYFUNCTION("""COMPUTED_VALUE"""),99999.0)</f>
        <v>99999</v>
      </c>
      <c r="P831" s="148">
        <f>IFERROR(__xludf.DUMMYFUNCTION("""COMPUTED_VALUE"""),9999.0)</f>
        <v>9999</v>
      </c>
      <c r="Q831" s="148" t="str">
        <f>IFERROR(__xludf.DUMMYFUNCTION("""COMPUTED_VALUE"""),"[""bag_other""]")</f>
        <v>["bag_other"]</v>
      </c>
      <c r="R831" s="148" t="str">
        <f>IFERROR(__xludf.DUMMYFUNCTION("""COMPUTED_VALUE"""),"[""bag""]")</f>
        <v>["bag"]</v>
      </c>
      <c r="S831" s="148" t="str">
        <f>IFERROR(__xludf.DUMMYFUNCTION("""COMPUTED_VALUE"""),"{""drop"":{""typ"":""single_random"",""num"":1,""args"":[{""typ"":""item"",""id"":11112649,""num"":25,""wgt"":500},{""typ"":""item"",""id"":11112649,""num"":30,""wgt"":300},{""typ"":""item"",""id"":11112649,""num"":35,""wgt"":100},{""typ"":""item"",""id"""&amp;":11112649,""num"":50,""wgt"":80},{""typ"":""item"",""id"":11112649,""num"":70,""wgt"":20}]}}")</f>
        <v>{"drop":{"typ":"single_random","num":1,"args":[{"typ":"item","id":11112649,"num":25,"wgt":500},{"typ":"item","id":11112649,"num":30,"wgt":300},{"typ":"item","id":11112649,"num":35,"wgt":100},{"typ":"item","id":11112649,"num":50,"wgt":80},{"typ":"item","id":11112649,"num":70,"wgt":20}]}}</v>
      </c>
      <c r="T831" s="148">
        <f>IFERROR(__xludf.DUMMYFUNCTION("""COMPUTED_VALUE"""),-1.0)</f>
        <v>-1</v>
      </c>
      <c r="U831" s="148">
        <f>IFERROR(__xludf.DUMMYFUNCTION("""COMPUTED_VALUE"""),0.0)</f>
        <v>0</v>
      </c>
      <c r="V831" s="148" t="str">
        <f>IFERROR(__xludf.DUMMYFUNCTION("""COMPUTED_VALUE"""),"[]")</f>
        <v>[]</v>
      </c>
      <c r="W831" s="148">
        <f>IFERROR(__xludf.DUMMYFUNCTION("""COMPUTED_VALUE"""),1.174E7)</f>
        <v>11740000</v>
      </c>
      <c r="X831" s="148">
        <f>IFERROR(__xludf.DUMMYFUNCTION("""COMPUTED_VALUE"""),0.0)</f>
        <v>0</v>
      </c>
      <c r="Y831" s="148">
        <f>IFERROR(__xludf.DUMMYFUNCTION("""COMPUTED_VALUE"""),0.0)</f>
        <v>0</v>
      </c>
      <c r="Z831" s="148"/>
    </row>
    <row r="832">
      <c r="A832" s="148">
        <f>IFERROR(__xludf.DUMMYFUNCTION("""COMPUTED_VALUE"""),1.1112629E7)</f>
        <v>11112629</v>
      </c>
      <c r="B832" s="148" t="str">
        <f>IFERROR(__xludf.DUMMYFUNCTION("""COMPUTED_VALUE"""),"2025周年庆-单笔充值-个人阶段奖励5")</f>
        <v>2025周年庆-单笔充值-个人阶段奖励5</v>
      </c>
      <c r="C832" s="148"/>
      <c r="D832" s="148" t="str">
        <f>IFERROR(__xludf.DUMMYFUNCTION("""COMPUTED_VALUE"""),"item_asset")</f>
        <v>item_asset</v>
      </c>
      <c r="E832" s="148">
        <f>IFERROR(__xludf.DUMMYFUNCTION("""COMPUTED_VALUE"""),19.0)</f>
        <v>19</v>
      </c>
      <c r="F832" s="148">
        <f>IFERROR(__xludf.DUMMYFUNCTION("""COMPUTED_VALUE"""),0.0)</f>
        <v>0</v>
      </c>
      <c r="G832" s="148">
        <f>IFERROR(__xludf.DUMMYFUNCTION("""COMPUTED_VALUE"""),1.5110352E7)</f>
        <v>15110352</v>
      </c>
      <c r="H832" s="148">
        <f>IFERROR(__xludf.DUMMYFUNCTION("""COMPUTED_VALUE"""),1.5112564E7)</f>
        <v>15112564</v>
      </c>
      <c r="I832" s="148" t="str">
        <f>IFERROR(__xludf.DUMMYFUNCTION("""COMPUTED_VALUE"""),"{}")</f>
        <v>{}</v>
      </c>
      <c r="J832" s="148" t="str">
        <f>IFERROR(__xludf.DUMMYFUNCTION("""COMPUTED_VALUE"""),"{""typ"":""lc"",""txt"":""LC_EVENT_droptopay_tuohuang_box_name""}")</f>
        <v>{"typ":"lc","txt":"LC_EVENT_droptopay_tuohuang_box_name"}</v>
      </c>
      <c r="K832" s="148" t="str">
        <f>IFERROR(__xludf.DUMMYFUNCTION("""COMPUTED_VALUE"""),"{""typ"":""lc"",""txt"":""LC_EVENT_droptopay_tuohuang_box_desc""}")</f>
        <v>{"typ":"lc","txt":"LC_EVENT_droptopay_tuohuang_box_desc"}</v>
      </c>
      <c r="L832" s="148" t="str">
        <f>IFERROR(__xludf.DUMMYFUNCTION("""COMPUTED_VALUE"""),"{}")</f>
        <v>{}</v>
      </c>
      <c r="M832" s="148">
        <f>IFERROR(__xludf.DUMMYFUNCTION("""COMPUTED_VALUE"""),1000.0)</f>
        <v>1000</v>
      </c>
      <c r="N832" s="148">
        <f>IFERROR(__xludf.DUMMYFUNCTION("""COMPUTED_VALUE"""),999999.0)</f>
        <v>999999</v>
      </c>
      <c r="O832" s="148">
        <f>IFERROR(__xludf.DUMMYFUNCTION("""COMPUTED_VALUE"""),99999.0)</f>
        <v>99999</v>
      </c>
      <c r="P832" s="148">
        <f>IFERROR(__xludf.DUMMYFUNCTION("""COMPUTED_VALUE"""),9999.0)</f>
        <v>9999</v>
      </c>
      <c r="Q832" s="148" t="str">
        <f>IFERROR(__xludf.DUMMYFUNCTION("""COMPUTED_VALUE"""),"[""bag_other""]")</f>
        <v>["bag_other"]</v>
      </c>
      <c r="R832" s="148" t="str">
        <f>IFERROR(__xludf.DUMMYFUNCTION("""COMPUTED_VALUE"""),"[""bag""]")</f>
        <v>["bag"]</v>
      </c>
      <c r="S832" s="148" t="str">
        <f>IFERROR(__xludf.DUMMYFUNCTION("""COMPUTED_VALUE"""),"{""drop"":{""typ"":""single_random"",""num"":1,""args"":[{""typ"":""item"",""id"":11112649,""num"":45,""wgt"":500},{""typ"":""item"",""id"":11112649,""num"":50,""wgt"":300},{""typ"":""item"",""id"":11112649,""num"":60,""wgt"":100},{""typ"":""item"",""id"""&amp;":11112649,""num"":80,""wgt"":80},{""typ"":""item"",""id"":11112649,""num"":100,""wgt"":20}]}}")</f>
        <v>{"drop":{"typ":"single_random","num":1,"args":[{"typ":"item","id":11112649,"num":45,"wgt":500},{"typ":"item","id":11112649,"num":50,"wgt":300},{"typ":"item","id":11112649,"num":60,"wgt":100},{"typ":"item","id":11112649,"num":80,"wgt":80},{"typ":"item","id":11112649,"num":100,"wgt":20}]}}</v>
      </c>
      <c r="T832" s="148">
        <f>IFERROR(__xludf.DUMMYFUNCTION("""COMPUTED_VALUE"""),-1.0)</f>
        <v>-1</v>
      </c>
      <c r="U832" s="148">
        <f>IFERROR(__xludf.DUMMYFUNCTION("""COMPUTED_VALUE"""),0.0)</f>
        <v>0</v>
      </c>
      <c r="V832" s="148" t="str">
        <f>IFERROR(__xludf.DUMMYFUNCTION("""COMPUTED_VALUE"""),"[]")</f>
        <v>[]</v>
      </c>
      <c r="W832" s="148">
        <f>IFERROR(__xludf.DUMMYFUNCTION("""COMPUTED_VALUE"""),1.174E7)</f>
        <v>11740000</v>
      </c>
      <c r="X832" s="148">
        <f>IFERROR(__xludf.DUMMYFUNCTION("""COMPUTED_VALUE"""),0.0)</f>
        <v>0</v>
      </c>
      <c r="Y832" s="148">
        <f>IFERROR(__xludf.DUMMYFUNCTION("""COMPUTED_VALUE"""),0.0)</f>
        <v>0</v>
      </c>
      <c r="Z832" s="148"/>
    </row>
    <row r="833">
      <c r="A833" s="148">
        <f>IFERROR(__xludf.DUMMYFUNCTION("""COMPUTED_VALUE"""),1.111263E7)</f>
        <v>11112630</v>
      </c>
      <c r="B833" s="148" t="str">
        <f>IFERROR(__xludf.DUMMYFUNCTION("""COMPUTED_VALUE"""),"2025周年庆-单笔充值-个人阶段奖励6")</f>
        <v>2025周年庆-单笔充值-个人阶段奖励6</v>
      </c>
      <c r="C833" s="148"/>
      <c r="D833" s="148" t="str">
        <f>IFERROR(__xludf.DUMMYFUNCTION("""COMPUTED_VALUE"""),"item_asset")</f>
        <v>item_asset</v>
      </c>
      <c r="E833" s="148">
        <f>IFERROR(__xludf.DUMMYFUNCTION("""COMPUTED_VALUE"""),19.0)</f>
        <v>19</v>
      </c>
      <c r="F833" s="148">
        <f>IFERROR(__xludf.DUMMYFUNCTION("""COMPUTED_VALUE"""),0.0)</f>
        <v>0</v>
      </c>
      <c r="G833" s="148">
        <f>IFERROR(__xludf.DUMMYFUNCTION("""COMPUTED_VALUE"""),1.5110352E7)</f>
        <v>15110352</v>
      </c>
      <c r="H833" s="148">
        <f>IFERROR(__xludf.DUMMYFUNCTION("""COMPUTED_VALUE"""),1.5112564E7)</f>
        <v>15112564</v>
      </c>
      <c r="I833" s="148" t="str">
        <f>IFERROR(__xludf.DUMMYFUNCTION("""COMPUTED_VALUE"""),"{}")</f>
        <v>{}</v>
      </c>
      <c r="J833" s="148" t="str">
        <f>IFERROR(__xludf.DUMMYFUNCTION("""COMPUTED_VALUE"""),"{""typ"":""lc"",""txt"":""LC_EVENT_droptopay_tuohuang_box_name""}")</f>
        <v>{"typ":"lc","txt":"LC_EVENT_droptopay_tuohuang_box_name"}</v>
      </c>
      <c r="K833" s="148" t="str">
        <f>IFERROR(__xludf.DUMMYFUNCTION("""COMPUTED_VALUE"""),"{""typ"":""lc"",""txt"":""LC_EVENT_droptopay_tuohuang_box_desc""}")</f>
        <v>{"typ":"lc","txt":"LC_EVENT_droptopay_tuohuang_box_desc"}</v>
      </c>
      <c r="L833" s="148" t="str">
        <f>IFERROR(__xludf.DUMMYFUNCTION("""COMPUTED_VALUE"""),"{}")</f>
        <v>{}</v>
      </c>
      <c r="M833" s="148">
        <f>IFERROR(__xludf.DUMMYFUNCTION("""COMPUTED_VALUE"""),1000.0)</f>
        <v>1000</v>
      </c>
      <c r="N833" s="148">
        <f>IFERROR(__xludf.DUMMYFUNCTION("""COMPUTED_VALUE"""),999999.0)</f>
        <v>999999</v>
      </c>
      <c r="O833" s="148">
        <f>IFERROR(__xludf.DUMMYFUNCTION("""COMPUTED_VALUE"""),99999.0)</f>
        <v>99999</v>
      </c>
      <c r="P833" s="148">
        <f>IFERROR(__xludf.DUMMYFUNCTION("""COMPUTED_VALUE"""),9999.0)</f>
        <v>9999</v>
      </c>
      <c r="Q833" s="148" t="str">
        <f>IFERROR(__xludf.DUMMYFUNCTION("""COMPUTED_VALUE"""),"[""bag_other""]")</f>
        <v>["bag_other"]</v>
      </c>
      <c r="R833" s="148" t="str">
        <f>IFERROR(__xludf.DUMMYFUNCTION("""COMPUTED_VALUE"""),"[""bag""]")</f>
        <v>["bag"]</v>
      </c>
      <c r="S833" s="148" t="str">
        <f>IFERROR(__xludf.DUMMYFUNCTION("""COMPUTED_VALUE"""),"{""drop"":{""typ"":""single_random"",""num"":1,""args"":[{""typ"":""item"",""id"":11112649,""num"":45,""wgt"":500},{""typ"":""item"",""id"":11112649,""num"":50,""wgt"":300},{""typ"":""item"",""id"":11112649,""num"":60,""wgt"":100},{""typ"":""item"",""id"""&amp;":11112649,""num"":80,""wgt"":80},{""typ"":""item"",""id"":11112649,""num"":100,""wgt"":20}]}}")</f>
        <v>{"drop":{"typ":"single_random","num":1,"args":[{"typ":"item","id":11112649,"num":45,"wgt":500},{"typ":"item","id":11112649,"num":50,"wgt":300},{"typ":"item","id":11112649,"num":60,"wgt":100},{"typ":"item","id":11112649,"num":80,"wgt":80},{"typ":"item","id":11112649,"num":100,"wgt":20}]}}</v>
      </c>
      <c r="T833" s="148">
        <f>IFERROR(__xludf.DUMMYFUNCTION("""COMPUTED_VALUE"""),-1.0)</f>
        <v>-1</v>
      </c>
      <c r="U833" s="148">
        <f>IFERROR(__xludf.DUMMYFUNCTION("""COMPUTED_VALUE"""),0.0)</f>
        <v>0</v>
      </c>
      <c r="V833" s="148" t="str">
        <f>IFERROR(__xludf.DUMMYFUNCTION("""COMPUTED_VALUE"""),"[]")</f>
        <v>[]</v>
      </c>
      <c r="W833" s="148">
        <f>IFERROR(__xludf.DUMMYFUNCTION("""COMPUTED_VALUE"""),1.174E7)</f>
        <v>11740000</v>
      </c>
      <c r="X833" s="148">
        <f>IFERROR(__xludf.DUMMYFUNCTION("""COMPUTED_VALUE"""),0.0)</f>
        <v>0</v>
      </c>
      <c r="Y833" s="148">
        <f>IFERROR(__xludf.DUMMYFUNCTION("""COMPUTED_VALUE"""),0.0)</f>
        <v>0</v>
      </c>
      <c r="Z833" s="148"/>
    </row>
    <row r="834">
      <c r="A834" s="148">
        <f>IFERROR(__xludf.DUMMYFUNCTION("""COMPUTED_VALUE"""),1.1112631E7)</f>
        <v>11112631</v>
      </c>
      <c r="B834" s="148" t="str">
        <f>IFERROR(__xludf.DUMMYFUNCTION("""COMPUTED_VALUE"""),"2025周年庆-单笔充值-个人阶段奖励7")</f>
        <v>2025周年庆-单笔充值-个人阶段奖励7</v>
      </c>
      <c r="C834" s="148"/>
      <c r="D834" s="148" t="str">
        <f>IFERROR(__xludf.DUMMYFUNCTION("""COMPUTED_VALUE"""),"item_asset")</f>
        <v>item_asset</v>
      </c>
      <c r="E834" s="148">
        <f>IFERROR(__xludf.DUMMYFUNCTION("""COMPUTED_VALUE"""),19.0)</f>
        <v>19</v>
      </c>
      <c r="F834" s="148">
        <f>IFERROR(__xludf.DUMMYFUNCTION("""COMPUTED_VALUE"""),0.0)</f>
        <v>0</v>
      </c>
      <c r="G834" s="148">
        <f>IFERROR(__xludf.DUMMYFUNCTION("""COMPUTED_VALUE"""),1.5110352E7)</f>
        <v>15110352</v>
      </c>
      <c r="H834" s="148">
        <f>IFERROR(__xludf.DUMMYFUNCTION("""COMPUTED_VALUE"""),1.5112564E7)</f>
        <v>15112564</v>
      </c>
      <c r="I834" s="148" t="str">
        <f>IFERROR(__xludf.DUMMYFUNCTION("""COMPUTED_VALUE"""),"{}")</f>
        <v>{}</v>
      </c>
      <c r="J834" s="148" t="str">
        <f>IFERROR(__xludf.DUMMYFUNCTION("""COMPUTED_VALUE"""),"{""typ"":""lc"",""txt"":""LC_EVENT_droptopay_tuohuang_box_name""}")</f>
        <v>{"typ":"lc","txt":"LC_EVENT_droptopay_tuohuang_box_name"}</v>
      </c>
      <c r="K834" s="148" t="str">
        <f>IFERROR(__xludf.DUMMYFUNCTION("""COMPUTED_VALUE"""),"{""typ"":""lc"",""txt"":""LC_EVENT_droptopay_tuohuang_box_desc""}")</f>
        <v>{"typ":"lc","txt":"LC_EVENT_droptopay_tuohuang_box_desc"}</v>
      </c>
      <c r="L834" s="148" t="str">
        <f>IFERROR(__xludf.DUMMYFUNCTION("""COMPUTED_VALUE"""),"{}")</f>
        <v>{}</v>
      </c>
      <c r="M834" s="148">
        <f>IFERROR(__xludf.DUMMYFUNCTION("""COMPUTED_VALUE"""),1000.0)</f>
        <v>1000</v>
      </c>
      <c r="N834" s="148">
        <f>IFERROR(__xludf.DUMMYFUNCTION("""COMPUTED_VALUE"""),999999.0)</f>
        <v>999999</v>
      </c>
      <c r="O834" s="148">
        <f>IFERROR(__xludf.DUMMYFUNCTION("""COMPUTED_VALUE"""),99999.0)</f>
        <v>99999</v>
      </c>
      <c r="P834" s="148">
        <f>IFERROR(__xludf.DUMMYFUNCTION("""COMPUTED_VALUE"""),9999.0)</f>
        <v>9999</v>
      </c>
      <c r="Q834" s="148" t="str">
        <f>IFERROR(__xludf.DUMMYFUNCTION("""COMPUTED_VALUE"""),"[""bag_other""]")</f>
        <v>["bag_other"]</v>
      </c>
      <c r="R834" s="148" t="str">
        <f>IFERROR(__xludf.DUMMYFUNCTION("""COMPUTED_VALUE"""),"[""bag""]")</f>
        <v>["bag"]</v>
      </c>
      <c r="S834" s="148" t="str">
        <f>IFERROR(__xludf.DUMMYFUNCTION("""COMPUTED_VALUE"""),"{""drop"":{""typ"":""single_random"",""num"":1,""args"":[{""typ"":""item"",""id"":11112649,""num"":45,""wgt"":500},{""typ"":""item"",""id"":11112649,""num"":50,""wgt"":300},{""typ"":""item"",""id"":11112649,""num"":60,""wgt"":100},{""typ"":""item"",""id"""&amp;":11112649,""num"":80,""wgt"":80},{""typ"":""item"",""id"":11112649,""num"":100,""wgt"":20}]}}")</f>
        <v>{"drop":{"typ":"single_random","num":1,"args":[{"typ":"item","id":11112649,"num":45,"wgt":500},{"typ":"item","id":11112649,"num":50,"wgt":300},{"typ":"item","id":11112649,"num":60,"wgt":100},{"typ":"item","id":11112649,"num":80,"wgt":80},{"typ":"item","id":11112649,"num":100,"wgt":20}]}}</v>
      </c>
      <c r="T834" s="148">
        <f>IFERROR(__xludf.DUMMYFUNCTION("""COMPUTED_VALUE"""),-1.0)</f>
        <v>-1</v>
      </c>
      <c r="U834" s="148">
        <f>IFERROR(__xludf.DUMMYFUNCTION("""COMPUTED_VALUE"""),0.0)</f>
        <v>0</v>
      </c>
      <c r="V834" s="148" t="str">
        <f>IFERROR(__xludf.DUMMYFUNCTION("""COMPUTED_VALUE"""),"[]")</f>
        <v>[]</v>
      </c>
      <c r="W834" s="148">
        <f>IFERROR(__xludf.DUMMYFUNCTION("""COMPUTED_VALUE"""),1.174E7)</f>
        <v>11740000</v>
      </c>
      <c r="X834" s="148">
        <f>IFERROR(__xludf.DUMMYFUNCTION("""COMPUTED_VALUE"""),0.0)</f>
        <v>0</v>
      </c>
      <c r="Y834" s="148">
        <f>IFERROR(__xludf.DUMMYFUNCTION("""COMPUTED_VALUE"""),0.0)</f>
        <v>0</v>
      </c>
      <c r="Z834" s="148"/>
    </row>
    <row r="835">
      <c r="A835" s="148">
        <f>IFERROR(__xludf.DUMMYFUNCTION("""COMPUTED_VALUE"""),1.1112632E7)</f>
        <v>11112632</v>
      </c>
      <c r="B835" s="148" t="str">
        <f>IFERROR(__xludf.DUMMYFUNCTION("""COMPUTED_VALUE"""),"2025周年庆-单笔充值-个人阶段奖励8")</f>
        <v>2025周年庆-单笔充值-个人阶段奖励8</v>
      </c>
      <c r="C835" s="148"/>
      <c r="D835" s="148" t="str">
        <f>IFERROR(__xludf.DUMMYFUNCTION("""COMPUTED_VALUE"""),"item_asset")</f>
        <v>item_asset</v>
      </c>
      <c r="E835" s="148">
        <f>IFERROR(__xludf.DUMMYFUNCTION("""COMPUTED_VALUE"""),19.0)</f>
        <v>19</v>
      </c>
      <c r="F835" s="148">
        <f>IFERROR(__xludf.DUMMYFUNCTION("""COMPUTED_VALUE"""),0.0)</f>
        <v>0</v>
      </c>
      <c r="G835" s="148">
        <f>IFERROR(__xludf.DUMMYFUNCTION("""COMPUTED_VALUE"""),1.5110352E7)</f>
        <v>15110352</v>
      </c>
      <c r="H835" s="148">
        <f>IFERROR(__xludf.DUMMYFUNCTION("""COMPUTED_VALUE"""),1.5112564E7)</f>
        <v>15112564</v>
      </c>
      <c r="I835" s="148" t="str">
        <f>IFERROR(__xludf.DUMMYFUNCTION("""COMPUTED_VALUE"""),"{}")</f>
        <v>{}</v>
      </c>
      <c r="J835" s="148" t="str">
        <f>IFERROR(__xludf.DUMMYFUNCTION("""COMPUTED_VALUE"""),"{""typ"":""lc"",""txt"":""LC_EVENT_droptopay_tuohuang_box_name""}")</f>
        <v>{"typ":"lc","txt":"LC_EVENT_droptopay_tuohuang_box_name"}</v>
      </c>
      <c r="K835" s="148" t="str">
        <f>IFERROR(__xludf.DUMMYFUNCTION("""COMPUTED_VALUE"""),"{""typ"":""lc"",""txt"":""LC_EVENT_droptopay_tuohuang_box_desc""}")</f>
        <v>{"typ":"lc","txt":"LC_EVENT_droptopay_tuohuang_box_desc"}</v>
      </c>
      <c r="L835" s="148" t="str">
        <f>IFERROR(__xludf.DUMMYFUNCTION("""COMPUTED_VALUE"""),"{}")</f>
        <v>{}</v>
      </c>
      <c r="M835" s="148">
        <f>IFERROR(__xludf.DUMMYFUNCTION("""COMPUTED_VALUE"""),1000.0)</f>
        <v>1000</v>
      </c>
      <c r="N835" s="148">
        <f>IFERROR(__xludf.DUMMYFUNCTION("""COMPUTED_VALUE"""),999999.0)</f>
        <v>999999</v>
      </c>
      <c r="O835" s="148">
        <f>IFERROR(__xludf.DUMMYFUNCTION("""COMPUTED_VALUE"""),99999.0)</f>
        <v>99999</v>
      </c>
      <c r="P835" s="148">
        <f>IFERROR(__xludf.DUMMYFUNCTION("""COMPUTED_VALUE"""),9999.0)</f>
        <v>9999</v>
      </c>
      <c r="Q835" s="148" t="str">
        <f>IFERROR(__xludf.DUMMYFUNCTION("""COMPUTED_VALUE"""),"[""bag_other""]")</f>
        <v>["bag_other"]</v>
      </c>
      <c r="R835" s="148" t="str">
        <f>IFERROR(__xludf.DUMMYFUNCTION("""COMPUTED_VALUE"""),"[""bag""]")</f>
        <v>["bag"]</v>
      </c>
      <c r="S835" s="148" t="str">
        <f>IFERROR(__xludf.DUMMYFUNCTION("""COMPUTED_VALUE"""),"{""drop"":{""typ"":""single_random"",""num"":1,""args"":[{""typ"":""item"",""id"":11112649,""num"":90,""wgt"":500},{""typ"":""item"",""id"":11112649,""num"":100,""wgt"":300},{""typ"":""item"",""id"":11112649,""num"":120,""wgt"":100},{""typ"":""item"",""id"&amp;""":11112649,""num"":150,""wgt"":80},{""typ"":""item"",""id"":11112649,""num"":300,""wgt"":20}]}}")</f>
        <v>{"drop":{"typ":"single_random","num":1,"args":[{"typ":"item","id":11112649,"num":90,"wgt":500},{"typ":"item","id":11112649,"num":100,"wgt":300},{"typ":"item","id":11112649,"num":120,"wgt":100},{"typ":"item","id":11112649,"num":150,"wgt":80},{"typ":"item","id":11112649,"num":300,"wgt":20}]}}</v>
      </c>
      <c r="T835" s="148">
        <f>IFERROR(__xludf.DUMMYFUNCTION("""COMPUTED_VALUE"""),-1.0)</f>
        <v>-1</v>
      </c>
      <c r="U835" s="148">
        <f>IFERROR(__xludf.DUMMYFUNCTION("""COMPUTED_VALUE"""),0.0)</f>
        <v>0</v>
      </c>
      <c r="V835" s="148" t="str">
        <f>IFERROR(__xludf.DUMMYFUNCTION("""COMPUTED_VALUE"""),"[]")</f>
        <v>[]</v>
      </c>
      <c r="W835" s="148">
        <f>IFERROR(__xludf.DUMMYFUNCTION("""COMPUTED_VALUE"""),1.174E7)</f>
        <v>11740000</v>
      </c>
      <c r="X835" s="148">
        <f>IFERROR(__xludf.DUMMYFUNCTION("""COMPUTED_VALUE"""),0.0)</f>
        <v>0</v>
      </c>
      <c r="Y835" s="148">
        <f>IFERROR(__xludf.DUMMYFUNCTION("""COMPUTED_VALUE"""),0.0)</f>
        <v>0</v>
      </c>
      <c r="Z835" s="148"/>
    </row>
    <row r="836">
      <c r="A836" s="148">
        <f>IFERROR(__xludf.DUMMYFUNCTION("""COMPUTED_VALUE"""),1.1112633E7)</f>
        <v>11112633</v>
      </c>
      <c r="B836" s="148" t="str">
        <f>IFERROR(__xludf.DUMMYFUNCTION("""COMPUTED_VALUE"""),"2025周年庆-单笔充值-个人阶段奖励9")</f>
        <v>2025周年庆-单笔充值-个人阶段奖励9</v>
      </c>
      <c r="C836" s="148"/>
      <c r="D836" s="148" t="str">
        <f>IFERROR(__xludf.DUMMYFUNCTION("""COMPUTED_VALUE"""),"item_asset")</f>
        <v>item_asset</v>
      </c>
      <c r="E836" s="148">
        <f>IFERROR(__xludf.DUMMYFUNCTION("""COMPUTED_VALUE"""),19.0)</f>
        <v>19</v>
      </c>
      <c r="F836" s="148">
        <f>IFERROR(__xludf.DUMMYFUNCTION("""COMPUTED_VALUE"""),0.0)</f>
        <v>0</v>
      </c>
      <c r="G836" s="148">
        <f>IFERROR(__xludf.DUMMYFUNCTION("""COMPUTED_VALUE"""),1.5110352E7)</f>
        <v>15110352</v>
      </c>
      <c r="H836" s="148">
        <f>IFERROR(__xludf.DUMMYFUNCTION("""COMPUTED_VALUE"""),1.5112564E7)</f>
        <v>15112564</v>
      </c>
      <c r="I836" s="148" t="str">
        <f>IFERROR(__xludf.DUMMYFUNCTION("""COMPUTED_VALUE"""),"{}")</f>
        <v>{}</v>
      </c>
      <c r="J836" s="148" t="str">
        <f>IFERROR(__xludf.DUMMYFUNCTION("""COMPUTED_VALUE"""),"{""typ"":""lc"",""txt"":""LC_EVENT_droptopay_tuohuang_box_name""}")</f>
        <v>{"typ":"lc","txt":"LC_EVENT_droptopay_tuohuang_box_name"}</v>
      </c>
      <c r="K836" s="148" t="str">
        <f>IFERROR(__xludf.DUMMYFUNCTION("""COMPUTED_VALUE"""),"{""typ"":""lc"",""txt"":""LC_EVENT_droptopay_tuohuang_box_desc""}")</f>
        <v>{"typ":"lc","txt":"LC_EVENT_droptopay_tuohuang_box_desc"}</v>
      </c>
      <c r="L836" s="148" t="str">
        <f>IFERROR(__xludf.DUMMYFUNCTION("""COMPUTED_VALUE"""),"{}")</f>
        <v>{}</v>
      </c>
      <c r="M836" s="148">
        <f>IFERROR(__xludf.DUMMYFUNCTION("""COMPUTED_VALUE"""),1000.0)</f>
        <v>1000</v>
      </c>
      <c r="N836" s="148">
        <f>IFERROR(__xludf.DUMMYFUNCTION("""COMPUTED_VALUE"""),999999.0)</f>
        <v>999999</v>
      </c>
      <c r="O836" s="148">
        <f>IFERROR(__xludf.DUMMYFUNCTION("""COMPUTED_VALUE"""),99999.0)</f>
        <v>99999</v>
      </c>
      <c r="P836" s="148">
        <f>IFERROR(__xludf.DUMMYFUNCTION("""COMPUTED_VALUE"""),9999.0)</f>
        <v>9999</v>
      </c>
      <c r="Q836" s="148" t="str">
        <f>IFERROR(__xludf.DUMMYFUNCTION("""COMPUTED_VALUE"""),"[""bag_other""]")</f>
        <v>["bag_other"]</v>
      </c>
      <c r="R836" s="148" t="str">
        <f>IFERROR(__xludf.DUMMYFUNCTION("""COMPUTED_VALUE"""),"[""bag""]")</f>
        <v>["bag"]</v>
      </c>
      <c r="S836" s="148" t="str">
        <f>IFERROR(__xludf.DUMMYFUNCTION("""COMPUTED_VALUE"""),"{""drop"":{""typ"":""single_random"",""num"":1,""args"":[{""typ"":""item"",""id"":11112649,""num"":90,""wgt"":500},{""typ"":""item"",""id"":11112649,""num"":100,""wgt"":300},{""typ"":""item"",""id"":11112649,""num"":120,""wgt"":100},{""typ"":""item"",""id"&amp;""":11112649,""num"":150,""wgt"":80},{""typ"":""item"",""id"":11112649,""num"":300,""wgt"":20}]}}")</f>
        <v>{"drop":{"typ":"single_random","num":1,"args":[{"typ":"item","id":11112649,"num":90,"wgt":500},{"typ":"item","id":11112649,"num":100,"wgt":300},{"typ":"item","id":11112649,"num":120,"wgt":100},{"typ":"item","id":11112649,"num":150,"wgt":80},{"typ":"item","id":11112649,"num":300,"wgt":20}]}}</v>
      </c>
      <c r="T836" s="148">
        <f>IFERROR(__xludf.DUMMYFUNCTION("""COMPUTED_VALUE"""),-1.0)</f>
        <v>-1</v>
      </c>
      <c r="U836" s="148">
        <f>IFERROR(__xludf.DUMMYFUNCTION("""COMPUTED_VALUE"""),0.0)</f>
        <v>0</v>
      </c>
      <c r="V836" s="148" t="str">
        <f>IFERROR(__xludf.DUMMYFUNCTION("""COMPUTED_VALUE"""),"[]")</f>
        <v>[]</v>
      </c>
      <c r="W836" s="148">
        <f>IFERROR(__xludf.DUMMYFUNCTION("""COMPUTED_VALUE"""),1.174E7)</f>
        <v>11740000</v>
      </c>
      <c r="X836" s="148">
        <f>IFERROR(__xludf.DUMMYFUNCTION("""COMPUTED_VALUE"""),0.0)</f>
        <v>0</v>
      </c>
      <c r="Y836" s="148">
        <f>IFERROR(__xludf.DUMMYFUNCTION("""COMPUTED_VALUE"""),0.0)</f>
        <v>0</v>
      </c>
      <c r="Z836" s="148"/>
    </row>
    <row r="837">
      <c r="A837" s="148">
        <f>IFERROR(__xludf.DUMMYFUNCTION("""COMPUTED_VALUE"""),1.1112634E7)</f>
        <v>11112634</v>
      </c>
      <c r="B837" s="148" t="str">
        <f>IFERROR(__xludf.DUMMYFUNCTION("""COMPUTED_VALUE"""),"2025周年庆-单笔充值-联盟阶段奖励1")</f>
        <v>2025周年庆-单笔充值-联盟阶段奖励1</v>
      </c>
      <c r="C837" s="148"/>
      <c r="D837" s="148" t="str">
        <f>IFERROR(__xludf.DUMMYFUNCTION("""COMPUTED_VALUE"""),"item_asset")</f>
        <v>item_asset</v>
      </c>
      <c r="E837" s="148">
        <f>IFERROR(__xludf.DUMMYFUNCTION("""COMPUTED_VALUE"""),19.0)</f>
        <v>19</v>
      </c>
      <c r="F837" s="148">
        <f>IFERROR(__xludf.DUMMYFUNCTION("""COMPUTED_VALUE"""),0.0)</f>
        <v>0</v>
      </c>
      <c r="G837" s="148">
        <f>IFERROR(__xludf.DUMMYFUNCTION("""COMPUTED_VALUE"""),1.5110352E7)</f>
        <v>15110352</v>
      </c>
      <c r="H837" s="148">
        <f>IFERROR(__xludf.DUMMYFUNCTION("""COMPUTED_VALUE"""),1.5112564E7)</f>
        <v>15112564</v>
      </c>
      <c r="I837" s="148" t="str">
        <f>IFERROR(__xludf.DUMMYFUNCTION("""COMPUTED_VALUE"""),"{}")</f>
        <v>{}</v>
      </c>
      <c r="J837" s="148" t="str">
        <f>IFERROR(__xludf.DUMMYFUNCTION("""COMPUTED_VALUE"""),"{""typ"":""lc"",""txt"":""LC_EVENT_droptopay_tuohuang_box_name""}")</f>
        <v>{"typ":"lc","txt":"LC_EVENT_droptopay_tuohuang_box_name"}</v>
      </c>
      <c r="K837" s="148" t="str">
        <f>IFERROR(__xludf.DUMMYFUNCTION("""COMPUTED_VALUE"""),"{""typ"":""lc"",""txt"":""LC_EVENT_droptopay_tuohuang_box_desc""}")</f>
        <v>{"typ":"lc","txt":"LC_EVENT_droptopay_tuohuang_box_desc"}</v>
      </c>
      <c r="L837" s="148" t="str">
        <f>IFERROR(__xludf.DUMMYFUNCTION("""COMPUTED_VALUE"""),"{}")</f>
        <v>{}</v>
      </c>
      <c r="M837" s="148">
        <f>IFERROR(__xludf.DUMMYFUNCTION("""COMPUTED_VALUE"""),1000.0)</f>
        <v>1000</v>
      </c>
      <c r="N837" s="148">
        <f>IFERROR(__xludf.DUMMYFUNCTION("""COMPUTED_VALUE"""),999999.0)</f>
        <v>999999</v>
      </c>
      <c r="O837" s="148">
        <f>IFERROR(__xludf.DUMMYFUNCTION("""COMPUTED_VALUE"""),99999.0)</f>
        <v>99999</v>
      </c>
      <c r="P837" s="148">
        <f>IFERROR(__xludf.DUMMYFUNCTION("""COMPUTED_VALUE"""),9999.0)</f>
        <v>9999</v>
      </c>
      <c r="Q837" s="148" t="str">
        <f>IFERROR(__xludf.DUMMYFUNCTION("""COMPUTED_VALUE"""),"[""bag_other""]")</f>
        <v>["bag_other"]</v>
      </c>
      <c r="R837" s="148" t="str">
        <f>IFERROR(__xludf.DUMMYFUNCTION("""COMPUTED_VALUE"""),"[""bag""]")</f>
        <v>["bag"]</v>
      </c>
      <c r="S837" s="148" t="str">
        <f>IFERROR(__xludf.DUMMYFUNCTION("""COMPUTED_VALUE"""),"{""drop"":{""typ"":""single_random"",""num"":1,""args"":[{""typ"":""item"",""id"":11111157,""num"":1,""wgt"":500},{""typ"":""item"",""id"":11116110,""num"":1,""wgt"":300},{""typ"":""item"",""id"":11112649,""num"":2,""wgt"":100},{""typ"":""item"",""id"":11"&amp;"112649,""num"":3,""wgt"":80},{""typ"":""item"",""id"":11112649,""num"":4,""wgt"":20}]}}")</f>
        <v>{"drop":{"typ":"single_random","num":1,"args":[{"typ":"item","id":11111157,"num":1,"wgt":500},{"typ":"item","id":11116110,"num":1,"wgt":300},{"typ":"item","id":11112649,"num":2,"wgt":100},{"typ":"item","id":11112649,"num":3,"wgt":80},{"typ":"item","id":11112649,"num":4,"wgt":20}]}}</v>
      </c>
      <c r="T837" s="148">
        <f>IFERROR(__xludf.DUMMYFUNCTION("""COMPUTED_VALUE"""),-1.0)</f>
        <v>-1</v>
      </c>
      <c r="U837" s="148">
        <f>IFERROR(__xludf.DUMMYFUNCTION("""COMPUTED_VALUE"""),0.0)</f>
        <v>0</v>
      </c>
      <c r="V837" s="148" t="str">
        <f>IFERROR(__xludf.DUMMYFUNCTION("""COMPUTED_VALUE"""),"[]")</f>
        <v>[]</v>
      </c>
      <c r="W837" s="148">
        <f>IFERROR(__xludf.DUMMYFUNCTION("""COMPUTED_VALUE"""),1.174E7)</f>
        <v>11740000</v>
      </c>
      <c r="X837" s="148">
        <f>IFERROR(__xludf.DUMMYFUNCTION("""COMPUTED_VALUE"""),0.0)</f>
        <v>0</v>
      </c>
      <c r="Y837" s="148">
        <f>IFERROR(__xludf.DUMMYFUNCTION("""COMPUTED_VALUE"""),0.0)</f>
        <v>0</v>
      </c>
      <c r="Z837" s="148"/>
    </row>
    <row r="838">
      <c r="A838" s="148">
        <f>IFERROR(__xludf.DUMMYFUNCTION("""COMPUTED_VALUE"""),1.1112635E7)</f>
        <v>11112635</v>
      </c>
      <c r="B838" s="148" t="str">
        <f>IFERROR(__xludf.DUMMYFUNCTION("""COMPUTED_VALUE"""),"2025周年庆-单笔充值-联盟阶段奖励2")</f>
        <v>2025周年庆-单笔充值-联盟阶段奖励2</v>
      </c>
      <c r="C838" s="148"/>
      <c r="D838" s="148" t="str">
        <f>IFERROR(__xludf.DUMMYFUNCTION("""COMPUTED_VALUE"""),"item_asset")</f>
        <v>item_asset</v>
      </c>
      <c r="E838" s="148">
        <f>IFERROR(__xludf.DUMMYFUNCTION("""COMPUTED_VALUE"""),19.0)</f>
        <v>19</v>
      </c>
      <c r="F838" s="148">
        <f>IFERROR(__xludf.DUMMYFUNCTION("""COMPUTED_VALUE"""),0.0)</f>
        <v>0</v>
      </c>
      <c r="G838" s="148">
        <f>IFERROR(__xludf.DUMMYFUNCTION("""COMPUTED_VALUE"""),1.5110352E7)</f>
        <v>15110352</v>
      </c>
      <c r="H838" s="148">
        <f>IFERROR(__xludf.DUMMYFUNCTION("""COMPUTED_VALUE"""),1.5112564E7)</f>
        <v>15112564</v>
      </c>
      <c r="I838" s="148" t="str">
        <f>IFERROR(__xludf.DUMMYFUNCTION("""COMPUTED_VALUE"""),"{}")</f>
        <v>{}</v>
      </c>
      <c r="J838" s="148" t="str">
        <f>IFERROR(__xludf.DUMMYFUNCTION("""COMPUTED_VALUE"""),"{""typ"":""lc"",""txt"":""LC_EVENT_droptopay_tuohuang_box_name""}")</f>
        <v>{"typ":"lc","txt":"LC_EVENT_droptopay_tuohuang_box_name"}</v>
      </c>
      <c r="K838" s="148" t="str">
        <f>IFERROR(__xludf.DUMMYFUNCTION("""COMPUTED_VALUE"""),"{""typ"":""lc"",""txt"":""LC_EVENT_droptopay_tuohuang_box_desc""}")</f>
        <v>{"typ":"lc","txt":"LC_EVENT_droptopay_tuohuang_box_desc"}</v>
      </c>
      <c r="L838" s="148" t="str">
        <f>IFERROR(__xludf.DUMMYFUNCTION("""COMPUTED_VALUE"""),"{}")</f>
        <v>{}</v>
      </c>
      <c r="M838" s="148">
        <f>IFERROR(__xludf.DUMMYFUNCTION("""COMPUTED_VALUE"""),1000.0)</f>
        <v>1000</v>
      </c>
      <c r="N838" s="148">
        <f>IFERROR(__xludf.DUMMYFUNCTION("""COMPUTED_VALUE"""),999999.0)</f>
        <v>999999</v>
      </c>
      <c r="O838" s="148">
        <f>IFERROR(__xludf.DUMMYFUNCTION("""COMPUTED_VALUE"""),99999.0)</f>
        <v>99999</v>
      </c>
      <c r="P838" s="148">
        <f>IFERROR(__xludf.DUMMYFUNCTION("""COMPUTED_VALUE"""),9999.0)</f>
        <v>9999</v>
      </c>
      <c r="Q838" s="148" t="str">
        <f>IFERROR(__xludf.DUMMYFUNCTION("""COMPUTED_VALUE"""),"[""bag_other""]")</f>
        <v>["bag_other"]</v>
      </c>
      <c r="R838" s="148" t="str">
        <f>IFERROR(__xludf.DUMMYFUNCTION("""COMPUTED_VALUE"""),"[""bag""]")</f>
        <v>["bag"]</v>
      </c>
      <c r="S838" s="148" t="str">
        <f>IFERROR(__xludf.DUMMYFUNCTION("""COMPUTED_VALUE"""),"{""drop"":{""typ"":""single_random"",""num"":1,""args"":[{""typ"":""item"",""id"":11111157,""num"":1,""wgt"":500},{""typ"":""item"",""id"":11117069,""num"":2,""wgt"":300},{""typ"":""item"",""id"":11112649,""num"":4,""wgt"":100},{""typ"":""item"",""id"":11"&amp;"112649,""num"":5,""wgt"":80},{""typ"":""item"",""id"":11112649,""num"":6,""wgt"":20}]}}")</f>
        <v>{"drop":{"typ":"single_random","num":1,"args":[{"typ":"item","id":11111157,"num":1,"wgt":500},{"typ":"item","id":11117069,"num":2,"wgt":300},{"typ":"item","id":11112649,"num":4,"wgt":100},{"typ":"item","id":11112649,"num":5,"wgt":80},{"typ":"item","id":11112649,"num":6,"wgt":20}]}}</v>
      </c>
      <c r="T838" s="148">
        <f>IFERROR(__xludf.DUMMYFUNCTION("""COMPUTED_VALUE"""),-1.0)</f>
        <v>-1</v>
      </c>
      <c r="U838" s="148">
        <f>IFERROR(__xludf.DUMMYFUNCTION("""COMPUTED_VALUE"""),0.0)</f>
        <v>0</v>
      </c>
      <c r="V838" s="148" t="str">
        <f>IFERROR(__xludf.DUMMYFUNCTION("""COMPUTED_VALUE"""),"[]")</f>
        <v>[]</v>
      </c>
      <c r="W838" s="148">
        <f>IFERROR(__xludf.DUMMYFUNCTION("""COMPUTED_VALUE"""),1.174E7)</f>
        <v>11740000</v>
      </c>
      <c r="X838" s="148">
        <f>IFERROR(__xludf.DUMMYFUNCTION("""COMPUTED_VALUE"""),0.0)</f>
        <v>0</v>
      </c>
      <c r="Y838" s="148">
        <f>IFERROR(__xludf.DUMMYFUNCTION("""COMPUTED_VALUE"""),0.0)</f>
        <v>0</v>
      </c>
      <c r="Z838" s="148"/>
    </row>
    <row r="839">
      <c r="A839" s="148">
        <f>IFERROR(__xludf.DUMMYFUNCTION("""COMPUTED_VALUE"""),1.1112636E7)</f>
        <v>11112636</v>
      </c>
      <c r="B839" s="148" t="str">
        <f>IFERROR(__xludf.DUMMYFUNCTION("""COMPUTED_VALUE"""),"2025周年庆-单笔充值-联盟阶段奖励3")</f>
        <v>2025周年庆-单笔充值-联盟阶段奖励3</v>
      </c>
      <c r="C839" s="148"/>
      <c r="D839" s="148" t="str">
        <f>IFERROR(__xludf.DUMMYFUNCTION("""COMPUTED_VALUE"""),"item_asset")</f>
        <v>item_asset</v>
      </c>
      <c r="E839" s="148">
        <f>IFERROR(__xludf.DUMMYFUNCTION("""COMPUTED_VALUE"""),19.0)</f>
        <v>19</v>
      </c>
      <c r="F839" s="148">
        <f>IFERROR(__xludf.DUMMYFUNCTION("""COMPUTED_VALUE"""),0.0)</f>
        <v>0</v>
      </c>
      <c r="G839" s="148">
        <f>IFERROR(__xludf.DUMMYFUNCTION("""COMPUTED_VALUE"""),1.5110352E7)</f>
        <v>15110352</v>
      </c>
      <c r="H839" s="148">
        <f>IFERROR(__xludf.DUMMYFUNCTION("""COMPUTED_VALUE"""),1.5112564E7)</f>
        <v>15112564</v>
      </c>
      <c r="I839" s="148" t="str">
        <f>IFERROR(__xludf.DUMMYFUNCTION("""COMPUTED_VALUE"""),"{}")</f>
        <v>{}</v>
      </c>
      <c r="J839" s="148" t="str">
        <f>IFERROR(__xludf.DUMMYFUNCTION("""COMPUTED_VALUE"""),"{""typ"":""lc"",""txt"":""LC_EVENT_droptopay_tuohuang_box_name""}")</f>
        <v>{"typ":"lc","txt":"LC_EVENT_droptopay_tuohuang_box_name"}</v>
      </c>
      <c r="K839" s="148" t="str">
        <f>IFERROR(__xludf.DUMMYFUNCTION("""COMPUTED_VALUE"""),"{""typ"":""lc"",""txt"":""LC_EVENT_droptopay_tuohuang_box_desc""}")</f>
        <v>{"typ":"lc","txt":"LC_EVENT_droptopay_tuohuang_box_desc"}</v>
      </c>
      <c r="L839" s="148" t="str">
        <f>IFERROR(__xludf.DUMMYFUNCTION("""COMPUTED_VALUE"""),"{}")</f>
        <v>{}</v>
      </c>
      <c r="M839" s="148">
        <f>IFERROR(__xludf.DUMMYFUNCTION("""COMPUTED_VALUE"""),1000.0)</f>
        <v>1000</v>
      </c>
      <c r="N839" s="148">
        <f>IFERROR(__xludf.DUMMYFUNCTION("""COMPUTED_VALUE"""),999999.0)</f>
        <v>999999</v>
      </c>
      <c r="O839" s="148">
        <f>IFERROR(__xludf.DUMMYFUNCTION("""COMPUTED_VALUE"""),99999.0)</f>
        <v>99999</v>
      </c>
      <c r="P839" s="148">
        <f>IFERROR(__xludf.DUMMYFUNCTION("""COMPUTED_VALUE"""),9999.0)</f>
        <v>9999</v>
      </c>
      <c r="Q839" s="148" t="str">
        <f>IFERROR(__xludf.DUMMYFUNCTION("""COMPUTED_VALUE"""),"[""bag_other""]")</f>
        <v>["bag_other"]</v>
      </c>
      <c r="R839" s="148" t="str">
        <f>IFERROR(__xludf.DUMMYFUNCTION("""COMPUTED_VALUE"""),"[""bag""]")</f>
        <v>["bag"]</v>
      </c>
      <c r="S839" s="148" t="str">
        <f>IFERROR(__xludf.DUMMYFUNCTION("""COMPUTED_VALUE"""),"{""drop"":{""typ"":""single_random"",""num"":1,""args"":[{""typ"":""item"",""id"":11111157,""num"":3,""wgt"":500},{""typ"":""item"",""id"":11118501,""num"":5,""wgt"":300},{""typ"":""item"",""id"":11112649,""num"":6,""wgt"":100},{""typ"":""item"",""id"":11"&amp;"112649,""num"":8,""wgt"":80},{""typ"":""item"",""id"":11112649,""num"":10,""wgt"":20}]}}")</f>
        <v>{"drop":{"typ":"single_random","num":1,"args":[{"typ":"item","id":11111157,"num":3,"wgt":500},{"typ":"item","id":11118501,"num":5,"wgt":300},{"typ":"item","id":11112649,"num":6,"wgt":100},{"typ":"item","id":11112649,"num":8,"wgt":80},{"typ":"item","id":11112649,"num":10,"wgt":20}]}}</v>
      </c>
      <c r="T839" s="148">
        <f>IFERROR(__xludf.DUMMYFUNCTION("""COMPUTED_VALUE"""),-1.0)</f>
        <v>-1</v>
      </c>
      <c r="U839" s="148">
        <f>IFERROR(__xludf.DUMMYFUNCTION("""COMPUTED_VALUE"""),0.0)</f>
        <v>0</v>
      </c>
      <c r="V839" s="148" t="str">
        <f>IFERROR(__xludf.DUMMYFUNCTION("""COMPUTED_VALUE"""),"[]")</f>
        <v>[]</v>
      </c>
      <c r="W839" s="148">
        <f>IFERROR(__xludf.DUMMYFUNCTION("""COMPUTED_VALUE"""),1.174E7)</f>
        <v>11740000</v>
      </c>
      <c r="X839" s="148">
        <f>IFERROR(__xludf.DUMMYFUNCTION("""COMPUTED_VALUE"""),0.0)</f>
        <v>0</v>
      </c>
      <c r="Y839" s="148">
        <f>IFERROR(__xludf.DUMMYFUNCTION("""COMPUTED_VALUE"""),0.0)</f>
        <v>0</v>
      </c>
      <c r="Z839" s="148"/>
    </row>
    <row r="840">
      <c r="A840" s="148">
        <f>IFERROR(__xludf.DUMMYFUNCTION("""COMPUTED_VALUE"""),1.1112637E7)</f>
        <v>11112637</v>
      </c>
      <c r="B840" s="148" t="str">
        <f>IFERROR(__xludf.DUMMYFUNCTION("""COMPUTED_VALUE"""),"2025周年庆-单笔充值-联盟阶段奖励4")</f>
        <v>2025周年庆-单笔充值-联盟阶段奖励4</v>
      </c>
      <c r="C840" s="148"/>
      <c r="D840" s="148" t="str">
        <f>IFERROR(__xludf.DUMMYFUNCTION("""COMPUTED_VALUE"""),"item_asset")</f>
        <v>item_asset</v>
      </c>
      <c r="E840" s="148">
        <f>IFERROR(__xludf.DUMMYFUNCTION("""COMPUTED_VALUE"""),19.0)</f>
        <v>19</v>
      </c>
      <c r="F840" s="148">
        <f>IFERROR(__xludf.DUMMYFUNCTION("""COMPUTED_VALUE"""),0.0)</f>
        <v>0</v>
      </c>
      <c r="G840" s="148">
        <f>IFERROR(__xludf.DUMMYFUNCTION("""COMPUTED_VALUE"""),1.5110352E7)</f>
        <v>15110352</v>
      </c>
      <c r="H840" s="148">
        <f>IFERROR(__xludf.DUMMYFUNCTION("""COMPUTED_VALUE"""),1.5112564E7)</f>
        <v>15112564</v>
      </c>
      <c r="I840" s="148" t="str">
        <f>IFERROR(__xludf.DUMMYFUNCTION("""COMPUTED_VALUE"""),"{}")</f>
        <v>{}</v>
      </c>
      <c r="J840" s="148" t="str">
        <f>IFERROR(__xludf.DUMMYFUNCTION("""COMPUTED_VALUE"""),"{""typ"":""lc"",""txt"":""LC_EVENT_droptopay_tuohuang_box_name""}")</f>
        <v>{"typ":"lc","txt":"LC_EVENT_droptopay_tuohuang_box_name"}</v>
      </c>
      <c r="K840" s="148" t="str">
        <f>IFERROR(__xludf.DUMMYFUNCTION("""COMPUTED_VALUE"""),"{""typ"":""lc"",""txt"":""LC_EVENT_droptopay_tuohuang_box_desc""}")</f>
        <v>{"typ":"lc","txt":"LC_EVENT_droptopay_tuohuang_box_desc"}</v>
      </c>
      <c r="L840" s="148" t="str">
        <f>IFERROR(__xludf.DUMMYFUNCTION("""COMPUTED_VALUE"""),"{}")</f>
        <v>{}</v>
      </c>
      <c r="M840" s="148">
        <f>IFERROR(__xludf.DUMMYFUNCTION("""COMPUTED_VALUE"""),1000.0)</f>
        <v>1000</v>
      </c>
      <c r="N840" s="148">
        <f>IFERROR(__xludf.DUMMYFUNCTION("""COMPUTED_VALUE"""),999999.0)</f>
        <v>999999</v>
      </c>
      <c r="O840" s="148">
        <f>IFERROR(__xludf.DUMMYFUNCTION("""COMPUTED_VALUE"""),99999.0)</f>
        <v>99999</v>
      </c>
      <c r="P840" s="148">
        <f>IFERROR(__xludf.DUMMYFUNCTION("""COMPUTED_VALUE"""),9999.0)</f>
        <v>9999</v>
      </c>
      <c r="Q840" s="148" t="str">
        <f>IFERROR(__xludf.DUMMYFUNCTION("""COMPUTED_VALUE"""),"[""bag_other""]")</f>
        <v>["bag_other"]</v>
      </c>
      <c r="R840" s="148" t="str">
        <f>IFERROR(__xludf.DUMMYFUNCTION("""COMPUTED_VALUE"""),"[""bag""]")</f>
        <v>["bag"]</v>
      </c>
      <c r="S840" s="148" t="str">
        <f>IFERROR(__xludf.DUMMYFUNCTION("""COMPUTED_VALUE"""),"{""drop"":{""typ"":""single_random"",""num"":1,""args"":[{""typ"":""item"",""id"":11112649,""num"":8,""wgt"":500},{""typ"":""item"",""id"":11112649,""num"":10,""wgt"":300},{""typ"":""item"",""id"":11112649,""num"":12,""wgt"":100},{""typ"":""item"",""id"":"&amp;"11112649,""num"":15,""wgt"":80},{""typ"":""item"",""id"":11112649,""num"":30,""wgt"":20}]}}")</f>
        <v>{"drop":{"typ":"single_random","num":1,"args":[{"typ":"item","id":11112649,"num":8,"wgt":500},{"typ":"item","id":11112649,"num":10,"wgt":300},{"typ":"item","id":11112649,"num":12,"wgt":100},{"typ":"item","id":11112649,"num":15,"wgt":80},{"typ":"item","id":11112649,"num":30,"wgt":20}]}}</v>
      </c>
      <c r="T840" s="148">
        <f>IFERROR(__xludf.DUMMYFUNCTION("""COMPUTED_VALUE"""),-1.0)</f>
        <v>-1</v>
      </c>
      <c r="U840" s="148">
        <f>IFERROR(__xludf.DUMMYFUNCTION("""COMPUTED_VALUE"""),0.0)</f>
        <v>0</v>
      </c>
      <c r="V840" s="148" t="str">
        <f>IFERROR(__xludf.DUMMYFUNCTION("""COMPUTED_VALUE"""),"[]")</f>
        <v>[]</v>
      </c>
      <c r="W840" s="148">
        <f>IFERROR(__xludf.DUMMYFUNCTION("""COMPUTED_VALUE"""),1.174E7)</f>
        <v>11740000</v>
      </c>
      <c r="X840" s="148">
        <f>IFERROR(__xludf.DUMMYFUNCTION("""COMPUTED_VALUE"""),0.0)</f>
        <v>0</v>
      </c>
      <c r="Y840" s="148">
        <f>IFERROR(__xludf.DUMMYFUNCTION("""COMPUTED_VALUE"""),0.0)</f>
        <v>0</v>
      </c>
      <c r="Z840" s="148"/>
    </row>
    <row r="841">
      <c r="A841" s="148">
        <f>IFERROR(__xludf.DUMMYFUNCTION("""COMPUTED_VALUE"""),1.1112638E7)</f>
        <v>11112638</v>
      </c>
      <c r="B841" s="148" t="str">
        <f>IFERROR(__xludf.DUMMYFUNCTION("""COMPUTED_VALUE"""),"2025周年庆-单笔充值-联盟阶段奖励5")</f>
        <v>2025周年庆-单笔充值-联盟阶段奖励5</v>
      </c>
      <c r="C841" s="148"/>
      <c r="D841" s="148" t="str">
        <f>IFERROR(__xludf.DUMMYFUNCTION("""COMPUTED_VALUE"""),"item_asset")</f>
        <v>item_asset</v>
      </c>
      <c r="E841" s="148">
        <f>IFERROR(__xludf.DUMMYFUNCTION("""COMPUTED_VALUE"""),19.0)</f>
        <v>19</v>
      </c>
      <c r="F841" s="148">
        <f>IFERROR(__xludf.DUMMYFUNCTION("""COMPUTED_VALUE"""),0.0)</f>
        <v>0</v>
      </c>
      <c r="G841" s="148">
        <f>IFERROR(__xludf.DUMMYFUNCTION("""COMPUTED_VALUE"""),1.5110352E7)</f>
        <v>15110352</v>
      </c>
      <c r="H841" s="148">
        <f>IFERROR(__xludf.DUMMYFUNCTION("""COMPUTED_VALUE"""),1.5112564E7)</f>
        <v>15112564</v>
      </c>
      <c r="I841" s="148" t="str">
        <f>IFERROR(__xludf.DUMMYFUNCTION("""COMPUTED_VALUE"""),"{}")</f>
        <v>{}</v>
      </c>
      <c r="J841" s="148" t="str">
        <f>IFERROR(__xludf.DUMMYFUNCTION("""COMPUTED_VALUE"""),"{""typ"":""lc"",""txt"":""LC_EVENT_droptopay_tuohuang_box_name""}")</f>
        <v>{"typ":"lc","txt":"LC_EVENT_droptopay_tuohuang_box_name"}</v>
      </c>
      <c r="K841" s="148" t="str">
        <f>IFERROR(__xludf.DUMMYFUNCTION("""COMPUTED_VALUE"""),"{""typ"":""lc"",""txt"":""LC_EVENT_droptopay_tuohuang_box_desc""}")</f>
        <v>{"typ":"lc","txt":"LC_EVENT_droptopay_tuohuang_box_desc"}</v>
      </c>
      <c r="L841" s="148" t="str">
        <f>IFERROR(__xludf.DUMMYFUNCTION("""COMPUTED_VALUE"""),"{}")</f>
        <v>{}</v>
      </c>
      <c r="M841" s="148">
        <f>IFERROR(__xludf.DUMMYFUNCTION("""COMPUTED_VALUE"""),1000.0)</f>
        <v>1000</v>
      </c>
      <c r="N841" s="148">
        <f>IFERROR(__xludf.DUMMYFUNCTION("""COMPUTED_VALUE"""),999999.0)</f>
        <v>999999</v>
      </c>
      <c r="O841" s="148">
        <f>IFERROR(__xludf.DUMMYFUNCTION("""COMPUTED_VALUE"""),99999.0)</f>
        <v>99999</v>
      </c>
      <c r="P841" s="148">
        <f>IFERROR(__xludf.DUMMYFUNCTION("""COMPUTED_VALUE"""),9999.0)</f>
        <v>9999</v>
      </c>
      <c r="Q841" s="148" t="str">
        <f>IFERROR(__xludf.DUMMYFUNCTION("""COMPUTED_VALUE"""),"[""bag_other""]")</f>
        <v>["bag_other"]</v>
      </c>
      <c r="R841" s="148" t="str">
        <f>IFERROR(__xludf.DUMMYFUNCTION("""COMPUTED_VALUE"""),"[""bag""]")</f>
        <v>["bag"]</v>
      </c>
      <c r="S841" s="148" t="str">
        <f>IFERROR(__xludf.DUMMYFUNCTION("""COMPUTED_VALUE"""),"{""drop"":{""typ"":""single_random"",""num"":1,""args"":[{""typ"":""item"",""id"":11112649,""num"":15,""wgt"":500},{""typ"":""item"",""id"":11112649,""num"":20,""wgt"":300},{""typ"":""item"",""id"":11112649,""num"":25,""wgt"":100},{""typ"":""item"",""id"""&amp;":11112649,""num"":35,""wgt"":80},{""typ"":""item"",""id"":11112649,""num"":50,""wgt"":20}]}}")</f>
        <v>{"drop":{"typ":"single_random","num":1,"args":[{"typ":"item","id":11112649,"num":15,"wgt":500},{"typ":"item","id":11112649,"num":20,"wgt":300},{"typ":"item","id":11112649,"num":25,"wgt":100},{"typ":"item","id":11112649,"num":35,"wgt":80},{"typ":"item","id":11112649,"num":50,"wgt":20}]}}</v>
      </c>
      <c r="T841" s="148">
        <f>IFERROR(__xludf.DUMMYFUNCTION("""COMPUTED_VALUE"""),-1.0)</f>
        <v>-1</v>
      </c>
      <c r="U841" s="148">
        <f>IFERROR(__xludf.DUMMYFUNCTION("""COMPUTED_VALUE"""),0.0)</f>
        <v>0</v>
      </c>
      <c r="V841" s="148" t="str">
        <f>IFERROR(__xludf.DUMMYFUNCTION("""COMPUTED_VALUE"""),"[]")</f>
        <v>[]</v>
      </c>
      <c r="W841" s="148">
        <f>IFERROR(__xludf.DUMMYFUNCTION("""COMPUTED_VALUE"""),1.174E7)</f>
        <v>11740000</v>
      </c>
      <c r="X841" s="148">
        <f>IFERROR(__xludf.DUMMYFUNCTION("""COMPUTED_VALUE"""),0.0)</f>
        <v>0</v>
      </c>
      <c r="Y841" s="148">
        <f>IFERROR(__xludf.DUMMYFUNCTION("""COMPUTED_VALUE"""),0.0)</f>
        <v>0</v>
      </c>
      <c r="Z841" s="148"/>
    </row>
    <row r="842">
      <c r="A842" s="148">
        <f>IFERROR(__xludf.DUMMYFUNCTION("""COMPUTED_VALUE"""),1.1112639E7)</f>
        <v>11112639</v>
      </c>
      <c r="B842" s="148" t="str">
        <f>IFERROR(__xludf.DUMMYFUNCTION("""COMPUTED_VALUE"""),"2025周年庆-单笔充值-联盟阶段奖励6")</f>
        <v>2025周年庆-单笔充值-联盟阶段奖励6</v>
      </c>
      <c r="C842" s="148"/>
      <c r="D842" s="148" t="str">
        <f>IFERROR(__xludf.DUMMYFUNCTION("""COMPUTED_VALUE"""),"item_asset")</f>
        <v>item_asset</v>
      </c>
      <c r="E842" s="148">
        <f>IFERROR(__xludf.DUMMYFUNCTION("""COMPUTED_VALUE"""),19.0)</f>
        <v>19</v>
      </c>
      <c r="F842" s="148">
        <f>IFERROR(__xludf.DUMMYFUNCTION("""COMPUTED_VALUE"""),0.0)</f>
        <v>0</v>
      </c>
      <c r="G842" s="148">
        <f>IFERROR(__xludf.DUMMYFUNCTION("""COMPUTED_VALUE"""),1.5110352E7)</f>
        <v>15110352</v>
      </c>
      <c r="H842" s="148">
        <f>IFERROR(__xludf.DUMMYFUNCTION("""COMPUTED_VALUE"""),1.5112564E7)</f>
        <v>15112564</v>
      </c>
      <c r="I842" s="148" t="str">
        <f>IFERROR(__xludf.DUMMYFUNCTION("""COMPUTED_VALUE"""),"{}")</f>
        <v>{}</v>
      </c>
      <c r="J842" s="148" t="str">
        <f>IFERROR(__xludf.DUMMYFUNCTION("""COMPUTED_VALUE"""),"{""typ"":""lc"",""txt"":""LC_EVENT_droptopay_tuohuang_box_name""}")</f>
        <v>{"typ":"lc","txt":"LC_EVENT_droptopay_tuohuang_box_name"}</v>
      </c>
      <c r="K842" s="148" t="str">
        <f>IFERROR(__xludf.DUMMYFUNCTION("""COMPUTED_VALUE"""),"{""typ"":""lc"",""txt"":""LC_EVENT_droptopay_tuohuang_box_desc""}")</f>
        <v>{"typ":"lc","txt":"LC_EVENT_droptopay_tuohuang_box_desc"}</v>
      </c>
      <c r="L842" s="148" t="str">
        <f>IFERROR(__xludf.DUMMYFUNCTION("""COMPUTED_VALUE"""),"{}")</f>
        <v>{}</v>
      </c>
      <c r="M842" s="148">
        <f>IFERROR(__xludf.DUMMYFUNCTION("""COMPUTED_VALUE"""),1000.0)</f>
        <v>1000</v>
      </c>
      <c r="N842" s="148">
        <f>IFERROR(__xludf.DUMMYFUNCTION("""COMPUTED_VALUE"""),999999.0)</f>
        <v>999999</v>
      </c>
      <c r="O842" s="148">
        <f>IFERROR(__xludf.DUMMYFUNCTION("""COMPUTED_VALUE"""),99999.0)</f>
        <v>99999</v>
      </c>
      <c r="P842" s="148">
        <f>IFERROR(__xludf.DUMMYFUNCTION("""COMPUTED_VALUE"""),9999.0)</f>
        <v>9999</v>
      </c>
      <c r="Q842" s="148" t="str">
        <f>IFERROR(__xludf.DUMMYFUNCTION("""COMPUTED_VALUE"""),"[""bag_other""]")</f>
        <v>["bag_other"]</v>
      </c>
      <c r="R842" s="148" t="str">
        <f>IFERROR(__xludf.DUMMYFUNCTION("""COMPUTED_VALUE"""),"[""bag""]")</f>
        <v>["bag"]</v>
      </c>
      <c r="S842" s="148" t="str">
        <f>IFERROR(__xludf.DUMMYFUNCTION("""COMPUTED_VALUE"""),"{""drop"":{""typ"":""single_random"",""num"":1,""args"":[{""typ"":""item"",""id"":11112649,""num"":25,""wgt"":500},{""typ"":""item"",""id"":11112649,""num"":30,""wgt"":300},{""typ"":""item"",""id"":11112649,""num"":35,""wgt"":100},{""typ"":""item"",""id"""&amp;":11112649,""num"":50,""wgt"":80},{""typ"":""item"",""id"":11112649,""num"":70,""wgt"":20}]}}")</f>
        <v>{"drop":{"typ":"single_random","num":1,"args":[{"typ":"item","id":11112649,"num":25,"wgt":500},{"typ":"item","id":11112649,"num":30,"wgt":300},{"typ":"item","id":11112649,"num":35,"wgt":100},{"typ":"item","id":11112649,"num":50,"wgt":80},{"typ":"item","id":11112649,"num":70,"wgt":20}]}}</v>
      </c>
      <c r="T842" s="148">
        <f>IFERROR(__xludf.DUMMYFUNCTION("""COMPUTED_VALUE"""),-1.0)</f>
        <v>-1</v>
      </c>
      <c r="U842" s="148">
        <f>IFERROR(__xludf.DUMMYFUNCTION("""COMPUTED_VALUE"""),0.0)</f>
        <v>0</v>
      </c>
      <c r="V842" s="148" t="str">
        <f>IFERROR(__xludf.DUMMYFUNCTION("""COMPUTED_VALUE"""),"[]")</f>
        <v>[]</v>
      </c>
      <c r="W842" s="148">
        <f>IFERROR(__xludf.DUMMYFUNCTION("""COMPUTED_VALUE"""),1.174E7)</f>
        <v>11740000</v>
      </c>
      <c r="X842" s="148">
        <f>IFERROR(__xludf.DUMMYFUNCTION("""COMPUTED_VALUE"""),0.0)</f>
        <v>0</v>
      </c>
      <c r="Y842" s="148">
        <f>IFERROR(__xludf.DUMMYFUNCTION("""COMPUTED_VALUE"""),0.0)</f>
        <v>0</v>
      </c>
      <c r="Z842" s="148"/>
    </row>
    <row r="843">
      <c r="A843" s="148">
        <f>IFERROR(__xludf.DUMMYFUNCTION("""COMPUTED_VALUE"""),1.111264E7)</f>
        <v>11112640</v>
      </c>
      <c r="B843" s="148" t="str">
        <f>IFERROR(__xludf.DUMMYFUNCTION("""COMPUTED_VALUE"""),"返场行军幸运白银宝箱")</f>
        <v>返场行军幸运白银宝箱</v>
      </c>
      <c r="C843" s="148"/>
      <c r="D843" s="148" t="str">
        <f>IFERROR(__xludf.DUMMYFUNCTION("""COMPUTED_VALUE"""),"item_asset")</f>
        <v>item_asset</v>
      </c>
      <c r="E843" s="148">
        <f>IFERROR(__xludf.DUMMYFUNCTION("""COMPUTED_VALUE"""),19.0)</f>
        <v>19</v>
      </c>
      <c r="F843" s="148">
        <f>IFERROR(__xludf.DUMMYFUNCTION("""COMPUTED_VALUE"""),201101.0)</f>
        <v>201101</v>
      </c>
      <c r="G843" s="148">
        <f>IFERROR(__xludf.DUMMYFUNCTION("""COMPUTED_VALUE"""),1.51102847E8)</f>
        <v>151102847</v>
      </c>
      <c r="H843" s="148">
        <f>IFERROR(__xludf.DUMMYFUNCTION("""COMPUTED_VALUE"""),1.5112563E7)</f>
        <v>15112563</v>
      </c>
      <c r="I843" s="148" t="str">
        <f>IFERROR(__xludf.DUMMYFUNCTION("""COMPUTED_VALUE"""),"{}")</f>
        <v>{}</v>
      </c>
      <c r="J843" s="148" t="str">
        <f>IFERROR(__xludf.DUMMYFUNCTION("""COMPUTED_VALUE"""),"{""typ"":""lc"",""txt"":""LC_ITEM_2025anni_box_name_1""}")</f>
        <v>{"typ":"lc","txt":"LC_ITEM_2025anni_box_name_1"}</v>
      </c>
      <c r="K843" s="148" t="str">
        <f>IFERROR(__xludf.DUMMYFUNCTION("""COMPUTED_VALUE"""),"{""typ"":""lc"",""txt"":""LC_ITEM_2025anni_box_desc_1""}")</f>
        <v>{"typ":"lc","txt":"LC_ITEM_2025anni_box_desc_1"}</v>
      </c>
      <c r="L843" s="148" t="str">
        <f>IFERROR(__xludf.DUMMYFUNCTION("""COMPUTED_VALUE"""),"{}")</f>
        <v>{}</v>
      </c>
      <c r="M843" s="148">
        <f>IFERROR(__xludf.DUMMYFUNCTION("""COMPUTED_VALUE"""),40.0)</f>
        <v>40</v>
      </c>
      <c r="N843" s="148">
        <f>IFERROR(__xludf.DUMMYFUNCTION("""COMPUTED_VALUE"""),999999.0)</f>
        <v>999999</v>
      </c>
      <c r="O843" s="148">
        <f>IFERROR(__xludf.DUMMYFUNCTION("""COMPUTED_VALUE"""),99999.0)</f>
        <v>99999</v>
      </c>
      <c r="P843" s="148">
        <f>IFERROR(__xludf.DUMMYFUNCTION("""COMPUTED_VALUE"""),99999.0)</f>
        <v>99999</v>
      </c>
      <c r="Q843" s="148" t="str">
        <f>IFERROR(__xludf.DUMMYFUNCTION("""COMPUTED_VALUE"""),"[""bag_other""]")</f>
        <v>["bag_other"]</v>
      </c>
      <c r="R843" s="148" t="str">
        <f>IFERROR(__xludf.DUMMYFUNCTION("""COMPUTED_VALUE"""),"[""bag""]")</f>
        <v>["bag"]</v>
      </c>
      <c r="S843" s="148" t="str">
        <f>IFERROR(__xludf.DUMMYFUNCTION("""COMPUTED_VALUE"""),"{""drop"":{""typ"":""single_random"",""num"":1,""args"":[{""typ"":""item"",""id"":11112611,""num"":1,""wgt"":1},{""typ"":""item"",""id"":11119718,""num"":1,""wgt"":1},{""typ"":""item"",""id"":11112575,""num"":1,""wgt"":1},{""typ"":""item"",""id"":11112610"&amp;",""num"":1,""wgt"":20},{""typ"":""item"",""id"":11119717,""num"":1,""wgt"":20},{""typ"":""item"",""id"":11112574,""num"":1,""wgt"":20},{""typ"":""item"",""id"":11112609,""num"":1,""wgt"":40},{""typ"":""item"",""id"":11119716,""num"":1,""wgt"":40},{""typ"""&amp;":""item"",""id"":11112573,""num"":1,""wgt"":40},{""typ"":""item"",""id"":11111156,""num"":2,""wgt"":20},{""typ"":""item"",""id"":11117068,""num"":20,""wgt"":50},{""typ"":""item"",""id"":11114329,""num"":5,""wgt"":50},{""typ"":""item"",""id"":11111104,""nu"&amp;"m"":2,""wgt"":100},{""typ"":""item"",""id"":11111154,""num"":2,""wgt"":100}]}}")</f>
        <v>{"drop":{"typ":"single_random","num":1,"args":[{"typ":"item","id":11112611,"num":1,"wgt":1},{"typ":"item","id":11119718,"num":1,"wgt":1},{"typ":"item","id":11112575,"num":1,"wgt":1},{"typ":"item","id":11112610,"num":1,"wgt":20},{"typ":"item","id":11119717,"num":1,"wgt":20},{"typ":"item","id":11112574,"num":1,"wgt":20},{"typ":"item","id":11112609,"num":1,"wgt":40},{"typ":"item","id":11119716,"num":1,"wgt":40},{"typ":"item","id":11112573,"num":1,"wgt":40},{"typ":"item","id":11111156,"num":2,"wgt":20},{"typ":"item","id":11117068,"num":20,"wgt":50},{"typ":"item","id":11114329,"num":5,"wgt":50},{"typ":"item","id":11111104,"num":2,"wgt":100},{"typ":"item","id":11111154,"num":2,"wgt":100}]}}</v>
      </c>
      <c r="T843" s="148">
        <f>IFERROR(__xludf.DUMMYFUNCTION("""COMPUTED_VALUE"""),-1.0)</f>
        <v>-1</v>
      </c>
      <c r="U843" s="148">
        <f>IFERROR(__xludf.DUMMYFUNCTION("""COMPUTED_VALUE"""),0.0)</f>
        <v>0</v>
      </c>
      <c r="V843" s="148" t="str">
        <f>IFERROR(__xludf.DUMMYFUNCTION("""COMPUTED_VALUE"""),"[]")</f>
        <v>[]</v>
      </c>
      <c r="W843" s="148">
        <f>IFERROR(__xludf.DUMMYFUNCTION("""COMPUTED_VALUE"""),1.174E7)</f>
        <v>11740000</v>
      </c>
      <c r="X843" s="148">
        <f>IFERROR(__xludf.DUMMYFUNCTION("""COMPUTED_VALUE"""),0.0)</f>
        <v>0</v>
      </c>
      <c r="Y843" s="148">
        <f>IFERROR(__xludf.DUMMYFUNCTION("""COMPUTED_VALUE"""),0.0)</f>
        <v>0</v>
      </c>
      <c r="Z843" s="148"/>
    </row>
    <row r="844">
      <c r="A844" s="148">
        <f>IFERROR(__xludf.DUMMYFUNCTION("""COMPUTED_VALUE"""),1.1112641E7)</f>
        <v>11112641</v>
      </c>
      <c r="B844" s="148" t="str">
        <f>IFERROR(__xludf.DUMMYFUNCTION("""COMPUTED_VALUE"""),"返场行军幸运黄金宝箱")</f>
        <v>返场行军幸运黄金宝箱</v>
      </c>
      <c r="C844" s="148"/>
      <c r="D844" s="148" t="str">
        <f>IFERROR(__xludf.DUMMYFUNCTION("""COMPUTED_VALUE"""),"item_asset")</f>
        <v>item_asset</v>
      </c>
      <c r="E844" s="148">
        <f>IFERROR(__xludf.DUMMYFUNCTION("""COMPUTED_VALUE"""),19.0)</f>
        <v>19</v>
      </c>
      <c r="F844" s="148">
        <f>IFERROR(__xludf.DUMMYFUNCTION("""COMPUTED_VALUE"""),201101.0)</f>
        <v>201101</v>
      </c>
      <c r="G844" s="148">
        <f>IFERROR(__xludf.DUMMYFUNCTION("""COMPUTED_VALUE"""),1.51102848E8)</f>
        <v>151102848</v>
      </c>
      <c r="H844" s="148">
        <f>IFERROR(__xludf.DUMMYFUNCTION("""COMPUTED_VALUE"""),1.5112564E7)</f>
        <v>15112564</v>
      </c>
      <c r="I844" s="148" t="str">
        <f>IFERROR(__xludf.DUMMYFUNCTION("""COMPUTED_VALUE"""),"{}")</f>
        <v>{}</v>
      </c>
      <c r="J844" s="148" t="str">
        <f>IFERROR(__xludf.DUMMYFUNCTION("""COMPUTED_VALUE"""),"{""typ"":""lc"",""txt"":""LC_ITEM_2025anni_box_name_2""}")</f>
        <v>{"typ":"lc","txt":"LC_ITEM_2025anni_box_name_2"}</v>
      </c>
      <c r="K844" s="148" t="str">
        <f>IFERROR(__xludf.DUMMYFUNCTION("""COMPUTED_VALUE"""),"{""typ"":""lc"",""txt"":""LC_ITEM_2025anni_box_desc_2""}")</f>
        <v>{"typ":"lc","txt":"LC_ITEM_2025anni_box_desc_2"}</v>
      </c>
      <c r="L844" s="148" t="str">
        <f>IFERROR(__xludf.DUMMYFUNCTION("""COMPUTED_VALUE"""),"{}")</f>
        <v>{}</v>
      </c>
      <c r="M844" s="148">
        <f>IFERROR(__xludf.DUMMYFUNCTION("""COMPUTED_VALUE"""),40.0)</f>
        <v>40</v>
      </c>
      <c r="N844" s="148">
        <f>IFERROR(__xludf.DUMMYFUNCTION("""COMPUTED_VALUE"""),999999.0)</f>
        <v>999999</v>
      </c>
      <c r="O844" s="148">
        <f>IFERROR(__xludf.DUMMYFUNCTION("""COMPUTED_VALUE"""),99999.0)</f>
        <v>99999</v>
      </c>
      <c r="P844" s="148">
        <f>IFERROR(__xludf.DUMMYFUNCTION("""COMPUTED_VALUE"""),99999.0)</f>
        <v>99999</v>
      </c>
      <c r="Q844" s="148" t="str">
        <f>IFERROR(__xludf.DUMMYFUNCTION("""COMPUTED_VALUE"""),"[""bag_other""]")</f>
        <v>["bag_other"]</v>
      </c>
      <c r="R844" s="148" t="str">
        <f>IFERROR(__xludf.DUMMYFUNCTION("""COMPUTED_VALUE"""),"[""bag""]")</f>
        <v>["bag"]</v>
      </c>
      <c r="S844" s="148" t="str">
        <f>IFERROR(__xludf.DUMMYFUNCTION("""COMPUTED_VALUE"""),"{""drop"":{""typ"":""single_random"",""num"":1,""args"":[{""typ"":""item"",""id"":11112244,""num"":1,""wgt"":1},{""typ"":""item"",""id"":11112671,""num"":1,""wgt"":1},{""typ"":""item"",""id"":11112512,""num"":1,""wgt"":1},{""typ"":""item"",""id"":11112934"&amp;",""num"":1,""wgt"":20},{""typ"":""item"",""id"":11112674,""num"":1,""wgt"":20},{""typ"":""item"",""id"":11112515,""num"":1,""wgt"":20},{""typ"":""item"",""id"":11112933,""num"":1,""wgt"":40},{""typ"":""item"",""id"":11112673,""num"":1,""wgt"":40},{""typ"""&amp;":""item"",""id"":11112514,""num"":1,""wgt"":40},{""typ"":""item"",""id"":11112030,""num"":50,""wgt"":20},{""typ"":""item"",""id"":11111106,""num"":2,""wgt"":50},{""typ"":""item"",""id"":11111157,""num"":2,""wgt"":100},{""typ"":""item"",""id"":11112030,""n"&amp;"um"":10,""wgt"":100}]}}")</f>
        <v>{"drop":{"typ":"single_random","num":1,"args":[{"typ":"item","id":11112244,"num":1,"wgt":1},{"typ":"item","id":11112671,"num":1,"wgt":1},{"typ":"item","id":11112512,"num":1,"wgt":1},{"typ":"item","id":11112934,"num":1,"wgt":20},{"typ":"item","id":11112674,"num":1,"wgt":20},{"typ":"item","id":11112515,"num":1,"wgt":20},{"typ":"item","id":11112933,"num":1,"wgt":40},{"typ":"item","id":11112673,"num":1,"wgt":40},{"typ":"item","id":11112514,"num":1,"wgt":40},{"typ":"item","id":11112030,"num":50,"wgt":20},{"typ":"item","id":11111106,"num":2,"wgt":50},{"typ":"item","id":11111157,"num":2,"wgt":100},{"typ":"item","id":11112030,"num":10,"wgt":100}]}}</v>
      </c>
      <c r="T844" s="148">
        <f>IFERROR(__xludf.DUMMYFUNCTION("""COMPUTED_VALUE"""),-1.0)</f>
        <v>-1</v>
      </c>
      <c r="U844" s="148">
        <f>IFERROR(__xludf.DUMMYFUNCTION("""COMPUTED_VALUE"""),0.0)</f>
        <v>0</v>
      </c>
      <c r="V844" s="148" t="str">
        <f>IFERROR(__xludf.DUMMYFUNCTION("""COMPUTED_VALUE"""),"[]")</f>
        <v>[]</v>
      </c>
      <c r="W844" s="148">
        <f>IFERROR(__xludf.DUMMYFUNCTION("""COMPUTED_VALUE"""),1.174E7)</f>
        <v>11740000</v>
      </c>
      <c r="X844" s="148">
        <f>IFERROR(__xludf.DUMMYFUNCTION("""COMPUTED_VALUE"""),0.0)</f>
        <v>0</v>
      </c>
      <c r="Y844" s="148">
        <f>IFERROR(__xludf.DUMMYFUNCTION("""COMPUTED_VALUE"""),0.0)</f>
        <v>0</v>
      </c>
      <c r="Z844" s="148"/>
    </row>
    <row r="845">
      <c r="A845" s="148">
        <f>IFERROR(__xludf.DUMMYFUNCTION("""COMPUTED_VALUE"""),1.1112642E7)</f>
        <v>11112642</v>
      </c>
      <c r="B845" s="148" t="str">
        <f>IFERROR(__xludf.DUMMYFUNCTION("""COMPUTED_VALUE"""),"返场主城幸运黄金宝箱")</f>
        <v>返场主城幸运黄金宝箱</v>
      </c>
      <c r="C845" s="148"/>
      <c r="D845" s="148" t="str">
        <f>IFERROR(__xludf.DUMMYFUNCTION("""COMPUTED_VALUE"""),"item_asset")</f>
        <v>item_asset</v>
      </c>
      <c r="E845" s="148">
        <f>IFERROR(__xludf.DUMMYFUNCTION("""COMPUTED_VALUE"""),19.0)</f>
        <v>19</v>
      </c>
      <c r="F845" s="148">
        <f>IFERROR(__xludf.DUMMYFUNCTION("""COMPUTED_VALUE"""),201101.0)</f>
        <v>201101</v>
      </c>
      <c r="G845" s="148">
        <f>IFERROR(__xludf.DUMMYFUNCTION("""COMPUTED_VALUE"""),1.51102846E8)</f>
        <v>151102846</v>
      </c>
      <c r="H845" s="148">
        <f>IFERROR(__xludf.DUMMYFUNCTION("""COMPUTED_VALUE"""),1.5112564E7)</f>
        <v>15112564</v>
      </c>
      <c r="I845" s="148" t="str">
        <f>IFERROR(__xludf.DUMMYFUNCTION("""COMPUTED_VALUE"""),"{}")</f>
        <v>{}</v>
      </c>
      <c r="J845" s="148" t="str">
        <f>IFERROR(__xludf.DUMMYFUNCTION("""COMPUTED_VALUE"""),"{""typ"":""lc"",""txt"":""LC_ITEM_2025anni_box_name_3""}")</f>
        <v>{"typ":"lc","txt":"LC_ITEM_2025anni_box_name_3"}</v>
      </c>
      <c r="K845" s="148" t="str">
        <f>IFERROR(__xludf.DUMMYFUNCTION("""COMPUTED_VALUE"""),"{""typ"":""lc"",""txt"":""LC_ITEM_2025anni_box_desc_3""}")</f>
        <v>{"typ":"lc","txt":"LC_ITEM_2025anni_box_desc_3"}</v>
      </c>
      <c r="L845" s="148" t="str">
        <f>IFERROR(__xludf.DUMMYFUNCTION("""COMPUTED_VALUE"""),"{}")</f>
        <v>{}</v>
      </c>
      <c r="M845" s="148">
        <f>IFERROR(__xludf.DUMMYFUNCTION("""COMPUTED_VALUE"""),40.0)</f>
        <v>40</v>
      </c>
      <c r="N845" s="148">
        <f>IFERROR(__xludf.DUMMYFUNCTION("""COMPUTED_VALUE"""),999999.0)</f>
        <v>999999</v>
      </c>
      <c r="O845" s="148">
        <f>IFERROR(__xludf.DUMMYFUNCTION("""COMPUTED_VALUE"""),99999.0)</f>
        <v>99999</v>
      </c>
      <c r="P845" s="148">
        <f>IFERROR(__xludf.DUMMYFUNCTION("""COMPUTED_VALUE"""),99999.0)</f>
        <v>99999</v>
      </c>
      <c r="Q845" s="148" t="str">
        <f>IFERROR(__xludf.DUMMYFUNCTION("""COMPUTED_VALUE"""),"[""bag_other""]")</f>
        <v>["bag_other"]</v>
      </c>
      <c r="R845" s="148" t="str">
        <f>IFERROR(__xludf.DUMMYFUNCTION("""COMPUTED_VALUE"""),"[""bag""]")</f>
        <v>["bag"]</v>
      </c>
      <c r="S845" s="148" t="str">
        <f>IFERROR(__xludf.DUMMYFUNCTION("""COMPUTED_VALUE"""),"{""drop"":{""typ"":""single_random"",""num"":1,""args"":[{""typ"":""item"",""id"":11112614,""num"":1,""wgt"":1},{""typ"":""item"",""id"":11119721,""num"":1,""wgt"":1},{""typ"":""item"",""id"":11112578,""num"":1,""wgt"":1},{""typ"":""item"",""id"":11112613"&amp;",""num"":1,""wgt"":20},{""typ"":""item"",""id"":11119720,""num"":1,""wgt"":20},{""typ"":""item"",""id"":11112577,""num"":1,""wgt"":20},{""typ"":""item"",""id"":11112612,""num"":1,""wgt"":40},{""typ"":""item"",""id"":11119719,""num"":1,""wgt"":40},{""typ"""&amp;":""item"",""id"":11112576,""num"":1,""wgt"":40},{""typ"":""item"",""id"":11112030,""num"":30,""wgt"":20},{""typ"":""item"",""id"":11111106,""num"":2,""wgt"":50},{""typ"":""item"",""id"":11111157,""num"":2,""wgt"":100},{""typ"":""item"",""id"":11112030,""n"&amp;"um"":5,""wgt"":100}]}}")</f>
        <v>{"drop":{"typ":"single_random","num":1,"args":[{"typ":"item","id":11112614,"num":1,"wgt":1},{"typ":"item","id":11119721,"num":1,"wgt":1},{"typ":"item","id":11112578,"num":1,"wgt":1},{"typ":"item","id":11112613,"num":1,"wgt":20},{"typ":"item","id":11119720,"num":1,"wgt":20},{"typ":"item","id":11112577,"num":1,"wgt":20},{"typ":"item","id":11112612,"num":1,"wgt":40},{"typ":"item","id":11119719,"num":1,"wgt":40},{"typ":"item","id":11112576,"num":1,"wgt":40},{"typ":"item","id":11112030,"num":30,"wgt":20},{"typ":"item","id":11111106,"num":2,"wgt":50},{"typ":"item","id":11111157,"num":2,"wgt":100},{"typ":"item","id":11112030,"num":5,"wgt":100}]}}</v>
      </c>
      <c r="T845" s="148">
        <f>IFERROR(__xludf.DUMMYFUNCTION("""COMPUTED_VALUE"""),-1.0)</f>
        <v>-1</v>
      </c>
      <c r="U845" s="148">
        <f>IFERROR(__xludf.DUMMYFUNCTION("""COMPUTED_VALUE"""),0.0)</f>
        <v>0</v>
      </c>
      <c r="V845" s="148" t="str">
        <f>IFERROR(__xludf.DUMMYFUNCTION("""COMPUTED_VALUE"""),"[]")</f>
        <v>[]</v>
      </c>
      <c r="W845" s="148">
        <f>IFERROR(__xludf.DUMMYFUNCTION("""COMPUTED_VALUE"""),1.174E7)</f>
        <v>11740000</v>
      </c>
      <c r="X845" s="148">
        <f>IFERROR(__xludf.DUMMYFUNCTION("""COMPUTED_VALUE"""),0.0)</f>
        <v>0</v>
      </c>
      <c r="Y845" s="148">
        <f>IFERROR(__xludf.DUMMYFUNCTION("""COMPUTED_VALUE"""),0.0)</f>
        <v>0</v>
      </c>
      <c r="Z845" s="148"/>
    </row>
    <row r="846">
      <c r="A846" s="148">
        <f>IFERROR(__xludf.DUMMYFUNCTION("""COMPUTED_VALUE"""),1.1112643E7)</f>
        <v>11112643</v>
      </c>
      <c r="B846" s="148" t="str">
        <f>IFERROR(__xludf.DUMMYFUNCTION("""COMPUTED_VALUE"""),"自选返场皮肤限时宝箱（7天）")</f>
        <v>自选返场皮肤限时宝箱（7天）</v>
      </c>
      <c r="C846" s="148"/>
      <c r="D846" s="148" t="str">
        <f>IFERROR(__xludf.DUMMYFUNCTION("""COMPUTED_VALUE"""),"item_select_box")</f>
        <v>item_select_box</v>
      </c>
      <c r="E846" s="148">
        <f>IFERROR(__xludf.DUMMYFUNCTION("""COMPUTED_VALUE"""),19.0)</f>
        <v>19</v>
      </c>
      <c r="F846" s="148">
        <f>IFERROR(__xludf.DUMMYFUNCTION("""COMPUTED_VALUE"""),408195.0)</f>
        <v>408195</v>
      </c>
      <c r="G846" s="148">
        <f>IFERROR(__xludf.DUMMYFUNCTION("""COMPUTED_VALUE"""),1.51102213E8)</f>
        <v>151102213</v>
      </c>
      <c r="H846" s="148">
        <f>IFERROR(__xludf.DUMMYFUNCTION("""COMPUTED_VALUE"""),1.5112563E7)</f>
        <v>15112563</v>
      </c>
      <c r="I846" s="148" t="str">
        <f>IFERROR(__xludf.DUMMYFUNCTION("""COMPUTED_VALUE"""),"{}")</f>
        <v>{}</v>
      </c>
      <c r="J846" s="148" t="str">
        <f>IFERROR(__xludf.DUMMYFUNCTION("""COMPUTED_VALUE"""),"{""typ"":""lc"",""txt"":""LC_ITEM_2025anni_box_name_6""}")</f>
        <v>{"typ":"lc","txt":"LC_ITEM_2025anni_box_name_6"}</v>
      </c>
      <c r="K846" s="148" t="str">
        <f>IFERROR(__xludf.DUMMYFUNCTION("""COMPUTED_VALUE"""),"{""typ"":""lc"",""txt"":""LC_ITEM_2025anni_box_desc_6""}")</f>
        <v>{"typ":"lc","txt":"LC_ITEM_2025anni_box_desc_6"}</v>
      </c>
      <c r="L846" s="148" t="str">
        <f>IFERROR(__xludf.DUMMYFUNCTION("""COMPUTED_VALUE"""),"{}")</f>
        <v>{}</v>
      </c>
      <c r="M846" s="148">
        <f>IFERROR(__xludf.DUMMYFUNCTION("""COMPUTED_VALUE"""),1000.0)</f>
        <v>1000</v>
      </c>
      <c r="N846" s="148">
        <f>IFERROR(__xludf.DUMMYFUNCTION("""COMPUTED_VALUE"""),9999999.0)</f>
        <v>9999999</v>
      </c>
      <c r="O846" s="148">
        <f>IFERROR(__xludf.DUMMYFUNCTION("""COMPUTED_VALUE"""),99999.0)</f>
        <v>99999</v>
      </c>
      <c r="P846" s="148">
        <f>IFERROR(__xludf.DUMMYFUNCTION("""COMPUTED_VALUE"""),99999.0)</f>
        <v>99999</v>
      </c>
      <c r="Q846" s="148" t="str">
        <f>IFERROR(__xludf.DUMMYFUNCTION("""COMPUTED_VALUE"""),"[""bag_other""]")</f>
        <v>["bag_other"]</v>
      </c>
      <c r="R846" s="148" t="str">
        <f>IFERROR(__xludf.DUMMYFUNCTION("""COMPUTED_VALUE"""),"[""bag""]")</f>
        <v>["bag"]</v>
      </c>
      <c r="S846" s="148" t="str">
        <f>IFERROR(__xludf.DUMMYFUNCTION("""COMPUTED_VALUE"""),"{""select_box"":[{""typ"":""item"",""id"":11112611,""val"":1},{""typ"":""item"",""id"":11119718,""val"":1},{""typ"":""item"",""id"":11112575,""val"":1},{""typ"":""item"",""id"":11112933,""val"":1},{""typ"":""item"",""id"":11112673,""val"":1},{""typ"":""it"&amp;"em"",""id"":11112514,""val"":1}]}")</f>
        <v>{"select_box":[{"typ":"item","id":11112611,"val":1},{"typ":"item","id":11119718,"val":1},{"typ":"item","id":11112575,"val":1},{"typ":"item","id":11112933,"val":1},{"typ":"item","id":11112673,"val":1},{"typ":"item","id":11112514,"val":1}]}</v>
      </c>
      <c r="T846" s="148">
        <f>IFERROR(__xludf.DUMMYFUNCTION("""COMPUTED_VALUE"""),-1.0)</f>
        <v>-1</v>
      </c>
      <c r="U846" s="148">
        <f>IFERROR(__xludf.DUMMYFUNCTION("""COMPUTED_VALUE"""),0.0)</f>
        <v>0</v>
      </c>
      <c r="V846" s="148" t="str">
        <f>IFERROR(__xludf.DUMMYFUNCTION("""COMPUTED_VALUE"""),"[]")</f>
        <v>[]</v>
      </c>
      <c r="W846" s="148">
        <f>IFERROR(__xludf.DUMMYFUNCTION("""COMPUTED_VALUE"""),1.1741002E7)</f>
        <v>11741002</v>
      </c>
      <c r="X846" s="148">
        <f>IFERROR(__xludf.DUMMYFUNCTION("""COMPUTED_VALUE"""),0.0)</f>
        <v>0</v>
      </c>
      <c r="Y846" s="148">
        <f>IFERROR(__xludf.DUMMYFUNCTION("""COMPUTED_VALUE"""),0.0)</f>
        <v>0</v>
      </c>
      <c r="Z846" s="148"/>
    </row>
    <row r="847">
      <c r="A847" s="148">
        <f>IFERROR(__xludf.DUMMYFUNCTION("""COMPUTED_VALUE"""),1.1112644E7)</f>
        <v>11112644</v>
      </c>
      <c r="B847" s="148" t="str">
        <f>IFERROR(__xludf.DUMMYFUNCTION("""COMPUTED_VALUE"""),"自选返场行军皮肤限时宝箱（14天）")</f>
        <v>自选返场行军皮肤限时宝箱（14天）</v>
      </c>
      <c r="C847" s="148"/>
      <c r="D847" s="148" t="str">
        <f>IFERROR(__xludf.DUMMYFUNCTION("""COMPUTED_VALUE"""),"item_select_box")</f>
        <v>item_select_box</v>
      </c>
      <c r="E847" s="148">
        <f>IFERROR(__xludf.DUMMYFUNCTION("""COMPUTED_VALUE"""),19.0)</f>
        <v>19</v>
      </c>
      <c r="F847" s="148">
        <f>IFERROR(__xludf.DUMMYFUNCTION("""COMPUTED_VALUE"""),408195.0)</f>
        <v>408195</v>
      </c>
      <c r="G847" s="148">
        <f>IFERROR(__xludf.DUMMYFUNCTION("""COMPUTED_VALUE"""),1.51102213E8)</f>
        <v>151102213</v>
      </c>
      <c r="H847" s="148">
        <f>IFERROR(__xludf.DUMMYFUNCTION("""COMPUTED_VALUE"""),1.5112563E7)</f>
        <v>15112563</v>
      </c>
      <c r="I847" s="148" t="str">
        <f>IFERROR(__xludf.DUMMYFUNCTION("""COMPUTED_VALUE"""),"{}")</f>
        <v>{}</v>
      </c>
      <c r="J847" s="148" t="str">
        <f>IFERROR(__xludf.DUMMYFUNCTION("""COMPUTED_VALUE"""),"{""typ"":""lc"",""txt"":""LC_ITEM_2025anni_box_name_4""}")</f>
        <v>{"typ":"lc","txt":"LC_ITEM_2025anni_box_name_4"}</v>
      </c>
      <c r="K847" s="148" t="str">
        <f>IFERROR(__xludf.DUMMYFUNCTION("""COMPUTED_VALUE"""),"{""typ"":""lc"",""txt"":""LC_ITEM_2025anni_box_desc_4""}")</f>
        <v>{"typ":"lc","txt":"LC_ITEM_2025anni_box_desc_4"}</v>
      </c>
      <c r="L847" s="148" t="str">
        <f>IFERROR(__xludf.DUMMYFUNCTION("""COMPUTED_VALUE"""),"{}")</f>
        <v>{}</v>
      </c>
      <c r="M847" s="148">
        <f>IFERROR(__xludf.DUMMYFUNCTION("""COMPUTED_VALUE"""),1000.0)</f>
        <v>1000</v>
      </c>
      <c r="N847" s="148">
        <f>IFERROR(__xludf.DUMMYFUNCTION("""COMPUTED_VALUE"""),9999999.0)</f>
        <v>9999999</v>
      </c>
      <c r="O847" s="148">
        <f>IFERROR(__xludf.DUMMYFUNCTION("""COMPUTED_VALUE"""),99999.0)</f>
        <v>99999</v>
      </c>
      <c r="P847" s="148">
        <f>IFERROR(__xludf.DUMMYFUNCTION("""COMPUTED_VALUE"""),99999.0)</f>
        <v>99999</v>
      </c>
      <c r="Q847" s="148" t="str">
        <f>IFERROR(__xludf.DUMMYFUNCTION("""COMPUTED_VALUE"""),"[""bag_other""]")</f>
        <v>["bag_other"]</v>
      </c>
      <c r="R847" s="148" t="str">
        <f>IFERROR(__xludf.DUMMYFUNCTION("""COMPUTED_VALUE"""),"[""bag""]")</f>
        <v>["bag"]</v>
      </c>
      <c r="S847" s="148" t="str">
        <f>IFERROR(__xludf.DUMMYFUNCTION("""COMPUTED_VALUE"""),"{""select_box"":[{""typ"":""item"",""id"":11112612,""val"":1},{""typ"":""item"",""id"":11119719,""val"":1},{""typ"":""item"",""id"":11112576,""val"":1}]}")</f>
        <v>{"select_box":[{"typ":"item","id":11112612,"val":1},{"typ":"item","id":11119719,"val":1},{"typ":"item","id":11112576,"val":1}]}</v>
      </c>
      <c r="T847" s="148">
        <f>IFERROR(__xludf.DUMMYFUNCTION("""COMPUTED_VALUE"""),-1.0)</f>
        <v>-1</v>
      </c>
      <c r="U847" s="148">
        <f>IFERROR(__xludf.DUMMYFUNCTION("""COMPUTED_VALUE"""),0.0)</f>
        <v>0</v>
      </c>
      <c r="V847" s="148" t="str">
        <f>IFERROR(__xludf.DUMMYFUNCTION("""COMPUTED_VALUE"""),"[]")</f>
        <v>[]</v>
      </c>
      <c r="W847" s="148">
        <f>IFERROR(__xludf.DUMMYFUNCTION("""COMPUTED_VALUE"""),1.1741002E7)</f>
        <v>11741002</v>
      </c>
      <c r="X847" s="148">
        <f>IFERROR(__xludf.DUMMYFUNCTION("""COMPUTED_VALUE"""),0.0)</f>
        <v>0</v>
      </c>
      <c r="Y847" s="148">
        <f>IFERROR(__xludf.DUMMYFUNCTION("""COMPUTED_VALUE"""),0.0)</f>
        <v>0</v>
      </c>
      <c r="Z847" s="148"/>
    </row>
    <row r="848">
      <c r="A848" s="148">
        <f>IFERROR(__xludf.DUMMYFUNCTION("""COMPUTED_VALUE"""),1.1112645E7)</f>
        <v>11112645</v>
      </c>
      <c r="B848" s="148" t="str">
        <f>IFERROR(__xludf.DUMMYFUNCTION("""COMPUTED_VALUE"""),"自选返场行军皮肤限时宝箱（30天）")</f>
        <v>自选返场行军皮肤限时宝箱（30天）</v>
      </c>
      <c r="C848" s="148"/>
      <c r="D848" s="148" t="str">
        <f>IFERROR(__xludf.DUMMYFUNCTION("""COMPUTED_VALUE"""),"item_select_box")</f>
        <v>item_select_box</v>
      </c>
      <c r="E848" s="148">
        <f>IFERROR(__xludf.DUMMYFUNCTION("""COMPUTED_VALUE"""),19.0)</f>
        <v>19</v>
      </c>
      <c r="F848" s="148">
        <f>IFERROR(__xludf.DUMMYFUNCTION("""COMPUTED_VALUE"""),408195.0)</f>
        <v>408195</v>
      </c>
      <c r="G848" s="148">
        <f>IFERROR(__xludf.DUMMYFUNCTION("""COMPUTED_VALUE"""),1.51102213E8)</f>
        <v>151102213</v>
      </c>
      <c r="H848" s="148">
        <f>IFERROR(__xludf.DUMMYFUNCTION("""COMPUTED_VALUE"""),1.5112564E7)</f>
        <v>15112564</v>
      </c>
      <c r="I848" s="148" t="str">
        <f>IFERROR(__xludf.DUMMYFUNCTION("""COMPUTED_VALUE"""),"{}")</f>
        <v>{}</v>
      </c>
      <c r="J848" s="148" t="str">
        <f>IFERROR(__xludf.DUMMYFUNCTION("""COMPUTED_VALUE"""),"{""typ"":""lc"",""txt"":""LC_ITEM_2025anni_box_name_5""}")</f>
        <v>{"typ":"lc","txt":"LC_ITEM_2025anni_box_name_5"}</v>
      </c>
      <c r="K848" s="148" t="str">
        <f>IFERROR(__xludf.DUMMYFUNCTION("""COMPUTED_VALUE"""),"{""typ"":""lc"",""txt"":""LC_ITEM_2025anni_box_desc_5""}")</f>
        <v>{"typ":"lc","txt":"LC_ITEM_2025anni_box_desc_5"}</v>
      </c>
      <c r="L848" s="148" t="str">
        <f>IFERROR(__xludf.DUMMYFUNCTION("""COMPUTED_VALUE"""),"{}")</f>
        <v>{}</v>
      </c>
      <c r="M848" s="148">
        <f>IFERROR(__xludf.DUMMYFUNCTION("""COMPUTED_VALUE"""),1000.0)</f>
        <v>1000</v>
      </c>
      <c r="N848" s="148">
        <f>IFERROR(__xludf.DUMMYFUNCTION("""COMPUTED_VALUE"""),9999999.0)</f>
        <v>9999999</v>
      </c>
      <c r="O848" s="148">
        <f>IFERROR(__xludf.DUMMYFUNCTION("""COMPUTED_VALUE"""),99999.0)</f>
        <v>99999</v>
      </c>
      <c r="P848" s="148">
        <f>IFERROR(__xludf.DUMMYFUNCTION("""COMPUTED_VALUE"""),99999.0)</f>
        <v>99999</v>
      </c>
      <c r="Q848" s="148" t="str">
        <f>IFERROR(__xludf.DUMMYFUNCTION("""COMPUTED_VALUE"""),"[""bag_other""]")</f>
        <v>["bag_other"]</v>
      </c>
      <c r="R848" s="148" t="str">
        <f>IFERROR(__xludf.DUMMYFUNCTION("""COMPUTED_VALUE"""),"[""bag""]")</f>
        <v>["bag"]</v>
      </c>
      <c r="S848" s="148" t="str">
        <f>IFERROR(__xludf.DUMMYFUNCTION("""COMPUTED_VALUE"""),"{""select_box"":[{""typ"":""item"",""id"":11112613,""val"":1},{""typ"":""item"",""id"":11119720,""val"":1},{""typ"":""item"",""id"":11112577,""val"":1}]}")</f>
        <v>{"select_box":[{"typ":"item","id":11112613,"val":1},{"typ":"item","id":11119720,"val":1},{"typ":"item","id":11112577,"val":1}]}</v>
      </c>
      <c r="T848" s="148">
        <f>IFERROR(__xludf.DUMMYFUNCTION("""COMPUTED_VALUE"""),-1.0)</f>
        <v>-1</v>
      </c>
      <c r="U848" s="148">
        <f>IFERROR(__xludf.DUMMYFUNCTION("""COMPUTED_VALUE"""),0.0)</f>
        <v>0</v>
      </c>
      <c r="V848" s="148" t="str">
        <f>IFERROR(__xludf.DUMMYFUNCTION("""COMPUTED_VALUE"""),"[]")</f>
        <v>[]</v>
      </c>
      <c r="W848" s="148">
        <f>IFERROR(__xludf.DUMMYFUNCTION("""COMPUTED_VALUE"""),1.1741002E7)</f>
        <v>11741002</v>
      </c>
      <c r="X848" s="148">
        <f>IFERROR(__xludf.DUMMYFUNCTION("""COMPUTED_VALUE"""),0.0)</f>
        <v>0</v>
      </c>
      <c r="Y848" s="148">
        <f>IFERROR(__xludf.DUMMYFUNCTION("""COMPUTED_VALUE"""),0.0)</f>
        <v>0</v>
      </c>
      <c r="Z848" s="148"/>
    </row>
    <row r="849">
      <c r="A849" s="148">
        <f>IFERROR(__xludf.DUMMYFUNCTION("""COMPUTED_VALUE"""),1.1112646E7)</f>
        <v>11112646</v>
      </c>
      <c r="B849" s="148" t="str">
        <f>IFERROR(__xludf.DUMMYFUNCTION("""COMPUTED_VALUE"""),"自选返场主城皮肤限时宝箱（7天）")</f>
        <v>自选返场主城皮肤限时宝箱（7天）</v>
      </c>
      <c r="C849" s="148"/>
      <c r="D849" s="148" t="str">
        <f>IFERROR(__xludf.DUMMYFUNCTION("""COMPUTED_VALUE"""),"item_select_box")</f>
        <v>item_select_box</v>
      </c>
      <c r="E849" s="148">
        <f>IFERROR(__xludf.DUMMYFUNCTION("""COMPUTED_VALUE"""),19.0)</f>
        <v>19</v>
      </c>
      <c r="F849" s="148">
        <f>IFERROR(__xludf.DUMMYFUNCTION("""COMPUTED_VALUE"""),408195.0)</f>
        <v>408195</v>
      </c>
      <c r="G849" s="148">
        <f>IFERROR(__xludf.DUMMYFUNCTION("""COMPUTED_VALUE"""),1.51102213E8)</f>
        <v>151102213</v>
      </c>
      <c r="H849" s="148">
        <f>IFERROR(__xludf.DUMMYFUNCTION("""COMPUTED_VALUE"""),1.5112563E7)</f>
        <v>15112563</v>
      </c>
      <c r="I849" s="148" t="str">
        <f>IFERROR(__xludf.DUMMYFUNCTION("""COMPUTED_VALUE"""),"{}")</f>
        <v>{}</v>
      </c>
      <c r="J849" s="148" t="str">
        <f>IFERROR(__xludf.DUMMYFUNCTION("""COMPUTED_VALUE"""),"{""typ"":""lc"",""txt"":""LC_ITEM_2025anni_box_name_7""}")</f>
        <v>{"typ":"lc","txt":"LC_ITEM_2025anni_box_name_7"}</v>
      </c>
      <c r="K849" s="148" t="str">
        <f>IFERROR(__xludf.DUMMYFUNCTION("""COMPUTED_VALUE"""),"{""typ"":""lc"",""txt"":""LC_ITEM_2025anni_box_desc_7""}")</f>
        <v>{"typ":"lc","txt":"LC_ITEM_2025anni_box_desc_7"}</v>
      </c>
      <c r="L849" s="148" t="str">
        <f>IFERROR(__xludf.DUMMYFUNCTION("""COMPUTED_VALUE"""),"{}")</f>
        <v>{}</v>
      </c>
      <c r="M849" s="148">
        <f>IFERROR(__xludf.DUMMYFUNCTION("""COMPUTED_VALUE"""),1000.0)</f>
        <v>1000</v>
      </c>
      <c r="N849" s="148">
        <f>IFERROR(__xludf.DUMMYFUNCTION("""COMPUTED_VALUE"""),9999999.0)</f>
        <v>9999999</v>
      </c>
      <c r="O849" s="148">
        <f>IFERROR(__xludf.DUMMYFUNCTION("""COMPUTED_VALUE"""),99999.0)</f>
        <v>99999</v>
      </c>
      <c r="P849" s="148">
        <f>IFERROR(__xludf.DUMMYFUNCTION("""COMPUTED_VALUE"""),99999.0)</f>
        <v>99999</v>
      </c>
      <c r="Q849" s="148" t="str">
        <f>IFERROR(__xludf.DUMMYFUNCTION("""COMPUTED_VALUE"""),"[""bag_other""]")</f>
        <v>["bag_other"]</v>
      </c>
      <c r="R849" s="148" t="str">
        <f>IFERROR(__xludf.DUMMYFUNCTION("""COMPUTED_VALUE"""),"[""bag""]")</f>
        <v>["bag"]</v>
      </c>
      <c r="S849" s="148" t="str">
        <f>IFERROR(__xludf.DUMMYFUNCTION("""COMPUTED_VALUE"""),"{""select_box"":[{""typ"":""item"",""id"":11112933,""val"":1},{""typ"":""item"",""id"":11112673,""val"":1},{""typ"":""item"",""id"":11112514,""val"":1}]}")</f>
        <v>{"select_box":[{"typ":"item","id":11112933,"val":1},{"typ":"item","id":11112673,"val":1},{"typ":"item","id":11112514,"val":1}]}</v>
      </c>
      <c r="T849" s="148">
        <f>IFERROR(__xludf.DUMMYFUNCTION("""COMPUTED_VALUE"""),-1.0)</f>
        <v>-1</v>
      </c>
      <c r="U849" s="148">
        <f>IFERROR(__xludf.DUMMYFUNCTION("""COMPUTED_VALUE"""),0.0)</f>
        <v>0</v>
      </c>
      <c r="V849" s="148" t="str">
        <f>IFERROR(__xludf.DUMMYFUNCTION("""COMPUTED_VALUE"""),"[]")</f>
        <v>[]</v>
      </c>
      <c r="W849" s="148">
        <f>IFERROR(__xludf.DUMMYFUNCTION("""COMPUTED_VALUE"""),1.1741002E7)</f>
        <v>11741002</v>
      </c>
      <c r="X849" s="148">
        <f>IFERROR(__xludf.DUMMYFUNCTION("""COMPUTED_VALUE"""),0.0)</f>
        <v>0</v>
      </c>
      <c r="Y849" s="148">
        <f>IFERROR(__xludf.DUMMYFUNCTION("""COMPUTED_VALUE"""),0.0)</f>
        <v>0</v>
      </c>
      <c r="Z849" s="148"/>
    </row>
    <row r="850">
      <c r="A850" s="148">
        <f>IFERROR(__xludf.DUMMYFUNCTION("""COMPUTED_VALUE"""),1.1112647E7)</f>
        <v>11112647</v>
      </c>
      <c r="B850" s="148" t="str">
        <f>IFERROR(__xludf.DUMMYFUNCTION("""COMPUTED_VALUE"""),"自选返场主城皮肤限时宝箱（14天）")</f>
        <v>自选返场主城皮肤限时宝箱（14天）</v>
      </c>
      <c r="C850" s="148"/>
      <c r="D850" s="148" t="str">
        <f>IFERROR(__xludf.DUMMYFUNCTION("""COMPUTED_VALUE"""),"item_select_box")</f>
        <v>item_select_box</v>
      </c>
      <c r="E850" s="148">
        <f>IFERROR(__xludf.DUMMYFUNCTION("""COMPUTED_VALUE"""),19.0)</f>
        <v>19</v>
      </c>
      <c r="F850" s="148">
        <f>IFERROR(__xludf.DUMMYFUNCTION("""COMPUTED_VALUE"""),408195.0)</f>
        <v>408195</v>
      </c>
      <c r="G850" s="148">
        <f>IFERROR(__xludf.DUMMYFUNCTION("""COMPUTED_VALUE"""),1.51102213E8)</f>
        <v>151102213</v>
      </c>
      <c r="H850" s="148">
        <f>IFERROR(__xludf.DUMMYFUNCTION("""COMPUTED_VALUE"""),1.5112564E7)</f>
        <v>15112564</v>
      </c>
      <c r="I850" s="148" t="str">
        <f>IFERROR(__xludf.DUMMYFUNCTION("""COMPUTED_VALUE"""),"{}")</f>
        <v>{}</v>
      </c>
      <c r="J850" s="148" t="str">
        <f>IFERROR(__xludf.DUMMYFUNCTION("""COMPUTED_VALUE"""),"{""typ"":""lc"",""txt"":""LC_ITEM_2025anni_box_name_8""}")</f>
        <v>{"typ":"lc","txt":"LC_ITEM_2025anni_box_name_8"}</v>
      </c>
      <c r="K850" s="148" t="str">
        <f>IFERROR(__xludf.DUMMYFUNCTION("""COMPUTED_VALUE"""),"{""typ"":""lc"",""txt"":""LC_ITEM_2025anni_box_desc_8""}")</f>
        <v>{"typ":"lc","txt":"LC_ITEM_2025anni_box_desc_8"}</v>
      </c>
      <c r="L850" s="148" t="str">
        <f>IFERROR(__xludf.DUMMYFUNCTION("""COMPUTED_VALUE"""),"{}")</f>
        <v>{}</v>
      </c>
      <c r="M850" s="148">
        <f>IFERROR(__xludf.DUMMYFUNCTION("""COMPUTED_VALUE"""),1000.0)</f>
        <v>1000</v>
      </c>
      <c r="N850" s="148">
        <f>IFERROR(__xludf.DUMMYFUNCTION("""COMPUTED_VALUE"""),9999999.0)</f>
        <v>9999999</v>
      </c>
      <c r="O850" s="148">
        <f>IFERROR(__xludf.DUMMYFUNCTION("""COMPUTED_VALUE"""),99999.0)</f>
        <v>99999</v>
      </c>
      <c r="P850" s="148">
        <f>IFERROR(__xludf.DUMMYFUNCTION("""COMPUTED_VALUE"""),99999.0)</f>
        <v>99999</v>
      </c>
      <c r="Q850" s="148" t="str">
        <f>IFERROR(__xludf.DUMMYFUNCTION("""COMPUTED_VALUE"""),"[""bag_other""]")</f>
        <v>["bag_other"]</v>
      </c>
      <c r="R850" s="148" t="str">
        <f>IFERROR(__xludf.DUMMYFUNCTION("""COMPUTED_VALUE"""),"[""bag""]")</f>
        <v>["bag"]</v>
      </c>
      <c r="S850" s="148" t="str">
        <f>IFERROR(__xludf.DUMMYFUNCTION("""COMPUTED_VALUE"""),"{""select_box"":[{""typ"":""item"",""id"":11112934,""val"":1},{""typ"":""item"",""id"":11112674,""val"":1},{""typ"":""item"",""id"":11112515,""val"":1}]}")</f>
        <v>{"select_box":[{"typ":"item","id":11112934,"val":1},{"typ":"item","id":11112674,"val":1},{"typ":"item","id":11112515,"val":1}]}</v>
      </c>
      <c r="T850" s="148">
        <f>IFERROR(__xludf.DUMMYFUNCTION("""COMPUTED_VALUE"""),-1.0)</f>
        <v>-1</v>
      </c>
      <c r="U850" s="148">
        <f>IFERROR(__xludf.DUMMYFUNCTION("""COMPUTED_VALUE"""),0.0)</f>
        <v>0</v>
      </c>
      <c r="V850" s="148" t="str">
        <f>IFERROR(__xludf.DUMMYFUNCTION("""COMPUTED_VALUE"""),"[]")</f>
        <v>[]</v>
      </c>
      <c r="W850" s="148">
        <f>IFERROR(__xludf.DUMMYFUNCTION("""COMPUTED_VALUE"""),1.1741002E7)</f>
        <v>11741002</v>
      </c>
      <c r="X850" s="148">
        <f>IFERROR(__xludf.DUMMYFUNCTION("""COMPUTED_VALUE"""),0.0)</f>
        <v>0</v>
      </c>
      <c r="Y850" s="148">
        <f>IFERROR(__xludf.DUMMYFUNCTION("""COMPUTED_VALUE"""),0.0)</f>
        <v>0</v>
      </c>
      <c r="Z850" s="148"/>
    </row>
    <row r="851">
      <c r="A851" s="148">
        <f>IFERROR(__xludf.DUMMYFUNCTION("""COMPUTED_VALUE"""),1.1112648E7)</f>
        <v>11112648</v>
      </c>
      <c r="B851" s="148" t="str">
        <f>IFERROR(__xludf.DUMMYFUNCTION("""COMPUTED_VALUE"""),"节日之星纪念勋章")</f>
        <v>节日之星纪念勋章</v>
      </c>
      <c r="C851" s="148"/>
      <c r="D851" s="148" t="str">
        <f>IFERROR(__xludf.DUMMYFUNCTION("""COMPUTED_VALUE"""),"event")</f>
        <v>event</v>
      </c>
      <c r="E851" s="148">
        <f>IFERROR(__xludf.DUMMYFUNCTION("""COMPUTED_VALUE"""),0.0)</f>
        <v>0</v>
      </c>
      <c r="F851" s="148">
        <f>IFERROR(__xludf.DUMMYFUNCTION("""COMPUTED_VALUE"""),0.0)</f>
        <v>0</v>
      </c>
      <c r="G851" s="148">
        <f>IFERROR(__xludf.DUMMYFUNCTION("""COMPUTED_VALUE"""),1.51102408E8)</f>
        <v>151102408</v>
      </c>
      <c r="H851" s="148">
        <f>IFERROR(__xludf.DUMMYFUNCTION("""COMPUTED_VALUE"""),1.5112564E7)</f>
        <v>15112564</v>
      </c>
      <c r="I851" s="148" t="str">
        <f>IFERROR(__xludf.DUMMYFUNCTION("""COMPUTED_VALUE"""),"{}")</f>
        <v>{}</v>
      </c>
      <c r="J851" s="148" t="str">
        <f>IFERROR(__xludf.DUMMYFUNCTION("""COMPUTED_VALUE"""),"{""typ"":""lc"",""txt"":""LC_ITEM_fes_badge_2025""}")</f>
        <v>{"typ":"lc","txt":"LC_ITEM_fes_badge_2025"}</v>
      </c>
      <c r="K851" s="148" t="str">
        <f>IFERROR(__xludf.DUMMYFUNCTION("""COMPUTED_VALUE"""),"{""typ"":""lc"",""txt"":""LC_ITEM_fes_badge_2025_desc""}")</f>
        <v>{"typ":"lc","txt":"LC_ITEM_fes_badge_2025_desc"}</v>
      </c>
      <c r="L851" s="148" t="str">
        <f>IFERROR(__xludf.DUMMYFUNCTION("""COMPUTED_VALUE"""),"{}")</f>
        <v>{}</v>
      </c>
      <c r="M851" s="148">
        <f>IFERROR(__xludf.DUMMYFUNCTION("""COMPUTED_VALUE"""),1000.0)</f>
        <v>1000</v>
      </c>
      <c r="N851" s="148">
        <f>IFERROR(__xludf.DUMMYFUNCTION("""COMPUTED_VALUE"""),1.0)</f>
        <v>1</v>
      </c>
      <c r="O851" s="148">
        <f>IFERROR(__xludf.DUMMYFUNCTION("""COMPUTED_VALUE"""),1.0)</f>
        <v>1</v>
      </c>
      <c r="P851" s="148">
        <f>IFERROR(__xludf.DUMMYFUNCTION("""COMPUTED_VALUE"""),1.0)</f>
        <v>1</v>
      </c>
      <c r="Q851" s="148" t="str">
        <f>IFERROR(__xludf.DUMMYFUNCTION("""COMPUTED_VALUE"""),"[]")</f>
        <v>[]</v>
      </c>
      <c r="R851" s="148" t="str">
        <f>IFERROR(__xludf.DUMMYFUNCTION("""COMPUTED_VALUE"""),"[]")</f>
        <v>[]</v>
      </c>
      <c r="S851" s="148" t="str">
        <f>IFERROR(__xludf.DUMMYFUNCTION("""COMPUTED_VALUE"""),"{}")</f>
        <v>{}</v>
      </c>
      <c r="T851" s="148">
        <f>IFERROR(__xludf.DUMMYFUNCTION("""COMPUTED_VALUE"""),-1.0)</f>
        <v>-1</v>
      </c>
      <c r="U851" s="148">
        <f>IFERROR(__xludf.DUMMYFUNCTION("""COMPUTED_VALUE"""),0.0)</f>
        <v>0</v>
      </c>
      <c r="V851" s="148" t="str">
        <f>IFERROR(__xludf.DUMMYFUNCTION("""COMPUTED_VALUE"""),"[]")</f>
        <v>[]</v>
      </c>
      <c r="W851" s="148">
        <f>IFERROR(__xludf.DUMMYFUNCTION("""COMPUTED_VALUE"""),1.174E7)</f>
        <v>11740000</v>
      </c>
      <c r="X851" s="148">
        <f>IFERROR(__xludf.DUMMYFUNCTION("""COMPUTED_VALUE"""),0.0)</f>
        <v>0</v>
      </c>
      <c r="Y851" s="148">
        <f>IFERROR(__xludf.DUMMYFUNCTION("""COMPUTED_VALUE"""),0.0)</f>
        <v>0</v>
      </c>
      <c r="Z851" s="148"/>
    </row>
    <row r="852">
      <c r="A852" s="148">
        <f>IFERROR(__xludf.DUMMYFUNCTION("""COMPUTED_VALUE"""),1.1112649E7)</f>
        <v>11112649</v>
      </c>
      <c r="B852" s="148" t="str">
        <f>IFERROR(__xludf.DUMMYFUNCTION("""COMPUTED_VALUE"""),"2025周年GACHA-弹珠GACHA抽奖道具")</f>
        <v>2025周年GACHA-弹珠GACHA抽奖道具</v>
      </c>
      <c r="C852" s="148"/>
      <c r="D852" s="148" t="str">
        <f>IFERROR(__xludf.DUMMYFUNCTION("""COMPUTED_VALUE"""),"event")</f>
        <v>event</v>
      </c>
      <c r="E852" s="148">
        <f>IFERROR(__xludf.DUMMYFUNCTION("""COMPUTED_VALUE"""),0.0)</f>
        <v>0</v>
      </c>
      <c r="F852" s="148">
        <f>IFERROR(__xludf.DUMMYFUNCTION("""COMPUTED_VALUE"""),405210.0)</f>
        <v>405210</v>
      </c>
      <c r="G852" s="148">
        <f>IFERROR(__xludf.DUMMYFUNCTION("""COMPUTED_VALUE"""),1.51104684E8)</f>
        <v>151104684</v>
      </c>
      <c r="H852" s="148">
        <f>IFERROR(__xludf.DUMMYFUNCTION("""COMPUTED_VALUE"""),1.5112564E7)</f>
        <v>15112564</v>
      </c>
      <c r="I852" s="148" t="str">
        <f>IFERROR(__xludf.DUMMYFUNCTION("""COMPUTED_VALUE"""),"{}")</f>
        <v>{}</v>
      </c>
      <c r="J852" s="148" t="str">
        <f>IFERROR(__xludf.DUMMYFUNCTION("""COMPUTED_VALUE"""),"{""typ"":""lc"",""txt"":""LC_EVENT_2025anni_marble_gacha_item_name_2""}")</f>
        <v>{"typ":"lc","txt":"LC_EVENT_2025anni_marble_gacha_item_name_2"}</v>
      </c>
      <c r="K852" s="148" t="str">
        <f>IFERROR(__xludf.DUMMYFUNCTION("""COMPUTED_VALUE"""),"{""typ"":""lc"",""txt"":""LC_EVENT_2025anni_marble_gacha_item_desc_2""}")</f>
        <v>{"typ":"lc","txt":"LC_EVENT_2025anni_marble_gacha_item_desc_2"}</v>
      </c>
      <c r="L852" s="148" t="str">
        <f>IFERROR(__xludf.DUMMYFUNCTION("""COMPUTED_VALUE"""),"{}")</f>
        <v>{}</v>
      </c>
      <c r="M852" s="148">
        <f>IFERROR(__xludf.DUMMYFUNCTION("""COMPUTED_VALUE"""),700.0)</f>
        <v>700</v>
      </c>
      <c r="N852" s="148">
        <f>IFERROR(__xludf.DUMMYFUNCTION("""COMPUTED_VALUE"""),9.99999999E8)</f>
        <v>999999999</v>
      </c>
      <c r="O852" s="148">
        <f>IFERROR(__xludf.DUMMYFUNCTION("""COMPUTED_VALUE"""),9.99999999E8)</f>
        <v>999999999</v>
      </c>
      <c r="P852" s="148">
        <f>IFERROR(__xludf.DUMMYFUNCTION("""COMPUTED_VALUE"""),9.99999999E8)</f>
        <v>999999999</v>
      </c>
      <c r="Q852" s="148" t="str">
        <f>IFERROR(__xludf.DUMMYFUNCTION("""COMPUTED_VALUE"""),"[""bag_other""]")</f>
        <v>["bag_other"]</v>
      </c>
      <c r="R852" s="148" t="str">
        <f>IFERROR(__xludf.DUMMYFUNCTION("""COMPUTED_VALUE"""),"[""bag""]")</f>
        <v>["bag"]</v>
      </c>
      <c r="S852" s="148" t="str">
        <f>IFERROR(__xludf.DUMMYFUNCTION("""COMPUTED_VALUE"""),"{""effect"":[{""typ"":""actv_open"",""arg2"":[21127560,21127640,21127653,21127470]}]}")</f>
        <v>{"effect":[{"typ":"actv_open","arg2":[21127560,21127640,21127653,21127470]}]}</v>
      </c>
      <c r="T852" s="148">
        <f>IFERROR(__xludf.DUMMYFUNCTION("""COMPUTED_VALUE"""),1.0)</f>
        <v>1</v>
      </c>
      <c r="U852" s="148">
        <f>IFERROR(__xludf.DUMMYFUNCTION("""COMPUTED_VALUE"""),0.0)</f>
        <v>0</v>
      </c>
      <c r="V852" s="148" t="str">
        <f>IFERROR(__xludf.DUMMYFUNCTION("""COMPUTED_VALUE"""),"[]")</f>
        <v>[]</v>
      </c>
      <c r="W852" s="148">
        <f>IFERROR(__xludf.DUMMYFUNCTION("""COMPUTED_VALUE"""),1.174E7)</f>
        <v>11740000</v>
      </c>
      <c r="X852" s="148">
        <f>IFERROR(__xludf.DUMMYFUNCTION("""COMPUTED_VALUE"""),0.0)</f>
        <v>0</v>
      </c>
      <c r="Y852" s="148">
        <f>IFERROR(__xludf.DUMMYFUNCTION("""COMPUTED_VALUE"""),0.0)</f>
        <v>0</v>
      </c>
      <c r="Z852" s="148"/>
    </row>
    <row r="853">
      <c r="A853" s="148">
        <f>IFERROR(__xludf.DUMMYFUNCTION("""COMPUTED_VALUE"""),1.111265E7)</f>
        <v>11112650</v>
      </c>
      <c r="B853" s="148" t="str">
        <f>IFERROR(__xludf.DUMMYFUNCTION("""COMPUTED_VALUE"""),"2025周年庆组件gacha专用-增加内圈抽奖次数")</f>
        <v>2025周年庆组件gacha专用-增加内圈抽奖次数</v>
      </c>
      <c r="C853" s="148"/>
      <c r="D853" s="148" t="str">
        <f>IFERROR(__xludf.DUMMYFUNCTION("""COMPUTED_VALUE"""),"event")</f>
        <v>event</v>
      </c>
      <c r="E853" s="148">
        <f>IFERROR(__xludf.DUMMYFUNCTION("""COMPUTED_VALUE"""),0.0)</f>
        <v>0</v>
      </c>
      <c r="F853" s="148">
        <f>IFERROR(__xludf.DUMMYFUNCTION("""COMPUTED_VALUE"""),0.0)</f>
        <v>0</v>
      </c>
      <c r="G853" s="148">
        <f>IFERROR(__xludf.DUMMYFUNCTION("""COMPUTED_VALUE"""),1.51102404E8)</f>
        <v>151102404</v>
      </c>
      <c r="H853" s="148">
        <f>IFERROR(__xludf.DUMMYFUNCTION("""COMPUTED_VALUE"""),1.5112564E7)</f>
        <v>15112564</v>
      </c>
      <c r="I853" s="148" t="str">
        <f>IFERROR(__xludf.DUMMYFUNCTION("""COMPUTED_VALUE"""),"{}")</f>
        <v>{}</v>
      </c>
      <c r="J853" s="148" t="str">
        <f>IFERROR(__xludf.DUMMYFUNCTION("""COMPUTED_VALUE"""),"{""typ"":""lc"",""txt"":""LC_ITEM_2025anni3_item_name_1""}")</f>
        <v>{"typ":"lc","txt":"LC_ITEM_2025anni3_item_name_1"}</v>
      </c>
      <c r="K853" s="148" t="str">
        <f>IFERROR(__xludf.DUMMYFUNCTION("""COMPUTED_VALUE"""),"{""typ"":""lc"",""txt"":""LC_ITEM_2025anni3_item_desc_1""}")</f>
        <v>{"typ":"lc","txt":"LC_ITEM_2025anni3_item_desc_1"}</v>
      </c>
      <c r="L853" s="148" t="str">
        <f>IFERROR(__xludf.DUMMYFUNCTION("""COMPUTED_VALUE"""),"{}")</f>
        <v>{}</v>
      </c>
      <c r="M853" s="148">
        <f>IFERROR(__xludf.DUMMYFUNCTION("""COMPUTED_VALUE"""),700.0)</f>
        <v>700</v>
      </c>
      <c r="N853" s="148">
        <f>IFERROR(__xludf.DUMMYFUNCTION("""COMPUTED_VALUE"""),9.99999999E8)</f>
        <v>999999999</v>
      </c>
      <c r="O853" s="148">
        <f>IFERROR(__xludf.DUMMYFUNCTION("""COMPUTED_VALUE"""),9.99999999E8)</f>
        <v>999999999</v>
      </c>
      <c r="P853" s="148">
        <f>IFERROR(__xludf.DUMMYFUNCTION("""COMPUTED_VALUE"""),9.99999999E8)</f>
        <v>999999999</v>
      </c>
      <c r="Q853" s="148" t="str">
        <f>IFERROR(__xludf.DUMMYFUNCTION("""COMPUTED_VALUE"""),"[]")</f>
        <v>[]</v>
      </c>
      <c r="R853" s="148" t="str">
        <f>IFERROR(__xludf.DUMMYFUNCTION("""COMPUTED_VALUE"""),"[""bag""]")</f>
        <v>["bag"]</v>
      </c>
      <c r="S853" s="148" t="str">
        <f>IFERROR(__xludf.DUMMYFUNCTION("""COMPUTED_VALUE"""),"{}")</f>
        <v>{}</v>
      </c>
      <c r="T853" s="148">
        <f>IFERROR(__xludf.DUMMYFUNCTION("""COMPUTED_VALUE"""),1.0)</f>
        <v>1</v>
      </c>
      <c r="U853" s="148">
        <f>IFERROR(__xludf.DUMMYFUNCTION("""COMPUTED_VALUE"""),0.0)</f>
        <v>0</v>
      </c>
      <c r="V853" s="148" t="str">
        <f>IFERROR(__xludf.DUMMYFUNCTION("""COMPUTED_VALUE"""),"[]")</f>
        <v>[]</v>
      </c>
      <c r="W853" s="148">
        <f>IFERROR(__xludf.DUMMYFUNCTION("""COMPUTED_VALUE"""),1.174E7)</f>
        <v>11740000</v>
      </c>
      <c r="X853" s="148">
        <f>IFERROR(__xludf.DUMMYFUNCTION("""COMPUTED_VALUE"""),0.0)</f>
        <v>0</v>
      </c>
      <c r="Y853" s="148">
        <f>IFERROR(__xludf.DUMMYFUNCTION("""COMPUTED_VALUE"""),0.0)</f>
        <v>0</v>
      </c>
      <c r="Z853" s="148"/>
    </row>
    <row r="854">
      <c r="A854" s="148">
        <f>IFERROR(__xludf.DUMMYFUNCTION("""COMPUTED_VALUE"""),1.1112651E7)</f>
        <v>11112651</v>
      </c>
      <c r="B854" s="148" t="str">
        <f>IFERROR(__xludf.DUMMYFUNCTION("""COMPUTED_VALUE"""),"2025周年庆组件gacha专用-增加大奖抽奖次数")</f>
        <v>2025周年庆组件gacha专用-增加大奖抽奖次数</v>
      </c>
      <c r="C854" s="148"/>
      <c r="D854" s="148" t="str">
        <f>IFERROR(__xludf.DUMMYFUNCTION("""COMPUTED_VALUE"""),"event")</f>
        <v>event</v>
      </c>
      <c r="E854" s="148">
        <f>IFERROR(__xludf.DUMMYFUNCTION("""COMPUTED_VALUE"""),0.0)</f>
        <v>0</v>
      </c>
      <c r="F854" s="148">
        <f>IFERROR(__xludf.DUMMYFUNCTION("""COMPUTED_VALUE"""),0.0)</f>
        <v>0</v>
      </c>
      <c r="G854" s="148">
        <f>IFERROR(__xludf.DUMMYFUNCTION("""COMPUTED_VALUE"""),1.5116809E7)</f>
        <v>15116809</v>
      </c>
      <c r="H854" s="148">
        <f>IFERROR(__xludf.DUMMYFUNCTION("""COMPUTED_VALUE"""),1.5112564E7)</f>
        <v>15112564</v>
      </c>
      <c r="I854" s="148" t="str">
        <f>IFERROR(__xludf.DUMMYFUNCTION("""COMPUTED_VALUE"""),"{}")</f>
        <v>{}</v>
      </c>
      <c r="J854" s="148" t="str">
        <f>IFERROR(__xludf.DUMMYFUNCTION("""COMPUTED_VALUE"""),"{""typ"":""lc"",""txt"":""LC_ITEM_2023laborday_gacha_inner_item""}")</f>
        <v>{"typ":"lc","txt":"LC_ITEM_2023laborday_gacha_inner_item"}</v>
      </c>
      <c r="K854" s="148" t="str">
        <f>IFERROR(__xludf.DUMMYFUNCTION("""COMPUTED_VALUE"""),"{""typ"":""lc"",""txt"":""LC_ITEM_2023laborday_gacha_inner_item_desc""}")</f>
        <v>{"typ":"lc","txt":"LC_ITEM_2023laborday_gacha_inner_item_desc"}</v>
      </c>
      <c r="L854" s="148" t="str">
        <f>IFERROR(__xludf.DUMMYFUNCTION("""COMPUTED_VALUE"""),"{}")</f>
        <v>{}</v>
      </c>
      <c r="M854" s="148">
        <f>IFERROR(__xludf.DUMMYFUNCTION("""COMPUTED_VALUE"""),700.0)</f>
        <v>700</v>
      </c>
      <c r="N854" s="148">
        <f>IFERROR(__xludf.DUMMYFUNCTION("""COMPUTED_VALUE"""),9.99999999E8)</f>
        <v>999999999</v>
      </c>
      <c r="O854" s="148">
        <f>IFERROR(__xludf.DUMMYFUNCTION("""COMPUTED_VALUE"""),9.99999999E8)</f>
        <v>999999999</v>
      </c>
      <c r="P854" s="148">
        <f>IFERROR(__xludf.DUMMYFUNCTION("""COMPUTED_VALUE"""),9.99999999E8)</f>
        <v>999999999</v>
      </c>
      <c r="Q854" s="148" t="str">
        <f>IFERROR(__xludf.DUMMYFUNCTION("""COMPUTED_VALUE"""),"[]")</f>
        <v>[]</v>
      </c>
      <c r="R854" s="148" t="str">
        <f>IFERROR(__xludf.DUMMYFUNCTION("""COMPUTED_VALUE"""),"[""bag""]")</f>
        <v>["bag"]</v>
      </c>
      <c r="S854" s="148" t="str">
        <f>IFERROR(__xludf.DUMMYFUNCTION("""COMPUTED_VALUE"""),"{}")</f>
        <v>{}</v>
      </c>
      <c r="T854" s="148">
        <f>IFERROR(__xludf.DUMMYFUNCTION("""COMPUTED_VALUE"""),1.0)</f>
        <v>1</v>
      </c>
      <c r="U854" s="148">
        <f>IFERROR(__xludf.DUMMYFUNCTION("""COMPUTED_VALUE"""),0.0)</f>
        <v>0</v>
      </c>
      <c r="V854" s="148" t="str">
        <f>IFERROR(__xludf.DUMMYFUNCTION("""COMPUTED_VALUE"""),"[]")</f>
        <v>[]</v>
      </c>
      <c r="W854" s="148">
        <f>IFERROR(__xludf.DUMMYFUNCTION("""COMPUTED_VALUE"""),1.174E7)</f>
        <v>11740000</v>
      </c>
      <c r="X854" s="148">
        <f>IFERROR(__xludf.DUMMYFUNCTION("""COMPUTED_VALUE"""),0.0)</f>
        <v>0</v>
      </c>
      <c r="Y854" s="148">
        <f>IFERROR(__xludf.DUMMYFUNCTION("""COMPUTED_VALUE"""),0.0)</f>
        <v>0</v>
      </c>
      <c r="Z854" s="148"/>
    </row>
    <row r="855">
      <c r="A855" s="148">
        <f>IFERROR(__xludf.DUMMYFUNCTION("""COMPUTED_VALUE"""),1.1112652E7)</f>
        <v>11112652</v>
      </c>
      <c r="B855" s="148" t="str">
        <f>IFERROR(__xludf.DUMMYFUNCTION("""COMPUTED_VALUE"""),"2025周年庆组件gacha-外圈gacha道具")</f>
        <v>2025周年庆组件gacha-外圈gacha道具</v>
      </c>
      <c r="C855" s="148"/>
      <c r="D855" s="148" t="str">
        <f>IFERROR(__xludf.DUMMYFUNCTION("""COMPUTED_VALUE"""),"event")</f>
        <v>event</v>
      </c>
      <c r="E855" s="148">
        <f>IFERROR(__xludf.DUMMYFUNCTION("""COMPUTED_VALUE"""),0.0)</f>
        <v>0</v>
      </c>
      <c r="F855" s="148">
        <f>IFERROR(__xludf.DUMMYFUNCTION("""COMPUTED_VALUE"""),405210.0)</f>
        <v>405210</v>
      </c>
      <c r="G855" s="148">
        <f>IFERROR(__xludf.DUMMYFUNCTION("""COMPUTED_VALUE"""),1.51102403E8)</f>
        <v>151102403</v>
      </c>
      <c r="H855" s="148">
        <f>IFERROR(__xludf.DUMMYFUNCTION("""COMPUTED_VALUE"""),1.5112564E7)</f>
        <v>15112564</v>
      </c>
      <c r="I855" s="148" t="str">
        <f>IFERROR(__xludf.DUMMYFUNCTION("""COMPUTED_VALUE"""),"{}")</f>
        <v>{}</v>
      </c>
      <c r="J855" s="148" t="str">
        <f>IFERROR(__xludf.DUMMYFUNCTION("""COMPUTED_VALUE"""),"{""typ"":""lc"",""txt"":""LC_ITEM_2025anni3_item_name_0""}")</f>
        <v>{"typ":"lc","txt":"LC_ITEM_2025anni3_item_name_0"}</v>
      </c>
      <c r="K855" s="148" t="str">
        <f>IFERROR(__xludf.DUMMYFUNCTION("""COMPUTED_VALUE"""),"{""typ"":""lc"",""txt"":""LC_ITEM_2025anni3_item_desc_0""}")</f>
        <v>{"typ":"lc","txt":"LC_ITEM_2025anni3_item_desc_0"}</v>
      </c>
      <c r="L855" s="148" t="str">
        <f>IFERROR(__xludf.DUMMYFUNCTION("""COMPUTED_VALUE"""),"{}")</f>
        <v>{}</v>
      </c>
      <c r="M855" s="148">
        <f>IFERROR(__xludf.DUMMYFUNCTION("""COMPUTED_VALUE"""),700.0)</f>
        <v>700</v>
      </c>
      <c r="N855" s="148">
        <f>IFERROR(__xludf.DUMMYFUNCTION("""COMPUTED_VALUE"""),9.99999999E8)</f>
        <v>999999999</v>
      </c>
      <c r="O855" s="148">
        <f>IFERROR(__xludf.DUMMYFUNCTION("""COMPUTED_VALUE"""),9.99999999E8)</f>
        <v>999999999</v>
      </c>
      <c r="P855" s="148">
        <f>IFERROR(__xludf.DUMMYFUNCTION("""COMPUTED_VALUE"""),9.99999999E8)</f>
        <v>999999999</v>
      </c>
      <c r="Q855" s="148" t="str">
        <f>IFERROR(__xludf.DUMMYFUNCTION("""COMPUTED_VALUE"""),"[""bag_other""]")</f>
        <v>["bag_other"]</v>
      </c>
      <c r="R855" s="148" t="str">
        <f>IFERROR(__xludf.DUMMYFUNCTION("""COMPUTED_VALUE"""),"[""bag""]")</f>
        <v>["bag"]</v>
      </c>
      <c r="S855" s="148" t="str">
        <f>IFERROR(__xludf.DUMMYFUNCTION("""COMPUTED_VALUE"""),"{}")</f>
        <v>{}</v>
      </c>
      <c r="T855" s="148">
        <f>IFERROR(__xludf.DUMMYFUNCTION("""COMPUTED_VALUE"""),1.0)</f>
        <v>1</v>
      </c>
      <c r="U855" s="148">
        <f>IFERROR(__xludf.DUMMYFUNCTION("""COMPUTED_VALUE"""),0.0)</f>
        <v>0</v>
      </c>
      <c r="V855" s="148" t="str">
        <f>IFERROR(__xludf.DUMMYFUNCTION("""COMPUTED_VALUE"""),"[]")</f>
        <v>[]</v>
      </c>
      <c r="W855" s="148">
        <f>IFERROR(__xludf.DUMMYFUNCTION("""COMPUTED_VALUE"""),1.174E7)</f>
        <v>11740000</v>
      </c>
      <c r="X855" s="148">
        <f>IFERROR(__xludf.DUMMYFUNCTION("""COMPUTED_VALUE"""),0.0)</f>
        <v>0</v>
      </c>
      <c r="Y855" s="148">
        <f>IFERROR(__xludf.DUMMYFUNCTION("""COMPUTED_VALUE"""),0.0)</f>
        <v>0</v>
      </c>
      <c r="Z855" s="148"/>
    </row>
    <row r="856">
      <c r="A856" s="148">
        <f>IFERROR(__xludf.DUMMYFUNCTION("""COMPUTED_VALUE"""),1.1112653E7)</f>
        <v>11112653</v>
      </c>
      <c r="B856" s="148" t="str">
        <f>IFERROR(__xludf.DUMMYFUNCTION("""COMPUTED_VALUE"""),"2025周年庆-装饰券组件宝箱-2")</f>
        <v>2025周年庆-装饰券组件宝箱-2</v>
      </c>
      <c r="C856" s="148"/>
      <c r="D856" s="148" t="str">
        <f>IFERROR(__xludf.DUMMYFUNCTION("""COMPUTED_VALUE"""),"valentine_reward_box")</f>
        <v>valentine_reward_box</v>
      </c>
      <c r="E856" s="148">
        <f>IFERROR(__xludf.DUMMYFUNCTION("""COMPUTED_VALUE"""),19.0)</f>
        <v>19</v>
      </c>
      <c r="F856" s="148">
        <f>IFERROR(__xludf.DUMMYFUNCTION("""COMPUTED_VALUE"""),201101.0)</f>
        <v>201101</v>
      </c>
      <c r="G856" s="148">
        <f>IFERROR(__xludf.DUMMYFUNCTION("""COMPUTED_VALUE"""),1.5118225E7)</f>
        <v>15118225</v>
      </c>
      <c r="H856" s="148">
        <f>IFERROR(__xludf.DUMMYFUNCTION("""COMPUTED_VALUE"""),1.5112564E7)</f>
        <v>15112564</v>
      </c>
      <c r="I856" s="148" t="str">
        <f>IFERROR(__xludf.DUMMYFUNCTION("""COMPUTED_VALUE"""),"{}")</f>
        <v>{}</v>
      </c>
      <c r="J856" s="148" t="str">
        <f>IFERROR(__xludf.DUMMYFUNCTION("""COMPUTED_VALUE"""),"{""typ"":""lc"",""txt"":""LC_ITEM_sci_fes_box_name_1""}")</f>
        <v>{"typ":"lc","txt":"LC_ITEM_sci_fes_box_name_1"}</v>
      </c>
      <c r="K856" s="148" t="str">
        <f>IFERROR(__xludf.DUMMYFUNCTION("""COMPUTED_VALUE"""),"{""typ"":""lc"",""txt"":""LC_ITEM_sci_fes_box_desc_1""}")</f>
        <v>{"typ":"lc","txt":"LC_ITEM_sci_fes_box_desc_1"}</v>
      </c>
      <c r="L856" s="148" t="str">
        <f>IFERROR(__xludf.DUMMYFUNCTION("""COMPUTED_VALUE"""),"{""typ"":""lc"",""txt"":""LC_ITEM_horde_elite_box_usedtip""}")</f>
        <v>{"typ":"lc","txt":"LC_ITEM_horde_elite_box_usedtip"}</v>
      </c>
      <c r="M856" s="148">
        <f>IFERROR(__xludf.DUMMYFUNCTION("""COMPUTED_VALUE"""),40.0)</f>
        <v>40</v>
      </c>
      <c r="N856" s="148">
        <f>IFERROR(__xludf.DUMMYFUNCTION("""COMPUTED_VALUE"""),999999.0)</f>
        <v>999999</v>
      </c>
      <c r="O856" s="148">
        <f>IFERROR(__xludf.DUMMYFUNCTION("""COMPUTED_VALUE"""),99999.0)</f>
        <v>99999</v>
      </c>
      <c r="P856" s="148">
        <f>IFERROR(__xludf.DUMMYFUNCTION("""COMPUTED_VALUE"""),99999.0)</f>
        <v>99999</v>
      </c>
      <c r="Q856" s="148" t="str">
        <f>IFERROR(__xludf.DUMMYFUNCTION("""COMPUTED_VALUE"""),"[""bag_other""]")</f>
        <v>["bag_other"]</v>
      </c>
      <c r="R856" s="148" t="str">
        <f>IFERROR(__xludf.DUMMYFUNCTION("""COMPUTED_VALUE"""),"[""bag""]")</f>
        <v>["bag"]</v>
      </c>
      <c r="S856" s="148" t="str">
        <f>IFERROR(__xludf.DUMMYFUNCTION("""COMPUTED_VALUE"""),"{""drop"":{""typ"":""single_random"",""num"":1,""args"":[{""typ"":""item"",""id"":11112030,""num"":1000,""wgt"":19980},{""typ"":""item"",""id"":11112030,""num"":200,""wgt"":120000},{""typ"":""item"",""id"":11112030,""num"":50,""wgt"":200000},{""typ"":""it"&amp;"em"",""id"":11119652,""num"":1,""wgt"":10},{""typ"":""item"",""id"":11119656,""num"":1,""wgt"":10},{""typ"":""item"",""id"":11112030,""num"":20,""wgt"":400000},{""typ"":""item"",""id"":11112030,""num"":100,""wgt"":200000},{""typ"":""item"",""id"":11112030"&amp;",""num"":400,""wgt"":60000}]}}")</f>
        <v>{"drop":{"typ":"single_random","num":1,"args":[{"typ":"item","id":11112030,"num":1000,"wgt":19980},{"typ":"item","id":11112030,"num":200,"wgt":120000},{"typ":"item","id":11112030,"num":50,"wgt":200000},{"typ":"item","id":11119652,"num":1,"wgt":10},{"typ":"item","id":11119656,"num":1,"wgt":10},{"typ":"item","id":11112030,"num":20,"wgt":400000},{"typ":"item","id":11112030,"num":100,"wgt":200000},{"typ":"item","id":11112030,"num":400,"wgt":60000}]}}</v>
      </c>
      <c r="T856" s="148">
        <f>IFERROR(__xludf.DUMMYFUNCTION("""COMPUTED_VALUE"""),-1.0)</f>
        <v>-1</v>
      </c>
      <c r="U856" s="148">
        <f>IFERROR(__xludf.DUMMYFUNCTION("""COMPUTED_VALUE"""),0.0)</f>
        <v>0</v>
      </c>
      <c r="V856" s="148" t="str">
        <f>IFERROR(__xludf.DUMMYFUNCTION("""COMPUTED_VALUE"""),"[]")</f>
        <v>[]</v>
      </c>
      <c r="W856" s="148">
        <f>IFERROR(__xludf.DUMMYFUNCTION("""COMPUTED_VALUE"""),1.174E7)</f>
        <v>11740000</v>
      </c>
      <c r="X856" s="148">
        <f>IFERROR(__xludf.DUMMYFUNCTION("""COMPUTED_VALUE"""),0.0)</f>
        <v>0</v>
      </c>
      <c r="Y856" s="148">
        <f>IFERROR(__xludf.DUMMYFUNCTION("""COMPUTED_VALUE"""),0.0)</f>
        <v>0</v>
      </c>
      <c r="Z856" s="148"/>
    </row>
    <row r="857">
      <c r="A857" s="148">
        <f>IFERROR(__xludf.DUMMYFUNCTION("""COMPUTED_VALUE"""),1.1112654E7)</f>
        <v>11112654</v>
      </c>
      <c r="B857" s="148" t="str">
        <f>IFERROR(__xludf.DUMMYFUNCTION("""COMPUTED_VALUE"""),"2025周年庆-旧主城皮肤自选宝箱")</f>
        <v>2025周年庆-旧主城皮肤自选宝箱</v>
      </c>
      <c r="C857" s="148"/>
      <c r="D857" s="148" t="str">
        <f>IFERROR(__xludf.DUMMYFUNCTION("""COMPUTED_VALUE"""),"item_select_box")</f>
        <v>item_select_box</v>
      </c>
      <c r="E857" s="148">
        <f>IFERROR(__xludf.DUMMYFUNCTION("""COMPUTED_VALUE"""),19.0)</f>
        <v>19</v>
      </c>
      <c r="F857" s="148">
        <f>IFERROR(__xludf.DUMMYFUNCTION("""COMPUTED_VALUE"""),408195.0)</f>
        <v>408195</v>
      </c>
      <c r="G857" s="148">
        <f>IFERROR(__xludf.DUMMYFUNCTION("""COMPUTED_VALUE"""),1.51102365E8)</f>
        <v>151102365</v>
      </c>
      <c r="H857" s="148">
        <f>IFERROR(__xludf.DUMMYFUNCTION("""COMPUTED_VALUE"""),1.5112564E7)</f>
        <v>15112564</v>
      </c>
      <c r="I857" s="148" t="str">
        <f>IFERROR(__xludf.DUMMYFUNCTION("""COMPUTED_VALUE"""),"{}")</f>
        <v>{}</v>
      </c>
      <c r="J857" s="148" t="str">
        <f>IFERROR(__xludf.DUMMYFUNCTION("""COMPUTED_VALUE"""),"{""typ"":""lc"",""txt"":""LC_ITEM_moon2025_skin_select""}")</f>
        <v>{"typ":"lc","txt":"LC_ITEM_moon2025_skin_select"}</v>
      </c>
      <c r="K857" s="148" t="str">
        <f>IFERROR(__xludf.DUMMYFUNCTION("""COMPUTED_VALUE"""),"{""typ"":""lc"",""txt"":""LC_ITEM_moon2025_skin_select_desc""}")</f>
        <v>{"typ":"lc","txt":"LC_ITEM_moon2025_skin_select_desc"}</v>
      </c>
      <c r="L857" s="148" t="str">
        <f>IFERROR(__xludf.DUMMYFUNCTION("""COMPUTED_VALUE"""),"{}")</f>
        <v>{}</v>
      </c>
      <c r="M857" s="148">
        <f>IFERROR(__xludf.DUMMYFUNCTION("""COMPUTED_VALUE"""),1000.0)</f>
        <v>1000</v>
      </c>
      <c r="N857" s="148">
        <f>IFERROR(__xludf.DUMMYFUNCTION("""COMPUTED_VALUE"""),9999999.0)</f>
        <v>9999999</v>
      </c>
      <c r="O857" s="148">
        <f>IFERROR(__xludf.DUMMYFUNCTION("""COMPUTED_VALUE"""),99999.0)</f>
        <v>99999</v>
      </c>
      <c r="P857" s="148">
        <f>IFERROR(__xludf.DUMMYFUNCTION("""COMPUTED_VALUE"""),99999.0)</f>
        <v>99999</v>
      </c>
      <c r="Q857" s="148" t="str">
        <f>IFERROR(__xludf.DUMMYFUNCTION("""COMPUTED_VALUE"""),"[""bag_other""]")</f>
        <v>["bag_other"]</v>
      </c>
      <c r="R857" s="148" t="str">
        <f>IFERROR(__xludf.DUMMYFUNCTION("""COMPUTED_VALUE"""),"[""bag""]")</f>
        <v>["bag"]</v>
      </c>
      <c r="S857" s="148" t="str">
        <f>IFERROR(__xludf.DUMMYFUNCTION("""COMPUTED_VALUE"""),"{""select_box"":[{""typ"":""item"",""id"":11111334,""val"":1},{""typ"":""item"",""id"":11117246,""val"":1},{""typ"":""item"",""id"":11112194,""val"":1},{""typ"":""item"",""id"":11117085,""val"":1},{""typ"":""item"",""id"":11111331,""val"":1},{""typ"":""it"&amp;"em"",""id"":11117330,""val"":1},{""typ"":""item"",""id"":11117497,""val"":1},{""typ"":""item"",""id"":11112030,""val"":4500}]}")</f>
        <v>{"select_box":[{"typ":"item","id":11111334,"val":1},{"typ":"item","id":11117246,"val":1},{"typ":"item","id":11112194,"val":1},{"typ":"item","id":11117085,"val":1},{"typ":"item","id":11111331,"val":1},{"typ":"item","id":11117330,"val":1},{"typ":"item","id":11117497,"val":1},{"typ":"item","id":11112030,"val":4500}]}</v>
      </c>
      <c r="T857" s="148">
        <f>IFERROR(__xludf.DUMMYFUNCTION("""COMPUTED_VALUE"""),-1.0)</f>
        <v>-1</v>
      </c>
      <c r="U857" s="148">
        <f>IFERROR(__xludf.DUMMYFUNCTION("""COMPUTED_VALUE"""),0.0)</f>
        <v>0</v>
      </c>
      <c r="V857" s="148" t="str">
        <f>IFERROR(__xludf.DUMMYFUNCTION("""COMPUTED_VALUE"""),"[]")</f>
        <v>[]</v>
      </c>
      <c r="W857" s="148">
        <f>IFERROR(__xludf.DUMMYFUNCTION("""COMPUTED_VALUE"""),1.1741002E7)</f>
        <v>11741002</v>
      </c>
      <c r="X857" s="148">
        <f>IFERROR(__xludf.DUMMYFUNCTION("""COMPUTED_VALUE"""),0.0)</f>
        <v>0</v>
      </c>
      <c r="Y857" s="148">
        <f>IFERROR(__xludf.DUMMYFUNCTION("""COMPUTED_VALUE"""),0.0)</f>
        <v>0</v>
      </c>
      <c r="Z857" s="148"/>
    </row>
    <row r="858">
      <c r="A858" s="148">
        <f>IFERROR(__xludf.DUMMYFUNCTION("""COMPUTED_VALUE"""),1.1112655E7)</f>
        <v>11112655</v>
      </c>
      <c r="B858" s="148" t="str">
        <f>IFERROR(__xludf.DUMMYFUNCTION("""COMPUTED_VALUE"""),"2025周年庆-装饰券组件宝箱-本体")</f>
        <v>2025周年庆-装饰券组件宝箱-本体</v>
      </c>
      <c r="C858" s="148"/>
      <c r="D858" s="148" t="str">
        <f>IFERROR(__xludf.DUMMYFUNCTION("""COMPUTED_VALUE"""),"valentine_reward_box")</f>
        <v>valentine_reward_box</v>
      </c>
      <c r="E858" s="148">
        <f>IFERROR(__xludf.DUMMYFUNCTION("""COMPUTED_VALUE"""),19.0)</f>
        <v>19</v>
      </c>
      <c r="F858" s="148">
        <f>IFERROR(__xludf.DUMMYFUNCTION("""COMPUTED_VALUE"""),201101.0)</f>
        <v>201101</v>
      </c>
      <c r="G858" s="148">
        <f>IFERROR(__xludf.DUMMYFUNCTION("""COMPUTED_VALUE"""),1.5118225E7)</f>
        <v>15118225</v>
      </c>
      <c r="H858" s="148">
        <f>IFERROR(__xludf.DUMMYFUNCTION("""COMPUTED_VALUE"""),1.5112564E7)</f>
        <v>15112564</v>
      </c>
      <c r="I858" s="148" t="str">
        <f>IFERROR(__xludf.DUMMYFUNCTION("""COMPUTED_VALUE"""),"{}")</f>
        <v>{}</v>
      </c>
      <c r="J858" s="148" t="str">
        <f>IFERROR(__xludf.DUMMYFUNCTION("""COMPUTED_VALUE"""),"{""typ"":""lc"",""txt"":""LC_ITEM_fes_box_name""}")</f>
        <v>{"typ":"lc","txt":"LC_ITEM_fes_box_name"}</v>
      </c>
      <c r="K858" s="148" t="str">
        <f>IFERROR(__xludf.DUMMYFUNCTION("""COMPUTED_VALUE"""),"{""typ"":""lc"",""txt"":""LC_ITEM_fes_box_desc""}")</f>
        <v>{"typ":"lc","txt":"LC_ITEM_fes_box_desc"}</v>
      </c>
      <c r="L858" s="148" t="str">
        <f>IFERROR(__xludf.DUMMYFUNCTION("""COMPUTED_VALUE"""),"{""typ"":""lc"",""txt"":""LC_ITEM_horde_elite_box_usedtip""}")</f>
        <v>{"typ":"lc","txt":"LC_ITEM_horde_elite_box_usedtip"}</v>
      </c>
      <c r="M858" s="148">
        <f>IFERROR(__xludf.DUMMYFUNCTION("""COMPUTED_VALUE"""),40.0)</f>
        <v>40</v>
      </c>
      <c r="N858" s="148">
        <f>IFERROR(__xludf.DUMMYFUNCTION("""COMPUTED_VALUE"""),999999.0)</f>
        <v>999999</v>
      </c>
      <c r="O858" s="148">
        <f>IFERROR(__xludf.DUMMYFUNCTION("""COMPUTED_VALUE"""),99999.0)</f>
        <v>99999</v>
      </c>
      <c r="P858" s="148">
        <f>IFERROR(__xludf.DUMMYFUNCTION("""COMPUTED_VALUE"""),99999.0)</f>
        <v>99999</v>
      </c>
      <c r="Q858" s="148" t="str">
        <f>IFERROR(__xludf.DUMMYFUNCTION("""COMPUTED_VALUE"""),"[""bag_other""]")</f>
        <v>["bag_other"]</v>
      </c>
      <c r="R858" s="148" t="str">
        <f>IFERROR(__xludf.DUMMYFUNCTION("""COMPUTED_VALUE"""),"[""bag""]")</f>
        <v>["bag"]</v>
      </c>
      <c r="S858" s="148" t="str">
        <f>IFERROR(__xludf.DUMMYFUNCTION("""COMPUTED_VALUE"""),"{""drop"":{""typ"":""single_random"",""num"":1,""args"":[{""typ"":""item"",""id"":11112030,""num"":1000,""wgt"":19980},{""typ"":""item"",""id"":11112030,""num"":200,""wgt"":120000},{""typ"":""item"",""id"":11112030,""num"":50,""wgt"":200000},{""typ"":""it"&amp;"em"",""id"":11119644,""num"":1,""wgt"":10},{""typ"":""item"",""id"":11112244,""num"":1,""wgt"":10},{""typ"":""item"",""id"":11112030,""num"":20,""wgt"":400000},{""typ"":""item"",""id"":11112030,""num"":100,""wgt"":200000},{""typ"":""item"",""id"":11112030"&amp;",""num"":400,""wgt"":60000}]}}")</f>
        <v>{"drop":{"typ":"single_random","num":1,"args":[{"typ":"item","id":11112030,"num":1000,"wgt":19980},{"typ":"item","id":11112030,"num":200,"wgt":120000},{"typ":"item","id":11112030,"num":50,"wgt":200000},{"typ":"item","id":11119644,"num":1,"wgt":10},{"typ":"item","id":11112244,"num":1,"wgt":10},{"typ":"item","id":11112030,"num":20,"wgt":400000},{"typ":"item","id":11112030,"num":100,"wgt":200000},{"typ":"item","id":11112030,"num":400,"wgt":60000}]}}</v>
      </c>
      <c r="T858" s="148">
        <f>IFERROR(__xludf.DUMMYFUNCTION("""COMPUTED_VALUE"""),-1.0)</f>
        <v>-1</v>
      </c>
      <c r="U858" s="148">
        <f>IFERROR(__xludf.DUMMYFUNCTION("""COMPUTED_VALUE"""),0.0)</f>
        <v>0</v>
      </c>
      <c r="V858" s="148" t="str">
        <f>IFERROR(__xludf.DUMMYFUNCTION("""COMPUTED_VALUE"""),"[]")</f>
        <v>[]</v>
      </c>
      <c r="W858" s="148">
        <f>IFERROR(__xludf.DUMMYFUNCTION("""COMPUTED_VALUE"""),1.174E7)</f>
        <v>11740000</v>
      </c>
      <c r="X858" s="148">
        <f>IFERROR(__xludf.DUMMYFUNCTION("""COMPUTED_VALUE"""),0.0)</f>
        <v>0</v>
      </c>
      <c r="Y858" s="148">
        <f>IFERROR(__xludf.DUMMYFUNCTION("""COMPUTED_VALUE"""),0.0)</f>
        <v>0</v>
      </c>
      <c r="Z858" s="148"/>
    </row>
    <row r="859">
      <c r="A859" s="148">
        <f>IFERROR(__xludf.DUMMYFUNCTION("""COMPUTED_VALUE"""),1.1112656E7)</f>
        <v>11112656</v>
      </c>
      <c r="B859" s="148" t="str">
        <f>IFERROR(__xludf.DUMMYFUNCTION("""COMPUTED_VALUE"""),"2025周年庆-旧装饰自选宝箱")</f>
        <v>2025周年庆-旧装饰自选宝箱</v>
      </c>
      <c r="C859" s="148"/>
      <c r="D859" s="148" t="str">
        <f>IFERROR(__xludf.DUMMYFUNCTION("""COMPUTED_VALUE"""),"item_select_box")</f>
        <v>item_select_box</v>
      </c>
      <c r="E859" s="148">
        <f>IFERROR(__xludf.DUMMYFUNCTION("""COMPUTED_VALUE"""),19.0)</f>
        <v>19</v>
      </c>
      <c r="F859" s="148">
        <f>IFERROR(__xludf.DUMMYFUNCTION("""COMPUTED_VALUE"""),408195.0)</f>
        <v>408195</v>
      </c>
      <c r="G859" s="148">
        <f>IFERROR(__xludf.DUMMYFUNCTION("""COMPUTED_VALUE"""),1.51102478E8)</f>
        <v>151102478</v>
      </c>
      <c r="H859" s="148">
        <f>IFERROR(__xludf.DUMMYFUNCTION("""COMPUTED_VALUE"""),1.5112564E7)</f>
        <v>15112564</v>
      </c>
      <c r="I859" s="148" t="str">
        <f>IFERROR(__xludf.DUMMYFUNCTION("""COMPUTED_VALUE"""),"{}")</f>
        <v>{}</v>
      </c>
      <c r="J859" s="148" t="str">
        <f>IFERROR(__xludf.DUMMYFUNCTION("""COMPUTED_VALUE"""),"{""typ"":""lc"",""txt"":""LC_ITEM_select_chest_box1""}")</f>
        <v>{"typ":"lc","txt":"LC_ITEM_select_chest_box1"}</v>
      </c>
      <c r="K859" s="148" t="str">
        <f>IFERROR(__xludf.DUMMYFUNCTION("""COMPUTED_VALUE"""),"{""typ"":""lc"",""txt"":""LC_ITEM_mecha_select_box_desc""}")</f>
        <v>{"typ":"lc","txt":"LC_ITEM_mecha_select_box_desc"}</v>
      </c>
      <c r="L859" s="148" t="str">
        <f>IFERROR(__xludf.DUMMYFUNCTION("""COMPUTED_VALUE"""),"{}")</f>
        <v>{}</v>
      </c>
      <c r="M859" s="148">
        <f>IFERROR(__xludf.DUMMYFUNCTION("""COMPUTED_VALUE"""),1000.0)</f>
        <v>1000</v>
      </c>
      <c r="N859" s="148">
        <f>IFERROR(__xludf.DUMMYFUNCTION("""COMPUTED_VALUE"""),9999999.0)</f>
        <v>9999999</v>
      </c>
      <c r="O859" s="148">
        <f>IFERROR(__xludf.DUMMYFUNCTION("""COMPUTED_VALUE"""),99999.0)</f>
        <v>99999</v>
      </c>
      <c r="P859" s="148">
        <f>IFERROR(__xludf.DUMMYFUNCTION("""COMPUTED_VALUE"""),99999.0)</f>
        <v>99999</v>
      </c>
      <c r="Q859" s="148" t="str">
        <f>IFERROR(__xludf.DUMMYFUNCTION("""COMPUTED_VALUE"""),"[""bag_other""]")</f>
        <v>["bag_other"]</v>
      </c>
      <c r="R859" s="148" t="str">
        <f>IFERROR(__xludf.DUMMYFUNCTION("""COMPUTED_VALUE"""),"[""bag""]")</f>
        <v>["bag"]</v>
      </c>
      <c r="S859" s="148" t="str">
        <f>IFERROR(__xludf.DUMMYFUNCTION("""COMPUTED_VALUE"""),"{""select_box"":[{""typ"":""item"",""id"":11111346,""val"":1},{""typ"":""item"",""id"":11111347,""val"":1},{""typ"":""item"",""id"":11111349,""val"":1},{""typ"":""item"",""id"":11111350,""val"":1},{""typ"":""item"",""id"":11111351,""val"":1},{""typ"":""it"&amp;"em"",""id"":11111353,""val"":1},{""typ"":""item"",""id"":11111356,""val"":1},{""typ"":""item"",""id"":11112018,""val"":1},{""typ"":""item"",""id"":11112042,""val"":1},{""typ"":""item"",""id"":11112082,""val"":1},{""typ"":""item"",""id"":11112111,""val"":1"&amp;"},{""typ"":""item"",""id"":11112133,""val"":1},{""typ"":""item"",""id"":11112171,""val"":1},{""typ"":""item"",""id"":11112196,""val"":1},{""typ"":""item"",""id"":11112207,""val"":1},{""typ"":""item"",""id"":11112246,""val"":1},{""typ"":""item"",""id"":111"&amp;"12030,""val"":50}]}")</f>
        <v>{"select_box":[{"typ":"item","id":11111346,"val":1},{"typ":"item","id":11111347,"val":1},{"typ":"item","id":11111349,"val":1},{"typ":"item","id":11111350,"val":1},{"typ":"item","id":11111351,"val":1},{"typ":"item","id":11111353,"val":1},{"typ":"item","id":11111356,"val":1},{"typ":"item","id":11112018,"val":1},{"typ":"item","id":11112042,"val":1},{"typ":"item","id":11112082,"val":1},{"typ":"item","id":11112111,"val":1},{"typ":"item","id":11112133,"val":1},{"typ":"item","id":11112171,"val":1},{"typ":"item","id":11112196,"val":1},{"typ":"item","id":11112207,"val":1},{"typ":"item","id":11112246,"val":1},{"typ":"item","id":11112030,"val":50}]}</v>
      </c>
      <c r="T859" s="148">
        <f>IFERROR(__xludf.DUMMYFUNCTION("""COMPUTED_VALUE"""),-1.0)</f>
        <v>-1</v>
      </c>
      <c r="U859" s="148">
        <f>IFERROR(__xludf.DUMMYFUNCTION("""COMPUTED_VALUE"""),0.0)</f>
        <v>0</v>
      </c>
      <c r="V859" s="148" t="str">
        <f>IFERROR(__xludf.DUMMYFUNCTION("""COMPUTED_VALUE"""),"[]")</f>
        <v>[]</v>
      </c>
      <c r="W859" s="148">
        <f>IFERROR(__xludf.DUMMYFUNCTION("""COMPUTED_VALUE"""),1.1741002E7)</f>
        <v>11741002</v>
      </c>
      <c r="X859" s="148">
        <f>IFERROR(__xludf.DUMMYFUNCTION("""COMPUTED_VALUE"""),0.0)</f>
        <v>0</v>
      </c>
      <c r="Y859" s="148">
        <f>IFERROR(__xludf.DUMMYFUNCTION("""COMPUTED_VALUE"""),0.0)</f>
        <v>0</v>
      </c>
      <c r="Z859" s="148"/>
    </row>
    <row r="860">
      <c r="A860" s="148">
        <f>IFERROR(__xludf.DUMMYFUNCTION("""COMPUTED_VALUE"""),1.1112657E7)</f>
        <v>11112657</v>
      </c>
      <c r="B860" s="148" t="str">
        <f>IFERROR(__xludf.DUMMYFUNCTION("""COMPUTED_VALUE"""),"2025周年庆大富翁-装饰升级版本（投放用）")</f>
        <v>2025周年庆大富翁-装饰升级版本（投放用）</v>
      </c>
      <c r="C860" s="148"/>
      <c r="D860" s="148" t="str">
        <f>IFERROR(__xludf.DUMMYFUNCTION("""COMPUTED_VALUE"""),"statue_decorate")</f>
        <v>statue_decorate</v>
      </c>
      <c r="E860" s="148">
        <f>IFERROR(__xludf.DUMMYFUNCTION("""COMPUTED_VALUE"""),23.0)</f>
        <v>23</v>
      </c>
      <c r="F860" s="148">
        <f>IFERROR(__xludf.DUMMYFUNCTION("""COMPUTED_VALUE"""),0.0)</f>
        <v>0</v>
      </c>
      <c r="G860" s="148">
        <f>IFERROR(__xludf.DUMMYFUNCTION("""COMPUTED_VALUE"""),1.51102475E8)</f>
        <v>151102475</v>
      </c>
      <c r="H860" s="148">
        <f>IFERROR(__xludf.DUMMYFUNCTION("""COMPUTED_VALUE"""),1.5112564E7)</f>
        <v>15112564</v>
      </c>
      <c r="I860" s="148" t="str">
        <f>IFERROR(__xludf.DUMMYFUNCTION("""COMPUTED_VALUE"""),"{}")</f>
        <v>{}</v>
      </c>
      <c r="J860" s="148" t="str">
        <f>IFERROR(__xludf.DUMMYFUNCTION("""COMPUTED_VALUE"""),"{""typ"":""lc"",""txt"":""LC_ITEM_2025anni_dec2_item_2""}")</f>
        <v>{"typ":"lc","txt":"LC_ITEM_2025anni_dec2_item_2"}</v>
      </c>
      <c r="K860" s="148" t="str">
        <f>IFERROR(__xludf.DUMMYFUNCTION("""COMPUTED_VALUE"""),"{""typ"":""lc"",""txt"":""LC_ITEM_2025anni_dec2_item_3_desc""}")</f>
        <v>{"typ":"lc","txt":"LC_ITEM_2025anni_dec2_item_3_desc"}</v>
      </c>
      <c r="L860" s="148" t="str">
        <f>IFERROR(__xludf.DUMMYFUNCTION("""COMPUTED_VALUE"""),"{}")</f>
        <v>{}</v>
      </c>
      <c r="M860" s="148">
        <f>IFERROR(__xludf.DUMMYFUNCTION("""COMPUTED_VALUE"""),5000.0)</f>
        <v>5000</v>
      </c>
      <c r="N860" s="148">
        <f>IFERROR(__xludf.DUMMYFUNCTION("""COMPUTED_VALUE"""),999.0)</f>
        <v>999</v>
      </c>
      <c r="O860" s="148">
        <f>IFERROR(__xludf.DUMMYFUNCTION("""COMPUTED_VALUE"""),99999.0)</f>
        <v>99999</v>
      </c>
      <c r="P860" s="148">
        <f>IFERROR(__xludf.DUMMYFUNCTION("""COMPUTED_VALUE"""),99999.0)</f>
        <v>99999</v>
      </c>
      <c r="Q860" s="148" t="str">
        <f>IFERROR(__xludf.DUMMYFUNCTION("""COMPUTED_VALUE"""),"[]")</f>
        <v>[]</v>
      </c>
      <c r="R860" s="148" t="str">
        <f>IFERROR(__xludf.DUMMYFUNCTION("""COMPUTED_VALUE"""),"[""bag""]")</f>
        <v>["bag"]</v>
      </c>
      <c r="S860" s="148" t="str">
        <f>IFERROR(__xludf.DUMMYFUNCTION("""COMPUTED_VALUE"""),"{""effect"":[{""typ"":""holiday_statue"",""id"":21483401}]}")</f>
        <v>{"effect":[{"typ":"holiday_statue","id":21483401}]}</v>
      </c>
      <c r="T860" s="148">
        <f>IFERROR(__xludf.DUMMYFUNCTION("""COMPUTED_VALUE"""),-1.0)</f>
        <v>-1</v>
      </c>
      <c r="U860" s="148">
        <f>IFERROR(__xludf.DUMMYFUNCTION("""COMPUTED_VALUE"""),1.0)</f>
        <v>1</v>
      </c>
      <c r="V860" s="148" t="str">
        <f>IFERROR(__xludf.DUMMYFUNCTION("""COMPUTED_VALUE"""),"[]")</f>
        <v>[]</v>
      </c>
      <c r="W860" s="148">
        <f>IFERROR(__xludf.DUMMYFUNCTION("""COMPUTED_VALUE"""),1.174E7)</f>
        <v>11740000</v>
      </c>
      <c r="X860" s="148">
        <f>IFERROR(__xludf.DUMMYFUNCTION("""COMPUTED_VALUE"""),0.0)</f>
        <v>0</v>
      </c>
      <c r="Y860" s="148">
        <f>IFERROR(__xludf.DUMMYFUNCTION("""COMPUTED_VALUE"""),0.0)</f>
        <v>0</v>
      </c>
      <c r="Z860" s="148"/>
    </row>
    <row r="861">
      <c r="A861" s="148">
        <f>IFERROR(__xludf.DUMMYFUNCTION("""COMPUTED_VALUE"""),1.1112658E7)</f>
        <v>11112658</v>
      </c>
      <c r="B861" s="148" t="str">
        <f>IFERROR(__xludf.DUMMYFUNCTION("""COMPUTED_VALUE"""),"2025周年庆大富翁-装饰升级道具")</f>
        <v>2025周年庆大富翁-装饰升级道具</v>
      </c>
      <c r="C861" s="148"/>
      <c r="D861" s="148" t="str">
        <f>IFERROR(__xludf.DUMMYFUNCTION("""COMPUTED_VALUE"""),"event")</f>
        <v>event</v>
      </c>
      <c r="E861" s="148">
        <f>IFERROR(__xludf.DUMMYFUNCTION("""COMPUTED_VALUE"""),0.0)</f>
        <v>0</v>
      </c>
      <c r="F861" s="148">
        <f>IFERROR(__xludf.DUMMYFUNCTION("""COMPUTED_VALUE"""),405243.0)</f>
        <v>405243</v>
      </c>
      <c r="G861" s="148">
        <f>IFERROR(__xludf.DUMMYFUNCTION("""COMPUTED_VALUE"""),1.51102475E8)</f>
        <v>151102475</v>
      </c>
      <c r="H861" s="148">
        <f>IFERROR(__xludf.DUMMYFUNCTION("""COMPUTED_VALUE"""),1.5112564E7)</f>
        <v>15112564</v>
      </c>
      <c r="I861" s="148" t="str">
        <f>IFERROR(__xludf.DUMMYFUNCTION("""COMPUTED_VALUE"""),"{}")</f>
        <v>{}</v>
      </c>
      <c r="J861" s="148" t="str">
        <f>IFERROR(__xludf.DUMMYFUNCTION("""COMPUTED_VALUE"""),"{""typ"":""lc"",""txt"":""LC_ITEM_2025anni_dec2_item_2""}")</f>
        <v>{"typ":"lc","txt":"LC_ITEM_2025anni_dec2_item_2"}</v>
      </c>
      <c r="K861" s="148" t="str">
        <f>IFERROR(__xludf.DUMMYFUNCTION("""COMPUTED_VALUE"""),"{""typ"":""lc"",""txt"":""LC_ITEM_2025anni_dec2_item_3_desc""}")</f>
        <v>{"typ":"lc","txt":"LC_ITEM_2025anni_dec2_item_3_desc"}</v>
      </c>
      <c r="L861" s="148" t="str">
        <f>IFERROR(__xludf.DUMMYFUNCTION("""COMPUTED_VALUE"""),"{}")</f>
        <v>{}</v>
      </c>
      <c r="M861" s="148">
        <f>IFERROR(__xludf.DUMMYFUNCTION("""COMPUTED_VALUE"""),1000.0)</f>
        <v>1000</v>
      </c>
      <c r="N861" s="148">
        <f>IFERROR(__xludf.DUMMYFUNCTION("""COMPUTED_VALUE"""),9.99999999E8)</f>
        <v>999999999</v>
      </c>
      <c r="O861" s="148">
        <f>IFERROR(__xludf.DUMMYFUNCTION("""COMPUTED_VALUE"""),9.99999999E8)</f>
        <v>999999999</v>
      </c>
      <c r="P861" s="148">
        <f>IFERROR(__xludf.DUMMYFUNCTION("""COMPUTED_VALUE"""),9.99999999E8)</f>
        <v>999999999</v>
      </c>
      <c r="Q861" s="148" t="str">
        <f>IFERROR(__xludf.DUMMYFUNCTION("""COMPUTED_VALUE"""),"[""bag_other""]")</f>
        <v>["bag_other"]</v>
      </c>
      <c r="R861" s="148" t="str">
        <f>IFERROR(__xludf.DUMMYFUNCTION("""COMPUTED_VALUE"""),"[]")</f>
        <v>[]</v>
      </c>
      <c r="S861" s="148" t="str">
        <f>IFERROR(__xludf.DUMMYFUNCTION("""COMPUTED_VALUE"""),"{}")</f>
        <v>{}</v>
      </c>
      <c r="T861" s="148">
        <f>IFERROR(__xludf.DUMMYFUNCTION("""COMPUTED_VALUE"""),-1.0)</f>
        <v>-1</v>
      </c>
      <c r="U861" s="148">
        <f>IFERROR(__xludf.DUMMYFUNCTION("""COMPUTED_VALUE"""),0.0)</f>
        <v>0</v>
      </c>
      <c r="V861" s="148" t="str">
        <f>IFERROR(__xludf.DUMMYFUNCTION("""COMPUTED_VALUE"""),"[]")</f>
        <v>[]</v>
      </c>
      <c r="W861" s="148">
        <f>IFERROR(__xludf.DUMMYFUNCTION("""COMPUTED_VALUE"""),1.174E7)</f>
        <v>11740000</v>
      </c>
      <c r="X861" s="148">
        <f>IFERROR(__xludf.DUMMYFUNCTION("""COMPUTED_VALUE"""),0.0)</f>
        <v>0</v>
      </c>
      <c r="Y861" s="148">
        <f>IFERROR(__xludf.DUMMYFUNCTION("""COMPUTED_VALUE"""),0.0)</f>
        <v>0</v>
      </c>
      <c r="Z861" s="148"/>
    </row>
    <row r="862">
      <c r="A862" s="148">
        <f>IFERROR(__xludf.DUMMYFUNCTION("""COMPUTED_VALUE"""),1.1112659E7)</f>
        <v>11112659</v>
      </c>
      <c r="B862" s="148" t="str">
        <f>IFERROR(__xludf.DUMMYFUNCTION("""COMPUTED_VALUE"""),"涂饰-2025周年庆大富翁-涂饰道具-一天")</f>
        <v>涂饰-2025周年庆大富翁-涂饰道具-一天</v>
      </c>
      <c r="C862" s="148"/>
      <c r="D862" s="148" t="str">
        <f>IFERROR(__xludf.DUMMYFUNCTION("""COMPUTED_VALUE"""),"decorate_paint")</f>
        <v>decorate_paint</v>
      </c>
      <c r="E862" s="148">
        <f>IFERROR(__xludf.DUMMYFUNCTION("""COMPUTED_VALUE"""),0.0)</f>
        <v>0</v>
      </c>
      <c r="F862" s="148">
        <f>IFERROR(__xludf.DUMMYFUNCTION("""COMPUTED_VALUE"""),0.0)</f>
        <v>0</v>
      </c>
      <c r="G862" s="148">
        <f>IFERROR(__xludf.DUMMYFUNCTION("""COMPUTED_VALUE"""),1.51102798E8)</f>
        <v>151102798</v>
      </c>
      <c r="H862" s="148">
        <f>IFERROR(__xludf.DUMMYFUNCTION("""COMPUTED_VALUE"""),1.5112564E7)</f>
        <v>15112564</v>
      </c>
      <c r="I862" s="148" t="str">
        <f>IFERROR(__xludf.DUMMYFUNCTION("""COMPUTED_VALUE"""),"{}")</f>
        <v>{}</v>
      </c>
      <c r="J862" s="148" t="str">
        <f>IFERROR(__xludf.DUMMYFUNCTION("""COMPUTED_VALUE"""),"{""typ"":""lc"",""txt"":""LC_ITEM_anni_paint_decoration_paint_name""}")</f>
        <v>{"typ":"lc","txt":"LC_ITEM_anni_paint_decoration_paint_name"}</v>
      </c>
      <c r="K862" s="148" t="str">
        <f>IFERROR(__xludf.DUMMYFUNCTION("""COMPUTED_VALUE"""),"{""typ"":""lc"",""txt"":""LC_ITEM_anni_paint_decoration_paint_desc""}")</f>
        <v>{"typ":"lc","txt":"LC_ITEM_anni_paint_decoration_paint_desc"}</v>
      </c>
      <c r="L862" s="148" t="str">
        <f>IFERROR(__xludf.DUMMYFUNCTION("""COMPUTED_VALUE"""),"{""typ"":""lc"",""txt"":""LC_TIP_use_success""}")</f>
        <v>{"typ":"lc","txt":"LC_TIP_use_success"}</v>
      </c>
      <c r="M862" s="148">
        <f>IFERROR(__xludf.DUMMYFUNCTION("""COMPUTED_VALUE"""),1000.0)</f>
        <v>1000</v>
      </c>
      <c r="N862" s="148">
        <f>IFERROR(__xludf.DUMMYFUNCTION("""COMPUTED_VALUE"""),9.99999999E8)</f>
        <v>999999999</v>
      </c>
      <c r="O862" s="148">
        <f>IFERROR(__xludf.DUMMYFUNCTION("""COMPUTED_VALUE"""),9.99999999E8)</f>
        <v>999999999</v>
      </c>
      <c r="P862" s="148">
        <f>IFERROR(__xludf.DUMMYFUNCTION("""COMPUTED_VALUE"""),1.0)</f>
        <v>1</v>
      </c>
      <c r="Q862" s="148" t="str">
        <f>IFERROR(__xludf.DUMMYFUNCTION("""COMPUTED_VALUE"""),"[""bag_other""]")</f>
        <v>["bag_other"]</v>
      </c>
      <c r="R862" s="148" t="str">
        <f>IFERROR(__xludf.DUMMYFUNCTION("""COMPUTED_VALUE"""),"[""bag"",""214834""]")</f>
        <v>["bag","214834"]</v>
      </c>
      <c r="S862" s="148" t="str">
        <f>IFERROR(__xludf.DUMMYFUNCTION("""COMPUTED_VALUE"""),"{""effect"":[{""typ"":""decorate_paint"",""id"":214834,""val"":86400000},{""typ"":""item"",""id"":11112659,""val"":1}]}")</f>
        <v>{"effect":[{"typ":"decorate_paint","id":214834,"val":86400000},{"typ":"item","id":11112659,"val":1}]}</v>
      </c>
      <c r="T862" s="148">
        <f>IFERROR(__xludf.DUMMYFUNCTION("""COMPUTED_VALUE"""),-1.0)</f>
        <v>-1</v>
      </c>
      <c r="U862" s="148">
        <f>IFERROR(__xludf.DUMMYFUNCTION("""COMPUTED_VALUE"""),0.0)</f>
        <v>0</v>
      </c>
      <c r="V862" s="148" t="str">
        <f>IFERROR(__xludf.DUMMYFUNCTION("""COMPUTED_VALUE"""),"[]")</f>
        <v>[]</v>
      </c>
      <c r="W862" s="148">
        <f>IFERROR(__xludf.DUMMYFUNCTION("""COMPUTED_VALUE"""),1.174E7)</f>
        <v>11740000</v>
      </c>
      <c r="X862" s="148">
        <f>IFERROR(__xludf.DUMMYFUNCTION("""COMPUTED_VALUE"""),1.1684609E7)</f>
        <v>11684609</v>
      </c>
      <c r="Y862" s="148">
        <f>IFERROR(__xludf.DUMMYFUNCTION("""COMPUTED_VALUE"""),0.0)</f>
        <v>0</v>
      </c>
      <c r="Z862" s="148"/>
    </row>
    <row r="863">
      <c r="A863" s="148">
        <f>IFERROR(__xludf.DUMMYFUNCTION("""COMPUTED_VALUE"""),1.111266E7)</f>
        <v>11112660</v>
      </c>
      <c r="B863" s="148" t="str">
        <f>IFERROR(__xludf.DUMMYFUNCTION("""COMPUTED_VALUE"""),"组队幸运白银宝箱")</f>
        <v>组队幸运白银宝箱</v>
      </c>
      <c r="C863" s="148"/>
      <c r="D863" s="148" t="str">
        <f>IFERROR(__xludf.DUMMYFUNCTION("""COMPUTED_VALUE"""),"item_asset")</f>
        <v>item_asset</v>
      </c>
      <c r="E863" s="148">
        <f>IFERROR(__xludf.DUMMYFUNCTION("""COMPUTED_VALUE"""),19.0)</f>
        <v>19</v>
      </c>
      <c r="F863" s="148">
        <f>IFERROR(__xludf.DUMMYFUNCTION("""COMPUTED_VALUE"""),201101.0)</f>
        <v>201101</v>
      </c>
      <c r="G863" s="148">
        <f>IFERROR(__xludf.DUMMYFUNCTION("""COMPUTED_VALUE"""),1.51102902E8)</f>
        <v>151102902</v>
      </c>
      <c r="H863" s="148">
        <f>IFERROR(__xludf.DUMMYFUNCTION("""COMPUTED_VALUE"""),1.5112563E7)</f>
        <v>15112563</v>
      </c>
      <c r="I863" s="148" t="str">
        <f>IFERROR(__xludf.DUMMYFUNCTION("""COMPUTED_VALUE"""),"{}")</f>
        <v>{}</v>
      </c>
      <c r="J863" s="148" t="str">
        <f>IFERROR(__xludf.DUMMYFUNCTION("""COMPUTED_VALUE"""),"{""typ"":""lc"",""txt"":""LC_ITEM_music_team_item_name_1""}")</f>
        <v>{"typ":"lc","txt":"LC_ITEM_music_team_item_name_1"}</v>
      </c>
      <c r="K863" s="148" t="str">
        <f>IFERROR(__xludf.DUMMYFUNCTION("""COMPUTED_VALUE"""),"{""typ"":""lc"",""txt"":""LC_ITEM_music_team_item_desc_1""}")</f>
        <v>{"typ":"lc","txt":"LC_ITEM_music_team_item_desc_1"}</v>
      </c>
      <c r="L863" s="148" t="str">
        <f>IFERROR(__xludf.DUMMYFUNCTION("""COMPUTED_VALUE"""),"{""typ"":""lc"",""txt"":""LC_ITEM_horde_elite_box_usedtip""}")</f>
        <v>{"typ":"lc","txt":"LC_ITEM_horde_elite_box_usedtip"}</v>
      </c>
      <c r="M863" s="148">
        <f>IFERROR(__xludf.DUMMYFUNCTION("""COMPUTED_VALUE"""),40.0)</f>
        <v>40</v>
      </c>
      <c r="N863" s="148">
        <f>IFERROR(__xludf.DUMMYFUNCTION("""COMPUTED_VALUE"""),999999.0)</f>
        <v>999999</v>
      </c>
      <c r="O863" s="148">
        <f>IFERROR(__xludf.DUMMYFUNCTION("""COMPUTED_VALUE"""),99999.0)</f>
        <v>99999</v>
      </c>
      <c r="P863" s="148">
        <f>IFERROR(__xludf.DUMMYFUNCTION("""COMPUTED_VALUE"""),100.0)</f>
        <v>100</v>
      </c>
      <c r="Q863" s="148" t="str">
        <f>IFERROR(__xludf.DUMMYFUNCTION("""COMPUTED_VALUE"""),"[]")</f>
        <v>[]</v>
      </c>
      <c r="R863" s="148" t="str">
        <f>IFERROR(__xludf.DUMMYFUNCTION("""COMPUTED_VALUE"""),"[]")</f>
        <v>[]</v>
      </c>
      <c r="S863" s="148" t="str">
        <f>IFERROR(__xludf.DUMMYFUNCTION("""COMPUTED_VALUE"""),"{""drop"":{""typ"":""single_all"",""num"":1,""args"":[{""typ"":""single_random"",""num"":1,""args"":[{""typ"":""item"",""id"":11112664,""num"":10,""wgt"":200}]},{""typ"":""single_random"",""num"":1,""args"":[{""typ"":""item"",""id"":11111006,""num"":1,""w"&amp;"gt"":300},{""typ"":""item"",""id"":11111002,""num"":1,""wgt"":300},{""typ"":""item"",""id"":11111154,""num"":1,""wgt"":300},{""typ"":""item"",""id"":11111155,""num"":1,""wgt"":100}]}]}}")</f>
        <v>{"drop":{"typ":"single_all","num":1,"args":[{"typ":"single_random","num":1,"args":[{"typ":"item","id":11112664,"num":10,"wgt":200}]},{"typ":"single_random","num":1,"args":[{"typ":"item","id":11111006,"num":1,"wgt":300},{"typ":"item","id":11111002,"num":1,"wgt":300},{"typ":"item","id":11111154,"num":1,"wgt":300},{"typ":"item","id":11111155,"num":1,"wgt":100}]}]}}</v>
      </c>
      <c r="T863" s="148">
        <f>IFERROR(__xludf.DUMMYFUNCTION("""COMPUTED_VALUE"""),-1.0)</f>
        <v>-1</v>
      </c>
      <c r="U863" s="148">
        <f>IFERROR(__xludf.DUMMYFUNCTION("""COMPUTED_VALUE"""),0.0)</f>
        <v>0</v>
      </c>
      <c r="V863" s="148" t="str">
        <f>IFERROR(__xludf.DUMMYFUNCTION("""COMPUTED_VALUE"""),"[]")</f>
        <v>[]</v>
      </c>
      <c r="W863" s="148">
        <f>IFERROR(__xludf.DUMMYFUNCTION("""COMPUTED_VALUE"""),1.174E7)</f>
        <v>11740000</v>
      </c>
      <c r="X863" s="148">
        <f>IFERROR(__xludf.DUMMYFUNCTION("""COMPUTED_VALUE"""),0.0)</f>
        <v>0</v>
      </c>
      <c r="Y863" s="148">
        <f>IFERROR(__xludf.DUMMYFUNCTION("""COMPUTED_VALUE"""),0.0)</f>
        <v>0</v>
      </c>
      <c r="Z863" s="148"/>
    </row>
    <row r="864">
      <c r="A864" s="148">
        <f>IFERROR(__xludf.DUMMYFUNCTION("""COMPUTED_VALUE"""),1.1112661E7)</f>
        <v>11112661</v>
      </c>
      <c r="B864" s="148" t="str">
        <f>IFERROR(__xludf.DUMMYFUNCTION("""COMPUTED_VALUE"""),"组队幸运黄金宝箱")</f>
        <v>组队幸运黄金宝箱</v>
      </c>
      <c r="C864" s="148"/>
      <c r="D864" s="148" t="str">
        <f>IFERROR(__xludf.DUMMYFUNCTION("""COMPUTED_VALUE"""),"item_asset")</f>
        <v>item_asset</v>
      </c>
      <c r="E864" s="148">
        <f>IFERROR(__xludf.DUMMYFUNCTION("""COMPUTED_VALUE"""),19.0)</f>
        <v>19</v>
      </c>
      <c r="F864" s="148">
        <f>IFERROR(__xludf.DUMMYFUNCTION("""COMPUTED_VALUE"""),201101.0)</f>
        <v>201101</v>
      </c>
      <c r="G864" s="148">
        <f>IFERROR(__xludf.DUMMYFUNCTION("""COMPUTED_VALUE"""),1.51102903E8)</f>
        <v>151102903</v>
      </c>
      <c r="H864" s="148">
        <f>IFERROR(__xludf.DUMMYFUNCTION("""COMPUTED_VALUE"""),1.5112564E7)</f>
        <v>15112564</v>
      </c>
      <c r="I864" s="148" t="str">
        <f>IFERROR(__xludf.DUMMYFUNCTION("""COMPUTED_VALUE"""),"{}")</f>
        <v>{}</v>
      </c>
      <c r="J864" s="148" t="str">
        <f>IFERROR(__xludf.DUMMYFUNCTION("""COMPUTED_VALUE"""),"{""typ"":""lc"",""txt"":""LC_ITEM_music_team_item_name_2""}")</f>
        <v>{"typ":"lc","txt":"LC_ITEM_music_team_item_name_2"}</v>
      </c>
      <c r="K864" s="148" t="str">
        <f>IFERROR(__xludf.DUMMYFUNCTION("""COMPUTED_VALUE"""),"{""typ"":""lc"",""txt"":""LC_ITEM_music_team_item_desc_2""}")</f>
        <v>{"typ":"lc","txt":"LC_ITEM_music_team_item_desc_2"}</v>
      </c>
      <c r="L864" s="148" t="str">
        <f>IFERROR(__xludf.DUMMYFUNCTION("""COMPUTED_VALUE"""),"{""typ"":""lc"",""txt"":""LC_ITEM_horde_elite_box_usedtip""}")</f>
        <v>{"typ":"lc","txt":"LC_ITEM_horde_elite_box_usedtip"}</v>
      </c>
      <c r="M864" s="148">
        <f>IFERROR(__xludf.DUMMYFUNCTION("""COMPUTED_VALUE"""),40.0)</f>
        <v>40</v>
      </c>
      <c r="N864" s="148">
        <f>IFERROR(__xludf.DUMMYFUNCTION("""COMPUTED_VALUE"""),999999.0)</f>
        <v>999999</v>
      </c>
      <c r="O864" s="148">
        <f>IFERROR(__xludf.DUMMYFUNCTION("""COMPUTED_VALUE"""),99999.0)</f>
        <v>99999</v>
      </c>
      <c r="P864" s="148">
        <f>IFERROR(__xludf.DUMMYFUNCTION("""COMPUTED_VALUE"""),100.0)</f>
        <v>100</v>
      </c>
      <c r="Q864" s="148" t="str">
        <f>IFERROR(__xludf.DUMMYFUNCTION("""COMPUTED_VALUE"""),"[]")</f>
        <v>[]</v>
      </c>
      <c r="R864" s="148" t="str">
        <f>IFERROR(__xludf.DUMMYFUNCTION("""COMPUTED_VALUE"""),"[]")</f>
        <v>[]</v>
      </c>
      <c r="S864" s="148" t="str">
        <f>IFERROR(__xludf.DUMMYFUNCTION("""COMPUTED_VALUE"""),"{""drop"":{""typ"":""single_all"",""num"":1,""args"":[{""typ"":""single_random"",""num"":1,""args"":[{""typ"":""item"",""id"":11112664,""num"":25,""wgt"":200}]},{""typ"":""single_random"",""num"":1,""args"":[{""typ"":""item"",""id"":11111003,""num"":1,""w"&amp;"gt"":300},{""typ"":""item"",""id"":11111007,""num"":1,""wgt"":300},{""typ"":""item"",""id"":11111155,""num"":1,""wgt"":180},{""typ"":""item"",""id"":11111105,""num"":1,""wgt"":100},{""typ"":""item"",""id"":11111156,""num"":1,""wgt"":100},{""typ"":""item"""&amp;",""id"":11111157,""num"":1,""wgt"":20}]}]}}")</f>
        <v>{"drop":{"typ":"single_all","num":1,"args":[{"typ":"single_random","num":1,"args":[{"typ":"item","id":11112664,"num":25,"wgt":200}]},{"typ":"single_random","num":1,"args":[{"typ":"item","id":11111003,"num":1,"wgt":300},{"typ":"item","id":11111007,"num":1,"wgt":300},{"typ":"item","id":11111155,"num":1,"wgt":180},{"typ":"item","id":11111105,"num":1,"wgt":100},{"typ":"item","id":11111156,"num":1,"wgt":100},{"typ":"item","id":11111157,"num":1,"wgt":20}]}]}}</v>
      </c>
      <c r="T864" s="148">
        <f>IFERROR(__xludf.DUMMYFUNCTION("""COMPUTED_VALUE"""),-1.0)</f>
        <v>-1</v>
      </c>
      <c r="U864" s="148">
        <f>IFERROR(__xludf.DUMMYFUNCTION("""COMPUTED_VALUE"""),0.0)</f>
        <v>0</v>
      </c>
      <c r="V864" s="148" t="str">
        <f>IFERROR(__xludf.DUMMYFUNCTION("""COMPUTED_VALUE"""),"[]")</f>
        <v>[]</v>
      </c>
      <c r="W864" s="148">
        <f>IFERROR(__xludf.DUMMYFUNCTION("""COMPUTED_VALUE"""),1.174E7)</f>
        <v>11740000</v>
      </c>
      <c r="X864" s="148">
        <f>IFERROR(__xludf.DUMMYFUNCTION("""COMPUTED_VALUE"""),0.0)</f>
        <v>0</v>
      </c>
      <c r="Y864" s="148">
        <f>IFERROR(__xludf.DUMMYFUNCTION("""COMPUTED_VALUE"""),0.0)</f>
        <v>0</v>
      </c>
      <c r="Z864" s="148"/>
    </row>
    <row r="865">
      <c r="A865" s="148">
        <f>IFERROR(__xludf.DUMMYFUNCTION("""COMPUTED_VALUE"""),1.1112662E7)</f>
        <v>11112662</v>
      </c>
      <c r="B865" s="148" t="str">
        <f>IFERROR(__xludf.DUMMYFUNCTION("""COMPUTED_VALUE"""),"组队幸运史诗宝箱")</f>
        <v>组队幸运史诗宝箱</v>
      </c>
      <c r="C865" s="148"/>
      <c r="D865" s="148" t="str">
        <f>IFERROR(__xludf.DUMMYFUNCTION("""COMPUTED_VALUE"""),"item_asset")</f>
        <v>item_asset</v>
      </c>
      <c r="E865" s="148">
        <f>IFERROR(__xludf.DUMMYFUNCTION("""COMPUTED_VALUE"""),19.0)</f>
        <v>19</v>
      </c>
      <c r="F865" s="148">
        <f>IFERROR(__xludf.DUMMYFUNCTION("""COMPUTED_VALUE"""),201101.0)</f>
        <v>201101</v>
      </c>
      <c r="G865" s="148">
        <f>IFERROR(__xludf.DUMMYFUNCTION("""COMPUTED_VALUE"""),1.51102904E8)</f>
        <v>151102904</v>
      </c>
      <c r="H865" s="148">
        <f>IFERROR(__xludf.DUMMYFUNCTION("""COMPUTED_VALUE"""),1.5112564E7)</f>
        <v>15112564</v>
      </c>
      <c r="I865" s="148" t="str">
        <f>IFERROR(__xludf.DUMMYFUNCTION("""COMPUTED_VALUE"""),"{}")</f>
        <v>{}</v>
      </c>
      <c r="J865" s="148" t="str">
        <f>IFERROR(__xludf.DUMMYFUNCTION("""COMPUTED_VALUE"""),"{""typ"":""lc"",""txt"":""LC_ITEM_music_team_item_name_3""}")</f>
        <v>{"typ":"lc","txt":"LC_ITEM_music_team_item_name_3"}</v>
      </c>
      <c r="K865" s="148" t="str">
        <f>IFERROR(__xludf.DUMMYFUNCTION("""COMPUTED_VALUE"""),"{""typ"":""lc"",""txt"":""LC_ITEM_music_team_item_desc_3""}")</f>
        <v>{"typ":"lc","txt":"LC_ITEM_music_team_item_desc_3"}</v>
      </c>
      <c r="L865" s="148" t="str">
        <f>IFERROR(__xludf.DUMMYFUNCTION("""COMPUTED_VALUE"""),"{""typ"":""lc"",""txt"":""LC_ITEM_horde_elite_box_usedtip""}")</f>
        <v>{"typ":"lc","txt":"LC_ITEM_horde_elite_box_usedtip"}</v>
      </c>
      <c r="M865" s="148">
        <f>IFERROR(__xludf.DUMMYFUNCTION("""COMPUTED_VALUE"""),40.0)</f>
        <v>40</v>
      </c>
      <c r="N865" s="148">
        <f>IFERROR(__xludf.DUMMYFUNCTION("""COMPUTED_VALUE"""),999999.0)</f>
        <v>999999</v>
      </c>
      <c r="O865" s="148">
        <f>IFERROR(__xludf.DUMMYFUNCTION("""COMPUTED_VALUE"""),99999.0)</f>
        <v>99999</v>
      </c>
      <c r="P865" s="148">
        <f>IFERROR(__xludf.DUMMYFUNCTION("""COMPUTED_VALUE"""),100.0)</f>
        <v>100</v>
      </c>
      <c r="Q865" s="148" t="str">
        <f>IFERROR(__xludf.DUMMYFUNCTION("""COMPUTED_VALUE"""),"[]")</f>
        <v>[]</v>
      </c>
      <c r="R865" s="148" t="str">
        <f>IFERROR(__xludf.DUMMYFUNCTION("""COMPUTED_VALUE"""),"[]")</f>
        <v>[]</v>
      </c>
      <c r="S865" s="148" t="str">
        <f>IFERROR(__xludf.DUMMYFUNCTION("""COMPUTED_VALUE"""),"{""drop"":{""typ"":""single_all"",""num"":1,""args"":[{""typ"":""single_random"",""num"":1,""args"":[{""typ"":""item"",""id"":11112664,""num"":100,""wgt"":200}]},{""typ"":""single_random"",""num"":1,""args"":[{""typ"":""item"",""id"":11111156,""num"":1,"""&amp;"wgt"":400},{""typ"":""item"",""id"":11111157,""num"":1,""wgt"":200},{""typ"":""item"",""id"":11111106,""num"":1,""wgt"":200},{""typ"":""item"",""id"":11111107,""num"":1,""wgt"":100},{""typ"":""item"",""id"":11118663,""num"":1,""wgt"":50},{""typ"":""item"""&amp;",""id"":11116304,""num"":1,""wgt"":50}]}]}}")</f>
        <v>{"drop":{"typ":"single_all","num":1,"args":[{"typ":"single_random","num":1,"args":[{"typ":"item","id":11112664,"num":100,"wgt":200}]},{"typ":"single_random","num":1,"args":[{"typ":"item","id":11111156,"num":1,"wgt":400},{"typ":"item","id":11111157,"num":1,"wgt":200},{"typ":"item","id":11111106,"num":1,"wgt":200},{"typ":"item","id":11111107,"num":1,"wgt":100},{"typ":"item","id":11118663,"num":1,"wgt":50},{"typ":"item","id":11116304,"num":1,"wgt":50}]}]}}</v>
      </c>
      <c r="T865" s="148">
        <f>IFERROR(__xludf.DUMMYFUNCTION("""COMPUTED_VALUE"""),-1.0)</f>
        <v>-1</v>
      </c>
      <c r="U865" s="148">
        <f>IFERROR(__xludf.DUMMYFUNCTION("""COMPUTED_VALUE"""),0.0)</f>
        <v>0</v>
      </c>
      <c r="V865" s="148" t="str">
        <f>IFERROR(__xludf.DUMMYFUNCTION("""COMPUTED_VALUE"""),"[]")</f>
        <v>[]</v>
      </c>
      <c r="W865" s="148">
        <f>IFERROR(__xludf.DUMMYFUNCTION("""COMPUTED_VALUE"""),1.174E7)</f>
        <v>11740000</v>
      </c>
      <c r="X865" s="148">
        <f>IFERROR(__xludf.DUMMYFUNCTION("""COMPUTED_VALUE"""),0.0)</f>
        <v>0</v>
      </c>
      <c r="Y865" s="148">
        <f>IFERROR(__xludf.DUMMYFUNCTION("""COMPUTED_VALUE"""),0.0)</f>
        <v>0</v>
      </c>
      <c r="Z865" s="148"/>
    </row>
    <row r="866">
      <c r="A866" s="148">
        <f>IFERROR(__xludf.DUMMYFUNCTION("""COMPUTED_VALUE"""),1.1112663E7)</f>
        <v>11112663</v>
      </c>
      <c r="B866" s="148" t="str">
        <f>IFERROR(__xludf.DUMMYFUNCTION("""COMPUTED_VALUE"""),"组队幸运传说宝箱")</f>
        <v>组队幸运传说宝箱</v>
      </c>
      <c r="C866" s="148"/>
      <c r="D866" s="148" t="str">
        <f>IFERROR(__xludf.DUMMYFUNCTION("""COMPUTED_VALUE"""),"item_asset")</f>
        <v>item_asset</v>
      </c>
      <c r="E866" s="148">
        <f>IFERROR(__xludf.DUMMYFUNCTION("""COMPUTED_VALUE"""),19.0)</f>
        <v>19</v>
      </c>
      <c r="F866" s="148">
        <f>IFERROR(__xludf.DUMMYFUNCTION("""COMPUTED_VALUE"""),201101.0)</f>
        <v>201101</v>
      </c>
      <c r="G866" s="148">
        <f>IFERROR(__xludf.DUMMYFUNCTION("""COMPUTED_VALUE"""),1.51102905E8)</f>
        <v>151102905</v>
      </c>
      <c r="H866" s="148">
        <f>IFERROR(__xludf.DUMMYFUNCTION("""COMPUTED_VALUE"""),1.5112564E7)</f>
        <v>15112564</v>
      </c>
      <c r="I866" s="148" t="str">
        <f>IFERROR(__xludf.DUMMYFUNCTION("""COMPUTED_VALUE"""),"{}")</f>
        <v>{}</v>
      </c>
      <c r="J866" s="148" t="str">
        <f>IFERROR(__xludf.DUMMYFUNCTION("""COMPUTED_VALUE"""),"{""typ"":""lc"",""txt"":""LC_ITEM_music_team_item_name_4""}")</f>
        <v>{"typ":"lc","txt":"LC_ITEM_music_team_item_name_4"}</v>
      </c>
      <c r="K866" s="148" t="str">
        <f>IFERROR(__xludf.DUMMYFUNCTION("""COMPUTED_VALUE"""),"{""typ"":""lc"",""txt"":""LC_ITEM_music_team_item_desc_4""}")</f>
        <v>{"typ":"lc","txt":"LC_ITEM_music_team_item_desc_4"}</v>
      </c>
      <c r="L866" s="148" t="str">
        <f>IFERROR(__xludf.DUMMYFUNCTION("""COMPUTED_VALUE"""),"{""typ"":""lc"",""txt"":""LC_ITEM_horde_elite_box_usedtip""}")</f>
        <v>{"typ":"lc","txt":"LC_ITEM_horde_elite_box_usedtip"}</v>
      </c>
      <c r="M866" s="148">
        <f>IFERROR(__xludf.DUMMYFUNCTION("""COMPUTED_VALUE"""),40.0)</f>
        <v>40</v>
      </c>
      <c r="N866" s="148">
        <f>IFERROR(__xludf.DUMMYFUNCTION("""COMPUTED_VALUE"""),999999.0)</f>
        <v>999999</v>
      </c>
      <c r="O866" s="148">
        <f>IFERROR(__xludf.DUMMYFUNCTION("""COMPUTED_VALUE"""),99999.0)</f>
        <v>99999</v>
      </c>
      <c r="P866" s="148">
        <f>IFERROR(__xludf.DUMMYFUNCTION("""COMPUTED_VALUE"""),100.0)</f>
        <v>100</v>
      </c>
      <c r="Q866" s="148" t="str">
        <f>IFERROR(__xludf.DUMMYFUNCTION("""COMPUTED_VALUE"""),"[]")</f>
        <v>[]</v>
      </c>
      <c r="R866" s="148" t="str">
        <f>IFERROR(__xludf.DUMMYFUNCTION("""COMPUTED_VALUE"""),"[]")</f>
        <v>[]</v>
      </c>
      <c r="S866" s="148" t="str">
        <f>IFERROR(__xludf.DUMMYFUNCTION("""COMPUTED_VALUE"""),"{""drop"":{""typ"":""single_all"",""num"":1,""args"":[{""typ"":""single_random"",""num"":1,""args"":[{""typ"":""item"",""id"":11112664,""num"":500,""wgt"":200}]},{""typ"":""single_random"",""num"":1,""args"":[{""typ"":""item"",""id"":11111158,""num"":1,"""&amp;"wgt"":400},{""typ"":""item"",""id"":11111107,""num"":1,""wgt"":300},{""typ"":""item"",""id"":11111160,""num"":1,""wgt"":100},{""typ"":""item"",""id"":11111109,""num"":1,""wgt"":100},{""typ"":""item"",""id"":11118663,""num"":3,""wgt"":50},{""typ"":""item"""&amp;",""id"":11116304,""num"":3,""wgt"":50}]}]}}")</f>
        <v>{"drop":{"typ":"single_all","num":1,"args":[{"typ":"single_random","num":1,"args":[{"typ":"item","id":11112664,"num":500,"wgt":200}]},{"typ":"single_random","num":1,"args":[{"typ":"item","id":11111158,"num":1,"wgt":400},{"typ":"item","id":11111107,"num":1,"wgt":300},{"typ":"item","id":11111160,"num":1,"wgt":100},{"typ":"item","id":11111109,"num":1,"wgt":100},{"typ":"item","id":11118663,"num":3,"wgt":50},{"typ":"item","id":11116304,"num":3,"wgt":50}]}]}}</v>
      </c>
      <c r="T866" s="148">
        <f>IFERROR(__xludf.DUMMYFUNCTION("""COMPUTED_VALUE"""),-1.0)</f>
        <v>-1</v>
      </c>
      <c r="U866" s="148">
        <f>IFERROR(__xludf.DUMMYFUNCTION("""COMPUTED_VALUE"""),0.0)</f>
        <v>0</v>
      </c>
      <c r="V866" s="148" t="str">
        <f>IFERROR(__xludf.DUMMYFUNCTION("""COMPUTED_VALUE"""),"[]")</f>
        <v>[]</v>
      </c>
      <c r="W866" s="148">
        <f>IFERROR(__xludf.DUMMYFUNCTION("""COMPUTED_VALUE"""),1.174E7)</f>
        <v>11740000</v>
      </c>
      <c r="X866" s="148">
        <f>IFERROR(__xludf.DUMMYFUNCTION("""COMPUTED_VALUE"""),0.0)</f>
        <v>0</v>
      </c>
      <c r="Y866" s="148">
        <f>IFERROR(__xludf.DUMMYFUNCTION("""COMPUTED_VALUE"""),0.0)</f>
        <v>0</v>
      </c>
      <c r="Z866" s="148"/>
    </row>
    <row r="867">
      <c r="A867" s="148">
        <f>IFERROR(__xludf.DUMMYFUNCTION("""COMPUTED_VALUE"""),1.1112664E7)</f>
        <v>11112664</v>
      </c>
      <c r="B867" s="148" t="str">
        <f>IFERROR(__xludf.DUMMYFUNCTION("""COMPUTED_VALUE"""),"组队活动-段位进度")</f>
        <v>组队活动-段位进度</v>
      </c>
      <c r="C867" s="148"/>
      <c r="D867" s="148" t="str">
        <f>IFERROR(__xludf.DUMMYFUNCTION("""COMPUTED_VALUE"""),"event_progress")</f>
        <v>event_progress</v>
      </c>
      <c r="E867" s="148">
        <f>IFERROR(__xludf.DUMMYFUNCTION("""COMPUTED_VALUE"""),19.0)</f>
        <v>19</v>
      </c>
      <c r="F867" s="148">
        <f>IFERROR(__xludf.DUMMYFUNCTION("""COMPUTED_VALUE"""),201101.0)</f>
        <v>201101</v>
      </c>
      <c r="G867" s="148">
        <f>IFERROR(__xludf.DUMMYFUNCTION("""COMPUTED_VALUE"""),1.51102897E8)</f>
        <v>151102897</v>
      </c>
      <c r="H867" s="148">
        <f>IFERROR(__xludf.DUMMYFUNCTION("""COMPUTED_VALUE"""),1.5112564E7)</f>
        <v>15112564</v>
      </c>
      <c r="I867" s="148" t="str">
        <f>IFERROR(__xludf.DUMMYFUNCTION("""COMPUTED_VALUE"""),"{}")</f>
        <v>{}</v>
      </c>
      <c r="J867" s="148" t="str">
        <f>IFERROR(__xludf.DUMMYFUNCTION("""COMPUTED_VALUE"""),"{""typ"":""lc"",""txt"":""LC_EVENT_music_box_tips_57""}")</f>
        <v>{"typ":"lc","txt":"LC_EVENT_music_box_tips_57"}</v>
      </c>
      <c r="K867" s="148" t="str">
        <f>IFERROR(__xludf.DUMMYFUNCTION("""COMPUTED_VALUE"""),"{""typ"":""lc"",""txt"":""LC_EVENT_music_box_tips_57""}")</f>
        <v>{"typ":"lc","txt":"LC_EVENT_music_box_tips_57"}</v>
      </c>
      <c r="L867" s="148" t="str">
        <f>IFERROR(__xludf.DUMMYFUNCTION("""COMPUTED_VALUE"""),"{""typ"":""lc"",""txt"":""LC_ITEM_horde_elite_box_usedtip""}")</f>
        <v>{"typ":"lc","txt":"LC_ITEM_horde_elite_box_usedtip"}</v>
      </c>
      <c r="M867" s="148">
        <f>IFERROR(__xludf.DUMMYFUNCTION("""COMPUTED_VALUE"""),40.0)</f>
        <v>40</v>
      </c>
      <c r="N867" s="148">
        <f>IFERROR(__xludf.DUMMYFUNCTION("""COMPUTED_VALUE"""),999999.0)</f>
        <v>999999</v>
      </c>
      <c r="O867" s="148">
        <f>IFERROR(__xludf.DUMMYFUNCTION("""COMPUTED_VALUE"""),99999.0)</f>
        <v>99999</v>
      </c>
      <c r="P867" s="148">
        <f>IFERROR(__xludf.DUMMYFUNCTION("""COMPUTED_VALUE"""),99999.0)</f>
        <v>99999</v>
      </c>
      <c r="Q867" s="148" t="str">
        <f>IFERROR(__xludf.DUMMYFUNCTION("""COMPUTED_VALUE"""),"[]")</f>
        <v>[]</v>
      </c>
      <c r="R867" s="148" t="str">
        <f>IFERROR(__xludf.DUMMYFUNCTION("""COMPUTED_VALUE"""),"[]")</f>
        <v>[]</v>
      </c>
      <c r="S867" s="148" t="str">
        <f>IFERROR(__xludf.DUMMYFUNCTION("""COMPUTED_VALUE"""),"{""effect"":[{""typ"":""event"",""id"":21127526},{""typ"":""miss_lost_reward""}]}")</f>
        <v>{"effect":[{"typ":"event","id":21127526},{"typ":"miss_lost_reward"}]}</v>
      </c>
      <c r="T867" s="148">
        <f>IFERROR(__xludf.DUMMYFUNCTION("""COMPUTED_VALUE"""),-1.0)</f>
        <v>-1</v>
      </c>
      <c r="U867" s="148">
        <f>IFERROR(__xludf.DUMMYFUNCTION("""COMPUTED_VALUE"""),1.0)</f>
        <v>1</v>
      </c>
      <c r="V867" s="148" t="str">
        <f>IFERROR(__xludf.DUMMYFUNCTION("""COMPUTED_VALUE"""),"[]")</f>
        <v>[]</v>
      </c>
      <c r="W867" s="148">
        <f>IFERROR(__xludf.DUMMYFUNCTION("""COMPUTED_VALUE"""),1.174E7)</f>
        <v>11740000</v>
      </c>
      <c r="X867" s="148">
        <f>IFERROR(__xludf.DUMMYFUNCTION("""COMPUTED_VALUE"""),0.0)</f>
        <v>0</v>
      </c>
      <c r="Y867" s="148">
        <f>IFERROR(__xludf.DUMMYFUNCTION("""COMPUTED_VALUE"""),0.0)</f>
        <v>0</v>
      </c>
      <c r="Z867" s="148"/>
    </row>
    <row r="868">
      <c r="A868" s="148">
        <f>IFERROR(__xludf.DUMMYFUNCTION("""COMPUTED_VALUE"""),1.1112665E7)</f>
        <v>11112665</v>
      </c>
      <c r="B868" s="148" t="str">
        <f>IFERROR(__xludf.DUMMYFUNCTION("""COMPUTED_VALUE"""),"组队活动-进度宝箱")</f>
        <v>组队活动-进度宝箱</v>
      </c>
      <c r="C868" s="148"/>
      <c r="D868" s="148" t="str">
        <f>IFERROR(__xludf.DUMMYFUNCTION("""COMPUTED_VALUE"""),"item_asset")</f>
        <v>item_asset</v>
      </c>
      <c r="E868" s="148">
        <f>IFERROR(__xludf.DUMMYFUNCTION("""COMPUTED_VALUE"""),19.0)</f>
        <v>19</v>
      </c>
      <c r="F868" s="148">
        <f>IFERROR(__xludf.DUMMYFUNCTION("""COMPUTED_VALUE"""),201101.0)</f>
        <v>201101</v>
      </c>
      <c r="G868" s="148">
        <f>IFERROR(__xludf.DUMMYFUNCTION("""COMPUTED_VALUE"""),1.51102908E8)</f>
        <v>151102908</v>
      </c>
      <c r="H868" s="148">
        <f>IFERROR(__xludf.DUMMYFUNCTION("""COMPUTED_VALUE"""),1.5112564E7)</f>
        <v>15112564</v>
      </c>
      <c r="I868" s="148" t="str">
        <f>IFERROR(__xludf.DUMMYFUNCTION("""COMPUTED_VALUE"""),"{}")</f>
        <v>{}</v>
      </c>
      <c r="J868" s="148" t="str">
        <f>IFERROR(__xludf.DUMMYFUNCTION("""COMPUTED_VALUE"""),"{""typ"":""lc"",""txt"":""LC_EVENT_music_box_tips_57""}")</f>
        <v>{"typ":"lc","txt":"LC_EVENT_music_box_tips_57"}</v>
      </c>
      <c r="K868" s="148" t="str">
        <f>IFERROR(__xludf.DUMMYFUNCTION("""COMPUTED_VALUE"""),"{""typ"":""lc"",""txt"":""LC_EVENT_music_box_tips_57""}")</f>
        <v>{"typ":"lc","txt":"LC_EVENT_music_box_tips_57"}</v>
      </c>
      <c r="L868" s="148" t="str">
        <f>IFERROR(__xludf.DUMMYFUNCTION("""COMPUTED_VALUE"""),"{""typ"":""lc"",""txt"":""LC_ITEM_horde_elite_box_usedtip""}")</f>
        <v>{"typ":"lc","txt":"LC_ITEM_horde_elite_box_usedtip"}</v>
      </c>
      <c r="M868" s="148">
        <f>IFERROR(__xludf.DUMMYFUNCTION("""COMPUTED_VALUE"""),40.0)</f>
        <v>40</v>
      </c>
      <c r="N868" s="148">
        <f>IFERROR(__xludf.DUMMYFUNCTION("""COMPUTED_VALUE"""),999999.0)</f>
        <v>999999</v>
      </c>
      <c r="O868" s="148">
        <f>IFERROR(__xludf.DUMMYFUNCTION("""COMPUTED_VALUE"""),99999.0)</f>
        <v>99999</v>
      </c>
      <c r="P868" s="148">
        <f>IFERROR(__xludf.DUMMYFUNCTION("""COMPUTED_VALUE"""),100.0)</f>
        <v>100</v>
      </c>
      <c r="Q868" s="148" t="str">
        <f>IFERROR(__xludf.DUMMYFUNCTION("""COMPUTED_VALUE"""),"[]")</f>
        <v>[]</v>
      </c>
      <c r="R868" s="148" t="str">
        <f>IFERROR(__xludf.DUMMYFUNCTION("""COMPUTED_VALUE"""),"[]")</f>
        <v>[]</v>
      </c>
      <c r="S868" s="148" t="str">
        <f>IFERROR(__xludf.DUMMYFUNCTION("""COMPUTED_VALUE"""),"{""drop"":{""typ"":""single_random"",""num"":1,""args"":[{""typ"":""item"",""id"":11112660,""num"":1,""wgt"":700},{""typ"":""item"",""id"":11112661,""num"":1,""wgt"":240},{""typ"":""item"",""id"":11112662,""num"":1,""wgt"":50},{""typ"":""item"",""id"":111"&amp;"12663,""num"":1,""wgt"":10}]},""effect"":[{""typ"":""miss_lost_reward""}]}")</f>
        <v>{"drop":{"typ":"single_random","num":1,"args":[{"typ":"item","id":11112660,"num":1,"wgt":700},{"typ":"item","id":11112661,"num":1,"wgt":240},{"typ":"item","id":11112662,"num":1,"wgt":50},{"typ":"item","id":11112663,"num":1,"wgt":10}]},"effect":[{"typ":"miss_lost_reward"}]}</v>
      </c>
      <c r="T868" s="148">
        <f>IFERROR(__xludf.DUMMYFUNCTION("""COMPUTED_VALUE"""),-1.0)</f>
        <v>-1</v>
      </c>
      <c r="U868" s="148">
        <f>IFERROR(__xludf.DUMMYFUNCTION("""COMPUTED_VALUE"""),1.0)</f>
        <v>1</v>
      </c>
      <c r="V868" s="148" t="str">
        <f>IFERROR(__xludf.DUMMYFUNCTION("""COMPUTED_VALUE"""),"[]")</f>
        <v>[]</v>
      </c>
      <c r="W868" s="148">
        <f>IFERROR(__xludf.DUMMYFUNCTION("""COMPUTED_VALUE"""),1.174E7)</f>
        <v>11740000</v>
      </c>
      <c r="X868" s="148">
        <f>IFERROR(__xludf.DUMMYFUNCTION("""COMPUTED_VALUE"""),0.0)</f>
        <v>0</v>
      </c>
      <c r="Y868" s="148">
        <f>IFERROR(__xludf.DUMMYFUNCTION("""COMPUTED_VALUE"""),0.0)</f>
        <v>0</v>
      </c>
      <c r="Z868" s="148"/>
    </row>
    <row r="869">
      <c r="A869" s="148">
        <f>IFERROR(__xludf.DUMMYFUNCTION("""COMPUTED_VALUE"""),1.1112666E7)</f>
        <v>11112666</v>
      </c>
      <c r="B869" s="148" t="str">
        <f>IFERROR(__xludf.DUMMYFUNCTION("""COMPUTED_VALUE"""),"25音乐节-通用活动GACHA道具")</f>
        <v>25音乐节-通用活动GACHA道具</v>
      </c>
      <c r="C869" s="148"/>
      <c r="D869" s="148" t="str">
        <f>IFERROR(__xludf.DUMMYFUNCTION("""COMPUTED_VALUE"""),"event")</f>
        <v>event</v>
      </c>
      <c r="E869" s="148">
        <f>IFERROR(__xludf.DUMMYFUNCTION("""COMPUTED_VALUE"""),0.0)</f>
        <v>0</v>
      </c>
      <c r="F869" s="148">
        <f>IFERROR(__xludf.DUMMYFUNCTION("""COMPUTED_VALUE"""),405243.0)</f>
        <v>405243</v>
      </c>
      <c r="G869" s="148">
        <f>IFERROR(__xludf.DUMMYFUNCTION("""COMPUTED_VALUE"""),1.51102799E8)</f>
        <v>151102799</v>
      </c>
      <c r="H869" s="148">
        <f>IFERROR(__xludf.DUMMYFUNCTION("""COMPUTED_VALUE"""),1.5112564E7)</f>
        <v>15112564</v>
      </c>
      <c r="I869" s="148" t="str">
        <f>IFERROR(__xludf.DUMMYFUNCTION("""COMPUTED_VALUE"""),"{}")</f>
        <v>{}</v>
      </c>
      <c r="J869" s="148" t="str">
        <f>IFERROR(__xludf.DUMMYFUNCTION("""COMPUTED_VALUE"""),"{""typ"":""lc"",""txt"":""LC_ITEM_2025music_item_name_0""}")</f>
        <v>{"typ":"lc","txt":"LC_ITEM_2025music_item_name_0"}</v>
      </c>
      <c r="K869" s="148" t="str">
        <f>IFERROR(__xludf.DUMMYFUNCTION("""COMPUTED_VALUE"""),"{""typ"":""lc"",""txt"":""LC_ITEM_2025music_item_desc_0""}")</f>
        <v>{"typ":"lc","txt":"LC_ITEM_2025music_item_desc_0"}</v>
      </c>
      <c r="L869" s="148" t="str">
        <f>IFERROR(__xludf.DUMMYFUNCTION("""COMPUTED_VALUE"""),"{}")</f>
        <v>{}</v>
      </c>
      <c r="M869" s="148">
        <f>IFERROR(__xludf.DUMMYFUNCTION("""COMPUTED_VALUE"""),700.0)</f>
        <v>700</v>
      </c>
      <c r="N869" s="148">
        <f>IFERROR(__xludf.DUMMYFUNCTION("""COMPUTED_VALUE"""),9.99999999E8)</f>
        <v>999999999</v>
      </c>
      <c r="O869" s="148">
        <f>IFERROR(__xludf.DUMMYFUNCTION("""COMPUTED_VALUE"""),9.99999999E8)</f>
        <v>999999999</v>
      </c>
      <c r="P869" s="148">
        <f>IFERROR(__xludf.DUMMYFUNCTION("""COMPUTED_VALUE"""),9.99999999E8)</f>
        <v>999999999</v>
      </c>
      <c r="Q869" s="148" t="str">
        <f>IFERROR(__xludf.DUMMYFUNCTION("""COMPUTED_VALUE"""),"[""bag_other""]")</f>
        <v>["bag_other"]</v>
      </c>
      <c r="R869" s="148" t="str">
        <f>IFERROR(__xludf.DUMMYFUNCTION("""COMPUTED_VALUE"""),"[""bag""]")</f>
        <v>["bag"]</v>
      </c>
      <c r="S869" s="148" t="str">
        <f>IFERROR(__xludf.DUMMYFUNCTION("""COMPUTED_VALUE"""),"{}")</f>
        <v>{}</v>
      </c>
      <c r="T869" s="148">
        <f>IFERROR(__xludf.DUMMYFUNCTION("""COMPUTED_VALUE"""),1.0)</f>
        <v>1</v>
      </c>
      <c r="U869" s="148">
        <f>IFERROR(__xludf.DUMMYFUNCTION("""COMPUTED_VALUE"""),0.0)</f>
        <v>0</v>
      </c>
      <c r="V869" s="148" t="str">
        <f>IFERROR(__xludf.DUMMYFUNCTION("""COMPUTED_VALUE"""),"[]")</f>
        <v>[]</v>
      </c>
      <c r="W869" s="148">
        <f>IFERROR(__xludf.DUMMYFUNCTION("""COMPUTED_VALUE"""),1.174E7)</f>
        <v>11740000</v>
      </c>
      <c r="X869" s="148">
        <f>IFERROR(__xludf.DUMMYFUNCTION("""COMPUTED_VALUE"""),0.0)</f>
        <v>0</v>
      </c>
      <c r="Y869" s="148">
        <f>IFERROR(__xludf.DUMMYFUNCTION("""COMPUTED_VALUE"""),0.0)</f>
        <v>0</v>
      </c>
      <c r="Z869" s="148"/>
    </row>
    <row r="870">
      <c r="A870" s="148">
        <f>IFERROR(__xludf.DUMMYFUNCTION("""COMPUTED_VALUE"""),1.1112667E7)</f>
        <v>11112667</v>
      </c>
      <c r="B870" s="148" t="str">
        <f>IFERROR(__xludf.DUMMYFUNCTION("""COMPUTED_VALUE"""),"25音乐节gacha专用-增加内圈抽奖次数")</f>
        <v>25音乐节gacha专用-增加内圈抽奖次数</v>
      </c>
      <c r="C870" s="148"/>
      <c r="D870" s="148" t="str">
        <f>IFERROR(__xludf.DUMMYFUNCTION("""COMPUTED_VALUE"""),"event")</f>
        <v>event</v>
      </c>
      <c r="E870" s="148">
        <f>IFERROR(__xludf.DUMMYFUNCTION("""COMPUTED_VALUE"""),0.0)</f>
        <v>0</v>
      </c>
      <c r="F870" s="148">
        <f>IFERROR(__xludf.DUMMYFUNCTION("""COMPUTED_VALUE"""),0.0)</f>
        <v>0</v>
      </c>
      <c r="G870" s="148">
        <f>IFERROR(__xludf.DUMMYFUNCTION("""COMPUTED_VALUE"""),1.511028E8)</f>
        <v>151102800</v>
      </c>
      <c r="H870" s="148">
        <f>IFERROR(__xludf.DUMMYFUNCTION("""COMPUTED_VALUE"""),1.5112564E7)</f>
        <v>15112564</v>
      </c>
      <c r="I870" s="148" t="str">
        <f>IFERROR(__xludf.DUMMYFUNCTION("""COMPUTED_VALUE"""),"{}")</f>
        <v>{}</v>
      </c>
      <c r="J870" s="148" t="str">
        <f>IFERROR(__xludf.DUMMYFUNCTION("""COMPUTED_VALUE"""),"{""typ"":""lc"",""txt"":""LC_ITEM_2025music_item_name_1""}")</f>
        <v>{"typ":"lc","txt":"LC_ITEM_2025music_item_name_1"}</v>
      </c>
      <c r="K870" s="148" t="str">
        <f>IFERROR(__xludf.DUMMYFUNCTION("""COMPUTED_VALUE"""),"{""typ"":""lc"",""txt"":""LC_ITEM_2025music_item_desc_1""}")</f>
        <v>{"typ":"lc","txt":"LC_ITEM_2025music_item_desc_1"}</v>
      </c>
      <c r="L870" s="148" t="str">
        <f>IFERROR(__xludf.DUMMYFUNCTION("""COMPUTED_VALUE"""),"{}")</f>
        <v>{}</v>
      </c>
      <c r="M870" s="148">
        <f>IFERROR(__xludf.DUMMYFUNCTION("""COMPUTED_VALUE"""),700.0)</f>
        <v>700</v>
      </c>
      <c r="N870" s="148">
        <f>IFERROR(__xludf.DUMMYFUNCTION("""COMPUTED_VALUE"""),9.99999999E8)</f>
        <v>999999999</v>
      </c>
      <c r="O870" s="148">
        <f>IFERROR(__xludf.DUMMYFUNCTION("""COMPUTED_VALUE"""),9.99999999E8)</f>
        <v>999999999</v>
      </c>
      <c r="P870" s="148">
        <f>IFERROR(__xludf.DUMMYFUNCTION("""COMPUTED_VALUE"""),9.99999999E8)</f>
        <v>999999999</v>
      </c>
      <c r="Q870" s="148" t="str">
        <f>IFERROR(__xludf.DUMMYFUNCTION("""COMPUTED_VALUE"""),"[]")</f>
        <v>[]</v>
      </c>
      <c r="R870" s="148" t="str">
        <f>IFERROR(__xludf.DUMMYFUNCTION("""COMPUTED_VALUE"""),"[""bag""]")</f>
        <v>["bag"]</v>
      </c>
      <c r="S870" s="148" t="str">
        <f>IFERROR(__xludf.DUMMYFUNCTION("""COMPUTED_VALUE"""),"{}")</f>
        <v>{}</v>
      </c>
      <c r="T870" s="148">
        <f>IFERROR(__xludf.DUMMYFUNCTION("""COMPUTED_VALUE"""),1.0)</f>
        <v>1</v>
      </c>
      <c r="U870" s="148">
        <f>IFERROR(__xludf.DUMMYFUNCTION("""COMPUTED_VALUE"""),0.0)</f>
        <v>0</v>
      </c>
      <c r="V870" s="148" t="str">
        <f>IFERROR(__xludf.DUMMYFUNCTION("""COMPUTED_VALUE"""),"[]")</f>
        <v>[]</v>
      </c>
      <c r="W870" s="148">
        <f>IFERROR(__xludf.DUMMYFUNCTION("""COMPUTED_VALUE"""),1.174E7)</f>
        <v>11740000</v>
      </c>
      <c r="X870" s="148">
        <f>IFERROR(__xludf.DUMMYFUNCTION("""COMPUTED_VALUE"""),0.0)</f>
        <v>0</v>
      </c>
      <c r="Y870" s="148">
        <f>IFERROR(__xludf.DUMMYFUNCTION("""COMPUTED_VALUE"""),0.0)</f>
        <v>0</v>
      </c>
      <c r="Z870" s="148"/>
    </row>
    <row r="871">
      <c r="A871" s="148">
        <f>IFERROR(__xludf.DUMMYFUNCTION("""COMPUTED_VALUE"""),1.1112668E7)</f>
        <v>11112668</v>
      </c>
      <c r="B871" s="148" t="str">
        <f>IFERROR(__xludf.DUMMYFUNCTION("""COMPUTED_VALUE"""),"25音乐节gacha专用-增加大奖抽奖次数")</f>
        <v>25音乐节gacha专用-增加大奖抽奖次数</v>
      </c>
      <c r="C871" s="148"/>
      <c r="D871" s="148" t="str">
        <f>IFERROR(__xludf.DUMMYFUNCTION("""COMPUTED_VALUE"""),"event")</f>
        <v>event</v>
      </c>
      <c r="E871" s="148">
        <f>IFERROR(__xludf.DUMMYFUNCTION("""COMPUTED_VALUE"""),0.0)</f>
        <v>0</v>
      </c>
      <c r="F871" s="148">
        <f>IFERROR(__xludf.DUMMYFUNCTION("""COMPUTED_VALUE"""),0.0)</f>
        <v>0</v>
      </c>
      <c r="G871" s="148">
        <f>IFERROR(__xludf.DUMMYFUNCTION("""COMPUTED_VALUE"""),1.5116809E7)</f>
        <v>15116809</v>
      </c>
      <c r="H871" s="148">
        <f>IFERROR(__xludf.DUMMYFUNCTION("""COMPUTED_VALUE"""),1.5112564E7)</f>
        <v>15112564</v>
      </c>
      <c r="I871" s="148" t="str">
        <f>IFERROR(__xludf.DUMMYFUNCTION("""COMPUTED_VALUE"""),"{}")</f>
        <v>{}</v>
      </c>
      <c r="J871" s="148" t="str">
        <f>IFERROR(__xludf.DUMMYFUNCTION("""COMPUTED_VALUE"""),"{""typ"":""lc"",""txt"":""LC_ITEM_2023laborday_gacha_inner_item""}")</f>
        <v>{"typ":"lc","txt":"LC_ITEM_2023laborday_gacha_inner_item"}</v>
      </c>
      <c r="K871" s="148" t="str">
        <f>IFERROR(__xludf.DUMMYFUNCTION("""COMPUTED_VALUE"""),"{""typ"":""lc"",""txt"":""LC_ITEM_2023laborday_gacha_inner_item_desc""}")</f>
        <v>{"typ":"lc","txt":"LC_ITEM_2023laborday_gacha_inner_item_desc"}</v>
      </c>
      <c r="L871" s="148" t="str">
        <f>IFERROR(__xludf.DUMMYFUNCTION("""COMPUTED_VALUE"""),"{}")</f>
        <v>{}</v>
      </c>
      <c r="M871" s="148">
        <f>IFERROR(__xludf.DUMMYFUNCTION("""COMPUTED_VALUE"""),700.0)</f>
        <v>700</v>
      </c>
      <c r="N871" s="148">
        <f>IFERROR(__xludf.DUMMYFUNCTION("""COMPUTED_VALUE"""),9.99999999E8)</f>
        <v>999999999</v>
      </c>
      <c r="O871" s="148">
        <f>IFERROR(__xludf.DUMMYFUNCTION("""COMPUTED_VALUE"""),9.99999999E8)</f>
        <v>999999999</v>
      </c>
      <c r="P871" s="148">
        <f>IFERROR(__xludf.DUMMYFUNCTION("""COMPUTED_VALUE"""),9.99999999E8)</f>
        <v>999999999</v>
      </c>
      <c r="Q871" s="148" t="str">
        <f>IFERROR(__xludf.DUMMYFUNCTION("""COMPUTED_VALUE"""),"[]")</f>
        <v>[]</v>
      </c>
      <c r="R871" s="148" t="str">
        <f>IFERROR(__xludf.DUMMYFUNCTION("""COMPUTED_VALUE"""),"[""bag""]")</f>
        <v>["bag"]</v>
      </c>
      <c r="S871" s="148" t="str">
        <f>IFERROR(__xludf.DUMMYFUNCTION("""COMPUTED_VALUE"""),"{}")</f>
        <v>{}</v>
      </c>
      <c r="T871" s="148">
        <f>IFERROR(__xludf.DUMMYFUNCTION("""COMPUTED_VALUE"""),1.0)</f>
        <v>1</v>
      </c>
      <c r="U871" s="148">
        <f>IFERROR(__xludf.DUMMYFUNCTION("""COMPUTED_VALUE"""),0.0)</f>
        <v>0</v>
      </c>
      <c r="V871" s="148" t="str">
        <f>IFERROR(__xludf.DUMMYFUNCTION("""COMPUTED_VALUE"""),"[]")</f>
        <v>[]</v>
      </c>
      <c r="W871" s="148">
        <f>IFERROR(__xludf.DUMMYFUNCTION("""COMPUTED_VALUE"""),1.174E7)</f>
        <v>11740000</v>
      </c>
      <c r="X871" s="148">
        <f>IFERROR(__xludf.DUMMYFUNCTION("""COMPUTED_VALUE"""),0.0)</f>
        <v>0</v>
      </c>
      <c r="Y871" s="148">
        <f>IFERROR(__xludf.DUMMYFUNCTION("""COMPUTED_VALUE"""),0.0)</f>
        <v>0</v>
      </c>
      <c r="Z871" s="148"/>
    </row>
    <row r="872">
      <c r="A872" s="148">
        <f>IFERROR(__xludf.DUMMYFUNCTION("""COMPUTED_VALUE"""),1.1112669E7)</f>
        <v>11112669</v>
      </c>
      <c r="B872" s="148" t="str">
        <f>IFERROR(__xludf.DUMMYFUNCTION("""COMPUTED_VALUE"""),"25音乐节-装饰券宝箱")</f>
        <v>25音乐节-装饰券宝箱</v>
      </c>
      <c r="C872" s="148"/>
      <c r="D872" s="148" t="str">
        <f>IFERROR(__xludf.DUMMYFUNCTION("""COMPUTED_VALUE"""),"valentine_reward_box")</f>
        <v>valentine_reward_box</v>
      </c>
      <c r="E872" s="148">
        <f>IFERROR(__xludf.DUMMYFUNCTION("""COMPUTED_VALUE"""),19.0)</f>
        <v>19</v>
      </c>
      <c r="F872" s="148">
        <f>IFERROR(__xludf.DUMMYFUNCTION("""COMPUTED_VALUE"""),201101.0)</f>
        <v>201101</v>
      </c>
      <c r="G872" s="148">
        <f>IFERROR(__xludf.DUMMYFUNCTION("""COMPUTED_VALUE"""),1.5118225E7)</f>
        <v>15118225</v>
      </c>
      <c r="H872" s="148">
        <f>IFERROR(__xludf.DUMMYFUNCTION("""COMPUTED_VALUE"""),1.5112564E7)</f>
        <v>15112564</v>
      </c>
      <c r="I872" s="148" t="str">
        <f>IFERROR(__xludf.DUMMYFUNCTION("""COMPUTED_VALUE"""),"{}")</f>
        <v>{}</v>
      </c>
      <c r="J872" s="148" t="str">
        <f>IFERROR(__xludf.DUMMYFUNCTION("""COMPUTED_VALUE"""),"{""typ"":""lc"",""txt"":""LC_ITEM_fes_box_name""}")</f>
        <v>{"typ":"lc","txt":"LC_ITEM_fes_box_name"}</v>
      </c>
      <c r="K872" s="148" t="str">
        <f>IFERROR(__xludf.DUMMYFUNCTION("""COMPUTED_VALUE"""),"{""typ"":""lc"",""txt"":""LC_ITEM_fes_box_desc""}")</f>
        <v>{"typ":"lc","txt":"LC_ITEM_fes_box_desc"}</v>
      </c>
      <c r="L872" s="148" t="str">
        <f>IFERROR(__xludf.DUMMYFUNCTION("""COMPUTED_VALUE"""),"{""typ"":""lc"",""txt"":""LC_ITEM_horde_elite_box_usedtip""}")</f>
        <v>{"typ":"lc","txt":"LC_ITEM_horde_elite_box_usedtip"}</v>
      </c>
      <c r="M872" s="148">
        <f>IFERROR(__xludf.DUMMYFUNCTION("""COMPUTED_VALUE"""),40.0)</f>
        <v>40</v>
      </c>
      <c r="N872" s="148">
        <f>IFERROR(__xludf.DUMMYFUNCTION("""COMPUTED_VALUE"""),999999.0)</f>
        <v>999999</v>
      </c>
      <c r="O872" s="148">
        <f>IFERROR(__xludf.DUMMYFUNCTION("""COMPUTED_VALUE"""),99999.0)</f>
        <v>99999</v>
      </c>
      <c r="P872" s="148">
        <f>IFERROR(__xludf.DUMMYFUNCTION("""COMPUTED_VALUE"""),99999.0)</f>
        <v>99999</v>
      </c>
      <c r="Q872" s="148" t="str">
        <f>IFERROR(__xludf.DUMMYFUNCTION("""COMPUTED_VALUE"""),"[""bag_other""]")</f>
        <v>["bag_other"]</v>
      </c>
      <c r="R872" s="148" t="str">
        <f>IFERROR(__xludf.DUMMYFUNCTION("""COMPUTED_VALUE"""),"[""bag""]")</f>
        <v>["bag"]</v>
      </c>
      <c r="S872" s="148" t="str">
        <f>IFERROR(__xludf.DUMMYFUNCTION("""COMPUTED_VALUE"""),"{""drop"":{""typ"":""single_random"",""num"":1,""args"":[{""typ"":""item"",""id"":11112030,""num"":1000,""wgt"":19800},{""typ"":""item"",""id"":11112030,""num"":200,""wgt"":120000},{""typ"":""item"",""id"":11112030,""num"":50,""wgt"":200000},{""typ"":""it"&amp;"em"",""id"":11112671,""num"":1,""wgt"":100},{""typ"":""item"",""id"":11112205,""num"":1,""wgt"":100},{""typ"":""item"",""id"":11112030,""num"":20,""wgt"":400000},{""typ"":""item"",""id"":11112030,""num"":100,""wgt"":200000},{""typ"":""item"",""id"":111120"&amp;"30,""num"":400,""wgt"":60000}]}}")</f>
        <v>{"drop":{"typ":"single_random","num":1,"args":[{"typ":"item","id":11112030,"num":1000,"wgt":19800},{"typ":"item","id":11112030,"num":200,"wgt":120000},{"typ":"item","id":11112030,"num":50,"wgt":200000},{"typ":"item","id":11112671,"num":1,"wgt":100},{"typ":"item","id":11112205,"num":1,"wgt":100},{"typ":"item","id":11112030,"num":20,"wgt":400000},{"typ":"item","id":11112030,"num":100,"wgt":200000},{"typ":"item","id":11112030,"num":400,"wgt":60000}]}}</v>
      </c>
      <c r="T872" s="148">
        <f>IFERROR(__xludf.DUMMYFUNCTION("""COMPUTED_VALUE"""),-1.0)</f>
        <v>-1</v>
      </c>
      <c r="U872" s="148">
        <f>IFERROR(__xludf.DUMMYFUNCTION("""COMPUTED_VALUE"""),0.0)</f>
        <v>0</v>
      </c>
      <c r="V872" s="148" t="str">
        <f>IFERROR(__xludf.DUMMYFUNCTION("""COMPUTED_VALUE"""),"[]")</f>
        <v>[]</v>
      </c>
      <c r="W872" s="148">
        <f>IFERROR(__xludf.DUMMYFUNCTION("""COMPUTED_VALUE"""),1.174E7)</f>
        <v>11740000</v>
      </c>
      <c r="X872" s="148">
        <f>IFERROR(__xludf.DUMMYFUNCTION("""COMPUTED_VALUE"""),0.0)</f>
        <v>0</v>
      </c>
      <c r="Y872" s="148">
        <f>IFERROR(__xludf.DUMMYFUNCTION("""COMPUTED_VALUE"""),0.0)</f>
        <v>0</v>
      </c>
      <c r="Z872" s="148"/>
    </row>
    <row r="873">
      <c r="A873" s="148">
        <f>IFERROR(__xludf.DUMMYFUNCTION("""COMPUTED_VALUE"""),1.111267E7)</f>
        <v>11112670</v>
      </c>
      <c r="B873" s="148" t="str">
        <f>IFERROR(__xludf.DUMMYFUNCTION("""COMPUTED_VALUE"""),"组队宝箱-红包")</f>
        <v>组队宝箱-红包</v>
      </c>
      <c r="C873" s="148"/>
      <c r="D873" s="148" t="str">
        <f>IFERROR(__xludf.DUMMYFUNCTION("""COMPUTED_VALUE"""),"red_package")</f>
        <v>red_package</v>
      </c>
      <c r="E873" s="148">
        <f>IFERROR(__xludf.DUMMYFUNCTION("""COMPUTED_VALUE"""),0.0)</f>
        <v>0</v>
      </c>
      <c r="F873" s="148">
        <f>IFERROR(__xludf.DUMMYFUNCTION("""COMPUTED_VALUE"""),101101.0)</f>
        <v>101101</v>
      </c>
      <c r="G873" s="148">
        <f>IFERROR(__xludf.DUMMYFUNCTION("""COMPUTED_VALUE"""),1.51102868E8)</f>
        <v>151102868</v>
      </c>
      <c r="H873" s="148">
        <f>IFERROR(__xludf.DUMMYFUNCTION("""COMPUTED_VALUE"""),1.5112564E7)</f>
        <v>15112564</v>
      </c>
      <c r="I873" s="148" t="str">
        <f>IFERROR(__xludf.DUMMYFUNCTION("""COMPUTED_VALUE"""),"{}")</f>
        <v>{}</v>
      </c>
      <c r="J873" s="148" t="str">
        <f>IFERROR(__xludf.DUMMYFUNCTION("""COMPUTED_VALUE"""),"{""typ"":""lc"",""txt"":""LC_ITEM_musicbox_red_pack_name""}")</f>
        <v>{"typ":"lc","txt":"LC_ITEM_musicbox_red_pack_name"}</v>
      </c>
      <c r="K873" s="148" t="str">
        <f>IFERROR(__xludf.DUMMYFUNCTION("""COMPUTED_VALUE"""),"{""typ"":""lc"",""txt"":""LC_ITEM_musicbox_red_pack_desc"",""args"":[{""typ"":""int"",""val"":10}]}")</f>
        <v>{"typ":"lc","txt":"LC_ITEM_musicbox_red_pack_desc","args":[{"typ":"int","val":10}]}</v>
      </c>
      <c r="L873" s="148" t="str">
        <f>IFERROR(__xludf.DUMMYFUNCTION("""COMPUTED_VALUE"""),"{}")</f>
        <v>{}</v>
      </c>
      <c r="M873" s="148">
        <f>IFERROR(__xludf.DUMMYFUNCTION("""COMPUTED_VALUE"""),1000.0)</f>
        <v>1000</v>
      </c>
      <c r="N873" s="148">
        <f>IFERROR(__xludf.DUMMYFUNCTION("""COMPUTED_VALUE"""),999999.0)</f>
        <v>999999</v>
      </c>
      <c r="O873" s="148">
        <f>IFERROR(__xludf.DUMMYFUNCTION("""COMPUTED_VALUE"""),99999.0)</f>
        <v>99999</v>
      </c>
      <c r="P873" s="148">
        <f>IFERROR(__xludf.DUMMYFUNCTION("""COMPUTED_VALUE"""),1.0)</f>
        <v>1</v>
      </c>
      <c r="Q873" s="148" t="str">
        <f>IFERROR(__xludf.DUMMYFUNCTION("""COMPUTED_VALUE"""),"[""bag_other""]")</f>
        <v>["bag_other"]</v>
      </c>
      <c r="R873" s="148" t="str">
        <f>IFERROR(__xludf.DUMMYFUNCTION("""COMPUTED_VALUE"""),"[""bag""]")</f>
        <v>["bag"]</v>
      </c>
      <c r="S873" s="148" t="str">
        <f>IFERROR(__xludf.DUMMYFUNCTION("""COMPUTED_VALUE"""),"{""effect"":[{""typ"":""red_pack"",""id"":20290020}]}")</f>
        <v>{"effect":[{"typ":"red_pack","id":20290020}]}</v>
      </c>
      <c r="T873" s="148">
        <f>IFERROR(__xludf.DUMMYFUNCTION("""COMPUTED_VALUE"""),1.0)</f>
        <v>1</v>
      </c>
      <c r="U873" s="148">
        <f>IFERROR(__xludf.DUMMYFUNCTION("""COMPUTED_VALUE"""),0.0)</f>
        <v>0</v>
      </c>
      <c r="V873" s="148" t="str">
        <f>IFERROR(__xludf.DUMMYFUNCTION("""COMPUTED_VALUE"""),"[]")</f>
        <v>[]</v>
      </c>
      <c r="W873" s="148">
        <f>IFERROR(__xludf.DUMMYFUNCTION("""COMPUTED_VALUE"""),1.174E7)</f>
        <v>11740000</v>
      </c>
      <c r="X873" s="148">
        <f>IFERROR(__xludf.DUMMYFUNCTION("""COMPUTED_VALUE"""),0.0)</f>
        <v>0</v>
      </c>
      <c r="Y873" s="148">
        <f>IFERROR(__xludf.DUMMYFUNCTION("""COMPUTED_VALUE"""),0.0)</f>
        <v>0</v>
      </c>
      <c r="Z873" s="148"/>
    </row>
    <row r="874">
      <c r="A874" s="148">
        <f>IFERROR(__xludf.DUMMYFUNCTION("""COMPUTED_VALUE"""),1.1112671E7)</f>
        <v>11112671</v>
      </c>
      <c r="B874" s="148" t="str">
        <f>IFERROR(__xludf.DUMMYFUNCTION("""COMPUTED_VALUE"""),"主城皮肤-音乐节2025")</f>
        <v>主城皮肤-音乐节2025</v>
      </c>
      <c r="C874" s="148"/>
      <c r="D874" s="148" t="str">
        <f>IFERROR(__xludf.DUMMYFUNCTION("""COMPUTED_VALUE"""),"city_skin")</f>
        <v>city_skin</v>
      </c>
      <c r="E874" s="148">
        <f>IFERROR(__xludf.DUMMYFUNCTION("""COMPUTED_VALUE"""),21.0)</f>
        <v>21</v>
      </c>
      <c r="F874" s="148">
        <f>IFERROR(__xludf.DUMMYFUNCTION("""COMPUTED_VALUE"""),404201.0)</f>
        <v>404201</v>
      </c>
      <c r="G874" s="148">
        <f>IFERROR(__xludf.DUMMYFUNCTION("""COMPUTED_VALUE"""),1.51102853E8)</f>
        <v>151102853</v>
      </c>
      <c r="H874" s="148">
        <f>IFERROR(__xludf.DUMMYFUNCTION("""COMPUTED_VALUE"""),1.5112564E7)</f>
        <v>15112564</v>
      </c>
      <c r="I874" s="148" t="str">
        <f>IFERROR(__xludf.DUMMYFUNCTION("""COMPUTED_VALUE"""),"{}")</f>
        <v>{}</v>
      </c>
      <c r="J874" s="148" t="str">
        <f>IFERROR(__xludf.DUMMYFUNCTION("""COMPUTED_VALUE"""),"{""typ"":""lc"",""txt"":""LC_ITEM_2025music_lowcity_skin_title""}")</f>
        <v>{"typ":"lc","txt":"LC_ITEM_2025music_lowcity_skin_title"}</v>
      </c>
      <c r="K874" s="148" t="str">
        <f>IFERROR(__xludf.DUMMYFUNCTION("""COMPUTED_VALUE"""),"{""typ"":""lc"",""txt"":""LC_ITEM_2025music_lowskin_desc_forever""}")</f>
        <v>{"typ":"lc","txt":"LC_ITEM_2025music_lowskin_desc_forever"}</v>
      </c>
      <c r="L874" s="148" t="str">
        <f>IFERROR(__xludf.DUMMYFUNCTION("""COMPUTED_VALUE"""),"{""typ"":""lc"",""txt"":""LC_ITEM_city_skin_rocket_use_tips""}")</f>
        <v>{"typ":"lc","txt":"LC_ITEM_city_skin_rocket_use_tips"}</v>
      </c>
      <c r="M874" s="148">
        <f>IFERROR(__xludf.DUMMYFUNCTION("""COMPUTED_VALUE"""),10000.0)</f>
        <v>10000</v>
      </c>
      <c r="N874" s="148">
        <f>IFERROR(__xludf.DUMMYFUNCTION("""COMPUTED_VALUE"""),999.0)</f>
        <v>999</v>
      </c>
      <c r="O874" s="148">
        <f>IFERROR(__xludf.DUMMYFUNCTION("""COMPUTED_VALUE"""),1.0)</f>
        <v>1</v>
      </c>
      <c r="P874" s="148">
        <f>IFERROR(__xludf.DUMMYFUNCTION("""COMPUTED_VALUE"""),1.0)</f>
        <v>1</v>
      </c>
      <c r="Q874" s="148" t="str">
        <f>IFERROR(__xludf.DUMMYFUNCTION("""COMPUTED_VALUE"""),"[""bag_other""]")</f>
        <v>["bag_other"]</v>
      </c>
      <c r="R874" s="148" t="str">
        <f>IFERROR(__xludf.DUMMYFUNCTION("""COMPUTED_VALUE"""),"[""bag"",""13121081""]")</f>
        <v>["bag","13121081"]</v>
      </c>
      <c r="S874" s="148" t="str">
        <f>IFERROR(__xludf.DUMMYFUNCTION("""COMPUTED_VALUE"""),"{""effect"":[{""typ"":""city_skin"",""id"":13121081,""val"":-1},{""typ"":""item"",""id"":11112030,""val"":4000}]}")</f>
        <v>{"effect":[{"typ":"city_skin","id":13121081,"val":-1},{"typ":"item","id":11112030,"val":4000}]}</v>
      </c>
      <c r="T874" s="148">
        <f>IFERROR(__xludf.DUMMYFUNCTION("""COMPUTED_VALUE"""),-1.0)</f>
        <v>-1</v>
      </c>
      <c r="U874" s="148">
        <f>IFERROR(__xludf.DUMMYFUNCTION("""COMPUTED_VALUE"""),0.0)</f>
        <v>0</v>
      </c>
      <c r="V874" s="148" t="str">
        <f>IFERROR(__xludf.DUMMYFUNCTION("""COMPUTED_VALUE"""),"[]")</f>
        <v>[]</v>
      </c>
      <c r="W874" s="148">
        <f>IFERROR(__xludf.DUMMYFUNCTION("""COMPUTED_VALUE"""),1.174E7)</f>
        <v>11740000</v>
      </c>
      <c r="X874" s="148">
        <f>IFERROR(__xludf.DUMMYFUNCTION("""COMPUTED_VALUE"""),0.0)</f>
        <v>0</v>
      </c>
      <c r="Y874" s="148">
        <f>IFERROR(__xludf.DUMMYFUNCTION("""COMPUTED_VALUE"""),0.0)</f>
        <v>0</v>
      </c>
      <c r="Z874" s="148"/>
    </row>
    <row r="875">
      <c r="A875" s="148">
        <f>IFERROR(__xludf.DUMMYFUNCTION("""COMPUTED_VALUE"""),1.1112672E7)</f>
        <v>11112672</v>
      </c>
      <c r="B875" s="148" t="str">
        <f>IFERROR(__xludf.DUMMYFUNCTION("""COMPUTED_VALUE"""),"主城皮肤-音乐节2025-2天")</f>
        <v>主城皮肤-音乐节2025-2天</v>
      </c>
      <c r="C875" s="148"/>
      <c r="D875" s="148" t="str">
        <f>IFERROR(__xludf.DUMMYFUNCTION("""COMPUTED_VALUE"""),"city_skin")</f>
        <v>city_skin</v>
      </c>
      <c r="E875" s="148">
        <f>IFERROR(__xludf.DUMMYFUNCTION("""COMPUTED_VALUE"""),21.0)</f>
        <v>21</v>
      </c>
      <c r="F875" s="148">
        <f>IFERROR(__xludf.DUMMYFUNCTION("""COMPUTED_VALUE"""),404201.0)</f>
        <v>404201</v>
      </c>
      <c r="G875" s="148">
        <f>IFERROR(__xludf.DUMMYFUNCTION("""COMPUTED_VALUE"""),1.51102853E8)</f>
        <v>151102853</v>
      </c>
      <c r="H875" s="148">
        <f>IFERROR(__xludf.DUMMYFUNCTION("""COMPUTED_VALUE"""),1.5112563E7)</f>
        <v>15112563</v>
      </c>
      <c r="I875" s="148" t="str">
        <f>IFERROR(__xludf.DUMMYFUNCTION("""COMPUTED_VALUE"""),"{""typ"":""lc"",""txt"":""LC_ITEM_time_day_upper_show"",""args"":[{""typ"":""int"",""val"":2}]}")</f>
        <v>{"typ":"lc","txt":"LC_ITEM_time_day_upper_show","args":[{"typ":"int","val":2}]}</v>
      </c>
      <c r="J875" s="148" t="str">
        <f>IFERROR(__xludf.DUMMYFUNCTION("""COMPUTED_VALUE"""),"{""typ"":""lc"",""txt"":""LC_ITEM_2025music_lowcity_skin_title_2day""}")</f>
        <v>{"typ":"lc","txt":"LC_ITEM_2025music_lowcity_skin_title_2day"}</v>
      </c>
      <c r="K875" s="148" t="str">
        <f>IFERROR(__xludf.DUMMYFUNCTION("""COMPUTED_VALUE"""),"{""typ"":""lc"",""txt"":""LC_ITEM_2025music_lowskin_desc_2day""}")</f>
        <v>{"typ":"lc","txt":"LC_ITEM_2025music_lowskin_desc_2day"}</v>
      </c>
      <c r="L875" s="148" t="str">
        <f>IFERROR(__xludf.DUMMYFUNCTION("""COMPUTED_VALUE"""),"{""typ"":""lc"",""txt"":""LC_ITEM_city_skin_rocket_use_tips""}")</f>
        <v>{"typ":"lc","txt":"LC_ITEM_city_skin_rocket_use_tips"}</v>
      </c>
      <c r="M875" s="148">
        <f>IFERROR(__xludf.DUMMYFUNCTION("""COMPUTED_VALUE"""),10000.0)</f>
        <v>10000</v>
      </c>
      <c r="N875" s="148">
        <f>IFERROR(__xludf.DUMMYFUNCTION("""COMPUTED_VALUE"""),999.0)</f>
        <v>999</v>
      </c>
      <c r="O875" s="148">
        <f>IFERROR(__xludf.DUMMYFUNCTION("""COMPUTED_VALUE"""),1.0)</f>
        <v>1</v>
      </c>
      <c r="P875" s="148">
        <f>IFERROR(__xludf.DUMMYFUNCTION("""COMPUTED_VALUE"""),1.0)</f>
        <v>1</v>
      </c>
      <c r="Q875" s="148" t="str">
        <f>IFERROR(__xludf.DUMMYFUNCTION("""COMPUTED_VALUE"""),"[""bag_other""]")</f>
        <v>["bag_other"]</v>
      </c>
      <c r="R875" s="148" t="str">
        <f>IFERROR(__xludf.DUMMYFUNCTION("""COMPUTED_VALUE"""),"[""bag"",""13121081""]")</f>
        <v>["bag","13121081"]</v>
      </c>
      <c r="S875" s="148" t="str">
        <f>IFERROR(__xludf.DUMMYFUNCTION("""COMPUTED_VALUE"""),"{""effect"":[{""typ"":""city_skin"",""id"":13121081,""val"":172800000},{""typ"":""item"",""id"":11111021,""val"":1}]}")</f>
        <v>{"effect":[{"typ":"city_skin","id":13121081,"val":172800000},{"typ":"item","id":11111021,"val":1}]}</v>
      </c>
      <c r="T875" s="148">
        <f>IFERROR(__xludf.DUMMYFUNCTION("""COMPUTED_VALUE"""),-1.0)</f>
        <v>-1</v>
      </c>
      <c r="U875" s="148">
        <f>IFERROR(__xludf.DUMMYFUNCTION("""COMPUTED_VALUE"""),0.0)</f>
        <v>0</v>
      </c>
      <c r="V875" s="148" t="str">
        <f>IFERROR(__xludf.DUMMYFUNCTION("""COMPUTED_VALUE"""),"[]")</f>
        <v>[]</v>
      </c>
      <c r="W875" s="148">
        <f>IFERROR(__xludf.DUMMYFUNCTION("""COMPUTED_VALUE"""),1.174E7)</f>
        <v>11740000</v>
      </c>
      <c r="X875" s="148">
        <f>IFERROR(__xludf.DUMMYFUNCTION("""COMPUTED_VALUE"""),0.0)</f>
        <v>0</v>
      </c>
      <c r="Y875" s="148">
        <f>IFERROR(__xludf.DUMMYFUNCTION("""COMPUTED_VALUE"""),0.0)</f>
        <v>0</v>
      </c>
      <c r="Z875" s="148"/>
    </row>
    <row r="876">
      <c r="A876" s="148">
        <f>IFERROR(__xludf.DUMMYFUNCTION("""COMPUTED_VALUE"""),1.1112673E7)</f>
        <v>11112673</v>
      </c>
      <c r="B876" s="148" t="str">
        <f>IFERROR(__xludf.DUMMYFUNCTION("""COMPUTED_VALUE"""),"主城皮肤-音乐节2025-7天")</f>
        <v>主城皮肤-音乐节2025-7天</v>
      </c>
      <c r="C876" s="148"/>
      <c r="D876" s="148" t="str">
        <f>IFERROR(__xludf.DUMMYFUNCTION("""COMPUTED_VALUE"""),"city_skin")</f>
        <v>city_skin</v>
      </c>
      <c r="E876" s="148">
        <f>IFERROR(__xludf.DUMMYFUNCTION("""COMPUTED_VALUE"""),21.0)</f>
        <v>21</v>
      </c>
      <c r="F876" s="148">
        <f>IFERROR(__xludf.DUMMYFUNCTION("""COMPUTED_VALUE"""),404201.0)</f>
        <v>404201</v>
      </c>
      <c r="G876" s="148">
        <f>IFERROR(__xludf.DUMMYFUNCTION("""COMPUTED_VALUE"""),1.51102853E8)</f>
        <v>151102853</v>
      </c>
      <c r="H876" s="148">
        <f>IFERROR(__xludf.DUMMYFUNCTION("""COMPUTED_VALUE"""),1.5112564E7)</f>
        <v>15112564</v>
      </c>
      <c r="I876" s="148" t="str">
        <f>IFERROR(__xludf.DUMMYFUNCTION("""COMPUTED_VALUE"""),"{""typ"":""lc"",""txt"":""LC_ITEM_time_day_upper_show"",""args"":[{""typ"":""int"",""val"":7}]}")</f>
        <v>{"typ":"lc","txt":"LC_ITEM_time_day_upper_show","args":[{"typ":"int","val":7}]}</v>
      </c>
      <c r="J876" s="148" t="str">
        <f>IFERROR(__xludf.DUMMYFUNCTION("""COMPUTED_VALUE"""),"{""typ"":""lc"",""txt"":""LC_ITEM_2025music_lowcity_skin_title_7day""}")</f>
        <v>{"typ":"lc","txt":"LC_ITEM_2025music_lowcity_skin_title_7day"}</v>
      </c>
      <c r="K876" s="148" t="str">
        <f>IFERROR(__xludf.DUMMYFUNCTION("""COMPUTED_VALUE"""),"{""typ"":""lc"",""txt"":""LC_ITEM_2025music_lowskin_desc_7day""}")</f>
        <v>{"typ":"lc","txt":"LC_ITEM_2025music_lowskin_desc_7day"}</v>
      </c>
      <c r="L876" s="148" t="str">
        <f>IFERROR(__xludf.DUMMYFUNCTION("""COMPUTED_VALUE"""),"{""typ"":""lc"",""txt"":""LC_ITEM_city_skin_rocket_use_tips""}")</f>
        <v>{"typ":"lc","txt":"LC_ITEM_city_skin_rocket_use_tips"}</v>
      </c>
      <c r="M876" s="148">
        <f>IFERROR(__xludf.DUMMYFUNCTION("""COMPUTED_VALUE"""),10000.0)</f>
        <v>10000</v>
      </c>
      <c r="N876" s="148">
        <f>IFERROR(__xludf.DUMMYFUNCTION("""COMPUTED_VALUE"""),999.0)</f>
        <v>999</v>
      </c>
      <c r="O876" s="148">
        <f>IFERROR(__xludf.DUMMYFUNCTION("""COMPUTED_VALUE"""),1.0)</f>
        <v>1</v>
      </c>
      <c r="P876" s="148">
        <f>IFERROR(__xludf.DUMMYFUNCTION("""COMPUTED_VALUE"""),1.0)</f>
        <v>1</v>
      </c>
      <c r="Q876" s="148" t="str">
        <f>IFERROR(__xludf.DUMMYFUNCTION("""COMPUTED_VALUE"""),"[""bag_other""]")</f>
        <v>["bag_other"]</v>
      </c>
      <c r="R876" s="148" t="str">
        <f>IFERROR(__xludf.DUMMYFUNCTION("""COMPUTED_VALUE"""),"[""bag"",""13121081""]")</f>
        <v>["bag","13121081"]</v>
      </c>
      <c r="S876" s="148" t="str">
        <f>IFERROR(__xludf.DUMMYFUNCTION("""COMPUTED_VALUE"""),"{""effect"":[{""typ"":""city_skin"",""id"":13121081,""val"":604800000},{""typ"":""item"",""id"":11111021,""val"":3}]}")</f>
        <v>{"effect":[{"typ":"city_skin","id":13121081,"val":604800000},{"typ":"item","id":11111021,"val":3}]}</v>
      </c>
      <c r="T876" s="148">
        <f>IFERROR(__xludf.DUMMYFUNCTION("""COMPUTED_VALUE"""),-1.0)</f>
        <v>-1</v>
      </c>
      <c r="U876" s="148">
        <f>IFERROR(__xludf.DUMMYFUNCTION("""COMPUTED_VALUE"""),0.0)</f>
        <v>0</v>
      </c>
      <c r="V876" s="148" t="str">
        <f>IFERROR(__xludf.DUMMYFUNCTION("""COMPUTED_VALUE"""),"[]")</f>
        <v>[]</v>
      </c>
      <c r="W876" s="148">
        <f>IFERROR(__xludf.DUMMYFUNCTION("""COMPUTED_VALUE"""),1.174E7)</f>
        <v>11740000</v>
      </c>
      <c r="X876" s="148">
        <f>IFERROR(__xludf.DUMMYFUNCTION("""COMPUTED_VALUE"""),0.0)</f>
        <v>0</v>
      </c>
      <c r="Y876" s="148">
        <f>IFERROR(__xludf.DUMMYFUNCTION("""COMPUTED_VALUE"""),0.0)</f>
        <v>0</v>
      </c>
      <c r="Z876" s="148"/>
    </row>
    <row r="877">
      <c r="A877" s="148">
        <f>IFERROR(__xludf.DUMMYFUNCTION("""COMPUTED_VALUE"""),1.1112674E7)</f>
        <v>11112674</v>
      </c>
      <c r="B877" s="148" t="str">
        <f>IFERROR(__xludf.DUMMYFUNCTION("""COMPUTED_VALUE"""),"主城皮肤-音乐节2025-14天")</f>
        <v>主城皮肤-音乐节2025-14天</v>
      </c>
      <c r="C877" s="148"/>
      <c r="D877" s="148" t="str">
        <f>IFERROR(__xludf.DUMMYFUNCTION("""COMPUTED_VALUE"""),"city_skin")</f>
        <v>city_skin</v>
      </c>
      <c r="E877" s="148">
        <f>IFERROR(__xludf.DUMMYFUNCTION("""COMPUTED_VALUE"""),21.0)</f>
        <v>21</v>
      </c>
      <c r="F877" s="148">
        <f>IFERROR(__xludf.DUMMYFUNCTION("""COMPUTED_VALUE"""),404201.0)</f>
        <v>404201</v>
      </c>
      <c r="G877" s="148">
        <f>IFERROR(__xludf.DUMMYFUNCTION("""COMPUTED_VALUE"""),1.51102853E8)</f>
        <v>151102853</v>
      </c>
      <c r="H877" s="148">
        <f>IFERROR(__xludf.DUMMYFUNCTION("""COMPUTED_VALUE"""),1.5112564E7)</f>
        <v>15112564</v>
      </c>
      <c r="I877" s="148" t="str">
        <f>IFERROR(__xludf.DUMMYFUNCTION("""COMPUTED_VALUE"""),"{""typ"":""lc"",""txt"":""LC_ITEM_time_day_upper_show"",""args"":[{""typ"":""int"",""val"":14}]}")</f>
        <v>{"typ":"lc","txt":"LC_ITEM_time_day_upper_show","args":[{"typ":"int","val":14}]}</v>
      </c>
      <c r="J877" s="148" t="str">
        <f>IFERROR(__xludf.DUMMYFUNCTION("""COMPUTED_VALUE"""),"{""typ"":""lc"",""txt"":""LC_ITEM_2025music_lowcity_skin_title_14day""}")</f>
        <v>{"typ":"lc","txt":"LC_ITEM_2025music_lowcity_skin_title_14day"}</v>
      </c>
      <c r="K877" s="148" t="str">
        <f>IFERROR(__xludf.DUMMYFUNCTION("""COMPUTED_VALUE"""),"{""typ"":""lc"",""txt"":""LC_ITEM_2025music_lowskin_desc_14day""}")</f>
        <v>{"typ":"lc","txt":"LC_ITEM_2025music_lowskin_desc_14day"}</v>
      </c>
      <c r="L877" s="148" t="str">
        <f>IFERROR(__xludf.DUMMYFUNCTION("""COMPUTED_VALUE"""),"{""typ"":""lc"",""txt"":""LC_ITEM_city_skin_rocket_use_tips""}")</f>
        <v>{"typ":"lc","txt":"LC_ITEM_city_skin_rocket_use_tips"}</v>
      </c>
      <c r="M877" s="148">
        <f>IFERROR(__xludf.DUMMYFUNCTION("""COMPUTED_VALUE"""),10000.0)</f>
        <v>10000</v>
      </c>
      <c r="N877" s="148">
        <f>IFERROR(__xludf.DUMMYFUNCTION("""COMPUTED_VALUE"""),999.0)</f>
        <v>999</v>
      </c>
      <c r="O877" s="148">
        <f>IFERROR(__xludf.DUMMYFUNCTION("""COMPUTED_VALUE"""),1.0)</f>
        <v>1</v>
      </c>
      <c r="P877" s="148">
        <f>IFERROR(__xludf.DUMMYFUNCTION("""COMPUTED_VALUE"""),1.0)</f>
        <v>1</v>
      </c>
      <c r="Q877" s="148" t="str">
        <f>IFERROR(__xludf.DUMMYFUNCTION("""COMPUTED_VALUE"""),"[""bag_other""]")</f>
        <v>["bag_other"]</v>
      </c>
      <c r="R877" s="148" t="str">
        <f>IFERROR(__xludf.DUMMYFUNCTION("""COMPUTED_VALUE"""),"[""bag"",""13121081""]")</f>
        <v>["bag","13121081"]</v>
      </c>
      <c r="S877" s="148" t="str">
        <f>IFERROR(__xludf.DUMMYFUNCTION("""COMPUTED_VALUE"""),"{""effect"":[{""typ"":""city_skin"",""id"":13121081,""val"":1209600000},{""typ"":""item"",""id"":11111021,""val"":7}]}")</f>
        <v>{"effect":[{"typ":"city_skin","id":13121081,"val":1209600000},{"typ":"item","id":11111021,"val":7}]}</v>
      </c>
      <c r="T877" s="148">
        <f>IFERROR(__xludf.DUMMYFUNCTION("""COMPUTED_VALUE"""),-1.0)</f>
        <v>-1</v>
      </c>
      <c r="U877" s="148">
        <f>IFERROR(__xludf.DUMMYFUNCTION("""COMPUTED_VALUE"""),0.0)</f>
        <v>0</v>
      </c>
      <c r="V877" s="148" t="str">
        <f>IFERROR(__xludf.DUMMYFUNCTION("""COMPUTED_VALUE"""),"[]")</f>
        <v>[]</v>
      </c>
      <c r="W877" s="148">
        <f>IFERROR(__xludf.DUMMYFUNCTION("""COMPUTED_VALUE"""),1.174E7)</f>
        <v>11740000</v>
      </c>
      <c r="X877" s="148">
        <f>IFERROR(__xludf.DUMMYFUNCTION("""COMPUTED_VALUE"""),0.0)</f>
        <v>0</v>
      </c>
      <c r="Y877" s="148">
        <f>IFERROR(__xludf.DUMMYFUNCTION("""COMPUTED_VALUE"""),0.0)</f>
        <v>0</v>
      </c>
      <c r="Z877" s="148"/>
    </row>
    <row r="878">
      <c r="A878" s="148">
        <f>IFERROR(__xludf.DUMMYFUNCTION("""COMPUTED_VALUE"""),1.1112675E7)</f>
        <v>11112675</v>
      </c>
      <c r="B878" s="148" t="str">
        <f>IFERROR(__xludf.DUMMYFUNCTION("""COMPUTED_VALUE"""),"2025音乐节-装饰升级版本（投放用）")</f>
        <v>2025音乐节-装饰升级版本（投放用）</v>
      </c>
      <c r="C878" s="148"/>
      <c r="D878" s="148" t="str">
        <f>IFERROR(__xludf.DUMMYFUNCTION("""COMPUTED_VALUE"""),"statue_decorate")</f>
        <v>statue_decorate</v>
      </c>
      <c r="E878" s="148">
        <f>IFERROR(__xludf.DUMMYFUNCTION("""COMPUTED_VALUE"""),23.0)</f>
        <v>23</v>
      </c>
      <c r="F878" s="148">
        <f>IFERROR(__xludf.DUMMYFUNCTION("""COMPUTED_VALUE"""),0.0)</f>
        <v>0</v>
      </c>
      <c r="G878" s="148">
        <f>IFERROR(__xludf.DUMMYFUNCTION("""COMPUTED_VALUE"""),1.51102852E8)</f>
        <v>151102852</v>
      </c>
      <c r="H878" s="148">
        <f>IFERROR(__xludf.DUMMYFUNCTION("""COMPUTED_VALUE"""),1.5112564E7)</f>
        <v>15112564</v>
      </c>
      <c r="I878" s="148" t="str">
        <f>IFERROR(__xludf.DUMMYFUNCTION("""COMPUTED_VALUE"""),"{}")</f>
        <v>{}</v>
      </c>
      <c r="J878" s="148" t="str">
        <f>IFERROR(__xludf.DUMMYFUNCTION("""COMPUTED_VALUE"""),"{""typ"":""lc"",""txt"":""LC_ITEM_2025music_dec_item_2""}")</f>
        <v>{"typ":"lc","txt":"LC_ITEM_2025music_dec_item_2"}</v>
      </c>
      <c r="K878" s="148" t="str">
        <f>IFERROR(__xludf.DUMMYFUNCTION("""COMPUTED_VALUE"""),"{""typ"":""lc"",""txt"":""LC_ITEM_2025music_dec_item_3_desc""}")</f>
        <v>{"typ":"lc","txt":"LC_ITEM_2025music_dec_item_3_desc"}</v>
      </c>
      <c r="L878" s="148" t="str">
        <f>IFERROR(__xludf.DUMMYFUNCTION("""COMPUTED_VALUE"""),"{}")</f>
        <v>{}</v>
      </c>
      <c r="M878" s="148">
        <f>IFERROR(__xludf.DUMMYFUNCTION("""COMPUTED_VALUE"""),5000.0)</f>
        <v>5000</v>
      </c>
      <c r="N878" s="148">
        <f>IFERROR(__xludf.DUMMYFUNCTION("""COMPUTED_VALUE"""),999.0)</f>
        <v>999</v>
      </c>
      <c r="O878" s="148">
        <f>IFERROR(__xludf.DUMMYFUNCTION("""COMPUTED_VALUE"""),99999.0)</f>
        <v>99999</v>
      </c>
      <c r="P878" s="148">
        <f>IFERROR(__xludf.DUMMYFUNCTION("""COMPUTED_VALUE"""),99999.0)</f>
        <v>99999</v>
      </c>
      <c r="Q878" s="148" t="str">
        <f>IFERROR(__xludf.DUMMYFUNCTION("""COMPUTED_VALUE"""),"[]")</f>
        <v>[]</v>
      </c>
      <c r="R878" s="148" t="str">
        <f>IFERROR(__xludf.DUMMYFUNCTION("""COMPUTED_VALUE"""),"[""bag""]")</f>
        <v>["bag"]</v>
      </c>
      <c r="S878" s="148" t="str">
        <f>IFERROR(__xludf.DUMMYFUNCTION("""COMPUTED_VALUE"""),"{""effect"":[{""typ"":""holiday_statue"",""id"":21483501}]}")</f>
        <v>{"effect":[{"typ":"holiday_statue","id":21483501}]}</v>
      </c>
      <c r="T878" s="148">
        <f>IFERROR(__xludf.DUMMYFUNCTION("""COMPUTED_VALUE"""),-1.0)</f>
        <v>-1</v>
      </c>
      <c r="U878" s="148">
        <f>IFERROR(__xludf.DUMMYFUNCTION("""COMPUTED_VALUE"""),1.0)</f>
        <v>1</v>
      </c>
      <c r="V878" s="148" t="str">
        <f>IFERROR(__xludf.DUMMYFUNCTION("""COMPUTED_VALUE"""),"[]")</f>
        <v>[]</v>
      </c>
      <c r="W878" s="148">
        <f>IFERROR(__xludf.DUMMYFUNCTION("""COMPUTED_VALUE"""),1.174E7)</f>
        <v>11740000</v>
      </c>
      <c r="X878" s="148">
        <f>IFERROR(__xludf.DUMMYFUNCTION("""COMPUTED_VALUE"""),0.0)</f>
        <v>0</v>
      </c>
      <c r="Y878" s="148">
        <f>IFERROR(__xludf.DUMMYFUNCTION("""COMPUTED_VALUE"""),0.0)</f>
        <v>0</v>
      </c>
      <c r="Z878" s="148"/>
    </row>
    <row r="879">
      <c r="A879" s="148">
        <f>IFERROR(__xludf.DUMMYFUNCTION("""COMPUTED_VALUE"""),1.1112676E7)</f>
        <v>11112676</v>
      </c>
      <c r="B879" s="148" t="str">
        <f>IFERROR(__xludf.DUMMYFUNCTION("""COMPUTED_VALUE"""),"2025音乐节-装饰升级道具")</f>
        <v>2025音乐节-装饰升级道具</v>
      </c>
      <c r="C879" s="148"/>
      <c r="D879" s="148" t="str">
        <f>IFERROR(__xludf.DUMMYFUNCTION("""COMPUTED_VALUE"""),"event")</f>
        <v>event</v>
      </c>
      <c r="E879" s="148">
        <f>IFERROR(__xludf.DUMMYFUNCTION("""COMPUTED_VALUE"""),0.0)</f>
        <v>0</v>
      </c>
      <c r="F879" s="148">
        <f>IFERROR(__xludf.DUMMYFUNCTION("""COMPUTED_VALUE"""),405243.0)</f>
        <v>405243</v>
      </c>
      <c r="G879" s="148">
        <f>IFERROR(__xludf.DUMMYFUNCTION("""COMPUTED_VALUE"""),1.51102852E8)</f>
        <v>151102852</v>
      </c>
      <c r="H879" s="148">
        <f>IFERROR(__xludf.DUMMYFUNCTION("""COMPUTED_VALUE"""),1.5112564E7)</f>
        <v>15112564</v>
      </c>
      <c r="I879" s="148" t="str">
        <f>IFERROR(__xludf.DUMMYFUNCTION("""COMPUTED_VALUE"""),"{}")</f>
        <v>{}</v>
      </c>
      <c r="J879" s="148" t="str">
        <f>IFERROR(__xludf.DUMMYFUNCTION("""COMPUTED_VALUE"""),"{""typ"":""lc"",""txt"":""LC_ITEM_2025music_dec_item_2""}")</f>
        <v>{"typ":"lc","txt":"LC_ITEM_2025music_dec_item_2"}</v>
      </c>
      <c r="K879" s="148" t="str">
        <f>IFERROR(__xludf.DUMMYFUNCTION("""COMPUTED_VALUE"""),"{""typ"":""lc"",""txt"":""LC_ITEM_2025music_dec_item_3_desc""}")</f>
        <v>{"typ":"lc","txt":"LC_ITEM_2025music_dec_item_3_desc"}</v>
      </c>
      <c r="L879" s="148" t="str">
        <f>IFERROR(__xludf.DUMMYFUNCTION("""COMPUTED_VALUE"""),"{}")</f>
        <v>{}</v>
      </c>
      <c r="M879" s="148">
        <f>IFERROR(__xludf.DUMMYFUNCTION("""COMPUTED_VALUE"""),1000.0)</f>
        <v>1000</v>
      </c>
      <c r="N879" s="148">
        <f>IFERROR(__xludf.DUMMYFUNCTION("""COMPUTED_VALUE"""),9.99999999E8)</f>
        <v>999999999</v>
      </c>
      <c r="O879" s="148">
        <f>IFERROR(__xludf.DUMMYFUNCTION("""COMPUTED_VALUE"""),9.99999999E8)</f>
        <v>999999999</v>
      </c>
      <c r="P879" s="148">
        <f>IFERROR(__xludf.DUMMYFUNCTION("""COMPUTED_VALUE"""),9.99999999E8)</f>
        <v>999999999</v>
      </c>
      <c r="Q879" s="148" t="str">
        <f>IFERROR(__xludf.DUMMYFUNCTION("""COMPUTED_VALUE"""),"[""bag_other""]")</f>
        <v>["bag_other"]</v>
      </c>
      <c r="R879" s="148" t="str">
        <f>IFERROR(__xludf.DUMMYFUNCTION("""COMPUTED_VALUE"""),"[]")</f>
        <v>[]</v>
      </c>
      <c r="S879" s="148" t="str">
        <f>IFERROR(__xludf.DUMMYFUNCTION("""COMPUTED_VALUE"""),"{}")</f>
        <v>{}</v>
      </c>
      <c r="T879" s="148">
        <f>IFERROR(__xludf.DUMMYFUNCTION("""COMPUTED_VALUE"""),-1.0)</f>
        <v>-1</v>
      </c>
      <c r="U879" s="148">
        <f>IFERROR(__xludf.DUMMYFUNCTION("""COMPUTED_VALUE"""),0.0)</f>
        <v>0</v>
      </c>
      <c r="V879" s="148" t="str">
        <f>IFERROR(__xludf.DUMMYFUNCTION("""COMPUTED_VALUE"""),"[]")</f>
        <v>[]</v>
      </c>
      <c r="W879" s="148">
        <f>IFERROR(__xludf.DUMMYFUNCTION("""COMPUTED_VALUE"""),1.174E7)</f>
        <v>11740000</v>
      </c>
      <c r="X879" s="148">
        <f>IFERROR(__xludf.DUMMYFUNCTION("""COMPUTED_VALUE"""),0.0)</f>
        <v>0</v>
      </c>
      <c r="Y879" s="148">
        <f>IFERROR(__xludf.DUMMYFUNCTION("""COMPUTED_VALUE"""),0.0)</f>
        <v>0</v>
      </c>
      <c r="Z879" s="148"/>
    </row>
    <row r="880">
      <c r="A880" s="148">
        <f>IFERROR(__xludf.DUMMYFUNCTION("""COMPUTED_VALUE"""),1.1112677E7)</f>
        <v>11112677</v>
      </c>
      <c r="B880" s="148" t="str">
        <f>IFERROR(__xludf.DUMMYFUNCTION("""COMPUTED_VALUE"""),"组队活动-排行积分道具")</f>
        <v>组队活动-排行积分道具</v>
      </c>
      <c r="C880" s="148"/>
      <c r="D880" s="148" t="str">
        <f>IFERROR(__xludf.DUMMYFUNCTION("""COMPUTED_VALUE"""),"item_asset")</f>
        <v>item_asset</v>
      </c>
      <c r="E880" s="148">
        <f>IFERROR(__xludf.DUMMYFUNCTION("""COMPUTED_VALUE"""),19.0)</f>
        <v>19</v>
      </c>
      <c r="F880" s="148">
        <f>IFERROR(__xludf.DUMMYFUNCTION("""COMPUTED_VALUE"""),201101.0)</f>
        <v>201101</v>
      </c>
      <c r="G880" s="148">
        <f>IFERROR(__xludf.DUMMYFUNCTION("""COMPUTED_VALUE"""),1.5114759E7)</f>
        <v>15114759</v>
      </c>
      <c r="H880" s="148">
        <f>IFERROR(__xludf.DUMMYFUNCTION("""COMPUTED_VALUE"""),1.5112564E7)</f>
        <v>15112564</v>
      </c>
      <c r="I880" s="148" t="str">
        <f>IFERROR(__xludf.DUMMYFUNCTION("""COMPUTED_VALUE"""),"{}")</f>
        <v>{}</v>
      </c>
      <c r="J880" s="148" t="str">
        <f>IFERROR(__xludf.DUMMYFUNCTION("""COMPUTED_VALUE"""),"{""typ"":""lc"",""txt"":""LC_ITEM_music_rank_point_name""}")</f>
        <v>{"typ":"lc","txt":"LC_ITEM_music_rank_point_name"}</v>
      </c>
      <c r="K880" s="148" t="str">
        <f>IFERROR(__xludf.DUMMYFUNCTION("""COMPUTED_VALUE"""),"{""typ"":""lc"",""txt"":""LC_ITEM_music_rank_point_desc""}")</f>
        <v>{"typ":"lc","txt":"LC_ITEM_music_rank_point_desc"}</v>
      </c>
      <c r="L880" s="148" t="str">
        <f>IFERROR(__xludf.DUMMYFUNCTION("""COMPUTED_VALUE"""),"{""typ"":""lc"",""txt"":""LC_ITEM_horde_elite_box_usedtip""}")</f>
        <v>{"typ":"lc","txt":"LC_ITEM_horde_elite_box_usedtip"}</v>
      </c>
      <c r="M880" s="148">
        <f>IFERROR(__xludf.DUMMYFUNCTION("""COMPUTED_VALUE"""),40.0)</f>
        <v>40</v>
      </c>
      <c r="N880" s="148">
        <f>IFERROR(__xludf.DUMMYFUNCTION("""COMPUTED_VALUE"""),999999.0)</f>
        <v>999999</v>
      </c>
      <c r="O880" s="148">
        <f>IFERROR(__xludf.DUMMYFUNCTION("""COMPUTED_VALUE"""),99999.0)</f>
        <v>99999</v>
      </c>
      <c r="P880" s="148">
        <f>IFERROR(__xludf.DUMMYFUNCTION("""COMPUTED_VALUE"""),99999.0)</f>
        <v>99999</v>
      </c>
      <c r="Q880" s="148" t="str">
        <f>IFERROR(__xludf.DUMMYFUNCTION("""COMPUTED_VALUE"""),"[]")</f>
        <v>[]</v>
      </c>
      <c r="R880" s="148" t="str">
        <f>IFERROR(__xludf.DUMMYFUNCTION("""COMPUTED_VALUE"""),"[]")</f>
        <v>[]</v>
      </c>
      <c r="S880" s="148" t="str">
        <f>IFERROR(__xludf.DUMMYFUNCTION("""COMPUTED_VALUE"""),"{}")</f>
        <v>{}</v>
      </c>
      <c r="T880" s="148">
        <f>IFERROR(__xludf.DUMMYFUNCTION("""COMPUTED_VALUE"""),-1.0)</f>
        <v>-1</v>
      </c>
      <c r="U880" s="148">
        <f>IFERROR(__xludf.DUMMYFUNCTION("""COMPUTED_VALUE"""),1.0)</f>
        <v>1</v>
      </c>
      <c r="V880" s="148" t="str">
        <f>IFERROR(__xludf.DUMMYFUNCTION("""COMPUTED_VALUE"""),"[]")</f>
        <v>[]</v>
      </c>
      <c r="W880" s="148">
        <f>IFERROR(__xludf.DUMMYFUNCTION("""COMPUTED_VALUE"""),1.174E7)</f>
        <v>11740000</v>
      </c>
      <c r="X880" s="148">
        <f>IFERROR(__xludf.DUMMYFUNCTION("""COMPUTED_VALUE"""),0.0)</f>
        <v>0</v>
      </c>
      <c r="Y880" s="148">
        <f>IFERROR(__xludf.DUMMYFUNCTION("""COMPUTED_VALUE"""),0.0)</f>
        <v>0</v>
      </c>
      <c r="Z880" s="148"/>
    </row>
    <row r="881">
      <c r="A881" s="148">
        <f>IFERROR(__xludf.DUMMYFUNCTION("""COMPUTED_VALUE"""),1.1112678E7)</f>
        <v>11112678</v>
      </c>
      <c r="B881" s="148" t="str">
        <f>IFERROR(__xludf.DUMMYFUNCTION("""COMPUTED_VALUE"""),"涂饰-2025音乐节-涂饰道具-一天")</f>
        <v>涂饰-2025音乐节-涂饰道具-一天</v>
      </c>
      <c r="C881" s="148"/>
      <c r="D881" s="148" t="str">
        <f>IFERROR(__xludf.DUMMYFUNCTION("""COMPUTED_VALUE"""),"decorate_paint")</f>
        <v>decorate_paint</v>
      </c>
      <c r="E881" s="148">
        <f>IFERROR(__xludf.DUMMYFUNCTION("""COMPUTED_VALUE"""),0.0)</f>
        <v>0</v>
      </c>
      <c r="F881" s="148">
        <f>IFERROR(__xludf.DUMMYFUNCTION("""COMPUTED_VALUE"""),0.0)</f>
        <v>0</v>
      </c>
      <c r="G881" s="148">
        <f>IFERROR(__xludf.DUMMYFUNCTION("""COMPUTED_VALUE"""),1.51102909E8)</f>
        <v>151102909</v>
      </c>
      <c r="H881" s="148">
        <f>IFERROR(__xludf.DUMMYFUNCTION("""COMPUTED_VALUE"""),1.5112564E7)</f>
        <v>15112564</v>
      </c>
      <c r="I881" s="148" t="str">
        <f>IFERROR(__xludf.DUMMYFUNCTION("""COMPUTED_VALUE"""),"{}")</f>
        <v>{}</v>
      </c>
      <c r="J881" s="148" t="str">
        <f>IFERROR(__xludf.DUMMYFUNCTION("""COMPUTED_VALUE"""),"{""typ"":""lc"",""txt"":""LC_ITEM_music_paint_decoration_paint_name""}")</f>
        <v>{"typ":"lc","txt":"LC_ITEM_music_paint_decoration_paint_name"}</v>
      </c>
      <c r="K881" s="148" t="str">
        <f>IFERROR(__xludf.DUMMYFUNCTION("""COMPUTED_VALUE"""),"{""typ"":""lc"",""txt"":""LC_ITEM_music_paint_decoration_paint_desc""}")</f>
        <v>{"typ":"lc","txt":"LC_ITEM_music_paint_decoration_paint_desc"}</v>
      </c>
      <c r="L881" s="148" t="str">
        <f>IFERROR(__xludf.DUMMYFUNCTION("""COMPUTED_VALUE"""),"{""typ"":""lc"",""txt"":""LC_TIP_use_success""}")</f>
        <v>{"typ":"lc","txt":"LC_TIP_use_success"}</v>
      </c>
      <c r="M881" s="148">
        <f>IFERROR(__xludf.DUMMYFUNCTION("""COMPUTED_VALUE"""),1000.0)</f>
        <v>1000</v>
      </c>
      <c r="N881" s="148">
        <f>IFERROR(__xludf.DUMMYFUNCTION("""COMPUTED_VALUE"""),9.99999999E8)</f>
        <v>999999999</v>
      </c>
      <c r="O881" s="148">
        <f>IFERROR(__xludf.DUMMYFUNCTION("""COMPUTED_VALUE"""),9.99999999E8)</f>
        <v>999999999</v>
      </c>
      <c r="P881" s="148">
        <f>IFERROR(__xludf.DUMMYFUNCTION("""COMPUTED_VALUE"""),1.0)</f>
        <v>1</v>
      </c>
      <c r="Q881" s="148" t="str">
        <f>IFERROR(__xludf.DUMMYFUNCTION("""COMPUTED_VALUE"""),"[""bag_other""]")</f>
        <v>["bag_other"]</v>
      </c>
      <c r="R881" s="148" t="str">
        <f>IFERROR(__xludf.DUMMYFUNCTION("""COMPUTED_VALUE"""),"[""bag"",""214835""]")</f>
        <v>["bag","214835"]</v>
      </c>
      <c r="S881" s="148" t="str">
        <f>IFERROR(__xludf.DUMMYFUNCTION("""COMPUTED_VALUE"""),"{""effect"":[{""typ"":""decorate_paint"",""id"":214835,""val"":86400000},{""typ"":""item"",""id"":11112678,""val"":1}]}")</f>
        <v>{"effect":[{"typ":"decorate_paint","id":214835,"val":86400000},{"typ":"item","id":11112678,"val":1}]}</v>
      </c>
      <c r="T881" s="148">
        <f>IFERROR(__xludf.DUMMYFUNCTION("""COMPUTED_VALUE"""),-1.0)</f>
        <v>-1</v>
      </c>
      <c r="U881" s="148">
        <f>IFERROR(__xludf.DUMMYFUNCTION("""COMPUTED_VALUE"""),0.0)</f>
        <v>0</v>
      </c>
      <c r="V881" s="148" t="str">
        <f>IFERROR(__xludf.DUMMYFUNCTION("""COMPUTED_VALUE"""),"[]")</f>
        <v>[]</v>
      </c>
      <c r="W881" s="148">
        <f>IFERROR(__xludf.DUMMYFUNCTION("""COMPUTED_VALUE"""),1.174E7)</f>
        <v>11740000</v>
      </c>
      <c r="X881" s="148">
        <f>IFERROR(__xludf.DUMMYFUNCTION("""COMPUTED_VALUE"""),1.1684615E7)</f>
        <v>11684615</v>
      </c>
      <c r="Y881" s="148">
        <f>IFERROR(__xludf.DUMMYFUNCTION("""COMPUTED_VALUE"""),0.0)</f>
        <v>0</v>
      </c>
      <c r="Z881" s="148"/>
    </row>
    <row r="882">
      <c r="A882" s="148">
        <f>IFERROR(__xludf.DUMMYFUNCTION("""COMPUTED_VALUE"""),1.1112679E7)</f>
        <v>11112679</v>
      </c>
      <c r="B882" s="148" t="str">
        <f>IFERROR(__xludf.DUMMYFUNCTION("""COMPUTED_VALUE"""),"2025万圣节-装饰升级版本（投放用）")</f>
        <v>2025万圣节-装饰升级版本（投放用）</v>
      </c>
      <c r="C882" s="148"/>
      <c r="D882" s="148" t="str">
        <f>IFERROR(__xludf.DUMMYFUNCTION("""COMPUTED_VALUE"""),"statue_decorate")</f>
        <v>statue_decorate</v>
      </c>
      <c r="E882" s="148">
        <f>IFERROR(__xludf.DUMMYFUNCTION("""COMPUTED_VALUE"""),23.0)</f>
        <v>23</v>
      </c>
      <c r="F882" s="148">
        <f>IFERROR(__xludf.DUMMYFUNCTION("""COMPUTED_VALUE"""),0.0)</f>
        <v>0</v>
      </c>
      <c r="G882" s="148">
        <f>IFERROR(__xludf.DUMMYFUNCTION("""COMPUTED_VALUE"""),1.51103E8)</f>
        <v>151103000</v>
      </c>
      <c r="H882" s="148">
        <f>IFERROR(__xludf.DUMMYFUNCTION("""COMPUTED_VALUE"""),1.5112564E7)</f>
        <v>15112564</v>
      </c>
      <c r="I882" s="148" t="str">
        <f>IFERROR(__xludf.DUMMYFUNCTION("""COMPUTED_VALUE"""),"{}")</f>
        <v>{}</v>
      </c>
      <c r="J882" s="148" t="str">
        <f>IFERROR(__xludf.DUMMYFUNCTION("""COMPUTED_VALUE"""),"{""typ"":""lc"",""txt"":""LC_ITEM_2025halloween_dec_item_2""}")</f>
        <v>{"typ":"lc","txt":"LC_ITEM_2025halloween_dec_item_2"}</v>
      </c>
      <c r="K882" s="148" t="str">
        <f>IFERROR(__xludf.DUMMYFUNCTION("""COMPUTED_VALUE"""),"{""typ"":""lc"",""txt"":""LC_ITEM_2025halloween_dec_item_3_desc""}")</f>
        <v>{"typ":"lc","txt":"LC_ITEM_2025halloween_dec_item_3_desc"}</v>
      </c>
      <c r="L882" s="148" t="str">
        <f>IFERROR(__xludf.DUMMYFUNCTION("""COMPUTED_VALUE"""),"{}")</f>
        <v>{}</v>
      </c>
      <c r="M882" s="148">
        <f>IFERROR(__xludf.DUMMYFUNCTION("""COMPUTED_VALUE"""),5000.0)</f>
        <v>5000</v>
      </c>
      <c r="N882" s="148">
        <f>IFERROR(__xludf.DUMMYFUNCTION("""COMPUTED_VALUE"""),999.0)</f>
        <v>999</v>
      </c>
      <c r="O882" s="148">
        <f>IFERROR(__xludf.DUMMYFUNCTION("""COMPUTED_VALUE"""),99999.0)</f>
        <v>99999</v>
      </c>
      <c r="P882" s="148">
        <f>IFERROR(__xludf.DUMMYFUNCTION("""COMPUTED_VALUE"""),99999.0)</f>
        <v>99999</v>
      </c>
      <c r="Q882" s="148" t="str">
        <f>IFERROR(__xludf.DUMMYFUNCTION("""COMPUTED_VALUE"""),"[]")</f>
        <v>[]</v>
      </c>
      <c r="R882" s="148" t="str">
        <f>IFERROR(__xludf.DUMMYFUNCTION("""COMPUTED_VALUE"""),"[""bag""]")</f>
        <v>["bag"]</v>
      </c>
      <c r="S882" s="148" t="str">
        <f>IFERROR(__xludf.DUMMYFUNCTION("""COMPUTED_VALUE"""),"{""effect"":[{""typ"":""holiday_statue"",""id"":21483601}]}")</f>
        <v>{"effect":[{"typ":"holiday_statue","id":21483601}]}</v>
      </c>
      <c r="T882" s="148">
        <f>IFERROR(__xludf.DUMMYFUNCTION("""COMPUTED_VALUE"""),-1.0)</f>
        <v>-1</v>
      </c>
      <c r="U882" s="148">
        <f>IFERROR(__xludf.DUMMYFUNCTION("""COMPUTED_VALUE"""),1.0)</f>
        <v>1</v>
      </c>
      <c r="V882" s="148" t="str">
        <f>IFERROR(__xludf.DUMMYFUNCTION("""COMPUTED_VALUE"""),"[]")</f>
        <v>[]</v>
      </c>
      <c r="W882" s="148">
        <f>IFERROR(__xludf.DUMMYFUNCTION("""COMPUTED_VALUE"""),1.174E7)</f>
        <v>11740000</v>
      </c>
      <c r="X882" s="148">
        <f>IFERROR(__xludf.DUMMYFUNCTION("""COMPUTED_VALUE"""),0.0)</f>
        <v>0</v>
      </c>
      <c r="Y882" s="148">
        <f>IFERROR(__xludf.DUMMYFUNCTION("""COMPUTED_VALUE"""),0.0)</f>
        <v>0</v>
      </c>
      <c r="Z882" s="148"/>
    </row>
    <row r="883">
      <c r="A883" s="148">
        <f>IFERROR(__xludf.DUMMYFUNCTION("""COMPUTED_VALUE"""),1.111268E7)</f>
        <v>11112680</v>
      </c>
      <c r="B883" s="148" t="str">
        <f>IFERROR(__xludf.DUMMYFUNCTION("""COMPUTED_VALUE"""),"2025万圣节-装饰升级道具")</f>
        <v>2025万圣节-装饰升级道具</v>
      </c>
      <c r="C883" s="148"/>
      <c r="D883" s="148" t="str">
        <f>IFERROR(__xludf.DUMMYFUNCTION("""COMPUTED_VALUE"""),"event")</f>
        <v>event</v>
      </c>
      <c r="E883" s="148">
        <f>IFERROR(__xludf.DUMMYFUNCTION("""COMPUTED_VALUE"""),0.0)</f>
        <v>0</v>
      </c>
      <c r="F883" s="148">
        <f>IFERROR(__xludf.DUMMYFUNCTION("""COMPUTED_VALUE"""),405243.0)</f>
        <v>405243</v>
      </c>
      <c r="G883" s="148">
        <f>IFERROR(__xludf.DUMMYFUNCTION("""COMPUTED_VALUE"""),1.51103E8)</f>
        <v>151103000</v>
      </c>
      <c r="H883" s="148">
        <f>IFERROR(__xludf.DUMMYFUNCTION("""COMPUTED_VALUE"""),1.5112564E7)</f>
        <v>15112564</v>
      </c>
      <c r="I883" s="148" t="str">
        <f>IFERROR(__xludf.DUMMYFUNCTION("""COMPUTED_VALUE"""),"{}")</f>
        <v>{}</v>
      </c>
      <c r="J883" s="148" t="str">
        <f>IFERROR(__xludf.DUMMYFUNCTION("""COMPUTED_VALUE"""),"{""typ"":""lc"",""txt"":""LC_ITEM_2025halloween_dec_item_2""}")</f>
        <v>{"typ":"lc","txt":"LC_ITEM_2025halloween_dec_item_2"}</v>
      </c>
      <c r="K883" s="148" t="str">
        <f>IFERROR(__xludf.DUMMYFUNCTION("""COMPUTED_VALUE"""),"{""typ"":""lc"",""txt"":""LC_ITEM_2025halloween_dec_item_3_desc""}")</f>
        <v>{"typ":"lc","txt":"LC_ITEM_2025halloween_dec_item_3_desc"}</v>
      </c>
      <c r="L883" s="148" t="str">
        <f>IFERROR(__xludf.DUMMYFUNCTION("""COMPUTED_VALUE"""),"{}")</f>
        <v>{}</v>
      </c>
      <c r="M883" s="148">
        <f>IFERROR(__xludf.DUMMYFUNCTION("""COMPUTED_VALUE"""),1000.0)</f>
        <v>1000</v>
      </c>
      <c r="N883" s="148">
        <f>IFERROR(__xludf.DUMMYFUNCTION("""COMPUTED_VALUE"""),9.99999999E8)</f>
        <v>999999999</v>
      </c>
      <c r="O883" s="148">
        <f>IFERROR(__xludf.DUMMYFUNCTION("""COMPUTED_VALUE"""),9.99999999E8)</f>
        <v>999999999</v>
      </c>
      <c r="P883" s="148">
        <f>IFERROR(__xludf.DUMMYFUNCTION("""COMPUTED_VALUE"""),9.99999999E8)</f>
        <v>999999999</v>
      </c>
      <c r="Q883" s="148" t="str">
        <f>IFERROR(__xludf.DUMMYFUNCTION("""COMPUTED_VALUE"""),"[""bag_other""]")</f>
        <v>["bag_other"]</v>
      </c>
      <c r="R883" s="148" t="str">
        <f>IFERROR(__xludf.DUMMYFUNCTION("""COMPUTED_VALUE"""),"[]")</f>
        <v>[]</v>
      </c>
      <c r="S883" s="148" t="str">
        <f>IFERROR(__xludf.DUMMYFUNCTION("""COMPUTED_VALUE"""),"{}")</f>
        <v>{}</v>
      </c>
      <c r="T883" s="148">
        <f>IFERROR(__xludf.DUMMYFUNCTION("""COMPUTED_VALUE"""),-1.0)</f>
        <v>-1</v>
      </c>
      <c r="U883" s="148">
        <f>IFERROR(__xludf.DUMMYFUNCTION("""COMPUTED_VALUE"""),0.0)</f>
        <v>0</v>
      </c>
      <c r="V883" s="148" t="str">
        <f>IFERROR(__xludf.DUMMYFUNCTION("""COMPUTED_VALUE"""),"[]")</f>
        <v>[]</v>
      </c>
      <c r="W883" s="148">
        <f>IFERROR(__xludf.DUMMYFUNCTION("""COMPUTED_VALUE"""),1.174E7)</f>
        <v>11740000</v>
      </c>
      <c r="X883" s="148">
        <f>IFERROR(__xludf.DUMMYFUNCTION("""COMPUTED_VALUE"""),0.0)</f>
        <v>0</v>
      </c>
      <c r="Y883" s="148">
        <f>IFERROR(__xludf.DUMMYFUNCTION("""COMPUTED_VALUE"""),0.0)</f>
        <v>0</v>
      </c>
      <c r="Z883" s="148"/>
    </row>
    <row r="884">
      <c r="A884" s="148">
        <f>IFERROR(__xludf.DUMMYFUNCTION("""COMPUTED_VALUE"""),1.1112681E7)</f>
        <v>11112681</v>
      </c>
      <c r="B884" s="148" t="str">
        <f>IFERROR(__xludf.DUMMYFUNCTION("""COMPUTED_VALUE"""),"涂饰-2025万圣节-涂饰道具-一天")</f>
        <v>涂饰-2025万圣节-涂饰道具-一天</v>
      </c>
      <c r="C884" s="148"/>
      <c r="D884" s="148" t="str">
        <f>IFERROR(__xludf.DUMMYFUNCTION("""COMPUTED_VALUE"""),"decorate_paint")</f>
        <v>decorate_paint</v>
      </c>
      <c r="E884" s="148">
        <f>IFERROR(__xludf.DUMMYFUNCTION("""COMPUTED_VALUE"""),0.0)</f>
        <v>0</v>
      </c>
      <c r="F884" s="148">
        <f>IFERROR(__xludf.DUMMYFUNCTION("""COMPUTED_VALUE"""),0.0)</f>
        <v>0</v>
      </c>
      <c r="G884" s="148">
        <f>IFERROR(__xludf.DUMMYFUNCTION("""COMPUTED_VALUE"""),1.51103027E8)</f>
        <v>151103027</v>
      </c>
      <c r="H884" s="148">
        <f>IFERROR(__xludf.DUMMYFUNCTION("""COMPUTED_VALUE"""),1.5112564E7)</f>
        <v>15112564</v>
      </c>
      <c r="I884" s="148" t="str">
        <f>IFERROR(__xludf.DUMMYFUNCTION("""COMPUTED_VALUE"""),"{}")</f>
        <v>{}</v>
      </c>
      <c r="J884" s="148" t="str">
        <f>IFERROR(__xludf.DUMMYFUNCTION("""COMPUTED_VALUE"""),"{""typ"":""lc"",""txt"":""LC_ITEM_halloween_paint_decoration_paint_name""}")</f>
        <v>{"typ":"lc","txt":"LC_ITEM_halloween_paint_decoration_paint_name"}</v>
      </c>
      <c r="K884" s="148" t="str">
        <f>IFERROR(__xludf.DUMMYFUNCTION("""COMPUTED_VALUE"""),"{""typ"":""lc"",""txt"":""LC_ITEM_halloween_paint_decoration_paint_desc""}")</f>
        <v>{"typ":"lc","txt":"LC_ITEM_halloween_paint_decoration_paint_desc"}</v>
      </c>
      <c r="L884" s="148" t="str">
        <f>IFERROR(__xludf.DUMMYFUNCTION("""COMPUTED_VALUE"""),"{""typ"":""lc"",""txt"":""LC_TIP_use_success""}")</f>
        <v>{"typ":"lc","txt":"LC_TIP_use_success"}</v>
      </c>
      <c r="M884" s="148">
        <f>IFERROR(__xludf.DUMMYFUNCTION("""COMPUTED_VALUE"""),1000.0)</f>
        <v>1000</v>
      </c>
      <c r="N884" s="148">
        <f>IFERROR(__xludf.DUMMYFUNCTION("""COMPUTED_VALUE"""),9.99999999E8)</f>
        <v>999999999</v>
      </c>
      <c r="O884" s="148">
        <f>IFERROR(__xludf.DUMMYFUNCTION("""COMPUTED_VALUE"""),9.99999999E8)</f>
        <v>999999999</v>
      </c>
      <c r="P884" s="148">
        <f>IFERROR(__xludf.DUMMYFUNCTION("""COMPUTED_VALUE"""),1.0)</f>
        <v>1</v>
      </c>
      <c r="Q884" s="148" t="str">
        <f>IFERROR(__xludf.DUMMYFUNCTION("""COMPUTED_VALUE"""),"[""bag_other""]")</f>
        <v>["bag_other"]</v>
      </c>
      <c r="R884" s="148" t="str">
        <f>IFERROR(__xludf.DUMMYFUNCTION("""COMPUTED_VALUE"""),"[""bag"",""214836""]")</f>
        <v>["bag","214836"]</v>
      </c>
      <c r="S884" s="148" t="str">
        <f>IFERROR(__xludf.DUMMYFUNCTION("""COMPUTED_VALUE"""),"{""effect"":[{""typ"":""decorate_paint"",""id"":214836,""val"":86400000},{""typ"":""item"",""id"":11112681,""val"":1}]}")</f>
        <v>{"effect":[{"typ":"decorate_paint","id":214836,"val":86400000},{"typ":"item","id":11112681,"val":1}]}</v>
      </c>
      <c r="T884" s="148">
        <f>IFERROR(__xludf.DUMMYFUNCTION("""COMPUTED_VALUE"""),-1.0)</f>
        <v>-1</v>
      </c>
      <c r="U884" s="148">
        <f>IFERROR(__xludf.DUMMYFUNCTION("""COMPUTED_VALUE"""),0.0)</f>
        <v>0</v>
      </c>
      <c r="V884" s="148" t="str">
        <f>IFERROR(__xludf.DUMMYFUNCTION("""COMPUTED_VALUE"""),"[]")</f>
        <v>[]</v>
      </c>
      <c r="W884" s="148">
        <f>IFERROR(__xludf.DUMMYFUNCTION("""COMPUTED_VALUE"""),1.174E7)</f>
        <v>11740000</v>
      </c>
      <c r="X884" s="148">
        <f>IFERROR(__xludf.DUMMYFUNCTION("""COMPUTED_VALUE"""),1.1684649E7)</f>
        <v>11684649</v>
      </c>
      <c r="Y884" s="148">
        <f>IFERROR(__xludf.DUMMYFUNCTION("""COMPUTED_VALUE"""),0.0)</f>
        <v>0</v>
      </c>
      <c r="Z884" s="148"/>
    </row>
    <row r="885">
      <c r="A885" s="148">
        <f>IFERROR(__xludf.DUMMYFUNCTION("""COMPUTED_VALUE"""),1.1112682E7)</f>
        <v>11112682</v>
      </c>
      <c r="B885" s="148" t="str">
        <f>IFERROR(__xludf.DUMMYFUNCTION("""COMPUTED_VALUE"""),"主城皮肤-科技节2023-7天")</f>
        <v>主城皮肤-科技节2023-7天</v>
      </c>
      <c r="C885" s="148"/>
      <c r="D885" s="148" t="str">
        <f>IFERROR(__xludf.DUMMYFUNCTION("""COMPUTED_VALUE"""),"city_skin")</f>
        <v>city_skin</v>
      </c>
      <c r="E885" s="148">
        <f>IFERROR(__xludf.DUMMYFUNCTION("""COMPUTED_VALUE"""),21.0)</f>
        <v>21</v>
      </c>
      <c r="F885" s="148">
        <f>IFERROR(__xludf.DUMMYFUNCTION("""COMPUTED_VALUE"""),404201.0)</f>
        <v>404201</v>
      </c>
      <c r="G885" s="148">
        <f>IFERROR(__xludf.DUMMYFUNCTION("""COMPUTED_VALUE"""),1.5116042E7)</f>
        <v>15116042</v>
      </c>
      <c r="H885" s="148">
        <f>IFERROR(__xludf.DUMMYFUNCTION("""COMPUTED_VALUE"""),1.5112564E7)</f>
        <v>15112564</v>
      </c>
      <c r="I885" s="148" t="str">
        <f>IFERROR(__xludf.DUMMYFUNCTION("""COMPUTED_VALUE"""),"{""typ"":""lc"",""txt"":""LC_ITEM_time_day_upper_show"",""args"":[{""typ"":""int"",""val"":7}]}")</f>
        <v>{"typ":"lc","txt":"LC_ITEM_time_day_upper_show","args":[{"typ":"int","val":7}]}</v>
      </c>
      <c r="J885" s="148" t="str">
        <f>IFERROR(__xludf.DUMMYFUNCTION("""COMPUTED_VALUE"""),"{""typ"":""lc"",""txt"":""LC_ITEM_2023sci_lowcity_skin_title_7day""}")</f>
        <v>{"typ":"lc","txt":"LC_ITEM_2023sci_lowcity_skin_title_7day"}</v>
      </c>
      <c r="K885" s="148" t="str">
        <f>IFERROR(__xludf.DUMMYFUNCTION("""COMPUTED_VALUE"""),"{""typ"":""lc"",""txt"":""LC_ITEM_2023sci_lowcity_skin_desc_7day""}")</f>
        <v>{"typ":"lc","txt":"LC_ITEM_2023sci_lowcity_skin_desc_7day"}</v>
      </c>
      <c r="L885" s="148" t="str">
        <f>IFERROR(__xludf.DUMMYFUNCTION("""COMPUTED_VALUE"""),"{""typ"":""lc"",""txt"":""LC_ITEM_city_skin_rocket_use_tips""}")</f>
        <v>{"typ":"lc","txt":"LC_ITEM_city_skin_rocket_use_tips"}</v>
      </c>
      <c r="M885" s="148">
        <f>IFERROR(__xludf.DUMMYFUNCTION("""COMPUTED_VALUE"""),10000.0)</f>
        <v>10000</v>
      </c>
      <c r="N885" s="148">
        <f>IFERROR(__xludf.DUMMYFUNCTION("""COMPUTED_VALUE"""),999.0)</f>
        <v>999</v>
      </c>
      <c r="O885" s="148">
        <f>IFERROR(__xludf.DUMMYFUNCTION("""COMPUTED_VALUE"""),1.0)</f>
        <v>1</v>
      </c>
      <c r="P885" s="148">
        <f>IFERROR(__xludf.DUMMYFUNCTION("""COMPUTED_VALUE"""),1.0)</f>
        <v>1</v>
      </c>
      <c r="Q885" s="148" t="str">
        <f>IFERROR(__xludf.DUMMYFUNCTION("""COMPUTED_VALUE"""),"[""bag_other""]")</f>
        <v>["bag_other"]</v>
      </c>
      <c r="R885" s="148" t="str">
        <f>IFERROR(__xludf.DUMMYFUNCTION("""COMPUTED_VALUE"""),"[""bag"",""13121015""]")</f>
        <v>["bag","13121015"]</v>
      </c>
      <c r="S885" s="148" t="str">
        <f>IFERROR(__xludf.DUMMYFUNCTION("""COMPUTED_VALUE"""),"{""effect"":[{""typ"":""city_skin"",""id"":13121015,""val"":604800000},{""typ"":""item"",""id"":11111021,""val"":3}]}")</f>
        <v>{"effect":[{"typ":"city_skin","id":13121015,"val":604800000},{"typ":"item","id":11111021,"val":3}]}</v>
      </c>
      <c r="T885" s="148">
        <f>IFERROR(__xludf.DUMMYFUNCTION("""COMPUTED_VALUE"""),-1.0)</f>
        <v>-1</v>
      </c>
      <c r="U885" s="148">
        <f>IFERROR(__xludf.DUMMYFUNCTION("""COMPUTED_VALUE"""),0.0)</f>
        <v>0</v>
      </c>
      <c r="V885" s="148" t="str">
        <f>IFERROR(__xludf.DUMMYFUNCTION("""COMPUTED_VALUE"""),"[]")</f>
        <v>[]</v>
      </c>
      <c r="W885" s="148">
        <f>IFERROR(__xludf.DUMMYFUNCTION("""COMPUTED_VALUE"""),1.174E7)</f>
        <v>11740000</v>
      </c>
      <c r="X885" s="148">
        <f>IFERROR(__xludf.DUMMYFUNCTION("""COMPUTED_VALUE"""),0.0)</f>
        <v>0</v>
      </c>
      <c r="Y885" s="148">
        <f>IFERROR(__xludf.DUMMYFUNCTION("""COMPUTED_VALUE"""),0.0)</f>
        <v>0</v>
      </c>
      <c r="Z885" s="148"/>
    </row>
    <row r="886">
      <c r="A886" s="148">
        <f>IFERROR(__xludf.DUMMYFUNCTION("""COMPUTED_VALUE"""),1.1112683E7)</f>
        <v>11112683</v>
      </c>
      <c r="B886" s="148" t="str">
        <f>IFERROR(__xludf.DUMMYFUNCTION("""COMPUTED_VALUE"""),"主城皮肤-科技节2023-14天")</f>
        <v>主城皮肤-科技节2023-14天</v>
      </c>
      <c r="C886" s="148"/>
      <c r="D886" s="148" t="str">
        <f>IFERROR(__xludf.DUMMYFUNCTION("""COMPUTED_VALUE"""),"city_skin")</f>
        <v>city_skin</v>
      </c>
      <c r="E886" s="148">
        <f>IFERROR(__xludf.DUMMYFUNCTION("""COMPUTED_VALUE"""),21.0)</f>
        <v>21</v>
      </c>
      <c r="F886" s="148">
        <f>IFERROR(__xludf.DUMMYFUNCTION("""COMPUTED_VALUE"""),404201.0)</f>
        <v>404201</v>
      </c>
      <c r="G886" s="148">
        <f>IFERROR(__xludf.DUMMYFUNCTION("""COMPUTED_VALUE"""),1.5116042E7)</f>
        <v>15116042</v>
      </c>
      <c r="H886" s="148">
        <f>IFERROR(__xludf.DUMMYFUNCTION("""COMPUTED_VALUE"""),1.5112564E7)</f>
        <v>15112564</v>
      </c>
      <c r="I886" s="148" t="str">
        <f>IFERROR(__xludf.DUMMYFUNCTION("""COMPUTED_VALUE"""),"{""typ"":""lc"",""txt"":""LC_ITEM_time_day_upper_show"",""args"":[{""typ"":""int"",""val"":14}]}")</f>
        <v>{"typ":"lc","txt":"LC_ITEM_time_day_upper_show","args":[{"typ":"int","val":14}]}</v>
      </c>
      <c r="J886" s="148" t="str">
        <f>IFERROR(__xludf.DUMMYFUNCTION("""COMPUTED_VALUE"""),"{""typ"":""lc"",""txt"":""LC_ITEM_2023sci_lowcity_skin_title_14day""}")</f>
        <v>{"typ":"lc","txt":"LC_ITEM_2023sci_lowcity_skin_title_14day"}</v>
      </c>
      <c r="K886" s="148" t="str">
        <f>IFERROR(__xludf.DUMMYFUNCTION("""COMPUTED_VALUE"""),"{""typ"":""lc"",""txt"":""LC_ITEM_2023sci_lowcity_skin_desc_14day""}")</f>
        <v>{"typ":"lc","txt":"LC_ITEM_2023sci_lowcity_skin_desc_14day"}</v>
      </c>
      <c r="L886" s="148" t="str">
        <f>IFERROR(__xludf.DUMMYFUNCTION("""COMPUTED_VALUE"""),"{""typ"":""lc"",""txt"":""LC_ITEM_city_skin_rocket_use_tips""}")</f>
        <v>{"typ":"lc","txt":"LC_ITEM_city_skin_rocket_use_tips"}</v>
      </c>
      <c r="M886" s="148">
        <f>IFERROR(__xludf.DUMMYFUNCTION("""COMPUTED_VALUE"""),10000.0)</f>
        <v>10000</v>
      </c>
      <c r="N886" s="148">
        <f>IFERROR(__xludf.DUMMYFUNCTION("""COMPUTED_VALUE"""),999.0)</f>
        <v>999</v>
      </c>
      <c r="O886" s="148">
        <f>IFERROR(__xludf.DUMMYFUNCTION("""COMPUTED_VALUE"""),1.0)</f>
        <v>1</v>
      </c>
      <c r="P886" s="148">
        <f>IFERROR(__xludf.DUMMYFUNCTION("""COMPUTED_VALUE"""),1.0)</f>
        <v>1</v>
      </c>
      <c r="Q886" s="148" t="str">
        <f>IFERROR(__xludf.DUMMYFUNCTION("""COMPUTED_VALUE"""),"[""bag_other""]")</f>
        <v>["bag_other"]</v>
      </c>
      <c r="R886" s="148" t="str">
        <f>IFERROR(__xludf.DUMMYFUNCTION("""COMPUTED_VALUE"""),"[""bag"",""13121015""]")</f>
        <v>["bag","13121015"]</v>
      </c>
      <c r="S886" s="148" t="str">
        <f>IFERROR(__xludf.DUMMYFUNCTION("""COMPUTED_VALUE"""),"{""effect"":[{""typ"":""city_skin"",""id"":13121015,""val"":1209600000},{""typ"":""item"",""id"":11111021,""val"":7}]}")</f>
        <v>{"effect":[{"typ":"city_skin","id":13121015,"val":1209600000},{"typ":"item","id":11111021,"val":7}]}</v>
      </c>
      <c r="T886" s="148">
        <f>IFERROR(__xludf.DUMMYFUNCTION("""COMPUTED_VALUE"""),-1.0)</f>
        <v>-1</v>
      </c>
      <c r="U886" s="148">
        <f>IFERROR(__xludf.DUMMYFUNCTION("""COMPUTED_VALUE"""),0.0)</f>
        <v>0</v>
      </c>
      <c r="V886" s="148" t="str">
        <f>IFERROR(__xludf.DUMMYFUNCTION("""COMPUTED_VALUE"""),"[]")</f>
        <v>[]</v>
      </c>
      <c r="W886" s="148">
        <f>IFERROR(__xludf.DUMMYFUNCTION("""COMPUTED_VALUE"""),1.174E7)</f>
        <v>11740000</v>
      </c>
      <c r="X886" s="148">
        <f>IFERROR(__xludf.DUMMYFUNCTION("""COMPUTED_VALUE"""),0.0)</f>
        <v>0</v>
      </c>
      <c r="Y886" s="148">
        <f>IFERROR(__xludf.DUMMYFUNCTION("""COMPUTED_VALUE"""),0.0)</f>
        <v>0</v>
      </c>
      <c r="Z886" s="148"/>
    </row>
    <row r="887">
      <c r="A887" s="148">
        <f>IFERROR(__xludf.DUMMYFUNCTION("""COMPUTED_VALUE"""),1.1112684E7)</f>
        <v>11112684</v>
      </c>
      <c r="B887" s="148" t="str">
        <f>IFERROR(__xludf.DUMMYFUNCTION("""COMPUTED_VALUE"""),"主城皮肤-万圣节高级皮肤2025")</f>
        <v>主城皮肤-万圣节高级皮肤2025</v>
      </c>
      <c r="C887" s="148"/>
      <c r="D887" s="148" t="str">
        <f>IFERROR(__xludf.DUMMYFUNCTION("""COMPUTED_VALUE"""),"city_skin")</f>
        <v>city_skin</v>
      </c>
      <c r="E887" s="148">
        <f>IFERROR(__xludf.DUMMYFUNCTION("""COMPUTED_VALUE"""),21.0)</f>
        <v>21</v>
      </c>
      <c r="F887" s="148">
        <f>IFERROR(__xludf.DUMMYFUNCTION("""COMPUTED_VALUE"""),400106.0)</f>
        <v>400106</v>
      </c>
      <c r="G887" s="148">
        <f>IFERROR(__xludf.DUMMYFUNCTION("""COMPUTED_VALUE"""),1.51102995E8)</f>
        <v>151102995</v>
      </c>
      <c r="H887" s="148">
        <f>IFERROR(__xludf.DUMMYFUNCTION("""COMPUTED_VALUE"""),1.5115983E7)</f>
        <v>15115983</v>
      </c>
      <c r="I887" s="148" t="str">
        <f>IFERROR(__xludf.DUMMYFUNCTION("""COMPUTED_VALUE"""),"{}")</f>
        <v>{}</v>
      </c>
      <c r="J887" s="148" t="str">
        <f>IFERROR(__xludf.DUMMYFUNCTION("""COMPUTED_VALUE"""),"{""typ"":""lc"",""txt"":""LC_ITEM_2025hallo_highcity_skin_title""}")</f>
        <v>{"typ":"lc","txt":"LC_ITEM_2025hallo_highcity_skin_title"}</v>
      </c>
      <c r="K887" s="148" t="str">
        <f>IFERROR(__xludf.DUMMYFUNCTION("""COMPUTED_VALUE"""),"{""typ"":""lc"",""txt"":""LC_ITEM_2025hallo_highskin_desc_forever""}")</f>
        <v>{"typ":"lc","txt":"LC_ITEM_2025hallo_highskin_desc_forever"}</v>
      </c>
      <c r="L887" s="148" t="str">
        <f>IFERROR(__xludf.DUMMYFUNCTION("""COMPUTED_VALUE"""),"{""typ"":""lc"",""txt"":""LC_ITEM_city_skin_rocket_use_tips""}")</f>
        <v>{"typ":"lc","txt":"LC_ITEM_city_skin_rocket_use_tips"}</v>
      </c>
      <c r="M887" s="148">
        <f>IFERROR(__xludf.DUMMYFUNCTION("""COMPUTED_VALUE"""),10000.0)</f>
        <v>10000</v>
      </c>
      <c r="N887" s="148">
        <f>IFERROR(__xludf.DUMMYFUNCTION("""COMPUTED_VALUE"""),999.0)</f>
        <v>999</v>
      </c>
      <c r="O887" s="148">
        <f>IFERROR(__xludf.DUMMYFUNCTION("""COMPUTED_VALUE"""),1.0)</f>
        <v>1</v>
      </c>
      <c r="P887" s="148">
        <f>IFERROR(__xludf.DUMMYFUNCTION("""COMPUTED_VALUE"""),1.0)</f>
        <v>1</v>
      </c>
      <c r="Q887" s="148" t="str">
        <f>IFERROR(__xludf.DUMMYFUNCTION("""COMPUTED_VALUE"""),"[""bag_other""]")</f>
        <v>["bag_other"]</v>
      </c>
      <c r="R887" s="148" t="str">
        <f>IFERROR(__xludf.DUMMYFUNCTION("""COMPUTED_VALUE"""),"[""bag"",""13121084""]")</f>
        <v>["bag","13121084"]</v>
      </c>
      <c r="S887" s="148" t="str">
        <f>IFERROR(__xludf.DUMMYFUNCTION("""COMPUTED_VALUE"""),"{""effect"":[{""typ"":""city_skin"",""id"":13121084,""val"":-1},{""typ"":""item"",""id"":11111034,""val"":10}]}")</f>
        <v>{"effect":[{"typ":"city_skin","id":13121084,"val":-1},{"typ":"item","id":11111034,"val":10}]}</v>
      </c>
      <c r="T887" s="148">
        <f>IFERROR(__xludf.DUMMYFUNCTION("""COMPUTED_VALUE"""),-1.0)</f>
        <v>-1</v>
      </c>
      <c r="U887" s="148">
        <f>IFERROR(__xludf.DUMMYFUNCTION("""COMPUTED_VALUE"""),0.0)</f>
        <v>0</v>
      </c>
      <c r="V887" s="148" t="str">
        <f>IFERROR(__xludf.DUMMYFUNCTION("""COMPUTED_VALUE"""),"[]")</f>
        <v>[]</v>
      </c>
      <c r="W887" s="148">
        <f>IFERROR(__xludf.DUMMYFUNCTION("""COMPUTED_VALUE"""),1.174E7)</f>
        <v>11740000</v>
      </c>
      <c r="X887" s="148">
        <f>IFERROR(__xludf.DUMMYFUNCTION("""COMPUTED_VALUE"""),0.0)</f>
        <v>0</v>
      </c>
      <c r="Y887" s="148">
        <f>IFERROR(__xludf.DUMMYFUNCTION("""COMPUTED_VALUE"""),0.0)</f>
        <v>0</v>
      </c>
      <c r="Z887" s="148"/>
    </row>
    <row r="888">
      <c r="A888" s="148">
        <f>IFERROR(__xludf.DUMMYFUNCTION("""COMPUTED_VALUE"""),1.1112685E7)</f>
        <v>11112685</v>
      </c>
      <c r="B888" s="148" t="str">
        <f>IFERROR(__xludf.DUMMYFUNCTION("""COMPUTED_VALUE"""),"主城皮肤-万圣节高级皮肤2025-7天")</f>
        <v>主城皮肤-万圣节高级皮肤2025-7天</v>
      </c>
      <c r="C888" s="148"/>
      <c r="D888" s="148" t="str">
        <f>IFERROR(__xludf.DUMMYFUNCTION("""COMPUTED_VALUE"""),"city_skin")</f>
        <v>city_skin</v>
      </c>
      <c r="E888" s="148">
        <f>IFERROR(__xludf.DUMMYFUNCTION("""COMPUTED_VALUE"""),21.0)</f>
        <v>21</v>
      </c>
      <c r="F888" s="148">
        <f>IFERROR(__xludf.DUMMYFUNCTION("""COMPUTED_VALUE"""),400106.0)</f>
        <v>400106</v>
      </c>
      <c r="G888" s="148">
        <f>IFERROR(__xludf.DUMMYFUNCTION("""COMPUTED_VALUE"""),1.51102995E8)</f>
        <v>151102995</v>
      </c>
      <c r="H888" s="148">
        <f>IFERROR(__xludf.DUMMYFUNCTION("""COMPUTED_VALUE"""),1.5112564E7)</f>
        <v>15112564</v>
      </c>
      <c r="I888" s="148" t="str">
        <f>IFERROR(__xludf.DUMMYFUNCTION("""COMPUTED_VALUE"""),"{""typ"":""lc"",""txt"":""LC_ITEM_time_day_upper_show"",""args"":[{""typ"":""int"",""val"":7}]}")</f>
        <v>{"typ":"lc","txt":"LC_ITEM_time_day_upper_show","args":[{"typ":"int","val":7}]}</v>
      </c>
      <c r="J888" s="148" t="str">
        <f>IFERROR(__xludf.DUMMYFUNCTION("""COMPUTED_VALUE"""),"{""typ"":""lc"",""txt"":""LC_ITEM_2025hallo_highcity_skin_title_7day""}")</f>
        <v>{"typ":"lc","txt":"LC_ITEM_2025hallo_highcity_skin_title_7day"}</v>
      </c>
      <c r="K888" s="148" t="str">
        <f>IFERROR(__xludf.DUMMYFUNCTION("""COMPUTED_VALUE"""),"{""typ"":""lc"",""txt"":""LC_ITEM_2025hallo_highskin_desc_7day""}")</f>
        <v>{"typ":"lc","txt":"LC_ITEM_2025hallo_highskin_desc_7day"}</v>
      </c>
      <c r="L888" s="148" t="str">
        <f>IFERROR(__xludf.DUMMYFUNCTION("""COMPUTED_VALUE"""),"{""typ"":""lc"",""txt"":""LC_ITEM_city_skin_rocket_use_tips""}")</f>
        <v>{"typ":"lc","txt":"LC_ITEM_city_skin_rocket_use_tips"}</v>
      </c>
      <c r="M888" s="148">
        <f>IFERROR(__xludf.DUMMYFUNCTION("""COMPUTED_VALUE"""),10000.0)</f>
        <v>10000</v>
      </c>
      <c r="N888" s="148">
        <f>IFERROR(__xludf.DUMMYFUNCTION("""COMPUTED_VALUE"""),999.0)</f>
        <v>999</v>
      </c>
      <c r="O888" s="148">
        <f>IFERROR(__xludf.DUMMYFUNCTION("""COMPUTED_VALUE"""),1.0)</f>
        <v>1</v>
      </c>
      <c r="P888" s="148">
        <f>IFERROR(__xludf.DUMMYFUNCTION("""COMPUTED_VALUE"""),1.0)</f>
        <v>1</v>
      </c>
      <c r="Q888" s="148" t="str">
        <f>IFERROR(__xludf.DUMMYFUNCTION("""COMPUTED_VALUE"""),"[""bag_other""]")</f>
        <v>["bag_other"]</v>
      </c>
      <c r="R888" s="148" t="str">
        <f>IFERROR(__xludf.DUMMYFUNCTION("""COMPUTED_VALUE"""),"[""bag"",""13121084""]")</f>
        <v>["bag","13121084"]</v>
      </c>
      <c r="S888" s="148" t="str">
        <f>IFERROR(__xludf.DUMMYFUNCTION("""COMPUTED_VALUE"""),"{""effect"":[{""typ"":""city_skin"",""id"":13121084,""val"":604800000},{""typ"":""item"",""id"":11111021,""val"":3}]}")</f>
        <v>{"effect":[{"typ":"city_skin","id":13121084,"val":604800000},{"typ":"item","id":11111021,"val":3}]}</v>
      </c>
      <c r="T888" s="148">
        <f>IFERROR(__xludf.DUMMYFUNCTION("""COMPUTED_VALUE"""),-1.0)</f>
        <v>-1</v>
      </c>
      <c r="U888" s="148">
        <f>IFERROR(__xludf.DUMMYFUNCTION("""COMPUTED_VALUE"""),0.0)</f>
        <v>0</v>
      </c>
      <c r="V888" s="148" t="str">
        <f>IFERROR(__xludf.DUMMYFUNCTION("""COMPUTED_VALUE"""),"[]")</f>
        <v>[]</v>
      </c>
      <c r="W888" s="148">
        <f>IFERROR(__xludf.DUMMYFUNCTION("""COMPUTED_VALUE"""),1.174E7)</f>
        <v>11740000</v>
      </c>
      <c r="X888" s="148">
        <f>IFERROR(__xludf.DUMMYFUNCTION("""COMPUTED_VALUE"""),0.0)</f>
        <v>0</v>
      </c>
      <c r="Y888" s="148">
        <f>IFERROR(__xludf.DUMMYFUNCTION("""COMPUTED_VALUE"""),0.0)</f>
        <v>0</v>
      </c>
      <c r="Z888" s="148"/>
    </row>
    <row r="889">
      <c r="A889" s="148">
        <f>IFERROR(__xludf.DUMMYFUNCTION("""COMPUTED_VALUE"""),1.1112686E7)</f>
        <v>11112686</v>
      </c>
      <c r="B889" s="148" t="str">
        <f>IFERROR(__xludf.DUMMYFUNCTION("""COMPUTED_VALUE"""),"主城皮肤-万圣节高级皮肤2025-14天")</f>
        <v>主城皮肤-万圣节高级皮肤2025-14天</v>
      </c>
      <c r="C889" s="148"/>
      <c r="D889" s="148" t="str">
        <f>IFERROR(__xludf.DUMMYFUNCTION("""COMPUTED_VALUE"""),"city_skin")</f>
        <v>city_skin</v>
      </c>
      <c r="E889" s="148">
        <f>IFERROR(__xludf.DUMMYFUNCTION("""COMPUTED_VALUE"""),21.0)</f>
        <v>21</v>
      </c>
      <c r="F889" s="148">
        <f>IFERROR(__xludf.DUMMYFUNCTION("""COMPUTED_VALUE"""),400106.0)</f>
        <v>400106</v>
      </c>
      <c r="G889" s="148">
        <f>IFERROR(__xludf.DUMMYFUNCTION("""COMPUTED_VALUE"""),1.51102995E8)</f>
        <v>151102995</v>
      </c>
      <c r="H889" s="148">
        <f>IFERROR(__xludf.DUMMYFUNCTION("""COMPUTED_VALUE"""),1.5112564E7)</f>
        <v>15112564</v>
      </c>
      <c r="I889" s="148" t="str">
        <f>IFERROR(__xludf.DUMMYFUNCTION("""COMPUTED_VALUE"""),"{""typ"":""lc"",""txt"":""LC_ITEM_time_day_upper_show"",""args"":[{""typ"":""int"",""val"":14}]}")</f>
        <v>{"typ":"lc","txt":"LC_ITEM_time_day_upper_show","args":[{"typ":"int","val":14}]}</v>
      </c>
      <c r="J889" s="148" t="str">
        <f>IFERROR(__xludf.DUMMYFUNCTION("""COMPUTED_VALUE"""),"{""typ"":""lc"",""txt"":""LC_ITEM_2025hallo_highcity_skin_title_14day""}")</f>
        <v>{"typ":"lc","txt":"LC_ITEM_2025hallo_highcity_skin_title_14day"}</v>
      </c>
      <c r="K889" s="148" t="str">
        <f>IFERROR(__xludf.DUMMYFUNCTION("""COMPUTED_VALUE"""),"{""typ"":""lc"",""txt"":""LC_ITEM_2025hallo_highskin_desc_14day""}")</f>
        <v>{"typ":"lc","txt":"LC_ITEM_2025hallo_highskin_desc_14day"}</v>
      </c>
      <c r="L889" s="148" t="str">
        <f>IFERROR(__xludf.DUMMYFUNCTION("""COMPUTED_VALUE"""),"{""typ"":""lc"",""txt"":""LC_ITEM_city_skin_rocket_use_tips""}")</f>
        <v>{"typ":"lc","txt":"LC_ITEM_city_skin_rocket_use_tips"}</v>
      </c>
      <c r="M889" s="148">
        <f>IFERROR(__xludf.DUMMYFUNCTION("""COMPUTED_VALUE"""),10000.0)</f>
        <v>10000</v>
      </c>
      <c r="N889" s="148">
        <f>IFERROR(__xludf.DUMMYFUNCTION("""COMPUTED_VALUE"""),999.0)</f>
        <v>999</v>
      </c>
      <c r="O889" s="148">
        <f>IFERROR(__xludf.DUMMYFUNCTION("""COMPUTED_VALUE"""),1.0)</f>
        <v>1</v>
      </c>
      <c r="P889" s="148">
        <f>IFERROR(__xludf.DUMMYFUNCTION("""COMPUTED_VALUE"""),1.0)</f>
        <v>1</v>
      </c>
      <c r="Q889" s="148" t="str">
        <f>IFERROR(__xludf.DUMMYFUNCTION("""COMPUTED_VALUE"""),"[""bag_other""]")</f>
        <v>["bag_other"]</v>
      </c>
      <c r="R889" s="148" t="str">
        <f>IFERROR(__xludf.DUMMYFUNCTION("""COMPUTED_VALUE"""),"[""bag"",""13121084""]")</f>
        <v>["bag","13121084"]</v>
      </c>
      <c r="S889" s="148" t="str">
        <f>IFERROR(__xludf.DUMMYFUNCTION("""COMPUTED_VALUE"""),"{""effect"":[{""typ"":""city_skin"",""id"":13121084,""val"":1209600000},{""typ"":""item"",""id"":11111021,""val"":7}]}")</f>
        <v>{"effect":[{"typ":"city_skin","id":13121084,"val":1209600000},{"typ":"item","id":11111021,"val":7}]}</v>
      </c>
      <c r="T889" s="148">
        <f>IFERROR(__xludf.DUMMYFUNCTION("""COMPUTED_VALUE"""),-1.0)</f>
        <v>-1</v>
      </c>
      <c r="U889" s="148">
        <f>IFERROR(__xludf.DUMMYFUNCTION("""COMPUTED_VALUE"""),0.0)</f>
        <v>0</v>
      </c>
      <c r="V889" s="148" t="str">
        <f>IFERROR(__xludf.DUMMYFUNCTION("""COMPUTED_VALUE"""),"[]")</f>
        <v>[]</v>
      </c>
      <c r="W889" s="148">
        <f>IFERROR(__xludf.DUMMYFUNCTION("""COMPUTED_VALUE"""),1.174E7)</f>
        <v>11740000</v>
      </c>
      <c r="X889" s="148">
        <f>IFERROR(__xludf.DUMMYFUNCTION("""COMPUTED_VALUE"""),0.0)</f>
        <v>0</v>
      </c>
      <c r="Y889" s="148">
        <f>IFERROR(__xludf.DUMMYFUNCTION("""COMPUTED_VALUE"""),0.0)</f>
        <v>0</v>
      </c>
      <c r="Z889" s="148"/>
    </row>
    <row r="890">
      <c r="A890" s="148">
        <f>IFERROR(__xludf.DUMMYFUNCTION("""COMPUTED_VALUE"""),1.1112687E7)</f>
        <v>11112687</v>
      </c>
      <c r="B890" s="148" t="str">
        <f>IFERROR(__xludf.DUMMYFUNCTION("""COMPUTED_VALUE"""),"主城皮肤-万圣节高级皮肤2025-28天")</f>
        <v>主城皮肤-万圣节高级皮肤2025-28天</v>
      </c>
      <c r="C890" s="148"/>
      <c r="D890" s="148" t="str">
        <f>IFERROR(__xludf.DUMMYFUNCTION("""COMPUTED_VALUE"""),"city_skin")</f>
        <v>city_skin</v>
      </c>
      <c r="E890" s="148">
        <f>IFERROR(__xludf.DUMMYFUNCTION("""COMPUTED_VALUE"""),21.0)</f>
        <v>21</v>
      </c>
      <c r="F890" s="148">
        <f>IFERROR(__xludf.DUMMYFUNCTION("""COMPUTED_VALUE"""),408197.0)</f>
        <v>408197</v>
      </c>
      <c r="G890" s="148">
        <f>IFERROR(__xludf.DUMMYFUNCTION("""COMPUTED_VALUE"""),1.51102995E8)</f>
        <v>151102995</v>
      </c>
      <c r="H890" s="148">
        <f>IFERROR(__xludf.DUMMYFUNCTION("""COMPUTED_VALUE"""),1.5112564E7)</f>
        <v>15112564</v>
      </c>
      <c r="I890" s="148" t="str">
        <f>IFERROR(__xludf.DUMMYFUNCTION("""COMPUTED_VALUE"""),"{""typ"":""lc"",""txt"":""LC_ITEM_time_day_upper_show"",""args"":[{""typ"":""int"",""val"":28}]}")</f>
        <v>{"typ":"lc","txt":"LC_ITEM_time_day_upper_show","args":[{"typ":"int","val":28}]}</v>
      </c>
      <c r="J890" s="148" t="str">
        <f>IFERROR(__xludf.DUMMYFUNCTION("""COMPUTED_VALUE"""),"{""typ"":""lc"",""txt"":""LC_ITEM_2025hallo_highcity_skin_title_28day""}")</f>
        <v>{"typ":"lc","txt":"LC_ITEM_2025hallo_highcity_skin_title_28day"}</v>
      </c>
      <c r="K890" s="148" t="str">
        <f>IFERROR(__xludf.DUMMYFUNCTION("""COMPUTED_VALUE"""),"{""typ"":""lc"",""txt"":""LC_ITEM_2025hallo_highskin_desc_28day""}")</f>
        <v>{"typ":"lc","txt":"LC_ITEM_2025hallo_highskin_desc_28day"}</v>
      </c>
      <c r="L890" s="148" t="str">
        <f>IFERROR(__xludf.DUMMYFUNCTION("""COMPUTED_VALUE"""),"{""typ"":""lc"",""txt"":""LC_ITEM_city_skin_rocket_use_tips""}")</f>
        <v>{"typ":"lc","txt":"LC_ITEM_city_skin_rocket_use_tips"}</v>
      </c>
      <c r="M890" s="148">
        <f>IFERROR(__xludf.DUMMYFUNCTION("""COMPUTED_VALUE"""),10000.0)</f>
        <v>10000</v>
      </c>
      <c r="N890" s="148">
        <f>IFERROR(__xludf.DUMMYFUNCTION("""COMPUTED_VALUE"""),999.0)</f>
        <v>999</v>
      </c>
      <c r="O890" s="148">
        <f>IFERROR(__xludf.DUMMYFUNCTION("""COMPUTED_VALUE"""),1.0)</f>
        <v>1</v>
      </c>
      <c r="P890" s="148">
        <f>IFERROR(__xludf.DUMMYFUNCTION("""COMPUTED_VALUE"""),1.0)</f>
        <v>1</v>
      </c>
      <c r="Q890" s="148" t="str">
        <f>IFERROR(__xludf.DUMMYFUNCTION("""COMPUTED_VALUE"""),"[""bag_other""]")</f>
        <v>["bag_other"]</v>
      </c>
      <c r="R890" s="148" t="str">
        <f>IFERROR(__xludf.DUMMYFUNCTION("""COMPUTED_VALUE"""),"[""bag"",""13121084""]")</f>
        <v>["bag","13121084"]</v>
      </c>
      <c r="S890" s="148" t="str">
        <f>IFERROR(__xludf.DUMMYFUNCTION("""COMPUTED_VALUE"""),"{""effect"":[{""typ"":""city_skin"",""id"":13121084,""val"":2419200000},{""typ"":""item"",""id"":11111021,""val"":15}]}")</f>
        <v>{"effect":[{"typ":"city_skin","id":13121084,"val":2419200000},{"typ":"item","id":11111021,"val":15}]}</v>
      </c>
      <c r="T890" s="148">
        <f>IFERROR(__xludf.DUMMYFUNCTION("""COMPUTED_VALUE"""),-1.0)</f>
        <v>-1</v>
      </c>
      <c r="U890" s="148">
        <f>IFERROR(__xludf.DUMMYFUNCTION("""COMPUTED_VALUE"""),0.0)</f>
        <v>0</v>
      </c>
      <c r="V890" s="148" t="str">
        <f>IFERROR(__xludf.DUMMYFUNCTION("""COMPUTED_VALUE"""),"[]")</f>
        <v>[]</v>
      </c>
      <c r="W890" s="148">
        <f>IFERROR(__xludf.DUMMYFUNCTION("""COMPUTED_VALUE"""),1.174E7)</f>
        <v>11740000</v>
      </c>
      <c r="X890" s="148">
        <f>IFERROR(__xludf.DUMMYFUNCTION("""COMPUTED_VALUE"""),0.0)</f>
        <v>0</v>
      </c>
      <c r="Y890" s="148">
        <f>IFERROR(__xludf.DUMMYFUNCTION("""COMPUTED_VALUE"""),0.0)</f>
        <v>0</v>
      </c>
      <c r="Z890" s="148"/>
    </row>
    <row r="891">
      <c r="A891" s="148">
        <f>IFERROR(__xludf.DUMMYFUNCTION("""COMPUTED_VALUE"""),1.1112688E7)</f>
        <v>11112688</v>
      </c>
      <c r="B891" s="148" t="str">
        <f>IFERROR(__xludf.DUMMYFUNCTION("""COMPUTED_VALUE"""),"主城皮肤-万圣节2025")</f>
        <v>主城皮肤-万圣节2025</v>
      </c>
      <c r="C891" s="148"/>
      <c r="D891" s="148" t="str">
        <f>IFERROR(__xludf.DUMMYFUNCTION("""COMPUTED_VALUE"""),"city_skin")</f>
        <v>city_skin</v>
      </c>
      <c r="E891" s="148">
        <f>IFERROR(__xludf.DUMMYFUNCTION("""COMPUTED_VALUE"""),21.0)</f>
        <v>21</v>
      </c>
      <c r="F891" s="148">
        <f>IFERROR(__xludf.DUMMYFUNCTION("""COMPUTED_VALUE"""),404201.0)</f>
        <v>404201</v>
      </c>
      <c r="G891" s="148">
        <f>IFERROR(__xludf.DUMMYFUNCTION("""COMPUTED_VALUE"""),1.51102993E8)</f>
        <v>151102993</v>
      </c>
      <c r="H891" s="148">
        <f>IFERROR(__xludf.DUMMYFUNCTION("""COMPUTED_VALUE"""),1.5112564E7)</f>
        <v>15112564</v>
      </c>
      <c r="I891" s="148" t="str">
        <f>IFERROR(__xludf.DUMMYFUNCTION("""COMPUTED_VALUE"""),"{}")</f>
        <v>{}</v>
      </c>
      <c r="J891" s="148" t="str">
        <f>IFERROR(__xludf.DUMMYFUNCTION("""COMPUTED_VALUE"""),"{""typ"":""lc"",""txt"":""LC_ITEM_2025hallo_lowcity_skin_title""}")</f>
        <v>{"typ":"lc","txt":"LC_ITEM_2025hallo_lowcity_skin_title"}</v>
      </c>
      <c r="K891" s="148" t="str">
        <f>IFERROR(__xludf.DUMMYFUNCTION("""COMPUTED_VALUE"""),"{""typ"":""lc"",""txt"":""LC_ITEM_2025hallo_lowcity_skin_desc_forever""}")</f>
        <v>{"typ":"lc","txt":"LC_ITEM_2025hallo_lowcity_skin_desc_forever"}</v>
      </c>
      <c r="L891" s="148" t="str">
        <f>IFERROR(__xludf.DUMMYFUNCTION("""COMPUTED_VALUE"""),"{""typ"":""lc"",""txt"":""LC_ITEM_city_skin_rocket_use_tips""}")</f>
        <v>{"typ":"lc","txt":"LC_ITEM_city_skin_rocket_use_tips"}</v>
      </c>
      <c r="M891" s="148">
        <f>IFERROR(__xludf.DUMMYFUNCTION("""COMPUTED_VALUE"""),10000.0)</f>
        <v>10000</v>
      </c>
      <c r="N891" s="148">
        <f>IFERROR(__xludf.DUMMYFUNCTION("""COMPUTED_VALUE"""),999.0)</f>
        <v>999</v>
      </c>
      <c r="O891" s="148">
        <f>IFERROR(__xludf.DUMMYFUNCTION("""COMPUTED_VALUE"""),1.0)</f>
        <v>1</v>
      </c>
      <c r="P891" s="148">
        <f>IFERROR(__xludf.DUMMYFUNCTION("""COMPUTED_VALUE"""),1.0)</f>
        <v>1</v>
      </c>
      <c r="Q891" s="148" t="str">
        <f>IFERROR(__xludf.DUMMYFUNCTION("""COMPUTED_VALUE"""),"[""bag_other""]")</f>
        <v>["bag_other"]</v>
      </c>
      <c r="R891" s="148" t="str">
        <f>IFERROR(__xludf.DUMMYFUNCTION("""COMPUTED_VALUE"""),"[""bag"",""13121083""]")</f>
        <v>["bag","13121083"]</v>
      </c>
      <c r="S891" s="148" t="str">
        <f>IFERROR(__xludf.DUMMYFUNCTION("""COMPUTED_VALUE"""),"{""effect"":[{""typ"":""city_skin"",""id"":13121083,""val"":-1},{""typ"":""item"",""id"":11112030,""val"":4000}]}")</f>
        <v>{"effect":[{"typ":"city_skin","id":13121083,"val":-1},{"typ":"item","id":11112030,"val":4000}]}</v>
      </c>
      <c r="T891" s="148">
        <f>IFERROR(__xludf.DUMMYFUNCTION("""COMPUTED_VALUE"""),-1.0)</f>
        <v>-1</v>
      </c>
      <c r="U891" s="148">
        <f>IFERROR(__xludf.DUMMYFUNCTION("""COMPUTED_VALUE"""),0.0)</f>
        <v>0</v>
      </c>
      <c r="V891" s="148" t="str">
        <f>IFERROR(__xludf.DUMMYFUNCTION("""COMPUTED_VALUE"""),"[]")</f>
        <v>[]</v>
      </c>
      <c r="W891" s="148">
        <f>IFERROR(__xludf.DUMMYFUNCTION("""COMPUTED_VALUE"""),1.174E7)</f>
        <v>11740000</v>
      </c>
      <c r="X891" s="148">
        <f>IFERROR(__xludf.DUMMYFUNCTION("""COMPUTED_VALUE"""),0.0)</f>
        <v>0</v>
      </c>
      <c r="Y891" s="148">
        <f>IFERROR(__xludf.DUMMYFUNCTION("""COMPUTED_VALUE"""),0.0)</f>
        <v>0</v>
      </c>
      <c r="Z891" s="148"/>
    </row>
    <row r="892">
      <c r="A892" s="148">
        <f>IFERROR(__xludf.DUMMYFUNCTION("""COMPUTED_VALUE"""),1.1112689E7)</f>
        <v>11112689</v>
      </c>
      <c r="B892" s="148" t="str">
        <f>IFERROR(__xludf.DUMMYFUNCTION("""COMPUTED_VALUE"""),"主城皮肤-万圣节2025-2天")</f>
        <v>主城皮肤-万圣节2025-2天</v>
      </c>
      <c r="C892" s="148"/>
      <c r="D892" s="148" t="str">
        <f>IFERROR(__xludf.DUMMYFUNCTION("""COMPUTED_VALUE"""),"city_skin")</f>
        <v>city_skin</v>
      </c>
      <c r="E892" s="148">
        <f>IFERROR(__xludf.DUMMYFUNCTION("""COMPUTED_VALUE"""),21.0)</f>
        <v>21</v>
      </c>
      <c r="F892" s="148">
        <f>IFERROR(__xludf.DUMMYFUNCTION("""COMPUTED_VALUE"""),404201.0)</f>
        <v>404201</v>
      </c>
      <c r="G892" s="148">
        <f>IFERROR(__xludf.DUMMYFUNCTION("""COMPUTED_VALUE"""),1.51102993E8)</f>
        <v>151102993</v>
      </c>
      <c r="H892" s="148">
        <f>IFERROR(__xludf.DUMMYFUNCTION("""COMPUTED_VALUE"""),1.5112563E7)</f>
        <v>15112563</v>
      </c>
      <c r="I892" s="148" t="str">
        <f>IFERROR(__xludf.DUMMYFUNCTION("""COMPUTED_VALUE"""),"{""typ"":""lc"",""txt"":""LC_ITEM_time_day_upper_show"",""args"":[{""typ"":""int"",""val"":2}]}")</f>
        <v>{"typ":"lc","txt":"LC_ITEM_time_day_upper_show","args":[{"typ":"int","val":2}]}</v>
      </c>
      <c r="J892" s="148" t="str">
        <f>IFERROR(__xludf.DUMMYFUNCTION("""COMPUTED_VALUE"""),"{""typ"":""lc"",""txt"":""LC_ITEM_2025hallo_lowcity_skin_title_2day""}")</f>
        <v>{"typ":"lc","txt":"LC_ITEM_2025hallo_lowcity_skin_title_2day"}</v>
      </c>
      <c r="K892" s="148" t="str">
        <f>IFERROR(__xludf.DUMMYFUNCTION("""COMPUTED_VALUE"""),"{""typ"":""lc"",""txt"":""LC_ITEM_2025hallo_lowcity_skin_desc_2day""}")</f>
        <v>{"typ":"lc","txt":"LC_ITEM_2025hallo_lowcity_skin_desc_2day"}</v>
      </c>
      <c r="L892" s="148" t="str">
        <f>IFERROR(__xludf.DUMMYFUNCTION("""COMPUTED_VALUE"""),"{""typ"":""lc"",""txt"":""LC_ITEM_city_skin_rocket_use_tips""}")</f>
        <v>{"typ":"lc","txt":"LC_ITEM_city_skin_rocket_use_tips"}</v>
      </c>
      <c r="M892" s="148">
        <f>IFERROR(__xludf.DUMMYFUNCTION("""COMPUTED_VALUE"""),10000.0)</f>
        <v>10000</v>
      </c>
      <c r="N892" s="148">
        <f>IFERROR(__xludf.DUMMYFUNCTION("""COMPUTED_VALUE"""),999.0)</f>
        <v>999</v>
      </c>
      <c r="O892" s="148">
        <f>IFERROR(__xludf.DUMMYFUNCTION("""COMPUTED_VALUE"""),1.0)</f>
        <v>1</v>
      </c>
      <c r="P892" s="148">
        <f>IFERROR(__xludf.DUMMYFUNCTION("""COMPUTED_VALUE"""),1.0)</f>
        <v>1</v>
      </c>
      <c r="Q892" s="148" t="str">
        <f>IFERROR(__xludf.DUMMYFUNCTION("""COMPUTED_VALUE"""),"[""bag_other""]")</f>
        <v>["bag_other"]</v>
      </c>
      <c r="R892" s="148" t="str">
        <f>IFERROR(__xludf.DUMMYFUNCTION("""COMPUTED_VALUE"""),"[""bag"",""13121083""]")</f>
        <v>["bag","13121083"]</v>
      </c>
      <c r="S892" s="148" t="str">
        <f>IFERROR(__xludf.DUMMYFUNCTION("""COMPUTED_VALUE"""),"{""effect"":[{""typ"":""city_skin"",""id"":13121083,""val"":172800000},{""typ"":""item"",""id"":11111021,""val"":1}]}")</f>
        <v>{"effect":[{"typ":"city_skin","id":13121083,"val":172800000},{"typ":"item","id":11111021,"val":1}]}</v>
      </c>
      <c r="T892" s="148">
        <f>IFERROR(__xludf.DUMMYFUNCTION("""COMPUTED_VALUE"""),-1.0)</f>
        <v>-1</v>
      </c>
      <c r="U892" s="148">
        <f>IFERROR(__xludf.DUMMYFUNCTION("""COMPUTED_VALUE"""),0.0)</f>
        <v>0</v>
      </c>
      <c r="V892" s="148" t="str">
        <f>IFERROR(__xludf.DUMMYFUNCTION("""COMPUTED_VALUE"""),"[]")</f>
        <v>[]</v>
      </c>
      <c r="W892" s="148">
        <f>IFERROR(__xludf.DUMMYFUNCTION("""COMPUTED_VALUE"""),1.174E7)</f>
        <v>11740000</v>
      </c>
      <c r="X892" s="148">
        <f>IFERROR(__xludf.DUMMYFUNCTION("""COMPUTED_VALUE"""),0.0)</f>
        <v>0</v>
      </c>
      <c r="Y892" s="148">
        <f>IFERROR(__xludf.DUMMYFUNCTION("""COMPUTED_VALUE"""),0.0)</f>
        <v>0</v>
      </c>
      <c r="Z892" s="148"/>
    </row>
    <row r="893">
      <c r="A893" s="148">
        <f>IFERROR(__xludf.DUMMYFUNCTION("""COMPUTED_VALUE"""),1.111269E7)</f>
        <v>11112690</v>
      </c>
      <c r="B893" s="148" t="str">
        <f>IFERROR(__xludf.DUMMYFUNCTION("""COMPUTED_VALUE"""),"主城皮肤-万圣节2025-7天")</f>
        <v>主城皮肤-万圣节2025-7天</v>
      </c>
      <c r="C893" s="148"/>
      <c r="D893" s="148" t="str">
        <f>IFERROR(__xludf.DUMMYFUNCTION("""COMPUTED_VALUE"""),"city_skin")</f>
        <v>city_skin</v>
      </c>
      <c r="E893" s="148">
        <f>IFERROR(__xludf.DUMMYFUNCTION("""COMPUTED_VALUE"""),21.0)</f>
        <v>21</v>
      </c>
      <c r="F893" s="148">
        <f>IFERROR(__xludf.DUMMYFUNCTION("""COMPUTED_VALUE"""),404201.0)</f>
        <v>404201</v>
      </c>
      <c r="G893" s="148">
        <f>IFERROR(__xludf.DUMMYFUNCTION("""COMPUTED_VALUE"""),1.51102993E8)</f>
        <v>151102993</v>
      </c>
      <c r="H893" s="148">
        <f>IFERROR(__xludf.DUMMYFUNCTION("""COMPUTED_VALUE"""),1.5112564E7)</f>
        <v>15112564</v>
      </c>
      <c r="I893" s="148" t="str">
        <f>IFERROR(__xludf.DUMMYFUNCTION("""COMPUTED_VALUE"""),"{""typ"":""lc"",""txt"":""LC_ITEM_time_day_upper_show"",""args"":[{""typ"":""int"",""val"":7}]}")</f>
        <v>{"typ":"lc","txt":"LC_ITEM_time_day_upper_show","args":[{"typ":"int","val":7}]}</v>
      </c>
      <c r="J893" s="148" t="str">
        <f>IFERROR(__xludf.DUMMYFUNCTION("""COMPUTED_VALUE"""),"{""typ"":""lc"",""txt"":""LC_ITEM_2025hallo_lowcity_skin_title_7day""}")</f>
        <v>{"typ":"lc","txt":"LC_ITEM_2025hallo_lowcity_skin_title_7day"}</v>
      </c>
      <c r="K893" s="148" t="str">
        <f>IFERROR(__xludf.DUMMYFUNCTION("""COMPUTED_VALUE"""),"{""typ"":""lc"",""txt"":""LC_ITEM_2025hallo_lowcity_skin_desc_7day""}")</f>
        <v>{"typ":"lc","txt":"LC_ITEM_2025hallo_lowcity_skin_desc_7day"}</v>
      </c>
      <c r="L893" s="148" t="str">
        <f>IFERROR(__xludf.DUMMYFUNCTION("""COMPUTED_VALUE"""),"{""typ"":""lc"",""txt"":""LC_ITEM_city_skin_rocket_use_tips""}")</f>
        <v>{"typ":"lc","txt":"LC_ITEM_city_skin_rocket_use_tips"}</v>
      </c>
      <c r="M893" s="148">
        <f>IFERROR(__xludf.DUMMYFUNCTION("""COMPUTED_VALUE"""),10000.0)</f>
        <v>10000</v>
      </c>
      <c r="N893" s="148">
        <f>IFERROR(__xludf.DUMMYFUNCTION("""COMPUTED_VALUE"""),999.0)</f>
        <v>999</v>
      </c>
      <c r="O893" s="148">
        <f>IFERROR(__xludf.DUMMYFUNCTION("""COMPUTED_VALUE"""),1.0)</f>
        <v>1</v>
      </c>
      <c r="P893" s="148">
        <f>IFERROR(__xludf.DUMMYFUNCTION("""COMPUTED_VALUE"""),1.0)</f>
        <v>1</v>
      </c>
      <c r="Q893" s="148" t="str">
        <f>IFERROR(__xludf.DUMMYFUNCTION("""COMPUTED_VALUE"""),"[""bag_other""]")</f>
        <v>["bag_other"]</v>
      </c>
      <c r="R893" s="148" t="str">
        <f>IFERROR(__xludf.DUMMYFUNCTION("""COMPUTED_VALUE"""),"[""bag"",""13121083""]")</f>
        <v>["bag","13121083"]</v>
      </c>
      <c r="S893" s="148" t="str">
        <f>IFERROR(__xludf.DUMMYFUNCTION("""COMPUTED_VALUE"""),"{""effect"":[{""typ"":""city_skin"",""id"":13121083,""val"":604800000},{""typ"":""item"",""id"":11111021,""val"":3}]}")</f>
        <v>{"effect":[{"typ":"city_skin","id":13121083,"val":604800000},{"typ":"item","id":11111021,"val":3}]}</v>
      </c>
      <c r="T893" s="148">
        <f>IFERROR(__xludf.DUMMYFUNCTION("""COMPUTED_VALUE"""),-1.0)</f>
        <v>-1</v>
      </c>
      <c r="U893" s="148">
        <f>IFERROR(__xludf.DUMMYFUNCTION("""COMPUTED_VALUE"""),0.0)</f>
        <v>0</v>
      </c>
      <c r="V893" s="148" t="str">
        <f>IFERROR(__xludf.DUMMYFUNCTION("""COMPUTED_VALUE"""),"[]")</f>
        <v>[]</v>
      </c>
      <c r="W893" s="148">
        <f>IFERROR(__xludf.DUMMYFUNCTION("""COMPUTED_VALUE"""),1.174E7)</f>
        <v>11740000</v>
      </c>
      <c r="X893" s="148">
        <f>IFERROR(__xludf.DUMMYFUNCTION("""COMPUTED_VALUE"""),0.0)</f>
        <v>0</v>
      </c>
      <c r="Y893" s="148">
        <f>IFERROR(__xludf.DUMMYFUNCTION("""COMPUTED_VALUE"""),0.0)</f>
        <v>0</v>
      </c>
      <c r="Z893" s="148"/>
    </row>
    <row r="894">
      <c r="A894" s="148">
        <f>IFERROR(__xludf.DUMMYFUNCTION("""COMPUTED_VALUE"""),1.1112691E7)</f>
        <v>11112691</v>
      </c>
      <c r="B894" s="148" t="str">
        <f>IFERROR(__xludf.DUMMYFUNCTION("""COMPUTED_VALUE"""),"主城皮肤-万圣节2025-14天")</f>
        <v>主城皮肤-万圣节2025-14天</v>
      </c>
      <c r="C894" s="148"/>
      <c r="D894" s="148" t="str">
        <f>IFERROR(__xludf.DUMMYFUNCTION("""COMPUTED_VALUE"""),"city_skin")</f>
        <v>city_skin</v>
      </c>
      <c r="E894" s="148">
        <f>IFERROR(__xludf.DUMMYFUNCTION("""COMPUTED_VALUE"""),21.0)</f>
        <v>21</v>
      </c>
      <c r="F894" s="148">
        <f>IFERROR(__xludf.DUMMYFUNCTION("""COMPUTED_VALUE"""),404201.0)</f>
        <v>404201</v>
      </c>
      <c r="G894" s="148">
        <f>IFERROR(__xludf.DUMMYFUNCTION("""COMPUTED_VALUE"""),1.51102993E8)</f>
        <v>151102993</v>
      </c>
      <c r="H894" s="148">
        <f>IFERROR(__xludf.DUMMYFUNCTION("""COMPUTED_VALUE"""),1.5112564E7)</f>
        <v>15112564</v>
      </c>
      <c r="I894" s="148" t="str">
        <f>IFERROR(__xludf.DUMMYFUNCTION("""COMPUTED_VALUE"""),"{""typ"":""lc"",""txt"":""LC_ITEM_time_day_upper_show"",""args"":[{""typ"":""int"",""val"":14}]}")</f>
        <v>{"typ":"lc","txt":"LC_ITEM_time_day_upper_show","args":[{"typ":"int","val":14}]}</v>
      </c>
      <c r="J894" s="148" t="str">
        <f>IFERROR(__xludf.DUMMYFUNCTION("""COMPUTED_VALUE"""),"{""typ"":""lc"",""txt"":""LC_ITEM_2025hallo_lowcity_skin_title_14day""}")</f>
        <v>{"typ":"lc","txt":"LC_ITEM_2025hallo_lowcity_skin_title_14day"}</v>
      </c>
      <c r="K894" s="148" t="str">
        <f>IFERROR(__xludf.DUMMYFUNCTION("""COMPUTED_VALUE"""),"{""typ"":""lc"",""txt"":""LC_ITEM_2025hallo_lowcity_skin_desc_14day""}")</f>
        <v>{"typ":"lc","txt":"LC_ITEM_2025hallo_lowcity_skin_desc_14day"}</v>
      </c>
      <c r="L894" s="148" t="str">
        <f>IFERROR(__xludf.DUMMYFUNCTION("""COMPUTED_VALUE"""),"{""typ"":""lc"",""txt"":""LC_ITEM_city_skin_rocket_use_tips""}")</f>
        <v>{"typ":"lc","txt":"LC_ITEM_city_skin_rocket_use_tips"}</v>
      </c>
      <c r="M894" s="148">
        <f>IFERROR(__xludf.DUMMYFUNCTION("""COMPUTED_VALUE"""),10000.0)</f>
        <v>10000</v>
      </c>
      <c r="N894" s="148">
        <f>IFERROR(__xludf.DUMMYFUNCTION("""COMPUTED_VALUE"""),999.0)</f>
        <v>999</v>
      </c>
      <c r="O894" s="148">
        <f>IFERROR(__xludf.DUMMYFUNCTION("""COMPUTED_VALUE"""),1.0)</f>
        <v>1</v>
      </c>
      <c r="P894" s="148">
        <f>IFERROR(__xludf.DUMMYFUNCTION("""COMPUTED_VALUE"""),1.0)</f>
        <v>1</v>
      </c>
      <c r="Q894" s="148" t="str">
        <f>IFERROR(__xludf.DUMMYFUNCTION("""COMPUTED_VALUE"""),"[""bag_other""]")</f>
        <v>["bag_other"]</v>
      </c>
      <c r="R894" s="148" t="str">
        <f>IFERROR(__xludf.DUMMYFUNCTION("""COMPUTED_VALUE"""),"[""bag"",""13121083""]")</f>
        <v>["bag","13121083"]</v>
      </c>
      <c r="S894" s="148" t="str">
        <f>IFERROR(__xludf.DUMMYFUNCTION("""COMPUTED_VALUE"""),"{""effect"":[{""typ"":""city_skin"",""id"":13121083,""val"":1209600000},{""typ"":""item"",""id"":11111021,""val"":7}]}")</f>
        <v>{"effect":[{"typ":"city_skin","id":13121083,"val":1209600000},{"typ":"item","id":11111021,"val":7}]}</v>
      </c>
      <c r="T894" s="148">
        <f>IFERROR(__xludf.DUMMYFUNCTION("""COMPUTED_VALUE"""),-1.0)</f>
        <v>-1</v>
      </c>
      <c r="U894" s="148">
        <f>IFERROR(__xludf.DUMMYFUNCTION("""COMPUTED_VALUE"""),0.0)</f>
        <v>0</v>
      </c>
      <c r="V894" s="148" t="str">
        <f>IFERROR(__xludf.DUMMYFUNCTION("""COMPUTED_VALUE"""),"[]")</f>
        <v>[]</v>
      </c>
      <c r="W894" s="148">
        <f>IFERROR(__xludf.DUMMYFUNCTION("""COMPUTED_VALUE"""),1.174E7)</f>
        <v>11740000</v>
      </c>
      <c r="X894" s="148">
        <f>IFERROR(__xludf.DUMMYFUNCTION("""COMPUTED_VALUE"""),0.0)</f>
        <v>0</v>
      </c>
      <c r="Y894" s="148">
        <f>IFERROR(__xludf.DUMMYFUNCTION("""COMPUTED_VALUE"""),0.0)</f>
        <v>0</v>
      </c>
      <c r="Z894" s="148"/>
    </row>
    <row r="895">
      <c r="A895" s="148">
        <f>IFERROR(__xludf.DUMMYFUNCTION("""COMPUTED_VALUE"""),1.1112692E7)</f>
        <v>11112692</v>
      </c>
      <c r="B895" s="148" t="str">
        <f>IFERROR(__xludf.DUMMYFUNCTION("""COMPUTED_VALUE"""),"主城皮肤-沙滩节初级皮肤染色2024")</f>
        <v>主城皮肤-沙滩节初级皮肤染色2024</v>
      </c>
      <c r="C895" s="148"/>
      <c r="D895" s="148" t="str">
        <f>IFERROR(__xludf.DUMMYFUNCTION("""COMPUTED_VALUE"""),"city_skin")</f>
        <v>city_skin</v>
      </c>
      <c r="E895" s="148">
        <f>IFERROR(__xludf.DUMMYFUNCTION("""COMPUTED_VALUE"""),21.0)</f>
        <v>21</v>
      </c>
      <c r="F895" s="148">
        <f>IFERROR(__xludf.DUMMYFUNCTION("""COMPUTED_VALUE"""),404201.0)</f>
        <v>404201</v>
      </c>
      <c r="G895" s="148">
        <f>IFERROR(__xludf.DUMMYFUNCTION("""COMPUTED_VALUE"""),1.51103111E8)</f>
        <v>151103111</v>
      </c>
      <c r="H895" s="148">
        <f>IFERROR(__xludf.DUMMYFUNCTION("""COMPUTED_VALUE"""),1.5112564E7)</f>
        <v>15112564</v>
      </c>
      <c r="I895" s="148" t="str">
        <f>IFERROR(__xludf.DUMMYFUNCTION("""COMPUTED_VALUE"""),"{}")</f>
        <v>{}</v>
      </c>
      <c r="J895" s="148" t="str">
        <f>IFERROR(__xludf.DUMMYFUNCTION("""COMPUTED_VALUE"""),"{""typ"":""lc"",""txt"":""LC_ITEM_2024beach_lowcity_skin_title_color""}")</f>
        <v>{"typ":"lc","txt":"LC_ITEM_2024beach_lowcity_skin_title_color"}</v>
      </c>
      <c r="K895" s="148" t="str">
        <f>IFERROR(__xludf.DUMMYFUNCTION("""COMPUTED_VALUE"""),"{""typ"":""lc"",""txt"":""LC_ITEM_2024beach_lowcity_skin_desc_forever_color""}")</f>
        <v>{"typ":"lc","txt":"LC_ITEM_2024beach_lowcity_skin_desc_forever_color"}</v>
      </c>
      <c r="L895" s="148" t="str">
        <f>IFERROR(__xludf.DUMMYFUNCTION("""COMPUTED_VALUE"""),"{""typ"":""lc"",""txt"":""LC_ITEM_city_skin_rocket_use_tips""}")</f>
        <v>{"typ":"lc","txt":"LC_ITEM_city_skin_rocket_use_tips"}</v>
      </c>
      <c r="M895" s="148">
        <f>IFERROR(__xludf.DUMMYFUNCTION("""COMPUTED_VALUE"""),10000.0)</f>
        <v>10000</v>
      </c>
      <c r="N895" s="148">
        <f>IFERROR(__xludf.DUMMYFUNCTION("""COMPUTED_VALUE"""),999.0)</f>
        <v>999</v>
      </c>
      <c r="O895" s="148">
        <f>IFERROR(__xludf.DUMMYFUNCTION("""COMPUTED_VALUE"""),1.0)</f>
        <v>1</v>
      </c>
      <c r="P895" s="148">
        <f>IFERROR(__xludf.DUMMYFUNCTION("""COMPUTED_VALUE"""),1.0)</f>
        <v>1</v>
      </c>
      <c r="Q895" s="148" t="str">
        <f>IFERROR(__xludf.DUMMYFUNCTION("""COMPUTED_VALUE"""),"[""bag_other""]")</f>
        <v>["bag_other"]</v>
      </c>
      <c r="R895" s="148" t="str">
        <f>IFERROR(__xludf.DUMMYFUNCTION("""COMPUTED_VALUE"""),"[""bag"",""13121085""]")</f>
        <v>["bag","13121085"]</v>
      </c>
      <c r="S895" s="148" t="str">
        <f>IFERROR(__xludf.DUMMYFUNCTION("""COMPUTED_VALUE"""),"{""effect"":[{""typ"":""city_skin"",""id"":13121085,""val"":-1},{""typ"":""item"",""id"":11112030,""val"":4000}]}")</f>
        <v>{"effect":[{"typ":"city_skin","id":13121085,"val":-1},{"typ":"item","id":11112030,"val":4000}]}</v>
      </c>
      <c r="T895" s="148">
        <f>IFERROR(__xludf.DUMMYFUNCTION("""COMPUTED_VALUE"""),-1.0)</f>
        <v>-1</v>
      </c>
      <c r="U895" s="148">
        <f>IFERROR(__xludf.DUMMYFUNCTION("""COMPUTED_VALUE"""),0.0)</f>
        <v>0</v>
      </c>
      <c r="V895" s="148" t="str">
        <f>IFERROR(__xludf.DUMMYFUNCTION("""COMPUTED_VALUE"""),"[]")</f>
        <v>[]</v>
      </c>
      <c r="W895" s="148">
        <f>IFERROR(__xludf.DUMMYFUNCTION("""COMPUTED_VALUE"""),1.174E7)</f>
        <v>11740000</v>
      </c>
      <c r="X895" s="148">
        <f>IFERROR(__xludf.DUMMYFUNCTION("""COMPUTED_VALUE"""),0.0)</f>
        <v>0</v>
      </c>
      <c r="Y895" s="148">
        <f>IFERROR(__xludf.DUMMYFUNCTION("""COMPUTED_VALUE"""),0.0)</f>
        <v>0</v>
      </c>
      <c r="Z895" s="148"/>
    </row>
    <row r="896">
      <c r="A896" s="148">
        <f>IFERROR(__xludf.DUMMYFUNCTION("""COMPUTED_VALUE"""),1.1112693E7)</f>
        <v>11112693</v>
      </c>
      <c r="B896" s="148" t="str">
        <f>IFERROR(__xludf.DUMMYFUNCTION("""COMPUTED_VALUE"""),"主城皮肤-春节初级皮肤染色2024")</f>
        <v>主城皮肤-春节初级皮肤染色2024</v>
      </c>
      <c r="C896" s="148"/>
      <c r="D896" s="148" t="str">
        <f>IFERROR(__xludf.DUMMYFUNCTION("""COMPUTED_VALUE"""),"city_skin")</f>
        <v>city_skin</v>
      </c>
      <c r="E896" s="148">
        <f>IFERROR(__xludf.DUMMYFUNCTION("""COMPUTED_VALUE"""),21.0)</f>
        <v>21</v>
      </c>
      <c r="F896" s="148">
        <f>IFERROR(__xludf.DUMMYFUNCTION("""COMPUTED_VALUE"""),404201.0)</f>
        <v>404201</v>
      </c>
      <c r="G896" s="148">
        <f>IFERROR(__xludf.DUMMYFUNCTION("""COMPUTED_VALUE"""),1.51103114E8)</f>
        <v>151103114</v>
      </c>
      <c r="H896" s="148">
        <f>IFERROR(__xludf.DUMMYFUNCTION("""COMPUTED_VALUE"""),1.5112564E7)</f>
        <v>15112564</v>
      </c>
      <c r="I896" s="148" t="str">
        <f>IFERROR(__xludf.DUMMYFUNCTION("""COMPUTED_VALUE"""),"{}")</f>
        <v>{}</v>
      </c>
      <c r="J896" s="148" t="str">
        <f>IFERROR(__xludf.DUMMYFUNCTION("""COMPUTED_VALUE"""),"{""typ"":""lc"",""txt"":""LC_ITEM_2024spring_lowcity_skin_title_color""}")</f>
        <v>{"typ":"lc","txt":"LC_ITEM_2024spring_lowcity_skin_title_color"}</v>
      </c>
      <c r="K896" s="148" t="str">
        <f>IFERROR(__xludf.DUMMYFUNCTION("""COMPUTED_VALUE"""),"{""typ"":""lc"",""txt"":""LC_ITEM_2024spring_lowcity_skin_desc_forever_color""}")</f>
        <v>{"typ":"lc","txt":"LC_ITEM_2024spring_lowcity_skin_desc_forever_color"}</v>
      </c>
      <c r="L896" s="148" t="str">
        <f>IFERROR(__xludf.DUMMYFUNCTION("""COMPUTED_VALUE"""),"{""typ"":""lc"",""txt"":""LC_ITEM_city_skin_rocket_use_tips""}")</f>
        <v>{"typ":"lc","txt":"LC_ITEM_city_skin_rocket_use_tips"}</v>
      </c>
      <c r="M896" s="148">
        <f>IFERROR(__xludf.DUMMYFUNCTION("""COMPUTED_VALUE"""),10000.0)</f>
        <v>10000</v>
      </c>
      <c r="N896" s="148">
        <f>IFERROR(__xludf.DUMMYFUNCTION("""COMPUTED_VALUE"""),999.0)</f>
        <v>999</v>
      </c>
      <c r="O896" s="148">
        <f>IFERROR(__xludf.DUMMYFUNCTION("""COMPUTED_VALUE"""),1.0)</f>
        <v>1</v>
      </c>
      <c r="P896" s="148">
        <f>IFERROR(__xludf.DUMMYFUNCTION("""COMPUTED_VALUE"""),1.0)</f>
        <v>1</v>
      </c>
      <c r="Q896" s="148" t="str">
        <f>IFERROR(__xludf.DUMMYFUNCTION("""COMPUTED_VALUE"""),"[""bag_other""]")</f>
        <v>["bag_other"]</v>
      </c>
      <c r="R896" s="148" t="str">
        <f>IFERROR(__xludf.DUMMYFUNCTION("""COMPUTED_VALUE"""),"[""bag"",""13121088""]")</f>
        <v>["bag","13121088"]</v>
      </c>
      <c r="S896" s="148" t="str">
        <f>IFERROR(__xludf.DUMMYFUNCTION("""COMPUTED_VALUE"""),"{""effect"":[{""typ"":""city_skin"",""id"":13121088,""val"":-1},{""typ"":""item"",""id"":11112030,""val"":4000}]}")</f>
        <v>{"effect":[{"typ":"city_skin","id":13121088,"val":-1},{"typ":"item","id":11112030,"val":4000}]}</v>
      </c>
      <c r="T896" s="148">
        <f>IFERROR(__xludf.DUMMYFUNCTION("""COMPUTED_VALUE"""),-1.0)</f>
        <v>-1</v>
      </c>
      <c r="U896" s="148">
        <f>IFERROR(__xludf.DUMMYFUNCTION("""COMPUTED_VALUE"""),0.0)</f>
        <v>0</v>
      </c>
      <c r="V896" s="148" t="str">
        <f>IFERROR(__xludf.DUMMYFUNCTION("""COMPUTED_VALUE"""),"[]")</f>
        <v>[]</v>
      </c>
      <c r="W896" s="148">
        <f>IFERROR(__xludf.DUMMYFUNCTION("""COMPUTED_VALUE"""),1.174E7)</f>
        <v>11740000</v>
      </c>
      <c r="X896" s="148">
        <f>IFERROR(__xludf.DUMMYFUNCTION("""COMPUTED_VALUE"""),0.0)</f>
        <v>0</v>
      </c>
      <c r="Y896" s="148">
        <f>IFERROR(__xludf.DUMMYFUNCTION("""COMPUTED_VALUE"""),0.0)</f>
        <v>0</v>
      </c>
      <c r="Z896" s="148"/>
    </row>
    <row r="897">
      <c r="A897" s="148">
        <f>IFERROR(__xludf.DUMMYFUNCTION("""COMPUTED_VALUE"""),1.1112694E7)</f>
        <v>11112694</v>
      </c>
      <c r="B897" s="148" t="str">
        <f>IFERROR(__xludf.DUMMYFUNCTION("""COMPUTED_VALUE"""),"主城皮肤-登月节初级皮肤染色2024")</f>
        <v>主城皮肤-登月节初级皮肤染色2024</v>
      </c>
      <c r="C897" s="148"/>
      <c r="D897" s="148" t="str">
        <f>IFERROR(__xludf.DUMMYFUNCTION("""COMPUTED_VALUE"""),"city_skin")</f>
        <v>city_skin</v>
      </c>
      <c r="E897" s="148">
        <f>IFERROR(__xludf.DUMMYFUNCTION("""COMPUTED_VALUE"""),21.0)</f>
        <v>21</v>
      </c>
      <c r="F897" s="148">
        <f>IFERROR(__xludf.DUMMYFUNCTION("""COMPUTED_VALUE"""),404201.0)</f>
        <v>404201</v>
      </c>
      <c r="G897" s="148">
        <f>IFERROR(__xludf.DUMMYFUNCTION("""COMPUTED_VALUE"""),1.51103112E8)</f>
        <v>151103112</v>
      </c>
      <c r="H897" s="148">
        <f>IFERROR(__xludf.DUMMYFUNCTION("""COMPUTED_VALUE"""),1.5112564E7)</f>
        <v>15112564</v>
      </c>
      <c r="I897" s="148" t="str">
        <f>IFERROR(__xludf.DUMMYFUNCTION("""COMPUTED_VALUE"""),"{}")</f>
        <v>{}</v>
      </c>
      <c r="J897" s="148" t="str">
        <f>IFERROR(__xludf.DUMMYFUNCTION("""COMPUTED_VALUE"""),"{""typ"":""lc"",""txt"":""LC_ITEM_2024moon_lowcity_skin_title_color""}")</f>
        <v>{"typ":"lc","txt":"LC_ITEM_2024moon_lowcity_skin_title_color"}</v>
      </c>
      <c r="K897" s="148" t="str">
        <f>IFERROR(__xludf.DUMMYFUNCTION("""COMPUTED_VALUE"""),"{""typ"":""lc"",""txt"":""LC_ITEM_2024moon_lowcity_skin_desc_forever_color""}")</f>
        <v>{"typ":"lc","txt":"LC_ITEM_2024moon_lowcity_skin_desc_forever_color"}</v>
      </c>
      <c r="L897" s="148" t="str">
        <f>IFERROR(__xludf.DUMMYFUNCTION("""COMPUTED_VALUE"""),"{""typ"":""lc"",""txt"":""LC_ITEM_city_skin_rocket_use_tips""}")</f>
        <v>{"typ":"lc","txt":"LC_ITEM_city_skin_rocket_use_tips"}</v>
      </c>
      <c r="M897" s="148">
        <f>IFERROR(__xludf.DUMMYFUNCTION("""COMPUTED_VALUE"""),10000.0)</f>
        <v>10000</v>
      </c>
      <c r="N897" s="148">
        <f>IFERROR(__xludf.DUMMYFUNCTION("""COMPUTED_VALUE"""),999.0)</f>
        <v>999</v>
      </c>
      <c r="O897" s="148">
        <f>IFERROR(__xludf.DUMMYFUNCTION("""COMPUTED_VALUE"""),1.0)</f>
        <v>1</v>
      </c>
      <c r="P897" s="148">
        <f>IFERROR(__xludf.DUMMYFUNCTION("""COMPUTED_VALUE"""),1.0)</f>
        <v>1</v>
      </c>
      <c r="Q897" s="148" t="str">
        <f>IFERROR(__xludf.DUMMYFUNCTION("""COMPUTED_VALUE"""),"[""bag_other""]")</f>
        <v>["bag_other"]</v>
      </c>
      <c r="R897" s="148" t="str">
        <f>IFERROR(__xludf.DUMMYFUNCTION("""COMPUTED_VALUE"""),"[""bag"",""13121086""]")</f>
        <v>["bag","13121086"]</v>
      </c>
      <c r="S897" s="148" t="str">
        <f>IFERROR(__xludf.DUMMYFUNCTION("""COMPUTED_VALUE"""),"{""effect"":[{""typ"":""city_skin"",""id"":13121086,""val"":-1},{""typ"":""item"",""id"":11112030,""val"":4000}]}")</f>
        <v>{"effect":[{"typ":"city_skin","id":13121086,"val":-1},{"typ":"item","id":11112030,"val":4000}]}</v>
      </c>
      <c r="T897" s="148">
        <f>IFERROR(__xludf.DUMMYFUNCTION("""COMPUTED_VALUE"""),-1.0)</f>
        <v>-1</v>
      </c>
      <c r="U897" s="148">
        <f>IFERROR(__xludf.DUMMYFUNCTION("""COMPUTED_VALUE"""),0.0)</f>
        <v>0</v>
      </c>
      <c r="V897" s="148" t="str">
        <f>IFERROR(__xludf.DUMMYFUNCTION("""COMPUTED_VALUE"""),"[]")</f>
        <v>[]</v>
      </c>
      <c r="W897" s="148">
        <f>IFERROR(__xludf.DUMMYFUNCTION("""COMPUTED_VALUE"""),1.174E7)</f>
        <v>11740000</v>
      </c>
      <c r="X897" s="148">
        <f>IFERROR(__xludf.DUMMYFUNCTION("""COMPUTED_VALUE"""),0.0)</f>
        <v>0</v>
      </c>
      <c r="Y897" s="148">
        <f>IFERROR(__xludf.DUMMYFUNCTION("""COMPUTED_VALUE"""),0.0)</f>
        <v>0</v>
      </c>
      <c r="Z897" s="148"/>
    </row>
    <row r="898">
      <c r="A898" s="148">
        <f>IFERROR(__xludf.DUMMYFUNCTION("""COMPUTED_VALUE"""),1.1112695E7)</f>
        <v>11112695</v>
      </c>
      <c r="B898" s="148" t="str">
        <f>IFERROR(__xludf.DUMMYFUNCTION("""COMPUTED_VALUE"""),"主城皮肤-复活节初级皮肤染色2024")</f>
        <v>主城皮肤-复活节初级皮肤染色2024</v>
      </c>
      <c r="C898" s="148"/>
      <c r="D898" s="148" t="str">
        <f>IFERROR(__xludf.DUMMYFUNCTION("""COMPUTED_VALUE"""),"city_skin")</f>
        <v>city_skin</v>
      </c>
      <c r="E898" s="148">
        <f>IFERROR(__xludf.DUMMYFUNCTION("""COMPUTED_VALUE"""),21.0)</f>
        <v>21</v>
      </c>
      <c r="F898" s="148">
        <f>IFERROR(__xludf.DUMMYFUNCTION("""COMPUTED_VALUE"""),404201.0)</f>
        <v>404201</v>
      </c>
      <c r="G898" s="148">
        <f>IFERROR(__xludf.DUMMYFUNCTION("""COMPUTED_VALUE"""),1.51103113E8)</f>
        <v>151103113</v>
      </c>
      <c r="H898" s="148">
        <f>IFERROR(__xludf.DUMMYFUNCTION("""COMPUTED_VALUE"""),1.5112564E7)</f>
        <v>15112564</v>
      </c>
      <c r="I898" s="148" t="str">
        <f>IFERROR(__xludf.DUMMYFUNCTION("""COMPUTED_VALUE"""),"{}")</f>
        <v>{}</v>
      </c>
      <c r="J898" s="148" t="str">
        <f>IFERROR(__xludf.DUMMYFUNCTION("""COMPUTED_VALUE"""),"{""typ"":""lc"",""txt"":""LC_ITEM_2024easter_lowcity_skin_title_color""}")</f>
        <v>{"typ":"lc","txt":"LC_ITEM_2024easter_lowcity_skin_title_color"}</v>
      </c>
      <c r="K898" s="148" t="str">
        <f>IFERROR(__xludf.DUMMYFUNCTION("""COMPUTED_VALUE"""),"{""typ"":""lc"",""txt"":""LC_ITEM_2024easter_lowcity_skin_desc_forever_color""}")</f>
        <v>{"typ":"lc","txt":"LC_ITEM_2024easter_lowcity_skin_desc_forever_color"}</v>
      </c>
      <c r="L898" s="148" t="str">
        <f>IFERROR(__xludf.DUMMYFUNCTION("""COMPUTED_VALUE"""),"{""typ"":""lc"",""txt"":""LC_ITEM_city_skin_rocket_use_tips""}")</f>
        <v>{"typ":"lc","txt":"LC_ITEM_city_skin_rocket_use_tips"}</v>
      </c>
      <c r="M898" s="148">
        <f>IFERROR(__xludf.DUMMYFUNCTION("""COMPUTED_VALUE"""),10000.0)</f>
        <v>10000</v>
      </c>
      <c r="N898" s="148">
        <f>IFERROR(__xludf.DUMMYFUNCTION("""COMPUTED_VALUE"""),999.0)</f>
        <v>999</v>
      </c>
      <c r="O898" s="148">
        <f>IFERROR(__xludf.DUMMYFUNCTION("""COMPUTED_VALUE"""),1.0)</f>
        <v>1</v>
      </c>
      <c r="P898" s="148">
        <f>IFERROR(__xludf.DUMMYFUNCTION("""COMPUTED_VALUE"""),1.0)</f>
        <v>1</v>
      </c>
      <c r="Q898" s="148" t="str">
        <f>IFERROR(__xludf.DUMMYFUNCTION("""COMPUTED_VALUE"""),"[""bag_other""]")</f>
        <v>["bag_other"]</v>
      </c>
      <c r="R898" s="148" t="str">
        <f>IFERROR(__xludf.DUMMYFUNCTION("""COMPUTED_VALUE"""),"[""bag"",""13121087""]")</f>
        <v>["bag","13121087"]</v>
      </c>
      <c r="S898" s="148" t="str">
        <f>IFERROR(__xludf.DUMMYFUNCTION("""COMPUTED_VALUE"""),"{""effect"":[{""typ"":""city_skin"",""id"":13121087,""val"":-1},{""typ"":""item"",""id"":11112030,""val"":4000}]}")</f>
        <v>{"effect":[{"typ":"city_skin","id":13121087,"val":-1},{"typ":"item","id":11112030,"val":4000}]}</v>
      </c>
      <c r="T898" s="148">
        <f>IFERROR(__xludf.DUMMYFUNCTION("""COMPUTED_VALUE"""),-1.0)</f>
        <v>-1</v>
      </c>
      <c r="U898" s="148">
        <f>IFERROR(__xludf.DUMMYFUNCTION("""COMPUTED_VALUE"""),0.0)</f>
        <v>0</v>
      </c>
      <c r="V898" s="148" t="str">
        <f>IFERROR(__xludf.DUMMYFUNCTION("""COMPUTED_VALUE"""),"[]")</f>
        <v>[]</v>
      </c>
      <c r="W898" s="148">
        <f>IFERROR(__xludf.DUMMYFUNCTION("""COMPUTED_VALUE"""),1.174E7)</f>
        <v>11740000</v>
      </c>
      <c r="X898" s="148">
        <f>IFERROR(__xludf.DUMMYFUNCTION("""COMPUTED_VALUE"""),0.0)</f>
        <v>0</v>
      </c>
      <c r="Y898" s="148">
        <f>IFERROR(__xludf.DUMMYFUNCTION("""COMPUTED_VALUE"""),0.0)</f>
        <v>0</v>
      </c>
      <c r="Z898" s="148"/>
    </row>
    <row r="899">
      <c r="A899" s="148">
        <f>IFERROR(__xludf.DUMMYFUNCTION("""COMPUTED_VALUE"""),1.1112696E7)</f>
        <v>11112696</v>
      </c>
      <c r="B899" s="148" t="str">
        <f>IFERROR(__xludf.DUMMYFUNCTION("""COMPUTED_VALUE"""),"2025万圣节-初级染色主城皮肤自选宝箱")</f>
        <v>2025万圣节-初级染色主城皮肤自选宝箱</v>
      </c>
      <c r="C899" s="148"/>
      <c r="D899" s="148" t="str">
        <f>IFERROR(__xludf.DUMMYFUNCTION("""COMPUTED_VALUE"""),"item_select_box")</f>
        <v>item_select_box</v>
      </c>
      <c r="E899" s="148">
        <f>IFERROR(__xludf.DUMMYFUNCTION("""COMPUTED_VALUE"""),19.0)</f>
        <v>19</v>
      </c>
      <c r="F899" s="148">
        <f>IFERROR(__xludf.DUMMYFUNCTION("""COMPUTED_VALUE"""),408195.0)</f>
        <v>408195</v>
      </c>
      <c r="G899" s="148">
        <f>IFERROR(__xludf.DUMMYFUNCTION("""COMPUTED_VALUE"""),1.51103065E8)</f>
        <v>151103065</v>
      </c>
      <c r="H899" s="148">
        <f>IFERROR(__xludf.DUMMYFUNCTION("""COMPUTED_VALUE"""),1.5112564E7)</f>
        <v>15112564</v>
      </c>
      <c r="I899" s="148" t="str">
        <f>IFERROR(__xludf.DUMMYFUNCTION("""COMPUTED_VALUE"""),"{}")</f>
        <v>{}</v>
      </c>
      <c r="J899" s="148" t="str">
        <f>IFERROR(__xludf.DUMMYFUNCTION("""COMPUTED_VALUE"""),"{""typ"":""lc"",""txt"":""LC_ITEM_halloween2025_skin_select_1""}")</f>
        <v>{"typ":"lc","txt":"LC_ITEM_halloween2025_skin_select_1"}</v>
      </c>
      <c r="K899" s="148" t="str">
        <f>IFERROR(__xludf.DUMMYFUNCTION("""COMPUTED_VALUE"""),"{""typ"":""lc"",""txt"":""LC_ITEM_halloween2025_skin_select_desc_1""}")</f>
        <v>{"typ":"lc","txt":"LC_ITEM_halloween2025_skin_select_desc_1"}</v>
      </c>
      <c r="L899" s="148" t="str">
        <f>IFERROR(__xludf.DUMMYFUNCTION("""COMPUTED_VALUE"""),"{}")</f>
        <v>{}</v>
      </c>
      <c r="M899" s="148">
        <f>IFERROR(__xludf.DUMMYFUNCTION("""COMPUTED_VALUE"""),1000.0)</f>
        <v>1000</v>
      </c>
      <c r="N899" s="148">
        <f>IFERROR(__xludf.DUMMYFUNCTION("""COMPUTED_VALUE"""),9999999.0)</f>
        <v>9999999</v>
      </c>
      <c r="O899" s="148">
        <f>IFERROR(__xludf.DUMMYFUNCTION("""COMPUTED_VALUE"""),99999.0)</f>
        <v>99999</v>
      </c>
      <c r="P899" s="148">
        <f>IFERROR(__xludf.DUMMYFUNCTION("""COMPUTED_VALUE"""),99999.0)</f>
        <v>99999</v>
      </c>
      <c r="Q899" s="148" t="str">
        <f>IFERROR(__xludf.DUMMYFUNCTION("""COMPUTED_VALUE"""),"[""bag_other""]")</f>
        <v>["bag_other"]</v>
      </c>
      <c r="R899" s="148" t="str">
        <f>IFERROR(__xludf.DUMMYFUNCTION("""COMPUTED_VALUE"""),"[""bag""]")</f>
        <v>["bag"]</v>
      </c>
      <c r="S899" s="148" t="str">
        <f>IFERROR(__xludf.DUMMYFUNCTION("""COMPUTED_VALUE"""),"{""select_box"":[{""typ"":""item"",""id"":11112368,""val"":1},{""typ"":""item"",""id"":11112380,""val"":1},{""typ"":""item"",""id"":11112381,""val"":1},{""typ"":""item"",""id"":11112030,""val"":5000}]}")</f>
        <v>{"select_box":[{"typ":"item","id":11112368,"val":1},{"typ":"item","id":11112380,"val":1},{"typ":"item","id":11112381,"val":1},{"typ":"item","id":11112030,"val":5000}]}</v>
      </c>
      <c r="T899" s="148">
        <f>IFERROR(__xludf.DUMMYFUNCTION("""COMPUTED_VALUE"""),-1.0)</f>
        <v>-1</v>
      </c>
      <c r="U899" s="148">
        <f>IFERROR(__xludf.DUMMYFUNCTION("""COMPUTED_VALUE"""),0.0)</f>
        <v>0</v>
      </c>
      <c r="V899" s="148" t="str">
        <f>IFERROR(__xludf.DUMMYFUNCTION("""COMPUTED_VALUE"""),"[]")</f>
        <v>[]</v>
      </c>
      <c r="W899" s="148">
        <f>IFERROR(__xludf.DUMMYFUNCTION("""COMPUTED_VALUE"""),1.1741002E7)</f>
        <v>11741002</v>
      </c>
      <c r="X899" s="148">
        <f>IFERROR(__xludf.DUMMYFUNCTION("""COMPUTED_VALUE"""),0.0)</f>
        <v>0</v>
      </c>
      <c r="Y899" s="148">
        <f>IFERROR(__xludf.DUMMYFUNCTION("""COMPUTED_VALUE"""),0.0)</f>
        <v>0</v>
      </c>
      <c r="Z899" s="148"/>
    </row>
    <row r="900">
      <c r="A900" s="148">
        <f>IFERROR(__xludf.DUMMYFUNCTION("""COMPUTED_VALUE"""),1.1112697E7)</f>
        <v>11112697</v>
      </c>
      <c r="B900" s="148" t="str">
        <f>IFERROR(__xludf.DUMMYFUNCTION("""COMPUTED_VALUE"""),"2025万圣节-高级染色主城皮肤自选宝箱")</f>
        <v>2025万圣节-高级染色主城皮肤自选宝箱</v>
      </c>
      <c r="C900" s="148"/>
      <c r="D900" s="148" t="str">
        <f>IFERROR(__xludf.DUMMYFUNCTION("""COMPUTED_VALUE"""),"item_select_box")</f>
        <v>item_select_box</v>
      </c>
      <c r="E900" s="148">
        <f>IFERROR(__xludf.DUMMYFUNCTION("""COMPUTED_VALUE"""),19.0)</f>
        <v>19</v>
      </c>
      <c r="F900" s="148">
        <f>IFERROR(__xludf.DUMMYFUNCTION("""COMPUTED_VALUE"""),408195.0)</f>
        <v>408195</v>
      </c>
      <c r="G900" s="148">
        <f>IFERROR(__xludf.DUMMYFUNCTION("""COMPUTED_VALUE"""),1.5110307E8)</f>
        <v>151103070</v>
      </c>
      <c r="H900" s="148">
        <f>IFERROR(__xludf.DUMMYFUNCTION("""COMPUTED_VALUE"""),1.5115983E7)</f>
        <v>15115983</v>
      </c>
      <c r="I900" s="148" t="str">
        <f>IFERROR(__xludf.DUMMYFUNCTION("""COMPUTED_VALUE"""),"{}")</f>
        <v>{}</v>
      </c>
      <c r="J900" s="148" t="str">
        <f>IFERROR(__xludf.DUMMYFUNCTION("""COMPUTED_VALUE"""),"{""typ"":""lc"",""txt"":""LC_ITEM_halloween2025_skin_select_2""}")</f>
        <v>{"typ":"lc","txt":"LC_ITEM_halloween2025_skin_select_2"}</v>
      </c>
      <c r="K900" s="148" t="str">
        <f>IFERROR(__xludf.DUMMYFUNCTION("""COMPUTED_VALUE"""),"{""typ"":""lc"",""txt"":""LC_ITEM_halloween2025_skin_select_desc_2""}")</f>
        <v>{"typ":"lc","txt":"LC_ITEM_halloween2025_skin_select_desc_2"}</v>
      </c>
      <c r="L900" s="148" t="str">
        <f>IFERROR(__xludf.DUMMYFUNCTION("""COMPUTED_VALUE"""),"{}")</f>
        <v>{}</v>
      </c>
      <c r="M900" s="148">
        <f>IFERROR(__xludf.DUMMYFUNCTION("""COMPUTED_VALUE"""),1000.0)</f>
        <v>1000</v>
      </c>
      <c r="N900" s="148">
        <f>IFERROR(__xludf.DUMMYFUNCTION("""COMPUTED_VALUE"""),9999999.0)</f>
        <v>9999999</v>
      </c>
      <c r="O900" s="148">
        <f>IFERROR(__xludf.DUMMYFUNCTION("""COMPUTED_VALUE"""),99999.0)</f>
        <v>99999</v>
      </c>
      <c r="P900" s="148">
        <f>IFERROR(__xludf.DUMMYFUNCTION("""COMPUTED_VALUE"""),99999.0)</f>
        <v>99999</v>
      </c>
      <c r="Q900" s="148" t="str">
        <f>IFERROR(__xludf.DUMMYFUNCTION("""COMPUTED_VALUE"""),"[""bag_other""]")</f>
        <v>["bag_other"]</v>
      </c>
      <c r="R900" s="148" t="str">
        <f>IFERROR(__xludf.DUMMYFUNCTION("""COMPUTED_VALUE"""),"[""bag""]")</f>
        <v>["bag"]</v>
      </c>
      <c r="S900" s="148" t="str">
        <f>IFERROR(__xludf.DUMMYFUNCTION("""COMPUTED_VALUE"""),"{""select_box"":[{""typ"":""item"",""id"":11112446,""val"":1},{""typ"":""item"",""id"":11112449,""val"":1},{""typ"":""item"",""id"":11112382,""val"":1},{""typ"":""item"",""id"":11112030,""val"":10000}]}")</f>
        <v>{"select_box":[{"typ":"item","id":11112446,"val":1},{"typ":"item","id":11112449,"val":1},{"typ":"item","id":11112382,"val":1},{"typ":"item","id":11112030,"val":10000}]}</v>
      </c>
      <c r="T900" s="148">
        <f>IFERROR(__xludf.DUMMYFUNCTION("""COMPUTED_VALUE"""),-1.0)</f>
        <v>-1</v>
      </c>
      <c r="U900" s="148">
        <f>IFERROR(__xludf.DUMMYFUNCTION("""COMPUTED_VALUE"""),0.0)</f>
        <v>0</v>
      </c>
      <c r="V900" s="148" t="str">
        <f>IFERROR(__xludf.DUMMYFUNCTION("""COMPUTED_VALUE"""),"[]")</f>
        <v>[]</v>
      </c>
      <c r="W900" s="148">
        <f>IFERROR(__xludf.DUMMYFUNCTION("""COMPUTED_VALUE"""),1.1741002E7)</f>
        <v>11741002</v>
      </c>
      <c r="X900" s="148">
        <f>IFERROR(__xludf.DUMMYFUNCTION("""COMPUTED_VALUE"""),0.0)</f>
        <v>0</v>
      </c>
      <c r="Y900" s="148">
        <f>IFERROR(__xludf.DUMMYFUNCTION("""COMPUTED_VALUE"""),0.0)</f>
        <v>0</v>
      </c>
      <c r="Z900" s="148"/>
    </row>
    <row r="901">
      <c r="A901" s="148">
        <f>IFERROR(__xludf.DUMMYFUNCTION("""COMPUTED_VALUE"""),1.1112698E7)</f>
        <v>11112698</v>
      </c>
      <c r="B901" s="148" t="str">
        <f>IFERROR(__xludf.DUMMYFUNCTION("""COMPUTED_VALUE"""),"2025万圣节-初级主城皮肤自选宝箱")</f>
        <v>2025万圣节-初级主城皮肤自选宝箱</v>
      </c>
      <c r="C901" s="148"/>
      <c r="D901" s="148" t="str">
        <f>IFERROR(__xludf.DUMMYFUNCTION("""COMPUTED_VALUE"""),"item_select_box")</f>
        <v>item_select_box</v>
      </c>
      <c r="E901" s="148">
        <f>IFERROR(__xludf.DUMMYFUNCTION("""COMPUTED_VALUE"""),19.0)</f>
        <v>19</v>
      </c>
      <c r="F901" s="148">
        <f>IFERROR(__xludf.DUMMYFUNCTION("""COMPUTED_VALUE"""),408195.0)</f>
        <v>408195</v>
      </c>
      <c r="G901" s="148">
        <f>IFERROR(__xludf.DUMMYFUNCTION("""COMPUTED_VALUE"""),1.51102365E8)</f>
        <v>151102365</v>
      </c>
      <c r="H901" s="148">
        <f>IFERROR(__xludf.DUMMYFUNCTION("""COMPUTED_VALUE"""),1.5112564E7)</f>
        <v>15112564</v>
      </c>
      <c r="I901" s="148" t="str">
        <f>IFERROR(__xludf.DUMMYFUNCTION("""COMPUTED_VALUE"""),"{}")</f>
        <v>{}</v>
      </c>
      <c r="J901" s="148" t="str">
        <f>IFERROR(__xludf.DUMMYFUNCTION("""COMPUTED_VALUE"""),"{""typ"":""lc"",""txt"":""LC_ITEM_2025hallo_skin_box_name""}")</f>
        <v>{"typ":"lc","txt":"LC_ITEM_2025hallo_skin_box_name"}</v>
      </c>
      <c r="K901" s="148" t="str">
        <f>IFERROR(__xludf.DUMMYFUNCTION("""COMPUTED_VALUE"""),"{""typ"":""lc"",""txt"":""LC_ITEM_2025hallo_skin_box_name_desc"",""args"":[{""typ"":""int"",""val"":1},{""typ"":""int"",""val"":1}]}")</f>
        <v>{"typ":"lc","txt":"LC_ITEM_2025hallo_skin_box_name_desc","args":[{"typ":"int","val":1},{"typ":"int","val":1}]}</v>
      </c>
      <c r="L901" s="148" t="str">
        <f>IFERROR(__xludf.DUMMYFUNCTION("""COMPUTED_VALUE"""),"{""typ"":""lc"",""txt"":""LC_ITEM_chest_from_atk_npc_usedtip""}")</f>
        <v>{"typ":"lc","txt":"LC_ITEM_chest_from_atk_npc_usedtip"}</v>
      </c>
      <c r="M901" s="148">
        <f>IFERROR(__xludf.DUMMYFUNCTION("""COMPUTED_VALUE"""),1000.0)</f>
        <v>1000</v>
      </c>
      <c r="N901" s="148">
        <f>IFERROR(__xludf.DUMMYFUNCTION("""COMPUTED_VALUE"""),999999.0)</f>
        <v>999999</v>
      </c>
      <c r="O901" s="148">
        <f>IFERROR(__xludf.DUMMYFUNCTION("""COMPUTED_VALUE"""),99999.0)</f>
        <v>99999</v>
      </c>
      <c r="P901" s="148">
        <f>IFERROR(__xludf.DUMMYFUNCTION("""COMPUTED_VALUE"""),99999.0)</f>
        <v>99999</v>
      </c>
      <c r="Q901" s="148" t="str">
        <f>IFERROR(__xludf.DUMMYFUNCTION("""COMPUTED_VALUE"""),"[""bag_other""]")</f>
        <v>["bag_other"]</v>
      </c>
      <c r="R901" s="148" t="str">
        <f>IFERROR(__xludf.DUMMYFUNCTION("""COMPUTED_VALUE"""),"[""bag""]")</f>
        <v>["bag"]</v>
      </c>
      <c r="S901" s="148" t="str">
        <f>IFERROR(__xludf.DUMMYFUNCTION("""COMPUTED_VALUE"""),"{""select_box"":[{""typ"":""item"",""id"":11112205,""val"":1},{""typ"":""item"",""id"":11112036,""val"":1},{""typ"":""item"",""id"":11112286,""val"":1},{""typ"":""item"",""id"":11112104,""val"":1},{""typ"":""item"",""id"":11112030,""val"":4500}]}")</f>
        <v>{"select_box":[{"typ":"item","id":11112205,"val":1},{"typ":"item","id":11112036,"val":1},{"typ":"item","id":11112286,"val":1},{"typ":"item","id":11112104,"val":1},{"typ":"item","id":11112030,"val":4500}]}</v>
      </c>
      <c r="T901" s="148">
        <f>IFERROR(__xludf.DUMMYFUNCTION("""COMPUTED_VALUE"""),1.0)</f>
        <v>1</v>
      </c>
      <c r="U901" s="148">
        <f>IFERROR(__xludf.DUMMYFUNCTION("""COMPUTED_VALUE"""),1.0)</f>
        <v>1</v>
      </c>
      <c r="V901" s="148" t="str">
        <f>IFERROR(__xludf.DUMMYFUNCTION("""COMPUTED_VALUE"""),"[]")</f>
        <v>[]</v>
      </c>
      <c r="W901" s="148">
        <f>IFERROR(__xludf.DUMMYFUNCTION("""COMPUTED_VALUE"""),1.174E7)</f>
        <v>11740000</v>
      </c>
      <c r="X901" s="148">
        <f>IFERROR(__xludf.DUMMYFUNCTION("""COMPUTED_VALUE"""),0.0)</f>
        <v>0</v>
      </c>
      <c r="Y901" s="148">
        <f>IFERROR(__xludf.DUMMYFUNCTION("""COMPUTED_VALUE"""),0.0)</f>
        <v>0</v>
      </c>
      <c r="Z901" s="148"/>
    </row>
    <row r="902">
      <c r="A902" s="148">
        <f>IFERROR(__xludf.DUMMYFUNCTION("""COMPUTED_VALUE"""),1.1112699E7)</f>
        <v>11112699</v>
      </c>
      <c r="B902" s="148" t="str">
        <f>IFERROR(__xludf.DUMMYFUNCTION("""COMPUTED_VALUE"""),"2025音乐节-旧装饰自选宝箱")</f>
        <v>2025音乐节-旧装饰自选宝箱</v>
      </c>
      <c r="C902" s="148"/>
      <c r="D902" s="148" t="str">
        <f>IFERROR(__xludf.DUMMYFUNCTION("""COMPUTED_VALUE"""),"item_select_box")</f>
        <v>item_select_box</v>
      </c>
      <c r="E902" s="148">
        <f>IFERROR(__xludf.DUMMYFUNCTION("""COMPUTED_VALUE"""),19.0)</f>
        <v>19</v>
      </c>
      <c r="F902" s="148">
        <f>IFERROR(__xludf.DUMMYFUNCTION("""COMPUTED_VALUE"""),408195.0)</f>
        <v>408195</v>
      </c>
      <c r="G902" s="148">
        <f>IFERROR(__xludf.DUMMYFUNCTION("""COMPUTED_VALUE"""),1.51103082E8)</f>
        <v>151103082</v>
      </c>
      <c r="H902" s="148">
        <f>IFERROR(__xludf.DUMMYFUNCTION("""COMPUTED_VALUE"""),1.5112564E7)</f>
        <v>15112564</v>
      </c>
      <c r="I902" s="148" t="str">
        <f>IFERROR(__xludf.DUMMYFUNCTION("""COMPUTED_VALUE"""),"{}")</f>
        <v>{}</v>
      </c>
      <c r="J902" s="148" t="str">
        <f>IFERROR(__xludf.DUMMYFUNCTION("""COMPUTED_VALUE"""),"{""typ"":""lc"",""txt"":""LC_ITEM_select_chest_box1""}")</f>
        <v>{"typ":"lc","txt":"LC_ITEM_select_chest_box1"}</v>
      </c>
      <c r="K902" s="148" t="str">
        <f>IFERROR(__xludf.DUMMYFUNCTION("""COMPUTED_VALUE"""),"{""typ"":""lc"",""txt"":""LC_ITEM_mecha_select_box_desc""}")</f>
        <v>{"typ":"lc","txt":"LC_ITEM_mecha_select_box_desc"}</v>
      </c>
      <c r="L902" s="148" t="str">
        <f>IFERROR(__xludf.DUMMYFUNCTION("""COMPUTED_VALUE"""),"{}")</f>
        <v>{}</v>
      </c>
      <c r="M902" s="148">
        <f>IFERROR(__xludf.DUMMYFUNCTION("""COMPUTED_VALUE"""),1000.0)</f>
        <v>1000</v>
      </c>
      <c r="N902" s="148">
        <f>IFERROR(__xludf.DUMMYFUNCTION("""COMPUTED_VALUE"""),9999999.0)</f>
        <v>9999999</v>
      </c>
      <c r="O902" s="148">
        <f>IFERROR(__xludf.DUMMYFUNCTION("""COMPUTED_VALUE"""),99999.0)</f>
        <v>99999</v>
      </c>
      <c r="P902" s="148">
        <f>IFERROR(__xludf.DUMMYFUNCTION("""COMPUTED_VALUE"""),99999.0)</f>
        <v>99999</v>
      </c>
      <c r="Q902" s="148" t="str">
        <f>IFERROR(__xludf.DUMMYFUNCTION("""COMPUTED_VALUE"""),"[""bag_other""]")</f>
        <v>["bag_other"]</v>
      </c>
      <c r="R902" s="148" t="str">
        <f>IFERROR(__xludf.DUMMYFUNCTION("""COMPUTED_VALUE"""),"[""bag""]")</f>
        <v>["bag"]</v>
      </c>
      <c r="S902" s="148" t="str">
        <f>IFERROR(__xludf.DUMMYFUNCTION("""COMPUTED_VALUE"""),"{""select_box"":[{""typ"":""item"",""id"":11111346,""val"":1},{""typ"":""item"",""id"":11111347,""val"":1},{""typ"":""item"",""id"":11111349,""val"":1},{""typ"":""item"",""id"":11111350,""val"":1},{""typ"":""item"",""id"":11111351,""val"":1},{""typ"":""it"&amp;"em"",""id"":11111353,""val"":1},{""typ"":""item"",""id"":11111356,""val"":1},{""typ"":""item"",""id"":11112018,""val"":1},{""typ"":""item"",""id"":11112042,""val"":1},{""typ"":""item"",""id"":11112082,""val"":1},{""typ"":""item"",""id"":11112111,""val"":1"&amp;"},{""typ"":""item"",""id"":11112133,""val"":1},{""typ"":""item"",""id"":11112171,""val"":1},{""typ"":""item"",""id"":11112196,""val"":1},{""typ"":""item"",""id"":11112207,""val"":1},{""typ"":""item"",""id"":11112246,""val"":1},{""typ"":""item"",""id"":111"&amp;"12288,""val"":1},{""typ"":""item"",""id"":11112030,""val"":50}]}")</f>
        <v>{"select_box":[{"typ":"item","id":11111346,"val":1},{"typ":"item","id":11111347,"val":1},{"typ":"item","id":11111349,"val":1},{"typ":"item","id":11111350,"val":1},{"typ":"item","id":11111351,"val":1},{"typ":"item","id":11111353,"val":1},{"typ":"item","id":11111356,"val":1},{"typ":"item","id":11112018,"val":1},{"typ":"item","id":11112042,"val":1},{"typ":"item","id":11112082,"val":1},{"typ":"item","id":11112111,"val":1},{"typ":"item","id":11112133,"val":1},{"typ":"item","id":11112171,"val":1},{"typ":"item","id":11112196,"val":1},{"typ":"item","id":11112207,"val":1},{"typ":"item","id":11112246,"val":1},{"typ":"item","id":11112288,"val":1},{"typ":"item","id":11112030,"val":50}]}</v>
      </c>
      <c r="T902" s="148">
        <f>IFERROR(__xludf.DUMMYFUNCTION("""COMPUTED_VALUE"""),-1.0)</f>
        <v>-1</v>
      </c>
      <c r="U902" s="148">
        <f>IFERROR(__xludf.DUMMYFUNCTION("""COMPUTED_VALUE"""),0.0)</f>
        <v>0</v>
      </c>
      <c r="V902" s="148" t="str">
        <f>IFERROR(__xludf.DUMMYFUNCTION("""COMPUTED_VALUE"""),"[]")</f>
        <v>[]</v>
      </c>
      <c r="W902" s="148">
        <f>IFERROR(__xludf.DUMMYFUNCTION("""COMPUTED_VALUE"""),1.1741002E7)</f>
        <v>11741002</v>
      </c>
      <c r="X902" s="148">
        <f>IFERROR(__xludf.DUMMYFUNCTION("""COMPUTED_VALUE"""),0.0)</f>
        <v>0</v>
      </c>
      <c r="Y902" s="148">
        <f>IFERROR(__xludf.DUMMYFUNCTION("""COMPUTED_VALUE"""),0.0)</f>
        <v>0</v>
      </c>
      <c r="Z902" s="148"/>
    </row>
    <row r="903">
      <c r="A903" s="148">
        <f>IFERROR(__xludf.DUMMYFUNCTION("""COMPUTED_VALUE"""),1.11127E7)</f>
        <v>11112700</v>
      </c>
      <c r="B903" s="148" t="str">
        <f>IFERROR(__xludf.DUMMYFUNCTION("""COMPUTED_VALUE"""),"主城皮肤-春节初级皮肤染色2024-2")</f>
        <v>主城皮肤-春节初级皮肤染色2024-2</v>
      </c>
      <c r="C903" s="148"/>
      <c r="D903" s="148" t="str">
        <f>IFERROR(__xludf.DUMMYFUNCTION("""COMPUTED_VALUE"""),"city_skin")</f>
        <v>city_skin</v>
      </c>
      <c r="E903" s="148">
        <f>IFERROR(__xludf.DUMMYFUNCTION("""COMPUTED_VALUE"""),21.0)</f>
        <v>21</v>
      </c>
      <c r="F903" s="148">
        <f>IFERROR(__xludf.DUMMYFUNCTION("""COMPUTED_VALUE"""),404201.0)</f>
        <v>404201</v>
      </c>
      <c r="G903" s="148">
        <f>IFERROR(__xludf.DUMMYFUNCTION("""COMPUTED_VALUE"""),1.51103115E8)</f>
        <v>151103115</v>
      </c>
      <c r="H903" s="148">
        <f>IFERROR(__xludf.DUMMYFUNCTION("""COMPUTED_VALUE"""),1.5112564E7)</f>
        <v>15112564</v>
      </c>
      <c r="I903" s="148" t="str">
        <f>IFERROR(__xludf.DUMMYFUNCTION("""COMPUTED_VALUE"""),"{}")</f>
        <v>{}</v>
      </c>
      <c r="J903" s="148" t="str">
        <f>IFERROR(__xludf.DUMMYFUNCTION("""COMPUTED_VALUE"""),"{""typ"":""lc"",""txt"":""LC_ITEM_2024spring_lowcity_skin_title_color_2""}")</f>
        <v>{"typ":"lc","txt":"LC_ITEM_2024spring_lowcity_skin_title_color_2"}</v>
      </c>
      <c r="K903" s="148" t="str">
        <f>IFERROR(__xludf.DUMMYFUNCTION("""COMPUTED_VALUE"""),"{""typ"":""lc"",""txt"":""LC_ITEM_2024spring_lowcity_skin_desc_forever_color_2""}")</f>
        <v>{"typ":"lc","txt":"LC_ITEM_2024spring_lowcity_skin_desc_forever_color_2"}</v>
      </c>
      <c r="L903" s="148" t="str">
        <f>IFERROR(__xludf.DUMMYFUNCTION("""COMPUTED_VALUE"""),"{""typ"":""lc"",""txt"":""LC_ITEM_city_skin_rocket_use_tips""}")</f>
        <v>{"typ":"lc","txt":"LC_ITEM_city_skin_rocket_use_tips"}</v>
      </c>
      <c r="M903" s="148">
        <f>IFERROR(__xludf.DUMMYFUNCTION("""COMPUTED_VALUE"""),10000.0)</f>
        <v>10000</v>
      </c>
      <c r="N903" s="148">
        <f>IFERROR(__xludf.DUMMYFUNCTION("""COMPUTED_VALUE"""),999.0)</f>
        <v>999</v>
      </c>
      <c r="O903" s="148">
        <f>IFERROR(__xludf.DUMMYFUNCTION("""COMPUTED_VALUE"""),1.0)</f>
        <v>1</v>
      </c>
      <c r="P903" s="148">
        <f>IFERROR(__xludf.DUMMYFUNCTION("""COMPUTED_VALUE"""),1.0)</f>
        <v>1</v>
      </c>
      <c r="Q903" s="148" t="str">
        <f>IFERROR(__xludf.DUMMYFUNCTION("""COMPUTED_VALUE"""),"[""bag_other""]")</f>
        <v>["bag_other"]</v>
      </c>
      <c r="R903" s="148" t="str">
        <f>IFERROR(__xludf.DUMMYFUNCTION("""COMPUTED_VALUE"""),"[""bag"",""13121089""]")</f>
        <v>["bag","13121089"]</v>
      </c>
      <c r="S903" s="148" t="str">
        <f>IFERROR(__xludf.DUMMYFUNCTION("""COMPUTED_VALUE"""),"{""effect"":[{""typ"":""city_skin"",""id"":13121089,""val"":-1},{""typ"":""item"",""id"":11112030,""val"":4000}]}")</f>
        <v>{"effect":[{"typ":"city_skin","id":13121089,"val":-1},{"typ":"item","id":11112030,"val":4000}]}</v>
      </c>
      <c r="T903" s="148">
        <f>IFERROR(__xludf.DUMMYFUNCTION("""COMPUTED_VALUE"""),-1.0)</f>
        <v>-1</v>
      </c>
      <c r="U903" s="148">
        <f>IFERROR(__xludf.DUMMYFUNCTION("""COMPUTED_VALUE"""),0.0)</f>
        <v>0</v>
      </c>
      <c r="V903" s="148" t="str">
        <f>IFERROR(__xludf.DUMMYFUNCTION("""COMPUTED_VALUE"""),"[]")</f>
        <v>[]</v>
      </c>
      <c r="W903" s="148">
        <f>IFERROR(__xludf.DUMMYFUNCTION("""COMPUTED_VALUE"""),1.174E7)</f>
        <v>11740000</v>
      </c>
      <c r="X903" s="148">
        <f>IFERROR(__xludf.DUMMYFUNCTION("""COMPUTED_VALUE"""),0.0)</f>
        <v>0</v>
      </c>
      <c r="Y903" s="148">
        <f>IFERROR(__xludf.DUMMYFUNCTION("""COMPUTED_VALUE"""),0.0)</f>
        <v>0</v>
      </c>
      <c r="Z903" s="148"/>
    </row>
    <row r="904">
      <c r="A904" s="148">
        <f>IFERROR(__xludf.DUMMYFUNCTION("""COMPUTED_VALUE"""),1.1112701E7)</f>
        <v>11112701</v>
      </c>
      <c r="B904" s="148" t="str">
        <f>IFERROR(__xludf.DUMMYFUNCTION("""COMPUTED_VALUE"""),"2025感恩节-装饰升级版本（投放用）")</f>
        <v>2025感恩节-装饰升级版本（投放用）</v>
      </c>
      <c r="C904" s="148"/>
      <c r="D904" s="148" t="str">
        <f>IFERROR(__xludf.DUMMYFUNCTION("""COMPUTED_VALUE"""),"statue_decorate")</f>
        <v>statue_decorate</v>
      </c>
      <c r="E904" s="148">
        <f>IFERROR(__xludf.DUMMYFUNCTION("""COMPUTED_VALUE"""),23.0)</f>
        <v>23</v>
      </c>
      <c r="F904" s="148">
        <f>IFERROR(__xludf.DUMMYFUNCTION("""COMPUTED_VALUE"""),0.0)</f>
        <v>0</v>
      </c>
      <c r="G904" s="148">
        <f>IFERROR(__xludf.DUMMYFUNCTION("""COMPUTED_VALUE"""),1.51103196E8)</f>
        <v>151103196</v>
      </c>
      <c r="H904" s="148">
        <f>IFERROR(__xludf.DUMMYFUNCTION("""COMPUTED_VALUE"""),1.5112564E7)</f>
        <v>15112564</v>
      </c>
      <c r="I904" s="148" t="str">
        <f>IFERROR(__xludf.DUMMYFUNCTION("""COMPUTED_VALUE"""),"{}")</f>
        <v>{}</v>
      </c>
      <c r="J904" s="148" t="str">
        <f>IFERROR(__xludf.DUMMYFUNCTION("""COMPUTED_VALUE"""),"{""typ"":""lc"",""txt"":""LC_ITEM_2025blackfri_dec_item_2""}")</f>
        <v>{"typ":"lc","txt":"LC_ITEM_2025blackfri_dec_item_2"}</v>
      </c>
      <c r="K904" s="148" t="str">
        <f>IFERROR(__xludf.DUMMYFUNCTION("""COMPUTED_VALUE"""),"{""typ"":""lc"",""txt"":""LC_ITEM_2025blackfri_dec_item_3_desc""}")</f>
        <v>{"typ":"lc","txt":"LC_ITEM_2025blackfri_dec_item_3_desc"}</v>
      </c>
      <c r="L904" s="148" t="str">
        <f>IFERROR(__xludf.DUMMYFUNCTION("""COMPUTED_VALUE"""),"{}")</f>
        <v>{}</v>
      </c>
      <c r="M904" s="148">
        <f>IFERROR(__xludf.DUMMYFUNCTION("""COMPUTED_VALUE"""),5000.0)</f>
        <v>5000</v>
      </c>
      <c r="N904" s="148">
        <f>IFERROR(__xludf.DUMMYFUNCTION("""COMPUTED_VALUE"""),999.0)</f>
        <v>999</v>
      </c>
      <c r="O904" s="148">
        <f>IFERROR(__xludf.DUMMYFUNCTION("""COMPUTED_VALUE"""),99999.0)</f>
        <v>99999</v>
      </c>
      <c r="P904" s="148">
        <f>IFERROR(__xludf.DUMMYFUNCTION("""COMPUTED_VALUE"""),99999.0)</f>
        <v>99999</v>
      </c>
      <c r="Q904" s="148" t="str">
        <f>IFERROR(__xludf.DUMMYFUNCTION("""COMPUTED_VALUE"""),"[]")</f>
        <v>[]</v>
      </c>
      <c r="R904" s="148" t="str">
        <f>IFERROR(__xludf.DUMMYFUNCTION("""COMPUTED_VALUE"""),"[""bag""]")</f>
        <v>["bag"]</v>
      </c>
      <c r="S904" s="148" t="str">
        <f>IFERROR(__xludf.DUMMYFUNCTION("""COMPUTED_VALUE"""),"{""effect"":[{""typ"":""holiday_statue"",""id"":21483701}]}")</f>
        <v>{"effect":[{"typ":"holiday_statue","id":21483701}]}</v>
      </c>
      <c r="T904" s="148">
        <f>IFERROR(__xludf.DUMMYFUNCTION("""COMPUTED_VALUE"""),-1.0)</f>
        <v>-1</v>
      </c>
      <c r="U904" s="148">
        <f>IFERROR(__xludf.DUMMYFUNCTION("""COMPUTED_VALUE"""),1.0)</f>
        <v>1</v>
      </c>
      <c r="V904" s="148" t="str">
        <f>IFERROR(__xludf.DUMMYFUNCTION("""COMPUTED_VALUE"""),"[]")</f>
        <v>[]</v>
      </c>
      <c r="W904" s="148">
        <f>IFERROR(__xludf.DUMMYFUNCTION("""COMPUTED_VALUE"""),1.174E7)</f>
        <v>11740000</v>
      </c>
      <c r="X904" s="148">
        <f>IFERROR(__xludf.DUMMYFUNCTION("""COMPUTED_VALUE"""),0.0)</f>
        <v>0</v>
      </c>
      <c r="Y904" s="148">
        <f>IFERROR(__xludf.DUMMYFUNCTION("""COMPUTED_VALUE"""),0.0)</f>
        <v>0</v>
      </c>
      <c r="Z904" s="148"/>
    </row>
    <row r="905">
      <c r="A905" s="148">
        <f>IFERROR(__xludf.DUMMYFUNCTION("""COMPUTED_VALUE"""),1.1112702E7)</f>
        <v>11112702</v>
      </c>
      <c r="B905" s="148" t="str">
        <f>IFERROR(__xludf.DUMMYFUNCTION("""COMPUTED_VALUE"""),"2025感恩节-装饰升级道具")</f>
        <v>2025感恩节-装饰升级道具</v>
      </c>
      <c r="C905" s="148"/>
      <c r="D905" s="148" t="str">
        <f>IFERROR(__xludf.DUMMYFUNCTION("""COMPUTED_VALUE"""),"event")</f>
        <v>event</v>
      </c>
      <c r="E905" s="148">
        <f>IFERROR(__xludf.DUMMYFUNCTION("""COMPUTED_VALUE"""),0.0)</f>
        <v>0</v>
      </c>
      <c r="F905" s="148">
        <f>IFERROR(__xludf.DUMMYFUNCTION("""COMPUTED_VALUE"""),405243.0)</f>
        <v>405243</v>
      </c>
      <c r="G905" s="148">
        <f>IFERROR(__xludf.DUMMYFUNCTION("""COMPUTED_VALUE"""),1.51103196E8)</f>
        <v>151103196</v>
      </c>
      <c r="H905" s="148">
        <f>IFERROR(__xludf.DUMMYFUNCTION("""COMPUTED_VALUE"""),1.5112564E7)</f>
        <v>15112564</v>
      </c>
      <c r="I905" s="148" t="str">
        <f>IFERROR(__xludf.DUMMYFUNCTION("""COMPUTED_VALUE"""),"{}")</f>
        <v>{}</v>
      </c>
      <c r="J905" s="148" t="str">
        <f>IFERROR(__xludf.DUMMYFUNCTION("""COMPUTED_VALUE"""),"{""typ"":""lc"",""txt"":""LC_ITEM_2025blackfri_dec_item_2""}")</f>
        <v>{"typ":"lc","txt":"LC_ITEM_2025blackfri_dec_item_2"}</v>
      </c>
      <c r="K905" s="148" t="str">
        <f>IFERROR(__xludf.DUMMYFUNCTION("""COMPUTED_VALUE"""),"{""typ"":""lc"",""txt"":""LC_ITEM_2025blackfri_dec_item_3_desc""}")</f>
        <v>{"typ":"lc","txt":"LC_ITEM_2025blackfri_dec_item_3_desc"}</v>
      </c>
      <c r="L905" s="148" t="str">
        <f>IFERROR(__xludf.DUMMYFUNCTION("""COMPUTED_VALUE"""),"{}")</f>
        <v>{}</v>
      </c>
      <c r="M905" s="148">
        <f>IFERROR(__xludf.DUMMYFUNCTION("""COMPUTED_VALUE"""),1000.0)</f>
        <v>1000</v>
      </c>
      <c r="N905" s="148">
        <f>IFERROR(__xludf.DUMMYFUNCTION("""COMPUTED_VALUE"""),9.99999999E8)</f>
        <v>999999999</v>
      </c>
      <c r="O905" s="148">
        <f>IFERROR(__xludf.DUMMYFUNCTION("""COMPUTED_VALUE"""),9.99999999E8)</f>
        <v>999999999</v>
      </c>
      <c r="P905" s="148">
        <f>IFERROR(__xludf.DUMMYFUNCTION("""COMPUTED_VALUE"""),9.99999999E8)</f>
        <v>999999999</v>
      </c>
      <c r="Q905" s="148" t="str">
        <f>IFERROR(__xludf.DUMMYFUNCTION("""COMPUTED_VALUE"""),"[""bag_other""]")</f>
        <v>["bag_other"]</v>
      </c>
      <c r="R905" s="148" t="str">
        <f>IFERROR(__xludf.DUMMYFUNCTION("""COMPUTED_VALUE"""),"[]")</f>
        <v>[]</v>
      </c>
      <c r="S905" s="148" t="str">
        <f>IFERROR(__xludf.DUMMYFUNCTION("""COMPUTED_VALUE"""),"{}")</f>
        <v>{}</v>
      </c>
      <c r="T905" s="148">
        <f>IFERROR(__xludf.DUMMYFUNCTION("""COMPUTED_VALUE"""),-1.0)</f>
        <v>-1</v>
      </c>
      <c r="U905" s="148">
        <f>IFERROR(__xludf.DUMMYFUNCTION("""COMPUTED_VALUE"""),0.0)</f>
        <v>0</v>
      </c>
      <c r="V905" s="148" t="str">
        <f>IFERROR(__xludf.DUMMYFUNCTION("""COMPUTED_VALUE"""),"[]")</f>
        <v>[]</v>
      </c>
      <c r="W905" s="148">
        <f>IFERROR(__xludf.DUMMYFUNCTION("""COMPUTED_VALUE"""),1.174E7)</f>
        <v>11740000</v>
      </c>
      <c r="X905" s="148">
        <f>IFERROR(__xludf.DUMMYFUNCTION("""COMPUTED_VALUE"""),0.0)</f>
        <v>0</v>
      </c>
      <c r="Y905" s="148">
        <f>IFERROR(__xludf.DUMMYFUNCTION("""COMPUTED_VALUE"""),0.0)</f>
        <v>0</v>
      </c>
      <c r="Z905" s="148"/>
    </row>
    <row r="906">
      <c r="A906" s="148">
        <f>IFERROR(__xludf.DUMMYFUNCTION("""COMPUTED_VALUE"""),1.1112703E7)</f>
        <v>11112703</v>
      </c>
      <c r="B906" s="148" t="str">
        <f>IFERROR(__xludf.DUMMYFUNCTION("""COMPUTED_VALUE"""),"涂饰-2025感恩节-涂饰道具-一天")</f>
        <v>涂饰-2025感恩节-涂饰道具-一天</v>
      </c>
      <c r="C906" s="148"/>
      <c r="D906" s="148" t="str">
        <f>IFERROR(__xludf.DUMMYFUNCTION("""COMPUTED_VALUE"""),"decorate_paint")</f>
        <v>decorate_paint</v>
      </c>
      <c r="E906" s="148">
        <f>IFERROR(__xludf.DUMMYFUNCTION("""COMPUTED_VALUE"""),0.0)</f>
        <v>0</v>
      </c>
      <c r="F906" s="148">
        <f>IFERROR(__xludf.DUMMYFUNCTION("""COMPUTED_VALUE"""),0.0)</f>
        <v>0</v>
      </c>
      <c r="G906" s="148">
        <f>IFERROR(__xludf.DUMMYFUNCTION("""COMPUTED_VALUE"""),1.51103433E8)</f>
        <v>151103433</v>
      </c>
      <c r="H906" s="148">
        <f>IFERROR(__xludf.DUMMYFUNCTION("""COMPUTED_VALUE"""),1.5112564E7)</f>
        <v>15112564</v>
      </c>
      <c r="I906" s="148" t="str">
        <f>IFERROR(__xludf.DUMMYFUNCTION("""COMPUTED_VALUE"""),"{}")</f>
        <v>{}</v>
      </c>
      <c r="J906" s="148" t="str">
        <f>IFERROR(__xludf.DUMMYFUNCTION("""COMPUTED_VALUE"""),"{""typ"":""lc"",""txt"":""LC_ITEM_blackfri_paint_decoration_paint_name""}")</f>
        <v>{"typ":"lc","txt":"LC_ITEM_blackfri_paint_decoration_paint_name"}</v>
      </c>
      <c r="K906" s="148" t="str">
        <f>IFERROR(__xludf.DUMMYFUNCTION("""COMPUTED_VALUE"""),"{""typ"":""lc"",""txt"":""LC_ITEM_blackfri_paint_decoration_paint_desc""}")</f>
        <v>{"typ":"lc","txt":"LC_ITEM_blackfri_paint_decoration_paint_desc"}</v>
      </c>
      <c r="L906" s="148" t="str">
        <f>IFERROR(__xludf.DUMMYFUNCTION("""COMPUTED_VALUE"""),"{""typ"":""lc"",""txt"":""LC_TIP_use_success""}")</f>
        <v>{"typ":"lc","txt":"LC_TIP_use_success"}</v>
      </c>
      <c r="M906" s="148">
        <f>IFERROR(__xludf.DUMMYFUNCTION("""COMPUTED_VALUE"""),1000.0)</f>
        <v>1000</v>
      </c>
      <c r="N906" s="148">
        <f>IFERROR(__xludf.DUMMYFUNCTION("""COMPUTED_VALUE"""),9.99999999E8)</f>
        <v>999999999</v>
      </c>
      <c r="O906" s="148">
        <f>IFERROR(__xludf.DUMMYFUNCTION("""COMPUTED_VALUE"""),9.99999999E8)</f>
        <v>999999999</v>
      </c>
      <c r="P906" s="148">
        <f>IFERROR(__xludf.DUMMYFUNCTION("""COMPUTED_VALUE"""),1.0)</f>
        <v>1</v>
      </c>
      <c r="Q906" s="148" t="str">
        <f>IFERROR(__xludf.DUMMYFUNCTION("""COMPUTED_VALUE"""),"[""bag_other""]")</f>
        <v>["bag_other"]</v>
      </c>
      <c r="R906" s="148" t="str">
        <f>IFERROR(__xludf.DUMMYFUNCTION("""COMPUTED_VALUE"""),"[""bag"",""214837""]")</f>
        <v>["bag","214837"]</v>
      </c>
      <c r="S906" s="148" t="str">
        <f>IFERROR(__xludf.DUMMYFUNCTION("""COMPUTED_VALUE"""),"{""effect"":[{""typ"":""decorate_paint"",""id"":214837,""val"":86400000},{""typ"":""item"",""id"":11112703,""val"":1}]}")</f>
        <v>{"effect":[{"typ":"decorate_paint","id":214837,"val":86400000},{"typ":"item","id":11112703,"val":1}]}</v>
      </c>
      <c r="T906" s="148">
        <f>IFERROR(__xludf.DUMMYFUNCTION("""COMPUTED_VALUE"""),-1.0)</f>
        <v>-1</v>
      </c>
      <c r="U906" s="148">
        <f>IFERROR(__xludf.DUMMYFUNCTION("""COMPUTED_VALUE"""),0.0)</f>
        <v>0</v>
      </c>
      <c r="V906" s="148" t="str">
        <f>IFERROR(__xludf.DUMMYFUNCTION("""COMPUTED_VALUE"""),"[]")</f>
        <v>[]</v>
      </c>
      <c r="W906" s="148">
        <f>IFERROR(__xludf.DUMMYFUNCTION("""COMPUTED_VALUE"""),1.174E7)</f>
        <v>11740000</v>
      </c>
      <c r="X906" s="148">
        <f>IFERROR(__xludf.DUMMYFUNCTION("""COMPUTED_VALUE"""),1.1684665E7)</f>
        <v>11684665</v>
      </c>
      <c r="Y906" s="148">
        <f>IFERROR(__xludf.DUMMYFUNCTION("""COMPUTED_VALUE"""),0.0)</f>
        <v>0</v>
      </c>
      <c r="Z906" s="148"/>
    </row>
    <row r="907">
      <c r="A907" s="148">
        <f>IFERROR(__xludf.DUMMYFUNCTION("""COMPUTED_VALUE"""),1.1112704E7)</f>
        <v>11112704</v>
      </c>
      <c r="B907" s="148" t="str">
        <f>IFERROR(__xludf.DUMMYFUNCTION("""COMPUTED_VALUE"""),"MJ8小游戏体力道具")</f>
        <v>MJ8小游戏体力道具</v>
      </c>
      <c r="C907" s="148"/>
      <c r="D907" s="148" t="str">
        <f>IFERROR(__xludf.DUMMYFUNCTION("""COMPUTED_VALUE"""),"event")</f>
        <v>event</v>
      </c>
      <c r="E907" s="148">
        <f>IFERROR(__xludf.DUMMYFUNCTION("""COMPUTED_VALUE"""),0.0)</f>
        <v>0</v>
      </c>
      <c r="F907" s="148">
        <f>IFERROR(__xludf.DUMMYFUNCTION("""COMPUTED_VALUE"""),405243.0)</f>
        <v>405243</v>
      </c>
      <c r="G907" s="148">
        <f>IFERROR(__xludf.DUMMYFUNCTION("""COMPUTED_VALUE"""),1.51103599E8)</f>
        <v>151103599</v>
      </c>
      <c r="H907" s="148">
        <f>IFERROR(__xludf.DUMMYFUNCTION("""COMPUTED_VALUE"""),1.5112564E7)</f>
        <v>15112564</v>
      </c>
      <c r="I907" s="148" t="str">
        <f>IFERROR(__xludf.DUMMYFUNCTION("""COMPUTED_VALUE"""),"{}")</f>
        <v>{}</v>
      </c>
      <c r="J907" s="148" t="str">
        <f>IFERROR(__xludf.DUMMYFUNCTION("""COMPUTED_VALUE"""),"{""typ"":""lc"",""txt"":""LC_ITEM_mj8_event_item""}")</f>
        <v>{"typ":"lc","txt":"LC_ITEM_mj8_event_item"}</v>
      </c>
      <c r="K907" s="148" t="str">
        <f>IFERROR(__xludf.DUMMYFUNCTION("""COMPUTED_VALUE"""),"{""typ"":""lc"",""txt"":""LC_ITEM_mj8_event_item_desc""}")</f>
        <v>{"typ":"lc","txt":"LC_ITEM_mj8_event_item_desc"}</v>
      </c>
      <c r="L907" s="148" t="str">
        <f>IFERROR(__xludf.DUMMYFUNCTION("""COMPUTED_VALUE"""),"{}")</f>
        <v>{}</v>
      </c>
      <c r="M907" s="148">
        <f>IFERROR(__xludf.DUMMYFUNCTION("""COMPUTED_VALUE"""),700.0)</f>
        <v>700</v>
      </c>
      <c r="N907" s="148">
        <f>IFERROR(__xludf.DUMMYFUNCTION("""COMPUTED_VALUE"""),9.99999999E8)</f>
        <v>999999999</v>
      </c>
      <c r="O907" s="148">
        <f>IFERROR(__xludf.DUMMYFUNCTION("""COMPUTED_VALUE"""),9.99999999E8)</f>
        <v>999999999</v>
      </c>
      <c r="P907" s="148">
        <f>IFERROR(__xludf.DUMMYFUNCTION("""COMPUTED_VALUE"""),9.99999999E8)</f>
        <v>999999999</v>
      </c>
      <c r="Q907" s="148" t="str">
        <f>IFERROR(__xludf.DUMMYFUNCTION("""COMPUTED_VALUE"""),"[""bag_other""]")</f>
        <v>["bag_other"]</v>
      </c>
      <c r="R907" s="148" t="str">
        <f>IFERROR(__xludf.DUMMYFUNCTION("""COMPUTED_VALUE"""),"[""bag""]")</f>
        <v>["bag"]</v>
      </c>
      <c r="S907" s="148" t="str">
        <f>IFERROR(__xludf.DUMMYFUNCTION("""COMPUTED_VALUE"""),"{}")</f>
        <v>{}</v>
      </c>
      <c r="T907" s="148">
        <f>IFERROR(__xludf.DUMMYFUNCTION("""COMPUTED_VALUE"""),1.0)</f>
        <v>1</v>
      </c>
      <c r="U907" s="148">
        <f>IFERROR(__xludf.DUMMYFUNCTION("""COMPUTED_VALUE"""),0.0)</f>
        <v>0</v>
      </c>
      <c r="V907" s="148" t="str">
        <f>IFERROR(__xludf.DUMMYFUNCTION("""COMPUTED_VALUE"""),"[]")</f>
        <v>[]</v>
      </c>
      <c r="W907" s="148">
        <f>IFERROR(__xludf.DUMMYFUNCTION("""COMPUTED_VALUE"""),1.174E7)</f>
        <v>11740000</v>
      </c>
      <c r="X907" s="148">
        <f>IFERROR(__xludf.DUMMYFUNCTION("""COMPUTED_VALUE"""),0.0)</f>
        <v>0</v>
      </c>
      <c r="Y907" s="148">
        <f>IFERROR(__xludf.DUMMYFUNCTION("""COMPUTED_VALUE"""),0.0)</f>
        <v>0</v>
      </c>
      <c r="Z907" s="148"/>
    </row>
    <row r="908">
      <c r="A908" s="148">
        <f>IFERROR(__xludf.DUMMYFUNCTION("""COMPUTED_VALUE"""),1.1112705E7)</f>
        <v>11112705</v>
      </c>
      <c r="B908" s="148" t="str">
        <f>IFERROR(__xludf.DUMMYFUNCTION("""COMPUTED_VALUE"""),"MJ8小游戏复活币")</f>
        <v>MJ8小游戏复活币</v>
      </c>
      <c r="C908" s="148"/>
      <c r="D908" s="148" t="str">
        <f>IFERROR(__xludf.DUMMYFUNCTION("""COMPUTED_VALUE"""),"event")</f>
        <v>event</v>
      </c>
      <c r="E908" s="148">
        <f>IFERROR(__xludf.DUMMYFUNCTION("""COMPUTED_VALUE"""),0.0)</f>
        <v>0</v>
      </c>
      <c r="F908" s="148">
        <f>IFERROR(__xludf.DUMMYFUNCTION("""COMPUTED_VALUE"""),405243.0)</f>
        <v>405243</v>
      </c>
      <c r="G908" s="148">
        <f>IFERROR(__xludf.DUMMYFUNCTION("""COMPUTED_VALUE"""),1.51104108E8)</f>
        <v>151104108</v>
      </c>
      <c r="H908" s="148">
        <f>IFERROR(__xludf.DUMMYFUNCTION("""COMPUTED_VALUE"""),1.5112564E7)</f>
        <v>15112564</v>
      </c>
      <c r="I908" s="148" t="str">
        <f>IFERROR(__xludf.DUMMYFUNCTION("""COMPUTED_VALUE"""),"{}")</f>
        <v>{}</v>
      </c>
      <c r="J908" s="148" t="str">
        <f>IFERROR(__xludf.DUMMYFUNCTION("""COMPUTED_VALUE"""),"{""typ"":""lc"",""txt"":""LC_EVENT_squad_game_item_name""}")</f>
        <v>{"typ":"lc","txt":"LC_EVENT_squad_game_item_name"}</v>
      </c>
      <c r="K908" s="148" t="str">
        <f>IFERROR(__xludf.DUMMYFUNCTION("""COMPUTED_VALUE"""),"{""typ"":""lc"",""txt"":""LC_EVENT_squad_game_item_desc""}")</f>
        <v>{"typ":"lc","txt":"LC_EVENT_squad_game_item_desc"}</v>
      </c>
      <c r="L908" s="148" t="str">
        <f>IFERROR(__xludf.DUMMYFUNCTION("""COMPUTED_VALUE"""),"{}")</f>
        <v>{}</v>
      </c>
      <c r="M908" s="148">
        <f>IFERROR(__xludf.DUMMYFUNCTION("""COMPUTED_VALUE"""),700.0)</f>
        <v>700</v>
      </c>
      <c r="N908" s="148">
        <f>IFERROR(__xludf.DUMMYFUNCTION("""COMPUTED_VALUE"""),9.99999999E8)</f>
        <v>999999999</v>
      </c>
      <c r="O908" s="148">
        <f>IFERROR(__xludf.DUMMYFUNCTION("""COMPUTED_VALUE"""),9.99999999E8)</f>
        <v>999999999</v>
      </c>
      <c r="P908" s="148">
        <f>IFERROR(__xludf.DUMMYFUNCTION("""COMPUTED_VALUE"""),9.99999999E8)</f>
        <v>999999999</v>
      </c>
      <c r="Q908" s="148" t="str">
        <f>IFERROR(__xludf.DUMMYFUNCTION("""COMPUTED_VALUE"""),"[""bag_other""]")</f>
        <v>["bag_other"]</v>
      </c>
      <c r="R908" s="148" t="str">
        <f>IFERROR(__xludf.DUMMYFUNCTION("""COMPUTED_VALUE"""),"[""bag""]")</f>
        <v>["bag"]</v>
      </c>
      <c r="S908" s="148" t="str">
        <f>IFERROR(__xludf.DUMMYFUNCTION("""COMPUTED_VALUE"""),"{}")</f>
        <v>{}</v>
      </c>
      <c r="T908" s="148">
        <f>IFERROR(__xludf.DUMMYFUNCTION("""COMPUTED_VALUE"""),1.0)</f>
        <v>1</v>
      </c>
      <c r="U908" s="148">
        <f>IFERROR(__xludf.DUMMYFUNCTION("""COMPUTED_VALUE"""),1.0)</f>
        <v>1</v>
      </c>
      <c r="V908" s="148" t="str">
        <f>IFERROR(__xludf.DUMMYFUNCTION("""COMPUTED_VALUE"""),"[]")</f>
        <v>[]</v>
      </c>
      <c r="W908" s="148">
        <f>IFERROR(__xludf.DUMMYFUNCTION("""COMPUTED_VALUE"""),1.174E7)</f>
        <v>11740000</v>
      </c>
      <c r="X908" s="148">
        <f>IFERROR(__xludf.DUMMYFUNCTION("""COMPUTED_VALUE"""),0.0)</f>
        <v>0</v>
      </c>
      <c r="Y908" s="148">
        <f>IFERROR(__xludf.DUMMYFUNCTION("""COMPUTED_VALUE"""),0.0)</f>
        <v>0</v>
      </c>
      <c r="Z908" s="148"/>
    </row>
    <row r="909">
      <c r="A909" s="148">
        <f>IFERROR(__xludf.DUMMYFUNCTION("""COMPUTED_VALUE"""),1.1112706E7)</f>
        <v>11112706</v>
      </c>
      <c r="B909" s="148" t="str">
        <f>IFERROR(__xludf.DUMMYFUNCTION("""COMPUTED_VALUE"""),"鱿鱼游戏-宝箱")</f>
        <v>鱿鱼游戏-宝箱</v>
      </c>
      <c r="C909" s="148"/>
      <c r="D909" s="148" t="str">
        <f>IFERROR(__xludf.DUMMYFUNCTION("""COMPUTED_VALUE"""),"item_asset")</f>
        <v>item_asset</v>
      </c>
      <c r="E909" s="148">
        <f>IFERROR(__xludf.DUMMYFUNCTION("""COMPUTED_VALUE"""),0.0)</f>
        <v>0</v>
      </c>
      <c r="F909" s="148">
        <f>IFERROR(__xludf.DUMMYFUNCTION("""COMPUTED_VALUE"""),405243.0)</f>
        <v>405243</v>
      </c>
      <c r="G909" s="148">
        <f>IFERROR(__xludf.DUMMYFUNCTION("""COMPUTED_VALUE"""),1.51104147E8)</f>
        <v>151104147</v>
      </c>
      <c r="H909" s="148">
        <f>IFERROR(__xludf.DUMMYFUNCTION("""COMPUTED_VALUE"""),1.5112564E7)</f>
        <v>15112564</v>
      </c>
      <c r="I909" s="148" t="str">
        <f>IFERROR(__xludf.DUMMYFUNCTION("""COMPUTED_VALUE"""),"{}")</f>
        <v>{}</v>
      </c>
      <c r="J909" s="148" t="str">
        <f>IFERROR(__xludf.DUMMYFUNCTION("""COMPUTED_VALUE"""),"{""typ"":""lc"",""txt"":""LC_EVENT_squad_box_item_name""}")</f>
        <v>{"typ":"lc","txt":"LC_EVENT_squad_box_item_name"}</v>
      </c>
      <c r="K909" s="148" t="str">
        <f>IFERROR(__xludf.DUMMYFUNCTION("""COMPUTED_VALUE"""),"{""typ"":""lc"",""txt"":""LC_EVENT_squad_box_item_desc""}")</f>
        <v>{"typ":"lc","txt":"LC_EVENT_squad_box_item_desc"}</v>
      </c>
      <c r="L909" s="148" t="str">
        <f>IFERROR(__xludf.DUMMYFUNCTION("""COMPUTED_VALUE"""),"{}")</f>
        <v>{}</v>
      </c>
      <c r="M909" s="148">
        <f>IFERROR(__xludf.DUMMYFUNCTION("""COMPUTED_VALUE"""),700.0)</f>
        <v>700</v>
      </c>
      <c r="N909" s="148">
        <f>IFERROR(__xludf.DUMMYFUNCTION("""COMPUTED_VALUE"""),9.99999999E8)</f>
        <v>999999999</v>
      </c>
      <c r="O909" s="148">
        <f>IFERROR(__xludf.DUMMYFUNCTION("""COMPUTED_VALUE"""),9.99999999E8)</f>
        <v>999999999</v>
      </c>
      <c r="P909" s="148">
        <f>IFERROR(__xludf.DUMMYFUNCTION("""COMPUTED_VALUE"""),9.99999999E8)</f>
        <v>999999999</v>
      </c>
      <c r="Q909" s="148" t="str">
        <f>IFERROR(__xludf.DUMMYFUNCTION("""COMPUTED_VALUE"""),"[""bag_other""]")</f>
        <v>["bag_other"]</v>
      </c>
      <c r="R909" s="148" t="str">
        <f>IFERROR(__xludf.DUMMYFUNCTION("""COMPUTED_VALUE"""),"[""bag""]")</f>
        <v>["bag"]</v>
      </c>
      <c r="S909" s="148" t="str">
        <f>IFERROR(__xludf.DUMMYFUNCTION("""COMPUTED_VALUE"""),"{""drop"":{""typ"":""single_random"",""num"":1,""args"":[{""typ"":""item"",""id"":11112704,""num"":1,""wgt"":1000},{""typ"":""item"",""id"":11112704,""num"":2,""wgt"":200},{""typ"":""item"",""id"":11112704,""num"":3,""wgt"":100},{""typ"":""item"",""id"":1"&amp;"1111156,""num"":1,""wgt"":5500},{""typ"":""item"",""id"":11111157,""num"":1,""wgt"":1000},{""typ"":""item"",""id"":11111158,""num"":1,""wgt"":100},{""typ"":""item"",""id"":11118501,""num"":1,""wgt"":1000},{""typ"":""item"",""id"":11116304,""num"":1,""wgt"&amp;""":100},{""typ"":""item"",""id"":11119941,""num"":1,""wgt"":1000}]},""effect"":[{""typ"":""miss_lost_reward""}]}")</f>
        <v>{"drop":{"typ":"single_random","num":1,"args":[{"typ":"item","id":11112704,"num":1,"wgt":1000},{"typ":"item","id":11112704,"num":2,"wgt":200},{"typ":"item","id":11112704,"num":3,"wgt":100},{"typ":"item","id":11111156,"num":1,"wgt":5500},{"typ":"item","id":11111157,"num":1,"wgt":1000},{"typ":"item","id":11111158,"num":1,"wgt":100},{"typ":"item","id":11118501,"num":1,"wgt":1000},{"typ":"item","id":11116304,"num":1,"wgt":100},{"typ":"item","id":11119941,"num":1,"wgt":1000}]},"effect":[{"typ":"miss_lost_reward"}]}</v>
      </c>
      <c r="T909" s="148">
        <f>IFERROR(__xludf.DUMMYFUNCTION("""COMPUTED_VALUE"""),-1.0)</f>
        <v>-1</v>
      </c>
      <c r="U909" s="148">
        <f>IFERROR(__xludf.DUMMYFUNCTION("""COMPUTED_VALUE"""),0.0)</f>
        <v>0</v>
      </c>
      <c r="V909" s="148" t="str">
        <f>IFERROR(__xludf.DUMMYFUNCTION("""COMPUTED_VALUE"""),"[]")</f>
        <v>[]</v>
      </c>
      <c r="W909" s="148">
        <f>IFERROR(__xludf.DUMMYFUNCTION("""COMPUTED_VALUE"""),1.174E7)</f>
        <v>11740000</v>
      </c>
      <c r="X909" s="148">
        <f>IFERROR(__xludf.DUMMYFUNCTION("""COMPUTED_VALUE"""),0.0)</f>
        <v>0</v>
      </c>
      <c r="Y909" s="148">
        <f>IFERROR(__xludf.DUMMYFUNCTION("""COMPUTED_VALUE"""),0.0)</f>
        <v>0</v>
      </c>
      <c r="Z909" s="148"/>
    </row>
    <row r="910">
      <c r="A910" s="148">
        <f>IFERROR(__xludf.DUMMYFUNCTION("""COMPUTED_VALUE"""),1.1112707E7)</f>
        <v>11112707</v>
      </c>
      <c r="B910" s="148" t="str">
        <f>IFERROR(__xludf.DUMMYFUNCTION("""COMPUTED_VALUE"""),"mj8小游戏-豪华通行证")</f>
        <v>mj8小游戏-豪华通行证</v>
      </c>
      <c r="C910" s="148"/>
      <c r="D910" s="148" t="str">
        <f>IFERROR(__xludf.DUMMYFUNCTION("""COMPUTED_VALUE"""),"battle_pass_card")</f>
        <v>battle_pass_card</v>
      </c>
      <c r="E910" s="148">
        <f>IFERROR(__xludf.DUMMYFUNCTION("""COMPUTED_VALUE"""),0.0)</f>
        <v>0</v>
      </c>
      <c r="F910" s="148">
        <f>IFERROR(__xludf.DUMMYFUNCTION("""COMPUTED_VALUE"""),0.0)</f>
        <v>0</v>
      </c>
      <c r="G910" s="148">
        <f>IFERROR(__xludf.DUMMYFUNCTION("""COMPUTED_VALUE"""),1.5119217E7)</f>
        <v>15119217</v>
      </c>
      <c r="H910" s="148">
        <f>IFERROR(__xludf.DUMMYFUNCTION("""COMPUTED_VALUE"""),1.5112564E7)</f>
        <v>15112564</v>
      </c>
      <c r="I910" s="148" t="str">
        <f>IFERROR(__xludf.DUMMYFUNCTION("""COMPUTED_VALUE"""),"{}")</f>
        <v>{}</v>
      </c>
      <c r="J910" s="148" t="str">
        <f>IFERROR(__xludf.DUMMYFUNCTION("""COMPUTED_VALUE"""),"{""typ"":""lc"",""txt"":""LC_EVENT_mj8_event_battlepass_pack1""}")</f>
        <v>{"typ":"lc","txt":"LC_EVENT_mj8_event_battlepass_pack1"}</v>
      </c>
      <c r="K910" s="148" t="str">
        <f>IFERROR(__xludf.DUMMYFUNCTION("""COMPUTED_VALUE"""),"{}")</f>
        <v>{}</v>
      </c>
      <c r="L910" s="148" t="str">
        <f>IFERROR(__xludf.DUMMYFUNCTION("""COMPUTED_VALUE"""),"{}")</f>
        <v>{}</v>
      </c>
      <c r="M910" s="148">
        <f>IFERROR(__xludf.DUMMYFUNCTION("""COMPUTED_VALUE"""),10.0)</f>
        <v>10</v>
      </c>
      <c r="N910" s="148">
        <f>IFERROR(__xludf.DUMMYFUNCTION("""COMPUTED_VALUE"""),999999.0)</f>
        <v>999999</v>
      </c>
      <c r="O910" s="148">
        <f>IFERROR(__xludf.DUMMYFUNCTION("""COMPUTED_VALUE"""),99999.0)</f>
        <v>99999</v>
      </c>
      <c r="P910" s="148">
        <f>IFERROR(__xludf.DUMMYFUNCTION("""COMPUTED_VALUE"""),9999.0)</f>
        <v>9999</v>
      </c>
      <c r="Q910" s="148" t="str">
        <f>IFERROR(__xludf.DUMMYFUNCTION("""COMPUTED_VALUE"""),"[]")</f>
        <v>[]</v>
      </c>
      <c r="R910" s="148" t="str">
        <f>IFERROR(__xludf.DUMMYFUNCTION("""COMPUTED_VALUE"""),"[]")</f>
        <v>[]</v>
      </c>
      <c r="S910" s="148" t="str">
        <f>IFERROR(__xludf.DUMMYFUNCTION("""COMPUTED_VALUE"""),"{}")</f>
        <v>{}</v>
      </c>
      <c r="T910" s="148">
        <f>IFERROR(__xludf.DUMMYFUNCTION("""COMPUTED_VALUE"""),-1.0)</f>
        <v>-1</v>
      </c>
      <c r="U910" s="148">
        <f>IFERROR(__xludf.DUMMYFUNCTION("""COMPUTED_VALUE"""),1.0)</f>
        <v>1</v>
      </c>
      <c r="V910" s="148" t="str">
        <f>IFERROR(__xludf.DUMMYFUNCTION("""COMPUTED_VALUE"""),"[]")</f>
        <v>[]</v>
      </c>
      <c r="W910" s="148">
        <f>IFERROR(__xludf.DUMMYFUNCTION("""COMPUTED_VALUE"""),1.174E7)</f>
        <v>11740000</v>
      </c>
      <c r="X910" s="148">
        <f>IFERROR(__xludf.DUMMYFUNCTION("""COMPUTED_VALUE"""),0.0)</f>
        <v>0</v>
      </c>
      <c r="Y910" s="148">
        <f>IFERROR(__xludf.DUMMYFUNCTION("""COMPUTED_VALUE"""),0.0)</f>
        <v>0</v>
      </c>
      <c r="Z910" s="148"/>
    </row>
    <row r="911">
      <c r="A911" s="148">
        <f>IFERROR(__xludf.DUMMYFUNCTION("""COMPUTED_VALUE"""),1.1112708E7)</f>
        <v>11112708</v>
      </c>
      <c r="B911" s="148" t="str">
        <f>IFERROR(__xludf.DUMMYFUNCTION("""COMPUTED_VALUE"""),"mj8小游戏-典藏通行证")</f>
        <v>mj8小游戏-典藏通行证</v>
      </c>
      <c r="C911" s="148"/>
      <c r="D911" s="148" t="str">
        <f>IFERROR(__xludf.DUMMYFUNCTION("""COMPUTED_VALUE"""),"battle_pass_card")</f>
        <v>battle_pass_card</v>
      </c>
      <c r="E911" s="148">
        <f>IFERROR(__xludf.DUMMYFUNCTION("""COMPUTED_VALUE"""),0.0)</f>
        <v>0</v>
      </c>
      <c r="F911" s="148">
        <f>IFERROR(__xludf.DUMMYFUNCTION("""COMPUTED_VALUE"""),0.0)</f>
        <v>0</v>
      </c>
      <c r="G911" s="148">
        <f>IFERROR(__xludf.DUMMYFUNCTION("""COMPUTED_VALUE"""),1.5119217E7)</f>
        <v>15119217</v>
      </c>
      <c r="H911" s="148">
        <f>IFERROR(__xludf.DUMMYFUNCTION("""COMPUTED_VALUE"""),1.5112564E7)</f>
        <v>15112564</v>
      </c>
      <c r="I911" s="148" t="str">
        <f>IFERROR(__xludf.DUMMYFUNCTION("""COMPUTED_VALUE"""),"{}")</f>
        <v>{}</v>
      </c>
      <c r="J911" s="148" t="str">
        <f>IFERROR(__xludf.DUMMYFUNCTION("""COMPUTED_VALUE"""),"{""typ"":""lc"",""txt"":""LC_EVENT_mj8_event_battlepass_pack2""}")</f>
        <v>{"typ":"lc","txt":"LC_EVENT_mj8_event_battlepass_pack2"}</v>
      </c>
      <c r="K911" s="148" t="str">
        <f>IFERROR(__xludf.DUMMYFUNCTION("""COMPUTED_VALUE"""),"{}")</f>
        <v>{}</v>
      </c>
      <c r="L911" s="148" t="str">
        <f>IFERROR(__xludf.DUMMYFUNCTION("""COMPUTED_VALUE"""),"{}")</f>
        <v>{}</v>
      </c>
      <c r="M911" s="148">
        <f>IFERROR(__xludf.DUMMYFUNCTION("""COMPUTED_VALUE"""),10.0)</f>
        <v>10</v>
      </c>
      <c r="N911" s="148">
        <f>IFERROR(__xludf.DUMMYFUNCTION("""COMPUTED_VALUE"""),999999.0)</f>
        <v>999999</v>
      </c>
      <c r="O911" s="148">
        <f>IFERROR(__xludf.DUMMYFUNCTION("""COMPUTED_VALUE"""),99999.0)</f>
        <v>99999</v>
      </c>
      <c r="P911" s="148">
        <f>IFERROR(__xludf.DUMMYFUNCTION("""COMPUTED_VALUE"""),9999.0)</f>
        <v>9999</v>
      </c>
      <c r="Q911" s="148" t="str">
        <f>IFERROR(__xludf.DUMMYFUNCTION("""COMPUTED_VALUE"""),"[]")</f>
        <v>[]</v>
      </c>
      <c r="R911" s="148" t="str">
        <f>IFERROR(__xludf.DUMMYFUNCTION("""COMPUTED_VALUE"""),"[]")</f>
        <v>[]</v>
      </c>
      <c r="S911" s="148" t="str">
        <f>IFERROR(__xludf.DUMMYFUNCTION("""COMPUTED_VALUE"""),"{}")</f>
        <v>{}</v>
      </c>
      <c r="T911" s="148">
        <f>IFERROR(__xludf.DUMMYFUNCTION("""COMPUTED_VALUE"""),-1.0)</f>
        <v>-1</v>
      </c>
      <c r="U911" s="148">
        <f>IFERROR(__xludf.DUMMYFUNCTION("""COMPUTED_VALUE"""),1.0)</f>
        <v>1</v>
      </c>
      <c r="V911" s="148" t="str">
        <f>IFERROR(__xludf.DUMMYFUNCTION("""COMPUTED_VALUE"""),"[]")</f>
        <v>[]</v>
      </c>
      <c r="W911" s="148">
        <f>IFERROR(__xludf.DUMMYFUNCTION("""COMPUTED_VALUE"""),1.174E7)</f>
        <v>11740000</v>
      </c>
      <c r="X911" s="148">
        <f>IFERROR(__xludf.DUMMYFUNCTION("""COMPUTED_VALUE"""),0.0)</f>
        <v>0</v>
      </c>
      <c r="Y911" s="148">
        <f>IFERROR(__xludf.DUMMYFUNCTION("""COMPUTED_VALUE"""),0.0)</f>
        <v>0</v>
      </c>
      <c r="Z911" s="148"/>
    </row>
    <row r="912">
      <c r="A912" s="148">
        <f>IFERROR(__xludf.DUMMYFUNCTION("""COMPUTED_VALUE"""),1.1112709E7)</f>
        <v>11112709</v>
      </c>
      <c r="B912" s="148" t="str">
        <f>IFERROR(__xludf.DUMMYFUNCTION("""COMPUTED_VALUE"""),"mj8小游戏-升级道具1")</f>
        <v>mj8小游戏-升级道具1</v>
      </c>
      <c r="C912" s="148"/>
      <c r="D912" s="148" t="str">
        <f>IFERROR(__xludf.DUMMYFUNCTION("""COMPUTED_VALUE"""),"battle_pass_exp")</f>
        <v>battle_pass_exp</v>
      </c>
      <c r="E912" s="148">
        <f>IFERROR(__xludf.DUMMYFUNCTION("""COMPUTED_VALUE"""),0.0)</f>
        <v>0</v>
      </c>
      <c r="F912" s="148">
        <f>IFERROR(__xludf.DUMMYFUNCTION("""COMPUTED_VALUE"""),405218.0)</f>
        <v>405218</v>
      </c>
      <c r="G912" s="148">
        <f>IFERROR(__xludf.DUMMYFUNCTION("""COMPUTED_VALUE"""),1.51100894E8)</f>
        <v>151100894</v>
      </c>
      <c r="H912" s="148">
        <f>IFERROR(__xludf.DUMMYFUNCTION("""COMPUTED_VALUE"""),1.5112563E7)</f>
        <v>15112563</v>
      </c>
      <c r="I912" s="148" t="str">
        <f>IFERROR(__xludf.DUMMYFUNCTION("""COMPUTED_VALUE"""),"{}")</f>
        <v>{}</v>
      </c>
      <c r="J912" s="148" t="str">
        <f>IFERROR(__xludf.DUMMYFUNCTION("""COMPUTED_VALUE"""),"{""typ"":""lc"",""txt"":""LC_EVENT_mj8_event_battlepass_exp""}")</f>
        <v>{"typ":"lc","txt":"LC_EVENT_mj8_event_battlepass_exp"}</v>
      </c>
      <c r="K912" s="148" t="str">
        <f>IFERROR(__xludf.DUMMYFUNCTION("""COMPUTED_VALUE"""),"{""typ"":""lc"",""txt"":""LC_EVENT_mj8_event_battlepass_exp_desc""}")</f>
        <v>{"typ":"lc","txt":"LC_EVENT_mj8_event_battlepass_exp_desc"}</v>
      </c>
      <c r="L912" s="148" t="str">
        <f>IFERROR(__xludf.DUMMYFUNCTION("""COMPUTED_VALUE"""),"{}")</f>
        <v>{}</v>
      </c>
      <c r="M912" s="148">
        <f>IFERROR(__xludf.DUMMYFUNCTION("""COMPUTED_VALUE"""),6.0)</f>
        <v>6</v>
      </c>
      <c r="N912" s="148">
        <f>IFERROR(__xludf.DUMMYFUNCTION("""COMPUTED_VALUE"""),999999.0)</f>
        <v>999999</v>
      </c>
      <c r="O912" s="148">
        <f>IFERROR(__xludf.DUMMYFUNCTION("""COMPUTED_VALUE"""),99999.0)</f>
        <v>99999</v>
      </c>
      <c r="P912" s="148">
        <f>IFERROR(__xludf.DUMMYFUNCTION("""COMPUTED_VALUE"""),99999.0)</f>
        <v>99999</v>
      </c>
      <c r="Q912" s="148" t="str">
        <f>IFERROR(__xludf.DUMMYFUNCTION("""COMPUTED_VALUE"""),"[""bag_other""]")</f>
        <v>["bag_other"]</v>
      </c>
      <c r="R912" s="148" t="str">
        <f>IFERROR(__xludf.DUMMYFUNCTION("""COMPUTED_VALUE"""),"[]")</f>
        <v>[]</v>
      </c>
      <c r="S912" s="148" t="str">
        <f>IFERROR(__xludf.DUMMYFUNCTION("""COMPUTED_VALUE"""),"{""effect"":[{""typ"":""event"",""id"":21127623},{""typ"":""miss_lost_reward""}]}")</f>
        <v>{"effect":[{"typ":"event","id":21127623},{"typ":"miss_lost_reward"}]}</v>
      </c>
      <c r="T912" s="148">
        <f>IFERROR(__xludf.DUMMYFUNCTION("""COMPUTED_VALUE"""),-1.0)</f>
        <v>-1</v>
      </c>
      <c r="U912" s="148">
        <f>IFERROR(__xludf.DUMMYFUNCTION("""COMPUTED_VALUE"""),1.0)</f>
        <v>1</v>
      </c>
      <c r="V912" s="148" t="str">
        <f>IFERROR(__xludf.DUMMYFUNCTION("""COMPUTED_VALUE"""),"[]")</f>
        <v>[]</v>
      </c>
      <c r="W912" s="148">
        <f>IFERROR(__xludf.DUMMYFUNCTION("""COMPUTED_VALUE"""),1.174E7)</f>
        <v>11740000</v>
      </c>
      <c r="X912" s="148">
        <f>IFERROR(__xludf.DUMMYFUNCTION("""COMPUTED_VALUE"""),0.0)</f>
        <v>0</v>
      </c>
      <c r="Y912" s="148">
        <f>IFERROR(__xludf.DUMMYFUNCTION("""COMPUTED_VALUE"""),0.0)</f>
        <v>0</v>
      </c>
      <c r="Z912" s="148"/>
    </row>
    <row r="913">
      <c r="A913" s="148">
        <f>IFERROR(__xludf.DUMMYFUNCTION("""COMPUTED_VALUE"""),1.111271E7)</f>
        <v>11112710</v>
      </c>
      <c r="B913" s="148" t="str">
        <f>IFERROR(__xludf.DUMMYFUNCTION("""COMPUTED_VALUE"""),"涂饰-打孔-涂饰道具-一天")</f>
        <v>涂饰-打孔-涂饰道具-一天</v>
      </c>
      <c r="C913" s="148"/>
      <c r="D913" s="148" t="str">
        <f>IFERROR(__xludf.DUMMYFUNCTION("""COMPUTED_VALUE"""),"decorate_paint")</f>
        <v>decorate_paint</v>
      </c>
      <c r="E913" s="148">
        <f>IFERROR(__xludf.DUMMYFUNCTION("""COMPUTED_VALUE"""),0.0)</f>
        <v>0</v>
      </c>
      <c r="F913" s="148">
        <f>IFERROR(__xludf.DUMMYFUNCTION("""COMPUTED_VALUE"""),0.0)</f>
        <v>0</v>
      </c>
      <c r="G913" s="148">
        <f>IFERROR(__xludf.DUMMYFUNCTION("""COMPUTED_VALUE"""),1.51103624E8)</f>
        <v>151103624</v>
      </c>
      <c r="H913" s="148">
        <f>IFERROR(__xludf.DUMMYFUNCTION("""COMPUTED_VALUE"""),1.5112564E7)</f>
        <v>15112564</v>
      </c>
      <c r="I913" s="148" t="str">
        <f>IFERROR(__xludf.DUMMYFUNCTION("""COMPUTED_VALUE"""),"{}")</f>
        <v>{}</v>
      </c>
      <c r="J913" s="148" t="str">
        <f>IFERROR(__xludf.DUMMYFUNCTION("""COMPUTED_VALUE"""),"{""typ"":""lc"",""txt"":""LC_ITEM_2024moon_paint_decoration_paint_name""}")</f>
        <v>{"typ":"lc","txt":"LC_ITEM_2024moon_paint_decoration_paint_name"}</v>
      </c>
      <c r="K913" s="148" t="str">
        <f>IFERROR(__xludf.DUMMYFUNCTION("""COMPUTED_VALUE"""),"{""typ"":""lc"",""txt"":""LC_ITEM_2024moon_paint_decoration_paint_desc""}")</f>
        <v>{"typ":"lc","txt":"LC_ITEM_2024moon_paint_decoration_paint_desc"}</v>
      </c>
      <c r="L913" s="148" t="str">
        <f>IFERROR(__xludf.DUMMYFUNCTION("""COMPUTED_VALUE"""),"{""typ"":""lc"",""txt"":""LC_TIP_use_success""}")</f>
        <v>{"typ":"lc","txt":"LC_TIP_use_success"}</v>
      </c>
      <c r="M913" s="148">
        <f>IFERROR(__xludf.DUMMYFUNCTION("""COMPUTED_VALUE"""),1000.0)</f>
        <v>1000</v>
      </c>
      <c r="N913" s="148">
        <f>IFERROR(__xludf.DUMMYFUNCTION("""COMPUTED_VALUE"""),9.99999999E8)</f>
        <v>999999999</v>
      </c>
      <c r="O913" s="148">
        <f>IFERROR(__xludf.DUMMYFUNCTION("""COMPUTED_VALUE"""),9.99999999E8)</f>
        <v>999999999</v>
      </c>
      <c r="P913" s="148">
        <f>IFERROR(__xludf.DUMMYFUNCTION("""COMPUTED_VALUE"""),1.0)</f>
        <v>1</v>
      </c>
      <c r="Q913" s="148" t="str">
        <f>IFERROR(__xludf.DUMMYFUNCTION("""COMPUTED_VALUE"""),"[""bag_other""]")</f>
        <v>["bag_other"]</v>
      </c>
      <c r="R913" s="148" t="str">
        <f>IFERROR(__xludf.DUMMYFUNCTION("""COMPUTED_VALUE"""),"[""bag"",""214819""]")</f>
        <v>["bag","214819"]</v>
      </c>
      <c r="S913" s="148" t="str">
        <f>IFERROR(__xludf.DUMMYFUNCTION("""COMPUTED_VALUE"""),"{""effect"":[{""typ"":""decorate_paint"",""id"":214819,""val"":86400000},{""typ"":""item"",""id"":11112710,""val"":1}]}")</f>
        <v>{"effect":[{"typ":"decorate_paint","id":214819,"val":86400000},{"typ":"item","id":11112710,"val":1}]}</v>
      </c>
      <c r="T913" s="148">
        <f>IFERROR(__xludf.DUMMYFUNCTION("""COMPUTED_VALUE"""),-1.0)</f>
        <v>-1</v>
      </c>
      <c r="U913" s="148">
        <f>IFERROR(__xludf.DUMMYFUNCTION("""COMPUTED_VALUE"""),0.0)</f>
        <v>0</v>
      </c>
      <c r="V913" s="148" t="str">
        <f>IFERROR(__xludf.DUMMYFUNCTION("""COMPUTED_VALUE"""),"[]")</f>
        <v>[]</v>
      </c>
      <c r="W913" s="148">
        <f>IFERROR(__xludf.DUMMYFUNCTION("""COMPUTED_VALUE"""),1.174E7)</f>
        <v>11740000</v>
      </c>
      <c r="X913" s="148">
        <f>IFERROR(__xludf.DUMMYFUNCTION("""COMPUTED_VALUE"""),1.1684671E7)</f>
        <v>11684671</v>
      </c>
      <c r="Y913" s="148">
        <f>IFERROR(__xludf.DUMMYFUNCTION("""COMPUTED_VALUE"""),0.0)</f>
        <v>0</v>
      </c>
      <c r="Z913" s="148"/>
    </row>
    <row r="914">
      <c r="A914" s="148">
        <f>IFERROR(__xludf.DUMMYFUNCTION("""COMPUTED_VALUE"""),1.1112711E7)</f>
        <v>11112711</v>
      </c>
      <c r="B914" s="148" t="str">
        <f>IFERROR(__xludf.DUMMYFUNCTION("""COMPUTED_VALUE"""),"2025圣诞节-装饰升级版本（投放用）")</f>
        <v>2025圣诞节-装饰升级版本（投放用）</v>
      </c>
      <c r="C914" s="148"/>
      <c r="D914" s="148" t="str">
        <f>IFERROR(__xludf.DUMMYFUNCTION("""COMPUTED_VALUE"""),"statue_decorate")</f>
        <v>statue_decorate</v>
      </c>
      <c r="E914" s="148">
        <f>IFERROR(__xludf.DUMMYFUNCTION("""COMPUTED_VALUE"""),23.0)</f>
        <v>23</v>
      </c>
      <c r="F914" s="148">
        <f>IFERROR(__xludf.DUMMYFUNCTION("""COMPUTED_VALUE"""),0.0)</f>
        <v>0</v>
      </c>
      <c r="G914" s="148">
        <f>IFERROR(__xludf.DUMMYFUNCTION("""COMPUTED_VALUE"""),1.51103423E8)</f>
        <v>151103423</v>
      </c>
      <c r="H914" s="148">
        <f>IFERROR(__xludf.DUMMYFUNCTION("""COMPUTED_VALUE"""),1.5112564E7)</f>
        <v>15112564</v>
      </c>
      <c r="I914" s="148" t="str">
        <f>IFERROR(__xludf.DUMMYFUNCTION("""COMPUTED_VALUE"""),"{}")</f>
        <v>{}</v>
      </c>
      <c r="J914" s="148" t="str">
        <f>IFERROR(__xludf.DUMMYFUNCTION("""COMPUTED_VALUE"""),"{""typ"":""lc"",""txt"":""LC_ITEM_2025christmas_dec1_item_2""}")</f>
        <v>{"typ":"lc","txt":"LC_ITEM_2025christmas_dec1_item_2"}</v>
      </c>
      <c r="K914" s="148" t="str">
        <f>IFERROR(__xludf.DUMMYFUNCTION("""COMPUTED_VALUE"""),"{""typ"":""lc"",""txt"":""LC_ITEM_2025christmas_dec1_item_2_desc""}")</f>
        <v>{"typ":"lc","txt":"LC_ITEM_2025christmas_dec1_item_2_desc"}</v>
      </c>
      <c r="L914" s="148" t="str">
        <f>IFERROR(__xludf.DUMMYFUNCTION("""COMPUTED_VALUE"""),"{}")</f>
        <v>{}</v>
      </c>
      <c r="M914" s="148">
        <f>IFERROR(__xludf.DUMMYFUNCTION("""COMPUTED_VALUE"""),5000.0)</f>
        <v>5000</v>
      </c>
      <c r="N914" s="148">
        <f>IFERROR(__xludf.DUMMYFUNCTION("""COMPUTED_VALUE"""),999.0)</f>
        <v>999</v>
      </c>
      <c r="O914" s="148">
        <f>IFERROR(__xludf.DUMMYFUNCTION("""COMPUTED_VALUE"""),99999.0)</f>
        <v>99999</v>
      </c>
      <c r="P914" s="148">
        <f>IFERROR(__xludf.DUMMYFUNCTION("""COMPUTED_VALUE"""),99999.0)</f>
        <v>99999</v>
      </c>
      <c r="Q914" s="148" t="str">
        <f>IFERROR(__xludf.DUMMYFUNCTION("""COMPUTED_VALUE"""),"[]")</f>
        <v>[]</v>
      </c>
      <c r="R914" s="148" t="str">
        <f>IFERROR(__xludf.DUMMYFUNCTION("""COMPUTED_VALUE"""),"[""bag""]")</f>
        <v>["bag"]</v>
      </c>
      <c r="S914" s="148" t="str">
        <f>IFERROR(__xludf.DUMMYFUNCTION("""COMPUTED_VALUE"""),"{""effect"":[{""typ"":""holiday_statue"",""id"":21483801}]}")</f>
        <v>{"effect":[{"typ":"holiday_statue","id":21483801}]}</v>
      </c>
      <c r="T914" s="148">
        <f>IFERROR(__xludf.DUMMYFUNCTION("""COMPUTED_VALUE"""),-1.0)</f>
        <v>-1</v>
      </c>
      <c r="U914" s="148">
        <f>IFERROR(__xludf.DUMMYFUNCTION("""COMPUTED_VALUE"""),1.0)</f>
        <v>1</v>
      </c>
      <c r="V914" s="148" t="str">
        <f>IFERROR(__xludf.DUMMYFUNCTION("""COMPUTED_VALUE"""),"[]")</f>
        <v>[]</v>
      </c>
      <c r="W914" s="148">
        <f>IFERROR(__xludf.DUMMYFUNCTION("""COMPUTED_VALUE"""),1.174E7)</f>
        <v>11740000</v>
      </c>
      <c r="X914" s="148">
        <f>IFERROR(__xludf.DUMMYFUNCTION("""COMPUTED_VALUE"""),0.0)</f>
        <v>0</v>
      </c>
      <c r="Y914" s="148">
        <f>IFERROR(__xludf.DUMMYFUNCTION("""COMPUTED_VALUE"""),0.0)</f>
        <v>0</v>
      </c>
      <c r="Z914" s="148"/>
    </row>
    <row r="915">
      <c r="A915" s="148">
        <f>IFERROR(__xludf.DUMMYFUNCTION("""COMPUTED_VALUE"""),1.1112712E7)</f>
        <v>11112712</v>
      </c>
      <c r="B915" s="148" t="str">
        <f>IFERROR(__xludf.DUMMYFUNCTION("""COMPUTED_VALUE"""),"2025圣诞节-装饰升级道具")</f>
        <v>2025圣诞节-装饰升级道具</v>
      </c>
      <c r="C915" s="148"/>
      <c r="D915" s="148" t="str">
        <f>IFERROR(__xludf.DUMMYFUNCTION("""COMPUTED_VALUE"""),"event")</f>
        <v>event</v>
      </c>
      <c r="E915" s="148">
        <f>IFERROR(__xludf.DUMMYFUNCTION("""COMPUTED_VALUE"""),0.0)</f>
        <v>0</v>
      </c>
      <c r="F915" s="148">
        <f>IFERROR(__xludf.DUMMYFUNCTION("""COMPUTED_VALUE"""),405243.0)</f>
        <v>405243</v>
      </c>
      <c r="G915" s="148">
        <f>IFERROR(__xludf.DUMMYFUNCTION("""COMPUTED_VALUE"""),1.51103423E8)</f>
        <v>151103423</v>
      </c>
      <c r="H915" s="148">
        <f>IFERROR(__xludf.DUMMYFUNCTION("""COMPUTED_VALUE"""),1.5112564E7)</f>
        <v>15112564</v>
      </c>
      <c r="I915" s="148" t="str">
        <f>IFERROR(__xludf.DUMMYFUNCTION("""COMPUTED_VALUE"""),"{}")</f>
        <v>{}</v>
      </c>
      <c r="J915" s="148" t="str">
        <f>IFERROR(__xludf.DUMMYFUNCTION("""COMPUTED_VALUE"""),"{""typ"":""lc"",""txt"":""LC_ITEM_2025christmas_dec1_item_2""}")</f>
        <v>{"typ":"lc","txt":"LC_ITEM_2025christmas_dec1_item_2"}</v>
      </c>
      <c r="K915" s="148" t="str">
        <f>IFERROR(__xludf.DUMMYFUNCTION("""COMPUTED_VALUE"""),"{""typ"":""lc"",""txt"":""LC_ITEM_2025christmas_dec1_item_2_desc""}")</f>
        <v>{"typ":"lc","txt":"LC_ITEM_2025christmas_dec1_item_2_desc"}</v>
      </c>
      <c r="L915" s="148" t="str">
        <f>IFERROR(__xludf.DUMMYFUNCTION("""COMPUTED_VALUE"""),"{}")</f>
        <v>{}</v>
      </c>
      <c r="M915" s="148">
        <f>IFERROR(__xludf.DUMMYFUNCTION("""COMPUTED_VALUE"""),1000.0)</f>
        <v>1000</v>
      </c>
      <c r="N915" s="148">
        <f>IFERROR(__xludf.DUMMYFUNCTION("""COMPUTED_VALUE"""),9.99999999E8)</f>
        <v>999999999</v>
      </c>
      <c r="O915" s="148">
        <f>IFERROR(__xludf.DUMMYFUNCTION("""COMPUTED_VALUE"""),9.99999999E8)</f>
        <v>999999999</v>
      </c>
      <c r="P915" s="148">
        <f>IFERROR(__xludf.DUMMYFUNCTION("""COMPUTED_VALUE"""),9.99999999E8)</f>
        <v>999999999</v>
      </c>
      <c r="Q915" s="148" t="str">
        <f>IFERROR(__xludf.DUMMYFUNCTION("""COMPUTED_VALUE"""),"[""bag_other""]")</f>
        <v>["bag_other"]</v>
      </c>
      <c r="R915" s="148" t="str">
        <f>IFERROR(__xludf.DUMMYFUNCTION("""COMPUTED_VALUE"""),"[]")</f>
        <v>[]</v>
      </c>
      <c r="S915" s="148" t="str">
        <f>IFERROR(__xludf.DUMMYFUNCTION("""COMPUTED_VALUE"""),"{}")</f>
        <v>{}</v>
      </c>
      <c r="T915" s="148">
        <f>IFERROR(__xludf.DUMMYFUNCTION("""COMPUTED_VALUE"""),-1.0)</f>
        <v>-1</v>
      </c>
      <c r="U915" s="148">
        <f>IFERROR(__xludf.DUMMYFUNCTION("""COMPUTED_VALUE"""),0.0)</f>
        <v>0</v>
      </c>
      <c r="V915" s="148" t="str">
        <f>IFERROR(__xludf.DUMMYFUNCTION("""COMPUTED_VALUE"""),"[]")</f>
        <v>[]</v>
      </c>
      <c r="W915" s="148">
        <f>IFERROR(__xludf.DUMMYFUNCTION("""COMPUTED_VALUE"""),1.174E7)</f>
        <v>11740000</v>
      </c>
      <c r="X915" s="148">
        <f>IFERROR(__xludf.DUMMYFUNCTION("""COMPUTED_VALUE"""),0.0)</f>
        <v>0</v>
      </c>
      <c r="Y915" s="148">
        <f>IFERROR(__xludf.DUMMYFUNCTION("""COMPUTED_VALUE"""),0.0)</f>
        <v>0</v>
      </c>
      <c r="Z915" s="148"/>
    </row>
    <row r="916">
      <c r="A916" s="148">
        <f>IFERROR(__xludf.DUMMYFUNCTION("""COMPUTED_VALUE"""),1.1112713E7)</f>
        <v>11112713</v>
      </c>
      <c r="B916" s="148" t="str">
        <f>IFERROR(__xludf.DUMMYFUNCTION("""COMPUTED_VALUE"""),"涂饰-2025圣诞节-涂饰道具-一天")</f>
        <v>涂饰-2025圣诞节-涂饰道具-一天</v>
      </c>
      <c r="C916" s="148"/>
      <c r="D916" s="148" t="str">
        <f>IFERROR(__xludf.DUMMYFUNCTION("""COMPUTED_VALUE"""),"decorate_paint")</f>
        <v>decorate_paint</v>
      </c>
      <c r="E916" s="148">
        <f>IFERROR(__xludf.DUMMYFUNCTION("""COMPUTED_VALUE"""),0.0)</f>
        <v>0</v>
      </c>
      <c r="F916" s="148">
        <f>IFERROR(__xludf.DUMMYFUNCTION("""COMPUTED_VALUE"""),0.0)</f>
        <v>0</v>
      </c>
      <c r="G916" s="148">
        <f>IFERROR(__xludf.DUMMYFUNCTION("""COMPUTED_VALUE"""),1.51103973E8)</f>
        <v>151103973</v>
      </c>
      <c r="H916" s="148">
        <f>IFERROR(__xludf.DUMMYFUNCTION("""COMPUTED_VALUE"""),1.5112564E7)</f>
        <v>15112564</v>
      </c>
      <c r="I916" s="148" t="str">
        <f>IFERROR(__xludf.DUMMYFUNCTION("""COMPUTED_VALUE"""),"{}")</f>
        <v>{}</v>
      </c>
      <c r="J916" s="148" t="str">
        <f>IFERROR(__xludf.DUMMYFUNCTION("""COMPUTED_VALUE"""),"{""typ"":""lc"",""txt"":""LC_ITEM_2025christmas1_paint_decoration_paint_name""}")</f>
        <v>{"typ":"lc","txt":"LC_ITEM_2025christmas1_paint_decoration_paint_name"}</v>
      </c>
      <c r="K916" s="148" t="str">
        <f>IFERROR(__xludf.DUMMYFUNCTION("""COMPUTED_VALUE"""),"{""typ"":""lc"",""txt"":""LC_ITEM_2025christmas1_paint_decoration_paint_desc""}")</f>
        <v>{"typ":"lc","txt":"LC_ITEM_2025christmas1_paint_decoration_paint_desc"}</v>
      </c>
      <c r="L916" s="148" t="str">
        <f>IFERROR(__xludf.DUMMYFUNCTION("""COMPUTED_VALUE"""),"{""typ"":""lc"",""txt"":""LC_TIP_use_success""}")</f>
        <v>{"typ":"lc","txt":"LC_TIP_use_success"}</v>
      </c>
      <c r="M916" s="148">
        <f>IFERROR(__xludf.DUMMYFUNCTION("""COMPUTED_VALUE"""),1000.0)</f>
        <v>1000</v>
      </c>
      <c r="N916" s="148">
        <f>IFERROR(__xludf.DUMMYFUNCTION("""COMPUTED_VALUE"""),9.99999999E8)</f>
        <v>999999999</v>
      </c>
      <c r="O916" s="148">
        <f>IFERROR(__xludf.DUMMYFUNCTION("""COMPUTED_VALUE"""),9.99999999E8)</f>
        <v>999999999</v>
      </c>
      <c r="P916" s="148">
        <f>IFERROR(__xludf.DUMMYFUNCTION("""COMPUTED_VALUE"""),1.0)</f>
        <v>1</v>
      </c>
      <c r="Q916" s="148" t="str">
        <f>IFERROR(__xludf.DUMMYFUNCTION("""COMPUTED_VALUE"""),"[""bag_other""]")</f>
        <v>["bag_other"]</v>
      </c>
      <c r="R916" s="148" t="str">
        <f>IFERROR(__xludf.DUMMYFUNCTION("""COMPUTED_VALUE"""),"[""bag"",""214838""]")</f>
        <v>["bag","214838"]</v>
      </c>
      <c r="S916" s="148" t="str">
        <f>IFERROR(__xludf.DUMMYFUNCTION("""COMPUTED_VALUE"""),"{""effect"":[{""typ"":""decorate_paint"",""id"":214838,""val"":86400000},{""typ"":""item"",""id"":11112713,""val"":1}]}")</f>
        <v>{"effect":[{"typ":"decorate_paint","id":214838,"val":86400000},{"typ":"item","id":11112713,"val":1}]}</v>
      </c>
      <c r="T916" s="148">
        <f>IFERROR(__xludf.DUMMYFUNCTION("""COMPUTED_VALUE"""),-1.0)</f>
        <v>-1</v>
      </c>
      <c r="U916" s="148">
        <f>IFERROR(__xludf.DUMMYFUNCTION("""COMPUTED_VALUE"""),0.0)</f>
        <v>0</v>
      </c>
      <c r="V916" s="148" t="str">
        <f>IFERROR(__xludf.DUMMYFUNCTION("""COMPUTED_VALUE"""),"[]")</f>
        <v>[]</v>
      </c>
      <c r="W916" s="148">
        <f>IFERROR(__xludf.DUMMYFUNCTION("""COMPUTED_VALUE"""),1.174E7)</f>
        <v>11740000</v>
      </c>
      <c r="X916" s="148">
        <f>IFERROR(__xludf.DUMMYFUNCTION("""COMPUTED_VALUE"""),1.1684686E7)</f>
        <v>11684686</v>
      </c>
      <c r="Y916" s="148">
        <f>IFERROR(__xludf.DUMMYFUNCTION("""COMPUTED_VALUE"""),0.0)</f>
        <v>0</v>
      </c>
      <c r="Z916" s="148"/>
    </row>
    <row r="917">
      <c r="A917" s="148">
        <f>IFERROR(__xludf.DUMMYFUNCTION("""COMPUTED_VALUE"""),1.1112714E7)</f>
        <v>11112714</v>
      </c>
      <c r="B917" s="148" t="str">
        <f>IFERROR(__xludf.DUMMYFUNCTION("""COMPUTED_VALUE"""),"斗士皮肤gacha-普通gacha道具")</f>
        <v>斗士皮肤gacha-普通gacha道具</v>
      </c>
      <c r="C917" s="148"/>
      <c r="D917" s="148" t="str">
        <f>IFERROR(__xludf.DUMMYFUNCTION("""COMPUTED_VALUE"""),"event")</f>
        <v>event</v>
      </c>
      <c r="E917" s="148">
        <f>IFERROR(__xludf.DUMMYFUNCTION("""COMPUTED_VALUE"""),0.0)</f>
        <v>0</v>
      </c>
      <c r="F917" s="148">
        <f>IFERROR(__xludf.DUMMYFUNCTION("""COMPUTED_VALUE"""),405210.0)</f>
        <v>405210</v>
      </c>
      <c r="G917" s="148">
        <f>IFERROR(__xludf.DUMMYFUNCTION("""COMPUTED_VALUE"""),1.51103946E8)</f>
        <v>151103946</v>
      </c>
      <c r="H917" s="148">
        <f>IFERROR(__xludf.DUMMYFUNCTION("""COMPUTED_VALUE"""),1.5112564E7)</f>
        <v>15112564</v>
      </c>
      <c r="I917" s="148" t="str">
        <f>IFERROR(__xludf.DUMMYFUNCTION("""COMPUTED_VALUE"""),"{}")</f>
        <v>{}</v>
      </c>
      <c r="J917" s="148" t="str">
        <f>IFERROR(__xludf.DUMMYFUNCTION("""COMPUTED_VALUE"""),"{""typ"":""lc"",""txt"":""LC_ITEM_hero_gacha_low_item_name""}")</f>
        <v>{"typ":"lc","txt":"LC_ITEM_hero_gacha_low_item_name"}</v>
      </c>
      <c r="K917" s="148" t="str">
        <f>IFERROR(__xludf.DUMMYFUNCTION("""COMPUTED_VALUE"""),"{""typ"":""lc"",""txt"":""LC_ITEM_hero_gacha_low_item_desc""}")</f>
        <v>{"typ":"lc","txt":"LC_ITEM_hero_gacha_low_item_desc"}</v>
      </c>
      <c r="L917" s="148" t="str">
        <f>IFERROR(__xludf.DUMMYFUNCTION("""COMPUTED_VALUE"""),"{}")</f>
        <v>{}</v>
      </c>
      <c r="M917" s="148">
        <f>IFERROR(__xludf.DUMMYFUNCTION("""COMPUTED_VALUE"""),700.0)</f>
        <v>700</v>
      </c>
      <c r="N917" s="148">
        <f>IFERROR(__xludf.DUMMYFUNCTION("""COMPUTED_VALUE"""),9.99999999E8)</f>
        <v>999999999</v>
      </c>
      <c r="O917" s="148">
        <f>IFERROR(__xludf.DUMMYFUNCTION("""COMPUTED_VALUE"""),9.99999999E8)</f>
        <v>999999999</v>
      </c>
      <c r="P917" s="148">
        <f>IFERROR(__xludf.DUMMYFUNCTION("""COMPUTED_VALUE"""),9.99999999E8)</f>
        <v>999999999</v>
      </c>
      <c r="Q917" s="148" t="str">
        <f>IFERROR(__xludf.DUMMYFUNCTION("""COMPUTED_VALUE"""),"[""bag_other""]")</f>
        <v>["bag_other"]</v>
      </c>
      <c r="R917" s="148" t="str">
        <f>IFERROR(__xludf.DUMMYFUNCTION("""COMPUTED_VALUE"""),"[""bag""]")</f>
        <v>["bag"]</v>
      </c>
      <c r="S917" s="148" t="str">
        <f>IFERROR(__xludf.DUMMYFUNCTION("""COMPUTED_VALUE"""),"{}")</f>
        <v>{}</v>
      </c>
      <c r="T917" s="148">
        <f>IFERROR(__xludf.DUMMYFUNCTION("""COMPUTED_VALUE"""),1.0)</f>
        <v>1</v>
      </c>
      <c r="U917" s="148">
        <f>IFERROR(__xludf.DUMMYFUNCTION("""COMPUTED_VALUE"""),0.0)</f>
        <v>0</v>
      </c>
      <c r="V917" s="148" t="str">
        <f>IFERROR(__xludf.DUMMYFUNCTION("""COMPUTED_VALUE"""),"[]")</f>
        <v>[]</v>
      </c>
      <c r="W917" s="148">
        <f>IFERROR(__xludf.DUMMYFUNCTION("""COMPUTED_VALUE"""),1.174E7)</f>
        <v>11740000</v>
      </c>
      <c r="X917" s="148">
        <f>IFERROR(__xludf.DUMMYFUNCTION("""COMPUTED_VALUE"""),0.0)</f>
        <v>0</v>
      </c>
      <c r="Y917" s="148">
        <f>IFERROR(__xludf.DUMMYFUNCTION("""COMPUTED_VALUE"""),0.0)</f>
        <v>0</v>
      </c>
      <c r="Z917" s="148"/>
    </row>
    <row r="918">
      <c r="A918" s="148">
        <f>IFERROR(__xludf.DUMMYFUNCTION("""COMPUTED_VALUE"""),1.1112715E7)</f>
        <v>11112715</v>
      </c>
      <c r="B918" s="148" t="str">
        <f>IFERROR(__xludf.DUMMYFUNCTION("""COMPUTED_VALUE"""),"斗士皮肤gacha-高级gacha道具")</f>
        <v>斗士皮肤gacha-高级gacha道具</v>
      </c>
      <c r="C918" s="148"/>
      <c r="D918" s="148" t="str">
        <f>IFERROR(__xludf.DUMMYFUNCTION("""COMPUTED_VALUE"""),"event")</f>
        <v>event</v>
      </c>
      <c r="E918" s="148">
        <f>IFERROR(__xludf.DUMMYFUNCTION("""COMPUTED_VALUE"""),0.0)</f>
        <v>0</v>
      </c>
      <c r="F918" s="148">
        <f>IFERROR(__xludf.DUMMYFUNCTION("""COMPUTED_VALUE"""),405210.0)</f>
        <v>405210</v>
      </c>
      <c r="G918" s="148">
        <f>IFERROR(__xludf.DUMMYFUNCTION("""COMPUTED_VALUE"""),1.51103947E8)</f>
        <v>151103947</v>
      </c>
      <c r="H918" s="148">
        <f>IFERROR(__xludf.DUMMYFUNCTION("""COMPUTED_VALUE"""),1.5112564E7)</f>
        <v>15112564</v>
      </c>
      <c r="I918" s="148" t="str">
        <f>IFERROR(__xludf.DUMMYFUNCTION("""COMPUTED_VALUE"""),"{}")</f>
        <v>{}</v>
      </c>
      <c r="J918" s="148" t="str">
        <f>IFERROR(__xludf.DUMMYFUNCTION("""COMPUTED_VALUE"""),"{""typ"":""lc"",""txt"":""LC_ITEM_hero_gacha_high_item_name""}")</f>
        <v>{"typ":"lc","txt":"LC_ITEM_hero_gacha_high_item_name"}</v>
      </c>
      <c r="K918" s="148" t="str">
        <f>IFERROR(__xludf.DUMMYFUNCTION("""COMPUTED_VALUE"""),"{""typ"":""lc"",""txt"":""LC_ITEM_hero_gacha_high_item_desc""}")</f>
        <v>{"typ":"lc","txt":"LC_ITEM_hero_gacha_high_item_desc"}</v>
      </c>
      <c r="L918" s="148" t="str">
        <f>IFERROR(__xludf.DUMMYFUNCTION("""COMPUTED_VALUE"""),"{}")</f>
        <v>{}</v>
      </c>
      <c r="M918" s="148">
        <f>IFERROR(__xludf.DUMMYFUNCTION("""COMPUTED_VALUE"""),14000.0)</f>
        <v>14000</v>
      </c>
      <c r="N918" s="148">
        <f>IFERROR(__xludf.DUMMYFUNCTION("""COMPUTED_VALUE"""),9.99999999E8)</f>
        <v>999999999</v>
      </c>
      <c r="O918" s="148">
        <f>IFERROR(__xludf.DUMMYFUNCTION("""COMPUTED_VALUE"""),9.99999999E8)</f>
        <v>999999999</v>
      </c>
      <c r="P918" s="148">
        <f>IFERROR(__xludf.DUMMYFUNCTION("""COMPUTED_VALUE"""),9.99999999E8)</f>
        <v>999999999</v>
      </c>
      <c r="Q918" s="148" t="str">
        <f>IFERROR(__xludf.DUMMYFUNCTION("""COMPUTED_VALUE"""),"[""bag_other""]")</f>
        <v>["bag_other"]</v>
      </c>
      <c r="R918" s="148" t="str">
        <f>IFERROR(__xludf.DUMMYFUNCTION("""COMPUTED_VALUE"""),"[""bag""]")</f>
        <v>["bag"]</v>
      </c>
      <c r="S918" s="148" t="str">
        <f>IFERROR(__xludf.DUMMYFUNCTION("""COMPUTED_VALUE"""),"{}")</f>
        <v>{}</v>
      </c>
      <c r="T918" s="148">
        <f>IFERROR(__xludf.DUMMYFUNCTION("""COMPUTED_VALUE"""),1.0)</f>
        <v>1</v>
      </c>
      <c r="U918" s="148">
        <f>IFERROR(__xludf.DUMMYFUNCTION("""COMPUTED_VALUE"""),0.0)</f>
        <v>0</v>
      </c>
      <c r="V918" s="148" t="str">
        <f>IFERROR(__xludf.DUMMYFUNCTION("""COMPUTED_VALUE"""),"[]")</f>
        <v>[]</v>
      </c>
      <c r="W918" s="148">
        <f>IFERROR(__xludf.DUMMYFUNCTION("""COMPUTED_VALUE"""),1.174E7)</f>
        <v>11740000</v>
      </c>
      <c r="X918" s="148">
        <f>IFERROR(__xludf.DUMMYFUNCTION("""COMPUTED_VALUE"""),0.0)</f>
        <v>0</v>
      </c>
      <c r="Y918" s="148">
        <f>IFERROR(__xludf.DUMMYFUNCTION("""COMPUTED_VALUE"""),0.0)</f>
        <v>0</v>
      </c>
      <c r="Z918" s="148"/>
    </row>
    <row r="919">
      <c r="A919" s="148">
        <f>IFERROR(__xludf.DUMMYFUNCTION("""COMPUTED_VALUE"""),1.1112716E7)</f>
        <v>11112716</v>
      </c>
      <c r="B919" s="148" t="str">
        <f>IFERROR(__xludf.DUMMYFUNCTION("""COMPUTED_VALUE"""),"卡尔斗士皮肤动态头像框-圣诞麋鹿")</f>
        <v>卡尔斗士皮肤动态头像框-圣诞麋鹿</v>
      </c>
      <c r="C919" s="148"/>
      <c r="D919" s="148" t="str">
        <f>IFERROR(__xludf.DUMMYFUNCTION("""COMPUTED_VALUE"""),"avatar_frame")</f>
        <v>avatar_frame</v>
      </c>
      <c r="E919" s="148">
        <f>IFERROR(__xludf.DUMMYFUNCTION("""COMPUTED_VALUE"""),20.0)</f>
        <v>20</v>
      </c>
      <c r="F919" s="148">
        <f>IFERROR(__xludf.DUMMYFUNCTION("""COMPUTED_VALUE"""),0.0)</f>
        <v>0</v>
      </c>
      <c r="G919" s="148">
        <f>IFERROR(__xludf.DUMMYFUNCTION("""COMPUTED_VALUE"""),1.51103944E8)</f>
        <v>151103944</v>
      </c>
      <c r="H919" s="148">
        <f>IFERROR(__xludf.DUMMYFUNCTION("""COMPUTED_VALUE"""),1.5112564E7)</f>
        <v>15112564</v>
      </c>
      <c r="I919" s="148" t="str">
        <f>IFERROR(__xludf.DUMMYFUNCTION("""COMPUTED_VALUE"""),"{}")</f>
        <v>{}</v>
      </c>
      <c r="J919" s="148" t="str">
        <f>IFERROR(__xludf.DUMMYFUNCTION("""COMPUTED_VALUE"""),"{""typ"":""lc"",""txt"":""LC_ITEM_karl_hero_skin_avatar_name""}")</f>
        <v>{"typ":"lc","txt":"LC_ITEM_karl_hero_skin_avatar_name"}</v>
      </c>
      <c r="K919" s="148" t="str">
        <f>IFERROR(__xludf.DUMMYFUNCTION("""COMPUTED_VALUE"""),"{""typ"":""lc"",""txt"":""LC_ITEM_karl_hero_skin_avatar_desc""}")</f>
        <v>{"typ":"lc","txt":"LC_ITEM_karl_hero_skin_avatar_desc"}</v>
      </c>
      <c r="L919" s="148" t="str">
        <f>IFERROR(__xludf.DUMMYFUNCTION("""COMPUTED_VALUE"""),"{}")</f>
        <v>{}</v>
      </c>
      <c r="M919" s="148">
        <f>IFERROR(__xludf.DUMMYFUNCTION("""COMPUTED_VALUE"""),1000.0)</f>
        <v>1000</v>
      </c>
      <c r="N919" s="148">
        <f>IFERROR(__xludf.DUMMYFUNCTION("""COMPUTED_VALUE"""),99.0)</f>
        <v>99</v>
      </c>
      <c r="O919" s="148">
        <f>IFERROR(__xludf.DUMMYFUNCTION("""COMPUTED_VALUE"""),1.0)</f>
        <v>1</v>
      </c>
      <c r="P919" s="148">
        <f>IFERROR(__xludf.DUMMYFUNCTION("""COMPUTED_VALUE"""),1.0)</f>
        <v>1</v>
      </c>
      <c r="Q919" s="148" t="str">
        <f>IFERROR(__xludf.DUMMYFUNCTION("""COMPUTED_VALUE"""),"[]")</f>
        <v>[]</v>
      </c>
      <c r="R919" s="148" t="str">
        <f>IFERROR(__xludf.DUMMYFUNCTION("""COMPUTED_VALUE"""),"[""11421066""]")</f>
        <v>["11421066"]</v>
      </c>
      <c r="S919" s="148" t="str">
        <f>IFERROR(__xludf.DUMMYFUNCTION("""COMPUTED_VALUE"""),"{""effect"":[{""typ"":""avatar_frame"",""id"":11421083,""val"":-1},{""typ"":""item"",""id"":11111031,""val"":1000}]}")</f>
        <v>{"effect":[{"typ":"avatar_frame","id":11421083,"val":-1},{"typ":"item","id":11111031,"val":1000}]}</v>
      </c>
      <c r="T919" s="148">
        <f>IFERROR(__xludf.DUMMYFUNCTION("""COMPUTED_VALUE"""),-1.0)</f>
        <v>-1</v>
      </c>
      <c r="U919" s="148">
        <f>IFERROR(__xludf.DUMMYFUNCTION("""COMPUTED_VALUE"""),1.0)</f>
        <v>1</v>
      </c>
      <c r="V919" s="148" t="str">
        <f>IFERROR(__xludf.DUMMYFUNCTION("""COMPUTED_VALUE"""),"[]")</f>
        <v>[]</v>
      </c>
      <c r="W919" s="148">
        <f>IFERROR(__xludf.DUMMYFUNCTION("""COMPUTED_VALUE"""),1.174E7)</f>
        <v>11740000</v>
      </c>
      <c r="X919" s="148">
        <f>IFERROR(__xludf.DUMMYFUNCTION("""COMPUTED_VALUE"""),0.0)</f>
        <v>0</v>
      </c>
      <c r="Y919" s="148">
        <f>IFERROR(__xludf.DUMMYFUNCTION("""COMPUTED_VALUE"""),0.0)</f>
        <v>0</v>
      </c>
      <c r="Z919" s="148"/>
    </row>
    <row r="920">
      <c r="A920" s="148">
        <f>IFERROR(__xludf.DUMMYFUNCTION("""COMPUTED_VALUE"""),1.1112717E7)</f>
        <v>11112717</v>
      </c>
      <c r="B920" s="148" t="str">
        <f>IFERROR(__xludf.DUMMYFUNCTION("""COMPUTED_VALUE"""),"2025圣诞节大富翁-装饰升级版本（投放用）")</f>
        <v>2025圣诞节大富翁-装饰升级版本（投放用）</v>
      </c>
      <c r="C920" s="148"/>
      <c r="D920" s="148" t="str">
        <f>IFERROR(__xludf.DUMMYFUNCTION("""COMPUTED_VALUE"""),"statue_decorate")</f>
        <v>statue_decorate</v>
      </c>
      <c r="E920" s="148">
        <f>IFERROR(__xludf.DUMMYFUNCTION("""COMPUTED_VALUE"""),23.0)</f>
        <v>23</v>
      </c>
      <c r="F920" s="148">
        <f>IFERROR(__xludf.DUMMYFUNCTION("""COMPUTED_VALUE"""),0.0)</f>
        <v>0</v>
      </c>
      <c r="G920" s="148">
        <f>IFERROR(__xludf.DUMMYFUNCTION("""COMPUTED_VALUE"""),1.51103958E8)</f>
        <v>151103958</v>
      </c>
      <c r="H920" s="148">
        <f>IFERROR(__xludf.DUMMYFUNCTION("""COMPUTED_VALUE"""),1.5112564E7)</f>
        <v>15112564</v>
      </c>
      <c r="I920" s="148" t="str">
        <f>IFERROR(__xludf.DUMMYFUNCTION("""COMPUTED_VALUE"""),"{}")</f>
        <v>{}</v>
      </c>
      <c r="J920" s="148" t="str">
        <f>IFERROR(__xludf.DUMMYFUNCTION("""COMPUTED_VALUE"""),"{""typ"":""lc"",""txt"":""LC_ITEM_2025christmas_dec2_item_2""}")</f>
        <v>{"typ":"lc","txt":"LC_ITEM_2025christmas_dec2_item_2"}</v>
      </c>
      <c r="K920" s="148" t="str">
        <f>IFERROR(__xludf.DUMMYFUNCTION("""COMPUTED_VALUE"""),"{""typ"":""lc"",""txt"":""LC_ITEM_2025christmas_dec2_item_2_desc""}")</f>
        <v>{"typ":"lc","txt":"LC_ITEM_2025christmas_dec2_item_2_desc"}</v>
      </c>
      <c r="L920" s="148" t="str">
        <f>IFERROR(__xludf.DUMMYFUNCTION("""COMPUTED_VALUE"""),"{}")</f>
        <v>{}</v>
      </c>
      <c r="M920" s="148">
        <f>IFERROR(__xludf.DUMMYFUNCTION("""COMPUTED_VALUE"""),5000.0)</f>
        <v>5000</v>
      </c>
      <c r="N920" s="148">
        <f>IFERROR(__xludf.DUMMYFUNCTION("""COMPUTED_VALUE"""),999.0)</f>
        <v>999</v>
      </c>
      <c r="O920" s="148">
        <f>IFERROR(__xludf.DUMMYFUNCTION("""COMPUTED_VALUE"""),99999.0)</f>
        <v>99999</v>
      </c>
      <c r="P920" s="148">
        <f>IFERROR(__xludf.DUMMYFUNCTION("""COMPUTED_VALUE"""),99999.0)</f>
        <v>99999</v>
      </c>
      <c r="Q920" s="148" t="str">
        <f>IFERROR(__xludf.DUMMYFUNCTION("""COMPUTED_VALUE"""),"[]")</f>
        <v>[]</v>
      </c>
      <c r="R920" s="148" t="str">
        <f>IFERROR(__xludf.DUMMYFUNCTION("""COMPUTED_VALUE"""),"[""bag""]")</f>
        <v>["bag"]</v>
      </c>
      <c r="S920" s="148" t="str">
        <f>IFERROR(__xludf.DUMMYFUNCTION("""COMPUTED_VALUE"""),"{""effect"":[{""typ"":""holiday_statue"",""id"":21483901}]}")</f>
        <v>{"effect":[{"typ":"holiday_statue","id":21483901}]}</v>
      </c>
      <c r="T920" s="148">
        <f>IFERROR(__xludf.DUMMYFUNCTION("""COMPUTED_VALUE"""),-1.0)</f>
        <v>-1</v>
      </c>
      <c r="U920" s="148">
        <f>IFERROR(__xludf.DUMMYFUNCTION("""COMPUTED_VALUE"""),1.0)</f>
        <v>1</v>
      </c>
      <c r="V920" s="148" t="str">
        <f>IFERROR(__xludf.DUMMYFUNCTION("""COMPUTED_VALUE"""),"[]")</f>
        <v>[]</v>
      </c>
      <c r="W920" s="148">
        <f>IFERROR(__xludf.DUMMYFUNCTION("""COMPUTED_VALUE"""),1.174E7)</f>
        <v>11740000</v>
      </c>
      <c r="X920" s="148">
        <f>IFERROR(__xludf.DUMMYFUNCTION("""COMPUTED_VALUE"""),0.0)</f>
        <v>0</v>
      </c>
      <c r="Y920" s="148">
        <f>IFERROR(__xludf.DUMMYFUNCTION("""COMPUTED_VALUE"""),0.0)</f>
        <v>0</v>
      </c>
      <c r="Z920" s="148"/>
    </row>
    <row r="921">
      <c r="A921" s="148">
        <f>IFERROR(__xludf.DUMMYFUNCTION("""COMPUTED_VALUE"""),1.1112718E7)</f>
        <v>11112718</v>
      </c>
      <c r="B921" s="148" t="str">
        <f>IFERROR(__xludf.DUMMYFUNCTION("""COMPUTED_VALUE"""),"2025圣诞节大富翁-装饰升级道具")</f>
        <v>2025圣诞节大富翁-装饰升级道具</v>
      </c>
      <c r="C921" s="148"/>
      <c r="D921" s="148" t="str">
        <f>IFERROR(__xludf.DUMMYFUNCTION("""COMPUTED_VALUE"""),"event")</f>
        <v>event</v>
      </c>
      <c r="E921" s="148">
        <f>IFERROR(__xludf.DUMMYFUNCTION("""COMPUTED_VALUE"""),0.0)</f>
        <v>0</v>
      </c>
      <c r="F921" s="148">
        <f>IFERROR(__xludf.DUMMYFUNCTION("""COMPUTED_VALUE"""),405243.0)</f>
        <v>405243</v>
      </c>
      <c r="G921" s="148">
        <f>IFERROR(__xludf.DUMMYFUNCTION("""COMPUTED_VALUE"""),1.51103958E8)</f>
        <v>151103958</v>
      </c>
      <c r="H921" s="148">
        <f>IFERROR(__xludf.DUMMYFUNCTION("""COMPUTED_VALUE"""),1.5112564E7)</f>
        <v>15112564</v>
      </c>
      <c r="I921" s="148" t="str">
        <f>IFERROR(__xludf.DUMMYFUNCTION("""COMPUTED_VALUE"""),"{}")</f>
        <v>{}</v>
      </c>
      <c r="J921" s="148" t="str">
        <f>IFERROR(__xludf.DUMMYFUNCTION("""COMPUTED_VALUE"""),"{""typ"":""lc"",""txt"":""LC_ITEM_2025christmas_dec2_item_2""}")</f>
        <v>{"typ":"lc","txt":"LC_ITEM_2025christmas_dec2_item_2"}</v>
      </c>
      <c r="K921" s="148" t="str">
        <f>IFERROR(__xludf.DUMMYFUNCTION("""COMPUTED_VALUE"""),"{""typ"":""lc"",""txt"":""LC_ITEM_2025christmas_dec2_item_2_desc""}")</f>
        <v>{"typ":"lc","txt":"LC_ITEM_2025christmas_dec2_item_2_desc"}</v>
      </c>
      <c r="L921" s="148" t="str">
        <f>IFERROR(__xludf.DUMMYFUNCTION("""COMPUTED_VALUE"""),"{}")</f>
        <v>{}</v>
      </c>
      <c r="M921" s="148">
        <f>IFERROR(__xludf.DUMMYFUNCTION("""COMPUTED_VALUE"""),1000.0)</f>
        <v>1000</v>
      </c>
      <c r="N921" s="148">
        <f>IFERROR(__xludf.DUMMYFUNCTION("""COMPUTED_VALUE"""),9.99999999E8)</f>
        <v>999999999</v>
      </c>
      <c r="O921" s="148">
        <f>IFERROR(__xludf.DUMMYFUNCTION("""COMPUTED_VALUE"""),9.99999999E8)</f>
        <v>999999999</v>
      </c>
      <c r="P921" s="148">
        <f>IFERROR(__xludf.DUMMYFUNCTION("""COMPUTED_VALUE"""),9.99999999E8)</f>
        <v>999999999</v>
      </c>
      <c r="Q921" s="148" t="str">
        <f>IFERROR(__xludf.DUMMYFUNCTION("""COMPUTED_VALUE"""),"[""bag_other""]")</f>
        <v>["bag_other"]</v>
      </c>
      <c r="R921" s="148" t="str">
        <f>IFERROR(__xludf.DUMMYFUNCTION("""COMPUTED_VALUE"""),"[]")</f>
        <v>[]</v>
      </c>
      <c r="S921" s="148" t="str">
        <f>IFERROR(__xludf.DUMMYFUNCTION("""COMPUTED_VALUE"""),"{}")</f>
        <v>{}</v>
      </c>
      <c r="T921" s="148">
        <f>IFERROR(__xludf.DUMMYFUNCTION("""COMPUTED_VALUE"""),-1.0)</f>
        <v>-1</v>
      </c>
      <c r="U921" s="148">
        <f>IFERROR(__xludf.DUMMYFUNCTION("""COMPUTED_VALUE"""),0.0)</f>
        <v>0</v>
      </c>
      <c r="V921" s="148" t="str">
        <f>IFERROR(__xludf.DUMMYFUNCTION("""COMPUTED_VALUE"""),"[]")</f>
        <v>[]</v>
      </c>
      <c r="W921" s="148">
        <f>IFERROR(__xludf.DUMMYFUNCTION("""COMPUTED_VALUE"""),1.174E7)</f>
        <v>11740000</v>
      </c>
      <c r="X921" s="148">
        <f>IFERROR(__xludf.DUMMYFUNCTION("""COMPUTED_VALUE"""),0.0)</f>
        <v>0</v>
      </c>
      <c r="Y921" s="148">
        <f>IFERROR(__xludf.DUMMYFUNCTION("""COMPUTED_VALUE"""),0.0)</f>
        <v>0</v>
      </c>
      <c r="Z921" s="148"/>
    </row>
    <row r="922">
      <c r="A922" s="148">
        <f>IFERROR(__xludf.DUMMYFUNCTION("""COMPUTED_VALUE"""),1.1112719E7)</f>
        <v>11112719</v>
      </c>
      <c r="B922" s="148" t="str">
        <f>IFERROR(__xludf.DUMMYFUNCTION("""COMPUTED_VALUE"""),"涂饰-2025圣诞节大富翁-涂饰道具-一天")</f>
        <v>涂饰-2025圣诞节大富翁-涂饰道具-一天</v>
      </c>
      <c r="C922" s="148"/>
      <c r="D922" s="148" t="str">
        <f>IFERROR(__xludf.DUMMYFUNCTION("""COMPUTED_VALUE"""),"decorate_paint")</f>
        <v>decorate_paint</v>
      </c>
      <c r="E922" s="148">
        <f>IFERROR(__xludf.DUMMYFUNCTION("""COMPUTED_VALUE"""),0.0)</f>
        <v>0</v>
      </c>
      <c r="F922" s="148">
        <f>IFERROR(__xludf.DUMMYFUNCTION("""COMPUTED_VALUE"""),0.0)</f>
        <v>0</v>
      </c>
      <c r="G922" s="148">
        <f>IFERROR(__xludf.DUMMYFUNCTION("""COMPUTED_VALUE"""),1.51103972E8)</f>
        <v>151103972</v>
      </c>
      <c r="H922" s="148">
        <f>IFERROR(__xludf.DUMMYFUNCTION("""COMPUTED_VALUE"""),1.5112564E7)</f>
        <v>15112564</v>
      </c>
      <c r="I922" s="148" t="str">
        <f>IFERROR(__xludf.DUMMYFUNCTION("""COMPUTED_VALUE"""),"{}")</f>
        <v>{}</v>
      </c>
      <c r="J922" s="148" t="str">
        <f>IFERROR(__xludf.DUMMYFUNCTION("""COMPUTED_VALUE"""),"{""typ"":""lc"",""txt"":""LC_ITEM_2025christmas2_paint_decoration_paint_name""}")</f>
        <v>{"typ":"lc","txt":"LC_ITEM_2025christmas2_paint_decoration_paint_name"}</v>
      </c>
      <c r="K922" s="148" t="str">
        <f>IFERROR(__xludf.DUMMYFUNCTION("""COMPUTED_VALUE"""),"{""typ"":""lc"",""txt"":""LC_ITEM_2025christmas2_paint_decoration_paint_desc""}")</f>
        <v>{"typ":"lc","txt":"LC_ITEM_2025christmas2_paint_decoration_paint_desc"}</v>
      </c>
      <c r="L922" s="148" t="str">
        <f>IFERROR(__xludf.DUMMYFUNCTION("""COMPUTED_VALUE"""),"{""typ"":""lc"",""txt"":""LC_TIP_use_success""}")</f>
        <v>{"typ":"lc","txt":"LC_TIP_use_success"}</v>
      </c>
      <c r="M922" s="148">
        <f>IFERROR(__xludf.DUMMYFUNCTION("""COMPUTED_VALUE"""),1000.0)</f>
        <v>1000</v>
      </c>
      <c r="N922" s="148">
        <f>IFERROR(__xludf.DUMMYFUNCTION("""COMPUTED_VALUE"""),9.99999999E8)</f>
        <v>999999999</v>
      </c>
      <c r="O922" s="148">
        <f>IFERROR(__xludf.DUMMYFUNCTION("""COMPUTED_VALUE"""),9.99999999E8)</f>
        <v>999999999</v>
      </c>
      <c r="P922" s="148">
        <f>IFERROR(__xludf.DUMMYFUNCTION("""COMPUTED_VALUE"""),1.0)</f>
        <v>1</v>
      </c>
      <c r="Q922" s="148" t="str">
        <f>IFERROR(__xludf.DUMMYFUNCTION("""COMPUTED_VALUE"""),"[""bag_other""]")</f>
        <v>["bag_other"]</v>
      </c>
      <c r="R922" s="148" t="str">
        <f>IFERROR(__xludf.DUMMYFUNCTION("""COMPUTED_VALUE"""),"[""bag"",""214839""]")</f>
        <v>["bag","214839"]</v>
      </c>
      <c r="S922" s="148" t="str">
        <f>IFERROR(__xludf.DUMMYFUNCTION("""COMPUTED_VALUE"""),"{""effect"":[{""typ"":""decorate_paint"",""id"":214839,""val"":86400000},{""typ"":""item"",""id"":11112719,""val"":1}]}")</f>
        <v>{"effect":[{"typ":"decorate_paint","id":214839,"val":86400000},{"typ":"item","id":11112719,"val":1}]}</v>
      </c>
      <c r="T922" s="148">
        <f>IFERROR(__xludf.DUMMYFUNCTION("""COMPUTED_VALUE"""),-1.0)</f>
        <v>-1</v>
      </c>
      <c r="U922" s="148">
        <f>IFERROR(__xludf.DUMMYFUNCTION("""COMPUTED_VALUE"""),0.0)</f>
        <v>0</v>
      </c>
      <c r="V922" s="148" t="str">
        <f>IFERROR(__xludf.DUMMYFUNCTION("""COMPUTED_VALUE"""),"[]")</f>
        <v>[]</v>
      </c>
      <c r="W922" s="148">
        <f>IFERROR(__xludf.DUMMYFUNCTION("""COMPUTED_VALUE"""),1.174E7)</f>
        <v>11740000</v>
      </c>
      <c r="X922" s="148">
        <f>IFERROR(__xludf.DUMMYFUNCTION("""COMPUTED_VALUE"""),1.1684682E7)</f>
        <v>11684682</v>
      </c>
      <c r="Y922" s="148">
        <f>IFERROR(__xludf.DUMMYFUNCTION("""COMPUTED_VALUE"""),0.0)</f>
        <v>0</v>
      </c>
      <c r="Z922" s="148"/>
    </row>
    <row r="923">
      <c r="A923" s="148">
        <f>IFERROR(__xludf.DUMMYFUNCTION("""COMPUTED_VALUE"""),1.111272E7)</f>
        <v>11112720</v>
      </c>
      <c r="B923" s="148" t="str">
        <f>IFERROR(__xludf.DUMMYFUNCTION("""COMPUTED_VALUE"""),"前期弹珠GACHA抽奖道具（废弃）")</f>
        <v>前期弹珠GACHA抽奖道具（废弃）</v>
      </c>
      <c r="C923" s="148"/>
      <c r="D923" s="148" t="str">
        <f>IFERROR(__xludf.DUMMYFUNCTION("""COMPUTED_VALUE"""),"event")</f>
        <v>event</v>
      </c>
      <c r="E923" s="148">
        <f>IFERROR(__xludf.DUMMYFUNCTION("""COMPUTED_VALUE"""),0.0)</f>
        <v>0</v>
      </c>
      <c r="F923" s="148">
        <f>IFERROR(__xludf.DUMMYFUNCTION("""COMPUTED_VALUE"""),405210.0)</f>
        <v>405210</v>
      </c>
      <c r="G923" s="148">
        <f>IFERROR(__xludf.DUMMYFUNCTION("""COMPUTED_VALUE"""),1.5110397E8)</f>
        <v>151103970</v>
      </c>
      <c r="H923" s="148">
        <f>IFERROR(__xludf.DUMMYFUNCTION("""COMPUTED_VALUE"""),1.5112564E7)</f>
        <v>15112564</v>
      </c>
      <c r="I923" s="148" t="str">
        <f>IFERROR(__xludf.DUMMYFUNCTION("""COMPUTED_VALUE"""),"{}")</f>
        <v>{}</v>
      </c>
      <c r="J923" s="148" t="str">
        <f>IFERROR(__xludf.DUMMYFUNCTION("""COMPUTED_VALUE"""),"{""typ"":""lc"",""txt"":""LC_EVENT_2025anni_marble_gacha_item_name_2""}")</f>
        <v>{"typ":"lc","txt":"LC_EVENT_2025anni_marble_gacha_item_name_2"}</v>
      </c>
      <c r="K923" s="148" t="str">
        <f>IFERROR(__xludf.DUMMYFUNCTION("""COMPUTED_VALUE"""),"{""typ"":""lc"",""txt"":""LC_EVENT_2025anni_marble_gacha_item_desc_2""}")</f>
        <v>{"typ":"lc","txt":"LC_EVENT_2025anni_marble_gacha_item_desc_2"}</v>
      </c>
      <c r="L923" s="148" t="str">
        <f>IFERROR(__xludf.DUMMYFUNCTION("""COMPUTED_VALUE"""),"{}")</f>
        <v>{}</v>
      </c>
      <c r="M923" s="148">
        <f>IFERROR(__xludf.DUMMYFUNCTION("""COMPUTED_VALUE"""),700.0)</f>
        <v>700</v>
      </c>
      <c r="N923" s="148">
        <f>IFERROR(__xludf.DUMMYFUNCTION("""COMPUTED_VALUE"""),9.99999999E8)</f>
        <v>999999999</v>
      </c>
      <c r="O923" s="148">
        <f>IFERROR(__xludf.DUMMYFUNCTION("""COMPUTED_VALUE"""),9.99999999E8)</f>
        <v>999999999</v>
      </c>
      <c r="P923" s="148">
        <f>IFERROR(__xludf.DUMMYFUNCTION("""COMPUTED_VALUE"""),9.99999999E8)</f>
        <v>999999999</v>
      </c>
      <c r="Q923" s="148" t="str">
        <f>IFERROR(__xludf.DUMMYFUNCTION("""COMPUTED_VALUE"""),"[""bag_other""]")</f>
        <v>["bag_other"]</v>
      </c>
      <c r="R923" s="148" t="str">
        <f>IFERROR(__xludf.DUMMYFUNCTION("""COMPUTED_VALUE"""),"[""bag""]")</f>
        <v>["bag"]</v>
      </c>
      <c r="S923" s="148" t="str">
        <f>IFERROR(__xludf.DUMMYFUNCTION("""COMPUTED_VALUE"""),"{}")</f>
        <v>{}</v>
      </c>
      <c r="T923" s="148">
        <f>IFERROR(__xludf.DUMMYFUNCTION("""COMPUTED_VALUE"""),1.0)</f>
        <v>1</v>
      </c>
      <c r="U923" s="148">
        <f>IFERROR(__xludf.DUMMYFUNCTION("""COMPUTED_VALUE"""),0.0)</f>
        <v>0</v>
      </c>
      <c r="V923" s="148" t="str">
        <f>IFERROR(__xludf.DUMMYFUNCTION("""COMPUTED_VALUE"""),"[]")</f>
        <v>[]</v>
      </c>
      <c r="W923" s="148">
        <f>IFERROR(__xludf.DUMMYFUNCTION("""COMPUTED_VALUE"""),1.174E7)</f>
        <v>11740000</v>
      </c>
      <c r="X923" s="148">
        <f>IFERROR(__xludf.DUMMYFUNCTION("""COMPUTED_VALUE"""),0.0)</f>
        <v>0</v>
      </c>
      <c r="Y923" s="148">
        <f>IFERROR(__xludf.DUMMYFUNCTION("""COMPUTED_VALUE"""),0.0)</f>
        <v>0</v>
      </c>
      <c r="Z923" s="148"/>
    </row>
    <row r="924">
      <c r="A924" s="148">
        <f>IFERROR(__xludf.DUMMYFUNCTION("""COMPUTED_VALUE"""),1.1112721E7)</f>
        <v>11112721</v>
      </c>
      <c r="B924" s="148" t="str">
        <f>IFERROR(__xludf.DUMMYFUNCTION("""COMPUTED_VALUE"""),"推币机-金币")</f>
        <v>推币机-金币</v>
      </c>
      <c r="C924" s="148"/>
      <c r="D924" s="148" t="str">
        <f>IFERROR(__xludf.DUMMYFUNCTION("""COMPUTED_VALUE"""),"coin_push_gold")</f>
        <v>coin_push_gold</v>
      </c>
      <c r="E924" s="148">
        <f>IFERROR(__xludf.DUMMYFUNCTION("""COMPUTED_VALUE"""),0.0)</f>
        <v>0</v>
      </c>
      <c r="F924" s="148">
        <f>IFERROR(__xludf.DUMMYFUNCTION("""COMPUTED_VALUE"""),405221.0)</f>
        <v>405221</v>
      </c>
      <c r="G924" s="148">
        <f>IFERROR(__xludf.DUMMYFUNCTION("""COMPUTED_VALUE"""),1.51104199E8)</f>
        <v>151104199</v>
      </c>
      <c r="H924" s="148">
        <f>IFERROR(__xludf.DUMMYFUNCTION("""COMPUTED_VALUE"""),1.5112564E7)</f>
        <v>15112564</v>
      </c>
      <c r="I924" s="148" t="str">
        <f>IFERROR(__xludf.DUMMYFUNCTION("""COMPUTED_VALUE"""),"{}")</f>
        <v>{}</v>
      </c>
      <c r="J924" s="148" t="str">
        <f>IFERROR(__xludf.DUMMYFUNCTION("""COMPUTED_VALUE"""),"{""typ"":""lc"",""txt"":""LC_ITEM_coin_pusher_gold_coin_name""}")</f>
        <v>{"typ":"lc","txt":"LC_ITEM_coin_pusher_gold_coin_name"}</v>
      </c>
      <c r="K924" s="148" t="str">
        <f>IFERROR(__xludf.DUMMYFUNCTION("""COMPUTED_VALUE"""),"{""typ"":""lc"",""txt"":""LC_ITEM_coin_pusher_gold_coin_desc""}")</f>
        <v>{"typ":"lc","txt":"LC_ITEM_coin_pusher_gold_coin_desc"}</v>
      </c>
      <c r="L924" s="148" t="str">
        <f>IFERROR(__xludf.DUMMYFUNCTION("""COMPUTED_VALUE"""),"{}")</f>
        <v>{}</v>
      </c>
      <c r="M924" s="148">
        <f>IFERROR(__xludf.DUMMYFUNCTION("""COMPUTED_VALUE"""),200.0)</f>
        <v>200</v>
      </c>
      <c r="N924" s="148">
        <f>IFERROR(__xludf.DUMMYFUNCTION("""COMPUTED_VALUE"""),9.99999999E8)</f>
        <v>999999999</v>
      </c>
      <c r="O924" s="148">
        <f>IFERROR(__xludf.DUMMYFUNCTION("""COMPUTED_VALUE"""),9.99999999E8)</f>
        <v>999999999</v>
      </c>
      <c r="P924" s="148">
        <f>IFERROR(__xludf.DUMMYFUNCTION("""COMPUTED_VALUE"""),9.99999999E8)</f>
        <v>999999999</v>
      </c>
      <c r="Q924" s="148" t="str">
        <f>IFERROR(__xludf.DUMMYFUNCTION("""COMPUTED_VALUE"""),"[]")</f>
        <v>[]</v>
      </c>
      <c r="R924" s="148" t="str">
        <f>IFERROR(__xludf.DUMMYFUNCTION("""COMPUTED_VALUE"""),"[]")</f>
        <v>[]</v>
      </c>
      <c r="S924" s="148" t="str">
        <f>IFERROR(__xludf.DUMMYFUNCTION("""COMPUTED_VALUE"""),"{}")</f>
        <v>{}</v>
      </c>
      <c r="T924" s="148">
        <f>IFERROR(__xludf.DUMMYFUNCTION("""COMPUTED_VALUE"""),-1.0)</f>
        <v>-1</v>
      </c>
      <c r="U924" s="148">
        <f>IFERROR(__xludf.DUMMYFUNCTION("""COMPUTED_VALUE"""),0.0)</f>
        <v>0</v>
      </c>
      <c r="V924" s="148" t="str">
        <f>IFERROR(__xludf.DUMMYFUNCTION("""COMPUTED_VALUE"""),"[]")</f>
        <v>[]</v>
      </c>
      <c r="W924" s="148">
        <f>IFERROR(__xludf.DUMMYFUNCTION("""COMPUTED_VALUE"""),1.174E7)</f>
        <v>11740000</v>
      </c>
      <c r="X924" s="148">
        <f>IFERROR(__xludf.DUMMYFUNCTION("""COMPUTED_VALUE"""),0.0)</f>
        <v>0</v>
      </c>
      <c r="Y924" s="148">
        <f>IFERROR(__xludf.DUMMYFUNCTION("""COMPUTED_VALUE"""),0.0)</f>
        <v>0</v>
      </c>
      <c r="Z924" s="148"/>
    </row>
    <row r="925">
      <c r="A925" s="148">
        <f>IFERROR(__xludf.DUMMYFUNCTION("""COMPUTED_VALUE"""),1.1112722E7)</f>
        <v>11112722</v>
      </c>
      <c r="B925" s="148" t="str">
        <f>IFERROR(__xludf.DUMMYFUNCTION("""COMPUTED_VALUE"""),"推币机-银币")</f>
        <v>推币机-银币</v>
      </c>
      <c r="C925" s="148"/>
      <c r="D925" s="148" t="str">
        <f>IFERROR(__xludf.DUMMYFUNCTION("""COMPUTED_VALUE"""),"coin_push_sliver")</f>
        <v>coin_push_sliver</v>
      </c>
      <c r="E925" s="148">
        <f>IFERROR(__xludf.DUMMYFUNCTION("""COMPUTED_VALUE"""),0.0)</f>
        <v>0</v>
      </c>
      <c r="F925" s="148">
        <f>IFERROR(__xludf.DUMMYFUNCTION("""COMPUTED_VALUE"""),405221.0)</f>
        <v>405221</v>
      </c>
      <c r="G925" s="148">
        <f>IFERROR(__xludf.DUMMYFUNCTION("""COMPUTED_VALUE"""),1.51104198E8)</f>
        <v>151104198</v>
      </c>
      <c r="H925" s="148">
        <f>IFERROR(__xludf.DUMMYFUNCTION("""COMPUTED_VALUE"""),1.5112563E7)</f>
        <v>15112563</v>
      </c>
      <c r="I925" s="148" t="str">
        <f>IFERROR(__xludf.DUMMYFUNCTION("""COMPUTED_VALUE"""),"{}")</f>
        <v>{}</v>
      </c>
      <c r="J925" s="148" t="str">
        <f>IFERROR(__xludf.DUMMYFUNCTION("""COMPUTED_VALUE"""),"{""typ"":""lc"",""txt"":""LC_ITEM_coin_pusher_silver_coin_name""}")</f>
        <v>{"typ":"lc","txt":"LC_ITEM_coin_pusher_silver_coin_name"}</v>
      </c>
      <c r="K925" s="148" t="str">
        <f>IFERROR(__xludf.DUMMYFUNCTION("""COMPUTED_VALUE"""),"{""typ"":""lc"",""txt"":""LC_ITEM_coin_pusher_silver_coin_desc""}")</f>
        <v>{"typ":"lc","txt":"LC_ITEM_coin_pusher_silver_coin_desc"}</v>
      </c>
      <c r="L925" s="148" t="str">
        <f>IFERROR(__xludf.DUMMYFUNCTION("""COMPUTED_VALUE"""),"{}")</f>
        <v>{}</v>
      </c>
      <c r="M925" s="148">
        <f>IFERROR(__xludf.DUMMYFUNCTION("""COMPUTED_VALUE"""),100.0)</f>
        <v>100</v>
      </c>
      <c r="N925" s="148">
        <f>IFERROR(__xludf.DUMMYFUNCTION("""COMPUTED_VALUE"""),9.99999999E8)</f>
        <v>999999999</v>
      </c>
      <c r="O925" s="148">
        <f>IFERROR(__xludf.DUMMYFUNCTION("""COMPUTED_VALUE"""),9.99999999E8)</f>
        <v>999999999</v>
      </c>
      <c r="P925" s="148">
        <f>IFERROR(__xludf.DUMMYFUNCTION("""COMPUTED_VALUE"""),9.99999999E8)</f>
        <v>999999999</v>
      </c>
      <c r="Q925" s="148" t="str">
        <f>IFERROR(__xludf.DUMMYFUNCTION("""COMPUTED_VALUE"""),"[]")</f>
        <v>[]</v>
      </c>
      <c r="R925" s="148" t="str">
        <f>IFERROR(__xludf.DUMMYFUNCTION("""COMPUTED_VALUE"""),"[]")</f>
        <v>[]</v>
      </c>
      <c r="S925" s="148" t="str">
        <f>IFERROR(__xludf.DUMMYFUNCTION("""COMPUTED_VALUE"""),"{}")</f>
        <v>{}</v>
      </c>
      <c r="T925" s="148">
        <f>IFERROR(__xludf.DUMMYFUNCTION("""COMPUTED_VALUE"""),-1.0)</f>
        <v>-1</v>
      </c>
      <c r="U925" s="148">
        <f>IFERROR(__xludf.DUMMYFUNCTION("""COMPUTED_VALUE"""),0.0)</f>
        <v>0</v>
      </c>
      <c r="V925" s="148" t="str">
        <f>IFERROR(__xludf.DUMMYFUNCTION("""COMPUTED_VALUE"""),"[]")</f>
        <v>[]</v>
      </c>
      <c r="W925" s="148">
        <f>IFERROR(__xludf.DUMMYFUNCTION("""COMPUTED_VALUE"""),1.174E7)</f>
        <v>11740000</v>
      </c>
      <c r="X925" s="148">
        <f>IFERROR(__xludf.DUMMYFUNCTION("""COMPUTED_VALUE"""),0.0)</f>
        <v>0</v>
      </c>
      <c r="Y925" s="148">
        <f>IFERROR(__xludf.DUMMYFUNCTION("""COMPUTED_VALUE"""),0.0)</f>
        <v>0</v>
      </c>
      <c r="Z925" s="148"/>
    </row>
    <row r="926">
      <c r="A926" s="148">
        <f>IFERROR(__xludf.DUMMYFUNCTION("""COMPUTED_VALUE"""),1.1112723E7)</f>
        <v>11112723</v>
      </c>
      <c r="B926" s="148" t="str">
        <f>IFERROR(__xludf.DUMMYFUNCTION("""COMPUTED_VALUE"""),"推币机-问号宝箱")</f>
        <v>推币机-问号宝箱</v>
      </c>
      <c r="C926" s="148"/>
      <c r="D926" s="148" t="str">
        <f>IFERROR(__xludf.DUMMYFUNCTION("""COMPUTED_VALUE"""),"coin_push_random_box")</f>
        <v>coin_push_random_box</v>
      </c>
      <c r="E926" s="148">
        <f>IFERROR(__xludf.DUMMYFUNCTION("""COMPUTED_VALUE"""),0.0)</f>
        <v>0</v>
      </c>
      <c r="F926" s="148">
        <f>IFERROR(__xludf.DUMMYFUNCTION("""COMPUTED_VALUE"""),405221.0)</f>
        <v>405221</v>
      </c>
      <c r="G926" s="148">
        <f>IFERROR(__xludf.DUMMYFUNCTION("""COMPUTED_VALUE"""),1.511042E8)</f>
        <v>151104200</v>
      </c>
      <c r="H926" s="148">
        <f>IFERROR(__xludf.DUMMYFUNCTION("""COMPUTED_VALUE"""),1.5112564E7)</f>
        <v>15112564</v>
      </c>
      <c r="I926" s="148" t="str">
        <f>IFERROR(__xludf.DUMMYFUNCTION("""COMPUTED_VALUE"""),"{}")</f>
        <v>{}</v>
      </c>
      <c r="J926" s="148" t="str">
        <f>IFERROR(__xludf.DUMMYFUNCTION("""COMPUTED_VALUE"""),"{""typ"":""lc"",""txt"":""LC_ITEM_coin_pusher_lucky_box_name""}")</f>
        <v>{"typ":"lc","txt":"LC_ITEM_coin_pusher_lucky_box_name"}</v>
      </c>
      <c r="K926" s="148" t="str">
        <f>IFERROR(__xludf.DUMMYFUNCTION("""COMPUTED_VALUE"""),"{""typ"":""lc"",""txt"":""LC_ITEM_coin_pusher_lucky_box_desc""}")</f>
        <v>{"typ":"lc","txt":"LC_ITEM_coin_pusher_lucky_box_desc"}</v>
      </c>
      <c r="L926" s="148" t="str">
        <f>IFERROR(__xludf.DUMMYFUNCTION("""COMPUTED_VALUE"""),"{}")</f>
        <v>{}</v>
      </c>
      <c r="M926" s="148">
        <f>IFERROR(__xludf.DUMMYFUNCTION("""COMPUTED_VALUE"""),500.0)</f>
        <v>500</v>
      </c>
      <c r="N926" s="148">
        <f>IFERROR(__xludf.DUMMYFUNCTION("""COMPUTED_VALUE"""),9.99999999E8)</f>
        <v>999999999</v>
      </c>
      <c r="O926" s="148">
        <f>IFERROR(__xludf.DUMMYFUNCTION("""COMPUTED_VALUE"""),9.99999999E8)</f>
        <v>999999999</v>
      </c>
      <c r="P926" s="148">
        <f>IFERROR(__xludf.DUMMYFUNCTION("""COMPUTED_VALUE"""),9.99999999E8)</f>
        <v>999999999</v>
      </c>
      <c r="Q926" s="148" t="str">
        <f>IFERROR(__xludf.DUMMYFUNCTION("""COMPUTED_VALUE"""),"[]")</f>
        <v>[]</v>
      </c>
      <c r="R926" s="148" t="str">
        <f>IFERROR(__xludf.DUMMYFUNCTION("""COMPUTED_VALUE"""),"[]")</f>
        <v>[]</v>
      </c>
      <c r="S926" s="148" t="str">
        <f>IFERROR(__xludf.DUMMYFUNCTION("""COMPUTED_VALUE"""),"{}")</f>
        <v>{}</v>
      </c>
      <c r="T926" s="148">
        <f>IFERROR(__xludf.DUMMYFUNCTION("""COMPUTED_VALUE"""),-1.0)</f>
        <v>-1</v>
      </c>
      <c r="U926" s="148">
        <f>IFERROR(__xludf.DUMMYFUNCTION("""COMPUTED_VALUE"""),0.0)</f>
        <v>0</v>
      </c>
      <c r="V926" s="148" t="str">
        <f>IFERROR(__xludf.DUMMYFUNCTION("""COMPUTED_VALUE"""),"[]")</f>
        <v>[]</v>
      </c>
      <c r="W926" s="148">
        <f>IFERROR(__xludf.DUMMYFUNCTION("""COMPUTED_VALUE"""),1.174E7)</f>
        <v>11740000</v>
      </c>
      <c r="X926" s="148">
        <f>IFERROR(__xludf.DUMMYFUNCTION("""COMPUTED_VALUE"""),0.0)</f>
        <v>0</v>
      </c>
      <c r="Y926" s="148">
        <f>IFERROR(__xludf.DUMMYFUNCTION("""COMPUTED_VALUE"""),0.0)</f>
        <v>0</v>
      </c>
      <c r="Z926" s="148"/>
    </row>
    <row r="927">
      <c r="A927" s="148">
        <f>IFERROR(__xludf.DUMMYFUNCTION("""COMPUTED_VALUE"""),1.1112724E7)</f>
        <v>11112724</v>
      </c>
      <c r="B927" s="148" t="str">
        <f>IFERROR(__xludf.DUMMYFUNCTION("""COMPUTED_VALUE"""),"推币机-币堆道具")</f>
        <v>推币机-币堆道具</v>
      </c>
      <c r="C927" s="148"/>
      <c r="D927" s="148" t="str">
        <f>IFERROR(__xludf.DUMMYFUNCTION("""COMPUTED_VALUE"""),"coin_push_coin_stack")</f>
        <v>coin_push_coin_stack</v>
      </c>
      <c r="E927" s="148">
        <f>IFERROR(__xludf.DUMMYFUNCTION("""COMPUTED_VALUE"""),0.0)</f>
        <v>0</v>
      </c>
      <c r="F927" s="148">
        <f>IFERROR(__xludf.DUMMYFUNCTION("""COMPUTED_VALUE"""),405221.0)</f>
        <v>405221</v>
      </c>
      <c r="G927" s="148">
        <f>IFERROR(__xludf.DUMMYFUNCTION("""COMPUTED_VALUE"""),1.51104201E8)</f>
        <v>151104201</v>
      </c>
      <c r="H927" s="148">
        <f>IFERROR(__xludf.DUMMYFUNCTION("""COMPUTED_VALUE"""),1.5112564E7)</f>
        <v>15112564</v>
      </c>
      <c r="I927" s="148" t="str">
        <f>IFERROR(__xludf.DUMMYFUNCTION("""COMPUTED_VALUE"""),"{}")</f>
        <v>{}</v>
      </c>
      <c r="J927" s="148" t="str">
        <f>IFERROR(__xludf.DUMMYFUNCTION("""COMPUTED_VALUE"""),"{""typ"":""lc"",""txt"":""LC_ITEM_coin_pusher_mechanism_coin_name""}")</f>
        <v>{"typ":"lc","txt":"LC_ITEM_coin_pusher_mechanism_coin_name"}</v>
      </c>
      <c r="K927" s="148" t="str">
        <f>IFERROR(__xludf.DUMMYFUNCTION("""COMPUTED_VALUE"""),"{""typ"":""lc"",""txt"":""LC_ITEM_coin_pusher_mechanism_coin_desc""}")</f>
        <v>{"typ":"lc","txt":"LC_ITEM_coin_pusher_mechanism_coin_desc"}</v>
      </c>
      <c r="L927" s="148" t="str">
        <f>IFERROR(__xludf.DUMMYFUNCTION("""COMPUTED_VALUE"""),"{}")</f>
        <v>{}</v>
      </c>
      <c r="M927" s="148">
        <f>IFERROR(__xludf.DUMMYFUNCTION("""COMPUTED_VALUE"""),1000.0)</f>
        <v>1000</v>
      </c>
      <c r="N927" s="148">
        <f>IFERROR(__xludf.DUMMYFUNCTION("""COMPUTED_VALUE"""),9.99999999E8)</f>
        <v>999999999</v>
      </c>
      <c r="O927" s="148">
        <f>IFERROR(__xludf.DUMMYFUNCTION("""COMPUTED_VALUE"""),9.99999999E8)</f>
        <v>999999999</v>
      </c>
      <c r="P927" s="148">
        <f>IFERROR(__xludf.DUMMYFUNCTION("""COMPUTED_VALUE"""),9.99999999E8)</f>
        <v>999999999</v>
      </c>
      <c r="Q927" s="148" t="str">
        <f>IFERROR(__xludf.DUMMYFUNCTION("""COMPUTED_VALUE"""),"[]")</f>
        <v>[]</v>
      </c>
      <c r="R927" s="148" t="str">
        <f>IFERROR(__xludf.DUMMYFUNCTION("""COMPUTED_VALUE"""),"[]")</f>
        <v>[]</v>
      </c>
      <c r="S927" s="148" t="str">
        <f>IFERROR(__xludf.DUMMYFUNCTION("""COMPUTED_VALUE"""),"{}")</f>
        <v>{}</v>
      </c>
      <c r="T927" s="148">
        <f>IFERROR(__xludf.DUMMYFUNCTION("""COMPUTED_VALUE"""),-1.0)</f>
        <v>-1</v>
      </c>
      <c r="U927" s="148">
        <f>IFERROR(__xludf.DUMMYFUNCTION("""COMPUTED_VALUE"""),0.0)</f>
        <v>0</v>
      </c>
      <c r="V927" s="148" t="str">
        <f>IFERROR(__xludf.DUMMYFUNCTION("""COMPUTED_VALUE"""),"[]")</f>
        <v>[]</v>
      </c>
      <c r="W927" s="148">
        <f>IFERROR(__xludf.DUMMYFUNCTION("""COMPUTED_VALUE"""),1.174E7)</f>
        <v>11740000</v>
      </c>
      <c r="X927" s="148">
        <f>IFERROR(__xludf.DUMMYFUNCTION("""COMPUTED_VALUE"""),0.0)</f>
        <v>0</v>
      </c>
      <c r="Y927" s="148">
        <f>IFERROR(__xludf.DUMMYFUNCTION("""COMPUTED_VALUE"""),0.0)</f>
        <v>0</v>
      </c>
      <c r="Z927" s="148"/>
    </row>
    <row r="928">
      <c r="A928" s="148">
        <f>IFERROR(__xludf.DUMMYFUNCTION("""COMPUTED_VALUE"""),1.1112725E7)</f>
        <v>11112725</v>
      </c>
      <c r="B928" s="148" t="str">
        <f>IFERROR(__xludf.DUMMYFUNCTION("""COMPUTED_VALUE"""),"推币机-夺宝游戏币")</f>
        <v>推币机-夺宝游戏币</v>
      </c>
      <c r="C928" s="148"/>
      <c r="D928" s="148" t="str">
        <f>IFERROR(__xludf.DUMMYFUNCTION("""COMPUTED_VALUE"""),"event")</f>
        <v>event</v>
      </c>
      <c r="E928" s="148">
        <f>IFERROR(__xludf.DUMMYFUNCTION("""COMPUTED_VALUE"""),0.0)</f>
        <v>0</v>
      </c>
      <c r="F928" s="148">
        <f>IFERROR(__xludf.DUMMYFUNCTION("""COMPUTED_VALUE"""),405221.0)</f>
        <v>405221</v>
      </c>
      <c r="G928" s="148">
        <f>IFERROR(__xludf.DUMMYFUNCTION("""COMPUTED_VALUE"""),1.51104202E8)</f>
        <v>151104202</v>
      </c>
      <c r="H928" s="148">
        <f>IFERROR(__xludf.DUMMYFUNCTION("""COMPUTED_VALUE"""),1.5112564E7)</f>
        <v>15112564</v>
      </c>
      <c r="I928" s="148" t="str">
        <f>IFERROR(__xludf.DUMMYFUNCTION("""COMPUTED_VALUE"""),"{}")</f>
        <v>{}</v>
      </c>
      <c r="J928" s="148" t="str">
        <f>IFERROR(__xludf.DUMMYFUNCTION("""COMPUTED_VALUE"""),"{""typ"":""lc"",""txt"":""LC_ITEM_coin_pusher_game_coin_name""}")</f>
        <v>{"typ":"lc","txt":"LC_ITEM_coin_pusher_game_coin_name"}</v>
      </c>
      <c r="K928" s="148" t="str">
        <f>IFERROR(__xludf.DUMMYFUNCTION("""COMPUTED_VALUE"""),"{""typ"":""lc"",""txt"":""LC_ITEM_coin_pusher_game_coin_desc""}")</f>
        <v>{"typ":"lc","txt":"LC_ITEM_coin_pusher_game_coin_desc"}</v>
      </c>
      <c r="L928" s="148" t="str">
        <f>IFERROR(__xludf.DUMMYFUNCTION("""COMPUTED_VALUE"""),"{}")</f>
        <v>{}</v>
      </c>
      <c r="M928" s="148">
        <f>IFERROR(__xludf.DUMMYFUNCTION("""COMPUTED_VALUE"""),500.0)</f>
        <v>500</v>
      </c>
      <c r="N928" s="148">
        <f>IFERROR(__xludf.DUMMYFUNCTION("""COMPUTED_VALUE"""),99999.0)</f>
        <v>99999</v>
      </c>
      <c r="O928" s="148">
        <f>IFERROR(__xludf.DUMMYFUNCTION("""COMPUTED_VALUE"""),99999.0)</f>
        <v>99999</v>
      </c>
      <c r="P928" s="148">
        <f>IFERROR(__xludf.DUMMYFUNCTION("""COMPUTED_VALUE"""),10.0)</f>
        <v>10</v>
      </c>
      <c r="Q928" s="148" t="str">
        <f>IFERROR(__xludf.DUMMYFUNCTION("""COMPUTED_VALUE"""),"[""bag_other""]")</f>
        <v>["bag_other"]</v>
      </c>
      <c r="R928" s="148" t="str">
        <f>IFERROR(__xludf.DUMMYFUNCTION("""COMPUTED_VALUE"""),"[""bag"",""coin_pusher""]")</f>
        <v>["bag","coin_pusher"]</v>
      </c>
      <c r="S928" s="148" t="str">
        <f>IFERROR(__xludf.DUMMYFUNCTION("""COMPUTED_VALUE"""),"{}")</f>
        <v>{}</v>
      </c>
      <c r="T928" s="148">
        <f>IFERROR(__xludf.DUMMYFUNCTION("""COMPUTED_VALUE"""),-1.0)</f>
        <v>-1</v>
      </c>
      <c r="U928" s="148">
        <f>IFERROR(__xludf.DUMMYFUNCTION("""COMPUTED_VALUE"""),0.0)</f>
        <v>0</v>
      </c>
      <c r="V928" s="148" t="str">
        <f>IFERROR(__xludf.DUMMYFUNCTION("""COMPUTED_VALUE"""),"[]")</f>
        <v>[]</v>
      </c>
      <c r="W928" s="148">
        <f>IFERROR(__xludf.DUMMYFUNCTION("""COMPUTED_VALUE"""),1.174E7)</f>
        <v>11740000</v>
      </c>
      <c r="X928" s="148">
        <f>IFERROR(__xludf.DUMMYFUNCTION("""COMPUTED_VALUE"""),1.1684719E7)</f>
        <v>11684719</v>
      </c>
      <c r="Y928" s="148">
        <f>IFERROR(__xludf.DUMMYFUNCTION("""COMPUTED_VALUE"""),0.0)</f>
        <v>0</v>
      </c>
      <c r="Z928" s="148"/>
    </row>
    <row r="929">
      <c r="A929" s="148">
        <f>IFERROR(__xludf.DUMMYFUNCTION("""COMPUTED_VALUE"""),1.1112726E7)</f>
        <v>11112726</v>
      </c>
      <c r="B929" s="148" t="str">
        <f>IFERROR(__xludf.DUMMYFUNCTION("""COMPUTED_VALUE"""),"推币机-点金手")</f>
        <v>推币机-点金手</v>
      </c>
      <c r="C929" s="148"/>
      <c r="D929" s="148" t="str">
        <f>IFERROR(__xludf.DUMMYFUNCTION("""COMPUTED_VALUE"""),"event")</f>
        <v>event</v>
      </c>
      <c r="E929" s="148">
        <f>IFERROR(__xludf.DUMMYFUNCTION("""COMPUTED_VALUE"""),0.0)</f>
        <v>0</v>
      </c>
      <c r="F929" s="148">
        <f>IFERROR(__xludf.DUMMYFUNCTION("""COMPUTED_VALUE"""),405221.0)</f>
        <v>405221</v>
      </c>
      <c r="G929" s="148">
        <f>IFERROR(__xludf.DUMMYFUNCTION("""COMPUTED_VALUE"""),1.51104203E8)</f>
        <v>151104203</v>
      </c>
      <c r="H929" s="148">
        <f>IFERROR(__xludf.DUMMYFUNCTION("""COMPUTED_VALUE"""),1.5112564E7)</f>
        <v>15112564</v>
      </c>
      <c r="I929" s="148" t="str">
        <f>IFERROR(__xludf.DUMMYFUNCTION("""COMPUTED_VALUE"""),"{}")</f>
        <v>{}</v>
      </c>
      <c r="J929" s="148" t="str">
        <f>IFERROR(__xludf.DUMMYFUNCTION("""COMPUTED_VALUE"""),"{""typ"":""lc"",""txt"":""LC_ITEM_coin_pusher_midas_touch_name""}")</f>
        <v>{"typ":"lc","txt":"LC_ITEM_coin_pusher_midas_touch_name"}</v>
      </c>
      <c r="K929" s="148" t="str">
        <f>IFERROR(__xludf.DUMMYFUNCTION("""COMPUTED_VALUE"""),"{""typ"":""lc"",""txt"":""LC_ITEM_coin_pusher_midas_touch_desc""}")</f>
        <v>{"typ":"lc","txt":"LC_ITEM_coin_pusher_midas_touch_desc"}</v>
      </c>
      <c r="L929" s="148" t="str">
        <f>IFERROR(__xludf.DUMMYFUNCTION("""COMPUTED_VALUE"""),"{}")</f>
        <v>{}</v>
      </c>
      <c r="M929" s="148">
        <f>IFERROR(__xludf.DUMMYFUNCTION("""COMPUTED_VALUE"""),1000.0)</f>
        <v>1000</v>
      </c>
      <c r="N929" s="148">
        <f>IFERROR(__xludf.DUMMYFUNCTION("""COMPUTED_VALUE"""),99999.0)</f>
        <v>99999</v>
      </c>
      <c r="O929" s="148">
        <f>IFERROR(__xludf.DUMMYFUNCTION("""COMPUTED_VALUE"""),99999.0)</f>
        <v>99999</v>
      </c>
      <c r="P929" s="148">
        <f>IFERROR(__xludf.DUMMYFUNCTION("""COMPUTED_VALUE"""),1.0)</f>
        <v>1</v>
      </c>
      <c r="Q929" s="148" t="str">
        <f>IFERROR(__xludf.DUMMYFUNCTION("""COMPUTED_VALUE"""),"[""bag_other""]")</f>
        <v>["bag_other"]</v>
      </c>
      <c r="R929" s="148" t="str">
        <f>IFERROR(__xludf.DUMMYFUNCTION("""COMPUTED_VALUE"""),"[""bag"",""coin_pusher""]")</f>
        <v>["bag","coin_pusher"]</v>
      </c>
      <c r="S929" s="148" t="str">
        <f>IFERROR(__xludf.DUMMYFUNCTION("""COMPUTED_VALUE"""),"{}")</f>
        <v>{}</v>
      </c>
      <c r="T929" s="148">
        <f>IFERROR(__xludf.DUMMYFUNCTION("""COMPUTED_VALUE"""),-1.0)</f>
        <v>-1</v>
      </c>
      <c r="U929" s="148">
        <f>IFERROR(__xludf.DUMMYFUNCTION("""COMPUTED_VALUE"""),0.0)</f>
        <v>0</v>
      </c>
      <c r="V929" s="148" t="str">
        <f>IFERROR(__xludf.DUMMYFUNCTION("""COMPUTED_VALUE"""),"[]")</f>
        <v>[]</v>
      </c>
      <c r="W929" s="148">
        <f>IFERROR(__xludf.DUMMYFUNCTION("""COMPUTED_VALUE"""),1.174E7)</f>
        <v>11740000</v>
      </c>
      <c r="X929" s="148">
        <f>IFERROR(__xludf.DUMMYFUNCTION("""COMPUTED_VALUE"""),1.168472E7)</f>
        <v>11684720</v>
      </c>
      <c r="Y929" s="148">
        <f>IFERROR(__xludf.DUMMYFUNCTION("""COMPUTED_VALUE"""),0.0)</f>
        <v>0</v>
      </c>
      <c r="Z929" s="148"/>
    </row>
    <row r="930">
      <c r="A930" s="148">
        <f>IFERROR(__xludf.DUMMYFUNCTION("""COMPUTED_VALUE"""),1.1112727E7)</f>
        <v>11112727</v>
      </c>
      <c r="B930" s="148" t="str">
        <f>IFERROR(__xludf.DUMMYFUNCTION("""COMPUTED_VALUE"""),"推币机-翻倍门道具")</f>
        <v>推币机-翻倍门道具</v>
      </c>
      <c r="C930" s="148"/>
      <c r="D930" s="148" t="str">
        <f>IFERROR(__xludf.DUMMYFUNCTION("""COMPUTED_VALUE"""),"coin_push_double")</f>
        <v>coin_push_double</v>
      </c>
      <c r="E930" s="148">
        <f>IFERROR(__xludf.DUMMYFUNCTION("""COMPUTED_VALUE"""),0.0)</f>
        <v>0</v>
      </c>
      <c r="F930" s="148">
        <f>IFERROR(__xludf.DUMMYFUNCTION("""COMPUTED_VALUE"""),405221.0)</f>
        <v>405221</v>
      </c>
      <c r="G930" s="148">
        <f>IFERROR(__xludf.DUMMYFUNCTION("""COMPUTED_VALUE"""),1.51104213E8)</f>
        <v>151104213</v>
      </c>
      <c r="H930" s="148">
        <f>IFERROR(__xludf.DUMMYFUNCTION("""COMPUTED_VALUE"""),1.5112564E7)</f>
        <v>15112564</v>
      </c>
      <c r="I930" s="148" t="str">
        <f>IFERROR(__xludf.DUMMYFUNCTION("""COMPUTED_VALUE"""),"{}")</f>
        <v>{}</v>
      </c>
      <c r="J930" s="148" t="str">
        <f>IFERROR(__xludf.DUMMYFUNCTION("""COMPUTED_VALUE"""),"{""typ"":""lc"",""txt"":""LC_ITEM_coin_pusher_mechanism_coin_name""}")</f>
        <v>{"typ":"lc","txt":"LC_ITEM_coin_pusher_mechanism_coin_name"}</v>
      </c>
      <c r="K930" s="148" t="str">
        <f>IFERROR(__xludf.DUMMYFUNCTION("""COMPUTED_VALUE"""),"{""typ"":""lc"",""txt"":""LC_ITEM_coin_pusher_mechanism_coin_desc""}")</f>
        <v>{"typ":"lc","txt":"LC_ITEM_coin_pusher_mechanism_coin_desc"}</v>
      </c>
      <c r="L930" s="148" t="str">
        <f>IFERROR(__xludf.DUMMYFUNCTION("""COMPUTED_VALUE"""),"{}")</f>
        <v>{}</v>
      </c>
      <c r="M930" s="148">
        <f>IFERROR(__xludf.DUMMYFUNCTION("""COMPUTED_VALUE"""),1000.0)</f>
        <v>1000</v>
      </c>
      <c r="N930" s="148">
        <f>IFERROR(__xludf.DUMMYFUNCTION("""COMPUTED_VALUE"""),9.99999999E8)</f>
        <v>999999999</v>
      </c>
      <c r="O930" s="148">
        <f>IFERROR(__xludf.DUMMYFUNCTION("""COMPUTED_VALUE"""),9.99999999E8)</f>
        <v>999999999</v>
      </c>
      <c r="P930" s="148">
        <f>IFERROR(__xludf.DUMMYFUNCTION("""COMPUTED_VALUE"""),9.99999999E8)</f>
        <v>999999999</v>
      </c>
      <c r="Q930" s="148" t="str">
        <f>IFERROR(__xludf.DUMMYFUNCTION("""COMPUTED_VALUE"""),"[]")</f>
        <v>[]</v>
      </c>
      <c r="R930" s="148" t="str">
        <f>IFERROR(__xludf.DUMMYFUNCTION("""COMPUTED_VALUE"""),"[]")</f>
        <v>[]</v>
      </c>
      <c r="S930" s="148" t="str">
        <f>IFERROR(__xludf.DUMMYFUNCTION("""COMPUTED_VALUE"""),"{""effect"":[{""typ"":""coin_push_double"",""val"":1800000}]}")</f>
        <v>{"effect":[{"typ":"coin_push_double","val":1800000}]}</v>
      </c>
      <c r="T930" s="148">
        <f>IFERROR(__xludf.DUMMYFUNCTION("""COMPUTED_VALUE"""),-1.0)</f>
        <v>-1</v>
      </c>
      <c r="U930" s="148">
        <f>IFERROR(__xludf.DUMMYFUNCTION("""COMPUTED_VALUE"""),1.0)</f>
        <v>1</v>
      </c>
      <c r="V930" s="148" t="str">
        <f>IFERROR(__xludf.DUMMYFUNCTION("""COMPUTED_VALUE"""),"[]")</f>
        <v>[]</v>
      </c>
      <c r="W930" s="148">
        <f>IFERROR(__xludf.DUMMYFUNCTION("""COMPUTED_VALUE"""),1.174E7)</f>
        <v>11740000</v>
      </c>
      <c r="X930" s="148">
        <f>IFERROR(__xludf.DUMMYFUNCTION("""COMPUTED_VALUE"""),0.0)</f>
        <v>0</v>
      </c>
      <c r="Y930" s="148">
        <f>IFERROR(__xludf.DUMMYFUNCTION("""COMPUTED_VALUE"""),0.0)</f>
        <v>0</v>
      </c>
      <c r="Z930" s="148"/>
    </row>
    <row r="931">
      <c r="A931" s="148">
        <f>IFERROR(__xludf.DUMMYFUNCTION("""COMPUTED_VALUE"""),1.1112728E7)</f>
        <v>11112728</v>
      </c>
      <c r="B931" s="148" t="str">
        <f>IFERROR(__xludf.DUMMYFUNCTION("""COMPUTED_VALUE"""),"涂饰-打孔第二期科技节装饰-涂饰道具-一天")</f>
        <v>涂饰-打孔第二期科技节装饰-涂饰道具-一天</v>
      </c>
      <c r="C931" s="148"/>
      <c r="D931" s="148" t="str">
        <f>IFERROR(__xludf.DUMMYFUNCTION("""COMPUTED_VALUE"""),"decorate_paint")</f>
        <v>decorate_paint</v>
      </c>
      <c r="E931" s="148">
        <f>IFERROR(__xludf.DUMMYFUNCTION("""COMPUTED_VALUE"""),0.0)</f>
        <v>0</v>
      </c>
      <c r="F931" s="148">
        <f>IFERROR(__xludf.DUMMYFUNCTION("""COMPUTED_VALUE"""),0.0)</f>
        <v>0</v>
      </c>
      <c r="G931" s="148">
        <f>IFERROR(__xludf.DUMMYFUNCTION("""COMPUTED_VALUE"""),1.51104163E8)</f>
        <v>151104163</v>
      </c>
      <c r="H931" s="148">
        <f>IFERROR(__xludf.DUMMYFUNCTION("""COMPUTED_VALUE"""),1.5112564E7)</f>
        <v>15112564</v>
      </c>
      <c r="I931" s="148" t="str">
        <f>IFERROR(__xludf.DUMMYFUNCTION("""COMPUTED_VALUE"""),"{}")</f>
        <v>{}</v>
      </c>
      <c r="J931" s="148" t="str">
        <f>IFERROR(__xludf.DUMMYFUNCTION("""COMPUTED_VALUE"""),"{""typ"":""lc"",""txt"":""LC_ITEM_2025christmas3_paint_decoration_paint_name""}")</f>
        <v>{"typ":"lc","txt":"LC_ITEM_2025christmas3_paint_decoration_paint_name"}</v>
      </c>
      <c r="K931" s="148" t="str">
        <f>IFERROR(__xludf.DUMMYFUNCTION("""COMPUTED_VALUE"""),"{""typ"":""lc"",""txt"":""LC_ITEM_2025christmas3_paint_decoration_paint_desc""}")</f>
        <v>{"typ":"lc","txt":"LC_ITEM_2025christmas3_paint_decoration_paint_desc"}</v>
      </c>
      <c r="L931" s="148" t="str">
        <f>IFERROR(__xludf.DUMMYFUNCTION("""COMPUTED_VALUE"""),"{""typ"":""lc"",""txt"":""LC_TIP_use_success""}")</f>
        <v>{"typ":"lc","txt":"LC_TIP_use_success"}</v>
      </c>
      <c r="M931" s="148">
        <f>IFERROR(__xludf.DUMMYFUNCTION("""COMPUTED_VALUE"""),1000.0)</f>
        <v>1000</v>
      </c>
      <c r="N931" s="148">
        <f>IFERROR(__xludf.DUMMYFUNCTION("""COMPUTED_VALUE"""),9.99999999E8)</f>
        <v>999999999</v>
      </c>
      <c r="O931" s="148">
        <f>IFERROR(__xludf.DUMMYFUNCTION("""COMPUTED_VALUE"""),9.99999999E8)</f>
        <v>999999999</v>
      </c>
      <c r="P931" s="148">
        <f>IFERROR(__xludf.DUMMYFUNCTION("""COMPUTED_VALUE"""),1.0)</f>
        <v>1</v>
      </c>
      <c r="Q931" s="148" t="str">
        <f>IFERROR(__xludf.DUMMYFUNCTION("""COMPUTED_VALUE"""),"[""bag_other""]")</f>
        <v>["bag_other"]</v>
      </c>
      <c r="R931" s="148" t="str">
        <f>IFERROR(__xludf.DUMMYFUNCTION("""COMPUTED_VALUE"""),"[""bag"",""214814""]")</f>
        <v>["bag","214814"]</v>
      </c>
      <c r="S931" s="148" t="str">
        <f>IFERROR(__xludf.DUMMYFUNCTION("""COMPUTED_VALUE"""),"{""effect"":[{""typ"":""decorate_paint"",""id"":214814,""val"":86400000},{""typ"":""item"",""id"":11112728,""val"":1}]}")</f>
        <v>{"effect":[{"typ":"decorate_paint","id":214814,"val":86400000},{"typ":"item","id":11112728,"val":1}]}</v>
      </c>
      <c r="T931" s="148">
        <f>IFERROR(__xludf.DUMMYFUNCTION("""COMPUTED_VALUE"""),-1.0)</f>
        <v>-1</v>
      </c>
      <c r="U931" s="148">
        <f>IFERROR(__xludf.DUMMYFUNCTION("""COMPUTED_VALUE"""),0.0)</f>
        <v>0</v>
      </c>
      <c r="V931" s="148" t="str">
        <f>IFERROR(__xludf.DUMMYFUNCTION("""COMPUTED_VALUE"""),"[]")</f>
        <v>[]</v>
      </c>
      <c r="W931" s="148">
        <f>IFERROR(__xludf.DUMMYFUNCTION("""COMPUTED_VALUE"""),1.174E7)</f>
        <v>11740000</v>
      </c>
      <c r="X931" s="148">
        <f>IFERROR(__xludf.DUMMYFUNCTION("""COMPUTED_VALUE"""),1.1684698E7)</f>
        <v>11684698</v>
      </c>
      <c r="Y931" s="148">
        <f>IFERROR(__xludf.DUMMYFUNCTION("""COMPUTED_VALUE"""),0.0)</f>
        <v>0</v>
      </c>
      <c r="Z931" s="148"/>
    </row>
    <row r="932">
      <c r="A932" s="148">
        <f>IFERROR(__xludf.DUMMYFUNCTION("""COMPUTED_VALUE"""),1.1112729E7)</f>
        <v>11112729</v>
      </c>
      <c r="B932" s="148" t="str">
        <f>IFERROR(__xludf.DUMMYFUNCTION("""COMPUTED_VALUE"""),"春节骰子点数+1-30分钟")</f>
        <v>春节骰子点数+1-30分钟</v>
      </c>
      <c r="C932" s="148"/>
      <c r="D932" s="148" t="str">
        <f>IFERROR(__xludf.DUMMYFUNCTION("""COMPUTED_VALUE"""),"item_buff")</f>
        <v>item_buff</v>
      </c>
      <c r="E932" s="148">
        <f>IFERROR(__xludf.DUMMYFUNCTION("""COMPUTED_VALUE"""),24.0)</f>
        <v>24</v>
      </c>
      <c r="F932" s="148">
        <f>IFERROR(__xludf.DUMMYFUNCTION("""COMPUTED_VALUE"""),301201.0)</f>
        <v>301201</v>
      </c>
      <c r="G932" s="148">
        <f>IFERROR(__xludf.DUMMYFUNCTION("""COMPUTED_VALUE"""),1.51104266E8)</f>
        <v>151104266</v>
      </c>
      <c r="H932" s="148">
        <f>IFERROR(__xludf.DUMMYFUNCTION("""COMPUTED_VALUE"""),1.5112562E7)</f>
        <v>15112562</v>
      </c>
      <c r="I932" s="148" t="str">
        <f>IFERROR(__xludf.DUMMYFUNCTION("""COMPUTED_VALUE"""),"{""typ"":""lc"",""txt"":""LC_ITEM_time_min_upper_show"",""args"":[{""typ"":""int"",""val"":30}]}")</f>
        <v>{"typ":"lc","txt":"LC_ITEM_time_min_upper_show","args":[{"typ":"int","val":30}]}</v>
      </c>
      <c r="J932" s="148" t="str">
        <f>IFERROR(__xludf.DUMMYFUNCTION("""COMPUTED_VALUE"""),"{""typ"":""lc"",""txt"":""LC_ITEM_spring_gacha_dice_buff_plus1_30m_name"",""args"":[{""typ"":""int"",""val"":30}]}")</f>
        <v>{"typ":"lc","txt":"LC_ITEM_spring_gacha_dice_buff_plus1_30m_name","args":[{"typ":"int","val":30}]}</v>
      </c>
      <c r="K932" s="148" t="str">
        <f>IFERROR(__xludf.DUMMYFUNCTION("""COMPUTED_VALUE"""),"{""typ"":""lc"",""txt"":""LC_ITEM_spring_gacha_dice_buff_plus1_30m_desc"",""args"":[{""typ"":""int"",""val"":30}]}")</f>
        <v>{"typ":"lc","txt":"LC_ITEM_spring_gacha_dice_buff_plus1_30m_desc","args":[{"typ":"int","val":30}]}</v>
      </c>
      <c r="L932" s="148" t="str">
        <f>IFERROR(__xludf.DUMMYFUNCTION("""COMPUTED_VALUE"""),"{}")</f>
        <v>{}</v>
      </c>
      <c r="M932" s="148">
        <f>IFERROR(__xludf.DUMMYFUNCTION("""COMPUTED_VALUE"""),200.0)</f>
        <v>200</v>
      </c>
      <c r="N932" s="148">
        <f>IFERROR(__xludf.DUMMYFUNCTION("""COMPUTED_VALUE"""),999999.0)</f>
        <v>999999</v>
      </c>
      <c r="O932" s="148">
        <f>IFERROR(__xludf.DUMMYFUNCTION("""COMPUTED_VALUE"""),99999.0)</f>
        <v>99999</v>
      </c>
      <c r="P932" s="148">
        <f>IFERROR(__xludf.DUMMYFUNCTION("""COMPUTED_VALUE"""),1.0)</f>
        <v>1</v>
      </c>
      <c r="Q932" s="148" t="str">
        <f>IFERROR(__xludf.DUMMYFUNCTION("""COMPUTED_VALUE"""),"[]")</f>
        <v>[]</v>
      </c>
      <c r="R932" s="148" t="str">
        <f>IFERROR(__xludf.DUMMYFUNCTION("""COMPUTED_VALUE"""),"[]")</f>
        <v>[]</v>
      </c>
      <c r="S932" s="148" t="str">
        <f>IFERROR(__xludf.DUMMYFUNCTION("""COMPUTED_VALUE"""),"{""effect"":[{""typ"":""buff"",""id"":121141066,""val"":1800000,""arg1"":1}]}")</f>
        <v>{"effect":[{"typ":"buff","id":121141066,"val":1800000,"arg1":1}]}</v>
      </c>
      <c r="T932" s="148">
        <f>IFERROR(__xludf.DUMMYFUNCTION("""COMPUTED_VALUE"""),-1.0)</f>
        <v>-1</v>
      </c>
      <c r="U932" s="148">
        <f>IFERROR(__xludf.DUMMYFUNCTION("""COMPUTED_VALUE"""),1.0)</f>
        <v>1</v>
      </c>
      <c r="V932" s="148" t="str">
        <f>IFERROR(__xludf.DUMMYFUNCTION("""COMPUTED_VALUE"""),"[]")</f>
        <v>[]</v>
      </c>
      <c r="W932" s="148">
        <f>IFERROR(__xludf.DUMMYFUNCTION("""COMPUTED_VALUE"""),1.1741004E7)</f>
        <v>11741004</v>
      </c>
      <c r="X932" s="148">
        <f>IFERROR(__xludf.DUMMYFUNCTION("""COMPUTED_VALUE"""),0.0)</f>
        <v>0</v>
      </c>
      <c r="Y932" s="148">
        <f>IFERROR(__xludf.DUMMYFUNCTION("""COMPUTED_VALUE"""),0.0)</f>
        <v>0</v>
      </c>
      <c r="Z932" s="148"/>
    </row>
    <row r="933">
      <c r="A933" s="148">
        <f>IFERROR(__xludf.DUMMYFUNCTION("""COMPUTED_VALUE"""),1.111273E7)</f>
        <v>11112730</v>
      </c>
      <c r="B933" s="148" t="str">
        <f>IFERROR(__xludf.DUMMYFUNCTION("""COMPUTED_VALUE"""),"春节骰子点数X2-5分钟")</f>
        <v>春节骰子点数X2-5分钟</v>
      </c>
      <c r="C933" s="148"/>
      <c r="D933" s="148" t="str">
        <f>IFERROR(__xludf.DUMMYFUNCTION("""COMPUTED_VALUE"""),"item_buff")</f>
        <v>item_buff</v>
      </c>
      <c r="E933" s="148">
        <f>IFERROR(__xludf.DUMMYFUNCTION("""COMPUTED_VALUE"""),24.0)</f>
        <v>24</v>
      </c>
      <c r="F933" s="148">
        <f>IFERROR(__xludf.DUMMYFUNCTION("""COMPUTED_VALUE"""),301201.0)</f>
        <v>301201</v>
      </c>
      <c r="G933" s="148">
        <f>IFERROR(__xludf.DUMMYFUNCTION("""COMPUTED_VALUE"""),1.51104267E8)</f>
        <v>151104267</v>
      </c>
      <c r="H933" s="148">
        <f>IFERROR(__xludf.DUMMYFUNCTION("""COMPUTED_VALUE"""),1.5112564E7)</f>
        <v>15112564</v>
      </c>
      <c r="I933" s="148" t="str">
        <f>IFERROR(__xludf.DUMMYFUNCTION("""COMPUTED_VALUE"""),"{""typ"":""lc"",""txt"":""LC_ITEM_time_min_upper_show"",""args"":[{""typ"":""int"",""val"":5}]}")</f>
        <v>{"typ":"lc","txt":"LC_ITEM_time_min_upper_show","args":[{"typ":"int","val":5}]}</v>
      </c>
      <c r="J933" s="148" t="str">
        <f>IFERROR(__xludf.DUMMYFUNCTION("""COMPUTED_VALUE"""),"{""typ"":""lc"",""txt"":""LC_ITEM_spring_gacha_dice_buff_double_5m_name"",""args"":[{""typ"":""int"",""val"":5}]}")</f>
        <v>{"typ":"lc","txt":"LC_ITEM_spring_gacha_dice_buff_double_5m_name","args":[{"typ":"int","val":5}]}</v>
      </c>
      <c r="K933" s="148" t="str">
        <f>IFERROR(__xludf.DUMMYFUNCTION("""COMPUTED_VALUE"""),"{""typ"":""lc"",""txt"":""LC_ITEM_spring_gacha_dice_buff_double_10m_desc"",""args"":[{""typ"":""int"",""val"":5}]}")</f>
        <v>{"typ":"lc","txt":"LC_ITEM_spring_gacha_dice_buff_double_10m_desc","args":[{"typ":"int","val":5}]}</v>
      </c>
      <c r="L933" s="148" t="str">
        <f>IFERROR(__xludf.DUMMYFUNCTION("""COMPUTED_VALUE"""),"{}")</f>
        <v>{}</v>
      </c>
      <c r="M933" s="148">
        <f>IFERROR(__xludf.DUMMYFUNCTION("""COMPUTED_VALUE"""),200.0)</f>
        <v>200</v>
      </c>
      <c r="N933" s="148">
        <f>IFERROR(__xludf.DUMMYFUNCTION("""COMPUTED_VALUE"""),999999.0)</f>
        <v>999999</v>
      </c>
      <c r="O933" s="148">
        <f>IFERROR(__xludf.DUMMYFUNCTION("""COMPUTED_VALUE"""),99999.0)</f>
        <v>99999</v>
      </c>
      <c r="P933" s="148">
        <f>IFERROR(__xludf.DUMMYFUNCTION("""COMPUTED_VALUE"""),1.0)</f>
        <v>1</v>
      </c>
      <c r="Q933" s="148" t="str">
        <f>IFERROR(__xludf.DUMMYFUNCTION("""COMPUTED_VALUE"""),"[]")</f>
        <v>[]</v>
      </c>
      <c r="R933" s="148" t="str">
        <f>IFERROR(__xludf.DUMMYFUNCTION("""COMPUTED_VALUE"""),"[]")</f>
        <v>[]</v>
      </c>
      <c r="S933" s="148" t="str">
        <f>IFERROR(__xludf.DUMMYFUNCTION("""COMPUTED_VALUE"""),"{""effect"":[{""typ"":""buff"",""id"":121141067,""val"":300000,""arg1"":2}]}")</f>
        <v>{"effect":[{"typ":"buff","id":121141067,"val":300000,"arg1":2}]}</v>
      </c>
      <c r="T933" s="148">
        <f>IFERROR(__xludf.DUMMYFUNCTION("""COMPUTED_VALUE"""),-1.0)</f>
        <v>-1</v>
      </c>
      <c r="U933" s="148">
        <f>IFERROR(__xludf.DUMMYFUNCTION("""COMPUTED_VALUE"""),1.0)</f>
        <v>1</v>
      </c>
      <c r="V933" s="148" t="str">
        <f>IFERROR(__xludf.DUMMYFUNCTION("""COMPUTED_VALUE"""),"[]")</f>
        <v>[]</v>
      </c>
      <c r="W933" s="148">
        <f>IFERROR(__xludf.DUMMYFUNCTION("""COMPUTED_VALUE"""),1.1741004E7)</f>
        <v>11741004</v>
      </c>
      <c r="X933" s="148">
        <f>IFERROR(__xludf.DUMMYFUNCTION("""COMPUTED_VALUE"""),0.0)</f>
        <v>0</v>
      </c>
      <c r="Y933" s="148">
        <f>IFERROR(__xludf.DUMMYFUNCTION("""COMPUTED_VALUE"""),0.0)</f>
        <v>0</v>
      </c>
      <c r="Z933" s="148"/>
    </row>
    <row r="934">
      <c r="A934" s="148">
        <f>IFERROR(__xludf.DUMMYFUNCTION("""COMPUTED_VALUE"""),1.1112731E7)</f>
        <v>11112731</v>
      </c>
      <c r="B934" s="148" t="str">
        <f>IFERROR(__xludf.DUMMYFUNCTION("""COMPUTED_VALUE"""),"春节骰子点数X3-1分钟")</f>
        <v>春节骰子点数X3-1分钟</v>
      </c>
      <c r="C934" s="148"/>
      <c r="D934" s="148" t="str">
        <f>IFERROR(__xludf.DUMMYFUNCTION("""COMPUTED_VALUE"""),"item_buff")</f>
        <v>item_buff</v>
      </c>
      <c r="E934" s="148">
        <f>IFERROR(__xludf.DUMMYFUNCTION("""COMPUTED_VALUE"""),24.0)</f>
        <v>24</v>
      </c>
      <c r="F934" s="148">
        <f>IFERROR(__xludf.DUMMYFUNCTION("""COMPUTED_VALUE"""),301201.0)</f>
        <v>301201</v>
      </c>
      <c r="G934" s="148">
        <f>IFERROR(__xludf.DUMMYFUNCTION("""COMPUTED_VALUE"""),1.51104267E8)</f>
        <v>151104267</v>
      </c>
      <c r="H934" s="148">
        <f>IFERROR(__xludf.DUMMYFUNCTION("""COMPUTED_VALUE"""),1.5115983E7)</f>
        <v>15115983</v>
      </c>
      <c r="I934" s="148" t="str">
        <f>IFERROR(__xludf.DUMMYFUNCTION("""COMPUTED_VALUE"""),"{""typ"":""lc"",""txt"":""LC_ITEM_time_min_upper_show"",""args"":[{""typ"":""int"",""val"":1}]}")</f>
        <v>{"typ":"lc","txt":"LC_ITEM_time_min_upper_show","args":[{"typ":"int","val":1}]}</v>
      </c>
      <c r="J934" s="148" t="str">
        <f>IFERROR(__xludf.DUMMYFUNCTION("""COMPUTED_VALUE"""),"{""typ"":""lc"",""txt"":""LC_ITEM_spring_gacha_dice_buff_triple_1m_name"",""args"":[{""typ"":""int"",""val"":1}]}")</f>
        <v>{"typ":"lc","txt":"LC_ITEM_spring_gacha_dice_buff_triple_1m_name","args":[{"typ":"int","val":1}]}</v>
      </c>
      <c r="K934" s="148" t="str">
        <f>IFERROR(__xludf.DUMMYFUNCTION("""COMPUTED_VALUE"""),"{""typ"":""lc"",""txt"":""LC_ITEM_spring_gacha_dice_buff_triple_1m_desc"",""args"":[{""typ"":""int"",""val"":1}]}")</f>
        <v>{"typ":"lc","txt":"LC_ITEM_spring_gacha_dice_buff_triple_1m_desc","args":[{"typ":"int","val":1}]}</v>
      </c>
      <c r="L934" s="148" t="str">
        <f>IFERROR(__xludf.DUMMYFUNCTION("""COMPUTED_VALUE"""),"{}")</f>
        <v>{}</v>
      </c>
      <c r="M934" s="148">
        <f>IFERROR(__xludf.DUMMYFUNCTION("""COMPUTED_VALUE"""),200.0)</f>
        <v>200</v>
      </c>
      <c r="N934" s="148">
        <f>IFERROR(__xludf.DUMMYFUNCTION("""COMPUTED_VALUE"""),999999.0)</f>
        <v>999999</v>
      </c>
      <c r="O934" s="148">
        <f>IFERROR(__xludf.DUMMYFUNCTION("""COMPUTED_VALUE"""),99999.0)</f>
        <v>99999</v>
      </c>
      <c r="P934" s="148">
        <f>IFERROR(__xludf.DUMMYFUNCTION("""COMPUTED_VALUE"""),1.0)</f>
        <v>1</v>
      </c>
      <c r="Q934" s="148" t="str">
        <f>IFERROR(__xludf.DUMMYFUNCTION("""COMPUTED_VALUE"""),"[]")</f>
        <v>[]</v>
      </c>
      <c r="R934" s="148" t="str">
        <f>IFERROR(__xludf.DUMMYFUNCTION("""COMPUTED_VALUE"""),"[]")</f>
        <v>[]</v>
      </c>
      <c r="S934" s="148" t="str">
        <f>IFERROR(__xludf.DUMMYFUNCTION("""COMPUTED_VALUE"""),"{""effect"":[{""typ"":""buff"",""id"":121141067,""val"":60000,""arg1"":3}]}")</f>
        <v>{"effect":[{"typ":"buff","id":121141067,"val":60000,"arg1":3}]}</v>
      </c>
      <c r="T934" s="148">
        <f>IFERROR(__xludf.DUMMYFUNCTION("""COMPUTED_VALUE"""),-1.0)</f>
        <v>-1</v>
      </c>
      <c r="U934" s="148">
        <f>IFERROR(__xludf.DUMMYFUNCTION("""COMPUTED_VALUE"""),1.0)</f>
        <v>1</v>
      </c>
      <c r="V934" s="148" t="str">
        <f>IFERROR(__xludf.DUMMYFUNCTION("""COMPUTED_VALUE"""),"[]")</f>
        <v>[]</v>
      </c>
      <c r="W934" s="148">
        <f>IFERROR(__xludf.DUMMYFUNCTION("""COMPUTED_VALUE"""),1.1741004E7)</f>
        <v>11741004</v>
      </c>
      <c r="X934" s="148">
        <f>IFERROR(__xludf.DUMMYFUNCTION("""COMPUTED_VALUE"""),0.0)</f>
        <v>0</v>
      </c>
      <c r="Y934" s="148">
        <f>IFERROR(__xludf.DUMMYFUNCTION("""COMPUTED_VALUE"""),0.0)</f>
        <v>0</v>
      </c>
      <c r="Z934" s="148"/>
    </row>
    <row r="935">
      <c r="A935" s="148">
        <f>IFERROR(__xludf.DUMMYFUNCTION("""COMPUTED_VALUE"""),1.1112732E7)</f>
        <v>11112732</v>
      </c>
      <c r="B935" s="148" t="str">
        <f>IFERROR(__xludf.DUMMYFUNCTION("""COMPUTED_VALUE"""),"春节骰子点数+2-5分钟")</f>
        <v>春节骰子点数+2-5分钟</v>
      </c>
      <c r="C935" s="148"/>
      <c r="D935" s="148" t="str">
        <f>IFERROR(__xludf.DUMMYFUNCTION("""COMPUTED_VALUE"""),"item_buff")</f>
        <v>item_buff</v>
      </c>
      <c r="E935" s="148">
        <f>IFERROR(__xludf.DUMMYFUNCTION("""COMPUTED_VALUE"""),24.0)</f>
        <v>24</v>
      </c>
      <c r="F935" s="148">
        <f>IFERROR(__xludf.DUMMYFUNCTION("""COMPUTED_VALUE"""),301201.0)</f>
        <v>301201</v>
      </c>
      <c r="G935" s="148">
        <f>IFERROR(__xludf.DUMMYFUNCTION("""COMPUTED_VALUE"""),1.51104266E8)</f>
        <v>151104266</v>
      </c>
      <c r="H935" s="148">
        <f>IFERROR(__xludf.DUMMYFUNCTION("""COMPUTED_VALUE"""),1.5112563E7)</f>
        <v>15112563</v>
      </c>
      <c r="I935" s="148" t="str">
        <f>IFERROR(__xludf.DUMMYFUNCTION("""COMPUTED_VALUE"""),"{""typ"":""lc"",""txt"":""LC_ITEM_time_min_upper_show"",""args"":[{""typ"":""int"",""val"":5}]}")</f>
        <v>{"typ":"lc","txt":"LC_ITEM_time_min_upper_show","args":[{"typ":"int","val":5}]}</v>
      </c>
      <c r="J935" s="148" t="str">
        <f>IFERROR(__xludf.DUMMYFUNCTION("""COMPUTED_VALUE"""),"{""typ"":""lc"",""txt"":""LC_ITEM_spring_gacha_dice_buff_plus2_5m_name"",""args"":[{""typ"":""int"",""val"":5}]}")</f>
        <v>{"typ":"lc","txt":"LC_ITEM_spring_gacha_dice_buff_plus2_5m_name","args":[{"typ":"int","val":5}]}</v>
      </c>
      <c r="K935" s="148" t="str">
        <f>IFERROR(__xludf.DUMMYFUNCTION("""COMPUTED_VALUE"""),"{""typ"":""lc"",""txt"":""LC_ITEM_spring_gacha_dice_buff_plus2_5m_desc"",""args"":[{""typ"":""int"",""val"":5}]}")</f>
        <v>{"typ":"lc","txt":"LC_ITEM_spring_gacha_dice_buff_plus2_5m_desc","args":[{"typ":"int","val":5}]}</v>
      </c>
      <c r="L935" s="148" t="str">
        <f>IFERROR(__xludf.DUMMYFUNCTION("""COMPUTED_VALUE"""),"{}")</f>
        <v>{}</v>
      </c>
      <c r="M935" s="148">
        <f>IFERROR(__xludf.DUMMYFUNCTION("""COMPUTED_VALUE"""),200.0)</f>
        <v>200</v>
      </c>
      <c r="N935" s="148">
        <f>IFERROR(__xludf.DUMMYFUNCTION("""COMPUTED_VALUE"""),999999.0)</f>
        <v>999999</v>
      </c>
      <c r="O935" s="148">
        <f>IFERROR(__xludf.DUMMYFUNCTION("""COMPUTED_VALUE"""),99999.0)</f>
        <v>99999</v>
      </c>
      <c r="P935" s="148">
        <f>IFERROR(__xludf.DUMMYFUNCTION("""COMPUTED_VALUE"""),1.0)</f>
        <v>1</v>
      </c>
      <c r="Q935" s="148" t="str">
        <f>IFERROR(__xludf.DUMMYFUNCTION("""COMPUTED_VALUE"""),"[]")</f>
        <v>[]</v>
      </c>
      <c r="R935" s="148" t="str">
        <f>IFERROR(__xludf.DUMMYFUNCTION("""COMPUTED_VALUE"""),"[]")</f>
        <v>[]</v>
      </c>
      <c r="S935" s="148" t="str">
        <f>IFERROR(__xludf.DUMMYFUNCTION("""COMPUTED_VALUE"""),"{""effect"":[{""typ"":""buff"",""id"":121141066,""val"":300000,""arg1"":2}]}")</f>
        <v>{"effect":[{"typ":"buff","id":121141066,"val":300000,"arg1":2}]}</v>
      </c>
      <c r="T935" s="148">
        <f>IFERROR(__xludf.DUMMYFUNCTION("""COMPUTED_VALUE"""),-1.0)</f>
        <v>-1</v>
      </c>
      <c r="U935" s="148">
        <f>IFERROR(__xludf.DUMMYFUNCTION("""COMPUTED_VALUE"""),1.0)</f>
        <v>1</v>
      </c>
      <c r="V935" s="148" t="str">
        <f>IFERROR(__xludf.DUMMYFUNCTION("""COMPUTED_VALUE"""),"[]")</f>
        <v>[]</v>
      </c>
      <c r="W935" s="148">
        <f>IFERROR(__xludf.DUMMYFUNCTION("""COMPUTED_VALUE"""),1.1741004E7)</f>
        <v>11741004</v>
      </c>
      <c r="X935" s="148">
        <f>IFERROR(__xludf.DUMMYFUNCTION("""COMPUTED_VALUE"""),0.0)</f>
        <v>0</v>
      </c>
      <c r="Y935" s="148">
        <f>IFERROR(__xludf.DUMMYFUNCTION("""COMPUTED_VALUE"""),0.0)</f>
        <v>0</v>
      </c>
      <c r="Z935" s="148"/>
    </row>
    <row r="936">
      <c r="A936" s="148">
        <f>IFERROR(__xludf.DUMMYFUNCTION("""COMPUTED_VALUE"""),1.1112733E7)</f>
        <v>11112733</v>
      </c>
      <c r="B936" s="148" t="str">
        <f>IFERROR(__xludf.DUMMYFUNCTION("""COMPUTED_VALUE"""),"春节GACHA-兑换道具-福袋")</f>
        <v>春节GACHA-兑换道具-福袋</v>
      </c>
      <c r="C936" s="148"/>
      <c r="D936" s="148" t="str">
        <f>IFERROR(__xludf.DUMMYFUNCTION("""COMPUTED_VALUE"""),"event")</f>
        <v>event</v>
      </c>
      <c r="E936" s="148">
        <f>IFERROR(__xludf.DUMMYFUNCTION("""COMPUTED_VALUE"""),0.0)</f>
        <v>0</v>
      </c>
      <c r="F936" s="148">
        <f>IFERROR(__xludf.DUMMYFUNCTION("""COMPUTED_VALUE"""),405210.0)</f>
        <v>405210</v>
      </c>
      <c r="G936" s="148">
        <f>IFERROR(__xludf.DUMMYFUNCTION("""COMPUTED_VALUE"""),1.51104257E8)</f>
        <v>151104257</v>
      </c>
      <c r="H936" s="148">
        <f>IFERROR(__xludf.DUMMYFUNCTION("""COMPUTED_VALUE"""),1.5112564E7)</f>
        <v>15112564</v>
      </c>
      <c r="I936" s="148" t="str">
        <f>IFERROR(__xludf.DUMMYFUNCTION("""COMPUTED_VALUE"""),"{}")</f>
        <v>{}</v>
      </c>
      <c r="J936" s="148" t="str">
        <f>IFERROR(__xludf.DUMMYFUNCTION("""COMPUTED_VALUE"""),"{""typ"":""lc"",""txt"":""LC_ITEM_spring_festival_item_lucky_bag_name""}")</f>
        <v>{"typ":"lc","txt":"LC_ITEM_spring_festival_item_lucky_bag_name"}</v>
      </c>
      <c r="K936" s="148" t="str">
        <f>IFERROR(__xludf.DUMMYFUNCTION("""COMPUTED_VALUE"""),"{""typ"":""lc"",""txt"":""LC_ITEM_spring_festival_item_lucky_bag_desc""}")</f>
        <v>{"typ":"lc","txt":"LC_ITEM_spring_festival_item_lucky_bag_desc"}</v>
      </c>
      <c r="L936" s="148" t="str">
        <f>IFERROR(__xludf.DUMMYFUNCTION("""COMPUTED_VALUE"""),"{}")</f>
        <v>{}</v>
      </c>
      <c r="M936" s="148">
        <f>IFERROR(__xludf.DUMMYFUNCTION("""COMPUTED_VALUE"""),700.0)</f>
        <v>700</v>
      </c>
      <c r="N936" s="148">
        <f>IFERROR(__xludf.DUMMYFUNCTION("""COMPUTED_VALUE"""),9.99999999E8)</f>
        <v>999999999</v>
      </c>
      <c r="O936" s="148">
        <f>IFERROR(__xludf.DUMMYFUNCTION("""COMPUTED_VALUE"""),9.99999999E8)</f>
        <v>999999999</v>
      </c>
      <c r="P936" s="148">
        <f>IFERROR(__xludf.DUMMYFUNCTION("""COMPUTED_VALUE"""),9.99999999E8)</f>
        <v>999999999</v>
      </c>
      <c r="Q936" s="148" t="str">
        <f>IFERROR(__xludf.DUMMYFUNCTION("""COMPUTED_VALUE"""),"[""bag_other""]")</f>
        <v>["bag_other"]</v>
      </c>
      <c r="R936" s="148" t="str">
        <f>IFERROR(__xludf.DUMMYFUNCTION("""COMPUTED_VALUE"""),"[""bag""]")</f>
        <v>["bag"]</v>
      </c>
      <c r="S936" s="148" t="str">
        <f>IFERROR(__xludf.DUMMYFUNCTION("""COMPUTED_VALUE"""),"{}")</f>
        <v>{}</v>
      </c>
      <c r="T936" s="148">
        <f>IFERROR(__xludf.DUMMYFUNCTION("""COMPUTED_VALUE"""),1.0)</f>
        <v>1</v>
      </c>
      <c r="U936" s="148">
        <f>IFERROR(__xludf.DUMMYFUNCTION("""COMPUTED_VALUE"""),0.0)</f>
        <v>0</v>
      </c>
      <c r="V936" s="148" t="str">
        <f>IFERROR(__xludf.DUMMYFUNCTION("""COMPUTED_VALUE"""),"[]")</f>
        <v>[]</v>
      </c>
      <c r="W936" s="148">
        <f>IFERROR(__xludf.DUMMYFUNCTION("""COMPUTED_VALUE"""),1.174E7)</f>
        <v>11740000</v>
      </c>
      <c r="X936" s="148">
        <f>IFERROR(__xludf.DUMMYFUNCTION("""COMPUTED_VALUE"""),0.0)</f>
        <v>0</v>
      </c>
      <c r="Y936" s="148">
        <f>IFERROR(__xludf.DUMMYFUNCTION("""COMPUTED_VALUE"""),0.0)</f>
        <v>0</v>
      </c>
      <c r="Z936" s="148"/>
    </row>
    <row r="937">
      <c r="A937" s="148">
        <f>IFERROR(__xludf.DUMMYFUNCTION("""COMPUTED_VALUE"""),1.1112734E7)</f>
        <v>11112734</v>
      </c>
      <c r="B937" s="148" t="str">
        <f>IFERROR(__xludf.DUMMYFUNCTION("""COMPUTED_VALUE"""),"春节骰子点数+2-10分钟")</f>
        <v>春节骰子点数+2-10分钟</v>
      </c>
      <c r="C937" s="148"/>
      <c r="D937" s="148" t="str">
        <f>IFERROR(__xludf.DUMMYFUNCTION("""COMPUTED_VALUE"""),"item_buff")</f>
        <v>item_buff</v>
      </c>
      <c r="E937" s="148">
        <f>IFERROR(__xludf.DUMMYFUNCTION("""COMPUTED_VALUE"""),24.0)</f>
        <v>24</v>
      </c>
      <c r="F937" s="148">
        <f>IFERROR(__xludf.DUMMYFUNCTION("""COMPUTED_VALUE"""),301201.0)</f>
        <v>301201</v>
      </c>
      <c r="G937" s="148">
        <f>IFERROR(__xludf.DUMMYFUNCTION("""COMPUTED_VALUE"""),1.51104266E8)</f>
        <v>151104266</v>
      </c>
      <c r="H937" s="148">
        <f>IFERROR(__xludf.DUMMYFUNCTION("""COMPUTED_VALUE"""),1.5112563E7)</f>
        <v>15112563</v>
      </c>
      <c r="I937" s="148" t="str">
        <f>IFERROR(__xludf.DUMMYFUNCTION("""COMPUTED_VALUE"""),"{""typ"":""lc"",""txt"":""LC_ITEM_time_min_upper_show"",""args"":[{""typ"":""int"",""val"":10}]}")</f>
        <v>{"typ":"lc","txt":"LC_ITEM_time_min_upper_show","args":[{"typ":"int","val":10}]}</v>
      </c>
      <c r="J937" s="148" t="str">
        <f>IFERROR(__xludf.DUMMYFUNCTION("""COMPUTED_VALUE"""),"{""typ"":""lc"",""txt"":""LC_ITEM_spring_gacha_dice_buff_plus2_10m_name"",""args"":[{""typ"":""int"",""val"":10}]}")</f>
        <v>{"typ":"lc","txt":"LC_ITEM_spring_gacha_dice_buff_plus2_10m_name","args":[{"typ":"int","val":10}]}</v>
      </c>
      <c r="K937" s="148" t="str">
        <f>IFERROR(__xludf.DUMMYFUNCTION("""COMPUTED_VALUE"""),"{""typ"":""lc"",""txt"":""LC_ITEM_spring_gacha_dice_buff_plus2_10m_desc"",""args"":[{""typ"":""int"",""val"":10}]}")</f>
        <v>{"typ":"lc","txt":"LC_ITEM_spring_gacha_dice_buff_plus2_10m_desc","args":[{"typ":"int","val":10}]}</v>
      </c>
      <c r="L937" s="148" t="str">
        <f>IFERROR(__xludf.DUMMYFUNCTION("""COMPUTED_VALUE"""),"{}")</f>
        <v>{}</v>
      </c>
      <c r="M937" s="148">
        <f>IFERROR(__xludf.DUMMYFUNCTION("""COMPUTED_VALUE"""),200.0)</f>
        <v>200</v>
      </c>
      <c r="N937" s="148">
        <f>IFERROR(__xludf.DUMMYFUNCTION("""COMPUTED_VALUE"""),999999.0)</f>
        <v>999999</v>
      </c>
      <c r="O937" s="148">
        <f>IFERROR(__xludf.DUMMYFUNCTION("""COMPUTED_VALUE"""),99999.0)</f>
        <v>99999</v>
      </c>
      <c r="P937" s="148">
        <f>IFERROR(__xludf.DUMMYFUNCTION("""COMPUTED_VALUE"""),1.0)</f>
        <v>1</v>
      </c>
      <c r="Q937" s="148" t="str">
        <f>IFERROR(__xludf.DUMMYFUNCTION("""COMPUTED_VALUE"""),"[]")</f>
        <v>[]</v>
      </c>
      <c r="R937" s="148" t="str">
        <f>IFERROR(__xludf.DUMMYFUNCTION("""COMPUTED_VALUE"""),"[]")</f>
        <v>[]</v>
      </c>
      <c r="S937" s="148" t="str">
        <f>IFERROR(__xludf.DUMMYFUNCTION("""COMPUTED_VALUE"""),"{""effect"":[{""typ"":""buff"",""id"":121141066,""val"":600000,""arg1"":2}]}")</f>
        <v>{"effect":[{"typ":"buff","id":121141066,"val":600000,"arg1":2}]}</v>
      </c>
      <c r="T937" s="148">
        <f>IFERROR(__xludf.DUMMYFUNCTION("""COMPUTED_VALUE"""),-1.0)</f>
        <v>-1</v>
      </c>
      <c r="U937" s="148">
        <f>IFERROR(__xludf.DUMMYFUNCTION("""COMPUTED_VALUE"""),1.0)</f>
        <v>1</v>
      </c>
      <c r="V937" s="148" t="str">
        <f>IFERROR(__xludf.DUMMYFUNCTION("""COMPUTED_VALUE"""),"[]")</f>
        <v>[]</v>
      </c>
      <c r="W937" s="148">
        <f>IFERROR(__xludf.DUMMYFUNCTION("""COMPUTED_VALUE"""),1.1741004E7)</f>
        <v>11741004</v>
      </c>
      <c r="X937" s="148">
        <f>IFERROR(__xludf.DUMMYFUNCTION("""COMPUTED_VALUE"""),0.0)</f>
        <v>0</v>
      </c>
      <c r="Y937" s="148">
        <f>IFERROR(__xludf.DUMMYFUNCTION("""COMPUTED_VALUE"""),0.0)</f>
        <v>0</v>
      </c>
      <c r="Z937" s="148"/>
    </row>
    <row r="938">
      <c r="A938" s="148">
        <f>IFERROR(__xludf.DUMMYFUNCTION("""COMPUTED_VALUE"""),1.1112735E7)</f>
        <v>11112735</v>
      </c>
      <c r="B938" s="148" t="str">
        <f>IFERROR(__xludf.DUMMYFUNCTION("""COMPUTED_VALUE"""),"春节骰子点数+1-10分钟")</f>
        <v>春节骰子点数+1-10分钟</v>
      </c>
      <c r="C938" s="148"/>
      <c r="D938" s="148" t="str">
        <f>IFERROR(__xludf.DUMMYFUNCTION("""COMPUTED_VALUE"""),"item_buff")</f>
        <v>item_buff</v>
      </c>
      <c r="E938" s="148">
        <f>IFERROR(__xludf.DUMMYFUNCTION("""COMPUTED_VALUE"""),24.0)</f>
        <v>24</v>
      </c>
      <c r="F938" s="148">
        <f>IFERROR(__xludf.DUMMYFUNCTION("""COMPUTED_VALUE"""),301201.0)</f>
        <v>301201</v>
      </c>
      <c r="G938" s="148">
        <f>IFERROR(__xludf.DUMMYFUNCTION("""COMPUTED_VALUE"""),1.51104266E8)</f>
        <v>151104266</v>
      </c>
      <c r="H938" s="148">
        <f>IFERROR(__xludf.DUMMYFUNCTION("""COMPUTED_VALUE"""),1.5112562E7)</f>
        <v>15112562</v>
      </c>
      <c r="I938" s="148" t="str">
        <f>IFERROR(__xludf.DUMMYFUNCTION("""COMPUTED_VALUE"""),"{""typ"":""lc"",""txt"":""LC_ITEM_time_min_upper_show"",""args"":[{""typ"":""int"",""val"":10}]}")</f>
        <v>{"typ":"lc","txt":"LC_ITEM_time_min_upper_show","args":[{"typ":"int","val":10}]}</v>
      </c>
      <c r="J938" s="148" t="str">
        <f>IFERROR(__xludf.DUMMYFUNCTION("""COMPUTED_VALUE"""),"{""typ"":""lc"",""txt"":""LC_ITEM_spring_gacha_dice_buff_plus1_10m_name"",""args"":[{""typ"":""int"",""val"":10}]}")</f>
        <v>{"typ":"lc","txt":"LC_ITEM_spring_gacha_dice_buff_plus1_10m_name","args":[{"typ":"int","val":10}]}</v>
      </c>
      <c r="K938" s="148" t="str">
        <f>IFERROR(__xludf.DUMMYFUNCTION("""COMPUTED_VALUE"""),"{""typ"":""lc"",""txt"":""LC_ITEM_spring_gacha_dice_buff_plus1_10m_desc"",""args"":[{""typ"":""int"",""val"":10}]}")</f>
        <v>{"typ":"lc","txt":"LC_ITEM_spring_gacha_dice_buff_plus1_10m_desc","args":[{"typ":"int","val":10}]}</v>
      </c>
      <c r="L938" s="148" t="str">
        <f>IFERROR(__xludf.DUMMYFUNCTION("""COMPUTED_VALUE"""),"{}")</f>
        <v>{}</v>
      </c>
      <c r="M938" s="148">
        <f>IFERROR(__xludf.DUMMYFUNCTION("""COMPUTED_VALUE"""),200.0)</f>
        <v>200</v>
      </c>
      <c r="N938" s="148">
        <f>IFERROR(__xludf.DUMMYFUNCTION("""COMPUTED_VALUE"""),999999.0)</f>
        <v>999999</v>
      </c>
      <c r="O938" s="148">
        <f>IFERROR(__xludf.DUMMYFUNCTION("""COMPUTED_VALUE"""),99999.0)</f>
        <v>99999</v>
      </c>
      <c r="P938" s="148">
        <f>IFERROR(__xludf.DUMMYFUNCTION("""COMPUTED_VALUE"""),1.0)</f>
        <v>1</v>
      </c>
      <c r="Q938" s="148" t="str">
        <f>IFERROR(__xludf.DUMMYFUNCTION("""COMPUTED_VALUE"""),"[]")</f>
        <v>[]</v>
      </c>
      <c r="R938" s="148" t="str">
        <f>IFERROR(__xludf.DUMMYFUNCTION("""COMPUTED_VALUE"""),"[]")</f>
        <v>[]</v>
      </c>
      <c r="S938" s="148" t="str">
        <f>IFERROR(__xludf.DUMMYFUNCTION("""COMPUTED_VALUE"""),"{""effect"":[{""typ"":""buff"",""id"":121141066,""val"":600000,""arg1"":1}]}")</f>
        <v>{"effect":[{"typ":"buff","id":121141066,"val":600000,"arg1":1}]}</v>
      </c>
      <c r="T938" s="148">
        <f>IFERROR(__xludf.DUMMYFUNCTION("""COMPUTED_VALUE"""),-1.0)</f>
        <v>-1</v>
      </c>
      <c r="U938" s="148">
        <f>IFERROR(__xludf.DUMMYFUNCTION("""COMPUTED_VALUE"""),1.0)</f>
        <v>1</v>
      </c>
      <c r="V938" s="148" t="str">
        <f>IFERROR(__xludf.DUMMYFUNCTION("""COMPUTED_VALUE"""),"[]")</f>
        <v>[]</v>
      </c>
      <c r="W938" s="148">
        <f>IFERROR(__xludf.DUMMYFUNCTION("""COMPUTED_VALUE"""),1.1741004E7)</f>
        <v>11741004</v>
      </c>
      <c r="X938" s="148">
        <f>IFERROR(__xludf.DUMMYFUNCTION("""COMPUTED_VALUE"""),0.0)</f>
        <v>0</v>
      </c>
      <c r="Y938" s="148">
        <f>IFERROR(__xludf.DUMMYFUNCTION("""COMPUTED_VALUE"""),0.0)</f>
        <v>0</v>
      </c>
      <c r="Z938" s="148"/>
    </row>
    <row r="939">
      <c r="A939" s="148">
        <f>IFERROR(__xludf.DUMMYFUNCTION("""COMPUTED_VALUE"""),1.1112736E7)</f>
        <v>11112736</v>
      </c>
      <c r="B939" s="148" t="str">
        <f>IFERROR(__xludf.DUMMYFUNCTION("""COMPUTED_VALUE"""),"春节骰子点数X2-10分钟")</f>
        <v>春节骰子点数X2-10分钟</v>
      </c>
      <c r="C939" s="148"/>
      <c r="D939" s="148" t="str">
        <f>IFERROR(__xludf.DUMMYFUNCTION("""COMPUTED_VALUE"""),"item_buff")</f>
        <v>item_buff</v>
      </c>
      <c r="E939" s="148">
        <f>IFERROR(__xludf.DUMMYFUNCTION("""COMPUTED_VALUE"""),24.0)</f>
        <v>24</v>
      </c>
      <c r="F939" s="148">
        <f>IFERROR(__xludf.DUMMYFUNCTION("""COMPUTED_VALUE"""),301201.0)</f>
        <v>301201</v>
      </c>
      <c r="G939" s="148">
        <f>IFERROR(__xludf.DUMMYFUNCTION("""COMPUTED_VALUE"""),1.51104267E8)</f>
        <v>151104267</v>
      </c>
      <c r="H939" s="148">
        <f>IFERROR(__xludf.DUMMYFUNCTION("""COMPUTED_VALUE"""),1.5112564E7)</f>
        <v>15112564</v>
      </c>
      <c r="I939" s="148" t="str">
        <f>IFERROR(__xludf.DUMMYFUNCTION("""COMPUTED_VALUE"""),"{""typ"":""lc"",""txt"":""LC_ITEM_time_min_upper_show"",""args"":[{""typ"":""int"",""val"":10}]}")</f>
        <v>{"typ":"lc","txt":"LC_ITEM_time_min_upper_show","args":[{"typ":"int","val":10}]}</v>
      </c>
      <c r="J939" s="148" t="str">
        <f>IFERROR(__xludf.DUMMYFUNCTION("""COMPUTED_VALUE"""),"{""typ"":""lc"",""txt"":""LC_ITEM_spring_gacha_dice_buff_double_10m_name"",""args"":[{""typ"":""int"",""val"":10}]}")</f>
        <v>{"typ":"lc","txt":"LC_ITEM_spring_gacha_dice_buff_double_10m_name","args":[{"typ":"int","val":10}]}</v>
      </c>
      <c r="K939" s="148" t="str">
        <f>IFERROR(__xludf.DUMMYFUNCTION("""COMPUTED_VALUE"""),"{""typ"":""lc"",""txt"":""LC_ITEM_spring_gacha_dice_buff_double_10m_desc"",""args"":[{""typ"":""int"",""val"":10}]}")</f>
        <v>{"typ":"lc","txt":"LC_ITEM_spring_gacha_dice_buff_double_10m_desc","args":[{"typ":"int","val":10}]}</v>
      </c>
      <c r="L939" s="148" t="str">
        <f>IFERROR(__xludf.DUMMYFUNCTION("""COMPUTED_VALUE"""),"{}")</f>
        <v>{}</v>
      </c>
      <c r="M939" s="148">
        <f>IFERROR(__xludf.DUMMYFUNCTION("""COMPUTED_VALUE"""),200.0)</f>
        <v>200</v>
      </c>
      <c r="N939" s="148">
        <f>IFERROR(__xludf.DUMMYFUNCTION("""COMPUTED_VALUE"""),999999.0)</f>
        <v>999999</v>
      </c>
      <c r="O939" s="148">
        <f>IFERROR(__xludf.DUMMYFUNCTION("""COMPUTED_VALUE"""),99999.0)</f>
        <v>99999</v>
      </c>
      <c r="P939" s="148">
        <f>IFERROR(__xludf.DUMMYFUNCTION("""COMPUTED_VALUE"""),1.0)</f>
        <v>1</v>
      </c>
      <c r="Q939" s="148" t="str">
        <f>IFERROR(__xludf.DUMMYFUNCTION("""COMPUTED_VALUE"""),"[]")</f>
        <v>[]</v>
      </c>
      <c r="R939" s="148" t="str">
        <f>IFERROR(__xludf.DUMMYFUNCTION("""COMPUTED_VALUE"""),"[]")</f>
        <v>[]</v>
      </c>
      <c r="S939" s="148" t="str">
        <f>IFERROR(__xludf.DUMMYFUNCTION("""COMPUTED_VALUE"""),"{""effect"":[{""typ"":""buff"",""id"":121141067,""val"":600000,""arg1"":2}]}")</f>
        <v>{"effect":[{"typ":"buff","id":121141067,"val":600000,"arg1":2}]}</v>
      </c>
      <c r="T939" s="148">
        <f>IFERROR(__xludf.DUMMYFUNCTION("""COMPUTED_VALUE"""),-1.0)</f>
        <v>-1</v>
      </c>
      <c r="U939" s="148">
        <f>IFERROR(__xludf.DUMMYFUNCTION("""COMPUTED_VALUE"""),1.0)</f>
        <v>1</v>
      </c>
      <c r="V939" s="148" t="str">
        <f>IFERROR(__xludf.DUMMYFUNCTION("""COMPUTED_VALUE"""),"[]")</f>
        <v>[]</v>
      </c>
      <c r="W939" s="148">
        <f>IFERROR(__xludf.DUMMYFUNCTION("""COMPUTED_VALUE"""),1.1741004E7)</f>
        <v>11741004</v>
      </c>
      <c r="X939" s="148">
        <f>IFERROR(__xludf.DUMMYFUNCTION("""COMPUTED_VALUE"""),0.0)</f>
        <v>0</v>
      </c>
      <c r="Y939" s="148">
        <f>IFERROR(__xludf.DUMMYFUNCTION("""COMPUTED_VALUE"""),0.0)</f>
        <v>0</v>
      </c>
      <c r="Z939" s="148"/>
    </row>
    <row r="940">
      <c r="A940" s="148">
        <f>IFERROR(__xludf.DUMMYFUNCTION("""COMPUTED_VALUE"""),1.1112737E7)</f>
        <v>11112737</v>
      </c>
      <c r="B940" s="148" t="str">
        <f>IFERROR(__xludf.DUMMYFUNCTION("""COMPUTED_VALUE"""),"春节骰子点数X3-3分钟")</f>
        <v>春节骰子点数X3-3分钟</v>
      </c>
      <c r="C940" s="148"/>
      <c r="D940" s="148" t="str">
        <f>IFERROR(__xludf.DUMMYFUNCTION("""COMPUTED_VALUE"""),"item_buff")</f>
        <v>item_buff</v>
      </c>
      <c r="E940" s="148">
        <f>IFERROR(__xludf.DUMMYFUNCTION("""COMPUTED_VALUE"""),24.0)</f>
        <v>24</v>
      </c>
      <c r="F940" s="148">
        <f>IFERROR(__xludf.DUMMYFUNCTION("""COMPUTED_VALUE"""),301201.0)</f>
        <v>301201</v>
      </c>
      <c r="G940" s="148">
        <f>IFERROR(__xludf.DUMMYFUNCTION("""COMPUTED_VALUE"""),1.51104267E8)</f>
        <v>151104267</v>
      </c>
      <c r="H940" s="148">
        <f>IFERROR(__xludf.DUMMYFUNCTION("""COMPUTED_VALUE"""),1.5115983E7)</f>
        <v>15115983</v>
      </c>
      <c r="I940" s="148" t="str">
        <f>IFERROR(__xludf.DUMMYFUNCTION("""COMPUTED_VALUE"""),"{""typ"":""lc"",""txt"":""LC_ITEM_time_min_upper_show"",""args"":[{""typ"":""int"",""val"":3}]}")</f>
        <v>{"typ":"lc","txt":"LC_ITEM_time_min_upper_show","args":[{"typ":"int","val":3}]}</v>
      </c>
      <c r="J940" s="148" t="str">
        <f>IFERROR(__xludf.DUMMYFUNCTION("""COMPUTED_VALUE"""),"{""typ"":""lc"",""txt"":""LC_ITEM_spring_gacha_dice_buff_triple_3m_name"",""args"":[{""typ"":""int"",""val"":3}]}")</f>
        <v>{"typ":"lc","txt":"LC_ITEM_spring_gacha_dice_buff_triple_3m_name","args":[{"typ":"int","val":3}]}</v>
      </c>
      <c r="K940" s="148" t="str">
        <f>IFERROR(__xludf.DUMMYFUNCTION("""COMPUTED_VALUE"""),"{""typ"":""lc"",""txt"":""LC_ITEM_spring_gacha_dice_buff_triple_3m_desc"",""args"":[{""typ"":""int"",""val"":3}]}")</f>
        <v>{"typ":"lc","txt":"LC_ITEM_spring_gacha_dice_buff_triple_3m_desc","args":[{"typ":"int","val":3}]}</v>
      </c>
      <c r="L940" s="148" t="str">
        <f>IFERROR(__xludf.DUMMYFUNCTION("""COMPUTED_VALUE"""),"{}")</f>
        <v>{}</v>
      </c>
      <c r="M940" s="148">
        <f>IFERROR(__xludf.DUMMYFUNCTION("""COMPUTED_VALUE"""),200.0)</f>
        <v>200</v>
      </c>
      <c r="N940" s="148">
        <f>IFERROR(__xludf.DUMMYFUNCTION("""COMPUTED_VALUE"""),999999.0)</f>
        <v>999999</v>
      </c>
      <c r="O940" s="148">
        <f>IFERROR(__xludf.DUMMYFUNCTION("""COMPUTED_VALUE"""),99999.0)</f>
        <v>99999</v>
      </c>
      <c r="P940" s="148">
        <f>IFERROR(__xludf.DUMMYFUNCTION("""COMPUTED_VALUE"""),1.0)</f>
        <v>1</v>
      </c>
      <c r="Q940" s="148" t="str">
        <f>IFERROR(__xludf.DUMMYFUNCTION("""COMPUTED_VALUE"""),"[]")</f>
        <v>[]</v>
      </c>
      <c r="R940" s="148" t="str">
        <f>IFERROR(__xludf.DUMMYFUNCTION("""COMPUTED_VALUE"""),"[]")</f>
        <v>[]</v>
      </c>
      <c r="S940" s="148" t="str">
        <f>IFERROR(__xludf.DUMMYFUNCTION("""COMPUTED_VALUE"""),"{""effect"":[{""typ"":""buff"",""id"":121141067,""val"":180000,""arg1"":3}]}")</f>
        <v>{"effect":[{"typ":"buff","id":121141067,"val":180000,"arg1":3}]}</v>
      </c>
      <c r="T940" s="148">
        <f>IFERROR(__xludf.DUMMYFUNCTION("""COMPUTED_VALUE"""),-1.0)</f>
        <v>-1</v>
      </c>
      <c r="U940" s="148">
        <f>IFERROR(__xludf.DUMMYFUNCTION("""COMPUTED_VALUE"""),1.0)</f>
        <v>1</v>
      </c>
      <c r="V940" s="148" t="str">
        <f>IFERROR(__xludf.DUMMYFUNCTION("""COMPUTED_VALUE"""),"[]")</f>
        <v>[]</v>
      </c>
      <c r="W940" s="148">
        <f>IFERROR(__xludf.DUMMYFUNCTION("""COMPUTED_VALUE"""),1.1741004E7)</f>
        <v>11741004</v>
      </c>
      <c r="X940" s="148">
        <f>IFERROR(__xludf.DUMMYFUNCTION("""COMPUTED_VALUE"""),0.0)</f>
        <v>0</v>
      </c>
      <c r="Y940" s="148">
        <f>IFERROR(__xludf.DUMMYFUNCTION("""COMPUTED_VALUE"""),0.0)</f>
        <v>0</v>
      </c>
      <c r="Z940" s="148"/>
    </row>
    <row r="941">
      <c r="A941" s="148">
        <f>IFERROR(__xludf.DUMMYFUNCTION("""COMPUTED_VALUE"""),1.1112738E7)</f>
        <v>11112738</v>
      </c>
      <c r="B941" s="148" t="str">
        <f>IFERROR(__xludf.DUMMYFUNCTION("""COMPUTED_VALUE"""),"春节骰子点数X3-5分钟")</f>
        <v>春节骰子点数X3-5分钟</v>
      </c>
      <c r="C941" s="148"/>
      <c r="D941" s="148" t="str">
        <f>IFERROR(__xludf.DUMMYFUNCTION("""COMPUTED_VALUE"""),"item_buff")</f>
        <v>item_buff</v>
      </c>
      <c r="E941" s="148">
        <f>IFERROR(__xludf.DUMMYFUNCTION("""COMPUTED_VALUE"""),24.0)</f>
        <v>24</v>
      </c>
      <c r="F941" s="148">
        <f>IFERROR(__xludf.DUMMYFUNCTION("""COMPUTED_VALUE"""),301201.0)</f>
        <v>301201</v>
      </c>
      <c r="G941" s="148">
        <f>IFERROR(__xludf.DUMMYFUNCTION("""COMPUTED_VALUE"""),1.51104267E8)</f>
        <v>151104267</v>
      </c>
      <c r="H941" s="148">
        <f>IFERROR(__xludf.DUMMYFUNCTION("""COMPUTED_VALUE"""),1.5115983E7)</f>
        <v>15115983</v>
      </c>
      <c r="I941" s="148" t="str">
        <f>IFERROR(__xludf.DUMMYFUNCTION("""COMPUTED_VALUE"""),"{""typ"":""lc"",""txt"":""LC_ITEM_time_min_upper_show"",""args"":[{""typ"":""int"",""val"":5}]}")</f>
        <v>{"typ":"lc","txt":"LC_ITEM_time_min_upper_show","args":[{"typ":"int","val":5}]}</v>
      </c>
      <c r="J941" s="148" t="str">
        <f>IFERROR(__xludf.DUMMYFUNCTION("""COMPUTED_VALUE"""),"{""typ"":""lc"",""txt"":""LC_ITEM_spring_gacha_dice_buff_triple_5m_name"",""args"":[{""typ"":""int"",""val"":5}]}")</f>
        <v>{"typ":"lc","txt":"LC_ITEM_spring_gacha_dice_buff_triple_5m_name","args":[{"typ":"int","val":5}]}</v>
      </c>
      <c r="K941" s="148" t="str">
        <f>IFERROR(__xludf.DUMMYFUNCTION("""COMPUTED_VALUE"""),"{""typ"":""lc"",""txt"":""LC_ITEM_spring_gacha_dice_buff_triple_5m_desc"",""args"":[{""typ"":""int"",""val"":5}]}")</f>
        <v>{"typ":"lc","txt":"LC_ITEM_spring_gacha_dice_buff_triple_5m_desc","args":[{"typ":"int","val":5}]}</v>
      </c>
      <c r="L941" s="148" t="str">
        <f>IFERROR(__xludf.DUMMYFUNCTION("""COMPUTED_VALUE"""),"{}")</f>
        <v>{}</v>
      </c>
      <c r="M941" s="148">
        <f>IFERROR(__xludf.DUMMYFUNCTION("""COMPUTED_VALUE"""),200.0)</f>
        <v>200</v>
      </c>
      <c r="N941" s="148">
        <f>IFERROR(__xludf.DUMMYFUNCTION("""COMPUTED_VALUE"""),999999.0)</f>
        <v>999999</v>
      </c>
      <c r="O941" s="148">
        <f>IFERROR(__xludf.DUMMYFUNCTION("""COMPUTED_VALUE"""),99999.0)</f>
        <v>99999</v>
      </c>
      <c r="P941" s="148">
        <f>IFERROR(__xludf.DUMMYFUNCTION("""COMPUTED_VALUE"""),1.0)</f>
        <v>1</v>
      </c>
      <c r="Q941" s="148" t="str">
        <f>IFERROR(__xludf.DUMMYFUNCTION("""COMPUTED_VALUE"""),"[]")</f>
        <v>[]</v>
      </c>
      <c r="R941" s="148" t="str">
        <f>IFERROR(__xludf.DUMMYFUNCTION("""COMPUTED_VALUE"""),"[]")</f>
        <v>[]</v>
      </c>
      <c r="S941" s="148" t="str">
        <f>IFERROR(__xludf.DUMMYFUNCTION("""COMPUTED_VALUE"""),"{""effect"":[{""typ"":""buff"",""id"":121141067,""val"":300000,""arg1"":3}]}")</f>
        <v>{"effect":[{"typ":"buff","id":121141067,"val":300000,"arg1":3}]}</v>
      </c>
      <c r="T941" s="148">
        <f>IFERROR(__xludf.DUMMYFUNCTION("""COMPUTED_VALUE"""),-1.0)</f>
        <v>-1</v>
      </c>
      <c r="U941" s="148">
        <f>IFERROR(__xludf.DUMMYFUNCTION("""COMPUTED_VALUE"""),1.0)</f>
        <v>1</v>
      </c>
      <c r="V941" s="148" t="str">
        <f>IFERROR(__xludf.DUMMYFUNCTION("""COMPUTED_VALUE"""),"[]")</f>
        <v>[]</v>
      </c>
      <c r="W941" s="148">
        <f>IFERROR(__xludf.DUMMYFUNCTION("""COMPUTED_VALUE"""),1.1741004E7)</f>
        <v>11741004</v>
      </c>
      <c r="X941" s="148">
        <f>IFERROR(__xludf.DUMMYFUNCTION("""COMPUTED_VALUE"""),0.0)</f>
        <v>0</v>
      </c>
      <c r="Y941" s="148">
        <f>IFERROR(__xludf.DUMMYFUNCTION("""COMPUTED_VALUE"""),0.0)</f>
        <v>0</v>
      </c>
      <c r="Z941" s="148"/>
    </row>
    <row r="942">
      <c r="A942" s="148">
        <f>IFERROR(__xludf.DUMMYFUNCTION("""COMPUTED_VALUE"""),1.1112739E7)</f>
        <v>11112739</v>
      </c>
      <c r="B942" s="148" t="str">
        <f>IFERROR(__xludf.DUMMYFUNCTION("""COMPUTED_VALUE"""),"春节骰子点数X3-10分钟")</f>
        <v>春节骰子点数X3-10分钟</v>
      </c>
      <c r="C942" s="148"/>
      <c r="D942" s="148" t="str">
        <f>IFERROR(__xludf.DUMMYFUNCTION("""COMPUTED_VALUE"""),"item_buff")</f>
        <v>item_buff</v>
      </c>
      <c r="E942" s="148">
        <f>IFERROR(__xludf.DUMMYFUNCTION("""COMPUTED_VALUE"""),24.0)</f>
        <v>24</v>
      </c>
      <c r="F942" s="148">
        <f>IFERROR(__xludf.DUMMYFUNCTION("""COMPUTED_VALUE"""),301201.0)</f>
        <v>301201</v>
      </c>
      <c r="G942" s="148">
        <f>IFERROR(__xludf.DUMMYFUNCTION("""COMPUTED_VALUE"""),1.51104267E8)</f>
        <v>151104267</v>
      </c>
      <c r="H942" s="148">
        <f>IFERROR(__xludf.DUMMYFUNCTION("""COMPUTED_VALUE"""),1.5115983E7)</f>
        <v>15115983</v>
      </c>
      <c r="I942" s="148" t="str">
        <f>IFERROR(__xludf.DUMMYFUNCTION("""COMPUTED_VALUE"""),"{""typ"":""lc"",""txt"":""LC_ITEM_time_min_upper_show"",""args"":[{""typ"":""int"",""val"":10}]}")</f>
        <v>{"typ":"lc","txt":"LC_ITEM_time_min_upper_show","args":[{"typ":"int","val":10}]}</v>
      </c>
      <c r="J942" s="148" t="str">
        <f>IFERROR(__xludf.DUMMYFUNCTION("""COMPUTED_VALUE"""),"{""typ"":""lc"",""txt"":""LC_ITEM_spring_gacha_dice_buff_triple_10m_name"",""args"":[{""typ"":""int"",""val"":10}]}")</f>
        <v>{"typ":"lc","txt":"LC_ITEM_spring_gacha_dice_buff_triple_10m_name","args":[{"typ":"int","val":10}]}</v>
      </c>
      <c r="K942" s="148" t="str">
        <f>IFERROR(__xludf.DUMMYFUNCTION("""COMPUTED_VALUE"""),"{""typ"":""lc"",""txt"":""LC_ITEM_spring_gacha_dice_buff_triple_10m_desc"",""args"":[{""typ"":""int"",""val"":10}]}")</f>
        <v>{"typ":"lc","txt":"LC_ITEM_spring_gacha_dice_buff_triple_10m_desc","args":[{"typ":"int","val":10}]}</v>
      </c>
      <c r="L942" s="148" t="str">
        <f>IFERROR(__xludf.DUMMYFUNCTION("""COMPUTED_VALUE"""),"{}")</f>
        <v>{}</v>
      </c>
      <c r="M942" s="148">
        <f>IFERROR(__xludf.DUMMYFUNCTION("""COMPUTED_VALUE"""),200.0)</f>
        <v>200</v>
      </c>
      <c r="N942" s="148">
        <f>IFERROR(__xludf.DUMMYFUNCTION("""COMPUTED_VALUE"""),999999.0)</f>
        <v>999999</v>
      </c>
      <c r="O942" s="148">
        <f>IFERROR(__xludf.DUMMYFUNCTION("""COMPUTED_VALUE"""),99999.0)</f>
        <v>99999</v>
      </c>
      <c r="P942" s="148">
        <f>IFERROR(__xludf.DUMMYFUNCTION("""COMPUTED_VALUE"""),1.0)</f>
        <v>1</v>
      </c>
      <c r="Q942" s="148" t="str">
        <f>IFERROR(__xludf.DUMMYFUNCTION("""COMPUTED_VALUE"""),"[]")</f>
        <v>[]</v>
      </c>
      <c r="R942" s="148" t="str">
        <f>IFERROR(__xludf.DUMMYFUNCTION("""COMPUTED_VALUE"""),"[]")</f>
        <v>[]</v>
      </c>
      <c r="S942" s="148" t="str">
        <f>IFERROR(__xludf.DUMMYFUNCTION("""COMPUTED_VALUE"""),"{""effect"":[{""typ"":""buff"",""id"":121141067,""val"":600000,""arg1"":3}]}")</f>
        <v>{"effect":[{"typ":"buff","id":121141067,"val":600000,"arg1":3}]}</v>
      </c>
      <c r="T942" s="148">
        <f>IFERROR(__xludf.DUMMYFUNCTION("""COMPUTED_VALUE"""),-1.0)</f>
        <v>-1</v>
      </c>
      <c r="U942" s="148">
        <f>IFERROR(__xludf.DUMMYFUNCTION("""COMPUTED_VALUE"""),1.0)</f>
        <v>1</v>
      </c>
      <c r="V942" s="148" t="str">
        <f>IFERROR(__xludf.DUMMYFUNCTION("""COMPUTED_VALUE"""),"[]")</f>
        <v>[]</v>
      </c>
      <c r="W942" s="148">
        <f>IFERROR(__xludf.DUMMYFUNCTION("""COMPUTED_VALUE"""),1.1741004E7)</f>
        <v>11741004</v>
      </c>
      <c r="X942" s="148">
        <f>IFERROR(__xludf.DUMMYFUNCTION("""COMPUTED_VALUE"""),0.0)</f>
        <v>0</v>
      </c>
      <c r="Y942" s="148">
        <f>IFERROR(__xludf.DUMMYFUNCTION("""COMPUTED_VALUE"""),0.0)</f>
        <v>0</v>
      </c>
      <c r="Z942" s="148"/>
    </row>
    <row r="943">
      <c r="A943" s="148">
        <f>IFERROR(__xludf.DUMMYFUNCTION("""COMPUTED_VALUE"""),1.111275E7)</f>
        <v>11112750</v>
      </c>
      <c r="B943" s="148" t="str">
        <f>IFERROR(__xludf.DUMMYFUNCTION("""COMPUTED_VALUE"""),"异族大富翁-起点")</f>
        <v>异族大富翁-起点</v>
      </c>
      <c r="C943" s="148"/>
      <c r="D943" s="148" t="str">
        <f>IFERROR(__xludf.DUMMYFUNCTION("""COMPUTED_VALUE"""),"event")</f>
        <v>event</v>
      </c>
      <c r="E943" s="148">
        <f>IFERROR(__xludf.DUMMYFUNCTION("""COMPUTED_VALUE"""),0.0)</f>
        <v>0</v>
      </c>
      <c r="F943" s="148">
        <f>IFERROR(__xludf.DUMMYFUNCTION("""COMPUTED_VALUE"""),405210.0)</f>
        <v>405210</v>
      </c>
      <c r="G943" s="148">
        <f>IFERROR(__xludf.DUMMYFUNCTION("""COMPUTED_VALUE"""),1.51104121E8)</f>
        <v>151104121</v>
      </c>
      <c r="H943" s="148">
        <f>IFERROR(__xludf.DUMMYFUNCTION("""COMPUTED_VALUE"""),1.5112564E7)</f>
        <v>15112564</v>
      </c>
      <c r="I943" s="148" t="str">
        <f>IFERROR(__xludf.DUMMYFUNCTION("""COMPUTED_VALUE"""),"{}")</f>
        <v>{}</v>
      </c>
      <c r="J943" s="148" t="str">
        <f>IFERROR(__xludf.DUMMYFUNCTION("""COMPUTED_VALUE"""),"{""typ"":""lc"",""txt"":""LC_ITEM_monopoly_monster_board_start""}")</f>
        <v>{"typ":"lc","txt":"LC_ITEM_monopoly_monster_board_start"}</v>
      </c>
      <c r="K943" s="148" t="str">
        <f>IFERROR(__xludf.DUMMYFUNCTION("""COMPUTED_VALUE"""),"{""typ"":""lc"",""txt"":""LC_ITEM_monopoly_monster_board_start_desc""}")</f>
        <v>{"typ":"lc","txt":"LC_ITEM_monopoly_monster_board_start_desc"}</v>
      </c>
      <c r="L943" s="148" t="str">
        <f>IFERROR(__xludf.DUMMYFUNCTION("""COMPUTED_VALUE"""),"{}")</f>
        <v>{}</v>
      </c>
      <c r="M943" s="148">
        <f>IFERROR(__xludf.DUMMYFUNCTION("""COMPUTED_VALUE"""),700.0)</f>
        <v>700</v>
      </c>
      <c r="N943" s="148">
        <f>IFERROR(__xludf.DUMMYFUNCTION("""COMPUTED_VALUE"""),9.99999999E8)</f>
        <v>999999999</v>
      </c>
      <c r="O943" s="148">
        <f>IFERROR(__xludf.DUMMYFUNCTION("""COMPUTED_VALUE"""),9.99999999E8)</f>
        <v>999999999</v>
      </c>
      <c r="P943" s="148">
        <f>IFERROR(__xludf.DUMMYFUNCTION("""COMPUTED_VALUE"""),9.99999999E8)</f>
        <v>999999999</v>
      </c>
      <c r="Q943" s="148" t="str">
        <f>IFERROR(__xludf.DUMMYFUNCTION("""COMPUTED_VALUE"""),"[]")</f>
        <v>[]</v>
      </c>
      <c r="R943" s="148" t="str">
        <f>IFERROR(__xludf.DUMMYFUNCTION("""COMPUTED_VALUE"""),"[]")</f>
        <v>[]</v>
      </c>
      <c r="S943" s="148" t="str">
        <f>IFERROR(__xludf.DUMMYFUNCTION("""COMPUTED_VALUE"""),"{}")</f>
        <v>{}</v>
      </c>
      <c r="T943" s="148">
        <f>IFERROR(__xludf.DUMMYFUNCTION("""COMPUTED_VALUE"""),1.0)</f>
        <v>1</v>
      </c>
      <c r="U943" s="148">
        <f>IFERROR(__xludf.DUMMYFUNCTION("""COMPUTED_VALUE"""),0.0)</f>
        <v>0</v>
      </c>
      <c r="V943" s="148" t="str">
        <f>IFERROR(__xludf.DUMMYFUNCTION("""COMPUTED_VALUE"""),"[]")</f>
        <v>[]</v>
      </c>
      <c r="W943" s="148">
        <f>IFERROR(__xludf.DUMMYFUNCTION("""COMPUTED_VALUE"""),1.174E7)</f>
        <v>11740000</v>
      </c>
      <c r="X943" s="148">
        <f>IFERROR(__xludf.DUMMYFUNCTION("""COMPUTED_VALUE"""),0.0)</f>
        <v>0</v>
      </c>
      <c r="Y943" s="148">
        <f>IFERROR(__xludf.DUMMYFUNCTION("""COMPUTED_VALUE"""),0.0)</f>
        <v>0</v>
      </c>
      <c r="Z943" s="148"/>
    </row>
    <row r="944">
      <c r="A944" s="148">
        <f>IFERROR(__xludf.DUMMYFUNCTION("""COMPUTED_VALUE"""),1.1112751E7)</f>
        <v>11112751</v>
      </c>
      <c r="B944" s="148" t="str">
        <f>IFERROR(__xludf.DUMMYFUNCTION("""COMPUTED_VALUE"""),"异族大富翁-超能骰子")</f>
        <v>异族大富翁-超能骰子</v>
      </c>
      <c r="C944" s="148"/>
      <c r="D944" s="148" t="str">
        <f>IFERROR(__xludf.DUMMYFUNCTION("""COMPUTED_VALUE"""),"event")</f>
        <v>event</v>
      </c>
      <c r="E944" s="148">
        <f>IFERROR(__xludf.DUMMYFUNCTION("""COMPUTED_VALUE"""),0.0)</f>
        <v>0</v>
      </c>
      <c r="F944" s="148">
        <f>IFERROR(__xludf.DUMMYFUNCTION("""COMPUTED_VALUE"""),405210.0)</f>
        <v>405210</v>
      </c>
      <c r="G944" s="148">
        <f>IFERROR(__xludf.DUMMYFUNCTION("""COMPUTED_VALUE"""),1.51104122E8)</f>
        <v>151104122</v>
      </c>
      <c r="H944" s="148">
        <f>IFERROR(__xludf.DUMMYFUNCTION("""COMPUTED_VALUE"""),1.5112564E7)</f>
        <v>15112564</v>
      </c>
      <c r="I944" s="148" t="str">
        <f>IFERROR(__xludf.DUMMYFUNCTION("""COMPUTED_VALUE"""),"{}")</f>
        <v>{}</v>
      </c>
      <c r="J944" s="148" t="str">
        <f>IFERROR(__xludf.DUMMYFUNCTION("""COMPUTED_VALUE"""),"{""typ"":""lc"",""txt"":""LC_ITEM_monopoly_monster_board_magic_dice""}")</f>
        <v>{"typ":"lc","txt":"LC_ITEM_monopoly_monster_board_magic_dice"}</v>
      </c>
      <c r="K944" s="148" t="str">
        <f>IFERROR(__xludf.DUMMYFUNCTION("""COMPUTED_VALUE"""),"{""typ"":""lc"",""txt"":""LC_ITEM_monopoly_monster_board_magic_dice_desc""}")</f>
        <v>{"typ":"lc","txt":"LC_ITEM_monopoly_monster_board_magic_dice_desc"}</v>
      </c>
      <c r="L944" s="148" t="str">
        <f>IFERROR(__xludf.DUMMYFUNCTION("""COMPUTED_VALUE"""),"{}")</f>
        <v>{}</v>
      </c>
      <c r="M944" s="148">
        <f>IFERROR(__xludf.DUMMYFUNCTION("""COMPUTED_VALUE"""),700.0)</f>
        <v>700</v>
      </c>
      <c r="N944" s="148">
        <f>IFERROR(__xludf.DUMMYFUNCTION("""COMPUTED_VALUE"""),9.99999999E8)</f>
        <v>999999999</v>
      </c>
      <c r="O944" s="148">
        <f>IFERROR(__xludf.DUMMYFUNCTION("""COMPUTED_VALUE"""),9.99999999E8)</f>
        <v>999999999</v>
      </c>
      <c r="P944" s="148">
        <f>IFERROR(__xludf.DUMMYFUNCTION("""COMPUTED_VALUE"""),9.99999999E8)</f>
        <v>999999999</v>
      </c>
      <c r="Q944" s="148" t="str">
        <f>IFERROR(__xludf.DUMMYFUNCTION("""COMPUTED_VALUE"""),"[]")</f>
        <v>[]</v>
      </c>
      <c r="R944" s="148" t="str">
        <f>IFERROR(__xludf.DUMMYFUNCTION("""COMPUTED_VALUE"""),"[]")</f>
        <v>[]</v>
      </c>
      <c r="S944" s="148" t="str">
        <f>IFERROR(__xludf.DUMMYFUNCTION("""COMPUTED_VALUE"""),"{}")</f>
        <v>{}</v>
      </c>
      <c r="T944" s="148">
        <f>IFERROR(__xludf.DUMMYFUNCTION("""COMPUTED_VALUE"""),1.0)</f>
        <v>1</v>
      </c>
      <c r="U944" s="148">
        <f>IFERROR(__xludf.DUMMYFUNCTION("""COMPUTED_VALUE"""),0.0)</f>
        <v>0</v>
      </c>
      <c r="V944" s="148" t="str">
        <f>IFERROR(__xludf.DUMMYFUNCTION("""COMPUTED_VALUE"""),"[]")</f>
        <v>[]</v>
      </c>
      <c r="W944" s="148">
        <f>IFERROR(__xludf.DUMMYFUNCTION("""COMPUTED_VALUE"""),1.174E7)</f>
        <v>11740000</v>
      </c>
      <c r="X944" s="148">
        <f>IFERROR(__xludf.DUMMYFUNCTION("""COMPUTED_VALUE"""),0.0)</f>
        <v>0</v>
      </c>
      <c r="Y944" s="148">
        <f>IFERROR(__xludf.DUMMYFUNCTION("""COMPUTED_VALUE"""),0.0)</f>
        <v>0</v>
      </c>
      <c r="Z944" s="148"/>
    </row>
    <row r="945">
      <c r="A945" s="148">
        <f>IFERROR(__xludf.DUMMYFUNCTION("""COMPUTED_VALUE"""),1.1112752E7)</f>
        <v>11112752</v>
      </c>
      <c r="B945" s="148" t="str">
        <f>IFERROR(__xludf.DUMMYFUNCTION("""COMPUTED_VALUE"""),"异族大富翁-格子道具-实验电池（回复）")</f>
        <v>异族大富翁-格子道具-实验电池（回复）</v>
      </c>
      <c r="C945" s="148"/>
      <c r="D945" s="148" t="str">
        <f>IFERROR(__xludf.DUMMYFUNCTION("""COMPUTED_VALUE"""),"event")</f>
        <v>event</v>
      </c>
      <c r="E945" s="148">
        <f>IFERROR(__xludf.DUMMYFUNCTION("""COMPUTED_VALUE"""),0.0)</f>
        <v>0</v>
      </c>
      <c r="F945" s="148">
        <f>IFERROR(__xludf.DUMMYFUNCTION("""COMPUTED_VALUE"""),405210.0)</f>
        <v>405210</v>
      </c>
      <c r="G945" s="148">
        <f>IFERROR(__xludf.DUMMYFUNCTION("""COMPUTED_VALUE"""),1.5110413E8)</f>
        <v>151104130</v>
      </c>
      <c r="H945" s="148">
        <f>IFERROR(__xludf.DUMMYFUNCTION("""COMPUTED_VALUE"""),1.5112564E7)</f>
        <v>15112564</v>
      </c>
      <c r="I945" s="148" t="str">
        <f>IFERROR(__xludf.DUMMYFUNCTION("""COMPUTED_VALUE"""),"{}")</f>
        <v>{}</v>
      </c>
      <c r="J945" s="148" t="str">
        <f>IFERROR(__xludf.DUMMYFUNCTION("""COMPUTED_VALUE"""),"{""typ"":""lc"",""txt"":""LC_ITEM_monopoly_monster_board_recover_2""}")</f>
        <v>{"typ":"lc","txt":"LC_ITEM_monopoly_monster_board_recover_2"}</v>
      </c>
      <c r="K945" s="148" t="str">
        <f>IFERROR(__xludf.DUMMYFUNCTION("""COMPUTED_VALUE"""),"{""typ"":""lc"",""txt"":""LC_ITEM_monopoly_monster_board_recover_desc_1""}")</f>
        <v>{"typ":"lc","txt":"LC_ITEM_monopoly_monster_board_recover_desc_1"}</v>
      </c>
      <c r="L945" s="148" t="str">
        <f>IFERROR(__xludf.DUMMYFUNCTION("""COMPUTED_VALUE"""),"{}")</f>
        <v>{}</v>
      </c>
      <c r="M945" s="148">
        <f>IFERROR(__xludf.DUMMYFUNCTION("""COMPUTED_VALUE"""),700.0)</f>
        <v>700</v>
      </c>
      <c r="N945" s="148">
        <f>IFERROR(__xludf.DUMMYFUNCTION("""COMPUTED_VALUE"""),9.99999999E8)</f>
        <v>999999999</v>
      </c>
      <c r="O945" s="148">
        <f>IFERROR(__xludf.DUMMYFUNCTION("""COMPUTED_VALUE"""),9.99999999E8)</f>
        <v>999999999</v>
      </c>
      <c r="P945" s="148">
        <f>IFERROR(__xludf.DUMMYFUNCTION("""COMPUTED_VALUE"""),9.99999999E8)</f>
        <v>999999999</v>
      </c>
      <c r="Q945" s="148" t="str">
        <f>IFERROR(__xludf.DUMMYFUNCTION("""COMPUTED_VALUE"""),"[]")</f>
        <v>[]</v>
      </c>
      <c r="R945" s="148" t="str">
        <f>IFERROR(__xludf.DUMMYFUNCTION("""COMPUTED_VALUE"""),"[]")</f>
        <v>[]</v>
      </c>
      <c r="S945" s="148" t="str">
        <f>IFERROR(__xludf.DUMMYFUNCTION("""COMPUTED_VALUE"""),"{}")</f>
        <v>{}</v>
      </c>
      <c r="T945" s="148">
        <f>IFERROR(__xludf.DUMMYFUNCTION("""COMPUTED_VALUE"""),1.0)</f>
        <v>1</v>
      </c>
      <c r="U945" s="148">
        <f>IFERROR(__xludf.DUMMYFUNCTION("""COMPUTED_VALUE"""),0.0)</f>
        <v>0</v>
      </c>
      <c r="V945" s="148" t="str">
        <f>IFERROR(__xludf.DUMMYFUNCTION("""COMPUTED_VALUE"""),"[]")</f>
        <v>[]</v>
      </c>
      <c r="W945" s="148">
        <f>IFERROR(__xludf.DUMMYFUNCTION("""COMPUTED_VALUE"""),1.174E7)</f>
        <v>11740000</v>
      </c>
      <c r="X945" s="148">
        <f>IFERROR(__xludf.DUMMYFUNCTION("""COMPUTED_VALUE"""),0.0)</f>
        <v>0</v>
      </c>
      <c r="Y945" s="148">
        <f>IFERROR(__xludf.DUMMYFUNCTION("""COMPUTED_VALUE"""),0.0)</f>
        <v>0</v>
      </c>
      <c r="Z945" s="148"/>
    </row>
    <row r="946">
      <c r="A946" s="148">
        <f>IFERROR(__xludf.DUMMYFUNCTION("""COMPUTED_VALUE"""),1.1112753E7)</f>
        <v>11112753</v>
      </c>
      <c r="B946" s="148" t="str">
        <f>IFERROR(__xludf.DUMMYFUNCTION("""COMPUTED_VALUE"""),"异族大富翁-格子道具-实验护盾（回复）")</f>
        <v>异族大富翁-格子道具-实验护盾（回复）</v>
      </c>
      <c r="C946" s="148"/>
      <c r="D946" s="148" t="str">
        <f>IFERROR(__xludf.DUMMYFUNCTION("""COMPUTED_VALUE"""),"event")</f>
        <v>event</v>
      </c>
      <c r="E946" s="148">
        <f>IFERROR(__xludf.DUMMYFUNCTION("""COMPUTED_VALUE"""),0.0)</f>
        <v>0</v>
      </c>
      <c r="F946" s="148">
        <f>IFERROR(__xludf.DUMMYFUNCTION("""COMPUTED_VALUE"""),405210.0)</f>
        <v>405210</v>
      </c>
      <c r="G946" s="148">
        <f>IFERROR(__xludf.DUMMYFUNCTION("""COMPUTED_VALUE"""),1.51104131E8)</f>
        <v>151104131</v>
      </c>
      <c r="H946" s="148">
        <f>IFERROR(__xludf.DUMMYFUNCTION("""COMPUTED_VALUE"""),1.5112564E7)</f>
        <v>15112564</v>
      </c>
      <c r="I946" s="148" t="str">
        <f>IFERROR(__xludf.DUMMYFUNCTION("""COMPUTED_VALUE"""),"{}")</f>
        <v>{}</v>
      </c>
      <c r="J946" s="148" t="str">
        <f>IFERROR(__xludf.DUMMYFUNCTION("""COMPUTED_VALUE"""),"{""typ"":""lc"",""txt"":""LC_ITEM_monopoly_monster_board_recover_3""}")</f>
        <v>{"typ":"lc","txt":"LC_ITEM_monopoly_monster_board_recover_3"}</v>
      </c>
      <c r="K946" s="148" t="str">
        <f>IFERROR(__xludf.DUMMYFUNCTION("""COMPUTED_VALUE"""),"{""typ"":""lc"",""txt"":""LC_ITEM_monopoly_monster_board_recover_desc_1""}")</f>
        <v>{"typ":"lc","txt":"LC_ITEM_monopoly_monster_board_recover_desc_1"}</v>
      </c>
      <c r="L946" s="148" t="str">
        <f>IFERROR(__xludf.DUMMYFUNCTION("""COMPUTED_VALUE"""),"{}")</f>
        <v>{}</v>
      </c>
      <c r="M946" s="148">
        <f>IFERROR(__xludf.DUMMYFUNCTION("""COMPUTED_VALUE"""),700.0)</f>
        <v>700</v>
      </c>
      <c r="N946" s="148">
        <f>IFERROR(__xludf.DUMMYFUNCTION("""COMPUTED_VALUE"""),9.99999999E8)</f>
        <v>999999999</v>
      </c>
      <c r="O946" s="148">
        <f>IFERROR(__xludf.DUMMYFUNCTION("""COMPUTED_VALUE"""),9.99999999E8)</f>
        <v>999999999</v>
      </c>
      <c r="P946" s="148">
        <f>IFERROR(__xludf.DUMMYFUNCTION("""COMPUTED_VALUE"""),9.99999999E8)</f>
        <v>999999999</v>
      </c>
      <c r="Q946" s="148" t="str">
        <f>IFERROR(__xludf.DUMMYFUNCTION("""COMPUTED_VALUE"""),"[]")</f>
        <v>[]</v>
      </c>
      <c r="R946" s="148" t="str">
        <f>IFERROR(__xludf.DUMMYFUNCTION("""COMPUTED_VALUE"""),"[]")</f>
        <v>[]</v>
      </c>
      <c r="S946" s="148" t="str">
        <f>IFERROR(__xludf.DUMMYFUNCTION("""COMPUTED_VALUE"""),"{}")</f>
        <v>{}</v>
      </c>
      <c r="T946" s="148">
        <f>IFERROR(__xludf.DUMMYFUNCTION("""COMPUTED_VALUE"""),1.0)</f>
        <v>1</v>
      </c>
      <c r="U946" s="148">
        <f>IFERROR(__xludf.DUMMYFUNCTION("""COMPUTED_VALUE"""),0.0)</f>
        <v>0</v>
      </c>
      <c r="V946" s="148" t="str">
        <f>IFERROR(__xludf.DUMMYFUNCTION("""COMPUTED_VALUE"""),"[]")</f>
        <v>[]</v>
      </c>
      <c r="W946" s="148">
        <f>IFERROR(__xludf.DUMMYFUNCTION("""COMPUTED_VALUE"""),1.174E7)</f>
        <v>11740000</v>
      </c>
      <c r="X946" s="148">
        <f>IFERROR(__xludf.DUMMYFUNCTION("""COMPUTED_VALUE"""),0.0)</f>
        <v>0</v>
      </c>
      <c r="Y946" s="148">
        <f>IFERROR(__xludf.DUMMYFUNCTION("""COMPUTED_VALUE"""),0.0)</f>
        <v>0</v>
      </c>
      <c r="Z946" s="148"/>
    </row>
    <row r="947">
      <c r="A947" s="148">
        <f>IFERROR(__xludf.DUMMYFUNCTION("""COMPUTED_VALUE"""),1.1112754E7)</f>
        <v>11112754</v>
      </c>
      <c r="B947" s="148" t="str">
        <f>IFERROR(__xludf.DUMMYFUNCTION("""COMPUTED_VALUE"""),"异族大富翁-格子道具-实验护甲（回复）")</f>
        <v>异族大富翁-格子道具-实验护甲（回复）</v>
      </c>
      <c r="C947" s="148"/>
      <c r="D947" s="148" t="str">
        <f>IFERROR(__xludf.DUMMYFUNCTION("""COMPUTED_VALUE"""),"event")</f>
        <v>event</v>
      </c>
      <c r="E947" s="148">
        <f>IFERROR(__xludf.DUMMYFUNCTION("""COMPUTED_VALUE"""),0.0)</f>
        <v>0</v>
      </c>
      <c r="F947" s="148">
        <f>IFERROR(__xludf.DUMMYFUNCTION("""COMPUTED_VALUE"""),405210.0)</f>
        <v>405210</v>
      </c>
      <c r="G947" s="148">
        <f>IFERROR(__xludf.DUMMYFUNCTION("""COMPUTED_VALUE"""),1.51104132E8)</f>
        <v>151104132</v>
      </c>
      <c r="H947" s="148">
        <f>IFERROR(__xludf.DUMMYFUNCTION("""COMPUTED_VALUE"""),1.5112564E7)</f>
        <v>15112564</v>
      </c>
      <c r="I947" s="148" t="str">
        <f>IFERROR(__xludf.DUMMYFUNCTION("""COMPUTED_VALUE"""),"{}")</f>
        <v>{}</v>
      </c>
      <c r="J947" s="148" t="str">
        <f>IFERROR(__xludf.DUMMYFUNCTION("""COMPUTED_VALUE"""),"{""typ"":""lc"",""txt"":""LC_ITEM_monopoly_monster_board_recover_4""}")</f>
        <v>{"typ":"lc","txt":"LC_ITEM_monopoly_monster_board_recover_4"}</v>
      </c>
      <c r="K947" s="148" t="str">
        <f>IFERROR(__xludf.DUMMYFUNCTION("""COMPUTED_VALUE"""),"{""typ"":""lc"",""txt"":""LC_ITEM_monopoly_monster_board_recover_desc_1""}")</f>
        <v>{"typ":"lc","txt":"LC_ITEM_monopoly_monster_board_recover_desc_1"}</v>
      </c>
      <c r="L947" s="148" t="str">
        <f>IFERROR(__xludf.DUMMYFUNCTION("""COMPUTED_VALUE"""),"{}")</f>
        <v>{}</v>
      </c>
      <c r="M947" s="148">
        <f>IFERROR(__xludf.DUMMYFUNCTION("""COMPUTED_VALUE"""),700.0)</f>
        <v>700</v>
      </c>
      <c r="N947" s="148">
        <f>IFERROR(__xludf.DUMMYFUNCTION("""COMPUTED_VALUE"""),9.99999999E8)</f>
        <v>999999999</v>
      </c>
      <c r="O947" s="148">
        <f>IFERROR(__xludf.DUMMYFUNCTION("""COMPUTED_VALUE"""),9.99999999E8)</f>
        <v>999999999</v>
      </c>
      <c r="P947" s="148">
        <f>IFERROR(__xludf.DUMMYFUNCTION("""COMPUTED_VALUE"""),9.99999999E8)</f>
        <v>999999999</v>
      </c>
      <c r="Q947" s="148" t="str">
        <f>IFERROR(__xludf.DUMMYFUNCTION("""COMPUTED_VALUE"""),"[]")</f>
        <v>[]</v>
      </c>
      <c r="R947" s="148" t="str">
        <f>IFERROR(__xludf.DUMMYFUNCTION("""COMPUTED_VALUE"""),"[]")</f>
        <v>[]</v>
      </c>
      <c r="S947" s="148" t="str">
        <f>IFERROR(__xludf.DUMMYFUNCTION("""COMPUTED_VALUE"""),"{}")</f>
        <v>{}</v>
      </c>
      <c r="T947" s="148">
        <f>IFERROR(__xludf.DUMMYFUNCTION("""COMPUTED_VALUE"""),1.0)</f>
        <v>1</v>
      </c>
      <c r="U947" s="148">
        <f>IFERROR(__xludf.DUMMYFUNCTION("""COMPUTED_VALUE"""),0.0)</f>
        <v>0</v>
      </c>
      <c r="V947" s="148" t="str">
        <f>IFERROR(__xludf.DUMMYFUNCTION("""COMPUTED_VALUE"""),"[]")</f>
        <v>[]</v>
      </c>
      <c r="W947" s="148">
        <f>IFERROR(__xludf.DUMMYFUNCTION("""COMPUTED_VALUE"""),1.174E7)</f>
        <v>11740000</v>
      </c>
      <c r="X947" s="148">
        <f>IFERROR(__xludf.DUMMYFUNCTION("""COMPUTED_VALUE"""),0.0)</f>
        <v>0</v>
      </c>
      <c r="Y947" s="148">
        <f>IFERROR(__xludf.DUMMYFUNCTION("""COMPUTED_VALUE"""),0.0)</f>
        <v>0</v>
      </c>
      <c r="Z947" s="148"/>
    </row>
    <row r="948">
      <c r="A948" s="148">
        <f>IFERROR(__xludf.DUMMYFUNCTION("""COMPUTED_VALUE"""),1.1112755E7)</f>
        <v>11112755</v>
      </c>
      <c r="B948" s="148" t="str">
        <f>IFERROR(__xludf.DUMMYFUNCTION("""COMPUTED_VALUE"""),"异族大富翁-格子道具-实验药剂（回复）")</f>
        <v>异族大富翁-格子道具-实验药剂（回复）</v>
      </c>
      <c r="C948" s="148"/>
      <c r="D948" s="148" t="str">
        <f>IFERROR(__xludf.DUMMYFUNCTION("""COMPUTED_VALUE"""),"event")</f>
        <v>event</v>
      </c>
      <c r="E948" s="148">
        <f>IFERROR(__xludf.DUMMYFUNCTION("""COMPUTED_VALUE"""),0.0)</f>
        <v>0</v>
      </c>
      <c r="F948" s="148">
        <f>IFERROR(__xludf.DUMMYFUNCTION("""COMPUTED_VALUE"""),405210.0)</f>
        <v>405210</v>
      </c>
      <c r="G948" s="148">
        <f>IFERROR(__xludf.DUMMYFUNCTION("""COMPUTED_VALUE"""),1.51104129E8)</f>
        <v>151104129</v>
      </c>
      <c r="H948" s="148">
        <f>IFERROR(__xludf.DUMMYFUNCTION("""COMPUTED_VALUE"""),1.5112564E7)</f>
        <v>15112564</v>
      </c>
      <c r="I948" s="148" t="str">
        <f>IFERROR(__xludf.DUMMYFUNCTION("""COMPUTED_VALUE"""),"{}")</f>
        <v>{}</v>
      </c>
      <c r="J948" s="148" t="str">
        <f>IFERROR(__xludf.DUMMYFUNCTION("""COMPUTED_VALUE"""),"{""typ"":""lc"",""txt"":""LC_ITEM_monopoly_monster_board_recover_1""}")</f>
        <v>{"typ":"lc","txt":"LC_ITEM_monopoly_monster_board_recover_1"}</v>
      </c>
      <c r="K948" s="148" t="str">
        <f>IFERROR(__xludf.DUMMYFUNCTION("""COMPUTED_VALUE"""),"{""typ"":""lc"",""txt"":""LC_ITEM_monopoly_monster_board_recover_desc_2""}")</f>
        <v>{"typ":"lc","txt":"LC_ITEM_monopoly_monster_board_recover_desc_2"}</v>
      </c>
      <c r="L948" s="148" t="str">
        <f>IFERROR(__xludf.DUMMYFUNCTION("""COMPUTED_VALUE"""),"{}")</f>
        <v>{}</v>
      </c>
      <c r="M948" s="148">
        <f>IFERROR(__xludf.DUMMYFUNCTION("""COMPUTED_VALUE"""),700.0)</f>
        <v>700</v>
      </c>
      <c r="N948" s="148">
        <f>IFERROR(__xludf.DUMMYFUNCTION("""COMPUTED_VALUE"""),9.99999999E8)</f>
        <v>999999999</v>
      </c>
      <c r="O948" s="148">
        <f>IFERROR(__xludf.DUMMYFUNCTION("""COMPUTED_VALUE"""),9.99999999E8)</f>
        <v>999999999</v>
      </c>
      <c r="P948" s="148">
        <f>IFERROR(__xludf.DUMMYFUNCTION("""COMPUTED_VALUE"""),9.99999999E8)</f>
        <v>999999999</v>
      </c>
      <c r="Q948" s="148" t="str">
        <f>IFERROR(__xludf.DUMMYFUNCTION("""COMPUTED_VALUE"""),"[]")</f>
        <v>[]</v>
      </c>
      <c r="R948" s="148" t="str">
        <f>IFERROR(__xludf.DUMMYFUNCTION("""COMPUTED_VALUE"""),"[]")</f>
        <v>[]</v>
      </c>
      <c r="S948" s="148" t="str">
        <f>IFERROR(__xludf.DUMMYFUNCTION("""COMPUTED_VALUE"""),"{}")</f>
        <v>{}</v>
      </c>
      <c r="T948" s="148">
        <f>IFERROR(__xludf.DUMMYFUNCTION("""COMPUTED_VALUE"""),1.0)</f>
        <v>1</v>
      </c>
      <c r="U948" s="148">
        <f>IFERROR(__xludf.DUMMYFUNCTION("""COMPUTED_VALUE"""),0.0)</f>
        <v>0</v>
      </c>
      <c r="V948" s="148" t="str">
        <f>IFERROR(__xludf.DUMMYFUNCTION("""COMPUTED_VALUE"""),"[]")</f>
        <v>[]</v>
      </c>
      <c r="W948" s="148">
        <f>IFERROR(__xludf.DUMMYFUNCTION("""COMPUTED_VALUE"""),1.174E7)</f>
        <v>11740000</v>
      </c>
      <c r="X948" s="148">
        <f>IFERROR(__xludf.DUMMYFUNCTION("""COMPUTED_VALUE"""),0.0)</f>
        <v>0</v>
      </c>
      <c r="Y948" s="148">
        <f>IFERROR(__xludf.DUMMYFUNCTION("""COMPUTED_VALUE"""),0.0)</f>
        <v>0</v>
      </c>
      <c r="Z948" s="148"/>
    </row>
    <row r="949">
      <c r="A949" s="148">
        <f>IFERROR(__xludf.DUMMYFUNCTION("""COMPUTED_VALUE"""),1.1112756E7)</f>
        <v>11112756</v>
      </c>
      <c r="B949" s="148" t="str">
        <f>IFERROR(__xludf.DUMMYFUNCTION("""COMPUTED_VALUE"""),"异族大富翁-格子道具-钛核电锯（物理）")</f>
        <v>异族大富翁-格子道具-钛核电锯（物理）</v>
      </c>
      <c r="C949" s="148"/>
      <c r="D949" s="148" t="str">
        <f>IFERROR(__xludf.DUMMYFUNCTION("""COMPUTED_VALUE"""),"event")</f>
        <v>event</v>
      </c>
      <c r="E949" s="148">
        <f>IFERROR(__xludf.DUMMYFUNCTION("""COMPUTED_VALUE"""),0.0)</f>
        <v>0</v>
      </c>
      <c r="F949" s="148">
        <f>IFERROR(__xludf.DUMMYFUNCTION("""COMPUTED_VALUE"""),405210.0)</f>
        <v>405210</v>
      </c>
      <c r="G949" s="148">
        <f>IFERROR(__xludf.DUMMYFUNCTION("""COMPUTED_VALUE"""),1.51104126E8)</f>
        <v>151104126</v>
      </c>
      <c r="H949" s="148">
        <f>IFERROR(__xludf.DUMMYFUNCTION("""COMPUTED_VALUE"""),1.5112564E7)</f>
        <v>15112564</v>
      </c>
      <c r="I949" s="148" t="str">
        <f>IFERROR(__xludf.DUMMYFUNCTION("""COMPUTED_VALUE"""),"{}")</f>
        <v>{}</v>
      </c>
      <c r="J949" s="148" t="str">
        <f>IFERROR(__xludf.DUMMYFUNCTION("""COMPUTED_VALUE"""),"{""typ"":""lc"",""txt"":""LC_ITEM_monopoly_monster_board_weapon_4""}")</f>
        <v>{"typ":"lc","txt":"LC_ITEM_monopoly_monster_board_weapon_4"}</v>
      </c>
      <c r="K949" s="148" t="str">
        <f>IFERROR(__xludf.DUMMYFUNCTION("""COMPUTED_VALUE"""),"{""typ"":""lc"",""txt"":""LC_ITEM_monopoly_monster_board_weapon_desc_2""}")</f>
        <v>{"typ":"lc","txt":"LC_ITEM_monopoly_monster_board_weapon_desc_2"}</v>
      </c>
      <c r="L949" s="148" t="str">
        <f>IFERROR(__xludf.DUMMYFUNCTION("""COMPUTED_VALUE"""),"{}")</f>
        <v>{}</v>
      </c>
      <c r="M949" s="148">
        <f>IFERROR(__xludf.DUMMYFUNCTION("""COMPUTED_VALUE"""),700.0)</f>
        <v>700</v>
      </c>
      <c r="N949" s="148">
        <f>IFERROR(__xludf.DUMMYFUNCTION("""COMPUTED_VALUE"""),9.99999999E8)</f>
        <v>999999999</v>
      </c>
      <c r="O949" s="148">
        <f>IFERROR(__xludf.DUMMYFUNCTION("""COMPUTED_VALUE"""),9.99999999E8)</f>
        <v>999999999</v>
      </c>
      <c r="P949" s="148">
        <f>IFERROR(__xludf.DUMMYFUNCTION("""COMPUTED_VALUE"""),9.99999999E8)</f>
        <v>999999999</v>
      </c>
      <c r="Q949" s="148" t="str">
        <f>IFERROR(__xludf.DUMMYFUNCTION("""COMPUTED_VALUE"""),"[]")</f>
        <v>[]</v>
      </c>
      <c r="R949" s="148" t="str">
        <f>IFERROR(__xludf.DUMMYFUNCTION("""COMPUTED_VALUE"""),"[]")</f>
        <v>[]</v>
      </c>
      <c r="S949" s="148" t="str">
        <f>IFERROR(__xludf.DUMMYFUNCTION("""COMPUTED_VALUE"""),"{}")</f>
        <v>{}</v>
      </c>
      <c r="T949" s="148">
        <f>IFERROR(__xludf.DUMMYFUNCTION("""COMPUTED_VALUE"""),1.0)</f>
        <v>1</v>
      </c>
      <c r="U949" s="148">
        <f>IFERROR(__xludf.DUMMYFUNCTION("""COMPUTED_VALUE"""),0.0)</f>
        <v>0</v>
      </c>
      <c r="V949" s="148" t="str">
        <f>IFERROR(__xludf.DUMMYFUNCTION("""COMPUTED_VALUE"""),"[]")</f>
        <v>[]</v>
      </c>
      <c r="W949" s="148">
        <f>IFERROR(__xludf.DUMMYFUNCTION("""COMPUTED_VALUE"""),1.174E7)</f>
        <v>11740000</v>
      </c>
      <c r="X949" s="148">
        <f>IFERROR(__xludf.DUMMYFUNCTION("""COMPUTED_VALUE"""),0.0)</f>
        <v>0</v>
      </c>
      <c r="Y949" s="148">
        <f>IFERROR(__xludf.DUMMYFUNCTION("""COMPUTED_VALUE"""),0.0)</f>
        <v>0</v>
      </c>
      <c r="Z949" s="148"/>
    </row>
    <row r="950">
      <c r="A950" s="148">
        <f>IFERROR(__xludf.DUMMYFUNCTION("""COMPUTED_VALUE"""),1.1112757E7)</f>
        <v>11112757</v>
      </c>
      <c r="B950" s="148" t="str">
        <f>IFERROR(__xludf.DUMMYFUNCTION("""COMPUTED_VALUE"""),"异族大富翁-格子道具-钛核拳套（物理）")</f>
        <v>异族大富翁-格子道具-钛核拳套（物理）</v>
      </c>
      <c r="C950" s="148"/>
      <c r="D950" s="148" t="str">
        <f>IFERROR(__xludf.DUMMYFUNCTION("""COMPUTED_VALUE"""),"event")</f>
        <v>event</v>
      </c>
      <c r="E950" s="148">
        <f>IFERROR(__xludf.DUMMYFUNCTION("""COMPUTED_VALUE"""),0.0)</f>
        <v>0</v>
      </c>
      <c r="F950" s="148">
        <f>IFERROR(__xludf.DUMMYFUNCTION("""COMPUTED_VALUE"""),405210.0)</f>
        <v>405210</v>
      </c>
      <c r="G950" s="148">
        <f>IFERROR(__xludf.DUMMYFUNCTION("""COMPUTED_VALUE"""),1.51104123E8)</f>
        <v>151104123</v>
      </c>
      <c r="H950" s="148">
        <f>IFERROR(__xludf.DUMMYFUNCTION("""COMPUTED_VALUE"""),1.5112564E7)</f>
        <v>15112564</v>
      </c>
      <c r="I950" s="148" t="str">
        <f>IFERROR(__xludf.DUMMYFUNCTION("""COMPUTED_VALUE"""),"{}")</f>
        <v>{}</v>
      </c>
      <c r="J950" s="148" t="str">
        <f>IFERROR(__xludf.DUMMYFUNCTION("""COMPUTED_VALUE"""),"{""typ"":""lc"",""txt"":""LC_ITEM_monopoly_monster_board_weapon_1""}")</f>
        <v>{"typ":"lc","txt":"LC_ITEM_monopoly_monster_board_weapon_1"}</v>
      </c>
      <c r="K950" s="148" t="str">
        <f>IFERROR(__xludf.DUMMYFUNCTION("""COMPUTED_VALUE"""),"{""typ"":""lc"",""txt"":""LC_ITEM_monopoly_monster_board_weapon_desc_1""}")</f>
        <v>{"typ":"lc","txt":"LC_ITEM_monopoly_monster_board_weapon_desc_1"}</v>
      </c>
      <c r="L950" s="148" t="str">
        <f>IFERROR(__xludf.DUMMYFUNCTION("""COMPUTED_VALUE"""),"{}")</f>
        <v>{}</v>
      </c>
      <c r="M950" s="148">
        <f>IFERROR(__xludf.DUMMYFUNCTION("""COMPUTED_VALUE"""),700.0)</f>
        <v>700</v>
      </c>
      <c r="N950" s="148">
        <f>IFERROR(__xludf.DUMMYFUNCTION("""COMPUTED_VALUE"""),9.99999999E8)</f>
        <v>999999999</v>
      </c>
      <c r="O950" s="148">
        <f>IFERROR(__xludf.DUMMYFUNCTION("""COMPUTED_VALUE"""),9.99999999E8)</f>
        <v>999999999</v>
      </c>
      <c r="P950" s="148">
        <f>IFERROR(__xludf.DUMMYFUNCTION("""COMPUTED_VALUE"""),9.99999999E8)</f>
        <v>999999999</v>
      </c>
      <c r="Q950" s="148" t="str">
        <f>IFERROR(__xludf.DUMMYFUNCTION("""COMPUTED_VALUE"""),"[]")</f>
        <v>[]</v>
      </c>
      <c r="R950" s="148" t="str">
        <f>IFERROR(__xludf.DUMMYFUNCTION("""COMPUTED_VALUE"""),"[]")</f>
        <v>[]</v>
      </c>
      <c r="S950" s="148" t="str">
        <f>IFERROR(__xludf.DUMMYFUNCTION("""COMPUTED_VALUE"""),"{}")</f>
        <v>{}</v>
      </c>
      <c r="T950" s="148">
        <f>IFERROR(__xludf.DUMMYFUNCTION("""COMPUTED_VALUE"""),1.0)</f>
        <v>1</v>
      </c>
      <c r="U950" s="148">
        <f>IFERROR(__xludf.DUMMYFUNCTION("""COMPUTED_VALUE"""),0.0)</f>
        <v>0</v>
      </c>
      <c r="V950" s="148" t="str">
        <f>IFERROR(__xludf.DUMMYFUNCTION("""COMPUTED_VALUE"""),"[]")</f>
        <v>[]</v>
      </c>
      <c r="W950" s="148">
        <f>IFERROR(__xludf.DUMMYFUNCTION("""COMPUTED_VALUE"""),1.174E7)</f>
        <v>11740000</v>
      </c>
      <c r="X950" s="148">
        <f>IFERROR(__xludf.DUMMYFUNCTION("""COMPUTED_VALUE"""),0.0)</f>
        <v>0</v>
      </c>
      <c r="Y950" s="148">
        <f>IFERROR(__xludf.DUMMYFUNCTION("""COMPUTED_VALUE"""),0.0)</f>
        <v>0</v>
      </c>
      <c r="Z950" s="148"/>
    </row>
    <row r="951">
      <c r="A951" s="148">
        <f>IFERROR(__xludf.DUMMYFUNCTION("""COMPUTED_VALUE"""),1.1112758E7)</f>
        <v>11112758</v>
      </c>
      <c r="B951" s="148" t="str">
        <f>IFERROR(__xludf.DUMMYFUNCTION("""COMPUTED_VALUE"""),"异族大富翁-格子道具-钛核匕首（物理）")</f>
        <v>异族大富翁-格子道具-钛核匕首（物理）</v>
      </c>
      <c r="C951" s="148"/>
      <c r="D951" s="148" t="str">
        <f>IFERROR(__xludf.DUMMYFUNCTION("""COMPUTED_VALUE"""),"event")</f>
        <v>event</v>
      </c>
      <c r="E951" s="148">
        <f>IFERROR(__xludf.DUMMYFUNCTION("""COMPUTED_VALUE"""),0.0)</f>
        <v>0</v>
      </c>
      <c r="F951" s="148">
        <f>IFERROR(__xludf.DUMMYFUNCTION("""COMPUTED_VALUE"""),405210.0)</f>
        <v>405210</v>
      </c>
      <c r="G951" s="148">
        <f>IFERROR(__xludf.DUMMYFUNCTION("""COMPUTED_VALUE"""),1.51104124E8)</f>
        <v>151104124</v>
      </c>
      <c r="H951" s="148">
        <f>IFERROR(__xludf.DUMMYFUNCTION("""COMPUTED_VALUE"""),1.5112564E7)</f>
        <v>15112564</v>
      </c>
      <c r="I951" s="148" t="str">
        <f>IFERROR(__xludf.DUMMYFUNCTION("""COMPUTED_VALUE"""),"{}")</f>
        <v>{}</v>
      </c>
      <c r="J951" s="148" t="str">
        <f>IFERROR(__xludf.DUMMYFUNCTION("""COMPUTED_VALUE"""),"{""typ"":""lc"",""txt"":""LC_ITEM_monopoly_monster_board_weapon_2""}")</f>
        <v>{"typ":"lc","txt":"LC_ITEM_monopoly_monster_board_weapon_2"}</v>
      </c>
      <c r="K951" s="148" t="str">
        <f>IFERROR(__xludf.DUMMYFUNCTION("""COMPUTED_VALUE"""),"{""typ"":""lc"",""txt"":""LC_ITEM_monopoly_monster_board_weapon_desc_1""}")</f>
        <v>{"typ":"lc","txt":"LC_ITEM_monopoly_monster_board_weapon_desc_1"}</v>
      </c>
      <c r="L951" s="148" t="str">
        <f>IFERROR(__xludf.DUMMYFUNCTION("""COMPUTED_VALUE"""),"{}")</f>
        <v>{}</v>
      </c>
      <c r="M951" s="148">
        <f>IFERROR(__xludf.DUMMYFUNCTION("""COMPUTED_VALUE"""),700.0)</f>
        <v>700</v>
      </c>
      <c r="N951" s="148">
        <f>IFERROR(__xludf.DUMMYFUNCTION("""COMPUTED_VALUE"""),9.99999999E8)</f>
        <v>999999999</v>
      </c>
      <c r="O951" s="148">
        <f>IFERROR(__xludf.DUMMYFUNCTION("""COMPUTED_VALUE"""),9.99999999E8)</f>
        <v>999999999</v>
      </c>
      <c r="P951" s="148">
        <f>IFERROR(__xludf.DUMMYFUNCTION("""COMPUTED_VALUE"""),9.99999999E8)</f>
        <v>999999999</v>
      </c>
      <c r="Q951" s="148" t="str">
        <f>IFERROR(__xludf.DUMMYFUNCTION("""COMPUTED_VALUE"""),"[]")</f>
        <v>[]</v>
      </c>
      <c r="R951" s="148" t="str">
        <f>IFERROR(__xludf.DUMMYFUNCTION("""COMPUTED_VALUE"""),"[]")</f>
        <v>[]</v>
      </c>
      <c r="S951" s="148" t="str">
        <f>IFERROR(__xludf.DUMMYFUNCTION("""COMPUTED_VALUE"""),"{}")</f>
        <v>{}</v>
      </c>
      <c r="T951" s="148">
        <f>IFERROR(__xludf.DUMMYFUNCTION("""COMPUTED_VALUE"""),1.0)</f>
        <v>1</v>
      </c>
      <c r="U951" s="148">
        <f>IFERROR(__xludf.DUMMYFUNCTION("""COMPUTED_VALUE"""),0.0)</f>
        <v>0</v>
      </c>
      <c r="V951" s="148" t="str">
        <f>IFERROR(__xludf.DUMMYFUNCTION("""COMPUTED_VALUE"""),"[]")</f>
        <v>[]</v>
      </c>
      <c r="W951" s="148">
        <f>IFERROR(__xludf.DUMMYFUNCTION("""COMPUTED_VALUE"""),1.174E7)</f>
        <v>11740000</v>
      </c>
      <c r="X951" s="148">
        <f>IFERROR(__xludf.DUMMYFUNCTION("""COMPUTED_VALUE"""),0.0)</f>
        <v>0</v>
      </c>
      <c r="Y951" s="148">
        <f>IFERROR(__xludf.DUMMYFUNCTION("""COMPUTED_VALUE"""),0.0)</f>
        <v>0</v>
      </c>
      <c r="Z951" s="148"/>
    </row>
    <row r="952">
      <c r="A952" s="148">
        <f>IFERROR(__xludf.DUMMYFUNCTION("""COMPUTED_VALUE"""),1.1112759E7)</f>
        <v>11112759</v>
      </c>
      <c r="B952" s="148" t="str">
        <f>IFERROR(__xludf.DUMMYFUNCTION("""COMPUTED_VALUE"""),"异族大富翁-格子道具-钛核飞刃（物理）")</f>
        <v>异族大富翁-格子道具-钛核飞刃（物理）</v>
      </c>
      <c r="C952" s="148"/>
      <c r="D952" s="148" t="str">
        <f>IFERROR(__xludf.DUMMYFUNCTION("""COMPUTED_VALUE"""),"event")</f>
        <v>event</v>
      </c>
      <c r="E952" s="148">
        <f>IFERROR(__xludf.DUMMYFUNCTION("""COMPUTED_VALUE"""),0.0)</f>
        <v>0</v>
      </c>
      <c r="F952" s="148">
        <f>IFERROR(__xludf.DUMMYFUNCTION("""COMPUTED_VALUE"""),405210.0)</f>
        <v>405210</v>
      </c>
      <c r="G952" s="148">
        <f>IFERROR(__xludf.DUMMYFUNCTION("""COMPUTED_VALUE"""),1.51104125E8)</f>
        <v>151104125</v>
      </c>
      <c r="H952" s="148">
        <f>IFERROR(__xludf.DUMMYFUNCTION("""COMPUTED_VALUE"""),1.5112564E7)</f>
        <v>15112564</v>
      </c>
      <c r="I952" s="148" t="str">
        <f>IFERROR(__xludf.DUMMYFUNCTION("""COMPUTED_VALUE"""),"{}")</f>
        <v>{}</v>
      </c>
      <c r="J952" s="148" t="str">
        <f>IFERROR(__xludf.DUMMYFUNCTION("""COMPUTED_VALUE"""),"{""typ"":""lc"",""txt"":""LC_ITEM_monopoly_monster_board_weapon_3""}")</f>
        <v>{"typ":"lc","txt":"LC_ITEM_monopoly_monster_board_weapon_3"}</v>
      </c>
      <c r="K952" s="148" t="str">
        <f>IFERROR(__xludf.DUMMYFUNCTION("""COMPUTED_VALUE"""),"{""typ"":""lc"",""txt"":""LC_ITEM_monopoly_monster_board_weapon_desc_1""}")</f>
        <v>{"typ":"lc","txt":"LC_ITEM_monopoly_monster_board_weapon_desc_1"}</v>
      </c>
      <c r="L952" s="148" t="str">
        <f>IFERROR(__xludf.DUMMYFUNCTION("""COMPUTED_VALUE"""),"{}")</f>
        <v>{}</v>
      </c>
      <c r="M952" s="148">
        <f>IFERROR(__xludf.DUMMYFUNCTION("""COMPUTED_VALUE"""),700.0)</f>
        <v>700</v>
      </c>
      <c r="N952" s="148">
        <f>IFERROR(__xludf.DUMMYFUNCTION("""COMPUTED_VALUE"""),9.99999999E8)</f>
        <v>999999999</v>
      </c>
      <c r="O952" s="148">
        <f>IFERROR(__xludf.DUMMYFUNCTION("""COMPUTED_VALUE"""),9.99999999E8)</f>
        <v>999999999</v>
      </c>
      <c r="P952" s="148">
        <f>IFERROR(__xludf.DUMMYFUNCTION("""COMPUTED_VALUE"""),9.99999999E8)</f>
        <v>999999999</v>
      </c>
      <c r="Q952" s="148" t="str">
        <f>IFERROR(__xludf.DUMMYFUNCTION("""COMPUTED_VALUE"""),"[]")</f>
        <v>[]</v>
      </c>
      <c r="R952" s="148" t="str">
        <f>IFERROR(__xludf.DUMMYFUNCTION("""COMPUTED_VALUE"""),"[]")</f>
        <v>[]</v>
      </c>
      <c r="S952" s="148" t="str">
        <f>IFERROR(__xludf.DUMMYFUNCTION("""COMPUTED_VALUE"""),"{}")</f>
        <v>{}</v>
      </c>
      <c r="T952" s="148">
        <f>IFERROR(__xludf.DUMMYFUNCTION("""COMPUTED_VALUE"""),1.0)</f>
        <v>1</v>
      </c>
      <c r="U952" s="148">
        <f>IFERROR(__xludf.DUMMYFUNCTION("""COMPUTED_VALUE"""),0.0)</f>
        <v>0</v>
      </c>
      <c r="V952" s="148" t="str">
        <f>IFERROR(__xludf.DUMMYFUNCTION("""COMPUTED_VALUE"""),"[]")</f>
        <v>[]</v>
      </c>
      <c r="W952" s="148">
        <f>IFERROR(__xludf.DUMMYFUNCTION("""COMPUTED_VALUE"""),1.174E7)</f>
        <v>11740000</v>
      </c>
      <c r="X952" s="148">
        <f>IFERROR(__xludf.DUMMYFUNCTION("""COMPUTED_VALUE"""),0.0)</f>
        <v>0</v>
      </c>
      <c r="Y952" s="148">
        <f>IFERROR(__xludf.DUMMYFUNCTION("""COMPUTED_VALUE"""),0.0)</f>
        <v>0</v>
      </c>
      <c r="Z952" s="148"/>
    </row>
    <row r="953">
      <c r="A953" s="148">
        <f>IFERROR(__xludf.DUMMYFUNCTION("""COMPUTED_VALUE"""),1.111276E7)</f>
        <v>11112760</v>
      </c>
      <c r="B953" s="148" t="str">
        <f>IFERROR(__xludf.DUMMYFUNCTION("""COMPUTED_VALUE"""),"异族大富翁-格子道具-焰核试弹（火）")</f>
        <v>异族大富翁-格子道具-焰核试弹（火）</v>
      </c>
      <c r="C953" s="148"/>
      <c r="D953" s="148" t="str">
        <f>IFERROR(__xludf.DUMMYFUNCTION("""COMPUTED_VALUE"""),"event")</f>
        <v>event</v>
      </c>
      <c r="E953" s="148">
        <f>IFERROR(__xludf.DUMMYFUNCTION("""COMPUTED_VALUE"""),0.0)</f>
        <v>0</v>
      </c>
      <c r="F953" s="148">
        <f>IFERROR(__xludf.DUMMYFUNCTION("""COMPUTED_VALUE"""),405210.0)</f>
        <v>405210</v>
      </c>
      <c r="G953" s="148">
        <f>IFERROR(__xludf.DUMMYFUNCTION("""COMPUTED_VALUE"""),1.51104128E8)</f>
        <v>151104128</v>
      </c>
      <c r="H953" s="148">
        <f>IFERROR(__xludf.DUMMYFUNCTION("""COMPUTED_VALUE"""),1.5112564E7)</f>
        <v>15112564</v>
      </c>
      <c r="I953" s="148" t="str">
        <f>IFERROR(__xludf.DUMMYFUNCTION("""COMPUTED_VALUE"""),"{}")</f>
        <v>{}</v>
      </c>
      <c r="J953" s="148" t="str">
        <f>IFERROR(__xludf.DUMMYFUNCTION("""COMPUTED_VALUE"""),"{""typ"":""lc"",""txt"":""LC_ITEM_monopoly_monster_board_fire""}")</f>
        <v>{"typ":"lc","txt":"LC_ITEM_monopoly_monster_board_fire"}</v>
      </c>
      <c r="K953" s="148" t="str">
        <f>IFERROR(__xludf.DUMMYFUNCTION("""COMPUTED_VALUE"""),"{""typ"":""lc"",""txt"":""LC_ITEM_monopoly_monster_board_fire_desc""}")</f>
        <v>{"typ":"lc","txt":"LC_ITEM_monopoly_monster_board_fire_desc"}</v>
      </c>
      <c r="L953" s="148" t="str">
        <f>IFERROR(__xludf.DUMMYFUNCTION("""COMPUTED_VALUE"""),"{}")</f>
        <v>{}</v>
      </c>
      <c r="M953" s="148">
        <f>IFERROR(__xludf.DUMMYFUNCTION("""COMPUTED_VALUE"""),700.0)</f>
        <v>700</v>
      </c>
      <c r="N953" s="148">
        <f>IFERROR(__xludf.DUMMYFUNCTION("""COMPUTED_VALUE"""),9.99999999E8)</f>
        <v>999999999</v>
      </c>
      <c r="O953" s="148">
        <f>IFERROR(__xludf.DUMMYFUNCTION("""COMPUTED_VALUE"""),9.99999999E8)</f>
        <v>999999999</v>
      </c>
      <c r="P953" s="148">
        <f>IFERROR(__xludf.DUMMYFUNCTION("""COMPUTED_VALUE"""),9.99999999E8)</f>
        <v>999999999</v>
      </c>
      <c r="Q953" s="148" t="str">
        <f>IFERROR(__xludf.DUMMYFUNCTION("""COMPUTED_VALUE"""),"[]")</f>
        <v>[]</v>
      </c>
      <c r="R953" s="148" t="str">
        <f>IFERROR(__xludf.DUMMYFUNCTION("""COMPUTED_VALUE"""),"[]")</f>
        <v>[]</v>
      </c>
      <c r="S953" s="148" t="str">
        <f>IFERROR(__xludf.DUMMYFUNCTION("""COMPUTED_VALUE"""),"{}")</f>
        <v>{}</v>
      </c>
      <c r="T953" s="148">
        <f>IFERROR(__xludf.DUMMYFUNCTION("""COMPUTED_VALUE"""),1.0)</f>
        <v>1</v>
      </c>
      <c r="U953" s="148">
        <f>IFERROR(__xludf.DUMMYFUNCTION("""COMPUTED_VALUE"""),0.0)</f>
        <v>0</v>
      </c>
      <c r="V953" s="148" t="str">
        <f>IFERROR(__xludf.DUMMYFUNCTION("""COMPUTED_VALUE"""),"[]")</f>
        <v>[]</v>
      </c>
      <c r="W953" s="148">
        <f>IFERROR(__xludf.DUMMYFUNCTION("""COMPUTED_VALUE"""),1.174E7)</f>
        <v>11740000</v>
      </c>
      <c r="X953" s="148">
        <f>IFERROR(__xludf.DUMMYFUNCTION("""COMPUTED_VALUE"""),0.0)</f>
        <v>0</v>
      </c>
      <c r="Y953" s="148">
        <f>IFERROR(__xludf.DUMMYFUNCTION("""COMPUTED_VALUE"""),0.0)</f>
        <v>0</v>
      </c>
      <c r="Z953" s="148"/>
    </row>
    <row r="954">
      <c r="A954" s="148">
        <f>IFERROR(__xludf.DUMMYFUNCTION("""COMPUTED_VALUE"""),1.1112761E7)</f>
        <v>11112761</v>
      </c>
      <c r="B954" s="148" t="str">
        <f>IFERROR(__xludf.DUMMYFUNCTION("""COMPUTED_VALUE"""),"异族大富翁-格子道具-冰核手枪（冰）")</f>
        <v>异族大富翁-格子道具-冰核手枪（冰）</v>
      </c>
      <c r="C954" s="148"/>
      <c r="D954" s="148" t="str">
        <f>IFERROR(__xludf.DUMMYFUNCTION("""COMPUTED_VALUE"""),"event")</f>
        <v>event</v>
      </c>
      <c r="E954" s="148">
        <f>IFERROR(__xludf.DUMMYFUNCTION("""COMPUTED_VALUE"""),0.0)</f>
        <v>0</v>
      </c>
      <c r="F954" s="148">
        <f>IFERROR(__xludf.DUMMYFUNCTION("""COMPUTED_VALUE"""),405210.0)</f>
        <v>405210</v>
      </c>
      <c r="G954" s="148">
        <f>IFERROR(__xludf.DUMMYFUNCTION("""COMPUTED_VALUE"""),1.51104127E8)</f>
        <v>151104127</v>
      </c>
      <c r="H954" s="148">
        <f>IFERROR(__xludf.DUMMYFUNCTION("""COMPUTED_VALUE"""),1.5112564E7)</f>
        <v>15112564</v>
      </c>
      <c r="I954" s="148" t="str">
        <f>IFERROR(__xludf.DUMMYFUNCTION("""COMPUTED_VALUE"""),"{}")</f>
        <v>{}</v>
      </c>
      <c r="J954" s="148" t="str">
        <f>IFERROR(__xludf.DUMMYFUNCTION("""COMPUTED_VALUE"""),"{""typ"":""lc"",""txt"":""LC_ITEM_monopoly_monster_board_ice""}")</f>
        <v>{"typ":"lc","txt":"LC_ITEM_monopoly_monster_board_ice"}</v>
      </c>
      <c r="K954" s="148" t="str">
        <f>IFERROR(__xludf.DUMMYFUNCTION("""COMPUTED_VALUE"""),"{""typ"":""lc"",""txt"":""LC_ITEM_monopoly_monster_board_ice_desc""}")</f>
        <v>{"typ":"lc","txt":"LC_ITEM_monopoly_monster_board_ice_desc"}</v>
      </c>
      <c r="L954" s="148" t="str">
        <f>IFERROR(__xludf.DUMMYFUNCTION("""COMPUTED_VALUE"""),"{}")</f>
        <v>{}</v>
      </c>
      <c r="M954" s="148">
        <f>IFERROR(__xludf.DUMMYFUNCTION("""COMPUTED_VALUE"""),700.0)</f>
        <v>700</v>
      </c>
      <c r="N954" s="148">
        <f>IFERROR(__xludf.DUMMYFUNCTION("""COMPUTED_VALUE"""),9.99999999E8)</f>
        <v>999999999</v>
      </c>
      <c r="O954" s="148">
        <f>IFERROR(__xludf.DUMMYFUNCTION("""COMPUTED_VALUE"""),9.99999999E8)</f>
        <v>999999999</v>
      </c>
      <c r="P954" s="148">
        <f>IFERROR(__xludf.DUMMYFUNCTION("""COMPUTED_VALUE"""),9.99999999E8)</f>
        <v>999999999</v>
      </c>
      <c r="Q954" s="148" t="str">
        <f>IFERROR(__xludf.DUMMYFUNCTION("""COMPUTED_VALUE"""),"[]")</f>
        <v>[]</v>
      </c>
      <c r="R954" s="148" t="str">
        <f>IFERROR(__xludf.DUMMYFUNCTION("""COMPUTED_VALUE"""),"[]")</f>
        <v>[]</v>
      </c>
      <c r="S954" s="148" t="str">
        <f>IFERROR(__xludf.DUMMYFUNCTION("""COMPUTED_VALUE"""),"{}")</f>
        <v>{}</v>
      </c>
      <c r="T954" s="148">
        <f>IFERROR(__xludf.DUMMYFUNCTION("""COMPUTED_VALUE"""),1.0)</f>
        <v>1</v>
      </c>
      <c r="U954" s="148">
        <f>IFERROR(__xludf.DUMMYFUNCTION("""COMPUTED_VALUE"""),0.0)</f>
        <v>0</v>
      </c>
      <c r="V954" s="148" t="str">
        <f>IFERROR(__xludf.DUMMYFUNCTION("""COMPUTED_VALUE"""),"[]")</f>
        <v>[]</v>
      </c>
      <c r="W954" s="148">
        <f>IFERROR(__xludf.DUMMYFUNCTION("""COMPUTED_VALUE"""),1.174E7)</f>
        <v>11740000</v>
      </c>
      <c r="X954" s="148">
        <f>IFERROR(__xludf.DUMMYFUNCTION("""COMPUTED_VALUE"""),0.0)</f>
        <v>0</v>
      </c>
      <c r="Y954" s="148">
        <f>IFERROR(__xludf.DUMMYFUNCTION("""COMPUTED_VALUE"""),0.0)</f>
        <v>0</v>
      </c>
      <c r="Z954" s="148"/>
    </row>
    <row r="955">
      <c r="A955" s="148">
        <f>IFERROR(__xludf.DUMMYFUNCTION("""COMPUTED_VALUE"""),1.1112762E7)</f>
        <v>11112762</v>
      </c>
      <c r="B955" s="148" t="str">
        <f>IFERROR(__xludf.DUMMYFUNCTION("""COMPUTED_VALUE"""),"异族大富翁-格子道具-物理强化")</f>
        <v>异族大富翁-格子道具-物理强化</v>
      </c>
      <c r="C955" s="148"/>
      <c r="D955" s="148" t="str">
        <f>IFERROR(__xludf.DUMMYFUNCTION("""COMPUTED_VALUE"""),"event")</f>
        <v>event</v>
      </c>
      <c r="E955" s="148">
        <f>IFERROR(__xludf.DUMMYFUNCTION("""COMPUTED_VALUE"""),0.0)</f>
        <v>0</v>
      </c>
      <c r="F955" s="148">
        <f>IFERROR(__xludf.DUMMYFUNCTION("""COMPUTED_VALUE"""),405210.0)</f>
        <v>405210</v>
      </c>
      <c r="G955" s="148">
        <f>IFERROR(__xludf.DUMMYFUNCTION("""COMPUTED_VALUE"""),1.51104133E8)</f>
        <v>151104133</v>
      </c>
      <c r="H955" s="148">
        <f>IFERROR(__xludf.DUMMYFUNCTION("""COMPUTED_VALUE"""),1.5112564E7)</f>
        <v>15112564</v>
      </c>
      <c r="I955" s="148" t="str">
        <f>IFERROR(__xludf.DUMMYFUNCTION("""COMPUTED_VALUE"""),"{}")</f>
        <v>{}</v>
      </c>
      <c r="J955" s="148" t="str">
        <f>IFERROR(__xludf.DUMMYFUNCTION("""COMPUTED_VALUE"""),"{""typ"":""lc"",""txt"":""LC_ITEM_monopoly_monster_board_weapon_upgrade""}")</f>
        <v>{"typ":"lc","txt":"LC_ITEM_monopoly_monster_board_weapon_upgrade"}</v>
      </c>
      <c r="K955" s="148" t="str">
        <f>IFERROR(__xludf.DUMMYFUNCTION("""COMPUTED_VALUE"""),"{""typ"":""lc"",""txt"":""LC_ITEM_monopoly_monster_board_weapon_upgrade_desc""}")</f>
        <v>{"typ":"lc","txt":"LC_ITEM_monopoly_monster_board_weapon_upgrade_desc"}</v>
      </c>
      <c r="L955" s="148" t="str">
        <f>IFERROR(__xludf.DUMMYFUNCTION("""COMPUTED_VALUE"""),"{}")</f>
        <v>{}</v>
      </c>
      <c r="M955" s="148">
        <f>IFERROR(__xludf.DUMMYFUNCTION("""COMPUTED_VALUE"""),700.0)</f>
        <v>700</v>
      </c>
      <c r="N955" s="148">
        <f>IFERROR(__xludf.DUMMYFUNCTION("""COMPUTED_VALUE"""),9.99999999E8)</f>
        <v>999999999</v>
      </c>
      <c r="O955" s="148">
        <f>IFERROR(__xludf.DUMMYFUNCTION("""COMPUTED_VALUE"""),9.99999999E8)</f>
        <v>999999999</v>
      </c>
      <c r="P955" s="148">
        <f>IFERROR(__xludf.DUMMYFUNCTION("""COMPUTED_VALUE"""),9.99999999E8)</f>
        <v>999999999</v>
      </c>
      <c r="Q955" s="148" t="str">
        <f>IFERROR(__xludf.DUMMYFUNCTION("""COMPUTED_VALUE"""),"[]")</f>
        <v>[]</v>
      </c>
      <c r="R955" s="148" t="str">
        <f>IFERROR(__xludf.DUMMYFUNCTION("""COMPUTED_VALUE"""),"[]")</f>
        <v>[]</v>
      </c>
      <c r="S955" s="148" t="str">
        <f>IFERROR(__xludf.DUMMYFUNCTION("""COMPUTED_VALUE"""),"{}")</f>
        <v>{}</v>
      </c>
      <c r="T955" s="148">
        <f>IFERROR(__xludf.DUMMYFUNCTION("""COMPUTED_VALUE"""),1.0)</f>
        <v>1</v>
      </c>
      <c r="U955" s="148">
        <f>IFERROR(__xludf.DUMMYFUNCTION("""COMPUTED_VALUE"""),0.0)</f>
        <v>0</v>
      </c>
      <c r="V955" s="148" t="str">
        <f>IFERROR(__xludf.DUMMYFUNCTION("""COMPUTED_VALUE"""),"[]")</f>
        <v>[]</v>
      </c>
      <c r="W955" s="148">
        <f>IFERROR(__xludf.DUMMYFUNCTION("""COMPUTED_VALUE"""),1.174E7)</f>
        <v>11740000</v>
      </c>
      <c r="X955" s="148">
        <f>IFERROR(__xludf.DUMMYFUNCTION("""COMPUTED_VALUE"""),0.0)</f>
        <v>0</v>
      </c>
      <c r="Y955" s="148">
        <f>IFERROR(__xludf.DUMMYFUNCTION("""COMPUTED_VALUE"""),0.0)</f>
        <v>0</v>
      </c>
      <c r="Z955" s="148"/>
    </row>
    <row r="956">
      <c r="A956" s="148">
        <f>IFERROR(__xludf.DUMMYFUNCTION("""COMPUTED_VALUE"""),1.1112763E7)</f>
        <v>11112763</v>
      </c>
      <c r="B956" s="148" t="str">
        <f>IFERROR(__xludf.DUMMYFUNCTION("""COMPUTED_VALUE"""),"异族大富翁-格子道具-冰火强化")</f>
        <v>异族大富翁-格子道具-冰火强化</v>
      </c>
      <c r="C956" s="148"/>
      <c r="D956" s="148" t="str">
        <f>IFERROR(__xludf.DUMMYFUNCTION("""COMPUTED_VALUE"""),"event")</f>
        <v>event</v>
      </c>
      <c r="E956" s="148">
        <f>IFERROR(__xludf.DUMMYFUNCTION("""COMPUTED_VALUE"""),0.0)</f>
        <v>0</v>
      </c>
      <c r="F956" s="148">
        <f>IFERROR(__xludf.DUMMYFUNCTION("""COMPUTED_VALUE"""),405210.0)</f>
        <v>405210</v>
      </c>
      <c r="G956" s="148">
        <f>IFERROR(__xludf.DUMMYFUNCTION("""COMPUTED_VALUE"""),1.51104136E8)</f>
        <v>151104136</v>
      </c>
      <c r="H956" s="148">
        <f>IFERROR(__xludf.DUMMYFUNCTION("""COMPUTED_VALUE"""),1.5112564E7)</f>
        <v>15112564</v>
      </c>
      <c r="I956" s="148" t="str">
        <f>IFERROR(__xludf.DUMMYFUNCTION("""COMPUTED_VALUE"""),"{}")</f>
        <v>{}</v>
      </c>
      <c r="J956" s="148" t="str">
        <f>IFERROR(__xludf.DUMMYFUNCTION("""COMPUTED_VALUE"""),"{""typ"":""lc"",""txt"":""LC_ITEM_monopoly_monster_board_icefire_upgrade""}")</f>
        <v>{"typ":"lc","txt":"LC_ITEM_monopoly_monster_board_icefire_upgrade"}</v>
      </c>
      <c r="K956" s="148" t="str">
        <f>IFERROR(__xludf.DUMMYFUNCTION("""COMPUTED_VALUE"""),"{""typ"":""lc"",""txt"":""LC_ITEM_monopoly_monster_board_icefire_upgrade_desc""}")</f>
        <v>{"typ":"lc","txt":"LC_ITEM_monopoly_monster_board_icefire_upgrade_desc"}</v>
      </c>
      <c r="L956" s="148" t="str">
        <f>IFERROR(__xludf.DUMMYFUNCTION("""COMPUTED_VALUE"""),"{}")</f>
        <v>{}</v>
      </c>
      <c r="M956" s="148">
        <f>IFERROR(__xludf.DUMMYFUNCTION("""COMPUTED_VALUE"""),700.0)</f>
        <v>700</v>
      </c>
      <c r="N956" s="148">
        <f>IFERROR(__xludf.DUMMYFUNCTION("""COMPUTED_VALUE"""),9.99999999E8)</f>
        <v>999999999</v>
      </c>
      <c r="O956" s="148">
        <f>IFERROR(__xludf.DUMMYFUNCTION("""COMPUTED_VALUE"""),9.99999999E8)</f>
        <v>999999999</v>
      </c>
      <c r="P956" s="148">
        <f>IFERROR(__xludf.DUMMYFUNCTION("""COMPUTED_VALUE"""),9.99999999E8)</f>
        <v>999999999</v>
      </c>
      <c r="Q956" s="148" t="str">
        <f>IFERROR(__xludf.DUMMYFUNCTION("""COMPUTED_VALUE"""),"[]")</f>
        <v>[]</v>
      </c>
      <c r="R956" s="148" t="str">
        <f>IFERROR(__xludf.DUMMYFUNCTION("""COMPUTED_VALUE"""),"[]")</f>
        <v>[]</v>
      </c>
      <c r="S956" s="148" t="str">
        <f>IFERROR(__xludf.DUMMYFUNCTION("""COMPUTED_VALUE"""),"{}")</f>
        <v>{}</v>
      </c>
      <c r="T956" s="148">
        <f>IFERROR(__xludf.DUMMYFUNCTION("""COMPUTED_VALUE"""),1.0)</f>
        <v>1</v>
      </c>
      <c r="U956" s="148">
        <f>IFERROR(__xludf.DUMMYFUNCTION("""COMPUTED_VALUE"""),0.0)</f>
        <v>0</v>
      </c>
      <c r="V956" s="148" t="str">
        <f>IFERROR(__xludf.DUMMYFUNCTION("""COMPUTED_VALUE"""),"[]")</f>
        <v>[]</v>
      </c>
      <c r="W956" s="148">
        <f>IFERROR(__xludf.DUMMYFUNCTION("""COMPUTED_VALUE"""),1.174E7)</f>
        <v>11740000</v>
      </c>
      <c r="X956" s="148">
        <f>IFERROR(__xludf.DUMMYFUNCTION("""COMPUTED_VALUE"""),0.0)</f>
        <v>0</v>
      </c>
      <c r="Y956" s="148">
        <f>IFERROR(__xludf.DUMMYFUNCTION("""COMPUTED_VALUE"""),0.0)</f>
        <v>0</v>
      </c>
      <c r="Z956" s="148"/>
    </row>
    <row r="957">
      <c r="A957" s="148">
        <f>IFERROR(__xludf.DUMMYFUNCTION("""COMPUTED_VALUE"""),1.1112764E7)</f>
        <v>11112764</v>
      </c>
      <c r="B957" s="148" t="str">
        <f>IFERROR(__xludf.DUMMYFUNCTION("""COMPUTED_VALUE"""),"异族大富翁-格子道具-回复强化")</f>
        <v>异族大富翁-格子道具-回复强化</v>
      </c>
      <c r="C957" s="148"/>
      <c r="D957" s="148" t="str">
        <f>IFERROR(__xludf.DUMMYFUNCTION("""COMPUTED_VALUE"""),"event")</f>
        <v>event</v>
      </c>
      <c r="E957" s="148">
        <f>IFERROR(__xludf.DUMMYFUNCTION("""COMPUTED_VALUE"""),0.0)</f>
        <v>0</v>
      </c>
      <c r="F957" s="148">
        <f>IFERROR(__xludf.DUMMYFUNCTION("""COMPUTED_VALUE"""),405210.0)</f>
        <v>405210</v>
      </c>
      <c r="G957" s="148">
        <f>IFERROR(__xludf.DUMMYFUNCTION("""COMPUTED_VALUE"""),1.51104137E8)</f>
        <v>151104137</v>
      </c>
      <c r="H957" s="148">
        <f>IFERROR(__xludf.DUMMYFUNCTION("""COMPUTED_VALUE"""),1.5112564E7)</f>
        <v>15112564</v>
      </c>
      <c r="I957" s="148" t="str">
        <f>IFERROR(__xludf.DUMMYFUNCTION("""COMPUTED_VALUE"""),"{}")</f>
        <v>{}</v>
      </c>
      <c r="J957" s="148" t="str">
        <f>IFERROR(__xludf.DUMMYFUNCTION("""COMPUTED_VALUE"""),"{""typ"":""lc"",""txt"":""LC_ITEM_monopoly_monster_board_recover_upgrade""}")</f>
        <v>{"typ":"lc","txt":"LC_ITEM_monopoly_monster_board_recover_upgrade"}</v>
      </c>
      <c r="K957" s="148" t="str">
        <f>IFERROR(__xludf.DUMMYFUNCTION("""COMPUTED_VALUE"""),"{""typ"":""lc"",""txt"":""LC_ITEM_monopoly_monster_board_recover_upgrade_desc""}")</f>
        <v>{"typ":"lc","txt":"LC_ITEM_monopoly_monster_board_recover_upgrade_desc"}</v>
      </c>
      <c r="L957" s="148" t="str">
        <f>IFERROR(__xludf.DUMMYFUNCTION("""COMPUTED_VALUE"""),"{}")</f>
        <v>{}</v>
      </c>
      <c r="M957" s="148">
        <f>IFERROR(__xludf.DUMMYFUNCTION("""COMPUTED_VALUE"""),700.0)</f>
        <v>700</v>
      </c>
      <c r="N957" s="148">
        <f>IFERROR(__xludf.DUMMYFUNCTION("""COMPUTED_VALUE"""),9.99999999E8)</f>
        <v>999999999</v>
      </c>
      <c r="O957" s="148">
        <f>IFERROR(__xludf.DUMMYFUNCTION("""COMPUTED_VALUE"""),9.99999999E8)</f>
        <v>999999999</v>
      </c>
      <c r="P957" s="148">
        <f>IFERROR(__xludf.DUMMYFUNCTION("""COMPUTED_VALUE"""),9.99999999E8)</f>
        <v>999999999</v>
      </c>
      <c r="Q957" s="148" t="str">
        <f>IFERROR(__xludf.DUMMYFUNCTION("""COMPUTED_VALUE"""),"[]")</f>
        <v>[]</v>
      </c>
      <c r="R957" s="148" t="str">
        <f>IFERROR(__xludf.DUMMYFUNCTION("""COMPUTED_VALUE"""),"[]")</f>
        <v>[]</v>
      </c>
      <c r="S957" s="148" t="str">
        <f>IFERROR(__xludf.DUMMYFUNCTION("""COMPUTED_VALUE"""),"{}")</f>
        <v>{}</v>
      </c>
      <c r="T957" s="148">
        <f>IFERROR(__xludf.DUMMYFUNCTION("""COMPUTED_VALUE"""),1.0)</f>
        <v>1</v>
      </c>
      <c r="U957" s="148">
        <f>IFERROR(__xludf.DUMMYFUNCTION("""COMPUTED_VALUE"""),0.0)</f>
        <v>0</v>
      </c>
      <c r="V957" s="148" t="str">
        <f>IFERROR(__xludf.DUMMYFUNCTION("""COMPUTED_VALUE"""),"[]")</f>
        <v>[]</v>
      </c>
      <c r="W957" s="148">
        <f>IFERROR(__xludf.DUMMYFUNCTION("""COMPUTED_VALUE"""),1.174E7)</f>
        <v>11740000</v>
      </c>
      <c r="X957" s="148">
        <f>IFERROR(__xludf.DUMMYFUNCTION("""COMPUTED_VALUE"""),0.0)</f>
        <v>0</v>
      </c>
      <c r="Y957" s="148">
        <f>IFERROR(__xludf.DUMMYFUNCTION("""COMPUTED_VALUE"""),0.0)</f>
        <v>0</v>
      </c>
      <c r="Z957" s="148"/>
    </row>
    <row r="958">
      <c r="A958" s="148">
        <f>IFERROR(__xludf.DUMMYFUNCTION("""COMPUTED_VALUE"""),1.1112765E7)</f>
        <v>11112765</v>
      </c>
      <c r="B958" s="148" t="str">
        <f>IFERROR(__xludf.DUMMYFUNCTION("""COMPUTED_VALUE"""),"异族大富翁-普通骰子")</f>
        <v>异族大富翁-普通骰子</v>
      </c>
      <c r="C958" s="148"/>
      <c r="D958" s="148" t="str">
        <f>IFERROR(__xludf.DUMMYFUNCTION("""COMPUTED_VALUE"""),"event")</f>
        <v>event</v>
      </c>
      <c r="E958" s="148">
        <f>IFERROR(__xludf.DUMMYFUNCTION("""COMPUTED_VALUE"""),0.0)</f>
        <v>0</v>
      </c>
      <c r="F958" s="148">
        <f>IFERROR(__xludf.DUMMYFUNCTION("""COMPUTED_VALUE"""),405210.0)</f>
        <v>405210</v>
      </c>
      <c r="G958" s="148">
        <f>IFERROR(__xludf.DUMMYFUNCTION("""COMPUTED_VALUE"""),1.51104138E8)</f>
        <v>151104138</v>
      </c>
      <c r="H958" s="148">
        <f>IFERROR(__xludf.DUMMYFUNCTION("""COMPUTED_VALUE"""),1.5112564E7)</f>
        <v>15112564</v>
      </c>
      <c r="I958" s="148" t="str">
        <f>IFERROR(__xludf.DUMMYFUNCTION("""COMPUTED_VALUE"""),"{}")</f>
        <v>{}</v>
      </c>
      <c r="J958" s="148" t="str">
        <f>IFERROR(__xludf.DUMMYFUNCTION("""COMPUTED_VALUE"""),"{""typ"":""lc"",""txt"":""LC_ITEM_monopoly_monster_dice""}")</f>
        <v>{"typ":"lc","txt":"LC_ITEM_monopoly_monster_dice"}</v>
      </c>
      <c r="K958" s="148" t="str">
        <f>IFERROR(__xludf.DUMMYFUNCTION("""COMPUTED_VALUE"""),"{""typ"":""lc"",""txt"":""LC_ITEM_monopoly_monster_dice_desc""}")</f>
        <v>{"typ":"lc","txt":"LC_ITEM_monopoly_monster_dice_desc"}</v>
      </c>
      <c r="L958" s="148" t="str">
        <f>IFERROR(__xludf.DUMMYFUNCTION("""COMPUTED_VALUE"""),"{}")</f>
        <v>{}</v>
      </c>
      <c r="M958" s="148">
        <f>IFERROR(__xludf.DUMMYFUNCTION("""COMPUTED_VALUE"""),700.0)</f>
        <v>700</v>
      </c>
      <c r="N958" s="148">
        <f>IFERROR(__xludf.DUMMYFUNCTION("""COMPUTED_VALUE"""),9.99999999E8)</f>
        <v>999999999</v>
      </c>
      <c r="O958" s="148">
        <f>IFERROR(__xludf.DUMMYFUNCTION("""COMPUTED_VALUE"""),9.99999999E8)</f>
        <v>999999999</v>
      </c>
      <c r="P958" s="148">
        <f>IFERROR(__xludf.DUMMYFUNCTION("""COMPUTED_VALUE"""),9.99999999E8)</f>
        <v>999999999</v>
      </c>
      <c r="Q958" s="148" t="str">
        <f>IFERROR(__xludf.DUMMYFUNCTION("""COMPUTED_VALUE"""),"[""bag_other""]")</f>
        <v>["bag_other"]</v>
      </c>
      <c r="R958" s="148" t="str">
        <f>IFERROR(__xludf.DUMMYFUNCTION("""COMPUTED_VALUE"""),"[""bag""]")</f>
        <v>["bag"]</v>
      </c>
      <c r="S958" s="148" t="str">
        <f>IFERROR(__xludf.DUMMYFUNCTION("""COMPUTED_VALUE"""),"{}")</f>
        <v>{}</v>
      </c>
      <c r="T958" s="148">
        <f>IFERROR(__xludf.DUMMYFUNCTION("""COMPUTED_VALUE"""),1.0)</f>
        <v>1</v>
      </c>
      <c r="U958" s="148">
        <f>IFERROR(__xludf.DUMMYFUNCTION("""COMPUTED_VALUE"""),0.0)</f>
        <v>0</v>
      </c>
      <c r="V958" s="148" t="str">
        <f>IFERROR(__xludf.DUMMYFUNCTION("""COMPUTED_VALUE"""),"[]")</f>
        <v>[]</v>
      </c>
      <c r="W958" s="148">
        <f>IFERROR(__xludf.DUMMYFUNCTION("""COMPUTED_VALUE"""),1.174E7)</f>
        <v>11740000</v>
      </c>
      <c r="X958" s="148">
        <f>IFERROR(__xludf.DUMMYFUNCTION("""COMPUTED_VALUE"""),0.0)</f>
        <v>0</v>
      </c>
      <c r="Y958" s="148">
        <f>IFERROR(__xludf.DUMMYFUNCTION("""COMPUTED_VALUE"""),0.0)</f>
        <v>0</v>
      </c>
      <c r="Z958" s="148"/>
    </row>
    <row r="959">
      <c r="A959" s="148">
        <f>IFERROR(__xludf.DUMMYFUNCTION("""COMPUTED_VALUE"""),1.1112766E7)</f>
        <v>11112766</v>
      </c>
      <c r="B959" s="148" t="str">
        <f>IFERROR(__xludf.DUMMYFUNCTION("""COMPUTED_VALUE"""),"异族大富翁-指定骰子")</f>
        <v>异族大富翁-指定骰子</v>
      </c>
      <c r="C959" s="148"/>
      <c r="D959" s="148" t="str">
        <f>IFERROR(__xludf.DUMMYFUNCTION("""COMPUTED_VALUE"""),"event")</f>
        <v>event</v>
      </c>
      <c r="E959" s="148">
        <f>IFERROR(__xludf.DUMMYFUNCTION("""COMPUTED_VALUE"""),0.0)</f>
        <v>0</v>
      </c>
      <c r="F959" s="148">
        <f>IFERROR(__xludf.DUMMYFUNCTION("""COMPUTED_VALUE"""),405210.0)</f>
        <v>405210</v>
      </c>
      <c r="G959" s="148">
        <f>IFERROR(__xludf.DUMMYFUNCTION("""COMPUTED_VALUE"""),1.51104139E8)</f>
        <v>151104139</v>
      </c>
      <c r="H959" s="148">
        <f>IFERROR(__xludf.DUMMYFUNCTION("""COMPUTED_VALUE"""),1.5112564E7)</f>
        <v>15112564</v>
      </c>
      <c r="I959" s="148" t="str">
        <f>IFERROR(__xludf.DUMMYFUNCTION("""COMPUTED_VALUE"""),"{}")</f>
        <v>{}</v>
      </c>
      <c r="J959" s="148" t="str">
        <f>IFERROR(__xludf.DUMMYFUNCTION("""COMPUTED_VALUE"""),"{""typ"":""lc"",""txt"":""LC_ITEM_monopoly_monster_specify_dice""}")</f>
        <v>{"typ":"lc","txt":"LC_ITEM_monopoly_monster_specify_dice"}</v>
      </c>
      <c r="K959" s="148" t="str">
        <f>IFERROR(__xludf.DUMMYFUNCTION("""COMPUTED_VALUE"""),"{""typ"":""lc"",""txt"":""LC_ITEM_monopoly_monster_specify_dice_desc""}")</f>
        <v>{"typ":"lc","txt":"LC_ITEM_monopoly_monster_specify_dice_desc"}</v>
      </c>
      <c r="L959" s="148" t="str">
        <f>IFERROR(__xludf.DUMMYFUNCTION("""COMPUTED_VALUE"""),"{}")</f>
        <v>{}</v>
      </c>
      <c r="M959" s="148">
        <f>IFERROR(__xludf.DUMMYFUNCTION("""COMPUTED_VALUE"""),700.0)</f>
        <v>700</v>
      </c>
      <c r="N959" s="148">
        <f>IFERROR(__xludf.DUMMYFUNCTION("""COMPUTED_VALUE"""),9.99999999E8)</f>
        <v>999999999</v>
      </c>
      <c r="O959" s="148">
        <f>IFERROR(__xludf.DUMMYFUNCTION("""COMPUTED_VALUE"""),9.99999999E8)</f>
        <v>999999999</v>
      </c>
      <c r="P959" s="148">
        <f>IFERROR(__xludf.DUMMYFUNCTION("""COMPUTED_VALUE"""),9.99999999E8)</f>
        <v>999999999</v>
      </c>
      <c r="Q959" s="148" t="str">
        <f>IFERROR(__xludf.DUMMYFUNCTION("""COMPUTED_VALUE"""),"[""bag_other""]")</f>
        <v>["bag_other"]</v>
      </c>
      <c r="R959" s="148" t="str">
        <f>IFERROR(__xludf.DUMMYFUNCTION("""COMPUTED_VALUE"""),"[""bag""]")</f>
        <v>["bag"]</v>
      </c>
      <c r="S959" s="148" t="str">
        <f>IFERROR(__xludf.DUMMYFUNCTION("""COMPUTED_VALUE"""),"{}")</f>
        <v>{}</v>
      </c>
      <c r="T959" s="148">
        <f>IFERROR(__xludf.DUMMYFUNCTION("""COMPUTED_VALUE"""),1.0)</f>
        <v>1</v>
      </c>
      <c r="U959" s="148">
        <f>IFERROR(__xludf.DUMMYFUNCTION("""COMPUTED_VALUE"""),0.0)</f>
        <v>0</v>
      </c>
      <c r="V959" s="148" t="str">
        <f>IFERROR(__xludf.DUMMYFUNCTION("""COMPUTED_VALUE"""),"[]")</f>
        <v>[]</v>
      </c>
      <c r="W959" s="148">
        <f>IFERROR(__xludf.DUMMYFUNCTION("""COMPUTED_VALUE"""),1.174E7)</f>
        <v>11740000</v>
      </c>
      <c r="X959" s="148">
        <f>IFERROR(__xludf.DUMMYFUNCTION("""COMPUTED_VALUE"""),0.0)</f>
        <v>0</v>
      </c>
      <c r="Y959" s="148">
        <f>IFERROR(__xludf.DUMMYFUNCTION("""COMPUTED_VALUE"""),0.0)</f>
        <v>0</v>
      </c>
      <c r="Z959" s="148"/>
    </row>
    <row r="960">
      <c r="A960" s="148">
        <f>IFERROR(__xludf.DUMMYFUNCTION("""COMPUTED_VALUE"""),1.1112767E7)</f>
        <v>11112767</v>
      </c>
      <c r="B960" s="148" t="str">
        <f>IFERROR(__xludf.DUMMYFUNCTION("""COMPUTED_VALUE"""),"异族大富翁-格子道具-冰霜强化")</f>
        <v>异族大富翁-格子道具-冰霜强化</v>
      </c>
      <c r="C960" s="148"/>
      <c r="D960" s="148" t="str">
        <f>IFERROR(__xludf.DUMMYFUNCTION("""COMPUTED_VALUE"""),"event")</f>
        <v>event</v>
      </c>
      <c r="E960" s="148">
        <f>IFERROR(__xludf.DUMMYFUNCTION("""COMPUTED_VALUE"""),0.0)</f>
        <v>0</v>
      </c>
      <c r="F960" s="148">
        <f>IFERROR(__xludf.DUMMYFUNCTION("""COMPUTED_VALUE"""),405210.0)</f>
        <v>405210</v>
      </c>
      <c r="G960" s="148">
        <f>IFERROR(__xludf.DUMMYFUNCTION("""COMPUTED_VALUE"""),1.51104134E8)</f>
        <v>151104134</v>
      </c>
      <c r="H960" s="148">
        <f>IFERROR(__xludf.DUMMYFUNCTION("""COMPUTED_VALUE"""),1.5112564E7)</f>
        <v>15112564</v>
      </c>
      <c r="I960" s="148" t="str">
        <f>IFERROR(__xludf.DUMMYFUNCTION("""COMPUTED_VALUE"""),"{}")</f>
        <v>{}</v>
      </c>
      <c r="J960" s="148" t="str">
        <f>IFERROR(__xludf.DUMMYFUNCTION("""COMPUTED_VALUE"""),"{""typ"":""lc"",""txt"":""LC_ITEM_monopoly_monster_board_ice_upgrade""}")</f>
        <v>{"typ":"lc","txt":"LC_ITEM_monopoly_monster_board_ice_upgrade"}</v>
      </c>
      <c r="K960" s="148" t="str">
        <f>IFERROR(__xludf.DUMMYFUNCTION("""COMPUTED_VALUE"""),"{""typ"":""lc"",""txt"":""LC_ITEM_monopoly_monster_board_ice_upgrade_desc""}")</f>
        <v>{"typ":"lc","txt":"LC_ITEM_monopoly_monster_board_ice_upgrade_desc"}</v>
      </c>
      <c r="L960" s="148" t="str">
        <f>IFERROR(__xludf.DUMMYFUNCTION("""COMPUTED_VALUE"""),"{}")</f>
        <v>{}</v>
      </c>
      <c r="M960" s="148">
        <f>IFERROR(__xludf.DUMMYFUNCTION("""COMPUTED_VALUE"""),700.0)</f>
        <v>700</v>
      </c>
      <c r="N960" s="148">
        <f>IFERROR(__xludf.DUMMYFUNCTION("""COMPUTED_VALUE"""),9.99999999E8)</f>
        <v>999999999</v>
      </c>
      <c r="O960" s="148">
        <f>IFERROR(__xludf.DUMMYFUNCTION("""COMPUTED_VALUE"""),9.99999999E8)</f>
        <v>999999999</v>
      </c>
      <c r="P960" s="148">
        <f>IFERROR(__xludf.DUMMYFUNCTION("""COMPUTED_VALUE"""),9.99999999E8)</f>
        <v>999999999</v>
      </c>
      <c r="Q960" s="148" t="str">
        <f>IFERROR(__xludf.DUMMYFUNCTION("""COMPUTED_VALUE"""),"[]")</f>
        <v>[]</v>
      </c>
      <c r="R960" s="148" t="str">
        <f>IFERROR(__xludf.DUMMYFUNCTION("""COMPUTED_VALUE"""),"[]")</f>
        <v>[]</v>
      </c>
      <c r="S960" s="148" t="str">
        <f>IFERROR(__xludf.DUMMYFUNCTION("""COMPUTED_VALUE"""),"{}")</f>
        <v>{}</v>
      </c>
      <c r="T960" s="148">
        <f>IFERROR(__xludf.DUMMYFUNCTION("""COMPUTED_VALUE"""),1.0)</f>
        <v>1</v>
      </c>
      <c r="U960" s="148">
        <f>IFERROR(__xludf.DUMMYFUNCTION("""COMPUTED_VALUE"""),0.0)</f>
        <v>0</v>
      </c>
      <c r="V960" s="148" t="str">
        <f>IFERROR(__xludf.DUMMYFUNCTION("""COMPUTED_VALUE"""),"[]")</f>
        <v>[]</v>
      </c>
      <c r="W960" s="148">
        <f>IFERROR(__xludf.DUMMYFUNCTION("""COMPUTED_VALUE"""),1.174E7)</f>
        <v>11740000</v>
      </c>
      <c r="X960" s="148">
        <f>IFERROR(__xludf.DUMMYFUNCTION("""COMPUTED_VALUE"""),0.0)</f>
        <v>0</v>
      </c>
      <c r="Y960" s="148">
        <f>IFERROR(__xludf.DUMMYFUNCTION("""COMPUTED_VALUE"""),0.0)</f>
        <v>0</v>
      </c>
      <c r="Z960" s="148"/>
    </row>
    <row r="961">
      <c r="A961" s="148">
        <f>IFERROR(__xludf.DUMMYFUNCTION("""COMPUTED_VALUE"""),1.1112768E7)</f>
        <v>11112768</v>
      </c>
      <c r="B961" s="148" t="str">
        <f>IFERROR(__xludf.DUMMYFUNCTION("""COMPUTED_VALUE"""),"异族大富翁-格子道具-火焰强化")</f>
        <v>异族大富翁-格子道具-火焰强化</v>
      </c>
      <c r="C961" s="148"/>
      <c r="D961" s="148" t="str">
        <f>IFERROR(__xludf.DUMMYFUNCTION("""COMPUTED_VALUE"""),"event")</f>
        <v>event</v>
      </c>
      <c r="E961" s="148">
        <f>IFERROR(__xludf.DUMMYFUNCTION("""COMPUTED_VALUE"""),0.0)</f>
        <v>0</v>
      </c>
      <c r="F961" s="148">
        <f>IFERROR(__xludf.DUMMYFUNCTION("""COMPUTED_VALUE"""),405210.0)</f>
        <v>405210</v>
      </c>
      <c r="G961" s="148">
        <f>IFERROR(__xludf.DUMMYFUNCTION("""COMPUTED_VALUE"""),1.51104135E8)</f>
        <v>151104135</v>
      </c>
      <c r="H961" s="148">
        <f>IFERROR(__xludf.DUMMYFUNCTION("""COMPUTED_VALUE"""),1.5112564E7)</f>
        <v>15112564</v>
      </c>
      <c r="I961" s="148" t="str">
        <f>IFERROR(__xludf.DUMMYFUNCTION("""COMPUTED_VALUE"""),"{}")</f>
        <v>{}</v>
      </c>
      <c r="J961" s="148" t="str">
        <f>IFERROR(__xludf.DUMMYFUNCTION("""COMPUTED_VALUE"""),"{""typ"":""lc"",""txt"":""LC_ITEM_monopoly_monster_board_fire_upgrade""}")</f>
        <v>{"typ":"lc","txt":"LC_ITEM_monopoly_monster_board_fire_upgrade"}</v>
      </c>
      <c r="K961" s="148" t="str">
        <f>IFERROR(__xludf.DUMMYFUNCTION("""COMPUTED_VALUE"""),"{""typ"":""lc"",""txt"":""LC_ITEM_monopoly_monster_board_fire_upgrade_desc""}")</f>
        <v>{"typ":"lc","txt":"LC_ITEM_monopoly_monster_board_fire_upgrade_desc"}</v>
      </c>
      <c r="L961" s="148" t="str">
        <f>IFERROR(__xludf.DUMMYFUNCTION("""COMPUTED_VALUE"""),"{}")</f>
        <v>{}</v>
      </c>
      <c r="M961" s="148">
        <f>IFERROR(__xludf.DUMMYFUNCTION("""COMPUTED_VALUE"""),700.0)</f>
        <v>700</v>
      </c>
      <c r="N961" s="148">
        <f>IFERROR(__xludf.DUMMYFUNCTION("""COMPUTED_VALUE"""),9.99999999E8)</f>
        <v>999999999</v>
      </c>
      <c r="O961" s="148">
        <f>IFERROR(__xludf.DUMMYFUNCTION("""COMPUTED_VALUE"""),9.99999999E8)</f>
        <v>999999999</v>
      </c>
      <c r="P961" s="148">
        <f>IFERROR(__xludf.DUMMYFUNCTION("""COMPUTED_VALUE"""),9.99999999E8)</f>
        <v>999999999</v>
      </c>
      <c r="Q961" s="148" t="str">
        <f>IFERROR(__xludf.DUMMYFUNCTION("""COMPUTED_VALUE"""),"[]")</f>
        <v>[]</v>
      </c>
      <c r="R961" s="148" t="str">
        <f>IFERROR(__xludf.DUMMYFUNCTION("""COMPUTED_VALUE"""),"[]")</f>
        <v>[]</v>
      </c>
      <c r="S961" s="148" t="str">
        <f>IFERROR(__xludf.DUMMYFUNCTION("""COMPUTED_VALUE"""),"{}")</f>
        <v>{}</v>
      </c>
      <c r="T961" s="148">
        <f>IFERROR(__xludf.DUMMYFUNCTION("""COMPUTED_VALUE"""),1.0)</f>
        <v>1</v>
      </c>
      <c r="U961" s="148">
        <f>IFERROR(__xludf.DUMMYFUNCTION("""COMPUTED_VALUE"""),0.0)</f>
        <v>0</v>
      </c>
      <c r="V961" s="148" t="str">
        <f>IFERROR(__xludf.DUMMYFUNCTION("""COMPUTED_VALUE"""),"[]")</f>
        <v>[]</v>
      </c>
      <c r="W961" s="148">
        <f>IFERROR(__xludf.DUMMYFUNCTION("""COMPUTED_VALUE"""),1.174E7)</f>
        <v>11740000</v>
      </c>
      <c r="X961" s="148">
        <f>IFERROR(__xludf.DUMMYFUNCTION("""COMPUTED_VALUE"""),0.0)</f>
        <v>0</v>
      </c>
      <c r="Y961" s="148">
        <f>IFERROR(__xludf.DUMMYFUNCTION("""COMPUTED_VALUE"""),0.0)</f>
        <v>0</v>
      </c>
      <c r="Z961" s="148"/>
    </row>
    <row r="962">
      <c r="A962" s="148">
        <f>IFERROR(__xludf.DUMMYFUNCTION("""COMPUTED_VALUE"""),1.1112769E7)</f>
        <v>11112769</v>
      </c>
      <c r="B962" s="148" t="str">
        <f>IFERROR(__xludf.DUMMYFUNCTION("""COMPUTED_VALUE"""),"异族大富翁-兑换道具")</f>
        <v>异族大富翁-兑换道具</v>
      </c>
      <c r="C962" s="148"/>
      <c r="D962" s="148" t="str">
        <f>IFERROR(__xludf.DUMMYFUNCTION("""COMPUTED_VALUE"""),"event")</f>
        <v>event</v>
      </c>
      <c r="E962" s="148">
        <f>IFERROR(__xludf.DUMMYFUNCTION("""COMPUTED_VALUE"""),0.0)</f>
        <v>0</v>
      </c>
      <c r="F962" s="148">
        <f>IFERROR(__xludf.DUMMYFUNCTION("""COMPUTED_VALUE"""),405221.0)</f>
        <v>405221</v>
      </c>
      <c r="G962" s="148">
        <f>IFERROR(__xludf.DUMMYFUNCTION("""COMPUTED_VALUE"""),1.51104255E8)</f>
        <v>151104255</v>
      </c>
      <c r="H962" s="148">
        <f>IFERROR(__xludf.DUMMYFUNCTION("""COMPUTED_VALUE"""),1.5112564E7)</f>
        <v>15112564</v>
      </c>
      <c r="I962" s="148" t="str">
        <f>IFERROR(__xludf.DUMMYFUNCTION("""COMPUTED_VALUE"""),"{}")</f>
        <v>{}</v>
      </c>
      <c r="J962" s="148" t="str">
        <f>IFERROR(__xludf.DUMMYFUNCTION("""COMPUTED_VALUE"""),"{""typ"":""lc"",""txt"":""LC_ITEM_monopoly_monster_exchange_item""}")</f>
        <v>{"typ":"lc","txt":"LC_ITEM_monopoly_monster_exchange_item"}</v>
      </c>
      <c r="K962" s="148" t="str">
        <f>IFERROR(__xludf.DUMMYFUNCTION("""COMPUTED_VALUE"""),"{""typ"":""lc"",""txt"":""LC_ITEM_monopoly_monster_exchange_item_desc""}")</f>
        <v>{"typ":"lc","txt":"LC_ITEM_monopoly_monster_exchange_item_desc"}</v>
      </c>
      <c r="L962" s="148" t="str">
        <f>IFERROR(__xludf.DUMMYFUNCTION("""COMPUTED_VALUE"""),"{}")</f>
        <v>{}</v>
      </c>
      <c r="M962" s="148">
        <f>IFERROR(__xludf.DUMMYFUNCTION("""COMPUTED_VALUE"""),100.0)</f>
        <v>100</v>
      </c>
      <c r="N962" s="148">
        <f>IFERROR(__xludf.DUMMYFUNCTION("""COMPUTED_VALUE"""),9.99999999E8)</f>
        <v>999999999</v>
      </c>
      <c r="O962" s="148">
        <f>IFERROR(__xludf.DUMMYFUNCTION("""COMPUTED_VALUE"""),9.99999999E8)</f>
        <v>999999999</v>
      </c>
      <c r="P962" s="148">
        <f>IFERROR(__xludf.DUMMYFUNCTION("""COMPUTED_VALUE"""),9.99999999E8)</f>
        <v>999999999</v>
      </c>
      <c r="Q962" s="148" t="str">
        <f>IFERROR(__xludf.DUMMYFUNCTION("""COMPUTED_VALUE"""),"[""bag_other""]")</f>
        <v>["bag_other"]</v>
      </c>
      <c r="R962" s="148" t="str">
        <f>IFERROR(__xludf.DUMMYFUNCTION("""COMPUTED_VALUE"""),"[""bag""]")</f>
        <v>["bag"]</v>
      </c>
      <c r="S962" s="148" t="str">
        <f>IFERROR(__xludf.DUMMYFUNCTION("""COMPUTED_VALUE"""),"{}")</f>
        <v>{}</v>
      </c>
      <c r="T962" s="148">
        <f>IFERROR(__xludf.DUMMYFUNCTION("""COMPUTED_VALUE"""),-1.0)</f>
        <v>-1</v>
      </c>
      <c r="U962" s="148">
        <f>IFERROR(__xludf.DUMMYFUNCTION("""COMPUTED_VALUE"""),0.0)</f>
        <v>0</v>
      </c>
      <c r="V962" s="148" t="str">
        <f>IFERROR(__xludf.DUMMYFUNCTION("""COMPUTED_VALUE"""),"[]")</f>
        <v>[]</v>
      </c>
      <c r="W962" s="148">
        <f>IFERROR(__xludf.DUMMYFUNCTION("""COMPUTED_VALUE"""),1.174E7)</f>
        <v>11740000</v>
      </c>
      <c r="X962" s="148">
        <f>IFERROR(__xludf.DUMMYFUNCTION("""COMPUTED_VALUE"""),0.0)</f>
        <v>0</v>
      </c>
      <c r="Y962" s="148">
        <f>IFERROR(__xludf.DUMMYFUNCTION("""COMPUTED_VALUE"""),0.0)</f>
        <v>0</v>
      </c>
      <c r="Z962" s="148"/>
    </row>
    <row r="963">
      <c r="A963" s="148">
        <f>IFERROR(__xludf.DUMMYFUNCTION("""COMPUTED_VALUE"""),1.111277E7)</f>
        <v>11112770</v>
      </c>
      <c r="B963" s="148" t="str">
        <f>IFERROR(__xludf.DUMMYFUNCTION("""COMPUTED_VALUE"""),"主城皮肤-春节高级皮肤2026")</f>
        <v>主城皮肤-春节高级皮肤2026</v>
      </c>
      <c r="C963" s="148"/>
      <c r="D963" s="148" t="str">
        <f>IFERROR(__xludf.DUMMYFUNCTION("""COMPUTED_VALUE"""),"city_skin")</f>
        <v>city_skin</v>
      </c>
      <c r="E963" s="148">
        <f>IFERROR(__xludf.DUMMYFUNCTION("""COMPUTED_VALUE"""),21.0)</f>
        <v>21</v>
      </c>
      <c r="F963" s="148">
        <f>IFERROR(__xludf.DUMMYFUNCTION("""COMPUTED_VALUE"""),400106.0)</f>
        <v>400106</v>
      </c>
      <c r="G963" s="148">
        <f>IFERROR(__xludf.DUMMYFUNCTION("""COMPUTED_VALUE"""),1.51104052E8)</f>
        <v>151104052</v>
      </c>
      <c r="H963" s="148">
        <f>IFERROR(__xludf.DUMMYFUNCTION("""COMPUTED_VALUE"""),1.5115983E7)</f>
        <v>15115983</v>
      </c>
      <c r="I963" s="148" t="str">
        <f>IFERROR(__xludf.DUMMYFUNCTION("""COMPUTED_VALUE"""),"{}")</f>
        <v>{}</v>
      </c>
      <c r="J963" s="148" t="str">
        <f>IFERROR(__xludf.DUMMYFUNCTION("""COMPUTED_VALUE"""),"{""typ"":""lc"",""txt"":""LC_ITEM_2026spring_highcity_skin_title""}")</f>
        <v>{"typ":"lc","txt":"LC_ITEM_2026spring_highcity_skin_title"}</v>
      </c>
      <c r="K963" s="148" t="str">
        <f>IFERROR(__xludf.DUMMYFUNCTION("""COMPUTED_VALUE"""),"{""typ"":""lc"",""txt"":""LC_ITEM_2026spring_highskin_desc_forever""}")</f>
        <v>{"typ":"lc","txt":"LC_ITEM_2026spring_highskin_desc_forever"}</v>
      </c>
      <c r="L963" s="148" t="str">
        <f>IFERROR(__xludf.DUMMYFUNCTION("""COMPUTED_VALUE"""),"{""typ"":""lc"",""txt"":""LC_ITEM_city_skin_rocket_use_tips""}")</f>
        <v>{"typ":"lc","txt":"LC_ITEM_city_skin_rocket_use_tips"}</v>
      </c>
      <c r="M963" s="148">
        <f>IFERROR(__xludf.DUMMYFUNCTION("""COMPUTED_VALUE"""),10000.0)</f>
        <v>10000</v>
      </c>
      <c r="N963" s="148">
        <f>IFERROR(__xludf.DUMMYFUNCTION("""COMPUTED_VALUE"""),999.0)</f>
        <v>999</v>
      </c>
      <c r="O963" s="148">
        <f>IFERROR(__xludf.DUMMYFUNCTION("""COMPUTED_VALUE"""),1.0)</f>
        <v>1</v>
      </c>
      <c r="P963" s="148">
        <f>IFERROR(__xludf.DUMMYFUNCTION("""COMPUTED_VALUE"""),1.0)</f>
        <v>1</v>
      </c>
      <c r="Q963" s="148" t="str">
        <f>IFERROR(__xludf.DUMMYFUNCTION("""COMPUTED_VALUE"""),"[""bag_other""]")</f>
        <v>["bag_other"]</v>
      </c>
      <c r="R963" s="148" t="str">
        <f>IFERROR(__xludf.DUMMYFUNCTION("""COMPUTED_VALUE"""),"[""bag"",""13121101""]")</f>
        <v>["bag","13121101"]</v>
      </c>
      <c r="S963" s="148" t="str">
        <f>IFERROR(__xludf.DUMMYFUNCTION("""COMPUTED_VALUE"""),"{""effect"":[{""typ"":""city_skin"",""id"":13121101,""val"":-1},{""typ"":""item"",""id"":11111034,""val"":10}]}")</f>
        <v>{"effect":[{"typ":"city_skin","id":13121101,"val":-1},{"typ":"item","id":11111034,"val":10}]}</v>
      </c>
      <c r="T963" s="148">
        <f>IFERROR(__xludf.DUMMYFUNCTION("""COMPUTED_VALUE"""),-1.0)</f>
        <v>-1</v>
      </c>
      <c r="U963" s="148">
        <f>IFERROR(__xludf.DUMMYFUNCTION("""COMPUTED_VALUE"""),0.0)</f>
        <v>0</v>
      </c>
      <c r="V963" s="148" t="str">
        <f>IFERROR(__xludf.DUMMYFUNCTION("""COMPUTED_VALUE"""),"[]")</f>
        <v>[]</v>
      </c>
      <c r="W963" s="148">
        <f>IFERROR(__xludf.DUMMYFUNCTION("""COMPUTED_VALUE"""),1.174E7)</f>
        <v>11740000</v>
      </c>
      <c r="X963" s="148">
        <f>IFERROR(__xludf.DUMMYFUNCTION("""COMPUTED_VALUE"""),0.0)</f>
        <v>0</v>
      </c>
      <c r="Y963" s="148">
        <f>IFERROR(__xludf.DUMMYFUNCTION("""COMPUTED_VALUE"""),0.0)</f>
        <v>0</v>
      </c>
      <c r="Z963" s="148"/>
    </row>
    <row r="964">
      <c r="A964" s="148">
        <f>IFERROR(__xludf.DUMMYFUNCTION("""COMPUTED_VALUE"""),1.1112771E7)</f>
        <v>11112771</v>
      </c>
      <c r="B964" s="148" t="str">
        <f>IFERROR(__xludf.DUMMYFUNCTION("""COMPUTED_VALUE"""),"主城皮肤-春节高级皮肤2026-7天")</f>
        <v>主城皮肤-春节高级皮肤2026-7天</v>
      </c>
      <c r="C964" s="148"/>
      <c r="D964" s="148" t="str">
        <f>IFERROR(__xludf.DUMMYFUNCTION("""COMPUTED_VALUE"""),"city_skin")</f>
        <v>city_skin</v>
      </c>
      <c r="E964" s="148">
        <f>IFERROR(__xludf.DUMMYFUNCTION("""COMPUTED_VALUE"""),21.0)</f>
        <v>21</v>
      </c>
      <c r="F964" s="148">
        <f>IFERROR(__xludf.DUMMYFUNCTION("""COMPUTED_VALUE"""),400106.0)</f>
        <v>400106</v>
      </c>
      <c r="G964" s="148">
        <f>IFERROR(__xludf.DUMMYFUNCTION("""COMPUTED_VALUE"""),1.51104052E8)</f>
        <v>151104052</v>
      </c>
      <c r="H964" s="148">
        <f>IFERROR(__xludf.DUMMYFUNCTION("""COMPUTED_VALUE"""),1.5115983E7)</f>
        <v>15115983</v>
      </c>
      <c r="I964" s="148" t="str">
        <f>IFERROR(__xludf.DUMMYFUNCTION("""COMPUTED_VALUE"""),"{""typ"":""lc"",""txt"":""LC_ITEM_time_day_upper_show"",""args"":[{""typ"":""int"",""val"":7}]}")</f>
        <v>{"typ":"lc","txt":"LC_ITEM_time_day_upper_show","args":[{"typ":"int","val":7}]}</v>
      </c>
      <c r="J964" s="148" t="str">
        <f>IFERROR(__xludf.DUMMYFUNCTION("""COMPUTED_VALUE"""),"{""typ"":""lc"",""txt"":""LC_ITEM_2026spring_highcity_skin_title_7day""}")</f>
        <v>{"typ":"lc","txt":"LC_ITEM_2026spring_highcity_skin_title_7day"}</v>
      </c>
      <c r="K964" s="148" t="str">
        <f>IFERROR(__xludf.DUMMYFUNCTION("""COMPUTED_VALUE"""),"{""typ"":""lc"",""txt"":""LC_ITEM_2026spring_highskin_desc_7day""}")</f>
        <v>{"typ":"lc","txt":"LC_ITEM_2026spring_highskin_desc_7day"}</v>
      </c>
      <c r="L964" s="148" t="str">
        <f>IFERROR(__xludf.DUMMYFUNCTION("""COMPUTED_VALUE"""),"{""typ"":""lc"",""txt"":""LC_ITEM_city_skin_rocket_use_tips""}")</f>
        <v>{"typ":"lc","txt":"LC_ITEM_city_skin_rocket_use_tips"}</v>
      </c>
      <c r="M964" s="148">
        <f>IFERROR(__xludf.DUMMYFUNCTION("""COMPUTED_VALUE"""),10000.0)</f>
        <v>10000</v>
      </c>
      <c r="N964" s="148">
        <f>IFERROR(__xludf.DUMMYFUNCTION("""COMPUTED_VALUE"""),999.0)</f>
        <v>999</v>
      </c>
      <c r="O964" s="148">
        <f>IFERROR(__xludf.DUMMYFUNCTION("""COMPUTED_VALUE"""),1.0)</f>
        <v>1</v>
      </c>
      <c r="P964" s="148">
        <f>IFERROR(__xludf.DUMMYFUNCTION("""COMPUTED_VALUE"""),1.0)</f>
        <v>1</v>
      </c>
      <c r="Q964" s="148" t="str">
        <f>IFERROR(__xludf.DUMMYFUNCTION("""COMPUTED_VALUE"""),"[""bag_other""]")</f>
        <v>["bag_other"]</v>
      </c>
      <c r="R964" s="148" t="str">
        <f>IFERROR(__xludf.DUMMYFUNCTION("""COMPUTED_VALUE"""),"[""bag"",""13121101""]")</f>
        <v>["bag","13121101"]</v>
      </c>
      <c r="S964" s="148" t="str">
        <f>IFERROR(__xludf.DUMMYFUNCTION("""COMPUTED_VALUE"""),"{""effect"":[{""typ"":""city_skin"",""id"":13121101,""val"":604800000},{""typ"":""item"",""id"":11111021,""val"":3}]}")</f>
        <v>{"effect":[{"typ":"city_skin","id":13121101,"val":604800000},{"typ":"item","id":11111021,"val":3}]}</v>
      </c>
      <c r="T964" s="148">
        <f>IFERROR(__xludf.DUMMYFUNCTION("""COMPUTED_VALUE"""),-1.0)</f>
        <v>-1</v>
      </c>
      <c r="U964" s="148">
        <f>IFERROR(__xludf.DUMMYFUNCTION("""COMPUTED_VALUE"""),0.0)</f>
        <v>0</v>
      </c>
      <c r="V964" s="148" t="str">
        <f>IFERROR(__xludf.DUMMYFUNCTION("""COMPUTED_VALUE"""),"[]")</f>
        <v>[]</v>
      </c>
      <c r="W964" s="148">
        <f>IFERROR(__xludf.DUMMYFUNCTION("""COMPUTED_VALUE"""),1.174E7)</f>
        <v>11740000</v>
      </c>
      <c r="X964" s="148">
        <f>IFERROR(__xludf.DUMMYFUNCTION("""COMPUTED_VALUE"""),0.0)</f>
        <v>0</v>
      </c>
      <c r="Y964" s="148">
        <f>IFERROR(__xludf.DUMMYFUNCTION("""COMPUTED_VALUE"""),0.0)</f>
        <v>0</v>
      </c>
      <c r="Z964" s="148"/>
    </row>
    <row r="965">
      <c r="A965" s="148">
        <f>IFERROR(__xludf.DUMMYFUNCTION("""COMPUTED_VALUE"""),1.1112772E7)</f>
        <v>11112772</v>
      </c>
      <c r="B965" s="148" t="str">
        <f>IFERROR(__xludf.DUMMYFUNCTION("""COMPUTED_VALUE"""),"主城皮肤-春节高级皮肤2026-14天")</f>
        <v>主城皮肤-春节高级皮肤2026-14天</v>
      </c>
      <c r="C965" s="148"/>
      <c r="D965" s="148" t="str">
        <f>IFERROR(__xludf.DUMMYFUNCTION("""COMPUTED_VALUE"""),"city_skin")</f>
        <v>city_skin</v>
      </c>
      <c r="E965" s="148">
        <f>IFERROR(__xludf.DUMMYFUNCTION("""COMPUTED_VALUE"""),21.0)</f>
        <v>21</v>
      </c>
      <c r="F965" s="148">
        <f>IFERROR(__xludf.DUMMYFUNCTION("""COMPUTED_VALUE"""),400106.0)</f>
        <v>400106</v>
      </c>
      <c r="G965" s="148">
        <f>IFERROR(__xludf.DUMMYFUNCTION("""COMPUTED_VALUE"""),1.51104052E8)</f>
        <v>151104052</v>
      </c>
      <c r="H965" s="148">
        <f>IFERROR(__xludf.DUMMYFUNCTION("""COMPUTED_VALUE"""),1.5115983E7)</f>
        <v>15115983</v>
      </c>
      <c r="I965" s="148" t="str">
        <f>IFERROR(__xludf.DUMMYFUNCTION("""COMPUTED_VALUE"""),"{""typ"":""lc"",""txt"":""LC_ITEM_time_day_upper_show"",""args"":[{""typ"":""int"",""val"":14}]}")</f>
        <v>{"typ":"lc","txt":"LC_ITEM_time_day_upper_show","args":[{"typ":"int","val":14}]}</v>
      </c>
      <c r="J965" s="148" t="str">
        <f>IFERROR(__xludf.DUMMYFUNCTION("""COMPUTED_VALUE"""),"{""typ"":""lc"",""txt"":""LC_ITEM_2026spring_highcity_skin_title_14day""}")</f>
        <v>{"typ":"lc","txt":"LC_ITEM_2026spring_highcity_skin_title_14day"}</v>
      </c>
      <c r="K965" s="148" t="str">
        <f>IFERROR(__xludf.DUMMYFUNCTION("""COMPUTED_VALUE"""),"{""typ"":""lc"",""txt"":""LC_ITEM_2026spring_highskin_desc_14day""}")</f>
        <v>{"typ":"lc","txt":"LC_ITEM_2026spring_highskin_desc_14day"}</v>
      </c>
      <c r="L965" s="148" t="str">
        <f>IFERROR(__xludf.DUMMYFUNCTION("""COMPUTED_VALUE"""),"{""typ"":""lc"",""txt"":""LC_ITEM_city_skin_rocket_use_tips""}")</f>
        <v>{"typ":"lc","txt":"LC_ITEM_city_skin_rocket_use_tips"}</v>
      </c>
      <c r="M965" s="148">
        <f>IFERROR(__xludf.DUMMYFUNCTION("""COMPUTED_VALUE"""),10000.0)</f>
        <v>10000</v>
      </c>
      <c r="N965" s="148">
        <f>IFERROR(__xludf.DUMMYFUNCTION("""COMPUTED_VALUE"""),999.0)</f>
        <v>999</v>
      </c>
      <c r="O965" s="148">
        <f>IFERROR(__xludf.DUMMYFUNCTION("""COMPUTED_VALUE"""),1.0)</f>
        <v>1</v>
      </c>
      <c r="P965" s="148">
        <f>IFERROR(__xludf.DUMMYFUNCTION("""COMPUTED_VALUE"""),1.0)</f>
        <v>1</v>
      </c>
      <c r="Q965" s="148" t="str">
        <f>IFERROR(__xludf.DUMMYFUNCTION("""COMPUTED_VALUE"""),"[""bag_other""]")</f>
        <v>["bag_other"]</v>
      </c>
      <c r="R965" s="148" t="str">
        <f>IFERROR(__xludf.DUMMYFUNCTION("""COMPUTED_VALUE"""),"[""bag"",""13121101""]")</f>
        <v>["bag","13121101"]</v>
      </c>
      <c r="S965" s="148" t="str">
        <f>IFERROR(__xludf.DUMMYFUNCTION("""COMPUTED_VALUE"""),"{""effect"":[{""typ"":""city_skin"",""id"":13121101,""val"":1209600000},{""typ"":""item"",""id"":11111021,""val"":7}]}")</f>
        <v>{"effect":[{"typ":"city_skin","id":13121101,"val":1209600000},{"typ":"item","id":11111021,"val":7}]}</v>
      </c>
      <c r="T965" s="148">
        <f>IFERROR(__xludf.DUMMYFUNCTION("""COMPUTED_VALUE"""),-1.0)</f>
        <v>-1</v>
      </c>
      <c r="U965" s="148">
        <f>IFERROR(__xludf.DUMMYFUNCTION("""COMPUTED_VALUE"""),0.0)</f>
        <v>0</v>
      </c>
      <c r="V965" s="148" t="str">
        <f>IFERROR(__xludf.DUMMYFUNCTION("""COMPUTED_VALUE"""),"[]")</f>
        <v>[]</v>
      </c>
      <c r="W965" s="148">
        <f>IFERROR(__xludf.DUMMYFUNCTION("""COMPUTED_VALUE"""),1.174E7)</f>
        <v>11740000</v>
      </c>
      <c r="X965" s="148">
        <f>IFERROR(__xludf.DUMMYFUNCTION("""COMPUTED_VALUE"""),0.0)</f>
        <v>0</v>
      </c>
      <c r="Y965" s="148">
        <f>IFERROR(__xludf.DUMMYFUNCTION("""COMPUTED_VALUE"""),0.0)</f>
        <v>0</v>
      </c>
      <c r="Z965" s="148"/>
    </row>
    <row r="966">
      <c r="A966" s="148">
        <f>IFERROR(__xludf.DUMMYFUNCTION("""COMPUTED_VALUE"""),1.1112773E7)</f>
        <v>11112773</v>
      </c>
      <c r="B966" s="148" t="str">
        <f>IFERROR(__xludf.DUMMYFUNCTION("""COMPUTED_VALUE"""),"主城皮肤-春节高级皮肤2026-28天")</f>
        <v>主城皮肤-春节高级皮肤2026-28天</v>
      </c>
      <c r="C966" s="148"/>
      <c r="D966" s="148" t="str">
        <f>IFERROR(__xludf.DUMMYFUNCTION("""COMPUTED_VALUE"""),"city_skin")</f>
        <v>city_skin</v>
      </c>
      <c r="E966" s="148">
        <f>IFERROR(__xludf.DUMMYFUNCTION("""COMPUTED_VALUE"""),21.0)</f>
        <v>21</v>
      </c>
      <c r="F966" s="148">
        <f>IFERROR(__xludf.DUMMYFUNCTION("""COMPUTED_VALUE"""),408197.0)</f>
        <v>408197</v>
      </c>
      <c r="G966" s="148">
        <f>IFERROR(__xludf.DUMMYFUNCTION("""COMPUTED_VALUE"""),1.51104052E8)</f>
        <v>151104052</v>
      </c>
      <c r="H966" s="148">
        <f>IFERROR(__xludf.DUMMYFUNCTION("""COMPUTED_VALUE"""),1.5115983E7)</f>
        <v>15115983</v>
      </c>
      <c r="I966" s="148" t="str">
        <f>IFERROR(__xludf.DUMMYFUNCTION("""COMPUTED_VALUE"""),"{""typ"":""lc"",""txt"":""LC_ITEM_time_day_upper_show"",""args"":[{""typ"":""int"",""val"":28}]}")</f>
        <v>{"typ":"lc","txt":"LC_ITEM_time_day_upper_show","args":[{"typ":"int","val":28}]}</v>
      </c>
      <c r="J966" s="148" t="str">
        <f>IFERROR(__xludf.DUMMYFUNCTION("""COMPUTED_VALUE"""),"{""typ"":""lc"",""txt"":""LC_ITEM_2026spring_highcity_skin_title_28day""}")</f>
        <v>{"typ":"lc","txt":"LC_ITEM_2026spring_highcity_skin_title_28day"}</v>
      </c>
      <c r="K966" s="148" t="str">
        <f>IFERROR(__xludf.DUMMYFUNCTION("""COMPUTED_VALUE"""),"{""typ"":""lc"",""txt"":""LC_ITEM_2026spring_highskin_desc_28day""}")</f>
        <v>{"typ":"lc","txt":"LC_ITEM_2026spring_highskin_desc_28day"}</v>
      </c>
      <c r="L966" s="148" t="str">
        <f>IFERROR(__xludf.DUMMYFUNCTION("""COMPUTED_VALUE"""),"{""typ"":""lc"",""txt"":""LC_ITEM_city_skin_rocket_use_tips""}")</f>
        <v>{"typ":"lc","txt":"LC_ITEM_city_skin_rocket_use_tips"}</v>
      </c>
      <c r="M966" s="148">
        <f>IFERROR(__xludf.DUMMYFUNCTION("""COMPUTED_VALUE"""),10000.0)</f>
        <v>10000</v>
      </c>
      <c r="N966" s="148">
        <f>IFERROR(__xludf.DUMMYFUNCTION("""COMPUTED_VALUE"""),999.0)</f>
        <v>999</v>
      </c>
      <c r="O966" s="148">
        <f>IFERROR(__xludf.DUMMYFUNCTION("""COMPUTED_VALUE"""),1.0)</f>
        <v>1</v>
      </c>
      <c r="P966" s="148">
        <f>IFERROR(__xludf.DUMMYFUNCTION("""COMPUTED_VALUE"""),1.0)</f>
        <v>1</v>
      </c>
      <c r="Q966" s="148" t="str">
        <f>IFERROR(__xludf.DUMMYFUNCTION("""COMPUTED_VALUE"""),"[""bag_other""]")</f>
        <v>["bag_other"]</v>
      </c>
      <c r="R966" s="148" t="str">
        <f>IFERROR(__xludf.DUMMYFUNCTION("""COMPUTED_VALUE"""),"[""bag"",""13121101""]")</f>
        <v>["bag","13121101"]</v>
      </c>
      <c r="S966" s="148" t="str">
        <f>IFERROR(__xludf.DUMMYFUNCTION("""COMPUTED_VALUE"""),"{""effect"":[{""typ"":""city_skin"",""id"":13121101,""val"":2419200000},{""typ"":""item"",""id"":11111021,""val"":15}]}")</f>
        <v>{"effect":[{"typ":"city_skin","id":13121101,"val":2419200000},{"typ":"item","id":11111021,"val":15}]}</v>
      </c>
      <c r="T966" s="148">
        <f>IFERROR(__xludf.DUMMYFUNCTION("""COMPUTED_VALUE"""),-1.0)</f>
        <v>-1</v>
      </c>
      <c r="U966" s="148">
        <f>IFERROR(__xludf.DUMMYFUNCTION("""COMPUTED_VALUE"""),0.0)</f>
        <v>0</v>
      </c>
      <c r="V966" s="148" t="str">
        <f>IFERROR(__xludf.DUMMYFUNCTION("""COMPUTED_VALUE"""),"[]")</f>
        <v>[]</v>
      </c>
      <c r="W966" s="148">
        <f>IFERROR(__xludf.DUMMYFUNCTION("""COMPUTED_VALUE"""),1.174E7)</f>
        <v>11740000</v>
      </c>
      <c r="X966" s="148">
        <f>IFERROR(__xludf.DUMMYFUNCTION("""COMPUTED_VALUE"""),0.0)</f>
        <v>0</v>
      </c>
      <c r="Y966" s="148">
        <f>IFERROR(__xludf.DUMMYFUNCTION("""COMPUTED_VALUE"""),0.0)</f>
        <v>0</v>
      </c>
      <c r="Z966" s="148"/>
    </row>
    <row r="967">
      <c r="A967" s="148">
        <f>IFERROR(__xludf.DUMMYFUNCTION("""COMPUTED_VALUE"""),1.1112774E7)</f>
        <v>11112774</v>
      </c>
      <c r="B967" s="148" t="str">
        <f>IFERROR(__xludf.DUMMYFUNCTION("""COMPUTED_VALUE"""),"主城皮肤-春节2026")</f>
        <v>主城皮肤-春节2026</v>
      </c>
      <c r="C967" s="148"/>
      <c r="D967" s="148" t="str">
        <f>IFERROR(__xludf.DUMMYFUNCTION("""COMPUTED_VALUE"""),"city_skin")</f>
        <v>city_skin</v>
      </c>
      <c r="E967" s="148">
        <f>IFERROR(__xludf.DUMMYFUNCTION("""COMPUTED_VALUE"""),21.0)</f>
        <v>21</v>
      </c>
      <c r="F967" s="148">
        <f>IFERROR(__xludf.DUMMYFUNCTION("""COMPUTED_VALUE"""),404201.0)</f>
        <v>404201</v>
      </c>
      <c r="G967" s="148">
        <f>IFERROR(__xludf.DUMMYFUNCTION("""COMPUTED_VALUE"""),1.5110405E8)</f>
        <v>151104050</v>
      </c>
      <c r="H967" s="148">
        <f>IFERROR(__xludf.DUMMYFUNCTION("""COMPUTED_VALUE"""),1.5112564E7)</f>
        <v>15112564</v>
      </c>
      <c r="I967" s="148" t="str">
        <f>IFERROR(__xludf.DUMMYFUNCTION("""COMPUTED_VALUE"""),"{}")</f>
        <v>{}</v>
      </c>
      <c r="J967" s="148" t="str">
        <f>IFERROR(__xludf.DUMMYFUNCTION("""COMPUTED_VALUE"""),"{""typ"":""lc"",""txt"":""LC_ITEM_2026spring_lowcity_skin_title""}")</f>
        <v>{"typ":"lc","txt":"LC_ITEM_2026spring_lowcity_skin_title"}</v>
      </c>
      <c r="K967" s="148" t="str">
        <f>IFERROR(__xludf.DUMMYFUNCTION("""COMPUTED_VALUE"""),"{""typ"":""lc"",""txt"":""LC_ITEM_2026spring_lowcity_skin_desc_forever""}")</f>
        <v>{"typ":"lc","txt":"LC_ITEM_2026spring_lowcity_skin_desc_forever"}</v>
      </c>
      <c r="L967" s="148" t="str">
        <f>IFERROR(__xludf.DUMMYFUNCTION("""COMPUTED_VALUE"""),"{""typ"":""lc"",""txt"":""LC_ITEM_city_skin_rocket_use_tips""}")</f>
        <v>{"typ":"lc","txt":"LC_ITEM_city_skin_rocket_use_tips"}</v>
      </c>
      <c r="M967" s="148">
        <f>IFERROR(__xludf.DUMMYFUNCTION("""COMPUTED_VALUE"""),10000.0)</f>
        <v>10000</v>
      </c>
      <c r="N967" s="148">
        <f>IFERROR(__xludf.DUMMYFUNCTION("""COMPUTED_VALUE"""),999.0)</f>
        <v>999</v>
      </c>
      <c r="O967" s="148">
        <f>IFERROR(__xludf.DUMMYFUNCTION("""COMPUTED_VALUE"""),1.0)</f>
        <v>1</v>
      </c>
      <c r="P967" s="148">
        <f>IFERROR(__xludf.DUMMYFUNCTION("""COMPUTED_VALUE"""),1.0)</f>
        <v>1</v>
      </c>
      <c r="Q967" s="148" t="str">
        <f>IFERROR(__xludf.DUMMYFUNCTION("""COMPUTED_VALUE"""),"[""bag_other""]")</f>
        <v>["bag_other"]</v>
      </c>
      <c r="R967" s="148" t="str">
        <f>IFERROR(__xludf.DUMMYFUNCTION("""COMPUTED_VALUE"""),"[""bag"",""13121100""]")</f>
        <v>["bag","13121100"]</v>
      </c>
      <c r="S967" s="148" t="str">
        <f>IFERROR(__xludf.DUMMYFUNCTION("""COMPUTED_VALUE"""),"{""effect"":[{""typ"":""city_skin"",""id"":13121100,""val"":-1},{""typ"":""item"",""id"":11112030,""val"":4000}]}")</f>
        <v>{"effect":[{"typ":"city_skin","id":13121100,"val":-1},{"typ":"item","id":11112030,"val":4000}]}</v>
      </c>
      <c r="T967" s="148">
        <f>IFERROR(__xludf.DUMMYFUNCTION("""COMPUTED_VALUE"""),-1.0)</f>
        <v>-1</v>
      </c>
      <c r="U967" s="148">
        <f>IFERROR(__xludf.DUMMYFUNCTION("""COMPUTED_VALUE"""),0.0)</f>
        <v>0</v>
      </c>
      <c r="V967" s="148" t="str">
        <f>IFERROR(__xludf.DUMMYFUNCTION("""COMPUTED_VALUE"""),"[]")</f>
        <v>[]</v>
      </c>
      <c r="W967" s="148">
        <f>IFERROR(__xludf.DUMMYFUNCTION("""COMPUTED_VALUE"""),1.174E7)</f>
        <v>11740000</v>
      </c>
      <c r="X967" s="148">
        <f>IFERROR(__xludf.DUMMYFUNCTION("""COMPUTED_VALUE"""),0.0)</f>
        <v>0</v>
      </c>
      <c r="Y967" s="148">
        <f>IFERROR(__xludf.DUMMYFUNCTION("""COMPUTED_VALUE"""),0.0)</f>
        <v>0</v>
      </c>
      <c r="Z967" s="148"/>
    </row>
    <row r="968">
      <c r="A968" s="148">
        <f>IFERROR(__xludf.DUMMYFUNCTION("""COMPUTED_VALUE"""),1.1112775E7)</f>
        <v>11112775</v>
      </c>
      <c r="B968" s="148" t="str">
        <f>IFERROR(__xludf.DUMMYFUNCTION("""COMPUTED_VALUE"""),"主城皮肤-春节2026-2天")</f>
        <v>主城皮肤-春节2026-2天</v>
      </c>
      <c r="C968" s="148"/>
      <c r="D968" s="148" t="str">
        <f>IFERROR(__xludf.DUMMYFUNCTION("""COMPUTED_VALUE"""),"city_skin")</f>
        <v>city_skin</v>
      </c>
      <c r="E968" s="148">
        <f>IFERROR(__xludf.DUMMYFUNCTION("""COMPUTED_VALUE"""),21.0)</f>
        <v>21</v>
      </c>
      <c r="F968" s="148">
        <f>IFERROR(__xludf.DUMMYFUNCTION("""COMPUTED_VALUE"""),404201.0)</f>
        <v>404201</v>
      </c>
      <c r="G968" s="148">
        <f>IFERROR(__xludf.DUMMYFUNCTION("""COMPUTED_VALUE"""),1.5110405E8)</f>
        <v>151104050</v>
      </c>
      <c r="H968" s="148">
        <f>IFERROR(__xludf.DUMMYFUNCTION("""COMPUTED_VALUE"""),1.5112563E7)</f>
        <v>15112563</v>
      </c>
      <c r="I968" s="148" t="str">
        <f>IFERROR(__xludf.DUMMYFUNCTION("""COMPUTED_VALUE"""),"{""typ"":""lc"",""txt"":""LC_ITEM_time_day_upper_show"",""args"":[{""typ"":""int"",""val"":2}]}")</f>
        <v>{"typ":"lc","txt":"LC_ITEM_time_day_upper_show","args":[{"typ":"int","val":2}]}</v>
      </c>
      <c r="J968" s="148" t="str">
        <f>IFERROR(__xludf.DUMMYFUNCTION("""COMPUTED_VALUE"""),"{""typ"":""lc"",""txt"":""LC_ITEM_2026spring_lowcity_skin_title_2day""}")</f>
        <v>{"typ":"lc","txt":"LC_ITEM_2026spring_lowcity_skin_title_2day"}</v>
      </c>
      <c r="K968" s="148" t="str">
        <f>IFERROR(__xludf.DUMMYFUNCTION("""COMPUTED_VALUE"""),"{""typ"":""lc"",""txt"":""LC_ITEM_2026spring_lowcity_skin_desc_2day""}")</f>
        <v>{"typ":"lc","txt":"LC_ITEM_2026spring_lowcity_skin_desc_2day"}</v>
      </c>
      <c r="L968" s="148" t="str">
        <f>IFERROR(__xludf.DUMMYFUNCTION("""COMPUTED_VALUE"""),"{""typ"":""lc"",""txt"":""LC_ITEM_city_skin_rocket_use_tips""}")</f>
        <v>{"typ":"lc","txt":"LC_ITEM_city_skin_rocket_use_tips"}</v>
      </c>
      <c r="M968" s="148">
        <f>IFERROR(__xludf.DUMMYFUNCTION("""COMPUTED_VALUE"""),10000.0)</f>
        <v>10000</v>
      </c>
      <c r="N968" s="148">
        <f>IFERROR(__xludf.DUMMYFUNCTION("""COMPUTED_VALUE"""),999.0)</f>
        <v>999</v>
      </c>
      <c r="O968" s="148">
        <f>IFERROR(__xludf.DUMMYFUNCTION("""COMPUTED_VALUE"""),1.0)</f>
        <v>1</v>
      </c>
      <c r="P968" s="148">
        <f>IFERROR(__xludf.DUMMYFUNCTION("""COMPUTED_VALUE"""),1.0)</f>
        <v>1</v>
      </c>
      <c r="Q968" s="148" t="str">
        <f>IFERROR(__xludf.DUMMYFUNCTION("""COMPUTED_VALUE"""),"[""bag_other""]")</f>
        <v>["bag_other"]</v>
      </c>
      <c r="R968" s="148" t="str">
        <f>IFERROR(__xludf.DUMMYFUNCTION("""COMPUTED_VALUE"""),"[""bag"",""13121100""]")</f>
        <v>["bag","13121100"]</v>
      </c>
      <c r="S968" s="148" t="str">
        <f>IFERROR(__xludf.DUMMYFUNCTION("""COMPUTED_VALUE"""),"{""effect"":[{""typ"":""city_skin"",""id"":13121100,""val"":172800000},{""typ"":""item"",""id"":11111021,""val"":1}]}")</f>
        <v>{"effect":[{"typ":"city_skin","id":13121100,"val":172800000},{"typ":"item","id":11111021,"val":1}]}</v>
      </c>
      <c r="T968" s="148">
        <f>IFERROR(__xludf.DUMMYFUNCTION("""COMPUTED_VALUE"""),-1.0)</f>
        <v>-1</v>
      </c>
      <c r="U968" s="148">
        <f>IFERROR(__xludf.DUMMYFUNCTION("""COMPUTED_VALUE"""),0.0)</f>
        <v>0</v>
      </c>
      <c r="V968" s="148" t="str">
        <f>IFERROR(__xludf.DUMMYFUNCTION("""COMPUTED_VALUE"""),"[]")</f>
        <v>[]</v>
      </c>
      <c r="W968" s="148">
        <f>IFERROR(__xludf.DUMMYFUNCTION("""COMPUTED_VALUE"""),1.174E7)</f>
        <v>11740000</v>
      </c>
      <c r="X968" s="148">
        <f>IFERROR(__xludf.DUMMYFUNCTION("""COMPUTED_VALUE"""),0.0)</f>
        <v>0</v>
      </c>
      <c r="Y968" s="148">
        <f>IFERROR(__xludf.DUMMYFUNCTION("""COMPUTED_VALUE"""),0.0)</f>
        <v>0</v>
      </c>
      <c r="Z968" s="148"/>
    </row>
    <row r="969">
      <c r="A969" s="148">
        <f>IFERROR(__xludf.DUMMYFUNCTION("""COMPUTED_VALUE"""),1.1112776E7)</f>
        <v>11112776</v>
      </c>
      <c r="B969" s="148" t="str">
        <f>IFERROR(__xludf.DUMMYFUNCTION("""COMPUTED_VALUE"""),"主城皮肤-春节2026-7天")</f>
        <v>主城皮肤-春节2026-7天</v>
      </c>
      <c r="C969" s="148"/>
      <c r="D969" s="148" t="str">
        <f>IFERROR(__xludf.DUMMYFUNCTION("""COMPUTED_VALUE"""),"city_skin")</f>
        <v>city_skin</v>
      </c>
      <c r="E969" s="148">
        <f>IFERROR(__xludf.DUMMYFUNCTION("""COMPUTED_VALUE"""),21.0)</f>
        <v>21</v>
      </c>
      <c r="F969" s="148">
        <f>IFERROR(__xludf.DUMMYFUNCTION("""COMPUTED_VALUE"""),404201.0)</f>
        <v>404201</v>
      </c>
      <c r="G969" s="148">
        <f>IFERROR(__xludf.DUMMYFUNCTION("""COMPUTED_VALUE"""),1.5110405E8)</f>
        <v>151104050</v>
      </c>
      <c r="H969" s="148">
        <f>IFERROR(__xludf.DUMMYFUNCTION("""COMPUTED_VALUE"""),1.5112564E7)</f>
        <v>15112564</v>
      </c>
      <c r="I969" s="148" t="str">
        <f>IFERROR(__xludf.DUMMYFUNCTION("""COMPUTED_VALUE"""),"{""typ"":""lc"",""txt"":""LC_ITEM_time_day_upper_show"",""args"":[{""typ"":""int"",""val"":7}]}")</f>
        <v>{"typ":"lc","txt":"LC_ITEM_time_day_upper_show","args":[{"typ":"int","val":7}]}</v>
      </c>
      <c r="J969" s="148" t="str">
        <f>IFERROR(__xludf.DUMMYFUNCTION("""COMPUTED_VALUE"""),"{""typ"":""lc"",""txt"":""LC_ITEM_2026spring_lowcity_skin_title_7day""}")</f>
        <v>{"typ":"lc","txt":"LC_ITEM_2026spring_lowcity_skin_title_7day"}</v>
      </c>
      <c r="K969" s="148" t="str">
        <f>IFERROR(__xludf.DUMMYFUNCTION("""COMPUTED_VALUE"""),"{""typ"":""lc"",""txt"":""LC_ITEM_2026spring_lowcity_skin_desc_7day""}")</f>
        <v>{"typ":"lc","txt":"LC_ITEM_2026spring_lowcity_skin_desc_7day"}</v>
      </c>
      <c r="L969" s="148" t="str">
        <f>IFERROR(__xludf.DUMMYFUNCTION("""COMPUTED_VALUE"""),"{""typ"":""lc"",""txt"":""LC_ITEM_city_skin_rocket_use_tips""}")</f>
        <v>{"typ":"lc","txt":"LC_ITEM_city_skin_rocket_use_tips"}</v>
      </c>
      <c r="M969" s="148">
        <f>IFERROR(__xludf.DUMMYFUNCTION("""COMPUTED_VALUE"""),10000.0)</f>
        <v>10000</v>
      </c>
      <c r="N969" s="148">
        <f>IFERROR(__xludf.DUMMYFUNCTION("""COMPUTED_VALUE"""),999.0)</f>
        <v>999</v>
      </c>
      <c r="O969" s="148">
        <f>IFERROR(__xludf.DUMMYFUNCTION("""COMPUTED_VALUE"""),1.0)</f>
        <v>1</v>
      </c>
      <c r="P969" s="148">
        <f>IFERROR(__xludf.DUMMYFUNCTION("""COMPUTED_VALUE"""),1.0)</f>
        <v>1</v>
      </c>
      <c r="Q969" s="148" t="str">
        <f>IFERROR(__xludf.DUMMYFUNCTION("""COMPUTED_VALUE"""),"[""bag_other""]")</f>
        <v>["bag_other"]</v>
      </c>
      <c r="R969" s="148" t="str">
        <f>IFERROR(__xludf.DUMMYFUNCTION("""COMPUTED_VALUE"""),"[""bag"",""13121100""]")</f>
        <v>["bag","13121100"]</v>
      </c>
      <c r="S969" s="148" t="str">
        <f>IFERROR(__xludf.DUMMYFUNCTION("""COMPUTED_VALUE"""),"{""effect"":[{""typ"":""city_skin"",""id"":13121100,""val"":604800000},{""typ"":""item"",""id"":11111021,""val"":3}]}")</f>
        <v>{"effect":[{"typ":"city_skin","id":13121100,"val":604800000},{"typ":"item","id":11111021,"val":3}]}</v>
      </c>
      <c r="T969" s="148">
        <f>IFERROR(__xludf.DUMMYFUNCTION("""COMPUTED_VALUE"""),-1.0)</f>
        <v>-1</v>
      </c>
      <c r="U969" s="148">
        <f>IFERROR(__xludf.DUMMYFUNCTION("""COMPUTED_VALUE"""),0.0)</f>
        <v>0</v>
      </c>
      <c r="V969" s="148" t="str">
        <f>IFERROR(__xludf.DUMMYFUNCTION("""COMPUTED_VALUE"""),"[]")</f>
        <v>[]</v>
      </c>
      <c r="W969" s="148">
        <f>IFERROR(__xludf.DUMMYFUNCTION("""COMPUTED_VALUE"""),1.174E7)</f>
        <v>11740000</v>
      </c>
      <c r="X969" s="148">
        <f>IFERROR(__xludf.DUMMYFUNCTION("""COMPUTED_VALUE"""),0.0)</f>
        <v>0</v>
      </c>
      <c r="Y969" s="148">
        <f>IFERROR(__xludf.DUMMYFUNCTION("""COMPUTED_VALUE"""),0.0)</f>
        <v>0</v>
      </c>
      <c r="Z969" s="148"/>
    </row>
    <row r="970">
      <c r="A970" s="148">
        <f>IFERROR(__xludf.DUMMYFUNCTION("""COMPUTED_VALUE"""),1.1112777E7)</f>
        <v>11112777</v>
      </c>
      <c r="B970" s="148" t="str">
        <f>IFERROR(__xludf.DUMMYFUNCTION("""COMPUTED_VALUE"""),"主城皮肤-春节2026-14天")</f>
        <v>主城皮肤-春节2026-14天</v>
      </c>
      <c r="C970" s="148"/>
      <c r="D970" s="148" t="str">
        <f>IFERROR(__xludf.DUMMYFUNCTION("""COMPUTED_VALUE"""),"city_skin")</f>
        <v>city_skin</v>
      </c>
      <c r="E970" s="148">
        <f>IFERROR(__xludf.DUMMYFUNCTION("""COMPUTED_VALUE"""),21.0)</f>
        <v>21</v>
      </c>
      <c r="F970" s="148">
        <f>IFERROR(__xludf.DUMMYFUNCTION("""COMPUTED_VALUE"""),404201.0)</f>
        <v>404201</v>
      </c>
      <c r="G970" s="148">
        <f>IFERROR(__xludf.DUMMYFUNCTION("""COMPUTED_VALUE"""),1.5110405E8)</f>
        <v>151104050</v>
      </c>
      <c r="H970" s="148">
        <f>IFERROR(__xludf.DUMMYFUNCTION("""COMPUTED_VALUE"""),1.5112564E7)</f>
        <v>15112564</v>
      </c>
      <c r="I970" s="148" t="str">
        <f>IFERROR(__xludf.DUMMYFUNCTION("""COMPUTED_VALUE"""),"{""typ"":""lc"",""txt"":""LC_ITEM_time_day_upper_show"",""args"":[{""typ"":""int"",""val"":14}]}")</f>
        <v>{"typ":"lc","txt":"LC_ITEM_time_day_upper_show","args":[{"typ":"int","val":14}]}</v>
      </c>
      <c r="J970" s="148" t="str">
        <f>IFERROR(__xludf.DUMMYFUNCTION("""COMPUTED_VALUE"""),"{""typ"":""lc"",""txt"":""LC_ITEM_2026spring_lowcity_skin_title_14day""}")</f>
        <v>{"typ":"lc","txt":"LC_ITEM_2026spring_lowcity_skin_title_14day"}</v>
      </c>
      <c r="K970" s="148" t="str">
        <f>IFERROR(__xludf.DUMMYFUNCTION("""COMPUTED_VALUE"""),"{""typ"":""lc"",""txt"":""LC_ITEM_2026spring_lowcity_skin_desc_14day""}")</f>
        <v>{"typ":"lc","txt":"LC_ITEM_2026spring_lowcity_skin_desc_14day"}</v>
      </c>
      <c r="L970" s="148" t="str">
        <f>IFERROR(__xludf.DUMMYFUNCTION("""COMPUTED_VALUE"""),"{""typ"":""lc"",""txt"":""LC_ITEM_city_skin_rocket_use_tips""}")</f>
        <v>{"typ":"lc","txt":"LC_ITEM_city_skin_rocket_use_tips"}</v>
      </c>
      <c r="M970" s="148">
        <f>IFERROR(__xludf.DUMMYFUNCTION("""COMPUTED_VALUE"""),10000.0)</f>
        <v>10000</v>
      </c>
      <c r="N970" s="148">
        <f>IFERROR(__xludf.DUMMYFUNCTION("""COMPUTED_VALUE"""),999.0)</f>
        <v>999</v>
      </c>
      <c r="O970" s="148">
        <f>IFERROR(__xludf.DUMMYFUNCTION("""COMPUTED_VALUE"""),1.0)</f>
        <v>1</v>
      </c>
      <c r="P970" s="148">
        <f>IFERROR(__xludf.DUMMYFUNCTION("""COMPUTED_VALUE"""),1.0)</f>
        <v>1</v>
      </c>
      <c r="Q970" s="148" t="str">
        <f>IFERROR(__xludf.DUMMYFUNCTION("""COMPUTED_VALUE"""),"[""bag_other""]")</f>
        <v>["bag_other"]</v>
      </c>
      <c r="R970" s="148" t="str">
        <f>IFERROR(__xludf.DUMMYFUNCTION("""COMPUTED_VALUE"""),"[""bag"",""13121100""]")</f>
        <v>["bag","13121100"]</v>
      </c>
      <c r="S970" s="148" t="str">
        <f>IFERROR(__xludf.DUMMYFUNCTION("""COMPUTED_VALUE"""),"{""effect"":[{""typ"":""city_skin"",""id"":13121100,""val"":1209600000},{""typ"":""item"",""id"":11111021,""val"":7}]}")</f>
        <v>{"effect":[{"typ":"city_skin","id":13121100,"val":1209600000},{"typ":"item","id":11111021,"val":7}]}</v>
      </c>
      <c r="T970" s="148">
        <f>IFERROR(__xludf.DUMMYFUNCTION("""COMPUTED_VALUE"""),-1.0)</f>
        <v>-1</v>
      </c>
      <c r="U970" s="148">
        <f>IFERROR(__xludf.DUMMYFUNCTION("""COMPUTED_VALUE"""),0.0)</f>
        <v>0</v>
      </c>
      <c r="V970" s="148" t="str">
        <f>IFERROR(__xludf.DUMMYFUNCTION("""COMPUTED_VALUE"""),"[]")</f>
        <v>[]</v>
      </c>
      <c r="W970" s="148">
        <f>IFERROR(__xludf.DUMMYFUNCTION("""COMPUTED_VALUE"""),1.174E7)</f>
        <v>11740000</v>
      </c>
      <c r="X970" s="148">
        <f>IFERROR(__xludf.DUMMYFUNCTION("""COMPUTED_VALUE"""),0.0)</f>
        <v>0</v>
      </c>
      <c r="Y970" s="148">
        <f>IFERROR(__xludf.DUMMYFUNCTION("""COMPUTED_VALUE"""),0.0)</f>
        <v>0</v>
      </c>
      <c r="Z970" s="148"/>
    </row>
    <row r="971">
      <c r="A971" s="148">
        <f>IFERROR(__xludf.DUMMYFUNCTION("""COMPUTED_VALUE"""),1.1112778E7)</f>
        <v>11112778</v>
      </c>
      <c r="B971" s="148" t="str">
        <f>IFERROR(__xludf.DUMMYFUNCTION("""COMPUTED_VALUE"""),"推币机-兑换道具")</f>
        <v>推币机-兑换道具</v>
      </c>
      <c r="C971" s="148"/>
      <c r="D971" s="148" t="str">
        <f>IFERROR(__xludf.DUMMYFUNCTION("""COMPUTED_VALUE"""),"event")</f>
        <v>event</v>
      </c>
      <c r="E971" s="148">
        <f>IFERROR(__xludf.DUMMYFUNCTION("""COMPUTED_VALUE"""),0.0)</f>
        <v>0</v>
      </c>
      <c r="F971" s="148">
        <f>IFERROR(__xludf.DUMMYFUNCTION("""COMPUTED_VALUE"""),405221.0)</f>
        <v>405221</v>
      </c>
      <c r="G971" s="148">
        <f>IFERROR(__xludf.DUMMYFUNCTION("""COMPUTED_VALUE"""),1.51104318E8)</f>
        <v>151104318</v>
      </c>
      <c r="H971" s="148">
        <f>IFERROR(__xludf.DUMMYFUNCTION("""COMPUTED_VALUE"""),1.5112564E7)</f>
        <v>15112564</v>
      </c>
      <c r="I971" s="148" t="str">
        <f>IFERROR(__xludf.DUMMYFUNCTION("""COMPUTED_VALUE"""),"{}")</f>
        <v>{}</v>
      </c>
      <c r="J971" s="148" t="str">
        <f>IFERROR(__xludf.DUMMYFUNCTION("""COMPUTED_VALUE"""),"{""typ"":""lc"",""txt"":""LC_ITEM_coin_game_exchange_item""}")</f>
        <v>{"typ":"lc","txt":"LC_ITEM_coin_game_exchange_item"}</v>
      </c>
      <c r="K971" s="148" t="str">
        <f>IFERROR(__xludf.DUMMYFUNCTION("""COMPUTED_VALUE"""),"{""typ"":""lc"",""txt"":""LC_ITEM_coin_game_exchange_item_desc""}")</f>
        <v>{"typ":"lc","txt":"LC_ITEM_coin_game_exchange_item_desc"}</v>
      </c>
      <c r="L971" s="148" t="str">
        <f>IFERROR(__xludf.DUMMYFUNCTION("""COMPUTED_VALUE"""),"{}")</f>
        <v>{}</v>
      </c>
      <c r="M971" s="148">
        <f>IFERROR(__xludf.DUMMYFUNCTION("""COMPUTED_VALUE"""),100.0)</f>
        <v>100</v>
      </c>
      <c r="N971" s="148">
        <f>IFERROR(__xludf.DUMMYFUNCTION("""COMPUTED_VALUE"""),9.99999999E8)</f>
        <v>999999999</v>
      </c>
      <c r="O971" s="148">
        <f>IFERROR(__xludf.DUMMYFUNCTION("""COMPUTED_VALUE"""),9.99999999E8)</f>
        <v>999999999</v>
      </c>
      <c r="P971" s="148">
        <f>IFERROR(__xludf.DUMMYFUNCTION("""COMPUTED_VALUE"""),9.99999999E8)</f>
        <v>999999999</v>
      </c>
      <c r="Q971" s="148" t="str">
        <f>IFERROR(__xludf.DUMMYFUNCTION("""COMPUTED_VALUE"""),"[""bag_other""]")</f>
        <v>["bag_other"]</v>
      </c>
      <c r="R971" s="148" t="str">
        <f>IFERROR(__xludf.DUMMYFUNCTION("""COMPUTED_VALUE"""),"[""bag""]")</f>
        <v>["bag"]</v>
      </c>
      <c r="S971" s="148" t="str">
        <f>IFERROR(__xludf.DUMMYFUNCTION("""COMPUTED_VALUE"""),"{}")</f>
        <v>{}</v>
      </c>
      <c r="T971" s="148">
        <f>IFERROR(__xludf.DUMMYFUNCTION("""COMPUTED_VALUE"""),-1.0)</f>
        <v>-1</v>
      </c>
      <c r="U971" s="148">
        <f>IFERROR(__xludf.DUMMYFUNCTION("""COMPUTED_VALUE"""),0.0)</f>
        <v>0</v>
      </c>
      <c r="V971" s="148" t="str">
        <f>IFERROR(__xludf.DUMMYFUNCTION("""COMPUTED_VALUE"""),"[]")</f>
        <v>[]</v>
      </c>
      <c r="W971" s="148">
        <f>IFERROR(__xludf.DUMMYFUNCTION("""COMPUTED_VALUE"""),1.174E7)</f>
        <v>11740000</v>
      </c>
      <c r="X971" s="148">
        <f>IFERROR(__xludf.DUMMYFUNCTION("""COMPUTED_VALUE"""),0.0)</f>
        <v>0</v>
      </c>
      <c r="Y971" s="148">
        <f>IFERROR(__xludf.DUMMYFUNCTION("""COMPUTED_VALUE"""),0.0)</f>
        <v>0</v>
      </c>
      <c r="Z971" s="148"/>
    </row>
    <row r="972">
      <c r="A972" s="148">
        <f>IFERROR(__xludf.DUMMYFUNCTION("""COMPUTED_VALUE"""),1.1112779E7)</f>
        <v>11112779</v>
      </c>
      <c r="B972" s="148" t="str">
        <f>IFERROR(__xludf.DUMMYFUNCTION("""COMPUTED_VALUE"""),"2026春节大富翁-装饰升级版本（投放用）")</f>
        <v>2026春节大富翁-装饰升级版本（投放用）</v>
      </c>
      <c r="C972" s="148"/>
      <c r="D972" s="148" t="str">
        <f>IFERROR(__xludf.DUMMYFUNCTION("""COMPUTED_VALUE"""),"statue_decorate")</f>
        <v>statue_decorate</v>
      </c>
      <c r="E972" s="148">
        <f>IFERROR(__xludf.DUMMYFUNCTION("""COMPUTED_VALUE"""),23.0)</f>
        <v>23</v>
      </c>
      <c r="F972" s="148">
        <f>IFERROR(__xludf.DUMMYFUNCTION("""COMPUTED_VALUE"""),0.0)</f>
        <v>0</v>
      </c>
      <c r="G972" s="148">
        <f>IFERROR(__xludf.DUMMYFUNCTION("""COMPUTED_VALUE"""),1.51104057E8)</f>
        <v>151104057</v>
      </c>
      <c r="H972" s="148">
        <f>IFERROR(__xludf.DUMMYFUNCTION("""COMPUTED_VALUE"""),1.5112564E7)</f>
        <v>15112564</v>
      </c>
      <c r="I972" s="148" t="str">
        <f>IFERROR(__xludf.DUMMYFUNCTION("""COMPUTED_VALUE"""),"{}")</f>
        <v>{}</v>
      </c>
      <c r="J972" s="148" t="str">
        <f>IFERROR(__xludf.DUMMYFUNCTION("""COMPUTED_VALUE"""),"{""typ"":""lc"",""txt"":""LC_ITEM_2026spring_dec2_item_2""}")</f>
        <v>{"typ":"lc","txt":"LC_ITEM_2026spring_dec2_item_2"}</v>
      </c>
      <c r="K972" s="148" t="str">
        <f>IFERROR(__xludf.DUMMYFUNCTION("""COMPUTED_VALUE"""),"{""typ"":""lc"",""txt"":""LC_ITEM_2026spring_dec2_item_2_desc""}")</f>
        <v>{"typ":"lc","txt":"LC_ITEM_2026spring_dec2_item_2_desc"}</v>
      </c>
      <c r="L972" s="148" t="str">
        <f>IFERROR(__xludf.DUMMYFUNCTION("""COMPUTED_VALUE"""),"{}")</f>
        <v>{}</v>
      </c>
      <c r="M972" s="148">
        <f>IFERROR(__xludf.DUMMYFUNCTION("""COMPUTED_VALUE"""),5000.0)</f>
        <v>5000</v>
      </c>
      <c r="N972" s="148">
        <f>IFERROR(__xludf.DUMMYFUNCTION("""COMPUTED_VALUE"""),999.0)</f>
        <v>999</v>
      </c>
      <c r="O972" s="148">
        <f>IFERROR(__xludf.DUMMYFUNCTION("""COMPUTED_VALUE"""),99999.0)</f>
        <v>99999</v>
      </c>
      <c r="P972" s="148">
        <f>IFERROR(__xludf.DUMMYFUNCTION("""COMPUTED_VALUE"""),99999.0)</f>
        <v>99999</v>
      </c>
      <c r="Q972" s="148" t="str">
        <f>IFERROR(__xludf.DUMMYFUNCTION("""COMPUTED_VALUE"""),"[]")</f>
        <v>[]</v>
      </c>
      <c r="R972" s="148" t="str">
        <f>IFERROR(__xludf.DUMMYFUNCTION("""COMPUTED_VALUE"""),"[""bag""]")</f>
        <v>["bag"]</v>
      </c>
      <c r="S972" s="148" t="str">
        <f>IFERROR(__xludf.DUMMYFUNCTION("""COMPUTED_VALUE"""),"{""effect"":[{""typ"":""holiday_statue"",""id"":21484101}]}")</f>
        <v>{"effect":[{"typ":"holiday_statue","id":21484101}]}</v>
      </c>
      <c r="T972" s="148">
        <f>IFERROR(__xludf.DUMMYFUNCTION("""COMPUTED_VALUE"""),-1.0)</f>
        <v>-1</v>
      </c>
      <c r="U972" s="148">
        <f>IFERROR(__xludf.DUMMYFUNCTION("""COMPUTED_VALUE"""),1.0)</f>
        <v>1</v>
      </c>
      <c r="V972" s="148" t="str">
        <f>IFERROR(__xludf.DUMMYFUNCTION("""COMPUTED_VALUE"""),"[]")</f>
        <v>[]</v>
      </c>
      <c r="W972" s="148">
        <f>IFERROR(__xludf.DUMMYFUNCTION("""COMPUTED_VALUE"""),1.174E7)</f>
        <v>11740000</v>
      </c>
      <c r="X972" s="148">
        <f>IFERROR(__xludf.DUMMYFUNCTION("""COMPUTED_VALUE"""),0.0)</f>
        <v>0</v>
      </c>
      <c r="Y972" s="148">
        <f>IFERROR(__xludf.DUMMYFUNCTION("""COMPUTED_VALUE"""),0.0)</f>
        <v>0</v>
      </c>
      <c r="Z972" s="148"/>
    </row>
    <row r="973">
      <c r="A973" s="148">
        <f>IFERROR(__xludf.DUMMYFUNCTION("""COMPUTED_VALUE"""),1.111278E7)</f>
        <v>11112780</v>
      </c>
      <c r="B973" s="148" t="str">
        <f>IFERROR(__xludf.DUMMYFUNCTION("""COMPUTED_VALUE"""),"2026春节大富翁-装饰升级道具")</f>
        <v>2026春节大富翁-装饰升级道具</v>
      </c>
      <c r="C973" s="148"/>
      <c r="D973" s="148" t="str">
        <f>IFERROR(__xludf.DUMMYFUNCTION("""COMPUTED_VALUE"""),"event")</f>
        <v>event</v>
      </c>
      <c r="E973" s="148">
        <f>IFERROR(__xludf.DUMMYFUNCTION("""COMPUTED_VALUE"""),0.0)</f>
        <v>0</v>
      </c>
      <c r="F973" s="148">
        <f>IFERROR(__xludf.DUMMYFUNCTION("""COMPUTED_VALUE"""),405243.0)</f>
        <v>405243</v>
      </c>
      <c r="G973" s="148">
        <f>IFERROR(__xludf.DUMMYFUNCTION("""COMPUTED_VALUE"""),1.51104057E8)</f>
        <v>151104057</v>
      </c>
      <c r="H973" s="148">
        <f>IFERROR(__xludf.DUMMYFUNCTION("""COMPUTED_VALUE"""),1.5112564E7)</f>
        <v>15112564</v>
      </c>
      <c r="I973" s="148" t="str">
        <f>IFERROR(__xludf.DUMMYFUNCTION("""COMPUTED_VALUE"""),"{}")</f>
        <v>{}</v>
      </c>
      <c r="J973" s="148" t="str">
        <f>IFERROR(__xludf.DUMMYFUNCTION("""COMPUTED_VALUE"""),"{""typ"":""lc"",""txt"":""LC_ITEM_2026spring_dec2_item_2""}")</f>
        <v>{"typ":"lc","txt":"LC_ITEM_2026spring_dec2_item_2"}</v>
      </c>
      <c r="K973" s="148" t="str">
        <f>IFERROR(__xludf.DUMMYFUNCTION("""COMPUTED_VALUE"""),"{""typ"":""lc"",""txt"":""LC_ITEM_2026spring_dec2_item_2_desc""}")</f>
        <v>{"typ":"lc","txt":"LC_ITEM_2026spring_dec2_item_2_desc"}</v>
      </c>
      <c r="L973" s="148" t="str">
        <f>IFERROR(__xludf.DUMMYFUNCTION("""COMPUTED_VALUE"""),"{}")</f>
        <v>{}</v>
      </c>
      <c r="M973" s="148">
        <f>IFERROR(__xludf.DUMMYFUNCTION("""COMPUTED_VALUE"""),1000.0)</f>
        <v>1000</v>
      </c>
      <c r="N973" s="148">
        <f>IFERROR(__xludf.DUMMYFUNCTION("""COMPUTED_VALUE"""),9.99999999E8)</f>
        <v>999999999</v>
      </c>
      <c r="O973" s="148">
        <f>IFERROR(__xludf.DUMMYFUNCTION("""COMPUTED_VALUE"""),9.99999999E8)</f>
        <v>999999999</v>
      </c>
      <c r="P973" s="148">
        <f>IFERROR(__xludf.DUMMYFUNCTION("""COMPUTED_VALUE"""),9.99999999E8)</f>
        <v>999999999</v>
      </c>
      <c r="Q973" s="148" t="str">
        <f>IFERROR(__xludf.DUMMYFUNCTION("""COMPUTED_VALUE"""),"[""bag_other""]")</f>
        <v>["bag_other"]</v>
      </c>
      <c r="R973" s="148" t="str">
        <f>IFERROR(__xludf.DUMMYFUNCTION("""COMPUTED_VALUE"""),"[]")</f>
        <v>[]</v>
      </c>
      <c r="S973" s="148" t="str">
        <f>IFERROR(__xludf.DUMMYFUNCTION("""COMPUTED_VALUE"""),"{}")</f>
        <v>{}</v>
      </c>
      <c r="T973" s="148">
        <f>IFERROR(__xludf.DUMMYFUNCTION("""COMPUTED_VALUE"""),-1.0)</f>
        <v>-1</v>
      </c>
      <c r="U973" s="148">
        <f>IFERROR(__xludf.DUMMYFUNCTION("""COMPUTED_VALUE"""),0.0)</f>
        <v>0</v>
      </c>
      <c r="V973" s="148" t="str">
        <f>IFERROR(__xludf.DUMMYFUNCTION("""COMPUTED_VALUE"""),"[]")</f>
        <v>[]</v>
      </c>
      <c r="W973" s="148">
        <f>IFERROR(__xludf.DUMMYFUNCTION("""COMPUTED_VALUE"""),1.174E7)</f>
        <v>11740000</v>
      </c>
      <c r="X973" s="148">
        <f>IFERROR(__xludf.DUMMYFUNCTION("""COMPUTED_VALUE"""),0.0)</f>
        <v>0</v>
      </c>
      <c r="Y973" s="148">
        <f>IFERROR(__xludf.DUMMYFUNCTION("""COMPUTED_VALUE"""),0.0)</f>
        <v>0</v>
      </c>
      <c r="Z973" s="148"/>
    </row>
    <row r="974">
      <c r="A974" s="148">
        <f>IFERROR(__xludf.DUMMYFUNCTION("""COMPUTED_VALUE"""),1.1112781E7)</f>
        <v>11112781</v>
      </c>
      <c r="B974" s="148" t="str">
        <f>IFERROR(__xludf.DUMMYFUNCTION("""COMPUTED_VALUE"""),"涂饰-2026春节大富翁-涂饰道具-一天")</f>
        <v>涂饰-2026春节大富翁-涂饰道具-一天</v>
      </c>
      <c r="C974" s="148"/>
      <c r="D974" s="148" t="str">
        <f>IFERROR(__xludf.DUMMYFUNCTION("""COMPUTED_VALUE"""),"decorate_paint")</f>
        <v>decorate_paint</v>
      </c>
      <c r="E974" s="148">
        <f>IFERROR(__xludf.DUMMYFUNCTION("""COMPUTED_VALUE"""),0.0)</f>
        <v>0</v>
      </c>
      <c r="F974" s="148">
        <f>IFERROR(__xludf.DUMMYFUNCTION("""COMPUTED_VALUE"""),0.0)</f>
        <v>0</v>
      </c>
      <c r="G974" s="148">
        <f>IFERROR(__xludf.DUMMYFUNCTION("""COMPUTED_VALUE"""),1.51104321E8)</f>
        <v>151104321</v>
      </c>
      <c r="H974" s="148">
        <f>IFERROR(__xludf.DUMMYFUNCTION("""COMPUTED_VALUE"""),1.5112564E7)</f>
        <v>15112564</v>
      </c>
      <c r="I974" s="148" t="str">
        <f>IFERROR(__xludf.DUMMYFUNCTION("""COMPUTED_VALUE"""),"{}")</f>
        <v>{}</v>
      </c>
      <c r="J974" s="148" t="str">
        <f>IFERROR(__xludf.DUMMYFUNCTION("""COMPUTED_VALUE"""),"{""typ"":""lc"",""txt"":""LC_ITEM_2026spring_paint_decoration_paint_name""}")</f>
        <v>{"typ":"lc","txt":"LC_ITEM_2026spring_paint_decoration_paint_name"}</v>
      </c>
      <c r="K974" s="148" t="str">
        <f>IFERROR(__xludf.DUMMYFUNCTION("""COMPUTED_VALUE"""),"{""typ"":""lc"",""txt"":""LC_ITEM_2026spring_paint_decoration_paint_desc""}")</f>
        <v>{"typ":"lc","txt":"LC_ITEM_2026spring_paint_decoration_paint_desc"}</v>
      </c>
      <c r="L974" s="148" t="str">
        <f>IFERROR(__xludf.DUMMYFUNCTION("""COMPUTED_VALUE"""),"{""typ"":""lc"",""txt"":""LC_TIP_use_success""}")</f>
        <v>{"typ":"lc","txt":"LC_TIP_use_success"}</v>
      </c>
      <c r="M974" s="148">
        <f>IFERROR(__xludf.DUMMYFUNCTION("""COMPUTED_VALUE"""),1000.0)</f>
        <v>1000</v>
      </c>
      <c r="N974" s="148">
        <f>IFERROR(__xludf.DUMMYFUNCTION("""COMPUTED_VALUE"""),9.99999999E8)</f>
        <v>999999999</v>
      </c>
      <c r="O974" s="148">
        <f>IFERROR(__xludf.DUMMYFUNCTION("""COMPUTED_VALUE"""),9.99999999E8)</f>
        <v>999999999</v>
      </c>
      <c r="P974" s="148">
        <f>IFERROR(__xludf.DUMMYFUNCTION("""COMPUTED_VALUE"""),1.0)</f>
        <v>1</v>
      </c>
      <c r="Q974" s="148" t="str">
        <f>IFERROR(__xludf.DUMMYFUNCTION("""COMPUTED_VALUE"""),"[""bag_other""]")</f>
        <v>["bag_other"]</v>
      </c>
      <c r="R974" s="148" t="str">
        <f>IFERROR(__xludf.DUMMYFUNCTION("""COMPUTED_VALUE"""),"[""bag"",""214841""]")</f>
        <v>["bag","214841"]</v>
      </c>
      <c r="S974" s="148" t="str">
        <f>IFERROR(__xludf.DUMMYFUNCTION("""COMPUTED_VALUE"""),"{""effect"":[{""typ"":""decorate_paint"",""id"":214841,""val"":86400000},{""typ"":""item"",""id"":11112781,""val"":1}]}")</f>
        <v>{"effect":[{"typ":"decorate_paint","id":214841,"val":86400000},{"typ":"item","id":11112781,"val":1}]}</v>
      </c>
      <c r="T974" s="148">
        <f>IFERROR(__xludf.DUMMYFUNCTION("""COMPUTED_VALUE"""),-1.0)</f>
        <v>-1</v>
      </c>
      <c r="U974" s="148">
        <f>IFERROR(__xludf.DUMMYFUNCTION("""COMPUTED_VALUE"""),0.0)</f>
        <v>0</v>
      </c>
      <c r="V974" s="148" t="str">
        <f>IFERROR(__xludf.DUMMYFUNCTION("""COMPUTED_VALUE"""),"[]")</f>
        <v>[]</v>
      </c>
      <c r="W974" s="148">
        <f>IFERROR(__xludf.DUMMYFUNCTION("""COMPUTED_VALUE"""),1.174E7)</f>
        <v>11740000</v>
      </c>
      <c r="X974" s="148">
        <f>IFERROR(__xludf.DUMMYFUNCTION("""COMPUTED_VALUE"""),1.1684718E7)</f>
        <v>11684718</v>
      </c>
      <c r="Y974" s="148">
        <f>IFERROR(__xludf.DUMMYFUNCTION("""COMPUTED_VALUE"""),0.0)</f>
        <v>0</v>
      </c>
      <c r="Z974" s="148"/>
    </row>
    <row r="975">
      <c r="A975" s="148">
        <f>IFERROR(__xludf.DUMMYFUNCTION("""COMPUTED_VALUE"""),1.1112782E7)</f>
        <v>11112782</v>
      </c>
      <c r="B975" s="148" t="str">
        <f>IFERROR(__xludf.DUMMYFUNCTION("""COMPUTED_VALUE"""),"2026情人节大富翁-装饰升级版本（投放用）")</f>
        <v>2026情人节大富翁-装饰升级版本（投放用）</v>
      </c>
      <c r="C975" s="148"/>
      <c r="D975" s="148" t="str">
        <f>IFERROR(__xludf.DUMMYFUNCTION("""COMPUTED_VALUE"""),"statue_decorate")</f>
        <v>statue_decorate</v>
      </c>
      <c r="E975" s="148">
        <f>IFERROR(__xludf.DUMMYFUNCTION("""COMPUTED_VALUE"""),23.0)</f>
        <v>23</v>
      </c>
      <c r="F975" s="148">
        <f>IFERROR(__xludf.DUMMYFUNCTION("""COMPUTED_VALUE"""),0.0)</f>
        <v>0</v>
      </c>
      <c r="G975" s="148">
        <f>IFERROR(__xludf.DUMMYFUNCTION("""COMPUTED_VALUE"""),1.51104327E8)</f>
        <v>151104327</v>
      </c>
      <c r="H975" s="148">
        <f>IFERROR(__xludf.DUMMYFUNCTION("""COMPUTED_VALUE"""),1.5112564E7)</f>
        <v>15112564</v>
      </c>
      <c r="I975" s="148" t="str">
        <f>IFERROR(__xludf.DUMMYFUNCTION("""COMPUTED_VALUE"""),"{}")</f>
        <v>{}</v>
      </c>
      <c r="J975" s="148" t="str">
        <f>IFERROR(__xludf.DUMMYFUNCTION("""COMPUTED_VALUE"""),"{""typ"":""lc"",""txt"":""LC_ITEM_2026valentine_dec2_item_2""}")</f>
        <v>{"typ":"lc","txt":"LC_ITEM_2026valentine_dec2_item_2"}</v>
      </c>
      <c r="K975" s="148" t="str">
        <f>IFERROR(__xludf.DUMMYFUNCTION("""COMPUTED_VALUE"""),"{""typ"":""lc"",""txt"":""LC_ITEM_2026valentine_dec2_item_3_desc""}")</f>
        <v>{"typ":"lc","txt":"LC_ITEM_2026valentine_dec2_item_3_desc"}</v>
      </c>
      <c r="L975" s="148" t="str">
        <f>IFERROR(__xludf.DUMMYFUNCTION("""COMPUTED_VALUE"""),"{}")</f>
        <v>{}</v>
      </c>
      <c r="M975" s="148">
        <f>IFERROR(__xludf.DUMMYFUNCTION("""COMPUTED_VALUE"""),5000.0)</f>
        <v>5000</v>
      </c>
      <c r="N975" s="148">
        <f>IFERROR(__xludf.DUMMYFUNCTION("""COMPUTED_VALUE"""),999.0)</f>
        <v>999</v>
      </c>
      <c r="O975" s="148">
        <f>IFERROR(__xludf.DUMMYFUNCTION("""COMPUTED_VALUE"""),99999.0)</f>
        <v>99999</v>
      </c>
      <c r="P975" s="148">
        <f>IFERROR(__xludf.DUMMYFUNCTION("""COMPUTED_VALUE"""),99999.0)</f>
        <v>99999</v>
      </c>
      <c r="Q975" s="148" t="str">
        <f>IFERROR(__xludf.DUMMYFUNCTION("""COMPUTED_VALUE"""),"[]")</f>
        <v>[]</v>
      </c>
      <c r="R975" s="148" t="str">
        <f>IFERROR(__xludf.DUMMYFUNCTION("""COMPUTED_VALUE"""),"[""bag""]")</f>
        <v>["bag"]</v>
      </c>
      <c r="S975" s="148" t="str">
        <f>IFERROR(__xludf.DUMMYFUNCTION("""COMPUTED_VALUE"""),"{""effect"":[{""typ"":""holiday_statue"",""id"":21484201}]}")</f>
        <v>{"effect":[{"typ":"holiday_statue","id":21484201}]}</v>
      </c>
      <c r="T975" s="148">
        <f>IFERROR(__xludf.DUMMYFUNCTION("""COMPUTED_VALUE"""),-1.0)</f>
        <v>-1</v>
      </c>
      <c r="U975" s="148">
        <f>IFERROR(__xludf.DUMMYFUNCTION("""COMPUTED_VALUE"""),1.0)</f>
        <v>1</v>
      </c>
      <c r="V975" s="148" t="str">
        <f>IFERROR(__xludf.DUMMYFUNCTION("""COMPUTED_VALUE"""),"[]")</f>
        <v>[]</v>
      </c>
      <c r="W975" s="148">
        <f>IFERROR(__xludf.DUMMYFUNCTION("""COMPUTED_VALUE"""),1.174E7)</f>
        <v>11740000</v>
      </c>
      <c r="X975" s="148">
        <f>IFERROR(__xludf.DUMMYFUNCTION("""COMPUTED_VALUE"""),0.0)</f>
        <v>0</v>
      </c>
      <c r="Y975" s="148">
        <f>IFERROR(__xludf.DUMMYFUNCTION("""COMPUTED_VALUE"""),0.0)</f>
        <v>0</v>
      </c>
      <c r="Z975" s="148"/>
    </row>
    <row r="976">
      <c r="A976" s="148">
        <f>IFERROR(__xludf.DUMMYFUNCTION("""COMPUTED_VALUE"""),1.1112783E7)</f>
        <v>11112783</v>
      </c>
      <c r="B976" s="148" t="str">
        <f>IFERROR(__xludf.DUMMYFUNCTION("""COMPUTED_VALUE"""),"2026情人节大富翁-装饰升级道具")</f>
        <v>2026情人节大富翁-装饰升级道具</v>
      </c>
      <c r="C976" s="148"/>
      <c r="D976" s="148" t="str">
        <f>IFERROR(__xludf.DUMMYFUNCTION("""COMPUTED_VALUE"""),"event")</f>
        <v>event</v>
      </c>
      <c r="E976" s="148">
        <f>IFERROR(__xludf.DUMMYFUNCTION("""COMPUTED_VALUE"""),0.0)</f>
        <v>0</v>
      </c>
      <c r="F976" s="148">
        <f>IFERROR(__xludf.DUMMYFUNCTION("""COMPUTED_VALUE"""),405243.0)</f>
        <v>405243</v>
      </c>
      <c r="G976" s="148">
        <f>IFERROR(__xludf.DUMMYFUNCTION("""COMPUTED_VALUE"""),1.51104327E8)</f>
        <v>151104327</v>
      </c>
      <c r="H976" s="148">
        <f>IFERROR(__xludf.DUMMYFUNCTION("""COMPUTED_VALUE"""),1.5112564E7)</f>
        <v>15112564</v>
      </c>
      <c r="I976" s="148" t="str">
        <f>IFERROR(__xludf.DUMMYFUNCTION("""COMPUTED_VALUE"""),"{}")</f>
        <v>{}</v>
      </c>
      <c r="J976" s="148" t="str">
        <f>IFERROR(__xludf.DUMMYFUNCTION("""COMPUTED_VALUE"""),"{""typ"":""lc"",""txt"":""LC_ITEM_2026valentine_dec2_item_2""}")</f>
        <v>{"typ":"lc","txt":"LC_ITEM_2026valentine_dec2_item_2"}</v>
      </c>
      <c r="K976" s="148" t="str">
        <f>IFERROR(__xludf.DUMMYFUNCTION("""COMPUTED_VALUE"""),"{""typ"":""lc"",""txt"":""LC_ITEM_2026valentine_dec2_item_3_desc""}")</f>
        <v>{"typ":"lc","txt":"LC_ITEM_2026valentine_dec2_item_3_desc"}</v>
      </c>
      <c r="L976" s="148" t="str">
        <f>IFERROR(__xludf.DUMMYFUNCTION("""COMPUTED_VALUE"""),"{}")</f>
        <v>{}</v>
      </c>
      <c r="M976" s="148">
        <f>IFERROR(__xludf.DUMMYFUNCTION("""COMPUTED_VALUE"""),1000.0)</f>
        <v>1000</v>
      </c>
      <c r="N976" s="148">
        <f>IFERROR(__xludf.DUMMYFUNCTION("""COMPUTED_VALUE"""),9.99999999E8)</f>
        <v>999999999</v>
      </c>
      <c r="O976" s="148">
        <f>IFERROR(__xludf.DUMMYFUNCTION("""COMPUTED_VALUE"""),9.99999999E8)</f>
        <v>999999999</v>
      </c>
      <c r="P976" s="148">
        <f>IFERROR(__xludf.DUMMYFUNCTION("""COMPUTED_VALUE"""),9.99999999E8)</f>
        <v>999999999</v>
      </c>
      <c r="Q976" s="148" t="str">
        <f>IFERROR(__xludf.DUMMYFUNCTION("""COMPUTED_VALUE"""),"[""bag_other""]")</f>
        <v>["bag_other"]</v>
      </c>
      <c r="R976" s="148" t="str">
        <f>IFERROR(__xludf.DUMMYFUNCTION("""COMPUTED_VALUE"""),"[]")</f>
        <v>[]</v>
      </c>
      <c r="S976" s="148" t="str">
        <f>IFERROR(__xludf.DUMMYFUNCTION("""COMPUTED_VALUE"""),"{}")</f>
        <v>{}</v>
      </c>
      <c r="T976" s="148">
        <f>IFERROR(__xludf.DUMMYFUNCTION("""COMPUTED_VALUE"""),-1.0)</f>
        <v>-1</v>
      </c>
      <c r="U976" s="148">
        <f>IFERROR(__xludf.DUMMYFUNCTION("""COMPUTED_VALUE"""),0.0)</f>
        <v>0</v>
      </c>
      <c r="V976" s="148" t="str">
        <f>IFERROR(__xludf.DUMMYFUNCTION("""COMPUTED_VALUE"""),"[]")</f>
        <v>[]</v>
      </c>
      <c r="W976" s="148">
        <f>IFERROR(__xludf.DUMMYFUNCTION("""COMPUTED_VALUE"""),1.174E7)</f>
        <v>11740000</v>
      </c>
      <c r="X976" s="148">
        <f>IFERROR(__xludf.DUMMYFUNCTION("""COMPUTED_VALUE"""),0.0)</f>
        <v>0</v>
      </c>
      <c r="Y976" s="148">
        <f>IFERROR(__xludf.DUMMYFUNCTION("""COMPUTED_VALUE"""),0.0)</f>
        <v>0</v>
      </c>
      <c r="Z976" s="148"/>
    </row>
    <row r="977">
      <c r="A977" s="148">
        <f>IFERROR(__xludf.DUMMYFUNCTION("""COMPUTED_VALUE"""),1.1112784E7)</f>
        <v>11112784</v>
      </c>
      <c r="B977" s="148" t="str">
        <f>IFERROR(__xludf.DUMMYFUNCTION("""COMPUTED_VALUE"""),"涂饰-2026情人节大富翁-涂饰道具-一天")</f>
        <v>涂饰-2026情人节大富翁-涂饰道具-一天</v>
      </c>
      <c r="C977" s="148"/>
      <c r="D977" s="148" t="str">
        <f>IFERROR(__xludf.DUMMYFUNCTION("""COMPUTED_VALUE"""),"decorate_paint")</f>
        <v>decorate_paint</v>
      </c>
      <c r="E977" s="148">
        <f>IFERROR(__xludf.DUMMYFUNCTION("""COMPUTED_VALUE"""),0.0)</f>
        <v>0</v>
      </c>
      <c r="F977" s="148">
        <f>IFERROR(__xludf.DUMMYFUNCTION("""COMPUTED_VALUE"""),0.0)</f>
        <v>0</v>
      </c>
      <c r="G977" s="148">
        <f>IFERROR(__xludf.DUMMYFUNCTION("""COMPUTED_VALUE"""),1.51104328E8)</f>
        <v>151104328</v>
      </c>
      <c r="H977" s="148">
        <f>IFERROR(__xludf.DUMMYFUNCTION("""COMPUTED_VALUE"""),1.5112564E7)</f>
        <v>15112564</v>
      </c>
      <c r="I977" s="148" t="str">
        <f>IFERROR(__xludf.DUMMYFUNCTION("""COMPUTED_VALUE"""),"{}")</f>
        <v>{}</v>
      </c>
      <c r="J977" s="148" t="str">
        <f>IFERROR(__xludf.DUMMYFUNCTION("""COMPUTED_VALUE"""),"{""typ"":""lc"",""txt"":""LC_ITEM_2026valentine_paint_decoration_paint_name""}")</f>
        <v>{"typ":"lc","txt":"LC_ITEM_2026valentine_paint_decoration_paint_name"}</v>
      </c>
      <c r="K977" s="148" t="str">
        <f>IFERROR(__xludf.DUMMYFUNCTION("""COMPUTED_VALUE"""),"{""typ"":""lc"",""txt"":""LC_ITEM_2026valentine_paint_decoration_paint_desc""}")</f>
        <v>{"typ":"lc","txt":"LC_ITEM_2026valentine_paint_decoration_paint_desc"}</v>
      </c>
      <c r="L977" s="148" t="str">
        <f>IFERROR(__xludf.DUMMYFUNCTION("""COMPUTED_VALUE"""),"{""typ"":""lc"",""txt"":""LC_TIP_use_success""}")</f>
        <v>{"typ":"lc","txt":"LC_TIP_use_success"}</v>
      </c>
      <c r="M977" s="148">
        <f>IFERROR(__xludf.DUMMYFUNCTION("""COMPUTED_VALUE"""),1000.0)</f>
        <v>1000</v>
      </c>
      <c r="N977" s="148">
        <f>IFERROR(__xludf.DUMMYFUNCTION("""COMPUTED_VALUE"""),9.99999999E8)</f>
        <v>999999999</v>
      </c>
      <c r="O977" s="148">
        <f>IFERROR(__xludf.DUMMYFUNCTION("""COMPUTED_VALUE"""),9.99999999E8)</f>
        <v>999999999</v>
      </c>
      <c r="P977" s="148">
        <f>IFERROR(__xludf.DUMMYFUNCTION("""COMPUTED_VALUE"""),1.0)</f>
        <v>1</v>
      </c>
      <c r="Q977" s="148" t="str">
        <f>IFERROR(__xludf.DUMMYFUNCTION("""COMPUTED_VALUE"""),"[""bag_other""]")</f>
        <v>["bag_other"]</v>
      </c>
      <c r="R977" s="148" t="str">
        <f>IFERROR(__xludf.DUMMYFUNCTION("""COMPUTED_VALUE"""),"[""bag"",""214842""]")</f>
        <v>["bag","214842"]</v>
      </c>
      <c r="S977" s="148" t="str">
        <f>IFERROR(__xludf.DUMMYFUNCTION("""COMPUTED_VALUE"""),"{""effect"":[{""typ"":""decorate_paint"",""id"":214842,""val"":86400000},{""typ"":""item"",""id"":11112784,""val"":1}]}")</f>
        <v>{"effect":[{"typ":"decorate_paint","id":214842,"val":86400000},{"typ":"item","id":11112784,"val":1}]}</v>
      </c>
      <c r="T977" s="148">
        <f>IFERROR(__xludf.DUMMYFUNCTION("""COMPUTED_VALUE"""),-1.0)</f>
        <v>-1</v>
      </c>
      <c r="U977" s="148">
        <f>IFERROR(__xludf.DUMMYFUNCTION("""COMPUTED_VALUE"""),0.0)</f>
        <v>0</v>
      </c>
      <c r="V977" s="148" t="str">
        <f>IFERROR(__xludf.DUMMYFUNCTION("""COMPUTED_VALUE"""),"[]")</f>
        <v>[]</v>
      </c>
      <c r="W977" s="148">
        <f>IFERROR(__xludf.DUMMYFUNCTION("""COMPUTED_VALUE"""),1.174E7)</f>
        <v>11740000</v>
      </c>
      <c r="X977" s="148">
        <f>IFERROR(__xludf.DUMMYFUNCTION("""COMPUTED_VALUE"""),1.1684744E7)</f>
        <v>11684744</v>
      </c>
      <c r="Y977" s="148">
        <f>IFERROR(__xludf.DUMMYFUNCTION("""COMPUTED_VALUE"""),0.0)</f>
        <v>0</v>
      </c>
      <c r="Z977" s="148"/>
    </row>
    <row r="978">
      <c r="A978" s="148">
        <f>IFERROR(__xludf.DUMMYFUNCTION("""COMPUTED_VALUE"""),1.1112785E7)</f>
        <v>11112785</v>
      </c>
      <c r="B978" s="148" t="str">
        <f>IFERROR(__xludf.DUMMYFUNCTION("""COMPUTED_VALUE"""),"涂饰-2024情人节大富翁-涂饰道具-一天")</f>
        <v>涂饰-2024情人节大富翁-涂饰道具-一天</v>
      </c>
      <c r="C978" s="148"/>
      <c r="D978" s="148" t="str">
        <f>IFERROR(__xludf.DUMMYFUNCTION("""COMPUTED_VALUE"""),"decorate_paint")</f>
        <v>decorate_paint</v>
      </c>
      <c r="E978" s="148">
        <f>IFERROR(__xludf.DUMMYFUNCTION("""COMPUTED_VALUE"""),0.0)</f>
        <v>0</v>
      </c>
      <c r="F978" s="148">
        <f>IFERROR(__xludf.DUMMYFUNCTION("""COMPUTED_VALUE"""),0.0)</f>
        <v>0</v>
      </c>
      <c r="G978" s="148">
        <f>IFERROR(__xludf.DUMMYFUNCTION("""COMPUTED_VALUE"""),1.51104548E8)</f>
        <v>151104548</v>
      </c>
      <c r="H978" s="148">
        <f>IFERROR(__xludf.DUMMYFUNCTION("""COMPUTED_VALUE"""),1.5112564E7)</f>
        <v>15112564</v>
      </c>
      <c r="I978" s="148" t="str">
        <f>IFERROR(__xludf.DUMMYFUNCTION("""COMPUTED_VALUE"""),"{}")</f>
        <v>{}</v>
      </c>
      <c r="J978" s="148" t="str">
        <f>IFERROR(__xludf.DUMMYFUNCTION("""COMPUTED_VALUE"""),"{""typ"":""lc"",""txt"":""LC_ITEM_2024valentine_paint_decoration_paint_name""}")</f>
        <v>{"typ":"lc","txt":"LC_ITEM_2024valentine_paint_decoration_paint_name"}</v>
      </c>
      <c r="K978" s="148" t="str">
        <f>IFERROR(__xludf.DUMMYFUNCTION("""COMPUTED_VALUE"""),"{""typ"":""lc"",""txt"":""LC_ITEM_2024valentine_paint_decoration_paint_desc""}")</f>
        <v>{"typ":"lc","txt":"LC_ITEM_2024valentine_paint_decoration_paint_desc"}</v>
      </c>
      <c r="L978" s="148" t="str">
        <f>IFERROR(__xludf.DUMMYFUNCTION("""COMPUTED_VALUE"""),"{""typ"":""lc"",""txt"":""LC_TIP_use_success""}")</f>
        <v>{"typ":"lc","txt":"LC_TIP_use_success"}</v>
      </c>
      <c r="M978" s="148">
        <f>IFERROR(__xludf.DUMMYFUNCTION("""COMPUTED_VALUE"""),1000.0)</f>
        <v>1000</v>
      </c>
      <c r="N978" s="148">
        <f>IFERROR(__xludf.DUMMYFUNCTION("""COMPUTED_VALUE"""),9.99999999E8)</f>
        <v>999999999</v>
      </c>
      <c r="O978" s="148">
        <f>IFERROR(__xludf.DUMMYFUNCTION("""COMPUTED_VALUE"""),9.99999999E8)</f>
        <v>999999999</v>
      </c>
      <c r="P978" s="148">
        <f>IFERROR(__xludf.DUMMYFUNCTION("""COMPUTED_VALUE"""),1.0)</f>
        <v>1</v>
      </c>
      <c r="Q978" s="148" t="str">
        <f>IFERROR(__xludf.DUMMYFUNCTION("""COMPUTED_VALUE"""),"[""bag_other""]")</f>
        <v>["bag_other"]</v>
      </c>
      <c r="R978" s="148" t="str">
        <f>IFERROR(__xludf.DUMMYFUNCTION("""COMPUTED_VALUE"""),"[""bag"",""214812""]")</f>
        <v>["bag","214812"]</v>
      </c>
      <c r="S978" s="148" t="str">
        <f>IFERROR(__xludf.DUMMYFUNCTION("""COMPUTED_VALUE"""),"{""effect"":[{""typ"":""decorate_paint"",""id"":214812,""val"":86400000},{""typ"":""item"",""id"":11112785,""val"":1}]}")</f>
        <v>{"effect":[{"typ":"decorate_paint","id":214812,"val":86400000},{"typ":"item","id":11112785,"val":1}]}</v>
      </c>
      <c r="T978" s="148">
        <f>IFERROR(__xludf.DUMMYFUNCTION("""COMPUTED_VALUE"""),-1.0)</f>
        <v>-1</v>
      </c>
      <c r="U978" s="148">
        <f>IFERROR(__xludf.DUMMYFUNCTION("""COMPUTED_VALUE"""),0.0)</f>
        <v>0</v>
      </c>
      <c r="V978" s="148" t="str">
        <f>IFERROR(__xludf.DUMMYFUNCTION("""COMPUTED_VALUE"""),"[]")</f>
        <v>[]</v>
      </c>
      <c r="W978" s="148">
        <f>IFERROR(__xludf.DUMMYFUNCTION("""COMPUTED_VALUE"""),1.174E7)</f>
        <v>11740000</v>
      </c>
      <c r="X978" s="148">
        <f>IFERROR(__xludf.DUMMYFUNCTION("""COMPUTED_VALUE"""),1.1684742E7)</f>
        <v>11684742</v>
      </c>
      <c r="Y978" s="148">
        <f>IFERROR(__xludf.DUMMYFUNCTION("""COMPUTED_VALUE"""),0.0)</f>
        <v>0</v>
      </c>
      <c r="Z978" s="148"/>
    </row>
    <row r="979">
      <c r="A979" s="148">
        <f>IFERROR(__xludf.DUMMYFUNCTION("""COMPUTED_VALUE"""),1.1112786E7)</f>
        <v>11112786</v>
      </c>
      <c r="B979" s="148" t="str">
        <f>IFERROR(__xludf.DUMMYFUNCTION("""COMPUTED_VALUE"""),"涂饰-2025情人节大富翁-涂饰道具-一天")</f>
        <v>涂饰-2025情人节大富翁-涂饰道具-一天</v>
      </c>
      <c r="C979" s="148"/>
      <c r="D979" s="148" t="str">
        <f>IFERROR(__xludf.DUMMYFUNCTION("""COMPUTED_VALUE"""),"decorate_paint")</f>
        <v>decorate_paint</v>
      </c>
      <c r="E979" s="148">
        <f>IFERROR(__xludf.DUMMYFUNCTION("""COMPUTED_VALUE"""),0.0)</f>
        <v>0</v>
      </c>
      <c r="F979" s="148">
        <f>IFERROR(__xludf.DUMMYFUNCTION("""COMPUTED_VALUE"""),0.0)</f>
        <v>0</v>
      </c>
      <c r="G979" s="148">
        <f>IFERROR(__xludf.DUMMYFUNCTION("""COMPUTED_VALUE"""),1.51104549E8)</f>
        <v>151104549</v>
      </c>
      <c r="H979" s="148">
        <f>IFERROR(__xludf.DUMMYFUNCTION("""COMPUTED_VALUE"""),1.5112564E7)</f>
        <v>15112564</v>
      </c>
      <c r="I979" s="148" t="str">
        <f>IFERROR(__xludf.DUMMYFUNCTION("""COMPUTED_VALUE"""),"{}")</f>
        <v>{}</v>
      </c>
      <c r="J979" s="148" t="str">
        <f>IFERROR(__xludf.DUMMYFUNCTION("""COMPUTED_VALUE"""),"{""typ"":""lc"",""txt"":""LC_ITEM_2025valentine_paint_decoration_paint_name""}")</f>
        <v>{"typ":"lc","txt":"LC_ITEM_2025valentine_paint_decoration_paint_name"}</v>
      </c>
      <c r="K979" s="148" t="str">
        <f>IFERROR(__xludf.DUMMYFUNCTION("""COMPUTED_VALUE"""),"{""typ"":""lc"",""txt"":""LC_ITEM_2025valentine_paint_decoration_paint_desc""}")</f>
        <v>{"typ":"lc","txt":"LC_ITEM_2025valentine_paint_decoration_paint_desc"}</v>
      </c>
      <c r="L979" s="148" t="str">
        <f>IFERROR(__xludf.DUMMYFUNCTION("""COMPUTED_VALUE"""),"{""typ"":""lc"",""txt"":""LC_TIP_use_success""}")</f>
        <v>{"typ":"lc","txt":"LC_TIP_use_success"}</v>
      </c>
      <c r="M979" s="148">
        <f>IFERROR(__xludf.DUMMYFUNCTION("""COMPUTED_VALUE"""),1000.0)</f>
        <v>1000</v>
      </c>
      <c r="N979" s="148">
        <f>IFERROR(__xludf.DUMMYFUNCTION("""COMPUTED_VALUE"""),9.99999999E8)</f>
        <v>999999999</v>
      </c>
      <c r="O979" s="148">
        <f>IFERROR(__xludf.DUMMYFUNCTION("""COMPUTED_VALUE"""),9.99999999E8)</f>
        <v>999999999</v>
      </c>
      <c r="P979" s="148">
        <f>IFERROR(__xludf.DUMMYFUNCTION("""COMPUTED_VALUE"""),1.0)</f>
        <v>1</v>
      </c>
      <c r="Q979" s="148" t="str">
        <f>IFERROR(__xludf.DUMMYFUNCTION("""COMPUTED_VALUE"""),"[""bag_other""]")</f>
        <v>["bag_other"]</v>
      </c>
      <c r="R979" s="148" t="str">
        <f>IFERROR(__xludf.DUMMYFUNCTION("""COMPUTED_VALUE"""),"[""bag"",""214824""]")</f>
        <v>["bag","214824"]</v>
      </c>
      <c r="S979" s="148" t="str">
        <f>IFERROR(__xludf.DUMMYFUNCTION("""COMPUTED_VALUE"""),"{""effect"":[{""typ"":""decorate_paint"",""id"":214824,""val"":86400000},{""typ"":""item"",""id"":11112786,""val"":1}]}")</f>
        <v>{"effect":[{"typ":"decorate_paint","id":214824,"val":86400000},{"typ":"item","id":11112786,"val":1}]}</v>
      </c>
      <c r="T979" s="148">
        <f>IFERROR(__xludf.DUMMYFUNCTION("""COMPUTED_VALUE"""),-1.0)</f>
        <v>-1</v>
      </c>
      <c r="U979" s="148">
        <f>IFERROR(__xludf.DUMMYFUNCTION("""COMPUTED_VALUE"""),0.0)</f>
        <v>0</v>
      </c>
      <c r="V979" s="148" t="str">
        <f>IFERROR(__xludf.DUMMYFUNCTION("""COMPUTED_VALUE"""),"[]")</f>
        <v>[]</v>
      </c>
      <c r="W979" s="148">
        <f>IFERROR(__xludf.DUMMYFUNCTION("""COMPUTED_VALUE"""),1.174E7)</f>
        <v>11740000</v>
      </c>
      <c r="X979" s="148">
        <f>IFERROR(__xludf.DUMMYFUNCTION("""COMPUTED_VALUE"""),1.1684743E7)</f>
        <v>11684743</v>
      </c>
      <c r="Y979" s="148">
        <f>IFERROR(__xludf.DUMMYFUNCTION("""COMPUTED_VALUE"""),0.0)</f>
        <v>0</v>
      </c>
      <c r="Z979" s="148"/>
    </row>
    <row r="980">
      <c r="A980" s="148">
        <f>IFERROR(__xludf.DUMMYFUNCTION("""COMPUTED_VALUE"""),1.1112787E7)</f>
        <v>11112787</v>
      </c>
      <c r="B980" s="148" t="str">
        <f>IFERROR(__xludf.DUMMYFUNCTION("""COMPUTED_VALUE"""),"科林探索装饰物A-礼包获得")</f>
        <v>科林探索装饰物A-礼包获得</v>
      </c>
      <c r="C980" s="148"/>
      <c r="D980" s="148" t="str">
        <f>IFERROR(__xludf.DUMMYFUNCTION("""COMPUTED_VALUE"""),"statue_decorate")</f>
        <v>statue_decorate</v>
      </c>
      <c r="E980" s="148">
        <f>IFERROR(__xludf.DUMMYFUNCTION("""COMPUTED_VALUE"""),23.0)</f>
        <v>23</v>
      </c>
      <c r="F980" s="148">
        <f>IFERROR(__xludf.DUMMYFUNCTION("""COMPUTED_VALUE"""),0.0)</f>
        <v>0</v>
      </c>
      <c r="G980" s="148">
        <f>IFERROR(__xludf.DUMMYFUNCTION("""COMPUTED_VALUE"""),1.51104799E8)</f>
        <v>151104799</v>
      </c>
      <c r="H980" s="148">
        <f>IFERROR(__xludf.DUMMYFUNCTION("""COMPUTED_VALUE"""),1.5112564E7)</f>
        <v>15112564</v>
      </c>
      <c r="I980" s="148" t="str">
        <f>IFERROR(__xludf.DUMMYFUNCTION("""COMPUTED_VALUE"""),"{}")</f>
        <v>{}</v>
      </c>
      <c r="J980" s="148" t="str">
        <f>IFERROR(__xludf.DUMMYFUNCTION("""COMPUTED_VALUE"""),"{""typ"":""lc"",""txt"":""LC_MAP_kolin_purchase_title2""}")</f>
        <v>{"typ":"lc","txt":"LC_MAP_kolin_purchase_title2"}</v>
      </c>
      <c r="K980" s="148" t="str">
        <f>IFERROR(__xludf.DUMMYFUNCTION("""COMPUTED_VALUE"""),"{""typ"":""lc"",""txt"":""LC_MAP_kolin_purchase_title7""}")</f>
        <v>{"typ":"lc","txt":"LC_MAP_kolin_purchase_title7"}</v>
      </c>
      <c r="L980" s="148" t="str">
        <f>IFERROR(__xludf.DUMMYFUNCTION("""COMPUTED_VALUE"""),"{}")</f>
        <v>{}</v>
      </c>
      <c r="M980" s="148">
        <f>IFERROR(__xludf.DUMMYFUNCTION("""COMPUTED_VALUE"""),5000.0)</f>
        <v>5000</v>
      </c>
      <c r="N980" s="148">
        <f>IFERROR(__xludf.DUMMYFUNCTION("""COMPUTED_VALUE"""),999.0)</f>
        <v>999</v>
      </c>
      <c r="O980" s="148">
        <f>IFERROR(__xludf.DUMMYFUNCTION("""COMPUTED_VALUE"""),99999.0)</f>
        <v>99999</v>
      </c>
      <c r="P980" s="148">
        <f>IFERROR(__xludf.DUMMYFUNCTION("""COMPUTED_VALUE"""),99999.0)</f>
        <v>99999</v>
      </c>
      <c r="Q980" s="148" t="str">
        <f>IFERROR(__xludf.DUMMYFUNCTION("""COMPUTED_VALUE"""),"[]")</f>
        <v>[]</v>
      </c>
      <c r="R980" s="148" t="str">
        <f>IFERROR(__xludf.DUMMYFUNCTION("""COMPUTED_VALUE"""),"[""bag""]")</f>
        <v>["bag"]</v>
      </c>
      <c r="S980" s="148" t="str">
        <f>IFERROR(__xludf.DUMMYFUNCTION("""COMPUTED_VALUE"""),"{""effect"":[{""typ"":""holiday_statue"",""id"":21484301}]}")</f>
        <v>{"effect":[{"typ":"holiday_statue","id":21484301}]}</v>
      </c>
      <c r="T980" s="148">
        <f>IFERROR(__xludf.DUMMYFUNCTION("""COMPUTED_VALUE"""),-1.0)</f>
        <v>-1</v>
      </c>
      <c r="U980" s="148">
        <f>IFERROR(__xludf.DUMMYFUNCTION("""COMPUTED_VALUE"""),1.0)</f>
        <v>1</v>
      </c>
      <c r="V980" s="148" t="str">
        <f>IFERROR(__xludf.DUMMYFUNCTION("""COMPUTED_VALUE"""),"[]")</f>
        <v>[]</v>
      </c>
      <c r="W980" s="148">
        <f>IFERROR(__xludf.DUMMYFUNCTION("""COMPUTED_VALUE"""),1.174E7)</f>
        <v>11740000</v>
      </c>
      <c r="X980" s="148">
        <f>IFERROR(__xludf.DUMMYFUNCTION("""COMPUTED_VALUE"""),0.0)</f>
        <v>0</v>
      </c>
      <c r="Y980" s="148">
        <f>IFERROR(__xludf.DUMMYFUNCTION("""COMPUTED_VALUE"""),0.0)</f>
        <v>0</v>
      </c>
      <c r="Z980" s="148"/>
    </row>
    <row r="981">
      <c r="A981" s="148">
        <f>IFERROR(__xludf.DUMMYFUNCTION("""COMPUTED_VALUE"""),1.1112788E7)</f>
        <v>11112788</v>
      </c>
      <c r="B981" s="148" t="str">
        <f>IFERROR(__xludf.DUMMYFUNCTION("""COMPUTED_VALUE"""),"科林探索装饰物B-宝箱获得")</f>
        <v>科林探索装饰物B-宝箱获得</v>
      </c>
      <c r="C981" s="148"/>
      <c r="D981" s="148" t="str">
        <f>IFERROR(__xludf.DUMMYFUNCTION("""COMPUTED_VALUE"""),"statue_decorate")</f>
        <v>statue_decorate</v>
      </c>
      <c r="E981" s="148">
        <f>IFERROR(__xludf.DUMMYFUNCTION("""COMPUTED_VALUE"""),23.0)</f>
        <v>23</v>
      </c>
      <c r="F981" s="148">
        <f>IFERROR(__xludf.DUMMYFUNCTION("""COMPUTED_VALUE"""),0.0)</f>
        <v>0</v>
      </c>
      <c r="G981" s="148">
        <f>IFERROR(__xludf.DUMMYFUNCTION("""COMPUTED_VALUE"""),1.511048E8)</f>
        <v>151104800</v>
      </c>
      <c r="H981" s="148">
        <f>IFERROR(__xludf.DUMMYFUNCTION("""COMPUTED_VALUE"""),1.5112564E7)</f>
        <v>15112564</v>
      </c>
      <c r="I981" s="148" t="str">
        <f>IFERROR(__xludf.DUMMYFUNCTION("""COMPUTED_VALUE"""),"{}")</f>
        <v>{}</v>
      </c>
      <c r="J981" s="148" t="str">
        <f>IFERROR(__xludf.DUMMYFUNCTION("""COMPUTED_VALUE"""),"{""typ"":""lc"",""txt"":""LC_MAP_kolin_purchase_title4""}")</f>
        <v>{"typ":"lc","txt":"LC_MAP_kolin_purchase_title4"}</v>
      </c>
      <c r="K981" s="148" t="str">
        <f>IFERROR(__xludf.DUMMYFUNCTION("""COMPUTED_VALUE"""),"{""typ"":""lc"",""txt"":""LC_MAP_kolin_purchase_title8""}")</f>
        <v>{"typ":"lc","txt":"LC_MAP_kolin_purchase_title8"}</v>
      </c>
      <c r="L981" s="148" t="str">
        <f>IFERROR(__xludf.DUMMYFUNCTION("""COMPUTED_VALUE"""),"{}")</f>
        <v>{}</v>
      </c>
      <c r="M981" s="148">
        <f>IFERROR(__xludf.DUMMYFUNCTION("""COMPUTED_VALUE"""),5000.0)</f>
        <v>5000</v>
      </c>
      <c r="N981" s="148">
        <f>IFERROR(__xludf.DUMMYFUNCTION("""COMPUTED_VALUE"""),999.0)</f>
        <v>999</v>
      </c>
      <c r="O981" s="148">
        <f>IFERROR(__xludf.DUMMYFUNCTION("""COMPUTED_VALUE"""),99999.0)</f>
        <v>99999</v>
      </c>
      <c r="P981" s="148">
        <f>IFERROR(__xludf.DUMMYFUNCTION("""COMPUTED_VALUE"""),99999.0)</f>
        <v>99999</v>
      </c>
      <c r="Q981" s="148" t="str">
        <f>IFERROR(__xludf.DUMMYFUNCTION("""COMPUTED_VALUE"""),"[]")</f>
        <v>[]</v>
      </c>
      <c r="R981" s="148" t="str">
        <f>IFERROR(__xludf.DUMMYFUNCTION("""COMPUTED_VALUE"""),"[""bag""]")</f>
        <v>["bag"]</v>
      </c>
      <c r="S981" s="148" t="str">
        <f>IFERROR(__xludf.DUMMYFUNCTION("""COMPUTED_VALUE"""),"{""effect"":[{""typ"":""holiday_statue"",""id"":21484401}]}")</f>
        <v>{"effect":[{"typ":"holiday_statue","id":21484401}]}</v>
      </c>
      <c r="T981" s="148">
        <f>IFERROR(__xludf.DUMMYFUNCTION("""COMPUTED_VALUE"""),-1.0)</f>
        <v>-1</v>
      </c>
      <c r="U981" s="148">
        <f>IFERROR(__xludf.DUMMYFUNCTION("""COMPUTED_VALUE"""),1.0)</f>
        <v>1</v>
      </c>
      <c r="V981" s="148" t="str">
        <f>IFERROR(__xludf.DUMMYFUNCTION("""COMPUTED_VALUE"""),"[]")</f>
        <v>[]</v>
      </c>
      <c r="W981" s="148">
        <f>IFERROR(__xludf.DUMMYFUNCTION("""COMPUTED_VALUE"""),1.174E7)</f>
        <v>11740000</v>
      </c>
      <c r="X981" s="148">
        <f>IFERROR(__xludf.DUMMYFUNCTION("""COMPUTED_VALUE"""),0.0)</f>
        <v>0</v>
      </c>
      <c r="Y981" s="148">
        <f>IFERROR(__xludf.DUMMYFUNCTION("""COMPUTED_VALUE"""),0.0)</f>
        <v>0</v>
      </c>
      <c r="Z981" s="148"/>
    </row>
    <row r="982">
      <c r="A982" s="148">
        <f>IFERROR(__xludf.DUMMYFUNCTION("""COMPUTED_VALUE"""),1.1112789E7)</f>
        <v>11112789</v>
      </c>
      <c r="B982" s="148" t="str">
        <f>IFERROR(__xludf.DUMMYFUNCTION("""COMPUTED_VALUE"""),"宝箱lv1")</f>
        <v>宝箱lv1</v>
      </c>
      <c r="C982" s="148"/>
      <c r="D982" s="148" t="str">
        <f>IFERROR(__xludf.DUMMYFUNCTION("""COMPUTED_VALUE"""),"item_asset")</f>
        <v>item_asset</v>
      </c>
      <c r="E982" s="148">
        <f>IFERROR(__xludf.DUMMYFUNCTION("""COMPUTED_VALUE"""),19.0)</f>
        <v>19</v>
      </c>
      <c r="F982" s="148">
        <f>IFERROR(__xludf.DUMMYFUNCTION("""COMPUTED_VALUE"""),405244.0)</f>
        <v>405244</v>
      </c>
      <c r="G982" s="148">
        <f>IFERROR(__xludf.DUMMYFUNCTION("""COMPUTED_VALUE"""),1.51104816E8)</f>
        <v>151104816</v>
      </c>
      <c r="H982" s="148">
        <f>IFERROR(__xludf.DUMMYFUNCTION("""COMPUTED_VALUE"""),1.5112564E7)</f>
        <v>15112564</v>
      </c>
      <c r="I982" s="148" t="str">
        <f>IFERROR(__xludf.DUMMYFUNCTION("""COMPUTED_VALUE"""),"{}")</f>
        <v>{}</v>
      </c>
      <c r="J982" s="148" t="str">
        <f>IFERROR(__xludf.DUMMYFUNCTION("""COMPUTED_VALUE"""),"{""typ"":""lc"",""txt"":""LC_MAP_kolin_purchase_title13""}")</f>
        <v>{"typ":"lc","txt":"LC_MAP_kolin_purchase_title13"}</v>
      </c>
      <c r="K982" s="148" t="str">
        <f>IFERROR(__xludf.DUMMYFUNCTION("""COMPUTED_VALUE"""),"{""typ"":""lc"",""txt"":""LC_MAP_kolin_purchase_title18""}")</f>
        <v>{"typ":"lc","txt":"LC_MAP_kolin_purchase_title18"}</v>
      </c>
      <c r="L982" s="148" t="str">
        <f>IFERROR(__xludf.DUMMYFUNCTION("""COMPUTED_VALUE"""),"{""typ"":""lc"",""txt"":""LC_TIP_use_success""}")</f>
        <v>{"typ":"lc","txt":"LC_TIP_use_success"}</v>
      </c>
      <c r="M982" s="148">
        <f>IFERROR(__xludf.DUMMYFUNCTION("""COMPUTED_VALUE"""),1000.0)</f>
        <v>1000</v>
      </c>
      <c r="N982" s="148">
        <f>IFERROR(__xludf.DUMMYFUNCTION("""COMPUTED_VALUE"""),9999999.0)</f>
        <v>9999999</v>
      </c>
      <c r="O982" s="148">
        <f>IFERROR(__xludf.DUMMYFUNCTION("""COMPUTED_VALUE"""),99999.0)</f>
        <v>99999</v>
      </c>
      <c r="P982" s="148">
        <f>IFERROR(__xludf.DUMMYFUNCTION("""COMPUTED_VALUE"""),99999.0)</f>
        <v>99999</v>
      </c>
      <c r="Q982" s="148" t="str">
        <f>IFERROR(__xludf.DUMMYFUNCTION("""COMPUTED_VALUE"""),"[""bag_other""]")</f>
        <v>["bag_other"]</v>
      </c>
      <c r="R982" s="148" t="str">
        <f>IFERROR(__xludf.DUMMYFUNCTION("""COMPUTED_VALUE"""),"[""bag""]")</f>
        <v>["bag"]</v>
      </c>
      <c r="S982" s="148" t="str">
        <f>IFERROR(__xludf.DUMMYFUNCTION("""COMPUTED_VALUE"""),"{""drop"":{""typ"":""single_all"",""num"":1,""args"":[{""typ"":""single_all"",""num"":1,""args"":[{""typ"":""item"",""id"":11114328,""num"":5,""wgt"":20},{""typ"":""item"",""id"":11112788,""num"":1,""wgt"":20}]},{""typ"":""single_random"",""num"":1,""args"&amp;""":[{""typ"":""empty"",""wgt"":95},{""typ"":""item"",""id"":11112788,""num"":4,""wgt"":5}]}]}}")</f>
        <v>{"drop":{"typ":"single_all","num":1,"args":[{"typ":"single_all","num":1,"args":[{"typ":"item","id":11114328,"num":5,"wgt":20},{"typ":"item","id":11112788,"num":1,"wgt":20}]},{"typ":"single_random","num":1,"args":[{"typ":"empty","wgt":95},{"typ":"item","id":11112788,"num":4,"wgt":5}]}]}}</v>
      </c>
      <c r="T982" s="148">
        <f>IFERROR(__xludf.DUMMYFUNCTION("""COMPUTED_VALUE"""),-1.0)</f>
        <v>-1</v>
      </c>
      <c r="U982" s="148">
        <f>IFERROR(__xludf.DUMMYFUNCTION("""COMPUTED_VALUE"""),0.0)</f>
        <v>0</v>
      </c>
      <c r="V982" s="148" t="str">
        <f>IFERROR(__xludf.DUMMYFUNCTION("""COMPUTED_VALUE"""),"[]")</f>
        <v>[]</v>
      </c>
      <c r="W982" s="148">
        <f>IFERROR(__xludf.DUMMYFUNCTION("""COMPUTED_VALUE"""),1.1741002E7)</f>
        <v>11741002</v>
      </c>
      <c r="X982" s="148">
        <f>IFERROR(__xludf.DUMMYFUNCTION("""COMPUTED_VALUE"""),0.0)</f>
        <v>0</v>
      </c>
      <c r="Y982" s="148">
        <f>IFERROR(__xludf.DUMMYFUNCTION("""COMPUTED_VALUE"""),0.0)</f>
        <v>0</v>
      </c>
      <c r="Z982" s="148"/>
    </row>
    <row r="983">
      <c r="A983" s="148">
        <f>IFERROR(__xludf.DUMMYFUNCTION("""COMPUTED_VALUE"""),1.111279E7)</f>
        <v>11112790</v>
      </c>
      <c r="B983" s="148" t="str">
        <f>IFERROR(__xludf.DUMMYFUNCTION("""COMPUTED_VALUE"""),"宝箱lv2")</f>
        <v>宝箱lv2</v>
      </c>
      <c r="C983" s="148"/>
      <c r="D983" s="148" t="str">
        <f>IFERROR(__xludf.DUMMYFUNCTION("""COMPUTED_VALUE"""),"item_asset")</f>
        <v>item_asset</v>
      </c>
      <c r="E983" s="148">
        <f>IFERROR(__xludf.DUMMYFUNCTION("""COMPUTED_VALUE"""),19.0)</f>
        <v>19</v>
      </c>
      <c r="F983" s="148">
        <f>IFERROR(__xludf.DUMMYFUNCTION("""COMPUTED_VALUE"""),405245.0)</f>
        <v>405245</v>
      </c>
      <c r="G983" s="148">
        <f>IFERROR(__xludf.DUMMYFUNCTION("""COMPUTED_VALUE"""),1.51104817E8)</f>
        <v>151104817</v>
      </c>
      <c r="H983" s="148">
        <f>IFERROR(__xludf.DUMMYFUNCTION("""COMPUTED_VALUE"""),1.5112564E7)</f>
        <v>15112564</v>
      </c>
      <c r="I983" s="148" t="str">
        <f>IFERROR(__xludf.DUMMYFUNCTION("""COMPUTED_VALUE"""),"{}")</f>
        <v>{}</v>
      </c>
      <c r="J983" s="148" t="str">
        <f>IFERROR(__xludf.DUMMYFUNCTION("""COMPUTED_VALUE"""),"{""typ"":""lc"",""txt"":""LC_MAP_kolin_purchase_title14""}")</f>
        <v>{"typ":"lc","txt":"LC_MAP_kolin_purchase_title14"}</v>
      </c>
      <c r="K983" s="148" t="str">
        <f>IFERROR(__xludf.DUMMYFUNCTION("""COMPUTED_VALUE"""),"{""typ"":""lc"",""txt"":""LC_MAP_kolin_purchase_title19""}")</f>
        <v>{"typ":"lc","txt":"LC_MAP_kolin_purchase_title19"}</v>
      </c>
      <c r="L983" s="148" t="str">
        <f>IFERROR(__xludf.DUMMYFUNCTION("""COMPUTED_VALUE"""),"{""typ"":""lc"",""txt"":""LC_TIP_use_success""}")</f>
        <v>{"typ":"lc","txt":"LC_TIP_use_success"}</v>
      </c>
      <c r="M983" s="148">
        <f>IFERROR(__xludf.DUMMYFUNCTION("""COMPUTED_VALUE"""),1000.0)</f>
        <v>1000</v>
      </c>
      <c r="N983" s="148">
        <f>IFERROR(__xludf.DUMMYFUNCTION("""COMPUTED_VALUE"""),9999999.0)</f>
        <v>9999999</v>
      </c>
      <c r="O983" s="148">
        <f>IFERROR(__xludf.DUMMYFUNCTION("""COMPUTED_VALUE"""),99999.0)</f>
        <v>99999</v>
      </c>
      <c r="P983" s="148">
        <f>IFERROR(__xludf.DUMMYFUNCTION("""COMPUTED_VALUE"""),99999.0)</f>
        <v>99999</v>
      </c>
      <c r="Q983" s="148" t="str">
        <f>IFERROR(__xludf.DUMMYFUNCTION("""COMPUTED_VALUE"""),"[""bag_other""]")</f>
        <v>["bag_other"]</v>
      </c>
      <c r="R983" s="148" t="str">
        <f>IFERROR(__xludf.DUMMYFUNCTION("""COMPUTED_VALUE"""),"[""bag""]")</f>
        <v>["bag"]</v>
      </c>
      <c r="S983" s="148" t="str">
        <f>IFERROR(__xludf.DUMMYFUNCTION("""COMPUTED_VALUE"""),"{""drop"":{""typ"":""single_all"",""num"":1,""args"":[{""typ"":""single_all"",""num"":1,""args"":[{""typ"":""item"",""id"":11114328,""num"":10,""wgt"":20},{""typ"":""item"",""id"":11112788,""num"":2,""wgt"":20}]},{""typ"":""single_random"",""num"":1,""arg"&amp;"s"":[{""typ"":""empty"",""wgt"":95},{""typ"":""item"",""id"":11112788,""num"":8,""wgt"":5}]}]}}")</f>
        <v>{"drop":{"typ":"single_all","num":1,"args":[{"typ":"single_all","num":1,"args":[{"typ":"item","id":11114328,"num":10,"wgt":20},{"typ":"item","id":11112788,"num":2,"wgt":20}]},{"typ":"single_random","num":1,"args":[{"typ":"empty","wgt":95},{"typ":"item","id":11112788,"num":8,"wgt":5}]}]}}</v>
      </c>
      <c r="T983" s="148">
        <f>IFERROR(__xludf.DUMMYFUNCTION("""COMPUTED_VALUE"""),-1.0)</f>
        <v>-1</v>
      </c>
      <c r="U983" s="148">
        <f>IFERROR(__xludf.DUMMYFUNCTION("""COMPUTED_VALUE"""),0.0)</f>
        <v>0</v>
      </c>
      <c r="V983" s="148" t="str">
        <f>IFERROR(__xludf.DUMMYFUNCTION("""COMPUTED_VALUE"""),"[]")</f>
        <v>[]</v>
      </c>
      <c r="W983" s="148">
        <f>IFERROR(__xludf.DUMMYFUNCTION("""COMPUTED_VALUE"""),1.174E7)</f>
        <v>11740000</v>
      </c>
      <c r="X983" s="148">
        <f>IFERROR(__xludf.DUMMYFUNCTION("""COMPUTED_VALUE"""),0.0)</f>
        <v>0</v>
      </c>
      <c r="Y983" s="148">
        <f>IFERROR(__xludf.DUMMYFUNCTION("""COMPUTED_VALUE"""),0.0)</f>
        <v>0</v>
      </c>
      <c r="Z983" s="148"/>
    </row>
    <row r="984">
      <c r="A984" s="148">
        <f>IFERROR(__xludf.DUMMYFUNCTION("""COMPUTED_VALUE"""),1.1112791E7)</f>
        <v>11112791</v>
      </c>
      <c r="B984" s="148" t="str">
        <f>IFERROR(__xludf.DUMMYFUNCTION("""COMPUTED_VALUE"""),"宝箱lv3")</f>
        <v>宝箱lv3</v>
      </c>
      <c r="C984" s="148"/>
      <c r="D984" s="148" t="str">
        <f>IFERROR(__xludf.DUMMYFUNCTION("""COMPUTED_VALUE"""),"item_asset")</f>
        <v>item_asset</v>
      </c>
      <c r="E984" s="148">
        <f>IFERROR(__xludf.DUMMYFUNCTION("""COMPUTED_VALUE"""),19.0)</f>
        <v>19</v>
      </c>
      <c r="F984" s="148">
        <f>IFERROR(__xludf.DUMMYFUNCTION("""COMPUTED_VALUE"""),405246.0)</f>
        <v>405246</v>
      </c>
      <c r="G984" s="148">
        <f>IFERROR(__xludf.DUMMYFUNCTION("""COMPUTED_VALUE"""),1.51104818E8)</f>
        <v>151104818</v>
      </c>
      <c r="H984" s="148">
        <f>IFERROR(__xludf.DUMMYFUNCTION("""COMPUTED_VALUE"""),1.5112564E7)</f>
        <v>15112564</v>
      </c>
      <c r="I984" s="148" t="str">
        <f>IFERROR(__xludf.DUMMYFUNCTION("""COMPUTED_VALUE"""),"{}")</f>
        <v>{}</v>
      </c>
      <c r="J984" s="148" t="str">
        <f>IFERROR(__xludf.DUMMYFUNCTION("""COMPUTED_VALUE"""),"{""typ"":""lc"",""txt"":""LC_MAP_kolin_purchase_title15""}")</f>
        <v>{"typ":"lc","txt":"LC_MAP_kolin_purchase_title15"}</v>
      </c>
      <c r="K984" s="148" t="str">
        <f>IFERROR(__xludf.DUMMYFUNCTION("""COMPUTED_VALUE"""),"{""typ"":""lc"",""txt"":""LC_MAP_kolin_purchase_title20""}")</f>
        <v>{"typ":"lc","txt":"LC_MAP_kolin_purchase_title20"}</v>
      </c>
      <c r="L984" s="148" t="str">
        <f>IFERROR(__xludf.DUMMYFUNCTION("""COMPUTED_VALUE"""),"{""typ"":""lc"",""txt"":""LC_TIP_use_success""}")</f>
        <v>{"typ":"lc","txt":"LC_TIP_use_success"}</v>
      </c>
      <c r="M984" s="148">
        <f>IFERROR(__xludf.DUMMYFUNCTION("""COMPUTED_VALUE"""),1000.0)</f>
        <v>1000</v>
      </c>
      <c r="N984" s="148">
        <f>IFERROR(__xludf.DUMMYFUNCTION("""COMPUTED_VALUE"""),9999999.0)</f>
        <v>9999999</v>
      </c>
      <c r="O984" s="148">
        <f>IFERROR(__xludf.DUMMYFUNCTION("""COMPUTED_VALUE"""),99999.0)</f>
        <v>99999</v>
      </c>
      <c r="P984" s="148">
        <f>IFERROR(__xludf.DUMMYFUNCTION("""COMPUTED_VALUE"""),99999.0)</f>
        <v>99999</v>
      </c>
      <c r="Q984" s="148" t="str">
        <f>IFERROR(__xludf.DUMMYFUNCTION("""COMPUTED_VALUE"""),"[""bag_other""]")</f>
        <v>["bag_other"]</v>
      </c>
      <c r="R984" s="148" t="str">
        <f>IFERROR(__xludf.DUMMYFUNCTION("""COMPUTED_VALUE"""),"[""bag""]")</f>
        <v>["bag"]</v>
      </c>
      <c r="S984" s="148" t="str">
        <f>IFERROR(__xludf.DUMMYFUNCTION("""COMPUTED_VALUE"""),"{""drop"":{""typ"":""single_all"",""num"":1,""args"":[{""typ"":""single_all"",""num"":1,""args"":[{""typ"":""item"",""id"":11114328,""num"":15,""wgt"":20},{""typ"":""item"",""id"":11112788,""num"":3,""wgt"":20}]},{""typ"":""single_random"",""num"":1,""arg"&amp;"s"":[{""typ"":""empty"",""wgt"":95},{""typ"":""item"",""id"":11112788,""num"":12,""wgt"":5}]}]}}")</f>
        <v>{"drop":{"typ":"single_all","num":1,"args":[{"typ":"single_all","num":1,"args":[{"typ":"item","id":11114328,"num":15,"wgt":20},{"typ":"item","id":11112788,"num":3,"wgt":20}]},{"typ":"single_random","num":1,"args":[{"typ":"empty","wgt":95},{"typ":"item","id":11112788,"num":12,"wgt":5}]}]}}</v>
      </c>
      <c r="T984" s="148">
        <f>IFERROR(__xludf.DUMMYFUNCTION("""COMPUTED_VALUE"""),-1.0)</f>
        <v>-1</v>
      </c>
      <c r="U984" s="148">
        <f>IFERROR(__xludf.DUMMYFUNCTION("""COMPUTED_VALUE"""),0.0)</f>
        <v>0</v>
      </c>
      <c r="V984" s="148" t="str">
        <f>IFERROR(__xludf.DUMMYFUNCTION("""COMPUTED_VALUE"""),"[]")</f>
        <v>[]</v>
      </c>
      <c r="W984" s="148">
        <f>IFERROR(__xludf.DUMMYFUNCTION("""COMPUTED_VALUE"""),1.174E7)</f>
        <v>11740000</v>
      </c>
      <c r="X984" s="148">
        <f>IFERROR(__xludf.DUMMYFUNCTION("""COMPUTED_VALUE"""),0.0)</f>
        <v>0</v>
      </c>
      <c r="Y984" s="148">
        <f>IFERROR(__xludf.DUMMYFUNCTION("""COMPUTED_VALUE"""),0.0)</f>
        <v>0</v>
      </c>
      <c r="Z984" s="148"/>
    </row>
    <row r="985">
      <c r="A985" s="148">
        <f>IFERROR(__xludf.DUMMYFUNCTION("""COMPUTED_VALUE"""),1.1112792E7)</f>
        <v>11112792</v>
      </c>
      <c r="B985" s="148" t="str">
        <f>IFERROR(__xludf.DUMMYFUNCTION("""COMPUTED_VALUE"""),"宝箱lv4")</f>
        <v>宝箱lv4</v>
      </c>
      <c r="C985" s="148"/>
      <c r="D985" s="148" t="str">
        <f>IFERROR(__xludf.DUMMYFUNCTION("""COMPUTED_VALUE"""),"item_asset")</f>
        <v>item_asset</v>
      </c>
      <c r="E985" s="148">
        <f>IFERROR(__xludf.DUMMYFUNCTION("""COMPUTED_VALUE"""),19.0)</f>
        <v>19</v>
      </c>
      <c r="F985" s="148">
        <f>IFERROR(__xludf.DUMMYFUNCTION("""COMPUTED_VALUE"""),405247.0)</f>
        <v>405247</v>
      </c>
      <c r="G985" s="148">
        <f>IFERROR(__xludf.DUMMYFUNCTION("""COMPUTED_VALUE"""),1.51104819E8)</f>
        <v>151104819</v>
      </c>
      <c r="H985" s="148">
        <f>IFERROR(__xludf.DUMMYFUNCTION("""COMPUTED_VALUE"""),1.5112564E7)</f>
        <v>15112564</v>
      </c>
      <c r="I985" s="148" t="str">
        <f>IFERROR(__xludf.DUMMYFUNCTION("""COMPUTED_VALUE"""),"{}")</f>
        <v>{}</v>
      </c>
      <c r="J985" s="148" t="str">
        <f>IFERROR(__xludf.DUMMYFUNCTION("""COMPUTED_VALUE"""),"{""typ"":""lc"",""txt"":""LC_MAP_kolin_purchase_title16""}")</f>
        <v>{"typ":"lc","txt":"LC_MAP_kolin_purchase_title16"}</v>
      </c>
      <c r="K985" s="148" t="str">
        <f>IFERROR(__xludf.DUMMYFUNCTION("""COMPUTED_VALUE"""),"{""typ"":""lc"",""txt"":""LC_MAP_kolin_purchase_title21""}")</f>
        <v>{"typ":"lc","txt":"LC_MAP_kolin_purchase_title21"}</v>
      </c>
      <c r="L985" s="148" t="str">
        <f>IFERROR(__xludf.DUMMYFUNCTION("""COMPUTED_VALUE"""),"{""typ"":""lc"",""txt"":""LC_TIP_use_success""}")</f>
        <v>{"typ":"lc","txt":"LC_TIP_use_success"}</v>
      </c>
      <c r="M985" s="148">
        <f>IFERROR(__xludf.DUMMYFUNCTION("""COMPUTED_VALUE"""),1000.0)</f>
        <v>1000</v>
      </c>
      <c r="N985" s="148">
        <f>IFERROR(__xludf.DUMMYFUNCTION("""COMPUTED_VALUE"""),9999999.0)</f>
        <v>9999999</v>
      </c>
      <c r="O985" s="148">
        <f>IFERROR(__xludf.DUMMYFUNCTION("""COMPUTED_VALUE"""),99999.0)</f>
        <v>99999</v>
      </c>
      <c r="P985" s="148">
        <f>IFERROR(__xludf.DUMMYFUNCTION("""COMPUTED_VALUE"""),99999.0)</f>
        <v>99999</v>
      </c>
      <c r="Q985" s="148" t="str">
        <f>IFERROR(__xludf.DUMMYFUNCTION("""COMPUTED_VALUE"""),"[""bag_other""]")</f>
        <v>["bag_other"]</v>
      </c>
      <c r="R985" s="148" t="str">
        <f>IFERROR(__xludf.DUMMYFUNCTION("""COMPUTED_VALUE"""),"[""bag""]")</f>
        <v>["bag"]</v>
      </c>
      <c r="S985" s="148" t="str">
        <f>IFERROR(__xludf.DUMMYFUNCTION("""COMPUTED_VALUE"""),"{""drop"":{""typ"":""single_all"",""num"":1,""args"":[{""typ"":""single_all"",""num"":1,""args"":[{""typ"":""item"",""id"":11114328,""num"":20,""wgt"":20},{""typ"":""item"",""id"":11112788,""num"":6,""wgt"":20}]},{""typ"":""single_random"",""num"":1,""arg"&amp;"s"":[{""typ"":""empty"",""wgt"":95},{""typ"":""item"",""id"":11112788,""num"":16,""wgt"":5}]}]}}")</f>
        <v>{"drop":{"typ":"single_all","num":1,"args":[{"typ":"single_all","num":1,"args":[{"typ":"item","id":11114328,"num":20,"wgt":20},{"typ":"item","id":11112788,"num":6,"wgt":20}]},{"typ":"single_random","num":1,"args":[{"typ":"empty","wgt":95},{"typ":"item","id":11112788,"num":16,"wgt":5}]}]}}</v>
      </c>
      <c r="T985" s="148">
        <f>IFERROR(__xludf.DUMMYFUNCTION("""COMPUTED_VALUE"""),-1.0)</f>
        <v>-1</v>
      </c>
      <c r="U985" s="148">
        <f>IFERROR(__xludf.DUMMYFUNCTION("""COMPUTED_VALUE"""),0.0)</f>
        <v>0</v>
      </c>
      <c r="V985" s="148" t="str">
        <f>IFERROR(__xludf.DUMMYFUNCTION("""COMPUTED_VALUE"""),"[]")</f>
        <v>[]</v>
      </c>
      <c r="W985" s="148">
        <f>IFERROR(__xludf.DUMMYFUNCTION("""COMPUTED_VALUE"""),1.174E7)</f>
        <v>11740000</v>
      </c>
      <c r="X985" s="148">
        <f>IFERROR(__xludf.DUMMYFUNCTION("""COMPUTED_VALUE"""),0.0)</f>
        <v>0</v>
      </c>
      <c r="Y985" s="148">
        <f>IFERROR(__xludf.DUMMYFUNCTION("""COMPUTED_VALUE"""),0.0)</f>
        <v>0</v>
      </c>
      <c r="Z985" s="148"/>
    </row>
    <row r="986">
      <c r="A986" s="148">
        <f>IFERROR(__xludf.DUMMYFUNCTION("""COMPUTED_VALUE"""),1.1112793E7)</f>
        <v>11112793</v>
      </c>
      <c r="B986" s="148" t="str">
        <f>IFERROR(__xludf.DUMMYFUNCTION("""COMPUTED_VALUE"""),"宝箱lv5")</f>
        <v>宝箱lv5</v>
      </c>
      <c r="C986" s="148"/>
      <c r="D986" s="148" t="str">
        <f>IFERROR(__xludf.DUMMYFUNCTION("""COMPUTED_VALUE"""),"item_asset")</f>
        <v>item_asset</v>
      </c>
      <c r="E986" s="148">
        <f>IFERROR(__xludf.DUMMYFUNCTION("""COMPUTED_VALUE"""),19.0)</f>
        <v>19</v>
      </c>
      <c r="F986" s="148">
        <f>IFERROR(__xludf.DUMMYFUNCTION("""COMPUTED_VALUE"""),405248.0)</f>
        <v>405248</v>
      </c>
      <c r="G986" s="148">
        <f>IFERROR(__xludf.DUMMYFUNCTION("""COMPUTED_VALUE"""),1.5110482E8)</f>
        <v>151104820</v>
      </c>
      <c r="H986" s="148">
        <f>IFERROR(__xludf.DUMMYFUNCTION("""COMPUTED_VALUE"""),1.5112564E7)</f>
        <v>15112564</v>
      </c>
      <c r="I986" s="148" t="str">
        <f>IFERROR(__xludf.DUMMYFUNCTION("""COMPUTED_VALUE"""),"{}")</f>
        <v>{}</v>
      </c>
      <c r="J986" s="148" t="str">
        <f>IFERROR(__xludf.DUMMYFUNCTION("""COMPUTED_VALUE"""),"{""typ"":""lc"",""txt"":""LC_MAP_kolin_purchase_title17""}")</f>
        <v>{"typ":"lc","txt":"LC_MAP_kolin_purchase_title17"}</v>
      </c>
      <c r="K986" s="148" t="str">
        <f>IFERROR(__xludf.DUMMYFUNCTION("""COMPUTED_VALUE"""),"{""typ"":""lc"",""txt"":""LC_MAP_kolin_purchase_title22""}")</f>
        <v>{"typ":"lc","txt":"LC_MAP_kolin_purchase_title22"}</v>
      </c>
      <c r="L986" s="148" t="str">
        <f>IFERROR(__xludf.DUMMYFUNCTION("""COMPUTED_VALUE"""),"{""typ"":""lc"",""txt"":""LC_TIP_use_success""}")</f>
        <v>{"typ":"lc","txt":"LC_TIP_use_success"}</v>
      </c>
      <c r="M986" s="148">
        <f>IFERROR(__xludf.DUMMYFUNCTION("""COMPUTED_VALUE"""),1000.0)</f>
        <v>1000</v>
      </c>
      <c r="N986" s="148">
        <f>IFERROR(__xludf.DUMMYFUNCTION("""COMPUTED_VALUE"""),9999999.0)</f>
        <v>9999999</v>
      </c>
      <c r="O986" s="148">
        <f>IFERROR(__xludf.DUMMYFUNCTION("""COMPUTED_VALUE"""),99999.0)</f>
        <v>99999</v>
      </c>
      <c r="P986" s="148">
        <f>IFERROR(__xludf.DUMMYFUNCTION("""COMPUTED_VALUE"""),99999.0)</f>
        <v>99999</v>
      </c>
      <c r="Q986" s="148" t="str">
        <f>IFERROR(__xludf.DUMMYFUNCTION("""COMPUTED_VALUE"""),"[""bag_other""]")</f>
        <v>["bag_other"]</v>
      </c>
      <c r="R986" s="148" t="str">
        <f>IFERROR(__xludf.DUMMYFUNCTION("""COMPUTED_VALUE"""),"[""bag""]")</f>
        <v>["bag"]</v>
      </c>
      <c r="S986" s="148" t="str">
        <f>IFERROR(__xludf.DUMMYFUNCTION("""COMPUTED_VALUE"""),"{""drop"":{""typ"":""single_all"",""num"":1,""args"":[{""typ"":""single_all"",""num"":1,""args"":[{""typ"":""item"",""id"":11114328,""num"":25,""wgt"":20},{""typ"":""item"",""id"":11112788,""num"":12,""wgt"":20}]},{""typ"":""single_random"",""num"":1,""ar"&amp;"gs"":[{""typ"":""empty"",""wgt"":95},{""typ"":""item"",""id"":11112788,""num"":20,""wgt"":5}]}]}}")</f>
        <v>{"drop":{"typ":"single_all","num":1,"args":[{"typ":"single_all","num":1,"args":[{"typ":"item","id":11114328,"num":25,"wgt":20},{"typ":"item","id":11112788,"num":12,"wgt":20}]},{"typ":"single_random","num":1,"args":[{"typ":"empty","wgt":95},{"typ":"item","id":11112788,"num":20,"wgt":5}]}]}}</v>
      </c>
      <c r="T986" s="148">
        <f>IFERROR(__xludf.DUMMYFUNCTION("""COMPUTED_VALUE"""),-1.0)</f>
        <v>-1</v>
      </c>
      <c r="U986" s="148">
        <f>IFERROR(__xludf.DUMMYFUNCTION("""COMPUTED_VALUE"""),0.0)</f>
        <v>0</v>
      </c>
      <c r="V986" s="148" t="str">
        <f>IFERROR(__xludf.DUMMYFUNCTION("""COMPUTED_VALUE"""),"[]")</f>
        <v>[]</v>
      </c>
      <c r="W986" s="148">
        <f>IFERROR(__xludf.DUMMYFUNCTION("""COMPUTED_VALUE"""),1.174E7)</f>
        <v>11740000</v>
      </c>
      <c r="X986" s="148">
        <f>IFERROR(__xludf.DUMMYFUNCTION("""COMPUTED_VALUE"""),0.0)</f>
        <v>0</v>
      </c>
      <c r="Y986" s="148">
        <f>IFERROR(__xludf.DUMMYFUNCTION("""COMPUTED_VALUE"""),0.0)</f>
        <v>0</v>
      </c>
      <c r="Z986" s="148"/>
    </row>
    <row r="987">
      <c r="A987" s="148">
        <f>IFERROR(__xludf.DUMMYFUNCTION("""COMPUTED_VALUE"""),1.1112794E7)</f>
        <v>11112794</v>
      </c>
      <c r="B987" s="148" t="str">
        <f>IFERROR(__xludf.DUMMYFUNCTION("""COMPUTED_VALUE"""),"科林探索装饰物A升级道具-礼包获得")</f>
        <v>科林探索装饰物A升级道具-礼包获得</v>
      </c>
      <c r="C987" s="148"/>
      <c r="D987" s="148" t="str">
        <f>IFERROR(__xludf.DUMMYFUNCTION("""COMPUTED_VALUE"""),"event")</f>
        <v>event</v>
      </c>
      <c r="E987" s="148">
        <f>IFERROR(__xludf.DUMMYFUNCTION("""COMPUTED_VALUE"""),0.0)</f>
        <v>0</v>
      </c>
      <c r="F987" s="148">
        <f>IFERROR(__xludf.DUMMYFUNCTION("""COMPUTED_VALUE"""),405249.0)</f>
        <v>405249</v>
      </c>
      <c r="G987" s="148">
        <f>IFERROR(__xludf.DUMMYFUNCTION("""COMPUTED_VALUE"""),1.51104799E8)</f>
        <v>151104799</v>
      </c>
      <c r="H987" s="148">
        <f>IFERROR(__xludf.DUMMYFUNCTION("""COMPUTED_VALUE"""),1.5112564E7)</f>
        <v>15112564</v>
      </c>
      <c r="I987" s="148" t="str">
        <f>IFERROR(__xludf.DUMMYFUNCTION("""COMPUTED_VALUE"""),"{}")</f>
        <v>{}</v>
      </c>
      <c r="J987" s="148" t="str">
        <f>IFERROR(__xludf.DUMMYFUNCTION("""COMPUTED_VALUE"""),"{""typ"":""lc"",""txt"":""LC_MAP_kolin_purchase_title2""}")</f>
        <v>{"typ":"lc","txt":"LC_MAP_kolin_purchase_title2"}</v>
      </c>
      <c r="K987" s="148" t="str">
        <f>IFERROR(__xludf.DUMMYFUNCTION("""COMPUTED_VALUE"""),"{""typ"":""lc"",""txt"":""LC_MAP_kolin_purchase_title7""}")</f>
        <v>{"typ":"lc","txt":"LC_MAP_kolin_purchase_title7"}</v>
      </c>
      <c r="L987" s="148" t="str">
        <f>IFERROR(__xludf.DUMMYFUNCTION("""COMPUTED_VALUE"""),"{}")</f>
        <v>{}</v>
      </c>
      <c r="M987" s="148">
        <f>IFERROR(__xludf.DUMMYFUNCTION("""COMPUTED_VALUE"""),1000.0)</f>
        <v>1000</v>
      </c>
      <c r="N987" s="148">
        <f>IFERROR(__xludf.DUMMYFUNCTION("""COMPUTED_VALUE"""),9.99999999E8)</f>
        <v>999999999</v>
      </c>
      <c r="O987" s="148">
        <f>IFERROR(__xludf.DUMMYFUNCTION("""COMPUTED_VALUE"""),9.99999999E8)</f>
        <v>999999999</v>
      </c>
      <c r="P987" s="148">
        <f>IFERROR(__xludf.DUMMYFUNCTION("""COMPUTED_VALUE"""),9.99999999E8)</f>
        <v>999999999</v>
      </c>
      <c r="Q987" s="148" t="str">
        <f>IFERROR(__xludf.DUMMYFUNCTION("""COMPUTED_VALUE"""),"[""bag_other""]")</f>
        <v>["bag_other"]</v>
      </c>
      <c r="R987" s="148" t="str">
        <f>IFERROR(__xludf.DUMMYFUNCTION("""COMPUTED_VALUE"""),"[]")</f>
        <v>[]</v>
      </c>
      <c r="S987" s="148" t="str">
        <f>IFERROR(__xludf.DUMMYFUNCTION("""COMPUTED_VALUE"""),"{}")</f>
        <v>{}</v>
      </c>
      <c r="T987" s="148">
        <f>IFERROR(__xludf.DUMMYFUNCTION("""COMPUTED_VALUE"""),-1.0)</f>
        <v>-1</v>
      </c>
      <c r="U987" s="148">
        <f>IFERROR(__xludf.DUMMYFUNCTION("""COMPUTED_VALUE"""),0.0)</f>
        <v>0</v>
      </c>
      <c r="V987" s="148" t="str">
        <f>IFERROR(__xludf.DUMMYFUNCTION("""COMPUTED_VALUE"""),"[]")</f>
        <v>[]</v>
      </c>
      <c r="W987" s="148">
        <f>IFERROR(__xludf.DUMMYFUNCTION("""COMPUTED_VALUE"""),1.174E7)</f>
        <v>11740000</v>
      </c>
      <c r="X987" s="148">
        <f>IFERROR(__xludf.DUMMYFUNCTION("""COMPUTED_VALUE"""),0.0)</f>
        <v>0</v>
      </c>
      <c r="Y987" s="148">
        <f>IFERROR(__xludf.DUMMYFUNCTION("""COMPUTED_VALUE"""),0.0)</f>
        <v>0</v>
      </c>
      <c r="Z987" s="148"/>
    </row>
    <row r="988">
      <c r="A988" s="148">
        <f>IFERROR(__xludf.DUMMYFUNCTION("""COMPUTED_VALUE"""),1.1112795E7)</f>
        <v>11112795</v>
      </c>
      <c r="B988" s="148" t="str">
        <f>IFERROR(__xludf.DUMMYFUNCTION("""COMPUTED_VALUE"""),"科林探索装饰物B升级道具-宝箱获得")</f>
        <v>科林探索装饰物B升级道具-宝箱获得</v>
      </c>
      <c r="C988" s="148"/>
      <c r="D988" s="148" t="str">
        <f>IFERROR(__xludf.DUMMYFUNCTION("""COMPUTED_VALUE"""),"event")</f>
        <v>event</v>
      </c>
      <c r="E988" s="148">
        <f>IFERROR(__xludf.DUMMYFUNCTION("""COMPUTED_VALUE"""),0.0)</f>
        <v>0</v>
      </c>
      <c r="F988" s="148">
        <f>IFERROR(__xludf.DUMMYFUNCTION("""COMPUTED_VALUE"""),405250.0)</f>
        <v>405250</v>
      </c>
      <c r="G988" s="148">
        <f>IFERROR(__xludf.DUMMYFUNCTION("""COMPUTED_VALUE"""),1.511048E8)</f>
        <v>151104800</v>
      </c>
      <c r="H988" s="148">
        <f>IFERROR(__xludf.DUMMYFUNCTION("""COMPUTED_VALUE"""),1.5112564E7)</f>
        <v>15112564</v>
      </c>
      <c r="I988" s="148" t="str">
        <f>IFERROR(__xludf.DUMMYFUNCTION("""COMPUTED_VALUE"""),"{}")</f>
        <v>{}</v>
      </c>
      <c r="J988" s="148" t="str">
        <f>IFERROR(__xludf.DUMMYFUNCTION("""COMPUTED_VALUE"""),"{""typ"":""lc"",""txt"":""LC_MAP_kolin_purchase_title4""}")</f>
        <v>{"typ":"lc","txt":"LC_MAP_kolin_purchase_title4"}</v>
      </c>
      <c r="K988" s="148" t="str">
        <f>IFERROR(__xludf.DUMMYFUNCTION("""COMPUTED_VALUE"""),"{""typ"":""lc"",""txt"":""LC_MAP_kolin_purchase_title8""}")</f>
        <v>{"typ":"lc","txt":"LC_MAP_kolin_purchase_title8"}</v>
      </c>
      <c r="L988" s="148" t="str">
        <f>IFERROR(__xludf.DUMMYFUNCTION("""COMPUTED_VALUE"""),"{}")</f>
        <v>{}</v>
      </c>
      <c r="M988" s="148">
        <f>IFERROR(__xludf.DUMMYFUNCTION("""COMPUTED_VALUE"""),1000.0)</f>
        <v>1000</v>
      </c>
      <c r="N988" s="148">
        <f>IFERROR(__xludf.DUMMYFUNCTION("""COMPUTED_VALUE"""),9.99999999E8)</f>
        <v>999999999</v>
      </c>
      <c r="O988" s="148">
        <f>IFERROR(__xludf.DUMMYFUNCTION("""COMPUTED_VALUE"""),9.99999999E8)</f>
        <v>999999999</v>
      </c>
      <c r="P988" s="148">
        <f>IFERROR(__xludf.DUMMYFUNCTION("""COMPUTED_VALUE"""),9.99999999E8)</f>
        <v>999999999</v>
      </c>
      <c r="Q988" s="148" t="str">
        <f>IFERROR(__xludf.DUMMYFUNCTION("""COMPUTED_VALUE"""),"[""bag_other""]")</f>
        <v>["bag_other"]</v>
      </c>
      <c r="R988" s="148" t="str">
        <f>IFERROR(__xludf.DUMMYFUNCTION("""COMPUTED_VALUE"""),"[]")</f>
        <v>[]</v>
      </c>
      <c r="S988" s="148" t="str">
        <f>IFERROR(__xludf.DUMMYFUNCTION("""COMPUTED_VALUE"""),"{}")</f>
        <v>{}</v>
      </c>
      <c r="T988" s="148">
        <f>IFERROR(__xludf.DUMMYFUNCTION("""COMPUTED_VALUE"""),-1.0)</f>
        <v>-1</v>
      </c>
      <c r="U988" s="148">
        <f>IFERROR(__xludf.DUMMYFUNCTION("""COMPUTED_VALUE"""),0.0)</f>
        <v>0</v>
      </c>
      <c r="V988" s="148" t="str">
        <f>IFERROR(__xludf.DUMMYFUNCTION("""COMPUTED_VALUE"""),"[]")</f>
        <v>[]</v>
      </c>
      <c r="W988" s="148">
        <f>IFERROR(__xludf.DUMMYFUNCTION("""COMPUTED_VALUE"""),1.174E7)</f>
        <v>11740000</v>
      </c>
      <c r="X988" s="148">
        <f>IFERROR(__xludf.DUMMYFUNCTION("""COMPUTED_VALUE"""),0.0)</f>
        <v>0</v>
      </c>
      <c r="Y988" s="148">
        <f>IFERROR(__xludf.DUMMYFUNCTION("""COMPUTED_VALUE"""),0.0)</f>
        <v>0</v>
      </c>
      <c r="Z988" s="148"/>
    </row>
    <row r="989">
      <c r="A989" s="148">
        <f>IFERROR(__xludf.DUMMYFUNCTION("""COMPUTED_VALUE"""),1.1112801E7)</f>
        <v>11112801</v>
      </c>
      <c r="B989" s="148" t="str">
        <f>IFERROR(__xludf.DUMMYFUNCTION("""COMPUTED_VALUE"""),"钓鱼活动-锤头鲨-超凡")</f>
        <v>钓鱼活动-锤头鲨-超凡</v>
      </c>
      <c r="C989" s="148"/>
      <c r="D989" s="148" t="str">
        <f>IFERROR(__xludf.DUMMYFUNCTION("""COMPUTED_VALUE"""),"actv_fishing")</f>
        <v>actv_fishing</v>
      </c>
      <c r="E989" s="148">
        <f>IFERROR(__xludf.DUMMYFUNCTION("""COMPUTED_VALUE"""),0.0)</f>
        <v>0</v>
      </c>
      <c r="F989" s="148">
        <f>IFERROR(__xludf.DUMMYFUNCTION("""COMPUTED_VALUE"""),0.0)</f>
        <v>0</v>
      </c>
      <c r="G989" s="148">
        <f>IFERROR(__xludf.DUMMYFUNCTION("""COMPUTED_VALUE"""),1.51103978E8)</f>
        <v>151103978</v>
      </c>
      <c r="H989" s="148">
        <f>IFERROR(__xludf.DUMMYFUNCTION("""COMPUTED_VALUE"""),1.5115983E7)</f>
        <v>15115983</v>
      </c>
      <c r="I989" s="148" t="str">
        <f>IFERROR(__xludf.DUMMYFUNCTION("""COMPUTED_VALUE"""),"{}")</f>
        <v>{}</v>
      </c>
      <c r="J989" s="148" t="str">
        <f>IFERROR(__xludf.DUMMYFUNCTION("""COMPUTED_VALUE"""),"{""typ"":""lc"",""txt"":""LC_ITEM_actv_fish_1_name_1""}")</f>
        <v>{"typ":"lc","txt":"LC_ITEM_actv_fish_1_name_1"}</v>
      </c>
      <c r="K989" s="148" t="str">
        <f>IFERROR(__xludf.DUMMYFUNCTION("""COMPUTED_VALUE"""),"{""typ"":""lc"",""txt"":""LC_ITEM_actv_fish_1_desc_1""}")</f>
        <v>{"typ":"lc","txt":"LC_ITEM_actv_fish_1_desc_1"}</v>
      </c>
      <c r="L989" s="148" t="str">
        <f>IFERROR(__xludf.DUMMYFUNCTION("""COMPUTED_VALUE"""),"{}")</f>
        <v>{}</v>
      </c>
      <c r="M989" s="148">
        <f>IFERROR(__xludf.DUMMYFUNCTION("""COMPUTED_VALUE"""),100.0)</f>
        <v>100</v>
      </c>
      <c r="N989" s="148">
        <f>IFERROR(__xludf.DUMMYFUNCTION("""COMPUTED_VALUE"""),9.99999999E8)</f>
        <v>999999999</v>
      </c>
      <c r="O989" s="148">
        <f>IFERROR(__xludf.DUMMYFUNCTION("""COMPUTED_VALUE"""),9.99999999E8)</f>
        <v>999999999</v>
      </c>
      <c r="P989" s="148">
        <f>IFERROR(__xludf.DUMMYFUNCTION("""COMPUTED_VALUE"""),9.99999999E8)</f>
        <v>999999999</v>
      </c>
      <c r="Q989" s="148" t="str">
        <f>IFERROR(__xludf.DUMMYFUNCTION("""COMPUTED_VALUE"""),"[]")</f>
        <v>[]</v>
      </c>
      <c r="R989" s="148" t="str">
        <f>IFERROR(__xludf.DUMMYFUNCTION("""COMPUTED_VALUE"""),"[]")</f>
        <v>[]</v>
      </c>
      <c r="S989" s="148" t="str">
        <f>IFERROR(__xludf.DUMMYFUNCTION("""COMPUTED_VALUE"""),"{}")</f>
        <v>{}</v>
      </c>
      <c r="T989" s="148">
        <f>IFERROR(__xludf.DUMMYFUNCTION("""COMPUTED_VALUE"""),-1.0)</f>
        <v>-1</v>
      </c>
      <c r="U989" s="148">
        <f>IFERROR(__xludf.DUMMYFUNCTION("""COMPUTED_VALUE"""),0.0)</f>
        <v>0</v>
      </c>
      <c r="V989" s="148" t="str">
        <f>IFERROR(__xludf.DUMMYFUNCTION("""COMPUTED_VALUE"""),"[]")</f>
        <v>[]</v>
      </c>
      <c r="W989" s="148">
        <f>IFERROR(__xludf.DUMMYFUNCTION("""COMPUTED_VALUE"""),1.174E7)</f>
        <v>11740000</v>
      </c>
      <c r="X989" s="148">
        <f>IFERROR(__xludf.DUMMYFUNCTION("""COMPUTED_VALUE"""),0.0)</f>
        <v>0</v>
      </c>
      <c r="Y989" s="148">
        <f>IFERROR(__xludf.DUMMYFUNCTION("""COMPUTED_VALUE"""),0.0)</f>
        <v>0</v>
      </c>
      <c r="Z989" s="148"/>
    </row>
    <row r="990">
      <c r="A990" s="148">
        <f>IFERROR(__xludf.DUMMYFUNCTION("""COMPUTED_VALUE"""),1.1112802E7)</f>
        <v>11112802</v>
      </c>
      <c r="B990" s="148" t="str">
        <f>IFERROR(__xludf.DUMMYFUNCTION("""COMPUTED_VALUE"""),"钓鱼活动-帝王蟹-超凡")</f>
        <v>钓鱼活动-帝王蟹-超凡</v>
      </c>
      <c r="C990" s="148"/>
      <c r="D990" s="148" t="str">
        <f>IFERROR(__xludf.DUMMYFUNCTION("""COMPUTED_VALUE"""),"actv_fishing")</f>
        <v>actv_fishing</v>
      </c>
      <c r="E990" s="148">
        <f>IFERROR(__xludf.DUMMYFUNCTION("""COMPUTED_VALUE"""),0.0)</f>
        <v>0</v>
      </c>
      <c r="F990" s="148">
        <f>IFERROR(__xludf.DUMMYFUNCTION("""COMPUTED_VALUE"""),0.0)</f>
        <v>0</v>
      </c>
      <c r="G990" s="148">
        <f>IFERROR(__xludf.DUMMYFUNCTION("""COMPUTED_VALUE"""),1.51103979E8)</f>
        <v>151103979</v>
      </c>
      <c r="H990" s="148">
        <f>IFERROR(__xludf.DUMMYFUNCTION("""COMPUTED_VALUE"""),1.5115983E7)</f>
        <v>15115983</v>
      </c>
      <c r="I990" s="148" t="str">
        <f>IFERROR(__xludf.DUMMYFUNCTION("""COMPUTED_VALUE"""),"{}")</f>
        <v>{}</v>
      </c>
      <c r="J990" s="148" t="str">
        <f>IFERROR(__xludf.DUMMYFUNCTION("""COMPUTED_VALUE"""),"{""typ"":""lc"",""txt"":""LC_ITEM_actv_fish_1_name_2""}")</f>
        <v>{"typ":"lc","txt":"LC_ITEM_actv_fish_1_name_2"}</v>
      </c>
      <c r="K990" s="148" t="str">
        <f>IFERROR(__xludf.DUMMYFUNCTION("""COMPUTED_VALUE"""),"{""typ"":""lc"",""txt"":""LC_ITEM_actv_fish_1_desc_2""}")</f>
        <v>{"typ":"lc","txt":"LC_ITEM_actv_fish_1_desc_2"}</v>
      </c>
      <c r="L990" s="148" t="str">
        <f>IFERROR(__xludf.DUMMYFUNCTION("""COMPUTED_VALUE"""),"{}")</f>
        <v>{}</v>
      </c>
      <c r="M990" s="148">
        <f>IFERROR(__xludf.DUMMYFUNCTION("""COMPUTED_VALUE"""),100.0)</f>
        <v>100</v>
      </c>
      <c r="N990" s="148">
        <f>IFERROR(__xludf.DUMMYFUNCTION("""COMPUTED_VALUE"""),9.99999999E8)</f>
        <v>999999999</v>
      </c>
      <c r="O990" s="148">
        <f>IFERROR(__xludf.DUMMYFUNCTION("""COMPUTED_VALUE"""),9.99999999E8)</f>
        <v>999999999</v>
      </c>
      <c r="P990" s="148">
        <f>IFERROR(__xludf.DUMMYFUNCTION("""COMPUTED_VALUE"""),9.99999999E8)</f>
        <v>999999999</v>
      </c>
      <c r="Q990" s="148" t="str">
        <f>IFERROR(__xludf.DUMMYFUNCTION("""COMPUTED_VALUE"""),"[]")</f>
        <v>[]</v>
      </c>
      <c r="R990" s="148" t="str">
        <f>IFERROR(__xludf.DUMMYFUNCTION("""COMPUTED_VALUE"""),"[]")</f>
        <v>[]</v>
      </c>
      <c r="S990" s="148" t="str">
        <f>IFERROR(__xludf.DUMMYFUNCTION("""COMPUTED_VALUE"""),"{}")</f>
        <v>{}</v>
      </c>
      <c r="T990" s="148">
        <f>IFERROR(__xludf.DUMMYFUNCTION("""COMPUTED_VALUE"""),-1.0)</f>
        <v>-1</v>
      </c>
      <c r="U990" s="148">
        <f>IFERROR(__xludf.DUMMYFUNCTION("""COMPUTED_VALUE"""),0.0)</f>
        <v>0</v>
      </c>
      <c r="V990" s="148" t="str">
        <f>IFERROR(__xludf.DUMMYFUNCTION("""COMPUTED_VALUE"""),"[]")</f>
        <v>[]</v>
      </c>
      <c r="W990" s="148">
        <f>IFERROR(__xludf.DUMMYFUNCTION("""COMPUTED_VALUE"""),1.174E7)</f>
        <v>11740000</v>
      </c>
      <c r="X990" s="148">
        <f>IFERROR(__xludf.DUMMYFUNCTION("""COMPUTED_VALUE"""),0.0)</f>
        <v>0</v>
      </c>
      <c r="Y990" s="148">
        <f>IFERROR(__xludf.DUMMYFUNCTION("""COMPUTED_VALUE"""),0.0)</f>
        <v>0</v>
      </c>
      <c r="Z990" s="148"/>
    </row>
    <row r="991">
      <c r="A991" s="148">
        <f>IFERROR(__xludf.DUMMYFUNCTION("""COMPUTED_VALUE"""),1.1112803E7)</f>
        <v>11112803</v>
      </c>
      <c r="B991" s="148" t="str">
        <f>IFERROR(__xludf.DUMMYFUNCTION("""COMPUTED_VALUE"""),"钓鱼活动-电鳗鱼-传说")</f>
        <v>钓鱼活动-电鳗鱼-传说</v>
      </c>
      <c r="C991" s="148"/>
      <c r="D991" s="148" t="str">
        <f>IFERROR(__xludf.DUMMYFUNCTION("""COMPUTED_VALUE"""),"actv_fishing")</f>
        <v>actv_fishing</v>
      </c>
      <c r="E991" s="148">
        <f>IFERROR(__xludf.DUMMYFUNCTION("""COMPUTED_VALUE"""),0.0)</f>
        <v>0</v>
      </c>
      <c r="F991" s="148">
        <f>IFERROR(__xludf.DUMMYFUNCTION("""COMPUTED_VALUE"""),0.0)</f>
        <v>0</v>
      </c>
      <c r="G991" s="148">
        <f>IFERROR(__xludf.DUMMYFUNCTION("""COMPUTED_VALUE"""),1.5110398E8)</f>
        <v>151103980</v>
      </c>
      <c r="H991" s="148">
        <f>IFERROR(__xludf.DUMMYFUNCTION("""COMPUTED_VALUE"""),1.5112564E7)</f>
        <v>15112564</v>
      </c>
      <c r="I991" s="148" t="str">
        <f>IFERROR(__xludf.DUMMYFUNCTION("""COMPUTED_VALUE"""),"{}")</f>
        <v>{}</v>
      </c>
      <c r="J991" s="148" t="str">
        <f>IFERROR(__xludf.DUMMYFUNCTION("""COMPUTED_VALUE"""),"{""typ"":""lc"",""txt"":""LC_ITEM_actv_fish_1_name_3""}")</f>
        <v>{"typ":"lc","txt":"LC_ITEM_actv_fish_1_name_3"}</v>
      </c>
      <c r="K991" s="148" t="str">
        <f>IFERROR(__xludf.DUMMYFUNCTION("""COMPUTED_VALUE"""),"{""typ"":""lc"",""txt"":""LC_ITEM_actv_fish_1_desc_3""}")</f>
        <v>{"typ":"lc","txt":"LC_ITEM_actv_fish_1_desc_3"}</v>
      </c>
      <c r="L991" s="148" t="str">
        <f>IFERROR(__xludf.DUMMYFUNCTION("""COMPUTED_VALUE"""),"{}")</f>
        <v>{}</v>
      </c>
      <c r="M991" s="148">
        <f>IFERROR(__xludf.DUMMYFUNCTION("""COMPUTED_VALUE"""),100.0)</f>
        <v>100</v>
      </c>
      <c r="N991" s="148">
        <f>IFERROR(__xludf.DUMMYFUNCTION("""COMPUTED_VALUE"""),9.99999999E8)</f>
        <v>999999999</v>
      </c>
      <c r="O991" s="148">
        <f>IFERROR(__xludf.DUMMYFUNCTION("""COMPUTED_VALUE"""),9.99999999E8)</f>
        <v>999999999</v>
      </c>
      <c r="P991" s="148">
        <f>IFERROR(__xludf.DUMMYFUNCTION("""COMPUTED_VALUE"""),9.99999999E8)</f>
        <v>999999999</v>
      </c>
      <c r="Q991" s="148" t="str">
        <f>IFERROR(__xludf.DUMMYFUNCTION("""COMPUTED_VALUE"""),"[]")</f>
        <v>[]</v>
      </c>
      <c r="R991" s="148" t="str">
        <f>IFERROR(__xludf.DUMMYFUNCTION("""COMPUTED_VALUE"""),"[]")</f>
        <v>[]</v>
      </c>
      <c r="S991" s="148" t="str">
        <f>IFERROR(__xludf.DUMMYFUNCTION("""COMPUTED_VALUE"""),"{}")</f>
        <v>{}</v>
      </c>
      <c r="T991" s="148">
        <f>IFERROR(__xludf.DUMMYFUNCTION("""COMPUTED_VALUE"""),-1.0)</f>
        <v>-1</v>
      </c>
      <c r="U991" s="148">
        <f>IFERROR(__xludf.DUMMYFUNCTION("""COMPUTED_VALUE"""),0.0)</f>
        <v>0</v>
      </c>
      <c r="V991" s="148" t="str">
        <f>IFERROR(__xludf.DUMMYFUNCTION("""COMPUTED_VALUE"""),"[]")</f>
        <v>[]</v>
      </c>
      <c r="W991" s="148">
        <f>IFERROR(__xludf.DUMMYFUNCTION("""COMPUTED_VALUE"""),1.174E7)</f>
        <v>11740000</v>
      </c>
      <c r="X991" s="148">
        <f>IFERROR(__xludf.DUMMYFUNCTION("""COMPUTED_VALUE"""),0.0)</f>
        <v>0</v>
      </c>
      <c r="Y991" s="148">
        <f>IFERROR(__xludf.DUMMYFUNCTION("""COMPUTED_VALUE"""),0.0)</f>
        <v>0</v>
      </c>
      <c r="Z991" s="148"/>
    </row>
    <row r="992">
      <c r="A992" s="148">
        <f>IFERROR(__xludf.DUMMYFUNCTION("""COMPUTED_VALUE"""),1.1112804E7)</f>
        <v>11112804</v>
      </c>
      <c r="B992" s="148" t="str">
        <f>IFERROR(__xludf.DUMMYFUNCTION("""COMPUTED_VALUE"""),"钓鱼活动-旗鱼-传说")</f>
        <v>钓鱼活动-旗鱼-传说</v>
      </c>
      <c r="C992" s="148"/>
      <c r="D992" s="148" t="str">
        <f>IFERROR(__xludf.DUMMYFUNCTION("""COMPUTED_VALUE"""),"actv_fishing")</f>
        <v>actv_fishing</v>
      </c>
      <c r="E992" s="148">
        <f>IFERROR(__xludf.DUMMYFUNCTION("""COMPUTED_VALUE"""),0.0)</f>
        <v>0</v>
      </c>
      <c r="F992" s="148">
        <f>IFERROR(__xludf.DUMMYFUNCTION("""COMPUTED_VALUE"""),0.0)</f>
        <v>0</v>
      </c>
      <c r="G992" s="148">
        <f>IFERROR(__xludf.DUMMYFUNCTION("""COMPUTED_VALUE"""),1.51103981E8)</f>
        <v>151103981</v>
      </c>
      <c r="H992" s="148">
        <f>IFERROR(__xludf.DUMMYFUNCTION("""COMPUTED_VALUE"""),1.5112564E7)</f>
        <v>15112564</v>
      </c>
      <c r="I992" s="148" t="str">
        <f>IFERROR(__xludf.DUMMYFUNCTION("""COMPUTED_VALUE"""),"{}")</f>
        <v>{}</v>
      </c>
      <c r="J992" s="148" t="str">
        <f>IFERROR(__xludf.DUMMYFUNCTION("""COMPUTED_VALUE"""),"{""typ"":""lc"",""txt"":""LC_ITEM_actv_fish_1_name_4""}")</f>
        <v>{"typ":"lc","txt":"LC_ITEM_actv_fish_1_name_4"}</v>
      </c>
      <c r="K992" s="148" t="str">
        <f>IFERROR(__xludf.DUMMYFUNCTION("""COMPUTED_VALUE"""),"{""typ"":""lc"",""txt"":""LC_ITEM_actv_fish_1_desc_4""}")</f>
        <v>{"typ":"lc","txt":"LC_ITEM_actv_fish_1_desc_4"}</v>
      </c>
      <c r="L992" s="148" t="str">
        <f>IFERROR(__xludf.DUMMYFUNCTION("""COMPUTED_VALUE"""),"{}")</f>
        <v>{}</v>
      </c>
      <c r="M992" s="148">
        <f>IFERROR(__xludf.DUMMYFUNCTION("""COMPUTED_VALUE"""),100.0)</f>
        <v>100</v>
      </c>
      <c r="N992" s="148">
        <f>IFERROR(__xludf.DUMMYFUNCTION("""COMPUTED_VALUE"""),9.99999999E8)</f>
        <v>999999999</v>
      </c>
      <c r="O992" s="148">
        <f>IFERROR(__xludf.DUMMYFUNCTION("""COMPUTED_VALUE"""),9.99999999E8)</f>
        <v>999999999</v>
      </c>
      <c r="P992" s="148">
        <f>IFERROR(__xludf.DUMMYFUNCTION("""COMPUTED_VALUE"""),9.99999999E8)</f>
        <v>999999999</v>
      </c>
      <c r="Q992" s="148" t="str">
        <f>IFERROR(__xludf.DUMMYFUNCTION("""COMPUTED_VALUE"""),"[]")</f>
        <v>[]</v>
      </c>
      <c r="R992" s="148" t="str">
        <f>IFERROR(__xludf.DUMMYFUNCTION("""COMPUTED_VALUE"""),"[]")</f>
        <v>[]</v>
      </c>
      <c r="S992" s="148" t="str">
        <f>IFERROR(__xludf.DUMMYFUNCTION("""COMPUTED_VALUE"""),"{}")</f>
        <v>{}</v>
      </c>
      <c r="T992" s="148">
        <f>IFERROR(__xludf.DUMMYFUNCTION("""COMPUTED_VALUE"""),-1.0)</f>
        <v>-1</v>
      </c>
      <c r="U992" s="148">
        <f>IFERROR(__xludf.DUMMYFUNCTION("""COMPUTED_VALUE"""),0.0)</f>
        <v>0</v>
      </c>
      <c r="V992" s="148" t="str">
        <f>IFERROR(__xludf.DUMMYFUNCTION("""COMPUTED_VALUE"""),"[]")</f>
        <v>[]</v>
      </c>
      <c r="W992" s="148">
        <f>IFERROR(__xludf.DUMMYFUNCTION("""COMPUTED_VALUE"""),1.174E7)</f>
        <v>11740000</v>
      </c>
      <c r="X992" s="148">
        <f>IFERROR(__xludf.DUMMYFUNCTION("""COMPUTED_VALUE"""),0.0)</f>
        <v>0</v>
      </c>
      <c r="Y992" s="148">
        <f>IFERROR(__xludf.DUMMYFUNCTION("""COMPUTED_VALUE"""),0.0)</f>
        <v>0</v>
      </c>
      <c r="Z992" s="148"/>
    </row>
    <row r="993">
      <c r="A993" s="148">
        <f>IFERROR(__xludf.DUMMYFUNCTION("""COMPUTED_VALUE"""),1.1112805E7)</f>
        <v>11112805</v>
      </c>
      <c r="B993" s="148" t="str">
        <f>IFERROR(__xludf.DUMMYFUNCTION("""COMPUTED_VALUE"""),"钓鱼活动-蝠鲼-传说")</f>
        <v>钓鱼活动-蝠鲼-传说</v>
      </c>
      <c r="C993" s="148"/>
      <c r="D993" s="148" t="str">
        <f>IFERROR(__xludf.DUMMYFUNCTION("""COMPUTED_VALUE"""),"actv_fishing")</f>
        <v>actv_fishing</v>
      </c>
      <c r="E993" s="148">
        <f>IFERROR(__xludf.DUMMYFUNCTION("""COMPUTED_VALUE"""),0.0)</f>
        <v>0</v>
      </c>
      <c r="F993" s="148">
        <f>IFERROR(__xludf.DUMMYFUNCTION("""COMPUTED_VALUE"""),0.0)</f>
        <v>0</v>
      </c>
      <c r="G993" s="148">
        <f>IFERROR(__xludf.DUMMYFUNCTION("""COMPUTED_VALUE"""),1.51103982E8)</f>
        <v>151103982</v>
      </c>
      <c r="H993" s="148">
        <f>IFERROR(__xludf.DUMMYFUNCTION("""COMPUTED_VALUE"""),1.5112564E7)</f>
        <v>15112564</v>
      </c>
      <c r="I993" s="148" t="str">
        <f>IFERROR(__xludf.DUMMYFUNCTION("""COMPUTED_VALUE"""),"{}")</f>
        <v>{}</v>
      </c>
      <c r="J993" s="148" t="str">
        <f>IFERROR(__xludf.DUMMYFUNCTION("""COMPUTED_VALUE"""),"{""typ"":""lc"",""txt"":""LC_ITEM_actv_fish_1_name_5""}")</f>
        <v>{"typ":"lc","txt":"LC_ITEM_actv_fish_1_name_5"}</v>
      </c>
      <c r="K993" s="148" t="str">
        <f>IFERROR(__xludf.DUMMYFUNCTION("""COMPUTED_VALUE"""),"{""typ"":""lc"",""txt"":""LC_ITEM_actv_fish_1_desc_5""}")</f>
        <v>{"typ":"lc","txt":"LC_ITEM_actv_fish_1_desc_5"}</v>
      </c>
      <c r="L993" s="148" t="str">
        <f>IFERROR(__xludf.DUMMYFUNCTION("""COMPUTED_VALUE"""),"{}")</f>
        <v>{}</v>
      </c>
      <c r="M993" s="148">
        <f>IFERROR(__xludf.DUMMYFUNCTION("""COMPUTED_VALUE"""),100.0)</f>
        <v>100</v>
      </c>
      <c r="N993" s="148">
        <f>IFERROR(__xludf.DUMMYFUNCTION("""COMPUTED_VALUE"""),9.99999999E8)</f>
        <v>999999999</v>
      </c>
      <c r="O993" s="148">
        <f>IFERROR(__xludf.DUMMYFUNCTION("""COMPUTED_VALUE"""),9.99999999E8)</f>
        <v>999999999</v>
      </c>
      <c r="P993" s="148">
        <f>IFERROR(__xludf.DUMMYFUNCTION("""COMPUTED_VALUE"""),9.99999999E8)</f>
        <v>999999999</v>
      </c>
      <c r="Q993" s="148" t="str">
        <f>IFERROR(__xludf.DUMMYFUNCTION("""COMPUTED_VALUE"""),"[]")</f>
        <v>[]</v>
      </c>
      <c r="R993" s="148" t="str">
        <f>IFERROR(__xludf.DUMMYFUNCTION("""COMPUTED_VALUE"""),"[]")</f>
        <v>[]</v>
      </c>
      <c r="S993" s="148" t="str">
        <f>IFERROR(__xludf.DUMMYFUNCTION("""COMPUTED_VALUE"""),"{}")</f>
        <v>{}</v>
      </c>
      <c r="T993" s="148">
        <f>IFERROR(__xludf.DUMMYFUNCTION("""COMPUTED_VALUE"""),-1.0)</f>
        <v>-1</v>
      </c>
      <c r="U993" s="148">
        <f>IFERROR(__xludf.DUMMYFUNCTION("""COMPUTED_VALUE"""),0.0)</f>
        <v>0</v>
      </c>
      <c r="V993" s="148" t="str">
        <f>IFERROR(__xludf.DUMMYFUNCTION("""COMPUTED_VALUE"""),"[]")</f>
        <v>[]</v>
      </c>
      <c r="W993" s="148">
        <f>IFERROR(__xludf.DUMMYFUNCTION("""COMPUTED_VALUE"""),1.174E7)</f>
        <v>11740000</v>
      </c>
      <c r="X993" s="148">
        <f>IFERROR(__xludf.DUMMYFUNCTION("""COMPUTED_VALUE"""),0.0)</f>
        <v>0</v>
      </c>
      <c r="Y993" s="148">
        <f>IFERROR(__xludf.DUMMYFUNCTION("""COMPUTED_VALUE"""),0.0)</f>
        <v>0</v>
      </c>
      <c r="Z993" s="148"/>
    </row>
    <row r="994">
      <c r="A994" s="148">
        <f>IFERROR(__xludf.DUMMYFUNCTION("""COMPUTED_VALUE"""),1.1112806E7)</f>
        <v>11112806</v>
      </c>
      <c r="B994" s="148" t="str">
        <f>IFERROR(__xludf.DUMMYFUNCTION("""COMPUTED_VALUE"""),"钓鱼活动-金枪鱼-传说")</f>
        <v>钓鱼活动-金枪鱼-传说</v>
      </c>
      <c r="C994" s="148"/>
      <c r="D994" s="148" t="str">
        <f>IFERROR(__xludf.DUMMYFUNCTION("""COMPUTED_VALUE"""),"actv_fishing")</f>
        <v>actv_fishing</v>
      </c>
      <c r="E994" s="148">
        <f>IFERROR(__xludf.DUMMYFUNCTION("""COMPUTED_VALUE"""),0.0)</f>
        <v>0</v>
      </c>
      <c r="F994" s="148">
        <f>IFERROR(__xludf.DUMMYFUNCTION("""COMPUTED_VALUE"""),0.0)</f>
        <v>0</v>
      </c>
      <c r="G994" s="148">
        <f>IFERROR(__xludf.DUMMYFUNCTION("""COMPUTED_VALUE"""),1.51103983E8)</f>
        <v>151103983</v>
      </c>
      <c r="H994" s="148">
        <f>IFERROR(__xludf.DUMMYFUNCTION("""COMPUTED_VALUE"""),1.5112564E7)</f>
        <v>15112564</v>
      </c>
      <c r="I994" s="148" t="str">
        <f>IFERROR(__xludf.DUMMYFUNCTION("""COMPUTED_VALUE"""),"{}")</f>
        <v>{}</v>
      </c>
      <c r="J994" s="148" t="str">
        <f>IFERROR(__xludf.DUMMYFUNCTION("""COMPUTED_VALUE"""),"{""typ"":""lc"",""txt"":""LC_ITEM_actv_fish_1_name_6""}")</f>
        <v>{"typ":"lc","txt":"LC_ITEM_actv_fish_1_name_6"}</v>
      </c>
      <c r="K994" s="148" t="str">
        <f>IFERROR(__xludf.DUMMYFUNCTION("""COMPUTED_VALUE"""),"{""typ"":""lc"",""txt"":""LC_ITEM_actv_fish_1_desc_6""}")</f>
        <v>{"typ":"lc","txt":"LC_ITEM_actv_fish_1_desc_6"}</v>
      </c>
      <c r="L994" s="148" t="str">
        <f>IFERROR(__xludf.DUMMYFUNCTION("""COMPUTED_VALUE"""),"{}")</f>
        <v>{}</v>
      </c>
      <c r="M994" s="148">
        <f>IFERROR(__xludf.DUMMYFUNCTION("""COMPUTED_VALUE"""),100.0)</f>
        <v>100</v>
      </c>
      <c r="N994" s="148">
        <f>IFERROR(__xludf.DUMMYFUNCTION("""COMPUTED_VALUE"""),9.99999999E8)</f>
        <v>999999999</v>
      </c>
      <c r="O994" s="148">
        <f>IFERROR(__xludf.DUMMYFUNCTION("""COMPUTED_VALUE"""),9.99999999E8)</f>
        <v>999999999</v>
      </c>
      <c r="P994" s="148">
        <f>IFERROR(__xludf.DUMMYFUNCTION("""COMPUTED_VALUE"""),9.99999999E8)</f>
        <v>999999999</v>
      </c>
      <c r="Q994" s="148" t="str">
        <f>IFERROR(__xludf.DUMMYFUNCTION("""COMPUTED_VALUE"""),"[]")</f>
        <v>[]</v>
      </c>
      <c r="R994" s="148" t="str">
        <f>IFERROR(__xludf.DUMMYFUNCTION("""COMPUTED_VALUE"""),"[]")</f>
        <v>[]</v>
      </c>
      <c r="S994" s="148" t="str">
        <f>IFERROR(__xludf.DUMMYFUNCTION("""COMPUTED_VALUE"""),"{}")</f>
        <v>{}</v>
      </c>
      <c r="T994" s="148">
        <f>IFERROR(__xludf.DUMMYFUNCTION("""COMPUTED_VALUE"""),-1.0)</f>
        <v>-1</v>
      </c>
      <c r="U994" s="148">
        <f>IFERROR(__xludf.DUMMYFUNCTION("""COMPUTED_VALUE"""),0.0)</f>
        <v>0</v>
      </c>
      <c r="V994" s="148" t="str">
        <f>IFERROR(__xludf.DUMMYFUNCTION("""COMPUTED_VALUE"""),"[]")</f>
        <v>[]</v>
      </c>
      <c r="W994" s="148">
        <f>IFERROR(__xludf.DUMMYFUNCTION("""COMPUTED_VALUE"""),1.174E7)</f>
        <v>11740000</v>
      </c>
      <c r="X994" s="148">
        <f>IFERROR(__xludf.DUMMYFUNCTION("""COMPUTED_VALUE"""),0.0)</f>
        <v>0</v>
      </c>
      <c r="Y994" s="148">
        <f>IFERROR(__xludf.DUMMYFUNCTION("""COMPUTED_VALUE"""),0.0)</f>
        <v>0</v>
      </c>
      <c r="Z994" s="148"/>
    </row>
    <row r="995">
      <c r="A995" s="148">
        <f>IFERROR(__xludf.DUMMYFUNCTION("""COMPUTED_VALUE"""),1.1112807E7)</f>
        <v>11112807</v>
      </c>
      <c r="B995" s="148" t="str">
        <f>IFERROR(__xludf.DUMMYFUNCTION("""COMPUTED_VALUE"""),"钓鱼活动-海龟-传说")</f>
        <v>钓鱼活动-海龟-传说</v>
      </c>
      <c r="C995" s="148"/>
      <c r="D995" s="148" t="str">
        <f>IFERROR(__xludf.DUMMYFUNCTION("""COMPUTED_VALUE"""),"actv_fishing")</f>
        <v>actv_fishing</v>
      </c>
      <c r="E995" s="148">
        <f>IFERROR(__xludf.DUMMYFUNCTION("""COMPUTED_VALUE"""),0.0)</f>
        <v>0</v>
      </c>
      <c r="F995" s="148">
        <f>IFERROR(__xludf.DUMMYFUNCTION("""COMPUTED_VALUE"""),0.0)</f>
        <v>0</v>
      </c>
      <c r="G995" s="148">
        <f>IFERROR(__xludf.DUMMYFUNCTION("""COMPUTED_VALUE"""),1.51103984E8)</f>
        <v>151103984</v>
      </c>
      <c r="H995" s="148">
        <f>IFERROR(__xludf.DUMMYFUNCTION("""COMPUTED_VALUE"""),1.5112564E7)</f>
        <v>15112564</v>
      </c>
      <c r="I995" s="148" t="str">
        <f>IFERROR(__xludf.DUMMYFUNCTION("""COMPUTED_VALUE"""),"{}")</f>
        <v>{}</v>
      </c>
      <c r="J995" s="148" t="str">
        <f>IFERROR(__xludf.DUMMYFUNCTION("""COMPUTED_VALUE"""),"{""typ"":""lc"",""txt"":""LC_ITEM_actv_fish_1_name_7""}")</f>
        <v>{"typ":"lc","txt":"LC_ITEM_actv_fish_1_name_7"}</v>
      </c>
      <c r="K995" s="148" t="str">
        <f>IFERROR(__xludf.DUMMYFUNCTION("""COMPUTED_VALUE"""),"{""typ"":""lc"",""txt"":""LC_ITEM_actv_fish_1_desc_7""}")</f>
        <v>{"typ":"lc","txt":"LC_ITEM_actv_fish_1_desc_7"}</v>
      </c>
      <c r="L995" s="148" t="str">
        <f>IFERROR(__xludf.DUMMYFUNCTION("""COMPUTED_VALUE"""),"{}")</f>
        <v>{}</v>
      </c>
      <c r="M995" s="148">
        <f>IFERROR(__xludf.DUMMYFUNCTION("""COMPUTED_VALUE"""),100.0)</f>
        <v>100</v>
      </c>
      <c r="N995" s="148">
        <f>IFERROR(__xludf.DUMMYFUNCTION("""COMPUTED_VALUE"""),9.99999999E8)</f>
        <v>999999999</v>
      </c>
      <c r="O995" s="148">
        <f>IFERROR(__xludf.DUMMYFUNCTION("""COMPUTED_VALUE"""),9.99999999E8)</f>
        <v>999999999</v>
      </c>
      <c r="P995" s="148">
        <f>IFERROR(__xludf.DUMMYFUNCTION("""COMPUTED_VALUE"""),9.99999999E8)</f>
        <v>999999999</v>
      </c>
      <c r="Q995" s="148" t="str">
        <f>IFERROR(__xludf.DUMMYFUNCTION("""COMPUTED_VALUE"""),"[]")</f>
        <v>[]</v>
      </c>
      <c r="R995" s="148" t="str">
        <f>IFERROR(__xludf.DUMMYFUNCTION("""COMPUTED_VALUE"""),"[]")</f>
        <v>[]</v>
      </c>
      <c r="S995" s="148" t="str">
        <f>IFERROR(__xludf.DUMMYFUNCTION("""COMPUTED_VALUE"""),"{}")</f>
        <v>{}</v>
      </c>
      <c r="T995" s="148">
        <f>IFERROR(__xludf.DUMMYFUNCTION("""COMPUTED_VALUE"""),-1.0)</f>
        <v>-1</v>
      </c>
      <c r="U995" s="148">
        <f>IFERROR(__xludf.DUMMYFUNCTION("""COMPUTED_VALUE"""),0.0)</f>
        <v>0</v>
      </c>
      <c r="V995" s="148" t="str">
        <f>IFERROR(__xludf.DUMMYFUNCTION("""COMPUTED_VALUE"""),"[]")</f>
        <v>[]</v>
      </c>
      <c r="W995" s="148">
        <f>IFERROR(__xludf.DUMMYFUNCTION("""COMPUTED_VALUE"""),1.174E7)</f>
        <v>11740000</v>
      </c>
      <c r="X995" s="148">
        <f>IFERROR(__xludf.DUMMYFUNCTION("""COMPUTED_VALUE"""),0.0)</f>
        <v>0</v>
      </c>
      <c r="Y995" s="148">
        <f>IFERROR(__xludf.DUMMYFUNCTION("""COMPUTED_VALUE"""),0.0)</f>
        <v>0</v>
      </c>
      <c r="Z995" s="148"/>
    </row>
    <row r="996">
      <c r="A996" s="148">
        <f>IFERROR(__xludf.DUMMYFUNCTION("""COMPUTED_VALUE"""),1.1112808E7)</f>
        <v>11112808</v>
      </c>
      <c r="B996" s="148" t="str">
        <f>IFERROR(__xludf.DUMMYFUNCTION("""COMPUTED_VALUE"""),"钓鱼活动-灯笼鱼-传说")</f>
        <v>钓鱼活动-灯笼鱼-传说</v>
      </c>
      <c r="C996" s="148"/>
      <c r="D996" s="148" t="str">
        <f>IFERROR(__xludf.DUMMYFUNCTION("""COMPUTED_VALUE"""),"actv_fishing")</f>
        <v>actv_fishing</v>
      </c>
      <c r="E996" s="148">
        <f>IFERROR(__xludf.DUMMYFUNCTION("""COMPUTED_VALUE"""),0.0)</f>
        <v>0</v>
      </c>
      <c r="F996" s="148">
        <f>IFERROR(__xludf.DUMMYFUNCTION("""COMPUTED_VALUE"""),0.0)</f>
        <v>0</v>
      </c>
      <c r="G996" s="148">
        <f>IFERROR(__xludf.DUMMYFUNCTION("""COMPUTED_VALUE"""),1.51103985E8)</f>
        <v>151103985</v>
      </c>
      <c r="H996" s="148">
        <f>IFERROR(__xludf.DUMMYFUNCTION("""COMPUTED_VALUE"""),1.5112564E7)</f>
        <v>15112564</v>
      </c>
      <c r="I996" s="148" t="str">
        <f>IFERROR(__xludf.DUMMYFUNCTION("""COMPUTED_VALUE"""),"{}")</f>
        <v>{}</v>
      </c>
      <c r="J996" s="148" t="str">
        <f>IFERROR(__xludf.DUMMYFUNCTION("""COMPUTED_VALUE"""),"{""typ"":""lc"",""txt"":""LC_ITEM_actv_fish_1_name_8""}")</f>
        <v>{"typ":"lc","txt":"LC_ITEM_actv_fish_1_name_8"}</v>
      </c>
      <c r="K996" s="148" t="str">
        <f>IFERROR(__xludf.DUMMYFUNCTION("""COMPUTED_VALUE"""),"{""typ"":""lc"",""txt"":""LC_ITEM_actv_fish_1_desc_8""}")</f>
        <v>{"typ":"lc","txt":"LC_ITEM_actv_fish_1_desc_8"}</v>
      </c>
      <c r="L996" s="148" t="str">
        <f>IFERROR(__xludf.DUMMYFUNCTION("""COMPUTED_VALUE"""),"{}")</f>
        <v>{}</v>
      </c>
      <c r="M996" s="148">
        <f>IFERROR(__xludf.DUMMYFUNCTION("""COMPUTED_VALUE"""),100.0)</f>
        <v>100</v>
      </c>
      <c r="N996" s="148">
        <f>IFERROR(__xludf.DUMMYFUNCTION("""COMPUTED_VALUE"""),9.99999999E8)</f>
        <v>999999999</v>
      </c>
      <c r="O996" s="148">
        <f>IFERROR(__xludf.DUMMYFUNCTION("""COMPUTED_VALUE"""),9.99999999E8)</f>
        <v>999999999</v>
      </c>
      <c r="P996" s="148">
        <f>IFERROR(__xludf.DUMMYFUNCTION("""COMPUTED_VALUE"""),9.99999999E8)</f>
        <v>999999999</v>
      </c>
      <c r="Q996" s="148" t="str">
        <f>IFERROR(__xludf.DUMMYFUNCTION("""COMPUTED_VALUE"""),"[]")</f>
        <v>[]</v>
      </c>
      <c r="R996" s="148" t="str">
        <f>IFERROR(__xludf.DUMMYFUNCTION("""COMPUTED_VALUE"""),"[]")</f>
        <v>[]</v>
      </c>
      <c r="S996" s="148" t="str">
        <f>IFERROR(__xludf.DUMMYFUNCTION("""COMPUTED_VALUE"""),"{}")</f>
        <v>{}</v>
      </c>
      <c r="T996" s="148">
        <f>IFERROR(__xludf.DUMMYFUNCTION("""COMPUTED_VALUE"""),-1.0)</f>
        <v>-1</v>
      </c>
      <c r="U996" s="148">
        <f>IFERROR(__xludf.DUMMYFUNCTION("""COMPUTED_VALUE"""),0.0)</f>
        <v>0</v>
      </c>
      <c r="V996" s="148" t="str">
        <f>IFERROR(__xludf.DUMMYFUNCTION("""COMPUTED_VALUE"""),"[]")</f>
        <v>[]</v>
      </c>
      <c r="W996" s="148">
        <f>IFERROR(__xludf.DUMMYFUNCTION("""COMPUTED_VALUE"""),1.174E7)</f>
        <v>11740000</v>
      </c>
      <c r="X996" s="148">
        <f>IFERROR(__xludf.DUMMYFUNCTION("""COMPUTED_VALUE"""),0.0)</f>
        <v>0</v>
      </c>
      <c r="Y996" s="148">
        <f>IFERROR(__xludf.DUMMYFUNCTION("""COMPUTED_VALUE"""),0.0)</f>
        <v>0</v>
      </c>
      <c r="Z996" s="148"/>
    </row>
    <row r="997">
      <c r="A997" s="148">
        <f>IFERROR(__xludf.DUMMYFUNCTION("""COMPUTED_VALUE"""),1.1112809E7)</f>
        <v>11112809</v>
      </c>
      <c r="B997" s="148" t="str">
        <f>IFERROR(__xludf.DUMMYFUNCTION("""COMPUTED_VALUE"""),"钓鱼活动-多宝鱼-史诗")</f>
        <v>钓鱼活动-多宝鱼-史诗</v>
      </c>
      <c r="C997" s="148"/>
      <c r="D997" s="148" t="str">
        <f>IFERROR(__xludf.DUMMYFUNCTION("""COMPUTED_VALUE"""),"actv_fishing")</f>
        <v>actv_fishing</v>
      </c>
      <c r="E997" s="148">
        <f>IFERROR(__xludf.DUMMYFUNCTION("""COMPUTED_VALUE"""),0.0)</f>
        <v>0</v>
      </c>
      <c r="F997" s="148">
        <f>IFERROR(__xludf.DUMMYFUNCTION("""COMPUTED_VALUE"""),0.0)</f>
        <v>0</v>
      </c>
      <c r="G997" s="148">
        <f>IFERROR(__xludf.DUMMYFUNCTION("""COMPUTED_VALUE"""),1.51103986E8)</f>
        <v>151103986</v>
      </c>
      <c r="H997" s="148">
        <f>IFERROR(__xludf.DUMMYFUNCTION("""COMPUTED_VALUE"""),1.5112563E7)</f>
        <v>15112563</v>
      </c>
      <c r="I997" s="148" t="str">
        <f>IFERROR(__xludf.DUMMYFUNCTION("""COMPUTED_VALUE"""),"{}")</f>
        <v>{}</v>
      </c>
      <c r="J997" s="148" t="str">
        <f>IFERROR(__xludf.DUMMYFUNCTION("""COMPUTED_VALUE"""),"{""typ"":""lc"",""txt"":""LC_ITEM_actv_fish_1_name_9""}")</f>
        <v>{"typ":"lc","txt":"LC_ITEM_actv_fish_1_name_9"}</v>
      </c>
      <c r="K997" s="148" t="str">
        <f>IFERROR(__xludf.DUMMYFUNCTION("""COMPUTED_VALUE"""),"{""typ"":""lc"",""txt"":""LC_ITEM_actv_fish_1_desc_9""}")</f>
        <v>{"typ":"lc","txt":"LC_ITEM_actv_fish_1_desc_9"}</v>
      </c>
      <c r="L997" s="148" t="str">
        <f>IFERROR(__xludf.DUMMYFUNCTION("""COMPUTED_VALUE"""),"{}")</f>
        <v>{}</v>
      </c>
      <c r="M997" s="148">
        <f>IFERROR(__xludf.DUMMYFUNCTION("""COMPUTED_VALUE"""),100.0)</f>
        <v>100</v>
      </c>
      <c r="N997" s="148">
        <f>IFERROR(__xludf.DUMMYFUNCTION("""COMPUTED_VALUE"""),9.99999999E8)</f>
        <v>999999999</v>
      </c>
      <c r="O997" s="148">
        <f>IFERROR(__xludf.DUMMYFUNCTION("""COMPUTED_VALUE"""),9.99999999E8)</f>
        <v>999999999</v>
      </c>
      <c r="P997" s="148">
        <f>IFERROR(__xludf.DUMMYFUNCTION("""COMPUTED_VALUE"""),9.99999999E8)</f>
        <v>999999999</v>
      </c>
      <c r="Q997" s="148" t="str">
        <f>IFERROR(__xludf.DUMMYFUNCTION("""COMPUTED_VALUE"""),"[]")</f>
        <v>[]</v>
      </c>
      <c r="R997" s="148" t="str">
        <f>IFERROR(__xludf.DUMMYFUNCTION("""COMPUTED_VALUE"""),"[]")</f>
        <v>[]</v>
      </c>
      <c r="S997" s="148" t="str">
        <f>IFERROR(__xludf.DUMMYFUNCTION("""COMPUTED_VALUE"""),"{}")</f>
        <v>{}</v>
      </c>
      <c r="T997" s="148">
        <f>IFERROR(__xludf.DUMMYFUNCTION("""COMPUTED_VALUE"""),-1.0)</f>
        <v>-1</v>
      </c>
      <c r="U997" s="148">
        <f>IFERROR(__xludf.DUMMYFUNCTION("""COMPUTED_VALUE"""),0.0)</f>
        <v>0</v>
      </c>
      <c r="V997" s="148" t="str">
        <f>IFERROR(__xludf.DUMMYFUNCTION("""COMPUTED_VALUE"""),"[]")</f>
        <v>[]</v>
      </c>
      <c r="W997" s="148">
        <f>IFERROR(__xludf.DUMMYFUNCTION("""COMPUTED_VALUE"""),1.174E7)</f>
        <v>11740000</v>
      </c>
      <c r="X997" s="148">
        <f>IFERROR(__xludf.DUMMYFUNCTION("""COMPUTED_VALUE"""),0.0)</f>
        <v>0</v>
      </c>
      <c r="Y997" s="148">
        <f>IFERROR(__xludf.DUMMYFUNCTION("""COMPUTED_VALUE"""),0.0)</f>
        <v>0</v>
      </c>
      <c r="Z997" s="148"/>
    </row>
    <row r="998">
      <c r="A998" s="148">
        <f>IFERROR(__xludf.DUMMYFUNCTION("""COMPUTED_VALUE"""),1.111281E7)</f>
        <v>11112810</v>
      </c>
      <c r="B998" s="148" t="str">
        <f>IFERROR(__xludf.DUMMYFUNCTION("""COMPUTED_VALUE"""),"钓鱼活动-海胆-史诗")</f>
        <v>钓鱼活动-海胆-史诗</v>
      </c>
      <c r="C998" s="148"/>
      <c r="D998" s="148" t="str">
        <f>IFERROR(__xludf.DUMMYFUNCTION("""COMPUTED_VALUE"""),"actv_fishing")</f>
        <v>actv_fishing</v>
      </c>
      <c r="E998" s="148">
        <f>IFERROR(__xludf.DUMMYFUNCTION("""COMPUTED_VALUE"""),0.0)</f>
        <v>0</v>
      </c>
      <c r="F998" s="148">
        <f>IFERROR(__xludf.DUMMYFUNCTION("""COMPUTED_VALUE"""),0.0)</f>
        <v>0</v>
      </c>
      <c r="G998" s="148">
        <f>IFERROR(__xludf.DUMMYFUNCTION("""COMPUTED_VALUE"""),1.51103987E8)</f>
        <v>151103987</v>
      </c>
      <c r="H998" s="148">
        <f>IFERROR(__xludf.DUMMYFUNCTION("""COMPUTED_VALUE"""),1.5112563E7)</f>
        <v>15112563</v>
      </c>
      <c r="I998" s="148" t="str">
        <f>IFERROR(__xludf.DUMMYFUNCTION("""COMPUTED_VALUE"""),"{}")</f>
        <v>{}</v>
      </c>
      <c r="J998" s="148" t="str">
        <f>IFERROR(__xludf.DUMMYFUNCTION("""COMPUTED_VALUE"""),"{""typ"":""lc"",""txt"":""LC_ITEM_actv_fish_1_name_10""}")</f>
        <v>{"typ":"lc","txt":"LC_ITEM_actv_fish_1_name_10"}</v>
      </c>
      <c r="K998" s="148" t="str">
        <f>IFERROR(__xludf.DUMMYFUNCTION("""COMPUTED_VALUE"""),"{""typ"":""lc"",""txt"":""LC_ITEM_actv_fish_1_desc_10""}")</f>
        <v>{"typ":"lc","txt":"LC_ITEM_actv_fish_1_desc_10"}</v>
      </c>
      <c r="L998" s="148" t="str">
        <f>IFERROR(__xludf.DUMMYFUNCTION("""COMPUTED_VALUE"""),"{}")</f>
        <v>{}</v>
      </c>
      <c r="M998" s="148">
        <f>IFERROR(__xludf.DUMMYFUNCTION("""COMPUTED_VALUE"""),100.0)</f>
        <v>100</v>
      </c>
      <c r="N998" s="148">
        <f>IFERROR(__xludf.DUMMYFUNCTION("""COMPUTED_VALUE"""),9.99999999E8)</f>
        <v>999999999</v>
      </c>
      <c r="O998" s="148">
        <f>IFERROR(__xludf.DUMMYFUNCTION("""COMPUTED_VALUE"""),9.99999999E8)</f>
        <v>999999999</v>
      </c>
      <c r="P998" s="148">
        <f>IFERROR(__xludf.DUMMYFUNCTION("""COMPUTED_VALUE"""),9.99999999E8)</f>
        <v>999999999</v>
      </c>
      <c r="Q998" s="148" t="str">
        <f>IFERROR(__xludf.DUMMYFUNCTION("""COMPUTED_VALUE"""),"[]")</f>
        <v>[]</v>
      </c>
      <c r="R998" s="148" t="str">
        <f>IFERROR(__xludf.DUMMYFUNCTION("""COMPUTED_VALUE"""),"[]")</f>
        <v>[]</v>
      </c>
      <c r="S998" s="148" t="str">
        <f>IFERROR(__xludf.DUMMYFUNCTION("""COMPUTED_VALUE"""),"{}")</f>
        <v>{}</v>
      </c>
      <c r="T998" s="148">
        <f>IFERROR(__xludf.DUMMYFUNCTION("""COMPUTED_VALUE"""),-1.0)</f>
        <v>-1</v>
      </c>
      <c r="U998" s="148">
        <f>IFERROR(__xludf.DUMMYFUNCTION("""COMPUTED_VALUE"""),0.0)</f>
        <v>0</v>
      </c>
      <c r="V998" s="148" t="str">
        <f>IFERROR(__xludf.DUMMYFUNCTION("""COMPUTED_VALUE"""),"[]")</f>
        <v>[]</v>
      </c>
      <c r="W998" s="148">
        <f>IFERROR(__xludf.DUMMYFUNCTION("""COMPUTED_VALUE"""),1.174E7)</f>
        <v>11740000</v>
      </c>
      <c r="X998" s="148">
        <f>IFERROR(__xludf.DUMMYFUNCTION("""COMPUTED_VALUE"""),0.0)</f>
        <v>0</v>
      </c>
      <c r="Y998" s="148">
        <f>IFERROR(__xludf.DUMMYFUNCTION("""COMPUTED_VALUE"""),0.0)</f>
        <v>0</v>
      </c>
      <c r="Z998" s="148"/>
    </row>
    <row r="999">
      <c r="A999" s="148">
        <f>IFERROR(__xludf.DUMMYFUNCTION("""COMPUTED_VALUE"""),1.1112811E7)</f>
        <v>11112811</v>
      </c>
      <c r="B999" s="148" t="str">
        <f>IFERROR(__xludf.DUMMYFUNCTION("""COMPUTED_VALUE"""),"钓鱼活动-八爪鱼-史诗")</f>
        <v>钓鱼活动-八爪鱼-史诗</v>
      </c>
      <c r="C999" s="148"/>
      <c r="D999" s="148" t="str">
        <f>IFERROR(__xludf.DUMMYFUNCTION("""COMPUTED_VALUE"""),"actv_fishing")</f>
        <v>actv_fishing</v>
      </c>
      <c r="E999" s="148">
        <f>IFERROR(__xludf.DUMMYFUNCTION("""COMPUTED_VALUE"""),0.0)</f>
        <v>0</v>
      </c>
      <c r="F999" s="148">
        <f>IFERROR(__xludf.DUMMYFUNCTION("""COMPUTED_VALUE"""),0.0)</f>
        <v>0</v>
      </c>
      <c r="G999" s="148">
        <f>IFERROR(__xludf.DUMMYFUNCTION("""COMPUTED_VALUE"""),1.51103988E8)</f>
        <v>151103988</v>
      </c>
      <c r="H999" s="148">
        <f>IFERROR(__xludf.DUMMYFUNCTION("""COMPUTED_VALUE"""),1.5112563E7)</f>
        <v>15112563</v>
      </c>
      <c r="I999" s="148" t="str">
        <f>IFERROR(__xludf.DUMMYFUNCTION("""COMPUTED_VALUE"""),"{}")</f>
        <v>{}</v>
      </c>
      <c r="J999" s="148" t="str">
        <f>IFERROR(__xludf.DUMMYFUNCTION("""COMPUTED_VALUE"""),"{""typ"":""lc"",""txt"":""LC_ITEM_actv_fish_1_name_11""}")</f>
        <v>{"typ":"lc","txt":"LC_ITEM_actv_fish_1_name_11"}</v>
      </c>
      <c r="K999" s="148" t="str">
        <f>IFERROR(__xludf.DUMMYFUNCTION("""COMPUTED_VALUE"""),"{""typ"":""lc"",""txt"":""LC_ITEM_actv_fish_1_desc_11""}")</f>
        <v>{"typ":"lc","txt":"LC_ITEM_actv_fish_1_desc_11"}</v>
      </c>
      <c r="L999" s="148" t="str">
        <f>IFERROR(__xludf.DUMMYFUNCTION("""COMPUTED_VALUE"""),"{}")</f>
        <v>{}</v>
      </c>
      <c r="M999" s="148">
        <f>IFERROR(__xludf.DUMMYFUNCTION("""COMPUTED_VALUE"""),100.0)</f>
        <v>100</v>
      </c>
      <c r="N999" s="148">
        <f>IFERROR(__xludf.DUMMYFUNCTION("""COMPUTED_VALUE"""),9.99999999E8)</f>
        <v>999999999</v>
      </c>
      <c r="O999" s="148">
        <f>IFERROR(__xludf.DUMMYFUNCTION("""COMPUTED_VALUE"""),9.99999999E8)</f>
        <v>999999999</v>
      </c>
      <c r="P999" s="148">
        <f>IFERROR(__xludf.DUMMYFUNCTION("""COMPUTED_VALUE"""),9.99999999E8)</f>
        <v>999999999</v>
      </c>
      <c r="Q999" s="148" t="str">
        <f>IFERROR(__xludf.DUMMYFUNCTION("""COMPUTED_VALUE"""),"[]")</f>
        <v>[]</v>
      </c>
      <c r="R999" s="148" t="str">
        <f>IFERROR(__xludf.DUMMYFUNCTION("""COMPUTED_VALUE"""),"[]")</f>
        <v>[]</v>
      </c>
      <c r="S999" s="148" t="str">
        <f>IFERROR(__xludf.DUMMYFUNCTION("""COMPUTED_VALUE"""),"{}")</f>
        <v>{}</v>
      </c>
      <c r="T999" s="148">
        <f>IFERROR(__xludf.DUMMYFUNCTION("""COMPUTED_VALUE"""),-1.0)</f>
        <v>-1</v>
      </c>
      <c r="U999" s="148">
        <f>IFERROR(__xludf.DUMMYFUNCTION("""COMPUTED_VALUE"""),0.0)</f>
        <v>0</v>
      </c>
      <c r="V999" s="148" t="str">
        <f>IFERROR(__xludf.DUMMYFUNCTION("""COMPUTED_VALUE"""),"[]")</f>
        <v>[]</v>
      </c>
      <c r="W999" s="148">
        <f>IFERROR(__xludf.DUMMYFUNCTION("""COMPUTED_VALUE"""),1.174E7)</f>
        <v>11740000</v>
      </c>
      <c r="X999" s="148">
        <f>IFERROR(__xludf.DUMMYFUNCTION("""COMPUTED_VALUE"""),0.0)</f>
        <v>0</v>
      </c>
      <c r="Y999" s="148">
        <f>IFERROR(__xludf.DUMMYFUNCTION("""COMPUTED_VALUE"""),0.0)</f>
        <v>0</v>
      </c>
      <c r="Z999" s="148"/>
    </row>
    <row r="1000">
      <c r="A1000" s="148">
        <f>IFERROR(__xludf.DUMMYFUNCTION("""COMPUTED_VALUE"""),1.1112812E7)</f>
        <v>11112812</v>
      </c>
      <c r="B1000" s="148" t="str">
        <f>IFERROR(__xludf.DUMMYFUNCTION("""COMPUTED_VALUE"""),"钓鱼活动-鹦鹉鱼-史诗")</f>
        <v>钓鱼活动-鹦鹉鱼-史诗</v>
      </c>
      <c r="C1000" s="148"/>
      <c r="D1000" s="148" t="str">
        <f>IFERROR(__xludf.DUMMYFUNCTION("""COMPUTED_VALUE"""),"actv_fishing")</f>
        <v>actv_fishing</v>
      </c>
      <c r="E1000" s="148">
        <f>IFERROR(__xludf.DUMMYFUNCTION("""COMPUTED_VALUE"""),0.0)</f>
        <v>0</v>
      </c>
      <c r="F1000" s="148">
        <f>IFERROR(__xludf.DUMMYFUNCTION("""COMPUTED_VALUE"""),0.0)</f>
        <v>0</v>
      </c>
      <c r="G1000" s="148">
        <f>IFERROR(__xludf.DUMMYFUNCTION("""COMPUTED_VALUE"""),1.51103989E8)</f>
        <v>151103989</v>
      </c>
      <c r="H1000" s="148">
        <f>IFERROR(__xludf.DUMMYFUNCTION("""COMPUTED_VALUE"""),1.5112563E7)</f>
        <v>15112563</v>
      </c>
      <c r="I1000" s="148" t="str">
        <f>IFERROR(__xludf.DUMMYFUNCTION("""COMPUTED_VALUE"""),"{}")</f>
        <v>{}</v>
      </c>
      <c r="J1000" s="148" t="str">
        <f>IFERROR(__xludf.DUMMYFUNCTION("""COMPUTED_VALUE"""),"{""typ"":""lc"",""txt"":""LC_ITEM_actv_fish_1_name_12""}")</f>
        <v>{"typ":"lc","txt":"LC_ITEM_actv_fish_1_name_12"}</v>
      </c>
      <c r="K1000" s="148" t="str">
        <f>IFERROR(__xludf.DUMMYFUNCTION("""COMPUTED_VALUE"""),"{""typ"":""lc"",""txt"":""LC_ITEM_actv_fish_1_desc_12""}")</f>
        <v>{"typ":"lc","txt":"LC_ITEM_actv_fish_1_desc_12"}</v>
      </c>
      <c r="L1000" s="148" t="str">
        <f>IFERROR(__xludf.DUMMYFUNCTION("""COMPUTED_VALUE"""),"{}")</f>
        <v>{}</v>
      </c>
      <c r="M1000" s="148">
        <f>IFERROR(__xludf.DUMMYFUNCTION("""COMPUTED_VALUE"""),100.0)</f>
        <v>100</v>
      </c>
      <c r="N1000" s="148">
        <f>IFERROR(__xludf.DUMMYFUNCTION("""COMPUTED_VALUE"""),9.99999999E8)</f>
        <v>999999999</v>
      </c>
      <c r="O1000" s="148">
        <f>IFERROR(__xludf.DUMMYFUNCTION("""COMPUTED_VALUE"""),9.99999999E8)</f>
        <v>999999999</v>
      </c>
      <c r="P1000" s="148">
        <f>IFERROR(__xludf.DUMMYFUNCTION("""COMPUTED_VALUE"""),9.99999999E8)</f>
        <v>999999999</v>
      </c>
      <c r="Q1000" s="148" t="str">
        <f>IFERROR(__xludf.DUMMYFUNCTION("""COMPUTED_VALUE"""),"[]")</f>
        <v>[]</v>
      </c>
      <c r="R1000" s="148" t="str">
        <f>IFERROR(__xludf.DUMMYFUNCTION("""COMPUTED_VALUE"""),"[]")</f>
        <v>[]</v>
      </c>
      <c r="S1000" s="148" t="str">
        <f>IFERROR(__xludf.DUMMYFUNCTION("""COMPUTED_VALUE"""),"{}")</f>
        <v>{}</v>
      </c>
      <c r="T1000" s="148">
        <f>IFERROR(__xludf.DUMMYFUNCTION("""COMPUTED_VALUE"""),-1.0)</f>
        <v>-1</v>
      </c>
      <c r="U1000" s="148">
        <f>IFERROR(__xludf.DUMMYFUNCTION("""COMPUTED_VALUE"""),0.0)</f>
        <v>0</v>
      </c>
      <c r="V1000" s="148" t="str">
        <f>IFERROR(__xludf.DUMMYFUNCTION("""COMPUTED_VALUE"""),"[]")</f>
        <v>[]</v>
      </c>
      <c r="W1000" s="148">
        <f>IFERROR(__xludf.DUMMYFUNCTION("""COMPUTED_VALUE"""),1.174E7)</f>
        <v>11740000</v>
      </c>
      <c r="X1000" s="148">
        <f>IFERROR(__xludf.DUMMYFUNCTION("""COMPUTED_VALUE"""),0.0)</f>
        <v>0</v>
      </c>
      <c r="Y1000" s="148">
        <f>IFERROR(__xludf.DUMMYFUNCTION("""COMPUTED_VALUE"""),0.0)</f>
        <v>0</v>
      </c>
      <c r="Z1000" s="148"/>
    </row>
    <row r="1001">
      <c r="A1001" s="148">
        <f>IFERROR(__xludf.DUMMYFUNCTION("""COMPUTED_VALUE"""),1.1112813E7)</f>
        <v>11112813</v>
      </c>
      <c r="B1001" s="148" t="str">
        <f>IFERROR(__xludf.DUMMYFUNCTION("""COMPUTED_VALUE"""),"钓鱼活动-河豚-史诗")</f>
        <v>钓鱼活动-河豚-史诗</v>
      </c>
      <c r="C1001" s="148"/>
      <c r="D1001" s="148" t="str">
        <f>IFERROR(__xludf.DUMMYFUNCTION("""COMPUTED_VALUE"""),"actv_fishing")</f>
        <v>actv_fishing</v>
      </c>
      <c r="E1001" s="148">
        <f>IFERROR(__xludf.DUMMYFUNCTION("""COMPUTED_VALUE"""),0.0)</f>
        <v>0</v>
      </c>
      <c r="F1001" s="148">
        <f>IFERROR(__xludf.DUMMYFUNCTION("""COMPUTED_VALUE"""),0.0)</f>
        <v>0</v>
      </c>
      <c r="G1001" s="148">
        <f>IFERROR(__xludf.DUMMYFUNCTION("""COMPUTED_VALUE"""),1.5110399E8)</f>
        <v>151103990</v>
      </c>
      <c r="H1001" s="148">
        <f>IFERROR(__xludf.DUMMYFUNCTION("""COMPUTED_VALUE"""),1.5112563E7)</f>
        <v>15112563</v>
      </c>
      <c r="I1001" s="148" t="str">
        <f>IFERROR(__xludf.DUMMYFUNCTION("""COMPUTED_VALUE"""),"{}")</f>
        <v>{}</v>
      </c>
      <c r="J1001" s="148" t="str">
        <f>IFERROR(__xludf.DUMMYFUNCTION("""COMPUTED_VALUE"""),"{""typ"":""lc"",""txt"":""LC_ITEM_actv_fish_1_name_13""}")</f>
        <v>{"typ":"lc","txt":"LC_ITEM_actv_fish_1_name_13"}</v>
      </c>
      <c r="K1001" s="148" t="str">
        <f>IFERROR(__xludf.DUMMYFUNCTION("""COMPUTED_VALUE"""),"{""typ"":""lc"",""txt"":""LC_ITEM_actv_fish_1_desc_13""}")</f>
        <v>{"typ":"lc","txt":"LC_ITEM_actv_fish_1_desc_13"}</v>
      </c>
      <c r="L1001" s="148" t="str">
        <f>IFERROR(__xludf.DUMMYFUNCTION("""COMPUTED_VALUE"""),"{}")</f>
        <v>{}</v>
      </c>
      <c r="M1001" s="148">
        <f>IFERROR(__xludf.DUMMYFUNCTION("""COMPUTED_VALUE"""),100.0)</f>
        <v>100</v>
      </c>
      <c r="N1001" s="148">
        <f>IFERROR(__xludf.DUMMYFUNCTION("""COMPUTED_VALUE"""),9.99999999E8)</f>
        <v>999999999</v>
      </c>
      <c r="O1001" s="148">
        <f>IFERROR(__xludf.DUMMYFUNCTION("""COMPUTED_VALUE"""),9.99999999E8)</f>
        <v>999999999</v>
      </c>
      <c r="P1001" s="148">
        <f>IFERROR(__xludf.DUMMYFUNCTION("""COMPUTED_VALUE"""),9.99999999E8)</f>
        <v>999999999</v>
      </c>
      <c r="Q1001" s="148" t="str">
        <f>IFERROR(__xludf.DUMMYFUNCTION("""COMPUTED_VALUE"""),"[]")</f>
        <v>[]</v>
      </c>
      <c r="R1001" s="148" t="str">
        <f>IFERROR(__xludf.DUMMYFUNCTION("""COMPUTED_VALUE"""),"[]")</f>
        <v>[]</v>
      </c>
      <c r="S1001" s="148" t="str">
        <f>IFERROR(__xludf.DUMMYFUNCTION("""COMPUTED_VALUE"""),"{}")</f>
        <v>{}</v>
      </c>
      <c r="T1001" s="148">
        <f>IFERROR(__xludf.DUMMYFUNCTION("""COMPUTED_VALUE"""),-1.0)</f>
        <v>-1</v>
      </c>
      <c r="U1001" s="148">
        <f>IFERROR(__xludf.DUMMYFUNCTION("""COMPUTED_VALUE"""),0.0)</f>
        <v>0</v>
      </c>
      <c r="V1001" s="148" t="str">
        <f>IFERROR(__xludf.DUMMYFUNCTION("""COMPUTED_VALUE"""),"[]")</f>
        <v>[]</v>
      </c>
      <c r="W1001" s="148">
        <f>IFERROR(__xludf.DUMMYFUNCTION("""COMPUTED_VALUE"""),1.174E7)</f>
        <v>11740000</v>
      </c>
      <c r="X1001" s="148">
        <f>IFERROR(__xludf.DUMMYFUNCTION("""COMPUTED_VALUE"""),0.0)</f>
        <v>0</v>
      </c>
      <c r="Y1001" s="148">
        <f>IFERROR(__xludf.DUMMYFUNCTION("""COMPUTED_VALUE"""),0.0)</f>
        <v>0</v>
      </c>
      <c r="Z1001" s="148"/>
    </row>
    <row r="1002">
      <c r="A1002" s="148">
        <f>IFERROR(__xludf.DUMMYFUNCTION("""COMPUTED_VALUE"""),1.1112814E7)</f>
        <v>11112814</v>
      </c>
      <c r="B1002" s="148" t="str">
        <f>IFERROR(__xludf.DUMMYFUNCTION("""COMPUTED_VALUE"""),"钓鱼活动-寄居蟹-史诗")</f>
        <v>钓鱼活动-寄居蟹-史诗</v>
      </c>
      <c r="C1002" s="148"/>
      <c r="D1002" s="148" t="str">
        <f>IFERROR(__xludf.DUMMYFUNCTION("""COMPUTED_VALUE"""),"actv_fishing")</f>
        <v>actv_fishing</v>
      </c>
      <c r="E1002" s="148">
        <f>IFERROR(__xludf.DUMMYFUNCTION("""COMPUTED_VALUE"""),0.0)</f>
        <v>0</v>
      </c>
      <c r="F1002" s="148">
        <f>IFERROR(__xludf.DUMMYFUNCTION("""COMPUTED_VALUE"""),0.0)</f>
        <v>0</v>
      </c>
      <c r="G1002" s="148">
        <f>IFERROR(__xludf.DUMMYFUNCTION("""COMPUTED_VALUE"""),1.51103991E8)</f>
        <v>151103991</v>
      </c>
      <c r="H1002" s="148">
        <f>IFERROR(__xludf.DUMMYFUNCTION("""COMPUTED_VALUE"""),1.5112563E7)</f>
        <v>15112563</v>
      </c>
      <c r="I1002" s="148" t="str">
        <f>IFERROR(__xludf.DUMMYFUNCTION("""COMPUTED_VALUE"""),"{}")</f>
        <v>{}</v>
      </c>
      <c r="J1002" s="148" t="str">
        <f>IFERROR(__xludf.DUMMYFUNCTION("""COMPUTED_VALUE"""),"{""typ"":""lc"",""txt"":""LC_ITEM_actv_fish_1_name_14""}")</f>
        <v>{"typ":"lc","txt":"LC_ITEM_actv_fish_1_name_14"}</v>
      </c>
      <c r="K1002" s="148" t="str">
        <f>IFERROR(__xludf.DUMMYFUNCTION("""COMPUTED_VALUE"""),"{""typ"":""lc"",""txt"":""LC_ITEM_actv_fish_1_desc_14""}")</f>
        <v>{"typ":"lc","txt":"LC_ITEM_actv_fish_1_desc_14"}</v>
      </c>
      <c r="L1002" s="148" t="str">
        <f>IFERROR(__xludf.DUMMYFUNCTION("""COMPUTED_VALUE"""),"{}")</f>
        <v>{}</v>
      </c>
      <c r="M1002" s="148">
        <f>IFERROR(__xludf.DUMMYFUNCTION("""COMPUTED_VALUE"""),100.0)</f>
        <v>100</v>
      </c>
      <c r="N1002" s="148">
        <f>IFERROR(__xludf.DUMMYFUNCTION("""COMPUTED_VALUE"""),9.99999999E8)</f>
        <v>999999999</v>
      </c>
      <c r="O1002" s="148">
        <f>IFERROR(__xludf.DUMMYFUNCTION("""COMPUTED_VALUE"""),9.99999999E8)</f>
        <v>999999999</v>
      </c>
      <c r="P1002" s="148">
        <f>IFERROR(__xludf.DUMMYFUNCTION("""COMPUTED_VALUE"""),9.99999999E8)</f>
        <v>999999999</v>
      </c>
      <c r="Q1002" s="148" t="str">
        <f>IFERROR(__xludf.DUMMYFUNCTION("""COMPUTED_VALUE"""),"[]")</f>
        <v>[]</v>
      </c>
      <c r="R1002" s="148" t="str">
        <f>IFERROR(__xludf.DUMMYFUNCTION("""COMPUTED_VALUE"""),"[]")</f>
        <v>[]</v>
      </c>
      <c r="S1002" s="148" t="str">
        <f>IFERROR(__xludf.DUMMYFUNCTION("""COMPUTED_VALUE"""),"{}")</f>
        <v>{}</v>
      </c>
      <c r="T1002" s="148">
        <f>IFERROR(__xludf.DUMMYFUNCTION("""COMPUTED_VALUE"""),-1.0)</f>
        <v>-1</v>
      </c>
      <c r="U1002" s="148">
        <f>IFERROR(__xludf.DUMMYFUNCTION("""COMPUTED_VALUE"""),0.0)</f>
        <v>0</v>
      </c>
      <c r="V1002" s="148" t="str">
        <f>IFERROR(__xludf.DUMMYFUNCTION("""COMPUTED_VALUE"""),"[]")</f>
        <v>[]</v>
      </c>
      <c r="W1002" s="148">
        <f>IFERROR(__xludf.DUMMYFUNCTION("""COMPUTED_VALUE"""),1.174E7)</f>
        <v>11740000</v>
      </c>
      <c r="X1002" s="148">
        <f>IFERROR(__xludf.DUMMYFUNCTION("""COMPUTED_VALUE"""),0.0)</f>
        <v>0</v>
      </c>
      <c r="Y1002" s="148">
        <f>IFERROR(__xludf.DUMMYFUNCTION("""COMPUTED_VALUE"""),0.0)</f>
        <v>0</v>
      </c>
      <c r="Z1002" s="148"/>
    </row>
    <row r="1003">
      <c r="A1003" s="148">
        <f>IFERROR(__xludf.DUMMYFUNCTION("""COMPUTED_VALUE"""),1.1112815E7)</f>
        <v>11112815</v>
      </c>
      <c r="B1003" s="148" t="str">
        <f>IFERROR(__xludf.DUMMYFUNCTION("""COMPUTED_VALUE"""),"钓鱼活动-海马-史诗")</f>
        <v>钓鱼活动-海马-史诗</v>
      </c>
      <c r="C1003" s="148"/>
      <c r="D1003" s="148" t="str">
        <f>IFERROR(__xludf.DUMMYFUNCTION("""COMPUTED_VALUE"""),"actv_fishing")</f>
        <v>actv_fishing</v>
      </c>
      <c r="E1003" s="148">
        <f>IFERROR(__xludf.DUMMYFUNCTION("""COMPUTED_VALUE"""),0.0)</f>
        <v>0</v>
      </c>
      <c r="F1003" s="148">
        <f>IFERROR(__xludf.DUMMYFUNCTION("""COMPUTED_VALUE"""),0.0)</f>
        <v>0</v>
      </c>
      <c r="G1003" s="148">
        <f>IFERROR(__xludf.DUMMYFUNCTION("""COMPUTED_VALUE"""),1.51103992E8)</f>
        <v>151103992</v>
      </c>
      <c r="H1003" s="148">
        <f>IFERROR(__xludf.DUMMYFUNCTION("""COMPUTED_VALUE"""),1.5112563E7)</f>
        <v>15112563</v>
      </c>
      <c r="I1003" s="148" t="str">
        <f>IFERROR(__xludf.DUMMYFUNCTION("""COMPUTED_VALUE"""),"{}")</f>
        <v>{}</v>
      </c>
      <c r="J1003" s="148" t="str">
        <f>IFERROR(__xludf.DUMMYFUNCTION("""COMPUTED_VALUE"""),"{""typ"":""lc"",""txt"":""LC_ITEM_actv_fish_1_name_15""}")</f>
        <v>{"typ":"lc","txt":"LC_ITEM_actv_fish_1_name_15"}</v>
      </c>
      <c r="K1003" s="148" t="str">
        <f>IFERROR(__xludf.DUMMYFUNCTION("""COMPUTED_VALUE"""),"{""typ"":""lc"",""txt"":""LC_ITEM_actv_fish_1_desc_15""}")</f>
        <v>{"typ":"lc","txt":"LC_ITEM_actv_fish_1_desc_15"}</v>
      </c>
      <c r="L1003" s="148" t="str">
        <f>IFERROR(__xludf.DUMMYFUNCTION("""COMPUTED_VALUE"""),"{}")</f>
        <v>{}</v>
      </c>
      <c r="M1003" s="148">
        <f>IFERROR(__xludf.DUMMYFUNCTION("""COMPUTED_VALUE"""),100.0)</f>
        <v>100</v>
      </c>
      <c r="N1003" s="148">
        <f>IFERROR(__xludf.DUMMYFUNCTION("""COMPUTED_VALUE"""),9.99999999E8)</f>
        <v>999999999</v>
      </c>
      <c r="O1003" s="148">
        <f>IFERROR(__xludf.DUMMYFUNCTION("""COMPUTED_VALUE"""),9.99999999E8)</f>
        <v>999999999</v>
      </c>
      <c r="P1003" s="148">
        <f>IFERROR(__xludf.DUMMYFUNCTION("""COMPUTED_VALUE"""),9.99999999E8)</f>
        <v>999999999</v>
      </c>
      <c r="Q1003" s="148" t="str">
        <f>IFERROR(__xludf.DUMMYFUNCTION("""COMPUTED_VALUE"""),"[]")</f>
        <v>[]</v>
      </c>
      <c r="R1003" s="148" t="str">
        <f>IFERROR(__xludf.DUMMYFUNCTION("""COMPUTED_VALUE"""),"[]")</f>
        <v>[]</v>
      </c>
      <c r="S1003" s="148" t="str">
        <f>IFERROR(__xludf.DUMMYFUNCTION("""COMPUTED_VALUE"""),"{}")</f>
        <v>{}</v>
      </c>
      <c r="T1003" s="148">
        <f>IFERROR(__xludf.DUMMYFUNCTION("""COMPUTED_VALUE"""),-1.0)</f>
        <v>-1</v>
      </c>
      <c r="U1003" s="148">
        <f>IFERROR(__xludf.DUMMYFUNCTION("""COMPUTED_VALUE"""),0.0)</f>
        <v>0</v>
      </c>
      <c r="V1003" s="148" t="str">
        <f>IFERROR(__xludf.DUMMYFUNCTION("""COMPUTED_VALUE"""),"[]")</f>
        <v>[]</v>
      </c>
      <c r="W1003" s="148">
        <f>IFERROR(__xludf.DUMMYFUNCTION("""COMPUTED_VALUE"""),1.174E7)</f>
        <v>11740000</v>
      </c>
      <c r="X1003" s="148">
        <f>IFERROR(__xludf.DUMMYFUNCTION("""COMPUTED_VALUE"""),0.0)</f>
        <v>0</v>
      </c>
      <c r="Y1003" s="148">
        <f>IFERROR(__xludf.DUMMYFUNCTION("""COMPUTED_VALUE"""),0.0)</f>
        <v>0</v>
      </c>
      <c r="Z1003" s="148"/>
    </row>
    <row r="1004">
      <c r="A1004" s="148">
        <f>IFERROR(__xludf.DUMMYFUNCTION("""COMPUTED_VALUE"""),1.1112816E7)</f>
        <v>11112816</v>
      </c>
      <c r="B1004" s="148" t="str">
        <f>IFERROR(__xludf.DUMMYFUNCTION("""COMPUTED_VALUE"""),"钓鱼活动-龙虾-史诗")</f>
        <v>钓鱼活动-龙虾-史诗</v>
      </c>
      <c r="C1004" s="148"/>
      <c r="D1004" s="148" t="str">
        <f>IFERROR(__xludf.DUMMYFUNCTION("""COMPUTED_VALUE"""),"actv_fishing")</f>
        <v>actv_fishing</v>
      </c>
      <c r="E1004" s="148">
        <f>IFERROR(__xludf.DUMMYFUNCTION("""COMPUTED_VALUE"""),0.0)</f>
        <v>0</v>
      </c>
      <c r="F1004" s="148">
        <f>IFERROR(__xludf.DUMMYFUNCTION("""COMPUTED_VALUE"""),0.0)</f>
        <v>0</v>
      </c>
      <c r="G1004" s="148">
        <f>IFERROR(__xludf.DUMMYFUNCTION("""COMPUTED_VALUE"""),1.51103993E8)</f>
        <v>151103993</v>
      </c>
      <c r="H1004" s="148">
        <f>IFERROR(__xludf.DUMMYFUNCTION("""COMPUTED_VALUE"""),1.5112563E7)</f>
        <v>15112563</v>
      </c>
      <c r="I1004" s="148" t="str">
        <f>IFERROR(__xludf.DUMMYFUNCTION("""COMPUTED_VALUE"""),"{}")</f>
        <v>{}</v>
      </c>
      <c r="J1004" s="148" t="str">
        <f>IFERROR(__xludf.DUMMYFUNCTION("""COMPUTED_VALUE"""),"{""typ"":""lc"",""txt"":""LC_ITEM_actv_fish_1_name_16""}")</f>
        <v>{"typ":"lc","txt":"LC_ITEM_actv_fish_1_name_16"}</v>
      </c>
      <c r="K1004" s="148" t="str">
        <f>IFERROR(__xludf.DUMMYFUNCTION("""COMPUTED_VALUE"""),"{""typ"":""lc"",""txt"":""LC_ITEM_actv_fish_1_desc_16""}")</f>
        <v>{"typ":"lc","txt":"LC_ITEM_actv_fish_1_desc_16"}</v>
      </c>
      <c r="L1004" s="148" t="str">
        <f>IFERROR(__xludf.DUMMYFUNCTION("""COMPUTED_VALUE"""),"{}")</f>
        <v>{}</v>
      </c>
      <c r="M1004" s="148">
        <f>IFERROR(__xludf.DUMMYFUNCTION("""COMPUTED_VALUE"""),100.0)</f>
        <v>100</v>
      </c>
      <c r="N1004" s="148">
        <f>IFERROR(__xludf.DUMMYFUNCTION("""COMPUTED_VALUE"""),9.99999999E8)</f>
        <v>999999999</v>
      </c>
      <c r="O1004" s="148">
        <f>IFERROR(__xludf.DUMMYFUNCTION("""COMPUTED_VALUE"""),9.99999999E8)</f>
        <v>999999999</v>
      </c>
      <c r="P1004" s="148">
        <f>IFERROR(__xludf.DUMMYFUNCTION("""COMPUTED_VALUE"""),9.99999999E8)</f>
        <v>999999999</v>
      </c>
      <c r="Q1004" s="148" t="str">
        <f>IFERROR(__xludf.DUMMYFUNCTION("""COMPUTED_VALUE"""),"[]")</f>
        <v>[]</v>
      </c>
      <c r="R1004" s="148" t="str">
        <f>IFERROR(__xludf.DUMMYFUNCTION("""COMPUTED_VALUE"""),"[]")</f>
        <v>[]</v>
      </c>
      <c r="S1004" s="148" t="str">
        <f>IFERROR(__xludf.DUMMYFUNCTION("""COMPUTED_VALUE"""),"{}")</f>
        <v>{}</v>
      </c>
      <c r="T1004" s="148">
        <f>IFERROR(__xludf.DUMMYFUNCTION("""COMPUTED_VALUE"""),-1.0)</f>
        <v>-1</v>
      </c>
      <c r="U1004" s="148">
        <f>IFERROR(__xludf.DUMMYFUNCTION("""COMPUTED_VALUE"""),0.0)</f>
        <v>0</v>
      </c>
      <c r="V1004" s="148" t="str">
        <f>IFERROR(__xludf.DUMMYFUNCTION("""COMPUTED_VALUE"""),"[]")</f>
        <v>[]</v>
      </c>
      <c r="W1004" s="148">
        <f>IFERROR(__xludf.DUMMYFUNCTION("""COMPUTED_VALUE"""),1.174E7)</f>
        <v>11740000</v>
      </c>
      <c r="X1004" s="148">
        <f>IFERROR(__xludf.DUMMYFUNCTION("""COMPUTED_VALUE"""),0.0)</f>
        <v>0</v>
      </c>
      <c r="Y1004" s="148">
        <f>IFERROR(__xludf.DUMMYFUNCTION("""COMPUTED_VALUE"""),0.0)</f>
        <v>0</v>
      </c>
      <c r="Z1004" s="148"/>
    </row>
    <row r="1005">
      <c r="A1005" s="148">
        <f>IFERROR(__xludf.DUMMYFUNCTION("""COMPUTED_VALUE"""),1.1112817E7)</f>
        <v>11112817</v>
      </c>
      <c r="B1005" s="148" t="str">
        <f>IFERROR(__xludf.DUMMYFUNCTION("""COMPUTED_VALUE"""),"钓鱼活动-蝴蝶鱼-史诗")</f>
        <v>钓鱼活动-蝴蝶鱼-史诗</v>
      </c>
      <c r="C1005" s="148"/>
      <c r="D1005" s="148" t="str">
        <f>IFERROR(__xludf.DUMMYFUNCTION("""COMPUTED_VALUE"""),"actv_fishing")</f>
        <v>actv_fishing</v>
      </c>
      <c r="E1005" s="148">
        <f>IFERROR(__xludf.DUMMYFUNCTION("""COMPUTED_VALUE"""),0.0)</f>
        <v>0</v>
      </c>
      <c r="F1005" s="148">
        <f>IFERROR(__xludf.DUMMYFUNCTION("""COMPUTED_VALUE"""),0.0)</f>
        <v>0</v>
      </c>
      <c r="G1005" s="148">
        <f>IFERROR(__xludf.DUMMYFUNCTION("""COMPUTED_VALUE"""),1.51103994E8)</f>
        <v>151103994</v>
      </c>
      <c r="H1005" s="148">
        <f>IFERROR(__xludf.DUMMYFUNCTION("""COMPUTED_VALUE"""),1.5112563E7)</f>
        <v>15112563</v>
      </c>
      <c r="I1005" s="148" t="str">
        <f>IFERROR(__xludf.DUMMYFUNCTION("""COMPUTED_VALUE"""),"{}")</f>
        <v>{}</v>
      </c>
      <c r="J1005" s="148" t="str">
        <f>IFERROR(__xludf.DUMMYFUNCTION("""COMPUTED_VALUE"""),"{""typ"":""lc"",""txt"":""LC_ITEM_actv_fish_1_name_17""}")</f>
        <v>{"typ":"lc","txt":"LC_ITEM_actv_fish_1_name_17"}</v>
      </c>
      <c r="K1005" s="148" t="str">
        <f>IFERROR(__xludf.DUMMYFUNCTION("""COMPUTED_VALUE"""),"{""typ"":""lc"",""txt"":""LC_ITEM_actv_fish_1_desc_17""}")</f>
        <v>{"typ":"lc","txt":"LC_ITEM_actv_fish_1_desc_17"}</v>
      </c>
      <c r="L1005" s="148" t="str">
        <f>IFERROR(__xludf.DUMMYFUNCTION("""COMPUTED_VALUE"""),"{}")</f>
        <v>{}</v>
      </c>
      <c r="M1005" s="148">
        <f>IFERROR(__xludf.DUMMYFUNCTION("""COMPUTED_VALUE"""),100.0)</f>
        <v>100</v>
      </c>
      <c r="N1005" s="148">
        <f>IFERROR(__xludf.DUMMYFUNCTION("""COMPUTED_VALUE"""),9.99999999E8)</f>
        <v>999999999</v>
      </c>
      <c r="O1005" s="148">
        <f>IFERROR(__xludf.DUMMYFUNCTION("""COMPUTED_VALUE"""),9.99999999E8)</f>
        <v>999999999</v>
      </c>
      <c r="P1005" s="148">
        <f>IFERROR(__xludf.DUMMYFUNCTION("""COMPUTED_VALUE"""),9.99999999E8)</f>
        <v>999999999</v>
      </c>
      <c r="Q1005" s="148" t="str">
        <f>IFERROR(__xludf.DUMMYFUNCTION("""COMPUTED_VALUE"""),"[]")</f>
        <v>[]</v>
      </c>
      <c r="R1005" s="148" t="str">
        <f>IFERROR(__xludf.DUMMYFUNCTION("""COMPUTED_VALUE"""),"[]")</f>
        <v>[]</v>
      </c>
      <c r="S1005" s="148" t="str">
        <f>IFERROR(__xludf.DUMMYFUNCTION("""COMPUTED_VALUE"""),"{}")</f>
        <v>{}</v>
      </c>
      <c r="T1005" s="148">
        <f>IFERROR(__xludf.DUMMYFUNCTION("""COMPUTED_VALUE"""),-1.0)</f>
        <v>-1</v>
      </c>
      <c r="U1005" s="148">
        <f>IFERROR(__xludf.DUMMYFUNCTION("""COMPUTED_VALUE"""),0.0)</f>
        <v>0</v>
      </c>
      <c r="V1005" s="148" t="str">
        <f>IFERROR(__xludf.DUMMYFUNCTION("""COMPUTED_VALUE"""),"[]")</f>
        <v>[]</v>
      </c>
      <c r="W1005" s="148">
        <f>IFERROR(__xludf.DUMMYFUNCTION("""COMPUTED_VALUE"""),1.174E7)</f>
        <v>11740000</v>
      </c>
      <c r="X1005" s="148">
        <f>IFERROR(__xludf.DUMMYFUNCTION("""COMPUTED_VALUE"""),0.0)</f>
        <v>0</v>
      </c>
      <c r="Y1005" s="148">
        <f>IFERROR(__xludf.DUMMYFUNCTION("""COMPUTED_VALUE"""),0.0)</f>
        <v>0</v>
      </c>
      <c r="Z1005" s="148"/>
    </row>
    <row r="1006">
      <c r="A1006" s="148">
        <f>IFERROR(__xludf.DUMMYFUNCTION("""COMPUTED_VALUE"""),1.1112818E7)</f>
        <v>11112818</v>
      </c>
      <c r="B1006" s="148" t="str">
        <f>IFERROR(__xludf.DUMMYFUNCTION("""COMPUTED_VALUE"""),"钓鱼活动-水母-史诗")</f>
        <v>钓鱼活动-水母-史诗</v>
      </c>
      <c r="C1006" s="148"/>
      <c r="D1006" s="148" t="str">
        <f>IFERROR(__xludf.DUMMYFUNCTION("""COMPUTED_VALUE"""),"actv_fishing")</f>
        <v>actv_fishing</v>
      </c>
      <c r="E1006" s="148">
        <f>IFERROR(__xludf.DUMMYFUNCTION("""COMPUTED_VALUE"""),0.0)</f>
        <v>0</v>
      </c>
      <c r="F1006" s="148">
        <f>IFERROR(__xludf.DUMMYFUNCTION("""COMPUTED_VALUE"""),0.0)</f>
        <v>0</v>
      </c>
      <c r="G1006" s="148">
        <f>IFERROR(__xludf.DUMMYFUNCTION("""COMPUTED_VALUE"""),1.51103995E8)</f>
        <v>151103995</v>
      </c>
      <c r="H1006" s="148">
        <f>IFERROR(__xludf.DUMMYFUNCTION("""COMPUTED_VALUE"""),1.5112563E7)</f>
        <v>15112563</v>
      </c>
      <c r="I1006" s="148" t="str">
        <f>IFERROR(__xludf.DUMMYFUNCTION("""COMPUTED_VALUE"""),"{}")</f>
        <v>{}</v>
      </c>
      <c r="J1006" s="148" t="str">
        <f>IFERROR(__xludf.DUMMYFUNCTION("""COMPUTED_VALUE"""),"{""typ"":""lc"",""txt"":""LC_ITEM_actv_fish_1_name_18""}")</f>
        <v>{"typ":"lc","txt":"LC_ITEM_actv_fish_1_name_18"}</v>
      </c>
      <c r="K1006" s="148" t="str">
        <f>IFERROR(__xludf.DUMMYFUNCTION("""COMPUTED_VALUE"""),"{""typ"":""lc"",""txt"":""LC_ITEM_actv_fish_1_desc_18""}")</f>
        <v>{"typ":"lc","txt":"LC_ITEM_actv_fish_1_desc_18"}</v>
      </c>
      <c r="L1006" s="148" t="str">
        <f>IFERROR(__xludf.DUMMYFUNCTION("""COMPUTED_VALUE"""),"{}")</f>
        <v>{}</v>
      </c>
      <c r="M1006" s="148">
        <f>IFERROR(__xludf.DUMMYFUNCTION("""COMPUTED_VALUE"""),100.0)</f>
        <v>100</v>
      </c>
      <c r="N1006" s="148">
        <f>IFERROR(__xludf.DUMMYFUNCTION("""COMPUTED_VALUE"""),9.99999999E8)</f>
        <v>999999999</v>
      </c>
      <c r="O1006" s="148">
        <f>IFERROR(__xludf.DUMMYFUNCTION("""COMPUTED_VALUE"""),9.99999999E8)</f>
        <v>999999999</v>
      </c>
      <c r="P1006" s="148">
        <f>IFERROR(__xludf.DUMMYFUNCTION("""COMPUTED_VALUE"""),9.99999999E8)</f>
        <v>999999999</v>
      </c>
      <c r="Q1006" s="148" t="str">
        <f>IFERROR(__xludf.DUMMYFUNCTION("""COMPUTED_VALUE"""),"[]")</f>
        <v>[]</v>
      </c>
      <c r="R1006" s="148" t="str">
        <f>IFERROR(__xludf.DUMMYFUNCTION("""COMPUTED_VALUE"""),"[]")</f>
        <v>[]</v>
      </c>
      <c r="S1006" s="148" t="str">
        <f>IFERROR(__xludf.DUMMYFUNCTION("""COMPUTED_VALUE"""),"{}")</f>
        <v>{}</v>
      </c>
      <c r="T1006" s="148">
        <f>IFERROR(__xludf.DUMMYFUNCTION("""COMPUTED_VALUE"""),-1.0)</f>
        <v>-1</v>
      </c>
      <c r="U1006" s="148">
        <f>IFERROR(__xludf.DUMMYFUNCTION("""COMPUTED_VALUE"""),0.0)</f>
        <v>0</v>
      </c>
      <c r="V1006" s="148" t="str">
        <f>IFERROR(__xludf.DUMMYFUNCTION("""COMPUTED_VALUE"""),"[]")</f>
        <v>[]</v>
      </c>
      <c r="W1006" s="148">
        <f>IFERROR(__xludf.DUMMYFUNCTION("""COMPUTED_VALUE"""),1.174E7)</f>
        <v>11740000</v>
      </c>
      <c r="X1006" s="148">
        <f>IFERROR(__xludf.DUMMYFUNCTION("""COMPUTED_VALUE"""),0.0)</f>
        <v>0</v>
      </c>
      <c r="Y1006" s="148">
        <f>IFERROR(__xludf.DUMMYFUNCTION("""COMPUTED_VALUE"""),0.0)</f>
        <v>0</v>
      </c>
      <c r="Z1006" s="148"/>
    </row>
    <row r="1007">
      <c r="A1007" s="148">
        <f>IFERROR(__xludf.DUMMYFUNCTION("""COMPUTED_VALUE"""),1.1112819E7)</f>
        <v>11112819</v>
      </c>
      <c r="B1007" s="148" t="str">
        <f>IFERROR(__xludf.DUMMYFUNCTION("""COMPUTED_VALUE"""),"钓鱼活动-石斑鱼-史诗")</f>
        <v>钓鱼活动-石斑鱼-史诗</v>
      </c>
      <c r="C1007" s="148"/>
      <c r="D1007" s="148" t="str">
        <f>IFERROR(__xludf.DUMMYFUNCTION("""COMPUTED_VALUE"""),"actv_fishing")</f>
        <v>actv_fishing</v>
      </c>
      <c r="E1007" s="148">
        <f>IFERROR(__xludf.DUMMYFUNCTION("""COMPUTED_VALUE"""),0.0)</f>
        <v>0</v>
      </c>
      <c r="F1007" s="148">
        <f>IFERROR(__xludf.DUMMYFUNCTION("""COMPUTED_VALUE"""),0.0)</f>
        <v>0</v>
      </c>
      <c r="G1007" s="148">
        <f>IFERROR(__xludf.DUMMYFUNCTION("""COMPUTED_VALUE"""),1.51103996E8)</f>
        <v>151103996</v>
      </c>
      <c r="H1007" s="148">
        <f>IFERROR(__xludf.DUMMYFUNCTION("""COMPUTED_VALUE"""),1.5112563E7)</f>
        <v>15112563</v>
      </c>
      <c r="I1007" s="148" t="str">
        <f>IFERROR(__xludf.DUMMYFUNCTION("""COMPUTED_VALUE"""),"{}")</f>
        <v>{}</v>
      </c>
      <c r="J1007" s="148" t="str">
        <f>IFERROR(__xludf.DUMMYFUNCTION("""COMPUTED_VALUE"""),"{""typ"":""lc"",""txt"":""LC_ITEM_actv_fish_1_name_19""}")</f>
        <v>{"typ":"lc","txt":"LC_ITEM_actv_fish_1_name_19"}</v>
      </c>
      <c r="K1007" s="148" t="str">
        <f>IFERROR(__xludf.DUMMYFUNCTION("""COMPUTED_VALUE"""),"{""typ"":""lc"",""txt"":""LC_ITEM_actv_fish_1_desc_19""}")</f>
        <v>{"typ":"lc","txt":"LC_ITEM_actv_fish_1_desc_19"}</v>
      </c>
      <c r="L1007" s="148" t="str">
        <f>IFERROR(__xludf.DUMMYFUNCTION("""COMPUTED_VALUE"""),"{}")</f>
        <v>{}</v>
      </c>
      <c r="M1007" s="148">
        <f>IFERROR(__xludf.DUMMYFUNCTION("""COMPUTED_VALUE"""),100.0)</f>
        <v>100</v>
      </c>
      <c r="N1007" s="148">
        <f>IFERROR(__xludf.DUMMYFUNCTION("""COMPUTED_VALUE"""),9.99999999E8)</f>
        <v>999999999</v>
      </c>
      <c r="O1007" s="148">
        <f>IFERROR(__xludf.DUMMYFUNCTION("""COMPUTED_VALUE"""),9.99999999E8)</f>
        <v>999999999</v>
      </c>
      <c r="P1007" s="148">
        <f>IFERROR(__xludf.DUMMYFUNCTION("""COMPUTED_VALUE"""),9.99999999E8)</f>
        <v>999999999</v>
      </c>
      <c r="Q1007" s="148" t="str">
        <f>IFERROR(__xludf.DUMMYFUNCTION("""COMPUTED_VALUE"""),"[]")</f>
        <v>[]</v>
      </c>
      <c r="R1007" s="148" t="str">
        <f>IFERROR(__xludf.DUMMYFUNCTION("""COMPUTED_VALUE"""),"[]")</f>
        <v>[]</v>
      </c>
      <c r="S1007" s="148" t="str">
        <f>IFERROR(__xludf.DUMMYFUNCTION("""COMPUTED_VALUE"""),"{}")</f>
        <v>{}</v>
      </c>
      <c r="T1007" s="148">
        <f>IFERROR(__xludf.DUMMYFUNCTION("""COMPUTED_VALUE"""),-1.0)</f>
        <v>-1</v>
      </c>
      <c r="U1007" s="148">
        <f>IFERROR(__xludf.DUMMYFUNCTION("""COMPUTED_VALUE"""),0.0)</f>
        <v>0</v>
      </c>
      <c r="V1007" s="148" t="str">
        <f>IFERROR(__xludf.DUMMYFUNCTION("""COMPUTED_VALUE"""),"[]")</f>
        <v>[]</v>
      </c>
      <c r="W1007" s="148">
        <f>IFERROR(__xludf.DUMMYFUNCTION("""COMPUTED_VALUE"""),1.174E7)</f>
        <v>11740000</v>
      </c>
      <c r="X1007" s="148">
        <f>IFERROR(__xludf.DUMMYFUNCTION("""COMPUTED_VALUE"""),0.0)</f>
        <v>0</v>
      </c>
      <c r="Y1007" s="148">
        <f>IFERROR(__xludf.DUMMYFUNCTION("""COMPUTED_VALUE"""),0.0)</f>
        <v>0</v>
      </c>
      <c r="Z1007" s="148"/>
    </row>
    <row r="1008">
      <c r="A1008" s="148">
        <f>IFERROR(__xludf.DUMMYFUNCTION("""COMPUTED_VALUE"""),1.111282E7)</f>
        <v>11112820</v>
      </c>
      <c r="B1008" s="148" t="str">
        <f>IFERROR(__xludf.DUMMYFUNCTION("""COMPUTED_VALUE"""),"钓鱼活动-鲑鱼-史诗")</f>
        <v>钓鱼活动-鲑鱼-史诗</v>
      </c>
      <c r="C1008" s="148"/>
      <c r="D1008" s="148" t="str">
        <f>IFERROR(__xludf.DUMMYFUNCTION("""COMPUTED_VALUE"""),"actv_fishing")</f>
        <v>actv_fishing</v>
      </c>
      <c r="E1008" s="148">
        <f>IFERROR(__xludf.DUMMYFUNCTION("""COMPUTED_VALUE"""),0.0)</f>
        <v>0</v>
      </c>
      <c r="F1008" s="148">
        <f>IFERROR(__xludf.DUMMYFUNCTION("""COMPUTED_VALUE"""),0.0)</f>
        <v>0</v>
      </c>
      <c r="G1008" s="148">
        <f>IFERROR(__xludf.DUMMYFUNCTION("""COMPUTED_VALUE"""),1.51103997E8)</f>
        <v>151103997</v>
      </c>
      <c r="H1008" s="148">
        <f>IFERROR(__xludf.DUMMYFUNCTION("""COMPUTED_VALUE"""),1.5112563E7)</f>
        <v>15112563</v>
      </c>
      <c r="I1008" s="148" t="str">
        <f>IFERROR(__xludf.DUMMYFUNCTION("""COMPUTED_VALUE"""),"{}")</f>
        <v>{}</v>
      </c>
      <c r="J1008" s="148" t="str">
        <f>IFERROR(__xludf.DUMMYFUNCTION("""COMPUTED_VALUE"""),"{""typ"":""lc"",""txt"":""LC_ITEM_actv_fish_1_name_20""}")</f>
        <v>{"typ":"lc","txt":"LC_ITEM_actv_fish_1_name_20"}</v>
      </c>
      <c r="K1008" s="148" t="str">
        <f>IFERROR(__xludf.DUMMYFUNCTION("""COMPUTED_VALUE"""),"{""typ"":""lc"",""txt"":""LC_ITEM_actv_fish_1_desc_20""}")</f>
        <v>{"typ":"lc","txt":"LC_ITEM_actv_fish_1_desc_20"}</v>
      </c>
      <c r="L1008" s="148" t="str">
        <f>IFERROR(__xludf.DUMMYFUNCTION("""COMPUTED_VALUE"""),"{}")</f>
        <v>{}</v>
      </c>
      <c r="M1008" s="148">
        <f>IFERROR(__xludf.DUMMYFUNCTION("""COMPUTED_VALUE"""),100.0)</f>
        <v>100</v>
      </c>
      <c r="N1008" s="148">
        <f>IFERROR(__xludf.DUMMYFUNCTION("""COMPUTED_VALUE"""),9.99999999E8)</f>
        <v>999999999</v>
      </c>
      <c r="O1008" s="148">
        <f>IFERROR(__xludf.DUMMYFUNCTION("""COMPUTED_VALUE"""),9.99999999E8)</f>
        <v>999999999</v>
      </c>
      <c r="P1008" s="148">
        <f>IFERROR(__xludf.DUMMYFUNCTION("""COMPUTED_VALUE"""),9.99999999E8)</f>
        <v>999999999</v>
      </c>
      <c r="Q1008" s="148" t="str">
        <f>IFERROR(__xludf.DUMMYFUNCTION("""COMPUTED_VALUE"""),"[]")</f>
        <v>[]</v>
      </c>
      <c r="R1008" s="148" t="str">
        <f>IFERROR(__xludf.DUMMYFUNCTION("""COMPUTED_VALUE"""),"[]")</f>
        <v>[]</v>
      </c>
      <c r="S1008" s="148" t="str">
        <f>IFERROR(__xludf.DUMMYFUNCTION("""COMPUTED_VALUE"""),"{}")</f>
        <v>{}</v>
      </c>
      <c r="T1008" s="148">
        <f>IFERROR(__xludf.DUMMYFUNCTION("""COMPUTED_VALUE"""),-1.0)</f>
        <v>-1</v>
      </c>
      <c r="U1008" s="148">
        <f>IFERROR(__xludf.DUMMYFUNCTION("""COMPUTED_VALUE"""),0.0)</f>
        <v>0</v>
      </c>
      <c r="V1008" s="148" t="str">
        <f>IFERROR(__xludf.DUMMYFUNCTION("""COMPUTED_VALUE"""),"[]")</f>
        <v>[]</v>
      </c>
      <c r="W1008" s="148">
        <f>IFERROR(__xludf.DUMMYFUNCTION("""COMPUTED_VALUE"""),1.174E7)</f>
        <v>11740000</v>
      </c>
      <c r="X1008" s="148">
        <f>IFERROR(__xludf.DUMMYFUNCTION("""COMPUTED_VALUE"""),0.0)</f>
        <v>0</v>
      </c>
      <c r="Y1008" s="148">
        <f>IFERROR(__xludf.DUMMYFUNCTION("""COMPUTED_VALUE"""),0.0)</f>
        <v>0</v>
      </c>
      <c r="Z1008" s="148"/>
    </row>
    <row r="1009">
      <c r="A1009" s="148">
        <f>IFERROR(__xludf.DUMMYFUNCTION("""COMPUTED_VALUE"""),1.1112821E7)</f>
        <v>11112821</v>
      </c>
      <c r="B1009" s="148" t="str">
        <f>IFERROR(__xludf.DUMMYFUNCTION("""COMPUTED_VALUE"""),"钓鱼活动-罗非鱼-稀有")</f>
        <v>钓鱼活动-罗非鱼-稀有</v>
      </c>
      <c r="C1009" s="148"/>
      <c r="D1009" s="148" t="str">
        <f>IFERROR(__xludf.DUMMYFUNCTION("""COMPUTED_VALUE"""),"actv_fishing")</f>
        <v>actv_fishing</v>
      </c>
      <c r="E1009" s="148">
        <f>IFERROR(__xludf.DUMMYFUNCTION("""COMPUTED_VALUE"""),0.0)</f>
        <v>0</v>
      </c>
      <c r="F1009" s="148">
        <f>IFERROR(__xludf.DUMMYFUNCTION("""COMPUTED_VALUE"""),0.0)</f>
        <v>0</v>
      </c>
      <c r="G1009" s="148">
        <f>IFERROR(__xludf.DUMMYFUNCTION("""COMPUTED_VALUE"""),1.51103998E8)</f>
        <v>151103998</v>
      </c>
      <c r="H1009" s="148">
        <f>IFERROR(__xludf.DUMMYFUNCTION("""COMPUTED_VALUE"""),1.5112562E7)</f>
        <v>15112562</v>
      </c>
      <c r="I1009" s="148" t="str">
        <f>IFERROR(__xludf.DUMMYFUNCTION("""COMPUTED_VALUE"""),"{}")</f>
        <v>{}</v>
      </c>
      <c r="J1009" s="148" t="str">
        <f>IFERROR(__xludf.DUMMYFUNCTION("""COMPUTED_VALUE"""),"{""typ"":""lc"",""txt"":""LC_ITEM_actv_fish_1_name_21""}")</f>
        <v>{"typ":"lc","txt":"LC_ITEM_actv_fish_1_name_21"}</v>
      </c>
      <c r="K1009" s="148" t="str">
        <f>IFERROR(__xludf.DUMMYFUNCTION("""COMPUTED_VALUE"""),"{""typ"":""lc"",""txt"":""LC_ITEM_actv_fish_1_desc_21""}")</f>
        <v>{"typ":"lc","txt":"LC_ITEM_actv_fish_1_desc_21"}</v>
      </c>
      <c r="L1009" s="148" t="str">
        <f>IFERROR(__xludf.DUMMYFUNCTION("""COMPUTED_VALUE"""),"{}")</f>
        <v>{}</v>
      </c>
      <c r="M1009" s="148">
        <f>IFERROR(__xludf.DUMMYFUNCTION("""COMPUTED_VALUE"""),100.0)</f>
        <v>100</v>
      </c>
      <c r="N1009" s="148">
        <f>IFERROR(__xludf.DUMMYFUNCTION("""COMPUTED_VALUE"""),9.99999999E8)</f>
        <v>999999999</v>
      </c>
      <c r="O1009" s="148">
        <f>IFERROR(__xludf.DUMMYFUNCTION("""COMPUTED_VALUE"""),9.99999999E8)</f>
        <v>999999999</v>
      </c>
      <c r="P1009" s="148">
        <f>IFERROR(__xludf.DUMMYFUNCTION("""COMPUTED_VALUE"""),9.99999999E8)</f>
        <v>999999999</v>
      </c>
      <c r="Q1009" s="148" t="str">
        <f>IFERROR(__xludf.DUMMYFUNCTION("""COMPUTED_VALUE"""),"[]")</f>
        <v>[]</v>
      </c>
      <c r="R1009" s="148" t="str">
        <f>IFERROR(__xludf.DUMMYFUNCTION("""COMPUTED_VALUE"""),"[]")</f>
        <v>[]</v>
      </c>
      <c r="S1009" s="148" t="str">
        <f>IFERROR(__xludf.DUMMYFUNCTION("""COMPUTED_VALUE"""),"{}")</f>
        <v>{}</v>
      </c>
      <c r="T1009" s="148">
        <f>IFERROR(__xludf.DUMMYFUNCTION("""COMPUTED_VALUE"""),-1.0)</f>
        <v>-1</v>
      </c>
      <c r="U1009" s="148">
        <f>IFERROR(__xludf.DUMMYFUNCTION("""COMPUTED_VALUE"""),0.0)</f>
        <v>0</v>
      </c>
      <c r="V1009" s="148" t="str">
        <f>IFERROR(__xludf.DUMMYFUNCTION("""COMPUTED_VALUE"""),"[]")</f>
        <v>[]</v>
      </c>
      <c r="W1009" s="148">
        <f>IFERROR(__xludf.DUMMYFUNCTION("""COMPUTED_VALUE"""),1.174E7)</f>
        <v>11740000</v>
      </c>
      <c r="X1009" s="148">
        <f>IFERROR(__xludf.DUMMYFUNCTION("""COMPUTED_VALUE"""),0.0)</f>
        <v>0</v>
      </c>
      <c r="Y1009" s="148">
        <f>IFERROR(__xludf.DUMMYFUNCTION("""COMPUTED_VALUE"""),0.0)</f>
        <v>0</v>
      </c>
      <c r="Z1009" s="148"/>
    </row>
    <row r="1010">
      <c r="A1010" s="148">
        <f>IFERROR(__xludf.DUMMYFUNCTION("""COMPUTED_VALUE"""),1.1112822E7)</f>
        <v>11112822</v>
      </c>
      <c r="B1010" s="148" t="str">
        <f>IFERROR(__xludf.DUMMYFUNCTION("""COMPUTED_VALUE"""),"钓鱼活动-白鲳鱼-稀有")</f>
        <v>钓鱼活动-白鲳鱼-稀有</v>
      </c>
      <c r="C1010" s="148"/>
      <c r="D1010" s="148" t="str">
        <f>IFERROR(__xludf.DUMMYFUNCTION("""COMPUTED_VALUE"""),"actv_fishing")</f>
        <v>actv_fishing</v>
      </c>
      <c r="E1010" s="148">
        <f>IFERROR(__xludf.DUMMYFUNCTION("""COMPUTED_VALUE"""),0.0)</f>
        <v>0</v>
      </c>
      <c r="F1010" s="148">
        <f>IFERROR(__xludf.DUMMYFUNCTION("""COMPUTED_VALUE"""),0.0)</f>
        <v>0</v>
      </c>
      <c r="G1010" s="148">
        <f>IFERROR(__xludf.DUMMYFUNCTION("""COMPUTED_VALUE"""),1.51103999E8)</f>
        <v>151103999</v>
      </c>
      <c r="H1010" s="148">
        <f>IFERROR(__xludf.DUMMYFUNCTION("""COMPUTED_VALUE"""),1.5112562E7)</f>
        <v>15112562</v>
      </c>
      <c r="I1010" s="148" t="str">
        <f>IFERROR(__xludf.DUMMYFUNCTION("""COMPUTED_VALUE"""),"{}")</f>
        <v>{}</v>
      </c>
      <c r="J1010" s="148" t="str">
        <f>IFERROR(__xludf.DUMMYFUNCTION("""COMPUTED_VALUE"""),"{""typ"":""lc"",""txt"":""LC_ITEM_actv_fish_1_name_22""}")</f>
        <v>{"typ":"lc","txt":"LC_ITEM_actv_fish_1_name_22"}</v>
      </c>
      <c r="K1010" s="148" t="str">
        <f>IFERROR(__xludf.DUMMYFUNCTION("""COMPUTED_VALUE"""),"{""typ"":""lc"",""txt"":""LC_ITEM_actv_fish_1_desc_22""}")</f>
        <v>{"typ":"lc","txt":"LC_ITEM_actv_fish_1_desc_22"}</v>
      </c>
      <c r="L1010" s="148" t="str">
        <f>IFERROR(__xludf.DUMMYFUNCTION("""COMPUTED_VALUE"""),"{}")</f>
        <v>{}</v>
      </c>
      <c r="M1010" s="148">
        <f>IFERROR(__xludf.DUMMYFUNCTION("""COMPUTED_VALUE"""),100.0)</f>
        <v>100</v>
      </c>
      <c r="N1010" s="148">
        <f>IFERROR(__xludf.DUMMYFUNCTION("""COMPUTED_VALUE"""),9.99999999E8)</f>
        <v>999999999</v>
      </c>
      <c r="O1010" s="148">
        <f>IFERROR(__xludf.DUMMYFUNCTION("""COMPUTED_VALUE"""),9.99999999E8)</f>
        <v>999999999</v>
      </c>
      <c r="P1010" s="148">
        <f>IFERROR(__xludf.DUMMYFUNCTION("""COMPUTED_VALUE"""),9.99999999E8)</f>
        <v>999999999</v>
      </c>
      <c r="Q1010" s="148" t="str">
        <f>IFERROR(__xludf.DUMMYFUNCTION("""COMPUTED_VALUE"""),"[]")</f>
        <v>[]</v>
      </c>
      <c r="R1010" s="148" t="str">
        <f>IFERROR(__xludf.DUMMYFUNCTION("""COMPUTED_VALUE"""),"[]")</f>
        <v>[]</v>
      </c>
      <c r="S1010" s="148" t="str">
        <f>IFERROR(__xludf.DUMMYFUNCTION("""COMPUTED_VALUE"""),"{}")</f>
        <v>{}</v>
      </c>
      <c r="T1010" s="148">
        <f>IFERROR(__xludf.DUMMYFUNCTION("""COMPUTED_VALUE"""),-1.0)</f>
        <v>-1</v>
      </c>
      <c r="U1010" s="148">
        <f>IFERROR(__xludf.DUMMYFUNCTION("""COMPUTED_VALUE"""),0.0)</f>
        <v>0</v>
      </c>
      <c r="V1010" s="148" t="str">
        <f>IFERROR(__xludf.DUMMYFUNCTION("""COMPUTED_VALUE"""),"[]")</f>
        <v>[]</v>
      </c>
      <c r="W1010" s="148">
        <f>IFERROR(__xludf.DUMMYFUNCTION("""COMPUTED_VALUE"""),1.174E7)</f>
        <v>11740000</v>
      </c>
      <c r="X1010" s="148">
        <f>IFERROR(__xludf.DUMMYFUNCTION("""COMPUTED_VALUE"""),0.0)</f>
        <v>0</v>
      </c>
      <c r="Y1010" s="148">
        <f>IFERROR(__xludf.DUMMYFUNCTION("""COMPUTED_VALUE"""),0.0)</f>
        <v>0</v>
      </c>
      <c r="Z1010" s="148"/>
    </row>
    <row r="1011">
      <c r="A1011" s="148">
        <f>IFERROR(__xludf.DUMMYFUNCTION("""COMPUTED_VALUE"""),1.1112823E7)</f>
        <v>11112823</v>
      </c>
      <c r="B1011" s="148" t="str">
        <f>IFERROR(__xludf.DUMMYFUNCTION("""COMPUTED_VALUE"""),"钓鱼活动-沙丁鱼-稀有")</f>
        <v>钓鱼活动-沙丁鱼-稀有</v>
      </c>
      <c r="C1011" s="148"/>
      <c r="D1011" s="148" t="str">
        <f>IFERROR(__xludf.DUMMYFUNCTION("""COMPUTED_VALUE"""),"actv_fishing")</f>
        <v>actv_fishing</v>
      </c>
      <c r="E1011" s="148">
        <f>IFERROR(__xludf.DUMMYFUNCTION("""COMPUTED_VALUE"""),0.0)</f>
        <v>0</v>
      </c>
      <c r="F1011" s="148">
        <f>IFERROR(__xludf.DUMMYFUNCTION("""COMPUTED_VALUE"""),0.0)</f>
        <v>0</v>
      </c>
      <c r="G1011" s="148">
        <f>IFERROR(__xludf.DUMMYFUNCTION("""COMPUTED_VALUE"""),1.51104E8)</f>
        <v>151104000</v>
      </c>
      <c r="H1011" s="148">
        <f>IFERROR(__xludf.DUMMYFUNCTION("""COMPUTED_VALUE"""),1.5112562E7)</f>
        <v>15112562</v>
      </c>
      <c r="I1011" s="148" t="str">
        <f>IFERROR(__xludf.DUMMYFUNCTION("""COMPUTED_VALUE"""),"{}")</f>
        <v>{}</v>
      </c>
      <c r="J1011" s="148" t="str">
        <f>IFERROR(__xludf.DUMMYFUNCTION("""COMPUTED_VALUE"""),"{""typ"":""lc"",""txt"":""LC_ITEM_actv_fish_1_name_23""}")</f>
        <v>{"typ":"lc","txt":"LC_ITEM_actv_fish_1_name_23"}</v>
      </c>
      <c r="K1011" s="148" t="str">
        <f>IFERROR(__xludf.DUMMYFUNCTION("""COMPUTED_VALUE"""),"{""typ"":""lc"",""txt"":""LC_ITEM_actv_fish_1_desc_23""}")</f>
        <v>{"typ":"lc","txt":"LC_ITEM_actv_fish_1_desc_23"}</v>
      </c>
      <c r="L1011" s="148" t="str">
        <f>IFERROR(__xludf.DUMMYFUNCTION("""COMPUTED_VALUE"""),"{}")</f>
        <v>{}</v>
      </c>
      <c r="M1011" s="148">
        <f>IFERROR(__xludf.DUMMYFUNCTION("""COMPUTED_VALUE"""),100.0)</f>
        <v>100</v>
      </c>
      <c r="N1011" s="148">
        <f>IFERROR(__xludf.DUMMYFUNCTION("""COMPUTED_VALUE"""),9.99999999E8)</f>
        <v>999999999</v>
      </c>
      <c r="O1011" s="148">
        <f>IFERROR(__xludf.DUMMYFUNCTION("""COMPUTED_VALUE"""),9.99999999E8)</f>
        <v>999999999</v>
      </c>
      <c r="P1011" s="148">
        <f>IFERROR(__xludf.DUMMYFUNCTION("""COMPUTED_VALUE"""),9.99999999E8)</f>
        <v>999999999</v>
      </c>
      <c r="Q1011" s="148" t="str">
        <f>IFERROR(__xludf.DUMMYFUNCTION("""COMPUTED_VALUE"""),"[]")</f>
        <v>[]</v>
      </c>
      <c r="R1011" s="148" t="str">
        <f>IFERROR(__xludf.DUMMYFUNCTION("""COMPUTED_VALUE"""),"[]")</f>
        <v>[]</v>
      </c>
      <c r="S1011" s="148" t="str">
        <f>IFERROR(__xludf.DUMMYFUNCTION("""COMPUTED_VALUE"""),"{}")</f>
        <v>{}</v>
      </c>
      <c r="T1011" s="148">
        <f>IFERROR(__xludf.DUMMYFUNCTION("""COMPUTED_VALUE"""),-1.0)</f>
        <v>-1</v>
      </c>
      <c r="U1011" s="148">
        <f>IFERROR(__xludf.DUMMYFUNCTION("""COMPUTED_VALUE"""),0.0)</f>
        <v>0</v>
      </c>
      <c r="V1011" s="148" t="str">
        <f>IFERROR(__xludf.DUMMYFUNCTION("""COMPUTED_VALUE"""),"[]")</f>
        <v>[]</v>
      </c>
      <c r="W1011" s="148">
        <f>IFERROR(__xludf.DUMMYFUNCTION("""COMPUTED_VALUE"""),1.174E7)</f>
        <v>11740000</v>
      </c>
      <c r="X1011" s="148">
        <f>IFERROR(__xludf.DUMMYFUNCTION("""COMPUTED_VALUE"""),0.0)</f>
        <v>0</v>
      </c>
      <c r="Y1011" s="148">
        <f>IFERROR(__xludf.DUMMYFUNCTION("""COMPUTED_VALUE"""),0.0)</f>
        <v>0</v>
      </c>
      <c r="Z1011" s="148"/>
    </row>
    <row r="1012">
      <c r="A1012" s="148">
        <f>IFERROR(__xludf.DUMMYFUNCTION("""COMPUTED_VALUE"""),1.1112824E7)</f>
        <v>11112824</v>
      </c>
      <c r="B1012" s="148" t="str">
        <f>IFERROR(__xludf.DUMMYFUNCTION("""COMPUTED_VALUE"""),"钓鱼活动-带鱼-稀有")</f>
        <v>钓鱼活动-带鱼-稀有</v>
      </c>
      <c r="C1012" s="148"/>
      <c r="D1012" s="148" t="str">
        <f>IFERROR(__xludf.DUMMYFUNCTION("""COMPUTED_VALUE"""),"actv_fishing")</f>
        <v>actv_fishing</v>
      </c>
      <c r="E1012" s="148">
        <f>IFERROR(__xludf.DUMMYFUNCTION("""COMPUTED_VALUE"""),0.0)</f>
        <v>0</v>
      </c>
      <c r="F1012" s="148">
        <f>IFERROR(__xludf.DUMMYFUNCTION("""COMPUTED_VALUE"""),0.0)</f>
        <v>0</v>
      </c>
      <c r="G1012" s="148">
        <f>IFERROR(__xludf.DUMMYFUNCTION("""COMPUTED_VALUE"""),1.51104001E8)</f>
        <v>151104001</v>
      </c>
      <c r="H1012" s="148">
        <f>IFERROR(__xludf.DUMMYFUNCTION("""COMPUTED_VALUE"""),1.5112562E7)</f>
        <v>15112562</v>
      </c>
      <c r="I1012" s="148" t="str">
        <f>IFERROR(__xludf.DUMMYFUNCTION("""COMPUTED_VALUE"""),"{}")</f>
        <v>{}</v>
      </c>
      <c r="J1012" s="148" t="str">
        <f>IFERROR(__xludf.DUMMYFUNCTION("""COMPUTED_VALUE"""),"{""typ"":""lc"",""txt"":""LC_ITEM_actv_fish_1_name_24""}")</f>
        <v>{"typ":"lc","txt":"LC_ITEM_actv_fish_1_name_24"}</v>
      </c>
      <c r="K1012" s="148" t="str">
        <f>IFERROR(__xludf.DUMMYFUNCTION("""COMPUTED_VALUE"""),"{""typ"":""lc"",""txt"":""LC_ITEM_actv_fish_1_desc_24""}")</f>
        <v>{"typ":"lc","txt":"LC_ITEM_actv_fish_1_desc_24"}</v>
      </c>
      <c r="L1012" s="148" t="str">
        <f>IFERROR(__xludf.DUMMYFUNCTION("""COMPUTED_VALUE"""),"{}")</f>
        <v>{}</v>
      </c>
      <c r="M1012" s="148">
        <f>IFERROR(__xludf.DUMMYFUNCTION("""COMPUTED_VALUE"""),100.0)</f>
        <v>100</v>
      </c>
      <c r="N1012" s="148">
        <f>IFERROR(__xludf.DUMMYFUNCTION("""COMPUTED_VALUE"""),9.99999999E8)</f>
        <v>999999999</v>
      </c>
      <c r="O1012" s="148">
        <f>IFERROR(__xludf.DUMMYFUNCTION("""COMPUTED_VALUE"""),9.99999999E8)</f>
        <v>999999999</v>
      </c>
      <c r="P1012" s="148">
        <f>IFERROR(__xludf.DUMMYFUNCTION("""COMPUTED_VALUE"""),9.99999999E8)</f>
        <v>999999999</v>
      </c>
      <c r="Q1012" s="148" t="str">
        <f>IFERROR(__xludf.DUMMYFUNCTION("""COMPUTED_VALUE"""),"[]")</f>
        <v>[]</v>
      </c>
      <c r="R1012" s="148" t="str">
        <f>IFERROR(__xludf.DUMMYFUNCTION("""COMPUTED_VALUE"""),"[]")</f>
        <v>[]</v>
      </c>
      <c r="S1012" s="148" t="str">
        <f>IFERROR(__xludf.DUMMYFUNCTION("""COMPUTED_VALUE"""),"{}")</f>
        <v>{}</v>
      </c>
      <c r="T1012" s="148">
        <f>IFERROR(__xludf.DUMMYFUNCTION("""COMPUTED_VALUE"""),-1.0)</f>
        <v>-1</v>
      </c>
      <c r="U1012" s="148">
        <f>IFERROR(__xludf.DUMMYFUNCTION("""COMPUTED_VALUE"""),0.0)</f>
        <v>0</v>
      </c>
      <c r="V1012" s="148" t="str">
        <f>IFERROR(__xludf.DUMMYFUNCTION("""COMPUTED_VALUE"""),"[]")</f>
        <v>[]</v>
      </c>
      <c r="W1012" s="148">
        <f>IFERROR(__xludf.DUMMYFUNCTION("""COMPUTED_VALUE"""),1.174E7)</f>
        <v>11740000</v>
      </c>
      <c r="X1012" s="148">
        <f>IFERROR(__xludf.DUMMYFUNCTION("""COMPUTED_VALUE"""),0.0)</f>
        <v>0</v>
      </c>
      <c r="Y1012" s="148">
        <f>IFERROR(__xludf.DUMMYFUNCTION("""COMPUTED_VALUE"""),0.0)</f>
        <v>0</v>
      </c>
      <c r="Z1012" s="148"/>
    </row>
    <row r="1013">
      <c r="A1013" s="148">
        <f>IFERROR(__xludf.DUMMYFUNCTION("""COMPUTED_VALUE"""),1.1112825E7)</f>
        <v>11112825</v>
      </c>
      <c r="B1013" s="148" t="str">
        <f>IFERROR(__xludf.DUMMYFUNCTION("""COMPUTED_VALUE"""),"钓鱼活动-鱿鱼-稀有")</f>
        <v>钓鱼活动-鱿鱼-稀有</v>
      </c>
      <c r="C1013" s="148"/>
      <c r="D1013" s="148" t="str">
        <f>IFERROR(__xludf.DUMMYFUNCTION("""COMPUTED_VALUE"""),"actv_fishing")</f>
        <v>actv_fishing</v>
      </c>
      <c r="E1013" s="148">
        <f>IFERROR(__xludf.DUMMYFUNCTION("""COMPUTED_VALUE"""),0.0)</f>
        <v>0</v>
      </c>
      <c r="F1013" s="148">
        <f>IFERROR(__xludf.DUMMYFUNCTION("""COMPUTED_VALUE"""),0.0)</f>
        <v>0</v>
      </c>
      <c r="G1013" s="148">
        <f>IFERROR(__xludf.DUMMYFUNCTION("""COMPUTED_VALUE"""),1.51104002E8)</f>
        <v>151104002</v>
      </c>
      <c r="H1013" s="148">
        <f>IFERROR(__xludf.DUMMYFUNCTION("""COMPUTED_VALUE"""),1.5112562E7)</f>
        <v>15112562</v>
      </c>
      <c r="I1013" s="148" t="str">
        <f>IFERROR(__xludf.DUMMYFUNCTION("""COMPUTED_VALUE"""),"{}")</f>
        <v>{}</v>
      </c>
      <c r="J1013" s="148" t="str">
        <f>IFERROR(__xludf.DUMMYFUNCTION("""COMPUTED_VALUE"""),"{""typ"":""lc"",""txt"":""LC_ITEM_actv_fish_1_name_25""}")</f>
        <v>{"typ":"lc","txt":"LC_ITEM_actv_fish_1_name_25"}</v>
      </c>
      <c r="K1013" s="148" t="str">
        <f>IFERROR(__xludf.DUMMYFUNCTION("""COMPUTED_VALUE"""),"{""typ"":""lc"",""txt"":""LC_ITEM_actv_fish_1_desc_25""}")</f>
        <v>{"typ":"lc","txt":"LC_ITEM_actv_fish_1_desc_25"}</v>
      </c>
      <c r="L1013" s="148" t="str">
        <f>IFERROR(__xludf.DUMMYFUNCTION("""COMPUTED_VALUE"""),"{}")</f>
        <v>{}</v>
      </c>
      <c r="M1013" s="148">
        <f>IFERROR(__xludf.DUMMYFUNCTION("""COMPUTED_VALUE"""),100.0)</f>
        <v>100</v>
      </c>
      <c r="N1013" s="148">
        <f>IFERROR(__xludf.DUMMYFUNCTION("""COMPUTED_VALUE"""),9.99999999E8)</f>
        <v>999999999</v>
      </c>
      <c r="O1013" s="148">
        <f>IFERROR(__xludf.DUMMYFUNCTION("""COMPUTED_VALUE"""),9.99999999E8)</f>
        <v>999999999</v>
      </c>
      <c r="P1013" s="148">
        <f>IFERROR(__xludf.DUMMYFUNCTION("""COMPUTED_VALUE"""),9.99999999E8)</f>
        <v>999999999</v>
      </c>
      <c r="Q1013" s="148" t="str">
        <f>IFERROR(__xludf.DUMMYFUNCTION("""COMPUTED_VALUE"""),"[]")</f>
        <v>[]</v>
      </c>
      <c r="R1013" s="148" t="str">
        <f>IFERROR(__xludf.DUMMYFUNCTION("""COMPUTED_VALUE"""),"[]")</f>
        <v>[]</v>
      </c>
      <c r="S1013" s="148" t="str">
        <f>IFERROR(__xludf.DUMMYFUNCTION("""COMPUTED_VALUE"""),"{}")</f>
        <v>{}</v>
      </c>
      <c r="T1013" s="148">
        <f>IFERROR(__xludf.DUMMYFUNCTION("""COMPUTED_VALUE"""),-1.0)</f>
        <v>-1</v>
      </c>
      <c r="U1013" s="148">
        <f>IFERROR(__xludf.DUMMYFUNCTION("""COMPUTED_VALUE"""),0.0)</f>
        <v>0</v>
      </c>
      <c r="V1013" s="148" t="str">
        <f>IFERROR(__xludf.DUMMYFUNCTION("""COMPUTED_VALUE"""),"[]")</f>
        <v>[]</v>
      </c>
      <c r="W1013" s="148">
        <f>IFERROR(__xludf.DUMMYFUNCTION("""COMPUTED_VALUE"""),1.174E7)</f>
        <v>11740000</v>
      </c>
      <c r="X1013" s="148">
        <f>IFERROR(__xludf.DUMMYFUNCTION("""COMPUTED_VALUE"""),0.0)</f>
        <v>0</v>
      </c>
      <c r="Y1013" s="148">
        <f>IFERROR(__xludf.DUMMYFUNCTION("""COMPUTED_VALUE"""),0.0)</f>
        <v>0</v>
      </c>
      <c r="Z1013" s="148"/>
    </row>
    <row r="1014">
      <c r="A1014" s="148">
        <f>IFERROR(__xludf.DUMMYFUNCTION("""COMPUTED_VALUE"""),1.1112826E7)</f>
        <v>11112826</v>
      </c>
      <c r="B1014" s="148" t="str">
        <f>IFERROR(__xludf.DUMMYFUNCTION("""COMPUTED_VALUE"""),"钓鱼活动-秋刀鱼-稀有")</f>
        <v>钓鱼活动-秋刀鱼-稀有</v>
      </c>
      <c r="C1014" s="148"/>
      <c r="D1014" s="148" t="str">
        <f>IFERROR(__xludf.DUMMYFUNCTION("""COMPUTED_VALUE"""),"actv_fishing")</f>
        <v>actv_fishing</v>
      </c>
      <c r="E1014" s="148">
        <f>IFERROR(__xludf.DUMMYFUNCTION("""COMPUTED_VALUE"""),0.0)</f>
        <v>0</v>
      </c>
      <c r="F1014" s="148">
        <f>IFERROR(__xludf.DUMMYFUNCTION("""COMPUTED_VALUE"""),0.0)</f>
        <v>0</v>
      </c>
      <c r="G1014" s="148">
        <f>IFERROR(__xludf.DUMMYFUNCTION("""COMPUTED_VALUE"""),1.51104003E8)</f>
        <v>151104003</v>
      </c>
      <c r="H1014" s="148">
        <f>IFERROR(__xludf.DUMMYFUNCTION("""COMPUTED_VALUE"""),1.5112562E7)</f>
        <v>15112562</v>
      </c>
      <c r="I1014" s="148" t="str">
        <f>IFERROR(__xludf.DUMMYFUNCTION("""COMPUTED_VALUE"""),"{}")</f>
        <v>{}</v>
      </c>
      <c r="J1014" s="148" t="str">
        <f>IFERROR(__xludf.DUMMYFUNCTION("""COMPUTED_VALUE"""),"{""typ"":""lc"",""txt"":""LC_ITEM_actv_fish_1_name_26""}")</f>
        <v>{"typ":"lc","txt":"LC_ITEM_actv_fish_1_name_26"}</v>
      </c>
      <c r="K1014" s="148" t="str">
        <f>IFERROR(__xludf.DUMMYFUNCTION("""COMPUTED_VALUE"""),"{""typ"":""lc"",""txt"":""LC_ITEM_actv_fish_1_desc_26""}")</f>
        <v>{"typ":"lc","txt":"LC_ITEM_actv_fish_1_desc_26"}</v>
      </c>
      <c r="L1014" s="148" t="str">
        <f>IFERROR(__xludf.DUMMYFUNCTION("""COMPUTED_VALUE"""),"{}")</f>
        <v>{}</v>
      </c>
      <c r="M1014" s="148">
        <f>IFERROR(__xludf.DUMMYFUNCTION("""COMPUTED_VALUE"""),100.0)</f>
        <v>100</v>
      </c>
      <c r="N1014" s="148">
        <f>IFERROR(__xludf.DUMMYFUNCTION("""COMPUTED_VALUE"""),9.99999999E8)</f>
        <v>999999999</v>
      </c>
      <c r="O1014" s="148">
        <f>IFERROR(__xludf.DUMMYFUNCTION("""COMPUTED_VALUE"""),9.99999999E8)</f>
        <v>999999999</v>
      </c>
      <c r="P1014" s="148">
        <f>IFERROR(__xludf.DUMMYFUNCTION("""COMPUTED_VALUE"""),9.99999999E8)</f>
        <v>999999999</v>
      </c>
      <c r="Q1014" s="148" t="str">
        <f>IFERROR(__xludf.DUMMYFUNCTION("""COMPUTED_VALUE"""),"[]")</f>
        <v>[]</v>
      </c>
      <c r="R1014" s="148" t="str">
        <f>IFERROR(__xludf.DUMMYFUNCTION("""COMPUTED_VALUE"""),"[]")</f>
        <v>[]</v>
      </c>
      <c r="S1014" s="148" t="str">
        <f>IFERROR(__xludf.DUMMYFUNCTION("""COMPUTED_VALUE"""),"{}")</f>
        <v>{}</v>
      </c>
      <c r="T1014" s="148">
        <f>IFERROR(__xludf.DUMMYFUNCTION("""COMPUTED_VALUE"""),-1.0)</f>
        <v>-1</v>
      </c>
      <c r="U1014" s="148">
        <f>IFERROR(__xludf.DUMMYFUNCTION("""COMPUTED_VALUE"""),0.0)</f>
        <v>0</v>
      </c>
      <c r="V1014" s="148" t="str">
        <f>IFERROR(__xludf.DUMMYFUNCTION("""COMPUTED_VALUE"""),"[]")</f>
        <v>[]</v>
      </c>
      <c r="W1014" s="148">
        <f>IFERROR(__xludf.DUMMYFUNCTION("""COMPUTED_VALUE"""),1.174E7)</f>
        <v>11740000</v>
      </c>
      <c r="X1014" s="148">
        <f>IFERROR(__xludf.DUMMYFUNCTION("""COMPUTED_VALUE"""),0.0)</f>
        <v>0</v>
      </c>
      <c r="Y1014" s="148">
        <f>IFERROR(__xludf.DUMMYFUNCTION("""COMPUTED_VALUE"""),0.0)</f>
        <v>0</v>
      </c>
      <c r="Z1014" s="148"/>
    </row>
    <row r="1015">
      <c r="A1015" s="148">
        <f>IFERROR(__xludf.DUMMYFUNCTION("""COMPUTED_VALUE"""),1.1112827E7)</f>
        <v>11112827</v>
      </c>
      <c r="B1015" s="148" t="str">
        <f>IFERROR(__xludf.DUMMYFUNCTION("""COMPUTED_VALUE"""),"钓鱼活动-鲷鱼-稀有")</f>
        <v>钓鱼活动-鲷鱼-稀有</v>
      </c>
      <c r="C1015" s="148"/>
      <c r="D1015" s="148" t="str">
        <f>IFERROR(__xludf.DUMMYFUNCTION("""COMPUTED_VALUE"""),"actv_fishing")</f>
        <v>actv_fishing</v>
      </c>
      <c r="E1015" s="148">
        <f>IFERROR(__xludf.DUMMYFUNCTION("""COMPUTED_VALUE"""),0.0)</f>
        <v>0</v>
      </c>
      <c r="F1015" s="148">
        <f>IFERROR(__xludf.DUMMYFUNCTION("""COMPUTED_VALUE"""),0.0)</f>
        <v>0</v>
      </c>
      <c r="G1015" s="148">
        <f>IFERROR(__xludf.DUMMYFUNCTION("""COMPUTED_VALUE"""),1.51104004E8)</f>
        <v>151104004</v>
      </c>
      <c r="H1015" s="148">
        <f>IFERROR(__xludf.DUMMYFUNCTION("""COMPUTED_VALUE"""),1.5112562E7)</f>
        <v>15112562</v>
      </c>
      <c r="I1015" s="148" t="str">
        <f>IFERROR(__xludf.DUMMYFUNCTION("""COMPUTED_VALUE"""),"{}")</f>
        <v>{}</v>
      </c>
      <c r="J1015" s="148" t="str">
        <f>IFERROR(__xludf.DUMMYFUNCTION("""COMPUTED_VALUE"""),"{""typ"":""lc"",""txt"":""LC_ITEM_actv_fish_1_name_27""}")</f>
        <v>{"typ":"lc","txt":"LC_ITEM_actv_fish_1_name_27"}</v>
      </c>
      <c r="K1015" s="148" t="str">
        <f>IFERROR(__xludf.DUMMYFUNCTION("""COMPUTED_VALUE"""),"{""typ"":""lc"",""txt"":""LC_ITEM_actv_fish_1_desc_27""}")</f>
        <v>{"typ":"lc","txt":"LC_ITEM_actv_fish_1_desc_27"}</v>
      </c>
      <c r="L1015" s="148" t="str">
        <f>IFERROR(__xludf.DUMMYFUNCTION("""COMPUTED_VALUE"""),"{}")</f>
        <v>{}</v>
      </c>
      <c r="M1015" s="148">
        <f>IFERROR(__xludf.DUMMYFUNCTION("""COMPUTED_VALUE"""),100.0)</f>
        <v>100</v>
      </c>
      <c r="N1015" s="148">
        <f>IFERROR(__xludf.DUMMYFUNCTION("""COMPUTED_VALUE"""),9.99999999E8)</f>
        <v>999999999</v>
      </c>
      <c r="O1015" s="148">
        <f>IFERROR(__xludf.DUMMYFUNCTION("""COMPUTED_VALUE"""),9.99999999E8)</f>
        <v>999999999</v>
      </c>
      <c r="P1015" s="148">
        <f>IFERROR(__xludf.DUMMYFUNCTION("""COMPUTED_VALUE"""),9.99999999E8)</f>
        <v>999999999</v>
      </c>
      <c r="Q1015" s="148" t="str">
        <f>IFERROR(__xludf.DUMMYFUNCTION("""COMPUTED_VALUE"""),"[]")</f>
        <v>[]</v>
      </c>
      <c r="R1015" s="148" t="str">
        <f>IFERROR(__xludf.DUMMYFUNCTION("""COMPUTED_VALUE"""),"[]")</f>
        <v>[]</v>
      </c>
      <c r="S1015" s="148" t="str">
        <f>IFERROR(__xludf.DUMMYFUNCTION("""COMPUTED_VALUE"""),"{}")</f>
        <v>{}</v>
      </c>
      <c r="T1015" s="148">
        <f>IFERROR(__xludf.DUMMYFUNCTION("""COMPUTED_VALUE"""),-1.0)</f>
        <v>-1</v>
      </c>
      <c r="U1015" s="148">
        <f>IFERROR(__xludf.DUMMYFUNCTION("""COMPUTED_VALUE"""),0.0)</f>
        <v>0</v>
      </c>
      <c r="V1015" s="148" t="str">
        <f>IFERROR(__xludf.DUMMYFUNCTION("""COMPUTED_VALUE"""),"[]")</f>
        <v>[]</v>
      </c>
      <c r="W1015" s="148">
        <f>IFERROR(__xludf.DUMMYFUNCTION("""COMPUTED_VALUE"""),1.174E7)</f>
        <v>11740000</v>
      </c>
      <c r="X1015" s="148">
        <f>IFERROR(__xludf.DUMMYFUNCTION("""COMPUTED_VALUE"""),0.0)</f>
        <v>0</v>
      </c>
      <c r="Y1015" s="148">
        <f>IFERROR(__xludf.DUMMYFUNCTION("""COMPUTED_VALUE"""),0.0)</f>
        <v>0</v>
      </c>
      <c r="Z1015" s="148"/>
    </row>
    <row r="1016">
      <c r="A1016" s="148">
        <f>IFERROR(__xludf.DUMMYFUNCTION("""COMPUTED_VALUE"""),1.1112828E7)</f>
        <v>11112828</v>
      </c>
      <c r="B1016" s="148" t="str">
        <f>IFERROR(__xludf.DUMMYFUNCTION("""COMPUTED_VALUE"""),"钓鱼活动-小丑鱼-稀有")</f>
        <v>钓鱼活动-小丑鱼-稀有</v>
      </c>
      <c r="C1016" s="148"/>
      <c r="D1016" s="148" t="str">
        <f>IFERROR(__xludf.DUMMYFUNCTION("""COMPUTED_VALUE"""),"actv_fishing")</f>
        <v>actv_fishing</v>
      </c>
      <c r="E1016" s="148">
        <f>IFERROR(__xludf.DUMMYFUNCTION("""COMPUTED_VALUE"""),0.0)</f>
        <v>0</v>
      </c>
      <c r="F1016" s="148">
        <f>IFERROR(__xludf.DUMMYFUNCTION("""COMPUTED_VALUE"""),0.0)</f>
        <v>0</v>
      </c>
      <c r="G1016" s="148">
        <f>IFERROR(__xludf.DUMMYFUNCTION("""COMPUTED_VALUE"""),1.51104005E8)</f>
        <v>151104005</v>
      </c>
      <c r="H1016" s="148">
        <f>IFERROR(__xludf.DUMMYFUNCTION("""COMPUTED_VALUE"""),1.5112562E7)</f>
        <v>15112562</v>
      </c>
      <c r="I1016" s="148" t="str">
        <f>IFERROR(__xludf.DUMMYFUNCTION("""COMPUTED_VALUE"""),"{}")</f>
        <v>{}</v>
      </c>
      <c r="J1016" s="148" t="str">
        <f>IFERROR(__xludf.DUMMYFUNCTION("""COMPUTED_VALUE"""),"{""typ"":""lc"",""txt"":""LC_ITEM_actv_fish_1_name_28""}")</f>
        <v>{"typ":"lc","txt":"LC_ITEM_actv_fish_1_name_28"}</v>
      </c>
      <c r="K1016" s="148" t="str">
        <f>IFERROR(__xludf.DUMMYFUNCTION("""COMPUTED_VALUE"""),"{""typ"":""lc"",""txt"":""LC_ITEM_actv_fish_1_desc_28""}")</f>
        <v>{"typ":"lc","txt":"LC_ITEM_actv_fish_1_desc_28"}</v>
      </c>
      <c r="L1016" s="148" t="str">
        <f>IFERROR(__xludf.DUMMYFUNCTION("""COMPUTED_VALUE"""),"{}")</f>
        <v>{}</v>
      </c>
      <c r="M1016" s="148">
        <f>IFERROR(__xludf.DUMMYFUNCTION("""COMPUTED_VALUE"""),100.0)</f>
        <v>100</v>
      </c>
      <c r="N1016" s="148">
        <f>IFERROR(__xludf.DUMMYFUNCTION("""COMPUTED_VALUE"""),9.99999999E8)</f>
        <v>999999999</v>
      </c>
      <c r="O1016" s="148">
        <f>IFERROR(__xludf.DUMMYFUNCTION("""COMPUTED_VALUE"""),9.99999999E8)</f>
        <v>999999999</v>
      </c>
      <c r="P1016" s="148">
        <f>IFERROR(__xludf.DUMMYFUNCTION("""COMPUTED_VALUE"""),9.99999999E8)</f>
        <v>999999999</v>
      </c>
      <c r="Q1016" s="148" t="str">
        <f>IFERROR(__xludf.DUMMYFUNCTION("""COMPUTED_VALUE"""),"[]")</f>
        <v>[]</v>
      </c>
      <c r="R1016" s="148" t="str">
        <f>IFERROR(__xludf.DUMMYFUNCTION("""COMPUTED_VALUE"""),"[]")</f>
        <v>[]</v>
      </c>
      <c r="S1016" s="148" t="str">
        <f>IFERROR(__xludf.DUMMYFUNCTION("""COMPUTED_VALUE"""),"{}")</f>
        <v>{}</v>
      </c>
      <c r="T1016" s="148">
        <f>IFERROR(__xludf.DUMMYFUNCTION("""COMPUTED_VALUE"""),-1.0)</f>
        <v>-1</v>
      </c>
      <c r="U1016" s="148">
        <f>IFERROR(__xludf.DUMMYFUNCTION("""COMPUTED_VALUE"""),0.0)</f>
        <v>0</v>
      </c>
      <c r="V1016" s="148" t="str">
        <f>IFERROR(__xludf.DUMMYFUNCTION("""COMPUTED_VALUE"""),"[]")</f>
        <v>[]</v>
      </c>
      <c r="W1016" s="148">
        <f>IFERROR(__xludf.DUMMYFUNCTION("""COMPUTED_VALUE"""),1.174E7)</f>
        <v>11740000</v>
      </c>
      <c r="X1016" s="148">
        <f>IFERROR(__xludf.DUMMYFUNCTION("""COMPUTED_VALUE"""),0.0)</f>
        <v>0</v>
      </c>
      <c r="Y1016" s="148">
        <f>IFERROR(__xludf.DUMMYFUNCTION("""COMPUTED_VALUE"""),0.0)</f>
        <v>0</v>
      </c>
      <c r="Z1016" s="148"/>
    </row>
    <row r="1017">
      <c r="A1017" s="148">
        <f>IFERROR(__xludf.DUMMYFUNCTION("""COMPUTED_VALUE"""),1.1112829E7)</f>
        <v>11112829</v>
      </c>
      <c r="B1017" s="148" t="str">
        <f>IFERROR(__xludf.DUMMYFUNCTION("""COMPUTED_VALUE"""),"钓鱼活动-海葵-稀有")</f>
        <v>钓鱼活动-海葵-稀有</v>
      </c>
      <c r="C1017" s="148"/>
      <c r="D1017" s="148" t="str">
        <f>IFERROR(__xludf.DUMMYFUNCTION("""COMPUTED_VALUE"""),"actv_fishing")</f>
        <v>actv_fishing</v>
      </c>
      <c r="E1017" s="148">
        <f>IFERROR(__xludf.DUMMYFUNCTION("""COMPUTED_VALUE"""),0.0)</f>
        <v>0</v>
      </c>
      <c r="F1017" s="148">
        <f>IFERROR(__xludf.DUMMYFUNCTION("""COMPUTED_VALUE"""),0.0)</f>
        <v>0</v>
      </c>
      <c r="G1017" s="148">
        <f>IFERROR(__xludf.DUMMYFUNCTION("""COMPUTED_VALUE"""),1.51104006E8)</f>
        <v>151104006</v>
      </c>
      <c r="H1017" s="148">
        <f>IFERROR(__xludf.DUMMYFUNCTION("""COMPUTED_VALUE"""),1.5112562E7)</f>
        <v>15112562</v>
      </c>
      <c r="I1017" s="148" t="str">
        <f>IFERROR(__xludf.DUMMYFUNCTION("""COMPUTED_VALUE"""),"{}")</f>
        <v>{}</v>
      </c>
      <c r="J1017" s="148" t="str">
        <f>IFERROR(__xludf.DUMMYFUNCTION("""COMPUTED_VALUE"""),"{""typ"":""lc"",""txt"":""LC_ITEM_actv_fish_1_name_29""}")</f>
        <v>{"typ":"lc","txt":"LC_ITEM_actv_fish_1_name_29"}</v>
      </c>
      <c r="K1017" s="148" t="str">
        <f>IFERROR(__xludf.DUMMYFUNCTION("""COMPUTED_VALUE"""),"{""typ"":""lc"",""txt"":""LC_ITEM_actv_fish_1_desc_29""}")</f>
        <v>{"typ":"lc","txt":"LC_ITEM_actv_fish_1_desc_29"}</v>
      </c>
      <c r="L1017" s="148" t="str">
        <f>IFERROR(__xludf.DUMMYFUNCTION("""COMPUTED_VALUE"""),"{}")</f>
        <v>{}</v>
      </c>
      <c r="M1017" s="148">
        <f>IFERROR(__xludf.DUMMYFUNCTION("""COMPUTED_VALUE"""),100.0)</f>
        <v>100</v>
      </c>
      <c r="N1017" s="148">
        <f>IFERROR(__xludf.DUMMYFUNCTION("""COMPUTED_VALUE"""),9.99999999E8)</f>
        <v>999999999</v>
      </c>
      <c r="O1017" s="148">
        <f>IFERROR(__xludf.DUMMYFUNCTION("""COMPUTED_VALUE"""),9.99999999E8)</f>
        <v>999999999</v>
      </c>
      <c r="P1017" s="148">
        <f>IFERROR(__xludf.DUMMYFUNCTION("""COMPUTED_VALUE"""),9.99999999E8)</f>
        <v>999999999</v>
      </c>
      <c r="Q1017" s="148" t="str">
        <f>IFERROR(__xludf.DUMMYFUNCTION("""COMPUTED_VALUE"""),"[]")</f>
        <v>[]</v>
      </c>
      <c r="R1017" s="148" t="str">
        <f>IFERROR(__xludf.DUMMYFUNCTION("""COMPUTED_VALUE"""),"[]")</f>
        <v>[]</v>
      </c>
      <c r="S1017" s="148" t="str">
        <f>IFERROR(__xludf.DUMMYFUNCTION("""COMPUTED_VALUE"""),"{}")</f>
        <v>{}</v>
      </c>
      <c r="T1017" s="148">
        <f>IFERROR(__xludf.DUMMYFUNCTION("""COMPUTED_VALUE"""),-1.0)</f>
        <v>-1</v>
      </c>
      <c r="U1017" s="148">
        <f>IFERROR(__xludf.DUMMYFUNCTION("""COMPUTED_VALUE"""),0.0)</f>
        <v>0</v>
      </c>
      <c r="V1017" s="148" t="str">
        <f>IFERROR(__xludf.DUMMYFUNCTION("""COMPUTED_VALUE"""),"[]")</f>
        <v>[]</v>
      </c>
      <c r="W1017" s="148">
        <f>IFERROR(__xludf.DUMMYFUNCTION("""COMPUTED_VALUE"""),1.174E7)</f>
        <v>11740000</v>
      </c>
      <c r="X1017" s="148">
        <f>IFERROR(__xludf.DUMMYFUNCTION("""COMPUTED_VALUE"""),0.0)</f>
        <v>0</v>
      </c>
      <c r="Y1017" s="148">
        <f>IFERROR(__xludf.DUMMYFUNCTION("""COMPUTED_VALUE"""),0.0)</f>
        <v>0</v>
      </c>
      <c r="Z1017" s="148"/>
    </row>
    <row r="1018">
      <c r="A1018" s="148">
        <f>IFERROR(__xludf.DUMMYFUNCTION("""COMPUTED_VALUE"""),1.111283E7)</f>
        <v>11112830</v>
      </c>
      <c r="B1018" s="148" t="str">
        <f>IFERROR(__xludf.DUMMYFUNCTION("""COMPUTED_VALUE"""),"钓鱼活动-海蚌-稀有")</f>
        <v>钓鱼活动-海蚌-稀有</v>
      </c>
      <c r="C1018" s="148"/>
      <c r="D1018" s="148" t="str">
        <f>IFERROR(__xludf.DUMMYFUNCTION("""COMPUTED_VALUE"""),"actv_fishing")</f>
        <v>actv_fishing</v>
      </c>
      <c r="E1018" s="148">
        <f>IFERROR(__xludf.DUMMYFUNCTION("""COMPUTED_VALUE"""),0.0)</f>
        <v>0</v>
      </c>
      <c r="F1018" s="148">
        <f>IFERROR(__xludf.DUMMYFUNCTION("""COMPUTED_VALUE"""),0.0)</f>
        <v>0</v>
      </c>
      <c r="G1018" s="148">
        <f>IFERROR(__xludf.DUMMYFUNCTION("""COMPUTED_VALUE"""),1.51104007E8)</f>
        <v>151104007</v>
      </c>
      <c r="H1018" s="148">
        <f>IFERROR(__xludf.DUMMYFUNCTION("""COMPUTED_VALUE"""),1.5112562E7)</f>
        <v>15112562</v>
      </c>
      <c r="I1018" s="148" t="str">
        <f>IFERROR(__xludf.DUMMYFUNCTION("""COMPUTED_VALUE"""),"{}")</f>
        <v>{}</v>
      </c>
      <c r="J1018" s="148" t="str">
        <f>IFERROR(__xludf.DUMMYFUNCTION("""COMPUTED_VALUE"""),"{""typ"":""lc"",""txt"":""LC_ITEM_actv_fish_1_name_30""}")</f>
        <v>{"typ":"lc","txt":"LC_ITEM_actv_fish_1_name_30"}</v>
      </c>
      <c r="K1018" s="148" t="str">
        <f>IFERROR(__xludf.DUMMYFUNCTION("""COMPUTED_VALUE"""),"{""typ"":""lc"",""txt"":""LC_ITEM_actv_fish_1_desc_30""}")</f>
        <v>{"typ":"lc","txt":"LC_ITEM_actv_fish_1_desc_30"}</v>
      </c>
      <c r="L1018" s="148" t="str">
        <f>IFERROR(__xludf.DUMMYFUNCTION("""COMPUTED_VALUE"""),"{}")</f>
        <v>{}</v>
      </c>
      <c r="M1018" s="148">
        <f>IFERROR(__xludf.DUMMYFUNCTION("""COMPUTED_VALUE"""),100.0)</f>
        <v>100</v>
      </c>
      <c r="N1018" s="148">
        <f>IFERROR(__xludf.DUMMYFUNCTION("""COMPUTED_VALUE"""),9.99999999E8)</f>
        <v>999999999</v>
      </c>
      <c r="O1018" s="148">
        <f>IFERROR(__xludf.DUMMYFUNCTION("""COMPUTED_VALUE"""),9.99999999E8)</f>
        <v>999999999</v>
      </c>
      <c r="P1018" s="148">
        <f>IFERROR(__xludf.DUMMYFUNCTION("""COMPUTED_VALUE"""),9.99999999E8)</f>
        <v>999999999</v>
      </c>
      <c r="Q1018" s="148" t="str">
        <f>IFERROR(__xludf.DUMMYFUNCTION("""COMPUTED_VALUE"""),"[]")</f>
        <v>[]</v>
      </c>
      <c r="R1018" s="148" t="str">
        <f>IFERROR(__xludf.DUMMYFUNCTION("""COMPUTED_VALUE"""),"[]")</f>
        <v>[]</v>
      </c>
      <c r="S1018" s="148" t="str">
        <f>IFERROR(__xludf.DUMMYFUNCTION("""COMPUTED_VALUE"""),"{}")</f>
        <v>{}</v>
      </c>
      <c r="T1018" s="148">
        <f>IFERROR(__xludf.DUMMYFUNCTION("""COMPUTED_VALUE"""),-1.0)</f>
        <v>-1</v>
      </c>
      <c r="U1018" s="148">
        <f>IFERROR(__xludf.DUMMYFUNCTION("""COMPUTED_VALUE"""),0.0)</f>
        <v>0</v>
      </c>
      <c r="V1018" s="148" t="str">
        <f>IFERROR(__xludf.DUMMYFUNCTION("""COMPUTED_VALUE"""),"[]")</f>
        <v>[]</v>
      </c>
      <c r="W1018" s="148">
        <f>IFERROR(__xludf.DUMMYFUNCTION("""COMPUTED_VALUE"""),1.174E7)</f>
        <v>11740000</v>
      </c>
      <c r="X1018" s="148">
        <f>IFERROR(__xludf.DUMMYFUNCTION("""COMPUTED_VALUE"""),0.0)</f>
        <v>0</v>
      </c>
      <c r="Y1018" s="148">
        <f>IFERROR(__xludf.DUMMYFUNCTION("""COMPUTED_VALUE"""),0.0)</f>
        <v>0</v>
      </c>
      <c r="Z1018" s="148"/>
    </row>
    <row r="1019">
      <c r="A1019" s="148">
        <f>IFERROR(__xludf.DUMMYFUNCTION("""COMPUTED_VALUE"""),1.1112831E7)</f>
        <v>11112831</v>
      </c>
      <c r="B1019" s="148" t="str">
        <f>IFERROR(__xludf.DUMMYFUNCTION("""COMPUTED_VALUE"""),"钓鱼活动-海星-稀有")</f>
        <v>钓鱼活动-海星-稀有</v>
      </c>
      <c r="C1019" s="148"/>
      <c r="D1019" s="148" t="str">
        <f>IFERROR(__xludf.DUMMYFUNCTION("""COMPUTED_VALUE"""),"actv_fishing")</f>
        <v>actv_fishing</v>
      </c>
      <c r="E1019" s="148">
        <f>IFERROR(__xludf.DUMMYFUNCTION("""COMPUTED_VALUE"""),0.0)</f>
        <v>0</v>
      </c>
      <c r="F1019" s="148">
        <f>IFERROR(__xludf.DUMMYFUNCTION("""COMPUTED_VALUE"""),0.0)</f>
        <v>0</v>
      </c>
      <c r="G1019" s="148">
        <f>IFERROR(__xludf.DUMMYFUNCTION("""COMPUTED_VALUE"""),1.51104008E8)</f>
        <v>151104008</v>
      </c>
      <c r="H1019" s="148">
        <f>IFERROR(__xludf.DUMMYFUNCTION("""COMPUTED_VALUE"""),1.5112562E7)</f>
        <v>15112562</v>
      </c>
      <c r="I1019" s="148" t="str">
        <f>IFERROR(__xludf.DUMMYFUNCTION("""COMPUTED_VALUE"""),"{}")</f>
        <v>{}</v>
      </c>
      <c r="J1019" s="148" t="str">
        <f>IFERROR(__xludf.DUMMYFUNCTION("""COMPUTED_VALUE"""),"{""typ"":""lc"",""txt"":""LC_ITEM_actv_fish_1_name_31""}")</f>
        <v>{"typ":"lc","txt":"LC_ITEM_actv_fish_1_name_31"}</v>
      </c>
      <c r="K1019" s="148" t="str">
        <f>IFERROR(__xludf.DUMMYFUNCTION("""COMPUTED_VALUE"""),"{""typ"":""lc"",""txt"":""LC_ITEM_actv_fish_1_desc_31""}")</f>
        <v>{"typ":"lc","txt":"LC_ITEM_actv_fish_1_desc_31"}</v>
      </c>
      <c r="L1019" s="148" t="str">
        <f>IFERROR(__xludf.DUMMYFUNCTION("""COMPUTED_VALUE"""),"{}")</f>
        <v>{}</v>
      </c>
      <c r="M1019" s="148">
        <f>IFERROR(__xludf.DUMMYFUNCTION("""COMPUTED_VALUE"""),100.0)</f>
        <v>100</v>
      </c>
      <c r="N1019" s="148">
        <f>IFERROR(__xludf.DUMMYFUNCTION("""COMPUTED_VALUE"""),9.99999999E8)</f>
        <v>999999999</v>
      </c>
      <c r="O1019" s="148">
        <f>IFERROR(__xludf.DUMMYFUNCTION("""COMPUTED_VALUE"""),9.99999999E8)</f>
        <v>999999999</v>
      </c>
      <c r="P1019" s="148">
        <f>IFERROR(__xludf.DUMMYFUNCTION("""COMPUTED_VALUE"""),9.99999999E8)</f>
        <v>999999999</v>
      </c>
      <c r="Q1019" s="148" t="str">
        <f>IFERROR(__xludf.DUMMYFUNCTION("""COMPUTED_VALUE"""),"[]")</f>
        <v>[]</v>
      </c>
      <c r="R1019" s="148" t="str">
        <f>IFERROR(__xludf.DUMMYFUNCTION("""COMPUTED_VALUE"""),"[]")</f>
        <v>[]</v>
      </c>
      <c r="S1019" s="148" t="str">
        <f>IFERROR(__xludf.DUMMYFUNCTION("""COMPUTED_VALUE"""),"{}")</f>
        <v>{}</v>
      </c>
      <c r="T1019" s="148">
        <f>IFERROR(__xludf.DUMMYFUNCTION("""COMPUTED_VALUE"""),-1.0)</f>
        <v>-1</v>
      </c>
      <c r="U1019" s="148">
        <f>IFERROR(__xludf.DUMMYFUNCTION("""COMPUTED_VALUE"""),0.0)</f>
        <v>0</v>
      </c>
      <c r="V1019" s="148" t="str">
        <f>IFERROR(__xludf.DUMMYFUNCTION("""COMPUTED_VALUE"""),"[]")</f>
        <v>[]</v>
      </c>
      <c r="W1019" s="148">
        <f>IFERROR(__xludf.DUMMYFUNCTION("""COMPUTED_VALUE"""),1.174E7)</f>
        <v>11740000</v>
      </c>
      <c r="X1019" s="148">
        <f>IFERROR(__xludf.DUMMYFUNCTION("""COMPUTED_VALUE"""),0.0)</f>
        <v>0</v>
      </c>
      <c r="Y1019" s="148">
        <f>IFERROR(__xludf.DUMMYFUNCTION("""COMPUTED_VALUE"""),0.0)</f>
        <v>0</v>
      </c>
      <c r="Z1019" s="148"/>
    </row>
    <row r="1020">
      <c r="A1020" s="148">
        <f>IFERROR(__xludf.DUMMYFUNCTION("""COMPUTED_VALUE"""),1.1112832E7)</f>
        <v>11112832</v>
      </c>
      <c r="B1020" s="148" t="str">
        <f>IFERROR(__xludf.DUMMYFUNCTION("""COMPUTED_VALUE"""),"钓鱼活动-鲭鱼-稀有")</f>
        <v>钓鱼活动-鲭鱼-稀有</v>
      </c>
      <c r="C1020" s="148"/>
      <c r="D1020" s="148" t="str">
        <f>IFERROR(__xludf.DUMMYFUNCTION("""COMPUTED_VALUE"""),"actv_fishing")</f>
        <v>actv_fishing</v>
      </c>
      <c r="E1020" s="148">
        <f>IFERROR(__xludf.DUMMYFUNCTION("""COMPUTED_VALUE"""),0.0)</f>
        <v>0</v>
      </c>
      <c r="F1020" s="148">
        <f>IFERROR(__xludf.DUMMYFUNCTION("""COMPUTED_VALUE"""),0.0)</f>
        <v>0</v>
      </c>
      <c r="G1020" s="148">
        <f>IFERROR(__xludf.DUMMYFUNCTION("""COMPUTED_VALUE"""),1.51104009E8)</f>
        <v>151104009</v>
      </c>
      <c r="H1020" s="148">
        <f>IFERROR(__xludf.DUMMYFUNCTION("""COMPUTED_VALUE"""),1.5112562E7)</f>
        <v>15112562</v>
      </c>
      <c r="I1020" s="148" t="str">
        <f>IFERROR(__xludf.DUMMYFUNCTION("""COMPUTED_VALUE"""),"{}")</f>
        <v>{}</v>
      </c>
      <c r="J1020" s="148" t="str">
        <f>IFERROR(__xludf.DUMMYFUNCTION("""COMPUTED_VALUE"""),"{""typ"":""lc"",""txt"":""LC_ITEM_actv_fish_1_name_32""}")</f>
        <v>{"typ":"lc","txt":"LC_ITEM_actv_fish_1_name_32"}</v>
      </c>
      <c r="K1020" s="148" t="str">
        <f>IFERROR(__xludf.DUMMYFUNCTION("""COMPUTED_VALUE"""),"{""typ"":""lc"",""txt"":""LC_ITEM_actv_fish_1_desc_32""}")</f>
        <v>{"typ":"lc","txt":"LC_ITEM_actv_fish_1_desc_32"}</v>
      </c>
      <c r="L1020" s="148" t="str">
        <f>IFERROR(__xludf.DUMMYFUNCTION("""COMPUTED_VALUE"""),"{}")</f>
        <v>{}</v>
      </c>
      <c r="M1020" s="148">
        <f>IFERROR(__xludf.DUMMYFUNCTION("""COMPUTED_VALUE"""),100.0)</f>
        <v>100</v>
      </c>
      <c r="N1020" s="148">
        <f>IFERROR(__xludf.DUMMYFUNCTION("""COMPUTED_VALUE"""),9.99999999E8)</f>
        <v>999999999</v>
      </c>
      <c r="O1020" s="148">
        <f>IFERROR(__xludf.DUMMYFUNCTION("""COMPUTED_VALUE"""),9.99999999E8)</f>
        <v>999999999</v>
      </c>
      <c r="P1020" s="148">
        <f>IFERROR(__xludf.DUMMYFUNCTION("""COMPUTED_VALUE"""),9.99999999E8)</f>
        <v>999999999</v>
      </c>
      <c r="Q1020" s="148" t="str">
        <f>IFERROR(__xludf.DUMMYFUNCTION("""COMPUTED_VALUE"""),"[]")</f>
        <v>[]</v>
      </c>
      <c r="R1020" s="148" t="str">
        <f>IFERROR(__xludf.DUMMYFUNCTION("""COMPUTED_VALUE"""),"[]")</f>
        <v>[]</v>
      </c>
      <c r="S1020" s="148" t="str">
        <f>IFERROR(__xludf.DUMMYFUNCTION("""COMPUTED_VALUE"""),"{}")</f>
        <v>{}</v>
      </c>
      <c r="T1020" s="148">
        <f>IFERROR(__xludf.DUMMYFUNCTION("""COMPUTED_VALUE"""),-1.0)</f>
        <v>-1</v>
      </c>
      <c r="U1020" s="148">
        <f>IFERROR(__xludf.DUMMYFUNCTION("""COMPUTED_VALUE"""),0.0)</f>
        <v>0</v>
      </c>
      <c r="V1020" s="148" t="str">
        <f>IFERROR(__xludf.DUMMYFUNCTION("""COMPUTED_VALUE"""),"[]")</f>
        <v>[]</v>
      </c>
      <c r="W1020" s="148">
        <f>IFERROR(__xludf.DUMMYFUNCTION("""COMPUTED_VALUE"""),1.174E7)</f>
        <v>11740000</v>
      </c>
      <c r="X1020" s="148">
        <f>IFERROR(__xludf.DUMMYFUNCTION("""COMPUTED_VALUE"""),0.0)</f>
        <v>0</v>
      </c>
      <c r="Y1020" s="148">
        <f>IFERROR(__xludf.DUMMYFUNCTION("""COMPUTED_VALUE"""),0.0)</f>
        <v>0</v>
      </c>
      <c r="Z1020" s="148"/>
    </row>
    <row r="1021">
      <c r="A1021" s="148">
        <f>IFERROR(__xludf.DUMMYFUNCTION("""COMPUTED_VALUE"""),1.1112833E7)</f>
        <v>11112833</v>
      </c>
      <c r="B1021" s="148" t="str">
        <f>IFERROR(__xludf.DUMMYFUNCTION("""COMPUTED_VALUE"""),"钓鱼活动-鱼饵")</f>
        <v>钓鱼活动-鱼饵</v>
      </c>
      <c r="C1021" s="148"/>
      <c r="D1021" s="148" t="str">
        <f>IFERROR(__xludf.DUMMYFUNCTION("""COMPUTED_VALUE"""),"event")</f>
        <v>event</v>
      </c>
      <c r="E1021" s="148">
        <f>IFERROR(__xludf.DUMMYFUNCTION("""COMPUTED_VALUE"""),0.0)</f>
        <v>0</v>
      </c>
      <c r="F1021" s="148">
        <f>IFERROR(__xludf.DUMMYFUNCTION("""COMPUTED_VALUE"""),405243.0)</f>
        <v>405243</v>
      </c>
      <c r="G1021" s="148">
        <f>IFERROR(__xludf.DUMMYFUNCTION("""COMPUTED_VALUE"""),1.5110401E8)</f>
        <v>151104010</v>
      </c>
      <c r="H1021" s="148">
        <f>IFERROR(__xludf.DUMMYFUNCTION("""COMPUTED_VALUE"""),1.5112563E7)</f>
        <v>15112563</v>
      </c>
      <c r="I1021" s="148" t="str">
        <f>IFERROR(__xludf.DUMMYFUNCTION("""COMPUTED_VALUE"""),"{}")</f>
        <v>{}</v>
      </c>
      <c r="J1021" s="148" t="str">
        <f>IFERROR(__xludf.DUMMYFUNCTION("""COMPUTED_VALUE"""),"{""typ"":""lc"",""txt"":""LC_ITEM_actv_fishing_bait_name""}")</f>
        <v>{"typ":"lc","txt":"LC_ITEM_actv_fishing_bait_name"}</v>
      </c>
      <c r="K1021" s="148" t="str">
        <f>IFERROR(__xludf.DUMMYFUNCTION("""COMPUTED_VALUE"""),"{""typ"":""lc"",""txt"":""LC_ITEM_actv_fishing_bait_desc""}")</f>
        <v>{"typ":"lc","txt":"LC_ITEM_actv_fishing_bait_desc"}</v>
      </c>
      <c r="L1021" s="148" t="str">
        <f>IFERROR(__xludf.DUMMYFUNCTION("""COMPUTED_VALUE"""),"{}")</f>
        <v>{}</v>
      </c>
      <c r="M1021" s="148">
        <f>IFERROR(__xludf.DUMMYFUNCTION("""COMPUTED_VALUE"""),100.0)</f>
        <v>100</v>
      </c>
      <c r="N1021" s="148">
        <f>IFERROR(__xludf.DUMMYFUNCTION("""COMPUTED_VALUE"""),9.99999999E8)</f>
        <v>999999999</v>
      </c>
      <c r="O1021" s="148">
        <f>IFERROR(__xludf.DUMMYFUNCTION("""COMPUTED_VALUE"""),9.99999999E8)</f>
        <v>999999999</v>
      </c>
      <c r="P1021" s="148">
        <f>IFERROR(__xludf.DUMMYFUNCTION("""COMPUTED_VALUE"""),9.99999999E8)</f>
        <v>999999999</v>
      </c>
      <c r="Q1021" s="148" t="str">
        <f>IFERROR(__xludf.DUMMYFUNCTION("""COMPUTED_VALUE"""),"[""bag_other""]")</f>
        <v>["bag_other"]</v>
      </c>
      <c r="R1021" s="148" t="str">
        <f>IFERROR(__xludf.DUMMYFUNCTION("""COMPUTED_VALUE"""),"[""bag""]")</f>
        <v>["bag"]</v>
      </c>
      <c r="S1021" s="148" t="str">
        <f>IFERROR(__xludf.DUMMYFUNCTION("""COMPUTED_VALUE"""),"{}")</f>
        <v>{}</v>
      </c>
      <c r="T1021" s="148">
        <f>IFERROR(__xludf.DUMMYFUNCTION("""COMPUTED_VALUE"""),1.0)</f>
        <v>1</v>
      </c>
      <c r="U1021" s="148">
        <f>IFERROR(__xludf.DUMMYFUNCTION("""COMPUTED_VALUE"""),0.0)</f>
        <v>0</v>
      </c>
      <c r="V1021" s="148" t="str">
        <f>IFERROR(__xludf.DUMMYFUNCTION("""COMPUTED_VALUE"""),"[]")</f>
        <v>[]</v>
      </c>
      <c r="W1021" s="148">
        <f>IFERROR(__xludf.DUMMYFUNCTION("""COMPUTED_VALUE"""),1.174E7)</f>
        <v>11740000</v>
      </c>
      <c r="X1021" s="148">
        <f>IFERROR(__xludf.DUMMYFUNCTION("""COMPUTED_VALUE"""),0.0)</f>
        <v>0</v>
      </c>
      <c r="Y1021" s="148">
        <f>IFERROR(__xludf.DUMMYFUNCTION("""COMPUTED_VALUE"""),0.0)</f>
        <v>0</v>
      </c>
      <c r="Z1021" s="148"/>
    </row>
    <row r="1022">
      <c r="A1022" s="148">
        <f>IFERROR(__xludf.DUMMYFUNCTION("""COMPUTED_VALUE"""),1.1112834E7)</f>
        <v>11112834</v>
      </c>
      <c r="B1022" s="148" t="str">
        <f>IFERROR(__xludf.DUMMYFUNCTION("""COMPUTED_VALUE"""),"钓鱼活动-钓鱼螺号 ")</f>
        <v>钓鱼活动-钓鱼螺号 </v>
      </c>
      <c r="C1022" s="148"/>
      <c r="D1022" s="148" t="str">
        <f>IFERROR(__xludf.DUMMYFUNCTION("""COMPUTED_VALUE"""),"event")</f>
        <v>event</v>
      </c>
      <c r="E1022" s="148">
        <f>IFERROR(__xludf.DUMMYFUNCTION("""COMPUTED_VALUE"""),0.0)</f>
        <v>0</v>
      </c>
      <c r="F1022" s="148">
        <f>IFERROR(__xludf.DUMMYFUNCTION("""COMPUTED_VALUE"""),405243.0)</f>
        <v>405243</v>
      </c>
      <c r="G1022" s="148">
        <f>IFERROR(__xludf.DUMMYFUNCTION("""COMPUTED_VALUE"""),1.51104011E8)</f>
        <v>151104011</v>
      </c>
      <c r="H1022" s="148">
        <f>IFERROR(__xludf.DUMMYFUNCTION("""COMPUTED_VALUE"""),1.5112564E7)</f>
        <v>15112564</v>
      </c>
      <c r="I1022" s="148" t="str">
        <f>IFERROR(__xludf.DUMMYFUNCTION("""COMPUTED_VALUE"""),"{}")</f>
        <v>{}</v>
      </c>
      <c r="J1022" s="148" t="str">
        <f>IFERROR(__xludf.DUMMYFUNCTION("""COMPUTED_VALUE"""),"{""typ"":""lc"",""txt"":""LC_ITEM_actv_fishing_conch_name""}")</f>
        <v>{"typ":"lc","txt":"LC_ITEM_actv_fishing_conch_name"}</v>
      </c>
      <c r="K1022" s="148" t="str">
        <f>IFERROR(__xludf.DUMMYFUNCTION("""COMPUTED_VALUE"""),"{""typ"":""lc"",""txt"":""LC_ITEM_actv_fishing_conch_desc""}")</f>
        <v>{"typ":"lc","txt":"LC_ITEM_actv_fishing_conch_desc"}</v>
      </c>
      <c r="L1022" s="148" t="str">
        <f>IFERROR(__xludf.DUMMYFUNCTION("""COMPUTED_VALUE"""),"{}")</f>
        <v>{}</v>
      </c>
      <c r="M1022" s="148">
        <f>IFERROR(__xludf.DUMMYFUNCTION("""COMPUTED_VALUE"""),100.0)</f>
        <v>100</v>
      </c>
      <c r="N1022" s="148">
        <f>IFERROR(__xludf.DUMMYFUNCTION("""COMPUTED_VALUE"""),9.99999999E8)</f>
        <v>999999999</v>
      </c>
      <c r="O1022" s="148">
        <f>IFERROR(__xludf.DUMMYFUNCTION("""COMPUTED_VALUE"""),9.99999999E8)</f>
        <v>999999999</v>
      </c>
      <c r="P1022" s="148">
        <f>IFERROR(__xludf.DUMMYFUNCTION("""COMPUTED_VALUE"""),9.99999999E8)</f>
        <v>999999999</v>
      </c>
      <c r="Q1022" s="148" t="str">
        <f>IFERROR(__xludf.DUMMYFUNCTION("""COMPUTED_VALUE"""),"[""bag_other""]")</f>
        <v>["bag_other"]</v>
      </c>
      <c r="R1022" s="148" t="str">
        <f>IFERROR(__xludf.DUMMYFUNCTION("""COMPUTED_VALUE"""),"[""bag""]")</f>
        <v>["bag"]</v>
      </c>
      <c r="S1022" s="148" t="str">
        <f>IFERROR(__xludf.DUMMYFUNCTION("""COMPUTED_VALUE"""),"{}")</f>
        <v>{}</v>
      </c>
      <c r="T1022" s="148">
        <f>IFERROR(__xludf.DUMMYFUNCTION("""COMPUTED_VALUE"""),1.0)</f>
        <v>1</v>
      </c>
      <c r="U1022" s="148">
        <f>IFERROR(__xludf.DUMMYFUNCTION("""COMPUTED_VALUE"""),0.0)</f>
        <v>0</v>
      </c>
      <c r="V1022" s="148" t="str">
        <f>IFERROR(__xludf.DUMMYFUNCTION("""COMPUTED_VALUE"""),"[]")</f>
        <v>[]</v>
      </c>
      <c r="W1022" s="148">
        <f>IFERROR(__xludf.DUMMYFUNCTION("""COMPUTED_VALUE"""),1.174E7)</f>
        <v>11740000</v>
      </c>
      <c r="X1022" s="148">
        <f>IFERROR(__xludf.DUMMYFUNCTION("""COMPUTED_VALUE"""),0.0)</f>
        <v>0</v>
      </c>
      <c r="Y1022" s="148">
        <f>IFERROR(__xludf.DUMMYFUNCTION("""COMPUTED_VALUE"""),0.0)</f>
        <v>0</v>
      </c>
      <c r="Z1022" s="148"/>
    </row>
    <row r="1023">
      <c r="A1023" s="148">
        <f>IFERROR(__xludf.DUMMYFUNCTION("""COMPUTED_VALUE"""),1.1112835E7)</f>
        <v>11112835</v>
      </c>
      <c r="B1023" s="148" t="str">
        <f>IFERROR(__xludf.DUMMYFUNCTION("""COMPUTED_VALUE"""),"钓鱼活动-1级鱼竿")</f>
        <v>钓鱼活动-1级鱼竿</v>
      </c>
      <c r="C1023" s="148"/>
      <c r="D1023" s="148" t="str">
        <f>IFERROR(__xludf.DUMMYFUNCTION("""COMPUTED_VALUE"""),"actv_fishing_rod")</f>
        <v>actv_fishing_rod</v>
      </c>
      <c r="E1023" s="148">
        <f>IFERROR(__xludf.DUMMYFUNCTION("""COMPUTED_VALUE"""),0.0)</f>
        <v>0</v>
      </c>
      <c r="F1023" s="148">
        <f>IFERROR(__xludf.DUMMYFUNCTION("""COMPUTED_VALUE"""),0.0)</f>
        <v>0</v>
      </c>
      <c r="G1023" s="148">
        <f>IFERROR(__xludf.DUMMYFUNCTION("""COMPUTED_VALUE"""),1.51104012E8)</f>
        <v>151104012</v>
      </c>
      <c r="H1023" s="148">
        <f>IFERROR(__xludf.DUMMYFUNCTION("""COMPUTED_VALUE"""),1.5112561E7)</f>
        <v>15112561</v>
      </c>
      <c r="I1023" s="148" t="str">
        <f>IFERROR(__xludf.DUMMYFUNCTION("""COMPUTED_VALUE"""),"{}")</f>
        <v>{}</v>
      </c>
      <c r="J1023" s="148" t="str">
        <f>IFERROR(__xludf.DUMMYFUNCTION("""COMPUTED_VALUE"""),"{""typ"":""lc"",""txt"":""LC_ITEM_actv_fishing_rod_name_1""}")</f>
        <v>{"typ":"lc","txt":"LC_ITEM_actv_fishing_rod_name_1"}</v>
      </c>
      <c r="K1023" s="148" t="str">
        <f>IFERROR(__xludf.DUMMYFUNCTION("""COMPUTED_VALUE"""),"{}")</f>
        <v>{}</v>
      </c>
      <c r="L1023" s="148" t="str">
        <f>IFERROR(__xludf.DUMMYFUNCTION("""COMPUTED_VALUE"""),"{}")</f>
        <v>{}</v>
      </c>
      <c r="M1023" s="148">
        <f>IFERROR(__xludf.DUMMYFUNCTION("""COMPUTED_VALUE"""),100.0)</f>
        <v>100</v>
      </c>
      <c r="N1023" s="148">
        <f>IFERROR(__xludf.DUMMYFUNCTION("""COMPUTED_VALUE"""),9.99999999E8)</f>
        <v>999999999</v>
      </c>
      <c r="O1023" s="148">
        <f>IFERROR(__xludf.DUMMYFUNCTION("""COMPUTED_VALUE"""),9.99999999E8)</f>
        <v>999999999</v>
      </c>
      <c r="P1023" s="148">
        <f>IFERROR(__xludf.DUMMYFUNCTION("""COMPUTED_VALUE"""),9.99999999E8)</f>
        <v>999999999</v>
      </c>
      <c r="Q1023" s="148" t="str">
        <f>IFERROR(__xludf.DUMMYFUNCTION("""COMPUTED_VALUE"""),"[]")</f>
        <v>[]</v>
      </c>
      <c r="R1023" s="148" t="str">
        <f>IFERROR(__xludf.DUMMYFUNCTION("""COMPUTED_VALUE"""),"[]")</f>
        <v>[]</v>
      </c>
      <c r="S1023" s="148" t="str">
        <f>IFERROR(__xludf.DUMMYFUNCTION("""COMPUTED_VALUE"""),"{""effect"":[{""typ"":""buff"",""id"":121117212,""arg1"":3000},{""typ"":""buff"",""id"":121117213,""arg1"":0},{""typ"":""buff"",""id"":121117214,""arg1"":1},{""typ"":""buff"",""id"":121117215,""arg1"":0},{""typ"":""buff"",""id"":121117216,""arg1"":0},{""t"&amp;"yp"":""buff"",""id"":121117217,""arg1"":0},{""typ"":""buff"",""id"":121117218,""arg1"":0}]}")</f>
        <v>{"effect":[{"typ":"buff","id":121117212,"arg1":3000},{"typ":"buff","id":121117213,"arg1":0},{"typ":"buff","id":121117214,"arg1":1},{"typ":"buff","id":121117215,"arg1":0},{"typ":"buff","id":121117216,"arg1":0},{"typ":"buff","id":121117217,"arg1":0},{"typ":"buff","id":121117218,"arg1":0}]}</v>
      </c>
      <c r="T1023" s="148">
        <f>IFERROR(__xludf.DUMMYFUNCTION("""COMPUTED_VALUE"""),-1.0)</f>
        <v>-1</v>
      </c>
      <c r="U1023" s="148">
        <f>IFERROR(__xludf.DUMMYFUNCTION("""COMPUTED_VALUE"""),1.0)</f>
        <v>1</v>
      </c>
      <c r="V1023" s="148" t="str">
        <f>IFERROR(__xludf.DUMMYFUNCTION("""COMPUTED_VALUE"""),"[]")</f>
        <v>[]</v>
      </c>
      <c r="W1023" s="148">
        <f>IFERROR(__xludf.DUMMYFUNCTION("""COMPUTED_VALUE"""),1.174E7)</f>
        <v>11740000</v>
      </c>
      <c r="X1023" s="148">
        <f>IFERROR(__xludf.DUMMYFUNCTION("""COMPUTED_VALUE"""),0.0)</f>
        <v>0</v>
      </c>
      <c r="Y1023" s="148">
        <f>IFERROR(__xludf.DUMMYFUNCTION("""COMPUTED_VALUE"""),0.0)</f>
        <v>0</v>
      </c>
      <c r="Z1023" s="148"/>
    </row>
    <row r="1024">
      <c r="A1024" s="148">
        <f>IFERROR(__xludf.DUMMYFUNCTION("""COMPUTED_VALUE"""),1.1112836E7)</f>
        <v>11112836</v>
      </c>
      <c r="B1024" s="148" t="str">
        <f>IFERROR(__xludf.DUMMYFUNCTION("""COMPUTED_VALUE"""),"钓鱼活动-2级鱼竿")</f>
        <v>钓鱼活动-2级鱼竿</v>
      </c>
      <c r="C1024" s="148"/>
      <c r="D1024" s="148" t="str">
        <f>IFERROR(__xludf.DUMMYFUNCTION("""COMPUTED_VALUE"""),"actv_fishing_rod")</f>
        <v>actv_fishing_rod</v>
      </c>
      <c r="E1024" s="148">
        <f>IFERROR(__xludf.DUMMYFUNCTION("""COMPUTED_VALUE"""),0.0)</f>
        <v>0</v>
      </c>
      <c r="F1024" s="148">
        <f>IFERROR(__xludf.DUMMYFUNCTION("""COMPUTED_VALUE"""),0.0)</f>
        <v>0</v>
      </c>
      <c r="G1024" s="148">
        <f>IFERROR(__xludf.DUMMYFUNCTION("""COMPUTED_VALUE"""),1.51104013E8)</f>
        <v>151104013</v>
      </c>
      <c r="H1024" s="148">
        <f>IFERROR(__xludf.DUMMYFUNCTION("""COMPUTED_VALUE"""),1.5112562E7)</f>
        <v>15112562</v>
      </c>
      <c r="I1024" s="148" t="str">
        <f>IFERROR(__xludf.DUMMYFUNCTION("""COMPUTED_VALUE"""),"{}")</f>
        <v>{}</v>
      </c>
      <c r="J1024" s="148" t="str">
        <f>IFERROR(__xludf.DUMMYFUNCTION("""COMPUTED_VALUE"""),"{""typ"":""lc"",""txt"":""LC_ITEM_actv_fishing_rod_name_2""}")</f>
        <v>{"typ":"lc","txt":"LC_ITEM_actv_fishing_rod_name_2"}</v>
      </c>
      <c r="K1024" s="148" t="str">
        <f>IFERROR(__xludf.DUMMYFUNCTION("""COMPUTED_VALUE"""),"{}")</f>
        <v>{}</v>
      </c>
      <c r="L1024" s="148" t="str">
        <f>IFERROR(__xludf.DUMMYFUNCTION("""COMPUTED_VALUE"""),"{}")</f>
        <v>{}</v>
      </c>
      <c r="M1024" s="148">
        <f>IFERROR(__xludf.DUMMYFUNCTION("""COMPUTED_VALUE"""),100.0)</f>
        <v>100</v>
      </c>
      <c r="N1024" s="148">
        <f>IFERROR(__xludf.DUMMYFUNCTION("""COMPUTED_VALUE"""),9.99999999E8)</f>
        <v>999999999</v>
      </c>
      <c r="O1024" s="148">
        <f>IFERROR(__xludf.DUMMYFUNCTION("""COMPUTED_VALUE"""),9.99999999E8)</f>
        <v>999999999</v>
      </c>
      <c r="P1024" s="148">
        <f>IFERROR(__xludf.DUMMYFUNCTION("""COMPUTED_VALUE"""),9.99999999E8)</f>
        <v>999999999</v>
      </c>
      <c r="Q1024" s="148" t="str">
        <f>IFERROR(__xludf.DUMMYFUNCTION("""COMPUTED_VALUE"""),"[]")</f>
        <v>[]</v>
      </c>
      <c r="R1024" s="148" t="str">
        <f>IFERROR(__xludf.DUMMYFUNCTION("""COMPUTED_VALUE"""),"[]")</f>
        <v>[]</v>
      </c>
      <c r="S1024" s="148" t="str">
        <f>IFERROR(__xludf.DUMMYFUNCTION("""COMPUTED_VALUE"""),"{""effect"":[{""typ"":""buff"",""id"":121117212,""arg1"":3500},{""typ"":""buff"",""id"":121117213,""arg1"":2000},{""typ"":""buff"",""id"":121117214,""arg1"":2},{""typ"":""buff"",""id"":121117215,""arg1"":-1400},{""typ"":""buff"",""id"":121117216,""arg1"":"&amp;"2500},{""typ"":""buff"",""id"":121117217,""arg1"":5000},{""typ"":""buff"",""id"":121117218,""arg1"":2000}]}")</f>
        <v>{"effect":[{"typ":"buff","id":121117212,"arg1":3500},{"typ":"buff","id":121117213,"arg1":2000},{"typ":"buff","id":121117214,"arg1":2},{"typ":"buff","id":121117215,"arg1":-1400},{"typ":"buff","id":121117216,"arg1":2500},{"typ":"buff","id":121117217,"arg1":5000},{"typ":"buff","id":121117218,"arg1":2000}]}</v>
      </c>
      <c r="T1024" s="148">
        <f>IFERROR(__xludf.DUMMYFUNCTION("""COMPUTED_VALUE"""),-1.0)</f>
        <v>-1</v>
      </c>
      <c r="U1024" s="148">
        <f>IFERROR(__xludf.DUMMYFUNCTION("""COMPUTED_VALUE"""),1.0)</f>
        <v>1</v>
      </c>
      <c r="V1024" s="148" t="str">
        <f>IFERROR(__xludf.DUMMYFUNCTION("""COMPUTED_VALUE"""),"[]")</f>
        <v>[]</v>
      </c>
      <c r="W1024" s="148">
        <f>IFERROR(__xludf.DUMMYFUNCTION("""COMPUTED_VALUE"""),1.174E7)</f>
        <v>11740000</v>
      </c>
      <c r="X1024" s="148">
        <f>IFERROR(__xludf.DUMMYFUNCTION("""COMPUTED_VALUE"""),0.0)</f>
        <v>0</v>
      </c>
      <c r="Y1024" s="148">
        <f>IFERROR(__xludf.DUMMYFUNCTION("""COMPUTED_VALUE"""),0.0)</f>
        <v>0</v>
      </c>
      <c r="Z1024" s="148"/>
    </row>
    <row r="1025">
      <c r="A1025" s="148">
        <f>IFERROR(__xludf.DUMMYFUNCTION("""COMPUTED_VALUE"""),1.1112837E7)</f>
        <v>11112837</v>
      </c>
      <c r="B1025" s="148" t="str">
        <f>IFERROR(__xludf.DUMMYFUNCTION("""COMPUTED_VALUE"""),"钓鱼活动-3级鱼竿")</f>
        <v>钓鱼活动-3级鱼竿</v>
      </c>
      <c r="C1025" s="148"/>
      <c r="D1025" s="148" t="str">
        <f>IFERROR(__xludf.DUMMYFUNCTION("""COMPUTED_VALUE"""),"actv_fishing_rod")</f>
        <v>actv_fishing_rod</v>
      </c>
      <c r="E1025" s="148">
        <f>IFERROR(__xludf.DUMMYFUNCTION("""COMPUTED_VALUE"""),0.0)</f>
        <v>0</v>
      </c>
      <c r="F1025" s="148">
        <f>IFERROR(__xludf.DUMMYFUNCTION("""COMPUTED_VALUE"""),0.0)</f>
        <v>0</v>
      </c>
      <c r="G1025" s="148">
        <f>IFERROR(__xludf.DUMMYFUNCTION("""COMPUTED_VALUE"""),1.51104014E8)</f>
        <v>151104014</v>
      </c>
      <c r="H1025" s="148">
        <f>IFERROR(__xludf.DUMMYFUNCTION("""COMPUTED_VALUE"""),1.5112563E7)</f>
        <v>15112563</v>
      </c>
      <c r="I1025" s="148" t="str">
        <f>IFERROR(__xludf.DUMMYFUNCTION("""COMPUTED_VALUE"""),"{}")</f>
        <v>{}</v>
      </c>
      <c r="J1025" s="148" t="str">
        <f>IFERROR(__xludf.DUMMYFUNCTION("""COMPUTED_VALUE"""),"{""typ"":""lc"",""txt"":""LC_ITEM_actv_fishing_rod_name_3""}")</f>
        <v>{"typ":"lc","txt":"LC_ITEM_actv_fishing_rod_name_3"}</v>
      </c>
      <c r="K1025" s="148" t="str">
        <f>IFERROR(__xludf.DUMMYFUNCTION("""COMPUTED_VALUE"""),"{}")</f>
        <v>{}</v>
      </c>
      <c r="L1025" s="148" t="str">
        <f>IFERROR(__xludf.DUMMYFUNCTION("""COMPUTED_VALUE"""),"{}")</f>
        <v>{}</v>
      </c>
      <c r="M1025" s="148">
        <f>IFERROR(__xludf.DUMMYFUNCTION("""COMPUTED_VALUE"""),100.0)</f>
        <v>100</v>
      </c>
      <c r="N1025" s="148">
        <f>IFERROR(__xludf.DUMMYFUNCTION("""COMPUTED_VALUE"""),9.99999999E8)</f>
        <v>999999999</v>
      </c>
      <c r="O1025" s="148">
        <f>IFERROR(__xludf.DUMMYFUNCTION("""COMPUTED_VALUE"""),9.99999999E8)</f>
        <v>999999999</v>
      </c>
      <c r="P1025" s="148">
        <f>IFERROR(__xludf.DUMMYFUNCTION("""COMPUTED_VALUE"""),9.99999999E8)</f>
        <v>999999999</v>
      </c>
      <c r="Q1025" s="148" t="str">
        <f>IFERROR(__xludf.DUMMYFUNCTION("""COMPUTED_VALUE"""),"[]")</f>
        <v>[]</v>
      </c>
      <c r="R1025" s="148" t="str">
        <f>IFERROR(__xludf.DUMMYFUNCTION("""COMPUTED_VALUE"""),"[]")</f>
        <v>[]</v>
      </c>
      <c r="S1025" s="148" t="str">
        <f>IFERROR(__xludf.DUMMYFUNCTION("""COMPUTED_VALUE"""),"{""effect"":[{""typ"":""buff"",""id"":121117212,""arg1"":4000},{""typ"":""buff"",""id"":121117213,""arg1"":4000},{""typ"":""buff"",""id"":121117214,""arg1"":4},{""typ"":""buff"",""id"":121117215,""arg1"":-1700},{""typ"":""buff"",""id"":121117216,""arg1"":"&amp;"2000},{""typ"":""buff"",""id"":121117217,""arg1"":3300},{""typ"":""buff"",""id"":121117218,""arg1"":4000}]}")</f>
        <v>{"effect":[{"typ":"buff","id":121117212,"arg1":4000},{"typ":"buff","id":121117213,"arg1":4000},{"typ":"buff","id":121117214,"arg1":4},{"typ":"buff","id":121117215,"arg1":-1700},{"typ":"buff","id":121117216,"arg1":2000},{"typ":"buff","id":121117217,"arg1":3300},{"typ":"buff","id":121117218,"arg1":4000}]}</v>
      </c>
      <c r="T1025" s="148">
        <f>IFERROR(__xludf.DUMMYFUNCTION("""COMPUTED_VALUE"""),-1.0)</f>
        <v>-1</v>
      </c>
      <c r="U1025" s="148">
        <f>IFERROR(__xludf.DUMMYFUNCTION("""COMPUTED_VALUE"""),1.0)</f>
        <v>1</v>
      </c>
      <c r="V1025" s="148" t="str">
        <f>IFERROR(__xludf.DUMMYFUNCTION("""COMPUTED_VALUE"""),"[]")</f>
        <v>[]</v>
      </c>
      <c r="W1025" s="148">
        <f>IFERROR(__xludf.DUMMYFUNCTION("""COMPUTED_VALUE"""),1.174E7)</f>
        <v>11740000</v>
      </c>
      <c r="X1025" s="148">
        <f>IFERROR(__xludf.DUMMYFUNCTION("""COMPUTED_VALUE"""),0.0)</f>
        <v>0</v>
      </c>
      <c r="Y1025" s="148">
        <f>IFERROR(__xludf.DUMMYFUNCTION("""COMPUTED_VALUE"""),0.0)</f>
        <v>0</v>
      </c>
      <c r="Z1025" s="148"/>
    </row>
    <row r="1026">
      <c r="A1026" s="148">
        <f>IFERROR(__xludf.DUMMYFUNCTION("""COMPUTED_VALUE"""),1.1112838E7)</f>
        <v>11112838</v>
      </c>
      <c r="B1026" s="148" t="str">
        <f>IFERROR(__xludf.DUMMYFUNCTION("""COMPUTED_VALUE"""),"钓鱼活动-4级鱼竿")</f>
        <v>钓鱼活动-4级鱼竿</v>
      </c>
      <c r="C1026" s="148"/>
      <c r="D1026" s="148" t="str">
        <f>IFERROR(__xludf.DUMMYFUNCTION("""COMPUTED_VALUE"""),"actv_fishing_rod")</f>
        <v>actv_fishing_rod</v>
      </c>
      <c r="E1026" s="148">
        <f>IFERROR(__xludf.DUMMYFUNCTION("""COMPUTED_VALUE"""),0.0)</f>
        <v>0</v>
      </c>
      <c r="F1026" s="148">
        <f>IFERROR(__xludf.DUMMYFUNCTION("""COMPUTED_VALUE"""),0.0)</f>
        <v>0</v>
      </c>
      <c r="G1026" s="148">
        <f>IFERROR(__xludf.DUMMYFUNCTION("""COMPUTED_VALUE"""),1.51104015E8)</f>
        <v>151104015</v>
      </c>
      <c r="H1026" s="148">
        <f>IFERROR(__xludf.DUMMYFUNCTION("""COMPUTED_VALUE"""),1.5112564E7)</f>
        <v>15112564</v>
      </c>
      <c r="I1026" s="148" t="str">
        <f>IFERROR(__xludf.DUMMYFUNCTION("""COMPUTED_VALUE"""),"{}")</f>
        <v>{}</v>
      </c>
      <c r="J1026" s="148" t="str">
        <f>IFERROR(__xludf.DUMMYFUNCTION("""COMPUTED_VALUE"""),"{""typ"":""lc"",""txt"":""LC_ITEM_actv_fishing_rod_name_4""}")</f>
        <v>{"typ":"lc","txt":"LC_ITEM_actv_fishing_rod_name_4"}</v>
      </c>
      <c r="K1026" s="148" t="str">
        <f>IFERROR(__xludf.DUMMYFUNCTION("""COMPUTED_VALUE"""),"{}")</f>
        <v>{}</v>
      </c>
      <c r="L1026" s="148" t="str">
        <f>IFERROR(__xludf.DUMMYFUNCTION("""COMPUTED_VALUE"""),"{}")</f>
        <v>{}</v>
      </c>
      <c r="M1026" s="148">
        <f>IFERROR(__xludf.DUMMYFUNCTION("""COMPUTED_VALUE"""),100.0)</f>
        <v>100</v>
      </c>
      <c r="N1026" s="148">
        <f>IFERROR(__xludf.DUMMYFUNCTION("""COMPUTED_VALUE"""),9.99999999E8)</f>
        <v>999999999</v>
      </c>
      <c r="O1026" s="148">
        <f>IFERROR(__xludf.DUMMYFUNCTION("""COMPUTED_VALUE"""),9.99999999E8)</f>
        <v>999999999</v>
      </c>
      <c r="P1026" s="148">
        <f>IFERROR(__xludf.DUMMYFUNCTION("""COMPUTED_VALUE"""),9.99999999E8)</f>
        <v>999999999</v>
      </c>
      <c r="Q1026" s="148" t="str">
        <f>IFERROR(__xludf.DUMMYFUNCTION("""COMPUTED_VALUE"""),"[]")</f>
        <v>[]</v>
      </c>
      <c r="R1026" s="148" t="str">
        <f>IFERROR(__xludf.DUMMYFUNCTION("""COMPUTED_VALUE"""),"[]")</f>
        <v>[]</v>
      </c>
      <c r="S1026" s="148" t="str">
        <f>IFERROR(__xludf.DUMMYFUNCTION("""COMPUTED_VALUE"""),"{""effect"":[{""typ"":""buff"",""id"":121117212,""arg1"":4500},{""typ"":""buff"",""id"":121117213,""arg1"":6000},{""typ"":""buff"",""id"":121117214,""arg1"":10},{""typ"":""buff"",""id"":121117215,""arg1"":-2000},{""typ"":""buff"",""id"":121117216,""arg1"""&amp;":1700},{""typ"":""buff"",""id"":121117217,""arg1"":2500},{""typ"":""buff"",""id"":121117218,""arg1"":6000}]}")</f>
        <v>{"effect":[{"typ":"buff","id":121117212,"arg1":4500},{"typ":"buff","id":121117213,"arg1":6000},{"typ":"buff","id":121117214,"arg1":10},{"typ":"buff","id":121117215,"arg1":-2000},{"typ":"buff","id":121117216,"arg1":1700},{"typ":"buff","id":121117217,"arg1":2500},{"typ":"buff","id":121117218,"arg1":6000}]}</v>
      </c>
      <c r="T1026" s="148">
        <f>IFERROR(__xludf.DUMMYFUNCTION("""COMPUTED_VALUE"""),-1.0)</f>
        <v>-1</v>
      </c>
      <c r="U1026" s="148">
        <f>IFERROR(__xludf.DUMMYFUNCTION("""COMPUTED_VALUE"""),1.0)</f>
        <v>1</v>
      </c>
      <c r="V1026" s="148" t="str">
        <f>IFERROR(__xludf.DUMMYFUNCTION("""COMPUTED_VALUE"""),"[]")</f>
        <v>[]</v>
      </c>
      <c r="W1026" s="148">
        <f>IFERROR(__xludf.DUMMYFUNCTION("""COMPUTED_VALUE"""),1.174E7)</f>
        <v>11740000</v>
      </c>
      <c r="X1026" s="148">
        <f>IFERROR(__xludf.DUMMYFUNCTION("""COMPUTED_VALUE"""),0.0)</f>
        <v>0</v>
      </c>
      <c r="Y1026" s="148">
        <f>IFERROR(__xludf.DUMMYFUNCTION("""COMPUTED_VALUE"""),0.0)</f>
        <v>0</v>
      </c>
      <c r="Z1026" s="148"/>
    </row>
    <row r="1027">
      <c r="A1027" s="148">
        <f>IFERROR(__xludf.DUMMYFUNCTION("""COMPUTED_VALUE"""),1.1112839E7)</f>
        <v>11112839</v>
      </c>
      <c r="B1027" s="148" t="str">
        <f>IFERROR(__xludf.DUMMYFUNCTION("""COMPUTED_VALUE"""),"钓鱼活动-5级鱼竿")</f>
        <v>钓鱼活动-5级鱼竿</v>
      </c>
      <c r="C1027" s="148"/>
      <c r="D1027" s="148" t="str">
        <f>IFERROR(__xludf.DUMMYFUNCTION("""COMPUTED_VALUE"""),"actv_fishing_rod")</f>
        <v>actv_fishing_rod</v>
      </c>
      <c r="E1027" s="148">
        <f>IFERROR(__xludf.DUMMYFUNCTION("""COMPUTED_VALUE"""),0.0)</f>
        <v>0</v>
      </c>
      <c r="F1027" s="148">
        <f>IFERROR(__xludf.DUMMYFUNCTION("""COMPUTED_VALUE"""),0.0)</f>
        <v>0</v>
      </c>
      <c r="G1027" s="148">
        <f>IFERROR(__xludf.DUMMYFUNCTION("""COMPUTED_VALUE"""),1.51104016E8)</f>
        <v>151104016</v>
      </c>
      <c r="H1027" s="148">
        <f>IFERROR(__xludf.DUMMYFUNCTION("""COMPUTED_VALUE"""),1.5115983E7)</f>
        <v>15115983</v>
      </c>
      <c r="I1027" s="148" t="str">
        <f>IFERROR(__xludf.DUMMYFUNCTION("""COMPUTED_VALUE"""),"{}")</f>
        <v>{}</v>
      </c>
      <c r="J1027" s="148" t="str">
        <f>IFERROR(__xludf.DUMMYFUNCTION("""COMPUTED_VALUE"""),"{""typ"":""lc"",""txt"":""LC_ITEM_actv_fishing_rod_name_5""}")</f>
        <v>{"typ":"lc","txt":"LC_ITEM_actv_fishing_rod_name_5"}</v>
      </c>
      <c r="K1027" s="148" t="str">
        <f>IFERROR(__xludf.DUMMYFUNCTION("""COMPUTED_VALUE"""),"{}")</f>
        <v>{}</v>
      </c>
      <c r="L1027" s="148" t="str">
        <f>IFERROR(__xludf.DUMMYFUNCTION("""COMPUTED_VALUE"""),"{}")</f>
        <v>{}</v>
      </c>
      <c r="M1027" s="148">
        <f>IFERROR(__xludf.DUMMYFUNCTION("""COMPUTED_VALUE"""),100.0)</f>
        <v>100</v>
      </c>
      <c r="N1027" s="148">
        <f>IFERROR(__xludf.DUMMYFUNCTION("""COMPUTED_VALUE"""),9.99999999E8)</f>
        <v>999999999</v>
      </c>
      <c r="O1027" s="148">
        <f>IFERROR(__xludf.DUMMYFUNCTION("""COMPUTED_VALUE"""),9.99999999E8)</f>
        <v>999999999</v>
      </c>
      <c r="P1027" s="148">
        <f>IFERROR(__xludf.DUMMYFUNCTION("""COMPUTED_VALUE"""),9.99999999E8)</f>
        <v>999999999</v>
      </c>
      <c r="Q1027" s="148" t="str">
        <f>IFERROR(__xludf.DUMMYFUNCTION("""COMPUTED_VALUE"""),"[]")</f>
        <v>[]</v>
      </c>
      <c r="R1027" s="148" t="str">
        <f>IFERROR(__xludf.DUMMYFUNCTION("""COMPUTED_VALUE"""),"[]")</f>
        <v>[]</v>
      </c>
      <c r="S1027" s="148" t="str">
        <f>IFERROR(__xludf.DUMMYFUNCTION("""COMPUTED_VALUE"""),"{""effect"":[{""typ"":""buff"",""id"":121117212,""arg1"":5000},{""typ"":""buff"",""id"":121117213,""arg1"":8000},{""typ"":""buff"",""id"":121117214,""arg1"":20},{""typ"":""buff"",""id"":121117215,""arg1"":-2500},{""typ"":""buff"",""id"":121117216,""arg1"""&amp;":1400},{""typ"":""buff"",""id"":121117217,""arg1"":2000},{""typ"":""buff"",""id"":121117218,""arg1"":8000}]}")</f>
        <v>{"effect":[{"typ":"buff","id":121117212,"arg1":5000},{"typ":"buff","id":121117213,"arg1":8000},{"typ":"buff","id":121117214,"arg1":20},{"typ":"buff","id":121117215,"arg1":-2500},{"typ":"buff","id":121117216,"arg1":1400},{"typ":"buff","id":121117217,"arg1":2000},{"typ":"buff","id":121117218,"arg1":8000}]}</v>
      </c>
      <c r="T1027" s="148">
        <f>IFERROR(__xludf.DUMMYFUNCTION("""COMPUTED_VALUE"""),-1.0)</f>
        <v>-1</v>
      </c>
      <c r="U1027" s="148">
        <f>IFERROR(__xludf.DUMMYFUNCTION("""COMPUTED_VALUE"""),1.0)</f>
        <v>1</v>
      </c>
      <c r="V1027" s="148" t="str">
        <f>IFERROR(__xludf.DUMMYFUNCTION("""COMPUTED_VALUE"""),"[]")</f>
        <v>[]</v>
      </c>
      <c r="W1027" s="148">
        <f>IFERROR(__xludf.DUMMYFUNCTION("""COMPUTED_VALUE"""),1.174E7)</f>
        <v>11740000</v>
      </c>
      <c r="X1027" s="148">
        <f>IFERROR(__xludf.DUMMYFUNCTION("""COMPUTED_VALUE"""),0.0)</f>
        <v>0</v>
      </c>
      <c r="Y1027" s="148">
        <f>IFERROR(__xludf.DUMMYFUNCTION("""COMPUTED_VALUE"""),0.0)</f>
        <v>0</v>
      </c>
      <c r="Z1027" s="148"/>
    </row>
    <row r="1028">
      <c r="A1028" s="148">
        <f>IFERROR(__xludf.DUMMYFUNCTION("""COMPUTED_VALUE"""),1.111284E7)</f>
        <v>11112840</v>
      </c>
      <c r="B1028" s="148" t="str">
        <f>IFERROR(__xludf.DUMMYFUNCTION("""COMPUTED_VALUE"""),"钓鱼活动-鱼币")</f>
        <v>钓鱼活动-鱼币</v>
      </c>
      <c r="C1028" s="148"/>
      <c r="D1028" s="148" t="str">
        <f>IFERROR(__xludf.DUMMYFUNCTION("""COMPUTED_VALUE"""),"event")</f>
        <v>event</v>
      </c>
      <c r="E1028" s="148">
        <f>IFERROR(__xludf.DUMMYFUNCTION("""COMPUTED_VALUE"""),0.0)</f>
        <v>0</v>
      </c>
      <c r="F1028" s="148">
        <f>IFERROR(__xludf.DUMMYFUNCTION("""COMPUTED_VALUE"""),405243.0)</f>
        <v>405243</v>
      </c>
      <c r="G1028" s="148">
        <f>IFERROR(__xludf.DUMMYFUNCTION("""COMPUTED_VALUE"""),1.51104017E8)</f>
        <v>151104017</v>
      </c>
      <c r="H1028" s="148">
        <f>IFERROR(__xludf.DUMMYFUNCTION("""COMPUTED_VALUE"""),1.5112564E7)</f>
        <v>15112564</v>
      </c>
      <c r="I1028" s="148" t="str">
        <f>IFERROR(__xludf.DUMMYFUNCTION("""COMPUTED_VALUE"""),"{}")</f>
        <v>{}</v>
      </c>
      <c r="J1028" s="148" t="str">
        <f>IFERROR(__xludf.DUMMYFUNCTION("""COMPUTED_VALUE"""),"{""typ"":""lc"",""txt"":""LC_ITEM_actv_fishing_token_name""}")</f>
        <v>{"typ":"lc","txt":"LC_ITEM_actv_fishing_token_name"}</v>
      </c>
      <c r="K1028" s="148" t="str">
        <f>IFERROR(__xludf.DUMMYFUNCTION("""COMPUTED_VALUE"""),"{""typ"":""lc"",""txt"":""LC_ITEM_actv_fishing_token_desc""}")</f>
        <v>{"typ":"lc","txt":"LC_ITEM_actv_fishing_token_desc"}</v>
      </c>
      <c r="L1028" s="148" t="str">
        <f>IFERROR(__xludf.DUMMYFUNCTION("""COMPUTED_VALUE"""),"{}")</f>
        <v>{}</v>
      </c>
      <c r="M1028" s="148">
        <f>IFERROR(__xludf.DUMMYFUNCTION("""COMPUTED_VALUE"""),100.0)</f>
        <v>100</v>
      </c>
      <c r="N1028" s="148">
        <f>IFERROR(__xludf.DUMMYFUNCTION("""COMPUTED_VALUE"""),9.99999999E8)</f>
        <v>999999999</v>
      </c>
      <c r="O1028" s="148">
        <f>IFERROR(__xludf.DUMMYFUNCTION("""COMPUTED_VALUE"""),9.99999999E8)</f>
        <v>999999999</v>
      </c>
      <c r="P1028" s="148">
        <f>IFERROR(__xludf.DUMMYFUNCTION("""COMPUTED_VALUE"""),9.99999999E8)</f>
        <v>999999999</v>
      </c>
      <c r="Q1028" s="148" t="str">
        <f>IFERROR(__xludf.DUMMYFUNCTION("""COMPUTED_VALUE"""),"[""bag_other""]")</f>
        <v>["bag_other"]</v>
      </c>
      <c r="R1028" s="148" t="str">
        <f>IFERROR(__xludf.DUMMYFUNCTION("""COMPUTED_VALUE"""),"[""bag""]")</f>
        <v>["bag"]</v>
      </c>
      <c r="S1028" s="148" t="str">
        <f>IFERROR(__xludf.DUMMYFUNCTION("""COMPUTED_VALUE"""),"{}")</f>
        <v>{}</v>
      </c>
      <c r="T1028" s="148">
        <f>IFERROR(__xludf.DUMMYFUNCTION("""COMPUTED_VALUE"""),1.0)</f>
        <v>1</v>
      </c>
      <c r="U1028" s="148">
        <f>IFERROR(__xludf.DUMMYFUNCTION("""COMPUTED_VALUE"""),0.0)</f>
        <v>0</v>
      </c>
      <c r="V1028" s="148" t="str">
        <f>IFERROR(__xludf.DUMMYFUNCTION("""COMPUTED_VALUE"""),"[]")</f>
        <v>[]</v>
      </c>
      <c r="W1028" s="148">
        <f>IFERROR(__xludf.DUMMYFUNCTION("""COMPUTED_VALUE"""),1.174E7)</f>
        <v>11740000</v>
      </c>
      <c r="X1028" s="148">
        <f>IFERROR(__xludf.DUMMYFUNCTION("""COMPUTED_VALUE"""),0.0)</f>
        <v>0</v>
      </c>
      <c r="Y1028" s="148">
        <f>IFERROR(__xludf.DUMMYFUNCTION("""COMPUTED_VALUE"""),0.0)</f>
        <v>0</v>
      </c>
      <c r="Z1028" s="148"/>
    </row>
    <row r="1029">
      <c r="A1029" s="148">
        <f>IFERROR(__xludf.DUMMYFUNCTION("""COMPUTED_VALUE"""),1.1112841E7)</f>
        <v>11112841</v>
      </c>
      <c r="B1029" s="148" t="str">
        <f>IFERROR(__xludf.DUMMYFUNCTION("""COMPUTED_VALUE"""),"钓鱼活动-6级鱼竿")</f>
        <v>钓鱼活动-6级鱼竿</v>
      </c>
      <c r="C1029" s="148"/>
      <c r="D1029" s="148" t="str">
        <f>IFERROR(__xludf.DUMMYFUNCTION("""COMPUTED_VALUE"""),"actv_fishing_rod")</f>
        <v>actv_fishing_rod</v>
      </c>
      <c r="E1029" s="148">
        <f>IFERROR(__xludf.DUMMYFUNCTION("""COMPUTED_VALUE"""),0.0)</f>
        <v>0</v>
      </c>
      <c r="F1029" s="148">
        <f>IFERROR(__xludf.DUMMYFUNCTION("""COMPUTED_VALUE"""),0.0)</f>
        <v>0</v>
      </c>
      <c r="G1029" s="148">
        <f>IFERROR(__xludf.DUMMYFUNCTION("""COMPUTED_VALUE"""),1.51104058E8)</f>
        <v>151104058</v>
      </c>
      <c r="H1029" s="148">
        <f>IFERROR(__xludf.DUMMYFUNCTION("""COMPUTED_VALUE"""),1.5115983E7)</f>
        <v>15115983</v>
      </c>
      <c r="I1029" s="148" t="str">
        <f>IFERROR(__xludf.DUMMYFUNCTION("""COMPUTED_VALUE"""),"{}")</f>
        <v>{}</v>
      </c>
      <c r="J1029" s="148" t="str">
        <f>IFERROR(__xludf.DUMMYFUNCTION("""COMPUTED_VALUE"""),"{""typ"":""lc"",""txt"":""LC_ITEM_actv_fishing_rod_name_6""}")</f>
        <v>{"typ":"lc","txt":"LC_ITEM_actv_fishing_rod_name_6"}</v>
      </c>
      <c r="K1029" s="148" t="str">
        <f>IFERROR(__xludf.DUMMYFUNCTION("""COMPUTED_VALUE"""),"{}")</f>
        <v>{}</v>
      </c>
      <c r="L1029" s="148" t="str">
        <f>IFERROR(__xludf.DUMMYFUNCTION("""COMPUTED_VALUE"""),"{}")</f>
        <v>{}</v>
      </c>
      <c r="M1029" s="148">
        <f>IFERROR(__xludf.DUMMYFUNCTION("""COMPUTED_VALUE"""),100.0)</f>
        <v>100</v>
      </c>
      <c r="N1029" s="148">
        <f>IFERROR(__xludf.DUMMYFUNCTION("""COMPUTED_VALUE"""),9.99999999E8)</f>
        <v>999999999</v>
      </c>
      <c r="O1029" s="148">
        <f>IFERROR(__xludf.DUMMYFUNCTION("""COMPUTED_VALUE"""),9.99999999E8)</f>
        <v>999999999</v>
      </c>
      <c r="P1029" s="148">
        <f>IFERROR(__xludf.DUMMYFUNCTION("""COMPUTED_VALUE"""),9.99999999E8)</f>
        <v>999999999</v>
      </c>
      <c r="Q1029" s="148" t="str">
        <f>IFERROR(__xludf.DUMMYFUNCTION("""COMPUTED_VALUE"""),"[]")</f>
        <v>[]</v>
      </c>
      <c r="R1029" s="148" t="str">
        <f>IFERROR(__xludf.DUMMYFUNCTION("""COMPUTED_VALUE"""),"[]")</f>
        <v>[]</v>
      </c>
      <c r="S1029" s="148" t="str">
        <f>IFERROR(__xludf.DUMMYFUNCTION("""COMPUTED_VALUE"""),"{""effect"":[{""typ"":""buff"",""id"":121117212,""arg1"":6000},{""typ"":""buff"",""id"":121117213,""arg1"":10000},{""typ"":""buff"",""id"":121117214,""arg1"":50},{""typ"":""buff"",""id"":121117215,""arg1"":-3300},{""typ"":""buff"",""id"":121117216,""arg1"&amp;""":1300},{""typ"":""buff"",""id"":121117217,""arg1"":1700},{""typ"":""buff"",""id"":121117218,""arg1"":10000}]}")</f>
        <v>{"effect":[{"typ":"buff","id":121117212,"arg1":6000},{"typ":"buff","id":121117213,"arg1":10000},{"typ":"buff","id":121117214,"arg1":50},{"typ":"buff","id":121117215,"arg1":-3300},{"typ":"buff","id":121117216,"arg1":1300},{"typ":"buff","id":121117217,"arg1":1700},{"typ":"buff","id":121117218,"arg1":10000}]}</v>
      </c>
      <c r="T1029" s="148">
        <f>IFERROR(__xludf.DUMMYFUNCTION("""COMPUTED_VALUE"""),-1.0)</f>
        <v>-1</v>
      </c>
      <c r="U1029" s="148">
        <f>IFERROR(__xludf.DUMMYFUNCTION("""COMPUTED_VALUE"""),1.0)</f>
        <v>1</v>
      </c>
      <c r="V1029" s="148" t="str">
        <f>IFERROR(__xludf.DUMMYFUNCTION("""COMPUTED_VALUE"""),"[]")</f>
        <v>[]</v>
      </c>
      <c r="W1029" s="148">
        <f>IFERROR(__xludf.DUMMYFUNCTION("""COMPUTED_VALUE"""),1.174E7)</f>
        <v>11740000</v>
      </c>
      <c r="X1029" s="148">
        <f>IFERROR(__xludf.DUMMYFUNCTION("""COMPUTED_VALUE"""),0.0)</f>
        <v>0</v>
      </c>
      <c r="Y1029" s="148">
        <f>IFERROR(__xludf.DUMMYFUNCTION("""COMPUTED_VALUE"""),0.0)</f>
        <v>0</v>
      </c>
      <c r="Z1029" s="148"/>
    </row>
    <row r="1030">
      <c r="A1030" s="148">
        <f>IFERROR(__xludf.DUMMYFUNCTION("""COMPUTED_VALUE"""),1.1112842E7)</f>
        <v>11112842</v>
      </c>
      <c r="B1030" s="148" t="str">
        <f>IFERROR(__xludf.DUMMYFUNCTION("""COMPUTED_VALUE"""),"主城皮肤-钓鱼活动")</f>
        <v>主城皮肤-钓鱼活动</v>
      </c>
      <c r="C1030" s="148"/>
      <c r="D1030" s="148" t="str">
        <f>IFERROR(__xludf.DUMMYFUNCTION("""COMPUTED_VALUE"""),"city_skin")</f>
        <v>city_skin</v>
      </c>
      <c r="E1030" s="148">
        <f>IFERROR(__xludf.DUMMYFUNCTION("""COMPUTED_VALUE"""),21.0)</f>
        <v>21</v>
      </c>
      <c r="F1030" s="148">
        <f>IFERROR(__xludf.DUMMYFUNCTION("""COMPUTED_VALUE"""),404201.0)</f>
        <v>404201</v>
      </c>
      <c r="G1030" s="148">
        <f>IFERROR(__xludf.DUMMYFUNCTION("""COMPUTED_VALUE"""),1.51104044E8)</f>
        <v>151104044</v>
      </c>
      <c r="H1030" s="148">
        <f>IFERROR(__xludf.DUMMYFUNCTION("""COMPUTED_VALUE"""),1.5112564E7)</f>
        <v>15112564</v>
      </c>
      <c r="I1030" s="148" t="str">
        <f>IFERROR(__xludf.DUMMYFUNCTION("""COMPUTED_VALUE"""),"{}")</f>
        <v>{}</v>
      </c>
      <c r="J1030" s="148" t="str">
        <f>IFERROR(__xludf.DUMMYFUNCTION("""COMPUTED_VALUE"""),"{""typ"":""lc"",""txt"":""LC_ITEM_fishing_city_skin_name_1""}")</f>
        <v>{"typ":"lc","txt":"LC_ITEM_fishing_city_skin_name_1"}</v>
      </c>
      <c r="K1030" s="148" t="str">
        <f>IFERROR(__xludf.DUMMYFUNCTION("""COMPUTED_VALUE"""),"{""typ"":""lc"",""txt"":""LC_ITEM_fishing_city_skin_desc_1""}")</f>
        <v>{"typ":"lc","txt":"LC_ITEM_fishing_city_skin_desc_1"}</v>
      </c>
      <c r="L1030" s="148" t="str">
        <f>IFERROR(__xludf.DUMMYFUNCTION("""COMPUTED_VALUE"""),"{""typ"":""lc"",""txt"":""LC_ITEM_city_skin_rocket_use_tips""}")</f>
        <v>{"typ":"lc","txt":"LC_ITEM_city_skin_rocket_use_tips"}</v>
      </c>
      <c r="M1030" s="148">
        <f>IFERROR(__xludf.DUMMYFUNCTION("""COMPUTED_VALUE"""),10000.0)</f>
        <v>10000</v>
      </c>
      <c r="N1030" s="148">
        <f>IFERROR(__xludf.DUMMYFUNCTION("""COMPUTED_VALUE"""),999.0)</f>
        <v>999</v>
      </c>
      <c r="O1030" s="148">
        <f>IFERROR(__xludf.DUMMYFUNCTION("""COMPUTED_VALUE"""),1.0)</f>
        <v>1</v>
      </c>
      <c r="P1030" s="148">
        <f>IFERROR(__xludf.DUMMYFUNCTION("""COMPUTED_VALUE"""),1.0)</f>
        <v>1</v>
      </c>
      <c r="Q1030" s="148" t="str">
        <f>IFERROR(__xludf.DUMMYFUNCTION("""COMPUTED_VALUE"""),"[""bag_other""]")</f>
        <v>["bag_other"]</v>
      </c>
      <c r="R1030" s="148" t="str">
        <f>IFERROR(__xludf.DUMMYFUNCTION("""COMPUTED_VALUE"""),"[""bag"",""13121098""]")</f>
        <v>["bag","13121098"]</v>
      </c>
      <c r="S1030" s="148" t="str">
        <f>IFERROR(__xludf.DUMMYFUNCTION("""COMPUTED_VALUE"""),"{""effect"":[{""typ"":""city_skin"",""id"":13121098,""val"":-1},{""typ"":""item"",""id"":11112030,""val"":4000}]}")</f>
        <v>{"effect":[{"typ":"city_skin","id":13121098,"val":-1},{"typ":"item","id":11112030,"val":4000}]}</v>
      </c>
      <c r="T1030" s="148">
        <f>IFERROR(__xludf.DUMMYFUNCTION("""COMPUTED_VALUE"""),-1.0)</f>
        <v>-1</v>
      </c>
      <c r="U1030" s="148">
        <f>IFERROR(__xludf.DUMMYFUNCTION("""COMPUTED_VALUE"""),0.0)</f>
        <v>0</v>
      </c>
      <c r="V1030" s="148" t="str">
        <f>IFERROR(__xludf.DUMMYFUNCTION("""COMPUTED_VALUE"""),"[]")</f>
        <v>[]</v>
      </c>
      <c r="W1030" s="148">
        <f>IFERROR(__xludf.DUMMYFUNCTION("""COMPUTED_VALUE"""),1.174E7)</f>
        <v>11740000</v>
      </c>
      <c r="X1030" s="148">
        <f>IFERROR(__xludf.DUMMYFUNCTION("""COMPUTED_VALUE"""),0.0)</f>
        <v>0</v>
      </c>
      <c r="Y1030" s="148">
        <f>IFERROR(__xludf.DUMMYFUNCTION("""COMPUTED_VALUE"""),0.0)</f>
        <v>0</v>
      </c>
      <c r="Z1030" s="148"/>
    </row>
    <row r="1031">
      <c r="A1031" s="148">
        <f>IFERROR(__xludf.DUMMYFUNCTION("""COMPUTED_VALUE"""),1.1112843E7)</f>
        <v>11112843</v>
      </c>
      <c r="B1031" s="148" t="str">
        <f>IFERROR(__xludf.DUMMYFUNCTION("""COMPUTED_VALUE"""),"主城皮肤-钓鱼活动-染色")</f>
        <v>主城皮肤-钓鱼活动-染色</v>
      </c>
      <c r="C1031" s="148"/>
      <c r="D1031" s="148" t="str">
        <f>IFERROR(__xludf.DUMMYFUNCTION("""COMPUTED_VALUE"""),"city_skin")</f>
        <v>city_skin</v>
      </c>
      <c r="E1031" s="148">
        <f>IFERROR(__xludf.DUMMYFUNCTION("""COMPUTED_VALUE"""),21.0)</f>
        <v>21</v>
      </c>
      <c r="F1031" s="148">
        <f>IFERROR(__xludf.DUMMYFUNCTION("""COMPUTED_VALUE"""),404201.0)</f>
        <v>404201</v>
      </c>
      <c r="G1031" s="148">
        <f>IFERROR(__xludf.DUMMYFUNCTION("""COMPUTED_VALUE"""),1.51104046E8)</f>
        <v>151104046</v>
      </c>
      <c r="H1031" s="148">
        <f>IFERROR(__xludf.DUMMYFUNCTION("""COMPUTED_VALUE"""),1.5115983E7)</f>
        <v>15115983</v>
      </c>
      <c r="I1031" s="148" t="str">
        <f>IFERROR(__xludf.DUMMYFUNCTION("""COMPUTED_VALUE"""),"{}")</f>
        <v>{}</v>
      </c>
      <c r="J1031" s="148" t="str">
        <f>IFERROR(__xludf.DUMMYFUNCTION("""COMPUTED_VALUE"""),"{""typ"":""lc"",""txt"":""LC_ITEM_fishing_city_skin_name_2""}")</f>
        <v>{"typ":"lc","txt":"LC_ITEM_fishing_city_skin_name_2"}</v>
      </c>
      <c r="K1031" s="148" t="str">
        <f>IFERROR(__xludf.DUMMYFUNCTION("""COMPUTED_VALUE"""),"{""typ"":""lc"",""txt"":""LC_ITEM_fishing_city_skin_desc_2""}")</f>
        <v>{"typ":"lc","txt":"LC_ITEM_fishing_city_skin_desc_2"}</v>
      </c>
      <c r="L1031" s="148" t="str">
        <f>IFERROR(__xludf.DUMMYFUNCTION("""COMPUTED_VALUE"""),"{""typ"":""lc"",""txt"":""LC_ITEM_city_skin_rocket_use_tips""}")</f>
        <v>{"typ":"lc","txt":"LC_ITEM_city_skin_rocket_use_tips"}</v>
      </c>
      <c r="M1031" s="148">
        <f>IFERROR(__xludf.DUMMYFUNCTION("""COMPUTED_VALUE"""),10000.0)</f>
        <v>10000</v>
      </c>
      <c r="N1031" s="148">
        <f>IFERROR(__xludf.DUMMYFUNCTION("""COMPUTED_VALUE"""),999.0)</f>
        <v>999</v>
      </c>
      <c r="O1031" s="148">
        <f>IFERROR(__xludf.DUMMYFUNCTION("""COMPUTED_VALUE"""),1.0)</f>
        <v>1</v>
      </c>
      <c r="P1031" s="148">
        <f>IFERROR(__xludf.DUMMYFUNCTION("""COMPUTED_VALUE"""),1.0)</f>
        <v>1</v>
      </c>
      <c r="Q1031" s="148" t="str">
        <f>IFERROR(__xludf.DUMMYFUNCTION("""COMPUTED_VALUE"""),"[""bag_other""]")</f>
        <v>["bag_other"]</v>
      </c>
      <c r="R1031" s="148" t="str">
        <f>IFERROR(__xludf.DUMMYFUNCTION("""COMPUTED_VALUE"""),"[""bag"",""13121099""]")</f>
        <v>["bag","13121099"]</v>
      </c>
      <c r="S1031" s="148" t="str">
        <f>IFERROR(__xludf.DUMMYFUNCTION("""COMPUTED_VALUE"""),"{""effect"":[{""typ"":""city_skin"",""id"":13121099,""val"":-1},{""typ"":""item"",""id"":11112030,""val"":4000}]}")</f>
        <v>{"effect":[{"typ":"city_skin","id":13121099,"val":-1},{"typ":"item","id":11112030,"val":4000}]}</v>
      </c>
      <c r="T1031" s="148">
        <f>IFERROR(__xludf.DUMMYFUNCTION("""COMPUTED_VALUE"""),-1.0)</f>
        <v>-1</v>
      </c>
      <c r="U1031" s="148">
        <f>IFERROR(__xludf.DUMMYFUNCTION("""COMPUTED_VALUE"""),0.0)</f>
        <v>0</v>
      </c>
      <c r="V1031" s="148" t="str">
        <f>IFERROR(__xludf.DUMMYFUNCTION("""COMPUTED_VALUE"""),"[]")</f>
        <v>[]</v>
      </c>
      <c r="W1031" s="148">
        <f>IFERROR(__xludf.DUMMYFUNCTION("""COMPUTED_VALUE"""),1.174E7)</f>
        <v>11740000</v>
      </c>
      <c r="X1031" s="148">
        <f>IFERROR(__xludf.DUMMYFUNCTION("""COMPUTED_VALUE"""),0.0)</f>
        <v>0</v>
      </c>
      <c r="Y1031" s="148">
        <f>IFERROR(__xludf.DUMMYFUNCTION("""COMPUTED_VALUE"""),0.0)</f>
        <v>0</v>
      </c>
      <c r="Z1031" s="148"/>
    </row>
    <row r="1032">
      <c r="A1032" s="148">
        <f>IFERROR(__xludf.DUMMYFUNCTION("""COMPUTED_VALUE"""),1.1112844E7)</f>
        <v>11112844</v>
      </c>
      <c r="B1032" s="148" t="str">
        <f>IFERROR(__xludf.DUMMYFUNCTION("""COMPUTED_VALUE"""),"主城皮肤-钓鱼活动-90天")</f>
        <v>主城皮肤-钓鱼活动-90天</v>
      </c>
      <c r="C1032" s="148"/>
      <c r="D1032" s="148" t="str">
        <f>IFERROR(__xludf.DUMMYFUNCTION("""COMPUTED_VALUE"""),"city_skin")</f>
        <v>city_skin</v>
      </c>
      <c r="E1032" s="148">
        <f>IFERROR(__xludf.DUMMYFUNCTION("""COMPUTED_VALUE"""),21.0)</f>
        <v>21</v>
      </c>
      <c r="F1032" s="148">
        <f>IFERROR(__xludf.DUMMYFUNCTION("""COMPUTED_VALUE"""),404201.0)</f>
        <v>404201</v>
      </c>
      <c r="G1032" s="148">
        <f>IFERROR(__xludf.DUMMYFUNCTION("""COMPUTED_VALUE"""),1.51104046E8)</f>
        <v>151104046</v>
      </c>
      <c r="H1032" s="148">
        <f>IFERROR(__xludf.DUMMYFUNCTION("""COMPUTED_VALUE"""),1.5115983E7)</f>
        <v>15115983</v>
      </c>
      <c r="I1032" s="148" t="str">
        <f>IFERROR(__xludf.DUMMYFUNCTION("""COMPUTED_VALUE"""),"{""typ"":""lc"",""txt"":""LC_ITEM_time_day_upper_show"",""args"":[{""typ"":""int"",""val"":90}]}")</f>
        <v>{"typ":"lc","txt":"LC_ITEM_time_day_upper_show","args":[{"typ":"int","val":90}]}</v>
      </c>
      <c r="J1032" s="148" t="str">
        <f>IFERROR(__xludf.DUMMYFUNCTION("""COMPUTED_VALUE"""),"{""typ"":""lc"",""txt"":""LC_ITEM_fishing_city_skin_name_2""}")</f>
        <v>{"typ":"lc","txt":"LC_ITEM_fishing_city_skin_name_2"}</v>
      </c>
      <c r="K1032" s="148" t="str">
        <f>IFERROR(__xludf.DUMMYFUNCTION("""COMPUTED_VALUE"""),"{""typ"":""lc"",""txt"":""LC_ITEM_fishing_city_skin_desc_2""}")</f>
        <v>{"typ":"lc","txt":"LC_ITEM_fishing_city_skin_desc_2"}</v>
      </c>
      <c r="L1032" s="148" t="str">
        <f>IFERROR(__xludf.DUMMYFUNCTION("""COMPUTED_VALUE"""),"{""typ"":""lc"",""txt"":""LC_ITEM_city_skin_rocket_use_tips""}")</f>
        <v>{"typ":"lc","txt":"LC_ITEM_city_skin_rocket_use_tips"}</v>
      </c>
      <c r="M1032" s="148">
        <f>IFERROR(__xludf.DUMMYFUNCTION("""COMPUTED_VALUE"""),10000.0)</f>
        <v>10000</v>
      </c>
      <c r="N1032" s="148">
        <f>IFERROR(__xludf.DUMMYFUNCTION("""COMPUTED_VALUE"""),999.0)</f>
        <v>999</v>
      </c>
      <c r="O1032" s="148">
        <f>IFERROR(__xludf.DUMMYFUNCTION("""COMPUTED_VALUE"""),1.0)</f>
        <v>1</v>
      </c>
      <c r="P1032" s="148">
        <f>IFERROR(__xludf.DUMMYFUNCTION("""COMPUTED_VALUE"""),1.0)</f>
        <v>1</v>
      </c>
      <c r="Q1032" s="148" t="str">
        <f>IFERROR(__xludf.DUMMYFUNCTION("""COMPUTED_VALUE"""),"[""bag_other""]")</f>
        <v>["bag_other"]</v>
      </c>
      <c r="R1032" s="148" t="str">
        <f>IFERROR(__xludf.DUMMYFUNCTION("""COMPUTED_VALUE"""),"[""bag"",""13121099""]")</f>
        <v>["bag","13121099"]</v>
      </c>
      <c r="S1032" s="148" t="str">
        <f>IFERROR(__xludf.DUMMYFUNCTION("""COMPUTED_VALUE"""),"{""effect"":[{""typ"":""city_skin"",""id"":13121099,""val"":7776000000},{""typ"":""item"",""id"":11112030,""val"":3000}]}")</f>
        <v>{"effect":[{"typ":"city_skin","id":13121099,"val":7776000000},{"typ":"item","id":11112030,"val":3000}]}</v>
      </c>
      <c r="T1032" s="148">
        <f>IFERROR(__xludf.DUMMYFUNCTION("""COMPUTED_VALUE"""),-1.0)</f>
        <v>-1</v>
      </c>
      <c r="U1032" s="148">
        <f>IFERROR(__xludf.DUMMYFUNCTION("""COMPUTED_VALUE"""),0.0)</f>
        <v>0</v>
      </c>
      <c r="V1032" s="148" t="str">
        <f>IFERROR(__xludf.DUMMYFUNCTION("""COMPUTED_VALUE"""),"[]")</f>
        <v>[]</v>
      </c>
      <c r="W1032" s="148">
        <f>IFERROR(__xludf.DUMMYFUNCTION("""COMPUTED_VALUE"""),1.174E7)</f>
        <v>11740000</v>
      </c>
      <c r="X1032" s="148">
        <f>IFERROR(__xludf.DUMMYFUNCTION("""COMPUTED_VALUE"""),0.0)</f>
        <v>0</v>
      </c>
      <c r="Y1032" s="148">
        <f>IFERROR(__xludf.DUMMYFUNCTION("""COMPUTED_VALUE"""),0.0)</f>
        <v>0</v>
      </c>
      <c r="Z1032" s="148"/>
    </row>
    <row r="1033">
      <c r="A1033" s="148">
        <f>IFERROR(__xludf.DUMMYFUNCTION("""COMPUTED_VALUE"""),1.1112845E7)</f>
        <v>11112845</v>
      </c>
      <c r="B1033" s="148" t="str">
        <f>IFERROR(__xludf.DUMMYFUNCTION("""COMPUTED_VALUE"""),"主城皮肤-钓鱼活动-30天")</f>
        <v>主城皮肤-钓鱼活动-30天</v>
      </c>
      <c r="C1033" s="148"/>
      <c r="D1033" s="148" t="str">
        <f>IFERROR(__xludf.DUMMYFUNCTION("""COMPUTED_VALUE"""),"city_skin")</f>
        <v>city_skin</v>
      </c>
      <c r="E1033" s="148">
        <f>IFERROR(__xludf.DUMMYFUNCTION("""COMPUTED_VALUE"""),21.0)</f>
        <v>21</v>
      </c>
      <c r="F1033" s="148">
        <f>IFERROR(__xludf.DUMMYFUNCTION("""COMPUTED_VALUE"""),404201.0)</f>
        <v>404201</v>
      </c>
      <c r="G1033" s="148">
        <f>IFERROR(__xludf.DUMMYFUNCTION("""COMPUTED_VALUE"""),1.51104046E8)</f>
        <v>151104046</v>
      </c>
      <c r="H1033" s="148">
        <f>IFERROR(__xludf.DUMMYFUNCTION("""COMPUTED_VALUE"""),1.5115983E7)</f>
        <v>15115983</v>
      </c>
      <c r="I1033" s="148" t="str">
        <f>IFERROR(__xludf.DUMMYFUNCTION("""COMPUTED_VALUE"""),"{""typ"":""lc"",""txt"":""LC_ITEM_time_day_upper_show"",""args"":[{""typ"":""int"",""val"":30}]}")</f>
        <v>{"typ":"lc","txt":"LC_ITEM_time_day_upper_show","args":[{"typ":"int","val":30}]}</v>
      </c>
      <c r="J1033" s="148" t="str">
        <f>IFERROR(__xludf.DUMMYFUNCTION("""COMPUTED_VALUE"""),"{""typ"":""lc"",""txt"":""LC_ITEM_fishing_city_skin_name_2""}")</f>
        <v>{"typ":"lc","txt":"LC_ITEM_fishing_city_skin_name_2"}</v>
      </c>
      <c r="K1033" s="148" t="str">
        <f>IFERROR(__xludf.DUMMYFUNCTION("""COMPUTED_VALUE"""),"{""typ"":""lc"",""txt"":""LC_ITEM_fishing_city_skin_desc_2""}")</f>
        <v>{"typ":"lc","txt":"LC_ITEM_fishing_city_skin_desc_2"}</v>
      </c>
      <c r="L1033" s="148" t="str">
        <f>IFERROR(__xludf.DUMMYFUNCTION("""COMPUTED_VALUE"""),"{""typ"":""lc"",""txt"":""LC_ITEM_city_skin_rocket_use_tips""}")</f>
        <v>{"typ":"lc","txt":"LC_ITEM_city_skin_rocket_use_tips"}</v>
      </c>
      <c r="M1033" s="148">
        <f>IFERROR(__xludf.DUMMYFUNCTION("""COMPUTED_VALUE"""),10000.0)</f>
        <v>10000</v>
      </c>
      <c r="N1033" s="148">
        <f>IFERROR(__xludf.DUMMYFUNCTION("""COMPUTED_VALUE"""),999.0)</f>
        <v>999</v>
      </c>
      <c r="O1033" s="148">
        <f>IFERROR(__xludf.DUMMYFUNCTION("""COMPUTED_VALUE"""),1.0)</f>
        <v>1</v>
      </c>
      <c r="P1033" s="148">
        <f>IFERROR(__xludf.DUMMYFUNCTION("""COMPUTED_VALUE"""),1.0)</f>
        <v>1</v>
      </c>
      <c r="Q1033" s="148" t="str">
        <f>IFERROR(__xludf.DUMMYFUNCTION("""COMPUTED_VALUE"""),"[""bag_other""]")</f>
        <v>["bag_other"]</v>
      </c>
      <c r="R1033" s="148" t="str">
        <f>IFERROR(__xludf.DUMMYFUNCTION("""COMPUTED_VALUE"""),"[""bag"",""13121099""]")</f>
        <v>["bag","13121099"]</v>
      </c>
      <c r="S1033" s="148" t="str">
        <f>IFERROR(__xludf.DUMMYFUNCTION("""COMPUTED_VALUE"""),"{""effect"":[{""typ"":""city_skin"",""id"":13121099,""val"":2592000000},{""typ"":""item"",""id"":11112030,""val"":1000}]}")</f>
        <v>{"effect":[{"typ":"city_skin","id":13121099,"val":2592000000},{"typ":"item","id":11112030,"val":1000}]}</v>
      </c>
      <c r="T1033" s="148">
        <f>IFERROR(__xludf.DUMMYFUNCTION("""COMPUTED_VALUE"""),-1.0)</f>
        <v>-1</v>
      </c>
      <c r="U1033" s="148">
        <f>IFERROR(__xludf.DUMMYFUNCTION("""COMPUTED_VALUE"""),0.0)</f>
        <v>0</v>
      </c>
      <c r="V1033" s="148" t="str">
        <f>IFERROR(__xludf.DUMMYFUNCTION("""COMPUTED_VALUE"""),"[]")</f>
        <v>[]</v>
      </c>
      <c r="W1033" s="148">
        <f>IFERROR(__xludf.DUMMYFUNCTION("""COMPUTED_VALUE"""),1.174E7)</f>
        <v>11740000</v>
      </c>
      <c r="X1033" s="148">
        <f>IFERROR(__xludf.DUMMYFUNCTION("""COMPUTED_VALUE"""),0.0)</f>
        <v>0</v>
      </c>
      <c r="Y1033" s="148">
        <f>IFERROR(__xludf.DUMMYFUNCTION("""COMPUTED_VALUE"""),0.0)</f>
        <v>0</v>
      </c>
      <c r="Z1033" s="148"/>
    </row>
    <row r="1034">
      <c r="A1034" s="148">
        <f>IFERROR(__xludf.DUMMYFUNCTION("""COMPUTED_VALUE"""),1.1112846E7)</f>
        <v>11112846</v>
      </c>
      <c r="B1034" s="148" t="str">
        <f>IFERROR(__xludf.DUMMYFUNCTION("""COMPUTED_VALUE"""),"主城皮肤-钓鱼活动-14天")</f>
        <v>主城皮肤-钓鱼活动-14天</v>
      </c>
      <c r="C1034" s="148"/>
      <c r="D1034" s="148" t="str">
        <f>IFERROR(__xludf.DUMMYFUNCTION("""COMPUTED_VALUE"""),"city_skin")</f>
        <v>city_skin</v>
      </c>
      <c r="E1034" s="148">
        <f>IFERROR(__xludf.DUMMYFUNCTION("""COMPUTED_VALUE"""),21.0)</f>
        <v>21</v>
      </c>
      <c r="F1034" s="148">
        <f>IFERROR(__xludf.DUMMYFUNCTION("""COMPUTED_VALUE"""),404201.0)</f>
        <v>404201</v>
      </c>
      <c r="G1034" s="148">
        <f>IFERROR(__xludf.DUMMYFUNCTION("""COMPUTED_VALUE"""),1.51104046E8)</f>
        <v>151104046</v>
      </c>
      <c r="H1034" s="148">
        <f>IFERROR(__xludf.DUMMYFUNCTION("""COMPUTED_VALUE"""),1.5115983E7)</f>
        <v>15115983</v>
      </c>
      <c r="I1034" s="148" t="str">
        <f>IFERROR(__xludf.DUMMYFUNCTION("""COMPUTED_VALUE"""),"{""typ"":""lc"",""txt"":""LC_ITEM_time_day_upper_show"",""args"":[{""typ"":""int"",""val"":14}]}")</f>
        <v>{"typ":"lc","txt":"LC_ITEM_time_day_upper_show","args":[{"typ":"int","val":14}]}</v>
      </c>
      <c r="J1034" s="148" t="str">
        <f>IFERROR(__xludf.DUMMYFUNCTION("""COMPUTED_VALUE"""),"{""typ"":""lc"",""txt"":""LC_ITEM_fishing_city_skin_name_2""}")</f>
        <v>{"typ":"lc","txt":"LC_ITEM_fishing_city_skin_name_2"}</v>
      </c>
      <c r="K1034" s="148" t="str">
        <f>IFERROR(__xludf.DUMMYFUNCTION("""COMPUTED_VALUE"""),"{""typ"":""lc"",""txt"":""LC_ITEM_fishing_city_skin_desc_2""}")</f>
        <v>{"typ":"lc","txt":"LC_ITEM_fishing_city_skin_desc_2"}</v>
      </c>
      <c r="L1034" s="148" t="str">
        <f>IFERROR(__xludf.DUMMYFUNCTION("""COMPUTED_VALUE"""),"{""typ"":""lc"",""txt"":""LC_ITEM_city_skin_rocket_use_tips""}")</f>
        <v>{"typ":"lc","txt":"LC_ITEM_city_skin_rocket_use_tips"}</v>
      </c>
      <c r="M1034" s="148">
        <f>IFERROR(__xludf.DUMMYFUNCTION("""COMPUTED_VALUE"""),10000.0)</f>
        <v>10000</v>
      </c>
      <c r="N1034" s="148">
        <f>IFERROR(__xludf.DUMMYFUNCTION("""COMPUTED_VALUE"""),999.0)</f>
        <v>999</v>
      </c>
      <c r="O1034" s="148">
        <f>IFERROR(__xludf.DUMMYFUNCTION("""COMPUTED_VALUE"""),1.0)</f>
        <v>1</v>
      </c>
      <c r="P1034" s="148">
        <f>IFERROR(__xludf.DUMMYFUNCTION("""COMPUTED_VALUE"""),1.0)</f>
        <v>1</v>
      </c>
      <c r="Q1034" s="148" t="str">
        <f>IFERROR(__xludf.DUMMYFUNCTION("""COMPUTED_VALUE"""),"[""bag_other""]")</f>
        <v>["bag_other"]</v>
      </c>
      <c r="R1034" s="148" t="str">
        <f>IFERROR(__xludf.DUMMYFUNCTION("""COMPUTED_VALUE"""),"[""bag"",""13121099""]")</f>
        <v>["bag","13121099"]</v>
      </c>
      <c r="S1034" s="148" t="str">
        <f>IFERROR(__xludf.DUMMYFUNCTION("""COMPUTED_VALUE"""),"{""effect"":[{""typ"":""city_skin"",""id"":13121099,""val"":1209600000},{""typ"":""item"",""id"":11112030,""val"":500}]}")</f>
        <v>{"effect":[{"typ":"city_skin","id":13121099,"val":1209600000},{"typ":"item","id":11112030,"val":500}]}</v>
      </c>
      <c r="T1034" s="148">
        <f>IFERROR(__xludf.DUMMYFUNCTION("""COMPUTED_VALUE"""),-1.0)</f>
        <v>-1</v>
      </c>
      <c r="U1034" s="148">
        <f>IFERROR(__xludf.DUMMYFUNCTION("""COMPUTED_VALUE"""),0.0)</f>
        <v>0</v>
      </c>
      <c r="V1034" s="148" t="str">
        <f>IFERROR(__xludf.DUMMYFUNCTION("""COMPUTED_VALUE"""),"[]")</f>
        <v>[]</v>
      </c>
      <c r="W1034" s="148">
        <f>IFERROR(__xludf.DUMMYFUNCTION("""COMPUTED_VALUE"""),1.174E7)</f>
        <v>11740000</v>
      </c>
      <c r="X1034" s="148">
        <f>IFERROR(__xludf.DUMMYFUNCTION("""COMPUTED_VALUE"""),0.0)</f>
        <v>0</v>
      </c>
      <c r="Y1034" s="148">
        <f>IFERROR(__xludf.DUMMYFUNCTION("""COMPUTED_VALUE"""),0.0)</f>
        <v>0</v>
      </c>
      <c r="Z1034" s="148"/>
    </row>
    <row r="1035">
      <c r="A1035" s="148">
        <f>IFERROR(__xludf.DUMMYFUNCTION("""COMPUTED_VALUE"""),1.1112847E7)</f>
        <v>11112847</v>
      </c>
      <c r="B1035" s="148" t="str">
        <f>IFERROR(__xludf.DUMMYFUNCTION("""COMPUTED_VALUE"""),"钓鱼活动-装饰升级版本（投放用）")</f>
        <v>钓鱼活动-装饰升级版本（投放用）</v>
      </c>
      <c r="C1035" s="148"/>
      <c r="D1035" s="148" t="str">
        <f>IFERROR(__xludf.DUMMYFUNCTION("""COMPUTED_VALUE"""),"statue_decorate")</f>
        <v>statue_decorate</v>
      </c>
      <c r="E1035" s="148">
        <f>IFERROR(__xludf.DUMMYFUNCTION("""COMPUTED_VALUE"""),23.0)</f>
        <v>23</v>
      </c>
      <c r="F1035" s="148">
        <f>IFERROR(__xludf.DUMMYFUNCTION("""COMPUTED_VALUE"""),0.0)</f>
        <v>0</v>
      </c>
      <c r="G1035" s="148">
        <f>IFERROR(__xludf.DUMMYFUNCTION("""COMPUTED_VALUE"""),1.51104049E8)</f>
        <v>151104049</v>
      </c>
      <c r="H1035" s="148">
        <f>IFERROR(__xludf.DUMMYFUNCTION("""COMPUTED_VALUE"""),1.5112564E7)</f>
        <v>15112564</v>
      </c>
      <c r="I1035" s="148" t="str">
        <f>IFERROR(__xludf.DUMMYFUNCTION("""COMPUTED_VALUE"""),"{}")</f>
        <v>{}</v>
      </c>
      <c r="J1035" s="148" t="str">
        <f>IFERROR(__xludf.DUMMYFUNCTION("""COMPUTED_VALUE"""),"{""typ"":""lc"",""txt"":""LC_ITEM_fishing_decoration_name""}")</f>
        <v>{"typ":"lc","txt":"LC_ITEM_fishing_decoration_name"}</v>
      </c>
      <c r="K1035" s="148" t="str">
        <f>IFERROR(__xludf.DUMMYFUNCTION("""COMPUTED_VALUE"""),"{""typ"":""lc"",""txt"":""LC_ITEM_fishing_decoration_desc""}")</f>
        <v>{"typ":"lc","txt":"LC_ITEM_fishing_decoration_desc"}</v>
      </c>
      <c r="L1035" s="148" t="str">
        <f>IFERROR(__xludf.DUMMYFUNCTION("""COMPUTED_VALUE"""),"{}")</f>
        <v>{}</v>
      </c>
      <c r="M1035" s="148">
        <f>IFERROR(__xludf.DUMMYFUNCTION("""COMPUTED_VALUE"""),5000.0)</f>
        <v>5000</v>
      </c>
      <c r="N1035" s="148">
        <f>IFERROR(__xludf.DUMMYFUNCTION("""COMPUTED_VALUE"""),999.0)</f>
        <v>999</v>
      </c>
      <c r="O1035" s="148">
        <f>IFERROR(__xludf.DUMMYFUNCTION("""COMPUTED_VALUE"""),99999.0)</f>
        <v>99999</v>
      </c>
      <c r="P1035" s="148">
        <f>IFERROR(__xludf.DUMMYFUNCTION("""COMPUTED_VALUE"""),99999.0)</f>
        <v>99999</v>
      </c>
      <c r="Q1035" s="148" t="str">
        <f>IFERROR(__xludf.DUMMYFUNCTION("""COMPUTED_VALUE"""),"[]")</f>
        <v>[]</v>
      </c>
      <c r="R1035" s="148" t="str">
        <f>IFERROR(__xludf.DUMMYFUNCTION("""COMPUTED_VALUE"""),"[""bag""]")</f>
        <v>["bag"]</v>
      </c>
      <c r="S1035" s="148" t="str">
        <f>IFERROR(__xludf.DUMMYFUNCTION("""COMPUTED_VALUE"""),"{""effect"":[{""typ"":""holiday_statue"",""id"":21484001}]}")</f>
        <v>{"effect":[{"typ":"holiday_statue","id":21484001}]}</v>
      </c>
      <c r="T1035" s="148">
        <f>IFERROR(__xludf.DUMMYFUNCTION("""COMPUTED_VALUE"""),-1.0)</f>
        <v>-1</v>
      </c>
      <c r="U1035" s="148">
        <f>IFERROR(__xludf.DUMMYFUNCTION("""COMPUTED_VALUE"""),1.0)</f>
        <v>1</v>
      </c>
      <c r="V1035" s="148" t="str">
        <f>IFERROR(__xludf.DUMMYFUNCTION("""COMPUTED_VALUE"""),"[]")</f>
        <v>[]</v>
      </c>
      <c r="W1035" s="148">
        <f>IFERROR(__xludf.DUMMYFUNCTION("""COMPUTED_VALUE"""),1.174E7)</f>
        <v>11740000</v>
      </c>
      <c r="X1035" s="148">
        <f>IFERROR(__xludf.DUMMYFUNCTION("""COMPUTED_VALUE"""),0.0)</f>
        <v>0</v>
      </c>
      <c r="Y1035" s="148">
        <f>IFERROR(__xludf.DUMMYFUNCTION("""COMPUTED_VALUE"""),0.0)</f>
        <v>0</v>
      </c>
      <c r="Z1035" s="148"/>
    </row>
    <row r="1036">
      <c r="A1036" s="148">
        <f>IFERROR(__xludf.DUMMYFUNCTION("""COMPUTED_VALUE"""),1.1112848E7)</f>
        <v>11112848</v>
      </c>
      <c r="B1036" s="148" t="str">
        <f>IFERROR(__xludf.DUMMYFUNCTION("""COMPUTED_VALUE"""),"钓鱼活动-装饰升级道具")</f>
        <v>钓鱼活动-装饰升级道具</v>
      </c>
      <c r="C1036" s="148"/>
      <c r="D1036" s="148" t="str">
        <f>IFERROR(__xludf.DUMMYFUNCTION("""COMPUTED_VALUE"""),"event")</f>
        <v>event</v>
      </c>
      <c r="E1036" s="148">
        <f>IFERROR(__xludf.DUMMYFUNCTION("""COMPUTED_VALUE"""),0.0)</f>
        <v>0</v>
      </c>
      <c r="F1036" s="148">
        <f>IFERROR(__xludf.DUMMYFUNCTION("""COMPUTED_VALUE"""),405243.0)</f>
        <v>405243</v>
      </c>
      <c r="G1036" s="148">
        <f>IFERROR(__xludf.DUMMYFUNCTION("""COMPUTED_VALUE"""),1.51104049E8)</f>
        <v>151104049</v>
      </c>
      <c r="H1036" s="148">
        <f>IFERROR(__xludf.DUMMYFUNCTION("""COMPUTED_VALUE"""),1.5112564E7)</f>
        <v>15112564</v>
      </c>
      <c r="I1036" s="148" t="str">
        <f>IFERROR(__xludf.DUMMYFUNCTION("""COMPUTED_VALUE"""),"{}")</f>
        <v>{}</v>
      </c>
      <c r="J1036" s="148" t="str">
        <f>IFERROR(__xludf.DUMMYFUNCTION("""COMPUTED_VALUE"""),"{""typ"":""lc"",""txt"":""LC_ITEM_fishing_decoration_name""}")</f>
        <v>{"typ":"lc","txt":"LC_ITEM_fishing_decoration_name"}</v>
      </c>
      <c r="K1036" s="148" t="str">
        <f>IFERROR(__xludf.DUMMYFUNCTION("""COMPUTED_VALUE"""),"{""typ"":""lc"",""txt"":""LC_ITEM_fishing_decoration_desc""}")</f>
        <v>{"typ":"lc","txt":"LC_ITEM_fishing_decoration_desc"}</v>
      </c>
      <c r="L1036" s="148" t="str">
        <f>IFERROR(__xludf.DUMMYFUNCTION("""COMPUTED_VALUE"""),"{}")</f>
        <v>{}</v>
      </c>
      <c r="M1036" s="148">
        <f>IFERROR(__xludf.DUMMYFUNCTION("""COMPUTED_VALUE"""),1000.0)</f>
        <v>1000</v>
      </c>
      <c r="N1036" s="148">
        <f>IFERROR(__xludf.DUMMYFUNCTION("""COMPUTED_VALUE"""),9.99999999E8)</f>
        <v>999999999</v>
      </c>
      <c r="O1036" s="148">
        <f>IFERROR(__xludf.DUMMYFUNCTION("""COMPUTED_VALUE"""),9.99999999E8)</f>
        <v>999999999</v>
      </c>
      <c r="P1036" s="148">
        <f>IFERROR(__xludf.DUMMYFUNCTION("""COMPUTED_VALUE"""),9.99999999E8)</f>
        <v>999999999</v>
      </c>
      <c r="Q1036" s="148" t="str">
        <f>IFERROR(__xludf.DUMMYFUNCTION("""COMPUTED_VALUE"""),"[""bag_other""]")</f>
        <v>["bag_other"]</v>
      </c>
      <c r="R1036" s="148" t="str">
        <f>IFERROR(__xludf.DUMMYFUNCTION("""COMPUTED_VALUE"""),"[]")</f>
        <v>[]</v>
      </c>
      <c r="S1036" s="148" t="str">
        <f>IFERROR(__xludf.DUMMYFUNCTION("""COMPUTED_VALUE"""),"{}")</f>
        <v>{}</v>
      </c>
      <c r="T1036" s="148">
        <f>IFERROR(__xludf.DUMMYFUNCTION("""COMPUTED_VALUE"""),-1.0)</f>
        <v>-1</v>
      </c>
      <c r="U1036" s="148">
        <f>IFERROR(__xludf.DUMMYFUNCTION("""COMPUTED_VALUE"""),0.0)</f>
        <v>0</v>
      </c>
      <c r="V1036" s="148" t="str">
        <f>IFERROR(__xludf.DUMMYFUNCTION("""COMPUTED_VALUE"""),"[]")</f>
        <v>[]</v>
      </c>
      <c r="W1036" s="148">
        <f>IFERROR(__xludf.DUMMYFUNCTION("""COMPUTED_VALUE"""),1.174E7)</f>
        <v>11740000</v>
      </c>
      <c r="X1036" s="148">
        <f>IFERROR(__xludf.DUMMYFUNCTION("""COMPUTED_VALUE"""),0.0)</f>
        <v>0</v>
      </c>
      <c r="Y1036" s="148">
        <f>IFERROR(__xludf.DUMMYFUNCTION("""COMPUTED_VALUE"""),0.0)</f>
        <v>0</v>
      </c>
      <c r="Z1036" s="148"/>
    </row>
    <row r="1037">
      <c r="A1037" s="148">
        <f>IFERROR(__xludf.DUMMYFUNCTION("""COMPUTED_VALUE"""),1.1112849E7)</f>
        <v>11112849</v>
      </c>
      <c r="B1037" s="148" t="str">
        <f>IFERROR(__xludf.DUMMYFUNCTION("""COMPUTED_VALUE"""),"涂饰-钓鱼活动-涂饰道具-一天")</f>
        <v>涂饰-钓鱼活动-涂饰道具-一天</v>
      </c>
      <c r="C1037" s="148"/>
      <c r="D1037" s="148" t="str">
        <f>IFERROR(__xludf.DUMMYFUNCTION("""COMPUTED_VALUE"""),"decorate_paint")</f>
        <v>decorate_paint</v>
      </c>
      <c r="E1037" s="148">
        <f>IFERROR(__xludf.DUMMYFUNCTION("""COMPUTED_VALUE"""),0.0)</f>
        <v>0</v>
      </c>
      <c r="F1037" s="148">
        <f>IFERROR(__xludf.DUMMYFUNCTION("""COMPUTED_VALUE"""),0.0)</f>
        <v>0</v>
      </c>
      <c r="G1037" s="148">
        <f>IFERROR(__xludf.DUMMYFUNCTION("""COMPUTED_VALUE"""),1.5110417E8)</f>
        <v>151104170</v>
      </c>
      <c r="H1037" s="148">
        <f>IFERROR(__xludf.DUMMYFUNCTION("""COMPUTED_VALUE"""),1.5112564E7)</f>
        <v>15112564</v>
      </c>
      <c r="I1037" s="148" t="str">
        <f>IFERROR(__xludf.DUMMYFUNCTION("""COMPUTED_VALUE"""),"{}")</f>
        <v>{}</v>
      </c>
      <c r="J1037" s="148" t="str">
        <f>IFERROR(__xludf.DUMMYFUNCTION("""COMPUTED_VALUE"""),"{""typ"":""lc"",""txt"":""LC_ITEM_fishing_paint_decoration_paint_name""}")</f>
        <v>{"typ":"lc","txt":"LC_ITEM_fishing_paint_decoration_paint_name"}</v>
      </c>
      <c r="K1037" s="148" t="str">
        <f>IFERROR(__xludf.DUMMYFUNCTION("""COMPUTED_VALUE"""),"{""typ"":""lc"",""txt"":""LC_ITEM_fishing_paint_decoration_paint_desc""}")</f>
        <v>{"typ":"lc","txt":"LC_ITEM_fishing_paint_decoration_paint_desc"}</v>
      </c>
      <c r="L1037" s="148" t="str">
        <f>IFERROR(__xludf.DUMMYFUNCTION("""COMPUTED_VALUE"""),"{""typ"":""lc"",""txt"":""LC_TIP_use_success""}")</f>
        <v>{"typ":"lc","txt":"LC_TIP_use_success"}</v>
      </c>
      <c r="M1037" s="148">
        <f>IFERROR(__xludf.DUMMYFUNCTION("""COMPUTED_VALUE"""),1000.0)</f>
        <v>1000</v>
      </c>
      <c r="N1037" s="148">
        <f>IFERROR(__xludf.DUMMYFUNCTION("""COMPUTED_VALUE"""),9.99999999E8)</f>
        <v>999999999</v>
      </c>
      <c r="O1037" s="148">
        <f>IFERROR(__xludf.DUMMYFUNCTION("""COMPUTED_VALUE"""),9.99999999E8)</f>
        <v>999999999</v>
      </c>
      <c r="P1037" s="148">
        <f>IFERROR(__xludf.DUMMYFUNCTION("""COMPUTED_VALUE"""),1.0)</f>
        <v>1</v>
      </c>
      <c r="Q1037" s="148" t="str">
        <f>IFERROR(__xludf.DUMMYFUNCTION("""COMPUTED_VALUE"""),"[""bag_other""]")</f>
        <v>["bag_other"]</v>
      </c>
      <c r="R1037" s="148" t="str">
        <f>IFERROR(__xludf.DUMMYFUNCTION("""COMPUTED_VALUE"""),"[""bag"",""214840""]")</f>
        <v>["bag","214840"]</v>
      </c>
      <c r="S1037" s="148" t="str">
        <f>IFERROR(__xludf.DUMMYFUNCTION("""COMPUTED_VALUE"""),"{""effect"":[{""typ"":""decorate_paint"",""id"":214840,""val"":86400000},{""typ"":""item"",""id"":11112849,""val"":1}]}")</f>
        <v>{"effect":[{"typ":"decorate_paint","id":214840,"val":86400000},{"typ":"item","id":11112849,"val":1}]}</v>
      </c>
      <c r="T1037" s="148">
        <f>IFERROR(__xludf.DUMMYFUNCTION("""COMPUTED_VALUE"""),-1.0)</f>
        <v>-1</v>
      </c>
      <c r="U1037" s="148">
        <f>IFERROR(__xludf.DUMMYFUNCTION("""COMPUTED_VALUE"""),0.0)</f>
        <v>0</v>
      </c>
      <c r="V1037" s="148" t="str">
        <f>IFERROR(__xludf.DUMMYFUNCTION("""COMPUTED_VALUE"""),"[]")</f>
        <v>[]</v>
      </c>
      <c r="W1037" s="148">
        <f>IFERROR(__xludf.DUMMYFUNCTION("""COMPUTED_VALUE"""),1.174E7)</f>
        <v>11740000</v>
      </c>
      <c r="X1037" s="148">
        <f>IFERROR(__xludf.DUMMYFUNCTION("""COMPUTED_VALUE"""),1.1684682E7)</f>
        <v>11684682</v>
      </c>
      <c r="Y1037" s="148">
        <f>IFERROR(__xludf.DUMMYFUNCTION("""COMPUTED_VALUE"""),0.0)</f>
        <v>0</v>
      </c>
      <c r="Z1037" s="148"/>
    </row>
    <row r="1038">
      <c r="A1038" s="148">
        <f>IFERROR(__xludf.DUMMYFUNCTION("""COMPUTED_VALUE"""),1.111285E7)</f>
        <v>11112850</v>
      </c>
      <c r="B1038" s="148" t="str">
        <f>IFERROR(__xludf.DUMMYFUNCTION("""COMPUTED_VALUE"""),"钓鱼活动头像框-静态-巨鲨之口")</f>
        <v>钓鱼活动头像框-静态-巨鲨之口</v>
      </c>
      <c r="C1038" s="148"/>
      <c r="D1038" s="148" t="str">
        <f>IFERROR(__xludf.DUMMYFUNCTION("""COMPUTED_VALUE"""),"avatar_frame")</f>
        <v>avatar_frame</v>
      </c>
      <c r="E1038" s="148">
        <f>IFERROR(__xludf.DUMMYFUNCTION("""COMPUTED_VALUE"""),20.0)</f>
        <v>20</v>
      </c>
      <c r="F1038" s="148">
        <f>IFERROR(__xludf.DUMMYFUNCTION("""COMPUTED_VALUE"""),0.0)</f>
        <v>0</v>
      </c>
      <c r="G1038" s="148">
        <f>IFERROR(__xludf.DUMMYFUNCTION("""COMPUTED_VALUE"""),1.51104178E8)</f>
        <v>151104178</v>
      </c>
      <c r="H1038" s="148">
        <f>IFERROR(__xludf.DUMMYFUNCTION("""COMPUTED_VALUE"""),1.5112564E7)</f>
        <v>15112564</v>
      </c>
      <c r="I1038" s="148" t="str">
        <f>IFERROR(__xludf.DUMMYFUNCTION("""COMPUTED_VALUE"""),"{}")</f>
        <v>{}</v>
      </c>
      <c r="J1038" s="148" t="str">
        <f>IFERROR(__xludf.DUMMYFUNCTION("""COMPUTED_VALUE"""),"{""typ"":""lc"",""txt"":""LC_ITEM_fishing_frame_name""}")</f>
        <v>{"typ":"lc","txt":"LC_ITEM_fishing_frame_name"}</v>
      </c>
      <c r="K1038" s="148" t="str">
        <f>IFERROR(__xludf.DUMMYFUNCTION("""COMPUTED_VALUE"""),"{""typ"":""lc"",""txt"":""LC_ITEM_fishing_frame_desc""}")</f>
        <v>{"typ":"lc","txt":"LC_ITEM_fishing_frame_desc"}</v>
      </c>
      <c r="L1038" s="148" t="str">
        <f>IFERROR(__xludf.DUMMYFUNCTION("""COMPUTED_VALUE"""),"{}")</f>
        <v>{}</v>
      </c>
      <c r="M1038" s="148">
        <f>IFERROR(__xludf.DUMMYFUNCTION("""COMPUTED_VALUE"""),1000.0)</f>
        <v>1000</v>
      </c>
      <c r="N1038" s="148">
        <f>IFERROR(__xludf.DUMMYFUNCTION("""COMPUTED_VALUE"""),1.0)</f>
        <v>1</v>
      </c>
      <c r="O1038" s="148">
        <f>IFERROR(__xludf.DUMMYFUNCTION("""COMPUTED_VALUE"""),1.0)</f>
        <v>1</v>
      </c>
      <c r="P1038" s="148">
        <f>IFERROR(__xludf.DUMMYFUNCTION("""COMPUTED_VALUE"""),1.0)</f>
        <v>1</v>
      </c>
      <c r="Q1038" s="148" t="str">
        <f>IFERROR(__xludf.DUMMYFUNCTION("""COMPUTED_VALUE"""),"[]")</f>
        <v>[]</v>
      </c>
      <c r="R1038" s="148" t="str">
        <f>IFERROR(__xludf.DUMMYFUNCTION("""COMPUTED_VALUE"""),"[""11421086""]")</f>
        <v>["11421086"]</v>
      </c>
      <c r="S1038" s="148" t="str">
        <f>IFERROR(__xludf.DUMMYFUNCTION("""COMPUTED_VALUE"""),"{""effect"":[{""typ"":""avatar_frame"",""id"":11421086,""val"":-1}]}")</f>
        <v>{"effect":[{"typ":"avatar_frame","id":11421086,"val":-1}]}</v>
      </c>
      <c r="T1038" s="148">
        <f>IFERROR(__xludf.DUMMYFUNCTION("""COMPUTED_VALUE"""),-1.0)</f>
        <v>-1</v>
      </c>
      <c r="U1038" s="148">
        <f>IFERROR(__xludf.DUMMYFUNCTION("""COMPUTED_VALUE"""),1.0)</f>
        <v>1</v>
      </c>
      <c r="V1038" s="148" t="str">
        <f>IFERROR(__xludf.DUMMYFUNCTION("""COMPUTED_VALUE"""),"[]")</f>
        <v>[]</v>
      </c>
      <c r="W1038" s="148">
        <f>IFERROR(__xludf.DUMMYFUNCTION("""COMPUTED_VALUE"""),1.174E7)</f>
        <v>11740000</v>
      </c>
      <c r="X1038" s="148">
        <f>IFERROR(__xludf.DUMMYFUNCTION("""COMPUTED_VALUE"""),0.0)</f>
        <v>0</v>
      </c>
      <c r="Y1038" s="148">
        <f>IFERROR(__xludf.DUMMYFUNCTION("""COMPUTED_VALUE"""),0.0)</f>
        <v>0</v>
      </c>
      <c r="Z1038" s="148"/>
    </row>
    <row r="1039">
      <c r="A1039" s="148">
        <f>IFERROR(__xludf.DUMMYFUNCTION("""COMPUTED_VALUE"""),1.1112851E7)</f>
        <v>11112851</v>
      </c>
      <c r="B1039" s="148" t="str">
        <f>IFERROR(__xludf.DUMMYFUNCTION("""COMPUTED_VALUE"""),"钓鱼活动铭牌-快乐垂钓")</f>
        <v>钓鱼活动铭牌-快乐垂钓</v>
      </c>
      <c r="C1039" s="148"/>
      <c r="D1039" s="148" t="str">
        <f>IFERROR(__xludf.DUMMYFUNCTION("""COMPUTED_VALUE"""),"chat_skin")</f>
        <v>chat_skin</v>
      </c>
      <c r="E1039" s="148">
        <f>IFERROR(__xludf.DUMMYFUNCTION("""COMPUTED_VALUE"""),30.0)</f>
        <v>30</v>
      </c>
      <c r="F1039" s="148">
        <f>IFERROR(__xludf.DUMMYFUNCTION("""COMPUTED_VALUE"""),401107.0)</f>
        <v>401107</v>
      </c>
      <c r="G1039" s="148">
        <f>IFERROR(__xludf.DUMMYFUNCTION("""COMPUTED_VALUE"""),1.51104176E8)</f>
        <v>151104176</v>
      </c>
      <c r="H1039" s="148">
        <f>IFERROR(__xludf.DUMMYFUNCTION("""COMPUTED_VALUE"""),1.5112564E7)</f>
        <v>15112564</v>
      </c>
      <c r="I1039" s="148" t="str">
        <f>IFERROR(__xludf.DUMMYFUNCTION("""COMPUTED_VALUE"""),"{}")</f>
        <v>{}</v>
      </c>
      <c r="J1039" s="148" t="str">
        <f>IFERROR(__xludf.DUMMYFUNCTION("""COMPUTED_VALUE"""),"{""typ"":""lc"",""txt"":""LC_ITEM_fishing_chat_skin_name""}")</f>
        <v>{"typ":"lc","txt":"LC_ITEM_fishing_chat_skin_name"}</v>
      </c>
      <c r="K1039" s="148" t="str">
        <f>IFERROR(__xludf.DUMMYFUNCTION("""COMPUTED_VALUE"""),"{""typ"":""lc"",""txt"":""LC_ITEM_fishing_chat_skin_desc""}")</f>
        <v>{"typ":"lc","txt":"LC_ITEM_fishing_chat_skin_desc"}</v>
      </c>
      <c r="L1039" s="148" t="str">
        <f>IFERROR(__xludf.DUMMYFUNCTION("""COMPUTED_VALUE"""),"{""typ"":""lc"",""txt"":""LC_ITEM_season_extra_reward_usedtip""}")</f>
        <v>{"typ":"lc","txt":"LC_ITEM_season_extra_reward_usedtip"}</v>
      </c>
      <c r="M1039" s="148">
        <f>IFERROR(__xludf.DUMMYFUNCTION("""COMPUTED_VALUE"""),2500.0)</f>
        <v>2500</v>
      </c>
      <c r="N1039" s="148">
        <f>IFERROR(__xludf.DUMMYFUNCTION("""COMPUTED_VALUE"""),9999999.0)</f>
        <v>9999999</v>
      </c>
      <c r="O1039" s="148">
        <f>IFERROR(__xludf.DUMMYFUNCTION("""COMPUTED_VALUE"""),1.0)</f>
        <v>1</v>
      </c>
      <c r="P1039" s="148">
        <f>IFERROR(__xludf.DUMMYFUNCTION("""COMPUTED_VALUE"""),1.0)</f>
        <v>1</v>
      </c>
      <c r="Q1039" s="148" t="str">
        <f>IFERROR(__xludf.DUMMYFUNCTION("""COMPUTED_VALUE"""),"[""bag_other""]")</f>
        <v>["bag_other"]</v>
      </c>
      <c r="R1039" s="148" t="str">
        <f>IFERROR(__xludf.DUMMYFUNCTION("""COMPUTED_VALUE"""),"[""11731045"",""bag""]")</f>
        <v>["11731045","bag"]</v>
      </c>
      <c r="S1039" s="148" t="str">
        <f>IFERROR(__xludf.DUMMYFUNCTION("""COMPUTED_VALUE"""),"{""effect"":[{""typ"":""nameplate"",""id"":11731045,""val"":-1}]}")</f>
        <v>{"effect":[{"typ":"nameplate","id":11731045,"val":-1}]}</v>
      </c>
      <c r="T1039" s="148">
        <f>IFERROR(__xludf.DUMMYFUNCTION("""COMPUTED_VALUE"""),-1.0)</f>
        <v>-1</v>
      </c>
      <c r="U1039" s="148">
        <f>IFERROR(__xludf.DUMMYFUNCTION("""COMPUTED_VALUE"""),0.0)</f>
        <v>0</v>
      </c>
      <c r="V1039" s="148" t="str">
        <f>IFERROR(__xludf.DUMMYFUNCTION("""COMPUTED_VALUE"""),"[]")</f>
        <v>[]</v>
      </c>
      <c r="W1039" s="148">
        <f>IFERROR(__xludf.DUMMYFUNCTION("""COMPUTED_VALUE"""),1.174E7)</f>
        <v>11740000</v>
      </c>
      <c r="X1039" s="148">
        <f>IFERROR(__xludf.DUMMYFUNCTION("""COMPUTED_VALUE"""),0.0)</f>
        <v>0</v>
      </c>
      <c r="Y1039" s="148">
        <f>IFERROR(__xludf.DUMMYFUNCTION("""COMPUTED_VALUE"""),0.0)</f>
        <v>0</v>
      </c>
      <c r="Z1039" s="148"/>
    </row>
    <row r="1040">
      <c r="A1040" s="148">
        <f>IFERROR(__xludf.DUMMYFUNCTION("""COMPUTED_VALUE"""),1.1112852E7)</f>
        <v>11112852</v>
      </c>
      <c r="B1040" s="148" t="str">
        <f>IFERROR(__xludf.DUMMYFUNCTION("""COMPUTED_VALUE"""),"钓鱼活动勋章")</f>
        <v>钓鱼活动勋章</v>
      </c>
      <c r="C1040" s="148"/>
      <c r="D1040" s="148" t="str">
        <f>IFERROR(__xludf.DUMMYFUNCTION("""COMPUTED_VALUE"""),"event")</f>
        <v>event</v>
      </c>
      <c r="E1040" s="148">
        <f>IFERROR(__xludf.DUMMYFUNCTION("""COMPUTED_VALUE"""),0.0)</f>
        <v>0</v>
      </c>
      <c r="F1040" s="148">
        <f>IFERROR(__xludf.DUMMYFUNCTION("""COMPUTED_VALUE"""),0.0)</f>
        <v>0</v>
      </c>
      <c r="G1040" s="148">
        <f>IFERROR(__xludf.DUMMYFUNCTION("""COMPUTED_VALUE"""),1.51104063E8)</f>
        <v>151104063</v>
      </c>
      <c r="H1040" s="148">
        <f>IFERROR(__xludf.DUMMYFUNCTION("""COMPUTED_VALUE"""),1.5112564E7)</f>
        <v>15112564</v>
      </c>
      <c r="I1040" s="148" t="str">
        <f>IFERROR(__xludf.DUMMYFUNCTION("""COMPUTED_VALUE"""),"{}")</f>
        <v>{}</v>
      </c>
      <c r="J1040" s="148" t="str">
        <f>IFERROR(__xludf.DUMMYFUNCTION("""COMPUTED_VALUE"""),"{""typ"":""lc"",""txt"":""LC_ITEM_fishing_badge_name""}")</f>
        <v>{"typ":"lc","txt":"LC_ITEM_fishing_badge_name"}</v>
      </c>
      <c r="K1040" s="148" t="str">
        <f>IFERROR(__xludf.DUMMYFUNCTION("""COMPUTED_VALUE"""),"{""typ"":""lc"",""txt"":""LC_ITEM_fishing_badge_desc""}")</f>
        <v>{"typ":"lc","txt":"LC_ITEM_fishing_badge_desc"}</v>
      </c>
      <c r="L1040" s="148" t="str">
        <f>IFERROR(__xludf.DUMMYFUNCTION("""COMPUTED_VALUE"""),"{}")</f>
        <v>{}</v>
      </c>
      <c r="M1040" s="148">
        <f>IFERROR(__xludf.DUMMYFUNCTION("""COMPUTED_VALUE"""),1000.0)</f>
        <v>1000</v>
      </c>
      <c r="N1040" s="148">
        <f>IFERROR(__xludf.DUMMYFUNCTION("""COMPUTED_VALUE"""),1.0)</f>
        <v>1</v>
      </c>
      <c r="O1040" s="148">
        <f>IFERROR(__xludf.DUMMYFUNCTION("""COMPUTED_VALUE"""),1.0)</f>
        <v>1</v>
      </c>
      <c r="P1040" s="148">
        <f>IFERROR(__xludf.DUMMYFUNCTION("""COMPUTED_VALUE"""),1.0)</f>
        <v>1</v>
      </c>
      <c r="Q1040" s="148" t="str">
        <f>IFERROR(__xludf.DUMMYFUNCTION("""COMPUTED_VALUE"""),"[]")</f>
        <v>[]</v>
      </c>
      <c r="R1040" s="148" t="str">
        <f>IFERROR(__xludf.DUMMYFUNCTION("""COMPUTED_VALUE"""),"[]")</f>
        <v>[]</v>
      </c>
      <c r="S1040" s="148" t="str">
        <f>IFERROR(__xludf.DUMMYFUNCTION("""COMPUTED_VALUE"""),"{}")</f>
        <v>{}</v>
      </c>
      <c r="T1040" s="148">
        <f>IFERROR(__xludf.DUMMYFUNCTION("""COMPUTED_VALUE"""),-1.0)</f>
        <v>-1</v>
      </c>
      <c r="U1040" s="148">
        <f>IFERROR(__xludf.DUMMYFUNCTION("""COMPUTED_VALUE"""),0.0)</f>
        <v>0</v>
      </c>
      <c r="V1040" s="148" t="str">
        <f>IFERROR(__xludf.DUMMYFUNCTION("""COMPUTED_VALUE"""),"[]")</f>
        <v>[]</v>
      </c>
      <c r="W1040" s="148">
        <f>IFERROR(__xludf.DUMMYFUNCTION("""COMPUTED_VALUE"""),1.174E7)</f>
        <v>11740000</v>
      </c>
      <c r="X1040" s="148">
        <f>IFERROR(__xludf.DUMMYFUNCTION("""COMPUTED_VALUE"""),0.0)</f>
        <v>0</v>
      </c>
      <c r="Y1040" s="148">
        <f>IFERROR(__xludf.DUMMYFUNCTION("""COMPUTED_VALUE"""),0.0)</f>
        <v>0</v>
      </c>
      <c r="Z1040" s="148"/>
    </row>
    <row r="1041">
      <c r="A1041" s="148">
        <f>IFERROR(__xludf.DUMMYFUNCTION("""COMPUTED_VALUE"""),1.1112853E7)</f>
        <v>11112853</v>
      </c>
      <c r="B1041" s="148" t="str">
        <f>IFERROR(__xludf.DUMMYFUNCTION("""COMPUTED_VALUE"""),"行军表情-静态-钓鱼活动")</f>
        <v>行军表情-静态-钓鱼活动</v>
      </c>
      <c r="C1041" s="148"/>
      <c r="D1041" s="148" t="str">
        <f>IFERROR(__xludf.DUMMYFUNCTION("""COMPUTED_VALUE"""),"map_emoji")</f>
        <v>map_emoji</v>
      </c>
      <c r="E1041" s="148">
        <f>IFERROR(__xludf.DUMMYFUNCTION("""COMPUTED_VALUE"""),20.0)</f>
        <v>20</v>
      </c>
      <c r="F1041" s="148">
        <f>IFERROR(__xludf.DUMMYFUNCTION("""COMPUTED_VALUE"""),0.0)</f>
        <v>0</v>
      </c>
      <c r="G1041" s="148">
        <f>IFERROR(__xludf.DUMMYFUNCTION("""COMPUTED_VALUE"""),1.51104166E8)</f>
        <v>151104166</v>
      </c>
      <c r="H1041" s="148">
        <f>IFERROR(__xludf.DUMMYFUNCTION("""COMPUTED_VALUE"""),1.5112563E7)</f>
        <v>15112563</v>
      </c>
      <c r="I1041" s="148" t="str">
        <f>IFERROR(__xludf.DUMMYFUNCTION("""COMPUTED_VALUE"""),"{}")</f>
        <v>{}</v>
      </c>
      <c r="J1041" s="148" t="str">
        <f>IFERROR(__xludf.DUMMYFUNCTION("""COMPUTED_VALUE"""),"{""typ"":""lc"",""txt"":""LC_ITEM_map_emoji_fishing""}")</f>
        <v>{"typ":"lc","txt":"LC_ITEM_map_emoji_fishing"}</v>
      </c>
      <c r="K1041" s="148" t="str">
        <f>IFERROR(__xludf.DUMMYFUNCTION("""COMPUTED_VALUE"""),"{""typ"":""lc"",""txt"":""LC_ITEM_map_emoji_fishing_desc""}")</f>
        <v>{"typ":"lc","txt":"LC_ITEM_map_emoji_fishing_desc"}</v>
      </c>
      <c r="L1041" s="148" t="str">
        <f>IFERROR(__xludf.DUMMYFUNCTION("""COMPUTED_VALUE"""),"{}")</f>
        <v>{}</v>
      </c>
      <c r="M1041" s="148">
        <f>IFERROR(__xludf.DUMMYFUNCTION("""COMPUTED_VALUE"""),1000.0)</f>
        <v>1000</v>
      </c>
      <c r="N1041" s="148">
        <f>IFERROR(__xludf.DUMMYFUNCTION("""COMPUTED_VALUE"""),99.0)</f>
        <v>99</v>
      </c>
      <c r="O1041" s="148">
        <f>IFERROR(__xludf.DUMMYFUNCTION("""COMPUTED_VALUE"""),1.0)</f>
        <v>1</v>
      </c>
      <c r="P1041" s="148">
        <f>IFERROR(__xludf.DUMMYFUNCTION("""COMPUTED_VALUE"""),1.0)</f>
        <v>1</v>
      </c>
      <c r="Q1041" s="148" t="str">
        <f>IFERROR(__xludf.DUMMYFUNCTION("""COMPUTED_VALUE"""),"[]")</f>
        <v>[]</v>
      </c>
      <c r="R1041" s="148" t="str">
        <f>IFERROR(__xludf.DUMMYFUNCTION("""COMPUTED_VALUE"""),"[]")</f>
        <v>[]</v>
      </c>
      <c r="S1041" s="148" t="str">
        <f>IFERROR(__xludf.DUMMYFUNCTION("""COMPUTED_VALUE"""),"{""effect"":[{""typ"":""map_emoji"",""id"":11800026,""val"":-1}]}")</f>
        <v>{"effect":[{"typ":"map_emoji","id":11800026,"val":-1}]}</v>
      </c>
      <c r="T1041" s="148">
        <f>IFERROR(__xludf.DUMMYFUNCTION("""COMPUTED_VALUE"""),-1.0)</f>
        <v>-1</v>
      </c>
      <c r="U1041" s="148">
        <f>IFERROR(__xludf.DUMMYFUNCTION("""COMPUTED_VALUE"""),1.0)</f>
        <v>1</v>
      </c>
      <c r="V1041" s="148" t="str">
        <f>IFERROR(__xludf.DUMMYFUNCTION("""COMPUTED_VALUE"""),"[]")</f>
        <v>[]</v>
      </c>
      <c r="W1041" s="148">
        <f>IFERROR(__xludf.DUMMYFUNCTION("""COMPUTED_VALUE"""),1.174E7)</f>
        <v>11740000</v>
      </c>
      <c r="X1041" s="148">
        <f>IFERROR(__xludf.DUMMYFUNCTION("""COMPUTED_VALUE"""),0.0)</f>
        <v>0</v>
      </c>
      <c r="Y1041" s="148">
        <f>IFERROR(__xludf.DUMMYFUNCTION("""COMPUTED_VALUE"""),0.0)</f>
        <v>0</v>
      </c>
      <c r="Z1041" s="148"/>
    </row>
    <row r="1042">
      <c r="A1042" s="148">
        <f>IFERROR(__xludf.DUMMYFUNCTION("""COMPUTED_VALUE"""),1.1112854E7)</f>
        <v>11112854</v>
      </c>
      <c r="B1042" s="148" t="str">
        <f>IFERROR(__xludf.DUMMYFUNCTION("""COMPUTED_VALUE"""),"涂饰-春节2025-涂饰道具-一天")</f>
        <v>涂饰-春节2025-涂饰道具-一天</v>
      </c>
      <c r="C1042" s="148"/>
      <c r="D1042" s="148" t="str">
        <f>IFERROR(__xludf.DUMMYFUNCTION("""COMPUTED_VALUE"""),"decorate_paint")</f>
        <v>decorate_paint</v>
      </c>
      <c r="E1042" s="148">
        <f>IFERROR(__xludf.DUMMYFUNCTION("""COMPUTED_VALUE"""),0.0)</f>
        <v>0</v>
      </c>
      <c r="F1042" s="148">
        <f>IFERROR(__xludf.DUMMYFUNCTION("""COMPUTED_VALUE"""),0.0)</f>
        <v>0</v>
      </c>
      <c r="G1042" s="148">
        <f>IFERROR(__xludf.DUMMYFUNCTION("""COMPUTED_VALUE"""),1.51104317E8)</f>
        <v>151104317</v>
      </c>
      <c r="H1042" s="148">
        <f>IFERROR(__xludf.DUMMYFUNCTION("""COMPUTED_VALUE"""),1.5112564E7)</f>
        <v>15112564</v>
      </c>
      <c r="I1042" s="148" t="str">
        <f>IFERROR(__xludf.DUMMYFUNCTION("""COMPUTED_VALUE"""),"{}")</f>
        <v>{}</v>
      </c>
      <c r="J1042" s="148" t="str">
        <f>IFERROR(__xludf.DUMMYFUNCTION("""COMPUTED_VALUE"""),"{""typ"":""lc"",""txt"":""LC_ITEM_2025spring_paint_decoration_paint_name""}")</f>
        <v>{"typ":"lc","txt":"LC_ITEM_2025spring_paint_decoration_paint_name"}</v>
      </c>
      <c r="K1042" s="148" t="str">
        <f>IFERROR(__xludf.DUMMYFUNCTION("""COMPUTED_VALUE"""),"{""typ"":""lc"",""txt"":""LC_ITEM_2025spring_paint_decoration_paint_desc""}")</f>
        <v>{"typ":"lc","txt":"LC_ITEM_2025spring_paint_decoration_paint_desc"}</v>
      </c>
      <c r="L1042" s="148" t="str">
        <f>IFERROR(__xludf.DUMMYFUNCTION("""COMPUTED_VALUE"""),"{""typ"":""lc"",""txt"":""LC_TIP_use_success""}")</f>
        <v>{"typ":"lc","txt":"LC_TIP_use_success"}</v>
      </c>
      <c r="M1042" s="148">
        <f>IFERROR(__xludf.DUMMYFUNCTION("""COMPUTED_VALUE"""),1000.0)</f>
        <v>1000</v>
      </c>
      <c r="N1042" s="148">
        <f>IFERROR(__xludf.DUMMYFUNCTION("""COMPUTED_VALUE"""),9.99999999E8)</f>
        <v>999999999</v>
      </c>
      <c r="O1042" s="148">
        <f>IFERROR(__xludf.DUMMYFUNCTION("""COMPUTED_VALUE"""),9.99999999E8)</f>
        <v>999999999</v>
      </c>
      <c r="P1042" s="148">
        <f>IFERROR(__xludf.DUMMYFUNCTION("""COMPUTED_VALUE"""),1.0)</f>
        <v>1</v>
      </c>
      <c r="Q1042" s="148" t="str">
        <f>IFERROR(__xludf.DUMMYFUNCTION("""COMPUTED_VALUE"""),"[""bag_other""]")</f>
        <v>["bag_other"]</v>
      </c>
      <c r="R1042" s="148" t="str">
        <f>IFERROR(__xludf.DUMMYFUNCTION("""COMPUTED_VALUE"""),"[""bag"",""214823""]")</f>
        <v>["bag","214823"]</v>
      </c>
      <c r="S1042" s="148" t="str">
        <f>IFERROR(__xludf.DUMMYFUNCTION("""COMPUTED_VALUE"""),"{""effect"":[{""typ"":""decorate_paint"",""id"":214823,""val"":86400000},{""typ"":""item"",""id"":11112854,""val"":1}]}")</f>
        <v>{"effect":[{"typ":"decorate_paint","id":214823,"val":86400000},{"typ":"item","id":11112854,"val":1}]}</v>
      </c>
      <c r="T1042" s="148">
        <f>IFERROR(__xludf.DUMMYFUNCTION("""COMPUTED_VALUE"""),-1.0)</f>
        <v>-1</v>
      </c>
      <c r="U1042" s="148">
        <f>IFERROR(__xludf.DUMMYFUNCTION("""COMPUTED_VALUE"""),0.0)</f>
        <v>0</v>
      </c>
      <c r="V1042" s="148" t="str">
        <f>IFERROR(__xludf.DUMMYFUNCTION("""COMPUTED_VALUE"""),"[]")</f>
        <v>[]</v>
      </c>
      <c r="W1042" s="148">
        <f>IFERROR(__xludf.DUMMYFUNCTION("""COMPUTED_VALUE"""),1.174E7)</f>
        <v>11740000</v>
      </c>
      <c r="X1042" s="148">
        <f>IFERROR(__xludf.DUMMYFUNCTION("""COMPUTED_VALUE"""),1.1684734E7)</f>
        <v>11684734</v>
      </c>
      <c r="Y1042" s="148">
        <f>IFERROR(__xludf.DUMMYFUNCTION("""COMPUTED_VALUE"""),0.0)</f>
        <v>0</v>
      </c>
      <c r="Z1042" s="148"/>
    </row>
    <row r="1043">
      <c r="A1043" s="148">
        <f>IFERROR(__xludf.DUMMYFUNCTION("""COMPUTED_VALUE"""),1.1112855E7)</f>
        <v>11112855</v>
      </c>
      <c r="B1043" s="148" t="str">
        <f>IFERROR(__xludf.DUMMYFUNCTION("""COMPUTED_VALUE"""),"前期弹珠GACHA抽奖道具")</f>
        <v>前期弹珠GACHA抽奖道具</v>
      </c>
      <c r="C1043" s="148"/>
      <c r="D1043" s="148" t="str">
        <f>IFERROR(__xludf.DUMMYFUNCTION("""COMPUTED_VALUE"""),"event")</f>
        <v>event</v>
      </c>
      <c r="E1043" s="148">
        <f>IFERROR(__xludf.DUMMYFUNCTION("""COMPUTED_VALUE"""),0.0)</f>
        <v>0</v>
      </c>
      <c r="F1043" s="148">
        <f>IFERROR(__xludf.DUMMYFUNCTION("""COMPUTED_VALUE"""),405210.0)</f>
        <v>405210</v>
      </c>
      <c r="G1043" s="148">
        <f>IFERROR(__xludf.DUMMYFUNCTION("""COMPUTED_VALUE"""),1.51102445E8)</f>
        <v>151102445</v>
      </c>
      <c r="H1043" s="148">
        <f>IFERROR(__xludf.DUMMYFUNCTION("""COMPUTED_VALUE"""),1.5112564E7)</f>
        <v>15112564</v>
      </c>
      <c r="I1043" s="148" t="str">
        <f>IFERROR(__xludf.DUMMYFUNCTION("""COMPUTED_VALUE"""),"{}")</f>
        <v>{}</v>
      </c>
      <c r="J1043" s="148" t="str">
        <f>IFERROR(__xludf.DUMMYFUNCTION("""COMPUTED_VALUE"""),"{""typ"":""lc"",""txt"":""LC_EVENT_2025anni_marble_gacha_item_name_2""}")</f>
        <v>{"typ":"lc","txt":"LC_EVENT_2025anni_marble_gacha_item_name_2"}</v>
      </c>
      <c r="K1043" s="148" t="str">
        <f>IFERROR(__xludf.DUMMYFUNCTION("""COMPUTED_VALUE"""),"{""typ"":""lc"",""txt"":""LC_EVENT_2025anni_marble_gacha_item_desc_2""}")</f>
        <v>{"typ":"lc","txt":"LC_EVENT_2025anni_marble_gacha_item_desc_2"}</v>
      </c>
      <c r="L1043" s="148" t="str">
        <f>IFERROR(__xludf.DUMMYFUNCTION("""COMPUTED_VALUE"""),"{}")</f>
        <v>{}</v>
      </c>
      <c r="M1043" s="148">
        <f>IFERROR(__xludf.DUMMYFUNCTION("""COMPUTED_VALUE"""),700.0)</f>
        <v>700</v>
      </c>
      <c r="N1043" s="148">
        <f>IFERROR(__xludf.DUMMYFUNCTION("""COMPUTED_VALUE"""),9.99999999E8)</f>
        <v>999999999</v>
      </c>
      <c r="O1043" s="148">
        <f>IFERROR(__xludf.DUMMYFUNCTION("""COMPUTED_VALUE"""),9.99999999E8)</f>
        <v>999999999</v>
      </c>
      <c r="P1043" s="148">
        <f>IFERROR(__xludf.DUMMYFUNCTION("""COMPUTED_VALUE"""),9.99999999E8)</f>
        <v>999999999</v>
      </c>
      <c r="Q1043" s="148" t="str">
        <f>IFERROR(__xludf.DUMMYFUNCTION("""COMPUTED_VALUE"""),"[""bag_other""]")</f>
        <v>["bag_other"]</v>
      </c>
      <c r="R1043" s="148" t="str">
        <f>IFERROR(__xludf.DUMMYFUNCTION("""COMPUTED_VALUE"""),"[""bag""]")</f>
        <v>["bag"]</v>
      </c>
      <c r="S1043" s="148" t="str">
        <f>IFERROR(__xludf.DUMMYFUNCTION("""COMPUTED_VALUE"""),"{}")</f>
        <v>{}</v>
      </c>
      <c r="T1043" s="148">
        <f>IFERROR(__xludf.DUMMYFUNCTION("""COMPUTED_VALUE"""),1.0)</f>
        <v>1</v>
      </c>
      <c r="U1043" s="148">
        <f>IFERROR(__xludf.DUMMYFUNCTION("""COMPUTED_VALUE"""),0.0)</f>
        <v>0</v>
      </c>
      <c r="V1043" s="148" t="str">
        <f>IFERROR(__xludf.DUMMYFUNCTION("""COMPUTED_VALUE"""),"[]")</f>
        <v>[]</v>
      </c>
      <c r="W1043" s="148">
        <f>IFERROR(__xludf.DUMMYFUNCTION("""COMPUTED_VALUE"""),1.174E7)</f>
        <v>11740000</v>
      </c>
      <c r="X1043" s="148">
        <f>IFERROR(__xludf.DUMMYFUNCTION("""COMPUTED_VALUE"""),0.0)</f>
        <v>0</v>
      </c>
      <c r="Y1043" s="148">
        <f>IFERROR(__xludf.DUMMYFUNCTION("""COMPUTED_VALUE"""),0.0)</f>
        <v>0</v>
      </c>
      <c r="Z1043" s="148"/>
    </row>
    <row r="1044">
      <c r="A1044" s="148">
        <f>IFERROR(__xludf.DUMMYFUNCTION("""COMPUTED_VALUE"""),1.1112856E7)</f>
        <v>11112856</v>
      </c>
      <c r="B1044" s="148" t="str">
        <f>IFERROR(__xludf.DUMMYFUNCTION("""COMPUTED_VALUE"""),"前期-单笔充值-个人阶段奖励1")</f>
        <v>前期-单笔充值-个人阶段奖励1</v>
      </c>
      <c r="C1044" s="148"/>
      <c r="D1044" s="148" t="str">
        <f>IFERROR(__xludf.DUMMYFUNCTION("""COMPUTED_VALUE"""),"item_asset")</f>
        <v>item_asset</v>
      </c>
      <c r="E1044" s="148">
        <f>IFERROR(__xludf.DUMMYFUNCTION("""COMPUTED_VALUE"""),19.0)</f>
        <v>19</v>
      </c>
      <c r="F1044" s="148">
        <f>IFERROR(__xludf.DUMMYFUNCTION("""COMPUTED_VALUE"""),0.0)</f>
        <v>0</v>
      </c>
      <c r="G1044" s="148">
        <f>IFERROR(__xludf.DUMMYFUNCTION("""COMPUTED_VALUE"""),1.5110352E7)</f>
        <v>15110352</v>
      </c>
      <c r="H1044" s="148">
        <f>IFERROR(__xludf.DUMMYFUNCTION("""COMPUTED_VALUE"""),1.5112564E7)</f>
        <v>15112564</v>
      </c>
      <c r="I1044" s="148" t="str">
        <f>IFERROR(__xludf.DUMMYFUNCTION("""COMPUTED_VALUE"""),"{}")</f>
        <v>{}</v>
      </c>
      <c r="J1044" s="148" t="str">
        <f>IFERROR(__xludf.DUMMYFUNCTION("""COMPUTED_VALUE"""),"{""typ"":""lc"",""txt"":""LC_EVENT_droptopay_tuohuang_box_name""}")</f>
        <v>{"typ":"lc","txt":"LC_EVENT_droptopay_tuohuang_box_name"}</v>
      </c>
      <c r="K1044" s="148" t="str">
        <f>IFERROR(__xludf.DUMMYFUNCTION("""COMPUTED_VALUE"""),"{""typ"":""lc"",""txt"":""LC_EVENT_droptopay_tuohuang_box_desc""}")</f>
        <v>{"typ":"lc","txt":"LC_EVENT_droptopay_tuohuang_box_desc"}</v>
      </c>
      <c r="L1044" s="148" t="str">
        <f>IFERROR(__xludf.DUMMYFUNCTION("""COMPUTED_VALUE"""),"{}")</f>
        <v>{}</v>
      </c>
      <c r="M1044" s="148">
        <f>IFERROR(__xludf.DUMMYFUNCTION("""COMPUTED_VALUE"""),1000.0)</f>
        <v>1000</v>
      </c>
      <c r="N1044" s="148">
        <f>IFERROR(__xludf.DUMMYFUNCTION("""COMPUTED_VALUE"""),999999.0)</f>
        <v>999999</v>
      </c>
      <c r="O1044" s="148">
        <f>IFERROR(__xludf.DUMMYFUNCTION("""COMPUTED_VALUE"""),99999.0)</f>
        <v>99999</v>
      </c>
      <c r="P1044" s="148">
        <f>IFERROR(__xludf.DUMMYFUNCTION("""COMPUTED_VALUE"""),9999.0)</f>
        <v>9999</v>
      </c>
      <c r="Q1044" s="148" t="str">
        <f>IFERROR(__xludf.DUMMYFUNCTION("""COMPUTED_VALUE"""),"[""bag_other""]")</f>
        <v>["bag_other"]</v>
      </c>
      <c r="R1044" s="148" t="str">
        <f>IFERROR(__xludf.DUMMYFUNCTION("""COMPUTED_VALUE"""),"[""bag""]")</f>
        <v>["bag"]</v>
      </c>
      <c r="S1044" s="148" t="str">
        <f>IFERROR(__xludf.DUMMYFUNCTION("""COMPUTED_VALUE"""),"{""drop"":{""typ"":""single_random"",""num"":1,""args"":[{""typ"":""item"",""id"":11112855,""num"":1,""wgt"":500},{""typ"":""item"",""id"":11112855,""num"":2,""wgt"":300},{""typ"":""item"",""id"":11112855,""num"":3,""wgt"":100},{""typ"":""item"",""id"":11"&amp;"112855,""num"":5,""wgt"":80},{""typ"":""item"",""id"":11112855,""num"":8,""wgt"":20}]}}")</f>
        <v>{"drop":{"typ":"single_random","num":1,"args":[{"typ":"item","id":11112855,"num":1,"wgt":500},{"typ":"item","id":11112855,"num":2,"wgt":300},{"typ":"item","id":11112855,"num":3,"wgt":100},{"typ":"item","id":11112855,"num":5,"wgt":80},{"typ":"item","id":11112855,"num":8,"wgt":20}]}}</v>
      </c>
      <c r="T1044" s="148">
        <f>IFERROR(__xludf.DUMMYFUNCTION("""COMPUTED_VALUE"""),-1.0)</f>
        <v>-1</v>
      </c>
      <c r="U1044" s="148">
        <f>IFERROR(__xludf.DUMMYFUNCTION("""COMPUTED_VALUE"""),0.0)</f>
        <v>0</v>
      </c>
      <c r="V1044" s="148" t="str">
        <f>IFERROR(__xludf.DUMMYFUNCTION("""COMPUTED_VALUE"""),"[]")</f>
        <v>[]</v>
      </c>
      <c r="W1044" s="148">
        <f>IFERROR(__xludf.DUMMYFUNCTION("""COMPUTED_VALUE"""),1.174E7)</f>
        <v>11740000</v>
      </c>
      <c r="X1044" s="148">
        <f>IFERROR(__xludf.DUMMYFUNCTION("""COMPUTED_VALUE"""),0.0)</f>
        <v>0</v>
      </c>
      <c r="Y1044" s="148">
        <f>IFERROR(__xludf.DUMMYFUNCTION("""COMPUTED_VALUE"""),0.0)</f>
        <v>0</v>
      </c>
      <c r="Z1044" s="148"/>
    </row>
    <row r="1045">
      <c r="A1045" s="148">
        <f>IFERROR(__xludf.DUMMYFUNCTION("""COMPUTED_VALUE"""),1.1112857E7)</f>
        <v>11112857</v>
      </c>
      <c r="B1045" s="148" t="str">
        <f>IFERROR(__xludf.DUMMYFUNCTION("""COMPUTED_VALUE"""),"前期-单笔充值-个人阶段奖励2")</f>
        <v>前期-单笔充值-个人阶段奖励2</v>
      </c>
      <c r="C1045" s="148"/>
      <c r="D1045" s="148" t="str">
        <f>IFERROR(__xludf.DUMMYFUNCTION("""COMPUTED_VALUE"""),"item_asset")</f>
        <v>item_asset</v>
      </c>
      <c r="E1045" s="148">
        <f>IFERROR(__xludf.DUMMYFUNCTION("""COMPUTED_VALUE"""),19.0)</f>
        <v>19</v>
      </c>
      <c r="F1045" s="148">
        <f>IFERROR(__xludf.DUMMYFUNCTION("""COMPUTED_VALUE"""),0.0)</f>
        <v>0</v>
      </c>
      <c r="G1045" s="148">
        <f>IFERROR(__xludf.DUMMYFUNCTION("""COMPUTED_VALUE"""),1.5110352E7)</f>
        <v>15110352</v>
      </c>
      <c r="H1045" s="148">
        <f>IFERROR(__xludf.DUMMYFUNCTION("""COMPUTED_VALUE"""),1.5112564E7)</f>
        <v>15112564</v>
      </c>
      <c r="I1045" s="148" t="str">
        <f>IFERROR(__xludf.DUMMYFUNCTION("""COMPUTED_VALUE"""),"{}")</f>
        <v>{}</v>
      </c>
      <c r="J1045" s="148" t="str">
        <f>IFERROR(__xludf.DUMMYFUNCTION("""COMPUTED_VALUE"""),"{""typ"":""lc"",""txt"":""LC_EVENT_droptopay_tuohuang_box_name""}")</f>
        <v>{"typ":"lc","txt":"LC_EVENT_droptopay_tuohuang_box_name"}</v>
      </c>
      <c r="K1045" s="148" t="str">
        <f>IFERROR(__xludf.DUMMYFUNCTION("""COMPUTED_VALUE"""),"{""typ"":""lc"",""txt"":""LC_EVENT_droptopay_tuohuang_box_desc""}")</f>
        <v>{"typ":"lc","txt":"LC_EVENT_droptopay_tuohuang_box_desc"}</v>
      </c>
      <c r="L1045" s="148" t="str">
        <f>IFERROR(__xludf.DUMMYFUNCTION("""COMPUTED_VALUE"""),"{}")</f>
        <v>{}</v>
      </c>
      <c r="M1045" s="148">
        <f>IFERROR(__xludf.DUMMYFUNCTION("""COMPUTED_VALUE"""),1000.0)</f>
        <v>1000</v>
      </c>
      <c r="N1045" s="148">
        <f>IFERROR(__xludf.DUMMYFUNCTION("""COMPUTED_VALUE"""),999999.0)</f>
        <v>999999</v>
      </c>
      <c r="O1045" s="148">
        <f>IFERROR(__xludf.DUMMYFUNCTION("""COMPUTED_VALUE"""),99999.0)</f>
        <v>99999</v>
      </c>
      <c r="P1045" s="148">
        <f>IFERROR(__xludf.DUMMYFUNCTION("""COMPUTED_VALUE"""),9999.0)</f>
        <v>9999</v>
      </c>
      <c r="Q1045" s="148" t="str">
        <f>IFERROR(__xludf.DUMMYFUNCTION("""COMPUTED_VALUE"""),"[""bag_other""]")</f>
        <v>["bag_other"]</v>
      </c>
      <c r="R1045" s="148" t="str">
        <f>IFERROR(__xludf.DUMMYFUNCTION("""COMPUTED_VALUE"""),"[""bag""]")</f>
        <v>["bag"]</v>
      </c>
      <c r="S1045" s="148" t="str">
        <f>IFERROR(__xludf.DUMMYFUNCTION("""COMPUTED_VALUE"""),"{""drop"":{""typ"":""single_random"",""num"":1,""args"":[{""typ"":""item"",""id"":11112855,""num"":4,""wgt"":500},{""typ"":""item"",""id"":11112855,""num"":5,""wgt"":300},{""typ"":""item"",""id"":11112855,""num"":6,""wgt"":100},{""typ"":""item"",""id"":11"&amp;"112855,""num"":10,""wgt"":80},{""typ"":""item"",""id"":11112855,""num"":15,""wgt"":20}]}}")</f>
        <v>{"drop":{"typ":"single_random","num":1,"args":[{"typ":"item","id":11112855,"num":4,"wgt":500},{"typ":"item","id":11112855,"num":5,"wgt":300},{"typ":"item","id":11112855,"num":6,"wgt":100},{"typ":"item","id":11112855,"num":10,"wgt":80},{"typ":"item","id":11112855,"num":15,"wgt":20}]}}</v>
      </c>
      <c r="T1045" s="148">
        <f>IFERROR(__xludf.DUMMYFUNCTION("""COMPUTED_VALUE"""),-1.0)</f>
        <v>-1</v>
      </c>
      <c r="U1045" s="148">
        <f>IFERROR(__xludf.DUMMYFUNCTION("""COMPUTED_VALUE"""),0.0)</f>
        <v>0</v>
      </c>
      <c r="V1045" s="148" t="str">
        <f>IFERROR(__xludf.DUMMYFUNCTION("""COMPUTED_VALUE"""),"[]")</f>
        <v>[]</v>
      </c>
      <c r="W1045" s="148">
        <f>IFERROR(__xludf.DUMMYFUNCTION("""COMPUTED_VALUE"""),1.174E7)</f>
        <v>11740000</v>
      </c>
      <c r="X1045" s="148">
        <f>IFERROR(__xludf.DUMMYFUNCTION("""COMPUTED_VALUE"""),0.0)</f>
        <v>0</v>
      </c>
      <c r="Y1045" s="148">
        <f>IFERROR(__xludf.DUMMYFUNCTION("""COMPUTED_VALUE"""),0.0)</f>
        <v>0</v>
      </c>
      <c r="Z1045" s="148"/>
    </row>
    <row r="1046">
      <c r="A1046" s="148">
        <f>IFERROR(__xludf.DUMMYFUNCTION("""COMPUTED_VALUE"""),1.1112858E7)</f>
        <v>11112858</v>
      </c>
      <c r="B1046" s="148" t="str">
        <f>IFERROR(__xludf.DUMMYFUNCTION("""COMPUTED_VALUE"""),"前期-单笔充值-个人阶段奖励3")</f>
        <v>前期-单笔充值-个人阶段奖励3</v>
      </c>
      <c r="C1046" s="148"/>
      <c r="D1046" s="148" t="str">
        <f>IFERROR(__xludf.DUMMYFUNCTION("""COMPUTED_VALUE"""),"item_asset")</f>
        <v>item_asset</v>
      </c>
      <c r="E1046" s="148">
        <f>IFERROR(__xludf.DUMMYFUNCTION("""COMPUTED_VALUE"""),19.0)</f>
        <v>19</v>
      </c>
      <c r="F1046" s="148">
        <f>IFERROR(__xludf.DUMMYFUNCTION("""COMPUTED_VALUE"""),0.0)</f>
        <v>0</v>
      </c>
      <c r="G1046" s="148">
        <f>IFERROR(__xludf.DUMMYFUNCTION("""COMPUTED_VALUE"""),1.5110352E7)</f>
        <v>15110352</v>
      </c>
      <c r="H1046" s="148">
        <f>IFERROR(__xludf.DUMMYFUNCTION("""COMPUTED_VALUE"""),1.5112564E7)</f>
        <v>15112564</v>
      </c>
      <c r="I1046" s="148" t="str">
        <f>IFERROR(__xludf.DUMMYFUNCTION("""COMPUTED_VALUE"""),"{}")</f>
        <v>{}</v>
      </c>
      <c r="J1046" s="148" t="str">
        <f>IFERROR(__xludf.DUMMYFUNCTION("""COMPUTED_VALUE"""),"{""typ"":""lc"",""txt"":""LC_EVENT_droptopay_tuohuang_box_name""}")</f>
        <v>{"typ":"lc","txt":"LC_EVENT_droptopay_tuohuang_box_name"}</v>
      </c>
      <c r="K1046" s="148" t="str">
        <f>IFERROR(__xludf.DUMMYFUNCTION("""COMPUTED_VALUE"""),"{""typ"":""lc"",""txt"":""LC_EVENT_droptopay_tuohuang_box_desc""}")</f>
        <v>{"typ":"lc","txt":"LC_EVENT_droptopay_tuohuang_box_desc"}</v>
      </c>
      <c r="L1046" s="148" t="str">
        <f>IFERROR(__xludf.DUMMYFUNCTION("""COMPUTED_VALUE"""),"{}")</f>
        <v>{}</v>
      </c>
      <c r="M1046" s="148">
        <f>IFERROR(__xludf.DUMMYFUNCTION("""COMPUTED_VALUE"""),1000.0)</f>
        <v>1000</v>
      </c>
      <c r="N1046" s="148">
        <f>IFERROR(__xludf.DUMMYFUNCTION("""COMPUTED_VALUE"""),999999.0)</f>
        <v>999999</v>
      </c>
      <c r="O1046" s="148">
        <f>IFERROR(__xludf.DUMMYFUNCTION("""COMPUTED_VALUE"""),99999.0)</f>
        <v>99999</v>
      </c>
      <c r="P1046" s="148">
        <f>IFERROR(__xludf.DUMMYFUNCTION("""COMPUTED_VALUE"""),9999.0)</f>
        <v>9999</v>
      </c>
      <c r="Q1046" s="148" t="str">
        <f>IFERROR(__xludf.DUMMYFUNCTION("""COMPUTED_VALUE"""),"[""bag_other""]")</f>
        <v>["bag_other"]</v>
      </c>
      <c r="R1046" s="148" t="str">
        <f>IFERROR(__xludf.DUMMYFUNCTION("""COMPUTED_VALUE"""),"[""bag""]")</f>
        <v>["bag"]</v>
      </c>
      <c r="S1046" s="148" t="str">
        <f>IFERROR(__xludf.DUMMYFUNCTION("""COMPUTED_VALUE"""),"{""drop"":{""typ"":""single_random"",""num"":1,""args"":[{""typ"":""item"",""id"":11112855,""num"":8,""wgt"":500},{""typ"":""item"",""id"":11112855,""num"":10,""wgt"":300},{""typ"":""item"",""id"":11112855,""num"":12,""wgt"":100},{""typ"":""item"",""id"":"&amp;"11112855,""num"":15,""wgt"":80},{""typ"":""item"",""id"":11112855,""num"":30,""wgt"":20}]}}")</f>
        <v>{"drop":{"typ":"single_random","num":1,"args":[{"typ":"item","id":11112855,"num":8,"wgt":500},{"typ":"item","id":11112855,"num":10,"wgt":300},{"typ":"item","id":11112855,"num":12,"wgt":100},{"typ":"item","id":11112855,"num":15,"wgt":80},{"typ":"item","id":11112855,"num":30,"wgt":20}]}}</v>
      </c>
      <c r="T1046" s="148">
        <f>IFERROR(__xludf.DUMMYFUNCTION("""COMPUTED_VALUE"""),-1.0)</f>
        <v>-1</v>
      </c>
      <c r="U1046" s="148">
        <f>IFERROR(__xludf.DUMMYFUNCTION("""COMPUTED_VALUE"""),0.0)</f>
        <v>0</v>
      </c>
      <c r="V1046" s="148" t="str">
        <f>IFERROR(__xludf.DUMMYFUNCTION("""COMPUTED_VALUE"""),"[]")</f>
        <v>[]</v>
      </c>
      <c r="W1046" s="148">
        <f>IFERROR(__xludf.DUMMYFUNCTION("""COMPUTED_VALUE"""),1.174E7)</f>
        <v>11740000</v>
      </c>
      <c r="X1046" s="148">
        <f>IFERROR(__xludf.DUMMYFUNCTION("""COMPUTED_VALUE"""),0.0)</f>
        <v>0</v>
      </c>
      <c r="Y1046" s="148">
        <f>IFERROR(__xludf.DUMMYFUNCTION("""COMPUTED_VALUE"""),0.0)</f>
        <v>0</v>
      </c>
      <c r="Z1046" s="148"/>
    </row>
    <row r="1047">
      <c r="A1047" s="148">
        <f>IFERROR(__xludf.DUMMYFUNCTION("""COMPUTED_VALUE"""),1.1112859E7)</f>
        <v>11112859</v>
      </c>
      <c r="B1047" s="148" t="str">
        <f>IFERROR(__xludf.DUMMYFUNCTION("""COMPUTED_VALUE"""),"前期-单笔充值-个人阶段奖励4")</f>
        <v>前期-单笔充值-个人阶段奖励4</v>
      </c>
      <c r="C1047" s="148"/>
      <c r="D1047" s="148" t="str">
        <f>IFERROR(__xludf.DUMMYFUNCTION("""COMPUTED_VALUE"""),"item_asset")</f>
        <v>item_asset</v>
      </c>
      <c r="E1047" s="148">
        <f>IFERROR(__xludf.DUMMYFUNCTION("""COMPUTED_VALUE"""),19.0)</f>
        <v>19</v>
      </c>
      <c r="F1047" s="148">
        <f>IFERROR(__xludf.DUMMYFUNCTION("""COMPUTED_VALUE"""),0.0)</f>
        <v>0</v>
      </c>
      <c r="G1047" s="148">
        <f>IFERROR(__xludf.DUMMYFUNCTION("""COMPUTED_VALUE"""),1.5110352E7)</f>
        <v>15110352</v>
      </c>
      <c r="H1047" s="148">
        <f>IFERROR(__xludf.DUMMYFUNCTION("""COMPUTED_VALUE"""),1.5112564E7)</f>
        <v>15112564</v>
      </c>
      <c r="I1047" s="148" t="str">
        <f>IFERROR(__xludf.DUMMYFUNCTION("""COMPUTED_VALUE"""),"{}")</f>
        <v>{}</v>
      </c>
      <c r="J1047" s="148" t="str">
        <f>IFERROR(__xludf.DUMMYFUNCTION("""COMPUTED_VALUE"""),"{""typ"":""lc"",""txt"":""LC_EVENT_droptopay_tuohuang_box_name""}")</f>
        <v>{"typ":"lc","txt":"LC_EVENT_droptopay_tuohuang_box_name"}</v>
      </c>
      <c r="K1047" s="148" t="str">
        <f>IFERROR(__xludf.DUMMYFUNCTION("""COMPUTED_VALUE"""),"{""typ"":""lc"",""txt"":""LC_EVENT_droptopay_tuohuang_box_desc""}")</f>
        <v>{"typ":"lc","txt":"LC_EVENT_droptopay_tuohuang_box_desc"}</v>
      </c>
      <c r="L1047" s="148" t="str">
        <f>IFERROR(__xludf.DUMMYFUNCTION("""COMPUTED_VALUE"""),"{}")</f>
        <v>{}</v>
      </c>
      <c r="M1047" s="148">
        <f>IFERROR(__xludf.DUMMYFUNCTION("""COMPUTED_VALUE"""),1000.0)</f>
        <v>1000</v>
      </c>
      <c r="N1047" s="148">
        <f>IFERROR(__xludf.DUMMYFUNCTION("""COMPUTED_VALUE"""),999999.0)</f>
        <v>999999</v>
      </c>
      <c r="O1047" s="148">
        <f>IFERROR(__xludf.DUMMYFUNCTION("""COMPUTED_VALUE"""),99999.0)</f>
        <v>99999</v>
      </c>
      <c r="P1047" s="148">
        <f>IFERROR(__xludf.DUMMYFUNCTION("""COMPUTED_VALUE"""),9999.0)</f>
        <v>9999</v>
      </c>
      <c r="Q1047" s="148" t="str">
        <f>IFERROR(__xludf.DUMMYFUNCTION("""COMPUTED_VALUE"""),"[""bag_other""]")</f>
        <v>["bag_other"]</v>
      </c>
      <c r="R1047" s="148" t="str">
        <f>IFERROR(__xludf.DUMMYFUNCTION("""COMPUTED_VALUE"""),"[""bag""]")</f>
        <v>["bag"]</v>
      </c>
      <c r="S1047" s="148" t="str">
        <f>IFERROR(__xludf.DUMMYFUNCTION("""COMPUTED_VALUE"""),"{""drop"":{""typ"":""single_random"",""num"":1,""args"":[{""typ"":""item"",""id"":11112855,""num"":25,""wgt"":500},{""typ"":""item"",""id"":11112855,""num"":30,""wgt"":300},{""typ"":""item"",""id"":11112855,""num"":35,""wgt"":100},{""typ"":""item"",""id"""&amp;":11112855,""num"":50,""wgt"":80},{""typ"":""item"",""id"":11112855,""num"":70,""wgt"":20}]}}")</f>
        <v>{"drop":{"typ":"single_random","num":1,"args":[{"typ":"item","id":11112855,"num":25,"wgt":500},{"typ":"item","id":11112855,"num":30,"wgt":300},{"typ":"item","id":11112855,"num":35,"wgt":100},{"typ":"item","id":11112855,"num":50,"wgt":80},{"typ":"item","id":11112855,"num":70,"wgt":20}]}}</v>
      </c>
      <c r="T1047" s="148">
        <f>IFERROR(__xludf.DUMMYFUNCTION("""COMPUTED_VALUE"""),-1.0)</f>
        <v>-1</v>
      </c>
      <c r="U1047" s="148">
        <f>IFERROR(__xludf.DUMMYFUNCTION("""COMPUTED_VALUE"""),0.0)</f>
        <v>0</v>
      </c>
      <c r="V1047" s="148" t="str">
        <f>IFERROR(__xludf.DUMMYFUNCTION("""COMPUTED_VALUE"""),"[]")</f>
        <v>[]</v>
      </c>
      <c r="W1047" s="148">
        <f>IFERROR(__xludf.DUMMYFUNCTION("""COMPUTED_VALUE"""),1.174E7)</f>
        <v>11740000</v>
      </c>
      <c r="X1047" s="148">
        <f>IFERROR(__xludf.DUMMYFUNCTION("""COMPUTED_VALUE"""),0.0)</f>
        <v>0</v>
      </c>
      <c r="Y1047" s="148">
        <f>IFERROR(__xludf.DUMMYFUNCTION("""COMPUTED_VALUE"""),0.0)</f>
        <v>0</v>
      </c>
      <c r="Z1047" s="148"/>
    </row>
    <row r="1048">
      <c r="A1048" s="148">
        <f>IFERROR(__xludf.DUMMYFUNCTION("""COMPUTED_VALUE"""),1.111286E7)</f>
        <v>11112860</v>
      </c>
      <c r="B1048" s="148" t="str">
        <f>IFERROR(__xludf.DUMMYFUNCTION("""COMPUTED_VALUE"""),"前期-单笔充值-个人阶段奖励5")</f>
        <v>前期-单笔充值-个人阶段奖励5</v>
      </c>
      <c r="C1048" s="148"/>
      <c r="D1048" s="148" t="str">
        <f>IFERROR(__xludf.DUMMYFUNCTION("""COMPUTED_VALUE"""),"item_asset")</f>
        <v>item_asset</v>
      </c>
      <c r="E1048" s="148">
        <f>IFERROR(__xludf.DUMMYFUNCTION("""COMPUTED_VALUE"""),19.0)</f>
        <v>19</v>
      </c>
      <c r="F1048" s="148">
        <f>IFERROR(__xludf.DUMMYFUNCTION("""COMPUTED_VALUE"""),0.0)</f>
        <v>0</v>
      </c>
      <c r="G1048" s="148">
        <f>IFERROR(__xludf.DUMMYFUNCTION("""COMPUTED_VALUE"""),1.5110352E7)</f>
        <v>15110352</v>
      </c>
      <c r="H1048" s="148">
        <f>IFERROR(__xludf.DUMMYFUNCTION("""COMPUTED_VALUE"""),1.5112564E7)</f>
        <v>15112564</v>
      </c>
      <c r="I1048" s="148" t="str">
        <f>IFERROR(__xludf.DUMMYFUNCTION("""COMPUTED_VALUE"""),"{}")</f>
        <v>{}</v>
      </c>
      <c r="J1048" s="148" t="str">
        <f>IFERROR(__xludf.DUMMYFUNCTION("""COMPUTED_VALUE"""),"{""typ"":""lc"",""txt"":""LC_EVENT_droptopay_tuohuang_box_name""}")</f>
        <v>{"typ":"lc","txt":"LC_EVENT_droptopay_tuohuang_box_name"}</v>
      </c>
      <c r="K1048" s="148" t="str">
        <f>IFERROR(__xludf.DUMMYFUNCTION("""COMPUTED_VALUE"""),"{""typ"":""lc"",""txt"":""LC_EVENT_droptopay_tuohuang_box_desc""}")</f>
        <v>{"typ":"lc","txt":"LC_EVENT_droptopay_tuohuang_box_desc"}</v>
      </c>
      <c r="L1048" s="148" t="str">
        <f>IFERROR(__xludf.DUMMYFUNCTION("""COMPUTED_VALUE"""),"{}")</f>
        <v>{}</v>
      </c>
      <c r="M1048" s="148">
        <f>IFERROR(__xludf.DUMMYFUNCTION("""COMPUTED_VALUE"""),1000.0)</f>
        <v>1000</v>
      </c>
      <c r="N1048" s="148">
        <f>IFERROR(__xludf.DUMMYFUNCTION("""COMPUTED_VALUE"""),999999.0)</f>
        <v>999999</v>
      </c>
      <c r="O1048" s="148">
        <f>IFERROR(__xludf.DUMMYFUNCTION("""COMPUTED_VALUE"""),99999.0)</f>
        <v>99999</v>
      </c>
      <c r="P1048" s="148">
        <f>IFERROR(__xludf.DUMMYFUNCTION("""COMPUTED_VALUE"""),9999.0)</f>
        <v>9999</v>
      </c>
      <c r="Q1048" s="148" t="str">
        <f>IFERROR(__xludf.DUMMYFUNCTION("""COMPUTED_VALUE"""),"[""bag_other""]")</f>
        <v>["bag_other"]</v>
      </c>
      <c r="R1048" s="148" t="str">
        <f>IFERROR(__xludf.DUMMYFUNCTION("""COMPUTED_VALUE"""),"[""bag""]")</f>
        <v>["bag"]</v>
      </c>
      <c r="S1048" s="148" t="str">
        <f>IFERROR(__xludf.DUMMYFUNCTION("""COMPUTED_VALUE"""),"{""drop"":{""typ"":""single_random"",""num"":1,""args"":[{""typ"":""item"",""id"":11112855,""num"":45,""wgt"":500},{""typ"":""item"",""id"":11112855,""num"":50,""wgt"":300},{""typ"":""item"",""id"":11112855,""num"":60,""wgt"":100},{""typ"":""item"",""id"""&amp;":11112855,""num"":80,""wgt"":80},{""typ"":""item"",""id"":11112855,""num"":100,""wgt"":20}]}}")</f>
        <v>{"drop":{"typ":"single_random","num":1,"args":[{"typ":"item","id":11112855,"num":45,"wgt":500},{"typ":"item","id":11112855,"num":50,"wgt":300},{"typ":"item","id":11112855,"num":60,"wgt":100},{"typ":"item","id":11112855,"num":80,"wgt":80},{"typ":"item","id":11112855,"num":100,"wgt":20}]}}</v>
      </c>
      <c r="T1048" s="148">
        <f>IFERROR(__xludf.DUMMYFUNCTION("""COMPUTED_VALUE"""),-1.0)</f>
        <v>-1</v>
      </c>
      <c r="U1048" s="148">
        <f>IFERROR(__xludf.DUMMYFUNCTION("""COMPUTED_VALUE"""),0.0)</f>
        <v>0</v>
      </c>
      <c r="V1048" s="148" t="str">
        <f>IFERROR(__xludf.DUMMYFUNCTION("""COMPUTED_VALUE"""),"[]")</f>
        <v>[]</v>
      </c>
      <c r="W1048" s="148">
        <f>IFERROR(__xludf.DUMMYFUNCTION("""COMPUTED_VALUE"""),1.174E7)</f>
        <v>11740000</v>
      </c>
      <c r="X1048" s="148">
        <f>IFERROR(__xludf.DUMMYFUNCTION("""COMPUTED_VALUE"""),0.0)</f>
        <v>0</v>
      </c>
      <c r="Y1048" s="148">
        <f>IFERROR(__xludf.DUMMYFUNCTION("""COMPUTED_VALUE"""),0.0)</f>
        <v>0</v>
      </c>
      <c r="Z1048" s="148"/>
    </row>
    <row r="1049">
      <c r="A1049" s="148">
        <f>IFERROR(__xludf.DUMMYFUNCTION("""COMPUTED_VALUE"""),1.1112861E7)</f>
        <v>11112861</v>
      </c>
      <c r="B1049" s="148" t="str">
        <f>IFERROR(__xludf.DUMMYFUNCTION("""COMPUTED_VALUE"""),"前期-单笔充值-个人阶段奖励6")</f>
        <v>前期-单笔充值-个人阶段奖励6</v>
      </c>
      <c r="C1049" s="148"/>
      <c r="D1049" s="148" t="str">
        <f>IFERROR(__xludf.DUMMYFUNCTION("""COMPUTED_VALUE"""),"item_asset")</f>
        <v>item_asset</v>
      </c>
      <c r="E1049" s="148">
        <f>IFERROR(__xludf.DUMMYFUNCTION("""COMPUTED_VALUE"""),19.0)</f>
        <v>19</v>
      </c>
      <c r="F1049" s="148">
        <f>IFERROR(__xludf.DUMMYFUNCTION("""COMPUTED_VALUE"""),0.0)</f>
        <v>0</v>
      </c>
      <c r="G1049" s="148">
        <f>IFERROR(__xludf.DUMMYFUNCTION("""COMPUTED_VALUE"""),1.5110352E7)</f>
        <v>15110352</v>
      </c>
      <c r="H1049" s="148">
        <f>IFERROR(__xludf.DUMMYFUNCTION("""COMPUTED_VALUE"""),1.5112564E7)</f>
        <v>15112564</v>
      </c>
      <c r="I1049" s="148" t="str">
        <f>IFERROR(__xludf.DUMMYFUNCTION("""COMPUTED_VALUE"""),"{}")</f>
        <v>{}</v>
      </c>
      <c r="J1049" s="148" t="str">
        <f>IFERROR(__xludf.DUMMYFUNCTION("""COMPUTED_VALUE"""),"{""typ"":""lc"",""txt"":""LC_EVENT_droptopay_tuohuang_box_name""}")</f>
        <v>{"typ":"lc","txt":"LC_EVENT_droptopay_tuohuang_box_name"}</v>
      </c>
      <c r="K1049" s="148" t="str">
        <f>IFERROR(__xludf.DUMMYFUNCTION("""COMPUTED_VALUE"""),"{""typ"":""lc"",""txt"":""LC_EVENT_droptopay_tuohuang_box_desc""}")</f>
        <v>{"typ":"lc","txt":"LC_EVENT_droptopay_tuohuang_box_desc"}</v>
      </c>
      <c r="L1049" s="148" t="str">
        <f>IFERROR(__xludf.DUMMYFUNCTION("""COMPUTED_VALUE"""),"{}")</f>
        <v>{}</v>
      </c>
      <c r="M1049" s="148">
        <f>IFERROR(__xludf.DUMMYFUNCTION("""COMPUTED_VALUE"""),1000.0)</f>
        <v>1000</v>
      </c>
      <c r="N1049" s="148">
        <f>IFERROR(__xludf.DUMMYFUNCTION("""COMPUTED_VALUE"""),999999.0)</f>
        <v>999999</v>
      </c>
      <c r="O1049" s="148">
        <f>IFERROR(__xludf.DUMMYFUNCTION("""COMPUTED_VALUE"""),99999.0)</f>
        <v>99999</v>
      </c>
      <c r="P1049" s="148">
        <f>IFERROR(__xludf.DUMMYFUNCTION("""COMPUTED_VALUE"""),9999.0)</f>
        <v>9999</v>
      </c>
      <c r="Q1049" s="148" t="str">
        <f>IFERROR(__xludf.DUMMYFUNCTION("""COMPUTED_VALUE"""),"[""bag_other""]")</f>
        <v>["bag_other"]</v>
      </c>
      <c r="R1049" s="148" t="str">
        <f>IFERROR(__xludf.DUMMYFUNCTION("""COMPUTED_VALUE"""),"[""bag""]")</f>
        <v>["bag"]</v>
      </c>
      <c r="S1049" s="148" t="str">
        <f>IFERROR(__xludf.DUMMYFUNCTION("""COMPUTED_VALUE"""),"{""drop"":{""typ"":""single_random"",""num"":1,""args"":[{""typ"":""item"",""id"":11112855,""num"":45,""wgt"":500},{""typ"":""item"",""id"":11112855,""num"":50,""wgt"":300},{""typ"":""item"",""id"":11112855,""num"":60,""wgt"":100},{""typ"":""item"",""id"""&amp;":11112855,""num"":80,""wgt"":80},{""typ"":""item"",""id"":11112855,""num"":100,""wgt"":20}]}}")</f>
        <v>{"drop":{"typ":"single_random","num":1,"args":[{"typ":"item","id":11112855,"num":45,"wgt":500},{"typ":"item","id":11112855,"num":50,"wgt":300},{"typ":"item","id":11112855,"num":60,"wgt":100},{"typ":"item","id":11112855,"num":80,"wgt":80},{"typ":"item","id":11112855,"num":100,"wgt":20}]}}</v>
      </c>
      <c r="T1049" s="148">
        <f>IFERROR(__xludf.DUMMYFUNCTION("""COMPUTED_VALUE"""),-1.0)</f>
        <v>-1</v>
      </c>
      <c r="U1049" s="148">
        <f>IFERROR(__xludf.DUMMYFUNCTION("""COMPUTED_VALUE"""),0.0)</f>
        <v>0</v>
      </c>
      <c r="V1049" s="148" t="str">
        <f>IFERROR(__xludf.DUMMYFUNCTION("""COMPUTED_VALUE"""),"[]")</f>
        <v>[]</v>
      </c>
      <c r="W1049" s="148">
        <f>IFERROR(__xludf.DUMMYFUNCTION("""COMPUTED_VALUE"""),1.174E7)</f>
        <v>11740000</v>
      </c>
      <c r="X1049" s="148">
        <f>IFERROR(__xludf.DUMMYFUNCTION("""COMPUTED_VALUE"""),0.0)</f>
        <v>0</v>
      </c>
      <c r="Y1049" s="148">
        <f>IFERROR(__xludf.DUMMYFUNCTION("""COMPUTED_VALUE"""),0.0)</f>
        <v>0</v>
      </c>
      <c r="Z1049" s="148"/>
    </row>
    <row r="1050">
      <c r="A1050" s="148">
        <f>IFERROR(__xludf.DUMMYFUNCTION("""COMPUTED_VALUE"""),1.1112862E7)</f>
        <v>11112862</v>
      </c>
      <c r="B1050" s="148" t="str">
        <f>IFERROR(__xludf.DUMMYFUNCTION("""COMPUTED_VALUE"""),"前期-单笔充值-个人阶段奖励7")</f>
        <v>前期-单笔充值-个人阶段奖励7</v>
      </c>
      <c r="C1050" s="148"/>
      <c r="D1050" s="148" t="str">
        <f>IFERROR(__xludf.DUMMYFUNCTION("""COMPUTED_VALUE"""),"item_asset")</f>
        <v>item_asset</v>
      </c>
      <c r="E1050" s="148">
        <f>IFERROR(__xludf.DUMMYFUNCTION("""COMPUTED_VALUE"""),19.0)</f>
        <v>19</v>
      </c>
      <c r="F1050" s="148">
        <f>IFERROR(__xludf.DUMMYFUNCTION("""COMPUTED_VALUE"""),0.0)</f>
        <v>0</v>
      </c>
      <c r="G1050" s="148">
        <f>IFERROR(__xludf.DUMMYFUNCTION("""COMPUTED_VALUE"""),1.5110352E7)</f>
        <v>15110352</v>
      </c>
      <c r="H1050" s="148">
        <f>IFERROR(__xludf.DUMMYFUNCTION("""COMPUTED_VALUE"""),1.5112564E7)</f>
        <v>15112564</v>
      </c>
      <c r="I1050" s="148" t="str">
        <f>IFERROR(__xludf.DUMMYFUNCTION("""COMPUTED_VALUE"""),"{}")</f>
        <v>{}</v>
      </c>
      <c r="J1050" s="148" t="str">
        <f>IFERROR(__xludf.DUMMYFUNCTION("""COMPUTED_VALUE"""),"{""typ"":""lc"",""txt"":""LC_EVENT_droptopay_tuohuang_box_name""}")</f>
        <v>{"typ":"lc","txt":"LC_EVENT_droptopay_tuohuang_box_name"}</v>
      </c>
      <c r="K1050" s="148" t="str">
        <f>IFERROR(__xludf.DUMMYFUNCTION("""COMPUTED_VALUE"""),"{""typ"":""lc"",""txt"":""LC_EVENT_droptopay_tuohuang_box_desc""}")</f>
        <v>{"typ":"lc","txt":"LC_EVENT_droptopay_tuohuang_box_desc"}</v>
      </c>
      <c r="L1050" s="148" t="str">
        <f>IFERROR(__xludf.DUMMYFUNCTION("""COMPUTED_VALUE"""),"{}")</f>
        <v>{}</v>
      </c>
      <c r="M1050" s="148">
        <f>IFERROR(__xludf.DUMMYFUNCTION("""COMPUTED_VALUE"""),1000.0)</f>
        <v>1000</v>
      </c>
      <c r="N1050" s="148">
        <f>IFERROR(__xludf.DUMMYFUNCTION("""COMPUTED_VALUE"""),999999.0)</f>
        <v>999999</v>
      </c>
      <c r="O1050" s="148">
        <f>IFERROR(__xludf.DUMMYFUNCTION("""COMPUTED_VALUE"""),99999.0)</f>
        <v>99999</v>
      </c>
      <c r="P1050" s="148">
        <f>IFERROR(__xludf.DUMMYFUNCTION("""COMPUTED_VALUE"""),9999.0)</f>
        <v>9999</v>
      </c>
      <c r="Q1050" s="148" t="str">
        <f>IFERROR(__xludf.DUMMYFUNCTION("""COMPUTED_VALUE"""),"[""bag_other""]")</f>
        <v>["bag_other"]</v>
      </c>
      <c r="R1050" s="148" t="str">
        <f>IFERROR(__xludf.DUMMYFUNCTION("""COMPUTED_VALUE"""),"[""bag""]")</f>
        <v>["bag"]</v>
      </c>
      <c r="S1050" s="148" t="str">
        <f>IFERROR(__xludf.DUMMYFUNCTION("""COMPUTED_VALUE"""),"{""drop"":{""typ"":""single_random"",""num"":1,""args"":[{""typ"":""item"",""id"":11112855,""num"":45,""wgt"":500},{""typ"":""item"",""id"":11112855,""num"":50,""wgt"":300},{""typ"":""item"",""id"":11112855,""num"":60,""wgt"":100},{""typ"":""item"",""id"""&amp;":11112855,""num"":80,""wgt"":80},{""typ"":""item"",""id"":11112855,""num"":100,""wgt"":20}]}}")</f>
        <v>{"drop":{"typ":"single_random","num":1,"args":[{"typ":"item","id":11112855,"num":45,"wgt":500},{"typ":"item","id":11112855,"num":50,"wgt":300},{"typ":"item","id":11112855,"num":60,"wgt":100},{"typ":"item","id":11112855,"num":80,"wgt":80},{"typ":"item","id":11112855,"num":100,"wgt":20}]}}</v>
      </c>
      <c r="T1050" s="148">
        <f>IFERROR(__xludf.DUMMYFUNCTION("""COMPUTED_VALUE"""),-1.0)</f>
        <v>-1</v>
      </c>
      <c r="U1050" s="148">
        <f>IFERROR(__xludf.DUMMYFUNCTION("""COMPUTED_VALUE"""),0.0)</f>
        <v>0</v>
      </c>
      <c r="V1050" s="148" t="str">
        <f>IFERROR(__xludf.DUMMYFUNCTION("""COMPUTED_VALUE"""),"[]")</f>
        <v>[]</v>
      </c>
      <c r="W1050" s="148">
        <f>IFERROR(__xludf.DUMMYFUNCTION("""COMPUTED_VALUE"""),1.174E7)</f>
        <v>11740000</v>
      </c>
      <c r="X1050" s="148">
        <f>IFERROR(__xludf.DUMMYFUNCTION("""COMPUTED_VALUE"""),0.0)</f>
        <v>0</v>
      </c>
      <c r="Y1050" s="148">
        <f>IFERROR(__xludf.DUMMYFUNCTION("""COMPUTED_VALUE"""),0.0)</f>
        <v>0</v>
      </c>
      <c r="Z1050" s="148"/>
    </row>
    <row r="1051">
      <c r="A1051" s="148">
        <f>IFERROR(__xludf.DUMMYFUNCTION("""COMPUTED_VALUE"""),1.1112863E7)</f>
        <v>11112863</v>
      </c>
      <c r="B1051" s="148" t="str">
        <f>IFERROR(__xludf.DUMMYFUNCTION("""COMPUTED_VALUE"""),"前期-单笔充值-个人阶段奖励8")</f>
        <v>前期-单笔充值-个人阶段奖励8</v>
      </c>
      <c r="C1051" s="148"/>
      <c r="D1051" s="148" t="str">
        <f>IFERROR(__xludf.DUMMYFUNCTION("""COMPUTED_VALUE"""),"item_asset")</f>
        <v>item_asset</v>
      </c>
      <c r="E1051" s="148">
        <f>IFERROR(__xludf.DUMMYFUNCTION("""COMPUTED_VALUE"""),19.0)</f>
        <v>19</v>
      </c>
      <c r="F1051" s="148">
        <f>IFERROR(__xludf.DUMMYFUNCTION("""COMPUTED_VALUE"""),0.0)</f>
        <v>0</v>
      </c>
      <c r="G1051" s="148">
        <f>IFERROR(__xludf.DUMMYFUNCTION("""COMPUTED_VALUE"""),1.5110352E7)</f>
        <v>15110352</v>
      </c>
      <c r="H1051" s="148">
        <f>IFERROR(__xludf.DUMMYFUNCTION("""COMPUTED_VALUE"""),1.5112564E7)</f>
        <v>15112564</v>
      </c>
      <c r="I1051" s="148" t="str">
        <f>IFERROR(__xludf.DUMMYFUNCTION("""COMPUTED_VALUE"""),"{}")</f>
        <v>{}</v>
      </c>
      <c r="J1051" s="148" t="str">
        <f>IFERROR(__xludf.DUMMYFUNCTION("""COMPUTED_VALUE"""),"{""typ"":""lc"",""txt"":""LC_EVENT_droptopay_tuohuang_box_name""}")</f>
        <v>{"typ":"lc","txt":"LC_EVENT_droptopay_tuohuang_box_name"}</v>
      </c>
      <c r="K1051" s="148" t="str">
        <f>IFERROR(__xludf.DUMMYFUNCTION("""COMPUTED_VALUE"""),"{""typ"":""lc"",""txt"":""LC_EVENT_droptopay_tuohuang_box_desc""}")</f>
        <v>{"typ":"lc","txt":"LC_EVENT_droptopay_tuohuang_box_desc"}</v>
      </c>
      <c r="L1051" s="148" t="str">
        <f>IFERROR(__xludf.DUMMYFUNCTION("""COMPUTED_VALUE"""),"{}")</f>
        <v>{}</v>
      </c>
      <c r="M1051" s="148">
        <f>IFERROR(__xludf.DUMMYFUNCTION("""COMPUTED_VALUE"""),1000.0)</f>
        <v>1000</v>
      </c>
      <c r="N1051" s="148">
        <f>IFERROR(__xludf.DUMMYFUNCTION("""COMPUTED_VALUE"""),999999.0)</f>
        <v>999999</v>
      </c>
      <c r="O1051" s="148">
        <f>IFERROR(__xludf.DUMMYFUNCTION("""COMPUTED_VALUE"""),99999.0)</f>
        <v>99999</v>
      </c>
      <c r="P1051" s="148">
        <f>IFERROR(__xludf.DUMMYFUNCTION("""COMPUTED_VALUE"""),9999.0)</f>
        <v>9999</v>
      </c>
      <c r="Q1051" s="148" t="str">
        <f>IFERROR(__xludf.DUMMYFUNCTION("""COMPUTED_VALUE"""),"[""bag_other""]")</f>
        <v>["bag_other"]</v>
      </c>
      <c r="R1051" s="148" t="str">
        <f>IFERROR(__xludf.DUMMYFUNCTION("""COMPUTED_VALUE"""),"[""bag""]")</f>
        <v>["bag"]</v>
      </c>
      <c r="S1051" s="148" t="str">
        <f>IFERROR(__xludf.DUMMYFUNCTION("""COMPUTED_VALUE"""),"{""drop"":{""typ"":""single_random"",""num"":1,""args"":[{""typ"":""item"",""id"":11112855,""num"":90,""wgt"":500},{""typ"":""item"",""id"":11112855,""num"":100,""wgt"":300},{""typ"":""item"",""id"":11112855,""num"":120,""wgt"":100},{""typ"":""item"",""id"&amp;""":11112855,""num"":150,""wgt"":80},{""typ"":""item"",""id"":11112855,""num"":300,""wgt"":20}]}}")</f>
        <v>{"drop":{"typ":"single_random","num":1,"args":[{"typ":"item","id":11112855,"num":90,"wgt":500},{"typ":"item","id":11112855,"num":100,"wgt":300},{"typ":"item","id":11112855,"num":120,"wgt":100},{"typ":"item","id":11112855,"num":150,"wgt":80},{"typ":"item","id":11112855,"num":300,"wgt":20}]}}</v>
      </c>
      <c r="T1051" s="148">
        <f>IFERROR(__xludf.DUMMYFUNCTION("""COMPUTED_VALUE"""),-1.0)</f>
        <v>-1</v>
      </c>
      <c r="U1051" s="148">
        <f>IFERROR(__xludf.DUMMYFUNCTION("""COMPUTED_VALUE"""),0.0)</f>
        <v>0</v>
      </c>
      <c r="V1051" s="148" t="str">
        <f>IFERROR(__xludf.DUMMYFUNCTION("""COMPUTED_VALUE"""),"[]")</f>
        <v>[]</v>
      </c>
      <c r="W1051" s="148">
        <f>IFERROR(__xludf.DUMMYFUNCTION("""COMPUTED_VALUE"""),1.174E7)</f>
        <v>11740000</v>
      </c>
      <c r="X1051" s="148">
        <f>IFERROR(__xludf.DUMMYFUNCTION("""COMPUTED_VALUE"""),0.0)</f>
        <v>0</v>
      </c>
      <c r="Y1051" s="148">
        <f>IFERROR(__xludf.DUMMYFUNCTION("""COMPUTED_VALUE"""),0.0)</f>
        <v>0</v>
      </c>
      <c r="Z1051" s="148"/>
    </row>
    <row r="1052">
      <c r="A1052" s="148">
        <f>IFERROR(__xludf.DUMMYFUNCTION("""COMPUTED_VALUE"""),1.1112864E7)</f>
        <v>11112864</v>
      </c>
      <c r="B1052" s="148" t="str">
        <f>IFERROR(__xludf.DUMMYFUNCTION("""COMPUTED_VALUE"""),"前期-单笔充值-个人阶段奖励9")</f>
        <v>前期-单笔充值-个人阶段奖励9</v>
      </c>
      <c r="C1052" s="148"/>
      <c r="D1052" s="148" t="str">
        <f>IFERROR(__xludf.DUMMYFUNCTION("""COMPUTED_VALUE"""),"item_asset")</f>
        <v>item_asset</v>
      </c>
      <c r="E1052" s="148">
        <f>IFERROR(__xludf.DUMMYFUNCTION("""COMPUTED_VALUE"""),19.0)</f>
        <v>19</v>
      </c>
      <c r="F1052" s="148">
        <f>IFERROR(__xludf.DUMMYFUNCTION("""COMPUTED_VALUE"""),0.0)</f>
        <v>0</v>
      </c>
      <c r="G1052" s="148">
        <f>IFERROR(__xludf.DUMMYFUNCTION("""COMPUTED_VALUE"""),1.5110352E7)</f>
        <v>15110352</v>
      </c>
      <c r="H1052" s="148">
        <f>IFERROR(__xludf.DUMMYFUNCTION("""COMPUTED_VALUE"""),1.5112564E7)</f>
        <v>15112564</v>
      </c>
      <c r="I1052" s="148" t="str">
        <f>IFERROR(__xludf.DUMMYFUNCTION("""COMPUTED_VALUE"""),"{}")</f>
        <v>{}</v>
      </c>
      <c r="J1052" s="148" t="str">
        <f>IFERROR(__xludf.DUMMYFUNCTION("""COMPUTED_VALUE"""),"{""typ"":""lc"",""txt"":""LC_EVENT_droptopay_tuohuang_box_name""}")</f>
        <v>{"typ":"lc","txt":"LC_EVENT_droptopay_tuohuang_box_name"}</v>
      </c>
      <c r="K1052" s="148" t="str">
        <f>IFERROR(__xludf.DUMMYFUNCTION("""COMPUTED_VALUE"""),"{""typ"":""lc"",""txt"":""LC_EVENT_droptopay_tuohuang_box_desc""}")</f>
        <v>{"typ":"lc","txt":"LC_EVENT_droptopay_tuohuang_box_desc"}</v>
      </c>
      <c r="L1052" s="148" t="str">
        <f>IFERROR(__xludf.DUMMYFUNCTION("""COMPUTED_VALUE"""),"{}")</f>
        <v>{}</v>
      </c>
      <c r="M1052" s="148">
        <f>IFERROR(__xludf.DUMMYFUNCTION("""COMPUTED_VALUE"""),1000.0)</f>
        <v>1000</v>
      </c>
      <c r="N1052" s="148">
        <f>IFERROR(__xludf.DUMMYFUNCTION("""COMPUTED_VALUE"""),999999.0)</f>
        <v>999999</v>
      </c>
      <c r="O1052" s="148">
        <f>IFERROR(__xludf.DUMMYFUNCTION("""COMPUTED_VALUE"""),99999.0)</f>
        <v>99999</v>
      </c>
      <c r="P1052" s="148">
        <f>IFERROR(__xludf.DUMMYFUNCTION("""COMPUTED_VALUE"""),9999.0)</f>
        <v>9999</v>
      </c>
      <c r="Q1052" s="148" t="str">
        <f>IFERROR(__xludf.DUMMYFUNCTION("""COMPUTED_VALUE"""),"[""bag_other""]")</f>
        <v>["bag_other"]</v>
      </c>
      <c r="R1052" s="148" t="str">
        <f>IFERROR(__xludf.DUMMYFUNCTION("""COMPUTED_VALUE"""),"[""bag""]")</f>
        <v>["bag"]</v>
      </c>
      <c r="S1052" s="148" t="str">
        <f>IFERROR(__xludf.DUMMYFUNCTION("""COMPUTED_VALUE"""),"{""drop"":{""typ"":""single_random"",""num"":1,""args"":[{""typ"":""item"",""id"":11112855,""num"":90,""wgt"":500},{""typ"":""item"",""id"":11112855,""num"":100,""wgt"":300},{""typ"":""item"",""id"":11112855,""num"":120,""wgt"":100},{""typ"":""item"",""id"&amp;""":11112855,""num"":150,""wgt"":80},{""typ"":""item"",""id"":11112855,""num"":300,""wgt"":20}]}}")</f>
        <v>{"drop":{"typ":"single_random","num":1,"args":[{"typ":"item","id":11112855,"num":90,"wgt":500},{"typ":"item","id":11112855,"num":100,"wgt":300},{"typ":"item","id":11112855,"num":120,"wgt":100},{"typ":"item","id":11112855,"num":150,"wgt":80},{"typ":"item","id":11112855,"num":300,"wgt":20}]}}</v>
      </c>
      <c r="T1052" s="148">
        <f>IFERROR(__xludf.DUMMYFUNCTION("""COMPUTED_VALUE"""),-1.0)</f>
        <v>-1</v>
      </c>
      <c r="U1052" s="148">
        <f>IFERROR(__xludf.DUMMYFUNCTION("""COMPUTED_VALUE"""),0.0)</f>
        <v>0</v>
      </c>
      <c r="V1052" s="148" t="str">
        <f>IFERROR(__xludf.DUMMYFUNCTION("""COMPUTED_VALUE"""),"[]")</f>
        <v>[]</v>
      </c>
      <c r="W1052" s="148">
        <f>IFERROR(__xludf.DUMMYFUNCTION("""COMPUTED_VALUE"""),1.174E7)</f>
        <v>11740000</v>
      </c>
      <c r="X1052" s="148">
        <f>IFERROR(__xludf.DUMMYFUNCTION("""COMPUTED_VALUE"""),0.0)</f>
        <v>0</v>
      </c>
      <c r="Y1052" s="148">
        <f>IFERROR(__xludf.DUMMYFUNCTION("""COMPUTED_VALUE"""),0.0)</f>
        <v>0</v>
      </c>
      <c r="Z1052" s="148"/>
    </row>
    <row r="1053">
      <c r="A1053" s="148">
        <f>IFERROR(__xludf.DUMMYFUNCTION("""COMPUTED_VALUE"""),1.1112865E7)</f>
        <v>11112865</v>
      </c>
      <c r="B1053" s="148" t="str">
        <f>IFERROR(__xludf.DUMMYFUNCTION("""COMPUTED_VALUE"""),"前期-单笔充值-联盟阶段奖励1")</f>
        <v>前期-单笔充值-联盟阶段奖励1</v>
      </c>
      <c r="C1053" s="148"/>
      <c r="D1053" s="148" t="str">
        <f>IFERROR(__xludf.DUMMYFUNCTION("""COMPUTED_VALUE"""),"item_asset")</f>
        <v>item_asset</v>
      </c>
      <c r="E1053" s="148">
        <f>IFERROR(__xludf.DUMMYFUNCTION("""COMPUTED_VALUE"""),19.0)</f>
        <v>19</v>
      </c>
      <c r="F1053" s="148">
        <f>IFERROR(__xludf.DUMMYFUNCTION("""COMPUTED_VALUE"""),0.0)</f>
        <v>0</v>
      </c>
      <c r="G1053" s="148">
        <f>IFERROR(__xludf.DUMMYFUNCTION("""COMPUTED_VALUE"""),1.5110352E7)</f>
        <v>15110352</v>
      </c>
      <c r="H1053" s="148">
        <f>IFERROR(__xludf.DUMMYFUNCTION("""COMPUTED_VALUE"""),1.5112564E7)</f>
        <v>15112564</v>
      </c>
      <c r="I1053" s="148" t="str">
        <f>IFERROR(__xludf.DUMMYFUNCTION("""COMPUTED_VALUE"""),"{}")</f>
        <v>{}</v>
      </c>
      <c r="J1053" s="148" t="str">
        <f>IFERROR(__xludf.DUMMYFUNCTION("""COMPUTED_VALUE"""),"{""typ"":""lc"",""txt"":""LC_EVENT_droptopay_tuohuang_box_name""}")</f>
        <v>{"typ":"lc","txt":"LC_EVENT_droptopay_tuohuang_box_name"}</v>
      </c>
      <c r="K1053" s="148" t="str">
        <f>IFERROR(__xludf.DUMMYFUNCTION("""COMPUTED_VALUE"""),"{""typ"":""lc"",""txt"":""LC_EVENT_droptopay_tuohuang_box_desc""}")</f>
        <v>{"typ":"lc","txt":"LC_EVENT_droptopay_tuohuang_box_desc"}</v>
      </c>
      <c r="L1053" s="148" t="str">
        <f>IFERROR(__xludf.DUMMYFUNCTION("""COMPUTED_VALUE"""),"{}")</f>
        <v>{}</v>
      </c>
      <c r="M1053" s="148">
        <f>IFERROR(__xludf.DUMMYFUNCTION("""COMPUTED_VALUE"""),1000.0)</f>
        <v>1000</v>
      </c>
      <c r="N1053" s="148">
        <f>IFERROR(__xludf.DUMMYFUNCTION("""COMPUTED_VALUE"""),999999.0)</f>
        <v>999999</v>
      </c>
      <c r="O1053" s="148">
        <f>IFERROR(__xludf.DUMMYFUNCTION("""COMPUTED_VALUE"""),99999.0)</f>
        <v>99999</v>
      </c>
      <c r="P1053" s="148">
        <f>IFERROR(__xludf.DUMMYFUNCTION("""COMPUTED_VALUE"""),9999.0)</f>
        <v>9999</v>
      </c>
      <c r="Q1053" s="148" t="str">
        <f>IFERROR(__xludf.DUMMYFUNCTION("""COMPUTED_VALUE"""),"[""bag_other""]")</f>
        <v>["bag_other"]</v>
      </c>
      <c r="R1053" s="148" t="str">
        <f>IFERROR(__xludf.DUMMYFUNCTION("""COMPUTED_VALUE"""),"[""bag""]")</f>
        <v>["bag"]</v>
      </c>
      <c r="S1053" s="148" t="str">
        <f>IFERROR(__xludf.DUMMYFUNCTION("""COMPUTED_VALUE"""),"{""drop"":{""typ"":""single_random"",""num"":1,""args"":[{""typ"":""item"",""id"":11111157,""num"":1,""wgt"":500},{""typ"":""item"",""id"":11116110,""num"":1,""wgt"":300},{""typ"":""item"",""id"":11112855,""num"":2,""wgt"":100},{""typ"":""item"",""id"":11"&amp;"112855,""num"":3,""wgt"":80},{""typ"":""item"",""id"":11112855,""num"":4,""wgt"":20}]}}")</f>
        <v>{"drop":{"typ":"single_random","num":1,"args":[{"typ":"item","id":11111157,"num":1,"wgt":500},{"typ":"item","id":11116110,"num":1,"wgt":300},{"typ":"item","id":11112855,"num":2,"wgt":100},{"typ":"item","id":11112855,"num":3,"wgt":80},{"typ":"item","id":11112855,"num":4,"wgt":20}]}}</v>
      </c>
      <c r="T1053" s="148">
        <f>IFERROR(__xludf.DUMMYFUNCTION("""COMPUTED_VALUE"""),-1.0)</f>
        <v>-1</v>
      </c>
      <c r="U1053" s="148">
        <f>IFERROR(__xludf.DUMMYFUNCTION("""COMPUTED_VALUE"""),0.0)</f>
        <v>0</v>
      </c>
      <c r="V1053" s="148" t="str">
        <f>IFERROR(__xludf.DUMMYFUNCTION("""COMPUTED_VALUE"""),"[]")</f>
        <v>[]</v>
      </c>
      <c r="W1053" s="148">
        <f>IFERROR(__xludf.DUMMYFUNCTION("""COMPUTED_VALUE"""),1.174E7)</f>
        <v>11740000</v>
      </c>
      <c r="X1053" s="148">
        <f>IFERROR(__xludf.DUMMYFUNCTION("""COMPUTED_VALUE"""),0.0)</f>
        <v>0</v>
      </c>
      <c r="Y1053" s="148">
        <f>IFERROR(__xludf.DUMMYFUNCTION("""COMPUTED_VALUE"""),0.0)</f>
        <v>0</v>
      </c>
      <c r="Z1053" s="148"/>
    </row>
    <row r="1054">
      <c r="A1054" s="148">
        <f>IFERROR(__xludf.DUMMYFUNCTION("""COMPUTED_VALUE"""),1.1112866E7)</f>
        <v>11112866</v>
      </c>
      <c r="B1054" s="148" t="str">
        <f>IFERROR(__xludf.DUMMYFUNCTION("""COMPUTED_VALUE"""),"前期-单笔充值-联盟阶段奖励2")</f>
        <v>前期-单笔充值-联盟阶段奖励2</v>
      </c>
      <c r="C1054" s="148"/>
      <c r="D1054" s="148" t="str">
        <f>IFERROR(__xludf.DUMMYFUNCTION("""COMPUTED_VALUE"""),"item_asset")</f>
        <v>item_asset</v>
      </c>
      <c r="E1054" s="148">
        <f>IFERROR(__xludf.DUMMYFUNCTION("""COMPUTED_VALUE"""),19.0)</f>
        <v>19</v>
      </c>
      <c r="F1054" s="148">
        <f>IFERROR(__xludf.DUMMYFUNCTION("""COMPUTED_VALUE"""),0.0)</f>
        <v>0</v>
      </c>
      <c r="G1054" s="148">
        <f>IFERROR(__xludf.DUMMYFUNCTION("""COMPUTED_VALUE"""),1.5110352E7)</f>
        <v>15110352</v>
      </c>
      <c r="H1054" s="148">
        <f>IFERROR(__xludf.DUMMYFUNCTION("""COMPUTED_VALUE"""),1.5112564E7)</f>
        <v>15112564</v>
      </c>
      <c r="I1054" s="148" t="str">
        <f>IFERROR(__xludf.DUMMYFUNCTION("""COMPUTED_VALUE"""),"{}")</f>
        <v>{}</v>
      </c>
      <c r="J1054" s="148" t="str">
        <f>IFERROR(__xludf.DUMMYFUNCTION("""COMPUTED_VALUE"""),"{""typ"":""lc"",""txt"":""LC_EVENT_droptopay_tuohuang_box_name""}")</f>
        <v>{"typ":"lc","txt":"LC_EVENT_droptopay_tuohuang_box_name"}</v>
      </c>
      <c r="K1054" s="148" t="str">
        <f>IFERROR(__xludf.DUMMYFUNCTION("""COMPUTED_VALUE"""),"{""typ"":""lc"",""txt"":""LC_EVENT_droptopay_tuohuang_box_desc""}")</f>
        <v>{"typ":"lc","txt":"LC_EVENT_droptopay_tuohuang_box_desc"}</v>
      </c>
      <c r="L1054" s="148" t="str">
        <f>IFERROR(__xludf.DUMMYFUNCTION("""COMPUTED_VALUE"""),"{}")</f>
        <v>{}</v>
      </c>
      <c r="M1054" s="148">
        <f>IFERROR(__xludf.DUMMYFUNCTION("""COMPUTED_VALUE"""),1000.0)</f>
        <v>1000</v>
      </c>
      <c r="N1054" s="148">
        <f>IFERROR(__xludf.DUMMYFUNCTION("""COMPUTED_VALUE"""),999999.0)</f>
        <v>999999</v>
      </c>
      <c r="O1054" s="148">
        <f>IFERROR(__xludf.DUMMYFUNCTION("""COMPUTED_VALUE"""),99999.0)</f>
        <v>99999</v>
      </c>
      <c r="P1054" s="148">
        <f>IFERROR(__xludf.DUMMYFUNCTION("""COMPUTED_VALUE"""),9999.0)</f>
        <v>9999</v>
      </c>
      <c r="Q1054" s="148" t="str">
        <f>IFERROR(__xludf.DUMMYFUNCTION("""COMPUTED_VALUE"""),"[""bag_other""]")</f>
        <v>["bag_other"]</v>
      </c>
      <c r="R1054" s="148" t="str">
        <f>IFERROR(__xludf.DUMMYFUNCTION("""COMPUTED_VALUE"""),"[""bag""]")</f>
        <v>["bag"]</v>
      </c>
      <c r="S1054" s="148" t="str">
        <f>IFERROR(__xludf.DUMMYFUNCTION("""COMPUTED_VALUE"""),"{""drop"":{""typ"":""single_random"",""num"":1,""args"":[{""typ"":""item"",""id"":11111157,""num"":1,""wgt"":500},{""typ"":""item"",""id"":11117069,""num"":2,""wgt"":300},{""typ"":""item"",""id"":11112855,""num"":4,""wgt"":100},{""typ"":""item"",""id"":11"&amp;"112855,""num"":5,""wgt"":80},{""typ"":""item"",""id"":11112855,""num"":6,""wgt"":20}]}}")</f>
        <v>{"drop":{"typ":"single_random","num":1,"args":[{"typ":"item","id":11111157,"num":1,"wgt":500},{"typ":"item","id":11117069,"num":2,"wgt":300},{"typ":"item","id":11112855,"num":4,"wgt":100},{"typ":"item","id":11112855,"num":5,"wgt":80},{"typ":"item","id":11112855,"num":6,"wgt":20}]}}</v>
      </c>
      <c r="T1054" s="148">
        <f>IFERROR(__xludf.DUMMYFUNCTION("""COMPUTED_VALUE"""),-1.0)</f>
        <v>-1</v>
      </c>
      <c r="U1054" s="148">
        <f>IFERROR(__xludf.DUMMYFUNCTION("""COMPUTED_VALUE"""),0.0)</f>
        <v>0</v>
      </c>
      <c r="V1054" s="148" t="str">
        <f>IFERROR(__xludf.DUMMYFUNCTION("""COMPUTED_VALUE"""),"[]")</f>
        <v>[]</v>
      </c>
      <c r="W1054" s="148">
        <f>IFERROR(__xludf.DUMMYFUNCTION("""COMPUTED_VALUE"""),1.174E7)</f>
        <v>11740000</v>
      </c>
      <c r="X1054" s="148">
        <f>IFERROR(__xludf.DUMMYFUNCTION("""COMPUTED_VALUE"""),0.0)</f>
        <v>0</v>
      </c>
      <c r="Y1054" s="148">
        <f>IFERROR(__xludf.DUMMYFUNCTION("""COMPUTED_VALUE"""),0.0)</f>
        <v>0</v>
      </c>
      <c r="Z1054" s="148"/>
    </row>
    <row r="1055">
      <c r="A1055" s="148">
        <f>IFERROR(__xludf.DUMMYFUNCTION("""COMPUTED_VALUE"""),1.1112867E7)</f>
        <v>11112867</v>
      </c>
      <c r="B1055" s="148" t="str">
        <f>IFERROR(__xludf.DUMMYFUNCTION("""COMPUTED_VALUE"""),"前期-单笔充值-联盟阶段奖励3")</f>
        <v>前期-单笔充值-联盟阶段奖励3</v>
      </c>
      <c r="C1055" s="148"/>
      <c r="D1055" s="148" t="str">
        <f>IFERROR(__xludf.DUMMYFUNCTION("""COMPUTED_VALUE"""),"item_asset")</f>
        <v>item_asset</v>
      </c>
      <c r="E1055" s="148">
        <f>IFERROR(__xludf.DUMMYFUNCTION("""COMPUTED_VALUE"""),19.0)</f>
        <v>19</v>
      </c>
      <c r="F1055" s="148">
        <f>IFERROR(__xludf.DUMMYFUNCTION("""COMPUTED_VALUE"""),0.0)</f>
        <v>0</v>
      </c>
      <c r="G1055" s="148">
        <f>IFERROR(__xludf.DUMMYFUNCTION("""COMPUTED_VALUE"""),1.5110352E7)</f>
        <v>15110352</v>
      </c>
      <c r="H1055" s="148">
        <f>IFERROR(__xludf.DUMMYFUNCTION("""COMPUTED_VALUE"""),1.5112564E7)</f>
        <v>15112564</v>
      </c>
      <c r="I1055" s="148" t="str">
        <f>IFERROR(__xludf.DUMMYFUNCTION("""COMPUTED_VALUE"""),"{}")</f>
        <v>{}</v>
      </c>
      <c r="J1055" s="148" t="str">
        <f>IFERROR(__xludf.DUMMYFUNCTION("""COMPUTED_VALUE"""),"{""typ"":""lc"",""txt"":""LC_EVENT_droptopay_tuohuang_box_name""}")</f>
        <v>{"typ":"lc","txt":"LC_EVENT_droptopay_tuohuang_box_name"}</v>
      </c>
      <c r="K1055" s="148" t="str">
        <f>IFERROR(__xludf.DUMMYFUNCTION("""COMPUTED_VALUE"""),"{""typ"":""lc"",""txt"":""LC_EVENT_droptopay_tuohuang_box_desc""}")</f>
        <v>{"typ":"lc","txt":"LC_EVENT_droptopay_tuohuang_box_desc"}</v>
      </c>
      <c r="L1055" s="148" t="str">
        <f>IFERROR(__xludf.DUMMYFUNCTION("""COMPUTED_VALUE"""),"{}")</f>
        <v>{}</v>
      </c>
      <c r="M1055" s="148">
        <f>IFERROR(__xludf.DUMMYFUNCTION("""COMPUTED_VALUE"""),1000.0)</f>
        <v>1000</v>
      </c>
      <c r="N1055" s="148">
        <f>IFERROR(__xludf.DUMMYFUNCTION("""COMPUTED_VALUE"""),999999.0)</f>
        <v>999999</v>
      </c>
      <c r="O1055" s="148">
        <f>IFERROR(__xludf.DUMMYFUNCTION("""COMPUTED_VALUE"""),99999.0)</f>
        <v>99999</v>
      </c>
      <c r="P1055" s="148">
        <f>IFERROR(__xludf.DUMMYFUNCTION("""COMPUTED_VALUE"""),9999.0)</f>
        <v>9999</v>
      </c>
      <c r="Q1055" s="148" t="str">
        <f>IFERROR(__xludf.DUMMYFUNCTION("""COMPUTED_VALUE"""),"[""bag_other""]")</f>
        <v>["bag_other"]</v>
      </c>
      <c r="R1055" s="148" t="str">
        <f>IFERROR(__xludf.DUMMYFUNCTION("""COMPUTED_VALUE"""),"[""bag""]")</f>
        <v>["bag"]</v>
      </c>
      <c r="S1055" s="148" t="str">
        <f>IFERROR(__xludf.DUMMYFUNCTION("""COMPUTED_VALUE"""),"{""drop"":{""typ"":""single_random"",""num"":1,""args"":[{""typ"":""item"",""id"":11111157,""num"":3,""wgt"":500},{""typ"":""item"",""id"":11118501,""num"":5,""wgt"":300},{""typ"":""item"",""id"":11112855,""num"":6,""wgt"":100},{""typ"":""item"",""id"":11"&amp;"112855,""num"":8,""wgt"":80},{""typ"":""item"",""id"":11112855,""num"":10,""wgt"":20}]}}")</f>
        <v>{"drop":{"typ":"single_random","num":1,"args":[{"typ":"item","id":11111157,"num":3,"wgt":500},{"typ":"item","id":11118501,"num":5,"wgt":300},{"typ":"item","id":11112855,"num":6,"wgt":100},{"typ":"item","id":11112855,"num":8,"wgt":80},{"typ":"item","id":11112855,"num":10,"wgt":20}]}}</v>
      </c>
      <c r="T1055" s="148">
        <f>IFERROR(__xludf.DUMMYFUNCTION("""COMPUTED_VALUE"""),-1.0)</f>
        <v>-1</v>
      </c>
      <c r="U1055" s="148">
        <f>IFERROR(__xludf.DUMMYFUNCTION("""COMPUTED_VALUE"""),0.0)</f>
        <v>0</v>
      </c>
      <c r="V1055" s="148" t="str">
        <f>IFERROR(__xludf.DUMMYFUNCTION("""COMPUTED_VALUE"""),"[]")</f>
        <v>[]</v>
      </c>
      <c r="W1055" s="148">
        <f>IFERROR(__xludf.DUMMYFUNCTION("""COMPUTED_VALUE"""),1.174E7)</f>
        <v>11740000</v>
      </c>
      <c r="X1055" s="148">
        <f>IFERROR(__xludf.DUMMYFUNCTION("""COMPUTED_VALUE"""),0.0)</f>
        <v>0</v>
      </c>
      <c r="Y1055" s="148">
        <f>IFERROR(__xludf.DUMMYFUNCTION("""COMPUTED_VALUE"""),0.0)</f>
        <v>0</v>
      </c>
      <c r="Z1055" s="148"/>
    </row>
    <row r="1056">
      <c r="A1056" s="148">
        <f>IFERROR(__xludf.DUMMYFUNCTION("""COMPUTED_VALUE"""),1.1112868E7)</f>
        <v>11112868</v>
      </c>
      <c r="B1056" s="148" t="str">
        <f>IFERROR(__xludf.DUMMYFUNCTION("""COMPUTED_VALUE"""),"前期-单笔充值-联盟阶段奖励4")</f>
        <v>前期-单笔充值-联盟阶段奖励4</v>
      </c>
      <c r="C1056" s="148"/>
      <c r="D1056" s="148" t="str">
        <f>IFERROR(__xludf.DUMMYFUNCTION("""COMPUTED_VALUE"""),"item_asset")</f>
        <v>item_asset</v>
      </c>
      <c r="E1056" s="148">
        <f>IFERROR(__xludf.DUMMYFUNCTION("""COMPUTED_VALUE"""),19.0)</f>
        <v>19</v>
      </c>
      <c r="F1056" s="148">
        <f>IFERROR(__xludf.DUMMYFUNCTION("""COMPUTED_VALUE"""),0.0)</f>
        <v>0</v>
      </c>
      <c r="G1056" s="148">
        <f>IFERROR(__xludf.DUMMYFUNCTION("""COMPUTED_VALUE"""),1.5110352E7)</f>
        <v>15110352</v>
      </c>
      <c r="H1056" s="148">
        <f>IFERROR(__xludf.DUMMYFUNCTION("""COMPUTED_VALUE"""),1.5112564E7)</f>
        <v>15112564</v>
      </c>
      <c r="I1056" s="148" t="str">
        <f>IFERROR(__xludf.DUMMYFUNCTION("""COMPUTED_VALUE"""),"{}")</f>
        <v>{}</v>
      </c>
      <c r="J1056" s="148" t="str">
        <f>IFERROR(__xludf.DUMMYFUNCTION("""COMPUTED_VALUE"""),"{""typ"":""lc"",""txt"":""LC_EVENT_droptopay_tuohuang_box_name""}")</f>
        <v>{"typ":"lc","txt":"LC_EVENT_droptopay_tuohuang_box_name"}</v>
      </c>
      <c r="K1056" s="148" t="str">
        <f>IFERROR(__xludf.DUMMYFUNCTION("""COMPUTED_VALUE"""),"{""typ"":""lc"",""txt"":""LC_EVENT_droptopay_tuohuang_box_desc""}")</f>
        <v>{"typ":"lc","txt":"LC_EVENT_droptopay_tuohuang_box_desc"}</v>
      </c>
      <c r="L1056" s="148" t="str">
        <f>IFERROR(__xludf.DUMMYFUNCTION("""COMPUTED_VALUE"""),"{}")</f>
        <v>{}</v>
      </c>
      <c r="M1056" s="148">
        <f>IFERROR(__xludf.DUMMYFUNCTION("""COMPUTED_VALUE"""),1000.0)</f>
        <v>1000</v>
      </c>
      <c r="N1056" s="148">
        <f>IFERROR(__xludf.DUMMYFUNCTION("""COMPUTED_VALUE"""),999999.0)</f>
        <v>999999</v>
      </c>
      <c r="O1056" s="148">
        <f>IFERROR(__xludf.DUMMYFUNCTION("""COMPUTED_VALUE"""),99999.0)</f>
        <v>99999</v>
      </c>
      <c r="P1056" s="148">
        <f>IFERROR(__xludf.DUMMYFUNCTION("""COMPUTED_VALUE"""),9999.0)</f>
        <v>9999</v>
      </c>
      <c r="Q1056" s="148" t="str">
        <f>IFERROR(__xludf.DUMMYFUNCTION("""COMPUTED_VALUE"""),"[""bag_other""]")</f>
        <v>["bag_other"]</v>
      </c>
      <c r="R1056" s="148" t="str">
        <f>IFERROR(__xludf.DUMMYFUNCTION("""COMPUTED_VALUE"""),"[""bag""]")</f>
        <v>["bag"]</v>
      </c>
      <c r="S1056" s="148" t="str">
        <f>IFERROR(__xludf.DUMMYFUNCTION("""COMPUTED_VALUE"""),"{""drop"":{""typ"":""single_random"",""num"":1,""args"":[{""typ"":""item"",""id"":11112855,""num"":8,""wgt"":500},{""typ"":""item"",""id"":11112855,""num"":10,""wgt"":300},{""typ"":""item"",""id"":11112855,""num"":12,""wgt"":100},{""typ"":""item"",""id"":"&amp;"11112855,""num"":15,""wgt"":80},{""typ"":""item"",""id"":11112855,""num"":30,""wgt"":20}]}}")</f>
        <v>{"drop":{"typ":"single_random","num":1,"args":[{"typ":"item","id":11112855,"num":8,"wgt":500},{"typ":"item","id":11112855,"num":10,"wgt":300},{"typ":"item","id":11112855,"num":12,"wgt":100},{"typ":"item","id":11112855,"num":15,"wgt":80},{"typ":"item","id":11112855,"num":30,"wgt":20}]}}</v>
      </c>
      <c r="T1056" s="148">
        <f>IFERROR(__xludf.DUMMYFUNCTION("""COMPUTED_VALUE"""),-1.0)</f>
        <v>-1</v>
      </c>
      <c r="U1056" s="148">
        <f>IFERROR(__xludf.DUMMYFUNCTION("""COMPUTED_VALUE"""),0.0)</f>
        <v>0</v>
      </c>
      <c r="V1056" s="148" t="str">
        <f>IFERROR(__xludf.DUMMYFUNCTION("""COMPUTED_VALUE"""),"[]")</f>
        <v>[]</v>
      </c>
      <c r="W1056" s="148">
        <f>IFERROR(__xludf.DUMMYFUNCTION("""COMPUTED_VALUE"""),1.174E7)</f>
        <v>11740000</v>
      </c>
      <c r="X1056" s="148">
        <f>IFERROR(__xludf.DUMMYFUNCTION("""COMPUTED_VALUE"""),0.0)</f>
        <v>0</v>
      </c>
      <c r="Y1056" s="148">
        <f>IFERROR(__xludf.DUMMYFUNCTION("""COMPUTED_VALUE"""),0.0)</f>
        <v>0</v>
      </c>
      <c r="Z1056" s="148"/>
    </row>
    <row r="1057">
      <c r="A1057" s="148">
        <f>IFERROR(__xludf.DUMMYFUNCTION("""COMPUTED_VALUE"""),1.1112869E7)</f>
        <v>11112869</v>
      </c>
      <c r="B1057" s="148" t="str">
        <f>IFERROR(__xludf.DUMMYFUNCTION("""COMPUTED_VALUE"""),"前期-单笔充值-联盟阶段奖励5")</f>
        <v>前期-单笔充值-联盟阶段奖励5</v>
      </c>
      <c r="C1057" s="148"/>
      <c r="D1057" s="148" t="str">
        <f>IFERROR(__xludf.DUMMYFUNCTION("""COMPUTED_VALUE"""),"item_asset")</f>
        <v>item_asset</v>
      </c>
      <c r="E1057" s="148">
        <f>IFERROR(__xludf.DUMMYFUNCTION("""COMPUTED_VALUE"""),19.0)</f>
        <v>19</v>
      </c>
      <c r="F1057" s="148">
        <f>IFERROR(__xludf.DUMMYFUNCTION("""COMPUTED_VALUE"""),0.0)</f>
        <v>0</v>
      </c>
      <c r="G1057" s="148">
        <f>IFERROR(__xludf.DUMMYFUNCTION("""COMPUTED_VALUE"""),1.5110352E7)</f>
        <v>15110352</v>
      </c>
      <c r="H1057" s="148">
        <f>IFERROR(__xludf.DUMMYFUNCTION("""COMPUTED_VALUE"""),1.5112564E7)</f>
        <v>15112564</v>
      </c>
      <c r="I1057" s="148" t="str">
        <f>IFERROR(__xludf.DUMMYFUNCTION("""COMPUTED_VALUE"""),"{}")</f>
        <v>{}</v>
      </c>
      <c r="J1057" s="148" t="str">
        <f>IFERROR(__xludf.DUMMYFUNCTION("""COMPUTED_VALUE"""),"{""typ"":""lc"",""txt"":""LC_EVENT_droptopay_tuohuang_box_name""}")</f>
        <v>{"typ":"lc","txt":"LC_EVENT_droptopay_tuohuang_box_name"}</v>
      </c>
      <c r="K1057" s="148" t="str">
        <f>IFERROR(__xludf.DUMMYFUNCTION("""COMPUTED_VALUE"""),"{""typ"":""lc"",""txt"":""LC_EVENT_droptopay_tuohuang_box_desc""}")</f>
        <v>{"typ":"lc","txt":"LC_EVENT_droptopay_tuohuang_box_desc"}</v>
      </c>
      <c r="L1057" s="148" t="str">
        <f>IFERROR(__xludf.DUMMYFUNCTION("""COMPUTED_VALUE"""),"{}")</f>
        <v>{}</v>
      </c>
      <c r="M1057" s="148">
        <f>IFERROR(__xludf.DUMMYFUNCTION("""COMPUTED_VALUE"""),1000.0)</f>
        <v>1000</v>
      </c>
      <c r="N1057" s="148">
        <f>IFERROR(__xludf.DUMMYFUNCTION("""COMPUTED_VALUE"""),999999.0)</f>
        <v>999999</v>
      </c>
      <c r="O1057" s="148">
        <f>IFERROR(__xludf.DUMMYFUNCTION("""COMPUTED_VALUE"""),99999.0)</f>
        <v>99999</v>
      </c>
      <c r="P1057" s="148">
        <f>IFERROR(__xludf.DUMMYFUNCTION("""COMPUTED_VALUE"""),9999.0)</f>
        <v>9999</v>
      </c>
      <c r="Q1057" s="148" t="str">
        <f>IFERROR(__xludf.DUMMYFUNCTION("""COMPUTED_VALUE"""),"[""bag_other""]")</f>
        <v>["bag_other"]</v>
      </c>
      <c r="R1057" s="148" t="str">
        <f>IFERROR(__xludf.DUMMYFUNCTION("""COMPUTED_VALUE"""),"[""bag""]")</f>
        <v>["bag"]</v>
      </c>
      <c r="S1057" s="148" t="str">
        <f>IFERROR(__xludf.DUMMYFUNCTION("""COMPUTED_VALUE"""),"{""drop"":{""typ"":""single_random"",""num"":1,""args"":[{""typ"":""item"",""id"":11112855,""num"":15,""wgt"":500},{""typ"":""item"",""id"":11112855,""num"":20,""wgt"":300},{""typ"":""item"",""id"":11112855,""num"":25,""wgt"":100},{""typ"":""item"",""id"""&amp;":11112855,""num"":35,""wgt"":80},{""typ"":""item"",""id"":11112855,""num"":50,""wgt"":20}]}}")</f>
        <v>{"drop":{"typ":"single_random","num":1,"args":[{"typ":"item","id":11112855,"num":15,"wgt":500},{"typ":"item","id":11112855,"num":20,"wgt":300},{"typ":"item","id":11112855,"num":25,"wgt":100},{"typ":"item","id":11112855,"num":35,"wgt":80},{"typ":"item","id":11112855,"num":50,"wgt":20}]}}</v>
      </c>
      <c r="T1057" s="148">
        <f>IFERROR(__xludf.DUMMYFUNCTION("""COMPUTED_VALUE"""),-1.0)</f>
        <v>-1</v>
      </c>
      <c r="U1057" s="148">
        <f>IFERROR(__xludf.DUMMYFUNCTION("""COMPUTED_VALUE"""),0.0)</f>
        <v>0</v>
      </c>
      <c r="V1057" s="148" t="str">
        <f>IFERROR(__xludf.DUMMYFUNCTION("""COMPUTED_VALUE"""),"[]")</f>
        <v>[]</v>
      </c>
      <c r="W1057" s="148">
        <f>IFERROR(__xludf.DUMMYFUNCTION("""COMPUTED_VALUE"""),1.174E7)</f>
        <v>11740000</v>
      </c>
      <c r="X1057" s="148">
        <f>IFERROR(__xludf.DUMMYFUNCTION("""COMPUTED_VALUE"""),0.0)</f>
        <v>0</v>
      </c>
      <c r="Y1057" s="148">
        <f>IFERROR(__xludf.DUMMYFUNCTION("""COMPUTED_VALUE"""),0.0)</f>
        <v>0</v>
      </c>
      <c r="Z1057" s="148"/>
    </row>
    <row r="1058">
      <c r="A1058" s="148">
        <f>IFERROR(__xludf.DUMMYFUNCTION("""COMPUTED_VALUE"""),1.111287E7)</f>
        <v>11112870</v>
      </c>
      <c r="B1058" s="148" t="str">
        <f>IFERROR(__xludf.DUMMYFUNCTION("""COMPUTED_VALUE"""),"前期-单笔充值-联盟阶段奖励6")</f>
        <v>前期-单笔充值-联盟阶段奖励6</v>
      </c>
      <c r="C1058" s="148"/>
      <c r="D1058" s="148" t="str">
        <f>IFERROR(__xludf.DUMMYFUNCTION("""COMPUTED_VALUE"""),"item_asset")</f>
        <v>item_asset</v>
      </c>
      <c r="E1058" s="148">
        <f>IFERROR(__xludf.DUMMYFUNCTION("""COMPUTED_VALUE"""),19.0)</f>
        <v>19</v>
      </c>
      <c r="F1058" s="148">
        <f>IFERROR(__xludf.DUMMYFUNCTION("""COMPUTED_VALUE"""),0.0)</f>
        <v>0</v>
      </c>
      <c r="G1058" s="148">
        <f>IFERROR(__xludf.DUMMYFUNCTION("""COMPUTED_VALUE"""),1.5110352E7)</f>
        <v>15110352</v>
      </c>
      <c r="H1058" s="148">
        <f>IFERROR(__xludf.DUMMYFUNCTION("""COMPUTED_VALUE"""),1.5112564E7)</f>
        <v>15112564</v>
      </c>
      <c r="I1058" s="148" t="str">
        <f>IFERROR(__xludf.DUMMYFUNCTION("""COMPUTED_VALUE"""),"{}")</f>
        <v>{}</v>
      </c>
      <c r="J1058" s="148" t="str">
        <f>IFERROR(__xludf.DUMMYFUNCTION("""COMPUTED_VALUE"""),"{""typ"":""lc"",""txt"":""LC_EVENT_droptopay_tuohuang_box_name""}")</f>
        <v>{"typ":"lc","txt":"LC_EVENT_droptopay_tuohuang_box_name"}</v>
      </c>
      <c r="K1058" s="148" t="str">
        <f>IFERROR(__xludf.DUMMYFUNCTION("""COMPUTED_VALUE"""),"{""typ"":""lc"",""txt"":""LC_EVENT_droptopay_tuohuang_box_desc""}")</f>
        <v>{"typ":"lc","txt":"LC_EVENT_droptopay_tuohuang_box_desc"}</v>
      </c>
      <c r="L1058" s="148" t="str">
        <f>IFERROR(__xludf.DUMMYFUNCTION("""COMPUTED_VALUE"""),"{}")</f>
        <v>{}</v>
      </c>
      <c r="M1058" s="148">
        <f>IFERROR(__xludf.DUMMYFUNCTION("""COMPUTED_VALUE"""),1000.0)</f>
        <v>1000</v>
      </c>
      <c r="N1058" s="148">
        <f>IFERROR(__xludf.DUMMYFUNCTION("""COMPUTED_VALUE"""),999999.0)</f>
        <v>999999</v>
      </c>
      <c r="O1058" s="148">
        <f>IFERROR(__xludf.DUMMYFUNCTION("""COMPUTED_VALUE"""),99999.0)</f>
        <v>99999</v>
      </c>
      <c r="P1058" s="148">
        <f>IFERROR(__xludf.DUMMYFUNCTION("""COMPUTED_VALUE"""),9999.0)</f>
        <v>9999</v>
      </c>
      <c r="Q1058" s="148" t="str">
        <f>IFERROR(__xludf.DUMMYFUNCTION("""COMPUTED_VALUE"""),"[""bag_other""]")</f>
        <v>["bag_other"]</v>
      </c>
      <c r="R1058" s="148" t="str">
        <f>IFERROR(__xludf.DUMMYFUNCTION("""COMPUTED_VALUE"""),"[""bag""]")</f>
        <v>["bag"]</v>
      </c>
      <c r="S1058" s="148" t="str">
        <f>IFERROR(__xludf.DUMMYFUNCTION("""COMPUTED_VALUE"""),"{""drop"":{""typ"":""single_random"",""num"":1,""args"":[{""typ"":""item"",""id"":11112855,""num"":25,""wgt"":500},{""typ"":""item"",""id"":11112855,""num"":30,""wgt"":300},{""typ"":""item"",""id"":11112855,""num"":35,""wgt"":100},{""typ"":""item"",""id"""&amp;":11112855,""num"":50,""wgt"":80},{""typ"":""item"",""id"":11112855,""num"":70,""wgt"":20}]}}")</f>
        <v>{"drop":{"typ":"single_random","num":1,"args":[{"typ":"item","id":11112855,"num":25,"wgt":500},{"typ":"item","id":11112855,"num":30,"wgt":300},{"typ":"item","id":11112855,"num":35,"wgt":100},{"typ":"item","id":11112855,"num":50,"wgt":80},{"typ":"item","id":11112855,"num":70,"wgt":20}]}}</v>
      </c>
      <c r="T1058" s="148">
        <f>IFERROR(__xludf.DUMMYFUNCTION("""COMPUTED_VALUE"""),-1.0)</f>
        <v>-1</v>
      </c>
      <c r="U1058" s="148">
        <f>IFERROR(__xludf.DUMMYFUNCTION("""COMPUTED_VALUE"""),0.0)</f>
        <v>0</v>
      </c>
      <c r="V1058" s="148" t="str">
        <f>IFERROR(__xludf.DUMMYFUNCTION("""COMPUTED_VALUE"""),"[]")</f>
        <v>[]</v>
      </c>
      <c r="W1058" s="148">
        <f>IFERROR(__xludf.DUMMYFUNCTION("""COMPUTED_VALUE"""),1.174E7)</f>
        <v>11740000</v>
      </c>
      <c r="X1058" s="148">
        <f>IFERROR(__xludf.DUMMYFUNCTION("""COMPUTED_VALUE"""),0.0)</f>
        <v>0</v>
      </c>
      <c r="Y1058" s="148">
        <f>IFERROR(__xludf.DUMMYFUNCTION("""COMPUTED_VALUE"""),0.0)</f>
        <v>0</v>
      </c>
      <c r="Z1058" s="148"/>
    </row>
    <row r="1059">
      <c r="A1059" s="148">
        <f>IFERROR(__xludf.DUMMYFUNCTION("""COMPUTED_VALUE"""),1.11129E7)</f>
        <v>11112900</v>
      </c>
      <c r="B1059" s="148" t="str">
        <f>IFERROR(__xludf.DUMMYFUNCTION("""COMPUTED_VALUE"""),"2026云上探宝-gacha道具")</f>
        <v>2026云上探宝-gacha道具</v>
      </c>
      <c r="C1059" s="148"/>
      <c r="D1059" s="148" t="str">
        <f>IFERROR(__xludf.DUMMYFUNCTION("""COMPUTED_VALUE"""),"event")</f>
        <v>event</v>
      </c>
      <c r="E1059" s="148">
        <f>IFERROR(__xludf.DUMMYFUNCTION("""COMPUTED_VALUE"""),0.0)</f>
        <v>0</v>
      </c>
      <c r="F1059" s="148">
        <f>IFERROR(__xludf.DUMMYFUNCTION("""COMPUTED_VALUE"""),405210.0)</f>
        <v>405210</v>
      </c>
      <c r="G1059" s="148">
        <f>IFERROR(__xludf.DUMMYFUNCTION("""COMPUTED_VALUE"""),1.51104281E8)</f>
        <v>151104281</v>
      </c>
      <c r="H1059" s="148">
        <f>IFERROR(__xludf.DUMMYFUNCTION("""COMPUTED_VALUE"""),1.5112564E7)</f>
        <v>15112564</v>
      </c>
      <c r="I1059" s="148" t="str">
        <f>IFERROR(__xludf.DUMMYFUNCTION("""COMPUTED_VALUE"""),"{}")</f>
        <v>{}</v>
      </c>
      <c r="J1059" s="148" t="str">
        <f>IFERROR(__xludf.DUMMYFUNCTION("""COMPUTED_VALUE"""),"{""typ"":""lc"",""txt"":""LC_ITEM_gird_gacha_item1""}")</f>
        <v>{"typ":"lc","txt":"LC_ITEM_gird_gacha_item1"}</v>
      </c>
      <c r="K1059" s="148" t="str">
        <f>IFERROR(__xludf.DUMMYFUNCTION("""COMPUTED_VALUE"""),"{""typ"":""lc"",""txt"":""LC_ITEM_gird_gacha_item1_desc""}")</f>
        <v>{"typ":"lc","txt":"LC_ITEM_gird_gacha_item1_desc"}</v>
      </c>
      <c r="L1059" s="148" t="str">
        <f>IFERROR(__xludf.DUMMYFUNCTION("""COMPUTED_VALUE"""),"{}")</f>
        <v>{}</v>
      </c>
      <c r="M1059" s="148">
        <f>IFERROR(__xludf.DUMMYFUNCTION("""COMPUTED_VALUE"""),700.0)</f>
        <v>700</v>
      </c>
      <c r="N1059" s="148">
        <f>IFERROR(__xludf.DUMMYFUNCTION("""COMPUTED_VALUE"""),9.99999999E8)</f>
        <v>999999999</v>
      </c>
      <c r="O1059" s="148">
        <f>IFERROR(__xludf.DUMMYFUNCTION("""COMPUTED_VALUE"""),9.99999999E8)</f>
        <v>999999999</v>
      </c>
      <c r="P1059" s="148">
        <f>IFERROR(__xludf.DUMMYFUNCTION("""COMPUTED_VALUE"""),9.99999999E8)</f>
        <v>999999999</v>
      </c>
      <c r="Q1059" s="148" t="str">
        <f>IFERROR(__xludf.DUMMYFUNCTION("""COMPUTED_VALUE"""),"[""bag_other""]")</f>
        <v>["bag_other"]</v>
      </c>
      <c r="R1059" s="148" t="str">
        <f>IFERROR(__xludf.DUMMYFUNCTION("""COMPUTED_VALUE"""),"[""bag""]")</f>
        <v>["bag"]</v>
      </c>
      <c r="S1059" s="148" t="str">
        <f>IFERROR(__xludf.DUMMYFUNCTION("""COMPUTED_VALUE"""),"{""effect"":[{""typ"":""actv_open"",""arg2"":[21127705]}]}")</f>
        <v>{"effect":[{"typ":"actv_open","arg2":[21127705]}]}</v>
      </c>
      <c r="T1059" s="148">
        <f>IFERROR(__xludf.DUMMYFUNCTION("""COMPUTED_VALUE"""),1.0)</f>
        <v>1</v>
      </c>
      <c r="U1059" s="148">
        <f>IFERROR(__xludf.DUMMYFUNCTION("""COMPUTED_VALUE"""),0.0)</f>
        <v>0</v>
      </c>
      <c r="V1059" s="148" t="str">
        <f>IFERROR(__xludf.DUMMYFUNCTION("""COMPUTED_VALUE"""),"[]")</f>
        <v>[]</v>
      </c>
      <c r="W1059" s="148">
        <f>IFERROR(__xludf.DUMMYFUNCTION("""COMPUTED_VALUE"""),1.174E7)</f>
        <v>11740000</v>
      </c>
      <c r="X1059" s="148">
        <f>IFERROR(__xludf.DUMMYFUNCTION("""COMPUTED_VALUE"""),0.0)</f>
        <v>0</v>
      </c>
      <c r="Y1059" s="148">
        <f>IFERROR(__xludf.DUMMYFUNCTION("""COMPUTED_VALUE"""),0.0)</f>
        <v>0</v>
      </c>
      <c r="Z1059" s="148"/>
    </row>
    <row r="1060">
      <c r="A1060" s="148">
        <f>IFERROR(__xludf.DUMMYFUNCTION("""COMPUTED_VALUE"""),1.1112901E7)</f>
        <v>11112901</v>
      </c>
      <c r="B1060" s="148" t="str">
        <f>IFERROR(__xludf.DUMMYFUNCTION("""COMPUTED_VALUE"""),"2026云上探宝-普通模式特殊道具")</f>
        <v>2026云上探宝-普通模式特殊道具</v>
      </c>
      <c r="C1060" s="148"/>
      <c r="D1060" s="148" t="str">
        <f>IFERROR(__xludf.DUMMYFUNCTION("""COMPUTED_VALUE"""),"event")</f>
        <v>event</v>
      </c>
      <c r="E1060" s="148">
        <f>IFERROR(__xludf.DUMMYFUNCTION("""COMPUTED_VALUE"""),0.0)</f>
        <v>0</v>
      </c>
      <c r="F1060" s="148">
        <f>IFERROR(__xludf.DUMMYFUNCTION("""COMPUTED_VALUE"""),405210.0)</f>
        <v>405210</v>
      </c>
      <c r="G1060" s="148">
        <f>IFERROR(__xludf.DUMMYFUNCTION("""COMPUTED_VALUE"""),1.51104283E8)</f>
        <v>151104283</v>
      </c>
      <c r="H1060" s="148">
        <f>IFERROR(__xludf.DUMMYFUNCTION("""COMPUTED_VALUE"""),1.5112564E7)</f>
        <v>15112564</v>
      </c>
      <c r="I1060" s="148" t="str">
        <f>IFERROR(__xludf.DUMMYFUNCTION("""COMPUTED_VALUE"""),"{}")</f>
        <v>{}</v>
      </c>
      <c r="J1060" s="148" t="str">
        <f>IFERROR(__xludf.DUMMYFUNCTION("""COMPUTED_VALUE"""),"{""typ"":""lc"",""txt"":""LC_ITEM_gird_gacha_item3""}")</f>
        <v>{"typ":"lc","txt":"LC_ITEM_gird_gacha_item3"}</v>
      </c>
      <c r="K1060" s="148" t="str">
        <f>IFERROR(__xludf.DUMMYFUNCTION("""COMPUTED_VALUE"""),"{""typ"":""lc"",""txt"":""LC_ITEM_gird_gacha_item3_desc""}")</f>
        <v>{"typ":"lc","txt":"LC_ITEM_gird_gacha_item3_desc"}</v>
      </c>
      <c r="L1060" s="148" t="str">
        <f>IFERROR(__xludf.DUMMYFUNCTION("""COMPUTED_VALUE"""),"{}")</f>
        <v>{}</v>
      </c>
      <c r="M1060" s="148">
        <f>IFERROR(__xludf.DUMMYFUNCTION("""COMPUTED_VALUE"""),700.0)</f>
        <v>700</v>
      </c>
      <c r="N1060" s="148">
        <f>IFERROR(__xludf.DUMMYFUNCTION("""COMPUTED_VALUE"""),9.99999999E8)</f>
        <v>999999999</v>
      </c>
      <c r="O1060" s="148">
        <f>IFERROR(__xludf.DUMMYFUNCTION("""COMPUTED_VALUE"""),9.99999999E8)</f>
        <v>999999999</v>
      </c>
      <c r="P1060" s="148">
        <f>IFERROR(__xludf.DUMMYFUNCTION("""COMPUTED_VALUE"""),9.99999999E8)</f>
        <v>999999999</v>
      </c>
      <c r="Q1060" s="148" t="str">
        <f>IFERROR(__xludf.DUMMYFUNCTION("""COMPUTED_VALUE"""),"[]")</f>
        <v>[]</v>
      </c>
      <c r="R1060" s="148" t="str">
        <f>IFERROR(__xludf.DUMMYFUNCTION("""COMPUTED_VALUE"""),"[]")</f>
        <v>[]</v>
      </c>
      <c r="S1060" s="148" t="str">
        <f>IFERROR(__xludf.DUMMYFUNCTION("""COMPUTED_VALUE"""),"{}")</f>
        <v>{}</v>
      </c>
      <c r="T1060" s="148">
        <f>IFERROR(__xludf.DUMMYFUNCTION("""COMPUTED_VALUE"""),1.0)</f>
        <v>1</v>
      </c>
      <c r="U1060" s="148">
        <f>IFERROR(__xludf.DUMMYFUNCTION("""COMPUTED_VALUE"""),0.0)</f>
        <v>0</v>
      </c>
      <c r="V1060" s="148" t="str">
        <f>IFERROR(__xludf.DUMMYFUNCTION("""COMPUTED_VALUE"""),"[]")</f>
        <v>[]</v>
      </c>
      <c r="W1060" s="148">
        <f>IFERROR(__xludf.DUMMYFUNCTION("""COMPUTED_VALUE"""),1.174E7)</f>
        <v>11740000</v>
      </c>
      <c r="X1060" s="148">
        <f>IFERROR(__xludf.DUMMYFUNCTION("""COMPUTED_VALUE"""),0.0)</f>
        <v>0</v>
      </c>
      <c r="Y1060" s="148">
        <f>IFERROR(__xludf.DUMMYFUNCTION("""COMPUTED_VALUE"""),0.0)</f>
        <v>0</v>
      </c>
      <c r="Z1060" s="148"/>
    </row>
    <row r="1061">
      <c r="A1061" s="148">
        <f>IFERROR(__xludf.DUMMYFUNCTION("""COMPUTED_VALUE"""),1.1112902E7)</f>
        <v>11112902</v>
      </c>
      <c r="B1061" s="148" t="str">
        <f>IFERROR(__xludf.DUMMYFUNCTION("""COMPUTED_VALUE"""),"2026云上探宝-福利模式特殊道具1")</f>
        <v>2026云上探宝-福利模式特殊道具1</v>
      </c>
      <c r="C1061" s="148"/>
      <c r="D1061" s="148" t="str">
        <f>IFERROR(__xludf.DUMMYFUNCTION("""COMPUTED_VALUE"""),"event")</f>
        <v>event</v>
      </c>
      <c r="E1061" s="148">
        <f>IFERROR(__xludf.DUMMYFUNCTION("""COMPUTED_VALUE"""),0.0)</f>
        <v>0</v>
      </c>
      <c r="F1061" s="148">
        <f>IFERROR(__xludf.DUMMYFUNCTION("""COMPUTED_VALUE"""),405210.0)</f>
        <v>405210</v>
      </c>
      <c r="G1061" s="148">
        <f>IFERROR(__xludf.DUMMYFUNCTION("""COMPUTED_VALUE"""),1.51104284E8)</f>
        <v>151104284</v>
      </c>
      <c r="H1061" s="148">
        <f>IFERROR(__xludf.DUMMYFUNCTION("""COMPUTED_VALUE"""),1.5112564E7)</f>
        <v>15112564</v>
      </c>
      <c r="I1061" s="148" t="str">
        <f>IFERROR(__xludf.DUMMYFUNCTION("""COMPUTED_VALUE"""),"{}")</f>
        <v>{}</v>
      </c>
      <c r="J1061" s="148" t="str">
        <f>IFERROR(__xludf.DUMMYFUNCTION("""COMPUTED_VALUE"""),"{""typ"":""lc"",""txt"":""LC_ITEM_gird_gacha_item4""}")</f>
        <v>{"typ":"lc","txt":"LC_ITEM_gird_gacha_item4"}</v>
      </c>
      <c r="K1061" s="148" t="str">
        <f>IFERROR(__xludf.DUMMYFUNCTION("""COMPUTED_VALUE"""),"{""typ"":""lc"",""txt"":""LC_ITEM_gird_gacha_item4_desc""}")</f>
        <v>{"typ":"lc","txt":"LC_ITEM_gird_gacha_item4_desc"}</v>
      </c>
      <c r="L1061" s="148" t="str">
        <f>IFERROR(__xludf.DUMMYFUNCTION("""COMPUTED_VALUE"""),"{}")</f>
        <v>{}</v>
      </c>
      <c r="M1061" s="148">
        <f>IFERROR(__xludf.DUMMYFUNCTION("""COMPUTED_VALUE"""),700.0)</f>
        <v>700</v>
      </c>
      <c r="N1061" s="148">
        <f>IFERROR(__xludf.DUMMYFUNCTION("""COMPUTED_VALUE"""),9.99999999E8)</f>
        <v>999999999</v>
      </c>
      <c r="O1061" s="148">
        <f>IFERROR(__xludf.DUMMYFUNCTION("""COMPUTED_VALUE"""),9.99999999E8)</f>
        <v>999999999</v>
      </c>
      <c r="P1061" s="148">
        <f>IFERROR(__xludf.DUMMYFUNCTION("""COMPUTED_VALUE"""),9.99999999E8)</f>
        <v>999999999</v>
      </c>
      <c r="Q1061" s="148" t="str">
        <f>IFERROR(__xludf.DUMMYFUNCTION("""COMPUTED_VALUE"""),"[]")</f>
        <v>[]</v>
      </c>
      <c r="R1061" s="148" t="str">
        <f>IFERROR(__xludf.DUMMYFUNCTION("""COMPUTED_VALUE"""),"[]")</f>
        <v>[]</v>
      </c>
      <c r="S1061" s="148" t="str">
        <f>IFERROR(__xludf.DUMMYFUNCTION("""COMPUTED_VALUE"""),"{}")</f>
        <v>{}</v>
      </c>
      <c r="T1061" s="148">
        <f>IFERROR(__xludf.DUMMYFUNCTION("""COMPUTED_VALUE"""),1.0)</f>
        <v>1</v>
      </c>
      <c r="U1061" s="148">
        <f>IFERROR(__xludf.DUMMYFUNCTION("""COMPUTED_VALUE"""),0.0)</f>
        <v>0</v>
      </c>
      <c r="V1061" s="148" t="str">
        <f>IFERROR(__xludf.DUMMYFUNCTION("""COMPUTED_VALUE"""),"[]")</f>
        <v>[]</v>
      </c>
      <c r="W1061" s="148">
        <f>IFERROR(__xludf.DUMMYFUNCTION("""COMPUTED_VALUE"""),1.174E7)</f>
        <v>11740000</v>
      </c>
      <c r="X1061" s="148">
        <f>IFERROR(__xludf.DUMMYFUNCTION("""COMPUTED_VALUE"""),0.0)</f>
        <v>0</v>
      </c>
      <c r="Y1061" s="148">
        <f>IFERROR(__xludf.DUMMYFUNCTION("""COMPUTED_VALUE"""),0.0)</f>
        <v>0</v>
      </c>
      <c r="Z1061" s="148"/>
    </row>
    <row r="1062">
      <c r="A1062" s="148">
        <f>IFERROR(__xludf.DUMMYFUNCTION("""COMPUTED_VALUE"""),1.1112903E7)</f>
        <v>11112903</v>
      </c>
      <c r="B1062" s="148" t="str">
        <f>IFERROR(__xludf.DUMMYFUNCTION("""COMPUTED_VALUE"""),"2026云上探宝-福利模式特殊道具2")</f>
        <v>2026云上探宝-福利模式特殊道具2</v>
      </c>
      <c r="C1062" s="148"/>
      <c r="D1062" s="148" t="str">
        <f>IFERROR(__xludf.DUMMYFUNCTION("""COMPUTED_VALUE"""),"event")</f>
        <v>event</v>
      </c>
      <c r="E1062" s="148">
        <f>IFERROR(__xludf.DUMMYFUNCTION("""COMPUTED_VALUE"""),0.0)</f>
        <v>0</v>
      </c>
      <c r="F1062" s="148">
        <f>IFERROR(__xludf.DUMMYFUNCTION("""COMPUTED_VALUE"""),405210.0)</f>
        <v>405210</v>
      </c>
      <c r="G1062" s="148">
        <f>IFERROR(__xludf.DUMMYFUNCTION("""COMPUTED_VALUE"""),1.51104285E8)</f>
        <v>151104285</v>
      </c>
      <c r="H1062" s="148">
        <f>IFERROR(__xludf.DUMMYFUNCTION("""COMPUTED_VALUE"""),1.5112564E7)</f>
        <v>15112564</v>
      </c>
      <c r="I1062" s="148" t="str">
        <f>IFERROR(__xludf.DUMMYFUNCTION("""COMPUTED_VALUE"""),"{}")</f>
        <v>{}</v>
      </c>
      <c r="J1062" s="148" t="str">
        <f>IFERROR(__xludf.DUMMYFUNCTION("""COMPUTED_VALUE"""),"{""typ"":""lc"",""txt"":""LC_ITEM_gird_gacha_item5""}")</f>
        <v>{"typ":"lc","txt":"LC_ITEM_gird_gacha_item5"}</v>
      </c>
      <c r="K1062" s="148" t="str">
        <f>IFERROR(__xludf.DUMMYFUNCTION("""COMPUTED_VALUE"""),"{""typ"":""lc"",""txt"":""LC_ITEM_gird_gacha_item5_desc""}")</f>
        <v>{"typ":"lc","txt":"LC_ITEM_gird_gacha_item5_desc"}</v>
      </c>
      <c r="L1062" s="148" t="str">
        <f>IFERROR(__xludf.DUMMYFUNCTION("""COMPUTED_VALUE"""),"{}")</f>
        <v>{}</v>
      </c>
      <c r="M1062" s="148">
        <f>IFERROR(__xludf.DUMMYFUNCTION("""COMPUTED_VALUE"""),700.0)</f>
        <v>700</v>
      </c>
      <c r="N1062" s="148">
        <f>IFERROR(__xludf.DUMMYFUNCTION("""COMPUTED_VALUE"""),9.99999999E8)</f>
        <v>999999999</v>
      </c>
      <c r="O1062" s="148">
        <f>IFERROR(__xludf.DUMMYFUNCTION("""COMPUTED_VALUE"""),9.99999999E8)</f>
        <v>999999999</v>
      </c>
      <c r="P1062" s="148">
        <f>IFERROR(__xludf.DUMMYFUNCTION("""COMPUTED_VALUE"""),9.99999999E8)</f>
        <v>999999999</v>
      </c>
      <c r="Q1062" s="148" t="str">
        <f>IFERROR(__xludf.DUMMYFUNCTION("""COMPUTED_VALUE"""),"[]")</f>
        <v>[]</v>
      </c>
      <c r="R1062" s="148" t="str">
        <f>IFERROR(__xludf.DUMMYFUNCTION("""COMPUTED_VALUE"""),"[]")</f>
        <v>[]</v>
      </c>
      <c r="S1062" s="148" t="str">
        <f>IFERROR(__xludf.DUMMYFUNCTION("""COMPUTED_VALUE"""),"{}")</f>
        <v>{}</v>
      </c>
      <c r="T1062" s="148">
        <f>IFERROR(__xludf.DUMMYFUNCTION("""COMPUTED_VALUE"""),1.0)</f>
        <v>1</v>
      </c>
      <c r="U1062" s="148">
        <f>IFERROR(__xludf.DUMMYFUNCTION("""COMPUTED_VALUE"""),0.0)</f>
        <v>0</v>
      </c>
      <c r="V1062" s="148" t="str">
        <f>IFERROR(__xludf.DUMMYFUNCTION("""COMPUTED_VALUE"""),"[]")</f>
        <v>[]</v>
      </c>
      <c r="W1062" s="148">
        <f>IFERROR(__xludf.DUMMYFUNCTION("""COMPUTED_VALUE"""),1.174E7)</f>
        <v>11740000</v>
      </c>
      <c r="X1062" s="148">
        <f>IFERROR(__xludf.DUMMYFUNCTION("""COMPUTED_VALUE"""),0.0)</f>
        <v>0</v>
      </c>
      <c r="Y1062" s="148">
        <f>IFERROR(__xludf.DUMMYFUNCTION("""COMPUTED_VALUE"""),0.0)</f>
        <v>0</v>
      </c>
      <c r="Z1062" s="148"/>
    </row>
    <row r="1063">
      <c r="A1063" s="148">
        <f>IFERROR(__xludf.DUMMYFUNCTION("""COMPUTED_VALUE"""),1.1112904E7)</f>
        <v>11112904</v>
      </c>
      <c r="B1063" s="148" t="str">
        <f>IFERROR(__xludf.DUMMYFUNCTION("""COMPUTED_VALUE"""),"2026云上探宝-福利模式特殊道具3")</f>
        <v>2026云上探宝-福利模式特殊道具3</v>
      </c>
      <c r="C1063" s="148"/>
      <c r="D1063" s="148" t="str">
        <f>IFERROR(__xludf.DUMMYFUNCTION("""COMPUTED_VALUE"""),"event")</f>
        <v>event</v>
      </c>
      <c r="E1063" s="148">
        <f>IFERROR(__xludf.DUMMYFUNCTION("""COMPUTED_VALUE"""),0.0)</f>
        <v>0</v>
      </c>
      <c r="F1063" s="148">
        <f>IFERROR(__xludf.DUMMYFUNCTION("""COMPUTED_VALUE"""),405210.0)</f>
        <v>405210</v>
      </c>
      <c r="G1063" s="148">
        <f>IFERROR(__xludf.DUMMYFUNCTION("""COMPUTED_VALUE"""),1.51104286E8)</f>
        <v>151104286</v>
      </c>
      <c r="H1063" s="148">
        <f>IFERROR(__xludf.DUMMYFUNCTION("""COMPUTED_VALUE"""),1.5112564E7)</f>
        <v>15112564</v>
      </c>
      <c r="I1063" s="148" t="str">
        <f>IFERROR(__xludf.DUMMYFUNCTION("""COMPUTED_VALUE"""),"{}")</f>
        <v>{}</v>
      </c>
      <c r="J1063" s="148" t="str">
        <f>IFERROR(__xludf.DUMMYFUNCTION("""COMPUTED_VALUE"""),"{""typ"":""lc"",""txt"":""LC_ITEM_gird_gacha_item6""}")</f>
        <v>{"typ":"lc","txt":"LC_ITEM_gird_gacha_item6"}</v>
      </c>
      <c r="K1063" s="148" t="str">
        <f>IFERROR(__xludf.DUMMYFUNCTION("""COMPUTED_VALUE"""),"{""typ"":""lc"",""txt"":""LC_ITEM_gird_gacha_item6_desc""}")</f>
        <v>{"typ":"lc","txt":"LC_ITEM_gird_gacha_item6_desc"}</v>
      </c>
      <c r="L1063" s="148" t="str">
        <f>IFERROR(__xludf.DUMMYFUNCTION("""COMPUTED_VALUE"""),"{}")</f>
        <v>{}</v>
      </c>
      <c r="M1063" s="148">
        <f>IFERROR(__xludf.DUMMYFUNCTION("""COMPUTED_VALUE"""),700.0)</f>
        <v>700</v>
      </c>
      <c r="N1063" s="148">
        <f>IFERROR(__xludf.DUMMYFUNCTION("""COMPUTED_VALUE"""),9.99999999E8)</f>
        <v>999999999</v>
      </c>
      <c r="O1063" s="148">
        <f>IFERROR(__xludf.DUMMYFUNCTION("""COMPUTED_VALUE"""),9.99999999E8)</f>
        <v>999999999</v>
      </c>
      <c r="P1063" s="148">
        <f>IFERROR(__xludf.DUMMYFUNCTION("""COMPUTED_VALUE"""),9.99999999E8)</f>
        <v>999999999</v>
      </c>
      <c r="Q1063" s="148" t="str">
        <f>IFERROR(__xludf.DUMMYFUNCTION("""COMPUTED_VALUE"""),"[]")</f>
        <v>[]</v>
      </c>
      <c r="R1063" s="148" t="str">
        <f>IFERROR(__xludf.DUMMYFUNCTION("""COMPUTED_VALUE"""),"[]")</f>
        <v>[]</v>
      </c>
      <c r="S1063" s="148" t="str">
        <f>IFERROR(__xludf.DUMMYFUNCTION("""COMPUTED_VALUE"""),"{}")</f>
        <v>{}</v>
      </c>
      <c r="T1063" s="148">
        <f>IFERROR(__xludf.DUMMYFUNCTION("""COMPUTED_VALUE"""),1.0)</f>
        <v>1</v>
      </c>
      <c r="U1063" s="148">
        <f>IFERROR(__xludf.DUMMYFUNCTION("""COMPUTED_VALUE"""),0.0)</f>
        <v>0</v>
      </c>
      <c r="V1063" s="148" t="str">
        <f>IFERROR(__xludf.DUMMYFUNCTION("""COMPUTED_VALUE"""),"[]")</f>
        <v>[]</v>
      </c>
      <c r="W1063" s="148">
        <f>IFERROR(__xludf.DUMMYFUNCTION("""COMPUTED_VALUE"""),1.174E7)</f>
        <v>11740000</v>
      </c>
      <c r="X1063" s="148">
        <f>IFERROR(__xludf.DUMMYFUNCTION("""COMPUTED_VALUE"""),0.0)</f>
        <v>0</v>
      </c>
      <c r="Y1063" s="148">
        <f>IFERROR(__xludf.DUMMYFUNCTION("""COMPUTED_VALUE"""),0.0)</f>
        <v>0</v>
      </c>
      <c r="Z1063" s="148"/>
    </row>
    <row r="1064">
      <c r="A1064" s="148">
        <f>IFERROR(__xludf.DUMMYFUNCTION("""COMPUTED_VALUE"""),1.1112905E7)</f>
        <v>11112905</v>
      </c>
      <c r="B1064" s="148" t="str">
        <f>IFERROR(__xludf.DUMMYFUNCTION("""COMPUTED_VALUE"""),"2026云上探宝-福利模式特殊道具4")</f>
        <v>2026云上探宝-福利模式特殊道具4</v>
      </c>
      <c r="C1064" s="148"/>
      <c r="D1064" s="148" t="str">
        <f>IFERROR(__xludf.DUMMYFUNCTION("""COMPUTED_VALUE"""),"event")</f>
        <v>event</v>
      </c>
      <c r="E1064" s="148">
        <f>IFERROR(__xludf.DUMMYFUNCTION("""COMPUTED_VALUE"""),0.0)</f>
        <v>0</v>
      </c>
      <c r="F1064" s="148">
        <f>IFERROR(__xludf.DUMMYFUNCTION("""COMPUTED_VALUE"""),405210.0)</f>
        <v>405210</v>
      </c>
      <c r="G1064" s="148">
        <f>IFERROR(__xludf.DUMMYFUNCTION("""COMPUTED_VALUE"""),1.51104287E8)</f>
        <v>151104287</v>
      </c>
      <c r="H1064" s="148">
        <f>IFERROR(__xludf.DUMMYFUNCTION("""COMPUTED_VALUE"""),1.5112564E7)</f>
        <v>15112564</v>
      </c>
      <c r="I1064" s="148" t="str">
        <f>IFERROR(__xludf.DUMMYFUNCTION("""COMPUTED_VALUE"""),"{}")</f>
        <v>{}</v>
      </c>
      <c r="J1064" s="148" t="str">
        <f>IFERROR(__xludf.DUMMYFUNCTION("""COMPUTED_VALUE"""),"{""typ"":""lc"",""txt"":""LC_ITEM_gird_gacha_item7""}")</f>
        <v>{"typ":"lc","txt":"LC_ITEM_gird_gacha_item7"}</v>
      </c>
      <c r="K1064" s="148" t="str">
        <f>IFERROR(__xludf.DUMMYFUNCTION("""COMPUTED_VALUE"""),"{""typ"":""lc"",""txt"":""LC_ITEM_gird_gacha_item7_desc""}")</f>
        <v>{"typ":"lc","txt":"LC_ITEM_gird_gacha_item7_desc"}</v>
      </c>
      <c r="L1064" s="148" t="str">
        <f>IFERROR(__xludf.DUMMYFUNCTION("""COMPUTED_VALUE"""),"{}")</f>
        <v>{}</v>
      </c>
      <c r="M1064" s="148">
        <f>IFERROR(__xludf.DUMMYFUNCTION("""COMPUTED_VALUE"""),700.0)</f>
        <v>700</v>
      </c>
      <c r="N1064" s="148">
        <f>IFERROR(__xludf.DUMMYFUNCTION("""COMPUTED_VALUE"""),9.99999999E8)</f>
        <v>999999999</v>
      </c>
      <c r="O1064" s="148">
        <f>IFERROR(__xludf.DUMMYFUNCTION("""COMPUTED_VALUE"""),9.99999999E8)</f>
        <v>999999999</v>
      </c>
      <c r="P1064" s="148">
        <f>IFERROR(__xludf.DUMMYFUNCTION("""COMPUTED_VALUE"""),9.99999999E8)</f>
        <v>999999999</v>
      </c>
      <c r="Q1064" s="148" t="str">
        <f>IFERROR(__xludf.DUMMYFUNCTION("""COMPUTED_VALUE"""),"[]")</f>
        <v>[]</v>
      </c>
      <c r="R1064" s="148" t="str">
        <f>IFERROR(__xludf.DUMMYFUNCTION("""COMPUTED_VALUE"""),"[]")</f>
        <v>[]</v>
      </c>
      <c r="S1064" s="148" t="str">
        <f>IFERROR(__xludf.DUMMYFUNCTION("""COMPUTED_VALUE"""),"{}")</f>
        <v>{}</v>
      </c>
      <c r="T1064" s="148">
        <f>IFERROR(__xludf.DUMMYFUNCTION("""COMPUTED_VALUE"""),1.0)</f>
        <v>1</v>
      </c>
      <c r="U1064" s="148">
        <f>IFERROR(__xludf.DUMMYFUNCTION("""COMPUTED_VALUE"""),0.0)</f>
        <v>0</v>
      </c>
      <c r="V1064" s="148" t="str">
        <f>IFERROR(__xludf.DUMMYFUNCTION("""COMPUTED_VALUE"""),"[]")</f>
        <v>[]</v>
      </c>
      <c r="W1064" s="148">
        <f>IFERROR(__xludf.DUMMYFUNCTION("""COMPUTED_VALUE"""),1.174E7)</f>
        <v>11740000</v>
      </c>
      <c r="X1064" s="148">
        <f>IFERROR(__xludf.DUMMYFUNCTION("""COMPUTED_VALUE"""),0.0)</f>
        <v>0</v>
      </c>
      <c r="Y1064" s="148">
        <f>IFERROR(__xludf.DUMMYFUNCTION("""COMPUTED_VALUE"""),0.0)</f>
        <v>0</v>
      </c>
      <c r="Z1064" s="148"/>
    </row>
    <row r="1065">
      <c r="A1065" s="148">
        <f>IFERROR(__xludf.DUMMYFUNCTION("""COMPUTED_VALUE"""),1.1112906E7)</f>
        <v>11112906</v>
      </c>
      <c r="B1065" s="148" t="str">
        <f>IFERROR(__xludf.DUMMYFUNCTION("""COMPUTED_VALUE"""),"2026云上探宝-兑换道具")</f>
        <v>2026云上探宝-兑换道具</v>
      </c>
      <c r="C1065" s="148"/>
      <c r="D1065" s="148" t="str">
        <f>IFERROR(__xludf.DUMMYFUNCTION("""COMPUTED_VALUE"""),"event")</f>
        <v>event</v>
      </c>
      <c r="E1065" s="148">
        <f>IFERROR(__xludf.DUMMYFUNCTION("""COMPUTED_VALUE"""),0.0)</f>
        <v>0</v>
      </c>
      <c r="F1065" s="148">
        <f>IFERROR(__xludf.DUMMYFUNCTION("""COMPUTED_VALUE"""),405221.0)</f>
        <v>405221</v>
      </c>
      <c r="G1065" s="148">
        <f>IFERROR(__xludf.DUMMYFUNCTION("""COMPUTED_VALUE"""),1.51104282E8)</f>
        <v>151104282</v>
      </c>
      <c r="H1065" s="148">
        <f>IFERROR(__xludf.DUMMYFUNCTION("""COMPUTED_VALUE"""),1.5112564E7)</f>
        <v>15112564</v>
      </c>
      <c r="I1065" s="148" t="str">
        <f>IFERROR(__xludf.DUMMYFUNCTION("""COMPUTED_VALUE"""),"{}")</f>
        <v>{}</v>
      </c>
      <c r="J1065" s="148" t="str">
        <f>IFERROR(__xludf.DUMMYFUNCTION("""COMPUTED_VALUE"""),"{""typ"":""lc"",""txt"":""LC_ITEM_gird_gacha_item2""}")</f>
        <v>{"typ":"lc","txt":"LC_ITEM_gird_gacha_item2"}</v>
      </c>
      <c r="K1065" s="148" t="str">
        <f>IFERROR(__xludf.DUMMYFUNCTION("""COMPUTED_VALUE"""),"{""typ"":""lc"",""txt"":""LC_ITEM_gird_gacha_item2_desc""}")</f>
        <v>{"typ":"lc","txt":"LC_ITEM_gird_gacha_item2_desc"}</v>
      </c>
      <c r="L1065" s="148" t="str">
        <f>IFERROR(__xludf.DUMMYFUNCTION("""COMPUTED_VALUE"""),"{}")</f>
        <v>{}</v>
      </c>
      <c r="M1065" s="148">
        <f>IFERROR(__xludf.DUMMYFUNCTION("""COMPUTED_VALUE"""),100.0)</f>
        <v>100</v>
      </c>
      <c r="N1065" s="148">
        <f>IFERROR(__xludf.DUMMYFUNCTION("""COMPUTED_VALUE"""),9.99999999E8)</f>
        <v>999999999</v>
      </c>
      <c r="O1065" s="148">
        <f>IFERROR(__xludf.DUMMYFUNCTION("""COMPUTED_VALUE"""),9.99999999E8)</f>
        <v>999999999</v>
      </c>
      <c r="P1065" s="148">
        <f>IFERROR(__xludf.DUMMYFUNCTION("""COMPUTED_VALUE"""),9.99999999E8)</f>
        <v>999999999</v>
      </c>
      <c r="Q1065" s="148" t="str">
        <f>IFERROR(__xludf.DUMMYFUNCTION("""COMPUTED_VALUE"""),"[""bag_other""]")</f>
        <v>["bag_other"]</v>
      </c>
      <c r="R1065" s="148" t="str">
        <f>IFERROR(__xludf.DUMMYFUNCTION("""COMPUTED_VALUE"""),"[""bag""]")</f>
        <v>["bag"]</v>
      </c>
      <c r="S1065" s="148" t="str">
        <f>IFERROR(__xludf.DUMMYFUNCTION("""COMPUTED_VALUE"""),"{}")</f>
        <v>{}</v>
      </c>
      <c r="T1065" s="148">
        <f>IFERROR(__xludf.DUMMYFUNCTION("""COMPUTED_VALUE"""),-1.0)</f>
        <v>-1</v>
      </c>
      <c r="U1065" s="148">
        <f>IFERROR(__xludf.DUMMYFUNCTION("""COMPUTED_VALUE"""),0.0)</f>
        <v>0</v>
      </c>
      <c r="V1065" s="148" t="str">
        <f>IFERROR(__xludf.DUMMYFUNCTION("""COMPUTED_VALUE"""),"[]")</f>
        <v>[]</v>
      </c>
      <c r="W1065" s="148">
        <f>IFERROR(__xludf.DUMMYFUNCTION("""COMPUTED_VALUE"""),1.174E7)</f>
        <v>11740000</v>
      </c>
      <c r="X1065" s="148">
        <f>IFERROR(__xludf.DUMMYFUNCTION("""COMPUTED_VALUE"""),0.0)</f>
        <v>0</v>
      </c>
      <c r="Y1065" s="148">
        <f>IFERROR(__xludf.DUMMYFUNCTION("""COMPUTED_VALUE"""),0.0)</f>
        <v>0</v>
      </c>
      <c r="Z1065" s="148"/>
    </row>
    <row r="1066">
      <c r="A1066" s="148">
        <f>IFERROR(__xludf.DUMMYFUNCTION("""COMPUTED_VALUE"""),1.1112907E7)</f>
        <v>11112907</v>
      </c>
      <c r="B1066" s="148" t="str">
        <f>IFERROR(__xludf.DUMMYFUNCTION("""COMPUTED_VALUE"""),"主城皮肤-情人节送花2026-光明版")</f>
        <v>主城皮肤-情人节送花2026-光明版</v>
      </c>
      <c r="C1066" s="148"/>
      <c r="D1066" s="148" t="str">
        <f>IFERROR(__xludf.DUMMYFUNCTION("""COMPUTED_VALUE"""),"city_skin")</f>
        <v>city_skin</v>
      </c>
      <c r="E1066" s="148">
        <f>IFERROR(__xludf.DUMMYFUNCTION("""COMPUTED_VALUE"""),21.0)</f>
        <v>21</v>
      </c>
      <c r="F1066" s="148">
        <f>IFERROR(__xludf.DUMMYFUNCTION("""COMPUTED_VALUE"""),400106.0)</f>
        <v>400106</v>
      </c>
      <c r="G1066" s="148">
        <f>IFERROR(__xludf.DUMMYFUNCTION("""COMPUTED_VALUE"""),1.51104523E8)</f>
        <v>151104523</v>
      </c>
      <c r="H1066" s="148">
        <f>IFERROR(__xludf.DUMMYFUNCTION("""COMPUTED_VALUE"""),1.5115983E7)</f>
        <v>15115983</v>
      </c>
      <c r="I1066" s="148" t="str">
        <f>IFERROR(__xludf.DUMMYFUNCTION("""COMPUTED_VALUE"""),"{}")</f>
        <v>{}</v>
      </c>
      <c r="J1066" s="148" t="str">
        <f>IFERROR(__xludf.DUMMYFUNCTION("""COMPUTED_VALUE"""),"{""typ"":""lc"",""txt"":""LC_ITEM_2026valentine_highcity_skin_couple_1_title""}")</f>
        <v>{"typ":"lc","txt":"LC_ITEM_2026valentine_highcity_skin_couple_1_title"}</v>
      </c>
      <c r="K1066" s="148" t="str">
        <f>IFERROR(__xludf.DUMMYFUNCTION("""COMPUTED_VALUE"""),"{""typ"":""lc"",""txt"":""LC_ITEM_2026valentine_highcity_skin_couple_1_desc_forever""}")</f>
        <v>{"typ":"lc","txt":"LC_ITEM_2026valentine_highcity_skin_couple_1_desc_forever"}</v>
      </c>
      <c r="L1066" s="148" t="str">
        <f>IFERROR(__xludf.DUMMYFUNCTION("""COMPUTED_VALUE"""),"{""typ"":""lc"",""txt"":""LC_ITEM_city_skin_rocket_use_tips""}")</f>
        <v>{"typ":"lc","txt":"LC_ITEM_city_skin_rocket_use_tips"}</v>
      </c>
      <c r="M1066" s="148">
        <f>IFERROR(__xludf.DUMMYFUNCTION("""COMPUTED_VALUE"""),10000.0)</f>
        <v>10000</v>
      </c>
      <c r="N1066" s="148">
        <f>IFERROR(__xludf.DUMMYFUNCTION("""COMPUTED_VALUE"""),999.0)</f>
        <v>999</v>
      </c>
      <c r="O1066" s="148">
        <f>IFERROR(__xludf.DUMMYFUNCTION("""COMPUTED_VALUE"""),1.0)</f>
        <v>1</v>
      </c>
      <c r="P1066" s="148">
        <f>IFERROR(__xludf.DUMMYFUNCTION("""COMPUTED_VALUE"""),1.0)</f>
        <v>1</v>
      </c>
      <c r="Q1066" s="148" t="str">
        <f>IFERROR(__xludf.DUMMYFUNCTION("""COMPUTED_VALUE"""),"[""bag_other""]")</f>
        <v>["bag_other"]</v>
      </c>
      <c r="R1066" s="148" t="str">
        <f>IFERROR(__xludf.DUMMYFUNCTION("""COMPUTED_VALUE"""),"[""bag"",""13121102""]")</f>
        <v>["bag","13121102"]</v>
      </c>
      <c r="S1066" s="148" t="str">
        <f>IFERROR(__xludf.DUMMYFUNCTION("""COMPUTED_VALUE"""),"{""effect"":[{""typ"":""city_skin"",""id"":13121102,""val"":-1},{""typ"":""item"",""id"":11111034,""val"":10}]}")</f>
        <v>{"effect":[{"typ":"city_skin","id":13121102,"val":-1},{"typ":"item","id":11111034,"val":10}]}</v>
      </c>
      <c r="T1066" s="148">
        <f>IFERROR(__xludf.DUMMYFUNCTION("""COMPUTED_VALUE"""),-1.0)</f>
        <v>-1</v>
      </c>
      <c r="U1066" s="148">
        <f>IFERROR(__xludf.DUMMYFUNCTION("""COMPUTED_VALUE"""),0.0)</f>
        <v>0</v>
      </c>
      <c r="V1066" s="148" t="str">
        <f>IFERROR(__xludf.DUMMYFUNCTION("""COMPUTED_VALUE"""),"[]")</f>
        <v>[]</v>
      </c>
      <c r="W1066" s="148">
        <f>IFERROR(__xludf.DUMMYFUNCTION("""COMPUTED_VALUE"""),1.174E7)</f>
        <v>11740000</v>
      </c>
      <c r="X1066" s="148">
        <f>IFERROR(__xludf.DUMMYFUNCTION("""COMPUTED_VALUE"""),0.0)</f>
        <v>0</v>
      </c>
      <c r="Y1066" s="148">
        <f>IFERROR(__xludf.DUMMYFUNCTION("""COMPUTED_VALUE"""),0.0)</f>
        <v>0</v>
      </c>
      <c r="Z1066" s="148"/>
    </row>
    <row r="1067">
      <c r="A1067" s="148">
        <f>IFERROR(__xludf.DUMMYFUNCTION("""COMPUTED_VALUE"""),1.1112908E7)</f>
        <v>11112908</v>
      </c>
      <c r="B1067" s="148" t="str">
        <f>IFERROR(__xludf.DUMMYFUNCTION("""COMPUTED_VALUE"""),"主城皮肤-情人节送花2026-光明版-7天")</f>
        <v>主城皮肤-情人节送花2026-光明版-7天</v>
      </c>
      <c r="C1067" s="148"/>
      <c r="D1067" s="148" t="str">
        <f>IFERROR(__xludf.DUMMYFUNCTION("""COMPUTED_VALUE"""),"city_skin")</f>
        <v>city_skin</v>
      </c>
      <c r="E1067" s="148">
        <f>IFERROR(__xludf.DUMMYFUNCTION("""COMPUTED_VALUE"""),21.0)</f>
        <v>21</v>
      </c>
      <c r="F1067" s="148">
        <f>IFERROR(__xludf.DUMMYFUNCTION("""COMPUTED_VALUE"""),400106.0)</f>
        <v>400106</v>
      </c>
      <c r="G1067" s="148">
        <f>IFERROR(__xludf.DUMMYFUNCTION("""COMPUTED_VALUE"""),1.51104523E8)</f>
        <v>151104523</v>
      </c>
      <c r="H1067" s="148">
        <f>IFERROR(__xludf.DUMMYFUNCTION("""COMPUTED_VALUE"""),1.5112564E7)</f>
        <v>15112564</v>
      </c>
      <c r="I1067" s="148" t="str">
        <f>IFERROR(__xludf.DUMMYFUNCTION("""COMPUTED_VALUE"""),"{""typ"":""lc"",""txt"":""LC_ITEM_time_day_upper_show"",""args"":[{""typ"":""int"",""val"":7}]}")</f>
        <v>{"typ":"lc","txt":"LC_ITEM_time_day_upper_show","args":[{"typ":"int","val":7}]}</v>
      </c>
      <c r="J1067" s="148" t="str">
        <f>IFERROR(__xludf.DUMMYFUNCTION("""COMPUTED_VALUE"""),"{""typ"":""lc"",""txt"":""LC_ITEM_2026valentine_highcity_skin_couple_1_title_7day""}")</f>
        <v>{"typ":"lc","txt":"LC_ITEM_2026valentine_highcity_skin_couple_1_title_7day"}</v>
      </c>
      <c r="K1067" s="148" t="str">
        <f>IFERROR(__xludf.DUMMYFUNCTION("""COMPUTED_VALUE"""),"{""typ"":""lc"",""txt"":""LC_ITEM_2026valentine_highcity_skin_couple_1_desc_7day""}")</f>
        <v>{"typ":"lc","txt":"LC_ITEM_2026valentine_highcity_skin_couple_1_desc_7day"}</v>
      </c>
      <c r="L1067" s="148" t="str">
        <f>IFERROR(__xludf.DUMMYFUNCTION("""COMPUTED_VALUE"""),"{""typ"":""lc"",""txt"":""LC_ITEM_city_skin_rocket_use_tips""}")</f>
        <v>{"typ":"lc","txt":"LC_ITEM_city_skin_rocket_use_tips"}</v>
      </c>
      <c r="M1067" s="148">
        <f>IFERROR(__xludf.DUMMYFUNCTION("""COMPUTED_VALUE"""),10000.0)</f>
        <v>10000</v>
      </c>
      <c r="N1067" s="148">
        <f>IFERROR(__xludf.DUMMYFUNCTION("""COMPUTED_VALUE"""),999.0)</f>
        <v>999</v>
      </c>
      <c r="O1067" s="148">
        <f>IFERROR(__xludf.DUMMYFUNCTION("""COMPUTED_VALUE"""),1.0)</f>
        <v>1</v>
      </c>
      <c r="P1067" s="148">
        <f>IFERROR(__xludf.DUMMYFUNCTION("""COMPUTED_VALUE"""),1.0)</f>
        <v>1</v>
      </c>
      <c r="Q1067" s="148" t="str">
        <f>IFERROR(__xludf.DUMMYFUNCTION("""COMPUTED_VALUE"""),"[""bag_other""]")</f>
        <v>["bag_other"]</v>
      </c>
      <c r="R1067" s="148" t="str">
        <f>IFERROR(__xludf.DUMMYFUNCTION("""COMPUTED_VALUE"""),"[""bag"",""13121102""]")</f>
        <v>["bag","13121102"]</v>
      </c>
      <c r="S1067" s="148" t="str">
        <f>IFERROR(__xludf.DUMMYFUNCTION("""COMPUTED_VALUE"""),"{""effect"":[{""typ"":""city_skin"",""id"":13121102,""val"":604800000},{""typ"":""item"",""id"":11111021,""val"":3}]}")</f>
        <v>{"effect":[{"typ":"city_skin","id":13121102,"val":604800000},{"typ":"item","id":11111021,"val":3}]}</v>
      </c>
      <c r="T1067" s="148">
        <f>IFERROR(__xludf.DUMMYFUNCTION("""COMPUTED_VALUE"""),-1.0)</f>
        <v>-1</v>
      </c>
      <c r="U1067" s="148">
        <f>IFERROR(__xludf.DUMMYFUNCTION("""COMPUTED_VALUE"""),0.0)</f>
        <v>0</v>
      </c>
      <c r="V1067" s="148" t="str">
        <f>IFERROR(__xludf.DUMMYFUNCTION("""COMPUTED_VALUE"""),"[]")</f>
        <v>[]</v>
      </c>
      <c r="W1067" s="148">
        <f>IFERROR(__xludf.DUMMYFUNCTION("""COMPUTED_VALUE"""),1.174E7)</f>
        <v>11740000</v>
      </c>
      <c r="X1067" s="148">
        <f>IFERROR(__xludf.DUMMYFUNCTION("""COMPUTED_VALUE"""),0.0)</f>
        <v>0</v>
      </c>
      <c r="Y1067" s="148">
        <f>IFERROR(__xludf.DUMMYFUNCTION("""COMPUTED_VALUE"""),0.0)</f>
        <v>0</v>
      </c>
      <c r="Z1067" s="148"/>
    </row>
    <row r="1068">
      <c r="A1068" s="148">
        <f>IFERROR(__xludf.DUMMYFUNCTION("""COMPUTED_VALUE"""),1.1112909E7)</f>
        <v>11112909</v>
      </c>
      <c r="B1068" s="148" t="str">
        <f>IFERROR(__xludf.DUMMYFUNCTION("""COMPUTED_VALUE"""),"主城皮肤-情人节送花2026-光明版-14天")</f>
        <v>主城皮肤-情人节送花2026-光明版-14天</v>
      </c>
      <c r="C1068" s="148"/>
      <c r="D1068" s="148" t="str">
        <f>IFERROR(__xludf.DUMMYFUNCTION("""COMPUTED_VALUE"""),"city_skin")</f>
        <v>city_skin</v>
      </c>
      <c r="E1068" s="148">
        <f>IFERROR(__xludf.DUMMYFUNCTION("""COMPUTED_VALUE"""),21.0)</f>
        <v>21</v>
      </c>
      <c r="F1068" s="148">
        <f>IFERROR(__xludf.DUMMYFUNCTION("""COMPUTED_VALUE"""),400106.0)</f>
        <v>400106</v>
      </c>
      <c r="G1068" s="148">
        <f>IFERROR(__xludf.DUMMYFUNCTION("""COMPUTED_VALUE"""),1.51104523E8)</f>
        <v>151104523</v>
      </c>
      <c r="H1068" s="148">
        <f>IFERROR(__xludf.DUMMYFUNCTION("""COMPUTED_VALUE"""),1.5112564E7)</f>
        <v>15112564</v>
      </c>
      <c r="I1068" s="148" t="str">
        <f>IFERROR(__xludf.DUMMYFUNCTION("""COMPUTED_VALUE"""),"{""typ"":""lc"",""txt"":""LC_ITEM_time_day_upper_show"",""args"":[{""typ"":""int"",""val"":14}]}")</f>
        <v>{"typ":"lc","txt":"LC_ITEM_time_day_upper_show","args":[{"typ":"int","val":14}]}</v>
      </c>
      <c r="J1068" s="148" t="str">
        <f>IFERROR(__xludf.DUMMYFUNCTION("""COMPUTED_VALUE"""),"{""typ"":""lc"",""txt"":""LC_ITEM_2026valentine_highcity_skin_couple_1_title_14day""}")</f>
        <v>{"typ":"lc","txt":"LC_ITEM_2026valentine_highcity_skin_couple_1_title_14day"}</v>
      </c>
      <c r="K1068" s="148" t="str">
        <f>IFERROR(__xludf.DUMMYFUNCTION("""COMPUTED_VALUE"""),"{""typ"":""lc"",""txt"":""LC_ITEM_2026valentine_highcity_skin_couple_1_desc_14day""}")</f>
        <v>{"typ":"lc","txt":"LC_ITEM_2026valentine_highcity_skin_couple_1_desc_14day"}</v>
      </c>
      <c r="L1068" s="148" t="str">
        <f>IFERROR(__xludf.DUMMYFUNCTION("""COMPUTED_VALUE"""),"{""typ"":""lc"",""txt"":""LC_ITEM_city_skin_rocket_use_tips""}")</f>
        <v>{"typ":"lc","txt":"LC_ITEM_city_skin_rocket_use_tips"}</v>
      </c>
      <c r="M1068" s="148">
        <f>IFERROR(__xludf.DUMMYFUNCTION("""COMPUTED_VALUE"""),10000.0)</f>
        <v>10000</v>
      </c>
      <c r="N1068" s="148">
        <f>IFERROR(__xludf.DUMMYFUNCTION("""COMPUTED_VALUE"""),999.0)</f>
        <v>999</v>
      </c>
      <c r="O1068" s="148">
        <f>IFERROR(__xludf.DUMMYFUNCTION("""COMPUTED_VALUE"""),1.0)</f>
        <v>1</v>
      </c>
      <c r="P1068" s="148">
        <f>IFERROR(__xludf.DUMMYFUNCTION("""COMPUTED_VALUE"""),1.0)</f>
        <v>1</v>
      </c>
      <c r="Q1068" s="148" t="str">
        <f>IFERROR(__xludf.DUMMYFUNCTION("""COMPUTED_VALUE"""),"[""bag_other""]")</f>
        <v>["bag_other"]</v>
      </c>
      <c r="R1068" s="148" t="str">
        <f>IFERROR(__xludf.DUMMYFUNCTION("""COMPUTED_VALUE"""),"[""bag"",""13121102""]")</f>
        <v>["bag","13121102"]</v>
      </c>
      <c r="S1068" s="148" t="str">
        <f>IFERROR(__xludf.DUMMYFUNCTION("""COMPUTED_VALUE"""),"{""effect"":[{""typ"":""city_skin"",""id"":13121102,""val"":1209600000},{""typ"":""item"",""id"":11111021,""val"":7}]}")</f>
        <v>{"effect":[{"typ":"city_skin","id":13121102,"val":1209600000},{"typ":"item","id":11111021,"val":7}]}</v>
      </c>
      <c r="T1068" s="148">
        <f>IFERROR(__xludf.DUMMYFUNCTION("""COMPUTED_VALUE"""),-1.0)</f>
        <v>-1</v>
      </c>
      <c r="U1068" s="148">
        <f>IFERROR(__xludf.DUMMYFUNCTION("""COMPUTED_VALUE"""),0.0)</f>
        <v>0</v>
      </c>
      <c r="V1068" s="148" t="str">
        <f>IFERROR(__xludf.DUMMYFUNCTION("""COMPUTED_VALUE"""),"[]")</f>
        <v>[]</v>
      </c>
      <c r="W1068" s="148">
        <f>IFERROR(__xludf.DUMMYFUNCTION("""COMPUTED_VALUE"""),1.174E7)</f>
        <v>11740000</v>
      </c>
      <c r="X1068" s="148">
        <f>IFERROR(__xludf.DUMMYFUNCTION("""COMPUTED_VALUE"""),0.0)</f>
        <v>0</v>
      </c>
      <c r="Y1068" s="148">
        <f>IFERROR(__xludf.DUMMYFUNCTION("""COMPUTED_VALUE"""),0.0)</f>
        <v>0</v>
      </c>
      <c r="Z1068" s="148"/>
    </row>
    <row r="1069">
      <c r="A1069" s="148">
        <f>IFERROR(__xludf.DUMMYFUNCTION("""COMPUTED_VALUE"""),1.111291E7)</f>
        <v>11112910</v>
      </c>
      <c r="B1069" s="148" t="str">
        <f>IFERROR(__xludf.DUMMYFUNCTION("""COMPUTED_VALUE"""),"主城皮肤-情人节送花2026-黑暗版")</f>
        <v>主城皮肤-情人节送花2026-黑暗版</v>
      </c>
      <c r="C1069" s="148"/>
      <c r="D1069" s="148" t="str">
        <f>IFERROR(__xludf.DUMMYFUNCTION("""COMPUTED_VALUE"""),"city_skin")</f>
        <v>city_skin</v>
      </c>
      <c r="E1069" s="148">
        <f>IFERROR(__xludf.DUMMYFUNCTION("""COMPUTED_VALUE"""),21.0)</f>
        <v>21</v>
      </c>
      <c r="F1069" s="148">
        <f>IFERROR(__xludf.DUMMYFUNCTION("""COMPUTED_VALUE"""),404201.0)</f>
        <v>404201</v>
      </c>
      <c r="G1069" s="148">
        <f>IFERROR(__xludf.DUMMYFUNCTION("""COMPUTED_VALUE"""),1.51104525E8)</f>
        <v>151104525</v>
      </c>
      <c r="H1069" s="148">
        <f>IFERROR(__xludf.DUMMYFUNCTION("""COMPUTED_VALUE"""),1.5115983E7)</f>
        <v>15115983</v>
      </c>
      <c r="I1069" s="148" t="str">
        <f>IFERROR(__xludf.DUMMYFUNCTION("""COMPUTED_VALUE"""),"{}")</f>
        <v>{}</v>
      </c>
      <c r="J1069" s="148" t="str">
        <f>IFERROR(__xludf.DUMMYFUNCTION("""COMPUTED_VALUE"""),"{""typ"":""lc"",""txt"":""LC_ITEM_2026valentine_highcity_skin_couple_2_title""}")</f>
        <v>{"typ":"lc","txt":"LC_ITEM_2026valentine_highcity_skin_couple_2_title"}</v>
      </c>
      <c r="K1069" s="148" t="str">
        <f>IFERROR(__xludf.DUMMYFUNCTION("""COMPUTED_VALUE"""),"{""typ"":""lc"",""txt"":""LC_ITEM_2026valentine_highcity_skin_couple_2_desc_forever""}")</f>
        <v>{"typ":"lc","txt":"LC_ITEM_2026valentine_highcity_skin_couple_2_desc_forever"}</v>
      </c>
      <c r="L1069" s="148" t="str">
        <f>IFERROR(__xludf.DUMMYFUNCTION("""COMPUTED_VALUE"""),"{""typ"":""lc"",""txt"":""LC_ITEM_city_skin_rocket_use_tips""}")</f>
        <v>{"typ":"lc","txt":"LC_ITEM_city_skin_rocket_use_tips"}</v>
      </c>
      <c r="M1069" s="148">
        <f>IFERROR(__xludf.DUMMYFUNCTION("""COMPUTED_VALUE"""),10000.0)</f>
        <v>10000</v>
      </c>
      <c r="N1069" s="148">
        <f>IFERROR(__xludf.DUMMYFUNCTION("""COMPUTED_VALUE"""),999.0)</f>
        <v>999</v>
      </c>
      <c r="O1069" s="148">
        <f>IFERROR(__xludf.DUMMYFUNCTION("""COMPUTED_VALUE"""),1.0)</f>
        <v>1</v>
      </c>
      <c r="P1069" s="148">
        <f>IFERROR(__xludf.DUMMYFUNCTION("""COMPUTED_VALUE"""),1.0)</f>
        <v>1</v>
      </c>
      <c r="Q1069" s="148" t="str">
        <f>IFERROR(__xludf.DUMMYFUNCTION("""COMPUTED_VALUE"""),"[""bag_other""]")</f>
        <v>["bag_other"]</v>
      </c>
      <c r="R1069" s="148" t="str">
        <f>IFERROR(__xludf.DUMMYFUNCTION("""COMPUTED_VALUE"""),"[""bag"",""13121103""]")</f>
        <v>["bag","13121103"]</v>
      </c>
      <c r="S1069" s="148" t="str">
        <f>IFERROR(__xludf.DUMMYFUNCTION("""COMPUTED_VALUE"""),"{""effect"":[{""typ"":""city_skin"",""id"":13121103,""val"":-1},{""typ"":""item"",""id"":11111034,""val"":10}]}")</f>
        <v>{"effect":[{"typ":"city_skin","id":13121103,"val":-1},{"typ":"item","id":11111034,"val":10}]}</v>
      </c>
      <c r="T1069" s="148">
        <f>IFERROR(__xludf.DUMMYFUNCTION("""COMPUTED_VALUE"""),-1.0)</f>
        <v>-1</v>
      </c>
      <c r="U1069" s="148">
        <f>IFERROR(__xludf.DUMMYFUNCTION("""COMPUTED_VALUE"""),0.0)</f>
        <v>0</v>
      </c>
      <c r="V1069" s="148" t="str">
        <f>IFERROR(__xludf.DUMMYFUNCTION("""COMPUTED_VALUE"""),"[]")</f>
        <v>[]</v>
      </c>
      <c r="W1069" s="148">
        <f>IFERROR(__xludf.DUMMYFUNCTION("""COMPUTED_VALUE"""),1.174E7)</f>
        <v>11740000</v>
      </c>
      <c r="X1069" s="148">
        <f>IFERROR(__xludf.DUMMYFUNCTION("""COMPUTED_VALUE"""),0.0)</f>
        <v>0</v>
      </c>
      <c r="Y1069" s="148">
        <f>IFERROR(__xludf.DUMMYFUNCTION("""COMPUTED_VALUE"""),0.0)</f>
        <v>0</v>
      </c>
      <c r="Z1069" s="148"/>
    </row>
    <row r="1070">
      <c r="A1070" s="148">
        <f>IFERROR(__xludf.DUMMYFUNCTION("""COMPUTED_VALUE"""),1.1112911E7)</f>
        <v>11112911</v>
      </c>
      <c r="B1070" s="148" t="str">
        <f>IFERROR(__xludf.DUMMYFUNCTION("""COMPUTED_VALUE"""),"主城皮肤-情人节送花2026-黑暗版-7天")</f>
        <v>主城皮肤-情人节送花2026-黑暗版-7天</v>
      </c>
      <c r="C1070" s="148"/>
      <c r="D1070" s="148" t="str">
        <f>IFERROR(__xludf.DUMMYFUNCTION("""COMPUTED_VALUE"""),"city_skin")</f>
        <v>city_skin</v>
      </c>
      <c r="E1070" s="148">
        <f>IFERROR(__xludf.DUMMYFUNCTION("""COMPUTED_VALUE"""),21.0)</f>
        <v>21</v>
      </c>
      <c r="F1070" s="148">
        <f>IFERROR(__xludf.DUMMYFUNCTION("""COMPUTED_VALUE"""),404201.0)</f>
        <v>404201</v>
      </c>
      <c r="G1070" s="148">
        <f>IFERROR(__xludf.DUMMYFUNCTION("""COMPUTED_VALUE"""),1.51104525E8)</f>
        <v>151104525</v>
      </c>
      <c r="H1070" s="148">
        <f>IFERROR(__xludf.DUMMYFUNCTION("""COMPUTED_VALUE"""),1.5112564E7)</f>
        <v>15112564</v>
      </c>
      <c r="I1070" s="148" t="str">
        <f>IFERROR(__xludf.DUMMYFUNCTION("""COMPUTED_VALUE"""),"{""typ"":""lc"",""txt"":""LC_ITEM_time_day_upper_show"",""args"":[{""typ"":""int"",""val"":7}]}")</f>
        <v>{"typ":"lc","txt":"LC_ITEM_time_day_upper_show","args":[{"typ":"int","val":7}]}</v>
      </c>
      <c r="J1070" s="148" t="str">
        <f>IFERROR(__xludf.DUMMYFUNCTION("""COMPUTED_VALUE"""),"{""typ"":""lc"",""txt"":""LC_ITEM_2026valentine_highcity_skin_couple_2_title_7day""}")</f>
        <v>{"typ":"lc","txt":"LC_ITEM_2026valentine_highcity_skin_couple_2_title_7day"}</v>
      </c>
      <c r="K1070" s="148" t="str">
        <f>IFERROR(__xludf.DUMMYFUNCTION("""COMPUTED_VALUE"""),"{""typ"":""lc"",""txt"":""LC_ITEM_2026valentine_highcity_skin_couple_2_desc_7day""}")</f>
        <v>{"typ":"lc","txt":"LC_ITEM_2026valentine_highcity_skin_couple_2_desc_7day"}</v>
      </c>
      <c r="L1070" s="148" t="str">
        <f>IFERROR(__xludf.DUMMYFUNCTION("""COMPUTED_VALUE"""),"{""typ"":""lc"",""txt"":""LC_ITEM_city_skin_rocket_use_tips""}")</f>
        <v>{"typ":"lc","txt":"LC_ITEM_city_skin_rocket_use_tips"}</v>
      </c>
      <c r="M1070" s="148">
        <f>IFERROR(__xludf.DUMMYFUNCTION("""COMPUTED_VALUE"""),10000.0)</f>
        <v>10000</v>
      </c>
      <c r="N1070" s="148">
        <f>IFERROR(__xludf.DUMMYFUNCTION("""COMPUTED_VALUE"""),999.0)</f>
        <v>999</v>
      </c>
      <c r="O1070" s="148">
        <f>IFERROR(__xludf.DUMMYFUNCTION("""COMPUTED_VALUE"""),1.0)</f>
        <v>1</v>
      </c>
      <c r="P1070" s="148">
        <f>IFERROR(__xludf.DUMMYFUNCTION("""COMPUTED_VALUE"""),1.0)</f>
        <v>1</v>
      </c>
      <c r="Q1070" s="148" t="str">
        <f>IFERROR(__xludf.DUMMYFUNCTION("""COMPUTED_VALUE"""),"[""bag_other""]")</f>
        <v>["bag_other"]</v>
      </c>
      <c r="R1070" s="148" t="str">
        <f>IFERROR(__xludf.DUMMYFUNCTION("""COMPUTED_VALUE"""),"[""bag"",""13121103""]")</f>
        <v>["bag","13121103"]</v>
      </c>
      <c r="S1070" s="148" t="str">
        <f>IFERROR(__xludf.DUMMYFUNCTION("""COMPUTED_VALUE"""),"{""effect"":[{""typ"":""city_skin"",""id"":13121103,""val"":604800000},{""typ"":""item"",""id"":11111021,""val"":3}]}")</f>
        <v>{"effect":[{"typ":"city_skin","id":13121103,"val":604800000},{"typ":"item","id":11111021,"val":3}]}</v>
      </c>
      <c r="T1070" s="148">
        <f>IFERROR(__xludf.DUMMYFUNCTION("""COMPUTED_VALUE"""),-1.0)</f>
        <v>-1</v>
      </c>
      <c r="U1070" s="148">
        <f>IFERROR(__xludf.DUMMYFUNCTION("""COMPUTED_VALUE"""),0.0)</f>
        <v>0</v>
      </c>
      <c r="V1070" s="148" t="str">
        <f>IFERROR(__xludf.DUMMYFUNCTION("""COMPUTED_VALUE"""),"[]")</f>
        <v>[]</v>
      </c>
      <c r="W1070" s="148">
        <f>IFERROR(__xludf.DUMMYFUNCTION("""COMPUTED_VALUE"""),1.174E7)</f>
        <v>11740000</v>
      </c>
      <c r="X1070" s="148">
        <f>IFERROR(__xludf.DUMMYFUNCTION("""COMPUTED_VALUE"""),0.0)</f>
        <v>0</v>
      </c>
      <c r="Y1070" s="148">
        <f>IFERROR(__xludf.DUMMYFUNCTION("""COMPUTED_VALUE"""),0.0)</f>
        <v>0</v>
      </c>
      <c r="Z1070" s="148"/>
    </row>
    <row r="1071">
      <c r="A1071" s="148">
        <f>IFERROR(__xludf.DUMMYFUNCTION("""COMPUTED_VALUE"""),1.1112912E7)</f>
        <v>11112912</v>
      </c>
      <c r="B1071" s="148" t="str">
        <f>IFERROR(__xludf.DUMMYFUNCTION("""COMPUTED_VALUE"""),"主城皮肤-情人节送花2026-黑暗版-14天")</f>
        <v>主城皮肤-情人节送花2026-黑暗版-14天</v>
      </c>
      <c r="C1071" s="148"/>
      <c r="D1071" s="148" t="str">
        <f>IFERROR(__xludf.DUMMYFUNCTION("""COMPUTED_VALUE"""),"city_skin")</f>
        <v>city_skin</v>
      </c>
      <c r="E1071" s="148">
        <f>IFERROR(__xludf.DUMMYFUNCTION("""COMPUTED_VALUE"""),21.0)</f>
        <v>21</v>
      </c>
      <c r="F1071" s="148">
        <f>IFERROR(__xludf.DUMMYFUNCTION("""COMPUTED_VALUE"""),404201.0)</f>
        <v>404201</v>
      </c>
      <c r="G1071" s="148">
        <f>IFERROR(__xludf.DUMMYFUNCTION("""COMPUTED_VALUE"""),1.51104525E8)</f>
        <v>151104525</v>
      </c>
      <c r="H1071" s="148">
        <f>IFERROR(__xludf.DUMMYFUNCTION("""COMPUTED_VALUE"""),1.5112564E7)</f>
        <v>15112564</v>
      </c>
      <c r="I1071" s="148" t="str">
        <f>IFERROR(__xludf.DUMMYFUNCTION("""COMPUTED_VALUE"""),"{""typ"":""lc"",""txt"":""LC_ITEM_time_day_upper_show"",""args"":[{""typ"":""int"",""val"":14}]}")</f>
        <v>{"typ":"lc","txt":"LC_ITEM_time_day_upper_show","args":[{"typ":"int","val":14}]}</v>
      </c>
      <c r="J1071" s="148" t="str">
        <f>IFERROR(__xludf.DUMMYFUNCTION("""COMPUTED_VALUE"""),"{""typ"":""lc"",""txt"":""LC_ITEM_2026valentine_highcity_skin_couple_2_title_14day""}")</f>
        <v>{"typ":"lc","txt":"LC_ITEM_2026valentine_highcity_skin_couple_2_title_14day"}</v>
      </c>
      <c r="K1071" s="148" t="str">
        <f>IFERROR(__xludf.DUMMYFUNCTION("""COMPUTED_VALUE"""),"{""typ"":""lc"",""txt"":""LC_ITEM_2026valentine_highcity_skin_couple_2_desc_14day""}")</f>
        <v>{"typ":"lc","txt":"LC_ITEM_2026valentine_highcity_skin_couple_2_desc_14day"}</v>
      </c>
      <c r="L1071" s="148" t="str">
        <f>IFERROR(__xludf.DUMMYFUNCTION("""COMPUTED_VALUE"""),"{""typ"":""lc"",""txt"":""LC_ITEM_city_skin_rocket_use_tips""}")</f>
        <v>{"typ":"lc","txt":"LC_ITEM_city_skin_rocket_use_tips"}</v>
      </c>
      <c r="M1071" s="148">
        <f>IFERROR(__xludf.DUMMYFUNCTION("""COMPUTED_VALUE"""),10000.0)</f>
        <v>10000</v>
      </c>
      <c r="N1071" s="148">
        <f>IFERROR(__xludf.DUMMYFUNCTION("""COMPUTED_VALUE"""),999.0)</f>
        <v>999</v>
      </c>
      <c r="O1071" s="148">
        <f>IFERROR(__xludf.DUMMYFUNCTION("""COMPUTED_VALUE"""),1.0)</f>
        <v>1</v>
      </c>
      <c r="P1071" s="148">
        <f>IFERROR(__xludf.DUMMYFUNCTION("""COMPUTED_VALUE"""),1.0)</f>
        <v>1</v>
      </c>
      <c r="Q1071" s="148" t="str">
        <f>IFERROR(__xludf.DUMMYFUNCTION("""COMPUTED_VALUE"""),"[""bag_other""]")</f>
        <v>["bag_other"]</v>
      </c>
      <c r="R1071" s="148" t="str">
        <f>IFERROR(__xludf.DUMMYFUNCTION("""COMPUTED_VALUE"""),"[""bag"",""13121103""]")</f>
        <v>["bag","13121103"]</v>
      </c>
      <c r="S1071" s="148" t="str">
        <f>IFERROR(__xludf.DUMMYFUNCTION("""COMPUTED_VALUE"""),"{""effect"":[{""typ"":""city_skin"",""id"":13121103,""val"":1209600000},{""typ"":""item"",""id"":11111021,""val"":7}]}")</f>
        <v>{"effect":[{"typ":"city_skin","id":13121103,"val":1209600000},{"typ":"item","id":11111021,"val":7}]}</v>
      </c>
      <c r="T1071" s="148">
        <f>IFERROR(__xludf.DUMMYFUNCTION("""COMPUTED_VALUE"""),-1.0)</f>
        <v>-1</v>
      </c>
      <c r="U1071" s="148">
        <f>IFERROR(__xludf.DUMMYFUNCTION("""COMPUTED_VALUE"""),0.0)</f>
        <v>0</v>
      </c>
      <c r="V1071" s="148" t="str">
        <f>IFERROR(__xludf.DUMMYFUNCTION("""COMPUTED_VALUE"""),"[]")</f>
        <v>[]</v>
      </c>
      <c r="W1071" s="148">
        <f>IFERROR(__xludf.DUMMYFUNCTION("""COMPUTED_VALUE"""),1.174E7)</f>
        <v>11740000</v>
      </c>
      <c r="X1071" s="148">
        <f>IFERROR(__xludf.DUMMYFUNCTION("""COMPUTED_VALUE"""),0.0)</f>
        <v>0</v>
      </c>
      <c r="Y1071" s="148">
        <f>IFERROR(__xludf.DUMMYFUNCTION("""COMPUTED_VALUE"""),0.0)</f>
        <v>0</v>
      </c>
      <c r="Z1071" s="148"/>
    </row>
    <row r="1072">
      <c r="A1072" s="148">
        <f>IFERROR(__xludf.DUMMYFUNCTION("""COMPUTED_VALUE"""),1.1112913E7)</f>
        <v>11112913</v>
      </c>
      <c r="B1072" s="148" t="str">
        <f>IFERROR(__xludf.DUMMYFUNCTION("""COMPUTED_VALUE"""),"春节2024-MJ8第二期-涂饰道具-一天")</f>
        <v>春节2024-MJ8第二期-涂饰道具-一天</v>
      </c>
      <c r="C1072" s="148"/>
      <c r="D1072" s="148" t="str">
        <f>IFERROR(__xludf.DUMMYFUNCTION("""COMPUTED_VALUE"""),"decorate_paint")</f>
        <v>decorate_paint</v>
      </c>
      <c r="E1072" s="148">
        <f>IFERROR(__xludf.DUMMYFUNCTION("""COMPUTED_VALUE"""),0.0)</f>
        <v>0</v>
      </c>
      <c r="F1072" s="148">
        <f>IFERROR(__xludf.DUMMYFUNCTION("""COMPUTED_VALUE"""),0.0)</f>
        <v>0</v>
      </c>
      <c r="G1072" s="148">
        <f>IFERROR(__xludf.DUMMYFUNCTION("""COMPUTED_VALUE"""),1.51104273E8)</f>
        <v>151104273</v>
      </c>
      <c r="H1072" s="148">
        <f>IFERROR(__xludf.DUMMYFUNCTION("""COMPUTED_VALUE"""),1.5112564E7)</f>
        <v>15112564</v>
      </c>
      <c r="I1072" s="148" t="str">
        <f>IFERROR(__xludf.DUMMYFUNCTION("""COMPUTED_VALUE"""),"{}")</f>
        <v>{}</v>
      </c>
      <c r="J1072" s="148" t="str">
        <f>IFERROR(__xludf.DUMMYFUNCTION("""COMPUTED_VALUE"""),"{""typ"":""lc"",""txt"":""LC_ITEM_2024spring_paint_decoration_paint_name""}")</f>
        <v>{"typ":"lc","txt":"LC_ITEM_2024spring_paint_decoration_paint_name"}</v>
      </c>
      <c r="K1072" s="148" t="str">
        <f>IFERROR(__xludf.DUMMYFUNCTION("""COMPUTED_VALUE"""),"{""typ"":""lc"",""txt"":""LC_ITEM_2024spring_paint_decoration_paint_desc""}")</f>
        <v>{"typ":"lc","txt":"LC_ITEM_2024spring_paint_decoration_paint_desc"}</v>
      </c>
      <c r="L1072" s="148" t="str">
        <f>IFERROR(__xludf.DUMMYFUNCTION("""COMPUTED_VALUE"""),"{""typ"":""lc"",""txt"":""LC_TIP_use_success""}")</f>
        <v>{"typ":"lc","txt":"LC_TIP_use_success"}</v>
      </c>
      <c r="M1072" s="148">
        <f>IFERROR(__xludf.DUMMYFUNCTION("""COMPUTED_VALUE"""),1000.0)</f>
        <v>1000</v>
      </c>
      <c r="N1072" s="148">
        <f>IFERROR(__xludf.DUMMYFUNCTION("""COMPUTED_VALUE"""),9.99999999E8)</f>
        <v>999999999</v>
      </c>
      <c r="O1072" s="148">
        <f>IFERROR(__xludf.DUMMYFUNCTION("""COMPUTED_VALUE"""),9.99999999E8)</f>
        <v>999999999</v>
      </c>
      <c r="P1072" s="148">
        <f>IFERROR(__xludf.DUMMYFUNCTION("""COMPUTED_VALUE"""),1.0)</f>
        <v>1</v>
      </c>
      <c r="Q1072" s="148" t="str">
        <f>IFERROR(__xludf.DUMMYFUNCTION("""COMPUTED_VALUE"""),"[""bag_other""]")</f>
        <v>["bag_other"]</v>
      </c>
      <c r="R1072" s="148" t="str">
        <f>IFERROR(__xludf.DUMMYFUNCTION("""COMPUTED_VALUE"""),"[""bag"",""214811""]")</f>
        <v>["bag","214811"]</v>
      </c>
      <c r="S1072" s="148" t="str">
        <f>IFERROR(__xludf.DUMMYFUNCTION("""COMPUTED_VALUE"""),"{""effect"":[{""typ"":""decorate_paint"",""id"":214811,""val"":86400000},{""typ"":""item"",""id"":11112913,""val"":1}]}")</f>
        <v>{"effect":[{"typ":"decorate_paint","id":214811,"val":86400000},{"typ":"item","id":11112913,"val":1}]}</v>
      </c>
      <c r="T1072" s="148">
        <f>IFERROR(__xludf.DUMMYFUNCTION("""COMPUTED_VALUE"""),-1.0)</f>
        <v>-1</v>
      </c>
      <c r="U1072" s="148">
        <f>IFERROR(__xludf.DUMMYFUNCTION("""COMPUTED_VALUE"""),0.0)</f>
        <v>0</v>
      </c>
      <c r="V1072" s="148" t="str">
        <f>IFERROR(__xludf.DUMMYFUNCTION("""COMPUTED_VALUE"""),"[]")</f>
        <v>[]</v>
      </c>
      <c r="W1072" s="148">
        <f>IFERROR(__xludf.DUMMYFUNCTION("""COMPUTED_VALUE"""),1.174E7)</f>
        <v>11740000</v>
      </c>
      <c r="X1072" s="148">
        <f>IFERROR(__xludf.DUMMYFUNCTION("""COMPUTED_VALUE"""),1.1684733E7)</f>
        <v>11684733</v>
      </c>
      <c r="Y1072" s="148">
        <f>IFERROR(__xludf.DUMMYFUNCTION("""COMPUTED_VALUE"""),0.0)</f>
        <v>0</v>
      </c>
      <c r="Z1072" s="148"/>
    </row>
    <row r="1073">
      <c r="A1073" s="148">
        <f>IFERROR(__xludf.DUMMYFUNCTION("""COMPUTED_VALUE"""),1.1112914E7)</f>
        <v>11112914</v>
      </c>
      <c r="B1073" s="148" t="str">
        <f>IFERROR(__xludf.DUMMYFUNCTION("""COMPUTED_VALUE"""),"主城皮肤-情人节高级皮肤2026-14天")</f>
        <v>主城皮肤-情人节高级皮肤2026-14天</v>
      </c>
      <c r="C1073" s="148"/>
      <c r="D1073" s="148" t="str">
        <f>IFERROR(__xludf.DUMMYFUNCTION("""COMPUTED_VALUE"""),"city_skin")</f>
        <v>city_skin</v>
      </c>
      <c r="E1073" s="148">
        <f>IFERROR(__xludf.DUMMYFUNCTION("""COMPUTED_VALUE"""),21.0)</f>
        <v>21</v>
      </c>
      <c r="F1073" s="148">
        <f>IFERROR(__xludf.DUMMYFUNCTION("""COMPUTED_VALUE"""),400106.0)</f>
        <v>400106</v>
      </c>
      <c r="G1073" s="148">
        <f>IFERROR(__xludf.DUMMYFUNCTION("""COMPUTED_VALUE"""),1.51104393E8)</f>
        <v>151104393</v>
      </c>
      <c r="H1073" s="148">
        <f>IFERROR(__xludf.DUMMYFUNCTION("""COMPUTED_VALUE"""),1.5112564E7)</f>
        <v>15112564</v>
      </c>
      <c r="I1073" s="148" t="str">
        <f>IFERROR(__xludf.DUMMYFUNCTION("""COMPUTED_VALUE"""),"{""typ"":""lc"",""txt"":""LC_ITEM_time_day_upper_show"",""args"":[{""typ"":""int"",""val"":14}]}")</f>
        <v>{"typ":"lc","txt":"LC_ITEM_time_day_upper_show","args":[{"typ":"int","val":14}]}</v>
      </c>
      <c r="J1073" s="148" t="str">
        <f>IFERROR(__xludf.DUMMYFUNCTION("""COMPUTED_VALUE"""),"{""typ"":""lc"",""txt"":""LC_ITEM_2026valentine_highcity_skin_title_14day""}")</f>
        <v>{"typ":"lc","txt":"LC_ITEM_2026valentine_highcity_skin_title_14day"}</v>
      </c>
      <c r="K1073" s="148" t="str">
        <f>IFERROR(__xludf.DUMMYFUNCTION("""COMPUTED_VALUE"""),"{""typ"":""lc"",""txt"":""LC_ITEM_2026valentine_highskin_desc_14day""}")</f>
        <v>{"typ":"lc","txt":"LC_ITEM_2026valentine_highskin_desc_14day"}</v>
      </c>
      <c r="L1073" s="148" t="str">
        <f>IFERROR(__xludf.DUMMYFUNCTION("""COMPUTED_VALUE"""),"{""typ"":""lc"",""txt"":""LC_ITEM_city_skin_rocket_use_tips""}")</f>
        <v>{"typ":"lc","txt":"LC_ITEM_city_skin_rocket_use_tips"}</v>
      </c>
      <c r="M1073" s="148">
        <f>IFERROR(__xludf.DUMMYFUNCTION("""COMPUTED_VALUE"""),10000.0)</f>
        <v>10000</v>
      </c>
      <c r="N1073" s="148">
        <f>IFERROR(__xludf.DUMMYFUNCTION("""COMPUTED_VALUE"""),999.0)</f>
        <v>999</v>
      </c>
      <c r="O1073" s="148">
        <f>IFERROR(__xludf.DUMMYFUNCTION("""COMPUTED_VALUE"""),1.0)</f>
        <v>1</v>
      </c>
      <c r="P1073" s="148">
        <f>IFERROR(__xludf.DUMMYFUNCTION("""COMPUTED_VALUE"""),1.0)</f>
        <v>1</v>
      </c>
      <c r="Q1073" s="148" t="str">
        <f>IFERROR(__xludf.DUMMYFUNCTION("""COMPUTED_VALUE"""),"[""bag_other""]")</f>
        <v>["bag_other"]</v>
      </c>
      <c r="R1073" s="148" t="str">
        <f>IFERROR(__xludf.DUMMYFUNCTION("""COMPUTED_VALUE"""),"[""bag"",""13121105""]")</f>
        <v>["bag","13121105"]</v>
      </c>
      <c r="S1073" s="148" t="str">
        <f>IFERROR(__xludf.DUMMYFUNCTION("""COMPUTED_VALUE"""),"{""effect"":[{""typ"":""city_skin"",""id"":13121105,""val"":1209600000},{""typ"":""item"",""id"":11111021,""val"":7}]}")</f>
        <v>{"effect":[{"typ":"city_skin","id":13121105,"val":1209600000},{"typ":"item","id":11111021,"val":7}]}</v>
      </c>
      <c r="T1073" s="148">
        <f>IFERROR(__xludf.DUMMYFUNCTION("""COMPUTED_VALUE"""),-1.0)</f>
        <v>-1</v>
      </c>
      <c r="U1073" s="148">
        <f>IFERROR(__xludf.DUMMYFUNCTION("""COMPUTED_VALUE"""),0.0)</f>
        <v>0</v>
      </c>
      <c r="V1073" s="148" t="str">
        <f>IFERROR(__xludf.DUMMYFUNCTION("""COMPUTED_VALUE"""),"[]")</f>
        <v>[]</v>
      </c>
      <c r="W1073" s="148">
        <f>IFERROR(__xludf.DUMMYFUNCTION("""COMPUTED_VALUE"""),1.174E7)</f>
        <v>11740000</v>
      </c>
      <c r="X1073" s="148">
        <f>IFERROR(__xludf.DUMMYFUNCTION("""COMPUTED_VALUE"""),0.0)</f>
        <v>0</v>
      </c>
      <c r="Y1073" s="148">
        <f>IFERROR(__xludf.DUMMYFUNCTION("""COMPUTED_VALUE"""),0.0)</f>
        <v>0</v>
      </c>
      <c r="Z1073" s="148"/>
    </row>
    <row r="1074">
      <c r="A1074" s="148">
        <f>IFERROR(__xludf.DUMMYFUNCTION("""COMPUTED_VALUE"""),1.1112915E7)</f>
        <v>11112915</v>
      </c>
      <c r="B1074" s="148" t="str">
        <f>IFERROR(__xludf.DUMMYFUNCTION("""COMPUTED_VALUE"""),"主城皮肤-情人节高级皮肤2026-7天")</f>
        <v>主城皮肤-情人节高级皮肤2026-7天</v>
      </c>
      <c r="C1074" s="148"/>
      <c r="D1074" s="148" t="str">
        <f>IFERROR(__xludf.DUMMYFUNCTION("""COMPUTED_VALUE"""),"city_skin")</f>
        <v>city_skin</v>
      </c>
      <c r="E1074" s="148">
        <f>IFERROR(__xludf.DUMMYFUNCTION("""COMPUTED_VALUE"""),21.0)</f>
        <v>21</v>
      </c>
      <c r="F1074" s="148">
        <f>IFERROR(__xludf.DUMMYFUNCTION("""COMPUTED_VALUE"""),400106.0)</f>
        <v>400106</v>
      </c>
      <c r="G1074" s="148">
        <f>IFERROR(__xludf.DUMMYFUNCTION("""COMPUTED_VALUE"""),1.51104393E8)</f>
        <v>151104393</v>
      </c>
      <c r="H1074" s="148">
        <f>IFERROR(__xludf.DUMMYFUNCTION("""COMPUTED_VALUE"""),1.5112564E7)</f>
        <v>15112564</v>
      </c>
      <c r="I1074" s="148" t="str">
        <f>IFERROR(__xludf.DUMMYFUNCTION("""COMPUTED_VALUE"""),"{""typ"":""lc"",""txt"":""LC_ITEM_time_day_upper_show"",""args"":[{""typ"":""int"",""val"":7}]}")</f>
        <v>{"typ":"lc","txt":"LC_ITEM_time_day_upper_show","args":[{"typ":"int","val":7}]}</v>
      </c>
      <c r="J1074" s="148" t="str">
        <f>IFERROR(__xludf.DUMMYFUNCTION("""COMPUTED_VALUE"""),"{""typ"":""lc"",""txt"":""LC_ITEM_2026valentine_highcity_skin_title_7day""}")</f>
        <v>{"typ":"lc","txt":"LC_ITEM_2026valentine_highcity_skin_title_7day"}</v>
      </c>
      <c r="K1074" s="148" t="str">
        <f>IFERROR(__xludf.DUMMYFUNCTION("""COMPUTED_VALUE"""),"{""typ"":""lc"",""txt"":""LC_ITEM_2026valentine_highskin_desc_7day""}")</f>
        <v>{"typ":"lc","txt":"LC_ITEM_2026valentine_highskin_desc_7day"}</v>
      </c>
      <c r="L1074" s="148" t="str">
        <f>IFERROR(__xludf.DUMMYFUNCTION("""COMPUTED_VALUE"""),"{""typ"":""lc"",""txt"":""LC_ITEM_city_skin_rocket_use_tips""}")</f>
        <v>{"typ":"lc","txt":"LC_ITEM_city_skin_rocket_use_tips"}</v>
      </c>
      <c r="M1074" s="148">
        <f>IFERROR(__xludf.DUMMYFUNCTION("""COMPUTED_VALUE"""),10000.0)</f>
        <v>10000</v>
      </c>
      <c r="N1074" s="148">
        <f>IFERROR(__xludf.DUMMYFUNCTION("""COMPUTED_VALUE"""),999.0)</f>
        <v>999</v>
      </c>
      <c r="O1074" s="148">
        <f>IFERROR(__xludf.DUMMYFUNCTION("""COMPUTED_VALUE"""),1.0)</f>
        <v>1</v>
      </c>
      <c r="P1074" s="148">
        <f>IFERROR(__xludf.DUMMYFUNCTION("""COMPUTED_VALUE"""),1.0)</f>
        <v>1</v>
      </c>
      <c r="Q1074" s="148" t="str">
        <f>IFERROR(__xludf.DUMMYFUNCTION("""COMPUTED_VALUE"""),"[""bag_other""]")</f>
        <v>["bag_other"]</v>
      </c>
      <c r="R1074" s="148" t="str">
        <f>IFERROR(__xludf.DUMMYFUNCTION("""COMPUTED_VALUE"""),"[""bag"",""13121105""]")</f>
        <v>["bag","13121105"]</v>
      </c>
      <c r="S1074" s="148" t="str">
        <f>IFERROR(__xludf.DUMMYFUNCTION("""COMPUTED_VALUE"""),"{""effect"":[{""typ"":""city_skin"",""id"":13121105,""val"":604800000},{""typ"":""item"",""id"":11111021,""val"":3}]}")</f>
        <v>{"effect":[{"typ":"city_skin","id":13121105,"val":604800000},{"typ":"item","id":11111021,"val":3}]}</v>
      </c>
      <c r="T1074" s="148">
        <f>IFERROR(__xludf.DUMMYFUNCTION("""COMPUTED_VALUE"""),-1.0)</f>
        <v>-1</v>
      </c>
      <c r="U1074" s="148">
        <f>IFERROR(__xludf.DUMMYFUNCTION("""COMPUTED_VALUE"""),0.0)</f>
        <v>0</v>
      </c>
      <c r="V1074" s="148" t="str">
        <f>IFERROR(__xludf.DUMMYFUNCTION("""COMPUTED_VALUE"""),"[]")</f>
        <v>[]</v>
      </c>
      <c r="W1074" s="148">
        <f>IFERROR(__xludf.DUMMYFUNCTION("""COMPUTED_VALUE"""),1.174E7)</f>
        <v>11740000</v>
      </c>
      <c r="X1074" s="148">
        <f>IFERROR(__xludf.DUMMYFUNCTION("""COMPUTED_VALUE"""),0.0)</f>
        <v>0</v>
      </c>
      <c r="Y1074" s="148">
        <f>IFERROR(__xludf.DUMMYFUNCTION("""COMPUTED_VALUE"""),0.0)</f>
        <v>0</v>
      </c>
      <c r="Z1074" s="148"/>
    </row>
    <row r="1075">
      <c r="A1075" s="148">
        <f>IFERROR(__xludf.DUMMYFUNCTION("""COMPUTED_VALUE"""),1.1112916E7)</f>
        <v>11112916</v>
      </c>
      <c r="B1075" s="148" t="str">
        <f>IFERROR(__xludf.DUMMYFUNCTION("""COMPUTED_VALUE"""),"主城皮肤-情人节高级皮肤2026")</f>
        <v>主城皮肤-情人节高级皮肤2026</v>
      </c>
      <c r="C1075" s="148"/>
      <c r="D1075" s="148" t="str">
        <f>IFERROR(__xludf.DUMMYFUNCTION("""COMPUTED_VALUE"""),"city_skin")</f>
        <v>city_skin</v>
      </c>
      <c r="E1075" s="148">
        <f>IFERROR(__xludf.DUMMYFUNCTION("""COMPUTED_VALUE"""),21.0)</f>
        <v>21</v>
      </c>
      <c r="F1075" s="148">
        <f>IFERROR(__xludf.DUMMYFUNCTION("""COMPUTED_VALUE"""),400106.0)</f>
        <v>400106</v>
      </c>
      <c r="G1075" s="148">
        <f>IFERROR(__xludf.DUMMYFUNCTION("""COMPUTED_VALUE"""),1.51104393E8)</f>
        <v>151104393</v>
      </c>
      <c r="H1075" s="148">
        <f>IFERROR(__xludf.DUMMYFUNCTION("""COMPUTED_VALUE"""),1.5115983E7)</f>
        <v>15115983</v>
      </c>
      <c r="I1075" s="148" t="str">
        <f>IFERROR(__xludf.DUMMYFUNCTION("""COMPUTED_VALUE"""),"{}")</f>
        <v>{}</v>
      </c>
      <c r="J1075" s="148" t="str">
        <f>IFERROR(__xludf.DUMMYFUNCTION("""COMPUTED_VALUE"""),"{""typ"":""lc"",""txt"":""LC_ITEM_2026valentine_highcity_skin_title""}")</f>
        <v>{"typ":"lc","txt":"LC_ITEM_2026valentine_highcity_skin_title"}</v>
      </c>
      <c r="K1075" s="148" t="str">
        <f>IFERROR(__xludf.DUMMYFUNCTION("""COMPUTED_VALUE"""),"{""typ"":""lc"",""txt"":""LC_ITEM_2026valentine_highskin_desc_forever""}")</f>
        <v>{"typ":"lc","txt":"LC_ITEM_2026valentine_highskin_desc_forever"}</v>
      </c>
      <c r="L1075" s="148" t="str">
        <f>IFERROR(__xludf.DUMMYFUNCTION("""COMPUTED_VALUE"""),"{""typ"":""lc"",""txt"":""LC_ITEM_city_skin_rocket_use_tips""}")</f>
        <v>{"typ":"lc","txt":"LC_ITEM_city_skin_rocket_use_tips"}</v>
      </c>
      <c r="M1075" s="148">
        <f>IFERROR(__xludf.DUMMYFUNCTION("""COMPUTED_VALUE"""),10000.0)</f>
        <v>10000</v>
      </c>
      <c r="N1075" s="148">
        <f>IFERROR(__xludf.DUMMYFUNCTION("""COMPUTED_VALUE"""),999.0)</f>
        <v>999</v>
      </c>
      <c r="O1075" s="148">
        <f>IFERROR(__xludf.DUMMYFUNCTION("""COMPUTED_VALUE"""),1.0)</f>
        <v>1</v>
      </c>
      <c r="P1075" s="148">
        <f>IFERROR(__xludf.DUMMYFUNCTION("""COMPUTED_VALUE"""),1.0)</f>
        <v>1</v>
      </c>
      <c r="Q1075" s="148" t="str">
        <f>IFERROR(__xludf.DUMMYFUNCTION("""COMPUTED_VALUE"""),"[""bag_other""]")</f>
        <v>["bag_other"]</v>
      </c>
      <c r="R1075" s="148" t="str">
        <f>IFERROR(__xludf.DUMMYFUNCTION("""COMPUTED_VALUE"""),"[""bag"",""13121105""]")</f>
        <v>["bag","13121105"]</v>
      </c>
      <c r="S1075" s="148" t="str">
        <f>IFERROR(__xludf.DUMMYFUNCTION("""COMPUTED_VALUE"""),"{""effect"":[{""typ"":""city_skin"",""id"":13121105,""val"":-1},{""typ"":""item"",""id"":11111034,""val"":10}]}")</f>
        <v>{"effect":[{"typ":"city_skin","id":13121105,"val":-1},{"typ":"item","id":11111034,"val":10}]}</v>
      </c>
      <c r="T1075" s="148">
        <f>IFERROR(__xludf.DUMMYFUNCTION("""COMPUTED_VALUE"""),-1.0)</f>
        <v>-1</v>
      </c>
      <c r="U1075" s="148">
        <f>IFERROR(__xludf.DUMMYFUNCTION("""COMPUTED_VALUE"""),0.0)</f>
        <v>0</v>
      </c>
      <c r="V1075" s="148" t="str">
        <f>IFERROR(__xludf.DUMMYFUNCTION("""COMPUTED_VALUE"""),"[]")</f>
        <v>[]</v>
      </c>
      <c r="W1075" s="148">
        <f>IFERROR(__xludf.DUMMYFUNCTION("""COMPUTED_VALUE"""),1.174E7)</f>
        <v>11740000</v>
      </c>
      <c r="X1075" s="148">
        <f>IFERROR(__xludf.DUMMYFUNCTION("""COMPUTED_VALUE"""),0.0)</f>
        <v>0</v>
      </c>
      <c r="Y1075" s="148">
        <f>IFERROR(__xludf.DUMMYFUNCTION("""COMPUTED_VALUE"""),0.0)</f>
        <v>0</v>
      </c>
      <c r="Z1075" s="148"/>
    </row>
    <row r="1076">
      <c r="A1076" s="148">
        <f>IFERROR(__xludf.DUMMYFUNCTION("""COMPUTED_VALUE"""),1.1112917E7)</f>
        <v>11112917</v>
      </c>
      <c r="B1076" s="148" t="str">
        <f>IFERROR(__xludf.DUMMYFUNCTION("""COMPUTED_VALUE"""),"主城皮肤-情人节2026")</f>
        <v>主城皮肤-情人节2026</v>
      </c>
      <c r="C1076" s="148"/>
      <c r="D1076" s="148" t="str">
        <f>IFERROR(__xludf.DUMMYFUNCTION("""COMPUTED_VALUE"""),"city_skin")</f>
        <v>city_skin</v>
      </c>
      <c r="E1076" s="148">
        <f>IFERROR(__xludf.DUMMYFUNCTION("""COMPUTED_VALUE"""),21.0)</f>
        <v>21</v>
      </c>
      <c r="F1076" s="148">
        <f>IFERROR(__xludf.DUMMYFUNCTION("""COMPUTED_VALUE"""),404201.0)</f>
        <v>404201</v>
      </c>
      <c r="G1076" s="148">
        <f>IFERROR(__xludf.DUMMYFUNCTION("""COMPUTED_VALUE"""),1.51104391E8)</f>
        <v>151104391</v>
      </c>
      <c r="H1076" s="148">
        <f>IFERROR(__xludf.DUMMYFUNCTION("""COMPUTED_VALUE"""),1.5112564E7)</f>
        <v>15112564</v>
      </c>
      <c r="I1076" s="148" t="str">
        <f>IFERROR(__xludf.DUMMYFUNCTION("""COMPUTED_VALUE"""),"{}")</f>
        <v>{}</v>
      </c>
      <c r="J1076" s="148" t="str">
        <f>IFERROR(__xludf.DUMMYFUNCTION("""COMPUTED_VALUE"""),"{""typ"":""lc"",""txt"":""LC_ITEM_2026valentine_lowcity_skin_title""}")</f>
        <v>{"typ":"lc","txt":"LC_ITEM_2026valentine_lowcity_skin_title"}</v>
      </c>
      <c r="K1076" s="148" t="str">
        <f>IFERROR(__xludf.DUMMYFUNCTION("""COMPUTED_VALUE"""),"{""typ"":""lc"",""txt"":""LC_ITEM_2026valentine_lowcity_skin_desc_forever""}")</f>
        <v>{"typ":"lc","txt":"LC_ITEM_2026valentine_lowcity_skin_desc_forever"}</v>
      </c>
      <c r="L1076" s="148" t="str">
        <f>IFERROR(__xludf.DUMMYFUNCTION("""COMPUTED_VALUE"""),"{""typ"":""lc"",""txt"":""LC_ITEM_city_skin_rocket_use_tips""}")</f>
        <v>{"typ":"lc","txt":"LC_ITEM_city_skin_rocket_use_tips"}</v>
      </c>
      <c r="M1076" s="148">
        <f>IFERROR(__xludf.DUMMYFUNCTION("""COMPUTED_VALUE"""),10000.0)</f>
        <v>10000</v>
      </c>
      <c r="N1076" s="148">
        <f>IFERROR(__xludf.DUMMYFUNCTION("""COMPUTED_VALUE"""),999.0)</f>
        <v>999</v>
      </c>
      <c r="O1076" s="148">
        <f>IFERROR(__xludf.DUMMYFUNCTION("""COMPUTED_VALUE"""),1.0)</f>
        <v>1</v>
      </c>
      <c r="P1076" s="148">
        <f>IFERROR(__xludf.DUMMYFUNCTION("""COMPUTED_VALUE"""),1.0)</f>
        <v>1</v>
      </c>
      <c r="Q1076" s="148" t="str">
        <f>IFERROR(__xludf.DUMMYFUNCTION("""COMPUTED_VALUE"""),"[""bag_other""]")</f>
        <v>["bag_other"]</v>
      </c>
      <c r="R1076" s="148" t="str">
        <f>IFERROR(__xludf.DUMMYFUNCTION("""COMPUTED_VALUE"""),"[""bag"",""13121104""]")</f>
        <v>["bag","13121104"]</v>
      </c>
      <c r="S1076" s="148" t="str">
        <f>IFERROR(__xludf.DUMMYFUNCTION("""COMPUTED_VALUE"""),"{""effect"":[{""typ"":""city_skin"",""id"":13121104,""val"":-1},{""typ"":""item"",""id"":11111034,""val"":10}]}")</f>
        <v>{"effect":[{"typ":"city_skin","id":13121104,"val":-1},{"typ":"item","id":11111034,"val":10}]}</v>
      </c>
      <c r="T1076" s="148">
        <f>IFERROR(__xludf.DUMMYFUNCTION("""COMPUTED_VALUE"""),-1.0)</f>
        <v>-1</v>
      </c>
      <c r="U1076" s="148">
        <f>IFERROR(__xludf.DUMMYFUNCTION("""COMPUTED_VALUE"""),0.0)</f>
        <v>0</v>
      </c>
      <c r="V1076" s="148" t="str">
        <f>IFERROR(__xludf.DUMMYFUNCTION("""COMPUTED_VALUE"""),"[]")</f>
        <v>[]</v>
      </c>
      <c r="W1076" s="148">
        <f>IFERROR(__xludf.DUMMYFUNCTION("""COMPUTED_VALUE"""),1.174E7)</f>
        <v>11740000</v>
      </c>
      <c r="X1076" s="148">
        <f>IFERROR(__xludf.DUMMYFUNCTION("""COMPUTED_VALUE"""),0.0)</f>
        <v>0</v>
      </c>
      <c r="Y1076" s="148">
        <f>IFERROR(__xludf.DUMMYFUNCTION("""COMPUTED_VALUE"""),0.0)</f>
        <v>0</v>
      </c>
      <c r="Z1076" s="148"/>
    </row>
    <row r="1077">
      <c r="A1077" s="148">
        <f>IFERROR(__xludf.DUMMYFUNCTION("""COMPUTED_VALUE"""),1.1112918E7)</f>
        <v>11112918</v>
      </c>
      <c r="B1077" s="148" t="str">
        <f>IFERROR(__xludf.DUMMYFUNCTION("""COMPUTED_VALUE"""),"主城皮肤-情人节2026-2天")</f>
        <v>主城皮肤-情人节2026-2天</v>
      </c>
      <c r="C1077" s="148"/>
      <c r="D1077" s="148" t="str">
        <f>IFERROR(__xludf.DUMMYFUNCTION("""COMPUTED_VALUE"""),"city_skin")</f>
        <v>city_skin</v>
      </c>
      <c r="E1077" s="148">
        <f>IFERROR(__xludf.DUMMYFUNCTION("""COMPUTED_VALUE"""),21.0)</f>
        <v>21</v>
      </c>
      <c r="F1077" s="148">
        <f>IFERROR(__xludf.DUMMYFUNCTION("""COMPUTED_VALUE"""),404201.0)</f>
        <v>404201</v>
      </c>
      <c r="G1077" s="148">
        <f>IFERROR(__xludf.DUMMYFUNCTION("""COMPUTED_VALUE"""),1.51104391E8)</f>
        <v>151104391</v>
      </c>
      <c r="H1077" s="148">
        <f>IFERROR(__xludf.DUMMYFUNCTION("""COMPUTED_VALUE"""),1.5112563E7)</f>
        <v>15112563</v>
      </c>
      <c r="I1077" s="148" t="str">
        <f>IFERROR(__xludf.DUMMYFUNCTION("""COMPUTED_VALUE"""),"{""typ"":""lc"",""txt"":""LC_ITEM_time_day_upper_show"",""args"":[{""typ"":""int"",""val"":2}]}")</f>
        <v>{"typ":"lc","txt":"LC_ITEM_time_day_upper_show","args":[{"typ":"int","val":2}]}</v>
      </c>
      <c r="J1077" s="148" t="str">
        <f>IFERROR(__xludf.DUMMYFUNCTION("""COMPUTED_VALUE"""),"{""typ"":""lc"",""txt"":""LC_ITEM_2026valentine_lowcity_skin_title_2day""}")</f>
        <v>{"typ":"lc","txt":"LC_ITEM_2026valentine_lowcity_skin_title_2day"}</v>
      </c>
      <c r="K1077" s="148" t="str">
        <f>IFERROR(__xludf.DUMMYFUNCTION("""COMPUTED_VALUE"""),"{""typ"":""lc"",""txt"":""LC_ITEM_2026valentine_lowcity_skin_desc_2day""}")</f>
        <v>{"typ":"lc","txt":"LC_ITEM_2026valentine_lowcity_skin_desc_2day"}</v>
      </c>
      <c r="L1077" s="148" t="str">
        <f>IFERROR(__xludf.DUMMYFUNCTION("""COMPUTED_VALUE"""),"{""typ"":""lc"",""txt"":""LC_ITEM_city_skin_rocket_use_tips""}")</f>
        <v>{"typ":"lc","txt":"LC_ITEM_city_skin_rocket_use_tips"}</v>
      </c>
      <c r="M1077" s="148">
        <f>IFERROR(__xludf.DUMMYFUNCTION("""COMPUTED_VALUE"""),500.0)</f>
        <v>500</v>
      </c>
      <c r="N1077" s="148">
        <f>IFERROR(__xludf.DUMMYFUNCTION("""COMPUTED_VALUE"""),999.0)</f>
        <v>999</v>
      </c>
      <c r="O1077" s="148">
        <f>IFERROR(__xludf.DUMMYFUNCTION("""COMPUTED_VALUE"""),1.0)</f>
        <v>1</v>
      </c>
      <c r="P1077" s="148">
        <f>IFERROR(__xludf.DUMMYFUNCTION("""COMPUTED_VALUE"""),1.0)</f>
        <v>1</v>
      </c>
      <c r="Q1077" s="148" t="str">
        <f>IFERROR(__xludf.DUMMYFUNCTION("""COMPUTED_VALUE"""),"[""bag_other""]")</f>
        <v>["bag_other"]</v>
      </c>
      <c r="R1077" s="148" t="str">
        <f>IFERROR(__xludf.DUMMYFUNCTION("""COMPUTED_VALUE"""),"[""bag"",""13121104""]")</f>
        <v>["bag","13121104"]</v>
      </c>
      <c r="S1077" s="148" t="str">
        <f>IFERROR(__xludf.DUMMYFUNCTION("""COMPUTED_VALUE"""),"{""effect"":[{""typ"":""city_skin"",""id"":13121104,""val"":172800000},{""typ"":""item"",""id"":11111021,""val"":1}]}")</f>
        <v>{"effect":[{"typ":"city_skin","id":13121104,"val":172800000},{"typ":"item","id":11111021,"val":1}]}</v>
      </c>
      <c r="T1077" s="148">
        <f>IFERROR(__xludf.DUMMYFUNCTION("""COMPUTED_VALUE"""),-1.0)</f>
        <v>-1</v>
      </c>
      <c r="U1077" s="148">
        <f>IFERROR(__xludf.DUMMYFUNCTION("""COMPUTED_VALUE"""),0.0)</f>
        <v>0</v>
      </c>
      <c r="V1077" s="148" t="str">
        <f>IFERROR(__xludf.DUMMYFUNCTION("""COMPUTED_VALUE"""),"[]")</f>
        <v>[]</v>
      </c>
      <c r="W1077" s="148">
        <f>IFERROR(__xludf.DUMMYFUNCTION("""COMPUTED_VALUE"""),1.174E7)</f>
        <v>11740000</v>
      </c>
      <c r="X1077" s="148">
        <f>IFERROR(__xludf.DUMMYFUNCTION("""COMPUTED_VALUE"""),0.0)</f>
        <v>0</v>
      </c>
      <c r="Y1077" s="148">
        <f>IFERROR(__xludf.DUMMYFUNCTION("""COMPUTED_VALUE"""),0.0)</f>
        <v>0</v>
      </c>
      <c r="Z1077" s="148"/>
    </row>
    <row r="1078">
      <c r="A1078" s="148">
        <f>IFERROR(__xludf.DUMMYFUNCTION("""COMPUTED_VALUE"""),1.1112919E7)</f>
        <v>11112919</v>
      </c>
      <c r="B1078" s="148" t="str">
        <f>IFERROR(__xludf.DUMMYFUNCTION("""COMPUTED_VALUE"""),"主城皮肤-情人节2026-7天")</f>
        <v>主城皮肤-情人节2026-7天</v>
      </c>
      <c r="C1078" s="148"/>
      <c r="D1078" s="148" t="str">
        <f>IFERROR(__xludf.DUMMYFUNCTION("""COMPUTED_VALUE"""),"city_skin")</f>
        <v>city_skin</v>
      </c>
      <c r="E1078" s="148">
        <f>IFERROR(__xludf.DUMMYFUNCTION("""COMPUTED_VALUE"""),21.0)</f>
        <v>21</v>
      </c>
      <c r="F1078" s="148">
        <f>IFERROR(__xludf.DUMMYFUNCTION("""COMPUTED_VALUE"""),404201.0)</f>
        <v>404201</v>
      </c>
      <c r="G1078" s="148">
        <f>IFERROR(__xludf.DUMMYFUNCTION("""COMPUTED_VALUE"""),1.51104391E8)</f>
        <v>151104391</v>
      </c>
      <c r="H1078" s="148">
        <f>IFERROR(__xludf.DUMMYFUNCTION("""COMPUTED_VALUE"""),1.5112564E7)</f>
        <v>15112564</v>
      </c>
      <c r="I1078" s="148" t="str">
        <f>IFERROR(__xludf.DUMMYFUNCTION("""COMPUTED_VALUE"""),"{""typ"":""lc"",""txt"":""LC_ITEM_time_day_upper_show"",""args"":[{""typ"":""int"",""val"":7}]}")</f>
        <v>{"typ":"lc","txt":"LC_ITEM_time_day_upper_show","args":[{"typ":"int","val":7}]}</v>
      </c>
      <c r="J1078" s="148" t="str">
        <f>IFERROR(__xludf.DUMMYFUNCTION("""COMPUTED_VALUE"""),"{""typ"":""lc"",""txt"":""LC_ITEM_2026valentine_lowcity_skin_title_7day""}")</f>
        <v>{"typ":"lc","txt":"LC_ITEM_2026valentine_lowcity_skin_title_7day"}</v>
      </c>
      <c r="K1078" s="148" t="str">
        <f>IFERROR(__xludf.DUMMYFUNCTION("""COMPUTED_VALUE"""),"{""typ"":""lc"",""txt"":""LC_ITEM_2026valentine_lowcity_skin_desc_7day""}")</f>
        <v>{"typ":"lc","txt":"LC_ITEM_2026valentine_lowcity_skin_desc_7day"}</v>
      </c>
      <c r="L1078" s="148" t="str">
        <f>IFERROR(__xludf.DUMMYFUNCTION("""COMPUTED_VALUE"""),"{""typ"":""lc"",""txt"":""LC_ITEM_city_skin_rocket_use_tips""}")</f>
        <v>{"typ":"lc","txt":"LC_ITEM_city_skin_rocket_use_tips"}</v>
      </c>
      <c r="M1078" s="148">
        <f>IFERROR(__xludf.DUMMYFUNCTION("""COMPUTED_VALUE"""),10000.0)</f>
        <v>10000</v>
      </c>
      <c r="N1078" s="148">
        <f>IFERROR(__xludf.DUMMYFUNCTION("""COMPUTED_VALUE"""),999.0)</f>
        <v>999</v>
      </c>
      <c r="O1078" s="148">
        <f>IFERROR(__xludf.DUMMYFUNCTION("""COMPUTED_VALUE"""),1.0)</f>
        <v>1</v>
      </c>
      <c r="P1078" s="148">
        <f>IFERROR(__xludf.DUMMYFUNCTION("""COMPUTED_VALUE"""),1.0)</f>
        <v>1</v>
      </c>
      <c r="Q1078" s="148" t="str">
        <f>IFERROR(__xludf.DUMMYFUNCTION("""COMPUTED_VALUE"""),"[""bag_other""]")</f>
        <v>["bag_other"]</v>
      </c>
      <c r="R1078" s="148" t="str">
        <f>IFERROR(__xludf.DUMMYFUNCTION("""COMPUTED_VALUE"""),"[""bag"",""13121104""]")</f>
        <v>["bag","13121104"]</v>
      </c>
      <c r="S1078" s="148" t="str">
        <f>IFERROR(__xludf.DUMMYFUNCTION("""COMPUTED_VALUE"""),"{""effect"":[{""typ"":""city_skin"",""id"":13121104,""val"":604800000},{""typ"":""item"",""id"":11111021,""val"":3}]}")</f>
        <v>{"effect":[{"typ":"city_skin","id":13121104,"val":604800000},{"typ":"item","id":11111021,"val":3}]}</v>
      </c>
      <c r="T1078" s="148">
        <f>IFERROR(__xludf.DUMMYFUNCTION("""COMPUTED_VALUE"""),-1.0)</f>
        <v>-1</v>
      </c>
      <c r="U1078" s="148">
        <f>IFERROR(__xludf.DUMMYFUNCTION("""COMPUTED_VALUE"""),0.0)</f>
        <v>0</v>
      </c>
      <c r="V1078" s="148" t="str">
        <f>IFERROR(__xludf.DUMMYFUNCTION("""COMPUTED_VALUE"""),"[]")</f>
        <v>[]</v>
      </c>
      <c r="W1078" s="148">
        <f>IFERROR(__xludf.DUMMYFUNCTION("""COMPUTED_VALUE"""),1.174E7)</f>
        <v>11740000</v>
      </c>
      <c r="X1078" s="148">
        <f>IFERROR(__xludf.DUMMYFUNCTION("""COMPUTED_VALUE"""),0.0)</f>
        <v>0</v>
      </c>
      <c r="Y1078" s="148">
        <f>IFERROR(__xludf.DUMMYFUNCTION("""COMPUTED_VALUE"""),0.0)</f>
        <v>0</v>
      </c>
      <c r="Z1078" s="148"/>
    </row>
    <row r="1079">
      <c r="A1079" s="148">
        <f>IFERROR(__xludf.DUMMYFUNCTION("""COMPUTED_VALUE"""),1.111292E7)</f>
        <v>11112920</v>
      </c>
      <c r="B1079" s="148" t="str">
        <f>IFERROR(__xludf.DUMMYFUNCTION("""COMPUTED_VALUE"""),"主城皮肤-情人节2026-14天")</f>
        <v>主城皮肤-情人节2026-14天</v>
      </c>
      <c r="C1079" s="148"/>
      <c r="D1079" s="148" t="str">
        <f>IFERROR(__xludf.DUMMYFUNCTION("""COMPUTED_VALUE"""),"city_skin")</f>
        <v>city_skin</v>
      </c>
      <c r="E1079" s="148">
        <f>IFERROR(__xludf.DUMMYFUNCTION("""COMPUTED_VALUE"""),21.0)</f>
        <v>21</v>
      </c>
      <c r="F1079" s="148">
        <f>IFERROR(__xludf.DUMMYFUNCTION("""COMPUTED_VALUE"""),404201.0)</f>
        <v>404201</v>
      </c>
      <c r="G1079" s="148">
        <f>IFERROR(__xludf.DUMMYFUNCTION("""COMPUTED_VALUE"""),1.51104391E8)</f>
        <v>151104391</v>
      </c>
      <c r="H1079" s="148">
        <f>IFERROR(__xludf.DUMMYFUNCTION("""COMPUTED_VALUE"""),1.5112564E7)</f>
        <v>15112564</v>
      </c>
      <c r="I1079" s="148" t="str">
        <f>IFERROR(__xludf.DUMMYFUNCTION("""COMPUTED_VALUE"""),"{""typ"":""lc"",""txt"":""LC_ITEM_time_day_upper_show"",""args"":[{""typ"":""int"",""val"":14}]}")</f>
        <v>{"typ":"lc","txt":"LC_ITEM_time_day_upper_show","args":[{"typ":"int","val":14}]}</v>
      </c>
      <c r="J1079" s="148" t="str">
        <f>IFERROR(__xludf.DUMMYFUNCTION("""COMPUTED_VALUE"""),"{""typ"":""lc"",""txt"":""LC_ITEM_2026valentine_lowcity_skin_title_14day""}")</f>
        <v>{"typ":"lc","txt":"LC_ITEM_2026valentine_lowcity_skin_title_14day"}</v>
      </c>
      <c r="K1079" s="148" t="str">
        <f>IFERROR(__xludf.DUMMYFUNCTION("""COMPUTED_VALUE"""),"{""typ"":""lc"",""txt"":""LC_ITEM_2026valentine_lowcity_skin_desc_14day""}")</f>
        <v>{"typ":"lc","txt":"LC_ITEM_2026valentine_lowcity_skin_desc_14day"}</v>
      </c>
      <c r="L1079" s="148" t="str">
        <f>IFERROR(__xludf.DUMMYFUNCTION("""COMPUTED_VALUE"""),"{""typ"":""lc"",""txt"":""LC_ITEM_city_skin_rocket_use_tips""}")</f>
        <v>{"typ":"lc","txt":"LC_ITEM_city_skin_rocket_use_tips"}</v>
      </c>
      <c r="M1079" s="148">
        <f>IFERROR(__xludf.DUMMYFUNCTION("""COMPUTED_VALUE"""),10000.0)</f>
        <v>10000</v>
      </c>
      <c r="N1079" s="148">
        <f>IFERROR(__xludf.DUMMYFUNCTION("""COMPUTED_VALUE"""),999.0)</f>
        <v>999</v>
      </c>
      <c r="O1079" s="148">
        <f>IFERROR(__xludf.DUMMYFUNCTION("""COMPUTED_VALUE"""),1.0)</f>
        <v>1</v>
      </c>
      <c r="P1079" s="148">
        <f>IFERROR(__xludf.DUMMYFUNCTION("""COMPUTED_VALUE"""),1.0)</f>
        <v>1</v>
      </c>
      <c r="Q1079" s="148" t="str">
        <f>IFERROR(__xludf.DUMMYFUNCTION("""COMPUTED_VALUE"""),"[""bag_other""]")</f>
        <v>["bag_other"]</v>
      </c>
      <c r="R1079" s="148" t="str">
        <f>IFERROR(__xludf.DUMMYFUNCTION("""COMPUTED_VALUE"""),"[""bag"",""13121104""]")</f>
        <v>["bag","13121104"]</v>
      </c>
      <c r="S1079" s="148" t="str">
        <f>IFERROR(__xludf.DUMMYFUNCTION("""COMPUTED_VALUE"""),"{""effect"":[{""typ"":""city_skin"",""id"":13121104,""val"":1209600000},{""typ"":""item"",""id"":11111021,""val"":7}]}")</f>
        <v>{"effect":[{"typ":"city_skin","id":13121104,"val":1209600000},{"typ":"item","id":11111021,"val":7}]}</v>
      </c>
      <c r="T1079" s="148">
        <f>IFERROR(__xludf.DUMMYFUNCTION("""COMPUTED_VALUE"""),-1.0)</f>
        <v>-1</v>
      </c>
      <c r="U1079" s="148">
        <f>IFERROR(__xludf.DUMMYFUNCTION("""COMPUTED_VALUE"""),0.0)</f>
        <v>0</v>
      </c>
      <c r="V1079" s="148" t="str">
        <f>IFERROR(__xludf.DUMMYFUNCTION("""COMPUTED_VALUE"""),"[]")</f>
        <v>[]</v>
      </c>
      <c r="W1079" s="148">
        <f>IFERROR(__xludf.DUMMYFUNCTION("""COMPUTED_VALUE"""),1.174E7)</f>
        <v>11740000</v>
      </c>
      <c r="X1079" s="148">
        <f>IFERROR(__xludf.DUMMYFUNCTION("""COMPUTED_VALUE"""),0.0)</f>
        <v>0</v>
      </c>
      <c r="Y1079" s="148">
        <f>IFERROR(__xludf.DUMMYFUNCTION("""COMPUTED_VALUE"""),0.0)</f>
        <v>0</v>
      </c>
      <c r="Z1079" s="148"/>
    </row>
    <row r="1080">
      <c r="A1080" s="148">
        <f>IFERROR(__xludf.DUMMYFUNCTION("""COMPUTED_VALUE"""),1.1112921E7)</f>
        <v>11112921</v>
      </c>
      <c r="B1080" s="148" t="str">
        <f>IFERROR(__xludf.DUMMYFUNCTION("""COMPUTED_VALUE"""),"主城皮肤-情人节高级皮肤2026-28天")</f>
        <v>主城皮肤-情人节高级皮肤2026-28天</v>
      </c>
      <c r="C1080" s="148"/>
      <c r="D1080" s="148" t="str">
        <f>IFERROR(__xludf.DUMMYFUNCTION("""COMPUTED_VALUE"""),"city_skin")</f>
        <v>city_skin</v>
      </c>
      <c r="E1080" s="148">
        <f>IFERROR(__xludf.DUMMYFUNCTION("""COMPUTED_VALUE"""),21.0)</f>
        <v>21</v>
      </c>
      <c r="F1080" s="148">
        <f>IFERROR(__xludf.DUMMYFUNCTION("""COMPUTED_VALUE"""),400106.0)</f>
        <v>400106</v>
      </c>
      <c r="G1080" s="148">
        <f>IFERROR(__xludf.DUMMYFUNCTION("""COMPUTED_VALUE"""),1.51104393E8)</f>
        <v>151104393</v>
      </c>
      <c r="H1080" s="148">
        <f>IFERROR(__xludf.DUMMYFUNCTION("""COMPUTED_VALUE"""),1.5112564E7)</f>
        <v>15112564</v>
      </c>
      <c r="I1080" s="148" t="str">
        <f>IFERROR(__xludf.DUMMYFUNCTION("""COMPUTED_VALUE"""),"{""typ"":""lc"",""txt"":""LC_ITEM_time_day_upper_show"",""args"":[{""typ"":""int"",""val"":28}]}")</f>
        <v>{"typ":"lc","txt":"LC_ITEM_time_day_upper_show","args":[{"typ":"int","val":28}]}</v>
      </c>
      <c r="J1080" s="148" t="str">
        <f>IFERROR(__xludf.DUMMYFUNCTION("""COMPUTED_VALUE"""),"{""typ"":""lc"",""txt"":""LC_ITEM_2026valentine_highcity_skin_title_28day""}")</f>
        <v>{"typ":"lc","txt":"LC_ITEM_2026valentine_highcity_skin_title_28day"}</v>
      </c>
      <c r="K1080" s="148" t="str">
        <f>IFERROR(__xludf.DUMMYFUNCTION("""COMPUTED_VALUE"""),"{""typ"":""lc"",""txt"":""LC_ITEM_2026valentine_highskin_desc_28day""}")</f>
        <v>{"typ":"lc","txt":"LC_ITEM_2026valentine_highskin_desc_28day"}</v>
      </c>
      <c r="L1080" s="148" t="str">
        <f>IFERROR(__xludf.DUMMYFUNCTION("""COMPUTED_VALUE"""),"{""typ"":""lc"",""txt"":""LC_ITEM_city_skin_rocket_use_tips""}")</f>
        <v>{"typ":"lc","txt":"LC_ITEM_city_skin_rocket_use_tips"}</v>
      </c>
      <c r="M1080" s="148">
        <f>IFERROR(__xludf.DUMMYFUNCTION("""COMPUTED_VALUE"""),10000.0)</f>
        <v>10000</v>
      </c>
      <c r="N1080" s="148">
        <f>IFERROR(__xludf.DUMMYFUNCTION("""COMPUTED_VALUE"""),999.0)</f>
        <v>999</v>
      </c>
      <c r="O1080" s="148">
        <f>IFERROR(__xludf.DUMMYFUNCTION("""COMPUTED_VALUE"""),1.0)</f>
        <v>1</v>
      </c>
      <c r="P1080" s="148">
        <f>IFERROR(__xludf.DUMMYFUNCTION("""COMPUTED_VALUE"""),1.0)</f>
        <v>1</v>
      </c>
      <c r="Q1080" s="148" t="str">
        <f>IFERROR(__xludf.DUMMYFUNCTION("""COMPUTED_VALUE"""),"[""bag_other""]")</f>
        <v>["bag_other"]</v>
      </c>
      <c r="R1080" s="148" t="str">
        <f>IFERROR(__xludf.DUMMYFUNCTION("""COMPUTED_VALUE"""),"[""bag"",""13121105""]")</f>
        <v>["bag","13121105"]</v>
      </c>
      <c r="S1080" s="148" t="str">
        <f>IFERROR(__xludf.DUMMYFUNCTION("""COMPUTED_VALUE"""),"{""effect"":[{""typ"":""city_skin"",""id"":13121105,""val"":2419200000},{""typ"":""item"",""id"":11111021,""val"":7}]}")</f>
        <v>{"effect":[{"typ":"city_skin","id":13121105,"val":2419200000},{"typ":"item","id":11111021,"val":7}]}</v>
      </c>
      <c r="T1080" s="148">
        <f>IFERROR(__xludf.DUMMYFUNCTION("""COMPUTED_VALUE"""),-1.0)</f>
        <v>-1</v>
      </c>
      <c r="U1080" s="148">
        <f>IFERROR(__xludf.DUMMYFUNCTION("""COMPUTED_VALUE"""),0.0)</f>
        <v>0</v>
      </c>
      <c r="V1080" s="148" t="str">
        <f>IFERROR(__xludf.DUMMYFUNCTION("""COMPUTED_VALUE"""),"[]")</f>
        <v>[]</v>
      </c>
      <c r="W1080" s="148">
        <f>IFERROR(__xludf.DUMMYFUNCTION("""COMPUTED_VALUE"""),1.174E7)</f>
        <v>11740000</v>
      </c>
      <c r="X1080" s="148">
        <f>IFERROR(__xludf.DUMMYFUNCTION("""COMPUTED_VALUE"""),0.0)</f>
        <v>0</v>
      </c>
      <c r="Y1080" s="148">
        <f>IFERROR(__xludf.DUMMYFUNCTION("""COMPUTED_VALUE"""),0.0)</f>
        <v>0</v>
      </c>
      <c r="Z1080" s="148"/>
    </row>
    <row r="1081">
      <c r="A1081" s="148">
        <f>IFERROR(__xludf.DUMMYFUNCTION("""COMPUTED_VALUE"""),1.1112922E7)</f>
        <v>11112922</v>
      </c>
      <c r="B1081" s="148" t="str">
        <f>IFERROR(__xludf.DUMMYFUNCTION("""COMPUTED_VALUE"""),"弹珠皮肤-万圣节")</f>
        <v>弹珠皮肤-万圣节</v>
      </c>
      <c r="C1081" s="148"/>
      <c r="D1081" s="148" t="str">
        <f>IFERROR(__xludf.DUMMYFUNCTION("""COMPUTED_VALUE"""),"minigame_skin")</f>
        <v>minigame_skin</v>
      </c>
      <c r="E1081" s="148">
        <f>IFERROR(__xludf.DUMMYFUNCTION("""COMPUTED_VALUE"""),21.0)</f>
        <v>21</v>
      </c>
      <c r="F1081" s="148">
        <f>IFERROR(__xludf.DUMMYFUNCTION("""COMPUTED_VALUE"""),400106.0)</f>
        <v>400106</v>
      </c>
      <c r="G1081" s="148">
        <f>IFERROR(__xludf.DUMMYFUNCTION("""COMPUTED_VALUE"""),1.51103064E8)</f>
        <v>151103064</v>
      </c>
      <c r="H1081" s="148">
        <f>IFERROR(__xludf.DUMMYFUNCTION("""COMPUTED_VALUE"""),1.5112564E7)</f>
        <v>15112564</v>
      </c>
      <c r="I1081" s="148" t="str">
        <f>IFERROR(__xludf.DUMMYFUNCTION("""COMPUTED_VALUE"""),"{}")</f>
        <v>{}</v>
      </c>
      <c r="J1081" s="148" t="str">
        <f>IFERROR(__xludf.DUMMYFUNCTION("""COMPUTED_VALUE"""),"{""typ"":""lc"",""txt"":""LC_ITEM_ui_skin_name_halloween""}")</f>
        <v>{"typ":"lc","txt":"LC_ITEM_ui_skin_name_halloween"}</v>
      </c>
      <c r="K1081" s="148" t="str">
        <f>IFERROR(__xludf.DUMMYFUNCTION("""COMPUTED_VALUE"""),"{}")</f>
        <v>{}</v>
      </c>
      <c r="L1081" s="148" t="str">
        <f>IFERROR(__xludf.DUMMYFUNCTION("""COMPUTED_VALUE"""),"{""typ"":""lc"",""txt"":""LC_ITEM_city_skin_rocket_use_tips""}")</f>
        <v>{"typ":"lc","txt":"LC_ITEM_city_skin_rocket_use_tips"}</v>
      </c>
      <c r="M1081" s="148">
        <f>IFERROR(__xludf.DUMMYFUNCTION("""COMPUTED_VALUE"""),10000.0)</f>
        <v>10000</v>
      </c>
      <c r="N1081" s="148">
        <f>IFERROR(__xludf.DUMMYFUNCTION("""COMPUTED_VALUE"""),999.0)</f>
        <v>999</v>
      </c>
      <c r="O1081" s="148">
        <f>IFERROR(__xludf.DUMMYFUNCTION("""COMPUTED_VALUE"""),1.0)</f>
        <v>1</v>
      </c>
      <c r="P1081" s="148">
        <f>IFERROR(__xludf.DUMMYFUNCTION("""COMPUTED_VALUE"""),1.0)</f>
        <v>1</v>
      </c>
      <c r="Q1081" s="148" t="str">
        <f>IFERROR(__xludf.DUMMYFUNCTION("""COMPUTED_VALUE"""),"[]")</f>
        <v>[]</v>
      </c>
      <c r="R1081" s="148" t="str">
        <f>IFERROR(__xludf.DUMMYFUNCTION("""COMPUTED_VALUE"""),"[]")</f>
        <v>[]</v>
      </c>
      <c r="S1081" s="148" t="str">
        <f>IFERROR(__xludf.DUMMYFUNCTION("""COMPUTED_VALUE"""),"{}")</f>
        <v>{}</v>
      </c>
      <c r="T1081" s="148">
        <f>IFERROR(__xludf.DUMMYFUNCTION("""COMPUTED_VALUE"""),-1.0)</f>
        <v>-1</v>
      </c>
      <c r="U1081" s="148">
        <f>IFERROR(__xludf.DUMMYFUNCTION("""COMPUTED_VALUE"""),0.0)</f>
        <v>0</v>
      </c>
      <c r="V1081" s="148" t="str">
        <f>IFERROR(__xludf.DUMMYFUNCTION("""COMPUTED_VALUE"""),"[]")</f>
        <v>[]</v>
      </c>
      <c r="W1081" s="148">
        <f>IFERROR(__xludf.DUMMYFUNCTION("""COMPUTED_VALUE"""),1.174E7)</f>
        <v>11740000</v>
      </c>
      <c r="X1081" s="148">
        <f>IFERROR(__xludf.DUMMYFUNCTION("""COMPUTED_VALUE"""),0.0)</f>
        <v>0</v>
      </c>
      <c r="Y1081" s="148">
        <f>IFERROR(__xludf.DUMMYFUNCTION("""COMPUTED_VALUE"""),0.0)</f>
        <v>0</v>
      </c>
      <c r="Z1081" s="148"/>
    </row>
    <row r="1082">
      <c r="A1082" s="148">
        <f>IFERROR(__xludf.DUMMYFUNCTION("""COMPUTED_VALUE"""),1.1112923E7)</f>
        <v>11112923</v>
      </c>
      <c r="B1082" s="148" t="str">
        <f>IFERROR(__xludf.DUMMYFUNCTION("""COMPUTED_VALUE"""),"弹珠皮肤-圣诞节")</f>
        <v>弹珠皮肤-圣诞节</v>
      </c>
      <c r="C1082" s="148"/>
      <c r="D1082" s="148" t="str">
        <f>IFERROR(__xludf.DUMMYFUNCTION("""COMPUTED_VALUE"""),"minigame_skin")</f>
        <v>minigame_skin</v>
      </c>
      <c r="E1082" s="148">
        <f>IFERROR(__xludf.DUMMYFUNCTION("""COMPUTED_VALUE"""),21.0)</f>
        <v>21</v>
      </c>
      <c r="F1082" s="148">
        <f>IFERROR(__xludf.DUMMYFUNCTION("""COMPUTED_VALUE"""),400106.0)</f>
        <v>400106</v>
      </c>
      <c r="G1082" s="148">
        <f>IFERROR(__xludf.DUMMYFUNCTION("""COMPUTED_VALUE"""),1.5110397E8)</f>
        <v>151103970</v>
      </c>
      <c r="H1082" s="148">
        <f>IFERROR(__xludf.DUMMYFUNCTION("""COMPUTED_VALUE"""),1.5112564E7)</f>
        <v>15112564</v>
      </c>
      <c r="I1082" s="148" t="str">
        <f>IFERROR(__xludf.DUMMYFUNCTION("""COMPUTED_VALUE"""),"{}")</f>
        <v>{}</v>
      </c>
      <c r="J1082" s="148" t="str">
        <f>IFERROR(__xludf.DUMMYFUNCTION("""COMPUTED_VALUE"""),"{""typ"":""lc"",""txt"":""LC_ITEM_ui_skin_name_christmas""}")</f>
        <v>{"typ":"lc","txt":"LC_ITEM_ui_skin_name_christmas"}</v>
      </c>
      <c r="K1082" s="148" t="str">
        <f>IFERROR(__xludf.DUMMYFUNCTION("""COMPUTED_VALUE"""),"{}")</f>
        <v>{}</v>
      </c>
      <c r="L1082" s="148" t="str">
        <f>IFERROR(__xludf.DUMMYFUNCTION("""COMPUTED_VALUE"""),"{""typ"":""lc"",""txt"":""LC_ITEM_city_skin_rocket_use_tips""}")</f>
        <v>{"typ":"lc","txt":"LC_ITEM_city_skin_rocket_use_tips"}</v>
      </c>
      <c r="M1082" s="148">
        <f>IFERROR(__xludf.DUMMYFUNCTION("""COMPUTED_VALUE"""),10000.0)</f>
        <v>10000</v>
      </c>
      <c r="N1082" s="148">
        <f>IFERROR(__xludf.DUMMYFUNCTION("""COMPUTED_VALUE"""),999.0)</f>
        <v>999</v>
      </c>
      <c r="O1082" s="148">
        <f>IFERROR(__xludf.DUMMYFUNCTION("""COMPUTED_VALUE"""),1.0)</f>
        <v>1</v>
      </c>
      <c r="P1082" s="148">
        <f>IFERROR(__xludf.DUMMYFUNCTION("""COMPUTED_VALUE"""),1.0)</f>
        <v>1</v>
      </c>
      <c r="Q1082" s="148" t="str">
        <f>IFERROR(__xludf.DUMMYFUNCTION("""COMPUTED_VALUE"""),"[]")</f>
        <v>[]</v>
      </c>
      <c r="R1082" s="148" t="str">
        <f>IFERROR(__xludf.DUMMYFUNCTION("""COMPUTED_VALUE"""),"[]")</f>
        <v>[]</v>
      </c>
      <c r="S1082" s="148" t="str">
        <f>IFERROR(__xludf.DUMMYFUNCTION("""COMPUTED_VALUE"""),"{}")</f>
        <v>{}</v>
      </c>
      <c r="T1082" s="148">
        <f>IFERROR(__xludf.DUMMYFUNCTION("""COMPUTED_VALUE"""),-1.0)</f>
        <v>-1</v>
      </c>
      <c r="U1082" s="148">
        <f>IFERROR(__xludf.DUMMYFUNCTION("""COMPUTED_VALUE"""),0.0)</f>
        <v>0</v>
      </c>
      <c r="V1082" s="148" t="str">
        <f>IFERROR(__xludf.DUMMYFUNCTION("""COMPUTED_VALUE"""),"[]")</f>
        <v>[]</v>
      </c>
      <c r="W1082" s="148">
        <f>IFERROR(__xludf.DUMMYFUNCTION("""COMPUTED_VALUE"""),1.174E7)</f>
        <v>11740000</v>
      </c>
      <c r="X1082" s="148">
        <f>IFERROR(__xludf.DUMMYFUNCTION("""COMPUTED_VALUE"""),0.0)</f>
        <v>0</v>
      </c>
      <c r="Y1082" s="148">
        <f>IFERROR(__xludf.DUMMYFUNCTION("""COMPUTED_VALUE"""),0.0)</f>
        <v>0</v>
      </c>
      <c r="Z1082" s="148"/>
    </row>
    <row r="1083">
      <c r="A1083" s="148">
        <f>IFERROR(__xludf.DUMMYFUNCTION("""COMPUTED_VALUE"""),1.1112924E7)</f>
        <v>11112924</v>
      </c>
      <c r="B1083" s="148" t="str">
        <f>IFERROR(__xludf.DUMMYFUNCTION("""COMPUTED_VALUE"""),"弹珠皮肤-科技节")</f>
        <v>弹珠皮肤-科技节</v>
      </c>
      <c r="C1083" s="148"/>
      <c r="D1083" s="148" t="str">
        <f>IFERROR(__xludf.DUMMYFUNCTION("""COMPUTED_VALUE"""),"minigame_skin")</f>
        <v>minigame_skin</v>
      </c>
      <c r="E1083" s="148">
        <f>IFERROR(__xludf.DUMMYFUNCTION("""COMPUTED_VALUE"""),21.0)</f>
        <v>21</v>
      </c>
      <c r="F1083" s="148">
        <f>IFERROR(__xludf.DUMMYFUNCTION("""COMPUTED_VALUE"""),400106.0)</f>
        <v>400106</v>
      </c>
      <c r="G1083" s="148">
        <f>IFERROR(__xludf.DUMMYFUNCTION("""COMPUTED_VALUE"""),1.51104685E8)</f>
        <v>151104685</v>
      </c>
      <c r="H1083" s="148">
        <f>IFERROR(__xludf.DUMMYFUNCTION("""COMPUTED_VALUE"""),1.5112564E7)</f>
        <v>15112564</v>
      </c>
      <c r="I1083" s="148" t="str">
        <f>IFERROR(__xludf.DUMMYFUNCTION("""COMPUTED_VALUE"""),"{}")</f>
        <v>{}</v>
      </c>
      <c r="J1083" s="148" t="str">
        <f>IFERROR(__xludf.DUMMYFUNCTION("""COMPUTED_VALUE"""),"{""typ"":""lc"",""txt"":""LC_ITEM_ui_skin_name_tech""}")</f>
        <v>{"typ":"lc","txt":"LC_ITEM_ui_skin_name_tech"}</v>
      </c>
      <c r="K1083" s="148" t="str">
        <f>IFERROR(__xludf.DUMMYFUNCTION("""COMPUTED_VALUE"""),"{}")</f>
        <v>{}</v>
      </c>
      <c r="L1083" s="148" t="str">
        <f>IFERROR(__xludf.DUMMYFUNCTION("""COMPUTED_VALUE"""),"{""typ"":""lc"",""txt"":""LC_ITEM_city_skin_rocket_use_tips""}")</f>
        <v>{"typ":"lc","txt":"LC_ITEM_city_skin_rocket_use_tips"}</v>
      </c>
      <c r="M1083" s="148">
        <f>IFERROR(__xludf.DUMMYFUNCTION("""COMPUTED_VALUE"""),10000.0)</f>
        <v>10000</v>
      </c>
      <c r="N1083" s="148">
        <f>IFERROR(__xludf.DUMMYFUNCTION("""COMPUTED_VALUE"""),999.0)</f>
        <v>999</v>
      </c>
      <c r="O1083" s="148">
        <f>IFERROR(__xludf.DUMMYFUNCTION("""COMPUTED_VALUE"""),1.0)</f>
        <v>1</v>
      </c>
      <c r="P1083" s="148">
        <f>IFERROR(__xludf.DUMMYFUNCTION("""COMPUTED_VALUE"""),1.0)</f>
        <v>1</v>
      </c>
      <c r="Q1083" s="148" t="str">
        <f>IFERROR(__xludf.DUMMYFUNCTION("""COMPUTED_VALUE"""),"[]")</f>
        <v>[]</v>
      </c>
      <c r="R1083" s="148" t="str">
        <f>IFERROR(__xludf.DUMMYFUNCTION("""COMPUTED_VALUE"""),"[]")</f>
        <v>[]</v>
      </c>
      <c r="S1083" s="148" t="str">
        <f>IFERROR(__xludf.DUMMYFUNCTION("""COMPUTED_VALUE"""),"{}")</f>
        <v>{}</v>
      </c>
      <c r="T1083" s="148">
        <f>IFERROR(__xludf.DUMMYFUNCTION("""COMPUTED_VALUE"""),-1.0)</f>
        <v>-1</v>
      </c>
      <c r="U1083" s="148">
        <f>IFERROR(__xludf.DUMMYFUNCTION("""COMPUTED_VALUE"""),0.0)</f>
        <v>0</v>
      </c>
      <c r="V1083" s="148" t="str">
        <f>IFERROR(__xludf.DUMMYFUNCTION("""COMPUTED_VALUE"""),"[]")</f>
        <v>[]</v>
      </c>
      <c r="W1083" s="148">
        <f>IFERROR(__xludf.DUMMYFUNCTION("""COMPUTED_VALUE"""),1.174E7)</f>
        <v>11740000</v>
      </c>
      <c r="X1083" s="148">
        <f>IFERROR(__xludf.DUMMYFUNCTION("""COMPUTED_VALUE"""),1.1684753E7)</f>
        <v>11684753</v>
      </c>
      <c r="Y1083" s="148">
        <f>IFERROR(__xludf.DUMMYFUNCTION("""COMPUTED_VALUE"""),0.0)</f>
        <v>0</v>
      </c>
      <c r="Z1083" s="148"/>
    </row>
    <row r="1084">
      <c r="A1084" s="148">
        <f>IFERROR(__xludf.DUMMYFUNCTION("""COMPUTED_VALUE"""),1.1112925E7)</f>
        <v>11112925</v>
      </c>
      <c r="B1084" s="148" t="str">
        <f>IFERROR(__xludf.DUMMYFUNCTION("""COMPUTED_VALUE"""),"复活节-大富翁皮肤")</f>
        <v>复活节-大富翁皮肤</v>
      </c>
      <c r="C1084" s="148"/>
      <c r="D1084" s="148" t="str">
        <f>IFERROR(__xludf.DUMMYFUNCTION("""COMPUTED_VALUE"""),"minigame_skin")</f>
        <v>minigame_skin</v>
      </c>
      <c r="E1084" s="148">
        <f>IFERROR(__xludf.DUMMYFUNCTION("""COMPUTED_VALUE"""),21.0)</f>
        <v>21</v>
      </c>
      <c r="F1084" s="148">
        <f>IFERROR(__xludf.DUMMYFUNCTION("""COMPUTED_VALUE"""),400106.0)</f>
        <v>400106</v>
      </c>
      <c r="G1084" s="148">
        <f>IFERROR(__xludf.DUMMYFUNCTION("""COMPUTED_VALUE"""),1.51104494E8)</f>
        <v>151104494</v>
      </c>
      <c r="H1084" s="148">
        <f>IFERROR(__xludf.DUMMYFUNCTION("""COMPUTED_VALUE"""),1.5112564E7)</f>
        <v>15112564</v>
      </c>
      <c r="I1084" s="148" t="str">
        <f>IFERROR(__xludf.DUMMYFUNCTION("""COMPUTED_VALUE"""),"{}")</f>
        <v>{}</v>
      </c>
      <c r="J1084" s="148" t="str">
        <f>IFERROR(__xludf.DUMMYFUNCTION("""COMPUTED_VALUE"""),"{""typ"":""lc"",""txt"":""LC_ITEM_ww_skin_bunny_name""}")</f>
        <v>{"typ":"lc","txt":"LC_ITEM_ww_skin_bunny_name"}</v>
      </c>
      <c r="K1084" s="148" t="str">
        <f>IFERROR(__xludf.DUMMYFUNCTION("""COMPUTED_VALUE"""),"{""typ"":""lc"",""txt"":""LC_ITEM_ww_skin_bunny_desc""}")</f>
        <v>{"typ":"lc","txt":"LC_ITEM_ww_skin_bunny_desc"}</v>
      </c>
      <c r="L1084" s="148" t="str">
        <f>IFERROR(__xludf.DUMMYFUNCTION("""COMPUTED_VALUE"""),"{""typ"":""lc"",""txt"":""LC_ITEM_city_skin_rocket_use_tips""}")</f>
        <v>{"typ":"lc","txt":"LC_ITEM_city_skin_rocket_use_tips"}</v>
      </c>
      <c r="M1084" s="148">
        <f>IFERROR(__xludf.DUMMYFUNCTION("""COMPUTED_VALUE"""),10000.0)</f>
        <v>10000</v>
      </c>
      <c r="N1084" s="148">
        <f>IFERROR(__xludf.DUMMYFUNCTION("""COMPUTED_VALUE"""),999.0)</f>
        <v>999</v>
      </c>
      <c r="O1084" s="148">
        <f>IFERROR(__xludf.DUMMYFUNCTION("""COMPUTED_VALUE"""),1.0)</f>
        <v>1</v>
      </c>
      <c r="P1084" s="148">
        <f>IFERROR(__xludf.DUMMYFUNCTION("""COMPUTED_VALUE"""),1.0)</f>
        <v>1</v>
      </c>
      <c r="Q1084" s="148" t="str">
        <f>IFERROR(__xludf.DUMMYFUNCTION("""COMPUTED_VALUE"""),"[]")</f>
        <v>[]</v>
      </c>
      <c r="R1084" s="148" t="str">
        <f>IFERROR(__xludf.DUMMYFUNCTION("""COMPUTED_VALUE"""),"[]")</f>
        <v>[]</v>
      </c>
      <c r="S1084" s="148" t="str">
        <f>IFERROR(__xludf.DUMMYFUNCTION("""COMPUTED_VALUE"""),"{}")</f>
        <v>{}</v>
      </c>
      <c r="T1084" s="148">
        <f>IFERROR(__xludf.DUMMYFUNCTION("""COMPUTED_VALUE"""),-1.0)</f>
        <v>-1</v>
      </c>
      <c r="U1084" s="148">
        <f>IFERROR(__xludf.DUMMYFUNCTION("""COMPUTED_VALUE"""),0.0)</f>
        <v>0</v>
      </c>
      <c r="V1084" s="148" t="str">
        <f>IFERROR(__xludf.DUMMYFUNCTION("""COMPUTED_VALUE"""),"[]")</f>
        <v>[]</v>
      </c>
      <c r="W1084" s="148">
        <f>IFERROR(__xludf.DUMMYFUNCTION("""COMPUTED_VALUE"""),1.174E7)</f>
        <v>11740000</v>
      </c>
      <c r="X1084" s="148">
        <f>IFERROR(__xludf.DUMMYFUNCTION("""COMPUTED_VALUE"""),0.0)</f>
        <v>0</v>
      </c>
      <c r="Y1084" s="148">
        <f>IFERROR(__xludf.DUMMYFUNCTION("""COMPUTED_VALUE"""),0.0)</f>
        <v>0</v>
      </c>
      <c r="Z1084" s="148"/>
    </row>
    <row r="1085">
      <c r="A1085" s="148">
        <f>IFERROR(__xludf.DUMMYFUNCTION("""COMPUTED_VALUE"""),1.1112926E7)</f>
        <v>11112926</v>
      </c>
      <c r="B1085" s="148" t="str">
        <f>IFERROR(__xludf.DUMMYFUNCTION("""COMPUTED_VALUE"""),"深海节-大富翁皮肤")</f>
        <v>深海节-大富翁皮肤</v>
      </c>
      <c r="C1085" s="148"/>
      <c r="D1085" s="148" t="str">
        <f>IFERROR(__xludf.DUMMYFUNCTION("""COMPUTED_VALUE"""),"minigame_skin")</f>
        <v>minigame_skin</v>
      </c>
      <c r="E1085" s="148">
        <f>IFERROR(__xludf.DUMMYFUNCTION("""COMPUTED_VALUE"""),21.0)</f>
        <v>21</v>
      </c>
      <c r="F1085" s="148">
        <f>IFERROR(__xludf.DUMMYFUNCTION("""COMPUTED_VALUE"""),400106.0)</f>
        <v>400106</v>
      </c>
      <c r="G1085" s="148">
        <f>IFERROR(__xludf.DUMMYFUNCTION("""COMPUTED_VALUE"""),1.51104495E8)</f>
        <v>151104495</v>
      </c>
      <c r="H1085" s="148">
        <f>IFERROR(__xludf.DUMMYFUNCTION("""COMPUTED_VALUE"""),1.5112564E7)</f>
        <v>15112564</v>
      </c>
      <c r="I1085" s="148" t="str">
        <f>IFERROR(__xludf.DUMMYFUNCTION("""COMPUTED_VALUE"""),"{}")</f>
        <v>{}</v>
      </c>
      <c r="J1085" s="148" t="str">
        <f>IFERROR(__xludf.DUMMYFUNCTION("""COMPUTED_VALUE"""),"{""typ"":""lc"",""txt"":""LC_ITEM_ww_skin_whale_name""}")</f>
        <v>{"typ":"lc","txt":"LC_ITEM_ww_skin_whale_name"}</v>
      </c>
      <c r="K1085" s="148" t="str">
        <f>IFERROR(__xludf.DUMMYFUNCTION("""COMPUTED_VALUE"""),"{""typ"":""lc"",""txt"":""LC_ITEM_ww_skin_whale_desc""}")</f>
        <v>{"typ":"lc","txt":"LC_ITEM_ww_skin_whale_desc"}</v>
      </c>
      <c r="L1085" s="148" t="str">
        <f>IFERROR(__xludf.DUMMYFUNCTION("""COMPUTED_VALUE"""),"{""typ"":""lc"",""txt"":""LC_ITEM_city_skin_rocket_use_tips""}")</f>
        <v>{"typ":"lc","txt":"LC_ITEM_city_skin_rocket_use_tips"}</v>
      </c>
      <c r="M1085" s="148">
        <f>IFERROR(__xludf.DUMMYFUNCTION("""COMPUTED_VALUE"""),10000.0)</f>
        <v>10000</v>
      </c>
      <c r="N1085" s="148">
        <f>IFERROR(__xludf.DUMMYFUNCTION("""COMPUTED_VALUE"""),999.0)</f>
        <v>999</v>
      </c>
      <c r="O1085" s="148">
        <f>IFERROR(__xludf.DUMMYFUNCTION("""COMPUTED_VALUE"""),1.0)</f>
        <v>1</v>
      </c>
      <c r="P1085" s="148">
        <f>IFERROR(__xludf.DUMMYFUNCTION("""COMPUTED_VALUE"""),1.0)</f>
        <v>1</v>
      </c>
      <c r="Q1085" s="148" t="str">
        <f>IFERROR(__xludf.DUMMYFUNCTION("""COMPUTED_VALUE"""),"[]")</f>
        <v>[]</v>
      </c>
      <c r="R1085" s="148" t="str">
        <f>IFERROR(__xludf.DUMMYFUNCTION("""COMPUTED_VALUE"""),"[]")</f>
        <v>[]</v>
      </c>
      <c r="S1085" s="148" t="str">
        <f>IFERROR(__xludf.DUMMYFUNCTION("""COMPUTED_VALUE"""),"{}")</f>
        <v>{}</v>
      </c>
      <c r="T1085" s="148">
        <f>IFERROR(__xludf.DUMMYFUNCTION("""COMPUTED_VALUE"""),-1.0)</f>
        <v>-1</v>
      </c>
      <c r="U1085" s="148">
        <f>IFERROR(__xludf.DUMMYFUNCTION("""COMPUTED_VALUE"""),0.0)</f>
        <v>0</v>
      </c>
      <c r="V1085" s="148" t="str">
        <f>IFERROR(__xludf.DUMMYFUNCTION("""COMPUTED_VALUE"""),"[]")</f>
        <v>[]</v>
      </c>
      <c r="W1085" s="148">
        <f>IFERROR(__xludf.DUMMYFUNCTION("""COMPUTED_VALUE"""),1.174E7)</f>
        <v>11740000</v>
      </c>
      <c r="X1085" s="148">
        <f>IFERROR(__xludf.DUMMYFUNCTION("""COMPUTED_VALUE"""),0.0)</f>
        <v>0</v>
      </c>
      <c r="Y1085" s="148">
        <f>IFERROR(__xludf.DUMMYFUNCTION("""COMPUTED_VALUE"""),0.0)</f>
        <v>0</v>
      </c>
      <c r="Z1085" s="148"/>
    </row>
    <row r="1086">
      <c r="A1086" s="148">
        <f>IFERROR(__xludf.DUMMYFUNCTION("""COMPUTED_VALUE"""),1.1112927E7)</f>
        <v>11112927</v>
      </c>
      <c r="B1086" s="148" t="str">
        <f>IFERROR(__xludf.DUMMYFUNCTION("""COMPUTED_VALUE"""),"周年庆-大富翁皮肤")</f>
        <v>周年庆-大富翁皮肤</v>
      </c>
      <c r="C1086" s="148"/>
      <c r="D1086" s="148" t="str">
        <f>IFERROR(__xludf.DUMMYFUNCTION("""COMPUTED_VALUE"""),"minigame_skin")</f>
        <v>minigame_skin</v>
      </c>
      <c r="E1086" s="148">
        <f>IFERROR(__xludf.DUMMYFUNCTION("""COMPUTED_VALUE"""),21.0)</f>
        <v>21</v>
      </c>
      <c r="F1086" s="148">
        <f>IFERROR(__xludf.DUMMYFUNCTION("""COMPUTED_VALUE"""),400106.0)</f>
        <v>400106</v>
      </c>
      <c r="G1086" s="148">
        <f>IFERROR(__xludf.DUMMYFUNCTION("""COMPUTED_VALUE"""),1.51104496E8)</f>
        <v>151104496</v>
      </c>
      <c r="H1086" s="148">
        <f>IFERROR(__xludf.DUMMYFUNCTION("""COMPUTED_VALUE"""),1.5112564E7)</f>
        <v>15112564</v>
      </c>
      <c r="I1086" s="148" t="str">
        <f>IFERROR(__xludf.DUMMYFUNCTION("""COMPUTED_VALUE"""),"{}")</f>
        <v>{}</v>
      </c>
      <c r="J1086" s="148" t="str">
        <f>IFERROR(__xludf.DUMMYFUNCTION("""COMPUTED_VALUE"""),"{""typ"":""lc"",""txt"":""LC_ITEM_ww_skin_crown_name""}")</f>
        <v>{"typ":"lc","txt":"LC_ITEM_ww_skin_crown_name"}</v>
      </c>
      <c r="K1086" s="148" t="str">
        <f>IFERROR(__xludf.DUMMYFUNCTION("""COMPUTED_VALUE"""),"{""typ"":""lc"",""txt"":""LC_ITEM_ww_skin_crown_desc""}")</f>
        <v>{"typ":"lc","txt":"LC_ITEM_ww_skin_crown_desc"}</v>
      </c>
      <c r="L1086" s="148" t="str">
        <f>IFERROR(__xludf.DUMMYFUNCTION("""COMPUTED_VALUE"""),"{""typ"":""lc"",""txt"":""LC_ITEM_city_skin_rocket_use_tips""}")</f>
        <v>{"typ":"lc","txt":"LC_ITEM_city_skin_rocket_use_tips"}</v>
      </c>
      <c r="M1086" s="148">
        <f>IFERROR(__xludf.DUMMYFUNCTION("""COMPUTED_VALUE"""),10000.0)</f>
        <v>10000</v>
      </c>
      <c r="N1086" s="148">
        <f>IFERROR(__xludf.DUMMYFUNCTION("""COMPUTED_VALUE"""),999.0)</f>
        <v>999</v>
      </c>
      <c r="O1086" s="148">
        <f>IFERROR(__xludf.DUMMYFUNCTION("""COMPUTED_VALUE"""),1.0)</f>
        <v>1</v>
      </c>
      <c r="P1086" s="148">
        <f>IFERROR(__xludf.DUMMYFUNCTION("""COMPUTED_VALUE"""),1.0)</f>
        <v>1</v>
      </c>
      <c r="Q1086" s="148" t="str">
        <f>IFERROR(__xludf.DUMMYFUNCTION("""COMPUTED_VALUE"""),"[]")</f>
        <v>[]</v>
      </c>
      <c r="R1086" s="148" t="str">
        <f>IFERROR(__xludf.DUMMYFUNCTION("""COMPUTED_VALUE"""),"[]")</f>
        <v>[]</v>
      </c>
      <c r="S1086" s="148" t="str">
        <f>IFERROR(__xludf.DUMMYFUNCTION("""COMPUTED_VALUE"""),"{}")</f>
        <v>{}</v>
      </c>
      <c r="T1086" s="148">
        <f>IFERROR(__xludf.DUMMYFUNCTION("""COMPUTED_VALUE"""),-1.0)</f>
        <v>-1</v>
      </c>
      <c r="U1086" s="148">
        <f>IFERROR(__xludf.DUMMYFUNCTION("""COMPUTED_VALUE"""),0.0)</f>
        <v>0</v>
      </c>
      <c r="V1086" s="148" t="str">
        <f>IFERROR(__xludf.DUMMYFUNCTION("""COMPUTED_VALUE"""),"[]")</f>
        <v>[]</v>
      </c>
      <c r="W1086" s="148">
        <f>IFERROR(__xludf.DUMMYFUNCTION("""COMPUTED_VALUE"""),1.174E7)</f>
        <v>11740000</v>
      </c>
      <c r="X1086" s="148">
        <f>IFERROR(__xludf.DUMMYFUNCTION("""COMPUTED_VALUE"""),0.0)</f>
        <v>0</v>
      </c>
      <c r="Y1086" s="148">
        <f>IFERROR(__xludf.DUMMYFUNCTION("""COMPUTED_VALUE"""),0.0)</f>
        <v>0</v>
      </c>
      <c r="Z1086" s="148"/>
    </row>
    <row r="1087">
      <c r="A1087" s="148">
        <f>IFERROR(__xludf.DUMMYFUNCTION("""COMPUTED_VALUE"""),1.1112928E7)</f>
        <v>11112928</v>
      </c>
      <c r="B1087" s="148" t="str">
        <f>IFERROR(__xludf.DUMMYFUNCTION("""COMPUTED_VALUE"""),"万圣节-大富翁皮肤")</f>
        <v>万圣节-大富翁皮肤</v>
      </c>
      <c r="C1087" s="148"/>
      <c r="D1087" s="148" t="str">
        <f>IFERROR(__xludf.DUMMYFUNCTION("""COMPUTED_VALUE"""),"minigame_skin")</f>
        <v>minigame_skin</v>
      </c>
      <c r="E1087" s="148">
        <f>IFERROR(__xludf.DUMMYFUNCTION("""COMPUTED_VALUE"""),21.0)</f>
        <v>21</v>
      </c>
      <c r="F1087" s="148">
        <f>IFERROR(__xludf.DUMMYFUNCTION("""COMPUTED_VALUE"""),400106.0)</f>
        <v>400106</v>
      </c>
      <c r="G1087" s="148">
        <f>IFERROR(__xludf.DUMMYFUNCTION("""COMPUTED_VALUE"""),1.51104497E8)</f>
        <v>151104497</v>
      </c>
      <c r="H1087" s="148">
        <f>IFERROR(__xludf.DUMMYFUNCTION("""COMPUTED_VALUE"""),1.5112564E7)</f>
        <v>15112564</v>
      </c>
      <c r="I1087" s="148" t="str">
        <f>IFERROR(__xludf.DUMMYFUNCTION("""COMPUTED_VALUE"""),"{}")</f>
        <v>{}</v>
      </c>
      <c r="J1087" s="148" t="str">
        <f>IFERROR(__xludf.DUMMYFUNCTION("""COMPUTED_VALUE"""),"{""typ"":""lc"",""txt"":""LC_ITEM_ww_skin_pumpkin_name""}")</f>
        <v>{"typ":"lc","txt":"LC_ITEM_ww_skin_pumpkin_name"}</v>
      </c>
      <c r="K1087" s="148" t="str">
        <f>IFERROR(__xludf.DUMMYFUNCTION("""COMPUTED_VALUE"""),"{""typ"":""lc"",""txt"":""LC_ITEM_ww_skin_pumpkin_desc""}")</f>
        <v>{"typ":"lc","txt":"LC_ITEM_ww_skin_pumpkin_desc"}</v>
      </c>
      <c r="L1087" s="148" t="str">
        <f>IFERROR(__xludf.DUMMYFUNCTION("""COMPUTED_VALUE"""),"{""typ"":""lc"",""txt"":""LC_ITEM_city_skin_rocket_use_tips""}")</f>
        <v>{"typ":"lc","txt":"LC_ITEM_city_skin_rocket_use_tips"}</v>
      </c>
      <c r="M1087" s="148">
        <f>IFERROR(__xludf.DUMMYFUNCTION("""COMPUTED_VALUE"""),10000.0)</f>
        <v>10000</v>
      </c>
      <c r="N1087" s="148">
        <f>IFERROR(__xludf.DUMMYFUNCTION("""COMPUTED_VALUE"""),999.0)</f>
        <v>999</v>
      </c>
      <c r="O1087" s="148">
        <f>IFERROR(__xludf.DUMMYFUNCTION("""COMPUTED_VALUE"""),1.0)</f>
        <v>1</v>
      </c>
      <c r="P1087" s="148">
        <f>IFERROR(__xludf.DUMMYFUNCTION("""COMPUTED_VALUE"""),1.0)</f>
        <v>1</v>
      </c>
      <c r="Q1087" s="148" t="str">
        <f>IFERROR(__xludf.DUMMYFUNCTION("""COMPUTED_VALUE"""),"[]")</f>
        <v>[]</v>
      </c>
      <c r="R1087" s="148" t="str">
        <f>IFERROR(__xludf.DUMMYFUNCTION("""COMPUTED_VALUE"""),"[]")</f>
        <v>[]</v>
      </c>
      <c r="S1087" s="148" t="str">
        <f>IFERROR(__xludf.DUMMYFUNCTION("""COMPUTED_VALUE"""),"{}")</f>
        <v>{}</v>
      </c>
      <c r="T1087" s="148">
        <f>IFERROR(__xludf.DUMMYFUNCTION("""COMPUTED_VALUE"""),-1.0)</f>
        <v>-1</v>
      </c>
      <c r="U1087" s="148">
        <f>IFERROR(__xludf.DUMMYFUNCTION("""COMPUTED_VALUE"""),0.0)</f>
        <v>0</v>
      </c>
      <c r="V1087" s="148" t="str">
        <f>IFERROR(__xludf.DUMMYFUNCTION("""COMPUTED_VALUE"""),"[]")</f>
        <v>[]</v>
      </c>
      <c r="W1087" s="148">
        <f>IFERROR(__xludf.DUMMYFUNCTION("""COMPUTED_VALUE"""),1.174E7)</f>
        <v>11740000</v>
      </c>
      <c r="X1087" s="148">
        <f>IFERROR(__xludf.DUMMYFUNCTION("""COMPUTED_VALUE"""),0.0)</f>
        <v>0</v>
      </c>
      <c r="Y1087" s="148">
        <f>IFERROR(__xludf.DUMMYFUNCTION("""COMPUTED_VALUE"""),0.0)</f>
        <v>0</v>
      </c>
      <c r="Z1087" s="148"/>
    </row>
    <row r="1088">
      <c r="A1088" s="148">
        <f>IFERROR(__xludf.DUMMYFUNCTION("""COMPUTED_VALUE"""),1.1112929E7)</f>
        <v>11112929</v>
      </c>
      <c r="B1088" s="148" t="str">
        <f>IFERROR(__xludf.DUMMYFUNCTION("""COMPUTED_VALUE"""),"感恩节-大富翁皮肤")</f>
        <v>感恩节-大富翁皮肤</v>
      </c>
      <c r="C1088" s="148"/>
      <c r="D1088" s="148" t="str">
        <f>IFERROR(__xludf.DUMMYFUNCTION("""COMPUTED_VALUE"""),"minigame_skin")</f>
        <v>minigame_skin</v>
      </c>
      <c r="E1088" s="148">
        <f>IFERROR(__xludf.DUMMYFUNCTION("""COMPUTED_VALUE"""),21.0)</f>
        <v>21</v>
      </c>
      <c r="F1088" s="148">
        <f>IFERROR(__xludf.DUMMYFUNCTION("""COMPUTED_VALUE"""),400106.0)</f>
        <v>400106</v>
      </c>
      <c r="G1088" s="148">
        <f>IFERROR(__xludf.DUMMYFUNCTION("""COMPUTED_VALUE"""),1.51104498E8)</f>
        <v>151104498</v>
      </c>
      <c r="H1088" s="148">
        <f>IFERROR(__xludf.DUMMYFUNCTION("""COMPUTED_VALUE"""),1.5112564E7)</f>
        <v>15112564</v>
      </c>
      <c r="I1088" s="148" t="str">
        <f>IFERROR(__xludf.DUMMYFUNCTION("""COMPUTED_VALUE"""),"{}")</f>
        <v>{}</v>
      </c>
      <c r="J1088" s="148" t="str">
        <f>IFERROR(__xludf.DUMMYFUNCTION("""COMPUTED_VALUE"""),"{""typ"":""lc"",""txt"":""LC_ITEM_ww_skin_harvest_cart_name""}")</f>
        <v>{"typ":"lc","txt":"LC_ITEM_ww_skin_harvest_cart_name"}</v>
      </c>
      <c r="K1088" s="148" t="str">
        <f>IFERROR(__xludf.DUMMYFUNCTION("""COMPUTED_VALUE"""),"{""typ"":""lc"",""txt"":""LC_ITEM_ww_skin_harvest_cart_desc""}")</f>
        <v>{"typ":"lc","txt":"LC_ITEM_ww_skin_harvest_cart_desc"}</v>
      </c>
      <c r="L1088" s="148" t="str">
        <f>IFERROR(__xludf.DUMMYFUNCTION("""COMPUTED_VALUE"""),"{""typ"":""lc"",""txt"":""LC_ITEM_city_skin_rocket_use_tips""}")</f>
        <v>{"typ":"lc","txt":"LC_ITEM_city_skin_rocket_use_tips"}</v>
      </c>
      <c r="M1088" s="148">
        <f>IFERROR(__xludf.DUMMYFUNCTION("""COMPUTED_VALUE"""),10000.0)</f>
        <v>10000</v>
      </c>
      <c r="N1088" s="148">
        <f>IFERROR(__xludf.DUMMYFUNCTION("""COMPUTED_VALUE"""),999.0)</f>
        <v>999</v>
      </c>
      <c r="O1088" s="148">
        <f>IFERROR(__xludf.DUMMYFUNCTION("""COMPUTED_VALUE"""),1.0)</f>
        <v>1</v>
      </c>
      <c r="P1088" s="148">
        <f>IFERROR(__xludf.DUMMYFUNCTION("""COMPUTED_VALUE"""),1.0)</f>
        <v>1</v>
      </c>
      <c r="Q1088" s="148" t="str">
        <f>IFERROR(__xludf.DUMMYFUNCTION("""COMPUTED_VALUE"""),"[]")</f>
        <v>[]</v>
      </c>
      <c r="R1088" s="148" t="str">
        <f>IFERROR(__xludf.DUMMYFUNCTION("""COMPUTED_VALUE"""),"[]")</f>
        <v>[]</v>
      </c>
      <c r="S1088" s="148" t="str">
        <f>IFERROR(__xludf.DUMMYFUNCTION("""COMPUTED_VALUE"""),"{}")</f>
        <v>{}</v>
      </c>
      <c r="T1088" s="148">
        <f>IFERROR(__xludf.DUMMYFUNCTION("""COMPUTED_VALUE"""),-1.0)</f>
        <v>-1</v>
      </c>
      <c r="U1088" s="148">
        <f>IFERROR(__xludf.DUMMYFUNCTION("""COMPUTED_VALUE"""),0.0)</f>
        <v>0</v>
      </c>
      <c r="V1088" s="148" t="str">
        <f>IFERROR(__xludf.DUMMYFUNCTION("""COMPUTED_VALUE"""),"[]")</f>
        <v>[]</v>
      </c>
      <c r="W1088" s="148">
        <f>IFERROR(__xludf.DUMMYFUNCTION("""COMPUTED_VALUE"""),1.174E7)</f>
        <v>11740000</v>
      </c>
      <c r="X1088" s="148">
        <f>IFERROR(__xludf.DUMMYFUNCTION("""COMPUTED_VALUE"""),0.0)</f>
        <v>0</v>
      </c>
      <c r="Y1088" s="148">
        <f>IFERROR(__xludf.DUMMYFUNCTION("""COMPUTED_VALUE"""),0.0)</f>
        <v>0</v>
      </c>
      <c r="Z1088" s="148"/>
    </row>
    <row r="1089">
      <c r="A1089" s="148">
        <f>IFERROR(__xludf.DUMMYFUNCTION("""COMPUTED_VALUE"""),1.111293E7)</f>
        <v>11112930</v>
      </c>
      <c r="B1089" s="148" t="str">
        <f>IFERROR(__xludf.DUMMYFUNCTION("""COMPUTED_VALUE"""),"圣诞节-大富翁皮肤")</f>
        <v>圣诞节-大富翁皮肤</v>
      </c>
      <c r="C1089" s="148"/>
      <c r="D1089" s="148" t="str">
        <f>IFERROR(__xludf.DUMMYFUNCTION("""COMPUTED_VALUE"""),"minigame_skin")</f>
        <v>minigame_skin</v>
      </c>
      <c r="E1089" s="148">
        <f>IFERROR(__xludf.DUMMYFUNCTION("""COMPUTED_VALUE"""),21.0)</f>
        <v>21</v>
      </c>
      <c r="F1089" s="148">
        <f>IFERROR(__xludf.DUMMYFUNCTION("""COMPUTED_VALUE"""),400106.0)</f>
        <v>400106</v>
      </c>
      <c r="G1089" s="148">
        <f>IFERROR(__xludf.DUMMYFUNCTION("""COMPUTED_VALUE"""),1.51104499E8)</f>
        <v>151104499</v>
      </c>
      <c r="H1089" s="148">
        <f>IFERROR(__xludf.DUMMYFUNCTION("""COMPUTED_VALUE"""),1.5112564E7)</f>
        <v>15112564</v>
      </c>
      <c r="I1089" s="148" t="str">
        <f>IFERROR(__xludf.DUMMYFUNCTION("""COMPUTED_VALUE"""),"{}")</f>
        <v>{}</v>
      </c>
      <c r="J1089" s="148" t="str">
        <f>IFERROR(__xludf.DUMMYFUNCTION("""COMPUTED_VALUE"""),"{""typ"":""lc"",""txt"":""LC_ITEM_ww_skin_gingerbread_name""}")</f>
        <v>{"typ":"lc","txt":"LC_ITEM_ww_skin_gingerbread_name"}</v>
      </c>
      <c r="K1089" s="148" t="str">
        <f>IFERROR(__xludf.DUMMYFUNCTION("""COMPUTED_VALUE"""),"{""typ"":""lc"",""txt"":""LC_ITEM_ww_skin_gingerbread_desc""}")</f>
        <v>{"typ":"lc","txt":"LC_ITEM_ww_skin_gingerbread_desc"}</v>
      </c>
      <c r="L1089" s="148" t="str">
        <f>IFERROR(__xludf.DUMMYFUNCTION("""COMPUTED_VALUE"""),"{""typ"":""lc"",""txt"":""LC_ITEM_city_skin_rocket_use_tips""}")</f>
        <v>{"typ":"lc","txt":"LC_ITEM_city_skin_rocket_use_tips"}</v>
      </c>
      <c r="M1089" s="148">
        <f>IFERROR(__xludf.DUMMYFUNCTION("""COMPUTED_VALUE"""),10000.0)</f>
        <v>10000</v>
      </c>
      <c r="N1089" s="148">
        <f>IFERROR(__xludf.DUMMYFUNCTION("""COMPUTED_VALUE"""),999.0)</f>
        <v>999</v>
      </c>
      <c r="O1089" s="148">
        <f>IFERROR(__xludf.DUMMYFUNCTION("""COMPUTED_VALUE"""),1.0)</f>
        <v>1</v>
      </c>
      <c r="P1089" s="148">
        <f>IFERROR(__xludf.DUMMYFUNCTION("""COMPUTED_VALUE"""),1.0)</f>
        <v>1</v>
      </c>
      <c r="Q1089" s="148" t="str">
        <f>IFERROR(__xludf.DUMMYFUNCTION("""COMPUTED_VALUE"""),"[]")</f>
        <v>[]</v>
      </c>
      <c r="R1089" s="148" t="str">
        <f>IFERROR(__xludf.DUMMYFUNCTION("""COMPUTED_VALUE"""),"[]")</f>
        <v>[]</v>
      </c>
      <c r="S1089" s="148" t="str">
        <f>IFERROR(__xludf.DUMMYFUNCTION("""COMPUTED_VALUE"""),"{}")</f>
        <v>{}</v>
      </c>
      <c r="T1089" s="148">
        <f>IFERROR(__xludf.DUMMYFUNCTION("""COMPUTED_VALUE"""),-1.0)</f>
        <v>-1</v>
      </c>
      <c r="U1089" s="148">
        <f>IFERROR(__xludf.DUMMYFUNCTION("""COMPUTED_VALUE"""),0.0)</f>
        <v>0</v>
      </c>
      <c r="V1089" s="148" t="str">
        <f>IFERROR(__xludf.DUMMYFUNCTION("""COMPUTED_VALUE"""),"[]")</f>
        <v>[]</v>
      </c>
      <c r="W1089" s="148">
        <f>IFERROR(__xludf.DUMMYFUNCTION("""COMPUTED_VALUE"""),1.174E7)</f>
        <v>11740000</v>
      </c>
      <c r="X1089" s="148">
        <f>IFERROR(__xludf.DUMMYFUNCTION("""COMPUTED_VALUE"""),0.0)</f>
        <v>0</v>
      </c>
      <c r="Y1089" s="148">
        <f>IFERROR(__xludf.DUMMYFUNCTION("""COMPUTED_VALUE"""),0.0)</f>
        <v>0</v>
      </c>
      <c r="Z1089" s="148"/>
    </row>
    <row r="1090">
      <c r="A1090" s="148">
        <f>IFERROR(__xludf.DUMMYFUNCTION("""COMPUTED_VALUE"""),1.1112931E7)</f>
        <v>11112931</v>
      </c>
      <c r="B1090" s="148" t="str">
        <f>IFERROR(__xludf.DUMMYFUNCTION("""COMPUTED_VALUE"""),"返场活动-璀璨主城皮肤自选宝箱")</f>
        <v>返场活动-璀璨主城皮肤自选宝箱</v>
      </c>
      <c r="C1090" s="148"/>
      <c r="D1090" s="148" t="str">
        <f>IFERROR(__xludf.DUMMYFUNCTION("""COMPUTED_VALUE"""),"item_select_box")</f>
        <v>item_select_box</v>
      </c>
      <c r="E1090" s="148">
        <f>IFERROR(__xludf.DUMMYFUNCTION("""COMPUTED_VALUE"""),19.0)</f>
        <v>19</v>
      </c>
      <c r="F1090" s="148">
        <f>IFERROR(__xludf.DUMMYFUNCTION("""COMPUTED_VALUE"""),408195.0)</f>
        <v>408195</v>
      </c>
      <c r="G1090" s="148">
        <f>IFERROR(__xludf.DUMMYFUNCTION("""COMPUTED_VALUE"""),1.51104619E8)</f>
        <v>151104619</v>
      </c>
      <c r="H1090" s="148">
        <f>IFERROR(__xludf.DUMMYFUNCTION("""COMPUTED_VALUE"""),1.5115983E7)</f>
        <v>15115983</v>
      </c>
      <c r="I1090" s="148" t="str">
        <f>IFERROR(__xludf.DUMMYFUNCTION("""COMPUTED_VALUE"""),"{}")</f>
        <v>{}</v>
      </c>
      <c r="J1090" s="148" t="str">
        <f>IFERROR(__xludf.DUMMYFUNCTION("""COMPUTED_VALUE"""),"{""typ"":""lc"",""txt"":""LC_ITEM_encore_2025_highskin_select""}")</f>
        <v>{"typ":"lc","txt":"LC_ITEM_encore_2025_highskin_select"}</v>
      </c>
      <c r="K1090" s="148" t="str">
        <f>IFERROR(__xludf.DUMMYFUNCTION("""COMPUTED_VALUE"""),"{""typ"":""lc"",""txt"":""LC_ITEM_encore_2025_skin_select_desc""}")</f>
        <v>{"typ":"lc","txt":"LC_ITEM_encore_2025_skin_select_desc"}</v>
      </c>
      <c r="L1090" s="148" t="str">
        <f>IFERROR(__xludf.DUMMYFUNCTION("""COMPUTED_VALUE"""),"{}")</f>
        <v>{}</v>
      </c>
      <c r="M1090" s="148">
        <f>IFERROR(__xludf.DUMMYFUNCTION("""COMPUTED_VALUE"""),1000.0)</f>
        <v>1000</v>
      </c>
      <c r="N1090" s="148">
        <f>IFERROR(__xludf.DUMMYFUNCTION("""COMPUTED_VALUE"""),9999999.0)</f>
        <v>9999999</v>
      </c>
      <c r="O1090" s="148">
        <f>IFERROR(__xludf.DUMMYFUNCTION("""COMPUTED_VALUE"""),99999.0)</f>
        <v>99999</v>
      </c>
      <c r="P1090" s="148">
        <f>IFERROR(__xludf.DUMMYFUNCTION("""COMPUTED_VALUE"""),99999.0)</f>
        <v>99999</v>
      </c>
      <c r="Q1090" s="148" t="str">
        <f>IFERROR(__xludf.DUMMYFUNCTION("""COMPUTED_VALUE"""),"[""bag_other""]")</f>
        <v>["bag_other"]</v>
      </c>
      <c r="R1090" s="148" t="str">
        <f>IFERROR(__xludf.DUMMYFUNCTION("""COMPUTED_VALUE"""),"[""bag""]")</f>
        <v>["bag"]</v>
      </c>
      <c r="S1090" s="148" t="str">
        <f>IFERROR(__xludf.DUMMYFUNCTION("""COMPUTED_VALUE"""),"{""select_box"":[{""typ"":""item"",""id"":11112508,""val"":1},{""typ"":""item"",""id"":11112243,""val"":1},{""typ"":""item"",""id"":11119711,""val"":1},{""typ"":""item"",""id"":11117484,""val"":1},{""typ"":""item"",""id"":11112030,""val"":10000}]}")</f>
        <v>{"select_box":[{"typ":"item","id":11112508,"val":1},{"typ":"item","id":11112243,"val":1},{"typ":"item","id":11119711,"val":1},{"typ":"item","id":11117484,"val":1},{"typ":"item","id":11112030,"val":10000}]}</v>
      </c>
      <c r="T1090" s="148">
        <f>IFERROR(__xludf.DUMMYFUNCTION("""COMPUTED_VALUE"""),1.0)</f>
        <v>1</v>
      </c>
      <c r="U1090" s="148">
        <f>IFERROR(__xludf.DUMMYFUNCTION("""COMPUTED_VALUE"""),0.0)</f>
        <v>0</v>
      </c>
      <c r="V1090" s="148" t="str">
        <f>IFERROR(__xludf.DUMMYFUNCTION("""COMPUTED_VALUE"""),"[]")</f>
        <v>[]</v>
      </c>
      <c r="W1090" s="148">
        <f>IFERROR(__xludf.DUMMYFUNCTION("""COMPUTED_VALUE"""),1.1741002E7)</f>
        <v>11741002</v>
      </c>
      <c r="X1090" s="148">
        <f>IFERROR(__xludf.DUMMYFUNCTION("""COMPUTED_VALUE"""),0.0)</f>
        <v>0</v>
      </c>
      <c r="Y1090" s="148">
        <f>IFERROR(__xludf.DUMMYFUNCTION("""COMPUTED_VALUE"""),0.0)</f>
        <v>0</v>
      </c>
      <c r="Z1090" s="148"/>
    </row>
    <row r="1091">
      <c r="A1091" s="148">
        <f>IFERROR(__xludf.DUMMYFUNCTION("""COMPUTED_VALUE"""),1.1112932E7)</f>
        <v>11112932</v>
      </c>
      <c r="B1091" s="148" t="str">
        <f>IFERROR(__xludf.DUMMYFUNCTION("""COMPUTED_VALUE"""),"返场活动-初级主城皮肤自选宝箱")</f>
        <v>返场活动-初级主城皮肤自选宝箱</v>
      </c>
      <c r="C1091" s="148"/>
      <c r="D1091" s="148" t="str">
        <f>IFERROR(__xludf.DUMMYFUNCTION("""COMPUTED_VALUE"""),"item_select_box")</f>
        <v>item_select_box</v>
      </c>
      <c r="E1091" s="148">
        <f>IFERROR(__xludf.DUMMYFUNCTION("""COMPUTED_VALUE"""),19.0)</f>
        <v>19</v>
      </c>
      <c r="F1091" s="148">
        <f>IFERROR(__xludf.DUMMYFUNCTION("""COMPUTED_VALUE"""),408195.0)</f>
        <v>408195</v>
      </c>
      <c r="G1091" s="148">
        <f>IFERROR(__xludf.DUMMYFUNCTION("""COMPUTED_VALUE"""),1.51104618E8)</f>
        <v>151104618</v>
      </c>
      <c r="H1091" s="148">
        <f>IFERROR(__xludf.DUMMYFUNCTION("""COMPUTED_VALUE"""),1.5112564E7)</f>
        <v>15112564</v>
      </c>
      <c r="I1091" s="148" t="str">
        <f>IFERROR(__xludf.DUMMYFUNCTION("""COMPUTED_VALUE"""),"{}")</f>
        <v>{}</v>
      </c>
      <c r="J1091" s="148" t="str">
        <f>IFERROR(__xludf.DUMMYFUNCTION("""COMPUTED_VALUE"""),"{""typ"":""lc"",""txt"":""LC_ITEM_encore_2025_lowskin_select""}")</f>
        <v>{"typ":"lc","txt":"LC_ITEM_encore_2025_lowskin_select"}</v>
      </c>
      <c r="K1091" s="148" t="str">
        <f>IFERROR(__xludf.DUMMYFUNCTION("""COMPUTED_VALUE"""),"{""typ"":""lc"",""txt"":""LC_ITEM_encore_2025_skin_select_desc"",""args"":[{""typ"":""int"",""val"":1},{""typ"":""int"",""val"":1}]}")</f>
        <v>{"typ":"lc","txt":"LC_ITEM_encore_2025_skin_select_desc","args":[{"typ":"int","val":1},{"typ":"int","val":1}]}</v>
      </c>
      <c r="L1091" s="148" t="str">
        <f>IFERROR(__xludf.DUMMYFUNCTION("""COMPUTED_VALUE"""),"{""typ"":""lc"",""txt"":""LC_ITEM_chest_from_atk_npc_usedtip""}")</f>
        <v>{"typ":"lc","txt":"LC_ITEM_chest_from_atk_npc_usedtip"}</v>
      </c>
      <c r="M1091" s="148">
        <f>IFERROR(__xludf.DUMMYFUNCTION("""COMPUTED_VALUE"""),1000.0)</f>
        <v>1000</v>
      </c>
      <c r="N1091" s="148">
        <f>IFERROR(__xludf.DUMMYFUNCTION("""COMPUTED_VALUE"""),999999.0)</f>
        <v>999999</v>
      </c>
      <c r="O1091" s="148">
        <f>IFERROR(__xludf.DUMMYFUNCTION("""COMPUTED_VALUE"""),99999.0)</f>
        <v>99999</v>
      </c>
      <c r="P1091" s="148">
        <f>IFERROR(__xludf.DUMMYFUNCTION("""COMPUTED_VALUE"""),99999.0)</f>
        <v>99999</v>
      </c>
      <c r="Q1091" s="148" t="str">
        <f>IFERROR(__xludf.DUMMYFUNCTION("""COMPUTED_VALUE"""),"[""bag_other""]")</f>
        <v>["bag_other"]</v>
      </c>
      <c r="R1091" s="148" t="str">
        <f>IFERROR(__xludf.DUMMYFUNCTION("""COMPUTED_VALUE"""),"[""bag""]")</f>
        <v>["bag"]</v>
      </c>
      <c r="S1091" s="148" t="str">
        <f>IFERROR(__xludf.DUMMYFUNCTION("""COMPUTED_VALUE"""),"{""select_box"":[{""typ"":""item"",""id"":11112244,""val"":1},{""typ"":""item"",""id"":11112671,""val"":1},{""typ"":""item"",""id"":11112512,""val"":1},{""typ"":""item"",""id"":11112030,""val"":4500}]}")</f>
        <v>{"select_box":[{"typ":"item","id":11112244,"val":1},{"typ":"item","id":11112671,"val":1},{"typ":"item","id":11112512,"val":1},{"typ":"item","id":11112030,"val":4500}]}</v>
      </c>
      <c r="T1091" s="148">
        <f>IFERROR(__xludf.DUMMYFUNCTION("""COMPUTED_VALUE"""),1.0)</f>
        <v>1</v>
      </c>
      <c r="U1091" s="148">
        <f>IFERROR(__xludf.DUMMYFUNCTION("""COMPUTED_VALUE"""),0.0)</f>
        <v>0</v>
      </c>
      <c r="V1091" s="148" t="str">
        <f>IFERROR(__xludf.DUMMYFUNCTION("""COMPUTED_VALUE"""),"[]")</f>
        <v>[]</v>
      </c>
      <c r="W1091" s="148">
        <f>IFERROR(__xludf.DUMMYFUNCTION("""COMPUTED_VALUE"""),1.174E7)</f>
        <v>11740000</v>
      </c>
      <c r="X1091" s="148">
        <f>IFERROR(__xludf.DUMMYFUNCTION("""COMPUTED_VALUE"""),0.0)</f>
        <v>0</v>
      </c>
      <c r="Y1091" s="148">
        <f>IFERROR(__xludf.DUMMYFUNCTION("""COMPUTED_VALUE"""),0.0)</f>
        <v>0</v>
      </c>
      <c r="Z1091" s="148"/>
    </row>
    <row r="1092">
      <c r="A1092" s="148">
        <f>IFERROR(__xludf.DUMMYFUNCTION("""COMPUTED_VALUE"""),1.1112933E7)</f>
        <v>11112933</v>
      </c>
      <c r="B1092" s="148" t="str">
        <f>IFERROR(__xludf.DUMMYFUNCTION("""COMPUTED_VALUE"""),"主城皮肤-周年庆2024（7天）")</f>
        <v>主城皮肤-周年庆2024（7天）</v>
      </c>
      <c r="C1092" s="148"/>
      <c r="D1092" s="148" t="str">
        <f>IFERROR(__xludf.DUMMYFUNCTION("""COMPUTED_VALUE"""),"city_skin")</f>
        <v>city_skin</v>
      </c>
      <c r="E1092" s="148">
        <f>IFERROR(__xludf.DUMMYFUNCTION("""COMPUTED_VALUE"""),21.0)</f>
        <v>21</v>
      </c>
      <c r="F1092" s="148">
        <f>IFERROR(__xludf.DUMMYFUNCTION("""COMPUTED_VALUE"""),1.0)</f>
        <v>1</v>
      </c>
      <c r="G1092" s="148">
        <f>IFERROR(__xludf.DUMMYFUNCTION("""COMPUTED_VALUE"""),1.51100041E8)</f>
        <v>151100041</v>
      </c>
      <c r="H1092" s="148">
        <f>IFERROR(__xludf.DUMMYFUNCTION("""COMPUTED_VALUE"""),1.5112563E7)</f>
        <v>15112563</v>
      </c>
      <c r="I1092" s="148" t="str">
        <f>IFERROR(__xludf.DUMMYFUNCTION("""COMPUTED_VALUE"""),"{""typ"":""lc"",""txt"":""LC_ITEM_time_day_upper_show"",""args"":[{""typ"":""int"",""val"":7}]}")</f>
        <v>{"typ":"lc","txt":"LC_ITEM_time_day_upper_show","args":[{"typ":"int","val":7}]}</v>
      </c>
      <c r="J1092" s="148" t="str">
        <f>IFERROR(__xludf.DUMMYFUNCTION("""COMPUTED_VALUE"""),"{""typ"":""lc"",""txt"":""LC_ITEM_2024anni_lowcity_skin_title_7day""}")</f>
        <v>{"typ":"lc","txt":"LC_ITEM_2024anni_lowcity_skin_title_7day"}</v>
      </c>
      <c r="K1092" s="148" t="str">
        <f>IFERROR(__xludf.DUMMYFUNCTION("""COMPUTED_VALUE"""),"{""typ"":""lc"",""txt"":""LC_ITEM_2024anni_lowcity_skin_desc_7day""}")</f>
        <v>{"typ":"lc","txt":"LC_ITEM_2024anni_lowcity_skin_desc_7day"}</v>
      </c>
      <c r="L1092" s="148" t="str">
        <f>IFERROR(__xludf.DUMMYFUNCTION("""COMPUTED_VALUE"""),"{""typ"":""lc"",""txt"":""LC_ITEM_city_skin_rocket_use_tips""}")</f>
        <v>{"typ":"lc","txt":"LC_ITEM_city_skin_rocket_use_tips"}</v>
      </c>
      <c r="M1092" s="148">
        <f>IFERROR(__xludf.DUMMYFUNCTION("""COMPUTED_VALUE"""),10000.0)</f>
        <v>10000</v>
      </c>
      <c r="N1092" s="148">
        <f>IFERROR(__xludf.DUMMYFUNCTION("""COMPUTED_VALUE"""),999.0)</f>
        <v>999</v>
      </c>
      <c r="O1092" s="148">
        <f>IFERROR(__xludf.DUMMYFUNCTION("""COMPUTED_VALUE"""),1.0)</f>
        <v>1</v>
      </c>
      <c r="P1092" s="148">
        <f>IFERROR(__xludf.DUMMYFUNCTION("""COMPUTED_VALUE"""),1.0)</f>
        <v>1</v>
      </c>
      <c r="Q1092" s="148" t="str">
        <f>IFERROR(__xludf.DUMMYFUNCTION("""COMPUTED_VALUE"""),"[""bag_other""]")</f>
        <v>["bag_other"]</v>
      </c>
      <c r="R1092" s="148" t="str">
        <f>IFERROR(__xludf.DUMMYFUNCTION("""COMPUTED_VALUE"""),"[""bag"",""13121044""]")</f>
        <v>["bag","13121044"]</v>
      </c>
      <c r="S1092" s="148" t="str">
        <f>IFERROR(__xludf.DUMMYFUNCTION("""COMPUTED_VALUE"""),"{""effect"":[{""typ"":""city_skin"",""id"":13121044,""val"":604800000},{""typ"":""item"",""id"":11112030,""val"":300}]}")</f>
        <v>{"effect":[{"typ":"city_skin","id":13121044,"val":604800000},{"typ":"item","id":11112030,"val":300}]}</v>
      </c>
      <c r="T1092" s="148">
        <f>IFERROR(__xludf.DUMMYFUNCTION("""COMPUTED_VALUE"""),-1.0)</f>
        <v>-1</v>
      </c>
      <c r="U1092" s="148">
        <f>IFERROR(__xludf.DUMMYFUNCTION("""COMPUTED_VALUE"""),0.0)</f>
        <v>0</v>
      </c>
      <c r="V1092" s="148" t="str">
        <f>IFERROR(__xludf.DUMMYFUNCTION("""COMPUTED_VALUE"""),"[]")</f>
        <v>[]</v>
      </c>
      <c r="W1092" s="148">
        <f>IFERROR(__xludf.DUMMYFUNCTION("""COMPUTED_VALUE"""),1.174E7)</f>
        <v>11740000</v>
      </c>
      <c r="X1092" s="148">
        <f>IFERROR(__xludf.DUMMYFUNCTION("""COMPUTED_VALUE"""),0.0)</f>
        <v>0</v>
      </c>
      <c r="Y1092" s="148">
        <f>IFERROR(__xludf.DUMMYFUNCTION("""COMPUTED_VALUE"""),0.0)</f>
        <v>0</v>
      </c>
      <c r="Z1092" s="148"/>
    </row>
    <row r="1093">
      <c r="A1093" s="148">
        <f>IFERROR(__xludf.DUMMYFUNCTION("""COMPUTED_VALUE"""),1.1112934E7)</f>
        <v>11112934</v>
      </c>
      <c r="B1093" s="148" t="str">
        <f>IFERROR(__xludf.DUMMYFUNCTION("""COMPUTED_VALUE"""),"主城皮肤-周年庆2024（14天）")</f>
        <v>主城皮肤-周年庆2024（14天）</v>
      </c>
      <c r="C1093" s="148"/>
      <c r="D1093" s="148" t="str">
        <f>IFERROR(__xludf.DUMMYFUNCTION("""COMPUTED_VALUE"""),"city_skin")</f>
        <v>city_skin</v>
      </c>
      <c r="E1093" s="148">
        <f>IFERROR(__xludf.DUMMYFUNCTION("""COMPUTED_VALUE"""),21.0)</f>
        <v>21</v>
      </c>
      <c r="F1093" s="148">
        <f>IFERROR(__xludf.DUMMYFUNCTION("""COMPUTED_VALUE"""),404201.0)</f>
        <v>404201</v>
      </c>
      <c r="G1093" s="148">
        <f>IFERROR(__xludf.DUMMYFUNCTION("""COMPUTED_VALUE"""),1.51100041E8)</f>
        <v>151100041</v>
      </c>
      <c r="H1093" s="148">
        <f>IFERROR(__xludf.DUMMYFUNCTION("""COMPUTED_VALUE"""),1.5112563E7)</f>
        <v>15112563</v>
      </c>
      <c r="I1093" s="148" t="str">
        <f>IFERROR(__xludf.DUMMYFUNCTION("""COMPUTED_VALUE"""),"{""typ"":""lc"",""txt"":""LC_ITEM_time_day_upper_show"",""args"":[{""typ"":""int"",""val"":14}]}")</f>
        <v>{"typ":"lc","txt":"LC_ITEM_time_day_upper_show","args":[{"typ":"int","val":14}]}</v>
      </c>
      <c r="J1093" s="148" t="str">
        <f>IFERROR(__xludf.DUMMYFUNCTION("""COMPUTED_VALUE"""),"{""typ"":""lc"",""txt"":""LC_ITEM_2024anni_lowcity_skin_title_14day""}")</f>
        <v>{"typ":"lc","txt":"LC_ITEM_2024anni_lowcity_skin_title_14day"}</v>
      </c>
      <c r="K1093" s="148" t="str">
        <f>IFERROR(__xludf.DUMMYFUNCTION("""COMPUTED_VALUE"""),"{""typ"":""lc"",""txt"":""LC_ITEM_2024anni_lowcity_skin_desc_14day""}")</f>
        <v>{"typ":"lc","txt":"LC_ITEM_2024anni_lowcity_skin_desc_14day"}</v>
      </c>
      <c r="L1093" s="148" t="str">
        <f>IFERROR(__xludf.DUMMYFUNCTION("""COMPUTED_VALUE"""),"{""typ"":""lc"",""txt"":""LC_ITEM_city_skin_rocket_use_tips""}")</f>
        <v>{"typ":"lc","txt":"LC_ITEM_city_skin_rocket_use_tips"}</v>
      </c>
      <c r="M1093" s="148">
        <f>IFERROR(__xludf.DUMMYFUNCTION("""COMPUTED_VALUE"""),10000.0)</f>
        <v>10000</v>
      </c>
      <c r="N1093" s="148">
        <f>IFERROR(__xludf.DUMMYFUNCTION("""COMPUTED_VALUE"""),999.0)</f>
        <v>999</v>
      </c>
      <c r="O1093" s="148">
        <f>IFERROR(__xludf.DUMMYFUNCTION("""COMPUTED_VALUE"""),1.0)</f>
        <v>1</v>
      </c>
      <c r="P1093" s="148">
        <f>IFERROR(__xludf.DUMMYFUNCTION("""COMPUTED_VALUE"""),1.0)</f>
        <v>1</v>
      </c>
      <c r="Q1093" s="148" t="str">
        <f>IFERROR(__xludf.DUMMYFUNCTION("""COMPUTED_VALUE"""),"[""bag_other""]")</f>
        <v>["bag_other"]</v>
      </c>
      <c r="R1093" s="148" t="str">
        <f>IFERROR(__xludf.DUMMYFUNCTION("""COMPUTED_VALUE"""),"[""bag"",""13121044""]")</f>
        <v>["bag","13121044"]</v>
      </c>
      <c r="S1093" s="148" t="str">
        <f>IFERROR(__xludf.DUMMYFUNCTION("""COMPUTED_VALUE"""),"{""effect"":[{""typ"":""city_skin"",""id"":13121044,""val"":1209600000},{""typ"":""item"",""id"":11112030,""val"":600}]}")</f>
        <v>{"effect":[{"typ":"city_skin","id":13121044,"val":1209600000},{"typ":"item","id":11112030,"val":600}]}</v>
      </c>
      <c r="T1093" s="148">
        <f>IFERROR(__xludf.DUMMYFUNCTION("""COMPUTED_VALUE"""),-1.0)</f>
        <v>-1</v>
      </c>
      <c r="U1093" s="148">
        <f>IFERROR(__xludf.DUMMYFUNCTION("""COMPUTED_VALUE"""),0.0)</f>
        <v>0</v>
      </c>
      <c r="V1093" s="148" t="str">
        <f>IFERROR(__xludf.DUMMYFUNCTION("""COMPUTED_VALUE"""),"[]")</f>
        <v>[]</v>
      </c>
      <c r="W1093" s="148">
        <f>IFERROR(__xludf.DUMMYFUNCTION("""COMPUTED_VALUE"""),1.174E7)</f>
        <v>11740000</v>
      </c>
      <c r="X1093" s="148">
        <f>IFERROR(__xludf.DUMMYFUNCTION("""COMPUTED_VALUE"""),0.0)</f>
        <v>0</v>
      </c>
      <c r="Y1093" s="148">
        <f>IFERROR(__xludf.DUMMYFUNCTION("""COMPUTED_VALUE"""),0.0)</f>
        <v>0</v>
      </c>
      <c r="Z1093" s="148"/>
    </row>
    <row r="1094">
      <c r="A1094" s="148">
        <f>IFERROR(__xludf.DUMMYFUNCTION("""COMPUTED_VALUE"""),1.1112935E7)</f>
        <v>11112935</v>
      </c>
      <c r="B1094" s="148" t="str">
        <f>IFERROR(__xludf.DUMMYFUNCTION("""COMPUTED_VALUE"""),"弹珠皮肤-基础")</f>
        <v>弹珠皮肤-基础</v>
      </c>
      <c r="C1094" s="148"/>
      <c r="D1094" s="148" t="str">
        <f>IFERROR(__xludf.DUMMYFUNCTION("""COMPUTED_VALUE"""),"minigame_skin")</f>
        <v>minigame_skin</v>
      </c>
      <c r="E1094" s="148">
        <f>IFERROR(__xludf.DUMMYFUNCTION("""COMPUTED_VALUE"""),21.0)</f>
        <v>21</v>
      </c>
      <c r="F1094" s="148">
        <f>IFERROR(__xludf.DUMMYFUNCTION("""COMPUTED_VALUE"""),400106.0)</f>
        <v>400106</v>
      </c>
      <c r="G1094" s="148">
        <f>IFERROR(__xludf.DUMMYFUNCTION("""COMPUTED_VALUE"""),1.51104684E8)</f>
        <v>151104684</v>
      </c>
      <c r="H1094" s="148">
        <f>IFERROR(__xludf.DUMMYFUNCTION("""COMPUTED_VALUE"""),1.5112564E7)</f>
        <v>15112564</v>
      </c>
      <c r="I1094" s="148" t="str">
        <f>IFERROR(__xludf.DUMMYFUNCTION("""COMPUTED_VALUE"""),"{}")</f>
        <v>{}</v>
      </c>
      <c r="J1094" s="148" t="str">
        <f>IFERROR(__xludf.DUMMYFUNCTION("""COMPUTED_VALUE"""),"{""typ"":""lc"",""txt"":""LC_ITEM_ui_skin_name_classic""}")</f>
        <v>{"typ":"lc","txt":"LC_ITEM_ui_skin_name_classic"}</v>
      </c>
      <c r="K1094" s="148" t="str">
        <f>IFERROR(__xludf.DUMMYFUNCTION("""COMPUTED_VALUE"""),"{}")</f>
        <v>{}</v>
      </c>
      <c r="L1094" s="148" t="str">
        <f>IFERROR(__xludf.DUMMYFUNCTION("""COMPUTED_VALUE"""),"{""typ"":""lc"",""txt"":""LC_ITEM_city_skin_rocket_use_tips""}")</f>
        <v>{"typ":"lc","txt":"LC_ITEM_city_skin_rocket_use_tips"}</v>
      </c>
      <c r="M1094" s="148">
        <f>IFERROR(__xludf.DUMMYFUNCTION("""COMPUTED_VALUE"""),10000.0)</f>
        <v>10000</v>
      </c>
      <c r="N1094" s="148">
        <f>IFERROR(__xludf.DUMMYFUNCTION("""COMPUTED_VALUE"""),999.0)</f>
        <v>999</v>
      </c>
      <c r="O1094" s="148">
        <f>IFERROR(__xludf.DUMMYFUNCTION("""COMPUTED_VALUE"""),1.0)</f>
        <v>1</v>
      </c>
      <c r="P1094" s="148">
        <f>IFERROR(__xludf.DUMMYFUNCTION("""COMPUTED_VALUE"""),1.0)</f>
        <v>1</v>
      </c>
      <c r="Q1094" s="148" t="str">
        <f>IFERROR(__xludf.DUMMYFUNCTION("""COMPUTED_VALUE"""),"[]")</f>
        <v>[]</v>
      </c>
      <c r="R1094" s="148" t="str">
        <f>IFERROR(__xludf.DUMMYFUNCTION("""COMPUTED_VALUE"""),"[]")</f>
        <v>[]</v>
      </c>
      <c r="S1094" s="148" t="str">
        <f>IFERROR(__xludf.DUMMYFUNCTION("""COMPUTED_VALUE"""),"{}")</f>
        <v>{}</v>
      </c>
      <c r="T1094" s="148">
        <f>IFERROR(__xludf.DUMMYFUNCTION("""COMPUTED_VALUE"""),-1.0)</f>
        <v>-1</v>
      </c>
      <c r="U1094" s="148">
        <f>IFERROR(__xludf.DUMMYFUNCTION("""COMPUTED_VALUE"""),0.0)</f>
        <v>0</v>
      </c>
      <c r="V1094" s="148" t="str">
        <f>IFERROR(__xludf.DUMMYFUNCTION("""COMPUTED_VALUE"""),"[]")</f>
        <v>[]</v>
      </c>
      <c r="W1094" s="148">
        <f>IFERROR(__xludf.DUMMYFUNCTION("""COMPUTED_VALUE"""),1.174E7)</f>
        <v>11740000</v>
      </c>
      <c r="X1094" s="148">
        <f>IFERROR(__xludf.DUMMYFUNCTION("""COMPUTED_VALUE"""),0.0)</f>
        <v>0</v>
      </c>
      <c r="Y1094" s="148">
        <f>IFERROR(__xludf.DUMMYFUNCTION("""COMPUTED_VALUE"""),0.0)</f>
        <v>0</v>
      </c>
      <c r="Z1094" s="148"/>
    </row>
    <row r="1095">
      <c r="A1095" s="148">
        <f>IFERROR(__xludf.DUMMYFUNCTION("""COMPUTED_VALUE"""),1.1112936E7)</f>
        <v>11112936</v>
      </c>
      <c r="B1095" s="148" t="str">
        <f>IFERROR(__xludf.DUMMYFUNCTION("""COMPUTED_VALUE"""),"科技节-大富翁皮肤")</f>
        <v>科技节-大富翁皮肤</v>
      </c>
      <c r="C1095" s="148"/>
      <c r="D1095" s="148" t="str">
        <f>IFERROR(__xludf.DUMMYFUNCTION("""COMPUTED_VALUE"""),"minigame_skin")</f>
        <v>minigame_skin</v>
      </c>
      <c r="E1095" s="148">
        <f>IFERROR(__xludf.DUMMYFUNCTION("""COMPUTED_VALUE"""),21.0)</f>
        <v>21</v>
      </c>
      <c r="F1095" s="148">
        <f>IFERROR(__xludf.DUMMYFUNCTION("""COMPUTED_VALUE"""),400106.0)</f>
        <v>400106</v>
      </c>
      <c r="G1095" s="148">
        <f>IFERROR(__xludf.DUMMYFUNCTION("""COMPUTED_VALUE"""),1.51104648E8)</f>
        <v>151104648</v>
      </c>
      <c r="H1095" s="148">
        <f>IFERROR(__xludf.DUMMYFUNCTION("""COMPUTED_VALUE"""),1.5112564E7)</f>
        <v>15112564</v>
      </c>
      <c r="I1095" s="148" t="str">
        <f>IFERROR(__xludf.DUMMYFUNCTION("""COMPUTED_VALUE"""),"{}")</f>
        <v>{}</v>
      </c>
      <c r="J1095" s="148" t="str">
        <f>IFERROR(__xludf.DUMMYFUNCTION("""COMPUTED_VALUE"""),"{""typ"":""lc"",""txt"":""LC_ITEM_ww_skin_tech_name""}")</f>
        <v>{"typ":"lc","txt":"LC_ITEM_ww_skin_tech_name"}</v>
      </c>
      <c r="K1095" s="148" t="str">
        <f>IFERROR(__xludf.DUMMYFUNCTION("""COMPUTED_VALUE"""),"{""typ"":""lc"",""txt"":""LC_ITEM_ww_skin_tech_desc""}")</f>
        <v>{"typ":"lc","txt":"LC_ITEM_ww_skin_tech_desc"}</v>
      </c>
      <c r="L1095" s="148" t="str">
        <f>IFERROR(__xludf.DUMMYFUNCTION("""COMPUTED_VALUE"""),"{""typ"":""lc"",""txt"":""LC_ITEM_city_skin_rocket_use_tips""}")</f>
        <v>{"typ":"lc","txt":"LC_ITEM_city_skin_rocket_use_tips"}</v>
      </c>
      <c r="M1095" s="148">
        <f>IFERROR(__xludf.DUMMYFUNCTION("""COMPUTED_VALUE"""),10000.0)</f>
        <v>10000</v>
      </c>
      <c r="N1095" s="148">
        <f>IFERROR(__xludf.DUMMYFUNCTION("""COMPUTED_VALUE"""),999.0)</f>
        <v>999</v>
      </c>
      <c r="O1095" s="148">
        <f>IFERROR(__xludf.DUMMYFUNCTION("""COMPUTED_VALUE"""),1.0)</f>
        <v>1</v>
      </c>
      <c r="P1095" s="148">
        <f>IFERROR(__xludf.DUMMYFUNCTION("""COMPUTED_VALUE"""),1.0)</f>
        <v>1</v>
      </c>
      <c r="Q1095" s="148" t="str">
        <f>IFERROR(__xludf.DUMMYFUNCTION("""COMPUTED_VALUE"""),"[]")</f>
        <v>[]</v>
      </c>
      <c r="R1095" s="148" t="str">
        <f>IFERROR(__xludf.DUMMYFUNCTION("""COMPUTED_VALUE"""),"[]")</f>
        <v>[]</v>
      </c>
      <c r="S1095" s="148" t="str">
        <f>IFERROR(__xludf.DUMMYFUNCTION("""COMPUTED_VALUE"""),"{}")</f>
        <v>{}</v>
      </c>
      <c r="T1095" s="148">
        <f>IFERROR(__xludf.DUMMYFUNCTION("""COMPUTED_VALUE"""),-1.0)</f>
        <v>-1</v>
      </c>
      <c r="U1095" s="148">
        <f>IFERROR(__xludf.DUMMYFUNCTION("""COMPUTED_VALUE"""),0.0)</f>
        <v>0</v>
      </c>
      <c r="V1095" s="148" t="str">
        <f>IFERROR(__xludf.DUMMYFUNCTION("""COMPUTED_VALUE"""),"[]")</f>
        <v>[]</v>
      </c>
      <c r="W1095" s="148">
        <f>IFERROR(__xludf.DUMMYFUNCTION("""COMPUTED_VALUE"""),1.174E7)</f>
        <v>11740000</v>
      </c>
      <c r="X1095" s="148">
        <f>IFERROR(__xludf.DUMMYFUNCTION("""COMPUTED_VALUE"""),1.1684759E7)</f>
        <v>11684759</v>
      </c>
      <c r="Y1095" s="148">
        <f>IFERROR(__xludf.DUMMYFUNCTION("""COMPUTED_VALUE"""),0.0)</f>
        <v>0</v>
      </c>
      <c r="Z1095" s="148"/>
    </row>
    <row r="1096">
      <c r="A1096" s="148">
        <f>IFERROR(__xludf.DUMMYFUNCTION("""COMPUTED_VALUE"""),1.1112937E7)</f>
        <v>11112937</v>
      </c>
      <c r="B1096" s="148" t="str">
        <f>IFERROR(__xludf.DUMMYFUNCTION("""COMPUTED_VALUE"""),"基础猴子-大富翁皮肤")</f>
        <v>基础猴子-大富翁皮肤</v>
      </c>
      <c r="C1096" s="148"/>
      <c r="D1096" s="148" t="str">
        <f>IFERROR(__xludf.DUMMYFUNCTION("""COMPUTED_VALUE"""),"minigame_skin")</f>
        <v>minigame_skin</v>
      </c>
      <c r="E1096" s="148">
        <f>IFERROR(__xludf.DUMMYFUNCTION("""COMPUTED_VALUE"""),21.0)</f>
        <v>21</v>
      </c>
      <c r="F1096" s="148">
        <f>IFERROR(__xludf.DUMMYFUNCTION("""COMPUTED_VALUE"""),400106.0)</f>
        <v>400106</v>
      </c>
      <c r="G1096" s="148">
        <f>IFERROR(__xludf.DUMMYFUNCTION("""COMPUTED_VALUE"""),1.51104649E8)</f>
        <v>151104649</v>
      </c>
      <c r="H1096" s="148">
        <f>IFERROR(__xludf.DUMMYFUNCTION("""COMPUTED_VALUE"""),1.5112564E7)</f>
        <v>15112564</v>
      </c>
      <c r="I1096" s="148" t="str">
        <f>IFERROR(__xludf.DUMMYFUNCTION("""COMPUTED_VALUE"""),"{}")</f>
        <v>{}</v>
      </c>
      <c r="J1096" s="148" t="str">
        <f>IFERROR(__xludf.DUMMYFUNCTION("""COMPUTED_VALUE"""),"{""typ"":""lc"",""txt"":""LC_ITEM_2026valentine_highcity_skin_title_28day""}")</f>
        <v>{"typ":"lc","txt":"LC_ITEM_2026valentine_highcity_skin_title_28day"}</v>
      </c>
      <c r="K1096" s="148" t="str">
        <f>IFERROR(__xludf.DUMMYFUNCTION("""COMPUTED_VALUE"""),"{}")</f>
        <v>{}</v>
      </c>
      <c r="L1096" s="148" t="str">
        <f>IFERROR(__xludf.DUMMYFUNCTION("""COMPUTED_VALUE"""),"{""typ"":""lc"",""txt"":""LC_ITEM_city_skin_rocket_use_tips""}")</f>
        <v>{"typ":"lc","txt":"LC_ITEM_city_skin_rocket_use_tips"}</v>
      </c>
      <c r="M1096" s="148">
        <f>IFERROR(__xludf.DUMMYFUNCTION("""COMPUTED_VALUE"""),10000.0)</f>
        <v>10000</v>
      </c>
      <c r="N1096" s="148">
        <f>IFERROR(__xludf.DUMMYFUNCTION("""COMPUTED_VALUE"""),999.0)</f>
        <v>999</v>
      </c>
      <c r="O1096" s="148">
        <f>IFERROR(__xludf.DUMMYFUNCTION("""COMPUTED_VALUE"""),1.0)</f>
        <v>1</v>
      </c>
      <c r="P1096" s="148">
        <f>IFERROR(__xludf.DUMMYFUNCTION("""COMPUTED_VALUE"""),1.0)</f>
        <v>1</v>
      </c>
      <c r="Q1096" s="148" t="str">
        <f>IFERROR(__xludf.DUMMYFUNCTION("""COMPUTED_VALUE"""),"[]")</f>
        <v>[]</v>
      </c>
      <c r="R1096" s="148" t="str">
        <f>IFERROR(__xludf.DUMMYFUNCTION("""COMPUTED_VALUE"""),"[]")</f>
        <v>[]</v>
      </c>
      <c r="S1096" s="148" t="str">
        <f>IFERROR(__xludf.DUMMYFUNCTION("""COMPUTED_VALUE"""),"{}")</f>
        <v>{}</v>
      </c>
      <c r="T1096" s="148">
        <f>IFERROR(__xludf.DUMMYFUNCTION("""COMPUTED_VALUE"""),-1.0)</f>
        <v>-1</v>
      </c>
      <c r="U1096" s="148">
        <f>IFERROR(__xludf.DUMMYFUNCTION("""COMPUTED_VALUE"""),0.0)</f>
        <v>0</v>
      </c>
      <c r="V1096" s="148" t="str">
        <f>IFERROR(__xludf.DUMMYFUNCTION("""COMPUTED_VALUE"""),"[]")</f>
        <v>[]</v>
      </c>
      <c r="W1096" s="148">
        <f>IFERROR(__xludf.DUMMYFUNCTION("""COMPUTED_VALUE"""),1.174E7)</f>
        <v>11740000</v>
      </c>
      <c r="X1096" s="148">
        <f>IFERROR(__xludf.DUMMYFUNCTION("""COMPUTED_VALUE"""),0.0)</f>
        <v>0</v>
      </c>
      <c r="Y1096" s="148">
        <f>IFERROR(__xludf.DUMMYFUNCTION("""COMPUTED_VALUE"""),0.0)</f>
        <v>0</v>
      </c>
      <c r="Z1096" s="148"/>
    </row>
    <row r="1097">
      <c r="A1097" s="148">
        <f>IFERROR(__xludf.DUMMYFUNCTION("""COMPUTED_VALUE"""),1.1112938E7)</f>
        <v>11112938</v>
      </c>
      <c r="B1097" s="148" t="str">
        <f>IFERROR(__xludf.DUMMYFUNCTION("""COMPUTED_VALUE"""),"2026科技节-手札-装饰升级版本（投放用）")</f>
        <v>2026科技节-手札-装饰升级版本（投放用）</v>
      </c>
      <c r="C1097" s="148"/>
      <c r="D1097" s="148" t="str">
        <f>IFERROR(__xludf.DUMMYFUNCTION("""COMPUTED_VALUE"""),"statue_decorate")</f>
        <v>statue_decorate</v>
      </c>
      <c r="E1097" s="148">
        <f>IFERROR(__xludf.DUMMYFUNCTION("""COMPUTED_VALUE"""),23.0)</f>
        <v>23</v>
      </c>
      <c r="F1097" s="148">
        <f>IFERROR(__xludf.DUMMYFUNCTION("""COMPUTED_VALUE"""),0.0)</f>
        <v>0</v>
      </c>
      <c r="G1097" s="148">
        <f>IFERROR(__xludf.DUMMYFUNCTION("""COMPUTED_VALUE"""),1.51104571E8)</f>
        <v>151104571</v>
      </c>
      <c r="H1097" s="148">
        <f>IFERROR(__xludf.DUMMYFUNCTION("""COMPUTED_VALUE"""),1.5112564E7)</f>
        <v>15112564</v>
      </c>
      <c r="I1097" s="148" t="str">
        <f>IFERROR(__xludf.DUMMYFUNCTION("""COMPUTED_VALUE"""),"{}")</f>
        <v>{}</v>
      </c>
      <c r="J1097" s="148" t="str">
        <f>IFERROR(__xludf.DUMMYFUNCTION("""COMPUTED_VALUE"""),"{""typ"":""lc"",""txt"":""LC_ITEM_2026tech_dec1_item_2""}")</f>
        <v>{"typ":"lc","txt":"LC_ITEM_2026tech_dec1_item_2"}</v>
      </c>
      <c r="K1097" s="148" t="str">
        <f>IFERROR(__xludf.DUMMYFUNCTION("""COMPUTED_VALUE"""),"{""typ"":""lc"",""txt"":""LC_ITEM_2026tech_dec1_item_2_desc""}")</f>
        <v>{"typ":"lc","txt":"LC_ITEM_2026tech_dec1_item_2_desc"}</v>
      </c>
      <c r="L1097" s="148" t="str">
        <f>IFERROR(__xludf.DUMMYFUNCTION("""COMPUTED_VALUE"""),"{}")</f>
        <v>{}</v>
      </c>
      <c r="M1097" s="148">
        <f>IFERROR(__xludf.DUMMYFUNCTION("""COMPUTED_VALUE"""),5000.0)</f>
        <v>5000</v>
      </c>
      <c r="N1097" s="148">
        <f>IFERROR(__xludf.DUMMYFUNCTION("""COMPUTED_VALUE"""),999.0)</f>
        <v>999</v>
      </c>
      <c r="O1097" s="148">
        <f>IFERROR(__xludf.DUMMYFUNCTION("""COMPUTED_VALUE"""),99999.0)</f>
        <v>99999</v>
      </c>
      <c r="P1097" s="148">
        <f>IFERROR(__xludf.DUMMYFUNCTION("""COMPUTED_VALUE"""),99999.0)</f>
        <v>99999</v>
      </c>
      <c r="Q1097" s="148" t="str">
        <f>IFERROR(__xludf.DUMMYFUNCTION("""COMPUTED_VALUE"""),"[]")</f>
        <v>[]</v>
      </c>
      <c r="R1097" s="148" t="str">
        <f>IFERROR(__xludf.DUMMYFUNCTION("""COMPUTED_VALUE"""),"[""bag""]")</f>
        <v>["bag"]</v>
      </c>
      <c r="S1097" s="148" t="str">
        <f>IFERROR(__xludf.DUMMYFUNCTION("""COMPUTED_VALUE"""),"{""effect"":[{""typ"":""holiday_statue"",""id"":21484601}]}")</f>
        <v>{"effect":[{"typ":"holiday_statue","id":21484601}]}</v>
      </c>
      <c r="T1097" s="148">
        <f>IFERROR(__xludf.DUMMYFUNCTION("""COMPUTED_VALUE"""),-1.0)</f>
        <v>-1</v>
      </c>
      <c r="U1097" s="148">
        <f>IFERROR(__xludf.DUMMYFUNCTION("""COMPUTED_VALUE"""),1.0)</f>
        <v>1</v>
      </c>
      <c r="V1097" s="148" t="str">
        <f>IFERROR(__xludf.DUMMYFUNCTION("""COMPUTED_VALUE"""),"[]")</f>
        <v>[]</v>
      </c>
      <c r="W1097" s="148">
        <f>IFERROR(__xludf.DUMMYFUNCTION("""COMPUTED_VALUE"""),1.174E7)</f>
        <v>11740000</v>
      </c>
      <c r="X1097" s="148">
        <f>IFERROR(__xludf.DUMMYFUNCTION("""COMPUTED_VALUE"""),0.0)</f>
        <v>0</v>
      </c>
      <c r="Y1097" s="148">
        <f>IFERROR(__xludf.DUMMYFUNCTION("""COMPUTED_VALUE"""),0.0)</f>
        <v>0</v>
      </c>
      <c r="Z1097" s="148"/>
    </row>
    <row r="1098">
      <c r="A1098" s="148">
        <f>IFERROR(__xludf.DUMMYFUNCTION("""COMPUTED_VALUE"""),1.1112939E7)</f>
        <v>11112939</v>
      </c>
      <c r="B1098" s="148" t="str">
        <f>IFERROR(__xludf.DUMMYFUNCTION("""COMPUTED_VALUE"""),"2026科技节-手札-装饰升级道具")</f>
        <v>2026科技节-手札-装饰升级道具</v>
      </c>
      <c r="C1098" s="148"/>
      <c r="D1098" s="148" t="str">
        <f>IFERROR(__xludf.DUMMYFUNCTION("""COMPUTED_VALUE"""),"event")</f>
        <v>event</v>
      </c>
      <c r="E1098" s="148">
        <f>IFERROR(__xludf.DUMMYFUNCTION("""COMPUTED_VALUE"""),0.0)</f>
        <v>0</v>
      </c>
      <c r="F1098" s="148">
        <f>IFERROR(__xludf.DUMMYFUNCTION("""COMPUTED_VALUE"""),405243.0)</f>
        <v>405243</v>
      </c>
      <c r="G1098" s="148">
        <f>IFERROR(__xludf.DUMMYFUNCTION("""COMPUTED_VALUE"""),1.51104571E8)</f>
        <v>151104571</v>
      </c>
      <c r="H1098" s="148">
        <f>IFERROR(__xludf.DUMMYFUNCTION("""COMPUTED_VALUE"""),1.5112564E7)</f>
        <v>15112564</v>
      </c>
      <c r="I1098" s="148" t="str">
        <f>IFERROR(__xludf.DUMMYFUNCTION("""COMPUTED_VALUE"""),"{}")</f>
        <v>{}</v>
      </c>
      <c r="J1098" s="148" t="str">
        <f>IFERROR(__xludf.DUMMYFUNCTION("""COMPUTED_VALUE"""),"{""typ"":""lc"",""txt"":""LC_ITEM_2026tech_dec1_item_2""}")</f>
        <v>{"typ":"lc","txt":"LC_ITEM_2026tech_dec1_item_2"}</v>
      </c>
      <c r="K1098" s="148" t="str">
        <f>IFERROR(__xludf.DUMMYFUNCTION("""COMPUTED_VALUE"""),"{""typ"":""lc"",""txt"":""LC_ITEM_2026tech_dec1_item_2_desc""}")</f>
        <v>{"typ":"lc","txt":"LC_ITEM_2026tech_dec1_item_2_desc"}</v>
      </c>
      <c r="L1098" s="148" t="str">
        <f>IFERROR(__xludf.DUMMYFUNCTION("""COMPUTED_VALUE"""),"{}")</f>
        <v>{}</v>
      </c>
      <c r="M1098" s="148">
        <f>IFERROR(__xludf.DUMMYFUNCTION("""COMPUTED_VALUE"""),1000.0)</f>
        <v>1000</v>
      </c>
      <c r="N1098" s="148">
        <f>IFERROR(__xludf.DUMMYFUNCTION("""COMPUTED_VALUE"""),9.99999999E8)</f>
        <v>999999999</v>
      </c>
      <c r="O1098" s="148">
        <f>IFERROR(__xludf.DUMMYFUNCTION("""COMPUTED_VALUE"""),9.99999999E8)</f>
        <v>999999999</v>
      </c>
      <c r="P1098" s="148">
        <f>IFERROR(__xludf.DUMMYFUNCTION("""COMPUTED_VALUE"""),9.99999999E8)</f>
        <v>999999999</v>
      </c>
      <c r="Q1098" s="148" t="str">
        <f>IFERROR(__xludf.DUMMYFUNCTION("""COMPUTED_VALUE"""),"[""bag_other""]")</f>
        <v>["bag_other"]</v>
      </c>
      <c r="R1098" s="148" t="str">
        <f>IFERROR(__xludf.DUMMYFUNCTION("""COMPUTED_VALUE"""),"[]")</f>
        <v>[]</v>
      </c>
      <c r="S1098" s="148" t="str">
        <f>IFERROR(__xludf.DUMMYFUNCTION("""COMPUTED_VALUE"""),"{}")</f>
        <v>{}</v>
      </c>
      <c r="T1098" s="148">
        <f>IFERROR(__xludf.DUMMYFUNCTION("""COMPUTED_VALUE"""),-1.0)</f>
        <v>-1</v>
      </c>
      <c r="U1098" s="148">
        <f>IFERROR(__xludf.DUMMYFUNCTION("""COMPUTED_VALUE"""),0.0)</f>
        <v>0</v>
      </c>
      <c r="V1098" s="148" t="str">
        <f>IFERROR(__xludf.DUMMYFUNCTION("""COMPUTED_VALUE"""),"[]")</f>
        <v>[]</v>
      </c>
      <c r="W1098" s="148">
        <f>IFERROR(__xludf.DUMMYFUNCTION("""COMPUTED_VALUE"""),1.174E7)</f>
        <v>11740000</v>
      </c>
      <c r="X1098" s="148">
        <f>IFERROR(__xludf.DUMMYFUNCTION("""COMPUTED_VALUE"""),0.0)</f>
        <v>0</v>
      </c>
      <c r="Y1098" s="148">
        <f>IFERROR(__xludf.DUMMYFUNCTION("""COMPUTED_VALUE"""),0.0)</f>
        <v>0</v>
      </c>
      <c r="Z1098" s="148"/>
    </row>
    <row r="1099">
      <c r="A1099" s="148">
        <f>IFERROR(__xludf.DUMMYFUNCTION("""COMPUTED_VALUE"""),1.111294E7)</f>
        <v>11112940</v>
      </c>
      <c r="B1099" s="148" t="str">
        <f>IFERROR(__xludf.DUMMYFUNCTION("""COMPUTED_VALUE"""),"涂饰-2026科技节-手札-涂饰道具-一天")</f>
        <v>涂饰-2026科技节-手札-涂饰道具-一天</v>
      </c>
      <c r="C1099" s="148"/>
      <c r="D1099" s="148" t="str">
        <f>IFERROR(__xludf.DUMMYFUNCTION("""COMPUTED_VALUE"""),"decorate_paint")</f>
        <v>decorate_paint</v>
      </c>
      <c r="E1099" s="148">
        <f>IFERROR(__xludf.DUMMYFUNCTION("""COMPUTED_VALUE"""),0.0)</f>
        <v>0</v>
      </c>
      <c r="F1099" s="148">
        <f>IFERROR(__xludf.DUMMYFUNCTION("""COMPUTED_VALUE"""),0.0)</f>
        <v>0</v>
      </c>
      <c r="G1099" s="148">
        <f>IFERROR(__xludf.DUMMYFUNCTION("""COMPUTED_VALUE"""),1.51104774E8)</f>
        <v>151104774</v>
      </c>
      <c r="H1099" s="148">
        <f>IFERROR(__xludf.DUMMYFUNCTION("""COMPUTED_VALUE"""),1.5112564E7)</f>
        <v>15112564</v>
      </c>
      <c r="I1099" s="148" t="str">
        <f>IFERROR(__xludf.DUMMYFUNCTION("""COMPUTED_VALUE"""),"{}")</f>
        <v>{}</v>
      </c>
      <c r="J1099" s="148" t="str">
        <f>IFERROR(__xludf.DUMMYFUNCTION("""COMPUTED_VALUE"""),"{""typ"":""lc"",""txt"":""LC_ITEM_2026tech1_paint_decoration_paint_name""}")</f>
        <v>{"typ":"lc","txt":"LC_ITEM_2026tech1_paint_decoration_paint_name"}</v>
      </c>
      <c r="K1099" s="148" t="str">
        <f>IFERROR(__xludf.DUMMYFUNCTION("""COMPUTED_VALUE"""),"{""typ"":""lc"",""txt"":""LC_ITEM_2026tech1_paint_decoration_paint_desc""}")</f>
        <v>{"typ":"lc","txt":"LC_ITEM_2026tech1_paint_decoration_paint_desc"}</v>
      </c>
      <c r="L1099" s="148" t="str">
        <f>IFERROR(__xludf.DUMMYFUNCTION("""COMPUTED_VALUE"""),"{""typ"":""lc"",""txt"":""LC_TIP_use_success""}")</f>
        <v>{"typ":"lc","txt":"LC_TIP_use_success"}</v>
      </c>
      <c r="M1099" s="148">
        <f>IFERROR(__xludf.DUMMYFUNCTION("""COMPUTED_VALUE"""),1000.0)</f>
        <v>1000</v>
      </c>
      <c r="N1099" s="148">
        <f>IFERROR(__xludf.DUMMYFUNCTION("""COMPUTED_VALUE"""),9.99999999E8)</f>
        <v>999999999</v>
      </c>
      <c r="O1099" s="148">
        <f>IFERROR(__xludf.DUMMYFUNCTION("""COMPUTED_VALUE"""),9.99999999E8)</f>
        <v>999999999</v>
      </c>
      <c r="P1099" s="148">
        <f>IFERROR(__xludf.DUMMYFUNCTION("""COMPUTED_VALUE"""),1.0)</f>
        <v>1</v>
      </c>
      <c r="Q1099" s="148" t="str">
        <f>IFERROR(__xludf.DUMMYFUNCTION("""COMPUTED_VALUE"""),"[""bag_other""]")</f>
        <v>["bag_other"]</v>
      </c>
      <c r="R1099" s="148" t="str">
        <f>IFERROR(__xludf.DUMMYFUNCTION("""COMPUTED_VALUE"""),"[""bag"",""214846""]")</f>
        <v>["bag","214846"]</v>
      </c>
      <c r="S1099" s="148" t="str">
        <f>IFERROR(__xludf.DUMMYFUNCTION("""COMPUTED_VALUE"""),"{""effect"":[{""typ"":""decorate_paint"",""id"":214846,""val"":86400000},{""typ"":""item"",""id"":11112940,""val"":1}]}")</f>
        <v>{"effect":[{"typ":"decorate_paint","id":214846,"val":86400000},{"typ":"item","id":11112940,"val":1}]}</v>
      </c>
      <c r="T1099" s="148">
        <f>IFERROR(__xludf.DUMMYFUNCTION("""COMPUTED_VALUE"""),-1.0)</f>
        <v>-1</v>
      </c>
      <c r="U1099" s="148">
        <f>IFERROR(__xludf.DUMMYFUNCTION("""COMPUTED_VALUE"""),0.0)</f>
        <v>0</v>
      </c>
      <c r="V1099" s="148" t="str">
        <f>IFERROR(__xludf.DUMMYFUNCTION("""COMPUTED_VALUE"""),"[]")</f>
        <v>[]</v>
      </c>
      <c r="W1099" s="148">
        <f>IFERROR(__xludf.DUMMYFUNCTION("""COMPUTED_VALUE"""),1.174E7)</f>
        <v>11740000</v>
      </c>
      <c r="X1099" s="148">
        <f>IFERROR(__xludf.DUMMYFUNCTION("""COMPUTED_VALUE"""),1.1684686E7)</f>
        <v>11684686</v>
      </c>
      <c r="Y1099" s="148">
        <f>IFERROR(__xludf.DUMMYFUNCTION("""COMPUTED_VALUE"""),0.0)</f>
        <v>0</v>
      </c>
      <c r="Z1099" s="148"/>
    </row>
    <row r="1100">
      <c r="A1100" s="148">
        <f>IFERROR(__xludf.DUMMYFUNCTION("""COMPUTED_VALUE"""),1.1112941E7)</f>
        <v>11112941</v>
      </c>
      <c r="B1100" s="148" t="str">
        <f>IFERROR(__xludf.DUMMYFUNCTION("""COMPUTED_VALUE"""),"2026科技节挖矿-装饰升级版本（投放用）")</f>
        <v>2026科技节挖矿-装饰升级版本（投放用）</v>
      </c>
      <c r="C1100" s="148"/>
      <c r="D1100" s="148" t="str">
        <f>IFERROR(__xludf.DUMMYFUNCTION("""COMPUTED_VALUE"""),"statue_decorate")</f>
        <v>statue_decorate</v>
      </c>
      <c r="E1100" s="148">
        <f>IFERROR(__xludf.DUMMYFUNCTION("""COMPUTED_VALUE"""),23.0)</f>
        <v>23</v>
      </c>
      <c r="F1100" s="148">
        <f>IFERROR(__xludf.DUMMYFUNCTION("""COMPUTED_VALUE"""),0.0)</f>
        <v>0</v>
      </c>
      <c r="G1100" s="148">
        <f>IFERROR(__xludf.DUMMYFUNCTION("""COMPUTED_VALUE"""),1.51104575E8)</f>
        <v>151104575</v>
      </c>
      <c r="H1100" s="148">
        <f>IFERROR(__xludf.DUMMYFUNCTION("""COMPUTED_VALUE"""),1.5112564E7)</f>
        <v>15112564</v>
      </c>
      <c r="I1100" s="148" t="str">
        <f>IFERROR(__xludf.DUMMYFUNCTION("""COMPUTED_VALUE"""),"{}")</f>
        <v>{}</v>
      </c>
      <c r="J1100" s="148" t="str">
        <f>IFERROR(__xludf.DUMMYFUNCTION("""COMPUTED_VALUE"""),"{""typ"":""lc"",""txt"":""LC_ITEM_2026tech_dec2_item_2""}")</f>
        <v>{"typ":"lc","txt":"LC_ITEM_2026tech_dec2_item_2"}</v>
      </c>
      <c r="K1100" s="148" t="str">
        <f>IFERROR(__xludf.DUMMYFUNCTION("""COMPUTED_VALUE"""),"{""typ"":""lc"",""txt"":""LC_ITEM_2026tech_dec2_item_2_desc""}")</f>
        <v>{"typ":"lc","txt":"LC_ITEM_2026tech_dec2_item_2_desc"}</v>
      </c>
      <c r="L1100" s="148" t="str">
        <f>IFERROR(__xludf.DUMMYFUNCTION("""COMPUTED_VALUE"""),"{}")</f>
        <v>{}</v>
      </c>
      <c r="M1100" s="148">
        <f>IFERROR(__xludf.DUMMYFUNCTION("""COMPUTED_VALUE"""),5000.0)</f>
        <v>5000</v>
      </c>
      <c r="N1100" s="148">
        <f>IFERROR(__xludf.DUMMYFUNCTION("""COMPUTED_VALUE"""),999.0)</f>
        <v>999</v>
      </c>
      <c r="O1100" s="148">
        <f>IFERROR(__xludf.DUMMYFUNCTION("""COMPUTED_VALUE"""),99999.0)</f>
        <v>99999</v>
      </c>
      <c r="P1100" s="148">
        <f>IFERROR(__xludf.DUMMYFUNCTION("""COMPUTED_VALUE"""),99999.0)</f>
        <v>99999</v>
      </c>
      <c r="Q1100" s="148" t="str">
        <f>IFERROR(__xludf.DUMMYFUNCTION("""COMPUTED_VALUE"""),"[]")</f>
        <v>[]</v>
      </c>
      <c r="R1100" s="148" t="str">
        <f>IFERROR(__xludf.DUMMYFUNCTION("""COMPUTED_VALUE"""),"[""bag""]")</f>
        <v>["bag"]</v>
      </c>
      <c r="S1100" s="148" t="str">
        <f>IFERROR(__xludf.DUMMYFUNCTION("""COMPUTED_VALUE"""),"{""effect"":[{""typ"":""holiday_statue"",""id"":21484501}]}")</f>
        <v>{"effect":[{"typ":"holiday_statue","id":21484501}]}</v>
      </c>
      <c r="T1100" s="148">
        <f>IFERROR(__xludf.DUMMYFUNCTION("""COMPUTED_VALUE"""),-1.0)</f>
        <v>-1</v>
      </c>
      <c r="U1100" s="148">
        <f>IFERROR(__xludf.DUMMYFUNCTION("""COMPUTED_VALUE"""),1.0)</f>
        <v>1</v>
      </c>
      <c r="V1100" s="148" t="str">
        <f>IFERROR(__xludf.DUMMYFUNCTION("""COMPUTED_VALUE"""),"[]")</f>
        <v>[]</v>
      </c>
      <c r="W1100" s="148">
        <f>IFERROR(__xludf.DUMMYFUNCTION("""COMPUTED_VALUE"""),1.174E7)</f>
        <v>11740000</v>
      </c>
      <c r="X1100" s="148">
        <f>IFERROR(__xludf.DUMMYFUNCTION("""COMPUTED_VALUE"""),0.0)</f>
        <v>0</v>
      </c>
      <c r="Y1100" s="148">
        <f>IFERROR(__xludf.DUMMYFUNCTION("""COMPUTED_VALUE"""),0.0)</f>
        <v>0</v>
      </c>
      <c r="Z1100" s="148"/>
    </row>
    <row r="1101">
      <c r="A1101" s="148">
        <f>IFERROR(__xludf.DUMMYFUNCTION("""COMPUTED_VALUE"""),1.1112942E7)</f>
        <v>11112942</v>
      </c>
      <c r="B1101" s="148" t="str">
        <f>IFERROR(__xludf.DUMMYFUNCTION("""COMPUTED_VALUE"""),"2026科技节挖矿-装饰升级道具")</f>
        <v>2026科技节挖矿-装饰升级道具</v>
      </c>
      <c r="C1101" s="148"/>
      <c r="D1101" s="148" t="str">
        <f>IFERROR(__xludf.DUMMYFUNCTION("""COMPUTED_VALUE"""),"event")</f>
        <v>event</v>
      </c>
      <c r="E1101" s="148">
        <f>IFERROR(__xludf.DUMMYFUNCTION("""COMPUTED_VALUE"""),0.0)</f>
        <v>0</v>
      </c>
      <c r="F1101" s="148">
        <f>IFERROR(__xludf.DUMMYFUNCTION("""COMPUTED_VALUE"""),405243.0)</f>
        <v>405243</v>
      </c>
      <c r="G1101" s="148">
        <f>IFERROR(__xludf.DUMMYFUNCTION("""COMPUTED_VALUE"""),1.51104575E8)</f>
        <v>151104575</v>
      </c>
      <c r="H1101" s="148">
        <f>IFERROR(__xludf.DUMMYFUNCTION("""COMPUTED_VALUE"""),1.5112564E7)</f>
        <v>15112564</v>
      </c>
      <c r="I1101" s="148" t="str">
        <f>IFERROR(__xludf.DUMMYFUNCTION("""COMPUTED_VALUE"""),"{}")</f>
        <v>{}</v>
      </c>
      <c r="J1101" s="148" t="str">
        <f>IFERROR(__xludf.DUMMYFUNCTION("""COMPUTED_VALUE"""),"{""typ"":""lc"",""txt"":""LC_ITEM_2026tech_dec2_item_2""}")</f>
        <v>{"typ":"lc","txt":"LC_ITEM_2026tech_dec2_item_2"}</v>
      </c>
      <c r="K1101" s="148" t="str">
        <f>IFERROR(__xludf.DUMMYFUNCTION("""COMPUTED_VALUE"""),"{""typ"":""lc"",""txt"":""LC_ITEM_2026tech_dec2_item_2_desc""}")</f>
        <v>{"typ":"lc","txt":"LC_ITEM_2026tech_dec2_item_2_desc"}</v>
      </c>
      <c r="L1101" s="148" t="str">
        <f>IFERROR(__xludf.DUMMYFUNCTION("""COMPUTED_VALUE"""),"{}")</f>
        <v>{}</v>
      </c>
      <c r="M1101" s="148">
        <f>IFERROR(__xludf.DUMMYFUNCTION("""COMPUTED_VALUE"""),1000.0)</f>
        <v>1000</v>
      </c>
      <c r="N1101" s="148">
        <f>IFERROR(__xludf.DUMMYFUNCTION("""COMPUTED_VALUE"""),9.99999999E8)</f>
        <v>999999999</v>
      </c>
      <c r="O1101" s="148">
        <f>IFERROR(__xludf.DUMMYFUNCTION("""COMPUTED_VALUE"""),9.99999999E8)</f>
        <v>999999999</v>
      </c>
      <c r="P1101" s="148">
        <f>IFERROR(__xludf.DUMMYFUNCTION("""COMPUTED_VALUE"""),9.99999999E8)</f>
        <v>999999999</v>
      </c>
      <c r="Q1101" s="148" t="str">
        <f>IFERROR(__xludf.DUMMYFUNCTION("""COMPUTED_VALUE"""),"[""bag_other""]")</f>
        <v>["bag_other"]</v>
      </c>
      <c r="R1101" s="148" t="str">
        <f>IFERROR(__xludf.DUMMYFUNCTION("""COMPUTED_VALUE"""),"[]")</f>
        <v>[]</v>
      </c>
      <c r="S1101" s="148" t="str">
        <f>IFERROR(__xludf.DUMMYFUNCTION("""COMPUTED_VALUE"""),"{}")</f>
        <v>{}</v>
      </c>
      <c r="T1101" s="148">
        <f>IFERROR(__xludf.DUMMYFUNCTION("""COMPUTED_VALUE"""),-1.0)</f>
        <v>-1</v>
      </c>
      <c r="U1101" s="148">
        <f>IFERROR(__xludf.DUMMYFUNCTION("""COMPUTED_VALUE"""),0.0)</f>
        <v>0</v>
      </c>
      <c r="V1101" s="148" t="str">
        <f>IFERROR(__xludf.DUMMYFUNCTION("""COMPUTED_VALUE"""),"[]")</f>
        <v>[]</v>
      </c>
      <c r="W1101" s="148">
        <f>IFERROR(__xludf.DUMMYFUNCTION("""COMPUTED_VALUE"""),1.174E7)</f>
        <v>11740000</v>
      </c>
      <c r="X1101" s="148">
        <f>IFERROR(__xludf.DUMMYFUNCTION("""COMPUTED_VALUE"""),0.0)</f>
        <v>0</v>
      </c>
      <c r="Y1101" s="148">
        <f>IFERROR(__xludf.DUMMYFUNCTION("""COMPUTED_VALUE"""),0.0)</f>
        <v>0</v>
      </c>
      <c r="Z1101" s="148"/>
    </row>
    <row r="1102">
      <c r="A1102" s="148">
        <f>IFERROR(__xludf.DUMMYFUNCTION("""COMPUTED_VALUE"""),1.1112943E7)</f>
        <v>11112943</v>
      </c>
      <c r="B1102" s="148" t="str">
        <f>IFERROR(__xludf.DUMMYFUNCTION("""COMPUTED_VALUE"""),"涂饰-2026科技节挖矿-涂饰道具-一天")</f>
        <v>涂饰-2026科技节挖矿-涂饰道具-一天</v>
      </c>
      <c r="C1102" s="148"/>
      <c r="D1102" s="148" t="str">
        <f>IFERROR(__xludf.DUMMYFUNCTION("""COMPUTED_VALUE"""),"decorate_paint")</f>
        <v>decorate_paint</v>
      </c>
      <c r="E1102" s="148">
        <f>IFERROR(__xludf.DUMMYFUNCTION("""COMPUTED_VALUE"""),0.0)</f>
        <v>0</v>
      </c>
      <c r="F1102" s="148">
        <f>IFERROR(__xludf.DUMMYFUNCTION("""COMPUTED_VALUE"""),0.0)</f>
        <v>0</v>
      </c>
      <c r="G1102" s="148">
        <f>IFERROR(__xludf.DUMMYFUNCTION("""COMPUTED_VALUE"""),1.51104775E8)</f>
        <v>151104775</v>
      </c>
      <c r="H1102" s="148">
        <f>IFERROR(__xludf.DUMMYFUNCTION("""COMPUTED_VALUE"""),1.5112564E7)</f>
        <v>15112564</v>
      </c>
      <c r="I1102" s="148" t="str">
        <f>IFERROR(__xludf.DUMMYFUNCTION("""COMPUTED_VALUE"""),"{}")</f>
        <v>{}</v>
      </c>
      <c r="J1102" s="148" t="str">
        <f>IFERROR(__xludf.DUMMYFUNCTION("""COMPUTED_VALUE"""),"{""typ"":""lc"",""txt"":""LC_ITEM_2026tech2_paint_decoration_paint_name""}")</f>
        <v>{"typ":"lc","txt":"LC_ITEM_2026tech2_paint_decoration_paint_name"}</v>
      </c>
      <c r="K1102" s="148" t="str">
        <f>IFERROR(__xludf.DUMMYFUNCTION("""COMPUTED_VALUE"""),"{""typ"":""lc"",""txt"":""LC_ITEM_2026tech2_paint_decoration_paint_desc""}")</f>
        <v>{"typ":"lc","txt":"LC_ITEM_2026tech2_paint_decoration_paint_desc"}</v>
      </c>
      <c r="L1102" s="148" t="str">
        <f>IFERROR(__xludf.DUMMYFUNCTION("""COMPUTED_VALUE"""),"{""typ"":""lc"",""txt"":""LC_TIP_use_success""}")</f>
        <v>{"typ":"lc","txt":"LC_TIP_use_success"}</v>
      </c>
      <c r="M1102" s="148">
        <f>IFERROR(__xludf.DUMMYFUNCTION("""COMPUTED_VALUE"""),1000.0)</f>
        <v>1000</v>
      </c>
      <c r="N1102" s="148">
        <f>IFERROR(__xludf.DUMMYFUNCTION("""COMPUTED_VALUE"""),9.99999999E8)</f>
        <v>999999999</v>
      </c>
      <c r="O1102" s="148">
        <f>IFERROR(__xludf.DUMMYFUNCTION("""COMPUTED_VALUE"""),9.99999999E8)</f>
        <v>999999999</v>
      </c>
      <c r="P1102" s="148">
        <f>IFERROR(__xludf.DUMMYFUNCTION("""COMPUTED_VALUE"""),1.0)</f>
        <v>1</v>
      </c>
      <c r="Q1102" s="148" t="str">
        <f>IFERROR(__xludf.DUMMYFUNCTION("""COMPUTED_VALUE"""),"[""bag_other""]")</f>
        <v>["bag_other"]</v>
      </c>
      <c r="R1102" s="148" t="str">
        <f>IFERROR(__xludf.DUMMYFUNCTION("""COMPUTED_VALUE"""),"[""bag"",""214845""]")</f>
        <v>["bag","214845"]</v>
      </c>
      <c r="S1102" s="148" t="str">
        <f>IFERROR(__xludf.DUMMYFUNCTION("""COMPUTED_VALUE"""),"{""effect"":[{""typ"":""decorate_paint"",""id"":214845,""val"":86400000},{""typ"":""item"",""id"":11112943,""val"":1}]}")</f>
        <v>{"effect":[{"typ":"decorate_paint","id":214845,"val":86400000},{"typ":"item","id":11112943,"val":1}]}</v>
      </c>
      <c r="T1102" s="148">
        <f>IFERROR(__xludf.DUMMYFUNCTION("""COMPUTED_VALUE"""),-1.0)</f>
        <v>-1</v>
      </c>
      <c r="U1102" s="148">
        <f>IFERROR(__xludf.DUMMYFUNCTION("""COMPUTED_VALUE"""),0.0)</f>
        <v>0</v>
      </c>
      <c r="V1102" s="148" t="str">
        <f>IFERROR(__xludf.DUMMYFUNCTION("""COMPUTED_VALUE"""),"[]")</f>
        <v>[]</v>
      </c>
      <c r="W1102" s="148">
        <f>IFERROR(__xludf.DUMMYFUNCTION("""COMPUTED_VALUE"""),1.174E7)</f>
        <v>11740000</v>
      </c>
      <c r="X1102" s="148">
        <f>IFERROR(__xludf.DUMMYFUNCTION("""COMPUTED_VALUE"""),1.1684682E7)</f>
        <v>11684682</v>
      </c>
      <c r="Y1102" s="148">
        <f>IFERROR(__xludf.DUMMYFUNCTION("""COMPUTED_VALUE"""),0.0)</f>
        <v>0</v>
      </c>
      <c r="Z1102" s="148"/>
    </row>
    <row r="1103">
      <c r="A1103" s="148">
        <f>IFERROR(__xludf.DUMMYFUNCTION("""COMPUTED_VALUE"""),1.1112944E7)</f>
        <v>11112944</v>
      </c>
      <c r="B1103" s="148" t="str">
        <f>IFERROR(__xludf.DUMMYFUNCTION("""COMPUTED_VALUE"""),"科技节-2025-涂饰道具-一天")</f>
        <v>科技节-2025-涂饰道具-一天</v>
      </c>
      <c r="C1103" s="148"/>
      <c r="D1103" s="148" t="str">
        <f>IFERROR(__xludf.DUMMYFUNCTION("""COMPUTED_VALUE"""),"decorate_paint")</f>
        <v>decorate_paint</v>
      </c>
      <c r="E1103" s="148">
        <f>IFERROR(__xludf.DUMMYFUNCTION("""COMPUTED_VALUE"""),0.0)</f>
        <v>0</v>
      </c>
      <c r="F1103" s="148">
        <f>IFERROR(__xludf.DUMMYFUNCTION("""COMPUTED_VALUE"""),0.0)</f>
        <v>0</v>
      </c>
      <c r="G1103" s="148">
        <f>IFERROR(__xludf.DUMMYFUNCTION("""COMPUTED_VALUE"""),1.51104773E8)</f>
        <v>151104773</v>
      </c>
      <c r="H1103" s="148">
        <f>IFERROR(__xludf.DUMMYFUNCTION("""COMPUTED_VALUE"""),1.5112564E7)</f>
        <v>15112564</v>
      </c>
      <c r="I1103" s="148" t="str">
        <f>IFERROR(__xludf.DUMMYFUNCTION("""COMPUTED_VALUE"""),"{}")</f>
        <v>{}</v>
      </c>
      <c r="J1103" s="148" t="str">
        <f>IFERROR(__xludf.DUMMYFUNCTION("""COMPUTED_VALUE"""),"{""typ"":""lc"",""txt"":""LC_ITEM_2025tech_paint_decoration_paint_name""}")</f>
        <v>{"typ":"lc","txt":"LC_ITEM_2025tech_paint_decoration_paint_name"}</v>
      </c>
      <c r="K1103" s="148" t="str">
        <f>IFERROR(__xludf.DUMMYFUNCTION("""COMPUTED_VALUE"""),"{""typ"":""lc"",""txt"":""LC_ITEM_2025tech_paint_decoration_paint_desc""}")</f>
        <v>{"typ":"lc","txt":"LC_ITEM_2025tech_paint_decoration_paint_desc"}</v>
      </c>
      <c r="L1103" s="148" t="str">
        <f>IFERROR(__xludf.DUMMYFUNCTION("""COMPUTED_VALUE"""),"{""typ"":""lc"",""txt"":""LC_TIP_use_success""}")</f>
        <v>{"typ":"lc","txt":"LC_TIP_use_success"}</v>
      </c>
      <c r="M1103" s="148">
        <f>IFERROR(__xludf.DUMMYFUNCTION("""COMPUTED_VALUE"""),1000.0)</f>
        <v>1000</v>
      </c>
      <c r="N1103" s="148">
        <f>IFERROR(__xludf.DUMMYFUNCTION("""COMPUTED_VALUE"""),9.99999999E8)</f>
        <v>999999999</v>
      </c>
      <c r="O1103" s="148">
        <f>IFERROR(__xludf.DUMMYFUNCTION("""COMPUTED_VALUE"""),9.99999999E8)</f>
        <v>999999999</v>
      </c>
      <c r="P1103" s="148">
        <f>IFERROR(__xludf.DUMMYFUNCTION("""COMPUTED_VALUE"""),1.0)</f>
        <v>1</v>
      </c>
      <c r="Q1103" s="148" t="str">
        <f>IFERROR(__xludf.DUMMYFUNCTION("""COMPUTED_VALUE"""),"[""bag_other""]")</f>
        <v>["bag_other"]</v>
      </c>
      <c r="R1103" s="148" t="str">
        <f>IFERROR(__xludf.DUMMYFUNCTION("""COMPUTED_VALUE"""),"[""bag"",""214811""]")</f>
        <v>["bag","214811"]</v>
      </c>
      <c r="S1103" s="148" t="str">
        <f>IFERROR(__xludf.DUMMYFUNCTION("""COMPUTED_VALUE"""),"{""effect"":[{""typ"":""decorate_paint"",""id"":214825,""val"":86400000},{""typ"":""item"",""id"":11112944,""val"":1}]}")</f>
        <v>{"effect":[{"typ":"decorate_paint","id":214825,"val":86400000},{"typ":"item","id":11112944,"val":1}]}</v>
      </c>
      <c r="T1103" s="148">
        <f>IFERROR(__xludf.DUMMYFUNCTION("""COMPUTED_VALUE"""),-1.0)</f>
        <v>-1</v>
      </c>
      <c r="U1103" s="148">
        <f>IFERROR(__xludf.DUMMYFUNCTION("""COMPUTED_VALUE"""),0.0)</f>
        <v>0</v>
      </c>
      <c r="V1103" s="148" t="str">
        <f>IFERROR(__xludf.DUMMYFUNCTION("""COMPUTED_VALUE"""),"[]")</f>
        <v>[]</v>
      </c>
      <c r="W1103" s="148">
        <f>IFERROR(__xludf.DUMMYFUNCTION("""COMPUTED_VALUE"""),1.174E7)</f>
        <v>11740000</v>
      </c>
      <c r="X1103" s="148">
        <f>IFERROR(__xludf.DUMMYFUNCTION("""COMPUTED_VALUE"""),1.1684733E7)</f>
        <v>11684733</v>
      </c>
      <c r="Y1103" s="148">
        <f>IFERROR(__xludf.DUMMYFUNCTION("""COMPUTED_VALUE"""),0.0)</f>
        <v>0</v>
      </c>
      <c r="Z1103" s="148"/>
    </row>
    <row r="1104">
      <c r="A1104" s="148">
        <f>IFERROR(__xludf.DUMMYFUNCTION("""COMPUTED_VALUE"""),1.1113001E7)</f>
        <v>11113001</v>
      </c>
      <c r="B1104" s="148" t="str">
        <f>IFERROR(__xludf.DUMMYFUNCTION("""COMPUTED_VALUE"""),"能量-100点")</f>
        <v>能量-100点</v>
      </c>
      <c r="C1104" s="148"/>
      <c r="D1104" s="148" t="str">
        <f>IFERROR(__xludf.DUMMYFUNCTION("""COMPUTED_VALUE"""),"item_asset")</f>
        <v>item_asset</v>
      </c>
      <c r="E1104" s="148">
        <f>IFERROR(__xludf.DUMMYFUNCTION("""COMPUTED_VALUE"""),17.0)</f>
        <v>17</v>
      </c>
      <c r="F1104" s="148">
        <f>IFERROR(__xludf.DUMMYFUNCTION("""COMPUTED_VALUE"""),407201.0)</f>
        <v>407201</v>
      </c>
      <c r="G1104" s="148">
        <f>IFERROR(__xludf.DUMMYFUNCTION("""COMPUTED_VALUE"""),1.5112023E7)</f>
        <v>15112023</v>
      </c>
      <c r="H1104" s="148">
        <f>IFERROR(__xludf.DUMMYFUNCTION("""COMPUTED_VALUE"""),1.5112563E7)</f>
        <v>15112563</v>
      </c>
      <c r="I1104" s="148" t="str">
        <f>IFERROR(__xludf.DUMMYFUNCTION("""COMPUTED_VALUE"""),"{}")</f>
        <v>{}</v>
      </c>
      <c r="J1104" s="148" t="str">
        <f>IFERROR(__xludf.DUMMYFUNCTION("""COMPUTED_VALUE"""),"{""typ"":""lc"",""txt"":""LC_ITEM_add_energy_value1_name""}")</f>
        <v>{"typ":"lc","txt":"LC_ITEM_add_energy_value1_name"}</v>
      </c>
      <c r="K1104" s="148" t="str">
        <f>IFERROR(__xludf.DUMMYFUNCTION("""COMPUTED_VALUE"""),"{""typ"":""lc"",""txt"":""LC_ITEM_add_energy_value1_desc"",""args"":[{""typ"":""int"",""val"":100}]}")</f>
        <v>{"typ":"lc","txt":"LC_ITEM_add_energy_value1_desc","args":[{"typ":"int","val":100}]}</v>
      </c>
      <c r="L1104" s="148" t="str">
        <f>IFERROR(__xludf.DUMMYFUNCTION("""COMPUTED_VALUE"""),"{""typ"":""lc"",""txt"":""LC_ITEM_add_energy_value_usedtip"",""args"":[{""typ"":""int"",""val"":100}]}")</f>
        <v>{"typ":"lc","txt":"LC_ITEM_add_energy_value_usedtip","args":[{"typ":"int","val":100}]}</v>
      </c>
      <c r="M1104" s="148">
        <f>IFERROR(__xludf.DUMMYFUNCTION("""COMPUTED_VALUE"""),66.0)</f>
        <v>66</v>
      </c>
      <c r="N1104" s="148">
        <f>IFERROR(__xludf.DUMMYFUNCTION("""COMPUTED_VALUE"""),99999.0)</f>
        <v>99999</v>
      </c>
      <c r="O1104" s="148">
        <f>IFERROR(__xludf.DUMMYFUNCTION("""COMPUTED_VALUE"""),99999.0)</f>
        <v>99999</v>
      </c>
      <c r="P1104" s="148">
        <f>IFERROR(__xludf.DUMMYFUNCTION("""COMPUTED_VALUE"""),9999.0)</f>
        <v>9999</v>
      </c>
      <c r="Q1104" s="148" t="str">
        <f>IFERROR(__xludf.DUMMYFUNCTION("""COMPUTED_VALUE"""),"[""bag_other"",""asset_energy""]")</f>
        <v>["bag_other","asset_energy"]</v>
      </c>
      <c r="R1104" s="148" t="str">
        <f>IFERROR(__xludf.DUMMYFUNCTION("""COMPUTED_VALUE"""),"[]")</f>
        <v>[]</v>
      </c>
      <c r="S1104" s="148" t="str">
        <f>IFERROR(__xludf.DUMMYFUNCTION("""COMPUTED_VALUE"""),"{""effect"":[{""typ"":""recover"",""id"":11171003,""val"":10000}]}")</f>
        <v>{"effect":[{"typ":"recover","id":11171003,"val":10000}]}</v>
      </c>
      <c r="T1104" s="148">
        <f>IFERROR(__xludf.DUMMYFUNCTION("""COMPUTED_VALUE"""),-1.0)</f>
        <v>-1</v>
      </c>
      <c r="U1104" s="148">
        <f>IFERROR(__xludf.DUMMYFUNCTION("""COMPUTED_VALUE"""),0.0)</f>
        <v>0</v>
      </c>
      <c r="V1104" s="148" t="str">
        <f>IFERROR(__xludf.DUMMYFUNCTION("""COMPUTED_VALUE"""),"[]")</f>
        <v>[]</v>
      </c>
      <c r="W1104" s="148">
        <f>IFERROR(__xludf.DUMMYFUNCTION("""COMPUTED_VALUE"""),1.174E7)</f>
        <v>11740000</v>
      </c>
      <c r="X1104" s="148">
        <f>IFERROR(__xludf.DUMMYFUNCTION("""COMPUTED_VALUE"""),0.0)</f>
        <v>0</v>
      </c>
      <c r="Y1104" s="148">
        <f>IFERROR(__xludf.DUMMYFUNCTION("""COMPUTED_VALUE"""),0.0)</f>
        <v>0</v>
      </c>
      <c r="Z1104" s="148"/>
    </row>
    <row r="1105">
      <c r="A1105" s="148">
        <f>IFERROR(__xludf.DUMMYFUNCTION("""COMPUTED_VALUE"""),1.1113002E7)</f>
        <v>11113002</v>
      </c>
      <c r="B1105" s="148" t="str">
        <f>IFERROR(__xludf.DUMMYFUNCTION("""COMPUTED_VALUE"""),"赛季奖励钥匙")</f>
        <v>赛季奖励钥匙</v>
      </c>
      <c r="C1105" s="148"/>
      <c r="D1105" s="148" t="str">
        <f>IFERROR(__xludf.DUMMYFUNCTION("""COMPUTED_VALUE"""),"item_asset")</f>
        <v>item_asset</v>
      </c>
      <c r="E1105" s="148">
        <f>IFERROR(__xludf.DUMMYFUNCTION("""COMPUTED_VALUE"""),27.0)</f>
        <v>27</v>
      </c>
      <c r="F1105" s="148">
        <f>IFERROR(__xludf.DUMMYFUNCTION("""COMPUTED_VALUE"""),404299.0)</f>
        <v>404299</v>
      </c>
      <c r="G1105" s="148">
        <f>IFERROR(__xludf.DUMMYFUNCTION("""COMPUTED_VALUE"""),1.511223E7)</f>
        <v>15112230</v>
      </c>
      <c r="H1105" s="148">
        <f>IFERROR(__xludf.DUMMYFUNCTION("""COMPUTED_VALUE"""),1.5112563E7)</f>
        <v>15112563</v>
      </c>
      <c r="I1105" s="148" t="str">
        <f>IFERROR(__xludf.DUMMYFUNCTION("""COMPUTED_VALUE"""),"{}")</f>
        <v>{}</v>
      </c>
      <c r="J1105" s="148" t="str">
        <f>IFERROR(__xludf.DUMMYFUNCTION("""COMPUTED_VALUE"""),"{""typ"":""lc"",""txt"":""LC_ITEM_season_reward_key_name""}")</f>
        <v>{"typ":"lc","txt":"LC_ITEM_season_reward_key_name"}</v>
      </c>
      <c r="K1105" s="148" t="str">
        <f>IFERROR(__xludf.DUMMYFUNCTION("""COMPUTED_VALUE"""),"{""typ"":""lc"",""txt"":""LC_ITEM_season_reward_key_desc""}")</f>
        <v>{"typ":"lc","txt":"LC_ITEM_season_reward_key_desc"}</v>
      </c>
      <c r="L1105" s="148" t="str">
        <f>IFERROR(__xludf.DUMMYFUNCTION("""COMPUTED_VALUE"""),"{}")</f>
        <v>{}</v>
      </c>
      <c r="M1105" s="148">
        <f>IFERROR(__xludf.DUMMYFUNCTION("""COMPUTED_VALUE"""),66.0)</f>
        <v>66</v>
      </c>
      <c r="N1105" s="148">
        <f>IFERROR(__xludf.DUMMYFUNCTION("""COMPUTED_VALUE"""),99999.0)</f>
        <v>99999</v>
      </c>
      <c r="O1105" s="148">
        <f>IFERROR(__xludf.DUMMYFUNCTION("""COMPUTED_VALUE"""),99999.0)</f>
        <v>99999</v>
      </c>
      <c r="P1105" s="148">
        <f>IFERROR(__xludf.DUMMYFUNCTION("""COMPUTED_VALUE"""),9999.0)</f>
        <v>9999</v>
      </c>
      <c r="Q1105" s="148" t="str">
        <f>IFERROR(__xludf.DUMMYFUNCTION("""COMPUTED_VALUE"""),"[""bag_other""]")</f>
        <v>["bag_other"]</v>
      </c>
      <c r="R1105" s="148" t="str">
        <f>IFERROR(__xludf.DUMMYFUNCTION("""COMPUTED_VALUE"""),"[""bag""]")</f>
        <v>["bag"]</v>
      </c>
      <c r="S1105" s="148" t="str">
        <f>IFERROR(__xludf.DUMMYFUNCTION("""COMPUTED_VALUE"""),"{""effect"":[{""typ"":""rss"",""id"":11141001,""val"":60000},{""typ"":""rss"",""id"":11141003,""val"":60000}]}")</f>
        <v>{"effect":[{"typ":"rss","id":11141001,"val":60000},{"typ":"rss","id":11141003,"val":60000}]}</v>
      </c>
      <c r="T1105" s="148">
        <f>IFERROR(__xludf.DUMMYFUNCTION("""COMPUTED_VALUE"""),-1.0)</f>
        <v>-1</v>
      </c>
      <c r="U1105" s="148">
        <f>IFERROR(__xludf.DUMMYFUNCTION("""COMPUTED_VALUE"""),0.0)</f>
        <v>0</v>
      </c>
      <c r="V1105" s="148" t="str">
        <f>IFERROR(__xludf.DUMMYFUNCTION("""COMPUTED_VALUE"""),"[]")</f>
        <v>[]</v>
      </c>
      <c r="W1105" s="148">
        <f>IFERROR(__xludf.DUMMYFUNCTION("""COMPUTED_VALUE"""),1.174E7)</f>
        <v>11740000</v>
      </c>
      <c r="X1105" s="148">
        <f>IFERROR(__xludf.DUMMYFUNCTION("""COMPUTED_VALUE"""),0.0)</f>
        <v>0</v>
      </c>
      <c r="Y1105" s="148">
        <f>IFERROR(__xludf.DUMMYFUNCTION("""COMPUTED_VALUE"""),0.0)</f>
        <v>0</v>
      </c>
      <c r="Z1105" s="148"/>
    </row>
    <row r="1106">
      <c r="A1106" s="148">
        <f>IFERROR(__xludf.DUMMYFUNCTION("""COMPUTED_VALUE"""),1.1113003E7)</f>
        <v>11113003</v>
      </c>
      <c r="B1106" s="148" t="str">
        <f>IFERROR(__xludf.DUMMYFUNCTION("""COMPUTED_VALUE"""),"活动道具-星际遗物（旧）")</f>
        <v>活动道具-星际遗物（旧）</v>
      </c>
      <c r="C1106" s="148"/>
      <c r="D1106" s="148" t="str">
        <f>IFERROR(__xludf.DUMMYFUNCTION("""COMPUTED_VALUE"""),"item_asset")</f>
        <v>item_asset</v>
      </c>
      <c r="E1106" s="148">
        <f>IFERROR(__xludf.DUMMYFUNCTION("""COMPUTED_VALUE"""),17.0)</f>
        <v>17</v>
      </c>
      <c r="F1106" s="148">
        <f>IFERROR(__xludf.DUMMYFUNCTION("""COMPUTED_VALUE"""),405302.0)</f>
        <v>405302</v>
      </c>
      <c r="G1106" s="148">
        <f>IFERROR(__xludf.DUMMYFUNCTION("""COMPUTED_VALUE"""),1.5112493E7)</f>
        <v>15112493</v>
      </c>
      <c r="H1106" s="148">
        <f>IFERROR(__xludf.DUMMYFUNCTION("""COMPUTED_VALUE"""),1.5112562E7)</f>
        <v>15112562</v>
      </c>
      <c r="I1106" s="148" t="str">
        <f>IFERROR(__xludf.DUMMYFUNCTION("""COMPUTED_VALUE"""),"{}")</f>
        <v>{}</v>
      </c>
      <c r="J1106" s="148" t="str">
        <f>IFERROR(__xludf.DUMMYFUNCTION("""COMPUTED_VALUE"""),"{""typ"":""lc"",""txt"":""LC_ITEM_starrelics_name""}")</f>
        <v>{"typ":"lc","txt":"LC_ITEM_starrelics_name"}</v>
      </c>
      <c r="K1106" s="148" t="str">
        <f>IFERROR(__xludf.DUMMYFUNCTION("""COMPUTED_VALUE"""),"{""typ"":""lc"",""txt"":""LC_ITEM_starrelics_desc""}")</f>
        <v>{"typ":"lc","txt":"LC_ITEM_starrelics_desc"}</v>
      </c>
      <c r="L1106" s="148" t="str">
        <f>IFERROR(__xludf.DUMMYFUNCTION("""COMPUTED_VALUE"""),"{}")</f>
        <v>{}</v>
      </c>
      <c r="M1106" s="148">
        <f>IFERROR(__xludf.DUMMYFUNCTION("""COMPUTED_VALUE"""),66.0)</f>
        <v>66</v>
      </c>
      <c r="N1106" s="148">
        <f>IFERROR(__xludf.DUMMYFUNCTION("""COMPUTED_VALUE"""),99999.0)</f>
        <v>99999</v>
      </c>
      <c r="O1106" s="148">
        <f>IFERROR(__xludf.DUMMYFUNCTION("""COMPUTED_VALUE"""),99999.0)</f>
        <v>99999</v>
      </c>
      <c r="P1106" s="148">
        <f>IFERROR(__xludf.DUMMYFUNCTION("""COMPUTED_VALUE"""),9999.0)</f>
        <v>9999</v>
      </c>
      <c r="Q1106" s="148" t="str">
        <f>IFERROR(__xludf.DUMMYFUNCTION("""COMPUTED_VALUE"""),"[""bag_other""]")</f>
        <v>["bag_other"]</v>
      </c>
      <c r="R1106" s="148" t="str">
        <f>IFERROR(__xludf.DUMMYFUNCTION("""COMPUTED_VALUE"""),"[]")</f>
        <v>[]</v>
      </c>
      <c r="S1106" s="148" t="str">
        <f>IFERROR(__xludf.DUMMYFUNCTION("""COMPUTED_VALUE"""),"{}")</f>
        <v>{}</v>
      </c>
      <c r="T1106" s="148">
        <f>IFERROR(__xludf.DUMMYFUNCTION("""COMPUTED_VALUE"""),-1.0)</f>
        <v>-1</v>
      </c>
      <c r="U1106" s="148">
        <f>IFERROR(__xludf.DUMMYFUNCTION("""COMPUTED_VALUE"""),0.0)</f>
        <v>0</v>
      </c>
      <c r="V1106" s="148" t="str">
        <f>IFERROR(__xludf.DUMMYFUNCTION("""COMPUTED_VALUE"""),"[]")</f>
        <v>[]</v>
      </c>
      <c r="W1106" s="148">
        <f>IFERROR(__xludf.DUMMYFUNCTION("""COMPUTED_VALUE"""),1.174E7)</f>
        <v>11740000</v>
      </c>
      <c r="X1106" s="148">
        <f>IFERROR(__xludf.DUMMYFUNCTION("""COMPUTED_VALUE"""),0.0)</f>
        <v>0</v>
      </c>
      <c r="Y1106" s="148">
        <f>IFERROR(__xludf.DUMMYFUNCTION("""COMPUTED_VALUE"""),0.0)</f>
        <v>0</v>
      </c>
      <c r="Z1106" s="148"/>
    </row>
    <row r="1107">
      <c r="A1107" s="148">
        <f>IFERROR(__xludf.DUMMYFUNCTION("""COMPUTED_VALUE"""),1.1113004E7)</f>
        <v>11113004</v>
      </c>
      <c r="B1107" s="148" t="str">
        <f>IFERROR(__xludf.DUMMYFUNCTION("""COMPUTED_VALUE"""),"机甲bp-金刚版-高级通行证")</f>
        <v>机甲bp-金刚版-高级通行证</v>
      </c>
      <c r="C1107" s="148"/>
      <c r="D1107" s="148" t="str">
        <f>IFERROR(__xludf.DUMMYFUNCTION("""COMPUTED_VALUE"""),"battle_pass_card")</f>
        <v>battle_pass_card</v>
      </c>
      <c r="E1107" s="148">
        <f>IFERROR(__xludf.DUMMYFUNCTION("""COMPUTED_VALUE"""),0.0)</f>
        <v>0</v>
      </c>
      <c r="F1107" s="148">
        <f>IFERROR(__xludf.DUMMYFUNCTION("""COMPUTED_VALUE"""),0.0)</f>
        <v>0</v>
      </c>
      <c r="G1107" s="148">
        <f>IFERROR(__xludf.DUMMYFUNCTION("""COMPUTED_VALUE"""),1.5119217E7)</f>
        <v>15119217</v>
      </c>
      <c r="H1107" s="148">
        <f>IFERROR(__xludf.DUMMYFUNCTION("""COMPUTED_VALUE"""),1.5112564E7)</f>
        <v>15112564</v>
      </c>
      <c r="I1107" s="148" t="str">
        <f>IFERROR(__xludf.DUMMYFUNCTION("""COMPUTED_VALUE"""),"{}")</f>
        <v>{}</v>
      </c>
      <c r="J1107" s="148" t="str">
        <f>IFERROR(__xludf.DUMMYFUNCTION("""COMPUTED_VALUE"""),"{""typ"":""lc"",""txt"":""LC_IAP_mecha_bp_title1""}")</f>
        <v>{"typ":"lc","txt":"LC_IAP_mecha_bp_title1"}</v>
      </c>
      <c r="K1107" s="148" t="str">
        <f>IFERROR(__xludf.DUMMYFUNCTION("""COMPUTED_VALUE"""),"{}")</f>
        <v>{}</v>
      </c>
      <c r="L1107" s="148" t="str">
        <f>IFERROR(__xludf.DUMMYFUNCTION("""COMPUTED_VALUE"""),"{}")</f>
        <v>{}</v>
      </c>
      <c r="M1107" s="148">
        <f>IFERROR(__xludf.DUMMYFUNCTION("""COMPUTED_VALUE"""),10.0)</f>
        <v>10</v>
      </c>
      <c r="N1107" s="148">
        <f>IFERROR(__xludf.DUMMYFUNCTION("""COMPUTED_VALUE"""),999999.0)</f>
        <v>999999</v>
      </c>
      <c r="O1107" s="148">
        <f>IFERROR(__xludf.DUMMYFUNCTION("""COMPUTED_VALUE"""),99999.0)</f>
        <v>99999</v>
      </c>
      <c r="P1107" s="148">
        <f>IFERROR(__xludf.DUMMYFUNCTION("""COMPUTED_VALUE"""),9999.0)</f>
        <v>9999</v>
      </c>
      <c r="Q1107" s="148" t="str">
        <f>IFERROR(__xludf.DUMMYFUNCTION("""COMPUTED_VALUE"""),"[]")</f>
        <v>[]</v>
      </c>
      <c r="R1107" s="148" t="str">
        <f>IFERROR(__xludf.DUMMYFUNCTION("""COMPUTED_VALUE"""),"[]")</f>
        <v>[]</v>
      </c>
      <c r="S1107" s="148" t="str">
        <f>IFERROR(__xludf.DUMMYFUNCTION("""COMPUTED_VALUE"""),"{}")</f>
        <v>{}</v>
      </c>
      <c r="T1107" s="148">
        <f>IFERROR(__xludf.DUMMYFUNCTION("""COMPUTED_VALUE"""),-1.0)</f>
        <v>-1</v>
      </c>
      <c r="U1107" s="148">
        <f>IFERROR(__xludf.DUMMYFUNCTION("""COMPUTED_VALUE"""),1.0)</f>
        <v>1</v>
      </c>
      <c r="V1107" s="148" t="str">
        <f>IFERROR(__xludf.DUMMYFUNCTION("""COMPUTED_VALUE"""),"[]")</f>
        <v>[]</v>
      </c>
      <c r="W1107" s="148">
        <f>IFERROR(__xludf.DUMMYFUNCTION("""COMPUTED_VALUE"""),1.174E7)</f>
        <v>11740000</v>
      </c>
      <c r="X1107" s="148">
        <f>IFERROR(__xludf.DUMMYFUNCTION("""COMPUTED_VALUE"""),0.0)</f>
        <v>0</v>
      </c>
      <c r="Y1107" s="148">
        <f>IFERROR(__xludf.DUMMYFUNCTION("""COMPUTED_VALUE"""),0.0)</f>
        <v>0</v>
      </c>
      <c r="Z1107" s="148"/>
    </row>
    <row r="1108">
      <c r="A1108" s="148">
        <f>IFERROR(__xludf.DUMMYFUNCTION("""COMPUTED_VALUE"""),1.1113005E7)</f>
        <v>11113005</v>
      </c>
      <c r="B1108" s="148" t="str">
        <f>IFERROR(__xludf.DUMMYFUNCTION("""COMPUTED_VALUE"""),"机甲bp-金刚版-升级道具")</f>
        <v>机甲bp-金刚版-升级道具</v>
      </c>
      <c r="C1108" s="148"/>
      <c r="D1108" s="148" t="str">
        <f>IFERROR(__xludf.DUMMYFUNCTION("""COMPUTED_VALUE"""),"battle_pass_exp")</f>
        <v>battle_pass_exp</v>
      </c>
      <c r="E1108" s="148">
        <f>IFERROR(__xludf.DUMMYFUNCTION("""COMPUTED_VALUE"""),0.0)</f>
        <v>0</v>
      </c>
      <c r="F1108" s="148">
        <f>IFERROR(__xludf.DUMMYFUNCTION("""COMPUTED_VALUE"""),405218.0)</f>
        <v>405218</v>
      </c>
      <c r="G1108" s="148">
        <f>IFERROR(__xludf.DUMMYFUNCTION("""COMPUTED_VALUE"""),1.5119218E7)</f>
        <v>15119218</v>
      </c>
      <c r="H1108" s="148">
        <f>IFERROR(__xludf.DUMMYFUNCTION("""COMPUTED_VALUE"""),1.5112563E7)</f>
        <v>15112563</v>
      </c>
      <c r="I1108" s="148" t="str">
        <f>IFERROR(__xludf.DUMMYFUNCTION("""COMPUTED_VALUE"""),"{}")</f>
        <v>{}</v>
      </c>
      <c r="J1108" s="148" t="str">
        <f>IFERROR(__xludf.DUMMYFUNCTION("""COMPUTED_VALUE"""),"{""typ"":""lc"",""txt"":""LC_ITEM_mecha_bp_item_name""}")</f>
        <v>{"typ":"lc","txt":"LC_ITEM_mecha_bp_item_name"}</v>
      </c>
      <c r="K1108" s="148" t="str">
        <f>IFERROR(__xludf.DUMMYFUNCTION("""COMPUTED_VALUE"""),"{""typ"":""lc"",""txt"":""LC_ITEM_mecha_bp_item_desc""}")</f>
        <v>{"typ":"lc","txt":"LC_ITEM_mecha_bp_item_desc"}</v>
      </c>
      <c r="L1108" s="148" t="str">
        <f>IFERROR(__xludf.DUMMYFUNCTION("""COMPUTED_VALUE"""),"{}")</f>
        <v>{}</v>
      </c>
      <c r="M1108" s="148">
        <f>IFERROR(__xludf.DUMMYFUNCTION("""COMPUTED_VALUE"""),6.0)</f>
        <v>6</v>
      </c>
      <c r="N1108" s="148">
        <f>IFERROR(__xludf.DUMMYFUNCTION("""COMPUTED_VALUE"""),999999.0)</f>
        <v>999999</v>
      </c>
      <c r="O1108" s="148">
        <f>IFERROR(__xludf.DUMMYFUNCTION("""COMPUTED_VALUE"""),99999.0)</f>
        <v>99999</v>
      </c>
      <c r="P1108" s="148">
        <f>IFERROR(__xludf.DUMMYFUNCTION("""COMPUTED_VALUE"""),99999.0)</f>
        <v>99999</v>
      </c>
      <c r="Q1108" s="148" t="str">
        <f>IFERROR(__xludf.DUMMYFUNCTION("""COMPUTED_VALUE"""),"[""bag_other""]")</f>
        <v>["bag_other"]</v>
      </c>
      <c r="R1108" s="148" t="str">
        <f>IFERROR(__xludf.DUMMYFUNCTION("""COMPUTED_VALUE"""),"[]")</f>
        <v>[]</v>
      </c>
      <c r="S1108" s="148" t="str">
        <f>IFERROR(__xludf.DUMMYFUNCTION("""COMPUTED_VALUE"""),"{}")</f>
        <v>{}</v>
      </c>
      <c r="T1108" s="148">
        <f>IFERROR(__xludf.DUMMYFUNCTION("""COMPUTED_VALUE"""),-1.0)</f>
        <v>-1</v>
      </c>
      <c r="U1108" s="148">
        <f>IFERROR(__xludf.DUMMYFUNCTION("""COMPUTED_VALUE"""),1.0)</f>
        <v>1</v>
      </c>
      <c r="V1108" s="148" t="str">
        <f>IFERROR(__xludf.DUMMYFUNCTION("""COMPUTED_VALUE"""),"[]")</f>
        <v>[]</v>
      </c>
      <c r="W1108" s="148">
        <f>IFERROR(__xludf.DUMMYFUNCTION("""COMPUTED_VALUE"""),1.174E7)</f>
        <v>11740000</v>
      </c>
      <c r="X1108" s="148">
        <f>IFERROR(__xludf.DUMMYFUNCTION("""COMPUTED_VALUE"""),0.0)</f>
        <v>0</v>
      </c>
      <c r="Y1108" s="148">
        <f>IFERROR(__xludf.DUMMYFUNCTION("""COMPUTED_VALUE"""),0.0)</f>
        <v>0</v>
      </c>
      <c r="Z1108" s="148"/>
    </row>
    <row r="1109">
      <c r="A1109" s="148">
        <f>IFERROR(__xludf.DUMMYFUNCTION("""COMPUTED_VALUE"""),1.1113006E7)</f>
        <v>11113006</v>
      </c>
      <c r="B1109" s="148" t="str">
        <f>IFERROR(__xludf.DUMMYFUNCTION("""COMPUTED_VALUE"""),"橙色升星石bp-高级通行证")</f>
        <v>橙色升星石bp-高级通行证</v>
      </c>
      <c r="C1109" s="148"/>
      <c r="D1109" s="148" t="str">
        <f>IFERROR(__xludf.DUMMYFUNCTION("""COMPUTED_VALUE"""),"battle_pass_card")</f>
        <v>battle_pass_card</v>
      </c>
      <c r="E1109" s="148">
        <f>IFERROR(__xludf.DUMMYFUNCTION("""COMPUTED_VALUE"""),0.0)</f>
        <v>0</v>
      </c>
      <c r="F1109" s="148">
        <f>IFERROR(__xludf.DUMMYFUNCTION("""COMPUTED_VALUE"""),0.0)</f>
        <v>0</v>
      </c>
      <c r="G1109" s="148">
        <f>IFERROR(__xludf.DUMMYFUNCTION("""COMPUTED_VALUE"""),1.5119096E7)</f>
        <v>15119096</v>
      </c>
      <c r="H1109" s="148">
        <f>IFERROR(__xludf.DUMMYFUNCTION("""COMPUTED_VALUE"""),1.5112564E7)</f>
        <v>15112564</v>
      </c>
      <c r="I1109" s="148" t="str">
        <f>IFERROR(__xludf.DUMMYFUNCTION("""COMPUTED_VALUE"""),"{}")</f>
        <v>{}</v>
      </c>
      <c r="J1109" s="148" t="str">
        <f>IFERROR(__xludf.DUMMYFUNCTION("""COMPUTED_VALUE"""),"{""typ"":""lc"",""txt"":""LC_EVENT_collection_bp_iap""}")</f>
        <v>{"typ":"lc","txt":"LC_EVENT_collection_bp_iap"}</v>
      </c>
      <c r="K1109" s="148" t="str">
        <f>IFERROR(__xludf.DUMMYFUNCTION("""COMPUTED_VALUE"""),"{}")</f>
        <v>{}</v>
      </c>
      <c r="L1109" s="148" t="str">
        <f>IFERROR(__xludf.DUMMYFUNCTION("""COMPUTED_VALUE"""),"{}")</f>
        <v>{}</v>
      </c>
      <c r="M1109" s="148">
        <f>IFERROR(__xludf.DUMMYFUNCTION("""COMPUTED_VALUE"""),10.0)</f>
        <v>10</v>
      </c>
      <c r="N1109" s="148">
        <f>IFERROR(__xludf.DUMMYFUNCTION("""COMPUTED_VALUE"""),999999.0)</f>
        <v>999999</v>
      </c>
      <c r="O1109" s="148">
        <f>IFERROR(__xludf.DUMMYFUNCTION("""COMPUTED_VALUE"""),99999.0)</f>
        <v>99999</v>
      </c>
      <c r="P1109" s="148">
        <f>IFERROR(__xludf.DUMMYFUNCTION("""COMPUTED_VALUE"""),9999.0)</f>
        <v>9999</v>
      </c>
      <c r="Q1109" s="148" t="str">
        <f>IFERROR(__xludf.DUMMYFUNCTION("""COMPUTED_VALUE"""),"[]")</f>
        <v>[]</v>
      </c>
      <c r="R1109" s="148" t="str">
        <f>IFERROR(__xludf.DUMMYFUNCTION("""COMPUTED_VALUE"""),"[]")</f>
        <v>[]</v>
      </c>
      <c r="S1109" s="148" t="str">
        <f>IFERROR(__xludf.DUMMYFUNCTION("""COMPUTED_VALUE"""),"{}")</f>
        <v>{}</v>
      </c>
      <c r="T1109" s="148">
        <f>IFERROR(__xludf.DUMMYFUNCTION("""COMPUTED_VALUE"""),-1.0)</f>
        <v>-1</v>
      </c>
      <c r="U1109" s="148">
        <f>IFERROR(__xludf.DUMMYFUNCTION("""COMPUTED_VALUE"""),1.0)</f>
        <v>1</v>
      </c>
      <c r="V1109" s="148" t="str">
        <f>IFERROR(__xludf.DUMMYFUNCTION("""COMPUTED_VALUE"""),"[]")</f>
        <v>[]</v>
      </c>
      <c r="W1109" s="148">
        <f>IFERROR(__xludf.DUMMYFUNCTION("""COMPUTED_VALUE"""),1.174E7)</f>
        <v>11740000</v>
      </c>
      <c r="X1109" s="148">
        <f>IFERROR(__xludf.DUMMYFUNCTION("""COMPUTED_VALUE"""),0.0)</f>
        <v>0</v>
      </c>
      <c r="Y1109" s="148">
        <f>IFERROR(__xludf.DUMMYFUNCTION("""COMPUTED_VALUE"""),0.0)</f>
        <v>0</v>
      </c>
      <c r="Z1109" s="148"/>
    </row>
    <row r="1110">
      <c r="A1110" s="148">
        <f>IFERROR(__xludf.DUMMYFUNCTION("""COMPUTED_VALUE"""),1.1113007E7)</f>
        <v>11113007</v>
      </c>
      <c r="B1110" s="148" t="str">
        <f>IFERROR(__xludf.DUMMYFUNCTION("""COMPUTED_VALUE"""),"橙色升星石bp-bp经验道具")</f>
        <v>橙色升星石bp-bp经验道具</v>
      </c>
      <c r="C1110" s="148"/>
      <c r="D1110" s="148" t="str">
        <f>IFERROR(__xludf.DUMMYFUNCTION("""COMPUTED_VALUE"""),"battle_pass_exp")</f>
        <v>battle_pass_exp</v>
      </c>
      <c r="E1110" s="148">
        <f>IFERROR(__xludf.DUMMYFUNCTION("""COMPUTED_VALUE"""),0.0)</f>
        <v>0</v>
      </c>
      <c r="F1110" s="148">
        <f>IFERROR(__xludf.DUMMYFUNCTION("""COMPUTED_VALUE"""),405218.0)</f>
        <v>405218</v>
      </c>
      <c r="G1110" s="148">
        <f>IFERROR(__xludf.DUMMYFUNCTION("""COMPUTED_VALUE"""),1.5119095E7)</f>
        <v>15119095</v>
      </c>
      <c r="H1110" s="148">
        <f>IFERROR(__xludf.DUMMYFUNCTION("""COMPUTED_VALUE"""),1.5112563E7)</f>
        <v>15112563</v>
      </c>
      <c r="I1110" s="148" t="str">
        <f>IFERROR(__xludf.DUMMYFUNCTION("""COMPUTED_VALUE"""),"{}")</f>
        <v>{}</v>
      </c>
      <c r="J1110" s="148" t="str">
        <f>IFERROR(__xludf.DUMMYFUNCTION("""COMPUTED_VALUE"""),"{""typ"":""lc"",""txt"":""LC_ITEM_collection_bp_item_name""}")</f>
        <v>{"typ":"lc","txt":"LC_ITEM_collection_bp_item_name"}</v>
      </c>
      <c r="K1110" s="148" t="str">
        <f>IFERROR(__xludf.DUMMYFUNCTION("""COMPUTED_VALUE"""),"{""typ"":""lc"",""txt"":""LC_ITEM_collection_bp_item_desc""}")</f>
        <v>{"typ":"lc","txt":"LC_ITEM_collection_bp_item_desc"}</v>
      </c>
      <c r="L1110" s="148" t="str">
        <f>IFERROR(__xludf.DUMMYFUNCTION("""COMPUTED_VALUE"""),"{}")</f>
        <v>{}</v>
      </c>
      <c r="M1110" s="148">
        <f>IFERROR(__xludf.DUMMYFUNCTION("""COMPUTED_VALUE"""),2.0)</f>
        <v>2</v>
      </c>
      <c r="N1110" s="148">
        <f>IFERROR(__xludf.DUMMYFUNCTION("""COMPUTED_VALUE"""),999999.0)</f>
        <v>999999</v>
      </c>
      <c r="O1110" s="148">
        <f>IFERROR(__xludf.DUMMYFUNCTION("""COMPUTED_VALUE"""),99999.0)</f>
        <v>99999</v>
      </c>
      <c r="P1110" s="148">
        <f>IFERROR(__xludf.DUMMYFUNCTION("""COMPUTED_VALUE"""),99999.0)</f>
        <v>99999</v>
      </c>
      <c r="Q1110" s="148" t="str">
        <f>IFERROR(__xludf.DUMMYFUNCTION("""COMPUTED_VALUE"""),"[""bag_other""]")</f>
        <v>["bag_other"]</v>
      </c>
      <c r="R1110" s="148" t="str">
        <f>IFERROR(__xludf.DUMMYFUNCTION("""COMPUTED_VALUE"""),"[]")</f>
        <v>[]</v>
      </c>
      <c r="S1110" s="148" t="str">
        <f>IFERROR(__xludf.DUMMYFUNCTION("""COMPUTED_VALUE"""),"{}")</f>
        <v>{}</v>
      </c>
      <c r="T1110" s="148">
        <f>IFERROR(__xludf.DUMMYFUNCTION("""COMPUTED_VALUE"""),-1.0)</f>
        <v>-1</v>
      </c>
      <c r="U1110" s="148">
        <f>IFERROR(__xludf.DUMMYFUNCTION("""COMPUTED_VALUE"""),1.0)</f>
        <v>1</v>
      </c>
      <c r="V1110" s="148" t="str">
        <f>IFERROR(__xludf.DUMMYFUNCTION("""COMPUTED_VALUE"""),"[]")</f>
        <v>[]</v>
      </c>
      <c r="W1110" s="148">
        <f>IFERROR(__xludf.DUMMYFUNCTION("""COMPUTED_VALUE"""),1.174E7)</f>
        <v>11740000</v>
      </c>
      <c r="X1110" s="148">
        <f>IFERROR(__xludf.DUMMYFUNCTION("""COMPUTED_VALUE"""),0.0)</f>
        <v>0</v>
      </c>
      <c r="Y1110" s="148">
        <f>IFERROR(__xludf.DUMMYFUNCTION("""COMPUTED_VALUE"""),0.0)</f>
        <v>0</v>
      </c>
      <c r="Z1110" s="148"/>
    </row>
    <row r="1111">
      <c r="A1111" s="148">
        <f>IFERROR(__xludf.DUMMYFUNCTION("""COMPUTED_VALUE"""),1.1113008E7)</f>
        <v>11113008</v>
      </c>
      <c r="B1111" s="148" t="str">
        <f>IFERROR(__xludf.DUMMYFUNCTION("""COMPUTED_VALUE"""),"红色升星石bp-高级通行证")</f>
        <v>红色升星石bp-高级通行证</v>
      </c>
      <c r="C1111" s="148"/>
      <c r="D1111" s="148" t="str">
        <f>IFERROR(__xludf.DUMMYFUNCTION("""COMPUTED_VALUE"""),"battle_pass_card")</f>
        <v>battle_pass_card</v>
      </c>
      <c r="E1111" s="148">
        <f>IFERROR(__xludf.DUMMYFUNCTION("""COMPUTED_VALUE"""),0.0)</f>
        <v>0</v>
      </c>
      <c r="F1111" s="148">
        <f>IFERROR(__xludf.DUMMYFUNCTION("""COMPUTED_VALUE"""),0.0)</f>
        <v>0</v>
      </c>
      <c r="G1111" s="148">
        <f>IFERROR(__xludf.DUMMYFUNCTION("""COMPUTED_VALUE"""),1.5119097E7)</f>
        <v>15119097</v>
      </c>
      <c r="H1111" s="148">
        <f>IFERROR(__xludf.DUMMYFUNCTION("""COMPUTED_VALUE"""),1.5112564E7)</f>
        <v>15112564</v>
      </c>
      <c r="I1111" s="148" t="str">
        <f>IFERROR(__xludf.DUMMYFUNCTION("""COMPUTED_VALUE"""),"{}")</f>
        <v>{}</v>
      </c>
      <c r="J1111" s="148" t="str">
        <f>IFERROR(__xludf.DUMMYFUNCTION("""COMPUTED_VALUE"""),"{""typ"":""lc"",""txt"":""LC_EVENT_collection_bp_iap""}")</f>
        <v>{"typ":"lc","txt":"LC_EVENT_collection_bp_iap"}</v>
      </c>
      <c r="K1111" s="148" t="str">
        <f>IFERROR(__xludf.DUMMYFUNCTION("""COMPUTED_VALUE"""),"{}")</f>
        <v>{}</v>
      </c>
      <c r="L1111" s="148" t="str">
        <f>IFERROR(__xludf.DUMMYFUNCTION("""COMPUTED_VALUE"""),"{}")</f>
        <v>{}</v>
      </c>
      <c r="M1111" s="148">
        <f>IFERROR(__xludf.DUMMYFUNCTION("""COMPUTED_VALUE"""),10.0)</f>
        <v>10</v>
      </c>
      <c r="N1111" s="148">
        <f>IFERROR(__xludf.DUMMYFUNCTION("""COMPUTED_VALUE"""),999999.0)</f>
        <v>999999</v>
      </c>
      <c r="O1111" s="148">
        <f>IFERROR(__xludf.DUMMYFUNCTION("""COMPUTED_VALUE"""),99999.0)</f>
        <v>99999</v>
      </c>
      <c r="P1111" s="148">
        <f>IFERROR(__xludf.DUMMYFUNCTION("""COMPUTED_VALUE"""),9999.0)</f>
        <v>9999</v>
      </c>
      <c r="Q1111" s="148" t="str">
        <f>IFERROR(__xludf.DUMMYFUNCTION("""COMPUTED_VALUE"""),"[]")</f>
        <v>[]</v>
      </c>
      <c r="R1111" s="148" t="str">
        <f>IFERROR(__xludf.DUMMYFUNCTION("""COMPUTED_VALUE"""),"[]")</f>
        <v>[]</v>
      </c>
      <c r="S1111" s="148" t="str">
        <f>IFERROR(__xludf.DUMMYFUNCTION("""COMPUTED_VALUE"""),"{}")</f>
        <v>{}</v>
      </c>
      <c r="T1111" s="148">
        <f>IFERROR(__xludf.DUMMYFUNCTION("""COMPUTED_VALUE"""),-1.0)</f>
        <v>-1</v>
      </c>
      <c r="U1111" s="148">
        <f>IFERROR(__xludf.DUMMYFUNCTION("""COMPUTED_VALUE"""),1.0)</f>
        <v>1</v>
      </c>
      <c r="V1111" s="148" t="str">
        <f>IFERROR(__xludf.DUMMYFUNCTION("""COMPUTED_VALUE"""),"[]")</f>
        <v>[]</v>
      </c>
      <c r="W1111" s="148">
        <f>IFERROR(__xludf.DUMMYFUNCTION("""COMPUTED_VALUE"""),1.174E7)</f>
        <v>11740000</v>
      </c>
      <c r="X1111" s="148">
        <f>IFERROR(__xludf.DUMMYFUNCTION("""COMPUTED_VALUE"""),0.0)</f>
        <v>0</v>
      </c>
      <c r="Y1111" s="148">
        <f>IFERROR(__xludf.DUMMYFUNCTION("""COMPUTED_VALUE"""),0.0)</f>
        <v>0</v>
      </c>
      <c r="Z1111" s="148"/>
    </row>
    <row r="1112">
      <c r="A1112" s="148">
        <f>IFERROR(__xludf.DUMMYFUNCTION("""COMPUTED_VALUE"""),1.1113009E7)</f>
        <v>11113009</v>
      </c>
      <c r="B1112" s="148" t="str">
        <f>IFERROR(__xludf.DUMMYFUNCTION("""COMPUTED_VALUE"""),"红色升星石bp-bp经验道具")</f>
        <v>红色升星石bp-bp经验道具</v>
      </c>
      <c r="C1112" s="148"/>
      <c r="D1112" s="148" t="str">
        <f>IFERROR(__xludf.DUMMYFUNCTION("""COMPUTED_VALUE"""),"battle_pass_exp")</f>
        <v>battle_pass_exp</v>
      </c>
      <c r="E1112" s="148">
        <f>IFERROR(__xludf.DUMMYFUNCTION("""COMPUTED_VALUE"""),0.0)</f>
        <v>0</v>
      </c>
      <c r="F1112" s="148">
        <f>IFERROR(__xludf.DUMMYFUNCTION("""COMPUTED_VALUE"""),405218.0)</f>
        <v>405218</v>
      </c>
      <c r="G1112" s="148">
        <f>IFERROR(__xludf.DUMMYFUNCTION("""COMPUTED_VALUE"""),1.5119095E7)</f>
        <v>15119095</v>
      </c>
      <c r="H1112" s="148">
        <f>IFERROR(__xludf.DUMMYFUNCTION("""COMPUTED_VALUE"""),1.5112563E7)</f>
        <v>15112563</v>
      </c>
      <c r="I1112" s="148" t="str">
        <f>IFERROR(__xludf.DUMMYFUNCTION("""COMPUTED_VALUE"""),"{}")</f>
        <v>{}</v>
      </c>
      <c r="J1112" s="148" t="str">
        <f>IFERROR(__xludf.DUMMYFUNCTION("""COMPUTED_VALUE"""),"{""typ"":""lc"",""txt"":""LC_ITEM_collection_bp_item_name""}")</f>
        <v>{"typ":"lc","txt":"LC_ITEM_collection_bp_item_name"}</v>
      </c>
      <c r="K1112" s="148" t="str">
        <f>IFERROR(__xludf.DUMMYFUNCTION("""COMPUTED_VALUE"""),"{""typ"":""lc"",""txt"":""LC_ITEM_collection_bp_item_desc""}")</f>
        <v>{"typ":"lc","txt":"LC_ITEM_collection_bp_item_desc"}</v>
      </c>
      <c r="L1112" s="148" t="str">
        <f>IFERROR(__xludf.DUMMYFUNCTION("""COMPUTED_VALUE"""),"{}")</f>
        <v>{}</v>
      </c>
      <c r="M1112" s="148">
        <f>IFERROR(__xludf.DUMMYFUNCTION("""COMPUTED_VALUE"""),2.0)</f>
        <v>2</v>
      </c>
      <c r="N1112" s="148">
        <f>IFERROR(__xludf.DUMMYFUNCTION("""COMPUTED_VALUE"""),999999.0)</f>
        <v>999999</v>
      </c>
      <c r="O1112" s="148">
        <f>IFERROR(__xludf.DUMMYFUNCTION("""COMPUTED_VALUE"""),99999.0)</f>
        <v>99999</v>
      </c>
      <c r="P1112" s="148">
        <f>IFERROR(__xludf.DUMMYFUNCTION("""COMPUTED_VALUE"""),99999.0)</f>
        <v>99999</v>
      </c>
      <c r="Q1112" s="148" t="str">
        <f>IFERROR(__xludf.DUMMYFUNCTION("""COMPUTED_VALUE"""),"[""bag_other""]")</f>
        <v>["bag_other"]</v>
      </c>
      <c r="R1112" s="148" t="str">
        <f>IFERROR(__xludf.DUMMYFUNCTION("""COMPUTED_VALUE"""),"[]")</f>
        <v>[]</v>
      </c>
      <c r="S1112" s="148" t="str">
        <f>IFERROR(__xludf.DUMMYFUNCTION("""COMPUTED_VALUE"""),"{}")</f>
        <v>{}</v>
      </c>
      <c r="T1112" s="148">
        <f>IFERROR(__xludf.DUMMYFUNCTION("""COMPUTED_VALUE"""),-1.0)</f>
        <v>-1</v>
      </c>
      <c r="U1112" s="148">
        <f>IFERROR(__xludf.DUMMYFUNCTION("""COMPUTED_VALUE"""),1.0)</f>
        <v>1</v>
      </c>
      <c r="V1112" s="148" t="str">
        <f>IFERROR(__xludf.DUMMYFUNCTION("""COMPUTED_VALUE"""),"[]")</f>
        <v>[]</v>
      </c>
      <c r="W1112" s="148">
        <f>IFERROR(__xludf.DUMMYFUNCTION("""COMPUTED_VALUE"""),1.174E7)</f>
        <v>11740000</v>
      </c>
      <c r="X1112" s="148">
        <f>IFERROR(__xludf.DUMMYFUNCTION("""COMPUTED_VALUE"""),0.0)</f>
        <v>0</v>
      </c>
      <c r="Y1112" s="148">
        <f>IFERROR(__xludf.DUMMYFUNCTION("""COMPUTED_VALUE"""),0.0)</f>
        <v>0</v>
      </c>
      <c r="Z1112" s="148"/>
    </row>
    <row r="1113">
      <c r="A1113" s="148">
        <f>IFERROR(__xludf.DUMMYFUNCTION("""COMPUTED_VALUE"""),1.111301E7)</f>
        <v>11113010</v>
      </c>
      <c r="B1113" s="148" t="str">
        <f>IFERROR(__xludf.DUMMYFUNCTION("""COMPUTED_VALUE"""),"战装纳米bp-高级通行证")</f>
        <v>战装纳米bp-高级通行证</v>
      </c>
      <c r="C1113" s="148"/>
      <c r="D1113" s="148" t="str">
        <f>IFERROR(__xludf.DUMMYFUNCTION("""COMPUTED_VALUE"""),"battle_pass_card")</f>
        <v>battle_pass_card</v>
      </c>
      <c r="E1113" s="148">
        <f>IFERROR(__xludf.DUMMYFUNCTION("""COMPUTED_VALUE"""),0.0)</f>
        <v>0</v>
      </c>
      <c r="F1113" s="148">
        <f>IFERROR(__xludf.DUMMYFUNCTION("""COMPUTED_VALUE"""),0.0)</f>
        <v>0</v>
      </c>
      <c r="G1113" s="148">
        <f>IFERROR(__xludf.DUMMYFUNCTION("""COMPUTED_VALUE"""),1.51100361E8)</f>
        <v>151100361</v>
      </c>
      <c r="H1113" s="148">
        <f>IFERROR(__xludf.DUMMYFUNCTION("""COMPUTED_VALUE"""),1.5112564E7)</f>
        <v>15112564</v>
      </c>
      <c r="I1113" s="148" t="str">
        <f>IFERROR(__xludf.DUMMYFUNCTION("""COMPUTED_VALUE"""),"{}")</f>
        <v>{}</v>
      </c>
      <c r="J1113" s="148" t="str">
        <f>IFERROR(__xludf.DUMMYFUNCTION("""COMPUTED_VALUE"""),"{""typ"":""lc"",""txt"":""LC_EVENT_equipment_bp_pay""}")</f>
        <v>{"typ":"lc","txt":"LC_EVENT_equipment_bp_pay"}</v>
      </c>
      <c r="K1113" s="148" t="str">
        <f>IFERROR(__xludf.DUMMYFUNCTION("""COMPUTED_VALUE"""),"{""typ"":""lc"",""txt"":""LC_EVENT_equipment_bp_unlock""}")</f>
        <v>{"typ":"lc","txt":"LC_EVENT_equipment_bp_unlock"}</v>
      </c>
      <c r="L1113" s="148" t="str">
        <f>IFERROR(__xludf.DUMMYFUNCTION("""COMPUTED_VALUE"""),"{}")</f>
        <v>{}</v>
      </c>
      <c r="M1113" s="148">
        <f>IFERROR(__xludf.DUMMYFUNCTION("""COMPUTED_VALUE"""),10.0)</f>
        <v>10</v>
      </c>
      <c r="N1113" s="148">
        <f>IFERROR(__xludf.DUMMYFUNCTION("""COMPUTED_VALUE"""),999999.0)</f>
        <v>999999</v>
      </c>
      <c r="O1113" s="148">
        <f>IFERROR(__xludf.DUMMYFUNCTION("""COMPUTED_VALUE"""),99999.0)</f>
        <v>99999</v>
      </c>
      <c r="P1113" s="148">
        <f>IFERROR(__xludf.DUMMYFUNCTION("""COMPUTED_VALUE"""),9999.0)</f>
        <v>9999</v>
      </c>
      <c r="Q1113" s="148" t="str">
        <f>IFERROR(__xludf.DUMMYFUNCTION("""COMPUTED_VALUE"""),"[]")</f>
        <v>[]</v>
      </c>
      <c r="R1113" s="148" t="str">
        <f>IFERROR(__xludf.DUMMYFUNCTION("""COMPUTED_VALUE"""),"[]")</f>
        <v>[]</v>
      </c>
      <c r="S1113" s="148" t="str">
        <f>IFERROR(__xludf.DUMMYFUNCTION("""COMPUTED_VALUE"""),"{}")</f>
        <v>{}</v>
      </c>
      <c r="T1113" s="148">
        <f>IFERROR(__xludf.DUMMYFUNCTION("""COMPUTED_VALUE"""),-1.0)</f>
        <v>-1</v>
      </c>
      <c r="U1113" s="148">
        <f>IFERROR(__xludf.DUMMYFUNCTION("""COMPUTED_VALUE"""),1.0)</f>
        <v>1</v>
      </c>
      <c r="V1113" s="148" t="str">
        <f>IFERROR(__xludf.DUMMYFUNCTION("""COMPUTED_VALUE"""),"[]")</f>
        <v>[]</v>
      </c>
      <c r="W1113" s="148">
        <f>IFERROR(__xludf.DUMMYFUNCTION("""COMPUTED_VALUE"""),1.174E7)</f>
        <v>11740000</v>
      </c>
      <c r="X1113" s="148">
        <f>IFERROR(__xludf.DUMMYFUNCTION("""COMPUTED_VALUE"""),0.0)</f>
        <v>0</v>
      </c>
      <c r="Y1113" s="148">
        <f>IFERROR(__xludf.DUMMYFUNCTION("""COMPUTED_VALUE"""),0.0)</f>
        <v>0</v>
      </c>
      <c r="Z1113" s="148"/>
    </row>
    <row r="1114">
      <c r="A1114" s="148">
        <f>IFERROR(__xludf.DUMMYFUNCTION("""COMPUTED_VALUE"""),1.1113011E7)</f>
        <v>11113011</v>
      </c>
      <c r="B1114" s="148" t="str">
        <f>IFERROR(__xludf.DUMMYFUNCTION("""COMPUTED_VALUE"""),"战装纳米bp-bp经验道具")</f>
        <v>战装纳米bp-bp经验道具</v>
      </c>
      <c r="C1114" s="148"/>
      <c r="D1114" s="148" t="str">
        <f>IFERROR(__xludf.DUMMYFUNCTION("""COMPUTED_VALUE"""),"battle_pass_exp")</f>
        <v>battle_pass_exp</v>
      </c>
      <c r="E1114" s="148">
        <f>IFERROR(__xludf.DUMMYFUNCTION("""COMPUTED_VALUE"""),0.0)</f>
        <v>0</v>
      </c>
      <c r="F1114" s="148">
        <f>IFERROR(__xludf.DUMMYFUNCTION("""COMPUTED_VALUE"""),405218.0)</f>
        <v>405218</v>
      </c>
      <c r="G1114" s="148">
        <f>IFERROR(__xludf.DUMMYFUNCTION("""COMPUTED_VALUE"""),1.51100363E8)</f>
        <v>151100363</v>
      </c>
      <c r="H1114" s="148">
        <f>IFERROR(__xludf.DUMMYFUNCTION("""COMPUTED_VALUE"""),1.5112563E7)</f>
        <v>15112563</v>
      </c>
      <c r="I1114" s="148" t="str">
        <f>IFERROR(__xludf.DUMMYFUNCTION("""COMPUTED_VALUE"""),"{}")</f>
        <v>{}</v>
      </c>
      <c r="J1114" s="148" t="str">
        <f>IFERROR(__xludf.DUMMYFUNCTION("""COMPUTED_VALUE"""),"{""typ"":""lc"",""txt"":""LC_ITEM_equipment_bp_exp_name""}")</f>
        <v>{"typ":"lc","txt":"LC_ITEM_equipment_bp_exp_name"}</v>
      </c>
      <c r="K1114" s="148" t="str">
        <f>IFERROR(__xludf.DUMMYFUNCTION("""COMPUTED_VALUE"""),"{""typ"":""lc"",""txt"":""LC_ITEM_equipment_bp_exp_desc""}")</f>
        <v>{"typ":"lc","txt":"LC_ITEM_equipment_bp_exp_desc"}</v>
      </c>
      <c r="L1114" s="148" t="str">
        <f>IFERROR(__xludf.DUMMYFUNCTION("""COMPUTED_VALUE"""),"{}")</f>
        <v>{}</v>
      </c>
      <c r="M1114" s="148">
        <f>IFERROR(__xludf.DUMMYFUNCTION("""COMPUTED_VALUE"""),2.0)</f>
        <v>2</v>
      </c>
      <c r="N1114" s="148">
        <f>IFERROR(__xludf.DUMMYFUNCTION("""COMPUTED_VALUE"""),999999.0)</f>
        <v>999999</v>
      </c>
      <c r="O1114" s="148">
        <f>IFERROR(__xludf.DUMMYFUNCTION("""COMPUTED_VALUE"""),99999.0)</f>
        <v>99999</v>
      </c>
      <c r="P1114" s="148">
        <f>IFERROR(__xludf.DUMMYFUNCTION("""COMPUTED_VALUE"""),99999.0)</f>
        <v>99999</v>
      </c>
      <c r="Q1114" s="148" t="str">
        <f>IFERROR(__xludf.DUMMYFUNCTION("""COMPUTED_VALUE"""),"[""bag_other""]")</f>
        <v>["bag_other"]</v>
      </c>
      <c r="R1114" s="148" t="str">
        <f>IFERROR(__xludf.DUMMYFUNCTION("""COMPUTED_VALUE"""),"[]")</f>
        <v>[]</v>
      </c>
      <c r="S1114" s="148" t="str">
        <f>IFERROR(__xludf.DUMMYFUNCTION("""COMPUTED_VALUE"""),"{}")</f>
        <v>{}</v>
      </c>
      <c r="T1114" s="148">
        <f>IFERROR(__xludf.DUMMYFUNCTION("""COMPUTED_VALUE"""),-1.0)</f>
        <v>-1</v>
      </c>
      <c r="U1114" s="148">
        <f>IFERROR(__xludf.DUMMYFUNCTION("""COMPUTED_VALUE"""),1.0)</f>
        <v>1</v>
      </c>
      <c r="V1114" s="148" t="str">
        <f>IFERROR(__xludf.DUMMYFUNCTION("""COMPUTED_VALUE"""),"[]")</f>
        <v>[]</v>
      </c>
      <c r="W1114" s="148">
        <f>IFERROR(__xludf.DUMMYFUNCTION("""COMPUTED_VALUE"""),1.174E7)</f>
        <v>11740000</v>
      </c>
      <c r="X1114" s="148">
        <f>IFERROR(__xludf.DUMMYFUNCTION("""COMPUTED_VALUE"""),0.0)</f>
        <v>0</v>
      </c>
      <c r="Y1114" s="148">
        <f>IFERROR(__xludf.DUMMYFUNCTION("""COMPUTED_VALUE"""),0.0)</f>
        <v>0</v>
      </c>
      <c r="Z1114" s="148"/>
    </row>
    <row r="1115">
      <c r="A1115" s="148">
        <f>IFERROR(__xludf.DUMMYFUNCTION("""COMPUTED_VALUE"""),1.1113012E7)</f>
        <v>11113012</v>
      </c>
      <c r="B1115" s="148" t="str">
        <f>IFERROR(__xludf.DUMMYFUNCTION("""COMPUTED_VALUE"""),"砍价bp-豪华通行证")</f>
        <v>砍价bp-豪华通行证</v>
      </c>
      <c r="C1115" s="148"/>
      <c r="D1115" s="148" t="str">
        <f>IFERROR(__xludf.DUMMYFUNCTION("""COMPUTED_VALUE"""),"battle_pass_card")</f>
        <v>battle_pass_card</v>
      </c>
      <c r="E1115" s="148">
        <f>IFERROR(__xludf.DUMMYFUNCTION("""COMPUTED_VALUE"""),0.0)</f>
        <v>0</v>
      </c>
      <c r="F1115" s="148">
        <f>IFERROR(__xludf.DUMMYFUNCTION("""COMPUTED_VALUE"""),0.0)</f>
        <v>0</v>
      </c>
      <c r="G1115" s="148">
        <f>IFERROR(__xludf.DUMMYFUNCTION("""COMPUTED_VALUE"""),1.5119217E7)</f>
        <v>15119217</v>
      </c>
      <c r="H1115" s="148">
        <f>IFERROR(__xludf.DUMMYFUNCTION("""COMPUTED_VALUE"""),1.5112564E7)</f>
        <v>15112564</v>
      </c>
      <c r="I1115" s="148" t="str">
        <f>IFERROR(__xludf.DUMMYFUNCTION("""COMPUTED_VALUE"""),"{}")</f>
        <v>{}</v>
      </c>
      <c r="J1115" s="148" t="str">
        <f>IFERROR(__xludf.DUMMYFUNCTION("""COMPUTED_VALUE"""),"{""typ"":""lc"",""txt"":""LC_EVENT_Bargain_bp_pay1_reward""}")</f>
        <v>{"typ":"lc","txt":"LC_EVENT_Bargain_bp_pay1_reward"}</v>
      </c>
      <c r="K1115" s="148" t="str">
        <f>IFERROR(__xludf.DUMMYFUNCTION("""COMPUTED_VALUE"""),"{}")</f>
        <v>{}</v>
      </c>
      <c r="L1115" s="148" t="str">
        <f>IFERROR(__xludf.DUMMYFUNCTION("""COMPUTED_VALUE"""),"{}")</f>
        <v>{}</v>
      </c>
      <c r="M1115" s="148">
        <f>IFERROR(__xludf.DUMMYFUNCTION("""COMPUTED_VALUE"""),10.0)</f>
        <v>10</v>
      </c>
      <c r="N1115" s="148">
        <f>IFERROR(__xludf.DUMMYFUNCTION("""COMPUTED_VALUE"""),999999.0)</f>
        <v>999999</v>
      </c>
      <c r="O1115" s="148">
        <f>IFERROR(__xludf.DUMMYFUNCTION("""COMPUTED_VALUE"""),99999.0)</f>
        <v>99999</v>
      </c>
      <c r="P1115" s="148">
        <f>IFERROR(__xludf.DUMMYFUNCTION("""COMPUTED_VALUE"""),9999.0)</f>
        <v>9999</v>
      </c>
      <c r="Q1115" s="148" t="str">
        <f>IFERROR(__xludf.DUMMYFUNCTION("""COMPUTED_VALUE"""),"[]")</f>
        <v>[]</v>
      </c>
      <c r="R1115" s="148" t="str">
        <f>IFERROR(__xludf.DUMMYFUNCTION("""COMPUTED_VALUE"""),"[]")</f>
        <v>[]</v>
      </c>
      <c r="S1115" s="148" t="str">
        <f>IFERROR(__xludf.DUMMYFUNCTION("""COMPUTED_VALUE"""),"{}")</f>
        <v>{}</v>
      </c>
      <c r="T1115" s="148">
        <f>IFERROR(__xludf.DUMMYFUNCTION("""COMPUTED_VALUE"""),-1.0)</f>
        <v>-1</v>
      </c>
      <c r="U1115" s="148">
        <f>IFERROR(__xludf.DUMMYFUNCTION("""COMPUTED_VALUE"""),1.0)</f>
        <v>1</v>
      </c>
      <c r="V1115" s="148" t="str">
        <f>IFERROR(__xludf.DUMMYFUNCTION("""COMPUTED_VALUE"""),"[]")</f>
        <v>[]</v>
      </c>
      <c r="W1115" s="148">
        <f>IFERROR(__xludf.DUMMYFUNCTION("""COMPUTED_VALUE"""),1.174E7)</f>
        <v>11740000</v>
      </c>
      <c r="X1115" s="148">
        <f>IFERROR(__xludf.DUMMYFUNCTION("""COMPUTED_VALUE"""),0.0)</f>
        <v>0</v>
      </c>
      <c r="Y1115" s="148">
        <f>IFERROR(__xludf.DUMMYFUNCTION("""COMPUTED_VALUE"""),0.0)</f>
        <v>0</v>
      </c>
      <c r="Z1115" s="148"/>
    </row>
    <row r="1116">
      <c r="A1116" s="148">
        <f>IFERROR(__xludf.DUMMYFUNCTION("""COMPUTED_VALUE"""),1.1113013E7)</f>
        <v>11113013</v>
      </c>
      <c r="B1116" s="148" t="str">
        <f>IFERROR(__xludf.DUMMYFUNCTION("""COMPUTED_VALUE"""),"砍价bp-典藏通行证")</f>
        <v>砍价bp-典藏通行证</v>
      </c>
      <c r="C1116" s="148"/>
      <c r="D1116" s="148" t="str">
        <f>IFERROR(__xludf.DUMMYFUNCTION("""COMPUTED_VALUE"""),"battle_pass_card")</f>
        <v>battle_pass_card</v>
      </c>
      <c r="E1116" s="148">
        <f>IFERROR(__xludf.DUMMYFUNCTION("""COMPUTED_VALUE"""),0.0)</f>
        <v>0</v>
      </c>
      <c r="F1116" s="148">
        <f>IFERROR(__xludf.DUMMYFUNCTION("""COMPUTED_VALUE"""),0.0)</f>
        <v>0</v>
      </c>
      <c r="G1116" s="148">
        <f>IFERROR(__xludf.DUMMYFUNCTION("""COMPUTED_VALUE"""),1.5119217E7)</f>
        <v>15119217</v>
      </c>
      <c r="H1116" s="148">
        <f>IFERROR(__xludf.DUMMYFUNCTION("""COMPUTED_VALUE"""),1.5112564E7)</f>
        <v>15112564</v>
      </c>
      <c r="I1116" s="148" t="str">
        <f>IFERROR(__xludf.DUMMYFUNCTION("""COMPUTED_VALUE"""),"{}")</f>
        <v>{}</v>
      </c>
      <c r="J1116" s="148" t="str">
        <f>IFERROR(__xludf.DUMMYFUNCTION("""COMPUTED_VALUE"""),"{""typ"":""lc"",""txt"":""LC_EVENT_Bargain_bp_pay2_reward""}")</f>
        <v>{"typ":"lc","txt":"LC_EVENT_Bargain_bp_pay2_reward"}</v>
      </c>
      <c r="K1116" s="148" t="str">
        <f>IFERROR(__xludf.DUMMYFUNCTION("""COMPUTED_VALUE"""),"{}")</f>
        <v>{}</v>
      </c>
      <c r="L1116" s="148" t="str">
        <f>IFERROR(__xludf.DUMMYFUNCTION("""COMPUTED_VALUE"""),"{}")</f>
        <v>{}</v>
      </c>
      <c r="M1116" s="148">
        <f>IFERROR(__xludf.DUMMYFUNCTION("""COMPUTED_VALUE"""),10.0)</f>
        <v>10</v>
      </c>
      <c r="N1116" s="148">
        <f>IFERROR(__xludf.DUMMYFUNCTION("""COMPUTED_VALUE"""),999999.0)</f>
        <v>999999</v>
      </c>
      <c r="O1116" s="148">
        <f>IFERROR(__xludf.DUMMYFUNCTION("""COMPUTED_VALUE"""),99999.0)</f>
        <v>99999</v>
      </c>
      <c r="P1116" s="148">
        <f>IFERROR(__xludf.DUMMYFUNCTION("""COMPUTED_VALUE"""),9999.0)</f>
        <v>9999</v>
      </c>
      <c r="Q1116" s="148" t="str">
        <f>IFERROR(__xludf.DUMMYFUNCTION("""COMPUTED_VALUE"""),"[]")</f>
        <v>[]</v>
      </c>
      <c r="R1116" s="148" t="str">
        <f>IFERROR(__xludf.DUMMYFUNCTION("""COMPUTED_VALUE"""),"[]")</f>
        <v>[]</v>
      </c>
      <c r="S1116" s="148" t="str">
        <f>IFERROR(__xludf.DUMMYFUNCTION("""COMPUTED_VALUE"""),"{}")</f>
        <v>{}</v>
      </c>
      <c r="T1116" s="148">
        <f>IFERROR(__xludf.DUMMYFUNCTION("""COMPUTED_VALUE"""),-1.0)</f>
        <v>-1</v>
      </c>
      <c r="U1116" s="148">
        <f>IFERROR(__xludf.DUMMYFUNCTION("""COMPUTED_VALUE"""),1.0)</f>
        <v>1</v>
      </c>
      <c r="V1116" s="148" t="str">
        <f>IFERROR(__xludf.DUMMYFUNCTION("""COMPUTED_VALUE"""),"[]")</f>
        <v>[]</v>
      </c>
      <c r="W1116" s="148">
        <f>IFERROR(__xludf.DUMMYFUNCTION("""COMPUTED_VALUE"""),1.174E7)</f>
        <v>11740000</v>
      </c>
      <c r="X1116" s="148">
        <f>IFERROR(__xludf.DUMMYFUNCTION("""COMPUTED_VALUE"""),0.0)</f>
        <v>0</v>
      </c>
      <c r="Y1116" s="148">
        <f>IFERROR(__xludf.DUMMYFUNCTION("""COMPUTED_VALUE"""),0.0)</f>
        <v>0</v>
      </c>
      <c r="Z1116" s="148"/>
    </row>
    <row r="1117">
      <c r="A1117" s="148">
        <f>IFERROR(__xludf.DUMMYFUNCTION("""COMPUTED_VALUE"""),1.1113014E7)</f>
        <v>11113014</v>
      </c>
      <c r="B1117" s="148" t="str">
        <f>IFERROR(__xludf.DUMMYFUNCTION("""COMPUTED_VALUE"""),"砍价bp-升级道具1")</f>
        <v>砍价bp-升级道具1</v>
      </c>
      <c r="C1117" s="148"/>
      <c r="D1117" s="148" t="str">
        <f>IFERROR(__xludf.DUMMYFUNCTION("""COMPUTED_VALUE"""),"battle_pass_exp")</f>
        <v>battle_pass_exp</v>
      </c>
      <c r="E1117" s="148">
        <f>IFERROR(__xludf.DUMMYFUNCTION("""COMPUTED_VALUE"""),0.0)</f>
        <v>0</v>
      </c>
      <c r="F1117" s="148">
        <f>IFERROR(__xludf.DUMMYFUNCTION("""COMPUTED_VALUE"""),405218.0)</f>
        <v>405218</v>
      </c>
      <c r="G1117" s="148">
        <f>IFERROR(__xludf.DUMMYFUNCTION("""COMPUTED_VALUE"""),1.51100894E8)</f>
        <v>151100894</v>
      </c>
      <c r="H1117" s="148">
        <f>IFERROR(__xludf.DUMMYFUNCTION("""COMPUTED_VALUE"""),1.5112563E7)</f>
        <v>15112563</v>
      </c>
      <c r="I1117" s="148" t="str">
        <f>IFERROR(__xludf.DUMMYFUNCTION("""COMPUTED_VALUE"""),"{}")</f>
        <v>{}</v>
      </c>
      <c r="J1117" s="148" t="str">
        <f>IFERROR(__xludf.DUMMYFUNCTION("""COMPUTED_VALUE"""),"{""typ"":""lc"",""txt"":""LC_EVENT_Bargain_bp_expitem_name""}")</f>
        <v>{"typ":"lc","txt":"LC_EVENT_Bargain_bp_expitem_name"}</v>
      </c>
      <c r="K1117" s="148" t="str">
        <f>IFERROR(__xludf.DUMMYFUNCTION("""COMPUTED_VALUE"""),"{""typ"":""lc"",""txt"":""LC_EVENT_Bargain_bp_expitem_desc""}")</f>
        <v>{"typ":"lc","txt":"LC_EVENT_Bargain_bp_expitem_desc"}</v>
      </c>
      <c r="L1117" s="148" t="str">
        <f>IFERROR(__xludf.DUMMYFUNCTION("""COMPUTED_VALUE"""),"{}")</f>
        <v>{}</v>
      </c>
      <c r="M1117" s="148">
        <f>IFERROR(__xludf.DUMMYFUNCTION("""COMPUTED_VALUE"""),6.0)</f>
        <v>6</v>
      </c>
      <c r="N1117" s="148">
        <f>IFERROR(__xludf.DUMMYFUNCTION("""COMPUTED_VALUE"""),999999.0)</f>
        <v>999999</v>
      </c>
      <c r="O1117" s="148">
        <f>IFERROR(__xludf.DUMMYFUNCTION("""COMPUTED_VALUE"""),99999.0)</f>
        <v>99999</v>
      </c>
      <c r="P1117" s="148">
        <f>IFERROR(__xludf.DUMMYFUNCTION("""COMPUTED_VALUE"""),99999.0)</f>
        <v>99999</v>
      </c>
      <c r="Q1117" s="148" t="str">
        <f>IFERROR(__xludf.DUMMYFUNCTION("""COMPUTED_VALUE"""),"[""bag_other""]")</f>
        <v>["bag_other"]</v>
      </c>
      <c r="R1117" s="148" t="str">
        <f>IFERROR(__xludf.DUMMYFUNCTION("""COMPUTED_VALUE"""),"[]")</f>
        <v>[]</v>
      </c>
      <c r="S1117" s="148" t="str">
        <f>IFERROR(__xludf.DUMMYFUNCTION("""COMPUTED_VALUE"""),"{""effect"":[{""typ"":""event"",""id"":21127247},{""typ"":""miss_lost_reward""}]}")</f>
        <v>{"effect":[{"typ":"event","id":21127247},{"typ":"miss_lost_reward"}]}</v>
      </c>
      <c r="T1117" s="148">
        <f>IFERROR(__xludf.DUMMYFUNCTION("""COMPUTED_VALUE"""),-1.0)</f>
        <v>-1</v>
      </c>
      <c r="U1117" s="148">
        <f>IFERROR(__xludf.DUMMYFUNCTION("""COMPUTED_VALUE"""),1.0)</f>
        <v>1</v>
      </c>
      <c r="V1117" s="148" t="str">
        <f>IFERROR(__xludf.DUMMYFUNCTION("""COMPUTED_VALUE"""),"[]")</f>
        <v>[]</v>
      </c>
      <c r="W1117" s="148">
        <f>IFERROR(__xludf.DUMMYFUNCTION("""COMPUTED_VALUE"""),1.174E7)</f>
        <v>11740000</v>
      </c>
      <c r="X1117" s="148">
        <f>IFERROR(__xludf.DUMMYFUNCTION("""COMPUTED_VALUE"""),0.0)</f>
        <v>0</v>
      </c>
      <c r="Y1117" s="148">
        <f>IFERROR(__xludf.DUMMYFUNCTION("""COMPUTED_VALUE"""),0.0)</f>
        <v>0</v>
      </c>
      <c r="Z1117" s="148"/>
    </row>
    <row r="1118">
      <c r="A1118" s="148">
        <f>IFERROR(__xludf.DUMMYFUNCTION("""COMPUTED_VALUE"""),1.1113015E7)</f>
        <v>11113015</v>
      </c>
      <c r="B1118" s="148" t="str">
        <f>IFERROR(__xludf.DUMMYFUNCTION("""COMPUTED_VALUE"""),"2025情人节组队bp-高级通行证")</f>
        <v>2025情人节组队bp-高级通行证</v>
      </c>
      <c r="C1118" s="148"/>
      <c r="D1118" s="148" t="str">
        <f>IFERROR(__xludf.DUMMYFUNCTION("""COMPUTED_VALUE"""),"battle_pass_card")</f>
        <v>battle_pass_card</v>
      </c>
      <c r="E1118" s="148">
        <f>IFERROR(__xludf.DUMMYFUNCTION("""COMPUTED_VALUE"""),0.0)</f>
        <v>0</v>
      </c>
      <c r="F1118" s="148">
        <f>IFERROR(__xludf.DUMMYFUNCTION("""COMPUTED_VALUE"""),0.0)</f>
        <v>0</v>
      </c>
      <c r="G1118" s="148">
        <f>IFERROR(__xludf.DUMMYFUNCTION("""COMPUTED_VALUE"""),1.51104565E8)</f>
        <v>151104565</v>
      </c>
      <c r="H1118" s="148">
        <f>IFERROR(__xludf.DUMMYFUNCTION("""COMPUTED_VALUE"""),1.5112564E7)</f>
        <v>15112564</v>
      </c>
      <c r="I1118" s="148" t="str">
        <f>IFERROR(__xludf.DUMMYFUNCTION("""COMPUTED_VALUE"""),"{}")</f>
        <v>{}</v>
      </c>
      <c r="J1118" s="148" t="str">
        <f>IFERROR(__xludf.DUMMYFUNCTION("""COMPUTED_VALUE"""),"{""typ"":""lc"",""txt"":""LC_EVENT_valentine_team_bp_reward_pay_name""}")</f>
        <v>{"typ":"lc","txt":"LC_EVENT_valentine_team_bp_reward_pay_name"}</v>
      </c>
      <c r="K1118" s="148" t="str">
        <f>IFERROR(__xludf.DUMMYFUNCTION("""COMPUTED_VALUE"""),"{}")</f>
        <v>{}</v>
      </c>
      <c r="L1118" s="148" t="str">
        <f>IFERROR(__xludf.DUMMYFUNCTION("""COMPUTED_VALUE"""),"{}")</f>
        <v>{}</v>
      </c>
      <c r="M1118" s="148">
        <f>IFERROR(__xludf.DUMMYFUNCTION("""COMPUTED_VALUE"""),10.0)</f>
        <v>10</v>
      </c>
      <c r="N1118" s="148">
        <f>IFERROR(__xludf.DUMMYFUNCTION("""COMPUTED_VALUE"""),999999.0)</f>
        <v>999999</v>
      </c>
      <c r="O1118" s="148">
        <f>IFERROR(__xludf.DUMMYFUNCTION("""COMPUTED_VALUE"""),99999.0)</f>
        <v>99999</v>
      </c>
      <c r="P1118" s="148">
        <f>IFERROR(__xludf.DUMMYFUNCTION("""COMPUTED_VALUE"""),9999.0)</f>
        <v>9999</v>
      </c>
      <c r="Q1118" s="148" t="str">
        <f>IFERROR(__xludf.DUMMYFUNCTION("""COMPUTED_VALUE"""),"[]")</f>
        <v>[]</v>
      </c>
      <c r="R1118" s="148" t="str">
        <f>IFERROR(__xludf.DUMMYFUNCTION("""COMPUTED_VALUE"""),"[]")</f>
        <v>[]</v>
      </c>
      <c r="S1118" s="148" t="str">
        <f>IFERROR(__xludf.DUMMYFUNCTION("""COMPUTED_VALUE"""),"{}")</f>
        <v>{}</v>
      </c>
      <c r="T1118" s="148">
        <f>IFERROR(__xludf.DUMMYFUNCTION("""COMPUTED_VALUE"""),-1.0)</f>
        <v>-1</v>
      </c>
      <c r="U1118" s="148">
        <f>IFERROR(__xludf.DUMMYFUNCTION("""COMPUTED_VALUE"""),1.0)</f>
        <v>1</v>
      </c>
      <c r="V1118" s="148" t="str">
        <f>IFERROR(__xludf.DUMMYFUNCTION("""COMPUTED_VALUE"""),"[]")</f>
        <v>[]</v>
      </c>
      <c r="W1118" s="148">
        <f>IFERROR(__xludf.DUMMYFUNCTION("""COMPUTED_VALUE"""),1.174E7)</f>
        <v>11740000</v>
      </c>
      <c r="X1118" s="148">
        <f>IFERROR(__xludf.DUMMYFUNCTION("""COMPUTED_VALUE"""),0.0)</f>
        <v>0</v>
      </c>
      <c r="Y1118" s="148">
        <f>IFERROR(__xludf.DUMMYFUNCTION("""COMPUTED_VALUE"""),0.0)</f>
        <v>0</v>
      </c>
      <c r="Z1118" s="148"/>
    </row>
    <row r="1119">
      <c r="A1119" s="148">
        <f>IFERROR(__xludf.DUMMYFUNCTION("""COMPUTED_VALUE"""),1.1113016E7)</f>
        <v>11113016</v>
      </c>
      <c r="B1119" s="148" t="str">
        <f>IFERROR(__xludf.DUMMYFUNCTION("""COMPUTED_VALUE"""),"2025情人节组队bp-bp经验道具")</f>
        <v>2025情人节组队bp-bp经验道具</v>
      </c>
      <c r="C1119" s="148"/>
      <c r="D1119" s="148" t="str">
        <f>IFERROR(__xludf.DUMMYFUNCTION("""COMPUTED_VALUE"""),"battle_pass_exp")</f>
        <v>battle_pass_exp</v>
      </c>
      <c r="E1119" s="148">
        <f>IFERROR(__xludf.DUMMYFUNCTION("""COMPUTED_VALUE"""),0.0)</f>
        <v>0</v>
      </c>
      <c r="F1119" s="148">
        <f>IFERROR(__xludf.DUMMYFUNCTION("""COMPUTED_VALUE"""),405218.0)</f>
        <v>405218</v>
      </c>
      <c r="G1119" s="148">
        <f>IFERROR(__xludf.DUMMYFUNCTION("""COMPUTED_VALUE"""),1.51101308E8)</f>
        <v>151101308</v>
      </c>
      <c r="H1119" s="148">
        <f>IFERROR(__xludf.DUMMYFUNCTION("""COMPUTED_VALUE"""),1.5112563E7)</f>
        <v>15112563</v>
      </c>
      <c r="I1119" s="148" t="str">
        <f>IFERROR(__xludf.DUMMYFUNCTION("""COMPUTED_VALUE"""),"{}")</f>
        <v>{}</v>
      </c>
      <c r="J1119" s="148" t="str">
        <f>IFERROR(__xludf.DUMMYFUNCTION("""COMPUTED_VALUE"""),"{""typ"":""lc"",""txt"":""LC_ITEM_valentine25_team_bp_exp_name""}")</f>
        <v>{"typ":"lc","txt":"LC_ITEM_valentine25_team_bp_exp_name"}</v>
      </c>
      <c r="K1119" s="148" t="str">
        <f>IFERROR(__xludf.DUMMYFUNCTION("""COMPUTED_VALUE"""),"{""typ"":""lc"",""txt"":""LC_ITEM_valentine25_team_bp_exp_desc""}")</f>
        <v>{"typ":"lc","txt":"LC_ITEM_valentine25_team_bp_exp_desc"}</v>
      </c>
      <c r="L1119" s="148" t="str">
        <f>IFERROR(__xludf.DUMMYFUNCTION("""COMPUTED_VALUE"""),"{}")</f>
        <v>{}</v>
      </c>
      <c r="M1119" s="148">
        <f>IFERROR(__xludf.DUMMYFUNCTION("""COMPUTED_VALUE"""),2.0)</f>
        <v>2</v>
      </c>
      <c r="N1119" s="148">
        <f>IFERROR(__xludf.DUMMYFUNCTION("""COMPUTED_VALUE"""),999999.0)</f>
        <v>999999</v>
      </c>
      <c r="O1119" s="148">
        <f>IFERROR(__xludf.DUMMYFUNCTION("""COMPUTED_VALUE"""),99999.0)</f>
        <v>99999</v>
      </c>
      <c r="P1119" s="148">
        <f>IFERROR(__xludf.DUMMYFUNCTION("""COMPUTED_VALUE"""),99999.0)</f>
        <v>99999</v>
      </c>
      <c r="Q1119" s="148" t="str">
        <f>IFERROR(__xludf.DUMMYFUNCTION("""COMPUTED_VALUE"""),"[""bag_other""]")</f>
        <v>["bag_other"]</v>
      </c>
      <c r="R1119" s="148" t="str">
        <f>IFERROR(__xludf.DUMMYFUNCTION("""COMPUTED_VALUE"""),"[]")</f>
        <v>[]</v>
      </c>
      <c r="S1119" s="148" t="str">
        <f>IFERROR(__xludf.DUMMYFUNCTION("""COMPUTED_VALUE"""),"{}")</f>
        <v>{}</v>
      </c>
      <c r="T1119" s="148">
        <f>IFERROR(__xludf.DUMMYFUNCTION("""COMPUTED_VALUE"""),-1.0)</f>
        <v>-1</v>
      </c>
      <c r="U1119" s="148">
        <f>IFERROR(__xludf.DUMMYFUNCTION("""COMPUTED_VALUE"""),1.0)</f>
        <v>1</v>
      </c>
      <c r="V1119" s="148" t="str">
        <f>IFERROR(__xludf.DUMMYFUNCTION("""COMPUTED_VALUE"""),"[]")</f>
        <v>[]</v>
      </c>
      <c r="W1119" s="148">
        <f>IFERROR(__xludf.DUMMYFUNCTION("""COMPUTED_VALUE"""),1.174E7)</f>
        <v>11740000</v>
      </c>
      <c r="X1119" s="148">
        <f>IFERROR(__xludf.DUMMYFUNCTION("""COMPUTED_VALUE"""),0.0)</f>
        <v>0</v>
      </c>
      <c r="Y1119" s="148">
        <f>IFERROR(__xludf.DUMMYFUNCTION("""COMPUTED_VALUE"""),0.0)</f>
        <v>0</v>
      </c>
      <c r="Z1119" s="148"/>
    </row>
    <row r="1120">
      <c r="A1120" s="148">
        <f>IFERROR(__xludf.DUMMYFUNCTION("""COMPUTED_VALUE"""),1.1113017E7)</f>
        <v>11113017</v>
      </c>
      <c r="B1120" s="148" t="str">
        <f>IFERROR(__xludf.DUMMYFUNCTION("""COMPUTED_VALUE"""),"钓鱼bp-高级通行证")</f>
        <v>钓鱼bp-高级通行证</v>
      </c>
      <c r="C1120" s="148"/>
      <c r="D1120" s="148" t="str">
        <f>IFERROR(__xludf.DUMMYFUNCTION("""COMPUTED_VALUE"""),"battle_pass_card")</f>
        <v>battle_pass_card</v>
      </c>
      <c r="E1120" s="148">
        <f>IFERROR(__xludf.DUMMYFUNCTION("""COMPUTED_VALUE"""),0.0)</f>
        <v>0</v>
      </c>
      <c r="F1120" s="148">
        <f>IFERROR(__xludf.DUMMYFUNCTION("""COMPUTED_VALUE"""),0.0)</f>
        <v>0</v>
      </c>
      <c r="G1120" s="148">
        <f>IFERROR(__xludf.DUMMYFUNCTION("""COMPUTED_VALUE"""),1.51104146E8)</f>
        <v>151104146</v>
      </c>
      <c r="H1120" s="148">
        <f>IFERROR(__xludf.DUMMYFUNCTION("""COMPUTED_VALUE"""),1.5112564E7)</f>
        <v>15112564</v>
      </c>
      <c r="I1120" s="148" t="str">
        <f>IFERROR(__xludf.DUMMYFUNCTION("""COMPUTED_VALUE"""),"{}")</f>
        <v>{}</v>
      </c>
      <c r="J1120" s="148" t="str">
        <f>IFERROR(__xludf.DUMMYFUNCTION("""COMPUTED_VALUE"""),"{""typ"":""lc"",""txt"":""LC_IAP_battle_pass_luxury_supply""}")</f>
        <v>{"typ":"lc","txt":"LC_IAP_battle_pass_luxury_supply"}</v>
      </c>
      <c r="K1120" s="148" t="str">
        <f>IFERROR(__xludf.DUMMYFUNCTION("""COMPUTED_VALUE"""),"{}")</f>
        <v>{}</v>
      </c>
      <c r="L1120" s="148" t="str">
        <f>IFERROR(__xludf.DUMMYFUNCTION("""COMPUTED_VALUE"""),"{}")</f>
        <v>{}</v>
      </c>
      <c r="M1120" s="148">
        <f>IFERROR(__xludf.DUMMYFUNCTION("""COMPUTED_VALUE"""),10.0)</f>
        <v>10</v>
      </c>
      <c r="N1120" s="148">
        <f>IFERROR(__xludf.DUMMYFUNCTION("""COMPUTED_VALUE"""),999999.0)</f>
        <v>999999</v>
      </c>
      <c r="O1120" s="148">
        <f>IFERROR(__xludf.DUMMYFUNCTION("""COMPUTED_VALUE"""),99999.0)</f>
        <v>99999</v>
      </c>
      <c r="P1120" s="148">
        <f>IFERROR(__xludf.DUMMYFUNCTION("""COMPUTED_VALUE"""),9999.0)</f>
        <v>9999</v>
      </c>
      <c r="Q1120" s="148" t="str">
        <f>IFERROR(__xludf.DUMMYFUNCTION("""COMPUTED_VALUE"""),"[]")</f>
        <v>[]</v>
      </c>
      <c r="R1120" s="148" t="str">
        <f>IFERROR(__xludf.DUMMYFUNCTION("""COMPUTED_VALUE"""),"[]")</f>
        <v>[]</v>
      </c>
      <c r="S1120" s="148" t="str">
        <f>IFERROR(__xludf.DUMMYFUNCTION("""COMPUTED_VALUE"""),"{}")</f>
        <v>{}</v>
      </c>
      <c r="T1120" s="148">
        <f>IFERROR(__xludf.DUMMYFUNCTION("""COMPUTED_VALUE"""),-1.0)</f>
        <v>-1</v>
      </c>
      <c r="U1120" s="148">
        <f>IFERROR(__xludf.DUMMYFUNCTION("""COMPUTED_VALUE"""),1.0)</f>
        <v>1</v>
      </c>
      <c r="V1120" s="148" t="str">
        <f>IFERROR(__xludf.DUMMYFUNCTION("""COMPUTED_VALUE"""),"[]")</f>
        <v>[]</v>
      </c>
      <c r="W1120" s="148">
        <f>IFERROR(__xludf.DUMMYFUNCTION("""COMPUTED_VALUE"""),1.174E7)</f>
        <v>11740000</v>
      </c>
      <c r="X1120" s="148">
        <f>IFERROR(__xludf.DUMMYFUNCTION("""COMPUTED_VALUE"""),0.0)</f>
        <v>0</v>
      </c>
      <c r="Y1120" s="148">
        <f>IFERROR(__xludf.DUMMYFUNCTION("""COMPUTED_VALUE"""),0.0)</f>
        <v>0</v>
      </c>
      <c r="Z1120" s="148"/>
    </row>
    <row r="1121">
      <c r="A1121" s="148">
        <f>IFERROR(__xludf.DUMMYFUNCTION("""COMPUTED_VALUE"""),1.1113018E7)</f>
        <v>11113018</v>
      </c>
      <c r="B1121" s="148" t="str">
        <f>IFERROR(__xludf.DUMMYFUNCTION("""COMPUTED_VALUE"""),"钓鱼bp-bp经验道具")</f>
        <v>钓鱼bp-bp经验道具</v>
      </c>
      <c r="C1121" s="148"/>
      <c r="D1121" s="148" t="str">
        <f>IFERROR(__xludf.DUMMYFUNCTION("""COMPUTED_VALUE"""),"battle_pass_exp")</f>
        <v>battle_pass_exp</v>
      </c>
      <c r="E1121" s="148">
        <f>IFERROR(__xludf.DUMMYFUNCTION("""COMPUTED_VALUE"""),0.0)</f>
        <v>0</v>
      </c>
      <c r="F1121" s="148">
        <f>IFERROR(__xludf.DUMMYFUNCTION("""COMPUTED_VALUE"""),405218.0)</f>
        <v>405218</v>
      </c>
      <c r="G1121" s="148">
        <f>IFERROR(__xludf.DUMMYFUNCTION("""COMPUTED_VALUE"""),1.51104179E8)</f>
        <v>151104179</v>
      </c>
      <c r="H1121" s="148">
        <f>IFERROR(__xludf.DUMMYFUNCTION("""COMPUTED_VALUE"""),1.5112563E7)</f>
        <v>15112563</v>
      </c>
      <c r="I1121" s="148" t="str">
        <f>IFERROR(__xludf.DUMMYFUNCTION("""COMPUTED_VALUE"""),"{}")</f>
        <v>{}</v>
      </c>
      <c r="J1121" s="148" t="str">
        <f>IFERROR(__xludf.DUMMYFUNCTION("""COMPUTED_VALUE"""),"{""typ"":""lc"",""txt"":""LC_ITEM_fishing_bp_exp_name""}")</f>
        <v>{"typ":"lc","txt":"LC_ITEM_fishing_bp_exp_name"}</v>
      </c>
      <c r="K1121" s="148" t="str">
        <f>IFERROR(__xludf.DUMMYFUNCTION("""COMPUTED_VALUE"""),"{}")</f>
        <v>{}</v>
      </c>
      <c r="L1121" s="148" t="str">
        <f>IFERROR(__xludf.DUMMYFUNCTION("""COMPUTED_VALUE"""),"{}")</f>
        <v>{}</v>
      </c>
      <c r="M1121" s="148">
        <f>IFERROR(__xludf.DUMMYFUNCTION("""COMPUTED_VALUE"""),2.0)</f>
        <v>2</v>
      </c>
      <c r="N1121" s="148">
        <f>IFERROR(__xludf.DUMMYFUNCTION("""COMPUTED_VALUE"""),999999.0)</f>
        <v>999999</v>
      </c>
      <c r="O1121" s="148">
        <f>IFERROR(__xludf.DUMMYFUNCTION("""COMPUTED_VALUE"""),99999.0)</f>
        <v>99999</v>
      </c>
      <c r="P1121" s="148">
        <f>IFERROR(__xludf.DUMMYFUNCTION("""COMPUTED_VALUE"""),99999.0)</f>
        <v>99999</v>
      </c>
      <c r="Q1121" s="148" t="str">
        <f>IFERROR(__xludf.DUMMYFUNCTION("""COMPUTED_VALUE"""),"[]")</f>
        <v>[]</v>
      </c>
      <c r="R1121" s="148" t="str">
        <f>IFERROR(__xludf.DUMMYFUNCTION("""COMPUTED_VALUE"""),"[]")</f>
        <v>[]</v>
      </c>
      <c r="S1121" s="148" t="str">
        <f>IFERROR(__xludf.DUMMYFUNCTION("""COMPUTED_VALUE"""),"{}")</f>
        <v>{}</v>
      </c>
      <c r="T1121" s="148">
        <f>IFERROR(__xludf.DUMMYFUNCTION("""COMPUTED_VALUE"""),-1.0)</f>
        <v>-1</v>
      </c>
      <c r="U1121" s="148">
        <f>IFERROR(__xludf.DUMMYFUNCTION("""COMPUTED_VALUE"""),1.0)</f>
        <v>1</v>
      </c>
      <c r="V1121" s="148" t="str">
        <f>IFERROR(__xludf.DUMMYFUNCTION("""COMPUTED_VALUE"""),"[]")</f>
        <v>[]</v>
      </c>
      <c r="W1121" s="148">
        <f>IFERROR(__xludf.DUMMYFUNCTION("""COMPUTED_VALUE"""),1.174E7)</f>
        <v>11740000</v>
      </c>
      <c r="X1121" s="148">
        <f>IFERROR(__xludf.DUMMYFUNCTION("""COMPUTED_VALUE"""),0.0)</f>
        <v>0</v>
      </c>
      <c r="Y1121" s="148">
        <f>IFERROR(__xludf.DUMMYFUNCTION("""COMPUTED_VALUE"""),0.0)</f>
        <v>0</v>
      </c>
      <c r="Z1121" s="148"/>
    </row>
    <row r="1122">
      <c r="A1122" s="148">
        <f>IFERROR(__xludf.DUMMYFUNCTION("""COMPUTED_VALUE"""),1.1113019E7)</f>
        <v>11113019</v>
      </c>
      <c r="B1122" s="148" t="str">
        <f>IFERROR(__xludf.DUMMYFUNCTION("""COMPUTED_VALUE"""),"集卡册bp-高级通行证")</f>
        <v>集卡册bp-高级通行证</v>
      </c>
      <c r="C1122" s="148"/>
      <c r="D1122" s="148" t="str">
        <f>IFERROR(__xludf.DUMMYFUNCTION("""COMPUTED_VALUE"""),"battle_pass_card")</f>
        <v>battle_pass_card</v>
      </c>
      <c r="E1122" s="148">
        <f>IFERROR(__xludf.DUMMYFUNCTION("""COMPUTED_VALUE"""),0.0)</f>
        <v>0</v>
      </c>
      <c r="F1122" s="148">
        <f>IFERROR(__xludf.DUMMYFUNCTION("""COMPUTED_VALUE"""),0.0)</f>
        <v>0</v>
      </c>
      <c r="G1122" s="148">
        <f>IFERROR(__xludf.DUMMYFUNCTION("""COMPUTED_VALUE"""),1.51104733E8)</f>
        <v>151104733</v>
      </c>
      <c r="H1122" s="148">
        <f>IFERROR(__xludf.DUMMYFUNCTION("""COMPUTED_VALUE"""),1.5112564E7)</f>
        <v>15112564</v>
      </c>
      <c r="I1122" s="148" t="str">
        <f>IFERROR(__xludf.DUMMYFUNCTION("""COMPUTED_VALUE"""),"{}")</f>
        <v>{}</v>
      </c>
      <c r="J1122" s="148" t="str">
        <f>IFERROR(__xludf.DUMMYFUNCTION("""COMPUTED_VALUE"""),"{""typ"":""lc"",""txt"":""LC_IAP_card_battlepass_name""}")</f>
        <v>{"typ":"lc","txt":"LC_IAP_card_battlepass_name"}</v>
      </c>
      <c r="K1122" s="148" t="str">
        <f>IFERROR(__xludf.DUMMYFUNCTION("""COMPUTED_VALUE"""),"{}")</f>
        <v>{}</v>
      </c>
      <c r="L1122" s="148" t="str">
        <f>IFERROR(__xludf.DUMMYFUNCTION("""COMPUTED_VALUE"""),"{}")</f>
        <v>{}</v>
      </c>
      <c r="M1122" s="148">
        <f>IFERROR(__xludf.DUMMYFUNCTION("""COMPUTED_VALUE"""),10.0)</f>
        <v>10</v>
      </c>
      <c r="N1122" s="148">
        <f>IFERROR(__xludf.DUMMYFUNCTION("""COMPUTED_VALUE"""),999999.0)</f>
        <v>999999</v>
      </c>
      <c r="O1122" s="148">
        <f>IFERROR(__xludf.DUMMYFUNCTION("""COMPUTED_VALUE"""),99999.0)</f>
        <v>99999</v>
      </c>
      <c r="P1122" s="148">
        <f>IFERROR(__xludf.DUMMYFUNCTION("""COMPUTED_VALUE"""),9999.0)</f>
        <v>9999</v>
      </c>
      <c r="Q1122" s="148" t="str">
        <f>IFERROR(__xludf.DUMMYFUNCTION("""COMPUTED_VALUE"""),"[]")</f>
        <v>[]</v>
      </c>
      <c r="R1122" s="148" t="str">
        <f>IFERROR(__xludf.DUMMYFUNCTION("""COMPUTED_VALUE"""),"[]")</f>
        <v>[]</v>
      </c>
      <c r="S1122" s="148" t="str">
        <f>IFERROR(__xludf.DUMMYFUNCTION("""COMPUTED_VALUE"""),"{}")</f>
        <v>{}</v>
      </c>
      <c r="T1122" s="148">
        <f>IFERROR(__xludf.DUMMYFUNCTION("""COMPUTED_VALUE"""),-1.0)</f>
        <v>-1</v>
      </c>
      <c r="U1122" s="148">
        <f>IFERROR(__xludf.DUMMYFUNCTION("""COMPUTED_VALUE"""),1.0)</f>
        <v>1</v>
      </c>
      <c r="V1122" s="148" t="str">
        <f>IFERROR(__xludf.DUMMYFUNCTION("""COMPUTED_VALUE"""),"[]")</f>
        <v>[]</v>
      </c>
      <c r="W1122" s="148">
        <f>IFERROR(__xludf.DUMMYFUNCTION("""COMPUTED_VALUE"""),1.174E7)</f>
        <v>11740000</v>
      </c>
      <c r="X1122" s="148">
        <f>IFERROR(__xludf.DUMMYFUNCTION("""COMPUTED_VALUE"""),0.0)</f>
        <v>0</v>
      </c>
      <c r="Y1122" s="148">
        <f>IFERROR(__xludf.DUMMYFUNCTION("""COMPUTED_VALUE"""),0.0)</f>
        <v>0</v>
      </c>
      <c r="Z1122" s="148"/>
    </row>
    <row r="1123">
      <c r="A1123" s="148">
        <f>IFERROR(__xludf.DUMMYFUNCTION("""COMPUTED_VALUE"""),1.111302E7)</f>
        <v>11113020</v>
      </c>
      <c r="B1123" s="148" t="str">
        <f>IFERROR(__xludf.DUMMYFUNCTION("""COMPUTED_VALUE"""),"集卡册bp-bp经验道具")</f>
        <v>集卡册bp-bp经验道具</v>
      </c>
      <c r="C1123" s="148"/>
      <c r="D1123" s="148" t="str">
        <f>IFERROR(__xludf.DUMMYFUNCTION("""COMPUTED_VALUE"""),"battle_pass_exp")</f>
        <v>battle_pass_exp</v>
      </c>
      <c r="E1123" s="148">
        <f>IFERROR(__xludf.DUMMYFUNCTION("""COMPUTED_VALUE"""),0.0)</f>
        <v>0</v>
      </c>
      <c r="F1123" s="148">
        <f>IFERROR(__xludf.DUMMYFUNCTION("""COMPUTED_VALUE"""),405218.0)</f>
        <v>405218</v>
      </c>
      <c r="G1123" s="148">
        <f>IFERROR(__xludf.DUMMYFUNCTION("""COMPUTED_VALUE"""),1.51104179E8)</f>
        <v>151104179</v>
      </c>
      <c r="H1123" s="148">
        <f>IFERROR(__xludf.DUMMYFUNCTION("""COMPUTED_VALUE"""),1.5112563E7)</f>
        <v>15112563</v>
      </c>
      <c r="I1123" s="148" t="str">
        <f>IFERROR(__xludf.DUMMYFUNCTION("""COMPUTED_VALUE"""),"{}")</f>
        <v>{}</v>
      </c>
      <c r="J1123" s="148" t="str">
        <f>IFERROR(__xludf.DUMMYFUNCTION("""COMPUTED_VALUE"""),"{""typ"":""lc"",""txt"":""LC_ITEM_fishing_bp_exp_name""}")</f>
        <v>{"typ":"lc","txt":"LC_ITEM_fishing_bp_exp_name"}</v>
      </c>
      <c r="K1123" s="148" t="str">
        <f>IFERROR(__xludf.DUMMYFUNCTION("""COMPUTED_VALUE"""),"{}")</f>
        <v>{}</v>
      </c>
      <c r="L1123" s="148" t="str">
        <f>IFERROR(__xludf.DUMMYFUNCTION("""COMPUTED_VALUE"""),"{}")</f>
        <v>{}</v>
      </c>
      <c r="M1123" s="148">
        <f>IFERROR(__xludf.DUMMYFUNCTION("""COMPUTED_VALUE"""),2.0)</f>
        <v>2</v>
      </c>
      <c r="N1123" s="148">
        <f>IFERROR(__xludf.DUMMYFUNCTION("""COMPUTED_VALUE"""),999999.0)</f>
        <v>999999</v>
      </c>
      <c r="O1123" s="148">
        <f>IFERROR(__xludf.DUMMYFUNCTION("""COMPUTED_VALUE"""),99999.0)</f>
        <v>99999</v>
      </c>
      <c r="P1123" s="148">
        <f>IFERROR(__xludf.DUMMYFUNCTION("""COMPUTED_VALUE"""),99999.0)</f>
        <v>99999</v>
      </c>
      <c r="Q1123" s="148" t="str">
        <f>IFERROR(__xludf.DUMMYFUNCTION("""COMPUTED_VALUE"""),"[]")</f>
        <v>[]</v>
      </c>
      <c r="R1123" s="148" t="str">
        <f>IFERROR(__xludf.DUMMYFUNCTION("""COMPUTED_VALUE"""),"[]")</f>
        <v>[]</v>
      </c>
      <c r="S1123" s="148" t="str">
        <f>IFERROR(__xludf.DUMMYFUNCTION("""COMPUTED_VALUE"""),"{}")</f>
        <v>{}</v>
      </c>
      <c r="T1123" s="148">
        <f>IFERROR(__xludf.DUMMYFUNCTION("""COMPUTED_VALUE"""),-1.0)</f>
        <v>-1</v>
      </c>
      <c r="U1123" s="148">
        <f>IFERROR(__xludf.DUMMYFUNCTION("""COMPUTED_VALUE"""),1.0)</f>
        <v>1</v>
      </c>
      <c r="V1123" s="148" t="str">
        <f>IFERROR(__xludf.DUMMYFUNCTION("""COMPUTED_VALUE"""),"[]")</f>
        <v>[]</v>
      </c>
      <c r="W1123" s="148">
        <f>IFERROR(__xludf.DUMMYFUNCTION("""COMPUTED_VALUE"""),1.174E7)</f>
        <v>11740000</v>
      </c>
      <c r="X1123" s="148">
        <f>IFERROR(__xludf.DUMMYFUNCTION("""COMPUTED_VALUE"""),0.0)</f>
        <v>0</v>
      </c>
      <c r="Y1123" s="148">
        <f>IFERROR(__xludf.DUMMYFUNCTION("""COMPUTED_VALUE"""),0.0)</f>
        <v>0</v>
      </c>
      <c r="Z1123" s="148"/>
    </row>
    <row r="1124">
      <c r="A1124" s="148">
        <f>IFERROR(__xludf.DUMMYFUNCTION("""COMPUTED_VALUE"""),1.1114101E7)</f>
        <v>11114101</v>
      </c>
      <c r="B1124" s="148" t="str">
        <f>IFERROR(__xludf.DUMMYFUNCTION("""COMPUTED_VALUE"""),"改名卡（错误道具，请勿投放）")</f>
        <v>改名卡（错误道具，请勿投放）</v>
      </c>
      <c r="C1124" s="148"/>
      <c r="D1124" s="148" t="str">
        <f>IFERROR(__xludf.DUMMYFUNCTION("""COMPUTED_VALUE"""),"item_rename")</f>
        <v>item_rename</v>
      </c>
      <c r="E1124" s="148">
        <f>IFERROR(__xludf.DUMMYFUNCTION("""COMPUTED_VALUE"""),8.0)</f>
        <v>8</v>
      </c>
      <c r="F1124" s="148">
        <f>IFERROR(__xludf.DUMMYFUNCTION("""COMPUTED_VALUE"""),404299.0)</f>
        <v>404299</v>
      </c>
      <c r="G1124" s="148">
        <f>IFERROR(__xludf.DUMMYFUNCTION("""COMPUTED_VALUE"""),1.5112058E7)</f>
        <v>15112058</v>
      </c>
      <c r="H1124" s="148">
        <f>IFERROR(__xludf.DUMMYFUNCTION("""COMPUTED_VALUE"""),1.5112563E7)</f>
        <v>15112563</v>
      </c>
      <c r="I1124" s="148" t="str">
        <f>IFERROR(__xludf.DUMMYFUNCTION("""COMPUTED_VALUE"""),"{}")</f>
        <v>{}</v>
      </c>
      <c r="J1124" s="148" t="str">
        <f>IFERROR(__xludf.DUMMYFUNCTION("""COMPUTED_VALUE"""),"{""typ"":""lc"",""txt"":""LC_ITEM_rename_card_name""}")</f>
        <v>{"typ":"lc","txt":"LC_ITEM_rename_card_name"}</v>
      </c>
      <c r="K1124" s="148" t="str">
        <f>IFERROR(__xludf.DUMMYFUNCTION("""COMPUTED_VALUE"""),"{""typ"":""lc"",""txt"":""LC_ITEM_rename_card_desc""}")</f>
        <v>{"typ":"lc","txt":"LC_ITEM_rename_card_desc"}</v>
      </c>
      <c r="L1124" s="148" t="str">
        <f>IFERROR(__xludf.DUMMYFUNCTION("""COMPUTED_VALUE"""),"{}")</f>
        <v>{}</v>
      </c>
      <c r="M1124" s="148">
        <f>IFERROR(__xludf.DUMMYFUNCTION("""COMPUTED_VALUE"""),66.0)</f>
        <v>66</v>
      </c>
      <c r="N1124" s="148">
        <f>IFERROR(__xludf.DUMMYFUNCTION("""COMPUTED_VALUE"""),99999.0)</f>
        <v>99999</v>
      </c>
      <c r="O1124" s="148">
        <f>IFERROR(__xludf.DUMMYFUNCTION("""COMPUTED_VALUE"""),99999.0)</f>
        <v>99999</v>
      </c>
      <c r="P1124" s="148">
        <f>IFERROR(__xludf.DUMMYFUNCTION("""COMPUTED_VALUE"""),100.0)</f>
        <v>100</v>
      </c>
      <c r="Q1124" s="148" t="str">
        <f>IFERROR(__xludf.DUMMYFUNCTION("""COMPUTED_VALUE"""),"[""bag_other""]")</f>
        <v>["bag_other"]</v>
      </c>
      <c r="R1124" s="148" t="str">
        <f>IFERROR(__xludf.DUMMYFUNCTION("""COMPUTED_VALUE"""),"[""bag""]")</f>
        <v>["bag"]</v>
      </c>
      <c r="S1124" s="148" t="str">
        <f>IFERROR(__xludf.DUMMYFUNCTION("""COMPUTED_VALUE"""),"{}")</f>
        <v>{}</v>
      </c>
      <c r="T1124" s="148">
        <f>IFERROR(__xludf.DUMMYFUNCTION("""COMPUTED_VALUE"""),-1.0)</f>
        <v>-1</v>
      </c>
      <c r="U1124" s="148">
        <f>IFERROR(__xludf.DUMMYFUNCTION("""COMPUTED_VALUE"""),0.0)</f>
        <v>0</v>
      </c>
      <c r="V1124" s="148" t="str">
        <f>IFERROR(__xludf.DUMMYFUNCTION("""COMPUTED_VALUE"""),"[]")</f>
        <v>[]</v>
      </c>
      <c r="W1124" s="148">
        <f>IFERROR(__xludf.DUMMYFUNCTION("""COMPUTED_VALUE"""),1.174E7)</f>
        <v>11740000</v>
      </c>
      <c r="X1124" s="148">
        <f>IFERROR(__xludf.DUMMYFUNCTION("""COMPUTED_VALUE"""),0.0)</f>
        <v>0</v>
      </c>
      <c r="Y1124" s="148">
        <f>IFERROR(__xludf.DUMMYFUNCTION("""COMPUTED_VALUE"""),0.0)</f>
        <v>0</v>
      </c>
      <c r="Z1124" s="148"/>
    </row>
    <row r="1125">
      <c r="A1125" s="148">
        <f>IFERROR(__xludf.DUMMYFUNCTION("""COMPUTED_VALUE"""),1.1114102E7)</f>
        <v>11114102</v>
      </c>
      <c r="B1125" s="148" t="str">
        <f>IFERROR(__xludf.DUMMYFUNCTION("""COMPUTED_VALUE"""),"改形象卡")</f>
        <v>改形象卡</v>
      </c>
      <c r="C1125" s="148"/>
      <c r="D1125" s="148" t="str">
        <f>IFERROR(__xludf.DUMMYFUNCTION("""COMPUTED_VALUE"""),"item_change_image")</f>
        <v>item_change_image</v>
      </c>
      <c r="E1125" s="148">
        <f>IFERROR(__xludf.DUMMYFUNCTION("""COMPUTED_VALUE"""),9.0)</f>
        <v>9</v>
      </c>
      <c r="F1125" s="148">
        <f>IFERROR(__xludf.DUMMYFUNCTION("""COMPUTED_VALUE"""),404299.0)</f>
        <v>404299</v>
      </c>
      <c r="G1125" s="148">
        <f>IFERROR(__xludf.DUMMYFUNCTION("""COMPUTED_VALUE"""),1.5112058E7)</f>
        <v>15112058</v>
      </c>
      <c r="H1125" s="148">
        <f>IFERROR(__xludf.DUMMYFUNCTION("""COMPUTED_VALUE"""),1.5112563E7)</f>
        <v>15112563</v>
      </c>
      <c r="I1125" s="148" t="str">
        <f>IFERROR(__xludf.DUMMYFUNCTION("""COMPUTED_VALUE"""),"{}")</f>
        <v>{}</v>
      </c>
      <c r="J1125" s="148" t="str">
        <f>IFERROR(__xludf.DUMMYFUNCTION("""COMPUTED_VALUE"""),"{""typ"":""lc"",""txt"":""LC_ITEM_item_change_image_card_name""}")</f>
        <v>{"typ":"lc","txt":"LC_ITEM_item_change_image_card_name"}</v>
      </c>
      <c r="K1125" s="148" t="str">
        <f>IFERROR(__xludf.DUMMYFUNCTION("""COMPUTED_VALUE"""),"{""typ"":""lc"",""txt"":""LC_ITEM_item_change_image_card_desc""}")</f>
        <v>{"typ":"lc","txt":"LC_ITEM_item_change_image_card_desc"}</v>
      </c>
      <c r="L1125" s="148" t="str">
        <f>IFERROR(__xludf.DUMMYFUNCTION("""COMPUTED_VALUE"""),"{}")</f>
        <v>{}</v>
      </c>
      <c r="M1125" s="148">
        <f>IFERROR(__xludf.DUMMYFUNCTION("""COMPUTED_VALUE"""),66.0)</f>
        <v>66</v>
      </c>
      <c r="N1125" s="148">
        <f>IFERROR(__xludf.DUMMYFUNCTION("""COMPUTED_VALUE"""),99999.0)</f>
        <v>99999</v>
      </c>
      <c r="O1125" s="148">
        <f>IFERROR(__xludf.DUMMYFUNCTION("""COMPUTED_VALUE"""),99999.0)</f>
        <v>99999</v>
      </c>
      <c r="P1125" s="148">
        <f>IFERROR(__xludf.DUMMYFUNCTION("""COMPUTED_VALUE"""),100.0)</f>
        <v>100</v>
      </c>
      <c r="Q1125" s="148" t="str">
        <f>IFERROR(__xludf.DUMMYFUNCTION("""COMPUTED_VALUE"""),"[""bag_other""]")</f>
        <v>["bag_other"]</v>
      </c>
      <c r="R1125" s="148" t="str">
        <f>IFERROR(__xludf.DUMMYFUNCTION("""COMPUTED_VALUE"""),"[""bag""]")</f>
        <v>["bag"]</v>
      </c>
      <c r="S1125" s="148" t="str">
        <f>IFERROR(__xludf.DUMMYFUNCTION("""COMPUTED_VALUE"""),"{}")</f>
        <v>{}</v>
      </c>
      <c r="T1125" s="148">
        <f>IFERROR(__xludf.DUMMYFUNCTION("""COMPUTED_VALUE"""),-1.0)</f>
        <v>-1</v>
      </c>
      <c r="U1125" s="148">
        <f>IFERROR(__xludf.DUMMYFUNCTION("""COMPUTED_VALUE"""),0.0)</f>
        <v>0</v>
      </c>
      <c r="V1125" s="148" t="str">
        <f>IFERROR(__xludf.DUMMYFUNCTION("""COMPUTED_VALUE"""),"[]")</f>
        <v>[]</v>
      </c>
      <c r="W1125" s="148">
        <f>IFERROR(__xludf.DUMMYFUNCTION("""COMPUTED_VALUE"""),1.174E7)</f>
        <v>11740000</v>
      </c>
      <c r="X1125" s="148">
        <f>IFERROR(__xludf.DUMMYFUNCTION("""COMPUTED_VALUE"""),0.0)</f>
        <v>0</v>
      </c>
      <c r="Y1125" s="148">
        <f>IFERROR(__xludf.DUMMYFUNCTION("""COMPUTED_VALUE"""),0.0)</f>
        <v>0</v>
      </c>
      <c r="Z1125" s="148"/>
    </row>
    <row r="1126">
      <c r="A1126" s="148">
        <f>IFERROR(__xludf.DUMMYFUNCTION("""COMPUTED_VALUE"""),1.1114301E7)</f>
        <v>11114301</v>
      </c>
      <c r="B1126" s="148" t="str">
        <f>IFERROR(__xludf.DUMMYFUNCTION("""COMPUTED_VALUE"""),"联盟礼物(触发)日常任务")</f>
        <v>联盟礼物(触发)日常任务</v>
      </c>
      <c r="C1126" s="148"/>
      <c r="D1126" s="148" t="str">
        <f>IFERROR(__xludf.DUMMYFUNCTION("""COMPUTED_VALUE"""),"item_union_gift")</f>
        <v>item_union_gift</v>
      </c>
      <c r="E1126" s="148">
        <f>IFERROR(__xludf.DUMMYFUNCTION("""COMPUTED_VALUE"""),15.0)</f>
        <v>15</v>
      </c>
      <c r="F1126" s="148">
        <f>IFERROR(__xludf.DUMMYFUNCTION("""COMPUTED_VALUE"""),0.0)</f>
        <v>0</v>
      </c>
      <c r="G1126" s="148">
        <f>IFERROR(__xludf.DUMMYFUNCTION("""COMPUTED_VALUE"""),1.5110347E7)</f>
        <v>15110347</v>
      </c>
      <c r="H1126" s="148">
        <f>IFERROR(__xludf.DUMMYFUNCTION("""COMPUTED_VALUE"""),1.5112563E7)</f>
        <v>15112563</v>
      </c>
      <c r="I1126" s="148" t="str">
        <f>IFERROR(__xludf.DUMMYFUNCTION("""COMPUTED_VALUE"""),"{}")</f>
        <v>{}</v>
      </c>
      <c r="J1126" s="148" t="str">
        <f>IFERROR(__xludf.DUMMYFUNCTION("""COMPUTED_VALUE"""),"{""typ"":""lc"",""txt"":""LC_ITEM_item_alliance_gift_daily_task_name""}")</f>
        <v>{"typ":"lc","txt":"LC_ITEM_item_alliance_gift_daily_task_name"}</v>
      </c>
      <c r="K1126" s="148" t="str">
        <f>IFERROR(__xludf.DUMMYFUNCTION("""COMPUTED_VALUE"""),"{""typ"":""lc"",""txt"":""LC_ITEM_item_alliance_gift_daily_task_desc""}")</f>
        <v>{"typ":"lc","txt":"LC_ITEM_item_alliance_gift_daily_task_desc"}</v>
      </c>
      <c r="L1126" s="148" t="str">
        <f>IFERROR(__xludf.DUMMYFUNCTION("""COMPUTED_VALUE"""),"{}")</f>
        <v>{}</v>
      </c>
      <c r="M1126" s="148">
        <f>IFERROR(__xludf.DUMMYFUNCTION("""COMPUTED_VALUE"""),66.0)</f>
        <v>66</v>
      </c>
      <c r="N1126" s="148">
        <f>IFERROR(__xludf.DUMMYFUNCTION("""COMPUTED_VALUE"""),999999.0)</f>
        <v>999999</v>
      </c>
      <c r="O1126" s="148">
        <f>IFERROR(__xludf.DUMMYFUNCTION("""COMPUTED_VALUE"""),99999.0)</f>
        <v>99999</v>
      </c>
      <c r="P1126" s="148">
        <f>IFERROR(__xludf.DUMMYFUNCTION("""COMPUTED_VALUE"""),1.0)</f>
        <v>1</v>
      </c>
      <c r="Q1126" s="148" t="str">
        <f>IFERROR(__xludf.DUMMYFUNCTION("""COMPUTED_VALUE"""),"[]")</f>
        <v>[]</v>
      </c>
      <c r="R1126" s="148" t="str">
        <f>IFERROR(__xludf.DUMMYFUNCTION("""COMPUTED_VALUE"""),"[]")</f>
        <v>[]</v>
      </c>
      <c r="S1126" s="148" t="str">
        <f>IFERROR(__xludf.DUMMYFUNCTION("""COMPUTED_VALUE"""),"{""effect"":[{""typ"":""union_gift_quality_drop"",""id"":7,""val"":1}]}")</f>
        <v>{"effect":[{"typ":"union_gift_quality_drop","id":7,"val":1}]}</v>
      </c>
      <c r="T1126" s="148">
        <f>IFERROR(__xludf.DUMMYFUNCTION("""COMPUTED_VALUE"""),-1.0)</f>
        <v>-1</v>
      </c>
      <c r="U1126" s="148">
        <f>IFERROR(__xludf.DUMMYFUNCTION("""COMPUTED_VALUE"""),1.0)</f>
        <v>1</v>
      </c>
      <c r="V1126" s="148" t="str">
        <f>IFERROR(__xludf.DUMMYFUNCTION("""COMPUTED_VALUE"""),"[]")</f>
        <v>[]</v>
      </c>
      <c r="W1126" s="148">
        <f>IFERROR(__xludf.DUMMYFUNCTION("""COMPUTED_VALUE"""),1.174E7)</f>
        <v>11740000</v>
      </c>
      <c r="X1126" s="148">
        <f>IFERROR(__xludf.DUMMYFUNCTION("""COMPUTED_VALUE"""),0.0)</f>
        <v>0</v>
      </c>
      <c r="Y1126" s="148">
        <f>IFERROR(__xludf.DUMMYFUNCTION("""COMPUTED_VALUE"""),0.0)</f>
        <v>0</v>
      </c>
      <c r="Z1126" s="148"/>
    </row>
    <row r="1127">
      <c r="A1127" s="148">
        <f>IFERROR(__xludf.DUMMYFUNCTION("""COMPUTED_VALUE"""),1.1114302E7)</f>
        <v>11114302</v>
      </c>
      <c r="B1127" s="148" t="str">
        <f>IFERROR(__xludf.DUMMYFUNCTION("""COMPUTED_VALUE"""),"联盟礼物(触发)部落boss")</f>
        <v>联盟礼物(触发)部落boss</v>
      </c>
      <c r="C1127" s="148"/>
      <c r="D1127" s="148" t="str">
        <f>IFERROR(__xludf.DUMMYFUNCTION("""COMPUTED_VALUE"""),"item_union_gift")</f>
        <v>item_union_gift</v>
      </c>
      <c r="E1127" s="148">
        <f>IFERROR(__xludf.DUMMYFUNCTION("""COMPUTED_VALUE"""),15.0)</f>
        <v>15</v>
      </c>
      <c r="F1127" s="148">
        <f>IFERROR(__xludf.DUMMYFUNCTION("""COMPUTED_VALUE"""),0.0)</f>
        <v>0</v>
      </c>
      <c r="G1127" s="148">
        <f>IFERROR(__xludf.DUMMYFUNCTION("""COMPUTED_VALUE"""),1.5110348E7)</f>
        <v>15110348</v>
      </c>
      <c r="H1127" s="148">
        <f>IFERROR(__xludf.DUMMYFUNCTION("""COMPUTED_VALUE"""),1.5112563E7)</f>
        <v>15112563</v>
      </c>
      <c r="I1127" s="148" t="str">
        <f>IFERROR(__xludf.DUMMYFUNCTION("""COMPUTED_VALUE"""),"{}")</f>
        <v>{}</v>
      </c>
      <c r="J1127" s="148" t="str">
        <f>IFERROR(__xludf.DUMMYFUNCTION("""COMPUTED_VALUE"""),"{""typ"":""lc"",""txt"":""LC_ITEM_item_alliance_gift_boss_name""}")</f>
        <v>{"typ":"lc","txt":"LC_ITEM_item_alliance_gift_boss_name"}</v>
      </c>
      <c r="K1127" s="148" t="str">
        <f>IFERROR(__xludf.DUMMYFUNCTION("""COMPUTED_VALUE"""),"{""typ"":""lc"",""txt"":""LC_ITEM_item_alliance_gift_boss_desc""}")</f>
        <v>{"typ":"lc","txt":"LC_ITEM_item_alliance_gift_boss_desc"}</v>
      </c>
      <c r="L1127" s="148" t="str">
        <f>IFERROR(__xludf.DUMMYFUNCTION("""COMPUTED_VALUE"""),"{}")</f>
        <v>{}</v>
      </c>
      <c r="M1127" s="148">
        <f>IFERROR(__xludf.DUMMYFUNCTION("""COMPUTED_VALUE"""),66.0)</f>
        <v>66</v>
      </c>
      <c r="N1127" s="148">
        <f>IFERROR(__xludf.DUMMYFUNCTION("""COMPUTED_VALUE"""),999999.0)</f>
        <v>999999</v>
      </c>
      <c r="O1127" s="148">
        <f>IFERROR(__xludf.DUMMYFUNCTION("""COMPUTED_VALUE"""),99999.0)</f>
        <v>99999</v>
      </c>
      <c r="P1127" s="148">
        <f>IFERROR(__xludf.DUMMYFUNCTION("""COMPUTED_VALUE"""),1.0)</f>
        <v>1</v>
      </c>
      <c r="Q1127" s="148" t="str">
        <f>IFERROR(__xludf.DUMMYFUNCTION("""COMPUTED_VALUE"""),"[]")</f>
        <v>[]</v>
      </c>
      <c r="R1127" s="148" t="str">
        <f>IFERROR(__xludf.DUMMYFUNCTION("""COMPUTED_VALUE"""),"[]")</f>
        <v>[]</v>
      </c>
      <c r="S1127" s="148" t="str">
        <f>IFERROR(__xludf.DUMMYFUNCTION("""COMPUTED_VALUE"""),"{""effect"":[{""typ"":""union_gift_quality_drop"",""id"":8,""val"":1}]}")</f>
        <v>{"effect":[{"typ":"union_gift_quality_drop","id":8,"val":1}]}</v>
      </c>
      <c r="T1127" s="148">
        <f>IFERROR(__xludf.DUMMYFUNCTION("""COMPUTED_VALUE"""),-1.0)</f>
        <v>-1</v>
      </c>
      <c r="U1127" s="148">
        <f>IFERROR(__xludf.DUMMYFUNCTION("""COMPUTED_VALUE"""),1.0)</f>
        <v>1</v>
      </c>
      <c r="V1127" s="148" t="str">
        <f>IFERROR(__xludf.DUMMYFUNCTION("""COMPUTED_VALUE"""),"[]")</f>
        <v>[]</v>
      </c>
      <c r="W1127" s="148">
        <f>IFERROR(__xludf.DUMMYFUNCTION("""COMPUTED_VALUE"""),1.174E7)</f>
        <v>11740000</v>
      </c>
      <c r="X1127" s="148">
        <f>IFERROR(__xludf.DUMMYFUNCTION("""COMPUTED_VALUE"""),0.0)</f>
        <v>0</v>
      </c>
      <c r="Y1127" s="148">
        <f>IFERROR(__xludf.DUMMYFUNCTION("""COMPUTED_VALUE"""),0.0)</f>
        <v>0</v>
      </c>
      <c r="Z1127" s="148"/>
    </row>
    <row r="1128">
      <c r="A1128" s="148">
        <f>IFERROR(__xludf.DUMMYFUNCTION("""COMPUTED_VALUE"""),1.1114303E7)</f>
        <v>11114303</v>
      </c>
      <c r="B1128" s="148" t="str">
        <f>IFERROR(__xludf.DUMMYFUNCTION("""COMPUTED_VALUE"""),"联盟礼物(触发)礼包1")</f>
        <v>联盟礼物(触发)礼包1</v>
      </c>
      <c r="C1128" s="148"/>
      <c r="D1128" s="148" t="str">
        <f>IFERROR(__xludf.DUMMYFUNCTION("""COMPUTED_VALUE"""),"item_union_gift")</f>
        <v>item_union_gift</v>
      </c>
      <c r="E1128" s="148">
        <f>IFERROR(__xludf.DUMMYFUNCTION("""COMPUTED_VALUE"""),15.0)</f>
        <v>15</v>
      </c>
      <c r="F1128" s="148">
        <f>IFERROR(__xludf.DUMMYFUNCTION("""COMPUTED_VALUE"""),0.0)</f>
        <v>0</v>
      </c>
      <c r="G1128" s="148">
        <f>IFERROR(__xludf.DUMMYFUNCTION("""COMPUTED_VALUE"""),1.5113194E7)</f>
        <v>15113194</v>
      </c>
      <c r="H1128" s="148">
        <f>IFERROR(__xludf.DUMMYFUNCTION("""COMPUTED_VALUE"""),1.5112561E7)</f>
        <v>15112561</v>
      </c>
      <c r="I1128" s="148" t="str">
        <f>IFERROR(__xludf.DUMMYFUNCTION("""COMPUTED_VALUE"""),"{}")</f>
        <v>{}</v>
      </c>
      <c r="J1128" s="148" t="str">
        <f>IFERROR(__xludf.DUMMYFUNCTION("""COMPUTED_VALUE"""),"{""typ"":""lc"",""txt"":""LC_ITEM_alliance_shopping_gift_1_name""}")</f>
        <v>{"typ":"lc","txt":"LC_ITEM_alliance_shopping_gift_1_name"}</v>
      </c>
      <c r="K1128" s="148" t="str">
        <f>IFERROR(__xludf.DUMMYFUNCTION("""COMPUTED_VALUE"""),"{""typ"":""lc"",""txt"":""LC_ITEM_alliance_shopping_gift_1_desc""}")</f>
        <v>{"typ":"lc","txt":"LC_ITEM_alliance_shopping_gift_1_desc"}</v>
      </c>
      <c r="L1128" s="148" t="str">
        <f>IFERROR(__xludf.DUMMYFUNCTION("""COMPUTED_VALUE"""),"{}")</f>
        <v>{}</v>
      </c>
      <c r="M1128" s="148">
        <f>IFERROR(__xludf.DUMMYFUNCTION("""COMPUTED_VALUE"""),66.0)</f>
        <v>66</v>
      </c>
      <c r="N1128" s="148">
        <f>IFERROR(__xludf.DUMMYFUNCTION("""COMPUTED_VALUE"""),999999.0)</f>
        <v>999999</v>
      </c>
      <c r="O1128" s="148">
        <f>IFERROR(__xludf.DUMMYFUNCTION("""COMPUTED_VALUE"""),99999.0)</f>
        <v>99999</v>
      </c>
      <c r="P1128" s="148">
        <f>IFERROR(__xludf.DUMMYFUNCTION("""COMPUTED_VALUE"""),1.0)</f>
        <v>1</v>
      </c>
      <c r="Q1128" s="148" t="str">
        <f>IFERROR(__xludf.DUMMYFUNCTION("""COMPUTED_VALUE"""),"[]")</f>
        <v>[]</v>
      </c>
      <c r="R1128" s="148" t="str">
        <f>IFERROR(__xludf.DUMMYFUNCTION("""COMPUTED_VALUE"""),"[]")</f>
        <v>[]</v>
      </c>
      <c r="S1128" s="148" t="str">
        <f>IFERROR(__xludf.DUMMYFUNCTION("""COMPUTED_VALUE"""),"{""effect"":[{""typ"":""union_gift_quality_drop"",""id"":1,""val"":1}]}")</f>
        <v>{"effect":[{"typ":"union_gift_quality_drop","id":1,"val":1}]}</v>
      </c>
      <c r="T1128" s="148">
        <f>IFERROR(__xludf.DUMMYFUNCTION("""COMPUTED_VALUE"""),-1.0)</f>
        <v>-1</v>
      </c>
      <c r="U1128" s="148">
        <f>IFERROR(__xludf.DUMMYFUNCTION("""COMPUTED_VALUE"""),1.0)</f>
        <v>1</v>
      </c>
      <c r="V1128" s="148" t="str">
        <f>IFERROR(__xludf.DUMMYFUNCTION("""COMPUTED_VALUE"""),"[]")</f>
        <v>[]</v>
      </c>
      <c r="W1128" s="148">
        <f>IFERROR(__xludf.DUMMYFUNCTION("""COMPUTED_VALUE"""),1.174E7)</f>
        <v>11740000</v>
      </c>
      <c r="X1128" s="148">
        <f>IFERROR(__xludf.DUMMYFUNCTION("""COMPUTED_VALUE"""),0.0)</f>
        <v>0</v>
      </c>
      <c r="Y1128" s="148">
        <f>IFERROR(__xludf.DUMMYFUNCTION("""COMPUTED_VALUE"""),0.0)</f>
        <v>0</v>
      </c>
      <c r="Z1128" s="148"/>
    </row>
    <row r="1129">
      <c r="A1129" s="148">
        <f>IFERROR(__xludf.DUMMYFUNCTION("""COMPUTED_VALUE"""),1.1114304E7)</f>
        <v>11114304</v>
      </c>
      <c r="B1129" s="148" t="str">
        <f>IFERROR(__xludf.DUMMYFUNCTION("""COMPUTED_VALUE"""),"测试礼包道具1")</f>
        <v>测试礼包道具1</v>
      </c>
      <c r="C1129" s="148"/>
      <c r="D1129" s="148" t="str">
        <f>IFERROR(__xludf.DUMMYFUNCTION("""COMPUTED_VALUE"""),"item_asset")</f>
        <v>item_asset</v>
      </c>
      <c r="E1129" s="148">
        <f>IFERROR(__xludf.DUMMYFUNCTION("""COMPUTED_VALUE"""),19.0)</f>
        <v>19</v>
      </c>
      <c r="F1129" s="148">
        <f>IFERROR(__xludf.DUMMYFUNCTION("""COMPUTED_VALUE"""),400200.0)</f>
        <v>400200</v>
      </c>
      <c r="G1129" s="148">
        <f>IFERROR(__xludf.DUMMYFUNCTION("""COMPUTED_VALUE"""),1.5110339E7)</f>
        <v>15110339</v>
      </c>
      <c r="H1129" s="148">
        <f>IFERROR(__xludf.DUMMYFUNCTION("""COMPUTED_VALUE"""),1.5112563E7)</f>
        <v>15112563</v>
      </c>
      <c r="I1129" s="148" t="str">
        <f>IFERROR(__xludf.DUMMYFUNCTION("""COMPUTED_VALUE"""),"{}")</f>
        <v>{}</v>
      </c>
      <c r="J1129" s="148" t="str">
        <f>IFERROR(__xludf.DUMMYFUNCTION("""COMPUTED_VALUE"""),"{""typ"":""lc"",""txt"":""LC_ITEM_testbox1_name""}")</f>
        <v>{"typ":"lc","txt":"LC_ITEM_testbox1_name"}</v>
      </c>
      <c r="K1129" s="148" t="str">
        <f>IFERROR(__xludf.DUMMYFUNCTION("""COMPUTED_VALUE"""),"{""typ"":""lc"",""txt"":""LC_ITEM_testbox1_desc""}")</f>
        <v>{"typ":"lc","txt":"LC_ITEM_testbox1_desc"}</v>
      </c>
      <c r="L1129" s="148" t="str">
        <f>IFERROR(__xludf.DUMMYFUNCTION("""COMPUTED_VALUE"""),"{""typ"":""lc"",""txt"":""LC_ITEM_testbox1_usedtip""}")</f>
        <v>{"typ":"lc","txt":"LC_ITEM_testbox1_usedtip"}</v>
      </c>
      <c r="M1129" s="148">
        <f>IFERROR(__xludf.DUMMYFUNCTION("""COMPUTED_VALUE"""),66.0)</f>
        <v>66</v>
      </c>
      <c r="N1129" s="148">
        <f>IFERROR(__xludf.DUMMYFUNCTION("""COMPUTED_VALUE"""),99999.0)</f>
        <v>99999</v>
      </c>
      <c r="O1129" s="148">
        <f>IFERROR(__xludf.DUMMYFUNCTION("""COMPUTED_VALUE"""),99999.0)</f>
        <v>99999</v>
      </c>
      <c r="P1129" s="148">
        <f>IFERROR(__xludf.DUMMYFUNCTION("""COMPUTED_VALUE"""),1.0)</f>
        <v>1</v>
      </c>
      <c r="Q1129" s="148" t="str">
        <f>IFERROR(__xludf.DUMMYFUNCTION("""COMPUTED_VALUE"""),"[""bag_other""]")</f>
        <v>["bag_other"]</v>
      </c>
      <c r="R1129" s="148" t="str">
        <f>IFERROR(__xludf.DUMMYFUNCTION("""COMPUTED_VALUE"""),"[""bag""]")</f>
        <v>["bag"]</v>
      </c>
      <c r="S1129" s="148" t="str">
        <f>IFERROR(__xludf.DUMMYFUNCTION("""COMPUTED_VALUE"""),"{""drop"":{""typ"":""single_all"",""num"":1,""args"":[{""typ"":""single_random"",""num"":1,""args"":[{""typ"":""item"",""id"":11111017,""num"":2,""wgt"":50},{""typ"":""item"",""id"":11111018,""num"":2,""wgt"":50}]},{""typ"":""single_random"",""num"":1,""a"&amp;"rgs"":[{""typ"":""item"",""id"":11111151,""num"":1,""wgt"":25},{""typ"":""item"",""id"":11111152,""num"":1,""wgt"":50},{""typ"":""item"",""id"":11111155,""num"":1,""wgt"":50},{""typ"":""item"",""id"":11111102,""num"":1,""wgt"":25},{""typ"":""item"",""id"""&amp;":11111104,""num"":1,""wgt"":25}]},{""typ"":""single_random"",""num"":1,""args"":[{""typ"":""item"",""id"":11111013,""num"":1,""wgt"":100},{""typ"":""item"",""id"":11111019,""num"":1,""wgt"":100},{""typ"":""item"",""id"":11111020,""num"":1,""wgt"":50},{""t"&amp;"yp"":""empty"",""wgt"":750}]}]}}")</f>
        <v>{"drop":{"typ":"single_all","num":1,"args":[{"typ":"single_random","num":1,"args":[{"typ":"item","id":11111017,"num":2,"wgt":50},{"typ":"item","id":11111018,"num":2,"wgt":50}]},{"typ":"single_random","num":1,"args":[{"typ":"item","id":11111151,"num":1,"wgt":25},{"typ":"item","id":11111152,"num":1,"wgt":50},{"typ":"item","id":11111155,"num":1,"wgt":50},{"typ":"item","id":11111102,"num":1,"wgt":25},{"typ":"item","id":11111104,"num":1,"wgt":25}]},{"typ":"single_random","num":1,"args":[{"typ":"item","id":11111013,"num":1,"wgt":100},{"typ":"item","id":11111019,"num":1,"wgt":100},{"typ":"item","id":11111020,"num":1,"wgt":50},{"typ":"empty","wgt":750}]}]}}</v>
      </c>
      <c r="T1129" s="148">
        <f>IFERROR(__xludf.DUMMYFUNCTION("""COMPUTED_VALUE"""),-1.0)</f>
        <v>-1</v>
      </c>
      <c r="U1129" s="148">
        <f>IFERROR(__xludf.DUMMYFUNCTION("""COMPUTED_VALUE"""),0.0)</f>
        <v>0</v>
      </c>
      <c r="V1129" s="148" t="str">
        <f>IFERROR(__xludf.DUMMYFUNCTION("""COMPUTED_VALUE"""),"[]")</f>
        <v>[]</v>
      </c>
      <c r="W1129" s="148">
        <f>IFERROR(__xludf.DUMMYFUNCTION("""COMPUTED_VALUE"""),1.174E7)</f>
        <v>11740000</v>
      </c>
      <c r="X1129" s="148">
        <f>IFERROR(__xludf.DUMMYFUNCTION("""COMPUTED_VALUE"""),0.0)</f>
        <v>0</v>
      </c>
      <c r="Y1129" s="148">
        <f>IFERROR(__xludf.DUMMYFUNCTION("""COMPUTED_VALUE"""),0.0)</f>
        <v>0</v>
      </c>
      <c r="Z1129" s="148"/>
    </row>
    <row r="1130">
      <c r="A1130" s="148">
        <f>IFERROR(__xludf.DUMMYFUNCTION("""COMPUTED_VALUE"""),1.1114305E7)</f>
        <v>11114305</v>
      </c>
      <c r="B1130" s="148" t="str">
        <f>IFERROR(__xludf.DUMMYFUNCTION("""COMPUTED_VALUE"""),"测试礼包道具2")</f>
        <v>测试礼包道具2</v>
      </c>
      <c r="C1130" s="148"/>
      <c r="D1130" s="148" t="str">
        <f>IFERROR(__xludf.DUMMYFUNCTION("""COMPUTED_VALUE"""),"item_asset")</f>
        <v>item_asset</v>
      </c>
      <c r="E1130" s="148">
        <f>IFERROR(__xludf.DUMMYFUNCTION("""COMPUTED_VALUE"""),19.0)</f>
        <v>19</v>
      </c>
      <c r="F1130" s="148">
        <f>IFERROR(__xludf.DUMMYFUNCTION("""COMPUTED_VALUE"""),400200.0)</f>
        <v>400200</v>
      </c>
      <c r="G1130" s="148">
        <f>IFERROR(__xludf.DUMMYFUNCTION("""COMPUTED_VALUE"""),1.5110339E7)</f>
        <v>15110339</v>
      </c>
      <c r="H1130" s="148">
        <f>IFERROR(__xludf.DUMMYFUNCTION("""COMPUTED_VALUE"""),1.5112563E7)</f>
        <v>15112563</v>
      </c>
      <c r="I1130" s="148" t="str">
        <f>IFERROR(__xludf.DUMMYFUNCTION("""COMPUTED_VALUE"""),"{}")</f>
        <v>{}</v>
      </c>
      <c r="J1130" s="148" t="str">
        <f>IFERROR(__xludf.DUMMYFUNCTION("""COMPUTED_VALUE"""),"{""typ"":""lc"",""txt"":""LC_ITEM_testbox2_name""}")</f>
        <v>{"typ":"lc","txt":"LC_ITEM_testbox2_name"}</v>
      </c>
      <c r="K1130" s="148" t="str">
        <f>IFERROR(__xludf.DUMMYFUNCTION("""COMPUTED_VALUE"""),"{""typ"":""lc"",""txt"":""LC_ITEM_testbox2_desc""}")</f>
        <v>{"typ":"lc","txt":"LC_ITEM_testbox2_desc"}</v>
      </c>
      <c r="L1130" s="148" t="str">
        <f>IFERROR(__xludf.DUMMYFUNCTION("""COMPUTED_VALUE"""),"{""typ"":""lc"",""txt"":""LC_ITEM_testbox2_usedtip""}")</f>
        <v>{"typ":"lc","txt":"LC_ITEM_testbox2_usedtip"}</v>
      </c>
      <c r="M1130" s="148">
        <f>IFERROR(__xludf.DUMMYFUNCTION("""COMPUTED_VALUE"""),66.0)</f>
        <v>66</v>
      </c>
      <c r="N1130" s="148">
        <f>IFERROR(__xludf.DUMMYFUNCTION("""COMPUTED_VALUE"""),99999.0)</f>
        <v>99999</v>
      </c>
      <c r="O1130" s="148">
        <f>IFERROR(__xludf.DUMMYFUNCTION("""COMPUTED_VALUE"""),99999.0)</f>
        <v>99999</v>
      </c>
      <c r="P1130" s="148">
        <f>IFERROR(__xludf.DUMMYFUNCTION("""COMPUTED_VALUE"""),1.0)</f>
        <v>1</v>
      </c>
      <c r="Q1130" s="148" t="str">
        <f>IFERROR(__xludf.DUMMYFUNCTION("""COMPUTED_VALUE"""),"[""bag_other""]")</f>
        <v>["bag_other"]</v>
      </c>
      <c r="R1130" s="148" t="str">
        <f>IFERROR(__xludf.DUMMYFUNCTION("""COMPUTED_VALUE"""),"[""bag""]")</f>
        <v>["bag"]</v>
      </c>
      <c r="S1130" s="148" t="str">
        <f>IFERROR(__xludf.DUMMYFUNCTION("""COMPUTED_VALUE"""),"{""drop"":{""typ"":""single_all"",""num"":1,""args"":[{""typ"":""single_random"",""num"":1,""args"":[{""typ"":""item"",""id"":11111017,""num"":2,""wgt"":50},{""typ"":""item"",""id"":11111018,""num"":2,""wgt"":50}]},{""typ"":""single_random"",""num"":1,""a"&amp;"rgs"":[{""typ"":""item"",""id"":11111151,""num"":1,""wgt"":25},{""typ"":""item"",""id"":11111152,""num"":1,""wgt"":50},{""typ"":""item"",""id"":11111155,""num"":1,""wgt"":50},{""typ"":""item"",""id"":11111102,""num"":1,""wgt"":25},{""typ"":""item"",""id"""&amp;":11111104,""num"":1,""wgt"":25}]},{""typ"":""single_random"",""num"":1,""args"":[{""typ"":""item"",""id"":11111013,""num"":1,""wgt"":100},{""typ"":""item"",""id"":11111019,""num"":1,""wgt"":100},{""typ"":""item"",""id"":11111020,""num"":1,""wgt"":50},{""t"&amp;"yp"":""empty"",""wgt"":750}]}]}}")</f>
        <v>{"drop":{"typ":"single_all","num":1,"args":[{"typ":"single_random","num":1,"args":[{"typ":"item","id":11111017,"num":2,"wgt":50},{"typ":"item","id":11111018,"num":2,"wgt":50}]},{"typ":"single_random","num":1,"args":[{"typ":"item","id":11111151,"num":1,"wgt":25},{"typ":"item","id":11111152,"num":1,"wgt":50},{"typ":"item","id":11111155,"num":1,"wgt":50},{"typ":"item","id":11111102,"num":1,"wgt":25},{"typ":"item","id":11111104,"num":1,"wgt":25}]},{"typ":"single_random","num":1,"args":[{"typ":"item","id":11111013,"num":1,"wgt":100},{"typ":"item","id":11111019,"num":1,"wgt":100},{"typ":"item","id":11111020,"num":1,"wgt":50},{"typ":"empty","wgt":750}]}]}}</v>
      </c>
      <c r="T1130" s="148">
        <f>IFERROR(__xludf.DUMMYFUNCTION("""COMPUTED_VALUE"""),-1.0)</f>
        <v>-1</v>
      </c>
      <c r="U1130" s="148">
        <f>IFERROR(__xludf.DUMMYFUNCTION("""COMPUTED_VALUE"""),0.0)</f>
        <v>0</v>
      </c>
      <c r="V1130" s="148" t="str">
        <f>IFERROR(__xludf.DUMMYFUNCTION("""COMPUTED_VALUE"""),"[]")</f>
        <v>[]</v>
      </c>
      <c r="W1130" s="148">
        <f>IFERROR(__xludf.DUMMYFUNCTION("""COMPUTED_VALUE"""),1.174E7)</f>
        <v>11740000</v>
      </c>
      <c r="X1130" s="148">
        <f>IFERROR(__xludf.DUMMYFUNCTION("""COMPUTED_VALUE"""),0.0)</f>
        <v>0</v>
      </c>
      <c r="Y1130" s="148">
        <f>IFERROR(__xludf.DUMMYFUNCTION("""COMPUTED_VALUE"""),0.0)</f>
        <v>0</v>
      </c>
      <c r="Z1130" s="148"/>
    </row>
    <row r="1131">
      <c r="A1131" s="148">
        <f>IFERROR(__xludf.DUMMYFUNCTION("""COMPUTED_VALUE"""),1.1114306E7)</f>
        <v>11114306</v>
      </c>
      <c r="B1131" s="148" t="str">
        <f>IFERROR(__xludf.DUMMYFUNCTION("""COMPUTED_VALUE"""),"精英奖励礼包")</f>
        <v>精英奖励礼包</v>
      </c>
      <c r="C1131" s="148"/>
      <c r="D1131" s="148" t="str">
        <f>IFERROR(__xludf.DUMMYFUNCTION("""COMPUTED_VALUE"""),"item_asset")</f>
        <v>item_asset</v>
      </c>
      <c r="E1131" s="148">
        <f>IFERROR(__xludf.DUMMYFUNCTION("""COMPUTED_VALUE"""),19.0)</f>
        <v>19</v>
      </c>
      <c r="F1131" s="148">
        <f>IFERROR(__xludf.DUMMYFUNCTION("""COMPUTED_VALUE"""),403499.0)</f>
        <v>403499</v>
      </c>
      <c r="G1131" s="148">
        <f>IFERROR(__xludf.DUMMYFUNCTION("""COMPUTED_VALUE"""),1.5110347E7)</f>
        <v>15110347</v>
      </c>
      <c r="H1131" s="148">
        <f>IFERROR(__xludf.DUMMYFUNCTION("""COMPUTED_VALUE"""),1.5112561E7)</f>
        <v>15112561</v>
      </c>
      <c r="I1131" s="148" t="str">
        <f>IFERROR(__xludf.DUMMYFUNCTION("""COMPUTED_VALUE"""),"{}")</f>
        <v>{}</v>
      </c>
      <c r="J1131" s="148" t="str">
        <f>IFERROR(__xludf.DUMMYFUNCTION("""COMPUTED_VALUE"""),"{""typ"":""lc"",""txt"":""LC_ITEM_horde_elite_box_name""}")</f>
        <v>{"typ":"lc","txt":"LC_ITEM_horde_elite_box_name"}</v>
      </c>
      <c r="K1131" s="148" t="str">
        <f>IFERROR(__xludf.DUMMYFUNCTION("""COMPUTED_VALUE"""),"{""typ"":""lc"",""txt"":""LC_ITEM_horde_elite_box_desc""}")</f>
        <v>{"typ":"lc","txt":"LC_ITEM_horde_elite_box_desc"}</v>
      </c>
      <c r="L1131" s="148" t="str">
        <f>IFERROR(__xludf.DUMMYFUNCTION("""COMPUTED_VALUE"""),"{""typ"":""lc"",""txt"":""LC_ITEM_horde_elite_box_usedtip""}")</f>
        <v>{"typ":"lc","txt":"LC_ITEM_horde_elite_box_usedtip"}</v>
      </c>
      <c r="M1131" s="148">
        <f>IFERROR(__xludf.DUMMYFUNCTION("""COMPUTED_VALUE"""),42.0)</f>
        <v>42</v>
      </c>
      <c r="N1131" s="148">
        <f>IFERROR(__xludf.DUMMYFUNCTION("""COMPUTED_VALUE"""),999999.0)</f>
        <v>999999</v>
      </c>
      <c r="O1131" s="148">
        <f>IFERROR(__xludf.DUMMYFUNCTION("""COMPUTED_VALUE"""),99999.0)</f>
        <v>99999</v>
      </c>
      <c r="P1131" s="148">
        <f>IFERROR(__xludf.DUMMYFUNCTION("""COMPUTED_VALUE"""),9999.0)</f>
        <v>9999</v>
      </c>
      <c r="Q1131" s="148" t="str">
        <f>IFERROR(__xludf.DUMMYFUNCTION("""COMPUTED_VALUE"""),"[""bag_other""]")</f>
        <v>["bag_other"]</v>
      </c>
      <c r="R1131" s="148" t="str">
        <f>IFERROR(__xludf.DUMMYFUNCTION("""COMPUTED_VALUE"""),"[""bag""]")</f>
        <v>["bag"]</v>
      </c>
      <c r="S1131" s="148" t="str">
        <f>IFERROR(__xludf.DUMMYFUNCTION("""COMPUTED_VALUE"""),"{""drop"":{""typ"":""single_random"",""num"":1,""args"":[{""typ"":""item"",""id"":11111017,""num"":1,""wgt"":50},{""typ"":""item"",""id"":11111018,""num"":1,""wgt"":50},{""typ"":""item"",""id"":11111019,""num"":1,""wgt"":50},{""typ"":""item"",""id"":11111"&amp;"013,""num"":1,""wgt"":50},{""typ"":""item"",""id"":11111105,""num"":1,""wgt"":75},{""typ"":""item"",""id"":11111161,""num"":1,""wgt"":75},{""typ"":""item"",""id"":11111203,""num"":1,""wgt"":50},{""typ"":""item"",""id"":11111205,""num"":1,""wgt"":50},{""ty"&amp;"p"":""item"",""id"":11111222,""num"":1,""wgt"":50}]}}")</f>
        <v>{"drop":{"typ":"single_random","num":1,"args":[{"typ":"item","id":11111017,"num":1,"wgt":50},{"typ":"item","id":11111018,"num":1,"wgt":50},{"typ":"item","id":11111019,"num":1,"wgt":50},{"typ":"item","id":11111013,"num":1,"wgt":50},{"typ":"item","id":11111105,"num":1,"wgt":75},{"typ":"item","id":11111161,"num":1,"wgt":75},{"typ":"item","id":11111203,"num":1,"wgt":50},{"typ":"item","id":11111205,"num":1,"wgt":50},{"typ":"item","id":11111222,"num":1,"wgt":50}]}}</v>
      </c>
      <c r="T1131" s="148">
        <f>IFERROR(__xludf.DUMMYFUNCTION("""COMPUTED_VALUE"""),-1.0)</f>
        <v>-1</v>
      </c>
      <c r="U1131" s="148">
        <f>IFERROR(__xludf.DUMMYFUNCTION("""COMPUTED_VALUE"""),0.0)</f>
        <v>0</v>
      </c>
      <c r="V1131" s="148" t="str">
        <f>IFERROR(__xludf.DUMMYFUNCTION("""COMPUTED_VALUE"""),"[]")</f>
        <v>[]</v>
      </c>
      <c r="W1131" s="148">
        <f>IFERROR(__xludf.DUMMYFUNCTION("""COMPUTED_VALUE"""),1.174E7)</f>
        <v>11740000</v>
      </c>
      <c r="X1131" s="148">
        <f>IFERROR(__xludf.DUMMYFUNCTION("""COMPUTED_VALUE"""),0.0)</f>
        <v>0</v>
      </c>
      <c r="Y1131" s="148">
        <f>IFERROR(__xludf.DUMMYFUNCTION("""COMPUTED_VALUE"""),0.0)</f>
        <v>0</v>
      </c>
      <c r="Z1131" s="148"/>
    </row>
    <row r="1132">
      <c r="A1132" s="148">
        <f>IFERROR(__xludf.DUMMYFUNCTION("""COMPUTED_VALUE"""),1.1114307E7)</f>
        <v>11114307</v>
      </c>
      <c r="B1132" s="148" t="str">
        <f>IFERROR(__xludf.DUMMYFUNCTION("""COMPUTED_VALUE"""),"宇宙探索宝箱")</f>
        <v>宇宙探索宝箱</v>
      </c>
      <c r="C1132" s="148"/>
      <c r="D1132" s="148" t="str">
        <f>IFERROR(__xludf.DUMMYFUNCTION("""COMPUTED_VALUE"""),"item_asset")</f>
        <v>item_asset</v>
      </c>
      <c r="E1132" s="148">
        <f>IFERROR(__xludf.DUMMYFUNCTION("""COMPUTED_VALUE"""),19.0)</f>
        <v>19</v>
      </c>
      <c r="F1132" s="148">
        <f>IFERROR(__xludf.DUMMYFUNCTION("""COMPUTED_VALUE"""),403499.0)</f>
        <v>403499</v>
      </c>
      <c r="G1132" s="148">
        <f>IFERROR(__xludf.DUMMYFUNCTION("""COMPUTED_VALUE"""),1.5112492E7)</f>
        <v>15112492</v>
      </c>
      <c r="H1132" s="148">
        <f>IFERROR(__xludf.DUMMYFUNCTION("""COMPUTED_VALUE"""),1.5112561E7)</f>
        <v>15112561</v>
      </c>
      <c r="I1132" s="148" t="str">
        <f>IFERROR(__xludf.DUMMYFUNCTION("""COMPUTED_VALUE"""),"{}")</f>
        <v>{}</v>
      </c>
      <c r="J1132" s="148" t="str">
        <f>IFERROR(__xludf.DUMMYFUNCTION("""COMPUTED_VALUE"""),"{""typ"":""lc"",""txt"":""LC_ITEM_explore_space_box_name""}")</f>
        <v>{"typ":"lc","txt":"LC_ITEM_explore_space_box_name"}</v>
      </c>
      <c r="K1132" s="148" t="str">
        <f>IFERROR(__xludf.DUMMYFUNCTION("""COMPUTED_VALUE"""),"{""typ"":""lc"",""txt"":""LC_ITEM_explore_space_box_desc""}")</f>
        <v>{"typ":"lc","txt":"LC_ITEM_explore_space_box_desc"}</v>
      </c>
      <c r="L1132" s="148" t="str">
        <f>IFERROR(__xludf.DUMMYFUNCTION("""COMPUTED_VALUE"""),"{""typ"":""lc"",""txt"":""LC_ITEM_explore_space_box_usedtip""}")</f>
        <v>{"typ":"lc","txt":"LC_ITEM_explore_space_box_usedtip"}</v>
      </c>
      <c r="M1132" s="148">
        <f>IFERROR(__xludf.DUMMYFUNCTION("""COMPUTED_VALUE"""),33.0)</f>
        <v>33</v>
      </c>
      <c r="N1132" s="148">
        <f>IFERROR(__xludf.DUMMYFUNCTION("""COMPUTED_VALUE"""),999999.0)</f>
        <v>999999</v>
      </c>
      <c r="O1132" s="148">
        <f>IFERROR(__xludf.DUMMYFUNCTION("""COMPUTED_VALUE"""),99999.0)</f>
        <v>99999</v>
      </c>
      <c r="P1132" s="148">
        <f>IFERROR(__xludf.DUMMYFUNCTION("""COMPUTED_VALUE"""),100.0)</f>
        <v>100</v>
      </c>
      <c r="Q1132" s="148" t="str">
        <f>IFERROR(__xludf.DUMMYFUNCTION("""COMPUTED_VALUE"""),"[""bag_other""]")</f>
        <v>["bag_other"]</v>
      </c>
      <c r="R1132" s="148" t="str">
        <f>IFERROR(__xludf.DUMMYFUNCTION("""COMPUTED_VALUE"""),"[""bag""]")</f>
        <v>["bag"]</v>
      </c>
      <c r="S1132" s="148" t="str">
        <f>IFERROR(__xludf.DUMMYFUNCTION("""COMPUTED_VALUE"""),"{""drop"":{""typ"":""single_all"",""num"":1,""args"":[{""typ"":""item"",""id"":11113003,""num"":1,""wgt"":1},{""typ"":""single_random"",""num"":1,""args"":[{""typ"":""item"",""id"":11111001,""num"":1,""wgt"":30},{""typ"":""item"",""id"":11111002,""num"":1"&amp;",""wgt"":5},{""typ"":""item"",""id"":11111005,""num"":1,""wgt"":30},{""typ"":""item"",""id"":11111006,""num"":1,""wgt"":5},{""typ"":""item"",""id"":11111102,""num"":1,""wgt"":25},{""typ"":""item"",""id"":11111105,""num"":1,""wgt"":5}]}]}}")</f>
        <v>{"drop":{"typ":"single_all","num":1,"args":[{"typ":"item","id":11113003,"num":1,"wgt":1},{"typ":"single_random","num":1,"args":[{"typ":"item","id":11111001,"num":1,"wgt":30},{"typ":"item","id":11111002,"num":1,"wgt":5},{"typ":"item","id":11111005,"num":1,"wgt":30},{"typ":"item","id":11111006,"num":1,"wgt":5},{"typ":"item","id":11111102,"num":1,"wgt":25},{"typ":"item","id":11111105,"num":1,"wgt":5}]}]}}</v>
      </c>
      <c r="T1132" s="148">
        <f>IFERROR(__xludf.DUMMYFUNCTION("""COMPUTED_VALUE"""),-1.0)</f>
        <v>-1</v>
      </c>
      <c r="U1132" s="148">
        <f>IFERROR(__xludf.DUMMYFUNCTION("""COMPUTED_VALUE"""),0.0)</f>
        <v>0</v>
      </c>
      <c r="V1132" s="148" t="str">
        <f>IFERROR(__xludf.DUMMYFUNCTION("""COMPUTED_VALUE"""),"[]")</f>
        <v>[]</v>
      </c>
      <c r="W1132" s="148">
        <f>IFERROR(__xludf.DUMMYFUNCTION("""COMPUTED_VALUE"""),1.174E7)</f>
        <v>11740000</v>
      </c>
      <c r="X1132" s="148">
        <f>IFERROR(__xludf.DUMMYFUNCTION("""COMPUTED_VALUE"""),0.0)</f>
        <v>0</v>
      </c>
      <c r="Y1132" s="148">
        <f>IFERROR(__xludf.DUMMYFUNCTION("""COMPUTED_VALUE"""),0.0)</f>
        <v>0</v>
      </c>
      <c r="Z1132" s="148"/>
    </row>
    <row r="1133">
      <c r="A1133" s="148">
        <f>IFERROR(__xludf.DUMMYFUNCTION("""COMPUTED_VALUE"""),1.1114308E7)</f>
        <v>11114308</v>
      </c>
      <c r="B1133" s="148" t="str">
        <f>IFERROR(__xludf.DUMMYFUNCTION("""COMPUTED_VALUE"""),"野怪宝箱")</f>
        <v>野怪宝箱</v>
      </c>
      <c r="C1133" s="148"/>
      <c r="D1133" s="148" t="str">
        <f>IFERROR(__xludf.DUMMYFUNCTION("""COMPUTED_VALUE"""),"item_asset")</f>
        <v>item_asset</v>
      </c>
      <c r="E1133" s="148">
        <f>IFERROR(__xludf.DUMMYFUNCTION("""COMPUTED_VALUE"""),19.0)</f>
        <v>19</v>
      </c>
      <c r="F1133" s="148">
        <f>IFERROR(__xludf.DUMMYFUNCTION("""COMPUTED_VALUE"""),403499.0)</f>
        <v>403499</v>
      </c>
      <c r="G1133" s="148">
        <f>IFERROR(__xludf.DUMMYFUNCTION("""COMPUTED_VALUE"""),1.5110347E7)</f>
        <v>15110347</v>
      </c>
      <c r="H1133" s="148">
        <f>IFERROR(__xludf.DUMMYFUNCTION("""COMPUTED_VALUE"""),1.5112561E7)</f>
        <v>15112561</v>
      </c>
      <c r="I1133" s="148" t="str">
        <f>IFERROR(__xludf.DUMMYFUNCTION("""COMPUTED_VALUE"""),"{}")</f>
        <v>{}</v>
      </c>
      <c r="J1133" s="148" t="str">
        <f>IFERROR(__xludf.DUMMYFUNCTION("""COMPUTED_VALUE"""),"{""typ"":""lc"",""txt"":""LC_ITEM_chest_from_atk_npc_name""}")</f>
        <v>{"typ":"lc","txt":"LC_ITEM_chest_from_atk_npc_name"}</v>
      </c>
      <c r="K1133" s="148" t="str">
        <f>IFERROR(__xludf.DUMMYFUNCTION("""COMPUTED_VALUE"""),"{""typ"":""lc"",""txt"":""LC_ITEM_chest_from_atk_npc_desc""}")</f>
        <v>{"typ":"lc","txt":"LC_ITEM_chest_from_atk_npc_desc"}</v>
      </c>
      <c r="L1133" s="148" t="str">
        <f>IFERROR(__xludf.DUMMYFUNCTION("""COMPUTED_VALUE"""),"{""typ"":""lc"",""txt"":""LC_ITEM_chest_from_atk_npc_usedtip""}")</f>
        <v>{"typ":"lc","txt":"LC_ITEM_chest_from_atk_npc_usedtip"}</v>
      </c>
      <c r="M1133" s="148">
        <f>IFERROR(__xludf.DUMMYFUNCTION("""COMPUTED_VALUE"""),17.0)</f>
        <v>17</v>
      </c>
      <c r="N1133" s="148">
        <f>IFERROR(__xludf.DUMMYFUNCTION("""COMPUTED_VALUE"""),999999.0)</f>
        <v>999999</v>
      </c>
      <c r="O1133" s="148">
        <f>IFERROR(__xludf.DUMMYFUNCTION("""COMPUTED_VALUE"""),99999.0)</f>
        <v>99999</v>
      </c>
      <c r="P1133" s="148">
        <f>IFERROR(__xludf.DUMMYFUNCTION("""COMPUTED_VALUE"""),99999.0)</f>
        <v>99999</v>
      </c>
      <c r="Q1133" s="148" t="str">
        <f>IFERROR(__xludf.DUMMYFUNCTION("""COMPUTED_VALUE"""),"[""bag_other""]")</f>
        <v>["bag_other"]</v>
      </c>
      <c r="R1133" s="148" t="str">
        <f>IFERROR(__xludf.DUMMYFUNCTION("""COMPUTED_VALUE"""),"[""bag""]")</f>
        <v>["bag"]</v>
      </c>
      <c r="S1133" s="148" t="str">
        <f>IFERROR(__xludf.DUMMYFUNCTION("""COMPUTED_VALUE"""),"{""drop"":{""typ"":""single_all"",""num"":1,""args"":[{""typ"":""single_random"",""num"":1,""args"":[{""typ"":""item"",""id"":11111001,""num"":1,""wgt"":4000},{""typ"":""item"",""id"":11111002,""num"":1,""wgt"":1000},{""typ"":""item"",""id"":11111005,""nu"&amp;"m"":1,""wgt"":4000},{""typ"":""item"",""id"":11111006,""num"":1,""wgt"":1000}]
},{""typ"":""single_random"",""num"":1,""args"":[{""typ"":""item"",""id"":11111151,""num"":1,""wgt"":3500},{""typ"":""item"",""id"":11111152,""num"":1,""wgt"":1000},{""typ"":"""&amp;"item"",""id"":11111106,""num"":1,""wgt"":500},{""typ"":""empty"",""wgt"":5000}]}]}}")</f>
        <v>{"drop":{"typ":"single_all","num":1,"args":[{"typ":"single_random","num":1,"args":[{"typ":"item","id":11111001,"num":1,"wgt":4000},{"typ":"item","id":11111002,"num":1,"wgt":1000},{"typ":"item","id":11111005,"num":1,"wgt":4000},{"typ":"item","id":11111006,"num":1,"wgt":1000}]
},{"typ":"single_random","num":1,"args":[{"typ":"item","id":11111151,"num":1,"wgt":3500},{"typ":"item","id":11111152,"num":1,"wgt":1000},{"typ":"item","id":11111106,"num":1,"wgt":500},{"typ":"empty","wgt":5000}]}]}}</v>
      </c>
      <c r="T1133" s="148">
        <f>IFERROR(__xludf.DUMMYFUNCTION("""COMPUTED_VALUE"""),-1.0)</f>
        <v>-1</v>
      </c>
      <c r="U1133" s="148">
        <f>IFERROR(__xludf.DUMMYFUNCTION("""COMPUTED_VALUE"""),0.0)</f>
        <v>0</v>
      </c>
      <c r="V1133" s="148" t="str">
        <f>IFERROR(__xludf.DUMMYFUNCTION("""COMPUTED_VALUE"""),"[]")</f>
        <v>[]</v>
      </c>
      <c r="W1133" s="148">
        <f>IFERROR(__xludf.DUMMYFUNCTION("""COMPUTED_VALUE"""),1.174E7)</f>
        <v>11740000</v>
      </c>
      <c r="X1133" s="148">
        <f>IFERROR(__xludf.DUMMYFUNCTION("""COMPUTED_VALUE"""),0.0)</f>
        <v>0</v>
      </c>
      <c r="Y1133" s="148">
        <f>IFERROR(__xludf.DUMMYFUNCTION("""COMPUTED_VALUE"""),0.0)</f>
        <v>0</v>
      </c>
      <c r="Z1133" s="148"/>
    </row>
    <row r="1134">
      <c r="A1134" s="148">
        <f>IFERROR(__xludf.DUMMYFUNCTION("""COMPUTED_VALUE"""),1.1114309E7)</f>
        <v>11114309</v>
      </c>
      <c r="B1134" s="148" t="str">
        <f>IFERROR(__xludf.DUMMYFUNCTION("""COMPUTED_VALUE"""),"资源宝箱")</f>
        <v>资源宝箱</v>
      </c>
      <c r="C1134" s="148"/>
      <c r="D1134" s="148" t="str">
        <f>IFERROR(__xludf.DUMMYFUNCTION("""COMPUTED_VALUE"""),"item_asset")</f>
        <v>item_asset</v>
      </c>
      <c r="E1134" s="148">
        <f>IFERROR(__xludf.DUMMYFUNCTION("""COMPUTED_VALUE"""),19.0)</f>
        <v>19</v>
      </c>
      <c r="F1134" s="148">
        <f>IFERROR(__xludf.DUMMYFUNCTION("""COMPUTED_VALUE"""),101200.0)</f>
        <v>101200</v>
      </c>
      <c r="G1134" s="148">
        <f>IFERROR(__xludf.DUMMYFUNCTION("""COMPUTED_VALUE"""),1.5110347E7)</f>
        <v>15110347</v>
      </c>
      <c r="H1134" s="148">
        <f>IFERROR(__xludf.DUMMYFUNCTION("""COMPUTED_VALUE"""),1.5112561E7)</f>
        <v>15112561</v>
      </c>
      <c r="I1134" s="148" t="str">
        <f>IFERROR(__xludf.DUMMYFUNCTION("""COMPUTED_VALUE"""),"{}")</f>
        <v>{}</v>
      </c>
      <c r="J1134" s="148" t="str">
        <f>IFERROR(__xludf.DUMMYFUNCTION("""COMPUTED_VALUE"""),"{""typ"":""lc"",""txt"":""LC_ITEM_rss_box_from_uranium_name""}")</f>
        <v>{"typ":"lc","txt":"LC_ITEM_rss_box_from_uranium_name"}</v>
      </c>
      <c r="K1134" s="148" t="str">
        <f>IFERROR(__xludf.DUMMYFUNCTION("""COMPUTED_VALUE"""),"{""typ"":""lc"",""txt"":""LC_ITEM_rss_box_from_gather_small_desc""}")</f>
        <v>{"typ":"lc","txt":"LC_ITEM_rss_box_from_gather_small_desc"}</v>
      </c>
      <c r="L1134" s="148" t="str">
        <f>IFERROR(__xludf.DUMMYFUNCTION("""COMPUTED_VALUE"""),"{""typ"":""lc"",""txt"":""LC_ITEM_rss_box_from_uranium_usedtip""}")</f>
        <v>{"typ":"lc","txt":"LC_ITEM_rss_box_from_uranium_usedtip"}</v>
      </c>
      <c r="M1134" s="148">
        <f>IFERROR(__xludf.DUMMYFUNCTION("""COMPUTED_VALUE"""),13.0)</f>
        <v>13</v>
      </c>
      <c r="N1134" s="148">
        <f>IFERROR(__xludf.DUMMYFUNCTION("""COMPUTED_VALUE"""),999999.0)</f>
        <v>999999</v>
      </c>
      <c r="O1134" s="148">
        <f>IFERROR(__xludf.DUMMYFUNCTION("""COMPUTED_VALUE"""),99999.0)</f>
        <v>99999</v>
      </c>
      <c r="P1134" s="148">
        <f>IFERROR(__xludf.DUMMYFUNCTION("""COMPUTED_VALUE"""),99999.0)</f>
        <v>99999</v>
      </c>
      <c r="Q1134" s="148" t="str">
        <f>IFERROR(__xludf.DUMMYFUNCTION("""COMPUTED_VALUE"""),"[""bag_asset""]")</f>
        <v>["bag_asset"]</v>
      </c>
      <c r="R1134" s="148" t="str">
        <f>IFERROR(__xludf.DUMMYFUNCTION("""COMPUTED_VALUE"""),"[""bag""]")</f>
        <v>["bag"]</v>
      </c>
      <c r="S1134" s="148" t="str">
        <f>IFERROR(__xludf.DUMMYFUNCTION("""COMPUTED_VALUE"""),"{""drop"":{""typ"":""single_random"",""num"":1,""args"":[{""typ"":""item"",""id"":11111001,""num"":1,""wgt"":20},{""typ"":""item"",""id"":11111005,""num"":1,""wgt"":20},{""typ"":""item"",""id"":11111025,""num"":1,""wgt"":30},{""typ"":""item"",""id"":11111"&amp;"026,""num"":1,""wgt"":30}]}}")</f>
        <v>{"drop":{"typ":"single_random","num":1,"args":[{"typ":"item","id":11111001,"num":1,"wgt":20},{"typ":"item","id":11111005,"num":1,"wgt":20},{"typ":"item","id":11111025,"num":1,"wgt":30},{"typ":"item","id":11111026,"num":1,"wgt":30}]}}</v>
      </c>
      <c r="T1134" s="148">
        <f>IFERROR(__xludf.DUMMYFUNCTION("""COMPUTED_VALUE"""),-1.0)</f>
        <v>-1</v>
      </c>
      <c r="U1134" s="148">
        <f>IFERROR(__xludf.DUMMYFUNCTION("""COMPUTED_VALUE"""),0.0)</f>
        <v>0</v>
      </c>
      <c r="V1134" s="148" t="str">
        <f>IFERROR(__xludf.DUMMYFUNCTION("""COMPUTED_VALUE"""),"[]")</f>
        <v>[]</v>
      </c>
      <c r="W1134" s="148">
        <f>IFERROR(__xludf.DUMMYFUNCTION("""COMPUTED_VALUE"""),1.174E7)</f>
        <v>11740000</v>
      </c>
      <c r="X1134" s="148">
        <f>IFERROR(__xludf.DUMMYFUNCTION("""COMPUTED_VALUE"""),0.0)</f>
        <v>0</v>
      </c>
      <c r="Y1134" s="148">
        <f>IFERROR(__xludf.DUMMYFUNCTION("""COMPUTED_VALUE"""),0.0)</f>
        <v>0</v>
      </c>
      <c r="Z1134" s="148"/>
    </row>
    <row r="1135">
      <c r="A1135" s="148">
        <f>IFERROR(__xludf.DUMMYFUNCTION("""COMPUTED_VALUE"""),1.111431E7)</f>
        <v>11114310</v>
      </c>
      <c r="B1135" s="148" t="str">
        <f>IFERROR(__xludf.DUMMYFUNCTION("""COMPUTED_VALUE"""),"电池宝箱")</f>
        <v>电池宝箱</v>
      </c>
      <c r="C1135" s="148"/>
      <c r="D1135" s="148" t="str">
        <f>IFERROR(__xludf.DUMMYFUNCTION("""COMPUTED_VALUE"""),"item_asset")</f>
        <v>item_asset</v>
      </c>
      <c r="E1135" s="148">
        <f>IFERROR(__xludf.DUMMYFUNCTION("""COMPUTED_VALUE"""),19.0)</f>
        <v>19</v>
      </c>
      <c r="F1135" s="148">
        <f>IFERROR(__xludf.DUMMYFUNCTION("""COMPUTED_VALUE"""),101200.0)</f>
        <v>101200</v>
      </c>
      <c r="G1135" s="148">
        <f>IFERROR(__xludf.DUMMYFUNCTION("""COMPUTED_VALUE"""),1.5110347E7)</f>
        <v>15110347</v>
      </c>
      <c r="H1135" s="148">
        <f>IFERROR(__xludf.DUMMYFUNCTION("""COMPUTED_VALUE"""),1.5112561E7)</f>
        <v>15112561</v>
      </c>
      <c r="I1135" s="148" t="str">
        <f>IFERROR(__xludf.DUMMYFUNCTION("""COMPUTED_VALUE"""),"{}")</f>
        <v>{}</v>
      </c>
      <c r="J1135" s="148" t="str">
        <f>IFERROR(__xludf.DUMMYFUNCTION("""COMPUTED_VALUE"""),"{""typ"":""lc"",""txt"":""LC_ITEM_battery_box_from_uranium_name""}")</f>
        <v>{"typ":"lc","txt":"LC_ITEM_battery_box_from_uranium_name"}</v>
      </c>
      <c r="K1135" s="148" t="str">
        <f>IFERROR(__xludf.DUMMYFUNCTION("""COMPUTED_VALUE"""),"{""typ"":""lc"",""txt"":""LC_ITEM_battery_box_from_uranium_desc""}")</f>
        <v>{"typ":"lc","txt":"LC_ITEM_battery_box_from_uranium_desc"}</v>
      </c>
      <c r="L1135" s="148" t="str">
        <f>IFERROR(__xludf.DUMMYFUNCTION("""COMPUTED_VALUE"""),"{""typ"":""lc"",""txt"":""LC_ITEM_battery_box_from_uranium_usedtip""}")</f>
        <v>{"typ":"lc","txt":"LC_ITEM_battery_box_from_uranium_usedtip"}</v>
      </c>
      <c r="M1135" s="148">
        <f>IFERROR(__xludf.DUMMYFUNCTION("""COMPUTED_VALUE"""),11.0)</f>
        <v>11</v>
      </c>
      <c r="N1135" s="148">
        <f>IFERROR(__xludf.DUMMYFUNCTION("""COMPUTED_VALUE"""),999999.0)</f>
        <v>999999</v>
      </c>
      <c r="O1135" s="148">
        <f>IFERROR(__xludf.DUMMYFUNCTION("""COMPUTED_VALUE"""),99999.0)</f>
        <v>99999</v>
      </c>
      <c r="P1135" s="148">
        <f>IFERROR(__xludf.DUMMYFUNCTION("""COMPUTED_VALUE"""),99999.0)</f>
        <v>99999</v>
      </c>
      <c r="Q1135" s="148" t="str">
        <f>IFERROR(__xludf.DUMMYFUNCTION("""COMPUTED_VALUE"""),"[""bag_asset"",""rss_x""]")</f>
        <v>["bag_asset","rss_x"]</v>
      </c>
      <c r="R1135" s="148" t="str">
        <f>IFERROR(__xludf.DUMMYFUNCTION("""COMPUTED_VALUE"""),"[""bag"",""rss_x""]")</f>
        <v>["bag","rss_x"]</v>
      </c>
      <c r="S1135" s="148" t="str">
        <f>IFERROR(__xludf.DUMMYFUNCTION("""COMPUTED_VALUE"""),"{""drop"":{""typ"":""single_random"",""num"":1,""args"":[{""typ"":""item"",""id"":11111027,""num"":1,""wgt"":50},{""typ"":""item"",""id"":11111013,""num"":1,""wgt"":25},{""typ"":""item"",""id"":11111028,""num"":1,""wgt"":20},{""typ"":""item"",""id"":11111"&amp;"014,""num"":1,""wgt"":5}]}}")</f>
        <v>{"drop":{"typ":"single_random","num":1,"args":[{"typ":"item","id":11111027,"num":1,"wgt":50},{"typ":"item","id":11111013,"num":1,"wgt":25},{"typ":"item","id":11111028,"num":1,"wgt":20},{"typ":"item","id":11111014,"num":1,"wgt":5}]}}</v>
      </c>
      <c r="T1135" s="148">
        <f>IFERROR(__xludf.DUMMYFUNCTION("""COMPUTED_VALUE"""),-1.0)</f>
        <v>-1</v>
      </c>
      <c r="U1135" s="148">
        <f>IFERROR(__xludf.DUMMYFUNCTION("""COMPUTED_VALUE"""),0.0)</f>
        <v>0</v>
      </c>
      <c r="V1135" s="148" t="str">
        <f>IFERROR(__xludf.DUMMYFUNCTION("""COMPUTED_VALUE"""),"[]")</f>
        <v>[]</v>
      </c>
      <c r="W1135" s="148">
        <f>IFERROR(__xludf.DUMMYFUNCTION("""COMPUTED_VALUE"""),1.174E7)</f>
        <v>11740000</v>
      </c>
      <c r="X1135" s="148">
        <f>IFERROR(__xludf.DUMMYFUNCTION("""COMPUTED_VALUE"""),0.0)</f>
        <v>0</v>
      </c>
      <c r="Y1135" s="148">
        <f>IFERROR(__xludf.DUMMYFUNCTION("""COMPUTED_VALUE"""),0.0)</f>
        <v>0</v>
      </c>
      <c r="Z1135" s="148"/>
    </row>
    <row r="1136">
      <c r="A1136" s="148">
        <f>IFERROR(__xludf.DUMMYFUNCTION("""COMPUTED_VALUE"""),1.1114311E7)</f>
        <v>11114311</v>
      </c>
      <c r="B1136" s="148" t="str">
        <f>IFERROR(__xludf.DUMMYFUNCTION("""COMPUTED_VALUE"""),"赛季额外宝箱")</f>
        <v>赛季额外宝箱</v>
      </c>
      <c r="C1136" s="148"/>
      <c r="D1136" s="148" t="str">
        <f>IFERROR(__xludf.DUMMYFUNCTION("""COMPUTED_VALUE"""),"item_asset")</f>
        <v>item_asset</v>
      </c>
      <c r="E1136" s="148">
        <f>IFERROR(__xludf.DUMMYFUNCTION("""COMPUTED_VALUE"""),19.0)</f>
        <v>19</v>
      </c>
      <c r="F1136" s="148">
        <f>IFERROR(__xludf.DUMMYFUNCTION("""COMPUTED_VALUE"""),403499.0)</f>
        <v>403499</v>
      </c>
      <c r="G1136" s="148">
        <f>IFERROR(__xludf.DUMMYFUNCTION("""COMPUTED_VALUE"""),1.5110347E7)</f>
        <v>15110347</v>
      </c>
      <c r="H1136" s="148">
        <f>IFERROR(__xludf.DUMMYFUNCTION("""COMPUTED_VALUE"""),1.5112561E7)</f>
        <v>15112561</v>
      </c>
      <c r="I1136" s="148" t="str">
        <f>IFERROR(__xludf.DUMMYFUNCTION("""COMPUTED_VALUE"""),"{}")</f>
        <v>{}</v>
      </c>
      <c r="J1136" s="148" t="str">
        <f>IFERROR(__xludf.DUMMYFUNCTION("""COMPUTED_VALUE"""),"{""typ"":""lc"",""txt"":""LC_ITEM_season_extra_reward_name""}")</f>
        <v>{"typ":"lc","txt":"LC_ITEM_season_extra_reward_name"}</v>
      </c>
      <c r="K1136" s="148" t="str">
        <f>IFERROR(__xludf.DUMMYFUNCTION("""COMPUTED_VALUE"""),"{""typ"":""lc"",""txt"":""LC_ITEM_season_extra_reward_desc""}")</f>
        <v>{"typ":"lc","txt":"LC_ITEM_season_extra_reward_desc"}</v>
      </c>
      <c r="L1136" s="148" t="str">
        <f>IFERROR(__xludf.DUMMYFUNCTION("""COMPUTED_VALUE"""),"{""typ"":""lc"",""txt"":""LC_ITEM_season_extra_reward_usedtip""}")</f>
        <v>{"typ":"lc","txt":"LC_ITEM_season_extra_reward_usedtip"}</v>
      </c>
      <c r="M1136" s="148">
        <f>IFERROR(__xludf.DUMMYFUNCTION("""COMPUTED_VALUE"""),42.0)</f>
        <v>42</v>
      </c>
      <c r="N1136" s="148">
        <f>IFERROR(__xludf.DUMMYFUNCTION("""COMPUTED_VALUE"""),999999.0)</f>
        <v>999999</v>
      </c>
      <c r="O1136" s="148">
        <f>IFERROR(__xludf.DUMMYFUNCTION("""COMPUTED_VALUE"""),99999.0)</f>
        <v>99999</v>
      </c>
      <c r="P1136" s="148">
        <f>IFERROR(__xludf.DUMMYFUNCTION("""COMPUTED_VALUE"""),99999.0)</f>
        <v>99999</v>
      </c>
      <c r="Q1136" s="148" t="str">
        <f>IFERROR(__xludf.DUMMYFUNCTION("""COMPUTED_VALUE"""),"[""bag_other""]")</f>
        <v>["bag_other"]</v>
      </c>
      <c r="R1136" s="148" t="str">
        <f>IFERROR(__xludf.DUMMYFUNCTION("""COMPUTED_VALUE"""),"[""bag""]")</f>
        <v>["bag"]</v>
      </c>
      <c r="S1136" s="148" t="str">
        <f>IFERROR(__xludf.DUMMYFUNCTION("""COMPUTED_VALUE"""),"{""drop"":{""typ"":""single_random"",""num"":1,""args"":[{""typ"":""item"",""id"":11111017,""num"":1,""wgt"":50},{""typ"":""item"",""id"":11111018,""num"":1,""wgt"":50},{""typ"":""item"",""id"":11111019,""num"":1,""wgt"":50},{""typ"":""item"",""id"":11111"&amp;"013,""num"":1,""wgt"":50},{""typ"":""item"",""id"":11111105,""num"":1,""wgt"":75},{""typ"":""item"",""id"":11111161,""num"":1,""wgt"":75},{""typ"":""item"",""id"":11111203,""num"":1,""wgt"":50},{""typ"":""item"",""id"":11111205,""num"":1,""wgt"":50},{""ty"&amp;"p"":""item"",""id"":11111222,""num"":1,""wgt"":50}]}}")</f>
        <v>{"drop":{"typ":"single_random","num":1,"args":[{"typ":"item","id":11111017,"num":1,"wgt":50},{"typ":"item","id":11111018,"num":1,"wgt":50},{"typ":"item","id":11111019,"num":1,"wgt":50},{"typ":"item","id":11111013,"num":1,"wgt":50},{"typ":"item","id":11111105,"num":1,"wgt":75},{"typ":"item","id":11111161,"num":1,"wgt":75},{"typ":"item","id":11111203,"num":1,"wgt":50},{"typ":"item","id":11111205,"num":1,"wgt":50},{"typ":"item","id":11111222,"num":1,"wgt":50}]}}</v>
      </c>
      <c r="T1136" s="148">
        <f>IFERROR(__xludf.DUMMYFUNCTION("""COMPUTED_VALUE"""),-1.0)</f>
        <v>-1</v>
      </c>
      <c r="U1136" s="148">
        <f>IFERROR(__xludf.DUMMYFUNCTION("""COMPUTED_VALUE"""),0.0)</f>
        <v>0</v>
      </c>
      <c r="V1136" s="148" t="str">
        <f>IFERROR(__xludf.DUMMYFUNCTION("""COMPUTED_VALUE"""),"[]")</f>
        <v>[]</v>
      </c>
      <c r="W1136" s="148">
        <f>IFERROR(__xludf.DUMMYFUNCTION("""COMPUTED_VALUE"""),1.174E7)</f>
        <v>11740000</v>
      </c>
      <c r="X1136" s="148">
        <f>IFERROR(__xludf.DUMMYFUNCTION("""COMPUTED_VALUE"""),0.0)</f>
        <v>0</v>
      </c>
      <c r="Y1136" s="148">
        <f>IFERROR(__xludf.DUMMYFUNCTION("""COMPUTED_VALUE"""),0.0)</f>
        <v>0</v>
      </c>
      <c r="Z1136" s="148"/>
    </row>
    <row r="1137">
      <c r="A1137" s="148">
        <f>IFERROR(__xludf.DUMMYFUNCTION("""COMPUTED_VALUE"""),1.1114312E7)</f>
        <v>11114312</v>
      </c>
      <c r="B1137" s="148" t="str">
        <f>IFERROR(__xludf.DUMMYFUNCTION("""COMPUTED_VALUE"""),"美妮的礼物")</f>
        <v>美妮的礼物</v>
      </c>
      <c r="C1137" s="148"/>
      <c r="D1137" s="148" t="str">
        <f>IFERROR(__xludf.DUMMYFUNCTION("""COMPUTED_VALUE"""),"item_asset")</f>
        <v>item_asset</v>
      </c>
      <c r="E1137" s="148">
        <f>IFERROR(__xludf.DUMMYFUNCTION("""COMPUTED_VALUE"""),19.0)</f>
        <v>19</v>
      </c>
      <c r="F1137" s="148">
        <f>IFERROR(__xludf.DUMMYFUNCTION("""COMPUTED_VALUE"""),401116.0)</f>
        <v>401116</v>
      </c>
      <c r="G1137" s="148">
        <f>IFERROR(__xludf.DUMMYFUNCTION("""COMPUTED_VALUE"""),1.5113556E7)</f>
        <v>15113556</v>
      </c>
      <c r="H1137" s="148">
        <f>IFERROR(__xludf.DUMMYFUNCTION("""COMPUTED_VALUE"""),1.5112564E7)</f>
        <v>15112564</v>
      </c>
      <c r="I1137" s="148" t="str">
        <f>IFERROR(__xludf.DUMMYFUNCTION("""COMPUTED_VALUE"""),"{}")</f>
        <v>{}</v>
      </c>
      <c r="J1137" s="148" t="str">
        <f>IFERROR(__xludf.DUMMYFUNCTION("""COMPUTED_VALUE"""),"{""typ"":""lc"",""txt"":""LC_ITEM_tny_chest_name""}")</f>
        <v>{"typ":"lc","txt":"LC_ITEM_tny_chest_name"}</v>
      </c>
      <c r="K1137" s="148" t="str">
        <f>IFERROR(__xludf.DUMMYFUNCTION("""COMPUTED_VALUE"""),"{""typ"":""lc"",""txt"":""LC_ITEM_tny_chest_desc""}")</f>
        <v>{"typ":"lc","txt":"LC_ITEM_tny_chest_desc"}</v>
      </c>
      <c r="L1137" s="148" t="str">
        <f>IFERROR(__xludf.DUMMYFUNCTION("""COMPUTED_VALUE"""),"{""typ"":""lc"",""txt"":""LC_ITEM_season_extra_reward_usedtip""}")</f>
        <v>{"typ":"lc","txt":"LC_ITEM_season_extra_reward_usedtip"}</v>
      </c>
      <c r="M1137" s="148">
        <f>IFERROR(__xludf.DUMMYFUNCTION("""COMPUTED_VALUE"""),1133.0)</f>
        <v>1133</v>
      </c>
      <c r="N1137" s="148">
        <f>IFERROR(__xludf.DUMMYFUNCTION("""COMPUTED_VALUE"""),999999.0)</f>
        <v>999999</v>
      </c>
      <c r="O1137" s="148">
        <f>IFERROR(__xludf.DUMMYFUNCTION("""COMPUTED_VALUE"""),99999.0)</f>
        <v>99999</v>
      </c>
      <c r="P1137" s="148">
        <f>IFERROR(__xludf.DUMMYFUNCTION("""COMPUTED_VALUE"""),100.0)</f>
        <v>100</v>
      </c>
      <c r="Q1137" s="148" t="str">
        <f>IFERROR(__xludf.DUMMYFUNCTION("""COMPUTED_VALUE"""),"[""bag_other""]")</f>
        <v>["bag_other"]</v>
      </c>
      <c r="R1137" s="148" t="str">
        <f>IFERROR(__xludf.DUMMYFUNCTION("""COMPUTED_VALUE"""),"[""bag""]")</f>
        <v>["bag"]</v>
      </c>
      <c r="S1137" s="148" t="str">
        <f>IFERROR(__xludf.DUMMYFUNCTION("""COMPUTED_VALUE"""),"{""drop"":{""typ"":""single_random"",""num"":1,""drop_rule"":{""typ"":""noget"",""id"":11116209,""num"":1,""args"":[{""typ"":""item"",""id"":11116209,""num"":1,""wgt"":1}]},""args"":[{""typ"":""item"",""id"":11116209,""num"":1,""wgt"":350},{""typ"":""item"&amp;""",""id"":11116209,""num"":2,""wgt"":150},{""typ"":""item"",""id"":11116209,""num"":3,""wgt"":1},{""typ"":""item"",""id"":11116209,""num"":5,""wgt"":1},{""typ"":""item"",""id"":11116303,""num"":1,""wgt"":100},{""typ"":""item"",""id"":11116304,""num"":1,"""&amp;"wgt"":50},{""typ"":""item"",""id"":11116401,""num"":1,""wgt"":200},{""typ"":""item"",""id"":11116402,""num"":1,""wgt"":150}]}}")</f>
        <v>{"drop":{"typ":"single_random","num":1,"drop_rule":{"typ":"noget","id":11116209,"num":1,"args":[{"typ":"item","id":11116209,"num":1,"wgt":1}]},"args":[{"typ":"item","id":11116209,"num":1,"wgt":350},{"typ":"item","id":11116209,"num":2,"wgt":150},{"typ":"item","id":11116209,"num":3,"wgt":1},{"typ":"item","id":11116209,"num":5,"wgt":1},{"typ":"item","id":11116303,"num":1,"wgt":100},{"typ":"item","id":11116304,"num":1,"wgt":50},{"typ":"item","id":11116401,"num":1,"wgt":200},{"typ":"item","id":11116402,"num":1,"wgt":150}]}}</v>
      </c>
      <c r="T1137" s="148">
        <f>IFERROR(__xludf.DUMMYFUNCTION("""COMPUTED_VALUE"""),-1.0)</f>
        <v>-1</v>
      </c>
      <c r="U1137" s="148">
        <f>IFERROR(__xludf.DUMMYFUNCTION("""COMPUTED_VALUE"""),0.0)</f>
        <v>0</v>
      </c>
      <c r="V1137" s="148" t="str">
        <f>IFERROR(__xludf.DUMMYFUNCTION("""COMPUTED_VALUE"""),"[]")</f>
        <v>[]</v>
      </c>
      <c r="W1137" s="148">
        <f>IFERROR(__xludf.DUMMYFUNCTION("""COMPUTED_VALUE"""),1.174E7)</f>
        <v>11740000</v>
      </c>
      <c r="X1137" s="148">
        <f>IFERROR(__xludf.DUMMYFUNCTION("""COMPUTED_VALUE"""),0.0)</f>
        <v>0</v>
      </c>
      <c r="Y1137" s="148">
        <f>IFERROR(__xludf.DUMMYFUNCTION("""COMPUTED_VALUE"""),0.0)</f>
        <v>0</v>
      </c>
      <c r="Z1137" s="148"/>
    </row>
    <row r="1138">
      <c r="A1138" s="148">
        <f>IFERROR(__xludf.DUMMYFUNCTION("""COMPUTED_VALUE"""),1.1114314E7)</f>
        <v>11114314</v>
      </c>
      <c r="B1138" s="148" t="str">
        <f>IFERROR(__xludf.DUMMYFUNCTION("""COMPUTED_VALUE"""),"关卡宝箱")</f>
        <v>关卡宝箱</v>
      </c>
      <c r="C1138" s="148"/>
      <c r="D1138" s="148" t="str">
        <f>IFERROR(__xludf.DUMMYFUNCTION("""COMPUTED_VALUE"""),"item_asset")</f>
        <v>item_asset</v>
      </c>
      <c r="E1138" s="148">
        <f>IFERROR(__xludf.DUMMYFUNCTION("""COMPUTED_VALUE"""),19.0)</f>
        <v>19</v>
      </c>
      <c r="F1138" s="148">
        <f>IFERROR(__xludf.DUMMYFUNCTION("""COMPUTED_VALUE"""),101300.0)</f>
        <v>101300</v>
      </c>
      <c r="G1138" s="148">
        <f>IFERROR(__xludf.DUMMYFUNCTION("""COMPUTED_VALUE"""),1.5110347E7)</f>
        <v>15110347</v>
      </c>
      <c r="H1138" s="148">
        <f>IFERROR(__xludf.DUMMYFUNCTION("""COMPUTED_VALUE"""),1.5112562E7)</f>
        <v>15112562</v>
      </c>
      <c r="I1138" s="148" t="str">
        <f>IFERROR(__xludf.DUMMYFUNCTION("""COMPUTED_VALUE"""),"{}")</f>
        <v>{}</v>
      </c>
      <c r="J1138" s="148" t="str">
        <f>IFERROR(__xludf.DUMMYFUNCTION("""COMPUTED_VALUE"""),"{""typ"":""lc"",""txt"":""LC_ITEM_pass_chest_name""}")</f>
        <v>{"typ":"lc","txt":"LC_ITEM_pass_chest_name"}</v>
      </c>
      <c r="K1138" s="148" t="str">
        <f>IFERROR(__xludf.DUMMYFUNCTION("""COMPUTED_VALUE"""),"{""typ"":""lc"",""txt"":""LC_ITEM_pass_chest_desc""}")</f>
        <v>{"typ":"lc","txt":"LC_ITEM_pass_chest_desc"}</v>
      </c>
      <c r="L1138" s="148" t="str">
        <f>IFERROR(__xludf.DUMMYFUNCTION("""COMPUTED_VALUE"""),"{""typ"":""lc"",""txt"":""LC_ITEM_chest_from_atk_npc_usedtip""}")</f>
        <v>{"typ":"lc","txt":"LC_ITEM_chest_from_atk_npc_usedtip"}</v>
      </c>
      <c r="M1138" s="148">
        <f>IFERROR(__xludf.DUMMYFUNCTION("""COMPUTED_VALUE"""),50.0)</f>
        <v>50</v>
      </c>
      <c r="N1138" s="148">
        <f>IFERROR(__xludf.DUMMYFUNCTION("""COMPUTED_VALUE"""),999999.0)</f>
        <v>999999</v>
      </c>
      <c r="O1138" s="148">
        <f>IFERROR(__xludf.DUMMYFUNCTION("""COMPUTED_VALUE"""),99999.0)</f>
        <v>99999</v>
      </c>
      <c r="P1138" s="148">
        <f>IFERROR(__xludf.DUMMYFUNCTION("""COMPUTED_VALUE"""),99999.0)</f>
        <v>99999</v>
      </c>
      <c r="Q1138" s="148" t="str">
        <f>IFERROR(__xludf.DUMMYFUNCTION("""COMPUTED_VALUE"""),"[""bag_asset""]")</f>
        <v>["bag_asset"]</v>
      </c>
      <c r="R1138" s="148" t="str">
        <f>IFERROR(__xludf.DUMMYFUNCTION("""COMPUTED_VALUE"""),"[""bag""]")</f>
        <v>["bag"]</v>
      </c>
      <c r="S1138" s="148" t="str">
        <f>IFERROR(__xludf.DUMMYFUNCTION("""COMPUTED_VALUE"""),"{""drop"":{""typ"":""single_all"",""num"":1,""args"":[{""typ"":""rss"",""id"":11141001,""num"":10000,""wgt"":20},{""typ"":""rss"",""id"":11141003,""num"":10000,""wgt"":20}]}}")</f>
        <v>{"drop":{"typ":"single_all","num":1,"args":[{"typ":"rss","id":11141001,"num":10000,"wgt":20},{"typ":"rss","id":11141003,"num":10000,"wgt":20}]}}</v>
      </c>
      <c r="T1138" s="148">
        <f>IFERROR(__xludf.DUMMYFUNCTION("""COMPUTED_VALUE"""),-1.0)</f>
        <v>-1</v>
      </c>
      <c r="U1138" s="148">
        <f>IFERROR(__xludf.DUMMYFUNCTION("""COMPUTED_VALUE"""),0.0)</f>
        <v>0</v>
      </c>
      <c r="V1138" s="148" t="str">
        <f>IFERROR(__xludf.DUMMYFUNCTION("""COMPUTED_VALUE"""),"[]")</f>
        <v>[]</v>
      </c>
      <c r="W1138" s="148">
        <f>IFERROR(__xludf.DUMMYFUNCTION("""COMPUTED_VALUE"""),1.174E7)</f>
        <v>11740000</v>
      </c>
      <c r="X1138" s="148">
        <f>IFERROR(__xludf.DUMMYFUNCTION("""COMPUTED_VALUE"""),0.0)</f>
        <v>0</v>
      </c>
      <c r="Y1138" s="148">
        <f>IFERROR(__xludf.DUMMYFUNCTION("""COMPUTED_VALUE"""),0.0)</f>
        <v>0</v>
      </c>
      <c r="Z1138" s="148"/>
    </row>
    <row r="1139">
      <c r="A1139" s="148">
        <f>IFERROR(__xludf.DUMMYFUNCTION("""COMPUTED_VALUE"""),1.1114315E7)</f>
        <v>11114315</v>
      </c>
      <c r="B1139" s="148" t="str">
        <f>IFERROR(__xludf.DUMMYFUNCTION("""COMPUTED_VALUE"""),"随机资源宝箱")</f>
        <v>随机资源宝箱</v>
      </c>
      <c r="C1139" s="148"/>
      <c r="D1139" s="148" t="str">
        <f>IFERROR(__xludf.DUMMYFUNCTION("""COMPUTED_VALUE"""),"item_asset")</f>
        <v>item_asset</v>
      </c>
      <c r="E1139" s="148">
        <f>IFERROR(__xludf.DUMMYFUNCTION("""COMPUTED_VALUE"""),19.0)</f>
        <v>19</v>
      </c>
      <c r="F1139" s="148">
        <f>IFERROR(__xludf.DUMMYFUNCTION("""COMPUTED_VALUE"""),101300.0)</f>
        <v>101300</v>
      </c>
      <c r="G1139" s="148">
        <f>IFERROR(__xludf.DUMMYFUNCTION("""COMPUTED_VALUE"""),1.5110348E7)</f>
        <v>15110348</v>
      </c>
      <c r="H1139" s="148">
        <f>IFERROR(__xludf.DUMMYFUNCTION("""COMPUTED_VALUE"""),1.5112562E7)</f>
        <v>15112562</v>
      </c>
      <c r="I1139" s="148" t="str">
        <f>IFERROR(__xludf.DUMMYFUNCTION("""COMPUTED_VALUE"""),"{}")</f>
        <v>{}</v>
      </c>
      <c r="J1139" s="148" t="str">
        <f>IFERROR(__xludf.DUMMYFUNCTION("""COMPUTED_VALUE"""),"{""typ"":""lc"",""txt"":""LC_ITEM_rss_random_chest_name""}")</f>
        <v>{"typ":"lc","txt":"LC_ITEM_rss_random_chest_name"}</v>
      </c>
      <c r="K1139" s="148" t="str">
        <f>IFERROR(__xludf.DUMMYFUNCTION("""COMPUTED_VALUE"""),"{""typ"":""lc"",""txt"":""LC_ITEM_rss_random_chest_desc""}")</f>
        <v>{"typ":"lc","txt":"LC_ITEM_rss_random_chest_desc"}</v>
      </c>
      <c r="L1139" s="148" t="str">
        <f>IFERROR(__xludf.DUMMYFUNCTION("""COMPUTED_VALUE"""),"{""typ"":""lc"",""txt"":""LC_ITEM_chest_from_atk_npc_usedtip""}")</f>
        <v>{"typ":"lc","txt":"LC_ITEM_chest_from_atk_npc_usedtip"}</v>
      </c>
      <c r="M1139" s="148">
        <f>IFERROR(__xludf.DUMMYFUNCTION("""COMPUTED_VALUE"""),50.0)</f>
        <v>50</v>
      </c>
      <c r="N1139" s="148">
        <f>IFERROR(__xludf.DUMMYFUNCTION("""COMPUTED_VALUE"""),999999.0)</f>
        <v>999999</v>
      </c>
      <c r="O1139" s="148">
        <f>IFERROR(__xludf.DUMMYFUNCTION("""COMPUTED_VALUE"""),99999.0)</f>
        <v>99999</v>
      </c>
      <c r="P1139" s="148">
        <f>IFERROR(__xludf.DUMMYFUNCTION("""COMPUTED_VALUE"""),99999.0)</f>
        <v>99999</v>
      </c>
      <c r="Q1139" s="148" t="str">
        <f>IFERROR(__xludf.DUMMYFUNCTION("""COMPUTED_VALUE"""),"[""bag_asset""]")</f>
        <v>["bag_asset"]</v>
      </c>
      <c r="R1139" s="148" t="str">
        <f>IFERROR(__xludf.DUMMYFUNCTION("""COMPUTED_VALUE"""),"[""bag""]")</f>
        <v>["bag"]</v>
      </c>
      <c r="S1139" s="148" t="str">
        <f>IFERROR(__xludf.DUMMYFUNCTION("""COMPUTED_VALUE"""),"{""drop"":{""typ"":""single_all"",""num"":1,""args"":[{""typ"":""rss"",""id"":11141001,""num"":10000,""wgt"":20},{""typ"":""rss"",""id"":11141003,""num"":10000,""wgt"":20}]}}")</f>
        <v>{"drop":{"typ":"single_all","num":1,"args":[{"typ":"rss","id":11141001,"num":10000,"wgt":20},{"typ":"rss","id":11141003,"num":10000,"wgt":20}]}}</v>
      </c>
      <c r="T1139" s="148">
        <f>IFERROR(__xludf.DUMMYFUNCTION("""COMPUTED_VALUE"""),-1.0)</f>
        <v>-1</v>
      </c>
      <c r="U1139" s="148">
        <f>IFERROR(__xludf.DUMMYFUNCTION("""COMPUTED_VALUE"""),0.0)</f>
        <v>0</v>
      </c>
      <c r="V1139" s="148" t="str">
        <f>IFERROR(__xludf.DUMMYFUNCTION("""COMPUTED_VALUE"""),"[]")</f>
        <v>[]</v>
      </c>
      <c r="W1139" s="148">
        <f>IFERROR(__xludf.DUMMYFUNCTION("""COMPUTED_VALUE"""),1.174E7)</f>
        <v>11740000</v>
      </c>
      <c r="X1139" s="148">
        <f>IFERROR(__xludf.DUMMYFUNCTION("""COMPUTED_VALUE"""),0.0)</f>
        <v>0</v>
      </c>
      <c r="Y1139" s="148">
        <f>IFERROR(__xludf.DUMMYFUNCTION("""COMPUTED_VALUE"""),0.0)</f>
        <v>0</v>
      </c>
      <c r="Z1139" s="148"/>
    </row>
    <row r="1140">
      <c r="A1140" s="148">
        <f>IFERROR(__xludf.DUMMYFUNCTION("""COMPUTED_VALUE"""),1.1114316E7)</f>
        <v>11114316</v>
      </c>
      <c r="B1140" s="148" t="str">
        <f>IFERROR(__xludf.DUMMYFUNCTION("""COMPUTED_VALUE"""),"联盟礼物(触发)礼包2")</f>
        <v>联盟礼物(触发)礼包2</v>
      </c>
      <c r="C1140" s="148"/>
      <c r="D1140" s="148" t="str">
        <f>IFERROR(__xludf.DUMMYFUNCTION("""COMPUTED_VALUE"""),"item_union_gift")</f>
        <v>item_union_gift</v>
      </c>
      <c r="E1140" s="148">
        <f>IFERROR(__xludf.DUMMYFUNCTION("""COMPUTED_VALUE"""),15.0)</f>
        <v>15</v>
      </c>
      <c r="F1140" s="148">
        <f>IFERROR(__xludf.DUMMYFUNCTION("""COMPUTED_VALUE"""),0.0)</f>
        <v>0</v>
      </c>
      <c r="G1140" s="148">
        <f>IFERROR(__xludf.DUMMYFUNCTION("""COMPUTED_VALUE"""),1.5113195E7)</f>
        <v>15113195</v>
      </c>
      <c r="H1140" s="148">
        <f>IFERROR(__xludf.DUMMYFUNCTION("""COMPUTED_VALUE"""),1.5112561E7)</f>
        <v>15112561</v>
      </c>
      <c r="I1140" s="148" t="str">
        <f>IFERROR(__xludf.DUMMYFUNCTION("""COMPUTED_VALUE"""),"{}")</f>
        <v>{}</v>
      </c>
      <c r="J1140" s="148" t="str">
        <f>IFERROR(__xludf.DUMMYFUNCTION("""COMPUTED_VALUE"""),"{""typ"":""lc"",""txt"":""LC_ITEM_alliance_shopping_gift_2_name""}")</f>
        <v>{"typ":"lc","txt":"LC_ITEM_alliance_shopping_gift_2_name"}</v>
      </c>
      <c r="K1140" s="148" t="str">
        <f>IFERROR(__xludf.DUMMYFUNCTION("""COMPUTED_VALUE"""),"{""typ"":""lc"",""txt"":""LC_ITEM_alliance_shopping_gift_2_desc""}")</f>
        <v>{"typ":"lc","txt":"LC_ITEM_alliance_shopping_gift_2_desc"}</v>
      </c>
      <c r="L1140" s="148" t="str">
        <f>IFERROR(__xludf.DUMMYFUNCTION("""COMPUTED_VALUE"""),"{}")</f>
        <v>{}</v>
      </c>
      <c r="M1140" s="148">
        <f>IFERROR(__xludf.DUMMYFUNCTION("""COMPUTED_VALUE"""),66.0)</f>
        <v>66</v>
      </c>
      <c r="N1140" s="148">
        <f>IFERROR(__xludf.DUMMYFUNCTION("""COMPUTED_VALUE"""),999999.0)</f>
        <v>999999</v>
      </c>
      <c r="O1140" s="148">
        <f>IFERROR(__xludf.DUMMYFUNCTION("""COMPUTED_VALUE"""),99999.0)</f>
        <v>99999</v>
      </c>
      <c r="P1140" s="148">
        <f>IFERROR(__xludf.DUMMYFUNCTION("""COMPUTED_VALUE"""),1.0)</f>
        <v>1</v>
      </c>
      <c r="Q1140" s="148" t="str">
        <f>IFERROR(__xludf.DUMMYFUNCTION("""COMPUTED_VALUE"""),"[]")</f>
        <v>[]</v>
      </c>
      <c r="R1140" s="148" t="str">
        <f>IFERROR(__xludf.DUMMYFUNCTION("""COMPUTED_VALUE"""),"[]")</f>
        <v>[]</v>
      </c>
      <c r="S1140" s="148" t="str">
        <f>IFERROR(__xludf.DUMMYFUNCTION("""COMPUTED_VALUE"""),"{""effect"":[{""typ"":""union_gift_quality_drop"",""id"":2,""val"":1}]}")</f>
        <v>{"effect":[{"typ":"union_gift_quality_drop","id":2,"val":1}]}</v>
      </c>
      <c r="T1140" s="148">
        <f>IFERROR(__xludf.DUMMYFUNCTION("""COMPUTED_VALUE"""),-1.0)</f>
        <v>-1</v>
      </c>
      <c r="U1140" s="148">
        <f>IFERROR(__xludf.DUMMYFUNCTION("""COMPUTED_VALUE"""),1.0)</f>
        <v>1</v>
      </c>
      <c r="V1140" s="148" t="str">
        <f>IFERROR(__xludf.DUMMYFUNCTION("""COMPUTED_VALUE"""),"[]")</f>
        <v>[]</v>
      </c>
      <c r="W1140" s="148">
        <f>IFERROR(__xludf.DUMMYFUNCTION("""COMPUTED_VALUE"""),1.174E7)</f>
        <v>11740000</v>
      </c>
      <c r="X1140" s="148">
        <f>IFERROR(__xludf.DUMMYFUNCTION("""COMPUTED_VALUE"""),0.0)</f>
        <v>0</v>
      </c>
      <c r="Y1140" s="148">
        <f>IFERROR(__xludf.DUMMYFUNCTION("""COMPUTED_VALUE"""),0.0)</f>
        <v>0</v>
      </c>
      <c r="Z1140" s="148"/>
    </row>
    <row r="1141">
      <c r="A1141" s="148">
        <f>IFERROR(__xludf.DUMMYFUNCTION("""COMPUTED_VALUE"""),1.1114317E7)</f>
        <v>11114317</v>
      </c>
      <c r="B1141" s="148" t="str">
        <f>IFERROR(__xludf.DUMMYFUNCTION("""COMPUTED_VALUE"""),"联盟礼物(触发)礼包3")</f>
        <v>联盟礼物(触发)礼包3</v>
      </c>
      <c r="C1141" s="148"/>
      <c r="D1141" s="148" t="str">
        <f>IFERROR(__xludf.DUMMYFUNCTION("""COMPUTED_VALUE"""),"item_union_gift")</f>
        <v>item_union_gift</v>
      </c>
      <c r="E1141" s="148">
        <f>IFERROR(__xludf.DUMMYFUNCTION("""COMPUTED_VALUE"""),15.0)</f>
        <v>15</v>
      </c>
      <c r="F1141" s="148">
        <f>IFERROR(__xludf.DUMMYFUNCTION("""COMPUTED_VALUE"""),0.0)</f>
        <v>0</v>
      </c>
      <c r="G1141" s="148">
        <f>IFERROR(__xludf.DUMMYFUNCTION("""COMPUTED_VALUE"""),1.5113196E7)</f>
        <v>15113196</v>
      </c>
      <c r="H1141" s="148">
        <f>IFERROR(__xludf.DUMMYFUNCTION("""COMPUTED_VALUE"""),1.5112562E7)</f>
        <v>15112562</v>
      </c>
      <c r="I1141" s="148" t="str">
        <f>IFERROR(__xludf.DUMMYFUNCTION("""COMPUTED_VALUE"""),"{}")</f>
        <v>{}</v>
      </c>
      <c r="J1141" s="148" t="str">
        <f>IFERROR(__xludf.DUMMYFUNCTION("""COMPUTED_VALUE"""),"{""typ"":""lc"",""txt"":""LC_ITEM_alliance_shopping_gift_3_name""}")</f>
        <v>{"typ":"lc","txt":"LC_ITEM_alliance_shopping_gift_3_name"}</v>
      </c>
      <c r="K1141" s="148" t="str">
        <f>IFERROR(__xludf.DUMMYFUNCTION("""COMPUTED_VALUE"""),"{""typ"":""lc"",""txt"":""LC_ITEM_alliance_shopping_gift_3_desc""}")</f>
        <v>{"typ":"lc","txt":"LC_ITEM_alliance_shopping_gift_3_desc"}</v>
      </c>
      <c r="L1141" s="148" t="str">
        <f>IFERROR(__xludf.DUMMYFUNCTION("""COMPUTED_VALUE"""),"{}")</f>
        <v>{}</v>
      </c>
      <c r="M1141" s="148">
        <f>IFERROR(__xludf.DUMMYFUNCTION("""COMPUTED_VALUE"""),66.0)</f>
        <v>66</v>
      </c>
      <c r="N1141" s="148">
        <f>IFERROR(__xludf.DUMMYFUNCTION("""COMPUTED_VALUE"""),999999.0)</f>
        <v>999999</v>
      </c>
      <c r="O1141" s="148">
        <f>IFERROR(__xludf.DUMMYFUNCTION("""COMPUTED_VALUE"""),99999.0)</f>
        <v>99999</v>
      </c>
      <c r="P1141" s="148">
        <f>IFERROR(__xludf.DUMMYFUNCTION("""COMPUTED_VALUE"""),1.0)</f>
        <v>1</v>
      </c>
      <c r="Q1141" s="148" t="str">
        <f>IFERROR(__xludf.DUMMYFUNCTION("""COMPUTED_VALUE"""),"[]")</f>
        <v>[]</v>
      </c>
      <c r="R1141" s="148" t="str">
        <f>IFERROR(__xludf.DUMMYFUNCTION("""COMPUTED_VALUE"""),"[]")</f>
        <v>[]</v>
      </c>
      <c r="S1141" s="148" t="str">
        <f>IFERROR(__xludf.DUMMYFUNCTION("""COMPUTED_VALUE"""),"{""effect"":[{""typ"":""union_gift_quality_drop"",""id"":3,""val"":1}]}")</f>
        <v>{"effect":[{"typ":"union_gift_quality_drop","id":3,"val":1}]}</v>
      </c>
      <c r="T1141" s="148">
        <f>IFERROR(__xludf.DUMMYFUNCTION("""COMPUTED_VALUE"""),-1.0)</f>
        <v>-1</v>
      </c>
      <c r="U1141" s="148">
        <f>IFERROR(__xludf.DUMMYFUNCTION("""COMPUTED_VALUE"""),1.0)</f>
        <v>1</v>
      </c>
      <c r="V1141" s="148" t="str">
        <f>IFERROR(__xludf.DUMMYFUNCTION("""COMPUTED_VALUE"""),"[]")</f>
        <v>[]</v>
      </c>
      <c r="W1141" s="148">
        <f>IFERROR(__xludf.DUMMYFUNCTION("""COMPUTED_VALUE"""),1.174E7)</f>
        <v>11740000</v>
      </c>
      <c r="X1141" s="148">
        <f>IFERROR(__xludf.DUMMYFUNCTION("""COMPUTED_VALUE"""),0.0)</f>
        <v>0</v>
      </c>
      <c r="Y1141" s="148">
        <f>IFERROR(__xludf.DUMMYFUNCTION("""COMPUTED_VALUE"""),0.0)</f>
        <v>0</v>
      </c>
      <c r="Z1141" s="148"/>
    </row>
    <row r="1142">
      <c r="A1142" s="148">
        <f>IFERROR(__xludf.DUMMYFUNCTION("""COMPUTED_VALUE"""),1.1114318E7)</f>
        <v>11114318</v>
      </c>
      <c r="B1142" s="148" t="str">
        <f>IFERROR(__xludf.DUMMYFUNCTION("""COMPUTED_VALUE"""),"联盟礼物(触发)礼包4")</f>
        <v>联盟礼物(触发)礼包4</v>
      </c>
      <c r="C1142" s="148"/>
      <c r="D1142" s="148" t="str">
        <f>IFERROR(__xludf.DUMMYFUNCTION("""COMPUTED_VALUE"""),"item_union_gift")</f>
        <v>item_union_gift</v>
      </c>
      <c r="E1142" s="148">
        <f>IFERROR(__xludf.DUMMYFUNCTION("""COMPUTED_VALUE"""),15.0)</f>
        <v>15</v>
      </c>
      <c r="F1142" s="148">
        <f>IFERROR(__xludf.DUMMYFUNCTION("""COMPUTED_VALUE"""),0.0)</f>
        <v>0</v>
      </c>
      <c r="G1142" s="148">
        <f>IFERROR(__xludf.DUMMYFUNCTION("""COMPUTED_VALUE"""),1.5113197E7)</f>
        <v>15113197</v>
      </c>
      <c r="H1142" s="148">
        <f>IFERROR(__xludf.DUMMYFUNCTION("""COMPUTED_VALUE"""),1.5112562E7)</f>
        <v>15112562</v>
      </c>
      <c r="I1142" s="148" t="str">
        <f>IFERROR(__xludf.DUMMYFUNCTION("""COMPUTED_VALUE"""),"{}")</f>
        <v>{}</v>
      </c>
      <c r="J1142" s="148" t="str">
        <f>IFERROR(__xludf.DUMMYFUNCTION("""COMPUTED_VALUE"""),"{""typ"":""lc"",""txt"":""LC_ITEM_alliance_shopping_gift_4_name""}")</f>
        <v>{"typ":"lc","txt":"LC_ITEM_alliance_shopping_gift_4_name"}</v>
      </c>
      <c r="K1142" s="148" t="str">
        <f>IFERROR(__xludf.DUMMYFUNCTION("""COMPUTED_VALUE"""),"{""typ"":""lc"",""txt"":""LC_ITEM_alliance_shopping_gift_4_desc""}")</f>
        <v>{"typ":"lc","txt":"LC_ITEM_alliance_shopping_gift_4_desc"}</v>
      </c>
      <c r="L1142" s="148" t="str">
        <f>IFERROR(__xludf.DUMMYFUNCTION("""COMPUTED_VALUE"""),"{}")</f>
        <v>{}</v>
      </c>
      <c r="M1142" s="148">
        <f>IFERROR(__xludf.DUMMYFUNCTION("""COMPUTED_VALUE"""),66.0)</f>
        <v>66</v>
      </c>
      <c r="N1142" s="148">
        <f>IFERROR(__xludf.DUMMYFUNCTION("""COMPUTED_VALUE"""),999999.0)</f>
        <v>999999</v>
      </c>
      <c r="O1142" s="148">
        <f>IFERROR(__xludf.DUMMYFUNCTION("""COMPUTED_VALUE"""),99999.0)</f>
        <v>99999</v>
      </c>
      <c r="P1142" s="148">
        <f>IFERROR(__xludf.DUMMYFUNCTION("""COMPUTED_VALUE"""),1.0)</f>
        <v>1</v>
      </c>
      <c r="Q1142" s="148" t="str">
        <f>IFERROR(__xludf.DUMMYFUNCTION("""COMPUTED_VALUE"""),"[]")</f>
        <v>[]</v>
      </c>
      <c r="R1142" s="148" t="str">
        <f>IFERROR(__xludf.DUMMYFUNCTION("""COMPUTED_VALUE"""),"[]")</f>
        <v>[]</v>
      </c>
      <c r="S1142" s="148" t="str">
        <f>IFERROR(__xludf.DUMMYFUNCTION("""COMPUTED_VALUE"""),"{""effect"":[{""typ"":""union_gift_quality_drop"",""id"":4,""val"":1}]}")</f>
        <v>{"effect":[{"typ":"union_gift_quality_drop","id":4,"val":1}]}</v>
      </c>
      <c r="T1142" s="148">
        <f>IFERROR(__xludf.DUMMYFUNCTION("""COMPUTED_VALUE"""),-1.0)</f>
        <v>-1</v>
      </c>
      <c r="U1142" s="148">
        <f>IFERROR(__xludf.DUMMYFUNCTION("""COMPUTED_VALUE"""),1.0)</f>
        <v>1</v>
      </c>
      <c r="V1142" s="148" t="str">
        <f>IFERROR(__xludf.DUMMYFUNCTION("""COMPUTED_VALUE"""),"[]")</f>
        <v>[]</v>
      </c>
      <c r="W1142" s="148">
        <f>IFERROR(__xludf.DUMMYFUNCTION("""COMPUTED_VALUE"""),1.174E7)</f>
        <v>11740000</v>
      </c>
      <c r="X1142" s="148">
        <f>IFERROR(__xludf.DUMMYFUNCTION("""COMPUTED_VALUE"""),0.0)</f>
        <v>0</v>
      </c>
      <c r="Y1142" s="148">
        <f>IFERROR(__xludf.DUMMYFUNCTION("""COMPUTED_VALUE"""),0.0)</f>
        <v>0</v>
      </c>
      <c r="Z1142" s="148"/>
    </row>
    <row r="1143">
      <c r="A1143" s="148">
        <f>IFERROR(__xludf.DUMMYFUNCTION("""COMPUTED_VALUE"""),1.1114319E7)</f>
        <v>11114319</v>
      </c>
      <c r="B1143" s="148" t="str">
        <f>IFERROR(__xludf.DUMMYFUNCTION("""COMPUTED_VALUE"""),"联盟礼物(触发)礼包5")</f>
        <v>联盟礼物(触发)礼包5</v>
      </c>
      <c r="C1143" s="148"/>
      <c r="D1143" s="148" t="str">
        <f>IFERROR(__xludf.DUMMYFUNCTION("""COMPUTED_VALUE"""),"item_union_gift")</f>
        <v>item_union_gift</v>
      </c>
      <c r="E1143" s="148">
        <f>IFERROR(__xludf.DUMMYFUNCTION("""COMPUTED_VALUE"""),15.0)</f>
        <v>15</v>
      </c>
      <c r="F1143" s="148">
        <f>IFERROR(__xludf.DUMMYFUNCTION("""COMPUTED_VALUE"""),0.0)</f>
        <v>0</v>
      </c>
      <c r="G1143" s="148">
        <f>IFERROR(__xludf.DUMMYFUNCTION("""COMPUTED_VALUE"""),1.5113198E7)</f>
        <v>15113198</v>
      </c>
      <c r="H1143" s="148">
        <f>IFERROR(__xludf.DUMMYFUNCTION("""COMPUTED_VALUE"""),1.5112563E7)</f>
        <v>15112563</v>
      </c>
      <c r="I1143" s="148" t="str">
        <f>IFERROR(__xludf.DUMMYFUNCTION("""COMPUTED_VALUE"""),"{}")</f>
        <v>{}</v>
      </c>
      <c r="J1143" s="148" t="str">
        <f>IFERROR(__xludf.DUMMYFUNCTION("""COMPUTED_VALUE"""),"{""typ"":""lc"",""txt"":""LC_ITEM_alliance_shopping_gift_5_name""}")</f>
        <v>{"typ":"lc","txt":"LC_ITEM_alliance_shopping_gift_5_name"}</v>
      </c>
      <c r="K1143" s="148" t="str">
        <f>IFERROR(__xludf.DUMMYFUNCTION("""COMPUTED_VALUE"""),"{""typ"":""lc"",""txt"":""LC_ITEM_alliance_shopping_gift_5_desc""}")</f>
        <v>{"typ":"lc","txt":"LC_ITEM_alliance_shopping_gift_5_desc"}</v>
      </c>
      <c r="L1143" s="148" t="str">
        <f>IFERROR(__xludf.DUMMYFUNCTION("""COMPUTED_VALUE"""),"{}")</f>
        <v>{}</v>
      </c>
      <c r="M1143" s="148">
        <f>IFERROR(__xludf.DUMMYFUNCTION("""COMPUTED_VALUE"""),66.0)</f>
        <v>66</v>
      </c>
      <c r="N1143" s="148">
        <f>IFERROR(__xludf.DUMMYFUNCTION("""COMPUTED_VALUE"""),999999.0)</f>
        <v>999999</v>
      </c>
      <c r="O1143" s="148">
        <f>IFERROR(__xludf.DUMMYFUNCTION("""COMPUTED_VALUE"""),99999.0)</f>
        <v>99999</v>
      </c>
      <c r="P1143" s="148">
        <f>IFERROR(__xludf.DUMMYFUNCTION("""COMPUTED_VALUE"""),1.0)</f>
        <v>1</v>
      </c>
      <c r="Q1143" s="148" t="str">
        <f>IFERROR(__xludf.DUMMYFUNCTION("""COMPUTED_VALUE"""),"[]")</f>
        <v>[]</v>
      </c>
      <c r="R1143" s="148" t="str">
        <f>IFERROR(__xludf.DUMMYFUNCTION("""COMPUTED_VALUE"""),"[]")</f>
        <v>[]</v>
      </c>
      <c r="S1143" s="148" t="str">
        <f>IFERROR(__xludf.DUMMYFUNCTION("""COMPUTED_VALUE"""),"{""effect"":[{""typ"":""union_gift_quality_drop"",""id"":5,""val"":1}]}")</f>
        <v>{"effect":[{"typ":"union_gift_quality_drop","id":5,"val":1}]}</v>
      </c>
      <c r="T1143" s="148">
        <f>IFERROR(__xludf.DUMMYFUNCTION("""COMPUTED_VALUE"""),-1.0)</f>
        <v>-1</v>
      </c>
      <c r="U1143" s="148">
        <f>IFERROR(__xludf.DUMMYFUNCTION("""COMPUTED_VALUE"""),1.0)</f>
        <v>1</v>
      </c>
      <c r="V1143" s="148" t="str">
        <f>IFERROR(__xludf.DUMMYFUNCTION("""COMPUTED_VALUE"""),"[]")</f>
        <v>[]</v>
      </c>
      <c r="W1143" s="148">
        <f>IFERROR(__xludf.DUMMYFUNCTION("""COMPUTED_VALUE"""),1.174E7)</f>
        <v>11740000</v>
      </c>
      <c r="X1143" s="148">
        <f>IFERROR(__xludf.DUMMYFUNCTION("""COMPUTED_VALUE"""),0.0)</f>
        <v>0</v>
      </c>
      <c r="Y1143" s="148">
        <f>IFERROR(__xludf.DUMMYFUNCTION("""COMPUTED_VALUE"""),0.0)</f>
        <v>0</v>
      </c>
      <c r="Z1143" s="148"/>
    </row>
    <row r="1144">
      <c r="A1144" s="148">
        <f>IFERROR(__xludf.DUMMYFUNCTION("""COMPUTED_VALUE"""),1.111432E7)</f>
        <v>11114320</v>
      </c>
      <c r="B1144" s="148" t="str">
        <f>IFERROR(__xludf.DUMMYFUNCTION("""COMPUTED_VALUE"""),"联盟礼物(触发)礼包6")</f>
        <v>联盟礼物(触发)礼包6</v>
      </c>
      <c r="C1144" s="148"/>
      <c r="D1144" s="148" t="str">
        <f>IFERROR(__xludf.DUMMYFUNCTION("""COMPUTED_VALUE"""),"item_union_gift")</f>
        <v>item_union_gift</v>
      </c>
      <c r="E1144" s="148">
        <f>IFERROR(__xludf.DUMMYFUNCTION("""COMPUTED_VALUE"""),15.0)</f>
        <v>15</v>
      </c>
      <c r="F1144" s="148">
        <f>IFERROR(__xludf.DUMMYFUNCTION("""COMPUTED_VALUE"""),0.0)</f>
        <v>0</v>
      </c>
      <c r="G1144" s="148">
        <f>IFERROR(__xludf.DUMMYFUNCTION("""COMPUTED_VALUE"""),1.5113199E7)</f>
        <v>15113199</v>
      </c>
      <c r="H1144" s="148">
        <f>IFERROR(__xludf.DUMMYFUNCTION("""COMPUTED_VALUE"""),1.5112564E7)</f>
        <v>15112564</v>
      </c>
      <c r="I1144" s="148" t="str">
        <f>IFERROR(__xludf.DUMMYFUNCTION("""COMPUTED_VALUE"""),"{}")</f>
        <v>{}</v>
      </c>
      <c r="J1144" s="148" t="str">
        <f>IFERROR(__xludf.DUMMYFUNCTION("""COMPUTED_VALUE"""),"{""typ"":""lc"",""txt"":""LC_ITEM_alliance_shopping_gift_6_name""}")</f>
        <v>{"typ":"lc","txt":"LC_ITEM_alliance_shopping_gift_6_name"}</v>
      </c>
      <c r="K1144" s="148" t="str">
        <f>IFERROR(__xludf.DUMMYFUNCTION("""COMPUTED_VALUE"""),"{""typ"":""lc"",""txt"":""LC_ITEM_alliance_shopping_gift_6_desc""}")</f>
        <v>{"typ":"lc","txt":"LC_ITEM_alliance_shopping_gift_6_desc"}</v>
      </c>
      <c r="L1144" s="148" t="str">
        <f>IFERROR(__xludf.DUMMYFUNCTION("""COMPUTED_VALUE"""),"{}")</f>
        <v>{}</v>
      </c>
      <c r="M1144" s="148">
        <f>IFERROR(__xludf.DUMMYFUNCTION("""COMPUTED_VALUE"""),66.0)</f>
        <v>66</v>
      </c>
      <c r="N1144" s="148">
        <f>IFERROR(__xludf.DUMMYFUNCTION("""COMPUTED_VALUE"""),999999.0)</f>
        <v>999999</v>
      </c>
      <c r="O1144" s="148">
        <f>IFERROR(__xludf.DUMMYFUNCTION("""COMPUTED_VALUE"""),99999.0)</f>
        <v>99999</v>
      </c>
      <c r="P1144" s="148">
        <f>IFERROR(__xludf.DUMMYFUNCTION("""COMPUTED_VALUE"""),1.0)</f>
        <v>1</v>
      </c>
      <c r="Q1144" s="148" t="str">
        <f>IFERROR(__xludf.DUMMYFUNCTION("""COMPUTED_VALUE"""),"[]")</f>
        <v>[]</v>
      </c>
      <c r="R1144" s="148" t="str">
        <f>IFERROR(__xludf.DUMMYFUNCTION("""COMPUTED_VALUE"""),"[]")</f>
        <v>[]</v>
      </c>
      <c r="S1144" s="148" t="str">
        <f>IFERROR(__xludf.DUMMYFUNCTION("""COMPUTED_VALUE"""),"{""effect"":[{""typ"":""union_gift_quality_drop"",""id"":6,""val"":1}]}")</f>
        <v>{"effect":[{"typ":"union_gift_quality_drop","id":6,"val":1}]}</v>
      </c>
      <c r="T1144" s="148">
        <f>IFERROR(__xludf.DUMMYFUNCTION("""COMPUTED_VALUE"""),-1.0)</f>
        <v>-1</v>
      </c>
      <c r="U1144" s="148">
        <f>IFERROR(__xludf.DUMMYFUNCTION("""COMPUTED_VALUE"""),1.0)</f>
        <v>1</v>
      </c>
      <c r="V1144" s="148" t="str">
        <f>IFERROR(__xludf.DUMMYFUNCTION("""COMPUTED_VALUE"""),"[]")</f>
        <v>[]</v>
      </c>
      <c r="W1144" s="148">
        <f>IFERROR(__xludf.DUMMYFUNCTION("""COMPUTED_VALUE"""),1.174E7)</f>
        <v>11740000</v>
      </c>
      <c r="X1144" s="148">
        <f>IFERROR(__xludf.DUMMYFUNCTION("""COMPUTED_VALUE"""),0.0)</f>
        <v>0</v>
      </c>
      <c r="Y1144" s="148">
        <f>IFERROR(__xludf.DUMMYFUNCTION("""COMPUTED_VALUE"""),0.0)</f>
        <v>0</v>
      </c>
      <c r="Z1144" s="148"/>
    </row>
    <row r="1145">
      <c r="A1145" s="148">
        <f>IFERROR(__xludf.DUMMYFUNCTION("""COMPUTED_VALUE"""),1.1114321E7)</f>
        <v>11114321</v>
      </c>
      <c r="B1145" s="148" t="str">
        <f>IFERROR(__xludf.DUMMYFUNCTION("""COMPUTED_VALUE"""),"联盟礼物(触发)变异猴王")</f>
        <v>联盟礼物(触发)变异猴王</v>
      </c>
      <c r="C1145" s="148"/>
      <c r="D1145" s="148" t="str">
        <f>IFERROR(__xludf.DUMMYFUNCTION("""COMPUTED_VALUE"""),"item_union_gift")</f>
        <v>item_union_gift</v>
      </c>
      <c r="E1145" s="148">
        <f>IFERROR(__xludf.DUMMYFUNCTION("""COMPUTED_VALUE"""),15.0)</f>
        <v>15</v>
      </c>
      <c r="F1145" s="148">
        <f>IFERROR(__xludf.DUMMYFUNCTION("""COMPUTED_VALUE"""),0.0)</f>
        <v>0</v>
      </c>
      <c r="G1145" s="148">
        <f>IFERROR(__xludf.DUMMYFUNCTION("""COMPUTED_VALUE"""),1.5110349E7)</f>
        <v>15110349</v>
      </c>
      <c r="H1145" s="148">
        <f>IFERROR(__xludf.DUMMYFUNCTION("""COMPUTED_VALUE"""),1.5112563E7)</f>
        <v>15112563</v>
      </c>
      <c r="I1145" s="148" t="str">
        <f>IFERROR(__xludf.DUMMYFUNCTION("""COMPUTED_VALUE"""),"{}")</f>
        <v>{}</v>
      </c>
      <c r="J1145" s="148" t="str">
        <f>IFERROR(__xludf.DUMMYFUNCTION("""COMPUTED_VALUE"""),"{""typ"":""lc"",""txt"":""LC_ITEM_item_alliance_gift_king_name""}")</f>
        <v>{"typ":"lc","txt":"LC_ITEM_item_alliance_gift_king_name"}</v>
      </c>
      <c r="K1145" s="148" t="str">
        <f>IFERROR(__xludf.DUMMYFUNCTION("""COMPUTED_VALUE"""),"{""typ"":""lc"",""txt"":""LC_ITEM_item_alliance_gift_king_desc""}")</f>
        <v>{"typ":"lc","txt":"LC_ITEM_item_alliance_gift_king_desc"}</v>
      </c>
      <c r="L1145" s="148" t="str">
        <f>IFERROR(__xludf.DUMMYFUNCTION("""COMPUTED_VALUE"""),"{}")</f>
        <v>{}</v>
      </c>
      <c r="M1145" s="148">
        <f>IFERROR(__xludf.DUMMYFUNCTION("""COMPUTED_VALUE"""),66.0)</f>
        <v>66</v>
      </c>
      <c r="N1145" s="148">
        <f>IFERROR(__xludf.DUMMYFUNCTION("""COMPUTED_VALUE"""),999999.0)</f>
        <v>999999</v>
      </c>
      <c r="O1145" s="148">
        <f>IFERROR(__xludf.DUMMYFUNCTION("""COMPUTED_VALUE"""),99999.0)</f>
        <v>99999</v>
      </c>
      <c r="P1145" s="148">
        <f>IFERROR(__xludf.DUMMYFUNCTION("""COMPUTED_VALUE"""),1.0)</f>
        <v>1</v>
      </c>
      <c r="Q1145" s="148" t="str">
        <f>IFERROR(__xludf.DUMMYFUNCTION("""COMPUTED_VALUE"""),"[]")</f>
        <v>[]</v>
      </c>
      <c r="R1145" s="148" t="str">
        <f>IFERROR(__xludf.DUMMYFUNCTION("""COMPUTED_VALUE"""),"[]")</f>
        <v>[]</v>
      </c>
      <c r="S1145" s="148" t="str">
        <f>IFERROR(__xludf.DUMMYFUNCTION("""COMPUTED_VALUE"""),"{""effect"":[{""typ"":""union_gift_quality_drop"",""id"":9,""val"":1}]}")</f>
        <v>{"effect":[{"typ":"union_gift_quality_drop","id":9,"val":1}]}</v>
      </c>
      <c r="T1145" s="148">
        <f>IFERROR(__xludf.DUMMYFUNCTION("""COMPUTED_VALUE"""),-1.0)</f>
        <v>-1</v>
      </c>
      <c r="U1145" s="148">
        <f>IFERROR(__xludf.DUMMYFUNCTION("""COMPUTED_VALUE"""),1.0)</f>
        <v>1</v>
      </c>
      <c r="V1145" s="148" t="str">
        <f>IFERROR(__xludf.DUMMYFUNCTION("""COMPUTED_VALUE"""),"[]")</f>
        <v>[]</v>
      </c>
      <c r="W1145" s="148">
        <f>IFERROR(__xludf.DUMMYFUNCTION("""COMPUTED_VALUE"""),1.174E7)</f>
        <v>11740000</v>
      </c>
      <c r="X1145" s="148">
        <f>IFERROR(__xludf.DUMMYFUNCTION("""COMPUTED_VALUE"""),0.0)</f>
        <v>0</v>
      </c>
      <c r="Y1145" s="148">
        <f>IFERROR(__xludf.DUMMYFUNCTION("""COMPUTED_VALUE"""),0.0)</f>
        <v>0</v>
      </c>
      <c r="Z1145" s="148"/>
    </row>
    <row r="1146">
      <c r="A1146" s="148">
        <f>IFERROR(__xludf.DUMMYFUNCTION("""COMPUTED_VALUE"""),1.1114322E7)</f>
        <v>11114322</v>
      </c>
      <c r="B1146" s="148" t="str">
        <f>IFERROR(__xludf.DUMMYFUNCTION("""COMPUTED_VALUE"""),"联盟礼物(触发)联盟资源发放")</f>
        <v>联盟礼物(触发)联盟资源发放</v>
      </c>
      <c r="C1146" s="148"/>
      <c r="D1146" s="148" t="str">
        <f>IFERROR(__xludf.DUMMYFUNCTION("""COMPUTED_VALUE"""),"item_union_gift")</f>
        <v>item_union_gift</v>
      </c>
      <c r="E1146" s="148">
        <f>IFERROR(__xludf.DUMMYFUNCTION("""COMPUTED_VALUE"""),15.0)</f>
        <v>15</v>
      </c>
      <c r="F1146" s="148">
        <f>IFERROR(__xludf.DUMMYFUNCTION("""COMPUTED_VALUE"""),0.0)</f>
        <v>0</v>
      </c>
      <c r="G1146" s="148">
        <f>IFERROR(__xludf.DUMMYFUNCTION("""COMPUTED_VALUE"""),1.5112965E7)</f>
        <v>15112965</v>
      </c>
      <c r="H1146" s="148">
        <f>IFERROR(__xludf.DUMMYFUNCTION("""COMPUTED_VALUE"""),1.5112563E7)</f>
        <v>15112563</v>
      </c>
      <c r="I1146" s="148" t="str">
        <f>IFERROR(__xludf.DUMMYFUNCTION("""COMPUTED_VALUE"""),"{}")</f>
        <v>{}</v>
      </c>
      <c r="J1146" s="148" t="str">
        <f>IFERROR(__xludf.DUMMYFUNCTION("""COMPUTED_VALUE"""),"{""typ"":""lc"",""txt"":""LC_ITEM_alliance_rss_gift_name""}")</f>
        <v>{"typ":"lc","txt":"LC_ITEM_alliance_rss_gift_name"}</v>
      </c>
      <c r="K1146" s="148" t="str">
        <f>IFERROR(__xludf.DUMMYFUNCTION("""COMPUTED_VALUE"""),"{""typ"":""lc"",""txt"":""LC_ITEM_alliance_rss_gift_desc""}")</f>
        <v>{"typ":"lc","txt":"LC_ITEM_alliance_rss_gift_desc"}</v>
      </c>
      <c r="L1146" s="148" t="str">
        <f>IFERROR(__xludf.DUMMYFUNCTION("""COMPUTED_VALUE"""),"{}")</f>
        <v>{}</v>
      </c>
      <c r="M1146" s="148">
        <f>IFERROR(__xludf.DUMMYFUNCTION("""COMPUTED_VALUE"""),66.0)</f>
        <v>66</v>
      </c>
      <c r="N1146" s="148">
        <f>IFERROR(__xludf.DUMMYFUNCTION("""COMPUTED_VALUE"""),999999.0)</f>
        <v>999999</v>
      </c>
      <c r="O1146" s="148">
        <f>IFERROR(__xludf.DUMMYFUNCTION("""COMPUTED_VALUE"""),99999.0)</f>
        <v>99999</v>
      </c>
      <c r="P1146" s="148">
        <f>IFERROR(__xludf.DUMMYFUNCTION("""COMPUTED_VALUE"""),1.0)</f>
        <v>1</v>
      </c>
      <c r="Q1146" s="148" t="str">
        <f>IFERROR(__xludf.DUMMYFUNCTION("""COMPUTED_VALUE"""),"[]")</f>
        <v>[]</v>
      </c>
      <c r="R1146" s="148" t="str">
        <f>IFERROR(__xludf.DUMMYFUNCTION("""COMPUTED_VALUE"""),"[]")</f>
        <v>[]</v>
      </c>
      <c r="S1146" s="148" t="str">
        <f>IFERROR(__xludf.DUMMYFUNCTION("""COMPUTED_VALUE"""),"{""effect"":[{""typ"":""union_gift_quality_drop"",""id"":10,""val"":1}]}")</f>
        <v>{"effect":[{"typ":"union_gift_quality_drop","id":10,"val":1}]}</v>
      </c>
      <c r="T1146" s="148">
        <f>IFERROR(__xludf.DUMMYFUNCTION("""COMPUTED_VALUE"""),-1.0)</f>
        <v>-1</v>
      </c>
      <c r="U1146" s="148">
        <f>IFERROR(__xludf.DUMMYFUNCTION("""COMPUTED_VALUE"""),1.0)</f>
        <v>1</v>
      </c>
      <c r="V1146" s="148" t="str">
        <f>IFERROR(__xludf.DUMMYFUNCTION("""COMPUTED_VALUE"""),"[]")</f>
        <v>[]</v>
      </c>
      <c r="W1146" s="148">
        <f>IFERROR(__xludf.DUMMYFUNCTION("""COMPUTED_VALUE"""),1.174E7)</f>
        <v>11740000</v>
      </c>
      <c r="X1146" s="148">
        <f>IFERROR(__xludf.DUMMYFUNCTION("""COMPUTED_VALUE"""),0.0)</f>
        <v>0</v>
      </c>
      <c r="Y1146" s="148">
        <f>IFERROR(__xludf.DUMMYFUNCTION("""COMPUTED_VALUE"""),0.0)</f>
        <v>0</v>
      </c>
      <c r="Z1146" s="148"/>
    </row>
    <row r="1147">
      <c r="A1147" s="148">
        <f>IFERROR(__xludf.DUMMYFUNCTION("""COMPUTED_VALUE"""),1.1114323E7)</f>
        <v>11114323</v>
      </c>
      <c r="B1147" s="148" t="str">
        <f>IFERROR(__xludf.DUMMYFUNCTION("""COMPUTED_VALUE"""),"测试自选宝箱")</f>
        <v>测试自选宝箱</v>
      </c>
      <c r="C1147" s="148"/>
      <c r="D1147" s="148" t="str">
        <f>IFERROR(__xludf.DUMMYFUNCTION("""COMPUTED_VALUE"""),"item_select_box")</f>
        <v>item_select_box</v>
      </c>
      <c r="E1147" s="148">
        <f>IFERROR(__xludf.DUMMYFUNCTION("""COMPUTED_VALUE"""),19.0)</f>
        <v>19</v>
      </c>
      <c r="F1147" s="148">
        <f>IFERROR(__xludf.DUMMYFUNCTION("""COMPUTED_VALUE"""),102400.0)</f>
        <v>102400</v>
      </c>
      <c r="G1147" s="148">
        <f>IFERROR(__xludf.DUMMYFUNCTION("""COMPUTED_VALUE"""),1.5112492E7)</f>
        <v>15112492</v>
      </c>
      <c r="H1147" s="148">
        <f>IFERROR(__xludf.DUMMYFUNCTION("""COMPUTED_VALUE"""),1.5112563E7)</f>
        <v>15112563</v>
      </c>
      <c r="I1147" s="148" t="str">
        <f>IFERROR(__xludf.DUMMYFUNCTION("""COMPUTED_VALUE"""),"{}")</f>
        <v>{}</v>
      </c>
      <c r="J1147" s="148" t="str">
        <f>IFERROR(__xludf.DUMMYFUNCTION("""COMPUTED_VALUE"""),"{""typ"":""lc"",""txt"":""LC_ITEM_testbox1_name""}")</f>
        <v>{"typ":"lc","txt":"LC_ITEM_testbox1_name"}</v>
      </c>
      <c r="K1147" s="148" t="str">
        <f>IFERROR(__xludf.DUMMYFUNCTION("""COMPUTED_VALUE"""),"{""typ"":""lc"",""txt"":""LC_ITEM_chest_from_atk_npc_desc""}")</f>
        <v>{"typ":"lc","txt":"LC_ITEM_chest_from_atk_npc_desc"}</v>
      </c>
      <c r="L1147" s="148" t="str">
        <f>IFERROR(__xludf.DUMMYFUNCTION("""COMPUTED_VALUE"""),"{""typ"":""lc"",""txt"":""LC_ITEM_chest_from_atk_npc_usedtip""}")</f>
        <v>{"typ":"lc","txt":"LC_ITEM_chest_from_atk_npc_usedtip"}</v>
      </c>
      <c r="M1147" s="148">
        <f>IFERROR(__xludf.DUMMYFUNCTION("""COMPUTED_VALUE"""),50.0)</f>
        <v>50</v>
      </c>
      <c r="N1147" s="148">
        <f>IFERROR(__xludf.DUMMYFUNCTION("""COMPUTED_VALUE"""),999999.0)</f>
        <v>999999</v>
      </c>
      <c r="O1147" s="148">
        <f>IFERROR(__xludf.DUMMYFUNCTION("""COMPUTED_VALUE"""),99999.0)</f>
        <v>99999</v>
      </c>
      <c r="P1147" s="148">
        <f>IFERROR(__xludf.DUMMYFUNCTION("""COMPUTED_VALUE"""),99999.0)</f>
        <v>99999</v>
      </c>
      <c r="Q1147" s="148" t="str">
        <f>IFERROR(__xludf.DUMMYFUNCTION("""COMPUTED_VALUE"""),"[""bag_asset"",""rss_food"",""rss_iron""]")</f>
        <v>["bag_asset","rss_food","rss_iron"]</v>
      </c>
      <c r="R1147" s="148" t="str">
        <f>IFERROR(__xludf.DUMMYFUNCTION("""COMPUTED_VALUE"""),"[""bag"",""rss_food"",""rss_iron""]")</f>
        <v>["bag","rss_food","rss_iron"]</v>
      </c>
      <c r="S1147" s="148" t="str">
        <f>IFERROR(__xludf.DUMMYFUNCTION("""COMPUTED_VALUE"""),"{""select_box"":[{""typ"":""item"",""id"":11111001,""val"":1},{""typ"":""item"",""id"":11111005,""val"":1},{""typ"":""item"",""id"":11111002,""val"":1},{""typ"":""item"",""id"":11111003,""val"":1},{""typ"":""item"",""id"":11111004,""val"":1},{""typ"":""it"&amp;"em"",""id"":11111006,""val"":1},{""typ"":""item"",""id"":11111007,""val"":1},{""typ"":""item"",""id"":11111008,""val"":1}]}")</f>
        <v>{"select_box":[{"typ":"item","id":11111001,"val":1},{"typ":"item","id":11111005,"val":1},{"typ":"item","id":11111002,"val":1},{"typ":"item","id":11111003,"val":1},{"typ":"item","id":11111004,"val":1},{"typ":"item","id":11111006,"val":1},{"typ":"item","id":11111007,"val":1},{"typ":"item","id":11111008,"val":1}]}</v>
      </c>
      <c r="T1147" s="148">
        <f>IFERROR(__xludf.DUMMYFUNCTION("""COMPUTED_VALUE"""),-1.0)</f>
        <v>-1</v>
      </c>
      <c r="U1147" s="148">
        <f>IFERROR(__xludf.DUMMYFUNCTION("""COMPUTED_VALUE"""),0.0)</f>
        <v>0</v>
      </c>
      <c r="V1147" s="148" t="str">
        <f>IFERROR(__xludf.DUMMYFUNCTION("""COMPUTED_VALUE"""),"[]")</f>
        <v>[]</v>
      </c>
      <c r="W1147" s="148">
        <f>IFERROR(__xludf.DUMMYFUNCTION("""COMPUTED_VALUE"""),1.174E7)</f>
        <v>11740000</v>
      </c>
      <c r="X1147" s="148">
        <f>IFERROR(__xludf.DUMMYFUNCTION("""COMPUTED_VALUE"""),0.0)</f>
        <v>0</v>
      </c>
      <c r="Y1147" s="148">
        <f>IFERROR(__xludf.DUMMYFUNCTION("""COMPUTED_VALUE"""),0.0)</f>
        <v>0</v>
      </c>
      <c r="Z1147" s="148"/>
    </row>
    <row r="1148">
      <c r="A1148" s="148">
        <f>IFERROR(__xludf.DUMMYFUNCTION("""COMPUTED_VALUE"""),1.1114324E7)</f>
        <v>11114324</v>
      </c>
      <c r="B1148" s="148" t="str">
        <f>IFERROR(__xludf.DUMMYFUNCTION("""COMPUTED_VALUE"""),"测试自选宝箱")</f>
        <v>测试自选宝箱</v>
      </c>
      <c r="C1148" s="148"/>
      <c r="D1148" s="148" t="str">
        <f>IFERROR(__xludf.DUMMYFUNCTION("""COMPUTED_VALUE"""),"item_asset")</f>
        <v>item_asset</v>
      </c>
      <c r="E1148" s="148">
        <f>IFERROR(__xludf.DUMMYFUNCTION("""COMPUTED_VALUE"""),19.0)</f>
        <v>19</v>
      </c>
      <c r="F1148" s="148">
        <f>IFERROR(__xludf.DUMMYFUNCTION("""COMPUTED_VALUE"""),201400.0)</f>
        <v>201400</v>
      </c>
      <c r="G1148" s="148">
        <f>IFERROR(__xludf.DUMMYFUNCTION("""COMPUTED_VALUE"""),1.5112492E7)</f>
        <v>15112492</v>
      </c>
      <c r="H1148" s="148">
        <f>IFERROR(__xludf.DUMMYFUNCTION("""COMPUTED_VALUE"""),1.5112563E7)</f>
        <v>15112563</v>
      </c>
      <c r="I1148" s="148" t="str">
        <f>IFERROR(__xludf.DUMMYFUNCTION("""COMPUTED_VALUE"""),"{}")</f>
        <v>{}</v>
      </c>
      <c r="J1148" s="148" t="str">
        <f>IFERROR(__xludf.DUMMYFUNCTION("""COMPUTED_VALUE"""),"{""typ"":""lc"",""txt"":""LC_ITEM_testbox1_name""}")</f>
        <v>{"typ":"lc","txt":"LC_ITEM_testbox1_name"}</v>
      </c>
      <c r="K1148" s="148" t="str">
        <f>IFERROR(__xludf.DUMMYFUNCTION("""COMPUTED_VALUE"""),"{""typ"":""lc"",""txt"":""LC_ITEM_chest_from_atk_npc_desc""}")</f>
        <v>{"typ":"lc","txt":"LC_ITEM_chest_from_atk_npc_desc"}</v>
      </c>
      <c r="L1148" s="148" t="str">
        <f>IFERROR(__xludf.DUMMYFUNCTION("""COMPUTED_VALUE"""),"{""typ"":""lc"",""txt"":""LC_ITEM_chest_from_atk_npc_usedtip""}")</f>
        <v>{"typ":"lc","txt":"LC_ITEM_chest_from_atk_npc_usedtip"}</v>
      </c>
      <c r="M1148" s="148">
        <f>IFERROR(__xludf.DUMMYFUNCTION("""COMPUTED_VALUE"""),50.0)</f>
        <v>50</v>
      </c>
      <c r="N1148" s="148">
        <f>IFERROR(__xludf.DUMMYFUNCTION("""COMPUTED_VALUE"""),999999.0)</f>
        <v>999999</v>
      </c>
      <c r="O1148" s="148">
        <f>IFERROR(__xludf.DUMMYFUNCTION("""COMPUTED_VALUE"""),99999.0)</f>
        <v>99999</v>
      </c>
      <c r="P1148" s="148">
        <f>IFERROR(__xludf.DUMMYFUNCTION("""COMPUTED_VALUE"""),99999.0)</f>
        <v>99999</v>
      </c>
      <c r="Q1148" s="148" t="str">
        <f>IFERROR(__xludf.DUMMYFUNCTION("""COMPUTED_VALUE"""),"[""bag_speedup""]")</f>
        <v>["bag_speedup"]</v>
      </c>
      <c r="R1148" s="148" t="str">
        <f>IFERROR(__xludf.DUMMYFUNCTION("""COMPUTED_VALUE"""),"[""bag""]")</f>
        <v>["bag"]</v>
      </c>
      <c r="S1148" s="148" t="str">
        <f>IFERROR(__xludf.DUMMYFUNCTION("""COMPUTED_VALUE"""),"{""drop"":{""typ"":""single_random"",""num"":1,""args"":[{""typ"":""single_all"",""num"":1,""args"":[{""typ"":""multi_random"",""num"":1,""args"":[{""typ"":""item"",""id"":11111010,""num"":1,""wgt"":250},{""typ"":""item"",""id"":11111012,""num"":1,""wgt"""&amp;":250},{""typ"":""item"",""id"":11111009,""num"":2,""wgt"":500},{""typ"":""item"",""id"":11111011,""num"":2,""wgt"":500},{""typ"":""empty"",""wgt"":8500}]},{""typ"":""multi_random"",""num"":2,""args"":[{""typ"":""item"",""id"":11111009,""num"":1,""wgt"":50"&amp;"0},{""typ"":""item"",""id"":11111004,""num"":2,""wgt"":800},{""typ"":""item"",""id"":11111004,""num"":1,""wgt"":1000},{""typ"":""item"",""id"":11111003,""num"":3,""wgt"":1200},{""typ"":""item"",""id"":11111003,""num"":2,""wgt"":1500},{""typ"":""item"",""i"&amp;"d"":11111003,""num"":1,""wgt"":1500},{""typ"":""item"",""id"":11111002,""num"":2,""wgt"":2000},{""typ"":""item"",""id"":11111002,""num"":1,""wgt"":1500}]},{""typ"":""multi_random"",""num"":2,""args"":[{""typ"":""item"",""id"":11111011,""num"":1,""wgt"":50"&amp;"0},{""typ"":""item"",""id"":11111008,""num"":2,""wgt"":800},{""typ"":""item"",""id"":11111008,""num"":1,""wgt"":1000},{""typ"":""item"",""id"":11111007,""num"":3,""wgt"":1200},{""typ"":""item"",""id"":11111007,""num"":2,""wgt"":1500},{""typ"":""item"",""i"&amp;"d"":11111007,""num"":1,""wgt"":1500},{""typ"":""item"",""id"":11111006,""num"":2,""wgt"":2000},{""typ"":""item"",""id"":11111006,""num"":1,""wgt"":1500}]}],""wgt"":3000},{""typ"":""single_all"",""num"":1,""args"":[{""typ"":""multi_random"",""num"":2,""arg"&amp;"s"":[{""typ"":""item"",""id"":11111014,""num"":1,""wgt"":1000},{""typ"":""item"",""id"":11111015,""num"":1,""wgt"":1500},{""typ"":""item"",""id"":11111015,""num"":2,""wgt"":2000},{""typ"":""item"",""id"":11111015,""num"":3,""wgt"":2000},{""typ"":""item"","&amp;"""id"":11111015,""num"":4,""wgt"":2000},{""typ"":""item"",""id"":11111016,""num"":1,""wgt"":1000},{""typ"":""item"",""id"":11111016,""num"":2,""wgt"":500}]},{""typ"":""multi_random"",""num"":1,""args"":[{""typ"":""item"",""id"":11111019,""num"":1,""wgt"":"&amp;"1000},{""typ"":""item"",""id"":11111019,""num"":2,""wgt"":1000},{""typ"":""item"",""id"":11111019,""num"":3,""wgt"":1000},{""typ"":""item"",""id"":11111019,""num"":4,""wgt"":1000},{""typ"":""item"",""id"":11111020,""num"":1,""wgt"":1000},{""typ"":""item"""&amp;",""id"":11111032,""num"":1,""wgt"":1000},{""typ"":""item"",""id"":11111021,""num"":1,""wgt"":500},{""typ"":""empty"",""wgt"":3500}]},{""typ"":""multi_random"",""num"":1,""args"":[{""typ"":""item"",""id"":11117069,""num"":1,""wgt"":5000},{""typ"":""item"","&amp;"""id"":11117069,""num"":2,""wgt"":5000}]},{""typ"":""multi_random"",""num"":1,""args"":[{""typ"":""item"",""id"":11117068,""num"":40,""wgt"":2000},{""typ"":""item"",""id"":11117068,""num"":50,""wgt"":2000},{""typ"":""item"",""id"":11117068,""num"":60,""wg"&amp;"t"":2000},{""typ"":""item"",""id"":11117068,""num"":80,""wgt"":2000},{""typ"":""item"",""id"":11117068,""num"":100,""wgt"":2000}]}],""wgt"":2500},{""typ"":""single_all"",""num"":1,""args"":[{""typ"":""multi_random"",""num"":4,""args"":[{""typ"":""item"","&amp;"""id"":11116004,""num"":1,""wgt"":1500},{""typ"":""item"",""id"":11116005,""num"":1,""wgt"":2000},{""typ"":""item"",""id"":11116006,""num"":1,""wgt"":3000},{""typ"":""item"",""id"":11116006,""num"":2,""wgt"":2000},{""typ"":""item"",""id"":11116007,""num"""&amp;":1,""wgt"":1500}]},{""typ"":""multi_random"",""num"":1,""args"":[{""typ"":""item"",""id"":11116107,""num"":1,""wgt"":3000},{""typ"":""item"",""id"":11116107,""num"":2,""wgt"":2500},{""typ"":""item"",""id"":11116107,""num"":3,""wgt"":2000},{""typ"":""item"&amp;""",""id"":11116108,""num"":1,""wgt"":2000},{""typ"":""item"",""id"":11116110,""num"":1,""wgt"":500}]},{""typ"":""multi_random"",""num"":1,""args"":[{""typ"":""item"",""id"":11116223,""num"":1,""wgt"":10000}]}],""wgt"":2500},{""typ"":""single_all"",""num"""&amp;":1,""args"":[{""typ"":""multi_random"",""num"":4,""args"":[{""typ"":""item"",""id"":11111037,""num"":300,""wgt"":1500},{""typ"":""item"",""id"":11111037,""num"":500,""wgt"":1500},{""typ"":""item"",""id"":11111037,""num"":800,""wgt"":2000},{""typ"":""item"&amp;""",""id"":11111037,""num"":1000,""wgt"":1500},{""typ"":""item"",""id"":11111037,""num"":2000,""wgt"":1500},{""typ"":""item"",""id"":11111037,""num"":3000,""wgt"":1500},{""typ"":""item"",""id"":11111037,""num"":5000,""wgt"":500}]},{""typ"":""multi_random"""&amp;",""num"":2,""args"":[{""typ"":""item"",""id"":11111173,""num"":5,""wgt"":500},{""typ"":""item"",""id"":11111173,""num"":10,""wgt"":1000},{""typ"":""item"",""id"":11111174,""num"":2,""wgt"":1500},{""typ"":""item"",""id"":11111174,""num"":3,""wgt"":1500},{"&amp;"""typ"":""item"",""id"":11111174,""num"":4,""wgt"":1500},{""typ"":""item"",""id"":11111175,""num"":1,""wgt"":1500},{""typ"":""item"",""id"":11111175,""num"":2,""wgt"":1500},{""typ"":""item"",""id"":11111176,""num"":1,""wgt"":1500},{""typ"":""item"",""id"""&amp;":11111177,""num"":1,""wgt"":1500}]}],""wgt"":2000}]}}")</f>
        <v>{"drop":{"typ":"single_random","num":1,"args":[{"typ":"single_all","num":1,"args":[{"typ":"multi_random","num":1,"args":[{"typ":"item","id":11111010,"num":1,"wgt":250},{"typ":"item","id":11111012,"num":1,"wgt":250},{"typ":"item","id":11111009,"num":2,"wgt":500},{"typ":"item","id":11111011,"num":2,"wgt":500},{"typ":"empty","wgt":8500}]},{"typ":"multi_random","num":2,"args":[{"typ":"item","id":11111009,"num":1,"wgt":500},{"typ":"item","id":11111004,"num":2,"wgt":800},{"typ":"item","id":11111004,"num":1,"wgt":1000},{"typ":"item","id":11111003,"num":3,"wgt":1200},{"typ":"item","id":11111003,"num":2,"wgt":1500},{"typ":"item","id":11111003,"num":1,"wgt":1500},{"typ":"item","id":11111002,"num":2,"wgt":2000},{"typ":"item","id":11111002,"num":1,"wgt":1500}]},{"typ":"multi_random","num":2,"args":[{"typ":"item","id":11111011,"num":1,"wgt":500},{"typ":"item","id":11111008,"num":2,"wgt":800},{"typ":"item","id":11111008,"num":1,"wgt":1000},{"typ":"item","id":11111007,"num":3,"wgt":1200},{"typ":"item","id":11111007,"num":2,"wgt":1500},{"typ":"item","id":11111007,"num":1,"wgt":1500},{"typ":"item","id":11111006,"num":2,"wgt":2000},{"typ":"item","id":11111006,"num":1,"wgt":1500}]}],"wgt":3000},{"typ":"single_all","num":1,"args":[{"typ":"multi_random","num":2,"args":[{"typ":"item","id":11111014,"num":1,"wgt":1000},{"typ":"item","id":11111015,"num":1,"wgt":1500},{"typ":"item","id":11111015,"num":2,"wgt":2000},{"typ":"item","id":11111015,"num":3,"wgt":2000},{"typ":"item","id":11111015,"num":4,"wgt":2000},{"typ":"item","id":11111016,"num":1,"wgt":1000},{"typ":"item","id":11111016,"num":2,"wgt":500}]},{"typ":"multi_random","num":1,"args":[{"typ":"item","id":11111019,"num":1,"wgt":1000},{"typ":"item","id":11111019,"num":2,"wgt":1000},{"typ":"item","id":11111019,"num":3,"wgt":1000},{"typ":"item","id":11111019,"num":4,"wgt":1000},{"typ":"item","id":11111020,"num":1,"wgt":1000},{"typ":"item","id":11111032,"num":1,"wgt":1000},{"typ":"item","id":11111021,"num":1,"wgt":500},{"typ":"empty","wgt":3500}]},{"typ":"multi_random","num":1,"args":[{"typ":"item","id":11117069,"num":1,"wgt":5000},{"typ":"item","id":11117069,"num":2,"wgt":5000}]},{"typ":"multi_random","num":1,"args":[{"typ":"item","id":11117068,"num":40,"wgt":2000},{"typ":"item","id":11117068,"num":50,"wgt":2000},{"typ":"item","id":11117068,"num":60,"wgt":2000},{"typ":"item","id":11117068,"num":80,"wgt":2000},{"typ":"item","id":11117068,"num":100,"wgt":2000}]}],"wgt":2500},{"typ":"single_all","num":1,"args":[{"typ":"multi_random","num":4,"args":[{"typ":"item","id":11116004,"num":1,"wgt":1500},{"typ":"item","id":11116005,"num":1,"wgt":2000},{"typ":"item","id":11116006,"num":1,"wgt":3000},{"typ":"item","id":11116006,"num":2,"wgt":2000},{"typ":"item","id":11116007,"num":1,"wgt":1500}]},{"typ":"multi_random","num":1,"args":[{"typ":"item","id":11116107,"num":1,"wgt":3000},{"typ":"item","id":11116107,"num":2,"wgt":2500},{"typ":"item","id":11116107,"num":3,"wgt":2000},{"typ":"item","id":11116108,"num":1,"wgt":2000},{"typ":"item","id":11116110,"num":1,"wgt":500}]},{"typ":"multi_random","num":1,"args":[{"typ":"item","id":11116223,"num":1,"wgt":10000}]}],"wgt":2500},{"typ":"single_all","num":1,"args":[{"typ":"multi_random","num":4,"args":[{"typ":"item","id":11111037,"num":300,"wgt":1500},{"typ":"item","id":11111037,"num":500,"wgt":1500},{"typ":"item","id":11111037,"num":800,"wgt":2000},{"typ":"item","id":11111037,"num":1000,"wgt":1500},{"typ":"item","id":11111037,"num":2000,"wgt":1500},{"typ":"item","id":11111037,"num":3000,"wgt":1500},{"typ":"item","id":11111037,"num":5000,"wgt":500}]},{"typ":"multi_random","num":2,"args":[{"typ":"item","id":11111173,"num":5,"wgt":500},{"typ":"item","id":11111173,"num":10,"wgt":1000},{"typ":"item","id":11111174,"num":2,"wgt":1500},{"typ":"item","id":11111174,"num":3,"wgt":1500},{"typ":"item","id":11111174,"num":4,"wgt":1500},{"typ":"item","id":11111175,"num":1,"wgt":1500},{"typ":"item","id":11111175,"num":2,"wgt":1500},{"typ":"item","id":11111176,"num":1,"wgt":1500},{"typ":"item","id":11111177,"num":1,"wgt":1500}]}],"wgt":2000}]}}</v>
      </c>
      <c r="T1148" s="148">
        <f>IFERROR(__xludf.DUMMYFUNCTION("""COMPUTED_VALUE"""),-1.0)</f>
        <v>-1</v>
      </c>
      <c r="U1148" s="148">
        <f>IFERROR(__xludf.DUMMYFUNCTION("""COMPUTED_VALUE"""),0.0)</f>
        <v>0</v>
      </c>
      <c r="V1148" s="148" t="str">
        <f>IFERROR(__xludf.DUMMYFUNCTION("""COMPUTED_VALUE"""),"[]")</f>
        <v>[]</v>
      </c>
      <c r="W1148" s="148">
        <f>IFERROR(__xludf.DUMMYFUNCTION("""COMPUTED_VALUE"""),1.174E7)</f>
        <v>11740000</v>
      </c>
      <c r="X1148" s="148">
        <f>IFERROR(__xludf.DUMMYFUNCTION("""COMPUTED_VALUE"""),0.0)</f>
        <v>0</v>
      </c>
      <c r="Y1148" s="148">
        <f>IFERROR(__xludf.DUMMYFUNCTION("""COMPUTED_VALUE"""),0.0)</f>
        <v>0</v>
      </c>
      <c r="Z1148" s="148"/>
    </row>
    <row r="1149">
      <c r="A1149" s="148">
        <f>IFERROR(__xludf.DUMMYFUNCTION("""COMPUTED_VALUE"""),1.1114325E7)</f>
        <v>11114325</v>
      </c>
      <c r="B1149" s="148" t="str">
        <f>IFERROR(__xludf.DUMMYFUNCTION("""COMPUTED_VALUE"""),"测试自选宝箱")</f>
        <v>测试自选宝箱</v>
      </c>
      <c r="C1149" s="148"/>
      <c r="D1149" s="148" t="str">
        <f>IFERROR(__xludf.DUMMYFUNCTION("""COMPUTED_VALUE"""),"item_select_box")</f>
        <v>item_select_box</v>
      </c>
      <c r="E1149" s="148">
        <f>IFERROR(__xludf.DUMMYFUNCTION("""COMPUTED_VALUE"""),19.0)</f>
        <v>19</v>
      </c>
      <c r="F1149" s="148">
        <f>IFERROR(__xludf.DUMMYFUNCTION("""COMPUTED_VALUE"""),102400.0)</f>
        <v>102400</v>
      </c>
      <c r="G1149" s="148">
        <f>IFERROR(__xludf.DUMMYFUNCTION("""COMPUTED_VALUE"""),1.5112492E7)</f>
        <v>15112492</v>
      </c>
      <c r="H1149" s="148">
        <f>IFERROR(__xludf.DUMMYFUNCTION("""COMPUTED_VALUE"""),1.5112563E7)</f>
        <v>15112563</v>
      </c>
      <c r="I1149" s="148" t="str">
        <f>IFERROR(__xludf.DUMMYFUNCTION("""COMPUTED_VALUE"""),"{}")</f>
        <v>{}</v>
      </c>
      <c r="J1149" s="148" t="str">
        <f>IFERROR(__xludf.DUMMYFUNCTION("""COMPUTED_VALUE"""),"{""typ"":""lc"",""txt"":""LC_ITEM_testbox1_name""}")</f>
        <v>{"typ":"lc","txt":"LC_ITEM_testbox1_name"}</v>
      </c>
      <c r="K1149" s="148" t="str">
        <f>IFERROR(__xludf.DUMMYFUNCTION("""COMPUTED_VALUE"""),"{""typ"":""lc"",""txt"":""LC_ITEM_chest_from_atk_npc_desc""}")</f>
        <v>{"typ":"lc","txt":"LC_ITEM_chest_from_atk_npc_desc"}</v>
      </c>
      <c r="L1149" s="148" t="str">
        <f>IFERROR(__xludf.DUMMYFUNCTION("""COMPUTED_VALUE"""),"{""typ"":""lc"",""txt"":""LC_ITEM_chest_from_atk_npc_usedtip""}")</f>
        <v>{"typ":"lc","txt":"LC_ITEM_chest_from_atk_npc_usedtip"}</v>
      </c>
      <c r="M1149" s="148">
        <f>IFERROR(__xludf.DUMMYFUNCTION("""COMPUTED_VALUE"""),50.0)</f>
        <v>50</v>
      </c>
      <c r="N1149" s="148">
        <f>IFERROR(__xludf.DUMMYFUNCTION("""COMPUTED_VALUE"""),999999.0)</f>
        <v>999999</v>
      </c>
      <c r="O1149" s="148">
        <f>IFERROR(__xludf.DUMMYFUNCTION("""COMPUTED_VALUE"""),99999.0)</f>
        <v>99999</v>
      </c>
      <c r="P1149" s="148">
        <f>IFERROR(__xludf.DUMMYFUNCTION("""COMPUTED_VALUE"""),99999.0)</f>
        <v>99999</v>
      </c>
      <c r="Q1149" s="148" t="str">
        <f>IFERROR(__xludf.DUMMYFUNCTION("""COMPUTED_VALUE"""),"[""bag_asset"",""rss_food"",""rss_iron""]")</f>
        <v>["bag_asset","rss_food","rss_iron"]</v>
      </c>
      <c r="R1149" s="148" t="str">
        <f>IFERROR(__xludf.DUMMYFUNCTION("""COMPUTED_VALUE"""),"[""bag"",""rss_food"",""rss_iron""]")</f>
        <v>["bag","rss_food","rss_iron"]</v>
      </c>
      <c r="S1149" s="148" t="str">
        <f>IFERROR(__xludf.DUMMYFUNCTION("""COMPUTED_VALUE"""),"{""select_box"":[{""typ"":""rss"",""id"":11141001,""val"":100},{""typ"":""rss"",""id"":11141003,""val"":100}]}")</f>
        <v>{"select_box":[{"typ":"rss","id":11141001,"val":100},{"typ":"rss","id":11141003,"val":100}]}</v>
      </c>
      <c r="T1149" s="148">
        <f>IFERROR(__xludf.DUMMYFUNCTION("""COMPUTED_VALUE"""),-1.0)</f>
        <v>-1</v>
      </c>
      <c r="U1149" s="148">
        <f>IFERROR(__xludf.DUMMYFUNCTION("""COMPUTED_VALUE"""),1.0)</f>
        <v>1</v>
      </c>
      <c r="V1149" s="148" t="str">
        <f>IFERROR(__xludf.DUMMYFUNCTION("""COMPUTED_VALUE"""),"[]")</f>
        <v>[]</v>
      </c>
      <c r="W1149" s="148">
        <f>IFERROR(__xludf.DUMMYFUNCTION("""COMPUTED_VALUE"""),1.174E7)</f>
        <v>11740000</v>
      </c>
      <c r="X1149" s="148">
        <f>IFERROR(__xludf.DUMMYFUNCTION("""COMPUTED_VALUE"""),0.0)</f>
        <v>0</v>
      </c>
      <c r="Y1149" s="148">
        <f>IFERROR(__xludf.DUMMYFUNCTION("""COMPUTED_VALUE"""),0.0)</f>
        <v>0</v>
      </c>
      <c r="Z1149" s="148"/>
    </row>
    <row r="1150">
      <c r="A1150" s="148">
        <f>IFERROR(__xludf.DUMMYFUNCTION("""COMPUTED_VALUE"""),1.1114326E7)</f>
        <v>11114326</v>
      </c>
      <c r="B1150" s="148" t="str">
        <f>IFERROR(__xludf.DUMMYFUNCTION("""COMPUTED_VALUE"""),"资源宝箱-部落科技buff")</f>
        <v>资源宝箱-部落科技buff</v>
      </c>
      <c r="C1150" s="148"/>
      <c r="D1150" s="148" t="str">
        <f>IFERROR(__xludf.DUMMYFUNCTION("""COMPUTED_VALUE"""),"item_asset")</f>
        <v>item_asset</v>
      </c>
      <c r="E1150" s="148">
        <f>IFERROR(__xludf.DUMMYFUNCTION("""COMPUTED_VALUE"""),19.0)</f>
        <v>19</v>
      </c>
      <c r="F1150" s="148">
        <f>IFERROR(__xludf.DUMMYFUNCTION("""COMPUTED_VALUE"""),101300.0)</f>
        <v>101300</v>
      </c>
      <c r="G1150" s="148">
        <f>IFERROR(__xludf.DUMMYFUNCTION("""COMPUTED_VALUE"""),1.5110347E7)</f>
        <v>15110347</v>
      </c>
      <c r="H1150" s="148">
        <f>IFERROR(__xludf.DUMMYFUNCTION("""COMPUTED_VALUE"""),1.5112562E7)</f>
        <v>15112562</v>
      </c>
      <c r="I1150" s="148" t="str">
        <f>IFERROR(__xludf.DUMMYFUNCTION("""COMPUTED_VALUE"""),"{}")</f>
        <v>{}</v>
      </c>
      <c r="J1150" s="148" t="str">
        <f>IFERROR(__xludf.DUMMYFUNCTION("""COMPUTED_VALUE"""),"{""typ"":""lc"",""txt"":""LC_ITEM_rss_box_from_uranium_name""}")</f>
        <v>{"typ":"lc","txt":"LC_ITEM_rss_box_from_uranium_name"}</v>
      </c>
      <c r="K1150" s="148" t="str">
        <f>IFERROR(__xludf.DUMMYFUNCTION("""COMPUTED_VALUE"""),"{""typ"":""lc"",""txt"":""LC_ITEM_rss_box_from_uranium_desc""}")</f>
        <v>{"typ":"lc","txt":"LC_ITEM_rss_box_from_uranium_desc"}</v>
      </c>
      <c r="L1150" s="148" t="str">
        <f>IFERROR(__xludf.DUMMYFUNCTION("""COMPUTED_VALUE"""),"{""typ"":""lc"",""txt"":""LC_ITEM_rss_box_from_uranium_usedtip""}")</f>
        <v>{"typ":"lc","txt":"LC_ITEM_rss_box_from_uranium_usedtip"}</v>
      </c>
      <c r="M1150" s="148">
        <f>IFERROR(__xludf.DUMMYFUNCTION("""COMPUTED_VALUE"""),50.0)</f>
        <v>50</v>
      </c>
      <c r="N1150" s="148">
        <f>IFERROR(__xludf.DUMMYFUNCTION("""COMPUTED_VALUE"""),999999.0)</f>
        <v>999999</v>
      </c>
      <c r="O1150" s="148">
        <f>IFERROR(__xludf.DUMMYFUNCTION("""COMPUTED_VALUE"""),99999.0)</f>
        <v>99999</v>
      </c>
      <c r="P1150" s="148">
        <f>IFERROR(__xludf.DUMMYFUNCTION("""COMPUTED_VALUE"""),99999.0)</f>
        <v>99999</v>
      </c>
      <c r="Q1150" s="148" t="str">
        <f>IFERROR(__xludf.DUMMYFUNCTION("""COMPUTED_VALUE"""),"[""bag_asset""]")</f>
        <v>["bag_asset"]</v>
      </c>
      <c r="R1150" s="148" t="str">
        <f>IFERROR(__xludf.DUMMYFUNCTION("""COMPUTED_VALUE"""),"[""bag""]")</f>
        <v>["bag"]</v>
      </c>
      <c r="S1150" s="148" t="str">
        <f>IFERROR(__xludf.DUMMYFUNCTION("""COMPUTED_VALUE"""),"{""drop"":{""typ"":""single_random"",""num"":1,""args"":[{""typ"":""item"",""id"":11111001,""num"":1,""wgt"":10},{""typ"":""item"",""id"":11111005,""num"":1,""wgt"":10},{""typ"":""item"",""id"":11111025,""num"":1,""wgt"":30},{""typ"":""item"",""id"":11111"&amp;"026,""num"":1,""wgt"":30}]}}")</f>
        <v>{"drop":{"typ":"single_random","num":1,"args":[{"typ":"item","id":11111001,"num":1,"wgt":10},{"typ":"item","id":11111005,"num":1,"wgt":10},{"typ":"item","id":11111025,"num":1,"wgt":30},{"typ":"item","id":11111026,"num":1,"wgt":30}]}}</v>
      </c>
      <c r="T1150" s="148">
        <f>IFERROR(__xludf.DUMMYFUNCTION("""COMPUTED_VALUE"""),-1.0)</f>
        <v>-1</v>
      </c>
      <c r="U1150" s="148">
        <f>IFERROR(__xludf.DUMMYFUNCTION("""COMPUTED_VALUE"""),0.0)</f>
        <v>0</v>
      </c>
      <c r="V1150" s="148" t="str">
        <f>IFERROR(__xludf.DUMMYFUNCTION("""COMPUTED_VALUE"""),"[]")</f>
        <v>[]</v>
      </c>
      <c r="W1150" s="148">
        <f>IFERROR(__xludf.DUMMYFUNCTION("""COMPUTED_VALUE"""),1.174E7)</f>
        <v>11740000</v>
      </c>
      <c r="X1150" s="148">
        <f>IFERROR(__xludf.DUMMYFUNCTION("""COMPUTED_VALUE"""),0.0)</f>
        <v>0</v>
      </c>
      <c r="Y1150" s="148">
        <f>IFERROR(__xludf.DUMMYFUNCTION("""COMPUTED_VALUE"""),0.0)</f>
        <v>0</v>
      </c>
      <c r="Z1150" s="148"/>
    </row>
    <row r="1151">
      <c r="A1151" s="148">
        <f>IFERROR(__xludf.DUMMYFUNCTION("""COMPUTED_VALUE"""),1.1114327E7)</f>
        <v>11114327</v>
      </c>
      <c r="B1151" s="148" t="str">
        <f>IFERROR(__xludf.DUMMYFUNCTION("""COMPUTED_VALUE"""),"战利品宝箱")</f>
        <v>战利品宝箱</v>
      </c>
      <c r="C1151" s="148"/>
      <c r="D1151" s="148" t="str">
        <f>IFERROR(__xludf.DUMMYFUNCTION("""COMPUTED_VALUE"""),"item_asset")</f>
        <v>item_asset</v>
      </c>
      <c r="E1151" s="148">
        <f>IFERROR(__xludf.DUMMYFUNCTION("""COMPUTED_VALUE"""),19.0)</f>
        <v>19</v>
      </c>
      <c r="F1151" s="148">
        <f>IFERROR(__xludf.DUMMYFUNCTION("""COMPUTED_VALUE"""),101300.0)</f>
        <v>101300</v>
      </c>
      <c r="G1151" s="148">
        <f>IFERROR(__xludf.DUMMYFUNCTION("""COMPUTED_VALUE"""),1.5113347E7)</f>
        <v>15113347</v>
      </c>
      <c r="H1151" s="148">
        <f>IFERROR(__xludf.DUMMYFUNCTION("""COMPUTED_VALUE"""),1.5112562E7)</f>
        <v>15112562</v>
      </c>
      <c r="I1151" s="148" t="str">
        <f>IFERROR(__xludf.DUMMYFUNCTION("""COMPUTED_VALUE"""),"{}")</f>
        <v>{}</v>
      </c>
      <c r="J1151" s="148" t="str">
        <f>IFERROR(__xludf.DUMMYFUNCTION("""COMPUTED_VALUE"""),"{""typ"":""lc"",""txt"":""LC_ITEM_trophy_loot_chest_name""}")</f>
        <v>{"typ":"lc","txt":"LC_ITEM_trophy_loot_chest_name"}</v>
      </c>
      <c r="K1151" s="148" t="str">
        <f>IFERROR(__xludf.DUMMYFUNCTION("""COMPUTED_VALUE"""),"{""typ"":""lc"",""txt"":""LC_ITEM_add_RSSX_desc"",""args"":[{""typ"":""int"",""val"":100}]}")</f>
        <v>{"typ":"lc","txt":"LC_ITEM_add_RSSX_desc","args":[{"typ":"int","val":100}]}</v>
      </c>
      <c r="L1151" s="148" t="str">
        <f>IFERROR(__xludf.DUMMYFUNCTION("""COMPUTED_VALUE"""),"{""typ"":""lc"",""txt"":""LC_ITEM_add_RSSX_name"",""args"":[{""typ"":""int"",""val"":100}]}")</f>
        <v>{"typ":"lc","txt":"LC_ITEM_add_RSSX_name","args":[{"typ":"int","val":100}]}</v>
      </c>
      <c r="M1151" s="148">
        <f>IFERROR(__xludf.DUMMYFUNCTION("""COMPUTED_VALUE"""),100.0)</f>
        <v>100</v>
      </c>
      <c r="N1151" s="148">
        <f>IFERROR(__xludf.DUMMYFUNCTION("""COMPUTED_VALUE"""),999999.0)</f>
        <v>999999</v>
      </c>
      <c r="O1151" s="148">
        <f>IFERROR(__xludf.DUMMYFUNCTION("""COMPUTED_VALUE"""),99999.0)</f>
        <v>99999</v>
      </c>
      <c r="P1151" s="148">
        <f>IFERROR(__xludf.DUMMYFUNCTION("""COMPUTED_VALUE"""),99999.0)</f>
        <v>99999</v>
      </c>
      <c r="Q1151" s="148" t="str">
        <f>IFERROR(__xludf.DUMMYFUNCTION("""COMPUTED_VALUE"""),"[""bag_asset"",""rss_x""]")</f>
        <v>["bag_asset","rss_x"]</v>
      </c>
      <c r="R1151" s="148" t="str">
        <f>IFERROR(__xludf.DUMMYFUNCTION("""COMPUTED_VALUE"""),"[""bag"",""rss_x""]")</f>
        <v>["bag","rss_x"]</v>
      </c>
      <c r="S1151" s="148" t="str">
        <f>IFERROR(__xludf.DUMMYFUNCTION("""COMPUTED_VALUE"""),"{""drop"":{""typ"":""single_random"",""num"":1,""args"":[{""typ"":""rss"",""id"":11141012,""num"":100,""wgt"":100}]}}")</f>
        <v>{"drop":{"typ":"single_random","num":1,"args":[{"typ":"rss","id":11141012,"num":100,"wgt":100}]}}</v>
      </c>
      <c r="T1151" s="148">
        <f>IFERROR(__xludf.DUMMYFUNCTION("""COMPUTED_VALUE"""),-1.0)</f>
        <v>-1</v>
      </c>
      <c r="U1151" s="148">
        <f>IFERROR(__xludf.DUMMYFUNCTION("""COMPUTED_VALUE"""),0.0)</f>
        <v>0</v>
      </c>
      <c r="V1151" s="148" t="str">
        <f>IFERROR(__xludf.DUMMYFUNCTION("""COMPUTED_VALUE"""),"[]")</f>
        <v>[]</v>
      </c>
      <c r="W1151" s="148">
        <f>IFERROR(__xludf.DUMMYFUNCTION("""COMPUTED_VALUE"""),1.174E7)</f>
        <v>11740000</v>
      </c>
      <c r="X1151" s="148">
        <f>IFERROR(__xludf.DUMMYFUNCTION("""COMPUTED_VALUE"""),0.0)</f>
        <v>0</v>
      </c>
      <c r="Y1151" s="148">
        <f>IFERROR(__xludf.DUMMYFUNCTION("""COMPUTED_VALUE"""),0.0)</f>
        <v>0</v>
      </c>
      <c r="Z1151" s="148"/>
    </row>
    <row r="1152">
      <c r="A1152" s="148">
        <f>IFERROR(__xludf.DUMMYFUNCTION("""COMPUTED_VALUE"""),1.1114328E7)</f>
        <v>11114328</v>
      </c>
      <c r="B1152" s="148" t="str">
        <f>IFERROR(__xludf.DUMMYFUNCTION("""COMPUTED_VALUE"""),"初级资源自选宝箱1K")</f>
        <v>初级资源自选宝箱1K</v>
      </c>
      <c r="C1152" s="148"/>
      <c r="D1152" s="148" t="str">
        <f>IFERROR(__xludf.DUMMYFUNCTION("""COMPUTED_VALUE"""),"item_select_box")</f>
        <v>item_select_box</v>
      </c>
      <c r="E1152" s="148">
        <f>IFERROR(__xludf.DUMMYFUNCTION("""COMPUTED_VALUE"""),19.0)</f>
        <v>19</v>
      </c>
      <c r="F1152" s="148">
        <f>IFERROR(__xludf.DUMMYFUNCTION("""COMPUTED_VALUE"""),102300.0)</f>
        <v>102300</v>
      </c>
      <c r="G1152" s="148">
        <f>IFERROR(__xludf.DUMMYFUNCTION("""COMPUTED_VALUE"""),1.5113485E7)</f>
        <v>15113485</v>
      </c>
      <c r="H1152" s="148">
        <f>IFERROR(__xludf.DUMMYFUNCTION("""COMPUTED_VALUE"""),1.5112562E7)</f>
        <v>15112562</v>
      </c>
      <c r="I1152" s="148" t="str">
        <f>IFERROR(__xludf.DUMMYFUNCTION("""COMPUTED_VALUE"""),"{}")</f>
        <v>{}</v>
      </c>
      <c r="J1152" s="148" t="str">
        <f>IFERROR(__xludf.DUMMYFUNCTION("""COMPUTED_VALUE"""),"{""typ"":""lc"",""txt"":""LC_ITEM_rss_optional_box_name1""}")</f>
        <v>{"typ":"lc","txt":"LC_ITEM_rss_optional_box_name1"}</v>
      </c>
      <c r="K1152" s="148" t="str">
        <f>IFERROR(__xludf.DUMMYFUNCTION("""COMPUTED_VALUE"""),"{""typ"":""lc"",""txt"":""LC_ITEM_rss_optional_box_desc"",""args"":[{""typ"":""int"",""val"":1000},{""typ"":""int"",""val"":1000}]}")</f>
        <v>{"typ":"lc","txt":"LC_ITEM_rss_optional_box_desc","args":[{"typ":"int","val":1000},{"typ":"int","val":1000}]}</v>
      </c>
      <c r="L1152" s="148" t="str">
        <f>IFERROR(__xludf.DUMMYFUNCTION("""COMPUTED_VALUE"""),"{""typ"":""lc"",""txt"":""LC_ITEM_chest_from_atk_npc_usedtip""}")</f>
        <v>{"typ":"lc","txt":"LC_ITEM_chest_from_atk_npc_usedtip"}</v>
      </c>
      <c r="M1152" s="148">
        <f>IFERROR(__xludf.DUMMYFUNCTION("""COMPUTED_VALUE"""),3.0)</f>
        <v>3</v>
      </c>
      <c r="N1152" s="148">
        <f>IFERROR(__xludf.DUMMYFUNCTION("""COMPUTED_VALUE"""),999999.0)</f>
        <v>999999</v>
      </c>
      <c r="O1152" s="148">
        <f>IFERROR(__xludf.DUMMYFUNCTION("""COMPUTED_VALUE"""),99999.0)</f>
        <v>99999</v>
      </c>
      <c r="P1152" s="148">
        <f>IFERROR(__xludf.DUMMYFUNCTION("""COMPUTED_VALUE"""),99999.0)</f>
        <v>99999</v>
      </c>
      <c r="Q1152" s="148" t="str">
        <f>IFERROR(__xludf.DUMMYFUNCTION("""COMPUTED_VALUE"""),"[""bag_asset"",""rss_food"",""rss_iron""]")</f>
        <v>["bag_asset","rss_food","rss_iron"]</v>
      </c>
      <c r="R1152" s="148" t="str">
        <f>IFERROR(__xludf.DUMMYFUNCTION("""COMPUTED_VALUE"""),"[""bag"",""rss_food"",""rss_iron""]")</f>
        <v>["bag","rss_food","rss_iron"]</v>
      </c>
      <c r="S1152" s="148" t="str">
        <f>IFERROR(__xludf.DUMMYFUNCTION("""COMPUTED_VALUE"""),"{""select_box"":[{""typ"":""rss"",""id"":11141001,""val"":1000},{""typ"":""rss"",""id"":11141003,""val"":1000}]}")</f>
        <v>{"select_box":[{"typ":"rss","id":11141001,"val":1000},{"typ":"rss","id":11141003,"val":1000}]}</v>
      </c>
      <c r="T1152" s="148">
        <f>IFERROR(__xludf.DUMMYFUNCTION("""COMPUTED_VALUE"""),-1.0)</f>
        <v>-1</v>
      </c>
      <c r="U1152" s="148">
        <f>IFERROR(__xludf.DUMMYFUNCTION("""COMPUTED_VALUE"""),1.0)</f>
        <v>1</v>
      </c>
      <c r="V1152" s="148" t="str">
        <f>IFERROR(__xludf.DUMMYFUNCTION("""COMPUTED_VALUE"""),"[]")</f>
        <v>[]</v>
      </c>
      <c r="W1152" s="148">
        <f>IFERROR(__xludf.DUMMYFUNCTION("""COMPUTED_VALUE"""),1.1741001E7)</f>
        <v>11741001</v>
      </c>
      <c r="X1152" s="148">
        <f>IFERROR(__xludf.DUMMYFUNCTION("""COMPUTED_VALUE"""),0.0)</f>
        <v>0</v>
      </c>
      <c r="Y1152" s="148">
        <f>IFERROR(__xludf.DUMMYFUNCTION("""COMPUTED_VALUE"""),0.0)</f>
        <v>0</v>
      </c>
      <c r="Z1152" s="148"/>
    </row>
    <row r="1153">
      <c r="A1153" s="148">
        <f>IFERROR(__xludf.DUMMYFUNCTION("""COMPUTED_VALUE"""),1.1114329E7)</f>
        <v>11114329</v>
      </c>
      <c r="B1153" s="148" t="str">
        <f>IFERROR(__xludf.DUMMYFUNCTION("""COMPUTED_VALUE"""),"中级资源自选宝箱1w")</f>
        <v>中级资源自选宝箱1w</v>
      </c>
      <c r="C1153" s="148"/>
      <c r="D1153" s="148" t="str">
        <f>IFERROR(__xludf.DUMMYFUNCTION("""COMPUTED_VALUE"""),"item_select_box")</f>
        <v>item_select_box</v>
      </c>
      <c r="E1153" s="148">
        <f>IFERROR(__xludf.DUMMYFUNCTION("""COMPUTED_VALUE"""),19.0)</f>
        <v>19</v>
      </c>
      <c r="F1153" s="148">
        <f>IFERROR(__xludf.DUMMYFUNCTION("""COMPUTED_VALUE"""),102400.0)</f>
        <v>102400</v>
      </c>
      <c r="G1153" s="148">
        <f>IFERROR(__xludf.DUMMYFUNCTION("""COMPUTED_VALUE"""),1.5113485E7)</f>
        <v>15113485</v>
      </c>
      <c r="H1153" s="148">
        <f>IFERROR(__xludf.DUMMYFUNCTION("""COMPUTED_VALUE"""),1.5112563E7)</f>
        <v>15112563</v>
      </c>
      <c r="I1153" s="148" t="str">
        <f>IFERROR(__xludf.DUMMYFUNCTION("""COMPUTED_VALUE"""),"{}")</f>
        <v>{}</v>
      </c>
      <c r="J1153" s="148" t="str">
        <f>IFERROR(__xludf.DUMMYFUNCTION("""COMPUTED_VALUE"""),"{""typ"":""lc"",""txt"":""LC_ITEM_rss_optional_box_name2""}")</f>
        <v>{"typ":"lc","txt":"LC_ITEM_rss_optional_box_name2"}</v>
      </c>
      <c r="K1153" s="148" t="str">
        <f>IFERROR(__xludf.DUMMYFUNCTION("""COMPUTED_VALUE"""),"{""typ"":""lc"",""txt"":""LC_ITEM_rss_optional_box_desc"",""args"":[{""typ"":""int"",""val"":10000},{""typ"":""int"",""val"":10000}]}")</f>
        <v>{"typ":"lc","txt":"LC_ITEM_rss_optional_box_desc","args":[{"typ":"int","val":10000},{"typ":"int","val":10000}]}</v>
      </c>
      <c r="L1153" s="148" t="str">
        <f>IFERROR(__xludf.DUMMYFUNCTION("""COMPUTED_VALUE"""),"{""typ"":""lc"",""txt"":""LC_ITEM_chest_from_atk_npc_usedtip""}")</f>
        <v>{"typ":"lc","txt":"LC_ITEM_chest_from_atk_npc_usedtip"}</v>
      </c>
      <c r="M1153" s="148">
        <f>IFERROR(__xludf.DUMMYFUNCTION("""COMPUTED_VALUE"""),25.0)</f>
        <v>25</v>
      </c>
      <c r="N1153" s="148">
        <f>IFERROR(__xludf.DUMMYFUNCTION("""COMPUTED_VALUE"""),999999.0)</f>
        <v>999999</v>
      </c>
      <c r="O1153" s="148">
        <f>IFERROR(__xludf.DUMMYFUNCTION("""COMPUTED_VALUE"""),99999.0)</f>
        <v>99999</v>
      </c>
      <c r="P1153" s="148">
        <f>IFERROR(__xludf.DUMMYFUNCTION("""COMPUTED_VALUE"""),99999.0)</f>
        <v>99999</v>
      </c>
      <c r="Q1153" s="148" t="str">
        <f>IFERROR(__xludf.DUMMYFUNCTION("""COMPUTED_VALUE"""),"[""bag_asset"",""rss_food"",""rss_iron""]")</f>
        <v>["bag_asset","rss_food","rss_iron"]</v>
      </c>
      <c r="R1153" s="148" t="str">
        <f>IFERROR(__xludf.DUMMYFUNCTION("""COMPUTED_VALUE"""),"[""bag"",""rss_food"",""rss_iron""]")</f>
        <v>["bag","rss_food","rss_iron"]</v>
      </c>
      <c r="S1153" s="148" t="str">
        <f>IFERROR(__xludf.DUMMYFUNCTION("""COMPUTED_VALUE"""),"{""select_box"":[{""typ"":""rss"",""id"":11141001,""val"":10000},{""typ"":""rss"",""id"":11141003,""val"":10000}]}")</f>
        <v>{"select_box":[{"typ":"rss","id":11141001,"val":10000},{"typ":"rss","id":11141003,"val":10000}]}</v>
      </c>
      <c r="T1153" s="148">
        <f>IFERROR(__xludf.DUMMYFUNCTION("""COMPUTED_VALUE"""),-1.0)</f>
        <v>-1</v>
      </c>
      <c r="U1153" s="148">
        <f>IFERROR(__xludf.DUMMYFUNCTION("""COMPUTED_VALUE"""),1.0)</f>
        <v>1</v>
      </c>
      <c r="V1153" s="148" t="str">
        <f>IFERROR(__xludf.DUMMYFUNCTION("""COMPUTED_VALUE"""),"[]")</f>
        <v>[]</v>
      </c>
      <c r="W1153" s="148">
        <f>IFERROR(__xludf.DUMMYFUNCTION("""COMPUTED_VALUE"""),1.1741001E7)</f>
        <v>11741001</v>
      </c>
      <c r="X1153" s="148">
        <f>IFERROR(__xludf.DUMMYFUNCTION("""COMPUTED_VALUE"""),0.0)</f>
        <v>0</v>
      </c>
      <c r="Y1153" s="148">
        <f>IFERROR(__xludf.DUMMYFUNCTION("""COMPUTED_VALUE"""),0.0)</f>
        <v>0</v>
      </c>
      <c r="Z1153" s="148"/>
    </row>
    <row r="1154">
      <c r="A1154" s="148">
        <f>IFERROR(__xludf.DUMMYFUNCTION("""COMPUTED_VALUE"""),1.111433E7)</f>
        <v>11114330</v>
      </c>
      <c r="B1154" s="148" t="str">
        <f>IFERROR(__xludf.DUMMYFUNCTION("""COMPUTED_VALUE"""),"高级资源自选宝箱10w")</f>
        <v>高级资源自选宝箱10w</v>
      </c>
      <c r="C1154" s="148"/>
      <c r="D1154" s="148" t="str">
        <f>IFERROR(__xludf.DUMMYFUNCTION("""COMPUTED_VALUE"""),"item_select_box")</f>
        <v>item_select_box</v>
      </c>
      <c r="E1154" s="148">
        <f>IFERROR(__xludf.DUMMYFUNCTION("""COMPUTED_VALUE"""),19.0)</f>
        <v>19</v>
      </c>
      <c r="F1154" s="148">
        <f>IFERROR(__xludf.DUMMYFUNCTION("""COMPUTED_VALUE"""),102500.0)</f>
        <v>102500</v>
      </c>
      <c r="G1154" s="148">
        <f>IFERROR(__xludf.DUMMYFUNCTION("""COMPUTED_VALUE"""),1.5113485E7)</f>
        <v>15113485</v>
      </c>
      <c r="H1154" s="148">
        <f>IFERROR(__xludf.DUMMYFUNCTION("""COMPUTED_VALUE"""),1.5112564E7)</f>
        <v>15112564</v>
      </c>
      <c r="I1154" s="148" t="str">
        <f>IFERROR(__xludf.DUMMYFUNCTION("""COMPUTED_VALUE"""),"{}")</f>
        <v>{}</v>
      </c>
      <c r="J1154" s="148" t="str">
        <f>IFERROR(__xludf.DUMMYFUNCTION("""COMPUTED_VALUE"""),"{""typ"":""lc"",""txt"":""LC_ITEM_rss_optional_box_name3""}")</f>
        <v>{"typ":"lc","txt":"LC_ITEM_rss_optional_box_name3"}</v>
      </c>
      <c r="K1154" s="148" t="str">
        <f>IFERROR(__xludf.DUMMYFUNCTION("""COMPUTED_VALUE"""),"{""typ"":""lc"",""txt"":""LC_ITEM_rss_optional_box_desc"",""args"":[{""typ"":""int"",""val"":100000},{""typ"":""int"",""val"":100000}]}")</f>
        <v>{"typ":"lc","txt":"LC_ITEM_rss_optional_box_desc","args":[{"typ":"int","val":100000},{"typ":"int","val":100000}]}</v>
      </c>
      <c r="L1154" s="148" t="str">
        <f>IFERROR(__xludf.DUMMYFUNCTION("""COMPUTED_VALUE"""),"{""typ"":""lc"",""txt"":""LC_ITEM_chest_from_atk_npc_usedtip""}")</f>
        <v>{"typ":"lc","txt":"LC_ITEM_chest_from_atk_npc_usedtip"}</v>
      </c>
      <c r="M1154" s="148">
        <f>IFERROR(__xludf.DUMMYFUNCTION("""COMPUTED_VALUE"""),200.0)</f>
        <v>200</v>
      </c>
      <c r="N1154" s="148">
        <f>IFERROR(__xludf.DUMMYFUNCTION("""COMPUTED_VALUE"""),999999.0)</f>
        <v>999999</v>
      </c>
      <c r="O1154" s="148">
        <f>IFERROR(__xludf.DUMMYFUNCTION("""COMPUTED_VALUE"""),99999.0)</f>
        <v>99999</v>
      </c>
      <c r="P1154" s="148">
        <f>IFERROR(__xludf.DUMMYFUNCTION("""COMPUTED_VALUE"""),99999.0)</f>
        <v>99999</v>
      </c>
      <c r="Q1154" s="148" t="str">
        <f>IFERROR(__xludf.DUMMYFUNCTION("""COMPUTED_VALUE"""),"[""bag_asset"",""rss_food"",""rss_iron""]")</f>
        <v>["bag_asset","rss_food","rss_iron"]</v>
      </c>
      <c r="R1154" s="148" t="str">
        <f>IFERROR(__xludf.DUMMYFUNCTION("""COMPUTED_VALUE"""),"[""bag"",""rss_food"",""rss_iron""]")</f>
        <v>["bag","rss_food","rss_iron"]</v>
      </c>
      <c r="S1154" s="148" t="str">
        <f>IFERROR(__xludf.DUMMYFUNCTION("""COMPUTED_VALUE"""),"{""select_box"":[{""typ"":""rss"",""id"":11141001,""val"":100000},{""typ"":""rss"",""id"":11141003,""val"":100000}]}")</f>
        <v>{"select_box":[{"typ":"rss","id":11141001,"val":100000},{"typ":"rss","id":11141003,"val":100000}]}</v>
      </c>
      <c r="T1154" s="148">
        <f>IFERROR(__xludf.DUMMYFUNCTION("""COMPUTED_VALUE"""),-1.0)</f>
        <v>-1</v>
      </c>
      <c r="U1154" s="148">
        <f>IFERROR(__xludf.DUMMYFUNCTION("""COMPUTED_VALUE"""),1.0)</f>
        <v>1</v>
      </c>
      <c r="V1154" s="148" t="str">
        <f>IFERROR(__xludf.DUMMYFUNCTION("""COMPUTED_VALUE"""),"[]")</f>
        <v>[]</v>
      </c>
      <c r="W1154" s="148">
        <f>IFERROR(__xludf.DUMMYFUNCTION("""COMPUTED_VALUE"""),1.1741001E7)</f>
        <v>11741001</v>
      </c>
      <c r="X1154" s="148">
        <f>IFERROR(__xludf.DUMMYFUNCTION("""COMPUTED_VALUE"""),0.0)</f>
        <v>0</v>
      </c>
      <c r="Y1154" s="148">
        <f>IFERROR(__xludf.DUMMYFUNCTION("""COMPUTED_VALUE"""),0.0)</f>
        <v>0</v>
      </c>
      <c r="Z1154" s="148"/>
    </row>
    <row r="1155">
      <c r="A1155" s="148">
        <f>IFERROR(__xludf.DUMMYFUNCTION("""COMPUTED_VALUE"""),1.1114331E7)</f>
        <v>11114331</v>
      </c>
      <c r="B1155" s="148" t="str">
        <f>IFERROR(__xludf.DUMMYFUNCTION("""COMPUTED_VALUE"""),"加速随机宝箱")</f>
        <v>加速随机宝箱</v>
      </c>
      <c r="C1155" s="148"/>
      <c r="D1155" s="148" t="str">
        <f>IFERROR(__xludf.DUMMYFUNCTION("""COMPUTED_VALUE"""),"item_asset")</f>
        <v>item_asset</v>
      </c>
      <c r="E1155" s="148">
        <f>IFERROR(__xludf.DUMMYFUNCTION("""COMPUTED_VALUE"""),19.0)</f>
        <v>19</v>
      </c>
      <c r="F1155" s="148">
        <f>IFERROR(__xludf.DUMMYFUNCTION("""COMPUTED_VALUE"""),201101.0)</f>
        <v>201101</v>
      </c>
      <c r="G1155" s="148">
        <f>IFERROR(__xludf.DUMMYFUNCTION("""COMPUTED_VALUE"""),1.5113486E7)</f>
        <v>15113486</v>
      </c>
      <c r="H1155" s="148">
        <f>IFERROR(__xludf.DUMMYFUNCTION("""COMPUTED_VALUE"""),1.511256E7)</f>
        <v>15112560</v>
      </c>
      <c r="I1155" s="148" t="str">
        <f>IFERROR(__xludf.DUMMYFUNCTION("""COMPUTED_VALUE"""),"{}")</f>
        <v>{}</v>
      </c>
      <c r="J1155" s="148" t="str">
        <f>IFERROR(__xludf.DUMMYFUNCTION("""COMPUTED_VALUE"""),"{""typ"":""lc"",""txt"":""LC_ITEM_speed_up_box_name""}")</f>
        <v>{"typ":"lc","txt":"LC_ITEM_speed_up_box_name"}</v>
      </c>
      <c r="K1155" s="148" t="str">
        <f>IFERROR(__xludf.DUMMYFUNCTION("""COMPUTED_VALUE"""),"{""typ"":""lc"",""txt"":""LC_ITEM_speed_up_box_desc""}")</f>
        <v>{"typ":"lc","txt":"LC_ITEM_speed_up_box_desc"}</v>
      </c>
      <c r="L1155" s="148" t="str">
        <f>IFERROR(__xludf.DUMMYFUNCTION("""COMPUTED_VALUE"""),"{""typ"":""lc"",""txt"":""LC_ITEM_horde_elite_box_usedtip""}")</f>
        <v>{"typ":"lc","txt":"LC_ITEM_horde_elite_box_usedtip"}</v>
      </c>
      <c r="M1155" s="148">
        <f>IFERROR(__xludf.DUMMYFUNCTION("""COMPUTED_VALUE"""),5.0)</f>
        <v>5</v>
      </c>
      <c r="N1155" s="148">
        <f>IFERROR(__xludf.DUMMYFUNCTION("""COMPUTED_VALUE"""),999999.0)</f>
        <v>999999</v>
      </c>
      <c r="O1155" s="148">
        <f>IFERROR(__xludf.DUMMYFUNCTION("""COMPUTED_VALUE"""),99999.0)</f>
        <v>99999</v>
      </c>
      <c r="P1155" s="148">
        <f>IFERROR(__xludf.DUMMYFUNCTION("""COMPUTED_VALUE"""),99999.0)</f>
        <v>99999</v>
      </c>
      <c r="Q1155" s="148" t="str">
        <f>IFERROR(__xludf.DUMMYFUNCTION("""COMPUTED_VALUE"""),"[""bag_speedup""]")</f>
        <v>["bag_speedup"]</v>
      </c>
      <c r="R1155" s="148" t="str">
        <f>IFERROR(__xludf.DUMMYFUNCTION("""COMPUTED_VALUE"""),"[""bag""]")</f>
        <v>["bag"]</v>
      </c>
      <c r="S1155" s="148" t="str">
        <f>IFERROR(__xludf.DUMMYFUNCTION("""COMPUTED_VALUE"""),"{""drop"":{""typ"":""single_random"",""num"":1,""args"":[{""typ"":""item"",""id"":11111101,""num"":1,""wgt"":1000},{""typ"":""item"",""id"":11111102,""num"":1,""wgt"":400},{""typ"":""item"",""id"":11111121,""num"":1,""wgt"":5000},{""typ"":""item"",""id"":"&amp;"11111123,""num"":1,""wgt"":1000},{""typ"":""item"",""id"":11111131,""num"":1,""wgt"":5000},{""typ"":""item"",""id"":11111133,""num"":1,""wgt"":1000},{""typ"":""item"",""id"":11111151,""num"":1,""wgt"":5000},{""typ"":""item"",""id"":11111153,""num"":1,""wg"&amp;"t"":1000}]}}")</f>
        <v>{"drop":{"typ":"single_random","num":1,"args":[{"typ":"item","id":11111101,"num":1,"wgt":1000},{"typ":"item","id":11111102,"num":1,"wgt":400},{"typ":"item","id":11111121,"num":1,"wgt":5000},{"typ":"item","id":11111123,"num":1,"wgt":1000},{"typ":"item","id":11111131,"num":1,"wgt":5000},{"typ":"item","id":11111133,"num":1,"wgt":1000},{"typ":"item","id":11111151,"num":1,"wgt":5000},{"typ":"item","id":11111153,"num":1,"wgt":1000}]}}</v>
      </c>
      <c r="T1155" s="148">
        <f>IFERROR(__xludf.DUMMYFUNCTION("""COMPUTED_VALUE"""),-1.0)</f>
        <v>-1</v>
      </c>
      <c r="U1155" s="148">
        <f>IFERROR(__xludf.DUMMYFUNCTION("""COMPUTED_VALUE"""),0.0)</f>
        <v>0</v>
      </c>
      <c r="V1155" s="148" t="str">
        <f>IFERROR(__xludf.DUMMYFUNCTION("""COMPUTED_VALUE"""),"[]")</f>
        <v>[]</v>
      </c>
      <c r="W1155" s="148">
        <f>IFERROR(__xludf.DUMMYFUNCTION("""COMPUTED_VALUE"""),1.174E7)</f>
        <v>11740000</v>
      </c>
      <c r="X1155" s="148">
        <f>IFERROR(__xludf.DUMMYFUNCTION("""COMPUTED_VALUE"""),0.0)</f>
        <v>0</v>
      </c>
      <c r="Y1155" s="148">
        <f>IFERROR(__xludf.DUMMYFUNCTION("""COMPUTED_VALUE"""),0.0)</f>
        <v>0</v>
      </c>
      <c r="Z1155" s="148"/>
    </row>
    <row r="1156">
      <c r="A1156" s="148">
        <f>IFERROR(__xludf.DUMMYFUNCTION("""COMPUTED_VALUE"""),1.1114332E7)</f>
        <v>11114332</v>
      </c>
      <c r="B1156" s="148" t="str">
        <f>IFERROR(__xludf.DUMMYFUNCTION("""COMPUTED_VALUE"""),"露易丝的礼物")</f>
        <v>露易丝的礼物</v>
      </c>
      <c r="C1156" s="148"/>
      <c r="D1156" s="148" t="str">
        <f>IFERROR(__xludf.DUMMYFUNCTION("""COMPUTED_VALUE"""),"item_asset")</f>
        <v>item_asset</v>
      </c>
      <c r="E1156" s="148">
        <f>IFERROR(__xludf.DUMMYFUNCTION("""COMPUTED_VALUE"""),19.0)</f>
        <v>19</v>
      </c>
      <c r="F1156" s="148">
        <f>IFERROR(__xludf.DUMMYFUNCTION("""COMPUTED_VALUE"""),401115.0)</f>
        <v>401115</v>
      </c>
      <c r="G1156" s="148">
        <f>IFERROR(__xludf.DUMMYFUNCTION("""COMPUTED_VALUE"""),1.5113556E7)</f>
        <v>15113556</v>
      </c>
      <c r="H1156" s="148">
        <f>IFERROR(__xludf.DUMMYFUNCTION("""COMPUTED_VALUE"""),1.5112564E7)</f>
        <v>15112564</v>
      </c>
      <c r="I1156" s="148" t="str">
        <f>IFERROR(__xludf.DUMMYFUNCTION("""COMPUTED_VALUE"""),"{}")</f>
        <v>{}</v>
      </c>
      <c r="J1156" s="148" t="str">
        <f>IFERROR(__xludf.DUMMYFUNCTION("""COMPUTED_VALUE"""),"{""typ"":""lc"",""txt"":""LC_ITEM_louise_chest_name""}")</f>
        <v>{"typ":"lc","txt":"LC_ITEM_louise_chest_name"}</v>
      </c>
      <c r="K1156" s="148" t="str">
        <f>IFERROR(__xludf.DUMMYFUNCTION("""COMPUTED_VALUE"""),"{""typ"":""lc"",""txt"":""LC_ITEM_louise_chest_desc""}")</f>
        <v>{"typ":"lc","txt":"LC_ITEM_louise_chest_desc"}</v>
      </c>
      <c r="L1156" s="148" t="str">
        <f>IFERROR(__xludf.DUMMYFUNCTION("""COMPUTED_VALUE"""),"{""typ"":""lc"",""txt"":""LC_ITEM_season_extra_reward_usedtip""}")</f>
        <v>{"typ":"lc","txt":"LC_ITEM_season_extra_reward_usedtip"}</v>
      </c>
      <c r="M1156" s="148">
        <f>IFERROR(__xludf.DUMMYFUNCTION("""COMPUTED_VALUE"""),1133.0)</f>
        <v>1133</v>
      </c>
      <c r="N1156" s="148">
        <f>IFERROR(__xludf.DUMMYFUNCTION("""COMPUTED_VALUE"""),999999.0)</f>
        <v>999999</v>
      </c>
      <c r="O1156" s="148">
        <f>IFERROR(__xludf.DUMMYFUNCTION("""COMPUTED_VALUE"""),99999.0)</f>
        <v>99999</v>
      </c>
      <c r="P1156" s="148">
        <f>IFERROR(__xludf.DUMMYFUNCTION("""COMPUTED_VALUE"""),100.0)</f>
        <v>100</v>
      </c>
      <c r="Q1156" s="148" t="str">
        <f>IFERROR(__xludf.DUMMYFUNCTION("""COMPUTED_VALUE"""),"[""bag_other""]")</f>
        <v>["bag_other"]</v>
      </c>
      <c r="R1156" s="148" t="str">
        <f>IFERROR(__xludf.DUMMYFUNCTION("""COMPUTED_VALUE"""),"[""bag""]")</f>
        <v>["bag"]</v>
      </c>
      <c r="S1156" s="148" t="str">
        <f>IFERROR(__xludf.DUMMYFUNCTION("""COMPUTED_VALUE"""),"{""drop"":{""typ"":""single_random"",""num"":1,""drop_rule"":{""typ"":""noget"",""id"":11116213,""num"":1,""args"":[{""typ"":""item"",""id"":11116213,""num"":1,""wgt"":1}]},""args"":[{""typ"":""item"",""id"":11116213,""num"":1,""wgt"":350},{""typ"":""item"&amp;""",""id"":11116213,""num"":2,""wgt"":150},{""typ"":""item"",""id"":11116213,""num"":3,""wgt"":1},{""typ"":""item"",""id"":11116213,""num"":5,""wgt"":1},{""typ"":""item"",""id"":11116303,""num"":1,""wgt"":100},{""typ"":""item"",""id"":11116304,""num"":1,"""&amp;"wgt"":50},{""typ"":""item"",""id"":11116401,""num"":1,""wgt"":200},{""typ"":""item"",""id"":11116402,""num"":1,""wgt"":150}]}}")</f>
        <v>{"drop":{"typ":"single_random","num":1,"drop_rule":{"typ":"noget","id":11116213,"num":1,"args":[{"typ":"item","id":11116213,"num":1,"wgt":1}]},"args":[{"typ":"item","id":11116213,"num":1,"wgt":350},{"typ":"item","id":11116213,"num":2,"wgt":150},{"typ":"item","id":11116213,"num":3,"wgt":1},{"typ":"item","id":11116213,"num":5,"wgt":1},{"typ":"item","id":11116303,"num":1,"wgt":100},{"typ":"item","id":11116304,"num":1,"wgt":50},{"typ":"item","id":11116401,"num":1,"wgt":200},{"typ":"item","id":11116402,"num":1,"wgt":150}]}}</v>
      </c>
      <c r="T1156" s="148">
        <f>IFERROR(__xludf.DUMMYFUNCTION("""COMPUTED_VALUE"""),-1.0)</f>
        <v>-1</v>
      </c>
      <c r="U1156" s="148">
        <f>IFERROR(__xludf.DUMMYFUNCTION("""COMPUTED_VALUE"""),0.0)</f>
        <v>0</v>
      </c>
      <c r="V1156" s="148" t="str">
        <f>IFERROR(__xludf.DUMMYFUNCTION("""COMPUTED_VALUE"""),"[]")</f>
        <v>[]</v>
      </c>
      <c r="W1156" s="148">
        <f>IFERROR(__xludf.DUMMYFUNCTION("""COMPUTED_VALUE"""),1.174E7)</f>
        <v>11740000</v>
      </c>
      <c r="X1156" s="148">
        <f>IFERROR(__xludf.DUMMYFUNCTION("""COMPUTED_VALUE"""),0.0)</f>
        <v>0</v>
      </c>
      <c r="Y1156" s="148">
        <f>IFERROR(__xludf.DUMMYFUNCTION("""COMPUTED_VALUE"""),0.0)</f>
        <v>0</v>
      </c>
      <c r="Z1156" s="148"/>
    </row>
    <row r="1157">
      <c r="A1157" s="148">
        <f>IFERROR(__xludf.DUMMYFUNCTION("""COMPUTED_VALUE"""),1.1114333E7)</f>
        <v>11114333</v>
      </c>
      <c r="B1157" s="148" t="str">
        <f>IFERROR(__xludf.DUMMYFUNCTION("""COMPUTED_VALUE"""),"杰克的礼物")</f>
        <v>杰克的礼物</v>
      </c>
      <c r="C1157" s="148"/>
      <c r="D1157" s="148" t="str">
        <f>IFERROR(__xludf.DUMMYFUNCTION("""COMPUTED_VALUE"""),"item_asset")</f>
        <v>item_asset</v>
      </c>
      <c r="E1157" s="148">
        <f>IFERROR(__xludf.DUMMYFUNCTION("""COMPUTED_VALUE"""),19.0)</f>
        <v>19</v>
      </c>
      <c r="F1157" s="148">
        <f>IFERROR(__xludf.DUMMYFUNCTION("""COMPUTED_VALUE"""),401114.0)</f>
        <v>401114</v>
      </c>
      <c r="G1157" s="148">
        <f>IFERROR(__xludf.DUMMYFUNCTION("""COMPUTED_VALUE"""),1.5113556E7)</f>
        <v>15113556</v>
      </c>
      <c r="H1157" s="148">
        <f>IFERROR(__xludf.DUMMYFUNCTION("""COMPUTED_VALUE"""),1.5112564E7)</f>
        <v>15112564</v>
      </c>
      <c r="I1157" s="148" t="str">
        <f>IFERROR(__xludf.DUMMYFUNCTION("""COMPUTED_VALUE"""),"{}")</f>
        <v>{}</v>
      </c>
      <c r="J1157" s="148" t="str">
        <f>IFERROR(__xludf.DUMMYFUNCTION("""COMPUTED_VALUE"""),"{""typ"":""lc"",""txt"":""LC_ITEM_jack_chest_name""}")</f>
        <v>{"typ":"lc","txt":"LC_ITEM_jack_chest_name"}</v>
      </c>
      <c r="K1157" s="148" t="str">
        <f>IFERROR(__xludf.DUMMYFUNCTION("""COMPUTED_VALUE"""),"{""typ"":""lc"",""txt"":""LC_ITEM_jack_chest_desc""}")</f>
        <v>{"typ":"lc","txt":"LC_ITEM_jack_chest_desc"}</v>
      </c>
      <c r="L1157" s="148" t="str">
        <f>IFERROR(__xludf.DUMMYFUNCTION("""COMPUTED_VALUE"""),"{""typ"":""lc"",""txt"":""LC_ITEM_season_extra_reward_usedtip""}")</f>
        <v>{"typ":"lc","txt":"LC_ITEM_season_extra_reward_usedtip"}</v>
      </c>
      <c r="M1157" s="148">
        <f>IFERROR(__xludf.DUMMYFUNCTION("""COMPUTED_VALUE"""),1133.0)</f>
        <v>1133</v>
      </c>
      <c r="N1157" s="148">
        <f>IFERROR(__xludf.DUMMYFUNCTION("""COMPUTED_VALUE"""),999999.0)</f>
        <v>999999</v>
      </c>
      <c r="O1157" s="148">
        <f>IFERROR(__xludf.DUMMYFUNCTION("""COMPUTED_VALUE"""),99999.0)</f>
        <v>99999</v>
      </c>
      <c r="P1157" s="148">
        <f>IFERROR(__xludf.DUMMYFUNCTION("""COMPUTED_VALUE"""),100.0)</f>
        <v>100</v>
      </c>
      <c r="Q1157" s="148" t="str">
        <f>IFERROR(__xludf.DUMMYFUNCTION("""COMPUTED_VALUE"""),"[""bag_other""]")</f>
        <v>["bag_other"]</v>
      </c>
      <c r="R1157" s="148" t="str">
        <f>IFERROR(__xludf.DUMMYFUNCTION("""COMPUTED_VALUE"""),"[""bag""]")</f>
        <v>["bag"]</v>
      </c>
      <c r="S1157" s="148" t="str">
        <f>IFERROR(__xludf.DUMMYFUNCTION("""COMPUTED_VALUE"""),"{""drop"":{""typ"":""single_random"",""num"":1,""drop_rule"":{""typ"":""noget"",""id"":11116217,""num"":1,""args"":[{""typ"":""item"",""id"":11116217,""num"":1,""wgt"":1}]},""args"":[{""typ"":""item"",""id"":11116217,""num"":1,""wgt"":350},{""typ"":""item"&amp;""",""id"":11116217,""num"":2,""wgt"":150},{""typ"":""item"",""id"":11116217,""num"":3,""wgt"":1},{""typ"":""item"",""id"":11116217,""num"":5,""wgt"":1},{""typ"":""item"",""id"":11116303,""num"":1,""wgt"":100},{""typ"":""item"",""id"":11116304,""num"":1,"""&amp;"wgt"":50},{""typ"":""item"",""id"":11116401,""num"":1,""wgt"":200},{""typ"":""item"",""id"":11116402,""num"":1,""wgt"":150}]}}")</f>
        <v>{"drop":{"typ":"single_random","num":1,"drop_rule":{"typ":"noget","id":11116217,"num":1,"args":[{"typ":"item","id":11116217,"num":1,"wgt":1}]},"args":[{"typ":"item","id":11116217,"num":1,"wgt":350},{"typ":"item","id":11116217,"num":2,"wgt":150},{"typ":"item","id":11116217,"num":3,"wgt":1},{"typ":"item","id":11116217,"num":5,"wgt":1},{"typ":"item","id":11116303,"num":1,"wgt":100},{"typ":"item","id":11116304,"num":1,"wgt":50},{"typ":"item","id":11116401,"num":1,"wgt":200},{"typ":"item","id":11116402,"num":1,"wgt":150}]}}</v>
      </c>
      <c r="T1157" s="148">
        <f>IFERROR(__xludf.DUMMYFUNCTION("""COMPUTED_VALUE"""),-1.0)</f>
        <v>-1</v>
      </c>
      <c r="U1157" s="148">
        <f>IFERROR(__xludf.DUMMYFUNCTION("""COMPUTED_VALUE"""),0.0)</f>
        <v>0</v>
      </c>
      <c r="V1157" s="148" t="str">
        <f>IFERROR(__xludf.DUMMYFUNCTION("""COMPUTED_VALUE"""),"[]")</f>
        <v>[]</v>
      </c>
      <c r="W1157" s="148">
        <f>IFERROR(__xludf.DUMMYFUNCTION("""COMPUTED_VALUE"""),1.174E7)</f>
        <v>11740000</v>
      </c>
      <c r="X1157" s="148">
        <f>IFERROR(__xludf.DUMMYFUNCTION("""COMPUTED_VALUE"""),0.0)</f>
        <v>0</v>
      </c>
      <c r="Y1157" s="148">
        <f>IFERROR(__xludf.DUMMYFUNCTION("""COMPUTED_VALUE"""),0.0)</f>
        <v>0</v>
      </c>
      <c r="Z1157" s="148"/>
    </row>
    <row r="1158">
      <c r="A1158" s="148">
        <f>IFERROR(__xludf.DUMMYFUNCTION("""COMPUTED_VALUE"""),1.1114334E7)</f>
        <v>11114334</v>
      </c>
      <c r="B1158" s="148" t="str">
        <f>IFERROR(__xludf.DUMMYFUNCTION("""COMPUTED_VALUE"""),"肖恩的礼物")</f>
        <v>肖恩的礼物</v>
      </c>
      <c r="C1158" s="148"/>
      <c r="D1158" s="148" t="str">
        <f>IFERROR(__xludf.DUMMYFUNCTION("""COMPUTED_VALUE"""),"item_asset")</f>
        <v>item_asset</v>
      </c>
      <c r="E1158" s="148">
        <f>IFERROR(__xludf.DUMMYFUNCTION("""COMPUTED_VALUE"""),19.0)</f>
        <v>19</v>
      </c>
      <c r="F1158" s="148">
        <f>IFERROR(__xludf.DUMMYFUNCTION("""COMPUTED_VALUE"""),401113.0)</f>
        <v>401113</v>
      </c>
      <c r="G1158" s="148">
        <f>IFERROR(__xludf.DUMMYFUNCTION("""COMPUTED_VALUE"""),1.5113556E7)</f>
        <v>15113556</v>
      </c>
      <c r="H1158" s="148">
        <f>IFERROR(__xludf.DUMMYFUNCTION("""COMPUTED_VALUE"""),1.5112564E7)</f>
        <v>15112564</v>
      </c>
      <c r="I1158" s="148" t="str">
        <f>IFERROR(__xludf.DUMMYFUNCTION("""COMPUTED_VALUE"""),"{}")</f>
        <v>{}</v>
      </c>
      <c r="J1158" s="148" t="str">
        <f>IFERROR(__xludf.DUMMYFUNCTION("""COMPUTED_VALUE"""),"{""typ"":""lc"",""txt"":""LC_ITEM_shawn_chest_name""}")</f>
        <v>{"typ":"lc","txt":"LC_ITEM_shawn_chest_name"}</v>
      </c>
      <c r="K1158" s="148" t="str">
        <f>IFERROR(__xludf.DUMMYFUNCTION("""COMPUTED_VALUE"""),"{""typ"":""lc"",""txt"":""LC_ITEM_shawn_chest_desc""}")</f>
        <v>{"typ":"lc","txt":"LC_ITEM_shawn_chest_desc"}</v>
      </c>
      <c r="L1158" s="148" t="str">
        <f>IFERROR(__xludf.DUMMYFUNCTION("""COMPUTED_VALUE"""),"{""typ"":""lc"",""txt"":""LC_ITEM_season_extra_reward_usedtip""}")</f>
        <v>{"typ":"lc","txt":"LC_ITEM_season_extra_reward_usedtip"}</v>
      </c>
      <c r="M1158" s="148">
        <f>IFERROR(__xludf.DUMMYFUNCTION("""COMPUTED_VALUE"""),1133.0)</f>
        <v>1133</v>
      </c>
      <c r="N1158" s="148">
        <f>IFERROR(__xludf.DUMMYFUNCTION("""COMPUTED_VALUE"""),999999.0)</f>
        <v>999999</v>
      </c>
      <c r="O1158" s="148">
        <f>IFERROR(__xludf.DUMMYFUNCTION("""COMPUTED_VALUE"""),99999.0)</f>
        <v>99999</v>
      </c>
      <c r="P1158" s="148">
        <f>IFERROR(__xludf.DUMMYFUNCTION("""COMPUTED_VALUE"""),100.0)</f>
        <v>100</v>
      </c>
      <c r="Q1158" s="148" t="str">
        <f>IFERROR(__xludf.DUMMYFUNCTION("""COMPUTED_VALUE"""),"[""bag_other""]")</f>
        <v>["bag_other"]</v>
      </c>
      <c r="R1158" s="148" t="str">
        <f>IFERROR(__xludf.DUMMYFUNCTION("""COMPUTED_VALUE"""),"[""bag""]")</f>
        <v>["bag"]</v>
      </c>
      <c r="S1158" s="148" t="str">
        <f>IFERROR(__xludf.DUMMYFUNCTION("""COMPUTED_VALUE"""),"{""drop"":{""typ"":""single_random"",""num"":1,""drop_rule"":{""typ"":""noget"",""id"":11116218,""num"":1,""args"":[{""typ"":""item"",""id"":11116218,""num"":1,""wgt"":1}]},""args"":[{""typ"":""item"",""id"":11116218,""num"":1,""wgt"":350},{""typ"":""item"&amp;""",""id"":11116218,""num"":2,""wgt"":150},{""typ"":""item"",""id"":11116218,""num"":3,""wgt"":1},{""typ"":""item"",""id"":11116218,""num"":5,""wgt"":1},{""typ"":""item"",""id"":11116303,""num"":1,""wgt"":100},{""typ"":""item"",""id"":11116304,""num"":1,"""&amp;"wgt"":50},{""typ"":""item"",""id"":11116401,""num"":1,""wgt"":200},{""typ"":""item"",""id"":11116402,""num"":1,""wgt"":150}]}}")</f>
        <v>{"drop":{"typ":"single_random","num":1,"drop_rule":{"typ":"noget","id":11116218,"num":1,"args":[{"typ":"item","id":11116218,"num":1,"wgt":1}]},"args":[{"typ":"item","id":11116218,"num":1,"wgt":350},{"typ":"item","id":11116218,"num":2,"wgt":150},{"typ":"item","id":11116218,"num":3,"wgt":1},{"typ":"item","id":11116218,"num":5,"wgt":1},{"typ":"item","id":11116303,"num":1,"wgt":100},{"typ":"item","id":11116304,"num":1,"wgt":50},{"typ":"item","id":11116401,"num":1,"wgt":200},{"typ":"item","id":11116402,"num":1,"wgt":150}]}}</v>
      </c>
      <c r="T1158" s="148">
        <f>IFERROR(__xludf.DUMMYFUNCTION("""COMPUTED_VALUE"""),-1.0)</f>
        <v>-1</v>
      </c>
      <c r="U1158" s="148">
        <f>IFERROR(__xludf.DUMMYFUNCTION("""COMPUTED_VALUE"""),0.0)</f>
        <v>0</v>
      </c>
      <c r="V1158" s="148" t="str">
        <f>IFERROR(__xludf.DUMMYFUNCTION("""COMPUTED_VALUE"""),"[]")</f>
        <v>[]</v>
      </c>
      <c r="W1158" s="148">
        <f>IFERROR(__xludf.DUMMYFUNCTION("""COMPUTED_VALUE"""),1.174E7)</f>
        <v>11740000</v>
      </c>
      <c r="X1158" s="148">
        <f>IFERROR(__xludf.DUMMYFUNCTION("""COMPUTED_VALUE"""),0.0)</f>
        <v>0</v>
      </c>
      <c r="Y1158" s="148">
        <f>IFERROR(__xludf.DUMMYFUNCTION("""COMPUTED_VALUE"""),0.0)</f>
        <v>0</v>
      </c>
      <c r="Z1158" s="148"/>
    </row>
    <row r="1159">
      <c r="A1159" s="148">
        <f>IFERROR(__xludf.DUMMYFUNCTION("""COMPUTED_VALUE"""),1.1114335E7)</f>
        <v>11114335</v>
      </c>
      <c r="B1159" s="148" t="str">
        <f>IFERROR(__xludf.DUMMYFUNCTION("""COMPUTED_VALUE"""),"马克西姆斯的礼物")</f>
        <v>马克西姆斯的礼物</v>
      </c>
      <c r="C1159" s="148"/>
      <c r="D1159" s="148" t="str">
        <f>IFERROR(__xludf.DUMMYFUNCTION("""COMPUTED_VALUE"""),"item_asset")</f>
        <v>item_asset</v>
      </c>
      <c r="E1159" s="148">
        <f>IFERROR(__xludf.DUMMYFUNCTION("""COMPUTED_VALUE"""),19.0)</f>
        <v>19</v>
      </c>
      <c r="F1159" s="148">
        <f>IFERROR(__xludf.DUMMYFUNCTION("""COMPUTED_VALUE"""),401112.0)</f>
        <v>401112</v>
      </c>
      <c r="G1159" s="148">
        <f>IFERROR(__xludf.DUMMYFUNCTION("""COMPUTED_VALUE"""),1.5113556E7)</f>
        <v>15113556</v>
      </c>
      <c r="H1159" s="148">
        <f>IFERROR(__xludf.DUMMYFUNCTION("""COMPUTED_VALUE"""),1.5112564E7)</f>
        <v>15112564</v>
      </c>
      <c r="I1159" s="148" t="str">
        <f>IFERROR(__xludf.DUMMYFUNCTION("""COMPUTED_VALUE"""),"{}")</f>
        <v>{}</v>
      </c>
      <c r="J1159" s="148" t="str">
        <f>IFERROR(__xludf.DUMMYFUNCTION("""COMPUTED_VALUE"""),"{""typ"":""lc"",""txt"":""LC_ITEM_maximus_chest_name""}")</f>
        <v>{"typ":"lc","txt":"LC_ITEM_maximus_chest_name"}</v>
      </c>
      <c r="K1159" s="148" t="str">
        <f>IFERROR(__xludf.DUMMYFUNCTION("""COMPUTED_VALUE"""),"{""typ"":""lc"",""txt"":""LC_ITEM_maximus_chest_desc""}")</f>
        <v>{"typ":"lc","txt":"LC_ITEM_maximus_chest_desc"}</v>
      </c>
      <c r="L1159" s="148" t="str">
        <f>IFERROR(__xludf.DUMMYFUNCTION("""COMPUTED_VALUE"""),"{""typ"":""lc"",""txt"":""LC_ITEM_season_extra_reward_usedtip""}")</f>
        <v>{"typ":"lc","txt":"LC_ITEM_season_extra_reward_usedtip"}</v>
      </c>
      <c r="M1159" s="148">
        <f>IFERROR(__xludf.DUMMYFUNCTION("""COMPUTED_VALUE"""),1133.0)</f>
        <v>1133</v>
      </c>
      <c r="N1159" s="148">
        <f>IFERROR(__xludf.DUMMYFUNCTION("""COMPUTED_VALUE"""),999999.0)</f>
        <v>999999</v>
      </c>
      <c r="O1159" s="148">
        <f>IFERROR(__xludf.DUMMYFUNCTION("""COMPUTED_VALUE"""),99999.0)</f>
        <v>99999</v>
      </c>
      <c r="P1159" s="148">
        <f>IFERROR(__xludf.DUMMYFUNCTION("""COMPUTED_VALUE"""),100.0)</f>
        <v>100</v>
      </c>
      <c r="Q1159" s="148" t="str">
        <f>IFERROR(__xludf.DUMMYFUNCTION("""COMPUTED_VALUE"""),"[""bag_other""]")</f>
        <v>["bag_other"]</v>
      </c>
      <c r="R1159" s="148" t="str">
        <f>IFERROR(__xludf.DUMMYFUNCTION("""COMPUTED_VALUE"""),"[""bag""]")</f>
        <v>["bag"]</v>
      </c>
      <c r="S1159" s="148" t="str">
        <f>IFERROR(__xludf.DUMMYFUNCTION("""COMPUTED_VALUE"""),"{""drop"":{""typ"":""single_random"",""num"":1,""drop_rule"":{""typ"":""noget"",""id"":11116212,""num"":1,""args"":[{""typ"":""item"",""id"":11116212,""num"":1,""wgt"":1}]},""args"":[{""typ"":""item"",""id"":11116212,""num"":1,""wgt"":350},{""typ"":""item"&amp;""",""id"":11116212,""num"":2,""wgt"":150},{""typ"":""item"",""id"":11116212,""num"":3,""wgt"":1},{""typ"":""item"",""id"":11116212,""num"":5,""wgt"":1},{""typ"":""item"",""id"":11116303,""num"":1,""wgt"":100},{""typ"":""item"",""id"":11116304,""num"":1,"""&amp;"wgt"":50},{""typ"":""item"",""id"":11116401,""num"":1,""wgt"":200},{""typ"":""item"",""id"":11116402,""num"":1,""wgt"":150}]}}")</f>
        <v>{"drop":{"typ":"single_random","num":1,"drop_rule":{"typ":"noget","id":11116212,"num":1,"args":[{"typ":"item","id":11116212,"num":1,"wgt":1}]},"args":[{"typ":"item","id":11116212,"num":1,"wgt":350},{"typ":"item","id":11116212,"num":2,"wgt":150},{"typ":"item","id":11116212,"num":3,"wgt":1},{"typ":"item","id":11116212,"num":5,"wgt":1},{"typ":"item","id":11116303,"num":1,"wgt":100},{"typ":"item","id":11116304,"num":1,"wgt":50},{"typ":"item","id":11116401,"num":1,"wgt":200},{"typ":"item","id":11116402,"num":1,"wgt":150}]}}</v>
      </c>
      <c r="T1159" s="148">
        <f>IFERROR(__xludf.DUMMYFUNCTION("""COMPUTED_VALUE"""),-1.0)</f>
        <v>-1</v>
      </c>
      <c r="U1159" s="148">
        <f>IFERROR(__xludf.DUMMYFUNCTION("""COMPUTED_VALUE"""),0.0)</f>
        <v>0</v>
      </c>
      <c r="V1159" s="148" t="str">
        <f>IFERROR(__xludf.DUMMYFUNCTION("""COMPUTED_VALUE"""),"[]")</f>
        <v>[]</v>
      </c>
      <c r="W1159" s="148">
        <f>IFERROR(__xludf.DUMMYFUNCTION("""COMPUTED_VALUE"""),1.174E7)</f>
        <v>11740000</v>
      </c>
      <c r="X1159" s="148">
        <f>IFERROR(__xludf.DUMMYFUNCTION("""COMPUTED_VALUE"""),0.0)</f>
        <v>0</v>
      </c>
      <c r="Y1159" s="148">
        <f>IFERROR(__xludf.DUMMYFUNCTION("""COMPUTED_VALUE"""),0.0)</f>
        <v>0</v>
      </c>
      <c r="Z1159" s="148"/>
    </row>
    <row r="1160">
      <c r="A1160" s="148">
        <f>IFERROR(__xludf.DUMMYFUNCTION("""COMPUTED_VALUE"""),1.1114336E7)</f>
        <v>11114336</v>
      </c>
      <c r="B1160" s="148" t="str">
        <f>IFERROR(__xludf.DUMMYFUNCTION("""COMPUTED_VALUE"""),"资源宝箱")</f>
        <v>资源宝箱</v>
      </c>
      <c r="C1160" s="148"/>
      <c r="D1160" s="148" t="str">
        <f>IFERROR(__xludf.DUMMYFUNCTION("""COMPUTED_VALUE"""),"item_asset")</f>
        <v>item_asset</v>
      </c>
      <c r="E1160" s="148">
        <f>IFERROR(__xludf.DUMMYFUNCTION("""COMPUTED_VALUE"""),19.0)</f>
        <v>19</v>
      </c>
      <c r="F1160" s="148">
        <f>IFERROR(__xludf.DUMMYFUNCTION("""COMPUTED_VALUE"""),101200.0)</f>
        <v>101200</v>
      </c>
      <c r="G1160" s="148">
        <f>IFERROR(__xludf.DUMMYFUNCTION("""COMPUTED_VALUE"""),1.5110347E7)</f>
        <v>15110347</v>
      </c>
      <c r="H1160" s="148">
        <f>IFERROR(__xludf.DUMMYFUNCTION("""COMPUTED_VALUE"""),1.5112561E7)</f>
        <v>15112561</v>
      </c>
      <c r="I1160" s="148" t="str">
        <f>IFERROR(__xludf.DUMMYFUNCTION("""COMPUTED_VALUE"""),"{}")</f>
        <v>{}</v>
      </c>
      <c r="J1160" s="148" t="str">
        <f>IFERROR(__xludf.DUMMYFUNCTION("""COMPUTED_VALUE"""),"{""typ"":""lc"",""txt"":""LC_ITEM_rss_box_from_uranium_name""}")</f>
        <v>{"typ":"lc","txt":"LC_ITEM_rss_box_from_uranium_name"}</v>
      </c>
      <c r="K1160" s="148" t="str">
        <f>IFERROR(__xludf.DUMMYFUNCTION("""COMPUTED_VALUE"""),"{""typ"":""lc"",""txt"":""LC_ITEM_rss_box_from_gather_small_desc""}")</f>
        <v>{"typ":"lc","txt":"LC_ITEM_rss_box_from_gather_small_desc"}</v>
      </c>
      <c r="L1160" s="148" t="str">
        <f>IFERROR(__xludf.DUMMYFUNCTION("""COMPUTED_VALUE"""),"{""typ"":""lc"",""txt"":""LC_ITEM_rss_box_from_uranium_usedtip""}")</f>
        <v>{"typ":"lc","txt":"LC_ITEM_rss_box_from_uranium_usedtip"}</v>
      </c>
      <c r="M1160" s="148">
        <f>IFERROR(__xludf.DUMMYFUNCTION("""COMPUTED_VALUE"""),13.0)</f>
        <v>13</v>
      </c>
      <c r="N1160" s="148">
        <f>IFERROR(__xludf.DUMMYFUNCTION("""COMPUTED_VALUE"""),999999.0)</f>
        <v>999999</v>
      </c>
      <c r="O1160" s="148">
        <f>IFERROR(__xludf.DUMMYFUNCTION("""COMPUTED_VALUE"""),99999.0)</f>
        <v>99999</v>
      </c>
      <c r="P1160" s="148">
        <f>IFERROR(__xludf.DUMMYFUNCTION("""COMPUTED_VALUE"""),9999.0)</f>
        <v>9999</v>
      </c>
      <c r="Q1160" s="148" t="str">
        <f>IFERROR(__xludf.DUMMYFUNCTION("""COMPUTED_VALUE"""),"[""bag_asset""]")</f>
        <v>["bag_asset"]</v>
      </c>
      <c r="R1160" s="148" t="str">
        <f>IFERROR(__xludf.DUMMYFUNCTION("""COMPUTED_VALUE"""),"[""bag""]")</f>
        <v>["bag"]</v>
      </c>
      <c r="S1160" s="148" t="str">
        <f>IFERROR(__xludf.DUMMYFUNCTION("""COMPUTED_VALUE"""),"{""drop"":{""typ"":""single_random"",""num"":1,""args"":[{""typ"":""item"",""id"":11111001,""num"":1,""wgt"":20},{""typ"":""item"",""id"":11111005,""num"":1,""wgt"":20},{""typ"":""item"",""id"":11111025,""num"":1,""wgt"":30},{""typ"":""item"",""id"":11111"&amp;"026,""num"":1,""wgt"":30}]}}")</f>
        <v>{"drop":{"typ":"single_random","num":1,"args":[{"typ":"item","id":11111001,"num":1,"wgt":20},{"typ":"item","id":11111005,"num":1,"wgt":20},{"typ":"item","id":11111025,"num":1,"wgt":30},{"typ":"item","id":11111026,"num":1,"wgt":30}]}}</v>
      </c>
      <c r="T1160" s="148">
        <f>IFERROR(__xludf.DUMMYFUNCTION("""COMPUTED_VALUE"""),-1.0)</f>
        <v>-1</v>
      </c>
      <c r="U1160" s="148">
        <f>IFERROR(__xludf.DUMMYFUNCTION("""COMPUTED_VALUE"""),0.0)</f>
        <v>0</v>
      </c>
      <c r="V1160" s="148" t="str">
        <f>IFERROR(__xludf.DUMMYFUNCTION("""COMPUTED_VALUE"""),"[]")</f>
        <v>[]</v>
      </c>
      <c r="W1160" s="148">
        <f>IFERROR(__xludf.DUMMYFUNCTION("""COMPUTED_VALUE"""),1.174E7)</f>
        <v>11740000</v>
      </c>
      <c r="X1160" s="148">
        <f>IFERROR(__xludf.DUMMYFUNCTION("""COMPUTED_VALUE"""),0.0)</f>
        <v>0</v>
      </c>
      <c r="Y1160" s="148">
        <f>IFERROR(__xludf.DUMMYFUNCTION("""COMPUTED_VALUE"""),0.0)</f>
        <v>0</v>
      </c>
      <c r="Z1160" s="148"/>
    </row>
    <row r="1161">
      <c r="A1161" s="148">
        <f>IFERROR(__xludf.DUMMYFUNCTION("""COMPUTED_VALUE"""),1.1114337E7)</f>
        <v>11114337</v>
      </c>
      <c r="B1161" s="148" t="str">
        <f>IFERROR(__xludf.DUMMYFUNCTION("""COMPUTED_VALUE"""),"罗尼贾的礼物")</f>
        <v>罗尼贾的礼物</v>
      </c>
      <c r="C1161" s="148"/>
      <c r="D1161" s="148" t="str">
        <f>IFERROR(__xludf.DUMMYFUNCTION("""COMPUTED_VALUE"""),"item_asset")</f>
        <v>item_asset</v>
      </c>
      <c r="E1161" s="148">
        <f>IFERROR(__xludf.DUMMYFUNCTION("""COMPUTED_VALUE"""),19.0)</f>
        <v>19</v>
      </c>
      <c r="F1161" s="148">
        <f>IFERROR(__xludf.DUMMYFUNCTION("""COMPUTED_VALUE"""),401111.0)</f>
        <v>401111</v>
      </c>
      <c r="G1161" s="148">
        <f>IFERROR(__xludf.DUMMYFUNCTION("""COMPUTED_VALUE"""),1.5113556E7)</f>
        <v>15113556</v>
      </c>
      <c r="H1161" s="148">
        <f>IFERROR(__xludf.DUMMYFUNCTION("""COMPUTED_VALUE"""),1.5112564E7)</f>
        <v>15112564</v>
      </c>
      <c r="I1161" s="148" t="str">
        <f>IFERROR(__xludf.DUMMYFUNCTION("""COMPUTED_VALUE"""),"{}")</f>
        <v>{}</v>
      </c>
      <c r="J1161" s="148" t="str">
        <f>IFERROR(__xludf.DUMMYFUNCTION("""COMPUTED_VALUE"""),"{""typ"":""lc"",""txt"":""LC_ITEM_ronyjaa_chest_name""}")</f>
        <v>{"typ":"lc","txt":"LC_ITEM_ronyjaa_chest_name"}</v>
      </c>
      <c r="K1161" s="148" t="str">
        <f>IFERROR(__xludf.DUMMYFUNCTION("""COMPUTED_VALUE"""),"{""typ"":""lc"",""txt"":""LC_ITEM_ronyjaa_chest_desc""}")</f>
        <v>{"typ":"lc","txt":"LC_ITEM_ronyjaa_chest_desc"}</v>
      </c>
      <c r="L1161" s="148" t="str">
        <f>IFERROR(__xludf.DUMMYFUNCTION("""COMPUTED_VALUE"""),"{""typ"":""lc"",""txt"":""LC_ITEM_season_extra_reward_usedtip""}")</f>
        <v>{"typ":"lc","txt":"LC_ITEM_season_extra_reward_usedtip"}</v>
      </c>
      <c r="M1161" s="148">
        <f>IFERROR(__xludf.DUMMYFUNCTION("""COMPUTED_VALUE"""),1133.0)</f>
        <v>1133</v>
      </c>
      <c r="N1161" s="148">
        <f>IFERROR(__xludf.DUMMYFUNCTION("""COMPUTED_VALUE"""),999999.0)</f>
        <v>999999</v>
      </c>
      <c r="O1161" s="148">
        <f>IFERROR(__xludf.DUMMYFUNCTION("""COMPUTED_VALUE"""),99999.0)</f>
        <v>99999</v>
      </c>
      <c r="P1161" s="148">
        <f>IFERROR(__xludf.DUMMYFUNCTION("""COMPUTED_VALUE"""),100.0)</f>
        <v>100</v>
      </c>
      <c r="Q1161" s="148" t="str">
        <f>IFERROR(__xludf.DUMMYFUNCTION("""COMPUTED_VALUE"""),"[""bag_other""]")</f>
        <v>["bag_other"]</v>
      </c>
      <c r="R1161" s="148" t="str">
        <f>IFERROR(__xludf.DUMMYFUNCTION("""COMPUTED_VALUE"""),"[""bag""]")</f>
        <v>["bag"]</v>
      </c>
      <c r="S1161" s="148" t="str">
        <f>IFERROR(__xludf.DUMMYFUNCTION("""COMPUTED_VALUE"""),"{""drop"":{""typ"":""single_random"",""num"":1,""drop_rule"":{""typ"":""noget"",""id"":11116214,""num"":1,""args"":[{""typ"":""item"",""id"":11116214,""num"":1,""wgt"":1}]},""args"":[{""typ"":""item"",""id"":11116214,""num"":1,""wgt"":350},{""typ"":""item"&amp;""",""id"":11116214,""num"":2,""wgt"":150},{""typ"":""item"",""id"":11116214,""num"":3,""wgt"":1},{""typ"":""item"",""id"":11116214,""num"":5,""wgt"":1},{""typ"":""item"",""id"":11116303,""num"":1,""wgt"":100},{""typ"":""item"",""id"":11116304,""num"":1,"""&amp;"wgt"":50},{""typ"":""item"",""id"":11116401,""num"":1,""wgt"":200},{""typ"":""item"",""id"":11116402,""num"":1,""wgt"":150}]}}")</f>
        <v>{"drop":{"typ":"single_random","num":1,"drop_rule":{"typ":"noget","id":11116214,"num":1,"args":[{"typ":"item","id":11116214,"num":1,"wgt":1}]},"args":[{"typ":"item","id":11116214,"num":1,"wgt":350},{"typ":"item","id":11116214,"num":2,"wgt":150},{"typ":"item","id":11116214,"num":3,"wgt":1},{"typ":"item","id":11116214,"num":5,"wgt":1},{"typ":"item","id":11116303,"num":1,"wgt":100},{"typ":"item","id":11116304,"num":1,"wgt":50},{"typ":"item","id":11116401,"num":1,"wgt":200},{"typ":"item","id":11116402,"num":1,"wgt":150}]}}</v>
      </c>
      <c r="T1161" s="148">
        <f>IFERROR(__xludf.DUMMYFUNCTION("""COMPUTED_VALUE"""),-1.0)</f>
        <v>-1</v>
      </c>
      <c r="U1161" s="148">
        <f>IFERROR(__xludf.DUMMYFUNCTION("""COMPUTED_VALUE"""),0.0)</f>
        <v>0</v>
      </c>
      <c r="V1161" s="148" t="str">
        <f>IFERROR(__xludf.DUMMYFUNCTION("""COMPUTED_VALUE"""),"[]")</f>
        <v>[]</v>
      </c>
      <c r="W1161" s="148">
        <f>IFERROR(__xludf.DUMMYFUNCTION("""COMPUTED_VALUE"""),1.174E7)</f>
        <v>11740000</v>
      </c>
      <c r="X1161" s="148">
        <f>IFERROR(__xludf.DUMMYFUNCTION("""COMPUTED_VALUE"""),0.0)</f>
        <v>0</v>
      </c>
      <c r="Y1161" s="148">
        <f>IFERROR(__xludf.DUMMYFUNCTION("""COMPUTED_VALUE"""),0.0)</f>
        <v>0</v>
      </c>
      <c r="Z1161" s="148"/>
    </row>
    <row r="1162">
      <c r="A1162" s="148">
        <f>IFERROR(__xludf.DUMMYFUNCTION("""COMPUTED_VALUE"""),1.1114338E7)</f>
        <v>11114338</v>
      </c>
      <c r="B1162" s="148" t="str">
        <f>IFERROR(__xludf.DUMMYFUNCTION("""COMPUTED_VALUE"""),"雷达打怪宝箱-1")</f>
        <v>雷达打怪宝箱-1</v>
      </c>
      <c r="C1162" s="148"/>
      <c r="D1162" s="148" t="str">
        <f>IFERROR(__xludf.DUMMYFUNCTION("""COMPUTED_VALUE"""),"item_asset")</f>
        <v>item_asset</v>
      </c>
      <c r="E1162" s="148">
        <f>IFERROR(__xludf.DUMMYFUNCTION("""COMPUTED_VALUE"""),19.0)</f>
        <v>19</v>
      </c>
      <c r="F1162" s="148">
        <f>IFERROR(__xludf.DUMMYFUNCTION("""COMPUTED_VALUE"""),403325.0)</f>
        <v>403325</v>
      </c>
      <c r="G1162" s="148">
        <f>IFERROR(__xludf.DUMMYFUNCTION("""COMPUTED_VALUE"""),1.5112492E7)</f>
        <v>15112492</v>
      </c>
      <c r="H1162" s="148">
        <f>IFERROR(__xludf.DUMMYFUNCTION("""COMPUTED_VALUE"""),1.5112562E7)</f>
        <v>15112562</v>
      </c>
      <c r="I1162" s="148" t="str">
        <f>IFERROR(__xludf.DUMMYFUNCTION("""COMPUTED_VALUE"""),"{}")</f>
        <v>{}</v>
      </c>
      <c r="J1162" s="148" t="str">
        <f>IFERROR(__xludf.DUMMYFUNCTION("""COMPUTED_VALUE"""),"{""typ"":""lc"",""txt"":""LC_ITEM_radar_reward_kill_box_name""}")</f>
        <v>{"typ":"lc","txt":"LC_ITEM_radar_reward_kill_box_name"}</v>
      </c>
      <c r="K1162" s="148" t="str">
        <f>IFERROR(__xludf.DUMMYFUNCTION("""COMPUTED_VALUE"""),"{""typ"":""lc"",""txt"":""LC_ITEM_radar_reward_kill_box_desc""}")</f>
        <v>{"typ":"lc","txt":"LC_ITEM_radar_reward_kill_box_desc"}</v>
      </c>
      <c r="L1162" s="148" t="str">
        <f>IFERROR(__xludf.DUMMYFUNCTION("""COMPUTED_VALUE"""),"{""typ"":""lc"",""txt"":""LC_ITEM_horde_elite_box_usedtip""}")</f>
        <v>{"typ":"lc","txt":"LC_ITEM_horde_elite_box_usedtip"}</v>
      </c>
      <c r="M1162" s="148">
        <f>IFERROR(__xludf.DUMMYFUNCTION("""COMPUTED_VALUE"""),100.0)</f>
        <v>100</v>
      </c>
      <c r="N1162" s="148">
        <f>IFERROR(__xludf.DUMMYFUNCTION("""COMPUTED_VALUE"""),999999.0)</f>
        <v>999999</v>
      </c>
      <c r="O1162" s="148">
        <f>IFERROR(__xludf.DUMMYFUNCTION("""COMPUTED_VALUE"""),99999.0)</f>
        <v>99999</v>
      </c>
      <c r="P1162" s="148">
        <f>IFERROR(__xludf.DUMMYFUNCTION("""COMPUTED_VALUE"""),99999.0)</f>
        <v>99999</v>
      </c>
      <c r="Q1162" s="148" t="str">
        <f>IFERROR(__xludf.DUMMYFUNCTION("""COMPUTED_VALUE"""),"[""bag_other""]")</f>
        <v>["bag_other"]</v>
      </c>
      <c r="R1162" s="148" t="str">
        <f>IFERROR(__xludf.DUMMYFUNCTION("""COMPUTED_VALUE"""),"[""bag""]")</f>
        <v>["bag"]</v>
      </c>
      <c r="S1162" s="148" t="str">
        <f>IFERROR(__xludf.DUMMYFUNCTION("""COMPUTED_VALUE"""),"{""drop"":{""typ"":""single_all"",""num"":1,""args"":[{""typ"":""item"",""id"":11116003,""num"":3,""wgt"":10},{""typ"":""single_random"",""num"":1,""args"":[{""typ"":""item"",""id"":11116104,""num"":2,""wgt"":100}]},{""typ"":""single_random"",""num"":1,"""&amp;"args"":[{""typ"":""item"",""id"":11116302,""num"":1,""wgt"":100}]}]}}")</f>
        <v>{"drop":{"typ":"single_all","num":1,"args":[{"typ":"item","id":11116003,"num":3,"wgt":10},{"typ":"single_random","num":1,"args":[{"typ":"item","id":11116104,"num":2,"wgt":100}]},{"typ":"single_random","num":1,"args":[{"typ":"item","id":11116302,"num":1,"wgt":100}]}]}}</v>
      </c>
      <c r="T1162" s="148">
        <f>IFERROR(__xludf.DUMMYFUNCTION("""COMPUTED_VALUE"""),-1.0)</f>
        <v>-1</v>
      </c>
      <c r="U1162" s="148">
        <f>IFERROR(__xludf.DUMMYFUNCTION("""COMPUTED_VALUE"""),0.0)</f>
        <v>0</v>
      </c>
      <c r="V1162" s="148" t="str">
        <f>IFERROR(__xludf.DUMMYFUNCTION("""COMPUTED_VALUE"""),"[{""typ"":""item"",""id"":11116104,""val"":2},{""typ"":""item"",""id"":11116302,""val"":1},{""typ"":""item"",""id"":11116003,""val"":3}]")</f>
        <v>[{"typ":"item","id":11116104,"val":2},{"typ":"item","id":11116302,"val":1},{"typ":"item","id":11116003,"val":3}]</v>
      </c>
      <c r="W1162" s="148">
        <f>IFERROR(__xludf.DUMMYFUNCTION("""COMPUTED_VALUE"""),1.174E7)</f>
        <v>11740000</v>
      </c>
      <c r="X1162" s="148">
        <f>IFERROR(__xludf.DUMMYFUNCTION("""COMPUTED_VALUE"""),0.0)</f>
        <v>0</v>
      </c>
      <c r="Y1162" s="148">
        <f>IFERROR(__xludf.DUMMYFUNCTION("""COMPUTED_VALUE"""),0.0)</f>
        <v>0</v>
      </c>
      <c r="Z1162" s="148"/>
    </row>
    <row r="1163">
      <c r="A1163" s="148">
        <f>IFERROR(__xludf.DUMMYFUNCTION("""COMPUTED_VALUE"""),1.1114339E7)</f>
        <v>11114339</v>
      </c>
      <c r="B1163" s="148" t="str">
        <f>IFERROR(__xludf.DUMMYFUNCTION("""COMPUTED_VALUE"""),"雷达打怪宝箱-2")</f>
        <v>雷达打怪宝箱-2</v>
      </c>
      <c r="C1163" s="148"/>
      <c r="D1163" s="148" t="str">
        <f>IFERROR(__xludf.DUMMYFUNCTION("""COMPUTED_VALUE"""),"item_asset")</f>
        <v>item_asset</v>
      </c>
      <c r="E1163" s="148">
        <f>IFERROR(__xludf.DUMMYFUNCTION("""COMPUTED_VALUE"""),19.0)</f>
        <v>19</v>
      </c>
      <c r="F1163" s="148">
        <f>IFERROR(__xludf.DUMMYFUNCTION("""COMPUTED_VALUE"""),403224.0)</f>
        <v>403224</v>
      </c>
      <c r="G1163" s="148">
        <f>IFERROR(__xludf.DUMMYFUNCTION("""COMPUTED_VALUE"""),1.5112492E7)</f>
        <v>15112492</v>
      </c>
      <c r="H1163" s="148">
        <f>IFERROR(__xludf.DUMMYFUNCTION("""COMPUTED_VALUE"""),1.5112563E7)</f>
        <v>15112563</v>
      </c>
      <c r="I1163" s="148" t="str">
        <f>IFERROR(__xludf.DUMMYFUNCTION("""COMPUTED_VALUE"""),"{}")</f>
        <v>{}</v>
      </c>
      <c r="J1163" s="148" t="str">
        <f>IFERROR(__xludf.DUMMYFUNCTION("""COMPUTED_VALUE"""),"{""typ"":""lc"",""txt"":""LC_ITEM_radar_reward_kill_box_name""}")</f>
        <v>{"typ":"lc","txt":"LC_ITEM_radar_reward_kill_box_name"}</v>
      </c>
      <c r="K1163" s="148" t="str">
        <f>IFERROR(__xludf.DUMMYFUNCTION("""COMPUTED_VALUE"""),"{""typ"":""lc"",""txt"":""LC_ITEM_radar_reward_kill_box_desc""}")</f>
        <v>{"typ":"lc","txt":"LC_ITEM_radar_reward_kill_box_desc"}</v>
      </c>
      <c r="L1163" s="148" t="str">
        <f>IFERROR(__xludf.DUMMYFUNCTION("""COMPUTED_VALUE"""),"{""typ"":""lc"",""txt"":""LC_ITEM_horde_elite_box_usedtip""}")</f>
        <v>{"typ":"lc","txt":"LC_ITEM_horde_elite_box_usedtip"}</v>
      </c>
      <c r="M1163" s="148">
        <f>IFERROR(__xludf.DUMMYFUNCTION("""COMPUTED_VALUE"""),100.0)</f>
        <v>100</v>
      </c>
      <c r="N1163" s="148">
        <f>IFERROR(__xludf.DUMMYFUNCTION("""COMPUTED_VALUE"""),999999.0)</f>
        <v>999999</v>
      </c>
      <c r="O1163" s="148">
        <f>IFERROR(__xludf.DUMMYFUNCTION("""COMPUTED_VALUE"""),99999.0)</f>
        <v>99999</v>
      </c>
      <c r="P1163" s="148">
        <f>IFERROR(__xludf.DUMMYFUNCTION("""COMPUTED_VALUE"""),99999.0)</f>
        <v>99999</v>
      </c>
      <c r="Q1163" s="148" t="str">
        <f>IFERROR(__xludf.DUMMYFUNCTION("""COMPUTED_VALUE"""),"[""bag_other""]")</f>
        <v>["bag_other"]</v>
      </c>
      <c r="R1163" s="148" t="str">
        <f>IFERROR(__xludf.DUMMYFUNCTION("""COMPUTED_VALUE"""),"[""bag""]")</f>
        <v>["bag"]</v>
      </c>
      <c r="S1163" s="148" t="str">
        <f>IFERROR(__xludf.DUMMYFUNCTION("""COMPUTED_VALUE"""),"{""drop"":{""typ"":""single_all"",""num"":1,""args"":[{""typ"":""item"",""id"":11116003,""num"":8,""wgt"":10},{""typ"":""single_random"",""num"":1,""args"":[{""typ"":""item"",""id"":11116104,""num"":1,""wgt"":100},{""typ"":""item"",""id"":11116107,""num"""&amp;":1,""wgt"":30}]},{""typ"":""single_random"",""num"":1,""args"":[{""typ"":""item"",""id"":11116302,""num"":1,""wgt"":110},{""typ"":""item"",""id"":11116303,""num"":1,""wgt"":11},{""typ"":""empty"",""wgt"":99}]}]}}")</f>
        <v>{"drop":{"typ":"single_all","num":1,"args":[{"typ":"item","id":11116003,"num":8,"wgt":10},{"typ":"single_random","num":1,"args":[{"typ":"item","id":11116104,"num":1,"wgt":100},{"typ":"item","id":11116107,"num":1,"wgt":30}]},{"typ":"single_random","num":1,"args":[{"typ":"item","id":11116302,"num":1,"wgt":110},{"typ":"item","id":11116303,"num":1,"wgt":11},{"typ":"empty","wgt":99}]}]}}</v>
      </c>
      <c r="T1163" s="148">
        <f>IFERROR(__xludf.DUMMYFUNCTION("""COMPUTED_VALUE"""),-1.0)</f>
        <v>-1</v>
      </c>
      <c r="U1163" s="148">
        <f>IFERROR(__xludf.DUMMYFUNCTION("""COMPUTED_VALUE"""),0.0)</f>
        <v>0</v>
      </c>
      <c r="V1163" s="148" t="str">
        <f>IFERROR(__xludf.DUMMYFUNCTION("""COMPUTED_VALUE"""),"[{""typ"":""item"",""id"":11116104,""val"":1},{""typ"":""item"",""id"":11116107,""val"":1},{""typ"":""item"",""id"":11116302,""val"":1},{""typ"":""item"",""id"":11116303,""val"":1},{""typ"":""item"",""id"":11116003,""val"":8}]")</f>
        <v>[{"typ":"item","id":11116104,"val":1},{"typ":"item","id":11116107,"val":1},{"typ":"item","id":11116302,"val":1},{"typ":"item","id":11116303,"val":1},{"typ":"item","id":11116003,"val":8}]</v>
      </c>
      <c r="W1163" s="148">
        <f>IFERROR(__xludf.DUMMYFUNCTION("""COMPUTED_VALUE"""),1.174E7)</f>
        <v>11740000</v>
      </c>
      <c r="X1163" s="148">
        <f>IFERROR(__xludf.DUMMYFUNCTION("""COMPUTED_VALUE"""),0.0)</f>
        <v>0</v>
      </c>
      <c r="Y1163" s="148">
        <f>IFERROR(__xludf.DUMMYFUNCTION("""COMPUTED_VALUE"""),0.0)</f>
        <v>0</v>
      </c>
      <c r="Z1163" s="148"/>
    </row>
    <row r="1164">
      <c r="A1164" s="148">
        <f>IFERROR(__xludf.DUMMYFUNCTION("""COMPUTED_VALUE"""),1.111434E7)</f>
        <v>11114340</v>
      </c>
      <c r="B1164" s="148" t="str">
        <f>IFERROR(__xludf.DUMMYFUNCTION("""COMPUTED_VALUE"""),"雷达打怪宝箱-3")</f>
        <v>雷达打怪宝箱-3</v>
      </c>
      <c r="C1164" s="148"/>
      <c r="D1164" s="148" t="str">
        <f>IFERROR(__xludf.DUMMYFUNCTION("""COMPUTED_VALUE"""),"item_asset")</f>
        <v>item_asset</v>
      </c>
      <c r="E1164" s="148">
        <f>IFERROR(__xludf.DUMMYFUNCTION("""COMPUTED_VALUE"""),19.0)</f>
        <v>19</v>
      </c>
      <c r="F1164" s="148">
        <f>IFERROR(__xludf.DUMMYFUNCTION("""COMPUTED_VALUE"""),403223.0)</f>
        <v>403223</v>
      </c>
      <c r="G1164" s="148">
        <f>IFERROR(__xludf.DUMMYFUNCTION("""COMPUTED_VALUE"""),1.5112492E7)</f>
        <v>15112492</v>
      </c>
      <c r="H1164" s="148">
        <f>IFERROR(__xludf.DUMMYFUNCTION("""COMPUTED_VALUE"""),1.5112563E7)</f>
        <v>15112563</v>
      </c>
      <c r="I1164" s="148" t="str">
        <f>IFERROR(__xludf.DUMMYFUNCTION("""COMPUTED_VALUE"""),"{}")</f>
        <v>{}</v>
      </c>
      <c r="J1164" s="148" t="str">
        <f>IFERROR(__xludf.DUMMYFUNCTION("""COMPUTED_VALUE"""),"{""typ"":""lc"",""txt"":""LC_ITEM_radar_reward_kill_box_name""}")</f>
        <v>{"typ":"lc","txt":"LC_ITEM_radar_reward_kill_box_name"}</v>
      </c>
      <c r="K1164" s="148" t="str">
        <f>IFERROR(__xludf.DUMMYFUNCTION("""COMPUTED_VALUE"""),"{""typ"":""lc"",""txt"":""LC_ITEM_radar_reward_kill_box_desc""}")</f>
        <v>{"typ":"lc","txt":"LC_ITEM_radar_reward_kill_box_desc"}</v>
      </c>
      <c r="L1164" s="148" t="str">
        <f>IFERROR(__xludf.DUMMYFUNCTION("""COMPUTED_VALUE"""),"{""typ"":""lc"",""txt"":""LC_ITEM_horde_elite_box_usedtip""}")</f>
        <v>{"typ":"lc","txt":"LC_ITEM_horde_elite_box_usedtip"}</v>
      </c>
      <c r="M1164" s="148">
        <f>IFERROR(__xludf.DUMMYFUNCTION("""COMPUTED_VALUE"""),100.0)</f>
        <v>100</v>
      </c>
      <c r="N1164" s="148">
        <f>IFERROR(__xludf.DUMMYFUNCTION("""COMPUTED_VALUE"""),999999.0)</f>
        <v>999999</v>
      </c>
      <c r="O1164" s="148">
        <f>IFERROR(__xludf.DUMMYFUNCTION("""COMPUTED_VALUE"""),99999.0)</f>
        <v>99999</v>
      </c>
      <c r="P1164" s="148">
        <f>IFERROR(__xludf.DUMMYFUNCTION("""COMPUTED_VALUE"""),99999.0)</f>
        <v>99999</v>
      </c>
      <c r="Q1164" s="148" t="str">
        <f>IFERROR(__xludf.DUMMYFUNCTION("""COMPUTED_VALUE"""),"[""bag_other""]")</f>
        <v>["bag_other"]</v>
      </c>
      <c r="R1164" s="148" t="str">
        <f>IFERROR(__xludf.DUMMYFUNCTION("""COMPUTED_VALUE"""),"[""bag""]")</f>
        <v>["bag"]</v>
      </c>
      <c r="S1164" s="148" t="str">
        <f>IFERROR(__xludf.DUMMYFUNCTION("""COMPUTED_VALUE"""),"{""drop"":{""typ"":""single_all"",""num"":1,""args"":[{""typ"":""item"",""id"":11116003,""num"":15,""wgt"":10},{""typ"":""single_random"",""num"":1,""args"":[{""typ"":""item"",""id"":11116107,""num"":1,""wgt"":50},{""typ"":""empty"",""wgt"":100}]},{""typ"&amp;""":""single_random"",""num"":1,""args"":[{""typ"":""item"",""id"":11116303,""num"":1,""wgt"":12},{""typ"":""empty"",""wgt"":100}]}]}}")</f>
        <v>{"drop":{"typ":"single_all","num":1,"args":[{"typ":"item","id":11116003,"num":15,"wgt":10},{"typ":"single_random","num":1,"args":[{"typ":"item","id":11116107,"num":1,"wgt":50},{"typ":"empty","wgt":100}]},{"typ":"single_random","num":1,"args":[{"typ":"item","id":11116303,"num":1,"wgt":12},{"typ":"empty","wgt":100}]}]}}</v>
      </c>
      <c r="T1164" s="148">
        <f>IFERROR(__xludf.DUMMYFUNCTION("""COMPUTED_VALUE"""),-1.0)</f>
        <v>-1</v>
      </c>
      <c r="U1164" s="148">
        <f>IFERROR(__xludf.DUMMYFUNCTION("""COMPUTED_VALUE"""),0.0)</f>
        <v>0</v>
      </c>
      <c r="V1164" s="148" t="str">
        <f>IFERROR(__xludf.DUMMYFUNCTION("""COMPUTED_VALUE"""),"[{""typ"":""item"",""id"":11116107,""val"":1},{""typ"":""item"",""id"":11116303,""val"":1},{""typ"":""item"",""id"":11116003,""val"":15}]")</f>
        <v>[{"typ":"item","id":11116107,"val":1},{"typ":"item","id":11116303,"val":1},{"typ":"item","id":11116003,"val":15}]</v>
      </c>
      <c r="W1164" s="148">
        <f>IFERROR(__xludf.DUMMYFUNCTION("""COMPUTED_VALUE"""),1.174E7)</f>
        <v>11740000</v>
      </c>
      <c r="X1164" s="148">
        <f>IFERROR(__xludf.DUMMYFUNCTION("""COMPUTED_VALUE"""),0.0)</f>
        <v>0</v>
      </c>
      <c r="Y1164" s="148">
        <f>IFERROR(__xludf.DUMMYFUNCTION("""COMPUTED_VALUE"""),0.0)</f>
        <v>0</v>
      </c>
      <c r="Z1164" s="148"/>
    </row>
    <row r="1165">
      <c r="A1165" s="148">
        <f>IFERROR(__xludf.DUMMYFUNCTION("""COMPUTED_VALUE"""),1.1114341E7)</f>
        <v>11114341</v>
      </c>
      <c r="B1165" s="148" t="str">
        <f>IFERROR(__xludf.DUMMYFUNCTION("""COMPUTED_VALUE"""),"雷达打怪宝箱-4")</f>
        <v>雷达打怪宝箱-4</v>
      </c>
      <c r="C1165" s="148"/>
      <c r="D1165" s="148" t="str">
        <f>IFERROR(__xludf.DUMMYFUNCTION("""COMPUTED_VALUE"""),"item_asset")</f>
        <v>item_asset</v>
      </c>
      <c r="E1165" s="148">
        <f>IFERROR(__xludf.DUMMYFUNCTION("""COMPUTED_VALUE"""),19.0)</f>
        <v>19</v>
      </c>
      <c r="F1165" s="148">
        <f>IFERROR(__xludf.DUMMYFUNCTION("""COMPUTED_VALUE"""),403222.0)</f>
        <v>403222</v>
      </c>
      <c r="G1165" s="148">
        <f>IFERROR(__xludf.DUMMYFUNCTION("""COMPUTED_VALUE"""),1.5112492E7)</f>
        <v>15112492</v>
      </c>
      <c r="H1165" s="148">
        <f>IFERROR(__xludf.DUMMYFUNCTION("""COMPUTED_VALUE"""),1.5112563E7)</f>
        <v>15112563</v>
      </c>
      <c r="I1165" s="148" t="str">
        <f>IFERROR(__xludf.DUMMYFUNCTION("""COMPUTED_VALUE"""),"{}")</f>
        <v>{}</v>
      </c>
      <c r="J1165" s="148" t="str">
        <f>IFERROR(__xludf.DUMMYFUNCTION("""COMPUTED_VALUE"""),"{""typ"":""lc"",""txt"":""LC_ITEM_radar_reward_kill_box_name""}")</f>
        <v>{"typ":"lc","txt":"LC_ITEM_radar_reward_kill_box_name"}</v>
      </c>
      <c r="K1165" s="148" t="str">
        <f>IFERROR(__xludf.DUMMYFUNCTION("""COMPUTED_VALUE"""),"{""typ"":""lc"",""txt"":""LC_ITEM_radar_reward_kill_box_desc""}")</f>
        <v>{"typ":"lc","txt":"LC_ITEM_radar_reward_kill_box_desc"}</v>
      </c>
      <c r="L1165" s="148" t="str">
        <f>IFERROR(__xludf.DUMMYFUNCTION("""COMPUTED_VALUE"""),"{""typ"":""lc"",""txt"":""LC_ITEM_horde_elite_box_usedtip""}")</f>
        <v>{"typ":"lc","txt":"LC_ITEM_horde_elite_box_usedtip"}</v>
      </c>
      <c r="M1165" s="148">
        <f>IFERROR(__xludf.DUMMYFUNCTION("""COMPUTED_VALUE"""),100.0)</f>
        <v>100</v>
      </c>
      <c r="N1165" s="148">
        <f>IFERROR(__xludf.DUMMYFUNCTION("""COMPUTED_VALUE"""),999999.0)</f>
        <v>999999</v>
      </c>
      <c r="O1165" s="148">
        <f>IFERROR(__xludf.DUMMYFUNCTION("""COMPUTED_VALUE"""),99999.0)</f>
        <v>99999</v>
      </c>
      <c r="P1165" s="148">
        <f>IFERROR(__xludf.DUMMYFUNCTION("""COMPUTED_VALUE"""),99999.0)</f>
        <v>99999</v>
      </c>
      <c r="Q1165" s="148" t="str">
        <f>IFERROR(__xludf.DUMMYFUNCTION("""COMPUTED_VALUE"""),"[""bag_other""]")</f>
        <v>["bag_other"]</v>
      </c>
      <c r="R1165" s="148" t="str">
        <f>IFERROR(__xludf.DUMMYFUNCTION("""COMPUTED_VALUE"""),"[""bag""]")</f>
        <v>["bag"]</v>
      </c>
      <c r="S1165" s="148" t="str">
        <f>IFERROR(__xludf.DUMMYFUNCTION("""COMPUTED_VALUE"""),"{""drop"":{""typ"":""single_all"",""num"":1,""args"":[{""typ"":""item"",""id"":11116003,""num"":25,""wgt"":10},{""typ"":""single_random"",""num"":1,""args"":[{""typ"":""item"",""id"":11116107,""num"":1,""wgt"":80},{""typ"":""empty"",""wgt"":100}]},{""typ"&amp;""":""single_random"",""num"":1,""args"":[{""typ"":""item"",""id"":11116303,""num"":1,""wgt"":26},{""typ"":""empty"",""wgt"":100}]}]}}")</f>
        <v>{"drop":{"typ":"single_all","num":1,"args":[{"typ":"item","id":11116003,"num":25,"wgt":10},{"typ":"single_random","num":1,"args":[{"typ":"item","id":11116107,"num":1,"wgt":80},{"typ":"empty","wgt":100}]},{"typ":"single_random","num":1,"args":[{"typ":"item","id":11116303,"num":1,"wgt":26},{"typ":"empty","wgt":100}]}]}}</v>
      </c>
      <c r="T1165" s="148">
        <f>IFERROR(__xludf.DUMMYFUNCTION("""COMPUTED_VALUE"""),-1.0)</f>
        <v>-1</v>
      </c>
      <c r="U1165" s="148">
        <f>IFERROR(__xludf.DUMMYFUNCTION("""COMPUTED_VALUE"""),0.0)</f>
        <v>0</v>
      </c>
      <c r="V1165" s="148" t="str">
        <f>IFERROR(__xludf.DUMMYFUNCTION("""COMPUTED_VALUE"""),"[{""typ"":""item"",""id"":11116107,""val"":1},{""typ"":""item"",""id"":11116303,""val"":1},{""typ"":""item"",""id"":11116003,""val"":25}]")</f>
        <v>[{"typ":"item","id":11116107,"val":1},{"typ":"item","id":11116303,"val":1},{"typ":"item","id":11116003,"val":25}]</v>
      </c>
      <c r="W1165" s="148">
        <f>IFERROR(__xludf.DUMMYFUNCTION("""COMPUTED_VALUE"""),1.174E7)</f>
        <v>11740000</v>
      </c>
      <c r="X1165" s="148">
        <f>IFERROR(__xludf.DUMMYFUNCTION("""COMPUTED_VALUE"""),0.0)</f>
        <v>0</v>
      </c>
      <c r="Y1165" s="148">
        <f>IFERROR(__xludf.DUMMYFUNCTION("""COMPUTED_VALUE"""),0.0)</f>
        <v>0</v>
      </c>
      <c r="Z1165" s="148"/>
    </row>
    <row r="1166">
      <c r="A1166" s="148">
        <f>IFERROR(__xludf.DUMMYFUNCTION("""COMPUTED_VALUE"""),1.1114342E7)</f>
        <v>11114342</v>
      </c>
      <c r="B1166" s="148" t="str">
        <f>IFERROR(__xludf.DUMMYFUNCTION("""COMPUTED_VALUE"""),"雷达打怪宝箱-5")</f>
        <v>雷达打怪宝箱-5</v>
      </c>
      <c r="C1166" s="148"/>
      <c r="D1166" s="148" t="str">
        <f>IFERROR(__xludf.DUMMYFUNCTION("""COMPUTED_VALUE"""),"item_asset")</f>
        <v>item_asset</v>
      </c>
      <c r="E1166" s="148">
        <f>IFERROR(__xludf.DUMMYFUNCTION("""COMPUTED_VALUE"""),19.0)</f>
        <v>19</v>
      </c>
      <c r="F1166" s="148">
        <f>IFERROR(__xludf.DUMMYFUNCTION("""COMPUTED_VALUE"""),403121.0)</f>
        <v>403121</v>
      </c>
      <c r="G1166" s="148">
        <f>IFERROR(__xludf.DUMMYFUNCTION("""COMPUTED_VALUE"""),1.5112492E7)</f>
        <v>15112492</v>
      </c>
      <c r="H1166" s="148">
        <f>IFERROR(__xludf.DUMMYFUNCTION("""COMPUTED_VALUE"""),1.5112564E7)</f>
        <v>15112564</v>
      </c>
      <c r="I1166" s="148" t="str">
        <f>IFERROR(__xludf.DUMMYFUNCTION("""COMPUTED_VALUE"""),"{}")</f>
        <v>{}</v>
      </c>
      <c r="J1166" s="148" t="str">
        <f>IFERROR(__xludf.DUMMYFUNCTION("""COMPUTED_VALUE"""),"{""typ"":""lc"",""txt"":""LC_ITEM_radar_reward_kill_box_name""}")</f>
        <v>{"typ":"lc","txt":"LC_ITEM_radar_reward_kill_box_name"}</v>
      </c>
      <c r="K1166" s="148" t="str">
        <f>IFERROR(__xludf.DUMMYFUNCTION("""COMPUTED_VALUE"""),"{""typ"":""lc"",""txt"":""LC_ITEM_radar_reward_kill_box_desc""}")</f>
        <v>{"typ":"lc","txt":"LC_ITEM_radar_reward_kill_box_desc"}</v>
      </c>
      <c r="L1166" s="148" t="str">
        <f>IFERROR(__xludf.DUMMYFUNCTION("""COMPUTED_VALUE"""),"{""typ"":""lc"",""txt"":""LC_ITEM_horde_elite_box_usedtip""}")</f>
        <v>{"typ":"lc","txt":"LC_ITEM_horde_elite_box_usedtip"}</v>
      </c>
      <c r="M1166" s="148">
        <f>IFERROR(__xludf.DUMMYFUNCTION("""COMPUTED_VALUE"""),100.0)</f>
        <v>100</v>
      </c>
      <c r="N1166" s="148">
        <f>IFERROR(__xludf.DUMMYFUNCTION("""COMPUTED_VALUE"""),999999.0)</f>
        <v>999999</v>
      </c>
      <c r="O1166" s="148">
        <f>IFERROR(__xludf.DUMMYFUNCTION("""COMPUTED_VALUE"""),99999.0)</f>
        <v>99999</v>
      </c>
      <c r="P1166" s="148">
        <f>IFERROR(__xludf.DUMMYFUNCTION("""COMPUTED_VALUE"""),99999.0)</f>
        <v>99999</v>
      </c>
      <c r="Q1166" s="148" t="str">
        <f>IFERROR(__xludf.DUMMYFUNCTION("""COMPUTED_VALUE"""),"[""bag_other""]")</f>
        <v>["bag_other"]</v>
      </c>
      <c r="R1166" s="148" t="str">
        <f>IFERROR(__xludf.DUMMYFUNCTION("""COMPUTED_VALUE"""),"[""bag""]")</f>
        <v>["bag"]</v>
      </c>
      <c r="S1166" s="148" t="str">
        <f>IFERROR(__xludf.DUMMYFUNCTION("""COMPUTED_VALUE"""),"{""drop"":{""typ"":""single_all"",""num"":1,""args"":[{""typ"":""item"",""id"":11116003,""num"":30,""wgt"":10},{""typ"":""single_random"",""num"":1,""args"":[{""typ"":""item"",""id"":11116107,""num"":1,""wgt"":125},{""typ"":""empty"",""wgt"":100}]},{""typ"&amp;""":""single_random"",""num"":1,""args"":[{""typ"":""item"",""id"":11116303,""num"":1,""wgt"":44},{""typ"":""empty"",""wgt"":100}]}]}}")</f>
        <v>{"drop":{"typ":"single_all","num":1,"args":[{"typ":"item","id":11116003,"num":30,"wgt":10},{"typ":"single_random","num":1,"args":[{"typ":"item","id":11116107,"num":1,"wgt":125},{"typ":"empty","wgt":100}]},{"typ":"single_random","num":1,"args":[{"typ":"item","id":11116303,"num":1,"wgt":44},{"typ":"empty","wgt":100}]}]}}</v>
      </c>
      <c r="T1166" s="148">
        <f>IFERROR(__xludf.DUMMYFUNCTION("""COMPUTED_VALUE"""),-1.0)</f>
        <v>-1</v>
      </c>
      <c r="U1166" s="148">
        <f>IFERROR(__xludf.DUMMYFUNCTION("""COMPUTED_VALUE"""),0.0)</f>
        <v>0</v>
      </c>
      <c r="V1166" s="148" t="str">
        <f>IFERROR(__xludf.DUMMYFUNCTION("""COMPUTED_VALUE"""),"[{""typ"":""item"",""id"":11116107,""val"":1},{""typ"":""item"",""id"":11116303,""val"":1},{""typ"":""item"",""id"":11116003,""val"":30}]")</f>
        <v>[{"typ":"item","id":11116107,"val":1},{"typ":"item","id":11116303,"val":1},{"typ":"item","id":11116003,"val":30}]</v>
      </c>
      <c r="W1166" s="148">
        <f>IFERROR(__xludf.DUMMYFUNCTION("""COMPUTED_VALUE"""),1.174E7)</f>
        <v>11740000</v>
      </c>
      <c r="X1166" s="148">
        <f>IFERROR(__xludf.DUMMYFUNCTION("""COMPUTED_VALUE"""),0.0)</f>
        <v>0</v>
      </c>
      <c r="Y1166" s="148">
        <f>IFERROR(__xludf.DUMMYFUNCTION("""COMPUTED_VALUE"""),0.0)</f>
        <v>0</v>
      </c>
      <c r="Z1166" s="148"/>
    </row>
    <row r="1167">
      <c r="A1167" s="148">
        <f>IFERROR(__xludf.DUMMYFUNCTION("""COMPUTED_VALUE"""),1.1114343E7)</f>
        <v>11114343</v>
      </c>
      <c r="B1167" s="148" t="str">
        <f>IFERROR(__xludf.DUMMYFUNCTION("""COMPUTED_VALUE"""),"雷达打怪宝箱-6")</f>
        <v>雷达打怪宝箱-6</v>
      </c>
      <c r="C1167" s="148"/>
      <c r="D1167" s="148" t="str">
        <f>IFERROR(__xludf.DUMMYFUNCTION("""COMPUTED_VALUE"""),"item_asset")</f>
        <v>item_asset</v>
      </c>
      <c r="E1167" s="148">
        <f>IFERROR(__xludf.DUMMYFUNCTION("""COMPUTED_VALUE"""),19.0)</f>
        <v>19</v>
      </c>
      <c r="F1167" s="148">
        <f>IFERROR(__xludf.DUMMYFUNCTION("""COMPUTED_VALUE"""),403120.0)</f>
        <v>403120</v>
      </c>
      <c r="G1167" s="148">
        <f>IFERROR(__xludf.DUMMYFUNCTION("""COMPUTED_VALUE"""),1.5112492E7)</f>
        <v>15112492</v>
      </c>
      <c r="H1167" s="148">
        <f>IFERROR(__xludf.DUMMYFUNCTION("""COMPUTED_VALUE"""),1.5112564E7)</f>
        <v>15112564</v>
      </c>
      <c r="I1167" s="148" t="str">
        <f>IFERROR(__xludf.DUMMYFUNCTION("""COMPUTED_VALUE"""),"{}")</f>
        <v>{}</v>
      </c>
      <c r="J1167" s="148" t="str">
        <f>IFERROR(__xludf.DUMMYFUNCTION("""COMPUTED_VALUE"""),"{""typ"":""lc"",""txt"":""LC_ITEM_radar_reward_kill_box_name""}")</f>
        <v>{"typ":"lc","txt":"LC_ITEM_radar_reward_kill_box_name"}</v>
      </c>
      <c r="K1167" s="148" t="str">
        <f>IFERROR(__xludf.DUMMYFUNCTION("""COMPUTED_VALUE"""),"{""typ"":""lc"",""txt"":""LC_ITEM_radar_reward_kill_box_desc""}")</f>
        <v>{"typ":"lc","txt":"LC_ITEM_radar_reward_kill_box_desc"}</v>
      </c>
      <c r="L1167" s="148" t="str">
        <f>IFERROR(__xludf.DUMMYFUNCTION("""COMPUTED_VALUE"""),"{""typ"":""lc"",""txt"":""LC_ITEM_horde_elite_box_usedtip""}")</f>
        <v>{"typ":"lc","txt":"LC_ITEM_horde_elite_box_usedtip"}</v>
      </c>
      <c r="M1167" s="148">
        <f>IFERROR(__xludf.DUMMYFUNCTION("""COMPUTED_VALUE"""),100.0)</f>
        <v>100</v>
      </c>
      <c r="N1167" s="148">
        <f>IFERROR(__xludf.DUMMYFUNCTION("""COMPUTED_VALUE"""),999999.0)</f>
        <v>999999</v>
      </c>
      <c r="O1167" s="148">
        <f>IFERROR(__xludf.DUMMYFUNCTION("""COMPUTED_VALUE"""),99999.0)</f>
        <v>99999</v>
      </c>
      <c r="P1167" s="148">
        <f>IFERROR(__xludf.DUMMYFUNCTION("""COMPUTED_VALUE"""),99999.0)</f>
        <v>99999</v>
      </c>
      <c r="Q1167" s="148" t="str">
        <f>IFERROR(__xludf.DUMMYFUNCTION("""COMPUTED_VALUE"""),"[""bag_other""]")</f>
        <v>["bag_other"]</v>
      </c>
      <c r="R1167" s="148" t="str">
        <f>IFERROR(__xludf.DUMMYFUNCTION("""COMPUTED_VALUE"""),"[""bag""]")</f>
        <v>["bag"]</v>
      </c>
      <c r="S1167" s="148" t="str">
        <f>IFERROR(__xludf.DUMMYFUNCTION("""COMPUTED_VALUE"""),"{""drop"":{""typ"":""single_all"",""num"":1,""args"":[{""typ"":""item"",""id"":11116003,""num"":35,""wgt"":10},{""typ"":""single_random"",""num"":1,""args"":[{""typ"":""item"",""id"":11116107,""num"":1,""wgt"":200},{""typ"":""empty"",""wgt"":100}]},{""typ"&amp;""":""single_random"",""num"":1,""args"":[{""typ"":""item"",""id"":11116303,""num"":1,""wgt"":68},{""typ"":""empty"",""wgt"":100}]}]}}")</f>
        <v>{"drop":{"typ":"single_all","num":1,"args":[{"typ":"item","id":11116003,"num":35,"wgt":10},{"typ":"single_random","num":1,"args":[{"typ":"item","id":11116107,"num":1,"wgt":200},{"typ":"empty","wgt":100}]},{"typ":"single_random","num":1,"args":[{"typ":"item","id":11116303,"num":1,"wgt":68},{"typ":"empty","wgt":100}]}]}}</v>
      </c>
      <c r="T1167" s="148">
        <f>IFERROR(__xludf.DUMMYFUNCTION("""COMPUTED_VALUE"""),-1.0)</f>
        <v>-1</v>
      </c>
      <c r="U1167" s="148">
        <f>IFERROR(__xludf.DUMMYFUNCTION("""COMPUTED_VALUE"""),0.0)</f>
        <v>0</v>
      </c>
      <c r="V1167" s="148" t="str">
        <f>IFERROR(__xludf.DUMMYFUNCTION("""COMPUTED_VALUE"""),"[{""typ"":""item"",""id"":11116107,""val"":1},{""typ"":""item"",""id"":11116303,""val"":1},{""typ"":""item"",""id"":11116003,""val"":35}]")</f>
        <v>[{"typ":"item","id":11116107,"val":1},{"typ":"item","id":11116303,"val":1},{"typ":"item","id":11116003,"val":35}]</v>
      </c>
      <c r="W1167" s="148">
        <f>IFERROR(__xludf.DUMMYFUNCTION("""COMPUTED_VALUE"""),1.174E7)</f>
        <v>11740000</v>
      </c>
      <c r="X1167" s="148">
        <f>IFERROR(__xludf.DUMMYFUNCTION("""COMPUTED_VALUE"""),0.0)</f>
        <v>0</v>
      </c>
      <c r="Y1167" s="148">
        <f>IFERROR(__xludf.DUMMYFUNCTION("""COMPUTED_VALUE"""),0.0)</f>
        <v>0</v>
      </c>
      <c r="Z1167" s="148"/>
    </row>
    <row r="1168">
      <c r="A1168" s="148">
        <f>IFERROR(__xludf.DUMMYFUNCTION("""COMPUTED_VALUE"""),1.1114344E7)</f>
        <v>11114344</v>
      </c>
      <c r="B1168" s="148" t="str">
        <f>IFERROR(__xludf.DUMMYFUNCTION("""COMPUTED_VALUE"""),"雷达探索大成功宝箱-1")</f>
        <v>雷达探索大成功宝箱-1</v>
      </c>
      <c r="C1168" s="148"/>
      <c r="D1168" s="148" t="str">
        <f>IFERROR(__xludf.DUMMYFUNCTION("""COMPUTED_VALUE"""),"item_asset")</f>
        <v>item_asset</v>
      </c>
      <c r="E1168" s="148">
        <f>IFERROR(__xludf.DUMMYFUNCTION("""COMPUTED_VALUE"""),19.0)</f>
        <v>19</v>
      </c>
      <c r="F1168" s="148">
        <f>IFERROR(__xludf.DUMMYFUNCTION("""COMPUTED_VALUE"""),403319.0)</f>
        <v>403319</v>
      </c>
      <c r="G1168" s="148">
        <f>IFERROR(__xludf.DUMMYFUNCTION("""COMPUTED_VALUE"""),1.5112492E7)</f>
        <v>15112492</v>
      </c>
      <c r="H1168" s="148">
        <f>IFERROR(__xludf.DUMMYFUNCTION("""COMPUTED_VALUE"""),1.5112562E7)</f>
        <v>15112562</v>
      </c>
      <c r="I1168" s="148" t="str">
        <f>IFERROR(__xludf.DUMMYFUNCTION("""COMPUTED_VALUE"""),"{}")</f>
        <v>{}</v>
      </c>
      <c r="J1168" s="148" t="str">
        <f>IFERROR(__xludf.DUMMYFUNCTION("""COMPUTED_VALUE"""),"{""typ"":""lc"",""txt"":""LC_ITEM_radar_reward_large_box_name""}")</f>
        <v>{"typ":"lc","txt":"LC_ITEM_radar_reward_large_box_name"}</v>
      </c>
      <c r="K1168" s="148" t="str">
        <f>IFERROR(__xludf.DUMMYFUNCTION("""COMPUTED_VALUE"""),"{""typ"":""lc"",""txt"":""LC_ITEM_radar_reward_large_box_desc""}")</f>
        <v>{"typ":"lc","txt":"LC_ITEM_radar_reward_large_box_desc"}</v>
      </c>
      <c r="L1168" s="148" t="str">
        <f>IFERROR(__xludf.DUMMYFUNCTION("""COMPUTED_VALUE"""),"{""typ"":""lc"",""txt"":""LC_ITEM_horde_elite_box_usedtip""}")</f>
        <v>{"typ":"lc","txt":"LC_ITEM_horde_elite_box_usedtip"}</v>
      </c>
      <c r="M1168" s="148">
        <f>IFERROR(__xludf.DUMMYFUNCTION("""COMPUTED_VALUE"""),100.0)</f>
        <v>100</v>
      </c>
      <c r="N1168" s="148">
        <f>IFERROR(__xludf.DUMMYFUNCTION("""COMPUTED_VALUE"""),999999.0)</f>
        <v>999999</v>
      </c>
      <c r="O1168" s="148">
        <f>IFERROR(__xludf.DUMMYFUNCTION("""COMPUTED_VALUE"""),99999.0)</f>
        <v>99999</v>
      </c>
      <c r="P1168" s="148">
        <f>IFERROR(__xludf.DUMMYFUNCTION("""COMPUTED_VALUE"""),99999.0)</f>
        <v>99999</v>
      </c>
      <c r="Q1168" s="148" t="str">
        <f>IFERROR(__xludf.DUMMYFUNCTION("""COMPUTED_VALUE"""),"[""bag_other""]")</f>
        <v>["bag_other"]</v>
      </c>
      <c r="R1168" s="148" t="str">
        <f>IFERROR(__xludf.DUMMYFUNCTION("""COMPUTED_VALUE"""),"[""bag""]")</f>
        <v>["bag"]</v>
      </c>
      <c r="S1168" s="148" t="str">
        <f>IFERROR(__xludf.DUMMYFUNCTION("""COMPUTED_VALUE"""),"{""drop"":{""typ"":""single_all"",""num"":1,""args"":[{""typ"":""item"",""id"":11111001,""num"":1,""wgt"":10},{""typ"":""item"",""id"":11111005,""num"":1,""wgt"":10},{""typ"":""single_random"",""num"":1,""args"":[{""typ"":""item"",""id"":11116104,""num"":"&amp;"4,""wgt"":100}]},{""typ"":""single_random"",""num"":1,""args"":[{""typ"":""item"",""id"":11116302,""num"":2,""wgt"":100}]}]}}")</f>
        <v>{"drop":{"typ":"single_all","num":1,"args":[{"typ":"item","id":11111001,"num":1,"wgt":10},{"typ":"item","id":11111005,"num":1,"wgt":10},{"typ":"single_random","num":1,"args":[{"typ":"item","id":11116104,"num":4,"wgt":100}]},{"typ":"single_random","num":1,"args":[{"typ":"item","id":11116302,"num":2,"wgt":100}]}]}}</v>
      </c>
      <c r="T1168" s="148">
        <f>IFERROR(__xludf.DUMMYFUNCTION("""COMPUTED_VALUE"""),-1.0)</f>
        <v>-1</v>
      </c>
      <c r="U1168" s="148">
        <f>IFERROR(__xludf.DUMMYFUNCTION("""COMPUTED_VALUE"""),0.0)</f>
        <v>0</v>
      </c>
      <c r="V1168" s="148" t="str">
        <f>IFERROR(__xludf.DUMMYFUNCTION("""COMPUTED_VALUE"""),"[{""typ"":""item"",""id"":11116104,""val"":4},{""typ"":""item"",""id"":11116302,""val"":2},{""typ"":""item"",""id"":11111001,""val"":1},{""typ"":""item"",""id"":11111005,""val"":1}]")</f>
        <v>[{"typ":"item","id":11116104,"val":4},{"typ":"item","id":11116302,"val":2},{"typ":"item","id":11111001,"val":1},{"typ":"item","id":11111005,"val":1}]</v>
      </c>
      <c r="W1168" s="148">
        <f>IFERROR(__xludf.DUMMYFUNCTION("""COMPUTED_VALUE"""),1.174E7)</f>
        <v>11740000</v>
      </c>
      <c r="X1168" s="148">
        <f>IFERROR(__xludf.DUMMYFUNCTION("""COMPUTED_VALUE"""),0.0)</f>
        <v>0</v>
      </c>
      <c r="Y1168" s="148">
        <f>IFERROR(__xludf.DUMMYFUNCTION("""COMPUTED_VALUE"""),0.0)</f>
        <v>0</v>
      </c>
      <c r="Z1168" s="148"/>
    </row>
    <row r="1169">
      <c r="A1169" s="148">
        <f>IFERROR(__xludf.DUMMYFUNCTION("""COMPUTED_VALUE"""),1.1114345E7)</f>
        <v>11114345</v>
      </c>
      <c r="B1169" s="148" t="str">
        <f>IFERROR(__xludf.DUMMYFUNCTION("""COMPUTED_VALUE"""),"雷达探索大成功宝箱-2")</f>
        <v>雷达探索大成功宝箱-2</v>
      </c>
      <c r="C1169" s="148"/>
      <c r="D1169" s="148" t="str">
        <f>IFERROR(__xludf.DUMMYFUNCTION("""COMPUTED_VALUE"""),"item_asset")</f>
        <v>item_asset</v>
      </c>
      <c r="E1169" s="148">
        <f>IFERROR(__xludf.DUMMYFUNCTION("""COMPUTED_VALUE"""),19.0)</f>
        <v>19</v>
      </c>
      <c r="F1169" s="148">
        <f>IFERROR(__xludf.DUMMYFUNCTION("""COMPUTED_VALUE"""),403218.0)</f>
        <v>403218</v>
      </c>
      <c r="G1169" s="148">
        <f>IFERROR(__xludf.DUMMYFUNCTION("""COMPUTED_VALUE"""),1.5112492E7)</f>
        <v>15112492</v>
      </c>
      <c r="H1169" s="148">
        <f>IFERROR(__xludf.DUMMYFUNCTION("""COMPUTED_VALUE"""),1.5112563E7)</f>
        <v>15112563</v>
      </c>
      <c r="I1169" s="148" t="str">
        <f>IFERROR(__xludf.DUMMYFUNCTION("""COMPUTED_VALUE"""),"{}")</f>
        <v>{}</v>
      </c>
      <c r="J1169" s="148" t="str">
        <f>IFERROR(__xludf.DUMMYFUNCTION("""COMPUTED_VALUE"""),"{""typ"":""lc"",""txt"":""LC_ITEM_radar_reward_large_box_name_2""}")</f>
        <v>{"typ":"lc","txt":"LC_ITEM_radar_reward_large_box_name_2"}</v>
      </c>
      <c r="K1169" s="148" t="str">
        <f>IFERROR(__xludf.DUMMYFUNCTION("""COMPUTED_VALUE"""),"{""typ"":""lc"",""txt"":""LC_ITEM_radar_reward_large_box_desc""}")</f>
        <v>{"typ":"lc","txt":"LC_ITEM_radar_reward_large_box_desc"}</v>
      </c>
      <c r="L1169" s="148" t="str">
        <f>IFERROR(__xludf.DUMMYFUNCTION("""COMPUTED_VALUE"""),"{""typ"":""lc"",""txt"":""LC_ITEM_horde_elite_box_usedtip""}")</f>
        <v>{"typ":"lc","txt":"LC_ITEM_horde_elite_box_usedtip"}</v>
      </c>
      <c r="M1169" s="148">
        <f>IFERROR(__xludf.DUMMYFUNCTION("""COMPUTED_VALUE"""),100.0)</f>
        <v>100</v>
      </c>
      <c r="N1169" s="148">
        <f>IFERROR(__xludf.DUMMYFUNCTION("""COMPUTED_VALUE"""),999999.0)</f>
        <v>999999</v>
      </c>
      <c r="O1169" s="148">
        <f>IFERROR(__xludf.DUMMYFUNCTION("""COMPUTED_VALUE"""),99999.0)</f>
        <v>99999</v>
      </c>
      <c r="P1169" s="148">
        <f>IFERROR(__xludf.DUMMYFUNCTION("""COMPUTED_VALUE"""),99999.0)</f>
        <v>99999</v>
      </c>
      <c r="Q1169" s="148" t="str">
        <f>IFERROR(__xludf.DUMMYFUNCTION("""COMPUTED_VALUE"""),"[""bag_other""]")</f>
        <v>["bag_other"]</v>
      </c>
      <c r="R1169" s="148" t="str">
        <f>IFERROR(__xludf.DUMMYFUNCTION("""COMPUTED_VALUE"""),"[""bag""]")</f>
        <v>["bag"]</v>
      </c>
      <c r="S1169" s="148" t="str">
        <f>IFERROR(__xludf.DUMMYFUNCTION("""COMPUTED_VALUE"""),"{""drop"":{""typ"":""single_all"",""num"":1,""args"":[{""typ"":""item"",""id"":11111001,""num"":2,""wgt"":10},{""typ"":""item"",""id"":11111005,""num"":2,""wgt"":10},{""typ"":""single_random"",""num"":1,""args"":[{""typ"":""item"",""id"":11116104,""num"":"&amp;"3,""wgt"":80},{""typ"":""item"",""id"":11116107,""num"":2,""wgt"":17},{""typ"":""empty"",""wgt"":23}]},{""typ"":""single_random"",""num"":1,""args"":[{""typ"":""item"",""id"":11116302,""num"":2,""wgt"":110},{""typ"":""item"",""id"":11116303,""num"":1,""wg"&amp;"t"":22},{""typ"":""empty"",""wgt"":80}]}]}}")</f>
        <v>{"drop":{"typ":"single_all","num":1,"args":[{"typ":"item","id":11111001,"num":2,"wgt":10},{"typ":"item","id":11111005,"num":2,"wgt":10},{"typ":"single_random","num":1,"args":[{"typ":"item","id":11116104,"num":3,"wgt":80},{"typ":"item","id":11116107,"num":2,"wgt":17},{"typ":"empty","wgt":23}]},{"typ":"single_random","num":1,"args":[{"typ":"item","id":11116302,"num":2,"wgt":110},{"typ":"item","id":11116303,"num":1,"wgt":22},{"typ":"empty","wgt":80}]}]}}</v>
      </c>
      <c r="T1169" s="148">
        <f>IFERROR(__xludf.DUMMYFUNCTION("""COMPUTED_VALUE"""),-1.0)</f>
        <v>-1</v>
      </c>
      <c r="U1169" s="148">
        <f>IFERROR(__xludf.DUMMYFUNCTION("""COMPUTED_VALUE"""),0.0)</f>
        <v>0</v>
      </c>
      <c r="V1169" s="148" t="str">
        <f>IFERROR(__xludf.DUMMYFUNCTION("""COMPUTED_VALUE"""),"[{""typ"":""item"",""id"":11116104,""val"":3},{""typ"":""item"",""id"":11116107,""val"":2},{""typ"":""item"",""id"":11116302,""val"":2},{""typ"":""item"",""id"":11116303,""val"":1},{""typ"":""item"",""id"":11111001,""val"":2},{""typ"":""item"",""id"":1111"&amp;"1005,""val"":2}]")</f>
        <v>[{"typ":"item","id":11116104,"val":3},{"typ":"item","id":11116107,"val":2},{"typ":"item","id":11116302,"val":2},{"typ":"item","id":11116303,"val":1},{"typ":"item","id":11111001,"val":2},{"typ":"item","id":11111005,"val":2}]</v>
      </c>
      <c r="W1169" s="148">
        <f>IFERROR(__xludf.DUMMYFUNCTION("""COMPUTED_VALUE"""),1.174E7)</f>
        <v>11740000</v>
      </c>
      <c r="X1169" s="148">
        <f>IFERROR(__xludf.DUMMYFUNCTION("""COMPUTED_VALUE"""),0.0)</f>
        <v>0</v>
      </c>
      <c r="Y1169" s="148">
        <f>IFERROR(__xludf.DUMMYFUNCTION("""COMPUTED_VALUE"""),0.0)</f>
        <v>0</v>
      </c>
      <c r="Z1169" s="148"/>
    </row>
    <row r="1170">
      <c r="A1170" s="148">
        <f>IFERROR(__xludf.DUMMYFUNCTION("""COMPUTED_VALUE"""),1.1114346E7)</f>
        <v>11114346</v>
      </c>
      <c r="B1170" s="148" t="str">
        <f>IFERROR(__xludf.DUMMYFUNCTION("""COMPUTED_VALUE"""),"雷达探索大成功宝箱-3")</f>
        <v>雷达探索大成功宝箱-3</v>
      </c>
      <c r="C1170" s="148"/>
      <c r="D1170" s="148" t="str">
        <f>IFERROR(__xludf.DUMMYFUNCTION("""COMPUTED_VALUE"""),"item_asset")</f>
        <v>item_asset</v>
      </c>
      <c r="E1170" s="148">
        <f>IFERROR(__xludf.DUMMYFUNCTION("""COMPUTED_VALUE"""),19.0)</f>
        <v>19</v>
      </c>
      <c r="F1170" s="148">
        <f>IFERROR(__xludf.DUMMYFUNCTION("""COMPUTED_VALUE"""),403217.0)</f>
        <v>403217</v>
      </c>
      <c r="G1170" s="148">
        <f>IFERROR(__xludf.DUMMYFUNCTION("""COMPUTED_VALUE"""),1.5112492E7)</f>
        <v>15112492</v>
      </c>
      <c r="H1170" s="148">
        <f>IFERROR(__xludf.DUMMYFUNCTION("""COMPUTED_VALUE"""),1.5112563E7)</f>
        <v>15112563</v>
      </c>
      <c r="I1170" s="148" t="str">
        <f>IFERROR(__xludf.DUMMYFUNCTION("""COMPUTED_VALUE"""),"{}")</f>
        <v>{}</v>
      </c>
      <c r="J1170" s="148" t="str">
        <f>IFERROR(__xludf.DUMMYFUNCTION("""COMPUTED_VALUE"""),"{""typ"":""lc"",""txt"":""LC_ITEM_radar_reward_large_box_name_3""}")</f>
        <v>{"typ":"lc","txt":"LC_ITEM_radar_reward_large_box_name_3"}</v>
      </c>
      <c r="K1170" s="148" t="str">
        <f>IFERROR(__xludf.DUMMYFUNCTION("""COMPUTED_VALUE"""),"{""typ"":""lc"",""txt"":""LC_ITEM_radar_reward_large_box_desc""}")</f>
        <v>{"typ":"lc","txt":"LC_ITEM_radar_reward_large_box_desc"}</v>
      </c>
      <c r="L1170" s="148" t="str">
        <f>IFERROR(__xludf.DUMMYFUNCTION("""COMPUTED_VALUE"""),"{""typ"":""lc"",""txt"":""LC_ITEM_horde_elite_box_usedtip""}")</f>
        <v>{"typ":"lc","txt":"LC_ITEM_horde_elite_box_usedtip"}</v>
      </c>
      <c r="M1170" s="148">
        <f>IFERROR(__xludf.DUMMYFUNCTION("""COMPUTED_VALUE"""),100.0)</f>
        <v>100</v>
      </c>
      <c r="N1170" s="148">
        <f>IFERROR(__xludf.DUMMYFUNCTION("""COMPUTED_VALUE"""),999999.0)</f>
        <v>999999</v>
      </c>
      <c r="O1170" s="148">
        <f>IFERROR(__xludf.DUMMYFUNCTION("""COMPUTED_VALUE"""),99999.0)</f>
        <v>99999</v>
      </c>
      <c r="P1170" s="148">
        <f>IFERROR(__xludf.DUMMYFUNCTION("""COMPUTED_VALUE"""),99999.0)</f>
        <v>99999</v>
      </c>
      <c r="Q1170" s="148" t="str">
        <f>IFERROR(__xludf.DUMMYFUNCTION("""COMPUTED_VALUE"""),"[""bag_other""]")</f>
        <v>["bag_other"]</v>
      </c>
      <c r="R1170" s="148" t="str">
        <f>IFERROR(__xludf.DUMMYFUNCTION("""COMPUTED_VALUE"""),"[""bag""]")</f>
        <v>["bag"]</v>
      </c>
      <c r="S1170" s="148" t="str">
        <f>IFERROR(__xludf.DUMMYFUNCTION("""COMPUTED_VALUE"""),"{""drop"":{""typ"":""single_all"",""num"":1,""args"":[{""typ"":""item"",""id"":11111001,""num"":3,""wgt"":10},{""typ"":""item"",""id"":11111005,""num"":3,""wgt"":10},{""typ"":""single_random"",""num"":1,""args"":[{""typ"":""item"",""id"":11116107,""num"":"&amp;"2,""wgt"":40},{""typ"":""empty"",""wgt"":100}]},{""typ"":""single_random"",""num"":1,""args"":[{""typ"":""item"",""id"":11116303,""num"":1,""wgt"":25},{""typ"":""empty"",""wgt"":100}]}]}}")</f>
        <v>{"drop":{"typ":"single_all","num":1,"args":[{"typ":"item","id":11111001,"num":3,"wgt":10},{"typ":"item","id":11111005,"num":3,"wgt":10},{"typ":"single_random","num":1,"args":[{"typ":"item","id":11116107,"num":2,"wgt":40},{"typ":"empty","wgt":100}]},{"typ":"single_random","num":1,"args":[{"typ":"item","id":11116303,"num":1,"wgt":25},{"typ":"empty","wgt":100}]}]}}</v>
      </c>
      <c r="T1170" s="148">
        <f>IFERROR(__xludf.DUMMYFUNCTION("""COMPUTED_VALUE"""),-1.0)</f>
        <v>-1</v>
      </c>
      <c r="U1170" s="148">
        <f>IFERROR(__xludf.DUMMYFUNCTION("""COMPUTED_VALUE"""),0.0)</f>
        <v>0</v>
      </c>
      <c r="V1170" s="148" t="str">
        <f>IFERROR(__xludf.DUMMYFUNCTION("""COMPUTED_VALUE"""),"[{""typ"":""item"",""id"":11116107,""val"":2},{""typ"":""item"",""id"":11116303,""val"":1},{""typ"":""item"",""id"":11111001,""val"":3},{""typ"":""item"",""id"":11111005,""val"":3}]")</f>
        <v>[{"typ":"item","id":11116107,"val":2},{"typ":"item","id":11116303,"val":1},{"typ":"item","id":11111001,"val":3},{"typ":"item","id":11111005,"val":3}]</v>
      </c>
      <c r="W1170" s="148">
        <f>IFERROR(__xludf.DUMMYFUNCTION("""COMPUTED_VALUE"""),1.174E7)</f>
        <v>11740000</v>
      </c>
      <c r="X1170" s="148">
        <f>IFERROR(__xludf.DUMMYFUNCTION("""COMPUTED_VALUE"""),0.0)</f>
        <v>0</v>
      </c>
      <c r="Y1170" s="148">
        <f>IFERROR(__xludf.DUMMYFUNCTION("""COMPUTED_VALUE"""),0.0)</f>
        <v>0</v>
      </c>
      <c r="Z1170" s="148"/>
    </row>
    <row r="1171">
      <c r="A1171" s="148">
        <f>IFERROR(__xludf.DUMMYFUNCTION("""COMPUTED_VALUE"""),1.1114347E7)</f>
        <v>11114347</v>
      </c>
      <c r="B1171" s="148" t="str">
        <f>IFERROR(__xludf.DUMMYFUNCTION("""COMPUTED_VALUE"""),"雷达探索大成功宝箱-4")</f>
        <v>雷达探索大成功宝箱-4</v>
      </c>
      <c r="C1171" s="148"/>
      <c r="D1171" s="148" t="str">
        <f>IFERROR(__xludf.DUMMYFUNCTION("""COMPUTED_VALUE"""),"item_asset")</f>
        <v>item_asset</v>
      </c>
      <c r="E1171" s="148">
        <f>IFERROR(__xludf.DUMMYFUNCTION("""COMPUTED_VALUE"""),19.0)</f>
        <v>19</v>
      </c>
      <c r="F1171" s="148">
        <f>IFERROR(__xludf.DUMMYFUNCTION("""COMPUTED_VALUE"""),403216.0)</f>
        <v>403216</v>
      </c>
      <c r="G1171" s="148">
        <f>IFERROR(__xludf.DUMMYFUNCTION("""COMPUTED_VALUE"""),1.5112492E7)</f>
        <v>15112492</v>
      </c>
      <c r="H1171" s="148">
        <f>IFERROR(__xludf.DUMMYFUNCTION("""COMPUTED_VALUE"""),1.5112563E7)</f>
        <v>15112563</v>
      </c>
      <c r="I1171" s="148" t="str">
        <f>IFERROR(__xludf.DUMMYFUNCTION("""COMPUTED_VALUE"""),"{}")</f>
        <v>{}</v>
      </c>
      <c r="J1171" s="148" t="str">
        <f>IFERROR(__xludf.DUMMYFUNCTION("""COMPUTED_VALUE"""),"{""typ"":""lc"",""txt"":""LC_ITEM_radar_reward_large_box_name_4""}")</f>
        <v>{"typ":"lc","txt":"LC_ITEM_radar_reward_large_box_name_4"}</v>
      </c>
      <c r="K1171" s="148" t="str">
        <f>IFERROR(__xludf.DUMMYFUNCTION("""COMPUTED_VALUE"""),"{""typ"":""lc"",""txt"":""LC_ITEM_radar_reward_large_box_desc""}")</f>
        <v>{"typ":"lc","txt":"LC_ITEM_radar_reward_large_box_desc"}</v>
      </c>
      <c r="L1171" s="148" t="str">
        <f>IFERROR(__xludf.DUMMYFUNCTION("""COMPUTED_VALUE"""),"{""typ"":""lc"",""txt"":""LC_ITEM_horde_elite_box_usedtip""}")</f>
        <v>{"typ":"lc","txt":"LC_ITEM_horde_elite_box_usedtip"}</v>
      </c>
      <c r="M1171" s="148">
        <f>IFERROR(__xludf.DUMMYFUNCTION("""COMPUTED_VALUE"""),100.0)</f>
        <v>100</v>
      </c>
      <c r="N1171" s="148">
        <f>IFERROR(__xludf.DUMMYFUNCTION("""COMPUTED_VALUE"""),999999.0)</f>
        <v>999999</v>
      </c>
      <c r="O1171" s="148">
        <f>IFERROR(__xludf.DUMMYFUNCTION("""COMPUTED_VALUE"""),99999.0)</f>
        <v>99999</v>
      </c>
      <c r="P1171" s="148">
        <f>IFERROR(__xludf.DUMMYFUNCTION("""COMPUTED_VALUE"""),99999.0)</f>
        <v>99999</v>
      </c>
      <c r="Q1171" s="148" t="str">
        <f>IFERROR(__xludf.DUMMYFUNCTION("""COMPUTED_VALUE"""),"[""bag_other""]")</f>
        <v>["bag_other"]</v>
      </c>
      <c r="R1171" s="148" t="str">
        <f>IFERROR(__xludf.DUMMYFUNCTION("""COMPUTED_VALUE"""),"[""bag""]")</f>
        <v>["bag"]</v>
      </c>
      <c r="S1171" s="148" t="str">
        <f>IFERROR(__xludf.DUMMYFUNCTION("""COMPUTED_VALUE"""),"{""drop"":{""typ"":""single_all"",""num"":1,""args"":[{""typ"":""item"",""id"":11111001,""num"":4,""wgt"":10},{""typ"":""item"",""id"":11111005,""num"":4,""wgt"":10},{""typ"":""single_random"",""num"":1,""args"":[{""typ"":""item"",""id"":11116107,""num"":"&amp;"2,""wgt"":50},{""typ"":""empty"",""wgt"":100}]},{""typ"":""single_random"",""num"":1,""args"":[{""typ"":""item"",""id"":11116303,""num"":1,""wgt"":55},{""typ"":""empty"",""wgt"":100}]}]}}")</f>
        <v>{"drop":{"typ":"single_all","num":1,"args":[{"typ":"item","id":11111001,"num":4,"wgt":10},{"typ":"item","id":11111005,"num":4,"wgt":10},{"typ":"single_random","num":1,"args":[{"typ":"item","id":11116107,"num":2,"wgt":50},{"typ":"empty","wgt":100}]},{"typ":"single_random","num":1,"args":[{"typ":"item","id":11116303,"num":1,"wgt":55},{"typ":"empty","wgt":100}]}]}}</v>
      </c>
      <c r="T1171" s="148">
        <f>IFERROR(__xludf.DUMMYFUNCTION("""COMPUTED_VALUE"""),-1.0)</f>
        <v>-1</v>
      </c>
      <c r="U1171" s="148">
        <f>IFERROR(__xludf.DUMMYFUNCTION("""COMPUTED_VALUE"""),0.0)</f>
        <v>0</v>
      </c>
      <c r="V1171" s="148" t="str">
        <f>IFERROR(__xludf.DUMMYFUNCTION("""COMPUTED_VALUE"""),"[{""typ"":""item"",""id"":11116107,""val"":2},{""typ"":""item"",""id"":11116303,""val"":1},{""typ"":""item"",""id"":11111001,""val"":4},{""typ"":""item"",""id"":11111005,""val"":4}]")</f>
        <v>[{"typ":"item","id":11116107,"val":2},{"typ":"item","id":11116303,"val":1},{"typ":"item","id":11111001,"val":4},{"typ":"item","id":11111005,"val":4}]</v>
      </c>
      <c r="W1171" s="148">
        <f>IFERROR(__xludf.DUMMYFUNCTION("""COMPUTED_VALUE"""),1.174E7)</f>
        <v>11740000</v>
      </c>
      <c r="X1171" s="148">
        <f>IFERROR(__xludf.DUMMYFUNCTION("""COMPUTED_VALUE"""),0.0)</f>
        <v>0</v>
      </c>
      <c r="Y1171" s="148">
        <f>IFERROR(__xludf.DUMMYFUNCTION("""COMPUTED_VALUE"""),0.0)</f>
        <v>0</v>
      </c>
      <c r="Z1171" s="148"/>
    </row>
    <row r="1172">
      <c r="A1172" s="148">
        <f>IFERROR(__xludf.DUMMYFUNCTION("""COMPUTED_VALUE"""),1.1114348E7)</f>
        <v>11114348</v>
      </c>
      <c r="B1172" s="148" t="str">
        <f>IFERROR(__xludf.DUMMYFUNCTION("""COMPUTED_VALUE"""),"雷达探索大成功宝箱-5")</f>
        <v>雷达探索大成功宝箱-5</v>
      </c>
      <c r="C1172" s="148"/>
      <c r="D1172" s="148" t="str">
        <f>IFERROR(__xludf.DUMMYFUNCTION("""COMPUTED_VALUE"""),"item_asset")</f>
        <v>item_asset</v>
      </c>
      <c r="E1172" s="148">
        <f>IFERROR(__xludf.DUMMYFUNCTION("""COMPUTED_VALUE"""),19.0)</f>
        <v>19</v>
      </c>
      <c r="F1172" s="148">
        <f>IFERROR(__xludf.DUMMYFUNCTION("""COMPUTED_VALUE"""),403115.0)</f>
        <v>403115</v>
      </c>
      <c r="G1172" s="148">
        <f>IFERROR(__xludf.DUMMYFUNCTION("""COMPUTED_VALUE"""),1.5112492E7)</f>
        <v>15112492</v>
      </c>
      <c r="H1172" s="148">
        <f>IFERROR(__xludf.DUMMYFUNCTION("""COMPUTED_VALUE"""),1.5112564E7)</f>
        <v>15112564</v>
      </c>
      <c r="I1172" s="148" t="str">
        <f>IFERROR(__xludf.DUMMYFUNCTION("""COMPUTED_VALUE"""),"{}")</f>
        <v>{}</v>
      </c>
      <c r="J1172" s="148" t="str">
        <f>IFERROR(__xludf.DUMMYFUNCTION("""COMPUTED_VALUE"""),"{""typ"":""lc"",""txt"":""LC_ITEM_radar_reward_large_box_name_5""}")</f>
        <v>{"typ":"lc","txt":"LC_ITEM_radar_reward_large_box_name_5"}</v>
      </c>
      <c r="K1172" s="148" t="str">
        <f>IFERROR(__xludf.DUMMYFUNCTION("""COMPUTED_VALUE"""),"{""typ"":""lc"",""txt"":""LC_ITEM_radar_reward_large_box_desc""}")</f>
        <v>{"typ":"lc","txt":"LC_ITEM_radar_reward_large_box_desc"}</v>
      </c>
      <c r="L1172" s="148" t="str">
        <f>IFERROR(__xludf.DUMMYFUNCTION("""COMPUTED_VALUE"""),"{""typ"":""lc"",""txt"":""LC_ITEM_horde_elite_box_usedtip""}")</f>
        <v>{"typ":"lc","txt":"LC_ITEM_horde_elite_box_usedtip"}</v>
      </c>
      <c r="M1172" s="148">
        <f>IFERROR(__xludf.DUMMYFUNCTION("""COMPUTED_VALUE"""),100.0)</f>
        <v>100</v>
      </c>
      <c r="N1172" s="148">
        <f>IFERROR(__xludf.DUMMYFUNCTION("""COMPUTED_VALUE"""),999999.0)</f>
        <v>999999</v>
      </c>
      <c r="O1172" s="148">
        <f>IFERROR(__xludf.DUMMYFUNCTION("""COMPUTED_VALUE"""),99999.0)</f>
        <v>99999</v>
      </c>
      <c r="P1172" s="148">
        <f>IFERROR(__xludf.DUMMYFUNCTION("""COMPUTED_VALUE"""),99999.0)</f>
        <v>99999</v>
      </c>
      <c r="Q1172" s="148" t="str">
        <f>IFERROR(__xludf.DUMMYFUNCTION("""COMPUTED_VALUE"""),"[""bag_other""]")</f>
        <v>["bag_other"]</v>
      </c>
      <c r="R1172" s="148" t="str">
        <f>IFERROR(__xludf.DUMMYFUNCTION("""COMPUTED_VALUE"""),"[""bag""]")</f>
        <v>["bag"]</v>
      </c>
      <c r="S1172" s="148" t="str">
        <f>IFERROR(__xludf.DUMMYFUNCTION("""COMPUTED_VALUE"""),"{""drop"":{""typ"":""single_all"",""num"":1,""args"":[{""typ"":""item"",""id"":11111001,""num"":6,""wgt"":10},{""typ"":""item"",""id"":11111005,""num"":6,""wgt"":10},{""typ"":""single_random"",""num"":1,""args"":[{""typ"":""item"",""id"":11116107,""num"":"&amp;"2,""wgt"":72},{""typ"":""empty"",""wgt"":100}]},{""typ"":""single_random"",""num"":1,""args"":[{""typ"":""item"",""id"":11116303,""num"":1,""wgt"":100},{""typ"":""empty"",""wgt"":100}]}]}}")</f>
        <v>{"drop":{"typ":"single_all","num":1,"args":[{"typ":"item","id":11111001,"num":6,"wgt":10},{"typ":"item","id":11111005,"num":6,"wgt":10},{"typ":"single_random","num":1,"args":[{"typ":"item","id":11116107,"num":2,"wgt":72},{"typ":"empty","wgt":100}]},{"typ":"single_random","num":1,"args":[{"typ":"item","id":11116303,"num":1,"wgt":100},{"typ":"empty","wgt":100}]}]}}</v>
      </c>
      <c r="T1172" s="148">
        <f>IFERROR(__xludf.DUMMYFUNCTION("""COMPUTED_VALUE"""),-1.0)</f>
        <v>-1</v>
      </c>
      <c r="U1172" s="148">
        <f>IFERROR(__xludf.DUMMYFUNCTION("""COMPUTED_VALUE"""),0.0)</f>
        <v>0</v>
      </c>
      <c r="V1172" s="148" t="str">
        <f>IFERROR(__xludf.DUMMYFUNCTION("""COMPUTED_VALUE"""),"[{""typ"":""item"",""id"":11116107,""val"":2},{""typ"":""item"",""id"":11116303,""val"":1},{""typ"":""item"",""id"":11111001,""val"":6},{""typ"":""item"",""id"":11111005,""val"":6}]")</f>
        <v>[{"typ":"item","id":11116107,"val":2},{"typ":"item","id":11116303,"val":1},{"typ":"item","id":11111001,"val":6},{"typ":"item","id":11111005,"val":6}]</v>
      </c>
      <c r="W1172" s="148">
        <f>IFERROR(__xludf.DUMMYFUNCTION("""COMPUTED_VALUE"""),1.174E7)</f>
        <v>11740000</v>
      </c>
      <c r="X1172" s="148">
        <f>IFERROR(__xludf.DUMMYFUNCTION("""COMPUTED_VALUE"""),0.0)</f>
        <v>0</v>
      </c>
      <c r="Y1172" s="148">
        <f>IFERROR(__xludf.DUMMYFUNCTION("""COMPUTED_VALUE"""),0.0)</f>
        <v>0</v>
      </c>
      <c r="Z1172" s="148"/>
    </row>
    <row r="1173">
      <c r="A1173" s="148">
        <f>IFERROR(__xludf.DUMMYFUNCTION("""COMPUTED_VALUE"""),1.1114349E7)</f>
        <v>11114349</v>
      </c>
      <c r="B1173" s="148" t="str">
        <f>IFERROR(__xludf.DUMMYFUNCTION("""COMPUTED_VALUE"""),"雷达探索大成功宝箱-6")</f>
        <v>雷达探索大成功宝箱-6</v>
      </c>
      <c r="C1173" s="148"/>
      <c r="D1173" s="148" t="str">
        <f>IFERROR(__xludf.DUMMYFUNCTION("""COMPUTED_VALUE"""),"item_asset")</f>
        <v>item_asset</v>
      </c>
      <c r="E1173" s="148">
        <f>IFERROR(__xludf.DUMMYFUNCTION("""COMPUTED_VALUE"""),19.0)</f>
        <v>19</v>
      </c>
      <c r="F1173" s="148">
        <f>IFERROR(__xludf.DUMMYFUNCTION("""COMPUTED_VALUE"""),403114.0)</f>
        <v>403114</v>
      </c>
      <c r="G1173" s="148">
        <f>IFERROR(__xludf.DUMMYFUNCTION("""COMPUTED_VALUE"""),1.5112492E7)</f>
        <v>15112492</v>
      </c>
      <c r="H1173" s="148">
        <f>IFERROR(__xludf.DUMMYFUNCTION("""COMPUTED_VALUE"""),1.5112564E7)</f>
        <v>15112564</v>
      </c>
      <c r="I1173" s="148" t="str">
        <f>IFERROR(__xludf.DUMMYFUNCTION("""COMPUTED_VALUE"""),"{}")</f>
        <v>{}</v>
      </c>
      <c r="J1173" s="148" t="str">
        <f>IFERROR(__xludf.DUMMYFUNCTION("""COMPUTED_VALUE"""),"{""typ"":""lc"",""txt"":""LC_ITEM_radar_reward_large_box_name_6""}")</f>
        <v>{"typ":"lc","txt":"LC_ITEM_radar_reward_large_box_name_6"}</v>
      </c>
      <c r="K1173" s="148" t="str">
        <f>IFERROR(__xludf.DUMMYFUNCTION("""COMPUTED_VALUE"""),"{""typ"":""lc"",""txt"":""LC_ITEM_radar_reward_large_box_desc""}")</f>
        <v>{"typ":"lc","txt":"LC_ITEM_radar_reward_large_box_desc"}</v>
      </c>
      <c r="L1173" s="148" t="str">
        <f>IFERROR(__xludf.DUMMYFUNCTION("""COMPUTED_VALUE"""),"{""typ"":""lc"",""txt"":""LC_ITEM_horde_elite_box_usedtip""}")</f>
        <v>{"typ":"lc","txt":"LC_ITEM_horde_elite_box_usedtip"}</v>
      </c>
      <c r="M1173" s="148">
        <f>IFERROR(__xludf.DUMMYFUNCTION("""COMPUTED_VALUE"""),100.0)</f>
        <v>100</v>
      </c>
      <c r="N1173" s="148">
        <f>IFERROR(__xludf.DUMMYFUNCTION("""COMPUTED_VALUE"""),999999.0)</f>
        <v>999999</v>
      </c>
      <c r="O1173" s="148">
        <f>IFERROR(__xludf.DUMMYFUNCTION("""COMPUTED_VALUE"""),99999.0)</f>
        <v>99999</v>
      </c>
      <c r="P1173" s="148">
        <f>IFERROR(__xludf.DUMMYFUNCTION("""COMPUTED_VALUE"""),99999.0)</f>
        <v>99999</v>
      </c>
      <c r="Q1173" s="148" t="str">
        <f>IFERROR(__xludf.DUMMYFUNCTION("""COMPUTED_VALUE"""),"[""bag_other""]")</f>
        <v>["bag_other"]</v>
      </c>
      <c r="R1173" s="148" t="str">
        <f>IFERROR(__xludf.DUMMYFUNCTION("""COMPUTED_VALUE"""),"[""bag""]")</f>
        <v>["bag"]</v>
      </c>
      <c r="S1173" s="148" t="str">
        <f>IFERROR(__xludf.DUMMYFUNCTION("""COMPUTED_VALUE"""),"{""drop"":{""typ"":""single_all"",""num"":1,""args"":[{""typ"":""item"",""id"":11111001,""num"":7,""wgt"":10},{""typ"":""item"",""id"":11111005,""num"":7,""wgt"":10},{""typ"":""single_random"",""num"":1,""args"":[{""typ"":""item"",""id"":11116107,""num"":"&amp;"2,""wgt"":100},{""typ"":""empty"",""wgt"":100}]},{""typ"":""single_random"",""num"":1,""args"":[{""typ"":""item"",""id"":11116303,""num"":1,""wgt"":230},{""typ"":""empty"",""wgt"":100}]}]}}")</f>
        <v>{"drop":{"typ":"single_all","num":1,"args":[{"typ":"item","id":11111001,"num":7,"wgt":10},{"typ":"item","id":11111005,"num":7,"wgt":10},{"typ":"single_random","num":1,"args":[{"typ":"item","id":11116107,"num":2,"wgt":100},{"typ":"empty","wgt":100}]},{"typ":"single_random","num":1,"args":[{"typ":"item","id":11116303,"num":1,"wgt":230},{"typ":"empty","wgt":100}]}]}}</v>
      </c>
      <c r="T1173" s="148">
        <f>IFERROR(__xludf.DUMMYFUNCTION("""COMPUTED_VALUE"""),-1.0)</f>
        <v>-1</v>
      </c>
      <c r="U1173" s="148">
        <f>IFERROR(__xludf.DUMMYFUNCTION("""COMPUTED_VALUE"""),0.0)</f>
        <v>0</v>
      </c>
      <c r="V1173" s="148" t="str">
        <f>IFERROR(__xludf.DUMMYFUNCTION("""COMPUTED_VALUE"""),"[{""typ"":""item"",""id"":11116107,""val"":2},{""typ"":""item"",""id"":11116303,""val"":1},{""typ"":""item"",""id"":11111001,""val"":7},{""typ"":""item"",""id"":11111005,""val"":7}]")</f>
        <v>[{"typ":"item","id":11116107,"val":2},{"typ":"item","id":11116303,"val":1},{"typ":"item","id":11111001,"val":7},{"typ":"item","id":11111005,"val":7}]</v>
      </c>
      <c r="W1173" s="148">
        <f>IFERROR(__xludf.DUMMYFUNCTION("""COMPUTED_VALUE"""),1.174E7)</f>
        <v>11740000</v>
      </c>
      <c r="X1173" s="148">
        <f>IFERROR(__xludf.DUMMYFUNCTION("""COMPUTED_VALUE"""),0.0)</f>
        <v>0</v>
      </c>
      <c r="Y1173" s="148">
        <f>IFERROR(__xludf.DUMMYFUNCTION("""COMPUTED_VALUE"""),0.0)</f>
        <v>0</v>
      </c>
      <c r="Z1173" s="148"/>
    </row>
    <row r="1174">
      <c r="A1174" s="148">
        <f>IFERROR(__xludf.DUMMYFUNCTION("""COMPUTED_VALUE"""),1.111435E7)</f>
        <v>11114350</v>
      </c>
      <c r="B1174" s="148" t="str">
        <f>IFERROR(__xludf.DUMMYFUNCTION("""COMPUTED_VALUE"""),"稀有采集英雄自选宝箱")</f>
        <v>稀有采集英雄自选宝箱</v>
      </c>
      <c r="C1174" s="148"/>
      <c r="D1174" s="148" t="str">
        <f>IFERROR(__xludf.DUMMYFUNCTION("""COMPUTED_VALUE"""),"item_select_box")</f>
        <v>item_select_box</v>
      </c>
      <c r="E1174" s="148">
        <f>IFERROR(__xludf.DUMMYFUNCTION("""COMPUTED_VALUE"""),19.0)</f>
        <v>19</v>
      </c>
      <c r="F1174" s="148">
        <f>IFERROR(__xludf.DUMMYFUNCTION("""COMPUTED_VALUE"""),403313.0)</f>
        <v>403313</v>
      </c>
      <c r="G1174" s="148">
        <f>IFERROR(__xludf.DUMMYFUNCTION("""COMPUTED_VALUE"""),1.5112492E7)</f>
        <v>15112492</v>
      </c>
      <c r="H1174" s="148">
        <f>IFERROR(__xludf.DUMMYFUNCTION("""COMPUTED_VALUE"""),1.5112562E7)</f>
        <v>15112562</v>
      </c>
      <c r="I1174" s="148" t="str">
        <f>IFERROR(__xludf.DUMMYFUNCTION("""COMPUTED_VALUE"""),"{}")</f>
        <v>{}</v>
      </c>
      <c r="J1174" s="148" t="str">
        <f>IFERROR(__xludf.DUMMYFUNCTION("""COMPUTED_VALUE"""),"{""typ"":""lc"",""txt"":""LC_ITEM_hero_optional_box_name1""}")</f>
        <v>{"typ":"lc","txt":"LC_ITEM_hero_optional_box_name1"}</v>
      </c>
      <c r="K1174" s="148" t="str">
        <f>IFERROR(__xludf.DUMMYFUNCTION("""COMPUTED_VALUE"""),"{""typ"":""lc"",""txt"":""LC_ITEM_hero_optional_box_desc"",""args"":[{""typ"":""int"",""val"":1},{""typ"":""int"",""val"":1}]}")</f>
        <v>{"typ":"lc","txt":"LC_ITEM_hero_optional_box_desc","args":[{"typ":"int","val":1},{"typ":"int","val":1}]}</v>
      </c>
      <c r="L1174" s="148" t="str">
        <f>IFERROR(__xludf.DUMMYFUNCTION("""COMPUTED_VALUE"""),"{""typ"":""lc"",""txt"":""LC_ITEM_chest_from_atk_npc_usedtip""}")</f>
        <v>{"typ":"lc","txt":"LC_ITEM_chest_from_atk_npc_usedtip"}</v>
      </c>
      <c r="M1174" s="148">
        <f>IFERROR(__xludf.DUMMYFUNCTION("""COMPUTED_VALUE"""),100.0)</f>
        <v>100</v>
      </c>
      <c r="N1174" s="148">
        <f>IFERROR(__xludf.DUMMYFUNCTION("""COMPUTED_VALUE"""),999999.0)</f>
        <v>999999</v>
      </c>
      <c r="O1174" s="148">
        <f>IFERROR(__xludf.DUMMYFUNCTION("""COMPUTED_VALUE"""),99999.0)</f>
        <v>99999</v>
      </c>
      <c r="P1174" s="148">
        <f>IFERROR(__xludf.DUMMYFUNCTION("""COMPUTED_VALUE"""),99999.0)</f>
        <v>99999</v>
      </c>
      <c r="Q1174" s="148" t="str">
        <f>IFERROR(__xludf.DUMMYFUNCTION("""COMPUTED_VALUE"""),"[""bag_other""]")</f>
        <v>["bag_other"]</v>
      </c>
      <c r="R1174" s="148" t="str">
        <f>IFERROR(__xludf.DUMMYFUNCTION("""COMPUTED_VALUE"""),"[""bag""]")</f>
        <v>["bag"]</v>
      </c>
      <c r="S1174" s="148" t="str">
        <f>IFERROR(__xludf.DUMMYFUNCTION("""COMPUTED_VALUE"""),"{""select_box"":[{""typ"":""item"",""id"":11116201,""val"":1},{""typ"":""item"",""id"":11116202,""val"":1}]}")</f>
        <v>{"select_box":[{"typ":"item","id":11116201,"val":1},{"typ":"item","id":11116202,"val":1}]}</v>
      </c>
      <c r="T1174" s="148">
        <f>IFERROR(__xludf.DUMMYFUNCTION("""COMPUTED_VALUE"""),-1.0)</f>
        <v>-1</v>
      </c>
      <c r="U1174" s="148">
        <f>IFERROR(__xludf.DUMMYFUNCTION("""COMPUTED_VALUE"""),0.0)</f>
        <v>0</v>
      </c>
      <c r="V1174" s="148" t="str">
        <f>IFERROR(__xludf.DUMMYFUNCTION("""COMPUTED_VALUE"""),"[]")</f>
        <v>[]</v>
      </c>
      <c r="W1174" s="148">
        <f>IFERROR(__xludf.DUMMYFUNCTION("""COMPUTED_VALUE"""),1.174E7)</f>
        <v>11740000</v>
      </c>
      <c r="X1174" s="148">
        <f>IFERROR(__xludf.DUMMYFUNCTION("""COMPUTED_VALUE"""),0.0)</f>
        <v>0</v>
      </c>
      <c r="Y1174" s="148">
        <f>IFERROR(__xludf.DUMMYFUNCTION("""COMPUTED_VALUE"""),0.0)</f>
        <v>0</v>
      </c>
      <c r="Z1174" s="148"/>
    </row>
    <row r="1175">
      <c r="A1175" s="148">
        <f>IFERROR(__xludf.DUMMYFUNCTION("""COMPUTED_VALUE"""),1.1114351E7)</f>
        <v>11114351</v>
      </c>
      <c r="B1175" s="148" t="str">
        <f>IFERROR(__xludf.DUMMYFUNCTION("""COMPUTED_VALUE"""),"史诗采集英雄自选宝箱")</f>
        <v>史诗采集英雄自选宝箱</v>
      </c>
      <c r="C1175" s="148"/>
      <c r="D1175" s="148" t="str">
        <f>IFERROR(__xludf.DUMMYFUNCTION("""COMPUTED_VALUE"""),"item_select_box")</f>
        <v>item_select_box</v>
      </c>
      <c r="E1175" s="148">
        <f>IFERROR(__xludf.DUMMYFUNCTION("""COMPUTED_VALUE"""),19.0)</f>
        <v>19</v>
      </c>
      <c r="F1175" s="148">
        <f>IFERROR(__xludf.DUMMYFUNCTION("""COMPUTED_VALUE"""),403212.0)</f>
        <v>403212</v>
      </c>
      <c r="G1175" s="148">
        <f>IFERROR(__xludf.DUMMYFUNCTION("""COMPUTED_VALUE"""),1.5112492E7)</f>
        <v>15112492</v>
      </c>
      <c r="H1175" s="148">
        <f>IFERROR(__xludf.DUMMYFUNCTION("""COMPUTED_VALUE"""),1.5112563E7)</f>
        <v>15112563</v>
      </c>
      <c r="I1175" s="148" t="str">
        <f>IFERROR(__xludf.DUMMYFUNCTION("""COMPUTED_VALUE"""),"{}")</f>
        <v>{}</v>
      </c>
      <c r="J1175" s="148" t="str">
        <f>IFERROR(__xludf.DUMMYFUNCTION("""COMPUTED_VALUE"""),"{""typ"":""lc"",""txt"":""LC_ITEM_hero_optional_box_name2""}")</f>
        <v>{"typ":"lc","txt":"LC_ITEM_hero_optional_box_name2"}</v>
      </c>
      <c r="K1175" s="148" t="str">
        <f>IFERROR(__xludf.DUMMYFUNCTION("""COMPUTED_VALUE"""),"{""typ"":""lc"",""txt"":""LC_ITEM_hero_optional_box_desc""}")</f>
        <v>{"typ":"lc","txt":"LC_ITEM_hero_optional_box_desc"}</v>
      </c>
      <c r="L1175" s="148" t="str">
        <f>IFERROR(__xludf.DUMMYFUNCTION("""COMPUTED_VALUE"""),"{""typ"":""lc"",""txt"":""LC_ITEM_chest_from_atk_npc_usedtip""}")</f>
        <v>{"typ":"lc","txt":"LC_ITEM_chest_from_atk_npc_usedtip"}</v>
      </c>
      <c r="M1175" s="148">
        <f>IFERROR(__xludf.DUMMYFUNCTION("""COMPUTED_VALUE"""),300.0)</f>
        <v>300</v>
      </c>
      <c r="N1175" s="148">
        <f>IFERROR(__xludf.DUMMYFUNCTION("""COMPUTED_VALUE"""),999999.0)</f>
        <v>999999</v>
      </c>
      <c r="O1175" s="148">
        <f>IFERROR(__xludf.DUMMYFUNCTION("""COMPUTED_VALUE"""),99999.0)</f>
        <v>99999</v>
      </c>
      <c r="P1175" s="148">
        <f>IFERROR(__xludf.DUMMYFUNCTION("""COMPUTED_VALUE"""),99999.0)</f>
        <v>99999</v>
      </c>
      <c r="Q1175" s="148" t="str">
        <f>IFERROR(__xludf.DUMMYFUNCTION("""COMPUTED_VALUE"""),"[""bag_other""]")</f>
        <v>["bag_other"]</v>
      </c>
      <c r="R1175" s="148" t="str">
        <f>IFERROR(__xludf.DUMMYFUNCTION("""COMPUTED_VALUE"""),"[""bag""]")</f>
        <v>["bag"]</v>
      </c>
      <c r="S1175" s="148" t="str">
        <f>IFERROR(__xludf.DUMMYFUNCTION("""COMPUTED_VALUE"""),"{""select_box"":[{""typ"":""item"",""id"":11116224,""val"":1},{""typ"":""item"",""id"":11116226,""val"":1}]}")</f>
        <v>{"select_box":[{"typ":"item","id":11116224,"val":1},{"typ":"item","id":11116226,"val":1}]}</v>
      </c>
      <c r="T1175" s="148">
        <f>IFERROR(__xludf.DUMMYFUNCTION("""COMPUTED_VALUE"""),-1.0)</f>
        <v>-1</v>
      </c>
      <c r="U1175" s="148">
        <f>IFERROR(__xludf.DUMMYFUNCTION("""COMPUTED_VALUE"""),0.0)</f>
        <v>0</v>
      </c>
      <c r="V1175" s="148" t="str">
        <f>IFERROR(__xludf.DUMMYFUNCTION("""COMPUTED_VALUE"""),"[]")</f>
        <v>[]</v>
      </c>
      <c r="W1175" s="148">
        <f>IFERROR(__xludf.DUMMYFUNCTION("""COMPUTED_VALUE"""),1.174E7)</f>
        <v>11740000</v>
      </c>
      <c r="X1175" s="148">
        <f>IFERROR(__xludf.DUMMYFUNCTION("""COMPUTED_VALUE"""),0.0)</f>
        <v>0</v>
      </c>
      <c r="Y1175" s="148">
        <f>IFERROR(__xludf.DUMMYFUNCTION("""COMPUTED_VALUE"""),0.0)</f>
        <v>0</v>
      </c>
      <c r="Z1175" s="148"/>
    </row>
    <row r="1176">
      <c r="A1176" s="148">
        <f>IFERROR(__xludf.DUMMYFUNCTION("""COMPUTED_VALUE"""),1.1114352E7)</f>
        <v>11114352</v>
      </c>
      <c r="B1176" s="148" t="str">
        <f>IFERROR(__xludf.DUMMYFUNCTION("""COMPUTED_VALUE"""),"传说采集英雄自选宝箱")</f>
        <v>传说采集英雄自选宝箱</v>
      </c>
      <c r="C1176" s="148"/>
      <c r="D1176" s="148" t="str">
        <f>IFERROR(__xludf.DUMMYFUNCTION("""COMPUTED_VALUE"""),"item_select_box")</f>
        <v>item_select_box</v>
      </c>
      <c r="E1176" s="148">
        <f>IFERROR(__xludf.DUMMYFUNCTION("""COMPUTED_VALUE"""),19.0)</f>
        <v>19</v>
      </c>
      <c r="F1176" s="148">
        <f>IFERROR(__xludf.DUMMYFUNCTION("""COMPUTED_VALUE"""),403111.0)</f>
        <v>403111</v>
      </c>
      <c r="G1176" s="148">
        <f>IFERROR(__xludf.DUMMYFUNCTION("""COMPUTED_VALUE"""),1.5112492E7)</f>
        <v>15112492</v>
      </c>
      <c r="H1176" s="148">
        <f>IFERROR(__xludf.DUMMYFUNCTION("""COMPUTED_VALUE"""),1.5112564E7)</f>
        <v>15112564</v>
      </c>
      <c r="I1176" s="148" t="str">
        <f>IFERROR(__xludf.DUMMYFUNCTION("""COMPUTED_VALUE"""),"{}")</f>
        <v>{}</v>
      </c>
      <c r="J1176" s="148" t="str">
        <f>IFERROR(__xludf.DUMMYFUNCTION("""COMPUTED_VALUE"""),"{""typ"":""lc"",""txt"":""LC_ITEM_hero_optional_box_name3""}")</f>
        <v>{"typ":"lc","txt":"LC_ITEM_hero_optional_box_name3"}</v>
      </c>
      <c r="K1176" s="148" t="str">
        <f>IFERROR(__xludf.DUMMYFUNCTION("""COMPUTED_VALUE"""),"{""typ"":""lc"",""txt"":""LC_ITEM_hero_optional_box_desc"",""args"":[{""typ"":""int"",""val"":1},{""typ"":""int"",""val"":1}]}")</f>
        <v>{"typ":"lc","txt":"LC_ITEM_hero_optional_box_desc","args":[{"typ":"int","val":1},{"typ":"int","val":1}]}</v>
      </c>
      <c r="L1176" s="148" t="str">
        <f>IFERROR(__xludf.DUMMYFUNCTION("""COMPUTED_VALUE"""),"{""typ"":""lc"",""txt"":""LC_ITEM_chest_from_atk_npc_usedtip""}")</f>
        <v>{"typ":"lc","txt":"LC_ITEM_chest_from_atk_npc_usedtip"}</v>
      </c>
      <c r="M1176" s="148">
        <f>IFERROR(__xludf.DUMMYFUNCTION("""COMPUTED_VALUE"""),1500.0)</f>
        <v>1500</v>
      </c>
      <c r="N1176" s="148">
        <f>IFERROR(__xludf.DUMMYFUNCTION("""COMPUTED_VALUE"""),999999.0)</f>
        <v>999999</v>
      </c>
      <c r="O1176" s="148">
        <f>IFERROR(__xludf.DUMMYFUNCTION("""COMPUTED_VALUE"""),99999.0)</f>
        <v>99999</v>
      </c>
      <c r="P1176" s="148">
        <f>IFERROR(__xludf.DUMMYFUNCTION("""COMPUTED_VALUE"""),99999.0)</f>
        <v>99999</v>
      </c>
      <c r="Q1176" s="148" t="str">
        <f>IFERROR(__xludf.DUMMYFUNCTION("""COMPUTED_VALUE"""),"[""bag_other""]")</f>
        <v>["bag_other"]</v>
      </c>
      <c r="R1176" s="148" t="str">
        <f>IFERROR(__xludf.DUMMYFUNCTION("""COMPUTED_VALUE"""),"[""bag""]")</f>
        <v>["bag"]</v>
      </c>
      <c r="S1176" s="148" t="str">
        <f>IFERROR(__xludf.DUMMYFUNCTION("""COMPUTED_VALUE"""),"{""select_box"":[{""typ"":""item"",""id"":11116211,""val"":1},{""typ"":""item"",""id"":11116220,""val"":1}]}")</f>
        <v>{"select_box":[{"typ":"item","id":11116211,"val":1},{"typ":"item","id":11116220,"val":1}]}</v>
      </c>
      <c r="T1176" s="148">
        <f>IFERROR(__xludf.DUMMYFUNCTION("""COMPUTED_VALUE"""),-1.0)</f>
        <v>-1</v>
      </c>
      <c r="U1176" s="148">
        <f>IFERROR(__xludf.DUMMYFUNCTION("""COMPUTED_VALUE"""),0.0)</f>
        <v>0</v>
      </c>
      <c r="V1176" s="148" t="str">
        <f>IFERROR(__xludf.DUMMYFUNCTION("""COMPUTED_VALUE"""),"[]")</f>
        <v>[]</v>
      </c>
      <c r="W1176" s="148">
        <f>IFERROR(__xludf.DUMMYFUNCTION("""COMPUTED_VALUE"""),1.174E7)</f>
        <v>11740000</v>
      </c>
      <c r="X1176" s="148">
        <f>IFERROR(__xludf.DUMMYFUNCTION("""COMPUTED_VALUE"""),0.0)</f>
        <v>0</v>
      </c>
      <c r="Y1176" s="148">
        <f>IFERROR(__xludf.DUMMYFUNCTION("""COMPUTED_VALUE"""),0.0)</f>
        <v>0</v>
      </c>
      <c r="Z1176" s="148"/>
    </row>
    <row r="1177">
      <c r="A1177" s="148">
        <f>IFERROR(__xludf.DUMMYFUNCTION("""COMPUTED_VALUE"""),1.1114353E7)</f>
        <v>11114353</v>
      </c>
      <c r="B1177" s="148" t="str">
        <f>IFERROR(__xludf.DUMMYFUNCTION("""COMPUTED_VALUE"""),"打野经验宝箱")</f>
        <v>打野经验宝箱</v>
      </c>
      <c r="C1177" s="148"/>
      <c r="D1177" s="148" t="str">
        <f>IFERROR(__xludf.DUMMYFUNCTION("""COMPUTED_VALUE"""),"item_asset")</f>
        <v>item_asset</v>
      </c>
      <c r="E1177" s="148">
        <f>IFERROR(__xludf.DUMMYFUNCTION("""COMPUTED_VALUE"""),19.0)</f>
        <v>19</v>
      </c>
      <c r="F1177" s="148">
        <f>IFERROR(__xludf.DUMMYFUNCTION("""COMPUTED_VALUE"""),101200.0)</f>
        <v>101200</v>
      </c>
      <c r="G1177" s="148">
        <f>IFERROR(__xludf.DUMMYFUNCTION("""COMPUTED_VALUE"""),1.5110347E7)</f>
        <v>15110347</v>
      </c>
      <c r="H1177" s="148">
        <f>IFERROR(__xludf.DUMMYFUNCTION("""COMPUTED_VALUE"""),1.5112561E7)</f>
        <v>15112561</v>
      </c>
      <c r="I1177" s="148" t="str">
        <f>IFERROR(__xludf.DUMMYFUNCTION("""COMPUTED_VALUE"""),"{}")</f>
        <v>{}</v>
      </c>
      <c r="J1177" s="148" t="str">
        <f>IFERROR(__xludf.DUMMYFUNCTION("""COMPUTED_VALUE"""),"{""typ"":""lc"",""txt"":""LC_ITEM_pve_heroexp_box_name""}")</f>
        <v>{"typ":"lc","txt":"LC_ITEM_pve_heroexp_box_name"}</v>
      </c>
      <c r="K1177" s="148" t="str">
        <f>IFERROR(__xludf.DUMMYFUNCTION("""COMPUTED_VALUE"""),"{""typ"":""lc"",""txt"":""LC_ITEM_pve_heroexp_box_desc""}")</f>
        <v>{"typ":"lc","txt":"LC_ITEM_pve_heroexp_box_desc"}</v>
      </c>
      <c r="L1177" s="148" t="str">
        <f>IFERROR(__xludf.DUMMYFUNCTION("""COMPUTED_VALUE"""),"{""typ"":""lc"",""txt"":""LC_ITEM_horde_elite_box_usedtip""}")</f>
        <v>{"typ":"lc","txt":"LC_ITEM_horde_elite_box_usedtip"}</v>
      </c>
      <c r="M1177" s="148">
        <f>IFERROR(__xludf.DUMMYFUNCTION("""COMPUTED_VALUE"""),20.0)</f>
        <v>20</v>
      </c>
      <c r="N1177" s="148">
        <f>IFERROR(__xludf.DUMMYFUNCTION("""COMPUTED_VALUE"""),999999.0)</f>
        <v>999999</v>
      </c>
      <c r="O1177" s="148">
        <f>IFERROR(__xludf.DUMMYFUNCTION("""COMPUTED_VALUE"""),99999.0)</f>
        <v>99999</v>
      </c>
      <c r="P1177" s="148">
        <f>IFERROR(__xludf.DUMMYFUNCTION("""COMPUTED_VALUE"""),99999.0)</f>
        <v>99999</v>
      </c>
      <c r="Q1177" s="148" t="str">
        <f>IFERROR(__xludf.DUMMYFUNCTION("""COMPUTED_VALUE"""),"[""bag_asset""]")</f>
        <v>["bag_asset"]</v>
      </c>
      <c r="R1177" s="148" t="str">
        <f>IFERROR(__xludf.DUMMYFUNCTION("""COMPUTED_VALUE"""),"[""bag""]")</f>
        <v>["bag"]</v>
      </c>
      <c r="S1177" s="148" t="str">
        <f>IFERROR(__xludf.DUMMYFUNCTION("""COMPUTED_VALUE"""),"{""drop"":{""typ"":""single_random"",""num"":1,""args"":[{""typ"":""item"",""id"":11116001,""num"":10,""wgt"":4000},{""typ"":""item"",""id"":11116002,""num"":3,""wgt"":3000},{""typ"":""item"",""id"":11116003,""num"":2,""wgt"":2000},{""typ"":""item"",""id"&amp;""":11116003,""num"":3,""wgt"":500},{""typ"":""item"",""id"":11116004,""num"":1,""wgt"":300},{""typ"":""item"",""id"":11116005,""num"":1,""wgt"":200}]}}")</f>
        <v>{"drop":{"typ":"single_random","num":1,"args":[{"typ":"item","id":11116001,"num":10,"wgt":4000},{"typ":"item","id":11116002,"num":3,"wgt":3000},{"typ":"item","id":11116003,"num":2,"wgt":2000},{"typ":"item","id":11116003,"num":3,"wgt":500},{"typ":"item","id":11116004,"num":1,"wgt":300},{"typ":"item","id":11116005,"num":1,"wgt":200}]}}</v>
      </c>
      <c r="T1177" s="148">
        <f>IFERROR(__xludf.DUMMYFUNCTION("""COMPUTED_VALUE"""),-1.0)</f>
        <v>-1</v>
      </c>
      <c r="U1177" s="148">
        <f>IFERROR(__xludf.DUMMYFUNCTION("""COMPUTED_VALUE"""),0.0)</f>
        <v>0</v>
      </c>
      <c r="V1177" s="148" t="str">
        <f>IFERROR(__xludf.DUMMYFUNCTION("""COMPUTED_VALUE"""),"[]")</f>
        <v>[]</v>
      </c>
      <c r="W1177" s="148">
        <f>IFERROR(__xludf.DUMMYFUNCTION("""COMPUTED_VALUE"""),1.174E7)</f>
        <v>11740000</v>
      </c>
      <c r="X1177" s="148">
        <f>IFERROR(__xludf.DUMMYFUNCTION("""COMPUTED_VALUE"""),0.0)</f>
        <v>0</v>
      </c>
      <c r="Y1177" s="148">
        <f>IFERROR(__xludf.DUMMYFUNCTION("""COMPUTED_VALUE"""),0.0)</f>
        <v>0</v>
      </c>
      <c r="Z1177" s="148"/>
    </row>
    <row r="1178">
      <c r="A1178" s="148">
        <f>IFERROR(__xludf.DUMMYFUNCTION("""COMPUTED_VALUE"""),1.1114401E7)</f>
        <v>11114401</v>
      </c>
      <c r="B1178" s="148" t="str">
        <f>IFERROR(__xludf.DUMMYFUNCTION("""COMPUTED_VALUE"""),"活跃任务_白")</f>
        <v>活跃任务_白</v>
      </c>
      <c r="C1178" s="148"/>
      <c r="D1178" s="148" t="str">
        <f>IFERROR(__xludf.DUMMYFUNCTION("""COMPUTED_VALUE"""),"item_union_gift_box")</f>
        <v>item_union_gift_box</v>
      </c>
      <c r="E1178" s="148">
        <f>IFERROR(__xludf.DUMMYFUNCTION("""COMPUTED_VALUE"""),16.0)</f>
        <v>16</v>
      </c>
      <c r="F1178" s="148">
        <f>IFERROR(__xludf.DUMMYFUNCTION("""COMPUTED_VALUE"""),0.0)</f>
        <v>0</v>
      </c>
      <c r="G1178" s="148">
        <f>IFERROR(__xludf.DUMMYFUNCTION("""COMPUTED_VALUE"""),1.5110347E7)</f>
        <v>15110347</v>
      </c>
      <c r="H1178" s="148">
        <f>IFERROR(__xludf.DUMMYFUNCTION("""COMPUTED_VALUE"""),1.511256E7)</f>
        <v>15112560</v>
      </c>
      <c r="I1178" s="148" t="str">
        <f>IFERROR(__xludf.DUMMYFUNCTION("""COMPUTED_VALUE"""),"{}")</f>
        <v>{}</v>
      </c>
      <c r="J1178" s="148" t="str">
        <f>IFERROR(__xludf.DUMMYFUNCTION("""COMPUTED_VALUE"""),"{""typ"":""lc"",""txt"":""LC_ITEM_item_alliance_gift_daily_task_1_name""}")</f>
        <v>{"typ":"lc","txt":"LC_ITEM_item_alliance_gift_daily_task_1_name"}</v>
      </c>
      <c r="K1178" s="148" t="str">
        <f>IFERROR(__xludf.DUMMYFUNCTION("""COMPUTED_VALUE"""),"{""typ"":""lc"",""txt"":""LC_ITEM_item_alliance_gift_daily_task_1_desc""}")</f>
        <v>{"typ":"lc","txt":"LC_ITEM_item_alliance_gift_daily_task_1_desc"}</v>
      </c>
      <c r="L1178" s="148" t="str">
        <f>IFERROR(__xludf.DUMMYFUNCTION("""COMPUTED_VALUE"""),"{}")</f>
        <v>{}</v>
      </c>
      <c r="M1178" s="148">
        <f>IFERROR(__xludf.DUMMYFUNCTION("""COMPUTED_VALUE"""),50.0)</f>
        <v>50</v>
      </c>
      <c r="N1178" s="148">
        <f>IFERROR(__xludf.DUMMYFUNCTION("""COMPUTED_VALUE"""),999999.0)</f>
        <v>999999</v>
      </c>
      <c r="O1178" s="148">
        <f>IFERROR(__xludf.DUMMYFUNCTION("""COMPUTED_VALUE"""),99999.0)</f>
        <v>99999</v>
      </c>
      <c r="P1178" s="148">
        <f>IFERROR(__xludf.DUMMYFUNCTION("""COMPUTED_VALUE"""),9999.0)</f>
        <v>9999</v>
      </c>
      <c r="Q1178" s="148" t="str">
        <f>IFERROR(__xludf.DUMMYFUNCTION("""COMPUTED_VALUE"""),"[]")</f>
        <v>[]</v>
      </c>
      <c r="R1178" s="148" t="str">
        <f>IFERROR(__xludf.DUMMYFUNCTION("""COMPUTED_VALUE"""),"[]")</f>
        <v>[]</v>
      </c>
      <c r="S1178" s="148" t="str">
        <f>IFERROR(__xludf.DUMMYFUNCTION("""COMPUTED_VALUE"""),"{""drop"":{""typ"":""single_all"",""num"":1,""args"":[{""typ"":""single_all"",""num"":1,""args"":[{""typ"":""rss"",""id"":11141022,""num"":40,""wgt"":30}]},{""typ"":""single_random"",""num"":1,""args"":[{""typ"":""item"",""id"":11111017,""num"":1,""wgt"":"&amp;"300},{""typ"":""item"",""id"":11111018,""num"":1,""wgt"":300},{""typ"":""item"",""id"":11111013,""num"":1,""wgt"":100},{""typ"":""item"",""id"":11111101,""num"":1,""wgt"":200},{""typ"":""item"",""id"":11111102,""num"":1,""wgt"":100}]}]}}")</f>
        <v>{"drop":{"typ":"single_all","num":1,"args":[{"typ":"single_all","num":1,"args":[{"typ":"rss","id":11141022,"num":40,"wgt":30}]},{"typ":"single_random","num":1,"args":[{"typ":"item","id":11111017,"num":1,"wgt":300},{"typ":"item","id":11111018,"num":1,"wgt":300},{"typ":"item","id":11111013,"num":1,"wgt":100},{"typ":"item","id":11111101,"num":1,"wgt":200},{"typ":"item","id":11111102,"num":1,"wgt":100}]}]}}</v>
      </c>
      <c r="T1178" s="148">
        <f>IFERROR(__xludf.DUMMYFUNCTION("""COMPUTED_VALUE"""),-1.0)</f>
        <v>-1</v>
      </c>
      <c r="U1178" s="148">
        <f>IFERROR(__xludf.DUMMYFUNCTION("""COMPUTED_VALUE"""),0.0)</f>
        <v>0</v>
      </c>
      <c r="V1178" s="148" t="str">
        <f>IFERROR(__xludf.DUMMYFUNCTION("""COMPUTED_VALUE"""),"[]")</f>
        <v>[]</v>
      </c>
      <c r="W1178" s="148">
        <f>IFERROR(__xludf.DUMMYFUNCTION("""COMPUTED_VALUE"""),1.174E7)</f>
        <v>11740000</v>
      </c>
      <c r="X1178" s="148">
        <f>IFERROR(__xludf.DUMMYFUNCTION("""COMPUTED_VALUE"""),0.0)</f>
        <v>0</v>
      </c>
      <c r="Y1178" s="148">
        <f>IFERROR(__xludf.DUMMYFUNCTION("""COMPUTED_VALUE"""),0.0)</f>
        <v>0</v>
      </c>
      <c r="Z1178" s="148"/>
    </row>
    <row r="1179">
      <c r="A1179" s="148">
        <f>IFERROR(__xludf.DUMMYFUNCTION("""COMPUTED_VALUE"""),1.1114402E7)</f>
        <v>11114402</v>
      </c>
      <c r="B1179" s="148" t="str">
        <f>IFERROR(__xludf.DUMMYFUNCTION("""COMPUTED_VALUE"""),"活跃任务_绿")</f>
        <v>活跃任务_绿</v>
      </c>
      <c r="C1179" s="148"/>
      <c r="D1179" s="148" t="str">
        <f>IFERROR(__xludf.DUMMYFUNCTION("""COMPUTED_VALUE"""),"item_union_gift_box")</f>
        <v>item_union_gift_box</v>
      </c>
      <c r="E1179" s="148">
        <f>IFERROR(__xludf.DUMMYFUNCTION("""COMPUTED_VALUE"""),16.0)</f>
        <v>16</v>
      </c>
      <c r="F1179" s="148">
        <f>IFERROR(__xludf.DUMMYFUNCTION("""COMPUTED_VALUE"""),0.0)</f>
        <v>0</v>
      </c>
      <c r="G1179" s="148">
        <f>IFERROR(__xludf.DUMMYFUNCTION("""COMPUTED_VALUE"""),1.5110348E7)</f>
        <v>15110348</v>
      </c>
      <c r="H1179" s="148">
        <f>IFERROR(__xludf.DUMMYFUNCTION("""COMPUTED_VALUE"""),1.5112561E7)</f>
        <v>15112561</v>
      </c>
      <c r="I1179" s="148" t="str">
        <f>IFERROR(__xludf.DUMMYFUNCTION("""COMPUTED_VALUE"""),"{}")</f>
        <v>{}</v>
      </c>
      <c r="J1179" s="148" t="str">
        <f>IFERROR(__xludf.DUMMYFUNCTION("""COMPUTED_VALUE"""),"{""typ"":""lc"",""txt"":""LC_ITEM_item_alliance_gift_daily_task_2_name""}")</f>
        <v>{"typ":"lc","txt":"LC_ITEM_item_alliance_gift_daily_task_2_name"}</v>
      </c>
      <c r="K1179" s="148" t="str">
        <f>IFERROR(__xludf.DUMMYFUNCTION("""COMPUTED_VALUE"""),"{""typ"":""lc"",""txt"":""LC_ITEM_item_alliance_gift_daily_task_2_desc""}")</f>
        <v>{"typ":"lc","txt":"LC_ITEM_item_alliance_gift_daily_task_2_desc"}</v>
      </c>
      <c r="L1179" s="148" t="str">
        <f>IFERROR(__xludf.DUMMYFUNCTION("""COMPUTED_VALUE"""),"{}")</f>
        <v>{}</v>
      </c>
      <c r="M1179" s="148">
        <f>IFERROR(__xludf.DUMMYFUNCTION("""COMPUTED_VALUE"""),66.0)</f>
        <v>66</v>
      </c>
      <c r="N1179" s="148">
        <f>IFERROR(__xludf.DUMMYFUNCTION("""COMPUTED_VALUE"""),999999.0)</f>
        <v>999999</v>
      </c>
      <c r="O1179" s="148">
        <f>IFERROR(__xludf.DUMMYFUNCTION("""COMPUTED_VALUE"""),99999.0)</f>
        <v>99999</v>
      </c>
      <c r="P1179" s="148">
        <f>IFERROR(__xludf.DUMMYFUNCTION("""COMPUTED_VALUE"""),1.0)</f>
        <v>1</v>
      </c>
      <c r="Q1179" s="148" t="str">
        <f>IFERROR(__xludf.DUMMYFUNCTION("""COMPUTED_VALUE"""),"[]")</f>
        <v>[]</v>
      </c>
      <c r="R1179" s="148" t="str">
        <f>IFERROR(__xludf.DUMMYFUNCTION("""COMPUTED_VALUE"""),"[]")</f>
        <v>[]</v>
      </c>
      <c r="S1179" s="148" t="str">
        <f>IFERROR(__xludf.DUMMYFUNCTION("""COMPUTED_VALUE"""),"{""drop"":{""typ"":""single_all"",""num"":1,""args"":[{""typ"":""single_all"",""num"":1,""args"":[{""typ"":""rss"",""id"":11141022,""num"":40,""wgt"":30}]},{""typ"":""single_random"",""num"":1,""args"":[{""typ"":""item"",""id"":11111017,""num"":2,""wgt"":"&amp;"270},{""typ"":""item"",""id"":11111018,""num"":2,""wgt"":270},{""typ"":""item"",""id"":11111013,""num"":2,""wgt"":120},{""typ"":""item"",""id"":11111101,""num"":2,""wgt"":220},{""typ"":""item"",""id"":11111102,""num"":1,""wgt"":120}]}]}}")</f>
        <v>{"drop":{"typ":"single_all","num":1,"args":[{"typ":"single_all","num":1,"args":[{"typ":"rss","id":11141022,"num":40,"wgt":30}]},{"typ":"single_random","num":1,"args":[{"typ":"item","id":11111017,"num":2,"wgt":270},{"typ":"item","id":11111018,"num":2,"wgt":270},{"typ":"item","id":11111013,"num":2,"wgt":120},{"typ":"item","id":11111101,"num":2,"wgt":220},{"typ":"item","id":11111102,"num":1,"wgt":120}]}]}}</v>
      </c>
      <c r="T1179" s="148">
        <f>IFERROR(__xludf.DUMMYFUNCTION("""COMPUTED_VALUE"""),-1.0)</f>
        <v>-1</v>
      </c>
      <c r="U1179" s="148">
        <f>IFERROR(__xludf.DUMMYFUNCTION("""COMPUTED_VALUE"""),0.0)</f>
        <v>0</v>
      </c>
      <c r="V1179" s="148" t="str">
        <f>IFERROR(__xludf.DUMMYFUNCTION("""COMPUTED_VALUE"""),"[]")</f>
        <v>[]</v>
      </c>
      <c r="W1179" s="148">
        <f>IFERROR(__xludf.DUMMYFUNCTION("""COMPUTED_VALUE"""),1.174E7)</f>
        <v>11740000</v>
      </c>
      <c r="X1179" s="148">
        <f>IFERROR(__xludf.DUMMYFUNCTION("""COMPUTED_VALUE"""),0.0)</f>
        <v>0</v>
      </c>
      <c r="Y1179" s="148">
        <f>IFERROR(__xludf.DUMMYFUNCTION("""COMPUTED_VALUE"""),0.0)</f>
        <v>0</v>
      </c>
      <c r="Z1179" s="148"/>
    </row>
    <row r="1180">
      <c r="A1180" s="148">
        <f>IFERROR(__xludf.DUMMYFUNCTION("""COMPUTED_VALUE"""),1.1114403E7)</f>
        <v>11114403</v>
      </c>
      <c r="B1180" s="148" t="str">
        <f>IFERROR(__xludf.DUMMYFUNCTION("""COMPUTED_VALUE"""),"活跃任务_蓝")</f>
        <v>活跃任务_蓝</v>
      </c>
      <c r="C1180" s="148"/>
      <c r="D1180" s="148" t="str">
        <f>IFERROR(__xludf.DUMMYFUNCTION("""COMPUTED_VALUE"""),"item_union_gift_box")</f>
        <v>item_union_gift_box</v>
      </c>
      <c r="E1180" s="148">
        <f>IFERROR(__xludf.DUMMYFUNCTION("""COMPUTED_VALUE"""),16.0)</f>
        <v>16</v>
      </c>
      <c r="F1180" s="148">
        <f>IFERROR(__xludf.DUMMYFUNCTION("""COMPUTED_VALUE"""),0.0)</f>
        <v>0</v>
      </c>
      <c r="G1180" s="148">
        <f>IFERROR(__xludf.DUMMYFUNCTION("""COMPUTED_VALUE"""),1.5110349E7)</f>
        <v>15110349</v>
      </c>
      <c r="H1180" s="148">
        <f>IFERROR(__xludf.DUMMYFUNCTION("""COMPUTED_VALUE"""),1.5112562E7)</f>
        <v>15112562</v>
      </c>
      <c r="I1180" s="148" t="str">
        <f>IFERROR(__xludf.DUMMYFUNCTION("""COMPUTED_VALUE"""),"{}")</f>
        <v>{}</v>
      </c>
      <c r="J1180" s="148" t="str">
        <f>IFERROR(__xludf.DUMMYFUNCTION("""COMPUTED_VALUE"""),"{""typ"":""lc"",""txt"":""LC_ITEM_item_alliance_gift_daily_task_3_name""}")</f>
        <v>{"typ":"lc","txt":"LC_ITEM_item_alliance_gift_daily_task_3_name"}</v>
      </c>
      <c r="K1180" s="148" t="str">
        <f>IFERROR(__xludf.DUMMYFUNCTION("""COMPUTED_VALUE"""),"{""typ"":""lc"",""txt"":""LC_ITEM_item_alliance_gift_daily_task_3_desc""}")</f>
        <v>{"typ":"lc","txt":"LC_ITEM_item_alliance_gift_daily_task_3_desc"}</v>
      </c>
      <c r="L1180" s="148" t="str">
        <f>IFERROR(__xludf.DUMMYFUNCTION("""COMPUTED_VALUE"""),"{}")</f>
        <v>{}</v>
      </c>
      <c r="M1180" s="148">
        <f>IFERROR(__xludf.DUMMYFUNCTION("""COMPUTED_VALUE"""),66.0)</f>
        <v>66</v>
      </c>
      <c r="N1180" s="148">
        <f>IFERROR(__xludf.DUMMYFUNCTION("""COMPUTED_VALUE"""),999999.0)</f>
        <v>999999</v>
      </c>
      <c r="O1180" s="148">
        <f>IFERROR(__xludf.DUMMYFUNCTION("""COMPUTED_VALUE"""),99999.0)</f>
        <v>99999</v>
      </c>
      <c r="P1180" s="148">
        <f>IFERROR(__xludf.DUMMYFUNCTION("""COMPUTED_VALUE"""),1.0)</f>
        <v>1</v>
      </c>
      <c r="Q1180" s="148" t="str">
        <f>IFERROR(__xludf.DUMMYFUNCTION("""COMPUTED_VALUE"""),"[]")</f>
        <v>[]</v>
      </c>
      <c r="R1180" s="148" t="str">
        <f>IFERROR(__xludf.DUMMYFUNCTION("""COMPUTED_VALUE"""),"[]")</f>
        <v>[]</v>
      </c>
      <c r="S1180" s="148" t="str">
        <f>IFERROR(__xludf.DUMMYFUNCTION("""COMPUTED_VALUE"""),"{""drop"":{""typ"":""single_all"",""num"":1,""args"":[{""typ"":""single_all"",""num"":1,""args"":[{""typ"":""rss"",""id"":11141022,""num"":40,""wgt"":30}]},{""typ"":""single_random"",""num"":1,""args"":[{""typ"":""item"",""id"":11111017,""num"":3,""wgt"":"&amp;"250},{""typ"":""item"",""id"":11111018,""num"":3,""wgt"":250},{""typ"":""item"",""id"":11111013,""num"":3,""wgt"":140},{""typ"":""item"",""id"":11111101,""num"":3,""wgt"":220},{""typ"":""item"",""id"":11111102,""num"":2,""wgt"":140}]}]}}")</f>
        <v>{"drop":{"typ":"single_all","num":1,"args":[{"typ":"single_all","num":1,"args":[{"typ":"rss","id":11141022,"num":40,"wgt":30}]},{"typ":"single_random","num":1,"args":[{"typ":"item","id":11111017,"num":3,"wgt":250},{"typ":"item","id":11111018,"num":3,"wgt":250},{"typ":"item","id":11111013,"num":3,"wgt":140},{"typ":"item","id":11111101,"num":3,"wgt":220},{"typ":"item","id":11111102,"num":2,"wgt":140}]}]}}</v>
      </c>
      <c r="T1180" s="148">
        <f>IFERROR(__xludf.DUMMYFUNCTION("""COMPUTED_VALUE"""),-1.0)</f>
        <v>-1</v>
      </c>
      <c r="U1180" s="148">
        <f>IFERROR(__xludf.DUMMYFUNCTION("""COMPUTED_VALUE"""),0.0)</f>
        <v>0</v>
      </c>
      <c r="V1180" s="148" t="str">
        <f>IFERROR(__xludf.DUMMYFUNCTION("""COMPUTED_VALUE"""),"[]")</f>
        <v>[]</v>
      </c>
      <c r="W1180" s="148">
        <f>IFERROR(__xludf.DUMMYFUNCTION("""COMPUTED_VALUE"""),1.174E7)</f>
        <v>11740000</v>
      </c>
      <c r="X1180" s="148">
        <f>IFERROR(__xludf.DUMMYFUNCTION("""COMPUTED_VALUE"""),0.0)</f>
        <v>0</v>
      </c>
      <c r="Y1180" s="148">
        <f>IFERROR(__xludf.DUMMYFUNCTION("""COMPUTED_VALUE"""),0.0)</f>
        <v>0</v>
      </c>
      <c r="Z1180" s="148"/>
    </row>
    <row r="1181">
      <c r="A1181" s="148">
        <f>IFERROR(__xludf.DUMMYFUNCTION("""COMPUTED_VALUE"""),1.1114404E7)</f>
        <v>11114404</v>
      </c>
      <c r="B1181" s="148" t="str">
        <f>IFERROR(__xludf.DUMMYFUNCTION("""COMPUTED_VALUE"""),"活跃任务_紫")</f>
        <v>活跃任务_紫</v>
      </c>
      <c r="C1181" s="148"/>
      <c r="D1181" s="148" t="str">
        <f>IFERROR(__xludf.DUMMYFUNCTION("""COMPUTED_VALUE"""),"item_union_gift_box")</f>
        <v>item_union_gift_box</v>
      </c>
      <c r="E1181" s="148">
        <f>IFERROR(__xludf.DUMMYFUNCTION("""COMPUTED_VALUE"""),16.0)</f>
        <v>16</v>
      </c>
      <c r="F1181" s="148">
        <f>IFERROR(__xludf.DUMMYFUNCTION("""COMPUTED_VALUE"""),0.0)</f>
        <v>0</v>
      </c>
      <c r="G1181" s="148">
        <f>IFERROR(__xludf.DUMMYFUNCTION("""COMPUTED_VALUE"""),1.511035E7)</f>
        <v>15110350</v>
      </c>
      <c r="H1181" s="148">
        <f>IFERROR(__xludf.DUMMYFUNCTION("""COMPUTED_VALUE"""),1.5112563E7)</f>
        <v>15112563</v>
      </c>
      <c r="I1181" s="148" t="str">
        <f>IFERROR(__xludf.DUMMYFUNCTION("""COMPUTED_VALUE"""),"{}")</f>
        <v>{}</v>
      </c>
      <c r="J1181" s="148" t="str">
        <f>IFERROR(__xludf.DUMMYFUNCTION("""COMPUTED_VALUE"""),"{""typ"":""lc"",""txt"":""LC_ITEM_item_alliance_gift_daily_task_4_name""}")</f>
        <v>{"typ":"lc","txt":"LC_ITEM_item_alliance_gift_daily_task_4_name"}</v>
      </c>
      <c r="K1181" s="148" t="str">
        <f>IFERROR(__xludf.DUMMYFUNCTION("""COMPUTED_VALUE"""),"{""typ"":""lc"",""txt"":""LC_ITEM_item_alliance_gift_daily_task_4_desc""}")</f>
        <v>{"typ":"lc","txt":"LC_ITEM_item_alliance_gift_daily_task_4_desc"}</v>
      </c>
      <c r="L1181" s="148" t="str">
        <f>IFERROR(__xludf.DUMMYFUNCTION("""COMPUTED_VALUE"""),"{}")</f>
        <v>{}</v>
      </c>
      <c r="M1181" s="148">
        <f>IFERROR(__xludf.DUMMYFUNCTION("""COMPUTED_VALUE"""),66.0)</f>
        <v>66</v>
      </c>
      <c r="N1181" s="148">
        <f>IFERROR(__xludf.DUMMYFUNCTION("""COMPUTED_VALUE"""),999999.0)</f>
        <v>999999</v>
      </c>
      <c r="O1181" s="148">
        <f>IFERROR(__xludf.DUMMYFUNCTION("""COMPUTED_VALUE"""),99999.0)</f>
        <v>99999</v>
      </c>
      <c r="P1181" s="148">
        <f>IFERROR(__xludf.DUMMYFUNCTION("""COMPUTED_VALUE"""),1.0)</f>
        <v>1</v>
      </c>
      <c r="Q1181" s="148" t="str">
        <f>IFERROR(__xludf.DUMMYFUNCTION("""COMPUTED_VALUE"""),"[]")</f>
        <v>[]</v>
      </c>
      <c r="R1181" s="148" t="str">
        <f>IFERROR(__xludf.DUMMYFUNCTION("""COMPUTED_VALUE"""),"[]")</f>
        <v>[]</v>
      </c>
      <c r="S1181" s="148" t="str">
        <f>IFERROR(__xludf.DUMMYFUNCTION("""COMPUTED_VALUE"""),"{""drop"":{""typ"":""single_all"",""num"":1,""args"":[{""typ"":""single_all"",""num"":1,""args"":[{""typ"":""rss"",""id"":11141022,""num"":40,""wgt"":30}]},{""typ"":""single_random"",""num"":1,""args"":[{""typ"":""item"",""id"":11111017,""num"":4,""wgt"":"&amp;"200},{""typ"":""item"",""id"":11111018,""num"":4,""wgt"":200},{""typ"":""item"",""id"":11111013,""num"":4,""wgt"":160},{""typ"":""item"",""id"":11111101,""num"":4,""wgt"":250},{""typ"":""item"",""id"":11111102,""num"":2,""wgt"":190}]}]}}")</f>
        <v>{"drop":{"typ":"single_all","num":1,"args":[{"typ":"single_all","num":1,"args":[{"typ":"rss","id":11141022,"num":40,"wgt":30}]},{"typ":"single_random","num":1,"args":[{"typ":"item","id":11111017,"num":4,"wgt":200},{"typ":"item","id":11111018,"num":4,"wgt":200},{"typ":"item","id":11111013,"num":4,"wgt":160},{"typ":"item","id":11111101,"num":4,"wgt":250},{"typ":"item","id":11111102,"num":2,"wgt":190}]}]}}</v>
      </c>
      <c r="T1181" s="148">
        <f>IFERROR(__xludf.DUMMYFUNCTION("""COMPUTED_VALUE"""),-1.0)</f>
        <v>-1</v>
      </c>
      <c r="U1181" s="148">
        <f>IFERROR(__xludf.DUMMYFUNCTION("""COMPUTED_VALUE"""),0.0)</f>
        <v>0</v>
      </c>
      <c r="V1181" s="148" t="str">
        <f>IFERROR(__xludf.DUMMYFUNCTION("""COMPUTED_VALUE"""),"[]")</f>
        <v>[]</v>
      </c>
      <c r="W1181" s="148">
        <f>IFERROR(__xludf.DUMMYFUNCTION("""COMPUTED_VALUE"""),1.174E7)</f>
        <v>11740000</v>
      </c>
      <c r="X1181" s="148">
        <f>IFERROR(__xludf.DUMMYFUNCTION("""COMPUTED_VALUE"""),0.0)</f>
        <v>0</v>
      </c>
      <c r="Y1181" s="148">
        <f>IFERROR(__xludf.DUMMYFUNCTION("""COMPUTED_VALUE"""),0.0)</f>
        <v>0</v>
      </c>
      <c r="Z1181" s="148"/>
    </row>
    <row r="1182">
      <c r="A1182" s="148">
        <f>IFERROR(__xludf.DUMMYFUNCTION("""COMPUTED_VALUE"""),1.1114405E7)</f>
        <v>11114405</v>
      </c>
      <c r="B1182" s="148" t="str">
        <f>IFERROR(__xludf.DUMMYFUNCTION("""COMPUTED_VALUE"""),"活跃任务_橙")</f>
        <v>活跃任务_橙</v>
      </c>
      <c r="C1182" s="148"/>
      <c r="D1182" s="148" t="str">
        <f>IFERROR(__xludf.DUMMYFUNCTION("""COMPUTED_VALUE"""),"item_union_gift_box")</f>
        <v>item_union_gift_box</v>
      </c>
      <c r="E1182" s="148">
        <f>IFERROR(__xludf.DUMMYFUNCTION("""COMPUTED_VALUE"""),16.0)</f>
        <v>16</v>
      </c>
      <c r="F1182" s="148">
        <f>IFERROR(__xludf.DUMMYFUNCTION("""COMPUTED_VALUE"""),0.0)</f>
        <v>0</v>
      </c>
      <c r="G1182" s="148">
        <f>IFERROR(__xludf.DUMMYFUNCTION("""COMPUTED_VALUE"""),1.5110351E7)</f>
        <v>15110351</v>
      </c>
      <c r="H1182" s="148">
        <f>IFERROR(__xludf.DUMMYFUNCTION("""COMPUTED_VALUE"""),1.5112564E7)</f>
        <v>15112564</v>
      </c>
      <c r="I1182" s="148" t="str">
        <f>IFERROR(__xludf.DUMMYFUNCTION("""COMPUTED_VALUE"""),"{}")</f>
        <v>{}</v>
      </c>
      <c r="J1182" s="148" t="str">
        <f>IFERROR(__xludf.DUMMYFUNCTION("""COMPUTED_VALUE"""),"{""typ"":""lc"",""txt"":""LC_ITEM_item_alliance_gift_daily_task_5_name""}")</f>
        <v>{"typ":"lc","txt":"LC_ITEM_item_alliance_gift_daily_task_5_name"}</v>
      </c>
      <c r="K1182" s="148" t="str">
        <f>IFERROR(__xludf.DUMMYFUNCTION("""COMPUTED_VALUE"""),"{""typ"":""lc"",""txt"":""LC_ITEM_item_alliance_gift_daily_task_5_desc""}")</f>
        <v>{"typ":"lc","txt":"LC_ITEM_item_alliance_gift_daily_task_5_desc"}</v>
      </c>
      <c r="L1182" s="148" t="str">
        <f>IFERROR(__xludf.DUMMYFUNCTION("""COMPUTED_VALUE"""),"{}")</f>
        <v>{}</v>
      </c>
      <c r="M1182" s="148">
        <f>IFERROR(__xludf.DUMMYFUNCTION("""COMPUTED_VALUE"""),66.0)</f>
        <v>66</v>
      </c>
      <c r="N1182" s="148">
        <f>IFERROR(__xludf.DUMMYFUNCTION("""COMPUTED_VALUE"""),999999.0)</f>
        <v>999999</v>
      </c>
      <c r="O1182" s="148">
        <f>IFERROR(__xludf.DUMMYFUNCTION("""COMPUTED_VALUE"""),99999.0)</f>
        <v>99999</v>
      </c>
      <c r="P1182" s="148">
        <f>IFERROR(__xludf.DUMMYFUNCTION("""COMPUTED_VALUE"""),1.0)</f>
        <v>1</v>
      </c>
      <c r="Q1182" s="148" t="str">
        <f>IFERROR(__xludf.DUMMYFUNCTION("""COMPUTED_VALUE"""),"[]")</f>
        <v>[]</v>
      </c>
      <c r="R1182" s="148" t="str">
        <f>IFERROR(__xludf.DUMMYFUNCTION("""COMPUTED_VALUE"""),"[]")</f>
        <v>[]</v>
      </c>
      <c r="S1182" s="148" t="str">
        <f>IFERROR(__xludf.DUMMYFUNCTION("""COMPUTED_VALUE"""),"{""drop"":{""typ"":""single_all"",""num"":1,""args"":[{""typ"":""single_all"",""num"":1,""args"":[{""typ"":""rss"",""id"":11141022,""num"":40,""wgt"":30}]},{""typ"":""single_random"",""num"":1,""args"":[{""typ"":""item"",""id"":11111017,""num"":5,""wgt"":"&amp;"200},{""typ"":""item"",""id"":11111018,""num"":5,""wgt"":200},{""typ"":""item"",""id"":11111013,""num"":5,""wgt"":160},{""typ"":""item"",""id"":11111101,""num"":5,""wgt"":230},{""typ"":""item"",""id"":11111102,""num"":3,""wgt"":210}]}]}}")</f>
        <v>{"drop":{"typ":"single_all","num":1,"args":[{"typ":"single_all","num":1,"args":[{"typ":"rss","id":11141022,"num":40,"wgt":30}]},{"typ":"single_random","num":1,"args":[{"typ":"item","id":11111017,"num":5,"wgt":200},{"typ":"item","id":11111018,"num":5,"wgt":200},{"typ":"item","id":11111013,"num":5,"wgt":160},{"typ":"item","id":11111101,"num":5,"wgt":230},{"typ":"item","id":11111102,"num":3,"wgt":210}]}]}}</v>
      </c>
      <c r="T1182" s="148">
        <f>IFERROR(__xludf.DUMMYFUNCTION("""COMPUTED_VALUE"""),-1.0)</f>
        <v>-1</v>
      </c>
      <c r="U1182" s="148">
        <f>IFERROR(__xludf.DUMMYFUNCTION("""COMPUTED_VALUE"""),0.0)</f>
        <v>0</v>
      </c>
      <c r="V1182" s="148" t="str">
        <f>IFERROR(__xludf.DUMMYFUNCTION("""COMPUTED_VALUE"""),"[]")</f>
        <v>[]</v>
      </c>
      <c r="W1182" s="148">
        <f>IFERROR(__xludf.DUMMYFUNCTION("""COMPUTED_VALUE"""),1.174E7)</f>
        <v>11740000</v>
      </c>
      <c r="X1182" s="148">
        <f>IFERROR(__xludf.DUMMYFUNCTION("""COMPUTED_VALUE"""),0.0)</f>
        <v>0</v>
      </c>
      <c r="Y1182" s="148">
        <f>IFERROR(__xludf.DUMMYFUNCTION("""COMPUTED_VALUE"""),0.0)</f>
        <v>0</v>
      </c>
      <c r="Z1182" s="148"/>
    </row>
    <row r="1183">
      <c r="A1183" s="148">
        <f>IFERROR(__xludf.DUMMYFUNCTION("""COMPUTED_VALUE"""),1.1114406E7)</f>
        <v>11114406</v>
      </c>
      <c r="B1183" s="148" t="str">
        <f>IFERROR(__xludf.DUMMYFUNCTION("""COMPUTED_VALUE"""),"部落boss_白")</f>
        <v>部落boss_白</v>
      </c>
      <c r="C1183" s="148"/>
      <c r="D1183" s="148" t="str">
        <f>IFERROR(__xludf.DUMMYFUNCTION("""COMPUTED_VALUE"""),"item_union_gift_box")</f>
        <v>item_union_gift_box</v>
      </c>
      <c r="E1183" s="148">
        <f>IFERROR(__xludf.DUMMYFUNCTION("""COMPUTED_VALUE"""),16.0)</f>
        <v>16</v>
      </c>
      <c r="F1183" s="148">
        <f>IFERROR(__xludf.DUMMYFUNCTION("""COMPUTED_VALUE"""),0.0)</f>
        <v>0</v>
      </c>
      <c r="G1183" s="148">
        <f>IFERROR(__xludf.DUMMYFUNCTION("""COMPUTED_VALUE"""),1.5110347E7)</f>
        <v>15110347</v>
      </c>
      <c r="H1183" s="148">
        <f>IFERROR(__xludf.DUMMYFUNCTION("""COMPUTED_VALUE"""),1.511256E7)</f>
        <v>15112560</v>
      </c>
      <c r="I1183" s="148" t="str">
        <f>IFERROR(__xludf.DUMMYFUNCTION("""COMPUTED_VALUE"""),"{}")</f>
        <v>{}</v>
      </c>
      <c r="J1183" s="148" t="str">
        <f>IFERROR(__xludf.DUMMYFUNCTION("""COMPUTED_VALUE"""),"{""typ"":""lc"",""txt"":""LC_ITEM_item_alliance_gift_boss_1_name""}")</f>
        <v>{"typ":"lc","txt":"LC_ITEM_item_alliance_gift_boss_1_name"}</v>
      </c>
      <c r="K1183" s="148" t="str">
        <f>IFERROR(__xludf.DUMMYFUNCTION("""COMPUTED_VALUE"""),"{""typ"":""lc"",""txt"":""LC_ITEM_item_alliance_gift_boss_1_desc""}")</f>
        <v>{"typ":"lc","txt":"LC_ITEM_item_alliance_gift_boss_1_desc"}</v>
      </c>
      <c r="L1183" s="148" t="str">
        <f>IFERROR(__xludf.DUMMYFUNCTION("""COMPUTED_VALUE"""),"{}")</f>
        <v>{}</v>
      </c>
      <c r="M1183" s="148">
        <f>IFERROR(__xludf.DUMMYFUNCTION("""COMPUTED_VALUE"""),66.0)</f>
        <v>66</v>
      </c>
      <c r="N1183" s="148">
        <f>IFERROR(__xludf.DUMMYFUNCTION("""COMPUTED_VALUE"""),999999.0)</f>
        <v>999999</v>
      </c>
      <c r="O1183" s="148">
        <f>IFERROR(__xludf.DUMMYFUNCTION("""COMPUTED_VALUE"""),99999.0)</f>
        <v>99999</v>
      </c>
      <c r="P1183" s="148">
        <f>IFERROR(__xludf.DUMMYFUNCTION("""COMPUTED_VALUE"""),1.0)</f>
        <v>1</v>
      </c>
      <c r="Q1183" s="148" t="str">
        <f>IFERROR(__xludf.DUMMYFUNCTION("""COMPUTED_VALUE"""),"[]")</f>
        <v>[]</v>
      </c>
      <c r="R1183" s="148" t="str">
        <f>IFERROR(__xludf.DUMMYFUNCTION("""COMPUTED_VALUE"""),"[]")</f>
        <v>[]</v>
      </c>
      <c r="S1183" s="148" t="str">
        <f>IFERROR(__xludf.DUMMYFUNCTION("""COMPUTED_VALUE"""),"{""drop"":{""typ"":""single_all"",""num"":1,""args"":[{""typ"":""single_all"",""num"":1,""args"":[{""typ"":""rss"",""id"":11141022,""num"":40,""wgt"":30}]},{""typ"":""single_random"",""num"":1,""args"":[{""typ"":""item"",""id"":11111017,""num"":1,""wgt"":"&amp;"400},{""typ"":""item"",""id"":11111018,""num"":1,""wgt"":400},{""typ"":""item"",""id"":11111013,""num"":1,""wgt"":100},{""typ"":""item"",""id"":11111231,""num"":1,""wgt"":100}]}]}}")</f>
        <v>{"drop":{"typ":"single_all","num":1,"args":[{"typ":"single_all","num":1,"args":[{"typ":"rss","id":11141022,"num":40,"wgt":30}]},{"typ":"single_random","num":1,"args":[{"typ":"item","id":11111017,"num":1,"wgt":400},{"typ":"item","id":11111018,"num":1,"wgt":400},{"typ":"item","id":11111013,"num":1,"wgt":100},{"typ":"item","id":11111231,"num":1,"wgt":100}]}]}}</v>
      </c>
      <c r="T1183" s="148">
        <f>IFERROR(__xludf.DUMMYFUNCTION("""COMPUTED_VALUE"""),-1.0)</f>
        <v>-1</v>
      </c>
      <c r="U1183" s="148">
        <f>IFERROR(__xludf.DUMMYFUNCTION("""COMPUTED_VALUE"""),0.0)</f>
        <v>0</v>
      </c>
      <c r="V1183" s="148" t="str">
        <f>IFERROR(__xludf.DUMMYFUNCTION("""COMPUTED_VALUE"""),"[]")</f>
        <v>[]</v>
      </c>
      <c r="W1183" s="148">
        <f>IFERROR(__xludf.DUMMYFUNCTION("""COMPUTED_VALUE"""),1.174E7)</f>
        <v>11740000</v>
      </c>
      <c r="X1183" s="148">
        <f>IFERROR(__xludf.DUMMYFUNCTION("""COMPUTED_VALUE"""),0.0)</f>
        <v>0</v>
      </c>
      <c r="Y1183" s="148">
        <f>IFERROR(__xludf.DUMMYFUNCTION("""COMPUTED_VALUE"""),0.0)</f>
        <v>0</v>
      </c>
      <c r="Z1183" s="148"/>
    </row>
    <row r="1184">
      <c r="A1184" s="148">
        <f>IFERROR(__xludf.DUMMYFUNCTION("""COMPUTED_VALUE"""),1.1114407E7)</f>
        <v>11114407</v>
      </c>
      <c r="B1184" s="148" t="str">
        <f>IFERROR(__xludf.DUMMYFUNCTION("""COMPUTED_VALUE"""),"部落boss_绿")</f>
        <v>部落boss_绿</v>
      </c>
      <c r="C1184" s="148"/>
      <c r="D1184" s="148" t="str">
        <f>IFERROR(__xludf.DUMMYFUNCTION("""COMPUTED_VALUE"""),"item_union_gift_box")</f>
        <v>item_union_gift_box</v>
      </c>
      <c r="E1184" s="148">
        <f>IFERROR(__xludf.DUMMYFUNCTION("""COMPUTED_VALUE"""),16.0)</f>
        <v>16</v>
      </c>
      <c r="F1184" s="148">
        <f>IFERROR(__xludf.DUMMYFUNCTION("""COMPUTED_VALUE"""),0.0)</f>
        <v>0</v>
      </c>
      <c r="G1184" s="148">
        <f>IFERROR(__xludf.DUMMYFUNCTION("""COMPUTED_VALUE"""),1.5110348E7)</f>
        <v>15110348</v>
      </c>
      <c r="H1184" s="148">
        <f>IFERROR(__xludf.DUMMYFUNCTION("""COMPUTED_VALUE"""),1.5112561E7)</f>
        <v>15112561</v>
      </c>
      <c r="I1184" s="148" t="str">
        <f>IFERROR(__xludf.DUMMYFUNCTION("""COMPUTED_VALUE"""),"{}")</f>
        <v>{}</v>
      </c>
      <c r="J1184" s="148" t="str">
        <f>IFERROR(__xludf.DUMMYFUNCTION("""COMPUTED_VALUE"""),"{""typ"":""lc"",""txt"":""LC_ITEM_item_alliance_gift_boss_2_name""}")</f>
        <v>{"typ":"lc","txt":"LC_ITEM_item_alliance_gift_boss_2_name"}</v>
      </c>
      <c r="K1184" s="148" t="str">
        <f>IFERROR(__xludf.DUMMYFUNCTION("""COMPUTED_VALUE"""),"{""typ"":""lc"",""txt"":""LC_ITEM_item_alliance_gift_boss_2_desc""}")</f>
        <v>{"typ":"lc","txt":"LC_ITEM_item_alliance_gift_boss_2_desc"}</v>
      </c>
      <c r="L1184" s="148" t="str">
        <f>IFERROR(__xludf.DUMMYFUNCTION("""COMPUTED_VALUE"""),"{}")</f>
        <v>{}</v>
      </c>
      <c r="M1184" s="148">
        <f>IFERROR(__xludf.DUMMYFUNCTION("""COMPUTED_VALUE"""),66.0)</f>
        <v>66</v>
      </c>
      <c r="N1184" s="148">
        <f>IFERROR(__xludf.DUMMYFUNCTION("""COMPUTED_VALUE"""),999999.0)</f>
        <v>999999</v>
      </c>
      <c r="O1184" s="148">
        <f>IFERROR(__xludf.DUMMYFUNCTION("""COMPUTED_VALUE"""),99999.0)</f>
        <v>99999</v>
      </c>
      <c r="P1184" s="148">
        <f>IFERROR(__xludf.DUMMYFUNCTION("""COMPUTED_VALUE"""),1.0)</f>
        <v>1</v>
      </c>
      <c r="Q1184" s="148" t="str">
        <f>IFERROR(__xludf.DUMMYFUNCTION("""COMPUTED_VALUE"""),"[]")</f>
        <v>[]</v>
      </c>
      <c r="R1184" s="148" t="str">
        <f>IFERROR(__xludf.DUMMYFUNCTION("""COMPUTED_VALUE"""),"[]")</f>
        <v>[]</v>
      </c>
      <c r="S1184" s="148" t="str">
        <f>IFERROR(__xludf.DUMMYFUNCTION("""COMPUTED_VALUE"""),"{""drop"":{""typ"":""single_all"",""num"":1,""args"":[{""typ"":""single_all"",""num"":1,""args"":[{""typ"":""rss"",""id"":11141022,""num"":40,""wgt"":30}]},{""typ"":""single_random"",""num"":1,""args"":[{""typ"":""item"",""id"":11111017,""num"":2,""wgt"":"&amp;"370},{""typ"":""item"",""id"":11111018,""num"":2,""wgt"":370},{""typ"":""item"",""id"":11111013,""num"":2,""wgt"":140},{""typ"":""item"",""id"":11111231,""num"":1,""wgt"":100}]}]}}")</f>
        <v>{"drop":{"typ":"single_all","num":1,"args":[{"typ":"single_all","num":1,"args":[{"typ":"rss","id":11141022,"num":40,"wgt":30}]},{"typ":"single_random","num":1,"args":[{"typ":"item","id":11111017,"num":2,"wgt":370},{"typ":"item","id":11111018,"num":2,"wgt":370},{"typ":"item","id":11111013,"num":2,"wgt":140},{"typ":"item","id":11111231,"num":1,"wgt":100}]}]}}</v>
      </c>
      <c r="T1184" s="148">
        <f>IFERROR(__xludf.DUMMYFUNCTION("""COMPUTED_VALUE"""),-1.0)</f>
        <v>-1</v>
      </c>
      <c r="U1184" s="148">
        <f>IFERROR(__xludf.DUMMYFUNCTION("""COMPUTED_VALUE"""),0.0)</f>
        <v>0</v>
      </c>
      <c r="V1184" s="148" t="str">
        <f>IFERROR(__xludf.DUMMYFUNCTION("""COMPUTED_VALUE"""),"[]")</f>
        <v>[]</v>
      </c>
      <c r="W1184" s="148">
        <f>IFERROR(__xludf.DUMMYFUNCTION("""COMPUTED_VALUE"""),1.174E7)</f>
        <v>11740000</v>
      </c>
      <c r="X1184" s="148">
        <f>IFERROR(__xludf.DUMMYFUNCTION("""COMPUTED_VALUE"""),0.0)</f>
        <v>0</v>
      </c>
      <c r="Y1184" s="148">
        <f>IFERROR(__xludf.DUMMYFUNCTION("""COMPUTED_VALUE"""),0.0)</f>
        <v>0</v>
      </c>
      <c r="Z1184" s="148"/>
    </row>
    <row r="1185">
      <c r="A1185" s="148">
        <f>IFERROR(__xludf.DUMMYFUNCTION("""COMPUTED_VALUE"""),1.1114408E7)</f>
        <v>11114408</v>
      </c>
      <c r="B1185" s="148" t="str">
        <f>IFERROR(__xludf.DUMMYFUNCTION("""COMPUTED_VALUE"""),"部落boss_蓝")</f>
        <v>部落boss_蓝</v>
      </c>
      <c r="C1185" s="148"/>
      <c r="D1185" s="148" t="str">
        <f>IFERROR(__xludf.DUMMYFUNCTION("""COMPUTED_VALUE"""),"item_union_gift_box")</f>
        <v>item_union_gift_box</v>
      </c>
      <c r="E1185" s="148">
        <f>IFERROR(__xludf.DUMMYFUNCTION("""COMPUTED_VALUE"""),16.0)</f>
        <v>16</v>
      </c>
      <c r="F1185" s="148">
        <f>IFERROR(__xludf.DUMMYFUNCTION("""COMPUTED_VALUE"""),0.0)</f>
        <v>0</v>
      </c>
      <c r="G1185" s="148">
        <f>IFERROR(__xludf.DUMMYFUNCTION("""COMPUTED_VALUE"""),1.5110349E7)</f>
        <v>15110349</v>
      </c>
      <c r="H1185" s="148">
        <f>IFERROR(__xludf.DUMMYFUNCTION("""COMPUTED_VALUE"""),1.5112562E7)</f>
        <v>15112562</v>
      </c>
      <c r="I1185" s="148" t="str">
        <f>IFERROR(__xludf.DUMMYFUNCTION("""COMPUTED_VALUE"""),"{}")</f>
        <v>{}</v>
      </c>
      <c r="J1185" s="148" t="str">
        <f>IFERROR(__xludf.DUMMYFUNCTION("""COMPUTED_VALUE"""),"{""typ"":""lc"",""txt"":""LC_ITEM_item_alliance_gift_boss_3_name""}")</f>
        <v>{"typ":"lc","txt":"LC_ITEM_item_alliance_gift_boss_3_name"}</v>
      </c>
      <c r="K1185" s="148" t="str">
        <f>IFERROR(__xludf.DUMMYFUNCTION("""COMPUTED_VALUE"""),"{""typ"":""lc"",""txt"":""LC_ITEM_item_alliance_gift_boss_3_desc""}")</f>
        <v>{"typ":"lc","txt":"LC_ITEM_item_alliance_gift_boss_3_desc"}</v>
      </c>
      <c r="L1185" s="148" t="str">
        <f>IFERROR(__xludf.DUMMYFUNCTION("""COMPUTED_VALUE"""),"{}")</f>
        <v>{}</v>
      </c>
      <c r="M1185" s="148">
        <f>IFERROR(__xludf.DUMMYFUNCTION("""COMPUTED_VALUE"""),66.0)</f>
        <v>66</v>
      </c>
      <c r="N1185" s="148">
        <f>IFERROR(__xludf.DUMMYFUNCTION("""COMPUTED_VALUE"""),999999.0)</f>
        <v>999999</v>
      </c>
      <c r="O1185" s="148">
        <f>IFERROR(__xludf.DUMMYFUNCTION("""COMPUTED_VALUE"""),99999.0)</f>
        <v>99999</v>
      </c>
      <c r="P1185" s="148">
        <f>IFERROR(__xludf.DUMMYFUNCTION("""COMPUTED_VALUE"""),1.0)</f>
        <v>1</v>
      </c>
      <c r="Q1185" s="148" t="str">
        <f>IFERROR(__xludf.DUMMYFUNCTION("""COMPUTED_VALUE"""),"[]")</f>
        <v>[]</v>
      </c>
      <c r="R1185" s="148" t="str">
        <f>IFERROR(__xludf.DUMMYFUNCTION("""COMPUTED_VALUE"""),"[]")</f>
        <v>[]</v>
      </c>
      <c r="S1185" s="148" t="str">
        <f>IFERROR(__xludf.DUMMYFUNCTION("""COMPUTED_VALUE"""),"{""drop"":{""typ"":""single_all"",""num"":1,""args"":[{""typ"":""single_all"",""num"":1,""args"":[{""typ"":""rss"",""id"":11141022,""num"":40,""wgt"":30}]},{""typ"":""single_random"",""num"":1,""args"":[{""typ"":""item"",""id"":11111017,""num"":3,""wgt"":"&amp;"340},{""typ"":""item"",""id"":11111018,""num"":3,""wgt"":340},{""typ"":""item"",""id"":11111013,""num"":3,""wgt"":150},{""typ"":""item"",""id"":11111231,""num"":1,""wgt"":100}]}]}}")</f>
        <v>{"drop":{"typ":"single_all","num":1,"args":[{"typ":"single_all","num":1,"args":[{"typ":"rss","id":11141022,"num":40,"wgt":30}]},{"typ":"single_random","num":1,"args":[{"typ":"item","id":11111017,"num":3,"wgt":340},{"typ":"item","id":11111018,"num":3,"wgt":340},{"typ":"item","id":11111013,"num":3,"wgt":150},{"typ":"item","id":11111231,"num":1,"wgt":100}]}]}}</v>
      </c>
      <c r="T1185" s="148">
        <f>IFERROR(__xludf.DUMMYFUNCTION("""COMPUTED_VALUE"""),-1.0)</f>
        <v>-1</v>
      </c>
      <c r="U1185" s="148">
        <f>IFERROR(__xludf.DUMMYFUNCTION("""COMPUTED_VALUE"""),0.0)</f>
        <v>0</v>
      </c>
      <c r="V1185" s="148" t="str">
        <f>IFERROR(__xludf.DUMMYFUNCTION("""COMPUTED_VALUE"""),"[]")</f>
        <v>[]</v>
      </c>
      <c r="W1185" s="148">
        <f>IFERROR(__xludf.DUMMYFUNCTION("""COMPUTED_VALUE"""),1.174E7)</f>
        <v>11740000</v>
      </c>
      <c r="X1185" s="148">
        <f>IFERROR(__xludf.DUMMYFUNCTION("""COMPUTED_VALUE"""),0.0)</f>
        <v>0</v>
      </c>
      <c r="Y1185" s="148">
        <f>IFERROR(__xludf.DUMMYFUNCTION("""COMPUTED_VALUE"""),0.0)</f>
        <v>0</v>
      </c>
      <c r="Z1185" s="148"/>
    </row>
    <row r="1186">
      <c r="A1186" s="148">
        <f>IFERROR(__xludf.DUMMYFUNCTION("""COMPUTED_VALUE"""),1.1114409E7)</f>
        <v>11114409</v>
      </c>
      <c r="B1186" s="148" t="str">
        <f>IFERROR(__xludf.DUMMYFUNCTION("""COMPUTED_VALUE"""),"部落boss_紫")</f>
        <v>部落boss_紫</v>
      </c>
      <c r="C1186" s="148"/>
      <c r="D1186" s="148" t="str">
        <f>IFERROR(__xludf.DUMMYFUNCTION("""COMPUTED_VALUE"""),"item_union_gift_box")</f>
        <v>item_union_gift_box</v>
      </c>
      <c r="E1186" s="148">
        <f>IFERROR(__xludf.DUMMYFUNCTION("""COMPUTED_VALUE"""),16.0)</f>
        <v>16</v>
      </c>
      <c r="F1186" s="148">
        <f>IFERROR(__xludf.DUMMYFUNCTION("""COMPUTED_VALUE"""),0.0)</f>
        <v>0</v>
      </c>
      <c r="G1186" s="148">
        <f>IFERROR(__xludf.DUMMYFUNCTION("""COMPUTED_VALUE"""),1.511035E7)</f>
        <v>15110350</v>
      </c>
      <c r="H1186" s="148">
        <f>IFERROR(__xludf.DUMMYFUNCTION("""COMPUTED_VALUE"""),1.5112563E7)</f>
        <v>15112563</v>
      </c>
      <c r="I1186" s="148" t="str">
        <f>IFERROR(__xludf.DUMMYFUNCTION("""COMPUTED_VALUE"""),"{}")</f>
        <v>{}</v>
      </c>
      <c r="J1186" s="148" t="str">
        <f>IFERROR(__xludf.DUMMYFUNCTION("""COMPUTED_VALUE"""),"{""typ"":""lc"",""txt"":""LC_ITEM_item_alliance_gift_boss_4_name""}")</f>
        <v>{"typ":"lc","txt":"LC_ITEM_item_alliance_gift_boss_4_name"}</v>
      </c>
      <c r="K1186" s="148" t="str">
        <f>IFERROR(__xludf.DUMMYFUNCTION("""COMPUTED_VALUE"""),"{""typ"":""lc"",""txt"":""LC_ITEM_item_alliance_gift_boss_4_desc""}")</f>
        <v>{"typ":"lc","txt":"LC_ITEM_item_alliance_gift_boss_4_desc"}</v>
      </c>
      <c r="L1186" s="148" t="str">
        <f>IFERROR(__xludf.DUMMYFUNCTION("""COMPUTED_VALUE"""),"{}")</f>
        <v>{}</v>
      </c>
      <c r="M1186" s="148">
        <f>IFERROR(__xludf.DUMMYFUNCTION("""COMPUTED_VALUE"""),66.0)</f>
        <v>66</v>
      </c>
      <c r="N1186" s="148">
        <f>IFERROR(__xludf.DUMMYFUNCTION("""COMPUTED_VALUE"""),999999.0)</f>
        <v>999999</v>
      </c>
      <c r="O1186" s="148">
        <f>IFERROR(__xludf.DUMMYFUNCTION("""COMPUTED_VALUE"""),99999.0)</f>
        <v>99999</v>
      </c>
      <c r="P1186" s="148">
        <f>IFERROR(__xludf.DUMMYFUNCTION("""COMPUTED_VALUE"""),1.0)</f>
        <v>1</v>
      </c>
      <c r="Q1186" s="148" t="str">
        <f>IFERROR(__xludf.DUMMYFUNCTION("""COMPUTED_VALUE"""),"[]")</f>
        <v>[]</v>
      </c>
      <c r="R1186" s="148" t="str">
        <f>IFERROR(__xludf.DUMMYFUNCTION("""COMPUTED_VALUE"""),"[]")</f>
        <v>[]</v>
      </c>
      <c r="S1186" s="148" t="str">
        <f>IFERROR(__xludf.DUMMYFUNCTION("""COMPUTED_VALUE"""),"{""drop"":{""typ"":""single_all"",""num"":1,""args"":[{""typ"":""single_all"",""num"":1,""args"":[{""typ"":""rss"",""id"":11141022,""num"":40,""wgt"":30}]},{""typ"":""single_random"",""num"":1,""args"":[{""typ"":""item"",""id"":11111017,""num"":4,""wgt"":"&amp;"300},{""typ"":""item"",""id"":11111018,""num"":4,""wgt"":300},{""typ"":""item"",""id"":11111013,""num"":4,""wgt"":180},{""typ"":""item"",""id"":11111231,""num"":1,""wgt"":100}]}]}}")</f>
        <v>{"drop":{"typ":"single_all","num":1,"args":[{"typ":"single_all","num":1,"args":[{"typ":"rss","id":11141022,"num":40,"wgt":30}]},{"typ":"single_random","num":1,"args":[{"typ":"item","id":11111017,"num":4,"wgt":300},{"typ":"item","id":11111018,"num":4,"wgt":300},{"typ":"item","id":11111013,"num":4,"wgt":180},{"typ":"item","id":11111231,"num":1,"wgt":100}]}]}}</v>
      </c>
      <c r="T1186" s="148">
        <f>IFERROR(__xludf.DUMMYFUNCTION("""COMPUTED_VALUE"""),-1.0)</f>
        <v>-1</v>
      </c>
      <c r="U1186" s="148">
        <f>IFERROR(__xludf.DUMMYFUNCTION("""COMPUTED_VALUE"""),0.0)</f>
        <v>0</v>
      </c>
      <c r="V1186" s="148" t="str">
        <f>IFERROR(__xludf.DUMMYFUNCTION("""COMPUTED_VALUE"""),"[]")</f>
        <v>[]</v>
      </c>
      <c r="W1186" s="148">
        <f>IFERROR(__xludf.DUMMYFUNCTION("""COMPUTED_VALUE"""),1.174E7)</f>
        <v>11740000</v>
      </c>
      <c r="X1186" s="148">
        <f>IFERROR(__xludf.DUMMYFUNCTION("""COMPUTED_VALUE"""),0.0)</f>
        <v>0</v>
      </c>
      <c r="Y1186" s="148">
        <f>IFERROR(__xludf.DUMMYFUNCTION("""COMPUTED_VALUE"""),0.0)</f>
        <v>0</v>
      </c>
      <c r="Z1186" s="148"/>
    </row>
    <row r="1187">
      <c r="A1187" s="148">
        <f>IFERROR(__xludf.DUMMYFUNCTION("""COMPUTED_VALUE"""),1.111441E7)</f>
        <v>11114410</v>
      </c>
      <c r="B1187" s="148" t="str">
        <f>IFERROR(__xludf.DUMMYFUNCTION("""COMPUTED_VALUE"""),"部落boss_橙")</f>
        <v>部落boss_橙</v>
      </c>
      <c r="C1187" s="148"/>
      <c r="D1187" s="148" t="str">
        <f>IFERROR(__xludf.DUMMYFUNCTION("""COMPUTED_VALUE"""),"item_union_gift_box")</f>
        <v>item_union_gift_box</v>
      </c>
      <c r="E1187" s="148">
        <f>IFERROR(__xludf.DUMMYFUNCTION("""COMPUTED_VALUE"""),16.0)</f>
        <v>16</v>
      </c>
      <c r="F1187" s="148">
        <f>IFERROR(__xludf.DUMMYFUNCTION("""COMPUTED_VALUE"""),0.0)</f>
        <v>0</v>
      </c>
      <c r="G1187" s="148">
        <f>IFERROR(__xludf.DUMMYFUNCTION("""COMPUTED_VALUE"""),1.5110351E7)</f>
        <v>15110351</v>
      </c>
      <c r="H1187" s="148">
        <f>IFERROR(__xludf.DUMMYFUNCTION("""COMPUTED_VALUE"""),1.5112564E7)</f>
        <v>15112564</v>
      </c>
      <c r="I1187" s="148" t="str">
        <f>IFERROR(__xludf.DUMMYFUNCTION("""COMPUTED_VALUE"""),"{}")</f>
        <v>{}</v>
      </c>
      <c r="J1187" s="148" t="str">
        <f>IFERROR(__xludf.DUMMYFUNCTION("""COMPUTED_VALUE"""),"{""typ"":""lc"",""txt"":""LC_ITEM_item_alliance_gift_boss_5_name""}")</f>
        <v>{"typ":"lc","txt":"LC_ITEM_item_alliance_gift_boss_5_name"}</v>
      </c>
      <c r="K1187" s="148" t="str">
        <f>IFERROR(__xludf.DUMMYFUNCTION("""COMPUTED_VALUE"""),"{""typ"":""lc"",""txt"":""LC_ITEM_item_alliance_gift_boss_5_desc""}")</f>
        <v>{"typ":"lc","txt":"LC_ITEM_item_alliance_gift_boss_5_desc"}</v>
      </c>
      <c r="L1187" s="148" t="str">
        <f>IFERROR(__xludf.DUMMYFUNCTION("""COMPUTED_VALUE"""),"{}")</f>
        <v>{}</v>
      </c>
      <c r="M1187" s="148">
        <f>IFERROR(__xludf.DUMMYFUNCTION("""COMPUTED_VALUE"""),66.0)</f>
        <v>66</v>
      </c>
      <c r="N1187" s="148">
        <f>IFERROR(__xludf.DUMMYFUNCTION("""COMPUTED_VALUE"""),999999.0)</f>
        <v>999999</v>
      </c>
      <c r="O1187" s="148">
        <f>IFERROR(__xludf.DUMMYFUNCTION("""COMPUTED_VALUE"""),99999.0)</f>
        <v>99999</v>
      </c>
      <c r="P1187" s="148">
        <f>IFERROR(__xludf.DUMMYFUNCTION("""COMPUTED_VALUE"""),1.0)</f>
        <v>1</v>
      </c>
      <c r="Q1187" s="148" t="str">
        <f>IFERROR(__xludf.DUMMYFUNCTION("""COMPUTED_VALUE"""),"[]")</f>
        <v>[]</v>
      </c>
      <c r="R1187" s="148" t="str">
        <f>IFERROR(__xludf.DUMMYFUNCTION("""COMPUTED_VALUE"""),"[]")</f>
        <v>[]</v>
      </c>
      <c r="S1187" s="148" t="str">
        <f>IFERROR(__xludf.DUMMYFUNCTION("""COMPUTED_VALUE"""),"{""drop"":{""typ"":""single_all"",""num"":1,""args"":[{""typ"":""single_all"",""num"":1,""args"":[{""typ"":""rss"",""id"":11141022,""num"":40,""wgt"":30}]},{""typ"":""single_random"",""num"":1,""args"":[{""typ"":""item"",""id"":11111017,""num"":5,""wgt"":"&amp;"280},{""typ"":""item"",""id"":11111018,""num"":5,""wgt"":280},{""typ"":""item"",""id"":11111013,""num"":5,""wgt"":180},{""typ"":""item"",""id"":11111231,""num"":1,""wgt"":100}]}]}}")</f>
        <v>{"drop":{"typ":"single_all","num":1,"args":[{"typ":"single_all","num":1,"args":[{"typ":"rss","id":11141022,"num":40,"wgt":30}]},{"typ":"single_random","num":1,"args":[{"typ":"item","id":11111017,"num":5,"wgt":280},{"typ":"item","id":11111018,"num":5,"wgt":280},{"typ":"item","id":11111013,"num":5,"wgt":180},{"typ":"item","id":11111231,"num":1,"wgt":100}]}]}}</v>
      </c>
      <c r="T1187" s="148">
        <f>IFERROR(__xludf.DUMMYFUNCTION("""COMPUTED_VALUE"""),-1.0)</f>
        <v>-1</v>
      </c>
      <c r="U1187" s="148">
        <f>IFERROR(__xludf.DUMMYFUNCTION("""COMPUTED_VALUE"""),0.0)</f>
        <v>0</v>
      </c>
      <c r="V1187" s="148" t="str">
        <f>IFERROR(__xludf.DUMMYFUNCTION("""COMPUTED_VALUE"""),"[]")</f>
        <v>[]</v>
      </c>
      <c r="W1187" s="148">
        <f>IFERROR(__xludf.DUMMYFUNCTION("""COMPUTED_VALUE"""),1.174E7)</f>
        <v>11740000</v>
      </c>
      <c r="X1187" s="148">
        <f>IFERROR(__xludf.DUMMYFUNCTION("""COMPUTED_VALUE"""),0.0)</f>
        <v>0</v>
      </c>
      <c r="Y1187" s="148">
        <f>IFERROR(__xludf.DUMMYFUNCTION("""COMPUTED_VALUE"""),0.0)</f>
        <v>0</v>
      </c>
      <c r="Z1187" s="148"/>
    </row>
    <row r="1188">
      <c r="A1188" s="148">
        <f>IFERROR(__xludf.DUMMYFUNCTION("""COMPUTED_VALUE"""),1.1114411E7)</f>
        <v>11114411</v>
      </c>
      <c r="B1188" s="148" t="str">
        <f>IFERROR(__xludf.DUMMYFUNCTION("""COMPUTED_VALUE"""),"变异猴王_白")</f>
        <v>变异猴王_白</v>
      </c>
      <c r="C1188" s="148"/>
      <c r="D1188" s="148" t="str">
        <f>IFERROR(__xludf.DUMMYFUNCTION("""COMPUTED_VALUE"""),"item_union_gift_box")</f>
        <v>item_union_gift_box</v>
      </c>
      <c r="E1188" s="148">
        <f>IFERROR(__xludf.DUMMYFUNCTION("""COMPUTED_VALUE"""),16.0)</f>
        <v>16</v>
      </c>
      <c r="F1188" s="148">
        <f>IFERROR(__xludf.DUMMYFUNCTION("""COMPUTED_VALUE"""),0.0)</f>
        <v>0</v>
      </c>
      <c r="G1188" s="148">
        <f>IFERROR(__xludf.DUMMYFUNCTION("""COMPUTED_VALUE"""),1.5110347E7)</f>
        <v>15110347</v>
      </c>
      <c r="H1188" s="148">
        <f>IFERROR(__xludf.DUMMYFUNCTION("""COMPUTED_VALUE"""),1.511256E7)</f>
        <v>15112560</v>
      </c>
      <c r="I1188" s="148" t="str">
        <f>IFERROR(__xludf.DUMMYFUNCTION("""COMPUTED_VALUE"""),"{}")</f>
        <v>{}</v>
      </c>
      <c r="J1188" s="148" t="str">
        <f>IFERROR(__xludf.DUMMYFUNCTION("""COMPUTED_VALUE"""),"{""typ"":""lc"",""txt"":""LC_ITEM_item_alliance_gift_king_1_name""}")</f>
        <v>{"typ":"lc","txt":"LC_ITEM_item_alliance_gift_king_1_name"}</v>
      </c>
      <c r="K1188" s="148" t="str">
        <f>IFERROR(__xludf.DUMMYFUNCTION("""COMPUTED_VALUE"""),"{""typ"":""lc"",""txt"":""LC_ITEM_item_alliance_gift_king_1_desc""}")</f>
        <v>{"typ":"lc","txt":"LC_ITEM_item_alliance_gift_king_1_desc"}</v>
      </c>
      <c r="L1188" s="148" t="str">
        <f>IFERROR(__xludf.DUMMYFUNCTION("""COMPUTED_VALUE"""),"{}")</f>
        <v>{}</v>
      </c>
      <c r="M1188" s="148">
        <f>IFERROR(__xludf.DUMMYFUNCTION("""COMPUTED_VALUE"""),66.0)</f>
        <v>66</v>
      </c>
      <c r="N1188" s="148">
        <f>IFERROR(__xludf.DUMMYFUNCTION("""COMPUTED_VALUE"""),999999.0)</f>
        <v>999999</v>
      </c>
      <c r="O1188" s="148">
        <f>IFERROR(__xludf.DUMMYFUNCTION("""COMPUTED_VALUE"""),99999.0)</f>
        <v>99999</v>
      </c>
      <c r="P1188" s="148">
        <f>IFERROR(__xludf.DUMMYFUNCTION("""COMPUTED_VALUE"""),1.0)</f>
        <v>1</v>
      </c>
      <c r="Q1188" s="148" t="str">
        <f>IFERROR(__xludf.DUMMYFUNCTION("""COMPUTED_VALUE"""),"[]")</f>
        <v>[]</v>
      </c>
      <c r="R1188" s="148" t="str">
        <f>IFERROR(__xludf.DUMMYFUNCTION("""COMPUTED_VALUE"""),"[]")</f>
        <v>[]</v>
      </c>
      <c r="S1188" s="148" t="str">
        <f>IFERROR(__xludf.DUMMYFUNCTION("""COMPUTED_VALUE"""),"{""drop"":{""typ"":""single_all"",""num"":1,""args"":[{""typ"":""single_all"",""num"":1,""args"":[{""typ"":""rss"",""id"":11141022,""num"":40,""wgt"":30}]},{""typ"":""single_random"",""num"":1,""args"":[{""typ"":""item"",""id"":11111017,""num"":1,""wgt"":"&amp;"290},{""typ"":""item"",""id"":11111018,""num"":1,""wgt"":290},{""typ"":""item"",""id"":11111013,""num"":1,""wgt"":100},{""typ"":""item"",""id"":11116216,""num"":1,""wgt"":40},{""typ"":""vm"",""id"":11151002,""num"":60,""wgt"":120},{""typ"":""vm"",""id"":1"&amp;"1151003,""num"":60,""wgt"":120}]}]}}")</f>
        <v>{"drop":{"typ":"single_all","num":1,"args":[{"typ":"single_all","num":1,"args":[{"typ":"rss","id":11141022,"num":40,"wgt":30}]},{"typ":"single_random","num":1,"args":[{"typ":"item","id":11111017,"num":1,"wgt":290},{"typ":"item","id":11111018,"num":1,"wgt":290},{"typ":"item","id":11111013,"num":1,"wgt":100},{"typ":"item","id":11116216,"num":1,"wgt":40},{"typ":"vm","id":11151002,"num":60,"wgt":120},{"typ":"vm","id":11151003,"num":60,"wgt":120}]}]}}</v>
      </c>
      <c r="T1188" s="148">
        <f>IFERROR(__xludf.DUMMYFUNCTION("""COMPUTED_VALUE"""),-1.0)</f>
        <v>-1</v>
      </c>
      <c r="U1188" s="148">
        <f>IFERROR(__xludf.DUMMYFUNCTION("""COMPUTED_VALUE"""),0.0)</f>
        <v>0</v>
      </c>
      <c r="V1188" s="148" t="str">
        <f>IFERROR(__xludf.DUMMYFUNCTION("""COMPUTED_VALUE"""),"[]")</f>
        <v>[]</v>
      </c>
      <c r="W1188" s="148">
        <f>IFERROR(__xludf.DUMMYFUNCTION("""COMPUTED_VALUE"""),1.174E7)</f>
        <v>11740000</v>
      </c>
      <c r="X1188" s="148">
        <f>IFERROR(__xludf.DUMMYFUNCTION("""COMPUTED_VALUE"""),0.0)</f>
        <v>0</v>
      </c>
      <c r="Y1188" s="148">
        <f>IFERROR(__xludf.DUMMYFUNCTION("""COMPUTED_VALUE"""),0.0)</f>
        <v>0</v>
      </c>
      <c r="Z1188" s="148"/>
    </row>
    <row r="1189">
      <c r="A1189" s="148">
        <f>IFERROR(__xludf.DUMMYFUNCTION("""COMPUTED_VALUE"""),1.1114412E7)</f>
        <v>11114412</v>
      </c>
      <c r="B1189" s="148" t="str">
        <f>IFERROR(__xludf.DUMMYFUNCTION("""COMPUTED_VALUE"""),"变异猴王_绿")</f>
        <v>变异猴王_绿</v>
      </c>
      <c r="C1189" s="148"/>
      <c r="D1189" s="148" t="str">
        <f>IFERROR(__xludf.DUMMYFUNCTION("""COMPUTED_VALUE"""),"item_union_gift_box")</f>
        <v>item_union_gift_box</v>
      </c>
      <c r="E1189" s="148">
        <f>IFERROR(__xludf.DUMMYFUNCTION("""COMPUTED_VALUE"""),16.0)</f>
        <v>16</v>
      </c>
      <c r="F1189" s="148">
        <f>IFERROR(__xludf.DUMMYFUNCTION("""COMPUTED_VALUE"""),0.0)</f>
        <v>0</v>
      </c>
      <c r="G1189" s="148">
        <f>IFERROR(__xludf.DUMMYFUNCTION("""COMPUTED_VALUE"""),1.5110348E7)</f>
        <v>15110348</v>
      </c>
      <c r="H1189" s="148">
        <f>IFERROR(__xludf.DUMMYFUNCTION("""COMPUTED_VALUE"""),1.5112561E7)</f>
        <v>15112561</v>
      </c>
      <c r="I1189" s="148" t="str">
        <f>IFERROR(__xludf.DUMMYFUNCTION("""COMPUTED_VALUE"""),"{}")</f>
        <v>{}</v>
      </c>
      <c r="J1189" s="148" t="str">
        <f>IFERROR(__xludf.DUMMYFUNCTION("""COMPUTED_VALUE"""),"{""typ"":""lc"",""txt"":""LC_ITEM_item_alliance_gift_king_2_name""}")</f>
        <v>{"typ":"lc","txt":"LC_ITEM_item_alliance_gift_king_2_name"}</v>
      </c>
      <c r="K1189" s="148" t="str">
        <f>IFERROR(__xludf.DUMMYFUNCTION("""COMPUTED_VALUE"""),"{""typ"":""lc"",""txt"":""LC_ITEM_item_alliance_gift_king_2_desc""}")</f>
        <v>{"typ":"lc","txt":"LC_ITEM_item_alliance_gift_king_2_desc"}</v>
      </c>
      <c r="L1189" s="148" t="str">
        <f>IFERROR(__xludf.DUMMYFUNCTION("""COMPUTED_VALUE"""),"{}")</f>
        <v>{}</v>
      </c>
      <c r="M1189" s="148">
        <f>IFERROR(__xludf.DUMMYFUNCTION("""COMPUTED_VALUE"""),66.0)</f>
        <v>66</v>
      </c>
      <c r="N1189" s="148">
        <f>IFERROR(__xludf.DUMMYFUNCTION("""COMPUTED_VALUE"""),999999.0)</f>
        <v>999999</v>
      </c>
      <c r="O1189" s="148">
        <f>IFERROR(__xludf.DUMMYFUNCTION("""COMPUTED_VALUE"""),99999.0)</f>
        <v>99999</v>
      </c>
      <c r="P1189" s="148">
        <f>IFERROR(__xludf.DUMMYFUNCTION("""COMPUTED_VALUE"""),1.0)</f>
        <v>1</v>
      </c>
      <c r="Q1189" s="148" t="str">
        <f>IFERROR(__xludf.DUMMYFUNCTION("""COMPUTED_VALUE"""),"[]")</f>
        <v>[]</v>
      </c>
      <c r="R1189" s="148" t="str">
        <f>IFERROR(__xludf.DUMMYFUNCTION("""COMPUTED_VALUE"""),"[]")</f>
        <v>[]</v>
      </c>
      <c r="S1189" s="148" t="str">
        <f>IFERROR(__xludf.DUMMYFUNCTION("""COMPUTED_VALUE"""),"{""drop"":{""typ"":""single_all"",""num"":1,""args"":[{""typ"":""single_all"",""num"":1,""args"":[{""typ"":""rss"",""id"":11141022,""num"":40,""wgt"":30}]},{""typ"":""single_random"",""num"":1,""args"":[{""typ"":""item"",""id"":11111017,""num"":2,""wgt"":"&amp;"290},{""typ"":""item"",""id"":11111018,""num"":2,""wgt"":290},{""typ"":""item"",""id"":11111013,""num"":2,""wgt"":100},{""typ"":""item"",""id"":11116216,""num"":1,""wgt"":40},{""typ"":""vm"",""id"":11151002,""num"":100,""wgt"":120},{""typ"":""vm"",""id"":"&amp;"11151003,""num"":100,""wgt"":120}]}]}}")</f>
        <v>{"drop":{"typ":"single_all","num":1,"args":[{"typ":"single_all","num":1,"args":[{"typ":"rss","id":11141022,"num":40,"wgt":30}]},{"typ":"single_random","num":1,"args":[{"typ":"item","id":11111017,"num":2,"wgt":290},{"typ":"item","id":11111018,"num":2,"wgt":290},{"typ":"item","id":11111013,"num":2,"wgt":100},{"typ":"item","id":11116216,"num":1,"wgt":40},{"typ":"vm","id":11151002,"num":100,"wgt":120},{"typ":"vm","id":11151003,"num":100,"wgt":120}]}]}}</v>
      </c>
      <c r="T1189" s="148">
        <f>IFERROR(__xludf.DUMMYFUNCTION("""COMPUTED_VALUE"""),-1.0)</f>
        <v>-1</v>
      </c>
      <c r="U1189" s="148">
        <f>IFERROR(__xludf.DUMMYFUNCTION("""COMPUTED_VALUE"""),0.0)</f>
        <v>0</v>
      </c>
      <c r="V1189" s="148" t="str">
        <f>IFERROR(__xludf.DUMMYFUNCTION("""COMPUTED_VALUE"""),"[]")</f>
        <v>[]</v>
      </c>
      <c r="W1189" s="148">
        <f>IFERROR(__xludf.DUMMYFUNCTION("""COMPUTED_VALUE"""),1.174E7)</f>
        <v>11740000</v>
      </c>
      <c r="X1189" s="148">
        <f>IFERROR(__xludf.DUMMYFUNCTION("""COMPUTED_VALUE"""),0.0)</f>
        <v>0</v>
      </c>
      <c r="Y1189" s="148">
        <f>IFERROR(__xludf.DUMMYFUNCTION("""COMPUTED_VALUE"""),0.0)</f>
        <v>0</v>
      </c>
      <c r="Z1189" s="148"/>
    </row>
    <row r="1190">
      <c r="A1190" s="148">
        <f>IFERROR(__xludf.DUMMYFUNCTION("""COMPUTED_VALUE"""),1.1114413E7)</f>
        <v>11114413</v>
      </c>
      <c r="B1190" s="148" t="str">
        <f>IFERROR(__xludf.DUMMYFUNCTION("""COMPUTED_VALUE"""),"变异猴王_蓝")</f>
        <v>变异猴王_蓝</v>
      </c>
      <c r="C1190" s="148"/>
      <c r="D1190" s="148" t="str">
        <f>IFERROR(__xludf.DUMMYFUNCTION("""COMPUTED_VALUE"""),"item_union_gift_box")</f>
        <v>item_union_gift_box</v>
      </c>
      <c r="E1190" s="148">
        <f>IFERROR(__xludf.DUMMYFUNCTION("""COMPUTED_VALUE"""),16.0)</f>
        <v>16</v>
      </c>
      <c r="F1190" s="148">
        <f>IFERROR(__xludf.DUMMYFUNCTION("""COMPUTED_VALUE"""),0.0)</f>
        <v>0</v>
      </c>
      <c r="G1190" s="148">
        <f>IFERROR(__xludf.DUMMYFUNCTION("""COMPUTED_VALUE"""),1.5110349E7)</f>
        <v>15110349</v>
      </c>
      <c r="H1190" s="148">
        <f>IFERROR(__xludf.DUMMYFUNCTION("""COMPUTED_VALUE"""),1.5112562E7)</f>
        <v>15112562</v>
      </c>
      <c r="I1190" s="148" t="str">
        <f>IFERROR(__xludf.DUMMYFUNCTION("""COMPUTED_VALUE"""),"{}")</f>
        <v>{}</v>
      </c>
      <c r="J1190" s="148" t="str">
        <f>IFERROR(__xludf.DUMMYFUNCTION("""COMPUTED_VALUE"""),"{""typ"":""lc"",""txt"":""LC_ITEM_item_alliance_gift_king_3_name""}")</f>
        <v>{"typ":"lc","txt":"LC_ITEM_item_alliance_gift_king_3_name"}</v>
      </c>
      <c r="K1190" s="148" t="str">
        <f>IFERROR(__xludf.DUMMYFUNCTION("""COMPUTED_VALUE"""),"{""typ"":""lc"",""txt"":""LC_ITEM_item_alliance_gift_king_3_desc""}")</f>
        <v>{"typ":"lc","txt":"LC_ITEM_item_alliance_gift_king_3_desc"}</v>
      </c>
      <c r="L1190" s="148" t="str">
        <f>IFERROR(__xludf.DUMMYFUNCTION("""COMPUTED_VALUE"""),"{}")</f>
        <v>{}</v>
      </c>
      <c r="M1190" s="148">
        <f>IFERROR(__xludf.DUMMYFUNCTION("""COMPUTED_VALUE"""),66.0)</f>
        <v>66</v>
      </c>
      <c r="N1190" s="148">
        <f>IFERROR(__xludf.DUMMYFUNCTION("""COMPUTED_VALUE"""),999999.0)</f>
        <v>999999</v>
      </c>
      <c r="O1190" s="148">
        <f>IFERROR(__xludf.DUMMYFUNCTION("""COMPUTED_VALUE"""),99999.0)</f>
        <v>99999</v>
      </c>
      <c r="P1190" s="148">
        <f>IFERROR(__xludf.DUMMYFUNCTION("""COMPUTED_VALUE"""),1.0)</f>
        <v>1</v>
      </c>
      <c r="Q1190" s="148" t="str">
        <f>IFERROR(__xludf.DUMMYFUNCTION("""COMPUTED_VALUE"""),"[]")</f>
        <v>[]</v>
      </c>
      <c r="R1190" s="148" t="str">
        <f>IFERROR(__xludf.DUMMYFUNCTION("""COMPUTED_VALUE"""),"[]")</f>
        <v>[]</v>
      </c>
      <c r="S1190" s="148" t="str">
        <f>IFERROR(__xludf.DUMMYFUNCTION("""COMPUTED_VALUE"""),"{""drop"":{""typ"":""single_all"",""num"":1,""args"":[{""typ"":""single_all"",""num"":1,""args"":[{""typ"":""rss"",""id"":11141022,""num"":40,""wgt"":30}]},{""typ"":""single_random"",""num"":1,""args"":[{""typ"":""item"",""id"":11111017,""num"":3,""wgt"":"&amp;"290},{""typ"":""item"",""id"":11111018,""num"":3,""wgt"":290},{""typ"":""item"",""id"":11111013,""num"":3,""wgt"":120},{""typ"":""item"",""id"":11116216,""num"":2,""wgt"":30},{""typ"":""vm"",""id"":11151002,""num"":140,""wgt"":120},{""typ"":""vm"",""id"":"&amp;"11151003,""num"":140,""wgt"":120}]}]}}")</f>
        <v>{"drop":{"typ":"single_all","num":1,"args":[{"typ":"single_all","num":1,"args":[{"typ":"rss","id":11141022,"num":40,"wgt":30}]},{"typ":"single_random","num":1,"args":[{"typ":"item","id":11111017,"num":3,"wgt":290},{"typ":"item","id":11111018,"num":3,"wgt":290},{"typ":"item","id":11111013,"num":3,"wgt":120},{"typ":"item","id":11116216,"num":2,"wgt":30},{"typ":"vm","id":11151002,"num":140,"wgt":120},{"typ":"vm","id":11151003,"num":140,"wgt":120}]}]}}</v>
      </c>
      <c r="T1190" s="148">
        <f>IFERROR(__xludf.DUMMYFUNCTION("""COMPUTED_VALUE"""),-1.0)</f>
        <v>-1</v>
      </c>
      <c r="U1190" s="148">
        <f>IFERROR(__xludf.DUMMYFUNCTION("""COMPUTED_VALUE"""),0.0)</f>
        <v>0</v>
      </c>
      <c r="V1190" s="148" t="str">
        <f>IFERROR(__xludf.DUMMYFUNCTION("""COMPUTED_VALUE"""),"[]")</f>
        <v>[]</v>
      </c>
      <c r="W1190" s="148">
        <f>IFERROR(__xludf.DUMMYFUNCTION("""COMPUTED_VALUE"""),1.174E7)</f>
        <v>11740000</v>
      </c>
      <c r="X1190" s="148">
        <f>IFERROR(__xludf.DUMMYFUNCTION("""COMPUTED_VALUE"""),0.0)</f>
        <v>0</v>
      </c>
      <c r="Y1190" s="148">
        <f>IFERROR(__xludf.DUMMYFUNCTION("""COMPUTED_VALUE"""),0.0)</f>
        <v>0</v>
      </c>
      <c r="Z1190" s="148"/>
    </row>
    <row r="1191">
      <c r="A1191" s="148">
        <f>IFERROR(__xludf.DUMMYFUNCTION("""COMPUTED_VALUE"""),1.1114414E7)</f>
        <v>11114414</v>
      </c>
      <c r="B1191" s="148" t="str">
        <f>IFERROR(__xludf.DUMMYFUNCTION("""COMPUTED_VALUE"""),"变异猴王_紫")</f>
        <v>变异猴王_紫</v>
      </c>
      <c r="C1191" s="148"/>
      <c r="D1191" s="148" t="str">
        <f>IFERROR(__xludf.DUMMYFUNCTION("""COMPUTED_VALUE"""),"item_union_gift_box")</f>
        <v>item_union_gift_box</v>
      </c>
      <c r="E1191" s="148">
        <f>IFERROR(__xludf.DUMMYFUNCTION("""COMPUTED_VALUE"""),16.0)</f>
        <v>16</v>
      </c>
      <c r="F1191" s="148">
        <f>IFERROR(__xludf.DUMMYFUNCTION("""COMPUTED_VALUE"""),0.0)</f>
        <v>0</v>
      </c>
      <c r="G1191" s="148">
        <f>IFERROR(__xludf.DUMMYFUNCTION("""COMPUTED_VALUE"""),1.511035E7)</f>
        <v>15110350</v>
      </c>
      <c r="H1191" s="148">
        <f>IFERROR(__xludf.DUMMYFUNCTION("""COMPUTED_VALUE"""),1.5112563E7)</f>
        <v>15112563</v>
      </c>
      <c r="I1191" s="148" t="str">
        <f>IFERROR(__xludf.DUMMYFUNCTION("""COMPUTED_VALUE"""),"{}")</f>
        <v>{}</v>
      </c>
      <c r="J1191" s="148" t="str">
        <f>IFERROR(__xludf.DUMMYFUNCTION("""COMPUTED_VALUE"""),"{""typ"":""lc"",""txt"":""LC_ITEM_item_alliance_gift_king_4_name""}")</f>
        <v>{"typ":"lc","txt":"LC_ITEM_item_alliance_gift_king_4_name"}</v>
      </c>
      <c r="K1191" s="148" t="str">
        <f>IFERROR(__xludf.DUMMYFUNCTION("""COMPUTED_VALUE"""),"{""typ"":""lc"",""txt"":""LC_ITEM_item_alliance_gift_king_4_desc""}")</f>
        <v>{"typ":"lc","txt":"LC_ITEM_item_alliance_gift_king_4_desc"}</v>
      </c>
      <c r="L1191" s="148" t="str">
        <f>IFERROR(__xludf.DUMMYFUNCTION("""COMPUTED_VALUE"""),"{}")</f>
        <v>{}</v>
      </c>
      <c r="M1191" s="148">
        <f>IFERROR(__xludf.DUMMYFUNCTION("""COMPUTED_VALUE"""),66.0)</f>
        <v>66</v>
      </c>
      <c r="N1191" s="148">
        <f>IFERROR(__xludf.DUMMYFUNCTION("""COMPUTED_VALUE"""),999999.0)</f>
        <v>999999</v>
      </c>
      <c r="O1191" s="148">
        <f>IFERROR(__xludf.DUMMYFUNCTION("""COMPUTED_VALUE"""),99999.0)</f>
        <v>99999</v>
      </c>
      <c r="P1191" s="148">
        <f>IFERROR(__xludf.DUMMYFUNCTION("""COMPUTED_VALUE"""),1.0)</f>
        <v>1</v>
      </c>
      <c r="Q1191" s="148" t="str">
        <f>IFERROR(__xludf.DUMMYFUNCTION("""COMPUTED_VALUE"""),"[]")</f>
        <v>[]</v>
      </c>
      <c r="R1191" s="148" t="str">
        <f>IFERROR(__xludf.DUMMYFUNCTION("""COMPUTED_VALUE"""),"[]")</f>
        <v>[]</v>
      </c>
      <c r="S1191" s="148" t="str">
        <f>IFERROR(__xludf.DUMMYFUNCTION("""COMPUTED_VALUE"""),"{""drop"":{""typ"":""single_all"",""num"":1,""args"":[{""typ"":""single_all"",""num"":1,""args"":[{""typ"":""rss"",""id"":11141022,""num"":40,""wgt"":30}]},{""typ"":""single_random"",""num"":1,""args"":[{""typ"":""item"",""id"":11111017,""num"":4,""wgt"":"&amp;"290},{""typ"":""item"",""id"":11111018,""num"":4,""wgt"":290},{""typ"":""item"",""id"":11111013,""num"":4,""wgt"":140},{""typ"":""item"",""id"":11116216,""num"":2,""wgt"":35},{""typ"":""vm"",""id"":11151002,""num"":160,""wgt"":100},{""typ"":""vm"",""id"":"&amp;"11151003,""num"":160,""wgt"":110}]}]}}")</f>
        <v>{"drop":{"typ":"single_all","num":1,"args":[{"typ":"single_all","num":1,"args":[{"typ":"rss","id":11141022,"num":40,"wgt":30}]},{"typ":"single_random","num":1,"args":[{"typ":"item","id":11111017,"num":4,"wgt":290},{"typ":"item","id":11111018,"num":4,"wgt":290},{"typ":"item","id":11111013,"num":4,"wgt":140},{"typ":"item","id":11116216,"num":2,"wgt":35},{"typ":"vm","id":11151002,"num":160,"wgt":100},{"typ":"vm","id":11151003,"num":160,"wgt":110}]}]}}</v>
      </c>
      <c r="T1191" s="148">
        <f>IFERROR(__xludf.DUMMYFUNCTION("""COMPUTED_VALUE"""),-1.0)</f>
        <v>-1</v>
      </c>
      <c r="U1191" s="148">
        <f>IFERROR(__xludf.DUMMYFUNCTION("""COMPUTED_VALUE"""),0.0)</f>
        <v>0</v>
      </c>
      <c r="V1191" s="148" t="str">
        <f>IFERROR(__xludf.DUMMYFUNCTION("""COMPUTED_VALUE"""),"[]")</f>
        <v>[]</v>
      </c>
      <c r="W1191" s="148">
        <f>IFERROR(__xludf.DUMMYFUNCTION("""COMPUTED_VALUE"""),1.174E7)</f>
        <v>11740000</v>
      </c>
      <c r="X1191" s="148">
        <f>IFERROR(__xludf.DUMMYFUNCTION("""COMPUTED_VALUE"""),0.0)</f>
        <v>0</v>
      </c>
      <c r="Y1191" s="148">
        <f>IFERROR(__xludf.DUMMYFUNCTION("""COMPUTED_VALUE"""),0.0)</f>
        <v>0</v>
      </c>
      <c r="Z1191" s="148"/>
    </row>
    <row r="1192">
      <c r="A1192" s="148">
        <f>IFERROR(__xludf.DUMMYFUNCTION("""COMPUTED_VALUE"""),1.1114415E7)</f>
        <v>11114415</v>
      </c>
      <c r="B1192" s="148" t="str">
        <f>IFERROR(__xludf.DUMMYFUNCTION("""COMPUTED_VALUE"""),"变异猴王_橙")</f>
        <v>变异猴王_橙</v>
      </c>
      <c r="C1192" s="148"/>
      <c r="D1192" s="148" t="str">
        <f>IFERROR(__xludf.DUMMYFUNCTION("""COMPUTED_VALUE"""),"item_union_gift_box")</f>
        <v>item_union_gift_box</v>
      </c>
      <c r="E1192" s="148">
        <f>IFERROR(__xludf.DUMMYFUNCTION("""COMPUTED_VALUE"""),16.0)</f>
        <v>16</v>
      </c>
      <c r="F1192" s="148">
        <f>IFERROR(__xludf.DUMMYFUNCTION("""COMPUTED_VALUE"""),0.0)</f>
        <v>0</v>
      </c>
      <c r="G1192" s="148">
        <f>IFERROR(__xludf.DUMMYFUNCTION("""COMPUTED_VALUE"""),1.5110351E7)</f>
        <v>15110351</v>
      </c>
      <c r="H1192" s="148">
        <f>IFERROR(__xludf.DUMMYFUNCTION("""COMPUTED_VALUE"""),1.5112564E7)</f>
        <v>15112564</v>
      </c>
      <c r="I1192" s="148" t="str">
        <f>IFERROR(__xludf.DUMMYFUNCTION("""COMPUTED_VALUE"""),"{}")</f>
        <v>{}</v>
      </c>
      <c r="J1192" s="148" t="str">
        <f>IFERROR(__xludf.DUMMYFUNCTION("""COMPUTED_VALUE"""),"{""typ"":""lc"",""txt"":""LC_ITEM_item_alliance_gift_king_5_name""}")</f>
        <v>{"typ":"lc","txt":"LC_ITEM_item_alliance_gift_king_5_name"}</v>
      </c>
      <c r="K1192" s="148" t="str">
        <f>IFERROR(__xludf.DUMMYFUNCTION("""COMPUTED_VALUE"""),"{""typ"":""lc"",""txt"":""LC_ITEM_item_alliance_gift_king_5_desc""}")</f>
        <v>{"typ":"lc","txt":"LC_ITEM_item_alliance_gift_king_5_desc"}</v>
      </c>
      <c r="L1192" s="148" t="str">
        <f>IFERROR(__xludf.DUMMYFUNCTION("""COMPUTED_VALUE"""),"{}")</f>
        <v>{}</v>
      </c>
      <c r="M1192" s="148">
        <f>IFERROR(__xludf.DUMMYFUNCTION("""COMPUTED_VALUE"""),66.0)</f>
        <v>66</v>
      </c>
      <c r="N1192" s="148">
        <f>IFERROR(__xludf.DUMMYFUNCTION("""COMPUTED_VALUE"""),999999.0)</f>
        <v>999999</v>
      </c>
      <c r="O1192" s="148">
        <f>IFERROR(__xludf.DUMMYFUNCTION("""COMPUTED_VALUE"""),99999.0)</f>
        <v>99999</v>
      </c>
      <c r="P1192" s="148">
        <f>IFERROR(__xludf.DUMMYFUNCTION("""COMPUTED_VALUE"""),1.0)</f>
        <v>1</v>
      </c>
      <c r="Q1192" s="148" t="str">
        <f>IFERROR(__xludf.DUMMYFUNCTION("""COMPUTED_VALUE"""),"[]")</f>
        <v>[]</v>
      </c>
      <c r="R1192" s="148" t="str">
        <f>IFERROR(__xludf.DUMMYFUNCTION("""COMPUTED_VALUE"""),"[]")</f>
        <v>[]</v>
      </c>
      <c r="S1192" s="148" t="str">
        <f>IFERROR(__xludf.DUMMYFUNCTION("""COMPUTED_VALUE"""),"{""drop"":{""typ"":""single_all"",""num"":1,""args"":[{""typ"":""single_all"",""num"":1,""args"":[{""typ"":""rss"",""id"":11141022,""num"":40,""wgt"":30}]},{""typ"":""single_random"",""num"":1,""args"":[{""typ"":""item"",""id"":11111017,""num"":5,""wgt"":"&amp;"290},{""typ"":""item"",""id"":11111018,""num"":5,""wgt"":290},{""typ"":""item"",""id"":11111013,""num"":5,""wgt"":140},{""typ"":""item"",""id"":11116216,""num"":2,""wgt"":40},{""typ"":""vm"",""id"":11151002,""num"":180,""wgt"":100},{""typ"":""vm"",""id"":"&amp;"11151003,""num"":180,""wgt"":100}]}]}}")</f>
        <v>{"drop":{"typ":"single_all","num":1,"args":[{"typ":"single_all","num":1,"args":[{"typ":"rss","id":11141022,"num":40,"wgt":30}]},{"typ":"single_random","num":1,"args":[{"typ":"item","id":11111017,"num":5,"wgt":290},{"typ":"item","id":11111018,"num":5,"wgt":290},{"typ":"item","id":11111013,"num":5,"wgt":140},{"typ":"item","id":11116216,"num":2,"wgt":40},{"typ":"vm","id":11151002,"num":180,"wgt":100},{"typ":"vm","id":11151003,"num":180,"wgt":100}]}]}}</v>
      </c>
      <c r="T1192" s="148">
        <f>IFERROR(__xludf.DUMMYFUNCTION("""COMPUTED_VALUE"""),-1.0)</f>
        <v>-1</v>
      </c>
      <c r="U1192" s="148">
        <f>IFERROR(__xludf.DUMMYFUNCTION("""COMPUTED_VALUE"""),0.0)</f>
        <v>0</v>
      </c>
      <c r="V1192" s="148" t="str">
        <f>IFERROR(__xludf.DUMMYFUNCTION("""COMPUTED_VALUE"""),"[]")</f>
        <v>[]</v>
      </c>
      <c r="W1192" s="148">
        <f>IFERROR(__xludf.DUMMYFUNCTION("""COMPUTED_VALUE"""),1.174E7)</f>
        <v>11740000</v>
      </c>
      <c r="X1192" s="148">
        <f>IFERROR(__xludf.DUMMYFUNCTION("""COMPUTED_VALUE"""),0.0)</f>
        <v>0</v>
      </c>
      <c r="Y1192" s="148">
        <f>IFERROR(__xludf.DUMMYFUNCTION("""COMPUTED_VALUE"""),0.0)</f>
        <v>0</v>
      </c>
      <c r="Z1192" s="148"/>
    </row>
    <row r="1193">
      <c r="A1193" s="148">
        <f>IFERROR(__xludf.DUMMYFUNCTION("""COMPUTED_VALUE"""),1.1114416E7)</f>
        <v>11114416</v>
      </c>
      <c r="B1193" s="148" t="str">
        <f>IFERROR(__xludf.DUMMYFUNCTION("""COMPUTED_VALUE"""),"一级联盟宝箱_白")</f>
        <v>一级联盟宝箱_白</v>
      </c>
      <c r="C1193" s="148"/>
      <c r="D1193" s="148" t="str">
        <f>IFERROR(__xludf.DUMMYFUNCTION("""COMPUTED_VALUE"""),"item_union_gift_box")</f>
        <v>item_union_gift_box</v>
      </c>
      <c r="E1193" s="148">
        <f>IFERROR(__xludf.DUMMYFUNCTION("""COMPUTED_VALUE"""),16.0)</f>
        <v>16</v>
      </c>
      <c r="F1193" s="148">
        <f>IFERROR(__xludf.DUMMYFUNCTION("""COMPUTED_VALUE"""),0.0)</f>
        <v>0</v>
      </c>
      <c r="G1193" s="148">
        <f>IFERROR(__xludf.DUMMYFUNCTION("""COMPUTED_VALUE"""),1.5113194E7)</f>
        <v>15113194</v>
      </c>
      <c r="H1193" s="148">
        <f>IFERROR(__xludf.DUMMYFUNCTION("""COMPUTED_VALUE"""),1.511256E7)</f>
        <v>15112560</v>
      </c>
      <c r="I1193" s="148" t="str">
        <f>IFERROR(__xludf.DUMMYFUNCTION("""COMPUTED_VALUE"""),"{}")</f>
        <v>{}</v>
      </c>
      <c r="J1193" s="148" t="str">
        <f>IFERROR(__xludf.DUMMYFUNCTION("""COMPUTED_VALUE"""),"{""typ"":""lc"",""txt"":""LC_ITEM_alliance_shopping_gift_1_name""}")</f>
        <v>{"typ":"lc","txt":"LC_ITEM_alliance_shopping_gift_1_name"}</v>
      </c>
      <c r="K1193" s="148" t="str">
        <f>IFERROR(__xludf.DUMMYFUNCTION("""COMPUTED_VALUE"""),"{""typ"":""lc"",""txt"":""LC_ITEM_alliance_shopping_gift_1_desc""}")</f>
        <v>{"typ":"lc","txt":"LC_ITEM_alliance_shopping_gift_1_desc"}</v>
      </c>
      <c r="L1193" s="148" t="str">
        <f>IFERROR(__xludf.DUMMYFUNCTION("""COMPUTED_VALUE"""),"{}")</f>
        <v>{}</v>
      </c>
      <c r="M1193" s="148">
        <f>IFERROR(__xludf.DUMMYFUNCTION("""COMPUTED_VALUE"""),66.0)</f>
        <v>66</v>
      </c>
      <c r="N1193" s="148">
        <f>IFERROR(__xludf.DUMMYFUNCTION("""COMPUTED_VALUE"""),999999.0)</f>
        <v>999999</v>
      </c>
      <c r="O1193" s="148">
        <f>IFERROR(__xludf.DUMMYFUNCTION("""COMPUTED_VALUE"""),99999.0)</f>
        <v>99999</v>
      </c>
      <c r="P1193" s="148">
        <f>IFERROR(__xludf.DUMMYFUNCTION("""COMPUTED_VALUE"""),1.0)</f>
        <v>1</v>
      </c>
      <c r="Q1193" s="148" t="str">
        <f>IFERROR(__xludf.DUMMYFUNCTION("""COMPUTED_VALUE"""),"[]")</f>
        <v>[]</v>
      </c>
      <c r="R1193" s="148" t="str">
        <f>IFERROR(__xludf.DUMMYFUNCTION("""COMPUTED_VALUE"""),"[]")</f>
        <v>[]</v>
      </c>
      <c r="S1193" s="148" t="str">
        <f>IFERROR(__xludf.DUMMYFUNCTION("""COMPUTED_VALUE"""),"{""drop"":{""typ"":""single_all"",""num"":1,""args"":[{""typ"":""single_all"",""num"":1,""args"":[{""typ"":""rss"",""id"":11141022,""num"":10,""wgt"":30}]},{""typ"":""single_random"",""num"":1,""args"":[{""typ"":""vm"",""id"":11151002,""num"":30,""wgt"":2"&amp;"613},{""typ"":""vm"",""id"":11151003,""num"":30,""wgt"":2613},{""typ"":""item"",""id"":11111101,""num"":5,""wgt"":475},{""typ"":""item"",""id"":11111101,""num"":10,""wgt"":475},{""typ"":""item"",""id"":11111029,""num"":1,""wgt"":1900},{""typ"":""item"","""&amp;"id"":11117006,""num"":1,""wgt"":950},{""typ"":""item"",""id"":11117007,""num"":1,""wgt"":475},{""typ"":""item"",""id"":11117139,""num"":1,""wgt"":500}]}]}}")</f>
        <v>{"drop":{"typ":"single_all","num":1,"args":[{"typ":"single_all","num":1,"args":[{"typ":"rss","id":11141022,"num":10,"wgt":30}]},{"typ":"single_random","num":1,"args":[{"typ":"vm","id":11151002,"num":30,"wgt":2613},{"typ":"vm","id":11151003,"num":30,"wgt":2613},{"typ":"item","id":11111101,"num":5,"wgt":475},{"typ":"item","id":11111101,"num":10,"wgt":475},{"typ":"item","id":11111029,"num":1,"wgt":1900},{"typ":"item","id":11117006,"num":1,"wgt":950},{"typ":"item","id":11117007,"num":1,"wgt":475},{"typ":"item","id":11117139,"num":1,"wgt":500}]}]}}</v>
      </c>
      <c r="T1193" s="148">
        <f>IFERROR(__xludf.DUMMYFUNCTION("""COMPUTED_VALUE"""),-1.0)</f>
        <v>-1</v>
      </c>
      <c r="U1193" s="148">
        <f>IFERROR(__xludf.DUMMYFUNCTION("""COMPUTED_VALUE"""),0.0)</f>
        <v>0</v>
      </c>
      <c r="V1193" s="148" t="str">
        <f>IFERROR(__xludf.DUMMYFUNCTION("""COMPUTED_VALUE"""),"[]")</f>
        <v>[]</v>
      </c>
      <c r="W1193" s="148">
        <f>IFERROR(__xludf.DUMMYFUNCTION("""COMPUTED_VALUE"""),1.174E7)</f>
        <v>11740000</v>
      </c>
      <c r="X1193" s="148">
        <f>IFERROR(__xludf.DUMMYFUNCTION("""COMPUTED_VALUE"""),0.0)</f>
        <v>0</v>
      </c>
      <c r="Y1193" s="148">
        <f>IFERROR(__xludf.DUMMYFUNCTION("""COMPUTED_VALUE"""),0.0)</f>
        <v>0</v>
      </c>
      <c r="Z1193" s="148"/>
    </row>
    <row r="1194">
      <c r="A1194" s="148">
        <f>IFERROR(__xludf.DUMMYFUNCTION("""COMPUTED_VALUE"""),1.1114417E7)</f>
        <v>11114417</v>
      </c>
      <c r="B1194" s="148" t="str">
        <f>IFERROR(__xludf.DUMMYFUNCTION("""COMPUTED_VALUE"""),"一级联盟宝箱_绿")</f>
        <v>一级联盟宝箱_绿</v>
      </c>
      <c r="C1194" s="148"/>
      <c r="D1194" s="148" t="str">
        <f>IFERROR(__xludf.DUMMYFUNCTION("""COMPUTED_VALUE"""),"item_union_gift_box")</f>
        <v>item_union_gift_box</v>
      </c>
      <c r="E1194" s="148">
        <f>IFERROR(__xludf.DUMMYFUNCTION("""COMPUTED_VALUE"""),16.0)</f>
        <v>16</v>
      </c>
      <c r="F1194" s="148">
        <f>IFERROR(__xludf.DUMMYFUNCTION("""COMPUTED_VALUE"""),0.0)</f>
        <v>0</v>
      </c>
      <c r="G1194" s="148">
        <f>IFERROR(__xludf.DUMMYFUNCTION("""COMPUTED_VALUE"""),1.5113194E7)</f>
        <v>15113194</v>
      </c>
      <c r="H1194" s="148">
        <f>IFERROR(__xludf.DUMMYFUNCTION("""COMPUTED_VALUE"""),1.5112561E7)</f>
        <v>15112561</v>
      </c>
      <c r="I1194" s="148" t="str">
        <f>IFERROR(__xludf.DUMMYFUNCTION("""COMPUTED_VALUE"""),"{}")</f>
        <v>{}</v>
      </c>
      <c r="J1194" s="148" t="str">
        <f>IFERROR(__xludf.DUMMYFUNCTION("""COMPUTED_VALUE"""),"{""typ"":""lc"",""txt"":""LC_ITEM_alliance_shopping_gift_1_name""}")</f>
        <v>{"typ":"lc","txt":"LC_ITEM_alliance_shopping_gift_1_name"}</v>
      </c>
      <c r="K1194" s="148" t="str">
        <f>IFERROR(__xludf.DUMMYFUNCTION("""COMPUTED_VALUE"""),"{""typ"":""lc"",""txt"":""LC_ITEM_alliance_shopping_gift_1_desc""}")</f>
        <v>{"typ":"lc","txt":"LC_ITEM_alliance_shopping_gift_1_desc"}</v>
      </c>
      <c r="L1194" s="148" t="str">
        <f>IFERROR(__xludf.DUMMYFUNCTION("""COMPUTED_VALUE"""),"{}")</f>
        <v>{}</v>
      </c>
      <c r="M1194" s="148">
        <f>IFERROR(__xludf.DUMMYFUNCTION("""COMPUTED_VALUE"""),66.0)</f>
        <v>66</v>
      </c>
      <c r="N1194" s="148">
        <f>IFERROR(__xludf.DUMMYFUNCTION("""COMPUTED_VALUE"""),999999.0)</f>
        <v>999999</v>
      </c>
      <c r="O1194" s="148">
        <f>IFERROR(__xludf.DUMMYFUNCTION("""COMPUTED_VALUE"""),99999.0)</f>
        <v>99999</v>
      </c>
      <c r="P1194" s="148">
        <f>IFERROR(__xludf.DUMMYFUNCTION("""COMPUTED_VALUE"""),1.0)</f>
        <v>1</v>
      </c>
      <c r="Q1194" s="148" t="str">
        <f>IFERROR(__xludf.DUMMYFUNCTION("""COMPUTED_VALUE"""),"[]")</f>
        <v>[]</v>
      </c>
      <c r="R1194" s="148" t="str">
        <f>IFERROR(__xludf.DUMMYFUNCTION("""COMPUTED_VALUE"""),"[]")</f>
        <v>[]</v>
      </c>
      <c r="S1194" s="148" t="str">
        <f>IFERROR(__xludf.DUMMYFUNCTION("""COMPUTED_VALUE"""),"{""drop"":{""typ"":""single_all"",""num"":1,""args"":[{""typ"":""single_all"",""num"":1,""args"":[{""typ"":""rss"",""id"":11141022,""num"":10,""wgt"":30}]},{""typ"":""single_random"",""num"":1,""args"":[{""typ"":""vm"",""id"":11151002,""num"":40,""wgt"":2"&amp;"613},{""typ"":""vm"",""id"":11151003,""num"":40,""wgt"":2613},{""typ"":""item"",""id"":11111101,""num"":6,""wgt"":475},{""typ"":""item"",""id"":11111101,""num"":11,""wgt"":475},{""typ"":""item"",""id"":11111029,""num"":1,""wgt"":1900},{""typ"":""item"","""&amp;"id"":11117006,""num"":1,""wgt"":950},{""typ"":""item"",""id"":11117007,""num"":2,""wgt"":475},{""typ"":""item"",""id"":11117139,""num"":1,""wgt"":500}]}]}}")</f>
        <v>{"drop":{"typ":"single_all","num":1,"args":[{"typ":"single_all","num":1,"args":[{"typ":"rss","id":11141022,"num":10,"wgt":30}]},{"typ":"single_random","num":1,"args":[{"typ":"vm","id":11151002,"num":40,"wgt":2613},{"typ":"vm","id":11151003,"num":40,"wgt":2613},{"typ":"item","id":11111101,"num":6,"wgt":475},{"typ":"item","id":11111101,"num":11,"wgt":475},{"typ":"item","id":11111029,"num":1,"wgt":1900},{"typ":"item","id":11117006,"num":1,"wgt":950},{"typ":"item","id":11117007,"num":2,"wgt":475},{"typ":"item","id":11117139,"num":1,"wgt":500}]}]}}</v>
      </c>
      <c r="T1194" s="148">
        <f>IFERROR(__xludf.DUMMYFUNCTION("""COMPUTED_VALUE"""),-1.0)</f>
        <v>-1</v>
      </c>
      <c r="U1194" s="148">
        <f>IFERROR(__xludf.DUMMYFUNCTION("""COMPUTED_VALUE"""),0.0)</f>
        <v>0</v>
      </c>
      <c r="V1194" s="148" t="str">
        <f>IFERROR(__xludf.DUMMYFUNCTION("""COMPUTED_VALUE"""),"[]")</f>
        <v>[]</v>
      </c>
      <c r="W1194" s="148">
        <f>IFERROR(__xludf.DUMMYFUNCTION("""COMPUTED_VALUE"""),1.174E7)</f>
        <v>11740000</v>
      </c>
      <c r="X1194" s="148">
        <f>IFERROR(__xludf.DUMMYFUNCTION("""COMPUTED_VALUE"""),0.0)</f>
        <v>0</v>
      </c>
      <c r="Y1194" s="148">
        <f>IFERROR(__xludf.DUMMYFUNCTION("""COMPUTED_VALUE"""),0.0)</f>
        <v>0</v>
      </c>
      <c r="Z1194" s="148"/>
    </row>
    <row r="1195">
      <c r="A1195" s="148">
        <f>IFERROR(__xludf.DUMMYFUNCTION("""COMPUTED_VALUE"""),1.1114418E7)</f>
        <v>11114418</v>
      </c>
      <c r="B1195" s="148" t="str">
        <f>IFERROR(__xludf.DUMMYFUNCTION("""COMPUTED_VALUE"""),"一级联盟宝箱_蓝")</f>
        <v>一级联盟宝箱_蓝</v>
      </c>
      <c r="C1195" s="148"/>
      <c r="D1195" s="148" t="str">
        <f>IFERROR(__xludf.DUMMYFUNCTION("""COMPUTED_VALUE"""),"item_union_gift_box")</f>
        <v>item_union_gift_box</v>
      </c>
      <c r="E1195" s="148">
        <f>IFERROR(__xludf.DUMMYFUNCTION("""COMPUTED_VALUE"""),16.0)</f>
        <v>16</v>
      </c>
      <c r="F1195" s="148">
        <f>IFERROR(__xludf.DUMMYFUNCTION("""COMPUTED_VALUE"""),0.0)</f>
        <v>0</v>
      </c>
      <c r="G1195" s="148">
        <f>IFERROR(__xludf.DUMMYFUNCTION("""COMPUTED_VALUE"""),1.5113194E7)</f>
        <v>15113194</v>
      </c>
      <c r="H1195" s="148">
        <f>IFERROR(__xludf.DUMMYFUNCTION("""COMPUTED_VALUE"""),1.5112562E7)</f>
        <v>15112562</v>
      </c>
      <c r="I1195" s="148" t="str">
        <f>IFERROR(__xludf.DUMMYFUNCTION("""COMPUTED_VALUE"""),"{}")</f>
        <v>{}</v>
      </c>
      <c r="J1195" s="148" t="str">
        <f>IFERROR(__xludf.DUMMYFUNCTION("""COMPUTED_VALUE"""),"{""typ"":""lc"",""txt"":""LC_ITEM_alliance_shopping_gift_1_name""}")</f>
        <v>{"typ":"lc","txt":"LC_ITEM_alliance_shopping_gift_1_name"}</v>
      </c>
      <c r="K1195" s="148" t="str">
        <f>IFERROR(__xludf.DUMMYFUNCTION("""COMPUTED_VALUE"""),"{""typ"":""lc"",""txt"":""LC_ITEM_alliance_shopping_gift_1_desc""}")</f>
        <v>{"typ":"lc","txt":"LC_ITEM_alliance_shopping_gift_1_desc"}</v>
      </c>
      <c r="L1195" s="148" t="str">
        <f>IFERROR(__xludf.DUMMYFUNCTION("""COMPUTED_VALUE"""),"{}")</f>
        <v>{}</v>
      </c>
      <c r="M1195" s="148">
        <f>IFERROR(__xludf.DUMMYFUNCTION("""COMPUTED_VALUE"""),66.0)</f>
        <v>66</v>
      </c>
      <c r="N1195" s="148">
        <f>IFERROR(__xludf.DUMMYFUNCTION("""COMPUTED_VALUE"""),999999.0)</f>
        <v>999999</v>
      </c>
      <c r="O1195" s="148">
        <f>IFERROR(__xludf.DUMMYFUNCTION("""COMPUTED_VALUE"""),99999.0)</f>
        <v>99999</v>
      </c>
      <c r="P1195" s="148">
        <f>IFERROR(__xludf.DUMMYFUNCTION("""COMPUTED_VALUE"""),1.0)</f>
        <v>1</v>
      </c>
      <c r="Q1195" s="148" t="str">
        <f>IFERROR(__xludf.DUMMYFUNCTION("""COMPUTED_VALUE"""),"[]")</f>
        <v>[]</v>
      </c>
      <c r="R1195" s="148" t="str">
        <f>IFERROR(__xludf.DUMMYFUNCTION("""COMPUTED_VALUE"""),"[]")</f>
        <v>[]</v>
      </c>
      <c r="S1195" s="148" t="str">
        <f>IFERROR(__xludf.DUMMYFUNCTION("""COMPUTED_VALUE"""),"{""drop"":{""typ"":""single_all"",""num"":1,""args"":[{""typ"":""single_all"",""num"":1,""args"":[{""typ"":""rss"",""id"":11141022,""num"":10,""wgt"":30}]},{""typ"":""single_random"",""num"":1,""args"":[{""typ"":""vm"",""id"":11151002,""num"":40,""wgt"":2"&amp;"850},{""typ"":""vm"",""id"":11151003,""num"":40,""wgt"":2850},{""typ"":""item"",""id"":11111101,""num"":7,""wgt"":475},{""typ"":""item"",""id"":11111101,""num"":12,""wgt"":475},{""typ"":""item"",""id"":11111029,""num"":2,""wgt"":1425},{""typ"":""item"","""&amp;"id"":11117006,""num"":2,""wgt"":950},{""typ"":""item"",""id"":11117007,""num"":2,""wgt"":475},{""typ"":""item"",""id"":11117139,""num"":1,""wgt"":500}]}]}}")</f>
        <v>{"drop":{"typ":"single_all","num":1,"args":[{"typ":"single_all","num":1,"args":[{"typ":"rss","id":11141022,"num":10,"wgt":30}]},{"typ":"single_random","num":1,"args":[{"typ":"vm","id":11151002,"num":40,"wgt":2850},{"typ":"vm","id":11151003,"num":40,"wgt":2850},{"typ":"item","id":11111101,"num":7,"wgt":475},{"typ":"item","id":11111101,"num":12,"wgt":475},{"typ":"item","id":11111029,"num":2,"wgt":1425},{"typ":"item","id":11117006,"num":2,"wgt":950},{"typ":"item","id":11117007,"num":2,"wgt":475},{"typ":"item","id":11117139,"num":1,"wgt":500}]}]}}</v>
      </c>
      <c r="T1195" s="148">
        <f>IFERROR(__xludf.DUMMYFUNCTION("""COMPUTED_VALUE"""),-1.0)</f>
        <v>-1</v>
      </c>
      <c r="U1195" s="148">
        <f>IFERROR(__xludf.DUMMYFUNCTION("""COMPUTED_VALUE"""),0.0)</f>
        <v>0</v>
      </c>
      <c r="V1195" s="148" t="str">
        <f>IFERROR(__xludf.DUMMYFUNCTION("""COMPUTED_VALUE"""),"[]")</f>
        <v>[]</v>
      </c>
      <c r="W1195" s="148">
        <f>IFERROR(__xludf.DUMMYFUNCTION("""COMPUTED_VALUE"""),1.174E7)</f>
        <v>11740000</v>
      </c>
      <c r="X1195" s="148">
        <f>IFERROR(__xludf.DUMMYFUNCTION("""COMPUTED_VALUE"""),0.0)</f>
        <v>0</v>
      </c>
      <c r="Y1195" s="148">
        <f>IFERROR(__xludf.DUMMYFUNCTION("""COMPUTED_VALUE"""),0.0)</f>
        <v>0</v>
      </c>
      <c r="Z1195" s="148"/>
    </row>
    <row r="1196">
      <c r="A1196" s="148">
        <f>IFERROR(__xludf.DUMMYFUNCTION("""COMPUTED_VALUE"""),1.1114419E7)</f>
        <v>11114419</v>
      </c>
      <c r="B1196" s="148" t="str">
        <f>IFERROR(__xludf.DUMMYFUNCTION("""COMPUTED_VALUE"""),"一级联盟宝箱_紫")</f>
        <v>一级联盟宝箱_紫</v>
      </c>
      <c r="C1196" s="148"/>
      <c r="D1196" s="148" t="str">
        <f>IFERROR(__xludf.DUMMYFUNCTION("""COMPUTED_VALUE"""),"item_union_gift_box")</f>
        <v>item_union_gift_box</v>
      </c>
      <c r="E1196" s="148">
        <f>IFERROR(__xludf.DUMMYFUNCTION("""COMPUTED_VALUE"""),16.0)</f>
        <v>16</v>
      </c>
      <c r="F1196" s="148">
        <f>IFERROR(__xludf.DUMMYFUNCTION("""COMPUTED_VALUE"""),0.0)</f>
        <v>0</v>
      </c>
      <c r="G1196" s="148">
        <f>IFERROR(__xludf.DUMMYFUNCTION("""COMPUTED_VALUE"""),1.5113194E7)</f>
        <v>15113194</v>
      </c>
      <c r="H1196" s="148">
        <f>IFERROR(__xludf.DUMMYFUNCTION("""COMPUTED_VALUE"""),1.5112563E7)</f>
        <v>15112563</v>
      </c>
      <c r="I1196" s="148" t="str">
        <f>IFERROR(__xludf.DUMMYFUNCTION("""COMPUTED_VALUE"""),"{}")</f>
        <v>{}</v>
      </c>
      <c r="J1196" s="148" t="str">
        <f>IFERROR(__xludf.DUMMYFUNCTION("""COMPUTED_VALUE"""),"{""typ"":""lc"",""txt"":""LC_ITEM_alliance_shopping_gift_1_name""}")</f>
        <v>{"typ":"lc","txt":"LC_ITEM_alliance_shopping_gift_1_name"}</v>
      </c>
      <c r="K1196" s="148" t="str">
        <f>IFERROR(__xludf.DUMMYFUNCTION("""COMPUTED_VALUE"""),"{""typ"":""lc"",""txt"":""LC_ITEM_alliance_shopping_gift_1_desc""}")</f>
        <v>{"typ":"lc","txt":"LC_ITEM_alliance_shopping_gift_1_desc"}</v>
      </c>
      <c r="L1196" s="148" t="str">
        <f>IFERROR(__xludf.DUMMYFUNCTION("""COMPUTED_VALUE"""),"{}")</f>
        <v>{}</v>
      </c>
      <c r="M1196" s="148">
        <f>IFERROR(__xludf.DUMMYFUNCTION("""COMPUTED_VALUE"""),66.0)</f>
        <v>66</v>
      </c>
      <c r="N1196" s="148">
        <f>IFERROR(__xludf.DUMMYFUNCTION("""COMPUTED_VALUE"""),999999.0)</f>
        <v>999999</v>
      </c>
      <c r="O1196" s="148">
        <f>IFERROR(__xludf.DUMMYFUNCTION("""COMPUTED_VALUE"""),99999.0)</f>
        <v>99999</v>
      </c>
      <c r="P1196" s="148">
        <f>IFERROR(__xludf.DUMMYFUNCTION("""COMPUTED_VALUE"""),1.0)</f>
        <v>1</v>
      </c>
      <c r="Q1196" s="148" t="str">
        <f>IFERROR(__xludf.DUMMYFUNCTION("""COMPUTED_VALUE"""),"[]")</f>
        <v>[]</v>
      </c>
      <c r="R1196" s="148" t="str">
        <f>IFERROR(__xludf.DUMMYFUNCTION("""COMPUTED_VALUE"""),"[]")</f>
        <v>[]</v>
      </c>
      <c r="S1196" s="148" t="str">
        <f>IFERROR(__xludf.DUMMYFUNCTION("""COMPUTED_VALUE"""),"{""drop"":{""typ"":""single_all"",""num"":1,""args"":[{""typ"":""single_all"",""num"":1,""args"":[{""typ"":""rss"",""id"":11141022,""num"":10,""wgt"":30}]},{""typ"":""single_random"",""num"":1,""args"":[{""typ"":""vm"",""id"":11151002,""num"":50,""wgt"":2"&amp;"850},{""typ"":""vm"",""id"":11151003,""num"":50,""wgt"":2850},{""typ"":""item"",""id"":11111101,""num"":8,""wgt"":475},{""typ"":""item"",""id"":11111101,""num"":13,""wgt"":475},{""typ"":""item"",""id"":11111029,""num"":2,""wgt"":1425},{""typ"":""item"","""&amp;"id"":11117006,""num"":3,""wgt"":950},{""typ"":""item"",""id"":11117007,""num"":3,""wgt"":475},{""typ"":""item"",""id"":11117139,""num"":1,""wgt"":500}]}]}}")</f>
        <v>{"drop":{"typ":"single_all","num":1,"args":[{"typ":"single_all","num":1,"args":[{"typ":"rss","id":11141022,"num":10,"wgt":30}]},{"typ":"single_random","num":1,"args":[{"typ":"vm","id":11151002,"num":50,"wgt":2850},{"typ":"vm","id":11151003,"num":50,"wgt":2850},{"typ":"item","id":11111101,"num":8,"wgt":475},{"typ":"item","id":11111101,"num":13,"wgt":475},{"typ":"item","id":11111029,"num":2,"wgt":1425},{"typ":"item","id":11117006,"num":3,"wgt":950},{"typ":"item","id":11117007,"num":3,"wgt":475},{"typ":"item","id":11117139,"num":1,"wgt":500}]}]}}</v>
      </c>
      <c r="T1196" s="148">
        <f>IFERROR(__xludf.DUMMYFUNCTION("""COMPUTED_VALUE"""),-1.0)</f>
        <v>-1</v>
      </c>
      <c r="U1196" s="148">
        <f>IFERROR(__xludf.DUMMYFUNCTION("""COMPUTED_VALUE"""),0.0)</f>
        <v>0</v>
      </c>
      <c r="V1196" s="148" t="str">
        <f>IFERROR(__xludf.DUMMYFUNCTION("""COMPUTED_VALUE"""),"[]")</f>
        <v>[]</v>
      </c>
      <c r="W1196" s="148">
        <f>IFERROR(__xludf.DUMMYFUNCTION("""COMPUTED_VALUE"""),1.174E7)</f>
        <v>11740000</v>
      </c>
      <c r="X1196" s="148">
        <f>IFERROR(__xludf.DUMMYFUNCTION("""COMPUTED_VALUE"""),0.0)</f>
        <v>0</v>
      </c>
      <c r="Y1196" s="148">
        <f>IFERROR(__xludf.DUMMYFUNCTION("""COMPUTED_VALUE"""),0.0)</f>
        <v>0</v>
      </c>
      <c r="Z1196" s="148"/>
    </row>
    <row r="1197">
      <c r="A1197" s="148">
        <f>IFERROR(__xludf.DUMMYFUNCTION("""COMPUTED_VALUE"""),1.111442E7)</f>
        <v>11114420</v>
      </c>
      <c r="B1197" s="148" t="str">
        <f>IFERROR(__xludf.DUMMYFUNCTION("""COMPUTED_VALUE"""),"一级联盟宝箱_橙")</f>
        <v>一级联盟宝箱_橙</v>
      </c>
      <c r="C1197" s="148"/>
      <c r="D1197" s="148" t="str">
        <f>IFERROR(__xludf.DUMMYFUNCTION("""COMPUTED_VALUE"""),"item_union_gift_box")</f>
        <v>item_union_gift_box</v>
      </c>
      <c r="E1197" s="148">
        <f>IFERROR(__xludf.DUMMYFUNCTION("""COMPUTED_VALUE"""),16.0)</f>
        <v>16</v>
      </c>
      <c r="F1197" s="148">
        <f>IFERROR(__xludf.DUMMYFUNCTION("""COMPUTED_VALUE"""),0.0)</f>
        <v>0</v>
      </c>
      <c r="G1197" s="148">
        <f>IFERROR(__xludf.DUMMYFUNCTION("""COMPUTED_VALUE"""),1.5113194E7)</f>
        <v>15113194</v>
      </c>
      <c r="H1197" s="148">
        <f>IFERROR(__xludf.DUMMYFUNCTION("""COMPUTED_VALUE"""),1.5112564E7)</f>
        <v>15112564</v>
      </c>
      <c r="I1197" s="148" t="str">
        <f>IFERROR(__xludf.DUMMYFUNCTION("""COMPUTED_VALUE"""),"{}")</f>
        <v>{}</v>
      </c>
      <c r="J1197" s="148" t="str">
        <f>IFERROR(__xludf.DUMMYFUNCTION("""COMPUTED_VALUE"""),"{""typ"":""lc"",""txt"":""LC_ITEM_alliance_shopping_gift_1_name""}")</f>
        <v>{"typ":"lc","txt":"LC_ITEM_alliance_shopping_gift_1_name"}</v>
      </c>
      <c r="K1197" s="148" t="str">
        <f>IFERROR(__xludf.DUMMYFUNCTION("""COMPUTED_VALUE"""),"{""typ"":""lc"",""txt"":""LC_ITEM_alliance_shopping_gift_1_desc""}")</f>
        <v>{"typ":"lc","txt":"LC_ITEM_alliance_shopping_gift_1_desc"}</v>
      </c>
      <c r="L1197" s="148" t="str">
        <f>IFERROR(__xludf.DUMMYFUNCTION("""COMPUTED_VALUE"""),"{}")</f>
        <v>{}</v>
      </c>
      <c r="M1197" s="148">
        <f>IFERROR(__xludf.DUMMYFUNCTION("""COMPUTED_VALUE"""),66.0)</f>
        <v>66</v>
      </c>
      <c r="N1197" s="148">
        <f>IFERROR(__xludf.DUMMYFUNCTION("""COMPUTED_VALUE"""),999999.0)</f>
        <v>999999</v>
      </c>
      <c r="O1197" s="148">
        <f>IFERROR(__xludf.DUMMYFUNCTION("""COMPUTED_VALUE"""),99999.0)</f>
        <v>99999</v>
      </c>
      <c r="P1197" s="148">
        <f>IFERROR(__xludf.DUMMYFUNCTION("""COMPUTED_VALUE"""),1.0)</f>
        <v>1</v>
      </c>
      <c r="Q1197" s="148" t="str">
        <f>IFERROR(__xludf.DUMMYFUNCTION("""COMPUTED_VALUE"""),"[]")</f>
        <v>[]</v>
      </c>
      <c r="R1197" s="148" t="str">
        <f>IFERROR(__xludf.DUMMYFUNCTION("""COMPUTED_VALUE"""),"[]")</f>
        <v>[]</v>
      </c>
      <c r="S1197" s="148" t="str">
        <f>IFERROR(__xludf.DUMMYFUNCTION("""COMPUTED_VALUE"""),"{""drop"":{""typ"":""single_all"",""num"":1,""args"":[{""typ"":""single_all"",""num"":1,""args"":[{""typ"":""rss"",""id"":11141022,""num"":10,""wgt"":30}]},{""typ"":""single_random"",""num"":1,""args"":[{""typ"":""vm"",""id"":11151002,""num"":50,""wgt"":2"&amp;"945},{""typ"":""vm"",""id"":11151003,""num"":50,""wgt"":2945},{""typ"":""item"",""id"":11111101,""num"":9,""wgt"":475},{""typ"":""item"",""id"":11111101,""num"":14,""wgt"":475},{""typ"":""item"",""id"":11111029,""num"":3,""wgt"":1235},{""typ"":""item"","""&amp;"id"":11117006,""num"":4,""wgt"":950},{""typ"":""item"",""id"":11117007,""num"":3,""wgt"":475},{""typ"":""item"",""id"":11117139,""num"":1,""wgt"":500}]}]}}")</f>
        <v>{"drop":{"typ":"single_all","num":1,"args":[{"typ":"single_all","num":1,"args":[{"typ":"rss","id":11141022,"num":10,"wgt":30}]},{"typ":"single_random","num":1,"args":[{"typ":"vm","id":11151002,"num":50,"wgt":2945},{"typ":"vm","id":11151003,"num":50,"wgt":2945},{"typ":"item","id":11111101,"num":9,"wgt":475},{"typ":"item","id":11111101,"num":14,"wgt":475},{"typ":"item","id":11111029,"num":3,"wgt":1235},{"typ":"item","id":11117006,"num":4,"wgt":950},{"typ":"item","id":11117007,"num":3,"wgt":475},{"typ":"item","id":11117139,"num":1,"wgt":500}]}]}}</v>
      </c>
      <c r="T1197" s="148">
        <f>IFERROR(__xludf.DUMMYFUNCTION("""COMPUTED_VALUE"""),-1.0)</f>
        <v>-1</v>
      </c>
      <c r="U1197" s="148">
        <f>IFERROR(__xludf.DUMMYFUNCTION("""COMPUTED_VALUE"""),0.0)</f>
        <v>0</v>
      </c>
      <c r="V1197" s="148" t="str">
        <f>IFERROR(__xludf.DUMMYFUNCTION("""COMPUTED_VALUE"""),"[]")</f>
        <v>[]</v>
      </c>
      <c r="W1197" s="148">
        <f>IFERROR(__xludf.DUMMYFUNCTION("""COMPUTED_VALUE"""),1.174E7)</f>
        <v>11740000</v>
      </c>
      <c r="X1197" s="148">
        <f>IFERROR(__xludf.DUMMYFUNCTION("""COMPUTED_VALUE"""),0.0)</f>
        <v>0</v>
      </c>
      <c r="Y1197" s="148">
        <f>IFERROR(__xludf.DUMMYFUNCTION("""COMPUTED_VALUE"""),0.0)</f>
        <v>0</v>
      </c>
      <c r="Z1197" s="148"/>
    </row>
    <row r="1198">
      <c r="A1198" s="148">
        <f>IFERROR(__xludf.DUMMYFUNCTION("""COMPUTED_VALUE"""),1.1114421E7)</f>
        <v>11114421</v>
      </c>
      <c r="B1198" s="148" t="str">
        <f>IFERROR(__xludf.DUMMYFUNCTION("""COMPUTED_VALUE"""),"二级联盟宝箱_白")</f>
        <v>二级联盟宝箱_白</v>
      </c>
      <c r="C1198" s="148"/>
      <c r="D1198" s="148" t="str">
        <f>IFERROR(__xludf.DUMMYFUNCTION("""COMPUTED_VALUE"""),"item_union_gift_box")</f>
        <v>item_union_gift_box</v>
      </c>
      <c r="E1198" s="148">
        <f>IFERROR(__xludf.DUMMYFUNCTION("""COMPUTED_VALUE"""),16.0)</f>
        <v>16</v>
      </c>
      <c r="F1198" s="148">
        <f>IFERROR(__xludf.DUMMYFUNCTION("""COMPUTED_VALUE"""),0.0)</f>
        <v>0</v>
      </c>
      <c r="G1198" s="148">
        <f>IFERROR(__xludf.DUMMYFUNCTION("""COMPUTED_VALUE"""),1.5113195E7)</f>
        <v>15113195</v>
      </c>
      <c r="H1198" s="148">
        <f>IFERROR(__xludf.DUMMYFUNCTION("""COMPUTED_VALUE"""),1.511256E7)</f>
        <v>15112560</v>
      </c>
      <c r="I1198" s="148" t="str">
        <f>IFERROR(__xludf.DUMMYFUNCTION("""COMPUTED_VALUE"""),"{}")</f>
        <v>{}</v>
      </c>
      <c r="J1198" s="148" t="str">
        <f>IFERROR(__xludf.DUMMYFUNCTION("""COMPUTED_VALUE"""),"{""typ"":""lc"",""txt"":""LC_ITEM_alliance_shopping_gift_2_name""}")</f>
        <v>{"typ":"lc","txt":"LC_ITEM_alliance_shopping_gift_2_name"}</v>
      </c>
      <c r="K1198" s="148" t="str">
        <f>IFERROR(__xludf.DUMMYFUNCTION("""COMPUTED_VALUE"""),"{""typ"":""lc"",""txt"":""LC_ITEM_alliance_shopping_gift_2_desc""}")</f>
        <v>{"typ":"lc","txt":"LC_ITEM_alliance_shopping_gift_2_desc"}</v>
      </c>
      <c r="L1198" s="148" t="str">
        <f>IFERROR(__xludf.DUMMYFUNCTION("""COMPUTED_VALUE"""),"{}")</f>
        <v>{}</v>
      </c>
      <c r="M1198" s="148">
        <f>IFERROR(__xludf.DUMMYFUNCTION("""COMPUTED_VALUE"""),66.0)</f>
        <v>66</v>
      </c>
      <c r="N1198" s="148">
        <f>IFERROR(__xludf.DUMMYFUNCTION("""COMPUTED_VALUE"""),999999.0)</f>
        <v>999999</v>
      </c>
      <c r="O1198" s="148">
        <f>IFERROR(__xludf.DUMMYFUNCTION("""COMPUTED_VALUE"""),99999.0)</f>
        <v>99999</v>
      </c>
      <c r="P1198" s="148">
        <f>IFERROR(__xludf.DUMMYFUNCTION("""COMPUTED_VALUE"""),1.0)</f>
        <v>1</v>
      </c>
      <c r="Q1198" s="148" t="str">
        <f>IFERROR(__xludf.DUMMYFUNCTION("""COMPUTED_VALUE"""),"[]")</f>
        <v>[]</v>
      </c>
      <c r="R1198" s="148" t="str">
        <f>IFERROR(__xludf.DUMMYFUNCTION("""COMPUTED_VALUE"""),"[]")</f>
        <v>[]</v>
      </c>
      <c r="S1198" s="148" t="str">
        <f>IFERROR(__xludf.DUMMYFUNCTION("""COMPUTED_VALUE"""),"{""drop"":{""typ"":""single_all"",""num"":1,""args"":[{""typ"":""single_all"",""num"":1,""args"":[{""typ"":""rss"",""id"":11141022,""num"":50,""wgt"":30}]},{""typ"":""single_random"",""num"":1,""args"":[{""typ"":""vm"",""id"":11151002,""num"":150,""wgt"":"&amp;"1260},{""typ"":""vm"",""id"":11151003,""num"":150,""wgt"":1260},{""typ"":""item"",""id"":11111029,""num"":1,""wgt"":900},{""typ"":""item"",""id"":11111019,""num"":1,""wgt"":90},{""typ"":""item"",""id"":11111013,""num"":4,""wgt"":180},{""typ"":""item"",""i"&amp;"d"":11111102,""num"":2,""wgt"":1350},{""typ"":""item"",""id"":11111102,""num"":2,""wgt"":2610},{""typ"":""item"",""id"":11117008,""num"":1,""wgt"":90},{""typ"":""item"",""id"":11117007,""num"":3,""wgt"":900},{""typ"":""item"",""id"":11111322,""num"":3,""w"&amp;"gt"":360},{""typ"":""item"",""id"":11117139,""num"":1,""wgt"":1000}]}]}}")</f>
        <v>{"drop":{"typ":"single_all","num":1,"args":[{"typ":"single_all","num":1,"args":[{"typ":"rss","id":11141022,"num":50,"wgt":30}]},{"typ":"single_random","num":1,"args":[{"typ":"vm","id":11151002,"num":150,"wgt":1260},{"typ":"vm","id":11151003,"num":150,"wgt":1260},{"typ":"item","id":11111029,"num":1,"wgt":900},{"typ":"item","id":11111019,"num":1,"wgt":90},{"typ":"item","id":11111013,"num":4,"wgt":180},{"typ":"item","id":11111102,"num":2,"wgt":1350},{"typ":"item","id":11111102,"num":2,"wgt":2610},{"typ":"item","id":11117008,"num":1,"wgt":90},{"typ":"item","id":11117007,"num":3,"wgt":900},{"typ":"item","id":11111322,"num":3,"wgt":360},{"typ":"item","id":11117139,"num":1,"wgt":1000}]}]}}</v>
      </c>
      <c r="T1198" s="148">
        <f>IFERROR(__xludf.DUMMYFUNCTION("""COMPUTED_VALUE"""),-1.0)</f>
        <v>-1</v>
      </c>
      <c r="U1198" s="148">
        <f>IFERROR(__xludf.DUMMYFUNCTION("""COMPUTED_VALUE"""),0.0)</f>
        <v>0</v>
      </c>
      <c r="V1198" s="148" t="str">
        <f>IFERROR(__xludf.DUMMYFUNCTION("""COMPUTED_VALUE"""),"[]")</f>
        <v>[]</v>
      </c>
      <c r="W1198" s="148">
        <f>IFERROR(__xludf.DUMMYFUNCTION("""COMPUTED_VALUE"""),1.174E7)</f>
        <v>11740000</v>
      </c>
      <c r="X1198" s="148">
        <f>IFERROR(__xludf.DUMMYFUNCTION("""COMPUTED_VALUE"""),0.0)</f>
        <v>0</v>
      </c>
      <c r="Y1198" s="148">
        <f>IFERROR(__xludf.DUMMYFUNCTION("""COMPUTED_VALUE"""),0.0)</f>
        <v>0</v>
      </c>
      <c r="Z1198" s="148"/>
    </row>
    <row r="1199">
      <c r="A1199" s="148">
        <f>IFERROR(__xludf.DUMMYFUNCTION("""COMPUTED_VALUE"""),1.1114422E7)</f>
        <v>11114422</v>
      </c>
      <c r="B1199" s="148" t="str">
        <f>IFERROR(__xludf.DUMMYFUNCTION("""COMPUTED_VALUE"""),"二级联盟宝箱_绿")</f>
        <v>二级联盟宝箱_绿</v>
      </c>
      <c r="C1199" s="148"/>
      <c r="D1199" s="148" t="str">
        <f>IFERROR(__xludf.DUMMYFUNCTION("""COMPUTED_VALUE"""),"item_union_gift_box")</f>
        <v>item_union_gift_box</v>
      </c>
      <c r="E1199" s="148">
        <f>IFERROR(__xludf.DUMMYFUNCTION("""COMPUTED_VALUE"""),16.0)</f>
        <v>16</v>
      </c>
      <c r="F1199" s="148">
        <f>IFERROR(__xludf.DUMMYFUNCTION("""COMPUTED_VALUE"""),0.0)</f>
        <v>0</v>
      </c>
      <c r="G1199" s="148">
        <f>IFERROR(__xludf.DUMMYFUNCTION("""COMPUTED_VALUE"""),1.5113195E7)</f>
        <v>15113195</v>
      </c>
      <c r="H1199" s="148">
        <f>IFERROR(__xludf.DUMMYFUNCTION("""COMPUTED_VALUE"""),1.5112561E7)</f>
        <v>15112561</v>
      </c>
      <c r="I1199" s="148" t="str">
        <f>IFERROR(__xludf.DUMMYFUNCTION("""COMPUTED_VALUE"""),"{}")</f>
        <v>{}</v>
      </c>
      <c r="J1199" s="148" t="str">
        <f>IFERROR(__xludf.DUMMYFUNCTION("""COMPUTED_VALUE"""),"{""typ"":""lc"",""txt"":""LC_ITEM_alliance_shopping_gift_2_name""}")</f>
        <v>{"typ":"lc","txt":"LC_ITEM_alliance_shopping_gift_2_name"}</v>
      </c>
      <c r="K1199" s="148" t="str">
        <f>IFERROR(__xludf.DUMMYFUNCTION("""COMPUTED_VALUE"""),"{""typ"":""lc"",""txt"":""LC_ITEM_alliance_shopping_gift_2_desc""}")</f>
        <v>{"typ":"lc","txt":"LC_ITEM_alliance_shopping_gift_2_desc"}</v>
      </c>
      <c r="L1199" s="148" t="str">
        <f>IFERROR(__xludf.DUMMYFUNCTION("""COMPUTED_VALUE"""),"{}")</f>
        <v>{}</v>
      </c>
      <c r="M1199" s="148">
        <f>IFERROR(__xludf.DUMMYFUNCTION("""COMPUTED_VALUE"""),66.0)</f>
        <v>66</v>
      </c>
      <c r="N1199" s="148">
        <f>IFERROR(__xludf.DUMMYFUNCTION("""COMPUTED_VALUE"""),999999.0)</f>
        <v>999999</v>
      </c>
      <c r="O1199" s="148">
        <f>IFERROR(__xludf.DUMMYFUNCTION("""COMPUTED_VALUE"""),99999.0)</f>
        <v>99999</v>
      </c>
      <c r="P1199" s="148">
        <f>IFERROR(__xludf.DUMMYFUNCTION("""COMPUTED_VALUE"""),1.0)</f>
        <v>1</v>
      </c>
      <c r="Q1199" s="148" t="str">
        <f>IFERROR(__xludf.DUMMYFUNCTION("""COMPUTED_VALUE"""),"[]")</f>
        <v>[]</v>
      </c>
      <c r="R1199" s="148" t="str">
        <f>IFERROR(__xludf.DUMMYFUNCTION("""COMPUTED_VALUE"""),"[]")</f>
        <v>[]</v>
      </c>
      <c r="S1199" s="148" t="str">
        <f>IFERROR(__xludf.DUMMYFUNCTION("""COMPUTED_VALUE"""),"{""drop"":{""typ"":""single_all"",""num"":1,""args"":[{""typ"":""single_all"",""num"":1,""args"":[{""typ"":""rss"",""id"":11141022,""num"":50,""wgt"":30}]},{""typ"":""single_random"",""num"":1,""args"":[{""typ"":""vm"",""id"":11151002,""num"":200,""wgt"":"&amp;"1260},{""typ"":""vm"",""id"":11151003,""num"":200,""wgt"":1260},{""typ"":""item"",""id"":11111029,""num"":2,""wgt"":900},{""typ"":""item"",""id"":11111019,""num"":1,""wgt"":90},{""typ"":""item"",""id"":11111013,""num"":4,""wgt"":180},{""typ"":""item"",""i"&amp;"d"":11111102,""num"":3,""wgt"":1350},{""typ"":""item"",""id"":11111102,""num"":3,""wgt"":2610},{""typ"":""item"",""id"":11117008,""num"":1,""wgt"":90},{""typ"":""item"",""id"":11117007,""num"":4,""wgt"":900},{""typ"":""item"",""id"":11111322,""num"":4,""w"&amp;"gt"":360},{""typ"":""item"",""id"":11117139,""num"":1,""wgt"":1000}]}]}}")</f>
        <v>{"drop":{"typ":"single_all","num":1,"args":[{"typ":"single_all","num":1,"args":[{"typ":"rss","id":11141022,"num":50,"wgt":30}]},{"typ":"single_random","num":1,"args":[{"typ":"vm","id":11151002,"num":200,"wgt":1260},{"typ":"vm","id":11151003,"num":200,"wgt":1260},{"typ":"item","id":11111029,"num":2,"wgt":900},{"typ":"item","id":11111019,"num":1,"wgt":90},{"typ":"item","id":11111013,"num":4,"wgt":180},{"typ":"item","id":11111102,"num":3,"wgt":1350},{"typ":"item","id":11111102,"num":3,"wgt":2610},{"typ":"item","id":11117008,"num":1,"wgt":90},{"typ":"item","id":11117007,"num":4,"wgt":900},{"typ":"item","id":11111322,"num":4,"wgt":360},{"typ":"item","id":11117139,"num":1,"wgt":1000}]}]}}</v>
      </c>
      <c r="T1199" s="148">
        <f>IFERROR(__xludf.DUMMYFUNCTION("""COMPUTED_VALUE"""),-1.0)</f>
        <v>-1</v>
      </c>
      <c r="U1199" s="148">
        <f>IFERROR(__xludf.DUMMYFUNCTION("""COMPUTED_VALUE"""),0.0)</f>
        <v>0</v>
      </c>
      <c r="V1199" s="148" t="str">
        <f>IFERROR(__xludf.DUMMYFUNCTION("""COMPUTED_VALUE"""),"[]")</f>
        <v>[]</v>
      </c>
      <c r="W1199" s="148">
        <f>IFERROR(__xludf.DUMMYFUNCTION("""COMPUTED_VALUE"""),1.174E7)</f>
        <v>11740000</v>
      </c>
      <c r="X1199" s="148">
        <f>IFERROR(__xludf.DUMMYFUNCTION("""COMPUTED_VALUE"""),0.0)</f>
        <v>0</v>
      </c>
      <c r="Y1199" s="148">
        <f>IFERROR(__xludf.DUMMYFUNCTION("""COMPUTED_VALUE"""),0.0)</f>
        <v>0</v>
      </c>
      <c r="Z1199" s="148"/>
    </row>
    <row r="1200">
      <c r="A1200" s="148">
        <f>IFERROR(__xludf.DUMMYFUNCTION("""COMPUTED_VALUE"""),1.1114423E7)</f>
        <v>11114423</v>
      </c>
      <c r="B1200" s="148" t="str">
        <f>IFERROR(__xludf.DUMMYFUNCTION("""COMPUTED_VALUE"""),"二级联盟宝箱_蓝")</f>
        <v>二级联盟宝箱_蓝</v>
      </c>
      <c r="C1200" s="148"/>
      <c r="D1200" s="148" t="str">
        <f>IFERROR(__xludf.DUMMYFUNCTION("""COMPUTED_VALUE"""),"item_union_gift_box")</f>
        <v>item_union_gift_box</v>
      </c>
      <c r="E1200" s="148">
        <f>IFERROR(__xludf.DUMMYFUNCTION("""COMPUTED_VALUE"""),16.0)</f>
        <v>16</v>
      </c>
      <c r="F1200" s="148">
        <f>IFERROR(__xludf.DUMMYFUNCTION("""COMPUTED_VALUE"""),0.0)</f>
        <v>0</v>
      </c>
      <c r="G1200" s="148">
        <f>IFERROR(__xludf.DUMMYFUNCTION("""COMPUTED_VALUE"""),1.5113195E7)</f>
        <v>15113195</v>
      </c>
      <c r="H1200" s="148">
        <f>IFERROR(__xludf.DUMMYFUNCTION("""COMPUTED_VALUE"""),1.5112562E7)</f>
        <v>15112562</v>
      </c>
      <c r="I1200" s="148" t="str">
        <f>IFERROR(__xludf.DUMMYFUNCTION("""COMPUTED_VALUE"""),"{}")</f>
        <v>{}</v>
      </c>
      <c r="J1200" s="148" t="str">
        <f>IFERROR(__xludf.DUMMYFUNCTION("""COMPUTED_VALUE"""),"{""typ"":""lc"",""txt"":""LC_ITEM_alliance_shopping_gift_2_name""}")</f>
        <v>{"typ":"lc","txt":"LC_ITEM_alliance_shopping_gift_2_name"}</v>
      </c>
      <c r="K1200" s="148" t="str">
        <f>IFERROR(__xludf.DUMMYFUNCTION("""COMPUTED_VALUE"""),"{""typ"":""lc"",""txt"":""LC_ITEM_alliance_shopping_gift_2_desc""}")</f>
        <v>{"typ":"lc","txt":"LC_ITEM_alliance_shopping_gift_2_desc"}</v>
      </c>
      <c r="L1200" s="148" t="str">
        <f>IFERROR(__xludf.DUMMYFUNCTION("""COMPUTED_VALUE"""),"{}")</f>
        <v>{}</v>
      </c>
      <c r="M1200" s="148">
        <f>IFERROR(__xludf.DUMMYFUNCTION("""COMPUTED_VALUE"""),66.0)</f>
        <v>66</v>
      </c>
      <c r="N1200" s="148">
        <f>IFERROR(__xludf.DUMMYFUNCTION("""COMPUTED_VALUE"""),999999.0)</f>
        <v>999999</v>
      </c>
      <c r="O1200" s="148">
        <f>IFERROR(__xludf.DUMMYFUNCTION("""COMPUTED_VALUE"""),99999.0)</f>
        <v>99999</v>
      </c>
      <c r="P1200" s="148">
        <f>IFERROR(__xludf.DUMMYFUNCTION("""COMPUTED_VALUE"""),1.0)</f>
        <v>1</v>
      </c>
      <c r="Q1200" s="148" t="str">
        <f>IFERROR(__xludf.DUMMYFUNCTION("""COMPUTED_VALUE"""),"[]")</f>
        <v>[]</v>
      </c>
      <c r="R1200" s="148" t="str">
        <f>IFERROR(__xludf.DUMMYFUNCTION("""COMPUTED_VALUE"""),"[]")</f>
        <v>[]</v>
      </c>
      <c r="S1200" s="148" t="str">
        <f>IFERROR(__xludf.DUMMYFUNCTION("""COMPUTED_VALUE"""),"{""drop"":{""typ"":""single_all"",""num"":1,""args"":[{""typ"":""single_all"",""num"":1,""args"":[{""typ"":""rss"",""id"":11141022,""num"":50,""wgt"":30}]},{""typ"":""single_random"",""num"":1,""args"":[{""typ"":""vm"",""id"":11151002,""num"":230,""wgt"":"&amp;"1440},{""typ"":""vm"",""id"":11151003,""num"":230,""wgt"":1440},{""typ"":""item"",""id"":11111029,""num"":2,""wgt"":900},{""typ"":""item"",""id"":11111019,""num"":2,""wgt"":90},{""typ"":""item"",""id"":11111013,""num"":4,""wgt"":180},{""typ"":""item"",""i"&amp;"d"":11111103,""num"":2,""wgt"":1350},{""typ"":""item"",""id"":11111102,""num"":3,""wgt"":2250},{""typ"":""item"",""id"":11117008,""num"":1,""wgt"":90},{""typ"":""item"",""id"":11117007,""num"":4,""wgt"":900},{""typ"":""item"",""id"":11111322,""num"":4,""w"&amp;"gt"":360},{""typ"":""item"",""id"":11117139,""num"":1,""wgt"":1000}]}]}}")</f>
        <v>{"drop":{"typ":"single_all","num":1,"args":[{"typ":"single_all","num":1,"args":[{"typ":"rss","id":11141022,"num":50,"wgt":30}]},{"typ":"single_random","num":1,"args":[{"typ":"vm","id":11151002,"num":230,"wgt":1440},{"typ":"vm","id":11151003,"num":230,"wgt":1440},{"typ":"item","id":11111029,"num":2,"wgt":900},{"typ":"item","id":11111019,"num":2,"wgt":90},{"typ":"item","id":11111013,"num":4,"wgt":180},{"typ":"item","id":11111103,"num":2,"wgt":1350},{"typ":"item","id":11111102,"num":3,"wgt":2250},{"typ":"item","id":11117008,"num":1,"wgt":90},{"typ":"item","id":11117007,"num":4,"wgt":900},{"typ":"item","id":11111322,"num":4,"wgt":360},{"typ":"item","id":11117139,"num":1,"wgt":1000}]}]}}</v>
      </c>
      <c r="T1200" s="148">
        <f>IFERROR(__xludf.DUMMYFUNCTION("""COMPUTED_VALUE"""),-1.0)</f>
        <v>-1</v>
      </c>
      <c r="U1200" s="148">
        <f>IFERROR(__xludf.DUMMYFUNCTION("""COMPUTED_VALUE"""),0.0)</f>
        <v>0</v>
      </c>
      <c r="V1200" s="148" t="str">
        <f>IFERROR(__xludf.DUMMYFUNCTION("""COMPUTED_VALUE"""),"[]")</f>
        <v>[]</v>
      </c>
      <c r="W1200" s="148">
        <f>IFERROR(__xludf.DUMMYFUNCTION("""COMPUTED_VALUE"""),1.174E7)</f>
        <v>11740000</v>
      </c>
      <c r="X1200" s="148">
        <f>IFERROR(__xludf.DUMMYFUNCTION("""COMPUTED_VALUE"""),0.0)</f>
        <v>0</v>
      </c>
      <c r="Y1200" s="148">
        <f>IFERROR(__xludf.DUMMYFUNCTION("""COMPUTED_VALUE"""),0.0)</f>
        <v>0</v>
      </c>
      <c r="Z1200" s="148"/>
    </row>
    <row r="1201">
      <c r="A1201" s="148">
        <f>IFERROR(__xludf.DUMMYFUNCTION("""COMPUTED_VALUE"""),1.1114424E7)</f>
        <v>11114424</v>
      </c>
      <c r="B1201" s="148" t="str">
        <f>IFERROR(__xludf.DUMMYFUNCTION("""COMPUTED_VALUE"""),"二级联盟宝箱_紫")</f>
        <v>二级联盟宝箱_紫</v>
      </c>
      <c r="C1201" s="148"/>
      <c r="D1201" s="148" t="str">
        <f>IFERROR(__xludf.DUMMYFUNCTION("""COMPUTED_VALUE"""),"item_union_gift_box")</f>
        <v>item_union_gift_box</v>
      </c>
      <c r="E1201" s="148">
        <f>IFERROR(__xludf.DUMMYFUNCTION("""COMPUTED_VALUE"""),16.0)</f>
        <v>16</v>
      </c>
      <c r="F1201" s="148">
        <f>IFERROR(__xludf.DUMMYFUNCTION("""COMPUTED_VALUE"""),0.0)</f>
        <v>0</v>
      </c>
      <c r="G1201" s="148">
        <f>IFERROR(__xludf.DUMMYFUNCTION("""COMPUTED_VALUE"""),1.5113195E7)</f>
        <v>15113195</v>
      </c>
      <c r="H1201" s="148">
        <f>IFERROR(__xludf.DUMMYFUNCTION("""COMPUTED_VALUE"""),1.5112563E7)</f>
        <v>15112563</v>
      </c>
      <c r="I1201" s="148" t="str">
        <f>IFERROR(__xludf.DUMMYFUNCTION("""COMPUTED_VALUE"""),"{}")</f>
        <v>{}</v>
      </c>
      <c r="J1201" s="148" t="str">
        <f>IFERROR(__xludf.DUMMYFUNCTION("""COMPUTED_VALUE"""),"{""typ"":""lc"",""txt"":""LC_ITEM_alliance_shopping_gift_2_name""}")</f>
        <v>{"typ":"lc","txt":"LC_ITEM_alliance_shopping_gift_2_name"}</v>
      </c>
      <c r="K1201" s="148" t="str">
        <f>IFERROR(__xludf.DUMMYFUNCTION("""COMPUTED_VALUE"""),"{""typ"":""lc"",""txt"":""LC_ITEM_alliance_shopping_gift_2_desc""}")</f>
        <v>{"typ":"lc","txt":"LC_ITEM_alliance_shopping_gift_2_desc"}</v>
      </c>
      <c r="L1201" s="148" t="str">
        <f>IFERROR(__xludf.DUMMYFUNCTION("""COMPUTED_VALUE"""),"{}")</f>
        <v>{}</v>
      </c>
      <c r="M1201" s="148">
        <f>IFERROR(__xludf.DUMMYFUNCTION("""COMPUTED_VALUE"""),66.0)</f>
        <v>66</v>
      </c>
      <c r="N1201" s="148">
        <f>IFERROR(__xludf.DUMMYFUNCTION("""COMPUTED_VALUE"""),999999.0)</f>
        <v>999999</v>
      </c>
      <c r="O1201" s="148">
        <f>IFERROR(__xludf.DUMMYFUNCTION("""COMPUTED_VALUE"""),99999.0)</f>
        <v>99999</v>
      </c>
      <c r="P1201" s="148">
        <f>IFERROR(__xludf.DUMMYFUNCTION("""COMPUTED_VALUE"""),1.0)</f>
        <v>1</v>
      </c>
      <c r="Q1201" s="148" t="str">
        <f>IFERROR(__xludf.DUMMYFUNCTION("""COMPUTED_VALUE"""),"[]")</f>
        <v>[]</v>
      </c>
      <c r="R1201" s="148" t="str">
        <f>IFERROR(__xludf.DUMMYFUNCTION("""COMPUTED_VALUE"""),"[]")</f>
        <v>[]</v>
      </c>
      <c r="S1201" s="148" t="str">
        <f>IFERROR(__xludf.DUMMYFUNCTION("""COMPUTED_VALUE"""),"{""drop"":{""typ"":""single_all"",""num"":1,""args"":[{""typ"":""single_all"",""num"":1,""args"":[{""typ"":""rss"",""id"":11141022,""num"":50,""wgt"":30}]},{""typ"":""single_random"",""num"":1,""args"":[{""typ"":""vm"",""id"":11151002,""num"":260,""wgt"":"&amp;"1440},{""typ"":""vm"",""id"":11151003,""num"":260,""wgt"":1440},{""typ"":""item"",""id"":11111029,""num"":3,""wgt"":900},{""typ"":""item"",""id"":11111019,""num"":2,""wgt"":90},{""typ"":""item"",""id"":11111013,""num"":4,""wgt"":180},{""typ"":""item"",""i"&amp;"d"":11111103,""num"":2,""wgt"":1350},{""typ"":""item"",""id"":11111102,""num"":4,""wgt"":2250},{""typ"":""item"",""id"":11117008,""num"":1,""wgt"":90},{""typ"":""item"",""id"":11117007,""num"":5,""wgt"":900},{""typ"":""item"",""id"":11111322,""num"":5,""w"&amp;"gt"":360},{""typ"":""item"",""id"":11117139,""num"":1,""wgt"":1000}]}]}}")</f>
        <v>{"drop":{"typ":"single_all","num":1,"args":[{"typ":"single_all","num":1,"args":[{"typ":"rss","id":11141022,"num":50,"wgt":30}]},{"typ":"single_random","num":1,"args":[{"typ":"vm","id":11151002,"num":260,"wgt":1440},{"typ":"vm","id":11151003,"num":260,"wgt":1440},{"typ":"item","id":11111029,"num":3,"wgt":900},{"typ":"item","id":11111019,"num":2,"wgt":90},{"typ":"item","id":11111013,"num":4,"wgt":180},{"typ":"item","id":11111103,"num":2,"wgt":1350},{"typ":"item","id":11111102,"num":4,"wgt":2250},{"typ":"item","id":11117008,"num":1,"wgt":90},{"typ":"item","id":11117007,"num":5,"wgt":900},{"typ":"item","id":11111322,"num":5,"wgt":360},{"typ":"item","id":11117139,"num":1,"wgt":1000}]}]}}</v>
      </c>
      <c r="T1201" s="148">
        <f>IFERROR(__xludf.DUMMYFUNCTION("""COMPUTED_VALUE"""),-1.0)</f>
        <v>-1</v>
      </c>
      <c r="U1201" s="148">
        <f>IFERROR(__xludf.DUMMYFUNCTION("""COMPUTED_VALUE"""),0.0)</f>
        <v>0</v>
      </c>
      <c r="V1201" s="148" t="str">
        <f>IFERROR(__xludf.DUMMYFUNCTION("""COMPUTED_VALUE"""),"[]")</f>
        <v>[]</v>
      </c>
      <c r="W1201" s="148">
        <f>IFERROR(__xludf.DUMMYFUNCTION("""COMPUTED_VALUE"""),1.174E7)</f>
        <v>11740000</v>
      </c>
      <c r="X1201" s="148">
        <f>IFERROR(__xludf.DUMMYFUNCTION("""COMPUTED_VALUE"""),0.0)</f>
        <v>0</v>
      </c>
      <c r="Y1201" s="148">
        <f>IFERROR(__xludf.DUMMYFUNCTION("""COMPUTED_VALUE"""),0.0)</f>
        <v>0</v>
      </c>
      <c r="Z1201" s="148"/>
    </row>
    <row r="1202">
      <c r="A1202" s="148">
        <f>IFERROR(__xludf.DUMMYFUNCTION("""COMPUTED_VALUE"""),1.1114425E7)</f>
        <v>11114425</v>
      </c>
      <c r="B1202" s="148" t="str">
        <f>IFERROR(__xludf.DUMMYFUNCTION("""COMPUTED_VALUE"""),"二级联盟宝箱_橙")</f>
        <v>二级联盟宝箱_橙</v>
      </c>
      <c r="C1202" s="148"/>
      <c r="D1202" s="148" t="str">
        <f>IFERROR(__xludf.DUMMYFUNCTION("""COMPUTED_VALUE"""),"item_union_gift_box")</f>
        <v>item_union_gift_box</v>
      </c>
      <c r="E1202" s="148">
        <f>IFERROR(__xludf.DUMMYFUNCTION("""COMPUTED_VALUE"""),16.0)</f>
        <v>16</v>
      </c>
      <c r="F1202" s="148">
        <f>IFERROR(__xludf.DUMMYFUNCTION("""COMPUTED_VALUE"""),0.0)</f>
        <v>0</v>
      </c>
      <c r="G1202" s="148">
        <f>IFERROR(__xludf.DUMMYFUNCTION("""COMPUTED_VALUE"""),1.5113195E7)</f>
        <v>15113195</v>
      </c>
      <c r="H1202" s="148">
        <f>IFERROR(__xludf.DUMMYFUNCTION("""COMPUTED_VALUE"""),1.5112564E7)</f>
        <v>15112564</v>
      </c>
      <c r="I1202" s="148" t="str">
        <f>IFERROR(__xludf.DUMMYFUNCTION("""COMPUTED_VALUE"""),"{}")</f>
        <v>{}</v>
      </c>
      <c r="J1202" s="148" t="str">
        <f>IFERROR(__xludf.DUMMYFUNCTION("""COMPUTED_VALUE"""),"{""typ"":""lc"",""txt"":""LC_ITEM_alliance_shopping_gift_2_name""}")</f>
        <v>{"typ":"lc","txt":"LC_ITEM_alliance_shopping_gift_2_name"}</v>
      </c>
      <c r="K1202" s="148" t="str">
        <f>IFERROR(__xludf.DUMMYFUNCTION("""COMPUTED_VALUE"""),"{""typ"":""lc"",""txt"":""LC_ITEM_alliance_shopping_gift_2_desc""}")</f>
        <v>{"typ":"lc","txt":"LC_ITEM_alliance_shopping_gift_2_desc"}</v>
      </c>
      <c r="L1202" s="148" t="str">
        <f>IFERROR(__xludf.DUMMYFUNCTION("""COMPUTED_VALUE"""),"{}")</f>
        <v>{}</v>
      </c>
      <c r="M1202" s="148">
        <f>IFERROR(__xludf.DUMMYFUNCTION("""COMPUTED_VALUE"""),66.0)</f>
        <v>66</v>
      </c>
      <c r="N1202" s="148">
        <f>IFERROR(__xludf.DUMMYFUNCTION("""COMPUTED_VALUE"""),999999.0)</f>
        <v>999999</v>
      </c>
      <c r="O1202" s="148">
        <f>IFERROR(__xludf.DUMMYFUNCTION("""COMPUTED_VALUE"""),99999.0)</f>
        <v>99999</v>
      </c>
      <c r="P1202" s="148">
        <f>IFERROR(__xludf.DUMMYFUNCTION("""COMPUTED_VALUE"""),1.0)</f>
        <v>1</v>
      </c>
      <c r="Q1202" s="148" t="str">
        <f>IFERROR(__xludf.DUMMYFUNCTION("""COMPUTED_VALUE"""),"[]")</f>
        <v>[]</v>
      </c>
      <c r="R1202" s="148" t="str">
        <f>IFERROR(__xludf.DUMMYFUNCTION("""COMPUTED_VALUE"""),"[]")</f>
        <v>[]</v>
      </c>
      <c r="S1202" s="148" t="str">
        <f>IFERROR(__xludf.DUMMYFUNCTION("""COMPUTED_VALUE"""),"{""drop"":{""typ"":""single_all"",""num"":1,""args"":[{""typ"":""single_all"",""num"":1,""args"":[{""typ"":""rss"",""id"":11141022,""num"":50,""wgt"":30}]},{""typ"":""single_random"",""num"":1,""args"":[{""typ"":""vm"",""id"":11151002,""num"":300,""wgt"":"&amp;"1440},{""typ"":""vm"",""id"":11151003,""num"":300,""wgt"":1440},{""typ"":""item"",""id"":11111029,""num"":3,""wgt"":900},{""typ"":""item"",""id"":11111019,""num"":3,""wgt"":90},{""typ"":""item"",""id"":11111013,""num"":4,""wgt"":180},{""typ"":""item"",""i"&amp;"d"":11111103,""num"":3,""wgt"":1350},{""typ"":""item"",""id"":11111102,""num"":5,""wgt"":2250},{""typ"":""item"",""id"":11117008,""num"":1,""wgt"":90},{""typ"":""item"",""id"":11117007,""num"":6,""wgt"":900},{""typ"":""item"",""id"":11111322,""num"":5,""w"&amp;"gt"":360},{""typ"":""item"",""id"":11117139,""num"":1,""wgt"":1000}]}]}}")</f>
        <v>{"drop":{"typ":"single_all","num":1,"args":[{"typ":"single_all","num":1,"args":[{"typ":"rss","id":11141022,"num":50,"wgt":30}]},{"typ":"single_random","num":1,"args":[{"typ":"vm","id":11151002,"num":300,"wgt":1440},{"typ":"vm","id":11151003,"num":300,"wgt":1440},{"typ":"item","id":11111029,"num":3,"wgt":900},{"typ":"item","id":11111019,"num":3,"wgt":90},{"typ":"item","id":11111013,"num":4,"wgt":180},{"typ":"item","id":11111103,"num":3,"wgt":1350},{"typ":"item","id":11111102,"num":5,"wgt":2250},{"typ":"item","id":11117008,"num":1,"wgt":90},{"typ":"item","id":11117007,"num":6,"wgt":900},{"typ":"item","id":11111322,"num":5,"wgt":360},{"typ":"item","id":11117139,"num":1,"wgt":1000}]}]}}</v>
      </c>
      <c r="T1202" s="148">
        <f>IFERROR(__xludf.DUMMYFUNCTION("""COMPUTED_VALUE"""),-1.0)</f>
        <v>-1</v>
      </c>
      <c r="U1202" s="148">
        <f>IFERROR(__xludf.DUMMYFUNCTION("""COMPUTED_VALUE"""),0.0)</f>
        <v>0</v>
      </c>
      <c r="V1202" s="148" t="str">
        <f>IFERROR(__xludf.DUMMYFUNCTION("""COMPUTED_VALUE"""),"[]")</f>
        <v>[]</v>
      </c>
      <c r="W1202" s="148">
        <f>IFERROR(__xludf.DUMMYFUNCTION("""COMPUTED_VALUE"""),1.174E7)</f>
        <v>11740000</v>
      </c>
      <c r="X1202" s="148">
        <f>IFERROR(__xludf.DUMMYFUNCTION("""COMPUTED_VALUE"""),0.0)</f>
        <v>0</v>
      </c>
      <c r="Y1202" s="148">
        <f>IFERROR(__xludf.DUMMYFUNCTION("""COMPUTED_VALUE"""),0.0)</f>
        <v>0</v>
      </c>
      <c r="Z1202" s="148"/>
    </row>
    <row r="1203">
      <c r="A1203" s="148">
        <f>IFERROR(__xludf.DUMMYFUNCTION("""COMPUTED_VALUE"""),1.1114426E7)</f>
        <v>11114426</v>
      </c>
      <c r="B1203" s="148" t="str">
        <f>IFERROR(__xludf.DUMMYFUNCTION("""COMPUTED_VALUE"""),"三级联盟宝箱_白")</f>
        <v>三级联盟宝箱_白</v>
      </c>
      <c r="C1203" s="148"/>
      <c r="D1203" s="148" t="str">
        <f>IFERROR(__xludf.DUMMYFUNCTION("""COMPUTED_VALUE"""),"item_union_gift_box")</f>
        <v>item_union_gift_box</v>
      </c>
      <c r="E1203" s="148">
        <f>IFERROR(__xludf.DUMMYFUNCTION("""COMPUTED_VALUE"""),16.0)</f>
        <v>16</v>
      </c>
      <c r="F1203" s="148">
        <f>IFERROR(__xludf.DUMMYFUNCTION("""COMPUTED_VALUE"""),0.0)</f>
        <v>0</v>
      </c>
      <c r="G1203" s="148">
        <f>IFERROR(__xludf.DUMMYFUNCTION("""COMPUTED_VALUE"""),1.5113196E7)</f>
        <v>15113196</v>
      </c>
      <c r="H1203" s="148">
        <f>IFERROR(__xludf.DUMMYFUNCTION("""COMPUTED_VALUE"""),1.511256E7)</f>
        <v>15112560</v>
      </c>
      <c r="I1203" s="148" t="str">
        <f>IFERROR(__xludf.DUMMYFUNCTION("""COMPUTED_VALUE"""),"{}")</f>
        <v>{}</v>
      </c>
      <c r="J1203" s="148" t="str">
        <f>IFERROR(__xludf.DUMMYFUNCTION("""COMPUTED_VALUE"""),"{""typ"":""lc"",""txt"":""LC_ITEM_alliance_shopping_gift_3_name""}")</f>
        <v>{"typ":"lc","txt":"LC_ITEM_alliance_shopping_gift_3_name"}</v>
      </c>
      <c r="K1203" s="148" t="str">
        <f>IFERROR(__xludf.DUMMYFUNCTION("""COMPUTED_VALUE"""),"{""typ"":""lc"",""txt"":""LC_ITEM_alliance_shopping_gift_3_desc""}")</f>
        <v>{"typ":"lc","txt":"LC_ITEM_alliance_shopping_gift_3_desc"}</v>
      </c>
      <c r="L1203" s="148" t="str">
        <f>IFERROR(__xludf.DUMMYFUNCTION("""COMPUTED_VALUE"""),"{}")</f>
        <v>{}</v>
      </c>
      <c r="M1203" s="148">
        <f>IFERROR(__xludf.DUMMYFUNCTION("""COMPUTED_VALUE"""),66.0)</f>
        <v>66</v>
      </c>
      <c r="N1203" s="148">
        <f>IFERROR(__xludf.DUMMYFUNCTION("""COMPUTED_VALUE"""),999999.0)</f>
        <v>999999</v>
      </c>
      <c r="O1203" s="148">
        <f>IFERROR(__xludf.DUMMYFUNCTION("""COMPUTED_VALUE"""),99999.0)</f>
        <v>99999</v>
      </c>
      <c r="P1203" s="148">
        <f>IFERROR(__xludf.DUMMYFUNCTION("""COMPUTED_VALUE"""),1.0)</f>
        <v>1</v>
      </c>
      <c r="Q1203" s="148" t="str">
        <f>IFERROR(__xludf.DUMMYFUNCTION("""COMPUTED_VALUE"""),"[]")</f>
        <v>[]</v>
      </c>
      <c r="R1203" s="148" t="str">
        <f>IFERROR(__xludf.DUMMYFUNCTION("""COMPUTED_VALUE"""),"[]")</f>
        <v>[]</v>
      </c>
      <c r="S1203" s="148" t="str">
        <f>IFERROR(__xludf.DUMMYFUNCTION("""COMPUTED_VALUE"""),"{""drop"":{""typ"":""single_all"",""num"":1,""args"":[{""typ"":""single_all"",""num"":1,""args"":[{""typ"":""rss"",""id"":11141022,""num"":100,""wgt"":30}]},{""typ"":""single_random"",""num"":1,""args"":[{""typ"":""vm"",""id"":11151002,""num"":500,""wgt"""&amp;":935},{""typ"":""vm"",""id"":11151003,""num"":500,""wgt"":935},{""typ"":""item"",""id"":11111020,""num"":1,""wgt"":170},{""typ"":""item"",""id"":11111019,""num"":2,""wgt"":765},{""typ"":""item"",""id"":11111028,""num"":3,""wgt"":680},{""typ"":""item"",""i"&amp;"d"":11111103,""num"":2,""wgt"":1530},{""typ"":""item"",""id"":11111104,""num"":2,""wgt"":1870},{""typ"":""item"",""id"":11117008,""num"":2,""wgt"":255},{""typ"":""item"",""id"":11117007,""num"":6,""wgt"":680},{""typ"":""item"",""id"":11111322,""num"":5,"""&amp;"wgt"":425},{""typ"":""item"",""id"":11111322,""num"":10,""wgt"":255},{""typ"":""item"",""id"":11117139,""num"":1,""wgt"":1500}]}]}}")</f>
        <v>{"drop":{"typ":"single_all","num":1,"args":[{"typ":"single_all","num":1,"args":[{"typ":"rss","id":11141022,"num":100,"wgt":30}]},{"typ":"single_random","num":1,"args":[{"typ":"vm","id":11151002,"num":500,"wgt":935},{"typ":"vm","id":11151003,"num":500,"wgt":935},{"typ":"item","id":11111020,"num":1,"wgt":170},{"typ":"item","id":11111019,"num":2,"wgt":765},{"typ":"item","id":11111028,"num":3,"wgt":680},{"typ":"item","id":11111103,"num":2,"wgt":1530},{"typ":"item","id":11111104,"num":2,"wgt":1870},{"typ":"item","id":11117008,"num":2,"wgt":255},{"typ":"item","id":11117007,"num":6,"wgt":680},{"typ":"item","id":11111322,"num":5,"wgt":425},{"typ":"item","id":11111322,"num":10,"wgt":255},{"typ":"item","id":11117139,"num":1,"wgt":1500}]}]}}</v>
      </c>
      <c r="T1203" s="148">
        <f>IFERROR(__xludf.DUMMYFUNCTION("""COMPUTED_VALUE"""),-1.0)</f>
        <v>-1</v>
      </c>
      <c r="U1203" s="148">
        <f>IFERROR(__xludf.DUMMYFUNCTION("""COMPUTED_VALUE"""),0.0)</f>
        <v>0</v>
      </c>
      <c r="V1203" s="148" t="str">
        <f>IFERROR(__xludf.DUMMYFUNCTION("""COMPUTED_VALUE"""),"[]")</f>
        <v>[]</v>
      </c>
      <c r="W1203" s="148">
        <f>IFERROR(__xludf.DUMMYFUNCTION("""COMPUTED_VALUE"""),1.174E7)</f>
        <v>11740000</v>
      </c>
      <c r="X1203" s="148">
        <f>IFERROR(__xludf.DUMMYFUNCTION("""COMPUTED_VALUE"""),0.0)</f>
        <v>0</v>
      </c>
      <c r="Y1203" s="148">
        <f>IFERROR(__xludf.DUMMYFUNCTION("""COMPUTED_VALUE"""),0.0)</f>
        <v>0</v>
      </c>
      <c r="Z1203" s="148"/>
    </row>
    <row r="1204">
      <c r="A1204" s="148">
        <f>IFERROR(__xludf.DUMMYFUNCTION("""COMPUTED_VALUE"""),1.1114427E7)</f>
        <v>11114427</v>
      </c>
      <c r="B1204" s="148" t="str">
        <f>IFERROR(__xludf.DUMMYFUNCTION("""COMPUTED_VALUE"""),"三级联盟宝箱_绿")</f>
        <v>三级联盟宝箱_绿</v>
      </c>
      <c r="C1204" s="148"/>
      <c r="D1204" s="148" t="str">
        <f>IFERROR(__xludf.DUMMYFUNCTION("""COMPUTED_VALUE"""),"item_union_gift_box")</f>
        <v>item_union_gift_box</v>
      </c>
      <c r="E1204" s="148">
        <f>IFERROR(__xludf.DUMMYFUNCTION("""COMPUTED_VALUE"""),16.0)</f>
        <v>16</v>
      </c>
      <c r="F1204" s="148">
        <f>IFERROR(__xludf.DUMMYFUNCTION("""COMPUTED_VALUE"""),0.0)</f>
        <v>0</v>
      </c>
      <c r="G1204" s="148">
        <f>IFERROR(__xludf.DUMMYFUNCTION("""COMPUTED_VALUE"""),1.5113196E7)</f>
        <v>15113196</v>
      </c>
      <c r="H1204" s="148">
        <f>IFERROR(__xludf.DUMMYFUNCTION("""COMPUTED_VALUE"""),1.5112561E7)</f>
        <v>15112561</v>
      </c>
      <c r="I1204" s="148" t="str">
        <f>IFERROR(__xludf.DUMMYFUNCTION("""COMPUTED_VALUE"""),"{}")</f>
        <v>{}</v>
      </c>
      <c r="J1204" s="148" t="str">
        <f>IFERROR(__xludf.DUMMYFUNCTION("""COMPUTED_VALUE"""),"{""typ"":""lc"",""txt"":""LC_ITEM_alliance_shopping_gift_3_name""}")</f>
        <v>{"typ":"lc","txt":"LC_ITEM_alliance_shopping_gift_3_name"}</v>
      </c>
      <c r="K1204" s="148" t="str">
        <f>IFERROR(__xludf.DUMMYFUNCTION("""COMPUTED_VALUE"""),"{""typ"":""lc"",""txt"":""LC_ITEM_alliance_shopping_gift_3_desc""}")</f>
        <v>{"typ":"lc","txt":"LC_ITEM_alliance_shopping_gift_3_desc"}</v>
      </c>
      <c r="L1204" s="148" t="str">
        <f>IFERROR(__xludf.DUMMYFUNCTION("""COMPUTED_VALUE"""),"{}")</f>
        <v>{}</v>
      </c>
      <c r="M1204" s="148">
        <f>IFERROR(__xludf.DUMMYFUNCTION("""COMPUTED_VALUE"""),66.0)</f>
        <v>66</v>
      </c>
      <c r="N1204" s="148">
        <f>IFERROR(__xludf.DUMMYFUNCTION("""COMPUTED_VALUE"""),999999.0)</f>
        <v>999999</v>
      </c>
      <c r="O1204" s="148">
        <f>IFERROR(__xludf.DUMMYFUNCTION("""COMPUTED_VALUE"""),99999.0)</f>
        <v>99999</v>
      </c>
      <c r="P1204" s="148">
        <f>IFERROR(__xludf.DUMMYFUNCTION("""COMPUTED_VALUE"""),1.0)</f>
        <v>1</v>
      </c>
      <c r="Q1204" s="148" t="str">
        <f>IFERROR(__xludf.DUMMYFUNCTION("""COMPUTED_VALUE"""),"[]")</f>
        <v>[]</v>
      </c>
      <c r="R1204" s="148" t="str">
        <f>IFERROR(__xludf.DUMMYFUNCTION("""COMPUTED_VALUE"""),"[]")</f>
        <v>[]</v>
      </c>
      <c r="S1204" s="148" t="str">
        <f>IFERROR(__xludf.DUMMYFUNCTION("""COMPUTED_VALUE"""),"{""drop"":{""typ"":""single_all"",""num"":1,""args"":[{""typ"":""single_all"",""num"":1,""args"":[{""typ"":""rss"",""id"":11141022,""num"":100,""wgt"":30}]},{""typ"":""single_random"",""num"":1,""args"":[{""typ"":""vm"",""id"":11151002,""num"":600,""wgt"""&amp;":935},{""typ"":""vm"",""id"":11151003,""num"":600,""wgt"":935},{""typ"":""item"",""id"":11111020,""num"":1,""wgt"":170},{""typ"":""item"",""id"":11111019,""num"":2,""wgt"":765},{""typ"":""item"",""id"":11111028,""num"":3,""wgt"":680},{""typ"":""item"",""i"&amp;"d"":11111103,""num"":3,""wgt"":1530},{""typ"":""item"",""id"":11111104,""num"":3,""wgt"":1870},{""typ"":""item"",""id"":11117008,""num"":2,""wgt"":255},{""typ"":""item"",""id"":11117007,""num"":8,""wgt"":680},{""typ"":""item"",""id"":11111322,""num"":5,"""&amp;"wgt"":425},{""typ"":""item"",""id"":11111322,""num"":10,""wgt"":255},{""typ"":""item"",""id"":11117139,""num"":1,""wgt"":1500}]}]}}")</f>
        <v>{"drop":{"typ":"single_all","num":1,"args":[{"typ":"single_all","num":1,"args":[{"typ":"rss","id":11141022,"num":100,"wgt":30}]},{"typ":"single_random","num":1,"args":[{"typ":"vm","id":11151002,"num":600,"wgt":935},{"typ":"vm","id":11151003,"num":600,"wgt":935},{"typ":"item","id":11111020,"num":1,"wgt":170},{"typ":"item","id":11111019,"num":2,"wgt":765},{"typ":"item","id":11111028,"num":3,"wgt":680},{"typ":"item","id":11111103,"num":3,"wgt":1530},{"typ":"item","id":11111104,"num":3,"wgt":1870},{"typ":"item","id":11117008,"num":2,"wgt":255},{"typ":"item","id":11117007,"num":8,"wgt":680},{"typ":"item","id":11111322,"num":5,"wgt":425},{"typ":"item","id":11111322,"num":10,"wgt":255},{"typ":"item","id":11117139,"num":1,"wgt":1500}]}]}}</v>
      </c>
      <c r="T1204" s="148">
        <f>IFERROR(__xludf.DUMMYFUNCTION("""COMPUTED_VALUE"""),-1.0)</f>
        <v>-1</v>
      </c>
      <c r="U1204" s="148">
        <f>IFERROR(__xludf.DUMMYFUNCTION("""COMPUTED_VALUE"""),0.0)</f>
        <v>0</v>
      </c>
      <c r="V1204" s="148" t="str">
        <f>IFERROR(__xludf.DUMMYFUNCTION("""COMPUTED_VALUE"""),"[]")</f>
        <v>[]</v>
      </c>
      <c r="W1204" s="148">
        <f>IFERROR(__xludf.DUMMYFUNCTION("""COMPUTED_VALUE"""),1.174E7)</f>
        <v>11740000</v>
      </c>
      <c r="X1204" s="148">
        <f>IFERROR(__xludf.DUMMYFUNCTION("""COMPUTED_VALUE"""),0.0)</f>
        <v>0</v>
      </c>
      <c r="Y1204" s="148">
        <f>IFERROR(__xludf.DUMMYFUNCTION("""COMPUTED_VALUE"""),0.0)</f>
        <v>0</v>
      </c>
      <c r="Z1204" s="148"/>
    </row>
    <row r="1205">
      <c r="A1205" s="148">
        <f>IFERROR(__xludf.DUMMYFUNCTION("""COMPUTED_VALUE"""),1.1114428E7)</f>
        <v>11114428</v>
      </c>
      <c r="B1205" s="148" t="str">
        <f>IFERROR(__xludf.DUMMYFUNCTION("""COMPUTED_VALUE"""),"三级联盟宝箱_蓝")</f>
        <v>三级联盟宝箱_蓝</v>
      </c>
      <c r="C1205" s="148"/>
      <c r="D1205" s="148" t="str">
        <f>IFERROR(__xludf.DUMMYFUNCTION("""COMPUTED_VALUE"""),"item_union_gift_box")</f>
        <v>item_union_gift_box</v>
      </c>
      <c r="E1205" s="148">
        <f>IFERROR(__xludf.DUMMYFUNCTION("""COMPUTED_VALUE"""),16.0)</f>
        <v>16</v>
      </c>
      <c r="F1205" s="148">
        <f>IFERROR(__xludf.DUMMYFUNCTION("""COMPUTED_VALUE"""),0.0)</f>
        <v>0</v>
      </c>
      <c r="G1205" s="148">
        <f>IFERROR(__xludf.DUMMYFUNCTION("""COMPUTED_VALUE"""),1.5113196E7)</f>
        <v>15113196</v>
      </c>
      <c r="H1205" s="148">
        <f>IFERROR(__xludf.DUMMYFUNCTION("""COMPUTED_VALUE"""),1.5112562E7)</f>
        <v>15112562</v>
      </c>
      <c r="I1205" s="148" t="str">
        <f>IFERROR(__xludf.DUMMYFUNCTION("""COMPUTED_VALUE"""),"{}")</f>
        <v>{}</v>
      </c>
      <c r="J1205" s="148" t="str">
        <f>IFERROR(__xludf.DUMMYFUNCTION("""COMPUTED_VALUE"""),"{""typ"":""lc"",""txt"":""LC_ITEM_alliance_shopping_gift_3_name""}")</f>
        <v>{"typ":"lc","txt":"LC_ITEM_alliance_shopping_gift_3_name"}</v>
      </c>
      <c r="K1205" s="148" t="str">
        <f>IFERROR(__xludf.DUMMYFUNCTION("""COMPUTED_VALUE"""),"{""typ"":""lc"",""txt"":""LC_ITEM_alliance_shopping_gift_3_desc""}")</f>
        <v>{"typ":"lc","txt":"LC_ITEM_alliance_shopping_gift_3_desc"}</v>
      </c>
      <c r="L1205" s="148" t="str">
        <f>IFERROR(__xludf.DUMMYFUNCTION("""COMPUTED_VALUE"""),"{}")</f>
        <v>{}</v>
      </c>
      <c r="M1205" s="148">
        <f>IFERROR(__xludf.DUMMYFUNCTION("""COMPUTED_VALUE"""),66.0)</f>
        <v>66</v>
      </c>
      <c r="N1205" s="148">
        <f>IFERROR(__xludf.DUMMYFUNCTION("""COMPUTED_VALUE"""),999999.0)</f>
        <v>999999</v>
      </c>
      <c r="O1205" s="148">
        <f>IFERROR(__xludf.DUMMYFUNCTION("""COMPUTED_VALUE"""),99999.0)</f>
        <v>99999</v>
      </c>
      <c r="P1205" s="148">
        <f>IFERROR(__xludf.DUMMYFUNCTION("""COMPUTED_VALUE"""),1.0)</f>
        <v>1</v>
      </c>
      <c r="Q1205" s="148" t="str">
        <f>IFERROR(__xludf.DUMMYFUNCTION("""COMPUTED_VALUE"""),"[]")</f>
        <v>[]</v>
      </c>
      <c r="R1205" s="148" t="str">
        <f>IFERROR(__xludf.DUMMYFUNCTION("""COMPUTED_VALUE"""),"[]")</f>
        <v>[]</v>
      </c>
      <c r="S1205" s="148" t="str">
        <f>IFERROR(__xludf.DUMMYFUNCTION("""COMPUTED_VALUE"""),"{""drop"":{""typ"":""single_all"",""num"":1,""args"":[{""typ"":""single_all"",""num"":1,""args"":[{""typ"":""rss"",""id"":11141022,""num"":100,""wgt"":30}]},{""typ"":""single_random"",""num"":1,""args"":[{""typ"":""vm"",""id"":11151002,""num"":700,""wgt"""&amp;":935},{""typ"":""vm"",""id"":11151003,""num"":700,""wgt"":935},{""typ"":""item"",""id"":11111020,""num"":1,""wgt"":170},{""typ"":""item"",""id"":11111019,""num"":3,""wgt"":765},{""typ"":""item"",""id"":11111028,""num"":4,""wgt"":680},{""typ"":""item"",""i"&amp;"d"":11111103,""num"":4,""wgt"":1530},{""typ"":""item"",""id"":11111104,""num"":4,""wgt"":1870},{""typ"":""item"",""id"":11117008,""num"":2,""wgt"":255},{""typ"":""item"",""id"":11117007,""num"":8,""wgt"":680},{""typ"":""item"",""id"":11111322,""num"":5,"""&amp;"wgt"":425},{""typ"":""item"",""id"":11111322,""num"":10,""wgt"":255},{""typ"":""item"",""id"":11117139,""num"":1,""wgt"":1500}]}]}}")</f>
        <v>{"drop":{"typ":"single_all","num":1,"args":[{"typ":"single_all","num":1,"args":[{"typ":"rss","id":11141022,"num":100,"wgt":30}]},{"typ":"single_random","num":1,"args":[{"typ":"vm","id":11151002,"num":700,"wgt":935},{"typ":"vm","id":11151003,"num":700,"wgt":935},{"typ":"item","id":11111020,"num":1,"wgt":170},{"typ":"item","id":11111019,"num":3,"wgt":765},{"typ":"item","id":11111028,"num":4,"wgt":680},{"typ":"item","id":11111103,"num":4,"wgt":1530},{"typ":"item","id":11111104,"num":4,"wgt":1870},{"typ":"item","id":11117008,"num":2,"wgt":255},{"typ":"item","id":11117007,"num":8,"wgt":680},{"typ":"item","id":11111322,"num":5,"wgt":425},{"typ":"item","id":11111322,"num":10,"wgt":255},{"typ":"item","id":11117139,"num":1,"wgt":1500}]}]}}</v>
      </c>
      <c r="T1205" s="148">
        <f>IFERROR(__xludf.DUMMYFUNCTION("""COMPUTED_VALUE"""),-1.0)</f>
        <v>-1</v>
      </c>
      <c r="U1205" s="148">
        <f>IFERROR(__xludf.DUMMYFUNCTION("""COMPUTED_VALUE"""),0.0)</f>
        <v>0</v>
      </c>
      <c r="V1205" s="148" t="str">
        <f>IFERROR(__xludf.DUMMYFUNCTION("""COMPUTED_VALUE"""),"[]")</f>
        <v>[]</v>
      </c>
      <c r="W1205" s="148">
        <f>IFERROR(__xludf.DUMMYFUNCTION("""COMPUTED_VALUE"""),1.174E7)</f>
        <v>11740000</v>
      </c>
      <c r="X1205" s="148">
        <f>IFERROR(__xludf.DUMMYFUNCTION("""COMPUTED_VALUE"""),0.0)</f>
        <v>0</v>
      </c>
      <c r="Y1205" s="148">
        <f>IFERROR(__xludf.DUMMYFUNCTION("""COMPUTED_VALUE"""),0.0)</f>
        <v>0</v>
      </c>
      <c r="Z1205" s="148"/>
    </row>
    <row r="1206">
      <c r="A1206" s="148">
        <f>IFERROR(__xludf.DUMMYFUNCTION("""COMPUTED_VALUE"""),1.1114429E7)</f>
        <v>11114429</v>
      </c>
      <c r="B1206" s="148" t="str">
        <f>IFERROR(__xludf.DUMMYFUNCTION("""COMPUTED_VALUE"""),"三级联盟宝箱_紫")</f>
        <v>三级联盟宝箱_紫</v>
      </c>
      <c r="C1206" s="148"/>
      <c r="D1206" s="148" t="str">
        <f>IFERROR(__xludf.DUMMYFUNCTION("""COMPUTED_VALUE"""),"item_union_gift_box")</f>
        <v>item_union_gift_box</v>
      </c>
      <c r="E1206" s="148">
        <f>IFERROR(__xludf.DUMMYFUNCTION("""COMPUTED_VALUE"""),16.0)</f>
        <v>16</v>
      </c>
      <c r="F1206" s="148">
        <f>IFERROR(__xludf.DUMMYFUNCTION("""COMPUTED_VALUE"""),0.0)</f>
        <v>0</v>
      </c>
      <c r="G1206" s="148">
        <f>IFERROR(__xludf.DUMMYFUNCTION("""COMPUTED_VALUE"""),1.5113196E7)</f>
        <v>15113196</v>
      </c>
      <c r="H1206" s="148">
        <f>IFERROR(__xludf.DUMMYFUNCTION("""COMPUTED_VALUE"""),1.5112563E7)</f>
        <v>15112563</v>
      </c>
      <c r="I1206" s="148" t="str">
        <f>IFERROR(__xludf.DUMMYFUNCTION("""COMPUTED_VALUE"""),"{}")</f>
        <v>{}</v>
      </c>
      <c r="J1206" s="148" t="str">
        <f>IFERROR(__xludf.DUMMYFUNCTION("""COMPUTED_VALUE"""),"{""typ"":""lc"",""txt"":""LC_ITEM_alliance_shopping_gift_3_name""}")</f>
        <v>{"typ":"lc","txt":"LC_ITEM_alliance_shopping_gift_3_name"}</v>
      </c>
      <c r="K1206" s="148" t="str">
        <f>IFERROR(__xludf.DUMMYFUNCTION("""COMPUTED_VALUE"""),"{""typ"":""lc"",""txt"":""LC_ITEM_alliance_shopping_gift_3_desc""}")</f>
        <v>{"typ":"lc","txt":"LC_ITEM_alliance_shopping_gift_3_desc"}</v>
      </c>
      <c r="L1206" s="148" t="str">
        <f>IFERROR(__xludf.DUMMYFUNCTION("""COMPUTED_VALUE"""),"{}")</f>
        <v>{}</v>
      </c>
      <c r="M1206" s="148">
        <f>IFERROR(__xludf.DUMMYFUNCTION("""COMPUTED_VALUE"""),66.0)</f>
        <v>66</v>
      </c>
      <c r="N1206" s="148">
        <f>IFERROR(__xludf.DUMMYFUNCTION("""COMPUTED_VALUE"""),999999.0)</f>
        <v>999999</v>
      </c>
      <c r="O1206" s="148">
        <f>IFERROR(__xludf.DUMMYFUNCTION("""COMPUTED_VALUE"""),99999.0)</f>
        <v>99999</v>
      </c>
      <c r="P1206" s="148">
        <f>IFERROR(__xludf.DUMMYFUNCTION("""COMPUTED_VALUE"""),1.0)</f>
        <v>1</v>
      </c>
      <c r="Q1206" s="148" t="str">
        <f>IFERROR(__xludf.DUMMYFUNCTION("""COMPUTED_VALUE"""),"[]")</f>
        <v>[]</v>
      </c>
      <c r="R1206" s="148" t="str">
        <f>IFERROR(__xludf.DUMMYFUNCTION("""COMPUTED_VALUE"""),"[]")</f>
        <v>[]</v>
      </c>
      <c r="S1206" s="148" t="str">
        <f>IFERROR(__xludf.DUMMYFUNCTION("""COMPUTED_VALUE"""),"{""drop"":{""typ"":""single_all"",""num"":1,""args"":[{""typ"":""single_all"",""num"":1,""args"":[{""typ"":""rss"",""id"":11141022,""num"":100,""wgt"":30}]},{""typ"":""single_random"",""num"":1,""args"":[{""typ"":""vm"",""id"":11151002,""num"":800,""wgt"""&amp;":935},{""typ"":""vm"",""id"":11151003,""num"":800,""wgt"":935},{""typ"":""item"",""id"":11111020,""num"":1,""wgt"":170},{""typ"":""item"",""id"":11111019,""num"":3,""wgt"":765},{""typ"":""item"",""id"":11111028,""num"":5,""wgt"":680},{""typ"":""item"",""i"&amp;"d"":11111103,""num"":4,""wgt"":2125},{""typ"":""item"",""id"":11111104,""num"":5,""wgt"":1275},{""typ"":""item"",""id"":11117008,""num"":2,""wgt"":255},{""typ"":""item"",""id"":11117007,""num"":9,""wgt"":680},{""typ"":""item"",""id"":11111322,""num"":6,"""&amp;"wgt"":425},{""typ"":""item"",""id"":11111322,""num"":12,""wgt"":255},{""typ"":""item"",""id"":11117139,""num"":1,""wgt"":1500}]}]}}")</f>
        <v>{"drop":{"typ":"single_all","num":1,"args":[{"typ":"single_all","num":1,"args":[{"typ":"rss","id":11141022,"num":100,"wgt":30}]},{"typ":"single_random","num":1,"args":[{"typ":"vm","id":11151002,"num":800,"wgt":935},{"typ":"vm","id":11151003,"num":800,"wgt":935},{"typ":"item","id":11111020,"num":1,"wgt":170},{"typ":"item","id":11111019,"num":3,"wgt":765},{"typ":"item","id":11111028,"num":5,"wgt":680},{"typ":"item","id":11111103,"num":4,"wgt":2125},{"typ":"item","id":11111104,"num":5,"wgt":1275},{"typ":"item","id":11117008,"num":2,"wgt":255},{"typ":"item","id":11117007,"num":9,"wgt":680},{"typ":"item","id":11111322,"num":6,"wgt":425},{"typ":"item","id":11111322,"num":12,"wgt":255},{"typ":"item","id":11117139,"num":1,"wgt":1500}]}]}}</v>
      </c>
      <c r="T1206" s="148">
        <f>IFERROR(__xludf.DUMMYFUNCTION("""COMPUTED_VALUE"""),-1.0)</f>
        <v>-1</v>
      </c>
      <c r="U1206" s="148">
        <f>IFERROR(__xludf.DUMMYFUNCTION("""COMPUTED_VALUE"""),0.0)</f>
        <v>0</v>
      </c>
      <c r="V1206" s="148" t="str">
        <f>IFERROR(__xludf.DUMMYFUNCTION("""COMPUTED_VALUE"""),"[]")</f>
        <v>[]</v>
      </c>
      <c r="W1206" s="148">
        <f>IFERROR(__xludf.DUMMYFUNCTION("""COMPUTED_VALUE"""),1.174E7)</f>
        <v>11740000</v>
      </c>
      <c r="X1206" s="148">
        <f>IFERROR(__xludf.DUMMYFUNCTION("""COMPUTED_VALUE"""),0.0)</f>
        <v>0</v>
      </c>
      <c r="Y1206" s="148">
        <f>IFERROR(__xludf.DUMMYFUNCTION("""COMPUTED_VALUE"""),0.0)</f>
        <v>0</v>
      </c>
      <c r="Z1206" s="148"/>
    </row>
    <row r="1207">
      <c r="A1207" s="148">
        <f>IFERROR(__xludf.DUMMYFUNCTION("""COMPUTED_VALUE"""),1.111443E7)</f>
        <v>11114430</v>
      </c>
      <c r="B1207" s="148" t="str">
        <f>IFERROR(__xludf.DUMMYFUNCTION("""COMPUTED_VALUE"""),"三级联盟宝箱_橙")</f>
        <v>三级联盟宝箱_橙</v>
      </c>
      <c r="C1207" s="148"/>
      <c r="D1207" s="148" t="str">
        <f>IFERROR(__xludf.DUMMYFUNCTION("""COMPUTED_VALUE"""),"item_union_gift_box")</f>
        <v>item_union_gift_box</v>
      </c>
      <c r="E1207" s="148">
        <f>IFERROR(__xludf.DUMMYFUNCTION("""COMPUTED_VALUE"""),16.0)</f>
        <v>16</v>
      </c>
      <c r="F1207" s="148">
        <f>IFERROR(__xludf.DUMMYFUNCTION("""COMPUTED_VALUE"""),0.0)</f>
        <v>0</v>
      </c>
      <c r="G1207" s="148">
        <f>IFERROR(__xludf.DUMMYFUNCTION("""COMPUTED_VALUE"""),1.5113196E7)</f>
        <v>15113196</v>
      </c>
      <c r="H1207" s="148">
        <f>IFERROR(__xludf.DUMMYFUNCTION("""COMPUTED_VALUE"""),1.5112564E7)</f>
        <v>15112564</v>
      </c>
      <c r="I1207" s="148" t="str">
        <f>IFERROR(__xludf.DUMMYFUNCTION("""COMPUTED_VALUE"""),"{}")</f>
        <v>{}</v>
      </c>
      <c r="J1207" s="148" t="str">
        <f>IFERROR(__xludf.DUMMYFUNCTION("""COMPUTED_VALUE"""),"{""typ"":""lc"",""txt"":""LC_ITEM_alliance_shopping_gift_3_name""}")</f>
        <v>{"typ":"lc","txt":"LC_ITEM_alliance_shopping_gift_3_name"}</v>
      </c>
      <c r="K1207" s="148" t="str">
        <f>IFERROR(__xludf.DUMMYFUNCTION("""COMPUTED_VALUE"""),"{""typ"":""lc"",""txt"":""LC_ITEM_alliance_shopping_gift_3_desc""}")</f>
        <v>{"typ":"lc","txt":"LC_ITEM_alliance_shopping_gift_3_desc"}</v>
      </c>
      <c r="L1207" s="148" t="str">
        <f>IFERROR(__xludf.DUMMYFUNCTION("""COMPUTED_VALUE"""),"{}")</f>
        <v>{}</v>
      </c>
      <c r="M1207" s="148">
        <f>IFERROR(__xludf.DUMMYFUNCTION("""COMPUTED_VALUE"""),66.0)</f>
        <v>66</v>
      </c>
      <c r="N1207" s="148">
        <f>IFERROR(__xludf.DUMMYFUNCTION("""COMPUTED_VALUE"""),999999.0)</f>
        <v>999999</v>
      </c>
      <c r="O1207" s="148">
        <f>IFERROR(__xludf.DUMMYFUNCTION("""COMPUTED_VALUE"""),99999.0)</f>
        <v>99999</v>
      </c>
      <c r="P1207" s="148">
        <f>IFERROR(__xludf.DUMMYFUNCTION("""COMPUTED_VALUE"""),1.0)</f>
        <v>1</v>
      </c>
      <c r="Q1207" s="148" t="str">
        <f>IFERROR(__xludf.DUMMYFUNCTION("""COMPUTED_VALUE"""),"[]")</f>
        <v>[]</v>
      </c>
      <c r="R1207" s="148" t="str">
        <f>IFERROR(__xludf.DUMMYFUNCTION("""COMPUTED_VALUE"""),"[]")</f>
        <v>[]</v>
      </c>
      <c r="S1207" s="148" t="str">
        <f>IFERROR(__xludf.DUMMYFUNCTION("""COMPUTED_VALUE"""),"{""drop"":{""typ"":""single_all"",""num"":1,""args"":[{""typ"":""single_all"",""num"":1,""args"":[{""typ"":""rss"",""id"":11141022,""num"":100,""wgt"":30}]},{""typ"":""single_random"",""num"":1,""args"":[{""typ"":""vm"",""id"":11151002,""num"":900,""wgt"""&amp;":935},{""typ"":""vm"",""id"":11151003,""num"":900,""wgt"":935},{""typ"":""item"",""id"":11111020,""num"":2,""wgt"":170},{""typ"":""item"",""id"":11111019,""num"":4,""wgt"":765},{""typ"":""item"",""id"":11111028,""num"":5,""wgt"":680},{""typ"":""item"",""i"&amp;"d"":11111103,""num"":6,""wgt"":2125},{""typ"":""item"",""id"":11111104,""num"":6,""wgt"":1275},{""typ"":""item"",""id"":11117008,""num"":3,""wgt"":255},{""typ"":""item"",""id"":11117007,""num"":10,""wgt"":680},{""typ"":""item"",""id"":11111322,""num"":6,"&amp;"""wgt"":425},{""typ"":""item"",""id"":11111322,""num"":12,""wgt"":255},{""typ"":""item"",""id"":11117139,""num"":1,""wgt"":1500}]}]}}")</f>
        <v>{"drop":{"typ":"single_all","num":1,"args":[{"typ":"single_all","num":1,"args":[{"typ":"rss","id":11141022,"num":100,"wgt":30}]},{"typ":"single_random","num":1,"args":[{"typ":"vm","id":11151002,"num":900,"wgt":935},{"typ":"vm","id":11151003,"num":900,"wgt":935},{"typ":"item","id":11111020,"num":2,"wgt":170},{"typ":"item","id":11111019,"num":4,"wgt":765},{"typ":"item","id":11111028,"num":5,"wgt":680},{"typ":"item","id":11111103,"num":6,"wgt":2125},{"typ":"item","id":11111104,"num":6,"wgt":1275},{"typ":"item","id":11117008,"num":3,"wgt":255},{"typ":"item","id":11117007,"num":10,"wgt":680},{"typ":"item","id":11111322,"num":6,"wgt":425},{"typ":"item","id":11111322,"num":12,"wgt":255},{"typ":"item","id":11117139,"num":1,"wgt":1500}]}]}}</v>
      </c>
      <c r="T1207" s="148">
        <f>IFERROR(__xludf.DUMMYFUNCTION("""COMPUTED_VALUE"""),-1.0)</f>
        <v>-1</v>
      </c>
      <c r="U1207" s="148">
        <f>IFERROR(__xludf.DUMMYFUNCTION("""COMPUTED_VALUE"""),0.0)</f>
        <v>0</v>
      </c>
      <c r="V1207" s="148" t="str">
        <f>IFERROR(__xludf.DUMMYFUNCTION("""COMPUTED_VALUE"""),"[]")</f>
        <v>[]</v>
      </c>
      <c r="W1207" s="148">
        <f>IFERROR(__xludf.DUMMYFUNCTION("""COMPUTED_VALUE"""),1.174E7)</f>
        <v>11740000</v>
      </c>
      <c r="X1207" s="148">
        <f>IFERROR(__xludf.DUMMYFUNCTION("""COMPUTED_VALUE"""),0.0)</f>
        <v>0</v>
      </c>
      <c r="Y1207" s="148">
        <f>IFERROR(__xludf.DUMMYFUNCTION("""COMPUTED_VALUE"""),0.0)</f>
        <v>0</v>
      </c>
      <c r="Z1207" s="148"/>
    </row>
    <row r="1208">
      <c r="A1208" s="148">
        <f>IFERROR(__xludf.DUMMYFUNCTION("""COMPUTED_VALUE"""),1.1114431E7)</f>
        <v>11114431</v>
      </c>
      <c r="B1208" s="148" t="str">
        <f>IFERROR(__xludf.DUMMYFUNCTION("""COMPUTED_VALUE"""),"四级联盟宝箱_白")</f>
        <v>四级联盟宝箱_白</v>
      </c>
      <c r="C1208" s="148"/>
      <c r="D1208" s="148" t="str">
        <f>IFERROR(__xludf.DUMMYFUNCTION("""COMPUTED_VALUE"""),"item_union_gift_box")</f>
        <v>item_union_gift_box</v>
      </c>
      <c r="E1208" s="148">
        <f>IFERROR(__xludf.DUMMYFUNCTION("""COMPUTED_VALUE"""),16.0)</f>
        <v>16</v>
      </c>
      <c r="F1208" s="148">
        <f>IFERROR(__xludf.DUMMYFUNCTION("""COMPUTED_VALUE"""),0.0)</f>
        <v>0</v>
      </c>
      <c r="G1208" s="148">
        <f>IFERROR(__xludf.DUMMYFUNCTION("""COMPUTED_VALUE"""),1.5113197E7)</f>
        <v>15113197</v>
      </c>
      <c r="H1208" s="148">
        <f>IFERROR(__xludf.DUMMYFUNCTION("""COMPUTED_VALUE"""),1.511256E7)</f>
        <v>15112560</v>
      </c>
      <c r="I1208" s="148" t="str">
        <f>IFERROR(__xludf.DUMMYFUNCTION("""COMPUTED_VALUE"""),"{}")</f>
        <v>{}</v>
      </c>
      <c r="J1208" s="148" t="str">
        <f>IFERROR(__xludf.DUMMYFUNCTION("""COMPUTED_VALUE"""),"{""typ"":""lc"",""txt"":""LC_ITEM_alliance_shopping_gift_4_name""}")</f>
        <v>{"typ":"lc","txt":"LC_ITEM_alliance_shopping_gift_4_name"}</v>
      </c>
      <c r="K1208" s="148" t="str">
        <f>IFERROR(__xludf.DUMMYFUNCTION("""COMPUTED_VALUE"""),"{""typ"":""lc"",""txt"":""LC_ITEM_alliance_shopping_gift_4_desc""}")</f>
        <v>{"typ":"lc","txt":"LC_ITEM_alliance_shopping_gift_4_desc"}</v>
      </c>
      <c r="L1208" s="148" t="str">
        <f>IFERROR(__xludf.DUMMYFUNCTION("""COMPUTED_VALUE"""),"{}")</f>
        <v>{}</v>
      </c>
      <c r="M1208" s="148">
        <f>IFERROR(__xludf.DUMMYFUNCTION("""COMPUTED_VALUE"""),66.0)</f>
        <v>66</v>
      </c>
      <c r="N1208" s="148">
        <f>IFERROR(__xludf.DUMMYFUNCTION("""COMPUTED_VALUE"""),999999.0)</f>
        <v>999999</v>
      </c>
      <c r="O1208" s="148">
        <f>IFERROR(__xludf.DUMMYFUNCTION("""COMPUTED_VALUE"""),99999.0)</f>
        <v>99999</v>
      </c>
      <c r="P1208" s="148">
        <f>IFERROR(__xludf.DUMMYFUNCTION("""COMPUTED_VALUE"""),1.0)</f>
        <v>1</v>
      </c>
      <c r="Q1208" s="148" t="str">
        <f>IFERROR(__xludf.DUMMYFUNCTION("""COMPUTED_VALUE"""),"[]")</f>
        <v>[]</v>
      </c>
      <c r="R1208" s="148" t="str">
        <f>IFERROR(__xludf.DUMMYFUNCTION("""COMPUTED_VALUE"""),"[]")</f>
        <v>[]</v>
      </c>
      <c r="S1208" s="148" t="str">
        <f>IFERROR(__xludf.DUMMYFUNCTION("""COMPUTED_VALUE"""),"{""drop"":{""typ"":""single_all"",""num"":1,""args"":[{""typ"":""single_all"",""num"":1,""args"":[{""typ"":""rss"",""id"":11141022,""num"":200,""wgt"":30}]},{""typ"":""single_random"",""num"":1,""args"":[{""typ"":""vm"",""id"":11151002,""num"":500,""wgt"""&amp;":720},{""typ"":""vm"",""id"":11151003,""num"":500,""wgt"":720},{""typ"":""item"",""id"":11111020,""num"":1,""wgt"":240},{""typ"":""item"",""id"":11111019,""num"":4,""wgt"":720},{""typ"":""item"",""id"":11111028,""num"":5,""wgt"":640},{""typ"":""item"",""i"&amp;"d"":11111203,""num"":1,""wgt"":80},{""typ"":""item"",""id"":11111205,""num"":1,""wgt"":80},{""typ"":""item"",""id"":11111207,""num"":1,""wgt"":80},{""typ"":""item"",""id"":11111211,""num"":1,""wgt"":80},{""typ"":""item"",""id"":11111104,""num"":5,""wgt"":"&amp;"1840},{""typ"":""item"",""id"":11111105,""num"":2,""wgt"":1360},{""typ"":""item"",""id"":11117009,""num"":2,""wgt"":400},{""typ"":""item"",""id"":11117007,""num"":12,""wgt"":400},{""typ"":""item"",""id"":11111322,""num"":6,""wgt"":160},{""typ"":""item"","&amp;"""id"":11111322,""num"":12,""wgt"":480},{""typ"":""item"",""id"":11117139,""num"":1,""wgt"":2000}]}]}}")</f>
        <v>{"drop":{"typ":"single_all","num":1,"args":[{"typ":"single_all","num":1,"args":[{"typ":"rss","id":11141022,"num":200,"wgt":30}]},{"typ":"single_random","num":1,"args":[{"typ":"vm","id":11151002,"num":500,"wgt":720},{"typ":"vm","id":11151003,"num":500,"wgt":720},{"typ":"item","id":11111020,"num":1,"wgt":240},{"typ":"item","id":11111019,"num":4,"wgt":720},{"typ":"item","id":11111028,"num":5,"wgt":640},{"typ":"item","id":11111203,"num":1,"wgt":80},{"typ":"item","id":11111205,"num":1,"wgt":80},{"typ":"item","id":11111207,"num":1,"wgt":80},{"typ":"item","id":11111211,"num":1,"wgt":80},{"typ":"item","id":11111104,"num":5,"wgt":1840},{"typ":"item","id":11111105,"num":2,"wgt":1360},{"typ":"item","id":11117009,"num":2,"wgt":400},{"typ":"item","id":11117007,"num":12,"wgt":400},{"typ":"item","id":11111322,"num":6,"wgt":160},{"typ":"item","id":11111322,"num":12,"wgt":480},{"typ":"item","id":11117139,"num":1,"wgt":2000}]}]}}</v>
      </c>
      <c r="T1208" s="148">
        <f>IFERROR(__xludf.DUMMYFUNCTION("""COMPUTED_VALUE"""),-1.0)</f>
        <v>-1</v>
      </c>
      <c r="U1208" s="148">
        <f>IFERROR(__xludf.DUMMYFUNCTION("""COMPUTED_VALUE"""),0.0)</f>
        <v>0</v>
      </c>
      <c r="V1208" s="148" t="str">
        <f>IFERROR(__xludf.DUMMYFUNCTION("""COMPUTED_VALUE"""),"[]")</f>
        <v>[]</v>
      </c>
      <c r="W1208" s="148">
        <f>IFERROR(__xludf.DUMMYFUNCTION("""COMPUTED_VALUE"""),1.174E7)</f>
        <v>11740000</v>
      </c>
      <c r="X1208" s="148">
        <f>IFERROR(__xludf.DUMMYFUNCTION("""COMPUTED_VALUE"""),0.0)</f>
        <v>0</v>
      </c>
      <c r="Y1208" s="148">
        <f>IFERROR(__xludf.DUMMYFUNCTION("""COMPUTED_VALUE"""),0.0)</f>
        <v>0</v>
      </c>
      <c r="Z1208" s="148"/>
    </row>
    <row r="1209">
      <c r="A1209" s="148">
        <f>IFERROR(__xludf.DUMMYFUNCTION("""COMPUTED_VALUE"""),1.1114432E7)</f>
        <v>11114432</v>
      </c>
      <c r="B1209" s="148" t="str">
        <f>IFERROR(__xludf.DUMMYFUNCTION("""COMPUTED_VALUE"""),"四级联盟宝箱_绿")</f>
        <v>四级联盟宝箱_绿</v>
      </c>
      <c r="C1209" s="148"/>
      <c r="D1209" s="148" t="str">
        <f>IFERROR(__xludf.DUMMYFUNCTION("""COMPUTED_VALUE"""),"item_union_gift_box")</f>
        <v>item_union_gift_box</v>
      </c>
      <c r="E1209" s="148">
        <f>IFERROR(__xludf.DUMMYFUNCTION("""COMPUTED_VALUE"""),16.0)</f>
        <v>16</v>
      </c>
      <c r="F1209" s="148">
        <f>IFERROR(__xludf.DUMMYFUNCTION("""COMPUTED_VALUE"""),0.0)</f>
        <v>0</v>
      </c>
      <c r="G1209" s="148">
        <f>IFERROR(__xludf.DUMMYFUNCTION("""COMPUTED_VALUE"""),1.5113197E7)</f>
        <v>15113197</v>
      </c>
      <c r="H1209" s="148">
        <f>IFERROR(__xludf.DUMMYFUNCTION("""COMPUTED_VALUE"""),1.5112561E7)</f>
        <v>15112561</v>
      </c>
      <c r="I1209" s="148" t="str">
        <f>IFERROR(__xludf.DUMMYFUNCTION("""COMPUTED_VALUE"""),"{}")</f>
        <v>{}</v>
      </c>
      <c r="J1209" s="148" t="str">
        <f>IFERROR(__xludf.DUMMYFUNCTION("""COMPUTED_VALUE"""),"{""typ"":""lc"",""txt"":""LC_ITEM_alliance_shopping_gift_4_name""}")</f>
        <v>{"typ":"lc","txt":"LC_ITEM_alliance_shopping_gift_4_name"}</v>
      </c>
      <c r="K1209" s="148" t="str">
        <f>IFERROR(__xludf.DUMMYFUNCTION("""COMPUTED_VALUE"""),"{""typ"":""lc"",""txt"":""LC_ITEM_alliance_shopping_gift_4_desc""}")</f>
        <v>{"typ":"lc","txt":"LC_ITEM_alliance_shopping_gift_4_desc"}</v>
      </c>
      <c r="L1209" s="148" t="str">
        <f>IFERROR(__xludf.DUMMYFUNCTION("""COMPUTED_VALUE"""),"{}")</f>
        <v>{}</v>
      </c>
      <c r="M1209" s="148">
        <f>IFERROR(__xludf.DUMMYFUNCTION("""COMPUTED_VALUE"""),66.0)</f>
        <v>66</v>
      </c>
      <c r="N1209" s="148">
        <f>IFERROR(__xludf.DUMMYFUNCTION("""COMPUTED_VALUE"""),999999.0)</f>
        <v>999999</v>
      </c>
      <c r="O1209" s="148">
        <f>IFERROR(__xludf.DUMMYFUNCTION("""COMPUTED_VALUE"""),99999.0)</f>
        <v>99999</v>
      </c>
      <c r="P1209" s="148">
        <f>IFERROR(__xludf.DUMMYFUNCTION("""COMPUTED_VALUE"""),1.0)</f>
        <v>1</v>
      </c>
      <c r="Q1209" s="148" t="str">
        <f>IFERROR(__xludf.DUMMYFUNCTION("""COMPUTED_VALUE"""),"[]")</f>
        <v>[]</v>
      </c>
      <c r="R1209" s="148" t="str">
        <f>IFERROR(__xludf.DUMMYFUNCTION("""COMPUTED_VALUE"""),"[]")</f>
        <v>[]</v>
      </c>
      <c r="S1209" s="148" t="str">
        <f>IFERROR(__xludf.DUMMYFUNCTION("""COMPUTED_VALUE"""),"{""drop"":{""typ"":""single_all"",""num"":1,""args"":[{""typ"":""single_all"",""num"":1,""args"":[{""typ"":""rss"",""id"":11141022,""num"":200,""wgt"":30}]},{""typ"":""single_random"",""num"":1,""args"":[{""typ"":""vm"",""id"":11151002,""num"":600,""wgt"""&amp;":720},{""typ"":""vm"",""id"":11151003,""num"":600,""wgt"":720},{""typ"":""item"",""id"":11111020,""num"":1,""wgt"":240},{""typ"":""item"",""id"":11111019,""num"":5,""wgt"":720},{""typ"":""item"",""id"":11111028,""num"":5,""wgt"":640},{""typ"":""item"",""i"&amp;"d"":11111203,""num"":1,""wgt"":80},{""typ"":""item"",""id"":11111205,""num"":1,""wgt"":80},{""typ"":""item"",""id"":11111207,""num"":1,""wgt"":80},{""typ"":""item"",""id"":11111211,""num"":1,""wgt"":80},{""typ"":""item"",""id"":11111104,""num"":5,""wgt"":"&amp;"1840},{""typ"":""item"",""id"":11111105,""num"":2,""wgt"":1360},{""typ"":""item"",""id"":11117009,""num"":2,""wgt"":400},{""typ"":""item"",""id"":11117007,""num"":15,""wgt"":400},{""typ"":""item"",""id"":11111322,""num"":6,""wgt"":160},{""typ"":""item"","&amp;"""id"":11111322,""num"":12,""wgt"":480},{""typ"":""item"",""id"":11117139,""num"":1,""wgt"":2000}]}]}}")</f>
        <v>{"drop":{"typ":"single_all","num":1,"args":[{"typ":"single_all","num":1,"args":[{"typ":"rss","id":11141022,"num":200,"wgt":30}]},{"typ":"single_random","num":1,"args":[{"typ":"vm","id":11151002,"num":600,"wgt":720},{"typ":"vm","id":11151003,"num":600,"wgt":720},{"typ":"item","id":11111020,"num":1,"wgt":240},{"typ":"item","id":11111019,"num":5,"wgt":720},{"typ":"item","id":11111028,"num":5,"wgt":640},{"typ":"item","id":11111203,"num":1,"wgt":80},{"typ":"item","id":11111205,"num":1,"wgt":80},{"typ":"item","id":11111207,"num":1,"wgt":80},{"typ":"item","id":11111211,"num":1,"wgt":80},{"typ":"item","id":11111104,"num":5,"wgt":1840},{"typ":"item","id":11111105,"num":2,"wgt":1360},{"typ":"item","id":11117009,"num":2,"wgt":400},{"typ":"item","id":11117007,"num":15,"wgt":400},{"typ":"item","id":11111322,"num":6,"wgt":160},{"typ":"item","id":11111322,"num":12,"wgt":480},{"typ":"item","id":11117139,"num":1,"wgt":2000}]}]}}</v>
      </c>
      <c r="T1209" s="148">
        <f>IFERROR(__xludf.DUMMYFUNCTION("""COMPUTED_VALUE"""),-1.0)</f>
        <v>-1</v>
      </c>
      <c r="U1209" s="148">
        <f>IFERROR(__xludf.DUMMYFUNCTION("""COMPUTED_VALUE"""),0.0)</f>
        <v>0</v>
      </c>
      <c r="V1209" s="148" t="str">
        <f>IFERROR(__xludf.DUMMYFUNCTION("""COMPUTED_VALUE"""),"[]")</f>
        <v>[]</v>
      </c>
      <c r="W1209" s="148">
        <f>IFERROR(__xludf.DUMMYFUNCTION("""COMPUTED_VALUE"""),1.174E7)</f>
        <v>11740000</v>
      </c>
      <c r="X1209" s="148">
        <f>IFERROR(__xludf.DUMMYFUNCTION("""COMPUTED_VALUE"""),0.0)</f>
        <v>0</v>
      </c>
      <c r="Y1209" s="148">
        <f>IFERROR(__xludf.DUMMYFUNCTION("""COMPUTED_VALUE"""),0.0)</f>
        <v>0</v>
      </c>
      <c r="Z1209" s="148"/>
    </row>
    <row r="1210">
      <c r="A1210" s="148">
        <f>IFERROR(__xludf.DUMMYFUNCTION("""COMPUTED_VALUE"""),1.1114433E7)</f>
        <v>11114433</v>
      </c>
      <c r="B1210" s="148" t="str">
        <f>IFERROR(__xludf.DUMMYFUNCTION("""COMPUTED_VALUE"""),"四级联盟宝箱_蓝")</f>
        <v>四级联盟宝箱_蓝</v>
      </c>
      <c r="C1210" s="148"/>
      <c r="D1210" s="148" t="str">
        <f>IFERROR(__xludf.DUMMYFUNCTION("""COMPUTED_VALUE"""),"item_union_gift_box")</f>
        <v>item_union_gift_box</v>
      </c>
      <c r="E1210" s="148">
        <f>IFERROR(__xludf.DUMMYFUNCTION("""COMPUTED_VALUE"""),16.0)</f>
        <v>16</v>
      </c>
      <c r="F1210" s="148">
        <f>IFERROR(__xludf.DUMMYFUNCTION("""COMPUTED_VALUE"""),0.0)</f>
        <v>0</v>
      </c>
      <c r="G1210" s="148">
        <f>IFERROR(__xludf.DUMMYFUNCTION("""COMPUTED_VALUE"""),1.5113197E7)</f>
        <v>15113197</v>
      </c>
      <c r="H1210" s="148">
        <f>IFERROR(__xludf.DUMMYFUNCTION("""COMPUTED_VALUE"""),1.5112562E7)</f>
        <v>15112562</v>
      </c>
      <c r="I1210" s="148" t="str">
        <f>IFERROR(__xludf.DUMMYFUNCTION("""COMPUTED_VALUE"""),"{}")</f>
        <v>{}</v>
      </c>
      <c r="J1210" s="148" t="str">
        <f>IFERROR(__xludf.DUMMYFUNCTION("""COMPUTED_VALUE"""),"{""typ"":""lc"",""txt"":""LC_ITEM_alliance_shopping_gift_4_name""}")</f>
        <v>{"typ":"lc","txt":"LC_ITEM_alliance_shopping_gift_4_name"}</v>
      </c>
      <c r="K1210" s="148" t="str">
        <f>IFERROR(__xludf.DUMMYFUNCTION("""COMPUTED_VALUE"""),"{""typ"":""lc"",""txt"":""LC_ITEM_alliance_shopping_gift_4_desc""}")</f>
        <v>{"typ":"lc","txt":"LC_ITEM_alliance_shopping_gift_4_desc"}</v>
      </c>
      <c r="L1210" s="148" t="str">
        <f>IFERROR(__xludf.DUMMYFUNCTION("""COMPUTED_VALUE"""),"{}")</f>
        <v>{}</v>
      </c>
      <c r="M1210" s="148">
        <f>IFERROR(__xludf.DUMMYFUNCTION("""COMPUTED_VALUE"""),66.0)</f>
        <v>66</v>
      </c>
      <c r="N1210" s="148">
        <f>IFERROR(__xludf.DUMMYFUNCTION("""COMPUTED_VALUE"""),999999.0)</f>
        <v>999999</v>
      </c>
      <c r="O1210" s="148">
        <f>IFERROR(__xludf.DUMMYFUNCTION("""COMPUTED_VALUE"""),99999.0)</f>
        <v>99999</v>
      </c>
      <c r="P1210" s="148">
        <f>IFERROR(__xludf.DUMMYFUNCTION("""COMPUTED_VALUE"""),1.0)</f>
        <v>1</v>
      </c>
      <c r="Q1210" s="148" t="str">
        <f>IFERROR(__xludf.DUMMYFUNCTION("""COMPUTED_VALUE"""),"[]")</f>
        <v>[]</v>
      </c>
      <c r="R1210" s="148" t="str">
        <f>IFERROR(__xludf.DUMMYFUNCTION("""COMPUTED_VALUE"""),"[]")</f>
        <v>[]</v>
      </c>
      <c r="S1210" s="148" t="str">
        <f>IFERROR(__xludf.DUMMYFUNCTION("""COMPUTED_VALUE"""),"{""drop"":{""typ"":""single_all"",""num"":1,""args"":[{""typ"":""single_all"",""num"":1,""args"":[{""typ"":""rss"",""id"":11141022,""num"":200,""wgt"":30}]},{""typ"":""single_random"",""num"":1,""args"":[{""typ"":""vm"",""id"":11151002,""num"":700,""wgt"""&amp;":720},{""typ"":""vm"",""id"":11151003,""num"":700,""wgt"":720},{""typ"":""item"",""id"":11111020,""num"":2,""wgt"":240},{""typ"":""item"",""id"":11111019,""num"":5,""wgt"":720},{""typ"":""item"",""id"":11111028,""num"":6,""wgt"":640},{""typ"":""item"",""i"&amp;"d"":11111203,""num"":1,""wgt"":80},{""typ"":""item"",""id"":11111205,""num"":1,""wgt"":80},{""typ"":""item"",""id"":11111207,""num"":1,""wgt"":80},{""typ"":""item"",""id"":11111211,""num"":1,""wgt"":80},{""typ"":""item"",""id"":11111104,""num"":7,""wgt"":"&amp;"1840},{""typ"":""item"",""id"":11111105,""num"":3,""wgt"":1360},{""typ"":""item"",""id"":11117009,""num"":2,""wgt"":400},{""typ"":""item"",""id"":11117007,""num"":16,""wgt"":400},{""typ"":""item"",""id"":11111322,""num"":7,""wgt"":160},{""typ"":""item"","&amp;"""id"":11111322,""num"":13,""wgt"":480},{""typ"":""item"",""id"":11117139,""num"":1,""wgt"":2000}]}]}}")</f>
        <v>{"drop":{"typ":"single_all","num":1,"args":[{"typ":"single_all","num":1,"args":[{"typ":"rss","id":11141022,"num":200,"wgt":30}]},{"typ":"single_random","num":1,"args":[{"typ":"vm","id":11151002,"num":700,"wgt":720},{"typ":"vm","id":11151003,"num":700,"wgt":720},{"typ":"item","id":11111020,"num":2,"wgt":240},{"typ":"item","id":11111019,"num":5,"wgt":720},{"typ":"item","id":11111028,"num":6,"wgt":640},{"typ":"item","id":11111203,"num":1,"wgt":80},{"typ":"item","id":11111205,"num":1,"wgt":80},{"typ":"item","id":11111207,"num":1,"wgt":80},{"typ":"item","id":11111211,"num":1,"wgt":80},{"typ":"item","id":11111104,"num":7,"wgt":1840},{"typ":"item","id":11111105,"num":3,"wgt":1360},{"typ":"item","id":11117009,"num":2,"wgt":400},{"typ":"item","id":11117007,"num":16,"wgt":400},{"typ":"item","id":11111322,"num":7,"wgt":160},{"typ":"item","id":11111322,"num":13,"wgt":480},{"typ":"item","id":11117139,"num":1,"wgt":2000}]}]}}</v>
      </c>
      <c r="T1210" s="148">
        <f>IFERROR(__xludf.DUMMYFUNCTION("""COMPUTED_VALUE"""),-1.0)</f>
        <v>-1</v>
      </c>
      <c r="U1210" s="148">
        <f>IFERROR(__xludf.DUMMYFUNCTION("""COMPUTED_VALUE"""),0.0)</f>
        <v>0</v>
      </c>
      <c r="V1210" s="148" t="str">
        <f>IFERROR(__xludf.DUMMYFUNCTION("""COMPUTED_VALUE"""),"[]")</f>
        <v>[]</v>
      </c>
      <c r="W1210" s="148">
        <f>IFERROR(__xludf.DUMMYFUNCTION("""COMPUTED_VALUE"""),1.174E7)</f>
        <v>11740000</v>
      </c>
      <c r="X1210" s="148">
        <f>IFERROR(__xludf.DUMMYFUNCTION("""COMPUTED_VALUE"""),0.0)</f>
        <v>0</v>
      </c>
      <c r="Y1210" s="148">
        <f>IFERROR(__xludf.DUMMYFUNCTION("""COMPUTED_VALUE"""),0.0)</f>
        <v>0</v>
      </c>
      <c r="Z1210" s="148"/>
    </row>
    <row r="1211">
      <c r="A1211" s="148">
        <f>IFERROR(__xludf.DUMMYFUNCTION("""COMPUTED_VALUE"""),1.1114434E7)</f>
        <v>11114434</v>
      </c>
      <c r="B1211" s="148" t="str">
        <f>IFERROR(__xludf.DUMMYFUNCTION("""COMPUTED_VALUE"""),"四级联盟宝箱_紫")</f>
        <v>四级联盟宝箱_紫</v>
      </c>
      <c r="C1211" s="148"/>
      <c r="D1211" s="148" t="str">
        <f>IFERROR(__xludf.DUMMYFUNCTION("""COMPUTED_VALUE"""),"item_union_gift_box")</f>
        <v>item_union_gift_box</v>
      </c>
      <c r="E1211" s="148">
        <f>IFERROR(__xludf.DUMMYFUNCTION("""COMPUTED_VALUE"""),16.0)</f>
        <v>16</v>
      </c>
      <c r="F1211" s="148">
        <f>IFERROR(__xludf.DUMMYFUNCTION("""COMPUTED_VALUE"""),0.0)</f>
        <v>0</v>
      </c>
      <c r="G1211" s="148">
        <f>IFERROR(__xludf.DUMMYFUNCTION("""COMPUTED_VALUE"""),1.5113197E7)</f>
        <v>15113197</v>
      </c>
      <c r="H1211" s="148">
        <f>IFERROR(__xludf.DUMMYFUNCTION("""COMPUTED_VALUE"""),1.5112563E7)</f>
        <v>15112563</v>
      </c>
      <c r="I1211" s="148" t="str">
        <f>IFERROR(__xludf.DUMMYFUNCTION("""COMPUTED_VALUE"""),"{}")</f>
        <v>{}</v>
      </c>
      <c r="J1211" s="148" t="str">
        <f>IFERROR(__xludf.DUMMYFUNCTION("""COMPUTED_VALUE"""),"{""typ"":""lc"",""txt"":""LC_ITEM_alliance_shopping_gift_4_name""}")</f>
        <v>{"typ":"lc","txt":"LC_ITEM_alliance_shopping_gift_4_name"}</v>
      </c>
      <c r="K1211" s="148" t="str">
        <f>IFERROR(__xludf.DUMMYFUNCTION("""COMPUTED_VALUE"""),"{""typ"":""lc"",""txt"":""LC_ITEM_alliance_shopping_gift_4_desc""}")</f>
        <v>{"typ":"lc","txt":"LC_ITEM_alliance_shopping_gift_4_desc"}</v>
      </c>
      <c r="L1211" s="148" t="str">
        <f>IFERROR(__xludf.DUMMYFUNCTION("""COMPUTED_VALUE"""),"{}")</f>
        <v>{}</v>
      </c>
      <c r="M1211" s="148">
        <f>IFERROR(__xludf.DUMMYFUNCTION("""COMPUTED_VALUE"""),66.0)</f>
        <v>66</v>
      </c>
      <c r="N1211" s="148">
        <f>IFERROR(__xludf.DUMMYFUNCTION("""COMPUTED_VALUE"""),999999.0)</f>
        <v>999999</v>
      </c>
      <c r="O1211" s="148">
        <f>IFERROR(__xludf.DUMMYFUNCTION("""COMPUTED_VALUE"""),99999.0)</f>
        <v>99999</v>
      </c>
      <c r="P1211" s="148">
        <f>IFERROR(__xludf.DUMMYFUNCTION("""COMPUTED_VALUE"""),1.0)</f>
        <v>1</v>
      </c>
      <c r="Q1211" s="148" t="str">
        <f>IFERROR(__xludf.DUMMYFUNCTION("""COMPUTED_VALUE"""),"[]")</f>
        <v>[]</v>
      </c>
      <c r="R1211" s="148" t="str">
        <f>IFERROR(__xludf.DUMMYFUNCTION("""COMPUTED_VALUE"""),"[]")</f>
        <v>[]</v>
      </c>
      <c r="S1211" s="148" t="str">
        <f>IFERROR(__xludf.DUMMYFUNCTION("""COMPUTED_VALUE"""),"{""drop"":{""typ"":""single_all"",""num"":1,""args"":[{""typ"":""single_all"",""num"":1,""args"":[{""typ"":""rss"",""id"":11141022,""num"":200,""wgt"":30}]},{""typ"":""single_random"",""num"":1,""args"":[{""typ"":""vm"",""id"":11151002,""num"":800,""wgt"""&amp;":720},{""typ"":""vm"",""id"":11151003,""num"":800,""wgt"":720},{""typ"":""item"",""id"":11111020,""num"":2,""wgt"":240},{""typ"":""item"",""id"":11111019,""num"":6,""wgt"":720},{""typ"":""item"",""id"":11111028,""num"":7,""wgt"":640},{""typ"":""item"",""i"&amp;"d"":11111203,""num"":1,""wgt"":80},{""typ"":""item"",""id"":11111205,""num"":1,""wgt"":80},{""typ"":""item"",""id"":11111207,""num"":1,""wgt"":80},{""typ"":""item"",""id"":11111211,""num"":1,""wgt"":80},{""typ"":""item"",""id"":11111104,""num"":7,""wgt"":"&amp;"1840},{""typ"":""item"",""id"":11111105,""num"":3,""wgt"":1360},{""typ"":""item"",""id"":11117009,""num"":2,""wgt"":80},{""typ"":""item"",""id"":11117007,""num"":17,""wgt"":720},{""typ"":""item"",""id"":11111322,""num"":7,""wgt"":160},{""typ"":""item"","""&amp;"id"":11111322,""num"":13,""wgt"":480},{""typ"":""item"",""id"":11117139,""num"":1,""wgt"":2000}]}]}}")</f>
        <v>{"drop":{"typ":"single_all","num":1,"args":[{"typ":"single_all","num":1,"args":[{"typ":"rss","id":11141022,"num":200,"wgt":30}]},{"typ":"single_random","num":1,"args":[{"typ":"vm","id":11151002,"num":800,"wgt":720},{"typ":"vm","id":11151003,"num":800,"wgt":720},{"typ":"item","id":11111020,"num":2,"wgt":240},{"typ":"item","id":11111019,"num":6,"wgt":720},{"typ":"item","id":11111028,"num":7,"wgt":640},{"typ":"item","id":11111203,"num":1,"wgt":80},{"typ":"item","id":11111205,"num":1,"wgt":80},{"typ":"item","id":11111207,"num":1,"wgt":80},{"typ":"item","id":11111211,"num":1,"wgt":80},{"typ":"item","id":11111104,"num":7,"wgt":1840},{"typ":"item","id":11111105,"num":3,"wgt":1360},{"typ":"item","id":11117009,"num":2,"wgt":80},{"typ":"item","id":11117007,"num":17,"wgt":720},{"typ":"item","id":11111322,"num":7,"wgt":160},{"typ":"item","id":11111322,"num":13,"wgt":480},{"typ":"item","id":11117139,"num":1,"wgt":2000}]}]}}</v>
      </c>
      <c r="T1211" s="148">
        <f>IFERROR(__xludf.DUMMYFUNCTION("""COMPUTED_VALUE"""),-1.0)</f>
        <v>-1</v>
      </c>
      <c r="U1211" s="148">
        <f>IFERROR(__xludf.DUMMYFUNCTION("""COMPUTED_VALUE"""),0.0)</f>
        <v>0</v>
      </c>
      <c r="V1211" s="148" t="str">
        <f>IFERROR(__xludf.DUMMYFUNCTION("""COMPUTED_VALUE"""),"[]")</f>
        <v>[]</v>
      </c>
      <c r="W1211" s="148">
        <f>IFERROR(__xludf.DUMMYFUNCTION("""COMPUTED_VALUE"""),1.174E7)</f>
        <v>11740000</v>
      </c>
      <c r="X1211" s="148">
        <f>IFERROR(__xludf.DUMMYFUNCTION("""COMPUTED_VALUE"""),0.0)</f>
        <v>0</v>
      </c>
      <c r="Y1211" s="148">
        <f>IFERROR(__xludf.DUMMYFUNCTION("""COMPUTED_VALUE"""),0.0)</f>
        <v>0</v>
      </c>
      <c r="Z1211" s="148"/>
    </row>
    <row r="1212">
      <c r="A1212" s="148">
        <f>IFERROR(__xludf.DUMMYFUNCTION("""COMPUTED_VALUE"""),1.1114435E7)</f>
        <v>11114435</v>
      </c>
      <c r="B1212" s="148" t="str">
        <f>IFERROR(__xludf.DUMMYFUNCTION("""COMPUTED_VALUE"""),"四级联盟宝箱_橙")</f>
        <v>四级联盟宝箱_橙</v>
      </c>
      <c r="C1212" s="148"/>
      <c r="D1212" s="148" t="str">
        <f>IFERROR(__xludf.DUMMYFUNCTION("""COMPUTED_VALUE"""),"item_union_gift_box")</f>
        <v>item_union_gift_box</v>
      </c>
      <c r="E1212" s="148">
        <f>IFERROR(__xludf.DUMMYFUNCTION("""COMPUTED_VALUE"""),16.0)</f>
        <v>16</v>
      </c>
      <c r="F1212" s="148">
        <f>IFERROR(__xludf.DUMMYFUNCTION("""COMPUTED_VALUE"""),0.0)</f>
        <v>0</v>
      </c>
      <c r="G1212" s="148">
        <f>IFERROR(__xludf.DUMMYFUNCTION("""COMPUTED_VALUE"""),1.5113197E7)</f>
        <v>15113197</v>
      </c>
      <c r="H1212" s="148">
        <f>IFERROR(__xludf.DUMMYFUNCTION("""COMPUTED_VALUE"""),1.5112564E7)</f>
        <v>15112564</v>
      </c>
      <c r="I1212" s="148" t="str">
        <f>IFERROR(__xludf.DUMMYFUNCTION("""COMPUTED_VALUE"""),"{}")</f>
        <v>{}</v>
      </c>
      <c r="J1212" s="148" t="str">
        <f>IFERROR(__xludf.DUMMYFUNCTION("""COMPUTED_VALUE"""),"{""typ"":""lc"",""txt"":""LC_ITEM_alliance_shopping_gift_4_name""}")</f>
        <v>{"typ":"lc","txt":"LC_ITEM_alliance_shopping_gift_4_name"}</v>
      </c>
      <c r="K1212" s="148" t="str">
        <f>IFERROR(__xludf.DUMMYFUNCTION("""COMPUTED_VALUE"""),"{""typ"":""lc"",""txt"":""LC_ITEM_alliance_shopping_gift_4_desc""}")</f>
        <v>{"typ":"lc","txt":"LC_ITEM_alliance_shopping_gift_4_desc"}</v>
      </c>
      <c r="L1212" s="148" t="str">
        <f>IFERROR(__xludf.DUMMYFUNCTION("""COMPUTED_VALUE"""),"{}")</f>
        <v>{}</v>
      </c>
      <c r="M1212" s="148">
        <f>IFERROR(__xludf.DUMMYFUNCTION("""COMPUTED_VALUE"""),66.0)</f>
        <v>66</v>
      </c>
      <c r="N1212" s="148">
        <f>IFERROR(__xludf.DUMMYFUNCTION("""COMPUTED_VALUE"""),999999.0)</f>
        <v>999999</v>
      </c>
      <c r="O1212" s="148">
        <f>IFERROR(__xludf.DUMMYFUNCTION("""COMPUTED_VALUE"""),99999.0)</f>
        <v>99999</v>
      </c>
      <c r="P1212" s="148">
        <f>IFERROR(__xludf.DUMMYFUNCTION("""COMPUTED_VALUE"""),1.0)</f>
        <v>1</v>
      </c>
      <c r="Q1212" s="148" t="str">
        <f>IFERROR(__xludf.DUMMYFUNCTION("""COMPUTED_VALUE"""),"[]")</f>
        <v>[]</v>
      </c>
      <c r="R1212" s="148" t="str">
        <f>IFERROR(__xludf.DUMMYFUNCTION("""COMPUTED_VALUE"""),"[]")</f>
        <v>[]</v>
      </c>
      <c r="S1212" s="148" t="str">
        <f>IFERROR(__xludf.DUMMYFUNCTION("""COMPUTED_VALUE"""),"{""drop"":{""typ"":""single_all"",""num"":1,""args"":[{""typ"":""single_all"",""num"":1,""args"":[{""typ"":""rss"",""id"":11141022,""num"":200,""wgt"":30}]},{""typ"":""single_random"",""num"":1,""args"":[{""typ"":""vm"",""id"":11151002,""num"":900,""wgt"""&amp;":720},{""typ"":""vm"",""id"":11151003,""num"":900,""wgt"":720},{""typ"":""item"",""id"":11111020,""num"":2,""wgt"":240},{""typ"":""item"",""id"":11111019,""num"":6,""wgt"":720},{""typ"":""item"",""id"":11111028,""num"":8,""wgt"":640},{""typ"":""item"",""i"&amp;"d"":11111203,""num"":1,""wgt"":80},{""typ"":""item"",""id"":11111205,""num"":1,""wgt"":80},{""typ"":""item"",""id"":11111207,""num"":1,""wgt"":80},{""typ"":""item"",""id"":11111211,""num"":1,""wgt"":80},{""typ"":""item"",""id"":11111104,""num"":9,""wgt"":"&amp;"1840},{""typ"":""item"",""id"":11111105,""num"":3,""wgt"":1360},{""typ"":""item"",""id"":11117009,""num"":2,""wgt"":80},{""typ"":""item"",""id"":11117007,""num"":18,""wgt"":720},{""typ"":""item"",""id"":11111322,""num"":8,""wgt"":160},{""typ"":""item"","""&amp;"id"":11111322,""num"":15,""wgt"":480},{""typ"":""item"",""id"":11117139,""num"":1,""wgt"":2000}]}]}}")</f>
        <v>{"drop":{"typ":"single_all","num":1,"args":[{"typ":"single_all","num":1,"args":[{"typ":"rss","id":11141022,"num":200,"wgt":30}]},{"typ":"single_random","num":1,"args":[{"typ":"vm","id":11151002,"num":900,"wgt":720},{"typ":"vm","id":11151003,"num":900,"wgt":720},{"typ":"item","id":11111020,"num":2,"wgt":240},{"typ":"item","id":11111019,"num":6,"wgt":720},{"typ":"item","id":11111028,"num":8,"wgt":640},{"typ":"item","id":11111203,"num":1,"wgt":80},{"typ":"item","id":11111205,"num":1,"wgt":80},{"typ":"item","id":11111207,"num":1,"wgt":80},{"typ":"item","id":11111211,"num":1,"wgt":80},{"typ":"item","id":11111104,"num":9,"wgt":1840},{"typ":"item","id":11111105,"num":3,"wgt":1360},{"typ":"item","id":11117009,"num":2,"wgt":80},{"typ":"item","id":11117007,"num":18,"wgt":720},{"typ":"item","id":11111322,"num":8,"wgt":160},{"typ":"item","id":11111322,"num":15,"wgt":480},{"typ":"item","id":11117139,"num":1,"wgt":2000}]}]}}</v>
      </c>
      <c r="T1212" s="148">
        <f>IFERROR(__xludf.DUMMYFUNCTION("""COMPUTED_VALUE"""),-1.0)</f>
        <v>-1</v>
      </c>
      <c r="U1212" s="148">
        <f>IFERROR(__xludf.DUMMYFUNCTION("""COMPUTED_VALUE"""),0.0)</f>
        <v>0</v>
      </c>
      <c r="V1212" s="148" t="str">
        <f>IFERROR(__xludf.DUMMYFUNCTION("""COMPUTED_VALUE"""),"[]")</f>
        <v>[]</v>
      </c>
      <c r="W1212" s="148">
        <f>IFERROR(__xludf.DUMMYFUNCTION("""COMPUTED_VALUE"""),1.174E7)</f>
        <v>11740000</v>
      </c>
      <c r="X1212" s="148">
        <f>IFERROR(__xludf.DUMMYFUNCTION("""COMPUTED_VALUE"""),0.0)</f>
        <v>0</v>
      </c>
      <c r="Y1212" s="148">
        <f>IFERROR(__xludf.DUMMYFUNCTION("""COMPUTED_VALUE"""),0.0)</f>
        <v>0</v>
      </c>
      <c r="Z1212" s="148"/>
    </row>
    <row r="1213">
      <c r="A1213" s="148">
        <f>IFERROR(__xludf.DUMMYFUNCTION("""COMPUTED_VALUE"""),1.1114436E7)</f>
        <v>11114436</v>
      </c>
      <c r="B1213" s="148" t="str">
        <f>IFERROR(__xludf.DUMMYFUNCTION("""COMPUTED_VALUE"""),"五级联盟宝箱_白")</f>
        <v>五级联盟宝箱_白</v>
      </c>
      <c r="C1213" s="148"/>
      <c r="D1213" s="148" t="str">
        <f>IFERROR(__xludf.DUMMYFUNCTION("""COMPUTED_VALUE"""),"item_union_gift_box")</f>
        <v>item_union_gift_box</v>
      </c>
      <c r="E1213" s="148">
        <f>IFERROR(__xludf.DUMMYFUNCTION("""COMPUTED_VALUE"""),16.0)</f>
        <v>16</v>
      </c>
      <c r="F1213" s="148">
        <f>IFERROR(__xludf.DUMMYFUNCTION("""COMPUTED_VALUE"""),0.0)</f>
        <v>0</v>
      </c>
      <c r="G1213" s="148">
        <f>IFERROR(__xludf.DUMMYFUNCTION("""COMPUTED_VALUE"""),1.5113198E7)</f>
        <v>15113198</v>
      </c>
      <c r="H1213" s="148">
        <f>IFERROR(__xludf.DUMMYFUNCTION("""COMPUTED_VALUE"""),1.511256E7)</f>
        <v>15112560</v>
      </c>
      <c r="I1213" s="148" t="str">
        <f>IFERROR(__xludf.DUMMYFUNCTION("""COMPUTED_VALUE"""),"{}")</f>
        <v>{}</v>
      </c>
      <c r="J1213" s="148" t="str">
        <f>IFERROR(__xludf.DUMMYFUNCTION("""COMPUTED_VALUE"""),"{""typ"":""lc"",""txt"":""LC_ITEM_alliance_shopping_gift_5_name""}")</f>
        <v>{"typ":"lc","txt":"LC_ITEM_alliance_shopping_gift_5_name"}</v>
      </c>
      <c r="K1213" s="148" t="str">
        <f>IFERROR(__xludf.DUMMYFUNCTION("""COMPUTED_VALUE"""),"{""typ"":""lc"",""txt"":""LC_ITEM_alliance_shopping_gift_5_desc""}")</f>
        <v>{"typ":"lc","txt":"LC_ITEM_alliance_shopping_gift_5_desc"}</v>
      </c>
      <c r="L1213" s="148" t="str">
        <f>IFERROR(__xludf.DUMMYFUNCTION("""COMPUTED_VALUE"""),"{}")</f>
        <v>{}</v>
      </c>
      <c r="M1213" s="148">
        <f>IFERROR(__xludf.DUMMYFUNCTION("""COMPUTED_VALUE"""),66.0)</f>
        <v>66</v>
      </c>
      <c r="N1213" s="148">
        <f>IFERROR(__xludf.DUMMYFUNCTION("""COMPUTED_VALUE"""),999999.0)</f>
        <v>999999</v>
      </c>
      <c r="O1213" s="148">
        <f>IFERROR(__xludf.DUMMYFUNCTION("""COMPUTED_VALUE"""),99999.0)</f>
        <v>99999</v>
      </c>
      <c r="P1213" s="148">
        <f>IFERROR(__xludf.DUMMYFUNCTION("""COMPUTED_VALUE"""),1.0)</f>
        <v>1</v>
      </c>
      <c r="Q1213" s="148" t="str">
        <f>IFERROR(__xludf.DUMMYFUNCTION("""COMPUTED_VALUE"""),"[]")</f>
        <v>[]</v>
      </c>
      <c r="R1213" s="148" t="str">
        <f>IFERROR(__xludf.DUMMYFUNCTION("""COMPUTED_VALUE"""),"[]")</f>
        <v>[]</v>
      </c>
      <c r="S1213" s="148" t="str">
        <f>IFERROR(__xludf.DUMMYFUNCTION("""COMPUTED_VALUE"""),"{""drop"":{""typ"":""single_all"",""num"":1,""args"":[{""typ"":""single_all"",""num"":1,""args"":[{""typ"":""rss"",""id"":11141022,""num"":300,""wgt"":30}]},{""typ"":""single_random"",""num"":1,""args"":[{""typ"":""vm"",""id"":11151002,""num"":500,""wgt"""&amp;":90},{""typ"":""vm"",""id"":11151003,""num"":500,""wgt"":90},{""typ"":""item"",""id"":11111020,""num"":3,""wgt"":50},{""typ"":""item"",""id"":11111021,""num"":1,""wgt"":10},{""typ"":""item"",""id"":11111028,""num"":8,""wgt"":30},{""typ"":""item"",""id"":1"&amp;"1111203,""num"":1,""wgt"":20},{""typ"":""item"",""id"":11111205,""num"":1,""wgt"":20},{""typ"":""item"",""id"":11111207,""num"":1,""wgt"":20},{""typ"":""item"",""id"":11111211,""num"":1,""wgt"":20},{""typ"":""item"",""id"":11116401,""num"":2,""wgt"":60},{"&amp;"""typ"":""item"",""id"":11116402,""num"":2,""wgt"":50},{""typ"":""item"",""id"":11111104,""num"":10,""wgt"":220},{""typ"":""item"",""id"":11111105,""num"":3,""wgt"":100},{""typ"":""item"",""id"":11111106,""num"":2,""wgt"":50},{""typ"":""item"",""id"":1111"&amp;"7009,""num"":2,""wgt"":10},{""typ"":""item"",""id"":11117008,""num"":3,""wgt"":100},{""typ"":""item"",""id"":11111322,""num"":12,""wgt"":60}]}]}}")</f>
        <v>{"drop":{"typ":"single_all","num":1,"args":[{"typ":"single_all","num":1,"args":[{"typ":"rss","id":11141022,"num":300,"wgt":30}]},{"typ":"single_random","num":1,"args":[{"typ":"vm","id":11151002,"num":500,"wgt":90},{"typ":"vm","id":11151003,"num":500,"wgt":90},{"typ":"item","id":11111020,"num":3,"wgt":50},{"typ":"item","id":11111021,"num":1,"wgt":10},{"typ":"item","id":11111028,"num":8,"wgt":30},{"typ":"item","id":11111203,"num":1,"wgt":20},{"typ":"item","id":11111205,"num":1,"wgt":20},{"typ":"item","id":11111207,"num":1,"wgt":20},{"typ":"item","id":11111211,"num":1,"wgt":20},{"typ":"item","id":11116401,"num":2,"wgt":60},{"typ":"item","id":11116402,"num":2,"wgt":50},{"typ":"item","id":11111104,"num":10,"wgt":220},{"typ":"item","id":11111105,"num":3,"wgt":100},{"typ":"item","id":11111106,"num":2,"wgt":50},{"typ":"item","id":11117009,"num":2,"wgt":10},{"typ":"item","id":11117008,"num":3,"wgt":100},{"typ":"item","id":11111322,"num":12,"wgt":60}]}]}}</v>
      </c>
      <c r="T1213" s="148">
        <f>IFERROR(__xludf.DUMMYFUNCTION("""COMPUTED_VALUE"""),-1.0)</f>
        <v>-1</v>
      </c>
      <c r="U1213" s="148">
        <f>IFERROR(__xludf.DUMMYFUNCTION("""COMPUTED_VALUE"""),0.0)</f>
        <v>0</v>
      </c>
      <c r="V1213" s="148" t="str">
        <f>IFERROR(__xludf.DUMMYFUNCTION("""COMPUTED_VALUE"""),"[]")</f>
        <v>[]</v>
      </c>
      <c r="W1213" s="148">
        <f>IFERROR(__xludf.DUMMYFUNCTION("""COMPUTED_VALUE"""),1.174E7)</f>
        <v>11740000</v>
      </c>
      <c r="X1213" s="148">
        <f>IFERROR(__xludf.DUMMYFUNCTION("""COMPUTED_VALUE"""),0.0)</f>
        <v>0</v>
      </c>
      <c r="Y1213" s="148">
        <f>IFERROR(__xludf.DUMMYFUNCTION("""COMPUTED_VALUE"""),0.0)</f>
        <v>0</v>
      </c>
      <c r="Z1213" s="148"/>
    </row>
    <row r="1214">
      <c r="A1214" s="148">
        <f>IFERROR(__xludf.DUMMYFUNCTION("""COMPUTED_VALUE"""),1.1114437E7)</f>
        <v>11114437</v>
      </c>
      <c r="B1214" s="148" t="str">
        <f>IFERROR(__xludf.DUMMYFUNCTION("""COMPUTED_VALUE"""),"五级联盟宝箱_绿")</f>
        <v>五级联盟宝箱_绿</v>
      </c>
      <c r="C1214" s="148"/>
      <c r="D1214" s="148" t="str">
        <f>IFERROR(__xludf.DUMMYFUNCTION("""COMPUTED_VALUE"""),"item_union_gift_box")</f>
        <v>item_union_gift_box</v>
      </c>
      <c r="E1214" s="148">
        <f>IFERROR(__xludf.DUMMYFUNCTION("""COMPUTED_VALUE"""),16.0)</f>
        <v>16</v>
      </c>
      <c r="F1214" s="148">
        <f>IFERROR(__xludf.DUMMYFUNCTION("""COMPUTED_VALUE"""),0.0)</f>
        <v>0</v>
      </c>
      <c r="G1214" s="148">
        <f>IFERROR(__xludf.DUMMYFUNCTION("""COMPUTED_VALUE"""),1.5113198E7)</f>
        <v>15113198</v>
      </c>
      <c r="H1214" s="148">
        <f>IFERROR(__xludf.DUMMYFUNCTION("""COMPUTED_VALUE"""),1.5112561E7)</f>
        <v>15112561</v>
      </c>
      <c r="I1214" s="148" t="str">
        <f>IFERROR(__xludf.DUMMYFUNCTION("""COMPUTED_VALUE"""),"{}")</f>
        <v>{}</v>
      </c>
      <c r="J1214" s="148" t="str">
        <f>IFERROR(__xludf.DUMMYFUNCTION("""COMPUTED_VALUE"""),"{""typ"":""lc"",""txt"":""LC_ITEM_alliance_shopping_gift_5_name""}")</f>
        <v>{"typ":"lc","txt":"LC_ITEM_alliance_shopping_gift_5_name"}</v>
      </c>
      <c r="K1214" s="148" t="str">
        <f>IFERROR(__xludf.DUMMYFUNCTION("""COMPUTED_VALUE"""),"{""typ"":""lc"",""txt"":""LC_ITEM_alliance_shopping_gift_5_desc""}")</f>
        <v>{"typ":"lc","txt":"LC_ITEM_alliance_shopping_gift_5_desc"}</v>
      </c>
      <c r="L1214" s="148" t="str">
        <f>IFERROR(__xludf.DUMMYFUNCTION("""COMPUTED_VALUE"""),"{}")</f>
        <v>{}</v>
      </c>
      <c r="M1214" s="148">
        <f>IFERROR(__xludf.DUMMYFUNCTION("""COMPUTED_VALUE"""),66.0)</f>
        <v>66</v>
      </c>
      <c r="N1214" s="148">
        <f>IFERROR(__xludf.DUMMYFUNCTION("""COMPUTED_VALUE"""),999999.0)</f>
        <v>999999</v>
      </c>
      <c r="O1214" s="148">
        <f>IFERROR(__xludf.DUMMYFUNCTION("""COMPUTED_VALUE"""),99999.0)</f>
        <v>99999</v>
      </c>
      <c r="P1214" s="148">
        <f>IFERROR(__xludf.DUMMYFUNCTION("""COMPUTED_VALUE"""),1.0)</f>
        <v>1</v>
      </c>
      <c r="Q1214" s="148" t="str">
        <f>IFERROR(__xludf.DUMMYFUNCTION("""COMPUTED_VALUE"""),"[]")</f>
        <v>[]</v>
      </c>
      <c r="R1214" s="148" t="str">
        <f>IFERROR(__xludf.DUMMYFUNCTION("""COMPUTED_VALUE"""),"[]")</f>
        <v>[]</v>
      </c>
      <c r="S1214" s="148" t="str">
        <f>IFERROR(__xludf.DUMMYFUNCTION("""COMPUTED_VALUE"""),"{""drop"":{""typ"":""single_all"",""num"":1,""args"":[{""typ"":""single_all"",""num"":1,""args"":[{""typ"":""rss"",""id"":11141022,""num"":300,""wgt"":30}]},{""typ"":""single_random"",""num"":1,""args"":[{""typ"":""vm"",""id"":11151002,""num"":600,""wgt"""&amp;":90},{""typ"":""vm"",""id"":11151003,""num"":600,""wgt"":90},{""typ"":""item"",""id"":11111020,""num"":4,""wgt"":50},{""typ"":""item"",""id"":11111021,""num"":1,""wgt"":10},{""typ"":""item"",""id"":11111028,""num"":10,""wgt"":30},{""typ"":""item"",""id"":"&amp;"11111203,""num"":1,""wgt"":20},{""typ"":""item"",""id"":11111205,""num"":1,""wgt"":20},{""typ"":""item"",""id"":11111207,""num"":1,""wgt"":20},{""typ"":""item"",""id"":11111211,""num"":1,""wgt"":20},{""typ"":""item"",""id"":11116401,""num"":2,""wgt"":60},"&amp;"{""typ"":""item"",""id"":11116402,""num"":2,""wgt"":50},{""typ"":""item"",""id"":11111104,""num"":10,""wgt"":220},{""typ"":""item"",""id"":11111105,""num"":3,""wgt"":100},{""typ"":""item"",""id"":11111106,""num"":3,""wgt"":50},{""typ"":""item"",""id"":111"&amp;"17009,""num"":2,""wgt"":10},{""typ"":""item"",""id"":11117008,""num"":3,""wgt"":100},{""typ"":""item"",""id"":11111322,""num"":13,""wgt"":60}]}]}}")</f>
        <v>{"drop":{"typ":"single_all","num":1,"args":[{"typ":"single_all","num":1,"args":[{"typ":"rss","id":11141022,"num":300,"wgt":30}]},{"typ":"single_random","num":1,"args":[{"typ":"vm","id":11151002,"num":600,"wgt":90},{"typ":"vm","id":11151003,"num":600,"wgt":90},{"typ":"item","id":11111020,"num":4,"wgt":50},{"typ":"item","id":11111021,"num":1,"wgt":10},{"typ":"item","id":11111028,"num":10,"wgt":30},{"typ":"item","id":11111203,"num":1,"wgt":20},{"typ":"item","id":11111205,"num":1,"wgt":20},{"typ":"item","id":11111207,"num":1,"wgt":20},{"typ":"item","id":11111211,"num":1,"wgt":20},{"typ":"item","id":11116401,"num":2,"wgt":60},{"typ":"item","id":11116402,"num":2,"wgt":50},{"typ":"item","id":11111104,"num":10,"wgt":220},{"typ":"item","id":11111105,"num":3,"wgt":100},{"typ":"item","id":11111106,"num":3,"wgt":50},{"typ":"item","id":11117009,"num":2,"wgt":10},{"typ":"item","id":11117008,"num":3,"wgt":100},{"typ":"item","id":11111322,"num":13,"wgt":60}]}]}}</v>
      </c>
      <c r="T1214" s="148">
        <f>IFERROR(__xludf.DUMMYFUNCTION("""COMPUTED_VALUE"""),-1.0)</f>
        <v>-1</v>
      </c>
      <c r="U1214" s="148">
        <f>IFERROR(__xludf.DUMMYFUNCTION("""COMPUTED_VALUE"""),0.0)</f>
        <v>0</v>
      </c>
      <c r="V1214" s="148" t="str">
        <f>IFERROR(__xludf.DUMMYFUNCTION("""COMPUTED_VALUE"""),"[]")</f>
        <v>[]</v>
      </c>
      <c r="W1214" s="148">
        <f>IFERROR(__xludf.DUMMYFUNCTION("""COMPUTED_VALUE"""),1.174E7)</f>
        <v>11740000</v>
      </c>
      <c r="X1214" s="148">
        <f>IFERROR(__xludf.DUMMYFUNCTION("""COMPUTED_VALUE"""),0.0)</f>
        <v>0</v>
      </c>
      <c r="Y1214" s="148">
        <f>IFERROR(__xludf.DUMMYFUNCTION("""COMPUTED_VALUE"""),0.0)</f>
        <v>0</v>
      </c>
      <c r="Z1214" s="148"/>
    </row>
    <row r="1215">
      <c r="A1215" s="148">
        <f>IFERROR(__xludf.DUMMYFUNCTION("""COMPUTED_VALUE"""),1.1114438E7)</f>
        <v>11114438</v>
      </c>
      <c r="B1215" s="148" t="str">
        <f>IFERROR(__xludf.DUMMYFUNCTION("""COMPUTED_VALUE"""),"五级联盟宝箱_蓝")</f>
        <v>五级联盟宝箱_蓝</v>
      </c>
      <c r="C1215" s="148"/>
      <c r="D1215" s="148" t="str">
        <f>IFERROR(__xludf.DUMMYFUNCTION("""COMPUTED_VALUE"""),"item_union_gift_box")</f>
        <v>item_union_gift_box</v>
      </c>
      <c r="E1215" s="148">
        <f>IFERROR(__xludf.DUMMYFUNCTION("""COMPUTED_VALUE"""),16.0)</f>
        <v>16</v>
      </c>
      <c r="F1215" s="148">
        <f>IFERROR(__xludf.DUMMYFUNCTION("""COMPUTED_VALUE"""),0.0)</f>
        <v>0</v>
      </c>
      <c r="G1215" s="148">
        <f>IFERROR(__xludf.DUMMYFUNCTION("""COMPUTED_VALUE"""),1.5113198E7)</f>
        <v>15113198</v>
      </c>
      <c r="H1215" s="148">
        <f>IFERROR(__xludf.DUMMYFUNCTION("""COMPUTED_VALUE"""),1.5112562E7)</f>
        <v>15112562</v>
      </c>
      <c r="I1215" s="148" t="str">
        <f>IFERROR(__xludf.DUMMYFUNCTION("""COMPUTED_VALUE"""),"{}")</f>
        <v>{}</v>
      </c>
      <c r="J1215" s="148" t="str">
        <f>IFERROR(__xludf.DUMMYFUNCTION("""COMPUTED_VALUE"""),"{""typ"":""lc"",""txt"":""LC_ITEM_alliance_shopping_gift_5_name""}")</f>
        <v>{"typ":"lc","txt":"LC_ITEM_alliance_shopping_gift_5_name"}</v>
      </c>
      <c r="K1215" s="148" t="str">
        <f>IFERROR(__xludf.DUMMYFUNCTION("""COMPUTED_VALUE"""),"{""typ"":""lc"",""txt"":""LC_ITEM_alliance_shopping_gift_5_desc""}")</f>
        <v>{"typ":"lc","txt":"LC_ITEM_alliance_shopping_gift_5_desc"}</v>
      </c>
      <c r="L1215" s="148" t="str">
        <f>IFERROR(__xludf.DUMMYFUNCTION("""COMPUTED_VALUE"""),"{}")</f>
        <v>{}</v>
      </c>
      <c r="M1215" s="148">
        <f>IFERROR(__xludf.DUMMYFUNCTION("""COMPUTED_VALUE"""),66.0)</f>
        <v>66</v>
      </c>
      <c r="N1215" s="148">
        <f>IFERROR(__xludf.DUMMYFUNCTION("""COMPUTED_VALUE"""),999999.0)</f>
        <v>999999</v>
      </c>
      <c r="O1215" s="148">
        <f>IFERROR(__xludf.DUMMYFUNCTION("""COMPUTED_VALUE"""),99999.0)</f>
        <v>99999</v>
      </c>
      <c r="P1215" s="148">
        <f>IFERROR(__xludf.DUMMYFUNCTION("""COMPUTED_VALUE"""),1.0)</f>
        <v>1</v>
      </c>
      <c r="Q1215" s="148" t="str">
        <f>IFERROR(__xludf.DUMMYFUNCTION("""COMPUTED_VALUE"""),"[]")</f>
        <v>[]</v>
      </c>
      <c r="R1215" s="148" t="str">
        <f>IFERROR(__xludf.DUMMYFUNCTION("""COMPUTED_VALUE"""),"[]")</f>
        <v>[]</v>
      </c>
      <c r="S1215" s="148" t="str">
        <f>IFERROR(__xludf.DUMMYFUNCTION("""COMPUTED_VALUE"""),"{""drop"":{""typ"":""single_all"",""num"":1,""args"":[{""typ"":""single_all"",""num"":1,""args"":[{""typ"":""rss"",""id"":11141022,""num"":300,""wgt"":30}]},{""typ"":""single_random"",""num"":1,""args"":[{""typ"":""vm"",""id"":11151002,""num"":700,""wgt"""&amp;":90},{""typ"":""vm"",""id"":11151003,""num"":700,""wgt"":90},{""typ"":""item"",""id"":11111020,""num"":4,""wgt"":50},{""typ"":""item"",""id"":11111021,""num"":1,""wgt"":10},{""typ"":""item"",""id"":11111028,""num"":12,""wgt"":30},{""typ"":""item"",""id"":"&amp;"11111203,""num"":1,""wgt"":20},{""typ"":""item"",""id"":11111205,""num"":1,""wgt"":20},{""typ"":""item"",""id"":11111207,""num"":1,""wgt"":20},{""typ"":""item"",""id"":11111211,""num"":1,""wgt"":20},{""typ"":""item"",""id"":11116401,""num"":3,""wgt"":60},"&amp;"{""typ"":""item"",""id"":11116402,""num"":3,""wgt"":50},{""typ"":""item"",""id"":11111104,""num"":15,""wgt"":220},{""typ"":""item"",""id"":11111105,""num"":4,""wgt"":100},{""typ"":""item"",""id"":11111106,""num"":3,""wgt"":50},{""typ"":""item"",""id"":111"&amp;"17009,""num"":3,""wgt"":10},{""typ"":""item"",""id"":11117008,""num"":4,""wgt"":100},{""typ"":""item"",""id"":11111322,""num"":14,""wgt"":60}]}]}}")</f>
        <v>{"drop":{"typ":"single_all","num":1,"args":[{"typ":"single_all","num":1,"args":[{"typ":"rss","id":11141022,"num":300,"wgt":30}]},{"typ":"single_random","num":1,"args":[{"typ":"vm","id":11151002,"num":700,"wgt":90},{"typ":"vm","id":11151003,"num":700,"wgt":90},{"typ":"item","id":11111020,"num":4,"wgt":50},{"typ":"item","id":11111021,"num":1,"wgt":10},{"typ":"item","id":11111028,"num":12,"wgt":30},{"typ":"item","id":11111203,"num":1,"wgt":20},{"typ":"item","id":11111205,"num":1,"wgt":20},{"typ":"item","id":11111207,"num":1,"wgt":20},{"typ":"item","id":11111211,"num":1,"wgt":20},{"typ":"item","id":11116401,"num":3,"wgt":60},{"typ":"item","id":11116402,"num":3,"wgt":50},{"typ":"item","id":11111104,"num":15,"wgt":220},{"typ":"item","id":11111105,"num":4,"wgt":100},{"typ":"item","id":11111106,"num":3,"wgt":50},{"typ":"item","id":11117009,"num":3,"wgt":10},{"typ":"item","id":11117008,"num":4,"wgt":100},{"typ":"item","id":11111322,"num":14,"wgt":60}]}]}}</v>
      </c>
      <c r="T1215" s="148">
        <f>IFERROR(__xludf.DUMMYFUNCTION("""COMPUTED_VALUE"""),-1.0)</f>
        <v>-1</v>
      </c>
      <c r="U1215" s="148">
        <f>IFERROR(__xludf.DUMMYFUNCTION("""COMPUTED_VALUE"""),0.0)</f>
        <v>0</v>
      </c>
      <c r="V1215" s="148" t="str">
        <f>IFERROR(__xludf.DUMMYFUNCTION("""COMPUTED_VALUE"""),"[]")</f>
        <v>[]</v>
      </c>
      <c r="W1215" s="148">
        <f>IFERROR(__xludf.DUMMYFUNCTION("""COMPUTED_VALUE"""),1.174E7)</f>
        <v>11740000</v>
      </c>
      <c r="X1215" s="148">
        <f>IFERROR(__xludf.DUMMYFUNCTION("""COMPUTED_VALUE"""),0.0)</f>
        <v>0</v>
      </c>
      <c r="Y1215" s="148">
        <f>IFERROR(__xludf.DUMMYFUNCTION("""COMPUTED_VALUE"""),0.0)</f>
        <v>0</v>
      </c>
      <c r="Z1215" s="148"/>
    </row>
    <row r="1216">
      <c r="A1216" s="148">
        <f>IFERROR(__xludf.DUMMYFUNCTION("""COMPUTED_VALUE"""),1.1114439E7)</f>
        <v>11114439</v>
      </c>
      <c r="B1216" s="148" t="str">
        <f>IFERROR(__xludf.DUMMYFUNCTION("""COMPUTED_VALUE"""),"五级联盟宝箱_紫")</f>
        <v>五级联盟宝箱_紫</v>
      </c>
      <c r="C1216" s="148"/>
      <c r="D1216" s="148" t="str">
        <f>IFERROR(__xludf.DUMMYFUNCTION("""COMPUTED_VALUE"""),"item_union_gift_box")</f>
        <v>item_union_gift_box</v>
      </c>
      <c r="E1216" s="148">
        <f>IFERROR(__xludf.DUMMYFUNCTION("""COMPUTED_VALUE"""),16.0)</f>
        <v>16</v>
      </c>
      <c r="F1216" s="148">
        <f>IFERROR(__xludf.DUMMYFUNCTION("""COMPUTED_VALUE"""),0.0)</f>
        <v>0</v>
      </c>
      <c r="G1216" s="148">
        <f>IFERROR(__xludf.DUMMYFUNCTION("""COMPUTED_VALUE"""),1.5113198E7)</f>
        <v>15113198</v>
      </c>
      <c r="H1216" s="148">
        <f>IFERROR(__xludf.DUMMYFUNCTION("""COMPUTED_VALUE"""),1.5112563E7)</f>
        <v>15112563</v>
      </c>
      <c r="I1216" s="148" t="str">
        <f>IFERROR(__xludf.DUMMYFUNCTION("""COMPUTED_VALUE"""),"{}")</f>
        <v>{}</v>
      </c>
      <c r="J1216" s="148" t="str">
        <f>IFERROR(__xludf.DUMMYFUNCTION("""COMPUTED_VALUE"""),"{""typ"":""lc"",""txt"":""LC_ITEM_alliance_shopping_gift_5_name""}")</f>
        <v>{"typ":"lc","txt":"LC_ITEM_alliance_shopping_gift_5_name"}</v>
      </c>
      <c r="K1216" s="148" t="str">
        <f>IFERROR(__xludf.DUMMYFUNCTION("""COMPUTED_VALUE"""),"{""typ"":""lc"",""txt"":""LC_ITEM_alliance_shopping_gift_5_desc""}")</f>
        <v>{"typ":"lc","txt":"LC_ITEM_alliance_shopping_gift_5_desc"}</v>
      </c>
      <c r="L1216" s="148" t="str">
        <f>IFERROR(__xludf.DUMMYFUNCTION("""COMPUTED_VALUE"""),"{}")</f>
        <v>{}</v>
      </c>
      <c r="M1216" s="148">
        <f>IFERROR(__xludf.DUMMYFUNCTION("""COMPUTED_VALUE"""),66.0)</f>
        <v>66</v>
      </c>
      <c r="N1216" s="148">
        <f>IFERROR(__xludf.DUMMYFUNCTION("""COMPUTED_VALUE"""),999999.0)</f>
        <v>999999</v>
      </c>
      <c r="O1216" s="148">
        <f>IFERROR(__xludf.DUMMYFUNCTION("""COMPUTED_VALUE"""),99999.0)</f>
        <v>99999</v>
      </c>
      <c r="P1216" s="148">
        <f>IFERROR(__xludf.DUMMYFUNCTION("""COMPUTED_VALUE"""),1.0)</f>
        <v>1</v>
      </c>
      <c r="Q1216" s="148" t="str">
        <f>IFERROR(__xludf.DUMMYFUNCTION("""COMPUTED_VALUE"""),"[]")</f>
        <v>[]</v>
      </c>
      <c r="R1216" s="148" t="str">
        <f>IFERROR(__xludf.DUMMYFUNCTION("""COMPUTED_VALUE"""),"[]")</f>
        <v>[]</v>
      </c>
      <c r="S1216" s="148" t="str">
        <f>IFERROR(__xludf.DUMMYFUNCTION("""COMPUTED_VALUE"""),"{""drop"":{""typ"":""single_all"",""num"":1,""args"":[{""typ"":""single_all"",""num"":1,""args"":[{""typ"":""rss"",""id"":11141022,""num"":300,""wgt"":30}]},{""typ"":""single_random"",""num"":1,""args"":[{""typ"":""vm"",""id"":11151002,""num"":800,""wgt"""&amp;":90},{""typ"":""vm"",""id"":11151003,""num"":800,""wgt"":90},{""typ"":""item"",""id"":11111020,""num"":5,""wgt"":50},{""typ"":""item"",""id"":11111021,""num"":1,""wgt"":10},{""typ"":""item"",""id"":11111028,""num"":14,""wgt"":30},{""typ"":""item"",""id"":"&amp;"11111203,""num"":1,""wgt"":20},{""typ"":""item"",""id"":11111205,""num"":1,""wgt"":20},{""typ"":""item"",""id"":11111207,""num"":1,""wgt"":20},{""typ"":""item"",""id"":11111211,""num"":1,""wgt"":20},{""typ"":""item"",""id"":11116401,""num"":3,""wgt"":60},"&amp;"{""typ"":""item"",""id"":11116402,""num"":3,""wgt"":50},{""typ"":""item"",""id"":11111104,""num"":18,""wgt"":220},{""typ"":""item"",""id"":11111105,""num"":4,""wgt"":100},{""typ"":""item"",""id"":11111106,""num"":3,""wgt"":50},{""typ"":""item"",""id"":111"&amp;"17009,""num"":3,""wgt"":10},{""typ"":""item"",""id"":11117008,""num"":4,""wgt"":100},{""typ"":""item"",""id"":11111322,""num"":14,""wgt"":60}]}]}}")</f>
        <v>{"drop":{"typ":"single_all","num":1,"args":[{"typ":"single_all","num":1,"args":[{"typ":"rss","id":11141022,"num":300,"wgt":30}]},{"typ":"single_random","num":1,"args":[{"typ":"vm","id":11151002,"num":800,"wgt":90},{"typ":"vm","id":11151003,"num":800,"wgt":90},{"typ":"item","id":11111020,"num":5,"wgt":50},{"typ":"item","id":11111021,"num":1,"wgt":10},{"typ":"item","id":11111028,"num":14,"wgt":30},{"typ":"item","id":11111203,"num":1,"wgt":20},{"typ":"item","id":11111205,"num":1,"wgt":20},{"typ":"item","id":11111207,"num":1,"wgt":20},{"typ":"item","id":11111211,"num":1,"wgt":20},{"typ":"item","id":11116401,"num":3,"wgt":60},{"typ":"item","id":11116402,"num":3,"wgt":50},{"typ":"item","id":11111104,"num":18,"wgt":220},{"typ":"item","id":11111105,"num":4,"wgt":100},{"typ":"item","id":11111106,"num":3,"wgt":50},{"typ":"item","id":11117009,"num":3,"wgt":10},{"typ":"item","id":11117008,"num":4,"wgt":100},{"typ":"item","id":11111322,"num":14,"wgt":60}]}]}}</v>
      </c>
      <c r="T1216" s="148">
        <f>IFERROR(__xludf.DUMMYFUNCTION("""COMPUTED_VALUE"""),-1.0)</f>
        <v>-1</v>
      </c>
      <c r="U1216" s="148">
        <f>IFERROR(__xludf.DUMMYFUNCTION("""COMPUTED_VALUE"""),0.0)</f>
        <v>0</v>
      </c>
      <c r="V1216" s="148" t="str">
        <f>IFERROR(__xludf.DUMMYFUNCTION("""COMPUTED_VALUE"""),"[]")</f>
        <v>[]</v>
      </c>
      <c r="W1216" s="148">
        <f>IFERROR(__xludf.DUMMYFUNCTION("""COMPUTED_VALUE"""),1.174E7)</f>
        <v>11740000</v>
      </c>
      <c r="X1216" s="148">
        <f>IFERROR(__xludf.DUMMYFUNCTION("""COMPUTED_VALUE"""),0.0)</f>
        <v>0</v>
      </c>
      <c r="Y1216" s="148">
        <f>IFERROR(__xludf.DUMMYFUNCTION("""COMPUTED_VALUE"""),0.0)</f>
        <v>0</v>
      </c>
      <c r="Z1216" s="148"/>
    </row>
    <row r="1217">
      <c r="A1217" s="148">
        <f>IFERROR(__xludf.DUMMYFUNCTION("""COMPUTED_VALUE"""),1.111444E7)</f>
        <v>11114440</v>
      </c>
      <c r="B1217" s="148" t="str">
        <f>IFERROR(__xludf.DUMMYFUNCTION("""COMPUTED_VALUE"""),"五级联盟宝箱_橙")</f>
        <v>五级联盟宝箱_橙</v>
      </c>
      <c r="C1217" s="148"/>
      <c r="D1217" s="148" t="str">
        <f>IFERROR(__xludf.DUMMYFUNCTION("""COMPUTED_VALUE"""),"item_union_gift_box")</f>
        <v>item_union_gift_box</v>
      </c>
      <c r="E1217" s="148">
        <f>IFERROR(__xludf.DUMMYFUNCTION("""COMPUTED_VALUE"""),16.0)</f>
        <v>16</v>
      </c>
      <c r="F1217" s="148">
        <f>IFERROR(__xludf.DUMMYFUNCTION("""COMPUTED_VALUE"""),0.0)</f>
        <v>0</v>
      </c>
      <c r="G1217" s="148">
        <f>IFERROR(__xludf.DUMMYFUNCTION("""COMPUTED_VALUE"""),1.5113198E7)</f>
        <v>15113198</v>
      </c>
      <c r="H1217" s="148">
        <f>IFERROR(__xludf.DUMMYFUNCTION("""COMPUTED_VALUE"""),1.5112564E7)</f>
        <v>15112564</v>
      </c>
      <c r="I1217" s="148" t="str">
        <f>IFERROR(__xludf.DUMMYFUNCTION("""COMPUTED_VALUE"""),"{}")</f>
        <v>{}</v>
      </c>
      <c r="J1217" s="148" t="str">
        <f>IFERROR(__xludf.DUMMYFUNCTION("""COMPUTED_VALUE"""),"{""typ"":""lc"",""txt"":""LC_ITEM_alliance_shopping_gift_5_name""}")</f>
        <v>{"typ":"lc","txt":"LC_ITEM_alliance_shopping_gift_5_name"}</v>
      </c>
      <c r="K1217" s="148" t="str">
        <f>IFERROR(__xludf.DUMMYFUNCTION("""COMPUTED_VALUE"""),"{""typ"":""lc"",""txt"":""LC_ITEM_alliance_shopping_gift_5_desc""}")</f>
        <v>{"typ":"lc","txt":"LC_ITEM_alliance_shopping_gift_5_desc"}</v>
      </c>
      <c r="L1217" s="148" t="str">
        <f>IFERROR(__xludf.DUMMYFUNCTION("""COMPUTED_VALUE"""),"{}")</f>
        <v>{}</v>
      </c>
      <c r="M1217" s="148">
        <f>IFERROR(__xludf.DUMMYFUNCTION("""COMPUTED_VALUE"""),66.0)</f>
        <v>66</v>
      </c>
      <c r="N1217" s="148">
        <f>IFERROR(__xludf.DUMMYFUNCTION("""COMPUTED_VALUE"""),999999.0)</f>
        <v>999999</v>
      </c>
      <c r="O1217" s="148">
        <f>IFERROR(__xludf.DUMMYFUNCTION("""COMPUTED_VALUE"""),99999.0)</f>
        <v>99999</v>
      </c>
      <c r="P1217" s="148">
        <f>IFERROR(__xludf.DUMMYFUNCTION("""COMPUTED_VALUE"""),1.0)</f>
        <v>1</v>
      </c>
      <c r="Q1217" s="148" t="str">
        <f>IFERROR(__xludf.DUMMYFUNCTION("""COMPUTED_VALUE"""),"[]")</f>
        <v>[]</v>
      </c>
      <c r="R1217" s="148" t="str">
        <f>IFERROR(__xludf.DUMMYFUNCTION("""COMPUTED_VALUE"""),"[]")</f>
        <v>[]</v>
      </c>
      <c r="S1217" s="148" t="str">
        <f>IFERROR(__xludf.DUMMYFUNCTION("""COMPUTED_VALUE"""),"{""drop"":{""typ"":""single_all"",""num"":1,""args"":[{""typ"":""single_all"",""num"":1,""args"":[{""typ"":""rss"",""id"":11141022,""num"":300,""wgt"":30}]},{""typ"":""single_random"",""num"":1,""args"":[{""typ"":""vm"",""id"":11151002,""num"":900,""wgt"""&amp;":90},{""typ"":""vm"",""id"":11151003,""num"":900,""wgt"":90},{""typ"":""item"",""id"":11111020,""num"":5,""wgt"":50},{""typ"":""item"",""id"":11111021,""num"":2,""wgt"":10},{""typ"":""item"",""id"":11111028,""num"":15,""wgt"":30},{""typ"":""item"",""id"":"&amp;"11111203,""num"":1,""wgt"":20},{""typ"":""item"",""id"":11111205,""num"":1,""wgt"":20},{""typ"":""item"",""id"":11111207,""num"":1,""wgt"":20},{""typ"":""item"",""id"":11111211,""num"":1,""wgt"":20},{""typ"":""item"",""id"":11116401,""num"":4,""wgt"":60},"&amp;"{""typ"":""item"",""id"":11116402,""num"":4,""wgt"":50},{""typ"":""item"",""id"":11111104,""num"":20,""wgt"":220},{""typ"":""item"",""id"":11111105,""num"":4,""wgt"":100},{""typ"":""item"",""id"":11111106,""num"":4,""wgt"":50},{""typ"":""item"",""id"":111"&amp;"17009,""num"":3,""wgt"":10},{""typ"":""item"",""id"":11117008,""num"":5,""wgt"":100},{""typ"":""item"",""id"":11111322,""num"":15,""wgt"":60}]}]}}")</f>
        <v>{"drop":{"typ":"single_all","num":1,"args":[{"typ":"single_all","num":1,"args":[{"typ":"rss","id":11141022,"num":300,"wgt":30}]},{"typ":"single_random","num":1,"args":[{"typ":"vm","id":11151002,"num":900,"wgt":90},{"typ":"vm","id":11151003,"num":900,"wgt":90},{"typ":"item","id":11111020,"num":5,"wgt":50},{"typ":"item","id":11111021,"num":2,"wgt":10},{"typ":"item","id":11111028,"num":15,"wgt":30},{"typ":"item","id":11111203,"num":1,"wgt":20},{"typ":"item","id":11111205,"num":1,"wgt":20},{"typ":"item","id":11111207,"num":1,"wgt":20},{"typ":"item","id":11111211,"num":1,"wgt":20},{"typ":"item","id":11116401,"num":4,"wgt":60},{"typ":"item","id":11116402,"num":4,"wgt":50},{"typ":"item","id":11111104,"num":20,"wgt":220},{"typ":"item","id":11111105,"num":4,"wgt":100},{"typ":"item","id":11111106,"num":4,"wgt":50},{"typ":"item","id":11117009,"num":3,"wgt":10},{"typ":"item","id":11117008,"num":5,"wgt":100},{"typ":"item","id":11111322,"num":15,"wgt":60}]}]}}</v>
      </c>
      <c r="T1217" s="148">
        <f>IFERROR(__xludf.DUMMYFUNCTION("""COMPUTED_VALUE"""),-1.0)</f>
        <v>-1</v>
      </c>
      <c r="U1217" s="148">
        <f>IFERROR(__xludf.DUMMYFUNCTION("""COMPUTED_VALUE"""),0.0)</f>
        <v>0</v>
      </c>
      <c r="V1217" s="148" t="str">
        <f>IFERROR(__xludf.DUMMYFUNCTION("""COMPUTED_VALUE"""),"[]")</f>
        <v>[]</v>
      </c>
      <c r="W1217" s="148">
        <f>IFERROR(__xludf.DUMMYFUNCTION("""COMPUTED_VALUE"""),1.174E7)</f>
        <v>11740000</v>
      </c>
      <c r="X1217" s="148">
        <f>IFERROR(__xludf.DUMMYFUNCTION("""COMPUTED_VALUE"""),0.0)</f>
        <v>0</v>
      </c>
      <c r="Y1217" s="148">
        <f>IFERROR(__xludf.DUMMYFUNCTION("""COMPUTED_VALUE"""),0.0)</f>
        <v>0</v>
      </c>
      <c r="Z1217" s="148"/>
    </row>
    <row r="1218">
      <c r="A1218" s="148">
        <f>IFERROR(__xludf.DUMMYFUNCTION("""COMPUTED_VALUE"""),1.1114441E7)</f>
        <v>11114441</v>
      </c>
      <c r="B1218" s="148" t="str">
        <f>IFERROR(__xludf.DUMMYFUNCTION("""COMPUTED_VALUE"""),"六级联盟宝箱_白")</f>
        <v>六级联盟宝箱_白</v>
      </c>
      <c r="C1218" s="148"/>
      <c r="D1218" s="148" t="str">
        <f>IFERROR(__xludf.DUMMYFUNCTION("""COMPUTED_VALUE"""),"item_union_gift_box")</f>
        <v>item_union_gift_box</v>
      </c>
      <c r="E1218" s="148">
        <f>IFERROR(__xludf.DUMMYFUNCTION("""COMPUTED_VALUE"""),16.0)</f>
        <v>16</v>
      </c>
      <c r="F1218" s="148">
        <f>IFERROR(__xludf.DUMMYFUNCTION("""COMPUTED_VALUE"""),0.0)</f>
        <v>0</v>
      </c>
      <c r="G1218" s="148">
        <f>IFERROR(__xludf.DUMMYFUNCTION("""COMPUTED_VALUE"""),1.5113199E7)</f>
        <v>15113199</v>
      </c>
      <c r="H1218" s="148">
        <f>IFERROR(__xludf.DUMMYFUNCTION("""COMPUTED_VALUE"""),1.511256E7)</f>
        <v>15112560</v>
      </c>
      <c r="I1218" s="148" t="str">
        <f>IFERROR(__xludf.DUMMYFUNCTION("""COMPUTED_VALUE"""),"{}")</f>
        <v>{}</v>
      </c>
      <c r="J1218" s="148" t="str">
        <f>IFERROR(__xludf.DUMMYFUNCTION("""COMPUTED_VALUE"""),"{""typ"":""lc"",""txt"":""LC_ITEM_alliance_shopping_gift_6_name""}")</f>
        <v>{"typ":"lc","txt":"LC_ITEM_alliance_shopping_gift_6_name"}</v>
      </c>
      <c r="K1218" s="148" t="str">
        <f>IFERROR(__xludf.DUMMYFUNCTION("""COMPUTED_VALUE"""),"{""typ"":""lc"",""txt"":""LC_ITEM_alliance_shopping_gift_6_desc""}")</f>
        <v>{"typ":"lc","txt":"LC_ITEM_alliance_shopping_gift_6_desc"}</v>
      </c>
      <c r="L1218" s="148" t="str">
        <f>IFERROR(__xludf.DUMMYFUNCTION("""COMPUTED_VALUE"""),"{}")</f>
        <v>{}</v>
      </c>
      <c r="M1218" s="148">
        <f>IFERROR(__xludf.DUMMYFUNCTION("""COMPUTED_VALUE"""),66.0)</f>
        <v>66</v>
      </c>
      <c r="N1218" s="148">
        <f>IFERROR(__xludf.DUMMYFUNCTION("""COMPUTED_VALUE"""),999999.0)</f>
        <v>999999</v>
      </c>
      <c r="O1218" s="148">
        <f>IFERROR(__xludf.DUMMYFUNCTION("""COMPUTED_VALUE"""),99999.0)</f>
        <v>99999</v>
      </c>
      <c r="P1218" s="148">
        <f>IFERROR(__xludf.DUMMYFUNCTION("""COMPUTED_VALUE"""),1.0)</f>
        <v>1</v>
      </c>
      <c r="Q1218" s="148" t="str">
        <f>IFERROR(__xludf.DUMMYFUNCTION("""COMPUTED_VALUE"""),"[]")</f>
        <v>[]</v>
      </c>
      <c r="R1218" s="148" t="str">
        <f>IFERROR(__xludf.DUMMYFUNCTION("""COMPUTED_VALUE"""),"[]")</f>
        <v>[]</v>
      </c>
      <c r="S1218" s="148" t="str">
        <f>IFERROR(__xludf.DUMMYFUNCTION("""COMPUTED_VALUE"""),"{""drop"":{""typ"":""single_all"",""num"":1,""args"":[{""typ"":""single_all"",""num"":1,""args"":[{""typ"":""rss"",""id"":11141022,""num"":500,""wgt"":30}]},{""typ"":""single_random"",""num"":1,""args"":[{""typ"":""vm"",""id"":11151002,""num"":1200,""wgt"&amp;""":60},{""typ"":""vm"",""id"":11151003,""num"":1200,""wgt"":60},{""typ"":""item"",""id"":11111022,""num"":1,""wgt"":20},{""typ"":""item"",""id"":11111021,""num"":1,""wgt"":30},{""typ"":""item"",""id"":11111014,""num"":2,""wgt"":40},{""typ"":""item"",""id"&amp;""":11111221,""num"":1,""wgt"":30},{""typ"":""item"",""id"":11111216,""num"":1,""wgt"":30},{""typ"":""item"",""id"":11111207,""num"":1,""wgt"":30},{""typ"":""item"",""id"":11111211,""num"":1,""wgt"":30},{""typ"":""item"",""id"":11116401,""num"":3,""wgt"":1"&amp;"20},{""typ"":""item"",""id"":11116402,""num"":2,""wgt"":50},{""typ"":""item"",""id"":11111105,""num"":5,""wgt"":200},{""typ"":""item"",""id"":11111106,""num"":3,""wgt"":100},{""typ"":""item"",""id"":11111107,""num"":1,""wgt"":80},{""typ"":""item"",""id"":"&amp;"11111164,""num"":1,""wgt"":20},{""typ"":""item"",""id"":11117009,""num"":3,""wgt"":70},{""typ"":""item"",""id"":11117010,""num"":1,""wgt"":10},{""typ"":""item"",""id"":11111322,""num"":14,""wgt"":20}]}]}}")</f>
        <v>{"drop":{"typ":"single_all","num":1,"args":[{"typ":"single_all","num":1,"args":[{"typ":"rss","id":11141022,"num":500,"wgt":30}]},{"typ":"single_random","num":1,"args":[{"typ":"vm","id":11151002,"num":1200,"wgt":60},{"typ":"vm","id":11151003,"num":1200,"wgt":60},{"typ":"item","id":11111022,"num":1,"wgt":20},{"typ":"item","id":11111021,"num":1,"wgt":30},{"typ":"item","id":11111014,"num":2,"wgt":40},{"typ":"item","id":11111221,"num":1,"wgt":30},{"typ":"item","id":11111216,"num":1,"wgt":30},{"typ":"item","id":11111207,"num":1,"wgt":30},{"typ":"item","id":11111211,"num":1,"wgt":30},{"typ":"item","id":11116401,"num":3,"wgt":120},{"typ":"item","id":11116402,"num":2,"wgt":50},{"typ":"item","id":11111105,"num":5,"wgt":200},{"typ":"item","id":11111106,"num":3,"wgt":100},{"typ":"item","id":11111107,"num":1,"wgt":80},{"typ":"item","id":11111164,"num":1,"wgt":20},{"typ":"item","id":11117009,"num":3,"wgt":70},{"typ":"item","id":11117010,"num":1,"wgt":10},{"typ":"item","id":11111322,"num":14,"wgt":20}]}]}}</v>
      </c>
      <c r="T1218" s="148">
        <f>IFERROR(__xludf.DUMMYFUNCTION("""COMPUTED_VALUE"""),-1.0)</f>
        <v>-1</v>
      </c>
      <c r="U1218" s="148">
        <f>IFERROR(__xludf.DUMMYFUNCTION("""COMPUTED_VALUE"""),0.0)</f>
        <v>0</v>
      </c>
      <c r="V1218" s="148" t="str">
        <f>IFERROR(__xludf.DUMMYFUNCTION("""COMPUTED_VALUE"""),"[]")</f>
        <v>[]</v>
      </c>
      <c r="W1218" s="148">
        <f>IFERROR(__xludf.DUMMYFUNCTION("""COMPUTED_VALUE"""),1.174E7)</f>
        <v>11740000</v>
      </c>
      <c r="X1218" s="148">
        <f>IFERROR(__xludf.DUMMYFUNCTION("""COMPUTED_VALUE"""),0.0)</f>
        <v>0</v>
      </c>
      <c r="Y1218" s="148">
        <f>IFERROR(__xludf.DUMMYFUNCTION("""COMPUTED_VALUE"""),0.0)</f>
        <v>0</v>
      </c>
      <c r="Z1218" s="148"/>
    </row>
    <row r="1219">
      <c r="A1219" s="148">
        <f>IFERROR(__xludf.DUMMYFUNCTION("""COMPUTED_VALUE"""),1.1114442E7)</f>
        <v>11114442</v>
      </c>
      <c r="B1219" s="148" t="str">
        <f>IFERROR(__xludf.DUMMYFUNCTION("""COMPUTED_VALUE"""),"六级联盟宝箱_绿")</f>
        <v>六级联盟宝箱_绿</v>
      </c>
      <c r="C1219" s="148"/>
      <c r="D1219" s="148" t="str">
        <f>IFERROR(__xludf.DUMMYFUNCTION("""COMPUTED_VALUE"""),"item_union_gift_box")</f>
        <v>item_union_gift_box</v>
      </c>
      <c r="E1219" s="148">
        <f>IFERROR(__xludf.DUMMYFUNCTION("""COMPUTED_VALUE"""),16.0)</f>
        <v>16</v>
      </c>
      <c r="F1219" s="148">
        <f>IFERROR(__xludf.DUMMYFUNCTION("""COMPUTED_VALUE"""),0.0)</f>
        <v>0</v>
      </c>
      <c r="G1219" s="148">
        <f>IFERROR(__xludf.DUMMYFUNCTION("""COMPUTED_VALUE"""),1.5113199E7)</f>
        <v>15113199</v>
      </c>
      <c r="H1219" s="148">
        <f>IFERROR(__xludf.DUMMYFUNCTION("""COMPUTED_VALUE"""),1.5112561E7)</f>
        <v>15112561</v>
      </c>
      <c r="I1219" s="148" t="str">
        <f>IFERROR(__xludf.DUMMYFUNCTION("""COMPUTED_VALUE"""),"{}")</f>
        <v>{}</v>
      </c>
      <c r="J1219" s="148" t="str">
        <f>IFERROR(__xludf.DUMMYFUNCTION("""COMPUTED_VALUE"""),"{""typ"":""lc"",""txt"":""LC_ITEM_alliance_shopping_gift_6_name""}")</f>
        <v>{"typ":"lc","txt":"LC_ITEM_alliance_shopping_gift_6_name"}</v>
      </c>
      <c r="K1219" s="148" t="str">
        <f>IFERROR(__xludf.DUMMYFUNCTION("""COMPUTED_VALUE"""),"{""typ"":""lc"",""txt"":""LC_ITEM_alliance_shopping_gift_6_desc""}")</f>
        <v>{"typ":"lc","txt":"LC_ITEM_alliance_shopping_gift_6_desc"}</v>
      </c>
      <c r="L1219" s="148" t="str">
        <f>IFERROR(__xludf.DUMMYFUNCTION("""COMPUTED_VALUE"""),"{}")</f>
        <v>{}</v>
      </c>
      <c r="M1219" s="148">
        <f>IFERROR(__xludf.DUMMYFUNCTION("""COMPUTED_VALUE"""),66.0)</f>
        <v>66</v>
      </c>
      <c r="N1219" s="148">
        <f>IFERROR(__xludf.DUMMYFUNCTION("""COMPUTED_VALUE"""),999999.0)</f>
        <v>999999</v>
      </c>
      <c r="O1219" s="148">
        <f>IFERROR(__xludf.DUMMYFUNCTION("""COMPUTED_VALUE"""),99999.0)</f>
        <v>99999</v>
      </c>
      <c r="P1219" s="148">
        <f>IFERROR(__xludf.DUMMYFUNCTION("""COMPUTED_VALUE"""),1.0)</f>
        <v>1</v>
      </c>
      <c r="Q1219" s="148" t="str">
        <f>IFERROR(__xludf.DUMMYFUNCTION("""COMPUTED_VALUE"""),"[]")</f>
        <v>[]</v>
      </c>
      <c r="R1219" s="148" t="str">
        <f>IFERROR(__xludf.DUMMYFUNCTION("""COMPUTED_VALUE"""),"[]")</f>
        <v>[]</v>
      </c>
      <c r="S1219" s="148" t="str">
        <f>IFERROR(__xludf.DUMMYFUNCTION("""COMPUTED_VALUE"""),"{""drop"":{""typ"":""single_all"",""num"":1,""args"":[{""typ"":""single_all"",""num"":1,""args"":[{""typ"":""rss"",""id"":11141022,""num"":500,""wgt"":30}]},{""typ"":""single_random"",""num"":1,""args"":[{""typ"":""vm"",""id"":11151002,""num"":1600,""wgt"&amp;""":60},{""typ"":""vm"",""id"":11151003,""num"":1600,""wgt"":60},{""typ"":""item"",""id"":11111022,""num"":1,""wgt"":20},{""typ"":""item"",""id"":11111021,""num"":2,""wgt"":30},{""typ"":""item"",""id"":11111014,""num"":3,""wgt"":40},{""typ"":""item"",""id"&amp;""":11111221,""num"":1,""wgt"":30},{""typ"":""item"",""id"":11111216,""num"":1,""wgt"":30},{""typ"":""item"",""id"":11111207,""num"":1,""wgt"":30},{""typ"":""item"",""id"":11111211,""num"":1,""wgt"":30},{""typ"":""item"",""id"":11116401,""num"":5,""wgt"":1"&amp;"20},{""typ"":""item"",""id"":11116402,""num"":2,""wgt"":50},{""typ"":""item"",""id"":11111105,""num"":6,""wgt"":200},{""typ"":""item"",""id"":11111106,""num"":4,""wgt"":100},{""typ"":""item"",""id"":11111107,""num"":1,""wgt"":80},{""typ"":""item"",""id"":"&amp;"11111164,""num"":1,""wgt"":20},{""typ"":""item"",""id"":11117009,""num"":3,""wgt"":70},{""typ"":""item"",""id"":11117010,""num"":1,""wgt"":10},{""typ"":""item"",""id"":11111322,""num"":15,""wgt"":20}]}]}}")</f>
        <v>{"drop":{"typ":"single_all","num":1,"args":[{"typ":"single_all","num":1,"args":[{"typ":"rss","id":11141022,"num":500,"wgt":30}]},{"typ":"single_random","num":1,"args":[{"typ":"vm","id":11151002,"num":1600,"wgt":60},{"typ":"vm","id":11151003,"num":1600,"wgt":60},{"typ":"item","id":11111022,"num":1,"wgt":20},{"typ":"item","id":11111021,"num":2,"wgt":30},{"typ":"item","id":11111014,"num":3,"wgt":40},{"typ":"item","id":11111221,"num":1,"wgt":30},{"typ":"item","id":11111216,"num":1,"wgt":30},{"typ":"item","id":11111207,"num":1,"wgt":30},{"typ":"item","id":11111211,"num":1,"wgt":30},{"typ":"item","id":11116401,"num":5,"wgt":120},{"typ":"item","id":11116402,"num":2,"wgt":50},{"typ":"item","id":11111105,"num":6,"wgt":200},{"typ":"item","id":11111106,"num":4,"wgt":100},{"typ":"item","id":11111107,"num":1,"wgt":80},{"typ":"item","id":11111164,"num":1,"wgt":20},{"typ":"item","id":11117009,"num":3,"wgt":70},{"typ":"item","id":11117010,"num":1,"wgt":10},{"typ":"item","id":11111322,"num":15,"wgt":20}]}]}}</v>
      </c>
      <c r="T1219" s="148">
        <f>IFERROR(__xludf.DUMMYFUNCTION("""COMPUTED_VALUE"""),-1.0)</f>
        <v>-1</v>
      </c>
      <c r="U1219" s="148">
        <f>IFERROR(__xludf.DUMMYFUNCTION("""COMPUTED_VALUE"""),0.0)</f>
        <v>0</v>
      </c>
      <c r="V1219" s="148" t="str">
        <f>IFERROR(__xludf.DUMMYFUNCTION("""COMPUTED_VALUE"""),"[]")</f>
        <v>[]</v>
      </c>
      <c r="W1219" s="148">
        <f>IFERROR(__xludf.DUMMYFUNCTION("""COMPUTED_VALUE"""),1.174E7)</f>
        <v>11740000</v>
      </c>
      <c r="X1219" s="148">
        <f>IFERROR(__xludf.DUMMYFUNCTION("""COMPUTED_VALUE"""),0.0)</f>
        <v>0</v>
      </c>
      <c r="Y1219" s="148">
        <f>IFERROR(__xludf.DUMMYFUNCTION("""COMPUTED_VALUE"""),0.0)</f>
        <v>0</v>
      </c>
      <c r="Z1219" s="148"/>
    </row>
    <row r="1220">
      <c r="A1220" s="148">
        <f>IFERROR(__xludf.DUMMYFUNCTION("""COMPUTED_VALUE"""),1.1114443E7)</f>
        <v>11114443</v>
      </c>
      <c r="B1220" s="148" t="str">
        <f>IFERROR(__xludf.DUMMYFUNCTION("""COMPUTED_VALUE"""),"六级联盟宝箱_蓝")</f>
        <v>六级联盟宝箱_蓝</v>
      </c>
      <c r="C1220" s="148"/>
      <c r="D1220" s="148" t="str">
        <f>IFERROR(__xludf.DUMMYFUNCTION("""COMPUTED_VALUE"""),"item_union_gift_box")</f>
        <v>item_union_gift_box</v>
      </c>
      <c r="E1220" s="148">
        <f>IFERROR(__xludf.DUMMYFUNCTION("""COMPUTED_VALUE"""),16.0)</f>
        <v>16</v>
      </c>
      <c r="F1220" s="148">
        <f>IFERROR(__xludf.DUMMYFUNCTION("""COMPUTED_VALUE"""),0.0)</f>
        <v>0</v>
      </c>
      <c r="G1220" s="148">
        <f>IFERROR(__xludf.DUMMYFUNCTION("""COMPUTED_VALUE"""),1.5113199E7)</f>
        <v>15113199</v>
      </c>
      <c r="H1220" s="148">
        <f>IFERROR(__xludf.DUMMYFUNCTION("""COMPUTED_VALUE"""),1.5112562E7)</f>
        <v>15112562</v>
      </c>
      <c r="I1220" s="148" t="str">
        <f>IFERROR(__xludf.DUMMYFUNCTION("""COMPUTED_VALUE"""),"{}")</f>
        <v>{}</v>
      </c>
      <c r="J1220" s="148" t="str">
        <f>IFERROR(__xludf.DUMMYFUNCTION("""COMPUTED_VALUE"""),"{""typ"":""lc"",""txt"":""LC_ITEM_alliance_shopping_gift_6_name""}")</f>
        <v>{"typ":"lc","txt":"LC_ITEM_alliance_shopping_gift_6_name"}</v>
      </c>
      <c r="K1220" s="148" t="str">
        <f>IFERROR(__xludf.DUMMYFUNCTION("""COMPUTED_VALUE"""),"{""typ"":""lc"",""txt"":""LC_ITEM_alliance_shopping_gift_6_desc""}")</f>
        <v>{"typ":"lc","txt":"LC_ITEM_alliance_shopping_gift_6_desc"}</v>
      </c>
      <c r="L1220" s="148" t="str">
        <f>IFERROR(__xludf.DUMMYFUNCTION("""COMPUTED_VALUE"""),"{}")</f>
        <v>{}</v>
      </c>
      <c r="M1220" s="148">
        <f>IFERROR(__xludf.DUMMYFUNCTION("""COMPUTED_VALUE"""),66.0)</f>
        <v>66</v>
      </c>
      <c r="N1220" s="148">
        <f>IFERROR(__xludf.DUMMYFUNCTION("""COMPUTED_VALUE"""),999999.0)</f>
        <v>999999</v>
      </c>
      <c r="O1220" s="148">
        <f>IFERROR(__xludf.DUMMYFUNCTION("""COMPUTED_VALUE"""),99999.0)</f>
        <v>99999</v>
      </c>
      <c r="P1220" s="148">
        <f>IFERROR(__xludf.DUMMYFUNCTION("""COMPUTED_VALUE"""),1.0)</f>
        <v>1</v>
      </c>
      <c r="Q1220" s="148" t="str">
        <f>IFERROR(__xludf.DUMMYFUNCTION("""COMPUTED_VALUE"""),"[]")</f>
        <v>[]</v>
      </c>
      <c r="R1220" s="148" t="str">
        <f>IFERROR(__xludf.DUMMYFUNCTION("""COMPUTED_VALUE"""),"[]")</f>
        <v>[]</v>
      </c>
      <c r="S1220" s="148" t="str">
        <f>IFERROR(__xludf.DUMMYFUNCTION("""COMPUTED_VALUE"""),"{""drop"":{""typ"":""single_all"",""num"":1,""args"":[{""typ"":""single_all"",""num"":1,""args"":[{""typ"":""rss"",""id"":11141022,""num"":500,""wgt"":30}]},{""typ"":""single_random"",""num"":1,""args"":[{""typ"":""vm"",""id"":11151002,""num"":2000,""wgt"&amp;""":60},{""typ"":""vm"",""id"":11151003,""num"":2000,""wgt"":60},{""typ"":""item"",""id"":11111022,""num"":1,""wgt"":20},{""typ"":""item"",""id"":11111021,""num"":2,""wgt"":30},{""typ"":""item"",""id"":11111014,""num"":4,""wgt"":40},{""typ"":""item"",""id"&amp;""":11111221,""num"":1,""wgt"":30},{""typ"":""item"",""id"":11111216,""num"":1,""wgt"":30},{""typ"":""item"",""id"":11111207,""num"":1,""wgt"":30},{""typ"":""item"",""id"":11111211,""num"":1,""wgt"":30},{""typ"":""item"",""id"":11116401,""num"":6,""wgt"":1"&amp;"20},{""typ"":""item"",""id"":11116402,""num"":3,""wgt"":50},{""typ"":""item"",""id"":11111105,""num"":6,""wgt"":230},{""typ"":""item"",""id"":11111106,""num"":4,""wgt"":100},{""typ"":""item"",""id"":11111107,""num"":2,""wgt"":50},{""typ"":""item"",""id"":"&amp;"11111164,""num"":1,""wgt"":20},{""typ"":""item"",""id"":11117009,""num"":4,""wgt"":70},{""typ"":""item"",""id"":11117010,""num"":1,""wgt"":10},{""typ"":""item"",""id"":11111322,""num"":16,""wgt"":20}]}]}}")</f>
        <v>{"drop":{"typ":"single_all","num":1,"args":[{"typ":"single_all","num":1,"args":[{"typ":"rss","id":11141022,"num":500,"wgt":30}]},{"typ":"single_random","num":1,"args":[{"typ":"vm","id":11151002,"num":2000,"wgt":60},{"typ":"vm","id":11151003,"num":2000,"wgt":60},{"typ":"item","id":11111022,"num":1,"wgt":20},{"typ":"item","id":11111021,"num":2,"wgt":30},{"typ":"item","id":11111014,"num":4,"wgt":40},{"typ":"item","id":11111221,"num":1,"wgt":30},{"typ":"item","id":11111216,"num":1,"wgt":30},{"typ":"item","id":11111207,"num":1,"wgt":30},{"typ":"item","id":11111211,"num":1,"wgt":30},{"typ":"item","id":11116401,"num":6,"wgt":120},{"typ":"item","id":11116402,"num":3,"wgt":50},{"typ":"item","id":11111105,"num":6,"wgt":230},{"typ":"item","id":11111106,"num":4,"wgt":100},{"typ":"item","id":11111107,"num":2,"wgt":50},{"typ":"item","id":11111164,"num":1,"wgt":20},{"typ":"item","id":11117009,"num":4,"wgt":70},{"typ":"item","id":11117010,"num":1,"wgt":10},{"typ":"item","id":11111322,"num":16,"wgt":20}]}]}}</v>
      </c>
      <c r="T1220" s="148">
        <f>IFERROR(__xludf.DUMMYFUNCTION("""COMPUTED_VALUE"""),-1.0)</f>
        <v>-1</v>
      </c>
      <c r="U1220" s="148">
        <f>IFERROR(__xludf.DUMMYFUNCTION("""COMPUTED_VALUE"""),0.0)</f>
        <v>0</v>
      </c>
      <c r="V1220" s="148" t="str">
        <f>IFERROR(__xludf.DUMMYFUNCTION("""COMPUTED_VALUE"""),"[]")</f>
        <v>[]</v>
      </c>
      <c r="W1220" s="148">
        <f>IFERROR(__xludf.DUMMYFUNCTION("""COMPUTED_VALUE"""),1.174E7)</f>
        <v>11740000</v>
      </c>
      <c r="X1220" s="148">
        <f>IFERROR(__xludf.DUMMYFUNCTION("""COMPUTED_VALUE"""),0.0)</f>
        <v>0</v>
      </c>
      <c r="Y1220" s="148">
        <f>IFERROR(__xludf.DUMMYFUNCTION("""COMPUTED_VALUE"""),0.0)</f>
        <v>0</v>
      </c>
      <c r="Z1220" s="148"/>
    </row>
    <row r="1221">
      <c r="A1221" s="148">
        <f>IFERROR(__xludf.DUMMYFUNCTION("""COMPUTED_VALUE"""),1.1114444E7)</f>
        <v>11114444</v>
      </c>
      <c r="B1221" s="148" t="str">
        <f>IFERROR(__xludf.DUMMYFUNCTION("""COMPUTED_VALUE"""),"六级联盟宝箱_紫")</f>
        <v>六级联盟宝箱_紫</v>
      </c>
      <c r="C1221" s="148"/>
      <c r="D1221" s="148" t="str">
        <f>IFERROR(__xludf.DUMMYFUNCTION("""COMPUTED_VALUE"""),"item_union_gift_box")</f>
        <v>item_union_gift_box</v>
      </c>
      <c r="E1221" s="148">
        <f>IFERROR(__xludf.DUMMYFUNCTION("""COMPUTED_VALUE"""),16.0)</f>
        <v>16</v>
      </c>
      <c r="F1221" s="148">
        <f>IFERROR(__xludf.DUMMYFUNCTION("""COMPUTED_VALUE"""),0.0)</f>
        <v>0</v>
      </c>
      <c r="G1221" s="148">
        <f>IFERROR(__xludf.DUMMYFUNCTION("""COMPUTED_VALUE"""),1.5113199E7)</f>
        <v>15113199</v>
      </c>
      <c r="H1221" s="148">
        <f>IFERROR(__xludf.DUMMYFUNCTION("""COMPUTED_VALUE"""),1.5112563E7)</f>
        <v>15112563</v>
      </c>
      <c r="I1221" s="148" t="str">
        <f>IFERROR(__xludf.DUMMYFUNCTION("""COMPUTED_VALUE"""),"{}")</f>
        <v>{}</v>
      </c>
      <c r="J1221" s="148" t="str">
        <f>IFERROR(__xludf.DUMMYFUNCTION("""COMPUTED_VALUE"""),"{""typ"":""lc"",""txt"":""LC_ITEM_alliance_shopping_gift_6_name""}")</f>
        <v>{"typ":"lc","txt":"LC_ITEM_alliance_shopping_gift_6_name"}</v>
      </c>
      <c r="K1221" s="148" t="str">
        <f>IFERROR(__xludf.DUMMYFUNCTION("""COMPUTED_VALUE"""),"{""typ"":""lc"",""txt"":""LC_ITEM_alliance_shopping_gift_6_desc""}")</f>
        <v>{"typ":"lc","txt":"LC_ITEM_alliance_shopping_gift_6_desc"}</v>
      </c>
      <c r="L1221" s="148" t="str">
        <f>IFERROR(__xludf.DUMMYFUNCTION("""COMPUTED_VALUE"""),"{}")</f>
        <v>{}</v>
      </c>
      <c r="M1221" s="148">
        <f>IFERROR(__xludf.DUMMYFUNCTION("""COMPUTED_VALUE"""),66.0)</f>
        <v>66</v>
      </c>
      <c r="N1221" s="148">
        <f>IFERROR(__xludf.DUMMYFUNCTION("""COMPUTED_VALUE"""),999999.0)</f>
        <v>999999</v>
      </c>
      <c r="O1221" s="148">
        <f>IFERROR(__xludf.DUMMYFUNCTION("""COMPUTED_VALUE"""),99999.0)</f>
        <v>99999</v>
      </c>
      <c r="P1221" s="148">
        <f>IFERROR(__xludf.DUMMYFUNCTION("""COMPUTED_VALUE"""),1.0)</f>
        <v>1</v>
      </c>
      <c r="Q1221" s="148" t="str">
        <f>IFERROR(__xludf.DUMMYFUNCTION("""COMPUTED_VALUE"""),"[]")</f>
        <v>[]</v>
      </c>
      <c r="R1221" s="148" t="str">
        <f>IFERROR(__xludf.DUMMYFUNCTION("""COMPUTED_VALUE"""),"[]")</f>
        <v>[]</v>
      </c>
      <c r="S1221" s="148" t="str">
        <f>IFERROR(__xludf.DUMMYFUNCTION("""COMPUTED_VALUE"""),"{""drop"":{""typ"":""single_all"",""num"":1,""args"":[{""typ"":""single_all"",""num"":1,""args"":[{""typ"":""rss"",""id"":11141022,""num"":500,""wgt"":30}]},{""typ"":""single_random"",""num"":1,""args"":[{""typ"":""vm"",""id"":11151002,""num"":2400,""wgt"&amp;""":60},{""typ"":""vm"",""id"":11151003,""num"":2400,""wgt"":60},{""typ"":""item"",""id"":11111022,""num"":1,""wgt"":20},{""typ"":""item"",""id"":11111021,""num"":3,""wgt"":30},{""typ"":""item"",""id"":11111014,""num"":5,""wgt"":40},{""typ"":""item"",""id"&amp;""":11111221,""num"":1,""wgt"":30},{""typ"":""item"",""id"":11111216,""num"":1,""wgt"":30},{""typ"":""item"",""id"":11111207,""num"":1,""wgt"":30},{""typ"":""item"",""id"":11111211,""num"":1,""wgt"":30},{""typ"":""item"",""id"":11116401,""num"":6,""wgt"":1"&amp;"20},{""typ"":""item"",""id"":11116402,""num"":3,""wgt"":50},{""typ"":""item"",""id"":11111105,""num"":7,""wgt"":230},{""typ"":""item"",""id"":11111106,""num"":5,""wgt"":100},{""typ"":""item"",""id"":11111107,""num"":2,""wgt"":50},{""typ"":""item"",""id"":"&amp;"11111164,""num"":1,""wgt"":20},{""typ"":""item"",""id"":11117009,""num"":4,""wgt"":70},{""typ"":""item"",""id"":11117010,""num"":2,""wgt"":10},{""typ"":""item"",""id"":11111322,""num"":16,""wgt"":20}]}]}}")</f>
        <v>{"drop":{"typ":"single_all","num":1,"args":[{"typ":"single_all","num":1,"args":[{"typ":"rss","id":11141022,"num":500,"wgt":30}]},{"typ":"single_random","num":1,"args":[{"typ":"vm","id":11151002,"num":2400,"wgt":60},{"typ":"vm","id":11151003,"num":2400,"wgt":60},{"typ":"item","id":11111022,"num":1,"wgt":20},{"typ":"item","id":11111021,"num":3,"wgt":30},{"typ":"item","id":11111014,"num":5,"wgt":40},{"typ":"item","id":11111221,"num":1,"wgt":30},{"typ":"item","id":11111216,"num":1,"wgt":30},{"typ":"item","id":11111207,"num":1,"wgt":30},{"typ":"item","id":11111211,"num":1,"wgt":30},{"typ":"item","id":11116401,"num":6,"wgt":120},{"typ":"item","id":11116402,"num":3,"wgt":50},{"typ":"item","id":11111105,"num":7,"wgt":230},{"typ":"item","id":11111106,"num":5,"wgt":100},{"typ":"item","id":11111107,"num":2,"wgt":50},{"typ":"item","id":11111164,"num":1,"wgt":20},{"typ":"item","id":11117009,"num":4,"wgt":70},{"typ":"item","id":11117010,"num":2,"wgt":10},{"typ":"item","id":11111322,"num":16,"wgt":20}]}]}}</v>
      </c>
      <c r="T1221" s="148">
        <f>IFERROR(__xludf.DUMMYFUNCTION("""COMPUTED_VALUE"""),-1.0)</f>
        <v>-1</v>
      </c>
      <c r="U1221" s="148">
        <f>IFERROR(__xludf.DUMMYFUNCTION("""COMPUTED_VALUE"""),0.0)</f>
        <v>0</v>
      </c>
      <c r="V1221" s="148" t="str">
        <f>IFERROR(__xludf.DUMMYFUNCTION("""COMPUTED_VALUE"""),"[]")</f>
        <v>[]</v>
      </c>
      <c r="W1221" s="148">
        <f>IFERROR(__xludf.DUMMYFUNCTION("""COMPUTED_VALUE"""),1.174E7)</f>
        <v>11740000</v>
      </c>
      <c r="X1221" s="148">
        <f>IFERROR(__xludf.DUMMYFUNCTION("""COMPUTED_VALUE"""),0.0)</f>
        <v>0</v>
      </c>
      <c r="Y1221" s="148">
        <f>IFERROR(__xludf.DUMMYFUNCTION("""COMPUTED_VALUE"""),0.0)</f>
        <v>0</v>
      </c>
      <c r="Z1221" s="148"/>
    </row>
    <row r="1222">
      <c r="A1222" s="148">
        <f>IFERROR(__xludf.DUMMYFUNCTION("""COMPUTED_VALUE"""),1.1114445E7)</f>
        <v>11114445</v>
      </c>
      <c r="B1222" s="148" t="str">
        <f>IFERROR(__xludf.DUMMYFUNCTION("""COMPUTED_VALUE"""),"六级联盟宝箱_橙")</f>
        <v>六级联盟宝箱_橙</v>
      </c>
      <c r="C1222" s="148"/>
      <c r="D1222" s="148" t="str">
        <f>IFERROR(__xludf.DUMMYFUNCTION("""COMPUTED_VALUE"""),"item_union_gift_box")</f>
        <v>item_union_gift_box</v>
      </c>
      <c r="E1222" s="148">
        <f>IFERROR(__xludf.DUMMYFUNCTION("""COMPUTED_VALUE"""),16.0)</f>
        <v>16</v>
      </c>
      <c r="F1222" s="148">
        <f>IFERROR(__xludf.DUMMYFUNCTION("""COMPUTED_VALUE"""),0.0)</f>
        <v>0</v>
      </c>
      <c r="G1222" s="148">
        <f>IFERROR(__xludf.DUMMYFUNCTION("""COMPUTED_VALUE"""),1.5113199E7)</f>
        <v>15113199</v>
      </c>
      <c r="H1222" s="148">
        <f>IFERROR(__xludf.DUMMYFUNCTION("""COMPUTED_VALUE"""),1.5112564E7)</f>
        <v>15112564</v>
      </c>
      <c r="I1222" s="148" t="str">
        <f>IFERROR(__xludf.DUMMYFUNCTION("""COMPUTED_VALUE"""),"{}")</f>
        <v>{}</v>
      </c>
      <c r="J1222" s="148" t="str">
        <f>IFERROR(__xludf.DUMMYFUNCTION("""COMPUTED_VALUE"""),"{""typ"":""lc"",""txt"":""LC_ITEM_alliance_shopping_gift_6_name""}")</f>
        <v>{"typ":"lc","txt":"LC_ITEM_alliance_shopping_gift_6_name"}</v>
      </c>
      <c r="K1222" s="148" t="str">
        <f>IFERROR(__xludf.DUMMYFUNCTION("""COMPUTED_VALUE"""),"{""typ"":""lc"",""txt"":""LC_ITEM_alliance_shopping_gift_6_desc""}")</f>
        <v>{"typ":"lc","txt":"LC_ITEM_alliance_shopping_gift_6_desc"}</v>
      </c>
      <c r="L1222" s="148" t="str">
        <f>IFERROR(__xludf.DUMMYFUNCTION("""COMPUTED_VALUE"""),"{}")</f>
        <v>{}</v>
      </c>
      <c r="M1222" s="148">
        <f>IFERROR(__xludf.DUMMYFUNCTION("""COMPUTED_VALUE"""),66.0)</f>
        <v>66</v>
      </c>
      <c r="N1222" s="148">
        <f>IFERROR(__xludf.DUMMYFUNCTION("""COMPUTED_VALUE"""),999999.0)</f>
        <v>999999</v>
      </c>
      <c r="O1222" s="148">
        <f>IFERROR(__xludf.DUMMYFUNCTION("""COMPUTED_VALUE"""),99999.0)</f>
        <v>99999</v>
      </c>
      <c r="P1222" s="148">
        <f>IFERROR(__xludf.DUMMYFUNCTION("""COMPUTED_VALUE"""),1.0)</f>
        <v>1</v>
      </c>
      <c r="Q1222" s="148" t="str">
        <f>IFERROR(__xludf.DUMMYFUNCTION("""COMPUTED_VALUE"""),"[]")</f>
        <v>[]</v>
      </c>
      <c r="R1222" s="148" t="str">
        <f>IFERROR(__xludf.DUMMYFUNCTION("""COMPUTED_VALUE"""),"[]")</f>
        <v>[]</v>
      </c>
      <c r="S1222" s="148" t="str">
        <f>IFERROR(__xludf.DUMMYFUNCTION("""COMPUTED_VALUE"""),"{""drop"":{""typ"":""single_all"",""num"":1,""args"":[{""typ"":""single_all"",""num"":1,""args"":[{""typ"":""rss"",""id"":11141022,""num"":500,""wgt"":30}]},{""typ"":""single_random"",""num"":1,""args"":[{""typ"":""vm"",""id"":11151002,""num"":2600,""wgt"&amp;""":60},{""typ"":""vm"",""id"":11151003,""num"":2600,""wgt"":60},{""typ"":""item"",""id"":11111022,""num"":1,""wgt"":20},{""typ"":""item"",""id"":11111021,""num"":3,""wgt"":30},{""typ"":""item"",""id"":11111014,""num"":6,""wgt"":50},{""typ"":""item"",""id"&amp;""":11111221,""num"":1,""wgt"":30},{""typ"":""item"",""id"":11111216,""num"":1,""wgt"":30},{""typ"":""item"",""id"":11111207,""num"":1,""wgt"":30},{""typ"":""item"",""id"":11111211,""num"":1,""wgt"":30},{""typ"":""item"",""id"":11116401,""num"":7,""wgt"":1"&amp;"20},{""typ"":""item"",""id"":11116402,""num"":4,""wgt"":40},{""typ"":""item"",""id"":11111105,""num"":8,""wgt"":230},{""typ"":""item"",""id"":11111106,""num"":5,""wgt"":100},{""typ"":""item"",""id"":11111107,""num"":2,""wgt"":50},{""typ"":""item"",""id"":"&amp;"11111164,""num"":1,""wgt"":20},{""typ"":""item"",""id"":11117009,""num"":5,""wgt"":70},{""typ"":""item"",""id"":11117010,""num"":2,""wgt"":10},{""typ"":""item"",""id"":11111322,""num"":17,""wgt"":20}]}]}}")</f>
        <v>{"drop":{"typ":"single_all","num":1,"args":[{"typ":"single_all","num":1,"args":[{"typ":"rss","id":11141022,"num":500,"wgt":30}]},{"typ":"single_random","num":1,"args":[{"typ":"vm","id":11151002,"num":2600,"wgt":60},{"typ":"vm","id":11151003,"num":2600,"wgt":60},{"typ":"item","id":11111022,"num":1,"wgt":20},{"typ":"item","id":11111021,"num":3,"wgt":30},{"typ":"item","id":11111014,"num":6,"wgt":50},{"typ":"item","id":11111221,"num":1,"wgt":30},{"typ":"item","id":11111216,"num":1,"wgt":30},{"typ":"item","id":11111207,"num":1,"wgt":30},{"typ":"item","id":11111211,"num":1,"wgt":30},{"typ":"item","id":11116401,"num":7,"wgt":120},{"typ":"item","id":11116402,"num":4,"wgt":40},{"typ":"item","id":11111105,"num":8,"wgt":230},{"typ":"item","id":11111106,"num":5,"wgt":100},{"typ":"item","id":11111107,"num":2,"wgt":50},{"typ":"item","id":11111164,"num":1,"wgt":20},{"typ":"item","id":11117009,"num":5,"wgt":70},{"typ":"item","id":11117010,"num":2,"wgt":10},{"typ":"item","id":11111322,"num":17,"wgt":20}]}]}}</v>
      </c>
      <c r="T1222" s="148">
        <f>IFERROR(__xludf.DUMMYFUNCTION("""COMPUTED_VALUE"""),-1.0)</f>
        <v>-1</v>
      </c>
      <c r="U1222" s="148">
        <f>IFERROR(__xludf.DUMMYFUNCTION("""COMPUTED_VALUE"""),0.0)</f>
        <v>0</v>
      </c>
      <c r="V1222" s="148" t="str">
        <f>IFERROR(__xludf.DUMMYFUNCTION("""COMPUTED_VALUE"""),"[]")</f>
        <v>[]</v>
      </c>
      <c r="W1222" s="148">
        <f>IFERROR(__xludf.DUMMYFUNCTION("""COMPUTED_VALUE"""),1.174E7)</f>
        <v>11740000</v>
      </c>
      <c r="X1222" s="148">
        <f>IFERROR(__xludf.DUMMYFUNCTION("""COMPUTED_VALUE"""),0.0)</f>
        <v>0</v>
      </c>
      <c r="Y1222" s="148">
        <f>IFERROR(__xludf.DUMMYFUNCTION("""COMPUTED_VALUE"""),0.0)</f>
        <v>0</v>
      </c>
      <c r="Z1222" s="148"/>
    </row>
    <row r="1223">
      <c r="A1223" s="148">
        <f>IFERROR(__xludf.DUMMYFUNCTION("""COMPUTED_VALUE"""),1.1114446E7)</f>
        <v>11114446</v>
      </c>
      <c r="B1223" s="148" t="str">
        <f>IFERROR(__xludf.DUMMYFUNCTION("""COMPUTED_VALUE"""),"联盟资源发放礼物")</f>
        <v>联盟资源发放礼物</v>
      </c>
      <c r="C1223" s="148"/>
      <c r="D1223" s="148" t="str">
        <f>IFERROR(__xludf.DUMMYFUNCTION("""COMPUTED_VALUE"""),"item_union_gift_box")</f>
        <v>item_union_gift_box</v>
      </c>
      <c r="E1223" s="148">
        <f>IFERROR(__xludf.DUMMYFUNCTION("""COMPUTED_VALUE"""),16.0)</f>
        <v>16</v>
      </c>
      <c r="F1223" s="148">
        <f>IFERROR(__xludf.DUMMYFUNCTION("""COMPUTED_VALUE"""),0.0)</f>
        <v>0</v>
      </c>
      <c r="G1223" s="148">
        <f>IFERROR(__xludf.DUMMYFUNCTION("""COMPUTED_VALUE"""),1.5113199E7)</f>
        <v>15113199</v>
      </c>
      <c r="H1223" s="148">
        <f>IFERROR(__xludf.DUMMYFUNCTION("""COMPUTED_VALUE"""),1.5112564E7)</f>
        <v>15112564</v>
      </c>
      <c r="I1223" s="148" t="str">
        <f>IFERROR(__xludf.DUMMYFUNCTION("""COMPUTED_VALUE"""),"{}")</f>
        <v>{}</v>
      </c>
      <c r="J1223" s="148" t="str">
        <f>IFERROR(__xludf.DUMMYFUNCTION("""COMPUTED_VALUE"""),"{""typ"":""lc"",""txt"":""LC_ITEM_item_alliance_rss_gift_name""}")</f>
        <v>{"typ":"lc","txt":"LC_ITEM_item_alliance_rss_gift_name"}</v>
      </c>
      <c r="K1223" s="148" t="str">
        <f>IFERROR(__xludf.DUMMYFUNCTION("""COMPUTED_VALUE"""),"{""typ"":""lc"",""txt"":""LC_ITEM_item_alliance_rss_gift_desc""}")</f>
        <v>{"typ":"lc","txt":"LC_ITEM_item_alliance_rss_gift_desc"}</v>
      </c>
      <c r="L1223" s="148" t="str">
        <f>IFERROR(__xludf.DUMMYFUNCTION("""COMPUTED_VALUE"""),"{}")</f>
        <v>{}</v>
      </c>
      <c r="M1223" s="148">
        <f>IFERROR(__xludf.DUMMYFUNCTION("""COMPUTED_VALUE"""),66.0)</f>
        <v>66</v>
      </c>
      <c r="N1223" s="148">
        <f>IFERROR(__xludf.DUMMYFUNCTION("""COMPUTED_VALUE"""),999999.0)</f>
        <v>999999</v>
      </c>
      <c r="O1223" s="148">
        <f>IFERROR(__xludf.DUMMYFUNCTION("""COMPUTED_VALUE"""),99999.0)</f>
        <v>99999</v>
      </c>
      <c r="P1223" s="148">
        <f>IFERROR(__xludf.DUMMYFUNCTION("""COMPUTED_VALUE"""),1.0)</f>
        <v>1</v>
      </c>
      <c r="Q1223" s="148" t="str">
        <f>IFERROR(__xludf.DUMMYFUNCTION("""COMPUTED_VALUE"""),"[]")</f>
        <v>[]</v>
      </c>
      <c r="R1223" s="148" t="str">
        <f>IFERROR(__xludf.DUMMYFUNCTION("""COMPUTED_VALUE"""),"[]")</f>
        <v>[]</v>
      </c>
      <c r="S1223" s="148" t="str">
        <f>IFERROR(__xludf.DUMMYFUNCTION("""COMPUTED_VALUE"""),"{""drop"":{""typ"":""single_all"",""num"":1,""args"":[{""typ"":""single_all"",""num"":1,""args"":[{""typ"":""rss"",""id"":11141022,""num"":10,""wgt"":30}]},{""typ"":""single_random"",""num"":1,""args"":[{""typ"":""vm"",""id"":11151002,""num"":30,""wgt"":2"&amp;"75},{""typ"":""vm"",""id"":11151003,""num"":30,""wgt"":275},{""typ"":""item"",""id"":11111101,""num"":5,""wgt"":50},{""typ"":""item"",""id"":11111101,""num"":10,""wgt"":50},{""typ"":""item"",""id"":11111029,""num"":1,""wgt"":200},{""typ"":""item"",""id"":"&amp;"11117006,""num"":1,""wgt"":100},{""typ"":""item"",""id"":11117007,""num"":1,""wgt"":50}]}]}}")</f>
        <v>{"drop":{"typ":"single_all","num":1,"args":[{"typ":"single_all","num":1,"args":[{"typ":"rss","id":11141022,"num":10,"wgt":30}]},{"typ":"single_random","num":1,"args":[{"typ":"vm","id":11151002,"num":30,"wgt":275},{"typ":"vm","id":11151003,"num":30,"wgt":275},{"typ":"item","id":11111101,"num":5,"wgt":50},{"typ":"item","id":11111101,"num":10,"wgt":50},{"typ":"item","id":11111029,"num":1,"wgt":200},{"typ":"item","id":11117006,"num":1,"wgt":100},{"typ":"item","id":11117007,"num":1,"wgt":50}]}]}}</v>
      </c>
      <c r="T1223" s="148">
        <f>IFERROR(__xludf.DUMMYFUNCTION("""COMPUTED_VALUE"""),-1.0)</f>
        <v>-1</v>
      </c>
      <c r="U1223" s="148">
        <f>IFERROR(__xludf.DUMMYFUNCTION("""COMPUTED_VALUE"""),0.0)</f>
        <v>0</v>
      </c>
      <c r="V1223" s="148" t="str">
        <f>IFERROR(__xludf.DUMMYFUNCTION("""COMPUTED_VALUE"""),"[]")</f>
        <v>[]</v>
      </c>
      <c r="W1223" s="148">
        <f>IFERROR(__xludf.DUMMYFUNCTION("""COMPUTED_VALUE"""),1.174E7)</f>
        <v>11740000</v>
      </c>
      <c r="X1223" s="148">
        <f>IFERROR(__xludf.DUMMYFUNCTION("""COMPUTED_VALUE"""),0.0)</f>
        <v>0</v>
      </c>
      <c r="Y1223" s="148">
        <f>IFERROR(__xludf.DUMMYFUNCTION("""COMPUTED_VALUE"""),0.0)</f>
        <v>0</v>
      </c>
      <c r="Z1223" s="148"/>
    </row>
    <row r="1224">
      <c r="A1224" s="148">
        <f>IFERROR(__xludf.DUMMYFUNCTION("""COMPUTED_VALUE"""),1.1114447E7)</f>
        <v>11114447</v>
      </c>
      <c r="B1224" s="148" t="str">
        <f>IFERROR(__xludf.DUMMYFUNCTION("""COMPUTED_VALUE"""),"帮派礼物_白")</f>
        <v>帮派礼物_白</v>
      </c>
      <c r="C1224" s="148"/>
      <c r="D1224" s="148" t="str">
        <f>IFERROR(__xludf.DUMMYFUNCTION("""COMPUTED_VALUE"""),"item_union_gift_box")</f>
        <v>item_union_gift_box</v>
      </c>
      <c r="E1224" s="148">
        <f>IFERROR(__xludf.DUMMYFUNCTION("""COMPUTED_VALUE"""),16.0)</f>
        <v>16</v>
      </c>
      <c r="F1224" s="148">
        <f>IFERROR(__xludf.DUMMYFUNCTION("""COMPUTED_VALUE"""),0.0)</f>
        <v>0</v>
      </c>
      <c r="G1224" s="148">
        <f>IFERROR(__xludf.DUMMYFUNCTION("""COMPUTED_VALUE"""),1.5110347E7)</f>
        <v>15110347</v>
      </c>
      <c r="H1224" s="148">
        <f>IFERROR(__xludf.DUMMYFUNCTION("""COMPUTED_VALUE"""),1.511256E7)</f>
        <v>15112560</v>
      </c>
      <c r="I1224" s="148" t="str">
        <f>IFERROR(__xludf.DUMMYFUNCTION("""COMPUTED_VALUE"""),"{}")</f>
        <v>{}</v>
      </c>
      <c r="J1224" s="148" t="str">
        <f>IFERROR(__xludf.DUMMYFUNCTION("""COMPUTED_VALUE"""),"{""typ"":""lc"",""txt"":""LC_ITEM_alliance_rss_gift_name""}")</f>
        <v>{"typ":"lc","txt":"LC_ITEM_alliance_rss_gift_name"}</v>
      </c>
      <c r="K1224" s="148" t="str">
        <f>IFERROR(__xludf.DUMMYFUNCTION("""COMPUTED_VALUE"""),"{""typ"":""lc"",""txt"":""LC_ITEM_alliance_rss_gift_desc""}")</f>
        <v>{"typ":"lc","txt":"LC_ITEM_alliance_rss_gift_desc"}</v>
      </c>
      <c r="L1224" s="148" t="str">
        <f>IFERROR(__xludf.DUMMYFUNCTION("""COMPUTED_VALUE"""),"{}")</f>
        <v>{}</v>
      </c>
      <c r="M1224" s="148">
        <f>IFERROR(__xludf.DUMMYFUNCTION("""COMPUTED_VALUE"""),66.0)</f>
        <v>66</v>
      </c>
      <c r="N1224" s="148">
        <f>IFERROR(__xludf.DUMMYFUNCTION("""COMPUTED_VALUE"""),999999.0)</f>
        <v>999999</v>
      </c>
      <c r="O1224" s="148">
        <f>IFERROR(__xludf.DUMMYFUNCTION("""COMPUTED_VALUE"""),99999.0)</f>
        <v>99999</v>
      </c>
      <c r="P1224" s="148">
        <f>IFERROR(__xludf.DUMMYFUNCTION("""COMPUTED_VALUE"""),1.0)</f>
        <v>1</v>
      </c>
      <c r="Q1224" s="148" t="str">
        <f>IFERROR(__xludf.DUMMYFUNCTION("""COMPUTED_VALUE"""),"[]")</f>
        <v>[]</v>
      </c>
      <c r="R1224" s="148" t="str">
        <f>IFERROR(__xludf.DUMMYFUNCTION("""COMPUTED_VALUE"""),"[]")</f>
        <v>[]</v>
      </c>
      <c r="S1224" s="148" t="str">
        <f>IFERROR(__xludf.DUMMYFUNCTION("""COMPUTED_VALUE"""),"{""drop"":{""typ"":""single_all"",""num"":1,""args"":[{""typ"":""single_all"",""num"":1,""args"":[{""typ"":""rss"",""id"":11141022,""num"":40,""wgt"":30}]},{""typ"":""single_random"",""num"":1,""args"":[{""typ"":""item"",""id"":11111001,""num"":1,""wgt"":"&amp;"2000},{""typ"":""item"",""id"":11111005,""num"":1,""wgt"":2000},{""typ"":""item"",""id"":11111013,""num"":2,""wgt"":1000},{""typ"":""item"",""id"":11111102,""num"":2,""wgt"":1600},{""typ"":""item"",""id"":11111105,""num"":1,""wgt"":1000},{""typ"":""vm"","&amp;"""id"":11151002,""num"":300,""wgt"":1200},{""typ"":""vm"",""id"":11151003,""num"":300,""wgt"":1200}]}]}}")</f>
        <v>{"drop":{"typ":"single_all","num":1,"args":[{"typ":"single_all","num":1,"args":[{"typ":"rss","id":11141022,"num":40,"wgt":30}]},{"typ":"single_random","num":1,"args":[{"typ":"item","id":11111001,"num":1,"wgt":2000},{"typ":"item","id":11111005,"num":1,"wgt":2000},{"typ":"item","id":11111013,"num":2,"wgt":1000},{"typ":"item","id":11111102,"num":2,"wgt":1600},{"typ":"item","id":11111105,"num":1,"wgt":1000},{"typ":"vm","id":11151002,"num":300,"wgt":1200},{"typ":"vm","id":11151003,"num":300,"wgt":1200}]}]}}</v>
      </c>
      <c r="T1224" s="148">
        <f>IFERROR(__xludf.DUMMYFUNCTION("""COMPUTED_VALUE"""),-1.0)</f>
        <v>-1</v>
      </c>
      <c r="U1224" s="148">
        <f>IFERROR(__xludf.DUMMYFUNCTION("""COMPUTED_VALUE"""),0.0)</f>
        <v>0</v>
      </c>
      <c r="V1224" s="148" t="str">
        <f>IFERROR(__xludf.DUMMYFUNCTION("""COMPUTED_VALUE"""),"[]")</f>
        <v>[]</v>
      </c>
      <c r="W1224" s="148">
        <f>IFERROR(__xludf.DUMMYFUNCTION("""COMPUTED_VALUE"""),1.174E7)</f>
        <v>11740000</v>
      </c>
      <c r="X1224" s="148">
        <f>IFERROR(__xludf.DUMMYFUNCTION("""COMPUTED_VALUE"""),0.0)</f>
        <v>0</v>
      </c>
      <c r="Y1224" s="148">
        <f>IFERROR(__xludf.DUMMYFUNCTION("""COMPUTED_VALUE"""),0.0)</f>
        <v>0</v>
      </c>
      <c r="Z1224" s="148"/>
    </row>
    <row r="1225">
      <c r="A1225" s="148">
        <f>IFERROR(__xludf.DUMMYFUNCTION("""COMPUTED_VALUE"""),1.1114448E7)</f>
        <v>11114448</v>
      </c>
      <c r="B1225" s="148" t="str">
        <f>IFERROR(__xludf.DUMMYFUNCTION("""COMPUTED_VALUE"""),"帮派礼物_绿")</f>
        <v>帮派礼物_绿</v>
      </c>
      <c r="C1225" s="148"/>
      <c r="D1225" s="148" t="str">
        <f>IFERROR(__xludf.DUMMYFUNCTION("""COMPUTED_VALUE"""),"item_union_gift_box")</f>
        <v>item_union_gift_box</v>
      </c>
      <c r="E1225" s="148">
        <f>IFERROR(__xludf.DUMMYFUNCTION("""COMPUTED_VALUE"""),16.0)</f>
        <v>16</v>
      </c>
      <c r="F1225" s="148">
        <f>IFERROR(__xludf.DUMMYFUNCTION("""COMPUTED_VALUE"""),0.0)</f>
        <v>0</v>
      </c>
      <c r="G1225" s="148">
        <f>IFERROR(__xludf.DUMMYFUNCTION("""COMPUTED_VALUE"""),1.5110348E7)</f>
        <v>15110348</v>
      </c>
      <c r="H1225" s="148">
        <f>IFERROR(__xludf.DUMMYFUNCTION("""COMPUTED_VALUE"""),1.5112561E7)</f>
        <v>15112561</v>
      </c>
      <c r="I1225" s="148" t="str">
        <f>IFERROR(__xludf.DUMMYFUNCTION("""COMPUTED_VALUE"""),"{}")</f>
        <v>{}</v>
      </c>
      <c r="J1225" s="148" t="str">
        <f>IFERROR(__xludf.DUMMYFUNCTION("""COMPUTED_VALUE"""),"{""typ"":""lc"",""txt"":""LC_ITEM_alliance_rss_gift_name""}")</f>
        <v>{"typ":"lc","txt":"LC_ITEM_alliance_rss_gift_name"}</v>
      </c>
      <c r="K1225" s="148" t="str">
        <f>IFERROR(__xludf.DUMMYFUNCTION("""COMPUTED_VALUE"""),"{""typ"":""lc"",""txt"":""LC_ITEM_alliance_rss_gift_desc""}")</f>
        <v>{"typ":"lc","txt":"LC_ITEM_alliance_rss_gift_desc"}</v>
      </c>
      <c r="L1225" s="148" t="str">
        <f>IFERROR(__xludf.DUMMYFUNCTION("""COMPUTED_VALUE"""),"{}")</f>
        <v>{}</v>
      </c>
      <c r="M1225" s="148">
        <f>IFERROR(__xludf.DUMMYFUNCTION("""COMPUTED_VALUE"""),66.0)</f>
        <v>66</v>
      </c>
      <c r="N1225" s="148">
        <f>IFERROR(__xludf.DUMMYFUNCTION("""COMPUTED_VALUE"""),999999.0)</f>
        <v>999999</v>
      </c>
      <c r="O1225" s="148">
        <f>IFERROR(__xludf.DUMMYFUNCTION("""COMPUTED_VALUE"""),99999.0)</f>
        <v>99999</v>
      </c>
      <c r="P1225" s="148">
        <f>IFERROR(__xludf.DUMMYFUNCTION("""COMPUTED_VALUE"""),1.0)</f>
        <v>1</v>
      </c>
      <c r="Q1225" s="148" t="str">
        <f>IFERROR(__xludf.DUMMYFUNCTION("""COMPUTED_VALUE"""),"[]")</f>
        <v>[]</v>
      </c>
      <c r="R1225" s="148" t="str">
        <f>IFERROR(__xludf.DUMMYFUNCTION("""COMPUTED_VALUE"""),"[]")</f>
        <v>[]</v>
      </c>
      <c r="S1225" s="148" t="str">
        <f>IFERROR(__xludf.DUMMYFUNCTION("""COMPUTED_VALUE"""),"{""drop"":{""typ"":""single_all"",""num"":1,""args"":[{""typ"":""single_all"",""num"":1,""args"":[{""typ"":""rss"",""id"":11141022,""num"":40,""wgt"":30}]},{""typ"":""single_random"",""num"":1,""args"":[{""typ"":""item"",""id"":11111001,""num"":1,""wgt"":"&amp;"2000},{""typ"":""item"",""id"":11111005,""num"":1,""wgt"":2000},{""typ"":""item"",""id"":11111013,""num"":2,""wgt"":1000},{""typ"":""item"",""id"":11111102,""num"":2,""wgt"":1400},{""typ"":""item"",""id"":11111105,""num"":1,""wgt"":1200},{""typ"":""vm"","&amp;"""id"":11151002,""num"":400,""wgt"":1200},{""typ"":""vm"",""id"":11151003,""num"":400,""wgt"":1200}]}]}}")</f>
        <v>{"drop":{"typ":"single_all","num":1,"args":[{"typ":"single_all","num":1,"args":[{"typ":"rss","id":11141022,"num":40,"wgt":30}]},{"typ":"single_random","num":1,"args":[{"typ":"item","id":11111001,"num":1,"wgt":2000},{"typ":"item","id":11111005,"num":1,"wgt":2000},{"typ":"item","id":11111013,"num":2,"wgt":1000},{"typ":"item","id":11111102,"num":2,"wgt":1400},{"typ":"item","id":11111105,"num":1,"wgt":1200},{"typ":"vm","id":11151002,"num":400,"wgt":1200},{"typ":"vm","id":11151003,"num":400,"wgt":1200}]}]}}</v>
      </c>
      <c r="T1225" s="148">
        <f>IFERROR(__xludf.DUMMYFUNCTION("""COMPUTED_VALUE"""),-1.0)</f>
        <v>-1</v>
      </c>
      <c r="U1225" s="148">
        <f>IFERROR(__xludf.DUMMYFUNCTION("""COMPUTED_VALUE"""),0.0)</f>
        <v>0</v>
      </c>
      <c r="V1225" s="148" t="str">
        <f>IFERROR(__xludf.DUMMYFUNCTION("""COMPUTED_VALUE"""),"[]")</f>
        <v>[]</v>
      </c>
      <c r="W1225" s="148">
        <f>IFERROR(__xludf.DUMMYFUNCTION("""COMPUTED_VALUE"""),1.174E7)</f>
        <v>11740000</v>
      </c>
      <c r="X1225" s="148">
        <f>IFERROR(__xludf.DUMMYFUNCTION("""COMPUTED_VALUE"""),0.0)</f>
        <v>0</v>
      </c>
      <c r="Y1225" s="148">
        <f>IFERROR(__xludf.DUMMYFUNCTION("""COMPUTED_VALUE"""),0.0)</f>
        <v>0</v>
      </c>
      <c r="Z1225" s="148"/>
    </row>
    <row r="1226">
      <c r="A1226" s="148">
        <f>IFERROR(__xludf.DUMMYFUNCTION("""COMPUTED_VALUE"""),1.1114449E7)</f>
        <v>11114449</v>
      </c>
      <c r="B1226" s="148" t="str">
        <f>IFERROR(__xludf.DUMMYFUNCTION("""COMPUTED_VALUE"""),"帮派礼物_蓝")</f>
        <v>帮派礼物_蓝</v>
      </c>
      <c r="C1226" s="148"/>
      <c r="D1226" s="148" t="str">
        <f>IFERROR(__xludf.DUMMYFUNCTION("""COMPUTED_VALUE"""),"item_union_gift_box")</f>
        <v>item_union_gift_box</v>
      </c>
      <c r="E1226" s="148">
        <f>IFERROR(__xludf.DUMMYFUNCTION("""COMPUTED_VALUE"""),16.0)</f>
        <v>16</v>
      </c>
      <c r="F1226" s="148">
        <f>IFERROR(__xludf.DUMMYFUNCTION("""COMPUTED_VALUE"""),0.0)</f>
        <v>0</v>
      </c>
      <c r="G1226" s="148">
        <f>IFERROR(__xludf.DUMMYFUNCTION("""COMPUTED_VALUE"""),1.5110349E7)</f>
        <v>15110349</v>
      </c>
      <c r="H1226" s="148">
        <f>IFERROR(__xludf.DUMMYFUNCTION("""COMPUTED_VALUE"""),1.5112562E7)</f>
        <v>15112562</v>
      </c>
      <c r="I1226" s="148" t="str">
        <f>IFERROR(__xludf.DUMMYFUNCTION("""COMPUTED_VALUE"""),"{}")</f>
        <v>{}</v>
      </c>
      <c r="J1226" s="148" t="str">
        <f>IFERROR(__xludf.DUMMYFUNCTION("""COMPUTED_VALUE"""),"{""typ"":""lc"",""txt"":""LC_ITEM_alliance_rss_gift_name""}")</f>
        <v>{"typ":"lc","txt":"LC_ITEM_alliance_rss_gift_name"}</v>
      </c>
      <c r="K1226" s="148" t="str">
        <f>IFERROR(__xludf.DUMMYFUNCTION("""COMPUTED_VALUE"""),"{""typ"":""lc"",""txt"":""LC_ITEM_alliance_rss_gift_desc""}")</f>
        <v>{"typ":"lc","txt":"LC_ITEM_alliance_rss_gift_desc"}</v>
      </c>
      <c r="L1226" s="148" t="str">
        <f>IFERROR(__xludf.DUMMYFUNCTION("""COMPUTED_VALUE"""),"{}")</f>
        <v>{}</v>
      </c>
      <c r="M1226" s="148">
        <f>IFERROR(__xludf.DUMMYFUNCTION("""COMPUTED_VALUE"""),66.0)</f>
        <v>66</v>
      </c>
      <c r="N1226" s="148">
        <f>IFERROR(__xludf.DUMMYFUNCTION("""COMPUTED_VALUE"""),999999.0)</f>
        <v>999999</v>
      </c>
      <c r="O1226" s="148">
        <f>IFERROR(__xludf.DUMMYFUNCTION("""COMPUTED_VALUE"""),99999.0)</f>
        <v>99999</v>
      </c>
      <c r="P1226" s="148">
        <f>IFERROR(__xludf.DUMMYFUNCTION("""COMPUTED_VALUE"""),1.0)</f>
        <v>1</v>
      </c>
      <c r="Q1226" s="148" t="str">
        <f>IFERROR(__xludf.DUMMYFUNCTION("""COMPUTED_VALUE"""),"[]")</f>
        <v>[]</v>
      </c>
      <c r="R1226" s="148" t="str">
        <f>IFERROR(__xludf.DUMMYFUNCTION("""COMPUTED_VALUE"""),"[]")</f>
        <v>[]</v>
      </c>
      <c r="S1226" s="148" t="str">
        <f>IFERROR(__xludf.DUMMYFUNCTION("""COMPUTED_VALUE"""),"{""drop"":{""typ"":""single_all"",""num"":1,""args"":[{""typ"":""single_all"",""num"":1,""args"":[{""typ"":""rss"",""id"":11141022,""num"":40,""wgt"":30}]},{""typ"":""single_random"",""num"":1,""args"":[{""typ"":""item"",""id"":11111001,""num"":2,""wgt"":"&amp;"2000},{""typ"":""item"",""id"":11111005,""num"":2,""wgt"":2000},{""typ"":""item"",""id"":11111013,""num"":3,""wgt"":1200},{""typ"":""item"",""id"":11111102,""num"":2,""wgt"":1200},{""typ"":""item"",""id"":11111105,""num"":1,""wgt"":1400},{""typ"":""vm"","&amp;"""id"":11151002,""num"":500,""wgt"":1100},{""typ"":""vm"",""id"":11151003,""num"":500,""wgt"":1100}]}]}}")</f>
        <v>{"drop":{"typ":"single_all","num":1,"args":[{"typ":"single_all","num":1,"args":[{"typ":"rss","id":11141022,"num":40,"wgt":30}]},{"typ":"single_random","num":1,"args":[{"typ":"item","id":11111001,"num":2,"wgt":2000},{"typ":"item","id":11111005,"num":2,"wgt":2000},{"typ":"item","id":11111013,"num":3,"wgt":1200},{"typ":"item","id":11111102,"num":2,"wgt":1200},{"typ":"item","id":11111105,"num":1,"wgt":1400},{"typ":"vm","id":11151002,"num":500,"wgt":1100},{"typ":"vm","id":11151003,"num":500,"wgt":1100}]}]}}</v>
      </c>
      <c r="T1226" s="148">
        <f>IFERROR(__xludf.DUMMYFUNCTION("""COMPUTED_VALUE"""),-1.0)</f>
        <v>-1</v>
      </c>
      <c r="U1226" s="148">
        <f>IFERROR(__xludf.DUMMYFUNCTION("""COMPUTED_VALUE"""),0.0)</f>
        <v>0</v>
      </c>
      <c r="V1226" s="148" t="str">
        <f>IFERROR(__xludf.DUMMYFUNCTION("""COMPUTED_VALUE"""),"[]")</f>
        <v>[]</v>
      </c>
      <c r="W1226" s="148">
        <f>IFERROR(__xludf.DUMMYFUNCTION("""COMPUTED_VALUE"""),1.174E7)</f>
        <v>11740000</v>
      </c>
      <c r="X1226" s="148">
        <f>IFERROR(__xludf.DUMMYFUNCTION("""COMPUTED_VALUE"""),0.0)</f>
        <v>0</v>
      </c>
      <c r="Y1226" s="148">
        <f>IFERROR(__xludf.DUMMYFUNCTION("""COMPUTED_VALUE"""),0.0)</f>
        <v>0</v>
      </c>
      <c r="Z1226" s="148"/>
    </row>
    <row r="1227">
      <c r="A1227" s="148">
        <f>IFERROR(__xludf.DUMMYFUNCTION("""COMPUTED_VALUE"""),1.111445E7)</f>
        <v>11114450</v>
      </c>
      <c r="B1227" s="148" t="str">
        <f>IFERROR(__xludf.DUMMYFUNCTION("""COMPUTED_VALUE"""),"帮派礼物_紫")</f>
        <v>帮派礼物_紫</v>
      </c>
      <c r="C1227" s="148"/>
      <c r="D1227" s="148" t="str">
        <f>IFERROR(__xludf.DUMMYFUNCTION("""COMPUTED_VALUE"""),"item_union_gift_box")</f>
        <v>item_union_gift_box</v>
      </c>
      <c r="E1227" s="148">
        <f>IFERROR(__xludf.DUMMYFUNCTION("""COMPUTED_VALUE"""),16.0)</f>
        <v>16</v>
      </c>
      <c r="F1227" s="148">
        <f>IFERROR(__xludf.DUMMYFUNCTION("""COMPUTED_VALUE"""),0.0)</f>
        <v>0</v>
      </c>
      <c r="G1227" s="148">
        <f>IFERROR(__xludf.DUMMYFUNCTION("""COMPUTED_VALUE"""),1.511035E7)</f>
        <v>15110350</v>
      </c>
      <c r="H1227" s="148">
        <f>IFERROR(__xludf.DUMMYFUNCTION("""COMPUTED_VALUE"""),1.5112563E7)</f>
        <v>15112563</v>
      </c>
      <c r="I1227" s="148" t="str">
        <f>IFERROR(__xludf.DUMMYFUNCTION("""COMPUTED_VALUE"""),"{}")</f>
        <v>{}</v>
      </c>
      <c r="J1227" s="148" t="str">
        <f>IFERROR(__xludf.DUMMYFUNCTION("""COMPUTED_VALUE"""),"{""typ"":""lc"",""txt"":""LC_ITEM_alliance_rss_gift_name""}")</f>
        <v>{"typ":"lc","txt":"LC_ITEM_alliance_rss_gift_name"}</v>
      </c>
      <c r="K1227" s="148" t="str">
        <f>IFERROR(__xludf.DUMMYFUNCTION("""COMPUTED_VALUE"""),"{""typ"":""lc"",""txt"":""LC_ITEM_alliance_rss_gift_desc""}")</f>
        <v>{"typ":"lc","txt":"LC_ITEM_alliance_rss_gift_desc"}</v>
      </c>
      <c r="L1227" s="148" t="str">
        <f>IFERROR(__xludf.DUMMYFUNCTION("""COMPUTED_VALUE"""),"{}")</f>
        <v>{}</v>
      </c>
      <c r="M1227" s="148">
        <f>IFERROR(__xludf.DUMMYFUNCTION("""COMPUTED_VALUE"""),66.0)</f>
        <v>66</v>
      </c>
      <c r="N1227" s="148">
        <f>IFERROR(__xludf.DUMMYFUNCTION("""COMPUTED_VALUE"""),999999.0)</f>
        <v>999999</v>
      </c>
      <c r="O1227" s="148">
        <f>IFERROR(__xludf.DUMMYFUNCTION("""COMPUTED_VALUE"""),99999.0)</f>
        <v>99999</v>
      </c>
      <c r="P1227" s="148">
        <f>IFERROR(__xludf.DUMMYFUNCTION("""COMPUTED_VALUE"""),1.0)</f>
        <v>1</v>
      </c>
      <c r="Q1227" s="148" t="str">
        <f>IFERROR(__xludf.DUMMYFUNCTION("""COMPUTED_VALUE"""),"[]")</f>
        <v>[]</v>
      </c>
      <c r="R1227" s="148" t="str">
        <f>IFERROR(__xludf.DUMMYFUNCTION("""COMPUTED_VALUE"""),"[]")</f>
        <v>[]</v>
      </c>
      <c r="S1227" s="148" t="str">
        <f>IFERROR(__xludf.DUMMYFUNCTION("""COMPUTED_VALUE"""),"{""drop"":{""typ"":""single_all"",""num"":1,""args"":[{""typ"":""single_all"",""num"":1,""args"":[{""typ"":""rss"",""id"":11141022,""num"":40,""wgt"":30}]},{""typ"":""single_random"",""num"":1,""args"":[{""typ"":""item"",""id"":11111001,""num"":2,""wgt"":"&amp;"2000},{""typ"":""item"",""id"":11111005,""num"":2,""wgt"":2000},{""typ"":""item"",""id"":11111013,""num"":3,""wgt"":1400},{""typ"":""item"",""id"":11111102,""num"":2,""wgt"":900},{""typ"":""item"",""id"":11111105,""num"":1,""wgt"":1700},{""typ"":""vm"","""&amp;"id"":11151002,""num"":600,""wgt"":1000},{""typ"":""vm"",""id"":11151003,""num"":600,""wgt"":1000}]}]}}")</f>
        <v>{"drop":{"typ":"single_all","num":1,"args":[{"typ":"single_all","num":1,"args":[{"typ":"rss","id":11141022,"num":40,"wgt":30}]},{"typ":"single_random","num":1,"args":[{"typ":"item","id":11111001,"num":2,"wgt":2000},{"typ":"item","id":11111005,"num":2,"wgt":2000},{"typ":"item","id":11111013,"num":3,"wgt":1400},{"typ":"item","id":11111102,"num":2,"wgt":900},{"typ":"item","id":11111105,"num":1,"wgt":1700},{"typ":"vm","id":11151002,"num":600,"wgt":1000},{"typ":"vm","id":11151003,"num":600,"wgt":1000}]}]}}</v>
      </c>
      <c r="T1227" s="148">
        <f>IFERROR(__xludf.DUMMYFUNCTION("""COMPUTED_VALUE"""),-1.0)</f>
        <v>-1</v>
      </c>
      <c r="U1227" s="148">
        <f>IFERROR(__xludf.DUMMYFUNCTION("""COMPUTED_VALUE"""),0.0)</f>
        <v>0</v>
      </c>
      <c r="V1227" s="148" t="str">
        <f>IFERROR(__xludf.DUMMYFUNCTION("""COMPUTED_VALUE"""),"[]")</f>
        <v>[]</v>
      </c>
      <c r="W1227" s="148">
        <f>IFERROR(__xludf.DUMMYFUNCTION("""COMPUTED_VALUE"""),1.174E7)</f>
        <v>11740000</v>
      </c>
      <c r="X1227" s="148">
        <f>IFERROR(__xludf.DUMMYFUNCTION("""COMPUTED_VALUE"""),0.0)</f>
        <v>0</v>
      </c>
      <c r="Y1227" s="148">
        <f>IFERROR(__xludf.DUMMYFUNCTION("""COMPUTED_VALUE"""),0.0)</f>
        <v>0</v>
      </c>
      <c r="Z1227" s="148"/>
    </row>
    <row r="1228">
      <c r="A1228" s="148">
        <f>IFERROR(__xludf.DUMMYFUNCTION("""COMPUTED_VALUE"""),1.1114451E7)</f>
        <v>11114451</v>
      </c>
      <c r="B1228" s="148" t="str">
        <f>IFERROR(__xludf.DUMMYFUNCTION("""COMPUTED_VALUE"""),"帮派礼物_橙")</f>
        <v>帮派礼物_橙</v>
      </c>
      <c r="C1228" s="148"/>
      <c r="D1228" s="148" t="str">
        <f>IFERROR(__xludf.DUMMYFUNCTION("""COMPUTED_VALUE"""),"item_union_gift_box")</f>
        <v>item_union_gift_box</v>
      </c>
      <c r="E1228" s="148">
        <f>IFERROR(__xludf.DUMMYFUNCTION("""COMPUTED_VALUE"""),16.0)</f>
        <v>16</v>
      </c>
      <c r="F1228" s="148">
        <f>IFERROR(__xludf.DUMMYFUNCTION("""COMPUTED_VALUE"""),0.0)</f>
        <v>0</v>
      </c>
      <c r="G1228" s="148">
        <f>IFERROR(__xludf.DUMMYFUNCTION("""COMPUTED_VALUE"""),1.5110351E7)</f>
        <v>15110351</v>
      </c>
      <c r="H1228" s="148">
        <f>IFERROR(__xludf.DUMMYFUNCTION("""COMPUTED_VALUE"""),1.5112564E7)</f>
        <v>15112564</v>
      </c>
      <c r="I1228" s="148" t="str">
        <f>IFERROR(__xludf.DUMMYFUNCTION("""COMPUTED_VALUE"""),"{}")</f>
        <v>{}</v>
      </c>
      <c r="J1228" s="148" t="str">
        <f>IFERROR(__xludf.DUMMYFUNCTION("""COMPUTED_VALUE"""),"{""typ"":""lc"",""txt"":""LC_ITEM_alliance_rss_gift_name""}")</f>
        <v>{"typ":"lc","txt":"LC_ITEM_alliance_rss_gift_name"}</v>
      </c>
      <c r="K1228" s="148" t="str">
        <f>IFERROR(__xludf.DUMMYFUNCTION("""COMPUTED_VALUE"""),"{""typ"":""lc"",""txt"":""LC_ITEM_alliance_rss_gift_desc""}")</f>
        <v>{"typ":"lc","txt":"LC_ITEM_alliance_rss_gift_desc"}</v>
      </c>
      <c r="L1228" s="148" t="str">
        <f>IFERROR(__xludf.DUMMYFUNCTION("""COMPUTED_VALUE"""),"{}")</f>
        <v>{}</v>
      </c>
      <c r="M1228" s="148">
        <f>IFERROR(__xludf.DUMMYFUNCTION("""COMPUTED_VALUE"""),66.0)</f>
        <v>66</v>
      </c>
      <c r="N1228" s="148">
        <f>IFERROR(__xludf.DUMMYFUNCTION("""COMPUTED_VALUE"""),999999.0)</f>
        <v>999999</v>
      </c>
      <c r="O1228" s="148">
        <f>IFERROR(__xludf.DUMMYFUNCTION("""COMPUTED_VALUE"""),99999.0)</f>
        <v>99999</v>
      </c>
      <c r="P1228" s="148">
        <f>IFERROR(__xludf.DUMMYFUNCTION("""COMPUTED_VALUE"""),1.0)</f>
        <v>1</v>
      </c>
      <c r="Q1228" s="148" t="str">
        <f>IFERROR(__xludf.DUMMYFUNCTION("""COMPUTED_VALUE"""),"[]")</f>
        <v>[]</v>
      </c>
      <c r="R1228" s="148" t="str">
        <f>IFERROR(__xludf.DUMMYFUNCTION("""COMPUTED_VALUE"""),"[]")</f>
        <v>[]</v>
      </c>
      <c r="S1228" s="148" t="str">
        <f>IFERROR(__xludf.DUMMYFUNCTION("""COMPUTED_VALUE"""),"{""drop"":{""typ"":""single_all"",""num"":1,""args"":[{""typ"":""single_all"",""num"":1,""args"":[{""typ"":""rss"",""id"":11141022,""num"":40,""wgt"":30}]},{""typ"":""single_random"",""num"":1,""args"":[{""typ"":""item"",""id"":11111001,""num"":3,""wgt"":"&amp;"2000},{""typ"":""item"",""id"":11111005,""num"":3,""wgt"":2000},{""typ"":""item"",""id"":11111013,""num"":5,""wgt"":1400},{""typ"":""item"",""id"":11111102,""num"":2,""wgt"":600},{""typ"":""item"",""id"":11111105,""num"":1,""wgt"":2000},{""typ"":""vm"","""&amp;"id"":11151002,""num"":700,""wgt"":1000},{""typ"":""vm"",""id"":11151003,""num"":700,""wgt"":1000}]}]}}")</f>
        <v>{"drop":{"typ":"single_all","num":1,"args":[{"typ":"single_all","num":1,"args":[{"typ":"rss","id":11141022,"num":40,"wgt":30}]},{"typ":"single_random","num":1,"args":[{"typ":"item","id":11111001,"num":3,"wgt":2000},{"typ":"item","id":11111005,"num":3,"wgt":2000},{"typ":"item","id":11111013,"num":5,"wgt":1400},{"typ":"item","id":11111102,"num":2,"wgt":600},{"typ":"item","id":11111105,"num":1,"wgt":2000},{"typ":"vm","id":11151002,"num":700,"wgt":1000},{"typ":"vm","id":11151003,"num":700,"wgt":1000}]}]}}</v>
      </c>
      <c r="T1228" s="148">
        <f>IFERROR(__xludf.DUMMYFUNCTION("""COMPUTED_VALUE"""),-1.0)</f>
        <v>-1</v>
      </c>
      <c r="U1228" s="148">
        <f>IFERROR(__xludf.DUMMYFUNCTION("""COMPUTED_VALUE"""),0.0)</f>
        <v>0</v>
      </c>
      <c r="V1228" s="148" t="str">
        <f>IFERROR(__xludf.DUMMYFUNCTION("""COMPUTED_VALUE"""),"[]")</f>
        <v>[]</v>
      </c>
      <c r="W1228" s="148">
        <f>IFERROR(__xludf.DUMMYFUNCTION("""COMPUTED_VALUE"""),1.174E7)</f>
        <v>11740000</v>
      </c>
      <c r="X1228" s="148">
        <f>IFERROR(__xludf.DUMMYFUNCTION("""COMPUTED_VALUE"""),0.0)</f>
        <v>0</v>
      </c>
      <c r="Y1228" s="148">
        <f>IFERROR(__xludf.DUMMYFUNCTION("""COMPUTED_VALUE"""),0.0)</f>
        <v>0</v>
      </c>
      <c r="Z1228" s="148"/>
    </row>
    <row r="1229">
      <c r="A1229" s="148">
        <f>IFERROR(__xludf.DUMMYFUNCTION("""COMPUTED_VALUE"""),1.1114452E7)</f>
        <v>11114452</v>
      </c>
      <c r="B1229" s="148" t="str">
        <f>IFERROR(__xludf.DUMMYFUNCTION("""COMPUTED_VALUE"""),"个人奖励-捐献箱子（wonder捐献）")</f>
        <v>个人奖励-捐献箱子（wonder捐献）</v>
      </c>
      <c r="C1229" s="148"/>
      <c r="D1229" s="148" t="str">
        <f>IFERROR(__xludf.DUMMYFUNCTION("""COMPUTED_VALUE"""),"item_asset")</f>
        <v>item_asset</v>
      </c>
      <c r="E1229" s="148">
        <f>IFERROR(__xludf.DUMMYFUNCTION("""COMPUTED_VALUE"""),19.0)</f>
        <v>19</v>
      </c>
      <c r="F1229" s="148">
        <f>IFERROR(__xludf.DUMMYFUNCTION("""COMPUTED_VALUE"""),403499.0)</f>
        <v>403499</v>
      </c>
      <c r="G1229" s="148">
        <f>IFERROR(__xludf.DUMMYFUNCTION("""COMPUTED_VALUE"""),1.5113194E7)</f>
        <v>15113194</v>
      </c>
      <c r="H1229" s="148">
        <f>IFERROR(__xludf.DUMMYFUNCTION("""COMPUTED_VALUE"""),1.5112561E7)</f>
        <v>15112561</v>
      </c>
      <c r="I1229" s="148" t="str">
        <f>IFERROR(__xludf.DUMMYFUNCTION("""COMPUTED_VALUE"""),"{}")</f>
        <v>{}</v>
      </c>
      <c r="J1229" s="148" t="str">
        <f>IFERROR(__xludf.DUMMYFUNCTION("""COMPUTED_VALUE"""),"{""typ"":""lc"",""txt"":""LC_MAP_overlord_wonder_journey_donate_box_name""}")</f>
        <v>{"typ":"lc","txt":"LC_MAP_overlord_wonder_journey_donate_box_name"}</v>
      </c>
      <c r="K1229" s="148" t="str">
        <f>IFERROR(__xludf.DUMMYFUNCTION("""COMPUTED_VALUE"""),"{""typ"":""lc"",""txt"":""LC_MAP_overlord_wonder_journey_donate_box_desc""}")</f>
        <v>{"typ":"lc","txt":"LC_MAP_overlord_wonder_journey_donate_box_desc"}</v>
      </c>
      <c r="L1229" s="148" t="str">
        <f>IFERROR(__xludf.DUMMYFUNCTION("""COMPUTED_VALUE"""),"{""typ"":""lc"",""txt"":""LC_ITEM_horde_elite_box_usedtip""}")</f>
        <v>{"typ":"lc","txt":"LC_ITEM_horde_elite_box_usedtip"}</v>
      </c>
      <c r="M1229" s="148">
        <f>IFERROR(__xludf.DUMMYFUNCTION("""COMPUTED_VALUE"""),6.0)</f>
        <v>6</v>
      </c>
      <c r="N1229" s="148">
        <f>IFERROR(__xludf.DUMMYFUNCTION("""COMPUTED_VALUE"""),999999.0)</f>
        <v>999999</v>
      </c>
      <c r="O1229" s="148">
        <f>IFERROR(__xludf.DUMMYFUNCTION("""COMPUTED_VALUE"""),99999.0)</f>
        <v>99999</v>
      </c>
      <c r="P1229" s="148">
        <f>IFERROR(__xludf.DUMMYFUNCTION("""COMPUTED_VALUE"""),99999.0)</f>
        <v>99999</v>
      </c>
      <c r="Q1229" s="148" t="str">
        <f>IFERROR(__xludf.DUMMYFUNCTION("""COMPUTED_VALUE"""),"[""bag_other""]")</f>
        <v>["bag_other"]</v>
      </c>
      <c r="R1229" s="148" t="str">
        <f>IFERROR(__xludf.DUMMYFUNCTION("""COMPUTED_VALUE"""),"[""bag""]")</f>
        <v>["bag"]</v>
      </c>
      <c r="S1229" s="148" t="str">
        <f>IFERROR(__xludf.DUMMYFUNCTION("""COMPUTED_VALUE"""),"{""drop"":{""typ"":""single_random"",""num"":1,""args"":[{""typ"":""item"",""id"":11114328,""num"":2,""wgt"":3000},{""typ"":""item"",""id"":11114328,""num"":3,""wgt"":7000},{""typ"":""item"",""id"":11114331,""num"":1,""wgt"":10000},{""typ"":""item"",""id"&amp;""":11116001,""num"":1,""wgt"":2000},{""typ"":""item"",""id"":11116001,""num"":3,""wgt"":3000},{""typ"":""item"",""id"":11116002,""num"":1,""wgt"":5000},{""typ"":""item"",""id"":11116003,""num"":1,""wgt"":2000},{""typ"":""item"",""id"":11116004,""num"":1,"&amp;"""wgt"":500},{""typ"":""item"",""id"":11116401,""num"":1,""wgt"":100}]}}")</f>
        <v>{"drop":{"typ":"single_random","num":1,"args":[{"typ":"item","id":11114328,"num":2,"wgt":3000},{"typ":"item","id":11114328,"num":3,"wgt":7000},{"typ":"item","id":11114331,"num":1,"wgt":10000},{"typ":"item","id":11116001,"num":1,"wgt":2000},{"typ":"item","id":11116001,"num":3,"wgt":3000},{"typ":"item","id":11116002,"num":1,"wgt":5000},{"typ":"item","id":11116003,"num":1,"wgt":2000},{"typ":"item","id":11116004,"num":1,"wgt":500},{"typ":"item","id":11116401,"num":1,"wgt":100}]}}</v>
      </c>
      <c r="T1229" s="148">
        <f>IFERROR(__xludf.DUMMYFUNCTION("""COMPUTED_VALUE"""),-1.0)</f>
        <v>-1</v>
      </c>
      <c r="U1229" s="148">
        <f>IFERROR(__xludf.DUMMYFUNCTION("""COMPUTED_VALUE"""),0.0)</f>
        <v>0</v>
      </c>
      <c r="V1229" s="148" t="str">
        <f>IFERROR(__xludf.DUMMYFUNCTION("""COMPUTED_VALUE"""),"[]")</f>
        <v>[]</v>
      </c>
      <c r="W1229" s="148">
        <f>IFERROR(__xludf.DUMMYFUNCTION("""COMPUTED_VALUE"""),1.174E7)</f>
        <v>11740000</v>
      </c>
      <c r="X1229" s="148">
        <f>IFERROR(__xludf.DUMMYFUNCTION("""COMPUTED_VALUE"""),0.0)</f>
        <v>0</v>
      </c>
      <c r="Y1229" s="148">
        <f>IFERROR(__xludf.DUMMYFUNCTION("""COMPUTED_VALUE"""),0.0)</f>
        <v>0</v>
      </c>
      <c r="Z1229" s="148"/>
    </row>
    <row r="1230">
      <c r="A1230" s="148">
        <f>IFERROR(__xludf.DUMMYFUNCTION("""COMPUTED_VALUE"""),1.1114453E7)</f>
        <v>11114453</v>
      </c>
      <c r="B1230" s="148" t="str">
        <f>IFERROR(__xludf.DUMMYFUNCTION("""COMPUTED_VALUE"""),"联盟礼物(触发)kvk部落boss")</f>
        <v>联盟礼物(触发)kvk部落boss</v>
      </c>
      <c r="C1230" s="148"/>
      <c r="D1230" s="148" t="str">
        <f>IFERROR(__xludf.DUMMYFUNCTION("""COMPUTED_VALUE"""),"item_union_gift")</f>
        <v>item_union_gift</v>
      </c>
      <c r="E1230" s="148">
        <f>IFERROR(__xludf.DUMMYFUNCTION("""COMPUTED_VALUE"""),15.0)</f>
        <v>15</v>
      </c>
      <c r="F1230" s="148">
        <f>IFERROR(__xludf.DUMMYFUNCTION("""COMPUTED_VALUE"""),0.0)</f>
        <v>0</v>
      </c>
      <c r="G1230" s="148">
        <f>IFERROR(__xludf.DUMMYFUNCTION("""COMPUTED_VALUE"""),1.5110348E7)</f>
        <v>15110348</v>
      </c>
      <c r="H1230" s="148">
        <f>IFERROR(__xludf.DUMMYFUNCTION("""COMPUTED_VALUE"""),1.5112563E7)</f>
        <v>15112563</v>
      </c>
      <c r="I1230" s="148" t="str">
        <f>IFERROR(__xludf.DUMMYFUNCTION("""COMPUTED_VALUE"""),"{}")</f>
        <v>{}</v>
      </c>
      <c r="J1230" s="148" t="str">
        <f>IFERROR(__xludf.DUMMYFUNCTION("""COMPUTED_VALUE"""),"{""typ"":""lc"",""txt"":""LC_ITEM_item_alliance_gift_kvk_boss_name""}")</f>
        <v>{"typ":"lc","txt":"LC_ITEM_item_alliance_gift_kvk_boss_name"}</v>
      </c>
      <c r="K1230" s="148" t="str">
        <f>IFERROR(__xludf.DUMMYFUNCTION("""COMPUTED_VALUE"""),"{""typ"":""lc"",""txt"":""LC_ITEM_item_alliance_gift_kvk_boss_desc""}")</f>
        <v>{"typ":"lc","txt":"LC_ITEM_item_alliance_gift_kvk_boss_desc"}</v>
      </c>
      <c r="L1230" s="148" t="str">
        <f>IFERROR(__xludf.DUMMYFUNCTION("""COMPUTED_VALUE"""),"{}")</f>
        <v>{}</v>
      </c>
      <c r="M1230" s="148">
        <f>IFERROR(__xludf.DUMMYFUNCTION("""COMPUTED_VALUE"""),66.0)</f>
        <v>66</v>
      </c>
      <c r="N1230" s="148">
        <f>IFERROR(__xludf.DUMMYFUNCTION("""COMPUTED_VALUE"""),999999.0)</f>
        <v>999999</v>
      </c>
      <c r="O1230" s="148">
        <f>IFERROR(__xludf.DUMMYFUNCTION("""COMPUTED_VALUE"""),99999.0)</f>
        <v>99999</v>
      </c>
      <c r="P1230" s="148">
        <f>IFERROR(__xludf.DUMMYFUNCTION("""COMPUTED_VALUE"""),1.0)</f>
        <v>1</v>
      </c>
      <c r="Q1230" s="148" t="str">
        <f>IFERROR(__xludf.DUMMYFUNCTION("""COMPUTED_VALUE"""),"[]")</f>
        <v>[]</v>
      </c>
      <c r="R1230" s="148" t="str">
        <f>IFERROR(__xludf.DUMMYFUNCTION("""COMPUTED_VALUE"""),"[]")</f>
        <v>[]</v>
      </c>
      <c r="S1230" s="148" t="str">
        <f>IFERROR(__xludf.DUMMYFUNCTION("""COMPUTED_VALUE"""),"{""effect"":[{""typ"":""union_gift_quality_drop"",""id"":11,""val"":1}]}")</f>
        <v>{"effect":[{"typ":"union_gift_quality_drop","id":11,"val":1}]}</v>
      </c>
      <c r="T1230" s="148">
        <f>IFERROR(__xludf.DUMMYFUNCTION("""COMPUTED_VALUE"""),-1.0)</f>
        <v>-1</v>
      </c>
      <c r="U1230" s="148">
        <f>IFERROR(__xludf.DUMMYFUNCTION("""COMPUTED_VALUE"""),1.0)</f>
        <v>1</v>
      </c>
      <c r="V1230" s="148" t="str">
        <f>IFERROR(__xludf.DUMMYFUNCTION("""COMPUTED_VALUE"""),"[]")</f>
        <v>[]</v>
      </c>
      <c r="W1230" s="148">
        <f>IFERROR(__xludf.DUMMYFUNCTION("""COMPUTED_VALUE"""),1.174E7)</f>
        <v>11740000</v>
      </c>
      <c r="X1230" s="148">
        <f>IFERROR(__xludf.DUMMYFUNCTION("""COMPUTED_VALUE"""),0.0)</f>
        <v>0</v>
      </c>
      <c r="Y1230" s="148">
        <f>IFERROR(__xludf.DUMMYFUNCTION("""COMPUTED_VALUE"""),0.0)</f>
        <v>0</v>
      </c>
      <c r="Z1230" s="148"/>
    </row>
    <row r="1231">
      <c r="A1231" s="148">
        <f>IFERROR(__xludf.DUMMYFUNCTION("""COMPUTED_VALUE"""),1.1114454E7)</f>
        <v>11114454</v>
      </c>
      <c r="B1231" s="148" t="str">
        <f>IFERROR(__xludf.DUMMYFUNCTION("""COMPUTED_VALUE"""),"第二科研队列永久")</f>
        <v>第二科研队列永久</v>
      </c>
      <c r="C1231" s="148"/>
      <c r="D1231" s="148" t="str">
        <f>IFERROR(__xludf.DUMMYFUNCTION("""COMPUTED_VALUE"""),"item_temporary_queue")</f>
        <v>item_temporary_queue</v>
      </c>
      <c r="E1231" s="148">
        <f>IFERROR(__xludf.DUMMYFUNCTION("""COMPUTED_VALUE"""),14.0)</f>
        <v>14</v>
      </c>
      <c r="F1231" s="148">
        <f>IFERROR(__xludf.DUMMYFUNCTION("""COMPUTED_VALUE"""),300501.0)</f>
        <v>300501</v>
      </c>
      <c r="G1231" s="148">
        <f>IFERROR(__xludf.DUMMYFUNCTION("""COMPUTED_VALUE"""),1.5117504E7)</f>
        <v>15117504</v>
      </c>
      <c r="H1231" s="148">
        <f>IFERROR(__xludf.DUMMYFUNCTION("""COMPUTED_VALUE"""),1.5112564E7)</f>
        <v>15112564</v>
      </c>
      <c r="I1231" s="148" t="str">
        <f>IFERROR(__xludf.DUMMYFUNCTION("""COMPUTED_VALUE"""),"{}")</f>
        <v>{}</v>
      </c>
      <c r="J1231" s="148" t="str">
        <f>IFERROR(__xludf.DUMMYFUNCTION("""COMPUTED_VALUE"""),"{""typ"":""lc"",""txt"":""LC_IAP_research_queue_pkg""}")</f>
        <v>{"typ":"lc","txt":"LC_IAP_research_queue_pkg"}</v>
      </c>
      <c r="K1231" s="148" t="str">
        <f>IFERROR(__xludf.DUMMYFUNCTION("""COMPUTED_VALUE"""),"{""typ"":""lc"",""txt"":""LC_IAP_second_tech_queue_desc1""}")</f>
        <v>{"typ":"lc","txt":"LC_IAP_second_tech_queue_desc1"}</v>
      </c>
      <c r="L1231" s="148" t="str">
        <f>IFERROR(__xludf.DUMMYFUNCTION("""COMPUTED_VALUE"""),"{}")</f>
        <v>{}</v>
      </c>
      <c r="M1231" s="148">
        <f>IFERROR(__xludf.DUMMYFUNCTION("""COMPUTED_VALUE"""),50000.0)</f>
        <v>50000</v>
      </c>
      <c r="N1231" s="148">
        <f>IFERROR(__xludf.DUMMYFUNCTION("""COMPUTED_VALUE"""),999999.0)</f>
        <v>999999</v>
      </c>
      <c r="O1231" s="148">
        <f>IFERROR(__xludf.DUMMYFUNCTION("""COMPUTED_VALUE"""),99999.0)</f>
        <v>99999</v>
      </c>
      <c r="P1231" s="148">
        <f>IFERROR(__xludf.DUMMYFUNCTION("""COMPUTED_VALUE"""),1.0)</f>
        <v>1</v>
      </c>
      <c r="Q1231" s="148" t="str">
        <f>IFERROR(__xludf.DUMMYFUNCTION("""COMPUTED_VALUE"""),"[]")</f>
        <v>[]</v>
      </c>
      <c r="R1231" s="148" t="str">
        <f>IFERROR(__xludf.DUMMYFUNCTION("""COMPUTED_VALUE"""),"[]")</f>
        <v>[]</v>
      </c>
      <c r="S1231" s="148" t="str">
        <f>IFERROR(__xludf.DUMMYFUNCTION("""COMPUTED_VALUE"""),"{""effect"":[{""typ"":""item_temporary_queue"",""val"":-1,""arg1"":1}]}")</f>
        <v>{"effect":[{"typ":"item_temporary_queue","val":-1,"arg1":1}]}</v>
      </c>
      <c r="T1231" s="148">
        <f>IFERROR(__xludf.DUMMYFUNCTION("""COMPUTED_VALUE"""),-1.0)</f>
        <v>-1</v>
      </c>
      <c r="U1231" s="148">
        <f>IFERROR(__xludf.DUMMYFUNCTION("""COMPUTED_VALUE"""),1.0)</f>
        <v>1</v>
      </c>
      <c r="V1231" s="148" t="str">
        <f>IFERROR(__xludf.DUMMYFUNCTION("""COMPUTED_VALUE"""),"[]")</f>
        <v>[]</v>
      </c>
      <c r="W1231" s="148">
        <f>IFERROR(__xludf.DUMMYFUNCTION("""COMPUTED_VALUE"""),1.174E7)</f>
        <v>11740000</v>
      </c>
      <c r="X1231" s="148">
        <f>IFERROR(__xludf.DUMMYFUNCTION("""COMPUTED_VALUE"""),0.0)</f>
        <v>0</v>
      </c>
      <c r="Y1231" s="148">
        <f>IFERROR(__xludf.DUMMYFUNCTION("""COMPUTED_VALUE"""),0.0)</f>
        <v>0</v>
      </c>
      <c r="Z1231" s="148"/>
    </row>
    <row r="1232">
      <c r="A1232" s="148">
        <f>IFERROR(__xludf.DUMMYFUNCTION("""COMPUTED_VALUE"""),1.1114455E7)</f>
        <v>11114455</v>
      </c>
      <c r="B1232" s="148" t="str">
        <f>IFERROR(__xludf.DUMMYFUNCTION("""COMPUTED_VALUE"""),"机甲治疗队列+1永久")</f>
        <v>机甲治疗队列+1永久</v>
      </c>
      <c r="C1232" s="148"/>
      <c r="D1232" s="148" t="str">
        <f>IFERROR(__xludf.DUMMYFUNCTION("""COMPUTED_VALUE"""),"item_temporary_queue")</f>
        <v>item_temporary_queue</v>
      </c>
      <c r="E1232" s="148">
        <f>IFERROR(__xludf.DUMMYFUNCTION("""COMPUTED_VALUE"""),14.0)</f>
        <v>14</v>
      </c>
      <c r="F1232" s="148">
        <f>IFERROR(__xludf.DUMMYFUNCTION("""COMPUTED_VALUE"""),300501.0)</f>
        <v>300501</v>
      </c>
      <c r="G1232" s="148">
        <f>IFERROR(__xludf.DUMMYFUNCTION("""COMPUTED_VALUE"""),1.5117632E7)</f>
        <v>15117632</v>
      </c>
      <c r="H1232" s="148">
        <f>IFERROR(__xludf.DUMMYFUNCTION("""COMPUTED_VALUE"""),1.5112564E7)</f>
        <v>15112564</v>
      </c>
      <c r="I1232" s="148" t="str">
        <f>IFERROR(__xludf.DUMMYFUNCTION("""COMPUTED_VALUE"""),"{}")</f>
        <v>{}</v>
      </c>
      <c r="J1232" s="148" t="str">
        <f>IFERROR(__xludf.DUMMYFUNCTION("""COMPUTED_VALUE"""),"{""typ"":""lc"",""txt"":""LC_IAP_mecha_heal_queue_pkg_title""}")</f>
        <v>{"typ":"lc","txt":"LC_IAP_mecha_heal_queue_pkg_title"}</v>
      </c>
      <c r="K1232" s="148" t="str">
        <f>IFERROR(__xludf.DUMMYFUNCTION("""COMPUTED_VALUE"""),"{""typ"":""lc"",""txt"":""LC_IAP_mecha_heal_queue_pkg_desc2""}")</f>
        <v>{"typ":"lc","txt":"LC_IAP_mecha_heal_queue_pkg_desc2"}</v>
      </c>
      <c r="L1232" s="148" t="str">
        <f>IFERROR(__xludf.DUMMYFUNCTION("""COMPUTED_VALUE"""),"{}")</f>
        <v>{}</v>
      </c>
      <c r="M1232" s="148">
        <f>IFERROR(__xludf.DUMMYFUNCTION("""COMPUTED_VALUE"""),50000.0)</f>
        <v>50000</v>
      </c>
      <c r="N1232" s="148">
        <f>IFERROR(__xludf.DUMMYFUNCTION("""COMPUTED_VALUE"""),999999.0)</f>
        <v>999999</v>
      </c>
      <c r="O1232" s="148">
        <f>IFERROR(__xludf.DUMMYFUNCTION("""COMPUTED_VALUE"""),99999.0)</f>
        <v>99999</v>
      </c>
      <c r="P1232" s="148">
        <f>IFERROR(__xludf.DUMMYFUNCTION("""COMPUTED_VALUE"""),1.0)</f>
        <v>1</v>
      </c>
      <c r="Q1232" s="148" t="str">
        <f>IFERROR(__xludf.DUMMYFUNCTION("""COMPUTED_VALUE"""),"[]")</f>
        <v>[]</v>
      </c>
      <c r="R1232" s="148" t="str">
        <f>IFERROR(__xludf.DUMMYFUNCTION("""COMPUTED_VALUE"""),"[]")</f>
        <v>[]</v>
      </c>
      <c r="S1232" s="148" t="str">
        <f>IFERROR(__xludf.DUMMYFUNCTION("""COMPUTED_VALUE"""),"{""effect"":[{""typ"":""item_temporary_queue"",""val"":-1,""arg1"":11}]}")</f>
        <v>{"effect":[{"typ":"item_temporary_queue","val":-1,"arg1":11}]}</v>
      </c>
      <c r="T1232" s="148">
        <f>IFERROR(__xludf.DUMMYFUNCTION("""COMPUTED_VALUE"""),-1.0)</f>
        <v>-1</v>
      </c>
      <c r="U1232" s="148">
        <f>IFERROR(__xludf.DUMMYFUNCTION("""COMPUTED_VALUE"""),1.0)</f>
        <v>1</v>
      </c>
      <c r="V1232" s="148" t="str">
        <f>IFERROR(__xludf.DUMMYFUNCTION("""COMPUTED_VALUE"""),"[]")</f>
        <v>[]</v>
      </c>
      <c r="W1232" s="148">
        <f>IFERROR(__xludf.DUMMYFUNCTION("""COMPUTED_VALUE"""),1.174E7)</f>
        <v>11740000</v>
      </c>
      <c r="X1232" s="148">
        <f>IFERROR(__xludf.DUMMYFUNCTION("""COMPUTED_VALUE"""),0.0)</f>
        <v>0</v>
      </c>
      <c r="Y1232" s="148">
        <f>IFERROR(__xludf.DUMMYFUNCTION("""COMPUTED_VALUE"""),0.0)</f>
        <v>0</v>
      </c>
      <c r="Z1232" s="148"/>
    </row>
    <row r="1233">
      <c r="A1233" s="148">
        <f>IFERROR(__xludf.DUMMYFUNCTION("""COMPUTED_VALUE"""),1.1114456E7)</f>
        <v>11114456</v>
      </c>
      <c r="B1233" s="148" t="str">
        <f>IFERROR(__xludf.DUMMYFUNCTION("""COMPUTED_VALUE"""),"额外行军队列永久")</f>
        <v>额外行军队列永久</v>
      </c>
      <c r="C1233" s="148"/>
      <c r="D1233" s="148" t="str">
        <f>IFERROR(__xludf.DUMMYFUNCTION("""COMPUTED_VALUE"""),"item_buff")</f>
        <v>item_buff</v>
      </c>
      <c r="E1233" s="148">
        <f>IFERROR(__xludf.DUMMYFUNCTION("""COMPUTED_VALUE"""),14.0)</f>
        <v>14</v>
      </c>
      <c r="F1233" s="148">
        <f>IFERROR(__xludf.DUMMYFUNCTION("""COMPUTED_VALUE"""),300501.0)</f>
        <v>300501</v>
      </c>
      <c r="G1233" s="148">
        <f>IFERROR(__xludf.DUMMYFUNCTION("""COMPUTED_VALUE"""),1.5118799E7)</f>
        <v>15118799</v>
      </c>
      <c r="H1233" s="148">
        <f>IFERROR(__xludf.DUMMYFUNCTION("""COMPUTED_VALUE"""),1.5112564E7)</f>
        <v>15112564</v>
      </c>
      <c r="I1233" s="148" t="str">
        <f>IFERROR(__xludf.DUMMYFUNCTION("""COMPUTED_VALUE"""),"{}")</f>
        <v>{}</v>
      </c>
      <c r="J1233" s="148" t="str">
        <f>IFERROR(__xludf.DUMMYFUNCTION("""COMPUTED_VALUE"""),"{""typ"":""lc"",""txt"":""LC_ITEM_extra_troop""}")</f>
        <v>{"typ":"lc","txt":"LC_ITEM_extra_troop"}</v>
      </c>
      <c r="K1233" s="148" t="str">
        <f>IFERROR(__xludf.DUMMYFUNCTION("""COMPUTED_VALUE"""),"{}")</f>
        <v>{}</v>
      </c>
      <c r="L1233" s="148" t="str">
        <f>IFERROR(__xludf.DUMMYFUNCTION("""COMPUTED_VALUE"""),"{}")</f>
        <v>{}</v>
      </c>
      <c r="M1233" s="148">
        <f>IFERROR(__xludf.DUMMYFUNCTION("""COMPUTED_VALUE"""),50000.0)</f>
        <v>50000</v>
      </c>
      <c r="N1233" s="148">
        <f>IFERROR(__xludf.DUMMYFUNCTION("""COMPUTED_VALUE"""),999999.0)</f>
        <v>999999</v>
      </c>
      <c r="O1233" s="148">
        <f>IFERROR(__xludf.DUMMYFUNCTION("""COMPUTED_VALUE"""),99999.0)</f>
        <v>99999</v>
      </c>
      <c r="P1233" s="148">
        <f>IFERROR(__xludf.DUMMYFUNCTION("""COMPUTED_VALUE"""),1.0)</f>
        <v>1</v>
      </c>
      <c r="Q1233" s="148" t="str">
        <f>IFERROR(__xludf.DUMMYFUNCTION("""COMPUTED_VALUE"""),"[]")</f>
        <v>[]</v>
      </c>
      <c r="R1233" s="148" t="str">
        <f>IFERROR(__xludf.DUMMYFUNCTION("""COMPUTED_VALUE"""),"[]")</f>
        <v>[]</v>
      </c>
      <c r="S1233" s="148" t="str">
        <f>IFERROR(__xludf.DUMMYFUNCTION("""COMPUTED_VALUE"""),"{""effect"":[{""typ"":""buff"",""id"":12112059,""val"":-1,""arg1"":1}]}")</f>
        <v>{"effect":[{"typ":"buff","id":12112059,"val":-1,"arg1":1}]}</v>
      </c>
      <c r="T1233" s="148">
        <f>IFERROR(__xludf.DUMMYFUNCTION("""COMPUTED_VALUE"""),-1.0)</f>
        <v>-1</v>
      </c>
      <c r="U1233" s="148">
        <f>IFERROR(__xludf.DUMMYFUNCTION("""COMPUTED_VALUE"""),1.0)</f>
        <v>1</v>
      </c>
      <c r="V1233" s="148" t="str">
        <f>IFERROR(__xludf.DUMMYFUNCTION("""COMPUTED_VALUE"""),"[]")</f>
        <v>[]</v>
      </c>
      <c r="W1233" s="148">
        <f>IFERROR(__xludf.DUMMYFUNCTION("""COMPUTED_VALUE"""),1.174E7)</f>
        <v>11740000</v>
      </c>
      <c r="X1233" s="148">
        <f>IFERROR(__xludf.DUMMYFUNCTION("""COMPUTED_VALUE"""),0.0)</f>
        <v>0</v>
      </c>
      <c r="Y1233" s="148">
        <f>IFERROR(__xludf.DUMMYFUNCTION("""COMPUTED_VALUE"""),0.0)</f>
        <v>0</v>
      </c>
      <c r="Z1233" s="148"/>
    </row>
    <row r="1234">
      <c r="A1234" s="148">
        <f>IFERROR(__xludf.DUMMYFUNCTION("""COMPUTED_VALUE"""),1.1114457E7)</f>
        <v>11114457</v>
      </c>
      <c r="B1234" s="148" t="str">
        <f>IFERROR(__xludf.DUMMYFUNCTION("""COMPUTED_VALUE"""),"永久资源增产特权10%-粮食")</f>
        <v>永久资源增产特权10%-粮食</v>
      </c>
      <c r="C1234" s="148"/>
      <c r="D1234" s="148" t="str">
        <f>IFERROR(__xludf.DUMMYFUNCTION("""COMPUTED_VALUE"""),"item_buff")</f>
        <v>item_buff</v>
      </c>
      <c r="E1234" s="148">
        <f>IFERROR(__xludf.DUMMYFUNCTION("""COMPUTED_VALUE"""),14.0)</f>
        <v>14</v>
      </c>
      <c r="F1234" s="148">
        <f>IFERROR(__xludf.DUMMYFUNCTION("""COMPUTED_VALUE"""),300501.0)</f>
        <v>300501</v>
      </c>
      <c r="G1234" s="148">
        <f>IFERROR(__xludf.DUMMYFUNCTION("""COMPUTED_VALUE"""),1.51102334E8)</f>
        <v>151102334</v>
      </c>
      <c r="H1234" s="148">
        <f>IFERROR(__xludf.DUMMYFUNCTION("""COMPUTED_VALUE"""),1.5112564E7)</f>
        <v>15112564</v>
      </c>
      <c r="I1234" s="148" t="str">
        <f>IFERROR(__xludf.DUMMYFUNCTION("""COMPUTED_VALUE"""),"{}")</f>
        <v>{}</v>
      </c>
      <c r="J1234" s="148" t="str">
        <f>IFERROR(__xludf.DUMMYFUNCTION("""COMPUTED_VALUE"""),"{""typ"":""lc"",""txt"":""LC_ITEM_must_have_energy_item1""}")</f>
        <v>{"typ":"lc","txt":"LC_ITEM_must_have_energy_item1"}</v>
      </c>
      <c r="K1234" s="148" t="str">
        <f>IFERROR(__xludf.DUMMYFUNCTION("""COMPUTED_VALUE"""),"{""typ"":""lc"",""txt"":""LC_ITEM_must_have_energy_item_desc3""}")</f>
        <v>{"typ":"lc","txt":"LC_ITEM_must_have_energy_item_desc3"}</v>
      </c>
      <c r="L1234" s="148" t="str">
        <f>IFERROR(__xludf.DUMMYFUNCTION("""COMPUTED_VALUE"""),"{}")</f>
        <v>{}</v>
      </c>
      <c r="M1234" s="148">
        <f>IFERROR(__xludf.DUMMYFUNCTION("""COMPUTED_VALUE"""),50000.0)</f>
        <v>50000</v>
      </c>
      <c r="N1234" s="148">
        <f>IFERROR(__xludf.DUMMYFUNCTION("""COMPUTED_VALUE"""),999999.0)</f>
        <v>999999</v>
      </c>
      <c r="O1234" s="148">
        <f>IFERROR(__xludf.DUMMYFUNCTION("""COMPUTED_VALUE"""),99999.0)</f>
        <v>99999</v>
      </c>
      <c r="P1234" s="148">
        <f>IFERROR(__xludf.DUMMYFUNCTION("""COMPUTED_VALUE"""),1.0)</f>
        <v>1</v>
      </c>
      <c r="Q1234" s="148" t="str">
        <f>IFERROR(__xludf.DUMMYFUNCTION("""COMPUTED_VALUE"""),"[]")</f>
        <v>[]</v>
      </c>
      <c r="R1234" s="148" t="str">
        <f>IFERROR(__xludf.DUMMYFUNCTION("""COMPUTED_VALUE"""),"[]")</f>
        <v>[]</v>
      </c>
      <c r="S1234" s="148" t="str">
        <f>IFERROR(__xludf.DUMMYFUNCTION("""COMPUTED_VALUE"""),"{""effect"":[{""typ"":""buff"",""id"":121140940,""val"":-1,""arg1"":0.1}]}")</f>
        <v>{"effect":[{"typ":"buff","id":121140940,"val":-1,"arg1":0.1}]}</v>
      </c>
      <c r="T1234" s="148">
        <f>IFERROR(__xludf.DUMMYFUNCTION("""COMPUTED_VALUE"""),-1.0)</f>
        <v>-1</v>
      </c>
      <c r="U1234" s="148">
        <f>IFERROR(__xludf.DUMMYFUNCTION("""COMPUTED_VALUE"""),1.0)</f>
        <v>1</v>
      </c>
      <c r="V1234" s="148" t="str">
        <f>IFERROR(__xludf.DUMMYFUNCTION("""COMPUTED_VALUE"""),"[]")</f>
        <v>[]</v>
      </c>
      <c r="W1234" s="148">
        <f>IFERROR(__xludf.DUMMYFUNCTION("""COMPUTED_VALUE"""),1.174E7)</f>
        <v>11740000</v>
      </c>
      <c r="X1234" s="148">
        <f>IFERROR(__xludf.DUMMYFUNCTION("""COMPUTED_VALUE"""),0.0)</f>
        <v>0</v>
      </c>
      <c r="Y1234" s="148">
        <f>IFERROR(__xludf.DUMMYFUNCTION("""COMPUTED_VALUE"""),0.0)</f>
        <v>0</v>
      </c>
      <c r="Z1234" s="148"/>
    </row>
    <row r="1235">
      <c r="A1235" s="148">
        <f>IFERROR(__xludf.DUMMYFUNCTION("""COMPUTED_VALUE"""),1.1114458E7)</f>
        <v>11114458</v>
      </c>
      <c r="B1235" s="148" t="str">
        <f>IFERROR(__xludf.DUMMYFUNCTION("""COMPUTED_VALUE"""),"永久资源增产特权15%-粮食")</f>
        <v>永久资源增产特权15%-粮食</v>
      </c>
      <c r="C1235" s="148"/>
      <c r="D1235" s="148" t="str">
        <f>IFERROR(__xludf.DUMMYFUNCTION("""COMPUTED_VALUE"""),"item_buff")</f>
        <v>item_buff</v>
      </c>
      <c r="E1235" s="148">
        <f>IFERROR(__xludf.DUMMYFUNCTION("""COMPUTED_VALUE"""),14.0)</f>
        <v>14</v>
      </c>
      <c r="F1235" s="148">
        <f>IFERROR(__xludf.DUMMYFUNCTION("""COMPUTED_VALUE"""),300501.0)</f>
        <v>300501</v>
      </c>
      <c r="G1235" s="148">
        <f>IFERROR(__xludf.DUMMYFUNCTION("""COMPUTED_VALUE"""),1.51102334E8)</f>
        <v>151102334</v>
      </c>
      <c r="H1235" s="148">
        <f>IFERROR(__xludf.DUMMYFUNCTION("""COMPUTED_VALUE"""),1.5112564E7)</f>
        <v>15112564</v>
      </c>
      <c r="I1235" s="148" t="str">
        <f>IFERROR(__xludf.DUMMYFUNCTION("""COMPUTED_VALUE"""),"{}")</f>
        <v>{}</v>
      </c>
      <c r="J1235" s="148" t="str">
        <f>IFERROR(__xludf.DUMMYFUNCTION("""COMPUTED_VALUE"""),"{""typ"":""lc"",""txt"":""LC_ITEM_must_have_energy_item1""}")</f>
        <v>{"typ":"lc","txt":"LC_ITEM_must_have_energy_item1"}</v>
      </c>
      <c r="K1235" s="148" t="str">
        <f>IFERROR(__xludf.DUMMYFUNCTION("""COMPUTED_VALUE"""),"{""typ"":""lc"",""txt"":""LC_ITEM_must_have_energy_item_desc4""}")</f>
        <v>{"typ":"lc","txt":"LC_ITEM_must_have_energy_item_desc4"}</v>
      </c>
      <c r="L1235" s="148" t="str">
        <f>IFERROR(__xludf.DUMMYFUNCTION("""COMPUTED_VALUE"""),"{}")</f>
        <v>{}</v>
      </c>
      <c r="M1235" s="148">
        <f>IFERROR(__xludf.DUMMYFUNCTION("""COMPUTED_VALUE"""),50000.0)</f>
        <v>50000</v>
      </c>
      <c r="N1235" s="148">
        <f>IFERROR(__xludf.DUMMYFUNCTION("""COMPUTED_VALUE"""),999999.0)</f>
        <v>999999</v>
      </c>
      <c r="O1235" s="148">
        <f>IFERROR(__xludf.DUMMYFUNCTION("""COMPUTED_VALUE"""),99999.0)</f>
        <v>99999</v>
      </c>
      <c r="P1235" s="148">
        <f>IFERROR(__xludf.DUMMYFUNCTION("""COMPUTED_VALUE"""),1.0)</f>
        <v>1</v>
      </c>
      <c r="Q1235" s="148" t="str">
        <f>IFERROR(__xludf.DUMMYFUNCTION("""COMPUTED_VALUE"""),"[]")</f>
        <v>[]</v>
      </c>
      <c r="R1235" s="148" t="str">
        <f>IFERROR(__xludf.DUMMYFUNCTION("""COMPUTED_VALUE"""),"[]")</f>
        <v>[]</v>
      </c>
      <c r="S1235" s="148" t="str">
        <f>IFERROR(__xludf.DUMMYFUNCTION("""COMPUTED_VALUE"""),"{""effect"":[{""typ"":""buff"",""id"":121140940,""val"":-1,""arg1"":0.15}]}")</f>
        <v>{"effect":[{"typ":"buff","id":121140940,"val":-1,"arg1":0.15}]}</v>
      </c>
      <c r="T1235" s="148">
        <f>IFERROR(__xludf.DUMMYFUNCTION("""COMPUTED_VALUE"""),-1.0)</f>
        <v>-1</v>
      </c>
      <c r="U1235" s="148">
        <f>IFERROR(__xludf.DUMMYFUNCTION("""COMPUTED_VALUE"""),1.0)</f>
        <v>1</v>
      </c>
      <c r="V1235" s="148" t="str">
        <f>IFERROR(__xludf.DUMMYFUNCTION("""COMPUTED_VALUE"""),"[]")</f>
        <v>[]</v>
      </c>
      <c r="W1235" s="148">
        <f>IFERROR(__xludf.DUMMYFUNCTION("""COMPUTED_VALUE"""),1.174E7)</f>
        <v>11740000</v>
      </c>
      <c r="X1235" s="148">
        <f>IFERROR(__xludf.DUMMYFUNCTION("""COMPUTED_VALUE"""),0.0)</f>
        <v>0</v>
      </c>
      <c r="Y1235" s="148">
        <f>IFERROR(__xludf.DUMMYFUNCTION("""COMPUTED_VALUE"""),0.0)</f>
        <v>0</v>
      </c>
      <c r="Z1235" s="148"/>
    </row>
    <row r="1236">
      <c r="A1236" s="148">
        <f>IFERROR(__xludf.DUMMYFUNCTION("""COMPUTED_VALUE"""),1.1114459E7)</f>
        <v>11114459</v>
      </c>
      <c r="B1236" s="148" t="str">
        <f>IFERROR(__xludf.DUMMYFUNCTION("""COMPUTED_VALUE"""),"永久胶囊研制特权15%")</f>
        <v>永久胶囊研制特权15%</v>
      </c>
      <c r="C1236" s="148"/>
      <c r="D1236" s="148" t="str">
        <f>IFERROR(__xludf.DUMMYFUNCTION("""COMPUTED_VALUE"""),"item_buff")</f>
        <v>item_buff</v>
      </c>
      <c r="E1236" s="148">
        <f>IFERROR(__xludf.DUMMYFUNCTION("""COMPUTED_VALUE"""),14.0)</f>
        <v>14</v>
      </c>
      <c r="F1236" s="148">
        <f>IFERROR(__xludf.DUMMYFUNCTION("""COMPUTED_VALUE"""),300501.0)</f>
        <v>300501</v>
      </c>
      <c r="G1236" s="148">
        <f>IFERROR(__xludf.DUMMYFUNCTION("""COMPUTED_VALUE"""),1.51102336E8)</f>
        <v>151102336</v>
      </c>
      <c r="H1236" s="148">
        <f>IFERROR(__xludf.DUMMYFUNCTION("""COMPUTED_VALUE"""),1.5112564E7)</f>
        <v>15112564</v>
      </c>
      <c r="I1236" s="148" t="str">
        <f>IFERROR(__xludf.DUMMYFUNCTION("""COMPUTED_VALUE"""),"{}")</f>
        <v>{}</v>
      </c>
      <c r="J1236" s="148" t="str">
        <f>IFERROR(__xludf.DUMMYFUNCTION("""COMPUTED_VALUE"""),"{""typ"":""lc"",""txt"":""LC_ITEM_must_have_capsule_item""}")</f>
        <v>{"typ":"lc","txt":"LC_ITEM_must_have_capsule_item"}</v>
      </c>
      <c r="K1236" s="148" t="str">
        <f>IFERROR(__xludf.DUMMYFUNCTION("""COMPUTED_VALUE"""),"{""typ"":""lc"",""txt"":""LC_ITEM_must_have_capsule_item_desc1""}")</f>
        <v>{"typ":"lc","txt":"LC_ITEM_must_have_capsule_item_desc1"}</v>
      </c>
      <c r="L1236" s="148" t="str">
        <f>IFERROR(__xludf.DUMMYFUNCTION("""COMPUTED_VALUE"""),"{}")</f>
        <v>{}</v>
      </c>
      <c r="M1236" s="148">
        <f>IFERROR(__xludf.DUMMYFUNCTION("""COMPUTED_VALUE"""),50000.0)</f>
        <v>50000</v>
      </c>
      <c r="N1236" s="148">
        <f>IFERROR(__xludf.DUMMYFUNCTION("""COMPUTED_VALUE"""),999999.0)</f>
        <v>999999</v>
      </c>
      <c r="O1236" s="148">
        <f>IFERROR(__xludf.DUMMYFUNCTION("""COMPUTED_VALUE"""),99999.0)</f>
        <v>99999</v>
      </c>
      <c r="P1236" s="148">
        <f>IFERROR(__xludf.DUMMYFUNCTION("""COMPUTED_VALUE"""),1.0)</f>
        <v>1</v>
      </c>
      <c r="Q1236" s="148" t="str">
        <f>IFERROR(__xludf.DUMMYFUNCTION("""COMPUTED_VALUE"""),"[]")</f>
        <v>[]</v>
      </c>
      <c r="R1236" s="148" t="str">
        <f>IFERROR(__xludf.DUMMYFUNCTION("""COMPUTED_VALUE"""),"[]")</f>
        <v>[]</v>
      </c>
      <c r="S1236" s="148" t="str">
        <f>IFERROR(__xludf.DUMMYFUNCTION("""COMPUTED_VALUE"""),"{""effect"":[{""typ"":""buff"",""id"":121140942,""val"":-1,""arg1"":0.15}]}")</f>
        <v>{"effect":[{"typ":"buff","id":121140942,"val":-1,"arg1":0.15}]}</v>
      </c>
      <c r="T1236" s="148">
        <f>IFERROR(__xludf.DUMMYFUNCTION("""COMPUTED_VALUE"""),-1.0)</f>
        <v>-1</v>
      </c>
      <c r="U1236" s="148">
        <f>IFERROR(__xludf.DUMMYFUNCTION("""COMPUTED_VALUE"""),1.0)</f>
        <v>1</v>
      </c>
      <c r="V1236" s="148" t="str">
        <f>IFERROR(__xludf.DUMMYFUNCTION("""COMPUTED_VALUE"""),"[]")</f>
        <v>[]</v>
      </c>
      <c r="W1236" s="148">
        <f>IFERROR(__xludf.DUMMYFUNCTION("""COMPUTED_VALUE"""),1.174E7)</f>
        <v>11740000</v>
      </c>
      <c r="X1236" s="148">
        <f>IFERROR(__xludf.DUMMYFUNCTION("""COMPUTED_VALUE"""),0.0)</f>
        <v>0</v>
      </c>
      <c r="Y1236" s="148">
        <f>IFERROR(__xludf.DUMMYFUNCTION("""COMPUTED_VALUE"""),0.0)</f>
        <v>0</v>
      </c>
      <c r="Z1236" s="148"/>
    </row>
    <row r="1237">
      <c r="A1237" s="148">
        <f>IFERROR(__xludf.DUMMYFUNCTION("""COMPUTED_VALUE"""),1.111446E7)</f>
        <v>11114460</v>
      </c>
      <c r="B1237" s="148" t="str">
        <f>IFERROR(__xludf.DUMMYFUNCTION("""COMPUTED_VALUE"""),"永久胶囊研制特权20%")</f>
        <v>永久胶囊研制特权20%</v>
      </c>
      <c r="C1237" s="148"/>
      <c r="D1237" s="148" t="str">
        <f>IFERROR(__xludf.DUMMYFUNCTION("""COMPUTED_VALUE"""),"item_buff")</f>
        <v>item_buff</v>
      </c>
      <c r="E1237" s="148">
        <f>IFERROR(__xludf.DUMMYFUNCTION("""COMPUTED_VALUE"""),14.0)</f>
        <v>14</v>
      </c>
      <c r="F1237" s="148">
        <f>IFERROR(__xludf.DUMMYFUNCTION("""COMPUTED_VALUE"""),300501.0)</f>
        <v>300501</v>
      </c>
      <c r="G1237" s="148">
        <f>IFERROR(__xludf.DUMMYFUNCTION("""COMPUTED_VALUE"""),1.51102336E8)</f>
        <v>151102336</v>
      </c>
      <c r="H1237" s="148">
        <f>IFERROR(__xludf.DUMMYFUNCTION("""COMPUTED_VALUE"""),1.5112564E7)</f>
        <v>15112564</v>
      </c>
      <c r="I1237" s="148" t="str">
        <f>IFERROR(__xludf.DUMMYFUNCTION("""COMPUTED_VALUE"""),"{}")</f>
        <v>{}</v>
      </c>
      <c r="J1237" s="148" t="str">
        <f>IFERROR(__xludf.DUMMYFUNCTION("""COMPUTED_VALUE"""),"{""typ"":""lc"",""txt"":""LC_ITEM_must_have_capsule_item""}")</f>
        <v>{"typ":"lc","txt":"LC_ITEM_must_have_capsule_item"}</v>
      </c>
      <c r="K1237" s="148" t="str">
        <f>IFERROR(__xludf.DUMMYFUNCTION("""COMPUTED_VALUE"""),"{""typ"":""lc"",""txt"":""LC_ITEM_must_have_capsule_item_desc2""}")</f>
        <v>{"typ":"lc","txt":"LC_ITEM_must_have_capsule_item_desc2"}</v>
      </c>
      <c r="L1237" s="148" t="str">
        <f>IFERROR(__xludf.DUMMYFUNCTION("""COMPUTED_VALUE"""),"{}")</f>
        <v>{}</v>
      </c>
      <c r="M1237" s="148">
        <f>IFERROR(__xludf.DUMMYFUNCTION("""COMPUTED_VALUE"""),50000.0)</f>
        <v>50000</v>
      </c>
      <c r="N1237" s="148">
        <f>IFERROR(__xludf.DUMMYFUNCTION("""COMPUTED_VALUE"""),999999.0)</f>
        <v>999999</v>
      </c>
      <c r="O1237" s="148">
        <f>IFERROR(__xludf.DUMMYFUNCTION("""COMPUTED_VALUE"""),99999.0)</f>
        <v>99999</v>
      </c>
      <c r="P1237" s="148">
        <f>IFERROR(__xludf.DUMMYFUNCTION("""COMPUTED_VALUE"""),1.0)</f>
        <v>1</v>
      </c>
      <c r="Q1237" s="148" t="str">
        <f>IFERROR(__xludf.DUMMYFUNCTION("""COMPUTED_VALUE"""),"[]")</f>
        <v>[]</v>
      </c>
      <c r="R1237" s="148" t="str">
        <f>IFERROR(__xludf.DUMMYFUNCTION("""COMPUTED_VALUE"""),"[]")</f>
        <v>[]</v>
      </c>
      <c r="S1237" s="148" t="str">
        <f>IFERROR(__xludf.DUMMYFUNCTION("""COMPUTED_VALUE"""),"{""effect"":[{""typ"":""buff"",""id"":121140942,""val"":-1,""arg1"":0.2}]}")</f>
        <v>{"effect":[{"typ":"buff","id":121140942,"val":-1,"arg1":0.2}]}</v>
      </c>
      <c r="T1237" s="148">
        <f>IFERROR(__xludf.DUMMYFUNCTION("""COMPUTED_VALUE"""),-1.0)</f>
        <v>-1</v>
      </c>
      <c r="U1237" s="148">
        <f>IFERROR(__xludf.DUMMYFUNCTION("""COMPUTED_VALUE"""),1.0)</f>
        <v>1</v>
      </c>
      <c r="V1237" s="148" t="str">
        <f>IFERROR(__xludf.DUMMYFUNCTION("""COMPUTED_VALUE"""),"[]")</f>
        <v>[]</v>
      </c>
      <c r="W1237" s="148">
        <f>IFERROR(__xludf.DUMMYFUNCTION("""COMPUTED_VALUE"""),1.174E7)</f>
        <v>11740000</v>
      </c>
      <c r="X1237" s="148">
        <f>IFERROR(__xludf.DUMMYFUNCTION("""COMPUTED_VALUE"""),0.0)</f>
        <v>0</v>
      </c>
      <c r="Y1237" s="148">
        <f>IFERROR(__xludf.DUMMYFUNCTION("""COMPUTED_VALUE"""),0.0)</f>
        <v>0</v>
      </c>
      <c r="Z1237" s="148"/>
    </row>
    <row r="1238">
      <c r="A1238" s="148">
        <f>IFERROR(__xludf.DUMMYFUNCTION("""COMPUTED_VALUE"""),1.1114461E7)</f>
        <v>11114461</v>
      </c>
      <c r="B1238" s="148" t="str">
        <f>IFERROR(__xludf.DUMMYFUNCTION("""COMPUTED_VALUE"""),"基因置换产出特权20%")</f>
        <v>基因置换产出特权20%</v>
      </c>
      <c r="C1238" s="148"/>
      <c r="D1238" s="148" t="str">
        <f>IFERROR(__xludf.DUMMYFUNCTION("""COMPUTED_VALUE"""),"item_buff")</f>
        <v>item_buff</v>
      </c>
      <c r="E1238" s="148">
        <f>IFERROR(__xludf.DUMMYFUNCTION("""COMPUTED_VALUE"""),14.0)</f>
        <v>14</v>
      </c>
      <c r="F1238" s="148">
        <f>IFERROR(__xludf.DUMMYFUNCTION("""COMPUTED_VALUE"""),300501.0)</f>
        <v>300501</v>
      </c>
      <c r="G1238" s="148">
        <f>IFERROR(__xludf.DUMMYFUNCTION("""COMPUTED_VALUE"""),1.51102337E8)</f>
        <v>151102337</v>
      </c>
      <c r="H1238" s="148">
        <f>IFERROR(__xludf.DUMMYFUNCTION("""COMPUTED_VALUE"""),1.5112564E7)</f>
        <v>15112564</v>
      </c>
      <c r="I1238" s="148" t="str">
        <f>IFERROR(__xludf.DUMMYFUNCTION("""COMPUTED_VALUE"""),"{}")</f>
        <v>{}</v>
      </c>
      <c r="J1238" s="148" t="str">
        <f>IFERROR(__xludf.DUMMYFUNCTION("""COMPUTED_VALUE"""),"{""typ"":""lc"",""txt"":""LC_ITEM_must_have_gene_item""}")</f>
        <v>{"typ":"lc","txt":"LC_ITEM_must_have_gene_item"}</v>
      </c>
      <c r="K1238" s="148" t="str">
        <f>IFERROR(__xludf.DUMMYFUNCTION("""COMPUTED_VALUE"""),"{""typ"":""lc"",""txt"":""LC_ITEM_must_have_gene_item_desc1""}")</f>
        <v>{"typ":"lc","txt":"LC_ITEM_must_have_gene_item_desc1"}</v>
      </c>
      <c r="L1238" s="148" t="str">
        <f>IFERROR(__xludf.DUMMYFUNCTION("""COMPUTED_VALUE"""),"{}")</f>
        <v>{}</v>
      </c>
      <c r="M1238" s="148">
        <f>IFERROR(__xludf.DUMMYFUNCTION("""COMPUTED_VALUE"""),50000.0)</f>
        <v>50000</v>
      </c>
      <c r="N1238" s="148">
        <f>IFERROR(__xludf.DUMMYFUNCTION("""COMPUTED_VALUE"""),999999.0)</f>
        <v>999999</v>
      </c>
      <c r="O1238" s="148">
        <f>IFERROR(__xludf.DUMMYFUNCTION("""COMPUTED_VALUE"""),99999.0)</f>
        <v>99999</v>
      </c>
      <c r="P1238" s="148">
        <f>IFERROR(__xludf.DUMMYFUNCTION("""COMPUTED_VALUE"""),1.0)</f>
        <v>1</v>
      </c>
      <c r="Q1238" s="148" t="str">
        <f>IFERROR(__xludf.DUMMYFUNCTION("""COMPUTED_VALUE"""),"[]")</f>
        <v>[]</v>
      </c>
      <c r="R1238" s="148" t="str">
        <f>IFERROR(__xludf.DUMMYFUNCTION("""COMPUTED_VALUE"""),"[]")</f>
        <v>[]</v>
      </c>
      <c r="S1238" s="148" t="str">
        <f>IFERROR(__xludf.DUMMYFUNCTION("""COMPUTED_VALUE"""),"{""effect"":[{""typ"":""buff"",""id"":121140943,""val"":-1,""arg1"":0.2}]}")</f>
        <v>{"effect":[{"typ":"buff","id":121140943,"val":-1,"arg1":0.2}]}</v>
      </c>
      <c r="T1238" s="148">
        <f>IFERROR(__xludf.DUMMYFUNCTION("""COMPUTED_VALUE"""),-1.0)</f>
        <v>-1</v>
      </c>
      <c r="U1238" s="148">
        <f>IFERROR(__xludf.DUMMYFUNCTION("""COMPUTED_VALUE"""),1.0)</f>
        <v>1</v>
      </c>
      <c r="V1238" s="148" t="str">
        <f>IFERROR(__xludf.DUMMYFUNCTION("""COMPUTED_VALUE"""),"[]")</f>
        <v>[]</v>
      </c>
      <c r="W1238" s="148">
        <f>IFERROR(__xludf.DUMMYFUNCTION("""COMPUTED_VALUE"""),1.174E7)</f>
        <v>11740000</v>
      </c>
      <c r="X1238" s="148">
        <f>IFERROR(__xludf.DUMMYFUNCTION("""COMPUTED_VALUE"""),0.0)</f>
        <v>0</v>
      </c>
      <c r="Y1238" s="148">
        <f>IFERROR(__xludf.DUMMYFUNCTION("""COMPUTED_VALUE"""),0.0)</f>
        <v>0</v>
      </c>
      <c r="Z1238" s="148"/>
    </row>
    <row r="1239">
      <c r="A1239" s="148">
        <f>IFERROR(__xludf.DUMMYFUNCTION("""COMPUTED_VALUE"""),1.1114462E7)</f>
        <v>11114462</v>
      </c>
      <c r="B1239" s="148" t="str">
        <f>IFERROR(__xludf.DUMMYFUNCTION("""COMPUTED_VALUE"""),"基因置换产出特权40%")</f>
        <v>基因置换产出特权40%</v>
      </c>
      <c r="C1239" s="148"/>
      <c r="D1239" s="148" t="str">
        <f>IFERROR(__xludf.DUMMYFUNCTION("""COMPUTED_VALUE"""),"item_buff")</f>
        <v>item_buff</v>
      </c>
      <c r="E1239" s="148">
        <f>IFERROR(__xludf.DUMMYFUNCTION("""COMPUTED_VALUE"""),14.0)</f>
        <v>14</v>
      </c>
      <c r="F1239" s="148">
        <f>IFERROR(__xludf.DUMMYFUNCTION("""COMPUTED_VALUE"""),300501.0)</f>
        <v>300501</v>
      </c>
      <c r="G1239" s="148">
        <f>IFERROR(__xludf.DUMMYFUNCTION("""COMPUTED_VALUE"""),1.51102337E8)</f>
        <v>151102337</v>
      </c>
      <c r="H1239" s="148">
        <f>IFERROR(__xludf.DUMMYFUNCTION("""COMPUTED_VALUE"""),1.5112564E7)</f>
        <v>15112564</v>
      </c>
      <c r="I1239" s="148" t="str">
        <f>IFERROR(__xludf.DUMMYFUNCTION("""COMPUTED_VALUE"""),"{}")</f>
        <v>{}</v>
      </c>
      <c r="J1239" s="148" t="str">
        <f>IFERROR(__xludf.DUMMYFUNCTION("""COMPUTED_VALUE"""),"{""typ"":""lc"",""txt"":""LC_ITEM_must_have_gene_item""}")</f>
        <v>{"typ":"lc","txt":"LC_ITEM_must_have_gene_item"}</v>
      </c>
      <c r="K1239" s="148" t="str">
        <f>IFERROR(__xludf.DUMMYFUNCTION("""COMPUTED_VALUE"""),"{""typ"":""lc"",""txt"":""LC_ITEM_must_have_gene_item_desc2""}")</f>
        <v>{"typ":"lc","txt":"LC_ITEM_must_have_gene_item_desc2"}</v>
      </c>
      <c r="L1239" s="148" t="str">
        <f>IFERROR(__xludf.DUMMYFUNCTION("""COMPUTED_VALUE"""),"{}")</f>
        <v>{}</v>
      </c>
      <c r="M1239" s="148">
        <f>IFERROR(__xludf.DUMMYFUNCTION("""COMPUTED_VALUE"""),50000.0)</f>
        <v>50000</v>
      </c>
      <c r="N1239" s="148">
        <f>IFERROR(__xludf.DUMMYFUNCTION("""COMPUTED_VALUE"""),999999.0)</f>
        <v>999999</v>
      </c>
      <c r="O1239" s="148">
        <f>IFERROR(__xludf.DUMMYFUNCTION("""COMPUTED_VALUE"""),99999.0)</f>
        <v>99999</v>
      </c>
      <c r="P1239" s="148">
        <f>IFERROR(__xludf.DUMMYFUNCTION("""COMPUTED_VALUE"""),1.0)</f>
        <v>1</v>
      </c>
      <c r="Q1239" s="148" t="str">
        <f>IFERROR(__xludf.DUMMYFUNCTION("""COMPUTED_VALUE"""),"[]")</f>
        <v>[]</v>
      </c>
      <c r="R1239" s="148" t="str">
        <f>IFERROR(__xludf.DUMMYFUNCTION("""COMPUTED_VALUE"""),"[]")</f>
        <v>[]</v>
      </c>
      <c r="S1239" s="148" t="str">
        <f>IFERROR(__xludf.DUMMYFUNCTION("""COMPUTED_VALUE"""),"{""effect"":[{""typ"":""buff"",""id"":121140943,""val"":-1,""arg1"":0.4}]}")</f>
        <v>{"effect":[{"typ":"buff","id":121140943,"val":-1,"arg1":0.4}]}</v>
      </c>
      <c r="T1239" s="148">
        <f>IFERROR(__xludf.DUMMYFUNCTION("""COMPUTED_VALUE"""),-1.0)</f>
        <v>-1</v>
      </c>
      <c r="U1239" s="148">
        <f>IFERROR(__xludf.DUMMYFUNCTION("""COMPUTED_VALUE"""),1.0)</f>
        <v>1</v>
      </c>
      <c r="V1239" s="148" t="str">
        <f>IFERROR(__xludf.DUMMYFUNCTION("""COMPUTED_VALUE"""),"[]")</f>
        <v>[]</v>
      </c>
      <c r="W1239" s="148">
        <f>IFERROR(__xludf.DUMMYFUNCTION("""COMPUTED_VALUE"""),1.174E7)</f>
        <v>11740000</v>
      </c>
      <c r="X1239" s="148">
        <f>IFERROR(__xludf.DUMMYFUNCTION("""COMPUTED_VALUE"""),0.0)</f>
        <v>0</v>
      </c>
      <c r="Y1239" s="148">
        <f>IFERROR(__xludf.DUMMYFUNCTION("""COMPUTED_VALUE"""),0.0)</f>
        <v>0</v>
      </c>
      <c r="Z1239" s="148"/>
    </row>
    <row r="1240">
      <c r="A1240" s="148">
        <f>IFERROR(__xludf.DUMMYFUNCTION("""COMPUTED_VALUE"""),1.1114463E7)</f>
        <v>11114463</v>
      </c>
      <c r="B1240" s="148" t="str">
        <f>IFERROR(__xludf.DUMMYFUNCTION("""COMPUTED_VALUE"""),"永久资源增产特权10%-钢材")</f>
        <v>永久资源增产特权10%-钢材</v>
      </c>
      <c r="C1240" s="148"/>
      <c r="D1240" s="148" t="str">
        <f>IFERROR(__xludf.DUMMYFUNCTION("""COMPUTED_VALUE"""),"item_buff")</f>
        <v>item_buff</v>
      </c>
      <c r="E1240" s="148">
        <f>IFERROR(__xludf.DUMMYFUNCTION("""COMPUTED_VALUE"""),14.0)</f>
        <v>14</v>
      </c>
      <c r="F1240" s="148">
        <f>IFERROR(__xludf.DUMMYFUNCTION("""COMPUTED_VALUE"""),300501.0)</f>
        <v>300501</v>
      </c>
      <c r="G1240" s="148">
        <f>IFERROR(__xludf.DUMMYFUNCTION("""COMPUTED_VALUE"""),1.51102335E8)</f>
        <v>151102335</v>
      </c>
      <c r="H1240" s="148">
        <f>IFERROR(__xludf.DUMMYFUNCTION("""COMPUTED_VALUE"""),1.5112564E7)</f>
        <v>15112564</v>
      </c>
      <c r="I1240" s="148" t="str">
        <f>IFERROR(__xludf.DUMMYFUNCTION("""COMPUTED_VALUE"""),"{}")</f>
        <v>{}</v>
      </c>
      <c r="J1240" s="148" t="str">
        <f>IFERROR(__xludf.DUMMYFUNCTION("""COMPUTED_VALUE"""),"{""typ"":""lc"",""txt"":""LC_ITEM_must_have_energy_item2""}")</f>
        <v>{"typ":"lc","txt":"LC_ITEM_must_have_energy_item2"}</v>
      </c>
      <c r="K1240" s="148" t="str">
        <f>IFERROR(__xludf.DUMMYFUNCTION("""COMPUTED_VALUE"""),"{""typ"":""lc"",""txt"":""LC_ITEM_must_have_energy_item_desc5""}")</f>
        <v>{"typ":"lc","txt":"LC_ITEM_must_have_energy_item_desc5"}</v>
      </c>
      <c r="L1240" s="148" t="str">
        <f>IFERROR(__xludf.DUMMYFUNCTION("""COMPUTED_VALUE"""),"{}")</f>
        <v>{}</v>
      </c>
      <c r="M1240" s="148">
        <f>IFERROR(__xludf.DUMMYFUNCTION("""COMPUTED_VALUE"""),50000.0)</f>
        <v>50000</v>
      </c>
      <c r="N1240" s="148">
        <f>IFERROR(__xludf.DUMMYFUNCTION("""COMPUTED_VALUE"""),999999.0)</f>
        <v>999999</v>
      </c>
      <c r="O1240" s="148">
        <f>IFERROR(__xludf.DUMMYFUNCTION("""COMPUTED_VALUE"""),99999.0)</f>
        <v>99999</v>
      </c>
      <c r="P1240" s="148">
        <f>IFERROR(__xludf.DUMMYFUNCTION("""COMPUTED_VALUE"""),1.0)</f>
        <v>1</v>
      </c>
      <c r="Q1240" s="148" t="str">
        <f>IFERROR(__xludf.DUMMYFUNCTION("""COMPUTED_VALUE"""),"[]")</f>
        <v>[]</v>
      </c>
      <c r="R1240" s="148" t="str">
        <f>IFERROR(__xludf.DUMMYFUNCTION("""COMPUTED_VALUE"""),"[]")</f>
        <v>[]</v>
      </c>
      <c r="S1240" s="148" t="str">
        <f>IFERROR(__xludf.DUMMYFUNCTION("""COMPUTED_VALUE"""),"{""effect"":[{""typ"":""buff"",""id"":121140941,""val"":-1,""arg1"":0.1}]}")</f>
        <v>{"effect":[{"typ":"buff","id":121140941,"val":-1,"arg1":0.1}]}</v>
      </c>
      <c r="T1240" s="148">
        <f>IFERROR(__xludf.DUMMYFUNCTION("""COMPUTED_VALUE"""),-1.0)</f>
        <v>-1</v>
      </c>
      <c r="U1240" s="148">
        <f>IFERROR(__xludf.DUMMYFUNCTION("""COMPUTED_VALUE"""),1.0)</f>
        <v>1</v>
      </c>
      <c r="V1240" s="148" t="str">
        <f>IFERROR(__xludf.DUMMYFUNCTION("""COMPUTED_VALUE"""),"[]")</f>
        <v>[]</v>
      </c>
      <c r="W1240" s="148">
        <f>IFERROR(__xludf.DUMMYFUNCTION("""COMPUTED_VALUE"""),1.174E7)</f>
        <v>11740000</v>
      </c>
      <c r="X1240" s="148">
        <f>IFERROR(__xludf.DUMMYFUNCTION("""COMPUTED_VALUE"""),0.0)</f>
        <v>0</v>
      </c>
      <c r="Y1240" s="148">
        <f>IFERROR(__xludf.DUMMYFUNCTION("""COMPUTED_VALUE"""),0.0)</f>
        <v>0</v>
      </c>
      <c r="Z1240" s="148"/>
    </row>
    <row r="1241">
      <c r="A1241" s="148">
        <f>IFERROR(__xludf.DUMMYFUNCTION("""COMPUTED_VALUE"""),1.1114464E7)</f>
        <v>11114464</v>
      </c>
      <c r="B1241" s="148" t="str">
        <f>IFERROR(__xludf.DUMMYFUNCTION("""COMPUTED_VALUE"""),"永久资源增产特权15%-钢材")</f>
        <v>永久资源增产特权15%-钢材</v>
      </c>
      <c r="C1241" s="148"/>
      <c r="D1241" s="148" t="str">
        <f>IFERROR(__xludf.DUMMYFUNCTION("""COMPUTED_VALUE"""),"item_buff")</f>
        <v>item_buff</v>
      </c>
      <c r="E1241" s="148">
        <f>IFERROR(__xludf.DUMMYFUNCTION("""COMPUTED_VALUE"""),14.0)</f>
        <v>14</v>
      </c>
      <c r="F1241" s="148">
        <f>IFERROR(__xludf.DUMMYFUNCTION("""COMPUTED_VALUE"""),300501.0)</f>
        <v>300501</v>
      </c>
      <c r="G1241" s="148">
        <f>IFERROR(__xludf.DUMMYFUNCTION("""COMPUTED_VALUE"""),1.51102335E8)</f>
        <v>151102335</v>
      </c>
      <c r="H1241" s="148">
        <f>IFERROR(__xludf.DUMMYFUNCTION("""COMPUTED_VALUE"""),1.5112564E7)</f>
        <v>15112564</v>
      </c>
      <c r="I1241" s="148" t="str">
        <f>IFERROR(__xludf.DUMMYFUNCTION("""COMPUTED_VALUE"""),"{}")</f>
        <v>{}</v>
      </c>
      <c r="J1241" s="148" t="str">
        <f>IFERROR(__xludf.DUMMYFUNCTION("""COMPUTED_VALUE"""),"{""typ"":""lc"",""txt"":""LC_ITEM_must_have_energy_item2""}")</f>
        <v>{"typ":"lc","txt":"LC_ITEM_must_have_energy_item2"}</v>
      </c>
      <c r="K1241" s="148" t="str">
        <f>IFERROR(__xludf.DUMMYFUNCTION("""COMPUTED_VALUE"""),"{""typ"":""lc"",""txt"":""LC_ITEM_must_have_energy_item_desc6""}")</f>
        <v>{"typ":"lc","txt":"LC_ITEM_must_have_energy_item_desc6"}</v>
      </c>
      <c r="L1241" s="148" t="str">
        <f>IFERROR(__xludf.DUMMYFUNCTION("""COMPUTED_VALUE"""),"{}")</f>
        <v>{}</v>
      </c>
      <c r="M1241" s="148">
        <f>IFERROR(__xludf.DUMMYFUNCTION("""COMPUTED_VALUE"""),50000.0)</f>
        <v>50000</v>
      </c>
      <c r="N1241" s="148">
        <f>IFERROR(__xludf.DUMMYFUNCTION("""COMPUTED_VALUE"""),999999.0)</f>
        <v>999999</v>
      </c>
      <c r="O1241" s="148">
        <f>IFERROR(__xludf.DUMMYFUNCTION("""COMPUTED_VALUE"""),99999.0)</f>
        <v>99999</v>
      </c>
      <c r="P1241" s="148">
        <f>IFERROR(__xludf.DUMMYFUNCTION("""COMPUTED_VALUE"""),1.0)</f>
        <v>1</v>
      </c>
      <c r="Q1241" s="148" t="str">
        <f>IFERROR(__xludf.DUMMYFUNCTION("""COMPUTED_VALUE"""),"[]")</f>
        <v>[]</v>
      </c>
      <c r="R1241" s="148" t="str">
        <f>IFERROR(__xludf.DUMMYFUNCTION("""COMPUTED_VALUE"""),"[]")</f>
        <v>[]</v>
      </c>
      <c r="S1241" s="148" t="str">
        <f>IFERROR(__xludf.DUMMYFUNCTION("""COMPUTED_VALUE"""),"{""effect"":[{""typ"":""buff"",""id"":121140941,""val"":-1,""arg1"":0.15}]}")</f>
        <v>{"effect":[{"typ":"buff","id":121140941,"val":-1,"arg1":0.15}]}</v>
      </c>
      <c r="T1241" s="148">
        <f>IFERROR(__xludf.DUMMYFUNCTION("""COMPUTED_VALUE"""),-1.0)</f>
        <v>-1</v>
      </c>
      <c r="U1241" s="148">
        <f>IFERROR(__xludf.DUMMYFUNCTION("""COMPUTED_VALUE"""),1.0)</f>
        <v>1</v>
      </c>
      <c r="V1241" s="148" t="str">
        <f>IFERROR(__xludf.DUMMYFUNCTION("""COMPUTED_VALUE"""),"[]")</f>
        <v>[]</v>
      </c>
      <c r="W1241" s="148">
        <f>IFERROR(__xludf.DUMMYFUNCTION("""COMPUTED_VALUE"""),1.174E7)</f>
        <v>11740000</v>
      </c>
      <c r="X1241" s="148">
        <f>IFERROR(__xludf.DUMMYFUNCTION("""COMPUTED_VALUE"""),0.0)</f>
        <v>0</v>
      </c>
      <c r="Y1241" s="148">
        <f>IFERROR(__xludf.DUMMYFUNCTION("""COMPUTED_VALUE"""),0.0)</f>
        <v>0</v>
      </c>
      <c r="Z1241" s="148"/>
    </row>
    <row r="1242">
      <c r="A1242" s="148">
        <f>IFERROR(__xludf.DUMMYFUNCTION("""COMPUTED_VALUE"""),1.1115001E7)</f>
        <v>11115001</v>
      </c>
      <c r="B1242" s="148" t="str">
        <f>IFERROR(__xludf.DUMMYFUNCTION("""COMPUTED_VALUE"""),"首充道具")</f>
        <v>首充道具</v>
      </c>
      <c r="C1242" s="148"/>
      <c r="D1242" s="148" t="str">
        <f>IFERROR(__xludf.DUMMYFUNCTION("""COMPUTED_VALUE"""),"item_show")</f>
        <v>item_show</v>
      </c>
      <c r="E1242" s="148">
        <f>IFERROR(__xludf.DUMMYFUNCTION("""COMPUTED_VALUE"""),0.0)</f>
        <v>0</v>
      </c>
      <c r="F1242" s="148">
        <f>IFERROR(__xludf.DUMMYFUNCTION("""COMPUTED_VALUE"""),0.0)</f>
        <v>0</v>
      </c>
      <c r="G1242" s="148">
        <f>IFERROR(__xludf.DUMMYFUNCTION("""COMPUTED_VALUE"""),1.5112519E7)</f>
        <v>15112519</v>
      </c>
      <c r="H1242" s="148">
        <f>IFERROR(__xludf.DUMMYFUNCTION("""COMPUTED_VALUE"""),1.5112564E7)</f>
        <v>15112564</v>
      </c>
      <c r="I1242" s="148" t="str">
        <f>IFERROR(__xludf.DUMMYFUNCTION("""COMPUTED_VALUE"""),"{}")</f>
        <v>{}</v>
      </c>
      <c r="J1242" s="148" t="str">
        <f>IFERROR(__xludf.DUMMYFUNCTION("""COMPUTED_VALUE"""),"{""typ"":""lc"",""txt"":""LC_ITEM_item_first_recharge_scene_name""}")</f>
        <v>{"typ":"lc","txt":"LC_ITEM_item_first_recharge_scene_name"}</v>
      </c>
      <c r="K1242" s="148" t="str">
        <f>IFERROR(__xludf.DUMMYFUNCTION("""COMPUTED_VALUE"""),"{""typ"":""lc"",""txt"":""LC_ITEM_item_first_recharge_scene_desc""}")</f>
        <v>{"typ":"lc","txt":"LC_ITEM_item_first_recharge_scene_desc"}</v>
      </c>
      <c r="L1242" s="148" t="str">
        <f>IFERROR(__xludf.DUMMYFUNCTION("""COMPUTED_VALUE"""),"{}")</f>
        <v>{}</v>
      </c>
      <c r="M1242" s="148">
        <f>IFERROR(__xludf.DUMMYFUNCTION("""COMPUTED_VALUE"""),66.0)</f>
        <v>66</v>
      </c>
      <c r="N1242" s="148">
        <f>IFERROR(__xludf.DUMMYFUNCTION("""COMPUTED_VALUE"""),999999.0)</f>
        <v>999999</v>
      </c>
      <c r="O1242" s="148">
        <f>IFERROR(__xludf.DUMMYFUNCTION("""COMPUTED_VALUE"""),99999.0)</f>
        <v>99999</v>
      </c>
      <c r="P1242" s="148">
        <f>IFERROR(__xludf.DUMMYFUNCTION("""COMPUTED_VALUE"""),1.0)</f>
        <v>1</v>
      </c>
      <c r="Q1242" s="148" t="str">
        <f>IFERROR(__xludf.DUMMYFUNCTION("""COMPUTED_VALUE"""),"[]")</f>
        <v>[]</v>
      </c>
      <c r="R1242" s="148" t="str">
        <f>IFERROR(__xludf.DUMMYFUNCTION("""COMPUTED_VALUE"""),"[]")</f>
        <v>[]</v>
      </c>
      <c r="S1242" s="148" t="str">
        <f>IFERROR(__xludf.DUMMYFUNCTION("""COMPUTED_VALUE"""),"{}")</f>
        <v>{}</v>
      </c>
      <c r="T1242" s="148">
        <f>IFERROR(__xludf.DUMMYFUNCTION("""COMPUTED_VALUE"""),-1.0)</f>
        <v>-1</v>
      </c>
      <c r="U1242" s="148">
        <f>IFERROR(__xludf.DUMMYFUNCTION("""COMPUTED_VALUE"""),0.0)</f>
        <v>0</v>
      </c>
      <c r="V1242" s="148" t="str">
        <f>IFERROR(__xludf.DUMMYFUNCTION("""COMPUTED_VALUE"""),"[]")</f>
        <v>[]</v>
      </c>
      <c r="W1242" s="148">
        <f>IFERROR(__xludf.DUMMYFUNCTION("""COMPUTED_VALUE"""),1.174E7)</f>
        <v>11740000</v>
      </c>
      <c r="X1242" s="148">
        <f>IFERROR(__xludf.DUMMYFUNCTION("""COMPUTED_VALUE"""),0.0)</f>
        <v>0</v>
      </c>
      <c r="Y1242" s="148">
        <f>IFERROR(__xludf.DUMMYFUNCTION("""COMPUTED_VALUE"""),0.0)</f>
        <v>0</v>
      </c>
      <c r="Z1242" s="148"/>
    </row>
    <row r="1243">
      <c r="A1243" s="148">
        <f>IFERROR(__xludf.DUMMYFUNCTION("""COMPUTED_VALUE"""),1.1115002E7)</f>
        <v>11115002</v>
      </c>
      <c r="B1243" s="148" t="str">
        <f>IFERROR(__xludf.DUMMYFUNCTION("""COMPUTED_VALUE"""),"香蕉投影碎片-香蕉芯片")</f>
        <v>香蕉投影碎片-香蕉芯片</v>
      </c>
      <c r="C1243" s="148"/>
      <c r="D1243" s="148" t="str">
        <f>IFERROR(__xludf.DUMMYFUNCTION("""COMPUTED_VALUE"""),"item_show")</f>
        <v>item_show</v>
      </c>
      <c r="E1243" s="148">
        <f>IFERROR(__xludf.DUMMYFUNCTION("""COMPUTED_VALUE"""),0.0)</f>
        <v>0</v>
      </c>
      <c r="F1243" s="148">
        <f>IFERROR(__xludf.DUMMYFUNCTION("""COMPUTED_VALUE"""),0.0)</f>
        <v>0</v>
      </c>
      <c r="G1243" s="148">
        <f>IFERROR(__xludf.DUMMYFUNCTION("""COMPUTED_VALUE"""),1.5112534E7)</f>
        <v>15112534</v>
      </c>
      <c r="H1243" s="148">
        <f>IFERROR(__xludf.DUMMYFUNCTION("""COMPUTED_VALUE"""),1.5112563E7)</f>
        <v>15112563</v>
      </c>
      <c r="I1243" s="148" t="str">
        <f>IFERROR(__xludf.DUMMYFUNCTION("""COMPUTED_VALUE"""),"{}")</f>
        <v>{}</v>
      </c>
      <c r="J1243" s="148" t="str">
        <f>IFERROR(__xludf.DUMMYFUNCTION("""COMPUTED_VALUE"""),"{""typ"":""lc"",""txt"":""LC_ITEM_banana_projection_chip_name""}")</f>
        <v>{"typ":"lc","txt":"LC_ITEM_banana_projection_chip_name"}</v>
      </c>
      <c r="K1243" s="148" t="str">
        <f>IFERROR(__xludf.DUMMYFUNCTION("""COMPUTED_VALUE"""),"{""typ"":""lc"",""txt"":""LC_ITEM_banana_projection_chip_name""}")</f>
        <v>{"typ":"lc","txt":"LC_ITEM_banana_projection_chip_name"}</v>
      </c>
      <c r="L1243" s="148" t="str">
        <f>IFERROR(__xludf.DUMMYFUNCTION("""COMPUTED_VALUE"""),"{}")</f>
        <v>{}</v>
      </c>
      <c r="M1243" s="148">
        <f>IFERROR(__xludf.DUMMYFUNCTION("""COMPUTED_VALUE"""),66.0)</f>
        <v>66</v>
      </c>
      <c r="N1243" s="148">
        <f>IFERROR(__xludf.DUMMYFUNCTION("""COMPUTED_VALUE"""),999999.0)</f>
        <v>999999</v>
      </c>
      <c r="O1243" s="148">
        <f>IFERROR(__xludf.DUMMYFUNCTION("""COMPUTED_VALUE"""),0.0)</f>
        <v>0</v>
      </c>
      <c r="P1243" s="148">
        <f>IFERROR(__xludf.DUMMYFUNCTION("""COMPUTED_VALUE"""),100.0)</f>
        <v>100</v>
      </c>
      <c r="Q1243" s="148" t="str">
        <f>IFERROR(__xludf.DUMMYFUNCTION("""COMPUTED_VALUE"""),"[]")</f>
        <v>[]</v>
      </c>
      <c r="R1243" s="148" t="str">
        <f>IFERROR(__xludf.DUMMYFUNCTION("""COMPUTED_VALUE"""),"[]")</f>
        <v>[]</v>
      </c>
      <c r="S1243" s="148" t="str">
        <f>IFERROR(__xludf.DUMMYFUNCTION("""COMPUTED_VALUE"""),"{}")</f>
        <v>{}</v>
      </c>
      <c r="T1243" s="148">
        <f>IFERROR(__xludf.DUMMYFUNCTION("""COMPUTED_VALUE"""),-1.0)</f>
        <v>-1</v>
      </c>
      <c r="U1243" s="148">
        <f>IFERROR(__xludf.DUMMYFUNCTION("""COMPUTED_VALUE"""),0.0)</f>
        <v>0</v>
      </c>
      <c r="V1243" s="148" t="str">
        <f>IFERROR(__xludf.DUMMYFUNCTION("""COMPUTED_VALUE"""),"[]")</f>
        <v>[]</v>
      </c>
      <c r="W1243" s="148">
        <f>IFERROR(__xludf.DUMMYFUNCTION("""COMPUTED_VALUE"""),1.174E7)</f>
        <v>11740000</v>
      </c>
      <c r="X1243" s="148">
        <f>IFERROR(__xludf.DUMMYFUNCTION("""COMPUTED_VALUE"""),0.0)</f>
        <v>0</v>
      </c>
      <c r="Y1243" s="148">
        <f>IFERROR(__xludf.DUMMYFUNCTION("""COMPUTED_VALUE"""),0.0)</f>
        <v>0</v>
      </c>
      <c r="Z1243" s="148"/>
    </row>
    <row r="1244">
      <c r="A1244" s="148">
        <f>IFERROR(__xludf.DUMMYFUNCTION("""COMPUTED_VALUE"""),1.1115003E7)</f>
        <v>11115003</v>
      </c>
      <c r="B1244" s="148" t="str">
        <f>IFERROR(__xludf.DUMMYFUNCTION("""COMPUTED_VALUE"""),"火箭材料-合金板")</f>
        <v>火箭材料-合金板</v>
      </c>
      <c r="C1244" s="148"/>
      <c r="D1244" s="148" t="str">
        <f>IFERROR(__xludf.DUMMYFUNCTION("""COMPUTED_VALUE"""),"item_show")</f>
        <v>item_show</v>
      </c>
      <c r="E1244" s="148">
        <f>IFERROR(__xludf.DUMMYFUNCTION("""COMPUTED_VALUE"""),0.0)</f>
        <v>0</v>
      </c>
      <c r="F1244" s="148">
        <f>IFERROR(__xludf.DUMMYFUNCTION("""COMPUTED_VALUE"""),405203.0)</f>
        <v>405203</v>
      </c>
      <c r="G1244" s="148">
        <f>IFERROR(__xludf.DUMMYFUNCTION("""COMPUTED_VALUE"""),1.5112924E7)</f>
        <v>15112924</v>
      </c>
      <c r="H1244" s="148">
        <f>IFERROR(__xludf.DUMMYFUNCTION("""COMPUTED_VALUE"""),1.5112563E7)</f>
        <v>15112563</v>
      </c>
      <c r="I1244" s="148" t="str">
        <f>IFERROR(__xludf.DUMMYFUNCTION("""COMPUTED_VALUE"""),"{}")</f>
        <v>{}</v>
      </c>
      <c r="J1244" s="148" t="str">
        <f>IFERROR(__xludf.DUMMYFUNCTION("""COMPUTED_VALUE"""),"{""typ"":""lc"",""txt"":""LC_ITEM_metal_board_name""}")</f>
        <v>{"typ":"lc","txt":"LC_ITEM_metal_board_name"}</v>
      </c>
      <c r="K1244" s="148" t="str">
        <f>IFERROR(__xludf.DUMMYFUNCTION("""COMPUTED_VALUE"""),"{""typ"":""lc"",""txt"":""LC_ITEM_metal_board_desc""}")</f>
        <v>{"typ":"lc","txt":"LC_ITEM_metal_board_desc"}</v>
      </c>
      <c r="L1244" s="148" t="str">
        <f>IFERROR(__xludf.DUMMYFUNCTION("""COMPUTED_VALUE"""),"{}")</f>
        <v>{}</v>
      </c>
      <c r="M1244" s="148">
        <f>IFERROR(__xludf.DUMMYFUNCTION("""COMPUTED_VALUE"""),0.0)</f>
        <v>0</v>
      </c>
      <c r="N1244" s="148">
        <f>IFERROR(__xludf.DUMMYFUNCTION("""COMPUTED_VALUE"""),2.0E9)</f>
        <v>2000000000</v>
      </c>
      <c r="O1244" s="148">
        <f>IFERROR(__xludf.DUMMYFUNCTION("""COMPUTED_VALUE"""),0.0)</f>
        <v>0</v>
      </c>
      <c r="P1244" s="148">
        <f>IFERROR(__xludf.DUMMYFUNCTION("""COMPUTED_VALUE"""),99999.0)</f>
        <v>99999</v>
      </c>
      <c r="Q1244" s="148" t="str">
        <f>IFERROR(__xludf.DUMMYFUNCTION("""COMPUTED_VALUE"""),"[""bag_other""]")</f>
        <v>["bag_other"]</v>
      </c>
      <c r="R1244" s="148" t="str">
        <f>IFERROR(__xludf.DUMMYFUNCTION("""COMPUTED_VALUE"""),"[]")</f>
        <v>[]</v>
      </c>
      <c r="S1244" s="148" t="str">
        <f>IFERROR(__xludf.DUMMYFUNCTION("""COMPUTED_VALUE"""),"{}")</f>
        <v>{}</v>
      </c>
      <c r="T1244" s="148">
        <f>IFERROR(__xludf.DUMMYFUNCTION("""COMPUTED_VALUE"""),-1.0)</f>
        <v>-1</v>
      </c>
      <c r="U1244" s="148">
        <f>IFERROR(__xludf.DUMMYFUNCTION("""COMPUTED_VALUE"""),0.0)</f>
        <v>0</v>
      </c>
      <c r="V1244" s="148" t="str">
        <f>IFERROR(__xludf.DUMMYFUNCTION("""COMPUTED_VALUE"""),"[]")</f>
        <v>[]</v>
      </c>
      <c r="W1244" s="148">
        <f>IFERROR(__xludf.DUMMYFUNCTION("""COMPUTED_VALUE"""),1.174E7)</f>
        <v>11740000</v>
      </c>
      <c r="X1244" s="148">
        <f>IFERROR(__xludf.DUMMYFUNCTION("""COMPUTED_VALUE"""),0.0)</f>
        <v>0</v>
      </c>
      <c r="Y1244" s="148">
        <f>IFERROR(__xludf.DUMMYFUNCTION("""COMPUTED_VALUE"""),0.0)</f>
        <v>0</v>
      </c>
      <c r="Z1244" s="148"/>
    </row>
    <row r="1245">
      <c r="A1245" s="148">
        <f>IFERROR(__xludf.DUMMYFUNCTION("""COMPUTED_VALUE"""),1.1115004E7)</f>
        <v>11115004</v>
      </c>
      <c r="B1245" s="148" t="str">
        <f>IFERROR(__xludf.DUMMYFUNCTION("""COMPUTED_VALUE"""),"火箭材料-铝罐")</f>
        <v>火箭材料-铝罐</v>
      </c>
      <c r="C1245" s="148"/>
      <c r="D1245" s="148" t="str">
        <f>IFERROR(__xludf.DUMMYFUNCTION("""COMPUTED_VALUE"""),"item_show")</f>
        <v>item_show</v>
      </c>
      <c r="E1245" s="148">
        <f>IFERROR(__xludf.DUMMYFUNCTION("""COMPUTED_VALUE"""),0.0)</f>
        <v>0</v>
      </c>
      <c r="F1245" s="148">
        <f>IFERROR(__xludf.DUMMYFUNCTION("""COMPUTED_VALUE"""),405204.0)</f>
        <v>405204</v>
      </c>
      <c r="G1245" s="148">
        <f>IFERROR(__xludf.DUMMYFUNCTION("""COMPUTED_VALUE"""),1.5112925E7)</f>
        <v>15112925</v>
      </c>
      <c r="H1245" s="148">
        <f>IFERROR(__xludf.DUMMYFUNCTION("""COMPUTED_VALUE"""),1.5112563E7)</f>
        <v>15112563</v>
      </c>
      <c r="I1245" s="148" t="str">
        <f>IFERROR(__xludf.DUMMYFUNCTION("""COMPUTED_VALUE"""),"{}")</f>
        <v>{}</v>
      </c>
      <c r="J1245" s="148" t="str">
        <f>IFERROR(__xludf.DUMMYFUNCTION("""COMPUTED_VALUE"""),"{""typ"":""lc"",""txt"":""LC_ITEM_aluminum_can_name""}")</f>
        <v>{"typ":"lc","txt":"LC_ITEM_aluminum_can_name"}</v>
      </c>
      <c r="K1245" s="148" t="str">
        <f>IFERROR(__xludf.DUMMYFUNCTION("""COMPUTED_VALUE"""),"{""typ"":""lc"",""txt"":""LC_ITEM_aluminum_can_desc""}")</f>
        <v>{"typ":"lc","txt":"LC_ITEM_aluminum_can_desc"}</v>
      </c>
      <c r="L1245" s="148" t="str">
        <f>IFERROR(__xludf.DUMMYFUNCTION("""COMPUTED_VALUE"""),"{}")</f>
        <v>{}</v>
      </c>
      <c r="M1245" s="148">
        <f>IFERROR(__xludf.DUMMYFUNCTION("""COMPUTED_VALUE"""),0.0)</f>
        <v>0</v>
      </c>
      <c r="N1245" s="148">
        <f>IFERROR(__xludf.DUMMYFUNCTION("""COMPUTED_VALUE"""),2.0E9)</f>
        <v>2000000000</v>
      </c>
      <c r="O1245" s="148">
        <f>IFERROR(__xludf.DUMMYFUNCTION("""COMPUTED_VALUE"""),0.0)</f>
        <v>0</v>
      </c>
      <c r="P1245" s="148">
        <f>IFERROR(__xludf.DUMMYFUNCTION("""COMPUTED_VALUE"""),99999.0)</f>
        <v>99999</v>
      </c>
      <c r="Q1245" s="148" t="str">
        <f>IFERROR(__xludf.DUMMYFUNCTION("""COMPUTED_VALUE"""),"[""bag_other""]")</f>
        <v>["bag_other"]</v>
      </c>
      <c r="R1245" s="148" t="str">
        <f>IFERROR(__xludf.DUMMYFUNCTION("""COMPUTED_VALUE"""),"[]")</f>
        <v>[]</v>
      </c>
      <c r="S1245" s="148" t="str">
        <f>IFERROR(__xludf.DUMMYFUNCTION("""COMPUTED_VALUE"""),"{}")</f>
        <v>{}</v>
      </c>
      <c r="T1245" s="148">
        <f>IFERROR(__xludf.DUMMYFUNCTION("""COMPUTED_VALUE"""),-1.0)</f>
        <v>-1</v>
      </c>
      <c r="U1245" s="148">
        <f>IFERROR(__xludf.DUMMYFUNCTION("""COMPUTED_VALUE"""),0.0)</f>
        <v>0</v>
      </c>
      <c r="V1245" s="148" t="str">
        <f>IFERROR(__xludf.DUMMYFUNCTION("""COMPUTED_VALUE"""),"[]")</f>
        <v>[]</v>
      </c>
      <c r="W1245" s="148">
        <f>IFERROR(__xludf.DUMMYFUNCTION("""COMPUTED_VALUE"""),1.174E7)</f>
        <v>11740000</v>
      </c>
      <c r="X1245" s="148">
        <f>IFERROR(__xludf.DUMMYFUNCTION("""COMPUTED_VALUE"""),0.0)</f>
        <v>0</v>
      </c>
      <c r="Y1245" s="148">
        <f>IFERROR(__xludf.DUMMYFUNCTION("""COMPUTED_VALUE"""),0.0)</f>
        <v>0</v>
      </c>
      <c r="Z1245" s="148"/>
    </row>
    <row r="1246">
      <c r="A1246" s="148">
        <f>IFERROR(__xludf.DUMMYFUNCTION("""COMPUTED_VALUE"""),1.1115005E7)</f>
        <v>11115005</v>
      </c>
      <c r="B1246" s="148" t="str">
        <f>IFERROR(__xludf.DUMMYFUNCTION("""COMPUTED_VALUE"""),"火箭材料-芯片")</f>
        <v>火箭材料-芯片</v>
      </c>
      <c r="C1246" s="148"/>
      <c r="D1246" s="148" t="str">
        <f>IFERROR(__xludf.DUMMYFUNCTION("""COMPUTED_VALUE"""),"item_show")</f>
        <v>item_show</v>
      </c>
      <c r="E1246" s="148">
        <f>IFERROR(__xludf.DUMMYFUNCTION("""COMPUTED_VALUE"""),0.0)</f>
        <v>0</v>
      </c>
      <c r="F1246" s="148">
        <f>IFERROR(__xludf.DUMMYFUNCTION("""COMPUTED_VALUE"""),405105.0)</f>
        <v>405105</v>
      </c>
      <c r="G1246" s="148">
        <f>IFERROR(__xludf.DUMMYFUNCTION("""COMPUTED_VALUE"""),1.5112926E7)</f>
        <v>15112926</v>
      </c>
      <c r="H1246" s="148">
        <f>IFERROR(__xludf.DUMMYFUNCTION("""COMPUTED_VALUE"""),1.5112564E7)</f>
        <v>15112564</v>
      </c>
      <c r="I1246" s="148" t="str">
        <f>IFERROR(__xludf.DUMMYFUNCTION("""COMPUTED_VALUE"""),"{}")</f>
        <v>{}</v>
      </c>
      <c r="J1246" s="148" t="str">
        <f>IFERROR(__xludf.DUMMYFUNCTION("""COMPUTED_VALUE"""),"{""typ"":""lc"",""txt"":""LC_ITEM_chip_name""}")</f>
        <v>{"typ":"lc","txt":"LC_ITEM_chip_name"}</v>
      </c>
      <c r="K1246" s="148" t="str">
        <f>IFERROR(__xludf.DUMMYFUNCTION("""COMPUTED_VALUE"""),"{""typ"":""lc"",""txt"":""LC_ITEM_chip_desc""}")</f>
        <v>{"typ":"lc","txt":"LC_ITEM_chip_desc"}</v>
      </c>
      <c r="L1246" s="148" t="str">
        <f>IFERROR(__xludf.DUMMYFUNCTION("""COMPUTED_VALUE"""),"{}")</f>
        <v>{}</v>
      </c>
      <c r="M1246" s="148">
        <f>IFERROR(__xludf.DUMMYFUNCTION("""COMPUTED_VALUE"""),0.0)</f>
        <v>0</v>
      </c>
      <c r="N1246" s="148">
        <f>IFERROR(__xludf.DUMMYFUNCTION("""COMPUTED_VALUE"""),2.0E9)</f>
        <v>2000000000</v>
      </c>
      <c r="O1246" s="148">
        <f>IFERROR(__xludf.DUMMYFUNCTION("""COMPUTED_VALUE"""),0.0)</f>
        <v>0</v>
      </c>
      <c r="P1246" s="148">
        <f>IFERROR(__xludf.DUMMYFUNCTION("""COMPUTED_VALUE"""),99999.0)</f>
        <v>99999</v>
      </c>
      <c r="Q1246" s="148" t="str">
        <f>IFERROR(__xludf.DUMMYFUNCTION("""COMPUTED_VALUE"""),"[""bag_other""]")</f>
        <v>["bag_other"]</v>
      </c>
      <c r="R1246" s="148" t="str">
        <f>IFERROR(__xludf.DUMMYFUNCTION("""COMPUTED_VALUE"""),"[]")</f>
        <v>[]</v>
      </c>
      <c r="S1246" s="148" t="str">
        <f>IFERROR(__xludf.DUMMYFUNCTION("""COMPUTED_VALUE"""),"{}")</f>
        <v>{}</v>
      </c>
      <c r="T1246" s="148">
        <f>IFERROR(__xludf.DUMMYFUNCTION("""COMPUTED_VALUE"""),-1.0)</f>
        <v>-1</v>
      </c>
      <c r="U1246" s="148">
        <f>IFERROR(__xludf.DUMMYFUNCTION("""COMPUTED_VALUE"""),0.0)</f>
        <v>0</v>
      </c>
      <c r="V1246" s="148" t="str">
        <f>IFERROR(__xludf.DUMMYFUNCTION("""COMPUTED_VALUE"""),"[]")</f>
        <v>[]</v>
      </c>
      <c r="W1246" s="148">
        <f>IFERROR(__xludf.DUMMYFUNCTION("""COMPUTED_VALUE"""),1.174E7)</f>
        <v>11740000</v>
      </c>
      <c r="X1246" s="148">
        <f>IFERROR(__xludf.DUMMYFUNCTION("""COMPUTED_VALUE"""),0.0)</f>
        <v>0</v>
      </c>
      <c r="Y1246" s="148">
        <f>IFERROR(__xludf.DUMMYFUNCTION("""COMPUTED_VALUE"""),0.0)</f>
        <v>0</v>
      </c>
      <c r="Z1246" s="148"/>
    </row>
    <row r="1247">
      <c r="A1247" s="148">
        <f>IFERROR(__xludf.DUMMYFUNCTION("""COMPUTED_VALUE"""),1.1116001E7)</f>
        <v>11116001</v>
      </c>
      <c r="B1247" s="148" t="str">
        <f>IFERROR(__xludf.DUMMYFUNCTION("""COMPUTED_VALUE"""),"英雄经验-100")</f>
        <v>英雄经验-100</v>
      </c>
      <c r="C1247" s="148"/>
      <c r="D1247" s="148" t="str">
        <f>IFERROR(__xludf.DUMMYFUNCTION("""COMPUTED_VALUE"""),"item_hero_level_rss")</f>
        <v>item_hero_level_rss</v>
      </c>
      <c r="E1247" s="148">
        <f>IFERROR(__xludf.DUMMYFUNCTION("""COMPUTED_VALUE"""),28.0)</f>
        <v>28</v>
      </c>
      <c r="F1247" s="148">
        <f>IFERROR(__xludf.DUMMYFUNCTION("""COMPUTED_VALUE"""),413501.0)</f>
        <v>413501</v>
      </c>
      <c r="G1247" s="148">
        <f>IFERROR(__xludf.DUMMYFUNCTION("""COMPUTED_VALUE"""),1.5112782E7)</f>
        <v>15112782</v>
      </c>
      <c r="H1247" s="148">
        <f>IFERROR(__xludf.DUMMYFUNCTION("""COMPUTED_VALUE"""),1.511256E7)</f>
        <v>15112560</v>
      </c>
      <c r="I1247" s="148" t="str">
        <f>IFERROR(__xludf.DUMMYFUNCTION("""COMPUTED_VALUE"""),"{""typ"":""lc"",""txt"":""LC_ITEM_rss_upper_show"",""args"":[{""typ"":""int"",""val"":100}]}")</f>
        <v>{"typ":"lc","txt":"LC_ITEM_rss_upper_show","args":[{"typ":"int","val":100}]}</v>
      </c>
      <c r="J1247" s="148" t="str">
        <f>IFERROR(__xludf.DUMMYFUNCTION("""COMPUTED_VALUE"""),"{""typ"":""lc"",""txt"":""LC_ITEM_hero_exp_name"",""args"":[{""typ"":""int"",""val"":100}]}")</f>
        <v>{"typ":"lc","txt":"LC_ITEM_hero_exp_name","args":[{"typ":"int","val":100}]}</v>
      </c>
      <c r="K1247" s="148" t="str">
        <f>IFERROR(__xludf.DUMMYFUNCTION("""COMPUTED_VALUE"""),"{""typ"":""lc"",""txt"":""LC_ITEM_hero_exp_desc"",""args"":[{""typ"":""int"",""val"":100}]}")</f>
        <v>{"typ":"lc","txt":"LC_ITEM_hero_exp_desc","args":[{"typ":"int","val":100}]}</v>
      </c>
      <c r="L1247" s="148" t="str">
        <f>IFERROR(__xludf.DUMMYFUNCTION("""COMPUTED_VALUE"""),"{""typ"":""lc"",""txt"":""LC_ITEM_hero_exp_usedtip""}")</f>
        <v>{"typ":"lc","txt":"LC_ITEM_hero_exp_usedtip"}</v>
      </c>
      <c r="M1247" s="148">
        <f>IFERROR(__xludf.DUMMYFUNCTION("""COMPUTED_VALUE"""),1.0)</f>
        <v>1</v>
      </c>
      <c r="N1247" s="148">
        <f>IFERROR(__xludf.DUMMYFUNCTION("""COMPUTED_VALUE"""),9999999.0)</f>
        <v>9999999</v>
      </c>
      <c r="O1247" s="148">
        <f>IFERROR(__xludf.DUMMYFUNCTION("""COMPUTED_VALUE"""),99999.0)</f>
        <v>99999</v>
      </c>
      <c r="P1247" s="148">
        <f>IFERROR(__xludf.DUMMYFUNCTION("""COMPUTED_VALUE"""),99999.0)</f>
        <v>99999</v>
      </c>
      <c r="Q1247" s="148" t="str">
        <f>IFERROR(__xludf.DUMMYFUNCTION("""COMPUTED_VALUE"""),"[""bag_other""]")</f>
        <v>["bag_other"]</v>
      </c>
      <c r="R1247" s="148" t="str">
        <f>IFERROR(__xludf.DUMMYFUNCTION("""COMPUTED_VALUE"""),"[""hero_level_exp""]")</f>
        <v>["hero_level_exp"]</v>
      </c>
      <c r="S1247" s="148" t="str">
        <f>IFERROR(__xludf.DUMMYFUNCTION("""COMPUTED_VALUE"""),"{""effect"":[{""typ"":""rss"",""id"":11141031,""val"":100}]}")</f>
        <v>{"effect":[{"typ":"rss","id":11141031,"val":100}]}</v>
      </c>
      <c r="T1247" s="148">
        <f>IFERROR(__xludf.DUMMYFUNCTION("""COMPUTED_VALUE"""),-1.0)</f>
        <v>-1</v>
      </c>
      <c r="U1247" s="148">
        <f>IFERROR(__xludf.DUMMYFUNCTION("""COMPUTED_VALUE"""),0.0)</f>
        <v>0</v>
      </c>
      <c r="V1247" s="148" t="str">
        <f>IFERROR(__xludf.DUMMYFUNCTION("""COMPUTED_VALUE"""),"[]")</f>
        <v>[]</v>
      </c>
      <c r="W1247" s="148">
        <f>IFERROR(__xludf.DUMMYFUNCTION("""COMPUTED_VALUE"""),1.1741002E7)</f>
        <v>11741002</v>
      </c>
      <c r="X1247" s="148">
        <f>IFERROR(__xludf.DUMMYFUNCTION("""COMPUTED_VALUE"""),0.0)</f>
        <v>0</v>
      </c>
      <c r="Y1247" s="148">
        <f>IFERROR(__xludf.DUMMYFUNCTION("""COMPUTED_VALUE"""),0.0)</f>
        <v>0</v>
      </c>
      <c r="Z1247" s="148"/>
    </row>
    <row r="1248">
      <c r="A1248" s="148">
        <f>IFERROR(__xludf.DUMMYFUNCTION("""COMPUTED_VALUE"""),1.1116002E7)</f>
        <v>11116002</v>
      </c>
      <c r="B1248" s="148" t="str">
        <f>IFERROR(__xludf.DUMMYFUNCTION("""COMPUTED_VALUE"""),"英雄经验-500")</f>
        <v>英雄经验-500</v>
      </c>
      <c r="C1248" s="148"/>
      <c r="D1248" s="148" t="str">
        <f>IFERROR(__xludf.DUMMYFUNCTION("""COMPUTED_VALUE"""),"item_hero_level_rss")</f>
        <v>item_hero_level_rss</v>
      </c>
      <c r="E1248" s="148">
        <f>IFERROR(__xludf.DUMMYFUNCTION("""COMPUTED_VALUE"""),28.0)</f>
        <v>28</v>
      </c>
      <c r="F1248" s="148">
        <f>IFERROR(__xludf.DUMMYFUNCTION("""COMPUTED_VALUE"""),413502.0)</f>
        <v>413502</v>
      </c>
      <c r="G1248" s="148">
        <f>IFERROR(__xludf.DUMMYFUNCTION("""COMPUTED_VALUE"""),1.5112782E7)</f>
        <v>15112782</v>
      </c>
      <c r="H1248" s="148">
        <f>IFERROR(__xludf.DUMMYFUNCTION("""COMPUTED_VALUE"""),1.511256E7)</f>
        <v>15112560</v>
      </c>
      <c r="I1248" s="148" t="str">
        <f>IFERROR(__xludf.DUMMYFUNCTION("""COMPUTED_VALUE"""),"{""typ"":""lc"",""txt"":""LC_ITEM_rss_upper_show"",""args"":[{""typ"":""int"",""val"":500}]}")</f>
        <v>{"typ":"lc","txt":"LC_ITEM_rss_upper_show","args":[{"typ":"int","val":500}]}</v>
      </c>
      <c r="J1248" s="148" t="str">
        <f>IFERROR(__xludf.DUMMYFUNCTION("""COMPUTED_VALUE"""),"{""typ"":""lc"",""txt"":""LC_ITEM_hero_exp_name"",""args"":[{""typ"":""int"",""val"":500}]}")</f>
        <v>{"typ":"lc","txt":"LC_ITEM_hero_exp_name","args":[{"typ":"int","val":500}]}</v>
      </c>
      <c r="K1248" s="148" t="str">
        <f>IFERROR(__xludf.DUMMYFUNCTION("""COMPUTED_VALUE"""),"{""typ"":""lc"",""txt"":""LC_ITEM_hero_exp_desc"",""args"":[{""typ"":""int"",""val"":500}]}")</f>
        <v>{"typ":"lc","txt":"LC_ITEM_hero_exp_desc","args":[{"typ":"int","val":500}]}</v>
      </c>
      <c r="L1248" s="148" t="str">
        <f>IFERROR(__xludf.DUMMYFUNCTION("""COMPUTED_VALUE"""),"{""typ"":""lc"",""txt"":""LC_ITEM_hero_exp_usedtip""}")</f>
        <v>{"typ":"lc","txt":"LC_ITEM_hero_exp_usedtip"}</v>
      </c>
      <c r="M1248" s="148">
        <f>IFERROR(__xludf.DUMMYFUNCTION("""COMPUTED_VALUE"""),5.0)</f>
        <v>5</v>
      </c>
      <c r="N1248" s="148">
        <f>IFERROR(__xludf.DUMMYFUNCTION("""COMPUTED_VALUE"""),9999999.0)</f>
        <v>9999999</v>
      </c>
      <c r="O1248" s="148">
        <f>IFERROR(__xludf.DUMMYFUNCTION("""COMPUTED_VALUE"""),99999.0)</f>
        <v>99999</v>
      </c>
      <c r="P1248" s="148">
        <f>IFERROR(__xludf.DUMMYFUNCTION("""COMPUTED_VALUE"""),99999.0)</f>
        <v>99999</v>
      </c>
      <c r="Q1248" s="148" t="str">
        <f>IFERROR(__xludf.DUMMYFUNCTION("""COMPUTED_VALUE"""),"[""bag_other""]")</f>
        <v>["bag_other"]</v>
      </c>
      <c r="R1248" s="148" t="str">
        <f>IFERROR(__xludf.DUMMYFUNCTION("""COMPUTED_VALUE"""),"[""hero_level_exp""]")</f>
        <v>["hero_level_exp"]</v>
      </c>
      <c r="S1248" s="148" t="str">
        <f>IFERROR(__xludf.DUMMYFUNCTION("""COMPUTED_VALUE"""),"{""effect"":[{""typ"":""rss"",""id"":11141031,""val"":500}]}")</f>
        <v>{"effect":[{"typ":"rss","id":11141031,"val":500}]}</v>
      </c>
      <c r="T1248" s="148">
        <f>IFERROR(__xludf.DUMMYFUNCTION("""COMPUTED_VALUE"""),-1.0)</f>
        <v>-1</v>
      </c>
      <c r="U1248" s="148">
        <f>IFERROR(__xludf.DUMMYFUNCTION("""COMPUTED_VALUE"""),0.0)</f>
        <v>0</v>
      </c>
      <c r="V1248" s="148" t="str">
        <f>IFERROR(__xludf.DUMMYFUNCTION("""COMPUTED_VALUE"""),"[]")</f>
        <v>[]</v>
      </c>
      <c r="W1248" s="148">
        <f>IFERROR(__xludf.DUMMYFUNCTION("""COMPUTED_VALUE"""),1.1741002E7)</f>
        <v>11741002</v>
      </c>
      <c r="X1248" s="148">
        <f>IFERROR(__xludf.DUMMYFUNCTION("""COMPUTED_VALUE"""),0.0)</f>
        <v>0</v>
      </c>
      <c r="Y1248" s="148">
        <f>IFERROR(__xludf.DUMMYFUNCTION("""COMPUTED_VALUE"""),0.0)</f>
        <v>0</v>
      </c>
      <c r="Z1248" s="148"/>
    </row>
    <row r="1249">
      <c r="A1249" s="148">
        <f>IFERROR(__xludf.DUMMYFUNCTION("""COMPUTED_VALUE"""),1.1116003E7)</f>
        <v>11116003</v>
      </c>
      <c r="B1249" s="148" t="str">
        <f>IFERROR(__xludf.DUMMYFUNCTION("""COMPUTED_VALUE"""),"英雄经验-1000")</f>
        <v>英雄经验-1000</v>
      </c>
      <c r="C1249" s="148"/>
      <c r="D1249" s="148" t="str">
        <f>IFERROR(__xludf.DUMMYFUNCTION("""COMPUTED_VALUE"""),"item_hero_level_rss")</f>
        <v>item_hero_level_rss</v>
      </c>
      <c r="E1249" s="148">
        <f>IFERROR(__xludf.DUMMYFUNCTION("""COMPUTED_VALUE"""),28.0)</f>
        <v>28</v>
      </c>
      <c r="F1249" s="148">
        <f>IFERROR(__xludf.DUMMYFUNCTION("""COMPUTED_VALUE"""),413503.0)</f>
        <v>413503</v>
      </c>
      <c r="G1249" s="148">
        <f>IFERROR(__xludf.DUMMYFUNCTION("""COMPUTED_VALUE"""),1.5112782E7)</f>
        <v>15112782</v>
      </c>
      <c r="H1249" s="148">
        <f>IFERROR(__xludf.DUMMYFUNCTION("""COMPUTED_VALUE"""),1.5112561E7)</f>
        <v>15112561</v>
      </c>
      <c r="I1249" s="148" t="str">
        <f>IFERROR(__xludf.DUMMYFUNCTION("""COMPUTED_VALUE"""),"{""typ"":""lc"",""txt"":""LC_ITEM_rss_upper_show"",""args"":[{""typ"":""int"",""val"":1000}]}")</f>
        <v>{"typ":"lc","txt":"LC_ITEM_rss_upper_show","args":[{"typ":"int","val":1000}]}</v>
      </c>
      <c r="J1249" s="148" t="str">
        <f>IFERROR(__xludf.DUMMYFUNCTION("""COMPUTED_VALUE"""),"{""typ"":""lc"",""txt"":""LC_ITEM_hero_exp_name"",""args"":[{""typ"":""int"",""val"":1000}]}")</f>
        <v>{"typ":"lc","txt":"LC_ITEM_hero_exp_name","args":[{"typ":"int","val":1000}]}</v>
      </c>
      <c r="K1249" s="148" t="str">
        <f>IFERROR(__xludf.DUMMYFUNCTION("""COMPUTED_VALUE"""),"{""typ"":""lc"",""txt"":""LC_ITEM_hero_exp_desc"",""args"":[{""typ"":""int"",""val"":1000}]}")</f>
        <v>{"typ":"lc","txt":"LC_ITEM_hero_exp_desc","args":[{"typ":"int","val":1000}]}</v>
      </c>
      <c r="L1249" s="148" t="str">
        <f>IFERROR(__xludf.DUMMYFUNCTION("""COMPUTED_VALUE"""),"{""typ"":""lc"",""txt"":""LC_ITEM_hero_exp_usedtip""}")</f>
        <v>{"typ":"lc","txt":"LC_ITEM_hero_exp_usedtip"}</v>
      </c>
      <c r="M1249" s="148">
        <f>IFERROR(__xludf.DUMMYFUNCTION("""COMPUTED_VALUE"""),15.0)</f>
        <v>15</v>
      </c>
      <c r="N1249" s="148">
        <f>IFERROR(__xludf.DUMMYFUNCTION("""COMPUTED_VALUE"""),9999999.0)</f>
        <v>9999999</v>
      </c>
      <c r="O1249" s="148">
        <f>IFERROR(__xludf.DUMMYFUNCTION("""COMPUTED_VALUE"""),99999.0)</f>
        <v>99999</v>
      </c>
      <c r="P1249" s="148">
        <f>IFERROR(__xludf.DUMMYFUNCTION("""COMPUTED_VALUE"""),99999.0)</f>
        <v>99999</v>
      </c>
      <c r="Q1249" s="148" t="str">
        <f>IFERROR(__xludf.DUMMYFUNCTION("""COMPUTED_VALUE"""),"[""bag_other""]")</f>
        <v>["bag_other"]</v>
      </c>
      <c r="R1249" s="148" t="str">
        <f>IFERROR(__xludf.DUMMYFUNCTION("""COMPUTED_VALUE"""),"[""hero_level_exp""]")</f>
        <v>["hero_level_exp"]</v>
      </c>
      <c r="S1249" s="148" t="str">
        <f>IFERROR(__xludf.DUMMYFUNCTION("""COMPUTED_VALUE"""),"{""effect"":[{""typ"":""rss"",""id"":11141031,""val"":1000}]}")</f>
        <v>{"effect":[{"typ":"rss","id":11141031,"val":1000}]}</v>
      </c>
      <c r="T1249" s="148">
        <f>IFERROR(__xludf.DUMMYFUNCTION("""COMPUTED_VALUE"""),-1.0)</f>
        <v>-1</v>
      </c>
      <c r="U1249" s="148">
        <f>IFERROR(__xludf.DUMMYFUNCTION("""COMPUTED_VALUE"""),0.0)</f>
        <v>0</v>
      </c>
      <c r="V1249" s="148" t="str">
        <f>IFERROR(__xludf.DUMMYFUNCTION("""COMPUTED_VALUE"""),"[]")</f>
        <v>[]</v>
      </c>
      <c r="W1249" s="148">
        <f>IFERROR(__xludf.DUMMYFUNCTION("""COMPUTED_VALUE"""),1.1741002E7)</f>
        <v>11741002</v>
      </c>
      <c r="X1249" s="148">
        <f>IFERROR(__xludf.DUMMYFUNCTION("""COMPUTED_VALUE"""),0.0)</f>
        <v>0</v>
      </c>
      <c r="Y1249" s="148">
        <f>IFERROR(__xludf.DUMMYFUNCTION("""COMPUTED_VALUE"""),0.0)</f>
        <v>0</v>
      </c>
      <c r="Z1249" s="148"/>
    </row>
    <row r="1250">
      <c r="A1250" s="148">
        <f>IFERROR(__xludf.DUMMYFUNCTION("""COMPUTED_VALUE"""),1.1116004E7)</f>
        <v>11116004</v>
      </c>
      <c r="B1250" s="148" t="str">
        <f>IFERROR(__xludf.DUMMYFUNCTION("""COMPUTED_VALUE"""),"英雄经验-5000")</f>
        <v>英雄经验-5000</v>
      </c>
      <c r="C1250" s="148"/>
      <c r="D1250" s="148" t="str">
        <f>IFERROR(__xludf.DUMMYFUNCTION("""COMPUTED_VALUE"""),"item_hero_level_rss")</f>
        <v>item_hero_level_rss</v>
      </c>
      <c r="E1250" s="148">
        <f>IFERROR(__xludf.DUMMYFUNCTION("""COMPUTED_VALUE"""),28.0)</f>
        <v>28</v>
      </c>
      <c r="F1250" s="148">
        <f>IFERROR(__xludf.DUMMYFUNCTION("""COMPUTED_VALUE"""),413504.0)</f>
        <v>413504</v>
      </c>
      <c r="G1250" s="148">
        <f>IFERROR(__xludf.DUMMYFUNCTION("""COMPUTED_VALUE"""),1.5112782E7)</f>
        <v>15112782</v>
      </c>
      <c r="H1250" s="148">
        <f>IFERROR(__xludf.DUMMYFUNCTION("""COMPUTED_VALUE"""),1.5112561E7)</f>
        <v>15112561</v>
      </c>
      <c r="I1250" s="148" t="str">
        <f>IFERROR(__xludf.DUMMYFUNCTION("""COMPUTED_VALUE"""),"{""typ"":""lc"",""txt"":""LC_ITEM_rss_upper_show"",""args"":[{""typ"":""int"",""val"":5000}]}")</f>
        <v>{"typ":"lc","txt":"LC_ITEM_rss_upper_show","args":[{"typ":"int","val":5000}]}</v>
      </c>
      <c r="J1250" s="148" t="str">
        <f>IFERROR(__xludf.DUMMYFUNCTION("""COMPUTED_VALUE"""),"{""typ"":""lc"",""txt"":""LC_ITEM_hero_exp_name"",""args"":[{""typ"":""int"",""val"":5000}]}")</f>
        <v>{"typ":"lc","txt":"LC_ITEM_hero_exp_name","args":[{"typ":"int","val":5000}]}</v>
      </c>
      <c r="K1250" s="148" t="str">
        <f>IFERROR(__xludf.DUMMYFUNCTION("""COMPUTED_VALUE"""),"{""typ"":""lc"",""txt"":""LC_ITEM_hero_exp_desc"",""args"":[{""typ"":""int"",""val"":5000}]}")</f>
        <v>{"typ":"lc","txt":"LC_ITEM_hero_exp_desc","args":[{"typ":"int","val":5000}]}</v>
      </c>
      <c r="L1250" s="148" t="str">
        <f>IFERROR(__xludf.DUMMYFUNCTION("""COMPUTED_VALUE"""),"{""typ"":""lc"",""txt"":""LC_ITEM_hero_exp_usedtip""}")</f>
        <v>{"typ":"lc","txt":"LC_ITEM_hero_exp_usedtip"}</v>
      </c>
      <c r="M1250" s="148">
        <f>IFERROR(__xludf.DUMMYFUNCTION("""COMPUTED_VALUE"""),50.0)</f>
        <v>50</v>
      </c>
      <c r="N1250" s="148">
        <f>IFERROR(__xludf.DUMMYFUNCTION("""COMPUTED_VALUE"""),9999999.0)</f>
        <v>9999999</v>
      </c>
      <c r="O1250" s="148">
        <f>IFERROR(__xludf.DUMMYFUNCTION("""COMPUTED_VALUE"""),99999.0)</f>
        <v>99999</v>
      </c>
      <c r="P1250" s="148">
        <f>IFERROR(__xludf.DUMMYFUNCTION("""COMPUTED_VALUE"""),99999.0)</f>
        <v>99999</v>
      </c>
      <c r="Q1250" s="148" t="str">
        <f>IFERROR(__xludf.DUMMYFUNCTION("""COMPUTED_VALUE"""),"[""bag_other""]")</f>
        <v>["bag_other"]</v>
      </c>
      <c r="R1250" s="148" t="str">
        <f>IFERROR(__xludf.DUMMYFUNCTION("""COMPUTED_VALUE"""),"[""hero_level_exp""]")</f>
        <v>["hero_level_exp"]</v>
      </c>
      <c r="S1250" s="148" t="str">
        <f>IFERROR(__xludf.DUMMYFUNCTION("""COMPUTED_VALUE"""),"{""effect"":[{""typ"":""rss"",""id"":11141031,""val"":5000}]}")</f>
        <v>{"effect":[{"typ":"rss","id":11141031,"val":5000}]}</v>
      </c>
      <c r="T1250" s="148">
        <f>IFERROR(__xludf.DUMMYFUNCTION("""COMPUTED_VALUE"""),-1.0)</f>
        <v>-1</v>
      </c>
      <c r="U1250" s="148">
        <f>IFERROR(__xludf.DUMMYFUNCTION("""COMPUTED_VALUE"""),0.0)</f>
        <v>0</v>
      </c>
      <c r="V1250" s="148" t="str">
        <f>IFERROR(__xludf.DUMMYFUNCTION("""COMPUTED_VALUE"""),"[]")</f>
        <v>[]</v>
      </c>
      <c r="W1250" s="148">
        <f>IFERROR(__xludf.DUMMYFUNCTION("""COMPUTED_VALUE"""),1.1741002E7)</f>
        <v>11741002</v>
      </c>
      <c r="X1250" s="148">
        <f>IFERROR(__xludf.DUMMYFUNCTION("""COMPUTED_VALUE"""),0.0)</f>
        <v>0</v>
      </c>
      <c r="Y1250" s="148">
        <f>IFERROR(__xludf.DUMMYFUNCTION("""COMPUTED_VALUE"""),0.0)</f>
        <v>0</v>
      </c>
      <c r="Z1250" s="148"/>
    </row>
    <row r="1251">
      <c r="A1251" s="148">
        <f>IFERROR(__xludf.DUMMYFUNCTION("""COMPUTED_VALUE"""),1.1116005E7)</f>
        <v>11116005</v>
      </c>
      <c r="B1251" s="148" t="str">
        <f>IFERROR(__xludf.DUMMYFUNCTION("""COMPUTED_VALUE"""),"英雄经验-10000")</f>
        <v>英雄经验-10000</v>
      </c>
      <c r="C1251" s="148"/>
      <c r="D1251" s="148" t="str">
        <f>IFERROR(__xludf.DUMMYFUNCTION("""COMPUTED_VALUE"""),"item_hero_level_rss")</f>
        <v>item_hero_level_rss</v>
      </c>
      <c r="E1251" s="148">
        <f>IFERROR(__xludf.DUMMYFUNCTION("""COMPUTED_VALUE"""),28.0)</f>
        <v>28</v>
      </c>
      <c r="F1251" s="148">
        <f>IFERROR(__xludf.DUMMYFUNCTION("""COMPUTED_VALUE"""),413505.0)</f>
        <v>413505</v>
      </c>
      <c r="G1251" s="148">
        <f>IFERROR(__xludf.DUMMYFUNCTION("""COMPUTED_VALUE"""),1.5112782E7)</f>
        <v>15112782</v>
      </c>
      <c r="H1251" s="148">
        <f>IFERROR(__xludf.DUMMYFUNCTION("""COMPUTED_VALUE"""),1.5112562E7)</f>
        <v>15112562</v>
      </c>
      <c r="I1251" s="148" t="str">
        <f>IFERROR(__xludf.DUMMYFUNCTION("""COMPUTED_VALUE"""),"{""typ"":""lc"",""txt"":""LC_ITEM_rss_upper_show"",""args"":[{""typ"":""int"",""val"":10000}]}")</f>
        <v>{"typ":"lc","txt":"LC_ITEM_rss_upper_show","args":[{"typ":"int","val":10000}]}</v>
      </c>
      <c r="J1251" s="148" t="str">
        <f>IFERROR(__xludf.DUMMYFUNCTION("""COMPUTED_VALUE"""),"{""typ"":""lc"",""txt"":""LC_ITEM_hero_exp_name"",""args"":[{""typ"":""int"",""val"":10000}]}")</f>
        <v>{"typ":"lc","txt":"LC_ITEM_hero_exp_name","args":[{"typ":"int","val":10000}]}</v>
      </c>
      <c r="K1251" s="148" t="str">
        <f>IFERROR(__xludf.DUMMYFUNCTION("""COMPUTED_VALUE"""),"{""typ"":""lc"",""txt"":""LC_ITEM_hero_exp_desc"",""args"":[{""typ"":""int"",""val"":10000}]}")</f>
        <v>{"typ":"lc","txt":"LC_ITEM_hero_exp_desc","args":[{"typ":"int","val":10000}]}</v>
      </c>
      <c r="L1251" s="148" t="str">
        <f>IFERROR(__xludf.DUMMYFUNCTION("""COMPUTED_VALUE"""),"{""typ"":""lc"",""txt"":""LC_ITEM_hero_exp_usedtip""}")</f>
        <v>{"typ":"lc","txt":"LC_ITEM_hero_exp_usedtip"}</v>
      </c>
      <c r="M1251" s="148">
        <f>IFERROR(__xludf.DUMMYFUNCTION("""COMPUTED_VALUE"""),80.0)</f>
        <v>80</v>
      </c>
      <c r="N1251" s="148">
        <f>IFERROR(__xludf.DUMMYFUNCTION("""COMPUTED_VALUE"""),9999999.0)</f>
        <v>9999999</v>
      </c>
      <c r="O1251" s="148">
        <f>IFERROR(__xludf.DUMMYFUNCTION("""COMPUTED_VALUE"""),99999.0)</f>
        <v>99999</v>
      </c>
      <c r="P1251" s="148">
        <f>IFERROR(__xludf.DUMMYFUNCTION("""COMPUTED_VALUE"""),99999.0)</f>
        <v>99999</v>
      </c>
      <c r="Q1251" s="148" t="str">
        <f>IFERROR(__xludf.DUMMYFUNCTION("""COMPUTED_VALUE"""),"[""bag_other""]")</f>
        <v>["bag_other"]</v>
      </c>
      <c r="R1251" s="148" t="str">
        <f>IFERROR(__xludf.DUMMYFUNCTION("""COMPUTED_VALUE"""),"[""hero_level_exp""]")</f>
        <v>["hero_level_exp"]</v>
      </c>
      <c r="S1251" s="148" t="str">
        <f>IFERROR(__xludf.DUMMYFUNCTION("""COMPUTED_VALUE"""),"{""effect"":[{""typ"":""rss"",""id"":11141031,""val"":10000}]}")</f>
        <v>{"effect":[{"typ":"rss","id":11141031,"val":10000}]}</v>
      </c>
      <c r="T1251" s="148">
        <f>IFERROR(__xludf.DUMMYFUNCTION("""COMPUTED_VALUE"""),-1.0)</f>
        <v>-1</v>
      </c>
      <c r="U1251" s="148">
        <f>IFERROR(__xludf.DUMMYFUNCTION("""COMPUTED_VALUE"""),0.0)</f>
        <v>0</v>
      </c>
      <c r="V1251" s="148" t="str">
        <f>IFERROR(__xludf.DUMMYFUNCTION("""COMPUTED_VALUE"""),"[]")</f>
        <v>[]</v>
      </c>
      <c r="W1251" s="148">
        <f>IFERROR(__xludf.DUMMYFUNCTION("""COMPUTED_VALUE"""),1.1741002E7)</f>
        <v>11741002</v>
      </c>
      <c r="X1251" s="148">
        <f>IFERROR(__xludf.DUMMYFUNCTION("""COMPUTED_VALUE"""),0.0)</f>
        <v>0</v>
      </c>
      <c r="Y1251" s="148">
        <f>IFERROR(__xludf.DUMMYFUNCTION("""COMPUTED_VALUE"""),0.0)</f>
        <v>0</v>
      </c>
      <c r="Z1251" s="148"/>
    </row>
    <row r="1252">
      <c r="A1252" s="148">
        <f>IFERROR(__xludf.DUMMYFUNCTION("""COMPUTED_VALUE"""),1.1116006E7)</f>
        <v>11116006</v>
      </c>
      <c r="B1252" s="148" t="str">
        <f>IFERROR(__xludf.DUMMYFUNCTION("""COMPUTED_VALUE"""),"英雄经验-20000")</f>
        <v>英雄经验-20000</v>
      </c>
      <c r="C1252" s="148"/>
      <c r="D1252" s="148" t="str">
        <f>IFERROR(__xludf.DUMMYFUNCTION("""COMPUTED_VALUE"""),"item_hero_level_rss")</f>
        <v>item_hero_level_rss</v>
      </c>
      <c r="E1252" s="148">
        <f>IFERROR(__xludf.DUMMYFUNCTION("""COMPUTED_VALUE"""),28.0)</f>
        <v>28</v>
      </c>
      <c r="F1252" s="148">
        <f>IFERROR(__xludf.DUMMYFUNCTION("""COMPUTED_VALUE"""),413506.0)</f>
        <v>413506</v>
      </c>
      <c r="G1252" s="148">
        <f>IFERROR(__xludf.DUMMYFUNCTION("""COMPUTED_VALUE"""),1.5112782E7)</f>
        <v>15112782</v>
      </c>
      <c r="H1252" s="148">
        <f>IFERROR(__xludf.DUMMYFUNCTION("""COMPUTED_VALUE"""),1.5112563E7)</f>
        <v>15112563</v>
      </c>
      <c r="I1252" s="148" t="str">
        <f>IFERROR(__xludf.DUMMYFUNCTION("""COMPUTED_VALUE"""),"{""typ"":""lc"",""txt"":""LC_ITEM_rss_upper_show"",""args"":[{""typ"":""int"",""val"":20000}]}")</f>
        <v>{"typ":"lc","txt":"LC_ITEM_rss_upper_show","args":[{"typ":"int","val":20000}]}</v>
      </c>
      <c r="J1252" s="148" t="str">
        <f>IFERROR(__xludf.DUMMYFUNCTION("""COMPUTED_VALUE"""),"{""typ"":""lc"",""txt"":""LC_ITEM_hero_exp_name"",""args"":[{""typ"":""int"",""val"":20000}]}")</f>
        <v>{"typ":"lc","txt":"LC_ITEM_hero_exp_name","args":[{"typ":"int","val":20000}]}</v>
      </c>
      <c r="K1252" s="148" t="str">
        <f>IFERROR(__xludf.DUMMYFUNCTION("""COMPUTED_VALUE"""),"{""typ"":""lc"",""txt"":""LC_ITEM_hero_exp_desc"",""args"":[{""typ"":""int"",""val"":20000}]}")</f>
        <v>{"typ":"lc","txt":"LC_ITEM_hero_exp_desc","args":[{"typ":"int","val":20000}]}</v>
      </c>
      <c r="L1252" s="148" t="str">
        <f>IFERROR(__xludf.DUMMYFUNCTION("""COMPUTED_VALUE"""),"{""typ"":""lc"",""txt"":""LC_ITEM_hero_exp_usedtip""}")</f>
        <v>{"typ":"lc","txt":"LC_ITEM_hero_exp_usedtip"}</v>
      </c>
      <c r="M1252" s="148">
        <f>IFERROR(__xludf.DUMMYFUNCTION("""COMPUTED_VALUE"""),150.0)</f>
        <v>150</v>
      </c>
      <c r="N1252" s="148">
        <f>IFERROR(__xludf.DUMMYFUNCTION("""COMPUTED_VALUE"""),9999999.0)</f>
        <v>9999999</v>
      </c>
      <c r="O1252" s="148">
        <f>IFERROR(__xludf.DUMMYFUNCTION("""COMPUTED_VALUE"""),99999.0)</f>
        <v>99999</v>
      </c>
      <c r="P1252" s="148">
        <f>IFERROR(__xludf.DUMMYFUNCTION("""COMPUTED_VALUE"""),99999.0)</f>
        <v>99999</v>
      </c>
      <c r="Q1252" s="148" t="str">
        <f>IFERROR(__xludf.DUMMYFUNCTION("""COMPUTED_VALUE"""),"[""bag_other""]")</f>
        <v>["bag_other"]</v>
      </c>
      <c r="R1252" s="148" t="str">
        <f>IFERROR(__xludf.DUMMYFUNCTION("""COMPUTED_VALUE"""),"[""hero_level_exp""]")</f>
        <v>["hero_level_exp"]</v>
      </c>
      <c r="S1252" s="148" t="str">
        <f>IFERROR(__xludf.DUMMYFUNCTION("""COMPUTED_VALUE"""),"{""effect"":[{""typ"":""rss"",""id"":11141031,""val"":20000}]}")</f>
        <v>{"effect":[{"typ":"rss","id":11141031,"val":20000}]}</v>
      </c>
      <c r="T1252" s="148">
        <f>IFERROR(__xludf.DUMMYFUNCTION("""COMPUTED_VALUE"""),-1.0)</f>
        <v>-1</v>
      </c>
      <c r="U1252" s="148">
        <f>IFERROR(__xludf.DUMMYFUNCTION("""COMPUTED_VALUE"""),0.0)</f>
        <v>0</v>
      </c>
      <c r="V1252" s="148" t="str">
        <f>IFERROR(__xludf.DUMMYFUNCTION("""COMPUTED_VALUE"""),"[]")</f>
        <v>[]</v>
      </c>
      <c r="W1252" s="148">
        <f>IFERROR(__xludf.DUMMYFUNCTION("""COMPUTED_VALUE"""),1.1741002E7)</f>
        <v>11741002</v>
      </c>
      <c r="X1252" s="148">
        <f>IFERROR(__xludf.DUMMYFUNCTION("""COMPUTED_VALUE"""),0.0)</f>
        <v>0</v>
      </c>
      <c r="Y1252" s="148">
        <f>IFERROR(__xludf.DUMMYFUNCTION("""COMPUTED_VALUE"""),0.0)</f>
        <v>0</v>
      </c>
      <c r="Z1252" s="148"/>
    </row>
    <row r="1253">
      <c r="A1253" s="148">
        <f>IFERROR(__xludf.DUMMYFUNCTION("""COMPUTED_VALUE"""),1.1116007E7)</f>
        <v>11116007</v>
      </c>
      <c r="B1253" s="148" t="str">
        <f>IFERROR(__xludf.DUMMYFUNCTION("""COMPUTED_VALUE"""),"英雄经验-50000")</f>
        <v>英雄经验-50000</v>
      </c>
      <c r="C1253" s="148"/>
      <c r="D1253" s="148" t="str">
        <f>IFERROR(__xludf.DUMMYFUNCTION("""COMPUTED_VALUE"""),"item_hero_level_rss")</f>
        <v>item_hero_level_rss</v>
      </c>
      <c r="E1253" s="148">
        <f>IFERROR(__xludf.DUMMYFUNCTION("""COMPUTED_VALUE"""),28.0)</f>
        <v>28</v>
      </c>
      <c r="F1253" s="148">
        <f>IFERROR(__xludf.DUMMYFUNCTION("""COMPUTED_VALUE"""),413507.0)</f>
        <v>413507</v>
      </c>
      <c r="G1253" s="148">
        <f>IFERROR(__xludf.DUMMYFUNCTION("""COMPUTED_VALUE"""),1.5112782E7)</f>
        <v>15112782</v>
      </c>
      <c r="H1253" s="148">
        <f>IFERROR(__xludf.DUMMYFUNCTION("""COMPUTED_VALUE"""),1.5112563E7)</f>
        <v>15112563</v>
      </c>
      <c r="I1253" s="148" t="str">
        <f>IFERROR(__xludf.DUMMYFUNCTION("""COMPUTED_VALUE"""),"{""typ"":""lc"",""txt"":""LC_ITEM_rss_upper_show"",""args"":[{""typ"":""int"",""val"":50000}]}")</f>
        <v>{"typ":"lc","txt":"LC_ITEM_rss_upper_show","args":[{"typ":"int","val":50000}]}</v>
      </c>
      <c r="J1253" s="148" t="str">
        <f>IFERROR(__xludf.DUMMYFUNCTION("""COMPUTED_VALUE"""),"{""typ"":""lc"",""txt"":""LC_ITEM_hero_exp_name"",""args"":[{""typ"":""int"",""val"":50000}]}")</f>
        <v>{"typ":"lc","txt":"LC_ITEM_hero_exp_name","args":[{"typ":"int","val":50000}]}</v>
      </c>
      <c r="K1253" s="148" t="str">
        <f>IFERROR(__xludf.DUMMYFUNCTION("""COMPUTED_VALUE"""),"{""typ"":""lc"",""txt"":""LC_ITEM_hero_exp_desc"",""args"":[{""typ"":""int"",""val"":50000}]}")</f>
        <v>{"typ":"lc","txt":"LC_ITEM_hero_exp_desc","args":[{"typ":"int","val":50000}]}</v>
      </c>
      <c r="L1253" s="148" t="str">
        <f>IFERROR(__xludf.DUMMYFUNCTION("""COMPUTED_VALUE"""),"{""typ"":""lc"",""txt"":""LC_ITEM_hero_exp_usedtip""}")</f>
        <v>{"typ":"lc","txt":"LC_ITEM_hero_exp_usedtip"}</v>
      </c>
      <c r="M1253" s="148">
        <f>IFERROR(__xludf.DUMMYFUNCTION("""COMPUTED_VALUE"""),300.0)</f>
        <v>300</v>
      </c>
      <c r="N1253" s="148">
        <f>IFERROR(__xludf.DUMMYFUNCTION("""COMPUTED_VALUE"""),9999999.0)</f>
        <v>9999999</v>
      </c>
      <c r="O1253" s="148">
        <f>IFERROR(__xludf.DUMMYFUNCTION("""COMPUTED_VALUE"""),99999.0)</f>
        <v>99999</v>
      </c>
      <c r="P1253" s="148">
        <f>IFERROR(__xludf.DUMMYFUNCTION("""COMPUTED_VALUE"""),99999.0)</f>
        <v>99999</v>
      </c>
      <c r="Q1253" s="148" t="str">
        <f>IFERROR(__xludf.DUMMYFUNCTION("""COMPUTED_VALUE"""),"[""bag_other""]")</f>
        <v>["bag_other"]</v>
      </c>
      <c r="R1253" s="148" t="str">
        <f>IFERROR(__xludf.DUMMYFUNCTION("""COMPUTED_VALUE"""),"[""hero_level_exp""]")</f>
        <v>["hero_level_exp"]</v>
      </c>
      <c r="S1253" s="148" t="str">
        <f>IFERROR(__xludf.DUMMYFUNCTION("""COMPUTED_VALUE"""),"{""effect"":[{""typ"":""rss"",""id"":11141031,""val"":50000}]}")</f>
        <v>{"effect":[{"typ":"rss","id":11141031,"val":50000}]}</v>
      </c>
      <c r="T1253" s="148">
        <f>IFERROR(__xludf.DUMMYFUNCTION("""COMPUTED_VALUE"""),-1.0)</f>
        <v>-1</v>
      </c>
      <c r="U1253" s="148">
        <f>IFERROR(__xludf.DUMMYFUNCTION("""COMPUTED_VALUE"""),0.0)</f>
        <v>0</v>
      </c>
      <c r="V1253" s="148" t="str">
        <f>IFERROR(__xludf.DUMMYFUNCTION("""COMPUTED_VALUE"""),"[]")</f>
        <v>[]</v>
      </c>
      <c r="W1253" s="148">
        <f>IFERROR(__xludf.DUMMYFUNCTION("""COMPUTED_VALUE"""),1.1741002E7)</f>
        <v>11741002</v>
      </c>
      <c r="X1253" s="148">
        <f>IFERROR(__xludf.DUMMYFUNCTION("""COMPUTED_VALUE"""),0.0)</f>
        <v>0</v>
      </c>
      <c r="Y1253" s="148">
        <f>IFERROR(__xludf.DUMMYFUNCTION("""COMPUTED_VALUE"""),0.0)</f>
        <v>0</v>
      </c>
      <c r="Z1253" s="148"/>
    </row>
    <row r="1254">
      <c r="A1254" s="148">
        <f>IFERROR(__xludf.DUMMYFUNCTION("""COMPUTED_VALUE"""),1.1116101E7)</f>
        <v>11116101</v>
      </c>
      <c r="B1254" s="148" t="str">
        <f>IFERROR(__xludf.DUMMYFUNCTION("""COMPUTED_VALUE"""),"英雄升星-绿色-小")</f>
        <v>英雄升星-绿色-小</v>
      </c>
      <c r="C1254" s="148"/>
      <c r="D1254" s="148" t="str">
        <f>IFERROR(__xludf.DUMMYFUNCTION("""COMPUTED_VALUE"""),"item_hero_star_rss")</f>
        <v>item_hero_star_rss</v>
      </c>
      <c r="E1254" s="148">
        <f>IFERROR(__xludf.DUMMYFUNCTION("""COMPUTED_VALUE"""),0.0)</f>
        <v>0</v>
      </c>
      <c r="F1254" s="148">
        <f>IFERROR(__xludf.DUMMYFUNCTION("""COMPUTED_VALUE"""),412412.0)</f>
        <v>412412</v>
      </c>
      <c r="G1254" s="148">
        <f>IFERROR(__xludf.DUMMYFUNCTION("""COMPUTED_VALUE"""),1.5112783E7)</f>
        <v>15112783</v>
      </c>
      <c r="H1254" s="148">
        <f>IFERROR(__xludf.DUMMYFUNCTION("""COMPUTED_VALUE"""),1.5112561E7)</f>
        <v>15112561</v>
      </c>
      <c r="I1254" s="148" t="str">
        <f>IFERROR(__xludf.DUMMYFUNCTION("""COMPUTED_VALUE"""),"{}")</f>
        <v>{}</v>
      </c>
      <c r="J1254" s="148" t="str">
        <f>IFERROR(__xludf.DUMMYFUNCTION("""COMPUTED_VALUE"""),"{""typ"":""lc"",""txt"":""LC_ITEM_hero_star_exp_green_s_name""}")</f>
        <v>{"typ":"lc","txt":"LC_ITEM_hero_star_exp_green_s_name"}</v>
      </c>
      <c r="K1254" s="148" t="str">
        <f>IFERROR(__xludf.DUMMYFUNCTION("""COMPUTED_VALUE"""),"{""typ"":""lc"",""txt"":""LC_ITEM_hero_star_exp_green_desc""}")</f>
        <v>{"typ":"lc","txt":"LC_ITEM_hero_star_exp_green_desc"}</v>
      </c>
      <c r="L1254" s="148" t="str">
        <f>IFERROR(__xludf.DUMMYFUNCTION("""COMPUTED_VALUE"""),"{""typ"":""lc"",""txt"":""LC_ITEM_hero_star_exp_usedtip""}")</f>
        <v>{"typ":"lc","txt":"LC_ITEM_hero_star_exp_usedtip"}</v>
      </c>
      <c r="M1254" s="148">
        <f>IFERROR(__xludf.DUMMYFUNCTION("""COMPUTED_VALUE"""),25.0)</f>
        <v>25</v>
      </c>
      <c r="N1254" s="148">
        <f>IFERROR(__xludf.DUMMYFUNCTION("""COMPUTED_VALUE"""),9999999.0)</f>
        <v>9999999</v>
      </c>
      <c r="O1254" s="148">
        <f>IFERROR(__xludf.DUMMYFUNCTION("""COMPUTED_VALUE"""),99999.0)</f>
        <v>99999</v>
      </c>
      <c r="P1254" s="148">
        <f>IFERROR(__xludf.DUMMYFUNCTION("""COMPUTED_VALUE"""),99999.0)</f>
        <v>99999</v>
      </c>
      <c r="Q1254" s="148" t="str">
        <f>IFERROR(__xludf.DUMMYFUNCTION("""COMPUTED_VALUE"""),"[""bag_other""]")</f>
        <v>["bag_other"]</v>
      </c>
      <c r="R1254" s="148" t="str">
        <f>IFERROR(__xludf.DUMMYFUNCTION("""COMPUTED_VALUE"""),"[]")</f>
        <v>[]</v>
      </c>
      <c r="S1254" s="148" t="str">
        <f>IFERROR(__xludf.DUMMYFUNCTION("""COMPUTED_VALUE"""),"{""effect"":[{""typ"":""rss"",""id"":11141032,""val"":100},{""typ"":""rss"",""id"":11141034,""val"":1000}]}")</f>
        <v>{"effect":[{"typ":"rss","id":11141032,"val":100},{"typ":"rss","id":11141034,"val":1000}]}</v>
      </c>
      <c r="T1254" s="148">
        <f>IFERROR(__xludf.DUMMYFUNCTION("""COMPUTED_VALUE"""),-1.0)</f>
        <v>-1</v>
      </c>
      <c r="U1254" s="148">
        <f>IFERROR(__xludf.DUMMYFUNCTION("""COMPUTED_VALUE"""),0.0)</f>
        <v>0</v>
      </c>
      <c r="V1254" s="148" t="str">
        <f>IFERROR(__xludf.DUMMYFUNCTION("""COMPUTED_VALUE"""),"[]")</f>
        <v>[]</v>
      </c>
      <c r="W1254" s="148">
        <f>IFERROR(__xludf.DUMMYFUNCTION("""COMPUTED_VALUE"""),1.1741002E7)</f>
        <v>11741002</v>
      </c>
      <c r="X1254" s="148">
        <f>IFERROR(__xludf.DUMMYFUNCTION("""COMPUTED_VALUE"""),0.0)</f>
        <v>0</v>
      </c>
      <c r="Y1254" s="148">
        <f>IFERROR(__xludf.DUMMYFUNCTION("""COMPUTED_VALUE"""),0.0)</f>
        <v>0</v>
      </c>
      <c r="Z1254" s="148"/>
    </row>
    <row r="1255">
      <c r="A1255" s="148">
        <f>IFERROR(__xludf.DUMMYFUNCTION("""COMPUTED_VALUE"""),1.1116102E7)</f>
        <v>11116102</v>
      </c>
      <c r="B1255" s="148" t="str">
        <f>IFERROR(__xludf.DUMMYFUNCTION("""COMPUTED_VALUE"""),"英雄升星-绿色-中")</f>
        <v>英雄升星-绿色-中</v>
      </c>
      <c r="C1255" s="148"/>
      <c r="D1255" s="148" t="str">
        <f>IFERROR(__xludf.DUMMYFUNCTION("""COMPUTED_VALUE"""),"item_hero_star_rss")</f>
        <v>item_hero_star_rss</v>
      </c>
      <c r="E1255" s="148">
        <f>IFERROR(__xludf.DUMMYFUNCTION("""COMPUTED_VALUE"""),0.0)</f>
        <v>0</v>
      </c>
      <c r="F1255" s="148">
        <f>IFERROR(__xludf.DUMMYFUNCTION("""COMPUTED_VALUE"""),412411.0)</f>
        <v>412411</v>
      </c>
      <c r="G1255" s="148">
        <f>IFERROR(__xludf.DUMMYFUNCTION("""COMPUTED_VALUE"""),1.5112784E7)</f>
        <v>15112784</v>
      </c>
      <c r="H1255" s="148">
        <f>IFERROR(__xludf.DUMMYFUNCTION("""COMPUTED_VALUE"""),1.5112561E7)</f>
        <v>15112561</v>
      </c>
      <c r="I1255" s="148" t="str">
        <f>IFERROR(__xludf.DUMMYFUNCTION("""COMPUTED_VALUE"""),"{}")</f>
        <v>{}</v>
      </c>
      <c r="J1255" s="148" t="str">
        <f>IFERROR(__xludf.DUMMYFUNCTION("""COMPUTED_VALUE"""),"{""typ"":""lc"",""txt"":""LC_ITEM_hero_star_exp_green_m_name""}")</f>
        <v>{"typ":"lc","txt":"LC_ITEM_hero_star_exp_green_m_name"}</v>
      </c>
      <c r="K1255" s="148" t="str">
        <f>IFERROR(__xludf.DUMMYFUNCTION("""COMPUTED_VALUE"""),"{""typ"":""lc"",""txt"":""LC_ITEM_hero_star_exp_green_desc""}")</f>
        <v>{"typ":"lc","txt":"LC_ITEM_hero_star_exp_green_desc"}</v>
      </c>
      <c r="L1255" s="148" t="str">
        <f>IFERROR(__xludf.DUMMYFUNCTION("""COMPUTED_VALUE"""),"{""typ"":""lc"",""txt"":""LC_ITEM_hero_star_exp_usedtip""}")</f>
        <v>{"typ":"lc","txt":"LC_ITEM_hero_star_exp_usedtip"}</v>
      </c>
      <c r="M1255" s="148">
        <f>IFERROR(__xludf.DUMMYFUNCTION("""COMPUTED_VALUE"""),100.0)</f>
        <v>100</v>
      </c>
      <c r="N1255" s="148">
        <f>IFERROR(__xludf.DUMMYFUNCTION("""COMPUTED_VALUE"""),9999999.0)</f>
        <v>9999999</v>
      </c>
      <c r="O1255" s="148">
        <f>IFERROR(__xludf.DUMMYFUNCTION("""COMPUTED_VALUE"""),99999.0)</f>
        <v>99999</v>
      </c>
      <c r="P1255" s="148">
        <f>IFERROR(__xludf.DUMMYFUNCTION("""COMPUTED_VALUE"""),99999.0)</f>
        <v>99999</v>
      </c>
      <c r="Q1255" s="148" t="str">
        <f>IFERROR(__xludf.DUMMYFUNCTION("""COMPUTED_VALUE"""),"[""bag_other""]")</f>
        <v>["bag_other"]</v>
      </c>
      <c r="R1255" s="148" t="str">
        <f>IFERROR(__xludf.DUMMYFUNCTION("""COMPUTED_VALUE"""),"[]")</f>
        <v>[]</v>
      </c>
      <c r="S1255" s="148" t="str">
        <f>IFERROR(__xludf.DUMMYFUNCTION("""COMPUTED_VALUE"""),"{""effect"":[{""typ"":""rss"",""id"":11141032,""val"":400},{""typ"":""rss"",""id"":11141034,""val"":2000}]}")</f>
        <v>{"effect":[{"typ":"rss","id":11141032,"val":400},{"typ":"rss","id":11141034,"val":2000}]}</v>
      </c>
      <c r="T1255" s="148">
        <f>IFERROR(__xludf.DUMMYFUNCTION("""COMPUTED_VALUE"""),-1.0)</f>
        <v>-1</v>
      </c>
      <c r="U1255" s="148">
        <f>IFERROR(__xludf.DUMMYFUNCTION("""COMPUTED_VALUE"""),0.0)</f>
        <v>0</v>
      </c>
      <c r="V1255" s="148" t="str">
        <f>IFERROR(__xludf.DUMMYFUNCTION("""COMPUTED_VALUE"""),"[]")</f>
        <v>[]</v>
      </c>
      <c r="W1255" s="148">
        <f>IFERROR(__xludf.DUMMYFUNCTION("""COMPUTED_VALUE"""),1.1741002E7)</f>
        <v>11741002</v>
      </c>
      <c r="X1255" s="148">
        <f>IFERROR(__xludf.DUMMYFUNCTION("""COMPUTED_VALUE"""),0.0)</f>
        <v>0</v>
      </c>
      <c r="Y1255" s="148">
        <f>IFERROR(__xludf.DUMMYFUNCTION("""COMPUTED_VALUE"""),0.0)</f>
        <v>0</v>
      </c>
      <c r="Z1255" s="148"/>
    </row>
    <row r="1256">
      <c r="A1256" s="148">
        <f>IFERROR(__xludf.DUMMYFUNCTION("""COMPUTED_VALUE"""),1.1116103E7)</f>
        <v>11116103</v>
      </c>
      <c r="B1256" s="148" t="str">
        <f>IFERROR(__xludf.DUMMYFUNCTION("""COMPUTED_VALUE"""),"英雄升星-绿色-大")</f>
        <v>英雄升星-绿色-大</v>
      </c>
      <c r="C1256" s="148"/>
      <c r="D1256" s="148" t="str">
        <f>IFERROR(__xludf.DUMMYFUNCTION("""COMPUTED_VALUE"""),"item_hero_star_rss")</f>
        <v>item_hero_star_rss</v>
      </c>
      <c r="E1256" s="148">
        <f>IFERROR(__xludf.DUMMYFUNCTION("""COMPUTED_VALUE"""),0.0)</f>
        <v>0</v>
      </c>
      <c r="F1256" s="148">
        <f>IFERROR(__xludf.DUMMYFUNCTION("""COMPUTED_VALUE"""),412410.0)</f>
        <v>412410</v>
      </c>
      <c r="G1256" s="148">
        <f>IFERROR(__xludf.DUMMYFUNCTION("""COMPUTED_VALUE"""),1.5112785E7)</f>
        <v>15112785</v>
      </c>
      <c r="H1256" s="148">
        <f>IFERROR(__xludf.DUMMYFUNCTION("""COMPUTED_VALUE"""),1.5112561E7)</f>
        <v>15112561</v>
      </c>
      <c r="I1256" s="148" t="str">
        <f>IFERROR(__xludf.DUMMYFUNCTION("""COMPUTED_VALUE"""),"{}")</f>
        <v>{}</v>
      </c>
      <c r="J1256" s="148" t="str">
        <f>IFERROR(__xludf.DUMMYFUNCTION("""COMPUTED_VALUE"""),"{""typ"":""lc"",""txt"":""LC_ITEM_hero_star_exp_green_l_name""}")</f>
        <v>{"typ":"lc","txt":"LC_ITEM_hero_star_exp_green_l_name"}</v>
      </c>
      <c r="K1256" s="148" t="str">
        <f>IFERROR(__xludf.DUMMYFUNCTION("""COMPUTED_VALUE"""),"{""typ"":""lc"",""txt"":""LC_ITEM_hero_star_exp_green_desc""}")</f>
        <v>{"typ":"lc","txt":"LC_ITEM_hero_star_exp_green_desc"}</v>
      </c>
      <c r="L1256" s="148" t="str">
        <f>IFERROR(__xludf.DUMMYFUNCTION("""COMPUTED_VALUE"""),"{""typ"":""lc"",""txt"":""LC_ITEM_hero_star_exp_usedtip""}")</f>
        <v>{"typ":"lc","txt":"LC_ITEM_hero_star_exp_usedtip"}</v>
      </c>
      <c r="M1256" s="148">
        <f>IFERROR(__xludf.DUMMYFUNCTION("""COMPUTED_VALUE"""),150.0)</f>
        <v>150</v>
      </c>
      <c r="N1256" s="148">
        <f>IFERROR(__xludf.DUMMYFUNCTION("""COMPUTED_VALUE"""),9999999.0)</f>
        <v>9999999</v>
      </c>
      <c r="O1256" s="148">
        <f>IFERROR(__xludf.DUMMYFUNCTION("""COMPUTED_VALUE"""),99999.0)</f>
        <v>99999</v>
      </c>
      <c r="P1256" s="148">
        <f>IFERROR(__xludf.DUMMYFUNCTION("""COMPUTED_VALUE"""),99999.0)</f>
        <v>99999</v>
      </c>
      <c r="Q1256" s="148" t="str">
        <f>IFERROR(__xludf.DUMMYFUNCTION("""COMPUTED_VALUE"""),"[""bag_other""]")</f>
        <v>["bag_other"]</v>
      </c>
      <c r="R1256" s="148" t="str">
        <f>IFERROR(__xludf.DUMMYFUNCTION("""COMPUTED_VALUE"""),"[]")</f>
        <v>[]</v>
      </c>
      <c r="S1256" s="148" t="str">
        <f>IFERROR(__xludf.DUMMYFUNCTION("""COMPUTED_VALUE"""),"{""effect"":[{""typ"":""rss"",""id"":11141032,""val"":800},{""typ"":""rss"",""id"":11141034,""val"":500}]}")</f>
        <v>{"effect":[{"typ":"rss","id":11141032,"val":800},{"typ":"rss","id":11141034,"val":500}]}</v>
      </c>
      <c r="T1256" s="148">
        <f>IFERROR(__xludf.DUMMYFUNCTION("""COMPUTED_VALUE"""),-1.0)</f>
        <v>-1</v>
      </c>
      <c r="U1256" s="148">
        <f>IFERROR(__xludf.DUMMYFUNCTION("""COMPUTED_VALUE"""),0.0)</f>
        <v>0</v>
      </c>
      <c r="V1256" s="148" t="str">
        <f>IFERROR(__xludf.DUMMYFUNCTION("""COMPUTED_VALUE"""),"[]")</f>
        <v>[]</v>
      </c>
      <c r="W1256" s="148">
        <f>IFERROR(__xludf.DUMMYFUNCTION("""COMPUTED_VALUE"""),1.1741002E7)</f>
        <v>11741002</v>
      </c>
      <c r="X1256" s="148">
        <f>IFERROR(__xludf.DUMMYFUNCTION("""COMPUTED_VALUE"""),0.0)</f>
        <v>0</v>
      </c>
      <c r="Y1256" s="148">
        <f>IFERROR(__xludf.DUMMYFUNCTION("""COMPUTED_VALUE"""),0.0)</f>
        <v>0</v>
      </c>
      <c r="Z1256" s="148"/>
    </row>
    <row r="1257">
      <c r="A1257" s="148">
        <f>IFERROR(__xludf.DUMMYFUNCTION("""COMPUTED_VALUE"""),1.1116104E7)</f>
        <v>11116104</v>
      </c>
      <c r="B1257" s="148" t="str">
        <f>IFERROR(__xludf.DUMMYFUNCTION("""COMPUTED_VALUE"""),"英雄升星-蓝色-小")</f>
        <v>英雄升星-蓝色-小</v>
      </c>
      <c r="C1257" s="148"/>
      <c r="D1257" s="148" t="str">
        <f>IFERROR(__xludf.DUMMYFUNCTION("""COMPUTED_VALUE"""),"item_hero_star_rss")</f>
        <v>item_hero_star_rss</v>
      </c>
      <c r="E1257" s="148">
        <f>IFERROR(__xludf.DUMMYFUNCTION("""COMPUTED_VALUE"""),0.0)</f>
        <v>0</v>
      </c>
      <c r="F1257" s="148">
        <f>IFERROR(__xludf.DUMMYFUNCTION("""COMPUTED_VALUE"""),412309.0)</f>
        <v>412309</v>
      </c>
      <c r="G1257" s="148">
        <f>IFERROR(__xludf.DUMMYFUNCTION("""COMPUTED_VALUE"""),1.5112786E7)</f>
        <v>15112786</v>
      </c>
      <c r="H1257" s="148">
        <f>IFERROR(__xludf.DUMMYFUNCTION("""COMPUTED_VALUE"""),1.5112562E7)</f>
        <v>15112562</v>
      </c>
      <c r="I1257" s="148" t="str">
        <f>IFERROR(__xludf.DUMMYFUNCTION("""COMPUTED_VALUE"""),"{}")</f>
        <v>{}</v>
      </c>
      <c r="J1257" s="148" t="str">
        <f>IFERROR(__xludf.DUMMYFUNCTION("""COMPUTED_VALUE"""),"{""typ"":""lc"",""txt"":""LC_ITEM_hero_star_exp_blue_s_name""}")</f>
        <v>{"typ":"lc","txt":"LC_ITEM_hero_star_exp_blue_s_name"}</v>
      </c>
      <c r="K1257" s="148" t="str">
        <f>IFERROR(__xludf.DUMMYFUNCTION("""COMPUTED_VALUE"""),"{""typ"":""lc"",""txt"":""LC_ITEM_hero_star_exp_blue_desc""}")</f>
        <v>{"typ":"lc","txt":"LC_ITEM_hero_star_exp_blue_desc"}</v>
      </c>
      <c r="L1257" s="148" t="str">
        <f>IFERROR(__xludf.DUMMYFUNCTION("""COMPUTED_VALUE"""),"{""typ"":""lc"",""txt"":""LC_ITEM_hero_star_exp_usedtip""}")</f>
        <v>{"typ":"lc","txt":"LC_ITEM_hero_star_exp_usedtip"}</v>
      </c>
      <c r="M1257" s="148">
        <f>IFERROR(__xludf.DUMMYFUNCTION("""COMPUTED_VALUE"""),50.0)</f>
        <v>50</v>
      </c>
      <c r="N1257" s="148">
        <f>IFERROR(__xludf.DUMMYFUNCTION("""COMPUTED_VALUE"""),9999999.0)</f>
        <v>9999999</v>
      </c>
      <c r="O1257" s="148">
        <f>IFERROR(__xludf.DUMMYFUNCTION("""COMPUTED_VALUE"""),99999.0)</f>
        <v>99999</v>
      </c>
      <c r="P1257" s="148">
        <f>IFERROR(__xludf.DUMMYFUNCTION("""COMPUTED_VALUE"""),99999.0)</f>
        <v>99999</v>
      </c>
      <c r="Q1257" s="148" t="str">
        <f>IFERROR(__xludf.DUMMYFUNCTION("""COMPUTED_VALUE"""),"[""bag_other""]")</f>
        <v>["bag_other"]</v>
      </c>
      <c r="R1257" s="148" t="str">
        <f>IFERROR(__xludf.DUMMYFUNCTION("""COMPUTED_VALUE"""),"[]")</f>
        <v>[]</v>
      </c>
      <c r="S1257" s="148" t="str">
        <f>IFERROR(__xludf.DUMMYFUNCTION("""COMPUTED_VALUE"""),"{""effect"":[{""typ"":""rss"",""id"":11141032,""val"":100},{""typ"":""rss"",""id"":11141034,""val"":1000}]}")</f>
        <v>{"effect":[{"typ":"rss","id":11141032,"val":100},{"typ":"rss","id":11141034,"val":1000}]}</v>
      </c>
      <c r="T1257" s="148">
        <f>IFERROR(__xludf.DUMMYFUNCTION("""COMPUTED_VALUE"""),-1.0)</f>
        <v>-1</v>
      </c>
      <c r="U1257" s="148">
        <f>IFERROR(__xludf.DUMMYFUNCTION("""COMPUTED_VALUE"""),0.0)</f>
        <v>0</v>
      </c>
      <c r="V1257" s="148" t="str">
        <f>IFERROR(__xludf.DUMMYFUNCTION("""COMPUTED_VALUE"""),"[]")</f>
        <v>[]</v>
      </c>
      <c r="W1257" s="148">
        <f>IFERROR(__xludf.DUMMYFUNCTION("""COMPUTED_VALUE"""),1.1741002E7)</f>
        <v>11741002</v>
      </c>
      <c r="X1257" s="148">
        <f>IFERROR(__xludf.DUMMYFUNCTION("""COMPUTED_VALUE"""),0.0)</f>
        <v>0</v>
      </c>
      <c r="Y1257" s="148">
        <f>IFERROR(__xludf.DUMMYFUNCTION("""COMPUTED_VALUE"""),0.0)</f>
        <v>0</v>
      </c>
      <c r="Z1257" s="148"/>
    </row>
    <row r="1258">
      <c r="A1258" s="148">
        <f>IFERROR(__xludf.DUMMYFUNCTION("""COMPUTED_VALUE"""),1.1116105E7)</f>
        <v>11116105</v>
      </c>
      <c r="B1258" s="148" t="str">
        <f>IFERROR(__xludf.DUMMYFUNCTION("""COMPUTED_VALUE"""),"英雄升星-蓝色-中")</f>
        <v>英雄升星-蓝色-中</v>
      </c>
      <c r="C1258" s="148"/>
      <c r="D1258" s="148" t="str">
        <f>IFERROR(__xludf.DUMMYFUNCTION("""COMPUTED_VALUE"""),"item_hero_star_rss")</f>
        <v>item_hero_star_rss</v>
      </c>
      <c r="E1258" s="148">
        <f>IFERROR(__xludf.DUMMYFUNCTION("""COMPUTED_VALUE"""),0.0)</f>
        <v>0</v>
      </c>
      <c r="F1258" s="148">
        <f>IFERROR(__xludf.DUMMYFUNCTION("""COMPUTED_VALUE"""),412308.0)</f>
        <v>412308</v>
      </c>
      <c r="G1258" s="148">
        <f>IFERROR(__xludf.DUMMYFUNCTION("""COMPUTED_VALUE"""),1.5112787E7)</f>
        <v>15112787</v>
      </c>
      <c r="H1258" s="148">
        <f>IFERROR(__xludf.DUMMYFUNCTION("""COMPUTED_VALUE"""),1.5112562E7)</f>
        <v>15112562</v>
      </c>
      <c r="I1258" s="148" t="str">
        <f>IFERROR(__xludf.DUMMYFUNCTION("""COMPUTED_VALUE"""),"{}")</f>
        <v>{}</v>
      </c>
      <c r="J1258" s="148" t="str">
        <f>IFERROR(__xludf.DUMMYFUNCTION("""COMPUTED_VALUE"""),"{""typ"":""lc"",""txt"":""LC_ITEM_hero_star_exp_blue_m_name""}")</f>
        <v>{"typ":"lc","txt":"LC_ITEM_hero_star_exp_blue_m_name"}</v>
      </c>
      <c r="K1258" s="148" t="str">
        <f>IFERROR(__xludf.DUMMYFUNCTION("""COMPUTED_VALUE"""),"{""typ"":""lc"",""txt"":""LC_ITEM_hero_star_exp_blue_desc""}")</f>
        <v>{"typ":"lc","txt":"LC_ITEM_hero_star_exp_blue_desc"}</v>
      </c>
      <c r="L1258" s="148" t="str">
        <f>IFERROR(__xludf.DUMMYFUNCTION("""COMPUTED_VALUE"""),"{""typ"":""lc"",""txt"":""LC_ITEM_hero_star_exp_usedtip""}")</f>
        <v>{"typ":"lc","txt":"LC_ITEM_hero_star_exp_usedtip"}</v>
      </c>
      <c r="M1258" s="148">
        <f>IFERROR(__xludf.DUMMYFUNCTION("""COMPUTED_VALUE"""),200.0)</f>
        <v>200</v>
      </c>
      <c r="N1258" s="148">
        <f>IFERROR(__xludf.DUMMYFUNCTION("""COMPUTED_VALUE"""),9999999.0)</f>
        <v>9999999</v>
      </c>
      <c r="O1258" s="148">
        <f>IFERROR(__xludf.DUMMYFUNCTION("""COMPUTED_VALUE"""),99999.0)</f>
        <v>99999</v>
      </c>
      <c r="P1258" s="148">
        <f>IFERROR(__xludf.DUMMYFUNCTION("""COMPUTED_VALUE"""),99999.0)</f>
        <v>99999</v>
      </c>
      <c r="Q1258" s="148" t="str">
        <f>IFERROR(__xludf.DUMMYFUNCTION("""COMPUTED_VALUE"""),"[""bag_other""]")</f>
        <v>["bag_other"]</v>
      </c>
      <c r="R1258" s="148" t="str">
        <f>IFERROR(__xludf.DUMMYFUNCTION("""COMPUTED_VALUE"""),"[]")</f>
        <v>[]</v>
      </c>
      <c r="S1258" s="148" t="str">
        <f>IFERROR(__xludf.DUMMYFUNCTION("""COMPUTED_VALUE"""),"{""effect"":[{""typ"":""rss"",""id"":11141032,""val"":400},{""typ"":""rss"",""id"":11141034,""val"":2000}]}")</f>
        <v>{"effect":[{"typ":"rss","id":11141032,"val":400},{"typ":"rss","id":11141034,"val":2000}]}</v>
      </c>
      <c r="T1258" s="148">
        <f>IFERROR(__xludf.DUMMYFUNCTION("""COMPUTED_VALUE"""),-1.0)</f>
        <v>-1</v>
      </c>
      <c r="U1258" s="148">
        <f>IFERROR(__xludf.DUMMYFUNCTION("""COMPUTED_VALUE"""),0.0)</f>
        <v>0</v>
      </c>
      <c r="V1258" s="148" t="str">
        <f>IFERROR(__xludf.DUMMYFUNCTION("""COMPUTED_VALUE"""),"[]")</f>
        <v>[]</v>
      </c>
      <c r="W1258" s="148">
        <f>IFERROR(__xludf.DUMMYFUNCTION("""COMPUTED_VALUE"""),1.1741002E7)</f>
        <v>11741002</v>
      </c>
      <c r="X1258" s="148">
        <f>IFERROR(__xludf.DUMMYFUNCTION("""COMPUTED_VALUE"""),0.0)</f>
        <v>0</v>
      </c>
      <c r="Y1258" s="148">
        <f>IFERROR(__xludf.DUMMYFUNCTION("""COMPUTED_VALUE"""),0.0)</f>
        <v>0</v>
      </c>
      <c r="Z1258" s="148"/>
    </row>
    <row r="1259">
      <c r="A1259" s="148">
        <f>IFERROR(__xludf.DUMMYFUNCTION("""COMPUTED_VALUE"""),1.1116106E7)</f>
        <v>11116106</v>
      </c>
      <c r="B1259" s="148" t="str">
        <f>IFERROR(__xludf.DUMMYFUNCTION("""COMPUTED_VALUE"""),"英雄升星-蓝色-大")</f>
        <v>英雄升星-蓝色-大</v>
      </c>
      <c r="C1259" s="148"/>
      <c r="D1259" s="148" t="str">
        <f>IFERROR(__xludf.DUMMYFUNCTION("""COMPUTED_VALUE"""),"item_hero_star_rss")</f>
        <v>item_hero_star_rss</v>
      </c>
      <c r="E1259" s="148">
        <f>IFERROR(__xludf.DUMMYFUNCTION("""COMPUTED_VALUE"""),0.0)</f>
        <v>0</v>
      </c>
      <c r="F1259" s="148">
        <f>IFERROR(__xludf.DUMMYFUNCTION("""COMPUTED_VALUE"""),412307.0)</f>
        <v>412307</v>
      </c>
      <c r="G1259" s="148">
        <f>IFERROR(__xludf.DUMMYFUNCTION("""COMPUTED_VALUE"""),1.5112788E7)</f>
        <v>15112788</v>
      </c>
      <c r="H1259" s="148">
        <f>IFERROR(__xludf.DUMMYFUNCTION("""COMPUTED_VALUE"""),1.5112562E7)</f>
        <v>15112562</v>
      </c>
      <c r="I1259" s="148" t="str">
        <f>IFERROR(__xludf.DUMMYFUNCTION("""COMPUTED_VALUE"""),"{}")</f>
        <v>{}</v>
      </c>
      <c r="J1259" s="148" t="str">
        <f>IFERROR(__xludf.DUMMYFUNCTION("""COMPUTED_VALUE"""),"{""typ"":""lc"",""txt"":""LC_ITEM_hero_star_exp_blue_l_name""}")</f>
        <v>{"typ":"lc","txt":"LC_ITEM_hero_star_exp_blue_l_name"}</v>
      </c>
      <c r="K1259" s="148" t="str">
        <f>IFERROR(__xludf.DUMMYFUNCTION("""COMPUTED_VALUE"""),"{""typ"":""lc"",""txt"":""LC_ITEM_hero_star_exp_blue_desc""}")</f>
        <v>{"typ":"lc","txt":"LC_ITEM_hero_star_exp_blue_desc"}</v>
      </c>
      <c r="L1259" s="148" t="str">
        <f>IFERROR(__xludf.DUMMYFUNCTION("""COMPUTED_VALUE"""),"{""typ"":""lc"",""txt"":""LC_ITEM_hero_star_exp_usedtip""}")</f>
        <v>{"typ":"lc","txt":"LC_ITEM_hero_star_exp_usedtip"}</v>
      </c>
      <c r="M1259" s="148">
        <f>IFERROR(__xludf.DUMMYFUNCTION("""COMPUTED_VALUE"""),300.0)</f>
        <v>300</v>
      </c>
      <c r="N1259" s="148">
        <f>IFERROR(__xludf.DUMMYFUNCTION("""COMPUTED_VALUE"""),9999999.0)</f>
        <v>9999999</v>
      </c>
      <c r="O1259" s="148">
        <f>IFERROR(__xludf.DUMMYFUNCTION("""COMPUTED_VALUE"""),99999.0)</f>
        <v>99999</v>
      </c>
      <c r="P1259" s="148">
        <f>IFERROR(__xludf.DUMMYFUNCTION("""COMPUTED_VALUE"""),99999.0)</f>
        <v>99999</v>
      </c>
      <c r="Q1259" s="148" t="str">
        <f>IFERROR(__xludf.DUMMYFUNCTION("""COMPUTED_VALUE"""),"[""bag_other""]")</f>
        <v>["bag_other"]</v>
      </c>
      <c r="R1259" s="148" t="str">
        <f>IFERROR(__xludf.DUMMYFUNCTION("""COMPUTED_VALUE"""),"[]")</f>
        <v>[]</v>
      </c>
      <c r="S1259" s="148" t="str">
        <f>IFERROR(__xludf.DUMMYFUNCTION("""COMPUTED_VALUE"""),"{""effect"":[{""typ"":""rss"",""id"":11141032,""val"":800},{""typ"":""rss"",""id"":11141034,""val"":500}]}")</f>
        <v>{"effect":[{"typ":"rss","id":11141032,"val":800},{"typ":"rss","id":11141034,"val":500}]}</v>
      </c>
      <c r="T1259" s="148">
        <f>IFERROR(__xludf.DUMMYFUNCTION("""COMPUTED_VALUE"""),-1.0)</f>
        <v>-1</v>
      </c>
      <c r="U1259" s="148">
        <f>IFERROR(__xludf.DUMMYFUNCTION("""COMPUTED_VALUE"""),0.0)</f>
        <v>0</v>
      </c>
      <c r="V1259" s="148" t="str">
        <f>IFERROR(__xludf.DUMMYFUNCTION("""COMPUTED_VALUE"""),"[]")</f>
        <v>[]</v>
      </c>
      <c r="W1259" s="148">
        <f>IFERROR(__xludf.DUMMYFUNCTION("""COMPUTED_VALUE"""),1.1741002E7)</f>
        <v>11741002</v>
      </c>
      <c r="X1259" s="148">
        <f>IFERROR(__xludf.DUMMYFUNCTION("""COMPUTED_VALUE"""),0.0)</f>
        <v>0</v>
      </c>
      <c r="Y1259" s="148">
        <f>IFERROR(__xludf.DUMMYFUNCTION("""COMPUTED_VALUE"""),0.0)</f>
        <v>0</v>
      </c>
      <c r="Z1259" s="148"/>
    </row>
    <row r="1260">
      <c r="A1260" s="148">
        <f>IFERROR(__xludf.DUMMYFUNCTION("""COMPUTED_VALUE"""),1.1116107E7)</f>
        <v>11116107</v>
      </c>
      <c r="B1260" s="148" t="str">
        <f>IFERROR(__xludf.DUMMYFUNCTION("""COMPUTED_VALUE"""),"英雄升星-紫色-小")</f>
        <v>英雄升星-紫色-小</v>
      </c>
      <c r="C1260" s="148"/>
      <c r="D1260" s="148" t="str">
        <f>IFERROR(__xludf.DUMMYFUNCTION("""COMPUTED_VALUE"""),"item_hero_star_rss")</f>
        <v>item_hero_star_rss</v>
      </c>
      <c r="E1260" s="148">
        <f>IFERROR(__xludf.DUMMYFUNCTION("""COMPUTED_VALUE"""),0.0)</f>
        <v>0</v>
      </c>
      <c r="F1260" s="148">
        <f>IFERROR(__xludf.DUMMYFUNCTION("""COMPUTED_VALUE"""),412206.0)</f>
        <v>412206</v>
      </c>
      <c r="G1260" s="148">
        <f>IFERROR(__xludf.DUMMYFUNCTION("""COMPUTED_VALUE"""),1.5112789E7)</f>
        <v>15112789</v>
      </c>
      <c r="H1260" s="148">
        <f>IFERROR(__xludf.DUMMYFUNCTION("""COMPUTED_VALUE"""),1.5112563E7)</f>
        <v>15112563</v>
      </c>
      <c r="I1260" s="148" t="str">
        <f>IFERROR(__xludf.DUMMYFUNCTION("""COMPUTED_VALUE"""),"{}")</f>
        <v>{}</v>
      </c>
      <c r="J1260" s="148" t="str">
        <f>IFERROR(__xludf.DUMMYFUNCTION("""COMPUTED_VALUE"""),"{""typ"":""lc"",""txt"":""LC_ITEM_hero_star_exp_purple_s_name""}")</f>
        <v>{"typ":"lc","txt":"LC_ITEM_hero_star_exp_purple_s_name"}</v>
      </c>
      <c r="K1260" s="148" t="str">
        <f>IFERROR(__xludf.DUMMYFUNCTION("""COMPUTED_VALUE"""),"{""typ"":""lc"",""txt"":""LC_ITEM_hero_star_exp_purple_desc""}")</f>
        <v>{"typ":"lc","txt":"LC_ITEM_hero_star_exp_purple_desc"}</v>
      </c>
      <c r="L1260" s="148" t="str">
        <f>IFERROR(__xludf.DUMMYFUNCTION("""COMPUTED_VALUE"""),"{""typ"":""lc"",""txt"":""LC_ITEM_hero_star_exp_usedtip""}")</f>
        <v>{"typ":"lc","txt":"LC_ITEM_hero_star_exp_usedtip"}</v>
      </c>
      <c r="M1260" s="148">
        <f>IFERROR(__xludf.DUMMYFUNCTION("""COMPUTED_VALUE"""),100.0)</f>
        <v>100</v>
      </c>
      <c r="N1260" s="148">
        <f>IFERROR(__xludf.DUMMYFUNCTION("""COMPUTED_VALUE"""),9999999.0)</f>
        <v>9999999</v>
      </c>
      <c r="O1260" s="148">
        <f>IFERROR(__xludf.DUMMYFUNCTION("""COMPUTED_VALUE"""),99999.0)</f>
        <v>99999</v>
      </c>
      <c r="P1260" s="148">
        <f>IFERROR(__xludf.DUMMYFUNCTION("""COMPUTED_VALUE"""),99999.0)</f>
        <v>99999</v>
      </c>
      <c r="Q1260" s="148" t="str">
        <f>IFERROR(__xludf.DUMMYFUNCTION("""COMPUTED_VALUE"""),"[""bag_other""]")</f>
        <v>["bag_other"]</v>
      </c>
      <c r="R1260" s="148" t="str">
        <f>IFERROR(__xludf.DUMMYFUNCTION("""COMPUTED_VALUE"""),"[]")</f>
        <v>[]</v>
      </c>
      <c r="S1260" s="148" t="str">
        <f>IFERROR(__xludf.DUMMYFUNCTION("""COMPUTED_VALUE"""),"{""effect"":[{""typ"":""rss"",""id"":11141032,""val"":100},{""typ"":""rss"",""id"":11141034,""val"":1000}]}")</f>
        <v>{"effect":[{"typ":"rss","id":11141032,"val":100},{"typ":"rss","id":11141034,"val":1000}]}</v>
      </c>
      <c r="T1260" s="148">
        <f>IFERROR(__xludf.DUMMYFUNCTION("""COMPUTED_VALUE"""),-1.0)</f>
        <v>-1</v>
      </c>
      <c r="U1260" s="148">
        <f>IFERROR(__xludf.DUMMYFUNCTION("""COMPUTED_VALUE"""),0.0)</f>
        <v>0</v>
      </c>
      <c r="V1260" s="148" t="str">
        <f>IFERROR(__xludf.DUMMYFUNCTION("""COMPUTED_VALUE"""),"[]")</f>
        <v>[]</v>
      </c>
      <c r="W1260" s="148">
        <f>IFERROR(__xludf.DUMMYFUNCTION("""COMPUTED_VALUE"""),1.1741002E7)</f>
        <v>11741002</v>
      </c>
      <c r="X1260" s="148">
        <f>IFERROR(__xludf.DUMMYFUNCTION("""COMPUTED_VALUE"""),0.0)</f>
        <v>0</v>
      </c>
      <c r="Y1260" s="148">
        <f>IFERROR(__xludf.DUMMYFUNCTION("""COMPUTED_VALUE"""),0.0)</f>
        <v>0</v>
      </c>
      <c r="Z1260" s="148"/>
    </row>
    <row r="1261">
      <c r="A1261" s="148">
        <f>IFERROR(__xludf.DUMMYFUNCTION("""COMPUTED_VALUE"""),1.1116108E7)</f>
        <v>11116108</v>
      </c>
      <c r="B1261" s="148" t="str">
        <f>IFERROR(__xludf.DUMMYFUNCTION("""COMPUTED_VALUE"""),"英雄升星-紫色-中")</f>
        <v>英雄升星-紫色-中</v>
      </c>
      <c r="C1261" s="148"/>
      <c r="D1261" s="148" t="str">
        <f>IFERROR(__xludf.DUMMYFUNCTION("""COMPUTED_VALUE"""),"item_hero_star_rss")</f>
        <v>item_hero_star_rss</v>
      </c>
      <c r="E1261" s="148">
        <f>IFERROR(__xludf.DUMMYFUNCTION("""COMPUTED_VALUE"""),0.0)</f>
        <v>0</v>
      </c>
      <c r="F1261" s="148">
        <f>IFERROR(__xludf.DUMMYFUNCTION("""COMPUTED_VALUE"""),412205.0)</f>
        <v>412205</v>
      </c>
      <c r="G1261" s="148">
        <f>IFERROR(__xludf.DUMMYFUNCTION("""COMPUTED_VALUE"""),1.511279E7)</f>
        <v>15112790</v>
      </c>
      <c r="H1261" s="148">
        <f>IFERROR(__xludf.DUMMYFUNCTION("""COMPUTED_VALUE"""),1.5112563E7)</f>
        <v>15112563</v>
      </c>
      <c r="I1261" s="148" t="str">
        <f>IFERROR(__xludf.DUMMYFUNCTION("""COMPUTED_VALUE"""),"{}")</f>
        <v>{}</v>
      </c>
      <c r="J1261" s="148" t="str">
        <f>IFERROR(__xludf.DUMMYFUNCTION("""COMPUTED_VALUE"""),"{""typ"":""lc"",""txt"":""LC_ITEM_hero_star_exp_purple_m_name""}")</f>
        <v>{"typ":"lc","txt":"LC_ITEM_hero_star_exp_purple_m_name"}</v>
      </c>
      <c r="K1261" s="148" t="str">
        <f>IFERROR(__xludf.DUMMYFUNCTION("""COMPUTED_VALUE"""),"{""typ"":""lc"",""txt"":""LC_ITEM_hero_star_exp_purple_desc""}")</f>
        <v>{"typ":"lc","txt":"LC_ITEM_hero_star_exp_purple_desc"}</v>
      </c>
      <c r="L1261" s="148" t="str">
        <f>IFERROR(__xludf.DUMMYFUNCTION("""COMPUTED_VALUE"""),"{""typ"":""lc"",""txt"":""LC_ITEM_hero_star_exp_usedtip""}")</f>
        <v>{"typ":"lc","txt":"LC_ITEM_hero_star_exp_usedtip"}</v>
      </c>
      <c r="M1261" s="148">
        <f>IFERROR(__xludf.DUMMYFUNCTION("""COMPUTED_VALUE"""),400.0)</f>
        <v>400</v>
      </c>
      <c r="N1261" s="148">
        <f>IFERROR(__xludf.DUMMYFUNCTION("""COMPUTED_VALUE"""),9999999.0)</f>
        <v>9999999</v>
      </c>
      <c r="O1261" s="148">
        <f>IFERROR(__xludf.DUMMYFUNCTION("""COMPUTED_VALUE"""),99999.0)</f>
        <v>99999</v>
      </c>
      <c r="P1261" s="148">
        <f>IFERROR(__xludf.DUMMYFUNCTION("""COMPUTED_VALUE"""),99999.0)</f>
        <v>99999</v>
      </c>
      <c r="Q1261" s="148" t="str">
        <f>IFERROR(__xludf.DUMMYFUNCTION("""COMPUTED_VALUE"""),"[""bag_other""]")</f>
        <v>["bag_other"]</v>
      </c>
      <c r="R1261" s="148" t="str">
        <f>IFERROR(__xludf.DUMMYFUNCTION("""COMPUTED_VALUE"""),"[]")</f>
        <v>[]</v>
      </c>
      <c r="S1261" s="148" t="str">
        <f>IFERROR(__xludf.DUMMYFUNCTION("""COMPUTED_VALUE"""),"{""effect"":[{""typ"":""rss"",""id"":11141032,""val"":400},{""typ"":""rss"",""id"":11141034,""val"":2000}]}")</f>
        <v>{"effect":[{"typ":"rss","id":11141032,"val":400},{"typ":"rss","id":11141034,"val":2000}]}</v>
      </c>
      <c r="T1261" s="148">
        <f>IFERROR(__xludf.DUMMYFUNCTION("""COMPUTED_VALUE"""),-1.0)</f>
        <v>-1</v>
      </c>
      <c r="U1261" s="148">
        <f>IFERROR(__xludf.DUMMYFUNCTION("""COMPUTED_VALUE"""),0.0)</f>
        <v>0</v>
      </c>
      <c r="V1261" s="148" t="str">
        <f>IFERROR(__xludf.DUMMYFUNCTION("""COMPUTED_VALUE"""),"[]")</f>
        <v>[]</v>
      </c>
      <c r="W1261" s="148">
        <f>IFERROR(__xludf.DUMMYFUNCTION("""COMPUTED_VALUE"""),1.1741002E7)</f>
        <v>11741002</v>
      </c>
      <c r="X1261" s="148">
        <f>IFERROR(__xludf.DUMMYFUNCTION("""COMPUTED_VALUE"""),0.0)</f>
        <v>0</v>
      </c>
      <c r="Y1261" s="148">
        <f>IFERROR(__xludf.DUMMYFUNCTION("""COMPUTED_VALUE"""),0.0)</f>
        <v>0</v>
      </c>
      <c r="Z1261" s="148"/>
    </row>
    <row r="1262">
      <c r="A1262" s="148">
        <f>IFERROR(__xludf.DUMMYFUNCTION("""COMPUTED_VALUE"""),1.1116109E7)</f>
        <v>11116109</v>
      </c>
      <c r="B1262" s="148" t="str">
        <f>IFERROR(__xludf.DUMMYFUNCTION("""COMPUTED_VALUE"""),"英雄升星-紫色-大")</f>
        <v>英雄升星-紫色-大</v>
      </c>
      <c r="C1262" s="148"/>
      <c r="D1262" s="148" t="str">
        <f>IFERROR(__xludf.DUMMYFUNCTION("""COMPUTED_VALUE"""),"item_hero_star_rss")</f>
        <v>item_hero_star_rss</v>
      </c>
      <c r="E1262" s="148">
        <f>IFERROR(__xludf.DUMMYFUNCTION("""COMPUTED_VALUE"""),0.0)</f>
        <v>0</v>
      </c>
      <c r="F1262" s="148">
        <f>IFERROR(__xludf.DUMMYFUNCTION("""COMPUTED_VALUE"""),412204.0)</f>
        <v>412204</v>
      </c>
      <c r="G1262" s="148">
        <f>IFERROR(__xludf.DUMMYFUNCTION("""COMPUTED_VALUE"""),1.5112791E7)</f>
        <v>15112791</v>
      </c>
      <c r="H1262" s="148">
        <f>IFERROR(__xludf.DUMMYFUNCTION("""COMPUTED_VALUE"""),1.5112563E7)</f>
        <v>15112563</v>
      </c>
      <c r="I1262" s="148" t="str">
        <f>IFERROR(__xludf.DUMMYFUNCTION("""COMPUTED_VALUE"""),"{}")</f>
        <v>{}</v>
      </c>
      <c r="J1262" s="148" t="str">
        <f>IFERROR(__xludf.DUMMYFUNCTION("""COMPUTED_VALUE"""),"{""typ"":""lc"",""txt"":""LC_ITEM_hero_star_exp_purple_l_name""}")</f>
        <v>{"typ":"lc","txt":"LC_ITEM_hero_star_exp_purple_l_name"}</v>
      </c>
      <c r="K1262" s="148" t="str">
        <f>IFERROR(__xludf.DUMMYFUNCTION("""COMPUTED_VALUE"""),"{""typ"":""lc"",""txt"":""LC_ITEM_hero_star_exp_purple_desc""}")</f>
        <v>{"typ":"lc","txt":"LC_ITEM_hero_star_exp_purple_desc"}</v>
      </c>
      <c r="L1262" s="148" t="str">
        <f>IFERROR(__xludf.DUMMYFUNCTION("""COMPUTED_VALUE"""),"{""typ"":""lc"",""txt"":""LC_ITEM_hero_star_exp_usedtip""}")</f>
        <v>{"typ":"lc","txt":"LC_ITEM_hero_star_exp_usedtip"}</v>
      </c>
      <c r="M1262" s="148">
        <f>IFERROR(__xludf.DUMMYFUNCTION("""COMPUTED_VALUE"""),600.0)</f>
        <v>600</v>
      </c>
      <c r="N1262" s="148">
        <f>IFERROR(__xludf.DUMMYFUNCTION("""COMPUTED_VALUE"""),9999999.0)</f>
        <v>9999999</v>
      </c>
      <c r="O1262" s="148">
        <f>IFERROR(__xludf.DUMMYFUNCTION("""COMPUTED_VALUE"""),99999.0)</f>
        <v>99999</v>
      </c>
      <c r="P1262" s="148">
        <f>IFERROR(__xludf.DUMMYFUNCTION("""COMPUTED_VALUE"""),99999.0)</f>
        <v>99999</v>
      </c>
      <c r="Q1262" s="148" t="str">
        <f>IFERROR(__xludf.DUMMYFUNCTION("""COMPUTED_VALUE"""),"[""bag_other""]")</f>
        <v>["bag_other"]</v>
      </c>
      <c r="R1262" s="148" t="str">
        <f>IFERROR(__xludf.DUMMYFUNCTION("""COMPUTED_VALUE"""),"[]")</f>
        <v>[]</v>
      </c>
      <c r="S1262" s="148" t="str">
        <f>IFERROR(__xludf.DUMMYFUNCTION("""COMPUTED_VALUE"""),"{""effect"":[{""typ"":""rss"",""id"":11141032,""val"":800},{""typ"":""rss"",""id"":11141034,""val"":500}]}")</f>
        <v>{"effect":[{"typ":"rss","id":11141032,"val":800},{"typ":"rss","id":11141034,"val":500}]}</v>
      </c>
      <c r="T1262" s="148">
        <f>IFERROR(__xludf.DUMMYFUNCTION("""COMPUTED_VALUE"""),-1.0)</f>
        <v>-1</v>
      </c>
      <c r="U1262" s="148">
        <f>IFERROR(__xludf.DUMMYFUNCTION("""COMPUTED_VALUE"""),0.0)</f>
        <v>0</v>
      </c>
      <c r="V1262" s="148" t="str">
        <f>IFERROR(__xludf.DUMMYFUNCTION("""COMPUTED_VALUE"""),"[]")</f>
        <v>[]</v>
      </c>
      <c r="W1262" s="148">
        <f>IFERROR(__xludf.DUMMYFUNCTION("""COMPUTED_VALUE"""),1.1741002E7)</f>
        <v>11741002</v>
      </c>
      <c r="X1262" s="148">
        <f>IFERROR(__xludf.DUMMYFUNCTION("""COMPUTED_VALUE"""),0.0)</f>
        <v>0</v>
      </c>
      <c r="Y1262" s="148">
        <f>IFERROR(__xludf.DUMMYFUNCTION("""COMPUTED_VALUE"""),0.0)</f>
        <v>0</v>
      </c>
      <c r="Z1262" s="148"/>
    </row>
    <row r="1263">
      <c r="A1263" s="148">
        <f>IFERROR(__xludf.DUMMYFUNCTION("""COMPUTED_VALUE"""),1.111611E7)</f>
        <v>11116110</v>
      </c>
      <c r="B1263" s="148" t="str">
        <f>IFERROR(__xludf.DUMMYFUNCTION("""COMPUTED_VALUE"""),"英雄升星-橙色-小")</f>
        <v>英雄升星-橙色-小</v>
      </c>
      <c r="C1263" s="148"/>
      <c r="D1263" s="148" t="str">
        <f>IFERROR(__xludf.DUMMYFUNCTION("""COMPUTED_VALUE"""),"item_hero_star_rss")</f>
        <v>item_hero_star_rss</v>
      </c>
      <c r="E1263" s="148">
        <f>IFERROR(__xludf.DUMMYFUNCTION("""COMPUTED_VALUE"""),0.0)</f>
        <v>0</v>
      </c>
      <c r="F1263" s="148">
        <f>IFERROR(__xludf.DUMMYFUNCTION("""COMPUTED_VALUE"""),412103.0)</f>
        <v>412103</v>
      </c>
      <c r="G1263" s="148">
        <f>IFERROR(__xludf.DUMMYFUNCTION("""COMPUTED_VALUE"""),1.5112792E7)</f>
        <v>15112792</v>
      </c>
      <c r="H1263" s="148">
        <f>IFERROR(__xludf.DUMMYFUNCTION("""COMPUTED_VALUE"""),1.5112564E7)</f>
        <v>15112564</v>
      </c>
      <c r="I1263" s="148" t="str">
        <f>IFERROR(__xludf.DUMMYFUNCTION("""COMPUTED_VALUE"""),"{}")</f>
        <v>{}</v>
      </c>
      <c r="J1263" s="148" t="str">
        <f>IFERROR(__xludf.DUMMYFUNCTION("""COMPUTED_VALUE"""),"{""typ"":""lc"",""txt"":""LC_ITEM_hero_star_exp_orange_s_name""}")</f>
        <v>{"typ":"lc","txt":"LC_ITEM_hero_star_exp_orange_s_name"}</v>
      </c>
      <c r="K1263" s="148" t="str">
        <f>IFERROR(__xludf.DUMMYFUNCTION("""COMPUTED_VALUE"""),"{""typ"":""lc"",""txt"":""LC_ITEM_hero_star_exp_orange_desc""}")</f>
        <v>{"typ":"lc","txt":"LC_ITEM_hero_star_exp_orange_desc"}</v>
      </c>
      <c r="L1263" s="148" t="str">
        <f>IFERROR(__xludf.DUMMYFUNCTION("""COMPUTED_VALUE"""),"{""typ"":""lc"",""txt"":""LC_ITEM_hero_star_exp_usedtip""}")</f>
        <v>{"typ":"lc","txt":"LC_ITEM_hero_star_exp_usedtip"}</v>
      </c>
      <c r="M1263" s="148">
        <f>IFERROR(__xludf.DUMMYFUNCTION("""COMPUTED_VALUE"""),750.0)</f>
        <v>750</v>
      </c>
      <c r="N1263" s="148">
        <f>IFERROR(__xludf.DUMMYFUNCTION("""COMPUTED_VALUE"""),9999999.0)</f>
        <v>9999999</v>
      </c>
      <c r="O1263" s="148">
        <f>IFERROR(__xludf.DUMMYFUNCTION("""COMPUTED_VALUE"""),99999.0)</f>
        <v>99999</v>
      </c>
      <c r="P1263" s="148">
        <f>IFERROR(__xludf.DUMMYFUNCTION("""COMPUTED_VALUE"""),99999.0)</f>
        <v>99999</v>
      </c>
      <c r="Q1263" s="148" t="str">
        <f>IFERROR(__xludf.DUMMYFUNCTION("""COMPUTED_VALUE"""),"[""bag_other""]")</f>
        <v>["bag_other"]</v>
      </c>
      <c r="R1263" s="148" t="str">
        <f>IFERROR(__xludf.DUMMYFUNCTION("""COMPUTED_VALUE"""),"[]")</f>
        <v>[]</v>
      </c>
      <c r="S1263" s="148" t="str">
        <f>IFERROR(__xludf.DUMMYFUNCTION("""COMPUTED_VALUE"""),"{""effect"":[{""typ"":""rss"",""id"":11141032,""val"":100},{""typ"":""rss"",""id"":11141034,""val"":1000}]}")</f>
        <v>{"effect":[{"typ":"rss","id":11141032,"val":100},{"typ":"rss","id":11141034,"val":1000}]}</v>
      </c>
      <c r="T1263" s="148">
        <f>IFERROR(__xludf.DUMMYFUNCTION("""COMPUTED_VALUE"""),-1.0)</f>
        <v>-1</v>
      </c>
      <c r="U1263" s="148">
        <f>IFERROR(__xludf.DUMMYFUNCTION("""COMPUTED_VALUE"""),0.0)</f>
        <v>0</v>
      </c>
      <c r="V1263" s="148" t="str">
        <f>IFERROR(__xludf.DUMMYFUNCTION("""COMPUTED_VALUE"""),"[]")</f>
        <v>[]</v>
      </c>
      <c r="W1263" s="148">
        <f>IFERROR(__xludf.DUMMYFUNCTION("""COMPUTED_VALUE"""),1.1741002E7)</f>
        <v>11741002</v>
      </c>
      <c r="X1263" s="148">
        <f>IFERROR(__xludf.DUMMYFUNCTION("""COMPUTED_VALUE"""),0.0)</f>
        <v>0</v>
      </c>
      <c r="Y1263" s="148">
        <f>IFERROR(__xludf.DUMMYFUNCTION("""COMPUTED_VALUE"""),0.0)</f>
        <v>0</v>
      </c>
      <c r="Z1263" s="148"/>
    </row>
    <row r="1264">
      <c r="A1264" s="148">
        <f>IFERROR(__xludf.DUMMYFUNCTION("""COMPUTED_VALUE"""),1.1116111E7)</f>
        <v>11116111</v>
      </c>
      <c r="B1264" s="148" t="str">
        <f>IFERROR(__xludf.DUMMYFUNCTION("""COMPUTED_VALUE"""),"英雄升星-橙色-中")</f>
        <v>英雄升星-橙色-中</v>
      </c>
      <c r="C1264" s="148"/>
      <c r="D1264" s="148" t="str">
        <f>IFERROR(__xludf.DUMMYFUNCTION("""COMPUTED_VALUE"""),"item_hero_star_rss")</f>
        <v>item_hero_star_rss</v>
      </c>
      <c r="E1264" s="148">
        <f>IFERROR(__xludf.DUMMYFUNCTION("""COMPUTED_VALUE"""),0.0)</f>
        <v>0</v>
      </c>
      <c r="F1264" s="148">
        <f>IFERROR(__xludf.DUMMYFUNCTION("""COMPUTED_VALUE"""),412102.0)</f>
        <v>412102</v>
      </c>
      <c r="G1264" s="148">
        <f>IFERROR(__xludf.DUMMYFUNCTION("""COMPUTED_VALUE"""),1.5112793E7)</f>
        <v>15112793</v>
      </c>
      <c r="H1264" s="148">
        <f>IFERROR(__xludf.DUMMYFUNCTION("""COMPUTED_VALUE"""),1.5112564E7)</f>
        <v>15112564</v>
      </c>
      <c r="I1264" s="148" t="str">
        <f>IFERROR(__xludf.DUMMYFUNCTION("""COMPUTED_VALUE"""),"{}")</f>
        <v>{}</v>
      </c>
      <c r="J1264" s="148" t="str">
        <f>IFERROR(__xludf.DUMMYFUNCTION("""COMPUTED_VALUE"""),"{""typ"":""lc"",""txt"":""LC_ITEM_hero_star_exp_orange_m_name""}")</f>
        <v>{"typ":"lc","txt":"LC_ITEM_hero_star_exp_orange_m_name"}</v>
      </c>
      <c r="K1264" s="148" t="str">
        <f>IFERROR(__xludf.DUMMYFUNCTION("""COMPUTED_VALUE"""),"{""typ"":""lc"",""txt"":""LC_ITEM_hero_star_exp_orange_desc""}")</f>
        <v>{"typ":"lc","txt":"LC_ITEM_hero_star_exp_orange_desc"}</v>
      </c>
      <c r="L1264" s="148" t="str">
        <f>IFERROR(__xludf.DUMMYFUNCTION("""COMPUTED_VALUE"""),"{""typ"":""lc"",""txt"":""LC_ITEM_hero_star_exp_usedtip""}")</f>
        <v>{"typ":"lc","txt":"LC_ITEM_hero_star_exp_usedtip"}</v>
      </c>
      <c r="M1264" s="148">
        <f>IFERROR(__xludf.DUMMYFUNCTION("""COMPUTED_VALUE"""),3000.0)</f>
        <v>3000</v>
      </c>
      <c r="N1264" s="148">
        <f>IFERROR(__xludf.DUMMYFUNCTION("""COMPUTED_VALUE"""),9999999.0)</f>
        <v>9999999</v>
      </c>
      <c r="O1264" s="148">
        <f>IFERROR(__xludf.DUMMYFUNCTION("""COMPUTED_VALUE"""),99999.0)</f>
        <v>99999</v>
      </c>
      <c r="P1264" s="148">
        <f>IFERROR(__xludf.DUMMYFUNCTION("""COMPUTED_VALUE"""),99999.0)</f>
        <v>99999</v>
      </c>
      <c r="Q1264" s="148" t="str">
        <f>IFERROR(__xludf.DUMMYFUNCTION("""COMPUTED_VALUE"""),"[""bag_other""]")</f>
        <v>["bag_other"]</v>
      </c>
      <c r="R1264" s="148" t="str">
        <f>IFERROR(__xludf.DUMMYFUNCTION("""COMPUTED_VALUE"""),"[]")</f>
        <v>[]</v>
      </c>
      <c r="S1264" s="148" t="str">
        <f>IFERROR(__xludf.DUMMYFUNCTION("""COMPUTED_VALUE"""),"{""effect"":[{""typ"":""rss"",""id"":11141032,""val"":400},{""typ"":""rss"",""id"":11141034,""val"":2000}]}")</f>
        <v>{"effect":[{"typ":"rss","id":11141032,"val":400},{"typ":"rss","id":11141034,"val":2000}]}</v>
      </c>
      <c r="T1264" s="148">
        <f>IFERROR(__xludf.DUMMYFUNCTION("""COMPUTED_VALUE"""),-1.0)</f>
        <v>-1</v>
      </c>
      <c r="U1264" s="148">
        <f>IFERROR(__xludf.DUMMYFUNCTION("""COMPUTED_VALUE"""),0.0)</f>
        <v>0</v>
      </c>
      <c r="V1264" s="148" t="str">
        <f>IFERROR(__xludf.DUMMYFUNCTION("""COMPUTED_VALUE"""),"[]")</f>
        <v>[]</v>
      </c>
      <c r="W1264" s="148">
        <f>IFERROR(__xludf.DUMMYFUNCTION("""COMPUTED_VALUE"""),1.1741002E7)</f>
        <v>11741002</v>
      </c>
      <c r="X1264" s="148">
        <f>IFERROR(__xludf.DUMMYFUNCTION("""COMPUTED_VALUE"""),0.0)</f>
        <v>0</v>
      </c>
      <c r="Y1264" s="148">
        <f>IFERROR(__xludf.DUMMYFUNCTION("""COMPUTED_VALUE"""),0.0)</f>
        <v>0</v>
      </c>
      <c r="Z1264" s="148"/>
    </row>
    <row r="1265">
      <c r="A1265" s="148">
        <f>IFERROR(__xludf.DUMMYFUNCTION("""COMPUTED_VALUE"""),1.1116112E7)</f>
        <v>11116112</v>
      </c>
      <c r="B1265" s="148" t="str">
        <f>IFERROR(__xludf.DUMMYFUNCTION("""COMPUTED_VALUE"""),"英雄升星-橙色-大")</f>
        <v>英雄升星-橙色-大</v>
      </c>
      <c r="C1265" s="148"/>
      <c r="D1265" s="148" t="str">
        <f>IFERROR(__xludf.DUMMYFUNCTION("""COMPUTED_VALUE"""),"item_hero_star_rss")</f>
        <v>item_hero_star_rss</v>
      </c>
      <c r="E1265" s="148">
        <f>IFERROR(__xludf.DUMMYFUNCTION("""COMPUTED_VALUE"""),0.0)</f>
        <v>0</v>
      </c>
      <c r="F1265" s="148">
        <f>IFERROR(__xludf.DUMMYFUNCTION("""COMPUTED_VALUE"""),412101.0)</f>
        <v>412101</v>
      </c>
      <c r="G1265" s="148">
        <f>IFERROR(__xludf.DUMMYFUNCTION("""COMPUTED_VALUE"""),1.5112794E7)</f>
        <v>15112794</v>
      </c>
      <c r="H1265" s="148">
        <f>IFERROR(__xludf.DUMMYFUNCTION("""COMPUTED_VALUE"""),1.5112564E7)</f>
        <v>15112564</v>
      </c>
      <c r="I1265" s="148" t="str">
        <f>IFERROR(__xludf.DUMMYFUNCTION("""COMPUTED_VALUE"""),"{}")</f>
        <v>{}</v>
      </c>
      <c r="J1265" s="148" t="str">
        <f>IFERROR(__xludf.DUMMYFUNCTION("""COMPUTED_VALUE"""),"{""typ"":""lc"",""txt"":""LC_ITEM_hero_star_exp_orange_l_name""}")</f>
        <v>{"typ":"lc","txt":"LC_ITEM_hero_star_exp_orange_l_name"}</v>
      </c>
      <c r="K1265" s="148" t="str">
        <f>IFERROR(__xludf.DUMMYFUNCTION("""COMPUTED_VALUE"""),"{""typ"":""lc"",""txt"":""LC_ITEM_hero_star_exp_orange_desc""}")</f>
        <v>{"typ":"lc","txt":"LC_ITEM_hero_star_exp_orange_desc"}</v>
      </c>
      <c r="L1265" s="148" t="str">
        <f>IFERROR(__xludf.DUMMYFUNCTION("""COMPUTED_VALUE"""),"{""typ"":""lc"",""txt"":""LC_ITEM_hero_star_exp_usedtip""}")</f>
        <v>{"typ":"lc","txt":"LC_ITEM_hero_star_exp_usedtip"}</v>
      </c>
      <c r="M1265" s="148">
        <f>IFERROR(__xludf.DUMMYFUNCTION("""COMPUTED_VALUE"""),4000.0)</f>
        <v>4000</v>
      </c>
      <c r="N1265" s="148">
        <f>IFERROR(__xludf.DUMMYFUNCTION("""COMPUTED_VALUE"""),9999999.0)</f>
        <v>9999999</v>
      </c>
      <c r="O1265" s="148">
        <f>IFERROR(__xludf.DUMMYFUNCTION("""COMPUTED_VALUE"""),99999.0)</f>
        <v>99999</v>
      </c>
      <c r="P1265" s="148">
        <f>IFERROR(__xludf.DUMMYFUNCTION("""COMPUTED_VALUE"""),99999.0)</f>
        <v>99999</v>
      </c>
      <c r="Q1265" s="148" t="str">
        <f>IFERROR(__xludf.DUMMYFUNCTION("""COMPUTED_VALUE"""),"[""bag_other""]")</f>
        <v>["bag_other"]</v>
      </c>
      <c r="R1265" s="148" t="str">
        <f>IFERROR(__xludf.DUMMYFUNCTION("""COMPUTED_VALUE"""),"[]")</f>
        <v>[]</v>
      </c>
      <c r="S1265" s="148" t="str">
        <f>IFERROR(__xludf.DUMMYFUNCTION("""COMPUTED_VALUE"""),"{""effect"":[{""typ"":""rss"",""id"":11141032,""val"":800},{""typ"":""rss"",""id"":11141034,""val"":500}]}")</f>
        <v>{"effect":[{"typ":"rss","id":11141032,"val":800},{"typ":"rss","id":11141034,"val":500}]}</v>
      </c>
      <c r="T1265" s="148">
        <f>IFERROR(__xludf.DUMMYFUNCTION("""COMPUTED_VALUE"""),-1.0)</f>
        <v>-1</v>
      </c>
      <c r="U1265" s="148">
        <f>IFERROR(__xludf.DUMMYFUNCTION("""COMPUTED_VALUE"""),0.0)</f>
        <v>0</v>
      </c>
      <c r="V1265" s="148" t="str">
        <f>IFERROR(__xludf.DUMMYFUNCTION("""COMPUTED_VALUE"""),"[]")</f>
        <v>[]</v>
      </c>
      <c r="W1265" s="148">
        <f>IFERROR(__xludf.DUMMYFUNCTION("""COMPUTED_VALUE"""),1.1741002E7)</f>
        <v>11741002</v>
      </c>
      <c r="X1265" s="148">
        <f>IFERROR(__xludf.DUMMYFUNCTION("""COMPUTED_VALUE"""),0.0)</f>
        <v>0</v>
      </c>
      <c r="Y1265" s="148">
        <f>IFERROR(__xludf.DUMMYFUNCTION("""COMPUTED_VALUE"""),0.0)</f>
        <v>0</v>
      </c>
      <c r="Z1265" s="148"/>
    </row>
    <row r="1266">
      <c r="A1266" s="148">
        <f>IFERROR(__xludf.DUMMYFUNCTION("""COMPUTED_VALUE"""),1.1116201E7)</f>
        <v>11116201</v>
      </c>
      <c r="B1266" s="148" t="str">
        <f>IFERROR(__xludf.DUMMYFUNCTION("""COMPUTED_VALUE"""),"碎片-弗朗西斯")</f>
        <v>碎片-弗朗西斯</v>
      </c>
      <c r="C1266" s="148"/>
      <c r="D1266" s="148" t="str">
        <f>IFERROR(__xludf.DUMMYFUNCTION("""COMPUTED_VALUE"""),"hero_unit")</f>
        <v>hero_unit</v>
      </c>
      <c r="E1266" s="148">
        <f>IFERROR(__xludf.DUMMYFUNCTION("""COMPUTED_VALUE"""),0.0)</f>
        <v>0</v>
      </c>
      <c r="F1266" s="148">
        <f>IFERROR(__xludf.DUMMYFUNCTION("""COMPUTED_VALUE"""),411142.0)</f>
        <v>411142</v>
      </c>
      <c r="G1266" s="148">
        <f>IFERROR(__xludf.DUMMYFUNCTION("""COMPUTED_VALUE"""),1.5112795E7)</f>
        <v>15112795</v>
      </c>
      <c r="H1266" s="148">
        <f>IFERROR(__xludf.DUMMYFUNCTION("""COMPUTED_VALUE"""),1.5112562E7)</f>
        <v>15112562</v>
      </c>
      <c r="I1266" s="148" t="str">
        <f>IFERROR(__xludf.DUMMYFUNCTION("""COMPUTED_VALUE"""),"{}")</f>
        <v>{}</v>
      </c>
      <c r="J1266" s="148" t="str">
        <f>IFERROR(__xludf.DUMMYFUNCTION("""COMPUTED_VALUE"""),"{""typ"":""lc"",""txt"":""LC_ITEM_hero_fragment_name"",""args"":[{""typ"":""lc"",""txt"":""LC_HERO_hero_name_01""}]}")</f>
        <v>{"typ":"lc","txt":"LC_ITEM_hero_fragment_name","args":[{"typ":"lc","txt":"LC_HERO_hero_name_01"}]}</v>
      </c>
      <c r="K1266" s="148" t="str">
        <f>IFERROR(__xludf.DUMMYFUNCTION("""COMPUTED_VALUE"""),"{""typ"":""lc"",""txt"":""LC_ITEM_hero_fragment_desc""}")</f>
        <v>{"typ":"lc","txt":"LC_ITEM_hero_fragment_desc"}</v>
      </c>
      <c r="L1266" s="148" t="str">
        <f>IFERROR(__xludf.DUMMYFUNCTION("""COMPUTED_VALUE"""),"{}")</f>
        <v>{}</v>
      </c>
      <c r="M1266" s="148">
        <f>IFERROR(__xludf.DUMMYFUNCTION("""COMPUTED_VALUE"""),100.0)</f>
        <v>100</v>
      </c>
      <c r="N1266" s="148">
        <f>IFERROR(__xludf.DUMMYFUNCTION("""COMPUTED_VALUE"""),9999999.0)</f>
        <v>9999999</v>
      </c>
      <c r="O1266" s="148">
        <f>IFERROR(__xludf.DUMMYFUNCTION("""COMPUTED_VALUE"""),99999.0)</f>
        <v>99999</v>
      </c>
      <c r="P1266" s="148">
        <f>IFERROR(__xludf.DUMMYFUNCTION("""COMPUTED_VALUE"""),99999.0)</f>
        <v>99999</v>
      </c>
      <c r="Q1266" s="148" t="str">
        <f>IFERROR(__xludf.DUMMYFUNCTION("""COMPUTED_VALUE"""),"[""bag_other""]")</f>
        <v>["bag_other"]</v>
      </c>
      <c r="R1266" s="148" t="str">
        <f>IFERROR(__xludf.DUMMYFUNCTION("""COMPUTED_VALUE"""),"[""19201001""]")</f>
        <v>["19201001"]</v>
      </c>
      <c r="S1266" s="148" t="str">
        <f>IFERROR(__xludf.DUMMYFUNCTION("""COMPUTED_VALUE"""),"{""effect"":[{""typ"":""rss"",""id"":11141032,""val"":10},{""typ"":""rss"",""id"":11141034,""val"":500}]}")</f>
        <v>{"effect":[{"typ":"rss","id":11141032,"val":10},{"typ":"rss","id":11141034,"val":500}]}</v>
      </c>
      <c r="T1266" s="148">
        <f>IFERROR(__xludf.DUMMYFUNCTION("""COMPUTED_VALUE"""),-1.0)</f>
        <v>-1</v>
      </c>
      <c r="U1266" s="148">
        <f>IFERROR(__xludf.DUMMYFUNCTION("""COMPUTED_VALUE"""),0.0)</f>
        <v>0</v>
      </c>
      <c r="V1266" s="148" t="str">
        <f>IFERROR(__xludf.DUMMYFUNCTION("""COMPUTED_VALUE"""),"[]")</f>
        <v>[]</v>
      </c>
      <c r="W1266" s="148">
        <f>IFERROR(__xludf.DUMMYFUNCTION("""COMPUTED_VALUE"""),1.1741002E7)</f>
        <v>11741002</v>
      </c>
      <c r="X1266" s="148">
        <f>IFERROR(__xludf.DUMMYFUNCTION("""COMPUTED_VALUE"""),0.0)</f>
        <v>0</v>
      </c>
      <c r="Y1266" s="148">
        <f>IFERROR(__xludf.DUMMYFUNCTION("""COMPUTED_VALUE"""),0.0)</f>
        <v>0</v>
      </c>
      <c r="Z1266" s="148"/>
    </row>
    <row r="1267">
      <c r="A1267" s="148">
        <f>IFERROR(__xludf.DUMMYFUNCTION("""COMPUTED_VALUE"""),1.1116202E7)</f>
        <v>11116202</v>
      </c>
      <c r="B1267" s="148" t="str">
        <f>IFERROR(__xludf.DUMMYFUNCTION("""COMPUTED_VALUE"""),"碎片-斯科特")</f>
        <v>碎片-斯科特</v>
      </c>
      <c r="C1267" s="148"/>
      <c r="D1267" s="148" t="str">
        <f>IFERROR(__xludf.DUMMYFUNCTION("""COMPUTED_VALUE"""),"hero_unit")</f>
        <v>hero_unit</v>
      </c>
      <c r="E1267" s="148">
        <f>IFERROR(__xludf.DUMMYFUNCTION("""COMPUTED_VALUE"""),0.0)</f>
        <v>0</v>
      </c>
      <c r="F1267" s="148">
        <f>IFERROR(__xludf.DUMMYFUNCTION("""COMPUTED_VALUE"""),411143.0)</f>
        <v>411143</v>
      </c>
      <c r="G1267" s="148">
        <f>IFERROR(__xludf.DUMMYFUNCTION("""COMPUTED_VALUE"""),1.5112796E7)</f>
        <v>15112796</v>
      </c>
      <c r="H1267" s="148">
        <f>IFERROR(__xludf.DUMMYFUNCTION("""COMPUTED_VALUE"""),1.5112562E7)</f>
        <v>15112562</v>
      </c>
      <c r="I1267" s="148" t="str">
        <f>IFERROR(__xludf.DUMMYFUNCTION("""COMPUTED_VALUE"""),"{}")</f>
        <v>{}</v>
      </c>
      <c r="J1267" s="148" t="str">
        <f>IFERROR(__xludf.DUMMYFUNCTION("""COMPUTED_VALUE"""),"{""typ"":""lc"",""txt"":""LC_ITEM_hero_fragment_name"",""args"":[{""typ"":""lc"",""txt"":""LC_HERO_hero_name_02""}]}")</f>
        <v>{"typ":"lc","txt":"LC_ITEM_hero_fragment_name","args":[{"typ":"lc","txt":"LC_HERO_hero_name_02"}]}</v>
      </c>
      <c r="K1267" s="148" t="str">
        <f>IFERROR(__xludf.DUMMYFUNCTION("""COMPUTED_VALUE"""),"{""typ"":""lc"",""txt"":""LC_ITEM_hero_fragment_desc""}")</f>
        <v>{"typ":"lc","txt":"LC_ITEM_hero_fragment_desc"}</v>
      </c>
      <c r="L1267" s="148" t="str">
        <f>IFERROR(__xludf.DUMMYFUNCTION("""COMPUTED_VALUE"""),"{}")</f>
        <v>{}</v>
      </c>
      <c r="M1267" s="148">
        <f>IFERROR(__xludf.DUMMYFUNCTION("""COMPUTED_VALUE"""),100.0)</f>
        <v>100</v>
      </c>
      <c r="N1267" s="148">
        <f>IFERROR(__xludf.DUMMYFUNCTION("""COMPUTED_VALUE"""),9999999.0)</f>
        <v>9999999</v>
      </c>
      <c r="O1267" s="148">
        <f>IFERROR(__xludf.DUMMYFUNCTION("""COMPUTED_VALUE"""),99999.0)</f>
        <v>99999</v>
      </c>
      <c r="P1267" s="148">
        <f>IFERROR(__xludf.DUMMYFUNCTION("""COMPUTED_VALUE"""),99999.0)</f>
        <v>99999</v>
      </c>
      <c r="Q1267" s="148" t="str">
        <f>IFERROR(__xludf.DUMMYFUNCTION("""COMPUTED_VALUE"""),"[""bag_other""]")</f>
        <v>["bag_other"]</v>
      </c>
      <c r="R1267" s="148" t="str">
        <f>IFERROR(__xludf.DUMMYFUNCTION("""COMPUTED_VALUE"""),"[""19201002""]")</f>
        <v>["19201002"]</v>
      </c>
      <c r="S1267" s="148" t="str">
        <f>IFERROR(__xludf.DUMMYFUNCTION("""COMPUTED_VALUE"""),"{""effect"":[{""typ"":""rss"",""id"":11141032,""val"":10},{""typ"":""rss"",""id"":11141034,""val"":500}]}")</f>
        <v>{"effect":[{"typ":"rss","id":11141032,"val":10},{"typ":"rss","id":11141034,"val":500}]}</v>
      </c>
      <c r="T1267" s="148">
        <f>IFERROR(__xludf.DUMMYFUNCTION("""COMPUTED_VALUE"""),-1.0)</f>
        <v>-1</v>
      </c>
      <c r="U1267" s="148">
        <f>IFERROR(__xludf.DUMMYFUNCTION("""COMPUTED_VALUE"""),0.0)</f>
        <v>0</v>
      </c>
      <c r="V1267" s="148" t="str">
        <f>IFERROR(__xludf.DUMMYFUNCTION("""COMPUTED_VALUE"""),"[]")</f>
        <v>[]</v>
      </c>
      <c r="W1267" s="148">
        <f>IFERROR(__xludf.DUMMYFUNCTION("""COMPUTED_VALUE"""),1.1741002E7)</f>
        <v>11741002</v>
      </c>
      <c r="X1267" s="148">
        <f>IFERROR(__xludf.DUMMYFUNCTION("""COMPUTED_VALUE"""),0.0)</f>
        <v>0</v>
      </c>
      <c r="Y1267" s="148">
        <f>IFERROR(__xludf.DUMMYFUNCTION("""COMPUTED_VALUE"""),0.0)</f>
        <v>0</v>
      </c>
      <c r="Z1267" s="148"/>
    </row>
    <row r="1268">
      <c r="A1268" s="148">
        <f>IFERROR(__xludf.DUMMYFUNCTION("""COMPUTED_VALUE"""),1.1116203E7)</f>
        <v>11116203</v>
      </c>
      <c r="B1268" s="148" t="str">
        <f>IFERROR(__xludf.DUMMYFUNCTION("""COMPUTED_VALUE"""),"碎片-迈尔瑞克")</f>
        <v>碎片-迈尔瑞克</v>
      </c>
      <c r="C1268" s="148"/>
      <c r="D1268" s="148" t="str">
        <f>IFERROR(__xludf.DUMMYFUNCTION("""COMPUTED_VALUE"""),"hero_unit")</f>
        <v>hero_unit</v>
      </c>
      <c r="E1268" s="148">
        <f>IFERROR(__xludf.DUMMYFUNCTION("""COMPUTED_VALUE"""),0.0)</f>
        <v>0</v>
      </c>
      <c r="F1268" s="148">
        <f>IFERROR(__xludf.DUMMYFUNCTION("""COMPUTED_VALUE"""),411127.0)</f>
        <v>411127</v>
      </c>
      <c r="G1268" s="148">
        <f>IFERROR(__xludf.DUMMYFUNCTION("""COMPUTED_VALUE"""),1.5112797E7)</f>
        <v>15112797</v>
      </c>
      <c r="H1268" s="148">
        <f>IFERROR(__xludf.DUMMYFUNCTION("""COMPUTED_VALUE"""),1.5112563E7)</f>
        <v>15112563</v>
      </c>
      <c r="I1268" s="148" t="str">
        <f>IFERROR(__xludf.DUMMYFUNCTION("""COMPUTED_VALUE"""),"{}")</f>
        <v>{}</v>
      </c>
      <c r="J1268" s="148" t="str">
        <f>IFERROR(__xludf.DUMMYFUNCTION("""COMPUTED_VALUE"""),"{""typ"":""lc"",""txt"":""LC_ITEM_hero_fragment_name"",""args"":[{""typ"":""lc"",""txt"":""LC_HERO_hero_name_03""}]}")</f>
        <v>{"typ":"lc","txt":"LC_ITEM_hero_fragment_name","args":[{"typ":"lc","txt":"LC_HERO_hero_name_03"}]}</v>
      </c>
      <c r="K1268" s="148" t="str">
        <f>IFERROR(__xludf.DUMMYFUNCTION("""COMPUTED_VALUE"""),"{""typ"":""lc"",""txt"":""LC_ITEM_hero_fragment_desc""}")</f>
        <v>{"typ":"lc","txt":"LC_ITEM_hero_fragment_desc"}</v>
      </c>
      <c r="L1268" s="148" t="str">
        <f>IFERROR(__xludf.DUMMYFUNCTION("""COMPUTED_VALUE"""),"{}")</f>
        <v>{}</v>
      </c>
      <c r="M1268" s="148">
        <f>IFERROR(__xludf.DUMMYFUNCTION("""COMPUTED_VALUE"""),300.0)</f>
        <v>300</v>
      </c>
      <c r="N1268" s="148">
        <f>IFERROR(__xludf.DUMMYFUNCTION("""COMPUTED_VALUE"""),9999999.0)</f>
        <v>9999999</v>
      </c>
      <c r="O1268" s="148">
        <f>IFERROR(__xludf.DUMMYFUNCTION("""COMPUTED_VALUE"""),99999.0)</f>
        <v>99999</v>
      </c>
      <c r="P1268" s="148">
        <f>IFERROR(__xludf.DUMMYFUNCTION("""COMPUTED_VALUE"""),99999.0)</f>
        <v>99999</v>
      </c>
      <c r="Q1268" s="148" t="str">
        <f>IFERROR(__xludf.DUMMYFUNCTION("""COMPUTED_VALUE"""),"[""bag_other""]")</f>
        <v>["bag_other"]</v>
      </c>
      <c r="R1268" s="148" t="str">
        <f>IFERROR(__xludf.DUMMYFUNCTION("""COMPUTED_VALUE"""),"[""19201003""]")</f>
        <v>["19201003"]</v>
      </c>
      <c r="S1268" s="148" t="str">
        <f>IFERROR(__xludf.DUMMYFUNCTION("""COMPUTED_VALUE"""),"{""effect"":[{""typ"":""rss"",""id"":11141032,""val"":10},{""typ"":""rss"",""id"":11141034,""val"":500}]}")</f>
        <v>{"effect":[{"typ":"rss","id":11141032,"val":10},{"typ":"rss","id":11141034,"val":500}]}</v>
      </c>
      <c r="T1268" s="148">
        <f>IFERROR(__xludf.DUMMYFUNCTION("""COMPUTED_VALUE"""),-1.0)</f>
        <v>-1</v>
      </c>
      <c r="U1268" s="148">
        <f>IFERROR(__xludf.DUMMYFUNCTION("""COMPUTED_VALUE"""),0.0)</f>
        <v>0</v>
      </c>
      <c r="V1268" s="148" t="str">
        <f>IFERROR(__xludf.DUMMYFUNCTION("""COMPUTED_VALUE"""),"[]")</f>
        <v>[]</v>
      </c>
      <c r="W1268" s="148">
        <f>IFERROR(__xludf.DUMMYFUNCTION("""COMPUTED_VALUE"""),1.1741002E7)</f>
        <v>11741002</v>
      </c>
      <c r="X1268" s="148">
        <f>IFERROR(__xludf.DUMMYFUNCTION("""COMPUTED_VALUE"""),0.0)</f>
        <v>0</v>
      </c>
      <c r="Y1268" s="148">
        <f>IFERROR(__xludf.DUMMYFUNCTION("""COMPUTED_VALUE"""),0.0)</f>
        <v>0</v>
      </c>
      <c r="Z1268" s="148"/>
    </row>
    <row r="1269">
      <c r="A1269" s="148">
        <f>IFERROR(__xludf.DUMMYFUNCTION("""COMPUTED_VALUE"""),1.1116204E7)</f>
        <v>11116204</v>
      </c>
      <c r="B1269" s="148" t="str">
        <f>IFERROR(__xludf.DUMMYFUNCTION("""COMPUTED_VALUE"""),"碎片-科鲁托皮")</f>
        <v>碎片-科鲁托皮</v>
      </c>
      <c r="C1269" s="148"/>
      <c r="D1269" s="148" t="str">
        <f>IFERROR(__xludf.DUMMYFUNCTION("""COMPUTED_VALUE"""),"hero_unit")</f>
        <v>hero_unit</v>
      </c>
      <c r="E1269" s="148">
        <f>IFERROR(__xludf.DUMMYFUNCTION("""COMPUTED_VALUE"""),0.0)</f>
        <v>0</v>
      </c>
      <c r="F1269" s="148">
        <f>IFERROR(__xludf.DUMMYFUNCTION("""COMPUTED_VALUE"""),411128.0)</f>
        <v>411128</v>
      </c>
      <c r="G1269" s="148">
        <f>IFERROR(__xludf.DUMMYFUNCTION("""COMPUTED_VALUE"""),1.5112798E7)</f>
        <v>15112798</v>
      </c>
      <c r="H1269" s="148">
        <f>IFERROR(__xludf.DUMMYFUNCTION("""COMPUTED_VALUE"""),1.5112563E7)</f>
        <v>15112563</v>
      </c>
      <c r="I1269" s="148" t="str">
        <f>IFERROR(__xludf.DUMMYFUNCTION("""COMPUTED_VALUE"""),"{}")</f>
        <v>{}</v>
      </c>
      <c r="J1269" s="148" t="str">
        <f>IFERROR(__xludf.DUMMYFUNCTION("""COMPUTED_VALUE"""),"{""typ"":""lc"",""txt"":""LC_ITEM_hero_fragment_name"",""args"":[{""typ"":""lc"",""txt"":""LC_HERO_hero_name_04""}]}")</f>
        <v>{"typ":"lc","txt":"LC_ITEM_hero_fragment_name","args":[{"typ":"lc","txt":"LC_HERO_hero_name_04"}]}</v>
      </c>
      <c r="K1269" s="148" t="str">
        <f>IFERROR(__xludf.DUMMYFUNCTION("""COMPUTED_VALUE"""),"{""typ"":""lc"",""txt"":""LC_ITEM_hero_fragment_desc""}")</f>
        <v>{"typ":"lc","txt":"LC_ITEM_hero_fragment_desc"}</v>
      </c>
      <c r="L1269" s="148" t="str">
        <f>IFERROR(__xludf.DUMMYFUNCTION("""COMPUTED_VALUE"""),"{}")</f>
        <v>{}</v>
      </c>
      <c r="M1269" s="148">
        <f>IFERROR(__xludf.DUMMYFUNCTION("""COMPUTED_VALUE"""),300.0)</f>
        <v>300</v>
      </c>
      <c r="N1269" s="148">
        <f>IFERROR(__xludf.DUMMYFUNCTION("""COMPUTED_VALUE"""),9999999.0)</f>
        <v>9999999</v>
      </c>
      <c r="O1269" s="148">
        <f>IFERROR(__xludf.DUMMYFUNCTION("""COMPUTED_VALUE"""),99999.0)</f>
        <v>99999</v>
      </c>
      <c r="P1269" s="148">
        <f>IFERROR(__xludf.DUMMYFUNCTION("""COMPUTED_VALUE"""),99999.0)</f>
        <v>99999</v>
      </c>
      <c r="Q1269" s="148" t="str">
        <f>IFERROR(__xludf.DUMMYFUNCTION("""COMPUTED_VALUE"""),"[""bag_other""]")</f>
        <v>["bag_other"]</v>
      </c>
      <c r="R1269" s="148" t="str">
        <f>IFERROR(__xludf.DUMMYFUNCTION("""COMPUTED_VALUE"""),"[""19201004""]")</f>
        <v>["19201004"]</v>
      </c>
      <c r="S1269" s="148" t="str">
        <f>IFERROR(__xludf.DUMMYFUNCTION("""COMPUTED_VALUE"""),"{""effect"":[{""typ"":""rss"",""id"":11141032,""val"":10},{""typ"":""rss"",""id"":11141034,""val"":500}]}")</f>
        <v>{"effect":[{"typ":"rss","id":11141032,"val":10},{"typ":"rss","id":11141034,"val":500}]}</v>
      </c>
      <c r="T1269" s="148">
        <f>IFERROR(__xludf.DUMMYFUNCTION("""COMPUTED_VALUE"""),-1.0)</f>
        <v>-1</v>
      </c>
      <c r="U1269" s="148">
        <f>IFERROR(__xludf.DUMMYFUNCTION("""COMPUTED_VALUE"""),0.0)</f>
        <v>0</v>
      </c>
      <c r="V1269" s="148" t="str">
        <f>IFERROR(__xludf.DUMMYFUNCTION("""COMPUTED_VALUE"""),"[]")</f>
        <v>[]</v>
      </c>
      <c r="W1269" s="148">
        <f>IFERROR(__xludf.DUMMYFUNCTION("""COMPUTED_VALUE"""),1.1741002E7)</f>
        <v>11741002</v>
      </c>
      <c r="X1269" s="148">
        <f>IFERROR(__xludf.DUMMYFUNCTION("""COMPUTED_VALUE"""),0.0)</f>
        <v>0</v>
      </c>
      <c r="Y1269" s="148">
        <f>IFERROR(__xludf.DUMMYFUNCTION("""COMPUTED_VALUE"""),0.0)</f>
        <v>0</v>
      </c>
      <c r="Z1269" s="148"/>
    </row>
    <row r="1270">
      <c r="A1270" s="148">
        <f>IFERROR(__xludf.DUMMYFUNCTION("""COMPUTED_VALUE"""),1.1116205E7)</f>
        <v>11116205</v>
      </c>
      <c r="B1270" s="148" t="str">
        <f>IFERROR(__xludf.DUMMYFUNCTION("""COMPUTED_VALUE"""),"碎片-布鲁斯")</f>
        <v>碎片-布鲁斯</v>
      </c>
      <c r="C1270" s="148"/>
      <c r="D1270" s="148" t="str">
        <f>IFERROR(__xludf.DUMMYFUNCTION("""COMPUTED_VALUE"""),"hero_unit")</f>
        <v>hero_unit</v>
      </c>
      <c r="E1270" s="148">
        <f>IFERROR(__xludf.DUMMYFUNCTION("""COMPUTED_VALUE"""),0.0)</f>
        <v>0</v>
      </c>
      <c r="F1270" s="148">
        <f>IFERROR(__xludf.DUMMYFUNCTION("""COMPUTED_VALUE"""),411129.0)</f>
        <v>411129</v>
      </c>
      <c r="G1270" s="148">
        <f>IFERROR(__xludf.DUMMYFUNCTION("""COMPUTED_VALUE"""),1.5112799E7)</f>
        <v>15112799</v>
      </c>
      <c r="H1270" s="148">
        <f>IFERROR(__xludf.DUMMYFUNCTION("""COMPUTED_VALUE"""),1.5112563E7)</f>
        <v>15112563</v>
      </c>
      <c r="I1270" s="148" t="str">
        <f>IFERROR(__xludf.DUMMYFUNCTION("""COMPUTED_VALUE"""),"{}")</f>
        <v>{}</v>
      </c>
      <c r="J1270" s="148" t="str">
        <f>IFERROR(__xludf.DUMMYFUNCTION("""COMPUTED_VALUE"""),"{""typ"":""lc"",""txt"":""LC_ITEM_hero_fragment_name"",""args"":[{""typ"":""lc"",""txt"":""LC_HERO_hero_name_05""}]}")</f>
        <v>{"typ":"lc","txt":"LC_ITEM_hero_fragment_name","args":[{"typ":"lc","txt":"LC_HERO_hero_name_05"}]}</v>
      </c>
      <c r="K1270" s="148" t="str">
        <f>IFERROR(__xludf.DUMMYFUNCTION("""COMPUTED_VALUE"""),"{""typ"":""lc"",""txt"":""LC_ITEM_hero_fragment_desc""}")</f>
        <v>{"typ":"lc","txt":"LC_ITEM_hero_fragment_desc"}</v>
      </c>
      <c r="L1270" s="148" t="str">
        <f>IFERROR(__xludf.DUMMYFUNCTION("""COMPUTED_VALUE"""),"{}")</f>
        <v>{}</v>
      </c>
      <c r="M1270" s="148">
        <f>IFERROR(__xludf.DUMMYFUNCTION("""COMPUTED_VALUE"""),300.0)</f>
        <v>300</v>
      </c>
      <c r="N1270" s="148">
        <f>IFERROR(__xludf.DUMMYFUNCTION("""COMPUTED_VALUE"""),9999999.0)</f>
        <v>9999999</v>
      </c>
      <c r="O1270" s="148">
        <f>IFERROR(__xludf.DUMMYFUNCTION("""COMPUTED_VALUE"""),99999.0)</f>
        <v>99999</v>
      </c>
      <c r="P1270" s="148">
        <f>IFERROR(__xludf.DUMMYFUNCTION("""COMPUTED_VALUE"""),99999.0)</f>
        <v>99999</v>
      </c>
      <c r="Q1270" s="148" t="str">
        <f>IFERROR(__xludf.DUMMYFUNCTION("""COMPUTED_VALUE"""),"[""bag_other""]")</f>
        <v>["bag_other"]</v>
      </c>
      <c r="R1270" s="148" t="str">
        <f>IFERROR(__xludf.DUMMYFUNCTION("""COMPUTED_VALUE"""),"[""19201005""]")</f>
        <v>["19201005"]</v>
      </c>
      <c r="S1270" s="148" t="str">
        <f>IFERROR(__xludf.DUMMYFUNCTION("""COMPUTED_VALUE"""),"{""effect"":[{""typ"":""rss"",""id"":11141032,""val"":10},{""typ"":""rss"",""id"":11141034,""val"":500}]}")</f>
        <v>{"effect":[{"typ":"rss","id":11141032,"val":10},{"typ":"rss","id":11141034,"val":500}]}</v>
      </c>
      <c r="T1270" s="148">
        <f>IFERROR(__xludf.DUMMYFUNCTION("""COMPUTED_VALUE"""),-1.0)</f>
        <v>-1</v>
      </c>
      <c r="U1270" s="148">
        <f>IFERROR(__xludf.DUMMYFUNCTION("""COMPUTED_VALUE"""),0.0)</f>
        <v>0</v>
      </c>
      <c r="V1270" s="148" t="str">
        <f>IFERROR(__xludf.DUMMYFUNCTION("""COMPUTED_VALUE"""),"[]")</f>
        <v>[]</v>
      </c>
      <c r="W1270" s="148">
        <f>IFERROR(__xludf.DUMMYFUNCTION("""COMPUTED_VALUE"""),1.1741002E7)</f>
        <v>11741002</v>
      </c>
      <c r="X1270" s="148">
        <f>IFERROR(__xludf.DUMMYFUNCTION("""COMPUTED_VALUE"""),0.0)</f>
        <v>0</v>
      </c>
      <c r="Y1270" s="148">
        <f>IFERROR(__xludf.DUMMYFUNCTION("""COMPUTED_VALUE"""),0.0)</f>
        <v>0</v>
      </c>
      <c r="Z1270" s="148"/>
    </row>
    <row r="1271">
      <c r="A1271" s="148">
        <f>IFERROR(__xludf.DUMMYFUNCTION("""COMPUTED_VALUE"""),1.1116206E7)</f>
        <v>11116206</v>
      </c>
      <c r="B1271" s="148" t="str">
        <f>IFERROR(__xludf.DUMMYFUNCTION("""COMPUTED_VALUE"""),"碎片-麦克")</f>
        <v>碎片-麦克</v>
      </c>
      <c r="C1271" s="148"/>
      <c r="D1271" s="148" t="str">
        <f>IFERROR(__xludf.DUMMYFUNCTION("""COMPUTED_VALUE"""),"hero_unit")</f>
        <v>hero_unit</v>
      </c>
      <c r="E1271" s="148">
        <f>IFERROR(__xludf.DUMMYFUNCTION("""COMPUTED_VALUE"""),0.0)</f>
        <v>0</v>
      </c>
      <c r="F1271" s="148">
        <f>IFERROR(__xludf.DUMMYFUNCTION("""COMPUTED_VALUE"""),411130.0)</f>
        <v>411130</v>
      </c>
      <c r="G1271" s="148">
        <f>IFERROR(__xludf.DUMMYFUNCTION("""COMPUTED_VALUE"""),1.51128E7)</f>
        <v>15112800</v>
      </c>
      <c r="H1271" s="148">
        <f>IFERROR(__xludf.DUMMYFUNCTION("""COMPUTED_VALUE"""),1.5112563E7)</f>
        <v>15112563</v>
      </c>
      <c r="I1271" s="148" t="str">
        <f>IFERROR(__xludf.DUMMYFUNCTION("""COMPUTED_VALUE"""),"{}")</f>
        <v>{}</v>
      </c>
      <c r="J1271" s="148" t="str">
        <f>IFERROR(__xludf.DUMMYFUNCTION("""COMPUTED_VALUE"""),"{""typ"":""lc"",""txt"":""LC_ITEM_hero_fragment_name"",""args"":[{""typ"":""lc"",""txt"":""LC_HERO_hero_name_06""}]}")</f>
        <v>{"typ":"lc","txt":"LC_ITEM_hero_fragment_name","args":[{"typ":"lc","txt":"LC_HERO_hero_name_06"}]}</v>
      </c>
      <c r="K1271" s="148" t="str">
        <f>IFERROR(__xludf.DUMMYFUNCTION("""COMPUTED_VALUE"""),"{""typ"":""lc"",""txt"":""LC_ITEM_hero_fragment_desc""}")</f>
        <v>{"typ":"lc","txt":"LC_ITEM_hero_fragment_desc"}</v>
      </c>
      <c r="L1271" s="148" t="str">
        <f>IFERROR(__xludf.DUMMYFUNCTION("""COMPUTED_VALUE"""),"{}")</f>
        <v>{}</v>
      </c>
      <c r="M1271" s="148">
        <f>IFERROR(__xludf.DUMMYFUNCTION("""COMPUTED_VALUE"""),300.0)</f>
        <v>300</v>
      </c>
      <c r="N1271" s="148">
        <f>IFERROR(__xludf.DUMMYFUNCTION("""COMPUTED_VALUE"""),9999999.0)</f>
        <v>9999999</v>
      </c>
      <c r="O1271" s="148">
        <f>IFERROR(__xludf.DUMMYFUNCTION("""COMPUTED_VALUE"""),99999.0)</f>
        <v>99999</v>
      </c>
      <c r="P1271" s="148">
        <f>IFERROR(__xludf.DUMMYFUNCTION("""COMPUTED_VALUE"""),99999.0)</f>
        <v>99999</v>
      </c>
      <c r="Q1271" s="148" t="str">
        <f>IFERROR(__xludf.DUMMYFUNCTION("""COMPUTED_VALUE"""),"[""bag_other""]")</f>
        <v>["bag_other"]</v>
      </c>
      <c r="R1271" s="148" t="str">
        <f>IFERROR(__xludf.DUMMYFUNCTION("""COMPUTED_VALUE"""),"[""19201006""]")</f>
        <v>["19201006"]</v>
      </c>
      <c r="S1271" s="148" t="str">
        <f>IFERROR(__xludf.DUMMYFUNCTION("""COMPUTED_VALUE"""),"{""effect"":[{""typ"":""rss"",""id"":11141032,""val"":10},{""typ"":""rss"",""id"":11141034,""val"":500}]}")</f>
        <v>{"effect":[{"typ":"rss","id":11141032,"val":10},{"typ":"rss","id":11141034,"val":500}]}</v>
      </c>
      <c r="T1271" s="148">
        <f>IFERROR(__xludf.DUMMYFUNCTION("""COMPUTED_VALUE"""),-1.0)</f>
        <v>-1</v>
      </c>
      <c r="U1271" s="148">
        <f>IFERROR(__xludf.DUMMYFUNCTION("""COMPUTED_VALUE"""),0.0)</f>
        <v>0</v>
      </c>
      <c r="V1271" s="148" t="str">
        <f>IFERROR(__xludf.DUMMYFUNCTION("""COMPUTED_VALUE"""),"[]")</f>
        <v>[]</v>
      </c>
      <c r="W1271" s="148">
        <f>IFERROR(__xludf.DUMMYFUNCTION("""COMPUTED_VALUE"""),1.1741002E7)</f>
        <v>11741002</v>
      </c>
      <c r="X1271" s="148">
        <f>IFERROR(__xludf.DUMMYFUNCTION("""COMPUTED_VALUE"""),0.0)</f>
        <v>0</v>
      </c>
      <c r="Y1271" s="148">
        <f>IFERROR(__xludf.DUMMYFUNCTION("""COMPUTED_VALUE"""),0.0)</f>
        <v>0</v>
      </c>
      <c r="Z1271" s="148"/>
    </row>
    <row r="1272">
      <c r="A1272" s="148">
        <f>IFERROR(__xludf.DUMMYFUNCTION("""COMPUTED_VALUE"""),1.1116207E7)</f>
        <v>11116207</v>
      </c>
      <c r="B1272" s="148" t="str">
        <f>IFERROR(__xludf.DUMMYFUNCTION("""COMPUTED_VALUE"""),"碎片-福斯卡塔")</f>
        <v>碎片-福斯卡塔</v>
      </c>
      <c r="C1272" s="148"/>
      <c r="D1272" s="148" t="str">
        <f>IFERROR(__xludf.DUMMYFUNCTION("""COMPUTED_VALUE"""),"hero_unit")</f>
        <v>hero_unit</v>
      </c>
      <c r="E1272" s="148">
        <f>IFERROR(__xludf.DUMMYFUNCTION("""COMPUTED_VALUE"""),0.0)</f>
        <v>0</v>
      </c>
      <c r="F1272" s="148">
        <f>IFERROR(__xludf.DUMMYFUNCTION("""COMPUTED_VALUE"""),411131.0)</f>
        <v>411131</v>
      </c>
      <c r="G1272" s="148">
        <f>IFERROR(__xludf.DUMMYFUNCTION("""COMPUTED_VALUE"""),1.5112801E7)</f>
        <v>15112801</v>
      </c>
      <c r="H1272" s="148">
        <f>IFERROR(__xludf.DUMMYFUNCTION("""COMPUTED_VALUE"""),1.5112563E7)</f>
        <v>15112563</v>
      </c>
      <c r="I1272" s="148" t="str">
        <f>IFERROR(__xludf.DUMMYFUNCTION("""COMPUTED_VALUE"""),"{}")</f>
        <v>{}</v>
      </c>
      <c r="J1272" s="148" t="str">
        <f>IFERROR(__xludf.DUMMYFUNCTION("""COMPUTED_VALUE"""),"{""typ"":""lc"",""txt"":""LC_ITEM_hero_fragment_name"",""args"":[{""typ"":""lc"",""txt"":""LC_HERO_hero_name_07""}]}")</f>
        <v>{"typ":"lc","txt":"LC_ITEM_hero_fragment_name","args":[{"typ":"lc","txt":"LC_HERO_hero_name_07"}]}</v>
      </c>
      <c r="K1272" s="148" t="str">
        <f>IFERROR(__xludf.DUMMYFUNCTION("""COMPUTED_VALUE"""),"{""typ"":""lc"",""txt"":""LC_ITEM_hero_fragment_desc""}")</f>
        <v>{"typ":"lc","txt":"LC_ITEM_hero_fragment_desc"}</v>
      </c>
      <c r="L1272" s="148" t="str">
        <f>IFERROR(__xludf.DUMMYFUNCTION("""COMPUTED_VALUE"""),"{}")</f>
        <v>{}</v>
      </c>
      <c r="M1272" s="148">
        <f>IFERROR(__xludf.DUMMYFUNCTION("""COMPUTED_VALUE"""),300.0)</f>
        <v>300</v>
      </c>
      <c r="N1272" s="148">
        <f>IFERROR(__xludf.DUMMYFUNCTION("""COMPUTED_VALUE"""),9999999.0)</f>
        <v>9999999</v>
      </c>
      <c r="O1272" s="148">
        <f>IFERROR(__xludf.DUMMYFUNCTION("""COMPUTED_VALUE"""),99999.0)</f>
        <v>99999</v>
      </c>
      <c r="P1272" s="148">
        <f>IFERROR(__xludf.DUMMYFUNCTION("""COMPUTED_VALUE"""),99999.0)</f>
        <v>99999</v>
      </c>
      <c r="Q1272" s="148" t="str">
        <f>IFERROR(__xludf.DUMMYFUNCTION("""COMPUTED_VALUE"""),"[""bag_other""]")</f>
        <v>["bag_other"]</v>
      </c>
      <c r="R1272" s="148" t="str">
        <f>IFERROR(__xludf.DUMMYFUNCTION("""COMPUTED_VALUE"""),"[""19201007""]")</f>
        <v>["19201007"]</v>
      </c>
      <c r="S1272" s="148" t="str">
        <f>IFERROR(__xludf.DUMMYFUNCTION("""COMPUTED_VALUE"""),"{""effect"":[{""typ"":""rss"",""id"":11141032,""val"":10},{""typ"":""rss"",""id"":11141034,""val"":500}]}")</f>
        <v>{"effect":[{"typ":"rss","id":11141032,"val":10},{"typ":"rss","id":11141034,"val":500}]}</v>
      </c>
      <c r="T1272" s="148">
        <f>IFERROR(__xludf.DUMMYFUNCTION("""COMPUTED_VALUE"""),-1.0)</f>
        <v>-1</v>
      </c>
      <c r="U1272" s="148">
        <f>IFERROR(__xludf.DUMMYFUNCTION("""COMPUTED_VALUE"""),0.0)</f>
        <v>0</v>
      </c>
      <c r="V1272" s="148" t="str">
        <f>IFERROR(__xludf.DUMMYFUNCTION("""COMPUTED_VALUE"""),"[]")</f>
        <v>[]</v>
      </c>
      <c r="W1272" s="148">
        <f>IFERROR(__xludf.DUMMYFUNCTION("""COMPUTED_VALUE"""),1.1741002E7)</f>
        <v>11741002</v>
      </c>
      <c r="X1272" s="148">
        <f>IFERROR(__xludf.DUMMYFUNCTION("""COMPUTED_VALUE"""),0.0)</f>
        <v>0</v>
      </c>
      <c r="Y1272" s="148">
        <f>IFERROR(__xludf.DUMMYFUNCTION("""COMPUTED_VALUE"""),0.0)</f>
        <v>0</v>
      </c>
      <c r="Z1272" s="148"/>
    </row>
    <row r="1273">
      <c r="A1273" s="148">
        <f>IFERROR(__xludf.DUMMYFUNCTION("""COMPUTED_VALUE"""),1.1116208E7)</f>
        <v>11116208</v>
      </c>
      <c r="B1273" s="148" t="str">
        <f>IFERROR(__xludf.DUMMYFUNCTION("""COMPUTED_VALUE"""),"碎片-罗德里格斯")</f>
        <v>碎片-罗德里格斯</v>
      </c>
      <c r="C1273" s="148"/>
      <c r="D1273" s="148" t="str">
        <f>IFERROR(__xludf.DUMMYFUNCTION("""COMPUTED_VALUE"""),"hero_unit")</f>
        <v>hero_unit</v>
      </c>
      <c r="E1273" s="148">
        <f>IFERROR(__xludf.DUMMYFUNCTION("""COMPUTED_VALUE"""),0.0)</f>
        <v>0</v>
      </c>
      <c r="F1273" s="148">
        <f>IFERROR(__xludf.DUMMYFUNCTION("""COMPUTED_VALUE"""),411132.0)</f>
        <v>411132</v>
      </c>
      <c r="G1273" s="148">
        <f>IFERROR(__xludf.DUMMYFUNCTION("""COMPUTED_VALUE"""),1.5112802E7)</f>
        <v>15112802</v>
      </c>
      <c r="H1273" s="148">
        <f>IFERROR(__xludf.DUMMYFUNCTION("""COMPUTED_VALUE"""),1.5112563E7)</f>
        <v>15112563</v>
      </c>
      <c r="I1273" s="148" t="str">
        <f>IFERROR(__xludf.DUMMYFUNCTION("""COMPUTED_VALUE"""),"{}")</f>
        <v>{}</v>
      </c>
      <c r="J1273" s="148" t="str">
        <f>IFERROR(__xludf.DUMMYFUNCTION("""COMPUTED_VALUE"""),"{""typ"":""lc"",""txt"":""LC_ITEM_hero_fragment_name"",""args"":[{""typ"":""lc"",""txt"":""LC_HERO_hero_name_08""}]}")</f>
        <v>{"typ":"lc","txt":"LC_ITEM_hero_fragment_name","args":[{"typ":"lc","txt":"LC_HERO_hero_name_08"}]}</v>
      </c>
      <c r="K1273" s="148" t="str">
        <f>IFERROR(__xludf.DUMMYFUNCTION("""COMPUTED_VALUE"""),"{""typ"":""lc"",""txt"":""LC_ITEM_hero_fragment_desc""}")</f>
        <v>{"typ":"lc","txt":"LC_ITEM_hero_fragment_desc"}</v>
      </c>
      <c r="L1273" s="148" t="str">
        <f>IFERROR(__xludf.DUMMYFUNCTION("""COMPUTED_VALUE"""),"{}")</f>
        <v>{}</v>
      </c>
      <c r="M1273" s="148">
        <f>IFERROR(__xludf.DUMMYFUNCTION("""COMPUTED_VALUE"""),300.0)</f>
        <v>300</v>
      </c>
      <c r="N1273" s="148">
        <f>IFERROR(__xludf.DUMMYFUNCTION("""COMPUTED_VALUE"""),9999999.0)</f>
        <v>9999999</v>
      </c>
      <c r="O1273" s="148">
        <f>IFERROR(__xludf.DUMMYFUNCTION("""COMPUTED_VALUE"""),99999.0)</f>
        <v>99999</v>
      </c>
      <c r="P1273" s="148">
        <f>IFERROR(__xludf.DUMMYFUNCTION("""COMPUTED_VALUE"""),99999.0)</f>
        <v>99999</v>
      </c>
      <c r="Q1273" s="148" t="str">
        <f>IFERROR(__xludf.DUMMYFUNCTION("""COMPUTED_VALUE"""),"[""bag_other""]")</f>
        <v>["bag_other"]</v>
      </c>
      <c r="R1273" s="148" t="str">
        <f>IFERROR(__xludf.DUMMYFUNCTION("""COMPUTED_VALUE"""),"[""19201008""]")</f>
        <v>["19201008"]</v>
      </c>
      <c r="S1273" s="148" t="str">
        <f>IFERROR(__xludf.DUMMYFUNCTION("""COMPUTED_VALUE"""),"{""effect"":[{""typ"":""rss"",""id"":11141032,""val"":10},{""typ"":""rss"",""id"":11141034,""val"":500}]}")</f>
        <v>{"effect":[{"typ":"rss","id":11141032,"val":10},{"typ":"rss","id":11141034,"val":500}]}</v>
      </c>
      <c r="T1273" s="148">
        <f>IFERROR(__xludf.DUMMYFUNCTION("""COMPUTED_VALUE"""),-1.0)</f>
        <v>-1</v>
      </c>
      <c r="U1273" s="148">
        <f>IFERROR(__xludf.DUMMYFUNCTION("""COMPUTED_VALUE"""),0.0)</f>
        <v>0</v>
      </c>
      <c r="V1273" s="148" t="str">
        <f>IFERROR(__xludf.DUMMYFUNCTION("""COMPUTED_VALUE"""),"[]")</f>
        <v>[]</v>
      </c>
      <c r="W1273" s="148">
        <f>IFERROR(__xludf.DUMMYFUNCTION("""COMPUTED_VALUE"""),1.1741002E7)</f>
        <v>11741002</v>
      </c>
      <c r="X1273" s="148">
        <f>IFERROR(__xludf.DUMMYFUNCTION("""COMPUTED_VALUE"""),0.0)</f>
        <v>0</v>
      </c>
      <c r="Y1273" s="148">
        <f>IFERROR(__xludf.DUMMYFUNCTION("""COMPUTED_VALUE"""),0.0)</f>
        <v>0</v>
      </c>
      <c r="Z1273" s="148"/>
    </row>
    <row r="1274">
      <c r="A1274" s="148">
        <f>IFERROR(__xludf.DUMMYFUNCTION("""COMPUTED_VALUE"""),1.1116209E7)</f>
        <v>11116209</v>
      </c>
      <c r="B1274" s="148" t="str">
        <f>IFERROR(__xludf.DUMMYFUNCTION("""COMPUTED_VALUE"""),"碎片-美妮")</f>
        <v>碎片-美妮</v>
      </c>
      <c r="C1274" s="148"/>
      <c r="D1274" s="148" t="str">
        <f>IFERROR(__xludf.DUMMYFUNCTION("""COMPUTED_VALUE"""),"hero_unit")</f>
        <v>hero_unit</v>
      </c>
      <c r="E1274" s="148">
        <f>IFERROR(__xludf.DUMMYFUNCTION("""COMPUTED_VALUE"""),0.0)</f>
        <v>0</v>
      </c>
      <c r="F1274" s="148">
        <f>IFERROR(__xludf.DUMMYFUNCTION("""COMPUTED_VALUE"""),411117.0)</f>
        <v>411117</v>
      </c>
      <c r="G1274" s="148">
        <f>IFERROR(__xludf.DUMMYFUNCTION("""COMPUTED_VALUE"""),1.5112803E7)</f>
        <v>15112803</v>
      </c>
      <c r="H1274" s="148">
        <f>IFERROR(__xludf.DUMMYFUNCTION("""COMPUTED_VALUE"""),1.5112564E7)</f>
        <v>15112564</v>
      </c>
      <c r="I1274" s="148" t="str">
        <f>IFERROR(__xludf.DUMMYFUNCTION("""COMPUTED_VALUE"""),"{}")</f>
        <v>{}</v>
      </c>
      <c r="J1274" s="148" t="str">
        <f>IFERROR(__xludf.DUMMYFUNCTION("""COMPUTED_VALUE"""),"{""typ"":""lc"",""txt"":""LC_ITEM_hero_fragment_name"",""args"":[{""typ"":""lc"",""txt"":""LC_HERO_hero_name_09""}]}")</f>
        <v>{"typ":"lc","txt":"LC_ITEM_hero_fragment_name","args":[{"typ":"lc","txt":"LC_HERO_hero_name_09"}]}</v>
      </c>
      <c r="K1274" s="148" t="str">
        <f>IFERROR(__xludf.DUMMYFUNCTION("""COMPUTED_VALUE"""),"{""typ"":""lc"",""txt"":""LC_ITEM_hero_fragment_desc""}")</f>
        <v>{"typ":"lc","txt":"LC_ITEM_hero_fragment_desc"}</v>
      </c>
      <c r="L1274" s="148" t="str">
        <f>IFERROR(__xludf.DUMMYFUNCTION("""COMPUTED_VALUE"""),"{}")</f>
        <v>{}</v>
      </c>
      <c r="M1274" s="148">
        <f>IFERROR(__xludf.DUMMYFUNCTION("""COMPUTED_VALUE"""),2500.0)</f>
        <v>2500</v>
      </c>
      <c r="N1274" s="148">
        <f>IFERROR(__xludf.DUMMYFUNCTION("""COMPUTED_VALUE"""),9999999.0)</f>
        <v>9999999</v>
      </c>
      <c r="O1274" s="148">
        <f>IFERROR(__xludf.DUMMYFUNCTION("""COMPUTED_VALUE"""),99999.0)</f>
        <v>99999</v>
      </c>
      <c r="P1274" s="148">
        <f>IFERROR(__xludf.DUMMYFUNCTION("""COMPUTED_VALUE"""),99999.0)</f>
        <v>99999</v>
      </c>
      <c r="Q1274" s="148" t="str">
        <f>IFERROR(__xludf.DUMMYFUNCTION("""COMPUTED_VALUE"""),"[""bag_other""]")</f>
        <v>["bag_other"]</v>
      </c>
      <c r="R1274" s="148" t="str">
        <f>IFERROR(__xludf.DUMMYFUNCTION("""COMPUTED_VALUE"""),"[""19201009""]")</f>
        <v>["19201009"]</v>
      </c>
      <c r="S1274" s="148" t="str">
        <f>IFERROR(__xludf.DUMMYFUNCTION("""COMPUTED_VALUE"""),"{""effect"":[{""typ"":""rss"",""id"":11141032,""val"":10},{""typ"":""rss"",""id"":11141034,""val"":500}]}")</f>
        <v>{"effect":[{"typ":"rss","id":11141032,"val":10},{"typ":"rss","id":11141034,"val":500}]}</v>
      </c>
      <c r="T1274" s="148">
        <f>IFERROR(__xludf.DUMMYFUNCTION("""COMPUTED_VALUE"""),-1.0)</f>
        <v>-1</v>
      </c>
      <c r="U1274" s="148">
        <f>IFERROR(__xludf.DUMMYFUNCTION("""COMPUTED_VALUE"""),0.0)</f>
        <v>0</v>
      </c>
      <c r="V1274" s="148" t="str">
        <f>IFERROR(__xludf.DUMMYFUNCTION("""COMPUTED_VALUE"""),"[]")</f>
        <v>[]</v>
      </c>
      <c r="W1274" s="148">
        <f>IFERROR(__xludf.DUMMYFUNCTION("""COMPUTED_VALUE"""),1.1741002E7)</f>
        <v>11741002</v>
      </c>
      <c r="X1274" s="148">
        <f>IFERROR(__xludf.DUMMYFUNCTION("""COMPUTED_VALUE"""),0.0)</f>
        <v>0</v>
      </c>
      <c r="Y1274" s="148">
        <f>IFERROR(__xludf.DUMMYFUNCTION("""COMPUTED_VALUE"""),0.0)</f>
        <v>0</v>
      </c>
      <c r="Z1274" s="148"/>
    </row>
    <row r="1275">
      <c r="A1275" s="148">
        <f>IFERROR(__xludf.DUMMYFUNCTION("""COMPUTED_VALUE"""),1.111621E7)</f>
        <v>11116210</v>
      </c>
      <c r="B1275" s="148" t="str">
        <f>IFERROR(__xludf.DUMMYFUNCTION("""COMPUTED_VALUE"""),"碎片-奥斯卡")</f>
        <v>碎片-奥斯卡</v>
      </c>
      <c r="C1275" s="148"/>
      <c r="D1275" s="148" t="str">
        <f>IFERROR(__xludf.DUMMYFUNCTION("""COMPUTED_VALUE"""),"hero_unit")</f>
        <v>hero_unit</v>
      </c>
      <c r="E1275" s="148">
        <f>IFERROR(__xludf.DUMMYFUNCTION("""COMPUTED_VALUE"""),0.0)</f>
        <v>0</v>
      </c>
      <c r="F1275" s="148">
        <f>IFERROR(__xludf.DUMMYFUNCTION("""COMPUTED_VALUE"""),411118.0)</f>
        <v>411118</v>
      </c>
      <c r="G1275" s="148">
        <f>IFERROR(__xludf.DUMMYFUNCTION("""COMPUTED_VALUE"""),1.5112804E7)</f>
        <v>15112804</v>
      </c>
      <c r="H1275" s="148">
        <f>IFERROR(__xludf.DUMMYFUNCTION("""COMPUTED_VALUE"""),1.5112564E7)</f>
        <v>15112564</v>
      </c>
      <c r="I1275" s="148" t="str">
        <f>IFERROR(__xludf.DUMMYFUNCTION("""COMPUTED_VALUE"""),"{}")</f>
        <v>{}</v>
      </c>
      <c r="J1275" s="148" t="str">
        <f>IFERROR(__xludf.DUMMYFUNCTION("""COMPUTED_VALUE"""),"{""typ"":""lc"",""txt"":""LC_ITEM_hero_fragment_name"",""args"":[{""typ"":""lc"",""txt"":""LC_HERO_hero_name_20""}]}")</f>
        <v>{"typ":"lc","txt":"LC_ITEM_hero_fragment_name","args":[{"typ":"lc","txt":"LC_HERO_hero_name_20"}]}</v>
      </c>
      <c r="K1275" s="148" t="str">
        <f>IFERROR(__xludf.DUMMYFUNCTION("""COMPUTED_VALUE"""),"{""typ"":""lc"",""txt"":""LC_ITEM_hero_fragment_desc""}")</f>
        <v>{"typ":"lc","txt":"LC_ITEM_hero_fragment_desc"}</v>
      </c>
      <c r="L1275" s="148" t="str">
        <f>IFERROR(__xludf.DUMMYFUNCTION("""COMPUTED_VALUE"""),"{}")</f>
        <v>{}</v>
      </c>
      <c r="M1275" s="148">
        <f>IFERROR(__xludf.DUMMYFUNCTION("""COMPUTED_VALUE"""),1500.0)</f>
        <v>1500</v>
      </c>
      <c r="N1275" s="148">
        <f>IFERROR(__xludf.DUMMYFUNCTION("""COMPUTED_VALUE"""),9999999.0)</f>
        <v>9999999</v>
      </c>
      <c r="O1275" s="148">
        <f>IFERROR(__xludf.DUMMYFUNCTION("""COMPUTED_VALUE"""),99999.0)</f>
        <v>99999</v>
      </c>
      <c r="P1275" s="148">
        <f>IFERROR(__xludf.DUMMYFUNCTION("""COMPUTED_VALUE"""),99999.0)</f>
        <v>99999</v>
      </c>
      <c r="Q1275" s="148" t="str">
        <f>IFERROR(__xludf.DUMMYFUNCTION("""COMPUTED_VALUE"""),"[""bag_other""]")</f>
        <v>["bag_other"]</v>
      </c>
      <c r="R1275" s="148" t="str">
        <f>IFERROR(__xludf.DUMMYFUNCTION("""COMPUTED_VALUE"""),"[""19201020""]")</f>
        <v>["19201020"]</v>
      </c>
      <c r="S1275" s="148" t="str">
        <f>IFERROR(__xludf.DUMMYFUNCTION("""COMPUTED_VALUE"""),"{""effect"":[{""typ"":""rss"",""id"":11141032,""val"":10},{""typ"":""rss"",""id"":11141034,""val"":500}]}")</f>
        <v>{"effect":[{"typ":"rss","id":11141032,"val":10},{"typ":"rss","id":11141034,"val":500}]}</v>
      </c>
      <c r="T1275" s="148">
        <f>IFERROR(__xludf.DUMMYFUNCTION("""COMPUTED_VALUE"""),-1.0)</f>
        <v>-1</v>
      </c>
      <c r="U1275" s="148">
        <f>IFERROR(__xludf.DUMMYFUNCTION("""COMPUTED_VALUE"""),0.0)</f>
        <v>0</v>
      </c>
      <c r="V1275" s="148" t="str">
        <f>IFERROR(__xludf.DUMMYFUNCTION("""COMPUTED_VALUE"""),"[]")</f>
        <v>[]</v>
      </c>
      <c r="W1275" s="148">
        <f>IFERROR(__xludf.DUMMYFUNCTION("""COMPUTED_VALUE"""),1.1741002E7)</f>
        <v>11741002</v>
      </c>
      <c r="X1275" s="148">
        <f>IFERROR(__xludf.DUMMYFUNCTION("""COMPUTED_VALUE"""),0.0)</f>
        <v>0</v>
      </c>
      <c r="Y1275" s="148">
        <f>IFERROR(__xludf.DUMMYFUNCTION("""COMPUTED_VALUE"""),0.0)</f>
        <v>0</v>
      </c>
      <c r="Z1275" s="148"/>
    </row>
    <row r="1276">
      <c r="A1276" s="148">
        <f>IFERROR(__xludf.DUMMYFUNCTION("""COMPUTED_VALUE"""),1.1116211E7)</f>
        <v>11116211</v>
      </c>
      <c r="B1276" s="148" t="str">
        <f>IFERROR(__xludf.DUMMYFUNCTION("""COMPUTED_VALUE"""),"碎片-洛朗")</f>
        <v>碎片-洛朗</v>
      </c>
      <c r="C1276" s="148"/>
      <c r="D1276" s="148" t="str">
        <f>IFERROR(__xludf.DUMMYFUNCTION("""COMPUTED_VALUE"""),"hero_unit")</f>
        <v>hero_unit</v>
      </c>
      <c r="E1276" s="148">
        <f>IFERROR(__xludf.DUMMYFUNCTION("""COMPUTED_VALUE"""),0.0)</f>
        <v>0</v>
      </c>
      <c r="F1276" s="148">
        <f>IFERROR(__xludf.DUMMYFUNCTION("""COMPUTED_VALUE"""),411120.0)</f>
        <v>411120</v>
      </c>
      <c r="G1276" s="148">
        <f>IFERROR(__xludf.DUMMYFUNCTION("""COMPUTED_VALUE"""),1.5112805E7)</f>
        <v>15112805</v>
      </c>
      <c r="H1276" s="148">
        <f>IFERROR(__xludf.DUMMYFUNCTION("""COMPUTED_VALUE"""),1.5112564E7)</f>
        <v>15112564</v>
      </c>
      <c r="I1276" s="148" t="str">
        <f>IFERROR(__xludf.DUMMYFUNCTION("""COMPUTED_VALUE"""),"{}")</f>
        <v>{}</v>
      </c>
      <c r="J1276" s="148" t="str">
        <f>IFERROR(__xludf.DUMMYFUNCTION("""COMPUTED_VALUE"""),"{""typ"":""lc"",""txt"":""LC_ITEM_hero_fragment_name"",""args"":[{""typ"":""lc"",""txt"":""LC_HERO_hero_name_21""}]}")</f>
        <v>{"typ":"lc","txt":"LC_ITEM_hero_fragment_name","args":[{"typ":"lc","txt":"LC_HERO_hero_name_21"}]}</v>
      </c>
      <c r="K1276" s="148" t="str">
        <f>IFERROR(__xludf.DUMMYFUNCTION("""COMPUTED_VALUE"""),"{""typ"":""lc"",""txt"":""LC_ITEM_hero_fragment_desc""}")</f>
        <v>{"typ":"lc","txt":"LC_ITEM_hero_fragment_desc"}</v>
      </c>
      <c r="L1276" s="148" t="str">
        <f>IFERROR(__xludf.DUMMYFUNCTION("""COMPUTED_VALUE"""),"{}")</f>
        <v>{}</v>
      </c>
      <c r="M1276" s="148">
        <f>IFERROR(__xludf.DUMMYFUNCTION("""COMPUTED_VALUE"""),1500.0)</f>
        <v>1500</v>
      </c>
      <c r="N1276" s="148">
        <f>IFERROR(__xludf.DUMMYFUNCTION("""COMPUTED_VALUE"""),9999999.0)</f>
        <v>9999999</v>
      </c>
      <c r="O1276" s="148">
        <f>IFERROR(__xludf.DUMMYFUNCTION("""COMPUTED_VALUE"""),99999.0)</f>
        <v>99999</v>
      </c>
      <c r="P1276" s="148">
        <f>IFERROR(__xludf.DUMMYFUNCTION("""COMPUTED_VALUE"""),99999.0)</f>
        <v>99999</v>
      </c>
      <c r="Q1276" s="148" t="str">
        <f>IFERROR(__xludf.DUMMYFUNCTION("""COMPUTED_VALUE"""),"[""bag_other""]")</f>
        <v>["bag_other"]</v>
      </c>
      <c r="R1276" s="148" t="str">
        <f>IFERROR(__xludf.DUMMYFUNCTION("""COMPUTED_VALUE"""),"[""19201021""]")</f>
        <v>["19201021"]</v>
      </c>
      <c r="S1276" s="148" t="str">
        <f>IFERROR(__xludf.DUMMYFUNCTION("""COMPUTED_VALUE"""),"{""effect"":[{""typ"":""rss"",""id"":11141032,""val"":10},{""typ"":""rss"",""id"":11141034,""val"":500}]}")</f>
        <v>{"effect":[{"typ":"rss","id":11141032,"val":10},{"typ":"rss","id":11141034,"val":500}]}</v>
      </c>
      <c r="T1276" s="148">
        <f>IFERROR(__xludf.DUMMYFUNCTION("""COMPUTED_VALUE"""),-1.0)</f>
        <v>-1</v>
      </c>
      <c r="U1276" s="148">
        <f>IFERROR(__xludf.DUMMYFUNCTION("""COMPUTED_VALUE"""),0.0)</f>
        <v>0</v>
      </c>
      <c r="V1276" s="148" t="str">
        <f>IFERROR(__xludf.DUMMYFUNCTION("""COMPUTED_VALUE"""),"[]")</f>
        <v>[]</v>
      </c>
      <c r="W1276" s="148">
        <f>IFERROR(__xludf.DUMMYFUNCTION("""COMPUTED_VALUE"""),1.1741002E7)</f>
        <v>11741002</v>
      </c>
      <c r="X1276" s="148">
        <f>IFERROR(__xludf.DUMMYFUNCTION("""COMPUTED_VALUE"""),0.0)</f>
        <v>0</v>
      </c>
      <c r="Y1276" s="148">
        <f>IFERROR(__xludf.DUMMYFUNCTION("""COMPUTED_VALUE"""),0.0)</f>
        <v>0</v>
      </c>
      <c r="Z1276" s="148"/>
    </row>
    <row r="1277">
      <c r="A1277" s="148">
        <f>IFERROR(__xludf.DUMMYFUNCTION("""COMPUTED_VALUE"""),1.1116212E7)</f>
        <v>11116212</v>
      </c>
      <c r="B1277" s="148" t="str">
        <f>IFERROR(__xludf.DUMMYFUNCTION("""COMPUTED_VALUE"""),"碎片-马克西姆斯")</f>
        <v>碎片-马克西姆斯</v>
      </c>
      <c r="C1277" s="148"/>
      <c r="D1277" s="148" t="str">
        <f>IFERROR(__xludf.DUMMYFUNCTION("""COMPUTED_VALUE"""),"hero_unit")</f>
        <v>hero_unit</v>
      </c>
      <c r="E1277" s="148">
        <f>IFERROR(__xludf.DUMMYFUNCTION("""COMPUTED_VALUE"""),0.0)</f>
        <v>0</v>
      </c>
      <c r="F1277" s="148">
        <f>IFERROR(__xludf.DUMMYFUNCTION("""COMPUTED_VALUE"""),411105.0)</f>
        <v>411105</v>
      </c>
      <c r="G1277" s="148">
        <f>IFERROR(__xludf.DUMMYFUNCTION("""COMPUTED_VALUE"""),1.5112806E7)</f>
        <v>15112806</v>
      </c>
      <c r="H1277" s="148">
        <f>IFERROR(__xludf.DUMMYFUNCTION("""COMPUTED_VALUE"""),1.5112564E7)</f>
        <v>15112564</v>
      </c>
      <c r="I1277" s="148" t="str">
        <f>IFERROR(__xludf.DUMMYFUNCTION("""COMPUTED_VALUE"""),"{}")</f>
        <v>{}</v>
      </c>
      <c r="J1277" s="148" t="str">
        <f>IFERROR(__xludf.DUMMYFUNCTION("""COMPUTED_VALUE"""),"{""typ"":""lc"",""txt"":""LC_ITEM_hero_fragment_name"",""args"":[{""typ"":""lc"",""txt"":""LC_HERO_hero_name_22""}]}")</f>
        <v>{"typ":"lc","txt":"LC_ITEM_hero_fragment_name","args":[{"typ":"lc","txt":"LC_HERO_hero_name_22"}]}</v>
      </c>
      <c r="K1277" s="148" t="str">
        <f>IFERROR(__xludf.DUMMYFUNCTION("""COMPUTED_VALUE"""),"{""typ"":""lc"",""txt"":""LC_ITEM_hero_fragment_desc""}")</f>
        <v>{"typ":"lc","txt":"LC_ITEM_hero_fragment_desc"}</v>
      </c>
      <c r="L1277" s="148" t="str">
        <f>IFERROR(__xludf.DUMMYFUNCTION("""COMPUTED_VALUE"""),"{}")</f>
        <v>{}</v>
      </c>
      <c r="M1277" s="148">
        <f>IFERROR(__xludf.DUMMYFUNCTION("""COMPUTED_VALUE"""),4000.0)</f>
        <v>4000</v>
      </c>
      <c r="N1277" s="148">
        <f>IFERROR(__xludf.DUMMYFUNCTION("""COMPUTED_VALUE"""),9999999.0)</f>
        <v>9999999</v>
      </c>
      <c r="O1277" s="148">
        <f>IFERROR(__xludf.DUMMYFUNCTION("""COMPUTED_VALUE"""),99999.0)</f>
        <v>99999</v>
      </c>
      <c r="P1277" s="148">
        <f>IFERROR(__xludf.DUMMYFUNCTION("""COMPUTED_VALUE"""),99999.0)</f>
        <v>99999</v>
      </c>
      <c r="Q1277" s="148" t="str">
        <f>IFERROR(__xludf.DUMMYFUNCTION("""COMPUTED_VALUE"""),"[""bag_other""]")</f>
        <v>["bag_other"]</v>
      </c>
      <c r="R1277" s="148" t="str">
        <f>IFERROR(__xludf.DUMMYFUNCTION("""COMPUTED_VALUE"""),"[""19201022""]")</f>
        <v>["19201022"]</v>
      </c>
      <c r="S1277" s="148" t="str">
        <f>IFERROR(__xludf.DUMMYFUNCTION("""COMPUTED_VALUE"""),"{""effect"":[{""typ"":""rss"",""id"":11141032,""val"":10},{""typ"":""rss"",""id"":11141034,""val"":500}]}")</f>
        <v>{"effect":[{"typ":"rss","id":11141032,"val":10},{"typ":"rss","id":11141034,"val":500}]}</v>
      </c>
      <c r="T1277" s="148">
        <f>IFERROR(__xludf.DUMMYFUNCTION("""COMPUTED_VALUE"""),-1.0)</f>
        <v>-1</v>
      </c>
      <c r="U1277" s="148">
        <f>IFERROR(__xludf.DUMMYFUNCTION("""COMPUTED_VALUE"""),0.0)</f>
        <v>0</v>
      </c>
      <c r="V1277" s="148" t="str">
        <f>IFERROR(__xludf.DUMMYFUNCTION("""COMPUTED_VALUE"""),"[]")</f>
        <v>[]</v>
      </c>
      <c r="W1277" s="148">
        <f>IFERROR(__xludf.DUMMYFUNCTION("""COMPUTED_VALUE"""),1.1741002E7)</f>
        <v>11741002</v>
      </c>
      <c r="X1277" s="148">
        <f>IFERROR(__xludf.DUMMYFUNCTION("""COMPUTED_VALUE"""),0.0)</f>
        <v>0</v>
      </c>
      <c r="Y1277" s="148">
        <f>IFERROR(__xludf.DUMMYFUNCTION("""COMPUTED_VALUE"""),0.0)</f>
        <v>0</v>
      </c>
      <c r="Z1277" s="148"/>
    </row>
    <row r="1278">
      <c r="A1278" s="148">
        <f>IFERROR(__xludf.DUMMYFUNCTION("""COMPUTED_VALUE"""),1.1116213E7)</f>
        <v>11116213</v>
      </c>
      <c r="B1278" s="148" t="str">
        <f>IFERROR(__xludf.DUMMYFUNCTION("""COMPUTED_VALUE"""),"碎片-露易丝·阿姆斯特朗")</f>
        <v>碎片-露易丝·阿姆斯特朗</v>
      </c>
      <c r="C1278" s="148"/>
      <c r="D1278" s="148" t="str">
        <f>IFERROR(__xludf.DUMMYFUNCTION("""COMPUTED_VALUE"""),"hero_unit")</f>
        <v>hero_unit</v>
      </c>
      <c r="E1278" s="148">
        <f>IFERROR(__xludf.DUMMYFUNCTION("""COMPUTED_VALUE"""),0.0)</f>
        <v>0</v>
      </c>
      <c r="F1278" s="148">
        <f>IFERROR(__xludf.DUMMYFUNCTION("""COMPUTED_VALUE"""),411106.0)</f>
        <v>411106</v>
      </c>
      <c r="G1278" s="148">
        <f>IFERROR(__xludf.DUMMYFUNCTION("""COMPUTED_VALUE"""),1.5112807E7)</f>
        <v>15112807</v>
      </c>
      <c r="H1278" s="148">
        <f>IFERROR(__xludf.DUMMYFUNCTION("""COMPUTED_VALUE"""),1.5112564E7)</f>
        <v>15112564</v>
      </c>
      <c r="I1278" s="148" t="str">
        <f>IFERROR(__xludf.DUMMYFUNCTION("""COMPUTED_VALUE"""),"{}")</f>
        <v>{}</v>
      </c>
      <c r="J1278" s="148" t="str">
        <f>IFERROR(__xludf.DUMMYFUNCTION("""COMPUTED_VALUE"""),"{""typ"":""lc"",""txt"":""LC_ITEM_hero_fragment_name"",""args"":[{""typ"":""lc"",""txt"":""LC_HERO_hero_name_23""}]}")</f>
        <v>{"typ":"lc","txt":"LC_ITEM_hero_fragment_name","args":[{"typ":"lc","txt":"LC_HERO_hero_name_23"}]}</v>
      </c>
      <c r="K1278" s="148" t="str">
        <f>IFERROR(__xludf.DUMMYFUNCTION("""COMPUTED_VALUE"""),"{""typ"":""lc"",""txt"":""LC_ITEM_hero_fragment_desc""}")</f>
        <v>{"typ":"lc","txt":"LC_ITEM_hero_fragment_desc"}</v>
      </c>
      <c r="L1278" s="148" t="str">
        <f>IFERROR(__xludf.DUMMYFUNCTION("""COMPUTED_VALUE"""),"{}")</f>
        <v>{}</v>
      </c>
      <c r="M1278" s="148">
        <f>IFERROR(__xludf.DUMMYFUNCTION("""COMPUTED_VALUE"""),4000.0)</f>
        <v>4000</v>
      </c>
      <c r="N1278" s="148">
        <f>IFERROR(__xludf.DUMMYFUNCTION("""COMPUTED_VALUE"""),9999999.0)</f>
        <v>9999999</v>
      </c>
      <c r="O1278" s="148">
        <f>IFERROR(__xludf.DUMMYFUNCTION("""COMPUTED_VALUE"""),99999.0)</f>
        <v>99999</v>
      </c>
      <c r="P1278" s="148">
        <f>IFERROR(__xludf.DUMMYFUNCTION("""COMPUTED_VALUE"""),99999.0)</f>
        <v>99999</v>
      </c>
      <c r="Q1278" s="148" t="str">
        <f>IFERROR(__xludf.DUMMYFUNCTION("""COMPUTED_VALUE"""),"[""bag_other""]")</f>
        <v>["bag_other"]</v>
      </c>
      <c r="R1278" s="148" t="str">
        <f>IFERROR(__xludf.DUMMYFUNCTION("""COMPUTED_VALUE"""),"[""19201023""]")</f>
        <v>["19201023"]</v>
      </c>
      <c r="S1278" s="148" t="str">
        <f>IFERROR(__xludf.DUMMYFUNCTION("""COMPUTED_VALUE"""),"{""effect"":[{""typ"":""rss"",""id"":11141032,""val"":10},{""typ"":""rss"",""id"":11141034,""val"":500}]}")</f>
        <v>{"effect":[{"typ":"rss","id":11141032,"val":10},{"typ":"rss","id":11141034,"val":500}]}</v>
      </c>
      <c r="T1278" s="148">
        <f>IFERROR(__xludf.DUMMYFUNCTION("""COMPUTED_VALUE"""),-1.0)</f>
        <v>-1</v>
      </c>
      <c r="U1278" s="148">
        <f>IFERROR(__xludf.DUMMYFUNCTION("""COMPUTED_VALUE"""),0.0)</f>
        <v>0</v>
      </c>
      <c r="V1278" s="148" t="str">
        <f>IFERROR(__xludf.DUMMYFUNCTION("""COMPUTED_VALUE"""),"[]")</f>
        <v>[]</v>
      </c>
      <c r="W1278" s="148">
        <f>IFERROR(__xludf.DUMMYFUNCTION("""COMPUTED_VALUE"""),1.1741002E7)</f>
        <v>11741002</v>
      </c>
      <c r="X1278" s="148">
        <f>IFERROR(__xludf.DUMMYFUNCTION("""COMPUTED_VALUE"""),0.0)</f>
        <v>0</v>
      </c>
      <c r="Y1278" s="148">
        <f>IFERROR(__xludf.DUMMYFUNCTION("""COMPUTED_VALUE"""),0.0)</f>
        <v>0</v>
      </c>
      <c r="Z1278" s="148"/>
    </row>
    <row r="1279">
      <c r="A1279" s="148">
        <f>IFERROR(__xludf.DUMMYFUNCTION("""COMPUTED_VALUE"""),1.1116214E7)</f>
        <v>11116214</v>
      </c>
      <c r="B1279" s="148" t="str">
        <f>IFERROR(__xludf.DUMMYFUNCTION("""COMPUTED_VALUE"""),"碎片-罗尼·贾")</f>
        <v>碎片-罗尼·贾</v>
      </c>
      <c r="C1279" s="148"/>
      <c r="D1279" s="148" t="str">
        <f>IFERROR(__xludf.DUMMYFUNCTION("""COMPUTED_VALUE"""),"hero_unit")</f>
        <v>hero_unit</v>
      </c>
      <c r="E1279" s="148">
        <f>IFERROR(__xludf.DUMMYFUNCTION("""COMPUTED_VALUE"""),0.0)</f>
        <v>0</v>
      </c>
      <c r="F1279" s="148">
        <f>IFERROR(__xludf.DUMMYFUNCTION("""COMPUTED_VALUE"""),411121.0)</f>
        <v>411121</v>
      </c>
      <c r="G1279" s="148">
        <f>IFERROR(__xludf.DUMMYFUNCTION("""COMPUTED_VALUE"""),1.5112808E7)</f>
        <v>15112808</v>
      </c>
      <c r="H1279" s="148">
        <f>IFERROR(__xludf.DUMMYFUNCTION("""COMPUTED_VALUE"""),1.5112564E7)</f>
        <v>15112564</v>
      </c>
      <c r="I1279" s="148" t="str">
        <f>IFERROR(__xludf.DUMMYFUNCTION("""COMPUTED_VALUE"""),"{}")</f>
        <v>{}</v>
      </c>
      <c r="J1279" s="148" t="str">
        <f>IFERROR(__xludf.DUMMYFUNCTION("""COMPUTED_VALUE"""),"{""typ"":""lc"",""txt"":""LC_ITEM_hero_fragment_name"",""args"":[{""typ"":""lc"",""txt"":""LC_HERO_hero_name_24""}]}")</f>
        <v>{"typ":"lc","txt":"LC_ITEM_hero_fragment_name","args":[{"typ":"lc","txt":"LC_HERO_hero_name_24"}]}</v>
      </c>
      <c r="K1279" s="148" t="str">
        <f>IFERROR(__xludf.DUMMYFUNCTION("""COMPUTED_VALUE"""),"{""typ"":""lc"",""txt"":""LC_ITEM_hero_fragment_desc""}")</f>
        <v>{"typ":"lc","txt":"LC_ITEM_hero_fragment_desc"}</v>
      </c>
      <c r="L1279" s="148" t="str">
        <f>IFERROR(__xludf.DUMMYFUNCTION("""COMPUTED_VALUE"""),"{}")</f>
        <v>{}</v>
      </c>
      <c r="M1279" s="148">
        <f>IFERROR(__xludf.DUMMYFUNCTION("""COMPUTED_VALUE"""),1500.0)</f>
        <v>1500</v>
      </c>
      <c r="N1279" s="148">
        <f>IFERROR(__xludf.DUMMYFUNCTION("""COMPUTED_VALUE"""),9999999.0)</f>
        <v>9999999</v>
      </c>
      <c r="O1279" s="148">
        <f>IFERROR(__xludf.DUMMYFUNCTION("""COMPUTED_VALUE"""),99999.0)</f>
        <v>99999</v>
      </c>
      <c r="P1279" s="148">
        <f>IFERROR(__xludf.DUMMYFUNCTION("""COMPUTED_VALUE"""),99999.0)</f>
        <v>99999</v>
      </c>
      <c r="Q1279" s="148" t="str">
        <f>IFERROR(__xludf.DUMMYFUNCTION("""COMPUTED_VALUE"""),"[""bag_other""]")</f>
        <v>["bag_other"]</v>
      </c>
      <c r="R1279" s="148" t="str">
        <f>IFERROR(__xludf.DUMMYFUNCTION("""COMPUTED_VALUE"""),"[""19201024""]")</f>
        <v>["19201024"]</v>
      </c>
      <c r="S1279" s="148" t="str">
        <f>IFERROR(__xludf.DUMMYFUNCTION("""COMPUTED_VALUE"""),"{""effect"":[{""typ"":""rss"",""id"":11141032,""val"":10},{""typ"":""rss"",""id"":11141034,""val"":500}]}")</f>
        <v>{"effect":[{"typ":"rss","id":11141032,"val":10},{"typ":"rss","id":11141034,"val":500}]}</v>
      </c>
      <c r="T1279" s="148">
        <f>IFERROR(__xludf.DUMMYFUNCTION("""COMPUTED_VALUE"""),-1.0)</f>
        <v>-1</v>
      </c>
      <c r="U1279" s="148">
        <f>IFERROR(__xludf.DUMMYFUNCTION("""COMPUTED_VALUE"""),0.0)</f>
        <v>0</v>
      </c>
      <c r="V1279" s="148" t="str">
        <f>IFERROR(__xludf.DUMMYFUNCTION("""COMPUTED_VALUE"""),"[]")</f>
        <v>[]</v>
      </c>
      <c r="W1279" s="148">
        <f>IFERROR(__xludf.DUMMYFUNCTION("""COMPUTED_VALUE"""),1.1741002E7)</f>
        <v>11741002</v>
      </c>
      <c r="X1279" s="148">
        <f>IFERROR(__xludf.DUMMYFUNCTION("""COMPUTED_VALUE"""),0.0)</f>
        <v>0</v>
      </c>
      <c r="Y1279" s="148">
        <f>IFERROR(__xludf.DUMMYFUNCTION("""COMPUTED_VALUE"""),0.0)</f>
        <v>0</v>
      </c>
      <c r="Z1279" s="148"/>
    </row>
    <row r="1280">
      <c r="A1280" s="148">
        <f>IFERROR(__xludf.DUMMYFUNCTION("""COMPUTED_VALUE"""),1.1116215E7)</f>
        <v>11116215</v>
      </c>
      <c r="B1280" s="148" t="str">
        <f>IFERROR(__xludf.DUMMYFUNCTION("""COMPUTED_VALUE"""),"碎片-马斯通")</f>
        <v>碎片-马斯通</v>
      </c>
      <c r="C1280" s="148"/>
      <c r="D1280" s="148" t="str">
        <f>IFERROR(__xludf.DUMMYFUNCTION("""COMPUTED_VALUE"""),"hero_unit")</f>
        <v>hero_unit</v>
      </c>
      <c r="E1280" s="148">
        <f>IFERROR(__xludf.DUMMYFUNCTION("""COMPUTED_VALUE"""),0.0)</f>
        <v>0</v>
      </c>
      <c r="F1280" s="148">
        <f>IFERROR(__xludf.DUMMYFUNCTION("""COMPUTED_VALUE"""),411107.0)</f>
        <v>411107</v>
      </c>
      <c r="G1280" s="148">
        <f>IFERROR(__xludf.DUMMYFUNCTION("""COMPUTED_VALUE"""),1.5112809E7)</f>
        <v>15112809</v>
      </c>
      <c r="H1280" s="148">
        <f>IFERROR(__xludf.DUMMYFUNCTION("""COMPUTED_VALUE"""),1.5112564E7)</f>
        <v>15112564</v>
      </c>
      <c r="I1280" s="148" t="str">
        <f>IFERROR(__xludf.DUMMYFUNCTION("""COMPUTED_VALUE"""),"{}")</f>
        <v>{}</v>
      </c>
      <c r="J1280" s="148" t="str">
        <f>IFERROR(__xludf.DUMMYFUNCTION("""COMPUTED_VALUE"""),"{""typ"":""lc"",""txt"":""LC_ITEM_hero_fragment_name"",""args"":[{""typ"":""lc"",""txt"":""LC_HERO_hero_name_25""}]}")</f>
        <v>{"typ":"lc","txt":"LC_ITEM_hero_fragment_name","args":[{"typ":"lc","txt":"LC_HERO_hero_name_25"}]}</v>
      </c>
      <c r="K1280" s="148" t="str">
        <f>IFERROR(__xludf.DUMMYFUNCTION("""COMPUTED_VALUE"""),"{""typ"":""lc"",""txt"":""LC_ITEM_hero_fragment_desc""}")</f>
        <v>{"typ":"lc","txt":"LC_ITEM_hero_fragment_desc"}</v>
      </c>
      <c r="L1280" s="148" t="str">
        <f>IFERROR(__xludf.DUMMYFUNCTION("""COMPUTED_VALUE"""),"{}")</f>
        <v>{}</v>
      </c>
      <c r="M1280" s="148">
        <f>IFERROR(__xludf.DUMMYFUNCTION("""COMPUTED_VALUE"""),4000.0)</f>
        <v>4000</v>
      </c>
      <c r="N1280" s="148">
        <f>IFERROR(__xludf.DUMMYFUNCTION("""COMPUTED_VALUE"""),9999999.0)</f>
        <v>9999999</v>
      </c>
      <c r="O1280" s="148">
        <f>IFERROR(__xludf.DUMMYFUNCTION("""COMPUTED_VALUE"""),99999.0)</f>
        <v>99999</v>
      </c>
      <c r="P1280" s="148">
        <f>IFERROR(__xludf.DUMMYFUNCTION("""COMPUTED_VALUE"""),99999.0)</f>
        <v>99999</v>
      </c>
      <c r="Q1280" s="148" t="str">
        <f>IFERROR(__xludf.DUMMYFUNCTION("""COMPUTED_VALUE"""),"[""bag_other""]")</f>
        <v>["bag_other"]</v>
      </c>
      <c r="R1280" s="148" t="str">
        <f>IFERROR(__xludf.DUMMYFUNCTION("""COMPUTED_VALUE"""),"[""19201025""]")</f>
        <v>["19201025"]</v>
      </c>
      <c r="S1280" s="148" t="str">
        <f>IFERROR(__xludf.DUMMYFUNCTION("""COMPUTED_VALUE"""),"{""effect"":[{""typ"":""rss"",""id"":11141032,""val"":10},{""typ"":""rss"",""id"":11141034,""val"":500}]}")</f>
        <v>{"effect":[{"typ":"rss","id":11141032,"val":10},{"typ":"rss","id":11141034,"val":500}]}</v>
      </c>
      <c r="T1280" s="148">
        <f>IFERROR(__xludf.DUMMYFUNCTION("""COMPUTED_VALUE"""),-1.0)</f>
        <v>-1</v>
      </c>
      <c r="U1280" s="148">
        <f>IFERROR(__xludf.DUMMYFUNCTION("""COMPUTED_VALUE"""),0.0)</f>
        <v>0</v>
      </c>
      <c r="V1280" s="148" t="str">
        <f>IFERROR(__xludf.DUMMYFUNCTION("""COMPUTED_VALUE"""),"[]")</f>
        <v>[]</v>
      </c>
      <c r="W1280" s="148">
        <f>IFERROR(__xludf.DUMMYFUNCTION("""COMPUTED_VALUE"""),1.1741002E7)</f>
        <v>11741002</v>
      </c>
      <c r="X1280" s="148">
        <f>IFERROR(__xludf.DUMMYFUNCTION("""COMPUTED_VALUE"""),0.0)</f>
        <v>0</v>
      </c>
      <c r="Y1280" s="148">
        <f>IFERROR(__xludf.DUMMYFUNCTION("""COMPUTED_VALUE"""),0.0)</f>
        <v>0</v>
      </c>
      <c r="Z1280" s="148"/>
    </row>
    <row r="1281">
      <c r="A1281" s="148">
        <f>IFERROR(__xludf.DUMMYFUNCTION("""COMPUTED_VALUE"""),1.1116216E7)</f>
        <v>11116216</v>
      </c>
      <c r="B1281" s="148" t="str">
        <f>IFERROR(__xludf.DUMMYFUNCTION("""COMPUTED_VALUE"""),"碎片-科兹摩  奶嘴")</f>
        <v>碎片-科兹摩  奶嘴</v>
      </c>
      <c r="C1281" s="148"/>
      <c r="D1281" s="148" t="str">
        <f>IFERROR(__xludf.DUMMYFUNCTION("""COMPUTED_VALUE"""),"hero_unit")</f>
        <v>hero_unit</v>
      </c>
      <c r="E1281" s="148">
        <f>IFERROR(__xludf.DUMMYFUNCTION("""COMPUTED_VALUE"""),0.0)</f>
        <v>0</v>
      </c>
      <c r="F1281" s="148">
        <f>IFERROR(__xludf.DUMMYFUNCTION("""COMPUTED_VALUE"""),411133.0)</f>
        <v>411133</v>
      </c>
      <c r="G1281" s="148">
        <f>IFERROR(__xludf.DUMMYFUNCTION("""COMPUTED_VALUE"""),1.5113286E7)</f>
        <v>15113286</v>
      </c>
      <c r="H1281" s="148">
        <f>IFERROR(__xludf.DUMMYFUNCTION("""COMPUTED_VALUE"""),1.5112563E7)</f>
        <v>15112563</v>
      </c>
      <c r="I1281" s="148" t="str">
        <f>IFERROR(__xludf.DUMMYFUNCTION("""COMPUTED_VALUE"""),"{}")</f>
        <v>{}</v>
      </c>
      <c r="J1281" s="148" t="str">
        <f>IFERROR(__xludf.DUMMYFUNCTION("""COMPUTED_VALUE"""),"{""typ"":""lc"",""txt"":""LC_ITEM_hero_fragment_name"",""args"":[{""typ"":""lc"",""txt"":""LC_HERO_hero_name_26""}]}")</f>
        <v>{"typ":"lc","txt":"LC_ITEM_hero_fragment_name","args":[{"typ":"lc","txt":"LC_HERO_hero_name_26"}]}</v>
      </c>
      <c r="K1281" s="148" t="str">
        <f>IFERROR(__xludf.DUMMYFUNCTION("""COMPUTED_VALUE"""),"{""typ"":""lc"",""txt"":""LC_ITEM_hero_fragment_desc""}")</f>
        <v>{"typ":"lc","txt":"LC_ITEM_hero_fragment_desc"}</v>
      </c>
      <c r="L1281" s="148" t="str">
        <f>IFERROR(__xludf.DUMMYFUNCTION("""COMPUTED_VALUE"""),"{}")</f>
        <v>{}</v>
      </c>
      <c r="M1281" s="148">
        <f>IFERROR(__xludf.DUMMYFUNCTION("""COMPUTED_VALUE"""),300.0)</f>
        <v>300</v>
      </c>
      <c r="N1281" s="148">
        <f>IFERROR(__xludf.DUMMYFUNCTION("""COMPUTED_VALUE"""),9999999.0)</f>
        <v>9999999</v>
      </c>
      <c r="O1281" s="148">
        <f>IFERROR(__xludf.DUMMYFUNCTION("""COMPUTED_VALUE"""),99999.0)</f>
        <v>99999</v>
      </c>
      <c r="P1281" s="148">
        <f>IFERROR(__xludf.DUMMYFUNCTION("""COMPUTED_VALUE"""),99999.0)</f>
        <v>99999</v>
      </c>
      <c r="Q1281" s="148" t="str">
        <f>IFERROR(__xludf.DUMMYFUNCTION("""COMPUTED_VALUE"""),"[""bag_other""]")</f>
        <v>["bag_other"]</v>
      </c>
      <c r="R1281" s="148" t="str">
        <f>IFERROR(__xludf.DUMMYFUNCTION("""COMPUTED_VALUE"""),"[""19201026""]")</f>
        <v>["19201026"]</v>
      </c>
      <c r="S1281" s="148" t="str">
        <f>IFERROR(__xludf.DUMMYFUNCTION("""COMPUTED_VALUE"""),"{""effect"":[{""typ"":""rss"",""id"":11141032,""val"":10},{""typ"":""rss"",""id"":11141034,""val"":500}]}")</f>
        <v>{"effect":[{"typ":"rss","id":11141032,"val":10},{"typ":"rss","id":11141034,"val":500}]}</v>
      </c>
      <c r="T1281" s="148">
        <f>IFERROR(__xludf.DUMMYFUNCTION("""COMPUTED_VALUE"""),-1.0)</f>
        <v>-1</v>
      </c>
      <c r="U1281" s="148">
        <f>IFERROR(__xludf.DUMMYFUNCTION("""COMPUTED_VALUE"""),0.0)</f>
        <v>0</v>
      </c>
      <c r="V1281" s="148" t="str">
        <f>IFERROR(__xludf.DUMMYFUNCTION("""COMPUTED_VALUE"""),"[]")</f>
        <v>[]</v>
      </c>
      <c r="W1281" s="148">
        <f>IFERROR(__xludf.DUMMYFUNCTION("""COMPUTED_VALUE"""),1.1741002E7)</f>
        <v>11741002</v>
      </c>
      <c r="X1281" s="148">
        <f>IFERROR(__xludf.DUMMYFUNCTION("""COMPUTED_VALUE"""),0.0)</f>
        <v>0</v>
      </c>
      <c r="Y1281" s="148">
        <f>IFERROR(__xludf.DUMMYFUNCTION("""COMPUTED_VALUE"""),0.0)</f>
        <v>0</v>
      </c>
      <c r="Z1281" s="148"/>
    </row>
    <row r="1282">
      <c r="A1282" s="148">
        <f>IFERROR(__xludf.DUMMYFUNCTION("""COMPUTED_VALUE"""),1.1116217E7)</f>
        <v>11116217</v>
      </c>
      <c r="B1282" s="148" t="str">
        <f>IFERROR(__xludf.DUMMYFUNCTION("""COMPUTED_VALUE"""),"碎片-杰克")</f>
        <v>碎片-杰克</v>
      </c>
      <c r="C1282" s="148"/>
      <c r="D1282" s="148" t="str">
        <f>IFERROR(__xludf.DUMMYFUNCTION("""COMPUTED_VALUE"""),"hero_unit")</f>
        <v>hero_unit</v>
      </c>
      <c r="E1282" s="148">
        <f>IFERROR(__xludf.DUMMYFUNCTION("""COMPUTED_VALUE"""),0.0)</f>
        <v>0</v>
      </c>
      <c r="F1282" s="148">
        <f>IFERROR(__xludf.DUMMYFUNCTION("""COMPUTED_VALUE"""),411108.0)</f>
        <v>411108</v>
      </c>
      <c r="G1282" s="148">
        <f>IFERROR(__xludf.DUMMYFUNCTION("""COMPUTED_VALUE"""),1.5113529E7)</f>
        <v>15113529</v>
      </c>
      <c r="H1282" s="148">
        <f>IFERROR(__xludf.DUMMYFUNCTION("""COMPUTED_VALUE"""),1.5112564E7)</f>
        <v>15112564</v>
      </c>
      <c r="I1282" s="148" t="str">
        <f>IFERROR(__xludf.DUMMYFUNCTION("""COMPUTED_VALUE"""),"{}")</f>
        <v>{}</v>
      </c>
      <c r="J1282" s="148" t="str">
        <f>IFERROR(__xludf.DUMMYFUNCTION("""COMPUTED_VALUE"""),"{""typ"":""lc"",""txt"":""LC_ITEM_hero_fragment_name"",""args"":[{""typ"":""lc"",""txt"":""LC_HERO_hero_name_27""}]}")</f>
        <v>{"typ":"lc","txt":"LC_ITEM_hero_fragment_name","args":[{"typ":"lc","txt":"LC_HERO_hero_name_27"}]}</v>
      </c>
      <c r="K1282" s="148" t="str">
        <f>IFERROR(__xludf.DUMMYFUNCTION("""COMPUTED_VALUE"""),"{""typ"":""lc"",""txt"":""LC_ITEM_hero_fragment_desc""}")</f>
        <v>{"typ":"lc","txt":"LC_ITEM_hero_fragment_desc"}</v>
      </c>
      <c r="L1282" s="148" t="str">
        <f>IFERROR(__xludf.DUMMYFUNCTION("""COMPUTED_VALUE"""),"{}")</f>
        <v>{}</v>
      </c>
      <c r="M1282" s="148">
        <f>IFERROR(__xludf.DUMMYFUNCTION("""COMPUTED_VALUE"""),4000.0)</f>
        <v>4000</v>
      </c>
      <c r="N1282" s="148">
        <f>IFERROR(__xludf.DUMMYFUNCTION("""COMPUTED_VALUE"""),9999999.0)</f>
        <v>9999999</v>
      </c>
      <c r="O1282" s="148">
        <f>IFERROR(__xludf.DUMMYFUNCTION("""COMPUTED_VALUE"""),99999.0)</f>
        <v>99999</v>
      </c>
      <c r="P1282" s="148">
        <f>IFERROR(__xludf.DUMMYFUNCTION("""COMPUTED_VALUE"""),99999.0)</f>
        <v>99999</v>
      </c>
      <c r="Q1282" s="148" t="str">
        <f>IFERROR(__xludf.DUMMYFUNCTION("""COMPUTED_VALUE"""),"[""bag_other""]")</f>
        <v>["bag_other"]</v>
      </c>
      <c r="R1282" s="148" t="str">
        <f>IFERROR(__xludf.DUMMYFUNCTION("""COMPUTED_VALUE"""),"[""19201027""]")</f>
        <v>["19201027"]</v>
      </c>
      <c r="S1282" s="148" t="str">
        <f>IFERROR(__xludf.DUMMYFUNCTION("""COMPUTED_VALUE"""),"{""effect"":[{""typ"":""rss"",""id"":11141032,""val"":10},{""typ"":""rss"",""id"":11141034,""val"":500}]}")</f>
        <v>{"effect":[{"typ":"rss","id":11141032,"val":10},{"typ":"rss","id":11141034,"val":500}]}</v>
      </c>
      <c r="T1282" s="148">
        <f>IFERROR(__xludf.DUMMYFUNCTION("""COMPUTED_VALUE"""),-1.0)</f>
        <v>-1</v>
      </c>
      <c r="U1282" s="148">
        <f>IFERROR(__xludf.DUMMYFUNCTION("""COMPUTED_VALUE"""),0.0)</f>
        <v>0</v>
      </c>
      <c r="V1282" s="148" t="str">
        <f>IFERROR(__xludf.DUMMYFUNCTION("""COMPUTED_VALUE"""),"[]")</f>
        <v>[]</v>
      </c>
      <c r="W1282" s="148">
        <f>IFERROR(__xludf.DUMMYFUNCTION("""COMPUTED_VALUE"""),1.1741002E7)</f>
        <v>11741002</v>
      </c>
      <c r="X1282" s="148">
        <f>IFERROR(__xludf.DUMMYFUNCTION("""COMPUTED_VALUE"""),0.0)</f>
        <v>0</v>
      </c>
      <c r="Y1282" s="148">
        <f>IFERROR(__xludf.DUMMYFUNCTION("""COMPUTED_VALUE"""),0.0)</f>
        <v>0</v>
      </c>
      <c r="Z1282" s="148"/>
    </row>
    <row r="1283">
      <c r="A1283" s="148">
        <f>IFERROR(__xludf.DUMMYFUNCTION("""COMPUTED_VALUE"""),1.1116218E7)</f>
        <v>11116218</v>
      </c>
      <c r="B1283" s="148" t="str">
        <f>IFERROR(__xludf.DUMMYFUNCTION("""COMPUTED_VALUE"""),"碎片-肖恩")</f>
        <v>碎片-肖恩</v>
      </c>
      <c r="C1283" s="148"/>
      <c r="D1283" s="148" t="str">
        <f>IFERROR(__xludf.DUMMYFUNCTION("""COMPUTED_VALUE"""),"hero_unit")</f>
        <v>hero_unit</v>
      </c>
      <c r="E1283" s="148">
        <f>IFERROR(__xludf.DUMMYFUNCTION("""COMPUTED_VALUE"""),0.0)</f>
        <v>0</v>
      </c>
      <c r="F1283" s="148">
        <f>IFERROR(__xludf.DUMMYFUNCTION("""COMPUTED_VALUE"""),411109.0)</f>
        <v>411109</v>
      </c>
      <c r="G1283" s="148">
        <f>IFERROR(__xludf.DUMMYFUNCTION("""COMPUTED_VALUE"""),1.5113532E7)</f>
        <v>15113532</v>
      </c>
      <c r="H1283" s="148">
        <f>IFERROR(__xludf.DUMMYFUNCTION("""COMPUTED_VALUE"""),1.5112564E7)</f>
        <v>15112564</v>
      </c>
      <c r="I1283" s="148" t="str">
        <f>IFERROR(__xludf.DUMMYFUNCTION("""COMPUTED_VALUE"""),"{}")</f>
        <v>{}</v>
      </c>
      <c r="J1283" s="148" t="str">
        <f>IFERROR(__xludf.DUMMYFUNCTION("""COMPUTED_VALUE"""),"{""typ"":""lc"",""txt"":""LC_ITEM_hero_fragment_name"",""args"":[{""typ"":""lc"",""txt"":""LC_HERO_hero_name_28""}]}")</f>
        <v>{"typ":"lc","txt":"LC_ITEM_hero_fragment_name","args":[{"typ":"lc","txt":"LC_HERO_hero_name_28"}]}</v>
      </c>
      <c r="K1283" s="148" t="str">
        <f>IFERROR(__xludf.DUMMYFUNCTION("""COMPUTED_VALUE"""),"{""typ"":""lc"",""txt"":""LC_ITEM_hero_fragment_desc""}")</f>
        <v>{"typ":"lc","txt":"LC_ITEM_hero_fragment_desc"}</v>
      </c>
      <c r="L1283" s="148" t="str">
        <f>IFERROR(__xludf.DUMMYFUNCTION("""COMPUTED_VALUE"""),"{}")</f>
        <v>{}</v>
      </c>
      <c r="M1283" s="148">
        <f>IFERROR(__xludf.DUMMYFUNCTION("""COMPUTED_VALUE"""),4000.0)</f>
        <v>4000</v>
      </c>
      <c r="N1283" s="148">
        <f>IFERROR(__xludf.DUMMYFUNCTION("""COMPUTED_VALUE"""),9999999.0)</f>
        <v>9999999</v>
      </c>
      <c r="O1283" s="148">
        <f>IFERROR(__xludf.DUMMYFUNCTION("""COMPUTED_VALUE"""),99999.0)</f>
        <v>99999</v>
      </c>
      <c r="P1283" s="148">
        <f>IFERROR(__xludf.DUMMYFUNCTION("""COMPUTED_VALUE"""),99999.0)</f>
        <v>99999</v>
      </c>
      <c r="Q1283" s="148" t="str">
        <f>IFERROR(__xludf.DUMMYFUNCTION("""COMPUTED_VALUE"""),"[""bag_other""]")</f>
        <v>["bag_other"]</v>
      </c>
      <c r="R1283" s="148" t="str">
        <f>IFERROR(__xludf.DUMMYFUNCTION("""COMPUTED_VALUE"""),"[""19201028""]")</f>
        <v>["19201028"]</v>
      </c>
      <c r="S1283" s="148" t="str">
        <f>IFERROR(__xludf.DUMMYFUNCTION("""COMPUTED_VALUE"""),"{""effect"":[{""typ"":""rss"",""id"":11141032,""val"":10},{""typ"":""rss"",""id"":11141034,""val"":500}]}")</f>
        <v>{"effect":[{"typ":"rss","id":11141032,"val":10},{"typ":"rss","id":11141034,"val":500}]}</v>
      </c>
      <c r="T1283" s="148">
        <f>IFERROR(__xludf.DUMMYFUNCTION("""COMPUTED_VALUE"""),-1.0)</f>
        <v>-1</v>
      </c>
      <c r="U1283" s="148">
        <f>IFERROR(__xludf.DUMMYFUNCTION("""COMPUTED_VALUE"""),0.0)</f>
        <v>0</v>
      </c>
      <c r="V1283" s="148" t="str">
        <f>IFERROR(__xludf.DUMMYFUNCTION("""COMPUTED_VALUE"""),"[]")</f>
        <v>[]</v>
      </c>
      <c r="W1283" s="148">
        <f>IFERROR(__xludf.DUMMYFUNCTION("""COMPUTED_VALUE"""),1.1741002E7)</f>
        <v>11741002</v>
      </c>
      <c r="X1283" s="148">
        <f>IFERROR(__xludf.DUMMYFUNCTION("""COMPUTED_VALUE"""),0.0)</f>
        <v>0</v>
      </c>
      <c r="Y1283" s="148">
        <f>IFERROR(__xludf.DUMMYFUNCTION("""COMPUTED_VALUE"""),0.0)</f>
        <v>0</v>
      </c>
      <c r="Z1283" s="148"/>
    </row>
    <row r="1284">
      <c r="A1284" s="148">
        <f>IFERROR(__xludf.DUMMYFUNCTION("""COMPUTED_VALUE"""),1.1116219E7)</f>
        <v>11116219</v>
      </c>
      <c r="B1284" s="148" t="str">
        <f>IFERROR(__xludf.DUMMYFUNCTION("""COMPUTED_VALUE"""),"碎片-彼得")</f>
        <v>碎片-彼得</v>
      </c>
      <c r="C1284" s="148"/>
      <c r="D1284" s="148" t="str">
        <f>IFERROR(__xludf.DUMMYFUNCTION("""COMPUTED_VALUE"""),"hero_unit")</f>
        <v>hero_unit</v>
      </c>
      <c r="E1284" s="148">
        <f>IFERROR(__xludf.DUMMYFUNCTION("""COMPUTED_VALUE"""),0.0)</f>
        <v>0</v>
      </c>
      <c r="F1284" s="148">
        <f>IFERROR(__xludf.DUMMYFUNCTION("""COMPUTED_VALUE"""),411122.0)</f>
        <v>411122</v>
      </c>
      <c r="G1284" s="148">
        <f>IFERROR(__xludf.DUMMYFUNCTION("""COMPUTED_VALUE"""),1.5113595E7)</f>
        <v>15113595</v>
      </c>
      <c r="H1284" s="148">
        <f>IFERROR(__xludf.DUMMYFUNCTION("""COMPUTED_VALUE"""),1.5112564E7)</f>
        <v>15112564</v>
      </c>
      <c r="I1284" s="148" t="str">
        <f>IFERROR(__xludf.DUMMYFUNCTION("""COMPUTED_VALUE"""),"{}")</f>
        <v>{}</v>
      </c>
      <c r="J1284" s="148" t="str">
        <f>IFERROR(__xludf.DUMMYFUNCTION("""COMPUTED_VALUE"""),"{""typ"":""lc"",""txt"":""LC_ITEM_hero_fragment_name"",""args"":[{""typ"":""lc"",""txt"":""LC_HERO_hero_name_29""}]}")</f>
        <v>{"typ":"lc","txt":"LC_ITEM_hero_fragment_name","args":[{"typ":"lc","txt":"LC_HERO_hero_name_29"}]}</v>
      </c>
      <c r="K1284" s="148" t="str">
        <f>IFERROR(__xludf.DUMMYFUNCTION("""COMPUTED_VALUE"""),"{""typ"":""lc"",""txt"":""LC_ITEM_hero_fragment_desc""}")</f>
        <v>{"typ":"lc","txt":"LC_ITEM_hero_fragment_desc"}</v>
      </c>
      <c r="L1284" s="148" t="str">
        <f>IFERROR(__xludf.DUMMYFUNCTION("""COMPUTED_VALUE"""),"{}")</f>
        <v>{}</v>
      </c>
      <c r="M1284" s="148">
        <f>IFERROR(__xludf.DUMMYFUNCTION("""COMPUTED_VALUE"""),1500.0)</f>
        <v>1500</v>
      </c>
      <c r="N1284" s="148">
        <f>IFERROR(__xludf.DUMMYFUNCTION("""COMPUTED_VALUE"""),9999999.0)</f>
        <v>9999999</v>
      </c>
      <c r="O1284" s="148">
        <f>IFERROR(__xludf.DUMMYFUNCTION("""COMPUTED_VALUE"""),99999.0)</f>
        <v>99999</v>
      </c>
      <c r="P1284" s="148">
        <f>IFERROR(__xludf.DUMMYFUNCTION("""COMPUTED_VALUE"""),99999.0)</f>
        <v>99999</v>
      </c>
      <c r="Q1284" s="148" t="str">
        <f>IFERROR(__xludf.DUMMYFUNCTION("""COMPUTED_VALUE"""),"[""bag_other""]")</f>
        <v>["bag_other"]</v>
      </c>
      <c r="R1284" s="148" t="str">
        <f>IFERROR(__xludf.DUMMYFUNCTION("""COMPUTED_VALUE"""),"[""19201029""]")</f>
        <v>["19201029"]</v>
      </c>
      <c r="S1284" s="148" t="str">
        <f>IFERROR(__xludf.DUMMYFUNCTION("""COMPUTED_VALUE"""),"{""effect"":[{""typ"":""rss"",""id"":11141032,""val"":10},{""typ"":""rss"",""id"":11141034,""val"":500}]}")</f>
        <v>{"effect":[{"typ":"rss","id":11141032,"val":10},{"typ":"rss","id":11141034,"val":500}]}</v>
      </c>
      <c r="T1284" s="148">
        <f>IFERROR(__xludf.DUMMYFUNCTION("""COMPUTED_VALUE"""),-1.0)</f>
        <v>-1</v>
      </c>
      <c r="U1284" s="148">
        <f>IFERROR(__xludf.DUMMYFUNCTION("""COMPUTED_VALUE"""),0.0)</f>
        <v>0</v>
      </c>
      <c r="V1284" s="148" t="str">
        <f>IFERROR(__xludf.DUMMYFUNCTION("""COMPUTED_VALUE"""),"[]")</f>
        <v>[]</v>
      </c>
      <c r="W1284" s="148">
        <f>IFERROR(__xludf.DUMMYFUNCTION("""COMPUTED_VALUE"""),1.1741002E7)</f>
        <v>11741002</v>
      </c>
      <c r="X1284" s="148">
        <f>IFERROR(__xludf.DUMMYFUNCTION("""COMPUTED_VALUE"""),0.0)</f>
        <v>0</v>
      </c>
      <c r="Y1284" s="148">
        <f>IFERROR(__xludf.DUMMYFUNCTION("""COMPUTED_VALUE"""),0.0)</f>
        <v>0</v>
      </c>
      <c r="Z1284" s="148"/>
    </row>
    <row r="1285">
      <c r="A1285" s="148">
        <f>IFERROR(__xludf.DUMMYFUNCTION("""COMPUTED_VALUE"""),1.111622E7)</f>
        <v>11116220</v>
      </c>
      <c r="B1285" s="148" t="str">
        <f>IFERROR(__xludf.DUMMYFUNCTION("""COMPUTED_VALUE"""),"碎片-强尼")</f>
        <v>碎片-强尼</v>
      </c>
      <c r="C1285" s="148"/>
      <c r="D1285" s="148" t="str">
        <f>IFERROR(__xludf.DUMMYFUNCTION("""COMPUTED_VALUE"""),"hero_unit")</f>
        <v>hero_unit</v>
      </c>
      <c r="E1285" s="148">
        <f>IFERROR(__xludf.DUMMYFUNCTION("""COMPUTED_VALUE"""),0.0)</f>
        <v>0</v>
      </c>
      <c r="F1285" s="148">
        <f>IFERROR(__xludf.DUMMYFUNCTION("""COMPUTED_VALUE"""),411123.0)</f>
        <v>411123</v>
      </c>
      <c r="G1285" s="148">
        <f>IFERROR(__xludf.DUMMYFUNCTION("""COMPUTED_VALUE"""),1.5113598E7)</f>
        <v>15113598</v>
      </c>
      <c r="H1285" s="148">
        <f>IFERROR(__xludf.DUMMYFUNCTION("""COMPUTED_VALUE"""),1.5112564E7)</f>
        <v>15112564</v>
      </c>
      <c r="I1285" s="148" t="str">
        <f>IFERROR(__xludf.DUMMYFUNCTION("""COMPUTED_VALUE"""),"{}")</f>
        <v>{}</v>
      </c>
      <c r="J1285" s="148" t="str">
        <f>IFERROR(__xludf.DUMMYFUNCTION("""COMPUTED_VALUE"""),"{""typ"":""lc"",""txt"":""LC_ITEM_hero_fragment_name"",""args"":[{""typ"":""lc"",""txt"":""LC_HERO_hero_name_30""}]}")</f>
        <v>{"typ":"lc","txt":"LC_ITEM_hero_fragment_name","args":[{"typ":"lc","txt":"LC_HERO_hero_name_30"}]}</v>
      </c>
      <c r="K1285" s="148" t="str">
        <f>IFERROR(__xludf.DUMMYFUNCTION("""COMPUTED_VALUE"""),"{""typ"":""lc"",""txt"":""LC_ITEM_hero_fragment_desc""}")</f>
        <v>{"typ":"lc","txt":"LC_ITEM_hero_fragment_desc"}</v>
      </c>
      <c r="L1285" s="148" t="str">
        <f>IFERROR(__xludf.DUMMYFUNCTION("""COMPUTED_VALUE"""),"{}")</f>
        <v>{}</v>
      </c>
      <c r="M1285" s="148">
        <f>IFERROR(__xludf.DUMMYFUNCTION("""COMPUTED_VALUE"""),1500.0)</f>
        <v>1500</v>
      </c>
      <c r="N1285" s="148">
        <f>IFERROR(__xludf.DUMMYFUNCTION("""COMPUTED_VALUE"""),9999999.0)</f>
        <v>9999999</v>
      </c>
      <c r="O1285" s="148">
        <f>IFERROR(__xludf.DUMMYFUNCTION("""COMPUTED_VALUE"""),99999.0)</f>
        <v>99999</v>
      </c>
      <c r="P1285" s="148">
        <f>IFERROR(__xludf.DUMMYFUNCTION("""COMPUTED_VALUE"""),99999.0)</f>
        <v>99999</v>
      </c>
      <c r="Q1285" s="148" t="str">
        <f>IFERROR(__xludf.DUMMYFUNCTION("""COMPUTED_VALUE"""),"[""bag_other""]")</f>
        <v>["bag_other"]</v>
      </c>
      <c r="R1285" s="148" t="str">
        <f>IFERROR(__xludf.DUMMYFUNCTION("""COMPUTED_VALUE"""),"[""19201030""]")</f>
        <v>["19201030"]</v>
      </c>
      <c r="S1285" s="148" t="str">
        <f>IFERROR(__xludf.DUMMYFUNCTION("""COMPUTED_VALUE"""),"{""effect"":[{""typ"":""rss"",""id"":11141032,""val"":10},{""typ"":""rss"",""id"":11141034,""val"":500}]}")</f>
        <v>{"effect":[{"typ":"rss","id":11141032,"val":10},{"typ":"rss","id":11141034,"val":500}]}</v>
      </c>
      <c r="T1285" s="148">
        <f>IFERROR(__xludf.DUMMYFUNCTION("""COMPUTED_VALUE"""),-1.0)</f>
        <v>-1</v>
      </c>
      <c r="U1285" s="148">
        <f>IFERROR(__xludf.DUMMYFUNCTION("""COMPUTED_VALUE"""),0.0)</f>
        <v>0</v>
      </c>
      <c r="V1285" s="148" t="str">
        <f>IFERROR(__xludf.DUMMYFUNCTION("""COMPUTED_VALUE"""),"[]")</f>
        <v>[]</v>
      </c>
      <c r="W1285" s="148">
        <f>IFERROR(__xludf.DUMMYFUNCTION("""COMPUTED_VALUE"""),1.1741002E7)</f>
        <v>11741002</v>
      </c>
      <c r="X1285" s="148">
        <f>IFERROR(__xludf.DUMMYFUNCTION("""COMPUTED_VALUE"""),0.0)</f>
        <v>0</v>
      </c>
      <c r="Y1285" s="148">
        <f>IFERROR(__xludf.DUMMYFUNCTION("""COMPUTED_VALUE"""),0.0)</f>
        <v>0</v>
      </c>
      <c r="Z1285" s="148"/>
    </row>
    <row r="1286">
      <c r="A1286" s="148">
        <f>IFERROR(__xludf.DUMMYFUNCTION("""COMPUTED_VALUE"""),1.1116221E7)</f>
        <v>11116221</v>
      </c>
      <c r="B1286" s="148" t="str">
        <f>IFERROR(__xludf.DUMMYFUNCTION("""COMPUTED_VALUE"""),"碎片-戴维斯")</f>
        <v>碎片-戴维斯</v>
      </c>
      <c r="C1286" s="148"/>
      <c r="D1286" s="148" t="str">
        <f>IFERROR(__xludf.DUMMYFUNCTION("""COMPUTED_VALUE"""),"hero_unit")</f>
        <v>hero_unit</v>
      </c>
      <c r="E1286" s="148">
        <f>IFERROR(__xludf.DUMMYFUNCTION("""COMPUTED_VALUE"""),0.0)</f>
        <v>0</v>
      </c>
      <c r="F1286" s="148">
        <f>IFERROR(__xludf.DUMMYFUNCTION("""COMPUTED_VALUE"""),411110.0)</f>
        <v>411110</v>
      </c>
      <c r="G1286" s="148">
        <f>IFERROR(__xludf.DUMMYFUNCTION("""COMPUTED_VALUE"""),1.5113722E7)</f>
        <v>15113722</v>
      </c>
      <c r="H1286" s="148">
        <f>IFERROR(__xludf.DUMMYFUNCTION("""COMPUTED_VALUE"""),1.5112564E7)</f>
        <v>15112564</v>
      </c>
      <c r="I1286" s="148" t="str">
        <f>IFERROR(__xludf.DUMMYFUNCTION("""COMPUTED_VALUE"""),"{}")</f>
        <v>{}</v>
      </c>
      <c r="J1286" s="148" t="str">
        <f>IFERROR(__xludf.DUMMYFUNCTION("""COMPUTED_VALUE"""),"{""typ"":""lc"",""txt"":""LC_ITEM_hero_fragment_name"",""args"":[{""typ"":""lc"",""txt"":""LC_HERO_hero_name_31""}]}")</f>
        <v>{"typ":"lc","txt":"LC_ITEM_hero_fragment_name","args":[{"typ":"lc","txt":"LC_HERO_hero_name_31"}]}</v>
      </c>
      <c r="K1286" s="148" t="str">
        <f>IFERROR(__xludf.DUMMYFUNCTION("""COMPUTED_VALUE"""),"{""typ"":""lc"",""txt"":""LC_ITEM_hero_fragment_desc""}")</f>
        <v>{"typ":"lc","txt":"LC_ITEM_hero_fragment_desc"}</v>
      </c>
      <c r="L1286" s="148" t="str">
        <f>IFERROR(__xludf.DUMMYFUNCTION("""COMPUTED_VALUE"""),"{}")</f>
        <v>{}</v>
      </c>
      <c r="M1286" s="148">
        <f>IFERROR(__xludf.DUMMYFUNCTION("""COMPUTED_VALUE"""),4000.0)</f>
        <v>4000</v>
      </c>
      <c r="N1286" s="148">
        <f>IFERROR(__xludf.DUMMYFUNCTION("""COMPUTED_VALUE"""),9999999.0)</f>
        <v>9999999</v>
      </c>
      <c r="O1286" s="148">
        <f>IFERROR(__xludf.DUMMYFUNCTION("""COMPUTED_VALUE"""),99999.0)</f>
        <v>99999</v>
      </c>
      <c r="P1286" s="148">
        <f>IFERROR(__xludf.DUMMYFUNCTION("""COMPUTED_VALUE"""),99999.0)</f>
        <v>99999</v>
      </c>
      <c r="Q1286" s="148" t="str">
        <f>IFERROR(__xludf.DUMMYFUNCTION("""COMPUTED_VALUE"""),"[""bag_other""]")</f>
        <v>["bag_other"]</v>
      </c>
      <c r="R1286" s="148" t="str">
        <f>IFERROR(__xludf.DUMMYFUNCTION("""COMPUTED_VALUE"""),"[""19201031""]")</f>
        <v>["19201031"]</v>
      </c>
      <c r="S1286" s="148" t="str">
        <f>IFERROR(__xludf.DUMMYFUNCTION("""COMPUTED_VALUE"""),"{""effect"":[{""typ"":""rss"",""id"":11141032,""val"":10},{""typ"":""rss"",""id"":11141034,""val"":500}]}")</f>
        <v>{"effect":[{"typ":"rss","id":11141032,"val":10},{"typ":"rss","id":11141034,"val":500}]}</v>
      </c>
      <c r="T1286" s="148">
        <f>IFERROR(__xludf.DUMMYFUNCTION("""COMPUTED_VALUE"""),-1.0)</f>
        <v>-1</v>
      </c>
      <c r="U1286" s="148">
        <f>IFERROR(__xludf.DUMMYFUNCTION("""COMPUTED_VALUE"""),0.0)</f>
        <v>0</v>
      </c>
      <c r="V1286" s="148" t="str">
        <f>IFERROR(__xludf.DUMMYFUNCTION("""COMPUTED_VALUE"""),"[]")</f>
        <v>[]</v>
      </c>
      <c r="W1286" s="148">
        <f>IFERROR(__xludf.DUMMYFUNCTION("""COMPUTED_VALUE"""),1.1741002E7)</f>
        <v>11741002</v>
      </c>
      <c r="X1286" s="148">
        <f>IFERROR(__xludf.DUMMYFUNCTION("""COMPUTED_VALUE"""),0.0)</f>
        <v>0</v>
      </c>
      <c r="Y1286" s="148">
        <f>IFERROR(__xludf.DUMMYFUNCTION("""COMPUTED_VALUE"""),0.0)</f>
        <v>0</v>
      </c>
      <c r="Z1286" s="148"/>
    </row>
    <row r="1287">
      <c r="A1287" s="148">
        <f>IFERROR(__xludf.DUMMYFUNCTION("""COMPUTED_VALUE"""),1.1116222E7)</f>
        <v>11116222</v>
      </c>
      <c r="B1287" s="148" t="str">
        <f>IFERROR(__xludf.DUMMYFUNCTION("""COMPUTED_VALUE"""),"碎片-蒂芙尼")</f>
        <v>碎片-蒂芙尼</v>
      </c>
      <c r="C1287" s="148"/>
      <c r="D1287" s="148" t="str">
        <f>IFERROR(__xludf.DUMMYFUNCTION("""COMPUTED_VALUE"""),"hero_unit")</f>
        <v>hero_unit</v>
      </c>
      <c r="E1287" s="148">
        <f>IFERROR(__xludf.DUMMYFUNCTION("""COMPUTED_VALUE"""),0.0)</f>
        <v>0</v>
      </c>
      <c r="F1287" s="148">
        <f>IFERROR(__xludf.DUMMYFUNCTION("""COMPUTED_VALUE"""),411124.0)</f>
        <v>411124</v>
      </c>
      <c r="G1287" s="148">
        <f>IFERROR(__xludf.DUMMYFUNCTION("""COMPUTED_VALUE"""),1.5113835E7)</f>
        <v>15113835</v>
      </c>
      <c r="H1287" s="148">
        <f>IFERROR(__xludf.DUMMYFUNCTION("""COMPUTED_VALUE"""),1.5112564E7)</f>
        <v>15112564</v>
      </c>
      <c r="I1287" s="148" t="str">
        <f>IFERROR(__xludf.DUMMYFUNCTION("""COMPUTED_VALUE"""),"{}")</f>
        <v>{}</v>
      </c>
      <c r="J1287" s="148" t="str">
        <f>IFERROR(__xludf.DUMMYFUNCTION("""COMPUTED_VALUE"""),"{""typ"":""lc"",""txt"":""LC_ITEM_hero_fragment_name"",""args"":[{""typ"":""lc"",""txt"":""LC_HERO_hero_name_32""}]}")</f>
        <v>{"typ":"lc","txt":"LC_ITEM_hero_fragment_name","args":[{"typ":"lc","txt":"LC_HERO_hero_name_32"}]}</v>
      </c>
      <c r="K1287" s="148" t="str">
        <f>IFERROR(__xludf.DUMMYFUNCTION("""COMPUTED_VALUE"""),"{""typ"":""lc"",""txt"":""LC_ITEM_hero_fragment_desc""}")</f>
        <v>{"typ":"lc","txt":"LC_ITEM_hero_fragment_desc"}</v>
      </c>
      <c r="L1287" s="148" t="str">
        <f>IFERROR(__xludf.DUMMYFUNCTION("""COMPUTED_VALUE"""),"{}")</f>
        <v>{}</v>
      </c>
      <c r="M1287" s="148">
        <f>IFERROR(__xludf.DUMMYFUNCTION("""COMPUTED_VALUE"""),1500.0)</f>
        <v>1500</v>
      </c>
      <c r="N1287" s="148">
        <f>IFERROR(__xludf.DUMMYFUNCTION("""COMPUTED_VALUE"""),9999999.0)</f>
        <v>9999999</v>
      </c>
      <c r="O1287" s="148">
        <f>IFERROR(__xludf.DUMMYFUNCTION("""COMPUTED_VALUE"""),99999.0)</f>
        <v>99999</v>
      </c>
      <c r="P1287" s="148">
        <f>IFERROR(__xludf.DUMMYFUNCTION("""COMPUTED_VALUE"""),99999.0)</f>
        <v>99999</v>
      </c>
      <c r="Q1287" s="148" t="str">
        <f>IFERROR(__xludf.DUMMYFUNCTION("""COMPUTED_VALUE"""),"[""bag_other""]")</f>
        <v>["bag_other"]</v>
      </c>
      <c r="R1287" s="148" t="str">
        <f>IFERROR(__xludf.DUMMYFUNCTION("""COMPUTED_VALUE"""),"[""19201032""]")</f>
        <v>["19201032"]</v>
      </c>
      <c r="S1287" s="148" t="str">
        <f>IFERROR(__xludf.DUMMYFUNCTION("""COMPUTED_VALUE"""),"{""effect"":[{""typ"":""rss"",""id"":11141032,""val"":10},{""typ"":""rss"",""id"":11141034,""val"":500}]}")</f>
        <v>{"effect":[{"typ":"rss","id":11141032,"val":10},{"typ":"rss","id":11141034,"val":500}]}</v>
      </c>
      <c r="T1287" s="148">
        <f>IFERROR(__xludf.DUMMYFUNCTION("""COMPUTED_VALUE"""),-1.0)</f>
        <v>-1</v>
      </c>
      <c r="U1287" s="148">
        <f>IFERROR(__xludf.DUMMYFUNCTION("""COMPUTED_VALUE"""),0.0)</f>
        <v>0</v>
      </c>
      <c r="V1287" s="148" t="str">
        <f>IFERROR(__xludf.DUMMYFUNCTION("""COMPUTED_VALUE"""),"[]")</f>
        <v>[]</v>
      </c>
      <c r="W1287" s="148">
        <f>IFERROR(__xludf.DUMMYFUNCTION("""COMPUTED_VALUE"""),1.1741002E7)</f>
        <v>11741002</v>
      </c>
      <c r="X1287" s="148">
        <f>IFERROR(__xludf.DUMMYFUNCTION("""COMPUTED_VALUE"""),0.0)</f>
        <v>0</v>
      </c>
      <c r="Y1287" s="148">
        <f>IFERROR(__xludf.DUMMYFUNCTION("""COMPUTED_VALUE"""),0.0)</f>
        <v>0</v>
      </c>
      <c r="Z1287" s="148"/>
    </row>
    <row r="1288">
      <c r="A1288" s="148">
        <f>IFERROR(__xludf.DUMMYFUNCTION("""COMPUTED_VALUE"""),1.1116223E7)</f>
        <v>11116223</v>
      </c>
      <c r="B1288" s="148" t="str">
        <f>IFERROR(__xludf.DUMMYFUNCTION("""COMPUTED_VALUE"""),"碎片-乔伊")</f>
        <v>碎片-乔伊</v>
      </c>
      <c r="C1288" s="148"/>
      <c r="D1288" s="148" t="str">
        <f>IFERROR(__xludf.DUMMYFUNCTION("""COMPUTED_VALUE"""),"hero_unit")</f>
        <v>hero_unit</v>
      </c>
      <c r="E1288" s="148">
        <f>IFERROR(__xludf.DUMMYFUNCTION("""COMPUTED_VALUE"""),0.0)</f>
        <v>0</v>
      </c>
      <c r="F1288" s="148">
        <f>IFERROR(__xludf.DUMMYFUNCTION("""COMPUTED_VALUE"""),411125.0)</f>
        <v>411125</v>
      </c>
      <c r="G1288" s="148">
        <f>IFERROR(__xludf.DUMMYFUNCTION("""COMPUTED_VALUE"""),1.5113845E7)</f>
        <v>15113845</v>
      </c>
      <c r="H1288" s="148">
        <f>IFERROR(__xludf.DUMMYFUNCTION("""COMPUTED_VALUE"""),1.5112564E7)</f>
        <v>15112564</v>
      </c>
      <c r="I1288" s="148" t="str">
        <f>IFERROR(__xludf.DUMMYFUNCTION("""COMPUTED_VALUE"""),"{}")</f>
        <v>{}</v>
      </c>
      <c r="J1288" s="148" t="str">
        <f>IFERROR(__xludf.DUMMYFUNCTION("""COMPUTED_VALUE"""),"{""typ"":""lc"",""txt"":""LC_ITEM_hero_fragment_name"",""args"":[{""typ"":""lc"",""txt"":""LC_HERO_hero_name_33""}]}")</f>
        <v>{"typ":"lc","txt":"LC_ITEM_hero_fragment_name","args":[{"typ":"lc","txt":"LC_HERO_hero_name_33"}]}</v>
      </c>
      <c r="K1288" s="148" t="str">
        <f>IFERROR(__xludf.DUMMYFUNCTION("""COMPUTED_VALUE"""),"{""typ"":""lc"",""txt"":""LC_ITEM_hero_fragment_desc""}")</f>
        <v>{"typ":"lc","txt":"LC_ITEM_hero_fragment_desc"}</v>
      </c>
      <c r="L1288" s="148" t="str">
        <f>IFERROR(__xludf.DUMMYFUNCTION("""COMPUTED_VALUE"""),"{}")</f>
        <v>{}</v>
      </c>
      <c r="M1288" s="148">
        <f>IFERROR(__xludf.DUMMYFUNCTION("""COMPUTED_VALUE"""),1500.0)</f>
        <v>1500</v>
      </c>
      <c r="N1288" s="148">
        <f>IFERROR(__xludf.DUMMYFUNCTION("""COMPUTED_VALUE"""),9999999.0)</f>
        <v>9999999</v>
      </c>
      <c r="O1288" s="148">
        <f>IFERROR(__xludf.DUMMYFUNCTION("""COMPUTED_VALUE"""),99999.0)</f>
        <v>99999</v>
      </c>
      <c r="P1288" s="148">
        <f>IFERROR(__xludf.DUMMYFUNCTION("""COMPUTED_VALUE"""),99999.0)</f>
        <v>99999</v>
      </c>
      <c r="Q1288" s="148" t="str">
        <f>IFERROR(__xludf.DUMMYFUNCTION("""COMPUTED_VALUE"""),"[""bag_other""]")</f>
        <v>["bag_other"]</v>
      </c>
      <c r="R1288" s="148" t="str">
        <f>IFERROR(__xludf.DUMMYFUNCTION("""COMPUTED_VALUE"""),"[""19201033""]")</f>
        <v>["19201033"]</v>
      </c>
      <c r="S1288" s="148" t="str">
        <f>IFERROR(__xludf.DUMMYFUNCTION("""COMPUTED_VALUE"""),"{""effect"":[{""typ"":""rss"",""id"":11141032,""val"":10},{""typ"":""rss"",""id"":11141034,""val"":500}]}")</f>
        <v>{"effect":[{"typ":"rss","id":11141032,"val":10},{"typ":"rss","id":11141034,"val":500}]}</v>
      </c>
      <c r="T1288" s="148">
        <f>IFERROR(__xludf.DUMMYFUNCTION("""COMPUTED_VALUE"""),-1.0)</f>
        <v>-1</v>
      </c>
      <c r="U1288" s="148">
        <f>IFERROR(__xludf.DUMMYFUNCTION("""COMPUTED_VALUE"""),0.0)</f>
        <v>0</v>
      </c>
      <c r="V1288" s="148" t="str">
        <f>IFERROR(__xludf.DUMMYFUNCTION("""COMPUTED_VALUE"""),"[]")</f>
        <v>[]</v>
      </c>
      <c r="W1288" s="148">
        <f>IFERROR(__xludf.DUMMYFUNCTION("""COMPUTED_VALUE"""),1.1741002E7)</f>
        <v>11741002</v>
      </c>
      <c r="X1288" s="148">
        <f>IFERROR(__xludf.DUMMYFUNCTION("""COMPUTED_VALUE"""),0.0)</f>
        <v>0</v>
      </c>
      <c r="Y1288" s="148">
        <f>IFERROR(__xludf.DUMMYFUNCTION("""COMPUTED_VALUE"""),0.0)</f>
        <v>0</v>
      </c>
      <c r="Z1288" s="148"/>
    </row>
    <row r="1289">
      <c r="A1289" s="148">
        <f>IFERROR(__xludf.DUMMYFUNCTION("""COMPUTED_VALUE"""),1.1116224E7)</f>
        <v>11116224</v>
      </c>
      <c r="B1289" s="148" t="str">
        <f>IFERROR(__xludf.DUMMYFUNCTION("""COMPUTED_VALUE"""),"碎片-厨师")</f>
        <v>碎片-厨师</v>
      </c>
      <c r="C1289" s="148"/>
      <c r="D1289" s="148" t="str">
        <f>IFERROR(__xludf.DUMMYFUNCTION("""COMPUTED_VALUE"""),"hero_unit")</f>
        <v>hero_unit</v>
      </c>
      <c r="E1289" s="148">
        <f>IFERROR(__xludf.DUMMYFUNCTION("""COMPUTED_VALUE"""),0.0)</f>
        <v>0</v>
      </c>
      <c r="F1289" s="148">
        <f>IFERROR(__xludf.DUMMYFUNCTION("""COMPUTED_VALUE"""),411134.0)</f>
        <v>411134</v>
      </c>
      <c r="G1289" s="148">
        <f>IFERROR(__xludf.DUMMYFUNCTION("""COMPUTED_VALUE"""),1.5113992E7)</f>
        <v>15113992</v>
      </c>
      <c r="H1289" s="148">
        <f>IFERROR(__xludf.DUMMYFUNCTION("""COMPUTED_VALUE"""),1.5112563E7)</f>
        <v>15112563</v>
      </c>
      <c r="I1289" s="148" t="str">
        <f>IFERROR(__xludf.DUMMYFUNCTION("""COMPUTED_VALUE"""),"{}")</f>
        <v>{}</v>
      </c>
      <c r="J1289" s="148" t="str">
        <f>IFERROR(__xludf.DUMMYFUNCTION("""COMPUTED_VALUE"""),"{""typ"":""lc"",""txt"":""LC_ITEM_hero_fragment_name"",""args"":[{""typ"":""lc"",""txt"":""LC_HERO_hero_name_34""}]}")</f>
        <v>{"typ":"lc","txt":"LC_ITEM_hero_fragment_name","args":[{"typ":"lc","txt":"LC_HERO_hero_name_34"}]}</v>
      </c>
      <c r="K1289" s="148" t="str">
        <f>IFERROR(__xludf.DUMMYFUNCTION("""COMPUTED_VALUE"""),"{""typ"":""lc"",""txt"":""LC_ITEM_hero_fragment_desc""}")</f>
        <v>{"typ":"lc","txt":"LC_ITEM_hero_fragment_desc"}</v>
      </c>
      <c r="L1289" s="148" t="str">
        <f>IFERROR(__xludf.DUMMYFUNCTION("""COMPUTED_VALUE"""),"{}")</f>
        <v>{}</v>
      </c>
      <c r="M1289" s="148">
        <f>IFERROR(__xludf.DUMMYFUNCTION("""COMPUTED_VALUE"""),300.0)</f>
        <v>300</v>
      </c>
      <c r="N1289" s="148">
        <f>IFERROR(__xludf.DUMMYFUNCTION("""COMPUTED_VALUE"""),9999999.0)</f>
        <v>9999999</v>
      </c>
      <c r="O1289" s="148">
        <f>IFERROR(__xludf.DUMMYFUNCTION("""COMPUTED_VALUE"""),99999.0)</f>
        <v>99999</v>
      </c>
      <c r="P1289" s="148">
        <f>IFERROR(__xludf.DUMMYFUNCTION("""COMPUTED_VALUE"""),99999.0)</f>
        <v>99999</v>
      </c>
      <c r="Q1289" s="148" t="str">
        <f>IFERROR(__xludf.DUMMYFUNCTION("""COMPUTED_VALUE"""),"[""bag_other""]")</f>
        <v>["bag_other"]</v>
      </c>
      <c r="R1289" s="148" t="str">
        <f>IFERROR(__xludf.DUMMYFUNCTION("""COMPUTED_VALUE"""),"[""19201034""]")</f>
        <v>["19201034"]</v>
      </c>
      <c r="S1289" s="148" t="str">
        <f>IFERROR(__xludf.DUMMYFUNCTION("""COMPUTED_VALUE"""),"{""effect"":[{""typ"":""rss"",""id"":11141032,""val"":10},{""typ"":""rss"",""id"":11141034,""val"":500}]}")</f>
        <v>{"effect":[{"typ":"rss","id":11141032,"val":10},{"typ":"rss","id":11141034,"val":500}]}</v>
      </c>
      <c r="T1289" s="148">
        <f>IFERROR(__xludf.DUMMYFUNCTION("""COMPUTED_VALUE"""),-1.0)</f>
        <v>-1</v>
      </c>
      <c r="U1289" s="148">
        <f>IFERROR(__xludf.DUMMYFUNCTION("""COMPUTED_VALUE"""),0.0)</f>
        <v>0</v>
      </c>
      <c r="V1289" s="148" t="str">
        <f>IFERROR(__xludf.DUMMYFUNCTION("""COMPUTED_VALUE"""),"[]")</f>
        <v>[]</v>
      </c>
      <c r="W1289" s="148">
        <f>IFERROR(__xludf.DUMMYFUNCTION("""COMPUTED_VALUE"""),1.1741002E7)</f>
        <v>11741002</v>
      </c>
      <c r="X1289" s="148">
        <f>IFERROR(__xludf.DUMMYFUNCTION("""COMPUTED_VALUE"""),0.0)</f>
        <v>0</v>
      </c>
      <c r="Y1289" s="148">
        <f>IFERROR(__xludf.DUMMYFUNCTION("""COMPUTED_VALUE"""),0.0)</f>
        <v>0</v>
      </c>
      <c r="Z1289" s="148"/>
    </row>
    <row r="1290">
      <c r="A1290" s="148">
        <f>IFERROR(__xludf.DUMMYFUNCTION("""COMPUTED_VALUE"""),1.1116225E7)</f>
        <v>11116225</v>
      </c>
      <c r="B1290" s="148" t="str">
        <f>IFERROR(__xludf.DUMMYFUNCTION("""COMPUTED_VALUE"""),"碎片-盖文")</f>
        <v>碎片-盖文</v>
      </c>
      <c r="C1290" s="148"/>
      <c r="D1290" s="148" t="str">
        <f>IFERROR(__xludf.DUMMYFUNCTION("""COMPUTED_VALUE"""),"hero_unit")</f>
        <v>hero_unit</v>
      </c>
      <c r="E1290" s="148">
        <f>IFERROR(__xludf.DUMMYFUNCTION("""COMPUTED_VALUE"""),0.0)</f>
        <v>0</v>
      </c>
      <c r="F1290" s="148">
        <f>IFERROR(__xludf.DUMMYFUNCTION("""COMPUTED_VALUE"""),411135.0)</f>
        <v>411135</v>
      </c>
      <c r="G1290" s="148">
        <f>IFERROR(__xludf.DUMMYFUNCTION("""COMPUTED_VALUE"""),1.5114002E7)</f>
        <v>15114002</v>
      </c>
      <c r="H1290" s="148">
        <f>IFERROR(__xludf.DUMMYFUNCTION("""COMPUTED_VALUE"""),1.5112563E7)</f>
        <v>15112563</v>
      </c>
      <c r="I1290" s="148" t="str">
        <f>IFERROR(__xludf.DUMMYFUNCTION("""COMPUTED_VALUE"""),"{}")</f>
        <v>{}</v>
      </c>
      <c r="J1290" s="148" t="str">
        <f>IFERROR(__xludf.DUMMYFUNCTION("""COMPUTED_VALUE"""),"{""typ"":""lc"",""txt"":""LC_ITEM_hero_fragment_name"",""args"":[{""typ"":""lc"",""txt"":""LC_HERO_hero_name_35""}]}")</f>
        <v>{"typ":"lc","txt":"LC_ITEM_hero_fragment_name","args":[{"typ":"lc","txt":"LC_HERO_hero_name_35"}]}</v>
      </c>
      <c r="K1290" s="148" t="str">
        <f>IFERROR(__xludf.DUMMYFUNCTION("""COMPUTED_VALUE"""),"{""typ"":""lc"",""txt"":""LC_ITEM_hero_fragment_desc""}")</f>
        <v>{"typ":"lc","txt":"LC_ITEM_hero_fragment_desc"}</v>
      </c>
      <c r="L1290" s="148" t="str">
        <f>IFERROR(__xludf.DUMMYFUNCTION("""COMPUTED_VALUE"""),"{}")</f>
        <v>{}</v>
      </c>
      <c r="M1290" s="148">
        <f>IFERROR(__xludf.DUMMYFUNCTION("""COMPUTED_VALUE"""),300.0)</f>
        <v>300</v>
      </c>
      <c r="N1290" s="148">
        <f>IFERROR(__xludf.DUMMYFUNCTION("""COMPUTED_VALUE"""),9999999.0)</f>
        <v>9999999</v>
      </c>
      <c r="O1290" s="148">
        <f>IFERROR(__xludf.DUMMYFUNCTION("""COMPUTED_VALUE"""),99999.0)</f>
        <v>99999</v>
      </c>
      <c r="P1290" s="148">
        <f>IFERROR(__xludf.DUMMYFUNCTION("""COMPUTED_VALUE"""),99999.0)</f>
        <v>99999</v>
      </c>
      <c r="Q1290" s="148" t="str">
        <f>IFERROR(__xludf.DUMMYFUNCTION("""COMPUTED_VALUE"""),"[""bag_other""]")</f>
        <v>["bag_other"]</v>
      </c>
      <c r="R1290" s="148" t="str">
        <f>IFERROR(__xludf.DUMMYFUNCTION("""COMPUTED_VALUE"""),"[""19201035""]")</f>
        <v>["19201035"]</v>
      </c>
      <c r="S1290" s="148" t="str">
        <f>IFERROR(__xludf.DUMMYFUNCTION("""COMPUTED_VALUE"""),"{""effect"":[{""typ"":""rss"",""id"":11141032,""val"":10},{""typ"":""rss"",""id"":11141034,""val"":500}]}")</f>
        <v>{"effect":[{"typ":"rss","id":11141032,"val":10},{"typ":"rss","id":11141034,"val":500}]}</v>
      </c>
      <c r="T1290" s="148">
        <f>IFERROR(__xludf.DUMMYFUNCTION("""COMPUTED_VALUE"""),-1.0)</f>
        <v>-1</v>
      </c>
      <c r="U1290" s="148">
        <f>IFERROR(__xludf.DUMMYFUNCTION("""COMPUTED_VALUE"""),0.0)</f>
        <v>0</v>
      </c>
      <c r="V1290" s="148" t="str">
        <f>IFERROR(__xludf.DUMMYFUNCTION("""COMPUTED_VALUE"""),"[]")</f>
        <v>[]</v>
      </c>
      <c r="W1290" s="148">
        <f>IFERROR(__xludf.DUMMYFUNCTION("""COMPUTED_VALUE"""),1.1741002E7)</f>
        <v>11741002</v>
      </c>
      <c r="X1290" s="148">
        <f>IFERROR(__xludf.DUMMYFUNCTION("""COMPUTED_VALUE"""),0.0)</f>
        <v>0</v>
      </c>
      <c r="Y1290" s="148">
        <f>IFERROR(__xludf.DUMMYFUNCTION("""COMPUTED_VALUE"""),0.0)</f>
        <v>0</v>
      </c>
      <c r="Z1290" s="148"/>
    </row>
    <row r="1291">
      <c r="A1291" s="148">
        <f>IFERROR(__xludf.DUMMYFUNCTION("""COMPUTED_VALUE"""),1.1116226E7)</f>
        <v>11116226</v>
      </c>
      <c r="B1291" s="148" t="str">
        <f>IFERROR(__xludf.DUMMYFUNCTION("""COMPUTED_VALUE"""),"碎片-铸造大师邓普斯")</f>
        <v>碎片-铸造大师邓普斯</v>
      </c>
      <c r="C1291" s="148"/>
      <c r="D1291" s="148" t="str">
        <f>IFERROR(__xludf.DUMMYFUNCTION("""COMPUTED_VALUE"""),"hero_unit")</f>
        <v>hero_unit</v>
      </c>
      <c r="E1291" s="148">
        <f>IFERROR(__xludf.DUMMYFUNCTION("""COMPUTED_VALUE"""),0.0)</f>
        <v>0</v>
      </c>
      <c r="F1291" s="148">
        <f>IFERROR(__xludf.DUMMYFUNCTION("""COMPUTED_VALUE"""),411136.0)</f>
        <v>411136</v>
      </c>
      <c r="G1291" s="148">
        <f>IFERROR(__xludf.DUMMYFUNCTION("""COMPUTED_VALUE"""),1.5114058E7)</f>
        <v>15114058</v>
      </c>
      <c r="H1291" s="148">
        <f>IFERROR(__xludf.DUMMYFUNCTION("""COMPUTED_VALUE"""),1.5112563E7)</f>
        <v>15112563</v>
      </c>
      <c r="I1291" s="148" t="str">
        <f>IFERROR(__xludf.DUMMYFUNCTION("""COMPUTED_VALUE"""),"{}")</f>
        <v>{}</v>
      </c>
      <c r="J1291" s="148" t="str">
        <f>IFERROR(__xludf.DUMMYFUNCTION("""COMPUTED_VALUE"""),"{""typ"":""lc"",""txt"":""LC_ITEM_hero_fragment_name"",""args"":[{""typ"":""lc"",""txt"":""LC_HERO_hero_name_36""}]}")</f>
        <v>{"typ":"lc","txt":"LC_ITEM_hero_fragment_name","args":[{"typ":"lc","txt":"LC_HERO_hero_name_36"}]}</v>
      </c>
      <c r="K1291" s="148" t="str">
        <f>IFERROR(__xludf.DUMMYFUNCTION("""COMPUTED_VALUE"""),"{""typ"":""lc"",""txt"":""LC_ITEM_hero_fragment_desc""}")</f>
        <v>{"typ":"lc","txt":"LC_ITEM_hero_fragment_desc"}</v>
      </c>
      <c r="L1291" s="148" t="str">
        <f>IFERROR(__xludf.DUMMYFUNCTION("""COMPUTED_VALUE"""),"{}")</f>
        <v>{}</v>
      </c>
      <c r="M1291" s="148">
        <f>IFERROR(__xludf.DUMMYFUNCTION("""COMPUTED_VALUE"""),300.0)</f>
        <v>300</v>
      </c>
      <c r="N1291" s="148">
        <f>IFERROR(__xludf.DUMMYFUNCTION("""COMPUTED_VALUE"""),9999999.0)</f>
        <v>9999999</v>
      </c>
      <c r="O1291" s="148">
        <f>IFERROR(__xludf.DUMMYFUNCTION("""COMPUTED_VALUE"""),99999.0)</f>
        <v>99999</v>
      </c>
      <c r="P1291" s="148">
        <f>IFERROR(__xludf.DUMMYFUNCTION("""COMPUTED_VALUE"""),99999.0)</f>
        <v>99999</v>
      </c>
      <c r="Q1291" s="148" t="str">
        <f>IFERROR(__xludf.DUMMYFUNCTION("""COMPUTED_VALUE"""),"[""bag_other""]")</f>
        <v>["bag_other"]</v>
      </c>
      <c r="R1291" s="148" t="str">
        <f>IFERROR(__xludf.DUMMYFUNCTION("""COMPUTED_VALUE"""),"[""19201036""]")</f>
        <v>["19201036"]</v>
      </c>
      <c r="S1291" s="148" t="str">
        <f>IFERROR(__xludf.DUMMYFUNCTION("""COMPUTED_VALUE"""),"{""effect"":[{""typ"":""rss"",""id"":11141032,""val"":10},{""typ"":""rss"",""id"":11141034,""val"":500}]}")</f>
        <v>{"effect":[{"typ":"rss","id":11141032,"val":10},{"typ":"rss","id":11141034,"val":500}]}</v>
      </c>
      <c r="T1291" s="148">
        <f>IFERROR(__xludf.DUMMYFUNCTION("""COMPUTED_VALUE"""),-1.0)</f>
        <v>-1</v>
      </c>
      <c r="U1291" s="148">
        <f>IFERROR(__xludf.DUMMYFUNCTION("""COMPUTED_VALUE"""),0.0)</f>
        <v>0</v>
      </c>
      <c r="V1291" s="148" t="str">
        <f>IFERROR(__xludf.DUMMYFUNCTION("""COMPUTED_VALUE"""),"[]")</f>
        <v>[]</v>
      </c>
      <c r="W1291" s="148">
        <f>IFERROR(__xludf.DUMMYFUNCTION("""COMPUTED_VALUE"""),1.1741002E7)</f>
        <v>11741002</v>
      </c>
      <c r="X1291" s="148">
        <f>IFERROR(__xludf.DUMMYFUNCTION("""COMPUTED_VALUE"""),0.0)</f>
        <v>0</v>
      </c>
      <c r="Y1291" s="148">
        <f>IFERROR(__xludf.DUMMYFUNCTION("""COMPUTED_VALUE"""),0.0)</f>
        <v>0</v>
      </c>
      <c r="Z1291" s="148"/>
    </row>
    <row r="1292">
      <c r="A1292" s="148">
        <f>IFERROR(__xludf.DUMMYFUNCTION("""COMPUTED_VALUE"""),1.1116227E7)</f>
        <v>11116227</v>
      </c>
      <c r="B1292" s="148" t="str">
        <f>IFERROR(__xludf.DUMMYFUNCTION("""COMPUTED_VALUE"""),"碎片-葛列格")</f>
        <v>碎片-葛列格</v>
      </c>
      <c r="C1292" s="148"/>
      <c r="D1292" s="148" t="str">
        <f>IFERROR(__xludf.DUMMYFUNCTION("""COMPUTED_VALUE"""),"hero_unit")</f>
        <v>hero_unit</v>
      </c>
      <c r="E1292" s="148">
        <f>IFERROR(__xludf.DUMMYFUNCTION("""COMPUTED_VALUE"""),0.0)</f>
        <v>0</v>
      </c>
      <c r="F1292" s="148">
        <f>IFERROR(__xludf.DUMMYFUNCTION("""COMPUTED_VALUE"""),411126.0)</f>
        <v>411126</v>
      </c>
      <c r="G1292" s="148">
        <f>IFERROR(__xludf.DUMMYFUNCTION("""COMPUTED_VALUE"""),1.5114225E7)</f>
        <v>15114225</v>
      </c>
      <c r="H1292" s="148">
        <f>IFERROR(__xludf.DUMMYFUNCTION("""COMPUTED_VALUE"""),1.5112564E7)</f>
        <v>15112564</v>
      </c>
      <c r="I1292" s="148" t="str">
        <f>IFERROR(__xludf.DUMMYFUNCTION("""COMPUTED_VALUE"""),"{}")</f>
        <v>{}</v>
      </c>
      <c r="J1292" s="148" t="str">
        <f>IFERROR(__xludf.DUMMYFUNCTION("""COMPUTED_VALUE"""),"{""typ"":""lc"",""txt"":""LC_ITEM_hero_fragment_name"",""args"":[{""typ"":""lc"",""txt"":""LC_HERO_hero_name_37""}]}")</f>
        <v>{"typ":"lc","txt":"LC_ITEM_hero_fragment_name","args":[{"typ":"lc","txt":"LC_HERO_hero_name_37"}]}</v>
      </c>
      <c r="K1292" s="148" t="str">
        <f>IFERROR(__xludf.DUMMYFUNCTION("""COMPUTED_VALUE"""),"{""typ"":""lc"",""txt"":""LC_ITEM_hero_fragment_desc""}")</f>
        <v>{"typ":"lc","txt":"LC_ITEM_hero_fragment_desc"}</v>
      </c>
      <c r="L1292" s="148" t="str">
        <f>IFERROR(__xludf.DUMMYFUNCTION("""COMPUTED_VALUE"""),"{}")</f>
        <v>{}</v>
      </c>
      <c r="M1292" s="148">
        <f>IFERROR(__xludf.DUMMYFUNCTION("""COMPUTED_VALUE"""),1500.0)</f>
        <v>1500</v>
      </c>
      <c r="N1292" s="148">
        <f>IFERROR(__xludf.DUMMYFUNCTION("""COMPUTED_VALUE"""),9999999.0)</f>
        <v>9999999</v>
      </c>
      <c r="O1292" s="148">
        <f>IFERROR(__xludf.DUMMYFUNCTION("""COMPUTED_VALUE"""),99999.0)</f>
        <v>99999</v>
      </c>
      <c r="P1292" s="148">
        <f>IFERROR(__xludf.DUMMYFUNCTION("""COMPUTED_VALUE"""),99999.0)</f>
        <v>99999</v>
      </c>
      <c r="Q1292" s="148" t="str">
        <f>IFERROR(__xludf.DUMMYFUNCTION("""COMPUTED_VALUE"""),"[""bag_other""]")</f>
        <v>["bag_other"]</v>
      </c>
      <c r="R1292" s="148" t="str">
        <f>IFERROR(__xludf.DUMMYFUNCTION("""COMPUTED_VALUE"""),"[""19201037""]")</f>
        <v>["19201037"]</v>
      </c>
      <c r="S1292" s="148" t="str">
        <f>IFERROR(__xludf.DUMMYFUNCTION("""COMPUTED_VALUE"""),"{""effect"":[{""typ"":""rss"",""id"":11141032,""val"":10},{""typ"":""rss"",""id"":11141034,""val"":500}]}")</f>
        <v>{"effect":[{"typ":"rss","id":11141032,"val":10},{"typ":"rss","id":11141034,"val":500}]}</v>
      </c>
      <c r="T1292" s="148">
        <f>IFERROR(__xludf.DUMMYFUNCTION("""COMPUTED_VALUE"""),-1.0)</f>
        <v>-1</v>
      </c>
      <c r="U1292" s="148">
        <f>IFERROR(__xludf.DUMMYFUNCTION("""COMPUTED_VALUE"""),0.0)</f>
        <v>0</v>
      </c>
      <c r="V1292" s="148" t="str">
        <f>IFERROR(__xludf.DUMMYFUNCTION("""COMPUTED_VALUE"""),"[]")</f>
        <v>[]</v>
      </c>
      <c r="W1292" s="148">
        <f>IFERROR(__xludf.DUMMYFUNCTION("""COMPUTED_VALUE"""),1.1741002E7)</f>
        <v>11741002</v>
      </c>
      <c r="X1292" s="148">
        <f>IFERROR(__xludf.DUMMYFUNCTION("""COMPUTED_VALUE"""),0.0)</f>
        <v>0</v>
      </c>
      <c r="Y1292" s="148">
        <f>IFERROR(__xludf.DUMMYFUNCTION("""COMPUTED_VALUE"""),0.0)</f>
        <v>0</v>
      </c>
      <c r="Z1292" s="148"/>
    </row>
    <row r="1293">
      <c r="A1293" s="148">
        <f>IFERROR(__xludf.DUMMYFUNCTION("""COMPUTED_VALUE"""),1.1116228E7)</f>
        <v>11116228</v>
      </c>
      <c r="B1293" s="148" t="str">
        <f>IFERROR(__xludf.DUMMYFUNCTION("""COMPUTED_VALUE"""),"碎片-达西")</f>
        <v>碎片-达西</v>
      </c>
      <c r="C1293" s="148"/>
      <c r="D1293" s="148" t="str">
        <f>IFERROR(__xludf.DUMMYFUNCTION("""COMPUTED_VALUE"""),"hero_unit")</f>
        <v>hero_unit</v>
      </c>
      <c r="E1293" s="148">
        <f>IFERROR(__xludf.DUMMYFUNCTION("""COMPUTED_VALUE"""),0.0)</f>
        <v>0</v>
      </c>
      <c r="F1293" s="148">
        <f>IFERROR(__xludf.DUMMYFUNCTION("""COMPUTED_VALUE"""),411137.0)</f>
        <v>411137</v>
      </c>
      <c r="G1293" s="148">
        <f>IFERROR(__xludf.DUMMYFUNCTION("""COMPUTED_VALUE"""),1.5114289E7)</f>
        <v>15114289</v>
      </c>
      <c r="H1293" s="148">
        <f>IFERROR(__xludf.DUMMYFUNCTION("""COMPUTED_VALUE"""),1.5112563E7)</f>
        <v>15112563</v>
      </c>
      <c r="I1293" s="148" t="str">
        <f>IFERROR(__xludf.DUMMYFUNCTION("""COMPUTED_VALUE"""),"{}")</f>
        <v>{}</v>
      </c>
      <c r="J1293" s="148" t="str">
        <f>IFERROR(__xludf.DUMMYFUNCTION("""COMPUTED_VALUE"""),"{""typ"":""lc"",""txt"":""LC_ITEM_hero_fragment_name"",""args"":[{""typ"":""lc"",""txt"":""LC_HERO_hero_name_38""}]}")</f>
        <v>{"typ":"lc","txt":"LC_ITEM_hero_fragment_name","args":[{"typ":"lc","txt":"LC_HERO_hero_name_38"}]}</v>
      </c>
      <c r="K1293" s="148" t="str">
        <f>IFERROR(__xludf.DUMMYFUNCTION("""COMPUTED_VALUE"""),"{""typ"":""lc"",""txt"":""LC_ITEM_hero_fragment_desc""}")</f>
        <v>{"typ":"lc","txt":"LC_ITEM_hero_fragment_desc"}</v>
      </c>
      <c r="L1293" s="148" t="str">
        <f>IFERROR(__xludf.DUMMYFUNCTION("""COMPUTED_VALUE"""),"{}")</f>
        <v>{}</v>
      </c>
      <c r="M1293" s="148">
        <f>IFERROR(__xludf.DUMMYFUNCTION("""COMPUTED_VALUE"""),300.0)</f>
        <v>300</v>
      </c>
      <c r="N1293" s="148">
        <f>IFERROR(__xludf.DUMMYFUNCTION("""COMPUTED_VALUE"""),9999999.0)</f>
        <v>9999999</v>
      </c>
      <c r="O1293" s="148">
        <f>IFERROR(__xludf.DUMMYFUNCTION("""COMPUTED_VALUE"""),99999.0)</f>
        <v>99999</v>
      </c>
      <c r="P1293" s="148">
        <f>IFERROR(__xludf.DUMMYFUNCTION("""COMPUTED_VALUE"""),99999.0)</f>
        <v>99999</v>
      </c>
      <c r="Q1293" s="148" t="str">
        <f>IFERROR(__xludf.DUMMYFUNCTION("""COMPUTED_VALUE"""),"[""bag_other""]")</f>
        <v>["bag_other"]</v>
      </c>
      <c r="R1293" s="148" t="str">
        <f>IFERROR(__xludf.DUMMYFUNCTION("""COMPUTED_VALUE"""),"[""19201038""]")</f>
        <v>["19201038"]</v>
      </c>
      <c r="S1293" s="148" t="str">
        <f>IFERROR(__xludf.DUMMYFUNCTION("""COMPUTED_VALUE"""),"{""effect"":[{""typ"":""rss"",""id"":11141032,""val"":10},{""typ"":""rss"",""id"":11141034,""val"":500}]}")</f>
        <v>{"effect":[{"typ":"rss","id":11141032,"val":10},{"typ":"rss","id":11141034,"val":500}]}</v>
      </c>
      <c r="T1293" s="148">
        <f>IFERROR(__xludf.DUMMYFUNCTION("""COMPUTED_VALUE"""),-1.0)</f>
        <v>-1</v>
      </c>
      <c r="U1293" s="148">
        <f>IFERROR(__xludf.DUMMYFUNCTION("""COMPUTED_VALUE"""),0.0)</f>
        <v>0</v>
      </c>
      <c r="V1293" s="148" t="str">
        <f>IFERROR(__xludf.DUMMYFUNCTION("""COMPUTED_VALUE"""),"[]")</f>
        <v>[]</v>
      </c>
      <c r="W1293" s="148">
        <f>IFERROR(__xludf.DUMMYFUNCTION("""COMPUTED_VALUE"""),1.1741002E7)</f>
        <v>11741002</v>
      </c>
      <c r="X1293" s="148">
        <f>IFERROR(__xludf.DUMMYFUNCTION("""COMPUTED_VALUE"""),0.0)</f>
        <v>0</v>
      </c>
      <c r="Y1293" s="148">
        <f>IFERROR(__xludf.DUMMYFUNCTION("""COMPUTED_VALUE"""),0.0)</f>
        <v>0</v>
      </c>
      <c r="Z1293" s="148"/>
    </row>
    <row r="1294">
      <c r="A1294" s="148">
        <f>IFERROR(__xludf.DUMMYFUNCTION("""COMPUTED_VALUE"""),1.1116229E7)</f>
        <v>11116229</v>
      </c>
      <c r="B1294" s="148" t="str">
        <f>IFERROR(__xludf.DUMMYFUNCTION("""COMPUTED_VALUE"""),"碎片-伦恩")</f>
        <v>碎片-伦恩</v>
      </c>
      <c r="C1294" s="148"/>
      <c r="D1294" s="148" t="str">
        <f>IFERROR(__xludf.DUMMYFUNCTION("""COMPUTED_VALUE"""),"hero_unit")</f>
        <v>hero_unit</v>
      </c>
      <c r="E1294" s="148">
        <f>IFERROR(__xludf.DUMMYFUNCTION("""COMPUTED_VALUE"""),0.0)</f>
        <v>0</v>
      </c>
      <c r="F1294" s="148">
        <f>IFERROR(__xludf.DUMMYFUNCTION("""COMPUTED_VALUE"""),411139.0)</f>
        <v>411139</v>
      </c>
      <c r="G1294" s="148">
        <f>IFERROR(__xludf.DUMMYFUNCTION("""COMPUTED_VALUE"""),1.5114383E7)</f>
        <v>15114383</v>
      </c>
      <c r="H1294" s="148">
        <f>IFERROR(__xludf.DUMMYFUNCTION("""COMPUTED_VALUE"""),1.5112563E7)</f>
        <v>15112563</v>
      </c>
      <c r="I1294" s="148" t="str">
        <f>IFERROR(__xludf.DUMMYFUNCTION("""COMPUTED_VALUE"""),"{}")</f>
        <v>{}</v>
      </c>
      <c r="J1294" s="148" t="str">
        <f>IFERROR(__xludf.DUMMYFUNCTION("""COMPUTED_VALUE"""),"{""typ"":""lc"",""txt"":""LC_ITEM_hero_fragment_name"",""args"":[{""typ"":""lc"",""txt"":""LC_HERO_hero_name_39""}]}")</f>
        <v>{"typ":"lc","txt":"LC_ITEM_hero_fragment_name","args":[{"typ":"lc","txt":"LC_HERO_hero_name_39"}]}</v>
      </c>
      <c r="K1294" s="148" t="str">
        <f>IFERROR(__xludf.DUMMYFUNCTION("""COMPUTED_VALUE"""),"{""typ"":""lc"",""txt"":""LC_ITEM_hero_fragment_desc""}")</f>
        <v>{"typ":"lc","txt":"LC_ITEM_hero_fragment_desc"}</v>
      </c>
      <c r="L1294" s="148" t="str">
        <f>IFERROR(__xludf.DUMMYFUNCTION("""COMPUTED_VALUE"""),"{}")</f>
        <v>{}</v>
      </c>
      <c r="M1294" s="148">
        <f>IFERROR(__xludf.DUMMYFUNCTION("""COMPUTED_VALUE"""),300.0)</f>
        <v>300</v>
      </c>
      <c r="N1294" s="148">
        <f>IFERROR(__xludf.DUMMYFUNCTION("""COMPUTED_VALUE"""),9999999.0)</f>
        <v>9999999</v>
      </c>
      <c r="O1294" s="148">
        <f>IFERROR(__xludf.DUMMYFUNCTION("""COMPUTED_VALUE"""),99999.0)</f>
        <v>99999</v>
      </c>
      <c r="P1294" s="148">
        <f>IFERROR(__xludf.DUMMYFUNCTION("""COMPUTED_VALUE"""),99999.0)</f>
        <v>99999</v>
      </c>
      <c r="Q1294" s="148" t="str">
        <f>IFERROR(__xludf.DUMMYFUNCTION("""COMPUTED_VALUE"""),"[""bag_other""]")</f>
        <v>["bag_other"]</v>
      </c>
      <c r="R1294" s="148" t="str">
        <f>IFERROR(__xludf.DUMMYFUNCTION("""COMPUTED_VALUE"""),"[""19201039""]")</f>
        <v>["19201039"]</v>
      </c>
      <c r="S1294" s="148" t="str">
        <f>IFERROR(__xludf.DUMMYFUNCTION("""COMPUTED_VALUE"""),"{""effect"":[{""typ"":""rss"",""id"":11141032,""val"":10},{""typ"":""rss"",""id"":11141034,""val"":500}]}")</f>
        <v>{"effect":[{"typ":"rss","id":11141032,"val":10},{"typ":"rss","id":11141034,"val":500}]}</v>
      </c>
      <c r="T1294" s="148">
        <f>IFERROR(__xludf.DUMMYFUNCTION("""COMPUTED_VALUE"""),-1.0)</f>
        <v>-1</v>
      </c>
      <c r="U1294" s="148">
        <f>IFERROR(__xludf.DUMMYFUNCTION("""COMPUTED_VALUE"""),0.0)</f>
        <v>0</v>
      </c>
      <c r="V1294" s="148" t="str">
        <f>IFERROR(__xludf.DUMMYFUNCTION("""COMPUTED_VALUE"""),"[]")</f>
        <v>[]</v>
      </c>
      <c r="W1294" s="148">
        <f>IFERROR(__xludf.DUMMYFUNCTION("""COMPUTED_VALUE"""),1.1741002E7)</f>
        <v>11741002</v>
      </c>
      <c r="X1294" s="148">
        <f>IFERROR(__xludf.DUMMYFUNCTION("""COMPUTED_VALUE"""),0.0)</f>
        <v>0</v>
      </c>
      <c r="Y1294" s="148">
        <f>IFERROR(__xludf.DUMMYFUNCTION("""COMPUTED_VALUE"""),0.0)</f>
        <v>0</v>
      </c>
      <c r="Z1294" s="148"/>
    </row>
    <row r="1295">
      <c r="A1295" s="148">
        <f>IFERROR(__xludf.DUMMYFUNCTION("""COMPUTED_VALUE"""),1.111623E7)</f>
        <v>11116230</v>
      </c>
      <c r="B1295" s="148" t="str">
        <f>IFERROR(__xludf.DUMMYFUNCTION("""COMPUTED_VALUE"""),"碎片-拉姆斯")</f>
        <v>碎片-拉姆斯</v>
      </c>
      <c r="C1295" s="148"/>
      <c r="D1295" s="148" t="str">
        <f>IFERROR(__xludf.DUMMYFUNCTION("""COMPUTED_VALUE"""),"hero_unit")</f>
        <v>hero_unit</v>
      </c>
      <c r="E1295" s="148">
        <f>IFERROR(__xludf.DUMMYFUNCTION("""COMPUTED_VALUE"""),0.0)</f>
        <v>0</v>
      </c>
      <c r="F1295" s="148">
        <f>IFERROR(__xludf.DUMMYFUNCTION("""COMPUTED_VALUE"""),411111.0)</f>
        <v>411111</v>
      </c>
      <c r="G1295" s="148">
        <f>IFERROR(__xludf.DUMMYFUNCTION("""COMPUTED_VALUE"""),1.5114425E7)</f>
        <v>15114425</v>
      </c>
      <c r="H1295" s="148">
        <f>IFERROR(__xludf.DUMMYFUNCTION("""COMPUTED_VALUE"""),1.5112564E7)</f>
        <v>15112564</v>
      </c>
      <c r="I1295" s="148" t="str">
        <f>IFERROR(__xludf.DUMMYFUNCTION("""COMPUTED_VALUE"""),"{}")</f>
        <v>{}</v>
      </c>
      <c r="J1295" s="148" t="str">
        <f>IFERROR(__xludf.DUMMYFUNCTION("""COMPUTED_VALUE"""),"{""typ"":""lc"",""txt"":""LC_ITEM_hero_fragment_name"",""args"":[{""typ"":""lc"",""txt"":""LC_HERO_hero_name_50""}]}")</f>
        <v>{"typ":"lc","txt":"LC_ITEM_hero_fragment_name","args":[{"typ":"lc","txt":"LC_HERO_hero_name_50"}]}</v>
      </c>
      <c r="K1295" s="148" t="str">
        <f>IFERROR(__xludf.DUMMYFUNCTION("""COMPUTED_VALUE"""),"{""typ"":""lc"",""txt"":""LC_ITEM_hero_fragment_desc""}")</f>
        <v>{"typ":"lc","txt":"LC_ITEM_hero_fragment_desc"}</v>
      </c>
      <c r="L1295" s="148" t="str">
        <f>IFERROR(__xludf.DUMMYFUNCTION("""COMPUTED_VALUE"""),"{}")</f>
        <v>{}</v>
      </c>
      <c r="M1295" s="148">
        <f>IFERROR(__xludf.DUMMYFUNCTION("""COMPUTED_VALUE"""),4000.0)</f>
        <v>4000</v>
      </c>
      <c r="N1295" s="148">
        <f>IFERROR(__xludf.DUMMYFUNCTION("""COMPUTED_VALUE"""),9999999.0)</f>
        <v>9999999</v>
      </c>
      <c r="O1295" s="148">
        <f>IFERROR(__xludf.DUMMYFUNCTION("""COMPUTED_VALUE"""),99999.0)</f>
        <v>99999</v>
      </c>
      <c r="P1295" s="148">
        <f>IFERROR(__xludf.DUMMYFUNCTION("""COMPUTED_VALUE"""),99999.0)</f>
        <v>99999</v>
      </c>
      <c r="Q1295" s="148" t="str">
        <f>IFERROR(__xludf.DUMMYFUNCTION("""COMPUTED_VALUE"""),"[""bag_other""]")</f>
        <v>["bag_other"]</v>
      </c>
      <c r="R1295" s="148" t="str">
        <f>IFERROR(__xludf.DUMMYFUNCTION("""COMPUTED_VALUE"""),"[""19201050""]")</f>
        <v>["19201050"]</v>
      </c>
      <c r="S1295" s="148" t="str">
        <f>IFERROR(__xludf.DUMMYFUNCTION("""COMPUTED_VALUE"""),"{""effect"":[{""typ"":""rss"",""id"":11141032,""val"":10},{""typ"":""rss"",""id"":11141034,""val"":500}]}")</f>
        <v>{"effect":[{"typ":"rss","id":11141032,"val":10},{"typ":"rss","id":11141034,"val":500}]}</v>
      </c>
      <c r="T1295" s="148">
        <f>IFERROR(__xludf.DUMMYFUNCTION("""COMPUTED_VALUE"""),-1.0)</f>
        <v>-1</v>
      </c>
      <c r="U1295" s="148">
        <f>IFERROR(__xludf.DUMMYFUNCTION("""COMPUTED_VALUE"""),0.0)</f>
        <v>0</v>
      </c>
      <c r="V1295" s="148" t="str">
        <f>IFERROR(__xludf.DUMMYFUNCTION("""COMPUTED_VALUE"""),"[]")</f>
        <v>[]</v>
      </c>
      <c r="W1295" s="148">
        <f>IFERROR(__xludf.DUMMYFUNCTION("""COMPUTED_VALUE"""),1.1741002E7)</f>
        <v>11741002</v>
      </c>
      <c r="X1295" s="148">
        <f>IFERROR(__xludf.DUMMYFUNCTION("""COMPUTED_VALUE"""),0.0)</f>
        <v>0</v>
      </c>
      <c r="Y1295" s="148">
        <f>IFERROR(__xludf.DUMMYFUNCTION("""COMPUTED_VALUE"""),0.0)</f>
        <v>0</v>
      </c>
      <c r="Z1295" s="148"/>
    </row>
    <row r="1296">
      <c r="A1296" s="148">
        <f>IFERROR(__xludf.DUMMYFUNCTION("""COMPUTED_VALUE"""),1.1116231E7)</f>
        <v>11116231</v>
      </c>
      <c r="B1296" s="148" t="str">
        <f>IFERROR(__xludf.DUMMYFUNCTION("""COMPUTED_VALUE"""),"碎片-菲奥娜")</f>
        <v>碎片-菲奥娜</v>
      </c>
      <c r="C1296" s="148"/>
      <c r="D1296" s="148" t="str">
        <f>IFERROR(__xludf.DUMMYFUNCTION("""COMPUTED_VALUE"""),"hero_unit")</f>
        <v>hero_unit</v>
      </c>
      <c r="E1296" s="148">
        <f>IFERROR(__xludf.DUMMYFUNCTION("""COMPUTED_VALUE"""),0.0)</f>
        <v>0</v>
      </c>
      <c r="F1296" s="148">
        <f>IFERROR(__xludf.DUMMYFUNCTION("""COMPUTED_VALUE"""),411112.0)</f>
        <v>411112</v>
      </c>
      <c r="G1296" s="148">
        <f>IFERROR(__xludf.DUMMYFUNCTION("""COMPUTED_VALUE"""),1.5114466E7)</f>
        <v>15114466</v>
      </c>
      <c r="H1296" s="148">
        <f>IFERROR(__xludf.DUMMYFUNCTION("""COMPUTED_VALUE"""),1.5112564E7)</f>
        <v>15112564</v>
      </c>
      <c r="I1296" s="148" t="str">
        <f>IFERROR(__xludf.DUMMYFUNCTION("""COMPUTED_VALUE"""),"{}")</f>
        <v>{}</v>
      </c>
      <c r="J1296" s="148" t="str">
        <f>IFERROR(__xludf.DUMMYFUNCTION("""COMPUTED_VALUE"""),"{""typ"":""lc"",""txt"":""LC_ITEM_hero_fragment_name"",""args"":[{""typ"":""lc"",""txt"":""LC_HERO_hero_name_51""}]}")</f>
        <v>{"typ":"lc","txt":"LC_ITEM_hero_fragment_name","args":[{"typ":"lc","txt":"LC_HERO_hero_name_51"}]}</v>
      </c>
      <c r="K1296" s="148" t="str">
        <f>IFERROR(__xludf.DUMMYFUNCTION("""COMPUTED_VALUE"""),"{""typ"":""lc"",""txt"":""LC_ITEM_hero_fragment_desc""}")</f>
        <v>{"typ":"lc","txt":"LC_ITEM_hero_fragment_desc"}</v>
      </c>
      <c r="L1296" s="148" t="str">
        <f>IFERROR(__xludf.DUMMYFUNCTION("""COMPUTED_VALUE"""),"{}")</f>
        <v>{}</v>
      </c>
      <c r="M1296" s="148">
        <f>IFERROR(__xludf.DUMMYFUNCTION("""COMPUTED_VALUE"""),4000.0)</f>
        <v>4000</v>
      </c>
      <c r="N1296" s="148">
        <f>IFERROR(__xludf.DUMMYFUNCTION("""COMPUTED_VALUE"""),9999999.0)</f>
        <v>9999999</v>
      </c>
      <c r="O1296" s="148">
        <f>IFERROR(__xludf.DUMMYFUNCTION("""COMPUTED_VALUE"""),99999.0)</f>
        <v>99999</v>
      </c>
      <c r="P1296" s="148">
        <f>IFERROR(__xludf.DUMMYFUNCTION("""COMPUTED_VALUE"""),99999.0)</f>
        <v>99999</v>
      </c>
      <c r="Q1296" s="148" t="str">
        <f>IFERROR(__xludf.DUMMYFUNCTION("""COMPUTED_VALUE"""),"[""bag_other""]")</f>
        <v>["bag_other"]</v>
      </c>
      <c r="R1296" s="148" t="str">
        <f>IFERROR(__xludf.DUMMYFUNCTION("""COMPUTED_VALUE"""),"[""19201051""]")</f>
        <v>["19201051"]</v>
      </c>
      <c r="S1296" s="148" t="str">
        <f>IFERROR(__xludf.DUMMYFUNCTION("""COMPUTED_VALUE"""),"{""effect"":[{""typ"":""rss"",""id"":11141032,""val"":10},{""typ"":""rss"",""id"":11141034,""val"":500}]}")</f>
        <v>{"effect":[{"typ":"rss","id":11141032,"val":10},{"typ":"rss","id":11141034,"val":500}]}</v>
      </c>
      <c r="T1296" s="148">
        <f>IFERROR(__xludf.DUMMYFUNCTION("""COMPUTED_VALUE"""),-1.0)</f>
        <v>-1</v>
      </c>
      <c r="U1296" s="148">
        <f>IFERROR(__xludf.DUMMYFUNCTION("""COMPUTED_VALUE"""),0.0)</f>
        <v>0</v>
      </c>
      <c r="V1296" s="148" t="str">
        <f>IFERROR(__xludf.DUMMYFUNCTION("""COMPUTED_VALUE"""),"[]")</f>
        <v>[]</v>
      </c>
      <c r="W1296" s="148">
        <f>IFERROR(__xludf.DUMMYFUNCTION("""COMPUTED_VALUE"""),1.1741002E7)</f>
        <v>11741002</v>
      </c>
      <c r="X1296" s="148">
        <f>IFERROR(__xludf.DUMMYFUNCTION("""COMPUTED_VALUE"""),0.0)</f>
        <v>0</v>
      </c>
      <c r="Y1296" s="148">
        <f>IFERROR(__xludf.DUMMYFUNCTION("""COMPUTED_VALUE"""),0.0)</f>
        <v>0</v>
      </c>
      <c r="Z1296" s="148"/>
    </row>
    <row r="1297">
      <c r="A1297" s="148">
        <f>IFERROR(__xludf.DUMMYFUNCTION("""COMPUTED_VALUE"""),1.1116232E7)</f>
        <v>11116232</v>
      </c>
      <c r="B1297" s="148" t="str">
        <f>IFERROR(__xludf.DUMMYFUNCTION("""COMPUTED_VALUE"""),"碎片-亚历克西斯")</f>
        <v>碎片-亚历克西斯</v>
      </c>
      <c r="C1297" s="148"/>
      <c r="D1297" s="148" t="str">
        <f>IFERROR(__xludf.DUMMYFUNCTION("""COMPUTED_VALUE"""),"hero_unit")</f>
        <v>hero_unit</v>
      </c>
      <c r="E1297" s="148">
        <f>IFERROR(__xludf.DUMMYFUNCTION("""COMPUTED_VALUE"""),0.0)</f>
        <v>0</v>
      </c>
      <c r="F1297" s="148">
        <f>IFERROR(__xludf.DUMMYFUNCTION("""COMPUTED_VALUE"""),411140.0)</f>
        <v>411140</v>
      </c>
      <c r="G1297" s="148">
        <f>IFERROR(__xludf.DUMMYFUNCTION("""COMPUTED_VALUE"""),1.5114584E7)</f>
        <v>15114584</v>
      </c>
      <c r="H1297" s="148">
        <f>IFERROR(__xludf.DUMMYFUNCTION("""COMPUTED_VALUE"""),1.5112563E7)</f>
        <v>15112563</v>
      </c>
      <c r="I1297" s="148" t="str">
        <f>IFERROR(__xludf.DUMMYFUNCTION("""COMPUTED_VALUE"""),"{}")</f>
        <v>{}</v>
      </c>
      <c r="J1297" s="148" t="str">
        <f>IFERROR(__xludf.DUMMYFUNCTION("""COMPUTED_VALUE"""),"{""typ"":""lc"",""txt"":""LC_ITEM_hero_fragment_name"",""args"":[{""typ"":""lc"",""txt"":""LC_HERO_hero_name_52""}]}")</f>
        <v>{"typ":"lc","txt":"LC_ITEM_hero_fragment_name","args":[{"typ":"lc","txt":"LC_HERO_hero_name_52"}]}</v>
      </c>
      <c r="K1297" s="148" t="str">
        <f>IFERROR(__xludf.DUMMYFUNCTION("""COMPUTED_VALUE"""),"{""typ"":""lc"",""txt"":""LC_ITEM_hero_fragment_desc""}")</f>
        <v>{"typ":"lc","txt":"LC_ITEM_hero_fragment_desc"}</v>
      </c>
      <c r="L1297" s="148" t="str">
        <f>IFERROR(__xludf.DUMMYFUNCTION("""COMPUTED_VALUE"""),"{}")</f>
        <v>{}</v>
      </c>
      <c r="M1297" s="148">
        <f>IFERROR(__xludf.DUMMYFUNCTION("""COMPUTED_VALUE"""),300.0)</f>
        <v>300</v>
      </c>
      <c r="N1297" s="148">
        <f>IFERROR(__xludf.DUMMYFUNCTION("""COMPUTED_VALUE"""),9999999.0)</f>
        <v>9999999</v>
      </c>
      <c r="O1297" s="148">
        <f>IFERROR(__xludf.DUMMYFUNCTION("""COMPUTED_VALUE"""),99999.0)</f>
        <v>99999</v>
      </c>
      <c r="P1297" s="148">
        <f>IFERROR(__xludf.DUMMYFUNCTION("""COMPUTED_VALUE"""),99999.0)</f>
        <v>99999</v>
      </c>
      <c r="Q1297" s="148" t="str">
        <f>IFERROR(__xludf.DUMMYFUNCTION("""COMPUTED_VALUE"""),"[""bag_other""]")</f>
        <v>["bag_other"]</v>
      </c>
      <c r="R1297" s="148" t="str">
        <f>IFERROR(__xludf.DUMMYFUNCTION("""COMPUTED_VALUE"""),"[""19201052""]")</f>
        <v>["19201052"]</v>
      </c>
      <c r="S1297" s="148" t="str">
        <f>IFERROR(__xludf.DUMMYFUNCTION("""COMPUTED_VALUE"""),"{""effect"":[{""typ"":""rss"",""id"":11141032,""val"":10},{""typ"":""rss"",""id"":11141034,""val"":500}]}")</f>
        <v>{"effect":[{"typ":"rss","id":11141032,"val":10},{"typ":"rss","id":11141034,"val":500}]}</v>
      </c>
      <c r="T1297" s="148">
        <f>IFERROR(__xludf.DUMMYFUNCTION("""COMPUTED_VALUE"""),-1.0)</f>
        <v>-1</v>
      </c>
      <c r="U1297" s="148">
        <f>IFERROR(__xludf.DUMMYFUNCTION("""COMPUTED_VALUE"""),0.0)</f>
        <v>0</v>
      </c>
      <c r="V1297" s="148" t="str">
        <f>IFERROR(__xludf.DUMMYFUNCTION("""COMPUTED_VALUE"""),"[]")</f>
        <v>[]</v>
      </c>
      <c r="W1297" s="148">
        <f>IFERROR(__xludf.DUMMYFUNCTION("""COMPUTED_VALUE"""),1.1741002E7)</f>
        <v>11741002</v>
      </c>
      <c r="X1297" s="148">
        <f>IFERROR(__xludf.DUMMYFUNCTION("""COMPUTED_VALUE"""),0.0)</f>
        <v>0</v>
      </c>
      <c r="Y1297" s="148">
        <f>IFERROR(__xludf.DUMMYFUNCTION("""COMPUTED_VALUE"""),0.0)</f>
        <v>0</v>
      </c>
      <c r="Z1297" s="148"/>
    </row>
    <row r="1298">
      <c r="A1298" s="148">
        <f>IFERROR(__xludf.DUMMYFUNCTION("""COMPUTED_VALUE"""),1.1116233E7)</f>
        <v>11116233</v>
      </c>
      <c r="B1298" s="148" t="str">
        <f>IFERROR(__xludf.DUMMYFUNCTION("""COMPUTED_VALUE"""),"碎片-克拉克兄弟")</f>
        <v>碎片-克拉克兄弟</v>
      </c>
      <c r="C1298" s="148"/>
      <c r="D1298" s="148" t="str">
        <f>IFERROR(__xludf.DUMMYFUNCTION("""COMPUTED_VALUE"""),"hero_unit")</f>
        <v>hero_unit</v>
      </c>
      <c r="E1298" s="148">
        <f>IFERROR(__xludf.DUMMYFUNCTION("""COMPUTED_VALUE"""),0.0)</f>
        <v>0</v>
      </c>
      <c r="F1298" s="148">
        <f>IFERROR(__xludf.DUMMYFUNCTION("""COMPUTED_VALUE"""),411113.0)</f>
        <v>411113</v>
      </c>
      <c r="G1298" s="148">
        <f>IFERROR(__xludf.DUMMYFUNCTION("""COMPUTED_VALUE"""),1.5114615E7)</f>
        <v>15114615</v>
      </c>
      <c r="H1298" s="148">
        <f>IFERROR(__xludf.DUMMYFUNCTION("""COMPUTED_VALUE"""),1.5112564E7)</f>
        <v>15112564</v>
      </c>
      <c r="I1298" s="148" t="str">
        <f>IFERROR(__xludf.DUMMYFUNCTION("""COMPUTED_VALUE"""),"{}")</f>
        <v>{}</v>
      </c>
      <c r="J1298" s="148" t="str">
        <f>IFERROR(__xludf.DUMMYFUNCTION("""COMPUTED_VALUE"""),"{""typ"":""lc"",""txt"":""LC_ITEM_hero_fragment_name"",""args"":[{""typ"":""lc"",""txt"":""LC_HERO_hero_name_53""}]}")</f>
        <v>{"typ":"lc","txt":"LC_ITEM_hero_fragment_name","args":[{"typ":"lc","txt":"LC_HERO_hero_name_53"}]}</v>
      </c>
      <c r="K1298" s="148" t="str">
        <f>IFERROR(__xludf.DUMMYFUNCTION("""COMPUTED_VALUE"""),"{""typ"":""lc"",""txt"":""LC_ITEM_hero_fragment_desc""}")</f>
        <v>{"typ":"lc","txt":"LC_ITEM_hero_fragment_desc"}</v>
      </c>
      <c r="L1298" s="148" t="str">
        <f>IFERROR(__xludf.DUMMYFUNCTION("""COMPUTED_VALUE"""),"{}")</f>
        <v>{}</v>
      </c>
      <c r="M1298" s="148">
        <f>IFERROR(__xludf.DUMMYFUNCTION("""COMPUTED_VALUE"""),4000.0)</f>
        <v>4000</v>
      </c>
      <c r="N1298" s="148">
        <f>IFERROR(__xludf.DUMMYFUNCTION("""COMPUTED_VALUE"""),9999999.0)</f>
        <v>9999999</v>
      </c>
      <c r="O1298" s="148">
        <f>IFERROR(__xludf.DUMMYFUNCTION("""COMPUTED_VALUE"""),99999.0)</f>
        <v>99999</v>
      </c>
      <c r="P1298" s="148">
        <f>IFERROR(__xludf.DUMMYFUNCTION("""COMPUTED_VALUE"""),99999.0)</f>
        <v>99999</v>
      </c>
      <c r="Q1298" s="148" t="str">
        <f>IFERROR(__xludf.DUMMYFUNCTION("""COMPUTED_VALUE"""),"[""bag_other""]")</f>
        <v>["bag_other"]</v>
      </c>
      <c r="R1298" s="148" t="str">
        <f>IFERROR(__xludf.DUMMYFUNCTION("""COMPUTED_VALUE"""),"[""19201053""]")</f>
        <v>["19201053"]</v>
      </c>
      <c r="S1298" s="148" t="str">
        <f>IFERROR(__xludf.DUMMYFUNCTION("""COMPUTED_VALUE"""),"{""effect"":[{""typ"":""rss"",""id"":11141032,""val"":10},{""typ"":""rss"",""id"":11141034,""val"":500}]}")</f>
        <v>{"effect":[{"typ":"rss","id":11141032,"val":10},{"typ":"rss","id":11141034,"val":500}]}</v>
      </c>
      <c r="T1298" s="148">
        <f>IFERROR(__xludf.DUMMYFUNCTION("""COMPUTED_VALUE"""),-1.0)</f>
        <v>-1</v>
      </c>
      <c r="U1298" s="148">
        <f>IFERROR(__xludf.DUMMYFUNCTION("""COMPUTED_VALUE"""),0.0)</f>
        <v>0</v>
      </c>
      <c r="V1298" s="148" t="str">
        <f>IFERROR(__xludf.DUMMYFUNCTION("""COMPUTED_VALUE"""),"[]")</f>
        <v>[]</v>
      </c>
      <c r="W1298" s="148">
        <f>IFERROR(__xludf.DUMMYFUNCTION("""COMPUTED_VALUE"""),1.1741002E7)</f>
        <v>11741002</v>
      </c>
      <c r="X1298" s="148">
        <f>IFERROR(__xludf.DUMMYFUNCTION("""COMPUTED_VALUE"""),0.0)</f>
        <v>0</v>
      </c>
      <c r="Y1298" s="148">
        <f>IFERROR(__xludf.DUMMYFUNCTION("""COMPUTED_VALUE"""),0.0)</f>
        <v>0</v>
      </c>
      <c r="Z1298" s="148"/>
    </row>
    <row r="1299">
      <c r="A1299" s="148">
        <f>IFERROR(__xludf.DUMMYFUNCTION("""COMPUTED_VALUE"""),1.1116234E7)</f>
        <v>11116234</v>
      </c>
      <c r="B1299" s="148" t="str">
        <f>IFERROR(__xludf.DUMMYFUNCTION("""COMPUTED_VALUE"""),"碎片-巴泽尔")</f>
        <v>碎片-巴泽尔</v>
      </c>
      <c r="C1299" s="148"/>
      <c r="D1299" s="148" t="str">
        <f>IFERROR(__xludf.DUMMYFUNCTION("""COMPUTED_VALUE"""),"hero_unit")</f>
        <v>hero_unit</v>
      </c>
      <c r="E1299" s="148">
        <f>IFERROR(__xludf.DUMMYFUNCTION("""COMPUTED_VALUE"""),0.0)</f>
        <v>0</v>
      </c>
      <c r="F1299" s="148">
        <f>IFERROR(__xludf.DUMMYFUNCTION("""COMPUTED_VALUE"""),411114.0)</f>
        <v>411114</v>
      </c>
      <c r="G1299" s="148">
        <f>IFERROR(__xludf.DUMMYFUNCTION("""COMPUTED_VALUE"""),1.5114785E7)</f>
        <v>15114785</v>
      </c>
      <c r="H1299" s="148">
        <f>IFERROR(__xludf.DUMMYFUNCTION("""COMPUTED_VALUE"""),1.5112564E7)</f>
        <v>15112564</v>
      </c>
      <c r="I1299" s="148" t="str">
        <f>IFERROR(__xludf.DUMMYFUNCTION("""COMPUTED_VALUE"""),"{}")</f>
        <v>{}</v>
      </c>
      <c r="J1299" s="148" t="str">
        <f>IFERROR(__xludf.DUMMYFUNCTION("""COMPUTED_VALUE"""),"{""typ"":""lc"",""txt"":""LC_ITEM_hero_fragment_name"",""args"":[{""typ"":""lc"",""txt"":""LC_HERO_hero_name_54""}]}")</f>
        <v>{"typ":"lc","txt":"LC_ITEM_hero_fragment_name","args":[{"typ":"lc","txt":"LC_HERO_hero_name_54"}]}</v>
      </c>
      <c r="K1299" s="148" t="str">
        <f>IFERROR(__xludf.DUMMYFUNCTION("""COMPUTED_VALUE"""),"{""typ"":""lc"",""txt"":""LC_ITEM_hero_fragment_desc""}")</f>
        <v>{"typ":"lc","txt":"LC_ITEM_hero_fragment_desc"}</v>
      </c>
      <c r="L1299" s="148" t="str">
        <f>IFERROR(__xludf.DUMMYFUNCTION("""COMPUTED_VALUE"""),"{}")</f>
        <v>{}</v>
      </c>
      <c r="M1299" s="148">
        <f>IFERROR(__xludf.DUMMYFUNCTION("""COMPUTED_VALUE"""),4000.0)</f>
        <v>4000</v>
      </c>
      <c r="N1299" s="148">
        <f>IFERROR(__xludf.DUMMYFUNCTION("""COMPUTED_VALUE"""),9999999.0)</f>
        <v>9999999</v>
      </c>
      <c r="O1299" s="148">
        <f>IFERROR(__xludf.DUMMYFUNCTION("""COMPUTED_VALUE"""),99999.0)</f>
        <v>99999</v>
      </c>
      <c r="P1299" s="148">
        <f>IFERROR(__xludf.DUMMYFUNCTION("""COMPUTED_VALUE"""),99999.0)</f>
        <v>99999</v>
      </c>
      <c r="Q1299" s="148" t="str">
        <f>IFERROR(__xludf.DUMMYFUNCTION("""COMPUTED_VALUE"""),"[""bag_other""]")</f>
        <v>["bag_other"]</v>
      </c>
      <c r="R1299" s="148" t="str">
        <f>IFERROR(__xludf.DUMMYFUNCTION("""COMPUTED_VALUE"""),"[""19201054""]")</f>
        <v>["19201054"]</v>
      </c>
      <c r="S1299" s="148" t="str">
        <f>IFERROR(__xludf.DUMMYFUNCTION("""COMPUTED_VALUE"""),"{""effect"":[{""typ"":""rss"",""id"":11141032,""val"":10},{""typ"":""rss"",""id"":11141034,""val"":500}]}")</f>
        <v>{"effect":[{"typ":"rss","id":11141032,"val":10},{"typ":"rss","id":11141034,"val":500}]}</v>
      </c>
      <c r="T1299" s="148">
        <f>IFERROR(__xludf.DUMMYFUNCTION("""COMPUTED_VALUE"""),-1.0)</f>
        <v>-1</v>
      </c>
      <c r="U1299" s="148">
        <f>IFERROR(__xludf.DUMMYFUNCTION("""COMPUTED_VALUE"""),0.0)</f>
        <v>0</v>
      </c>
      <c r="V1299" s="148" t="str">
        <f>IFERROR(__xludf.DUMMYFUNCTION("""COMPUTED_VALUE"""),"[]")</f>
        <v>[]</v>
      </c>
      <c r="W1299" s="148">
        <f>IFERROR(__xludf.DUMMYFUNCTION("""COMPUTED_VALUE"""),1.1741002E7)</f>
        <v>11741002</v>
      </c>
      <c r="X1299" s="148">
        <f>IFERROR(__xludf.DUMMYFUNCTION("""COMPUTED_VALUE"""),0.0)</f>
        <v>0</v>
      </c>
      <c r="Y1299" s="148">
        <f>IFERROR(__xludf.DUMMYFUNCTION("""COMPUTED_VALUE"""),0.0)</f>
        <v>0</v>
      </c>
      <c r="Z1299" s="148"/>
    </row>
    <row r="1300">
      <c r="A1300" s="148">
        <f>IFERROR(__xludf.DUMMYFUNCTION("""COMPUTED_VALUE"""),1.1116235E7)</f>
        <v>11116235</v>
      </c>
      <c r="B1300" s="148" t="str">
        <f>IFERROR(__xludf.DUMMYFUNCTION("""COMPUTED_VALUE"""),"碎片-卡瑞娜")</f>
        <v>碎片-卡瑞娜</v>
      </c>
      <c r="C1300" s="148"/>
      <c r="D1300" s="148" t="str">
        <f>IFERROR(__xludf.DUMMYFUNCTION("""COMPUTED_VALUE"""),"hero_unit")</f>
        <v>hero_unit</v>
      </c>
      <c r="E1300" s="148">
        <f>IFERROR(__xludf.DUMMYFUNCTION("""COMPUTED_VALUE"""),0.0)</f>
        <v>0</v>
      </c>
      <c r="F1300" s="148">
        <f>IFERROR(__xludf.DUMMYFUNCTION("""COMPUTED_VALUE"""),411115.0)</f>
        <v>411115</v>
      </c>
      <c r="G1300" s="148">
        <f>IFERROR(__xludf.DUMMYFUNCTION("""COMPUTED_VALUE"""),1.5114927E7)</f>
        <v>15114927</v>
      </c>
      <c r="H1300" s="148">
        <f>IFERROR(__xludf.DUMMYFUNCTION("""COMPUTED_VALUE"""),1.5112564E7)</f>
        <v>15112564</v>
      </c>
      <c r="I1300" s="148" t="str">
        <f>IFERROR(__xludf.DUMMYFUNCTION("""COMPUTED_VALUE"""),"{}")</f>
        <v>{}</v>
      </c>
      <c r="J1300" s="148" t="str">
        <f>IFERROR(__xludf.DUMMYFUNCTION("""COMPUTED_VALUE"""),"{""typ"":""lc"",""txt"":""LC_ITEM_hero_fragment_name"",""args"":[{""typ"":""lc"",""txt"":""LC_HERO_hero_name_55""}]}")</f>
        <v>{"typ":"lc","txt":"LC_ITEM_hero_fragment_name","args":[{"typ":"lc","txt":"LC_HERO_hero_name_55"}]}</v>
      </c>
      <c r="K1300" s="148" t="str">
        <f>IFERROR(__xludf.DUMMYFUNCTION("""COMPUTED_VALUE"""),"{""typ"":""lc"",""txt"":""LC_ITEM_hero_fragment_desc""}")</f>
        <v>{"typ":"lc","txt":"LC_ITEM_hero_fragment_desc"}</v>
      </c>
      <c r="L1300" s="148" t="str">
        <f>IFERROR(__xludf.DUMMYFUNCTION("""COMPUTED_VALUE"""),"{}")</f>
        <v>{}</v>
      </c>
      <c r="M1300" s="148">
        <f>IFERROR(__xludf.DUMMYFUNCTION("""COMPUTED_VALUE"""),4000.0)</f>
        <v>4000</v>
      </c>
      <c r="N1300" s="148">
        <f>IFERROR(__xludf.DUMMYFUNCTION("""COMPUTED_VALUE"""),9999999.0)</f>
        <v>9999999</v>
      </c>
      <c r="O1300" s="148">
        <f>IFERROR(__xludf.DUMMYFUNCTION("""COMPUTED_VALUE"""),99999.0)</f>
        <v>99999</v>
      </c>
      <c r="P1300" s="148">
        <f>IFERROR(__xludf.DUMMYFUNCTION("""COMPUTED_VALUE"""),99999.0)</f>
        <v>99999</v>
      </c>
      <c r="Q1300" s="148" t="str">
        <f>IFERROR(__xludf.DUMMYFUNCTION("""COMPUTED_VALUE"""),"[""bag_other""]")</f>
        <v>["bag_other"]</v>
      </c>
      <c r="R1300" s="148" t="str">
        <f>IFERROR(__xludf.DUMMYFUNCTION("""COMPUTED_VALUE"""),"[""19201055""]")</f>
        <v>["19201055"]</v>
      </c>
      <c r="S1300" s="148" t="str">
        <f>IFERROR(__xludf.DUMMYFUNCTION("""COMPUTED_VALUE"""),"{""effect"":[{""typ"":""rss"",""id"":11141032,""val"":10},{""typ"":""rss"",""id"":11141034,""val"":500}]}")</f>
        <v>{"effect":[{"typ":"rss","id":11141032,"val":10},{"typ":"rss","id":11141034,"val":500}]}</v>
      </c>
      <c r="T1300" s="148">
        <f>IFERROR(__xludf.DUMMYFUNCTION("""COMPUTED_VALUE"""),-1.0)</f>
        <v>-1</v>
      </c>
      <c r="U1300" s="148">
        <f>IFERROR(__xludf.DUMMYFUNCTION("""COMPUTED_VALUE"""),0.0)</f>
        <v>0</v>
      </c>
      <c r="V1300" s="148" t="str">
        <f>IFERROR(__xludf.DUMMYFUNCTION("""COMPUTED_VALUE"""),"[]")</f>
        <v>[]</v>
      </c>
      <c r="W1300" s="148">
        <f>IFERROR(__xludf.DUMMYFUNCTION("""COMPUTED_VALUE"""),1.1741002E7)</f>
        <v>11741002</v>
      </c>
      <c r="X1300" s="148">
        <f>IFERROR(__xludf.DUMMYFUNCTION("""COMPUTED_VALUE"""),0.0)</f>
        <v>0</v>
      </c>
      <c r="Y1300" s="148">
        <f>IFERROR(__xludf.DUMMYFUNCTION("""COMPUTED_VALUE"""),0.0)</f>
        <v>0</v>
      </c>
      <c r="Z1300" s="148"/>
    </row>
    <row r="1301">
      <c r="A1301" s="148">
        <f>IFERROR(__xludf.DUMMYFUNCTION("""COMPUTED_VALUE"""),1.1116236E7)</f>
        <v>11116236</v>
      </c>
      <c r="B1301" s="148" t="str">
        <f>IFERROR(__xludf.DUMMYFUNCTION("""COMPUTED_VALUE"""),"碎片-悟空")</f>
        <v>碎片-悟空</v>
      </c>
      <c r="C1301" s="148"/>
      <c r="D1301" s="148" t="str">
        <f>IFERROR(__xludf.DUMMYFUNCTION("""COMPUTED_VALUE"""),"hero_unit")</f>
        <v>hero_unit</v>
      </c>
      <c r="E1301" s="148">
        <f>IFERROR(__xludf.DUMMYFUNCTION("""COMPUTED_VALUE"""),0.0)</f>
        <v>0</v>
      </c>
      <c r="F1301" s="148">
        <f>IFERROR(__xludf.DUMMYFUNCTION("""COMPUTED_VALUE"""),411116.0)</f>
        <v>411116</v>
      </c>
      <c r="G1301" s="148">
        <f>IFERROR(__xludf.DUMMYFUNCTION("""COMPUTED_VALUE"""),1.5114937E7)</f>
        <v>15114937</v>
      </c>
      <c r="H1301" s="148">
        <f>IFERROR(__xludf.DUMMYFUNCTION("""COMPUTED_VALUE"""),1.5112564E7)</f>
        <v>15112564</v>
      </c>
      <c r="I1301" s="148" t="str">
        <f>IFERROR(__xludf.DUMMYFUNCTION("""COMPUTED_VALUE"""),"{}")</f>
        <v>{}</v>
      </c>
      <c r="J1301" s="148" t="str">
        <f>IFERROR(__xludf.DUMMYFUNCTION("""COMPUTED_VALUE"""),"{""typ"":""lc"",""txt"":""LC_ITEM_hero_fragment_name"",""args"":[{""typ"":""lc"",""txt"":""LC_HERO_hero_name_56""}]}")</f>
        <v>{"typ":"lc","txt":"LC_ITEM_hero_fragment_name","args":[{"typ":"lc","txt":"LC_HERO_hero_name_56"}]}</v>
      </c>
      <c r="K1301" s="148" t="str">
        <f>IFERROR(__xludf.DUMMYFUNCTION("""COMPUTED_VALUE"""),"{""typ"":""lc"",""txt"":""LC_ITEM_hero_fragment_desc""}")</f>
        <v>{"typ":"lc","txt":"LC_ITEM_hero_fragment_desc"}</v>
      </c>
      <c r="L1301" s="148" t="str">
        <f>IFERROR(__xludf.DUMMYFUNCTION("""COMPUTED_VALUE"""),"{}")</f>
        <v>{}</v>
      </c>
      <c r="M1301" s="148">
        <f>IFERROR(__xludf.DUMMYFUNCTION("""COMPUTED_VALUE"""),4000.0)</f>
        <v>4000</v>
      </c>
      <c r="N1301" s="148">
        <f>IFERROR(__xludf.DUMMYFUNCTION("""COMPUTED_VALUE"""),9999999.0)</f>
        <v>9999999</v>
      </c>
      <c r="O1301" s="148">
        <f>IFERROR(__xludf.DUMMYFUNCTION("""COMPUTED_VALUE"""),99999.0)</f>
        <v>99999</v>
      </c>
      <c r="P1301" s="148">
        <f>IFERROR(__xludf.DUMMYFUNCTION("""COMPUTED_VALUE"""),99999.0)</f>
        <v>99999</v>
      </c>
      <c r="Q1301" s="148" t="str">
        <f>IFERROR(__xludf.DUMMYFUNCTION("""COMPUTED_VALUE"""),"[""bag_other""]")</f>
        <v>["bag_other"]</v>
      </c>
      <c r="R1301" s="148" t="str">
        <f>IFERROR(__xludf.DUMMYFUNCTION("""COMPUTED_VALUE"""),"[""19201056""]")</f>
        <v>["19201056"]</v>
      </c>
      <c r="S1301" s="148" t="str">
        <f>IFERROR(__xludf.DUMMYFUNCTION("""COMPUTED_VALUE"""),"{""effect"":[{""typ"":""rss"",""id"":11141032,""val"":10},{""typ"":""rss"",""id"":11141034,""val"":500}]}")</f>
        <v>{"effect":[{"typ":"rss","id":11141032,"val":10},{"typ":"rss","id":11141034,"val":500}]}</v>
      </c>
      <c r="T1301" s="148">
        <f>IFERROR(__xludf.DUMMYFUNCTION("""COMPUTED_VALUE"""),-1.0)</f>
        <v>-1</v>
      </c>
      <c r="U1301" s="148">
        <f>IFERROR(__xludf.DUMMYFUNCTION("""COMPUTED_VALUE"""),0.0)</f>
        <v>0</v>
      </c>
      <c r="V1301" s="148" t="str">
        <f>IFERROR(__xludf.DUMMYFUNCTION("""COMPUTED_VALUE"""),"[]")</f>
        <v>[]</v>
      </c>
      <c r="W1301" s="148">
        <f>IFERROR(__xludf.DUMMYFUNCTION("""COMPUTED_VALUE"""),1.1741002E7)</f>
        <v>11741002</v>
      </c>
      <c r="X1301" s="148">
        <f>IFERROR(__xludf.DUMMYFUNCTION("""COMPUTED_VALUE"""),0.0)</f>
        <v>0</v>
      </c>
      <c r="Y1301" s="148">
        <f>IFERROR(__xludf.DUMMYFUNCTION("""COMPUTED_VALUE"""),0.0)</f>
        <v>0</v>
      </c>
      <c r="Z1301" s="148"/>
    </row>
    <row r="1302">
      <c r="A1302" s="148">
        <f>IFERROR(__xludf.DUMMYFUNCTION("""COMPUTED_VALUE"""),1.1116237E7)</f>
        <v>11116237</v>
      </c>
      <c r="B1302" s="148" t="str">
        <f>IFERROR(__xludf.DUMMYFUNCTION("""COMPUTED_VALUE"""),"碎片-金娜")</f>
        <v>碎片-金娜</v>
      </c>
      <c r="C1302" s="148"/>
      <c r="D1302" s="148" t="str">
        <f>IFERROR(__xludf.DUMMYFUNCTION("""COMPUTED_VALUE"""),"hero_unit")</f>
        <v>hero_unit</v>
      </c>
      <c r="E1302" s="148">
        <f>IFERROR(__xludf.DUMMYFUNCTION("""COMPUTED_VALUE"""),0.0)</f>
        <v>0</v>
      </c>
      <c r="F1302" s="148">
        <f>IFERROR(__xludf.DUMMYFUNCTION("""COMPUTED_VALUE"""),411141.0)</f>
        <v>411141</v>
      </c>
      <c r="G1302" s="148">
        <f>IFERROR(__xludf.DUMMYFUNCTION("""COMPUTED_VALUE"""),1.5114947E7)</f>
        <v>15114947</v>
      </c>
      <c r="H1302" s="148">
        <f>IFERROR(__xludf.DUMMYFUNCTION("""COMPUTED_VALUE"""),1.5112563E7)</f>
        <v>15112563</v>
      </c>
      <c r="I1302" s="148" t="str">
        <f>IFERROR(__xludf.DUMMYFUNCTION("""COMPUTED_VALUE"""),"{}")</f>
        <v>{}</v>
      </c>
      <c r="J1302" s="148" t="str">
        <f>IFERROR(__xludf.DUMMYFUNCTION("""COMPUTED_VALUE"""),"{""typ"":""lc"",""txt"":""LC_ITEM_hero_fragment_name"",""args"":[{""typ"":""lc"",""txt"":""LC_HERO_hero_name_57""}]}")</f>
        <v>{"typ":"lc","txt":"LC_ITEM_hero_fragment_name","args":[{"typ":"lc","txt":"LC_HERO_hero_name_57"}]}</v>
      </c>
      <c r="K1302" s="148" t="str">
        <f>IFERROR(__xludf.DUMMYFUNCTION("""COMPUTED_VALUE"""),"{""typ"":""lc"",""txt"":""LC_ITEM_hero_fragment_desc""}")</f>
        <v>{"typ":"lc","txt":"LC_ITEM_hero_fragment_desc"}</v>
      </c>
      <c r="L1302" s="148" t="str">
        <f>IFERROR(__xludf.DUMMYFUNCTION("""COMPUTED_VALUE"""),"{}")</f>
        <v>{}</v>
      </c>
      <c r="M1302" s="148">
        <f>IFERROR(__xludf.DUMMYFUNCTION("""COMPUTED_VALUE"""),300.0)</f>
        <v>300</v>
      </c>
      <c r="N1302" s="148">
        <f>IFERROR(__xludf.DUMMYFUNCTION("""COMPUTED_VALUE"""),9999999.0)</f>
        <v>9999999</v>
      </c>
      <c r="O1302" s="148">
        <f>IFERROR(__xludf.DUMMYFUNCTION("""COMPUTED_VALUE"""),99999.0)</f>
        <v>99999</v>
      </c>
      <c r="P1302" s="148">
        <f>IFERROR(__xludf.DUMMYFUNCTION("""COMPUTED_VALUE"""),99999.0)</f>
        <v>99999</v>
      </c>
      <c r="Q1302" s="148" t="str">
        <f>IFERROR(__xludf.DUMMYFUNCTION("""COMPUTED_VALUE"""),"[""bag_other""]")</f>
        <v>["bag_other"]</v>
      </c>
      <c r="R1302" s="148" t="str">
        <f>IFERROR(__xludf.DUMMYFUNCTION("""COMPUTED_VALUE"""),"[""19201057""]")</f>
        <v>["19201057"]</v>
      </c>
      <c r="S1302" s="148" t="str">
        <f>IFERROR(__xludf.DUMMYFUNCTION("""COMPUTED_VALUE"""),"{""effect"":[{""typ"":""rss"",""id"":11141032,""val"":10},{""typ"":""rss"",""id"":11141034,""val"":500}]}")</f>
        <v>{"effect":[{"typ":"rss","id":11141032,"val":10},{"typ":"rss","id":11141034,"val":500}]}</v>
      </c>
      <c r="T1302" s="148">
        <f>IFERROR(__xludf.DUMMYFUNCTION("""COMPUTED_VALUE"""),-1.0)</f>
        <v>-1</v>
      </c>
      <c r="U1302" s="148">
        <f>IFERROR(__xludf.DUMMYFUNCTION("""COMPUTED_VALUE"""),0.0)</f>
        <v>0</v>
      </c>
      <c r="V1302" s="148" t="str">
        <f>IFERROR(__xludf.DUMMYFUNCTION("""COMPUTED_VALUE"""),"[]")</f>
        <v>[]</v>
      </c>
      <c r="W1302" s="148">
        <f>IFERROR(__xludf.DUMMYFUNCTION("""COMPUTED_VALUE"""),1.1741002E7)</f>
        <v>11741002</v>
      </c>
      <c r="X1302" s="148">
        <f>IFERROR(__xludf.DUMMYFUNCTION("""COMPUTED_VALUE"""),0.0)</f>
        <v>0</v>
      </c>
      <c r="Y1302" s="148">
        <f>IFERROR(__xludf.DUMMYFUNCTION("""COMPUTED_VALUE"""),0.0)</f>
        <v>0</v>
      </c>
      <c r="Z1302" s="148"/>
    </row>
    <row r="1303">
      <c r="A1303" s="148">
        <f>IFERROR(__xludf.DUMMYFUNCTION("""COMPUTED_VALUE"""),1.1116238E7)</f>
        <v>11116238</v>
      </c>
      <c r="B1303" s="148" t="str">
        <f>IFERROR(__xludf.DUMMYFUNCTION("""COMPUTED_VALUE"""),"碎片-肯")</f>
        <v>碎片-肯</v>
      </c>
      <c r="C1303" s="148"/>
      <c r="D1303" s="148" t="str">
        <f>IFERROR(__xludf.DUMMYFUNCTION("""COMPUTED_VALUE"""),"hero_unit")</f>
        <v>hero_unit</v>
      </c>
      <c r="E1303" s="148">
        <f>IFERROR(__xludf.DUMMYFUNCTION("""COMPUTED_VALUE"""),0.0)</f>
        <v>0</v>
      </c>
      <c r="F1303" s="148">
        <f>IFERROR(__xludf.DUMMYFUNCTION("""COMPUTED_VALUE"""),411117.0)</f>
        <v>411117</v>
      </c>
      <c r="G1303" s="148">
        <f>IFERROR(__xludf.DUMMYFUNCTION("""COMPUTED_VALUE"""),1.5115147E7)</f>
        <v>15115147</v>
      </c>
      <c r="H1303" s="148">
        <f>IFERROR(__xludf.DUMMYFUNCTION("""COMPUTED_VALUE"""),1.5112564E7)</f>
        <v>15112564</v>
      </c>
      <c r="I1303" s="148" t="str">
        <f>IFERROR(__xludf.DUMMYFUNCTION("""COMPUTED_VALUE"""),"{}")</f>
        <v>{}</v>
      </c>
      <c r="J1303" s="148" t="str">
        <f>IFERROR(__xludf.DUMMYFUNCTION("""COMPUTED_VALUE"""),"{""typ"":""lc"",""txt"":""LC_ITEM_hero_fragment_name"",""args"":[{""typ"":""lc"",""txt"":""LC_HERO_hero_name_58""}]}")</f>
        <v>{"typ":"lc","txt":"LC_ITEM_hero_fragment_name","args":[{"typ":"lc","txt":"LC_HERO_hero_name_58"}]}</v>
      </c>
      <c r="K1303" s="148" t="str">
        <f>IFERROR(__xludf.DUMMYFUNCTION("""COMPUTED_VALUE"""),"{""typ"":""lc"",""txt"":""LC_ITEM_hero_fragment_desc""}")</f>
        <v>{"typ":"lc","txt":"LC_ITEM_hero_fragment_desc"}</v>
      </c>
      <c r="L1303" s="148" t="str">
        <f>IFERROR(__xludf.DUMMYFUNCTION("""COMPUTED_VALUE"""),"{}")</f>
        <v>{}</v>
      </c>
      <c r="M1303" s="148">
        <f>IFERROR(__xludf.DUMMYFUNCTION("""COMPUTED_VALUE"""),4000.0)</f>
        <v>4000</v>
      </c>
      <c r="N1303" s="148">
        <f>IFERROR(__xludf.DUMMYFUNCTION("""COMPUTED_VALUE"""),9999999.0)</f>
        <v>9999999</v>
      </c>
      <c r="O1303" s="148">
        <f>IFERROR(__xludf.DUMMYFUNCTION("""COMPUTED_VALUE"""),99999.0)</f>
        <v>99999</v>
      </c>
      <c r="P1303" s="148">
        <f>IFERROR(__xludf.DUMMYFUNCTION("""COMPUTED_VALUE"""),99999.0)</f>
        <v>99999</v>
      </c>
      <c r="Q1303" s="148" t="str">
        <f>IFERROR(__xludf.DUMMYFUNCTION("""COMPUTED_VALUE"""),"[""bag_other""]")</f>
        <v>["bag_other"]</v>
      </c>
      <c r="R1303" s="148" t="str">
        <f>IFERROR(__xludf.DUMMYFUNCTION("""COMPUTED_VALUE"""),"[""19201058""]")</f>
        <v>["19201058"]</v>
      </c>
      <c r="S1303" s="148" t="str">
        <f>IFERROR(__xludf.DUMMYFUNCTION("""COMPUTED_VALUE"""),"{""effect"":[{""typ"":""rss"",""id"":11141032,""val"":10},{""typ"":""rss"",""id"":11141034,""val"":500}]}")</f>
        <v>{"effect":[{"typ":"rss","id":11141032,"val":10},{"typ":"rss","id":11141034,"val":500}]}</v>
      </c>
      <c r="T1303" s="148">
        <f>IFERROR(__xludf.DUMMYFUNCTION("""COMPUTED_VALUE"""),-1.0)</f>
        <v>-1</v>
      </c>
      <c r="U1303" s="148">
        <f>IFERROR(__xludf.DUMMYFUNCTION("""COMPUTED_VALUE"""),0.0)</f>
        <v>0</v>
      </c>
      <c r="V1303" s="148" t="str">
        <f>IFERROR(__xludf.DUMMYFUNCTION("""COMPUTED_VALUE"""),"[]")</f>
        <v>[]</v>
      </c>
      <c r="W1303" s="148">
        <f>IFERROR(__xludf.DUMMYFUNCTION("""COMPUTED_VALUE"""),1.1741002E7)</f>
        <v>11741002</v>
      </c>
      <c r="X1303" s="148">
        <f>IFERROR(__xludf.DUMMYFUNCTION("""COMPUTED_VALUE"""),0.0)</f>
        <v>0</v>
      </c>
      <c r="Y1303" s="148">
        <f>IFERROR(__xludf.DUMMYFUNCTION("""COMPUTED_VALUE"""),0.0)</f>
        <v>0</v>
      </c>
      <c r="Z1303" s="148"/>
    </row>
    <row r="1304">
      <c r="A1304" s="148">
        <f>IFERROR(__xludf.DUMMYFUNCTION("""COMPUTED_VALUE"""),1.1116239E7)</f>
        <v>11116239</v>
      </c>
      <c r="B1304" s="148" t="str">
        <f>IFERROR(__xludf.DUMMYFUNCTION("""COMPUTED_VALUE"""),"碎片-埃尔默")</f>
        <v>碎片-埃尔默</v>
      </c>
      <c r="C1304" s="148"/>
      <c r="D1304" s="148" t="str">
        <f>IFERROR(__xludf.DUMMYFUNCTION("""COMPUTED_VALUE"""),"hero_unit")</f>
        <v>hero_unit</v>
      </c>
      <c r="E1304" s="148">
        <f>IFERROR(__xludf.DUMMYFUNCTION("""COMPUTED_VALUE"""),0.0)</f>
        <v>0</v>
      </c>
      <c r="F1304" s="148">
        <f>IFERROR(__xludf.DUMMYFUNCTION("""COMPUTED_VALUE"""),411117.0)</f>
        <v>411117</v>
      </c>
      <c r="G1304" s="148">
        <f>IFERROR(__xludf.DUMMYFUNCTION("""COMPUTED_VALUE"""),1.51152E7)</f>
        <v>15115200</v>
      </c>
      <c r="H1304" s="148">
        <f>IFERROR(__xludf.DUMMYFUNCTION("""COMPUTED_VALUE"""),1.5112564E7)</f>
        <v>15112564</v>
      </c>
      <c r="I1304" s="148" t="str">
        <f>IFERROR(__xludf.DUMMYFUNCTION("""COMPUTED_VALUE"""),"{}")</f>
        <v>{}</v>
      </c>
      <c r="J1304" s="148" t="str">
        <f>IFERROR(__xludf.DUMMYFUNCTION("""COMPUTED_VALUE"""),"{""typ"":""lc"",""txt"":""LC_ITEM_hero_fragment_name"",""args"":[{""typ"":""lc"",""txt"":""LC_HERO_hero_name_59""}]}")</f>
        <v>{"typ":"lc","txt":"LC_ITEM_hero_fragment_name","args":[{"typ":"lc","txt":"LC_HERO_hero_name_59"}]}</v>
      </c>
      <c r="K1304" s="148" t="str">
        <f>IFERROR(__xludf.DUMMYFUNCTION("""COMPUTED_VALUE"""),"{""typ"":""lc"",""txt"":""LC_ITEM_hero_fragment_desc""}")</f>
        <v>{"typ":"lc","txt":"LC_ITEM_hero_fragment_desc"}</v>
      </c>
      <c r="L1304" s="148" t="str">
        <f>IFERROR(__xludf.DUMMYFUNCTION("""COMPUTED_VALUE"""),"{}")</f>
        <v>{}</v>
      </c>
      <c r="M1304" s="148">
        <f>IFERROR(__xludf.DUMMYFUNCTION("""COMPUTED_VALUE"""),4000.0)</f>
        <v>4000</v>
      </c>
      <c r="N1304" s="148">
        <f>IFERROR(__xludf.DUMMYFUNCTION("""COMPUTED_VALUE"""),9999999.0)</f>
        <v>9999999</v>
      </c>
      <c r="O1304" s="148">
        <f>IFERROR(__xludf.DUMMYFUNCTION("""COMPUTED_VALUE"""),99999.0)</f>
        <v>99999</v>
      </c>
      <c r="P1304" s="148">
        <f>IFERROR(__xludf.DUMMYFUNCTION("""COMPUTED_VALUE"""),99999.0)</f>
        <v>99999</v>
      </c>
      <c r="Q1304" s="148" t="str">
        <f>IFERROR(__xludf.DUMMYFUNCTION("""COMPUTED_VALUE"""),"[""bag_other""]")</f>
        <v>["bag_other"]</v>
      </c>
      <c r="R1304" s="148" t="str">
        <f>IFERROR(__xludf.DUMMYFUNCTION("""COMPUTED_VALUE"""),"[""19201059""]")</f>
        <v>["19201059"]</v>
      </c>
      <c r="S1304" s="148" t="str">
        <f>IFERROR(__xludf.DUMMYFUNCTION("""COMPUTED_VALUE"""),"{""effect"":[{""typ"":""rss"",""id"":11141032,""val"":10},{""typ"":""rss"",""id"":11141034,""val"":500}]}")</f>
        <v>{"effect":[{"typ":"rss","id":11141032,"val":10},{"typ":"rss","id":11141034,"val":500}]}</v>
      </c>
      <c r="T1304" s="148">
        <f>IFERROR(__xludf.DUMMYFUNCTION("""COMPUTED_VALUE"""),-1.0)</f>
        <v>-1</v>
      </c>
      <c r="U1304" s="148">
        <f>IFERROR(__xludf.DUMMYFUNCTION("""COMPUTED_VALUE"""),0.0)</f>
        <v>0</v>
      </c>
      <c r="V1304" s="148" t="str">
        <f>IFERROR(__xludf.DUMMYFUNCTION("""COMPUTED_VALUE"""),"[]")</f>
        <v>[]</v>
      </c>
      <c r="W1304" s="148">
        <f>IFERROR(__xludf.DUMMYFUNCTION("""COMPUTED_VALUE"""),1.1741002E7)</f>
        <v>11741002</v>
      </c>
      <c r="X1304" s="148">
        <f>IFERROR(__xludf.DUMMYFUNCTION("""COMPUTED_VALUE"""),0.0)</f>
        <v>0</v>
      </c>
      <c r="Y1304" s="148">
        <f>IFERROR(__xludf.DUMMYFUNCTION("""COMPUTED_VALUE"""),0.0)</f>
        <v>0</v>
      </c>
      <c r="Z1304" s="148"/>
    </row>
    <row r="1305">
      <c r="A1305" s="148">
        <f>IFERROR(__xludf.DUMMYFUNCTION("""COMPUTED_VALUE"""),1.111624E7)</f>
        <v>11116240</v>
      </c>
      <c r="B1305" s="148" t="str">
        <f>IFERROR(__xludf.DUMMYFUNCTION("""COMPUTED_VALUE"""),"碎片-奥德里奇")</f>
        <v>碎片-奥德里奇</v>
      </c>
      <c r="C1305" s="148"/>
      <c r="D1305" s="148" t="str">
        <f>IFERROR(__xludf.DUMMYFUNCTION("""COMPUTED_VALUE"""),"hero_unit")</f>
        <v>hero_unit</v>
      </c>
      <c r="E1305" s="148">
        <f>IFERROR(__xludf.DUMMYFUNCTION("""COMPUTED_VALUE"""),0.0)</f>
        <v>0</v>
      </c>
      <c r="F1305" s="148">
        <f>IFERROR(__xludf.DUMMYFUNCTION("""COMPUTED_VALUE"""),411117.0)</f>
        <v>411117</v>
      </c>
      <c r="G1305" s="148">
        <f>IFERROR(__xludf.DUMMYFUNCTION("""COMPUTED_VALUE"""),1.5115357E7)</f>
        <v>15115357</v>
      </c>
      <c r="H1305" s="148">
        <f>IFERROR(__xludf.DUMMYFUNCTION("""COMPUTED_VALUE"""),1.5112564E7)</f>
        <v>15112564</v>
      </c>
      <c r="I1305" s="148" t="str">
        <f>IFERROR(__xludf.DUMMYFUNCTION("""COMPUTED_VALUE"""),"{}")</f>
        <v>{}</v>
      </c>
      <c r="J1305" s="148" t="str">
        <f>IFERROR(__xludf.DUMMYFUNCTION("""COMPUTED_VALUE"""),"{""typ"":""lc"",""txt"":""LC_ITEM_hero_fragment_name"",""args"":[{""typ"":""lc"",""txt"":""LC_HERO_hero_name_70""}]}")</f>
        <v>{"typ":"lc","txt":"LC_ITEM_hero_fragment_name","args":[{"typ":"lc","txt":"LC_HERO_hero_name_70"}]}</v>
      </c>
      <c r="K1305" s="148" t="str">
        <f>IFERROR(__xludf.DUMMYFUNCTION("""COMPUTED_VALUE"""),"{""typ"":""lc"",""txt"":""LC_ITEM_hero_fragment_desc""}")</f>
        <v>{"typ":"lc","txt":"LC_ITEM_hero_fragment_desc"}</v>
      </c>
      <c r="L1305" s="148" t="str">
        <f>IFERROR(__xludf.DUMMYFUNCTION("""COMPUTED_VALUE"""),"{}")</f>
        <v>{}</v>
      </c>
      <c r="M1305" s="148">
        <f>IFERROR(__xludf.DUMMYFUNCTION("""COMPUTED_VALUE"""),4000.0)</f>
        <v>4000</v>
      </c>
      <c r="N1305" s="148">
        <f>IFERROR(__xludf.DUMMYFUNCTION("""COMPUTED_VALUE"""),9999999.0)</f>
        <v>9999999</v>
      </c>
      <c r="O1305" s="148">
        <f>IFERROR(__xludf.DUMMYFUNCTION("""COMPUTED_VALUE"""),99999.0)</f>
        <v>99999</v>
      </c>
      <c r="P1305" s="148">
        <f>IFERROR(__xludf.DUMMYFUNCTION("""COMPUTED_VALUE"""),99999.0)</f>
        <v>99999</v>
      </c>
      <c r="Q1305" s="148" t="str">
        <f>IFERROR(__xludf.DUMMYFUNCTION("""COMPUTED_VALUE"""),"[""bag_other""]")</f>
        <v>["bag_other"]</v>
      </c>
      <c r="R1305" s="148" t="str">
        <f>IFERROR(__xludf.DUMMYFUNCTION("""COMPUTED_VALUE"""),"[""19201070""]")</f>
        <v>["19201070"]</v>
      </c>
      <c r="S1305" s="148" t="str">
        <f>IFERROR(__xludf.DUMMYFUNCTION("""COMPUTED_VALUE"""),"{""effect"":[{""typ"":""rss"",""id"":11141032,""val"":10},{""typ"":""rss"",""id"":11141034,""val"":500}]}")</f>
        <v>{"effect":[{"typ":"rss","id":11141032,"val":10},{"typ":"rss","id":11141034,"val":500}]}</v>
      </c>
      <c r="T1305" s="148">
        <f>IFERROR(__xludf.DUMMYFUNCTION("""COMPUTED_VALUE"""),-1.0)</f>
        <v>-1</v>
      </c>
      <c r="U1305" s="148">
        <f>IFERROR(__xludf.DUMMYFUNCTION("""COMPUTED_VALUE"""),0.0)</f>
        <v>0</v>
      </c>
      <c r="V1305" s="148" t="str">
        <f>IFERROR(__xludf.DUMMYFUNCTION("""COMPUTED_VALUE"""),"[]")</f>
        <v>[]</v>
      </c>
      <c r="W1305" s="148">
        <f>IFERROR(__xludf.DUMMYFUNCTION("""COMPUTED_VALUE"""),1.1741002E7)</f>
        <v>11741002</v>
      </c>
      <c r="X1305" s="148">
        <f>IFERROR(__xludf.DUMMYFUNCTION("""COMPUTED_VALUE"""),0.0)</f>
        <v>0</v>
      </c>
      <c r="Y1305" s="148">
        <f>IFERROR(__xludf.DUMMYFUNCTION("""COMPUTED_VALUE"""),0.0)</f>
        <v>0</v>
      </c>
      <c r="Z1305" s="148"/>
    </row>
    <row r="1306">
      <c r="A1306" s="148">
        <f>IFERROR(__xludf.DUMMYFUNCTION("""COMPUTED_VALUE"""),1.1116241E7)</f>
        <v>11116241</v>
      </c>
      <c r="B1306" s="148" t="str">
        <f>IFERROR(__xludf.DUMMYFUNCTION("""COMPUTED_VALUE"""),"碎片-索尔")</f>
        <v>碎片-索尔</v>
      </c>
      <c r="C1306" s="148"/>
      <c r="D1306" s="148" t="str">
        <f>IFERROR(__xludf.DUMMYFUNCTION("""COMPUTED_VALUE"""),"hero_unit")</f>
        <v>hero_unit</v>
      </c>
      <c r="E1306" s="148">
        <f>IFERROR(__xludf.DUMMYFUNCTION("""COMPUTED_VALUE"""),0.0)</f>
        <v>0</v>
      </c>
      <c r="F1306" s="148">
        <f>IFERROR(__xludf.DUMMYFUNCTION("""COMPUTED_VALUE"""),411117.0)</f>
        <v>411117</v>
      </c>
      <c r="G1306" s="148">
        <f>IFERROR(__xludf.DUMMYFUNCTION("""COMPUTED_VALUE"""),1.5115475E7)</f>
        <v>15115475</v>
      </c>
      <c r="H1306" s="148">
        <f>IFERROR(__xludf.DUMMYFUNCTION("""COMPUTED_VALUE"""),1.5112564E7)</f>
        <v>15112564</v>
      </c>
      <c r="I1306" s="148" t="str">
        <f>IFERROR(__xludf.DUMMYFUNCTION("""COMPUTED_VALUE"""),"{}")</f>
        <v>{}</v>
      </c>
      <c r="J1306" s="148" t="str">
        <f>IFERROR(__xludf.DUMMYFUNCTION("""COMPUTED_VALUE"""),"{""typ"":""lc"",""txt"":""LC_ITEM_hero_fragment_name"",""args"":[{""typ"":""lc"",""txt"":""LC_HERO_hero_name_71""}]}")</f>
        <v>{"typ":"lc","txt":"LC_ITEM_hero_fragment_name","args":[{"typ":"lc","txt":"LC_HERO_hero_name_71"}]}</v>
      </c>
      <c r="K1306" s="148" t="str">
        <f>IFERROR(__xludf.DUMMYFUNCTION("""COMPUTED_VALUE"""),"{""typ"":""lc"",""txt"":""LC_ITEM_hero_fragment_desc""}")</f>
        <v>{"typ":"lc","txt":"LC_ITEM_hero_fragment_desc"}</v>
      </c>
      <c r="L1306" s="148" t="str">
        <f>IFERROR(__xludf.DUMMYFUNCTION("""COMPUTED_VALUE"""),"{}")</f>
        <v>{}</v>
      </c>
      <c r="M1306" s="148">
        <f>IFERROR(__xludf.DUMMYFUNCTION("""COMPUTED_VALUE"""),4000.0)</f>
        <v>4000</v>
      </c>
      <c r="N1306" s="148">
        <f>IFERROR(__xludf.DUMMYFUNCTION("""COMPUTED_VALUE"""),9999999.0)</f>
        <v>9999999</v>
      </c>
      <c r="O1306" s="148">
        <f>IFERROR(__xludf.DUMMYFUNCTION("""COMPUTED_VALUE"""),99999.0)</f>
        <v>99999</v>
      </c>
      <c r="P1306" s="148">
        <f>IFERROR(__xludf.DUMMYFUNCTION("""COMPUTED_VALUE"""),99999.0)</f>
        <v>99999</v>
      </c>
      <c r="Q1306" s="148" t="str">
        <f>IFERROR(__xludf.DUMMYFUNCTION("""COMPUTED_VALUE"""),"[""bag_other""]")</f>
        <v>["bag_other"]</v>
      </c>
      <c r="R1306" s="148" t="str">
        <f>IFERROR(__xludf.DUMMYFUNCTION("""COMPUTED_VALUE"""),"[""19201071""]")</f>
        <v>["19201071"]</v>
      </c>
      <c r="S1306" s="148" t="str">
        <f>IFERROR(__xludf.DUMMYFUNCTION("""COMPUTED_VALUE"""),"{""effect"":[{""typ"":""rss"",""id"":11141032,""val"":10},{""typ"":""rss"",""id"":11141034,""val"":500}]}")</f>
        <v>{"effect":[{"typ":"rss","id":11141032,"val":10},{"typ":"rss","id":11141034,"val":500}]}</v>
      </c>
      <c r="T1306" s="148">
        <f>IFERROR(__xludf.DUMMYFUNCTION("""COMPUTED_VALUE"""),-1.0)</f>
        <v>-1</v>
      </c>
      <c r="U1306" s="148">
        <f>IFERROR(__xludf.DUMMYFUNCTION("""COMPUTED_VALUE"""),0.0)</f>
        <v>0</v>
      </c>
      <c r="V1306" s="148" t="str">
        <f>IFERROR(__xludf.DUMMYFUNCTION("""COMPUTED_VALUE"""),"[]")</f>
        <v>[]</v>
      </c>
      <c r="W1306" s="148">
        <f>IFERROR(__xludf.DUMMYFUNCTION("""COMPUTED_VALUE"""),1.1741002E7)</f>
        <v>11741002</v>
      </c>
      <c r="X1306" s="148">
        <f>IFERROR(__xludf.DUMMYFUNCTION("""COMPUTED_VALUE"""),0.0)</f>
        <v>0</v>
      </c>
      <c r="Y1306" s="148">
        <f>IFERROR(__xludf.DUMMYFUNCTION("""COMPUTED_VALUE"""),0.0)</f>
        <v>0</v>
      </c>
      <c r="Z1306" s="148"/>
    </row>
    <row r="1307">
      <c r="A1307" s="148">
        <f>IFERROR(__xludf.DUMMYFUNCTION("""COMPUTED_VALUE"""),1.1116242E7)</f>
        <v>11116242</v>
      </c>
      <c r="B1307" s="148" t="str">
        <f>IFERROR(__xludf.DUMMYFUNCTION("""COMPUTED_VALUE"""),"碎片-德里克")</f>
        <v>碎片-德里克</v>
      </c>
      <c r="C1307" s="148"/>
      <c r="D1307" s="148" t="str">
        <f>IFERROR(__xludf.DUMMYFUNCTION("""COMPUTED_VALUE"""),"hero_unit")</f>
        <v>hero_unit</v>
      </c>
      <c r="E1307" s="148">
        <f>IFERROR(__xludf.DUMMYFUNCTION("""COMPUTED_VALUE"""),0.0)</f>
        <v>0</v>
      </c>
      <c r="F1307" s="148">
        <f>IFERROR(__xludf.DUMMYFUNCTION("""COMPUTED_VALUE"""),411117.0)</f>
        <v>411117</v>
      </c>
      <c r="G1307" s="148">
        <f>IFERROR(__xludf.DUMMYFUNCTION("""COMPUTED_VALUE"""),1.5115741E7)</f>
        <v>15115741</v>
      </c>
      <c r="H1307" s="148">
        <f>IFERROR(__xludf.DUMMYFUNCTION("""COMPUTED_VALUE"""),1.5112564E7)</f>
        <v>15112564</v>
      </c>
      <c r="I1307" s="148" t="str">
        <f>IFERROR(__xludf.DUMMYFUNCTION("""COMPUTED_VALUE"""),"{}")</f>
        <v>{}</v>
      </c>
      <c r="J1307" s="148" t="str">
        <f>IFERROR(__xludf.DUMMYFUNCTION("""COMPUTED_VALUE"""),"{""typ"":""lc"",""txt"":""LC_ITEM_hero_fragment_name"",""args"":[{""typ"":""lc"",""txt"":""LC_HERO_hero_name_72""}]}")</f>
        <v>{"typ":"lc","txt":"LC_ITEM_hero_fragment_name","args":[{"typ":"lc","txt":"LC_HERO_hero_name_72"}]}</v>
      </c>
      <c r="K1307" s="148" t="str">
        <f>IFERROR(__xludf.DUMMYFUNCTION("""COMPUTED_VALUE"""),"{""typ"":""lc"",""txt"":""LC_ITEM_hero_fragment_desc""}")</f>
        <v>{"typ":"lc","txt":"LC_ITEM_hero_fragment_desc"}</v>
      </c>
      <c r="L1307" s="148" t="str">
        <f>IFERROR(__xludf.DUMMYFUNCTION("""COMPUTED_VALUE"""),"{}")</f>
        <v>{}</v>
      </c>
      <c r="M1307" s="148">
        <f>IFERROR(__xludf.DUMMYFUNCTION("""COMPUTED_VALUE"""),4000.0)</f>
        <v>4000</v>
      </c>
      <c r="N1307" s="148">
        <f>IFERROR(__xludf.DUMMYFUNCTION("""COMPUTED_VALUE"""),9999999.0)</f>
        <v>9999999</v>
      </c>
      <c r="O1307" s="148">
        <f>IFERROR(__xludf.DUMMYFUNCTION("""COMPUTED_VALUE"""),99999.0)</f>
        <v>99999</v>
      </c>
      <c r="P1307" s="148">
        <f>IFERROR(__xludf.DUMMYFUNCTION("""COMPUTED_VALUE"""),99999.0)</f>
        <v>99999</v>
      </c>
      <c r="Q1307" s="148" t="str">
        <f>IFERROR(__xludf.DUMMYFUNCTION("""COMPUTED_VALUE"""),"[""bag_other""]")</f>
        <v>["bag_other"]</v>
      </c>
      <c r="R1307" s="148" t="str">
        <f>IFERROR(__xludf.DUMMYFUNCTION("""COMPUTED_VALUE"""),"[""19201072""]")</f>
        <v>["19201072"]</v>
      </c>
      <c r="S1307" s="148" t="str">
        <f>IFERROR(__xludf.DUMMYFUNCTION("""COMPUTED_VALUE"""),"{""effect"":[{""typ"":""rss"",""id"":11141032,""val"":10},{""typ"":""rss"",""id"":11141034,""val"":500}]}")</f>
        <v>{"effect":[{"typ":"rss","id":11141032,"val":10},{"typ":"rss","id":11141034,"val":500}]}</v>
      </c>
      <c r="T1307" s="148">
        <f>IFERROR(__xludf.DUMMYFUNCTION("""COMPUTED_VALUE"""),-1.0)</f>
        <v>-1</v>
      </c>
      <c r="U1307" s="148">
        <f>IFERROR(__xludf.DUMMYFUNCTION("""COMPUTED_VALUE"""),0.0)</f>
        <v>0</v>
      </c>
      <c r="V1307" s="148" t="str">
        <f>IFERROR(__xludf.DUMMYFUNCTION("""COMPUTED_VALUE"""),"[]")</f>
        <v>[]</v>
      </c>
      <c r="W1307" s="148">
        <f>IFERROR(__xludf.DUMMYFUNCTION("""COMPUTED_VALUE"""),1.1741002E7)</f>
        <v>11741002</v>
      </c>
      <c r="X1307" s="148">
        <f>IFERROR(__xludf.DUMMYFUNCTION("""COMPUTED_VALUE"""),0.0)</f>
        <v>0</v>
      </c>
      <c r="Y1307" s="148">
        <f>IFERROR(__xludf.DUMMYFUNCTION("""COMPUTED_VALUE"""),0.0)</f>
        <v>0</v>
      </c>
      <c r="Z1307" s="148"/>
    </row>
    <row r="1308">
      <c r="A1308" s="148">
        <f>IFERROR(__xludf.DUMMYFUNCTION("""COMPUTED_VALUE"""),1.1116243E7)</f>
        <v>11116243</v>
      </c>
      <c r="B1308" s="148" t="str">
        <f>IFERROR(__xludf.DUMMYFUNCTION("""COMPUTED_VALUE"""),"碎片-卡尔")</f>
        <v>碎片-卡尔</v>
      </c>
      <c r="C1308" s="148"/>
      <c r="D1308" s="148" t="str">
        <f>IFERROR(__xludf.DUMMYFUNCTION("""COMPUTED_VALUE"""),"hero_unit")</f>
        <v>hero_unit</v>
      </c>
      <c r="E1308" s="148">
        <f>IFERROR(__xludf.DUMMYFUNCTION("""COMPUTED_VALUE"""),0.0)</f>
        <v>0</v>
      </c>
      <c r="F1308" s="148">
        <f>IFERROR(__xludf.DUMMYFUNCTION("""COMPUTED_VALUE"""),411117.0)</f>
        <v>411117</v>
      </c>
      <c r="G1308" s="148">
        <f>IFERROR(__xludf.DUMMYFUNCTION("""COMPUTED_VALUE"""),1.5115883E7)</f>
        <v>15115883</v>
      </c>
      <c r="H1308" s="148">
        <f>IFERROR(__xludf.DUMMYFUNCTION("""COMPUTED_VALUE"""),1.5112564E7)</f>
        <v>15112564</v>
      </c>
      <c r="I1308" s="148" t="str">
        <f>IFERROR(__xludf.DUMMYFUNCTION("""COMPUTED_VALUE"""),"{}")</f>
        <v>{}</v>
      </c>
      <c r="J1308" s="148" t="str">
        <f>IFERROR(__xludf.DUMMYFUNCTION("""COMPUTED_VALUE"""),"{""typ"":""lc"",""txt"":""LC_ITEM_hero_fragment_name"",""args"":[{""typ"":""lc"",""txt"":""LC_HERO_hero_name_73""}]}")</f>
        <v>{"typ":"lc","txt":"LC_ITEM_hero_fragment_name","args":[{"typ":"lc","txt":"LC_HERO_hero_name_73"}]}</v>
      </c>
      <c r="K1308" s="148" t="str">
        <f>IFERROR(__xludf.DUMMYFUNCTION("""COMPUTED_VALUE"""),"{""typ"":""lc"",""txt"":""LC_ITEM_hero_fragment_desc""}")</f>
        <v>{"typ":"lc","txt":"LC_ITEM_hero_fragment_desc"}</v>
      </c>
      <c r="L1308" s="148" t="str">
        <f>IFERROR(__xludf.DUMMYFUNCTION("""COMPUTED_VALUE"""),"{}")</f>
        <v>{}</v>
      </c>
      <c r="M1308" s="148">
        <f>IFERROR(__xludf.DUMMYFUNCTION("""COMPUTED_VALUE"""),4000.0)</f>
        <v>4000</v>
      </c>
      <c r="N1308" s="148">
        <f>IFERROR(__xludf.DUMMYFUNCTION("""COMPUTED_VALUE"""),9999999.0)</f>
        <v>9999999</v>
      </c>
      <c r="O1308" s="148">
        <f>IFERROR(__xludf.DUMMYFUNCTION("""COMPUTED_VALUE"""),99999.0)</f>
        <v>99999</v>
      </c>
      <c r="P1308" s="148">
        <f>IFERROR(__xludf.DUMMYFUNCTION("""COMPUTED_VALUE"""),99999.0)</f>
        <v>99999</v>
      </c>
      <c r="Q1308" s="148" t="str">
        <f>IFERROR(__xludf.DUMMYFUNCTION("""COMPUTED_VALUE"""),"[""bag_other""]")</f>
        <v>["bag_other"]</v>
      </c>
      <c r="R1308" s="148" t="str">
        <f>IFERROR(__xludf.DUMMYFUNCTION("""COMPUTED_VALUE"""),"[""19201073""]")</f>
        <v>["19201073"]</v>
      </c>
      <c r="S1308" s="148" t="str">
        <f>IFERROR(__xludf.DUMMYFUNCTION("""COMPUTED_VALUE"""),"{""effect"":[{""typ"":""rss"",""id"":11141032,""val"":10},{""typ"":""rss"",""id"":11141034,""val"":500}]}")</f>
        <v>{"effect":[{"typ":"rss","id":11141032,"val":10},{"typ":"rss","id":11141034,"val":500}]}</v>
      </c>
      <c r="T1308" s="148">
        <f>IFERROR(__xludf.DUMMYFUNCTION("""COMPUTED_VALUE"""),-1.0)</f>
        <v>-1</v>
      </c>
      <c r="U1308" s="148">
        <f>IFERROR(__xludf.DUMMYFUNCTION("""COMPUTED_VALUE"""),0.0)</f>
        <v>0</v>
      </c>
      <c r="V1308" s="148" t="str">
        <f>IFERROR(__xludf.DUMMYFUNCTION("""COMPUTED_VALUE"""),"[]")</f>
        <v>[]</v>
      </c>
      <c r="W1308" s="148">
        <f>IFERROR(__xludf.DUMMYFUNCTION("""COMPUTED_VALUE"""),1.1741002E7)</f>
        <v>11741002</v>
      </c>
      <c r="X1308" s="148">
        <f>IFERROR(__xludf.DUMMYFUNCTION("""COMPUTED_VALUE"""),0.0)</f>
        <v>0</v>
      </c>
      <c r="Y1308" s="148">
        <f>IFERROR(__xludf.DUMMYFUNCTION("""COMPUTED_VALUE"""),0.0)</f>
        <v>0</v>
      </c>
      <c r="Z1308" s="148"/>
    </row>
    <row r="1309">
      <c r="A1309" s="148">
        <f>IFERROR(__xludf.DUMMYFUNCTION("""COMPUTED_VALUE"""),1.1116244E7)</f>
        <v>11116244</v>
      </c>
      <c r="B1309" s="148" t="str">
        <f>IFERROR(__xludf.DUMMYFUNCTION("""COMPUTED_VALUE"""),"碎片-哈迪")</f>
        <v>碎片-哈迪</v>
      </c>
      <c r="C1309" s="148"/>
      <c r="D1309" s="148" t="str">
        <f>IFERROR(__xludf.DUMMYFUNCTION("""COMPUTED_VALUE"""),"hero_unit")</f>
        <v>hero_unit</v>
      </c>
      <c r="E1309" s="148">
        <f>IFERROR(__xludf.DUMMYFUNCTION("""COMPUTED_VALUE"""),0.0)</f>
        <v>0</v>
      </c>
      <c r="F1309" s="148">
        <f>IFERROR(__xludf.DUMMYFUNCTION("""COMPUTED_VALUE"""),411117.0)</f>
        <v>411117</v>
      </c>
      <c r="G1309" s="148">
        <f>IFERROR(__xludf.DUMMYFUNCTION("""COMPUTED_VALUE"""),1.5116032E7)</f>
        <v>15116032</v>
      </c>
      <c r="H1309" s="148">
        <f>IFERROR(__xludf.DUMMYFUNCTION("""COMPUTED_VALUE"""),1.5112564E7)</f>
        <v>15112564</v>
      </c>
      <c r="I1309" s="148" t="str">
        <f>IFERROR(__xludf.DUMMYFUNCTION("""COMPUTED_VALUE"""),"{}")</f>
        <v>{}</v>
      </c>
      <c r="J1309" s="148" t="str">
        <f>IFERROR(__xludf.DUMMYFUNCTION("""COMPUTED_VALUE"""),"{""typ"":""lc"",""txt"":""LC_ITEM_hero_fragment_name"",""args"":[{""typ"":""lc"",""txt"":""LC_HERO_hero_name_74""}]}")</f>
        <v>{"typ":"lc","txt":"LC_ITEM_hero_fragment_name","args":[{"typ":"lc","txt":"LC_HERO_hero_name_74"}]}</v>
      </c>
      <c r="K1309" s="148" t="str">
        <f>IFERROR(__xludf.DUMMYFUNCTION("""COMPUTED_VALUE"""),"{""typ"":""lc"",""txt"":""LC_ITEM_hero_fragment_desc""}")</f>
        <v>{"typ":"lc","txt":"LC_ITEM_hero_fragment_desc"}</v>
      </c>
      <c r="L1309" s="148" t="str">
        <f>IFERROR(__xludf.DUMMYFUNCTION("""COMPUTED_VALUE"""),"{}")</f>
        <v>{}</v>
      </c>
      <c r="M1309" s="148">
        <f>IFERROR(__xludf.DUMMYFUNCTION("""COMPUTED_VALUE"""),4000.0)</f>
        <v>4000</v>
      </c>
      <c r="N1309" s="148">
        <f>IFERROR(__xludf.DUMMYFUNCTION("""COMPUTED_VALUE"""),9999999.0)</f>
        <v>9999999</v>
      </c>
      <c r="O1309" s="148">
        <f>IFERROR(__xludf.DUMMYFUNCTION("""COMPUTED_VALUE"""),99999.0)</f>
        <v>99999</v>
      </c>
      <c r="P1309" s="148">
        <f>IFERROR(__xludf.DUMMYFUNCTION("""COMPUTED_VALUE"""),99999.0)</f>
        <v>99999</v>
      </c>
      <c r="Q1309" s="148" t="str">
        <f>IFERROR(__xludf.DUMMYFUNCTION("""COMPUTED_VALUE"""),"[""bag_other""]")</f>
        <v>["bag_other"]</v>
      </c>
      <c r="R1309" s="148" t="str">
        <f>IFERROR(__xludf.DUMMYFUNCTION("""COMPUTED_VALUE"""),"[""19201074""]")</f>
        <v>["19201074"]</v>
      </c>
      <c r="S1309" s="148" t="str">
        <f>IFERROR(__xludf.DUMMYFUNCTION("""COMPUTED_VALUE"""),"{""effect"":[{""typ"":""rss"",""id"":11141032,""val"":10},{""typ"":""rss"",""id"":11141034,""val"":500}]}")</f>
        <v>{"effect":[{"typ":"rss","id":11141032,"val":10},{"typ":"rss","id":11141034,"val":500}]}</v>
      </c>
      <c r="T1309" s="148">
        <f>IFERROR(__xludf.DUMMYFUNCTION("""COMPUTED_VALUE"""),-1.0)</f>
        <v>-1</v>
      </c>
      <c r="U1309" s="148">
        <f>IFERROR(__xludf.DUMMYFUNCTION("""COMPUTED_VALUE"""),0.0)</f>
        <v>0</v>
      </c>
      <c r="V1309" s="148" t="str">
        <f>IFERROR(__xludf.DUMMYFUNCTION("""COMPUTED_VALUE"""),"[]")</f>
        <v>[]</v>
      </c>
      <c r="W1309" s="148">
        <f>IFERROR(__xludf.DUMMYFUNCTION("""COMPUTED_VALUE"""),1.1741002E7)</f>
        <v>11741002</v>
      </c>
      <c r="X1309" s="148">
        <f>IFERROR(__xludf.DUMMYFUNCTION("""COMPUTED_VALUE"""),0.0)</f>
        <v>0</v>
      </c>
      <c r="Y1309" s="148">
        <f>IFERROR(__xludf.DUMMYFUNCTION("""COMPUTED_VALUE"""),0.0)</f>
        <v>0</v>
      </c>
      <c r="Z1309" s="148"/>
    </row>
    <row r="1310">
      <c r="A1310" s="148">
        <f>IFERROR(__xludf.DUMMYFUNCTION("""COMPUTED_VALUE"""),1.1116245E7)</f>
        <v>11116245</v>
      </c>
      <c r="B1310" s="148" t="str">
        <f>IFERROR(__xludf.DUMMYFUNCTION("""COMPUTED_VALUE"""),"碎片-雷蒙德")</f>
        <v>碎片-雷蒙德</v>
      </c>
      <c r="C1310" s="148"/>
      <c r="D1310" s="148" t="str">
        <f>IFERROR(__xludf.DUMMYFUNCTION("""COMPUTED_VALUE"""),"hero_unit")</f>
        <v>hero_unit</v>
      </c>
      <c r="E1310" s="148">
        <f>IFERROR(__xludf.DUMMYFUNCTION("""COMPUTED_VALUE"""),0.0)</f>
        <v>0</v>
      </c>
      <c r="F1310" s="148">
        <f>IFERROR(__xludf.DUMMYFUNCTION("""COMPUTED_VALUE"""),411117.0)</f>
        <v>411117</v>
      </c>
      <c r="G1310" s="148">
        <f>IFERROR(__xludf.DUMMYFUNCTION("""COMPUTED_VALUE"""),1.5116128E7)</f>
        <v>15116128</v>
      </c>
      <c r="H1310" s="148">
        <f>IFERROR(__xludf.DUMMYFUNCTION("""COMPUTED_VALUE"""),1.5112564E7)</f>
        <v>15112564</v>
      </c>
      <c r="I1310" s="148" t="str">
        <f>IFERROR(__xludf.DUMMYFUNCTION("""COMPUTED_VALUE"""),"{}")</f>
        <v>{}</v>
      </c>
      <c r="J1310" s="148" t="str">
        <f>IFERROR(__xludf.DUMMYFUNCTION("""COMPUTED_VALUE"""),"{""typ"":""lc"",""txt"":""LC_ITEM_hero_fragment_name"",""args"":[{""typ"":""lc"",""txt"":""LC_HERO_hero_name_75""}]}")</f>
        <v>{"typ":"lc","txt":"LC_ITEM_hero_fragment_name","args":[{"typ":"lc","txt":"LC_HERO_hero_name_75"}]}</v>
      </c>
      <c r="K1310" s="148" t="str">
        <f>IFERROR(__xludf.DUMMYFUNCTION("""COMPUTED_VALUE"""),"{""typ"":""lc"",""txt"":""LC_ITEM_hero_fragment_desc""}")</f>
        <v>{"typ":"lc","txt":"LC_ITEM_hero_fragment_desc"}</v>
      </c>
      <c r="L1310" s="148" t="str">
        <f>IFERROR(__xludf.DUMMYFUNCTION("""COMPUTED_VALUE"""),"{}")</f>
        <v>{}</v>
      </c>
      <c r="M1310" s="148">
        <f>IFERROR(__xludf.DUMMYFUNCTION("""COMPUTED_VALUE"""),4000.0)</f>
        <v>4000</v>
      </c>
      <c r="N1310" s="148">
        <f>IFERROR(__xludf.DUMMYFUNCTION("""COMPUTED_VALUE"""),9999999.0)</f>
        <v>9999999</v>
      </c>
      <c r="O1310" s="148">
        <f>IFERROR(__xludf.DUMMYFUNCTION("""COMPUTED_VALUE"""),99999.0)</f>
        <v>99999</v>
      </c>
      <c r="P1310" s="148">
        <f>IFERROR(__xludf.DUMMYFUNCTION("""COMPUTED_VALUE"""),99999.0)</f>
        <v>99999</v>
      </c>
      <c r="Q1310" s="148" t="str">
        <f>IFERROR(__xludf.DUMMYFUNCTION("""COMPUTED_VALUE"""),"[""bag_other""]")</f>
        <v>["bag_other"]</v>
      </c>
      <c r="R1310" s="148" t="str">
        <f>IFERROR(__xludf.DUMMYFUNCTION("""COMPUTED_VALUE"""),"[""19201075""]")</f>
        <v>["19201075"]</v>
      </c>
      <c r="S1310" s="148" t="str">
        <f>IFERROR(__xludf.DUMMYFUNCTION("""COMPUTED_VALUE"""),"{""effect"":[{""typ"":""rss"",""id"":11141032,""val"":10},{""typ"":""rss"",""id"":11141034,""val"":500}]}")</f>
        <v>{"effect":[{"typ":"rss","id":11141032,"val":10},{"typ":"rss","id":11141034,"val":500}]}</v>
      </c>
      <c r="T1310" s="148">
        <f>IFERROR(__xludf.DUMMYFUNCTION("""COMPUTED_VALUE"""),-1.0)</f>
        <v>-1</v>
      </c>
      <c r="U1310" s="148">
        <f>IFERROR(__xludf.DUMMYFUNCTION("""COMPUTED_VALUE"""),0.0)</f>
        <v>0</v>
      </c>
      <c r="V1310" s="148" t="str">
        <f>IFERROR(__xludf.DUMMYFUNCTION("""COMPUTED_VALUE"""),"[]")</f>
        <v>[]</v>
      </c>
      <c r="W1310" s="148">
        <f>IFERROR(__xludf.DUMMYFUNCTION("""COMPUTED_VALUE"""),1.1741002E7)</f>
        <v>11741002</v>
      </c>
      <c r="X1310" s="148">
        <f>IFERROR(__xludf.DUMMYFUNCTION("""COMPUTED_VALUE"""),0.0)</f>
        <v>0</v>
      </c>
      <c r="Y1310" s="148">
        <f>IFERROR(__xludf.DUMMYFUNCTION("""COMPUTED_VALUE"""),0.0)</f>
        <v>0</v>
      </c>
      <c r="Z1310" s="148"/>
    </row>
    <row r="1311">
      <c r="A1311" s="148">
        <f>IFERROR(__xludf.DUMMYFUNCTION("""COMPUTED_VALUE"""),1.1116246E7)</f>
        <v>11116246</v>
      </c>
      <c r="B1311" s="148" t="str">
        <f>IFERROR(__xludf.DUMMYFUNCTION("""COMPUTED_VALUE"""),"碎片-塔西娅")</f>
        <v>碎片-塔西娅</v>
      </c>
      <c r="C1311" s="148"/>
      <c r="D1311" s="148" t="str">
        <f>IFERROR(__xludf.DUMMYFUNCTION("""COMPUTED_VALUE"""),"hero_unit")</f>
        <v>hero_unit</v>
      </c>
      <c r="E1311" s="148">
        <f>IFERROR(__xludf.DUMMYFUNCTION("""COMPUTED_VALUE"""),0.0)</f>
        <v>0</v>
      </c>
      <c r="F1311" s="148">
        <f>IFERROR(__xludf.DUMMYFUNCTION("""COMPUTED_VALUE"""),411117.0)</f>
        <v>411117</v>
      </c>
      <c r="G1311" s="148">
        <f>IFERROR(__xludf.DUMMYFUNCTION("""COMPUTED_VALUE"""),1.5116567E7)</f>
        <v>15116567</v>
      </c>
      <c r="H1311" s="148">
        <f>IFERROR(__xludf.DUMMYFUNCTION("""COMPUTED_VALUE"""),1.5112564E7)</f>
        <v>15112564</v>
      </c>
      <c r="I1311" s="148" t="str">
        <f>IFERROR(__xludf.DUMMYFUNCTION("""COMPUTED_VALUE"""),"{}")</f>
        <v>{}</v>
      </c>
      <c r="J1311" s="148" t="str">
        <f>IFERROR(__xludf.DUMMYFUNCTION("""COMPUTED_VALUE"""),"{""typ"":""lc"",""txt"":""LC_ITEM_hero_fragment_name"",""args"":[{""typ"":""lc"",""txt"":""LC_HERO_hero_name_76""}]}")</f>
        <v>{"typ":"lc","txt":"LC_ITEM_hero_fragment_name","args":[{"typ":"lc","txt":"LC_HERO_hero_name_76"}]}</v>
      </c>
      <c r="K1311" s="148" t="str">
        <f>IFERROR(__xludf.DUMMYFUNCTION("""COMPUTED_VALUE"""),"{""typ"":""lc"",""txt"":""LC_ITEM_hero_fragment_desc""}")</f>
        <v>{"typ":"lc","txt":"LC_ITEM_hero_fragment_desc"}</v>
      </c>
      <c r="L1311" s="148" t="str">
        <f>IFERROR(__xludf.DUMMYFUNCTION("""COMPUTED_VALUE"""),"{}")</f>
        <v>{}</v>
      </c>
      <c r="M1311" s="148">
        <f>IFERROR(__xludf.DUMMYFUNCTION("""COMPUTED_VALUE"""),4000.0)</f>
        <v>4000</v>
      </c>
      <c r="N1311" s="148">
        <f>IFERROR(__xludf.DUMMYFUNCTION("""COMPUTED_VALUE"""),9999999.0)</f>
        <v>9999999</v>
      </c>
      <c r="O1311" s="148">
        <f>IFERROR(__xludf.DUMMYFUNCTION("""COMPUTED_VALUE"""),99999.0)</f>
        <v>99999</v>
      </c>
      <c r="P1311" s="148">
        <f>IFERROR(__xludf.DUMMYFUNCTION("""COMPUTED_VALUE"""),99999.0)</f>
        <v>99999</v>
      </c>
      <c r="Q1311" s="148" t="str">
        <f>IFERROR(__xludf.DUMMYFUNCTION("""COMPUTED_VALUE"""),"[""bag_other""]")</f>
        <v>["bag_other"]</v>
      </c>
      <c r="R1311" s="148" t="str">
        <f>IFERROR(__xludf.DUMMYFUNCTION("""COMPUTED_VALUE"""),"[""19201076""]")</f>
        <v>["19201076"]</v>
      </c>
      <c r="S1311" s="148" t="str">
        <f>IFERROR(__xludf.DUMMYFUNCTION("""COMPUTED_VALUE"""),"{""effect"":[{""typ"":""rss"",""id"":11141032,""val"":10},{""typ"":""rss"",""id"":11141034,""val"":500}]}")</f>
        <v>{"effect":[{"typ":"rss","id":11141032,"val":10},{"typ":"rss","id":11141034,"val":500}]}</v>
      </c>
      <c r="T1311" s="148">
        <f>IFERROR(__xludf.DUMMYFUNCTION("""COMPUTED_VALUE"""),-1.0)</f>
        <v>-1</v>
      </c>
      <c r="U1311" s="148">
        <f>IFERROR(__xludf.DUMMYFUNCTION("""COMPUTED_VALUE"""),0.0)</f>
        <v>0</v>
      </c>
      <c r="V1311" s="148" t="str">
        <f>IFERROR(__xludf.DUMMYFUNCTION("""COMPUTED_VALUE"""),"[]")</f>
        <v>[]</v>
      </c>
      <c r="W1311" s="148">
        <f>IFERROR(__xludf.DUMMYFUNCTION("""COMPUTED_VALUE"""),1.1741002E7)</f>
        <v>11741002</v>
      </c>
      <c r="X1311" s="148">
        <f>IFERROR(__xludf.DUMMYFUNCTION("""COMPUTED_VALUE"""),0.0)</f>
        <v>0</v>
      </c>
      <c r="Y1311" s="148">
        <f>IFERROR(__xludf.DUMMYFUNCTION("""COMPUTED_VALUE"""),0.0)</f>
        <v>0</v>
      </c>
      <c r="Z1311" s="148"/>
    </row>
    <row r="1312">
      <c r="A1312" s="148">
        <f>IFERROR(__xludf.DUMMYFUNCTION("""COMPUTED_VALUE"""),1.1116247E7)</f>
        <v>11116247</v>
      </c>
      <c r="B1312" s="148" t="str">
        <f>IFERROR(__xludf.DUMMYFUNCTION("""COMPUTED_VALUE"""),"碎片-博伊斯")</f>
        <v>碎片-博伊斯</v>
      </c>
      <c r="C1312" s="148"/>
      <c r="D1312" s="148" t="str">
        <f>IFERROR(__xludf.DUMMYFUNCTION("""COMPUTED_VALUE"""),"hero_unit")</f>
        <v>hero_unit</v>
      </c>
      <c r="E1312" s="148">
        <f>IFERROR(__xludf.DUMMYFUNCTION("""COMPUTED_VALUE"""),0.0)</f>
        <v>0</v>
      </c>
      <c r="F1312" s="148">
        <f>IFERROR(__xludf.DUMMYFUNCTION("""COMPUTED_VALUE"""),411117.0)</f>
        <v>411117</v>
      </c>
      <c r="G1312" s="148">
        <f>IFERROR(__xludf.DUMMYFUNCTION("""COMPUTED_VALUE"""),1.5116638E7)</f>
        <v>15116638</v>
      </c>
      <c r="H1312" s="148">
        <f>IFERROR(__xludf.DUMMYFUNCTION("""COMPUTED_VALUE"""),1.5112564E7)</f>
        <v>15112564</v>
      </c>
      <c r="I1312" s="148" t="str">
        <f>IFERROR(__xludf.DUMMYFUNCTION("""COMPUTED_VALUE"""),"{}")</f>
        <v>{}</v>
      </c>
      <c r="J1312" s="148" t="str">
        <f>IFERROR(__xludf.DUMMYFUNCTION("""COMPUTED_VALUE"""),"{""typ"":""lc"",""txt"":""LC_ITEM_hero_fragment_name"",""args"":[{""typ"":""lc"",""txt"":""LC_HERO_hero_name_77""}]}")</f>
        <v>{"typ":"lc","txt":"LC_ITEM_hero_fragment_name","args":[{"typ":"lc","txt":"LC_HERO_hero_name_77"}]}</v>
      </c>
      <c r="K1312" s="148" t="str">
        <f>IFERROR(__xludf.DUMMYFUNCTION("""COMPUTED_VALUE"""),"{""typ"":""lc"",""txt"":""LC_ITEM_hero_fragment_desc""}")</f>
        <v>{"typ":"lc","txt":"LC_ITEM_hero_fragment_desc"}</v>
      </c>
      <c r="L1312" s="148" t="str">
        <f>IFERROR(__xludf.DUMMYFUNCTION("""COMPUTED_VALUE"""),"{}")</f>
        <v>{}</v>
      </c>
      <c r="M1312" s="148">
        <f>IFERROR(__xludf.DUMMYFUNCTION("""COMPUTED_VALUE"""),4000.0)</f>
        <v>4000</v>
      </c>
      <c r="N1312" s="148">
        <f>IFERROR(__xludf.DUMMYFUNCTION("""COMPUTED_VALUE"""),9999999.0)</f>
        <v>9999999</v>
      </c>
      <c r="O1312" s="148">
        <f>IFERROR(__xludf.DUMMYFUNCTION("""COMPUTED_VALUE"""),99999.0)</f>
        <v>99999</v>
      </c>
      <c r="P1312" s="148">
        <f>IFERROR(__xludf.DUMMYFUNCTION("""COMPUTED_VALUE"""),99999.0)</f>
        <v>99999</v>
      </c>
      <c r="Q1312" s="148" t="str">
        <f>IFERROR(__xludf.DUMMYFUNCTION("""COMPUTED_VALUE"""),"[""bag_other""]")</f>
        <v>["bag_other"]</v>
      </c>
      <c r="R1312" s="148" t="str">
        <f>IFERROR(__xludf.DUMMYFUNCTION("""COMPUTED_VALUE"""),"[""19201077""]")</f>
        <v>["19201077"]</v>
      </c>
      <c r="S1312" s="148" t="str">
        <f>IFERROR(__xludf.DUMMYFUNCTION("""COMPUTED_VALUE"""),"{""effect"":[{""typ"":""rss"",""id"":11141032,""val"":10},{""typ"":""rss"",""id"":11141034,""val"":500}]}")</f>
        <v>{"effect":[{"typ":"rss","id":11141032,"val":10},{"typ":"rss","id":11141034,"val":500}]}</v>
      </c>
      <c r="T1312" s="148">
        <f>IFERROR(__xludf.DUMMYFUNCTION("""COMPUTED_VALUE"""),-1.0)</f>
        <v>-1</v>
      </c>
      <c r="U1312" s="148">
        <f>IFERROR(__xludf.DUMMYFUNCTION("""COMPUTED_VALUE"""),0.0)</f>
        <v>0</v>
      </c>
      <c r="V1312" s="148" t="str">
        <f>IFERROR(__xludf.DUMMYFUNCTION("""COMPUTED_VALUE"""),"[]")</f>
        <v>[]</v>
      </c>
      <c r="W1312" s="148">
        <f>IFERROR(__xludf.DUMMYFUNCTION("""COMPUTED_VALUE"""),1.1741002E7)</f>
        <v>11741002</v>
      </c>
      <c r="X1312" s="148">
        <f>IFERROR(__xludf.DUMMYFUNCTION("""COMPUTED_VALUE"""),0.0)</f>
        <v>0</v>
      </c>
      <c r="Y1312" s="148">
        <f>IFERROR(__xludf.DUMMYFUNCTION("""COMPUTED_VALUE"""),0.0)</f>
        <v>0</v>
      </c>
      <c r="Z1312" s="148"/>
    </row>
    <row r="1313">
      <c r="A1313" s="148">
        <f>IFERROR(__xludf.DUMMYFUNCTION("""COMPUTED_VALUE"""),1.1116248E7)</f>
        <v>11116248</v>
      </c>
      <c r="B1313" s="148" t="str">
        <f>IFERROR(__xludf.DUMMYFUNCTION("""COMPUTED_VALUE"""),"碎片-桃乐丝")</f>
        <v>碎片-桃乐丝</v>
      </c>
      <c r="C1313" s="148"/>
      <c r="D1313" s="148" t="str">
        <f>IFERROR(__xludf.DUMMYFUNCTION("""COMPUTED_VALUE"""),"hero_unit")</f>
        <v>hero_unit</v>
      </c>
      <c r="E1313" s="148">
        <f>IFERROR(__xludf.DUMMYFUNCTION("""COMPUTED_VALUE"""),0.0)</f>
        <v>0</v>
      </c>
      <c r="F1313" s="148">
        <f>IFERROR(__xludf.DUMMYFUNCTION("""COMPUTED_VALUE"""),411117.0)</f>
        <v>411117</v>
      </c>
      <c r="G1313" s="148">
        <f>IFERROR(__xludf.DUMMYFUNCTION("""COMPUTED_VALUE"""),1.5116742E7)</f>
        <v>15116742</v>
      </c>
      <c r="H1313" s="148">
        <f>IFERROR(__xludf.DUMMYFUNCTION("""COMPUTED_VALUE"""),1.5112564E7)</f>
        <v>15112564</v>
      </c>
      <c r="I1313" s="148" t="str">
        <f>IFERROR(__xludf.DUMMYFUNCTION("""COMPUTED_VALUE"""),"{}")</f>
        <v>{}</v>
      </c>
      <c r="J1313" s="148" t="str">
        <f>IFERROR(__xludf.DUMMYFUNCTION("""COMPUTED_VALUE"""),"{""typ"":""lc"",""txt"":""LC_ITEM_hero_fragment_name"",""args"":[{""typ"":""lc"",""txt"":""LC_HERO_hero_name_78""}]}")</f>
        <v>{"typ":"lc","txt":"LC_ITEM_hero_fragment_name","args":[{"typ":"lc","txt":"LC_HERO_hero_name_78"}]}</v>
      </c>
      <c r="K1313" s="148" t="str">
        <f>IFERROR(__xludf.DUMMYFUNCTION("""COMPUTED_VALUE"""),"{""typ"":""lc"",""txt"":""LC_ITEM_hero_fragment_desc""}")</f>
        <v>{"typ":"lc","txt":"LC_ITEM_hero_fragment_desc"}</v>
      </c>
      <c r="L1313" s="148" t="str">
        <f>IFERROR(__xludf.DUMMYFUNCTION("""COMPUTED_VALUE"""),"{}")</f>
        <v>{}</v>
      </c>
      <c r="M1313" s="148">
        <f>IFERROR(__xludf.DUMMYFUNCTION("""COMPUTED_VALUE"""),4000.0)</f>
        <v>4000</v>
      </c>
      <c r="N1313" s="148">
        <f>IFERROR(__xludf.DUMMYFUNCTION("""COMPUTED_VALUE"""),9999999.0)</f>
        <v>9999999</v>
      </c>
      <c r="O1313" s="148">
        <f>IFERROR(__xludf.DUMMYFUNCTION("""COMPUTED_VALUE"""),99999.0)</f>
        <v>99999</v>
      </c>
      <c r="P1313" s="148">
        <f>IFERROR(__xludf.DUMMYFUNCTION("""COMPUTED_VALUE"""),99999.0)</f>
        <v>99999</v>
      </c>
      <c r="Q1313" s="148" t="str">
        <f>IFERROR(__xludf.DUMMYFUNCTION("""COMPUTED_VALUE"""),"[""bag_other""]")</f>
        <v>["bag_other"]</v>
      </c>
      <c r="R1313" s="148" t="str">
        <f>IFERROR(__xludf.DUMMYFUNCTION("""COMPUTED_VALUE"""),"[""19201078""]")</f>
        <v>["19201078"]</v>
      </c>
      <c r="S1313" s="148" t="str">
        <f>IFERROR(__xludf.DUMMYFUNCTION("""COMPUTED_VALUE"""),"{""effect"":[{""typ"":""rss"",""id"":11141032,""val"":10},{""typ"":""rss"",""id"":11141034,""val"":500}]}")</f>
        <v>{"effect":[{"typ":"rss","id":11141032,"val":10},{"typ":"rss","id":11141034,"val":500}]}</v>
      </c>
      <c r="T1313" s="148">
        <f>IFERROR(__xludf.DUMMYFUNCTION("""COMPUTED_VALUE"""),-1.0)</f>
        <v>-1</v>
      </c>
      <c r="U1313" s="148">
        <f>IFERROR(__xludf.DUMMYFUNCTION("""COMPUTED_VALUE"""),0.0)</f>
        <v>0</v>
      </c>
      <c r="V1313" s="148" t="str">
        <f>IFERROR(__xludf.DUMMYFUNCTION("""COMPUTED_VALUE"""),"[]")</f>
        <v>[]</v>
      </c>
      <c r="W1313" s="148">
        <f>IFERROR(__xludf.DUMMYFUNCTION("""COMPUTED_VALUE"""),1.1741002E7)</f>
        <v>11741002</v>
      </c>
      <c r="X1313" s="148">
        <f>IFERROR(__xludf.DUMMYFUNCTION("""COMPUTED_VALUE"""),0.0)</f>
        <v>0</v>
      </c>
      <c r="Y1313" s="148">
        <f>IFERROR(__xludf.DUMMYFUNCTION("""COMPUTED_VALUE"""),0.0)</f>
        <v>0</v>
      </c>
      <c r="Z1313" s="148"/>
    </row>
    <row r="1314">
      <c r="A1314" s="148">
        <f>IFERROR(__xludf.DUMMYFUNCTION("""COMPUTED_VALUE"""),1.1116249E7)</f>
        <v>11116249</v>
      </c>
      <c r="B1314" s="148" t="str">
        <f>IFERROR(__xludf.DUMMYFUNCTION("""COMPUTED_VALUE"""),"碎片-万斯")</f>
        <v>碎片-万斯</v>
      </c>
      <c r="C1314" s="148"/>
      <c r="D1314" s="148" t="str">
        <f>IFERROR(__xludf.DUMMYFUNCTION("""COMPUTED_VALUE"""),"hero_unit")</f>
        <v>hero_unit</v>
      </c>
      <c r="E1314" s="148">
        <f>IFERROR(__xludf.DUMMYFUNCTION("""COMPUTED_VALUE"""),0.0)</f>
        <v>0</v>
      </c>
      <c r="F1314" s="148">
        <f>IFERROR(__xludf.DUMMYFUNCTION("""COMPUTED_VALUE"""),411117.0)</f>
        <v>411117</v>
      </c>
      <c r="G1314" s="148">
        <f>IFERROR(__xludf.DUMMYFUNCTION("""COMPUTED_VALUE"""),1.5116752E7)</f>
        <v>15116752</v>
      </c>
      <c r="H1314" s="148">
        <f>IFERROR(__xludf.DUMMYFUNCTION("""COMPUTED_VALUE"""),1.5112564E7)</f>
        <v>15112564</v>
      </c>
      <c r="I1314" s="148" t="str">
        <f>IFERROR(__xludf.DUMMYFUNCTION("""COMPUTED_VALUE"""),"{}")</f>
        <v>{}</v>
      </c>
      <c r="J1314" s="148" t="str">
        <f>IFERROR(__xludf.DUMMYFUNCTION("""COMPUTED_VALUE"""),"{""typ"":""lc"",""txt"":""LC_ITEM_hero_fragment_name"",""args"":[{""typ"":""lc"",""txt"":""LC_HERO_hero_name_79""}]}")</f>
        <v>{"typ":"lc","txt":"LC_ITEM_hero_fragment_name","args":[{"typ":"lc","txt":"LC_HERO_hero_name_79"}]}</v>
      </c>
      <c r="K1314" s="148" t="str">
        <f>IFERROR(__xludf.DUMMYFUNCTION("""COMPUTED_VALUE"""),"{""typ"":""lc"",""txt"":""LC_ITEM_hero_fragment_desc""}")</f>
        <v>{"typ":"lc","txt":"LC_ITEM_hero_fragment_desc"}</v>
      </c>
      <c r="L1314" s="148" t="str">
        <f>IFERROR(__xludf.DUMMYFUNCTION("""COMPUTED_VALUE"""),"{}")</f>
        <v>{}</v>
      </c>
      <c r="M1314" s="148">
        <f>IFERROR(__xludf.DUMMYFUNCTION("""COMPUTED_VALUE"""),4000.0)</f>
        <v>4000</v>
      </c>
      <c r="N1314" s="148">
        <f>IFERROR(__xludf.DUMMYFUNCTION("""COMPUTED_VALUE"""),9999999.0)</f>
        <v>9999999</v>
      </c>
      <c r="O1314" s="148">
        <f>IFERROR(__xludf.DUMMYFUNCTION("""COMPUTED_VALUE"""),99999.0)</f>
        <v>99999</v>
      </c>
      <c r="P1314" s="148">
        <f>IFERROR(__xludf.DUMMYFUNCTION("""COMPUTED_VALUE"""),99999.0)</f>
        <v>99999</v>
      </c>
      <c r="Q1314" s="148" t="str">
        <f>IFERROR(__xludf.DUMMYFUNCTION("""COMPUTED_VALUE"""),"[""bag_other""]")</f>
        <v>["bag_other"]</v>
      </c>
      <c r="R1314" s="148" t="str">
        <f>IFERROR(__xludf.DUMMYFUNCTION("""COMPUTED_VALUE"""),"[""19201079""]")</f>
        <v>["19201079"]</v>
      </c>
      <c r="S1314" s="148" t="str">
        <f>IFERROR(__xludf.DUMMYFUNCTION("""COMPUTED_VALUE"""),"{""effect"":[{""typ"":""rss"",""id"":11141032,""val"":10},{""typ"":""rss"",""id"":11141034,""val"":500}]}")</f>
        <v>{"effect":[{"typ":"rss","id":11141032,"val":10},{"typ":"rss","id":11141034,"val":500}]}</v>
      </c>
      <c r="T1314" s="148">
        <f>IFERROR(__xludf.DUMMYFUNCTION("""COMPUTED_VALUE"""),-1.0)</f>
        <v>-1</v>
      </c>
      <c r="U1314" s="148">
        <f>IFERROR(__xludf.DUMMYFUNCTION("""COMPUTED_VALUE"""),0.0)</f>
        <v>0</v>
      </c>
      <c r="V1314" s="148" t="str">
        <f>IFERROR(__xludf.DUMMYFUNCTION("""COMPUTED_VALUE"""),"[]")</f>
        <v>[]</v>
      </c>
      <c r="W1314" s="148">
        <f>IFERROR(__xludf.DUMMYFUNCTION("""COMPUTED_VALUE"""),1.1741002E7)</f>
        <v>11741002</v>
      </c>
      <c r="X1314" s="148">
        <f>IFERROR(__xludf.DUMMYFUNCTION("""COMPUTED_VALUE"""),0.0)</f>
        <v>0</v>
      </c>
      <c r="Y1314" s="148">
        <f>IFERROR(__xludf.DUMMYFUNCTION("""COMPUTED_VALUE"""),0.0)</f>
        <v>0</v>
      </c>
      <c r="Z1314" s="148"/>
    </row>
    <row r="1315">
      <c r="A1315" s="148">
        <f>IFERROR(__xludf.DUMMYFUNCTION("""COMPUTED_VALUE"""),1.111625E7)</f>
        <v>11116250</v>
      </c>
      <c r="B1315" s="148" t="str">
        <f>IFERROR(__xludf.DUMMYFUNCTION("""COMPUTED_VALUE"""),"碎片-菲利克斯")</f>
        <v>碎片-菲利克斯</v>
      </c>
      <c r="C1315" s="148"/>
      <c r="D1315" s="148" t="str">
        <f>IFERROR(__xludf.DUMMYFUNCTION("""COMPUTED_VALUE"""),"hero_unit")</f>
        <v>hero_unit</v>
      </c>
      <c r="E1315" s="148">
        <f>IFERROR(__xludf.DUMMYFUNCTION("""COMPUTED_VALUE"""),0.0)</f>
        <v>0</v>
      </c>
      <c r="F1315" s="148">
        <f>IFERROR(__xludf.DUMMYFUNCTION("""COMPUTED_VALUE"""),411117.0)</f>
        <v>411117</v>
      </c>
      <c r="G1315" s="148">
        <f>IFERROR(__xludf.DUMMYFUNCTION("""COMPUTED_VALUE"""),1.5116868E7)</f>
        <v>15116868</v>
      </c>
      <c r="H1315" s="148">
        <f>IFERROR(__xludf.DUMMYFUNCTION("""COMPUTED_VALUE"""),1.5112564E7)</f>
        <v>15112564</v>
      </c>
      <c r="I1315" s="148" t="str">
        <f>IFERROR(__xludf.DUMMYFUNCTION("""COMPUTED_VALUE"""),"{}")</f>
        <v>{}</v>
      </c>
      <c r="J1315" s="148" t="str">
        <f>IFERROR(__xludf.DUMMYFUNCTION("""COMPUTED_VALUE"""),"{""typ"":""lc"",""txt"":""LC_ITEM_hero_fragment_name"",""args"":[{""typ"":""lc"",""txt"":""LC_HERO_hero_name_90""}]}")</f>
        <v>{"typ":"lc","txt":"LC_ITEM_hero_fragment_name","args":[{"typ":"lc","txt":"LC_HERO_hero_name_90"}]}</v>
      </c>
      <c r="K1315" s="148" t="str">
        <f>IFERROR(__xludf.DUMMYFUNCTION("""COMPUTED_VALUE"""),"{""typ"":""lc"",""txt"":""LC_ITEM_hero_fragment_desc""}")</f>
        <v>{"typ":"lc","txt":"LC_ITEM_hero_fragment_desc"}</v>
      </c>
      <c r="L1315" s="148" t="str">
        <f>IFERROR(__xludf.DUMMYFUNCTION("""COMPUTED_VALUE"""),"{}")</f>
        <v>{}</v>
      </c>
      <c r="M1315" s="148">
        <f>IFERROR(__xludf.DUMMYFUNCTION("""COMPUTED_VALUE"""),4000.0)</f>
        <v>4000</v>
      </c>
      <c r="N1315" s="148">
        <f>IFERROR(__xludf.DUMMYFUNCTION("""COMPUTED_VALUE"""),9999999.0)</f>
        <v>9999999</v>
      </c>
      <c r="O1315" s="148">
        <f>IFERROR(__xludf.DUMMYFUNCTION("""COMPUTED_VALUE"""),99999.0)</f>
        <v>99999</v>
      </c>
      <c r="P1315" s="148">
        <f>IFERROR(__xludf.DUMMYFUNCTION("""COMPUTED_VALUE"""),99999.0)</f>
        <v>99999</v>
      </c>
      <c r="Q1315" s="148" t="str">
        <f>IFERROR(__xludf.DUMMYFUNCTION("""COMPUTED_VALUE"""),"[""bag_other""]")</f>
        <v>["bag_other"]</v>
      </c>
      <c r="R1315" s="148" t="str">
        <f>IFERROR(__xludf.DUMMYFUNCTION("""COMPUTED_VALUE"""),"[""19201090""]")</f>
        <v>["19201090"]</v>
      </c>
      <c r="S1315" s="148" t="str">
        <f>IFERROR(__xludf.DUMMYFUNCTION("""COMPUTED_VALUE"""),"{""effect"":[{""typ"":""rss"",""id"":11141032,""val"":10},{""typ"":""rss"",""id"":11141034,""val"":500}]}")</f>
        <v>{"effect":[{"typ":"rss","id":11141032,"val":10},{"typ":"rss","id":11141034,"val":500}]}</v>
      </c>
      <c r="T1315" s="148">
        <f>IFERROR(__xludf.DUMMYFUNCTION("""COMPUTED_VALUE"""),-1.0)</f>
        <v>-1</v>
      </c>
      <c r="U1315" s="148">
        <f>IFERROR(__xludf.DUMMYFUNCTION("""COMPUTED_VALUE"""),0.0)</f>
        <v>0</v>
      </c>
      <c r="V1315" s="148" t="str">
        <f>IFERROR(__xludf.DUMMYFUNCTION("""COMPUTED_VALUE"""),"[]")</f>
        <v>[]</v>
      </c>
      <c r="W1315" s="148">
        <f>IFERROR(__xludf.DUMMYFUNCTION("""COMPUTED_VALUE"""),1.1741002E7)</f>
        <v>11741002</v>
      </c>
      <c r="X1315" s="148">
        <f>IFERROR(__xludf.DUMMYFUNCTION("""COMPUTED_VALUE"""),0.0)</f>
        <v>0</v>
      </c>
      <c r="Y1315" s="148">
        <f>IFERROR(__xludf.DUMMYFUNCTION("""COMPUTED_VALUE"""),0.0)</f>
        <v>0</v>
      </c>
      <c r="Z1315" s="148"/>
    </row>
    <row r="1316">
      <c r="A1316" s="148">
        <f>IFERROR(__xludf.DUMMYFUNCTION("""COMPUTED_VALUE"""),1.1116251E7)</f>
        <v>11116251</v>
      </c>
      <c r="B1316" s="148" t="str">
        <f>IFERROR(__xludf.DUMMYFUNCTION("""COMPUTED_VALUE"""),"碎片-格兰特")</f>
        <v>碎片-格兰特</v>
      </c>
      <c r="C1316" s="148"/>
      <c r="D1316" s="148" t="str">
        <f>IFERROR(__xludf.DUMMYFUNCTION("""COMPUTED_VALUE"""),"hero_unit")</f>
        <v>hero_unit</v>
      </c>
      <c r="E1316" s="148">
        <f>IFERROR(__xludf.DUMMYFUNCTION("""COMPUTED_VALUE"""),0.0)</f>
        <v>0</v>
      </c>
      <c r="F1316" s="148">
        <f>IFERROR(__xludf.DUMMYFUNCTION("""COMPUTED_VALUE"""),411117.0)</f>
        <v>411117</v>
      </c>
      <c r="G1316" s="148">
        <f>IFERROR(__xludf.DUMMYFUNCTION("""COMPUTED_VALUE"""),1.5117367E7)</f>
        <v>15117367</v>
      </c>
      <c r="H1316" s="148">
        <f>IFERROR(__xludf.DUMMYFUNCTION("""COMPUTED_VALUE"""),1.5112564E7)</f>
        <v>15112564</v>
      </c>
      <c r="I1316" s="148" t="str">
        <f>IFERROR(__xludf.DUMMYFUNCTION("""COMPUTED_VALUE"""),"{}")</f>
        <v>{}</v>
      </c>
      <c r="J1316" s="148" t="str">
        <f>IFERROR(__xludf.DUMMYFUNCTION("""COMPUTED_VALUE"""),"{""typ"":""lc"",""txt"":""LC_ITEM_hero_fragment_name"",""args"":[{""typ"":""lc"",""txt"":""LC_HERO_hero_name_91""}]}")</f>
        <v>{"typ":"lc","txt":"LC_ITEM_hero_fragment_name","args":[{"typ":"lc","txt":"LC_HERO_hero_name_91"}]}</v>
      </c>
      <c r="K1316" s="148" t="str">
        <f>IFERROR(__xludf.DUMMYFUNCTION("""COMPUTED_VALUE"""),"{""typ"":""lc"",""txt"":""LC_ITEM_hero_fragment_desc""}")</f>
        <v>{"typ":"lc","txt":"LC_ITEM_hero_fragment_desc"}</v>
      </c>
      <c r="L1316" s="148" t="str">
        <f>IFERROR(__xludf.DUMMYFUNCTION("""COMPUTED_VALUE"""),"{}")</f>
        <v>{}</v>
      </c>
      <c r="M1316" s="148">
        <f>IFERROR(__xludf.DUMMYFUNCTION("""COMPUTED_VALUE"""),4000.0)</f>
        <v>4000</v>
      </c>
      <c r="N1316" s="148">
        <f>IFERROR(__xludf.DUMMYFUNCTION("""COMPUTED_VALUE"""),9999999.0)</f>
        <v>9999999</v>
      </c>
      <c r="O1316" s="148">
        <f>IFERROR(__xludf.DUMMYFUNCTION("""COMPUTED_VALUE"""),99999.0)</f>
        <v>99999</v>
      </c>
      <c r="P1316" s="148">
        <f>IFERROR(__xludf.DUMMYFUNCTION("""COMPUTED_VALUE"""),99999.0)</f>
        <v>99999</v>
      </c>
      <c r="Q1316" s="148" t="str">
        <f>IFERROR(__xludf.DUMMYFUNCTION("""COMPUTED_VALUE"""),"[""bag_other""]")</f>
        <v>["bag_other"]</v>
      </c>
      <c r="R1316" s="148" t="str">
        <f>IFERROR(__xludf.DUMMYFUNCTION("""COMPUTED_VALUE"""),"[""19201091""]")</f>
        <v>["19201091"]</v>
      </c>
      <c r="S1316" s="148" t="str">
        <f>IFERROR(__xludf.DUMMYFUNCTION("""COMPUTED_VALUE"""),"{""effect"":[{""typ"":""rss"",""id"":11141032,""val"":10},{""typ"":""rss"",""id"":11141034,""val"":500}]}")</f>
        <v>{"effect":[{"typ":"rss","id":11141032,"val":10},{"typ":"rss","id":11141034,"val":500}]}</v>
      </c>
      <c r="T1316" s="148">
        <f>IFERROR(__xludf.DUMMYFUNCTION("""COMPUTED_VALUE"""),-1.0)</f>
        <v>-1</v>
      </c>
      <c r="U1316" s="148">
        <f>IFERROR(__xludf.DUMMYFUNCTION("""COMPUTED_VALUE"""),0.0)</f>
        <v>0</v>
      </c>
      <c r="V1316" s="148" t="str">
        <f>IFERROR(__xludf.DUMMYFUNCTION("""COMPUTED_VALUE"""),"[]")</f>
        <v>[]</v>
      </c>
      <c r="W1316" s="148">
        <f>IFERROR(__xludf.DUMMYFUNCTION("""COMPUTED_VALUE"""),1.1741002E7)</f>
        <v>11741002</v>
      </c>
      <c r="X1316" s="148">
        <f>IFERROR(__xludf.DUMMYFUNCTION("""COMPUTED_VALUE"""),0.0)</f>
        <v>0</v>
      </c>
      <c r="Y1316" s="148">
        <f>IFERROR(__xludf.DUMMYFUNCTION("""COMPUTED_VALUE"""),0.0)</f>
        <v>0</v>
      </c>
      <c r="Z1316" s="148"/>
    </row>
    <row r="1317">
      <c r="A1317" s="148">
        <f>IFERROR(__xludf.DUMMYFUNCTION("""COMPUTED_VALUE"""),1.1116252E7)</f>
        <v>11116252</v>
      </c>
      <c r="B1317" s="148" t="str">
        <f>IFERROR(__xludf.DUMMYFUNCTION("""COMPUTED_VALUE"""),"碎片-凯恩")</f>
        <v>碎片-凯恩</v>
      </c>
      <c r="C1317" s="148"/>
      <c r="D1317" s="148" t="str">
        <f>IFERROR(__xludf.DUMMYFUNCTION("""COMPUTED_VALUE"""),"hero_unit")</f>
        <v>hero_unit</v>
      </c>
      <c r="E1317" s="148">
        <f>IFERROR(__xludf.DUMMYFUNCTION("""COMPUTED_VALUE"""),0.0)</f>
        <v>0</v>
      </c>
      <c r="F1317" s="148">
        <f>IFERROR(__xludf.DUMMYFUNCTION("""COMPUTED_VALUE"""),411117.0)</f>
        <v>411117</v>
      </c>
      <c r="G1317" s="148">
        <f>IFERROR(__xludf.DUMMYFUNCTION("""COMPUTED_VALUE"""),1.5117584E7)</f>
        <v>15117584</v>
      </c>
      <c r="H1317" s="148">
        <f>IFERROR(__xludf.DUMMYFUNCTION("""COMPUTED_VALUE"""),1.5112564E7)</f>
        <v>15112564</v>
      </c>
      <c r="I1317" s="148" t="str">
        <f>IFERROR(__xludf.DUMMYFUNCTION("""COMPUTED_VALUE"""),"{}")</f>
        <v>{}</v>
      </c>
      <c r="J1317" s="148" t="str">
        <f>IFERROR(__xludf.DUMMYFUNCTION("""COMPUTED_VALUE"""),"{""typ"":""lc"",""txt"":""LC_ITEM_hero_fragment_name"",""args"":[{""typ"":""lc"",""txt"":""LC_HERO_hero_name_92""}]}")</f>
        <v>{"typ":"lc","txt":"LC_ITEM_hero_fragment_name","args":[{"typ":"lc","txt":"LC_HERO_hero_name_92"}]}</v>
      </c>
      <c r="K1317" s="148" t="str">
        <f>IFERROR(__xludf.DUMMYFUNCTION("""COMPUTED_VALUE"""),"{""typ"":""lc"",""txt"":""LC_ITEM_hero_fragment_desc""}")</f>
        <v>{"typ":"lc","txt":"LC_ITEM_hero_fragment_desc"}</v>
      </c>
      <c r="L1317" s="148" t="str">
        <f>IFERROR(__xludf.DUMMYFUNCTION("""COMPUTED_VALUE"""),"{}")</f>
        <v>{}</v>
      </c>
      <c r="M1317" s="148">
        <f>IFERROR(__xludf.DUMMYFUNCTION("""COMPUTED_VALUE"""),4000.0)</f>
        <v>4000</v>
      </c>
      <c r="N1317" s="148">
        <f>IFERROR(__xludf.DUMMYFUNCTION("""COMPUTED_VALUE"""),9999999.0)</f>
        <v>9999999</v>
      </c>
      <c r="O1317" s="148">
        <f>IFERROR(__xludf.DUMMYFUNCTION("""COMPUTED_VALUE"""),99999.0)</f>
        <v>99999</v>
      </c>
      <c r="P1317" s="148">
        <f>IFERROR(__xludf.DUMMYFUNCTION("""COMPUTED_VALUE"""),99999.0)</f>
        <v>99999</v>
      </c>
      <c r="Q1317" s="148" t="str">
        <f>IFERROR(__xludf.DUMMYFUNCTION("""COMPUTED_VALUE"""),"[""bag_other""]")</f>
        <v>["bag_other"]</v>
      </c>
      <c r="R1317" s="148" t="str">
        <f>IFERROR(__xludf.DUMMYFUNCTION("""COMPUTED_VALUE"""),"[""19201092""]")</f>
        <v>["19201092"]</v>
      </c>
      <c r="S1317" s="148" t="str">
        <f>IFERROR(__xludf.DUMMYFUNCTION("""COMPUTED_VALUE"""),"{""effect"":[{""typ"":""rss"",""id"":11141032,""val"":10},{""typ"":""rss"",""id"":11141034,""val"":500}]}")</f>
        <v>{"effect":[{"typ":"rss","id":11141032,"val":10},{"typ":"rss","id":11141034,"val":500}]}</v>
      </c>
      <c r="T1317" s="148">
        <f>IFERROR(__xludf.DUMMYFUNCTION("""COMPUTED_VALUE"""),-1.0)</f>
        <v>-1</v>
      </c>
      <c r="U1317" s="148">
        <f>IFERROR(__xludf.DUMMYFUNCTION("""COMPUTED_VALUE"""),0.0)</f>
        <v>0</v>
      </c>
      <c r="V1317" s="148" t="str">
        <f>IFERROR(__xludf.DUMMYFUNCTION("""COMPUTED_VALUE"""),"[]")</f>
        <v>[]</v>
      </c>
      <c r="W1317" s="148">
        <f>IFERROR(__xludf.DUMMYFUNCTION("""COMPUTED_VALUE"""),1.1741002E7)</f>
        <v>11741002</v>
      </c>
      <c r="X1317" s="148">
        <f>IFERROR(__xludf.DUMMYFUNCTION("""COMPUTED_VALUE"""),0.0)</f>
        <v>0</v>
      </c>
      <c r="Y1317" s="148">
        <f>IFERROR(__xludf.DUMMYFUNCTION("""COMPUTED_VALUE"""),0.0)</f>
        <v>0</v>
      </c>
      <c r="Z1317" s="148"/>
    </row>
    <row r="1318">
      <c r="A1318" s="148">
        <f>IFERROR(__xludf.DUMMYFUNCTION("""COMPUTED_VALUE"""),1.1116253E7)</f>
        <v>11116253</v>
      </c>
      <c r="B1318" s="148" t="str">
        <f>IFERROR(__xludf.DUMMYFUNCTION("""COMPUTED_VALUE"""),"碎片-古斯塔夫")</f>
        <v>碎片-古斯塔夫</v>
      </c>
      <c r="C1318" s="148"/>
      <c r="D1318" s="148" t="str">
        <f>IFERROR(__xludf.DUMMYFUNCTION("""COMPUTED_VALUE"""),"hero_unit")</f>
        <v>hero_unit</v>
      </c>
      <c r="E1318" s="148">
        <f>IFERROR(__xludf.DUMMYFUNCTION("""COMPUTED_VALUE"""),0.0)</f>
        <v>0</v>
      </c>
      <c r="F1318" s="148">
        <f>IFERROR(__xludf.DUMMYFUNCTION("""COMPUTED_VALUE"""),411117.0)</f>
        <v>411117</v>
      </c>
      <c r="G1318" s="148">
        <f>IFERROR(__xludf.DUMMYFUNCTION("""COMPUTED_VALUE"""),1.5118261E7)</f>
        <v>15118261</v>
      </c>
      <c r="H1318" s="148">
        <f>IFERROR(__xludf.DUMMYFUNCTION("""COMPUTED_VALUE"""),1.5112564E7)</f>
        <v>15112564</v>
      </c>
      <c r="I1318" s="148" t="str">
        <f>IFERROR(__xludf.DUMMYFUNCTION("""COMPUTED_VALUE"""),"{}")</f>
        <v>{}</v>
      </c>
      <c r="J1318" s="148" t="str">
        <f>IFERROR(__xludf.DUMMYFUNCTION("""COMPUTED_VALUE"""),"{""typ"":""lc"",""txt"":""LC_ITEM_hero_fragment_name"",""args"":[{""typ"":""lc"",""txt"":""LC_HERO_hero_name_93""}]}")</f>
        <v>{"typ":"lc","txt":"LC_ITEM_hero_fragment_name","args":[{"typ":"lc","txt":"LC_HERO_hero_name_93"}]}</v>
      </c>
      <c r="K1318" s="148" t="str">
        <f>IFERROR(__xludf.DUMMYFUNCTION("""COMPUTED_VALUE"""),"{""typ"":""lc"",""txt"":""LC_ITEM_hero_fragment_desc""}")</f>
        <v>{"typ":"lc","txt":"LC_ITEM_hero_fragment_desc"}</v>
      </c>
      <c r="L1318" s="148" t="str">
        <f>IFERROR(__xludf.DUMMYFUNCTION("""COMPUTED_VALUE"""),"{}")</f>
        <v>{}</v>
      </c>
      <c r="M1318" s="148">
        <f>IFERROR(__xludf.DUMMYFUNCTION("""COMPUTED_VALUE"""),4000.0)</f>
        <v>4000</v>
      </c>
      <c r="N1318" s="148">
        <f>IFERROR(__xludf.DUMMYFUNCTION("""COMPUTED_VALUE"""),9999999.0)</f>
        <v>9999999</v>
      </c>
      <c r="O1318" s="148">
        <f>IFERROR(__xludf.DUMMYFUNCTION("""COMPUTED_VALUE"""),99999.0)</f>
        <v>99999</v>
      </c>
      <c r="P1318" s="148">
        <f>IFERROR(__xludf.DUMMYFUNCTION("""COMPUTED_VALUE"""),99999.0)</f>
        <v>99999</v>
      </c>
      <c r="Q1318" s="148" t="str">
        <f>IFERROR(__xludf.DUMMYFUNCTION("""COMPUTED_VALUE"""),"[""bag_other""]")</f>
        <v>["bag_other"]</v>
      </c>
      <c r="R1318" s="148" t="str">
        <f>IFERROR(__xludf.DUMMYFUNCTION("""COMPUTED_VALUE"""),"[""19201093""]")</f>
        <v>["19201093"]</v>
      </c>
      <c r="S1318" s="148" t="str">
        <f>IFERROR(__xludf.DUMMYFUNCTION("""COMPUTED_VALUE"""),"{""effect"":[{""typ"":""rss"",""id"":11141032,""val"":10},{""typ"":""rss"",""id"":11141034,""val"":500}]}")</f>
        <v>{"effect":[{"typ":"rss","id":11141032,"val":10},{"typ":"rss","id":11141034,"val":500}]}</v>
      </c>
      <c r="T1318" s="148">
        <f>IFERROR(__xludf.DUMMYFUNCTION("""COMPUTED_VALUE"""),-1.0)</f>
        <v>-1</v>
      </c>
      <c r="U1318" s="148">
        <f>IFERROR(__xludf.DUMMYFUNCTION("""COMPUTED_VALUE"""),0.0)</f>
        <v>0</v>
      </c>
      <c r="V1318" s="148" t="str">
        <f>IFERROR(__xludf.DUMMYFUNCTION("""COMPUTED_VALUE"""),"[]")</f>
        <v>[]</v>
      </c>
      <c r="W1318" s="148">
        <f>IFERROR(__xludf.DUMMYFUNCTION("""COMPUTED_VALUE"""),1.1741002E7)</f>
        <v>11741002</v>
      </c>
      <c r="X1318" s="148">
        <f>IFERROR(__xludf.DUMMYFUNCTION("""COMPUTED_VALUE"""),0.0)</f>
        <v>0</v>
      </c>
      <c r="Y1318" s="148">
        <f>IFERROR(__xludf.DUMMYFUNCTION("""COMPUTED_VALUE"""),0.0)</f>
        <v>0</v>
      </c>
      <c r="Z1318" s="148"/>
    </row>
    <row r="1319">
      <c r="A1319" s="148">
        <f>IFERROR(__xludf.DUMMYFUNCTION("""COMPUTED_VALUE"""),1.1116254E7)</f>
        <v>11116254</v>
      </c>
      <c r="B1319" s="148" t="str">
        <f>IFERROR(__xludf.DUMMYFUNCTION("""COMPUTED_VALUE"""),"碎片-赫尔曼")</f>
        <v>碎片-赫尔曼</v>
      </c>
      <c r="C1319" s="148"/>
      <c r="D1319" s="148" t="str">
        <f>IFERROR(__xludf.DUMMYFUNCTION("""COMPUTED_VALUE"""),"hero_unit")</f>
        <v>hero_unit</v>
      </c>
      <c r="E1319" s="148">
        <f>IFERROR(__xludf.DUMMYFUNCTION("""COMPUTED_VALUE"""),0.0)</f>
        <v>0</v>
      </c>
      <c r="F1319" s="148">
        <f>IFERROR(__xludf.DUMMYFUNCTION("""COMPUTED_VALUE"""),411117.0)</f>
        <v>411117</v>
      </c>
      <c r="G1319" s="148">
        <f>IFERROR(__xludf.DUMMYFUNCTION("""COMPUTED_VALUE"""),1.511893E7)</f>
        <v>15118930</v>
      </c>
      <c r="H1319" s="148">
        <f>IFERROR(__xludf.DUMMYFUNCTION("""COMPUTED_VALUE"""),1.5112564E7)</f>
        <v>15112564</v>
      </c>
      <c r="I1319" s="148" t="str">
        <f>IFERROR(__xludf.DUMMYFUNCTION("""COMPUTED_VALUE"""),"{}")</f>
        <v>{}</v>
      </c>
      <c r="J1319" s="148" t="str">
        <f>IFERROR(__xludf.DUMMYFUNCTION("""COMPUTED_VALUE"""),"{""typ"":""lc"",""txt"":""LC_ITEM_hero_fragment_name"",""args"":[{""typ"":""lc"",""txt"":""LC_HERO_hero_name_94""}]}")</f>
        <v>{"typ":"lc","txt":"LC_ITEM_hero_fragment_name","args":[{"typ":"lc","txt":"LC_HERO_hero_name_94"}]}</v>
      </c>
      <c r="K1319" s="148" t="str">
        <f>IFERROR(__xludf.DUMMYFUNCTION("""COMPUTED_VALUE"""),"{""typ"":""lc"",""txt"":""LC_ITEM_hero_fragment_desc""}")</f>
        <v>{"typ":"lc","txt":"LC_ITEM_hero_fragment_desc"}</v>
      </c>
      <c r="L1319" s="148" t="str">
        <f>IFERROR(__xludf.DUMMYFUNCTION("""COMPUTED_VALUE"""),"{}")</f>
        <v>{}</v>
      </c>
      <c r="M1319" s="148">
        <f>IFERROR(__xludf.DUMMYFUNCTION("""COMPUTED_VALUE"""),4000.0)</f>
        <v>4000</v>
      </c>
      <c r="N1319" s="148">
        <f>IFERROR(__xludf.DUMMYFUNCTION("""COMPUTED_VALUE"""),9999999.0)</f>
        <v>9999999</v>
      </c>
      <c r="O1319" s="148">
        <f>IFERROR(__xludf.DUMMYFUNCTION("""COMPUTED_VALUE"""),99999.0)</f>
        <v>99999</v>
      </c>
      <c r="P1319" s="148">
        <f>IFERROR(__xludf.DUMMYFUNCTION("""COMPUTED_VALUE"""),99999.0)</f>
        <v>99999</v>
      </c>
      <c r="Q1319" s="148" t="str">
        <f>IFERROR(__xludf.DUMMYFUNCTION("""COMPUTED_VALUE"""),"[""bag_other""]")</f>
        <v>["bag_other"]</v>
      </c>
      <c r="R1319" s="148" t="str">
        <f>IFERROR(__xludf.DUMMYFUNCTION("""COMPUTED_VALUE"""),"[""19201094""]")</f>
        <v>["19201094"]</v>
      </c>
      <c r="S1319" s="148" t="str">
        <f>IFERROR(__xludf.DUMMYFUNCTION("""COMPUTED_VALUE"""),"{""effect"":[{""typ"":""rss"",""id"":11141032,""val"":10},{""typ"":""rss"",""id"":11141034,""val"":500}]}")</f>
        <v>{"effect":[{"typ":"rss","id":11141032,"val":10},{"typ":"rss","id":11141034,"val":500}]}</v>
      </c>
      <c r="T1319" s="148">
        <f>IFERROR(__xludf.DUMMYFUNCTION("""COMPUTED_VALUE"""),-1.0)</f>
        <v>-1</v>
      </c>
      <c r="U1319" s="148">
        <f>IFERROR(__xludf.DUMMYFUNCTION("""COMPUTED_VALUE"""),0.0)</f>
        <v>0</v>
      </c>
      <c r="V1319" s="148" t="str">
        <f>IFERROR(__xludf.DUMMYFUNCTION("""COMPUTED_VALUE"""),"[]")</f>
        <v>[]</v>
      </c>
      <c r="W1319" s="148">
        <f>IFERROR(__xludf.DUMMYFUNCTION("""COMPUTED_VALUE"""),1.1741002E7)</f>
        <v>11741002</v>
      </c>
      <c r="X1319" s="148">
        <f>IFERROR(__xludf.DUMMYFUNCTION("""COMPUTED_VALUE"""),0.0)</f>
        <v>0</v>
      </c>
      <c r="Y1319" s="148">
        <f>IFERROR(__xludf.DUMMYFUNCTION("""COMPUTED_VALUE"""),0.0)</f>
        <v>0</v>
      </c>
      <c r="Z1319" s="148"/>
    </row>
    <row r="1320">
      <c r="A1320" s="148">
        <f>IFERROR(__xludf.DUMMYFUNCTION("""COMPUTED_VALUE"""),1.1116255E7)</f>
        <v>11116255</v>
      </c>
      <c r="B1320" s="148" t="str">
        <f>IFERROR(__xludf.DUMMYFUNCTION("""COMPUTED_VALUE"""),"碎片-维罗妮卡")</f>
        <v>碎片-维罗妮卡</v>
      </c>
      <c r="C1320" s="148"/>
      <c r="D1320" s="148" t="str">
        <f>IFERROR(__xludf.DUMMYFUNCTION("""COMPUTED_VALUE"""),"hero_unit")</f>
        <v>hero_unit</v>
      </c>
      <c r="E1320" s="148">
        <f>IFERROR(__xludf.DUMMYFUNCTION("""COMPUTED_VALUE"""),0.0)</f>
        <v>0</v>
      </c>
      <c r="F1320" s="148">
        <f>IFERROR(__xludf.DUMMYFUNCTION("""COMPUTED_VALUE"""),411117.0)</f>
        <v>411117</v>
      </c>
      <c r="G1320" s="148">
        <f>IFERROR(__xludf.DUMMYFUNCTION("""COMPUTED_VALUE"""),1.5119046E7)</f>
        <v>15119046</v>
      </c>
      <c r="H1320" s="148">
        <f>IFERROR(__xludf.DUMMYFUNCTION("""COMPUTED_VALUE"""),1.5112564E7)</f>
        <v>15112564</v>
      </c>
      <c r="I1320" s="148" t="str">
        <f>IFERROR(__xludf.DUMMYFUNCTION("""COMPUTED_VALUE"""),"{}")</f>
        <v>{}</v>
      </c>
      <c r="J1320" s="148" t="str">
        <f>IFERROR(__xludf.DUMMYFUNCTION("""COMPUTED_VALUE"""),"{""typ"":""lc"",""txt"":""LC_ITEM_hero_fragment_name"",""args"":[{""typ"":""lc"",""txt"":""LC_HERO_hero_name_95""}]}")</f>
        <v>{"typ":"lc","txt":"LC_ITEM_hero_fragment_name","args":[{"typ":"lc","txt":"LC_HERO_hero_name_95"}]}</v>
      </c>
      <c r="K1320" s="148" t="str">
        <f>IFERROR(__xludf.DUMMYFUNCTION("""COMPUTED_VALUE"""),"{""typ"":""lc"",""txt"":""LC_ITEM_hero_fragment_desc""}")</f>
        <v>{"typ":"lc","txt":"LC_ITEM_hero_fragment_desc"}</v>
      </c>
      <c r="L1320" s="148" t="str">
        <f>IFERROR(__xludf.DUMMYFUNCTION("""COMPUTED_VALUE"""),"{}")</f>
        <v>{}</v>
      </c>
      <c r="M1320" s="148">
        <f>IFERROR(__xludf.DUMMYFUNCTION("""COMPUTED_VALUE"""),4000.0)</f>
        <v>4000</v>
      </c>
      <c r="N1320" s="148">
        <f>IFERROR(__xludf.DUMMYFUNCTION("""COMPUTED_VALUE"""),9999999.0)</f>
        <v>9999999</v>
      </c>
      <c r="O1320" s="148">
        <f>IFERROR(__xludf.DUMMYFUNCTION("""COMPUTED_VALUE"""),99999.0)</f>
        <v>99999</v>
      </c>
      <c r="P1320" s="148">
        <f>IFERROR(__xludf.DUMMYFUNCTION("""COMPUTED_VALUE"""),99999.0)</f>
        <v>99999</v>
      </c>
      <c r="Q1320" s="148" t="str">
        <f>IFERROR(__xludf.DUMMYFUNCTION("""COMPUTED_VALUE"""),"[""bag_other""]")</f>
        <v>["bag_other"]</v>
      </c>
      <c r="R1320" s="148" t="str">
        <f>IFERROR(__xludf.DUMMYFUNCTION("""COMPUTED_VALUE"""),"[""19201095""]")</f>
        <v>["19201095"]</v>
      </c>
      <c r="S1320" s="148" t="str">
        <f>IFERROR(__xludf.DUMMYFUNCTION("""COMPUTED_VALUE"""),"{""effect"":[{""typ"":""rss"",""id"":11141032,""val"":10},{""typ"":""rss"",""id"":11141034,""val"":500}]}")</f>
        <v>{"effect":[{"typ":"rss","id":11141032,"val":10},{"typ":"rss","id":11141034,"val":500}]}</v>
      </c>
      <c r="T1320" s="148">
        <f>IFERROR(__xludf.DUMMYFUNCTION("""COMPUTED_VALUE"""),-1.0)</f>
        <v>-1</v>
      </c>
      <c r="U1320" s="148">
        <f>IFERROR(__xludf.DUMMYFUNCTION("""COMPUTED_VALUE"""),0.0)</f>
        <v>0</v>
      </c>
      <c r="V1320" s="148" t="str">
        <f>IFERROR(__xludf.DUMMYFUNCTION("""COMPUTED_VALUE"""),"[]")</f>
        <v>[]</v>
      </c>
      <c r="W1320" s="148">
        <f>IFERROR(__xludf.DUMMYFUNCTION("""COMPUTED_VALUE"""),1.1741002E7)</f>
        <v>11741002</v>
      </c>
      <c r="X1320" s="148">
        <f>IFERROR(__xludf.DUMMYFUNCTION("""COMPUTED_VALUE"""),0.0)</f>
        <v>0</v>
      </c>
      <c r="Y1320" s="148">
        <f>IFERROR(__xludf.DUMMYFUNCTION("""COMPUTED_VALUE"""),0.0)</f>
        <v>0</v>
      </c>
      <c r="Z1320" s="148"/>
    </row>
    <row r="1321">
      <c r="A1321" s="148">
        <f>IFERROR(__xludf.DUMMYFUNCTION("""COMPUTED_VALUE"""),1.1116256E7)</f>
        <v>11116256</v>
      </c>
      <c r="B1321" s="148" t="str">
        <f>IFERROR(__xludf.DUMMYFUNCTION("""COMPUTED_VALUE"""),"碎片-诺亚")</f>
        <v>碎片-诺亚</v>
      </c>
      <c r="C1321" s="148"/>
      <c r="D1321" s="148" t="str">
        <f>IFERROR(__xludf.DUMMYFUNCTION("""COMPUTED_VALUE"""),"hero_unit")</f>
        <v>hero_unit</v>
      </c>
      <c r="E1321" s="148">
        <f>IFERROR(__xludf.DUMMYFUNCTION("""COMPUTED_VALUE"""),0.0)</f>
        <v>0</v>
      </c>
      <c r="F1321" s="148">
        <f>IFERROR(__xludf.DUMMYFUNCTION("""COMPUTED_VALUE"""),411117.0)</f>
        <v>411117</v>
      </c>
      <c r="G1321" s="148">
        <f>IFERROR(__xludf.DUMMYFUNCTION("""COMPUTED_VALUE"""),1.5119381E7)</f>
        <v>15119381</v>
      </c>
      <c r="H1321" s="148">
        <f>IFERROR(__xludf.DUMMYFUNCTION("""COMPUTED_VALUE"""),1.5112564E7)</f>
        <v>15112564</v>
      </c>
      <c r="I1321" s="148" t="str">
        <f>IFERROR(__xludf.DUMMYFUNCTION("""COMPUTED_VALUE"""),"{}")</f>
        <v>{}</v>
      </c>
      <c r="J1321" s="148" t="str">
        <f>IFERROR(__xludf.DUMMYFUNCTION("""COMPUTED_VALUE"""),"{""typ"":""lc"",""txt"":""LC_ITEM_hero_fragment_name"",""args"":[{""typ"":""lc"",""txt"":""LC_HERO_hero_name_96""}]}")</f>
        <v>{"typ":"lc","txt":"LC_ITEM_hero_fragment_name","args":[{"typ":"lc","txt":"LC_HERO_hero_name_96"}]}</v>
      </c>
      <c r="K1321" s="148" t="str">
        <f>IFERROR(__xludf.DUMMYFUNCTION("""COMPUTED_VALUE"""),"{""typ"":""lc"",""txt"":""LC_ITEM_hero_fragment_desc""}")</f>
        <v>{"typ":"lc","txt":"LC_ITEM_hero_fragment_desc"}</v>
      </c>
      <c r="L1321" s="148" t="str">
        <f>IFERROR(__xludf.DUMMYFUNCTION("""COMPUTED_VALUE"""),"{}")</f>
        <v>{}</v>
      </c>
      <c r="M1321" s="148">
        <f>IFERROR(__xludf.DUMMYFUNCTION("""COMPUTED_VALUE"""),4000.0)</f>
        <v>4000</v>
      </c>
      <c r="N1321" s="148">
        <f>IFERROR(__xludf.DUMMYFUNCTION("""COMPUTED_VALUE"""),9999999.0)</f>
        <v>9999999</v>
      </c>
      <c r="O1321" s="148">
        <f>IFERROR(__xludf.DUMMYFUNCTION("""COMPUTED_VALUE"""),99999.0)</f>
        <v>99999</v>
      </c>
      <c r="P1321" s="148">
        <f>IFERROR(__xludf.DUMMYFUNCTION("""COMPUTED_VALUE"""),99999.0)</f>
        <v>99999</v>
      </c>
      <c r="Q1321" s="148" t="str">
        <f>IFERROR(__xludf.DUMMYFUNCTION("""COMPUTED_VALUE"""),"[""bag_other""]")</f>
        <v>["bag_other"]</v>
      </c>
      <c r="R1321" s="148" t="str">
        <f>IFERROR(__xludf.DUMMYFUNCTION("""COMPUTED_VALUE"""),"[""19201096""]")</f>
        <v>["19201096"]</v>
      </c>
      <c r="S1321" s="148" t="str">
        <f>IFERROR(__xludf.DUMMYFUNCTION("""COMPUTED_VALUE"""),"{""effect"":[{""typ"":""rss"",""id"":11141032,""val"":10},{""typ"":""rss"",""id"":11141034,""val"":500}]}")</f>
        <v>{"effect":[{"typ":"rss","id":11141032,"val":10},{"typ":"rss","id":11141034,"val":500}]}</v>
      </c>
      <c r="T1321" s="148">
        <f>IFERROR(__xludf.DUMMYFUNCTION("""COMPUTED_VALUE"""),-1.0)</f>
        <v>-1</v>
      </c>
      <c r="U1321" s="148">
        <f>IFERROR(__xludf.DUMMYFUNCTION("""COMPUTED_VALUE"""),0.0)</f>
        <v>0</v>
      </c>
      <c r="V1321" s="148" t="str">
        <f>IFERROR(__xludf.DUMMYFUNCTION("""COMPUTED_VALUE"""),"[]")</f>
        <v>[]</v>
      </c>
      <c r="W1321" s="148">
        <f>IFERROR(__xludf.DUMMYFUNCTION("""COMPUTED_VALUE"""),1.1741002E7)</f>
        <v>11741002</v>
      </c>
      <c r="X1321" s="148">
        <f>IFERROR(__xludf.DUMMYFUNCTION("""COMPUTED_VALUE"""),0.0)</f>
        <v>0</v>
      </c>
      <c r="Y1321" s="148">
        <f>IFERROR(__xludf.DUMMYFUNCTION("""COMPUTED_VALUE"""),0.0)</f>
        <v>0</v>
      </c>
      <c r="Z1321" s="148"/>
    </row>
    <row r="1322">
      <c r="A1322" s="148">
        <f>IFERROR(__xludf.DUMMYFUNCTION("""COMPUTED_VALUE"""),1.1116257E7)</f>
        <v>11116257</v>
      </c>
      <c r="B1322" s="148" t="str">
        <f>IFERROR(__xludf.DUMMYFUNCTION("""COMPUTED_VALUE"""),"碎片-维克")</f>
        <v>碎片-维克</v>
      </c>
      <c r="C1322" s="148"/>
      <c r="D1322" s="148" t="str">
        <f>IFERROR(__xludf.DUMMYFUNCTION("""COMPUTED_VALUE"""),"hero_unit")</f>
        <v>hero_unit</v>
      </c>
      <c r="E1322" s="148">
        <f>IFERROR(__xludf.DUMMYFUNCTION("""COMPUTED_VALUE"""),0.0)</f>
        <v>0</v>
      </c>
      <c r="F1322" s="148">
        <f>IFERROR(__xludf.DUMMYFUNCTION("""COMPUTED_VALUE"""),411117.0)</f>
        <v>411117</v>
      </c>
      <c r="G1322" s="148">
        <f>IFERROR(__xludf.DUMMYFUNCTION("""COMPUTED_VALUE"""),1.5119702E7)</f>
        <v>15119702</v>
      </c>
      <c r="H1322" s="148">
        <f>IFERROR(__xludf.DUMMYFUNCTION("""COMPUTED_VALUE"""),1.5112564E7)</f>
        <v>15112564</v>
      </c>
      <c r="I1322" s="148" t="str">
        <f>IFERROR(__xludf.DUMMYFUNCTION("""COMPUTED_VALUE"""),"{}")</f>
        <v>{}</v>
      </c>
      <c r="J1322" s="148" t="str">
        <f>IFERROR(__xludf.DUMMYFUNCTION("""COMPUTED_VALUE"""),"{""typ"":""lc"",""txt"":""LC_ITEM_hero_fragment_name"",""args"":[{""typ"":""lc"",""txt"":""LC_HERO_hero_name_97""}]}")</f>
        <v>{"typ":"lc","txt":"LC_ITEM_hero_fragment_name","args":[{"typ":"lc","txt":"LC_HERO_hero_name_97"}]}</v>
      </c>
      <c r="K1322" s="148" t="str">
        <f>IFERROR(__xludf.DUMMYFUNCTION("""COMPUTED_VALUE"""),"{""typ"":""lc"",""txt"":""LC_ITEM_hero_fragment_desc""}")</f>
        <v>{"typ":"lc","txt":"LC_ITEM_hero_fragment_desc"}</v>
      </c>
      <c r="L1322" s="148" t="str">
        <f>IFERROR(__xludf.DUMMYFUNCTION("""COMPUTED_VALUE"""),"{}")</f>
        <v>{}</v>
      </c>
      <c r="M1322" s="148">
        <f>IFERROR(__xludf.DUMMYFUNCTION("""COMPUTED_VALUE"""),4000.0)</f>
        <v>4000</v>
      </c>
      <c r="N1322" s="148">
        <f>IFERROR(__xludf.DUMMYFUNCTION("""COMPUTED_VALUE"""),9999999.0)</f>
        <v>9999999</v>
      </c>
      <c r="O1322" s="148">
        <f>IFERROR(__xludf.DUMMYFUNCTION("""COMPUTED_VALUE"""),99999.0)</f>
        <v>99999</v>
      </c>
      <c r="P1322" s="148">
        <f>IFERROR(__xludf.DUMMYFUNCTION("""COMPUTED_VALUE"""),99999.0)</f>
        <v>99999</v>
      </c>
      <c r="Q1322" s="148" t="str">
        <f>IFERROR(__xludf.DUMMYFUNCTION("""COMPUTED_VALUE"""),"[""bag_other""]")</f>
        <v>["bag_other"]</v>
      </c>
      <c r="R1322" s="148" t="str">
        <f>IFERROR(__xludf.DUMMYFUNCTION("""COMPUTED_VALUE"""),"[""19201097""]")</f>
        <v>["19201097"]</v>
      </c>
      <c r="S1322" s="148" t="str">
        <f>IFERROR(__xludf.DUMMYFUNCTION("""COMPUTED_VALUE"""),"{""effect"":[{""typ"":""rss"",""id"":11141032,""val"":10},{""typ"":""rss"",""id"":11141034,""val"":500}]}")</f>
        <v>{"effect":[{"typ":"rss","id":11141032,"val":10},{"typ":"rss","id":11141034,"val":500}]}</v>
      </c>
      <c r="T1322" s="148">
        <f>IFERROR(__xludf.DUMMYFUNCTION("""COMPUTED_VALUE"""),-1.0)</f>
        <v>-1</v>
      </c>
      <c r="U1322" s="148">
        <f>IFERROR(__xludf.DUMMYFUNCTION("""COMPUTED_VALUE"""),0.0)</f>
        <v>0</v>
      </c>
      <c r="V1322" s="148" t="str">
        <f>IFERROR(__xludf.DUMMYFUNCTION("""COMPUTED_VALUE"""),"[]")</f>
        <v>[]</v>
      </c>
      <c r="W1322" s="148">
        <f>IFERROR(__xludf.DUMMYFUNCTION("""COMPUTED_VALUE"""),1.1741002E7)</f>
        <v>11741002</v>
      </c>
      <c r="X1322" s="148">
        <f>IFERROR(__xludf.DUMMYFUNCTION("""COMPUTED_VALUE"""),0.0)</f>
        <v>0</v>
      </c>
      <c r="Y1322" s="148">
        <f>IFERROR(__xludf.DUMMYFUNCTION("""COMPUTED_VALUE"""),0.0)</f>
        <v>0</v>
      </c>
      <c r="Z1322" s="148"/>
    </row>
    <row r="1323">
      <c r="A1323" s="148">
        <f>IFERROR(__xludf.DUMMYFUNCTION("""COMPUTED_VALUE"""),1.1116258E7)</f>
        <v>11116258</v>
      </c>
      <c r="B1323" s="148" t="str">
        <f>IFERROR(__xludf.DUMMYFUNCTION("""COMPUTED_VALUE"""),"碎片-艾玛")</f>
        <v>碎片-艾玛</v>
      </c>
      <c r="C1323" s="148"/>
      <c r="D1323" s="148" t="str">
        <f>IFERROR(__xludf.DUMMYFUNCTION("""COMPUTED_VALUE"""),"hero_unit")</f>
        <v>hero_unit</v>
      </c>
      <c r="E1323" s="148">
        <f>IFERROR(__xludf.DUMMYFUNCTION("""COMPUTED_VALUE"""),0.0)</f>
        <v>0</v>
      </c>
      <c r="F1323" s="148">
        <f>IFERROR(__xludf.DUMMYFUNCTION("""COMPUTED_VALUE"""),411117.0)</f>
        <v>411117</v>
      </c>
      <c r="G1323" s="148">
        <f>IFERROR(__xludf.DUMMYFUNCTION("""COMPUTED_VALUE"""),1.51100319E8)</f>
        <v>151100319</v>
      </c>
      <c r="H1323" s="148">
        <f>IFERROR(__xludf.DUMMYFUNCTION("""COMPUTED_VALUE"""),1.5112564E7)</f>
        <v>15112564</v>
      </c>
      <c r="I1323" s="148" t="str">
        <f>IFERROR(__xludf.DUMMYFUNCTION("""COMPUTED_VALUE"""),"{}")</f>
        <v>{}</v>
      </c>
      <c r="J1323" s="148" t="str">
        <f>IFERROR(__xludf.DUMMYFUNCTION("""COMPUTED_VALUE"""),"{""typ"":""lc"",""txt"":""LC_ITEM_hero_fragment_name"",""args"":[{""typ"":""lc"",""txt"":""LC_HERO_hero_name_98""}]}")</f>
        <v>{"typ":"lc","txt":"LC_ITEM_hero_fragment_name","args":[{"typ":"lc","txt":"LC_HERO_hero_name_98"}]}</v>
      </c>
      <c r="K1323" s="148" t="str">
        <f>IFERROR(__xludf.DUMMYFUNCTION("""COMPUTED_VALUE"""),"{""typ"":""lc"",""txt"":""LC_ITEM_hero_fragment_desc""}")</f>
        <v>{"typ":"lc","txt":"LC_ITEM_hero_fragment_desc"}</v>
      </c>
      <c r="L1323" s="148" t="str">
        <f>IFERROR(__xludf.DUMMYFUNCTION("""COMPUTED_VALUE"""),"{}")</f>
        <v>{}</v>
      </c>
      <c r="M1323" s="148">
        <f>IFERROR(__xludf.DUMMYFUNCTION("""COMPUTED_VALUE"""),4000.0)</f>
        <v>4000</v>
      </c>
      <c r="N1323" s="148">
        <f>IFERROR(__xludf.DUMMYFUNCTION("""COMPUTED_VALUE"""),9999999.0)</f>
        <v>9999999</v>
      </c>
      <c r="O1323" s="148">
        <f>IFERROR(__xludf.DUMMYFUNCTION("""COMPUTED_VALUE"""),99999.0)</f>
        <v>99999</v>
      </c>
      <c r="P1323" s="148">
        <f>IFERROR(__xludf.DUMMYFUNCTION("""COMPUTED_VALUE"""),99999.0)</f>
        <v>99999</v>
      </c>
      <c r="Q1323" s="148" t="str">
        <f>IFERROR(__xludf.DUMMYFUNCTION("""COMPUTED_VALUE"""),"[""bag_other""]")</f>
        <v>["bag_other"]</v>
      </c>
      <c r="R1323" s="148" t="str">
        <f>IFERROR(__xludf.DUMMYFUNCTION("""COMPUTED_VALUE"""),"[""19201098""]")</f>
        <v>["19201098"]</v>
      </c>
      <c r="S1323" s="148" t="str">
        <f>IFERROR(__xludf.DUMMYFUNCTION("""COMPUTED_VALUE"""),"{""effect"":[{""typ"":""rss"",""id"":11141032,""val"":10},{""typ"":""rss"",""id"":11141034,""val"":500}]}")</f>
        <v>{"effect":[{"typ":"rss","id":11141032,"val":10},{"typ":"rss","id":11141034,"val":500}]}</v>
      </c>
      <c r="T1323" s="148">
        <f>IFERROR(__xludf.DUMMYFUNCTION("""COMPUTED_VALUE"""),-1.0)</f>
        <v>-1</v>
      </c>
      <c r="U1323" s="148">
        <f>IFERROR(__xludf.DUMMYFUNCTION("""COMPUTED_VALUE"""),0.0)</f>
        <v>0</v>
      </c>
      <c r="V1323" s="148" t="str">
        <f>IFERROR(__xludf.DUMMYFUNCTION("""COMPUTED_VALUE"""),"[]")</f>
        <v>[]</v>
      </c>
      <c r="W1323" s="148">
        <f>IFERROR(__xludf.DUMMYFUNCTION("""COMPUTED_VALUE"""),1.1741002E7)</f>
        <v>11741002</v>
      </c>
      <c r="X1323" s="148">
        <f>IFERROR(__xludf.DUMMYFUNCTION("""COMPUTED_VALUE"""),0.0)</f>
        <v>0</v>
      </c>
      <c r="Y1323" s="148">
        <f>IFERROR(__xludf.DUMMYFUNCTION("""COMPUTED_VALUE"""),0.0)</f>
        <v>0</v>
      </c>
      <c r="Z1323" s="148"/>
    </row>
    <row r="1324">
      <c r="A1324" s="148">
        <f>IFERROR(__xludf.DUMMYFUNCTION("""COMPUTED_VALUE"""),1.1116259E7)</f>
        <v>11116259</v>
      </c>
      <c r="B1324" s="148" t="str">
        <f>IFERROR(__xludf.DUMMYFUNCTION("""COMPUTED_VALUE"""),"碎片-萨姆")</f>
        <v>碎片-萨姆</v>
      </c>
      <c r="C1324" s="148"/>
      <c r="D1324" s="148" t="str">
        <f>IFERROR(__xludf.DUMMYFUNCTION("""COMPUTED_VALUE"""),"hero_unit")</f>
        <v>hero_unit</v>
      </c>
      <c r="E1324" s="148">
        <f>IFERROR(__xludf.DUMMYFUNCTION("""COMPUTED_VALUE"""),0.0)</f>
        <v>0</v>
      </c>
      <c r="F1324" s="148">
        <f>IFERROR(__xludf.DUMMYFUNCTION("""COMPUTED_VALUE"""),411117.0)</f>
        <v>411117</v>
      </c>
      <c r="G1324" s="148">
        <f>IFERROR(__xludf.DUMMYFUNCTION("""COMPUTED_VALUE"""),1.51100329E8)</f>
        <v>151100329</v>
      </c>
      <c r="H1324" s="148">
        <f>IFERROR(__xludf.DUMMYFUNCTION("""COMPUTED_VALUE"""),1.5112564E7)</f>
        <v>15112564</v>
      </c>
      <c r="I1324" s="148" t="str">
        <f>IFERROR(__xludf.DUMMYFUNCTION("""COMPUTED_VALUE"""),"{}")</f>
        <v>{}</v>
      </c>
      <c r="J1324" s="148" t="str">
        <f>IFERROR(__xludf.DUMMYFUNCTION("""COMPUTED_VALUE"""),"{""typ"":""lc"",""txt"":""LC_ITEM_hero_fragment_name"",""args"":[{""typ"":""lc"",""txt"":""LC_HERO_hero_name_99""}]}")</f>
        <v>{"typ":"lc","txt":"LC_ITEM_hero_fragment_name","args":[{"typ":"lc","txt":"LC_HERO_hero_name_99"}]}</v>
      </c>
      <c r="K1324" s="148" t="str">
        <f>IFERROR(__xludf.DUMMYFUNCTION("""COMPUTED_VALUE"""),"{""typ"":""lc"",""txt"":""LC_ITEM_hero_fragment_desc""}")</f>
        <v>{"typ":"lc","txt":"LC_ITEM_hero_fragment_desc"}</v>
      </c>
      <c r="L1324" s="148" t="str">
        <f>IFERROR(__xludf.DUMMYFUNCTION("""COMPUTED_VALUE"""),"{}")</f>
        <v>{}</v>
      </c>
      <c r="M1324" s="148">
        <f>IFERROR(__xludf.DUMMYFUNCTION("""COMPUTED_VALUE"""),4000.0)</f>
        <v>4000</v>
      </c>
      <c r="N1324" s="148">
        <f>IFERROR(__xludf.DUMMYFUNCTION("""COMPUTED_VALUE"""),9999999.0)</f>
        <v>9999999</v>
      </c>
      <c r="O1324" s="148">
        <f>IFERROR(__xludf.DUMMYFUNCTION("""COMPUTED_VALUE"""),99999.0)</f>
        <v>99999</v>
      </c>
      <c r="P1324" s="148">
        <f>IFERROR(__xludf.DUMMYFUNCTION("""COMPUTED_VALUE"""),99999.0)</f>
        <v>99999</v>
      </c>
      <c r="Q1324" s="148" t="str">
        <f>IFERROR(__xludf.DUMMYFUNCTION("""COMPUTED_VALUE"""),"[""bag_other""]")</f>
        <v>["bag_other"]</v>
      </c>
      <c r="R1324" s="148" t="str">
        <f>IFERROR(__xludf.DUMMYFUNCTION("""COMPUTED_VALUE"""),"[""19201099""]")</f>
        <v>["19201099"]</v>
      </c>
      <c r="S1324" s="148" t="str">
        <f>IFERROR(__xludf.DUMMYFUNCTION("""COMPUTED_VALUE"""),"{""effect"":[{""typ"":""rss"",""id"":11141032,""val"":10},{""typ"":""rss"",""id"":11141034,""val"":500}]}")</f>
        <v>{"effect":[{"typ":"rss","id":11141032,"val":10},{"typ":"rss","id":11141034,"val":500}]}</v>
      </c>
      <c r="T1324" s="148">
        <f>IFERROR(__xludf.DUMMYFUNCTION("""COMPUTED_VALUE"""),-1.0)</f>
        <v>-1</v>
      </c>
      <c r="U1324" s="148">
        <f>IFERROR(__xludf.DUMMYFUNCTION("""COMPUTED_VALUE"""),0.0)</f>
        <v>0</v>
      </c>
      <c r="V1324" s="148" t="str">
        <f>IFERROR(__xludf.DUMMYFUNCTION("""COMPUTED_VALUE"""),"[]")</f>
        <v>[]</v>
      </c>
      <c r="W1324" s="148">
        <f>IFERROR(__xludf.DUMMYFUNCTION("""COMPUTED_VALUE"""),1.1741002E7)</f>
        <v>11741002</v>
      </c>
      <c r="X1324" s="148">
        <f>IFERROR(__xludf.DUMMYFUNCTION("""COMPUTED_VALUE"""),0.0)</f>
        <v>0</v>
      </c>
      <c r="Y1324" s="148">
        <f>IFERROR(__xludf.DUMMYFUNCTION("""COMPUTED_VALUE"""),0.0)</f>
        <v>0</v>
      </c>
      <c r="Z1324" s="148"/>
    </row>
    <row r="1325">
      <c r="A1325" s="148">
        <f>IFERROR(__xludf.DUMMYFUNCTION("""COMPUTED_VALUE"""),1.111626E7)</f>
        <v>11116260</v>
      </c>
      <c r="B1325" s="148" t="str">
        <f>IFERROR(__xludf.DUMMYFUNCTION("""COMPUTED_VALUE"""),"碎片-洪大师")</f>
        <v>碎片-洪大师</v>
      </c>
      <c r="C1325" s="148"/>
      <c r="D1325" s="148" t="str">
        <f>IFERROR(__xludf.DUMMYFUNCTION("""COMPUTED_VALUE"""),"hero_unit")</f>
        <v>hero_unit</v>
      </c>
      <c r="E1325" s="148">
        <f>IFERROR(__xludf.DUMMYFUNCTION("""COMPUTED_VALUE"""),0.0)</f>
        <v>0</v>
      </c>
      <c r="F1325" s="148">
        <f>IFERROR(__xludf.DUMMYFUNCTION("""COMPUTED_VALUE"""),411117.0)</f>
        <v>411117</v>
      </c>
      <c r="G1325" s="148">
        <f>IFERROR(__xludf.DUMMYFUNCTION("""COMPUTED_VALUE"""),1.51100477E8)</f>
        <v>151100477</v>
      </c>
      <c r="H1325" s="148">
        <f>IFERROR(__xludf.DUMMYFUNCTION("""COMPUTED_VALUE"""),1.5112564E7)</f>
        <v>15112564</v>
      </c>
      <c r="I1325" s="148" t="str">
        <f>IFERROR(__xludf.DUMMYFUNCTION("""COMPUTED_VALUE"""),"{}")</f>
        <v>{}</v>
      </c>
      <c r="J1325" s="148" t="str">
        <f>IFERROR(__xludf.DUMMYFUNCTION("""COMPUTED_VALUE"""),"{""typ"":""lc"",""txt"":""LC_ITEM_hero_fragment_name"",""args"":[{""typ"":""lc"",""txt"":""LC_HERO_hero_name_100""}]}")</f>
        <v>{"typ":"lc","txt":"LC_ITEM_hero_fragment_name","args":[{"typ":"lc","txt":"LC_HERO_hero_name_100"}]}</v>
      </c>
      <c r="K1325" s="148" t="str">
        <f>IFERROR(__xludf.DUMMYFUNCTION("""COMPUTED_VALUE"""),"{""typ"":""lc"",""txt"":""LC_ITEM_hero_fragment_desc""}")</f>
        <v>{"typ":"lc","txt":"LC_ITEM_hero_fragment_desc"}</v>
      </c>
      <c r="L1325" s="148" t="str">
        <f>IFERROR(__xludf.DUMMYFUNCTION("""COMPUTED_VALUE"""),"{}")</f>
        <v>{}</v>
      </c>
      <c r="M1325" s="148">
        <f>IFERROR(__xludf.DUMMYFUNCTION("""COMPUTED_VALUE"""),4000.0)</f>
        <v>4000</v>
      </c>
      <c r="N1325" s="148">
        <f>IFERROR(__xludf.DUMMYFUNCTION("""COMPUTED_VALUE"""),9999999.0)</f>
        <v>9999999</v>
      </c>
      <c r="O1325" s="148">
        <f>IFERROR(__xludf.DUMMYFUNCTION("""COMPUTED_VALUE"""),99999.0)</f>
        <v>99999</v>
      </c>
      <c r="P1325" s="148">
        <f>IFERROR(__xludf.DUMMYFUNCTION("""COMPUTED_VALUE"""),99999.0)</f>
        <v>99999</v>
      </c>
      <c r="Q1325" s="148" t="str">
        <f>IFERROR(__xludf.DUMMYFUNCTION("""COMPUTED_VALUE"""),"[""bag_other""]")</f>
        <v>["bag_other"]</v>
      </c>
      <c r="R1325" s="148" t="str">
        <f>IFERROR(__xludf.DUMMYFUNCTION("""COMPUTED_VALUE"""),"[""19201100""]")</f>
        <v>["19201100"]</v>
      </c>
      <c r="S1325" s="148" t="str">
        <f>IFERROR(__xludf.DUMMYFUNCTION("""COMPUTED_VALUE"""),"{""effect"":[{""typ"":""rss"",""id"":11141032,""val"":10},{""typ"":""rss"",""id"":11141034,""val"":500}]}")</f>
        <v>{"effect":[{"typ":"rss","id":11141032,"val":10},{"typ":"rss","id":11141034,"val":500}]}</v>
      </c>
      <c r="T1325" s="148">
        <f>IFERROR(__xludf.DUMMYFUNCTION("""COMPUTED_VALUE"""),-1.0)</f>
        <v>-1</v>
      </c>
      <c r="U1325" s="148">
        <f>IFERROR(__xludf.DUMMYFUNCTION("""COMPUTED_VALUE"""),0.0)</f>
        <v>0</v>
      </c>
      <c r="V1325" s="148" t="str">
        <f>IFERROR(__xludf.DUMMYFUNCTION("""COMPUTED_VALUE"""),"[]")</f>
        <v>[]</v>
      </c>
      <c r="W1325" s="148">
        <f>IFERROR(__xludf.DUMMYFUNCTION("""COMPUTED_VALUE"""),1.1741002E7)</f>
        <v>11741002</v>
      </c>
      <c r="X1325" s="148">
        <f>IFERROR(__xludf.DUMMYFUNCTION("""COMPUTED_VALUE"""),0.0)</f>
        <v>0</v>
      </c>
      <c r="Y1325" s="148">
        <f>IFERROR(__xludf.DUMMYFUNCTION("""COMPUTED_VALUE"""),0.0)</f>
        <v>0</v>
      </c>
      <c r="Z1325" s="148"/>
    </row>
    <row r="1326">
      <c r="A1326" s="148">
        <f>IFERROR(__xludf.DUMMYFUNCTION("""COMPUTED_VALUE"""),1.1116261E7)</f>
        <v>11116261</v>
      </c>
      <c r="B1326" s="148" t="str">
        <f>IFERROR(__xludf.DUMMYFUNCTION("""COMPUTED_VALUE"""),"碎片-布莱克")</f>
        <v>碎片-布莱克</v>
      </c>
      <c r="C1326" s="148"/>
      <c r="D1326" s="148" t="str">
        <f>IFERROR(__xludf.DUMMYFUNCTION("""COMPUTED_VALUE"""),"hero_unit")</f>
        <v>hero_unit</v>
      </c>
      <c r="E1326" s="148">
        <f>IFERROR(__xludf.DUMMYFUNCTION("""COMPUTED_VALUE"""),0.0)</f>
        <v>0</v>
      </c>
      <c r="F1326" s="148">
        <f>IFERROR(__xludf.DUMMYFUNCTION("""COMPUTED_VALUE"""),411117.0)</f>
        <v>411117</v>
      </c>
      <c r="G1326" s="148">
        <f>IFERROR(__xludf.DUMMYFUNCTION("""COMPUTED_VALUE"""),1.51100559E8)</f>
        <v>151100559</v>
      </c>
      <c r="H1326" s="148">
        <f>IFERROR(__xludf.DUMMYFUNCTION("""COMPUTED_VALUE"""),1.5112564E7)</f>
        <v>15112564</v>
      </c>
      <c r="I1326" s="148" t="str">
        <f>IFERROR(__xludf.DUMMYFUNCTION("""COMPUTED_VALUE"""),"{}")</f>
        <v>{}</v>
      </c>
      <c r="J1326" s="148" t="str">
        <f>IFERROR(__xludf.DUMMYFUNCTION("""COMPUTED_VALUE"""),"{""typ"":""lc"",""txt"":""LC_ITEM_hero_fragment_name"",""args"":[{""typ"":""lc"",""txt"":""LC_HERO_hero_name_101""}]}")</f>
        <v>{"typ":"lc","txt":"LC_ITEM_hero_fragment_name","args":[{"typ":"lc","txt":"LC_HERO_hero_name_101"}]}</v>
      </c>
      <c r="K1326" s="148" t="str">
        <f>IFERROR(__xludf.DUMMYFUNCTION("""COMPUTED_VALUE"""),"{""typ"":""lc"",""txt"":""LC_ITEM_hero_fragment_desc""}")</f>
        <v>{"typ":"lc","txt":"LC_ITEM_hero_fragment_desc"}</v>
      </c>
      <c r="L1326" s="148" t="str">
        <f>IFERROR(__xludf.DUMMYFUNCTION("""COMPUTED_VALUE"""),"{}")</f>
        <v>{}</v>
      </c>
      <c r="M1326" s="148">
        <f>IFERROR(__xludf.DUMMYFUNCTION("""COMPUTED_VALUE"""),4000.0)</f>
        <v>4000</v>
      </c>
      <c r="N1326" s="148">
        <f>IFERROR(__xludf.DUMMYFUNCTION("""COMPUTED_VALUE"""),9999999.0)</f>
        <v>9999999</v>
      </c>
      <c r="O1326" s="148">
        <f>IFERROR(__xludf.DUMMYFUNCTION("""COMPUTED_VALUE"""),99999.0)</f>
        <v>99999</v>
      </c>
      <c r="P1326" s="148">
        <f>IFERROR(__xludf.DUMMYFUNCTION("""COMPUTED_VALUE"""),99999.0)</f>
        <v>99999</v>
      </c>
      <c r="Q1326" s="148" t="str">
        <f>IFERROR(__xludf.DUMMYFUNCTION("""COMPUTED_VALUE"""),"[""bag_other""]")</f>
        <v>["bag_other"]</v>
      </c>
      <c r="R1326" s="148" t="str">
        <f>IFERROR(__xludf.DUMMYFUNCTION("""COMPUTED_VALUE"""),"[""19201101""]")</f>
        <v>["19201101"]</v>
      </c>
      <c r="S1326" s="148" t="str">
        <f>IFERROR(__xludf.DUMMYFUNCTION("""COMPUTED_VALUE"""),"{""effect"":[{""typ"":""rss"",""id"":11141032,""val"":10},{""typ"":""rss"",""id"":11141034,""val"":500}]}")</f>
        <v>{"effect":[{"typ":"rss","id":11141032,"val":10},{"typ":"rss","id":11141034,"val":500}]}</v>
      </c>
      <c r="T1326" s="148">
        <f>IFERROR(__xludf.DUMMYFUNCTION("""COMPUTED_VALUE"""),-1.0)</f>
        <v>-1</v>
      </c>
      <c r="U1326" s="148">
        <f>IFERROR(__xludf.DUMMYFUNCTION("""COMPUTED_VALUE"""),0.0)</f>
        <v>0</v>
      </c>
      <c r="V1326" s="148" t="str">
        <f>IFERROR(__xludf.DUMMYFUNCTION("""COMPUTED_VALUE"""),"[]")</f>
        <v>[]</v>
      </c>
      <c r="W1326" s="148">
        <f>IFERROR(__xludf.DUMMYFUNCTION("""COMPUTED_VALUE"""),1.1741002E7)</f>
        <v>11741002</v>
      </c>
      <c r="X1326" s="148">
        <f>IFERROR(__xludf.DUMMYFUNCTION("""COMPUTED_VALUE"""),0.0)</f>
        <v>0</v>
      </c>
      <c r="Y1326" s="148">
        <f>IFERROR(__xludf.DUMMYFUNCTION("""COMPUTED_VALUE"""),0.0)</f>
        <v>0</v>
      </c>
      <c r="Z1326" s="148"/>
    </row>
    <row r="1327">
      <c r="A1327" s="148">
        <f>IFERROR(__xludf.DUMMYFUNCTION("""COMPUTED_VALUE"""),1.1116262E7)</f>
        <v>11116262</v>
      </c>
      <c r="B1327" s="148" t="str">
        <f>IFERROR(__xludf.DUMMYFUNCTION("""COMPUTED_VALUE"""),"碎片-夏洛克罗西1")</f>
        <v>碎片-夏洛克罗西1</v>
      </c>
      <c r="C1327" s="148"/>
      <c r="D1327" s="148" t="str">
        <f>IFERROR(__xludf.DUMMYFUNCTION("""COMPUTED_VALUE"""),"hero_unit")</f>
        <v>hero_unit</v>
      </c>
      <c r="E1327" s="148">
        <f>IFERROR(__xludf.DUMMYFUNCTION("""COMPUTED_VALUE"""),0.0)</f>
        <v>0</v>
      </c>
      <c r="F1327" s="148">
        <f>IFERROR(__xludf.DUMMYFUNCTION("""COMPUTED_VALUE"""),411117.0)</f>
        <v>411117</v>
      </c>
      <c r="G1327" s="148">
        <f>IFERROR(__xludf.DUMMYFUNCTION("""COMPUTED_VALUE"""),1.51100717E8)</f>
        <v>151100717</v>
      </c>
      <c r="H1327" s="148">
        <f>IFERROR(__xludf.DUMMYFUNCTION("""COMPUTED_VALUE"""),1.5112564E7)</f>
        <v>15112564</v>
      </c>
      <c r="I1327" s="148" t="str">
        <f>IFERROR(__xludf.DUMMYFUNCTION("""COMPUTED_VALUE"""),"{}")</f>
        <v>{}</v>
      </c>
      <c r="J1327" s="148" t="str">
        <f>IFERROR(__xludf.DUMMYFUNCTION("""COMPUTED_VALUE"""),"{""typ"":""lc"",""txt"":""LC_ITEM_hero_fragment_name"",""args"":[{""typ"":""lc"",""txt"":""LC_HERO_hero_name_102""}]}")</f>
        <v>{"typ":"lc","txt":"LC_ITEM_hero_fragment_name","args":[{"typ":"lc","txt":"LC_HERO_hero_name_102"}]}</v>
      </c>
      <c r="K1327" s="148" t="str">
        <f>IFERROR(__xludf.DUMMYFUNCTION("""COMPUTED_VALUE"""),"{""typ"":""lc"",""txt"":""LC_ITEM_hero_fragment_desc""}")</f>
        <v>{"typ":"lc","txt":"LC_ITEM_hero_fragment_desc"}</v>
      </c>
      <c r="L1327" s="148" t="str">
        <f>IFERROR(__xludf.DUMMYFUNCTION("""COMPUTED_VALUE"""),"{}")</f>
        <v>{}</v>
      </c>
      <c r="M1327" s="148">
        <f>IFERROR(__xludf.DUMMYFUNCTION("""COMPUTED_VALUE"""),4000.0)</f>
        <v>4000</v>
      </c>
      <c r="N1327" s="148">
        <f>IFERROR(__xludf.DUMMYFUNCTION("""COMPUTED_VALUE"""),9999999.0)</f>
        <v>9999999</v>
      </c>
      <c r="O1327" s="148">
        <f>IFERROR(__xludf.DUMMYFUNCTION("""COMPUTED_VALUE"""),99999.0)</f>
        <v>99999</v>
      </c>
      <c r="P1327" s="148">
        <f>IFERROR(__xludf.DUMMYFUNCTION("""COMPUTED_VALUE"""),99999.0)</f>
        <v>99999</v>
      </c>
      <c r="Q1327" s="148" t="str">
        <f>IFERROR(__xludf.DUMMYFUNCTION("""COMPUTED_VALUE"""),"[""bag_other""]")</f>
        <v>["bag_other"]</v>
      </c>
      <c r="R1327" s="148" t="str">
        <f>IFERROR(__xludf.DUMMYFUNCTION("""COMPUTED_VALUE"""),"[""19201102""]")</f>
        <v>["19201102"]</v>
      </c>
      <c r="S1327" s="148" t="str">
        <f>IFERROR(__xludf.DUMMYFUNCTION("""COMPUTED_VALUE"""),"{""effect"":[{""typ"":""rss"",""id"":11141032,""val"":10},{""typ"":""rss"",""id"":11141034,""val"":500}]}")</f>
        <v>{"effect":[{"typ":"rss","id":11141032,"val":10},{"typ":"rss","id":11141034,"val":500}]}</v>
      </c>
      <c r="T1327" s="148">
        <f>IFERROR(__xludf.DUMMYFUNCTION("""COMPUTED_VALUE"""),-1.0)</f>
        <v>-1</v>
      </c>
      <c r="U1327" s="148">
        <f>IFERROR(__xludf.DUMMYFUNCTION("""COMPUTED_VALUE"""),0.0)</f>
        <v>0</v>
      </c>
      <c r="V1327" s="148" t="str">
        <f>IFERROR(__xludf.DUMMYFUNCTION("""COMPUTED_VALUE"""),"[]")</f>
        <v>[]</v>
      </c>
      <c r="W1327" s="148">
        <f>IFERROR(__xludf.DUMMYFUNCTION("""COMPUTED_VALUE"""),1.1741002E7)</f>
        <v>11741002</v>
      </c>
      <c r="X1327" s="148">
        <f>IFERROR(__xludf.DUMMYFUNCTION("""COMPUTED_VALUE"""),0.0)</f>
        <v>0</v>
      </c>
      <c r="Y1327" s="148">
        <f>IFERROR(__xludf.DUMMYFUNCTION("""COMPUTED_VALUE"""),0.0)</f>
        <v>0</v>
      </c>
      <c r="Z1327" s="148"/>
    </row>
    <row r="1328">
      <c r="A1328" s="148">
        <f>IFERROR(__xludf.DUMMYFUNCTION("""COMPUTED_VALUE"""),1.1116263E7)</f>
        <v>11116263</v>
      </c>
      <c r="B1328" s="148" t="str">
        <f>IFERROR(__xludf.DUMMYFUNCTION("""COMPUTED_VALUE"""),"碎片-雷诺施密特")</f>
        <v>碎片-雷诺施密特</v>
      </c>
      <c r="C1328" s="148"/>
      <c r="D1328" s="148" t="str">
        <f>IFERROR(__xludf.DUMMYFUNCTION("""COMPUTED_VALUE"""),"hero_unit")</f>
        <v>hero_unit</v>
      </c>
      <c r="E1328" s="148">
        <f>IFERROR(__xludf.DUMMYFUNCTION("""COMPUTED_VALUE"""),0.0)</f>
        <v>0</v>
      </c>
      <c r="F1328" s="148">
        <f>IFERROR(__xludf.DUMMYFUNCTION("""COMPUTED_VALUE"""),411117.0)</f>
        <v>411117</v>
      </c>
      <c r="G1328" s="148">
        <f>IFERROR(__xludf.DUMMYFUNCTION("""COMPUTED_VALUE"""),1.51100981E8)</f>
        <v>151100981</v>
      </c>
      <c r="H1328" s="148">
        <f>IFERROR(__xludf.DUMMYFUNCTION("""COMPUTED_VALUE"""),1.5112564E7)</f>
        <v>15112564</v>
      </c>
      <c r="I1328" s="148" t="str">
        <f>IFERROR(__xludf.DUMMYFUNCTION("""COMPUTED_VALUE"""),"{}")</f>
        <v>{}</v>
      </c>
      <c r="J1328" s="148" t="str">
        <f>IFERROR(__xludf.DUMMYFUNCTION("""COMPUTED_VALUE"""),"{""typ"":""lc"",""txt"":""LC_ITEM_hero_fragment_name"",""args"":[{""typ"":""lc"",""txt"":""LC_HERO_hero_name_103""}]}")</f>
        <v>{"typ":"lc","txt":"LC_ITEM_hero_fragment_name","args":[{"typ":"lc","txt":"LC_HERO_hero_name_103"}]}</v>
      </c>
      <c r="K1328" s="148" t="str">
        <f>IFERROR(__xludf.DUMMYFUNCTION("""COMPUTED_VALUE"""),"{""typ"":""lc"",""txt"":""LC_ITEM_hero_fragment_desc""}")</f>
        <v>{"typ":"lc","txt":"LC_ITEM_hero_fragment_desc"}</v>
      </c>
      <c r="L1328" s="148" t="str">
        <f>IFERROR(__xludf.DUMMYFUNCTION("""COMPUTED_VALUE"""),"{}")</f>
        <v>{}</v>
      </c>
      <c r="M1328" s="148">
        <f>IFERROR(__xludf.DUMMYFUNCTION("""COMPUTED_VALUE"""),4000.0)</f>
        <v>4000</v>
      </c>
      <c r="N1328" s="148">
        <f>IFERROR(__xludf.DUMMYFUNCTION("""COMPUTED_VALUE"""),9999999.0)</f>
        <v>9999999</v>
      </c>
      <c r="O1328" s="148">
        <f>IFERROR(__xludf.DUMMYFUNCTION("""COMPUTED_VALUE"""),99999.0)</f>
        <v>99999</v>
      </c>
      <c r="P1328" s="148">
        <f>IFERROR(__xludf.DUMMYFUNCTION("""COMPUTED_VALUE"""),99999.0)</f>
        <v>99999</v>
      </c>
      <c r="Q1328" s="148" t="str">
        <f>IFERROR(__xludf.DUMMYFUNCTION("""COMPUTED_VALUE"""),"[""bag_other""]")</f>
        <v>["bag_other"]</v>
      </c>
      <c r="R1328" s="148" t="str">
        <f>IFERROR(__xludf.DUMMYFUNCTION("""COMPUTED_VALUE"""),"[""19201103""]")</f>
        <v>["19201103"]</v>
      </c>
      <c r="S1328" s="148" t="str">
        <f>IFERROR(__xludf.DUMMYFUNCTION("""COMPUTED_VALUE"""),"{""effect"":[{""typ"":""rss"",""id"":11141032,""val"":10},{""typ"":""rss"",""id"":11141034,""val"":500}]}")</f>
        <v>{"effect":[{"typ":"rss","id":11141032,"val":10},{"typ":"rss","id":11141034,"val":500}]}</v>
      </c>
      <c r="T1328" s="148">
        <f>IFERROR(__xludf.DUMMYFUNCTION("""COMPUTED_VALUE"""),-1.0)</f>
        <v>-1</v>
      </c>
      <c r="U1328" s="148">
        <f>IFERROR(__xludf.DUMMYFUNCTION("""COMPUTED_VALUE"""),0.0)</f>
        <v>0</v>
      </c>
      <c r="V1328" s="148" t="str">
        <f>IFERROR(__xludf.DUMMYFUNCTION("""COMPUTED_VALUE"""),"[]")</f>
        <v>[]</v>
      </c>
      <c r="W1328" s="148">
        <f>IFERROR(__xludf.DUMMYFUNCTION("""COMPUTED_VALUE"""),1.1741002E7)</f>
        <v>11741002</v>
      </c>
      <c r="X1328" s="148">
        <f>IFERROR(__xludf.DUMMYFUNCTION("""COMPUTED_VALUE"""),0.0)</f>
        <v>0</v>
      </c>
      <c r="Y1328" s="148">
        <f>IFERROR(__xludf.DUMMYFUNCTION("""COMPUTED_VALUE"""),0.0)</f>
        <v>0</v>
      </c>
      <c r="Z1328" s="148"/>
    </row>
    <row r="1329">
      <c r="A1329" s="148">
        <f>IFERROR(__xludf.DUMMYFUNCTION("""COMPUTED_VALUE"""),1.1116264E7)</f>
        <v>11116264</v>
      </c>
      <c r="B1329" s="148" t="str">
        <f>IFERROR(__xludf.DUMMYFUNCTION("""COMPUTED_VALUE"""),"碎片-奥林")</f>
        <v>碎片-奥林</v>
      </c>
      <c r="C1329" s="148"/>
      <c r="D1329" s="148" t="str">
        <f>IFERROR(__xludf.DUMMYFUNCTION("""COMPUTED_VALUE"""),"hero_unit")</f>
        <v>hero_unit</v>
      </c>
      <c r="E1329" s="148">
        <f>IFERROR(__xludf.DUMMYFUNCTION("""COMPUTED_VALUE"""),0.0)</f>
        <v>0</v>
      </c>
      <c r="F1329" s="148">
        <f>IFERROR(__xludf.DUMMYFUNCTION("""COMPUTED_VALUE"""),411117.0)</f>
        <v>411117</v>
      </c>
      <c r="G1329" s="148">
        <f>IFERROR(__xludf.DUMMYFUNCTION("""COMPUTED_VALUE"""),1.51101195E8)</f>
        <v>151101195</v>
      </c>
      <c r="H1329" s="148">
        <f>IFERROR(__xludf.DUMMYFUNCTION("""COMPUTED_VALUE"""),1.5112564E7)</f>
        <v>15112564</v>
      </c>
      <c r="I1329" s="148" t="str">
        <f>IFERROR(__xludf.DUMMYFUNCTION("""COMPUTED_VALUE"""),"{}")</f>
        <v>{}</v>
      </c>
      <c r="J1329" s="148" t="str">
        <f>IFERROR(__xludf.DUMMYFUNCTION("""COMPUTED_VALUE"""),"{""typ"":""lc"",""txt"":""LC_ITEM_hero_fragment_name"",""args"":[{""typ"":""lc"",""txt"":""LC_HERO_hero_name_104""}]}")</f>
        <v>{"typ":"lc","txt":"LC_ITEM_hero_fragment_name","args":[{"typ":"lc","txt":"LC_HERO_hero_name_104"}]}</v>
      </c>
      <c r="K1329" s="148" t="str">
        <f>IFERROR(__xludf.DUMMYFUNCTION("""COMPUTED_VALUE"""),"{""typ"":""lc"",""txt"":""LC_ITEM_hero_fragment_desc""}")</f>
        <v>{"typ":"lc","txt":"LC_ITEM_hero_fragment_desc"}</v>
      </c>
      <c r="L1329" s="148" t="str">
        <f>IFERROR(__xludf.DUMMYFUNCTION("""COMPUTED_VALUE"""),"{}")</f>
        <v>{}</v>
      </c>
      <c r="M1329" s="148">
        <f>IFERROR(__xludf.DUMMYFUNCTION("""COMPUTED_VALUE"""),4000.0)</f>
        <v>4000</v>
      </c>
      <c r="N1329" s="148">
        <f>IFERROR(__xludf.DUMMYFUNCTION("""COMPUTED_VALUE"""),9999999.0)</f>
        <v>9999999</v>
      </c>
      <c r="O1329" s="148">
        <f>IFERROR(__xludf.DUMMYFUNCTION("""COMPUTED_VALUE"""),99999.0)</f>
        <v>99999</v>
      </c>
      <c r="P1329" s="148">
        <f>IFERROR(__xludf.DUMMYFUNCTION("""COMPUTED_VALUE"""),99999.0)</f>
        <v>99999</v>
      </c>
      <c r="Q1329" s="148" t="str">
        <f>IFERROR(__xludf.DUMMYFUNCTION("""COMPUTED_VALUE"""),"[""bag_other""]")</f>
        <v>["bag_other"]</v>
      </c>
      <c r="R1329" s="148" t="str">
        <f>IFERROR(__xludf.DUMMYFUNCTION("""COMPUTED_VALUE"""),"[""19201104""]")</f>
        <v>["19201104"]</v>
      </c>
      <c r="S1329" s="148" t="str">
        <f>IFERROR(__xludf.DUMMYFUNCTION("""COMPUTED_VALUE"""),"{""effect"":[{""typ"":""rss"",""id"":11141032,""val"":10},{""typ"":""rss"",""id"":11141034,""val"":500}]}")</f>
        <v>{"effect":[{"typ":"rss","id":11141032,"val":10},{"typ":"rss","id":11141034,"val":500}]}</v>
      </c>
      <c r="T1329" s="148">
        <f>IFERROR(__xludf.DUMMYFUNCTION("""COMPUTED_VALUE"""),-1.0)</f>
        <v>-1</v>
      </c>
      <c r="U1329" s="148">
        <f>IFERROR(__xludf.DUMMYFUNCTION("""COMPUTED_VALUE"""),0.0)</f>
        <v>0</v>
      </c>
      <c r="V1329" s="148" t="str">
        <f>IFERROR(__xludf.DUMMYFUNCTION("""COMPUTED_VALUE"""),"[]")</f>
        <v>[]</v>
      </c>
      <c r="W1329" s="148">
        <f>IFERROR(__xludf.DUMMYFUNCTION("""COMPUTED_VALUE"""),1.1741002E7)</f>
        <v>11741002</v>
      </c>
      <c r="X1329" s="148">
        <f>IFERROR(__xludf.DUMMYFUNCTION("""COMPUTED_VALUE"""),0.0)</f>
        <v>0</v>
      </c>
      <c r="Y1329" s="148">
        <f>IFERROR(__xludf.DUMMYFUNCTION("""COMPUTED_VALUE"""),0.0)</f>
        <v>0</v>
      </c>
      <c r="Z1329" s="148"/>
    </row>
    <row r="1330">
      <c r="A1330" s="148">
        <f>IFERROR(__xludf.DUMMYFUNCTION("""COMPUTED_VALUE"""),1.1116265E7)</f>
        <v>11116265</v>
      </c>
      <c r="B1330" s="148" t="str">
        <f>IFERROR(__xludf.DUMMYFUNCTION("""COMPUTED_VALUE"""),"碎片-科西嘉")</f>
        <v>碎片-科西嘉</v>
      </c>
      <c r="C1330" s="148"/>
      <c r="D1330" s="148" t="str">
        <f>IFERROR(__xludf.DUMMYFUNCTION("""COMPUTED_VALUE"""),"hero_unit")</f>
        <v>hero_unit</v>
      </c>
      <c r="E1330" s="148">
        <f>IFERROR(__xludf.DUMMYFUNCTION("""COMPUTED_VALUE"""),0.0)</f>
        <v>0</v>
      </c>
      <c r="F1330" s="148">
        <f>IFERROR(__xludf.DUMMYFUNCTION("""COMPUTED_VALUE"""),411117.0)</f>
        <v>411117</v>
      </c>
      <c r="G1330" s="148">
        <f>IFERROR(__xludf.DUMMYFUNCTION("""COMPUTED_VALUE"""),1.51101452E8)</f>
        <v>151101452</v>
      </c>
      <c r="H1330" s="148">
        <f>IFERROR(__xludf.DUMMYFUNCTION("""COMPUTED_VALUE"""),1.5112564E7)</f>
        <v>15112564</v>
      </c>
      <c r="I1330" s="148" t="str">
        <f>IFERROR(__xludf.DUMMYFUNCTION("""COMPUTED_VALUE"""),"{}")</f>
        <v>{}</v>
      </c>
      <c r="J1330" s="148" t="str">
        <f>IFERROR(__xludf.DUMMYFUNCTION("""COMPUTED_VALUE"""),"{""typ"":""lc"",""txt"":""LC_ITEM_hero_fragment_name"",""args"":[{""typ"":""lc"",""txt"":""LC_HERO_hero_name_105""}]}")</f>
        <v>{"typ":"lc","txt":"LC_ITEM_hero_fragment_name","args":[{"typ":"lc","txt":"LC_HERO_hero_name_105"}]}</v>
      </c>
      <c r="K1330" s="148" t="str">
        <f>IFERROR(__xludf.DUMMYFUNCTION("""COMPUTED_VALUE"""),"{""typ"":""lc"",""txt"":""LC_ITEM_hero_fragment_desc""}")</f>
        <v>{"typ":"lc","txt":"LC_ITEM_hero_fragment_desc"}</v>
      </c>
      <c r="L1330" s="148" t="str">
        <f>IFERROR(__xludf.DUMMYFUNCTION("""COMPUTED_VALUE"""),"{}")</f>
        <v>{}</v>
      </c>
      <c r="M1330" s="148">
        <f>IFERROR(__xludf.DUMMYFUNCTION("""COMPUTED_VALUE"""),4000.0)</f>
        <v>4000</v>
      </c>
      <c r="N1330" s="148">
        <f>IFERROR(__xludf.DUMMYFUNCTION("""COMPUTED_VALUE"""),9999999.0)</f>
        <v>9999999</v>
      </c>
      <c r="O1330" s="148">
        <f>IFERROR(__xludf.DUMMYFUNCTION("""COMPUTED_VALUE"""),99999.0)</f>
        <v>99999</v>
      </c>
      <c r="P1330" s="148">
        <f>IFERROR(__xludf.DUMMYFUNCTION("""COMPUTED_VALUE"""),99999.0)</f>
        <v>99999</v>
      </c>
      <c r="Q1330" s="148" t="str">
        <f>IFERROR(__xludf.DUMMYFUNCTION("""COMPUTED_VALUE"""),"[""bag_other""]")</f>
        <v>["bag_other"]</v>
      </c>
      <c r="R1330" s="148" t="str">
        <f>IFERROR(__xludf.DUMMYFUNCTION("""COMPUTED_VALUE"""),"[""19201105""]")</f>
        <v>["19201105"]</v>
      </c>
      <c r="S1330" s="148" t="str">
        <f>IFERROR(__xludf.DUMMYFUNCTION("""COMPUTED_VALUE"""),"{""effect"":[{""typ"":""rss"",""id"":11141032,""val"":10},{""typ"":""rss"",""id"":11141034,""val"":500}]}")</f>
        <v>{"effect":[{"typ":"rss","id":11141032,"val":10},{"typ":"rss","id":11141034,"val":500}]}</v>
      </c>
      <c r="T1330" s="148">
        <f>IFERROR(__xludf.DUMMYFUNCTION("""COMPUTED_VALUE"""),-1.0)</f>
        <v>-1</v>
      </c>
      <c r="U1330" s="148">
        <f>IFERROR(__xludf.DUMMYFUNCTION("""COMPUTED_VALUE"""),0.0)</f>
        <v>0</v>
      </c>
      <c r="V1330" s="148" t="str">
        <f>IFERROR(__xludf.DUMMYFUNCTION("""COMPUTED_VALUE"""),"[]")</f>
        <v>[]</v>
      </c>
      <c r="W1330" s="148">
        <f>IFERROR(__xludf.DUMMYFUNCTION("""COMPUTED_VALUE"""),1.1741002E7)</f>
        <v>11741002</v>
      </c>
      <c r="X1330" s="148">
        <f>IFERROR(__xludf.DUMMYFUNCTION("""COMPUTED_VALUE"""),0.0)</f>
        <v>0</v>
      </c>
      <c r="Y1330" s="148">
        <f>IFERROR(__xludf.DUMMYFUNCTION("""COMPUTED_VALUE"""),0.0)</f>
        <v>0</v>
      </c>
      <c r="Z1330" s="148"/>
    </row>
    <row r="1331">
      <c r="A1331" s="148">
        <f>IFERROR(__xludf.DUMMYFUNCTION("""COMPUTED_VALUE"""),1.1116266E7)</f>
        <v>11116266</v>
      </c>
      <c r="B1331" s="148" t="str">
        <f>IFERROR(__xludf.DUMMYFUNCTION("""COMPUTED_VALUE"""),"碎片-金教授")</f>
        <v>碎片-金教授</v>
      </c>
      <c r="C1331" s="148"/>
      <c r="D1331" s="148" t="str">
        <f>IFERROR(__xludf.DUMMYFUNCTION("""COMPUTED_VALUE"""),"hero_unit")</f>
        <v>hero_unit</v>
      </c>
      <c r="E1331" s="148">
        <f>IFERROR(__xludf.DUMMYFUNCTION("""COMPUTED_VALUE"""),0.0)</f>
        <v>0</v>
      </c>
      <c r="F1331" s="148">
        <f>IFERROR(__xludf.DUMMYFUNCTION("""COMPUTED_VALUE"""),411117.0)</f>
        <v>411117</v>
      </c>
      <c r="G1331" s="148">
        <f>IFERROR(__xludf.DUMMYFUNCTION("""COMPUTED_VALUE"""),1.51101631E8)</f>
        <v>151101631</v>
      </c>
      <c r="H1331" s="148">
        <f>IFERROR(__xludf.DUMMYFUNCTION("""COMPUTED_VALUE"""),1.5112564E7)</f>
        <v>15112564</v>
      </c>
      <c r="I1331" s="148" t="str">
        <f>IFERROR(__xludf.DUMMYFUNCTION("""COMPUTED_VALUE"""),"{}")</f>
        <v>{}</v>
      </c>
      <c r="J1331" s="148" t="str">
        <f>IFERROR(__xludf.DUMMYFUNCTION("""COMPUTED_VALUE"""),"{""typ"":""lc"",""txt"":""LC_ITEM_hero_fragment_name"",""args"":[{""typ"":""lc"",""txt"":""LC_HERO_hero_name_106""}]}")</f>
        <v>{"typ":"lc","txt":"LC_ITEM_hero_fragment_name","args":[{"typ":"lc","txt":"LC_HERO_hero_name_106"}]}</v>
      </c>
      <c r="K1331" s="148" t="str">
        <f>IFERROR(__xludf.DUMMYFUNCTION("""COMPUTED_VALUE"""),"{""typ"":""lc"",""txt"":""LC_ITEM_hero_fragment_desc""}")</f>
        <v>{"typ":"lc","txt":"LC_ITEM_hero_fragment_desc"}</v>
      </c>
      <c r="L1331" s="148" t="str">
        <f>IFERROR(__xludf.DUMMYFUNCTION("""COMPUTED_VALUE"""),"{}")</f>
        <v>{}</v>
      </c>
      <c r="M1331" s="148">
        <f>IFERROR(__xludf.DUMMYFUNCTION("""COMPUTED_VALUE"""),4000.0)</f>
        <v>4000</v>
      </c>
      <c r="N1331" s="148">
        <f>IFERROR(__xludf.DUMMYFUNCTION("""COMPUTED_VALUE"""),9999999.0)</f>
        <v>9999999</v>
      </c>
      <c r="O1331" s="148">
        <f>IFERROR(__xludf.DUMMYFUNCTION("""COMPUTED_VALUE"""),99999.0)</f>
        <v>99999</v>
      </c>
      <c r="P1331" s="148">
        <f>IFERROR(__xludf.DUMMYFUNCTION("""COMPUTED_VALUE"""),99999.0)</f>
        <v>99999</v>
      </c>
      <c r="Q1331" s="148" t="str">
        <f>IFERROR(__xludf.DUMMYFUNCTION("""COMPUTED_VALUE"""),"[""bag_other""]")</f>
        <v>["bag_other"]</v>
      </c>
      <c r="R1331" s="148" t="str">
        <f>IFERROR(__xludf.DUMMYFUNCTION("""COMPUTED_VALUE"""),"[""19201106""]")</f>
        <v>["19201106"]</v>
      </c>
      <c r="S1331" s="148" t="str">
        <f>IFERROR(__xludf.DUMMYFUNCTION("""COMPUTED_VALUE"""),"{""effect"":[{""typ"":""rss"",""id"":11141032,""val"":10},{""typ"":""rss"",""id"":11141034,""val"":500}]}")</f>
        <v>{"effect":[{"typ":"rss","id":11141032,"val":10},{"typ":"rss","id":11141034,"val":500}]}</v>
      </c>
      <c r="T1331" s="148">
        <f>IFERROR(__xludf.DUMMYFUNCTION("""COMPUTED_VALUE"""),-1.0)</f>
        <v>-1</v>
      </c>
      <c r="U1331" s="148">
        <f>IFERROR(__xludf.DUMMYFUNCTION("""COMPUTED_VALUE"""),0.0)</f>
        <v>0</v>
      </c>
      <c r="V1331" s="148" t="str">
        <f>IFERROR(__xludf.DUMMYFUNCTION("""COMPUTED_VALUE"""),"[]")</f>
        <v>[]</v>
      </c>
      <c r="W1331" s="148">
        <f>IFERROR(__xludf.DUMMYFUNCTION("""COMPUTED_VALUE"""),1.1741002E7)</f>
        <v>11741002</v>
      </c>
      <c r="X1331" s="148">
        <f>IFERROR(__xludf.DUMMYFUNCTION("""COMPUTED_VALUE"""),0.0)</f>
        <v>0</v>
      </c>
      <c r="Y1331" s="148">
        <f>IFERROR(__xludf.DUMMYFUNCTION("""COMPUTED_VALUE"""),0.0)</f>
        <v>0</v>
      </c>
      <c r="Z1331" s="148"/>
    </row>
    <row r="1332">
      <c r="A1332" s="148">
        <f>IFERROR(__xludf.DUMMYFUNCTION("""COMPUTED_VALUE"""),1.1116267E7)</f>
        <v>11116267</v>
      </c>
      <c r="B1332" s="148" t="str">
        <f>IFERROR(__xludf.DUMMYFUNCTION("""COMPUTED_VALUE"""),"碎片-维多克")</f>
        <v>碎片-维多克</v>
      </c>
      <c r="C1332" s="148"/>
      <c r="D1332" s="148" t="str">
        <f>IFERROR(__xludf.DUMMYFUNCTION("""COMPUTED_VALUE"""),"hero_unit")</f>
        <v>hero_unit</v>
      </c>
      <c r="E1332" s="148">
        <f>IFERROR(__xludf.DUMMYFUNCTION("""COMPUTED_VALUE"""),0.0)</f>
        <v>0</v>
      </c>
      <c r="F1332" s="148">
        <f>IFERROR(__xludf.DUMMYFUNCTION("""COMPUTED_VALUE"""),411117.0)</f>
        <v>411117</v>
      </c>
      <c r="G1332" s="148">
        <f>IFERROR(__xludf.DUMMYFUNCTION("""COMPUTED_VALUE"""),1.51101743E8)</f>
        <v>151101743</v>
      </c>
      <c r="H1332" s="148">
        <f>IFERROR(__xludf.DUMMYFUNCTION("""COMPUTED_VALUE"""),1.5112564E7)</f>
        <v>15112564</v>
      </c>
      <c r="I1332" s="148" t="str">
        <f>IFERROR(__xludf.DUMMYFUNCTION("""COMPUTED_VALUE"""),"{}")</f>
        <v>{}</v>
      </c>
      <c r="J1332" s="148" t="str">
        <f>IFERROR(__xludf.DUMMYFUNCTION("""COMPUTED_VALUE"""),"{""typ"":""lc"",""txt"":""LC_ITEM_hero_fragment_name"",""args"":[{""typ"":""lc"",""txt"":""LC_HERO_hero_name_107""}]}")</f>
        <v>{"typ":"lc","txt":"LC_ITEM_hero_fragment_name","args":[{"typ":"lc","txt":"LC_HERO_hero_name_107"}]}</v>
      </c>
      <c r="K1332" s="148" t="str">
        <f>IFERROR(__xludf.DUMMYFUNCTION("""COMPUTED_VALUE"""),"{""typ"":""lc"",""txt"":""LC_ITEM_hero_fragment_desc""}")</f>
        <v>{"typ":"lc","txt":"LC_ITEM_hero_fragment_desc"}</v>
      </c>
      <c r="L1332" s="148" t="str">
        <f>IFERROR(__xludf.DUMMYFUNCTION("""COMPUTED_VALUE"""),"{}")</f>
        <v>{}</v>
      </c>
      <c r="M1332" s="148">
        <f>IFERROR(__xludf.DUMMYFUNCTION("""COMPUTED_VALUE"""),4000.0)</f>
        <v>4000</v>
      </c>
      <c r="N1332" s="148">
        <f>IFERROR(__xludf.DUMMYFUNCTION("""COMPUTED_VALUE"""),9999999.0)</f>
        <v>9999999</v>
      </c>
      <c r="O1332" s="148">
        <f>IFERROR(__xludf.DUMMYFUNCTION("""COMPUTED_VALUE"""),99999.0)</f>
        <v>99999</v>
      </c>
      <c r="P1332" s="148">
        <f>IFERROR(__xludf.DUMMYFUNCTION("""COMPUTED_VALUE"""),99999.0)</f>
        <v>99999</v>
      </c>
      <c r="Q1332" s="148" t="str">
        <f>IFERROR(__xludf.DUMMYFUNCTION("""COMPUTED_VALUE"""),"[""bag_other""]")</f>
        <v>["bag_other"]</v>
      </c>
      <c r="R1332" s="148" t="str">
        <f>IFERROR(__xludf.DUMMYFUNCTION("""COMPUTED_VALUE"""),"[""19201107""]")</f>
        <v>["19201107"]</v>
      </c>
      <c r="S1332" s="148" t="str">
        <f>IFERROR(__xludf.DUMMYFUNCTION("""COMPUTED_VALUE"""),"{""effect"":[{""typ"":""rss"",""id"":11141032,""val"":10},{""typ"":""rss"",""id"":11141034,""val"":500}]}")</f>
        <v>{"effect":[{"typ":"rss","id":11141032,"val":10},{"typ":"rss","id":11141034,"val":500}]}</v>
      </c>
      <c r="T1332" s="148">
        <f>IFERROR(__xludf.DUMMYFUNCTION("""COMPUTED_VALUE"""),-1.0)</f>
        <v>-1</v>
      </c>
      <c r="U1332" s="148">
        <f>IFERROR(__xludf.DUMMYFUNCTION("""COMPUTED_VALUE"""),0.0)</f>
        <v>0</v>
      </c>
      <c r="V1332" s="148" t="str">
        <f>IFERROR(__xludf.DUMMYFUNCTION("""COMPUTED_VALUE"""),"[]")</f>
        <v>[]</v>
      </c>
      <c r="W1332" s="148">
        <f>IFERROR(__xludf.DUMMYFUNCTION("""COMPUTED_VALUE"""),1.1741002E7)</f>
        <v>11741002</v>
      </c>
      <c r="X1332" s="148">
        <f>IFERROR(__xludf.DUMMYFUNCTION("""COMPUTED_VALUE"""),0.0)</f>
        <v>0</v>
      </c>
      <c r="Y1332" s="148">
        <f>IFERROR(__xludf.DUMMYFUNCTION("""COMPUTED_VALUE"""),0.0)</f>
        <v>0</v>
      </c>
      <c r="Z1332" s="148"/>
    </row>
    <row r="1333">
      <c r="A1333" s="148">
        <f>IFERROR(__xludf.DUMMYFUNCTION("""COMPUTED_VALUE"""),1.1116268E7)</f>
        <v>11116268</v>
      </c>
      <c r="B1333" s="148" t="str">
        <f>IFERROR(__xludf.DUMMYFUNCTION("""COMPUTED_VALUE"""),"碎片-阿克塞尔")</f>
        <v>碎片-阿克塞尔</v>
      </c>
      <c r="C1333" s="148"/>
      <c r="D1333" s="148" t="str">
        <f>IFERROR(__xludf.DUMMYFUNCTION("""COMPUTED_VALUE"""),"hero_unit")</f>
        <v>hero_unit</v>
      </c>
      <c r="E1333" s="148">
        <f>IFERROR(__xludf.DUMMYFUNCTION("""COMPUTED_VALUE"""),0.0)</f>
        <v>0</v>
      </c>
      <c r="F1333" s="148">
        <f>IFERROR(__xludf.DUMMYFUNCTION("""COMPUTED_VALUE"""),411117.0)</f>
        <v>411117</v>
      </c>
      <c r="G1333" s="148">
        <f>IFERROR(__xludf.DUMMYFUNCTION("""COMPUTED_VALUE"""),1.51102102E8)</f>
        <v>151102102</v>
      </c>
      <c r="H1333" s="148">
        <f>IFERROR(__xludf.DUMMYFUNCTION("""COMPUTED_VALUE"""),1.5112564E7)</f>
        <v>15112564</v>
      </c>
      <c r="I1333" s="148" t="str">
        <f>IFERROR(__xludf.DUMMYFUNCTION("""COMPUTED_VALUE"""),"{}")</f>
        <v>{}</v>
      </c>
      <c r="J1333" s="148" t="str">
        <f>IFERROR(__xludf.DUMMYFUNCTION("""COMPUTED_VALUE"""),"{""typ"":""lc"",""txt"":""LC_ITEM_hero_fragment_name"",""args"":[{""typ"":""lc"",""txt"":""LC_HERO_hero_name_108""}]}")</f>
        <v>{"typ":"lc","txt":"LC_ITEM_hero_fragment_name","args":[{"typ":"lc","txt":"LC_HERO_hero_name_108"}]}</v>
      </c>
      <c r="K1333" s="148" t="str">
        <f>IFERROR(__xludf.DUMMYFUNCTION("""COMPUTED_VALUE"""),"{""typ"":""lc"",""txt"":""LC_ITEM_hero_fragment_desc""}")</f>
        <v>{"typ":"lc","txt":"LC_ITEM_hero_fragment_desc"}</v>
      </c>
      <c r="L1333" s="148" t="str">
        <f>IFERROR(__xludf.DUMMYFUNCTION("""COMPUTED_VALUE"""),"{}")</f>
        <v>{}</v>
      </c>
      <c r="M1333" s="148">
        <f>IFERROR(__xludf.DUMMYFUNCTION("""COMPUTED_VALUE"""),4000.0)</f>
        <v>4000</v>
      </c>
      <c r="N1333" s="148">
        <f>IFERROR(__xludf.DUMMYFUNCTION("""COMPUTED_VALUE"""),9999999.0)</f>
        <v>9999999</v>
      </c>
      <c r="O1333" s="148">
        <f>IFERROR(__xludf.DUMMYFUNCTION("""COMPUTED_VALUE"""),99999.0)</f>
        <v>99999</v>
      </c>
      <c r="P1333" s="148">
        <f>IFERROR(__xludf.DUMMYFUNCTION("""COMPUTED_VALUE"""),99999.0)</f>
        <v>99999</v>
      </c>
      <c r="Q1333" s="148" t="str">
        <f>IFERROR(__xludf.DUMMYFUNCTION("""COMPUTED_VALUE"""),"[""bag_other""]")</f>
        <v>["bag_other"]</v>
      </c>
      <c r="R1333" s="148" t="str">
        <f>IFERROR(__xludf.DUMMYFUNCTION("""COMPUTED_VALUE"""),"[""19201108""]")</f>
        <v>["19201108"]</v>
      </c>
      <c r="S1333" s="148" t="str">
        <f>IFERROR(__xludf.DUMMYFUNCTION("""COMPUTED_VALUE"""),"{""effect"":[{""typ"":""rss"",""id"":11141032,""val"":10},{""typ"":""rss"",""id"":11141034,""val"":500}]}")</f>
        <v>{"effect":[{"typ":"rss","id":11141032,"val":10},{"typ":"rss","id":11141034,"val":500}]}</v>
      </c>
      <c r="T1333" s="148">
        <f>IFERROR(__xludf.DUMMYFUNCTION("""COMPUTED_VALUE"""),-1.0)</f>
        <v>-1</v>
      </c>
      <c r="U1333" s="148">
        <f>IFERROR(__xludf.DUMMYFUNCTION("""COMPUTED_VALUE"""),0.0)</f>
        <v>0</v>
      </c>
      <c r="V1333" s="148" t="str">
        <f>IFERROR(__xludf.DUMMYFUNCTION("""COMPUTED_VALUE"""),"[]")</f>
        <v>[]</v>
      </c>
      <c r="W1333" s="148">
        <f>IFERROR(__xludf.DUMMYFUNCTION("""COMPUTED_VALUE"""),1.1741002E7)</f>
        <v>11741002</v>
      </c>
      <c r="X1333" s="148">
        <f>IFERROR(__xludf.DUMMYFUNCTION("""COMPUTED_VALUE"""),0.0)</f>
        <v>0</v>
      </c>
      <c r="Y1333" s="148">
        <f>IFERROR(__xludf.DUMMYFUNCTION("""COMPUTED_VALUE"""),0.0)</f>
        <v>0</v>
      </c>
      <c r="Z1333" s="148"/>
    </row>
    <row r="1334">
      <c r="A1334" s="148">
        <f>IFERROR(__xludf.DUMMYFUNCTION("""COMPUTED_VALUE"""),1.1116269E7)</f>
        <v>11116269</v>
      </c>
      <c r="B1334" s="148" t="str">
        <f>IFERROR(__xludf.DUMMYFUNCTION("""COMPUTED_VALUE"""),"碎片-伦奇")</f>
        <v>碎片-伦奇</v>
      </c>
      <c r="C1334" s="148"/>
      <c r="D1334" s="148" t="str">
        <f>IFERROR(__xludf.DUMMYFUNCTION("""COMPUTED_VALUE"""),"hero_unit")</f>
        <v>hero_unit</v>
      </c>
      <c r="E1334" s="148">
        <f>IFERROR(__xludf.DUMMYFUNCTION("""COMPUTED_VALUE"""),0.0)</f>
        <v>0</v>
      </c>
      <c r="F1334" s="148">
        <f>IFERROR(__xludf.DUMMYFUNCTION("""COMPUTED_VALUE"""),411117.0)</f>
        <v>411117</v>
      </c>
      <c r="G1334" s="148">
        <f>IFERROR(__xludf.DUMMYFUNCTION("""COMPUTED_VALUE"""),1.51102272E8)</f>
        <v>151102272</v>
      </c>
      <c r="H1334" s="148">
        <f>IFERROR(__xludf.DUMMYFUNCTION("""COMPUTED_VALUE"""),1.5112564E7)</f>
        <v>15112564</v>
      </c>
      <c r="I1334" s="148" t="str">
        <f>IFERROR(__xludf.DUMMYFUNCTION("""COMPUTED_VALUE"""),"{}")</f>
        <v>{}</v>
      </c>
      <c r="J1334" s="148" t="str">
        <f>IFERROR(__xludf.DUMMYFUNCTION("""COMPUTED_VALUE"""),"{""typ"":""lc"",""txt"":""LC_ITEM_hero_fragment_name"",""args"":[{""typ"":""lc"",""txt"":""LC_HERO_hero_name_109""}]}")</f>
        <v>{"typ":"lc","txt":"LC_ITEM_hero_fragment_name","args":[{"typ":"lc","txt":"LC_HERO_hero_name_109"}]}</v>
      </c>
      <c r="K1334" s="148" t="str">
        <f>IFERROR(__xludf.DUMMYFUNCTION("""COMPUTED_VALUE"""),"{""typ"":""lc"",""txt"":""LC_ITEM_hero_fragment_desc""}")</f>
        <v>{"typ":"lc","txt":"LC_ITEM_hero_fragment_desc"}</v>
      </c>
      <c r="L1334" s="148" t="str">
        <f>IFERROR(__xludf.DUMMYFUNCTION("""COMPUTED_VALUE"""),"{}")</f>
        <v>{}</v>
      </c>
      <c r="M1334" s="148">
        <f>IFERROR(__xludf.DUMMYFUNCTION("""COMPUTED_VALUE"""),4000.0)</f>
        <v>4000</v>
      </c>
      <c r="N1334" s="148">
        <f>IFERROR(__xludf.DUMMYFUNCTION("""COMPUTED_VALUE"""),9999999.0)</f>
        <v>9999999</v>
      </c>
      <c r="O1334" s="148">
        <f>IFERROR(__xludf.DUMMYFUNCTION("""COMPUTED_VALUE"""),99999.0)</f>
        <v>99999</v>
      </c>
      <c r="P1334" s="148">
        <f>IFERROR(__xludf.DUMMYFUNCTION("""COMPUTED_VALUE"""),99999.0)</f>
        <v>99999</v>
      </c>
      <c r="Q1334" s="148" t="str">
        <f>IFERROR(__xludf.DUMMYFUNCTION("""COMPUTED_VALUE"""),"[""bag_other""]")</f>
        <v>["bag_other"]</v>
      </c>
      <c r="R1334" s="148" t="str">
        <f>IFERROR(__xludf.DUMMYFUNCTION("""COMPUTED_VALUE"""),"[""19201109""]")</f>
        <v>["19201109"]</v>
      </c>
      <c r="S1334" s="148" t="str">
        <f>IFERROR(__xludf.DUMMYFUNCTION("""COMPUTED_VALUE"""),"{""effect"":[{""typ"":""rss"",""id"":11141032,""val"":10},{""typ"":""rss"",""id"":11141034,""val"":500}]}")</f>
        <v>{"effect":[{"typ":"rss","id":11141032,"val":10},{"typ":"rss","id":11141034,"val":500}]}</v>
      </c>
      <c r="T1334" s="148">
        <f>IFERROR(__xludf.DUMMYFUNCTION("""COMPUTED_VALUE"""),-1.0)</f>
        <v>-1</v>
      </c>
      <c r="U1334" s="148">
        <f>IFERROR(__xludf.DUMMYFUNCTION("""COMPUTED_VALUE"""),0.0)</f>
        <v>0</v>
      </c>
      <c r="V1334" s="148" t="str">
        <f>IFERROR(__xludf.DUMMYFUNCTION("""COMPUTED_VALUE"""),"[]")</f>
        <v>[]</v>
      </c>
      <c r="W1334" s="148">
        <f>IFERROR(__xludf.DUMMYFUNCTION("""COMPUTED_VALUE"""),1.1741002E7)</f>
        <v>11741002</v>
      </c>
      <c r="X1334" s="148">
        <f>IFERROR(__xludf.DUMMYFUNCTION("""COMPUTED_VALUE"""),0.0)</f>
        <v>0</v>
      </c>
      <c r="Y1334" s="148">
        <f>IFERROR(__xludf.DUMMYFUNCTION("""COMPUTED_VALUE"""),0.0)</f>
        <v>0</v>
      </c>
      <c r="Z1334" s="148"/>
    </row>
    <row r="1335">
      <c r="A1335" s="148">
        <f>IFERROR(__xludf.DUMMYFUNCTION("""COMPUTED_VALUE"""),1.111627E7)</f>
        <v>11116270</v>
      </c>
      <c r="B1335" s="148" t="str">
        <f>IFERROR(__xludf.DUMMYFUNCTION("""COMPUTED_VALUE"""),"碎片-希尔达")</f>
        <v>碎片-希尔达</v>
      </c>
      <c r="C1335" s="148"/>
      <c r="D1335" s="148" t="str">
        <f>IFERROR(__xludf.DUMMYFUNCTION("""COMPUTED_VALUE"""),"hero_unit")</f>
        <v>hero_unit</v>
      </c>
      <c r="E1335" s="148">
        <f>IFERROR(__xludf.DUMMYFUNCTION("""COMPUTED_VALUE"""),0.0)</f>
        <v>0</v>
      </c>
      <c r="F1335" s="148">
        <f>IFERROR(__xludf.DUMMYFUNCTION("""COMPUTED_VALUE"""),411117.0)</f>
        <v>411117</v>
      </c>
      <c r="G1335" s="148">
        <f>IFERROR(__xludf.DUMMYFUNCTION("""COMPUTED_VALUE"""),1.51102519E8)</f>
        <v>151102519</v>
      </c>
      <c r="H1335" s="148">
        <f>IFERROR(__xludf.DUMMYFUNCTION("""COMPUTED_VALUE"""),1.5112564E7)</f>
        <v>15112564</v>
      </c>
      <c r="I1335" s="148" t="str">
        <f>IFERROR(__xludf.DUMMYFUNCTION("""COMPUTED_VALUE"""),"{}")</f>
        <v>{}</v>
      </c>
      <c r="J1335" s="148" t="str">
        <f>IFERROR(__xludf.DUMMYFUNCTION("""COMPUTED_VALUE"""),"{""typ"":""lc"",""txt"":""LC_ITEM_hero_fragment_name"",""args"":[{""typ"":""lc"",""txt"":""LC_HERO_hero_name_110""}]}")</f>
        <v>{"typ":"lc","txt":"LC_ITEM_hero_fragment_name","args":[{"typ":"lc","txt":"LC_HERO_hero_name_110"}]}</v>
      </c>
      <c r="K1335" s="148" t="str">
        <f>IFERROR(__xludf.DUMMYFUNCTION("""COMPUTED_VALUE"""),"{""typ"":""lc"",""txt"":""LC_ITEM_hero_fragment_desc""}")</f>
        <v>{"typ":"lc","txt":"LC_ITEM_hero_fragment_desc"}</v>
      </c>
      <c r="L1335" s="148" t="str">
        <f>IFERROR(__xludf.DUMMYFUNCTION("""COMPUTED_VALUE"""),"{}")</f>
        <v>{}</v>
      </c>
      <c r="M1335" s="148">
        <f>IFERROR(__xludf.DUMMYFUNCTION("""COMPUTED_VALUE"""),4000.0)</f>
        <v>4000</v>
      </c>
      <c r="N1335" s="148">
        <f>IFERROR(__xludf.DUMMYFUNCTION("""COMPUTED_VALUE"""),9999999.0)</f>
        <v>9999999</v>
      </c>
      <c r="O1335" s="148">
        <f>IFERROR(__xludf.DUMMYFUNCTION("""COMPUTED_VALUE"""),99999.0)</f>
        <v>99999</v>
      </c>
      <c r="P1335" s="148">
        <f>IFERROR(__xludf.DUMMYFUNCTION("""COMPUTED_VALUE"""),99999.0)</f>
        <v>99999</v>
      </c>
      <c r="Q1335" s="148" t="str">
        <f>IFERROR(__xludf.DUMMYFUNCTION("""COMPUTED_VALUE"""),"[""bag_other""]")</f>
        <v>["bag_other"]</v>
      </c>
      <c r="R1335" s="148" t="str">
        <f>IFERROR(__xludf.DUMMYFUNCTION("""COMPUTED_VALUE"""),"[""19201110""]")</f>
        <v>["19201110"]</v>
      </c>
      <c r="S1335" s="148" t="str">
        <f>IFERROR(__xludf.DUMMYFUNCTION("""COMPUTED_VALUE"""),"{""effect"":[{""typ"":""rss"",""id"":11141032,""val"":10},{""typ"":""rss"",""id"":11141034,""val"":500}]}")</f>
        <v>{"effect":[{"typ":"rss","id":11141032,"val":10},{"typ":"rss","id":11141034,"val":500}]}</v>
      </c>
      <c r="T1335" s="148">
        <f>IFERROR(__xludf.DUMMYFUNCTION("""COMPUTED_VALUE"""),-1.0)</f>
        <v>-1</v>
      </c>
      <c r="U1335" s="148">
        <f>IFERROR(__xludf.DUMMYFUNCTION("""COMPUTED_VALUE"""),0.0)</f>
        <v>0</v>
      </c>
      <c r="V1335" s="148" t="str">
        <f>IFERROR(__xludf.DUMMYFUNCTION("""COMPUTED_VALUE"""),"[]")</f>
        <v>[]</v>
      </c>
      <c r="W1335" s="148">
        <f>IFERROR(__xludf.DUMMYFUNCTION("""COMPUTED_VALUE"""),1.1741002E7)</f>
        <v>11741002</v>
      </c>
      <c r="X1335" s="148">
        <f>IFERROR(__xludf.DUMMYFUNCTION("""COMPUTED_VALUE"""),0.0)</f>
        <v>0</v>
      </c>
      <c r="Y1335" s="148">
        <f>IFERROR(__xludf.DUMMYFUNCTION("""COMPUTED_VALUE"""),0.0)</f>
        <v>0</v>
      </c>
      <c r="Z1335" s="148"/>
    </row>
    <row r="1336">
      <c r="A1336" s="148">
        <f>IFERROR(__xludf.DUMMYFUNCTION("""COMPUTED_VALUE"""),1.1116271E7)</f>
        <v>11116271</v>
      </c>
      <c r="B1336" s="148" t="str">
        <f>IFERROR(__xludf.DUMMYFUNCTION("""COMPUTED_VALUE"""),"碎片-西奥多")</f>
        <v>碎片-西奥多</v>
      </c>
      <c r="C1336" s="148"/>
      <c r="D1336" s="148" t="str">
        <f>IFERROR(__xludf.DUMMYFUNCTION("""COMPUTED_VALUE"""),"hero_unit")</f>
        <v>hero_unit</v>
      </c>
      <c r="E1336" s="148">
        <f>IFERROR(__xludf.DUMMYFUNCTION("""COMPUTED_VALUE"""),0.0)</f>
        <v>0</v>
      </c>
      <c r="F1336" s="148">
        <f>IFERROR(__xludf.DUMMYFUNCTION("""COMPUTED_VALUE"""),411117.0)</f>
        <v>411117</v>
      </c>
      <c r="G1336" s="148">
        <f>IFERROR(__xludf.DUMMYFUNCTION("""COMPUTED_VALUE"""),1.51103079E8)</f>
        <v>151103079</v>
      </c>
      <c r="H1336" s="148">
        <f>IFERROR(__xludf.DUMMYFUNCTION("""COMPUTED_VALUE"""),1.5112564E7)</f>
        <v>15112564</v>
      </c>
      <c r="I1336" s="148" t="str">
        <f>IFERROR(__xludf.DUMMYFUNCTION("""COMPUTED_VALUE"""),"{}")</f>
        <v>{}</v>
      </c>
      <c r="J1336" s="148" t="str">
        <f>IFERROR(__xludf.DUMMYFUNCTION("""COMPUTED_VALUE"""),"{""typ"":""lc"",""txt"":""LC_ITEM_hero_fragment_name"",""args"":[{""typ"":""lc"",""txt"":""LC_HERO_hero_name_111""}]}")</f>
        <v>{"typ":"lc","txt":"LC_ITEM_hero_fragment_name","args":[{"typ":"lc","txt":"LC_HERO_hero_name_111"}]}</v>
      </c>
      <c r="K1336" s="148" t="str">
        <f>IFERROR(__xludf.DUMMYFUNCTION("""COMPUTED_VALUE"""),"{""typ"":""lc"",""txt"":""LC_ITEM_hero_fragment_desc""}")</f>
        <v>{"typ":"lc","txt":"LC_ITEM_hero_fragment_desc"}</v>
      </c>
      <c r="L1336" s="148" t="str">
        <f>IFERROR(__xludf.DUMMYFUNCTION("""COMPUTED_VALUE"""),"{}")</f>
        <v>{}</v>
      </c>
      <c r="M1336" s="148">
        <f>IFERROR(__xludf.DUMMYFUNCTION("""COMPUTED_VALUE"""),4000.0)</f>
        <v>4000</v>
      </c>
      <c r="N1336" s="148">
        <f>IFERROR(__xludf.DUMMYFUNCTION("""COMPUTED_VALUE"""),9999999.0)</f>
        <v>9999999</v>
      </c>
      <c r="O1336" s="148">
        <f>IFERROR(__xludf.DUMMYFUNCTION("""COMPUTED_VALUE"""),99999.0)</f>
        <v>99999</v>
      </c>
      <c r="P1336" s="148">
        <f>IFERROR(__xludf.DUMMYFUNCTION("""COMPUTED_VALUE"""),99999.0)</f>
        <v>99999</v>
      </c>
      <c r="Q1336" s="148" t="str">
        <f>IFERROR(__xludf.DUMMYFUNCTION("""COMPUTED_VALUE"""),"[""bag_other""]")</f>
        <v>["bag_other"]</v>
      </c>
      <c r="R1336" s="148" t="str">
        <f>IFERROR(__xludf.DUMMYFUNCTION("""COMPUTED_VALUE"""),"[""19201111""]")</f>
        <v>["19201111"]</v>
      </c>
      <c r="S1336" s="148" t="str">
        <f>IFERROR(__xludf.DUMMYFUNCTION("""COMPUTED_VALUE"""),"{""effect"":[{""typ"":""rss"",""id"":11141032,""val"":10},{""typ"":""rss"",""id"":11141034,""val"":500}]}")</f>
        <v>{"effect":[{"typ":"rss","id":11141032,"val":10},{"typ":"rss","id":11141034,"val":500}]}</v>
      </c>
      <c r="T1336" s="148">
        <f>IFERROR(__xludf.DUMMYFUNCTION("""COMPUTED_VALUE"""),-1.0)</f>
        <v>-1</v>
      </c>
      <c r="U1336" s="148">
        <f>IFERROR(__xludf.DUMMYFUNCTION("""COMPUTED_VALUE"""),0.0)</f>
        <v>0</v>
      </c>
      <c r="V1336" s="148" t="str">
        <f>IFERROR(__xludf.DUMMYFUNCTION("""COMPUTED_VALUE"""),"[]")</f>
        <v>[]</v>
      </c>
      <c r="W1336" s="148">
        <f>IFERROR(__xludf.DUMMYFUNCTION("""COMPUTED_VALUE"""),1.1741002E7)</f>
        <v>11741002</v>
      </c>
      <c r="X1336" s="148">
        <f>IFERROR(__xludf.DUMMYFUNCTION("""COMPUTED_VALUE"""),0.0)</f>
        <v>0</v>
      </c>
      <c r="Y1336" s="148">
        <f>IFERROR(__xludf.DUMMYFUNCTION("""COMPUTED_VALUE"""),0.0)</f>
        <v>0</v>
      </c>
      <c r="Z1336" s="148"/>
    </row>
    <row r="1337">
      <c r="A1337" s="148">
        <f>IFERROR(__xludf.DUMMYFUNCTION("""COMPUTED_VALUE"""),1.1116272E7)</f>
        <v>11116272</v>
      </c>
      <c r="B1337" s="148" t="str">
        <f>IFERROR(__xludf.DUMMYFUNCTION("""COMPUTED_VALUE"""),"碎片-艾里奥特")</f>
        <v>碎片-艾里奥特</v>
      </c>
      <c r="C1337" s="148"/>
      <c r="D1337" s="148" t="str">
        <f>IFERROR(__xludf.DUMMYFUNCTION("""COMPUTED_VALUE"""),"hero_unit")</f>
        <v>hero_unit</v>
      </c>
      <c r="E1337" s="148">
        <f>IFERROR(__xludf.DUMMYFUNCTION("""COMPUTED_VALUE"""),0.0)</f>
        <v>0</v>
      </c>
      <c r="F1337" s="148">
        <f>IFERROR(__xludf.DUMMYFUNCTION("""COMPUTED_VALUE"""),411117.0)</f>
        <v>411117</v>
      </c>
      <c r="G1337" s="148">
        <f>IFERROR(__xludf.DUMMYFUNCTION("""COMPUTED_VALUE"""),1.51104027E8)</f>
        <v>151104027</v>
      </c>
      <c r="H1337" s="148">
        <f>IFERROR(__xludf.DUMMYFUNCTION("""COMPUTED_VALUE"""),1.5115983E7)</f>
        <v>15115983</v>
      </c>
      <c r="I1337" s="148" t="str">
        <f>IFERROR(__xludf.DUMMYFUNCTION("""COMPUTED_VALUE"""),"{}")</f>
        <v>{}</v>
      </c>
      <c r="J1337" s="148" t="str">
        <f>IFERROR(__xludf.DUMMYFUNCTION("""COMPUTED_VALUE"""),"{""typ"":""lc"",""txt"":""LC_ITEM_hero_fragment_name"",""args"":[{""typ"":""lc"",""txt"":""LC_HERO_hero_name_112""}]}")</f>
        <v>{"typ":"lc","txt":"LC_ITEM_hero_fragment_name","args":[{"typ":"lc","txt":"LC_HERO_hero_name_112"}]}</v>
      </c>
      <c r="K1337" s="148" t="str">
        <f>IFERROR(__xludf.DUMMYFUNCTION("""COMPUTED_VALUE"""),"{""typ"":""lc"",""txt"":""LC_ITEM_hero_fragment_desc""}")</f>
        <v>{"typ":"lc","txt":"LC_ITEM_hero_fragment_desc"}</v>
      </c>
      <c r="L1337" s="148" t="str">
        <f>IFERROR(__xludf.DUMMYFUNCTION("""COMPUTED_VALUE"""),"{}")</f>
        <v>{}</v>
      </c>
      <c r="M1337" s="148">
        <f>IFERROR(__xludf.DUMMYFUNCTION("""COMPUTED_VALUE"""),4000.0)</f>
        <v>4000</v>
      </c>
      <c r="N1337" s="148">
        <f>IFERROR(__xludf.DUMMYFUNCTION("""COMPUTED_VALUE"""),9999999.0)</f>
        <v>9999999</v>
      </c>
      <c r="O1337" s="148">
        <f>IFERROR(__xludf.DUMMYFUNCTION("""COMPUTED_VALUE"""),99999.0)</f>
        <v>99999</v>
      </c>
      <c r="P1337" s="148">
        <f>IFERROR(__xludf.DUMMYFUNCTION("""COMPUTED_VALUE"""),99999.0)</f>
        <v>99999</v>
      </c>
      <c r="Q1337" s="148" t="str">
        <f>IFERROR(__xludf.DUMMYFUNCTION("""COMPUTED_VALUE"""),"[""bag_other""]")</f>
        <v>["bag_other"]</v>
      </c>
      <c r="R1337" s="148" t="str">
        <f>IFERROR(__xludf.DUMMYFUNCTION("""COMPUTED_VALUE"""),"[""19201112""]")</f>
        <v>["19201112"]</v>
      </c>
      <c r="S1337" s="148" t="str">
        <f>IFERROR(__xludf.DUMMYFUNCTION("""COMPUTED_VALUE"""),"{""effect"":[{""typ"":""rss"",""id"":11141032,""val"":10},{""typ"":""rss"",""id"":11141034,""val"":500}]}")</f>
        <v>{"effect":[{"typ":"rss","id":11141032,"val":10},{"typ":"rss","id":11141034,"val":500}]}</v>
      </c>
      <c r="T1337" s="148">
        <f>IFERROR(__xludf.DUMMYFUNCTION("""COMPUTED_VALUE"""),-1.0)</f>
        <v>-1</v>
      </c>
      <c r="U1337" s="148">
        <f>IFERROR(__xludf.DUMMYFUNCTION("""COMPUTED_VALUE"""),0.0)</f>
        <v>0</v>
      </c>
      <c r="V1337" s="148" t="str">
        <f>IFERROR(__xludf.DUMMYFUNCTION("""COMPUTED_VALUE"""),"[]")</f>
        <v>[]</v>
      </c>
      <c r="W1337" s="148">
        <f>IFERROR(__xludf.DUMMYFUNCTION("""COMPUTED_VALUE"""),1.1741002E7)</f>
        <v>11741002</v>
      </c>
      <c r="X1337" s="148">
        <f>IFERROR(__xludf.DUMMYFUNCTION("""COMPUTED_VALUE"""),0.0)</f>
        <v>0</v>
      </c>
      <c r="Y1337" s="148">
        <f>IFERROR(__xludf.DUMMYFUNCTION("""COMPUTED_VALUE"""),0.0)</f>
        <v>0</v>
      </c>
      <c r="Z1337" s="148"/>
    </row>
    <row r="1338">
      <c r="A1338" s="148">
        <f>IFERROR(__xludf.DUMMYFUNCTION("""COMPUTED_VALUE"""),1.1116301E7)</f>
        <v>11116301</v>
      </c>
      <c r="B1338" s="148" t="str">
        <f>IFERROR(__xludf.DUMMYFUNCTION("""COMPUTED_VALUE"""),"万能英雄碎片-绿色")</f>
        <v>万能英雄碎片-绿色</v>
      </c>
      <c r="C1338" s="148"/>
      <c r="D1338" s="148" t="str">
        <f>IFERROR(__xludf.DUMMYFUNCTION("""COMPUTED_VALUE"""),"hero_unit_universal")</f>
        <v>hero_unit_universal</v>
      </c>
      <c r="E1338" s="148">
        <f>IFERROR(__xludf.DUMMYFUNCTION("""COMPUTED_VALUE"""),0.0)</f>
        <v>0</v>
      </c>
      <c r="F1338" s="148">
        <f>IFERROR(__xludf.DUMMYFUNCTION("""COMPUTED_VALUE"""),411104.0)</f>
        <v>411104</v>
      </c>
      <c r="G1338" s="148">
        <f>IFERROR(__xludf.DUMMYFUNCTION("""COMPUTED_VALUE"""),1.511281E7)</f>
        <v>15112810</v>
      </c>
      <c r="H1338" s="148">
        <f>IFERROR(__xludf.DUMMYFUNCTION("""COMPUTED_VALUE"""),1.5112561E7)</f>
        <v>15112561</v>
      </c>
      <c r="I1338" s="148" t="str">
        <f>IFERROR(__xludf.DUMMYFUNCTION("""COMPUTED_VALUE"""),"{}")</f>
        <v>{}</v>
      </c>
      <c r="J1338" s="148" t="str">
        <f>IFERROR(__xludf.DUMMYFUNCTION("""COMPUTED_VALUE"""),"{""typ"":""lc"",""txt"":""LC_ITEM_hero_universal_fragment_green_name""}")</f>
        <v>{"typ":"lc","txt":"LC_ITEM_hero_universal_fragment_green_name"}</v>
      </c>
      <c r="K1338" s="148" t="str">
        <f>IFERROR(__xludf.DUMMYFUNCTION("""COMPUTED_VALUE"""),"{""typ"":""lc"",""txt"":""LC_ITEM_hero_universal_fragment_green_desc""}")</f>
        <v>{"typ":"lc","txt":"LC_ITEM_hero_universal_fragment_green_desc"}</v>
      </c>
      <c r="L1338" s="148" t="str">
        <f>IFERROR(__xludf.DUMMYFUNCTION("""COMPUTED_VALUE"""),"{""typ"":""lc"",""txt"":""LC_ITEM_hero_universal_fragment_usedtip""}")</f>
        <v>{"typ":"lc","txt":"LC_ITEM_hero_universal_fragment_usedtip"}</v>
      </c>
      <c r="M1338" s="148">
        <f>IFERROR(__xludf.DUMMYFUNCTION("""COMPUTED_VALUE"""),50.0)</f>
        <v>50</v>
      </c>
      <c r="N1338" s="148">
        <f>IFERROR(__xludf.DUMMYFUNCTION("""COMPUTED_VALUE"""),9999999.0)</f>
        <v>9999999</v>
      </c>
      <c r="O1338" s="148">
        <f>IFERROR(__xludf.DUMMYFUNCTION("""COMPUTED_VALUE"""),99999.0)</f>
        <v>99999</v>
      </c>
      <c r="P1338" s="148">
        <f>IFERROR(__xludf.DUMMYFUNCTION("""COMPUTED_VALUE"""),99999.0)</f>
        <v>99999</v>
      </c>
      <c r="Q1338" s="148" t="str">
        <f>IFERROR(__xludf.DUMMYFUNCTION("""COMPUTED_VALUE"""),"[""bag_other""]")</f>
        <v>["bag_other"]</v>
      </c>
      <c r="R1338" s="148" t="str">
        <f>IFERROR(__xludf.DUMMYFUNCTION("""COMPUTED_VALUE"""),"[""exchange_green""]")</f>
        <v>["exchange_green"]</v>
      </c>
      <c r="S1338" s="148" t="str">
        <f>IFERROR(__xludf.DUMMYFUNCTION("""COMPUTED_VALUE"""),"{}")</f>
        <v>{}</v>
      </c>
      <c r="T1338" s="148">
        <f>IFERROR(__xludf.DUMMYFUNCTION("""COMPUTED_VALUE"""),-1.0)</f>
        <v>-1</v>
      </c>
      <c r="U1338" s="148">
        <f>IFERROR(__xludf.DUMMYFUNCTION("""COMPUTED_VALUE"""),0.0)</f>
        <v>0</v>
      </c>
      <c r="V1338" s="148" t="str">
        <f>IFERROR(__xludf.DUMMYFUNCTION("""COMPUTED_VALUE"""),"[]")</f>
        <v>[]</v>
      </c>
      <c r="W1338" s="148">
        <f>IFERROR(__xludf.DUMMYFUNCTION("""COMPUTED_VALUE"""),1.1741002E7)</f>
        <v>11741002</v>
      </c>
      <c r="X1338" s="148">
        <f>IFERROR(__xludf.DUMMYFUNCTION("""COMPUTED_VALUE"""),0.0)</f>
        <v>0</v>
      </c>
      <c r="Y1338" s="148">
        <f>IFERROR(__xludf.DUMMYFUNCTION("""COMPUTED_VALUE"""),0.0)</f>
        <v>0</v>
      </c>
      <c r="Z1338" s="148"/>
    </row>
    <row r="1339">
      <c r="A1339" s="148">
        <f>IFERROR(__xludf.DUMMYFUNCTION("""COMPUTED_VALUE"""),1.1116302E7)</f>
        <v>11116302</v>
      </c>
      <c r="B1339" s="148" t="str">
        <f>IFERROR(__xludf.DUMMYFUNCTION("""COMPUTED_VALUE"""),"万能英雄碎片-蓝色")</f>
        <v>万能英雄碎片-蓝色</v>
      </c>
      <c r="C1339" s="148"/>
      <c r="D1339" s="148" t="str">
        <f>IFERROR(__xludf.DUMMYFUNCTION("""COMPUTED_VALUE"""),"hero_unit_universal")</f>
        <v>hero_unit_universal</v>
      </c>
      <c r="E1339" s="148">
        <f>IFERROR(__xludf.DUMMYFUNCTION("""COMPUTED_VALUE"""),0.0)</f>
        <v>0</v>
      </c>
      <c r="F1339" s="148">
        <f>IFERROR(__xludf.DUMMYFUNCTION("""COMPUTED_VALUE"""),411103.0)</f>
        <v>411103</v>
      </c>
      <c r="G1339" s="148">
        <f>IFERROR(__xludf.DUMMYFUNCTION("""COMPUTED_VALUE"""),1.5112811E7)</f>
        <v>15112811</v>
      </c>
      <c r="H1339" s="148">
        <f>IFERROR(__xludf.DUMMYFUNCTION("""COMPUTED_VALUE"""),1.5112562E7)</f>
        <v>15112562</v>
      </c>
      <c r="I1339" s="148" t="str">
        <f>IFERROR(__xludf.DUMMYFUNCTION("""COMPUTED_VALUE"""),"{}")</f>
        <v>{}</v>
      </c>
      <c r="J1339" s="148" t="str">
        <f>IFERROR(__xludf.DUMMYFUNCTION("""COMPUTED_VALUE"""),"{""typ"":""lc"",""txt"":""LC_ITEM_hero_universal_fragment_blue_name""}")</f>
        <v>{"typ":"lc","txt":"LC_ITEM_hero_universal_fragment_blue_name"}</v>
      </c>
      <c r="K1339" s="148" t="str">
        <f>IFERROR(__xludf.DUMMYFUNCTION("""COMPUTED_VALUE"""),"{""typ"":""lc"",""txt"":""LC_ITEM_hero_universal_fragment_blue_desc""}")</f>
        <v>{"typ":"lc","txt":"LC_ITEM_hero_universal_fragment_blue_desc"}</v>
      </c>
      <c r="L1339" s="148" t="str">
        <f>IFERROR(__xludf.DUMMYFUNCTION("""COMPUTED_VALUE"""),"{""typ"":""lc"",""txt"":""LC_ITEM_hero_universal_fragment_usedtip""}")</f>
        <v>{"typ":"lc","txt":"LC_ITEM_hero_universal_fragment_usedtip"}</v>
      </c>
      <c r="M1339" s="148">
        <f>IFERROR(__xludf.DUMMYFUNCTION("""COMPUTED_VALUE"""),200.0)</f>
        <v>200</v>
      </c>
      <c r="N1339" s="148">
        <f>IFERROR(__xludf.DUMMYFUNCTION("""COMPUTED_VALUE"""),9999999.0)</f>
        <v>9999999</v>
      </c>
      <c r="O1339" s="148">
        <f>IFERROR(__xludf.DUMMYFUNCTION("""COMPUTED_VALUE"""),99999.0)</f>
        <v>99999</v>
      </c>
      <c r="P1339" s="148">
        <f>IFERROR(__xludf.DUMMYFUNCTION("""COMPUTED_VALUE"""),99999.0)</f>
        <v>99999</v>
      </c>
      <c r="Q1339" s="148" t="str">
        <f>IFERROR(__xludf.DUMMYFUNCTION("""COMPUTED_VALUE"""),"[""bag_other""]")</f>
        <v>["bag_other"]</v>
      </c>
      <c r="R1339" s="148" t="str">
        <f>IFERROR(__xludf.DUMMYFUNCTION("""COMPUTED_VALUE"""),"[""exchange_blue""]")</f>
        <v>["exchange_blue"]</v>
      </c>
      <c r="S1339" s="148" t="str">
        <f>IFERROR(__xludf.DUMMYFUNCTION("""COMPUTED_VALUE"""),"{""effect"":[{""typ"":""item"",""id"":11116201,""val"":1,""arg1"":1,""arg2"":[19201001]},{""typ"":""item"",""id"":11116202,""val"":1,""arg1"":1,""arg2"":[19201002]}]}")</f>
        <v>{"effect":[{"typ":"item","id":11116201,"val":1,"arg1":1,"arg2":[19201001]},{"typ":"item","id":11116202,"val":1,"arg1":1,"arg2":[19201002]}]}</v>
      </c>
      <c r="T1339" s="148">
        <f>IFERROR(__xludf.DUMMYFUNCTION("""COMPUTED_VALUE"""),-1.0)</f>
        <v>-1</v>
      </c>
      <c r="U1339" s="148">
        <f>IFERROR(__xludf.DUMMYFUNCTION("""COMPUTED_VALUE"""),0.0)</f>
        <v>0</v>
      </c>
      <c r="V1339" s="148" t="str">
        <f>IFERROR(__xludf.DUMMYFUNCTION("""COMPUTED_VALUE"""),"[]")</f>
        <v>[]</v>
      </c>
      <c r="W1339" s="148">
        <f>IFERROR(__xludf.DUMMYFUNCTION("""COMPUTED_VALUE"""),1.1741002E7)</f>
        <v>11741002</v>
      </c>
      <c r="X1339" s="148">
        <f>IFERROR(__xludf.DUMMYFUNCTION("""COMPUTED_VALUE"""),0.0)</f>
        <v>0</v>
      </c>
      <c r="Y1339" s="148">
        <f>IFERROR(__xludf.DUMMYFUNCTION("""COMPUTED_VALUE"""),0.0)</f>
        <v>0</v>
      </c>
      <c r="Z1339" s="148"/>
    </row>
    <row r="1340">
      <c r="A1340" s="148">
        <f>IFERROR(__xludf.DUMMYFUNCTION("""COMPUTED_VALUE"""),1.1116303E7)</f>
        <v>11116303</v>
      </c>
      <c r="B1340" s="148" t="str">
        <f>IFERROR(__xludf.DUMMYFUNCTION("""COMPUTED_VALUE"""),"万能英雄碎片-紫色")</f>
        <v>万能英雄碎片-紫色</v>
      </c>
      <c r="C1340" s="148"/>
      <c r="D1340" s="148" t="str">
        <f>IFERROR(__xludf.DUMMYFUNCTION("""COMPUTED_VALUE"""),"hero_unit_universal")</f>
        <v>hero_unit_universal</v>
      </c>
      <c r="E1340" s="148">
        <f>IFERROR(__xludf.DUMMYFUNCTION("""COMPUTED_VALUE"""),0.0)</f>
        <v>0</v>
      </c>
      <c r="F1340" s="148">
        <f>IFERROR(__xludf.DUMMYFUNCTION("""COMPUTED_VALUE"""),411102.0)</f>
        <v>411102</v>
      </c>
      <c r="G1340" s="148">
        <f>IFERROR(__xludf.DUMMYFUNCTION("""COMPUTED_VALUE"""),1.5112812E7)</f>
        <v>15112812</v>
      </c>
      <c r="H1340" s="148">
        <f>IFERROR(__xludf.DUMMYFUNCTION("""COMPUTED_VALUE"""),1.5112563E7)</f>
        <v>15112563</v>
      </c>
      <c r="I1340" s="148" t="str">
        <f>IFERROR(__xludf.DUMMYFUNCTION("""COMPUTED_VALUE"""),"{}")</f>
        <v>{}</v>
      </c>
      <c r="J1340" s="148" t="str">
        <f>IFERROR(__xludf.DUMMYFUNCTION("""COMPUTED_VALUE"""),"{""typ"":""lc"",""txt"":""LC_ITEM_hero_universal_fragment_purple_name""}")</f>
        <v>{"typ":"lc","txt":"LC_ITEM_hero_universal_fragment_purple_name"}</v>
      </c>
      <c r="K1340" s="148" t="str">
        <f>IFERROR(__xludf.DUMMYFUNCTION("""COMPUTED_VALUE"""),"{""typ"":""lc"",""txt"":""LC_ITEM_hero_universal_fragment_purple_desc""}")</f>
        <v>{"typ":"lc","txt":"LC_ITEM_hero_universal_fragment_purple_desc"}</v>
      </c>
      <c r="L1340" s="148" t="str">
        <f>IFERROR(__xludf.DUMMYFUNCTION("""COMPUTED_VALUE"""),"{""typ"":""lc"",""txt"":""LC_ITEM_hero_universal_fragment_usedtip""}")</f>
        <v>{"typ":"lc","txt":"LC_ITEM_hero_universal_fragment_usedtip"}</v>
      </c>
      <c r="M1340" s="148">
        <f>IFERROR(__xludf.DUMMYFUNCTION("""COMPUTED_VALUE"""),500.0)</f>
        <v>500</v>
      </c>
      <c r="N1340" s="148">
        <f>IFERROR(__xludf.DUMMYFUNCTION("""COMPUTED_VALUE"""),9999999.0)</f>
        <v>9999999</v>
      </c>
      <c r="O1340" s="148">
        <f>IFERROR(__xludf.DUMMYFUNCTION("""COMPUTED_VALUE"""),99999.0)</f>
        <v>99999</v>
      </c>
      <c r="P1340" s="148">
        <f>IFERROR(__xludf.DUMMYFUNCTION("""COMPUTED_VALUE"""),99999.0)</f>
        <v>99999</v>
      </c>
      <c r="Q1340" s="148" t="str">
        <f>IFERROR(__xludf.DUMMYFUNCTION("""COMPUTED_VALUE"""),"[""bag_other""]")</f>
        <v>["bag_other"]</v>
      </c>
      <c r="R1340" s="148" t="str">
        <f>IFERROR(__xludf.DUMMYFUNCTION("""COMPUTED_VALUE"""),"[""exchange_purple""]")</f>
        <v>["exchange_purple"]</v>
      </c>
      <c r="S1340" s="148" t="str">
        <f>IFERROR(__xludf.DUMMYFUNCTION("""COMPUTED_VALUE"""),"{""effect"":[{""typ"":""item"",""id"":11116203,""val"":1,""arg1"":1,""arg2"":[19201003]},{""typ"":""item"",""id"":11116204,""val"":1,""arg1"":1,""arg2"":[19201004]},{""typ"":""item"",""id"":11116205,""val"":1,""arg1"":1,""arg2"":[19201005]},{""typ"":""ite"&amp;"m"",""id"":11116206,""val"":1,""arg1"":1,""arg2"":[19201006]},{""typ"":""item"",""id"":11116207,""val"":1,""arg1"":1,""arg2"":[19201007]},{""typ"":""item"",""id"":11116208,""val"":1,""arg1"":1,""arg2"":[19201008]},{""typ"":""item"",""id"":11116216,""val"""&amp;":1,""arg1"":1,""arg2"":[19201026]},{""typ"":""item"",""id"":11116224,""val"":1,""arg1"":1,""arg2"":[19201034]},{""typ"":""item"",""id"":11116225,""val"":1,""arg1"":1,""arg2"":[19201035]},{""typ"":""item"",""id"":11116226,""val"":1,""arg1"":1,""arg2"":[192"&amp;"01036]},{""typ"":""item"",""id"":11116228,""val"":1,""arg1"":1,""arg2"":[19201038]},{""typ"":""item"",""id"":11116229,""val"":1,""arg1"":1,""arg2"":[19201039]},{""typ"":""item"",""id"":11116232,""val"":1,""arg1"":1,""arg2"":[19201052]}]}")</f>
        <v>{"effect":[{"typ":"item","id":11116203,"val":1,"arg1":1,"arg2":[19201003]},{"typ":"item","id":11116204,"val":1,"arg1":1,"arg2":[19201004]},{"typ":"item","id":11116205,"val":1,"arg1":1,"arg2":[19201005]},{"typ":"item","id":11116206,"val":1,"arg1":1,"arg2":[19201006]},{"typ":"item","id":11116207,"val":1,"arg1":1,"arg2":[19201007]},{"typ":"item","id":11116208,"val":1,"arg1":1,"arg2":[19201008]},{"typ":"item","id":11116216,"val":1,"arg1":1,"arg2":[19201026]},{"typ":"item","id":11116224,"val":1,"arg1":1,"arg2":[19201034]},{"typ":"item","id":11116225,"val":1,"arg1":1,"arg2":[19201035]},{"typ":"item","id":11116226,"val":1,"arg1":1,"arg2":[19201036]},{"typ":"item","id":11116228,"val":1,"arg1":1,"arg2":[19201038]},{"typ":"item","id":11116229,"val":1,"arg1":1,"arg2":[19201039]},{"typ":"item","id":11116232,"val":1,"arg1":1,"arg2":[19201052]}]}</v>
      </c>
      <c r="T1340" s="148">
        <f>IFERROR(__xludf.DUMMYFUNCTION("""COMPUTED_VALUE"""),-1.0)</f>
        <v>-1</v>
      </c>
      <c r="U1340" s="148">
        <f>IFERROR(__xludf.DUMMYFUNCTION("""COMPUTED_VALUE"""),0.0)</f>
        <v>0</v>
      </c>
      <c r="V1340" s="148" t="str">
        <f>IFERROR(__xludf.DUMMYFUNCTION("""COMPUTED_VALUE"""),"[]")</f>
        <v>[]</v>
      </c>
      <c r="W1340" s="148">
        <f>IFERROR(__xludf.DUMMYFUNCTION("""COMPUTED_VALUE"""),1.1741002E7)</f>
        <v>11741002</v>
      </c>
      <c r="X1340" s="148">
        <f>IFERROR(__xludf.DUMMYFUNCTION("""COMPUTED_VALUE"""),0.0)</f>
        <v>0</v>
      </c>
      <c r="Y1340" s="148">
        <f>IFERROR(__xludf.DUMMYFUNCTION("""COMPUTED_VALUE"""),0.0)</f>
        <v>0</v>
      </c>
      <c r="Z1340" s="148"/>
    </row>
    <row r="1341">
      <c r="A1341" s="148">
        <f>IFERROR(__xludf.DUMMYFUNCTION("""COMPUTED_VALUE"""),1.1116304E7)</f>
        <v>11116304</v>
      </c>
      <c r="B1341" s="148" t="str">
        <f>IFERROR(__xludf.DUMMYFUNCTION("""COMPUTED_VALUE"""),"万能英雄碎片-橙色")</f>
        <v>万能英雄碎片-橙色</v>
      </c>
      <c r="C1341" s="148"/>
      <c r="D1341" s="148" t="str">
        <f>IFERROR(__xludf.DUMMYFUNCTION("""COMPUTED_VALUE"""),"hero_unit_universal")</f>
        <v>hero_unit_universal</v>
      </c>
      <c r="E1341" s="148">
        <f>IFERROR(__xludf.DUMMYFUNCTION("""COMPUTED_VALUE"""),0.0)</f>
        <v>0</v>
      </c>
      <c r="F1341" s="148">
        <f>IFERROR(__xludf.DUMMYFUNCTION("""COMPUTED_VALUE"""),411101.0)</f>
        <v>411101</v>
      </c>
      <c r="G1341" s="148">
        <f>IFERROR(__xludf.DUMMYFUNCTION("""COMPUTED_VALUE"""),1.5112813E7)</f>
        <v>15112813</v>
      </c>
      <c r="H1341" s="148">
        <f>IFERROR(__xludf.DUMMYFUNCTION("""COMPUTED_VALUE"""),1.5112564E7)</f>
        <v>15112564</v>
      </c>
      <c r="I1341" s="148" t="str">
        <f>IFERROR(__xludf.DUMMYFUNCTION("""COMPUTED_VALUE"""),"{}")</f>
        <v>{}</v>
      </c>
      <c r="J1341" s="148" t="str">
        <f>IFERROR(__xludf.DUMMYFUNCTION("""COMPUTED_VALUE"""),"{""typ"":""lc"",""txt"":""LC_ITEM_hero_universal_fragment_orange_name""}")</f>
        <v>{"typ":"lc","txt":"LC_ITEM_hero_universal_fragment_orange_name"}</v>
      </c>
      <c r="K1341" s="148" t="str">
        <f>IFERROR(__xludf.DUMMYFUNCTION("""COMPUTED_VALUE"""),"{""typ"":""lc"",""txt"":""LC_ITEM_hero_universal_fragment_orange_desc""}")</f>
        <v>{"typ":"lc","txt":"LC_ITEM_hero_universal_fragment_orange_desc"}</v>
      </c>
      <c r="L1341" s="148" t="str">
        <f>IFERROR(__xludf.DUMMYFUNCTION("""COMPUTED_VALUE"""),"{""typ"":""lc"",""txt"":""LC_ITEM_hero_universal_fragment_usedtip""}")</f>
        <v>{"typ":"lc","txt":"LC_ITEM_hero_universal_fragment_usedtip"}</v>
      </c>
      <c r="M1341" s="148">
        <f>IFERROR(__xludf.DUMMYFUNCTION("""COMPUTED_VALUE"""),5000.0)</f>
        <v>5000</v>
      </c>
      <c r="N1341" s="148">
        <f>IFERROR(__xludf.DUMMYFUNCTION("""COMPUTED_VALUE"""),9999999.0)</f>
        <v>9999999</v>
      </c>
      <c r="O1341" s="148">
        <f>IFERROR(__xludf.DUMMYFUNCTION("""COMPUTED_VALUE"""),99999.0)</f>
        <v>99999</v>
      </c>
      <c r="P1341" s="148">
        <f>IFERROR(__xludf.DUMMYFUNCTION("""COMPUTED_VALUE"""),99999.0)</f>
        <v>99999</v>
      </c>
      <c r="Q1341" s="148" t="str">
        <f>IFERROR(__xludf.DUMMYFUNCTION("""COMPUTED_VALUE"""),"[""bag_other""]")</f>
        <v>["bag_other"]</v>
      </c>
      <c r="R1341" s="148" t="str">
        <f>IFERROR(__xludf.DUMMYFUNCTION("""COMPUTED_VALUE"""),"[""exchange_orange""]")</f>
        <v>["exchange_orange"]</v>
      </c>
      <c r="S1341" s="148" t="str">
        <f>IFERROR(__xludf.DUMMYFUNCTION("""COMPUTED_VALUE"""),"{""effect"":[{""typ"":""item"",""id"":11116209,""val"":1,""arg1"":1,""arg2"":[19201009]},{""typ"":""item"",""id"":11116210,""val"":1,""arg1"":1,""arg2"":[19201020]},{""typ"":""item"",""id"":11116211,""val"":1,""arg1"":1,""arg2"":[19201021]},{""typ"":""ite"&amp;"m"",""id"":11116212,""val"":1,""arg1"":1,""arg2"":[19201022]},{""typ"":""item"",""id"":11116213,""val"":1,""arg1"":1,""arg2"":[19201023]},{""typ"":""item"",""id"":11116214,""val"":1,""arg1"":1,""arg2"":[19201024]},{""typ"":""item"",""id"":11116215,""val"""&amp;":1,""arg1"":1,""arg2"":[19201025]},{""typ"":""item"",""id"":11116217,""val"":1,""arg1"":1,""arg2"":[19201027]},{""typ"":""item"",""id"":11116218,""val"":1,""arg1"":1,""arg2"":[19201028]},{""typ"":""item"",""id"":11116219,""val"":1,""arg1"":1,""arg2"":[192"&amp;"01029]},{""typ"":""item"",""id"":11116220,""val"":1,""arg1"":1,""arg2"":[19201030]},{""typ"":""item"",""id"":11116221,""val"":1,""arg1"":1,""arg2"":[19201031]},{""typ"":""item"",""id"":11116222,""val"":1,""arg1"":1,""arg2"":[19201032]},{""typ"":""item"","&amp;"""id"":11116223,""val"":1,""arg1"":1,""arg2"":[19201033]},{""typ"":""item"",""id"":11116227,""val"":1,""arg1"":1,""arg2"":[19201037]},{""typ"":""item"",""id"":11116230,""val"":1,""arg1"":1,""arg2"":[19201050]},{""typ"":""item"",""id"":11116231,""val"":1,"&amp;"""arg1"":1,""arg2"":[19201051]},{""typ"":""item"",""id"":11116233,""val"":1,""arg1"":1,""arg2"":[19201053]},{""typ"":""item"",""id"":11116234,""val"":1,""arg1"":1,""arg2"":[19201054]},{""typ"":""item"",""id"":11116235,""val"":1,""arg1"":1,""arg2"":[192010"&amp;"55]},{""typ"":""item"",""id"":11116238,""val"":1,""arg1"":1,""arg2"":[19201058]},{""typ"":""item"",""id"":11116239,""val"":1,""arg1"":1,""arg2"":[19201059]},{""typ"":""item"",""id"":11116240,""val"":1,""arg1"":1,""arg2"":[19201070]},{""typ"":""item"",""id"&amp;""":11116241,""val"":1,""arg1"":1,""arg2"":[19201071]},{""typ"":""item"",""id"":11116242,""val"":1,""arg1"":1,""arg2"":[19201072]},{""typ"":""item"",""id"":11116243,""val"":1,""arg1"":1,""arg2"":[19201073]},{""typ"":""item"",""id"":11116244,""val"":1,""arg"&amp;"1"":1,""arg2"":[19201074]},{""typ"":""item"",""id"":11116245,""val"":1,""arg1"":1,""arg2"":[19201075]},{""typ"":""item"",""id"":11116246,""val"":1,""arg1"":1,""arg2"":[19201076]},{""typ"":""item"",""id"":11116247,""val"":1,""arg1"":1,""arg2"":[19201077]},"&amp;"{""typ"":""item"",""id"":11116248,""val"":1,""arg1"":1,""arg2"":[19201078]},{""typ"":""item"",""id"":11116249,""val"":1,""arg1"":1,""arg2"":[19201079]},{""typ"":""item"",""id"":11116250,""val"":1,""arg1"":1,""arg2"":[19201090]},{""typ"":""item"",""id"":11"&amp;"116251,""val"":1,""arg1"":1,""arg2"":[19201091]},{""typ"":""item"",""id"":11116252,""val"":1,""arg1"":1,""arg2"":[19201092]},{""typ"":""item"",""id"":11116253,""val"":1,""arg1"":1,""arg2"":[19201093]},{""typ"":""item"",""id"":11116254,""val"":1,""arg1"":1"&amp;",""arg2"":[19201094]},{""typ"":""item"",""id"":11116255,""val"":1,""arg1"":1,""arg2"":[19201095]},{""typ"":""item"",""id"":11116256,""val"":1,""arg1"":1,""arg2"":[19201096]},{""typ"":""item"",""id"":11116257,""val"":1,""arg1"":1,""arg2"":[19201097]},{""ty"&amp;"p"":""item"",""id"":11116258,""val"":1,""arg1"":1,""arg2"":[19201098]},{""typ"":""item"",""id"":11116259,""val"":1,""arg1"":1,""arg2"":[19201099]},{""typ"":""item"",""id"":11116260,""val"":1,""arg1"":1,""arg2"":[19201100]},{""typ"":""item"",""id"":1111626"&amp;"1,""val"":1,""arg1"":1,""arg2"":[19201101]},{""typ"":""item"",""id"":11116262,""val"":1,""arg1"":1,""arg2"":[19201102]},{""typ"":""item"",""id"":11116263,""val"":1,""arg1"":1,""arg2"":[19201103]},{""typ"":""item"",""id"":11116264,""val"":1,""arg1"":1,""ar"&amp;"g2"":[19201104]},{""typ"":""item"",""id"":11116265,""val"":1,""arg1"":1,""arg2"":[19201105]},{""typ"":""item"",""id"":11116266,""val"":1,""arg1"":1,""arg2"":[19201106]},{""typ"":""item"",""id"":11116267,""val"":1,""arg1"":1,""arg2"":[19201107]},{""typ"":"&amp;"""item"",""id"":11116268,""val"":1,""arg1"":1,""arg2"":[19201108]},{""typ"":""item"",""id"":11116269,""val"":1,""arg1"":1,""arg2"":[19201109]},{""typ"":""item"",""id"":11116270,""val"":1,""arg1"":1,""arg2"":[19201110]},{""typ"":""item"",""id"":11116271,"""&amp;"val"":1,""arg1"":1,""arg2"":[19201111]}]}")</f>
        <v>{"effect":[{"typ":"item","id":11116209,"val":1,"arg1":1,"arg2":[19201009]},{"typ":"item","id":11116210,"val":1,"arg1":1,"arg2":[19201020]},{"typ":"item","id":11116211,"val":1,"arg1":1,"arg2":[19201021]},{"typ":"item","id":11116212,"val":1,"arg1":1,"arg2":[19201022]},{"typ":"item","id":11116213,"val":1,"arg1":1,"arg2":[19201023]},{"typ":"item","id":11116214,"val":1,"arg1":1,"arg2":[19201024]},{"typ":"item","id":11116215,"val":1,"arg1":1,"arg2":[19201025]},{"typ":"item","id":11116217,"val":1,"arg1":1,"arg2":[19201027]},{"typ":"item","id":11116218,"val":1,"arg1":1,"arg2":[19201028]},{"typ":"item","id":11116219,"val":1,"arg1":1,"arg2":[19201029]},{"typ":"item","id":11116220,"val":1,"arg1":1,"arg2":[19201030]},{"typ":"item","id":11116221,"val":1,"arg1":1,"arg2":[19201031]},{"typ":"item","id":11116222,"val":1,"arg1":1,"arg2":[19201032]},{"typ":"item","id":11116223,"val":1,"arg1":1,"arg2":[19201033]},{"typ":"item","id":11116227,"val":1,"arg1":1,"arg2":[19201037]},{"typ":"item","id":11116230,"val":1,"arg1":1,"arg2":[19201050]},{"typ":"item","id":11116231,"val":1,"arg1":1,"arg2":[19201051]},{"typ":"item","id":11116233,"val":1,"arg1":1,"arg2":[19201053]},{"typ":"item","id":11116234,"val":1,"arg1":1,"arg2":[19201054]},{"typ":"item","id":11116235,"val":1,"arg1":1,"arg2":[19201055]},{"typ":"item","id":11116238,"val":1,"arg1":1,"arg2":[19201058]},{"typ":"item","id":11116239,"val":1,"arg1":1,"arg2":[19201059]},{"typ":"item","id":11116240,"val":1,"arg1":1,"arg2":[19201070]},{"typ":"item","id":11116241,"val":1,"arg1":1,"arg2":[19201071]},{"typ":"item","id":11116242,"val":1,"arg1":1,"arg2":[19201072]},{"typ":"item","id":11116243,"val":1,"arg1":1,"arg2":[19201073]},{"typ":"item","id":11116244,"val":1,"arg1":1,"arg2":[19201074]},{"typ":"item","id":11116245,"val":1,"arg1":1,"arg2":[19201075]},{"typ":"item","id":11116246,"val":1,"arg1":1,"arg2":[19201076]},{"typ":"item","id":11116247,"val":1,"arg1":1,"arg2":[19201077]},{"typ":"item","id":11116248,"val":1,"arg1":1,"arg2":[19201078]},{"typ":"item","id":11116249,"val":1,"arg1":1,"arg2":[19201079]},{"typ":"item","id":11116250,"val":1,"arg1":1,"arg2":[19201090]},{"typ":"item","id":11116251,"val":1,"arg1":1,"arg2":[19201091]},{"typ":"item","id":11116252,"val":1,"arg1":1,"arg2":[19201092]},{"typ":"item","id":11116253,"val":1,"arg1":1,"arg2":[19201093]},{"typ":"item","id":11116254,"val":1,"arg1":1,"arg2":[19201094]},{"typ":"item","id":11116255,"val":1,"arg1":1,"arg2":[19201095]},{"typ":"item","id":11116256,"val":1,"arg1":1,"arg2":[19201096]},{"typ":"item","id":11116257,"val":1,"arg1":1,"arg2":[19201097]},{"typ":"item","id":11116258,"val":1,"arg1":1,"arg2":[19201098]},{"typ":"item","id":11116259,"val":1,"arg1":1,"arg2":[19201099]},{"typ":"item","id":11116260,"val":1,"arg1":1,"arg2":[19201100]},{"typ":"item","id":11116261,"val":1,"arg1":1,"arg2":[19201101]},{"typ":"item","id":11116262,"val":1,"arg1":1,"arg2":[19201102]},{"typ":"item","id":11116263,"val":1,"arg1":1,"arg2":[19201103]},{"typ":"item","id":11116264,"val":1,"arg1":1,"arg2":[19201104]},{"typ":"item","id":11116265,"val":1,"arg1":1,"arg2":[19201105]},{"typ":"item","id":11116266,"val":1,"arg1":1,"arg2":[19201106]},{"typ":"item","id":11116267,"val":1,"arg1":1,"arg2":[19201107]},{"typ":"item","id":11116268,"val":1,"arg1":1,"arg2":[19201108]},{"typ":"item","id":11116269,"val":1,"arg1":1,"arg2":[19201109]},{"typ":"item","id":11116270,"val":1,"arg1":1,"arg2":[19201110]},{"typ":"item","id":11116271,"val":1,"arg1":1,"arg2":[19201111]}]}</v>
      </c>
      <c r="T1341" s="148">
        <f>IFERROR(__xludf.DUMMYFUNCTION("""COMPUTED_VALUE"""),-1.0)</f>
        <v>-1</v>
      </c>
      <c r="U1341" s="148">
        <f>IFERROR(__xludf.DUMMYFUNCTION("""COMPUTED_VALUE"""),0.0)</f>
        <v>0</v>
      </c>
      <c r="V1341" s="148" t="str">
        <f>IFERROR(__xludf.DUMMYFUNCTION("""COMPUTED_VALUE"""),"[]")</f>
        <v>[]</v>
      </c>
      <c r="W1341" s="148">
        <f>IFERROR(__xludf.DUMMYFUNCTION("""COMPUTED_VALUE"""),1.1741002E7)</f>
        <v>11741002</v>
      </c>
      <c r="X1341" s="148">
        <f>IFERROR(__xludf.DUMMYFUNCTION("""COMPUTED_VALUE"""),0.0)</f>
        <v>0</v>
      </c>
      <c r="Y1341" s="148">
        <f>IFERROR(__xludf.DUMMYFUNCTION("""COMPUTED_VALUE"""),0.0)</f>
        <v>0</v>
      </c>
      <c r="Z1341" s="148"/>
    </row>
    <row r="1342">
      <c r="A1342" s="148">
        <f>IFERROR(__xludf.DUMMYFUNCTION("""COMPUTED_VALUE"""),1.1116305E7)</f>
        <v>11116305</v>
      </c>
      <c r="B1342" s="148" t="str">
        <f>IFERROR(__xludf.DUMMYFUNCTION("""COMPUTED_VALUE"""),"万能英雄碎片-红色")</f>
        <v>万能英雄碎片-红色</v>
      </c>
      <c r="C1342" s="148"/>
      <c r="D1342" s="148" t="str">
        <f>IFERROR(__xludf.DUMMYFUNCTION("""COMPUTED_VALUE"""),"hero_unit_universal")</f>
        <v>hero_unit_universal</v>
      </c>
      <c r="E1342" s="148">
        <f>IFERROR(__xludf.DUMMYFUNCTION("""COMPUTED_VALUE"""),0.0)</f>
        <v>0</v>
      </c>
      <c r="F1342" s="148">
        <f>IFERROR(__xludf.DUMMYFUNCTION("""COMPUTED_VALUE"""),411100.0)</f>
        <v>411100</v>
      </c>
      <c r="G1342" s="148">
        <f>IFERROR(__xludf.DUMMYFUNCTION("""COMPUTED_VALUE"""),1.51104518E8)</f>
        <v>151104518</v>
      </c>
      <c r="H1342" s="148">
        <f>IFERROR(__xludf.DUMMYFUNCTION("""COMPUTED_VALUE"""),1.5115983E7)</f>
        <v>15115983</v>
      </c>
      <c r="I1342" s="148" t="str">
        <f>IFERROR(__xludf.DUMMYFUNCTION("""COMPUTED_VALUE"""),"{}")</f>
        <v>{}</v>
      </c>
      <c r="J1342" s="148" t="str">
        <f>IFERROR(__xludf.DUMMYFUNCTION("""COMPUTED_VALUE"""),"{""typ"":""lc"",""txt"":""LC_HERO_hero_universal_fragment_red_name""}")</f>
        <v>{"typ":"lc","txt":"LC_HERO_hero_universal_fragment_red_name"}</v>
      </c>
      <c r="K1342" s="148" t="str">
        <f>IFERROR(__xludf.DUMMYFUNCTION("""COMPUTED_VALUE"""),"{""typ"":""lc"",""txt"":""LC_HERO_hero_universal_fragment_red_desc""}")</f>
        <v>{"typ":"lc","txt":"LC_HERO_hero_universal_fragment_red_desc"}</v>
      </c>
      <c r="L1342" s="148" t="str">
        <f>IFERROR(__xludf.DUMMYFUNCTION("""COMPUTED_VALUE"""),"{""typ"":""lc"",""txt"":""LC_ITEM_hero_universal_fragment_usedtip""}")</f>
        <v>{"typ":"lc","txt":"LC_ITEM_hero_universal_fragment_usedtip"}</v>
      </c>
      <c r="M1342" s="148">
        <f>IFERROR(__xludf.DUMMYFUNCTION("""COMPUTED_VALUE"""),5000.0)</f>
        <v>5000</v>
      </c>
      <c r="N1342" s="148">
        <f>IFERROR(__xludf.DUMMYFUNCTION("""COMPUTED_VALUE"""),9999999.0)</f>
        <v>9999999</v>
      </c>
      <c r="O1342" s="148">
        <f>IFERROR(__xludf.DUMMYFUNCTION("""COMPUTED_VALUE"""),99999.0)</f>
        <v>99999</v>
      </c>
      <c r="P1342" s="148">
        <f>IFERROR(__xludf.DUMMYFUNCTION("""COMPUTED_VALUE"""),99999.0)</f>
        <v>99999</v>
      </c>
      <c r="Q1342" s="148" t="str">
        <f>IFERROR(__xludf.DUMMYFUNCTION("""COMPUTED_VALUE"""),"[""bag_other""]")</f>
        <v>["bag_other"]</v>
      </c>
      <c r="R1342" s="148" t="str">
        <f>IFERROR(__xludf.DUMMYFUNCTION("""COMPUTED_VALUE"""),"[""exchange_red""]")</f>
        <v>["exchange_red"]</v>
      </c>
      <c r="S1342" s="148" t="str">
        <f>IFERROR(__xludf.DUMMYFUNCTION("""COMPUTED_VALUE"""),"{""effect"":[{""typ"":""item"",""id"":11116272,""val"":1,""arg1"":1,""arg2"":[19201112]}]}")</f>
        <v>{"effect":[{"typ":"item","id":11116272,"val":1,"arg1":1,"arg2":[19201112]}]}</v>
      </c>
      <c r="T1342" s="148">
        <f>IFERROR(__xludf.DUMMYFUNCTION("""COMPUTED_VALUE"""),-1.0)</f>
        <v>-1</v>
      </c>
      <c r="U1342" s="148">
        <f>IFERROR(__xludf.DUMMYFUNCTION("""COMPUTED_VALUE"""),0.0)</f>
        <v>0</v>
      </c>
      <c r="V1342" s="148" t="str">
        <f>IFERROR(__xludf.DUMMYFUNCTION("""COMPUTED_VALUE"""),"[]")</f>
        <v>[]</v>
      </c>
      <c r="W1342" s="148">
        <f>IFERROR(__xludf.DUMMYFUNCTION("""COMPUTED_VALUE"""),1.1741002E7)</f>
        <v>11741002</v>
      </c>
      <c r="X1342" s="148">
        <f>IFERROR(__xludf.DUMMYFUNCTION("""COMPUTED_VALUE"""),0.0)</f>
        <v>0</v>
      </c>
      <c r="Y1342" s="148">
        <f>IFERROR(__xludf.DUMMYFUNCTION("""COMPUTED_VALUE"""),0.0)</f>
        <v>0</v>
      </c>
      <c r="Z1342" s="148"/>
    </row>
    <row r="1343">
      <c r="A1343" s="148">
        <f>IFERROR(__xludf.DUMMYFUNCTION("""COMPUTED_VALUE"""),1.111639E7)</f>
        <v>11116390</v>
      </c>
      <c r="B1343" s="148" t="str">
        <f>IFERROR(__xludf.DUMMYFUNCTION("""COMPUTED_VALUE"""),"红色英雄-专属技能养成道具")</f>
        <v>红色英雄-专属技能养成道具</v>
      </c>
      <c r="C1343" s="148"/>
      <c r="D1343" s="148" t="str">
        <f>IFERROR(__xludf.DUMMYFUNCTION("""COMPUTED_VALUE"""),"hero_unit_universal")</f>
        <v>hero_unit_universal</v>
      </c>
      <c r="E1343" s="148">
        <f>IFERROR(__xludf.DUMMYFUNCTION("""COMPUTED_VALUE"""),0.0)</f>
        <v>0</v>
      </c>
      <c r="F1343" s="148">
        <f>IFERROR(__xludf.DUMMYFUNCTION("""COMPUTED_VALUE"""),411100.0)</f>
        <v>411100</v>
      </c>
      <c r="G1343" s="148">
        <f>IFERROR(__xludf.DUMMYFUNCTION("""COMPUTED_VALUE"""),1.51104519E8)</f>
        <v>151104519</v>
      </c>
      <c r="H1343" s="148">
        <f>IFERROR(__xludf.DUMMYFUNCTION("""COMPUTED_VALUE"""),1.5115983E7)</f>
        <v>15115983</v>
      </c>
      <c r="I1343" s="148" t="str">
        <f>IFERROR(__xludf.DUMMYFUNCTION("""COMPUTED_VALUE"""),"{}")</f>
        <v>{}</v>
      </c>
      <c r="J1343" s="148" t="str">
        <f>IFERROR(__xludf.DUMMYFUNCTION("""COMPUTED_VALUE"""),"{""typ"":""lc"",""txt"":""LC_HERO_hero_red_exclusive_active_skill_item_name""}")</f>
        <v>{"typ":"lc","txt":"LC_HERO_hero_red_exclusive_active_skill_item_name"}</v>
      </c>
      <c r="K1343" s="148" t="str">
        <f>IFERROR(__xludf.DUMMYFUNCTION("""COMPUTED_VALUE"""),"{""typ"":""lc"",""txt"":""LC_HERO_hero_red_exclusive_active_skill_item_desc""}")</f>
        <v>{"typ":"lc","txt":"LC_HERO_hero_red_exclusive_active_skill_item_desc"}</v>
      </c>
      <c r="L1343" s="148" t="str">
        <f>IFERROR(__xludf.DUMMYFUNCTION("""COMPUTED_VALUE"""),"{""typ"":""lc"",""txt"":""LC_ITEM_hero_universal_fragment_usedtip""}")</f>
        <v>{"typ":"lc","txt":"LC_ITEM_hero_universal_fragment_usedtip"}</v>
      </c>
      <c r="M1343" s="148">
        <f>IFERROR(__xludf.DUMMYFUNCTION("""COMPUTED_VALUE"""),5000.0)</f>
        <v>5000</v>
      </c>
      <c r="N1343" s="148">
        <f>IFERROR(__xludf.DUMMYFUNCTION("""COMPUTED_VALUE"""),9999999.0)</f>
        <v>9999999</v>
      </c>
      <c r="O1343" s="148">
        <f>IFERROR(__xludf.DUMMYFUNCTION("""COMPUTED_VALUE"""),99999.0)</f>
        <v>99999</v>
      </c>
      <c r="P1343" s="148">
        <f>IFERROR(__xludf.DUMMYFUNCTION("""COMPUTED_VALUE"""),99999.0)</f>
        <v>99999</v>
      </c>
      <c r="Q1343" s="148" t="str">
        <f>IFERROR(__xludf.DUMMYFUNCTION("""COMPUTED_VALUE"""),"[""bag_other""]")</f>
        <v>["bag_other"]</v>
      </c>
      <c r="R1343" s="148" t="str">
        <f>IFERROR(__xludf.DUMMYFUNCTION("""COMPUTED_VALUE"""),"[""hero_red_exclusive_skill_item""]")</f>
        <v>["hero_red_exclusive_skill_item"]</v>
      </c>
      <c r="S1343" s="148" t="str">
        <f>IFERROR(__xludf.DUMMYFUNCTION("""COMPUTED_VALUE"""),"{}")</f>
        <v>{}</v>
      </c>
      <c r="T1343" s="148">
        <f>IFERROR(__xludf.DUMMYFUNCTION("""COMPUTED_VALUE"""),-1.0)</f>
        <v>-1</v>
      </c>
      <c r="U1343" s="148">
        <f>IFERROR(__xludf.DUMMYFUNCTION("""COMPUTED_VALUE"""),0.0)</f>
        <v>0</v>
      </c>
      <c r="V1343" s="148" t="str">
        <f>IFERROR(__xludf.DUMMYFUNCTION("""COMPUTED_VALUE"""),"[]")</f>
        <v>[]</v>
      </c>
      <c r="W1343" s="148">
        <f>IFERROR(__xludf.DUMMYFUNCTION("""COMPUTED_VALUE"""),1.1741002E7)</f>
        <v>11741002</v>
      </c>
      <c r="X1343" s="148">
        <f>IFERROR(__xludf.DUMMYFUNCTION("""COMPUTED_VALUE"""),1.1684796E7)</f>
        <v>11684796</v>
      </c>
      <c r="Y1343" s="148">
        <f>IFERROR(__xludf.DUMMYFUNCTION("""COMPUTED_VALUE"""),0.0)</f>
        <v>0</v>
      </c>
      <c r="Z1343" s="148"/>
    </row>
    <row r="1344">
      <c r="A1344" s="148">
        <f>IFERROR(__xludf.DUMMYFUNCTION("""COMPUTED_VALUE"""),1.1116391E7)</f>
        <v>11116391</v>
      </c>
      <c r="B1344" s="148" t="str">
        <f>IFERROR(__xludf.DUMMYFUNCTION("""COMPUTED_VALUE"""),"红色英雄-切换天赋页道具")</f>
        <v>红色英雄-切换天赋页道具</v>
      </c>
      <c r="C1344" s="148"/>
      <c r="D1344" s="148" t="str">
        <f>IFERROR(__xludf.DUMMYFUNCTION("""COMPUTED_VALUE"""),"hero_talent")</f>
        <v>hero_talent</v>
      </c>
      <c r="E1344" s="148">
        <f>IFERROR(__xludf.DUMMYFUNCTION("""COMPUTED_VALUE"""),0.0)</f>
        <v>0</v>
      </c>
      <c r="F1344" s="148">
        <f>IFERROR(__xludf.DUMMYFUNCTION("""COMPUTED_VALUE"""),411100.0)</f>
        <v>411100</v>
      </c>
      <c r="G1344" s="148">
        <f>IFERROR(__xludf.DUMMYFUNCTION("""COMPUTED_VALUE"""),1.5110452E8)</f>
        <v>151104520</v>
      </c>
      <c r="H1344" s="148">
        <f>IFERROR(__xludf.DUMMYFUNCTION("""COMPUTED_VALUE"""),1.5115983E7)</f>
        <v>15115983</v>
      </c>
      <c r="I1344" s="148" t="str">
        <f>IFERROR(__xludf.DUMMYFUNCTION("""COMPUTED_VALUE"""),"{}")</f>
        <v>{}</v>
      </c>
      <c r="J1344" s="148" t="str">
        <f>IFERROR(__xludf.DUMMYFUNCTION("""COMPUTED_VALUE"""),"{""typ"":""lc"",""txt"":""LC_HERO_hero_red_talent_change_name""}")</f>
        <v>{"typ":"lc","txt":"LC_HERO_hero_red_talent_change_name"}</v>
      </c>
      <c r="K1344" s="148" t="str">
        <f>IFERROR(__xludf.DUMMYFUNCTION("""COMPUTED_VALUE"""),"{""typ"":""lc"",""txt"":""LC_HERO_hero_red_talent_change_desc""}")</f>
        <v>{"typ":"lc","txt":"LC_HERO_hero_red_talent_change_desc"}</v>
      </c>
      <c r="L1344" s="148" t="str">
        <f>IFERROR(__xludf.DUMMYFUNCTION("""COMPUTED_VALUE"""),"{}")</f>
        <v>{}</v>
      </c>
      <c r="M1344" s="148">
        <f>IFERROR(__xludf.DUMMYFUNCTION("""COMPUTED_VALUE"""),250.0)</f>
        <v>250</v>
      </c>
      <c r="N1344" s="148">
        <f>IFERROR(__xludf.DUMMYFUNCTION("""COMPUTED_VALUE"""),9999999.0)</f>
        <v>9999999</v>
      </c>
      <c r="O1344" s="148">
        <f>IFERROR(__xludf.DUMMYFUNCTION("""COMPUTED_VALUE"""),99999.0)</f>
        <v>99999</v>
      </c>
      <c r="P1344" s="148">
        <f>IFERROR(__xludf.DUMMYFUNCTION("""COMPUTED_VALUE"""),99999.0)</f>
        <v>99999</v>
      </c>
      <c r="Q1344" s="148" t="str">
        <f>IFERROR(__xludf.DUMMYFUNCTION("""COMPUTED_VALUE"""),"[""bag_other""]")</f>
        <v>["bag_other"]</v>
      </c>
      <c r="R1344" s="148" t="str">
        <f>IFERROR(__xludf.DUMMYFUNCTION("""COMPUTED_VALUE"""),"[""hero_red_talent_change_item""]")</f>
        <v>["hero_red_talent_change_item"]</v>
      </c>
      <c r="S1344" s="148" t="str">
        <f>IFERROR(__xludf.DUMMYFUNCTION("""COMPUTED_VALUE"""),"{}")</f>
        <v>{}</v>
      </c>
      <c r="T1344" s="148">
        <f>IFERROR(__xludf.DUMMYFUNCTION("""COMPUTED_VALUE"""),-1.0)</f>
        <v>-1</v>
      </c>
      <c r="U1344" s="148">
        <f>IFERROR(__xludf.DUMMYFUNCTION("""COMPUTED_VALUE"""),0.0)</f>
        <v>0</v>
      </c>
      <c r="V1344" s="148" t="str">
        <f>IFERROR(__xludf.DUMMYFUNCTION("""COMPUTED_VALUE"""),"[]")</f>
        <v>[]</v>
      </c>
      <c r="W1344" s="148">
        <f>IFERROR(__xludf.DUMMYFUNCTION("""COMPUTED_VALUE"""),1.1741002E7)</f>
        <v>11741002</v>
      </c>
      <c r="X1344" s="148">
        <f>IFERROR(__xludf.DUMMYFUNCTION("""COMPUTED_VALUE"""),1.1684797E7)</f>
        <v>11684797</v>
      </c>
      <c r="Y1344" s="148">
        <f>IFERROR(__xludf.DUMMYFUNCTION("""COMPUTED_VALUE"""),0.0)</f>
        <v>0</v>
      </c>
      <c r="Z1344" s="148"/>
    </row>
    <row r="1345">
      <c r="A1345" s="148">
        <f>IFERROR(__xludf.DUMMYFUNCTION("""COMPUTED_VALUE"""),1.1116392E7)</f>
        <v>11116392</v>
      </c>
      <c r="B1345" s="148" t="str">
        <f>IFERROR(__xludf.DUMMYFUNCTION("""COMPUTED_VALUE"""),"一代超凡斗士奖牌")</f>
        <v>一代超凡斗士奖牌</v>
      </c>
      <c r="C1345" s="148"/>
      <c r="D1345" s="148" t="str">
        <f>IFERROR(__xludf.DUMMYFUNCTION("""COMPUTED_VALUE"""),"item_select_box")</f>
        <v>item_select_box</v>
      </c>
      <c r="E1345" s="148">
        <f>IFERROR(__xludf.DUMMYFUNCTION("""COMPUTED_VALUE"""),19.0)</f>
        <v>19</v>
      </c>
      <c r="F1345" s="148">
        <f>IFERROR(__xludf.DUMMYFUNCTION("""COMPUTED_VALUE"""),408195.0)</f>
        <v>408195</v>
      </c>
      <c r="G1345" s="148">
        <f>IFERROR(__xludf.DUMMYFUNCTION("""COMPUTED_VALUE"""),1.51104521E8)</f>
        <v>151104521</v>
      </c>
      <c r="H1345" s="148">
        <f>IFERROR(__xludf.DUMMYFUNCTION("""COMPUTED_VALUE"""),1.5115983E7)</f>
        <v>15115983</v>
      </c>
      <c r="I1345" s="148" t="str">
        <f>IFERROR(__xludf.DUMMYFUNCTION("""COMPUTED_VALUE"""),"{}")</f>
        <v>{}</v>
      </c>
      <c r="J1345" s="148" t="str">
        <f>IFERROR(__xludf.DUMMYFUNCTION("""COMPUTED_VALUE"""),"{""typ"":""lc"",""txt"":""LC_HERO_hero_red_fragment_chest_tier1""}")</f>
        <v>{"typ":"lc","txt":"LC_HERO_hero_red_fragment_chest_tier1"}</v>
      </c>
      <c r="K1345" s="148" t="str">
        <f>IFERROR(__xludf.DUMMYFUNCTION("""COMPUTED_VALUE"""),"{""typ"":""lc"",""txt"":""LC_HERO_hero_red_fragment_chest_tier1_desc""}")</f>
        <v>{"typ":"lc","txt":"LC_HERO_hero_red_fragment_chest_tier1_desc"}</v>
      </c>
      <c r="L1345" s="148" t="str">
        <f>IFERROR(__xludf.DUMMYFUNCTION("""COMPUTED_VALUE"""),"{}")</f>
        <v>{}</v>
      </c>
      <c r="M1345" s="148">
        <f>IFERROR(__xludf.DUMMYFUNCTION("""COMPUTED_VALUE"""),4000.0)</f>
        <v>4000</v>
      </c>
      <c r="N1345" s="148">
        <f>IFERROR(__xludf.DUMMYFUNCTION("""COMPUTED_VALUE"""),9999999.0)</f>
        <v>9999999</v>
      </c>
      <c r="O1345" s="148">
        <f>IFERROR(__xludf.DUMMYFUNCTION("""COMPUTED_VALUE"""),99999.0)</f>
        <v>99999</v>
      </c>
      <c r="P1345" s="148">
        <f>IFERROR(__xludf.DUMMYFUNCTION("""COMPUTED_VALUE"""),99999.0)</f>
        <v>99999</v>
      </c>
      <c r="Q1345" s="148" t="str">
        <f>IFERROR(__xludf.DUMMYFUNCTION("""COMPUTED_VALUE"""),"[""bag_other""]")</f>
        <v>["bag_other"]</v>
      </c>
      <c r="R1345" s="148" t="str">
        <f>IFERROR(__xludf.DUMMYFUNCTION("""COMPUTED_VALUE"""),"[""bag""]")</f>
        <v>["bag"]</v>
      </c>
      <c r="S1345" s="148" t="str">
        <f>IFERROR(__xludf.DUMMYFUNCTION("""COMPUTED_VALUE"""),"{""select_box"":[{""typ"":""item"",""id"":11116272,""val"":1}]}")</f>
        <v>{"select_box":[{"typ":"item","id":11116272,"val":1}]}</v>
      </c>
      <c r="T1345" s="148">
        <f>IFERROR(__xludf.DUMMYFUNCTION("""COMPUTED_VALUE"""),-1.0)</f>
        <v>-1</v>
      </c>
      <c r="U1345" s="148">
        <f>IFERROR(__xludf.DUMMYFUNCTION("""COMPUTED_VALUE"""),0.0)</f>
        <v>0</v>
      </c>
      <c r="V1345" s="148" t="str">
        <f>IFERROR(__xludf.DUMMYFUNCTION("""COMPUTED_VALUE"""),"[]")</f>
        <v>[]</v>
      </c>
      <c r="W1345" s="148">
        <f>IFERROR(__xludf.DUMMYFUNCTION("""COMPUTED_VALUE"""),1.1741002E7)</f>
        <v>11741002</v>
      </c>
      <c r="X1345" s="148">
        <f>IFERROR(__xludf.DUMMYFUNCTION("""COMPUTED_VALUE"""),0.0)</f>
        <v>0</v>
      </c>
      <c r="Y1345" s="148">
        <f>IFERROR(__xludf.DUMMYFUNCTION("""COMPUTED_VALUE"""),0.0)</f>
        <v>0</v>
      </c>
      <c r="Z1345" s="148"/>
    </row>
    <row r="1346">
      <c r="A1346" s="148">
        <f>IFERROR(__xludf.DUMMYFUNCTION("""COMPUTED_VALUE"""),1.1116401E7)</f>
        <v>11116401</v>
      </c>
      <c r="B1346" s="148" t="str">
        <f>IFERROR(__xludf.DUMMYFUNCTION("""COMPUTED_VALUE"""),"普通奖池抽奖券")</f>
        <v>普通奖池抽奖券</v>
      </c>
      <c r="C1346" s="148"/>
      <c r="D1346" s="148" t="str">
        <f>IFERROR(__xludf.DUMMYFUNCTION("""COMPUTED_VALUE"""),"gacha")</f>
        <v>gacha</v>
      </c>
      <c r="E1346" s="148">
        <f>IFERROR(__xludf.DUMMYFUNCTION("""COMPUTED_VALUE"""),29.0)</f>
        <v>29</v>
      </c>
      <c r="F1346" s="148">
        <f>IFERROR(__xludf.DUMMYFUNCTION("""COMPUTED_VALUE"""),409302.0)</f>
        <v>409302</v>
      </c>
      <c r="G1346" s="148">
        <f>IFERROR(__xludf.DUMMYFUNCTION("""COMPUTED_VALUE"""),1.5112814E7)</f>
        <v>15112814</v>
      </c>
      <c r="H1346" s="148">
        <f>IFERROR(__xludf.DUMMYFUNCTION("""COMPUTED_VALUE"""),1.5112562E7)</f>
        <v>15112562</v>
      </c>
      <c r="I1346" s="148" t="str">
        <f>IFERROR(__xludf.DUMMYFUNCTION("""COMPUTED_VALUE"""),"{}")</f>
        <v>{}</v>
      </c>
      <c r="J1346" s="148" t="str">
        <f>IFERROR(__xludf.DUMMYFUNCTION("""COMPUTED_VALUE"""),"{""typ"":""lc"",""txt"":""LC_ITEM_hero_gacha_normal_name""}")</f>
        <v>{"typ":"lc","txt":"LC_ITEM_hero_gacha_normal_name"}</v>
      </c>
      <c r="K1346" s="148" t="str">
        <f>IFERROR(__xludf.DUMMYFUNCTION("""COMPUTED_VALUE"""),"{""typ"":""lc"",""txt"":""LC_ITEM_hero_gacha_normal_desc""}")</f>
        <v>{"typ":"lc","txt":"LC_ITEM_hero_gacha_normal_desc"}</v>
      </c>
      <c r="L1346" s="148" t="str">
        <f>IFERROR(__xludf.DUMMYFUNCTION("""COMPUTED_VALUE"""),"{}")</f>
        <v>{}</v>
      </c>
      <c r="M1346" s="148">
        <f>IFERROR(__xludf.DUMMYFUNCTION("""COMPUTED_VALUE"""),150.0)</f>
        <v>150</v>
      </c>
      <c r="N1346" s="148">
        <f>IFERROR(__xludf.DUMMYFUNCTION("""COMPUTED_VALUE"""),9999999.0)</f>
        <v>9999999</v>
      </c>
      <c r="O1346" s="148">
        <f>IFERROR(__xludf.DUMMYFUNCTION("""COMPUTED_VALUE"""),99999.0)</f>
        <v>99999</v>
      </c>
      <c r="P1346" s="148">
        <f>IFERROR(__xludf.DUMMYFUNCTION("""COMPUTED_VALUE"""),99999.0)</f>
        <v>99999</v>
      </c>
      <c r="Q1346" s="148" t="str">
        <f>IFERROR(__xludf.DUMMYFUNCTION("""COMPUTED_VALUE"""),"[""bag_other""]")</f>
        <v>["bag_other"]</v>
      </c>
      <c r="R1346" s="148" t="str">
        <f>IFERROR(__xludf.DUMMYFUNCTION("""COMPUTED_VALUE"""),"[]")</f>
        <v>[]</v>
      </c>
      <c r="S1346" s="148" t="str">
        <f>IFERROR(__xludf.DUMMYFUNCTION("""COMPUTED_VALUE"""),"{}")</f>
        <v>{}</v>
      </c>
      <c r="T1346" s="148">
        <f>IFERROR(__xludf.DUMMYFUNCTION("""COMPUTED_VALUE"""),-1.0)</f>
        <v>-1</v>
      </c>
      <c r="U1346" s="148">
        <f>IFERROR(__xludf.DUMMYFUNCTION("""COMPUTED_VALUE"""),0.0)</f>
        <v>0</v>
      </c>
      <c r="V1346" s="148" t="str">
        <f>IFERROR(__xludf.DUMMYFUNCTION("""COMPUTED_VALUE"""),"[]")</f>
        <v>[]</v>
      </c>
      <c r="W1346" s="148">
        <f>IFERROR(__xludf.DUMMYFUNCTION("""COMPUTED_VALUE"""),1.174E7)</f>
        <v>11740000</v>
      </c>
      <c r="X1346" s="148">
        <f>IFERROR(__xludf.DUMMYFUNCTION("""COMPUTED_VALUE"""),0.0)</f>
        <v>0</v>
      </c>
      <c r="Y1346" s="148">
        <f>IFERROR(__xludf.DUMMYFUNCTION("""COMPUTED_VALUE"""),0.0)</f>
        <v>0</v>
      </c>
      <c r="Z1346" s="148"/>
    </row>
    <row r="1347">
      <c r="A1347" s="148">
        <f>IFERROR(__xludf.DUMMYFUNCTION("""COMPUTED_VALUE"""),1.1116402E7)</f>
        <v>11116402</v>
      </c>
      <c r="B1347" s="148" t="str">
        <f>IFERROR(__xludf.DUMMYFUNCTION("""COMPUTED_VALUE"""),"高级奖池抽奖券")</f>
        <v>高级奖池抽奖券</v>
      </c>
      <c r="C1347" s="148"/>
      <c r="D1347" s="148" t="str">
        <f>IFERROR(__xludf.DUMMYFUNCTION("""COMPUTED_VALUE"""),"gacha")</f>
        <v>gacha</v>
      </c>
      <c r="E1347" s="148">
        <f>IFERROR(__xludf.DUMMYFUNCTION("""COMPUTED_VALUE"""),29.0)</f>
        <v>29</v>
      </c>
      <c r="F1347" s="148">
        <f>IFERROR(__xludf.DUMMYFUNCTION("""COMPUTED_VALUE"""),410101.0)</f>
        <v>410101</v>
      </c>
      <c r="G1347" s="148">
        <f>IFERROR(__xludf.DUMMYFUNCTION("""COMPUTED_VALUE"""),1.5112815E7)</f>
        <v>15112815</v>
      </c>
      <c r="H1347" s="148">
        <f>IFERROR(__xludf.DUMMYFUNCTION("""COMPUTED_VALUE"""),1.5112564E7)</f>
        <v>15112564</v>
      </c>
      <c r="I1347" s="148" t="str">
        <f>IFERROR(__xludf.DUMMYFUNCTION("""COMPUTED_VALUE"""),"{}")</f>
        <v>{}</v>
      </c>
      <c r="J1347" s="148" t="str">
        <f>IFERROR(__xludf.DUMMYFUNCTION("""COMPUTED_VALUE"""),"{""typ"":""lc"",""txt"":""LC_ITEM_hero_gacha_advanced_name""}")</f>
        <v>{"typ":"lc","txt":"LC_ITEM_hero_gacha_advanced_name"}</v>
      </c>
      <c r="K1347" s="148" t="str">
        <f>IFERROR(__xludf.DUMMYFUNCTION("""COMPUTED_VALUE"""),"{""typ"":""lc"",""txt"":""LC_ITEM_hero_gacha_advanced_desc""}")</f>
        <v>{"typ":"lc","txt":"LC_ITEM_hero_gacha_advanced_desc"}</v>
      </c>
      <c r="L1347" s="148" t="str">
        <f>IFERROR(__xludf.DUMMYFUNCTION("""COMPUTED_VALUE"""),"{}")</f>
        <v>{}</v>
      </c>
      <c r="M1347" s="148">
        <f>IFERROR(__xludf.DUMMYFUNCTION("""COMPUTED_VALUE"""),600.0)</f>
        <v>600</v>
      </c>
      <c r="N1347" s="148">
        <f>IFERROR(__xludf.DUMMYFUNCTION("""COMPUTED_VALUE"""),9999999.0)</f>
        <v>9999999</v>
      </c>
      <c r="O1347" s="148">
        <f>IFERROR(__xludf.DUMMYFUNCTION("""COMPUTED_VALUE"""),99999.0)</f>
        <v>99999</v>
      </c>
      <c r="P1347" s="148">
        <f>IFERROR(__xludf.DUMMYFUNCTION("""COMPUTED_VALUE"""),99999.0)</f>
        <v>99999</v>
      </c>
      <c r="Q1347" s="148" t="str">
        <f>IFERROR(__xludf.DUMMYFUNCTION("""COMPUTED_VALUE"""),"[""bag_other""]")</f>
        <v>["bag_other"]</v>
      </c>
      <c r="R1347" s="148" t="str">
        <f>IFERROR(__xludf.DUMMYFUNCTION("""COMPUTED_VALUE"""),"[]")</f>
        <v>[]</v>
      </c>
      <c r="S1347" s="148" t="str">
        <f>IFERROR(__xludf.DUMMYFUNCTION("""COMPUTED_VALUE"""),"{}")</f>
        <v>{}</v>
      </c>
      <c r="T1347" s="148">
        <f>IFERROR(__xludf.DUMMYFUNCTION("""COMPUTED_VALUE"""),-1.0)</f>
        <v>-1</v>
      </c>
      <c r="U1347" s="148">
        <f>IFERROR(__xludf.DUMMYFUNCTION("""COMPUTED_VALUE"""),0.0)</f>
        <v>0</v>
      </c>
      <c r="V1347" s="148" t="str">
        <f>IFERROR(__xludf.DUMMYFUNCTION("""COMPUTED_VALUE"""),"[]")</f>
        <v>[]</v>
      </c>
      <c r="W1347" s="148">
        <f>IFERROR(__xludf.DUMMYFUNCTION("""COMPUTED_VALUE"""),1.174E7)</f>
        <v>11740000</v>
      </c>
      <c r="X1347" s="148">
        <f>IFERROR(__xludf.DUMMYFUNCTION("""COMPUTED_VALUE"""),0.0)</f>
        <v>0</v>
      </c>
      <c r="Y1347" s="148">
        <f>IFERROR(__xludf.DUMMYFUNCTION("""COMPUTED_VALUE"""),0.0)</f>
        <v>0</v>
      </c>
      <c r="Z1347" s="148"/>
    </row>
    <row r="1348">
      <c r="A1348" s="148">
        <f>IFERROR(__xludf.DUMMYFUNCTION("""COMPUTED_VALUE"""),1.1116403E7)</f>
        <v>11116403</v>
      </c>
      <c r="B1348" s="148" t="str">
        <f>IFERROR(__xludf.DUMMYFUNCTION("""COMPUTED_VALUE"""),"部落斗士抽奖券-非自己部落")</f>
        <v>部落斗士抽奖券-非自己部落</v>
      </c>
      <c r="C1348" s="148"/>
      <c r="D1348" s="148" t="str">
        <f>IFERROR(__xludf.DUMMYFUNCTION("""COMPUTED_VALUE"""),"gacha")</f>
        <v>gacha</v>
      </c>
      <c r="E1348" s="148">
        <f>IFERROR(__xludf.DUMMYFUNCTION("""COMPUTED_VALUE"""),29.0)</f>
        <v>29</v>
      </c>
      <c r="F1348" s="148">
        <f>IFERROR(__xludf.DUMMYFUNCTION("""COMPUTED_VALUE"""),409200.0)</f>
        <v>409200</v>
      </c>
      <c r="G1348" s="148">
        <f>IFERROR(__xludf.DUMMYFUNCTION("""COMPUTED_VALUE"""),1.5112907E7)</f>
        <v>15112907</v>
      </c>
      <c r="H1348" s="148">
        <f>IFERROR(__xludf.DUMMYFUNCTION("""COMPUTED_VALUE"""),1.5112563E7)</f>
        <v>15112563</v>
      </c>
      <c r="I1348" s="148" t="str">
        <f>IFERROR(__xludf.DUMMYFUNCTION("""COMPUTED_VALUE"""),"{}")</f>
        <v>{}</v>
      </c>
      <c r="J1348" s="148" t="str">
        <f>IFERROR(__xludf.DUMMYFUNCTION("""COMPUTED_VALUE"""),"{""typ"":""lc"",""txt"":""LC_ITEM_hero_purple_horde_name""}")</f>
        <v>{"typ":"lc","txt":"LC_ITEM_hero_purple_horde_name"}</v>
      </c>
      <c r="K1348" s="148" t="str">
        <f>IFERROR(__xludf.DUMMYFUNCTION("""COMPUTED_VALUE"""),"{""typ"":""lc"",""txt"":""LC_ITEM_hero_purple_horde_desc""}")</f>
        <v>{"typ":"lc","txt":"LC_ITEM_hero_purple_horde_desc"}</v>
      </c>
      <c r="L1348" s="148" t="str">
        <f>IFERROR(__xludf.DUMMYFUNCTION("""COMPUTED_VALUE"""),"{}")</f>
        <v>{}</v>
      </c>
      <c r="M1348" s="148">
        <f>IFERROR(__xludf.DUMMYFUNCTION("""COMPUTED_VALUE"""),5000.0)</f>
        <v>5000</v>
      </c>
      <c r="N1348" s="148">
        <f>IFERROR(__xludf.DUMMYFUNCTION("""COMPUTED_VALUE"""),9999999.0)</f>
        <v>9999999</v>
      </c>
      <c r="O1348" s="148">
        <f>IFERROR(__xludf.DUMMYFUNCTION("""COMPUTED_VALUE"""),99999.0)</f>
        <v>99999</v>
      </c>
      <c r="P1348" s="148">
        <f>IFERROR(__xludf.DUMMYFUNCTION("""COMPUTED_VALUE"""),99999.0)</f>
        <v>99999</v>
      </c>
      <c r="Q1348" s="148" t="str">
        <f>IFERROR(__xludf.DUMMYFUNCTION("""COMPUTED_VALUE"""),"[""bag_other""]")</f>
        <v>["bag_other"]</v>
      </c>
      <c r="R1348" s="148" t="str">
        <f>IFERROR(__xludf.DUMMYFUNCTION("""COMPUTED_VALUE"""),"[]")</f>
        <v>[]</v>
      </c>
      <c r="S1348" s="148" t="str">
        <f>IFERROR(__xludf.DUMMYFUNCTION("""COMPUTED_VALUE"""),"{}")</f>
        <v>{}</v>
      </c>
      <c r="T1348" s="148">
        <f>IFERROR(__xludf.DUMMYFUNCTION("""COMPUTED_VALUE"""),-1.0)</f>
        <v>-1</v>
      </c>
      <c r="U1348" s="148">
        <f>IFERROR(__xludf.DUMMYFUNCTION("""COMPUTED_VALUE"""),1.0)</f>
        <v>1</v>
      </c>
      <c r="V1348" s="148" t="str">
        <f>IFERROR(__xludf.DUMMYFUNCTION("""COMPUTED_VALUE"""),"[]")</f>
        <v>[]</v>
      </c>
      <c r="W1348" s="148">
        <f>IFERROR(__xludf.DUMMYFUNCTION("""COMPUTED_VALUE"""),1.174E7)</f>
        <v>11740000</v>
      </c>
      <c r="X1348" s="148">
        <f>IFERROR(__xludf.DUMMYFUNCTION("""COMPUTED_VALUE"""),0.0)</f>
        <v>0</v>
      </c>
      <c r="Y1348" s="148">
        <f>IFERROR(__xludf.DUMMYFUNCTION("""COMPUTED_VALUE"""),0.0)</f>
        <v>0</v>
      </c>
      <c r="Z1348" s="148"/>
    </row>
    <row r="1349">
      <c r="A1349" s="148">
        <f>IFERROR(__xludf.DUMMYFUNCTION("""COMPUTED_VALUE"""),1.1116501E7)</f>
        <v>11116501</v>
      </c>
      <c r="B1349" s="148" t="str">
        <f>IFERROR(__xludf.DUMMYFUNCTION("""COMPUTED_VALUE"""),"天赋重置")</f>
        <v>天赋重置</v>
      </c>
      <c r="C1349" s="148"/>
      <c r="D1349" s="148" t="str">
        <f>IFERROR(__xludf.DUMMYFUNCTION("""COMPUTED_VALUE"""),"hero_talent")</f>
        <v>hero_talent</v>
      </c>
      <c r="E1349" s="148">
        <f>IFERROR(__xludf.DUMMYFUNCTION("""COMPUTED_VALUE"""),0.0)</f>
        <v>0</v>
      </c>
      <c r="F1349" s="148">
        <f>IFERROR(__xludf.DUMMYFUNCTION("""COMPUTED_VALUE"""),404299.0)</f>
        <v>404299</v>
      </c>
      <c r="G1349" s="148">
        <f>IFERROR(__xludf.DUMMYFUNCTION("""COMPUTED_VALUE"""),1.5112816E7)</f>
        <v>15112816</v>
      </c>
      <c r="H1349" s="148">
        <f>IFERROR(__xludf.DUMMYFUNCTION("""COMPUTED_VALUE"""),1.5112563E7)</f>
        <v>15112563</v>
      </c>
      <c r="I1349" s="148" t="str">
        <f>IFERROR(__xludf.DUMMYFUNCTION("""COMPUTED_VALUE"""),"{}")</f>
        <v>{}</v>
      </c>
      <c r="J1349" s="148" t="str">
        <f>IFERROR(__xludf.DUMMYFUNCTION("""COMPUTED_VALUE"""),"{""typ"":""lc"",""txt"":""LC_ITEM_talent_reset_name""}")</f>
        <v>{"typ":"lc","txt":"LC_ITEM_talent_reset_name"}</v>
      </c>
      <c r="K1349" s="148" t="str">
        <f>IFERROR(__xludf.DUMMYFUNCTION("""COMPUTED_VALUE"""),"{""typ"":""lc"",""txt"":""LC_ITEM_talent_reset_desc""}")</f>
        <v>{"typ":"lc","txt":"LC_ITEM_talent_reset_desc"}</v>
      </c>
      <c r="L1349" s="148" t="str">
        <f>IFERROR(__xludf.DUMMYFUNCTION("""COMPUTED_VALUE"""),"{""typ"":""lc"",""txt"":""LC_ITEM_talent_reset_usedtip""}")</f>
        <v>{"typ":"lc","txt":"LC_ITEM_talent_reset_usedtip"}</v>
      </c>
      <c r="M1349" s="148">
        <f>IFERROR(__xludf.DUMMYFUNCTION("""COMPUTED_VALUE"""),0.0)</f>
        <v>0</v>
      </c>
      <c r="N1349" s="148">
        <f>IFERROR(__xludf.DUMMYFUNCTION("""COMPUTED_VALUE"""),9999999.0)</f>
        <v>9999999</v>
      </c>
      <c r="O1349" s="148">
        <f>IFERROR(__xludf.DUMMYFUNCTION("""COMPUTED_VALUE"""),99999.0)</f>
        <v>99999</v>
      </c>
      <c r="P1349" s="148">
        <f>IFERROR(__xludf.DUMMYFUNCTION("""COMPUTED_VALUE"""),99999.0)</f>
        <v>99999</v>
      </c>
      <c r="Q1349" s="148" t="str">
        <f>IFERROR(__xludf.DUMMYFUNCTION("""COMPUTED_VALUE"""),"[""bag_other""]")</f>
        <v>["bag_other"]</v>
      </c>
      <c r="R1349" s="148" t="str">
        <f>IFERROR(__xludf.DUMMYFUNCTION("""COMPUTED_VALUE"""),"[]")</f>
        <v>[]</v>
      </c>
      <c r="S1349" s="148" t="str">
        <f>IFERROR(__xludf.DUMMYFUNCTION("""COMPUTED_VALUE"""),"{}")</f>
        <v>{}</v>
      </c>
      <c r="T1349" s="148">
        <f>IFERROR(__xludf.DUMMYFUNCTION("""COMPUTED_VALUE"""),-1.0)</f>
        <v>-1</v>
      </c>
      <c r="U1349" s="148">
        <f>IFERROR(__xludf.DUMMYFUNCTION("""COMPUTED_VALUE"""),0.0)</f>
        <v>0</v>
      </c>
      <c r="V1349" s="148" t="str">
        <f>IFERROR(__xludf.DUMMYFUNCTION("""COMPUTED_VALUE"""),"[]")</f>
        <v>[]</v>
      </c>
      <c r="W1349" s="148">
        <f>IFERROR(__xludf.DUMMYFUNCTION("""COMPUTED_VALUE"""),1.1741002E7)</f>
        <v>11741002</v>
      </c>
      <c r="X1349" s="148">
        <f>IFERROR(__xludf.DUMMYFUNCTION("""COMPUTED_VALUE"""),0.0)</f>
        <v>0</v>
      </c>
      <c r="Y1349" s="148">
        <f>IFERROR(__xludf.DUMMYFUNCTION("""COMPUTED_VALUE"""),0.0)</f>
        <v>0</v>
      </c>
      <c r="Z1349" s="148"/>
    </row>
    <row r="1350">
      <c r="A1350" s="148">
        <f>IFERROR(__xludf.DUMMYFUNCTION("""COMPUTED_VALUE"""),1.1116502E7)</f>
        <v>11116502</v>
      </c>
      <c r="B1350" s="148" t="str">
        <f>IFERROR(__xludf.DUMMYFUNCTION("""COMPUTED_VALUE"""),"英雄重置互换")</f>
        <v>英雄重置互换</v>
      </c>
      <c r="C1350" s="148"/>
      <c r="D1350" s="148" t="str">
        <f>IFERROR(__xludf.DUMMYFUNCTION("""COMPUTED_VALUE"""),"hero_exchange_reset")</f>
        <v>hero_exchange_reset</v>
      </c>
      <c r="E1350" s="148">
        <f>IFERROR(__xludf.DUMMYFUNCTION("""COMPUTED_VALUE"""),0.0)</f>
        <v>0</v>
      </c>
      <c r="F1350" s="148">
        <f>IFERROR(__xludf.DUMMYFUNCTION("""COMPUTED_VALUE"""),404300.0)</f>
        <v>404300</v>
      </c>
      <c r="G1350" s="148">
        <f>IFERROR(__xludf.DUMMYFUNCTION("""COMPUTED_VALUE"""),1.5116114E7)</f>
        <v>15116114</v>
      </c>
      <c r="H1350" s="148">
        <f>IFERROR(__xludf.DUMMYFUNCTION("""COMPUTED_VALUE"""),1.5115983E7)</f>
        <v>15115983</v>
      </c>
      <c r="I1350" s="148" t="str">
        <f>IFERROR(__xludf.DUMMYFUNCTION("""COMPUTED_VALUE"""),"{}")</f>
        <v>{}</v>
      </c>
      <c r="J1350" s="148" t="str">
        <f>IFERROR(__xludf.DUMMYFUNCTION("""COMPUTED_VALUE"""),"{""typ"":""lc"",""txt"":""LC_ITEM_hero_exchange_name""}")</f>
        <v>{"typ":"lc","txt":"LC_ITEM_hero_exchange_name"}</v>
      </c>
      <c r="K1350" s="148" t="str">
        <f>IFERROR(__xludf.DUMMYFUNCTION("""COMPUTED_VALUE"""),"{""typ"":""lc"",""txt"":""LC_ITEM_hero_exchange_desc""}")</f>
        <v>{"typ":"lc","txt":"LC_ITEM_hero_exchange_desc"}</v>
      </c>
      <c r="L1350" s="148" t="str">
        <f>IFERROR(__xludf.DUMMYFUNCTION("""COMPUTED_VALUE"""),"{}")</f>
        <v>{}</v>
      </c>
      <c r="M1350" s="148">
        <f>IFERROR(__xludf.DUMMYFUNCTION("""COMPUTED_VALUE"""),20000.0)</f>
        <v>20000</v>
      </c>
      <c r="N1350" s="148">
        <f>IFERROR(__xludf.DUMMYFUNCTION("""COMPUTED_VALUE"""),9999999.0)</f>
        <v>9999999</v>
      </c>
      <c r="O1350" s="148">
        <f>IFERROR(__xludf.DUMMYFUNCTION("""COMPUTED_VALUE"""),99999.0)</f>
        <v>99999</v>
      </c>
      <c r="P1350" s="148">
        <f>IFERROR(__xludf.DUMMYFUNCTION("""COMPUTED_VALUE"""),99999.0)</f>
        <v>99999</v>
      </c>
      <c r="Q1350" s="148" t="str">
        <f>IFERROR(__xludf.DUMMYFUNCTION("""COMPUTED_VALUE"""),"[""bag_other""]")</f>
        <v>["bag_other"]</v>
      </c>
      <c r="R1350" s="148" t="str">
        <f>IFERROR(__xludf.DUMMYFUNCTION("""COMPUTED_VALUE"""),"[]")</f>
        <v>[]</v>
      </c>
      <c r="S1350" s="148" t="str">
        <f>IFERROR(__xludf.DUMMYFUNCTION("""COMPUTED_VALUE"""),"{}")</f>
        <v>{}</v>
      </c>
      <c r="T1350" s="148">
        <f>IFERROR(__xludf.DUMMYFUNCTION("""COMPUTED_VALUE"""),1.0)</f>
        <v>1</v>
      </c>
      <c r="U1350" s="148">
        <f>IFERROR(__xludf.DUMMYFUNCTION("""COMPUTED_VALUE"""),0.0)</f>
        <v>0</v>
      </c>
      <c r="V1350" s="148" t="str">
        <f>IFERROR(__xludf.DUMMYFUNCTION("""COMPUTED_VALUE"""),"[]")</f>
        <v>[]</v>
      </c>
      <c r="W1350" s="148">
        <f>IFERROR(__xludf.DUMMYFUNCTION("""COMPUTED_VALUE"""),1.1741002E7)</f>
        <v>11741002</v>
      </c>
      <c r="X1350" s="148">
        <f>IFERROR(__xludf.DUMMYFUNCTION("""COMPUTED_VALUE"""),0.0)</f>
        <v>0</v>
      </c>
      <c r="Y1350" s="148">
        <f>IFERROR(__xludf.DUMMYFUNCTION("""COMPUTED_VALUE"""),0.0)</f>
        <v>0</v>
      </c>
      <c r="Z1350" s="148"/>
    </row>
    <row r="1351">
      <c r="A1351" s="148">
        <f>IFERROR(__xludf.DUMMYFUNCTION("""COMPUTED_VALUE"""),1.1116601E7)</f>
        <v>11116601</v>
      </c>
      <c r="B1351" s="148" t="str">
        <f>IFERROR(__xludf.DUMMYFUNCTION("""COMPUTED_VALUE"""),"收藏品-绿色升星道具-普通")</f>
        <v>收藏品-绿色升星道具-普通</v>
      </c>
      <c r="C1351" s="148"/>
      <c r="D1351" s="148" t="str">
        <f>IFERROR(__xludf.DUMMYFUNCTION("""COMPUTED_VALUE"""),"collection_unit_universal")</f>
        <v>collection_unit_universal</v>
      </c>
      <c r="E1351" s="148">
        <f>IFERROR(__xludf.DUMMYFUNCTION("""COMPUTED_VALUE"""),0.0)</f>
        <v>0</v>
      </c>
      <c r="F1351" s="148">
        <f>IFERROR(__xludf.DUMMYFUNCTION("""COMPUTED_VALUE"""),414404.0)</f>
        <v>414404</v>
      </c>
      <c r="G1351" s="148">
        <f>IFERROR(__xludf.DUMMYFUNCTION("""COMPUTED_VALUE"""),1.5113448E7)</f>
        <v>15113448</v>
      </c>
      <c r="H1351" s="148">
        <f>IFERROR(__xludf.DUMMYFUNCTION("""COMPUTED_VALUE"""),1.5112561E7)</f>
        <v>15112561</v>
      </c>
      <c r="I1351" s="148" t="str">
        <f>IFERROR(__xludf.DUMMYFUNCTION("""COMPUTED_VALUE"""),"{}")</f>
        <v>{}</v>
      </c>
      <c r="J1351" s="148" t="str">
        <f>IFERROR(__xludf.DUMMYFUNCTION("""COMPUTED_VALUE"""),"{""typ"":""lc"",""txt"":""LC_ITEM_collection_ordinary_up_star_name""}")</f>
        <v>{"typ":"lc","txt":"LC_ITEM_collection_ordinary_up_star_name"}</v>
      </c>
      <c r="K1351" s="148" t="str">
        <f>IFERROR(__xludf.DUMMYFUNCTION("""COMPUTED_VALUE"""),"{""typ"":""lc"",""txt"":""LC_ITEM_collection_ordinary_up_star_desc""}")</f>
        <v>{"typ":"lc","txt":"LC_ITEM_collection_ordinary_up_star_desc"}</v>
      </c>
      <c r="L1351" s="148" t="str">
        <f>IFERROR(__xludf.DUMMYFUNCTION("""COMPUTED_VALUE"""),"{}")</f>
        <v>{}</v>
      </c>
      <c r="M1351" s="148">
        <f>IFERROR(__xludf.DUMMYFUNCTION("""COMPUTED_VALUE"""),25.0)</f>
        <v>25</v>
      </c>
      <c r="N1351" s="148">
        <f>IFERROR(__xludf.DUMMYFUNCTION("""COMPUTED_VALUE"""),9999999.0)</f>
        <v>9999999</v>
      </c>
      <c r="O1351" s="148">
        <f>IFERROR(__xludf.DUMMYFUNCTION("""COMPUTED_VALUE"""),99999.0)</f>
        <v>99999</v>
      </c>
      <c r="P1351" s="148">
        <f>IFERROR(__xludf.DUMMYFUNCTION("""COMPUTED_VALUE"""),99999.0)</f>
        <v>99999</v>
      </c>
      <c r="Q1351" s="148" t="str">
        <f>IFERROR(__xludf.DUMMYFUNCTION("""COMPUTED_VALUE"""),"[""bag_other""]")</f>
        <v>["bag_other"]</v>
      </c>
      <c r="R1351" s="148" t="str">
        <f>IFERROR(__xludf.DUMMYFUNCTION("""COMPUTED_VALUE"""),"[]")</f>
        <v>[]</v>
      </c>
      <c r="S1351" s="148" t="str">
        <f>IFERROR(__xludf.DUMMYFUNCTION("""COMPUTED_VALUE"""),"{}")</f>
        <v>{}</v>
      </c>
      <c r="T1351" s="148">
        <f>IFERROR(__xludf.DUMMYFUNCTION("""COMPUTED_VALUE"""),-1.0)</f>
        <v>-1</v>
      </c>
      <c r="U1351" s="148">
        <f>IFERROR(__xludf.DUMMYFUNCTION("""COMPUTED_VALUE"""),0.0)</f>
        <v>0</v>
      </c>
      <c r="V1351" s="148" t="str">
        <f>IFERROR(__xludf.DUMMYFUNCTION("""COMPUTED_VALUE"""),"[]")</f>
        <v>[]</v>
      </c>
      <c r="W1351" s="148">
        <f>IFERROR(__xludf.DUMMYFUNCTION("""COMPUTED_VALUE"""),1.1741002E7)</f>
        <v>11741002</v>
      </c>
      <c r="X1351" s="148">
        <f>IFERROR(__xludf.DUMMYFUNCTION("""COMPUTED_VALUE"""),0.0)</f>
        <v>0</v>
      </c>
      <c r="Y1351" s="148">
        <f>IFERROR(__xludf.DUMMYFUNCTION("""COMPUTED_VALUE"""),0.0)</f>
        <v>0</v>
      </c>
      <c r="Z1351" s="148"/>
    </row>
    <row r="1352">
      <c r="A1352" s="148">
        <f>IFERROR(__xludf.DUMMYFUNCTION("""COMPUTED_VALUE"""),1.1116602E7)</f>
        <v>11116602</v>
      </c>
      <c r="B1352" s="148" t="str">
        <f>IFERROR(__xludf.DUMMYFUNCTION("""COMPUTED_VALUE"""),"收藏品-蓝色升星道具-稀有")</f>
        <v>收藏品-蓝色升星道具-稀有</v>
      </c>
      <c r="C1352" s="148"/>
      <c r="D1352" s="148" t="str">
        <f>IFERROR(__xludf.DUMMYFUNCTION("""COMPUTED_VALUE"""),"collection_unit_universal")</f>
        <v>collection_unit_universal</v>
      </c>
      <c r="E1352" s="148">
        <f>IFERROR(__xludf.DUMMYFUNCTION("""COMPUTED_VALUE"""),0.0)</f>
        <v>0</v>
      </c>
      <c r="F1352" s="148">
        <f>IFERROR(__xludf.DUMMYFUNCTION("""COMPUTED_VALUE"""),414303.0)</f>
        <v>414303</v>
      </c>
      <c r="G1352" s="148">
        <f>IFERROR(__xludf.DUMMYFUNCTION("""COMPUTED_VALUE"""),1.5113449E7)</f>
        <v>15113449</v>
      </c>
      <c r="H1352" s="148">
        <f>IFERROR(__xludf.DUMMYFUNCTION("""COMPUTED_VALUE"""),1.5112562E7)</f>
        <v>15112562</v>
      </c>
      <c r="I1352" s="148" t="str">
        <f>IFERROR(__xludf.DUMMYFUNCTION("""COMPUTED_VALUE"""),"{}")</f>
        <v>{}</v>
      </c>
      <c r="J1352" s="148" t="str">
        <f>IFERROR(__xludf.DUMMYFUNCTION("""COMPUTED_VALUE"""),"{""typ"":""lc"",""txt"":""LC_ITEM_collection_excellent_up_star_name""}")</f>
        <v>{"typ":"lc","txt":"LC_ITEM_collection_excellent_up_star_name"}</v>
      </c>
      <c r="K1352" s="148" t="str">
        <f>IFERROR(__xludf.DUMMYFUNCTION("""COMPUTED_VALUE"""),"{""typ"":""lc"",""txt"":""LC_ITEM_collection_excellent_up_star_desc""}")</f>
        <v>{"typ":"lc","txt":"LC_ITEM_collection_excellent_up_star_desc"}</v>
      </c>
      <c r="L1352" s="148" t="str">
        <f>IFERROR(__xludf.DUMMYFUNCTION("""COMPUTED_VALUE"""),"{}")</f>
        <v>{}</v>
      </c>
      <c r="M1352" s="148">
        <f>IFERROR(__xludf.DUMMYFUNCTION("""COMPUTED_VALUE"""),50.0)</f>
        <v>50</v>
      </c>
      <c r="N1352" s="148">
        <f>IFERROR(__xludf.DUMMYFUNCTION("""COMPUTED_VALUE"""),9999999.0)</f>
        <v>9999999</v>
      </c>
      <c r="O1352" s="148">
        <f>IFERROR(__xludf.DUMMYFUNCTION("""COMPUTED_VALUE"""),99999.0)</f>
        <v>99999</v>
      </c>
      <c r="P1352" s="148">
        <f>IFERROR(__xludf.DUMMYFUNCTION("""COMPUTED_VALUE"""),99999.0)</f>
        <v>99999</v>
      </c>
      <c r="Q1352" s="148" t="str">
        <f>IFERROR(__xludf.DUMMYFUNCTION("""COMPUTED_VALUE"""),"[""bag_other""]")</f>
        <v>["bag_other"]</v>
      </c>
      <c r="R1352" s="148" t="str">
        <f>IFERROR(__xludf.DUMMYFUNCTION("""COMPUTED_VALUE"""),"[]")</f>
        <v>[]</v>
      </c>
      <c r="S1352" s="148" t="str">
        <f>IFERROR(__xludf.DUMMYFUNCTION("""COMPUTED_VALUE"""),"{}")</f>
        <v>{}</v>
      </c>
      <c r="T1352" s="148">
        <f>IFERROR(__xludf.DUMMYFUNCTION("""COMPUTED_VALUE"""),-1.0)</f>
        <v>-1</v>
      </c>
      <c r="U1352" s="148">
        <f>IFERROR(__xludf.DUMMYFUNCTION("""COMPUTED_VALUE"""),0.0)</f>
        <v>0</v>
      </c>
      <c r="V1352" s="148" t="str">
        <f>IFERROR(__xludf.DUMMYFUNCTION("""COMPUTED_VALUE"""),"[]")</f>
        <v>[]</v>
      </c>
      <c r="W1352" s="148">
        <f>IFERROR(__xludf.DUMMYFUNCTION("""COMPUTED_VALUE"""),1.1741002E7)</f>
        <v>11741002</v>
      </c>
      <c r="X1352" s="148">
        <f>IFERROR(__xludf.DUMMYFUNCTION("""COMPUTED_VALUE"""),0.0)</f>
        <v>0</v>
      </c>
      <c r="Y1352" s="148">
        <f>IFERROR(__xludf.DUMMYFUNCTION("""COMPUTED_VALUE"""),0.0)</f>
        <v>0</v>
      </c>
      <c r="Z1352" s="148"/>
    </row>
    <row r="1353">
      <c r="A1353" s="148">
        <f>IFERROR(__xludf.DUMMYFUNCTION("""COMPUTED_VALUE"""),1.1116603E7)</f>
        <v>11116603</v>
      </c>
      <c r="B1353" s="148" t="str">
        <f>IFERROR(__xludf.DUMMYFUNCTION("""COMPUTED_VALUE"""),"收藏品-紫色升星道具-史诗")</f>
        <v>收藏品-紫色升星道具-史诗</v>
      </c>
      <c r="C1353" s="148"/>
      <c r="D1353" s="148" t="str">
        <f>IFERROR(__xludf.DUMMYFUNCTION("""COMPUTED_VALUE"""),"collection_unit_universal")</f>
        <v>collection_unit_universal</v>
      </c>
      <c r="E1353" s="148">
        <f>IFERROR(__xludf.DUMMYFUNCTION("""COMPUTED_VALUE"""),0.0)</f>
        <v>0</v>
      </c>
      <c r="F1353" s="148">
        <f>IFERROR(__xludf.DUMMYFUNCTION("""COMPUTED_VALUE"""),414202.0)</f>
        <v>414202</v>
      </c>
      <c r="G1353" s="148">
        <f>IFERROR(__xludf.DUMMYFUNCTION("""COMPUTED_VALUE"""),1.511345E7)</f>
        <v>15113450</v>
      </c>
      <c r="H1353" s="148">
        <f>IFERROR(__xludf.DUMMYFUNCTION("""COMPUTED_VALUE"""),1.5112563E7)</f>
        <v>15112563</v>
      </c>
      <c r="I1353" s="148" t="str">
        <f>IFERROR(__xludf.DUMMYFUNCTION("""COMPUTED_VALUE"""),"{}")</f>
        <v>{}</v>
      </c>
      <c r="J1353" s="148" t="str">
        <f>IFERROR(__xludf.DUMMYFUNCTION("""COMPUTED_VALUE"""),"{""typ"":""lc"",""txt"":""LC_ITEM_collection_rare_up_star_name""}")</f>
        <v>{"typ":"lc","txt":"LC_ITEM_collection_rare_up_star_name"}</v>
      </c>
      <c r="K1353" s="148" t="str">
        <f>IFERROR(__xludf.DUMMYFUNCTION("""COMPUTED_VALUE"""),"{""typ"":""lc"",""txt"":""LC_ITEM_collection_rare_up_star_desc""}")</f>
        <v>{"typ":"lc","txt":"LC_ITEM_collection_rare_up_star_desc"}</v>
      </c>
      <c r="L1353" s="148" t="str">
        <f>IFERROR(__xludf.DUMMYFUNCTION("""COMPUTED_VALUE"""),"{}")</f>
        <v>{}</v>
      </c>
      <c r="M1353" s="148">
        <f>IFERROR(__xludf.DUMMYFUNCTION("""COMPUTED_VALUE"""),100.0)</f>
        <v>100</v>
      </c>
      <c r="N1353" s="148">
        <f>IFERROR(__xludf.DUMMYFUNCTION("""COMPUTED_VALUE"""),9999999.0)</f>
        <v>9999999</v>
      </c>
      <c r="O1353" s="148">
        <f>IFERROR(__xludf.DUMMYFUNCTION("""COMPUTED_VALUE"""),99999.0)</f>
        <v>99999</v>
      </c>
      <c r="P1353" s="148">
        <f>IFERROR(__xludf.DUMMYFUNCTION("""COMPUTED_VALUE"""),99999.0)</f>
        <v>99999</v>
      </c>
      <c r="Q1353" s="148" t="str">
        <f>IFERROR(__xludf.DUMMYFUNCTION("""COMPUTED_VALUE"""),"[""bag_other""]")</f>
        <v>["bag_other"]</v>
      </c>
      <c r="R1353" s="148" t="str">
        <f>IFERROR(__xludf.DUMMYFUNCTION("""COMPUTED_VALUE"""),"[]")</f>
        <v>[]</v>
      </c>
      <c r="S1353" s="148" t="str">
        <f>IFERROR(__xludf.DUMMYFUNCTION("""COMPUTED_VALUE"""),"{}")</f>
        <v>{}</v>
      </c>
      <c r="T1353" s="148">
        <f>IFERROR(__xludf.DUMMYFUNCTION("""COMPUTED_VALUE"""),-1.0)</f>
        <v>-1</v>
      </c>
      <c r="U1353" s="148">
        <f>IFERROR(__xludf.DUMMYFUNCTION("""COMPUTED_VALUE"""),0.0)</f>
        <v>0</v>
      </c>
      <c r="V1353" s="148" t="str">
        <f>IFERROR(__xludf.DUMMYFUNCTION("""COMPUTED_VALUE"""),"[]")</f>
        <v>[]</v>
      </c>
      <c r="W1353" s="148">
        <f>IFERROR(__xludf.DUMMYFUNCTION("""COMPUTED_VALUE"""),1.1741002E7)</f>
        <v>11741002</v>
      </c>
      <c r="X1353" s="148">
        <f>IFERROR(__xludf.DUMMYFUNCTION("""COMPUTED_VALUE"""),0.0)</f>
        <v>0</v>
      </c>
      <c r="Y1353" s="148">
        <f>IFERROR(__xludf.DUMMYFUNCTION("""COMPUTED_VALUE"""),0.0)</f>
        <v>0</v>
      </c>
      <c r="Z1353" s="148"/>
    </row>
    <row r="1354">
      <c r="A1354" s="148">
        <f>IFERROR(__xludf.DUMMYFUNCTION("""COMPUTED_VALUE"""),1.1116604E7)</f>
        <v>11116604</v>
      </c>
      <c r="B1354" s="148" t="str">
        <f>IFERROR(__xludf.DUMMYFUNCTION("""COMPUTED_VALUE"""),"收藏品-橙色升星道具-传说")</f>
        <v>收藏品-橙色升星道具-传说</v>
      </c>
      <c r="C1354" s="148"/>
      <c r="D1354" s="148" t="str">
        <f>IFERROR(__xludf.DUMMYFUNCTION("""COMPUTED_VALUE"""),"collection_unit_universal")</f>
        <v>collection_unit_universal</v>
      </c>
      <c r="E1354" s="148">
        <f>IFERROR(__xludf.DUMMYFUNCTION("""COMPUTED_VALUE"""),0.0)</f>
        <v>0</v>
      </c>
      <c r="F1354" s="148">
        <f>IFERROR(__xludf.DUMMYFUNCTION("""COMPUTED_VALUE"""),414101.0)</f>
        <v>414101</v>
      </c>
      <c r="G1354" s="148">
        <f>IFERROR(__xludf.DUMMYFUNCTION("""COMPUTED_VALUE"""),1.5113451E7)</f>
        <v>15113451</v>
      </c>
      <c r="H1354" s="148">
        <f>IFERROR(__xludf.DUMMYFUNCTION("""COMPUTED_VALUE"""),1.5112564E7)</f>
        <v>15112564</v>
      </c>
      <c r="I1354" s="148" t="str">
        <f>IFERROR(__xludf.DUMMYFUNCTION("""COMPUTED_VALUE"""),"{}")</f>
        <v>{}</v>
      </c>
      <c r="J1354" s="148" t="str">
        <f>IFERROR(__xludf.DUMMYFUNCTION("""COMPUTED_VALUE"""),"{""typ"":""lc"",""txt"":""LC_ITEM_collection_legend_up_star_name""}")</f>
        <v>{"typ":"lc","txt":"LC_ITEM_collection_legend_up_star_name"}</v>
      </c>
      <c r="K1354" s="148" t="str">
        <f>IFERROR(__xludf.DUMMYFUNCTION("""COMPUTED_VALUE"""),"{""typ"":""lc"",""txt"":""LC_ITEM_collection_legend_up_star_desc""}")</f>
        <v>{"typ":"lc","txt":"LC_ITEM_collection_legend_up_star_desc"}</v>
      </c>
      <c r="L1354" s="148" t="str">
        <f>IFERROR(__xludf.DUMMYFUNCTION("""COMPUTED_VALUE"""),"{}")</f>
        <v>{}</v>
      </c>
      <c r="M1354" s="148">
        <f>IFERROR(__xludf.DUMMYFUNCTION("""COMPUTED_VALUE"""),250.0)</f>
        <v>250</v>
      </c>
      <c r="N1354" s="148">
        <f>IFERROR(__xludf.DUMMYFUNCTION("""COMPUTED_VALUE"""),9999999.0)</f>
        <v>9999999</v>
      </c>
      <c r="O1354" s="148">
        <f>IFERROR(__xludf.DUMMYFUNCTION("""COMPUTED_VALUE"""),99999.0)</f>
        <v>99999</v>
      </c>
      <c r="P1354" s="148">
        <f>IFERROR(__xludf.DUMMYFUNCTION("""COMPUTED_VALUE"""),99999.0)</f>
        <v>99999</v>
      </c>
      <c r="Q1354" s="148" t="str">
        <f>IFERROR(__xludf.DUMMYFUNCTION("""COMPUTED_VALUE"""),"[""bag_other""]")</f>
        <v>["bag_other"]</v>
      </c>
      <c r="R1354" s="148" t="str">
        <f>IFERROR(__xludf.DUMMYFUNCTION("""COMPUTED_VALUE"""),"[]")</f>
        <v>[]</v>
      </c>
      <c r="S1354" s="148" t="str">
        <f>IFERROR(__xludf.DUMMYFUNCTION("""COMPUTED_VALUE"""),"{}")</f>
        <v>{}</v>
      </c>
      <c r="T1354" s="148">
        <f>IFERROR(__xludf.DUMMYFUNCTION("""COMPUTED_VALUE"""),-1.0)</f>
        <v>-1</v>
      </c>
      <c r="U1354" s="148">
        <f>IFERROR(__xludf.DUMMYFUNCTION("""COMPUTED_VALUE"""),0.0)</f>
        <v>0</v>
      </c>
      <c r="V1354" s="148" t="str">
        <f>IFERROR(__xludf.DUMMYFUNCTION("""COMPUTED_VALUE"""),"[]")</f>
        <v>[]</v>
      </c>
      <c r="W1354" s="148">
        <f>IFERROR(__xludf.DUMMYFUNCTION("""COMPUTED_VALUE"""),1.1741002E7)</f>
        <v>11741002</v>
      </c>
      <c r="X1354" s="148">
        <f>IFERROR(__xludf.DUMMYFUNCTION("""COMPUTED_VALUE"""),0.0)</f>
        <v>0</v>
      </c>
      <c r="Y1354" s="148">
        <f>IFERROR(__xludf.DUMMYFUNCTION("""COMPUTED_VALUE"""),0.0)</f>
        <v>0</v>
      </c>
      <c r="Z1354" s="148"/>
    </row>
    <row r="1355">
      <c r="A1355" s="148">
        <f>IFERROR(__xludf.DUMMYFUNCTION("""COMPUTED_VALUE"""),1.1116605E7)</f>
        <v>11116605</v>
      </c>
      <c r="B1355" s="148" t="str">
        <f>IFERROR(__xludf.DUMMYFUNCTION("""COMPUTED_VALUE"""),"巅峰领土-死兵返还比例提升-30%")</f>
        <v>巅峰领土-死兵返还比例提升-30%</v>
      </c>
      <c r="C1355" s="148"/>
      <c r="D1355" s="148" t="str">
        <f>IFERROR(__xludf.DUMMYFUNCTION("""COMPUTED_VALUE"""),"item_buff")</f>
        <v>item_buff</v>
      </c>
      <c r="E1355" s="148">
        <f>IFERROR(__xludf.DUMMYFUNCTION("""COMPUTED_VALUE"""),0.0)</f>
        <v>0</v>
      </c>
      <c r="F1355" s="148">
        <f>IFERROR(__xludf.DUMMYFUNCTION("""COMPUTED_VALUE"""),404102.0)</f>
        <v>404102</v>
      </c>
      <c r="G1355" s="148">
        <f>IFERROR(__xludf.DUMMYFUNCTION("""COMPUTED_VALUE"""),1.5113801E7)</f>
        <v>15113801</v>
      </c>
      <c r="H1355" s="148">
        <f>IFERROR(__xludf.DUMMYFUNCTION("""COMPUTED_VALUE"""),1.5112564E7)</f>
        <v>15112564</v>
      </c>
      <c r="I1355" s="148" t="str">
        <f>IFERROR(__xludf.DUMMYFUNCTION("""COMPUTED_VALUE"""),"{""typ"":""lc"",""txt"":""LC_ITEM_buff_val_upper_show"",""args"":[{""typ"":""int"",""val"":30}]}")</f>
        <v>{"typ":"lc","txt":"LC_ITEM_buff_val_upper_show","args":[{"typ":"int","val":30}]}</v>
      </c>
      <c r="J1355" s="148" t="str">
        <f>IFERROR(__xludf.DUMMYFUNCTION("""COMPUTED_VALUE"""),"{""typ"":""lc"",""txt"":""LC_ITEM_kvk_emergency_cabin_upgrade_name""}")</f>
        <v>{"typ":"lc","txt":"LC_ITEM_kvk_emergency_cabin_upgrade_name"}</v>
      </c>
      <c r="K1355" s="148" t="str">
        <f>IFERROR(__xludf.DUMMYFUNCTION("""COMPUTED_VALUE"""),"{""typ"":""lc"",""txt"":""LC_ITEM_kvk_emergency_cabin_upgrade_desc"",""args"":[{""typ"":""int"",""val"":30}]}")</f>
        <v>{"typ":"lc","txt":"LC_ITEM_kvk_emergency_cabin_upgrade_desc","args":[{"typ":"int","val":30}]}</v>
      </c>
      <c r="L1355" s="148" t="str">
        <f>IFERROR(__xludf.DUMMYFUNCTION("""COMPUTED_VALUE"""),"{""typ"":""lc"",""txt"":""LC_ITEM_kvk_emergency_cabin_upgrade_usetip""}")</f>
        <v>{"typ":"lc","txt":"LC_ITEM_kvk_emergency_cabin_upgrade_usetip"}</v>
      </c>
      <c r="M1355" s="148">
        <f>IFERROR(__xludf.DUMMYFUNCTION("""COMPUTED_VALUE"""),40500.0)</f>
        <v>40500</v>
      </c>
      <c r="N1355" s="148">
        <f>IFERROR(__xludf.DUMMYFUNCTION("""COMPUTED_VALUE"""),100.0)</f>
        <v>100</v>
      </c>
      <c r="O1355" s="148">
        <f>IFERROR(__xludf.DUMMYFUNCTION("""COMPUTED_VALUE"""),100.0)</f>
        <v>100</v>
      </c>
      <c r="P1355" s="148">
        <f>IFERROR(__xludf.DUMMYFUNCTION("""COMPUTED_VALUE"""),100.0)</f>
        <v>100</v>
      </c>
      <c r="Q1355" s="148" t="str">
        <f>IFERROR(__xludf.DUMMYFUNCTION("""COMPUTED_VALUE"""),"[""bag_other""]")</f>
        <v>["bag_other"]</v>
      </c>
      <c r="R1355" s="148" t="str">
        <f>IFERROR(__xludf.DUMMYFUNCTION("""COMPUTED_VALUE"""),"[]")</f>
        <v>[]</v>
      </c>
      <c r="S1355" s="148" t="str">
        <f>IFERROR(__xludf.DUMMYFUNCTION("""COMPUTED_VALUE"""),"{""effect"":[{""typ"":""buff"",""id"":121116034,""val"":-1,""arg1"":0.3}]}")</f>
        <v>{"effect":[{"typ":"buff","id":121116034,"val":-1,"arg1":0.3}]}</v>
      </c>
      <c r="T1355" s="148">
        <f>IFERROR(__xludf.DUMMYFUNCTION("""COMPUTED_VALUE"""),-1.0)</f>
        <v>-1</v>
      </c>
      <c r="U1355" s="148">
        <f>IFERROR(__xludf.DUMMYFUNCTION("""COMPUTED_VALUE"""),1.0)</f>
        <v>1</v>
      </c>
      <c r="V1355" s="148" t="str">
        <f>IFERROR(__xludf.DUMMYFUNCTION("""COMPUTED_VALUE"""),"[]")</f>
        <v>[]</v>
      </c>
      <c r="W1355" s="148">
        <f>IFERROR(__xludf.DUMMYFUNCTION("""COMPUTED_VALUE"""),1.174E7)</f>
        <v>11740000</v>
      </c>
      <c r="X1355" s="148">
        <f>IFERROR(__xludf.DUMMYFUNCTION("""COMPUTED_VALUE"""),0.0)</f>
        <v>0</v>
      </c>
      <c r="Y1355" s="148">
        <f>IFERROR(__xludf.DUMMYFUNCTION("""COMPUTED_VALUE"""),0.0)</f>
        <v>0</v>
      </c>
      <c r="Z1355" s="148"/>
    </row>
    <row r="1356">
      <c r="A1356" s="148">
        <f>IFERROR(__xludf.DUMMYFUNCTION("""COMPUTED_VALUE"""),1.1116701E7)</f>
        <v>11116701</v>
      </c>
      <c r="B1356" s="148" t="str">
        <f>IFERROR(__xludf.DUMMYFUNCTION("""COMPUTED_VALUE"""),"铭牌-兼容铭牌")</f>
        <v>铭牌-兼容铭牌</v>
      </c>
      <c r="C1356" s="148"/>
      <c r="D1356" s="148" t="str">
        <f>IFERROR(__xludf.DUMMYFUNCTION("""COMPUTED_VALUE"""),"chat_skin")</f>
        <v>chat_skin</v>
      </c>
      <c r="E1356" s="148">
        <f>IFERROR(__xludf.DUMMYFUNCTION("""COMPUTED_VALUE"""),30.0)</f>
        <v>30</v>
      </c>
      <c r="F1356" s="148">
        <f>IFERROR(__xludf.DUMMYFUNCTION("""COMPUTED_VALUE"""),404399.0)</f>
        <v>404399</v>
      </c>
      <c r="G1356" s="148">
        <f>IFERROR(__xludf.DUMMYFUNCTION("""COMPUTED_VALUE"""),1.5114603E7)</f>
        <v>15114603</v>
      </c>
      <c r="H1356" s="148">
        <f>IFERROR(__xludf.DUMMYFUNCTION("""COMPUTED_VALUE"""),1.5112562E7)</f>
        <v>15112562</v>
      </c>
      <c r="I1356" s="148" t="str">
        <f>IFERROR(__xludf.DUMMYFUNCTION("""COMPUTED_VALUE"""),"{}")</f>
        <v>{}</v>
      </c>
      <c r="J1356" s="148" t="str">
        <f>IFERROR(__xludf.DUMMYFUNCTION("""COMPUTED_VALUE"""),"{""typ"":""lc"",""txt"":""LC_MENU_update_title""}")</f>
        <v>{"typ":"lc","txt":"LC_MENU_update_title"}</v>
      </c>
      <c r="K1356" s="148" t="str">
        <f>IFERROR(__xludf.DUMMYFUNCTION("""COMPUTED_VALUE"""),"{""typ"":""lc"",""txt"":""LC_MENU_update_title""}")</f>
        <v>{"typ":"lc","txt":"LC_MENU_update_title"}</v>
      </c>
      <c r="L1356" s="148" t="str">
        <f>IFERROR(__xludf.DUMMYFUNCTION("""COMPUTED_VALUE"""),"{}")</f>
        <v>{}</v>
      </c>
      <c r="M1356" s="148">
        <f>IFERROR(__xludf.DUMMYFUNCTION("""COMPUTED_VALUE"""),0.0)</f>
        <v>0</v>
      </c>
      <c r="N1356" s="148">
        <f>IFERROR(__xludf.DUMMYFUNCTION("""COMPUTED_VALUE"""),9999999.0)</f>
        <v>9999999</v>
      </c>
      <c r="O1356" s="148">
        <f>IFERROR(__xludf.DUMMYFUNCTION("""COMPUTED_VALUE"""),1.0)</f>
        <v>1</v>
      </c>
      <c r="P1356" s="148">
        <f>IFERROR(__xludf.DUMMYFUNCTION("""COMPUTED_VALUE"""),1.0)</f>
        <v>1</v>
      </c>
      <c r="Q1356" s="148" t="str">
        <f>IFERROR(__xludf.DUMMYFUNCTION("""COMPUTED_VALUE"""),"[""bag_other""]")</f>
        <v>["bag_other"]</v>
      </c>
      <c r="R1356" s="148" t="str">
        <f>IFERROR(__xludf.DUMMYFUNCTION("""COMPUTED_VALUE"""),"[""11731000"",""bag""]")</f>
        <v>["11731000","bag"]</v>
      </c>
      <c r="S1356" s="148" t="str">
        <f>IFERROR(__xludf.DUMMYFUNCTION("""COMPUTED_VALUE"""),"{""effect"":[{""typ"":""nameplate"",""id"":11731000,""val"":-1}]}")</f>
        <v>{"effect":[{"typ":"nameplate","id":11731000,"val":-1}]}</v>
      </c>
      <c r="T1356" s="148">
        <f>IFERROR(__xludf.DUMMYFUNCTION("""COMPUTED_VALUE"""),-1.0)</f>
        <v>-1</v>
      </c>
      <c r="U1356" s="148">
        <f>IFERROR(__xludf.DUMMYFUNCTION("""COMPUTED_VALUE"""),0.0)</f>
        <v>0</v>
      </c>
      <c r="V1356" s="148" t="str">
        <f>IFERROR(__xludf.DUMMYFUNCTION("""COMPUTED_VALUE"""),"[]")</f>
        <v>[]</v>
      </c>
      <c r="W1356" s="148">
        <f>IFERROR(__xludf.DUMMYFUNCTION("""COMPUTED_VALUE"""),1.174E7)</f>
        <v>11740000</v>
      </c>
      <c r="X1356" s="148">
        <f>IFERROR(__xludf.DUMMYFUNCTION("""COMPUTED_VALUE"""),0.0)</f>
        <v>0</v>
      </c>
      <c r="Y1356" s="148">
        <f>IFERROR(__xludf.DUMMYFUNCTION("""COMPUTED_VALUE"""),0.0)</f>
        <v>0</v>
      </c>
      <c r="Z1356" s="148"/>
    </row>
    <row r="1357">
      <c r="A1357" s="148">
        <f>IFERROR(__xludf.DUMMYFUNCTION("""COMPUTED_VALUE"""),1.1116702E7)</f>
        <v>11116702</v>
      </c>
      <c r="B1357" s="148" t="str">
        <f>IFERROR(__xludf.DUMMYFUNCTION("""COMPUTED_VALUE"""),"铭牌-情人节铭牌")</f>
        <v>铭牌-情人节铭牌</v>
      </c>
      <c r="C1357" s="148"/>
      <c r="D1357" s="148" t="str">
        <f>IFERROR(__xludf.DUMMYFUNCTION("""COMPUTED_VALUE"""),"chat_skin")</f>
        <v>chat_skin</v>
      </c>
      <c r="E1357" s="148">
        <f>IFERROR(__xludf.DUMMYFUNCTION("""COMPUTED_VALUE"""),30.0)</f>
        <v>30</v>
      </c>
      <c r="F1357" s="148">
        <f>IFERROR(__xludf.DUMMYFUNCTION("""COMPUTED_VALUE"""),401110.0)</f>
        <v>401110</v>
      </c>
      <c r="G1357" s="148">
        <f>IFERROR(__xludf.DUMMYFUNCTION("""COMPUTED_VALUE"""),1.5114582E7)</f>
        <v>15114582</v>
      </c>
      <c r="H1357" s="148">
        <f>IFERROR(__xludf.DUMMYFUNCTION("""COMPUTED_VALUE"""),1.5112564E7)</f>
        <v>15112564</v>
      </c>
      <c r="I1357" s="148" t="str">
        <f>IFERROR(__xludf.DUMMYFUNCTION("""COMPUTED_VALUE"""),"{}")</f>
        <v>{}</v>
      </c>
      <c r="J1357" s="148" t="str">
        <f>IFERROR(__xludf.DUMMYFUNCTION("""COMPUTED_VALUE"""),"{""typ"":""lc"",""txt"":""LC_ITEM_valentiine_namepla_item_name_2022_forever""}")</f>
        <v>{"typ":"lc","txt":"LC_ITEM_valentiine_namepla_item_name_2022_forever"}</v>
      </c>
      <c r="K1357" s="148" t="str">
        <f>IFERROR(__xludf.DUMMYFUNCTION("""COMPUTED_VALUE"""),"{""typ"":""lc"",""txt"":""LC_ITEM_valentiine_namepla_desc_2022_item""}")</f>
        <v>{"typ":"lc","txt":"LC_ITEM_valentiine_namepla_desc_2022_item"}</v>
      </c>
      <c r="L1357" s="148" t="str">
        <f>IFERROR(__xludf.DUMMYFUNCTION("""COMPUTED_VALUE"""),"{""typ"":""lc"",""txt"":""LC_ITEM_season_extra_reward_usedtip""}")</f>
        <v>{"typ":"lc","txt":"LC_ITEM_season_extra_reward_usedtip"}</v>
      </c>
      <c r="M1357" s="148">
        <f>IFERROR(__xludf.DUMMYFUNCTION("""COMPUTED_VALUE"""),2500.0)</f>
        <v>2500</v>
      </c>
      <c r="N1357" s="148">
        <f>IFERROR(__xludf.DUMMYFUNCTION("""COMPUTED_VALUE"""),9999999.0)</f>
        <v>9999999</v>
      </c>
      <c r="O1357" s="148">
        <f>IFERROR(__xludf.DUMMYFUNCTION("""COMPUTED_VALUE"""),1.0)</f>
        <v>1</v>
      </c>
      <c r="P1357" s="148">
        <f>IFERROR(__xludf.DUMMYFUNCTION("""COMPUTED_VALUE"""),1.0)</f>
        <v>1</v>
      </c>
      <c r="Q1357" s="148" t="str">
        <f>IFERROR(__xludf.DUMMYFUNCTION("""COMPUTED_VALUE"""),"[""bag_other""]")</f>
        <v>["bag_other"]</v>
      </c>
      <c r="R1357" s="148" t="str">
        <f>IFERROR(__xludf.DUMMYFUNCTION("""COMPUTED_VALUE"""),"[""11731002"",""bag""]")</f>
        <v>["11731002","bag"]</v>
      </c>
      <c r="S1357" s="148" t="str">
        <f>IFERROR(__xludf.DUMMYFUNCTION("""COMPUTED_VALUE"""),"{""effect"":[{""typ"":""nameplate"",""id"":11731002,""val"":-1}]}")</f>
        <v>{"effect":[{"typ":"nameplate","id":11731002,"val":-1}]}</v>
      </c>
      <c r="T1357" s="148">
        <f>IFERROR(__xludf.DUMMYFUNCTION("""COMPUTED_VALUE"""),-1.0)</f>
        <v>-1</v>
      </c>
      <c r="U1357" s="148">
        <f>IFERROR(__xludf.DUMMYFUNCTION("""COMPUTED_VALUE"""),0.0)</f>
        <v>0</v>
      </c>
      <c r="V1357" s="148" t="str">
        <f>IFERROR(__xludf.DUMMYFUNCTION("""COMPUTED_VALUE"""),"[]")</f>
        <v>[]</v>
      </c>
      <c r="W1357" s="148">
        <f>IFERROR(__xludf.DUMMYFUNCTION("""COMPUTED_VALUE"""),1.174E7)</f>
        <v>11740000</v>
      </c>
      <c r="X1357" s="148">
        <f>IFERROR(__xludf.DUMMYFUNCTION("""COMPUTED_VALUE"""),0.0)</f>
        <v>0</v>
      </c>
      <c r="Y1357" s="148">
        <f>IFERROR(__xludf.DUMMYFUNCTION("""COMPUTED_VALUE"""),0.0)</f>
        <v>0</v>
      </c>
      <c r="Z1357" s="148"/>
    </row>
    <row r="1358">
      <c r="A1358" s="148">
        <f>IFERROR(__xludf.DUMMYFUNCTION("""COMPUTED_VALUE"""),1.1116703E7)</f>
        <v>11116703</v>
      </c>
      <c r="B1358" s="148" t="str">
        <f>IFERROR(__xludf.DUMMYFUNCTION("""COMPUTED_VALUE"""),"铭牌-情人节铭牌-1天")</f>
        <v>铭牌-情人节铭牌-1天</v>
      </c>
      <c r="C1358" s="148"/>
      <c r="D1358" s="148" t="str">
        <f>IFERROR(__xludf.DUMMYFUNCTION("""COMPUTED_VALUE"""),"chat_skin")</f>
        <v>chat_skin</v>
      </c>
      <c r="E1358" s="148">
        <f>IFERROR(__xludf.DUMMYFUNCTION("""COMPUTED_VALUE"""),30.0)</f>
        <v>30</v>
      </c>
      <c r="F1358" s="148">
        <f>IFERROR(__xludf.DUMMYFUNCTION("""COMPUTED_VALUE"""),404299.0)</f>
        <v>404299</v>
      </c>
      <c r="G1358" s="148">
        <f>IFERROR(__xludf.DUMMYFUNCTION("""COMPUTED_VALUE"""),1.5114582E7)</f>
        <v>15114582</v>
      </c>
      <c r="H1358" s="148">
        <f>IFERROR(__xludf.DUMMYFUNCTION("""COMPUTED_VALUE"""),1.5112563E7)</f>
        <v>15112563</v>
      </c>
      <c r="I1358" s="148" t="str">
        <f>IFERROR(__xludf.DUMMYFUNCTION("""COMPUTED_VALUE"""),"{""typ"":""lc"",""txt"":""LC_ITEM_time_day_upper_show"",""args"":[{""typ"":""int"",""val"":1}]}")</f>
        <v>{"typ":"lc","txt":"LC_ITEM_time_day_upper_show","args":[{"typ":"int","val":1}]}</v>
      </c>
      <c r="J1358" s="148" t="str">
        <f>IFERROR(__xludf.DUMMYFUNCTION("""COMPUTED_VALUE"""),"{""typ"":""lc"",""txt"":""LC_ITEM_valentiine_namepla_item_name_2022_limit""}")</f>
        <v>{"typ":"lc","txt":"LC_ITEM_valentiine_namepla_item_name_2022_limit"}</v>
      </c>
      <c r="K1358" s="148" t="str">
        <f>IFERROR(__xludf.DUMMYFUNCTION("""COMPUTED_VALUE"""),"{""typ"":""lc"",""txt"":""LC_ITEM_2022_valentine_nameplate_limit""}")</f>
        <v>{"typ":"lc","txt":"LC_ITEM_2022_valentine_nameplate_limit"}</v>
      </c>
      <c r="L1358" s="148" t="str">
        <f>IFERROR(__xludf.DUMMYFUNCTION("""COMPUTED_VALUE"""),"{""typ"":""lc"",""txt"":""LC_ITEM_season_extra_reward_usedtip""}")</f>
        <v>{"typ":"lc","txt":"LC_ITEM_season_extra_reward_usedtip"}</v>
      </c>
      <c r="M1358" s="148">
        <f>IFERROR(__xludf.DUMMYFUNCTION("""COMPUTED_VALUE"""),250.0)</f>
        <v>250</v>
      </c>
      <c r="N1358" s="148">
        <f>IFERROR(__xludf.DUMMYFUNCTION("""COMPUTED_VALUE"""),9999999.0)</f>
        <v>9999999</v>
      </c>
      <c r="O1358" s="148">
        <f>IFERROR(__xludf.DUMMYFUNCTION("""COMPUTED_VALUE"""),1.0)</f>
        <v>1</v>
      </c>
      <c r="P1358" s="148">
        <f>IFERROR(__xludf.DUMMYFUNCTION("""COMPUTED_VALUE"""),1.0)</f>
        <v>1</v>
      </c>
      <c r="Q1358" s="148" t="str">
        <f>IFERROR(__xludf.DUMMYFUNCTION("""COMPUTED_VALUE"""),"[""bag_other""]")</f>
        <v>["bag_other"]</v>
      </c>
      <c r="R1358" s="148" t="str">
        <f>IFERROR(__xludf.DUMMYFUNCTION("""COMPUTED_VALUE"""),"[""11731002"",""bag""]")</f>
        <v>["11731002","bag"]</v>
      </c>
      <c r="S1358" s="148" t="str">
        <f>IFERROR(__xludf.DUMMYFUNCTION("""COMPUTED_VALUE"""),"{""effect"":[{""typ"":""nameplate"",""id"":11731002,""val"":86400000}]}")</f>
        <v>{"effect":[{"typ":"nameplate","id":11731002,"val":86400000}]}</v>
      </c>
      <c r="T1358" s="148">
        <f>IFERROR(__xludf.DUMMYFUNCTION("""COMPUTED_VALUE"""),-1.0)</f>
        <v>-1</v>
      </c>
      <c r="U1358" s="148">
        <f>IFERROR(__xludf.DUMMYFUNCTION("""COMPUTED_VALUE"""),0.0)</f>
        <v>0</v>
      </c>
      <c r="V1358" s="148" t="str">
        <f>IFERROR(__xludf.DUMMYFUNCTION("""COMPUTED_VALUE"""),"[]")</f>
        <v>[]</v>
      </c>
      <c r="W1358" s="148">
        <f>IFERROR(__xludf.DUMMYFUNCTION("""COMPUTED_VALUE"""),1.174E7)</f>
        <v>11740000</v>
      </c>
      <c r="X1358" s="148">
        <f>IFERROR(__xludf.DUMMYFUNCTION("""COMPUTED_VALUE"""),0.0)</f>
        <v>0</v>
      </c>
      <c r="Y1358" s="148">
        <f>IFERROR(__xludf.DUMMYFUNCTION("""COMPUTED_VALUE"""),0.0)</f>
        <v>0</v>
      </c>
      <c r="Z1358" s="148"/>
    </row>
    <row r="1359">
      <c r="A1359" s="148">
        <f>IFERROR(__xludf.DUMMYFUNCTION("""COMPUTED_VALUE"""),1.1116704E7)</f>
        <v>11116704</v>
      </c>
      <c r="B1359" s="148" t="str">
        <f>IFERROR(__xludf.DUMMYFUNCTION("""COMPUTED_VALUE"""),"铭牌-复活节铭牌")</f>
        <v>铭牌-复活节铭牌</v>
      </c>
      <c r="C1359" s="148"/>
      <c r="D1359" s="148" t="str">
        <f>IFERROR(__xludf.DUMMYFUNCTION("""COMPUTED_VALUE"""),"chat_skin")</f>
        <v>chat_skin</v>
      </c>
      <c r="E1359" s="148">
        <f>IFERROR(__xludf.DUMMYFUNCTION("""COMPUTED_VALUE"""),30.0)</f>
        <v>30</v>
      </c>
      <c r="F1359" s="148">
        <f>IFERROR(__xludf.DUMMYFUNCTION("""COMPUTED_VALUE"""),401109.0)</f>
        <v>401109</v>
      </c>
      <c r="G1359" s="148">
        <f>IFERROR(__xludf.DUMMYFUNCTION("""COMPUTED_VALUE"""),1.5114649E7)</f>
        <v>15114649</v>
      </c>
      <c r="H1359" s="148">
        <f>IFERROR(__xludf.DUMMYFUNCTION("""COMPUTED_VALUE"""),1.5112564E7)</f>
        <v>15112564</v>
      </c>
      <c r="I1359" s="148" t="str">
        <f>IFERROR(__xludf.DUMMYFUNCTION("""COMPUTED_VALUE"""),"{}")</f>
        <v>{}</v>
      </c>
      <c r="J1359" s="148" t="str">
        <f>IFERROR(__xludf.DUMMYFUNCTION("""COMPUTED_VALUE"""),"{""typ"":""lc"",""txt"":""LC_ITEM_easter_chat_skin_2022_name""}")</f>
        <v>{"typ":"lc","txt":"LC_ITEM_easter_chat_skin_2022_name"}</v>
      </c>
      <c r="K1359" s="148" t="str">
        <f>IFERROR(__xludf.DUMMYFUNCTION("""COMPUTED_VALUE"""),"{""typ"":""lc"",""txt"":""LC_ITEM_easter_namepla_story_2022_item""}")</f>
        <v>{"typ":"lc","txt":"LC_ITEM_easter_namepla_story_2022_item"}</v>
      </c>
      <c r="L1359" s="148" t="str">
        <f>IFERROR(__xludf.DUMMYFUNCTION("""COMPUTED_VALUE"""),"{""typ"":""lc"",""txt"":""LC_ITEM_season_extra_reward_usedtip""}")</f>
        <v>{"typ":"lc","txt":"LC_ITEM_season_extra_reward_usedtip"}</v>
      </c>
      <c r="M1359" s="148">
        <f>IFERROR(__xludf.DUMMYFUNCTION("""COMPUTED_VALUE"""),2500.0)</f>
        <v>2500</v>
      </c>
      <c r="N1359" s="148">
        <f>IFERROR(__xludf.DUMMYFUNCTION("""COMPUTED_VALUE"""),9999999.0)</f>
        <v>9999999</v>
      </c>
      <c r="O1359" s="148">
        <f>IFERROR(__xludf.DUMMYFUNCTION("""COMPUTED_VALUE"""),1.0)</f>
        <v>1</v>
      </c>
      <c r="P1359" s="148">
        <f>IFERROR(__xludf.DUMMYFUNCTION("""COMPUTED_VALUE"""),1.0)</f>
        <v>1</v>
      </c>
      <c r="Q1359" s="148" t="str">
        <f>IFERROR(__xludf.DUMMYFUNCTION("""COMPUTED_VALUE"""),"[""bag_other""]")</f>
        <v>["bag_other"]</v>
      </c>
      <c r="R1359" s="148" t="str">
        <f>IFERROR(__xludf.DUMMYFUNCTION("""COMPUTED_VALUE"""),"[""11731003"",""bag""]")</f>
        <v>["11731003","bag"]</v>
      </c>
      <c r="S1359" s="148" t="str">
        <f>IFERROR(__xludf.DUMMYFUNCTION("""COMPUTED_VALUE"""),"{""effect"":[{""typ"":""nameplate"",""id"":11731003,""val"":-1}]}")</f>
        <v>{"effect":[{"typ":"nameplate","id":11731003,"val":-1}]}</v>
      </c>
      <c r="T1359" s="148">
        <f>IFERROR(__xludf.DUMMYFUNCTION("""COMPUTED_VALUE"""),-1.0)</f>
        <v>-1</v>
      </c>
      <c r="U1359" s="148">
        <f>IFERROR(__xludf.DUMMYFUNCTION("""COMPUTED_VALUE"""),0.0)</f>
        <v>0</v>
      </c>
      <c r="V1359" s="148" t="str">
        <f>IFERROR(__xludf.DUMMYFUNCTION("""COMPUTED_VALUE"""),"[]")</f>
        <v>[]</v>
      </c>
      <c r="W1359" s="148">
        <f>IFERROR(__xludf.DUMMYFUNCTION("""COMPUTED_VALUE"""),1.174E7)</f>
        <v>11740000</v>
      </c>
      <c r="X1359" s="148">
        <f>IFERROR(__xludf.DUMMYFUNCTION("""COMPUTED_VALUE"""),0.0)</f>
        <v>0</v>
      </c>
      <c r="Y1359" s="148">
        <f>IFERROR(__xludf.DUMMYFUNCTION("""COMPUTED_VALUE"""),0.0)</f>
        <v>0</v>
      </c>
      <c r="Z1359" s="148"/>
    </row>
    <row r="1360">
      <c r="A1360" s="148">
        <f>IFERROR(__xludf.DUMMYFUNCTION("""COMPUTED_VALUE"""),1.1116705E7)</f>
        <v>11116705</v>
      </c>
      <c r="B1360" s="148" t="str">
        <f>IFERROR(__xludf.DUMMYFUNCTION("""COMPUTED_VALUE"""),"铭牌-幼猴节铭牌")</f>
        <v>铭牌-幼猴节铭牌</v>
      </c>
      <c r="C1360" s="148"/>
      <c r="D1360" s="148" t="str">
        <f>IFERROR(__xludf.DUMMYFUNCTION("""COMPUTED_VALUE"""),"chat_skin")</f>
        <v>chat_skin</v>
      </c>
      <c r="E1360" s="148">
        <f>IFERROR(__xludf.DUMMYFUNCTION("""COMPUTED_VALUE"""),30.0)</f>
        <v>30</v>
      </c>
      <c r="F1360" s="148">
        <f>IFERROR(__xludf.DUMMYFUNCTION("""COMPUTED_VALUE"""),401108.0)</f>
        <v>401108</v>
      </c>
      <c r="G1360" s="148">
        <f>IFERROR(__xludf.DUMMYFUNCTION("""COMPUTED_VALUE"""),1.5114781E7)</f>
        <v>15114781</v>
      </c>
      <c r="H1360" s="148">
        <f>IFERROR(__xludf.DUMMYFUNCTION("""COMPUTED_VALUE"""),1.5112564E7)</f>
        <v>15112564</v>
      </c>
      <c r="I1360" s="148" t="str">
        <f>IFERROR(__xludf.DUMMYFUNCTION("""COMPUTED_VALUE"""),"{}")</f>
        <v>{}</v>
      </c>
      <c r="J1360" s="148" t="str">
        <f>IFERROR(__xludf.DUMMYFUNCTION("""COMPUTED_VALUE"""),"{""typ"":""lc"",""txt"":""LC_ITEM_children_namepla_name_2022""}")</f>
        <v>{"typ":"lc","txt":"LC_ITEM_children_namepla_name_2022"}</v>
      </c>
      <c r="K1360" s="148" t="str">
        <f>IFERROR(__xludf.DUMMYFUNCTION("""COMPUTED_VALUE"""),"{""typ"":""lc"",""txt"":""LC_ITEM_children_namepla_story_2022_item""}")</f>
        <v>{"typ":"lc","txt":"LC_ITEM_children_namepla_story_2022_item"}</v>
      </c>
      <c r="L1360" s="148" t="str">
        <f>IFERROR(__xludf.DUMMYFUNCTION("""COMPUTED_VALUE"""),"{""typ"":""lc"",""txt"":""LC_ITEM_season_extra_reward_usedtip""}")</f>
        <v>{"typ":"lc","txt":"LC_ITEM_season_extra_reward_usedtip"}</v>
      </c>
      <c r="M1360" s="148">
        <f>IFERROR(__xludf.DUMMYFUNCTION("""COMPUTED_VALUE"""),2500.0)</f>
        <v>2500</v>
      </c>
      <c r="N1360" s="148">
        <f>IFERROR(__xludf.DUMMYFUNCTION("""COMPUTED_VALUE"""),9999999.0)</f>
        <v>9999999</v>
      </c>
      <c r="O1360" s="148">
        <f>IFERROR(__xludf.DUMMYFUNCTION("""COMPUTED_VALUE"""),1.0)</f>
        <v>1</v>
      </c>
      <c r="P1360" s="148">
        <f>IFERROR(__xludf.DUMMYFUNCTION("""COMPUTED_VALUE"""),1.0)</f>
        <v>1</v>
      </c>
      <c r="Q1360" s="148" t="str">
        <f>IFERROR(__xludf.DUMMYFUNCTION("""COMPUTED_VALUE"""),"[""bag_other""]")</f>
        <v>["bag_other"]</v>
      </c>
      <c r="R1360" s="148" t="str">
        <f>IFERROR(__xludf.DUMMYFUNCTION("""COMPUTED_VALUE"""),"[""11731004"",""bag""]")</f>
        <v>["11731004","bag"]</v>
      </c>
      <c r="S1360" s="148" t="str">
        <f>IFERROR(__xludf.DUMMYFUNCTION("""COMPUTED_VALUE"""),"{""effect"":[{""typ"":""nameplate"",""id"":11731004,""val"":-1}]}")</f>
        <v>{"effect":[{"typ":"nameplate","id":11731004,"val":-1}]}</v>
      </c>
      <c r="T1360" s="148">
        <f>IFERROR(__xludf.DUMMYFUNCTION("""COMPUTED_VALUE"""),-1.0)</f>
        <v>-1</v>
      </c>
      <c r="U1360" s="148">
        <f>IFERROR(__xludf.DUMMYFUNCTION("""COMPUTED_VALUE"""),0.0)</f>
        <v>0</v>
      </c>
      <c r="V1360" s="148" t="str">
        <f>IFERROR(__xludf.DUMMYFUNCTION("""COMPUTED_VALUE"""),"[]")</f>
        <v>[]</v>
      </c>
      <c r="W1360" s="148">
        <f>IFERROR(__xludf.DUMMYFUNCTION("""COMPUTED_VALUE"""),1.174E7)</f>
        <v>11740000</v>
      </c>
      <c r="X1360" s="148">
        <f>IFERROR(__xludf.DUMMYFUNCTION("""COMPUTED_VALUE"""),0.0)</f>
        <v>0</v>
      </c>
      <c r="Y1360" s="148">
        <f>IFERROR(__xludf.DUMMYFUNCTION("""COMPUTED_VALUE"""),0.0)</f>
        <v>0</v>
      </c>
      <c r="Z1360" s="148"/>
    </row>
    <row r="1361">
      <c r="A1361" s="148">
        <f>IFERROR(__xludf.DUMMYFUNCTION("""COMPUTED_VALUE"""),1.1116706E7)</f>
        <v>11116706</v>
      </c>
      <c r="B1361" s="148" t="str">
        <f>IFERROR(__xludf.DUMMYFUNCTION("""COMPUTED_VALUE"""),"铭牌-沙滩节铭牌")</f>
        <v>铭牌-沙滩节铭牌</v>
      </c>
      <c r="C1361" s="148"/>
      <c r="D1361" s="148" t="str">
        <f>IFERROR(__xludf.DUMMYFUNCTION("""COMPUTED_VALUE"""),"chat_skin")</f>
        <v>chat_skin</v>
      </c>
      <c r="E1361" s="148">
        <f>IFERROR(__xludf.DUMMYFUNCTION("""COMPUTED_VALUE"""),30.0)</f>
        <v>30</v>
      </c>
      <c r="F1361" s="148">
        <f>IFERROR(__xludf.DUMMYFUNCTION("""COMPUTED_VALUE"""),401107.0)</f>
        <v>401107</v>
      </c>
      <c r="G1361" s="148">
        <f>IFERROR(__xludf.DUMMYFUNCTION("""COMPUTED_VALUE"""),1.5115003E7)</f>
        <v>15115003</v>
      </c>
      <c r="H1361" s="148">
        <f>IFERROR(__xludf.DUMMYFUNCTION("""COMPUTED_VALUE"""),1.5112564E7)</f>
        <v>15112564</v>
      </c>
      <c r="I1361" s="148" t="str">
        <f>IFERROR(__xludf.DUMMYFUNCTION("""COMPUTED_VALUE"""),"{}")</f>
        <v>{}</v>
      </c>
      <c r="J1361" s="148" t="str">
        <f>IFERROR(__xludf.DUMMYFUNCTION("""COMPUTED_VALUE"""),"{""typ"":""lc"",""txt"":""LC_ITEM_beach_namepla_name_2022""}")</f>
        <v>{"typ":"lc","txt":"LC_ITEM_beach_namepla_name_2022"}</v>
      </c>
      <c r="K1361" s="148" t="str">
        <f>IFERROR(__xludf.DUMMYFUNCTION("""COMPUTED_VALUE"""),"{""typ"":""lc"",""txt"":""LC_ITEM_beach_namepla_desc_2022_item""}")</f>
        <v>{"typ":"lc","txt":"LC_ITEM_beach_namepla_desc_2022_item"}</v>
      </c>
      <c r="L1361" s="148" t="str">
        <f>IFERROR(__xludf.DUMMYFUNCTION("""COMPUTED_VALUE"""),"{""typ"":""lc"",""txt"":""LC_ITEM_season_extra_reward_usedtip""}")</f>
        <v>{"typ":"lc","txt":"LC_ITEM_season_extra_reward_usedtip"}</v>
      </c>
      <c r="M1361" s="148">
        <f>IFERROR(__xludf.DUMMYFUNCTION("""COMPUTED_VALUE"""),2500.0)</f>
        <v>2500</v>
      </c>
      <c r="N1361" s="148">
        <f>IFERROR(__xludf.DUMMYFUNCTION("""COMPUTED_VALUE"""),9999999.0)</f>
        <v>9999999</v>
      </c>
      <c r="O1361" s="148">
        <f>IFERROR(__xludf.DUMMYFUNCTION("""COMPUTED_VALUE"""),1.0)</f>
        <v>1</v>
      </c>
      <c r="P1361" s="148">
        <f>IFERROR(__xludf.DUMMYFUNCTION("""COMPUTED_VALUE"""),1.0)</f>
        <v>1</v>
      </c>
      <c r="Q1361" s="148" t="str">
        <f>IFERROR(__xludf.DUMMYFUNCTION("""COMPUTED_VALUE"""),"[""bag_other""]")</f>
        <v>["bag_other"]</v>
      </c>
      <c r="R1361" s="148" t="str">
        <f>IFERROR(__xludf.DUMMYFUNCTION("""COMPUTED_VALUE"""),"[""11731005"",""bag""]")</f>
        <v>["11731005","bag"]</v>
      </c>
      <c r="S1361" s="148" t="str">
        <f>IFERROR(__xludf.DUMMYFUNCTION("""COMPUTED_VALUE"""),"{""effect"":[{""typ"":""nameplate"",""id"":11731005,""val"":-1}]}")</f>
        <v>{"effect":[{"typ":"nameplate","id":11731005,"val":-1}]}</v>
      </c>
      <c r="T1361" s="148">
        <f>IFERROR(__xludf.DUMMYFUNCTION("""COMPUTED_VALUE"""),-1.0)</f>
        <v>-1</v>
      </c>
      <c r="U1361" s="148">
        <f>IFERROR(__xludf.DUMMYFUNCTION("""COMPUTED_VALUE"""),0.0)</f>
        <v>0</v>
      </c>
      <c r="V1361" s="148" t="str">
        <f>IFERROR(__xludf.DUMMYFUNCTION("""COMPUTED_VALUE"""),"[]")</f>
        <v>[]</v>
      </c>
      <c r="W1361" s="148">
        <f>IFERROR(__xludf.DUMMYFUNCTION("""COMPUTED_VALUE"""),1.174E7)</f>
        <v>11740000</v>
      </c>
      <c r="X1361" s="148">
        <f>IFERROR(__xludf.DUMMYFUNCTION("""COMPUTED_VALUE"""),0.0)</f>
        <v>0</v>
      </c>
      <c r="Y1361" s="148">
        <f>IFERROR(__xludf.DUMMYFUNCTION("""COMPUTED_VALUE"""),0.0)</f>
        <v>0</v>
      </c>
      <c r="Z1361" s="148"/>
    </row>
    <row r="1362">
      <c r="A1362" s="148">
        <f>IFERROR(__xludf.DUMMYFUNCTION("""COMPUTED_VALUE"""),1.1116707E7)</f>
        <v>11116707</v>
      </c>
      <c r="B1362" s="148" t="str">
        <f>IFERROR(__xludf.DUMMYFUNCTION("""COMPUTED_VALUE"""),"铭牌-沙滩节铭牌-7天")</f>
        <v>铭牌-沙滩节铭牌-7天</v>
      </c>
      <c r="C1362" s="148"/>
      <c r="D1362" s="148" t="str">
        <f>IFERROR(__xludf.DUMMYFUNCTION("""COMPUTED_VALUE"""),"chat_skin")</f>
        <v>chat_skin</v>
      </c>
      <c r="E1362" s="148">
        <f>IFERROR(__xludf.DUMMYFUNCTION("""COMPUTED_VALUE"""),30.0)</f>
        <v>30</v>
      </c>
      <c r="F1362" s="148">
        <f>IFERROR(__xludf.DUMMYFUNCTION("""COMPUTED_VALUE"""),404298.0)</f>
        <v>404298</v>
      </c>
      <c r="G1362" s="148">
        <f>IFERROR(__xludf.DUMMYFUNCTION("""COMPUTED_VALUE"""),1.5115003E7)</f>
        <v>15115003</v>
      </c>
      <c r="H1362" s="148">
        <f>IFERROR(__xludf.DUMMYFUNCTION("""COMPUTED_VALUE"""),1.5112563E7)</f>
        <v>15112563</v>
      </c>
      <c r="I1362" s="148" t="str">
        <f>IFERROR(__xludf.DUMMYFUNCTION("""COMPUTED_VALUE"""),"{""typ"":""lc"",""txt"":""LC_ITEM_time_day_upper_show"",""args"":[{""typ"":""int"",""val"":7}]}")</f>
        <v>{"typ":"lc","txt":"LC_ITEM_time_day_upper_show","args":[{"typ":"int","val":7}]}</v>
      </c>
      <c r="J1362" s="148" t="str">
        <f>IFERROR(__xludf.DUMMYFUNCTION("""COMPUTED_VALUE"""),"{""typ"":""lc"",""txt"":""LC_ITEM_beach_namepla_item_name_2022_limit""}")</f>
        <v>{"typ":"lc","txt":"LC_ITEM_beach_namepla_item_name_2022_limit"}</v>
      </c>
      <c r="K1362" s="148" t="str">
        <f>IFERROR(__xludf.DUMMYFUNCTION("""COMPUTED_VALUE"""),"{""typ"":""lc"",""txt"":""LC_ITEM_beach_namepla_desc_2022""}")</f>
        <v>{"typ":"lc","txt":"LC_ITEM_beach_namepla_desc_2022"}</v>
      </c>
      <c r="L1362" s="148" t="str">
        <f>IFERROR(__xludf.DUMMYFUNCTION("""COMPUTED_VALUE"""),"{""typ"":""lc"",""txt"":""LC_ITEM_season_extra_reward_usedtip""}")</f>
        <v>{"typ":"lc","txt":"LC_ITEM_season_extra_reward_usedtip"}</v>
      </c>
      <c r="M1362" s="148">
        <f>IFERROR(__xludf.DUMMYFUNCTION("""COMPUTED_VALUE"""),250.0)</f>
        <v>250</v>
      </c>
      <c r="N1362" s="148">
        <f>IFERROR(__xludf.DUMMYFUNCTION("""COMPUTED_VALUE"""),9999999.0)</f>
        <v>9999999</v>
      </c>
      <c r="O1362" s="148">
        <f>IFERROR(__xludf.DUMMYFUNCTION("""COMPUTED_VALUE"""),1.0)</f>
        <v>1</v>
      </c>
      <c r="P1362" s="148">
        <f>IFERROR(__xludf.DUMMYFUNCTION("""COMPUTED_VALUE"""),1.0)</f>
        <v>1</v>
      </c>
      <c r="Q1362" s="148" t="str">
        <f>IFERROR(__xludf.DUMMYFUNCTION("""COMPUTED_VALUE"""),"[""bag_other""]")</f>
        <v>["bag_other"]</v>
      </c>
      <c r="R1362" s="148" t="str">
        <f>IFERROR(__xludf.DUMMYFUNCTION("""COMPUTED_VALUE"""),"[""11731005"",""bag""]")</f>
        <v>["11731005","bag"]</v>
      </c>
      <c r="S1362" s="148" t="str">
        <f>IFERROR(__xludf.DUMMYFUNCTION("""COMPUTED_VALUE"""),"{""effect"":[{""typ"":""nameplate"",""id"":11731005,""val"":604800000}]}")</f>
        <v>{"effect":[{"typ":"nameplate","id":11731005,"val":604800000}]}</v>
      </c>
      <c r="T1362" s="148">
        <f>IFERROR(__xludf.DUMMYFUNCTION("""COMPUTED_VALUE"""),-1.0)</f>
        <v>-1</v>
      </c>
      <c r="U1362" s="148">
        <f>IFERROR(__xludf.DUMMYFUNCTION("""COMPUTED_VALUE"""),0.0)</f>
        <v>0</v>
      </c>
      <c r="V1362" s="148" t="str">
        <f>IFERROR(__xludf.DUMMYFUNCTION("""COMPUTED_VALUE"""),"[]")</f>
        <v>[]</v>
      </c>
      <c r="W1362" s="148">
        <f>IFERROR(__xludf.DUMMYFUNCTION("""COMPUTED_VALUE"""),1.174E7)</f>
        <v>11740000</v>
      </c>
      <c r="X1362" s="148">
        <f>IFERROR(__xludf.DUMMYFUNCTION("""COMPUTED_VALUE"""),0.0)</f>
        <v>0</v>
      </c>
      <c r="Y1362" s="148">
        <f>IFERROR(__xludf.DUMMYFUNCTION("""COMPUTED_VALUE"""),0.0)</f>
        <v>0</v>
      </c>
      <c r="Z1362" s="148"/>
    </row>
    <row r="1363">
      <c r="A1363" s="148">
        <f>IFERROR(__xludf.DUMMYFUNCTION("""COMPUTED_VALUE"""),1.1117001E7)</f>
        <v>11117001</v>
      </c>
      <c r="B1363" s="148" t="str">
        <f>IFERROR(__xludf.DUMMYFUNCTION("""COMPUTED_VALUE"""),"活动道具-野怪的线索")</f>
        <v>活动道具-野怪的线索</v>
      </c>
      <c r="C1363" s="148"/>
      <c r="D1363" s="148" t="str">
        <f>IFERROR(__xludf.DUMMYFUNCTION("""COMPUTED_VALUE"""),"event")</f>
        <v>event</v>
      </c>
      <c r="E1363" s="148">
        <f>IFERROR(__xludf.DUMMYFUNCTION("""COMPUTED_VALUE"""),0.0)</f>
        <v>0</v>
      </c>
      <c r="F1363" s="148">
        <f>IFERROR(__xludf.DUMMYFUNCTION("""COMPUTED_VALUE"""),405306.0)</f>
        <v>405306</v>
      </c>
      <c r="G1363" s="148">
        <f>IFERROR(__xludf.DUMMYFUNCTION("""COMPUTED_VALUE"""),1.5112825E7)</f>
        <v>15112825</v>
      </c>
      <c r="H1363" s="148">
        <f>IFERROR(__xludf.DUMMYFUNCTION("""COMPUTED_VALUE"""),1.5112562E7)</f>
        <v>15112562</v>
      </c>
      <c r="I1363" s="148" t="str">
        <f>IFERROR(__xludf.DUMMYFUNCTION("""COMPUTED_VALUE"""),"{}")</f>
        <v>{}</v>
      </c>
      <c r="J1363" s="148" t="str">
        <f>IFERROR(__xludf.DUMMYFUNCTION("""COMPUTED_VALUE"""),"{""typ"":""lc"",""txt"":""LC_ITEM_mutant_trail_name""}")</f>
        <v>{"typ":"lc","txt":"LC_ITEM_mutant_trail_name"}</v>
      </c>
      <c r="K1363" s="148" t="str">
        <f>IFERROR(__xludf.DUMMYFUNCTION("""COMPUTED_VALUE"""),"{""typ"":""lc"",""txt"":""LC_ITEM_mutant_trail_desc""}")</f>
        <v>{"typ":"lc","txt":"LC_ITEM_mutant_trail_desc"}</v>
      </c>
      <c r="L1363" s="148" t="str">
        <f>IFERROR(__xludf.DUMMYFUNCTION("""COMPUTED_VALUE"""),"{}")</f>
        <v>{}</v>
      </c>
      <c r="M1363" s="148">
        <f>IFERROR(__xludf.DUMMYFUNCTION("""COMPUTED_VALUE"""),0.0)</f>
        <v>0</v>
      </c>
      <c r="N1363" s="148">
        <f>IFERROR(__xludf.DUMMYFUNCTION("""COMPUTED_VALUE"""),9999999.0)</f>
        <v>9999999</v>
      </c>
      <c r="O1363" s="148">
        <f>IFERROR(__xludf.DUMMYFUNCTION("""COMPUTED_VALUE"""),99999.0)</f>
        <v>99999</v>
      </c>
      <c r="P1363" s="148">
        <f>IFERROR(__xludf.DUMMYFUNCTION("""COMPUTED_VALUE"""),99999.0)</f>
        <v>99999</v>
      </c>
      <c r="Q1363" s="148" t="str">
        <f>IFERROR(__xludf.DUMMYFUNCTION("""COMPUTED_VALUE"""),"[""bag_other""]")</f>
        <v>["bag_other"]</v>
      </c>
      <c r="R1363" s="148" t="str">
        <f>IFERROR(__xludf.DUMMYFUNCTION("""COMPUTED_VALUE"""),"[]")</f>
        <v>[]</v>
      </c>
      <c r="S1363" s="148" t="str">
        <f>IFERROR(__xludf.DUMMYFUNCTION("""COMPUTED_VALUE"""),"{}")</f>
        <v>{}</v>
      </c>
      <c r="T1363" s="148">
        <f>IFERROR(__xludf.DUMMYFUNCTION("""COMPUTED_VALUE"""),-1.0)</f>
        <v>-1</v>
      </c>
      <c r="U1363" s="148">
        <f>IFERROR(__xludf.DUMMYFUNCTION("""COMPUTED_VALUE"""),0.0)</f>
        <v>0</v>
      </c>
      <c r="V1363" s="148" t="str">
        <f>IFERROR(__xludf.DUMMYFUNCTION("""COMPUTED_VALUE"""),"[]")</f>
        <v>[]</v>
      </c>
      <c r="W1363" s="148">
        <f>IFERROR(__xludf.DUMMYFUNCTION("""COMPUTED_VALUE"""),1.174E7)</f>
        <v>11740000</v>
      </c>
      <c r="X1363" s="148">
        <f>IFERROR(__xludf.DUMMYFUNCTION("""COMPUTED_VALUE"""),0.0)</f>
        <v>0</v>
      </c>
      <c r="Y1363" s="148">
        <f>IFERROR(__xludf.DUMMYFUNCTION("""COMPUTED_VALUE"""),0.0)</f>
        <v>0</v>
      </c>
      <c r="Z1363" s="148"/>
    </row>
    <row r="1364">
      <c r="A1364" s="148">
        <f>IFERROR(__xludf.DUMMYFUNCTION("""COMPUTED_VALUE"""),1.1117002E7)</f>
        <v>11117002</v>
      </c>
      <c r="B1364" s="148" t="str">
        <f>IFERROR(__xludf.DUMMYFUNCTION("""COMPUTED_VALUE"""),"活动道具-巨猿的项链")</f>
        <v>活动道具-巨猿的项链</v>
      </c>
      <c r="C1364" s="148"/>
      <c r="D1364" s="148" t="str">
        <f>IFERROR(__xludf.DUMMYFUNCTION("""COMPUTED_VALUE"""),"item_rss")</f>
        <v>item_rss</v>
      </c>
      <c r="E1364" s="148">
        <f>IFERROR(__xludf.DUMMYFUNCTION("""COMPUTED_VALUE"""),0.0)</f>
        <v>0</v>
      </c>
      <c r="F1364" s="148">
        <f>IFERROR(__xludf.DUMMYFUNCTION("""COMPUTED_VALUE"""),405307.0)</f>
        <v>405307</v>
      </c>
      <c r="G1364" s="148">
        <f>IFERROR(__xludf.DUMMYFUNCTION("""COMPUTED_VALUE"""),1.5112826E7)</f>
        <v>15112826</v>
      </c>
      <c r="H1364" s="148">
        <f>IFERROR(__xludf.DUMMYFUNCTION("""COMPUTED_VALUE"""),1.5112562E7)</f>
        <v>15112562</v>
      </c>
      <c r="I1364" s="148" t="str">
        <f>IFERROR(__xludf.DUMMYFUNCTION("""COMPUTED_VALUE"""),"{}")</f>
        <v>{}</v>
      </c>
      <c r="J1364" s="148" t="str">
        <f>IFERROR(__xludf.DUMMYFUNCTION("""COMPUTED_VALUE"""),"{""typ"":""lc"",""txt"":""LC_ITEM_king_necklace_name""}")</f>
        <v>{"typ":"lc","txt":"LC_ITEM_king_necklace_name"}</v>
      </c>
      <c r="K1364" s="148" t="str">
        <f>IFERROR(__xludf.DUMMYFUNCTION("""COMPUTED_VALUE"""),"{""typ"":""lc"",""txt"":""LC_ITEM_king_necklace_desc""}")</f>
        <v>{"typ":"lc","txt":"LC_ITEM_king_necklace_desc"}</v>
      </c>
      <c r="L1364" s="148" t="str">
        <f>IFERROR(__xludf.DUMMYFUNCTION("""COMPUTED_VALUE"""),"{""typ"":""lc"",""txt"":""LC_ITEM_season_extra_reward_usedtip""}")</f>
        <v>{"typ":"lc","txt":"LC_ITEM_season_extra_reward_usedtip"}</v>
      </c>
      <c r="M1364" s="148">
        <f>IFERROR(__xludf.DUMMYFUNCTION("""COMPUTED_VALUE"""),50.0)</f>
        <v>50</v>
      </c>
      <c r="N1364" s="148">
        <f>IFERROR(__xludf.DUMMYFUNCTION("""COMPUTED_VALUE"""),9999999.0)</f>
        <v>9999999</v>
      </c>
      <c r="O1364" s="148">
        <f>IFERROR(__xludf.DUMMYFUNCTION("""COMPUTED_VALUE"""),99999.0)</f>
        <v>99999</v>
      </c>
      <c r="P1364" s="148">
        <f>IFERROR(__xludf.DUMMYFUNCTION("""COMPUTED_VALUE"""),99999.0)</f>
        <v>99999</v>
      </c>
      <c r="Q1364" s="148" t="str">
        <f>IFERROR(__xludf.DUMMYFUNCTION("""COMPUTED_VALUE"""),"[""bag_other""]")</f>
        <v>["bag_other"]</v>
      </c>
      <c r="R1364" s="148" t="str">
        <f>IFERROR(__xludf.DUMMYFUNCTION("""COMPUTED_VALUE"""),"[""bag""]")</f>
        <v>["bag"]</v>
      </c>
      <c r="S1364" s="148" t="str">
        <f>IFERROR(__xludf.DUMMYFUNCTION("""COMPUTED_VALUE"""),"{""effect"":[{""typ"":""vm"",""id"":11151001,""val"":50}]}")</f>
        <v>{"effect":[{"typ":"vm","id":11151001,"val":50}]}</v>
      </c>
      <c r="T1364" s="148">
        <f>IFERROR(__xludf.DUMMYFUNCTION("""COMPUTED_VALUE"""),-1.0)</f>
        <v>-1</v>
      </c>
      <c r="U1364" s="148">
        <f>IFERROR(__xludf.DUMMYFUNCTION("""COMPUTED_VALUE"""),0.0)</f>
        <v>0</v>
      </c>
      <c r="V1364" s="148" t="str">
        <f>IFERROR(__xludf.DUMMYFUNCTION("""COMPUTED_VALUE"""),"[]")</f>
        <v>[]</v>
      </c>
      <c r="W1364" s="148">
        <f>IFERROR(__xludf.DUMMYFUNCTION("""COMPUTED_VALUE"""),1.174E7)</f>
        <v>11740000</v>
      </c>
      <c r="X1364" s="148">
        <f>IFERROR(__xludf.DUMMYFUNCTION("""COMPUTED_VALUE"""),0.0)</f>
        <v>0</v>
      </c>
      <c r="Y1364" s="148">
        <f>IFERROR(__xludf.DUMMYFUNCTION("""COMPUTED_VALUE"""),0.0)</f>
        <v>0</v>
      </c>
      <c r="Z1364" s="148"/>
    </row>
    <row r="1365">
      <c r="A1365" s="148">
        <f>IFERROR(__xludf.DUMMYFUNCTION("""COMPUTED_VALUE"""),1.1117003E7)</f>
        <v>11117003</v>
      </c>
      <c r="B1365" s="148" t="str">
        <f>IFERROR(__xludf.DUMMYFUNCTION("""COMPUTED_VALUE"""),"活动道具-火箭零件")</f>
        <v>活动道具-火箭零件</v>
      </c>
      <c r="C1365" s="148"/>
      <c r="D1365" s="148" t="str">
        <f>IFERROR(__xludf.DUMMYFUNCTION("""COMPUTED_VALUE"""),"event")</f>
        <v>event</v>
      </c>
      <c r="E1365" s="148">
        <f>IFERROR(__xludf.DUMMYFUNCTION("""COMPUTED_VALUE"""),0.0)</f>
        <v>0</v>
      </c>
      <c r="F1365" s="148">
        <f>IFERROR(__xludf.DUMMYFUNCTION("""COMPUTED_VALUE"""),405208.0)</f>
        <v>405208</v>
      </c>
      <c r="G1365" s="148">
        <f>IFERROR(__xludf.DUMMYFUNCTION("""COMPUTED_VALUE"""),1.5110259E7)</f>
        <v>15110259</v>
      </c>
      <c r="H1365" s="148">
        <f>IFERROR(__xludf.DUMMYFUNCTION("""COMPUTED_VALUE"""),1.5112563E7)</f>
        <v>15112563</v>
      </c>
      <c r="I1365" s="148" t="str">
        <f>IFERROR(__xludf.DUMMYFUNCTION("""COMPUTED_VALUE"""),"{}")</f>
        <v>{}</v>
      </c>
      <c r="J1365" s="148" t="str">
        <f>IFERROR(__xludf.DUMMYFUNCTION("""COMPUTED_VALUE"""),"{""typ"":""lc"",""txt"":""LC_ITEM_rocket_parts_name""}")</f>
        <v>{"typ":"lc","txt":"LC_ITEM_rocket_parts_name"}</v>
      </c>
      <c r="K1365" s="148" t="str">
        <f>IFERROR(__xludf.DUMMYFUNCTION("""COMPUTED_VALUE"""),"{""typ"":""lc"",""txt"":""LC_ITEM_rocket_parts_desc""}")</f>
        <v>{"typ":"lc","txt":"LC_ITEM_rocket_parts_desc"}</v>
      </c>
      <c r="L1365" s="148" t="str">
        <f>IFERROR(__xludf.DUMMYFUNCTION("""COMPUTED_VALUE"""),"{}")</f>
        <v>{}</v>
      </c>
      <c r="M1365" s="148">
        <f>IFERROR(__xludf.DUMMYFUNCTION("""COMPUTED_VALUE"""),0.0)</f>
        <v>0</v>
      </c>
      <c r="N1365" s="148">
        <f>IFERROR(__xludf.DUMMYFUNCTION("""COMPUTED_VALUE"""),9999999.0)</f>
        <v>9999999</v>
      </c>
      <c r="O1365" s="148">
        <f>IFERROR(__xludf.DUMMYFUNCTION("""COMPUTED_VALUE"""),99999.0)</f>
        <v>99999</v>
      </c>
      <c r="P1365" s="148">
        <f>IFERROR(__xludf.DUMMYFUNCTION("""COMPUTED_VALUE"""),99999.0)</f>
        <v>99999</v>
      </c>
      <c r="Q1365" s="148" t="str">
        <f>IFERROR(__xludf.DUMMYFUNCTION("""COMPUTED_VALUE"""),"[""bag_other""]")</f>
        <v>["bag_other"]</v>
      </c>
      <c r="R1365" s="148" t="str">
        <f>IFERROR(__xludf.DUMMYFUNCTION("""COMPUTED_VALUE"""),"[]")</f>
        <v>[]</v>
      </c>
      <c r="S1365" s="148" t="str">
        <f>IFERROR(__xludf.DUMMYFUNCTION("""COMPUTED_VALUE"""),"{}")</f>
        <v>{}</v>
      </c>
      <c r="T1365" s="148">
        <f>IFERROR(__xludf.DUMMYFUNCTION("""COMPUTED_VALUE"""),-1.0)</f>
        <v>-1</v>
      </c>
      <c r="U1365" s="148">
        <f>IFERROR(__xludf.DUMMYFUNCTION("""COMPUTED_VALUE"""),0.0)</f>
        <v>0</v>
      </c>
      <c r="V1365" s="148" t="str">
        <f>IFERROR(__xludf.DUMMYFUNCTION("""COMPUTED_VALUE"""),"[]")</f>
        <v>[]</v>
      </c>
      <c r="W1365" s="148">
        <f>IFERROR(__xludf.DUMMYFUNCTION("""COMPUTED_VALUE"""),1.174E7)</f>
        <v>11740000</v>
      </c>
      <c r="X1365" s="148">
        <f>IFERROR(__xludf.DUMMYFUNCTION("""COMPUTED_VALUE"""),0.0)</f>
        <v>0</v>
      </c>
      <c r="Y1365" s="148">
        <f>IFERROR(__xludf.DUMMYFUNCTION("""COMPUTED_VALUE"""),0.0)</f>
        <v>0</v>
      </c>
      <c r="Z1365" s="148"/>
    </row>
    <row r="1366">
      <c r="A1366" s="148">
        <f>IFERROR(__xludf.DUMMYFUNCTION("""COMPUTED_VALUE"""),1.1117004E7)</f>
        <v>11117004</v>
      </c>
      <c r="B1366" s="148" t="str">
        <f>IFERROR(__xludf.DUMMYFUNCTION("""COMPUTED_VALUE"""),"活动道具-星际遗物")</f>
        <v>活动道具-星际遗物</v>
      </c>
      <c r="C1366" s="148"/>
      <c r="D1366" s="148" t="str">
        <f>IFERROR(__xludf.DUMMYFUNCTION("""COMPUTED_VALUE"""),"event_progress")</f>
        <v>event_progress</v>
      </c>
      <c r="E1366" s="148">
        <f>IFERROR(__xludf.DUMMYFUNCTION("""COMPUTED_VALUE"""),0.0)</f>
        <v>0</v>
      </c>
      <c r="F1366" s="148">
        <f>IFERROR(__xludf.DUMMYFUNCTION("""COMPUTED_VALUE"""),405409.0)</f>
        <v>405409</v>
      </c>
      <c r="G1366" s="148">
        <f>IFERROR(__xludf.DUMMYFUNCTION("""COMPUTED_VALUE"""),1.5112493E7)</f>
        <v>15112493</v>
      </c>
      <c r="H1366" s="148">
        <f>IFERROR(__xludf.DUMMYFUNCTION("""COMPUTED_VALUE"""),1.5112561E7)</f>
        <v>15112561</v>
      </c>
      <c r="I1366" s="148" t="str">
        <f>IFERROR(__xludf.DUMMYFUNCTION("""COMPUTED_VALUE"""),"{}")</f>
        <v>{}</v>
      </c>
      <c r="J1366" s="148" t="str">
        <f>IFERROR(__xludf.DUMMYFUNCTION("""COMPUTED_VALUE"""),"{""typ"":""lc"",""txt"":""LC_ITEM_starrelics_name""}")</f>
        <v>{"typ":"lc","txt":"LC_ITEM_starrelics_name"}</v>
      </c>
      <c r="K1366" s="148" t="str">
        <f>IFERROR(__xludf.DUMMYFUNCTION("""COMPUTED_VALUE"""),"{""typ"":""lc"",""txt"":""LC_ITEM_starrelics_desc""}")</f>
        <v>{"typ":"lc","txt":"LC_ITEM_starrelics_desc"}</v>
      </c>
      <c r="L1366" s="148" t="str">
        <f>IFERROR(__xludf.DUMMYFUNCTION("""COMPUTED_VALUE"""),"{}")</f>
        <v>{}</v>
      </c>
      <c r="M1366" s="148">
        <f>IFERROR(__xludf.DUMMYFUNCTION("""COMPUTED_VALUE"""),150.0)</f>
        <v>150</v>
      </c>
      <c r="N1366" s="148">
        <f>IFERROR(__xludf.DUMMYFUNCTION("""COMPUTED_VALUE"""),999999.0)</f>
        <v>999999</v>
      </c>
      <c r="O1366" s="148">
        <f>IFERROR(__xludf.DUMMYFUNCTION("""COMPUTED_VALUE"""),99999.0)</f>
        <v>99999</v>
      </c>
      <c r="P1366" s="148">
        <f>IFERROR(__xludf.DUMMYFUNCTION("""COMPUTED_VALUE"""),9999.0)</f>
        <v>9999</v>
      </c>
      <c r="Q1366" s="148" t="str">
        <f>IFERROR(__xludf.DUMMYFUNCTION("""COMPUTED_VALUE"""),"[""bag_other""]")</f>
        <v>["bag_other"]</v>
      </c>
      <c r="R1366" s="148" t="str">
        <f>IFERROR(__xludf.DUMMYFUNCTION("""COMPUTED_VALUE"""),"[]")</f>
        <v>[]</v>
      </c>
      <c r="S1366" s="148" t="str">
        <f>IFERROR(__xludf.DUMMYFUNCTION("""COMPUTED_VALUE"""),"{""effect"":[{""typ"":""event"",""id"":21121054}]}")</f>
        <v>{"effect":[{"typ":"event","id":21121054}]}</v>
      </c>
      <c r="T1366" s="148">
        <f>IFERROR(__xludf.DUMMYFUNCTION("""COMPUTED_VALUE"""),-1.0)</f>
        <v>-1</v>
      </c>
      <c r="U1366" s="148">
        <f>IFERROR(__xludf.DUMMYFUNCTION("""COMPUTED_VALUE"""),1.0)</f>
        <v>1</v>
      </c>
      <c r="V1366" s="148" t="str">
        <f>IFERROR(__xludf.DUMMYFUNCTION("""COMPUTED_VALUE"""),"[]")</f>
        <v>[]</v>
      </c>
      <c r="W1366" s="148">
        <f>IFERROR(__xludf.DUMMYFUNCTION("""COMPUTED_VALUE"""),1.174E7)</f>
        <v>11740000</v>
      </c>
      <c r="X1366" s="148">
        <f>IFERROR(__xludf.DUMMYFUNCTION("""COMPUTED_VALUE"""),0.0)</f>
        <v>0</v>
      </c>
      <c r="Y1366" s="148">
        <f>IFERROR(__xludf.DUMMYFUNCTION("""COMPUTED_VALUE"""),0.0)</f>
        <v>0</v>
      </c>
      <c r="Z1366" s="148"/>
    </row>
    <row r="1367">
      <c r="A1367" s="148">
        <f>IFERROR(__xludf.DUMMYFUNCTION("""COMPUTED_VALUE"""),1.1117005E7)</f>
        <v>11117005</v>
      </c>
      <c r="B1367" s="148" t="str">
        <f>IFERROR(__xludf.DUMMYFUNCTION("""COMPUTED_VALUE"""),"VIP点数道具-1点")</f>
        <v>VIP点数道具-1点</v>
      </c>
      <c r="C1367" s="148"/>
      <c r="D1367" s="148" t="str">
        <f>IFERROR(__xludf.DUMMYFUNCTION("""COMPUTED_VALUE"""),"item_asset")</f>
        <v>item_asset</v>
      </c>
      <c r="E1367" s="148">
        <f>IFERROR(__xludf.DUMMYFUNCTION("""COMPUTED_VALUE"""),0.0)</f>
        <v>0</v>
      </c>
      <c r="F1367" s="148">
        <f>IFERROR(__xludf.DUMMYFUNCTION("""COMPUTED_VALUE"""),402508.0)</f>
        <v>402508</v>
      </c>
      <c r="G1367" s="148">
        <f>IFERROR(__xludf.DUMMYFUNCTION("""COMPUTED_VALUE"""),1.5114072E7)</f>
        <v>15114072</v>
      </c>
      <c r="H1367" s="148">
        <f>IFERROR(__xludf.DUMMYFUNCTION("""COMPUTED_VALUE"""),1.511256E7)</f>
        <v>15112560</v>
      </c>
      <c r="I1367" s="148" t="str">
        <f>IFERROR(__xludf.DUMMYFUNCTION("""COMPUTED_VALUE"""),"{""typ"":""lc"",""txt"":""LC_ITEM_rss_upper_show"",""args"":[{""typ"":""int_unit"",""val"":1}]}")</f>
        <v>{"typ":"lc","txt":"LC_ITEM_rss_upper_show","args":[{"typ":"int_unit","val":1}]}</v>
      </c>
      <c r="J1367" s="148" t="str">
        <f>IFERROR(__xludf.DUMMYFUNCTION("""COMPUTED_VALUE"""),"{""typ"":""lc"",""txt"":""LC_ITEM_vip_xp_name"",""args"":[{""typ"":""int"",""val"":1}]}")</f>
        <v>{"typ":"lc","txt":"LC_ITEM_vip_xp_name","args":[{"typ":"int","val":1}]}</v>
      </c>
      <c r="K1367" s="148" t="str">
        <f>IFERROR(__xludf.DUMMYFUNCTION("""COMPUTED_VALUE"""),"{""typ"":""lc"",""txt"":""LC_ITEM_vip_xp_desc"",""args"":[{""typ"":""int"",""val"":1}]}")</f>
        <v>{"typ":"lc","txt":"LC_ITEM_vip_xp_desc","args":[{"typ":"int","val":1}]}</v>
      </c>
      <c r="L1367" s="148" t="str">
        <f>IFERROR(__xludf.DUMMYFUNCTION("""COMPUTED_VALUE"""),"{""typ"":""lc"",""txt"":""LC_ITEM_add_vippoints_usedtip"",""args"":[{""typ"":""int"",""val"":1}]}")</f>
        <v>{"typ":"lc","txt":"LC_ITEM_add_vippoints_usedtip","args":[{"typ":"int","val":1}]}</v>
      </c>
      <c r="M1367" s="148">
        <f>IFERROR(__xludf.DUMMYFUNCTION("""COMPUTED_VALUE"""),1.0)</f>
        <v>1</v>
      </c>
      <c r="N1367" s="148">
        <f>IFERROR(__xludf.DUMMYFUNCTION("""COMPUTED_VALUE"""),9.99999999E8)</f>
        <v>999999999</v>
      </c>
      <c r="O1367" s="148">
        <f>IFERROR(__xludf.DUMMYFUNCTION("""COMPUTED_VALUE"""),9.99999999E8)</f>
        <v>999999999</v>
      </c>
      <c r="P1367" s="148">
        <f>IFERROR(__xludf.DUMMYFUNCTION("""COMPUTED_VALUE"""),9.99999999E8)</f>
        <v>999999999</v>
      </c>
      <c r="Q1367" s="148" t="str">
        <f>IFERROR(__xludf.DUMMYFUNCTION("""COMPUTED_VALUE"""),"[""bag_other""]")</f>
        <v>["bag_other"]</v>
      </c>
      <c r="R1367" s="148" t="str">
        <f>IFERROR(__xludf.DUMMYFUNCTION("""COMPUTED_VALUE"""),"[""bag"",""asset_vip""]")</f>
        <v>["bag","asset_vip"]</v>
      </c>
      <c r="S1367" s="148" t="str">
        <f>IFERROR(__xludf.DUMMYFUNCTION("""COMPUTED_VALUE"""),"{""effect"":[{""typ"":""xp"",""id"":11161002,""val"":1}]}")</f>
        <v>{"effect":[{"typ":"xp","id":11161002,"val":1}]}</v>
      </c>
      <c r="T1367" s="148">
        <f>IFERROR(__xludf.DUMMYFUNCTION("""COMPUTED_VALUE"""),-1.0)</f>
        <v>-1</v>
      </c>
      <c r="U1367" s="148">
        <f>IFERROR(__xludf.DUMMYFUNCTION("""COMPUTED_VALUE"""),0.0)</f>
        <v>0</v>
      </c>
      <c r="V1367" s="148" t="str">
        <f>IFERROR(__xludf.DUMMYFUNCTION("""COMPUTED_VALUE"""),"[]")</f>
        <v>[]</v>
      </c>
      <c r="W1367" s="148">
        <f>IFERROR(__xludf.DUMMYFUNCTION("""COMPUTED_VALUE"""),1.174E7)</f>
        <v>11740000</v>
      </c>
      <c r="X1367" s="148">
        <f>IFERROR(__xludf.DUMMYFUNCTION("""COMPUTED_VALUE"""),0.0)</f>
        <v>0</v>
      </c>
      <c r="Y1367" s="148">
        <f>IFERROR(__xludf.DUMMYFUNCTION("""COMPUTED_VALUE"""),0.0)</f>
        <v>0</v>
      </c>
      <c r="Z1367" s="148"/>
    </row>
    <row r="1368">
      <c r="A1368" s="148">
        <f>IFERROR(__xludf.DUMMYFUNCTION("""COMPUTED_VALUE"""),1.1117006E7)</f>
        <v>11117006</v>
      </c>
      <c r="B1368" s="148" t="str">
        <f>IFERROR(__xludf.DUMMYFUNCTION("""COMPUTED_VALUE"""),"5VIP点数")</f>
        <v>5VIP点数</v>
      </c>
      <c r="C1368" s="148"/>
      <c r="D1368" s="148" t="str">
        <f>IFERROR(__xludf.DUMMYFUNCTION("""COMPUTED_VALUE"""),"item_asset")</f>
        <v>item_asset</v>
      </c>
      <c r="E1368" s="148">
        <f>IFERROR(__xludf.DUMMYFUNCTION("""COMPUTED_VALUE"""),0.0)</f>
        <v>0</v>
      </c>
      <c r="F1368" s="148">
        <f>IFERROR(__xludf.DUMMYFUNCTION("""COMPUTED_VALUE"""),402507.0)</f>
        <v>402507</v>
      </c>
      <c r="G1368" s="148">
        <f>IFERROR(__xludf.DUMMYFUNCTION("""COMPUTED_VALUE"""),1.5114072E7)</f>
        <v>15114072</v>
      </c>
      <c r="H1368" s="148">
        <f>IFERROR(__xludf.DUMMYFUNCTION("""COMPUTED_VALUE"""),1.511256E7)</f>
        <v>15112560</v>
      </c>
      <c r="I1368" s="148" t="str">
        <f>IFERROR(__xludf.DUMMYFUNCTION("""COMPUTED_VALUE"""),"{""typ"":""lc"",""txt"":""LC_ITEM_rss_upper_show"",""args"":[{""typ"":""int_unit"",""val"":5}]}")</f>
        <v>{"typ":"lc","txt":"LC_ITEM_rss_upper_show","args":[{"typ":"int_unit","val":5}]}</v>
      </c>
      <c r="J1368" s="148" t="str">
        <f>IFERROR(__xludf.DUMMYFUNCTION("""COMPUTED_VALUE"""),"{""typ"":""lc"",""txt"":""LC_ITEM_vip_xp_name"",""args"":[{""typ"":""int"",""val"":5}]}")</f>
        <v>{"typ":"lc","txt":"LC_ITEM_vip_xp_name","args":[{"typ":"int","val":5}]}</v>
      </c>
      <c r="K1368" s="148" t="str">
        <f>IFERROR(__xludf.DUMMYFUNCTION("""COMPUTED_VALUE"""),"{""typ"":""lc"",""txt"":""LC_ITEM_vip_xp_desc"",""args"":[{""typ"":""int"",""val"":5}]}")</f>
        <v>{"typ":"lc","txt":"LC_ITEM_vip_xp_desc","args":[{"typ":"int","val":5}]}</v>
      </c>
      <c r="L1368" s="148" t="str">
        <f>IFERROR(__xludf.DUMMYFUNCTION("""COMPUTED_VALUE"""),"{""typ"":""lc"",""txt"":""LC_ITEM_add_vippoints_usedtip"",""args"":[{""typ"":""int"",""val"":5}]}")</f>
        <v>{"typ":"lc","txt":"LC_ITEM_add_vippoints_usedtip","args":[{"typ":"int","val":5}]}</v>
      </c>
      <c r="M1368" s="148">
        <f>IFERROR(__xludf.DUMMYFUNCTION("""COMPUTED_VALUE"""),5.0)</f>
        <v>5</v>
      </c>
      <c r="N1368" s="148">
        <f>IFERROR(__xludf.DUMMYFUNCTION("""COMPUTED_VALUE"""),9.99999999E8)</f>
        <v>999999999</v>
      </c>
      <c r="O1368" s="148">
        <f>IFERROR(__xludf.DUMMYFUNCTION("""COMPUTED_VALUE"""),9.99999999E8)</f>
        <v>999999999</v>
      </c>
      <c r="P1368" s="148">
        <f>IFERROR(__xludf.DUMMYFUNCTION("""COMPUTED_VALUE"""),9.99999999E8)</f>
        <v>999999999</v>
      </c>
      <c r="Q1368" s="148" t="str">
        <f>IFERROR(__xludf.DUMMYFUNCTION("""COMPUTED_VALUE"""),"[""bag_other""]")</f>
        <v>["bag_other"]</v>
      </c>
      <c r="R1368" s="148" t="str">
        <f>IFERROR(__xludf.DUMMYFUNCTION("""COMPUTED_VALUE"""),"[""bag"",""asset_vip""]")</f>
        <v>["bag","asset_vip"]</v>
      </c>
      <c r="S1368" s="148" t="str">
        <f>IFERROR(__xludf.DUMMYFUNCTION("""COMPUTED_VALUE"""),"{""effect"":[{""typ"":""xp"",""id"":11161002,""val"":5}]}")</f>
        <v>{"effect":[{"typ":"xp","id":11161002,"val":5}]}</v>
      </c>
      <c r="T1368" s="148">
        <f>IFERROR(__xludf.DUMMYFUNCTION("""COMPUTED_VALUE"""),-1.0)</f>
        <v>-1</v>
      </c>
      <c r="U1368" s="148">
        <f>IFERROR(__xludf.DUMMYFUNCTION("""COMPUTED_VALUE"""),0.0)</f>
        <v>0</v>
      </c>
      <c r="V1368" s="148" t="str">
        <f>IFERROR(__xludf.DUMMYFUNCTION("""COMPUTED_VALUE"""),"[]")</f>
        <v>[]</v>
      </c>
      <c r="W1368" s="148">
        <f>IFERROR(__xludf.DUMMYFUNCTION("""COMPUTED_VALUE"""),1.174E7)</f>
        <v>11740000</v>
      </c>
      <c r="X1368" s="148">
        <f>IFERROR(__xludf.DUMMYFUNCTION("""COMPUTED_VALUE"""),0.0)</f>
        <v>0</v>
      </c>
      <c r="Y1368" s="148">
        <f>IFERROR(__xludf.DUMMYFUNCTION("""COMPUTED_VALUE"""),0.0)</f>
        <v>0</v>
      </c>
      <c r="Z1368" s="148"/>
    </row>
    <row r="1369">
      <c r="A1369" s="148">
        <f>IFERROR(__xludf.DUMMYFUNCTION("""COMPUTED_VALUE"""),1.1117007E7)</f>
        <v>11117007</v>
      </c>
      <c r="B1369" s="148" t="str">
        <f>IFERROR(__xludf.DUMMYFUNCTION("""COMPUTED_VALUE"""),"10VIP点数")</f>
        <v>10VIP点数</v>
      </c>
      <c r="C1369" s="148"/>
      <c r="D1369" s="148" t="str">
        <f>IFERROR(__xludf.DUMMYFUNCTION("""COMPUTED_VALUE"""),"item_asset")</f>
        <v>item_asset</v>
      </c>
      <c r="E1369" s="148">
        <f>IFERROR(__xludf.DUMMYFUNCTION("""COMPUTED_VALUE"""),0.0)</f>
        <v>0</v>
      </c>
      <c r="F1369" s="148">
        <f>IFERROR(__xludf.DUMMYFUNCTION("""COMPUTED_VALUE"""),402406.0)</f>
        <v>402406</v>
      </c>
      <c r="G1369" s="148">
        <f>IFERROR(__xludf.DUMMYFUNCTION("""COMPUTED_VALUE"""),1.5114072E7)</f>
        <v>15114072</v>
      </c>
      <c r="H1369" s="148">
        <f>IFERROR(__xludf.DUMMYFUNCTION("""COMPUTED_VALUE"""),1.5112561E7)</f>
        <v>15112561</v>
      </c>
      <c r="I1369" s="148" t="str">
        <f>IFERROR(__xludf.DUMMYFUNCTION("""COMPUTED_VALUE"""),"{""typ"":""lc"",""txt"":""LC_ITEM_rss_upper_show"",""args"":[{""typ"":""int_unit"",""val"":10}]}")</f>
        <v>{"typ":"lc","txt":"LC_ITEM_rss_upper_show","args":[{"typ":"int_unit","val":10}]}</v>
      </c>
      <c r="J1369" s="148" t="str">
        <f>IFERROR(__xludf.DUMMYFUNCTION("""COMPUTED_VALUE"""),"{""typ"":""lc"",""txt"":""LC_ITEM_vip_xp_name"",""args"":[{""typ"":""int"",""val"":10}]}")</f>
        <v>{"typ":"lc","txt":"LC_ITEM_vip_xp_name","args":[{"typ":"int","val":10}]}</v>
      </c>
      <c r="K1369" s="148" t="str">
        <f>IFERROR(__xludf.DUMMYFUNCTION("""COMPUTED_VALUE"""),"{""typ"":""lc"",""txt"":""LC_ITEM_vip_xp_desc"",""args"":[{""typ"":""int"",""val"":10}]}")</f>
        <v>{"typ":"lc","txt":"LC_ITEM_vip_xp_desc","args":[{"typ":"int","val":10}]}</v>
      </c>
      <c r="L1369" s="148" t="str">
        <f>IFERROR(__xludf.DUMMYFUNCTION("""COMPUTED_VALUE"""),"{""typ"":""lc"",""txt"":""LC_ITEM_add_vippoints_usedtip"",""args"":[{""typ"":""int"",""val"":10}]}")</f>
        <v>{"typ":"lc","txt":"LC_ITEM_add_vippoints_usedtip","args":[{"typ":"int","val":10}]}</v>
      </c>
      <c r="M1369" s="148">
        <f>IFERROR(__xludf.DUMMYFUNCTION("""COMPUTED_VALUE"""),10.0)</f>
        <v>10</v>
      </c>
      <c r="N1369" s="148">
        <f>IFERROR(__xludf.DUMMYFUNCTION("""COMPUTED_VALUE"""),9.99999999E8)</f>
        <v>999999999</v>
      </c>
      <c r="O1369" s="148">
        <f>IFERROR(__xludf.DUMMYFUNCTION("""COMPUTED_VALUE"""),9.99999999E8)</f>
        <v>999999999</v>
      </c>
      <c r="P1369" s="148">
        <f>IFERROR(__xludf.DUMMYFUNCTION("""COMPUTED_VALUE"""),9.99999999E8)</f>
        <v>999999999</v>
      </c>
      <c r="Q1369" s="148" t="str">
        <f>IFERROR(__xludf.DUMMYFUNCTION("""COMPUTED_VALUE"""),"[""bag_other""]")</f>
        <v>["bag_other"]</v>
      </c>
      <c r="R1369" s="148" t="str">
        <f>IFERROR(__xludf.DUMMYFUNCTION("""COMPUTED_VALUE"""),"[""bag"",""asset_vip""]")</f>
        <v>["bag","asset_vip"]</v>
      </c>
      <c r="S1369" s="148" t="str">
        <f>IFERROR(__xludf.DUMMYFUNCTION("""COMPUTED_VALUE"""),"{""effect"":[{""typ"":""xp"",""id"":11161002,""val"":10}]}")</f>
        <v>{"effect":[{"typ":"xp","id":11161002,"val":10}]}</v>
      </c>
      <c r="T1369" s="148">
        <f>IFERROR(__xludf.DUMMYFUNCTION("""COMPUTED_VALUE"""),-1.0)</f>
        <v>-1</v>
      </c>
      <c r="U1369" s="148">
        <f>IFERROR(__xludf.DUMMYFUNCTION("""COMPUTED_VALUE"""),0.0)</f>
        <v>0</v>
      </c>
      <c r="V1369" s="148" t="str">
        <f>IFERROR(__xludf.DUMMYFUNCTION("""COMPUTED_VALUE"""),"[]")</f>
        <v>[]</v>
      </c>
      <c r="W1369" s="148">
        <f>IFERROR(__xludf.DUMMYFUNCTION("""COMPUTED_VALUE"""),1.174E7)</f>
        <v>11740000</v>
      </c>
      <c r="X1369" s="148">
        <f>IFERROR(__xludf.DUMMYFUNCTION("""COMPUTED_VALUE"""),0.0)</f>
        <v>0</v>
      </c>
      <c r="Y1369" s="148">
        <f>IFERROR(__xludf.DUMMYFUNCTION("""COMPUTED_VALUE"""),0.0)</f>
        <v>0</v>
      </c>
      <c r="Z1369" s="148"/>
    </row>
    <row r="1370">
      <c r="A1370" s="148">
        <f>IFERROR(__xludf.DUMMYFUNCTION("""COMPUTED_VALUE"""),1.1117008E7)</f>
        <v>11117008</v>
      </c>
      <c r="B1370" s="148" t="str">
        <f>IFERROR(__xludf.DUMMYFUNCTION("""COMPUTED_VALUE"""),"50VIP点数")</f>
        <v>50VIP点数</v>
      </c>
      <c r="C1370" s="148"/>
      <c r="D1370" s="148" t="str">
        <f>IFERROR(__xludf.DUMMYFUNCTION("""COMPUTED_VALUE"""),"item_asset")</f>
        <v>item_asset</v>
      </c>
      <c r="E1370" s="148">
        <f>IFERROR(__xludf.DUMMYFUNCTION("""COMPUTED_VALUE"""),0.0)</f>
        <v>0</v>
      </c>
      <c r="F1370" s="148">
        <f>IFERROR(__xludf.DUMMYFUNCTION("""COMPUTED_VALUE"""),402305.0)</f>
        <v>402305</v>
      </c>
      <c r="G1370" s="148">
        <f>IFERROR(__xludf.DUMMYFUNCTION("""COMPUTED_VALUE"""),1.5114073E7)</f>
        <v>15114073</v>
      </c>
      <c r="H1370" s="148">
        <f>IFERROR(__xludf.DUMMYFUNCTION("""COMPUTED_VALUE"""),1.5112562E7)</f>
        <v>15112562</v>
      </c>
      <c r="I1370" s="148" t="str">
        <f>IFERROR(__xludf.DUMMYFUNCTION("""COMPUTED_VALUE"""),"{""typ"":""lc"",""txt"":""LC_ITEM_rss_upper_show"",""args"":[{""typ"":""int_unit"",""val"":50}]}")</f>
        <v>{"typ":"lc","txt":"LC_ITEM_rss_upper_show","args":[{"typ":"int_unit","val":50}]}</v>
      </c>
      <c r="J1370" s="148" t="str">
        <f>IFERROR(__xludf.DUMMYFUNCTION("""COMPUTED_VALUE"""),"{""typ"":""lc"",""txt"":""LC_ITEM_vip_xp_name"",""args"":[{""typ"":""int"",""val"":50}]}")</f>
        <v>{"typ":"lc","txt":"LC_ITEM_vip_xp_name","args":[{"typ":"int","val":50}]}</v>
      </c>
      <c r="K1370" s="148" t="str">
        <f>IFERROR(__xludf.DUMMYFUNCTION("""COMPUTED_VALUE"""),"{""typ"":""lc"",""txt"":""LC_ITEM_vip_xp_desc"",""args"":[{""typ"":""int"",""val"":50}]}")</f>
        <v>{"typ":"lc","txt":"LC_ITEM_vip_xp_desc","args":[{"typ":"int","val":50}]}</v>
      </c>
      <c r="L1370" s="148" t="str">
        <f>IFERROR(__xludf.DUMMYFUNCTION("""COMPUTED_VALUE"""),"{""typ"":""lc"",""txt"":""LC_ITEM_add_vippoints_usedtip"",""args"":[{""typ"":""int"",""val"":50}]}")</f>
        <v>{"typ":"lc","txt":"LC_ITEM_add_vippoints_usedtip","args":[{"typ":"int","val":50}]}</v>
      </c>
      <c r="M1370" s="148">
        <f>IFERROR(__xludf.DUMMYFUNCTION("""COMPUTED_VALUE"""),50.0)</f>
        <v>50</v>
      </c>
      <c r="N1370" s="148">
        <f>IFERROR(__xludf.DUMMYFUNCTION("""COMPUTED_VALUE"""),9.99999999E8)</f>
        <v>999999999</v>
      </c>
      <c r="O1370" s="148">
        <f>IFERROR(__xludf.DUMMYFUNCTION("""COMPUTED_VALUE"""),9.99999999E8)</f>
        <v>999999999</v>
      </c>
      <c r="P1370" s="148">
        <f>IFERROR(__xludf.DUMMYFUNCTION("""COMPUTED_VALUE"""),9.99999999E8)</f>
        <v>999999999</v>
      </c>
      <c r="Q1370" s="148" t="str">
        <f>IFERROR(__xludf.DUMMYFUNCTION("""COMPUTED_VALUE"""),"[""bag_other""]")</f>
        <v>["bag_other"]</v>
      </c>
      <c r="R1370" s="148" t="str">
        <f>IFERROR(__xludf.DUMMYFUNCTION("""COMPUTED_VALUE"""),"[""bag"",""asset_vip""]")</f>
        <v>["bag","asset_vip"]</v>
      </c>
      <c r="S1370" s="148" t="str">
        <f>IFERROR(__xludf.DUMMYFUNCTION("""COMPUTED_VALUE"""),"{""effect"":[{""typ"":""xp"",""id"":11161002,""val"":50}]}")</f>
        <v>{"effect":[{"typ":"xp","id":11161002,"val":50}]}</v>
      </c>
      <c r="T1370" s="148">
        <f>IFERROR(__xludf.DUMMYFUNCTION("""COMPUTED_VALUE"""),-1.0)</f>
        <v>-1</v>
      </c>
      <c r="U1370" s="148">
        <f>IFERROR(__xludf.DUMMYFUNCTION("""COMPUTED_VALUE"""),0.0)</f>
        <v>0</v>
      </c>
      <c r="V1370" s="148" t="str">
        <f>IFERROR(__xludf.DUMMYFUNCTION("""COMPUTED_VALUE"""),"[]")</f>
        <v>[]</v>
      </c>
      <c r="W1370" s="148">
        <f>IFERROR(__xludf.DUMMYFUNCTION("""COMPUTED_VALUE"""),1.174E7)</f>
        <v>11740000</v>
      </c>
      <c r="X1370" s="148">
        <f>IFERROR(__xludf.DUMMYFUNCTION("""COMPUTED_VALUE"""),0.0)</f>
        <v>0</v>
      </c>
      <c r="Y1370" s="148">
        <f>IFERROR(__xludf.DUMMYFUNCTION("""COMPUTED_VALUE"""),0.0)</f>
        <v>0</v>
      </c>
      <c r="Z1370" s="148"/>
    </row>
    <row r="1371">
      <c r="A1371" s="148">
        <f>IFERROR(__xludf.DUMMYFUNCTION("""COMPUTED_VALUE"""),1.1117009E7)</f>
        <v>11117009</v>
      </c>
      <c r="B1371" s="148" t="str">
        <f>IFERROR(__xludf.DUMMYFUNCTION("""COMPUTED_VALUE"""),"100VIP点数")</f>
        <v>100VIP点数</v>
      </c>
      <c r="C1371" s="148"/>
      <c r="D1371" s="148" t="str">
        <f>IFERROR(__xludf.DUMMYFUNCTION("""COMPUTED_VALUE"""),"item_asset")</f>
        <v>item_asset</v>
      </c>
      <c r="E1371" s="148">
        <f>IFERROR(__xludf.DUMMYFUNCTION("""COMPUTED_VALUE"""),0.0)</f>
        <v>0</v>
      </c>
      <c r="F1371" s="148">
        <f>IFERROR(__xludf.DUMMYFUNCTION("""COMPUTED_VALUE"""),402204.0)</f>
        <v>402204</v>
      </c>
      <c r="G1371" s="148">
        <f>IFERROR(__xludf.DUMMYFUNCTION("""COMPUTED_VALUE"""),1.5114073E7)</f>
        <v>15114073</v>
      </c>
      <c r="H1371" s="148">
        <f>IFERROR(__xludf.DUMMYFUNCTION("""COMPUTED_VALUE"""),1.5112563E7)</f>
        <v>15112563</v>
      </c>
      <c r="I1371" s="148" t="str">
        <f>IFERROR(__xludf.DUMMYFUNCTION("""COMPUTED_VALUE"""),"{""typ"":""lc"",""txt"":""LC_ITEM_rss_upper_show"",""args"":[{""typ"":""int_unit"",""val"":100}]}")</f>
        <v>{"typ":"lc","txt":"LC_ITEM_rss_upper_show","args":[{"typ":"int_unit","val":100}]}</v>
      </c>
      <c r="J1371" s="148" t="str">
        <f>IFERROR(__xludf.DUMMYFUNCTION("""COMPUTED_VALUE"""),"{""typ"":""lc"",""txt"":""LC_ITEM_vip_xp_name"",""args"":[{""typ"":""int"",""val"":100}]}")</f>
        <v>{"typ":"lc","txt":"LC_ITEM_vip_xp_name","args":[{"typ":"int","val":100}]}</v>
      </c>
      <c r="K1371" s="148" t="str">
        <f>IFERROR(__xludf.DUMMYFUNCTION("""COMPUTED_VALUE"""),"{""typ"":""lc"",""txt"":""LC_ITEM_vip_xp_desc"",""args"":[{""typ"":""int"",""val"":100}]}")</f>
        <v>{"typ":"lc","txt":"LC_ITEM_vip_xp_desc","args":[{"typ":"int","val":100}]}</v>
      </c>
      <c r="L1371" s="148" t="str">
        <f>IFERROR(__xludf.DUMMYFUNCTION("""COMPUTED_VALUE"""),"{""typ"":""lc"",""txt"":""LC_ITEM_add_vippoints_usedtip"",""args"":[{""typ"":""int"",""val"":100}]}")</f>
        <v>{"typ":"lc","txt":"LC_ITEM_add_vippoints_usedtip","args":[{"typ":"int","val":100}]}</v>
      </c>
      <c r="M1371" s="148">
        <f>IFERROR(__xludf.DUMMYFUNCTION("""COMPUTED_VALUE"""),100.0)</f>
        <v>100</v>
      </c>
      <c r="N1371" s="148">
        <f>IFERROR(__xludf.DUMMYFUNCTION("""COMPUTED_VALUE"""),9.99999999E8)</f>
        <v>999999999</v>
      </c>
      <c r="O1371" s="148">
        <f>IFERROR(__xludf.DUMMYFUNCTION("""COMPUTED_VALUE"""),9.99999999E8)</f>
        <v>999999999</v>
      </c>
      <c r="P1371" s="148">
        <f>IFERROR(__xludf.DUMMYFUNCTION("""COMPUTED_VALUE"""),9.99999999E8)</f>
        <v>999999999</v>
      </c>
      <c r="Q1371" s="148" t="str">
        <f>IFERROR(__xludf.DUMMYFUNCTION("""COMPUTED_VALUE"""),"[""bag_other""]")</f>
        <v>["bag_other"]</v>
      </c>
      <c r="R1371" s="148" t="str">
        <f>IFERROR(__xludf.DUMMYFUNCTION("""COMPUTED_VALUE"""),"[""bag"",""asset_vip""]")</f>
        <v>["bag","asset_vip"]</v>
      </c>
      <c r="S1371" s="148" t="str">
        <f>IFERROR(__xludf.DUMMYFUNCTION("""COMPUTED_VALUE"""),"{""effect"":[{""typ"":""xp"",""id"":11161002,""val"":100}]}")</f>
        <v>{"effect":[{"typ":"xp","id":11161002,"val":100}]}</v>
      </c>
      <c r="T1371" s="148">
        <f>IFERROR(__xludf.DUMMYFUNCTION("""COMPUTED_VALUE"""),-1.0)</f>
        <v>-1</v>
      </c>
      <c r="U1371" s="148">
        <f>IFERROR(__xludf.DUMMYFUNCTION("""COMPUTED_VALUE"""),0.0)</f>
        <v>0</v>
      </c>
      <c r="V1371" s="148" t="str">
        <f>IFERROR(__xludf.DUMMYFUNCTION("""COMPUTED_VALUE"""),"[]")</f>
        <v>[]</v>
      </c>
      <c r="W1371" s="148">
        <f>IFERROR(__xludf.DUMMYFUNCTION("""COMPUTED_VALUE"""),1.174E7)</f>
        <v>11740000</v>
      </c>
      <c r="X1371" s="148">
        <f>IFERROR(__xludf.DUMMYFUNCTION("""COMPUTED_VALUE"""),0.0)</f>
        <v>0</v>
      </c>
      <c r="Y1371" s="148">
        <f>IFERROR(__xludf.DUMMYFUNCTION("""COMPUTED_VALUE"""),0.0)</f>
        <v>0</v>
      </c>
      <c r="Z1371" s="148"/>
    </row>
    <row r="1372">
      <c r="A1372" s="148">
        <f>IFERROR(__xludf.DUMMYFUNCTION("""COMPUTED_VALUE"""),1.111701E7)</f>
        <v>11117010</v>
      </c>
      <c r="B1372" s="148" t="str">
        <f>IFERROR(__xludf.DUMMYFUNCTION("""COMPUTED_VALUE"""),"500VIP点数")</f>
        <v>500VIP点数</v>
      </c>
      <c r="C1372" s="148"/>
      <c r="D1372" s="148" t="str">
        <f>IFERROR(__xludf.DUMMYFUNCTION("""COMPUTED_VALUE"""),"item_asset")</f>
        <v>item_asset</v>
      </c>
      <c r="E1372" s="148">
        <f>IFERROR(__xludf.DUMMYFUNCTION("""COMPUTED_VALUE"""),0.0)</f>
        <v>0</v>
      </c>
      <c r="F1372" s="148">
        <f>IFERROR(__xludf.DUMMYFUNCTION("""COMPUTED_VALUE"""),402203.0)</f>
        <v>402203</v>
      </c>
      <c r="G1372" s="148">
        <f>IFERROR(__xludf.DUMMYFUNCTION("""COMPUTED_VALUE"""),1.5114073E7)</f>
        <v>15114073</v>
      </c>
      <c r="H1372" s="148">
        <f>IFERROR(__xludf.DUMMYFUNCTION("""COMPUTED_VALUE"""),1.5112563E7)</f>
        <v>15112563</v>
      </c>
      <c r="I1372" s="148" t="str">
        <f>IFERROR(__xludf.DUMMYFUNCTION("""COMPUTED_VALUE"""),"{""typ"":""lc"",""txt"":""LC_ITEM_rss_upper_show"",""args"":[{""typ"":""int_unit"",""val"":500}]}")</f>
        <v>{"typ":"lc","txt":"LC_ITEM_rss_upper_show","args":[{"typ":"int_unit","val":500}]}</v>
      </c>
      <c r="J1372" s="148" t="str">
        <f>IFERROR(__xludf.DUMMYFUNCTION("""COMPUTED_VALUE"""),"{""typ"":""lc"",""txt"":""LC_ITEM_vip_xp_name"",""args"":[{""typ"":""int"",""val"":500}]}")</f>
        <v>{"typ":"lc","txt":"LC_ITEM_vip_xp_name","args":[{"typ":"int","val":500}]}</v>
      </c>
      <c r="K1372" s="148" t="str">
        <f>IFERROR(__xludf.DUMMYFUNCTION("""COMPUTED_VALUE"""),"{""typ"":""lc"",""txt"":""LC_ITEM_vip_xp_desc"",""args"":[{""typ"":""int"",""val"":500}]}")</f>
        <v>{"typ":"lc","txt":"LC_ITEM_vip_xp_desc","args":[{"typ":"int","val":500}]}</v>
      </c>
      <c r="L1372" s="148" t="str">
        <f>IFERROR(__xludf.DUMMYFUNCTION("""COMPUTED_VALUE"""),"{""typ"":""lc"",""txt"":""LC_ITEM_add_vippoints_usedtip"",""args"":[{""typ"":""int"",""val"":500}]}")</f>
        <v>{"typ":"lc","txt":"LC_ITEM_add_vippoints_usedtip","args":[{"typ":"int","val":500}]}</v>
      </c>
      <c r="M1372" s="148">
        <f>IFERROR(__xludf.DUMMYFUNCTION("""COMPUTED_VALUE"""),500.0)</f>
        <v>500</v>
      </c>
      <c r="N1372" s="148">
        <f>IFERROR(__xludf.DUMMYFUNCTION("""COMPUTED_VALUE"""),9.99999999E8)</f>
        <v>999999999</v>
      </c>
      <c r="O1372" s="148">
        <f>IFERROR(__xludf.DUMMYFUNCTION("""COMPUTED_VALUE"""),9.99999999E8)</f>
        <v>999999999</v>
      </c>
      <c r="P1372" s="148">
        <f>IFERROR(__xludf.DUMMYFUNCTION("""COMPUTED_VALUE"""),9.99999999E8)</f>
        <v>999999999</v>
      </c>
      <c r="Q1372" s="148" t="str">
        <f>IFERROR(__xludf.DUMMYFUNCTION("""COMPUTED_VALUE"""),"[""bag_other""]")</f>
        <v>["bag_other"]</v>
      </c>
      <c r="R1372" s="148" t="str">
        <f>IFERROR(__xludf.DUMMYFUNCTION("""COMPUTED_VALUE"""),"[""bag"",""asset_vip""]")</f>
        <v>["bag","asset_vip"]</v>
      </c>
      <c r="S1372" s="148" t="str">
        <f>IFERROR(__xludf.DUMMYFUNCTION("""COMPUTED_VALUE"""),"{""effect"":[{""typ"":""xp"",""id"":11161002,""val"":500}]}")</f>
        <v>{"effect":[{"typ":"xp","id":11161002,"val":500}]}</v>
      </c>
      <c r="T1372" s="148">
        <f>IFERROR(__xludf.DUMMYFUNCTION("""COMPUTED_VALUE"""),-1.0)</f>
        <v>-1</v>
      </c>
      <c r="U1372" s="148">
        <f>IFERROR(__xludf.DUMMYFUNCTION("""COMPUTED_VALUE"""),0.0)</f>
        <v>0</v>
      </c>
      <c r="V1372" s="148" t="str">
        <f>IFERROR(__xludf.DUMMYFUNCTION("""COMPUTED_VALUE"""),"[]")</f>
        <v>[]</v>
      </c>
      <c r="W1372" s="148">
        <f>IFERROR(__xludf.DUMMYFUNCTION("""COMPUTED_VALUE"""),1.174E7)</f>
        <v>11740000</v>
      </c>
      <c r="X1372" s="148">
        <f>IFERROR(__xludf.DUMMYFUNCTION("""COMPUTED_VALUE"""),0.0)</f>
        <v>0</v>
      </c>
      <c r="Y1372" s="148">
        <f>IFERROR(__xludf.DUMMYFUNCTION("""COMPUTED_VALUE"""),0.0)</f>
        <v>0</v>
      </c>
      <c r="Z1372" s="148"/>
    </row>
    <row r="1373">
      <c r="A1373" s="148">
        <f>IFERROR(__xludf.DUMMYFUNCTION("""COMPUTED_VALUE"""),1.1117011E7)</f>
        <v>11117011</v>
      </c>
      <c r="B1373" s="148" t="str">
        <f>IFERROR(__xludf.DUMMYFUNCTION("""COMPUTED_VALUE"""),"联盟礼物(触发)帮派配送站")</f>
        <v>联盟礼物(触发)帮派配送站</v>
      </c>
      <c r="C1373" s="148"/>
      <c r="D1373" s="148" t="str">
        <f>IFERROR(__xludf.DUMMYFUNCTION("""COMPUTED_VALUE"""),"item_union_gift")</f>
        <v>item_union_gift</v>
      </c>
      <c r="E1373" s="148">
        <f>IFERROR(__xludf.DUMMYFUNCTION("""COMPUTED_VALUE"""),15.0)</f>
        <v>15</v>
      </c>
      <c r="F1373" s="148">
        <f>IFERROR(__xludf.DUMMYFUNCTION("""COMPUTED_VALUE"""),0.0)</f>
        <v>0</v>
      </c>
      <c r="G1373" s="148">
        <f>IFERROR(__xludf.DUMMYFUNCTION("""COMPUTED_VALUE"""),1.5110349E7)</f>
        <v>15110349</v>
      </c>
      <c r="H1373" s="148">
        <f>IFERROR(__xludf.DUMMYFUNCTION("""COMPUTED_VALUE"""),1.5112563E7)</f>
        <v>15112563</v>
      </c>
      <c r="I1373" s="148" t="str">
        <f>IFERROR(__xludf.DUMMYFUNCTION("""COMPUTED_VALUE"""),"{}")</f>
        <v>{}</v>
      </c>
      <c r="J1373" s="148" t="str">
        <f>IFERROR(__xludf.DUMMYFUNCTION("""COMPUTED_VALUE"""),"{""typ"":""lc"",""txt"":""LC_ITEM_item_alliance_gift_king_name""}")</f>
        <v>{"typ":"lc","txt":"LC_ITEM_item_alliance_gift_king_name"}</v>
      </c>
      <c r="K1373" s="148" t="str">
        <f>IFERROR(__xludf.DUMMYFUNCTION("""COMPUTED_VALUE"""),"{""typ"":""lc"",""txt"":""LC_ITEM_item_alliance_gift_king_desc""}")</f>
        <v>{"typ":"lc","txt":"LC_ITEM_item_alliance_gift_king_desc"}</v>
      </c>
      <c r="L1373" s="148" t="str">
        <f>IFERROR(__xludf.DUMMYFUNCTION("""COMPUTED_VALUE"""),"{}")</f>
        <v>{}</v>
      </c>
      <c r="M1373" s="148">
        <f>IFERROR(__xludf.DUMMYFUNCTION("""COMPUTED_VALUE"""),66.0)</f>
        <v>66</v>
      </c>
      <c r="N1373" s="148">
        <f>IFERROR(__xludf.DUMMYFUNCTION("""COMPUTED_VALUE"""),999999.0)</f>
        <v>999999</v>
      </c>
      <c r="O1373" s="148">
        <f>IFERROR(__xludf.DUMMYFUNCTION("""COMPUTED_VALUE"""),99999.0)</f>
        <v>99999</v>
      </c>
      <c r="P1373" s="148">
        <f>IFERROR(__xludf.DUMMYFUNCTION("""COMPUTED_VALUE"""),1.0)</f>
        <v>1</v>
      </c>
      <c r="Q1373" s="148" t="str">
        <f>IFERROR(__xludf.DUMMYFUNCTION("""COMPUTED_VALUE"""),"[]")</f>
        <v>[]</v>
      </c>
      <c r="R1373" s="148" t="str">
        <f>IFERROR(__xludf.DUMMYFUNCTION("""COMPUTED_VALUE"""),"[]")</f>
        <v>[]</v>
      </c>
      <c r="S1373" s="148" t="str">
        <f>IFERROR(__xludf.DUMMYFUNCTION("""COMPUTED_VALUE"""),"{""effect"":[{""typ"":""union_gift_quality_drop"",""id"":9,""val"":1}]}")</f>
        <v>{"effect":[{"typ":"union_gift_quality_drop","id":9,"val":1}]}</v>
      </c>
      <c r="T1373" s="148">
        <f>IFERROR(__xludf.DUMMYFUNCTION("""COMPUTED_VALUE"""),-1.0)</f>
        <v>-1</v>
      </c>
      <c r="U1373" s="148">
        <f>IFERROR(__xludf.DUMMYFUNCTION("""COMPUTED_VALUE"""),1.0)</f>
        <v>1</v>
      </c>
      <c r="V1373" s="148" t="str">
        <f>IFERROR(__xludf.DUMMYFUNCTION("""COMPUTED_VALUE"""),"[]")</f>
        <v>[]</v>
      </c>
      <c r="W1373" s="148">
        <f>IFERROR(__xludf.DUMMYFUNCTION("""COMPUTED_VALUE"""),1.174E7)</f>
        <v>11740000</v>
      </c>
      <c r="X1373" s="148">
        <f>IFERROR(__xludf.DUMMYFUNCTION("""COMPUTED_VALUE"""),0.0)</f>
        <v>0</v>
      </c>
      <c r="Y1373" s="148">
        <f>IFERROR(__xludf.DUMMYFUNCTION("""COMPUTED_VALUE"""),0.0)</f>
        <v>0</v>
      </c>
      <c r="Z1373" s="148"/>
    </row>
    <row r="1374">
      <c r="A1374" s="148">
        <f>IFERROR(__xludf.DUMMYFUNCTION("""COMPUTED_VALUE"""),1.1117012E7)</f>
        <v>11117012</v>
      </c>
      <c r="B1374" s="148" t="str">
        <f>IFERROR(__xludf.DUMMYFUNCTION("""COMPUTED_VALUE"""),"活动道具-白猿的资源箱")</f>
        <v>活动道具-白猿的资源箱</v>
      </c>
      <c r="C1374" s="148"/>
      <c r="D1374" s="148" t="str">
        <f>IFERROR(__xludf.DUMMYFUNCTION("""COMPUTED_VALUE"""),"item_asset")</f>
        <v>item_asset</v>
      </c>
      <c r="E1374" s="148">
        <f>IFERROR(__xludf.DUMMYFUNCTION("""COMPUTED_VALUE"""),19.0)</f>
        <v>19</v>
      </c>
      <c r="F1374" s="148">
        <f>IFERROR(__xludf.DUMMYFUNCTION("""COMPUTED_VALUE"""),405210.0)</f>
        <v>405210</v>
      </c>
      <c r="G1374" s="148">
        <f>IFERROR(__xludf.DUMMYFUNCTION("""COMPUTED_VALUE"""),1.5113306E7)</f>
        <v>15113306</v>
      </c>
      <c r="H1374" s="148">
        <f>IFERROR(__xludf.DUMMYFUNCTION("""COMPUTED_VALUE"""),1.5112563E7)</f>
        <v>15112563</v>
      </c>
      <c r="I1374" s="148" t="str">
        <f>IFERROR(__xludf.DUMMYFUNCTION("""COMPUTED_VALUE"""),"{}")</f>
        <v>{}</v>
      </c>
      <c r="J1374" s="148" t="str">
        <f>IFERROR(__xludf.DUMMYFUNCTION("""COMPUTED_VALUE"""),"{""typ"":""lc"",""txt"":""LC_ITEM_baby_box_name""}")</f>
        <v>{"typ":"lc","txt":"LC_ITEM_baby_box_name"}</v>
      </c>
      <c r="K1374" s="148" t="str">
        <f>IFERROR(__xludf.DUMMYFUNCTION("""COMPUTED_VALUE"""),"{""typ"":""lc"",""txt"":""LC_ITEM_baby_box_desc""}")</f>
        <v>{"typ":"lc","txt":"LC_ITEM_baby_box_desc"}</v>
      </c>
      <c r="L1374" s="148" t="str">
        <f>IFERROR(__xludf.DUMMYFUNCTION("""COMPUTED_VALUE"""),"{""typ"":""lc"",""txt"":""LC_ITEM_chest_from_atk_npc_usedtip""}")</f>
        <v>{"typ":"lc","txt":"LC_ITEM_chest_from_atk_npc_usedtip"}</v>
      </c>
      <c r="M1374" s="148">
        <f>IFERROR(__xludf.DUMMYFUNCTION("""COMPUTED_VALUE"""),68.0)</f>
        <v>68</v>
      </c>
      <c r="N1374" s="148">
        <f>IFERROR(__xludf.DUMMYFUNCTION("""COMPUTED_VALUE"""),999999.0)</f>
        <v>999999</v>
      </c>
      <c r="O1374" s="148">
        <f>IFERROR(__xludf.DUMMYFUNCTION("""COMPUTED_VALUE"""),99999.0)</f>
        <v>99999</v>
      </c>
      <c r="P1374" s="148">
        <f>IFERROR(__xludf.DUMMYFUNCTION("""COMPUTED_VALUE"""),9999.0)</f>
        <v>9999</v>
      </c>
      <c r="Q1374" s="148" t="str">
        <f>IFERROR(__xludf.DUMMYFUNCTION("""COMPUTED_VALUE"""),"[""bag_other""]")</f>
        <v>["bag_other"]</v>
      </c>
      <c r="R1374" s="148" t="str">
        <f>IFERROR(__xludf.DUMMYFUNCTION("""COMPUTED_VALUE"""),"[""bag""]")</f>
        <v>["bag"]</v>
      </c>
      <c r="S1374" s="148" t="str">
        <f>IFERROR(__xludf.DUMMYFUNCTION("""COMPUTED_VALUE"""),"{""drop"":{""typ"":""single_all"",""num"":1,""args"":[{""typ"":""item"",""id"":11111001,""num"":1,""wgt"":100},{""typ"":""item"",""id"":11111005,""num"":1,""wgt"":100},{""typ"":""single_random"",""num"":1,""args"":[{""typ"":""item"",""id"":11111101,""num"&amp;""":5,""wgt"":600},{""typ"":""item"",""id"":11111102,""num"":2,""wgt"":300},{""typ"":""item"",""id"":11111102,""num"":3,""wgt"":100}]}]}}")</f>
        <v>{"drop":{"typ":"single_all","num":1,"args":[{"typ":"item","id":11111001,"num":1,"wgt":100},{"typ":"item","id":11111005,"num":1,"wgt":100},{"typ":"single_random","num":1,"args":[{"typ":"item","id":11111101,"num":5,"wgt":600},{"typ":"item","id":11111102,"num":2,"wgt":300},{"typ":"item","id":11111102,"num":3,"wgt":100}]}]}}</v>
      </c>
      <c r="T1374" s="148">
        <f>IFERROR(__xludf.DUMMYFUNCTION("""COMPUTED_VALUE"""),-1.0)</f>
        <v>-1</v>
      </c>
      <c r="U1374" s="148">
        <f>IFERROR(__xludf.DUMMYFUNCTION("""COMPUTED_VALUE"""),0.0)</f>
        <v>0</v>
      </c>
      <c r="V1374" s="148" t="str">
        <f>IFERROR(__xludf.DUMMYFUNCTION("""COMPUTED_VALUE"""),"[]")</f>
        <v>[]</v>
      </c>
      <c r="W1374" s="148">
        <f>IFERROR(__xludf.DUMMYFUNCTION("""COMPUTED_VALUE"""),1.174E7)</f>
        <v>11740000</v>
      </c>
      <c r="X1374" s="148">
        <f>IFERROR(__xludf.DUMMYFUNCTION("""COMPUTED_VALUE"""),0.0)</f>
        <v>0</v>
      </c>
      <c r="Y1374" s="148">
        <f>IFERROR(__xludf.DUMMYFUNCTION("""COMPUTED_VALUE"""),0.0)</f>
        <v>0</v>
      </c>
      <c r="Z1374" s="148"/>
    </row>
    <row r="1375">
      <c r="A1375" s="148">
        <f>IFERROR(__xludf.DUMMYFUNCTION("""COMPUTED_VALUE"""),1.1117013E7)</f>
        <v>11117013</v>
      </c>
      <c r="B1375" s="148" t="str">
        <f>IFERROR(__xludf.DUMMYFUNCTION("""COMPUTED_VALUE"""),"活动道具-白猿的奶嘴")</f>
        <v>活动道具-白猿的奶嘴</v>
      </c>
      <c r="C1375" s="148"/>
      <c r="D1375" s="148" t="str">
        <f>IFERROR(__xludf.DUMMYFUNCTION("""COMPUTED_VALUE"""),"summon")</f>
        <v>summon</v>
      </c>
      <c r="E1375" s="148">
        <f>IFERROR(__xludf.DUMMYFUNCTION("""COMPUTED_VALUE"""),0.0)</f>
        <v>0</v>
      </c>
      <c r="F1375" s="148">
        <f>IFERROR(__xludf.DUMMYFUNCTION("""COMPUTED_VALUE"""),405311.0)</f>
        <v>405311</v>
      </c>
      <c r="G1375" s="148">
        <f>IFERROR(__xludf.DUMMYFUNCTION("""COMPUTED_VALUE"""),1.5113312E7)</f>
        <v>15113312</v>
      </c>
      <c r="H1375" s="148">
        <f>IFERROR(__xludf.DUMMYFUNCTION("""COMPUTED_VALUE"""),1.5112562E7)</f>
        <v>15112562</v>
      </c>
      <c r="I1375" s="148" t="str">
        <f>IFERROR(__xludf.DUMMYFUNCTION("""COMPUTED_VALUE"""),"{}")</f>
        <v>{}</v>
      </c>
      <c r="J1375" s="148" t="str">
        <f>IFERROR(__xludf.DUMMYFUNCTION("""COMPUTED_VALUE"""),"{""typ"":""lc"",""txt"":""LC_ITEM_baby_nipple_name""}")</f>
        <v>{"typ":"lc","txt":"LC_ITEM_baby_nipple_name"}</v>
      </c>
      <c r="K1375" s="148" t="str">
        <f>IFERROR(__xludf.DUMMYFUNCTION("""COMPUTED_VALUE"""),"{""typ"":""lc"",""txt"":""LC_ITEM_baby_nipple_desc""}")</f>
        <v>{"typ":"lc","txt":"LC_ITEM_baby_nipple_desc"}</v>
      </c>
      <c r="L1375" s="148" t="str">
        <f>IFERROR(__xludf.DUMMYFUNCTION("""COMPUTED_VALUE"""),"{""typ"":""lc"",""txt"":""LC_ITEM_baby_nipple_usetip""}")</f>
        <v>{"typ":"lc","txt":"LC_ITEM_baby_nipple_usetip"}</v>
      </c>
      <c r="M1375" s="148">
        <f>IFERROR(__xludf.DUMMYFUNCTION("""COMPUTED_VALUE"""),0.0)</f>
        <v>0</v>
      </c>
      <c r="N1375" s="148">
        <f>IFERROR(__xludf.DUMMYFUNCTION("""COMPUTED_VALUE"""),9999999.0)</f>
        <v>9999999</v>
      </c>
      <c r="O1375" s="148">
        <f>IFERROR(__xludf.DUMMYFUNCTION("""COMPUTED_VALUE"""),99999.0)</f>
        <v>99999</v>
      </c>
      <c r="P1375" s="148">
        <f>IFERROR(__xludf.DUMMYFUNCTION("""COMPUTED_VALUE"""),1.0)</f>
        <v>1</v>
      </c>
      <c r="Q1375" s="148" t="str">
        <f>IFERROR(__xludf.DUMMYFUNCTION("""COMPUTED_VALUE"""),"[""bag_other""]")</f>
        <v>["bag_other"]</v>
      </c>
      <c r="R1375" s="148" t="str">
        <f>IFERROR(__xludf.DUMMYFUNCTION("""COMPUTED_VALUE"""),"[""bag""]")</f>
        <v>["bag"]</v>
      </c>
      <c r="S1375" s="148" t="str">
        <f>IFERROR(__xludf.DUMMYFUNCTION("""COMPUTED_VALUE"""),"{""effect"":[{""typ"":""npctroop"",""id"":13176001}]}")</f>
        <v>{"effect":[{"typ":"npctroop","id":13176001}]}</v>
      </c>
      <c r="T1375" s="148">
        <f>IFERROR(__xludf.DUMMYFUNCTION("""COMPUTED_VALUE"""),1.0)</f>
        <v>1</v>
      </c>
      <c r="U1375" s="148">
        <f>IFERROR(__xludf.DUMMYFUNCTION("""COMPUTED_VALUE"""),0.0)</f>
        <v>0</v>
      </c>
      <c r="V1375" s="148" t="str">
        <f>IFERROR(__xludf.DUMMYFUNCTION("""COMPUTED_VALUE"""),"[]")</f>
        <v>[]</v>
      </c>
      <c r="W1375" s="148">
        <f>IFERROR(__xludf.DUMMYFUNCTION("""COMPUTED_VALUE"""),1.174E7)</f>
        <v>11740000</v>
      </c>
      <c r="X1375" s="148">
        <f>IFERROR(__xludf.DUMMYFUNCTION("""COMPUTED_VALUE"""),0.0)</f>
        <v>0</v>
      </c>
      <c r="Y1375" s="148">
        <f>IFERROR(__xludf.DUMMYFUNCTION("""COMPUTED_VALUE"""),0.0)</f>
        <v>0</v>
      </c>
      <c r="Z1375" s="148"/>
    </row>
    <row r="1376">
      <c r="A1376" s="148">
        <f>IFERROR(__xludf.DUMMYFUNCTION("""COMPUTED_VALUE"""),1.1117014E7)</f>
        <v>11117014</v>
      </c>
      <c r="B1376" s="148" t="str">
        <f>IFERROR(__xludf.DUMMYFUNCTION("""COMPUTED_VALUE"""),"活动道具-科兹摩联盟礼物（触发）")</f>
        <v>活动道具-科兹摩联盟礼物（触发）</v>
      </c>
      <c r="C1376" s="148"/>
      <c r="D1376" s="148" t="str">
        <f>IFERROR(__xludf.DUMMYFUNCTION("""COMPUTED_VALUE"""),"item_union_gift")</f>
        <v>item_union_gift</v>
      </c>
      <c r="E1376" s="148">
        <f>IFERROR(__xludf.DUMMYFUNCTION("""COMPUTED_VALUE"""),15.0)</f>
        <v>15</v>
      </c>
      <c r="F1376" s="148">
        <f>IFERROR(__xludf.DUMMYFUNCTION("""COMPUTED_VALUE"""),0.0)</f>
        <v>0</v>
      </c>
      <c r="G1376" s="148">
        <f>IFERROR(__xludf.DUMMYFUNCTION("""COMPUTED_VALUE"""),1.5110349E7)</f>
        <v>15110349</v>
      </c>
      <c r="H1376" s="148">
        <f>IFERROR(__xludf.DUMMYFUNCTION("""COMPUTED_VALUE"""),1.5112563E7)</f>
        <v>15112563</v>
      </c>
      <c r="I1376" s="148" t="str">
        <f>IFERROR(__xludf.DUMMYFUNCTION("""COMPUTED_VALUE"""),"{}")</f>
        <v>{}</v>
      </c>
      <c r="J1376" s="148" t="str">
        <f>IFERROR(__xludf.DUMMYFUNCTION("""COMPUTED_VALUE"""),"{""typ"":""lc"",""txt"":""LC_ITEM_baby_gift_name""}")</f>
        <v>{"typ":"lc","txt":"LC_ITEM_baby_gift_name"}</v>
      </c>
      <c r="K1376" s="148" t="str">
        <f>IFERROR(__xludf.DUMMYFUNCTION("""COMPUTED_VALUE"""),"{""typ"":""lc"",""txt"":""LC_ITEM_baby_gift_desc""}")</f>
        <v>{"typ":"lc","txt":"LC_ITEM_baby_gift_desc"}</v>
      </c>
      <c r="L1376" s="148" t="str">
        <f>IFERROR(__xludf.DUMMYFUNCTION("""COMPUTED_VALUE"""),"{}")</f>
        <v>{}</v>
      </c>
      <c r="M1376" s="148">
        <f>IFERROR(__xludf.DUMMYFUNCTION("""COMPUTED_VALUE"""),66.0)</f>
        <v>66</v>
      </c>
      <c r="N1376" s="148">
        <f>IFERROR(__xludf.DUMMYFUNCTION("""COMPUTED_VALUE"""),999999.0)</f>
        <v>999999</v>
      </c>
      <c r="O1376" s="148">
        <f>IFERROR(__xludf.DUMMYFUNCTION("""COMPUTED_VALUE"""),99999.0)</f>
        <v>99999</v>
      </c>
      <c r="P1376" s="148">
        <f>IFERROR(__xludf.DUMMYFUNCTION("""COMPUTED_VALUE"""),1.0)</f>
        <v>1</v>
      </c>
      <c r="Q1376" s="148" t="str">
        <f>IFERROR(__xludf.DUMMYFUNCTION("""COMPUTED_VALUE"""),"[]")</f>
        <v>[]</v>
      </c>
      <c r="R1376" s="148" t="str">
        <f>IFERROR(__xludf.DUMMYFUNCTION("""COMPUTED_VALUE"""),"[]")</f>
        <v>[]</v>
      </c>
      <c r="S1376" s="148" t="str">
        <f>IFERROR(__xludf.DUMMYFUNCTION("""COMPUTED_VALUE"""),"{""effect"":[{""typ"":""union_gift_quality_drop"",""id"":9,""val"":1}]}")</f>
        <v>{"effect":[{"typ":"union_gift_quality_drop","id":9,"val":1}]}</v>
      </c>
      <c r="T1376" s="148">
        <f>IFERROR(__xludf.DUMMYFUNCTION("""COMPUTED_VALUE"""),-1.0)</f>
        <v>-1</v>
      </c>
      <c r="U1376" s="148">
        <f>IFERROR(__xludf.DUMMYFUNCTION("""COMPUTED_VALUE"""),1.0)</f>
        <v>1</v>
      </c>
      <c r="V1376" s="148" t="str">
        <f>IFERROR(__xludf.DUMMYFUNCTION("""COMPUTED_VALUE"""),"[]")</f>
        <v>[]</v>
      </c>
      <c r="W1376" s="148">
        <f>IFERROR(__xludf.DUMMYFUNCTION("""COMPUTED_VALUE"""),1.174E7)</f>
        <v>11740000</v>
      </c>
      <c r="X1376" s="148">
        <f>IFERROR(__xludf.DUMMYFUNCTION("""COMPUTED_VALUE"""),0.0)</f>
        <v>0</v>
      </c>
      <c r="Y1376" s="148">
        <f>IFERROR(__xludf.DUMMYFUNCTION("""COMPUTED_VALUE"""),0.0)</f>
        <v>0</v>
      </c>
      <c r="Z1376" s="148"/>
    </row>
    <row r="1377">
      <c r="A1377" s="148">
        <f>IFERROR(__xludf.DUMMYFUNCTION("""COMPUTED_VALUE"""),1.1117015E7)</f>
        <v>11117015</v>
      </c>
      <c r="B1377" s="148" t="str">
        <f>IFERROR(__xludf.DUMMYFUNCTION("""COMPUTED_VALUE"""),"VIP商店-特价礼包1")</f>
        <v>VIP商店-特价礼包1</v>
      </c>
      <c r="C1377" s="148"/>
      <c r="D1377" s="148" t="str">
        <f>IFERROR(__xludf.DUMMYFUNCTION("""COMPUTED_VALUE"""),"item_vip_shop")</f>
        <v>item_vip_shop</v>
      </c>
      <c r="E1377" s="148">
        <f>IFERROR(__xludf.DUMMYFUNCTION("""COMPUTED_VALUE"""),0.0)</f>
        <v>0</v>
      </c>
      <c r="F1377" s="148">
        <f>IFERROR(__xludf.DUMMYFUNCTION("""COMPUTED_VALUE"""),0.0)</f>
        <v>0</v>
      </c>
      <c r="G1377" s="148">
        <f>IFERROR(__xludf.DUMMYFUNCTION("""COMPUTED_VALUE"""),1.5113196E7)</f>
        <v>15113196</v>
      </c>
      <c r="H1377" s="148">
        <f>IFERROR(__xludf.DUMMYFUNCTION("""COMPUTED_VALUE"""),1.5112561E7)</f>
        <v>15112561</v>
      </c>
      <c r="I1377" s="148" t="str">
        <f>IFERROR(__xludf.DUMMYFUNCTION("""COMPUTED_VALUE"""),"{}")</f>
        <v>{}</v>
      </c>
      <c r="J1377" s="148" t="str">
        <f>IFERROR(__xludf.DUMMYFUNCTION("""COMPUTED_VALUE"""),"{""typ"":""lc"",""txt"":""LC_ITEM_vip_shop_special_pack1_name""}")</f>
        <v>{"typ":"lc","txt":"LC_ITEM_vip_shop_special_pack1_name"}</v>
      </c>
      <c r="K1377" s="148" t="str">
        <f>IFERROR(__xludf.DUMMYFUNCTION("""COMPUTED_VALUE"""),"{""typ"":""lc"",""txt"":""LC_ITEM_vip_shop_special_pack1_desc""}")</f>
        <v>{"typ":"lc","txt":"LC_ITEM_vip_shop_special_pack1_desc"}</v>
      </c>
      <c r="L1377" s="148" t="str">
        <f>IFERROR(__xludf.DUMMYFUNCTION("""COMPUTED_VALUE"""),"{""typ"":""lc"",""txt"":""LC_ITEM_season_extra_reward_usedtip""}")</f>
        <v>{"typ":"lc","txt":"LC_ITEM_season_extra_reward_usedtip"}</v>
      </c>
      <c r="M1377" s="148">
        <f>IFERROR(__xludf.DUMMYFUNCTION("""COMPUTED_VALUE"""),1.0)</f>
        <v>1</v>
      </c>
      <c r="N1377" s="148">
        <f>IFERROR(__xludf.DUMMYFUNCTION("""COMPUTED_VALUE"""),999999.0)</f>
        <v>999999</v>
      </c>
      <c r="O1377" s="148">
        <f>IFERROR(__xludf.DUMMYFUNCTION("""COMPUTED_VALUE"""),99999.0)</f>
        <v>99999</v>
      </c>
      <c r="P1377" s="148">
        <f>IFERROR(__xludf.DUMMYFUNCTION("""COMPUTED_VALUE"""),1.0)</f>
        <v>1</v>
      </c>
      <c r="Q1377" s="148" t="str">
        <f>IFERROR(__xludf.DUMMYFUNCTION("""COMPUTED_VALUE"""),"[]")</f>
        <v>[]</v>
      </c>
      <c r="R1377" s="148" t="str">
        <f>IFERROR(__xludf.DUMMYFUNCTION("""COMPUTED_VALUE"""),"[]")</f>
        <v>[]</v>
      </c>
      <c r="S1377" s="148" t="str">
        <f>IFERROR(__xludf.DUMMYFUNCTION("""COMPUTED_VALUE"""),"{""effect"":[{""typ"":""xp"",""id"":11161002,""val"":100},{""typ"":""item"",""id"":11116401,""val"":1},{""typ"":""item"",""id"":11111222,""val"":3}]}")</f>
        <v>{"effect":[{"typ":"xp","id":11161002,"val":100},{"typ":"item","id":11116401,"val":1},{"typ":"item","id":11111222,"val":3}]}</v>
      </c>
      <c r="T1377" s="148">
        <f>IFERROR(__xludf.DUMMYFUNCTION("""COMPUTED_VALUE"""),-1.0)</f>
        <v>-1</v>
      </c>
      <c r="U1377" s="148">
        <f>IFERROR(__xludf.DUMMYFUNCTION("""COMPUTED_VALUE"""),1.0)</f>
        <v>1</v>
      </c>
      <c r="V1377" s="148" t="str">
        <f>IFERROR(__xludf.DUMMYFUNCTION("""COMPUTED_VALUE"""),"[]")</f>
        <v>[]</v>
      </c>
      <c r="W1377" s="148">
        <f>IFERROR(__xludf.DUMMYFUNCTION("""COMPUTED_VALUE"""),1.174E7)</f>
        <v>11740000</v>
      </c>
      <c r="X1377" s="148">
        <f>IFERROR(__xludf.DUMMYFUNCTION("""COMPUTED_VALUE"""),0.0)</f>
        <v>0</v>
      </c>
      <c r="Y1377" s="148">
        <f>IFERROR(__xludf.DUMMYFUNCTION("""COMPUTED_VALUE"""),0.0)</f>
        <v>0</v>
      </c>
      <c r="Z1377" s="148"/>
    </row>
    <row r="1378">
      <c r="A1378" s="148">
        <f>IFERROR(__xludf.DUMMYFUNCTION("""COMPUTED_VALUE"""),1.1117016E7)</f>
        <v>11117016</v>
      </c>
      <c r="B1378" s="148" t="str">
        <f>IFERROR(__xludf.DUMMYFUNCTION("""COMPUTED_VALUE"""),"VIP商店-特价礼包2")</f>
        <v>VIP商店-特价礼包2</v>
      </c>
      <c r="C1378" s="148"/>
      <c r="D1378" s="148" t="str">
        <f>IFERROR(__xludf.DUMMYFUNCTION("""COMPUTED_VALUE"""),"item_vip_shop")</f>
        <v>item_vip_shop</v>
      </c>
      <c r="E1378" s="148">
        <f>IFERROR(__xludf.DUMMYFUNCTION("""COMPUTED_VALUE"""),0.0)</f>
        <v>0</v>
      </c>
      <c r="F1378" s="148">
        <f>IFERROR(__xludf.DUMMYFUNCTION("""COMPUTED_VALUE"""),0.0)</f>
        <v>0</v>
      </c>
      <c r="G1378" s="148">
        <f>IFERROR(__xludf.DUMMYFUNCTION("""COMPUTED_VALUE"""),1.5113197E7)</f>
        <v>15113197</v>
      </c>
      <c r="H1378" s="148">
        <f>IFERROR(__xludf.DUMMYFUNCTION("""COMPUTED_VALUE"""),1.5112562E7)</f>
        <v>15112562</v>
      </c>
      <c r="I1378" s="148" t="str">
        <f>IFERROR(__xludf.DUMMYFUNCTION("""COMPUTED_VALUE"""),"{}")</f>
        <v>{}</v>
      </c>
      <c r="J1378" s="148" t="str">
        <f>IFERROR(__xludf.DUMMYFUNCTION("""COMPUTED_VALUE"""),"{""typ"":""lc"",""txt"":""LC_ITEM_vip_shop_special_pack2_name""}")</f>
        <v>{"typ":"lc","txt":"LC_ITEM_vip_shop_special_pack2_name"}</v>
      </c>
      <c r="K1378" s="148" t="str">
        <f>IFERROR(__xludf.DUMMYFUNCTION("""COMPUTED_VALUE"""),"{""typ"":""lc"",""txt"":""LC_ITEM_vip_shop_special_pack2_desc""}")</f>
        <v>{"typ":"lc","txt":"LC_ITEM_vip_shop_special_pack2_desc"}</v>
      </c>
      <c r="L1378" s="148" t="str">
        <f>IFERROR(__xludf.DUMMYFUNCTION("""COMPUTED_VALUE"""),"{""typ"":""lc"",""txt"":""LC_ITEM_season_extra_reward_usedtip""}")</f>
        <v>{"typ":"lc","txt":"LC_ITEM_season_extra_reward_usedtip"}</v>
      </c>
      <c r="M1378" s="148">
        <f>IFERROR(__xludf.DUMMYFUNCTION("""COMPUTED_VALUE"""),200.0)</f>
        <v>200</v>
      </c>
      <c r="N1378" s="148">
        <f>IFERROR(__xludf.DUMMYFUNCTION("""COMPUTED_VALUE"""),999999.0)</f>
        <v>999999</v>
      </c>
      <c r="O1378" s="148">
        <f>IFERROR(__xludf.DUMMYFUNCTION("""COMPUTED_VALUE"""),99999.0)</f>
        <v>99999</v>
      </c>
      <c r="P1378" s="148">
        <f>IFERROR(__xludf.DUMMYFUNCTION("""COMPUTED_VALUE"""),1.0)</f>
        <v>1</v>
      </c>
      <c r="Q1378" s="148" t="str">
        <f>IFERROR(__xludf.DUMMYFUNCTION("""COMPUTED_VALUE"""),"[]")</f>
        <v>[]</v>
      </c>
      <c r="R1378" s="148" t="str">
        <f>IFERROR(__xludf.DUMMYFUNCTION("""COMPUTED_VALUE"""),"[]")</f>
        <v>[]</v>
      </c>
      <c r="S1378" s="148" t="str">
        <f>IFERROR(__xludf.DUMMYFUNCTION("""COMPUTED_VALUE"""),"{""effect"":[{""typ"":""xp"",""id"":11161002,""val"":200},{""typ"":""item"",""id"":11116402,""val"":1},{""typ"":""item"",""id"":11116005,""val"":1},{""typ"":""item"",""id"":11111105,""val"":2}]}")</f>
        <v>{"effect":[{"typ":"xp","id":11161002,"val":200},{"typ":"item","id":11116402,"val":1},{"typ":"item","id":11116005,"val":1},{"typ":"item","id":11111105,"val":2}]}</v>
      </c>
      <c r="T1378" s="148">
        <f>IFERROR(__xludf.DUMMYFUNCTION("""COMPUTED_VALUE"""),-1.0)</f>
        <v>-1</v>
      </c>
      <c r="U1378" s="148">
        <f>IFERROR(__xludf.DUMMYFUNCTION("""COMPUTED_VALUE"""),1.0)</f>
        <v>1</v>
      </c>
      <c r="V1378" s="148" t="str">
        <f>IFERROR(__xludf.DUMMYFUNCTION("""COMPUTED_VALUE"""),"[]")</f>
        <v>[]</v>
      </c>
      <c r="W1378" s="148">
        <f>IFERROR(__xludf.DUMMYFUNCTION("""COMPUTED_VALUE"""),1.174E7)</f>
        <v>11740000</v>
      </c>
      <c r="X1378" s="148">
        <f>IFERROR(__xludf.DUMMYFUNCTION("""COMPUTED_VALUE"""),0.0)</f>
        <v>0</v>
      </c>
      <c r="Y1378" s="148">
        <f>IFERROR(__xludf.DUMMYFUNCTION("""COMPUTED_VALUE"""),0.0)</f>
        <v>0</v>
      </c>
      <c r="Z1378" s="148"/>
    </row>
    <row r="1379">
      <c r="A1379" s="148">
        <f>IFERROR(__xludf.DUMMYFUNCTION("""COMPUTED_VALUE"""),1.1117017E7)</f>
        <v>11117017</v>
      </c>
      <c r="B1379" s="148" t="str">
        <f>IFERROR(__xludf.DUMMYFUNCTION("""COMPUTED_VALUE"""),"VIP商店-特价礼包3")</f>
        <v>VIP商店-特价礼包3</v>
      </c>
      <c r="C1379" s="148"/>
      <c r="D1379" s="148" t="str">
        <f>IFERROR(__xludf.DUMMYFUNCTION("""COMPUTED_VALUE"""),"item_vip_shop")</f>
        <v>item_vip_shop</v>
      </c>
      <c r="E1379" s="148">
        <f>IFERROR(__xludf.DUMMYFUNCTION("""COMPUTED_VALUE"""),0.0)</f>
        <v>0</v>
      </c>
      <c r="F1379" s="148">
        <f>IFERROR(__xludf.DUMMYFUNCTION("""COMPUTED_VALUE"""),0.0)</f>
        <v>0</v>
      </c>
      <c r="G1379" s="148">
        <f>IFERROR(__xludf.DUMMYFUNCTION("""COMPUTED_VALUE"""),1.5113198E7)</f>
        <v>15113198</v>
      </c>
      <c r="H1379" s="148">
        <f>IFERROR(__xludf.DUMMYFUNCTION("""COMPUTED_VALUE"""),1.5112563E7)</f>
        <v>15112563</v>
      </c>
      <c r="I1379" s="148" t="str">
        <f>IFERROR(__xludf.DUMMYFUNCTION("""COMPUTED_VALUE"""),"{}")</f>
        <v>{}</v>
      </c>
      <c r="J1379" s="148" t="str">
        <f>IFERROR(__xludf.DUMMYFUNCTION("""COMPUTED_VALUE"""),"{""typ"":""lc"",""txt"":""LC_ITEM_vip_shop_special_pack3_name""}")</f>
        <v>{"typ":"lc","txt":"LC_ITEM_vip_shop_special_pack3_name"}</v>
      </c>
      <c r="K1379" s="148" t="str">
        <f>IFERROR(__xludf.DUMMYFUNCTION("""COMPUTED_VALUE"""),"{""typ"":""lc"",""txt"":""LC_ITEM_vip_shop_special_pack3_desc""}")</f>
        <v>{"typ":"lc","txt":"LC_ITEM_vip_shop_special_pack3_desc"}</v>
      </c>
      <c r="L1379" s="148" t="str">
        <f>IFERROR(__xludf.DUMMYFUNCTION("""COMPUTED_VALUE"""),"{""typ"":""lc"",""txt"":""LC_ITEM_season_extra_reward_usedtip""}")</f>
        <v>{"typ":"lc","txt":"LC_ITEM_season_extra_reward_usedtip"}</v>
      </c>
      <c r="M1379" s="148">
        <f>IFERROR(__xludf.DUMMYFUNCTION("""COMPUTED_VALUE"""),1000.0)</f>
        <v>1000</v>
      </c>
      <c r="N1379" s="148">
        <f>IFERROR(__xludf.DUMMYFUNCTION("""COMPUTED_VALUE"""),999999.0)</f>
        <v>999999</v>
      </c>
      <c r="O1379" s="148">
        <f>IFERROR(__xludf.DUMMYFUNCTION("""COMPUTED_VALUE"""),99999.0)</f>
        <v>99999</v>
      </c>
      <c r="P1379" s="148">
        <f>IFERROR(__xludf.DUMMYFUNCTION("""COMPUTED_VALUE"""),1.0)</f>
        <v>1</v>
      </c>
      <c r="Q1379" s="148" t="str">
        <f>IFERROR(__xludf.DUMMYFUNCTION("""COMPUTED_VALUE"""),"[]")</f>
        <v>[]</v>
      </c>
      <c r="R1379" s="148" t="str">
        <f>IFERROR(__xludf.DUMMYFUNCTION("""COMPUTED_VALUE"""),"[]")</f>
        <v>[]</v>
      </c>
      <c r="S1379" s="148" t="str">
        <f>IFERROR(__xludf.DUMMYFUNCTION("""COMPUTED_VALUE"""),"{""effect"":[{""typ"":""item"",""id"":11116303,""val"":5},{""typ"":""item"",""id"":11116107,""val"":5},{""typ"":""item"",""id"":11116007,""val"":2},{""typ"":""item"",""id"":11111107,""val"":1}]}")</f>
        <v>{"effect":[{"typ":"item","id":11116303,"val":5},{"typ":"item","id":11116107,"val":5},{"typ":"item","id":11116007,"val":2},{"typ":"item","id":11111107,"val":1}]}</v>
      </c>
      <c r="T1379" s="148">
        <f>IFERROR(__xludf.DUMMYFUNCTION("""COMPUTED_VALUE"""),-1.0)</f>
        <v>-1</v>
      </c>
      <c r="U1379" s="148">
        <f>IFERROR(__xludf.DUMMYFUNCTION("""COMPUTED_VALUE"""),1.0)</f>
        <v>1</v>
      </c>
      <c r="V1379" s="148" t="str">
        <f>IFERROR(__xludf.DUMMYFUNCTION("""COMPUTED_VALUE"""),"[]")</f>
        <v>[]</v>
      </c>
      <c r="W1379" s="148">
        <f>IFERROR(__xludf.DUMMYFUNCTION("""COMPUTED_VALUE"""),1.174E7)</f>
        <v>11740000</v>
      </c>
      <c r="X1379" s="148">
        <f>IFERROR(__xludf.DUMMYFUNCTION("""COMPUTED_VALUE"""),0.0)</f>
        <v>0</v>
      </c>
      <c r="Y1379" s="148">
        <f>IFERROR(__xludf.DUMMYFUNCTION("""COMPUTED_VALUE"""),0.0)</f>
        <v>0</v>
      </c>
      <c r="Z1379" s="148"/>
    </row>
    <row r="1380">
      <c r="A1380" s="148">
        <f>IFERROR(__xludf.DUMMYFUNCTION("""COMPUTED_VALUE"""),1.1117018E7)</f>
        <v>11117018</v>
      </c>
      <c r="B1380" s="148" t="str">
        <f>IFERROR(__xludf.DUMMYFUNCTION("""COMPUTED_VALUE"""),"VIP商店-特价礼包4")</f>
        <v>VIP商店-特价礼包4</v>
      </c>
      <c r="C1380" s="148"/>
      <c r="D1380" s="148" t="str">
        <f>IFERROR(__xludf.DUMMYFUNCTION("""COMPUTED_VALUE"""),"item_vip_shop")</f>
        <v>item_vip_shop</v>
      </c>
      <c r="E1380" s="148">
        <f>IFERROR(__xludf.DUMMYFUNCTION("""COMPUTED_VALUE"""),0.0)</f>
        <v>0</v>
      </c>
      <c r="F1380" s="148">
        <f>IFERROR(__xludf.DUMMYFUNCTION("""COMPUTED_VALUE"""),0.0)</f>
        <v>0</v>
      </c>
      <c r="G1380" s="148">
        <f>IFERROR(__xludf.DUMMYFUNCTION("""COMPUTED_VALUE"""),1.5113199E7)</f>
        <v>15113199</v>
      </c>
      <c r="H1380" s="148">
        <f>IFERROR(__xludf.DUMMYFUNCTION("""COMPUTED_VALUE"""),1.5112564E7)</f>
        <v>15112564</v>
      </c>
      <c r="I1380" s="148" t="str">
        <f>IFERROR(__xludf.DUMMYFUNCTION("""COMPUTED_VALUE"""),"{}")</f>
        <v>{}</v>
      </c>
      <c r="J1380" s="148" t="str">
        <f>IFERROR(__xludf.DUMMYFUNCTION("""COMPUTED_VALUE"""),"{""typ"":""lc"",""txt"":""LC_ITEM_vip_shop_special_pack4_name""}")</f>
        <v>{"typ":"lc","txt":"LC_ITEM_vip_shop_special_pack4_name"}</v>
      </c>
      <c r="K1380" s="148" t="str">
        <f>IFERROR(__xludf.DUMMYFUNCTION("""COMPUTED_VALUE"""),"{""typ"":""lc"",""txt"":""LC_ITEM_vip_shop_special_pack4_desc""}")</f>
        <v>{"typ":"lc","txt":"LC_ITEM_vip_shop_special_pack4_desc"}</v>
      </c>
      <c r="L1380" s="148" t="str">
        <f>IFERROR(__xludf.DUMMYFUNCTION("""COMPUTED_VALUE"""),"{""typ"":""lc"",""txt"":""LC_ITEM_season_extra_reward_usedtip""}")</f>
        <v>{"typ":"lc","txt":"LC_ITEM_season_extra_reward_usedtip"}</v>
      </c>
      <c r="M1380" s="148">
        <f>IFERROR(__xludf.DUMMYFUNCTION("""COMPUTED_VALUE"""),20000.0)</f>
        <v>20000</v>
      </c>
      <c r="N1380" s="148">
        <f>IFERROR(__xludf.DUMMYFUNCTION("""COMPUTED_VALUE"""),999999.0)</f>
        <v>999999</v>
      </c>
      <c r="O1380" s="148">
        <f>IFERROR(__xludf.DUMMYFUNCTION("""COMPUTED_VALUE"""),99999.0)</f>
        <v>99999</v>
      </c>
      <c r="P1380" s="148">
        <f>IFERROR(__xludf.DUMMYFUNCTION("""COMPUTED_VALUE"""),1.0)</f>
        <v>1</v>
      </c>
      <c r="Q1380" s="148" t="str">
        <f>IFERROR(__xludf.DUMMYFUNCTION("""COMPUTED_VALUE"""),"[]")</f>
        <v>[]</v>
      </c>
      <c r="R1380" s="148" t="str">
        <f>IFERROR(__xludf.DUMMYFUNCTION("""COMPUTED_VALUE"""),"[]")</f>
        <v>[]</v>
      </c>
      <c r="S1380" s="148" t="str">
        <f>IFERROR(__xludf.DUMMYFUNCTION("""COMPUTED_VALUE"""),"{""effect"":[{""typ"":""item"",""id"":11116304,""val"":5},{""typ"":""item"",""id"":11116110,""val"":5},{""typ"":""item"",""id"":11111107,""val"":2}]}")</f>
        <v>{"effect":[{"typ":"item","id":11116304,"val":5},{"typ":"item","id":11116110,"val":5},{"typ":"item","id":11111107,"val":2}]}</v>
      </c>
      <c r="T1380" s="148">
        <f>IFERROR(__xludf.DUMMYFUNCTION("""COMPUTED_VALUE"""),-1.0)</f>
        <v>-1</v>
      </c>
      <c r="U1380" s="148">
        <f>IFERROR(__xludf.DUMMYFUNCTION("""COMPUTED_VALUE"""),1.0)</f>
        <v>1</v>
      </c>
      <c r="V1380" s="148" t="str">
        <f>IFERROR(__xludf.DUMMYFUNCTION("""COMPUTED_VALUE"""),"[]")</f>
        <v>[]</v>
      </c>
      <c r="W1380" s="148">
        <f>IFERROR(__xludf.DUMMYFUNCTION("""COMPUTED_VALUE"""),1.174E7)</f>
        <v>11740000</v>
      </c>
      <c r="X1380" s="148">
        <f>IFERROR(__xludf.DUMMYFUNCTION("""COMPUTED_VALUE"""),0.0)</f>
        <v>0</v>
      </c>
      <c r="Y1380" s="148">
        <f>IFERROR(__xludf.DUMMYFUNCTION("""COMPUTED_VALUE"""),0.0)</f>
        <v>0</v>
      </c>
      <c r="Z1380" s="148"/>
    </row>
    <row r="1381">
      <c r="A1381" s="148">
        <f>IFERROR(__xludf.DUMMYFUNCTION("""COMPUTED_VALUE"""),1.1117019E7)</f>
        <v>11117019</v>
      </c>
      <c r="B1381" s="148" t="str">
        <f>IFERROR(__xludf.DUMMYFUNCTION("""COMPUTED_VALUE"""),"幸运币")</f>
        <v>幸运币</v>
      </c>
      <c r="C1381" s="148"/>
      <c r="D1381" s="148" t="str">
        <f>IFERROR(__xludf.DUMMYFUNCTION("""COMPUTED_VALUE"""),"event")</f>
        <v>event</v>
      </c>
      <c r="E1381" s="148">
        <f>IFERROR(__xludf.DUMMYFUNCTION("""COMPUTED_VALUE"""),0.0)</f>
        <v>0</v>
      </c>
      <c r="F1381" s="148">
        <f>IFERROR(__xludf.DUMMYFUNCTION("""COMPUTED_VALUE"""),405112.0)</f>
        <v>405112</v>
      </c>
      <c r="G1381" s="148">
        <f>IFERROR(__xludf.DUMMYFUNCTION("""COMPUTED_VALUE"""),1.5113367E7)</f>
        <v>15113367</v>
      </c>
      <c r="H1381" s="148">
        <f>IFERROR(__xludf.DUMMYFUNCTION("""COMPUTED_VALUE"""),1.5112564E7)</f>
        <v>15112564</v>
      </c>
      <c r="I1381" s="148" t="str">
        <f>IFERROR(__xludf.DUMMYFUNCTION("""COMPUTED_VALUE"""),"{}")</f>
        <v>{}</v>
      </c>
      <c r="J1381" s="148" t="str">
        <f>IFERROR(__xludf.DUMMYFUNCTION("""COMPUTED_VALUE"""),"{""typ"":""lc"",""txt"":""LC_ITEM_fruit_machine_name""}")</f>
        <v>{"typ":"lc","txt":"LC_ITEM_fruit_machine_name"}</v>
      </c>
      <c r="K1381" s="148" t="str">
        <f>IFERROR(__xludf.DUMMYFUNCTION("""COMPUTED_VALUE"""),"{""typ"":""lc"",""txt"":""LC_ITEM_fruit_machine_desc""}")</f>
        <v>{"typ":"lc","txt":"LC_ITEM_fruit_machine_desc"}</v>
      </c>
      <c r="L1381" s="148" t="str">
        <f>IFERROR(__xludf.DUMMYFUNCTION("""COMPUTED_VALUE"""),"{}")</f>
        <v>{}</v>
      </c>
      <c r="M1381" s="148">
        <f>IFERROR(__xludf.DUMMYFUNCTION("""COMPUTED_VALUE"""),2000.0)</f>
        <v>2000</v>
      </c>
      <c r="N1381" s="148">
        <f>IFERROR(__xludf.DUMMYFUNCTION("""COMPUTED_VALUE"""),999999.0)</f>
        <v>999999</v>
      </c>
      <c r="O1381" s="148">
        <f>IFERROR(__xludf.DUMMYFUNCTION("""COMPUTED_VALUE"""),99999.0)</f>
        <v>99999</v>
      </c>
      <c r="P1381" s="148">
        <f>IFERROR(__xludf.DUMMYFUNCTION("""COMPUTED_VALUE"""),50.0)</f>
        <v>50</v>
      </c>
      <c r="Q1381" s="148" t="str">
        <f>IFERROR(__xludf.DUMMYFUNCTION("""COMPUTED_VALUE"""),"[""bag_other""]")</f>
        <v>["bag_other"]</v>
      </c>
      <c r="R1381" s="148" t="str">
        <f>IFERROR(__xludf.DUMMYFUNCTION("""COMPUTED_VALUE"""),"[]")</f>
        <v>[]</v>
      </c>
      <c r="S1381" s="148" t="str">
        <f>IFERROR(__xludf.DUMMYFUNCTION("""COMPUTED_VALUE"""),"{}")</f>
        <v>{}</v>
      </c>
      <c r="T1381" s="148">
        <f>IFERROR(__xludf.DUMMYFUNCTION("""COMPUTED_VALUE"""),-1.0)</f>
        <v>-1</v>
      </c>
      <c r="U1381" s="148">
        <f>IFERROR(__xludf.DUMMYFUNCTION("""COMPUTED_VALUE"""),0.0)</f>
        <v>0</v>
      </c>
      <c r="V1381" s="148" t="str">
        <f>IFERROR(__xludf.DUMMYFUNCTION("""COMPUTED_VALUE"""),"[]")</f>
        <v>[]</v>
      </c>
      <c r="W1381" s="148">
        <f>IFERROR(__xludf.DUMMYFUNCTION("""COMPUTED_VALUE"""),1.174E7)</f>
        <v>11740000</v>
      </c>
      <c r="X1381" s="148">
        <f>IFERROR(__xludf.DUMMYFUNCTION("""COMPUTED_VALUE"""),0.0)</f>
        <v>0</v>
      </c>
      <c r="Y1381" s="148">
        <f>IFERROR(__xludf.DUMMYFUNCTION("""COMPUTED_VALUE"""),0.0)</f>
        <v>0</v>
      </c>
      <c r="Z1381" s="148"/>
    </row>
    <row r="1382">
      <c r="A1382" s="148">
        <f>IFERROR(__xludf.DUMMYFUNCTION("""COMPUTED_VALUE"""),1.111702E7)</f>
        <v>11117020</v>
      </c>
      <c r="B1382" s="148" t="str">
        <f>IFERROR(__xludf.DUMMYFUNCTION("""COMPUTED_VALUE"""),"BattlePass-氮气罐")</f>
        <v>BattlePass-氮气罐</v>
      </c>
      <c r="C1382" s="148"/>
      <c r="D1382" s="148" t="str">
        <f>IFERROR(__xludf.DUMMYFUNCTION("""COMPUTED_VALUE"""),"battle_pass_exp")</f>
        <v>battle_pass_exp</v>
      </c>
      <c r="E1382" s="148">
        <f>IFERROR(__xludf.DUMMYFUNCTION("""COMPUTED_VALUE"""),0.0)</f>
        <v>0</v>
      </c>
      <c r="F1382" s="148">
        <f>IFERROR(__xludf.DUMMYFUNCTION("""COMPUTED_VALUE"""),0.0)</f>
        <v>0</v>
      </c>
      <c r="G1382" s="148">
        <f>IFERROR(__xludf.DUMMYFUNCTION("""COMPUTED_VALUE"""),1.5113369E7)</f>
        <v>15113369</v>
      </c>
      <c r="H1382" s="148">
        <f>IFERROR(__xludf.DUMMYFUNCTION("""COMPUTED_VALUE"""),1.5112563E7)</f>
        <v>15112563</v>
      </c>
      <c r="I1382" s="148" t="str">
        <f>IFERROR(__xludf.DUMMYFUNCTION("""COMPUTED_VALUE"""),"{}")</f>
        <v>{}</v>
      </c>
      <c r="J1382" s="148" t="str">
        <f>IFERROR(__xludf.DUMMYFUNCTION("""COMPUTED_VALUE"""),"{""typ"":""lc"",""txt"":""LC_ITEM_battlepass_exp_name""}")</f>
        <v>{"typ":"lc","txt":"LC_ITEM_battlepass_exp_name"}</v>
      </c>
      <c r="K1382" s="148" t="str">
        <f>IFERROR(__xludf.DUMMYFUNCTION("""COMPUTED_VALUE"""),"{""typ"":""lc"",""txt"":""LC_ITEM_battlepass_exp_desc""}")</f>
        <v>{"typ":"lc","txt":"LC_ITEM_battlepass_exp_desc"}</v>
      </c>
      <c r="L1382" s="148" t="str">
        <f>IFERROR(__xludf.DUMMYFUNCTION("""COMPUTED_VALUE"""),"{""typ"":""lc"",""txt"":""LC_ITEM_battlepass_exp_name""}")</f>
        <v>{"typ":"lc","txt":"LC_ITEM_battlepass_exp_name"}</v>
      </c>
      <c r="M1382" s="148">
        <f>IFERROR(__xludf.DUMMYFUNCTION("""COMPUTED_VALUE"""),10.0)</f>
        <v>10</v>
      </c>
      <c r="N1382" s="148">
        <f>IFERROR(__xludf.DUMMYFUNCTION("""COMPUTED_VALUE"""),999999.0)</f>
        <v>999999</v>
      </c>
      <c r="O1382" s="148">
        <f>IFERROR(__xludf.DUMMYFUNCTION("""COMPUTED_VALUE"""),99999.0)</f>
        <v>99999</v>
      </c>
      <c r="P1382" s="148">
        <f>IFERROR(__xludf.DUMMYFUNCTION("""COMPUTED_VALUE"""),9999.0)</f>
        <v>9999</v>
      </c>
      <c r="Q1382" s="148" t="str">
        <f>IFERROR(__xludf.DUMMYFUNCTION("""COMPUTED_VALUE"""),"[]")</f>
        <v>[]</v>
      </c>
      <c r="R1382" s="148" t="str">
        <f>IFERROR(__xludf.DUMMYFUNCTION("""COMPUTED_VALUE"""),"[]")</f>
        <v>[]</v>
      </c>
      <c r="S1382" s="148" t="str">
        <f>IFERROR(__xludf.DUMMYFUNCTION("""COMPUTED_VALUE"""),"{}")</f>
        <v>{}</v>
      </c>
      <c r="T1382" s="148">
        <f>IFERROR(__xludf.DUMMYFUNCTION("""COMPUTED_VALUE"""),-1.0)</f>
        <v>-1</v>
      </c>
      <c r="U1382" s="148">
        <f>IFERROR(__xludf.DUMMYFUNCTION("""COMPUTED_VALUE"""),1.0)</f>
        <v>1</v>
      </c>
      <c r="V1382" s="148" t="str">
        <f>IFERROR(__xludf.DUMMYFUNCTION("""COMPUTED_VALUE"""),"[]")</f>
        <v>[]</v>
      </c>
      <c r="W1382" s="148">
        <f>IFERROR(__xludf.DUMMYFUNCTION("""COMPUTED_VALUE"""),1.174E7)</f>
        <v>11740000</v>
      </c>
      <c r="X1382" s="148">
        <f>IFERROR(__xludf.DUMMYFUNCTION("""COMPUTED_VALUE"""),0.0)</f>
        <v>0</v>
      </c>
      <c r="Y1382" s="148">
        <f>IFERROR(__xludf.DUMMYFUNCTION("""COMPUTED_VALUE"""),0.0)</f>
        <v>0</v>
      </c>
      <c r="Z1382" s="148"/>
    </row>
    <row r="1383">
      <c r="A1383" s="148">
        <f>IFERROR(__xludf.DUMMYFUNCTION("""COMPUTED_VALUE"""),1.1117021E7)</f>
        <v>11117021</v>
      </c>
      <c r="B1383" s="148" t="str">
        <f>IFERROR(__xludf.DUMMYFUNCTION("""COMPUTED_VALUE"""),"BP等级随机宝箱")</f>
        <v>BP等级随机宝箱</v>
      </c>
      <c r="C1383" s="148"/>
      <c r="D1383" s="148" t="str">
        <f>IFERROR(__xludf.DUMMYFUNCTION("""COMPUTED_VALUE"""),"item_asset")</f>
        <v>item_asset</v>
      </c>
      <c r="E1383" s="148">
        <f>IFERROR(__xludf.DUMMYFUNCTION("""COMPUTED_VALUE"""),19.0)</f>
        <v>19</v>
      </c>
      <c r="F1383" s="148">
        <f>IFERROR(__xludf.DUMMYFUNCTION("""COMPUTED_VALUE"""),403199.0)</f>
        <v>403199</v>
      </c>
      <c r="G1383" s="148">
        <f>IFERROR(__xludf.DUMMYFUNCTION("""COMPUTED_VALUE"""),1.5112492E7)</f>
        <v>15112492</v>
      </c>
      <c r="H1383" s="148">
        <f>IFERROR(__xludf.DUMMYFUNCTION("""COMPUTED_VALUE"""),1.5112564E7)</f>
        <v>15112564</v>
      </c>
      <c r="I1383" s="148" t="str">
        <f>IFERROR(__xludf.DUMMYFUNCTION("""COMPUTED_VALUE"""),"{}")</f>
        <v>{}</v>
      </c>
      <c r="J1383" s="148" t="str">
        <f>IFERROR(__xludf.DUMMYFUNCTION("""COMPUTED_VALUE"""),"{""typ"":""lc"",""txt"":""LC_ITEM_explore_space_box_name""}")</f>
        <v>{"typ":"lc","txt":"LC_ITEM_explore_space_box_name"}</v>
      </c>
      <c r="K1383" s="148" t="str">
        <f>IFERROR(__xludf.DUMMYFUNCTION("""COMPUTED_VALUE"""),"{""typ"":""lc"",""txt"":""LC_ITEM_explore_space_box_desc""}")</f>
        <v>{"typ":"lc","txt":"LC_ITEM_explore_space_box_desc"}</v>
      </c>
      <c r="L1383" s="148" t="str">
        <f>IFERROR(__xludf.DUMMYFUNCTION("""COMPUTED_VALUE"""),"{""typ"":""lc"",""txt"":""LC_ITEM_explore_space_box_usedtip""}")</f>
        <v>{"typ":"lc","txt":"LC_ITEM_explore_space_box_usedtip"}</v>
      </c>
      <c r="M1383" s="148">
        <f>IFERROR(__xludf.DUMMYFUNCTION("""COMPUTED_VALUE"""),500.0)</f>
        <v>500</v>
      </c>
      <c r="N1383" s="148">
        <f>IFERROR(__xludf.DUMMYFUNCTION("""COMPUTED_VALUE"""),999999.0)</f>
        <v>999999</v>
      </c>
      <c r="O1383" s="148">
        <f>IFERROR(__xludf.DUMMYFUNCTION("""COMPUTED_VALUE"""),99999.0)</f>
        <v>99999</v>
      </c>
      <c r="P1383" s="148">
        <f>IFERROR(__xludf.DUMMYFUNCTION("""COMPUTED_VALUE"""),9999.0)</f>
        <v>9999</v>
      </c>
      <c r="Q1383" s="148" t="str">
        <f>IFERROR(__xludf.DUMMYFUNCTION("""COMPUTED_VALUE"""),"[""bag_other""]")</f>
        <v>["bag_other"]</v>
      </c>
      <c r="R1383" s="148" t="str">
        <f>IFERROR(__xludf.DUMMYFUNCTION("""COMPUTED_VALUE"""),"[""bag""]")</f>
        <v>["bag"]</v>
      </c>
      <c r="S1383" s="148" t="str">
        <f>IFERROR(__xludf.DUMMYFUNCTION("""COMPUTED_VALUE"""),"{""drop"":{""typ"":""single_all"",""num"":1,""args"":[{""typ"":""single_random"",""num"":1,""args"":[{""typ"":""item"",""id"":11111003,""num"":1,""wgt"":100},{""typ"":""item"",""id"":11111007,""num"":1,""wgt"":100},{""typ"":""item"",""id"":11111015,""num"&amp;""":2,""wgt"":150},{""typ"":""item"",""id"":11111105,""num"":1,""wgt"":150},{""typ"":""item"",""id"":11111126,""num"":1,""wgt"":150},{""typ"":""item"",""id"":11111136,""num"":1,""wgt"":150},{""typ"":""item"",""id"":11111146,""num"":2,""wgt"":200},{""typ"":"&amp;"""item"",""id"":11111156,""num"":2,""wgt"":200},{""typ"":""item"",""id"":11116006,""num"":3,""wgt"":80},{""typ"":""item"",""id"":11116007,""num"":2,""wgt"":30},{""typ"":""item"",""id"":11116109,""num"":1,""wgt"":50},{""typ"":""item"",""id"":11116110,""num"&amp;""":1,""wgt"":30}]}]}}")</f>
        <v>{"drop":{"typ":"single_all","num":1,"args":[{"typ":"single_random","num":1,"args":[{"typ":"item","id":11111003,"num":1,"wgt":100},{"typ":"item","id":11111007,"num":1,"wgt":100},{"typ":"item","id":11111015,"num":2,"wgt":150},{"typ":"item","id":11111105,"num":1,"wgt":150},{"typ":"item","id":11111126,"num":1,"wgt":150},{"typ":"item","id":11111136,"num":1,"wgt":150},{"typ":"item","id":11111146,"num":2,"wgt":200},{"typ":"item","id":11111156,"num":2,"wgt":200},{"typ":"item","id":11116006,"num":3,"wgt":80},{"typ":"item","id":11116007,"num":2,"wgt":30},{"typ":"item","id":11116109,"num":1,"wgt":50},{"typ":"item","id":11116110,"num":1,"wgt":30}]}]}}</v>
      </c>
      <c r="T1383" s="148">
        <f>IFERROR(__xludf.DUMMYFUNCTION("""COMPUTED_VALUE"""),-1.0)</f>
        <v>-1</v>
      </c>
      <c r="U1383" s="148">
        <f>IFERROR(__xludf.DUMMYFUNCTION("""COMPUTED_VALUE"""),0.0)</f>
        <v>0</v>
      </c>
      <c r="V1383" s="148" t="str">
        <f>IFERROR(__xludf.DUMMYFUNCTION("""COMPUTED_VALUE"""),"[]")</f>
        <v>[]</v>
      </c>
      <c r="W1383" s="148">
        <f>IFERROR(__xludf.DUMMYFUNCTION("""COMPUTED_VALUE"""),1.174E7)</f>
        <v>11740000</v>
      </c>
      <c r="X1383" s="148">
        <f>IFERROR(__xludf.DUMMYFUNCTION("""COMPUTED_VALUE"""),0.0)</f>
        <v>0</v>
      </c>
      <c r="Y1383" s="148">
        <f>IFERROR(__xludf.DUMMYFUNCTION("""COMPUTED_VALUE"""),0.0)</f>
        <v>0</v>
      </c>
      <c r="Z1383" s="148"/>
    </row>
    <row r="1384">
      <c r="A1384" s="148">
        <f>IFERROR(__xludf.DUMMYFUNCTION("""COMPUTED_VALUE"""),1.1117022E7)</f>
        <v>11117022</v>
      </c>
      <c r="B1384" s="148" t="str">
        <f>IFERROR(__xludf.DUMMYFUNCTION("""COMPUTED_VALUE"""),"月卡折扣券")</f>
        <v>月卡折扣券</v>
      </c>
      <c r="C1384" s="148"/>
      <c r="D1384" s="148" t="str">
        <f>IFERROR(__xludf.DUMMYFUNCTION("""COMPUTED_VALUE"""),"time_card_discount")</f>
        <v>time_card_discount</v>
      </c>
      <c r="E1384" s="148">
        <f>IFERROR(__xludf.DUMMYFUNCTION("""COMPUTED_VALUE"""),0.0)</f>
        <v>0</v>
      </c>
      <c r="F1384" s="148">
        <f>IFERROR(__xludf.DUMMYFUNCTION("""COMPUTED_VALUE"""),401201.0)</f>
        <v>401201</v>
      </c>
      <c r="G1384" s="148">
        <f>IFERROR(__xludf.DUMMYFUNCTION("""COMPUTED_VALUE"""),1.5113373E7)</f>
        <v>15113373</v>
      </c>
      <c r="H1384" s="148">
        <f>IFERROR(__xludf.DUMMYFUNCTION("""COMPUTED_VALUE"""),1.5112563E7)</f>
        <v>15112563</v>
      </c>
      <c r="I1384" s="148" t="str">
        <f>IFERROR(__xludf.DUMMYFUNCTION("""COMPUTED_VALUE"""),"{}")</f>
        <v>{}</v>
      </c>
      <c r="J1384" s="148" t="str">
        <f>IFERROR(__xludf.DUMMYFUNCTION("""COMPUTED_VALUE"""),"{""typ"":""lc"",""txt"":""LC_ITEM_card_discount_name""}")</f>
        <v>{"typ":"lc","txt":"LC_ITEM_card_discount_name"}</v>
      </c>
      <c r="K1384" s="148" t="str">
        <f>IFERROR(__xludf.DUMMYFUNCTION("""COMPUTED_VALUE"""),"{""typ"":""lc"",""txt"":""LC_ITEM_card_discount_desc""}")</f>
        <v>{"typ":"lc","txt":"LC_ITEM_card_discount_desc"}</v>
      </c>
      <c r="L1384" s="148" t="str">
        <f>IFERROR(__xludf.DUMMYFUNCTION("""COMPUTED_VALUE"""),"{}")</f>
        <v>{}</v>
      </c>
      <c r="M1384" s="148">
        <f>IFERROR(__xludf.DUMMYFUNCTION("""COMPUTED_VALUE"""),10.0)</f>
        <v>10</v>
      </c>
      <c r="N1384" s="148">
        <f>IFERROR(__xludf.DUMMYFUNCTION("""COMPUTED_VALUE"""),1.0)</f>
        <v>1</v>
      </c>
      <c r="O1384" s="148">
        <f>IFERROR(__xludf.DUMMYFUNCTION("""COMPUTED_VALUE"""),1.0)</f>
        <v>1</v>
      </c>
      <c r="P1384" s="148">
        <f>IFERROR(__xludf.DUMMYFUNCTION("""COMPUTED_VALUE"""),1.0)</f>
        <v>1</v>
      </c>
      <c r="Q1384" s="148" t="str">
        <f>IFERROR(__xludf.DUMMYFUNCTION("""COMPUTED_VALUE"""),"[""bag_other""]")</f>
        <v>["bag_other"]</v>
      </c>
      <c r="R1384" s="148" t="str">
        <f>IFERROR(__xludf.DUMMYFUNCTION("""COMPUTED_VALUE"""),"[""bag""]")</f>
        <v>["bag"]</v>
      </c>
      <c r="S1384" s="148" t="str">
        <f>IFERROR(__xludf.DUMMYFUNCTION("""COMPUTED_VALUE"""),"{}")</f>
        <v>{}</v>
      </c>
      <c r="T1384" s="148">
        <f>IFERROR(__xludf.DUMMYFUNCTION("""COMPUTED_VALUE"""),-1.0)</f>
        <v>-1</v>
      </c>
      <c r="U1384" s="148">
        <f>IFERROR(__xludf.DUMMYFUNCTION("""COMPUTED_VALUE"""),1.0)</f>
        <v>1</v>
      </c>
      <c r="V1384" s="148" t="str">
        <f>IFERROR(__xludf.DUMMYFUNCTION("""COMPUTED_VALUE"""),"[]")</f>
        <v>[]</v>
      </c>
      <c r="W1384" s="148">
        <f>IFERROR(__xludf.DUMMYFUNCTION("""COMPUTED_VALUE"""),1.174E7)</f>
        <v>11740000</v>
      </c>
      <c r="X1384" s="148">
        <f>IFERROR(__xludf.DUMMYFUNCTION("""COMPUTED_VALUE"""),0.0)</f>
        <v>0</v>
      </c>
      <c r="Y1384" s="148">
        <f>IFERROR(__xludf.DUMMYFUNCTION("""COMPUTED_VALUE"""),0.0)</f>
        <v>0</v>
      </c>
      <c r="Z1384" s="148"/>
    </row>
    <row r="1385">
      <c r="A1385" s="148">
        <f>IFERROR(__xludf.DUMMYFUNCTION("""COMPUTED_VALUE"""),1.1117023E7)</f>
        <v>11117023</v>
      </c>
      <c r="B1385" s="148" t="str">
        <f>IFERROR(__xludf.DUMMYFUNCTION("""COMPUTED_VALUE"""),"开雾道具-探测灯")</f>
        <v>开雾道具-探测灯</v>
      </c>
      <c r="C1385" s="148"/>
      <c r="D1385" s="148" t="str">
        <f>IFERROR(__xludf.DUMMYFUNCTION("""COMPUTED_VALUE"""),"item_fog_open")</f>
        <v>item_fog_open</v>
      </c>
      <c r="E1385" s="148">
        <f>IFERROR(__xludf.DUMMYFUNCTION("""COMPUTED_VALUE"""),0.0)</f>
        <v>0</v>
      </c>
      <c r="F1385" s="148">
        <f>IFERROR(__xludf.DUMMYFUNCTION("""COMPUTED_VALUE"""),404299.0)</f>
        <v>404299</v>
      </c>
      <c r="G1385" s="148">
        <f>IFERROR(__xludf.DUMMYFUNCTION("""COMPUTED_VALUE"""),1.5113463E7)</f>
        <v>15113463</v>
      </c>
      <c r="H1385" s="148">
        <f>IFERROR(__xludf.DUMMYFUNCTION("""COMPUTED_VALUE"""),1.5112563E7)</f>
        <v>15112563</v>
      </c>
      <c r="I1385" s="148" t="str">
        <f>IFERROR(__xludf.DUMMYFUNCTION("""COMPUTED_VALUE"""),"{}")</f>
        <v>{}</v>
      </c>
      <c r="J1385" s="148" t="str">
        <f>IFERROR(__xludf.DUMMYFUNCTION("""COMPUTED_VALUE"""),"{""typ"":""lc"",""txt"":""LC_ITEM_detection_light""}")</f>
        <v>{"typ":"lc","txt":"LC_ITEM_detection_light"}</v>
      </c>
      <c r="K1385" s="148" t="str">
        <f>IFERROR(__xludf.DUMMYFUNCTION("""COMPUTED_VALUE"""),"{""typ"":""lc"",""txt"":""LC_ITEM_detection_light_desc""}")</f>
        <v>{"typ":"lc","txt":"LC_ITEM_detection_light_desc"}</v>
      </c>
      <c r="L1385" s="148" t="str">
        <f>IFERROR(__xludf.DUMMYFUNCTION("""COMPUTED_VALUE"""),"{}")</f>
        <v>{}</v>
      </c>
      <c r="M1385" s="148">
        <f>IFERROR(__xludf.DUMMYFUNCTION("""COMPUTED_VALUE"""),10.0)</f>
        <v>10</v>
      </c>
      <c r="N1385" s="148">
        <f>IFERROR(__xludf.DUMMYFUNCTION("""COMPUTED_VALUE"""),999999.0)</f>
        <v>999999</v>
      </c>
      <c r="O1385" s="148">
        <f>IFERROR(__xludf.DUMMYFUNCTION("""COMPUTED_VALUE"""),99999.0)</f>
        <v>99999</v>
      </c>
      <c r="P1385" s="148">
        <f>IFERROR(__xludf.DUMMYFUNCTION("""COMPUTED_VALUE"""),1.0)</f>
        <v>1</v>
      </c>
      <c r="Q1385" s="148" t="str">
        <f>IFERROR(__xludf.DUMMYFUNCTION("""COMPUTED_VALUE"""),"[""bag_other""]")</f>
        <v>["bag_other"]</v>
      </c>
      <c r="R1385" s="148" t="str">
        <f>IFERROR(__xludf.DUMMYFUNCTION("""COMPUTED_VALUE"""),"[""bag""]")</f>
        <v>["bag"]</v>
      </c>
      <c r="S1385" s="148" t="str">
        <f>IFERROR(__xludf.DUMMYFUNCTION("""COMPUTED_VALUE"""),"{}")</f>
        <v>{}</v>
      </c>
      <c r="T1385" s="148">
        <f>IFERROR(__xludf.DUMMYFUNCTION("""COMPUTED_VALUE"""),-1.0)</f>
        <v>-1</v>
      </c>
      <c r="U1385" s="148">
        <f>IFERROR(__xludf.DUMMYFUNCTION("""COMPUTED_VALUE"""),0.0)</f>
        <v>0</v>
      </c>
      <c r="V1385" s="148" t="str">
        <f>IFERROR(__xludf.DUMMYFUNCTION("""COMPUTED_VALUE"""),"[]")</f>
        <v>[]</v>
      </c>
      <c r="W1385" s="148">
        <f>IFERROR(__xludf.DUMMYFUNCTION("""COMPUTED_VALUE"""),1.174E7)</f>
        <v>11740000</v>
      </c>
      <c r="X1385" s="148">
        <f>IFERROR(__xludf.DUMMYFUNCTION("""COMPUTED_VALUE"""),0.0)</f>
        <v>0</v>
      </c>
      <c r="Y1385" s="148">
        <f>IFERROR(__xludf.DUMMYFUNCTION("""COMPUTED_VALUE"""),0.0)</f>
        <v>0</v>
      </c>
      <c r="Z1385" s="148"/>
    </row>
    <row r="1386">
      <c r="A1386" s="148">
        <f>IFERROR(__xludf.DUMMYFUNCTION("""COMPUTED_VALUE"""),1.1117024E7)</f>
        <v>11117024</v>
      </c>
      <c r="B1386" s="148" t="str">
        <f>IFERROR(__xludf.DUMMYFUNCTION("""COMPUTED_VALUE"""),"高级探测抽奖券")</f>
        <v>高级探测抽奖券</v>
      </c>
      <c r="C1386" s="148"/>
      <c r="D1386" s="148" t="str">
        <f>IFERROR(__xludf.DUMMYFUNCTION("""COMPUTED_VALUE"""),"gacha")</f>
        <v>gacha</v>
      </c>
      <c r="E1386" s="148">
        <f>IFERROR(__xludf.DUMMYFUNCTION("""COMPUTED_VALUE"""),29.0)</f>
        <v>29</v>
      </c>
      <c r="F1386" s="148">
        <f>IFERROR(__xludf.DUMMYFUNCTION("""COMPUTED_VALUE"""),410101.0)</f>
        <v>410101</v>
      </c>
      <c r="G1386" s="148">
        <f>IFERROR(__xludf.DUMMYFUNCTION("""COMPUTED_VALUE"""),1.5113465E7)</f>
        <v>15113465</v>
      </c>
      <c r="H1386" s="148">
        <f>IFERROR(__xludf.DUMMYFUNCTION("""COMPUTED_VALUE"""),1.5112564E7)</f>
        <v>15112564</v>
      </c>
      <c r="I1386" s="148" t="str">
        <f>IFERROR(__xludf.DUMMYFUNCTION("""COMPUTED_VALUE"""),"{}")</f>
        <v>{}</v>
      </c>
      <c r="J1386" s="148" t="str">
        <f>IFERROR(__xludf.DUMMYFUNCTION("""COMPUTED_VALUE"""),"{""typ"":""lc"",""txt"":""LC_ITEM_collection_scanning_name""}")</f>
        <v>{"typ":"lc","txt":"LC_ITEM_collection_scanning_name"}</v>
      </c>
      <c r="K1386" s="148" t="str">
        <f>IFERROR(__xludf.DUMMYFUNCTION("""COMPUTED_VALUE"""),"{""typ"":""lc"",""txt"":""LC_ITEM_collection_scanning_desc""}")</f>
        <v>{"typ":"lc","txt":"LC_ITEM_collection_scanning_desc"}</v>
      </c>
      <c r="L1386" s="148" t="str">
        <f>IFERROR(__xludf.DUMMYFUNCTION("""COMPUTED_VALUE"""),"{}")</f>
        <v>{}</v>
      </c>
      <c r="M1386" s="148">
        <f>IFERROR(__xludf.DUMMYFUNCTION("""COMPUTED_VALUE"""),600.0)</f>
        <v>600</v>
      </c>
      <c r="N1386" s="148">
        <f>IFERROR(__xludf.DUMMYFUNCTION("""COMPUTED_VALUE"""),999999.0)</f>
        <v>999999</v>
      </c>
      <c r="O1386" s="148">
        <f>IFERROR(__xludf.DUMMYFUNCTION("""COMPUTED_VALUE"""),99999.0)</f>
        <v>99999</v>
      </c>
      <c r="P1386" s="148">
        <f>IFERROR(__xludf.DUMMYFUNCTION("""COMPUTED_VALUE"""),10.0)</f>
        <v>10</v>
      </c>
      <c r="Q1386" s="148" t="str">
        <f>IFERROR(__xludf.DUMMYFUNCTION("""COMPUTED_VALUE"""),"[""bag_other""]")</f>
        <v>["bag_other"]</v>
      </c>
      <c r="R1386" s="148" t="str">
        <f>IFERROR(__xludf.DUMMYFUNCTION("""COMPUTED_VALUE"""),"[]")</f>
        <v>[]</v>
      </c>
      <c r="S1386" s="148" t="str">
        <f>IFERROR(__xludf.DUMMYFUNCTION("""COMPUTED_VALUE"""),"{}")</f>
        <v>{}</v>
      </c>
      <c r="T1386" s="148">
        <f>IFERROR(__xludf.DUMMYFUNCTION("""COMPUTED_VALUE"""),-1.0)</f>
        <v>-1</v>
      </c>
      <c r="U1386" s="148">
        <f>IFERROR(__xludf.DUMMYFUNCTION("""COMPUTED_VALUE"""),0.0)</f>
        <v>0</v>
      </c>
      <c r="V1386" s="148" t="str">
        <f>IFERROR(__xludf.DUMMYFUNCTION("""COMPUTED_VALUE"""),"[]")</f>
        <v>[]</v>
      </c>
      <c r="W1386" s="148">
        <f>IFERROR(__xludf.DUMMYFUNCTION("""COMPUTED_VALUE"""),1.174E7)</f>
        <v>11740000</v>
      </c>
      <c r="X1386" s="148">
        <f>IFERROR(__xludf.DUMMYFUNCTION("""COMPUTED_VALUE"""),0.0)</f>
        <v>0</v>
      </c>
      <c r="Y1386" s="148">
        <f>IFERROR(__xludf.DUMMYFUNCTION("""COMPUTED_VALUE"""),0.0)</f>
        <v>0</v>
      </c>
      <c r="Z1386" s="148"/>
    </row>
    <row r="1387">
      <c r="A1387" s="148">
        <f>IFERROR(__xludf.DUMMYFUNCTION("""COMPUTED_VALUE"""),1.1117025E7)</f>
        <v>11117025</v>
      </c>
      <c r="B1387" s="148" t="str">
        <f>IFERROR(__xludf.DUMMYFUNCTION("""COMPUTED_VALUE"""),"感恩花环")</f>
        <v>感恩花环</v>
      </c>
      <c r="C1387" s="148"/>
      <c r="D1387" s="148" t="str">
        <f>IFERROR(__xludf.DUMMYFUNCTION("""COMPUTED_VALUE"""),"event")</f>
        <v>event</v>
      </c>
      <c r="E1387" s="148">
        <f>IFERROR(__xludf.DUMMYFUNCTION("""COMPUTED_VALUE"""),0.0)</f>
        <v>0</v>
      </c>
      <c r="F1387" s="148">
        <f>IFERROR(__xludf.DUMMYFUNCTION("""COMPUTED_VALUE"""),405413.0)</f>
        <v>405413</v>
      </c>
      <c r="G1387" s="148">
        <f>IFERROR(__xludf.DUMMYFUNCTION("""COMPUTED_VALUE"""),1.5113488E7)</f>
        <v>15113488</v>
      </c>
      <c r="H1387" s="148">
        <f>IFERROR(__xludf.DUMMYFUNCTION("""COMPUTED_VALUE"""),1.5112561E7)</f>
        <v>15112561</v>
      </c>
      <c r="I1387" s="148" t="str">
        <f>IFERROR(__xludf.DUMMYFUNCTION("""COMPUTED_VALUE"""),"{}")</f>
        <v>{}</v>
      </c>
      <c r="J1387" s="148" t="str">
        <f>IFERROR(__xludf.DUMMYFUNCTION("""COMPUTED_VALUE"""),"{""typ"":""lc"",""txt"":""LC_ITEM_thanksgiving_2020_exchange_item_name_1""}")</f>
        <v>{"typ":"lc","txt":"LC_ITEM_thanksgiving_2020_exchange_item_name_1"}</v>
      </c>
      <c r="K1387" s="148" t="str">
        <f>IFERROR(__xludf.DUMMYFUNCTION("""COMPUTED_VALUE"""),"{""typ"":""lc"",""txt"":""LC_ITEM_thanksgiving_2020_exchange_item_desc_1""}")</f>
        <v>{"typ":"lc","txt":"LC_ITEM_thanksgiving_2020_exchange_item_desc_1"}</v>
      </c>
      <c r="L1387" s="148" t="str">
        <f>IFERROR(__xludf.DUMMYFUNCTION("""COMPUTED_VALUE"""),"{}")</f>
        <v>{}</v>
      </c>
      <c r="M1387" s="148">
        <f>IFERROR(__xludf.DUMMYFUNCTION("""COMPUTED_VALUE"""),10.0)</f>
        <v>10</v>
      </c>
      <c r="N1387" s="148">
        <f>IFERROR(__xludf.DUMMYFUNCTION("""COMPUTED_VALUE"""),999999.0)</f>
        <v>999999</v>
      </c>
      <c r="O1387" s="148">
        <f>IFERROR(__xludf.DUMMYFUNCTION("""COMPUTED_VALUE"""),99999.0)</f>
        <v>99999</v>
      </c>
      <c r="P1387" s="148">
        <f>IFERROR(__xludf.DUMMYFUNCTION("""COMPUTED_VALUE"""),999.0)</f>
        <v>999</v>
      </c>
      <c r="Q1387" s="148" t="str">
        <f>IFERROR(__xludf.DUMMYFUNCTION("""COMPUTED_VALUE"""),"[""bag_other""]")</f>
        <v>["bag_other"]</v>
      </c>
      <c r="R1387" s="148" t="str">
        <f>IFERROR(__xludf.DUMMYFUNCTION("""COMPUTED_VALUE"""),"[]")</f>
        <v>[]</v>
      </c>
      <c r="S1387" s="148" t="str">
        <f>IFERROR(__xludf.DUMMYFUNCTION("""COMPUTED_VALUE"""),"{}")</f>
        <v>{}</v>
      </c>
      <c r="T1387" s="148">
        <f>IFERROR(__xludf.DUMMYFUNCTION("""COMPUTED_VALUE"""),-1.0)</f>
        <v>-1</v>
      </c>
      <c r="U1387" s="148">
        <f>IFERROR(__xludf.DUMMYFUNCTION("""COMPUTED_VALUE"""),0.0)</f>
        <v>0</v>
      </c>
      <c r="V1387" s="148" t="str">
        <f>IFERROR(__xludf.DUMMYFUNCTION("""COMPUTED_VALUE"""),"[]")</f>
        <v>[]</v>
      </c>
      <c r="W1387" s="148">
        <f>IFERROR(__xludf.DUMMYFUNCTION("""COMPUTED_VALUE"""),1.174E7)</f>
        <v>11740000</v>
      </c>
      <c r="X1387" s="148">
        <f>IFERROR(__xludf.DUMMYFUNCTION("""COMPUTED_VALUE"""),0.0)</f>
        <v>0</v>
      </c>
      <c r="Y1387" s="148">
        <f>IFERROR(__xludf.DUMMYFUNCTION("""COMPUTED_VALUE"""),0.0)</f>
        <v>0</v>
      </c>
      <c r="Z1387" s="148"/>
    </row>
    <row r="1388">
      <c r="A1388" s="148">
        <f>IFERROR(__xludf.DUMMYFUNCTION("""COMPUTED_VALUE"""),1.1117026E7)</f>
        <v>11117026</v>
      </c>
      <c r="B1388" s="148" t="str">
        <f>IFERROR(__xludf.DUMMYFUNCTION("""COMPUTED_VALUE"""),"火箭银币")</f>
        <v>火箭银币</v>
      </c>
      <c r="C1388" s="148"/>
      <c r="D1388" s="148" t="str">
        <f>IFERROR(__xludf.DUMMYFUNCTION("""COMPUTED_VALUE"""),"event")</f>
        <v>event</v>
      </c>
      <c r="E1388" s="148">
        <f>IFERROR(__xludf.DUMMYFUNCTION("""COMPUTED_VALUE"""),0.0)</f>
        <v>0</v>
      </c>
      <c r="F1388" s="148">
        <f>IFERROR(__xludf.DUMMYFUNCTION("""COMPUTED_VALUE"""),405214.0)</f>
        <v>405214</v>
      </c>
      <c r="G1388" s="148">
        <f>IFERROR(__xludf.DUMMYFUNCTION("""COMPUTED_VALUE"""),1.5113489E7)</f>
        <v>15113489</v>
      </c>
      <c r="H1388" s="148">
        <f>IFERROR(__xludf.DUMMYFUNCTION("""COMPUTED_VALUE"""),1.5112563E7)</f>
        <v>15112563</v>
      </c>
      <c r="I1388" s="148" t="str">
        <f>IFERROR(__xludf.DUMMYFUNCTION("""COMPUTED_VALUE"""),"{}")</f>
        <v>{}</v>
      </c>
      <c r="J1388" s="148" t="str">
        <f>IFERROR(__xludf.DUMMYFUNCTION("""COMPUTED_VALUE"""),"{""typ"":""lc"",""txt"":""LC_ITEM_thanksgiving_2020_exchange_item_name_2""}")</f>
        <v>{"typ":"lc","txt":"LC_ITEM_thanksgiving_2020_exchange_item_name_2"}</v>
      </c>
      <c r="K1388" s="148" t="str">
        <f>IFERROR(__xludf.DUMMYFUNCTION("""COMPUTED_VALUE"""),"{""typ"":""lc"",""txt"":""LC_ITEM_thanksgiving_2020_exchange_item_desc_2""}")</f>
        <v>{"typ":"lc","txt":"LC_ITEM_thanksgiving_2020_exchange_item_desc_2"}</v>
      </c>
      <c r="L1388" s="148" t="str">
        <f>IFERROR(__xludf.DUMMYFUNCTION("""COMPUTED_VALUE"""),"{}")</f>
        <v>{}</v>
      </c>
      <c r="M1388" s="148">
        <f>IFERROR(__xludf.DUMMYFUNCTION("""COMPUTED_VALUE"""),100.0)</f>
        <v>100</v>
      </c>
      <c r="N1388" s="148">
        <f>IFERROR(__xludf.DUMMYFUNCTION("""COMPUTED_VALUE"""),999999.0)</f>
        <v>999999</v>
      </c>
      <c r="O1388" s="148">
        <f>IFERROR(__xludf.DUMMYFUNCTION("""COMPUTED_VALUE"""),99999.0)</f>
        <v>99999</v>
      </c>
      <c r="P1388" s="148">
        <f>IFERROR(__xludf.DUMMYFUNCTION("""COMPUTED_VALUE"""),999.0)</f>
        <v>999</v>
      </c>
      <c r="Q1388" s="148" t="str">
        <f>IFERROR(__xludf.DUMMYFUNCTION("""COMPUTED_VALUE"""),"[""bag_other""]")</f>
        <v>["bag_other"]</v>
      </c>
      <c r="R1388" s="148" t="str">
        <f>IFERROR(__xludf.DUMMYFUNCTION("""COMPUTED_VALUE"""),"[]")</f>
        <v>[]</v>
      </c>
      <c r="S1388" s="148" t="str">
        <f>IFERROR(__xludf.DUMMYFUNCTION("""COMPUTED_VALUE"""),"{}")</f>
        <v>{}</v>
      </c>
      <c r="T1388" s="148">
        <f>IFERROR(__xludf.DUMMYFUNCTION("""COMPUTED_VALUE"""),-1.0)</f>
        <v>-1</v>
      </c>
      <c r="U1388" s="148">
        <f>IFERROR(__xludf.DUMMYFUNCTION("""COMPUTED_VALUE"""),0.0)</f>
        <v>0</v>
      </c>
      <c r="V1388" s="148" t="str">
        <f>IFERROR(__xludf.DUMMYFUNCTION("""COMPUTED_VALUE"""),"[]")</f>
        <v>[]</v>
      </c>
      <c r="W1388" s="148">
        <f>IFERROR(__xludf.DUMMYFUNCTION("""COMPUTED_VALUE"""),1.174E7)</f>
        <v>11740000</v>
      </c>
      <c r="X1388" s="148">
        <f>IFERROR(__xludf.DUMMYFUNCTION("""COMPUTED_VALUE"""),0.0)</f>
        <v>0</v>
      </c>
      <c r="Y1388" s="148">
        <f>IFERROR(__xludf.DUMMYFUNCTION("""COMPUTED_VALUE"""),0.0)</f>
        <v>0</v>
      </c>
      <c r="Z1388" s="148"/>
    </row>
    <row r="1389">
      <c r="A1389" s="148">
        <f>IFERROR(__xludf.DUMMYFUNCTION("""COMPUTED_VALUE"""),1.1117027E7)</f>
        <v>11117027</v>
      </c>
      <c r="B1389" s="148" t="str">
        <f>IFERROR(__xludf.DUMMYFUNCTION("""COMPUTED_VALUE"""),"狂飙拉力赛-解锁豪华补给站")</f>
        <v>狂飙拉力赛-解锁豪华补给站</v>
      </c>
      <c r="C1389" s="148"/>
      <c r="D1389" s="148" t="str">
        <f>IFERROR(__xludf.DUMMYFUNCTION("""COMPUTED_VALUE"""),"battle_pass_card")</f>
        <v>battle_pass_card</v>
      </c>
      <c r="E1389" s="148">
        <f>IFERROR(__xludf.DUMMYFUNCTION("""COMPUTED_VALUE"""),0.0)</f>
        <v>0</v>
      </c>
      <c r="F1389" s="148">
        <f>IFERROR(__xludf.DUMMYFUNCTION("""COMPUTED_VALUE"""),0.0)</f>
        <v>0</v>
      </c>
      <c r="G1389" s="148">
        <f>IFERROR(__xludf.DUMMYFUNCTION("""COMPUTED_VALUE"""),1.5116158E7)</f>
        <v>15116158</v>
      </c>
      <c r="H1389" s="148">
        <f>IFERROR(__xludf.DUMMYFUNCTION("""COMPUTED_VALUE"""),1.5112563E7)</f>
        <v>15112563</v>
      </c>
      <c r="I1389" s="148" t="str">
        <f>IFERROR(__xludf.DUMMYFUNCTION("""COMPUTED_VALUE"""),"{}")</f>
        <v>{}</v>
      </c>
      <c r="J1389" s="148" t="str">
        <f>IFERROR(__xludf.DUMMYFUNCTION("""COMPUTED_VALUE"""),"{""typ"":""lc"",""txt"":""LC_EVENT_battle_pass_luxury_supply""}")</f>
        <v>{"typ":"lc","txt":"LC_EVENT_battle_pass_luxury_supply"}</v>
      </c>
      <c r="K1389" s="148" t="str">
        <f>IFERROR(__xludf.DUMMYFUNCTION("""COMPUTED_VALUE"""),"{""typ"":""lc"",""txt"":""LC_EVENT_battle_pass_luxury_supply""}")</f>
        <v>{"typ":"lc","txt":"LC_EVENT_battle_pass_luxury_supply"}</v>
      </c>
      <c r="L1389" s="148" t="str">
        <f>IFERROR(__xludf.DUMMYFUNCTION("""COMPUTED_VALUE"""),"{}")</f>
        <v>{}</v>
      </c>
      <c r="M1389" s="148">
        <f>IFERROR(__xludf.DUMMYFUNCTION("""COMPUTED_VALUE"""),10.0)</f>
        <v>10</v>
      </c>
      <c r="N1389" s="148">
        <f>IFERROR(__xludf.DUMMYFUNCTION("""COMPUTED_VALUE"""),999999.0)</f>
        <v>999999</v>
      </c>
      <c r="O1389" s="148">
        <f>IFERROR(__xludf.DUMMYFUNCTION("""COMPUTED_VALUE"""),99999.0)</f>
        <v>99999</v>
      </c>
      <c r="P1389" s="148">
        <f>IFERROR(__xludf.DUMMYFUNCTION("""COMPUTED_VALUE"""),9999.0)</f>
        <v>9999</v>
      </c>
      <c r="Q1389" s="148" t="str">
        <f>IFERROR(__xludf.DUMMYFUNCTION("""COMPUTED_VALUE"""),"[]")</f>
        <v>[]</v>
      </c>
      <c r="R1389" s="148" t="str">
        <f>IFERROR(__xludf.DUMMYFUNCTION("""COMPUTED_VALUE"""),"[]")</f>
        <v>[]</v>
      </c>
      <c r="S1389" s="148" t="str">
        <f>IFERROR(__xludf.DUMMYFUNCTION("""COMPUTED_VALUE"""),"{}")</f>
        <v>{}</v>
      </c>
      <c r="T1389" s="148">
        <f>IFERROR(__xludf.DUMMYFUNCTION("""COMPUTED_VALUE"""),-1.0)</f>
        <v>-1</v>
      </c>
      <c r="U1389" s="148">
        <f>IFERROR(__xludf.DUMMYFUNCTION("""COMPUTED_VALUE"""),1.0)</f>
        <v>1</v>
      </c>
      <c r="V1389" s="148" t="str">
        <f>IFERROR(__xludf.DUMMYFUNCTION("""COMPUTED_VALUE"""),"[]")</f>
        <v>[]</v>
      </c>
      <c r="W1389" s="148">
        <f>IFERROR(__xludf.DUMMYFUNCTION("""COMPUTED_VALUE"""),1.174E7)</f>
        <v>11740000</v>
      </c>
      <c r="X1389" s="148">
        <f>IFERROR(__xludf.DUMMYFUNCTION("""COMPUTED_VALUE"""),0.0)</f>
        <v>0</v>
      </c>
      <c r="Y1389" s="148">
        <f>IFERROR(__xludf.DUMMYFUNCTION("""COMPUTED_VALUE"""),0.0)</f>
        <v>0</v>
      </c>
      <c r="Z1389" s="148"/>
    </row>
    <row r="1390">
      <c r="A1390" s="148">
        <f>IFERROR(__xludf.DUMMYFUNCTION("""COMPUTED_VALUE"""),1.1117028E7)</f>
        <v>11117028</v>
      </c>
      <c r="B1390" s="148" t="str">
        <f>IFERROR(__xludf.DUMMYFUNCTION("""COMPUTED_VALUE"""),"钥匙碎片")</f>
        <v>钥匙碎片</v>
      </c>
      <c r="C1390" s="148"/>
      <c r="D1390" s="148" t="str">
        <f>IFERROR(__xludf.DUMMYFUNCTION("""COMPUTED_VALUE"""),"event")</f>
        <v>event</v>
      </c>
      <c r="E1390" s="148">
        <f>IFERROR(__xludf.DUMMYFUNCTION("""COMPUTED_VALUE"""),0.0)</f>
        <v>0</v>
      </c>
      <c r="F1390" s="148">
        <f>IFERROR(__xludf.DUMMYFUNCTION("""COMPUTED_VALUE"""),0.0)</f>
        <v>0</v>
      </c>
      <c r="G1390" s="148">
        <f>IFERROR(__xludf.DUMMYFUNCTION("""COMPUTED_VALUE"""),1.5113521E7)</f>
        <v>15113521</v>
      </c>
      <c r="H1390" s="148">
        <f>IFERROR(__xludf.DUMMYFUNCTION("""COMPUTED_VALUE"""),1.5112562E7)</f>
        <v>15112562</v>
      </c>
      <c r="I1390" s="148" t="str">
        <f>IFERROR(__xludf.DUMMYFUNCTION("""COMPUTED_VALUE"""),"{}")</f>
        <v>{}</v>
      </c>
      <c r="J1390" s="148" t="str">
        <f>IFERROR(__xludf.DUMMYFUNCTION("""COMPUTED_VALUE"""),"{""typ"":""lc"",""txt"":""LC_ITEM_monkey_invitation_key_fragment_name""}")</f>
        <v>{"typ":"lc","txt":"LC_ITEM_monkey_invitation_key_fragment_name"}</v>
      </c>
      <c r="K1390" s="148" t="str">
        <f>IFERROR(__xludf.DUMMYFUNCTION("""COMPUTED_VALUE"""),"{""typ"":""lc"",""txt"":""LC_ITEM_monkey_invitation_key_fragment_desc""}")</f>
        <v>{"typ":"lc","txt":"LC_ITEM_monkey_invitation_key_fragment_desc"}</v>
      </c>
      <c r="L1390" s="148" t="str">
        <f>IFERROR(__xludf.DUMMYFUNCTION("""COMPUTED_VALUE"""),"{}")</f>
        <v>{}</v>
      </c>
      <c r="M1390" s="148">
        <f>IFERROR(__xludf.DUMMYFUNCTION("""COMPUTED_VALUE"""),0.0)</f>
        <v>0</v>
      </c>
      <c r="N1390" s="148">
        <f>IFERROR(__xludf.DUMMYFUNCTION("""COMPUTED_VALUE"""),999999.0)</f>
        <v>999999</v>
      </c>
      <c r="O1390" s="148">
        <f>IFERROR(__xludf.DUMMYFUNCTION("""COMPUTED_VALUE"""),99999.0)</f>
        <v>99999</v>
      </c>
      <c r="P1390" s="148">
        <f>IFERROR(__xludf.DUMMYFUNCTION("""COMPUTED_VALUE"""),9999.0)</f>
        <v>9999</v>
      </c>
      <c r="Q1390" s="148" t="str">
        <f>IFERROR(__xludf.DUMMYFUNCTION("""COMPUTED_VALUE"""),"[]")</f>
        <v>[]</v>
      </c>
      <c r="R1390" s="148" t="str">
        <f>IFERROR(__xludf.DUMMYFUNCTION("""COMPUTED_VALUE"""),"[]")</f>
        <v>[]</v>
      </c>
      <c r="S1390" s="148" t="str">
        <f>IFERROR(__xludf.DUMMYFUNCTION("""COMPUTED_VALUE"""),"{}")</f>
        <v>{}</v>
      </c>
      <c r="T1390" s="148">
        <f>IFERROR(__xludf.DUMMYFUNCTION("""COMPUTED_VALUE"""),-1.0)</f>
        <v>-1</v>
      </c>
      <c r="U1390" s="148">
        <f>IFERROR(__xludf.DUMMYFUNCTION("""COMPUTED_VALUE"""),1.0)</f>
        <v>1</v>
      </c>
      <c r="V1390" s="148" t="str">
        <f>IFERROR(__xludf.DUMMYFUNCTION("""COMPUTED_VALUE"""),"[]")</f>
        <v>[]</v>
      </c>
      <c r="W1390" s="148">
        <f>IFERROR(__xludf.DUMMYFUNCTION("""COMPUTED_VALUE"""),1.174E7)</f>
        <v>11740000</v>
      </c>
      <c r="X1390" s="148">
        <f>IFERROR(__xludf.DUMMYFUNCTION("""COMPUTED_VALUE"""),0.0)</f>
        <v>0</v>
      </c>
      <c r="Y1390" s="148">
        <f>IFERROR(__xludf.DUMMYFUNCTION("""COMPUTED_VALUE"""),0.0)</f>
        <v>0</v>
      </c>
      <c r="Z1390" s="148"/>
    </row>
    <row r="1391">
      <c r="A1391" s="148">
        <f>IFERROR(__xludf.DUMMYFUNCTION("""COMPUTED_VALUE"""),1.1117029E7)</f>
        <v>11117029</v>
      </c>
      <c r="B1391" s="148" t="str">
        <f>IFERROR(__xludf.DUMMYFUNCTION("""COMPUTED_VALUE"""),"圣诞棒棒糖")</f>
        <v>圣诞棒棒糖</v>
      </c>
      <c r="C1391" s="148"/>
      <c r="D1391" s="148" t="str">
        <f>IFERROR(__xludf.DUMMYFUNCTION("""COMPUTED_VALUE"""),"event")</f>
        <v>event</v>
      </c>
      <c r="E1391" s="148">
        <f>IFERROR(__xludf.DUMMYFUNCTION("""COMPUTED_VALUE"""),0.0)</f>
        <v>0</v>
      </c>
      <c r="F1391" s="148">
        <f>IFERROR(__xludf.DUMMYFUNCTION("""COMPUTED_VALUE"""),405415.0)</f>
        <v>405415</v>
      </c>
      <c r="G1391" s="148">
        <f>IFERROR(__xludf.DUMMYFUNCTION("""COMPUTED_VALUE"""),1.511355E7)</f>
        <v>15113550</v>
      </c>
      <c r="H1391" s="148">
        <f>IFERROR(__xludf.DUMMYFUNCTION("""COMPUTED_VALUE"""),1.5112561E7)</f>
        <v>15112561</v>
      </c>
      <c r="I1391" s="148" t="str">
        <f>IFERROR(__xludf.DUMMYFUNCTION("""COMPUTED_VALUE"""),"{}")</f>
        <v>{}</v>
      </c>
      <c r="J1391" s="148" t="str">
        <f>IFERROR(__xludf.DUMMYFUNCTION("""COMPUTED_VALUE"""),"{""typ"":""lc"",""txt"":""LC_ITEM_christmas_2020_exchange_item_name_1""}")</f>
        <v>{"typ":"lc","txt":"LC_ITEM_christmas_2020_exchange_item_name_1"}</v>
      </c>
      <c r="K1391" s="148" t="str">
        <f>IFERROR(__xludf.DUMMYFUNCTION("""COMPUTED_VALUE"""),"{""typ"":""lc"",""txt"":""LC_ITEM_christmas_2020_exchange_item_desc_1""}")</f>
        <v>{"typ":"lc","txt":"LC_ITEM_christmas_2020_exchange_item_desc_1"}</v>
      </c>
      <c r="L1391" s="148" t="str">
        <f>IFERROR(__xludf.DUMMYFUNCTION("""COMPUTED_VALUE"""),"{}")</f>
        <v>{}</v>
      </c>
      <c r="M1391" s="148">
        <f>IFERROR(__xludf.DUMMYFUNCTION("""COMPUTED_VALUE"""),10.0)</f>
        <v>10</v>
      </c>
      <c r="N1391" s="148">
        <f>IFERROR(__xludf.DUMMYFUNCTION("""COMPUTED_VALUE"""),999999.0)</f>
        <v>999999</v>
      </c>
      <c r="O1391" s="148">
        <f>IFERROR(__xludf.DUMMYFUNCTION("""COMPUTED_VALUE"""),99999.0)</f>
        <v>99999</v>
      </c>
      <c r="P1391" s="148">
        <f>IFERROR(__xludf.DUMMYFUNCTION("""COMPUTED_VALUE"""),9999.0)</f>
        <v>9999</v>
      </c>
      <c r="Q1391" s="148" t="str">
        <f>IFERROR(__xludf.DUMMYFUNCTION("""COMPUTED_VALUE"""),"[""bag_other""]")</f>
        <v>["bag_other"]</v>
      </c>
      <c r="R1391" s="148" t="str">
        <f>IFERROR(__xludf.DUMMYFUNCTION("""COMPUTED_VALUE"""),"[]")</f>
        <v>[]</v>
      </c>
      <c r="S1391" s="148" t="str">
        <f>IFERROR(__xludf.DUMMYFUNCTION("""COMPUTED_VALUE"""),"{}")</f>
        <v>{}</v>
      </c>
      <c r="T1391" s="148">
        <f>IFERROR(__xludf.DUMMYFUNCTION("""COMPUTED_VALUE"""),-1.0)</f>
        <v>-1</v>
      </c>
      <c r="U1391" s="148">
        <f>IFERROR(__xludf.DUMMYFUNCTION("""COMPUTED_VALUE"""),0.0)</f>
        <v>0</v>
      </c>
      <c r="V1391" s="148" t="str">
        <f>IFERROR(__xludf.DUMMYFUNCTION("""COMPUTED_VALUE"""),"[]")</f>
        <v>[]</v>
      </c>
      <c r="W1391" s="148">
        <f>IFERROR(__xludf.DUMMYFUNCTION("""COMPUTED_VALUE"""),1.174E7)</f>
        <v>11740000</v>
      </c>
      <c r="X1391" s="148">
        <f>IFERROR(__xludf.DUMMYFUNCTION("""COMPUTED_VALUE"""),0.0)</f>
        <v>0</v>
      </c>
      <c r="Y1391" s="148">
        <f>IFERROR(__xludf.DUMMYFUNCTION("""COMPUTED_VALUE"""),0.0)</f>
        <v>0</v>
      </c>
      <c r="Z1391" s="148"/>
    </row>
    <row r="1392">
      <c r="A1392" s="148">
        <f>IFERROR(__xludf.DUMMYFUNCTION("""COMPUTED_VALUE"""),1.111703E7)</f>
        <v>11117030</v>
      </c>
      <c r="B1392" s="148" t="str">
        <f>IFERROR(__xludf.DUMMYFUNCTION("""COMPUTED_VALUE"""),"圣诞袜-2020")</f>
        <v>圣诞袜-2020</v>
      </c>
      <c r="C1392" s="148"/>
      <c r="D1392" s="148" t="str">
        <f>IFERROR(__xludf.DUMMYFUNCTION("""COMPUTED_VALUE"""),"event")</f>
        <v>event</v>
      </c>
      <c r="E1392" s="148">
        <f>IFERROR(__xludf.DUMMYFUNCTION("""COMPUTED_VALUE"""),0.0)</f>
        <v>0</v>
      </c>
      <c r="F1392" s="148">
        <f>IFERROR(__xludf.DUMMYFUNCTION("""COMPUTED_VALUE"""),405216.0)</f>
        <v>405216</v>
      </c>
      <c r="G1392" s="148">
        <f>IFERROR(__xludf.DUMMYFUNCTION("""COMPUTED_VALUE"""),1.5113551E7)</f>
        <v>15113551</v>
      </c>
      <c r="H1392" s="148">
        <f>IFERROR(__xludf.DUMMYFUNCTION("""COMPUTED_VALUE"""),1.5112563E7)</f>
        <v>15112563</v>
      </c>
      <c r="I1392" s="148" t="str">
        <f>IFERROR(__xludf.DUMMYFUNCTION("""COMPUTED_VALUE"""),"{}")</f>
        <v>{}</v>
      </c>
      <c r="J1392" s="148" t="str">
        <f>IFERROR(__xludf.DUMMYFUNCTION("""COMPUTED_VALUE"""),"{""typ"":""lc"",""txt"":""LC_ITEM_christmas_2020_exchange_item_name_2""}")</f>
        <v>{"typ":"lc","txt":"LC_ITEM_christmas_2020_exchange_item_name_2"}</v>
      </c>
      <c r="K1392" s="148" t="str">
        <f>IFERROR(__xludf.DUMMYFUNCTION("""COMPUTED_VALUE"""),"{""typ"":""lc"",""txt"":""LC_ITEM_christmas_2020_exchange_item_desc_2""}")</f>
        <v>{"typ":"lc","txt":"LC_ITEM_christmas_2020_exchange_item_desc_2"}</v>
      </c>
      <c r="L1392" s="148" t="str">
        <f>IFERROR(__xludf.DUMMYFUNCTION("""COMPUTED_VALUE"""),"{}")</f>
        <v>{}</v>
      </c>
      <c r="M1392" s="148">
        <f>IFERROR(__xludf.DUMMYFUNCTION("""COMPUTED_VALUE"""),100.0)</f>
        <v>100</v>
      </c>
      <c r="N1392" s="148">
        <f>IFERROR(__xludf.DUMMYFUNCTION("""COMPUTED_VALUE"""),999999.0)</f>
        <v>999999</v>
      </c>
      <c r="O1392" s="148">
        <f>IFERROR(__xludf.DUMMYFUNCTION("""COMPUTED_VALUE"""),99999.0)</f>
        <v>99999</v>
      </c>
      <c r="P1392" s="148">
        <f>IFERROR(__xludf.DUMMYFUNCTION("""COMPUTED_VALUE"""),999.0)</f>
        <v>999</v>
      </c>
      <c r="Q1392" s="148" t="str">
        <f>IFERROR(__xludf.DUMMYFUNCTION("""COMPUTED_VALUE"""),"[""bag_other""]")</f>
        <v>["bag_other"]</v>
      </c>
      <c r="R1392" s="148" t="str">
        <f>IFERROR(__xludf.DUMMYFUNCTION("""COMPUTED_VALUE"""),"[]")</f>
        <v>[]</v>
      </c>
      <c r="S1392" s="148" t="str">
        <f>IFERROR(__xludf.DUMMYFUNCTION("""COMPUTED_VALUE"""),"{}")</f>
        <v>{}</v>
      </c>
      <c r="T1392" s="148">
        <f>IFERROR(__xludf.DUMMYFUNCTION("""COMPUTED_VALUE"""),-1.0)</f>
        <v>-1</v>
      </c>
      <c r="U1392" s="148">
        <f>IFERROR(__xludf.DUMMYFUNCTION("""COMPUTED_VALUE"""),0.0)</f>
        <v>0</v>
      </c>
      <c r="V1392" s="148" t="str">
        <f>IFERROR(__xludf.DUMMYFUNCTION("""COMPUTED_VALUE"""),"[]")</f>
        <v>[]</v>
      </c>
      <c r="W1392" s="148">
        <f>IFERROR(__xludf.DUMMYFUNCTION("""COMPUTED_VALUE"""),1.174E7)</f>
        <v>11740000</v>
      </c>
      <c r="X1392" s="148">
        <f>IFERROR(__xludf.DUMMYFUNCTION("""COMPUTED_VALUE"""),0.0)</f>
        <v>0</v>
      </c>
      <c r="Y1392" s="148">
        <f>IFERROR(__xludf.DUMMYFUNCTION("""COMPUTED_VALUE"""),0.0)</f>
        <v>0</v>
      </c>
      <c r="Z1392" s="148"/>
    </row>
    <row r="1393">
      <c r="A1393" s="148">
        <f>IFERROR(__xludf.DUMMYFUNCTION("""COMPUTED_VALUE"""),1.1117031E7)</f>
        <v>11117031</v>
      </c>
      <c r="B1393" s="148" t="str">
        <f>IFERROR(__xludf.DUMMYFUNCTION("""COMPUTED_VALUE"""),"圣诞礼盒")</f>
        <v>圣诞礼盒</v>
      </c>
      <c r="C1393" s="148"/>
      <c r="D1393" s="148" t="str">
        <f>IFERROR(__xludf.DUMMYFUNCTION("""COMPUTED_VALUE"""),"item_asset")</f>
        <v>item_asset</v>
      </c>
      <c r="E1393" s="148">
        <f>IFERROR(__xludf.DUMMYFUNCTION("""COMPUTED_VALUE"""),0.0)</f>
        <v>0</v>
      </c>
      <c r="F1393" s="148">
        <f>IFERROR(__xludf.DUMMYFUNCTION("""COMPUTED_VALUE"""),0.0)</f>
        <v>0</v>
      </c>
      <c r="G1393" s="148">
        <f>IFERROR(__xludf.DUMMYFUNCTION("""COMPUTED_VALUE"""),1.5113552E7)</f>
        <v>15113552</v>
      </c>
      <c r="H1393" s="148">
        <f>IFERROR(__xludf.DUMMYFUNCTION("""COMPUTED_VALUE"""),1.5112562E7)</f>
        <v>15112562</v>
      </c>
      <c r="I1393" s="148" t="str">
        <f>IFERROR(__xludf.DUMMYFUNCTION("""COMPUTED_VALUE"""),"{}")</f>
        <v>{}</v>
      </c>
      <c r="J1393" s="148" t="str">
        <f>IFERROR(__xludf.DUMMYFUNCTION("""COMPUTED_VALUE"""),"{""typ"":""lc"",""txt"":""LC_ITEM_christmas_drop_7""}")</f>
        <v>{"typ":"lc","txt":"LC_ITEM_christmas_drop_7"}</v>
      </c>
      <c r="K1393" s="148" t="str">
        <f>IFERROR(__xludf.DUMMYFUNCTION("""COMPUTED_VALUE"""),"{""typ"":""lc"",""txt"":""LC_ITEM_christmas_drop_8""}")</f>
        <v>{"typ":"lc","txt":"LC_ITEM_christmas_drop_8"}</v>
      </c>
      <c r="L1393" s="148" t="str">
        <f>IFERROR(__xludf.DUMMYFUNCTION("""COMPUTED_VALUE"""),"{}")</f>
        <v>{}</v>
      </c>
      <c r="M1393" s="148">
        <f>IFERROR(__xludf.DUMMYFUNCTION("""COMPUTED_VALUE"""),112.75)</f>
        <v>112.75</v>
      </c>
      <c r="N1393" s="148">
        <f>IFERROR(__xludf.DUMMYFUNCTION("""COMPUTED_VALUE"""),999999.0)</f>
        <v>999999</v>
      </c>
      <c r="O1393" s="148">
        <f>IFERROR(__xludf.DUMMYFUNCTION("""COMPUTED_VALUE"""),99999.0)</f>
        <v>99999</v>
      </c>
      <c r="P1393" s="148">
        <f>IFERROR(__xludf.DUMMYFUNCTION("""COMPUTED_VALUE"""),99999.0)</f>
        <v>99999</v>
      </c>
      <c r="Q1393" s="148" t="str">
        <f>IFERROR(__xludf.DUMMYFUNCTION("""COMPUTED_VALUE"""),"[]")</f>
        <v>[]</v>
      </c>
      <c r="R1393" s="148" t="str">
        <f>IFERROR(__xludf.DUMMYFUNCTION("""COMPUTED_VALUE"""),"[]")</f>
        <v>[]</v>
      </c>
      <c r="S1393" s="148" t="str">
        <f>IFERROR(__xludf.DUMMYFUNCTION("""COMPUTED_VALUE""")," {""drop"": {""typ"":""single_all"",""num"":1,""args"":[{""typ"":""single_random"",""num"":1,""args"":[{""typ"":""item"",""id"":11111001,""num"":1,""wgt"":875},{""typ"":""item"",""id"":11111002,""num"":1,""wgt"":125}]},{""typ"":""single_random"",""num"":1"&amp;",""args"":[{""typ"":""item"",""id"":11111005,""num"":1,""wgt"":875},{""typ"":""item"",""id"":11111006,""num"":1,""wgt"":125}]},{""typ"":""single_random"",""num"":1,""args"":[{""typ"":""item"",""id"":11111123,""num"":1,""wgt"":250},{""typ"":""item"",""id"""&amp;":11111133,""num"":1,""wgt"":250},{""typ"":""item"",""id"":11111143,""num"":1,""wgt"":250},{""typ"":""item"",""id"":11111153,""num"":1,""wgt"":250}]},{""typ"":""single_random"",""num"":1,""args"":[{""typ"":""empty"",""wgt"":100},{""typ"":""item"",""id"":11"&amp;"117029,""num"":1,""wgt"":500},{""typ"":""item"",""id"":11117029,""num"":3,""wgt"":300},{""typ"":""item"",""id"":11117029,""num"":6,""wgt"":100}]}]}}")</f>
        <v> {"drop": {"typ":"single_all","num":1,"args":[{"typ":"single_random","num":1,"args":[{"typ":"item","id":11111001,"num":1,"wgt":875},{"typ":"item","id":11111002,"num":1,"wgt":125}]},{"typ":"single_random","num":1,"args":[{"typ":"item","id":11111005,"num":1,"wgt":875},{"typ":"item","id":11111006,"num":1,"wgt":125}]},{"typ":"single_random","num":1,"args":[{"typ":"item","id":11111123,"num":1,"wgt":250},{"typ":"item","id":11111133,"num":1,"wgt":250},{"typ":"item","id":11111143,"num":1,"wgt":250},{"typ":"item","id":11111153,"num":1,"wgt":250}]},{"typ":"single_random","num":1,"args":[{"typ":"empty","wgt":100},{"typ":"item","id":11117029,"num":1,"wgt":500},{"typ":"item","id":11117029,"num":3,"wgt":300},{"typ":"item","id":11117029,"num":6,"wgt":100}]}]}}</v>
      </c>
      <c r="T1393" s="148">
        <f>IFERROR(__xludf.DUMMYFUNCTION("""COMPUTED_VALUE"""),-1.0)</f>
        <v>-1</v>
      </c>
      <c r="U1393" s="148">
        <f>IFERROR(__xludf.DUMMYFUNCTION("""COMPUTED_VALUE"""),1.0)</f>
        <v>1</v>
      </c>
      <c r="V1393" s="148" t="str">
        <f>IFERROR(__xludf.DUMMYFUNCTION("""COMPUTED_VALUE"""),"[]")</f>
        <v>[]</v>
      </c>
      <c r="W1393" s="148">
        <f>IFERROR(__xludf.DUMMYFUNCTION("""COMPUTED_VALUE"""),1.174E7)</f>
        <v>11740000</v>
      </c>
      <c r="X1393" s="148">
        <f>IFERROR(__xludf.DUMMYFUNCTION("""COMPUTED_VALUE"""),0.0)</f>
        <v>0</v>
      </c>
      <c r="Y1393" s="148">
        <f>IFERROR(__xludf.DUMMYFUNCTION("""COMPUTED_VALUE"""),0.0)</f>
        <v>0</v>
      </c>
      <c r="Z1393" s="148"/>
    </row>
    <row r="1394">
      <c r="A1394" s="148">
        <f>IFERROR(__xludf.DUMMYFUNCTION("""COMPUTED_VALUE"""),1.1117032E7)</f>
        <v>11117032</v>
      </c>
      <c r="B1394" s="148" t="str">
        <f>IFERROR(__xludf.DUMMYFUNCTION("""COMPUTED_VALUE"""),"普通探测抽奖券")</f>
        <v>普通探测抽奖券</v>
      </c>
      <c r="C1394" s="148"/>
      <c r="D1394" s="148" t="str">
        <f>IFERROR(__xludf.DUMMYFUNCTION("""COMPUTED_VALUE"""),"gacha")</f>
        <v>gacha</v>
      </c>
      <c r="E1394" s="148">
        <f>IFERROR(__xludf.DUMMYFUNCTION("""COMPUTED_VALUE"""),29.0)</f>
        <v>29</v>
      </c>
      <c r="F1394" s="148">
        <f>IFERROR(__xludf.DUMMYFUNCTION("""COMPUTED_VALUE"""),409302.0)</f>
        <v>409302</v>
      </c>
      <c r="G1394" s="148">
        <f>IFERROR(__xludf.DUMMYFUNCTION("""COMPUTED_VALUE"""),1.5113464E7)</f>
        <v>15113464</v>
      </c>
      <c r="H1394" s="148">
        <f>IFERROR(__xludf.DUMMYFUNCTION("""COMPUTED_VALUE"""),1.5112562E7)</f>
        <v>15112562</v>
      </c>
      <c r="I1394" s="148" t="str">
        <f>IFERROR(__xludf.DUMMYFUNCTION("""COMPUTED_VALUE"""),"{}")</f>
        <v>{}</v>
      </c>
      <c r="J1394" s="148" t="str">
        <f>IFERROR(__xludf.DUMMYFUNCTION("""COMPUTED_VALUE"""),"{""typ"":""lc"",""txt"":""LC_ITEM_scanning_normal_name""}")</f>
        <v>{"typ":"lc","txt":"LC_ITEM_scanning_normal_name"}</v>
      </c>
      <c r="K1394" s="148" t="str">
        <f>IFERROR(__xludf.DUMMYFUNCTION("""COMPUTED_VALUE"""),"{""typ"":""lc"",""txt"":""LC_ITEM_scanning_normal_desc""}")</f>
        <v>{"typ":"lc","txt":"LC_ITEM_scanning_normal_desc"}</v>
      </c>
      <c r="L1394" s="148" t="str">
        <f>IFERROR(__xludf.DUMMYFUNCTION("""COMPUTED_VALUE"""),"{}")</f>
        <v>{}</v>
      </c>
      <c r="M1394" s="148">
        <f>IFERROR(__xludf.DUMMYFUNCTION("""COMPUTED_VALUE"""),200.0)</f>
        <v>200</v>
      </c>
      <c r="N1394" s="148">
        <f>IFERROR(__xludf.DUMMYFUNCTION("""COMPUTED_VALUE"""),999999.0)</f>
        <v>999999</v>
      </c>
      <c r="O1394" s="148">
        <f>IFERROR(__xludf.DUMMYFUNCTION("""COMPUTED_VALUE"""),99999.0)</f>
        <v>99999</v>
      </c>
      <c r="P1394" s="148">
        <f>IFERROR(__xludf.DUMMYFUNCTION("""COMPUTED_VALUE"""),10.0)</f>
        <v>10</v>
      </c>
      <c r="Q1394" s="148" t="str">
        <f>IFERROR(__xludf.DUMMYFUNCTION("""COMPUTED_VALUE"""),"[""bag_other""]")</f>
        <v>["bag_other"]</v>
      </c>
      <c r="R1394" s="148" t="str">
        <f>IFERROR(__xludf.DUMMYFUNCTION("""COMPUTED_VALUE"""),"[]")</f>
        <v>[]</v>
      </c>
      <c r="S1394" s="148" t="str">
        <f>IFERROR(__xludf.DUMMYFUNCTION("""COMPUTED_VALUE"""),"{}")</f>
        <v>{}</v>
      </c>
      <c r="T1394" s="148">
        <f>IFERROR(__xludf.DUMMYFUNCTION("""COMPUTED_VALUE"""),-1.0)</f>
        <v>-1</v>
      </c>
      <c r="U1394" s="148">
        <f>IFERROR(__xludf.DUMMYFUNCTION("""COMPUTED_VALUE"""),0.0)</f>
        <v>0</v>
      </c>
      <c r="V1394" s="148" t="str">
        <f>IFERROR(__xludf.DUMMYFUNCTION("""COMPUTED_VALUE"""),"[]")</f>
        <v>[]</v>
      </c>
      <c r="W1394" s="148">
        <f>IFERROR(__xludf.DUMMYFUNCTION("""COMPUTED_VALUE"""),1.174E7)</f>
        <v>11740000</v>
      </c>
      <c r="X1394" s="148">
        <f>IFERROR(__xludf.DUMMYFUNCTION("""COMPUTED_VALUE"""),0.0)</f>
        <v>0</v>
      </c>
      <c r="Y1394" s="148">
        <f>IFERROR(__xludf.DUMMYFUNCTION("""COMPUTED_VALUE"""),0.0)</f>
        <v>0</v>
      </c>
      <c r="Z1394" s="148"/>
    </row>
    <row r="1395">
      <c r="A1395" s="148">
        <f>IFERROR(__xludf.DUMMYFUNCTION("""COMPUTED_VALUE"""),1.1117033E7)</f>
        <v>11117033</v>
      </c>
      <c r="B1395" s="148" t="str">
        <f>IFERROR(__xludf.DUMMYFUNCTION("""COMPUTED_VALUE"""),"夹心巧克力")</f>
        <v>夹心巧克力</v>
      </c>
      <c r="C1395" s="148"/>
      <c r="D1395" s="148" t="str">
        <f>IFERROR(__xludf.DUMMYFUNCTION("""COMPUTED_VALUE"""),"battle_pass_exp")</f>
        <v>battle_pass_exp</v>
      </c>
      <c r="E1395" s="148">
        <f>IFERROR(__xludf.DUMMYFUNCTION("""COMPUTED_VALUE"""),0.0)</f>
        <v>0</v>
      </c>
      <c r="F1395" s="148">
        <f>IFERROR(__xludf.DUMMYFUNCTION("""COMPUTED_VALUE"""),405217.0)</f>
        <v>405217</v>
      </c>
      <c r="G1395" s="148">
        <f>IFERROR(__xludf.DUMMYFUNCTION("""COMPUTED_VALUE"""),1.5113625E7)</f>
        <v>15113625</v>
      </c>
      <c r="H1395" s="148">
        <f>IFERROR(__xludf.DUMMYFUNCTION("""COMPUTED_VALUE"""),1.5112563E7)</f>
        <v>15112563</v>
      </c>
      <c r="I1395" s="148" t="str">
        <f>IFERROR(__xludf.DUMMYFUNCTION("""COMPUTED_VALUE"""),"{}")</f>
        <v>{}</v>
      </c>
      <c r="J1395" s="148" t="str">
        <f>IFERROR(__xludf.DUMMYFUNCTION("""COMPUTED_VALUE"""),"{""typ"":""lc"",""txt"":""LC_ITEM_filled_chocolate_name""}")</f>
        <v>{"typ":"lc","txt":"LC_ITEM_filled_chocolate_name"}</v>
      </c>
      <c r="K1395" s="148" t="str">
        <f>IFERROR(__xludf.DUMMYFUNCTION("""COMPUTED_VALUE"""),"{""typ"":""lc"",""txt"":""LC_ITEM_filled_chocolate_desc""}")</f>
        <v>{"typ":"lc","txt":"LC_ITEM_filled_chocolate_desc"}</v>
      </c>
      <c r="L1395" s="148" t="str">
        <f>IFERROR(__xludf.DUMMYFUNCTION("""COMPUTED_VALUE"""),"{}")</f>
        <v>{}</v>
      </c>
      <c r="M1395" s="148">
        <f>IFERROR(__xludf.DUMMYFUNCTION("""COMPUTED_VALUE"""),35.0)</f>
        <v>35</v>
      </c>
      <c r="N1395" s="148">
        <f>IFERROR(__xludf.DUMMYFUNCTION("""COMPUTED_VALUE"""),999999.0)</f>
        <v>999999</v>
      </c>
      <c r="O1395" s="148">
        <f>IFERROR(__xludf.DUMMYFUNCTION("""COMPUTED_VALUE"""),99999.0)</f>
        <v>99999</v>
      </c>
      <c r="P1395" s="148">
        <f>IFERROR(__xludf.DUMMYFUNCTION("""COMPUTED_VALUE"""),99999.0)</f>
        <v>99999</v>
      </c>
      <c r="Q1395" s="148" t="str">
        <f>IFERROR(__xludf.DUMMYFUNCTION("""COMPUTED_VALUE"""),"[""bag_other""]")</f>
        <v>["bag_other"]</v>
      </c>
      <c r="R1395" s="148" t="str">
        <f>IFERROR(__xludf.DUMMYFUNCTION("""COMPUTED_VALUE"""),"[""bag""]")</f>
        <v>["bag"]</v>
      </c>
      <c r="S1395" s="148" t="str">
        <f>IFERROR(__xludf.DUMMYFUNCTION("""COMPUTED_VALUE"""),"{}")</f>
        <v>{}</v>
      </c>
      <c r="T1395" s="148">
        <f>IFERROR(__xludf.DUMMYFUNCTION("""COMPUTED_VALUE"""),-1.0)</f>
        <v>-1</v>
      </c>
      <c r="U1395" s="148">
        <f>IFERROR(__xludf.DUMMYFUNCTION("""COMPUTED_VALUE"""),0.0)</f>
        <v>0</v>
      </c>
      <c r="V1395" s="148" t="str">
        <f>IFERROR(__xludf.DUMMYFUNCTION("""COMPUTED_VALUE"""),"[]")</f>
        <v>[]</v>
      </c>
      <c r="W1395" s="148">
        <f>IFERROR(__xludf.DUMMYFUNCTION("""COMPUTED_VALUE"""),1.174E7)</f>
        <v>11740000</v>
      </c>
      <c r="X1395" s="148">
        <f>IFERROR(__xludf.DUMMYFUNCTION("""COMPUTED_VALUE"""),0.0)</f>
        <v>0</v>
      </c>
      <c r="Y1395" s="148">
        <f>IFERROR(__xludf.DUMMYFUNCTION("""COMPUTED_VALUE"""),0.0)</f>
        <v>0</v>
      </c>
      <c r="Z1395" s="148"/>
    </row>
    <row r="1396">
      <c r="A1396" s="148">
        <f>IFERROR(__xludf.DUMMYFUNCTION("""COMPUTED_VALUE"""),1.1117034E7)</f>
        <v>11117034</v>
      </c>
      <c r="B1396" s="148" t="str">
        <f>IFERROR(__xludf.DUMMYFUNCTION("""COMPUTED_VALUE"""),"情人节BattlePass-初级通行证")</f>
        <v>情人节BattlePass-初级通行证</v>
      </c>
      <c r="C1396" s="148"/>
      <c r="D1396" s="148" t="str">
        <f>IFERROR(__xludf.DUMMYFUNCTION("""COMPUTED_VALUE"""),"battle_pass_card")</f>
        <v>battle_pass_card</v>
      </c>
      <c r="E1396" s="148">
        <f>IFERROR(__xludf.DUMMYFUNCTION("""COMPUTED_VALUE"""),0.0)</f>
        <v>0</v>
      </c>
      <c r="F1396" s="148">
        <f>IFERROR(__xludf.DUMMYFUNCTION("""COMPUTED_VALUE"""),0.0)</f>
        <v>0</v>
      </c>
      <c r="G1396" s="148">
        <f>IFERROR(__xludf.DUMMYFUNCTION("""COMPUTED_VALUE"""),1.5113625E7)</f>
        <v>15113625</v>
      </c>
      <c r="H1396" s="148">
        <f>IFERROR(__xludf.DUMMYFUNCTION("""COMPUTED_VALUE"""),1.5112563E7)</f>
        <v>15112563</v>
      </c>
      <c r="I1396" s="148" t="str">
        <f>IFERROR(__xludf.DUMMYFUNCTION("""COMPUTED_VALUE"""),"{}")</f>
        <v>{}</v>
      </c>
      <c r="J1396" s="148" t="str">
        <f>IFERROR(__xludf.DUMMYFUNCTION("""COMPUTED_VALUE"""),"{""typ"":""lc"",""txt"":""LC_ITEM_battlepass_exp_name""}")</f>
        <v>{"typ":"lc","txt":"LC_ITEM_battlepass_exp_name"}</v>
      </c>
      <c r="K1396" s="148" t="str">
        <f>IFERROR(__xludf.DUMMYFUNCTION("""COMPUTED_VALUE"""),"{}")</f>
        <v>{}</v>
      </c>
      <c r="L1396" s="148" t="str">
        <f>IFERROR(__xludf.DUMMYFUNCTION("""COMPUTED_VALUE"""),"{}")</f>
        <v>{}</v>
      </c>
      <c r="M1396" s="148">
        <f>IFERROR(__xludf.DUMMYFUNCTION("""COMPUTED_VALUE"""),10.0)</f>
        <v>10</v>
      </c>
      <c r="N1396" s="148">
        <f>IFERROR(__xludf.DUMMYFUNCTION("""COMPUTED_VALUE"""),999999.0)</f>
        <v>999999</v>
      </c>
      <c r="O1396" s="148">
        <f>IFERROR(__xludf.DUMMYFUNCTION("""COMPUTED_VALUE"""),99999.0)</f>
        <v>99999</v>
      </c>
      <c r="P1396" s="148">
        <f>IFERROR(__xludf.DUMMYFUNCTION("""COMPUTED_VALUE"""),9999.0)</f>
        <v>9999</v>
      </c>
      <c r="Q1396" s="148" t="str">
        <f>IFERROR(__xludf.DUMMYFUNCTION("""COMPUTED_VALUE"""),"[]")</f>
        <v>[]</v>
      </c>
      <c r="R1396" s="148" t="str">
        <f>IFERROR(__xludf.DUMMYFUNCTION("""COMPUTED_VALUE"""),"[]")</f>
        <v>[]</v>
      </c>
      <c r="S1396" s="148" t="str">
        <f>IFERROR(__xludf.DUMMYFUNCTION("""COMPUTED_VALUE"""),"{}")</f>
        <v>{}</v>
      </c>
      <c r="T1396" s="148">
        <f>IFERROR(__xludf.DUMMYFUNCTION("""COMPUTED_VALUE"""),-1.0)</f>
        <v>-1</v>
      </c>
      <c r="U1396" s="148">
        <f>IFERROR(__xludf.DUMMYFUNCTION("""COMPUTED_VALUE"""),1.0)</f>
        <v>1</v>
      </c>
      <c r="V1396" s="148" t="str">
        <f>IFERROR(__xludf.DUMMYFUNCTION("""COMPUTED_VALUE"""),"[]")</f>
        <v>[]</v>
      </c>
      <c r="W1396" s="148">
        <f>IFERROR(__xludf.DUMMYFUNCTION("""COMPUTED_VALUE"""),1.174E7)</f>
        <v>11740000</v>
      </c>
      <c r="X1396" s="148">
        <f>IFERROR(__xludf.DUMMYFUNCTION("""COMPUTED_VALUE"""),0.0)</f>
        <v>0</v>
      </c>
      <c r="Y1396" s="148">
        <f>IFERROR(__xludf.DUMMYFUNCTION("""COMPUTED_VALUE"""),0.0)</f>
        <v>0</v>
      </c>
      <c r="Z1396" s="148"/>
    </row>
    <row r="1397">
      <c r="A1397" s="148">
        <f>IFERROR(__xludf.DUMMYFUNCTION("""COMPUTED_VALUE"""),1.1117035E7)</f>
        <v>11117035</v>
      </c>
      <c r="B1397" s="148" t="str">
        <f>IFERROR(__xludf.DUMMYFUNCTION("""COMPUTED_VALUE"""),"情人节BattlePass-高级通行证")</f>
        <v>情人节BattlePass-高级通行证</v>
      </c>
      <c r="C1397" s="148"/>
      <c r="D1397" s="148" t="str">
        <f>IFERROR(__xludf.DUMMYFUNCTION("""COMPUTED_VALUE"""),"battle_pass_card")</f>
        <v>battle_pass_card</v>
      </c>
      <c r="E1397" s="148">
        <f>IFERROR(__xludf.DUMMYFUNCTION("""COMPUTED_VALUE"""),0.0)</f>
        <v>0</v>
      </c>
      <c r="F1397" s="148">
        <f>IFERROR(__xludf.DUMMYFUNCTION("""COMPUTED_VALUE"""),0.0)</f>
        <v>0</v>
      </c>
      <c r="G1397" s="148">
        <f>IFERROR(__xludf.DUMMYFUNCTION("""COMPUTED_VALUE"""),1.5113625E7)</f>
        <v>15113625</v>
      </c>
      <c r="H1397" s="148">
        <f>IFERROR(__xludf.DUMMYFUNCTION("""COMPUTED_VALUE"""),1.5112563E7)</f>
        <v>15112563</v>
      </c>
      <c r="I1397" s="148" t="str">
        <f>IFERROR(__xludf.DUMMYFUNCTION("""COMPUTED_VALUE"""),"{}")</f>
        <v>{}</v>
      </c>
      <c r="J1397" s="148" t="str">
        <f>IFERROR(__xludf.DUMMYFUNCTION("""COMPUTED_VALUE"""),"{""typ"":""lc"",""txt"":""LC_ITEM_battlepass_exp_name""}")</f>
        <v>{"typ":"lc","txt":"LC_ITEM_battlepass_exp_name"}</v>
      </c>
      <c r="K1397" s="148" t="str">
        <f>IFERROR(__xludf.DUMMYFUNCTION("""COMPUTED_VALUE"""),"{}")</f>
        <v>{}</v>
      </c>
      <c r="L1397" s="148" t="str">
        <f>IFERROR(__xludf.DUMMYFUNCTION("""COMPUTED_VALUE"""),"{}")</f>
        <v>{}</v>
      </c>
      <c r="M1397" s="148">
        <f>IFERROR(__xludf.DUMMYFUNCTION("""COMPUTED_VALUE"""),10.0)</f>
        <v>10</v>
      </c>
      <c r="N1397" s="148">
        <f>IFERROR(__xludf.DUMMYFUNCTION("""COMPUTED_VALUE"""),999999.0)</f>
        <v>999999</v>
      </c>
      <c r="O1397" s="148">
        <f>IFERROR(__xludf.DUMMYFUNCTION("""COMPUTED_VALUE"""),99999.0)</f>
        <v>99999</v>
      </c>
      <c r="P1397" s="148">
        <f>IFERROR(__xludf.DUMMYFUNCTION("""COMPUTED_VALUE"""),9999.0)</f>
        <v>9999</v>
      </c>
      <c r="Q1397" s="148" t="str">
        <f>IFERROR(__xludf.DUMMYFUNCTION("""COMPUTED_VALUE"""),"[]")</f>
        <v>[]</v>
      </c>
      <c r="R1397" s="148" t="str">
        <f>IFERROR(__xludf.DUMMYFUNCTION("""COMPUTED_VALUE"""),"[]")</f>
        <v>[]</v>
      </c>
      <c r="S1397" s="148" t="str">
        <f>IFERROR(__xludf.DUMMYFUNCTION("""COMPUTED_VALUE"""),"{}")</f>
        <v>{}</v>
      </c>
      <c r="T1397" s="148">
        <f>IFERROR(__xludf.DUMMYFUNCTION("""COMPUTED_VALUE"""),-1.0)</f>
        <v>-1</v>
      </c>
      <c r="U1397" s="148">
        <f>IFERROR(__xludf.DUMMYFUNCTION("""COMPUTED_VALUE"""),1.0)</f>
        <v>1</v>
      </c>
      <c r="V1397" s="148" t="str">
        <f>IFERROR(__xludf.DUMMYFUNCTION("""COMPUTED_VALUE"""),"[]")</f>
        <v>[]</v>
      </c>
      <c r="W1397" s="148">
        <f>IFERROR(__xludf.DUMMYFUNCTION("""COMPUTED_VALUE"""),1.174E7)</f>
        <v>11740000</v>
      </c>
      <c r="X1397" s="148">
        <f>IFERROR(__xludf.DUMMYFUNCTION("""COMPUTED_VALUE"""),0.0)</f>
        <v>0</v>
      </c>
      <c r="Y1397" s="148">
        <f>IFERROR(__xludf.DUMMYFUNCTION("""COMPUTED_VALUE"""),0.0)</f>
        <v>0</v>
      </c>
      <c r="Z1397" s="148"/>
    </row>
    <row r="1398">
      <c r="A1398" s="148">
        <f>IFERROR(__xludf.DUMMYFUNCTION("""COMPUTED_VALUE"""),1.1117036E7)</f>
        <v>11117036</v>
      </c>
      <c r="B1398" s="148" t="str">
        <f>IFERROR(__xludf.DUMMYFUNCTION("""COMPUTED_VALUE"""),"百合花")</f>
        <v>百合花</v>
      </c>
      <c r="C1398" s="148"/>
      <c r="D1398" s="148" t="str">
        <f>IFERROR(__xludf.DUMMYFUNCTION("""COMPUTED_VALUE"""),"battle_pass_exp")</f>
        <v>battle_pass_exp</v>
      </c>
      <c r="E1398" s="148">
        <f>IFERROR(__xludf.DUMMYFUNCTION("""COMPUTED_VALUE"""),0.0)</f>
        <v>0</v>
      </c>
      <c r="F1398" s="148">
        <f>IFERROR(__xludf.DUMMYFUNCTION("""COMPUTED_VALUE"""),405218.0)</f>
        <v>405218</v>
      </c>
      <c r="G1398" s="148">
        <f>IFERROR(__xludf.DUMMYFUNCTION("""COMPUTED_VALUE"""),1.5113732E7)</f>
        <v>15113732</v>
      </c>
      <c r="H1398" s="148">
        <f>IFERROR(__xludf.DUMMYFUNCTION("""COMPUTED_VALUE"""),1.5112563E7)</f>
        <v>15112563</v>
      </c>
      <c r="I1398" s="148" t="str">
        <f>IFERROR(__xludf.DUMMYFUNCTION("""COMPUTED_VALUE"""),"{}")</f>
        <v>{}</v>
      </c>
      <c r="J1398" s="148" t="str">
        <f>IFERROR(__xludf.DUMMYFUNCTION("""COMPUTED_VALUE"""),"{""typ"":""lc"",""txt"":""LC_ITEM_easter_lily_name""}")</f>
        <v>{"typ":"lc","txt":"LC_ITEM_easter_lily_name"}</v>
      </c>
      <c r="K1398" s="148" t="str">
        <f>IFERROR(__xludf.DUMMYFUNCTION("""COMPUTED_VALUE"""),"{""typ"":""lc"",""txt"":""LC_ITEM_easter_lily_desc""}")</f>
        <v>{"typ":"lc","txt":"LC_ITEM_easter_lily_desc"}</v>
      </c>
      <c r="L1398" s="148" t="str">
        <f>IFERROR(__xludf.DUMMYFUNCTION("""COMPUTED_VALUE"""),"{}")</f>
        <v>{}</v>
      </c>
      <c r="M1398" s="148">
        <f>IFERROR(__xludf.DUMMYFUNCTION("""COMPUTED_VALUE"""),35.0)</f>
        <v>35</v>
      </c>
      <c r="N1398" s="148">
        <f>IFERROR(__xludf.DUMMYFUNCTION("""COMPUTED_VALUE"""),999999.0)</f>
        <v>999999</v>
      </c>
      <c r="O1398" s="148">
        <f>IFERROR(__xludf.DUMMYFUNCTION("""COMPUTED_VALUE"""),99999.0)</f>
        <v>99999</v>
      </c>
      <c r="P1398" s="148">
        <f>IFERROR(__xludf.DUMMYFUNCTION("""COMPUTED_VALUE"""),99999.0)</f>
        <v>99999</v>
      </c>
      <c r="Q1398" s="148" t="str">
        <f>IFERROR(__xludf.DUMMYFUNCTION("""COMPUTED_VALUE"""),"[""bag_other""]")</f>
        <v>["bag_other"]</v>
      </c>
      <c r="R1398" s="148" t="str">
        <f>IFERROR(__xludf.DUMMYFUNCTION("""COMPUTED_VALUE"""),"[""bag""]")</f>
        <v>["bag"]</v>
      </c>
      <c r="S1398" s="148" t="str">
        <f>IFERROR(__xludf.DUMMYFUNCTION("""COMPUTED_VALUE"""),"{}")</f>
        <v>{}</v>
      </c>
      <c r="T1398" s="148">
        <f>IFERROR(__xludf.DUMMYFUNCTION("""COMPUTED_VALUE"""),-1.0)</f>
        <v>-1</v>
      </c>
      <c r="U1398" s="148">
        <f>IFERROR(__xludf.DUMMYFUNCTION("""COMPUTED_VALUE"""),0.0)</f>
        <v>0</v>
      </c>
      <c r="V1398" s="148" t="str">
        <f>IFERROR(__xludf.DUMMYFUNCTION("""COMPUTED_VALUE"""),"[]")</f>
        <v>[]</v>
      </c>
      <c r="W1398" s="148">
        <f>IFERROR(__xludf.DUMMYFUNCTION("""COMPUTED_VALUE"""),1.174E7)</f>
        <v>11740000</v>
      </c>
      <c r="X1398" s="148">
        <f>IFERROR(__xludf.DUMMYFUNCTION("""COMPUTED_VALUE"""),0.0)</f>
        <v>0</v>
      </c>
      <c r="Y1398" s="148">
        <f>IFERROR(__xludf.DUMMYFUNCTION("""COMPUTED_VALUE"""),0.0)</f>
        <v>0</v>
      </c>
      <c r="Z1398" s="148"/>
    </row>
    <row r="1399">
      <c r="A1399" s="148">
        <f>IFERROR(__xludf.DUMMYFUNCTION("""COMPUTED_VALUE"""),1.1117037E7)</f>
        <v>11117037</v>
      </c>
      <c r="B1399" s="148" t="str">
        <f>IFERROR(__xludf.DUMMYFUNCTION("""COMPUTED_VALUE"""),"复活节BattlePass-初级通行证")</f>
        <v>复活节BattlePass-初级通行证</v>
      </c>
      <c r="C1399" s="148"/>
      <c r="D1399" s="148" t="str">
        <f>IFERROR(__xludf.DUMMYFUNCTION("""COMPUTED_VALUE"""),"battle_pass_card")</f>
        <v>battle_pass_card</v>
      </c>
      <c r="E1399" s="148">
        <f>IFERROR(__xludf.DUMMYFUNCTION("""COMPUTED_VALUE"""),0.0)</f>
        <v>0</v>
      </c>
      <c r="F1399" s="148">
        <f>IFERROR(__xludf.DUMMYFUNCTION("""COMPUTED_VALUE"""),0.0)</f>
        <v>0</v>
      </c>
      <c r="G1399" s="148">
        <f>IFERROR(__xludf.DUMMYFUNCTION("""COMPUTED_VALUE"""),1.5113732E7)</f>
        <v>15113732</v>
      </c>
      <c r="H1399" s="148">
        <f>IFERROR(__xludf.DUMMYFUNCTION("""COMPUTED_VALUE"""),1.5112563E7)</f>
        <v>15112563</v>
      </c>
      <c r="I1399" s="148" t="str">
        <f>IFERROR(__xludf.DUMMYFUNCTION("""COMPUTED_VALUE"""),"{}")</f>
        <v>{}</v>
      </c>
      <c r="J1399" s="148" t="str">
        <f>IFERROR(__xludf.DUMMYFUNCTION("""COMPUTED_VALUE"""),"{""typ"":""lc"",""txt"":""LC_ITEM_battlepass_exp_name""}")</f>
        <v>{"typ":"lc","txt":"LC_ITEM_battlepass_exp_name"}</v>
      </c>
      <c r="K1399" s="148" t="str">
        <f>IFERROR(__xludf.DUMMYFUNCTION("""COMPUTED_VALUE"""),"{}")</f>
        <v>{}</v>
      </c>
      <c r="L1399" s="148" t="str">
        <f>IFERROR(__xludf.DUMMYFUNCTION("""COMPUTED_VALUE"""),"{}")</f>
        <v>{}</v>
      </c>
      <c r="M1399" s="148">
        <f>IFERROR(__xludf.DUMMYFUNCTION("""COMPUTED_VALUE"""),10.0)</f>
        <v>10</v>
      </c>
      <c r="N1399" s="148">
        <f>IFERROR(__xludf.DUMMYFUNCTION("""COMPUTED_VALUE"""),999999.0)</f>
        <v>999999</v>
      </c>
      <c r="O1399" s="148">
        <f>IFERROR(__xludf.DUMMYFUNCTION("""COMPUTED_VALUE"""),99999.0)</f>
        <v>99999</v>
      </c>
      <c r="P1399" s="148">
        <f>IFERROR(__xludf.DUMMYFUNCTION("""COMPUTED_VALUE"""),9999.0)</f>
        <v>9999</v>
      </c>
      <c r="Q1399" s="148" t="str">
        <f>IFERROR(__xludf.DUMMYFUNCTION("""COMPUTED_VALUE"""),"[]")</f>
        <v>[]</v>
      </c>
      <c r="R1399" s="148" t="str">
        <f>IFERROR(__xludf.DUMMYFUNCTION("""COMPUTED_VALUE"""),"[]")</f>
        <v>[]</v>
      </c>
      <c r="S1399" s="148" t="str">
        <f>IFERROR(__xludf.DUMMYFUNCTION("""COMPUTED_VALUE"""),"{}")</f>
        <v>{}</v>
      </c>
      <c r="T1399" s="148">
        <f>IFERROR(__xludf.DUMMYFUNCTION("""COMPUTED_VALUE"""),-1.0)</f>
        <v>-1</v>
      </c>
      <c r="U1399" s="148">
        <f>IFERROR(__xludf.DUMMYFUNCTION("""COMPUTED_VALUE"""),1.0)</f>
        <v>1</v>
      </c>
      <c r="V1399" s="148" t="str">
        <f>IFERROR(__xludf.DUMMYFUNCTION("""COMPUTED_VALUE"""),"[]")</f>
        <v>[]</v>
      </c>
      <c r="W1399" s="148">
        <f>IFERROR(__xludf.DUMMYFUNCTION("""COMPUTED_VALUE"""),1.174E7)</f>
        <v>11740000</v>
      </c>
      <c r="X1399" s="148">
        <f>IFERROR(__xludf.DUMMYFUNCTION("""COMPUTED_VALUE"""),0.0)</f>
        <v>0</v>
      </c>
      <c r="Y1399" s="148">
        <f>IFERROR(__xludf.DUMMYFUNCTION("""COMPUTED_VALUE"""),0.0)</f>
        <v>0</v>
      </c>
      <c r="Z1399" s="148"/>
    </row>
    <row r="1400">
      <c r="A1400" s="148">
        <f>IFERROR(__xludf.DUMMYFUNCTION("""COMPUTED_VALUE"""),1.1117038E7)</f>
        <v>11117038</v>
      </c>
      <c r="B1400" s="148" t="str">
        <f>IFERROR(__xludf.DUMMYFUNCTION("""COMPUTED_VALUE"""),"复活节BattlePass-高级通行证")</f>
        <v>复活节BattlePass-高级通行证</v>
      </c>
      <c r="C1400" s="148"/>
      <c r="D1400" s="148" t="str">
        <f>IFERROR(__xludf.DUMMYFUNCTION("""COMPUTED_VALUE"""),"battle_pass_card")</f>
        <v>battle_pass_card</v>
      </c>
      <c r="E1400" s="148">
        <f>IFERROR(__xludf.DUMMYFUNCTION("""COMPUTED_VALUE"""),0.0)</f>
        <v>0</v>
      </c>
      <c r="F1400" s="148">
        <f>IFERROR(__xludf.DUMMYFUNCTION("""COMPUTED_VALUE"""),0.0)</f>
        <v>0</v>
      </c>
      <c r="G1400" s="148">
        <f>IFERROR(__xludf.DUMMYFUNCTION("""COMPUTED_VALUE"""),1.5113732E7)</f>
        <v>15113732</v>
      </c>
      <c r="H1400" s="148">
        <f>IFERROR(__xludf.DUMMYFUNCTION("""COMPUTED_VALUE"""),1.5112563E7)</f>
        <v>15112563</v>
      </c>
      <c r="I1400" s="148" t="str">
        <f>IFERROR(__xludf.DUMMYFUNCTION("""COMPUTED_VALUE"""),"{}")</f>
        <v>{}</v>
      </c>
      <c r="J1400" s="148" t="str">
        <f>IFERROR(__xludf.DUMMYFUNCTION("""COMPUTED_VALUE"""),"{""typ"":""lc"",""txt"":""LC_ITEM_battlepass_exp_name""}")</f>
        <v>{"typ":"lc","txt":"LC_ITEM_battlepass_exp_name"}</v>
      </c>
      <c r="K1400" s="148" t="str">
        <f>IFERROR(__xludf.DUMMYFUNCTION("""COMPUTED_VALUE"""),"{}")</f>
        <v>{}</v>
      </c>
      <c r="L1400" s="148" t="str">
        <f>IFERROR(__xludf.DUMMYFUNCTION("""COMPUTED_VALUE"""),"{}")</f>
        <v>{}</v>
      </c>
      <c r="M1400" s="148">
        <f>IFERROR(__xludf.DUMMYFUNCTION("""COMPUTED_VALUE"""),10.0)</f>
        <v>10</v>
      </c>
      <c r="N1400" s="148">
        <f>IFERROR(__xludf.DUMMYFUNCTION("""COMPUTED_VALUE"""),999999.0)</f>
        <v>999999</v>
      </c>
      <c r="O1400" s="148">
        <f>IFERROR(__xludf.DUMMYFUNCTION("""COMPUTED_VALUE"""),99999.0)</f>
        <v>99999</v>
      </c>
      <c r="P1400" s="148">
        <f>IFERROR(__xludf.DUMMYFUNCTION("""COMPUTED_VALUE"""),9999.0)</f>
        <v>9999</v>
      </c>
      <c r="Q1400" s="148" t="str">
        <f>IFERROR(__xludf.DUMMYFUNCTION("""COMPUTED_VALUE"""),"[]")</f>
        <v>[]</v>
      </c>
      <c r="R1400" s="148" t="str">
        <f>IFERROR(__xludf.DUMMYFUNCTION("""COMPUTED_VALUE"""),"[]")</f>
        <v>[]</v>
      </c>
      <c r="S1400" s="148" t="str">
        <f>IFERROR(__xludf.DUMMYFUNCTION("""COMPUTED_VALUE"""),"{}")</f>
        <v>{}</v>
      </c>
      <c r="T1400" s="148">
        <f>IFERROR(__xludf.DUMMYFUNCTION("""COMPUTED_VALUE"""),-1.0)</f>
        <v>-1</v>
      </c>
      <c r="U1400" s="148">
        <f>IFERROR(__xludf.DUMMYFUNCTION("""COMPUTED_VALUE"""),1.0)</f>
        <v>1</v>
      </c>
      <c r="V1400" s="148" t="str">
        <f>IFERROR(__xludf.DUMMYFUNCTION("""COMPUTED_VALUE"""),"[]")</f>
        <v>[]</v>
      </c>
      <c r="W1400" s="148">
        <f>IFERROR(__xludf.DUMMYFUNCTION("""COMPUTED_VALUE"""),1.174E7)</f>
        <v>11740000</v>
      </c>
      <c r="X1400" s="148">
        <f>IFERROR(__xludf.DUMMYFUNCTION("""COMPUTED_VALUE"""),0.0)</f>
        <v>0</v>
      </c>
      <c r="Y1400" s="148">
        <f>IFERROR(__xludf.DUMMYFUNCTION("""COMPUTED_VALUE"""),0.0)</f>
        <v>0</v>
      </c>
      <c r="Z1400" s="148"/>
    </row>
    <row r="1401">
      <c r="A1401" s="148">
        <f>IFERROR(__xludf.DUMMYFUNCTION("""COMPUTED_VALUE"""),1.1117039E7)</f>
        <v>11117039</v>
      </c>
      <c r="B1401" s="148" t="str">
        <f>IFERROR(__xludf.DUMMYFUNCTION("""COMPUTED_VALUE"""),"英雄验证活动-伤害掉落宝箱")</f>
        <v>英雄验证活动-伤害掉落宝箱</v>
      </c>
      <c r="C1401" s="148"/>
      <c r="D1401" s="148" t="str">
        <f>IFERROR(__xludf.DUMMYFUNCTION("""COMPUTED_VALUE"""),"item_asset")</f>
        <v>item_asset</v>
      </c>
      <c r="E1401" s="148">
        <f>IFERROR(__xludf.DUMMYFUNCTION("""COMPUTED_VALUE"""),19.0)</f>
        <v>19</v>
      </c>
      <c r="F1401" s="148">
        <f>IFERROR(__xludf.DUMMYFUNCTION("""COMPUTED_VALUE"""),403299.0)</f>
        <v>403299</v>
      </c>
      <c r="G1401" s="148">
        <f>IFERROR(__xludf.DUMMYFUNCTION("""COMPUTED_VALUE"""),1.5113765E7)</f>
        <v>15113765</v>
      </c>
      <c r="H1401" s="148">
        <f>IFERROR(__xludf.DUMMYFUNCTION("""COMPUTED_VALUE"""),1.5112563E7)</f>
        <v>15112563</v>
      </c>
      <c r="I1401" s="148" t="str">
        <f>IFERROR(__xludf.DUMMYFUNCTION("""COMPUTED_VALUE"""),"{}")</f>
        <v>{}</v>
      </c>
      <c r="J1401" s="148" t="str">
        <f>IFERROR(__xludf.DUMMYFUNCTION("""COMPUTED_VALUE"""),"{""typ"":""lc"",""txt"":""LC_ITEM_maximus_chest_name""}")</f>
        <v>{"typ":"lc","txt":"LC_ITEM_maximus_chest_name"}</v>
      </c>
      <c r="K1401" s="148" t="str">
        <f>IFERROR(__xludf.DUMMYFUNCTION("""COMPUTED_VALUE"""),"{""typ"":""lc"",""txt"":""LC_ITEM_maximus_chest_desc""}")</f>
        <v>{"typ":"lc","txt":"LC_ITEM_maximus_chest_desc"}</v>
      </c>
      <c r="L1401" s="148" t="str">
        <f>IFERROR(__xludf.DUMMYFUNCTION("""COMPUTED_VALUE"""),"{}")</f>
        <v>{}</v>
      </c>
      <c r="M1401" s="148">
        <f>IFERROR(__xludf.DUMMYFUNCTION("""COMPUTED_VALUE"""),1.0)</f>
        <v>1</v>
      </c>
      <c r="N1401" s="148">
        <f>IFERROR(__xludf.DUMMYFUNCTION("""COMPUTED_VALUE"""),999999.0)</f>
        <v>999999</v>
      </c>
      <c r="O1401" s="148">
        <f>IFERROR(__xludf.DUMMYFUNCTION("""COMPUTED_VALUE"""),99999.0)</f>
        <v>99999</v>
      </c>
      <c r="P1401" s="148">
        <f>IFERROR(__xludf.DUMMYFUNCTION("""COMPUTED_VALUE"""),9999.0)</f>
        <v>9999</v>
      </c>
      <c r="Q1401" s="148" t="str">
        <f>IFERROR(__xludf.DUMMYFUNCTION("""COMPUTED_VALUE"""),"[""bag_other""]")</f>
        <v>["bag_other"]</v>
      </c>
      <c r="R1401" s="148" t="str">
        <f>IFERROR(__xludf.DUMMYFUNCTION("""COMPUTED_VALUE"""),"[]")</f>
        <v>[]</v>
      </c>
      <c r="S1401" s="148" t="str">
        <f>IFERROR(__xludf.DUMMYFUNCTION("""COMPUTED_VALUE"""),"{""drop"":{""typ"":""single_random"",""num"":1,""args"":[{""typ"":""item"",""id"":11116402,""num"":1,""wgt"":10},{""typ"":""item"",""id"":11116110,""num"":1,""wgt"":10},{""typ"":""item"",""id"":11116107,""num"":1,""wgt"":60},{""typ"":""item"",""id"":11116"&amp;"004,""num"":1,""wgt"":120},{""typ"":""item"",""id"":11114329,""num"":3,""wgt"":100},{""typ"":""item"",""id"":11111154,""num"":1,""wgt"":100}]}}")</f>
        <v>{"drop":{"typ":"single_random","num":1,"args":[{"typ":"item","id":11116402,"num":1,"wgt":10},{"typ":"item","id":11116110,"num":1,"wgt":10},{"typ":"item","id":11116107,"num":1,"wgt":60},{"typ":"item","id":11116004,"num":1,"wgt":120},{"typ":"item","id":11114329,"num":3,"wgt":100},{"typ":"item","id":11111154,"num":1,"wgt":100}]}}</v>
      </c>
      <c r="T1401" s="148">
        <f>IFERROR(__xludf.DUMMYFUNCTION("""COMPUTED_VALUE"""),-1.0)</f>
        <v>-1</v>
      </c>
      <c r="U1401" s="148">
        <f>IFERROR(__xludf.DUMMYFUNCTION("""COMPUTED_VALUE"""),1.0)</f>
        <v>1</v>
      </c>
      <c r="V1401" s="148" t="str">
        <f>IFERROR(__xludf.DUMMYFUNCTION("""COMPUTED_VALUE"""),"[]")</f>
        <v>[]</v>
      </c>
      <c r="W1401" s="148">
        <f>IFERROR(__xludf.DUMMYFUNCTION("""COMPUTED_VALUE"""),1.174E7)</f>
        <v>11740000</v>
      </c>
      <c r="X1401" s="148">
        <f>IFERROR(__xludf.DUMMYFUNCTION("""COMPUTED_VALUE"""),0.0)</f>
        <v>0</v>
      </c>
      <c r="Y1401" s="148">
        <f>IFERROR(__xludf.DUMMYFUNCTION("""COMPUTED_VALUE"""),0.0)</f>
        <v>0</v>
      </c>
      <c r="Z1401" s="148"/>
    </row>
    <row r="1402">
      <c r="A1402" s="148">
        <f>IFERROR(__xludf.DUMMYFUNCTION("""COMPUTED_VALUE"""),1.111704E7)</f>
        <v>11117040</v>
      </c>
      <c r="B1402" s="148" t="str">
        <f>IFERROR(__xludf.DUMMYFUNCTION("""COMPUTED_VALUE"""),"帮派运动会-增加次数道具")</f>
        <v>帮派运动会-增加次数道具</v>
      </c>
      <c r="C1402" s="148"/>
      <c r="D1402" s="148" t="str">
        <f>IFERROR(__xludf.DUMMYFUNCTION("""COMPUTED_VALUE"""),"alliance_sport")</f>
        <v>alliance_sport</v>
      </c>
      <c r="E1402" s="148">
        <f>IFERROR(__xludf.DUMMYFUNCTION("""COMPUTED_VALUE"""),0.0)</f>
        <v>0</v>
      </c>
      <c r="F1402" s="148">
        <f>IFERROR(__xludf.DUMMYFUNCTION("""COMPUTED_VALUE"""),0.0)</f>
        <v>0</v>
      </c>
      <c r="G1402" s="148">
        <f>IFERROR(__xludf.DUMMYFUNCTION("""COMPUTED_VALUE"""),1.5113732E7)</f>
        <v>15113732</v>
      </c>
      <c r="H1402" s="148">
        <f>IFERROR(__xludf.DUMMYFUNCTION("""COMPUTED_VALUE"""),1.5112563E7)</f>
        <v>15112563</v>
      </c>
      <c r="I1402" s="148" t="str">
        <f>IFERROR(__xludf.DUMMYFUNCTION("""COMPUTED_VALUE"""),"{}")</f>
        <v>{}</v>
      </c>
      <c r="J1402" s="148" t="str">
        <f>IFERROR(__xludf.DUMMYFUNCTION("""COMPUTED_VALUE"""),"{""typ"":""lc"",""txt"":""LC_ITEM_battlepass_exp_name""}")</f>
        <v>{"typ":"lc","txt":"LC_ITEM_battlepass_exp_name"}</v>
      </c>
      <c r="K1402" s="148" t="str">
        <f>IFERROR(__xludf.DUMMYFUNCTION("""COMPUTED_VALUE"""),"{}")</f>
        <v>{}</v>
      </c>
      <c r="L1402" s="148" t="str">
        <f>IFERROR(__xludf.DUMMYFUNCTION("""COMPUTED_VALUE"""),"{}")</f>
        <v>{}</v>
      </c>
      <c r="M1402" s="148">
        <f>IFERROR(__xludf.DUMMYFUNCTION("""COMPUTED_VALUE"""),1.0)</f>
        <v>1</v>
      </c>
      <c r="N1402" s="148">
        <f>IFERROR(__xludf.DUMMYFUNCTION("""COMPUTED_VALUE"""),999999.0)</f>
        <v>999999</v>
      </c>
      <c r="O1402" s="148">
        <f>IFERROR(__xludf.DUMMYFUNCTION("""COMPUTED_VALUE"""),99999.0)</f>
        <v>99999</v>
      </c>
      <c r="P1402" s="148">
        <f>IFERROR(__xludf.DUMMYFUNCTION("""COMPUTED_VALUE"""),9999.0)</f>
        <v>9999</v>
      </c>
      <c r="Q1402" s="148" t="str">
        <f>IFERROR(__xludf.DUMMYFUNCTION("""COMPUTED_VALUE"""),"[]")</f>
        <v>[]</v>
      </c>
      <c r="R1402" s="148" t="str">
        <f>IFERROR(__xludf.DUMMYFUNCTION("""COMPUTED_VALUE"""),"[]")</f>
        <v>[]</v>
      </c>
      <c r="S1402" s="148" t="str">
        <f>IFERROR(__xludf.DUMMYFUNCTION("""COMPUTED_VALUE"""),"{}")</f>
        <v>{}</v>
      </c>
      <c r="T1402" s="148">
        <f>IFERROR(__xludf.DUMMYFUNCTION("""COMPUTED_VALUE"""),-1.0)</f>
        <v>-1</v>
      </c>
      <c r="U1402" s="148">
        <f>IFERROR(__xludf.DUMMYFUNCTION("""COMPUTED_VALUE"""),1.0)</f>
        <v>1</v>
      </c>
      <c r="V1402" s="148" t="str">
        <f>IFERROR(__xludf.DUMMYFUNCTION("""COMPUTED_VALUE"""),"[]")</f>
        <v>[]</v>
      </c>
      <c r="W1402" s="148">
        <f>IFERROR(__xludf.DUMMYFUNCTION("""COMPUTED_VALUE"""),1.174E7)</f>
        <v>11740000</v>
      </c>
      <c r="X1402" s="148">
        <f>IFERROR(__xludf.DUMMYFUNCTION("""COMPUTED_VALUE"""),0.0)</f>
        <v>0</v>
      </c>
      <c r="Y1402" s="148">
        <f>IFERROR(__xludf.DUMMYFUNCTION("""COMPUTED_VALUE"""),0.0)</f>
        <v>0</v>
      </c>
      <c r="Z1402" s="148"/>
    </row>
    <row r="1403">
      <c r="A1403" s="148">
        <f>IFERROR(__xludf.DUMMYFUNCTION("""COMPUTED_VALUE"""),1.1117043E7)</f>
        <v>11117043</v>
      </c>
      <c r="B1403" s="148" t="str">
        <f>IFERROR(__xludf.DUMMYFUNCTION("""COMPUTED_VALUE"""),"KVK-赛前钥匙")</f>
        <v>KVK-赛前钥匙</v>
      </c>
      <c r="C1403" s="148"/>
      <c r="D1403" s="148" t="str">
        <f>IFERROR(__xludf.DUMMYFUNCTION("""COMPUTED_VALUE"""),"item_asset")</f>
        <v>item_asset</v>
      </c>
      <c r="E1403" s="148">
        <f>IFERROR(__xludf.DUMMYFUNCTION("""COMPUTED_VALUE"""),27.0)</f>
        <v>27</v>
      </c>
      <c r="F1403" s="148">
        <f>IFERROR(__xludf.DUMMYFUNCTION("""COMPUTED_VALUE"""),404299.0)</f>
        <v>404299</v>
      </c>
      <c r="G1403" s="148">
        <f>IFERROR(__xludf.DUMMYFUNCTION("""COMPUTED_VALUE"""),1.51102195E8)</f>
        <v>151102195</v>
      </c>
      <c r="H1403" s="148">
        <f>IFERROR(__xludf.DUMMYFUNCTION("""COMPUTED_VALUE"""),1.5112564E7)</f>
        <v>15112564</v>
      </c>
      <c r="I1403" s="148" t="str">
        <f>IFERROR(__xludf.DUMMYFUNCTION("""COMPUTED_VALUE"""),"{}")</f>
        <v>{}</v>
      </c>
      <c r="J1403" s="148" t="str">
        <f>IFERROR(__xludf.DUMMYFUNCTION("""COMPUTED_VALUE"""),"{""typ"":""lc"",""txt"":""LC_ITEM_kvk_horde_key_name""}")</f>
        <v>{"typ":"lc","txt":"LC_ITEM_kvk_horde_key_name"}</v>
      </c>
      <c r="K1403" s="148" t="str">
        <f>IFERROR(__xludf.DUMMYFUNCTION("""COMPUTED_VALUE"""),"{""typ"":""lc"",""txt"":""LC_ITEM_kvk_horde_key_desc""}")</f>
        <v>{"typ":"lc","txt":"LC_ITEM_kvk_horde_key_desc"}</v>
      </c>
      <c r="L1403" s="148" t="str">
        <f>IFERROR(__xludf.DUMMYFUNCTION("""COMPUTED_VALUE"""),"{}")</f>
        <v>{}</v>
      </c>
      <c r="M1403" s="148">
        <f>IFERROR(__xludf.DUMMYFUNCTION("""COMPUTED_VALUE"""),6000.0)</f>
        <v>6000</v>
      </c>
      <c r="N1403" s="148">
        <f>IFERROR(__xludf.DUMMYFUNCTION("""COMPUTED_VALUE"""),99999.0)</f>
        <v>99999</v>
      </c>
      <c r="O1403" s="148">
        <f>IFERROR(__xludf.DUMMYFUNCTION("""COMPUTED_VALUE"""),99999.0)</f>
        <v>99999</v>
      </c>
      <c r="P1403" s="148">
        <f>IFERROR(__xludf.DUMMYFUNCTION("""COMPUTED_VALUE"""),9999.0)</f>
        <v>9999</v>
      </c>
      <c r="Q1403" s="148" t="str">
        <f>IFERROR(__xludf.DUMMYFUNCTION("""COMPUTED_VALUE"""),"[""bag_other""]")</f>
        <v>["bag_other"]</v>
      </c>
      <c r="R1403" s="148" t="str">
        <f>IFERROR(__xludf.DUMMYFUNCTION("""COMPUTED_VALUE"""),"[]")</f>
        <v>[]</v>
      </c>
      <c r="S1403" s="148" t="str">
        <f>IFERROR(__xludf.DUMMYFUNCTION("""COMPUTED_VALUE"""),"{}")</f>
        <v>{}</v>
      </c>
      <c r="T1403" s="148">
        <f>IFERROR(__xludf.DUMMYFUNCTION("""COMPUTED_VALUE"""),-1.0)</f>
        <v>-1</v>
      </c>
      <c r="U1403" s="148">
        <f>IFERROR(__xludf.DUMMYFUNCTION("""COMPUTED_VALUE"""),0.0)</f>
        <v>0</v>
      </c>
      <c r="V1403" s="148" t="str">
        <f>IFERROR(__xludf.DUMMYFUNCTION("""COMPUTED_VALUE"""),"[]")</f>
        <v>[]</v>
      </c>
      <c r="W1403" s="148">
        <f>IFERROR(__xludf.DUMMYFUNCTION("""COMPUTED_VALUE"""),1.174E7)</f>
        <v>11740000</v>
      </c>
      <c r="X1403" s="148">
        <f>IFERROR(__xludf.DUMMYFUNCTION("""COMPUTED_VALUE"""),0.0)</f>
        <v>0</v>
      </c>
      <c r="Y1403" s="148">
        <f>IFERROR(__xludf.DUMMYFUNCTION("""COMPUTED_VALUE"""),0.0)</f>
        <v>0</v>
      </c>
      <c r="Z1403" s="148"/>
    </row>
    <row r="1404">
      <c r="A1404" s="148">
        <f>IFERROR(__xludf.DUMMYFUNCTION("""COMPUTED_VALUE"""),1.1117044E7)</f>
        <v>11117044</v>
      </c>
      <c r="B1404" s="148" t="str">
        <f>IFERROR(__xludf.DUMMYFUNCTION("""COMPUTED_VALUE"""),"竞技场挑战卷")</f>
        <v>竞技场挑战卷</v>
      </c>
      <c r="C1404" s="148"/>
      <c r="D1404" s="148" t="str">
        <f>IFERROR(__xludf.DUMMYFUNCTION("""COMPUTED_VALUE"""),"arena")</f>
        <v>arena</v>
      </c>
      <c r="E1404" s="148">
        <f>IFERROR(__xludf.DUMMYFUNCTION("""COMPUTED_VALUE"""),0.0)</f>
        <v>0</v>
      </c>
      <c r="F1404" s="148">
        <f>IFERROR(__xludf.DUMMYFUNCTION("""COMPUTED_VALUE"""),404199.0)</f>
        <v>404199</v>
      </c>
      <c r="G1404" s="148">
        <f>IFERROR(__xludf.DUMMYFUNCTION("""COMPUTED_VALUE"""),1.5113856E7)</f>
        <v>15113856</v>
      </c>
      <c r="H1404" s="148">
        <f>IFERROR(__xludf.DUMMYFUNCTION("""COMPUTED_VALUE"""),1.5112564E7)</f>
        <v>15112564</v>
      </c>
      <c r="I1404" s="148" t="str">
        <f>IFERROR(__xludf.DUMMYFUNCTION("""COMPUTED_VALUE"""),"{}")</f>
        <v>{}</v>
      </c>
      <c r="J1404" s="148" t="str">
        <f>IFERROR(__xludf.DUMMYFUNCTION("""COMPUTED_VALUE"""),"{""typ"":""lc"",""txt"":""LC_ITEM_arena_ticket_name""}")</f>
        <v>{"typ":"lc","txt":"LC_ITEM_arena_ticket_name"}</v>
      </c>
      <c r="K1404" s="148" t="str">
        <f>IFERROR(__xludf.DUMMYFUNCTION("""COMPUTED_VALUE"""),"{""typ"":""lc"",""txt"":""LC_ITEM_arena_ticket_desc""}")</f>
        <v>{"typ":"lc","txt":"LC_ITEM_arena_ticket_desc"}</v>
      </c>
      <c r="L1404" s="148" t="str">
        <f>IFERROR(__xludf.DUMMYFUNCTION("""COMPUTED_VALUE"""),"{}")</f>
        <v>{}</v>
      </c>
      <c r="M1404" s="148">
        <f>IFERROR(__xludf.DUMMYFUNCTION("""COMPUTED_VALUE"""),500.0)</f>
        <v>500</v>
      </c>
      <c r="N1404" s="148">
        <f>IFERROR(__xludf.DUMMYFUNCTION("""COMPUTED_VALUE"""),99999.0)</f>
        <v>99999</v>
      </c>
      <c r="O1404" s="148">
        <f>IFERROR(__xludf.DUMMYFUNCTION("""COMPUTED_VALUE"""),99999.0)</f>
        <v>99999</v>
      </c>
      <c r="P1404" s="148">
        <f>IFERROR(__xludf.DUMMYFUNCTION("""COMPUTED_VALUE"""),1.0)</f>
        <v>1</v>
      </c>
      <c r="Q1404" s="148" t="str">
        <f>IFERROR(__xludf.DUMMYFUNCTION("""COMPUTED_VALUE"""),"[""bag_other""]")</f>
        <v>["bag_other"]</v>
      </c>
      <c r="R1404" s="148" t="str">
        <f>IFERROR(__xludf.DUMMYFUNCTION("""COMPUTED_VALUE"""),"[]")</f>
        <v>[]</v>
      </c>
      <c r="S1404" s="148" t="str">
        <f>IFERROR(__xludf.DUMMYFUNCTION("""COMPUTED_VALUE"""),"{}")</f>
        <v>{}</v>
      </c>
      <c r="T1404" s="148">
        <f>IFERROR(__xludf.DUMMYFUNCTION("""COMPUTED_VALUE"""),-1.0)</f>
        <v>-1</v>
      </c>
      <c r="U1404" s="148">
        <f>IFERROR(__xludf.DUMMYFUNCTION("""COMPUTED_VALUE"""),0.0)</f>
        <v>0</v>
      </c>
      <c r="V1404" s="148" t="str">
        <f>IFERROR(__xludf.DUMMYFUNCTION("""COMPUTED_VALUE"""),"[]")</f>
        <v>[]</v>
      </c>
      <c r="W1404" s="148">
        <f>IFERROR(__xludf.DUMMYFUNCTION("""COMPUTED_VALUE"""),1.174E7)</f>
        <v>11740000</v>
      </c>
      <c r="X1404" s="148">
        <f>IFERROR(__xludf.DUMMYFUNCTION("""COMPUTED_VALUE"""),0.0)</f>
        <v>0</v>
      </c>
      <c r="Y1404" s="148">
        <f>IFERROR(__xludf.DUMMYFUNCTION("""COMPUTED_VALUE"""),0.0)</f>
        <v>0</v>
      </c>
      <c r="Z1404" s="148"/>
    </row>
    <row r="1405">
      <c r="A1405" s="148">
        <f>IFERROR(__xludf.DUMMYFUNCTION("""COMPUTED_VALUE"""),1.1117045E7)</f>
        <v>11117045</v>
      </c>
      <c r="B1405" s="148" t="str">
        <f>IFERROR(__xludf.DUMMYFUNCTION("""COMPUTED_VALUE"""),"KVK-船票")</f>
        <v>KVK-船票</v>
      </c>
      <c r="C1405" s="148"/>
      <c r="D1405" s="148" t="str">
        <f>IFERROR(__xludf.DUMMYFUNCTION("""COMPUTED_VALUE"""),"item_asset")</f>
        <v>item_asset</v>
      </c>
      <c r="E1405" s="148">
        <f>IFERROR(__xludf.DUMMYFUNCTION("""COMPUTED_VALUE"""),0.0)</f>
        <v>0</v>
      </c>
      <c r="F1405" s="148">
        <f>IFERROR(__xludf.DUMMYFUNCTION("""COMPUTED_VALUE"""),405219.0)</f>
        <v>405219</v>
      </c>
      <c r="G1405" s="148">
        <f>IFERROR(__xludf.DUMMYFUNCTION("""COMPUTED_VALUE"""),1.51138E7)</f>
        <v>15113800</v>
      </c>
      <c r="H1405" s="148">
        <f>IFERROR(__xludf.DUMMYFUNCTION("""COMPUTED_VALUE"""),1.5112563E7)</f>
        <v>15112563</v>
      </c>
      <c r="I1405" s="148" t="str">
        <f>IFERROR(__xludf.DUMMYFUNCTION("""COMPUTED_VALUE"""),"{}")</f>
        <v>{}</v>
      </c>
      <c r="J1405" s="148" t="str">
        <f>IFERROR(__xludf.DUMMYFUNCTION("""COMPUTED_VALUE"""),"{""typ"":""lc"",""txt"":""LC_ITEM_kvk_ticket_name""}")</f>
        <v>{"typ":"lc","txt":"LC_ITEM_kvk_ticket_name"}</v>
      </c>
      <c r="K1405" s="148" t="str">
        <f>IFERROR(__xludf.DUMMYFUNCTION("""COMPUTED_VALUE"""),"{""typ"":""lc"",""txt"":""LC_ITEM_kvk_ticket_desc""}")</f>
        <v>{"typ":"lc","txt":"LC_ITEM_kvk_ticket_desc"}</v>
      </c>
      <c r="L1405" s="148" t="str">
        <f>IFERROR(__xludf.DUMMYFUNCTION("""COMPUTED_VALUE"""),"{}")</f>
        <v>{}</v>
      </c>
      <c r="M1405" s="148">
        <f>IFERROR(__xludf.DUMMYFUNCTION("""COMPUTED_VALUE"""),1000.0)</f>
        <v>1000</v>
      </c>
      <c r="N1405" s="148">
        <f>IFERROR(__xludf.DUMMYFUNCTION("""COMPUTED_VALUE"""),999999.0)</f>
        <v>999999</v>
      </c>
      <c r="O1405" s="148">
        <f>IFERROR(__xludf.DUMMYFUNCTION("""COMPUTED_VALUE"""),99999.0)</f>
        <v>99999</v>
      </c>
      <c r="P1405" s="148">
        <f>IFERROR(__xludf.DUMMYFUNCTION("""COMPUTED_VALUE"""),9999.0)</f>
        <v>9999</v>
      </c>
      <c r="Q1405" s="148" t="str">
        <f>IFERROR(__xludf.DUMMYFUNCTION("""COMPUTED_VALUE"""),"[""bag_other""]")</f>
        <v>["bag_other"]</v>
      </c>
      <c r="R1405" s="148" t="str">
        <f>IFERROR(__xludf.DUMMYFUNCTION("""COMPUTED_VALUE"""),"[]")</f>
        <v>[]</v>
      </c>
      <c r="S1405" s="148" t="str">
        <f>IFERROR(__xludf.DUMMYFUNCTION("""COMPUTED_VALUE"""),"{}")</f>
        <v>{}</v>
      </c>
      <c r="T1405" s="148">
        <f>IFERROR(__xludf.DUMMYFUNCTION("""COMPUTED_VALUE"""),-1.0)</f>
        <v>-1</v>
      </c>
      <c r="U1405" s="148">
        <f>IFERROR(__xludf.DUMMYFUNCTION("""COMPUTED_VALUE"""),0.0)</f>
        <v>0</v>
      </c>
      <c r="V1405" s="148" t="str">
        <f>IFERROR(__xludf.DUMMYFUNCTION("""COMPUTED_VALUE"""),"[]")</f>
        <v>[]</v>
      </c>
      <c r="W1405" s="148">
        <f>IFERROR(__xludf.DUMMYFUNCTION("""COMPUTED_VALUE"""),1.174E7)</f>
        <v>11740000</v>
      </c>
      <c r="X1405" s="148">
        <f>IFERROR(__xludf.DUMMYFUNCTION("""COMPUTED_VALUE"""),0.0)</f>
        <v>0</v>
      </c>
      <c r="Y1405" s="148">
        <f>IFERROR(__xludf.DUMMYFUNCTION("""COMPUTED_VALUE"""),0.0)</f>
        <v>0</v>
      </c>
      <c r="Z1405" s="148"/>
    </row>
    <row r="1406">
      <c r="A1406" s="148">
        <f>IFERROR(__xludf.DUMMYFUNCTION("""COMPUTED_VALUE"""),1.1117046E7)</f>
        <v>11117046</v>
      </c>
      <c r="B1406" s="148" t="str">
        <f>IFERROR(__xludf.DUMMYFUNCTION("""COMPUTED_VALUE"""),"KVK-死兵返还比例提升-30%")</f>
        <v>KVK-死兵返还比例提升-30%</v>
      </c>
      <c r="C1406" s="148"/>
      <c r="D1406" s="148" t="str">
        <f>IFERROR(__xludf.DUMMYFUNCTION("""COMPUTED_VALUE"""),"item_buff")</f>
        <v>item_buff</v>
      </c>
      <c r="E1406" s="148">
        <f>IFERROR(__xludf.DUMMYFUNCTION("""COMPUTED_VALUE"""),0.0)</f>
        <v>0</v>
      </c>
      <c r="F1406" s="148">
        <f>IFERROR(__xludf.DUMMYFUNCTION("""COMPUTED_VALUE"""),404102.0)</f>
        <v>404102</v>
      </c>
      <c r="G1406" s="148">
        <f>IFERROR(__xludf.DUMMYFUNCTION("""COMPUTED_VALUE"""),1.5113801E7)</f>
        <v>15113801</v>
      </c>
      <c r="H1406" s="148">
        <f>IFERROR(__xludf.DUMMYFUNCTION("""COMPUTED_VALUE"""),1.5112564E7)</f>
        <v>15112564</v>
      </c>
      <c r="I1406" s="148" t="str">
        <f>IFERROR(__xludf.DUMMYFUNCTION("""COMPUTED_VALUE"""),"{""typ"":""lc"",""txt"":""LC_ITEM_buff_val_upper_show"",""args"":[{""typ"":""int"",""val"":30}]}")</f>
        <v>{"typ":"lc","txt":"LC_ITEM_buff_val_upper_show","args":[{"typ":"int","val":30}]}</v>
      </c>
      <c r="J1406" s="148" t="str">
        <f>IFERROR(__xludf.DUMMYFUNCTION("""COMPUTED_VALUE"""),"{""typ"":""lc"",""txt"":""LC_ITEM_kvk_emergency_cabin_upgrade_name""}")</f>
        <v>{"typ":"lc","txt":"LC_ITEM_kvk_emergency_cabin_upgrade_name"}</v>
      </c>
      <c r="K1406" s="148" t="str">
        <f>IFERROR(__xludf.DUMMYFUNCTION("""COMPUTED_VALUE"""),"{""typ"":""lc"",""txt"":""LC_ITEM_kvk_emergency_cabin_upgrade_desc"",""args"":[{""typ"":""int"",""val"":30}]}")</f>
        <v>{"typ":"lc","txt":"LC_ITEM_kvk_emergency_cabin_upgrade_desc","args":[{"typ":"int","val":30}]}</v>
      </c>
      <c r="L1406" s="148" t="str">
        <f>IFERROR(__xludf.DUMMYFUNCTION("""COMPUTED_VALUE"""),"{""typ"":""lc"",""txt"":""LC_ITEM_kvk_emergency_cabin_upgrade_usetip""}")</f>
        <v>{"typ":"lc","txt":"LC_ITEM_kvk_emergency_cabin_upgrade_usetip"}</v>
      </c>
      <c r="M1406" s="148">
        <f>IFERROR(__xludf.DUMMYFUNCTION("""COMPUTED_VALUE"""),40500.0)</f>
        <v>40500</v>
      </c>
      <c r="N1406" s="148">
        <f>IFERROR(__xludf.DUMMYFUNCTION("""COMPUTED_VALUE"""),100.0)</f>
        <v>100</v>
      </c>
      <c r="O1406" s="148">
        <f>IFERROR(__xludf.DUMMYFUNCTION("""COMPUTED_VALUE"""),100.0)</f>
        <v>100</v>
      </c>
      <c r="P1406" s="148">
        <f>IFERROR(__xludf.DUMMYFUNCTION("""COMPUTED_VALUE"""),100.0)</f>
        <v>100</v>
      </c>
      <c r="Q1406" s="148" t="str">
        <f>IFERROR(__xludf.DUMMYFUNCTION("""COMPUTED_VALUE"""),"[""bag_other""]")</f>
        <v>["bag_other"]</v>
      </c>
      <c r="R1406" s="148" t="str">
        <f>IFERROR(__xludf.DUMMYFUNCTION("""COMPUTED_VALUE"""),"[]")</f>
        <v>[]</v>
      </c>
      <c r="S1406" s="148" t="str">
        <f>IFERROR(__xludf.DUMMYFUNCTION("""COMPUTED_VALUE"""),"{""effect"":[{""typ"":""buff"",""id"":121116032,""val"":-1,""arg1"":0.3}]}")</f>
        <v>{"effect":[{"typ":"buff","id":121116032,"val":-1,"arg1":0.3}]}</v>
      </c>
      <c r="T1406" s="148">
        <f>IFERROR(__xludf.DUMMYFUNCTION("""COMPUTED_VALUE"""),-1.0)</f>
        <v>-1</v>
      </c>
      <c r="U1406" s="148">
        <f>IFERROR(__xludf.DUMMYFUNCTION("""COMPUTED_VALUE"""),1.0)</f>
        <v>1</v>
      </c>
      <c r="V1406" s="148" t="str">
        <f>IFERROR(__xludf.DUMMYFUNCTION("""COMPUTED_VALUE"""),"[]")</f>
        <v>[]</v>
      </c>
      <c r="W1406" s="148">
        <f>IFERROR(__xludf.DUMMYFUNCTION("""COMPUTED_VALUE"""),1.174E7)</f>
        <v>11740000</v>
      </c>
      <c r="X1406" s="148">
        <f>IFERROR(__xludf.DUMMYFUNCTION("""COMPUTED_VALUE"""),0.0)</f>
        <v>0</v>
      </c>
      <c r="Y1406" s="148">
        <f>IFERROR(__xludf.DUMMYFUNCTION("""COMPUTED_VALUE"""),0.0)</f>
        <v>0</v>
      </c>
      <c r="Z1406" s="148"/>
    </row>
    <row r="1407">
      <c r="A1407" s="148">
        <f>IFERROR(__xludf.DUMMYFUNCTION("""COMPUTED_VALUE"""),1.1117047E7)</f>
        <v>11117047</v>
      </c>
      <c r="B1407" s="148" t="str">
        <f>IFERROR(__xludf.DUMMYFUNCTION("""COMPUTED_VALUE"""),"KVK-死兵返还比例提升-5%")</f>
        <v>KVK-死兵返还比例提升-5%</v>
      </c>
      <c r="C1407" s="148"/>
      <c r="D1407" s="148" t="str">
        <f>IFERROR(__xludf.DUMMYFUNCTION("""COMPUTED_VALUE"""),"item_buff")</f>
        <v>item_buff</v>
      </c>
      <c r="E1407" s="148">
        <f>IFERROR(__xludf.DUMMYFUNCTION("""COMPUTED_VALUE"""),0.0)</f>
        <v>0</v>
      </c>
      <c r="F1407" s="148">
        <f>IFERROR(__xludf.DUMMYFUNCTION("""COMPUTED_VALUE"""),404203.0)</f>
        <v>404203</v>
      </c>
      <c r="G1407" s="148">
        <f>IFERROR(__xludf.DUMMYFUNCTION("""COMPUTED_VALUE"""),1.5113801E7)</f>
        <v>15113801</v>
      </c>
      <c r="H1407" s="148">
        <f>IFERROR(__xludf.DUMMYFUNCTION("""COMPUTED_VALUE"""),1.5112563E7)</f>
        <v>15112563</v>
      </c>
      <c r="I1407" s="148" t="str">
        <f>IFERROR(__xludf.DUMMYFUNCTION("""COMPUTED_VALUE"""),"{""typ"":""lc"",""txt"":""LC_ITEM_buff_val_upper_show"",""args"":[{""typ"":""int"",""val"":5}]}")</f>
        <v>{"typ":"lc","txt":"LC_ITEM_buff_val_upper_show","args":[{"typ":"int","val":5}]}</v>
      </c>
      <c r="J1407" s="148" t="str">
        <f>IFERROR(__xludf.DUMMYFUNCTION("""COMPUTED_VALUE"""),"{""typ"":""lc"",""txt"":""LC_ITEM_kvk_emergency_cabin_upgrade_name""}")</f>
        <v>{"typ":"lc","txt":"LC_ITEM_kvk_emergency_cabin_upgrade_name"}</v>
      </c>
      <c r="K1407" s="148" t="str">
        <f>IFERROR(__xludf.DUMMYFUNCTION("""COMPUTED_VALUE"""),"{""typ"":""lc"",""txt"":""LC_ITEM_kvk_emergency_cabin_upgrade_desc"",""args"":[{""typ"":""int"",""val"":5}]}")</f>
        <v>{"typ":"lc","txt":"LC_ITEM_kvk_emergency_cabin_upgrade_desc","args":[{"typ":"int","val":5}]}</v>
      </c>
      <c r="L1407" s="148" t="str">
        <f>IFERROR(__xludf.DUMMYFUNCTION("""COMPUTED_VALUE"""),"{""typ"":""lc"",""txt"":""LC_ITEM_kvk_emergency_cabin_upgrade_usetip""}")</f>
        <v>{"typ":"lc","txt":"LC_ITEM_kvk_emergency_cabin_upgrade_usetip"}</v>
      </c>
      <c r="M1407" s="148">
        <f>IFERROR(__xludf.DUMMYFUNCTION("""COMPUTED_VALUE"""),6750.0)</f>
        <v>6750</v>
      </c>
      <c r="N1407" s="148">
        <f>IFERROR(__xludf.DUMMYFUNCTION("""COMPUTED_VALUE"""),100.0)</f>
        <v>100</v>
      </c>
      <c r="O1407" s="148">
        <f>IFERROR(__xludf.DUMMYFUNCTION("""COMPUTED_VALUE"""),100.0)</f>
        <v>100</v>
      </c>
      <c r="P1407" s="148">
        <f>IFERROR(__xludf.DUMMYFUNCTION("""COMPUTED_VALUE"""),100.0)</f>
        <v>100</v>
      </c>
      <c r="Q1407" s="148" t="str">
        <f>IFERROR(__xludf.DUMMYFUNCTION("""COMPUTED_VALUE"""),"[""bag_other""]")</f>
        <v>["bag_other"]</v>
      </c>
      <c r="R1407" s="148" t="str">
        <f>IFERROR(__xludf.DUMMYFUNCTION("""COMPUTED_VALUE"""),"[]")</f>
        <v>[]</v>
      </c>
      <c r="S1407" s="148" t="str">
        <f>IFERROR(__xludf.DUMMYFUNCTION("""COMPUTED_VALUE"""),"{""effect"":[{""typ"":""buff"",""id"":121116032,""val"":-1,""arg1"":0.05}]}")</f>
        <v>{"effect":[{"typ":"buff","id":121116032,"val":-1,"arg1":0.05}]}</v>
      </c>
      <c r="T1407" s="148">
        <f>IFERROR(__xludf.DUMMYFUNCTION("""COMPUTED_VALUE"""),-1.0)</f>
        <v>-1</v>
      </c>
      <c r="U1407" s="148">
        <f>IFERROR(__xludf.DUMMYFUNCTION("""COMPUTED_VALUE"""),1.0)</f>
        <v>1</v>
      </c>
      <c r="V1407" s="148" t="str">
        <f>IFERROR(__xludf.DUMMYFUNCTION("""COMPUTED_VALUE"""),"[]")</f>
        <v>[]</v>
      </c>
      <c r="W1407" s="148">
        <f>IFERROR(__xludf.DUMMYFUNCTION("""COMPUTED_VALUE"""),1.174E7)</f>
        <v>11740000</v>
      </c>
      <c r="X1407" s="148">
        <f>IFERROR(__xludf.DUMMYFUNCTION("""COMPUTED_VALUE"""),0.0)</f>
        <v>0</v>
      </c>
      <c r="Y1407" s="148">
        <f>IFERROR(__xludf.DUMMYFUNCTION("""COMPUTED_VALUE"""),0.0)</f>
        <v>0</v>
      </c>
      <c r="Z1407" s="148"/>
    </row>
    <row r="1408">
      <c r="A1408" s="148">
        <f>IFERROR(__xludf.DUMMYFUNCTION("""COMPUTED_VALUE"""),1.1117048E7)</f>
        <v>11117048</v>
      </c>
      <c r="B1408" s="148" t="str">
        <f>IFERROR(__xludf.DUMMYFUNCTION("""COMPUTED_VALUE"""),"狂飙拉力赛-解锁专属任务")</f>
        <v>狂飙拉力赛-解锁专属任务</v>
      </c>
      <c r="C1408" s="148"/>
      <c r="D1408" s="148" t="str">
        <f>IFERROR(__xludf.DUMMYFUNCTION("""COMPUTED_VALUE"""),"battle_pass_unlock_task")</f>
        <v>battle_pass_unlock_task</v>
      </c>
      <c r="E1408" s="148">
        <f>IFERROR(__xludf.DUMMYFUNCTION("""COMPUTED_VALUE"""),0.0)</f>
        <v>0</v>
      </c>
      <c r="F1408" s="148">
        <f>IFERROR(__xludf.DUMMYFUNCTION("""COMPUTED_VALUE"""),0.0)</f>
        <v>0</v>
      </c>
      <c r="G1408" s="148">
        <f>IFERROR(__xludf.DUMMYFUNCTION("""COMPUTED_VALUE"""),1.5116157E7)</f>
        <v>15116157</v>
      </c>
      <c r="H1408" s="148">
        <f>IFERROR(__xludf.DUMMYFUNCTION("""COMPUTED_VALUE"""),1.5112564E7)</f>
        <v>15112564</v>
      </c>
      <c r="I1408" s="148" t="str">
        <f>IFERROR(__xludf.DUMMYFUNCTION("""COMPUTED_VALUE"""),"{}")</f>
        <v>{}</v>
      </c>
      <c r="J1408" s="148" t="str">
        <f>IFERROR(__xludf.DUMMYFUNCTION("""COMPUTED_VALUE"""),"{""typ"":""lc"",""txt"":""LC_EVENT_BP_reward_2""}")</f>
        <v>{"typ":"lc","txt":"LC_EVENT_BP_reward_2"}</v>
      </c>
      <c r="K1408" s="148" t="str">
        <f>IFERROR(__xludf.DUMMYFUNCTION("""COMPUTED_VALUE"""),"{""typ"":""lc"",""txt"":""LC_EVENT_BP_reward_2""}")</f>
        <v>{"typ":"lc","txt":"LC_EVENT_BP_reward_2"}</v>
      </c>
      <c r="L1408" s="148" t="str">
        <f>IFERROR(__xludf.DUMMYFUNCTION("""COMPUTED_VALUE"""),"{}")</f>
        <v>{}</v>
      </c>
      <c r="M1408" s="148">
        <f>IFERROR(__xludf.DUMMYFUNCTION("""COMPUTED_VALUE"""),10.0)</f>
        <v>10</v>
      </c>
      <c r="N1408" s="148">
        <f>IFERROR(__xludf.DUMMYFUNCTION("""COMPUTED_VALUE"""),999999.0)</f>
        <v>999999</v>
      </c>
      <c r="O1408" s="148">
        <f>IFERROR(__xludf.DUMMYFUNCTION("""COMPUTED_VALUE"""),99999.0)</f>
        <v>99999</v>
      </c>
      <c r="P1408" s="148">
        <f>IFERROR(__xludf.DUMMYFUNCTION("""COMPUTED_VALUE"""),9999.0)</f>
        <v>9999</v>
      </c>
      <c r="Q1408" s="148" t="str">
        <f>IFERROR(__xludf.DUMMYFUNCTION("""COMPUTED_VALUE"""),"[]")</f>
        <v>[]</v>
      </c>
      <c r="R1408" s="148" t="str">
        <f>IFERROR(__xludf.DUMMYFUNCTION("""COMPUTED_VALUE"""),"[]")</f>
        <v>[]</v>
      </c>
      <c r="S1408" s="148" t="str">
        <f>IFERROR(__xludf.DUMMYFUNCTION("""COMPUTED_VALUE"""),"{}")</f>
        <v>{}</v>
      </c>
      <c r="T1408" s="148">
        <f>IFERROR(__xludf.DUMMYFUNCTION("""COMPUTED_VALUE"""),-1.0)</f>
        <v>-1</v>
      </c>
      <c r="U1408" s="148">
        <f>IFERROR(__xludf.DUMMYFUNCTION("""COMPUTED_VALUE"""),1.0)</f>
        <v>1</v>
      </c>
      <c r="V1408" s="148" t="str">
        <f>IFERROR(__xludf.DUMMYFUNCTION("""COMPUTED_VALUE"""),"[]")</f>
        <v>[]</v>
      </c>
      <c r="W1408" s="148">
        <f>IFERROR(__xludf.DUMMYFUNCTION("""COMPUTED_VALUE"""),1.174E7)</f>
        <v>11740000</v>
      </c>
      <c r="X1408" s="148">
        <f>IFERROR(__xludf.DUMMYFUNCTION("""COMPUTED_VALUE"""),0.0)</f>
        <v>0</v>
      </c>
      <c r="Y1408" s="148">
        <f>IFERROR(__xludf.DUMMYFUNCTION("""COMPUTED_VALUE"""),0.0)</f>
        <v>0</v>
      </c>
      <c r="Z1408" s="148"/>
    </row>
    <row r="1409">
      <c r="A1409" s="148">
        <f>IFERROR(__xludf.DUMMYFUNCTION("""COMPUTED_VALUE"""),1.1117049E7)</f>
        <v>11117049</v>
      </c>
      <c r="B1409" s="148" t="str">
        <f>IFERROR(__xludf.DUMMYFUNCTION("""COMPUTED_VALUE"""),"转盘月卡券")</f>
        <v>转盘月卡券</v>
      </c>
      <c r="C1409" s="148"/>
      <c r="D1409" s="148" t="str">
        <f>IFERROR(__xludf.DUMMYFUNCTION("""COMPUTED_VALUE"""),"time_card_discount")</f>
        <v>time_card_discount</v>
      </c>
      <c r="E1409" s="148">
        <f>IFERROR(__xludf.DUMMYFUNCTION("""COMPUTED_VALUE"""),0.0)</f>
        <v>0</v>
      </c>
      <c r="F1409" s="148">
        <f>IFERROR(__xludf.DUMMYFUNCTION("""COMPUTED_VALUE"""),401021.0)</f>
        <v>401021</v>
      </c>
      <c r="G1409" s="148">
        <f>IFERROR(__xludf.DUMMYFUNCTION("""COMPUTED_VALUE"""),1.5114067E7)</f>
        <v>15114067</v>
      </c>
      <c r="H1409" s="148">
        <f>IFERROR(__xludf.DUMMYFUNCTION("""COMPUTED_VALUE"""),1.5114068E7)</f>
        <v>15114068</v>
      </c>
      <c r="I1409" s="148" t="str">
        <f>IFERROR(__xludf.DUMMYFUNCTION("""COMPUTED_VALUE"""),"{}")</f>
        <v>{}</v>
      </c>
      <c r="J1409" s="148" t="str">
        <f>IFERROR(__xludf.DUMMYFUNCTION("""COMPUTED_VALUE"""),"{""typ"":""lc"",""txt"":""LC_IAP_pinduoduo_name""}")</f>
        <v>{"typ":"lc","txt":"LC_IAP_pinduoduo_name"}</v>
      </c>
      <c r="K1409" s="148" t="str">
        <f>IFERROR(__xludf.DUMMYFUNCTION("""COMPUTED_VALUE"""),"{""typ"":""lc"",""txt"":""LC_IAP_pinduoduo_desc""}")</f>
        <v>{"typ":"lc","txt":"LC_IAP_pinduoduo_desc"}</v>
      </c>
      <c r="L1409" s="148" t="str">
        <f>IFERROR(__xludf.DUMMYFUNCTION("""COMPUTED_VALUE"""),"{}")</f>
        <v>{}</v>
      </c>
      <c r="M1409" s="148">
        <f>IFERROR(__xludf.DUMMYFUNCTION("""COMPUTED_VALUE"""),10.0)</f>
        <v>10</v>
      </c>
      <c r="N1409" s="148">
        <f>IFERROR(__xludf.DUMMYFUNCTION("""COMPUTED_VALUE"""),1.0)</f>
        <v>1</v>
      </c>
      <c r="O1409" s="148">
        <f>IFERROR(__xludf.DUMMYFUNCTION("""COMPUTED_VALUE"""),1.0)</f>
        <v>1</v>
      </c>
      <c r="P1409" s="148">
        <f>IFERROR(__xludf.DUMMYFUNCTION("""COMPUTED_VALUE"""),1.0)</f>
        <v>1</v>
      </c>
      <c r="Q1409" s="148" t="str">
        <f>IFERROR(__xludf.DUMMYFUNCTION("""COMPUTED_VALUE"""),"[""bag_other""]")</f>
        <v>["bag_other"]</v>
      </c>
      <c r="R1409" s="148" t="str">
        <f>IFERROR(__xludf.DUMMYFUNCTION("""COMPUTED_VALUE"""),"[""bag""]")</f>
        <v>["bag"]</v>
      </c>
      <c r="S1409" s="148" t="str">
        <f>IFERROR(__xludf.DUMMYFUNCTION("""COMPUTED_VALUE"""),"{}")</f>
        <v>{}</v>
      </c>
      <c r="T1409" s="148">
        <f>IFERROR(__xludf.DUMMYFUNCTION("""COMPUTED_VALUE"""),-1.0)</f>
        <v>-1</v>
      </c>
      <c r="U1409" s="148">
        <f>IFERROR(__xludf.DUMMYFUNCTION("""COMPUTED_VALUE"""),1.0)</f>
        <v>1</v>
      </c>
      <c r="V1409" s="148" t="str">
        <f>IFERROR(__xludf.DUMMYFUNCTION("""COMPUTED_VALUE"""),"[]")</f>
        <v>[]</v>
      </c>
      <c r="W1409" s="148">
        <f>IFERROR(__xludf.DUMMYFUNCTION("""COMPUTED_VALUE"""),1.174E7)</f>
        <v>11740000</v>
      </c>
      <c r="X1409" s="148">
        <f>IFERROR(__xludf.DUMMYFUNCTION("""COMPUTED_VALUE"""),0.0)</f>
        <v>0</v>
      </c>
      <c r="Y1409" s="148">
        <f>IFERROR(__xludf.DUMMYFUNCTION("""COMPUTED_VALUE"""),0.0)</f>
        <v>0</v>
      </c>
      <c r="Z1409" s="148"/>
    </row>
    <row r="1410">
      <c r="A1410" s="148">
        <f>IFERROR(__xludf.DUMMYFUNCTION("""COMPUTED_VALUE"""),1.111705E7)</f>
        <v>11117050</v>
      </c>
      <c r="B1410" s="148" t="str">
        <f>IFERROR(__xludf.DUMMYFUNCTION("""COMPUTED_VALUE"""),"1000VIP点数")</f>
        <v>1000VIP点数</v>
      </c>
      <c r="C1410" s="148"/>
      <c r="D1410" s="148" t="str">
        <f>IFERROR(__xludf.DUMMYFUNCTION("""COMPUTED_VALUE"""),"item_asset")</f>
        <v>item_asset</v>
      </c>
      <c r="E1410" s="148">
        <f>IFERROR(__xludf.DUMMYFUNCTION("""COMPUTED_VALUE"""),0.0)</f>
        <v>0</v>
      </c>
      <c r="F1410" s="148">
        <f>IFERROR(__xludf.DUMMYFUNCTION("""COMPUTED_VALUE"""),402102.0)</f>
        <v>402102</v>
      </c>
      <c r="G1410" s="148">
        <f>IFERROR(__xludf.DUMMYFUNCTION("""COMPUTED_VALUE"""),1.5114074E7)</f>
        <v>15114074</v>
      </c>
      <c r="H1410" s="148">
        <f>IFERROR(__xludf.DUMMYFUNCTION("""COMPUTED_VALUE"""),1.5112564E7)</f>
        <v>15112564</v>
      </c>
      <c r="I1410" s="148" t="str">
        <f>IFERROR(__xludf.DUMMYFUNCTION("""COMPUTED_VALUE"""),"{""typ"":""lc"",""txt"":""LC_ITEM_rss_upper_show"",""args"":[{""typ"":""int_unit"",""val"":1000}]}")</f>
        <v>{"typ":"lc","txt":"LC_ITEM_rss_upper_show","args":[{"typ":"int_unit","val":1000}]}</v>
      </c>
      <c r="J1410" s="148" t="str">
        <f>IFERROR(__xludf.DUMMYFUNCTION("""COMPUTED_VALUE"""),"{""typ"":""lc"",""txt"":""LC_ITEM_vip_xp_name"",""args"":[{""typ"":""int"",""val"":1000}]}")</f>
        <v>{"typ":"lc","txt":"LC_ITEM_vip_xp_name","args":[{"typ":"int","val":1000}]}</v>
      </c>
      <c r="K1410" s="148" t="str">
        <f>IFERROR(__xludf.DUMMYFUNCTION("""COMPUTED_VALUE"""),"{""typ"":""lc"",""txt"":""LC_ITEM_vip_xp_desc"",""args"":[{""typ"":""int"",""val"":1000}]}")</f>
        <v>{"typ":"lc","txt":"LC_ITEM_vip_xp_desc","args":[{"typ":"int","val":1000}]}</v>
      </c>
      <c r="L1410" s="148" t="str">
        <f>IFERROR(__xludf.DUMMYFUNCTION("""COMPUTED_VALUE"""),"{""typ"":""lc"",""txt"":""LC_ITEM_add_vippoints_usedtip"",""args"":[{""typ"":""int"",""val"":1000}]}")</f>
        <v>{"typ":"lc","txt":"LC_ITEM_add_vippoints_usedtip","args":[{"typ":"int","val":1000}]}</v>
      </c>
      <c r="M1410" s="148">
        <f>IFERROR(__xludf.DUMMYFUNCTION("""COMPUTED_VALUE"""),1000.0)</f>
        <v>1000</v>
      </c>
      <c r="N1410" s="148">
        <f>IFERROR(__xludf.DUMMYFUNCTION("""COMPUTED_VALUE"""),9.99999999E8)</f>
        <v>999999999</v>
      </c>
      <c r="O1410" s="148">
        <f>IFERROR(__xludf.DUMMYFUNCTION("""COMPUTED_VALUE"""),9.99999999E8)</f>
        <v>999999999</v>
      </c>
      <c r="P1410" s="148">
        <f>IFERROR(__xludf.DUMMYFUNCTION("""COMPUTED_VALUE"""),9.99999999E8)</f>
        <v>999999999</v>
      </c>
      <c r="Q1410" s="148" t="str">
        <f>IFERROR(__xludf.DUMMYFUNCTION("""COMPUTED_VALUE"""),"[""bag_other""]")</f>
        <v>["bag_other"]</v>
      </c>
      <c r="R1410" s="148" t="str">
        <f>IFERROR(__xludf.DUMMYFUNCTION("""COMPUTED_VALUE"""),"[""bag"",""asset_vip""]")</f>
        <v>["bag","asset_vip"]</v>
      </c>
      <c r="S1410" s="148" t="str">
        <f>IFERROR(__xludf.DUMMYFUNCTION("""COMPUTED_VALUE"""),"{""effect"":[{""typ"":""xp"",""id"":11161002,""val"":1000}]}")</f>
        <v>{"effect":[{"typ":"xp","id":11161002,"val":1000}]}</v>
      </c>
      <c r="T1410" s="148">
        <f>IFERROR(__xludf.DUMMYFUNCTION("""COMPUTED_VALUE"""),-1.0)</f>
        <v>-1</v>
      </c>
      <c r="U1410" s="148">
        <f>IFERROR(__xludf.DUMMYFUNCTION("""COMPUTED_VALUE"""),0.0)</f>
        <v>0</v>
      </c>
      <c r="V1410" s="148" t="str">
        <f>IFERROR(__xludf.DUMMYFUNCTION("""COMPUTED_VALUE"""),"[]")</f>
        <v>[]</v>
      </c>
      <c r="W1410" s="148">
        <f>IFERROR(__xludf.DUMMYFUNCTION("""COMPUTED_VALUE"""),1.174E7)</f>
        <v>11740000</v>
      </c>
      <c r="X1410" s="148">
        <f>IFERROR(__xludf.DUMMYFUNCTION("""COMPUTED_VALUE"""),0.0)</f>
        <v>0</v>
      </c>
      <c r="Y1410" s="148">
        <f>IFERROR(__xludf.DUMMYFUNCTION("""COMPUTED_VALUE"""),0.0)</f>
        <v>0</v>
      </c>
      <c r="Z1410" s="148"/>
    </row>
    <row r="1411">
      <c r="A1411" s="148">
        <f>IFERROR(__xludf.DUMMYFUNCTION("""COMPUTED_VALUE"""),1.1117051E7)</f>
        <v>11117051</v>
      </c>
      <c r="B1411" s="148" t="str">
        <f>IFERROR(__xludf.DUMMYFUNCTION("""COMPUTED_VALUE"""),"5000VIP点数")</f>
        <v>5000VIP点数</v>
      </c>
      <c r="C1411" s="148"/>
      <c r="D1411" s="148" t="str">
        <f>IFERROR(__xludf.DUMMYFUNCTION("""COMPUTED_VALUE"""),"item_asset")</f>
        <v>item_asset</v>
      </c>
      <c r="E1411" s="148">
        <f>IFERROR(__xludf.DUMMYFUNCTION("""COMPUTED_VALUE"""),0.0)</f>
        <v>0</v>
      </c>
      <c r="F1411" s="148">
        <f>IFERROR(__xludf.DUMMYFUNCTION("""COMPUTED_VALUE"""),402101.0)</f>
        <v>402101</v>
      </c>
      <c r="G1411" s="148">
        <f>IFERROR(__xludf.DUMMYFUNCTION("""COMPUTED_VALUE"""),1.5114074E7)</f>
        <v>15114074</v>
      </c>
      <c r="H1411" s="148">
        <f>IFERROR(__xludf.DUMMYFUNCTION("""COMPUTED_VALUE"""),1.5112564E7)</f>
        <v>15112564</v>
      </c>
      <c r="I1411" s="148" t="str">
        <f>IFERROR(__xludf.DUMMYFUNCTION("""COMPUTED_VALUE"""),"{""typ"":""lc"",""txt"":""LC_ITEM_rss_upper_show"",""args"":[{""typ"":""int_unit"",""val"":5000}]}")</f>
        <v>{"typ":"lc","txt":"LC_ITEM_rss_upper_show","args":[{"typ":"int_unit","val":5000}]}</v>
      </c>
      <c r="J1411" s="148" t="str">
        <f>IFERROR(__xludf.DUMMYFUNCTION("""COMPUTED_VALUE"""),"{""typ"":""lc"",""txt"":""LC_ITEM_vip_xp_name"",""args"":[{""typ"":""int"",""val"":5000}]}")</f>
        <v>{"typ":"lc","txt":"LC_ITEM_vip_xp_name","args":[{"typ":"int","val":5000}]}</v>
      </c>
      <c r="K1411" s="148" t="str">
        <f>IFERROR(__xludf.DUMMYFUNCTION("""COMPUTED_VALUE"""),"{""typ"":""lc"",""txt"":""LC_ITEM_vip_xp_desc"",""args"":[{""typ"":""int"",""val"":5000}]}")</f>
        <v>{"typ":"lc","txt":"LC_ITEM_vip_xp_desc","args":[{"typ":"int","val":5000}]}</v>
      </c>
      <c r="L1411" s="148" t="str">
        <f>IFERROR(__xludf.DUMMYFUNCTION("""COMPUTED_VALUE"""),"{""typ"":""lc"",""txt"":""LC_ITEM_add_vippoints_usedtip"",""args"":[{""typ"":""int"",""val"":5000}]}")</f>
        <v>{"typ":"lc","txt":"LC_ITEM_add_vippoints_usedtip","args":[{"typ":"int","val":5000}]}</v>
      </c>
      <c r="M1411" s="148">
        <f>IFERROR(__xludf.DUMMYFUNCTION("""COMPUTED_VALUE"""),5000.0)</f>
        <v>5000</v>
      </c>
      <c r="N1411" s="148">
        <f>IFERROR(__xludf.DUMMYFUNCTION("""COMPUTED_VALUE"""),9.99999999E8)</f>
        <v>999999999</v>
      </c>
      <c r="O1411" s="148">
        <f>IFERROR(__xludf.DUMMYFUNCTION("""COMPUTED_VALUE"""),9.99999999E8)</f>
        <v>999999999</v>
      </c>
      <c r="P1411" s="148">
        <f>IFERROR(__xludf.DUMMYFUNCTION("""COMPUTED_VALUE"""),9.99999999E8)</f>
        <v>999999999</v>
      </c>
      <c r="Q1411" s="148" t="str">
        <f>IFERROR(__xludf.DUMMYFUNCTION("""COMPUTED_VALUE"""),"[""bag_other""]")</f>
        <v>["bag_other"]</v>
      </c>
      <c r="R1411" s="148" t="str">
        <f>IFERROR(__xludf.DUMMYFUNCTION("""COMPUTED_VALUE"""),"[""bag"",""asset_vip""]")</f>
        <v>["bag","asset_vip"]</v>
      </c>
      <c r="S1411" s="148" t="str">
        <f>IFERROR(__xludf.DUMMYFUNCTION("""COMPUTED_VALUE"""),"{""effect"":[{""typ"":""xp"",""id"":11161002,""val"":5000}]}")</f>
        <v>{"effect":[{"typ":"xp","id":11161002,"val":5000}]}</v>
      </c>
      <c r="T1411" s="148">
        <f>IFERROR(__xludf.DUMMYFUNCTION("""COMPUTED_VALUE"""),-1.0)</f>
        <v>-1</v>
      </c>
      <c r="U1411" s="148">
        <f>IFERROR(__xludf.DUMMYFUNCTION("""COMPUTED_VALUE"""),0.0)</f>
        <v>0</v>
      </c>
      <c r="V1411" s="148" t="str">
        <f>IFERROR(__xludf.DUMMYFUNCTION("""COMPUTED_VALUE"""),"[]")</f>
        <v>[]</v>
      </c>
      <c r="W1411" s="148">
        <f>IFERROR(__xludf.DUMMYFUNCTION("""COMPUTED_VALUE"""),1.174E7)</f>
        <v>11740000</v>
      </c>
      <c r="X1411" s="148">
        <f>IFERROR(__xludf.DUMMYFUNCTION("""COMPUTED_VALUE"""),0.0)</f>
        <v>0</v>
      </c>
      <c r="Y1411" s="148">
        <f>IFERROR(__xludf.DUMMYFUNCTION("""COMPUTED_VALUE"""),0.0)</f>
        <v>0</v>
      </c>
      <c r="Z1411" s="148"/>
    </row>
    <row r="1412">
      <c r="A1412" s="148">
        <f>IFERROR(__xludf.DUMMYFUNCTION("""COMPUTED_VALUE"""),1.1117052E7)</f>
        <v>11117052</v>
      </c>
      <c r="B1412" s="148" t="str">
        <f>IFERROR(__xludf.DUMMYFUNCTION("""COMPUTED_VALUE"""),"雷达拼图碎片")</f>
        <v>雷达拼图碎片</v>
      </c>
      <c r="C1412" s="148"/>
      <c r="D1412" s="148" t="str">
        <f>IFERROR(__xludf.DUMMYFUNCTION("""COMPUTED_VALUE"""),"radar_puzzle")</f>
        <v>radar_puzzle</v>
      </c>
      <c r="E1412" s="148">
        <f>IFERROR(__xludf.DUMMYFUNCTION("""COMPUTED_VALUE"""),0.0)</f>
        <v>0</v>
      </c>
      <c r="F1412" s="148">
        <f>IFERROR(__xludf.DUMMYFUNCTION("""COMPUTED_VALUE"""),0.0)</f>
        <v>0</v>
      </c>
      <c r="G1412" s="148">
        <f>IFERROR(__xludf.DUMMYFUNCTION("""COMPUTED_VALUE"""),1.511422E7)</f>
        <v>15114220</v>
      </c>
      <c r="H1412" s="148">
        <f>IFERROR(__xludf.DUMMYFUNCTION("""COMPUTED_VALUE"""),1.5112564E7)</f>
        <v>15112564</v>
      </c>
      <c r="I1412" s="148" t="str">
        <f>IFERROR(__xludf.DUMMYFUNCTION("""COMPUTED_VALUE"""),"{}")</f>
        <v>{}</v>
      </c>
      <c r="J1412" s="148" t="str">
        <f>IFERROR(__xludf.DUMMYFUNCTION("""COMPUTED_VALUE"""),"{""typ"":""lc"",""txt"":""LC_ITEM_radar_photo_puzzle""}")</f>
        <v>{"typ":"lc","txt":"LC_ITEM_radar_photo_puzzle"}</v>
      </c>
      <c r="K1412" s="148" t="str">
        <f>IFERROR(__xludf.DUMMYFUNCTION("""COMPUTED_VALUE"""),"{""typ"":""lc"",""txt"":""LC_ITEM_radar_puzzle_add_usetip""}")</f>
        <v>{"typ":"lc","txt":"LC_ITEM_radar_puzzle_add_usetip"}</v>
      </c>
      <c r="L1412" s="148" t="str">
        <f>IFERROR(__xludf.DUMMYFUNCTION("""COMPUTED_VALUE"""),"{""typ"":""lc"",""txt"":""LC_ITEM_radar_puzzle_add_usetip""}")</f>
        <v>{"typ":"lc","txt":"LC_ITEM_radar_puzzle_add_usetip"}</v>
      </c>
      <c r="M1412" s="148">
        <f>IFERROR(__xludf.DUMMYFUNCTION("""COMPUTED_VALUE"""),10.0)</f>
        <v>10</v>
      </c>
      <c r="N1412" s="148">
        <f>IFERROR(__xludf.DUMMYFUNCTION("""COMPUTED_VALUE"""),9.99999999E8)</f>
        <v>999999999</v>
      </c>
      <c r="O1412" s="148">
        <f>IFERROR(__xludf.DUMMYFUNCTION("""COMPUTED_VALUE"""),9.99999999E8)</f>
        <v>999999999</v>
      </c>
      <c r="P1412" s="148">
        <f>IFERROR(__xludf.DUMMYFUNCTION("""COMPUTED_VALUE"""),9.99999999E8)</f>
        <v>999999999</v>
      </c>
      <c r="Q1412" s="148" t="str">
        <f>IFERROR(__xludf.DUMMYFUNCTION("""COMPUTED_VALUE"""),"[]")</f>
        <v>[]</v>
      </c>
      <c r="R1412" s="148" t="str">
        <f>IFERROR(__xludf.DUMMYFUNCTION("""COMPUTED_VALUE"""),"[]")</f>
        <v>[]</v>
      </c>
      <c r="S1412" s="148" t="str">
        <f>IFERROR(__xludf.DUMMYFUNCTION("""COMPUTED_VALUE"""),"{}")</f>
        <v>{}</v>
      </c>
      <c r="T1412" s="148">
        <f>IFERROR(__xludf.DUMMYFUNCTION("""COMPUTED_VALUE"""),-1.0)</f>
        <v>-1</v>
      </c>
      <c r="U1412" s="148">
        <f>IFERROR(__xludf.DUMMYFUNCTION("""COMPUTED_VALUE"""),1.0)</f>
        <v>1</v>
      </c>
      <c r="V1412" s="148" t="str">
        <f>IFERROR(__xludf.DUMMYFUNCTION("""COMPUTED_VALUE"""),"[]")</f>
        <v>[]</v>
      </c>
      <c r="W1412" s="148">
        <f>IFERROR(__xludf.DUMMYFUNCTION("""COMPUTED_VALUE"""),1.174E7)</f>
        <v>11740000</v>
      </c>
      <c r="X1412" s="148">
        <f>IFERROR(__xludf.DUMMYFUNCTION("""COMPUTED_VALUE"""),0.0)</f>
        <v>0</v>
      </c>
      <c r="Y1412" s="148">
        <f>IFERROR(__xludf.DUMMYFUNCTION("""COMPUTED_VALUE"""),0.0)</f>
        <v>0</v>
      </c>
      <c r="Z1412" s="148"/>
    </row>
    <row r="1413">
      <c r="A1413" s="148">
        <f>IFERROR(__xludf.DUMMYFUNCTION("""COMPUTED_VALUE"""),1.1117053E7)</f>
        <v>11117053</v>
      </c>
      <c r="B1413" s="148" t="str">
        <f>IFERROR(__xludf.DUMMYFUNCTION("""COMPUTED_VALUE"""),"电工零件")</f>
        <v>电工零件</v>
      </c>
      <c r="C1413" s="148"/>
      <c r="D1413" s="148" t="str">
        <f>IFERROR(__xludf.DUMMYFUNCTION("""COMPUTED_VALUE"""),"item_buff")</f>
        <v>item_buff</v>
      </c>
      <c r="E1413" s="148">
        <f>IFERROR(__xludf.DUMMYFUNCTION("""COMPUTED_VALUE"""),0.0)</f>
        <v>0</v>
      </c>
      <c r="F1413" s="148">
        <f>IFERROR(__xludf.DUMMYFUNCTION("""COMPUTED_VALUE"""),0.0)</f>
        <v>0</v>
      </c>
      <c r="G1413" s="148">
        <f>IFERROR(__xludf.DUMMYFUNCTION("""COMPUTED_VALUE"""),1.5114242E7)</f>
        <v>15114242</v>
      </c>
      <c r="H1413" s="148">
        <f>IFERROR(__xludf.DUMMYFUNCTION("""COMPUTED_VALUE"""),1.5112562E7)</f>
        <v>15112562</v>
      </c>
      <c r="I1413" s="148" t="str">
        <f>IFERROR(__xludf.DUMMYFUNCTION("""COMPUTED_VALUE"""),"{}")</f>
        <v>{}</v>
      </c>
      <c r="J1413" s="148" t="str">
        <f>IFERROR(__xludf.DUMMYFUNCTION("""COMPUTED_VALUE"""),"{""typ"":""lc"",""txt"":""LC_ITEM_battery_parts""}")</f>
        <v>{"typ":"lc","txt":"LC_ITEM_battery_parts"}</v>
      </c>
      <c r="K1413" s="148" t="str">
        <f>IFERROR(__xludf.DUMMYFUNCTION("""COMPUTED_VALUE"""),"{""typ"":""lc"",""txt"":""LC_ITEM_battery_parts_desc""}")</f>
        <v>{"typ":"lc","txt":"LC_ITEM_battery_parts_desc"}</v>
      </c>
      <c r="L1413" s="148" t="str">
        <f>IFERROR(__xludf.DUMMYFUNCTION("""COMPUTED_VALUE"""),"{}")</f>
        <v>{}</v>
      </c>
      <c r="M1413" s="148">
        <f>IFERROR(__xludf.DUMMYFUNCTION("""COMPUTED_VALUE"""),353.0)</f>
        <v>353</v>
      </c>
      <c r="N1413" s="148">
        <f>IFERROR(__xludf.DUMMYFUNCTION("""COMPUTED_VALUE"""),1.0)</f>
        <v>1</v>
      </c>
      <c r="O1413" s="148">
        <f>IFERROR(__xludf.DUMMYFUNCTION("""COMPUTED_VALUE"""),1.0)</f>
        <v>1</v>
      </c>
      <c r="P1413" s="148">
        <f>IFERROR(__xludf.DUMMYFUNCTION("""COMPUTED_VALUE"""),1.0)</f>
        <v>1</v>
      </c>
      <c r="Q1413" s="148" t="str">
        <f>IFERROR(__xludf.DUMMYFUNCTION("""COMPUTED_VALUE"""),"[]")</f>
        <v>[]</v>
      </c>
      <c r="R1413" s="148" t="str">
        <f>IFERROR(__xludf.DUMMYFUNCTION("""COMPUTED_VALUE"""),"[]")</f>
        <v>[]</v>
      </c>
      <c r="S1413" s="148" t="str">
        <f>IFERROR(__xludf.DUMMYFUNCTION("""COMPUTED_VALUE"""),"{""effect"":[{""typ"":""buff"",""id"":121117183,""val"":-1,""arg1"":120}]}")</f>
        <v>{"effect":[{"typ":"buff","id":121117183,"val":-1,"arg1":120}]}</v>
      </c>
      <c r="T1413" s="148">
        <f>IFERROR(__xludf.DUMMYFUNCTION("""COMPUTED_VALUE"""),1.0)</f>
        <v>1</v>
      </c>
      <c r="U1413" s="148">
        <f>IFERROR(__xludf.DUMMYFUNCTION("""COMPUTED_VALUE"""),1.0)</f>
        <v>1</v>
      </c>
      <c r="V1413" s="148" t="str">
        <f>IFERROR(__xludf.DUMMYFUNCTION("""COMPUTED_VALUE"""),"[]")</f>
        <v>[]</v>
      </c>
      <c r="W1413" s="148">
        <f>IFERROR(__xludf.DUMMYFUNCTION("""COMPUTED_VALUE"""),1.174E7)</f>
        <v>11740000</v>
      </c>
      <c r="X1413" s="148">
        <f>IFERROR(__xludf.DUMMYFUNCTION("""COMPUTED_VALUE"""),0.0)</f>
        <v>0</v>
      </c>
      <c r="Y1413" s="148">
        <f>IFERROR(__xludf.DUMMYFUNCTION("""COMPUTED_VALUE"""),0.0)</f>
        <v>0</v>
      </c>
      <c r="Z1413" s="148"/>
    </row>
    <row r="1414">
      <c r="A1414" s="148">
        <f>IFERROR(__xludf.DUMMYFUNCTION("""COMPUTED_VALUE"""),1.1117054E7)</f>
        <v>11117054</v>
      </c>
      <c r="B1414" s="148" t="str">
        <f>IFERROR(__xludf.DUMMYFUNCTION("""COMPUTED_VALUE"""),"精工电子芯片")</f>
        <v>精工电子芯片</v>
      </c>
      <c r="C1414" s="148"/>
      <c r="D1414" s="148" t="str">
        <f>IFERROR(__xludf.DUMMYFUNCTION("""COMPUTED_VALUE"""),"item_buff")</f>
        <v>item_buff</v>
      </c>
      <c r="E1414" s="148">
        <f>IFERROR(__xludf.DUMMYFUNCTION("""COMPUTED_VALUE"""),0.0)</f>
        <v>0</v>
      </c>
      <c r="F1414" s="148">
        <f>IFERROR(__xludf.DUMMYFUNCTION("""COMPUTED_VALUE"""),0.0)</f>
        <v>0</v>
      </c>
      <c r="G1414" s="148">
        <f>IFERROR(__xludf.DUMMYFUNCTION("""COMPUTED_VALUE"""),1.5114243E7)</f>
        <v>15114243</v>
      </c>
      <c r="H1414" s="148">
        <f>IFERROR(__xludf.DUMMYFUNCTION("""COMPUTED_VALUE"""),1.5112563E7)</f>
        <v>15112563</v>
      </c>
      <c r="I1414" s="148" t="str">
        <f>IFERROR(__xludf.DUMMYFUNCTION("""COMPUTED_VALUE"""),"{}")</f>
        <v>{}</v>
      </c>
      <c r="J1414" s="148" t="str">
        <f>IFERROR(__xludf.DUMMYFUNCTION("""COMPUTED_VALUE"""),"{""typ"":""lc"",""txt"":""LC_ITEM_battery_chip""}")</f>
        <v>{"typ":"lc","txt":"LC_ITEM_battery_chip"}</v>
      </c>
      <c r="K1414" s="148" t="str">
        <f>IFERROR(__xludf.DUMMYFUNCTION("""COMPUTED_VALUE"""),"{""typ"":""lc"",""txt"":""LC_ITEM_battery_chip_desc""}")</f>
        <v>{"typ":"lc","txt":"LC_ITEM_battery_chip_desc"}</v>
      </c>
      <c r="L1414" s="148" t="str">
        <f>IFERROR(__xludf.DUMMYFUNCTION("""COMPUTED_VALUE"""),"{}")</f>
        <v>{}</v>
      </c>
      <c r="M1414" s="148">
        <f>IFERROR(__xludf.DUMMYFUNCTION("""COMPUTED_VALUE"""),13767.0)</f>
        <v>13767</v>
      </c>
      <c r="N1414" s="148">
        <f>IFERROR(__xludf.DUMMYFUNCTION("""COMPUTED_VALUE"""),1.0)</f>
        <v>1</v>
      </c>
      <c r="O1414" s="148">
        <f>IFERROR(__xludf.DUMMYFUNCTION("""COMPUTED_VALUE"""),1.0)</f>
        <v>1</v>
      </c>
      <c r="P1414" s="148">
        <f>IFERROR(__xludf.DUMMYFUNCTION("""COMPUTED_VALUE"""),1.0)</f>
        <v>1</v>
      </c>
      <c r="Q1414" s="148" t="str">
        <f>IFERROR(__xludf.DUMMYFUNCTION("""COMPUTED_VALUE"""),"[]")</f>
        <v>[]</v>
      </c>
      <c r="R1414" s="148" t="str">
        <f>IFERROR(__xludf.DUMMYFUNCTION("""COMPUTED_VALUE"""),"[]")</f>
        <v>[]</v>
      </c>
      <c r="S1414" s="148" t="str">
        <f>IFERROR(__xludf.DUMMYFUNCTION("""COMPUTED_VALUE"""),"{""effect"":[{""typ"":""buff"",""id"":121117183,""val"":-1,""arg1"":7200}]}")</f>
        <v>{"effect":[{"typ":"buff","id":121117183,"val":-1,"arg1":7200}]}</v>
      </c>
      <c r="T1414" s="148">
        <f>IFERROR(__xludf.DUMMYFUNCTION("""COMPUTED_VALUE"""),1.0)</f>
        <v>1</v>
      </c>
      <c r="U1414" s="148">
        <f>IFERROR(__xludf.DUMMYFUNCTION("""COMPUTED_VALUE"""),1.0)</f>
        <v>1</v>
      </c>
      <c r="V1414" s="148" t="str">
        <f>IFERROR(__xludf.DUMMYFUNCTION("""COMPUTED_VALUE"""),"[]")</f>
        <v>[]</v>
      </c>
      <c r="W1414" s="148">
        <f>IFERROR(__xludf.DUMMYFUNCTION("""COMPUTED_VALUE"""),1.174E7)</f>
        <v>11740000</v>
      </c>
      <c r="X1414" s="148">
        <f>IFERROR(__xludf.DUMMYFUNCTION("""COMPUTED_VALUE"""),0.0)</f>
        <v>0</v>
      </c>
      <c r="Y1414" s="148">
        <f>IFERROR(__xludf.DUMMYFUNCTION("""COMPUTED_VALUE"""),0.0)</f>
        <v>0</v>
      </c>
      <c r="Z1414" s="148"/>
    </row>
    <row r="1415">
      <c r="A1415" s="148">
        <f>IFERROR(__xludf.DUMMYFUNCTION("""COMPUTED_VALUE"""),1.1117055E7)</f>
        <v>11117055</v>
      </c>
      <c r="B1415" s="148" t="str">
        <f>IFERROR(__xludf.DUMMYFUNCTION("""COMPUTED_VALUE"""),"军工电子芯片")</f>
        <v>军工电子芯片</v>
      </c>
      <c r="C1415" s="148"/>
      <c r="D1415" s="148" t="str">
        <f>IFERROR(__xludf.DUMMYFUNCTION("""COMPUTED_VALUE"""),"item_buff")</f>
        <v>item_buff</v>
      </c>
      <c r="E1415" s="148">
        <f>IFERROR(__xludf.DUMMYFUNCTION("""COMPUTED_VALUE"""),0.0)</f>
        <v>0</v>
      </c>
      <c r="F1415" s="148">
        <f>IFERROR(__xludf.DUMMYFUNCTION("""COMPUTED_VALUE"""),0.0)</f>
        <v>0</v>
      </c>
      <c r="G1415" s="148">
        <f>IFERROR(__xludf.DUMMYFUNCTION("""COMPUTED_VALUE"""),1.5114244E7)</f>
        <v>15114244</v>
      </c>
      <c r="H1415" s="148">
        <f>IFERROR(__xludf.DUMMYFUNCTION("""COMPUTED_VALUE"""),1.5112564E7)</f>
        <v>15112564</v>
      </c>
      <c r="I1415" s="148" t="str">
        <f>IFERROR(__xludf.DUMMYFUNCTION("""COMPUTED_VALUE"""),"{}")</f>
        <v>{}</v>
      </c>
      <c r="J1415" s="148" t="str">
        <f>IFERROR(__xludf.DUMMYFUNCTION("""COMPUTED_VALUE"""),"{""typ"":""lc"",""txt"":""LC_ITEM_battery_best_chip""}")</f>
        <v>{"typ":"lc","txt":"LC_ITEM_battery_best_chip"}</v>
      </c>
      <c r="K1415" s="148" t="str">
        <f>IFERROR(__xludf.DUMMYFUNCTION("""COMPUTED_VALUE"""),"{""typ"":""lc"",""txt"":""LC_ITEM_battery_best_chip_desc""}")</f>
        <v>{"typ":"lc","txt":"LC_ITEM_battery_best_chip_desc"}</v>
      </c>
      <c r="L1415" s="148" t="str">
        <f>IFERROR(__xludf.DUMMYFUNCTION("""COMPUTED_VALUE"""),"{}")</f>
        <v>{}</v>
      </c>
      <c r="M1415" s="148">
        <f>IFERROR(__xludf.DUMMYFUNCTION("""COMPUTED_VALUE"""),41301.0)</f>
        <v>41301</v>
      </c>
      <c r="N1415" s="148">
        <f>IFERROR(__xludf.DUMMYFUNCTION("""COMPUTED_VALUE"""),1.0)</f>
        <v>1</v>
      </c>
      <c r="O1415" s="148">
        <f>IFERROR(__xludf.DUMMYFUNCTION("""COMPUTED_VALUE"""),1.0)</f>
        <v>1</v>
      </c>
      <c r="P1415" s="148">
        <f>IFERROR(__xludf.DUMMYFUNCTION("""COMPUTED_VALUE"""),1.0)</f>
        <v>1</v>
      </c>
      <c r="Q1415" s="148" t="str">
        <f>IFERROR(__xludf.DUMMYFUNCTION("""COMPUTED_VALUE"""),"[]")</f>
        <v>[]</v>
      </c>
      <c r="R1415" s="148" t="str">
        <f>IFERROR(__xludf.DUMMYFUNCTION("""COMPUTED_VALUE"""),"[]")</f>
        <v>[]</v>
      </c>
      <c r="S1415" s="148" t="str">
        <f>IFERROR(__xludf.DUMMYFUNCTION("""COMPUTED_VALUE"""),"{""effect"":[{""typ"":""buff"",""id"":121117183,""val"":-1,""arg1"":21600}]}")</f>
        <v>{"effect":[{"typ":"buff","id":121117183,"val":-1,"arg1":21600}]}</v>
      </c>
      <c r="T1415" s="148">
        <f>IFERROR(__xludf.DUMMYFUNCTION("""COMPUTED_VALUE"""),1.0)</f>
        <v>1</v>
      </c>
      <c r="U1415" s="148">
        <f>IFERROR(__xludf.DUMMYFUNCTION("""COMPUTED_VALUE"""),1.0)</f>
        <v>1</v>
      </c>
      <c r="V1415" s="148" t="str">
        <f>IFERROR(__xludf.DUMMYFUNCTION("""COMPUTED_VALUE"""),"[]")</f>
        <v>[]</v>
      </c>
      <c r="W1415" s="148">
        <f>IFERROR(__xludf.DUMMYFUNCTION("""COMPUTED_VALUE"""),1.174E7)</f>
        <v>11740000</v>
      </c>
      <c r="X1415" s="148">
        <f>IFERROR(__xludf.DUMMYFUNCTION("""COMPUTED_VALUE"""),0.0)</f>
        <v>0</v>
      </c>
      <c r="Y1415" s="148">
        <f>IFERROR(__xludf.DUMMYFUNCTION("""COMPUTED_VALUE"""),0.0)</f>
        <v>0</v>
      </c>
      <c r="Z1415" s="148"/>
    </row>
    <row r="1416">
      <c r="A1416" s="148">
        <f>IFERROR(__xludf.DUMMYFUNCTION("""COMPUTED_VALUE"""),1.1117056E7)</f>
        <v>11117056</v>
      </c>
      <c r="B1416" s="148" t="str">
        <f>IFERROR(__xludf.DUMMYFUNCTION("""COMPUTED_VALUE"""),"联盟宝箱_加帮派道具")</f>
        <v>联盟宝箱_加帮派道具</v>
      </c>
      <c r="C1416" s="148"/>
      <c r="D1416" s="148" t="str">
        <f>IFERROR(__xludf.DUMMYFUNCTION("""COMPUTED_VALUE"""),"item_union_gift_box")</f>
        <v>item_union_gift_box</v>
      </c>
      <c r="E1416" s="148">
        <f>IFERROR(__xludf.DUMMYFUNCTION("""COMPUTED_VALUE"""),16.0)</f>
        <v>16</v>
      </c>
      <c r="F1416" s="148">
        <f>IFERROR(__xludf.DUMMYFUNCTION("""COMPUTED_VALUE"""),0.0)</f>
        <v>0</v>
      </c>
      <c r="G1416" s="148">
        <f>IFERROR(__xludf.DUMMYFUNCTION("""COMPUTED_VALUE"""),1.5113194E7)</f>
        <v>15113194</v>
      </c>
      <c r="H1416" s="148">
        <f>IFERROR(__xludf.DUMMYFUNCTION("""COMPUTED_VALUE"""),1.511256E7)</f>
        <v>15112560</v>
      </c>
      <c r="I1416" s="148" t="str">
        <f>IFERROR(__xludf.DUMMYFUNCTION("""COMPUTED_VALUE"""),"{}")</f>
        <v>{}</v>
      </c>
      <c r="J1416" s="148" t="str">
        <f>IFERROR(__xludf.DUMMYFUNCTION("""COMPUTED_VALUE"""),"{""typ"":""lc"",""txt"":""LC_ITEM_item_alliance_welcome_gift_1_name""}")</f>
        <v>{"typ":"lc","txt":"LC_ITEM_item_alliance_welcome_gift_1_name"}</v>
      </c>
      <c r="K1416" s="148" t="str">
        <f>IFERROR(__xludf.DUMMYFUNCTION("""COMPUTED_VALUE"""),"{""typ"":""lc"",""txt"":""LC_ITEM_item_alliance_welcome_gift_1_desc""}")</f>
        <v>{"typ":"lc","txt":"LC_ITEM_item_alliance_welcome_gift_1_desc"}</v>
      </c>
      <c r="L1416" s="148" t="str">
        <f>IFERROR(__xludf.DUMMYFUNCTION("""COMPUTED_VALUE"""),"{}")</f>
        <v>{}</v>
      </c>
      <c r="M1416" s="148">
        <f>IFERROR(__xludf.DUMMYFUNCTION("""COMPUTED_VALUE"""),66.0)</f>
        <v>66</v>
      </c>
      <c r="N1416" s="148">
        <f>IFERROR(__xludf.DUMMYFUNCTION("""COMPUTED_VALUE"""),999999.0)</f>
        <v>999999</v>
      </c>
      <c r="O1416" s="148">
        <f>IFERROR(__xludf.DUMMYFUNCTION("""COMPUTED_VALUE"""),99999.0)</f>
        <v>99999</v>
      </c>
      <c r="P1416" s="148">
        <f>IFERROR(__xludf.DUMMYFUNCTION("""COMPUTED_VALUE"""),1.0)</f>
        <v>1</v>
      </c>
      <c r="Q1416" s="148" t="str">
        <f>IFERROR(__xludf.DUMMYFUNCTION("""COMPUTED_VALUE"""),"[]")</f>
        <v>[]</v>
      </c>
      <c r="R1416" s="148" t="str">
        <f>IFERROR(__xludf.DUMMYFUNCTION("""COMPUTED_VALUE"""),"[]")</f>
        <v>[]</v>
      </c>
      <c r="S1416" s="148" t="str">
        <f>IFERROR(__xludf.DUMMYFUNCTION("""COMPUTED_VALUE"""),"{""drop"":{""typ"":""single_random"",""num"":1,""args"":[{""typ"":""item"",""id"":11111101,""num"":10,""wgt"":1000},{""typ"":""item"",""id"":11111102,""num"":4,""wgt"":1000},{""typ"":""item"",""id"":11111103,""num"":2,""wgt"":1000},{""typ"":""item"",""id"&amp;""":11111001,""num"":2,""wgt"":1000},{""typ"":""item"",""id"":11111005,""num"":2,""wgt"":1000},{""typ"":""item"",""id"":11116003,""num"":3,""wgt"":1000},{""typ"":""item"",""id"":11116004,""num"":1,""wgt"":1000},{""typ"":""vm"",""id"":11151002,""num"":5000,"&amp;"""wgt"":1000}]}}")</f>
        <v>{"drop":{"typ":"single_random","num":1,"args":[{"typ":"item","id":11111101,"num":10,"wgt":1000},{"typ":"item","id":11111102,"num":4,"wgt":1000},{"typ":"item","id":11111103,"num":2,"wgt":1000},{"typ":"item","id":11111001,"num":2,"wgt":1000},{"typ":"item","id":11111005,"num":2,"wgt":1000},{"typ":"item","id":11116003,"num":3,"wgt":1000},{"typ":"item","id":11116004,"num":1,"wgt":1000},{"typ":"vm","id":11151002,"num":5000,"wgt":1000}]}}</v>
      </c>
      <c r="T1416" s="148">
        <f>IFERROR(__xludf.DUMMYFUNCTION("""COMPUTED_VALUE"""),-1.0)</f>
        <v>-1</v>
      </c>
      <c r="U1416" s="148">
        <f>IFERROR(__xludf.DUMMYFUNCTION("""COMPUTED_VALUE"""),0.0)</f>
        <v>0</v>
      </c>
      <c r="V1416" s="148" t="str">
        <f>IFERROR(__xludf.DUMMYFUNCTION("""COMPUTED_VALUE"""),"[]")</f>
        <v>[]</v>
      </c>
      <c r="W1416" s="148">
        <f>IFERROR(__xludf.DUMMYFUNCTION("""COMPUTED_VALUE"""),1.174E7)</f>
        <v>11740000</v>
      </c>
      <c r="X1416" s="148">
        <f>IFERROR(__xludf.DUMMYFUNCTION("""COMPUTED_VALUE"""),0.0)</f>
        <v>0</v>
      </c>
      <c r="Y1416" s="148">
        <f>IFERROR(__xludf.DUMMYFUNCTION("""COMPUTED_VALUE"""),0.0)</f>
        <v>0</v>
      </c>
      <c r="Z1416" s="148"/>
    </row>
    <row r="1417">
      <c r="A1417" s="148">
        <f>IFERROR(__xludf.DUMMYFUNCTION("""COMPUTED_VALUE"""),1.1117057E7)</f>
        <v>11117057</v>
      </c>
      <c r="B1417" s="148" t="str">
        <f>IFERROR(__xludf.DUMMYFUNCTION("""COMPUTED_VALUE"""),"联盟宝箱_加帮派CD")</f>
        <v>联盟宝箱_加帮派CD</v>
      </c>
      <c r="C1417" s="148"/>
      <c r="D1417" s="148" t="str">
        <f>IFERROR(__xludf.DUMMYFUNCTION("""COMPUTED_VALUE"""),"item_union_gift_box")</f>
        <v>item_union_gift_box</v>
      </c>
      <c r="E1417" s="148">
        <f>IFERROR(__xludf.DUMMYFUNCTION("""COMPUTED_VALUE"""),16.0)</f>
        <v>16</v>
      </c>
      <c r="F1417" s="148">
        <f>IFERROR(__xludf.DUMMYFUNCTION("""COMPUTED_VALUE"""),0.0)</f>
        <v>0</v>
      </c>
      <c r="G1417" s="148">
        <f>IFERROR(__xludf.DUMMYFUNCTION("""COMPUTED_VALUE"""),1.5113194E7)</f>
        <v>15113194</v>
      </c>
      <c r="H1417" s="148">
        <f>IFERROR(__xludf.DUMMYFUNCTION("""COMPUTED_VALUE"""),1.5112561E7)</f>
        <v>15112561</v>
      </c>
      <c r="I1417" s="148" t="str">
        <f>IFERROR(__xludf.DUMMYFUNCTION("""COMPUTED_VALUE"""),"{}")</f>
        <v>{}</v>
      </c>
      <c r="J1417" s="148" t="str">
        <f>IFERROR(__xludf.DUMMYFUNCTION("""COMPUTED_VALUE"""),"{""typ"":""lc"",""txt"":""LC_ITEM_item_alliance_welcome_gift_1_name""}")</f>
        <v>{"typ":"lc","txt":"LC_ITEM_item_alliance_welcome_gift_1_name"}</v>
      </c>
      <c r="K1417" s="148" t="str">
        <f>IFERROR(__xludf.DUMMYFUNCTION("""COMPUTED_VALUE"""),"{""typ"":""lc"",""txt"":""LC_ITEM_item_alliance_welcome_gift_2_desc""}")</f>
        <v>{"typ":"lc","txt":"LC_ITEM_item_alliance_welcome_gift_2_desc"}</v>
      </c>
      <c r="L1417" s="148" t="str">
        <f>IFERROR(__xludf.DUMMYFUNCTION("""COMPUTED_VALUE"""),"{}")</f>
        <v>{}</v>
      </c>
      <c r="M1417" s="148">
        <f>IFERROR(__xludf.DUMMYFUNCTION("""COMPUTED_VALUE"""),66.0)</f>
        <v>66</v>
      </c>
      <c r="N1417" s="148">
        <f>IFERROR(__xludf.DUMMYFUNCTION("""COMPUTED_VALUE"""),999999.0)</f>
        <v>999999</v>
      </c>
      <c r="O1417" s="148">
        <f>IFERROR(__xludf.DUMMYFUNCTION("""COMPUTED_VALUE"""),99999.0)</f>
        <v>99999</v>
      </c>
      <c r="P1417" s="148">
        <f>IFERROR(__xludf.DUMMYFUNCTION("""COMPUTED_VALUE"""),1.0)</f>
        <v>1</v>
      </c>
      <c r="Q1417" s="148" t="str">
        <f>IFERROR(__xludf.DUMMYFUNCTION("""COMPUTED_VALUE"""),"[]")</f>
        <v>[]</v>
      </c>
      <c r="R1417" s="148" t="str">
        <f>IFERROR(__xludf.DUMMYFUNCTION("""COMPUTED_VALUE"""),"[]")</f>
        <v>[]</v>
      </c>
      <c r="S1417" s="148" t="str">
        <f>IFERROR(__xludf.DUMMYFUNCTION("""COMPUTED_VALUE"""),"{""drop"":{""typ"":""single_all"",""num"":1,""args"":[{""typ"":""single_all"",""num"":1,""args"":[{""typ"":""item"",""id"":11111021,""num"":1,""wgt"":30}]}]}}")</f>
        <v>{"drop":{"typ":"single_all","num":1,"args":[{"typ":"single_all","num":1,"args":[{"typ":"item","id":11111021,"num":1,"wgt":30}]}]}}</v>
      </c>
      <c r="T1417" s="148">
        <f>IFERROR(__xludf.DUMMYFUNCTION("""COMPUTED_VALUE"""),-1.0)</f>
        <v>-1</v>
      </c>
      <c r="U1417" s="148">
        <f>IFERROR(__xludf.DUMMYFUNCTION("""COMPUTED_VALUE"""),0.0)</f>
        <v>0</v>
      </c>
      <c r="V1417" s="148" t="str">
        <f>IFERROR(__xludf.DUMMYFUNCTION("""COMPUTED_VALUE"""),"[]")</f>
        <v>[]</v>
      </c>
      <c r="W1417" s="148">
        <f>IFERROR(__xludf.DUMMYFUNCTION("""COMPUTED_VALUE"""),1.174E7)</f>
        <v>11740000</v>
      </c>
      <c r="X1417" s="148">
        <f>IFERROR(__xludf.DUMMYFUNCTION("""COMPUTED_VALUE"""),0.0)</f>
        <v>0</v>
      </c>
      <c r="Y1417" s="148">
        <f>IFERROR(__xludf.DUMMYFUNCTION("""COMPUTED_VALUE"""),0.0)</f>
        <v>0</v>
      </c>
      <c r="Z1417" s="148"/>
    </row>
    <row r="1418">
      <c r="A1418" s="148">
        <f>IFERROR(__xludf.DUMMYFUNCTION("""COMPUTED_VALUE"""),1.1117058E7)</f>
        <v>11117058</v>
      </c>
      <c r="B1418" s="148" t="str">
        <f>IFERROR(__xludf.DUMMYFUNCTION("""COMPUTED_VALUE"""),"银行卡点数道具-1点")</f>
        <v>银行卡点数道具-1点</v>
      </c>
      <c r="C1418" s="148"/>
      <c r="D1418" s="148" t="str">
        <f>IFERROR(__xludf.DUMMYFUNCTION("""COMPUTED_VALUE"""),"item_asset")</f>
        <v>item_asset</v>
      </c>
      <c r="E1418" s="148">
        <f>IFERROR(__xludf.DUMMYFUNCTION("""COMPUTED_VALUE"""),0.0)</f>
        <v>0</v>
      </c>
      <c r="F1418" s="148">
        <f>IFERROR(__xludf.DUMMYFUNCTION("""COMPUTED_VALUE"""),0.0)</f>
        <v>0</v>
      </c>
      <c r="G1418" s="148">
        <f>IFERROR(__xludf.DUMMYFUNCTION("""COMPUTED_VALUE"""),1.5114268E7)</f>
        <v>15114268</v>
      </c>
      <c r="H1418" s="148">
        <f>IFERROR(__xludf.DUMMYFUNCTION("""COMPUTED_VALUE"""),1.5112564E7)</f>
        <v>15112564</v>
      </c>
      <c r="I1418" s="148" t="str">
        <f>IFERROR(__xludf.DUMMYFUNCTION("""COMPUTED_VALUE"""),"{}")</f>
        <v>{}</v>
      </c>
      <c r="J1418" s="148" t="str">
        <f>IFERROR(__xludf.DUMMYFUNCTION("""COMPUTED_VALUE"""),"{""typ"":""lc"",""txt"":""LC_ITEM_bank_card_exp_name""}")</f>
        <v>{"typ":"lc","txt":"LC_ITEM_bank_card_exp_name"}</v>
      </c>
      <c r="K1418" s="148" t="str">
        <f>IFERROR(__xludf.DUMMYFUNCTION("""COMPUTED_VALUE"""),"{""typ"":""lc"",""txt"":""LC_ITEM_bank_card_exp_desc""}")</f>
        <v>{"typ":"lc","txt":"LC_ITEM_bank_card_exp_desc"}</v>
      </c>
      <c r="L1418" s="148" t="str">
        <f>IFERROR(__xludf.DUMMYFUNCTION("""COMPUTED_VALUE"""),"{}")</f>
        <v>{}</v>
      </c>
      <c r="M1418" s="148">
        <f>IFERROR(__xludf.DUMMYFUNCTION("""COMPUTED_VALUE"""),200.0)</f>
        <v>200</v>
      </c>
      <c r="N1418" s="148">
        <f>IFERROR(__xludf.DUMMYFUNCTION("""COMPUTED_VALUE"""),999999.0)</f>
        <v>999999</v>
      </c>
      <c r="O1418" s="148">
        <f>IFERROR(__xludf.DUMMYFUNCTION("""COMPUTED_VALUE"""),99999.0)</f>
        <v>99999</v>
      </c>
      <c r="P1418" s="148">
        <f>IFERROR(__xludf.DUMMYFUNCTION("""COMPUTED_VALUE"""),9999.0)</f>
        <v>9999</v>
      </c>
      <c r="Q1418" s="148" t="str">
        <f>IFERROR(__xludf.DUMMYFUNCTION("""COMPUTED_VALUE"""),"[]")</f>
        <v>[]</v>
      </c>
      <c r="R1418" s="148" t="str">
        <f>IFERROR(__xludf.DUMMYFUNCTION("""COMPUTED_VALUE"""),"[]")</f>
        <v>[]</v>
      </c>
      <c r="S1418" s="148" t="str">
        <f>IFERROR(__xludf.DUMMYFUNCTION("""COMPUTED_VALUE"""),"{""effect"":[{""typ"":""xp"",""id"":11161006,""val"":1}]}")</f>
        <v>{"effect":[{"typ":"xp","id":11161006,"val":1}]}</v>
      </c>
      <c r="T1418" s="148">
        <f>IFERROR(__xludf.DUMMYFUNCTION("""COMPUTED_VALUE"""),-1.0)</f>
        <v>-1</v>
      </c>
      <c r="U1418" s="148">
        <f>IFERROR(__xludf.DUMMYFUNCTION("""COMPUTED_VALUE"""),1.0)</f>
        <v>1</v>
      </c>
      <c r="V1418" s="148" t="str">
        <f>IFERROR(__xludf.DUMMYFUNCTION("""COMPUTED_VALUE"""),"[]")</f>
        <v>[]</v>
      </c>
      <c r="W1418" s="148">
        <f>IFERROR(__xludf.DUMMYFUNCTION("""COMPUTED_VALUE"""),1.174E7)</f>
        <v>11740000</v>
      </c>
      <c r="X1418" s="148">
        <f>IFERROR(__xludf.DUMMYFUNCTION("""COMPUTED_VALUE"""),0.0)</f>
        <v>0</v>
      </c>
      <c r="Y1418" s="148">
        <f>IFERROR(__xludf.DUMMYFUNCTION("""COMPUTED_VALUE"""),0.0)</f>
        <v>0</v>
      </c>
      <c r="Z1418" s="148"/>
    </row>
    <row r="1419">
      <c r="A1419" s="148">
        <f>IFERROR(__xludf.DUMMYFUNCTION("""COMPUTED_VALUE"""),1.1117059E7)</f>
        <v>11117059</v>
      </c>
      <c r="B1419" s="148" t="str">
        <f>IFERROR(__xludf.DUMMYFUNCTION("""COMPUTED_VALUE"""),"游泳圈（抽奖道具）")</f>
        <v>游泳圈（抽奖道具）</v>
      </c>
      <c r="C1419" s="148"/>
      <c r="D1419" s="148" t="str">
        <f>IFERROR(__xludf.DUMMYFUNCTION("""COMPUTED_VALUE"""),"event")</f>
        <v>event</v>
      </c>
      <c r="E1419" s="148">
        <f>IFERROR(__xludf.DUMMYFUNCTION("""COMPUTED_VALUE"""),0.0)</f>
        <v>0</v>
      </c>
      <c r="F1419" s="148">
        <f>IFERROR(__xludf.DUMMYFUNCTION("""COMPUTED_VALUE"""),405220.0)</f>
        <v>405220</v>
      </c>
      <c r="G1419" s="148">
        <f>IFERROR(__xludf.DUMMYFUNCTION("""COMPUTED_VALUE"""),1.5114286E7)</f>
        <v>15114286</v>
      </c>
      <c r="H1419" s="148">
        <f>IFERROR(__xludf.DUMMYFUNCTION("""COMPUTED_VALUE"""),1.5112563E7)</f>
        <v>15112563</v>
      </c>
      <c r="I1419" s="148" t="str">
        <f>IFERROR(__xludf.DUMMYFUNCTION("""COMPUTED_VALUE"""),"{}")</f>
        <v>{}</v>
      </c>
      <c r="J1419" s="148" t="str">
        <f>IFERROR(__xludf.DUMMYFUNCTION("""COMPUTED_VALUE"""),"{""typ"":""lc"",""txt"":""LC_ITEM_swimming_ring""}")</f>
        <v>{"typ":"lc","txt":"LC_ITEM_swimming_ring"}</v>
      </c>
      <c r="K1419" s="148" t="str">
        <f>IFERROR(__xludf.DUMMYFUNCTION("""COMPUTED_VALUE"""),"{""typ"":""lc"",""txt"":""LC_ITEM_swimming_ring_desc""}")</f>
        <v>{"typ":"lc","txt":"LC_ITEM_swimming_ring_desc"}</v>
      </c>
      <c r="L1419" s="148" t="str">
        <f>IFERROR(__xludf.DUMMYFUNCTION("""COMPUTED_VALUE"""),"{}")</f>
        <v>{}</v>
      </c>
      <c r="M1419" s="148">
        <f>IFERROR(__xludf.DUMMYFUNCTION("""COMPUTED_VALUE"""),700.0)</f>
        <v>700</v>
      </c>
      <c r="N1419" s="148">
        <f>IFERROR(__xludf.DUMMYFUNCTION("""COMPUTED_VALUE"""),9.99999999E8)</f>
        <v>999999999</v>
      </c>
      <c r="O1419" s="148">
        <f>IFERROR(__xludf.DUMMYFUNCTION("""COMPUTED_VALUE"""),9.99999999E8)</f>
        <v>999999999</v>
      </c>
      <c r="P1419" s="148">
        <f>IFERROR(__xludf.DUMMYFUNCTION("""COMPUTED_VALUE"""),9.99999999E8)</f>
        <v>999999999</v>
      </c>
      <c r="Q1419" s="148" t="str">
        <f>IFERROR(__xludf.DUMMYFUNCTION("""COMPUTED_VALUE"""),"[""bag_other""]")</f>
        <v>["bag_other"]</v>
      </c>
      <c r="R1419" s="148" t="str">
        <f>IFERROR(__xludf.DUMMYFUNCTION("""COMPUTED_VALUE"""),"[""bag""]")</f>
        <v>["bag"]</v>
      </c>
      <c r="S1419" s="148" t="str">
        <f>IFERROR(__xludf.DUMMYFUNCTION("""COMPUTED_VALUE"""),"{}")</f>
        <v>{}</v>
      </c>
      <c r="T1419" s="148">
        <f>IFERROR(__xludf.DUMMYFUNCTION("""COMPUTED_VALUE"""),-1.0)</f>
        <v>-1</v>
      </c>
      <c r="U1419" s="148">
        <f>IFERROR(__xludf.DUMMYFUNCTION("""COMPUTED_VALUE"""),0.0)</f>
        <v>0</v>
      </c>
      <c r="V1419" s="148" t="str">
        <f>IFERROR(__xludf.DUMMYFUNCTION("""COMPUTED_VALUE"""),"[]")</f>
        <v>[]</v>
      </c>
      <c r="W1419" s="148">
        <f>IFERROR(__xludf.DUMMYFUNCTION("""COMPUTED_VALUE"""),1.174E7)</f>
        <v>11740000</v>
      </c>
      <c r="X1419" s="148">
        <f>IFERROR(__xludf.DUMMYFUNCTION("""COMPUTED_VALUE"""),0.0)</f>
        <v>0</v>
      </c>
      <c r="Y1419" s="148">
        <f>IFERROR(__xludf.DUMMYFUNCTION("""COMPUTED_VALUE"""),0.0)</f>
        <v>0</v>
      </c>
      <c r="Z1419" s="148"/>
    </row>
    <row r="1420">
      <c r="A1420" s="148">
        <f>IFERROR(__xludf.DUMMYFUNCTION("""COMPUTED_VALUE"""),1.111706E7)</f>
        <v>11117060</v>
      </c>
      <c r="B1420" s="148" t="str">
        <f>IFERROR(__xludf.DUMMYFUNCTION("""COMPUTED_VALUE"""),"贝壳（兑换道具）")</f>
        <v>贝壳（兑换道具）</v>
      </c>
      <c r="C1420" s="148"/>
      <c r="D1420" s="148" t="str">
        <f>IFERROR(__xludf.DUMMYFUNCTION("""COMPUTED_VALUE"""),"event")</f>
        <v>event</v>
      </c>
      <c r="E1420" s="148">
        <f>IFERROR(__xludf.DUMMYFUNCTION("""COMPUTED_VALUE"""),0.0)</f>
        <v>0</v>
      </c>
      <c r="F1420" s="148">
        <f>IFERROR(__xludf.DUMMYFUNCTION("""COMPUTED_VALUE"""),405221.0)</f>
        <v>405221</v>
      </c>
      <c r="G1420" s="148">
        <f>IFERROR(__xludf.DUMMYFUNCTION("""COMPUTED_VALUE"""),1.5114287E7)</f>
        <v>15114287</v>
      </c>
      <c r="H1420" s="148">
        <f>IFERROR(__xludf.DUMMYFUNCTION("""COMPUTED_VALUE"""),1.5112563E7)</f>
        <v>15112563</v>
      </c>
      <c r="I1420" s="148" t="str">
        <f>IFERROR(__xludf.DUMMYFUNCTION("""COMPUTED_VALUE"""),"{}")</f>
        <v>{}</v>
      </c>
      <c r="J1420" s="148" t="str">
        <f>IFERROR(__xludf.DUMMYFUNCTION("""COMPUTED_VALUE"""),"{""typ"":""lc"",""txt"":""LC_ITEM_conch""}")</f>
        <v>{"typ":"lc","txt":"LC_ITEM_conch"}</v>
      </c>
      <c r="K1420" s="148" t="str">
        <f>IFERROR(__xludf.DUMMYFUNCTION("""COMPUTED_VALUE"""),"{""typ"":""lc"",""txt"":""LC_ITEM_conch_desc""}")</f>
        <v>{"typ":"lc","txt":"LC_ITEM_conch_desc"}</v>
      </c>
      <c r="L1420" s="148" t="str">
        <f>IFERROR(__xludf.DUMMYFUNCTION("""COMPUTED_VALUE"""),"{}")</f>
        <v>{}</v>
      </c>
      <c r="M1420" s="148">
        <f>IFERROR(__xludf.DUMMYFUNCTION("""COMPUTED_VALUE"""),100.0)</f>
        <v>100</v>
      </c>
      <c r="N1420" s="148">
        <f>IFERROR(__xludf.DUMMYFUNCTION("""COMPUTED_VALUE"""),9.99999999E8)</f>
        <v>999999999</v>
      </c>
      <c r="O1420" s="148">
        <f>IFERROR(__xludf.DUMMYFUNCTION("""COMPUTED_VALUE"""),9.99999999E8)</f>
        <v>999999999</v>
      </c>
      <c r="P1420" s="148">
        <f>IFERROR(__xludf.DUMMYFUNCTION("""COMPUTED_VALUE"""),9.99999999E8)</f>
        <v>999999999</v>
      </c>
      <c r="Q1420" s="148" t="str">
        <f>IFERROR(__xludf.DUMMYFUNCTION("""COMPUTED_VALUE"""),"[""bag_other""]")</f>
        <v>["bag_other"]</v>
      </c>
      <c r="R1420" s="148" t="str">
        <f>IFERROR(__xludf.DUMMYFUNCTION("""COMPUTED_VALUE"""),"[""bag""]")</f>
        <v>["bag"]</v>
      </c>
      <c r="S1420" s="148" t="str">
        <f>IFERROR(__xludf.DUMMYFUNCTION("""COMPUTED_VALUE"""),"{}")</f>
        <v>{}</v>
      </c>
      <c r="T1420" s="148">
        <f>IFERROR(__xludf.DUMMYFUNCTION("""COMPUTED_VALUE"""),-1.0)</f>
        <v>-1</v>
      </c>
      <c r="U1420" s="148">
        <f>IFERROR(__xludf.DUMMYFUNCTION("""COMPUTED_VALUE"""),0.0)</f>
        <v>0</v>
      </c>
      <c r="V1420" s="148" t="str">
        <f>IFERROR(__xludf.DUMMYFUNCTION("""COMPUTED_VALUE"""),"[]")</f>
        <v>[]</v>
      </c>
      <c r="W1420" s="148">
        <f>IFERROR(__xludf.DUMMYFUNCTION("""COMPUTED_VALUE"""),1.174E7)</f>
        <v>11740000</v>
      </c>
      <c r="X1420" s="148">
        <f>IFERROR(__xludf.DUMMYFUNCTION("""COMPUTED_VALUE"""),0.0)</f>
        <v>0</v>
      </c>
      <c r="Y1420" s="148">
        <f>IFERROR(__xludf.DUMMYFUNCTION("""COMPUTED_VALUE"""),0.0)</f>
        <v>0</v>
      </c>
      <c r="Z1420" s="148"/>
    </row>
    <row r="1421">
      <c r="A1421" s="148">
        <f>IFERROR(__xludf.DUMMYFUNCTION("""COMPUTED_VALUE"""),1.1117061E7)</f>
        <v>11117061</v>
      </c>
      <c r="B1421" s="148" t="str">
        <f>IFERROR(__xludf.DUMMYFUNCTION("""COMPUTED_VALUE"""),"主城皮肤-泳池")</f>
        <v>主城皮肤-泳池</v>
      </c>
      <c r="C1421" s="148"/>
      <c r="D1421" s="148" t="str">
        <f>IFERROR(__xludf.DUMMYFUNCTION("""COMPUTED_VALUE"""),"city_skin")</f>
        <v>city_skin</v>
      </c>
      <c r="E1421" s="148">
        <f>IFERROR(__xludf.DUMMYFUNCTION("""COMPUTED_VALUE"""),21.0)</f>
        <v>21</v>
      </c>
      <c r="F1421" s="148">
        <f>IFERROR(__xludf.DUMMYFUNCTION("""COMPUTED_VALUE"""),400105.0)</f>
        <v>400105</v>
      </c>
      <c r="G1421" s="148">
        <f>IFERROR(__xludf.DUMMYFUNCTION("""COMPUTED_VALUE"""),1.5114285E7)</f>
        <v>15114285</v>
      </c>
      <c r="H1421" s="148">
        <f>IFERROR(__xludf.DUMMYFUNCTION("""COMPUTED_VALUE"""),1.5112564E7)</f>
        <v>15112564</v>
      </c>
      <c r="I1421" s="148" t="str">
        <f>IFERROR(__xludf.DUMMYFUNCTION("""COMPUTED_VALUE"""),"{}")</f>
        <v>{}</v>
      </c>
      <c r="J1421" s="148" t="str">
        <f>IFERROR(__xludf.DUMMYFUNCTION("""COMPUTED_VALUE"""),"{""typ"":""lc"",""txt"":""LC_ITEM_city_skin_pool_name""}")</f>
        <v>{"typ":"lc","txt":"LC_ITEM_city_skin_pool_name"}</v>
      </c>
      <c r="K1421" s="148" t="str">
        <f>IFERROR(__xludf.DUMMYFUNCTION("""COMPUTED_VALUE"""),"{""typ"":""lc"",""txt"":""LC_ITEM_city_skin_pool_desc""}")</f>
        <v>{"typ":"lc","txt":"LC_ITEM_city_skin_pool_desc"}</v>
      </c>
      <c r="L1421" s="148" t="str">
        <f>IFERROR(__xludf.DUMMYFUNCTION("""COMPUTED_VALUE"""),"{""typ"":""lc"",""txt"":""LC_ITEM_city_skin_rocket_use_tips""}")</f>
        <v>{"typ":"lc","txt":"LC_ITEM_city_skin_rocket_use_tips"}</v>
      </c>
      <c r="M1421" s="148">
        <f>IFERROR(__xludf.DUMMYFUNCTION("""COMPUTED_VALUE"""),10000.0)</f>
        <v>10000</v>
      </c>
      <c r="N1421" s="148">
        <f>IFERROR(__xludf.DUMMYFUNCTION("""COMPUTED_VALUE"""),999.0)</f>
        <v>999</v>
      </c>
      <c r="O1421" s="148">
        <f>IFERROR(__xludf.DUMMYFUNCTION("""COMPUTED_VALUE"""),1.0)</f>
        <v>1</v>
      </c>
      <c r="P1421" s="148">
        <f>IFERROR(__xludf.DUMMYFUNCTION("""COMPUTED_VALUE"""),1.0)</f>
        <v>1</v>
      </c>
      <c r="Q1421" s="148" t="str">
        <f>IFERROR(__xludf.DUMMYFUNCTION("""COMPUTED_VALUE"""),"[""bag_other""]")</f>
        <v>["bag_other"]</v>
      </c>
      <c r="R1421" s="148" t="str">
        <f>IFERROR(__xludf.DUMMYFUNCTION("""COMPUTED_VALUE"""),"[""bag"",""13121004""]")</f>
        <v>["bag","13121004"]</v>
      </c>
      <c r="S1421" s="148" t="str">
        <f>IFERROR(__xludf.DUMMYFUNCTION("""COMPUTED_VALUE"""),"{""effect"":[{""typ"":""city_skin"",""id"":13121004,""val"":-1},{""typ"":""item"",""id"":11111034,""val"":10}]}")</f>
        <v>{"effect":[{"typ":"city_skin","id":13121004,"val":-1},{"typ":"item","id":11111034,"val":10}]}</v>
      </c>
      <c r="T1421" s="148">
        <f>IFERROR(__xludf.DUMMYFUNCTION("""COMPUTED_VALUE"""),-1.0)</f>
        <v>-1</v>
      </c>
      <c r="U1421" s="148">
        <f>IFERROR(__xludf.DUMMYFUNCTION("""COMPUTED_VALUE"""),0.0)</f>
        <v>0</v>
      </c>
      <c r="V1421" s="148" t="str">
        <f>IFERROR(__xludf.DUMMYFUNCTION("""COMPUTED_VALUE"""),"[]")</f>
        <v>[]</v>
      </c>
      <c r="W1421" s="148">
        <f>IFERROR(__xludf.DUMMYFUNCTION("""COMPUTED_VALUE"""),1.174E7)</f>
        <v>11740000</v>
      </c>
      <c r="X1421" s="148">
        <f>IFERROR(__xludf.DUMMYFUNCTION("""COMPUTED_VALUE"""),0.0)</f>
        <v>0</v>
      </c>
      <c r="Y1421" s="148">
        <f>IFERROR(__xludf.DUMMYFUNCTION("""COMPUTED_VALUE"""),0.0)</f>
        <v>0</v>
      </c>
      <c r="Z1421" s="148"/>
    </row>
    <row r="1422">
      <c r="A1422" s="148">
        <f>IFERROR(__xludf.DUMMYFUNCTION("""COMPUTED_VALUE"""),1.1117062E7)</f>
        <v>11117062</v>
      </c>
      <c r="B1422" s="148" t="str">
        <f>IFERROR(__xludf.DUMMYFUNCTION("""COMPUTED_VALUE"""),"主城皮肤-泳池（2天）")</f>
        <v>主城皮肤-泳池（2天）</v>
      </c>
      <c r="C1422" s="148"/>
      <c r="D1422" s="148" t="str">
        <f>IFERROR(__xludf.DUMMYFUNCTION("""COMPUTED_VALUE"""),"city_skin")</f>
        <v>city_skin</v>
      </c>
      <c r="E1422" s="148">
        <f>IFERROR(__xludf.DUMMYFUNCTION("""COMPUTED_VALUE"""),21.0)</f>
        <v>21</v>
      </c>
      <c r="F1422" s="148">
        <f>IFERROR(__xludf.DUMMYFUNCTION("""COMPUTED_VALUE"""),404201.0)</f>
        <v>404201</v>
      </c>
      <c r="G1422" s="148">
        <f>IFERROR(__xludf.DUMMYFUNCTION("""COMPUTED_VALUE"""),1.5114285E7)</f>
        <v>15114285</v>
      </c>
      <c r="H1422" s="148">
        <f>IFERROR(__xludf.DUMMYFUNCTION("""COMPUTED_VALUE"""),1.5112563E7)</f>
        <v>15112563</v>
      </c>
      <c r="I1422" s="148" t="str">
        <f>IFERROR(__xludf.DUMMYFUNCTION("""COMPUTED_VALUE"""),"{""typ"":""lc"",""txt"":""LC_ITEM_time_day_upper_show"",""args"":[{""typ"":""int"",""val"":2}]}")</f>
        <v>{"typ":"lc","txt":"LC_ITEM_time_day_upper_show","args":[{"typ":"int","val":2}]}</v>
      </c>
      <c r="J1422" s="148" t="str">
        <f>IFERROR(__xludf.DUMMYFUNCTION("""COMPUTED_VALUE"""),"{""typ"":""lc"",""txt"":""LC_ITEM_city_skin_pool_48h_name""}")</f>
        <v>{"typ":"lc","txt":"LC_ITEM_city_skin_pool_48h_name"}</v>
      </c>
      <c r="K1422" s="148" t="str">
        <f>IFERROR(__xludf.DUMMYFUNCTION("""COMPUTED_VALUE"""),"{""typ"":""lc"",""txt"":""LC_ITEM_city_skin_pool_18h_desc""}")</f>
        <v>{"typ":"lc","txt":"LC_ITEM_city_skin_pool_18h_desc"}</v>
      </c>
      <c r="L1422" s="148" t="str">
        <f>IFERROR(__xludf.DUMMYFUNCTION("""COMPUTED_VALUE"""),"{""typ"":""lc"",""txt"":""LC_ITEM_city_skin_rocket_use_tips""}")</f>
        <v>{"typ":"lc","txt":"LC_ITEM_city_skin_rocket_use_tips"}</v>
      </c>
      <c r="M1422" s="148">
        <f>IFERROR(__xludf.DUMMYFUNCTION("""COMPUTED_VALUE"""),500.0)</f>
        <v>500</v>
      </c>
      <c r="N1422" s="148">
        <f>IFERROR(__xludf.DUMMYFUNCTION("""COMPUTED_VALUE"""),999.0)</f>
        <v>999</v>
      </c>
      <c r="O1422" s="148">
        <f>IFERROR(__xludf.DUMMYFUNCTION("""COMPUTED_VALUE"""),1.0)</f>
        <v>1</v>
      </c>
      <c r="P1422" s="148">
        <f>IFERROR(__xludf.DUMMYFUNCTION("""COMPUTED_VALUE"""),1.0)</f>
        <v>1</v>
      </c>
      <c r="Q1422" s="148" t="str">
        <f>IFERROR(__xludf.DUMMYFUNCTION("""COMPUTED_VALUE"""),"[""bag_other""]")</f>
        <v>["bag_other"]</v>
      </c>
      <c r="R1422" s="148" t="str">
        <f>IFERROR(__xludf.DUMMYFUNCTION("""COMPUTED_VALUE"""),"[""bag"",""13121004""]")</f>
        <v>["bag","13121004"]</v>
      </c>
      <c r="S1422" s="148" t="str">
        <f>IFERROR(__xludf.DUMMYFUNCTION("""COMPUTED_VALUE"""),"{""effect"":[{""typ"":""city_skin"",""id"":13121004,""val"":172800000},{""typ"":""item"",""id"":11111021,""val"":1}]}")</f>
        <v>{"effect":[{"typ":"city_skin","id":13121004,"val":172800000},{"typ":"item","id":11111021,"val":1}]}</v>
      </c>
      <c r="T1422" s="148">
        <f>IFERROR(__xludf.DUMMYFUNCTION("""COMPUTED_VALUE"""),-1.0)</f>
        <v>-1</v>
      </c>
      <c r="U1422" s="148">
        <f>IFERROR(__xludf.DUMMYFUNCTION("""COMPUTED_VALUE"""),0.0)</f>
        <v>0</v>
      </c>
      <c r="V1422" s="148" t="str">
        <f>IFERROR(__xludf.DUMMYFUNCTION("""COMPUTED_VALUE"""),"[]")</f>
        <v>[]</v>
      </c>
      <c r="W1422" s="148">
        <f>IFERROR(__xludf.DUMMYFUNCTION("""COMPUTED_VALUE"""),1.174E7)</f>
        <v>11740000</v>
      </c>
      <c r="X1422" s="148">
        <f>IFERROR(__xludf.DUMMYFUNCTION("""COMPUTED_VALUE"""),0.0)</f>
        <v>0</v>
      </c>
      <c r="Y1422" s="148">
        <f>IFERROR(__xludf.DUMMYFUNCTION("""COMPUTED_VALUE"""),0.0)</f>
        <v>0</v>
      </c>
      <c r="Z1422" s="148"/>
    </row>
    <row r="1423">
      <c r="A1423" s="148">
        <f>IFERROR(__xludf.DUMMYFUNCTION("""COMPUTED_VALUE"""),1.1117063E7)</f>
        <v>11117063</v>
      </c>
      <c r="B1423" s="148" t="str">
        <f>IFERROR(__xludf.DUMMYFUNCTION("""COMPUTED_VALUE"""),"押运积分")</f>
        <v>押运积分</v>
      </c>
      <c r="C1423" s="148"/>
      <c r="D1423" s="148" t="str">
        <f>IFERROR(__xludf.DUMMYFUNCTION("""COMPUTED_VALUE"""),"battle_pass_exp")</f>
        <v>battle_pass_exp</v>
      </c>
      <c r="E1423" s="148">
        <f>IFERROR(__xludf.DUMMYFUNCTION("""COMPUTED_VALUE"""),0.0)</f>
        <v>0</v>
      </c>
      <c r="F1423" s="148">
        <f>IFERROR(__xludf.DUMMYFUNCTION("""COMPUTED_VALUE"""),0.0)</f>
        <v>0</v>
      </c>
      <c r="G1423" s="148">
        <f>IFERROR(__xludf.DUMMYFUNCTION("""COMPUTED_VALUE"""),1.5111017E7)</f>
        <v>15111017</v>
      </c>
      <c r="H1423" s="148">
        <f>IFERROR(__xludf.DUMMYFUNCTION("""COMPUTED_VALUE"""),0.0)</f>
        <v>0</v>
      </c>
      <c r="I1423" s="148" t="str">
        <f>IFERROR(__xludf.DUMMYFUNCTION("""COMPUTED_VALUE"""),"{}")</f>
        <v>{}</v>
      </c>
      <c r="J1423" s="148" t="str">
        <f>IFERROR(__xludf.DUMMYFUNCTION("""COMPUTED_VALUE"""),"{""typ"":""lc"",""txt"":""LC_ITEM_convoy_bp_exp_item""}")</f>
        <v>{"typ":"lc","txt":"LC_ITEM_convoy_bp_exp_item"}</v>
      </c>
      <c r="K1423" s="148" t="str">
        <f>IFERROR(__xludf.DUMMYFUNCTION("""COMPUTED_VALUE"""),"{""typ"":""lc"",""txt"":""LC_ITEM_convoy_bp_exp_item""}")</f>
        <v>{"typ":"lc","txt":"LC_ITEM_convoy_bp_exp_item"}</v>
      </c>
      <c r="L1423" s="148" t="str">
        <f>IFERROR(__xludf.DUMMYFUNCTION("""COMPUTED_VALUE"""),"{""typ"":""lc"",""txt"":""LC_ITEM_convoy_bp_exp_item""}")</f>
        <v>{"typ":"lc","txt":"LC_ITEM_convoy_bp_exp_item"}</v>
      </c>
      <c r="M1423" s="148">
        <f>IFERROR(__xludf.DUMMYFUNCTION("""COMPUTED_VALUE"""),10.0)</f>
        <v>10</v>
      </c>
      <c r="N1423" s="148">
        <f>IFERROR(__xludf.DUMMYFUNCTION("""COMPUTED_VALUE"""),999999.0)</f>
        <v>999999</v>
      </c>
      <c r="O1423" s="148">
        <f>IFERROR(__xludf.DUMMYFUNCTION("""COMPUTED_VALUE"""),99999.0)</f>
        <v>99999</v>
      </c>
      <c r="P1423" s="148">
        <f>IFERROR(__xludf.DUMMYFUNCTION("""COMPUTED_VALUE"""),9999.0)</f>
        <v>9999</v>
      </c>
      <c r="Q1423" s="148" t="str">
        <f>IFERROR(__xludf.DUMMYFUNCTION("""COMPUTED_VALUE"""),"[]")</f>
        <v>[]</v>
      </c>
      <c r="R1423" s="148" t="str">
        <f>IFERROR(__xludf.DUMMYFUNCTION("""COMPUTED_VALUE"""),"[]")</f>
        <v>[]</v>
      </c>
      <c r="S1423" s="148" t="str">
        <f>IFERROR(__xludf.DUMMYFUNCTION("""COMPUTED_VALUE"""),"{}")</f>
        <v>{}</v>
      </c>
      <c r="T1423" s="148">
        <f>IFERROR(__xludf.DUMMYFUNCTION("""COMPUTED_VALUE"""),-1.0)</f>
        <v>-1</v>
      </c>
      <c r="U1423" s="148">
        <f>IFERROR(__xludf.DUMMYFUNCTION("""COMPUTED_VALUE"""),1.0)</f>
        <v>1</v>
      </c>
      <c r="V1423" s="148" t="str">
        <f>IFERROR(__xludf.DUMMYFUNCTION("""COMPUTED_VALUE"""),"[]")</f>
        <v>[]</v>
      </c>
      <c r="W1423" s="148">
        <f>IFERROR(__xludf.DUMMYFUNCTION("""COMPUTED_VALUE"""),1.174E7)</f>
        <v>11740000</v>
      </c>
      <c r="X1423" s="148">
        <f>IFERROR(__xludf.DUMMYFUNCTION("""COMPUTED_VALUE"""),0.0)</f>
        <v>0</v>
      </c>
      <c r="Y1423" s="148">
        <f>IFERROR(__xludf.DUMMYFUNCTION("""COMPUTED_VALUE"""),0.0)</f>
        <v>0</v>
      </c>
      <c r="Z1423" s="148"/>
    </row>
    <row r="1424">
      <c r="A1424" s="148">
        <f>IFERROR(__xludf.DUMMYFUNCTION("""COMPUTED_VALUE"""),1.1117064E7)</f>
        <v>11117064</v>
      </c>
      <c r="B1424" s="148" t="str">
        <f>IFERROR(__xludf.DUMMYFUNCTION("""COMPUTED_VALUE"""),"押镖bp")</f>
        <v>押镖bp</v>
      </c>
      <c r="C1424" s="148"/>
      <c r="D1424" s="148" t="str">
        <f>IFERROR(__xludf.DUMMYFUNCTION("""COMPUTED_VALUE"""),"battle_pass_card")</f>
        <v>battle_pass_card</v>
      </c>
      <c r="E1424" s="148">
        <f>IFERROR(__xludf.DUMMYFUNCTION("""COMPUTED_VALUE"""),0.0)</f>
        <v>0</v>
      </c>
      <c r="F1424" s="148">
        <f>IFERROR(__xludf.DUMMYFUNCTION("""COMPUTED_VALUE"""),0.0)</f>
        <v>0</v>
      </c>
      <c r="G1424" s="148">
        <f>IFERROR(__xludf.DUMMYFUNCTION("""COMPUTED_VALUE"""),1.5111017E7)</f>
        <v>15111017</v>
      </c>
      <c r="H1424" s="148">
        <f>IFERROR(__xludf.DUMMYFUNCTION("""COMPUTED_VALUE"""),1.5112563E7)</f>
        <v>15112563</v>
      </c>
      <c r="I1424" s="148" t="str">
        <f>IFERROR(__xludf.DUMMYFUNCTION("""COMPUTED_VALUE"""),"{}")</f>
        <v>{}</v>
      </c>
      <c r="J1424" s="148" t="str">
        <f>IFERROR(__xludf.DUMMYFUNCTION("""COMPUTED_VALUE"""),"{""typ"":""lc"",""txt"":""LC_ITEM_convoy_bp_card""}")</f>
        <v>{"typ":"lc","txt":"LC_ITEM_convoy_bp_card"}</v>
      </c>
      <c r="K1424" s="148" t="str">
        <f>IFERROR(__xludf.DUMMYFUNCTION("""COMPUTED_VALUE"""),"{}")</f>
        <v>{}</v>
      </c>
      <c r="L1424" s="148" t="str">
        <f>IFERROR(__xludf.DUMMYFUNCTION("""COMPUTED_VALUE"""),"{}")</f>
        <v>{}</v>
      </c>
      <c r="M1424" s="148">
        <f>IFERROR(__xludf.DUMMYFUNCTION("""COMPUTED_VALUE"""),10.0)</f>
        <v>10</v>
      </c>
      <c r="N1424" s="148">
        <f>IFERROR(__xludf.DUMMYFUNCTION("""COMPUTED_VALUE"""),999999.0)</f>
        <v>999999</v>
      </c>
      <c r="O1424" s="148">
        <f>IFERROR(__xludf.DUMMYFUNCTION("""COMPUTED_VALUE"""),99999.0)</f>
        <v>99999</v>
      </c>
      <c r="P1424" s="148">
        <f>IFERROR(__xludf.DUMMYFUNCTION("""COMPUTED_VALUE"""),9999.0)</f>
        <v>9999</v>
      </c>
      <c r="Q1424" s="148" t="str">
        <f>IFERROR(__xludf.DUMMYFUNCTION("""COMPUTED_VALUE"""),"[]")</f>
        <v>[]</v>
      </c>
      <c r="R1424" s="148" t="str">
        <f>IFERROR(__xludf.DUMMYFUNCTION("""COMPUTED_VALUE"""),"[]")</f>
        <v>[]</v>
      </c>
      <c r="S1424" s="148" t="str">
        <f>IFERROR(__xludf.DUMMYFUNCTION("""COMPUTED_VALUE"""),"{}")</f>
        <v>{}</v>
      </c>
      <c r="T1424" s="148">
        <f>IFERROR(__xludf.DUMMYFUNCTION("""COMPUTED_VALUE"""),-1.0)</f>
        <v>-1</v>
      </c>
      <c r="U1424" s="148">
        <f>IFERROR(__xludf.DUMMYFUNCTION("""COMPUTED_VALUE"""),1.0)</f>
        <v>1</v>
      </c>
      <c r="V1424" s="148" t="str">
        <f>IFERROR(__xludf.DUMMYFUNCTION("""COMPUTED_VALUE"""),"[]")</f>
        <v>[]</v>
      </c>
      <c r="W1424" s="148">
        <f>IFERROR(__xludf.DUMMYFUNCTION("""COMPUTED_VALUE"""),1.174E7)</f>
        <v>11740000</v>
      </c>
      <c r="X1424" s="148">
        <f>IFERROR(__xludf.DUMMYFUNCTION("""COMPUTED_VALUE"""),0.0)</f>
        <v>0</v>
      </c>
      <c r="Y1424" s="148">
        <f>IFERROR(__xludf.DUMMYFUNCTION("""COMPUTED_VALUE"""),0.0)</f>
        <v>0</v>
      </c>
      <c r="Z1424" s="148"/>
    </row>
    <row r="1425">
      <c r="A1425" s="148">
        <f>IFERROR(__xludf.DUMMYFUNCTION("""COMPUTED_VALUE"""),1.1117066E7)</f>
        <v>11117066</v>
      </c>
      <c r="B1425" s="148" t="str">
        <f>IFERROR(__xludf.DUMMYFUNCTION("""COMPUTED_VALUE"""),"头像框：太空探索")</f>
        <v>头像框：太空探索</v>
      </c>
      <c r="C1425" s="148"/>
      <c r="D1425" s="148" t="str">
        <f>IFERROR(__xludf.DUMMYFUNCTION("""COMPUTED_VALUE"""),"avatar_frame")</f>
        <v>avatar_frame</v>
      </c>
      <c r="E1425" s="148">
        <f>IFERROR(__xludf.DUMMYFUNCTION("""COMPUTED_VALUE"""),20.0)</f>
        <v>20</v>
      </c>
      <c r="F1425" s="148">
        <f>IFERROR(__xludf.DUMMYFUNCTION("""COMPUTED_VALUE"""),0.0)</f>
        <v>0</v>
      </c>
      <c r="G1425" s="148">
        <f>IFERROR(__xludf.DUMMYFUNCTION("""COMPUTED_VALUE"""),1.5114309E7)</f>
        <v>15114309</v>
      </c>
      <c r="H1425" s="148">
        <f>IFERROR(__xludf.DUMMYFUNCTION("""COMPUTED_VALUE"""),1.5112563E7)</f>
        <v>15112563</v>
      </c>
      <c r="I1425" s="148" t="str">
        <f>IFERROR(__xludf.DUMMYFUNCTION("""COMPUTED_VALUE"""),"{}")</f>
        <v>{}</v>
      </c>
      <c r="J1425" s="148" t="str">
        <f>IFERROR(__xludf.DUMMYFUNCTION("""COMPUTED_VALUE"""),"{""typ"":""lc"",""txt"":""LC_ASSET_avatar_frame_name_16""}")</f>
        <v>{"typ":"lc","txt":"LC_ASSET_avatar_frame_name_16"}</v>
      </c>
      <c r="K1425" s="148" t="str">
        <f>IFERROR(__xludf.DUMMYFUNCTION("""COMPUTED_VALUE"""),"{""typ"":""lc"",""txt"":""LC_MENU_forever""}")</f>
        <v>{"typ":"lc","txt":"LC_MENU_forever"}</v>
      </c>
      <c r="L1425" s="148" t="str">
        <f>IFERROR(__xludf.DUMMYFUNCTION("""COMPUTED_VALUE"""),"{}")</f>
        <v>{}</v>
      </c>
      <c r="M1425" s="148">
        <f>IFERROR(__xludf.DUMMYFUNCTION("""COMPUTED_VALUE"""),1000.0)</f>
        <v>1000</v>
      </c>
      <c r="N1425" s="148">
        <f>IFERROR(__xludf.DUMMYFUNCTION("""COMPUTED_VALUE"""),99.0)</f>
        <v>99</v>
      </c>
      <c r="O1425" s="148">
        <f>IFERROR(__xludf.DUMMYFUNCTION("""COMPUTED_VALUE"""),1.0)</f>
        <v>1</v>
      </c>
      <c r="P1425" s="148">
        <f>IFERROR(__xludf.DUMMYFUNCTION("""COMPUTED_VALUE"""),1.0)</f>
        <v>1</v>
      </c>
      <c r="Q1425" s="148" t="str">
        <f>IFERROR(__xludf.DUMMYFUNCTION("""COMPUTED_VALUE"""),"[]")</f>
        <v>[]</v>
      </c>
      <c r="R1425" s="148" t="str">
        <f>IFERROR(__xludf.DUMMYFUNCTION("""COMPUTED_VALUE"""),"[""11421016""]")</f>
        <v>["11421016"]</v>
      </c>
      <c r="S1425" s="148" t="str">
        <f>IFERROR(__xludf.DUMMYFUNCTION("""COMPUTED_VALUE"""),"{""effect"":[{""typ"":""avatar_frame"",""id"":11421016,""val"":-1},{""typ"":""item"",""id"":11111031,""val"":1000}]}")</f>
        <v>{"effect":[{"typ":"avatar_frame","id":11421016,"val":-1},{"typ":"item","id":11111031,"val":1000}]}</v>
      </c>
      <c r="T1425" s="148">
        <f>IFERROR(__xludf.DUMMYFUNCTION("""COMPUTED_VALUE"""),-1.0)</f>
        <v>-1</v>
      </c>
      <c r="U1425" s="148">
        <f>IFERROR(__xludf.DUMMYFUNCTION("""COMPUTED_VALUE"""),1.0)</f>
        <v>1</v>
      </c>
      <c r="V1425" s="148" t="str">
        <f>IFERROR(__xludf.DUMMYFUNCTION("""COMPUTED_VALUE"""),"[]")</f>
        <v>[]</v>
      </c>
      <c r="W1425" s="148">
        <f>IFERROR(__xludf.DUMMYFUNCTION("""COMPUTED_VALUE"""),1.174E7)</f>
        <v>11740000</v>
      </c>
      <c r="X1425" s="148">
        <f>IFERROR(__xludf.DUMMYFUNCTION("""COMPUTED_VALUE"""),0.0)</f>
        <v>0</v>
      </c>
      <c r="Y1425" s="148">
        <f>IFERROR(__xludf.DUMMYFUNCTION("""COMPUTED_VALUE"""),0.0)</f>
        <v>0</v>
      </c>
      <c r="Z1425" s="148"/>
    </row>
    <row r="1426">
      <c r="A1426" s="148">
        <f>IFERROR(__xludf.DUMMYFUNCTION("""COMPUTED_VALUE"""),1.1117067E7)</f>
        <v>11117067</v>
      </c>
      <c r="B1426" s="148" t="str">
        <f>IFERROR(__xludf.DUMMYFUNCTION("""COMPUTED_VALUE"""),"头像框：飞驰人生")</f>
        <v>头像框：飞驰人生</v>
      </c>
      <c r="C1426" s="148"/>
      <c r="D1426" s="148" t="str">
        <f>IFERROR(__xludf.DUMMYFUNCTION("""COMPUTED_VALUE"""),"avatar_frame")</f>
        <v>avatar_frame</v>
      </c>
      <c r="E1426" s="148">
        <f>IFERROR(__xludf.DUMMYFUNCTION("""COMPUTED_VALUE"""),20.0)</f>
        <v>20</v>
      </c>
      <c r="F1426" s="148">
        <f>IFERROR(__xludf.DUMMYFUNCTION("""COMPUTED_VALUE"""),0.0)</f>
        <v>0</v>
      </c>
      <c r="G1426" s="148">
        <f>IFERROR(__xludf.DUMMYFUNCTION("""COMPUTED_VALUE"""),1.511431E7)</f>
        <v>15114310</v>
      </c>
      <c r="H1426" s="148">
        <f>IFERROR(__xludf.DUMMYFUNCTION("""COMPUTED_VALUE"""),1.5112563E7)</f>
        <v>15112563</v>
      </c>
      <c r="I1426" s="148" t="str">
        <f>IFERROR(__xludf.DUMMYFUNCTION("""COMPUTED_VALUE"""),"{}")</f>
        <v>{}</v>
      </c>
      <c r="J1426" s="148" t="str">
        <f>IFERROR(__xludf.DUMMYFUNCTION("""COMPUTED_VALUE"""),"{""typ"":""lc"",""txt"":""LC_ASSET_avatar_frame_name_17""}")</f>
        <v>{"typ":"lc","txt":"LC_ASSET_avatar_frame_name_17"}</v>
      </c>
      <c r="K1426" s="148" t="str">
        <f>IFERROR(__xludf.DUMMYFUNCTION("""COMPUTED_VALUE"""),"{""typ"":""lc"",""txt"":""LC_MENU_forever""}")</f>
        <v>{"typ":"lc","txt":"LC_MENU_forever"}</v>
      </c>
      <c r="L1426" s="148" t="str">
        <f>IFERROR(__xludf.DUMMYFUNCTION("""COMPUTED_VALUE"""),"{}")</f>
        <v>{}</v>
      </c>
      <c r="M1426" s="148">
        <f>IFERROR(__xludf.DUMMYFUNCTION("""COMPUTED_VALUE"""),1000.0)</f>
        <v>1000</v>
      </c>
      <c r="N1426" s="148">
        <f>IFERROR(__xludf.DUMMYFUNCTION("""COMPUTED_VALUE"""),99.0)</f>
        <v>99</v>
      </c>
      <c r="O1426" s="148">
        <f>IFERROR(__xludf.DUMMYFUNCTION("""COMPUTED_VALUE"""),1.0)</f>
        <v>1</v>
      </c>
      <c r="P1426" s="148">
        <f>IFERROR(__xludf.DUMMYFUNCTION("""COMPUTED_VALUE"""),1.0)</f>
        <v>1</v>
      </c>
      <c r="Q1426" s="148" t="str">
        <f>IFERROR(__xludf.DUMMYFUNCTION("""COMPUTED_VALUE"""),"[]")</f>
        <v>[]</v>
      </c>
      <c r="R1426" s="148" t="str">
        <f>IFERROR(__xludf.DUMMYFUNCTION("""COMPUTED_VALUE"""),"[""11421017""]")</f>
        <v>["11421017"]</v>
      </c>
      <c r="S1426" s="148" t="str">
        <f>IFERROR(__xludf.DUMMYFUNCTION("""COMPUTED_VALUE"""),"{""effect"":[{""typ"":""avatar_frame"",""id"":11421017,""val"":-1},{""typ"":""item"",""id"":11111031,""val"":1000}]}")</f>
        <v>{"effect":[{"typ":"avatar_frame","id":11421017,"val":-1},{"typ":"item","id":11111031,"val":1000}]}</v>
      </c>
      <c r="T1426" s="148">
        <f>IFERROR(__xludf.DUMMYFUNCTION("""COMPUTED_VALUE"""),-1.0)</f>
        <v>-1</v>
      </c>
      <c r="U1426" s="148">
        <f>IFERROR(__xludf.DUMMYFUNCTION("""COMPUTED_VALUE"""),1.0)</f>
        <v>1</v>
      </c>
      <c r="V1426" s="148" t="str">
        <f>IFERROR(__xludf.DUMMYFUNCTION("""COMPUTED_VALUE"""),"[]")</f>
        <v>[]</v>
      </c>
      <c r="W1426" s="148">
        <f>IFERROR(__xludf.DUMMYFUNCTION("""COMPUTED_VALUE"""),1.174E7)</f>
        <v>11740000</v>
      </c>
      <c r="X1426" s="148">
        <f>IFERROR(__xludf.DUMMYFUNCTION("""COMPUTED_VALUE"""),0.0)</f>
        <v>0</v>
      </c>
      <c r="Y1426" s="148">
        <f>IFERROR(__xludf.DUMMYFUNCTION("""COMPUTED_VALUE"""),0.0)</f>
        <v>0</v>
      </c>
      <c r="Z1426" s="148"/>
    </row>
    <row r="1427">
      <c r="A1427" s="148">
        <f>IFERROR(__xludf.DUMMYFUNCTION("""COMPUTED_VALUE"""),1.1117068E7)</f>
        <v>11117068</v>
      </c>
      <c r="B1427" s="148" t="str">
        <f>IFERROR(__xludf.DUMMYFUNCTION("""COMPUTED_VALUE"""),"军备零件箱")</f>
        <v>军备零件箱</v>
      </c>
      <c r="C1427" s="148"/>
      <c r="D1427" s="148" t="str">
        <f>IFERROR(__xludf.DUMMYFUNCTION("""COMPUTED_VALUE"""),"soldier_arms")</f>
        <v>soldier_arms</v>
      </c>
      <c r="E1427" s="148">
        <f>IFERROR(__xludf.DUMMYFUNCTION("""COMPUTED_VALUE"""),0.0)</f>
        <v>0</v>
      </c>
      <c r="F1427" s="148">
        <f>IFERROR(__xludf.DUMMYFUNCTION("""COMPUTED_VALUE"""),415302.0)</f>
        <v>415302</v>
      </c>
      <c r="G1427" s="148">
        <f>IFERROR(__xludf.DUMMYFUNCTION("""COMPUTED_VALUE"""),1.5114332E7)</f>
        <v>15114332</v>
      </c>
      <c r="H1427" s="148">
        <f>IFERROR(__xludf.DUMMYFUNCTION("""COMPUTED_VALUE"""),1.5112562E7)</f>
        <v>15112562</v>
      </c>
      <c r="I1427" s="148" t="str">
        <f>IFERROR(__xludf.DUMMYFUNCTION("""COMPUTED_VALUE"""),"{}")</f>
        <v>{}</v>
      </c>
      <c r="J1427" s="148" t="str">
        <f>IFERROR(__xludf.DUMMYFUNCTION("""COMPUTED_VALUE"""),"{""typ"":""lc"",""txt"":""LC_SOLDIER_arms_material_1""}")</f>
        <v>{"typ":"lc","txt":"LC_SOLDIER_arms_material_1"}</v>
      </c>
      <c r="K1427" s="148" t="str">
        <f>IFERROR(__xludf.DUMMYFUNCTION("""COMPUTED_VALUE"""),"{""typ"":""lc"",""txt"":""LC_SOLDIER_arms_material_desc_1""}")</f>
        <v>{"typ":"lc","txt":"LC_SOLDIER_arms_material_desc_1"}</v>
      </c>
      <c r="L1427" s="148" t="str">
        <f>IFERROR(__xludf.DUMMYFUNCTION("""COMPUTED_VALUE"""),"{}")</f>
        <v>{}</v>
      </c>
      <c r="M1427" s="148">
        <f>IFERROR(__xludf.DUMMYFUNCTION("""COMPUTED_VALUE"""),16.0)</f>
        <v>16</v>
      </c>
      <c r="N1427" s="148">
        <f>IFERROR(__xludf.DUMMYFUNCTION("""COMPUTED_VALUE"""),9999999.0)</f>
        <v>9999999</v>
      </c>
      <c r="O1427" s="148">
        <f>IFERROR(__xludf.DUMMYFUNCTION("""COMPUTED_VALUE"""),99999.0)</f>
        <v>99999</v>
      </c>
      <c r="P1427" s="148">
        <f>IFERROR(__xludf.DUMMYFUNCTION("""COMPUTED_VALUE"""),99999.0)</f>
        <v>99999</v>
      </c>
      <c r="Q1427" s="148" t="str">
        <f>IFERROR(__xludf.DUMMYFUNCTION("""COMPUTED_VALUE"""),"[""bag_other""]")</f>
        <v>["bag_other"]</v>
      </c>
      <c r="R1427" s="148" t="str">
        <f>IFERROR(__xludf.DUMMYFUNCTION("""COMPUTED_VALUE"""),"[""item_arms_box""]")</f>
        <v>["item_arms_box"]</v>
      </c>
      <c r="S1427" s="148" t="str">
        <f>IFERROR(__xludf.DUMMYFUNCTION("""COMPUTED_VALUE"""),"{}")</f>
        <v>{}</v>
      </c>
      <c r="T1427" s="148">
        <f>IFERROR(__xludf.DUMMYFUNCTION("""COMPUTED_VALUE"""),-1.0)</f>
        <v>-1</v>
      </c>
      <c r="U1427" s="148">
        <f>IFERROR(__xludf.DUMMYFUNCTION("""COMPUTED_VALUE"""),0.0)</f>
        <v>0</v>
      </c>
      <c r="V1427" s="148" t="str">
        <f>IFERROR(__xludf.DUMMYFUNCTION("""COMPUTED_VALUE"""),"[]")</f>
        <v>[]</v>
      </c>
      <c r="W1427" s="148">
        <f>IFERROR(__xludf.DUMMYFUNCTION("""COMPUTED_VALUE"""),1.1741004E7)</f>
        <v>11741004</v>
      </c>
      <c r="X1427" s="148">
        <f>IFERROR(__xludf.DUMMYFUNCTION("""COMPUTED_VALUE"""),0.0)</f>
        <v>0</v>
      </c>
      <c r="Y1427" s="148">
        <f>IFERROR(__xludf.DUMMYFUNCTION("""COMPUTED_VALUE"""),0.0)</f>
        <v>0</v>
      </c>
      <c r="Z1427" s="148"/>
    </row>
    <row r="1428">
      <c r="A1428" s="148">
        <f>IFERROR(__xludf.DUMMYFUNCTION("""COMPUTED_VALUE"""),1.1117069E7)</f>
        <v>11117069</v>
      </c>
      <c r="B1428" s="148" t="str">
        <f>IFERROR(__xludf.DUMMYFUNCTION("""COMPUTED_VALUE"""),"军备图纸")</f>
        <v>军备图纸</v>
      </c>
      <c r="C1428" s="148"/>
      <c r="D1428" s="148" t="str">
        <f>IFERROR(__xludf.DUMMYFUNCTION("""COMPUTED_VALUE"""),"soldier_arms")</f>
        <v>soldier_arms</v>
      </c>
      <c r="E1428" s="148">
        <f>IFERROR(__xludf.DUMMYFUNCTION("""COMPUTED_VALUE"""),0.0)</f>
        <v>0</v>
      </c>
      <c r="F1428" s="148">
        <f>IFERROR(__xludf.DUMMYFUNCTION("""COMPUTED_VALUE"""),415101.0)</f>
        <v>415101</v>
      </c>
      <c r="G1428" s="148">
        <f>IFERROR(__xludf.DUMMYFUNCTION("""COMPUTED_VALUE"""),1.5114333E7)</f>
        <v>15114333</v>
      </c>
      <c r="H1428" s="148">
        <f>IFERROR(__xludf.DUMMYFUNCTION("""COMPUTED_VALUE"""),1.5112564E7)</f>
        <v>15112564</v>
      </c>
      <c r="I1428" s="148" t="str">
        <f>IFERROR(__xludf.DUMMYFUNCTION("""COMPUTED_VALUE"""),"{}")</f>
        <v>{}</v>
      </c>
      <c r="J1428" s="148" t="str">
        <f>IFERROR(__xludf.DUMMYFUNCTION("""COMPUTED_VALUE"""),"{""typ"":""lc"",""txt"":""LC_SOLDIER_arms_material_2""}")</f>
        <v>{"typ":"lc","txt":"LC_SOLDIER_arms_material_2"}</v>
      </c>
      <c r="K1428" s="148" t="str">
        <f>IFERROR(__xludf.DUMMYFUNCTION("""COMPUTED_VALUE"""),"{""typ"":""lc"",""txt"":""LC_SOLDIER_arms_material_desc_2""}")</f>
        <v>{"typ":"lc","txt":"LC_SOLDIER_arms_material_desc_2"}</v>
      </c>
      <c r="L1428" s="148" t="str">
        <f>IFERROR(__xludf.DUMMYFUNCTION("""COMPUTED_VALUE"""),"{}")</f>
        <v>{}</v>
      </c>
      <c r="M1428" s="148">
        <f>IFERROR(__xludf.DUMMYFUNCTION("""COMPUTED_VALUE"""),400.0)</f>
        <v>400</v>
      </c>
      <c r="N1428" s="148">
        <f>IFERROR(__xludf.DUMMYFUNCTION("""COMPUTED_VALUE"""),9999999.0)</f>
        <v>9999999</v>
      </c>
      <c r="O1428" s="148">
        <f>IFERROR(__xludf.DUMMYFUNCTION("""COMPUTED_VALUE"""),99999.0)</f>
        <v>99999</v>
      </c>
      <c r="P1428" s="148">
        <f>IFERROR(__xludf.DUMMYFUNCTION("""COMPUTED_VALUE"""),99999.0)</f>
        <v>99999</v>
      </c>
      <c r="Q1428" s="148" t="str">
        <f>IFERROR(__xludf.DUMMYFUNCTION("""COMPUTED_VALUE"""),"[""bag_other""]")</f>
        <v>["bag_other"]</v>
      </c>
      <c r="R1428" s="148" t="str">
        <f>IFERROR(__xludf.DUMMYFUNCTION("""COMPUTED_VALUE"""),"[""item_arms_map""]")</f>
        <v>["item_arms_map"]</v>
      </c>
      <c r="S1428" s="148" t="str">
        <f>IFERROR(__xludf.DUMMYFUNCTION("""COMPUTED_VALUE"""),"{}")</f>
        <v>{}</v>
      </c>
      <c r="T1428" s="148">
        <f>IFERROR(__xludf.DUMMYFUNCTION("""COMPUTED_VALUE"""),-1.0)</f>
        <v>-1</v>
      </c>
      <c r="U1428" s="148">
        <f>IFERROR(__xludf.DUMMYFUNCTION("""COMPUTED_VALUE"""),0.0)</f>
        <v>0</v>
      </c>
      <c r="V1428" s="148" t="str">
        <f>IFERROR(__xludf.DUMMYFUNCTION("""COMPUTED_VALUE"""),"[]")</f>
        <v>[]</v>
      </c>
      <c r="W1428" s="148">
        <f>IFERROR(__xludf.DUMMYFUNCTION("""COMPUTED_VALUE"""),1.1741004E7)</f>
        <v>11741004</v>
      </c>
      <c r="X1428" s="148">
        <f>IFERROR(__xludf.DUMMYFUNCTION("""COMPUTED_VALUE"""),0.0)</f>
        <v>0</v>
      </c>
      <c r="Y1428" s="148">
        <f>IFERROR(__xludf.DUMMYFUNCTION("""COMPUTED_VALUE"""),0.0)</f>
        <v>0</v>
      </c>
      <c r="Z1428" s="148"/>
    </row>
    <row r="1429">
      <c r="A1429" s="148">
        <f>IFERROR(__xludf.DUMMYFUNCTION("""COMPUTED_VALUE"""),1.111707E7)</f>
        <v>11117070</v>
      </c>
      <c r="B1429" s="148" t="str">
        <f>IFERROR(__xludf.DUMMYFUNCTION("""COMPUTED_VALUE"""),"bp头像框自选道具")</f>
        <v>bp头像框自选道具</v>
      </c>
      <c r="C1429" s="148"/>
      <c r="D1429" s="148" t="str">
        <f>IFERROR(__xludf.DUMMYFUNCTION("""COMPUTED_VALUE"""),"item_select_box")</f>
        <v>item_select_box</v>
      </c>
      <c r="E1429" s="148">
        <f>IFERROR(__xludf.DUMMYFUNCTION("""COMPUTED_VALUE"""),19.0)</f>
        <v>19</v>
      </c>
      <c r="F1429" s="148">
        <f>IFERROR(__xludf.DUMMYFUNCTION("""COMPUTED_VALUE"""),403200.0)</f>
        <v>403200</v>
      </c>
      <c r="G1429" s="148">
        <f>IFERROR(__xludf.DUMMYFUNCTION("""COMPUTED_VALUE"""),1.5114363E7)</f>
        <v>15114363</v>
      </c>
      <c r="H1429" s="148">
        <f>IFERROR(__xludf.DUMMYFUNCTION("""COMPUTED_VALUE"""),1.5112564E7)</f>
        <v>15112564</v>
      </c>
      <c r="I1429" s="148" t="str">
        <f>IFERROR(__xludf.DUMMYFUNCTION("""COMPUTED_VALUE"""),"{}")</f>
        <v>{}</v>
      </c>
      <c r="J1429" s="148" t="str">
        <f>IFERROR(__xludf.DUMMYFUNCTION("""COMPUTED_VALUE"""),"{""typ"":""lc"",""txt"":""LC_ITEM_avatar_frame_select""}")</f>
        <v>{"typ":"lc","txt":"LC_ITEM_avatar_frame_select"}</v>
      </c>
      <c r="K1429" s="148" t="str">
        <f>IFERROR(__xludf.DUMMYFUNCTION("""COMPUTED_VALUE"""),"{""typ"":""lc"",""txt"":""LC_ITEM_avatar_frame_select_desc"",""args"":[{""typ"":""int"",""val"":1},{""typ"":""int"",""val"":1}]}")</f>
        <v>{"typ":"lc","txt":"LC_ITEM_avatar_frame_select_desc","args":[{"typ":"int","val":1},{"typ":"int","val":1}]}</v>
      </c>
      <c r="L1429" s="148" t="str">
        <f>IFERROR(__xludf.DUMMYFUNCTION("""COMPUTED_VALUE"""),"{""typ"":""lc"",""txt"":""LC_ITEM_chest_from_atk_npc_usedtip""}")</f>
        <v>{"typ":"lc","txt":"LC_ITEM_chest_from_atk_npc_usedtip"}</v>
      </c>
      <c r="M1429" s="148">
        <f>IFERROR(__xludf.DUMMYFUNCTION("""COMPUTED_VALUE"""),1000.0)</f>
        <v>1000</v>
      </c>
      <c r="N1429" s="148">
        <f>IFERROR(__xludf.DUMMYFUNCTION("""COMPUTED_VALUE"""),999999.0)</f>
        <v>999999</v>
      </c>
      <c r="O1429" s="148">
        <f>IFERROR(__xludf.DUMMYFUNCTION("""COMPUTED_VALUE"""),99999.0)</f>
        <v>99999</v>
      </c>
      <c r="P1429" s="148">
        <f>IFERROR(__xludf.DUMMYFUNCTION("""COMPUTED_VALUE"""),99999.0)</f>
        <v>99999</v>
      </c>
      <c r="Q1429" s="148" t="str">
        <f>IFERROR(__xludf.DUMMYFUNCTION("""COMPUTED_VALUE"""),"[""bag_other""]")</f>
        <v>["bag_other"]</v>
      </c>
      <c r="R1429" s="148" t="str">
        <f>IFERROR(__xludf.DUMMYFUNCTION("""COMPUTED_VALUE"""),"[""bag""]")</f>
        <v>["bag"]</v>
      </c>
      <c r="S1429" s="148" t="str">
        <f>IFERROR(__xludf.DUMMYFUNCTION("""COMPUTED_VALUE"""),"{""select_box"":[{""typ"":""item"",""id"":11119116,""val"":1},{""typ"":""item"",""id"":11119117,""val"":1},{""typ"":""item"",""id"":11119118,""val"":1},{""typ"":""item"",""id"":11119119,""val"":1},{""typ"":""item"",""id"":11119120,""val"":1},{""typ"":""it"&amp;"em"",""id"":11119121,""val"":1},{""typ"":""item"",""id"":11119122,""val"":1},{""typ"":""item"",""id"":11119123,""val"":1},{""typ"":""item"",""id"":11119124,""val"":1},{""typ"":""item"",""id"":11119125,""val"":1},{""typ"":""item"",""id"":11119126,""val"":1"&amp;"},{""typ"":""item"",""id"":11119127,""val"":1},{""typ"":""item"",""id"":11119092,""val"":1},{""typ"":""item"",""id"":11119091,""val"":1},{""typ"":""item"",""id"":11119090,""val"":1},{""typ"":""item"",""id"":11118632,""val"":1},{""typ"":""item"",""id"":111"&amp;"18633,""val"":1},{""typ"":""item"",""id"":11118634,""val"":1},{""typ"":""item"",""id"":11117383,""val"":1},{""typ"":""item"",""id"":11117384,""val"":1},{""typ"":""item"",""id"":11117385,""val"":1},{""typ"":""item"",""id"":11111313,""val"":1},{""typ"":""it"&amp;"em"",""id"":11111314,""val"":1},{""typ"":""item"",""id"":11111309,""val"":1},{""typ"":""item"",""id"":11117066,""val"":1},{""typ"":""item"",""id"":11117067,""val"":1},{""typ"":""item"",""id"":11117073,""val"":1},{""typ"":""item"",""id"":11111303,""val"":1"&amp;"},{""typ"":""item"",""id"":11111305,""val"":1},{""typ"":""item"",""id"":11111306,""val"":1},{""typ"":""item"",""id"":11111310,""val"":1},{""typ"":""item"",""id"":11111311,""val"":1}],""effect"":[{""typ"":""select_box_own_mark""}]}")</f>
        <v>{"select_box":[{"typ":"item","id":11119116,"val":1},{"typ":"item","id":11119117,"val":1},{"typ":"item","id":11119118,"val":1},{"typ":"item","id":11119119,"val":1},{"typ":"item","id":11119120,"val":1},{"typ":"item","id":11119121,"val":1},{"typ":"item","id":11119122,"val":1},{"typ":"item","id":11119123,"val":1},{"typ":"item","id":11119124,"val":1},{"typ":"item","id":11119125,"val":1},{"typ":"item","id":11119126,"val":1},{"typ":"item","id":11119127,"val":1},{"typ":"item","id":11119092,"val":1},{"typ":"item","id":11119091,"val":1},{"typ":"item","id":11119090,"val":1},{"typ":"item","id":11118632,"val":1},{"typ":"item","id":11118633,"val":1},{"typ":"item","id":11118634,"val":1},{"typ":"item","id":11117383,"val":1},{"typ":"item","id":11117384,"val":1},{"typ":"item","id":11117385,"val":1},{"typ":"item","id":11111313,"val":1},{"typ":"item","id":11111314,"val":1},{"typ":"item","id":11111309,"val":1},{"typ":"item","id":11117066,"val":1},{"typ":"item","id":11117067,"val":1},{"typ":"item","id":11117073,"val":1},{"typ":"item","id":11111303,"val":1},{"typ":"item","id":11111305,"val":1},{"typ":"item","id":11111306,"val":1},{"typ":"item","id":11111310,"val":1},{"typ":"item","id":11111311,"val":1}],"effect":[{"typ":"select_box_own_mark"}]}</v>
      </c>
      <c r="T1429" s="148">
        <f>IFERROR(__xludf.DUMMYFUNCTION("""COMPUTED_VALUE"""),1.0)</f>
        <v>1</v>
      </c>
      <c r="U1429" s="148">
        <f>IFERROR(__xludf.DUMMYFUNCTION("""COMPUTED_VALUE"""),1.0)</f>
        <v>1</v>
      </c>
      <c r="V1429" s="148" t="str">
        <f>IFERROR(__xludf.DUMMYFUNCTION("""COMPUTED_VALUE"""),"[]")</f>
        <v>[]</v>
      </c>
      <c r="W1429" s="148">
        <f>IFERROR(__xludf.DUMMYFUNCTION("""COMPUTED_VALUE"""),1.174E7)</f>
        <v>11740000</v>
      </c>
      <c r="X1429" s="148">
        <f>IFERROR(__xludf.DUMMYFUNCTION("""COMPUTED_VALUE"""),0.0)</f>
        <v>0</v>
      </c>
      <c r="Y1429" s="148">
        <f>IFERROR(__xludf.DUMMYFUNCTION("""COMPUTED_VALUE"""),0.0)</f>
        <v>0</v>
      </c>
      <c r="Z1429" s="148"/>
    </row>
    <row r="1430">
      <c r="A1430" s="148">
        <f>IFERROR(__xludf.DUMMYFUNCTION("""COMPUTED_VALUE"""),1.1117071E7)</f>
        <v>11117071</v>
      </c>
      <c r="B1430" s="148" t="str">
        <f>IFERROR(__xludf.DUMMYFUNCTION("""COMPUTED_VALUE"""),"万圣节-香蕉糖")</f>
        <v>万圣节-香蕉糖</v>
      </c>
      <c r="C1430" s="148"/>
      <c r="D1430" s="148" t="str">
        <f>IFERROR(__xludf.DUMMYFUNCTION("""COMPUTED_VALUE"""),"event")</f>
        <v>event</v>
      </c>
      <c r="E1430" s="148">
        <f>IFERROR(__xludf.DUMMYFUNCTION("""COMPUTED_VALUE"""),0.0)</f>
        <v>0</v>
      </c>
      <c r="F1430" s="148">
        <f>IFERROR(__xludf.DUMMYFUNCTION("""COMPUTED_VALUE"""),405422.0)</f>
        <v>405422</v>
      </c>
      <c r="G1430" s="148">
        <f>IFERROR(__xludf.DUMMYFUNCTION("""COMPUTED_VALUE"""),1.5114398E7)</f>
        <v>15114398</v>
      </c>
      <c r="H1430" s="148">
        <f>IFERROR(__xludf.DUMMYFUNCTION("""COMPUTED_VALUE"""),1.5112561E7)</f>
        <v>15112561</v>
      </c>
      <c r="I1430" s="148" t="str">
        <f>IFERROR(__xludf.DUMMYFUNCTION("""COMPUTED_VALUE"""),"{}")</f>
        <v>{}</v>
      </c>
      <c r="J1430" s="148" t="str">
        <f>IFERROR(__xludf.DUMMYFUNCTION("""COMPUTED_VALUE"""),"{""typ"":""lc"",""txt"":""LC_ITEM_halloween_2021item_1""}")</f>
        <v>{"typ":"lc","txt":"LC_ITEM_halloween_2021item_1"}</v>
      </c>
      <c r="K1430" s="148" t="str">
        <f>IFERROR(__xludf.DUMMYFUNCTION("""COMPUTED_VALUE"""),"{""typ"":""lc"",""txt"":""LC_ITEM_halloween_2021item_1_desc""}")</f>
        <v>{"typ":"lc","txt":"LC_ITEM_halloween_2021item_1_desc"}</v>
      </c>
      <c r="L1430" s="148" t="str">
        <f>IFERROR(__xludf.DUMMYFUNCTION("""COMPUTED_VALUE"""),"{}")</f>
        <v>{}</v>
      </c>
      <c r="M1430" s="148">
        <f>IFERROR(__xludf.DUMMYFUNCTION("""COMPUTED_VALUE"""),10.0)</f>
        <v>10</v>
      </c>
      <c r="N1430" s="148">
        <f>IFERROR(__xludf.DUMMYFUNCTION("""COMPUTED_VALUE"""),999999.0)</f>
        <v>999999</v>
      </c>
      <c r="O1430" s="148">
        <f>IFERROR(__xludf.DUMMYFUNCTION("""COMPUTED_VALUE"""),99999.0)</f>
        <v>99999</v>
      </c>
      <c r="P1430" s="148">
        <f>IFERROR(__xludf.DUMMYFUNCTION("""COMPUTED_VALUE"""),9999.0)</f>
        <v>9999</v>
      </c>
      <c r="Q1430" s="148" t="str">
        <f>IFERROR(__xludf.DUMMYFUNCTION("""COMPUTED_VALUE"""),"[""bag_other""]")</f>
        <v>["bag_other"]</v>
      </c>
      <c r="R1430" s="148" t="str">
        <f>IFERROR(__xludf.DUMMYFUNCTION("""COMPUTED_VALUE"""),"[]")</f>
        <v>[]</v>
      </c>
      <c r="S1430" s="148" t="str">
        <f>IFERROR(__xludf.DUMMYFUNCTION("""COMPUTED_VALUE"""),"{}")</f>
        <v>{}</v>
      </c>
      <c r="T1430" s="148">
        <f>IFERROR(__xludf.DUMMYFUNCTION("""COMPUTED_VALUE"""),-1.0)</f>
        <v>-1</v>
      </c>
      <c r="U1430" s="148">
        <f>IFERROR(__xludf.DUMMYFUNCTION("""COMPUTED_VALUE"""),0.0)</f>
        <v>0</v>
      </c>
      <c r="V1430" s="148" t="str">
        <f>IFERROR(__xludf.DUMMYFUNCTION("""COMPUTED_VALUE"""),"[]")</f>
        <v>[]</v>
      </c>
      <c r="W1430" s="148">
        <f>IFERROR(__xludf.DUMMYFUNCTION("""COMPUTED_VALUE"""),1.174E7)</f>
        <v>11740000</v>
      </c>
      <c r="X1430" s="148">
        <f>IFERROR(__xludf.DUMMYFUNCTION("""COMPUTED_VALUE"""),0.0)</f>
        <v>0</v>
      </c>
      <c r="Y1430" s="148">
        <f>IFERROR(__xludf.DUMMYFUNCTION("""COMPUTED_VALUE"""),0.0)</f>
        <v>0</v>
      </c>
      <c r="Z1430" s="148"/>
    </row>
    <row r="1431">
      <c r="A1431" s="148">
        <f>IFERROR(__xludf.DUMMYFUNCTION("""COMPUTED_VALUE"""),1.1117072E7)</f>
        <v>11117072</v>
      </c>
      <c r="B1431" s="148" t="str">
        <f>IFERROR(__xludf.DUMMYFUNCTION("""COMPUTED_VALUE"""),"万圣节-南瓜灯")</f>
        <v>万圣节-南瓜灯</v>
      </c>
      <c r="C1431" s="148"/>
      <c r="D1431" s="148" t="str">
        <f>IFERROR(__xludf.DUMMYFUNCTION("""COMPUTED_VALUE"""),"event")</f>
        <v>event</v>
      </c>
      <c r="E1431" s="148">
        <f>IFERROR(__xludf.DUMMYFUNCTION("""COMPUTED_VALUE"""),0.0)</f>
        <v>0</v>
      </c>
      <c r="F1431" s="148">
        <f>IFERROR(__xludf.DUMMYFUNCTION("""COMPUTED_VALUE"""),405223.0)</f>
        <v>405223</v>
      </c>
      <c r="G1431" s="148">
        <f>IFERROR(__xludf.DUMMYFUNCTION("""COMPUTED_VALUE"""),1.5114399E7)</f>
        <v>15114399</v>
      </c>
      <c r="H1431" s="148">
        <f>IFERROR(__xludf.DUMMYFUNCTION("""COMPUTED_VALUE"""),1.5112563E7)</f>
        <v>15112563</v>
      </c>
      <c r="I1431" s="148" t="str">
        <f>IFERROR(__xludf.DUMMYFUNCTION("""COMPUTED_VALUE"""),"{}")</f>
        <v>{}</v>
      </c>
      <c r="J1431" s="148" t="str">
        <f>IFERROR(__xludf.DUMMYFUNCTION("""COMPUTED_VALUE"""),"{""typ"":""lc"",""txt"":""LC_ITEM_halloween_2021item_2""}")</f>
        <v>{"typ":"lc","txt":"LC_ITEM_halloween_2021item_2"}</v>
      </c>
      <c r="K1431" s="148" t="str">
        <f>IFERROR(__xludf.DUMMYFUNCTION("""COMPUTED_VALUE"""),"{""typ"":""lc"",""txt"":""LC_ITEM_halloween_2021item_2_desc""}")</f>
        <v>{"typ":"lc","txt":"LC_ITEM_halloween_2021item_2_desc"}</v>
      </c>
      <c r="L1431" s="148" t="str">
        <f>IFERROR(__xludf.DUMMYFUNCTION("""COMPUTED_VALUE"""),"{}")</f>
        <v>{}</v>
      </c>
      <c r="M1431" s="148">
        <f>IFERROR(__xludf.DUMMYFUNCTION("""COMPUTED_VALUE"""),50.0)</f>
        <v>50</v>
      </c>
      <c r="N1431" s="148">
        <f>IFERROR(__xludf.DUMMYFUNCTION("""COMPUTED_VALUE"""),999999.0)</f>
        <v>999999</v>
      </c>
      <c r="O1431" s="148">
        <f>IFERROR(__xludf.DUMMYFUNCTION("""COMPUTED_VALUE"""),99999.0)</f>
        <v>99999</v>
      </c>
      <c r="P1431" s="148">
        <f>IFERROR(__xludf.DUMMYFUNCTION("""COMPUTED_VALUE"""),9999.0)</f>
        <v>9999</v>
      </c>
      <c r="Q1431" s="148" t="str">
        <f>IFERROR(__xludf.DUMMYFUNCTION("""COMPUTED_VALUE"""),"[""bag_other""]")</f>
        <v>["bag_other"]</v>
      </c>
      <c r="R1431" s="148" t="str">
        <f>IFERROR(__xludf.DUMMYFUNCTION("""COMPUTED_VALUE"""),"[]")</f>
        <v>[]</v>
      </c>
      <c r="S1431" s="148" t="str">
        <f>IFERROR(__xludf.DUMMYFUNCTION("""COMPUTED_VALUE"""),"{}")</f>
        <v>{}</v>
      </c>
      <c r="T1431" s="148">
        <f>IFERROR(__xludf.DUMMYFUNCTION("""COMPUTED_VALUE"""),-1.0)</f>
        <v>-1</v>
      </c>
      <c r="U1431" s="148">
        <f>IFERROR(__xludf.DUMMYFUNCTION("""COMPUTED_VALUE"""),0.0)</f>
        <v>0</v>
      </c>
      <c r="V1431" s="148" t="str">
        <f>IFERROR(__xludf.DUMMYFUNCTION("""COMPUTED_VALUE"""),"[]")</f>
        <v>[]</v>
      </c>
      <c r="W1431" s="148">
        <f>IFERROR(__xludf.DUMMYFUNCTION("""COMPUTED_VALUE"""),1.174E7)</f>
        <v>11740000</v>
      </c>
      <c r="X1431" s="148">
        <f>IFERROR(__xludf.DUMMYFUNCTION("""COMPUTED_VALUE"""),0.0)</f>
        <v>0</v>
      </c>
      <c r="Y1431" s="148">
        <f>IFERROR(__xludf.DUMMYFUNCTION("""COMPUTED_VALUE"""),0.0)</f>
        <v>0</v>
      </c>
      <c r="Z1431" s="148"/>
    </row>
    <row r="1432">
      <c r="A1432" s="148">
        <f>IFERROR(__xludf.DUMMYFUNCTION("""COMPUTED_VALUE"""),1.1117073E7)</f>
        <v>11117073</v>
      </c>
      <c r="B1432" s="148" t="str">
        <f>IFERROR(__xludf.DUMMYFUNCTION("""COMPUTED_VALUE"""),"头像框：猿口脱险")</f>
        <v>头像框：猿口脱险</v>
      </c>
      <c r="C1432" s="148"/>
      <c r="D1432" s="148" t="str">
        <f>IFERROR(__xludf.DUMMYFUNCTION("""COMPUTED_VALUE"""),"avatar_frame")</f>
        <v>avatar_frame</v>
      </c>
      <c r="E1432" s="148">
        <f>IFERROR(__xludf.DUMMYFUNCTION("""COMPUTED_VALUE"""),20.0)</f>
        <v>20</v>
      </c>
      <c r="F1432" s="148">
        <f>IFERROR(__xludf.DUMMYFUNCTION("""COMPUTED_VALUE"""),0.0)</f>
        <v>0</v>
      </c>
      <c r="G1432" s="148">
        <f>IFERROR(__xludf.DUMMYFUNCTION("""COMPUTED_VALUE"""),1.5114417E7)</f>
        <v>15114417</v>
      </c>
      <c r="H1432" s="148">
        <f>IFERROR(__xludf.DUMMYFUNCTION("""COMPUTED_VALUE"""),1.5112563E7)</f>
        <v>15112563</v>
      </c>
      <c r="I1432" s="148" t="str">
        <f>IFERROR(__xludf.DUMMYFUNCTION("""COMPUTED_VALUE"""),"{}")</f>
        <v>{}</v>
      </c>
      <c r="J1432" s="148" t="str">
        <f>IFERROR(__xludf.DUMMYFUNCTION("""COMPUTED_VALUE"""),"{""typ"":""lc"",""txt"":""LC_ASSET_avatar_frame_name_15""}")</f>
        <v>{"typ":"lc","txt":"LC_ASSET_avatar_frame_name_15"}</v>
      </c>
      <c r="K1432" s="148" t="str">
        <f>IFERROR(__xludf.DUMMYFUNCTION("""COMPUTED_VALUE"""),"{""typ"":""lc"",""txt"":""LC_MENU_forever""}")</f>
        <v>{"typ":"lc","txt":"LC_MENU_forever"}</v>
      </c>
      <c r="L1432" s="148" t="str">
        <f>IFERROR(__xludf.DUMMYFUNCTION("""COMPUTED_VALUE"""),"{}")</f>
        <v>{}</v>
      </c>
      <c r="M1432" s="148">
        <f>IFERROR(__xludf.DUMMYFUNCTION("""COMPUTED_VALUE"""),1000.0)</f>
        <v>1000</v>
      </c>
      <c r="N1432" s="148">
        <f>IFERROR(__xludf.DUMMYFUNCTION("""COMPUTED_VALUE"""),99.0)</f>
        <v>99</v>
      </c>
      <c r="O1432" s="148">
        <f>IFERROR(__xludf.DUMMYFUNCTION("""COMPUTED_VALUE"""),1.0)</f>
        <v>1</v>
      </c>
      <c r="P1432" s="148">
        <f>IFERROR(__xludf.DUMMYFUNCTION("""COMPUTED_VALUE"""),1.0)</f>
        <v>1</v>
      </c>
      <c r="Q1432" s="148" t="str">
        <f>IFERROR(__xludf.DUMMYFUNCTION("""COMPUTED_VALUE"""),"[]")</f>
        <v>[]</v>
      </c>
      <c r="R1432" s="148" t="str">
        <f>IFERROR(__xludf.DUMMYFUNCTION("""COMPUTED_VALUE"""),"[""11421018""]")</f>
        <v>["11421018"]</v>
      </c>
      <c r="S1432" s="148" t="str">
        <f>IFERROR(__xludf.DUMMYFUNCTION("""COMPUTED_VALUE"""),"{""effect"":[{""typ"":""avatar_frame"",""id"":11421018,""val"":-1},{""typ"":""item"",""id"":11111031,""val"":1000}]}")</f>
        <v>{"effect":[{"typ":"avatar_frame","id":11421018,"val":-1},{"typ":"item","id":11111031,"val":1000}]}</v>
      </c>
      <c r="T1432" s="148">
        <f>IFERROR(__xludf.DUMMYFUNCTION("""COMPUTED_VALUE"""),-1.0)</f>
        <v>-1</v>
      </c>
      <c r="U1432" s="148">
        <f>IFERROR(__xludf.DUMMYFUNCTION("""COMPUTED_VALUE"""),1.0)</f>
        <v>1</v>
      </c>
      <c r="V1432" s="148" t="str">
        <f>IFERROR(__xludf.DUMMYFUNCTION("""COMPUTED_VALUE"""),"[]")</f>
        <v>[]</v>
      </c>
      <c r="W1432" s="148">
        <f>IFERROR(__xludf.DUMMYFUNCTION("""COMPUTED_VALUE"""),1.174E7)</f>
        <v>11740000</v>
      </c>
      <c r="X1432" s="148">
        <f>IFERROR(__xludf.DUMMYFUNCTION("""COMPUTED_VALUE"""),0.0)</f>
        <v>0</v>
      </c>
      <c r="Y1432" s="148">
        <f>IFERROR(__xludf.DUMMYFUNCTION("""COMPUTED_VALUE"""),0.0)</f>
        <v>0</v>
      </c>
      <c r="Z1432" s="148"/>
    </row>
    <row r="1433">
      <c r="A1433" s="148">
        <f>IFERROR(__xludf.DUMMYFUNCTION("""COMPUTED_VALUE"""),1.1117074E7)</f>
        <v>11117074</v>
      </c>
      <c r="B1433" s="148" t="str">
        <f>IFERROR(__xludf.DUMMYFUNCTION("""COMPUTED_VALUE"""),"感恩食材盒")</f>
        <v>感恩食材盒</v>
      </c>
      <c r="C1433" s="148"/>
      <c r="D1433" s="148" t="str">
        <f>IFERROR(__xludf.DUMMYFUNCTION("""COMPUTED_VALUE"""),"battle_pass_exp")</f>
        <v>battle_pass_exp</v>
      </c>
      <c r="E1433" s="148">
        <f>IFERROR(__xludf.DUMMYFUNCTION("""COMPUTED_VALUE"""),0.0)</f>
        <v>0</v>
      </c>
      <c r="F1433" s="148">
        <f>IFERROR(__xludf.DUMMYFUNCTION("""COMPUTED_VALUE"""),405224.0)</f>
        <v>405224</v>
      </c>
      <c r="G1433" s="148">
        <f>IFERROR(__xludf.DUMMYFUNCTION("""COMPUTED_VALUE"""),1.5114438E7)</f>
        <v>15114438</v>
      </c>
      <c r="H1433" s="148">
        <f>IFERROR(__xludf.DUMMYFUNCTION("""COMPUTED_VALUE"""),1.5112563E7)</f>
        <v>15112563</v>
      </c>
      <c r="I1433" s="148" t="str">
        <f>IFERROR(__xludf.DUMMYFUNCTION("""COMPUTED_VALUE"""),"{}")</f>
        <v>{}</v>
      </c>
      <c r="J1433" s="148" t="str">
        <f>IFERROR(__xludf.DUMMYFUNCTION("""COMPUTED_VALUE"""),"{""typ"":""lc"",""txt"":""LC_ITEM_thanksgiving_2021_item_1""}")</f>
        <v>{"typ":"lc","txt":"LC_ITEM_thanksgiving_2021_item_1"}</v>
      </c>
      <c r="K1433" s="148" t="str">
        <f>IFERROR(__xludf.DUMMYFUNCTION("""COMPUTED_VALUE"""),"{""typ"":""lc"",""txt"":""LC_ITEM_thanksgiving_2021_item_1_desc""}")</f>
        <v>{"typ":"lc","txt":"LC_ITEM_thanksgiving_2021_item_1_desc"}</v>
      </c>
      <c r="L1433" s="148" t="str">
        <f>IFERROR(__xludf.DUMMYFUNCTION("""COMPUTED_VALUE"""),"{}")</f>
        <v>{}</v>
      </c>
      <c r="M1433" s="148">
        <f>IFERROR(__xludf.DUMMYFUNCTION("""COMPUTED_VALUE"""),35.0)</f>
        <v>35</v>
      </c>
      <c r="N1433" s="148">
        <f>IFERROR(__xludf.DUMMYFUNCTION("""COMPUTED_VALUE"""),999999.0)</f>
        <v>999999</v>
      </c>
      <c r="O1433" s="148">
        <f>IFERROR(__xludf.DUMMYFUNCTION("""COMPUTED_VALUE"""),99999.0)</f>
        <v>99999</v>
      </c>
      <c r="P1433" s="148">
        <f>IFERROR(__xludf.DUMMYFUNCTION("""COMPUTED_VALUE"""),99999.0)</f>
        <v>99999</v>
      </c>
      <c r="Q1433" s="148" t="str">
        <f>IFERROR(__xludf.DUMMYFUNCTION("""COMPUTED_VALUE"""),"[""bag_other""]")</f>
        <v>["bag_other"]</v>
      </c>
      <c r="R1433" s="148" t="str">
        <f>IFERROR(__xludf.DUMMYFUNCTION("""COMPUTED_VALUE"""),"[""bag""]")</f>
        <v>["bag"]</v>
      </c>
      <c r="S1433" s="148" t="str">
        <f>IFERROR(__xludf.DUMMYFUNCTION("""COMPUTED_VALUE"""),"{}")</f>
        <v>{}</v>
      </c>
      <c r="T1433" s="148">
        <f>IFERROR(__xludf.DUMMYFUNCTION("""COMPUTED_VALUE"""),-1.0)</f>
        <v>-1</v>
      </c>
      <c r="U1433" s="148">
        <f>IFERROR(__xludf.DUMMYFUNCTION("""COMPUTED_VALUE"""),0.0)</f>
        <v>0</v>
      </c>
      <c r="V1433" s="148" t="str">
        <f>IFERROR(__xludf.DUMMYFUNCTION("""COMPUTED_VALUE"""),"[]")</f>
        <v>[]</v>
      </c>
      <c r="W1433" s="148">
        <f>IFERROR(__xludf.DUMMYFUNCTION("""COMPUTED_VALUE"""),1.174E7)</f>
        <v>11740000</v>
      </c>
      <c r="X1433" s="148">
        <f>IFERROR(__xludf.DUMMYFUNCTION("""COMPUTED_VALUE"""),0.0)</f>
        <v>0</v>
      </c>
      <c r="Y1433" s="148">
        <f>IFERROR(__xludf.DUMMYFUNCTION("""COMPUTED_VALUE"""),0.0)</f>
        <v>0</v>
      </c>
      <c r="Z1433" s="148"/>
    </row>
    <row r="1434">
      <c r="A1434" s="148">
        <f>IFERROR(__xludf.DUMMYFUNCTION("""COMPUTED_VALUE"""),1.1117075E7)</f>
        <v>11117075</v>
      </c>
      <c r="B1434" s="148" t="str">
        <f>IFERROR(__xludf.DUMMYFUNCTION("""COMPUTED_VALUE"""),"感恩节BattlePass-初级通行证")</f>
        <v>感恩节BattlePass-初级通行证</v>
      </c>
      <c r="C1434" s="148"/>
      <c r="D1434" s="148" t="str">
        <f>IFERROR(__xludf.DUMMYFUNCTION("""COMPUTED_VALUE"""),"battle_pass_card")</f>
        <v>battle_pass_card</v>
      </c>
      <c r="E1434" s="148">
        <f>IFERROR(__xludf.DUMMYFUNCTION("""COMPUTED_VALUE"""),0.0)</f>
        <v>0</v>
      </c>
      <c r="F1434" s="148">
        <f>IFERROR(__xludf.DUMMYFUNCTION("""COMPUTED_VALUE"""),0.0)</f>
        <v>0</v>
      </c>
      <c r="G1434" s="148">
        <f>IFERROR(__xludf.DUMMYFUNCTION("""COMPUTED_VALUE"""),1.5113625E7)</f>
        <v>15113625</v>
      </c>
      <c r="H1434" s="148">
        <f>IFERROR(__xludf.DUMMYFUNCTION("""COMPUTED_VALUE"""),1.5112563E7)</f>
        <v>15112563</v>
      </c>
      <c r="I1434" s="148" t="str">
        <f>IFERROR(__xludf.DUMMYFUNCTION("""COMPUTED_VALUE"""),"{}")</f>
        <v>{}</v>
      </c>
      <c r="J1434" s="148" t="str">
        <f>IFERROR(__xludf.DUMMYFUNCTION("""COMPUTED_VALUE"""),"{""typ"":""lc"",""txt"":""LC_ITEM_battlepass_exp_name""}")</f>
        <v>{"typ":"lc","txt":"LC_ITEM_battlepass_exp_name"}</v>
      </c>
      <c r="K1434" s="148" t="str">
        <f>IFERROR(__xludf.DUMMYFUNCTION("""COMPUTED_VALUE"""),"{}")</f>
        <v>{}</v>
      </c>
      <c r="L1434" s="148" t="str">
        <f>IFERROR(__xludf.DUMMYFUNCTION("""COMPUTED_VALUE"""),"{}")</f>
        <v>{}</v>
      </c>
      <c r="M1434" s="148">
        <f>IFERROR(__xludf.DUMMYFUNCTION("""COMPUTED_VALUE"""),10.0)</f>
        <v>10</v>
      </c>
      <c r="N1434" s="148">
        <f>IFERROR(__xludf.DUMMYFUNCTION("""COMPUTED_VALUE"""),999999.0)</f>
        <v>999999</v>
      </c>
      <c r="O1434" s="148">
        <f>IFERROR(__xludf.DUMMYFUNCTION("""COMPUTED_VALUE"""),99999.0)</f>
        <v>99999</v>
      </c>
      <c r="P1434" s="148">
        <f>IFERROR(__xludf.DUMMYFUNCTION("""COMPUTED_VALUE"""),9999.0)</f>
        <v>9999</v>
      </c>
      <c r="Q1434" s="148" t="str">
        <f>IFERROR(__xludf.DUMMYFUNCTION("""COMPUTED_VALUE"""),"[]")</f>
        <v>[]</v>
      </c>
      <c r="R1434" s="148" t="str">
        <f>IFERROR(__xludf.DUMMYFUNCTION("""COMPUTED_VALUE"""),"[]")</f>
        <v>[]</v>
      </c>
      <c r="S1434" s="148" t="str">
        <f>IFERROR(__xludf.DUMMYFUNCTION("""COMPUTED_VALUE"""),"{}")</f>
        <v>{}</v>
      </c>
      <c r="T1434" s="148">
        <f>IFERROR(__xludf.DUMMYFUNCTION("""COMPUTED_VALUE"""),-1.0)</f>
        <v>-1</v>
      </c>
      <c r="U1434" s="148">
        <f>IFERROR(__xludf.DUMMYFUNCTION("""COMPUTED_VALUE"""),1.0)</f>
        <v>1</v>
      </c>
      <c r="V1434" s="148" t="str">
        <f>IFERROR(__xludf.DUMMYFUNCTION("""COMPUTED_VALUE"""),"[]")</f>
        <v>[]</v>
      </c>
      <c r="W1434" s="148">
        <f>IFERROR(__xludf.DUMMYFUNCTION("""COMPUTED_VALUE"""),1.174E7)</f>
        <v>11740000</v>
      </c>
      <c r="X1434" s="148">
        <f>IFERROR(__xludf.DUMMYFUNCTION("""COMPUTED_VALUE"""),0.0)</f>
        <v>0</v>
      </c>
      <c r="Y1434" s="148">
        <f>IFERROR(__xludf.DUMMYFUNCTION("""COMPUTED_VALUE"""),0.0)</f>
        <v>0</v>
      </c>
      <c r="Z1434" s="148"/>
    </row>
    <row r="1435">
      <c r="A1435" s="148">
        <f>IFERROR(__xludf.DUMMYFUNCTION("""COMPUTED_VALUE"""),1.1117076E7)</f>
        <v>11117076</v>
      </c>
      <c r="B1435" s="148" t="str">
        <f>IFERROR(__xludf.DUMMYFUNCTION("""COMPUTED_VALUE"""),"感恩节BattlePass-高级通行证")</f>
        <v>感恩节BattlePass-高级通行证</v>
      </c>
      <c r="C1435" s="148"/>
      <c r="D1435" s="148" t="str">
        <f>IFERROR(__xludf.DUMMYFUNCTION("""COMPUTED_VALUE"""),"battle_pass_card")</f>
        <v>battle_pass_card</v>
      </c>
      <c r="E1435" s="148">
        <f>IFERROR(__xludf.DUMMYFUNCTION("""COMPUTED_VALUE"""),0.0)</f>
        <v>0</v>
      </c>
      <c r="F1435" s="148">
        <f>IFERROR(__xludf.DUMMYFUNCTION("""COMPUTED_VALUE"""),0.0)</f>
        <v>0</v>
      </c>
      <c r="G1435" s="148">
        <f>IFERROR(__xludf.DUMMYFUNCTION("""COMPUTED_VALUE"""),1.5113625E7)</f>
        <v>15113625</v>
      </c>
      <c r="H1435" s="148">
        <f>IFERROR(__xludf.DUMMYFUNCTION("""COMPUTED_VALUE"""),1.5112563E7)</f>
        <v>15112563</v>
      </c>
      <c r="I1435" s="148" t="str">
        <f>IFERROR(__xludf.DUMMYFUNCTION("""COMPUTED_VALUE"""),"{}")</f>
        <v>{}</v>
      </c>
      <c r="J1435" s="148" t="str">
        <f>IFERROR(__xludf.DUMMYFUNCTION("""COMPUTED_VALUE"""),"{""typ"":""lc"",""txt"":""LC_ITEM_battlepass_exp_name""}")</f>
        <v>{"typ":"lc","txt":"LC_ITEM_battlepass_exp_name"}</v>
      </c>
      <c r="K1435" s="148" t="str">
        <f>IFERROR(__xludf.DUMMYFUNCTION("""COMPUTED_VALUE"""),"{}")</f>
        <v>{}</v>
      </c>
      <c r="L1435" s="148" t="str">
        <f>IFERROR(__xludf.DUMMYFUNCTION("""COMPUTED_VALUE"""),"{}")</f>
        <v>{}</v>
      </c>
      <c r="M1435" s="148">
        <f>IFERROR(__xludf.DUMMYFUNCTION("""COMPUTED_VALUE"""),10.0)</f>
        <v>10</v>
      </c>
      <c r="N1435" s="148">
        <f>IFERROR(__xludf.DUMMYFUNCTION("""COMPUTED_VALUE"""),999999.0)</f>
        <v>999999</v>
      </c>
      <c r="O1435" s="148">
        <f>IFERROR(__xludf.DUMMYFUNCTION("""COMPUTED_VALUE"""),99999.0)</f>
        <v>99999</v>
      </c>
      <c r="P1435" s="148">
        <f>IFERROR(__xludf.DUMMYFUNCTION("""COMPUTED_VALUE"""),9999.0)</f>
        <v>9999</v>
      </c>
      <c r="Q1435" s="148" t="str">
        <f>IFERROR(__xludf.DUMMYFUNCTION("""COMPUTED_VALUE"""),"[]")</f>
        <v>[]</v>
      </c>
      <c r="R1435" s="148" t="str">
        <f>IFERROR(__xludf.DUMMYFUNCTION("""COMPUTED_VALUE"""),"[]")</f>
        <v>[]</v>
      </c>
      <c r="S1435" s="148" t="str">
        <f>IFERROR(__xludf.DUMMYFUNCTION("""COMPUTED_VALUE"""),"{}")</f>
        <v>{}</v>
      </c>
      <c r="T1435" s="148">
        <f>IFERROR(__xludf.DUMMYFUNCTION("""COMPUTED_VALUE"""),-1.0)</f>
        <v>-1</v>
      </c>
      <c r="U1435" s="148">
        <f>IFERROR(__xludf.DUMMYFUNCTION("""COMPUTED_VALUE"""),1.0)</f>
        <v>1</v>
      </c>
      <c r="V1435" s="148" t="str">
        <f>IFERROR(__xludf.DUMMYFUNCTION("""COMPUTED_VALUE"""),"[]")</f>
        <v>[]</v>
      </c>
      <c r="W1435" s="148">
        <f>IFERROR(__xludf.DUMMYFUNCTION("""COMPUTED_VALUE"""),1.174E7)</f>
        <v>11740000</v>
      </c>
      <c r="X1435" s="148">
        <f>IFERROR(__xludf.DUMMYFUNCTION("""COMPUTED_VALUE"""),0.0)</f>
        <v>0</v>
      </c>
      <c r="Y1435" s="148">
        <f>IFERROR(__xludf.DUMMYFUNCTION("""COMPUTED_VALUE"""),0.0)</f>
        <v>0</v>
      </c>
      <c r="Z1435" s="148"/>
    </row>
    <row r="1436">
      <c r="A1436" s="148">
        <f>IFERROR(__xludf.DUMMYFUNCTION("""COMPUTED_VALUE"""),1.1117077E7)</f>
        <v>11117077</v>
      </c>
      <c r="B1436" s="148" t="str">
        <f>IFERROR(__xludf.DUMMYFUNCTION("""COMPUTED_VALUE"""),"通用道具-可替换道具")</f>
        <v>通用道具-可替换道具</v>
      </c>
      <c r="C1436" s="148"/>
      <c r="D1436" s="148" t="str">
        <f>IFERROR(__xludf.DUMMYFUNCTION("""COMPUTED_VALUE"""),"event")</f>
        <v>event</v>
      </c>
      <c r="E1436" s="148">
        <f>IFERROR(__xludf.DUMMYFUNCTION("""COMPUTED_VALUE"""),0.0)</f>
        <v>0</v>
      </c>
      <c r="F1436" s="148">
        <f>IFERROR(__xludf.DUMMYFUNCTION("""COMPUTED_VALUE"""),400100.0)</f>
        <v>400100</v>
      </c>
      <c r="G1436" s="148">
        <f>IFERROR(__xludf.DUMMYFUNCTION("""COMPUTED_VALUE"""),1.5114399E7)</f>
        <v>15114399</v>
      </c>
      <c r="H1436" s="148">
        <f>IFERROR(__xludf.DUMMYFUNCTION("""COMPUTED_VALUE"""),1.5112564E7)</f>
        <v>15112564</v>
      </c>
      <c r="I1436" s="148" t="str">
        <f>IFERROR(__xludf.DUMMYFUNCTION("""COMPUTED_VALUE"""),"{}")</f>
        <v>{}</v>
      </c>
      <c r="J1436" s="148" t="str">
        <f>IFERROR(__xludf.DUMMYFUNCTION("""COMPUTED_VALUE"""),"{""typ"":""lc"",""txt"":""LC_ITEM_halloween_2021item_2""}")</f>
        <v>{"typ":"lc","txt":"LC_ITEM_halloween_2021item_2"}</v>
      </c>
      <c r="K1436" s="148" t="str">
        <f>IFERROR(__xludf.DUMMYFUNCTION("""COMPUTED_VALUE"""),"{""typ"":""lc"",""txt"":""LC_ITEM_halloween_2021item_2_desc""}")</f>
        <v>{"typ":"lc","txt":"LC_ITEM_halloween_2021item_2_desc"}</v>
      </c>
      <c r="L1436" s="148" t="str">
        <f>IFERROR(__xludf.DUMMYFUNCTION("""COMPUTED_VALUE"""),"{}")</f>
        <v>{}</v>
      </c>
      <c r="M1436" s="148">
        <f>IFERROR(__xludf.DUMMYFUNCTION("""COMPUTED_VALUE"""),50.0)</f>
        <v>50</v>
      </c>
      <c r="N1436" s="148">
        <f>IFERROR(__xludf.DUMMYFUNCTION("""COMPUTED_VALUE"""),999999.0)</f>
        <v>999999</v>
      </c>
      <c r="O1436" s="148">
        <f>IFERROR(__xludf.DUMMYFUNCTION("""COMPUTED_VALUE"""),99999.0)</f>
        <v>99999</v>
      </c>
      <c r="P1436" s="148">
        <f>IFERROR(__xludf.DUMMYFUNCTION("""COMPUTED_VALUE"""),9999.0)</f>
        <v>9999</v>
      </c>
      <c r="Q1436" s="148" t="str">
        <f>IFERROR(__xludf.DUMMYFUNCTION("""COMPUTED_VALUE"""),"[""bag_other""]")</f>
        <v>["bag_other"]</v>
      </c>
      <c r="R1436" s="148" t="str">
        <f>IFERROR(__xludf.DUMMYFUNCTION("""COMPUTED_VALUE"""),"[]")</f>
        <v>[]</v>
      </c>
      <c r="S1436" s="148" t="str">
        <f>IFERROR(__xludf.DUMMYFUNCTION("""COMPUTED_VALUE"""),"{}")</f>
        <v>{}</v>
      </c>
      <c r="T1436" s="148">
        <f>IFERROR(__xludf.DUMMYFUNCTION("""COMPUTED_VALUE"""),-1.0)</f>
        <v>-1</v>
      </c>
      <c r="U1436" s="148">
        <f>IFERROR(__xludf.DUMMYFUNCTION("""COMPUTED_VALUE"""),0.0)</f>
        <v>0</v>
      </c>
      <c r="V1436" s="148" t="str">
        <f>IFERROR(__xludf.DUMMYFUNCTION("""COMPUTED_VALUE"""),"[]")</f>
        <v>[]</v>
      </c>
      <c r="W1436" s="148">
        <f>IFERROR(__xludf.DUMMYFUNCTION("""COMPUTED_VALUE"""),1.174E7)</f>
        <v>11740000</v>
      </c>
      <c r="X1436" s="148">
        <f>IFERROR(__xludf.DUMMYFUNCTION("""COMPUTED_VALUE"""),0.0)</f>
        <v>0</v>
      </c>
      <c r="Y1436" s="148">
        <f>IFERROR(__xludf.DUMMYFUNCTION("""COMPUTED_VALUE"""),0.0)</f>
        <v>0</v>
      </c>
      <c r="Z1436" s="148"/>
    </row>
    <row r="1437">
      <c r="A1437" s="148">
        <f>IFERROR(__xludf.DUMMYFUNCTION("""COMPUTED_VALUE"""),1.1117078E7)</f>
        <v>11117078</v>
      </c>
      <c r="B1437" s="148" t="str">
        <f>IFERROR(__xludf.DUMMYFUNCTION("""COMPUTED_VALUE"""),"主城皮肤-kvk1")</f>
        <v>主城皮肤-kvk1</v>
      </c>
      <c r="C1437" s="148"/>
      <c r="D1437" s="148" t="str">
        <f>IFERROR(__xludf.DUMMYFUNCTION("""COMPUTED_VALUE"""),"city_skin")</f>
        <v>city_skin</v>
      </c>
      <c r="E1437" s="148">
        <f>IFERROR(__xludf.DUMMYFUNCTION("""COMPUTED_VALUE"""),21.0)</f>
        <v>21</v>
      </c>
      <c r="F1437" s="148">
        <f>IFERROR(__xludf.DUMMYFUNCTION("""COMPUTED_VALUE"""),400104.0)</f>
        <v>400104</v>
      </c>
      <c r="G1437" s="148">
        <f>IFERROR(__xludf.DUMMYFUNCTION("""COMPUTED_VALUE"""),1.5114437E7)</f>
        <v>15114437</v>
      </c>
      <c r="H1437" s="148">
        <f>IFERROR(__xludf.DUMMYFUNCTION("""COMPUTED_VALUE"""),1.5112564E7)</f>
        <v>15112564</v>
      </c>
      <c r="I1437" s="148" t="str">
        <f>IFERROR(__xludf.DUMMYFUNCTION("""COMPUTED_VALUE"""),"{}")</f>
        <v>{}</v>
      </c>
      <c r="J1437" s="148" t="str">
        <f>IFERROR(__xludf.DUMMYFUNCTION("""COMPUTED_VALUE"""),"{""typ"":""lc"",""txt"":""LC_ITEM_city_skin_kvk1_name""}")</f>
        <v>{"typ":"lc","txt":"LC_ITEM_city_skin_kvk1_name"}</v>
      </c>
      <c r="K1437" s="148" t="str">
        <f>IFERROR(__xludf.DUMMYFUNCTION("""COMPUTED_VALUE"""),"{""typ"":""lc"",""txt"":""LC_ITEM_city_skin_kvk1_desc""}")</f>
        <v>{"typ":"lc","txt":"LC_ITEM_city_skin_kvk1_desc"}</v>
      </c>
      <c r="L1437" s="148" t="str">
        <f>IFERROR(__xludf.DUMMYFUNCTION("""COMPUTED_VALUE"""),"{""typ"":""lc"",""txt"":""LC_ITEM_city_skin_rocket_use_tips""}")</f>
        <v>{"typ":"lc","txt":"LC_ITEM_city_skin_rocket_use_tips"}</v>
      </c>
      <c r="M1437" s="148">
        <f>IFERROR(__xludf.DUMMYFUNCTION("""COMPUTED_VALUE"""),10000.0)</f>
        <v>10000</v>
      </c>
      <c r="N1437" s="148">
        <f>IFERROR(__xludf.DUMMYFUNCTION("""COMPUTED_VALUE"""),999.0)</f>
        <v>999</v>
      </c>
      <c r="O1437" s="148">
        <f>IFERROR(__xludf.DUMMYFUNCTION("""COMPUTED_VALUE"""),1.0)</f>
        <v>1</v>
      </c>
      <c r="P1437" s="148">
        <f>IFERROR(__xludf.DUMMYFUNCTION("""COMPUTED_VALUE"""),1.0)</f>
        <v>1</v>
      </c>
      <c r="Q1437" s="148" t="str">
        <f>IFERROR(__xludf.DUMMYFUNCTION("""COMPUTED_VALUE"""),"[""bag_other""]")</f>
        <v>["bag_other"]</v>
      </c>
      <c r="R1437" s="148" t="str">
        <f>IFERROR(__xludf.DUMMYFUNCTION("""COMPUTED_VALUE"""),"[""bag"",""13121005""]")</f>
        <v>["bag","13121005"]</v>
      </c>
      <c r="S1437" s="148" t="str">
        <f>IFERROR(__xludf.DUMMYFUNCTION("""COMPUTED_VALUE"""),"{""effect"":[{""typ"":""city_skin"",""id"":13121005,""val"":-1},{""typ"":""item"",""id"":11111034,""val"":10}]}")</f>
        <v>{"effect":[{"typ":"city_skin","id":13121005,"val":-1},{"typ":"item","id":11111034,"val":10}]}</v>
      </c>
      <c r="T1437" s="148">
        <f>IFERROR(__xludf.DUMMYFUNCTION("""COMPUTED_VALUE"""),-1.0)</f>
        <v>-1</v>
      </c>
      <c r="U1437" s="148">
        <f>IFERROR(__xludf.DUMMYFUNCTION("""COMPUTED_VALUE"""),0.0)</f>
        <v>0</v>
      </c>
      <c r="V1437" s="148" t="str">
        <f>IFERROR(__xludf.DUMMYFUNCTION("""COMPUTED_VALUE"""),"[]")</f>
        <v>[]</v>
      </c>
      <c r="W1437" s="148">
        <f>IFERROR(__xludf.DUMMYFUNCTION("""COMPUTED_VALUE"""),1.174E7)</f>
        <v>11740000</v>
      </c>
      <c r="X1437" s="148">
        <f>IFERROR(__xludf.DUMMYFUNCTION("""COMPUTED_VALUE"""),0.0)</f>
        <v>0</v>
      </c>
      <c r="Y1437" s="148">
        <f>IFERROR(__xludf.DUMMYFUNCTION("""COMPUTED_VALUE"""),0.0)</f>
        <v>0</v>
      </c>
      <c r="Z1437" s="148"/>
    </row>
    <row r="1438">
      <c r="A1438" s="148">
        <f>IFERROR(__xludf.DUMMYFUNCTION("""COMPUTED_VALUE"""),1.1117079E7)</f>
        <v>11117079</v>
      </c>
      <c r="B1438" s="148" t="str">
        <f>IFERROR(__xludf.DUMMYFUNCTION("""COMPUTED_VALUE"""),"光谱芯片")</f>
        <v>光谱芯片</v>
      </c>
      <c r="C1438" s="148"/>
      <c r="D1438" s="148" t="str">
        <f>IFERROR(__xludf.DUMMYFUNCTION("""COMPUTED_VALUE"""),"paradeground")</f>
        <v>paradeground</v>
      </c>
      <c r="E1438" s="148">
        <f>IFERROR(__xludf.DUMMYFUNCTION("""COMPUTED_VALUE"""),0.0)</f>
        <v>0</v>
      </c>
      <c r="F1438" s="148">
        <f>IFERROR(__xludf.DUMMYFUNCTION("""COMPUTED_VALUE"""),415300.0)</f>
        <v>415300</v>
      </c>
      <c r="G1438" s="148">
        <f>IFERROR(__xludf.DUMMYFUNCTION("""COMPUTED_VALUE"""),1.5114539E7)</f>
        <v>15114539</v>
      </c>
      <c r="H1438" s="148">
        <f>IFERROR(__xludf.DUMMYFUNCTION("""COMPUTED_VALUE"""),1.5112562E7)</f>
        <v>15112562</v>
      </c>
      <c r="I1438" s="148" t="str">
        <f>IFERROR(__xludf.DUMMYFUNCTION("""COMPUTED_VALUE"""),"{}")</f>
        <v>{}</v>
      </c>
      <c r="J1438" s="148" t="str">
        <f>IFERROR(__xludf.DUMMYFUNCTION("""COMPUTED_VALUE"""),"{""typ"":""lc"",""txt"":""LC_ITEM_paradeground_uplevel_item_name""}")</f>
        <v>{"typ":"lc","txt":"LC_ITEM_paradeground_uplevel_item_name"}</v>
      </c>
      <c r="K1438" s="148" t="str">
        <f>IFERROR(__xludf.DUMMYFUNCTION("""COMPUTED_VALUE"""),"{""typ"":""lc"",""txt"":""LC_ITEM_paradeground_uplevel_item_desc""}")</f>
        <v>{"typ":"lc","txt":"LC_ITEM_paradeground_uplevel_item_desc"}</v>
      </c>
      <c r="L1438" s="148" t="str">
        <f>IFERROR(__xludf.DUMMYFUNCTION("""COMPUTED_VALUE"""),"{}")</f>
        <v>{}</v>
      </c>
      <c r="M1438" s="148">
        <f>IFERROR(__xludf.DUMMYFUNCTION("""COMPUTED_VALUE"""),3.0)</f>
        <v>3</v>
      </c>
      <c r="N1438" s="148">
        <f>IFERROR(__xludf.DUMMYFUNCTION("""COMPUTED_VALUE"""),9999999.0)</f>
        <v>9999999</v>
      </c>
      <c r="O1438" s="148">
        <f>IFERROR(__xludf.DUMMYFUNCTION("""COMPUTED_VALUE"""),99999.0)</f>
        <v>99999</v>
      </c>
      <c r="P1438" s="148">
        <f>IFERROR(__xludf.DUMMYFUNCTION("""COMPUTED_VALUE"""),9999999.0)</f>
        <v>9999999</v>
      </c>
      <c r="Q1438" s="148" t="str">
        <f>IFERROR(__xludf.DUMMYFUNCTION("""COMPUTED_VALUE"""),"[""bag_other""]")</f>
        <v>["bag_other"]</v>
      </c>
      <c r="R1438" s="148" t="str">
        <f>IFERROR(__xludf.DUMMYFUNCTION("""COMPUTED_VALUE"""),"[""paradeground_item""]")</f>
        <v>["paradeground_item"]</v>
      </c>
      <c r="S1438" s="148" t="str">
        <f>IFERROR(__xludf.DUMMYFUNCTION("""COMPUTED_VALUE"""),"{}")</f>
        <v>{}</v>
      </c>
      <c r="T1438" s="148">
        <f>IFERROR(__xludf.DUMMYFUNCTION("""COMPUTED_VALUE"""),-1.0)</f>
        <v>-1</v>
      </c>
      <c r="U1438" s="148">
        <f>IFERROR(__xludf.DUMMYFUNCTION("""COMPUTED_VALUE"""),0.0)</f>
        <v>0</v>
      </c>
      <c r="V1438" s="148" t="str">
        <f>IFERROR(__xludf.DUMMYFUNCTION("""COMPUTED_VALUE"""),"[]")</f>
        <v>[]</v>
      </c>
      <c r="W1438" s="148">
        <f>IFERROR(__xludf.DUMMYFUNCTION("""COMPUTED_VALUE"""),1.1741004E7)</f>
        <v>11741004</v>
      </c>
      <c r="X1438" s="148">
        <f>IFERROR(__xludf.DUMMYFUNCTION("""COMPUTED_VALUE"""),0.0)</f>
        <v>0</v>
      </c>
      <c r="Y1438" s="148">
        <f>IFERROR(__xludf.DUMMYFUNCTION("""COMPUTED_VALUE"""),0.0)</f>
        <v>0</v>
      </c>
      <c r="Z1438" s="148"/>
    </row>
    <row r="1439">
      <c r="A1439" s="148">
        <f>IFERROR(__xludf.DUMMYFUNCTION("""COMPUTED_VALUE"""),1.111708E7)</f>
        <v>11117080</v>
      </c>
      <c r="B1439" s="148" t="str">
        <f>IFERROR(__xludf.DUMMYFUNCTION("""COMPUTED_VALUE"""),"圣诞铃-2021")</f>
        <v>圣诞铃-2021</v>
      </c>
      <c r="C1439" s="148"/>
      <c r="D1439" s="148" t="str">
        <f>IFERROR(__xludf.DUMMYFUNCTION("""COMPUTED_VALUE"""),"battle_pass_exp")</f>
        <v>battle_pass_exp</v>
      </c>
      <c r="E1439" s="148">
        <f>IFERROR(__xludf.DUMMYFUNCTION("""COMPUTED_VALUE"""),0.0)</f>
        <v>0</v>
      </c>
      <c r="F1439" s="148">
        <f>IFERROR(__xludf.DUMMYFUNCTION("""COMPUTED_VALUE"""),405225.0)</f>
        <v>405225</v>
      </c>
      <c r="G1439" s="148">
        <f>IFERROR(__xludf.DUMMYFUNCTION("""COMPUTED_VALUE"""),1.5114479E7)</f>
        <v>15114479</v>
      </c>
      <c r="H1439" s="148">
        <f>IFERROR(__xludf.DUMMYFUNCTION("""COMPUTED_VALUE"""),1.5112563E7)</f>
        <v>15112563</v>
      </c>
      <c r="I1439" s="148" t="str">
        <f>IFERROR(__xludf.DUMMYFUNCTION("""COMPUTED_VALUE"""),"{}")</f>
        <v>{}</v>
      </c>
      <c r="J1439" s="148" t="str">
        <f>IFERROR(__xludf.DUMMYFUNCTION("""COMPUTED_VALUE"""),"{""typ"":""lc"",""txt"":""LC_ITEM_xmas_2021_item_1""}")</f>
        <v>{"typ":"lc","txt":"LC_ITEM_xmas_2021_item_1"}</v>
      </c>
      <c r="K1439" s="148" t="str">
        <f>IFERROR(__xludf.DUMMYFUNCTION("""COMPUTED_VALUE"""),"{""typ"":""lc"",""txt"":""LC_ITEM_xmas_2021_item_1_desc""}")</f>
        <v>{"typ":"lc","txt":"LC_ITEM_xmas_2021_item_1_desc"}</v>
      </c>
      <c r="L1439" s="148" t="str">
        <f>IFERROR(__xludf.DUMMYFUNCTION("""COMPUTED_VALUE"""),"{}")</f>
        <v>{}</v>
      </c>
      <c r="M1439" s="148">
        <f>IFERROR(__xludf.DUMMYFUNCTION("""COMPUTED_VALUE"""),35.0)</f>
        <v>35</v>
      </c>
      <c r="N1439" s="148">
        <f>IFERROR(__xludf.DUMMYFUNCTION("""COMPUTED_VALUE"""),999999.0)</f>
        <v>999999</v>
      </c>
      <c r="O1439" s="148">
        <f>IFERROR(__xludf.DUMMYFUNCTION("""COMPUTED_VALUE"""),99999.0)</f>
        <v>99999</v>
      </c>
      <c r="P1439" s="148">
        <f>IFERROR(__xludf.DUMMYFUNCTION("""COMPUTED_VALUE"""),99999.0)</f>
        <v>99999</v>
      </c>
      <c r="Q1439" s="148" t="str">
        <f>IFERROR(__xludf.DUMMYFUNCTION("""COMPUTED_VALUE"""),"[""bag_other""]")</f>
        <v>["bag_other"]</v>
      </c>
      <c r="R1439" s="148" t="str">
        <f>IFERROR(__xludf.DUMMYFUNCTION("""COMPUTED_VALUE"""),"[""bag""]")</f>
        <v>["bag"]</v>
      </c>
      <c r="S1439" s="148" t="str">
        <f>IFERROR(__xludf.DUMMYFUNCTION("""COMPUTED_VALUE"""),"{}")</f>
        <v>{}</v>
      </c>
      <c r="T1439" s="148">
        <f>IFERROR(__xludf.DUMMYFUNCTION("""COMPUTED_VALUE"""),1.0)</f>
        <v>1</v>
      </c>
      <c r="U1439" s="148">
        <f>IFERROR(__xludf.DUMMYFUNCTION("""COMPUTED_VALUE"""),0.0)</f>
        <v>0</v>
      </c>
      <c r="V1439" s="148" t="str">
        <f>IFERROR(__xludf.DUMMYFUNCTION("""COMPUTED_VALUE"""),"[]")</f>
        <v>[]</v>
      </c>
      <c r="W1439" s="148">
        <f>IFERROR(__xludf.DUMMYFUNCTION("""COMPUTED_VALUE"""),1.174E7)</f>
        <v>11740000</v>
      </c>
      <c r="X1439" s="148">
        <f>IFERROR(__xludf.DUMMYFUNCTION("""COMPUTED_VALUE"""),0.0)</f>
        <v>0</v>
      </c>
      <c r="Y1439" s="148">
        <f>IFERROR(__xludf.DUMMYFUNCTION("""COMPUTED_VALUE"""),0.0)</f>
        <v>0</v>
      </c>
      <c r="Z1439" s="148"/>
    </row>
    <row r="1440">
      <c r="A1440" s="148">
        <f>IFERROR(__xludf.DUMMYFUNCTION("""COMPUTED_VALUE"""),1.1117081E7)</f>
        <v>11117081</v>
      </c>
      <c r="B1440" s="148" t="str">
        <f>IFERROR(__xludf.DUMMYFUNCTION("""COMPUTED_VALUE"""),"圣诞节BattlePass-初级通行证")</f>
        <v>圣诞节BattlePass-初级通行证</v>
      </c>
      <c r="C1440" s="148"/>
      <c r="D1440" s="148" t="str">
        <f>IFERROR(__xludf.DUMMYFUNCTION("""COMPUTED_VALUE"""),"battle_pass_card")</f>
        <v>battle_pass_card</v>
      </c>
      <c r="E1440" s="148">
        <f>IFERROR(__xludf.DUMMYFUNCTION("""COMPUTED_VALUE"""),0.0)</f>
        <v>0</v>
      </c>
      <c r="F1440" s="148">
        <f>IFERROR(__xludf.DUMMYFUNCTION("""COMPUTED_VALUE"""),0.0)</f>
        <v>0</v>
      </c>
      <c r="G1440" s="148">
        <f>IFERROR(__xludf.DUMMYFUNCTION("""COMPUTED_VALUE"""),1.5113625E7)</f>
        <v>15113625</v>
      </c>
      <c r="H1440" s="148">
        <f>IFERROR(__xludf.DUMMYFUNCTION("""COMPUTED_VALUE"""),1.5112563E7)</f>
        <v>15112563</v>
      </c>
      <c r="I1440" s="148" t="str">
        <f>IFERROR(__xludf.DUMMYFUNCTION("""COMPUTED_VALUE"""),"{}")</f>
        <v>{}</v>
      </c>
      <c r="J1440" s="148" t="str">
        <f>IFERROR(__xludf.DUMMYFUNCTION("""COMPUTED_VALUE"""),"{""typ"":""lc"",""txt"":""LC_IAP_classic_xmas_2021_gift""}")</f>
        <v>{"typ":"lc","txt":"LC_IAP_classic_xmas_2021_gift"}</v>
      </c>
      <c r="K1440" s="148" t="str">
        <f>IFERROR(__xludf.DUMMYFUNCTION("""COMPUTED_VALUE"""),"{}")</f>
        <v>{}</v>
      </c>
      <c r="L1440" s="148" t="str">
        <f>IFERROR(__xludf.DUMMYFUNCTION("""COMPUTED_VALUE"""),"{}")</f>
        <v>{}</v>
      </c>
      <c r="M1440" s="148">
        <f>IFERROR(__xludf.DUMMYFUNCTION("""COMPUTED_VALUE"""),10.0)</f>
        <v>10</v>
      </c>
      <c r="N1440" s="148">
        <f>IFERROR(__xludf.DUMMYFUNCTION("""COMPUTED_VALUE"""),999999.0)</f>
        <v>999999</v>
      </c>
      <c r="O1440" s="148">
        <f>IFERROR(__xludf.DUMMYFUNCTION("""COMPUTED_VALUE"""),99999.0)</f>
        <v>99999</v>
      </c>
      <c r="P1440" s="148">
        <f>IFERROR(__xludf.DUMMYFUNCTION("""COMPUTED_VALUE"""),9999.0)</f>
        <v>9999</v>
      </c>
      <c r="Q1440" s="148" t="str">
        <f>IFERROR(__xludf.DUMMYFUNCTION("""COMPUTED_VALUE"""),"[]")</f>
        <v>[]</v>
      </c>
      <c r="R1440" s="148" t="str">
        <f>IFERROR(__xludf.DUMMYFUNCTION("""COMPUTED_VALUE"""),"[]")</f>
        <v>[]</v>
      </c>
      <c r="S1440" s="148" t="str">
        <f>IFERROR(__xludf.DUMMYFUNCTION("""COMPUTED_VALUE"""),"{}")</f>
        <v>{}</v>
      </c>
      <c r="T1440" s="148">
        <f>IFERROR(__xludf.DUMMYFUNCTION("""COMPUTED_VALUE"""),-1.0)</f>
        <v>-1</v>
      </c>
      <c r="U1440" s="148">
        <f>IFERROR(__xludf.DUMMYFUNCTION("""COMPUTED_VALUE"""),1.0)</f>
        <v>1</v>
      </c>
      <c r="V1440" s="148" t="str">
        <f>IFERROR(__xludf.DUMMYFUNCTION("""COMPUTED_VALUE"""),"[]")</f>
        <v>[]</v>
      </c>
      <c r="W1440" s="148">
        <f>IFERROR(__xludf.DUMMYFUNCTION("""COMPUTED_VALUE"""),1.174E7)</f>
        <v>11740000</v>
      </c>
      <c r="X1440" s="148">
        <f>IFERROR(__xludf.DUMMYFUNCTION("""COMPUTED_VALUE"""),0.0)</f>
        <v>0</v>
      </c>
      <c r="Y1440" s="148">
        <f>IFERROR(__xludf.DUMMYFUNCTION("""COMPUTED_VALUE"""),0.0)</f>
        <v>0</v>
      </c>
      <c r="Z1440" s="148"/>
    </row>
    <row r="1441">
      <c r="A1441" s="148">
        <f>IFERROR(__xludf.DUMMYFUNCTION("""COMPUTED_VALUE"""),1.1117082E7)</f>
        <v>11117082</v>
      </c>
      <c r="B1441" s="148" t="str">
        <f>IFERROR(__xludf.DUMMYFUNCTION("""COMPUTED_VALUE"""),"圣诞节BattlePass-高级通行证")</f>
        <v>圣诞节BattlePass-高级通行证</v>
      </c>
      <c r="C1441" s="148"/>
      <c r="D1441" s="148" t="str">
        <f>IFERROR(__xludf.DUMMYFUNCTION("""COMPUTED_VALUE"""),"battle_pass_card")</f>
        <v>battle_pass_card</v>
      </c>
      <c r="E1441" s="148">
        <f>IFERROR(__xludf.DUMMYFUNCTION("""COMPUTED_VALUE"""),0.0)</f>
        <v>0</v>
      </c>
      <c r="F1441" s="148">
        <f>IFERROR(__xludf.DUMMYFUNCTION("""COMPUTED_VALUE"""),0.0)</f>
        <v>0</v>
      </c>
      <c r="G1441" s="148">
        <f>IFERROR(__xludf.DUMMYFUNCTION("""COMPUTED_VALUE"""),1.5113625E7)</f>
        <v>15113625</v>
      </c>
      <c r="H1441" s="148">
        <f>IFERROR(__xludf.DUMMYFUNCTION("""COMPUTED_VALUE"""),1.5112563E7)</f>
        <v>15112563</v>
      </c>
      <c r="I1441" s="148" t="str">
        <f>IFERROR(__xludf.DUMMYFUNCTION("""COMPUTED_VALUE"""),"{}")</f>
        <v>{}</v>
      </c>
      <c r="J1441" s="148" t="str">
        <f>IFERROR(__xludf.DUMMYFUNCTION("""COMPUTED_VALUE"""),"{""typ"":""lc"",""txt"":""LC_IAP_luxury_xmas_2021_gift""}")</f>
        <v>{"typ":"lc","txt":"LC_IAP_luxury_xmas_2021_gift"}</v>
      </c>
      <c r="K1441" s="148" t="str">
        <f>IFERROR(__xludf.DUMMYFUNCTION("""COMPUTED_VALUE"""),"{}")</f>
        <v>{}</v>
      </c>
      <c r="L1441" s="148" t="str">
        <f>IFERROR(__xludf.DUMMYFUNCTION("""COMPUTED_VALUE"""),"{}")</f>
        <v>{}</v>
      </c>
      <c r="M1441" s="148">
        <f>IFERROR(__xludf.DUMMYFUNCTION("""COMPUTED_VALUE"""),10.0)</f>
        <v>10</v>
      </c>
      <c r="N1441" s="148">
        <f>IFERROR(__xludf.DUMMYFUNCTION("""COMPUTED_VALUE"""),999999.0)</f>
        <v>999999</v>
      </c>
      <c r="O1441" s="148">
        <f>IFERROR(__xludf.DUMMYFUNCTION("""COMPUTED_VALUE"""),99999.0)</f>
        <v>99999</v>
      </c>
      <c r="P1441" s="148">
        <f>IFERROR(__xludf.DUMMYFUNCTION("""COMPUTED_VALUE"""),9999.0)</f>
        <v>9999</v>
      </c>
      <c r="Q1441" s="148" t="str">
        <f>IFERROR(__xludf.DUMMYFUNCTION("""COMPUTED_VALUE"""),"[]")</f>
        <v>[]</v>
      </c>
      <c r="R1441" s="148" t="str">
        <f>IFERROR(__xludf.DUMMYFUNCTION("""COMPUTED_VALUE"""),"[]")</f>
        <v>[]</v>
      </c>
      <c r="S1441" s="148" t="str">
        <f>IFERROR(__xludf.DUMMYFUNCTION("""COMPUTED_VALUE"""),"{}")</f>
        <v>{}</v>
      </c>
      <c r="T1441" s="148">
        <f>IFERROR(__xludf.DUMMYFUNCTION("""COMPUTED_VALUE"""),-1.0)</f>
        <v>-1</v>
      </c>
      <c r="U1441" s="148">
        <f>IFERROR(__xludf.DUMMYFUNCTION("""COMPUTED_VALUE"""),1.0)</f>
        <v>1</v>
      </c>
      <c r="V1441" s="148" t="str">
        <f>IFERROR(__xludf.DUMMYFUNCTION("""COMPUTED_VALUE"""),"[]")</f>
        <v>[]</v>
      </c>
      <c r="W1441" s="148">
        <f>IFERROR(__xludf.DUMMYFUNCTION("""COMPUTED_VALUE"""),1.174E7)</f>
        <v>11740000</v>
      </c>
      <c r="X1441" s="148">
        <f>IFERROR(__xludf.DUMMYFUNCTION("""COMPUTED_VALUE"""),0.0)</f>
        <v>0</v>
      </c>
      <c r="Y1441" s="148">
        <f>IFERROR(__xludf.DUMMYFUNCTION("""COMPUTED_VALUE"""),0.0)</f>
        <v>0</v>
      </c>
      <c r="Z1441" s="148"/>
    </row>
    <row r="1442">
      <c r="A1442" s="148">
        <f>IFERROR(__xludf.DUMMYFUNCTION("""COMPUTED_VALUE"""),1.1117083E7)</f>
        <v>11117083</v>
      </c>
      <c r="B1442" s="148" t="str">
        <f>IFERROR(__xludf.DUMMYFUNCTION("""COMPUTED_VALUE"""),"圣诞袜（抽奖道具）")</f>
        <v>圣诞袜（抽奖道具）</v>
      </c>
      <c r="C1442" s="148"/>
      <c r="D1442" s="148" t="str">
        <f>IFERROR(__xludf.DUMMYFUNCTION("""COMPUTED_VALUE"""),"event")</f>
        <v>event</v>
      </c>
      <c r="E1442" s="148">
        <f>IFERROR(__xludf.DUMMYFUNCTION("""COMPUTED_VALUE"""),0.0)</f>
        <v>0</v>
      </c>
      <c r="F1442" s="148">
        <f>IFERROR(__xludf.DUMMYFUNCTION("""COMPUTED_VALUE"""),405226.0)</f>
        <v>405226</v>
      </c>
      <c r="G1442" s="148">
        <f>IFERROR(__xludf.DUMMYFUNCTION("""COMPUTED_VALUE"""),1.5113551E7)</f>
        <v>15113551</v>
      </c>
      <c r="H1442" s="148">
        <f>IFERROR(__xludf.DUMMYFUNCTION("""COMPUTED_VALUE"""),1.5112563E7)</f>
        <v>15112563</v>
      </c>
      <c r="I1442" s="148" t="str">
        <f>IFERROR(__xludf.DUMMYFUNCTION("""COMPUTED_VALUE"""),"{}")</f>
        <v>{}</v>
      </c>
      <c r="J1442" s="148" t="str">
        <f>IFERROR(__xludf.DUMMYFUNCTION("""COMPUTED_VALUE"""),"{""typ"":""lc"",""txt"":""LC_ITEM_stocking""}")</f>
        <v>{"typ":"lc","txt":"LC_ITEM_stocking"}</v>
      </c>
      <c r="K1442" s="148" t="str">
        <f>IFERROR(__xludf.DUMMYFUNCTION("""COMPUTED_VALUE"""),"{""typ"":""lc"",""txt"":""LC_ITEM_stocking_desc""}")</f>
        <v>{"typ":"lc","txt":"LC_ITEM_stocking_desc"}</v>
      </c>
      <c r="L1442" s="148" t="str">
        <f>IFERROR(__xludf.DUMMYFUNCTION("""COMPUTED_VALUE"""),"{}")</f>
        <v>{}</v>
      </c>
      <c r="M1442" s="148">
        <f>IFERROR(__xludf.DUMMYFUNCTION("""COMPUTED_VALUE"""),700.0)</f>
        <v>700</v>
      </c>
      <c r="N1442" s="148">
        <f>IFERROR(__xludf.DUMMYFUNCTION("""COMPUTED_VALUE"""),9.99999999E8)</f>
        <v>999999999</v>
      </c>
      <c r="O1442" s="148">
        <f>IFERROR(__xludf.DUMMYFUNCTION("""COMPUTED_VALUE"""),9.99999999E8)</f>
        <v>999999999</v>
      </c>
      <c r="P1442" s="148">
        <f>IFERROR(__xludf.DUMMYFUNCTION("""COMPUTED_VALUE"""),9.99999999E8)</f>
        <v>999999999</v>
      </c>
      <c r="Q1442" s="148" t="str">
        <f>IFERROR(__xludf.DUMMYFUNCTION("""COMPUTED_VALUE"""),"[""bag_other""]")</f>
        <v>["bag_other"]</v>
      </c>
      <c r="R1442" s="148" t="str">
        <f>IFERROR(__xludf.DUMMYFUNCTION("""COMPUTED_VALUE"""),"[""bag""]")</f>
        <v>["bag"]</v>
      </c>
      <c r="S1442" s="148" t="str">
        <f>IFERROR(__xludf.DUMMYFUNCTION("""COMPUTED_VALUE"""),"{}")</f>
        <v>{}</v>
      </c>
      <c r="T1442" s="148">
        <f>IFERROR(__xludf.DUMMYFUNCTION("""COMPUTED_VALUE"""),-1.0)</f>
        <v>-1</v>
      </c>
      <c r="U1442" s="148">
        <f>IFERROR(__xludf.DUMMYFUNCTION("""COMPUTED_VALUE"""),0.0)</f>
        <v>0</v>
      </c>
      <c r="V1442" s="148" t="str">
        <f>IFERROR(__xludf.DUMMYFUNCTION("""COMPUTED_VALUE"""),"[]")</f>
        <v>[]</v>
      </c>
      <c r="W1442" s="148">
        <f>IFERROR(__xludf.DUMMYFUNCTION("""COMPUTED_VALUE"""),1.174E7)</f>
        <v>11740000</v>
      </c>
      <c r="X1442" s="148">
        <f>IFERROR(__xludf.DUMMYFUNCTION("""COMPUTED_VALUE"""),0.0)</f>
        <v>0</v>
      </c>
      <c r="Y1442" s="148">
        <f>IFERROR(__xludf.DUMMYFUNCTION("""COMPUTED_VALUE"""),0.0)</f>
        <v>0</v>
      </c>
      <c r="Z1442" s="148"/>
    </row>
    <row r="1443">
      <c r="A1443" s="148">
        <f>IFERROR(__xludf.DUMMYFUNCTION("""COMPUTED_VALUE"""),1.1117084E7)</f>
        <v>11117084</v>
      </c>
      <c r="B1443" s="148" t="str">
        <f>IFERROR(__xludf.DUMMYFUNCTION("""COMPUTED_VALUE"""),"圣诞礼券（兑换道具）")</f>
        <v>圣诞礼券（兑换道具）</v>
      </c>
      <c r="C1443" s="148"/>
      <c r="D1443" s="148" t="str">
        <f>IFERROR(__xludf.DUMMYFUNCTION("""COMPUTED_VALUE"""),"event")</f>
        <v>event</v>
      </c>
      <c r="E1443" s="148">
        <f>IFERROR(__xludf.DUMMYFUNCTION("""COMPUTED_VALUE"""),0.0)</f>
        <v>0</v>
      </c>
      <c r="F1443" s="148">
        <f>IFERROR(__xludf.DUMMYFUNCTION("""COMPUTED_VALUE"""),405227.0)</f>
        <v>405227</v>
      </c>
      <c r="G1443" s="148">
        <f>IFERROR(__xludf.DUMMYFUNCTION("""COMPUTED_VALUE"""),1.511446E7)</f>
        <v>15114460</v>
      </c>
      <c r="H1443" s="148">
        <f>IFERROR(__xludf.DUMMYFUNCTION("""COMPUTED_VALUE"""),1.5112563E7)</f>
        <v>15112563</v>
      </c>
      <c r="I1443" s="148" t="str">
        <f>IFERROR(__xludf.DUMMYFUNCTION("""COMPUTED_VALUE"""),"{}")</f>
        <v>{}</v>
      </c>
      <c r="J1443" s="148" t="str">
        <f>IFERROR(__xludf.DUMMYFUNCTION("""COMPUTED_VALUE"""),"{""typ"":""lc"",""txt"":""LC_ITEM_coupons""}")</f>
        <v>{"typ":"lc","txt":"LC_ITEM_coupons"}</v>
      </c>
      <c r="K1443" s="148" t="str">
        <f>IFERROR(__xludf.DUMMYFUNCTION("""COMPUTED_VALUE"""),"{""typ"":""lc"",""txt"":""LC_ITEM_coupons_desc""}")</f>
        <v>{"typ":"lc","txt":"LC_ITEM_coupons_desc"}</v>
      </c>
      <c r="L1443" s="148" t="str">
        <f>IFERROR(__xludf.DUMMYFUNCTION("""COMPUTED_VALUE"""),"{}")</f>
        <v>{}</v>
      </c>
      <c r="M1443" s="148">
        <f>IFERROR(__xludf.DUMMYFUNCTION("""COMPUTED_VALUE"""),100.0)</f>
        <v>100</v>
      </c>
      <c r="N1443" s="148">
        <f>IFERROR(__xludf.DUMMYFUNCTION("""COMPUTED_VALUE"""),9.99999999E8)</f>
        <v>999999999</v>
      </c>
      <c r="O1443" s="148">
        <f>IFERROR(__xludf.DUMMYFUNCTION("""COMPUTED_VALUE"""),9.99999999E8)</f>
        <v>999999999</v>
      </c>
      <c r="P1443" s="148">
        <f>IFERROR(__xludf.DUMMYFUNCTION("""COMPUTED_VALUE"""),9.99999999E8)</f>
        <v>999999999</v>
      </c>
      <c r="Q1443" s="148" t="str">
        <f>IFERROR(__xludf.DUMMYFUNCTION("""COMPUTED_VALUE"""),"[""bag_other""]")</f>
        <v>["bag_other"]</v>
      </c>
      <c r="R1443" s="148" t="str">
        <f>IFERROR(__xludf.DUMMYFUNCTION("""COMPUTED_VALUE"""),"[""bag""]")</f>
        <v>["bag"]</v>
      </c>
      <c r="S1443" s="148" t="str">
        <f>IFERROR(__xludf.DUMMYFUNCTION("""COMPUTED_VALUE"""),"{}")</f>
        <v>{}</v>
      </c>
      <c r="T1443" s="148">
        <f>IFERROR(__xludf.DUMMYFUNCTION("""COMPUTED_VALUE"""),-1.0)</f>
        <v>-1</v>
      </c>
      <c r="U1443" s="148">
        <f>IFERROR(__xludf.DUMMYFUNCTION("""COMPUTED_VALUE"""),0.0)</f>
        <v>0</v>
      </c>
      <c r="V1443" s="148" t="str">
        <f>IFERROR(__xludf.DUMMYFUNCTION("""COMPUTED_VALUE"""),"[]")</f>
        <v>[]</v>
      </c>
      <c r="W1443" s="148">
        <f>IFERROR(__xludf.DUMMYFUNCTION("""COMPUTED_VALUE"""),1.174E7)</f>
        <v>11740000</v>
      </c>
      <c r="X1443" s="148">
        <f>IFERROR(__xludf.DUMMYFUNCTION("""COMPUTED_VALUE"""),0.0)</f>
        <v>0</v>
      </c>
      <c r="Y1443" s="148">
        <f>IFERROR(__xludf.DUMMYFUNCTION("""COMPUTED_VALUE"""),0.0)</f>
        <v>0</v>
      </c>
      <c r="Z1443" s="148"/>
    </row>
    <row r="1444">
      <c r="A1444" s="148">
        <f>IFERROR(__xludf.DUMMYFUNCTION("""COMPUTED_VALUE"""),1.1117085E7)</f>
        <v>11117085</v>
      </c>
      <c r="B1444" s="148" t="str">
        <f>IFERROR(__xludf.DUMMYFUNCTION("""COMPUTED_VALUE"""),"主城皮肤-圣诞")</f>
        <v>主城皮肤-圣诞</v>
      </c>
      <c r="C1444" s="148"/>
      <c r="D1444" s="148" t="str">
        <f>IFERROR(__xludf.DUMMYFUNCTION("""COMPUTED_VALUE"""),"city_skin")</f>
        <v>city_skin</v>
      </c>
      <c r="E1444" s="148">
        <f>IFERROR(__xludf.DUMMYFUNCTION("""COMPUTED_VALUE"""),21.0)</f>
        <v>21</v>
      </c>
      <c r="F1444" s="148">
        <f>IFERROR(__xludf.DUMMYFUNCTION("""COMPUTED_VALUE"""),400103.0)</f>
        <v>400103</v>
      </c>
      <c r="G1444" s="148">
        <f>IFERROR(__xludf.DUMMYFUNCTION("""COMPUTED_VALUE"""),1.5114463E7)</f>
        <v>15114463</v>
      </c>
      <c r="H1444" s="148">
        <f>IFERROR(__xludf.DUMMYFUNCTION("""COMPUTED_VALUE"""),1.5112564E7)</f>
        <v>15112564</v>
      </c>
      <c r="I1444" s="148" t="str">
        <f>IFERROR(__xludf.DUMMYFUNCTION("""COMPUTED_VALUE"""),"{}")</f>
        <v>{}</v>
      </c>
      <c r="J1444" s="148" t="str">
        <f>IFERROR(__xludf.DUMMYFUNCTION("""COMPUTED_VALUE"""),"{""typ"":""lc"",""txt"":""LC_ITEM_cityskin_christmas""}")</f>
        <v>{"typ":"lc","txt":"LC_ITEM_cityskin_christmas"}</v>
      </c>
      <c r="K1444" s="148" t="str">
        <f>IFERROR(__xludf.DUMMYFUNCTION("""COMPUTED_VALUE"""),"{""typ"":""lc"",""txt"":""LC_ITEM_cityskin_christmas_desc""}")</f>
        <v>{"typ":"lc","txt":"LC_ITEM_cityskin_christmas_desc"}</v>
      </c>
      <c r="L1444" s="148" t="str">
        <f>IFERROR(__xludf.DUMMYFUNCTION("""COMPUTED_VALUE"""),"{""typ"":""lc"",""txt"":""LC_ITEM_city_skin_rocket_use_tips""}")</f>
        <v>{"typ":"lc","txt":"LC_ITEM_city_skin_rocket_use_tips"}</v>
      </c>
      <c r="M1444" s="148">
        <f>IFERROR(__xludf.DUMMYFUNCTION("""COMPUTED_VALUE"""),10000.0)</f>
        <v>10000</v>
      </c>
      <c r="N1444" s="148">
        <f>IFERROR(__xludf.DUMMYFUNCTION("""COMPUTED_VALUE"""),999.0)</f>
        <v>999</v>
      </c>
      <c r="O1444" s="148">
        <f>IFERROR(__xludf.DUMMYFUNCTION("""COMPUTED_VALUE"""),1.0)</f>
        <v>1</v>
      </c>
      <c r="P1444" s="148">
        <f>IFERROR(__xludf.DUMMYFUNCTION("""COMPUTED_VALUE"""),1.0)</f>
        <v>1</v>
      </c>
      <c r="Q1444" s="148" t="str">
        <f>IFERROR(__xludf.DUMMYFUNCTION("""COMPUTED_VALUE"""),"[""bag_other""]")</f>
        <v>["bag_other"]</v>
      </c>
      <c r="R1444" s="148" t="str">
        <f>IFERROR(__xludf.DUMMYFUNCTION("""COMPUTED_VALUE"""),"[""bag"",""13121006""]")</f>
        <v>["bag","13121006"]</v>
      </c>
      <c r="S1444" s="148" t="str">
        <f>IFERROR(__xludf.DUMMYFUNCTION("""COMPUTED_VALUE"""),"{""effect"":[{""typ"":""city_skin"",""id"":13121006,""val"":-1},{""typ"":""item"",""id"":11112030,""val"":4000}]}")</f>
        <v>{"effect":[{"typ":"city_skin","id":13121006,"val":-1},{"typ":"item","id":11112030,"val":4000}]}</v>
      </c>
      <c r="T1444" s="148">
        <f>IFERROR(__xludf.DUMMYFUNCTION("""COMPUTED_VALUE"""),-1.0)</f>
        <v>-1</v>
      </c>
      <c r="U1444" s="148">
        <f>IFERROR(__xludf.DUMMYFUNCTION("""COMPUTED_VALUE"""),0.0)</f>
        <v>0</v>
      </c>
      <c r="V1444" s="148" t="str">
        <f>IFERROR(__xludf.DUMMYFUNCTION("""COMPUTED_VALUE"""),"[]")</f>
        <v>[]</v>
      </c>
      <c r="W1444" s="148">
        <f>IFERROR(__xludf.DUMMYFUNCTION("""COMPUTED_VALUE"""),1.174E7)</f>
        <v>11740000</v>
      </c>
      <c r="X1444" s="148">
        <f>IFERROR(__xludf.DUMMYFUNCTION("""COMPUTED_VALUE"""),0.0)</f>
        <v>0</v>
      </c>
      <c r="Y1444" s="148">
        <f>IFERROR(__xludf.DUMMYFUNCTION("""COMPUTED_VALUE"""),0.0)</f>
        <v>0</v>
      </c>
      <c r="Z1444" s="148"/>
    </row>
    <row r="1445">
      <c r="A1445" s="148">
        <f>IFERROR(__xludf.DUMMYFUNCTION("""COMPUTED_VALUE"""),1.1117086E7)</f>
        <v>11117086</v>
      </c>
      <c r="B1445" s="148" t="str">
        <f>IFERROR(__xludf.DUMMYFUNCTION("""COMPUTED_VALUE"""),"主城皮肤-圣诞（2天）")</f>
        <v>主城皮肤-圣诞（2天）</v>
      </c>
      <c r="C1445" s="148"/>
      <c r="D1445" s="148" t="str">
        <f>IFERROR(__xludf.DUMMYFUNCTION("""COMPUTED_VALUE"""),"city_skin")</f>
        <v>city_skin</v>
      </c>
      <c r="E1445" s="148">
        <f>IFERROR(__xludf.DUMMYFUNCTION("""COMPUTED_VALUE"""),21.0)</f>
        <v>21</v>
      </c>
      <c r="F1445" s="148">
        <f>IFERROR(__xludf.DUMMYFUNCTION("""COMPUTED_VALUE"""),404201.0)</f>
        <v>404201</v>
      </c>
      <c r="G1445" s="148">
        <f>IFERROR(__xludf.DUMMYFUNCTION("""COMPUTED_VALUE"""),1.5114463E7)</f>
        <v>15114463</v>
      </c>
      <c r="H1445" s="148">
        <f>IFERROR(__xludf.DUMMYFUNCTION("""COMPUTED_VALUE"""),1.5112563E7)</f>
        <v>15112563</v>
      </c>
      <c r="I1445" s="148" t="str">
        <f>IFERROR(__xludf.DUMMYFUNCTION("""COMPUTED_VALUE"""),"{""typ"":""lc"",""txt"":""LC_ITEM_time_day_upper_show"",""args"":[{""typ"":""int"",""val"":2}]}")</f>
        <v>{"typ":"lc","txt":"LC_ITEM_time_day_upper_show","args":[{"typ":"int","val":2}]}</v>
      </c>
      <c r="J1445" s="148" t="str">
        <f>IFERROR(__xludf.DUMMYFUNCTION("""COMPUTED_VALUE"""),"{""typ"":""lc"",""txt"":""LC_ITEM_cityskin_christmas_48h_name""}")</f>
        <v>{"typ":"lc","txt":"LC_ITEM_cityskin_christmas_48h_name"}</v>
      </c>
      <c r="K1445" s="148" t="str">
        <f>IFERROR(__xludf.DUMMYFUNCTION("""COMPUTED_VALUE"""),"{""typ"":""lc"",""txt"":""LC_ITEM_cityskin_christmas_desc""}")</f>
        <v>{"typ":"lc","txt":"LC_ITEM_cityskin_christmas_desc"}</v>
      </c>
      <c r="L1445" s="148" t="str">
        <f>IFERROR(__xludf.DUMMYFUNCTION("""COMPUTED_VALUE"""),"{""typ"":""lc"",""txt"":""LC_ITEM_city_skin_rocket_use_tips""}")</f>
        <v>{"typ":"lc","txt":"LC_ITEM_city_skin_rocket_use_tips"}</v>
      </c>
      <c r="M1445" s="148">
        <f>IFERROR(__xludf.DUMMYFUNCTION("""COMPUTED_VALUE"""),500.0)</f>
        <v>500</v>
      </c>
      <c r="N1445" s="148">
        <f>IFERROR(__xludf.DUMMYFUNCTION("""COMPUTED_VALUE"""),999.0)</f>
        <v>999</v>
      </c>
      <c r="O1445" s="148">
        <f>IFERROR(__xludf.DUMMYFUNCTION("""COMPUTED_VALUE"""),1.0)</f>
        <v>1</v>
      </c>
      <c r="P1445" s="148">
        <f>IFERROR(__xludf.DUMMYFUNCTION("""COMPUTED_VALUE"""),1.0)</f>
        <v>1</v>
      </c>
      <c r="Q1445" s="148" t="str">
        <f>IFERROR(__xludf.DUMMYFUNCTION("""COMPUTED_VALUE"""),"[""bag_other""]")</f>
        <v>["bag_other"]</v>
      </c>
      <c r="R1445" s="148" t="str">
        <f>IFERROR(__xludf.DUMMYFUNCTION("""COMPUTED_VALUE"""),"[""bag"",""13121006""]")</f>
        <v>["bag","13121006"]</v>
      </c>
      <c r="S1445" s="148" t="str">
        <f>IFERROR(__xludf.DUMMYFUNCTION("""COMPUTED_VALUE"""),"{""effect"":[{""typ"":""city_skin"",""id"":13121006,""val"":172800000},{""typ"":""item"",""id"":11111021,""val"":1}]}")</f>
        <v>{"effect":[{"typ":"city_skin","id":13121006,"val":172800000},{"typ":"item","id":11111021,"val":1}]}</v>
      </c>
      <c r="T1445" s="148">
        <f>IFERROR(__xludf.DUMMYFUNCTION("""COMPUTED_VALUE"""),-1.0)</f>
        <v>-1</v>
      </c>
      <c r="U1445" s="148">
        <f>IFERROR(__xludf.DUMMYFUNCTION("""COMPUTED_VALUE"""),0.0)</f>
        <v>0</v>
      </c>
      <c r="V1445" s="148" t="str">
        <f>IFERROR(__xludf.DUMMYFUNCTION("""COMPUTED_VALUE"""),"[]")</f>
        <v>[]</v>
      </c>
      <c r="W1445" s="148">
        <f>IFERROR(__xludf.DUMMYFUNCTION("""COMPUTED_VALUE"""),1.174E7)</f>
        <v>11740000</v>
      </c>
      <c r="X1445" s="148">
        <f>IFERROR(__xludf.DUMMYFUNCTION("""COMPUTED_VALUE"""),0.0)</f>
        <v>0</v>
      </c>
      <c r="Y1445" s="148">
        <f>IFERROR(__xludf.DUMMYFUNCTION("""COMPUTED_VALUE"""),0.0)</f>
        <v>0</v>
      </c>
      <c r="Z1445" s="148"/>
    </row>
    <row r="1446">
      <c r="A1446" s="148">
        <f>IFERROR(__xludf.DUMMYFUNCTION("""COMPUTED_VALUE"""),1.1117087E7)</f>
        <v>11117087</v>
      </c>
      <c r="B1446" s="148" t="str">
        <f>IFERROR(__xludf.DUMMYFUNCTION("""COMPUTED_VALUE"""),"幼猴节七日活动-增加次数道具")</f>
        <v>幼猴节七日活动-增加次数道具</v>
      </c>
      <c r="C1446" s="148"/>
      <c r="D1446" s="148" t="str">
        <f>IFERROR(__xludf.DUMMYFUNCTION("""COMPUTED_VALUE"""),"event_progress")</f>
        <v>event_progress</v>
      </c>
      <c r="E1446" s="148">
        <f>IFERROR(__xludf.DUMMYFUNCTION("""COMPUTED_VALUE"""),0.0)</f>
        <v>0</v>
      </c>
      <c r="F1446" s="148">
        <f>IFERROR(__xludf.DUMMYFUNCTION("""COMPUTED_VALUE"""),0.0)</f>
        <v>0</v>
      </c>
      <c r="G1446" s="148">
        <f>IFERROR(__xludf.DUMMYFUNCTION("""COMPUTED_VALUE"""),1.5113732E7)</f>
        <v>15113732</v>
      </c>
      <c r="H1446" s="148">
        <f>IFERROR(__xludf.DUMMYFUNCTION("""COMPUTED_VALUE"""),1.5112563E7)</f>
        <v>15112563</v>
      </c>
      <c r="I1446" s="148" t="str">
        <f>IFERROR(__xludf.DUMMYFUNCTION("""COMPUTED_VALUE"""),"{}")</f>
        <v>{}</v>
      </c>
      <c r="J1446" s="148" t="str">
        <f>IFERROR(__xludf.DUMMYFUNCTION("""COMPUTED_VALUE"""),"{}")</f>
        <v>{}</v>
      </c>
      <c r="K1446" s="148" t="str">
        <f>IFERROR(__xludf.DUMMYFUNCTION("""COMPUTED_VALUE"""),"{}")</f>
        <v>{}</v>
      </c>
      <c r="L1446" s="148" t="str">
        <f>IFERROR(__xludf.DUMMYFUNCTION("""COMPUTED_VALUE"""),"{}")</f>
        <v>{}</v>
      </c>
      <c r="M1446" s="148">
        <f>IFERROR(__xludf.DUMMYFUNCTION("""COMPUTED_VALUE"""),1.0)</f>
        <v>1</v>
      </c>
      <c r="N1446" s="148">
        <f>IFERROR(__xludf.DUMMYFUNCTION("""COMPUTED_VALUE"""),999999.0)</f>
        <v>999999</v>
      </c>
      <c r="O1446" s="148">
        <f>IFERROR(__xludf.DUMMYFUNCTION("""COMPUTED_VALUE"""),99999.0)</f>
        <v>99999</v>
      </c>
      <c r="P1446" s="148">
        <f>IFERROR(__xludf.DUMMYFUNCTION("""COMPUTED_VALUE"""),9999.0)</f>
        <v>9999</v>
      </c>
      <c r="Q1446" s="148" t="str">
        <f>IFERROR(__xludf.DUMMYFUNCTION("""COMPUTED_VALUE"""),"[]")</f>
        <v>[]</v>
      </c>
      <c r="R1446" s="148" t="str">
        <f>IFERROR(__xludf.DUMMYFUNCTION("""COMPUTED_VALUE"""),"[]")</f>
        <v>[]</v>
      </c>
      <c r="S1446" s="148" t="str">
        <f>IFERROR(__xludf.DUMMYFUNCTION("""COMPUTED_VALUE"""),"{""effect"":[{""typ"":""event"",""id"":21121288},{""typ"":""miss_lost_reward""}]}")</f>
        <v>{"effect":[{"typ":"event","id":21121288},{"typ":"miss_lost_reward"}]}</v>
      </c>
      <c r="T1446" s="148">
        <f>IFERROR(__xludf.DUMMYFUNCTION("""COMPUTED_VALUE"""),-1.0)</f>
        <v>-1</v>
      </c>
      <c r="U1446" s="148">
        <f>IFERROR(__xludf.DUMMYFUNCTION("""COMPUTED_VALUE"""),1.0)</f>
        <v>1</v>
      </c>
      <c r="V1446" s="148" t="str">
        <f>IFERROR(__xludf.DUMMYFUNCTION("""COMPUTED_VALUE"""),"[]")</f>
        <v>[]</v>
      </c>
      <c r="W1446" s="148">
        <f>IFERROR(__xludf.DUMMYFUNCTION("""COMPUTED_VALUE"""),1.174E7)</f>
        <v>11740000</v>
      </c>
      <c r="X1446" s="148">
        <f>IFERROR(__xludf.DUMMYFUNCTION("""COMPUTED_VALUE"""),0.0)</f>
        <v>0</v>
      </c>
      <c r="Y1446" s="148">
        <f>IFERROR(__xludf.DUMMYFUNCTION("""COMPUTED_VALUE"""),0.0)</f>
        <v>0</v>
      </c>
      <c r="Z1446" s="148"/>
    </row>
    <row r="1447">
      <c r="A1447" s="148">
        <f>IFERROR(__xludf.DUMMYFUNCTION("""COMPUTED_VALUE"""),1.1117088E7)</f>
        <v>11117088</v>
      </c>
      <c r="B1447" s="148" t="str">
        <f>IFERROR(__xludf.DUMMYFUNCTION("""COMPUTED_VALUE"""),"联盟礼物(触发)异种蛮猴boss")</f>
        <v>联盟礼物(触发)异种蛮猴boss</v>
      </c>
      <c r="C1447" s="148"/>
      <c r="D1447" s="148" t="str">
        <f>IFERROR(__xludf.DUMMYFUNCTION("""COMPUTED_VALUE"""),"item_union_gift")</f>
        <v>item_union_gift</v>
      </c>
      <c r="E1447" s="148">
        <f>IFERROR(__xludf.DUMMYFUNCTION("""COMPUTED_VALUE"""),15.0)</f>
        <v>15</v>
      </c>
      <c r="F1447" s="148">
        <f>IFERROR(__xludf.DUMMYFUNCTION("""COMPUTED_VALUE"""),0.0)</f>
        <v>0</v>
      </c>
      <c r="G1447" s="148">
        <f>IFERROR(__xludf.DUMMYFUNCTION("""COMPUTED_VALUE"""),1.5110348E7)</f>
        <v>15110348</v>
      </c>
      <c r="H1447" s="148">
        <f>IFERROR(__xludf.DUMMYFUNCTION("""COMPUTED_VALUE"""),1.5112563E7)</f>
        <v>15112563</v>
      </c>
      <c r="I1447" s="148" t="str">
        <f>IFERROR(__xludf.DUMMYFUNCTION("""COMPUTED_VALUE"""),"{}")</f>
        <v>{}</v>
      </c>
      <c r="J1447" s="148" t="str">
        <f>IFERROR(__xludf.DUMMYFUNCTION("""COMPUTED_VALUE"""),"{""typ"":""lc"",""txt"":""LC_ITEM_item_alliance_gift_gvecall_boss_name""}")</f>
        <v>{"typ":"lc","txt":"LC_ITEM_item_alliance_gift_gvecall_boss_name"}</v>
      </c>
      <c r="K1447" s="148" t="str">
        <f>IFERROR(__xludf.DUMMYFUNCTION("""COMPUTED_VALUE"""),"{""typ"":""lc"",""txt"":""LC_ITEM_item_alliance_gift_gvecall_boss_desc""}")</f>
        <v>{"typ":"lc","txt":"LC_ITEM_item_alliance_gift_gvecall_boss_desc"}</v>
      </c>
      <c r="L1447" s="148" t="str">
        <f>IFERROR(__xludf.DUMMYFUNCTION("""COMPUTED_VALUE"""),"{}")</f>
        <v>{}</v>
      </c>
      <c r="M1447" s="148">
        <f>IFERROR(__xludf.DUMMYFUNCTION("""COMPUTED_VALUE"""),66.0)</f>
        <v>66</v>
      </c>
      <c r="N1447" s="148">
        <f>IFERROR(__xludf.DUMMYFUNCTION("""COMPUTED_VALUE"""),999999.0)</f>
        <v>999999</v>
      </c>
      <c r="O1447" s="148">
        <f>IFERROR(__xludf.DUMMYFUNCTION("""COMPUTED_VALUE"""),99999.0)</f>
        <v>99999</v>
      </c>
      <c r="P1447" s="148">
        <f>IFERROR(__xludf.DUMMYFUNCTION("""COMPUTED_VALUE"""),1.0)</f>
        <v>1</v>
      </c>
      <c r="Q1447" s="148" t="str">
        <f>IFERROR(__xludf.DUMMYFUNCTION("""COMPUTED_VALUE"""),"[]")</f>
        <v>[]</v>
      </c>
      <c r="R1447" s="148" t="str">
        <f>IFERROR(__xludf.DUMMYFUNCTION("""COMPUTED_VALUE"""),"[]")</f>
        <v>[]</v>
      </c>
      <c r="S1447" s="148" t="str">
        <f>IFERROR(__xludf.DUMMYFUNCTION("""COMPUTED_VALUE"""),"{""effect"":[{""typ"":""union_gift_quality_drop"",""id"":14,""val"":1}]}")</f>
        <v>{"effect":[{"typ":"union_gift_quality_drop","id":14,"val":1}]}</v>
      </c>
      <c r="T1447" s="148">
        <f>IFERROR(__xludf.DUMMYFUNCTION("""COMPUTED_VALUE"""),-1.0)</f>
        <v>-1</v>
      </c>
      <c r="U1447" s="148">
        <f>IFERROR(__xludf.DUMMYFUNCTION("""COMPUTED_VALUE"""),1.0)</f>
        <v>1</v>
      </c>
      <c r="V1447" s="148" t="str">
        <f>IFERROR(__xludf.DUMMYFUNCTION("""COMPUTED_VALUE"""),"[]")</f>
        <v>[]</v>
      </c>
      <c r="W1447" s="148">
        <f>IFERROR(__xludf.DUMMYFUNCTION("""COMPUTED_VALUE"""),1.174E7)</f>
        <v>11740000</v>
      </c>
      <c r="X1447" s="148">
        <f>IFERROR(__xludf.DUMMYFUNCTION("""COMPUTED_VALUE"""),0.0)</f>
        <v>0</v>
      </c>
      <c r="Y1447" s="148">
        <f>IFERROR(__xludf.DUMMYFUNCTION("""COMPUTED_VALUE"""),0.0)</f>
        <v>0</v>
      </c>
      <c r="Z1447" s="148"/>
    </row>
    <row r="1448">
      <c r="A1448" s="148">
        <f>IFERROR(__xludf.DUMMYFUNCTION("""COMPUTED_VALUE"""),1.1117089E7)</f>
        <v>11117089</v>
      </c>
      <c r="B1448" s="148" t="str">
        <f>IFERROR(__xludf.DUMMYFUNCTION("""COMPUTED_VALUE"""),"异种蛮猴boss_白")</f>
        <v>异种蛮猴boss_白</v>
      </c>
      <c r="C1448" s="148"/>
      <c r="D1448" s="148" t="str">
        <f>IFERROR(__xludf.DUMMYFUNCTION("""COMPUTED_VALUE"""),"item_union_gift_box")</f>
        <v>item_union_gift_box</v>
      </c>
      <c r="E1448" s="148">
        <f>IFERROR(__xludf.DUMMYFUNCTION("""COMPUTED_VALUE"""),16.0)</f>
        <v>16</v>
      </c>
      <c r="F1448" s="148">
        <f>IFERROR(__xludf.DUMMYFUNCTION("""COMPUTED_VALUE"""),0.0)</f>
        <v>0</v>
      </c>
      <c r="G1448" s="148">
        <f>IFERROR(__xludf.DUMMYFUNCTION("""COMPUTED_VALUE"""),1.5110347E7)</f>
        <v>15110347</v>
      </c>
      <c r="H1448" s="148">
        <f>IFERROR(__xludf.DUMMYFUNCTION("""COMPUTED_VALUE"""),1.511256E7)</f>
        <v>15112560</v>
      </c>
      <c r="I1448" s="148" t="str">
        <f>IFERROR(__xludf.DUMMYFUNCTION("""COMPUTED_VALUE"""),"{}")</f>
        <v>{}</v>
      </c>
      <c r="J1448" s="148" t="str">
        <f>IFERROR(__xludf.DUMMYFUNCTION("""COMPUTED_VALUE"""),"{""typ"":""lc"",""txt"":""LC_ITEM_item_alliance_gift_gvecall_1_name""}")</f>
        <v>{"typ":"lc","txt":"LC_ITEM_item_alliance_gift_gvecall_1_name"}</v>
      </c>
      <c r="K1448" s="148" t="str">
        <f>IFERROR(__xludf.DUMMYFUNCTION("""COMPUTED_VALUE"""),"{""typ"":""lc"",""txt"":""LC_ITEM_item_alliance_gift_boss_1_desc""}")</f>
        <v>{"typ":"lc","txt":"LC_ITEM_item_alliance_gift_boss_1_desc"}</v>
      </c>
      <c r="L1448" s="148" t="str">
        <f>IFERROR(__xludf.DUMMYFUNCTION("""COMPUTED_VALUE"""),"{}")</f>
        <v>{}</v>
      </c>
      <c r="M1448" s="148">
        <f>IFERROR(__xludf.DUMMYFUNCTION("""COMPUTED_VALUE"""),66.0)</f>
        <v>66</v>
      </c>
      <c r="N1448" s="148">
        <f>IFERROR(__xludf.DUMMYFUNCTION("""COMPUTED_VALUE"""),999999.0)</f>
        <v>999999</v>
      </c>
      <c r="O1448" s="148">
        <f>IFERROR(__xludf.DUMMYFUNCTION("""COMPUTED_VALUE"""),99999.0)</f>
        <v>99999</v>
      </c>
      <c r="P1448" s="148">
        <f>IFERROR(__xludf.DUMMYFUNCTION("""COMPUTED_VALUE"""),1.0)</f>
        <v>1</v>
      </c>
      <c r="Q1448" s="148" t="str">
        <f>IFERROR(__xludf.DUMMYFUNCTION("""COMPUTED_VALUE"""),"[]")</f>
        <v>[]</v>
      </c>
      <c r="R1448" s="148" t="str">
        <f>IFERROR(__xludf.DUMMYFUNCTION("""COMPUTED_VALUE"""),"[]")</f>
        <v>[]</v>
      </c>
      <c r="S1448" s="148" t="str">
        <f>IFERROR(__xludf.DUMMYFUNCTION("""COMPUTED_VALUE"""),"{""drop"":{""typ"":""single_all"",""num"":1,""args"":[{""typ"":""single_all"",""num"":1,""args"":[{""typ"":""rss"",""id"":11141022,""num"":40,""wgt"":30}]},{""typ"":""single_random"",""num"":1,""args"":[{""typ"":""item"",""id"":11111017,""num"":1,""wgt"":"&amp;"400},{""typ"":""item"",""id"":11111018,""num"":1,""wgt"":400},{""typ"":""item"",""id"":11111013,""num"":1,""wgt"":100},{""typ"":""item"",""id"":11111231,""num"":1,""wgt"":100}]}]}}")</f>
        <v>{"drop":{"typ":"single_all","num":1,"args":[{"typ":"single_all","num":1,"args":[{"typ":"rss","id":11141022,"num":40,"wgt":30}]},{"typ":"single_random","num":1,"args":[{"typ":"item","id":11111017,"num":1,"wgt":400},{"typ":"item","id":11111018,"num":1,"wgt":400},{"typ":"item","id":11111013,"num":1,"wgt":100},{"typ":"item","id":11111231,"num":1,"wgt":100}]}]}}</v>
      </c>
      <c r="T1448" s="148">
        <f>IFERROR(__xludf.DUMMYFUNCTION("""COMPUTED_VALUE"""),-1.0)</f>
        <v>-1</v>
      </c>
      <c r="U1448" s="148">
        <f>IFERROR(__xludf.DUMMYFUNCTION("""COMPUTED_VALUE"""),0.0)</f>
        <v>0</v>
      </c>
      <c r="V1448" s="148" t="str">
        <f>IFERROR(__xludf.DUMMYFUNCTION("""COMPUTED_VALUE"""),"[]")</f>
        <v>[]</v>
      </c>
      <c r="W1448" s="148">
        <f>IFERROR(__xludf.DUMMYFUNCTION("""COMPUTED_VALUE"""),1.174E7)</f>
        <v>11740000</v>
      </c>
      <c r="X1448" s="148">
        <f>IFERROR(__xludf.DUMMYFUNCTION("""COMPUTED_VALUE"""),0.0)</f>
        <v>0</v>
      </c>
      <c r="Y1448" s="148">
        <f>IFERROR(__xludf.DUMMYFUNCTION("""COMPUTED_VALUE"""),0.0)</f>
        <v>0</v>
      </c>
      <c r="Z1448" s="148"/>
    </row>
    <row r="1449">
      <c r="A1449" s="148">
        <f>IFERROR(__xludf.DUMMYFUNCTION("""COMPUTED_VALUE"""),1.111709E7)</f>
        <v>11117090</v>
      </c>
      <c r="B1449" s="148" t="str">
        <f>IFERROR(__xludf.DUMMYFUNCTION("""COMPUTED_VALUE"""),"异种蛮猴boss_绿")</f>
        <v>异种蛮猴boss_绿</v>
      </c>
      <c r="C1449" s="148"/>
      <c r="D1449" s="148" t="str">
        <f>IFERROR(__xludf.DUMMYFUNCTION("""COMPUTED_VALUE"""),"item_union_gift_box")</f>
        <v>item_union_gift_box</v>
      </c>
      <c r="E1449" s="148">
        <f>IFERROR(__xludf.DUMMYFUNCTION("""COMPUTED_VALUE"""),16.0)</f>
        <v>16</v>
      </c>
      <c r="F1449" s="148">
        <f>IFERROR(__xludf.DUMMYFUNCTION("""COMPUTED_VALUE"""),0.0)</f>
        <v>0</v>
      </c>
      <c r="G1449" s="148">
        <f>IFERROR(__xludf.DUMMYFUNCTION("""COMPUTED_VALUE"""),1.5110348E7)</f>
        <v>15110348</v>
      </c>
      <c r="H1449" s="148">
        <f>IFERROR(__xludf.DUMMYFUNCTION("""COMPUTED_VALUE"""),1.5112561E7)</f>
        <v>15112561</v>
      </c>
      <c r="I1449" s="148" t="str">
        <f>IFERROR(__xludf.DUMMYFUNCTION("""COMPUTED_VALUE"""),"{}")</f>
        <v>{}</v>
      </c>
      <c r="J1449" s="148" t="str">
        <f>IFERROR(__xludf.DUMMYFUNCTION("""COMPUTED_VALUE"""),"{""typ"":""lc"",""txt"":""LC_ITEM_item_alliance_gift_gvecall_2_name""}")</f>
        <v>{"typ":"lc","txt":"LC_ITEM_item_alliance_gift_gvecall_2_name"}</v>
      </c>
      <c r="K1449" s="148" t="str">
        <f>IFERROR(__xludf.DUMMYFUNCTION("""COMPUTED_VALUE"""),"{""typ"":""lc"",""txt"":""LC_ITEM_item_alliance_gift_boss_1_desc""}")</f>
        <v>{"typ":"lc","txt":"LC_ITEM_item_alliance_gift_boss_1_desc"}</v>
      </c>
      <c r="L1449" s="148" t="str">
        <f>IFERROR(__xludf.DUMMYFUNCTION("""COMPUTED_VALUE"""),"{}")</f>
        <v>{}</v>
      </c>
      <c r="M1449" s="148">
        <f>IFERROR(__xludf.DUMMYFUNCTION("""COMPUTED_VALUE"""),66.0)</f>
        <v>66</v>
      </c>
      <c r="N1449" s="148">
        <f>IFERROR(__xludf.DUMMYFUNCTION("""COMPUTED_VALUE"""),999999.0)</f>
        <v>999999</v>
      </c>
      <c r="O1449" s="148">
        <f>IFERROR(__xludf.DUMMYFUNCTION("""COMPUTED_VALUE"""),99999.0)</f>
        <v>99999</v>
      </c>
      <c r="P1449" s="148">
        <f>IFERROR(__xludf.DUMMYFUNCTION("""COMPUTED_VALUE"""),1.0)</f>
        <v>1</v>
      </c>
      <c r="Q1449" s="148" t="str">
        <f>IFERROR(__xludf.DUMMYFUNCTION("""COMPUTED_VALUE"""),"[]")</f>
        <v>[]</v>
      </c>
      <c r="R1449" s="148" t="str">
        <f>IFERROR(__xludf.DUMMYFUNCTION("""COMPUTED_VALUE"""),"[]")</f>
        <v>[]</v>
      </c>
      <c r="S1449" s="148" t="str">
        <f>IFERROR(__xludf.DUMMYFUNCTION("""COMPUTED_VALUE"""),"{""drop"":{""typ"":""single_all"",""num"":1,""args"":[{""typ"":""single_all"",""num"":1,""args"":[{""typ"":""rss"",""id"":11141022,""num"":40,""wgt"":30}]},{""typ"":""single_random"",""num"":1,""args"":[{""typ"":""item"",""id"":11111017,""num"":2,""wgt"":"&amp;"370},{""typ"":""item"",""id"":11111018,""num"":2,""wgt"":370},{""typ"":""item"",""id"":11111013,""num"":2,""wgt"":140},{""typ"":""item"",""id"":11111231,""num"":1,""wgt"":100}]}]}}")</f>
        <v>{"drop":{"typ":"single_all","num":1,"args":[{"typ":"single_all","num":1,"args":[{"typ":"rss","id":11141022,"num":40,"wgt":30}]},{"typ":"single_random","num":1,"args":[{"typ":"item","id":11111017,"num":2,"wgt":370},{"typ":"item","id":11111018,"num":2,"wgt":370},{"typ":"item","id":11111013,"num":2,"wgt":140},{"typ":"item","id":11111231,"num":1,"wgt":100}]}]}}</v>
      </c>
      <c r="T1449" s="148">
        <f>IFERROR(__xludf.DUMMYFUNCTION("""COMPUTED_VALUE"""),-1.0)</f>
        <v>-1</v>
      </c>
      <c r="U1449" s="148">
        <f>IFERROR(__xludf.DUMMYFUNCTION("""COMPUTED_VALUE"""),0.0)</f>
        <v>0</v>
      </c>
      <c r="V1449" s="148" t="str">
        <f>IFERROR(__xludf.DUMMYFUNCTION("""COMPUTED_VALUE"""),"[]")</f>
        <v>[]</v>
      </c>
      <c r="W1449" s="148">
        <f>IFERROR(__xludf.DUMMYFUNCTION("""COMPUTED_VALUE"""),1.174E7)</f>
        <v>11740000</v>
      </c>
      <c r="X1449" s="148">
        <f>IFERROR(__xludf.DUMMYFUNCTION("""COMPUTED_VALUE"""),0.0)</f>
        <v>0</v>
      </c>
      <c r="Y1449" s="148">
        <f>IFERROR(__xludf.DUMMYFUNCTION("""COMPUTED_VALUE"""),0.0)</f>
        <v>0</v>
      </c>
      <c r="Z1449" s="148"/>
    </row>
    <row r="1450">
      <c r="A1450" s="148">
        <f>IFERROR(__xludf.DUMMYFUNCTION("""COMPUTED_VALUE"""),1.1117091E7)</f>
        <v>11117091</v>
      </c>
      <c r="B1450" s="148" t="str">
        <f>IFERROR(__xludf.DUMMYFUNCTION("""COMPUTED_VALUE"""),"异种蛮猴boss_蓝")</f>
        <v>异种蛮猴boss_蓝</v>
      </c>
      <c r="C1450" s="148"/>
      <c r="D1450" s="148" t="str">
        <f>IFERROR(__xludf.DUMMYFUNCTION("""COMPUTED_VALUE"""),"item_union_gift_box")</f>
        <v>item_union_gift_box</v>
      </c>
      <c r="E1450" s="148">
        <f>IFERROR(__xludf.DUMMYFUNCTION("""COMPUTED_VALUE"""),16.0)</f>
        <v>16</v>
      </c>
      <c r="F1450" s="148">
        <f>IFERROR(__xludf.DUMMYFUNCTION("""COMPUTED_VALUE"""),0.0)</f>
        <v>0</v>
      </c>
      <c r="G1450" s="148">
        <f>IFERROR(__xludf.DUMMYFUNCTION("""COMPUTED_VALUE"""),1.5110349E7)</f>
        <v>15110349</v>
      </c>
      <c r="H1450" s="148">
        <f>IFERROR(__xludf.DUMMYFUNCTION("""COMPUTED_VALUE"""),1.5112562E7)</f>
        <v>15112562</v>
      </c>
      <c r="I1450" s="148" t="str">
        <f>IFERROR(__xludf.DUMMYFUNCTION("""COMPUTED_VALUE"""),"{}")</f>
        <v>{}</v>
      </c>
      <c r="J1450" s="148" t="str">
        <f>IFERROR(__xludf.DUMMYFUNCTION("""COMPUTED_VALUE"""),"{""typ"":""lc"",""txt"":""LC_ITEM_item_alliance_gift_gvecall_3_name""}")</f>
        <v>{"typ":"lc","txt":"LC_ITEM_item_alliance_gift_gvecall_3_name"}</v>
      </c>
      <c r="K1450" s="148" t="str">
        <f>IFERROR(__xludf.DUMMYFUNCTION("""COMPUTED_VALUE"""),"{""typ"":""lc"",""txt"":""LC_ITEM_item_alliance_gift_boss_1_desc""}")</f>
        <v>{"typ":"lc","txt":"LC_ITEM_item_alliance_gift_boss_1_desc"}</v>
      </c>
      <c r="L1450" s="148" t="str">
        <f>IFERROR(__xludf.DUMMYFUNCTION("""COMPUTED_VALUE"""),"{}")</f>
        <v>{}</v>
      </c>
      <c r="M1450" s="148">
        <f>IFERROR(__xludf.DUMMYFUNCTION("""COMPUTED_VALUE"""),66.0)</f>
        <v>66</v>
      </c>
      <c r="N1450" s="148">
        <f>IFERROR(__xludf.DUMMYFUNCTION("""COMPUTED_VALUE"""),999999.0)</f>
        <v>999999</v>
      </c>
      <c r="O1450" s="148">
        <f>IFERROR(__xludf.DUMMYFUNCTION("""COMPUTED_VALUE"""),99999.0)</f>
        <v>99999</v>
      </c>
      <c r="P1450" s="148">
        <f>IFERROR(__xludf.DUMMYFUNCTION("""COMPUTED_VALUE"""),1.0)</f>
        <v>1</v>
      </c>
      <c r="Q1450" s="148" t="str">
        <f>IFERROR(__xludf.DUMMYFUNCTION("""COMPUTED_VALUE"""),"[]")</f>
        <v>[]</v>
      </c>
      <c r="R1450" s="148" t="str">
        <f>IFERROR(__xludf.DUMMYFUNCTION("""COMPUTED_VALUE"""),"[]")</f>
        <v>[]</v>
      </c>
      <c r="S1450" s="148" t="str">
        <f>IFERROR(__xludf.DUMMYFUNCTION("""COMPUTED_VALUE"""),"{""drop"":{""typ"":""single_all"",""num"":1,""args"":[{""typ"":""single_all"",""num"":1,""args"":[{""typ"":""rss"",""id"":11141022,""num"":40,""wgt"":30}]},{""typ"":""single_random"",""num"":1,""args"":[{""typ"":""item"",""id"":11111017,""num"":3,""wgt"":"&amp;"340},{""typ"":""item"",""id"":11111018,""num"":3,""wgt"":340},{""typ"":""item"",""id"":11111013,""num"":3,""wgt"":150},{""typ"":""item"",""id"":11111231,""num"":1,""wgt"":100}]}]}}")</f>
        <v>{"drop":{"typ":"single_all","num":1,"args":[{"typ":"single_all","num":1,"args":[{"typ":"rss","id":11141022,"num":40,"wgt":30}]},{"typ":"single_random","num":1,"args":[{"typ":"item","id":11111017,"num":3,"wgt":340},{"typ":"item","id":11111018,"num":3,"wgt":340},{"typ":"item","id":11111013,"num":3,"wgt":150},{"typ":"item","id":11111231,"num":1,"wgt":100}]}]}}</v>
      </c>
      <c r="T1450" s="148">
        <f>IFERROR(__xludf.DUMMYFUNCTION("""COMPUTED_VALUE"""),-1.0)</f>
        <v>-1</v>
      </c>
      <c r="U1450" s="148">
        <f>IFERROR(__xludf.DUMMYFUNCTION("""COMPUTED_VALUE"""),0.0)</f>
        <v>0</v>
      </c>
      <c r="V1450" s="148" t="str">
        <f>IFERROR(__xludf.DUMMYFUNCTION("""COMPUTED_VALUE"""),"[]")</f>
        <v>[]</v>
      </c>
      <c r="W1450" s="148">
        <f>IFERROR(__xludf.DUMMYFUNCTION("""COMPUTED_VALUE"""),1.174E7)</f>
        <v>11740000</v>
      </c>
      <c r="X1450" s="148">
        <f>IFERROR(__xludf.DUMMYFUNCTION("""COMPUTED_VALUE"""),0.0)</f>
        <v>0</v>
      </c>
      <c r="Y1450" s="148">
        <f>IFERROR(__xludf.DUMMYFUNCTION("""COMPUTED_VALUE"""),0.0)</f>
        <v>0</v>
      </c>
      <c r="Z1450" s="148"/>
    </row>
    <row r="1451">
      <c r="A1451" s="148">
        <f>IFERROR(__xludf.DUMMYFUNCTION("""COMPUTED_VALUE"""),1.1117092E7)</f>
        <v>11117092</v>
      </c>
      <c r="B1451" s="148" t="str">
        <f>IFERROR(__xludf.DUMMYFUNCTION("""COMPUTED_VALUE"""),"异种蛮猴boss_紫")</f>
        <v>异种蛮猴boss_紫</v>
      </c>
      <c r="C1451" s="148"/>
      <c r="D1451" s="148" t="str">
        <f>IFERROR(__xludf.DUMMYFUNCTION("""COMPUTED_VALUE"""),"item_union_gift_box")</f>
        <v>item_union_gift_box</v>
      </c>
      <c r="E1451" s="148">
        <f>IFERROR(__xludf.DUMMYFUNCTION("""COMPUTED_VALUE"""),16.0)</f>
        <v>16</v>
      </c>
      <c r="F1451" s="148">
        <f>IFERROR(__xludf.DUMMYFUNCTION("""COMPUTED_VALUE"""),0.0)</f>
        <v>0</v>
      </c>
      <c r="G1451" s="148">
        <f>IFERROR(__xludf.DUMMYFUNCTION("""COMPUTED_VALUE"""),1.511035E7)</f>
        <v>15110350</v>
      </c>
      <c r="H1451" s="148">
        <f>IFERROR(__xludf.DUMMYFUNCTION("""COMPUTED_VALUE"""),1.5112563E7)</f>
        <v>15112563</v>
      </c>
      <c r="I1451" s="148" t="str">
        <f>IFERROR(__xludf.DUMMYFUNCTION("""COMPUTED_VALUE"""),"{}")</f>
        <v>{}</v>
      </c>
      <c r="J1451" s="148" t="str">
        <f>IFERROR(__xludf.DUMMYFUNCTION("""COMPUTED_VALUE"""),"{""typ"":""lc"",""txt"":""LC_ITEM_item_alliance_gift_gvecall_4_name""}")</f>
        <v>{"typ":"lc","txt":"LC_ITEM_item_alliance_gift_gvecall_4_name"}</v>
      </c>
      <c r="K1451" s="148" t="str">
        <f>IFERROR(__xludf.DUMMYFUNCTION("""COMPUTED_VALUE"""),"{""typ"":""lc"",""txt"":""LC_ITEM_item_alliance_gift_boss_1_desc""}")</f>
        <v>{"typ":"lc","txt":"LC_ITEM_item_alliance_gift_boss_1_desc"}</v>
      </c>
      <c r="L1451" s="148" t="str">
        <f>IFERROR(__xludf.DUMMYFUNCTION("""COMPUTED_VALUE"""),"{}")</f>
        <v>{}</v>
      </c>
      <c r="M1451" s="148">
        <f>IFERROR(__xludf.DUMMYFUNCTION("""COMPUTED_VALUE"""),66.0)</f>
        <v>66</v>
      </c>
      <c r="N1451" s="148">
        <f>IFERROR(__xludf.DUMMYFUNCTION("""COMPUTED_VALUE"""),999999.0)</f>
        <v>999999</v>
      </c>
      <c r="O1451" s="148">
        <f>IFERROR(__xludf.DUMMYFUNCTION("""COMPUTED_VALUE"""),99999.0)</f>
        <v>99999</v>
      </c>
      <c r="P1451" s="148">
        <f>IFERROR(__xludf.DUMMYFUNCTION("""COMPUTED_VALUE"""),1.0)</f>
        <v>1</v>
      </c>
      <c r="Q1451" s="148" t="str">
        <f>IFERROR(__xludf.DUMMYFUNCTION("""COMPUTED_VALUE"""),"[]")</f>
        <v>[]</v>
      </c>
      <c r="R1451" s="148" t="str">
        <f>IFERROR(__xludf.DUMMYFUNCTION("""COMPUTED_VALUE"""),"[]")</f>
        <v>[]</v>
      </c>
      <c r="S1451" s="148" t="str">
        <f>IFERROR(__xludf.DUMMYFUNCTION("""COMPUTED_VALUE"""),"{""drop"":{""typ"":""single_all"",""num"":1,""args"":[{""typ"":""single_all"",""num"":1,""args"":[{""typ"":""rss"",""id"":11141022,""num"":40,""wgt"":30}]},{""typ"":""single_random"",""num"":1,""args"":[{""typ"":""item"",""id"":11111017,""num"":4,""wgt"":"&amp;"300},{""typ"":""item"",""id"":11111018,""num"":4,""wgt"":300},{""typ"":""item"",""id"":11111013,""num"":4,""wgt"":180},{""typ"":""item"",""id"":11111231,""num"":1,""wgt"":100}]}]}}")</f>
        <v>{"drop":{"typ":"single_all","num":1,"args":[{"typ":"single_all","num":1,"args":[{"typ":"rss","id":11141022,"num":40,"wgt":30}]},{"typ":"single_random","num":1,"args":[{"typ":"item","id":11111017,"num":4,"wgt":300},{"typ":"item","id":11111018,"num":4,"wgt":300},{"typ":"item","id":11111013,"num":4,"wgt":180},{"typ":"item","id":11111231,"num":1,"wgt":100}]}]}}</v>
      </c>
      <c r="T1451" s="148">
        <f>IFERROR(__xludf.DUMMYFUNCTION("""COMPUTED_VALUE"""),-1.0)</f>
        <v>-1</v>
      </c>
      <c r="U1451" s="148">
        <f>IFERROR(__xludf.DUMMYFUNCTION("""COMPUTED_VALUE"""),0.0)</f>
        <v>0</v>
      </c>
      <c r="V1451" s="148" t="str">
        <f>IFERROR(__xludf.DUMMYFUNCTION("""COMPUTED_VALUE"""),"[]")</f>
        <v>[]</v>
      </c>
      <c r="W1451" s="148">
        <f>IFERROR(__xludf.DUMMYFUNCTION("""COMPUTED_VALUE"""),1.174E7)</f>
        <v>11740000</v>
      </c>
      <c r="X1451" s="148">
        <f>IFERROR(__xludf.DUMMYFUNCTION("""COMPUTED_VALUE"""),0.0)</f>
        <v>0</v>
      </c>
      <c r="Y1451" s="148">
        <f>IFERROR(__xludf.DUMMYFUNCTION("""COMPUTED_VALUE"""),0.0)</f>
        <v>0</v>
      </c>
      <c r="Z1451" s="148"/>
    </row>
    <row r="1452">
      <c r="A1452" s="148">
        <f>IFERROR(__xludf.DUMMYFUNCTION("""COMPUTED_VALUE"""),1.1117093E7)</f>
        <v>11117093</v>
      </c>
      <c r="B1452" s="148" t="str">
        <f>IFERROR(__xludf.DUMMYFUNCTION("""COMPUTED_VALUE"""),"异种蛮猴boss_橙")</f>
        <v>异种蛮猴boss_橙</v>
      </c>
      <c r="C1452" s="148"/>
      <c r="D1452" s="148" t="str">
        <f>IFERROR(__xludf.DUMMYFUNCTION("""COMPUTED_VALUE"""),"item_union_gift_box")</f>
        <v>item_union_gift_box</v>
      </c>
      <c r="E1452" s="148">
        <f>IFERROR(__xludf.DUMMYFUNCTION("""COMPUTED_VALUE"""),16.0)</f>
        <v>16</v>
      </c>
      <c r="F1452" s="148">
        <f>IFERROR(__xludf.DUMMYFUNCTION("""COMPUTED_VALUE"""),0.0)</f>
        <v>0</v>
      </c>
      <c r="G1452" s="148">
        <f>IFERROR(__xludf.DUMMYFUNCTION("""COMPUTED_VALUE"""),1.5110351E7)</f>
        <v>15110351</v>
      </c>
      <c r="H1452" s="148">
        <f>IFERROR(__xludf.DUMMYFUNCTION("""COMPUTED_VALUE"""),1.5112564E7)</f>
        <v>15112564</v>
      </c>
      <c r="I1452" s="148" t="str">
        <f>IFERROR(__xludf.DUMMYFUNCTION("""COMPUTED_VALUE"""),"{}")</f>
        <v>{}</v>
      </c>
      <c r="J1452" s="148" t="str">
        <f>IFERROR(__xludf.DUMMYFUNCTION("""COMPUTED_VALUE"""),"{""typ"":""lc"",""txt"":""LC_ITEM_item_alliance_gift_gvecall_5_name""}")</f>
        <v>{"typ":"lc","txt":"LC_ITEM_item_alliance_gift_gvecall_5_name"}</v>
      </c>
      <c r="K1452" s="148" t="str">
        <f>IFERROR(__xludf.DUMMYFUNCTION("""COMPUTED_VALUE"""),"{""typ"":""lc"",""txt"":""LC_ITEM_item_alliance_gift_boss_1_desc""}")</f>
        <v>{"typ":"lc","txt":"LC_ITEM_item_alliance_gift_boss_1_desc"}</v>
      </c>
      <c r="L1452" s="148" t="str">
        <f>IFERROR(__xludf.DUMMYFUNCTION("""COMPUTED_VALUE"""),"{}")</f>
        <v>{}</v>
      </c>
      <c r="M1452" s="148">
        <f>IFERROR(__xludf.DUMMYFUNCTION("""COMPUTED_VALUE"""),66.0)</f>
        <v>66</v>
      </c>
      <c r="N1452" s="148">
        <f>IFERROR(__xludf.DUMMYFUNCTION("""COMPUTED_VALUE"""),999999.0)</f>
        <v>999999</v>
      </c>
      <c r="O1452" s="148">
        <f>IFERROR(__xludf.DUMMYFUNCTION("""COMPUTED_VALUE"""),99999.0)</f>
        <v>99999</v>
      </c>
      <c r="P1452" s="148">
        <f>IFERROR(__xludf.DUMMYFUNCTION("""COMPUTED_VALUE"""),1.0)</f>
        <v>1</v>
      </c>
      <c r="Q1452" s="148" t="str">
        <f>IFERROR(__xludf.DUMMYFUNCTION("""COMPUTED_VALUE"""),"[]")</f>
        <v>[]</v>
      </c>
      <c r="R1452" s="148" t="str">
        <f>IFERROR(__xludf.DUMMYFUNCTION("""COMPUTED_VALUE"""),"[]")</f>
        <v>[]</v>
      </c>
      <c r="S1452" s="148" t="str">
        <f>IFERROR(__xludf.DUMMYFUNCTION("""COMPUTED_VALUE"""),"{""drop"":{""typ"":""single_all"",""num"":1,""args"":[{""typ"":""single_all"",""num"":1,""args"":[{""typ"":""rss"",""id"":11141022,""num"":40,""wgt"":30}]},{""typ"":""single_random"",""num"":1,""args"":[{""typ"":""item"",""id"":11111017,""num"":5,""wgt"":"&amp;"280},{""typ"":""item"",""id"":11111018,""num"":5,""wgt"":280},{""typ"":""item"",""id"":11111013,""num"":5,""wgt"":180},{""typ"":""item"",""id"":11111231,""num"":1,""wgt"":100}]}]}}")</f>
        <v>{"drop":{"typ":"single_all","num":1,"args":[{"typ":"single_all","num":1,"args":[{"typ":"rss","id":11141022,"num":40,"wgt":30}]},{"typ":"single_random","num":1,"args":[{"typ":"item","id":11111017,"num":5,"wgt":280},{"typ":"item","id":11111018,"num":5,"wgt":280},{"typ":"item","id":11111013,"num":5,"wgt":180},{"typ":"item","id":11111231,"num":1,"wgt":100}]}]}}</v>
      </c>
      <c r="T1452" s="148">
        <f>IFERROR(__xludf.DUMMYFUNCTION("""COMPUTED_VALUE"""),-1.0)</f>
        <v>-1</v>
      </c>
      <c r="U1452" s="148">
        <f>IFERROR(__xludf.DUMMYFUNCTION("""COMPUTED_VALUE"""),0.0)</f>
        <v>0</v>
      </c>
      <c r="V1452" s="148" t="str">
        <f>IFERROR(__xludf.DUMMYFUNCTION("""COMPUTED_VALUE"""),"[]")</f>
        <v>[]</v>
      </c>
      <c r="W1452" s="148">
        <f>IFERROR(__xludf.DUMMYFUNCTION("""COMPUTED_VALUE"""),1.174E7)</f>
        <v>11740000</v>
      </c>
      <c r="X1452" s="148">
        <f>IFERROR(__xludf.DUMMYFUNCTION("""COMPUTED_VALUE"""),0.0)</f>
        <v>0</v>
      </c>
      <c r="Y1452" s="148">
        <f>IFERROR(__xludf.DUMMYFUNCTION("""COMPUTED_VALUE"""),0.0)</f>
        <v>0</v>
      </c>
      <c r="Z1452" s="148"/>
    </row>
    <row r="1453">
      <c r="A1453" s="148">
        <f>IFERROR(__xludf.DUMMYFUNCTION("""COMPUTED_VALUE"""),1.1117094E7)</f>
        <v>11117094</v>
      </c>
      <c r="B1453" s="148" t="str">
        <f>IFERROR(__xludf.DUMMYFUNCTION("""COMPUTED_VALUE"""),"积分道具-贺卡")</f>
        <v>积分道具-贺卡</v>
      </c>
      <c r="C1453" s="148"/>
      <c r="D1453" s="148" t="str">
        <f>IFERROR(__xludf.DUMMYFUNCTION("""COMPUTED_VALUE"""),"iap_progress")</f>
        <v>iap_progress</v>
      </c>
      <c r="E1453" s="148">
        <f>IFERROR(__xludf.DUMMYFUNCTION("""COMPUTED_VALUE"""),0.0)</f>
        <v>0</v>
      </c>
      <c r="F1453" s="148">
        <f>IFERROR(__xludf.DUMMYFUNCTION("""COMPUTED_VALUE"""),405228.0)</f>
        <v>405228</v>
      </c>
      <c r="G1453" s="148">
        <f>IFERROR(__xludf.DUMMYFUNCTION("""COMPUTED_VALUE"""),1.5114458E7)</f>
        <v>15114458</v>
      </c>
      <c r="H1453" s="148">
        <f>IFERROR(__xludf.DUMMYFUNCTION("""COMPUTED_VALUE"""),0.0)</f>
        <v>0</v>
      </c>
      <c r="I1453" s="148" t="str">
        <f>IFERROR(__xludf.DUMMYFUNCTION("""COMPUTED_VALUE"""),"{}")</f>
        <v>{}</v>
      </c>
      <c r="J1453" s="148" t="str">
        <f>IFERROR(__xludf.DUMMYFUNCTION("""COMPUTED_VALUE"""),"{""typ"":""lc"",""txt"":""LC_ITEM_greatingcard_name""}")</f>
        <v>{"typ":"lc","txt":"LC_ITEM_greatingcard_name"}</v>
      </c>
      <c r="K1453" s="148" t="str">
        <f>IFERROR(__xludf.DUMMYFUNCTION("""COMPUTED_VALUE"""),"{""typ"":""lc"",""txt"":""LC_ITEM_greatingcard_desc""}")</f>
        <v>{"typ":"lc","txt":"LC_ITEM_greatingcard_desc"}</v>
      </c>
      <c r="L1453" s="148" t="str">
        <f>IFERROR(__xludf.DUMMYFUNCTION("""COMPUTED_VALUE"""),"{}")</f>
        <v>{}</v>
      </c>
      <c r="M1453" s="148">
        <f>IFERROR(__xludf.DUMMYFUNCTION("""COMPUTED_VALUE"""),1500.0)</f>
        <v>1500</v>
      </c>
      <c r="N1453" s="148">
        <f>IFERROR(__xludf.DUMMYFUNCTION("""COMPUTED_VALUE"""),999999.0)</f>
        <v>999999</v>
      </c>
      <c r="O1453" s="148">
        <f>IFERROR(__xludf.DUMMYFUNCTION("""COMPUTED_VALUE"""),99999.0)</f>
        <v>99999</v>
      </c>
      <c r="P1453" s="148">
        <f>IFERROR(__xludf.DUMMYFUNCTION("""COMPUTED_VALUE"""),9999.0)</f>
        <v>9999</v>
      </c>
      <c r="Q1453" s="148" t="str">
        <f>IFERROR(__xludf.DUMMYFUNCTION("""COMPUTED_VALUE"""),"[""bag_other""]")</f>
        <v>["bag_other"]</v>
      </c>
      <c r="R1453" s="148" t="str">
        <f>IFERROR(__xludf.DUMMYFUNCTION("""COMPUTED_VALUE"""),"[]")</f>
        <v>[]</v>
      </c>
      <c r="S1453" s="148" t="str">
        <f>IFERROR(__xludf.DUMMYFUNCTION("""COMPUTED_VALUE"""),"{}")</f>
        <v>{}</v>
      </c>
      <c r="T1453" s="148">
        <f>IFERROR(__xludf.DUMMYFUNCTION("""COMPUTED_VALUE"""),-1.0)</f>
        <v>-1</v>
      </c>
      <c r="U1453" s="148">
        <f>IFERROR(__xludf.DUMMYFUNCTION("""COMPUTED_VALUE"""),1.0)</f>
        <v>1</v>
      </c>
      <c r="V1453" s="148" t="str">
        <f>IFERROR(__xludf.DUMMYFUNCTION("""COMPUTED_VALUE"""),"[]")</f>
        <v>[]</v>
      </c>
      <c r="W1453" s="148">
        <f>IFERROR(__xludf.DUMMYFUNCTION("""COMPUTED_VALUE"""),1.174E7)</f>
        <v>11740000</v>
      </c>
      <c r="X1453" s="148">
        <f>IFERROR(__xludf.DUMMYFUNCTION("""COMPUTED_VALUE"""),0.0)</f>
        <v>0</v>
      </c>
      <c r="Y1453" s="148">
        <f>IFERROR(__xludf.DUMMYFUNCTION("""COMPUTED_VALUE"""),0.0)</f>
        <v>0</v>
      </c>
      <c r="Z1453" s="148"/>
    </row>
    <row r="1454">
      <c r="A1454" s="148">
        <f>IFERROR(__xludf.DUMMYFUNCTION("""COMPUTED_VALUE"""),1.1117095E7)</f>
        <v>11117095</v>
      </c>
      <c r="B1454" s="148" t="str">
        <f>IFERROR(__xludf.DUMMYFUNCTION("""COMPUTED_VALUE"""),"活动道具-星际遗物")</f>
        <v>活动道具-星际遗物</v>
      </c>
      <c r="C1454" s="148"/>
      <c r="D1454" s="148" t="str">
        <f>IFERROR(__xludf.DUMMYFUNCTION("""COMPUTED_VALUE"""),"event_progress")</f>
        <v>event_progress</v>
      </c>
      <c r="E1454" s="148">
        <f>IFERROR(__xludf.DUMMYFUNCTION("""COMPUTED_VALUE"""),0.0)</f>
        <v>0</v>
      </c>
      <c r="F1454" s="148">
        <f>IFERROR(__xludf.DUMMYFUNCTION("""COMPUTED_VALUE"""),405429.0)</f>
        <v>405429</v>
      </c>
      <c r="G1454" s="148">
        <f>IFERROR(__xludf.DUMMYFUNCTION("""COMPUTED_VALUE"""),1.5112493E7)</f>
        <v>15112493</v>
      </c>
      <c r="H1454" s="148">
        <f>IFERROR(__xludf.DUMMYFUNCTION("""COMPUTED_VALUE"""),1.5112561E7)</f>
        <v>15112561</v>
      </c>
      <c r="I1454" s="148" t="str">
        <f>IFERROR(__xludf.DUMMYFUNCTION("""COMPUTED_VALUE"""),"{}")</f>
        <v>{}</v>
      </c>
      <c r="J1454" s="148" t="str">
        <f>IFERROR(__xludf.DUMMYFUNCTION("""COMPUTED_VALUE"""),"{""typ"":""lc"",""txt"":""LC_ITEM_starrelics_name""}")</f>
        <v>{"typ":"lc","txt":"LC_ITEM_starrelics_name"}</v>
      </c>
      <c r="K1454" s="148" t="str">
        <f>IFERROR(__xludf.DUMMYFUNCTION("""COMPUTED_VALUE"""),"{""typ"":""lc"",""txt"":""LC_ITEM_starrelics_desc""}")</f>
        <v>{"typ":"lc","txt":"LC_ITEM_starrelics_desc"}</v>
      </c>
      <c r="L1454" s="148" t="str">
        <f>IFERROR(__xludf.DUMMYFUNCTION("""COMPUTED_VALUE"""),"{}")</f>
        <v>{}</v>
      </c>
      <c r="M1454" s="148">
        <f>IFERROR(__xludf.DUMMYFUNCTION("""COMPUTED_VALUE"""),150.0)</f>
        <v>150</v>
      </c>
      <c r="N1454" s="148">
        <f>IFERROR(__xludf.DUMMYFUNCTION("""COMPUTED_VALUE"""),999999.0)</f>
        <v>999999</v>
      </c>
      <c r="O1454" s="148">
        <f>IFERROR(__xludf.DUMMYFUNCTION("""COMPUTED_VALUE"""),99999.0)</f>
        <v>99999</v>
      </c>
      <c r="P1454" s="148">
        <f>IFERROR(__xludf.DUMMYFUNCTION("""COMPUTED_VALUE"""),9999.0)</f>
        <v>9999</v>
      </c>
      <c r="Q1454" s="148" t="str">
        <f>IFERROR(__xludf.DUMMYFUNCTION("""COMPUTED_VALUE"""),"[""bag_other""]")</f>
        <v>["bag_other"]</v>
      </c>
      <c r="R1454" s="148" t="str">
        <f>IFERROR(__xludf.DUMMYFUNCTION("""COMPUTED_VALUE"""),"[]")</f>
        <v>[]</v>
      </c>
      <c r="S1454" s="148" t="str">
        <f>IFERROR(__xludf.DUMMYFUNCTION("""COMPUTED_VALUE"""),"{""effect"":[{""typ"":""event"",""id"":21121246}]}")</f>
        <v>{"effect":[{"typ":"event","id":21121246}]}</v>
      </c>
      <c r="T1454" s="148">
        <f>IFERROR(__xludf.DUMMYFUNCTION("""COMPUTED_VALUE"""),-1.0)</f>
        <v>-1</v>
      </c>
      <c r="U1454" s="148">
        <f>IFERROR(__xludf.DUMMYFUNCTION("""COMPUTED_VALUE"""),1.0)</f>
        <v>1</v>
      </c>
      <c r="V1454" s="148" t="str">
        <f>IFERROR(__xludf.DUMMYFUNCTION("""COMPUTED_VALUE"""),"[]")</f>
        <v>[]</v>
      </c>
      <c r="W1454" s="148">
        <f>IFERROR(__xludf.DUMMYFUNCTION("""COMPUTED_VALUE"""),1.174E7)</f>
        <v>11740000</v>
      </c>
      <c r="X1454" s="148">
        <f>IFERROR(__xludf.DUMMYFUNCTION("""COMPUTED_VALUE"""),0.0)</f>
        <v>0</v>
      </c>
      <c r="Y1454" s="148">
        <f>IFERROR(__xludf.DUMMYFUNCTION("""COMPUTED_VALUE"""),0.0)</f>
        <v>0</v>
      </c>
      <c r="Z1454" s="148"/>
    </row>
    <row r="1455">
      <c r="A1455" s="148">
        <f>IFERROR(__xludf.DUMMYFUNCTION("""COMPUTED_VALUE"""),1.1117096E7)</f>
        <v>11117096</v>
      </c>
      <c r="B1455" s="148" t="str">
        <f>IFERROR(__xludf.DUMMYFUNCTION("""COMPUTED_VALUE"""),"夹心巧克力_2022")</f>
        <v>夹心巧克力_2022</v>
      </c>
      <c r="C1455" s="148"/>
      <c r="D1455" s="148" t="str">
        <f>IFERROR(__xludf.DUMMYFUNCTION("""COMPUTED_VALUE"""),"battle_pass_exp")</f>
        <v>battle_pass_exp</v>
      </c>
      <c r="E1455" s="148">
        <f>IFERROR(__xludf.DUMMYFUNCTION("""COMPUTED_VALUE"""),0.0)</f>
        <v>0</v>
      </c>
      <c r="F1455" s="148">
        <f>IFERROR(__xludf.DUMMYFUNCTION("""COMPUTED_VALUE"""),405230.0)</f>
        <v>405230</v>
      </c>
      <c r="G1455" s="148">
        <f>IFERROR(__xludf.DUMMYFUNCTION("""COMPUTED_VALUE"""),1.5113625E7)</f>
        <v>15113625</v>
      </c>
      <c r="H1455" s="148">
        <f>IFERROR(__xludf.DUMMYFUNCTION("""COMPUTED_VALUE"""),1.5112563E7)</f>
        <v>15112563</v>
      </c>
      <c r="I1455" s="148" t="str">
        <f>IFERROR(__xludf.DUMMYFUNCTION("""COMPUTED_VALUE"""),"{}")</f>
        <v>{}</v>
      </c>
      <c r="J1455" s="148" t="str">
        <f>IFERROR(__xludf.DUMMYFUNCTION("""COMPUTED_VALUE"""),"{""typ"":""lc"",""txt"":""LC_ITEM_filled_chocolate_name""}")</f>
        <v>{"typ":"lc","txt":"LC_ITEM_filled_chocolate_name"}</v>
      </c>
      <c r="K1455" s="148" t="str">
        <f>IFERROR(__xludf.DUMMYFUNCTION("""COMPUTED_VALUE"""),"{""typ"":""lc"",""txt"":""LC_ITEM_filled_chocolate_desc""}")</f>
        <v>{"typ":"lc","txt":"LC_ITEM_filled_chocolate_desc"}</v>
      </c>
      <c r="L1455" s="148" t="str">
        <f>IFERROR(__xludf.DUMMYFUNCTION("""COMPUTED_VALUE"""),"{}")</f>
        <v>{}</v>
      </c>
      <c r="M1455" s="148">
        <f>IFERROR(__xludf.DUMMYFUNCTION("""COMPUTED_VALUE"""),35.0)</f>
        <v>35</v>
      </c>
      <c r="N1455" s="148">
        <f>IFERROR(__xludf.DUMMYFUNCTION("""COMPUTED_VALUE"""),999999.0)</f>
        <v>999999</v>
      </c>
      <c r="O1455" s="148">
        <f>IFERROR(__xludf.DUMMYFUNCTION("""COMPUTED_VALUE"""),99999.0)</f>
        <v>99999</v>
      </c>
      <c r="P1455" s="148">
        <f>IFERROR(__xludf.DUMMYFUNCTION("""COMPUTED_VALUE"""),99999.0)</f>
        <v>99999</v>
      </c>
      <c r="Q1455" s="148" t="str">
        <f>IFERROR(__xludf.DUMMYFUNCTION("""COMPUTED_VALUE"""),"[""bag_other""]")</f>
        <v>["bag_other"]</v>
      </c>
      <c r="R1455" s="148" t="str">
        <f>IFERROR(__xludf.DUMMYFUNCTION("""COMPUTED_VALUE"""),"[""bag""]")</f>
        <v>["bag"]</v>
      </c>
      <c r="S1455" s="148" t="str">
        <f>IFERROR(__xludf.DUMMYFUNCTION("""COMPUTED_VALUE"""),"{}")</f>
        <v>{}</v>
      </c>
      <c r="T1455" s="148">
        <f>IFERROR(__xludf.DUMMYFUNCTION("""COMPUTED_VALUE"""),1.0)</f>
        <v>1</v>
      </c>
      <c r="U1455" s="148">
        <f>IFERROR(__xludf.DUMMYFUNCTION("""COMPUTED_VALUE"""),0.0)</f>
        <v>0</v>
      </c>
      <c r="V1455" s="148" t="str">
        <f>IFERROR(__xludf.DUMMYFUNCTION("""COMPUTED_VALUE"""),"[]")</f>
        <v>[]</v>
      </c>
      <c r="W1455" s="148">
        <f>IFERROR(__xludf.DUMMYFUNCTION("""COMPUTED_VALUE"""),1.174E7)</f>
        <v>11740000</v>
      </c>
      <c r="X1455" s="148">
        <f>IFERROR(__xludf.DUMMYFUNCTION("""COMPUTED_VALUE"""),0.0)</f>
        <v>0</v>
      </c>
      <c r="Y1455" s="148">
        <f>IFERROR(__xludf.DUMMYFUNCTION("""COMPUTED_VALUE"""),0.0)</f>
        <v>0</v>
      </c>
      <c r="Z1455" s="148"/>
    </row>
    <row r="1456">
      <c r="A1456" s="148">
        <f>IFERROR(__xludf.DUMMYFUNCTION("""COMPUTED_VALUE"""),1.1117097E7)</f>
        <v>11117097</v>
      </c>
      <c r="B1456" s="148" t="str">
        <f>IFERROR(__xludf.DUMMYFUNCTION("""COMPUTED_VALUE"""),"情人节BattlePass-初级通行证_2022")</f>
        <v>情人节BattlePass-初级通行证_2022</v>
      </c>
      <c r="C1456" s="148"/>
      <c r="D1456" s="148" t="str">
        <f>IFERROR(__xludf.DUMMYFUNCTION("""COMPUTED_VALUE"""),"battle_pass_card")</f>
        <v>battle_pass_card</v>
      </c>
      <c r="E1456" s="148">
        <f>IFERROR(__xludf.DUMMYFUNCTION("""COMPUTED_VALUE"""),0.0)</f>
        <v>0</v>
      </c>
      <c r="F1456" s="148">
        <f>IFERROR(__xludf.DUMMYFUNCTION("""COMPUTED_VALUE"""),0.0)</f>
        <v>0</v>
      </c>
      <c r="G1456" s="148">
        <f>IFERROR(__xludf.DUMMYFUNCTION("""COMPUTED_VALUE"""),1.5113625E7)</f>
        <v>15113625</v>
      </c>
      <c r="H1456" s="148">
        <f>IFERROR(__xludf.DUMMYFUNCTION("""COMPUTED_VALUE"""),1.5112563E7)</f>
        <v>15112563</v>
      </c>
      <c r="I1456" s="148" t="str">
        <f>IFERROR(__xludf.DUMMYFUNCTION("""COMPUTED_VALUE"""),"{}")</f>
        <v>{}</v>
      </c>
      <c r="J1456" s="148" t="str">
        <f>IFERROR(__xludf.DUMMYFUNCTION("""COMPUTED_VALUE"""),"{""typ"":""lc"",""txt"":""LC_ITEM_battlepass_exp_name""}")</f>
        <v>{"typ":"lc","txt":"LC_ITEM_battlepass_exp_name"}</v>
      </c>
      <c r="K1456" s="148" t="str">
        <f>IFERROR(__xludf.DUMMYFUNCTION("""COMPUTED_VALUE"""),"{}")</f>
        <v>{}</v>
      </c>
      <c r="L1456" s="148" t="str">
        <f>IFERROR(__xludf.DUMMYFUNCTION("""COMPUTED_VALUE"""),"{}")</f>
        <v>{}</v>
      </c>
      <c r="M1456" s="148">
        <f>IFERROR(__xludf.DUMMYFUNCTION("""COMPUTED_VALUE"""),10.0)</f>
        <v>10</v>
      </c>
      <c r="N1456" s="148">
        <f>IFERROR(__xludf.DUMMYFUNCTION("""COMPUTED_VALUE"""),999999.0)</f>
        <v>999999</v>
      </c>
      <c r="O1456" s="148">
        <f>IFERROR(__xludf.DUMMYFUNCTION("""COMPUTED_VALUE"""),99999.0)</f>
        <v>99999</v>
      </c>
      <c r="P1456" s="148">
        <f>IFERROR(__xludf.DUMMYFUNCTION("""COMPUTED_VALUE"""),9999.0)</f>
        <v>9999</v>
      </c>
      <c r="Q1456" s="148" t="str">
        <f>IFERROR(__xludf.DUMMYFUNCTION("""COMPUTED_VALUE"""),"[]")</f>
        <v>[]</v>
      </c>
      <c r="R1456" s="148" t="str">
        <f>IFERROR(__xludf.DUMMYFUNCTION("""COMPUTED_VALUE"""),"[]")</f>
        <v>[]</v>
      </c>
      <c r="S1456" s="148" t="str">
        <f>IFERROR(__xludf.DUMMYFUNCTION("""COMPUTED_VALUE"""),"{}")</f>
        <v>{}</v>
      </c>
      <c r="T1456" s="148">
        <f>IFERROR(__xludf.DUMMYFUNCTION("""COMPUTED_VALUE"""),-1.0)</f>
        <v>-1</v>
      </c>
      <c r="U1456" s="148">
        <f>IFERROR(__xludf.DUMMYFUNCTION("""COMPUTED_VALUE"""),1.0)</f>
        <v>1</v>
      </c>
      <c r="V1456" s="148" t="str">
        <f>IFERROR(__xludf.DUMMYFUNCTION("""COMPUTED_VALUE"""),"[]")</f>
        <v>[]</v>
      </c>
      <c r="W1456" s="148">
        <f>IFERROR(__xludf.DUMMYFUNCTION("""COMPUTED_VALUE"""),1.174E7)</f>
        <v>11740000</v>
      </c>
      <c r="X1456" s="148">
        <f>IFERROR(__xludf.DUMMYFUNCTION("""COMPUTED_VALUE"""),0.0)</f>
        <v>0</v>
      </c>
      <c r="Y1456" s="148">
        <f>IFERROR(__xludf.DUMMYFUNCTION("""COMPUTED_VALUE"""),0.0)</f>
        <v>0</v>
      </c>
      <c r="Z1456" s="148"/>
    </row>
    <row r="1457">
      <c r="A1457" s="148">
        <f>IFERROR(__xludf.DUMMYFUNCTION("""COMPUTED_VALUE"""),1.1117098E7)</f>
        <v>11117098</v>
      </c>
      <c r="B1457" s="148" t="str">
        <f>IFERROR(__xludf.DUMMYFUNCTION("""COMPUTED_VALUE"""),"情人节BattlePass-高级通行证_2022")</f>
        <v>情人节BattlePass-高级通行证_2022</v>
      </c>
      <c r="C1457" s="148"/>
      <c r="D1457" s="148" t="str">
        <f>IFERROR(__xludf.DUMMYFUNCTION("""COMPUTED_VALUE"""),"battle_pass_card")</f>
        <v>battle_pass_card</v>
      </c>
      <c r="E1457" s="148">
        <f>IFERROR(__xludf.DUMMYFUNCTION("""COMPUTED_VALUE"""),0.0)</f>
        <v>0</v>
      </c>
      <c r="F1457" s="148">
        <f>IFERROR(__xludf.DUMMYFUNCTION("""COMPUTED_VALUE"""),0.0)</f>
        <v>0</v>
      </c>
      <c r="G1457" s="148">
        <f>IFERROR(__xludf.DUMMYFUNCTION("""COMPUTED_VALUE"""),1.5113625E7)</f>
        <v>15113625</v>
      </c>
      <c r="H1457" s="148">
        <f>IFERROR(__xludf.DUMMYFUNCTION("""COMPUTED_VALUE"""),1.5112563E7)</f>
        <v>15112563</v>
      </c>
      <c r="I1457" s="148" t="str">
        <f>IFERROR(__xludf.DUMMYFUNCTION("""COMPUTED_VALUE"""),"{}")</f>
        <v>{}</v>
      </c>
      <c r="J1457" s="148" t="str">
        <f>IFERROR(__xludf.DUMMYFUNCTION("""COMPUTED_VALUE"""),"{""typ"":""lc"",""txt"":""LC_ITEM_battlepass_exp_name""}")</f>
        <v>{"typ":"lc","txt":"LC_ITEM_battlepass_exp_name"}</v>
      </c>
      <c r="K1457" s="148" t="str">
        <f>IFERROR(__xludf.DUMMYFUNCTION("""COMPUTED_VALUE"""),"{}")</f>
        <v>{}</v>
      </c>
      <c r="L1457" s="148" t="str">
        <f>IFERROR(__xludf.DUMMYFUNCTION("""COMPUTED_VALUE"""),"{}")</f>
        <v>{}</v>
      </c>
      <c r="M1457" s="148">
        <f>IFERROR(__xludf.DUMMYFUNCTION("""COMPUTED_VALUE"""),10.0)</f>
        <v>10</v>
      </c>
      <c r="N1457" s="148">
        <f>IFERROR(__xludf.DUMMYFUNCTION("""COMPUTED_VALUE"""),999999.0)</f>
        <v>999999</v>
      </c>
      <c r="O1457" s="148">
        <f>IFERROR(__xludf.DUMMYFUNCTION("""COMPUTED_VALUE"""),99999.0)</f>
        <v>99999</v>
      </c>
      <c r="P1457" s="148">
        <f>IFERROR(__xludf.DUMMYFUNCTION("""COMPUTED_VALUE"""),9999.0)</f>
        <v>9999</v>
      </c>
      <c r="Q1457" s="148" t="str">
        <f>IFERROR(__xludf.DUMMYFUNCTION("""COMPUTED_VALUE"""),"[]")</f>
        <v>[]</v>
      </c>
      <c r="R1457" s="148" t="str">
        <f>IFERROR(__xludf.DUMMYFUNCTION("""COMPUTED_VALUE"""),"[]")</f>
        <v>[]</v>
      </c>
      <c r="S1457" s="148" t="str">
        <f>IFERROR(__xludf.DUMMYFUNCTION("""COMPUTED_VALUE"""),"{}")</f>
        <v>{}</v>
      </c>
      <c r="T1457" s="148">
        <f>IFERROR(__xludf.DUMMYFUNCTION("""COMPUTED_VALUE"""),-1.0)</f>
        <v>-1</v>
      </c>
      <c r="U1457" s="148">
        <f>IFERROR(__xludf.DUMMYFUNCTION("""COMPUTED_VALUE"""),1.0)</f>
        <v>1</v>
      </c>
      <c r="V1457" s="148" t="str">
        <f>IFERROR(__xludf.DUMMYFUNCTION("""COMPUTED_VALUE"""),"[]")</f>
        <v>[]</v>
      </c>
      <c r="W1457" s="148">
        <f>IFERROR(__xludf.DUMMYFUNCTION("""COMPUTED_VALUE"""),1.174E7)</f>
        <v>11740000</v>
      </c>
      <c r="X1457" s="148">
        <f>IFERROR(__xludf.DUMMYFUNCTION("""COMPUTED_VALUE"""),0.0)</f>
        <v>0</v>
      </c>
      <c r="Y1457" s="148">
        <f>IFERROR(__xludf.DUMMYFUNCTION("""COMPUTED_VALUE"""),0.0)</f>
        <v>0</v>
      </c>
      <c r="Z1457" s="148"/>
    </row>
    <row r="1458">
      <c r="A1458" s="148">
        <f>IFERROR(__xludf.DUMMYFUNCTION("""COMPUTED_VALUE"""),1.1117099E7)</f>
        <v>11117099</v>
      </c>
      <c r="B1458" s="148" t="str">
        <f>IFERROR(__xludf.DUMMYFUNCTION("""COMPUTED_VALUE"""),"紫色随机收藏品宝箱")</f>
        <v>紫色随机收藏品宝箱</v>
      </c>
      <c r="C1458" s="148"/>
      <c r="D1458" s="148" t="str">
        <f>IFERROR(__xludf.DUMMYFUNCTION("""COMPUTED_VALUE"""),"item_asset")</f>
        <v>item_asset</v>
      </c>
      <c r="E1458" s="148">
        <f>IFERROR(__xludf.DUMMYFUNCTION("""COMPUTED_VALUE"""),19.0)</f>
        <v>19</v>
      </c>
      <c r="F1458" s="148">
        <f>IFERROR(__xludf.DUMMYFUNCTION("""COMPUTED_VALUE"""),403226.0)</f>
        <v>403226</v>
      </c>
      <c r="G1458" s="148">
        <f>IFERROR(__xludf.DUMMYFUNCTION("""COMPUTED_VALUE"""),1.5112492E7)</f>
        <v>15112492</v>
      </c>
      <c r="H1458" s="148">
        <f>IFERROR(__xludf.DUMMYFUNCTION("""COMPUTED_VALUE"""),1.5112563E7)</f>
        <v>15112563</v>
      </c>
      <c r="I1458" s="148" t="str">
        <f>IFERROR(__xludf.DUMMYFUNCTION("""COMPUTED_VALUE"""),"{}")</f>
        <v>{}</v>
      </c>
      <c r="J1458" s="148" t="str">
        <f>IFERROR(__xludf.DUMMYFUNCTION("""COMPUTED_VALUE"""),"{""typ"":""lc"",""txt"":""LC_ITEM_collection_box_name""}")</f>
        <v>{"typ":"lc","txt":"LC_ITEM_collection_box_name"}</v>
      </c>
      <c r="K1458" s="148" t="str">
        <f>IFERROR(__xludf.DUMMYFUNCTION("""COMPUTED_VALUE"""),"{""typ"":""lc"",""txt"":""LC_ITEM_collection_box_desc""}")</f>
        <v>{"typ":"lc","txt":"LC_ITEM_collection_box_desc"}</v>
      </c>
      <c r="L1458" s="148" t="str">
        <f>IFERROR(__xludf.DUMMYFUNCTION("""COMPUTED_VALUE"""),"{}")</f>
        <v>{}</v>
      </c>
      <c r="M1458" s="148">
        <f>IFERROR(__xludf.DUMMYFUNCTION("""COMPUTED_VALUE"""),2000.0)</f>
        <v>2000</v>
      </c>
      <c r="N1458" s="148">
        <f>IFERROR(__xludf.DUMMYFUNCTION("""COMPUTED_VALUE"""),999999.0)</f>
        <v>999999</v>
      </c>
      <c r="O1458" s="148">
        <f>IFERROR(__xludf.DUMMYFUNCTION("""COMPUTED_VALUE"""),99999.0)</f>
        <v>99999</v>
      </c>
      <c r="P1458" s="148">
        <f>IFERROR(__xludf.DUMMYFUNCTION("""COMPUTED_VALUE"""),99999.0)</f>
        <v>99999</v>
      </c>
      <c r="Q1458" s="148" t="str">
        <f>IFERROR(__xludf.DUMMYFUNCTION("""COMPUTED_VALUE"""),"[""bag_other""]")</f>
        <v>["bag_other"]</v>
      </c>
      <c r="R1458" s="148" t="str">
        <f>IFERROR(__xludf.DUMMYFUNCTION("""COMPUTED_VALUE"""),"[""bag""]")</f>
        <v>["bag"]</v>
      </c>
      <c r="S1458" s="148" t="str">
        <f>IFERROR(__xludf.DUMMYFUNCTION("""COMPUTED_VALUE"""),"{""drop"":{""typ"":""single_random"",""num"":1,""args"":[{""typ"":""collection"",""id"":11551021,""num"":1,""wgt"":100},{""typ"":""collection"",""id"":11551041,""num"":1,""wgt"":100},{""typ"":""collection"",""id"":11551081,""num"":1,""wgt"":100},{""typ"":"&amp;"""collection"",""id"":11551091,""num"":1,""wgt"":100},{""typ"":""collection"",""id"":11551101,""num"":1,""wgt"":100},{""typ"":""collection"",""id"":11551111,""num"":1,""wgt"":100},{""typ"":""collection"",""id"":11551151,""num"":1,""wgt"":100},{""typ"":""c"&amp;"ollection"",""id"":11551171,""num"":1,""wgt"":100},{""typ"":""collection"",""id"":11551181,""num"":1,""wgt"":100},{""typ"":""collection"",""id"":11551191,""num"":1,""wgt"":100},{""typ"":""collection"",""id"":11551251,""num"":1,""wgt"":100},{""typ"":""coll"&amp;"ection"",""id"":11551361,""num"":1,""wgt"":100},{""typ"":""collection"",""id"":11551371,""num"":1,""wgt"":100},{""typ"":""collection"",""id"":11551381,""num"":1,""wgt"":100},{""typ"":""collection"",""id"":11551511,""num"":1,""wgt"":100},{""typ"":""collect"&amp;"ion"",""id"":11551521,""num"":1,""wgt"":100}]}}")</f>
        <v>{"drop":{"typ":"single_random","num":1,"args":[{"typ":"collection","id":11551021,"num":1,"wgt":100},{"typ":"collection","id":11551041,"num":1,"wgt":100},{"typ":"collection","id":11551081,"num":1,"wgt":100},{"typ":"collection","id":11551091,"num":1,"wgt":100},{"typ":"collection","id":11551101,"num":1,"wgt":100},{"typ":"collection","id":11551111,"num":1,"wgt":100},{"typ":"collection","id":11551151,"num":1,"wgt":100},{"typ":"collection","id":11551171,"num":1,"wgt":100},{"typ":"collection","id":11551181,"num":1,"wgt":100},{"typ":"collection","id":11551191,"num":1,"wgt":100},{"typ":"collection","id":11551251,"num":1,"wgt":100},{"typ":"collection","id":11551361,"num":1,"wgt":100},{"typ":"collection","id":11551371,"num":1,"wgt":100},{"typ":"collection","id":11551381,"num":1,"wgt":100},{"typ":"collection","id":11551511,"num":1,"wgt":100},{"typ":"collection","id":11551521,"num":1,"wgt":100}]}}</v>
      </c>
      <c r="T1458" s="148">
        <f>IFERROR(__xludf.DUMMYFUNCTION("""COMPUTED_VALUE"""),1.0)</f>
        <v>1</v>
      </c>
      <c r="U1458" s="148">
        <f>IFERROR(__xludf.DUMMYFUNCTION("""COMPUTED_VALUE"""),1.0)</f>
        <v>1</v>
      </c>
      <c r="V1458" s="148" t="str">
        <f>IFERROR(__xludf.DUMMYFUNCTION("""COMPUTED_VALUE"""),"[]")</f>
        <v>[]</v>
      </c>
      <c r="W1458" s="148">
        <f>IFERROR(__xludf.DUMMYFUNCTION("""COMPUTED_VALUE"""),1.174E7)</f>
        <v>11740000</v>
      </c>
      <c r="X1458" s="148">
        <f>IFERROR(__xludf.DUMMYFUNCTION("""COMPUTED_VALUE"""),0.0)</f>
        <v>0</v>
      </c>
      <c r="Y1458" s="148">
        <f>IFERROR(__xludf.DUMMYFUNCTION("""COMPUTED_VALUE"""),0.0)</f>
        <v>0</v>
      </c>
      <c r="Z1458" s="148"/>
    </row>
    <row r="1459">
      <c r="A1459" s="148">
        <f>IFERROR(__xludf.DUMMYFUNCTION("""COMPUTED_VALUE"""),1.11171E7)</f>
        <v>11117100</v>
      </c>
      <c r="B1459" s="148" t="str">
        <f>IFERROR(__xludf.DUMMYFUNCTION("""COMPUTED_VALUE"""),"月度异族-狙击子弹")</f>
        <v>月度异族-狙击子弹</v>
      </c>
      <c r="C1459" s="148"/>
      <c r="D1459" s="148" t="str">
        <f>IFERROR(__xludf.DUMMYFUNCTION("""COMPUTED_VALUE"""),"monkey_shoot")</f>
        <v>monkey_shoot</v>
      </c>
      <c r="E1459" s="148">
        <f>IFERROR(__xludf.DUMMYFUNCTION("""COMPUTED_VALUE"""),0.0)</f>
        <v>0</v>
      </c>
      <c r="F1459" s="148">
        <f>IFERROR(__xludf.DUMMYFUNCTION("""COMPUTED_VALUE"""),405531.0)</f>
        <v>405531</v>
      </c>
      <c r="G1459" s="148">
        <f>IFERROR(__xludf.DUMMYFUNCTION("""COMPUTED_VALUE"""),1.5114576E7)</f>
        <v>15114576</v>
      </c>
      <c r="H1459" s="148">
        <f>IFERROR(__xludf.DUMMYFUNCTION("""COMPUTED_VALUE"""),1.5112563E7)</f>
        <v>15112563</v>
      </c>
      <c r="I1459" s="148" t="str">
        <f>IFERROR(__xludf.DUMMYFUNCTION("""COMPUTED_VALUE"""),"{}")</f>
        <v>{}</v>
      </c>
      <c r="J1459" s="148" t="str">
        <f>IFERROR(__xludf.DUMMYFUNCTION("""COMPUTED_VALUE"""),"{""typ"":""lc"",""txt"":""LC_ITEM_shoot_bullet_1""}")</f>
        <v>{"typ":"lc","txt":"LC_ITEM_shoot_bullet_1"}</v>
      </c>
      <c r="K1459" s="148" t="str">
        <f>IFERROR(__xludf.DUMMYFUNCTION("""COMPUTED_VALUE"""),"{""typ"":""lc"",""txt"":""LC_ITEM_shoot_bullet_1_desc""}")</f>
        <v>{"typ":"lc","txt":"LC_ITEM_shoot_bullet_1_desc"}</v>
      </c>
      <c r="L1459" s="148" t="str">
        <f>IFERROR(__xludf.DUMMYFUNCTION("""COMPUTED_VALUE"""),"{}")</f>
        <v>{}</v>
      </c>
      <c r="M1459" s="148">
        <f>IFERROR(__xludf.DUMMYFUNCTION("""COMPUTED_VALUE"""),100.0)</f>
        <v>100</v>
      </c>
      <c r="N1459" s="148">
        <f>IFERROR(__xludf.DUMMYFUNCTION("""COMPUTED_VALUE"""),9.99999999E8)</f>
        <v>999999999</v>
      </c>
      <c r="O1459" s="148">
        <f>IFERROR(__xludf.DUMMYFUNCTION("""COMPUTED_VALUE"""),9.99999999E8)</f>
        <v>999999999</v>
      </c>
      <c r="P1459" s="148">
        <f>IFERROR(__xludf.DUMMYFUNCTION("""COMPUTED_VALUE"""),9.99999999E8)</f>
        <v>999999999</v>
      </c>
      <c r="Q1459" s="148" t="str">
        <f>IFERROR(__xludf.DUMMYFUNCTION("""COMPUTED_VALUE"""),"[""bag_other""]")</f>
        <v>["bag_other"]</v>
      </c>
      <c r="R1459" s="148" t="str">
        <f>IFERROR(__xludf.DUMMYFUNCTION("""COMPUTED_VALUE"""),"[""bag""]")</f>
        <v>["bag"]</v>
      </c>
      <c r="S1459" s="148" t="str">
        <f>IFERROR(__xludf.DUMMYFUNCTION("""COMPUTED_VALUE"""),"{""effect"":[{""typ"":""shoot_game"",""val"":100}]}")</f>
        <v>{"effect":[{"typ":"shoot_game","val":100}]}</v>
      </c>
      <c r="T1459" s="148">
        <f>IFERROR(__xludf.DUMMYFUNCTION("""COMPUTED_VALUE"""),-1.0)</f>
        <v>-1</v>
      </c>
      <c r="U1459" s="148">
        <f>IFERROR(__xludf.DUMMYFUNCTION("""COMPUTED_VALUE"""),0.0)</f>
        <v>0</v>
      </c>
      <c r="V1459" s="148" t="str">
        <f>IFERROR(__xludf.DUMMYFUNCTION("""COMPUTED_VALUE"""),"[]")</f>
        <v>[]</v>
      </c>
      <c r="W1459" s="148">
        <f>IFERROR(__xludf.DUMMYFUNCTION("""COMPUTED_VALUE"""),1.174E7)</f>
        <v>11740000</v>
      </c>
      <c r="X1459" s="148">
        <f>IFERROR(__xludf.DUMMYFUNCTION("""COMPUTED_VALUE"""),0.0)</f>
        <v>0</v>
      </c>
      <c r="Y1459" s="148">
        <f>IFERROR(__xludf.DUMMYFUNCTION("""COMPUTED_VALUE"""),0.0)</f>
        <v>0</v>
      </c>
      <c r="Z1459" s="148"/>
    </row>
    <row r="1460">
      <c r="A1460" s="148">
        <f>IFERROR(__xludf.DUMMYFUNCTION("""COMPUTED_VALUE"""),1.1117101E7)</f>
        <v>11117101</v>
      </c>
      <c r="B1460" s="148" t="str">
        <f>IFERROR(__xludf.DUMMYFUNCTION("""COMPUTED_VALUE"""),"月度异族-集火定位仪")</f>
        <v>月度异族-集火定位仪</v>
      </c>
      <c r="C1460" s="148"/>
      <c r="D1460" s="148" t="str">
        <f>IFERROR(__xludf.DUMMYFUNCTION("""COMPUTED_VALUE"""),"monkey_shoot")</f>
        <v>monkey_shoot</v>
      </c>
      <c r="E1460" s="148">
        <f>IFERROR(__xludf.DUMMYFUNCTION("""COMPUTED_VALUE"""),0.0)</f>
        <v>0</v>
      </c>
      <c r="F1460" s="148">
        <f>IFERROR(__xludf.DUMMYFUNCTION("""COMPUTED_VALUE"""),405232.0)</f>
        <v>405232</v>
      </c>
      <c r="G1460" s="148">
        <f>IFERROR(__xludf.DUMMYFUNCTION("""COMPUTED_VALUE"""),1.5114577E7)</f>
        <v>15114577</v>
      </c>
      <c r="H1460" s="148">
        <f>IFERROR(__xludf.DUMMYFUNCTION("""COMPUTED_VALUE"""),1.5112563E7)</f>
        <v>15112563</v>
      </c>
      <c r="I1460" s="148" t="str">
        <f>IFERROR(__xludf.DUMMYFUNCTION("""COMPUTED_VALUE"""),"{}")</f>
        <v>{}</v>
      </c>
      <c r="J1460" s="148" t="str">
        <f>IFERROR(__xludf.DUMMYFUNCTION("""COMPUTED_VALUE"""),"{""typ"":""lc"",""txt"":""LC_ITEM_shoot_change_item""}")</f>
        <v>{"typ":"lc","txt":"LC_ITEM_shoot_change_item"}</v>
      </c>
      <c r="K1460" s="148" t="str">
        <f>IFERROR(__xludf.DUMMYFUNCTION("""COMPUTED_VALUE"""),"{""typ"":""lc"",""txt"":""LC_ITEM_shoot_change_item_desc""}")</f>
        <v>{"typ":"lc","txt":"LC_ITEM_shoot_change_item_desc"}</v>
      </c>
      <c r="L1460" s="148" t="str">
        <f>IFERROR(__xludf.DUMMYFUNCTION("""COMPUTED_VALUE"""),"{}")</f>
        <v>{}</v>
      </c>
      <c r="M1460" s="148">
        <f>IFERROR(__xludf.DUMMYFUNCTION("""COMPUTED_VALUE"""),2000.0)</f>
        <v>2000</v>
      </c>
      <c r="N1460" s="148">
        <f>IFERROR(__xludf.DUMMYFUNCTION("""COMPUTED_VALUE"""),9.99999999E8)</f>
        <v>999999999</v>
      </c>
      <c r="O1460" s="148">
        <f>IFERROR(__xludf.DUMMYFUNCTION("""COMPUTED_VALUE"""),9.99999999E8)</f>
        <v>999999999</v>
      </c>
      <c r="P1460" s="148">
        <f>IFERROR(__xludf.DUMMYFUNCTION("""COMPUTED_VALUE"""),9.99999999E8)</f>
        <v>999999999</v>
      </c>
      <c r="Q1460" s="148" t="str">
        <f>IFERROR(__xludf.DUMMYFUNCTION("""COMPUTED_VALUE"""),"[""bag_other""]")</f>
        <v>["bag_other"]</v>
      </c>
      <c r="R1460" s="148" t="str">
        <f>IFERROR(__xludf.DUMMYFUNCTION("""COMPUTED_VALUE"""),"[""bag""]")</f>
        <v>["bag"]</v>
      </c>
      <c r="S1460" s="148" t="str">
        <f>IFERROR(__xludf.DUMMYFUNCTION("""COMPUTED_VALUE"""),"{}")</f>
        <v>{}</v>
      </c>
      <c r="T1460" s="148">
        <f>IFERROR(__xludf.DUMMYFUNCTION("""COMPUTED_VALUE"""),-1.0)</f>
        <v>-1</v>
      </c>
      <c r="U1460" s="148">
        <f>IFERROR(__xludf.DUMMYFUNCTION("""COMPUTED_VALUE"""),0.0)</f>
        <v>0</v>
      </c>
      <c r="V1460" s="148" t="str">
        <f>IFERROR(__xludf.DUMMYFUNCTION("""COMPUTED_VALUE"""),"[]")</f>
        <v>[]</v>
      </c>
      <c r="W1460" s="148">
        <f>IFERROR(__xludf.DUMMYFUNCTION("""COMPUTED_VALUE"""),1.174E7)</f>
        <v>11740000</v>
      </c>
      <c r="X1460" s="148">
        <f>IFERROR(__xludf.DUMMYFUNCTION("""COMPUTED_VALUE"""),0.0)</f>
        <v>0</v>
      </c>
      <c r="Y1460" s="148">
        <f>IFERROR(__xludf.DUMMYFUNCTION("""COMPUTED_VALUE"""),0.0)</f>
        <v>0</v>
      </c>
      <c r="Z1460" s="148"/>
    </row>
    <row r="1461">
      <c r="A1461" s="148">
        <f>IFERROR(__xludf.DUMMYFUNCTION("""COMPUTED_VALUE"""),1.1117102E7)</f>
        <v>11117102</v>
      </c>
      <c r="B1461" s="148" t="str">
        <f>IFERROR(__xludf.DUMMYFUNCTION("""COMPUTED_VALUE"""),"最强猴子-载猴炮弹")</f>
        <v>最强猴子-载猴炮弹</v>
      </c>
      <c r="C1461" s="148"/>
      <c r="D1461" s="148" t="str">
        <f>IFERROR(__xludf.DUMMYFUNCTION("""COMPUTED_VALUE"""),"item_asset")</f>
        <v>item_asset</v>
      </c>
      <c r="E1461" s="148">
        <f>IFERROR(__xludf.DUMMYFUNCTION("""COMPUTED_VALUE"""),0.0)</f>
        <v>0</v>
      </c>
      <c r="F1461" s="148">
        <f>IFERROR(__xludf.DUMMYFUNCTION("""COMPUTED_VALUE"""),405233.0)</f>
        <v>405233</v>
      </c>
      <c r="G1461" s="148">
        <f>IFERROR(__xludf.DUMMYFUNCTION("""COMPUTED_VALUE"""),1.5114601E7)</f>
        <v>15114601</v>
      </c>
      <c r="H1461" s="148">
        <f>IFERROR(__xludf.DUMMYFUNCTION("""COMPUTED_VALUE"""),1.5112563E7)</f>
        <v>15112563</v>
      </c>
      <c r="I1461" s="148" t="str">
        <f>IFERROR(__xludf.DUMMYFUNCTION("""COMPUTED_VALUE"""),"{}")</f>
        <v>{}</v>
      </c>
      <c r="J1461" s="148" t="str">
        <f>IFERROR(__xludf.DUMMYFUNCTION("""COMPUTED_VALUE"""),"{""typ"":""lc"",""txt"":""LC_ITEM_zvz_ticket_name""}")</f>
        <v>{"typ":"lc","txt":"LC_ITEM_zvz_ticket_name"}</v>
      </c>
      <c r="K1461" s="148" t="str">
        <f>IFERROR(__xludf.DUMMYFUNCTION("""COMPUTED_VALUE"""),"{""typ"":""lc"",""txt"":""LC_ITEM_zvz_ticket_desc""}")</f>
        <v>{"typ":"lc","txt":"LC_ITEM_zvz_ticket_desc"}</v>
      </c>
      <c r="L1461" s="148" t="str">
        <f>IFERROR(__xludf.DUMMYFUNCTION("""COMPUTED_VALUE"""),"{}")</f>
        <v>{}</v>
      </c>
      <c r="M1461" s="148">
        <f>IFERROR(__xludf.DUMMYFUNCTION("""COMPUTED_VALUE"""),1000.0)</f>
        <v>1000</v>
      </c>
      <c r="N1461" s="148">
        <f>IFERROR(__xludf.DUMMYFUNCTION("""COMPUTED_VALUE"""),999999.0)</f>
        <v>999999</v>
      </c>
      <c r="O1461" s="148">
        <f>IFERROR(__xludf.DUMMYFUNCTION("""COMPUTED_VALUE"""),99999.0)</f>
        <v>99999</v>
      </c>
      <c r="P1461" s="148">
        <f>IFERROR(__xludf.DUMMYFUNCTION("""COMPUTED_VALUE"""),9999.0)</f>
        <v>9999</v>
      </c>
      <c r="Q1461" s="148" t="str">
        <f>IFERROR(__xludf.DUMMYFUNCTION("""COMPUTED_VALUE"""),"[""bag_other""]")</f>
        <v>["bag_other"]</v>
      </c>
      <c r="R1461" s="148" t="str">
        <f>IFERROR(__xludf.DUMMYFUNCTION("""COMPUTED_VALUE"""),"[]")</f>
        <v>[]</v>
      </c>
      <c r="S1461" s="148" t="str">
        <f>IFERROR(__xludf.DUMMYFUNCTION("""COMPUTED_VALUE"""),"{}")</f>
        <v>{}</v>
      </c>
      <c r="T1461" s="148">
        <f>IFERROR(__xludf.DUMMYFUNCTION("""COMPUTED_VALUE"""),-1.0)</f>
        <v>-1</v>
      </c>
      <c r="U1461" s="148">
        <f>IFERROR(__xludf.DUMMYFUNCTION("""COMPUTED_VALUE"""),0.0)</f>
        <v>0</v>
      </c>
      <c r="V1461" s="148" t="str">
        <f>IFERROR(__xludf.DUMMYFUNCTION("""COMPUTED_VALUE"""),"[]")</f>
        <v>[]</v>
      </c>
      <c r="W1461" s="148">
        <f>IFERROR(__xludf.DUMMYFUNCTION("""COMPUTED_VALUE"""),1.174E7)</f>
        <v>11740000</v>
      </c>
      <c r="X1461" s="148">
        <f>IFERROR(__xludf.DUMMYFUNCTION("""COMPUTED_VALUE"""),0.0)</f>
        <v>0</v>
      </c>
      <c r="Y1461" s="148">
        <f>IFERROR(__xludf.DUMMYFUNCTION("""COMPUTED_VALUE"""),0.0)</f>
        <v>0</v>
      </c>
      <c r="Z1461" s="148"/>
    </row>
    <row r="1462">
      <c r="A1462" s="148">
        <f>IFERROR(__xludf.DUMMYFUNCTION("""COMPUTED_VALUE"""),1.1117103E7)</f>
        <v>11117103</v>
      </c>
      <c r="B1462" s="148" t="str">
        <f>IFERROR(__xludf.DUMMYFUNCTION("""COMPUTED_VALUE"""),"zvz（空投救护站）-死兵返还比例提升-30%")</f>
        <v>zvz（空投救护站）-死兵返还比例提升-30%</v>
      </c>
      <c r="C1462" s="148"/>
      <c r="D1462" s="148" t="str">
        <f>IFERROR(__xludf.DUMMYFUNCTION("""COMPUTED_VALUE"""),"item_buff")</f>
        <v>item_buff</v>
      </c>
      <c r="E1462" s="148">
        <f>IFERROR(__xludf.DUMMYFUNCTION("""COMPUTED_VALUE"""),0.0)</f>
        <v>0</v>
      </c>
      <c r="F1462" s="148">
        <f>IFERROR(__xludf.DUMMYFUNCTION("""COMPUTED_VALUE"""),404102.0)</f>
        <v>404102</v>
      </c>
      <c r="G1462" s="148">
        <f>IFERROR(__xludf.DUMMYFUNCTION("""COMPUTED_VALUE"""),1.5114602E7)</f>
        <v>15114602</v>
      </c>
      <c r="H1462" s="148">
        <f>IFERROR(__xludf.DUMMYFUNCTION("""COMPUTED_VALUE"""),1.5112564E7)</f>
        <v>15112564</v>
      </c>
      <c r="I1462" s="148" t="str">
        <f>IFERROR(__xludf.DUMMYFUNCTION("""COMPUTED_VALUE"""),"{""typ"":""lc"",""txt"":""LC_ITEM_buff_val_upper_show"",""args"":[{""typ"":""int"",""val"":30}]}")</f>
        <v>{"typ":"lc","txt":"LC_ITEM_buff_val_upper_show","args":[{"typ":"int","val":30}]}</v>
      </c>
      <c r="J1462" s="148" t="str">
        <f>IFERROR(__xludf.DUMMYFUNCTION("""COMPUTED_VALUE"""),"{""typ"":""lc"",""txt"":""LC_ITEM_treat_station_upgrade_name""}")</f>
        <v>{"typ":"lc","txt":"LC_ITEM_treat_station_upgrade_name"}</v>
      </c>
      <c r="K1462" s="148" t="str">
        <f>IFERROR(__xludf.DUMMYFUNCTION("""COMPUTED_VALUE"""),"{""typ"":""lc"",""txt"":""LC_ITEM_treat_station_upgrade_desc"",""args"":[{""typ"":""int"",""val"":30}]}")</f>
        <v>{"typ":"lc","txt":"LC_ITEM_treat_station_upgrade_desc","args":[{"typ":"int","val":30}]}</v>
      </c>
      <c r="L1462" s="148" t="str">
        <f>IFERROR(__xludf.DUMMYFUNCTION("""COMPUTED_VALUE"""),"{""typ"":""lc"",""txt"":""LC_ITEM_treat_station_upgrade_usetip""}")</f>
        <v>{"typ":"lc","txt":"LC_ITEM_treat_station_upgrade_usetip"}</v>
      </c>
      <c r="M1462" s="148">
        <f>IFERROR(__xludf.DUMMYFUNCTION("""COMPUTED_VALUE"""),40500.0)</f>
        <v>40500</v>
      </c>
      <c r="N1462" s="148">
        <f>IFERROR(__xludf.DUMMYFUNCTION("""COMPUTED_VALUE"""),100.0)</f>
        <v>100</v>
      </c>
      <c r="O1462" s="148">
        <f>IFERROR(__xludf.DUMMYFUNCTION("""COMPUTED_VALUE"""),100.0)</f>
        <v>100</v>
      </c>
      <c r="P1462" s="148">
        <f>IFERROR(__xludf.DUMMYFUNCTION("""COMPUTED_VALUE"""),100.0)</f>
        <v>100</v>
      </c>
      <c r="Q1462" s="148" t="str">
        <f>IFERROR(__xludf.DUMMYFUNCTION("""COMPUTED_VALUE"""),"[""bag_other""]")</f>
        <v>["bag_other"]</v>
      </c>
      <c r="R1462" s="148" t="str">
        <f>IFERROR(__xludf.DUMMYFUNCTION("""COMPUTED_VALUE"""),"[]")</f>
        <v>[]</v>
      </c>
      <c r="S1462" s="148" t="str">
        <f>IFERROR(__xludf.DUMMYFUNCTION("""COMPUTED_VALUE"""),"{""effect"":[{""typ"":""buff"",""id"":121111019,""val"":-1,""arg1"":0.3}]}")</f>
        <v>{"effect":[{"typ":"buff","id":121111019,"val":-1,"arg1":0.3}]}</v>
      </c>
      <c r="T1462" s="148">
        <f>IFERROR(__xludf.DUMMYFUNCTION("""COMPUTED_VALUE"""),-1.0)</f>
        <v>-1</v>
      </c>
      <c r="U1462" s="148">
        <f>IFERROR(__xludf.DUMMYFUNCTION("""COMPUTED_VALUE"""),1.0)</f>
        <v>1</v>
      </c>
      <c r="V1462" s="148" t="str">
        <f>IFERROR(__xludf.DUMMYFUNCTION("""COMPUTED_VALUE"""),"[]")</f>
        <v>[]</v>
      </c>
      <c r="W1462" s="148">
        <f>IFERROR(__xludf.DUMMYFUNCTION("""COMPUTED_VALUE"""),1.174E7)</f>
        <v>11740000</v>
      </c>
      <c r="X1462" s="148">
        <f>IFERROR(__xludf.DUMMYFUNCTION("""COMPUTED_VALUE"""),0.0)</f>
        <v>0</v>
      </c>
      <c r="Y1462" s="148">
        <f>IFERROR(__xludf.DUMMYFUNCTION("""COMPUTED_VALUE"""),0.0)</f>
        <v>0</v>
      </c>
      <c r="Z1462" s="148"/>
    </row>
    <row r="1463">
      <c r="A1463" s="148">
        <f>IFERROR(__xludf.DUMMYFUNCTION("""COMPUTED_VALUE"""),1.1117104E7)</f>
        <v>11117104</v>
      </c>
      <c r="B1463" s="148" t="str">
        <f>IFERROR(__xludf.DUMMYFUNCTION("""COMPUTED_VALUE"""),"月度异族-狙击子弹10")</f>
        <v>月度异族-狙击子弹10</v>
      </c>
      <c r="C1463" s="148"/>
      <c r="D1463" s="148" t="str">
        <f>IFERROR(__xludf.DUMMYFUNCTION("""COMPUTED_VALUE"""),"item_asset")</f>
        <v>item_asset</v>
      </c>
      <c r="E1463" s="148">
        <f>IFERROR(__xludf.DUMMYFUNCTION("""COMPUTED_VALUE"""),0.0)</f>
        <v>0</v>
      </c>
      <c r="F1463" s="148">
        <f>IFERROR(__xludf.DUMMYFUNCTION("""COMPUTED_VALUE"""),405334.0)</f>
        <v>405334</v>
      </c>
      <c r="G1463" s="148">
        <f>IFERROR(__xludf.DUMMYFUNCTION("""COMPUTED_VALUE"""),1.5114576E7)</f>
        <v>15114576</v>
      </c>
      <c r="H1463" s="148">
        <f>IFERROR(__xludf.DUMMYFUNCTION("""COMPUTED_VALUE"""),1.5112562E7)</f>
        <v>15112562</v>
      </c>
      <c r="I1463" s="148" t="str">
        <f>IFERROR(__xludf.DUMMYFUNCTION("""COMPUTED_VALUE"""),"{""typ"":""lc"",""txt"":""LC_ITEM_rss_upper_show"",""args"":[{""typ"":""int_unit"",""val"":10}]}")</f>
        <v>{"typ":"lc","txt":"LC_ITEM_rss_upper_show","args":[{"typ":"int_unit","val":10}]}</v>
      </c>
      <c r="J1463" s="148" t="str">
        <f>IFERROR(__xludf.DUMMYFUNCTION("""COMPUTED_VALUE"""),"{""typ"":""lc"",""txt"":""LC_ITEM_shoot_bullet_1""}")</f>
        <v>{"typ":"lc","txt":"LC_ITEM_shoot_bullet_1"}</v>
      </c>
      <c r="K1463" s="148" t="str">
        <f>IFERROR(__xludf.DUMMYFUNCTION("""COMPUTED_VALUE"""),"{""typ"":""lc"",""txt"":""LC_ITEM_shoot_bullet_1_desc""}")</f>
        <v>{"typ":"lc","txt":"LC_ITEM_shoot_bullet_1_desc"}</v>
      </c>
      <c r="L1463" s="148" t="str">
        <f>IFERROR(__xludf.DUMMYFUNCTION("""COMPUTED_VALUE"""),"{}")</f>
        <v>{}</v>
      </c>
      <c r="M1463" s="148">
        <f>IFERROR(__xludf.DUMMYFUNCTION("""COMPUTED_VALUE"""),1000.0)</f>
        <v>1000</v>
      </c>
      <c r="N1463" s="148">
        <f>IFERROR(__xludf.DUMMYFUNCTION("""COMPUTED_VALUE"""),9.99999999E8)</f>
        <v>999999999</v>
      </c>
      <c r="O1463" s="148">
        <f>IFERROR(__xludf.DUMMYFUNCTION("""COMPUTED_VALUE"""),9.99999999E8)</f>
        <v>999999999</v>
      </c>
      <c r="P1463" s="148">
        <f>IFERROR(__xludf.DUMMYFUNCTION("""COMPUTED_VALUE"""),9.99999999E8)</f>
        <v>999999999</v>
      </c>
      <c r="Q1463" s="148" t="str">
        <f>IFERROR(__xludf.DUMMYFUNCTION("""COMPUTED_VALUE"""),"[""bag_other""]")</f>
        <v>["bag_other"]</v>
      </c>
      <c r="R1463" s="148" t="str">
        <f>IFERROR(__xludf.DUMMYFUNCTION("""COMPUTED_VALUE"""),"[""bag""]")</f>
        <v>["bag"]</v>
      </c>
      <c r="S1463" s="148" t="str">
        <f>IFERROR(__xludf.DUMMYFUNCTION("""COMPUTED_VALUE"""),"{""effect"":[{""typ"":""item"",""id"":11117100,""val"":10}]}")</f>
        <v>{"effect":[{"typ":"item","id":11117100,"val":10}]}</v>
      </c>
      <c r="T1463" s="148">
        <f>IFERROR(__xludf.DUMMYFUNCTION("""COMPUTED_VALUE"""),-1.0)</f>
        <v>-1</v>
      </c>
      <c r="U1463" s="148">
        <f>IFERROR(__xludf.DUMMYFUNCTION("""COMPUTED_VALUE"""),1.0)</f>
        <v>1</v>
      </c>
      <c r="V1463" s="148" t="str">
        <f>IFERROR(__xludf.DUMMYFUNCTION("""COMPUTED_VALUE"""),"[]")</f>
        <v>[]</v>
      </c>
      <c r="W1463" s="148">
        <f>IFERROR(__xludf.DUMMYFUNCTION("""COMPUTED_VALUE"""),1.174E7)</f>
        <v>11740000</v>
      </c>
      <c r="X1463" s="148">
        <f>IFERROR(__xludf.DUMMYFUNCTION("""COMPUTED_VALUE"""),0.0)</f>
        <v>0</v>
      </c>
      <c r="Y1463" s="148">
        <f>IFERROR(__xludf.DUMMYFUNCTION("""COMPUTED_VALUE"""),0.0)</f>
        <v>0</v>
      </c>
      <c r="Z1463" s="148"/>
    </row>
    <row r="1464">
      <c r="A1464" s="148">
        <f>IFERROR(__xludf.DUMMYFUNCTION("""COMPUTED_VALUE"""),1.1117105E7)</f>
        <v>11117105</v>
      </c>
      <c r="B1464" s="148" t="str">
        <f>IFERROR(__xludf.DUMMYFUNCTION("""COMPUTED_VALUE"""),"月度异族-狙击子弹200")</f>
        <v>月度异族-狙击子弹200</v>
      </c>
      <c r="C1464" s="148"/>
      <c r="D1464" s="148" t="str">
        <f>IFERROR(__xludf.DUMMYFUNCTION("""COMPUTED_VALUE"""),"item_asset")</f>
        <v>item_asset</v>
      </c>
      <c r="E1464" s="148">
        <f>IFERROR(__xludf.DUMMYFUNCTION("""COMPUTED_VALUE"""),0.0)</f>
        <v>0</v>
      </c>
      <c r="F1464" s="148">
        <f>IFERROR(__xludf.DUMMYFUNCTION("""COMPUTED_VALUE"""),405235.0)</f>
        <v>405235</v>
      </c>
      <c r="G1464" s="148">
        <f>IFERROR(__xludf.DUMMYFUNCTION("""COMPUTED_VALUE"""),1.5114576E7)</f>
        <v>15114576</v>
      </c>
      <c r="H1464" s="148">
        <f>IFERROR(__xludf.DUMMYFUNCTION("""COMPUTED_VALUE"""),1.5112563E7)</f>
        <v>15112563</v>
      </c>
      <c r="I1464" s="148" t="str">
        <f>IFERROR(__xludf.DUMMYFUNCTION("""COMPUTED_VALUE"""),"{""typ"":""lc"",""txt"":""LC_ITEM_rss_upper_show"",""args"":[{""typ"":""int_unit"",""val"":200}]}")</f>
        <v>{"typ":"lc","txt":"LC_ITEM_rss_upper_show","args":[{"typ":"int_unit","val":200}]}</v>
      </c>
      <c r="J1464" s="148" t="str">
        <f>IFERROR(__xludf.DUMMYFUNCTION("""COMPUTED_VALUE"""),"{""typ"":""lc"",""txt"":""LC_ITEM_shoot_bullet_1""}")</f>
        <v>{"typ":"lc","txt":"LC_ITEM_shoot_bullet_1"}</v>
      </c>
      <c r="K1464" s="148" t="str">
        <f>IFERROR(__xludf.DUMMYFUNCTION("""COMPUTED_VALUE"""),"{""typ"":""lc"",""txt"":""LC_ITEM_shoot_bullet_1_desc""}")</f>
        <v>{"typ":"lc","txt":"LC_ITEM_shoot_bullet_1_desc"}</v>
      </c>
      <c r="L1464" s="148" t="str">
        <f>IFERROR(__xludf.DUMMYFUNCTION("""COMPUTED_VALUE"""),"{}")</f>
        <v>{}</v>
      </c>
      <c r="M1464" s="148">
        <f>IFERROR(__xludf.DUMMYFUNCTION("""COMPUTED_VALUE"""),20000.0)</f>
        <v>20000</v>
      </c>
      <c r="N1464" s="148">
        <f>IFERROR(__xludf.DUMMYFUNCTION("""COMPUTED_VALUE"""),9.99999999E8)</f>
        <v>999999999</v>
      </c>
      <c r="O1464" s="148">
        <f>IFERROR(__xludf.DUMMYFUNCTION("""COMPUTED_VALUE"""),9.99999999E8)</f>
        <v>999999999</v>
      </c>
      <c r="P1464" s="148">
        <f>IFERROR(__xludf.DUMMYFUNCTION("""COMPUTED_VALUE"""),9.99999999E8)</f>
        <v>999999999</v>
      </c>
      <c r="Q1464" s="148" t="str">
        <f>IFERROR(__xludf.DUMMYFUNCTION("""COMPUTED_VALUE"""),"[""bag_other""]")</f>
        <v>["bag_other"]</v>
      </c>
      <c r="R1464" s="148" t="str">
        <f>IFERROR(__xludf.DUMMYFUNCTION("""COMPUTED_VALUE"""),"[""bag""]")</f>
        <v>["bag"]</v>
      </c>
      <c r="S1464" s="148" t="str">
        <f>IFERROR(__xludf.DUMMYFUNCTION("""COMPUTED_VALUE"""),"{""effect"":[{""typ"":""item"",""id"":11117100,""val"":200}]}")</f>
        <v>{"effect":[{"typ":"item","id":11117100,"val":200}]}</v>
      </c>
      <c r="T1464" s="148">
        <f>IFERROR(__xludf.DUMMYFUNCTION("""COMPUTED_VALUE"""),-1.0)</f>
        <v>-1</v>
      </c>
      <c r="U1464" s="148">
        <f>IFERROR(__xludf.DUMMYFUNCTION("""COMPUTED_VALUE"""),1.0)</f>
        <v>1</v>
      </c>
      <c r="V1464" s="148" t="str">
        <f>IFERROR(__xludf.DUMMYFUNCTION("""COMPUTED_VALUE"""),"[]")</f>
        <v>[]</v>
      </c>
      <c r="W1464" s="148">
        <f>IFERROR(__xludf.DUMMYFUNCTION("""COMPUTED_VALUE"""),1.174E7)</f>
        <v>11740000</v>
      </c>
      <c r="X1464" s="148">
        <f>IFERROR(__xludf.DUMMYFUNCTION("""COMPUTED_VALUE"""),0.0)</f>
        <v>0</v>
      </c>
      <c r="Y1464" s="148">
        <f>IFERROR(__xludf.DUMMYFUNCTION("""COMPUTED_VALUE"""),0.0)</f>
        <v>0</v>
      </c>
      <c r="Z1464" s="148"/>
    </row>
    <row r="1465">
      <c r="A1465" s="148">
        <f>IFERROR(__xludf.DUMMYFUNCTION("""COMPUTED_VALUE"""),1.1117106E7)</f>
        <v>11117106</v>
      </c>
      <c r="B1465" s="148" t="str">
        <f>IFERROR(__xludf.DUMMYFUNCTION("""COMPUTED_VALUE"""),"月度异族-狙击子弹500")</f>
        <v>月度异族-狙击子弹500</v>
      </c>
      <c r="C1465" s="148"/>
      <c r="D1465" s="148" t="str">
        <f>IFERROR(__xludf.DUMMYFUNCTION("""COMPUTED_VALUE"""),"item_asset")</f>
        <v>item_asset</v>
      </c>
      <c r="E1465" s="148">
        <f>IFERROR(__xludf.DUMMYFUNCTION("""COMPUTED_VALUE"""),0.0)</f>
        <v>0</v>
      </c>
      <c r="F1465" s="148">
        <f>IFERROR(__xludf.DUMMYFUNCTION("""COMPUTED_VALUE"""),405136.0)</f>
        <v>405136</v>
      </c>
      <c r="G1465" s="148">
        <f>IFERROR(__xludf.DUMMYFUNCTION("""COMPUTED_VALUE"""),1.5114576E7)</f>
        <v>15114576</v>
      </c>
      <c r="H1465" s="148">
        <f>IFERROR(__xludf.DUMMYFUNCTION("""COMPUTED_VALUE"""),1.5112564E7)</f>
        <v>15112564</v>
      </c>
      <c r="I1465" s="148" t="str">
        <f>IFERROR(__xludf.DUMMYFUNCTION("""COMPUTED_VALUE"""),"{""typ"":""lc"",""txt"":""LC_ITEM_rss_upper_show"",""args"":[{""typ"":""int_unit"",""val"":500}]}")</f>
        <v>{"typ":"lc","txt":"LC_ITEM_rss_upper_show","args":[{"typ":"int_unit","val":500}]}</v>
      </c>
      <c r="J1465" s="148" t="str">
        <f>IFERROR(__xludf.DUMMYFUNCTION("""COMPUTED_VALUE"""),"{""typ"":""lc"",""txt"":""LC_ITEM_shoot_bullet_1""}")</f>
        <v>{"typ":"lc","txt":"LC_ITEM_shoot_bullet_1"}</v>
      </c>
      <c r="K1465" s="148" t="str">
        <f>IFERROR(__xludf.DUMMYFUNCTION("""COMPUTED_VALUE"""),"{""typ"":""lc"",""txt"":""LC_ITEM_shoot_bullet_1_desc""}")</f>
        <v>{"typ":"lc","txt":"LC_ITEM_shoot_bullet_1_desc"}</v>
      </c>
      <c r="L1465" s="148" t="str">
        <f>IFERROR(__xludf.DUMMYFUNCTION("""COMPUTED_VALUE"""),"{}")</f>
        <v>{}</v>
      </c>
      <c r="M1465" s="148">
        <f>IFERROR(__xludf.DUMMYFUNCTION("""COMPUTED_VALUE"""),50000.0)</f>
        <v>50000</v>
      </c>
      <c r="N1465" s="148">
        <f>IFERROR(__xludf.DUMMYFUNCTION("""COMPUTED_VALUE"""),9.99999999E8)</f>
        <v>999999999</v>
      </c>
      <c r="O1465" s="148">
        <f>IFERROR(__xludf.DUMMYFUNCTION("""COMPUTED_VALUE"""),9.99999999E8)</f>
        <v>999999999</v>
      </c>
      <c r="P1465" s="148">
        <f>IFERROR(__xludf.DUMMYFUNCTION("""COMPUTED_VALUE"""),9.99999999E8)</f>
        <v>999999999</v>
      </c>
      <c r="Q1465" s="148" t="str">
        <f>IFERROR(__xludf.DUMMYFUNCTION("""COMPUTED_VALUE"""),"[""bag_other""]")</f>
        <v>["bag_other"]</v>
      </c>
      <c r="R1465" s="148" t="str">
        <f>IFERROR(__xludf.DUMMYFUNCTION("""COMPUTED_VALUE"""),"[""bag""]")</f>
        <v>["bag"]</v>
      </c>
      <c r="S1465" s="148" t="str">
        <f>IFERROR(__xludf.DUMMYFUNCTION("""COMPUTED_VALUE"""),"{""effect"":[{""typ"":""item"",""id"":11117100,""val"":500}]}")</f>
        <v>{"effect":[{"typ":"item","id":11117100,"val":500}]}</v>
      </c>
      <c r="T1465" s="148">
        <f>IFERROR(__xludf.DUMMYFUNCTION("""COMPUTED_VALUE"""),-1.0)</f>
        <v>-1</v>
      </c>
      <c r="U1465" s="148">
        <f>IFERROR(__xludf.DUMMYFUNCTION("""COMPUTED_VALUE"""),1.0)</f>
        <v>1</v>
      </c>
      <c r="V1465" s="148" t="str">
        <f>IFERROR(__xludf.DUMMYFUNCTION("""COMPUTED_VALUE"""),"[]")</f>
        <v>[]</v>
      </c>
      <c r="W1465" s="148">
        <f>IFERROR(__xludf.DUMMYFUNCTION("""COMPUTED_VALUE"""),1.174E7)</f>
        <v>11740000</v>
      </c>
      <c r="X1465" s="148">
        <f>IFERROR(__xludf.DUMMYFUNCTION("""COMPUTED_VALUE"""),0.0)</f>
        <v>0</v>
      </c>
      <c r="Y1465" s="148">
        <f>IFERROR(__xludf.DUMMYFUNCTION("""COMPUTED_VALUE"""),0.0)</f>
        <v>0</v>
      </c>
      <c r="Z1465" s="148"/>
    </row>
    <row r="1466">
      <c r="A1466" s="148">
        <f>IFERROR(__xludf.DUMMYFUNCTION("""COMPUTED_VALUE"""),1.1117107E7)</f>
        <v>11117107</v>
      </c>
      <c r="B1466" s="148" t="str">
        <f>IFERROR(__xludf.DUMMYFUNCTION("""COMPUTED_VALUE"""),"月度异族-穿甲弹")</f>
        <v>月度异族-穿甲弹</v>
      </c>
      <c r="C1466" s="148"/>
      <c r="D1466" s="148" t="str">
        <f>IFERROR(__xludf.DUMMYFUNCTION("""COMPUTED_VALUE"""),"monkey_shoot")</f>
        <v>monkey_shoot</v>
      </c>
      <c r="E1466" s="148">
        <f>IFERROR(__xludf.DUMMYFUNCTION("""COMPUTED_VALUE"""),0.0)</f>
        <v>0</v>
      </c>
      <c r="F1466" s="148">
        <f>IFERROR(__xludf.DUMMYFUNCTION("""COMPUTED_VALUE"""),405137.0)</f>
        <v>405137</v>
      </c>
      <c r="G1466" s="148">
        <f>IFERROR(__xludf.DUMMYFUNCTION("""COMPUTED_VALUE"""),1.5114596E7)</f>
        <v>15114596</v>
      </c>
      <c r="H1466" s="148">
        <f>IFERROR(__xludf.DUMMYFUNCTION("""COMPUTED_VALUE"""),1.5112564E7)</f>
        <v>15112564</v>
      </c>
      <c r="I1466" s="148" t="str">
        <f>IFERROR(__xludf.DUMMYFUNCTION("""COMPUTED_VALUE"""),"{}")</f>
        <v>{}</v>
      </c>
      <c r="J1466" s="148" t="str">
        <f>IFERROR(__xludf.DUMMYFUNCTION("""COMPUTED_VALUE"""),"{""typ"":""lc"",""txt"":""LC_ITEM_shoot_bullet_2""}")</f>
        <v>{"typ":"lc","txt":"LC_ITEM_shoot_bullet_2"}</v>
      </c>
      <c r="K1466" s="148" t="str">
        <f>IFERROR(__xludf.DUMMYFUNCTION("""COMPUTED_VALUE"""),"{""typ"":""lc"",""txt"":""LC_ITEM_shoot_bullet_2_desc""}")</f>
        <v>{"typ":"lc","txt":"LC_ITEM_shoot_bullet_2_desc"}</v>
      </c>
      <c r="L1466" s="148" t="str">
        <f>IFERROR(__xludf.DUMMYFUNCTION("""COMPUTED_VALUE"""),"{}")</f>
        <v>{}</v>
      </c>
      <c r="M1466" s="148">
        <f>IFERROR(__xludf.DUMMYFUNCTION("""COMPUTED_VALUE"""),500.0)</f>
        <v>500</v>
      </c>
      <c r="N1466" s="148">
        <f>IFERROR(__xludf.DUMMYFUNCTION("""COMPUTED_VALUE"""),9.99999999E8)</f>
        <v>999999999</v>
      </c>
      <c r="O1466" s="148">
        <f>IFERROR(__xludf.DUMMYFUNCTION("""COMPUTED_VALUE"""),9.99999999E8)</f>
        <v>999999999</v>
      </c>
      <c r="P1466" s="148">
        <f>IFERROR(__xludf.DUMMYFUNCTION("""COMPUTED_VALUE"""),9.99999999E8)</f>
        <v>999999999</v>
      </c>
      <c r="Q1466" s="148" t="str">
        <f>IFERROR(__xludf.DUMMYFUNCTION("""COMPUTED_VALUE"""),"[""bag_other""]")</f>
        <v>["bag_other"]</v>
      </c>
      <c r="R1466" s="148" t="str">
        <f>IFERROR(__xludf.DUMMYFUNCTION("""COMPUTED_VALUE"""),"[""bag""]")</f>
        <v>["bag"]</v>
      </c>
      <c r="S1466" s="148" t="str">
        <f>IFERROR(__xludf.DUMMYFUNCTION("""COMPUTED_VALUE"""),"{""effect"":[{""typ"":""shoot_game"",""val"":100}]}")</f>
        <v>{"effect":[{"typ":"shoot_game","val":100}]}</v>
      </c>
      <c r="T1466" s="148">
        <f>IFERROR(__xludf.DUMMYFUNCTION("""COMPUTED_VALUE"""),-1.0)</f>
        <v>-1</v>
      </c>
      <c r="U1466" s="148">
        <f>IFERROR(__xludf.DUMMYFUNCTION("""COMPUTED_VALUE"""),0.0)</f>
        <v>0</v>
      </c>
      <c r="V1466" s="148" t="str">
        <f>IFERROR(__xludf.DUMMYFUNCTION("""COMPUTED_VALUE"""),"[]")</f>
        <v>[]</v>
      </c>
      <c r="W1466" s="148">
        <f>IFERROR(__xludf.DUMMYFUNCTION("""COMPUTED_VALUE"""),1.174E7)</f>
        <v>11740000</v>
      </c>
      <c r="X1466" s="148">
        <f>IFERROR(__xludf.DUMMYFUNCTION("""COMPUTED_VALUE"""),0.0)</f>
        <v>0</v>
      </c>
      <c r="Y1466" s="148">
        <f>IFERROR(__xludf.DUMMYFUNCTION("""COMPUTED_VALUE"""),0.0)</f>
        <v>0</v>
      </c>
      <c r="Z1466" s="148"/>
    </row>
    <row r="1467">
      <c r="A1467" s="148">
        <f>IFERROR(__xludf.DUMMYFUNCTION("""COMPUTED_VALUE"""),1.1117108E7)</f>
        <v>11117108</v>
      </c>
      <c r="B1467" s="148" t="str">
        <f>IFERROR(__xludf.DUMMYFUNCTION("""COMPUTED_VALUE"""),"收藏品道具-星际遗物")</f>
        <v>收藏品道具-星际遗物</v>
      </c>
      <c r="C1467" s="148"/>
      <c r="D1467" s="148" t="str">
        <f>IFERROR(__xludf.DUMMYFUNCTION("""COMPUTED_VALUE"""),"event_progress")</f>
        <v>event_progress</v>
      </c>
      <c r="E1467" s="148">
        <f>IFERROR(__xludf.DUMMYFUNCTION("""COMPUTED_VALUE"""),0.0)</f>
        <v>0</v>
      </c>
      <c r="F1467" s="148">
        <f>IFERROR(__xludf.DUMMYFUNCTION("""COMPUTED_VALUE"""),405438.0)</f>
        <v>405438</v>
      </c>
      <c r="G1467" s="148">
        <f>IFERROR(__xludf.DUMMYFUNCTION("""COMPUTED_VALUE"""),1.5112493E7)</f>
        <v>15112493</v>
      </c>
      <c r="H1467" s="148">
        <f>IFERROR(__xludf.DUMMYFUNCTION("""COMPUTED_VALUE"""),1.5112561E7)</f>
        <v>15112561</v>
      </c>
      <c r="I1467" s="148" t="str">
        <f>IFERROR(__xludf.DUMMYFUNCTION("""COMPUTED_VALUE"""),"{}")</f>
        <v>{}</v>
      </c>
      <c r="J1467" s="148" t="str">
        <f>IFERROR(__xludf.DUMMYFUNCTION("""COMPUTED_VALUE"""),"{""typ"":""lc"",""txt"":""LC_ITEM_starrelics_name""}")</f>
        <v>{"typ":"lc","txt":"LC_ITEM_starrelics_name"}</v>
      </c>
      <c r="K1467" s="148" t="str">
        <f>IFERROR(__xludf.DUMMYFUNCTION("""COMPUTED_VALUE"""),"{""typ"":""lc"",""txt"":""LC_ITEM_starrelics_desc""}")</f>
        <v>{"typ":"lc","txt":"LC_ITEM_starrelics_desc"}</v>
      </c>
      <c r="L1467" s="148" t="str">
        <f>IFERROR(__xludf.DUMMYFUNCTION("""COMPUTED_VALUE"""),"{}")</f>
        <v>{}</v>
      </c>
      <c r="M1467" s="148">
        <f>IFERROR(__xludf.DUMMYFUNCTION("""COMPUTED_VALUE"""),150.0)</f>
        <v>150</v>
      </c>
      <c r="N1467" s="148">
        <f>IFERROR(__xludf.DUMMYFUNCTION("""COMPUTED_VALUE"""),999999.0)</f>
        <v>999999</v>
      </c>
      <c r="O1467" s="148">
        <f>IFERROR(__xludf.DUMMYFUNCTION("""COMPUTED_VALUE"""),99999.0)</f>
        <v>99999</v>
      </c>
      <c r="P1467" s="148">
        <f>IFERROR(__xludf.DUMMYFUNCTION("""COMPUTED_VALUE"""),9999.0)</f>
        <v>9999</v>
      </c>
      <c r="Q1467" s="148" t="str">
        <f>IFERROR(__xludf.DUMMYFUNCTION("""COMPUTED_VALUE"""),"[""bag_other""]")</f>
        <v>["bag_other"]</v>
      </c>
      <c r="R1467" s="148" t="str">
        <f>IFERROR(__xludf.DUMMYFUNCTION("""COMPUTED_VALUE"""),"[]")</f>
        <v>[]</v>
      </c>
      <c r="S1467" s="148" t="str">
        <f>IFERROR(__xludf.DUMMYFUNCTION("""COMPUTED_VALUE"""),"{""effect"":[{""typ"":""event"",""id"":21121265}]}")</f>
        <v>{"effect":[{"typ":"event","id":21121265}]}</v>
      </c>
      <c r="T1467" s="148">
        <f>IFERROR(__xludf.DUMMYFUNCTION("""COMPUTED_VALUE"""),-1.0)</f>
        <v>-1</v>
      </c>
      <c r="U1467" s="148">
        <f>IFERROR(__xludf.DUMMYFUNCTION("""COMPUTED_VALUE"""),1.0)</f>
        <v>1</v>
      </c>
      <c r="V1467" s="148" t="str">
        <f>IFERROR(__xludf.DUMMYFUNCTION("""COMPUTED_VALUE"""),"[]")</f>
        <v>[]</v>
      </c>
      <c r="W1467" s="148">
        <f>IFERROR(__xludf.DUMMYFUNCTION("""COMPUTED_VALUE"""),1.174E7)</f>
        <v>11740000</v>
      </c>
      <c r="X1467" s="148">
        <f>IFERROR(__xludf.DUMMYFUNCTION("""COMPUTED_VALUE"""),0.0)</f>
        <v>0</v>
      </c>
      <c r="Y1467" s="148">
        <f>IFERROR(__xludf.DUMMYFUNCTION("""COMPUTED_VALUE"""),0.0)</f>
        <v>0</v>
      </c>
      <c r="Z1467" s="148"/>
    </row>
    <row r="1468">
      <c r="A1468" s="148">
        <f>IFERROR(__xludf.DUMMYFUNCTION("""COMPUTED_VALUE"""),1.1117109E7)</f>
        <v>11117109</v>
      </c>
      <c r="B1468" s="148" t="str">
        <f>IFERROR(__xludf.DUMMYFUNCTION("""COMPUTED_VALUE"""),"复活节锤子_2022_bp道具")</f>
        <v>复活节锤子_2022_bp道具</v>
      </c>
      <c r="C1468" s="148"/>
      <c r="D1468" s="148" t="str">
        <f>IFERROR(__xludf.DUMMYFUNCTION("""COMPUTED_VALUE"""),"battle_pass_exp")</f>
        <v>battle_pass_exp</v>
      </c>
      <c r="E1468" s="148">
        <f>IFERROR(__xludf.DUMMYFUNCTION("""COMPUTED_VALUE"""),0.0)</f>
        <v>0</v>
      </c>
      <c r="F1468" s="148">
        <f>IFERROR(__xludf.DUMMYFUNCTION("""COMPUTED_VALUE"""),405239.0)</f>
        <v>405239</v>
      </c>
      <c r="G1468" s="148">
        <f>IFERROR(__xludf.DUMMYFUNCTION("""COMPUTED_VALUE"""),1.5114647E7)</f>
        <v>15114647</v>
      </c>
      <c r="H1468" s="148">
        <f>IFERROR(__xludf.DUMMYFUNCTION("""COMPUTED_VALUE"""),1.5112563E7)</f>
        <v>15112563</v>
      </c>
      <c r="I1468" s="148" t="str">
        <f>IFERROR(__xludf.DUMMYFUNCTION("""COMPUTED_VALUE"""),"{}")</f>
        <v>{}</v>
      </c>
      <c r="J1468" s="148" t="str">
        <f>IFERROR(__xludf.DUMMYFUNCTION("""COMPUTED_VALUE"""),"{""typ"":""lc"",""txt"":""LC_ITEM_easter_battlepass_exp_2022_name""}")</f>
        <v>{"typ":"lc","txt":"LC_ITEM_easter_battlepass_exp_2022_name"}</v>
      </c>
      <c r="K1468" s="148" t="str">
        <f>IFERROR(__xludf.DUMMYFUNCTION("""COMPUTED_VALUE"""),"{""typ"":""lc"",""txt"":""LC_ITEM_easter_battlepass_exp_2022_desc""}")</f>
        <v>{"typ":"lc","txt":"LC_ITEM_easter_battlepass_exp_2022_desc"}</v>
      </c>
      <c r="L1468" s="148" t="str">
        <f>IFERROR(__xludf.DUMMYFUNCTION("""COMPUTED_VALUE"""),"{}")</f>
        <v>{}</v>
      </c>
      <c r="M1468" s="148">
        <f>IFERROR(__xludf.DUMMYFUNCTION("""COMPUTED_VALUE"""),35.0)</f>
        <v>35</v>
      </c>
      <c r="N1468" s="148">
        <f>IFERROR(__xludf.DUMMYFUNCTION("""COMPUTED_VALUE"""),999999.0)</f>
        <v>999999</v>
      </c>
      <c r="O1468" s="148">
        <f>IFERROR(__xludf.DUMMYFUNCTION("""COMPUTED_VALUE"""),99999.0)</f>
        <v>99999</v>
      </c>
      <c r="P1468" s="148">
        <f>IFERROR(__xludf.DUMMYFUNCTION("""COMPUTED_VALUE"""),99999.0)</f>
        <v>99999</v>
      </c>
      <c r="Q1468" s="148" t="str">
        <f>IFERROR(__xludf.DUMMYFUNCTION("""COMPUTED_VALUE"""),"[""bag_other""]")</f>
        <v>["bag_other"]</v>
      </c>
      <c r="R1468" s="148" t="str">
        <f>IFERROR(__xludf.DUMMYFUNCTION("""COMPUTED_VALUE"""),"[""bag""]")</f>
        <v>["bag"]</v>
      </c>
      <c r="S1468" s="148" t="str">
        <f>IFERROR(__xludf.DUMMYFUNCTION("""COMPUTED_VALUE"""),"{}")</f>
        <v>{}</v>
      </c>
      <c r="T1468" s="148">
        <f>IFERROR(__xludf.DUMMYFUNCTION("""COMPUTED_VALUE"""),1.0)</f>
        <v>1</v>
      </c>
      <c r="U1468" s="148">
        <f>IFERROR(__xludf.DUMMYFUNCTION("""COMPUTED_VALUE"""),0.0)</f>
        <v>0</v>
      </c>
      <c r="V1468" s="148" t="str">
        <f>IFERROR(__xludf.DUMMYFUNCTION("""COMPUTED_VALUE"""),"[]")</f>
        <v>[]</v>
      </c>
      <c r="W1468" s="148">
        <f>IFERROR(__xludf.DUMMYFUNCTION("""COMPUTED_VALUE"""),1.174E7)</f>
        <v>11740000</v>
      </c>
      <c r="X1468" s="148">
        <f>IFERROR(__xludf.DUMMYFUNCTION("""COMPUTED_VALUE"""),0.0)</f>
        <v>0</v>
      </c>
      <c r="Y1468" s="148">
        <f>IFERROR(__xludf.DUMMYFUNCTION("""COMPUTED_VALUE"""),0.0)</f>
        <v>0</v>
      </c>
      <c r="Z1468" s="148"/>
    </row>
    <row r="1469">
      <c r="A1469" s="148">
        <f>IFERROR(__xludf.DUMMYFUNCTION("""COMPUTED_VALUE"""),1.111711E7)</f>
        <v>11117110</v>
      </c>
      <c r="B1469" s="148" t="str">
        <f>IFERROR(__xludf.DUMMYFUNCTION("""COMPUTED_VALUE"""),"复活节BattlePass-初级通行证_2022")</f>
        <v>复活节BattlePass-初级通行证_2022</v>
      </c>
      <c r="C1469" s="148"/>
      <c r="D1469" s="148" t="str">
        <f>IFERROR(__xludf.DUMMYFUNCTION("""COMPUTED_VALUE"""),"battle_pass_card")</f>
        <v>battle_pass_card</v>
      </c>
      <c r="E1469" s="148">
        <f>IFERROR(__xludf.DUMMYFUNCTION("""COMPUTED_VALUE"""),0.0)</f>
        <v>0</v>
      </c>
      <c r="F1469" s="148">
        <f>IFERROR(__xludf.DUMMYFUNCTION("""COMPUTED_VALUE"""),0.0)</f>
        <v>0</v>
      </c>
      <c r="G1469" s="148">
        <f>IFERROR(__xludf.DUMMYFUNCTION("""COMPUTED_VALUE"""),1.5113625E7)</f>
        <v>15113625</v>
      </c>
      <c r="H1469" s="148">
        <f>IFERROR(__xludf.DUMMYFUNCTION("""COMPUTED_VALUE"""),1.5112563E7)</f>
        <v>15112563</v>
      </c>
      <c r="I1469" s="148" t="str">
        <f>IFERROR(__xludf.DUMMYFUNCTION("""COMPUTED_VALUE"""),"{}")</f>
        <v>{}</v>
      </c>
      <c r="J1469" s="148" t="str">
        <f>IFERROR(__xludf.DUMMYFUNCTION("""COMPUTED_VALUE"""),"{""typ"":""lc"",""txt"":""LC_ITEM_battlepass_exp_name""}")</f>
        <v>{"typ":"lc","txt":"LC_ITEM_battlepass_exp_name"}</v>
      </c>
      <c r="K1469" s="148" t="str">
        <f>IFERROR(__xludf.DUMMYFUNCTION("""COMPUTED_VALUE"""),"{}")</f>
        <v>{}</v>
      </c>
      <c r="L1469" s="148" t="str">
        <f>IFERROR(__xludf.DUMMYFUNCTION("""COMPUTED_VALUE"""),"{}")</f>
        <v>{}</v>
      </c>
      <c r="M1469" s="148">
        <f>IFERROR(__xludf.DUMMYFUNCTION("""COMPUTED_VALUE"""),10.0)</f>
        <v>10</v>
      </c>
      <c r="N1469" s="148">
        <f>IFERROR(__xludf.DUMMYFUNCTION("""COMPUTED_VALUE"""),999999.0)</f>
        <v>999999</v>
      </c>
      <c r="O1469" s="148">
        <f>IFERROR(__xludf.DUMMYFUNCTION("""COMPUTED_VALUE"""),99999.0)</f>
        <v>99999</v>
      </c>
      <c r="P1469" s="148">
        <f>IFERROR(__xludf.DUMMYFUNCTION("""COMPUTED_VALUE"""),9999.0)</f>
        <v>9999</v>
      </c>
      <c r="Q1469" s="148" t="str">
        <f>IFERROR(__xludf.DUMMYFUNCTION("""COMPUTED_VALUE"""),"[]")</f>
        <v>[]</v>
      </c>
      <c r="R1469" s="148" t="str">
        <f>IFERROR(__xludf.DUMMYFUNCTION("""COMPUTED_VALUE"""),"[]")</f>
        <v>[]</v>
      </c>
      <c r="S1469" s="148" t="str">
        <f>IFERROR(__xludf.DUMMYFUNCTION("""COMPUTED_VALUE"""),"{}")</f>
        <v>{}</v>
      </c>
      <c r="T1469" s="148">
        <f>IFERROR(__xludf.DUMMYFUNCTION("""COMPUTED_VALUE"""),-1.0)</f>
        <v>-1</v>
      </c>
      <c r="U1469" s="148">
        <f>IFERROR(__xludf.DUMMYFUNCTION("""COMPUTED_VALUE"""),1.0)</f>
        <v>1</v>
      </c>
      <c r="V1469" s="148" t="str">
        <f>IFERROR(__xludf.DUMMYFUNCTION("""COMPUTED_VALUE"""),"[]")</f>
        <v>[]</v>
      </c>
      <c r="W1469" s="148">
        <f>IFERROR(__xludf.DUMMYFUNCTION("""COMPUTED_VALUE"""),1.174E7)</f>
        <v>11740000</v>
      </c>
      <c r="X1469" s="148">
        <f>IFERROR(__xludf.DUMMYFUNCTION("""COMPUTED_VALUE"""),0.0)</f>
        <v>0</v>
      </c>
      <c r="Y1469" s="148">
        <f>IFERROR(__xludf.DUMMYFUNCTION("""COMPUTED_VALUE"""),0.0)</f>
        <v>0</v>
      </c>
      <c r="Z1469" s="148"/>
    </row>
    <row r="1470">
      <c r="A1470" s="148">
        <f>IFERROR(__xludf.DUMMYFUNCTION("""COMPUTED_VALUE"""),1.1117111E7)</f>
        <v>11117111</v>
      </c>
      <c r="B1470" s="148" t="str">
        <f>IFERROR(__xludf.DUMMYFUNCTION("""COMPUTED_VALUE"""),"复活节BattlePass-高级通行证_2022")</f>
        <v>复活节BattlePass-高级通行证_2022</v>
      </c>
      <c r="C1470" s="148"/>
      <c r="D1470" s="148" t="str">
        <f>IFERROR(__xludf.DUMMYFUNCTION("""COMPUTED_VALUE"""),"battle_pass_card")</f>
        <v>battle_pass_card</v>
      </c>
      <c r="E1470" s="148">
        <f>IFERROR(__xludf.DUMMYFUNCTION("""COMPUTED_VALUE"""),0.0)</f>
        <v>0</v>
      </c>
      <c r="F1470" s="148">
        <f>IFERROR(__xludf.DUMMYFUNCTION("""COMPUTED_VALUE"""),0.0)</f>
        <v>0</v>
      </c>
      <c r="G1470" s="148">
        <f>IFERROR(__xludf.DUMMYFUNCTION("""COMPUTED_VALUE"""),1.5113625E7)</f>
        <v>15113625</v>
      </c>
      <c r="H1470" s="148">
        <f>IFERROR(__xludf.DUMMYFUNCTION("""COMPUTED_VALUE"""),1.5112563E7)</f>
        <v>15112563</v>
      </c>
      <c r="I1470" s="148" t="str">
        <f>IFERROR(__xludf.DUMMYFUNCTION("""COMPUTED_VALUE"""),"{}")</f>
        <v>{}</v>
      </c>
      <c r="J1470" s="148" t="str">
        <f>IFERROR(__xludf.DUMMYFUNCTION("""COMPUTED_VALUE"""),"{""typ"":""lc"",""txt"":""LC_ITEM_battlepass_exp_name""}")</f>
        <v>{"typ":"lc","txt":"LC_ITEM_battlepass_exp_name"}</v>
      </c>
      <c r="K1470" s="148" t="str">
        <f>IFERROR(__xludf.DUMMYFUNCTION("""COMPUTED_VALUE"""),"{}")</f>
        <v>{}</v>
      </c>
      <c r="L1470" s="148" t="str">
        <f>IFERROR(__xludf.DUMMYFUNCTION("""COMPUTED_VALUE"""),"{}")</f>
        <v>{}</v>
      </c>
      <c r="M1470" s="148">
        <f>IFERROR(__xludf.DUMMYFUNCTION("""COMPUTED_VALUE"""),10.0)</f>
        <v>10</v>
      </c>
      <c r="N1470" s="148">
        <f>IFERROR(__xludf.DUMMYFUNCTION("""COMPUTED_VALUE"""),999999.0)</f>
        <v>999999</v>
      </c>
      <c r="O1470" s="148">
        <f>IFERROR(__xludf.DUMMYFUNCTION("""COMPUTED_VALUE"""),99999.0)</f>
        <v>99999</v>
      </c>
      <c r="P1470" s="148">
        <f>IFERROR(__xludf.DUMMYFUNCTION("""COMPUTED_VALUE"""),9999.0)</f>
        <v>9999</v>
      </c>
      <c r="Q1470" s="148" t="str">
        <f>IFERROR(__xludf.DUMMYFUNCTION("""COMPUTED_VALUE"""),"[]")</f>
        <v>[]</v>
      </c>
      <c r="R1470" s="148" t="str">
        <f>IFERROR(__xludf.DUMMYFUNCTION("""COMPUTED_VALUE"""),"[]")</f>
        <v>[]</v>
      </c>
      <c r="S1470" s="148" t="str">
        <f>IFERROR(__xludf.DUMMYFUNCTION("""COMPUTED_VALUE"""),"{}")</f>
        <v>{}</v>
      </c>
      <c r="T1470" s="148">
        <f>IFERROR(__xludf.DUMMYFUNCTION("""COMPUTED_VALUE"""),-1.0)</f>
        <v>-1</v>
      </c>
      <c r="U1470" s="148">
        <f>IFERROR(__xludf.DUMMYFUNCTION("""COMPUTED_VALUE"""),1.0)</f>
        <v>1</v>
      </c>
      <c r="V1470" s="148" t="str">
        <f>IFERROR(__xludf.DUMMYFUNCTION("""COMPUTED_VALUE"""),"[]")</f>
        <v>[]</v>
      </c>
      <c r="W1470" s="148">
        <f>IFERROR(__xludf.DUMMYFUNCTION("""COMPUTED_VALUE"""),1.174E7)</f>
        <v>11740000</v>
      </c>
      <c r="X1470" s="148">
        <f>IFERROR(__xludf.DUMMYFUNCTION("""COMPUTED_VALUE"""),0.0)</f>
        <v>0</v>
      </c>
      <c r="Y1470" s="148">
        <f>IFERROR(__xludf.DUMMYFUNCTION("""COMPUTED_VALUE"""),0.0)</f>
        <v>0</v>
      </c>
      <c r="Z1470" s="148"/>
    </row>
    <row r="1471">
      <c r="A1471" s="148">
        <f>IFERROR(__xludf.DUMMYFUNCTION("""COMPUTED_VALUE"""),1.1117112E7)</f>
        <v>11117112</v>
      </c>
      <c r="B1471" s="148" t="str">
        <f>IFERROR(__xludf.DUMMYFUNCTION("""COMPUTED_VALUE"""),"勇士装备图纸箱")</f>
        <v>勇士装备图纸箱</v>
      </c>
      <c r="C1471" s="148"/>
      <c r="D1471" s="148" t="str">
        <f>IFERROR(__xludf.DUMMYFUNCTION("""COMPUTED_VALUE"""),"heroarms_box")</f>
        <v>heroarms_box</v>
      </c>
      <c r="E1471" s="148">
        <f>IFERROR(__xludf.DUMMYFUNCTION("""COMPUTED_VALUE"""),0.0)</f>
        <v>0</v>
      </c>
      <c r="F1471" s="148">
        <f>IFERROR(__xludf.DUMMYFUNCTION("""COMPUTED_VALUE"""),403410.0)</f>
        <v>403410</v>
      </c>
      <c r="G1471" s="148">
        <f>IFERROR(__xludf.DUMMYFUNCTION("""COMPUTED_VALUE"""),1.5116851E7)</f>
        <v>15116851</v>
      </c>
      <c r="H1471" s="148">
        <f>IFERROR(__xludf.DUMMYFUNCTION("""COMPUTED_VALUE"""),1.5112561E7)</f>
        <v>15112561</v>
      </c>
      <c r="I1471" s="148" t="str">
        <f>IFERROR(__xludf.DUMMYFUNCTION("""COMPUTED_VALUE"""),"{}")</f>
        <v>{}</v>
      </c>
      <c r="J1471" s="148" t="str">
        <f>IFERROR(__xludf.DUMMYFUNCTION("""COMPUTED_VALUE"""),"{""typ"":""lc"",""txt"":""LC_HERO_equipment_blueprint_box1""}")</f>
        <v>{"typ":"lc","txt":"LC_HERO_equipment_blueprint_box1"}</v>
      </c>
      <c r="K1471" s="148" t="str">
        <f>IFERROR(__xludf.DUMMYFUNCTION("""COMPUTED_VALUE"""),"{""typ"":""lc"",""txt"":""LC_HERO_equipment_blueprint_box_desc1""}")</f>
        <v>{"typ":"lc","txt":"LC_HERO_equipment_blueprint_box_desc1"}</v>
      </c>
      <c r="L1471" s="148" t="str">
        <f>IFERROR(__xludf.DUMMYFUNCTION("""COMPUTED_VALUE"""),"{}")</f>
        <v>{}</v>
      </c>
      <c r="M1471" s="148">
        <f>IFERROR(__xludf.DUMMYFUNCTION("""COMPUTED_VALUE"""),62.0)</f>
        <v>62</v>
      </c>
      <c r="N1471" s="148">
        <f>IFERROR(__xludf.DUMMYFUNCTION("""COMPUTED_VALUE"""),9999999.0)</f>
        <v>9999999</v>
      </c>
      <c r="O1471" s="148">
        <f>IFERROR(__xludf.DUMMYFUNCTION("""COMPUTED_VALUE"""),99999.0)</f>
        <v>99999</v>
      </c>
      <c r="P1471" s="148">
        <f>IFERROR(__xludf.DUMMYFUNCTION("""COMPUTED_VALUE"""),99999.0)</f>
        <v>99999</v>
      </c>
      <c r="Q1471" s="148" t="str">
        <f>IFERROR(__xludf.DUMMYFUNCTION("""COMPUTED_VALUE"""),"[""bag_other""]")</f>
        <v>["bag_other"]</v>
      </c>
      <c r="R1471" s="148" t="str">
        <f>IFERROR(__xludf.DUMMYFUNCTION("""COMPUTED_VALUE"""),"[""bag""]")</f>
        <v>["bag"]</v>
      </c>
      <c r="S1471" s="148" t="str">
        <f>IFERROR(__xludf.DUMMYFUNCTION("""COMPUTED_VALUE"""),"{""drop"":{""typ"":""single_random"",""num"":1,""args"":[{""typ"":""blueprint"",""id"":19341001,""num"":1,""wgt"":100},{""typ"":""blueprint"",""id"":19341002,""num"":1,""wgt"":100},{""typ"":""blueprint"",""id"":19341003,""num"":1,""wgt"":100},{""typ"":""b"&amp;"lueprint"",""id"":19341004,""num"":1,""wgt"":100}]}}")</f>
        <v>{"drop":{"typ":"single_random","num":1,"args":[{"typ":"blueprint","id":19341001,"num":1,"wgt":100},{"typ":"blueprint","id":19341002,"num":1,"wgt":100},{"typ":"blueprint","id":19341003,"num":1,"wgt":100},{"typ":"blueprint","id":19341004,"num":1,"wgt":100}]}}</v>
      </c>
      <c r="T1471" s="148">
        <f>IFERROR(__xludf.DUMMYFUNCTION("""COMPUTED_VALUE"""),-1.0)</f>
        <v>-1</v>
      </c>
      <c r="U1471" s="148">
        <f>IFERROR(__xludf.DUMMYFUNCTION("""COMPUTED_VALUE"""),0.0)</f>
        <v>0</v>
      </c>
      <c r="V1471" s="148" t="str">
        <f>IFERROR(__xludf.DUMMYFUNCTION("""COMPUTED_VALUE"""),"[]")</f>
        <v>[]</v>
      </c>
      <c r="W1471" s="148">
        <f>IFERROR(__xludf.DUMMYFUNCTION("""COMPUTED_VALUE"""),1.1741004E7)</f>
        <v>11741004</v>
      </c>
      <c r="X1471" s="148">
        <f>IFERROR(__xludf.DUMMYFUNCTION("""COMPUTED_VALUE"""),0.0)</f>
        <v>0</v>
      </c>
      <c r="Y1471" s="148">
        <f>IFERROR(__xludf.DUMMYFUNCTION("""COMPUTED_VALUE"""),0.0)</f>
        <v>0</v>
      </c>
      <c r="Z1471" s="148"/>
    </row>
    <row r="1472">
      <c r="A1472" s="148">
        <f>IFERROR(__xludf.DUMMYFUNCTION("""COMPUTED_VALUE"""),1.1117113E7)</f>
        <v>11117113</v>
      </c>
      <c r="B1472" s="148" t="str">
        <f>IFERROR(__xludf.DUMMYFUNCTION("""COMPUTED_VALUE"""),"精英装备图纸箱")</f>
        <v>精英装备图纸箱</v>
      </c>
      <c r="C1472" s="148"/>
      <c r="D1472" s="148" t="str">
        <f>IFERROR(__xludf.DUMMYFUNCTION("""COMPUTED_VALUE"""),"heroarms_box")</f>
        <v>heroarms_box</v>
      </c>
      <c r="E1472" s="148">
        <f>IFERROR(__xludf.DUMMYFUNCTION("""COMPUTED_VALUE"""),0.0)</f>
        <v>0</v>
      </c>
      <c r="F1472" s="148">
        <f>IFERROR(__xludf.DUMMYFUNCTION("""COMPUTED_VALUE"""),403309.0)</f>
        <v>403309</v>
      </c>
      <c r="G1472" s="148">
        <f>IFERROR(__xludf.DUMMYFUNCTION("""COMPUTED_VALUE"""),1.5116853E7)</f>
        <v>15116853</v>
      </c>
      <c r="H1472" s="148">
        <f>IFERROR(__xludf.DUMMYFUNCTION("""COMPUTED_VALUE"""),1.5112562E7)</f>
        <v>15112562</v>
      </c>
      <c r="I1472" s="148" t="str">
        <f>IFERROR(__xludf.DUMMYFUNCTION("""COMPUTED_VALUE"""),"{}")</f>
        <v>{}</v>
      </c>
      <c r="J1472" s="148" t="str">
        <f>IFERROR(__xludf.DUMMYFUNCTION("""COMPUTED_VALUE"""),"{""typ"":""lc"",""txt"":""LC_HERO_equipment_blueprint_box2""}")</f>
        <v>{"typ":"lc","txt":"LC_HERO_equipment_blueprint_box2"}</v>
      </c>
      <c r="K1472" s="148" t="str">
        <f>IFERROR(__xludf.DUMMYFUNCTION("""COMPUTED_VALUE"""),"{""typ"":""lc"",""txt"":""LC_HERO_equipment_blueprint_box_desc2""}")</f>
        <v>{"typ":"lc","txt":"LC_HERO_equipment_blueprint_box_desc2"}</v>
      </c>
      <c r="L1472" s="148" t="str">
        <f>IFERROR(__xludf.DUMMYFUNCTION("""COMPUTED_VALUE"""),"{}")</f>
        <v>{}</v>
      </c>
      <c r="M1472" s="148">
        <f>IFERROR(__xludf.DUMMYFUNCTION("""COMPUTED_VALUE"""),125.0)</f>
        <v>125</v>
      </c>
      <c r="N1472" s="148">
        <f>IFERROR(__xludf.DUMMYFUNCTION("""COMPUTED_VALUE"""),9999999.0)</f>
        <v>9999999</v>
      </c>
      <c r="O1472" s="148">
        <f>IFERROR(__xludf.DUMMYFUNCTION("""COMPUTED_VALUE"""),99999.0)</f>
        <v>99999</v>
      </c>
      <c r="P1472" s="148">
        <f>IFERROR(__xludf.DUMMYFUNCTION("""COMPUTED_VALUE"""),99999.0)</f>
        <v>99999</v>
      </c>
      <c r="Q1472" s="148" t="str">
        <f>IFERROR(__xludf.DUMMYFUNCTION("""COMPUTED_VALUE"""),"[""bag_other""]")</f>
        <v>["bag_other"]</v>
      </c>
      <c r="R1472" s="148" t="str">
        <f>IFERROR(__xludf.DUMMYFUNCTION("""COMPUTED_VALUE"""),"[""bag""]")</f>
        <v>["bag"]</v>
      </c>
      <c r="S1472" s="148" t="str">
        <f>IFERROR(__xludf.DUMMYFUNCTION("""COMPUTED_VALUE"""),"{""drop"":{""typ"":""single_random"",""num"":1,""args"":[{""typ"":""blueprint"",""id"":19342001,""num"":1,""wgt"":100},{""typ"":""blueprint"",""id"":19342002,""num"":1,""wgt"":100},{""typ"":""blueprint"",""id"":19342003,""num"":1,""wgt"":100},{""typ"":""b"&amp;"lueprint"",""id"":19342004,""num"":1,""wgt"":100}]}}")</f>
        <v>{"drop":{"typ":"single_random","num":1,"args":[{"typ":"blueprint","id":19342001,"num":1,"wgt":100},{"typ":"blueprint","id":19342002,"num":1,"wgt":100},{"typ":"blueprint","id":19342003,"num":1,"wgt":100},{"typ":"blueprint","id":19342004,"num":1,"wgt":100}]}}</v>
      </c>
      <c r="T1472" s="148">
        <f>IFERROR(__xludf.DUMMYFUNCTION("""COMPUTED_VALUE"""),-1.0)</f>
        <v>-1</v>
      </c>
      <c r="U1472" s="148">
        <f>IFERROR(__xludf.DUMMYFUNCTION("""COMPUTED_VALUE"""),0.0)</f>
        <v>0</v>
      </c>
      <c r="V1472" s="148" t="str">
        <f>IFERROR(__xludf.DUMMYFUNCTION("""COMPUTED_VALUE"""),"[]")</f>
        <v>[]</v>
      </c>
      <c r="W1472" s="148">
        <f>IFERROR(__xludf.DUMMYFUNCTION("""COMPUTED_VALUE"""),1.1741004E7)</f>
        <v>11741004</v>
      </c>
      <c r="X1472" s="148">
        <f>IFERROR(__xludf.DUMMYFUNCTION("""COMPUTED_VALUE"""),0.0)</f>
        <v>0</v>
      </c>
      <c r="Y1472" s="148">
        <f>IFERROR(__xludf.DUMMYFUNCTION("""COMPUTED_VALUE"""),0.0)</f>
        <v>0</v>
      </c>
      <c r="Z1472" s="148"/>
    </row>
    <row r="1473">
      <c r="A1473" s="148">
        <f>IFERROR(__xludf.DUMMYFUNCTION("""COMPUTED_VALUE"""),1.1117114E7)</f>
        <v>11117114</v>
      </c>
      <c r="B1473" s="148" t="str">
        <f>IFERROR(__xludf.DUMMYFUNCTION("""COMPUTED_VALUE"""),"先锋装备图纸箱")</f>
        <v>先锋装备图纸箱</v>
      </c>
      <c r="C1473" s="148"/>
      <c r="D1473" s="148" t="str">
        <f>IFERROR(__xludf.DUMMYFUNCTION("""COMPUTED_VALUE"""),"heroarms_box")</f>
        <v>heroarms_box</v>
      </c>
      <c r="E1473" s="148">
        <f>IFERROR(__xludf.DUMMYFUNCTION("""COMPUTED_VALUE"""),0.0)</f>
        <v>0</v>
      </c>
      <c r="F1473" s="148">
        <f>IFERROR(__xludf.DUMMYFUNCTION("""COMPUTED_VALUE"""),403208.0)</f>
        <v>403208</v>
      </c>
      <c r="G1473" s="148">
        <f>IFERROR(__xludf.DUMMYFUNCTION("""COMPUTED_VALUE"""),1.5116855E7)</f>
        <v>15116855</v>
      </c>
      <c r="H1473" s="148">
        <f>IFERROR(__xludf.DUMMYFUNCTION("""COMPUTED_VALUE"""),1.5112563E7)</f>
        <v>15112563</v>
      </c>
      <c r="I1473" s="148" t="str">
        <f>IFERROR(__xludf.DUMMYFUNCTION("""COMPUTED_VALUE"""),"{}")</f>
        <v>{}</v>
      </c>
      <c r="J1473" s="148" t="str">
        <f>IFERROR(__xludf.DUMMYFUNCTION("""COMPUTED_VALUE"""),"{""typ"":""lc"",""txt"":""LC_HERO_equipment_blueprint_box3""}")</f>
        <v>{"typ":"lc","txt":"LC_HERO_equipment_blueprint_box3"}</v>
      </c>
      <c r="K1473" s="148" t="str">
        <f>IFERROR(__xludf.DUMMYFUNCTION("""COMPUTED_VALUE"""),"{""typ"":""lc"",""txt"":""LC_HERO_equipment_blueprint_box_desc3""}")</f>
        <v>{"typ":"lc","txt":"LC_HERO_equipment_blueprint_box_desc3"}</v>
      </c>
      <c r="L1473" s="148" t="str">
        <f>IFERROR(__xludf.DUMMYFUNCTION("""COMPUTED_VALUE"""),"{}")</f>
        <v>{}</v>
      </c>
      <c r="M1473" s="148">
        <f>IFERROR(__xludf.DUMMYFUNCTION("""COMPUTED_VALUE"""),250.0)</f>
        <v>250</v>
      </c>
      <c r="N1473" s="148">
        <f>IFERROR(__xludf.DUMMYFUNCTION("""COMPUTED_VALUE"""),9999999.0)</f>
        <v>9999999</v>
      </c>
      <c r="O1473" s="148">
        <f>IFERROR(__xludf.DUMMYFUNCTION("""COMPUTED_VALUE"""),99999.0)</f>
        <v>99999</v>
      </c>
      <c r="P1473" s="148">
        <f>IFERROR(__xludf.DUMMYFUNCTION("""COMPUTED_VALUE"""),99999.0)</f>
        <v>99999</v>
      </c>
      <c r="Q1473" s="148" t="str">
        <f>IFERROR(__xludf.DUMMYFUNCTION("""COMPUTED_VALUE"""),"[""bag_other""]")</f>
        <v>["bag_other"]</v>
      </c>
      <c r="R1473" s="148" t="str">
        <f>IFERROR(__xludf.DUMMYFUNCTION("""COMPUTED_VALUE"""),"[""bag""]")</f>
        <v>["bag"]</v>
      </c>
      <c r="S1473" s="148" t="str">
        <f>IFERROR(__xludf.DUMMYFUNCTION("""COMPUTED_VALUE"""),"{""drop"":{""typ"":""single_random"",""num"":1,""args"":[{""typ"":""blueprint"",""id"":19343001,""num"":1,""wgt"":100},{""typ"":""blueprint"",""id"":19343002,""num"":1,""wgt"":100},{""typ"":""blueprint"",""id"":19343003,""num"":1,""wgt"":100},{""typ"":""b"&amp;"lueprint"",""id"":19343004,""num"":1,""wgt"":100}]}}")</f>
        <v>{"drop":{"typ":"single_random","num":1,"args":[{"typ":"blueprint","id":19343001,"num":1,"wgt":100},{"typ":"blueprint","id":19343002,"num":1,"wgt":100},{"typ":"blueprint","id":19343003,"num":1,"wgt":100},{"typ":"blueprint","id":19343004,"num":1,"wgt":100}]}}</v>
      </c>
      <c r="T1473" s="148">
        <f>IFERROR(__xludf.DUMMYFUNCTION("""COMPUTED_VALUE"""),-1.0)</f>
        <v>-1</v>
      </c>
      <c r="U1473" s="148">
        <f>IFERROR(__xludf.DUMMYFUNCTION("""COMPUTED_VALUE"""),0.0)</f>
        <v>0</v>
      </c>
      <c r="V1473" s="148" t="str">
        <f>IFERROR(__xludf.DUMMYFUNCTION("""COMPUTED_VALUE"""),"[]")</f>
        <v>[]</v>
      </c>
      <c r="W1473" s="148">
        <f>IFERROR(__xludf.DUMMYFUNCTION("""COMPUTED_VALUE"""),1.1741004E7)</f>
        <v>11741004</v>
      </c>
      <c r="X1473" s="148">
        <f>IFERROR(__xludf.DUMMYFUNCTION("""COMPUTED_VALUE"""),0.0)</f>
        <v>0</v>
      </c>
      <c r="Y1473" s="148">
        <f>IFERROR(__xludf.DUMMYFUNCTION("""COMPUTED_VALUE"""),0.0)</f>
        <v>0</v>
      </c>
      <c r="Z1473" s="148"/>
    </row>
    <row r="1474">
      <c r="A1474" s="148">
        <f>IFERROR(__xludf.DUMMYFUNCTION("""COMPUTED_VALUE"""),1.1117115E7)</f>
        <v>11117115</v>
      </c>
      <c r="B1474" s="148" t="str">
        <f>IFERROR(__xludf.DUMMYFUNCTION("""COMPUTED_VALUE"""),"绝地装备图纸箱")</f>
        <v>绝地装备图纸箱</v>
      </c>
      <c r="C1474" s="148"/>
      <c r="D1474" s="148" t="str">
        <f>IFERROR(__xludf.DUMMYFUNCTION("""COMPUTED_VALUE"""),"heroarms_box")</f>
        <v>heroarms_box</v>
      </c>
      <c r="E1474" s="148">
        <f>IFERROR(__xludf.DUMMYFUNCTION("""COMPUTED_VALUE"""),0.0)</f>
        <v>0</v>
      </c>
      <c r="F1474" s="148">
        <f>IFERROR(__xludf.DUMMYFUNCTION("""COMPUTED_VALUE"""),403207.0)</f>
        <v>403207</v>
      </c>
      <c r="G1474" s="148">
        <f>IFERROR(__xludf.DUMMYFUNCTION("""COMPUTED_VALUE"""),1.5116855E7)</f>
        <v>15116855</v>
      </c>
      <c r="H1474" s="148">
        <f>IFERROR(__xludf.DUMMYFUNCTION("""COMPUTED_VALUE"""),1.5112563E7)</f>
        <v>15112563</v>
      </c>
      <c r="I1474" s="148" t="str">
        <f>IFERROR(__xludf.DUMMYFUNCTION("""COMPUTED_VALUE"""),"{}")</f>
        <v>{}</v>
      </c>
      <c r="J1474" s="148" t="str">
        <f>IFERROR(__xludf.DUMMYFUNCTION("""COMPUTED_VALUE"""),"{""typ"":""lc"",""txt"":""LC_HERO_equipment_blueprint_box4""}")</f>
        <v>{"typ":"lc","txt":"LC_HERO_equipment_blueprint_box4"}</v>
      </c>
      <c r="K1474" s="148" t="str">
        <f>IFERROR(__xludf.DUMMYFUNCTION("""COMPUTED_VALUE"""),"{""typ"":""lc"",""txt"":""LC_HERO_equipment_blueprint_box_desc4""}")</f>
        <v>{"typ":"lc","txt":"LC_HERO_equipment_blueprint_box_desc4"}</v>
      </c>
      <c r="L1474" s="148" t="str">
        <f>IFERROR(__xludf.DUMMYFUNCTION("""COMPUTED_VALUE"""),"{}")</f>
        <v>{}</v>
      </c>
      <c r="M1474" s="148">
        <f>IFERROR(__xludf.DUMMYFUNCTION("""COMPUTED_VALUE"""),250.0)</f>
        <v>250</v>
      </c>
      <c r="N1474" s="148">
        <f>IFERROR(__xludf.DUMMYFUNCTION("""COMPUTED_VALUE"""),9999999.0)</f>
        <v>9999999</v>
      </c>
      <c r="O1474" s="148">
        <f>IFERROR(__xludf.DUMMYFUNCTION("""COMPUTED_VALUE"""),99999.0)</f>
        <v>99999</v>
      </c>
      <c r="P1474" s="148">
        <f>IFERROR(__xludf.DUMMYFUNCTION("""COMPUTED_VALUE"""),99999.0)</f>
        <v>99999</v>
      </c>
      <c r="Q1474" s="148" t="str">
        <f>IFERROR(__xludf.DUMMYFUNCTION("""COMPUTED_VALUE"""),"[""bag_other""]")</f>
        <v>["bag_other"]</v>
      </c>
      <c r="R1474" s="148" t="str">
        <f>IFERROR(__xludf.DUMMYFUNCTION("""COMPUTED_VALUE"""),"[""bag""]")</f>
        <v>["bag"]</v>
      </c>
      <c r="S1474" s="148" t="str">
        <f>IFERROR(__xludf.DUMMYFUNCTION("""COMPUTED_VALUE"""),"{""drop"":{""typ"":""single_random"",""num"":1,""args"":[{""typ"":""blueprint"",""id"":19343011,""num"":1,""wgt"":100},{""typ"":""blueprint"",""id"":19343012,""num"":1,""wgt"":100},{""typ"":""blueprint"",""id"":19343013,""num"":1,""wgt"":100},{""typ"":""b"&amp;"lueprint"",""id"":19343014,""num"":1,""wgt"":100}]}}")</f>
        <v>{"drop":{"typ":"single_random","num":1,"args":[{"typ":"blueprint","id":19343011,"num":1,"wgt":100},{"typ":"blueprint","id":19343012,"num":1,"wgt":100},{"typ":"blueprint","id":19343013,"num":1,"wgt":100},{"typ":"blueprint","id":19343014,"num":1,"wgt":100}]}}</v>
      </c>
      <c r="T1474" s="148">
        <f>IFERROR(__xludf.DUMMYFUNCTION("""COMPUTED_VALUE"""),-1.0)</f>
        <v>-1</v>
      </c>
      <c r="U1474" s="148">
        <f>IFERROR(__xludf.DUMMYFUNCTION("""COMPUTED_VALUE"""),0.0)</f>
        <v>0</v>
      </c>
      <c r="V1474" s="148" t="str">
        <f>IFERROR(__xludf.DUMMYFUNCTION("""COMPUTED_VALUE"""),"[]")</f>
        <v>[]</v>
      </c>
      <c r="W1474" s="148">
        <f>IFERROR(__xludf.DUMMYFUNCTION("""COMPUTED_VALUE"""),1.1741004E7)</f>
        <v>11741004</v>
      </c>
      <c r="X1474" s="148">
        <f>IFERROR(__xludf.DUMMYFUNCTION("""COMPUTED_VALUE"""),0.0)</f>
        <v>0</v>
      </c>
      <c r="Y1474" s="148">
        <f>IFERROR(__xludf.DUMMYFUNCTION("""COMPUTED_VALUE"""),0.0)</f>
        <v>0</v>
      </c>
      <c r="Z1474" s="148"/>
    </row>
    <row r="1475">
      <c r="A1475" s="148">
        <f>IFERROR(__xludf.DUMMYFUNCTION("""COMPUTED_VALUE"""),1.1117116E7)</f>
        <v>11117116</v>
      </c>
      <c r="B1475" s="148" t="str">
        <f>IFERROR(__xludf.DUMMYFUNCTION("""COMPUTED_VALUE"""),"尖端装备图纸箱")</f>
        <v>尖端装备图纸箱</v>
      </c>
      <c r="C1475" s="148"/>
      <c r="D1475" s="148" t="str">
        <f>IFERROR(__xludf.DUMMYFUNCTION("""COMPUTED_VALUE"""),"heroarms_box")</f>
        <v>heroarms_box</v>
      </c>
      <c r="E1475" s="148">
        <f>IFERROR(__xludf.DUMMYFUNCTION("""COMPUTED_VALUE"""),0.0)</f>
        <v>0</v>
      </c>
      <c r="F1475" s="148">
        <f>IFERROR(__xludf.DUMMYFUNCTION("""COMPUTED_VALUE"""),403106.0)</f>
        <v>403106</v>
      </c>
      <c r="G1475" s="148">
        <f>IFERROR(__xludf.DUMMYFUNCTION("""COMPUTED_VALUE"""),1.5116702E7)</f>
        <v>15116702</v>
      </c>
      <c r="H1475" s="148">
        <f>IFERROR(__xludf.DUMMYFUNCTION("""COMPUTED_VALUE"""),1.5112564E7)</f>
        <v>15112564</v>
      </c>
      <c r="I1475" s="148" t="str">
        <f>IFERROR(__xludf.DUMMYFUNCTION("""COMPUTED_VALUE"""),"{}")</f>
        <v>{}</v>
      </c>
      <c r="J1475" s="148" t="str">
        <f>IFERROR(__xludf.DUMMYFUNCTION("""COMPUTED_VALUE"""),"{""typ"":""lc"",""txt"":""LC_HERO_equipment_blueprint_box5""}")</f>
        <v>{"typ":"lc","txt":"LC_HERO_equipment_blueprint_box5"}</v>
      </c>
      <c r="K1475" s="148" t="str">
        <f>IFERROR(__xludf.DUMMYFUNCTION("""COMPUTED_VALUE"""),"{""typ"":""lc"",""txt"":""LC_HERO_equipment_blueprint_box_desc5""}")</f>
        <v>{"typ":"lc","txt":"LC_HERO_equipment_blueprint_box_desc5"}</v>
      </c>
      <c r="L1475" s="148" t="str">
        <f>IFERROR(__xludf.DUMMYFUNCTION("""COMPUTED_VALUE"""),"{}")</f>
        <v>{}</v>
      </c>
      <c r="M1475" s="148">
        <f>IFERROR(__xludf.DUMMYFUNCTION("""COMPUTED_VALUE"""),500.0)</f>
        <v>500</v>
      </c>
      <c r="N1475" s="148">
        <f>IFERROR(__xludf.DUMMYFUNCTION("""COMPUTED_VALUE"""),9999999.0)</f>
        <v>9999999</v>
      </c>
      <c r="O1475" s="148">
        <f>IFERROR(__xludf.DUMMYFUNCTION("""COMPUTED_VALUE"""),99999.0)</f>
        <v>99999</v>
      </c>
      <c r="P1475" s="148">
        <f>IFERROR(__xludf.DUMMYFUNCTION("""COMPUTED_VALUE"""),99999.0)</f>
        <v>99999</v>
      </c>
      <c r="Q1475" s="148" t="str">
        <f>IFERROR(__xludf.DUMMYFUNCTION("""COMPUTED_VALUE"""),"[""bag_other""]")</f>
        <v>["bag_other"]</v>
      </c>
      <c r="R1475" s="148" t="str">
        <f>IFERROR(__xludf.DUMMYFUNCTION("""COMPUTED_VALUE"""),"[""bag""]")</f>
        <v>["bag"]</v>
      </c>
      <c r="S1475" s="148" t="str">
        <f>IFERROR(__xludf.DUMMYFUNCTION("""COMPUTED_VALUE"""),"{""drop"":{""typ"":""single_random"",""num"":1,""args"":[{""typ"":""blueprint"",""id"":19344001,""num"":1,""wgt"":100},{""typ"":""blueprint"",""id"":19344002,""num"":1,""wgt"":100},{""typ"":""blueprint"",""id"":19344003,""num"":1,""wgt"":100},{""typ"":""b"&amp;"lueprint"",""id"":19344004,""num"":1,""wgt"":100}]}}")</f>
        <v>{"drop":{"typ":"single_random","num":1,"args":[{"typ":"blueprint","id":19344001,"num":1,"wgt":100},{"typ":"blueprint","id":19344002,"num":1,"wgt":100},{"typ":"blueprint","id":19344003,"num":1,"wgt":100},{"typ":"blueprint","id":19344004,"num":1,"wgt":100}]}}</v>
      </c>
      <c r="T1475" s="148">
        <f>IFERROR(__xludf.DUMMYFUNCTION("""COMPUTED_VALUE"""),-1.0)</f>
        <v>-1</v>
      </c>
      <c r="U1475" s="148">
        <f>IFERROR(__xludf.DUMMYFUNCTION("""COMPUTED_VALUE"""),0.0)</f>
        <v>0</v>
      </c>
      <c r="V1475" s="148" t="str">
        <f>IFERROR(__xludf.DUMMYFUNCTION("""COMPUTED_VALUE"""),"[]")</f>
        <v>[]</v>
      </c>
      <c r="W1475" s="148">
        <f>IFERROR(__xludf.DUMMYFUNCTION("""COMPUTED_VALUE"""),1.1741004E7)</f>
        <v>11741004</v>
      </c>
      <c r="X1475" s="148">
        <f>IFERROR(__xludf.DUMMYFUNCTION("""COMPUTED_VALUE"""),0.0)</f>
        <v>0</v>
      </c>
      <c r="Y1475" s="148">
        <f>IFERROR(__xludf.DUMMYFUNCTION("""COMPUTED_VALUE"""),0.0)</f>
        <v>0</v>
      </c>
      <c r="Z1475" s="148"/>
    </row>
    <row r="1476">
      <c r="A1476" s="148">
        <f>IFERROR(__xludf.DUMMYFUNCTION("""COMPUTED_VALUE"""),1.1117117E7)</f>
        <v>11117117</v>
      </c>
      <c r="B1476" s="148" t="str">
        <f>IFERROR(__xludf.DUMMYFUNCTION("""COMPUTED_VALUE"""),"勇士装备图纸碎片箱")</f>
        <v>勇士装备图纸碎片箱</v>
      </c>
      <c r="C1476" s="148"/>
      <c r="D1476" s="148" t="str">
        <f>IFERROR(__xludf.DUMMYFUNCTION("""COMPUTED_VALUE"""),"heroarms_box")</f>
        <v>heroarms_box</v>
      </c>
      <c r="E1476" s="148">
        <f>IFERROR(__xludf.DUMMYFUNCTION("""COMPUTED_VALUE"""),0.0)</f>
        <v>0</v>
      </c>
      <c r="F1476" s="148">
        <f>IFERROR(__xludf.DUMMYFUNCTION("""COMPUTED_VALUE"""),403405.0)</f>
        <v>403405</v>
      </c>
      <c r="G1476" s="148">
        <f>IFERROR(__xludf.DUMMYFUNCTION("""COMPUTED_VALUE"""),1.5116852E7)</f>
        <v>15116852</v>
      </c>
      <c r="H1476" s="148">
        <f>IFERROR(__xludf.DUMMYFUNCTION("""COMPUTED_VALUE"""),1.5112561E7)</f>
        <v>15112561</v>
      </c>
      <c r="I1476" s="148" t="str">
        <f>IFERROR(__xludf.DUMMYFUNCTION("""COMPUTED_VALUE"""),"{}")</f>
        <v>{}</v>
      </c>
      <c r="J1476" s="148" t="str">
        <f>IFERROR(__xludf.DUMMYFUNCTION("""COMPUTED_VALUE"""),"{""typ"":""lc"",""txt"":""LC_HERO_equipment_puzzle_box1""}")</f>
        <v>{"typ":"lc","txt":"LC_HERO_equipment_puzzle_box1"}</v>
      </c>
      <c r="K1476" s="148" t="str">
        <f>IFERROR(__xludf.DUMMYFUNCTION("""COMPUTED_VALUE"""),"{""typ"":""lc"",""txt"":""LC_HERO_equipment_puzzle_box_desc1""}")</f>
        <v>{"typ":"lc","txt":"LC_HERO_equipment_puzzle_box_desc1"}</v>
      </c>
      <c r="L1476" s="148" t="str">
        <f>IFERROR(__xludf.DUMMYFUNCTION("""COMPUTED_VALUE"""),"{}")</f>
        <v>{}</v>
      </c>
      <c r="M1476" s="148">
        <f>IFERROR(__xludf.DUMMYFUNCTION("""COMPUTED_VALUE"""),6.0)</f>
        <v>6</v>
      </c>
      <c r="N1476" s="148">
        <f>IFERROR(__xludf.DUMMYFUNCTION("""COMPUTED_VALUE"""),9999999.0)</f>
        <v>9999999</v>
      </c>
      <c r="O1476" s="148">
        <f>IFERROR(__xludf.DUMMYFUNCTION("""COMPUTED_VALUE"""),99999.0)</f>
        <v>99999</v>
      </c>
      <c r="P1476" s="148">
        <f>IFERROR(__xludf.DUMMYFUNCTION("""COMPUTED_VALUE"""),99999.0)</f>
        <v>99999</v>
      </c>
      <c r="Q1476" s="148" t="str">
        <f>IFERROR(__xludf.DUMMYFUNCTION("""COMPUTED_VALUE"""),"[""bag_other""]")</f>
        <v>["bag_other"]</v>
      </c>
      <c r="R1476" s="148" t="str">
        <f>IFERROR(__xludf.DUMMYFUNCTION("""COMPUTED_VALUE"""),"[""bag""]")</f>
        <v>["bag"]</v>
      </c>
      <c r="S1476" s="148" t="str">
        <f>IFERROR(__xludf.DUMMYFUNCTION("""COMPUTED_VALUE"""),"{""drop"":{""typ"":""single_random"",""num"":1,""args"":[{""typ"":""puzzle"",""id"":19346001,""num"":1,""wgt"":100},{""typ"":""puzzle"",""id"":19346002,""num"":1,""wgt"":100},{""typ"":""puzzle"",""id"":19346003,""num"":1,""wgt"":100},{""typ"":""puzzle"","&amp;"""id"":19346004,""num"":1,""wgt"":100}]}}")</f>
        <v>{"drop":{"typ":"single_random","num":1,"args":[{"typ":"puzzle","id":19346001,"num":1,"wgt":100},{"typ":"puzzle","id":19346002,"num":1,"wgt":100},{"typ":"puzzle","id":19346003,"num":1,"wgt":100},{"typ":"puzzle","id":19346004,"num":1,"wgt":100}]}}</v>
      </c>
      <c r="T1476" s="148">
        <f>IFERROR(__xludf.DUMMYFUNCTION("""COMPUTED_VALUE"""),-1.0)</f>
        <v>-1</v>
      </c>
      <c r="U1476" s="148">
        <f>IFERROR(__xludf.DUMMYFUNCTION("""COMPUTED_VALUE"""),0.0)</f>
        <v>0</v>
      </c>
      <c r="V1476" s="148" t="str">
        <f>IFERROR(__xludf.DUMMYFUNCTION("""COMPUTED_VALUE"""),"[]")</f>
        <v>[]</v>
      </c>
      <c r="W1476" s="148">
        <f>IFERROR(__xludf.DUMMYFUNCTION("""COMPUTED_VALUE"""),1.1741004E7)</f>
        <v>11741004</v>
      </c>
      <c r="X1476" s="148">
        <f>IFERROR(__xludf.DUMMYFUNCTION("""COMPUTED_VALUE"""),0.0)</f>
        <v>0</v>
      </c>
      <c r="Y1476" s="148">
        <f>IFERROR(__xludf.DUMMYFUNCTION("""COMPUTED_VALUE"""),0.0)</f>
        <v>0</v>
      </c>
      <c r="Z1476" s="148"/>
    </row>
    <row r="1477">
      <c r="A1477" s="148">
        <f>IFERROR(__xludf.DUMMYFUNCTION("""COMPUTED_VALUE"""),1.1117118E7)</f>
        <v>11117118</v>
      </c>
      <c r="B1477" s="148" t="str">
        <f>IFERROR(__xludf.DUMMYFUNCTION("""COMPUTED_VALUE"""),"精英装备图纸碎片箱")</f>
        <v>精英装备图纸碎片箱</v>
      </c>
      <c r="C1477" s="148"/>
      <c r="D1477" s="148" t="str">
        <f>IFERROR(__xludf.DUMMYFUNCTION("""COMPUTED_VALUE"""),"heroarms_box")</f>
        <v>heroarms_box</v>
      </c>
      <c r="E1477" s="148">
        <f>IFERROR(__xludf.DUMMYFUNCTION("""COMPUTED_VALUE"""),0.0)</f>
        <v>0</v>
      </c>
      <c r="F1477" s="148">
        <f>IFERROR(__xludf.DUMMYFUNCTION("""COMPUTED_VALUE"""),403304.0)</f>
        <v>403304</v>
      </c>
      <c r="G1477" s="148">
        <f>IFERROR(__xludf.DUMMYFUNCTION("""COMPUTED_VALUE"""),1.5116854E7)</f>
        <v>15116854</v>
      </c>
      <c r="H1477" s="148">
        <f>IFERROR(__xludf.DUMMYFUNCTION("""COMPUTED_VALUE"""),1.5112562E7)</f>
        <v>15112562</v>
      </c>
      <c r="I1477" s="148" t="str">
        <f>IFERROR(__xludf.DUMMYFUNCTION("""COMPUTED_VALUE"""),"{}")</f>
        <v>{}</v>
      </c>
      <c r="J1477" s="148" t="str">
        <f>IFERROR(__xludf.DUMMYFUNCTION("""COMPUTED_VALUE"""),"{""typ"":""lc"",""txt"":""LC_HERO_equipment_puzzle_box2""}")</f>
        <v>{"typ":"lc","txt":"LC_HERO_equipment_puzzle_box2"}</v>
      </c>
      <c r="K1477" s="148" t="str">
        <f>IFERROR(__xludf.DUMMYFUNCTION("""COMPUTED_VALUE"""),"{""typ"":""lc"",""txt"":""LC_HERO_equipment_puzzle_box_desc2""}")</f>
        <v>{"typ":"lc","txt":"LC_HERO_equipment_puzzle_box_desc2"}</v>
      </c>
      <c r="L1477" s="148" t="str">
        <f>IFERROR(__xludf.DUMMYFUNCTION("""COMPUTED_VALUE"""),"{}")</f>
        <v>{}</v>
      </c>
      <c r="M1477" s="148">
        <f>IFERROR(__xludf.DUMMYFUNCTION("""COMPUTED_VALUE"""),12.0)</f>
        <v>12</v>
      </c>
      <c r="N1477" s="148">
        <f>IFERROR(__xludf.DUMMYFUNCTION("""COMPUTED_VALUE"""),9999999.0)</f>
        <v>9999999</v>
      </c>
      <c r="O1477" s="148">
        <f>IFERROR(__xludf.DUMMYFUNCTION("""COMPUTED_VALUE"""),99999.0)</f>
        <v>99999</v>
      </c>
      <c r="P1477" s="148">
        <f>IFERROR(__xludf.DUMMYFUNCTION("""COMPUTED_VALUE"""),99999.0)</f>
        <v>99999</v>
      </c>
      <c r="Q1477" s="148" t="str">
        <f>IFERROR(__xludf.DUMMYFUNCTION("""COMPUTED_VALUE"""),"[""bag_other""]")</f>
        <v>["bag_other"]</v>
      </c>
      <c r="R1477" s="148" t="str">
        <f>IFERROR(__xludf.DUMMYFUNCTION("""COMPUTED_VALUE"""),"[""bag""]")</f>
        <v>["bag"]</v>
      </c>
      <c r="S1477" s="148" t="str">
        <f>IFERROR(__xludf.DUMMYFUNCTION("""COMPUTED_VALUE"""),"{""drop"":{""typ"":""single_random"",""num"":1,""args"":[{""typ"":""puzzle"",""id"":19347001,""num"":1,""wgt"":100},{""typ"":""puzzle"",""id"":19347002,""num"":1,""wgt"":100},{""typ"":""puzzle"",""id"":19347003,""num"":1,""wgt"":100},{""typ"":""puzzle"","&amp;"""id"":19347004,""num"":1,""wgt"":100}]}}")</f>
        <v>{"drop":{"typ":"single_random","num":1,"args":[{"typ":"puzzle","id":19347001,"num":1,"wgt":100},{"typ":"puzzle","id":19347002,"num":1,"wgt":100},{"typ":"puzzle","id":19347003,"num":1,"wgt":100},{"typ":"puzzle","id":19347004,"num":1,"wgt":100}]}}</v>
      </c>
      <c r="T1477" s="148">
        <f>IFERROR(__xludf.DUMMYFUNCTION("""COMPUTED_VALUE"""),-1.0)</f>
        <v>-1</v>
      </c>
      <c r="U1477" s="148">
        <f>IFERROR(__xludf.DUMMYFUNCTION("""COMPUTED_VALUE"""),0.0)</f>
        <v>0</v>
      </c>
      <c r="V1477" s="148" t="str">
        <f>IFERROR(__xludf.DUMMYFUNCTION("""COMPUTED_VALUE"""),"[]")</f>
        <v>[]</v>
      </c>
      <c r="W1477" s="148">
        <f>IFERROR(__xludf.DUMMYFUNCTION("""COMPUTED_VALUE"""),1.1741004E7)</f>
        <v>11741004</v>
      </c>
      <c r="X1477" s="148">
        <f>IFERROR(__xludf.DUMMYFUNCTION("""COMPUTED_VALUE"""),0.0)</f>
        <v>0</v>
      </c>
      <c r="Y1477" s="148">
        <f>IFERROR(__xludf.DUMMYFUNCTION("""COMPUTED_VALUE"""),0.0)</f>
        <v>0</v>
      </c>
      <c r="Z1477" s="148"/>
    </row>
    <row r="1478">
      <c r="A1478" s="148">
        <f>IFERROR(__xludf.DUMMYFUNCTION("""COMPUTED_VALUE"""),1.1117119E7)</f>
        <v>11117119</v>
      </c>
      <c r="B1478" s="148" t="str">
        <f>IFERROR(__xludf.DUMMYFUNCTION("""COMPUTED_VALUE"""),"先锋装备图纸碎片箱")</f>
        <v>先锋装备图纸碎片箱</v>
      </c>
      <c r="C1478" s="148"/>
      <c r="D1478" s="148" t="str">
        <f>IFERROR(__xludf.DUMMYFUNCTION("""COMPUTED_VALUE"""),"heroarms_box")</f>
        <v>heroarms_box</v>
      </c>
      <c r="E1478" s="148">
        <f>IFERROR(__xludf.DUMMYFUNCTION("""COMPUTED_VALUE"""),0.0)</f>
        <v>0</v>
      </c>
      <c r="F1478" s="148">
        <f>IFERROR(__xludf.DUMMYFUNCTION("""COMPUTED_VALUE"""),403203.0)</f>
        <v>403203</v>
      </c>
      <c r="G1478" s="148">
        <f>IFERROR(__xludf.DUMMYFUNCTION("""COMPUTED_VALUE"""),1.5116856E7)</f>
        <v>15116856</v>
      </c>
      <c r="H1478" s="148">
        <f>IFERROR(__xludf.DUMMYFUNCTION("""COMPUTED_VALUE"""),1.5112563E7)</f>
        <v>15112563</v>
      </c>
      <c r="I1478" s="148" t="str">
        <f>IFERROR(__xludf.DUMMYFUNCTION("""COMPUTED_VALUE"""),"{}")</f>
        <v>{}</v>
      </c>
      <c r="J1478" s="148" t="str">
        <f>IFERROR(__xludf.DUMMYFUNCTION("""COMPUTED_VALUE"""),"{""typ"":""lc"",""txt"":""LC_HERO_equipment_puzzle_box3""}")</f>
        <v>{"typ":"lc","txt":"LC_HERO_equipment_puzzle_box3"}</v>
      </c>
      <c r="K1478" s="148" t="str">
        <f>IFERROR(__xludf.DUMMYFUNCTION("""COMPUTED_VALUE"""),"{""typ"":""lc"",""txt"":""LC_HERO_equipment_puzzle_box_desc3""}")</f>
        <v>{"typ":"lc","txt":"LC_HERO_equipment_puzzle_box_desc3"}</v>
      </c>
      <c r="L1478" s="148" t="str">
        <f>IFERROR(__xludf.DUMMYFUNCTION("""COMPUTED_VALUE"""),"{}")</f>
        <v>{}</v>
      </c>
      <c r="M1478" s="148">
        <f>IFERROR(__xludf.DUMMYFUNCTION("""COMPUTED_VALUE"""),25.0)</f>
        <v>25</v>
      </c>
      <c r="N1478" s="148">
        <f>IFERROR(__xludf.DUMMYFUNCTION("""COMPUTED_VALUE"""),9999999.0)</f>
        <v>9999999</v>
      </c>
      <c r="O1478" s="148">
        <f>IFERROR(__xludf.DUMMYFUNCTION("""COMPUTED_VALUE"""),99999.0)</f>
        <v>99999</v>
      </c>
      <c r="P1478" s="148">
        <f>IFERROR(__xludf.DUMMYFUNCTION("""COMPUTED_VALUE"""),99999.0)</f>
        <v>99999</v>
      </c>
      <c r="Q1478" s="148" t="str">
        <f>IFERROR(__xludf.DUMMYFUNCTION("""COMPUTED_VALUE"""),"[""bag_other""]")</f>
        <v>["bag_other"]</v>
      </c>
      <c r="R1478" s="148" t="str">
        <f>IFERROR(__xludf.DUMMYFUNCTION("""COMPUTED_VALUE"""),"[""bag""]")</f>
        <v>["bag"]</v>
      </c>
      <c r="S1478" s="148" t="str">
        <f>IFERROR(__xludf.DUMMYFUNCTION("""COMPUTED_VALUE"""),"{""drop"":{""typ"":""single_random"",""num"":1,""args"":[{""typ"":""puzzle"",""id"":19348001,""num"":1,""wgt"":100},{""typ"":""puzzle"",""id"":19348002,""num"":1,""wgt"":100},{""typ"":""puzzle"",""id"":19348003,""num"":1,""wgt"":100},{""typ"":""puzzle"","&amp;"""id"":19348004,""num"":1,""wgt"":100}]}}")</f>
        <v>{"drop":{"typ":"single_random","num":1,"args":[{"typ":"puzzle","id":19348001,"num":1,"wgt":100},{"typ":"puzzle","id":19348002,"num":1,"wgt":100},{"typ":"puzzle","id":19348003,"num":1,"wgt":100},{"typ":"puzzle","id":19348004,"num":1,"wgt":100}]}}</v>
      </c>
      <c r="T1478" s="148">
        <f>IFERROR(__xludf.DUMMYFUNCTION("""COMPUTED_VALUE"""),-1.0)</f>
        <v>-1</v>
      </c>
      <c r="U1478" s="148">
        <f>IFERROR(__xludf.DUMMYFUNCTION("""COMPUTED_VALUE"""),0.0)</f>
        <v>0</v>
      </c>
      <c r="V1478" s="148" t="str">
        <f>IFERROR(__xludf.DUMMYFUNCTION("""COMPUTED_VALUE"""),"[]")</f>
        <v>[]</v>
      </c>
      <c r="W1478" s="148">
        <f>IFERROR(__xludf.DUMMYFUNCTION("""COMPUTED_VALUE"""),1.1741004E7)</f>
        <v>11741004</v>
      </c>
      <c r="X1478" s="148">
        <f>IFERROR(__xludf.DUMMYFUNCTION("""COMPUTED_VALUE"""),0.0)</f>
        <v>0</v>
      </c>
      <c r="Y1478" s="148">
        <f>IFERROR(__xludf.DUMMYFUNCTION("""COMPUTED_VALUE"""),0.0)</f>
        <v>0</v>
      </c>
      <c r="Z1478" s="148"/>
    </row>
    <row r="1479">
      <c r="A1479" s="148">
        <f>IFERROR(__xludf.DUMMYFUNCTION("""COMPUTED_VALUE"""),1.111712E7)</f>
        <v>11117120</v>
      </c>
      <c r="B1479" s="148" t="str">
        <f>IFERROR(__xludf.DUMMYFUNCTION("""COMPUTED_VALUE"""),"绝地装备图纸碎片箱")</f>
        <v>绝地装备图纸碎片箱</v>
      </c>
      <c r="C1479" s="148"/>
      <c r="D1479" s="148" t="str">
        <f>IFERROR(__xludf.DUMMYFUNCTION("""COMPUTED_VALUE"""),"heroarms_box")</f>
        <v>heroarms_box</v>
      </c>
      <c r="E1479" s="148">
        <f>IFERROR(__xludf.DUMMYFUNCTION("""COMPUTED_VALUE"""),0.0)</f>
        <v>0</v>
      </c>
      <c r="F1479" s="148">
        <f>IFERROR(__xludf.DUMMYFUNCTION("""COMPUTED_VALUE"""),403202.0)</f>
        <v>403202</v>
      </c>
      <c r="G1479" s="148">
        <f>IFERROR(__xludf.DUMMYFUNCTION("""COMPUTED_VALUE"""),1.5116856E7)</f>
        <v>15116856</v>
      </c>
      <c r="H1479" s="148">
        <f>IFERROR(__xludf.DUMMYFUNCTION("""COMPUTED_VALUE"""),1.5112563E7)</f>
        <v>15112563</v>
      </c>
      <c r="I1479" s="148" t="str">
        <f>IFERROR(__xludf.DUMMYFUNCTION("""COMPUTED_VALUE"""),"{}")</f>
        <v>{}</v>
      </c>
      <c r="J1479" s="148" t="str">
        <f>IFERROR(__xludf.DUMMYFUNCTION("""COMPUTED_VALUE"""),"{""typ"":""lc"",""txt"":""LC_HERO_equipment_puzzle_box4""}")</f>
        <v>{"typ":"lc","txt":"LC_HERO_equipment_puzzle_box4"}</v>
      </c>
      <c r="K1479" s="148" t="str">
        <f>IFERROR(__xludf.DUMMYFUNCTION("""COMPUTED_VALUE"""),"{""typ"":""lc"",""txt"":""LC_HERO_equipment_puzzle_box_desc4""}")</f>
        <v>{"typ":"lc","txt":"LC_HERO_equipment_puzzle_box_desc4"}</v>
      </c>
      <c r="L1479" s="148" t="str">
        <f>IFERROR(__xludf.DUMMYFUNCTION("""COMPUTED_VALUE"""),"{}")</f>
        <v>{}</v>
      </c>
      <c r="M1479" s="148">
        <f>IFERROR(__xludf.DUMMYFUNCTION("""COMPUTED_VALUE"""),25.0)</f>
        <v>25</v>
      </c>
      <c r="N1479" s="148">
        <f>IFERROR(__xludf.DUMMYFUNCTION("""COMPUTED_VALUE"""),9999999.0)</f>
        <v>9999999</v>
      </c>
      <c r="O1479" s="148">
        <f>IFERROR(__xludf.DUMMYFUNCTION("""COMPUTED_VALUE"""),99999.0)</f>
        <v>99999</v>
      </c>
      <c r="P1479" s="148">
        <f>IFERROR(__xludf.DUMMYFUNCTION("""COMPUTED_VALUE"""),99999.0)</f>
        <v>99999</v>
      </c>
      <c r="Q1479" s="148" t="str">
        <f>IFERROR(__xludf.DUMMYFUNCTION("""COMPUTED_VALUE"""),"[""bag_other""]")</f>
        <v>["bag_other"]</v>
      </c>
      <c r="R1479" s="148" t="str">
        <f>IFERROR(__xludf.DUMMYFUNCTION("""COMPUTED_VALUE"""),"[""bag""]")</f>
        <v>["bag"]</v>
      </c>
      <c r="S1479" s="148" t="str">
        <f>IFERROR(__xludf.DUMMYFUNCTION("""COMPUTED_VALUE"""),"{""drop"":{""typ"":""single_random"",""num"":1,""args"":[{""typ"":""puzzle"",""id"":19348005,""num"":1,""wgt"":100},{""typ"":""puzzle"",""id"":19348006,""num"":1,""wgt"":100},{""typ"":""puzzle"",""id"":19348007,""num"":1,""wgt"":100},{""typ"":""puzzle"","&amp;"""id"":19348008,""num"":1,""wgt"":100}]}}")</f>
        <v>{"drop":{"typ":"single_random","num":1,"args":[{"typ":"puzzle","id":19348005,"num":1,"wgt":100},{"typ":"puzzle","id":19348006,"num":1,"wgt":100},{"typ":"puzzle","id":19348007,"num":1,"wgt":100},{"typ":"puzzle","id":19348008,"num":1,"wgt":100}]}}</v>
      </c>
      <c r="T1479" s="148">
        <f>IFERROR(__xludf.DUMMYFUNCTION("""COMPUTED_VALUE"""),-1.0)</f>
        <v>-1</v>
      </c>
      <c r="U1479" s="148">
        <f>IFERROR(__xludf.DUMMYFUNCTION("""COMPUTED_VALUE"""),0.0)</f>
        <v>0</v>
      </c>
      <c r="V1479" s="148" t="str">
        <f>IFERROR(__xludf.DUMMYFUNCTION("""COMPUTED_VALUE"""),"[]")</f>
        <v>[]</v>
      </c>
      <c r="W1479" s="148">
        <f>IFERROR(__xludf.DUMMYFUNCTION("""COMPUTED_VALUE"""),1.1741004E7)</f>
        <v>11741004</v>
      </c>
      <c r="X1479" s="148">
        <f>IFERROR(__xludf.DUMMYFUNCTION("""COMPUTED_VALUE"""),0.0)</f>
        <v>0</v>
      </c>
      <c r="Y1479" s="148">
        <f>IFERROR(__xludf.DUMMYFUNCTION("""COMPUTED_VALUE"""),0.0)</f>
        <v>0</v>
      </c>
      <c r="Z1479" s="148"/>
    </row>
    <row r="1480">
      <c r="A1480" s="148">
        <f>IFERROR(__xludf.DUMMYFUNCTION("""COMPUTED_VALUE"""),1.1117121E7)</f>
        <v>11117121</v>
      </c>
      <c r="B1480" s="148" t="str">
        <f>IFERROR(__xludf.DUMMYFUNCTION("""COMPUTED_VALUE"""),"尖端装备图纸碎片箱")</f>
        <v>尖端装备图纸碎片箱</v>
      </c>
      <c r="C1480" s="148"/>
      <c r="D1480" s="148" t="str">
        <f>IFERROR(__xludf.DUMMYFUNCTION("""COMPUTED_VALUE"""),"heroarms_box")</f>
        <v>heroarms_box</v>
      </c>
      <c r="E1480" s="148">
        <f>IFERROR(__xludf.DUMMYFUNCTION("""COMPUTED_VALUE"""),0.0)</f>
        <v>0</v>
      </c>
      <c r="F1480" s="148">
        <f>IFERROR(__xludf.DUMMYFUNCTION("""COMPUTED_VALUE"""),403101.0)</f>
        <v>403101</v>
      </c>
      <c r="G1480" s="148">
        <f>IFERROR(__xludf.DUMMYFUNCTION("""COMPUTED_VALUE"""),1.5116705E7)</f>
        <v>15116705</v>
      </c>
      <c r="H1480" s="148">
        <f>IFERROR(__xludf.DUMMYFUNCTION("""COMPUTED_VALUE"""),1.5112564E7)</f>
        <v>15112564</v>
      </c>
      <c r="I1480" s="148" t="str">
        <f>IFERROR(__xludf.DUMMYFUNCTION("""COMPUTED_VALUE"""),"{}")</f>
        <v>{}</v>
      </c>
      <c r="J1480" s="148" t="str">
        <f>IFERROR(__xludf.DUMMYFUNCTION("""COMPUTED_VALUE"""),"{""typ"":""lc"",""txt"":""LC_HERO_equipment_puzzle_box5""}")</f>
        <v>{"typ":"lc","txt":"LC_HERO_equipment_puzzle_box5"}</v>
      </c>
      <c r="K1480" s="148" t="str">
        <f>IFERROR(__xludf.DUMMYFUNCTION("""COMPUTED_VALUE"""),"{""typ"":""lc"",""txt"":""LC_HERO_equipment_puzzle_box_desc5""}")</f>
        <v>{"typ":"lc","txt":"LC_HERO_equipment_puzzle_box_desc5"}</v>
      </c>
      <c r="L1480" s="148" t="str">
        <f>IFERROR(__xludf.DUMMYFUNCTION("""COMPUTED_VALUE"""),"{}")</f>
        <v>{}</v>
      </c>
      <c r="M1480" s="148">
        <f>IFERROR(__xludf.DUMMYFUNCTION("""COMPUTED_VALUE"""),50.0)</f>
        <v>50</v>
      </c>
      <c r="N1480" s="148">
        <f>IFERROR(__xludf.DUMMYFUNCTION("""COMPUTED_VALUE"""),9999999.0)</f>
        <v>9999999</v>
      </c>
      <c r="O1480" s="148">
        <f>IFERROR(__xludf.DUMMYFUNCTION("""COMPUTED_VALUE"""),99999.0)</f>
        <v>99999</v>
      </c>
      <c r="P1480" s="148">
        <f>IFERROR(__xludf.DUMMYFUNCTION("""COMPUTED_VALUE"""),99999.0)</f>
        <v>99999</v>
      </c>
      <c r="Q1480" s="148" t="str">
        <f>IFERROR(__xludf.DUMMYFUNCTION("""COMPUTED_VALUE"""),"[""bag_other""]")</f>
        <v>["bag_other"]</v>
      </c>
      <c r="R1480" s="148" t="str">
        <f>IFERROR(__xludf.DUMMYFUNCTION("""COMPUTED_VALUE"""),"[""bag""]")</f>
        <v>["bag"]</v>
      </c>
      <c r="S1480" s="148" t="str">
        <f>IFERROR(__xludf.DUMMYFUNCTION("""COMPUTED_VALUE"""),"{""drop"":{""typ"":""single_random"",""num"":1,""args"":[{""typ"":""puzzle"",""id"":19349001,""num"":1,""wgt"":100},{""typ"":""puzzle"",""id"":19349002,""num"":1,""wgt"":100},{""typ"":""puzzle"",""id"":19349003,""num"":1,""wgt"":100},{""typ"":""puzzle"","&amp;"""id"":19349004,""num"":1,""wgt"":100}]}}")</f>
        <v>{"drop":{"typ":"single_random","num":1,"args":[{"typ":"puzzle","id":19349001,"num":1,"wgt":100},{"typ":"puzzle","id":19349002,"num":1,"wgt":100},{"typ":"puzzle","id":19349003,"num":1,"wgt":100},{"typ":"puzzle","id":19349004,"num":1,"wgt":100}]}}</v>
      </c>
      <c r="T1480" s="148">
        <f>IFERROR(__xludf.DUMMYFUNCTION("""COMPUTED_VALUE"""),-1.0)</f>
        <v>-1</v>
      </c>
      <c r="U1480" s="148">
        <f>IFERROR(__xludf.DUMMYFUNCTION("""COMPUTED_VALUE"""),0.0)</f>
        <v>0</v>
      </c>
      <c r="V1480" s="148" t="str">
        <f>IFERROR(__xludf.DUMMYFUNCTION("""COMPUTED_VALUE"""),"[]")</f>
        <v>[]</v>
      </c>
      <c r="W1480" s="148">
        <f>IFERROR(__xludf.DUMMYFUNCTION("""COMPUTED_VALUE"""),1.1741004E7)</f>
        <v>11741004</v>
      </c>
      <c r="X1480" s="148">
        <f>IFERROR(__xludf.DUMMYFUNCTION("""COMPUTED_VALUE"""),0.0)</f>
        <v>0</v>
      </c>
      <c r="Y1480" s="148">
        <f>IFERROR(__xludf.DUMMYFUNCTION("""COMPUTED_VALUE"""),0.0)</f>
        <v>0</v>
      </c>
      <c r="Z1480" s="148"/>
    </row>
    <row r="1481">
      <c r="A1481" s="148">
        <f>IFERROR(__xludf.DUMMYFUNCTION("""COMPUTED_VALUE"""),1.1117122E7)</f>
        <v>11117122</v>
      </c>
      <c r="B1481" s="148" t="str">
        <f>IFERROR(__xludf.DUMMYFUNCTION("""COMPUTED_VALUE"""),"霍格博士挑战券")</f>
        <v>霍格博士挑战券</v>
      </c>
      <c r="C1481" s="148"/>
      <c r="D1481" s="148" t="str">
        <f>IFERROR(__xludf.DUMMYFUNCTION("""COMPUTED_VALUE"""),"arena")</f>
        <v>arena</v>
      </c>
      <c r="E1481" s="148">
        <f>IFERROR(__xludf.DUMMYFUNCTION("""COMPUTED_VALUE"""),0.0)</f>
        <v>0</v>
      </c>
      <c r="F1481" s="148">
        <f>IFERROR(__xludf.DUMMYFUNCTION("""COMPUTED_VALUE"""),405140.0)</f>
        <v>405140</v>
      </c>
      <c r="G1481" s="148">
        <f>IFERROR(__xludf.DUMMYFUNCTION("""COMPUTED_VALUE"""),1.5114762E7)</f>
        <v>15114762</v>
      </c>
      <c r="H1481" s="148">
        <f>IFERROR(__xludf.DUMMYFUNCTION("""COMPUTED_VALUE"""),1.5112564E7)</f>
        <v>15112564</v>
      </c>
      <c r="I1481" s="148" t="str">
        <f>IFERROR(__xludf.DUMMYFUNCTION("""COMPUTED_VALUE"""),"{}")</f>
        <v>{}</v>
      </c>
      <c r="J1481" s="148" t="str">
        <f>IFERROR(__xludf.DUMMYFUNCTION("""COMPUTED_VALUE"""),"{""typ"":""lc"",""txt"":""LC_ITEM_hogg_ticket_name""}")</f>
        <v>{"typ":"lc","txt":"LC_ITEM_hogg_ticket_name"}</v>
      </c>
      <c r="K1481" s="148" t="str">
        <f>IFERROR(__xludf.DUMMYFUNCTION("""COMPUTED_VALUE"""),"{""typ"":""lc"",""txt"":""LC_ITEM_hogg_ticket_desc""}")</f>
        <v>{"typ":"lc","txt":"LC_ITEM_hogg_ticket_desc"}</v>
      </c>
      <c r="L1481" s="148" t="str">
        <f>IFERROR(__xludf.DUMMYFUNCTION("""COMPUTED_VALUE"""),"{}")</f>
        <v>{}</v>
      </c>
      <c r="M1481" s="148">
        <f>IFERROR(__xludf.DUMMYFUNCTION("""COMPUTED_VALUE"""),300.0)</f>
        <v>300</v>
      </c>
      <c r="N1481" s="148">
        <f>IFERROR(__xludf.DUMMYFUNCTION("""COMPUTED_VALUE"""),99999.0)</f>
        <v>99999</v>
      </c>
      <c r="O1481" s="148">
        <f>IFERROR(__xludf.DUMMYFUNCTION("""COMPUTED_VALUE"""),99999.0)</f>
        <v>99999</v>
      </c>
      <c r="P1481" s="148">
        <f>IFERROR(__xludf.DUMMYFUNCTION("""COMPUTED_VALUE"""),1.0)</f>
        <v>1</v>
      </c>
      <c r="Q1481" s="148" t="str">
        <f>IFERROR(__xludf.DUMMYFUNCTION("""COMPUTED_VALUE"""),"[""bag_other""]")</f>
        <v>["bag_other"]</v>
      </c>
      <c r="R1481" s="148" t="str">
        <f>IFERROR(__xludf.DUMMYFUNCTION("""COMPUTED_VALUE"""),"[]")</f>
        <v>[]</v>
      </c>
      <c r="S1481" s="148" t="str">
        <f>IFERROR(__xludf.DUMMYFUNCTION("""COMPUTED_VALUE"""),"{}")</f>
        <v>{}</v>
      </c>
      <c r="T1481" s="148">
        <f>IFERROR(__xludf.DUMMYFUNCTION("""COMPUTED_VALUE"""),-1.0)</f>
        <v>-1</v>
      </c>
      <c r="U1481" s="148">
        <f>IFERROR(__xludf.DUMMYFUNCTION("""COMPUTED_VALUE"""),0.0)</f>
        <v>0</v>
      </c>
      <c r="V1481" s="148" t="str">
        <f>IFERROR(__xludf.DUMMYFUNCTION("""COMPUTED_VALUE"""),"[]")</f>
        <v>[]</v>
      </c>
      <c r="W1481" s="148">
        <f>IFERROR(__xludf.DUMMYFUNCTION("""COMPUTED_VALUE"""),1.174E7)</f>
        <v>11740000</v>
      </c>
      <c r="X1481" s="148">
        <f>IFERROR(__xludf.DUMMYFUNCTION("""COMPUTED_VALUE"""),0.0)</f>
        <v>0</v>
      </c>
      <c r="Y1481" s="148">
        <f>IFERROR(__xludf.DUMMYFUNCTION("""COMPUTED_VALUE"""),0.0)</f>
        <v>0</v>
      </c>
      <c r="Z1481" s="148"/>
    </row>
    <row r="1482">
      <c r="A1482" s="148">
        <f>IFERROR(__xludf.DUMMYFUNCTION("""COMPUTED_VALUE"""),1.1117123E7)</f>
        <v>11117123</v>
      </c>
      <c r="B1482" s="148" t="str">
        <f>IFERROR(__xludf.DUMMYFUNCTION("""COMPUTED_VALUE"""),"8小时护盾")</f>
        <v>8小时护盾</v>
      </c>
      <c r="C1482" s="148"/>
      <c r="D1482" s="148" t="str">
        <f>IFERROR(__xludf.DUMMYFUNCTION("""COMPUTED_VALUE"""),"item_shield")</f>
        <v>item_shield</v>
      </c>
      <c r="E1482" s="148">
        <f>IFERROR(__xludf.DUMMYFUNCTION("""COMPUTED_VALUE"""),0.0)</f>
        <v>0</v>
      </c>
      <c r="F1482" s="148">
        <f>IFERROR(__xludf.DUMMYFUNCTION("""COMPUTED_VALUE"""),304201.0)</f>
        <v>304201</v>
      </c>
      <c r="G1482" s="148">
        <f>IFERROR(__xludf.DUMMYFUNCTION("""COMPUTED_VALUE"""),1.511477E7)</f>
        <v>15114770</v>
      </c>
      <c r="H1482" s="148">
        <f>IFERROR(__xludf.DUMMYFUNCTION("""COMPUTED_VALUE"""),1.5112561E7)</f>
        <v>15112561</v>
      </c>
      <c r="I1482" s="148" t="str">
        <f>IFERROR(__xludf.DUMMYFUNCTION("""COMPUTED_VALUE"""),"{""typ"":""lc"",""txt"":""LC_ITEM_time_h_upper_show"",""args"":[{""typ"":""int"",""val"":8}]}")</f>
        <v>{"typ":"lc","txt":"LC_ITEM_time_h_upper_show","args":[{"typ":"int","val":8}]}</v>
      </c>
      <c r="J1482" s="148" t="str">
        <f>IFERROR(__xludf.DUMMYFUNCTION("""COMPUTED_VALUE"""),"{""typ"":""lc"",""txt"":""LC_ITEM_city_shield"",""args"":[{""typ"":""int"",""val"":8}]}")</f>
        <v>{"typ":"lc","txt":"LC_ITEM_city_shield","args":[{"typ":"int","val":8}]}</v>
      </c>
      <c r="K1482" s="148" t="str">
        <f>IFERROR(__xludf.DUMMYFUNCTION("""COMPUTED_VALUE"""),"{""typ"":""lc"",""txt"":""LC_ITEM_city_shield_desc"",""args"":[{""typ"":""int"",""val"":8}]}")</f>
        <v>{"typ":"lc","txt":"LC_ITEM_city_shield_desc","args":[{"typ":"int","val":8}]}</v>
      </c>
      <c r="L1482" s="148" t="str">
        <f>IFERROR(__xludf.DUMMYFUNCTION("""COMPUTED_VALUE"""),"{""typ"":""lc"",""txt"":""LC_ITEM_city_shield_usetip"",""args"":[{""typ"":""int"",""val"":8}]}")</f>
        <v>{"typ":"lc","txt":"LC_ITEM_city_shield_usetip","args":[{"typ":"int","val":8}]}</v>
      </c>
      <c r="M1482" s="148">
        <f>IFERROR(__xludf.DUMMYFUNCTION("""COMPUTED_VALUE"""),500.0)</f>
        <v>500</v>
      </c>
      <c r="N1482" s="148">
        <f>IFERROR(__xludf.DUMMYFUNCTION("""COMPUTED_VALUE"""),999999.0)</f>
        <v>999999</v>
      </c>
      <c r="O1482" s="148">
        <f>IFERROR(__xludf.DUMMYFUNCTION("""COMPUTED_VALUE"""),99999.0)</f>
        <v>99999</v>
      </c>
      <c r="P1482" s="148">
        <f>IFERROR(__xludf.DUMMYFUNCTION("""COMPUTED_VALUE"""),1.0)</f>
        <v>1</v>
      </c>
      <c r="Q1482" s="148" t="str">
        <f>IFERROR(__xludf.DUMMYFUNCTION("""COMPUTED_VALUE"""),"[""bag_buff"",""buff_city""]")</f>
        <v>["bag_buff","buff_city"]</v>
      </c>
      <c r="R1482" s="148" t="str">
        <f>IFERROR(__xludf.DUMMYFUNCTION("""COMPUTED_VALUE"""),"[""bag"",""bag_buff"",""buff_city""]")</f>
        <v>["bag","bag_buff","buff_city"]</v>
      </c>
      <c r="S1482" s="148" t="str">
        <f>IFERROR(__xludf.DUMMYFUNCTION("""COMPUTED_VALUE"""),"{""effect"":[{""typ"":""buff"",""id"":12113025,""val"":28800000},{""typ"":""building"",""id"":111811,""val"":8}]}")</f>
        <v>{"effect":[{"typ":"buff","id":12113025,"val":28800000},{"typ":"building","id":111811,"val":8}]}</v>
      </c>
      <c r="T1482" s="148">
        <f>IFERROR(__xludf.DUMMYFUNCTION("""COMPUTED_VALUE"""),-1.0)</f>
        <v>-1</v>
      </c>
      <c r="U1482" s="148">
        <f>IFERROR(__xludf.DUMMYFUNCTION("""COMPUTED_VALUE"""),0.0)</f>
        <v>0</v>
      </c>
      <c r="V1482" s="148" t="str">
        <f>IFERROR(__xludf.DUMMYFUNCTION("""COMPUTED_VALUE"""),"[]")</f>
        <v>[]</v>
      </c>
      <c r="W1482" s="148">
        <f>IFERROR(__xludf.DUMMYFUNCTION("""COMPUTED_VALUE"""),1.174E7)</f>
        <v>11740000</v>
      </c>
      <c r="X1482" s="148">
        <f>IFERROR(__xludf.DUMMYFUNCTION("""COMPUTED_VALUE"""),0.0)</f>
        <v>0</v>
      </c>
      <c r="Y1482" s="148">
        <f>IFERROR(__xludf.DUMMYFUNCTION("""COMPUTED_VALUE"""),0.0)</f>
        <v>0</v>
      </c>
      <c r="Z1482" s="148"/>
    </row>
    <row r="1483">
      <c r="A1483" s="148">
        <f>IFERROR(__xludf.DUMMYFUNCTION("""COMPUTED_VALUE"""),1.1117124E7)</f>
        <v>11117124</v>
      </c>
      <c r="B1483" s="148" t="str">
        <f>IFERROR(__xludf.DUMMYFUNCTION("""COMPUTED_VALUE"""),"12小时护盾")</f>
        <v>12小时护盾</v>
      </c>
      <c r="C1483" s="148"/>
      <c r="D1483" s="148" t="str">
        <f>IFERROR(__xludf.DUMMYFUNCTION("""COMPUTED_VALUE"""),"item_shield")</f>
        <v>item_shield</v>
      </c>
      <c r="E1483" s="148">
        <f>IFERROR(__xludf.DUMMYFUNCTION("""COMPUTED_VALUE"""),0.0)</f>
        <v>0</v>
      </c>
      <c r="F1483" s="148">
        <f>IFERROR(__xludf.DUMMYFUNCTION("""COMPUTED_VALUE"""),304302.0)</f>
        <v>304302</v>
      </c>
      <c r="G1483" s="148">
        <f>IFERROR(__xludf.DUMMYFUNCTION("""COMPUTED_VALUE"""),1.511477E7)</f>
        <v>15114770</v>
      </c>
      <c r="H1483" s="148">
        <f>IFERROR(__xludf.DUMMYFUNCTION("""COMPUTED_VALUE"""),1.5112562E7)</f>
        <v>15112562</v>
      </c>
      <c r="I1483" s="148" t="str">
        <f>IFERROR(__xludf.DUMMYFUNCTION("""COMPUTED_VALUE"""),"{""typ"":""lc"",""txt"":""LC_ITEM_time_h_upper_show"",""args"":[{""typ"":""int"",""val"":12}]}")</f>
        <v>{"typ":"lc","txt":"LC_ITEM_time_h_upper_show","args":[{"typ":"int","val":12}]}</v>
      </c>
      <c r="J1483" s="148" t="str">
        <f>IFERROR(__xludf.DUMMYFUNCTION("""COMPUTED_VALUE"""),"{""typ"":""lc"",""txt"":""LC_ITEM_city_shield"",""args"":[{""typ"":""int"",""val"":12}]}")</f>
        <v>{"typ":"lc","txt":"LC_ITEM_city_shield","args":[{"typ":"int","val":12}]}</v>
      </c>
      <c r="K1483" s="148" t="str">
        <f>IFERROR(__xludf.DUMMYFUNCTION("""COMPUTED_VALUE"""),"{""typ"":""lc"",""txt"":""LC_ITEM_city_shield_desc"",""args"":[{""typ"":""int"",""val"":12}]}")</f>
        <v>{"typ":"lc","txt":"LC_ITEM_city_shield_desc","args":[{"typ":"int","val":12}]}</v>
      </c>
      <c r="L1483" s="148" t="str">
        <f>IFERROR(__xludf.DUMMYFUNCTION("""COMPUTED_VALUE"""),"{""typ"":""lc"",""txt"":""LC_ITEM_city_shield_usetip"",""args"":[{""typ"":""int"",""val"":12}]}")</f>
        <v>{"typ":"lc","txt":"LC_ITEM_city_shield_usetip","args":[{"typ":"int","val":12}]}</v>
      </c>
      <c r="M1483" s="148">
        <f>IFERROR(__xludf.DUMMYFUNCTION("""COMPUTED_VALUE"""),700.0)</f>
        <v>700</v>
      </c>
      <c r="N1483" s="148">
        <f>IFERROR(__xludf.DUMMYFUNCTION("""COMPUTED_VALUE"""),999999.0)</f>
        <v>999999</v>
      </c>
      <c r="O1483" s="148">
        <f>IFERROR(__xludf.DUMMYFUNCTION("""COMPUTED_VALUE"""),99999.0)</f>
        <v>99999</v>
      </c>
      <c r="P1483" s="148">
        <f>IFERROR(__xludf.DUMMYFUNCTION("""COMPUTED_VALUE"""),1.0)</f>
        <v>1</v>
      </c>
      <c r="Q1483" s="148" t="str">
        <f>IFERROR(__xludf.DUMMYFUNCTION("""COMPUTED_VALUE"""),"[""bag_buff"",""buff_city""]")</f>
        <v>["bag_buff","buff_city"]</v>
      </c>
      <c r="R1483" s="148" t="str">
        <f>IFERROR(__xludf.DUMMYFUNCTION("""COMPUTED_VALUE"""),"[""bag"",""bag_buff"",""buff_city""]")</f>
        <v>["bag","bag_buff","buff_city"]</v>
      </c>
      <c r="S1483" s="148" t="str">
        <f>IFERROR(__xludf.DUMMYFUNCTION("""COMPUTED_VALUE"""),"{""effect"":[{""typ"":""buff"",""id"":12113025,""val"":43200000},{""typ"":""building"",""id"":111811,""val"":8}]}")</f>
        <v>{"effect":[{"typ":"buff","id":12113025,"val":43200000},{"typ":"building","id":111811,"val":8}]}</v>
      </c>
      <c r="T1483" s="148">
        <f>IFERROR(__xludf.DUMMYFUNCTION("""COMPUTED_VALUE"""),-1.0)</f>
        <v>-1</v>
      </c>
      <c r="U1483" s="148">
        <f>IFERROR(__xludf.DUMMYFUNCTION("""COMPUTED_VALUE"""),0.0)</f>
        <v>0</v>
      </c>
      <c r="V1483" s="148" t="str">
        <f>IFERROR(__xludf.DUMMYFUNCTION("""COMPUTED_VALUE"""),"[]")</f>
        <v>[]</v>
      </c>
      <c r="W1483" s="148">
        <f>IFERROR(__xludf.DUMMYFUNCTION("""COMPUTED_VALUE"""),1.174E7)</f>
        <v>11740000</v>
      </c>
      <c r="X1483" s="148">
        <f>IFERROR(__xludf.DUMMYFUNCTION("""COMPUTED_VALUE"""),0.0)</f>
        <v>0</v>
      </c>
      <c r="Y1483" s="148">
        <f>IFERROR(__xludf.DUMMYFUNCTION("""COMPUTED_VALUE"""),0.0)</f>
        <v>0</v>
      </c>
      <c r="Z1483" s="148"/>
    </row>
    <row r="1484">
      <c r="A1484" s="148">
        <f>IFERROR(__xludf.DUMMYFUNCTION("""COMPUTED_VALUE"""),1.1117125E7)</f>
        <v>11117125</v>
      </c>
      <c r="B1484" s="148" t="str">
        <f>IFERROR(__xludf.DUMMYFUNCTION("""COMPUTED_VALUE"""),"24小时护盾")</f>
        <v>24小时护盾</v>
      </c>
      <c r="C1484" s="148"/>
      <c r="D1484" s="148" t="str">
        <f>IFERROR(__xludf.DUMMYFUNCTION("""COMPUTED_VALUE"""),"item_shield")</f>
        <v>item_shield</v>
      </c>
      <c r="E1484" s="148">
        <f>IFERROR(__xludf.DUMMYFUNCTION("""COMPUTED_VALUE"""),0.0)</f>
        <v>0</v>
      </c>
      <c r="F1484" s="148">
        <f>IFERROR(__xludf.DUMMYFUNCTION("""COMPUTED_VALUE"""),304403.0)</f>
        <v>304403</v>
      </c>
      <c r="G1484" s="148">
        <f>IFERROR(__xludf.DUMMYFUNCTION("""COMPUTED_VALUE"""),1.511477E7)</f>
        <v>15114770</v>
      </c>
      <c r="H1484" s="148">
        <f>IFERROR(__xludf.DUMMYFUNCTION("""COMPUTED_VALUE"""),1.5112563E7)</f>
        <v>15112563</v>
      </c>
      <c r="I1484" s="148" t="str">
        <f>IFERROR(__xludf.DUMMYFUNCTION("""COMPUTED_VALUE"""),"{""typ"":""lc"",""txt"":""LC_ITEM_time_h_upper_show"",""args"":[{""typ"":""int"",""val"":24}]}")</f>
        <v>{"typ":"lc","txt":"LC_ITEM_time_h_upper_show","args":[{"typ":"int","val":24}]}</v>
      </c>
      <c r="J1484" s="148" t="str">
        <f>IFERROR(__xludf.DUMMYFUNCTION("""COMPUTED_VALUE"""),"{""typ"":""lc"",""txt"":""LC_ITEM_city_shield"",""args"":[{""typ"":""int"",""val"":24}]}")</f>
        <v>{"typ":"lc","txt":"LC_ITEM_city_shield","args":[{"typ":"int","val":24}]}</v>
      </c>
      <c r="K1484" s="148" t="str">
        <f>IFERROR(__xludf.DUMMYFUNCTION("""COMPUTED_VALUE"""),"{""typ"":""lc"",""txt"":""LC_ITEM_city_shield_desc"",""args"":[{""typ"":""int"",""val"":24}]}")</f>
        <v>{"typ":"lc","txt":"LC_ITEM_city_shield_desc","args":[{"typ":"int","val":24}]}</v>
      </c>
      <c r="L1484" s="148" t="str">
        <f>IFERROR(__xludf.DUMMYFUNCTION("""COMPUTED_VALUE"""),"{""typ"":""lc"",""txt"":""LC_ITEM_city_shield_usetip"",""args"":[{""typ"":""int"",""val"":24}]}")</f>
        <v>{"typ":"lc","txt":"LC_ITEM_city_shield_usetip","args":[{"typ":"int","val":24}]}</v>
      </c>
      <c r="M1484" s="148">
        <f>IFERROR(__xludf.DUMMYFUNCTION("""COMPUTED_VALUE"""),1000.0)</f>
        <v>1000</v>
      </c>
      <c r="N1484" s="148">
        <f>IFERROR(__xludf.DUMMYFUNCTION("""COMPUTED_VALUE"""),999999.0)</f>
        <v>999999</v>
      </c>
      <c r="O1484" s="148">
        <f>IFERROR(__xludf.DUMMYFUNCTION("""COMPUTED_VALUE"""),99999.0)</f>
        <v>99999</v>
      </c>
      <c r="P1484" s="148">
        <f>IFERROR(__xludf.DUMMYFUNCTION("""COMPUTED_VALUE"""),1.0)</f>
        <v>1</v>
      </c>
      <c r="Q1484" s="148" t="str">
        <f>IFERROR(__xludf.DUMMYFUNCTION("""COMPUTED_VALUE"""),"[""bag_buff"",""buff_city""]")</f>
        <v>["bag_buff","buff_city"]</v>
      </c>
      <c r="R1484" s="148" t="str">
        <f>IFERROR(__xludf.DUMMYFUNCTION("""COMPUTED_VALUE"""),"[""bag"",""bag_buff"",""buff_city""]")</f>
        <v>["bag","bag_buff","buff_city"]</v>
      </c>
      <c r="S1484" s="148" t="str">
        <f>IFERROR(__xludf.DUMMYFUNCTION("""COMPUTED_VALUE"""),"{""effect"":[{""typ"":""buff"",""id"":12113025,""val"":86400000},{""typ"":""building"",""id"":111811,""val"":8}]}")</f>
        <v>{"effect":[{"typ":"buff","id":12113025,"val":86400000},{"typ":"building","id":111811,"val":8}]}</v>
      </c>
      <c r="T1484" s="148">
        <f>IFERROR(__xludf.DUMMYFUNCTION("""COMPUTED_VALUE"""),-1.0)</f>
        <v>-1</v>
      </c>
      <c r="U1484" s="148">
        <f>IFERROR(__xludf.DUMMYFUNCTION("""COMPUTED_VALUE"""),0.0)</f>
        <v>0</v>
      </c>
      <c r="V1484" s="148" t="str">
        <f>IFERROR(__xludf.DUMMYFUNCTION("""COMPUTED_VALUE"""),"[]")</f>
        <v>[]</v>
      </c>
      <c r="W1484" s="148">
        <f>IFERROR(__xludf.DUMMYFUNCTION("""COMPUTED_VALUE"""),1.174E7)</f>
        <v>11740000</v>
      </c>
      <c r="X1484" s="148">
        <f>IFERROR(__xludf.DUMMYFUNCTION("""COMPUTED_VALUE"""),0.0)</f>
        <v>0</v>
      </c>
      <c r="Y1484" s="148">
        <f>IFERROR(__xludf.DUMMYFUNCTION("""COMPUTED_VALUE"""),0.0)</f>
        <v>0</v>
      </c>
      <c r="Z1484" s="148"/>
    </row>
    <row r="1485">
      <c r="A1485" s="148">
        <f>IFERROR(__xludf.DUMMYFUNCTION("""COMPUTED_VALUE"""),1.1117126E7)</f>
        <v>11117126</v>
      </c>
      <c r="B1485" s="148" t="str">
        <f>IFERROR(__xludf.DUMMYFUNCTION("""COMPUTED_VALUE"""),"3天护盾")</f>
        <v>3天护盾</v>
      </c>
      <c r="C1485" s="148"/>
      <c r="D1485" s="148" t="str">
        <f>IFERROR(__xludf.DUMMYFUNCTION("""COMPUTED_VALUE"""),"item_shield")</f>
        <v>item_shield</v>
      </c>
      <c r="E1485" s="148">
        <f>IFERROR(__xludf.DUMMYFUNCTION("""COMPUTED_VALUE"""),0.0)</f>
        <v>0</v>
      </c>
      <c r="F1485" s="148">
        <f>IFERROR(__xludf.DUMMYFUNCTION("""COMPUTED_VALUE"""),304504.0)</f>
        <v>304504</v>
      </c>
      <c r="G1485" s="148">
        <f>IFERROR(__xludf.DUMMYFUNCTION("""COMPUTED_VALUE"""),1.511477E7)</f>
        <v>15114770</v>
      </c>
      <c r="H1485" s="148">
        <f>IFERROR(__xludf.DUMMYFUNCTION("""COMPUTED_VALUE"""),1.5112564E7)</f>
        <v>15112564</v>
      </c>
      <c r="I1485" s="148" t="str">
        <f>IFERROR(__xludf.DUMMYFUNCTION("""COMPUTED_VALUE"""),"{""typ"":""lc"",""txt"":""LC_ITEM_time_day_upper_show"",""args"":[{""typ"":""int"",""val"":3}]}")</f>
        <v>{"typ":"lc","txt":"LC_ITEM_time_day_upper_show","args":[{"typ":"int","val":3}]}</v>
      </c>
      <c r="J1485" s="148" t="str">
        <f>IFERROR(__xludf.DUMMYFUNCTION("""COMPUTED_VALUE"""),"{""typ"":""lc"",""txt"":""LC_ITEM_city_shield_day"",""args"":[{""typ"":""int"",""val"":3}]}")</f>
        <v>{"typ":"lc","txt":"LC_ITEM_city_shield_day","args":[{"typ":"int","val":3}]}</v>
      </c>
      <c r="K1485" s="148" t="str">
        <f>IFERROR(__xludf.DUMMYFUNCTION("""COMPUTED_VALUE"""),"{""typ"":""lc"",""txt"":""LC_ITEM_city_shield_day_desc"",""args"":[{""typ"":""int"",""val"":3}]}")</f>
        <v>{"typ":"lc","txt":"LC_ITEM_city_shield_day_desc","args":[{"typ":"int","val":3}]}</v>
      </c>
      <c r="L1485" s="148" t="str">
        <f>IFERROR(__xludf.DUMMYFUNCTION("""COMPUTED_VALUE"""),"{""typ"":""lc"",""txt"":""LC_ITEM_city_shield_day_usetip"",""args"":[{""typ"":""int"",""val"":3}]}")</f>
        <v>{"typ":"lc","txt":"LC_ITEM_city_shield_day_usetip","args":[{"typ":"int","val":3}]}</v>
      </c>
      <c r="M1485" s="148">
        <f>IFERROR(__xludf.DUMMYFUNCTION("""COMPUTED_VALUE"""),2500.0)</f>
        <v>2500</v>
      </c>
      <c r="N1485" s="148">
        <f>IFERROR(__xludf.DUMMYFUNCTION("""COMPUTED_VALUE"""),999999.0)</f>
        <v>999999</v>
      </c>
      <c r="O1485" s="148">
        <f>IFERROR(__xludf.DUMMYFUNCTION("""COMPUTED_VALUE"""),99999.0)</f>
        <v>99999</v>
      </c>
      <c r="P1485" s="148">
        <f>IFERROR(__xludf.DUMMYFUNCTION("""COMPUTED_VALUE"""),1.0)</f>
        <v>1</v>
      </c>
      <c r="Q1485" s="148" t="str">
        <f>IFERROR(__xludf.DUMMYFUNCTION("""COMPUTED_VALUE"""),"[""bag_buff"",""buff_city""]")</f>
        <v>["bag_buff","buff_city"]</v>
      </c>
      <c r="R1485" s="148" t="str">
        <f>IFERROR(__xludf.DUMMYFUNCTION("""COMPUTED_VALUE"""),"[""bag"",""bag_buff"",""buff_city""]")</f>
        <v>["bag","bag_buff","buff_city"]</v>
      </c>
      <c r="S1485" s="148" t="str">
        <f>IFERROR(__xludf.DUMMYFUNCTION("""COMPUTED_VALUE"""),"{""effect"":[{""typ"":""buff"",""id"":12113025,""val"":259200000},{""typ"":""building"",""id"":111811,""val"":15}]}")</f>
        <v>{"effect":[{"typ":"buff","id":12113025,"val":259200000},{"typ":"building","id":111811,"val":15}]}</v>
      </c>
      <c r="T1485" s="148">
        <f>IFERROR(__xludf.DUMMYFUNCTION("""COMPUTED_VALUE"""),-1.0)</f>
        <v>-1</v>
      </c>
      <c r="U1485" s="148">
        <f>IFERROR(__xludf.DUMMYFUNCTION("""COMPUTED_VALUE"""),0.0)</f>
        <v>0</v>
      </c>
      <c r="V1485" s="148" t="str">
        <f>IFERROR(__xludf.DUMMYFUNCTION("""COMPUTED_VALUE"""),"[]")</f>
        <v>[]</v>
      </c>
      <c r="W1485" s="148">
        <f>IFERROR(__xludf.DUMMYFUNCTION("""COMPUTED_VALUE"""),1.174E7)</f>
        <v>11740000</v>
      </c>
      <c r="X1485" s="148">
        <f>IFERROR(__xludf.DUMMYFUNCTION("""COMPUTED_VALUE"""),0.0)</f>
        <v>0</v>
      </c>
      <c r="Y1485" s="148">
        <f>IFERROR(__xludf.DUMMYFUNCTION("""COMPUTED_VALUE"""),0.0)</f>
        <v>0</v>
      </c>
      <c r="Z1485" s="148"/>
    </row>
    <row r="1486">
      <c r="A1486" s="148">
        <f>IFERROR(__xludf.DUMMYFUNCTION("""COMPUTED_VALUE"""),1.1117127E7)</f>
        <v>11117127</v>
      </c>
      <c r="B1486" s="148" t="str">
        <f>IFERROR(__xludf.DUMMYFUNCTION("""COMPUTED_VALUE"""),"30天护盾")</f>
        <v>30天护盾</v>
      </c>
      <c r="C1486" s="148"/>
      <c r="D1486" s="148" t="str">
        <f>IFERROR(__xludf.DUMMYFUNCTION("""COMPUTED_VALUE"""),"item_shield")</f>
        <v>item_shield</v>
      </c>
      <c r="E1486" s="148">
        <f>IFERROR(__xludf.DUMMYFUNCTION("""COMPUTED_VALUE"""),0.0)</f>
        <v>0</v>
      </c>
      <c r="F1486" s="148">
        <f>IFERROR(__xludf.DUMMYFUNCTION("""COMPUTED_VALUE"""),304505.0)</f>
        <v>304505</v>
      </c>
      <c r="G1486" s="148">
        <f>IFERROR(__xludf.DUMMYFUNCTION("""COMPUTED_VALUE"""),1.511477E7)</f>
        <v>15114770</v>
      </c>
      <c r="H1486" s="148">
        <f>IFERROR(__xludf.DUMMYFUNCTION("""COMPUTED_VALUE"""),1.5112564E7)</f>
        <v>15112564</v>
      </c>
      <c r="I1486" s="148" t="str">
        <f>IFERROR(__xludf.DUMMYFUNCTION("""COMPUTED_VALUE"""),"{""typ"":""lc"",""txt"":""LC_ITEM_time_day_upper_show"",""args"":[{""typ"":""int"",""val"":30}]}")</f>
        <v>{"typ":"lc","txt":"LC_ITEM_time_day_upper_show","args":[{"typ":"int","val":30}]}</v>
      </c>
      <c r="J1486" s="148" t="str">
        <f>IFERROR(__xludf.DUMMYFUNCTION("""COMPUTED_VALUE"""),"{""typ"":""lc"",""txt"":""LC_ITEM_city_shield_day"",""args"":[{""typ"":""int"",""val"":30}]}")</f>
        <v>{"typ":"lc","txt":"LC_ITEM_city_shield_day","args":[{"typ":"int","val":30}]}</v>
      </c>
      <c r="K1486" s="148" t="str">
        <f>IFERROR(__xludf.DUMMYFUNCTION("""COMPUTED_VALUE"""),"{""typ"":""lc"",""txt"":""LC_ITEM_city_shield_day_desc"",""args"":[{""typ"":""int"",""val"":30}]}")</f>
        <v>{"typ":"lc","txt":"LC_ITEM_city_shield_day_desc","args":[{"typ":"int","val":30}]}</v>
      </c>
      <c r="L1486" s="148" t="str">
        <f>IFERROR(__xludf.DUMMYFUNCTION("""COMPUTED_VALUE"""),"{""typ"":""lc"",""txt"":""LC_ITEM_city_shield_day_usetip"",""args"":[{""typ"":""int"",""val"":30}]}")</f>
        <v>{"typ":"lc","txt":"LC_ITEM_city_shield_day_usetip","args":[{"typ":"int","val":30}]}</v>
      </c>
      <c r="M1486" s="148">
        <f>IFERROR(__xludf.DUMMYFUNCTION("""COMPUTED_VALUE"""),45000.0)</f>
        <v>45000</v>
      </c>
      <c r="N1486" s="148">
        <f>IFERROR(__xludf.DUMMYFUNCTION("""COMPUTED_VALUE"""),999999.0)</f>
        <v>999999</v>
      </c>
      <c r="O1486" s="148">
        <f>IFERROR(__xludf.DUMMYFUNCTION("""COMPUTED_VALUE"""),99999.0)</f>
        <v>99999</v>
      </c>
      <c r="P1486" s="148">
        <f>IFERROR(__xludf.DUMMYFUNCTION("""COMPUTED_VALUE"""),1.0)</f>
        <v>1</v>
      </c>
      <c r="Q1486" s="148" t="str">
        <f>IFERROR(__xludf.DUMMYFUNCTION("""COMPUTED_VALUE"""),"[""bag_buff"",""buff_city""]")</f>
        <v>["bag_buff","buff_city"]</v>
      </c>
      <c r="R1486" s="148" t="str">
        <f>IFERROR(__xludf.DUMMYFUNCTION("""COMPUTED_VALUE"""),"[""bag"",""bag_buff"",""buff_city""]")</f>
        <v>["bag","bag_buff","buff_city"]</v>
      </c>
      <c r="S1486" s="148" t="str">
        <f>IFERROR(__xludf.DUMMYFUNCTION("""COMPUTED_VALUE"""),"{""effect"":[{""typ"":""buff"",""id"":12113025,""val"":2592000000},{""typ"":""building"",""id"":111811,""val"":15}]}")</f>
        <v>{"effect":[{"typ":"buff","id":12113025,"val":2592000000},{"typ":"building","id":111811,"val":15}]}</v>
      </c>
      <c r="T1486" s="148">
        <f>IFERROR(__xludf.DUMMYFUNCTION("""COMPUTED_VALUE"""),-1.0)</f>
        <v>-1</v>
      </c>
      <c r="U1486" s="148">
        <f>IFERROR(__xludf.DUMMYFUNCTION("""COMPUTED_VALUE"""),0.0)</f>
        <v>0</v>
      </c>
      <c r="V1486" s="148" t="str">
        <f>IFERROR(__xludf.DUMMYFUNCTION("""COMPUTED_VALUE"""),"[]")</f>
        <v>[]</v>
      </c>
      <c r="W1486" s="148">
        <f>IFERROR(__xludf.DUMMYFUNCTION("""COMPUTED_VALUE"""),1.174E7)</f>
        <v>11740000</v>
      </c>
      <c r="X1486" s="148">
        <f>IFERROR(__xludf.DUMMYFUNCTION("""COMPUTED_VALUE"""),0.0)</f>
        <v>0</v>
      </c>
      <c r="Y1486" s="148">
        <f>IFERROR(__xludf.DUMMYFUNCTION("""COMPUTED_VALUE"""),0.0)</f>
        <v>0</v>
      </c>
      <c r="Z1486" s="148"/>
    </row>
    <row r="1487">
      <c r="A1487" s="148">
        <f>IFERROR(__xludf.DUMMYFUNCTION("""COMPUTED_VALUE"""),1.1117128E7)</f>
        <v>11117128</v>
      </c>
      <c r="B1487" s="148" t="str">
        <f>IFERROR(__xludf.DUMMYFUNCTION("""COMPUTED_VALUE"""),"行军特效-蓝色长虹-1天限时")</f>
        <v>行军特效-蓝色长虹-1天限时</v>
      </c>
      <c r="C1487" s="148"/>
      <c r="D1487" s="148" t="str">
        <f>IFERROR(__xludf.DUMMYFUNCTION("""COMPUTED_VALUE"""),"marching_effect")</f>
        <v>marching_effect</v>
      </c>
      <c r="E1487" s="148">
        <f>IFERROR(__xludf.DUMMYFUNCTION("""COMPUTED_VALUE"""),0.0)</f>
        <v>0</v>
      </c>
      <c r="F1487" s="148">
        <f>IFERROR(__xludf.DUMMYFUNCTION("""COMPUTED_VALUE"""),408305.0)</f>
        <v>408305</v>
      </c>
      <c r="G1487" s="148">
        <f>IFERROR(__xludf.DUMMYFUNCTION("""COMPUTED_VALUE"""),1.5114774E7)</f>
        <v>15114774</v>
      </c>
      <c r="H1487" s="148">
        <f>IFERROR(__xludf.DUMMYFUNCTION("""COMPUTED_VALUE"""),1.5112562E7)</f>
        <v>15112562</v>
      </c>
      <c r="I1487" s="148" t="str">
        <f>IFERROR(__xludf.DUMMYFUNCTION("""COMPUTED_VALUE"""),"{""typ"":""lc"",""txt"":""LC_ITEM_time_day_upper_show"",""args"":[{""typ"":""int_unit"",""val"":1}]}")</f>
        <v>{"typ":"lc","txt":"LC_ITEM_time_day_upper_show","args":[{"typ":"int_unit","val":1}]}</v>
      </c>
      <c r="J1487" s="148" t="str">
        <f>IFERROR(__xludf.DUMMYFUNCTION("""COMPUTED_VALUE"""),"{""typ"":""lc"",""txt"":""LC_BUILDING_march_effect_name_1""}")</f>
        <v>{"typ":"lc","txt":"LC_BUILDING_march_effect_name_1"}</v>
      </c>
      <c r="K1487" s="148" t="str">
        <f>IFERROR(__xludf.DUMMYFUNCTION("""COMPUTED_VALUE"""),"{""typ"":""lc"",""txt"":""LC_BUILDING_march_effect_tip_1""}")</f>
        <v>{"typ":"lc","txt":"LC_BUILDING_march_effect_tip_1"}</v>
      </c>
      <c r="L1487" s="148" t="str">
        <f>IFERROR(__xludf.DUMMYFUNCTION("""COMPUTED_VALUE"""),"{""typ"":""lc"",""txt"":""LC_ITEM_march_effect_usetip_1_24h""}")</f>
        <v>{"typ":"lc","txt":"LC_ITEM_march_effect_usetip_1_24h"}</v>
      </c>
      <c r="M1487" s="148">
        <f>IFERROR(__xludf.DUMMYFUNCTION("""COMPUTED_VALUE"""),50.0)</f>
        <v>50</v>
      </c>
      <c r="N1487" s="148">
        <f>IFERROR(__xludf.DUMMYFUNCTION("""COMPUTED_VALUE"""),999999.0)</f>
        <v>999999</v>
      </c>
      <c r="O1487" s="148">
        <f>IFERROR(__xludf.DUMMYFUNCTION("""COMPUTED_VALUE"""),99999.0)</f>
        <v>99999</v>
      </c>
      <c r="P1487" s="148">
        <f>IFERROR(__xludf.DUMMYFUNCTION("""COMPUTED_VALUE"""),1.0)</f>
        <v>1</v>
      </c>
      <c r="Q1487" s="148" t="str">
        <f>IFERROR(__xludf.DUMMYFUNCTION("""COMPUTED_VALUE"""),"[""bag_other""]")</f>
        <v>["bag_other"]</v>
      </c>
      <c r="R1487" s="148" t="str">
        <f>IFERROR(__xludf.DUMMYFUNCTION("""COMPUTED_VALUE"""),"[""bag"",""13650101""]")</f>
        <v>["bag","13650101"]</v>
      </c>
      <c r="S1487" s="148" t="str">
        <f>IFERROR(__xludf.DUMMYFUNCTION("""COMPUTED_VALUE"""),"{""effect"":[{""typ"":""marching_effect"",""id"":13650101,""val"":86400000},{""typ"":""vm"",""id"":11151004,""val"":10}]}")</f>
        <v>{"effect":[{"typ":"marching_effect","id":13650101,"val":86400000},{"typ":"vm","id":11151004,"val":10}]}</v>
      </c>
      <c r="T1487" s="148">
        <f>IFERROR(__xludf.DUMMYFUNCTION("""COMPUTED_VALUE"""),-1.0)</f>
        <v>-1</v>
      </c>
      <c r="U1487" s="148">
        <f>IFERROR(__xludf.DUMMYFUNCTION("""COMPUTED_VALUE"""),0.0)</f>
        <v>0</v>
      </c>
      <c r="V1487" s="148" t="str">
        <f>IFERROR(__xludf.DUMMYFUNCTION("""COMPUTED_VALUE"""),"[]")</f>
        <v>[]</v>
      </c>
      <c r="W1487" s="148">
        <f>IFERROR(__xludf.DUMMYFUNCTION("""COMPUTED_VALUE"""),1.174E7)</f>
        <v>11740000</v>
      </c>
      <c r="X1487" s="148">
        <f>IFERROR(__xludf.DUMMYFUNCTION("""COMPUTED_VALUE"""),0.0)</f>
        <v>0</v>
      </c>
      <c r="Y1487" s="148">
        <f>IFERROR(__xludf.DUMMYFUNCTION("""COMPUTED_VALUE"""),0.0)</f>
        <v>0</v>
      </c>
      <c r="Z1487" s="148"/>
    </row>
    <row r="1488">
      <c r="A1488" s="148">
        <f>IFERROR(__xludf.DUMMYFUNCTION("""COMPUTED_VALUE"""),1.1117129E7)</f>
        <v>11117129</v>
      </c>
      <c r="B1488" s="148" t="str">
        <f>IFERROR(__xludf.DUMMYFUNCTION("""COMPUTED_VALUE"""),"行军特效-蓝色长虹-3天限时")</f>
        <v>行军特效-蓝色长虹-3天限时</v>
      </c>
      <c r="C1488" s="148"/>
      <c r="D1488" s="148" t="str">
        <f>IFERROR(__xludf.DUMMYFUNCTION("""COMPUTED_VALUE"""),"marching_effect")</f>
        <v>marching_effect</v>
      </c>
      <c r="E1488" s="148">
        <f>IFERROR(__xludf.DUMMYFUNCTION("""COMPUTED_VALUE"""),0.0)</f>
        <v>0</v>
      </c>
      <c r="F1488" s="148">
        <f>IFERROR(__xludf.DUMMYFUNCTION("""COMPUTED_VALUE"""),408304.0)</f>
        <v>408304</v>
      </c>
      <c r="G1488" s="148">
        <f>IFERROR(__xludf.DUMMYFUNCTION("""COMPUTED_VALUE"""),1.5114774E7)</f>
        <v>15114774</v>
      </c>
      <c r="H1488" s="148">
        <f>IFERROR(__xludf.DUMMYFUNCTION("""COMPUTED_VALUE"""),1.5112562E7)</f>
        <v>15112562</v>
      </c>
      <c r="I1488" s="148" t="str">
        <f>IFERROR(__xludf.DUMMYFUNCTION("""COMPUTED_VALUE"""),"{""typ"":""lc"",""txt"":""LC_ITEM_time_day_upper_show"",""args"":[{""typ"":""int_unit"",""val"":3}]}")</f>
        <v>{"typ":"lc","txt":"LC_ITEM_time_day_upper_show","args":[{"typ":"int_unit","val":3}]}</v>
      </c>
      <c r="J1488" s="148" t="str">
        <f>IFERROR(__xludf.DUMMYFUNCTION("""COMPUTED_VALUE"""),"{""typ"":""lc"",""txt"":""LC_BUILDING_march_effect_name_1""}")</f>
        <v>{"typ":"lc","txt":"LC_BUILDING_march_effect_name_1"}</v>
      </c>
      <c r="K1488" s="148" t="str">
        <f>IFERROR(__xludf.DUMMYFUNCTION("""COMPUTED_VALUE"""),"{""typ"":""lc"",""txt"":""LC_BUILDING_march_effect_tip_1""}")</f>
        <v>{"typ":"lc","txt":"LC_BUILDING_march_effect_tip_1"}</v>
      </c>
      <c r="L1488" s="148" t="str">
        <f>IFERROR(__xludf.DUMMYFUNCTION("""COMPUTED_VALUE"""),"{""typ"":""lc"",""txt"":""LC_ITEM_march_effect_usetip_1_72h""}")</f>
        <v>{"typ":"lc","txt":"LC_ITEM_march_effect_usetip_1_72h"}</v>
      </c>
      <c r="M1488" s="148">
        <f>IFERROR(__xludf.DUMMYFUNCTION("""COMPUTED_VALUE"""),200.0)</f>
        <v>200</v>
      </c>
      <c r="N1488" s="148">
        <f>IFERROR(__xludf.DUMMYFUNCTION("""COMPUTED_VALUE"""),999999.0)</f>
        <v>999999</v>
      </c>
      <c r="O1488" s="148">
        <f>IFERROR(__xludf.DUMMYFUNCTION("""COMPUTED_VALUE"""),99999.0)</f>
        <v>99999</v>
      </c>
      <c r="P1488" s="148">
        <f>IFERROR(__xludf.DUMMYFUNCTION("""COMPUTED_VALUE"""),1.0)</f>
        <v>1</v>
      </c>
      <c r="Q1488" s="148" t="str">
        <f>IFERROR(__xludf.DUMMYFUNCTION("""COMPUTED_VALUE"""),"[""bag_other""]")</f>
        <v>["bag_other"]</v>
      </c>
      <c r="R1488" s="148" t="str">
        <f>IFERROR(__xludf.DUMMYFUNCTION("""COMPUTED_VALUE"""),"[""bag"",""13650101""]")</f>
        <v>["bag","13650101"]</v>
      </c>
      <c r="S1488" s="148" t="str">
        <f>IFERROR(__xludf.DUMMYFUNCTION("""COMPUTED_VALUE"""),"{""effect"":[{""typ"":""marching_effect"",""id"":13650101,""val"":259200000},{""typ"":""vm"",""id"":11151004,""val"":40}]}")</f>
        <v>{"effect":[{"typ":"marching_effect","id":13650101,"val":259200000},{"typ":"vm","id":11151004,"val":40}]}</v>
      </c>
      <c r="T1488" s="148">
        <f>IFERROR(__xludf.DUMMYFUNCTION("""COMPUTED_VALUE"""),-1.0)</f>
        <v>-1</v>
      </c>
      <c r="U1488" s="148">
        <f>IFERROR(__xludf.DUMMYFUNCTION("""COMPUTED_VALUE"""),0.0)</f>
        <v>0</v>
      </c>
      <c r="V1488" s="148" t="str">
        <f>IFERROR(__xludf.DUMMYFUNCTION("""COMPUTED_VALUE"""),"[]")</f>
        <v>[]</v>
      </c>
      <c r="W1488" s="148">
        <f>IFERROR(__xludf.DUMMYFUNCTION("""COMPUTED_VALUE"""),1.174E7)</f>
        <v>11740000</v>
      </c>
      <c r="X1488" s="148">
        <f>IFERROR(__xludf.DUMMYFUNCTION("""COMPUTED_VALUE"""),0.0)</f>
        <v>0</v>
      </c>
      <c r="Y1488" s="148">
        <f>IFERROR(__xludf.DUMMYFUNCTION("""COMPUTED_VALUE"""),0.0)</f>
        <v>0</v>
      </c>
      <c r="Z1488" s="148"/>
    </row>
    <row r="1489">
      <c r="A1489" s="148">
        <f>IFERROR(__xludf.DUMMYFUNCTION("""COMPUTED_VALUE"""),1.111713E7)</f>
        <v>11117130</v>
      </c>
      <c r="B1489" s="148" t="str">
        <f>IFERROR(__xludf.DUMMYFUNCTION("""COMPUTED_VALUE"""),"行军特效-蓝色长虹-7天限时")</f>
        <v>行军特效-蓝色长虹-7天限时</v>
      </c>
      <c r="C1489" s="148"/>
      <c r="D1489" s="148" t="str">
        <f>IFERROR(__xludf.DUMMYFUNCTION("""COMPUTED_VALUE"""),"marching_effect")</f>
        <v>marching_effect</v>
      </c>
      <c r="E1489" s="148">
        <f>IFERROR(__xludf.DUMMYFUNCTION("""COMPUTED_VALUE"""),0.0)</f>
        <v>0</v>
      </c>
      <c r="F1489" s="148">
        <f>IFERROR(__xludf.DUMMYFUNCTION("""COMPUTED_VALUE"""),408303.0)</f>
        <v>408303</v>
      </c>
      <c r="G1489" s="148">
        <f>IFERROR(__xludf.DUMMYFUNCTION("""COMPUTED_VALUE"""),1.5114774E7)</f>
        <v>15114774</v>
      </c>
      <c r="H1489" s="148">
        <f>IFERROR(__xludf.DUMMYFUNCTION("""COMPUTED_VALUE"""),1.5112562E7)</f>
        <v>15112562</v>
      </c>
      <c r="I1489" s="148" t="str">
        <f>IFERROR(__xludf.DUMMYFUNCTION("""COMPUTED_VALUE"""),"{""typ"":""lc"",""txt"":""LC_ITEM_time_day_upper_show"",""args"":[{""typ"":""int_unit"",""val"":7}]}")</f>
        <v>{"typ":"lc","txt":"LC_ITEM_time_day_upper_show","args":[{"typ":"int_unit","val":7}]}</v>
      </c>
      <c r="J1489" s="148" t="str">
        <f>IFERROR(__xludf.DUMMYFUNCTION("""COMPUTED_VALUE"""),"{""typ"":""lc"",""txt"":""LC_BUILDING_march_effect_name_1""}")</f>
        <v>{"typ":"lc","txt":"LC_BUILDING_march_effect_name_1"}</v>
      </c>
      <c r="K1489" s="148" t="str">
        <f>IFERROR(__xludf.DUMMYFUNCTION("""COMPUTED_VALUE"""),"{""typ"":""lc"",""txt"":""LC_BUILDING_march_effect_tip_1""}")</f>
        <v>{"typ":"lc","txt":"LC_BUILDING_march_effect_tip_1"}</v>
      </c>
      <c r="L1489" s="148" t="str">
        <f>IFERROR(__xludf.DUMMYFUNCTION("""COMPUTED_VALUE"""),"{""typ"":""lc"",""txt"":""LC_ITEM_march_effect_usetip_1_168h""}")</f>
        <v>{"typ":"lc","txt":"LC_ITEM_march_effect_usetip_1_168h"}</v>
      </c>
      <c r="M1489" s="148">
        <f>IFERROR(__xludf.DUMMYFUNCTION("""COMPUTED_VALUE"""),500.0)</f>
        <v>500</v>
      </c>
      <c r="N1489" s="148">
        <f>IFERROR(__xludf.DUMMYFUNCTION("""COMPUTED_VALUE"""),999999.0)</f>
        <v>999999</v>
      </c>
      <c r="O1489" s="148">
        <f>IFERROR(__xludf.DUMMYFUNCTION("""COMPUTED_VALUE"""),99999.0)</f>
        <v>99999</v>
      </c>
      <c r="P1489" s="148">
        <f>IFERROR(__xludf.DUMMYFUNCTION("""COMPUTED_VALUE"""),1.0)</f>
        <v>1</v>
      </c>
      <c r="Q1489" s="148" t="str">
        <f>IFERROR(__xludf.DUMMYFUNCTION("""COMPUTED_VALUE"""),"[""bag_other""]")</f>
        <v>["bag_other"]</v>
      </c>
      <c r="R1489" s="148" t="str">
        <f>IFERROR(__xludf.DUMMYFUNCTION("""COMPUTED_VALUE"""),"[""bag"",""13650101""]")</f>
        <v>["bag","13650101"]</v>
      </c>
      <c r="S1489" s="148" t="str">
        <f>IFERROR(__xludf.DUMMYFUNCTION("""COMPUTED_VALUE"""),"{""effect"":[{""typ"":""marching_effect"",""id"":13650101,""val"":604800000},{""typ"":""vm"",""id"":11151004,""val"":100}]}")</f>
        <v>{"effect":[{"typ":"marching_effect","id":13650101,"val":604800000},{"typ":"vm","id":11151004,"val":100}]}</v>
      </c>
      <c r="T1489" s="148">
        <f>IFERROR(__xludf.DUMMYFUNCTION("""COMPUTED_VALUE"""),-1.0)</f>
        <v>-1</v>
      </c>
      <c r="U1489" s="148">
        <f>IFERROR(__xludf.DUMMYFUNCTION("""COMPUTED_VALUE"""),0.0)</f>
        <v>0</v>
      </c>
      <c r="V1489" s="148" t="str">
        <f>IFERROR(__xludf.DUMMYFUNCTION("""COMPUTED_VALUE"""),"[]")</f>
        <v>[]</v>
      </c>
      <c r="W1489" s="148">
        <f>IFERROR(__xludf.DUMMYFUNCTION("""COMPUTED_VALUE"""),1.174E7)</f>
        <v>11740000</v>
      </c>
      <c r="X1489" s="148">
        <f>IFERROR(__xludf.DUMMYFUNCTION("""COMPUTED_VALUE"""),0.0)</f>
        <v>0</v>
      </c>
      <c r="Y1489" s="148">
        <f>IFERROR(__xludf.DUMMYFUNCTION("""COMPUTED_VALUE"""),0.0)</f>
        <v>0</v>
      </c>
      <c r="Z1489" s="148"/>
    </row>
    <row r="1490">
      <c r="A1490" s="148">
        <f>IFERROR(__xludf.DUMMYFUNCTION("""COMPUTED_VALUE"""),1.1117131E7)</f>
        <v>11117131</v>
      </c>
      <c r="B1490" s="148" t="str">
        <f>IFERROR(__xludf.DUMMYFUNCTION("""COMPUTED_VALUE"""),"行军特效-蓝色长虹-14天限时")</f>
        <v>行军特效-蓝色长虹-14天限时</v>
      </c>
      <c r="C1490" s="148"/>
      <c r="D1490" s="148" t="str">
        <f>IFERROR(__xludf.DUMMYFUNCTION("""COMPUTED_VALUE"""),"marching_effect")</f>
        <v>marching_effect</v>
      </c>
      <c r="E1490" s="148">
        <f>IFERROR(__xludf.DUMMYFUNCTION("""COMPUTED_VALUE"""),0.0)</f>
        <v>0</v>
      </c>
      <c r="F1490" s="148">
        <f>IFERROR(__xludf.DUMMYFUNCTION("""COMPUTED_VALUE"""),408302.0)</f>
        <v>408302</v>
      </c>
      <c r="G1490" s="148">
        <f>IFERROR(__xludf.DUMMYFUNCTION("""COMPUTED_VALUE"""),1.5114774E7)</f>
        <v>15114774</v>
      </c>
      <c r="H1490" s="148">
        <f>IFERROR(__xludf.DUMMYFUNCTION("""COMPUTED_VALUE"""),1.5112562E7)</f>
        <v>15112562</v>
      </c>
      <c r="I1490" s="148" t="str">
        <f>IFERROR(__xludf.DUMMYFUNCTION("""COMPUTED_VALUE"""),"{""typ"":""lc"",""txt"":""LC_ITEM_time_day_upper_show"",""args"":[{""typ"":""int_unit"",""val"":14}]}")</f>
        <v>{"typ":"lc","txt":"LC_ITEM_time_day_upper_show","args":[{"typ":"int_unit","val":14}]}</v>
      </c>
      <c r="J1490" s="148" t="str">
        <f>IFERROR(__xludf.DUMMYFUNCTION("""COMPUTED_VALUE"""),"{""typ"":""lc"",""txt"":""LC_BUILDING_march_effect_name_1""}")</f>
        <v>{"typ":"lc","txt":"LC_BUILDING_march_effect_name_1"}</v>
      </c>
      <c r="K1490" s="148" t="str">
        <f>IFERROR(__xludf.DUMMYFUNCTION("""COMPUTED_VALUE"""),"{""typ"":""lc"",""txt"":""LC_BUILDING_march_effect_tip_1""}")</f>
        <v>{"typ":"lc","txt":"LC_BUILDING_march_effect_tip_1"}</v>
      </c>
      <c r="L1490" s="148" t="str">
        <f>IFERROR(__xludf.DUMMYFUNCTION("""COMPUTED_VALUE"""),"{""typ"":""lc"",""txt"":""LC_ITEM_march_effect_usetip_1_336h""}")</f>
        <v>{"typ":"lc","txt":"LC_ITEM_march_effect_usetip_1_336h"}</v>
      </c>
      <c r="M1490" s="148">
        <f>IFERROR(__xludf.DUMMYFUNCTION("""COMPUTED_VALUE"""),1000.0)</f>
        <v>1000</v>
      </c>
      <c r="N1490" s="148">
        <f>IFERROR(__xludf.DUMMYFUNCTION("""COMPUTED_VALUE"""),999999.0)</f>
        <v>999999</v>
      </c>
      <c r="O1490" s="148">
        <f>IFERROR(__xludf.DUMMYFUNCTION("""COMPUTED_VALUE"""),99999.0)</f>
        <v>99999</v>
      </c>
      <c r="P1490" s="148">
        <f>IFERROR(__xludf.DUMMYFUNCTION("""COMPUTED_VALUE"""),1.0)</f>
        <v>1</v>
      </c>
      <c r="Q1490" s="148" t="str">
        <f>IFERROR(__xludf.DUMMYFUNCTION("""COMPUTED_VALUE"""),"[""bag_other""]")</f>
        <v>["bag_other"]</v>
      </c>
      <c r="R1490" s="148" t="str">
        <f>IFERROR(__xludf.DUMMYFUNCTION("""COMPUTED_VALUE"""),"[""bag"",""13650101""]")</f>
        <v>["bag","13650101"]</v>
      </c>
      <c r="S1490" s="148" t="str">
        <f>IFERROR(__xludf.DUMMYFUNCTION("""COMPUTED_VALUE"""),"{""effect"":[{""typ"":""marching_effect"",""id"":13650101,""val"":1209600000},{""typ"":""vm"",""id"":11151004,""val"":200}]}")</f>
        <v>{"effect":[{"typ":"marching_effect","id":13650101,"val":1209600000},{"typ":"vm","id":11151004,"val":200}]}</v>
      </c>
      <c r="T1490" s="148">
        <f>IFERROR(__xludf.DUMMYFUNCTION("""COMPUTED_VALUE"""),-1.0)</f>
        <v>-1</v>
      </c>
      <c r="U1490" s="148">
        <f>IFERROR(__xludf.DUMMYFUNCTION("""COMPUTED_VALUE"""),0.0)</f>
        <v>0</v>
      </c>
      <c r="V1490" s="148" t="str">
        <f>IFERROR(__xludf.DUMMYFUNCTION("""COMPUTED_VALUE"""),"[]")</f>
        <v>[]</v>
      </c>
      <c r="W1490" s="148">
        <f>IFERROR(__xludf.DUMMYFUNCTION("""COMPUTED_VALUE"""),1.174E7)</f>
        <v>11740000</v>
      </c>
      <c r="X1490" s="148">
        <f>IFERROR(__xludf.DUMMYFUNCTION("""COMPUTED_VALUE"""),0.0)</f>
        <v>0</v>
      </c>
      <c r="Y1490" s="148">
        <f>IFERROR(__xludf.DUMMYFUNCTION("""COMPUTED_VALUE"""),0.0)</f>
        <v>0</v>
      </c>
      <c r="Z1490" s="148"/>
    </row>
    <row r="1491">
      <c r="A1491" s="148">
        <f>IFERROR(__xludf.DUMMYFUNCTION("""COMPUTED_VALUE"""),1.1117132E7)</f>
        <v>11117132</v>
      </c>
      <c r="B1491" s="148" t="str">
        <f>IFERROR(__xludf.DUMMYFUNCTION("""COMPUTED_VALUE"""),"行军特效-蓝色长虹-永久")</f>
        <v>行军特效-蓝色长虹-永久</v>
      </c>
      <c r="C1491" s="148"/>
      <c r="D1491" s="148" t="str">
        <f>IFERROR(__xludf.DUMMYFUNCTION("""COMPUTED_VALUE"""),"marching_effect")</f>
        <v>marching_effect</v>
      </c>
      <c r="E1491" s="148">
        <f>IFERROR(__xludf.DUMMYFUNCTION("""COMPUTED_VALUE"""),0.0)</f>
        <v>0</v>
      </c>
      <c r="F1491" s="148">
        <f>IFERROR(__xludf.DUMMYFUNCTION("""COMPUTED_VALUE"""),408301.0)</f>
        <v>408301</v>
      </c>
      <c r="G1491" s="148">
        <f>IFERROR(__xludf.DUMMYFUNCTION("""COMPUTED_VALUE"""),1.5114774E7)</f>
        <v>15114774</v>
      </c>
      <c r="H1491" s="148">
        <f>IFERROR(__xludf.DUMMYFUNCTION("""COMPUTED_VALUE"""),1.5112562E7)</f>
        <v>15112562</v>
      </c>
      <c r="I1491" s="148" t="str">
        <f>IFERROR(__xludf.DUMMYFUNCTION("""COMPUTED_VALUE"""),"{}")</f>
        <v>{}</v>
      </c>
      <c r="J1491" s="148" t="str">
        <f>IFERROR(__xludf.DUMMYFUNCTION("""COMPUTED_VALUE"""),"{""typ"":""lc"",""txt"":""LC_BUILDING_march_effect_name_1""}")</f>
        <v>{"typ":"lc","txt":"LC_BUILDING_march_effect_name_1"}</v>
      </c>
      <c r="K1491" s="148" t="str">
        <f>IFERROR(__xludf.DUMMYFUNCTION("""COMPUTED_VALUE"""),"{""typ"":""lc"",""txt"":""LC_BUILDING_march_effect_tip_1""}")</f>
        <v>{"typ":"lc","txt":"LC_BUILDING_march_effect_tip_1"}</v>
      </c>
      <c r="L1491" s="148" t="str">
        <f>IFERROR(__xludf.DUMMYFUNCTION("""COMPUTED_VALUE"""),"{""typ"":""lc"",""txt"":""LC_ITEM_march_effect_usetip_1""}")</f>
        <v>{"typ":"lc","txt":"LC_ITEM_march_effect_usetip_1"}</v>
      </c>
      <c r="M1491" s="148">
        <f>IFERROR(__xludf.DUMMYFUNCTION("""COMPUTED_VALUE"""),5000.0)</f>
        <v>5000</v>
      </c>
      <c r="N1491" s="148">
        <f>IFERROR(__xludf.DUMMYFUNCTION("""COMPUTED_VALUE"""),999999.0)</f>
        <v>999999</v>
      </c>
      <c r="O1491" s="148">
        <f>IFERROR(__xludf.DUMMYFUNCTION("""COMPUTED_VALUE"""),99999.0)</f>
        <v>99999</v>
      </c>
      <c r="P1491" s="148">
        <f>IFERROR(__xludf.DUMMYFUNCTION("""COMPUTED_VALUE"""),1.0)</f>
        <v>1</v>
      </c>
      <c r="Q1491" s="148" t="str">
        <f>IFERROR(__xludf.DUMMYFUNCTION("""COMPUTED_VALUE"""),"[""bag_other""]")</f>
        <v>["bag_other"]</v>
      </c>
      <c r="R1491" s="148" t="str">
        <f>IFERROR(__xludf.DUMMYFUNCTION("""COMPUTED_VALUE"""),"[""bag"",""13650101""]")</f>
        <v>["bag","13650101"]</v>
      </c>
      <c r="S1491" s="148" t="str">
        <f>IFERROR(__xludf.DUMMYFUNCTION("""COMPUTED_VALUE"""),"{""effect"":[{""typ"":""marching_effect"",""id"":13650101,""val"":-1},{""typ"":""vm"",""id"":11151004,""val"":500}]}")</f>
        <v>{"effect":[{"typ":"marching_effect","id":13650101,"val":-1},{"typ":"vm","id":11151004,"val":500}]}</v>
      </c>
      <c r="T1491" s="148">
        <f>IFERROR(__xludf.DUMMYFUNCTION("""COMPUTED_VALUE"""),-1.0)</f>
        <v>-1</v>
      </c>
      <c r="U1491" s="148">
        <f>IFERROR(__xludf.DUMMYFUNCTION("""COMPUTED_VALUE"""),0.0)</f>
        <v>0</v>
      </c>
      <c r="V1491" s="148" t="str">
        <f>IFERROR(__xludf.DUMMYFUNCTION("""COMPUTED_VALUE"""),"[]")</f>
        <v>[]</v>
      </c>
      <c r="W1491" s="148">
        <f>IFERROR(__xludf.DUMMYFUNCTION("""COMPUTED_VALUE"""),1.174E7)</f>
        <v>11740000</v>
      </c>
      <c r="X1491" s="148">
        <f>IFERROR(__xludf.DUMMYFUNCTION("""COMPUTED_VALUE"""),0.0)</f>
        <v>0</v>
      </c>
      <c r="Y1491" s="148">
        <f>IFERROR(__xludf.DUMMYFUNCTION("""COMPUTED_VALUE"""),0.0)</f>
        <v>0</v>
      </c>
      <c r="Z1491" s="148"/>
    </row>
    <row r="1492">
      <c r="A1492" s="148">
        <f>IFERROR(__xludf.DUMMYFUNCTION("""COMPUTED_VALUE"""),1.1117133E7)</f>
        <v>11117133</v>
      </c>
      <c r="B1492" s="148" t="str">
        <f>IFERROR(__xludf.DUMMYFUNCTION("""COMPUTED_VALUE"""),"行军特效-紫色幻影-1天限时")</f>
        <v>行军特效-紫色幻影-1天限时</v>
      </c>
      <c r="C1492" s="148"/>
      <c r="D1492" s="148" t="str">
        <f>IFERROR(__xludf.DUMMYFUNCTION("""COMPUTED_VALUE"""),"marching_effect")</f>
        <v>marching_effect</v>
      </c>
      <c r="E1492" s="148">
        <f>IFERROR(__xludf.DUMMYFUNCTION("""COMPUTED_VALUE"""),0.0)</f>
        <v>0</v>
      </c>
      <c r="F1492" s="148">
        <f>IFERROR(__xludf.DUMMYFUNCTION("""COMPUTED_VALUE"""),408205.0)</f>
        <v>408205</v>
      </c>
      <c r="G1492" s="148">
        <f>IFERROR(__xludf.DUMMYFUNCTION("""COMPUTED_VALUE"""),1.5114775E7)</f>
        <v>15114775</v>
      </c>
      <c r="H1492" s="148">
        <f>IFERROR(__xludf.DUMMYFUNCTION("""COMPUTED_VALUE"""),1.5112563E7)</f>
        <v>15112563</v>
      </c>
      <c r="I1492" s="148" t="str">
        <f>IFERROR(__xludf.DUMMYFUNCTION("""COMPUTED_VALUE"""),"{""typ"":""lc"",""txt"":""LC_ITEM_time_day_upper_show"",""args"":[{""typ"":""int_unit"",""val"":1}]}")</f>
        <v>{"typ":"lc","txt":"LC_ITEM_time_day_upper_show","args":[{"typ":"int_unit","val":1}]}</v>
      </c>
      <c r="J1492" s="148" t="str">
        <f>IFERROR(__xludf.DUMMYFUNCTION("""COMPUTED_VALUE"""),"{""typ"":""lc"",""txt"":""LC_BUILDING_march_effect_name_2""}")</f>
        <v>{"typ":"lc","txt":"LC_BUILDING_march_effect_name_2"}</v>
      </c>
      <c r="K1492" s="148" t="str">
        <f>IFERROR(__xludf.DUMMYFUNCTION("""COMPUTED_VALUE"""),"{""typ"":""lc"",""txt"":""LC_BUILDING_march_effect_tip_2""}")</f>
        <v>{"typ":"lc","txt":"LC_BUILDING_march_effect_tip_2"}</v>
      </c>
      <c r="L1492" s="148" t="str">
        <f>IFERROR(__xludf.DUMMYFUNCTION("""COMPUTED_VALUE"""),"{""typ"":""lc"",""txt"":""LC_ITEM_march_effect_usetip_2_24h""}")</f>
        <v>{"typ":"lc","txt":"LC_ITEM_march_effect_usetip_2_24h"}</v>
      </c>
      <c r="M1492" s="148">
        <f>IFERROR(__xludf.DUMMYFUNCTION("""COMPUTED_VALUE"""),50.0)</f>
        <v>50</v>
      </c>
      <c r="N1492" s="148">
        <f>IFERROR(__xludf.DUMMYFUNCTION("""COMPUTED_VALUE"""),999999.0)</f>
        <v>999999</v>
      </c>
      <c r="O1492" s="148">
        <f>IFERROR(__xludf.DUMMYFUNCTION("""COMPUTED_VALUE"""),99999.0)</f>
        <v>99999</v>
      </c>
      <c r="P1492" s="148">
        <f>IFERROR(__xludf.DUMMYFUNCTION("""COMPUTED_VALUE"""),1.0)</f>
        <v>1</v>
      </c>
      <c r="Q1492" s="148" t="str">
        <f>IFERROR(__xludf.DUMMYFUNCTION("""COMPUTED_VALUE"""),"[""bag_other""]")</f>
        <v>["bag_other"]</v>
      </c>
      <c r="R1492" s="148" t="str">
        <f>IFERROR(__xludf.DUMMYFUNCTION("""COMPUTED_VALUE"""),"[""bag"",""13650102""]")</f>
        <v>["bag","13650102"]</v>
      </c>
      <c r="S1492" s="148" t="str">
        <f>IFERROR(__xludf.DUMMYFUNCTION("""COMPUTED_VALUE"""),"{""effect"":[{""typ"":""marching_effect"",""id"":13650102,""val"":86400000},{""typ"":""vm"",""id"":11151004,""val"":10}]}")</f>
        <v>{"effect":[{"typ":"marching_effect","id":13650102,"val":86400000},{"typ":"vm","id":11151004,"val":10}]}</v>
      </c>
      <c r="T1492" s="148">
        <f>IFERROR(__xludf.DUMMYFUNCTION("""COMPUTED_VALUE"""),-1.0)</f>
        <v>-1</v>
      </c>
      <c r="U1492" s="148">
        <f>IFERROR(__xludf.DUMMYFUNCTION("""COMPUTED_VALUE"""),0.0)</f>
        <v>0</v>
      </c>
      <c r="V1492" s="148" t="str">
        <f>IFERROR(__xludf.DUMMYFUNCTION("""COMPUTED_VALUE"""),"[]")</f>
        <v>[]</v>
      </c>
      <c r="W1492" s="148">
        <f>IFERROR(__xludf.DUMMYFUNCTION("""COMPUTED_VALUE"""),1.174E7)</f>
        <v>11740000</v>
      </c>
      <c r="X1492" s="148">
        <f>IFERROR(__xludf.DUMMYFUNCTION("""COMPUTED_VALUE"""),0.0)</f>
        <v>0</v>
      </c>
      <c r="Y1492" s="148">
        <f>IFERROR(__xludf.DUMMYFUNCTION("""COMPUTED_VALUE"""),0.0)</f>
        <v>0</v>
      </c>
      <c r="Z1492" s="148"/>
    </row>
    <row r="1493">
      <c r="A1493" s="148">
        <f>IFERROR(__xludf.DUMMYFUNCTION("""COMPUTED_VALUE"""),1.1117134E7)</f>
        <v>11117134</v>
      </c>
      <c r="B1493" s="148" t="str">
        <f>IFERROR(__xludf.DUMMYFUNCTION("""COMPUTED_VALUE"""),"行军特效-紫色幻影-3天限时")</f>
        <v>行军特效-紫色幻影-3天限时</v>
      </c>
      <c r="C1493" s="148"/>
      <c r="D1493" s="148" t="str">
        <f>IFERROR(__xludf.DUMMYFUNCTION("""COMPUTED_VALUE"""),"marching_effect")</f>
        <v>marching_effect</v>
      </c>
      <c r="E1493" s="148">
        <f>IFERROR(__xludf.DUMMYFUNCTION("""COMPUTED_VALUE"""),0.0)</f>
        <v>0</v>
      </c>
      <c r="F1493" s="148">
        <f>IFERROR(__xludf.DUMMYFUNCTION("""COMPUTED_VALUE"""),408204.0)</f>
        <v>408204</v>
      </c>
      <c r="G1493" s="148">
        <f>IFERROR(__xludf.DUMMYFUNCTION("""COMPUTED_VALUE"""),1.5114775E7)</f>
        <v>15114775</v>
      </c>
      <c r="H1493" s="148">
        <f>IFERROR(__xludf.DUMMYFUNCTION("""COMPUTED_VALUE"""),1.5112563E7)</f>
        <v>15112563</v>
      </c>
      <c r="I1493" s="148" t="str">
        <f>IFERROR(__xludf.DUMMYFUNCTION("""COMPUTED_VALUE"""),"{""typ"":""lc"",""txt"":""LC_ITEM_time_day_upper_show"",""args"":[{""typ"":""int_unit"",""val"":3}]}")</f>
        <v>{"typ":"lc","txt":"LC_ITEM_time_day_upper_show","args":[{"typ":"int_unit","val":3}]}</v>
      </c>
      <c r="J1493" s="148" t="str">
        <f>IFERROR(__xludf.DUMMYFUNCTION("""COMPUTED_VALUE"""),"{""typ"":""lc"",""txt"":""LC_BUILDING_march_effect_name_2""}")</f>
        <v>{"typ":"lc","txt":"LC_BUILDING_march_effect_name_2"}</v>
      </c>
      <c r="K1493" s="148" t="str">
        <f>IFERROR(__xludf.DUMMYFUNCTION("""COMPUTED_VALUE"""),"{""typ"":""lc"",""txt"":""LC_BUILDING_march_effect_tip_2""}")</f>
        <v>{"typ":"lc","txt":"LC_BUILDING_march_effect_tip_2"}</v>
      </c>
      <c r="L1493" s="148" t="str">
        <f>IFERROR(__xludf.DUMMYFUNCTION("""COMPUTED_VALUE"""),"{""typ"":""lc"",""txt"":""LC_ITEM_march_effect_usetip_2_72h""}")</f>
        <v>{"typ":"lc","txt":"LC_ITEM_march_effect_usetip_2_72h"}</v>
      </c>
      <c r="M1493" s="148">
        <f>IFERROR(__xludf.DUMMYFUNCTION("""COMPUTED_VALUE"""),200.0)</f>
        <v>200</v>
      </c>
      <c r="N1493" s="148">
        <f>IFERROR(__xludf.DUMMYFUNCTION("""COMPUTED_VALUE"""),999999.0)</f>
        <v>999999</v>
      </c>
      <c r="O1493" s="148">
        <f>IFERROR(__xludf.DUMMYFUNCTION("""COMPUTED_VALUE"""),99999.0)</f>
        <v>99999</v>
      </c>
      <c r="P1493" s="148">
        <f>IFERROR(__xludf.DUMMYFUNCTION("""COMPUTED_VALUE"""),1.0)</f>
        <v>1</v>
      </c>
      <c r="Q1493" s="148" t="str">
        <f>IFERROR(__xludf.DUMMYFUNCTION("""COMPUTED_VALUE"""),"[""bag_other""]")</f>
        <v>["bag_other"]</v>
      </c>
      <c r="R1493" s="148" t="str">
        <f>IFERROR(__xludf.DUMMYFUNCTION("""COMPUTED_VALUE"""),"[""bag"",""13650102""]")</f>
        <v>["bag","13650102"]</v>
      </c>
      <c r="S1493" s="148" t="str">
        <f>IFERROR(__xludf.DUMMYFUNCTION("""COMPUTED_VALUE"""),"{""effect"":[{""typ"":""marching_effect"",""id"":13650102,""val"":259200000},{""typ"":""vm"",""id"":11151004,""val"":40}]}")</f>
        <v>{"effect":[{"typ":"marching_effect","id":13650102,"val":259200000},{"typ":"vm","id":11151004,"val":40}]}</v>
      </c>
      <c r="T1493" s="148">
        <f>IFERROR(__xludf.DUMMYFUNCTION("""COMPUTED_VALUE"""),-1.0)</f>
        <v>-1</v>
      </c>
      <c r="U1493" s="148">
        <f>IFERROR(__xludf.DUMMYFUNCTION("""COMPUTED_VALUE"""),0.0)</f>
        <v>0</v>
      </c>
      <c r="V1493" s="148" t="str">
        <f>IFERROR(__xludf.DUMMYFUNCTION("""COMPUTED_VALUE"""),"[]")</f>
        <v>[]</v>
      </c>
      <c r="W1493" s="148">
        <f>IFERROR(__xludf.DUMMYFUNCTION("""COMPUTED_VALUE"""),1.174E7)</f>
        <v>11740000</v>
      </c>
      <c r="X1493" s="148">
        <f>IFERROR(__xludf.DUMMYFUNCTION("""COMPUTED_VALUE"""),0.0)</f>
        <v>0</v>
      </c>
      <c r="Y1493" s="148">
        <f>IFERROR(__xludf.DUMMYFUNCTION("""COMPUTED_VALUE"""),0.0)</f>
        <v>0</v>
      </c>
      <c r="Z1493" s="148"/>
    </row>
    <row r="1494">
      <c r="A1494" s="148">
        <f>IFERROR(__xludf.DUMMYFUNCTION("""COMPUTED_VALUE"""),1.1117135E7)</f>
        <v>11117135</v>
      </c>
      <c r="B1494" s="148" t="str">
        <f>IFERROR(__xludf.DUMMYFUNCTION("""COMPUTED_VALUE"""),"行军特效-紫色幻影-7天限时")</f>
        <v>行军特效-紫色幻影-7天限时</v>
      </c>
      <c r="C1494" s="148"/>
      <c r="D1494" s="148" t="str">
        <f>IFERROR(__xludf.DUMMYFUNCTION("""COMPUTED_VALUE"""),"marching_effect")</f>
        <v>marching_effect</v>
      </c>
      <c r="E1494" s="148">
        <f>IFERROR(__xludf.DUMMYFUNCTION("""COMPUTED_VALUE"""),0.0)</f>
        <v>0</v>
      </c>
      <c r="F1494" s="148">
        <f>IFERROR(__xludf.DUMMYFUNCTION("""COMPUTED_VALUE"""),408203.0)</f>
        <v>408203</v>
      </c>
      <c r="G1494" s="148">
        <f>IFERROR(__xludf.DUMMYFUNCTION("""COMPUTED_VALUE"""),1.5114775E7)</f>
        <v>15114775</v>
      </c>
      <c r="H1494" s="148">
        <f>IFERROR(__xludf.DUMMYFUNCTION("""COMPUTED_VALUE"""),1.5112563E7)</f>
        <v>15112563</v>
      </c>
      <c r="I1494" s="148" t="str">
        <f>IFERROR(__xludf.DUMMYFUNCTION("""COMPUTED_VALUE"""),"{""typ"":""lc"",""txt"":""LC_ITEM_time_day_upper_show"",""args"":[{""typ"":""int_unit"",""val"":7}]}")</f>
        <v>{"typ":"lc","txt":"LC_ITEM_time_day_upper_show","args":[{"typ":"int_unit","val":7}]}</v>
      </c>
      <c r="J1494" s="148" t="str">
        <f>IFERROR(__xludf.DUMMYFUNCTION("""COMPUTED_VALUE"""),"{""typ"":""lc"",""txt"":""LC_BUILDING_march_effect_name_2""}")</f>
        <v>{"typ":"lc","txt":"LC_BUILDING_march_effect_name_2"}</v>
      </c>
      <c r="K1494" s="148" t="str">
        <f>IFERROR(__xludf.DUMMYFUNCTION("""COMPUTED_VALUE"""),"{""typ"":""lc"",""txt"":""LC_BUILDING_march_effect_tip_2""}")</f>
        <v>{"typ":"lc","txt":"LC_BUILDING_march_effect_tip_2"}</v>
      </c>
      <c r="L1494" s="148" t="str">
        <f>IFERROR(__xludf.DUMMYFUNCTION("""COMPUTED_VALUE"""),"{""typ"":""lc"",""txt"":""LC_ITEM_march_effect_usetip_2_168h""}")</f>
        <v>{"typ":"lc","txt":"LC_ITEM_march_effect_usetip_2_168h"}</v>
      </c>
      <c r="M1494" s="148">
        <f>IFERROR(__xludf.DUMMYFUNCTION("""COMPUTED_VALUE"""),500.0)</f>
        <v>500</v>
      </c>
      <c r="N1494" s="148">
        <f>IFERROR(__xludf.DUMMYFUNCTION("""COMPUTED_VALUE"""),999999.0)</f>
        <v>999999</v>
      </c>
      <c r="O1494" s="148">
        <f>IFERROR(__xludf.DUMMYFUNCTION("""COMPUTED_VALUE"""),99999.0)</f>
        <v>99999</v>
      </c>
      <c r="P1494" s="148">
        <f>IFERROR(__xludf.DUMMYFUNCTION("""COMPUTED_VALUE"""),1.0)</f>
        <v>1</v>
      </c>
      <c r="Q1494" s="148" t="str">
        <f>IFERROR(__xludf.DUMMYFUNCTION("""COMPUTED_VALUE"""),"[""bag_other""]")</f>
        <v>["bag_other"]</v>
      </c>
      <c r="R1494" s="148" t="str">
        <f>IFERROR(__xludf.DUMMYFUNCTION("""COMPUTED_VALUE"""),"[""bag"",""13650102""]")</f>
        <v>["bag","13650102"]</v>
      </c>
      <c r="S1494" s="148" t="str">
        <f>IFERROR(__xludf.DUMMYFUNCTION("""COMPUTED_VALUE"""),"{""effect"":[{""typ"":""marching_effect"",""id"":13650102,""val"":604800000},{""typ"":""vm"",""id"":11151004,""val"":100}]}")</f>
        <v>{"effect":[{"typ":"marching_effect","id":13650102,"val":604800000},{"typ":"vm","id":11151004,"val":100}]}</v>
      </c>
      <c r="T1494" s="148">
        <f>IFERROR(__xludf.DUMMYFUNCTION("""COMPUTED_VALUE"""),-1.0)</f>
        <v>-1</v>
      </c>
      <c r="U1494" s="148">
        <f>IFERROR(__xludf.DUMMYFUNCTION("""COMPUTED_VALUE"""),0.0)</f>
        <v>0</v>
      </c>
      <c r="V1494" s="148" t="str">
        <f>IFERROR(__xludf.DUMMYFUNCTION("""COMPUTED_VALUE"""),"[]")</f>
        <v>[]</v>
      </c>
      <c r="W1494" s="148">
        <f>IFERROR(__xludf.DUMMYFUNCTION("""COMPUTED_VALUE"""),1.174E7)</f>
        <v>11740000</v>
      </c>
      <c r="X1494" s="148">
        <f>IFERROR(__xludf.DUMMYFUNCTION("""COMPUTED_VALUE"""),0.0)</f>
        <v>0</v>
      </c>
      <c r="Y1494" s="148">
        <f>IFERROR(__xludf.DUMMYFUNCTION("""COMPUTED_VALUE"""),0.0)</f>
        <v>0</v>
      </c>
      <c r="Z1494" s="148"/>
    </row>
    <row r="1495">
      <c r="A1495" s="148">
        <f>IFERROR(__xludf.DUMMYFUNCTION("""COMPUTED_VALUE"""),1.1117136E7)</f>
        <v>11117136</v>
      </c>
      <c r="B1495" s="148" t="str">
        <f>IFERROR(__xludf.DUMMYFUNCTION("""COMPUTED_VALUE"""),"行军特效-紫色幻影-14天限时")</f>
        <v>行军特效-紫色幻影-14天限时</v>
      </c>
      <c r="C1495" s="148"/>
      <c r="D1495" s="148" t="str">
        <f>IFERROR(__xludf.DUMMYFUNCTION("""COMPUTED_VALUE"""),"marching_effect")</f>
        <v>marching_effect</v>
      </c>
      <c r="E1495" s="148">
        <f>IFERROR(__xludf.DUMMYFUNCTION("""COMPUTED_VALUE"""),0.0)</f>
        <v>0</v>
      </c>
      <c r="F1495" s="148">
        <f>IFERROR(__xludf.DUMMYFUNCTION("""COMPUTED_VALUE"""),408202.0)</f>
        <v>408202</v>
      </c>
      <c r="G1495" s="148">
        <f>IFERROR(__xludf.DUMMYFUNCTION("""COMPUTED_VALUE"""),1.5114775E7)</f>
        <v>15114775</v>
      </c>
      <c r="H1495" s="148">
        <f>IFERROR(__xludf.DUMMYFUNCTION("""COMPUTED_VALUE"""),1.5112563E7)</f>
        <v>15112563</v>
      </c>
      <c r="I1495" s="148" t="str">
        <f>IFERROR(__xludf.DUMMYFUNCTION("""COMPUTED_VALUE"""),"{""typ"":""lc"",""txt"":""LC_ITEM_time_day_upper_show"",""args"":[{""typ"":""int_unit"",""val"":14}]}")</f>
        <v>{"typ":"lc","txt":"LC_ITEM_time_day_upper_show","args":[{"typ":"int_unit","val":14}]}</v>
      </c>
      <c r="J1495" s="148" t="str">
        <f>IFERROR(__xludf.DUMMYFUNCTION("""COMPUTED_VALUE"""),"{""typ"":""lc"",""txt"":""LC_BUILDING_march_effect_name_2""}")</f>
        <v>{"typ":"lc","txt":"LC_BUILDING_march_effect_name_2"}</v>
      </c>
      <c r="K1495" s="148" t="str">
        <f>IFERROR(__xludf.DUMMYFUNCTION("""COMPUTED_VALUE"""),"{""typ"":""lc"",""txt"":""LC_BUILDING_march_effect_tip_2""}")</f>
        <v>{"typ":"lc","txt":"LC_BUILDING_march_effect_tip_2"}</v>
      </c>
      <c r="L1495" s="148" t="str">
        <f>IFERROR(__xludf.DUMMYFUNCTION("""COMPUTED_VALUE"""),"{""typ"":""lc"",""txt"":""LC_ITEM_march_effect_usetip_2_336h""}")</f>
        <v>{"typ":"lc","txt":"LC_ITEM_march_effect_usetip_2_336h"}</v>
      </c>
      <c r="M1495" s="148">
        <f>IFERROR(__xludf.DUMMYFUNCTION("""COMPUTED_VALUE"""),1000.0)</f>
        <v>1000</v>
      </c>
      <c r="N1495" s="148">
        <f>IFERROR(__xludf.DUMMYFUNCTION("""COMPUTED_VALUE"""),999999.0)</f>
        <v>999999</v>
      </c>
      <c r="O1495" s="148">
        <f>IFERROR(__xludf.DUMMYFUNCTION("""COMPUTED_VALUE"""),99999.0)</f>
        <v>99999</v>
      </c>
      <c r="P1495" s="148">
        <f>IFERROR(__xludf.DUMMYFUNCTION("""COMPUTED_VALUE"""),1.0)</f>
        <v>1</v>
      </c>
      <c r="Q1495" s="148" t="str">
        <f>IFERROR(__xludf.DUMMYFUNCTION("""COMPUTED_VALUE"""),"[""bag_other""]")</f>
        <v>["bag_other"]</v>
      </c>
      <c r="R1495" s="148" t="str">
        <f>IFERROR(__xludf.DUMMYFUNCTION("""COMPUTED_VALUE"""),"[""bag"",""13650102""]")</f>
        <v>["bag","13650102"]</v>
      </c>
      <c r="S1495" s="148" t="str">
        <f>IFERROR(__xludf.DUMMYFUNCTION("""COMPUTED_VALUE"""),"{""effect"":[{""typ"":""marching_effect"",""id"":13650102,""val"":1209600000},{""typ"":""vm"",""id"":11151004,""val"":200}]}")</f>
        <v>{"effect":[{"typ":"marching_effect","id":13650102,"val":1209600000},{"typ":"vm","id":11151004,"val":200}]}</v>
      </c>
      <c r="T1495" s="148">
        <f>IFERROR(__xludf.DUMMYFUNCTION("""COMPUTED_VALUE"""),-1.0)</f>
        <v>-1</v>
      </c>
      <c r="U1495" s="148">
        <f>IFERROR(__xludf.DUMMYFUNCTION("""COMPUTED_VALUE"""),0.0)</f>
        <v>0</v>
      </c>
      <c r="V1495" s="148" t="str">
        <f>IFERROR(__xludf.DUMMYFUNCTION("""COMPUTED_VALUE"""),"[]")</f>
        <v>[]</v>
      </c>
      <c r="W1495" s="148">
        <f>IFERROR(__xludf.DUMMYFUNCTION("""COMPUTED_VALUE"""),1.174E7)</f>
        <v>11740000</v>
      </c>
      <c r="X1495" s="148">
        <f>IFERROR(__xludf.DUMMYFUNCTION("""COMPUTED_VALUE"""),0.0)</f>
        <v>0</v>
      </c>
      <c r="Y1495" s="148">
        <f>IFERROR(__xludf.DUMMYFUNCTION("""COMPUTED_VALUE"""),0.0)</f>
        <v>0</v>
      </c>
      <c r="Z1495" s="148"/>
    </row>
    <row r="1496">
      <c r="A1496" s="148">
        <f>IFERROR(__xludf.DUMMYFUNCTION("""COMPUTED_VALUE"""),1.1117137E7)</f>
        <v>11117137</v>
      </c>
      <c r="B1496" s="148" t="str">
        <f>IFERROR(__xludf.DUMMYFUNCTION("""COMPUTED_VALUE"""),"行军特效-紫色幻影-永久")</f>
        <v>行军特效-紫色幻影-永久</v>
      </c>
      <c r="C1496" s="148"/>
      <c r="D1496" s="148" t="str">
        <f>IFERROR(__xludf.DUMMYFUNCTION("""COMPUTED_VALUE"""),"marching_effect")</f>
        <v>marching_effect</v>
      </c>
      <c r="E1496" s="148">
        <f>IFERROR(__xludf.DUMMYFUNCTION("""COMPUTED_VALUE"""),0.0)</f>
        <v>0</v>
      </c>
      <c r="F1496" s="148">
        <f>IFERROR(__xludf.DUMMYFUNCTION("""COMPUTED_VALUE"""),408201.0)</f>
        <v>408201</v>
      </c>
      <c r="G1496" s="148">
        <f>IFERROR(__xludf.DUMMYFUNCTION("""COMPUTED_VALUE"""),1.5114775E7)</f>
        <v>15114775</v>
      </c>
      <c r="H1496" s="148">
        <f>IFERROR(__xludf.DUMMYFUNCTION("""COMPUTED_VALUE"""),1.5112563E7)</f>
        <v>15112563</v>
      </c>
      <c r="I1496" s="148" t="str">
        <f>IFERROR(__xludf.DUMMYFUNCTION("""COMPUTED_VALUE"""),"{}")</f>
        <v>{}</v>
      </c>
      <c r="J1496" s="148" t="str">
        <f>IFERROR(__xludf.DUMMYFUNCTION("""COMPUTED_VALUE"""),"{""typ"":""lc"",""txt"":""LC_BUILDING_march_effect_name_2""}")</f>
        <v>{"typ":"lc","txt":"LC_BUILDING_march_effect_name_2"}</v>
      </c>
      <c r="K1496" s="148" t="str">
        <f>IFERROR(__xludf.DUMMYFUNCTION("""COMPUTED_VALUE"""),"{""typ"":""lc"",""txt"":""LC_BUILDING_march_effect_tip_2""}")</f>
        <v>{"typ":"lc","txt":"LC_BUILDING_march_effect_tip_2"}</v>
      </c>
      <c r="L1496" s="148" t="str">
        <f>IFERROR(__xludf.DUMMYFUNCTION("""COMPUTED_VALUE"""),"{""typ"":""lc"",""txt"":""LC_ITEM_march_effect_usetip_2""}")</f>
        <v>{"typ":"lc","txt":"LC_ITEM_march_effect_usetip_2"}</v>
      </c>
      <c r="M1496" s="148">
        <f>IFERROR(__xludf.DUMMYFUNCTION("""COMPUTED_VALUE"""),5000.0)</f>
        <v>5000</v>
      </c>
      <c r="N1496" s="148">
        <f>IFERROR(__xludf.DUMMYFUNCTION("""COMPUTED_VALUE"""),999999.0)</f>
        <v>999999</v>
      </c>
      <c r="O1496" s="148">
        <f>IFERROR(__xludf.DUMMYFUNCTION("""COMPUTED_VALUE"""),99999.0)</f>
        <v>99999</v>
      </c>
      <c r="P1496" s="148">
        <f>IFERROR(__xludf.DUMMYFUNCTION("""COMPUTED_VALUE"""),1.0)</f>
        <v>1</v>
      </c>
      <c r="Q1496" s="148" t="str">
        <f>IFERROR(__xludf.DUMMYFUNCTION("""COMPUTED_VALUE"""),"[""bag_other""]")</f>
        <v>["bag_other"]</v>
      </c>
      <c r="R1496" s="148" t="str">
        <f>IFERROR(__xludf.DUMMYFUNCTION("""COMPUTED_VALUE"""),"[""bag"",""13650102""]")</f>
        <v>["bag","13650102"]</v>
      </c>
      <c r="S1496" s="148" t="str">
        <f>IFERROR(__xludf.DUMMYFUNCTION("""COMPUTED_VALUE"""),"{""effect"":[{""typ"":""marching_effect"",""id"":13650102,""val"":-1},{""typ"":""vm"",""id"":11151004,""val"":500}]}")</f>
        <v>{"effect":[{"typ":"marching_effect","id":13650102,"val":-1},{"typ":"vm","id":11151004,"val":500}]}</v>
      </c>
      <c r="T1496" s="148">
        <f>IFERROR(__xludf.DUMMYFUNCTION("""COMPUTED_VALUE"""),-1.0)</f>
        <v>-1</v>
      </c>
      <c r="U1496" s="148">
        <f>IFERROR(__xludf.DUMMYFUNCTION("""COMPUTED_VALUE"""),0.0)</f>
        <v>0</v>
      </c>
      <c r="V1496" s="148" t="str">
        <f>IFERROR(__xludf.DUMMYFUNCTION("""COMPUTED_VALUE"""),"[]")</f>
        <v>[]</v>
      </c>
      <c r="W1496" s="148">
        <f>IFERROR(__xludf.DUMMYFUNCTION("""COMPUTED_VALUE"""),1.174E7)</f>
        <v>11740000</v>
      </c>
      <c r="X1496" s="148">
        <f>IFERROR(__xludf.DUMMYFUNCTION("""COMPUTED_VALUE"""),0.0)</f>
        <v>0</v>
      </c>
      <c r="Y1496" s="148">
        <f>IFERROR(__xludf.DUMMYFUNCTION("""COMPUTED_VALUE"""),0.0)</f>
        <v>0</v>
      </c>
      <c r="Z1496" s="148"/>
    </row>
    <row r="1497">
      <c r="A1497" s="148">
        <f>IFERROR(__xludf.DUMMYFUNCTION("""COMPUTED_VALUE"""),1.1117138E7)</f>
        <v>11117138</v>
      </c>
      <c r="B1497" s="148" t="str">
        <f>IFERROR(__xludf.DUMMYFUNCTION("""COMPUTED_VALUE"""),"zvz（空投救护站）-死兵返还比例提升-5%")</f>
        <v>zvz（空投救护站）-死兵返还比例提升-5%</v>
      </c>
      <c r="C1497" s="148"/>
      <c r="D1497" s="148" t="str">
        <f>IFERROR(__xludf.DUMMYFUNCTION("""COMPUTED_VALUE"""),"item_buff")</f>
        <v>item_buff</v>
      </c>
      <c r="E1497" s="148">
        <f>IFERROR(__xludf.DUMMYFUNCTION("""COMPUTED_VALUE"""),0.0)</f>
        <v>0</v>
      </c>
      <c r="F1497" s="148">
        <f>IFERROR(__xludf.DUMMYFUNCTION("""COMPUTED_VALUE"""),404203.0)</f>
        <v>404203</v>
      </c>
      <c r="G1497" s="148">
        <f>IFERROR(__xludf.DUMMYFUNCTION("""COMPUTED_VALUE"""),1.5114602E7)</f>
        <v>15114602</v>
      </c>
      <c r="H1497" s="148">
        <f>IFERROR(__xludf.DUMMYFUNCTION("""COMPUTED_VALUE"""),1.5112564E7)</f>
        <v>15112564</v>
      </c>
      <c r="I1497" s="148" t="str">
        <f>IFERROR(__xludf.DUMMYFUNCTION("""COMPUTED_VALUE"""),"{""typ"":""lc"",""txt"":""LC_ITEM_buff_val_upper_show"",""args"":[{""typ"":""int"",""val"":5}]}")</f>
        <v>{"typ":"lc","txt":"LC_ITEM_buff_val_upper_show","args":[{"typ":"int","val":5}]}</v>
      </c>
      <c r="J1497" s="148" t="str">
        <f>IFERROR(__xludf.DUMMYFUNCTION("""COMPUTED_VALUE"""),"{""typ"":""lc"",""txt"":""LC_ITEM_treat_station_upgrade_name""}")</f>
        <v>{"typ":"lc","txt":"LC_ITEM_treat_station_upgrade_name"}</v>
      </c>
      <c r="K1497" s="148" t="str">
        <f>IFERROR(__xludf.DUMMYFUNCTION("""COMPUTED_VALUE"""),"{""typ"":""lc"",""txt"":""LC_ITEM_treat_station_upgrade_desc"",""args"":[{""typ"":""int"",""val"":5}]}")</f>
        <v>{"typ":"lc","txt":"LC_ITEM_treat_station_upgrade_desc","args":[{"typ":"int","val":5}]}</v>
      </c>
      <c r="L1497" s="148" t="str">
        <f>IFERROR(__xludf.DUMMYFUNCTION("""COMPUTED_VALUE"""),"{""typ"":""lc"",""txt"":""LC_ITEM_treat_station_upgrade_usetip""}")</f>
        <v>{"typ":"lc","txt":"LC_ITEM_treat_station_upgrade_usetip"}</v>
      </c>
      <c r="M1497" s="148">
        <f>IFERROR(__xludf.DUMMYFUNCTION("""COMPUTED_VALUE"""),6750.0)</f>
        <v>6750</v>
      </c>
      <c r="N1497" s="148">
        <f>IFERROR(__xludf.DUMMYFUNCTION("""COMPUTED_VALUE"""),100.0)</f>
        <v>100</v>
      </c>
      <c r="O1497" s="148">
        <f>IFERROR(__xludf.DUMMYFUNCTION("""COMPUTED_VALUE"""),100.0)</f>
        <v>100</v>
      </c>
      <c r="P1497" s="148">
        <f>IFERROR(__xludf.DUMMYFUNCTION("""COMPUTED_VALUE"""),100.0)</f>
        <v>100</v>
      </c>
      <c r="Q1497" s="148" t="str">
        <f>IFERROR(__xludf.DUMMYFUNCTION("""COMPUTED_VALUE"""),"[""bag_other""]")</f>
        <v>["bag_other"]</v>
      </c>
      <c r="R1497" s="148" t="str">
        <f>IFERROR(__xludf.DUMMYFUNCTION("""COMPUTED_VALUE"""),"[]")</f>
        <v>[]</v>
      </c>
      <c r="S1497" s="148" t="str">
        <f>IFERROR(__xludf.DUMMYFUNCTION("""COMPUTED_VALUE"""),"{""effect"":[{""typ"":""buff"",""id"":121111019,""val"":-1,""arg1"":0.05}]}")</f>
        <v>{"effect":[{"typ":"buff","id":121111019,"val":-1,"arg1":0.05}]}</v>
      </c>
      <c r="T1497" s="148">
        <f>IFERROR(__xludf.DUMMYFUNCTION("""COMPUTED_VALUE"""),-1.0)</f>
        <v>-1</v>
      </c>
      <c r="U1497" s="148">
        <f>IFERROR(__xludf.DUMMYFUNCTION("""COMPUTED_VALUE"""),1.0)</f>
        <v>1</v>
      </c>
      <c r="V1497" s="148" t="str">
        <f>IFERROR(__xludf.DUMMYFUNCTION("""COMPUTED_VALUE"""),"[]")</f>
        <v>[]</v>
      </c>
      <c r="W1497" s="148">
        <f>IFERROR(__xludf.DUMMYFUNCTION("""COMPUTED_VALUE"""),1.174E7)</f>
        <v>11740000</v>
      </c>
      <c r="X1497" s="148">
        <f>IFERROR(__xludf.DUMMYFUNCTION("""COMPUTED_VALUE"""),0.0)</f>
        <v>0</v>
      </c>
      <c r="Y1497" s="148">
        <f>IFERROR(__xludf.DUMMYFUNCTION("""COMPUTED_VALUE"""),0.0)</f>
        <v>0</v>
      </c>
      <c r="Z1497" s="148"/>
    </row>
    <row r="1498">
      <c r="A1498" s="148">
        <f>IFERROR(__xludf.DUMMYFUNCTION("""COMPUTED_VALUE"""),1.1117139E7)</f>
        <v>11117139</v>
      </c>
      <c r="B1498" s="148" t="str">
        <f>IFERROR(__xludf.DUMMYFUNCTION("""COMPUTED_VALUE"""),"帮派捐献道具")</f>
        <v>帮派捐献道具</v>
      </c>
      <c r="C1498" s="148"/>
      <c r="D1498" s="148" t="str">
        <f>IFERROR(__xludf.DUMMYFUNCTION("""COMPUTED_VALUE"""),"item_union_exp")</f>
        <v>item_union_exp</v>
      </c>
      <c r="E1498" s="148">
        <f>IFERROR(__xludf.DUMMYFUNCTION("""COMPUTED_VALUE"""),0.0)</f>
        <v>0</v>
      </c>
      <c r="F1498" s="148">
        <f>IFERROR(__xludf.DUMMYFUNCTION("""COMPUTED_VALUE"""),415205.0)</f>
        <v>415205</v>
      </c>
      <c r="G1498" s="148">
        <f>IFERROR(__xludf.DUMMYFUNCTION("""COMPUTED_VALUE"""),1.511476E7)</f>
        <v>15114760</v>
      </c>
      <c r="H1498" s="148">
        <f>IFERROR(__xludf.DUMMYFUNCTION("""COMPUTED_VALUE"""),1.5112563E7)</f>
        <v>15112563</v>
      </c>
      <c r="I1498" s="148" t="str">
        <f>IFERROR(__xludf.DUMMYFUNCTION("""COMPUTED_VALUE"""),"{}")</f>
        <v>{}</v>
      </c>
      <c r="J1498" s="148" t="str">
        <f>IFERROR(__xludf.DUMMYFUNCTION("""COMPUTED_VALUE"""),"{""typ"":""lc"",""txt"":""LC_UNION_alliance_exp_item_name""}")</f>
        <v>{"typ":"lc","txt":"LC_UNION_alliance_exp_item_name"}</v>
      </c>
      <c r="K1498" s="148" t="str">
        <f>IFERROR(__xludf.DUMMYFUNCTION("""COMPUTED_VALUE"""),"{""typ"":""lc"",""txt"":""LC_UNION_alliance_exp_item_desc"",""args"":[{""typ"":""int"",""val"":10}]}")</f>
        <v>{"typ":"lc","txt":"LC_UNION_alliance_exp_item_desc","args":[{"typ":"int","val":10}]}</v>
      </c>
      <c r="L1498" s="148" t="str">
        <f>IFERROR(__xludf.DUMMYFUNCTION("""COMPUTED_VALUE"""),"{}")</f>
        <v>{}</v>
      </c>
      <c r="M1498" s="148">
        <f>IFERROR(__xludf.DUMMYFUNCTION("""COMPUTED_VALUE"""),50.0)</f>
        <v>50</v>
      </c>
      <c r="N1498" s="148">
        <f>IFERROR(__xludf.DUMMYFUNCTION("""COMPUTED_VALUE"""),9999999.0)</f>
        <v>9999999</v>
      </c>
      <c r="O1498" s="148">
        <f>IFERROR(__xludf.DUMMYFUNCTION("""COMPUTED_VALUE"""),99999.0)</f>
        <v>99999</v>
      </c>
      <c r="P1498" s="148">
        <f>IFERROR(__xludf.DUMMYFUNCTION("""COMPUTED_VALUE"""),99999.0)</f>
        <v>99999</v>
      </c>
      <c r="Q1498" s="148" t="str">
        <f>IFERROR(__xludf.DUMMYFUNCTION("""COMPUTED_VALUE"""),"[""bag_other""]")</f>
        <v>["bag_other"]</v>
      </c>
      <c r="R1498" s="148" t="str">
        <f>IFERROR(__xludf.DUMMYFUNCTION("""COMPUTED_VALUE"""),"[""union_donate""]")</f>
        <v>["union_donate"]</v>
      </c>
      <c r="S1498" s="148" t="str">
        <f>IFERROR(__xludf.DUMMYFUNCTION("""COMPUTED_VALUE"""),"{""effect"":[{""typ"":""xp"",""id"":11161007,""val"":10}]}")</f>
        <v>{"effect":[{"typ":"xp","id":11161007,"val":10}]}</v>
      </c>
      <c r="T1498" s="148">
        <f>IFERROR(__xludf.DUMMYFUNCTION("""COMPUTED_VALUE"""),-1.0)</f>
        <v>-1</v>
      </c>
      <c r="U1498" s="148">
        <f>IFERROR(__xludf.DUMMYFUNCTION("""COMPUTED_VALUE"""),0.0)</f>
        <v>0</v>
      </c>
      <c r="V1498" s="148" t="str">
        <f>IFERROR(__xludf.DUMMYFUNCTION("""COMPUTED_VALUE"""),"[]")</f>
        <v>[]</v>
      </c>
      <c r="W1498" s="148">
        <f>IFERROR(__xludf.DUMMYFUNCTION("""COMPUTED_VALUE"""),1.174E7)</f>
        <v>11740000</v>
      </c>
      <c r="X1498" s="148">
        <f>IFERROR(__xludf.DUMMYFUNCTION("""COMPUTED_VALUE"""),0.0)</f>
        <v>0</v>
      </c>
      <c r="Y1498" s="148">
        <f>IFERROR(__xludf.DUMMYFUNCTION("""COMPUTED_VALUE"""),0.0)</f>
        <v>0</v>
      </c>
      <c r="Z1498" s="148"/>
    </row>
    <row r="1499">
      <c r="A1499" s="148">
        <f>IFERROR(__xludf.DUMMYFUNCTION("""COMPUTED_VALUE"""),1.111714E7)</f>
        <v>11117140</v>
      </c>
      <c r="B1499" s="148" t="str">
        <f>IFERROR(__xludf.DUMMYFUNCTION("""COMPUTED_VALUE"""),"悠悠球（2天）-测试")</f>
        <v>悠悠球（2天）-测试</v>
      </c>
      <c r="C1499" s="148"/>
      <c r="D1499" s="148" t="str">
        <f>IFERROR(__xludf.DUMMYFUNCTION("""COMPUTED_VALUE"""),"avatar_frame")</f>
        <v>avatar_frame</v>
      </c>
      <c r="E1499" s="148">
        <f>IFERROR(__xludf.DUMMYFUNCTION("""COMPUTED_VALUE"""),20.0)</f>
        <v>20</v>
      </c>
      <c r="F1499" s="148">
        <f>IFERROR(__xludf.DUMMYFUNCTION("""COMPUTED_VALUE"""),0.0)</f>
        <v>0</v>
      </c>
      <c r="G1499" s="148">
        <f>IFERROR(__xludf.DUMMYFUNCTION("""COMPUTED_VALUE"""),1.5112477E7)</f>
        <v>15112477</v>
      </c>
      <c r="H1499" s="148">
        <f>IFERROR(__xludf.DUMMYFUNCTION("""COMPUTED_VALUE"""),1.5112563E7)</f>
        <v>15112563</v>
      </c>
      <c r="I1499" s="148" t="str">
        <f>IFERROR(__xludf.DUMMYFUNCTION("""COMPUTED_VALUE"""),"{""typ"":""lc"",""txt"":""LC_ITEM_time_day_upper_show"",""args"":[{""typ"":""int"",""val"":2}]}")</f>
        <v>{"typ":"lc","txt":"LC_ITEM_time_day_upper_show","args":[{"typ":"int","val":2}]}</v>
      </c>
      <c r="J1499" s="148" t="str">
        <f>IFERROR(__xludf.DUMMYFUNCTION("""COMPUTED_VALUE"""),"{""typ"":""lc"",""txt"":""LC_ASSET_avatar_frame_name_10""}")</f>
        <v>{"typ":"lc","txt":"LC_ASSET_avatar_frame_name_10"}</v>
      </c>
      <c r="K1499" s="148" t="str">
        <f>IFERROR(__xludf.DUMMYFUNCTION("""COMPUTED_VALUE"""),"{""typ"":""lc"",""txt"":""LC_MENU_frame_experience_available_time"",""args"":[{""typ"":""int"",""val"":2}]}")</f>
        <v>{"typ":"lc","txt":"LC_MENU_frame_experience_available_time","args":[{"typ":"int","val":2}]}</v>
      </c>
      <c r="L1499" s="148" t="str">
        <f>IFERROR(__xludf.DUMMYFUNCTION("""COMPUTED_VALUE"""),"{}")</f>
        <v>{}</v>
      </c>
      <c r="M1499" s="148">
        <f>IFERROR(__xludf.DUMMYFUNCTION("""COMPUTED_VALUE"""),1000.0)</f>
        <v>1000</v>
      </c>
      <c r="N1499" s="148">
        <f>IFERROR(__xludf.DUMMYFUNCTION("""COMPUTED_VALUE"""),99.0)</f>
        <v>99</v>
      </c>
      <c r="O1499" s="148">
        <f>IFERROR(__xludf.DUMMYFUNCTION("""COMPUTED_VALUE"""),0.0)</f>
        <v>0</v>
      </c>
      <c r="P1499" s="148">
        <f>IFERROR(__xludf.DUMMYFUNCTION("""COMPUTED_VALUE"""),99.0)</f>
        <v>99</v>
      </c>
      <c r="Q1499" s="148" t="str">
        <f>IFERROR(__xludf.DUMMYFUNCTION("""COMPUTED_VALUE"""),"[]")</f>
        <v>[]</v>
      </c>
      <c r="R1499" s="148" t="str">
        <f>IFERROR(__xludf.DUMMYFUNCTION("""COMPUTED_VALUE"""),"[""11421010""]")</f>
        <v>["11421010"]</v>
      </c>
      <c r="S1499" s="148" t="str">
        <f>IFERROR(__xludf.DUMMYFUNCTION("""COMPUTED_VALUE"""),"{""effect"":[{""typ"":""avatar_frame"",""id"":11421010,""val"":172800000},{""typ"":""item"",""id"":11111031,""val"":1000}]}")</f>
        <v>{"effect":[{"typ":"avatar_frame","id":11421010,"val":172800000},{"typ":"item","id":11111031,"val":1000}]}</v>
      </c>
      <c r="T1499" s="148">
        <f>IFERROR(__xludf.DUMMYFUNCTION("""COMPUTED_VALUE"""),-1.0)</f>
        <v>-1</v>
      </c>
      <c r="U1499" s="148">
        <f>IFERROR(__xludf.DUMMYFUNCTION("""COMPUTED_VALUE"""),0.0)</f>
        <v>0</v>
      </c>
      <c r="V1499" s="148" t="str">
        <f>IFERROR(__xludf.DUMMYFUNCTION("""COMPUTED_VALUE"""),"[]")</f>
        <v>[]</v>
      </c>
      <c r="W1499" s="148">
        <f>IFERROR(__xludf.DUMMYFUNCTION("""COMPUTED_VALUE"""),1.174E7)</f>
        <v>11740000</v>
      </c>
      <c r="X1499" s="148">
        <f>IFERROR(__xludf.DUMMYFUNCTION("""COMPUTED_VALUE"""),0.0)</f>
        <v>0</v>
      </c>
      <c r="Y1499" s="148">
        <f>IFERROR(__xludf.DUMMYFUNCTION("""COMPUTED_VALUE"""),0.0)</f>
        <v>0</v>
      </c>
      <c r="Z1499" s="148"/>
    </row>
    <row r="1500">
      <c r="A1500" s="148">
        <f>IFERROR(__xludf.DUMMYFUNCTION("""COMPUTED_VALUE"""),1.1117141E7)</f>
        <v>11117141</v>
      </c>
      <c r="B1500" s="148" t="str">
        <f>IFERROR(__xludf.DUMMYFUNCTION("""COMPUTED_VALUE"""),"英雄验证活动-伤害掉落宝箱-kvk")</f>
        <v>英雄验证活动-伤害掉落宝箱-kvk</v>
      </c>
      <c r="C1500" s="148"/>
      <c r="D1500" s="148" t="str">
        <f>IFERROR(__xludf.DUMMYFUNCTION("""COMPUTED_VALUE"""),"item_asset")</f>
        <v>item_asset</v>
      </c>
      <c r="E1500" s="148">
        <f>IFERROR(__xludf.DUMMYFUNCTION("""COMPUTED_VALUE"""),19.0)</f>
        <v>19</v>
      </c>
      <c r="F1500" s="148">
        <f>IFERROR(__xludf.DUMMYFUNCTION("""COMPUTED_VALUE"""),403299.0)</f>
        <v>403299</v>
      </c>
      <c r="G1500" s="148">
        <f>IFERROR(__xludf.DUMMYFUNCTION("""COMPUTED_VALUE"""),1.5113765E7)</f>
        <v>15113765</v>
      </c>
      <c r="H1500" s="148">
        <f>IFERROR(__xludf.DUMMYFUNCTION("""COMPUTED_VALUE"""),1.5112563E7)</f>
        <v>15112563</v>
      </c>
      <c r="I1500" s="148" t="str">
        <f>IFERROR(__xludf.DUMMYFUNCTION("""COMPUTED_VALUE"""),"{}")</f>
        <v>{}</v>
      </c>
      <c r="J1500" s="148" t="str">
        <f>IFERROR(__xludf.DUMMYFUNCTION("""COMPUTED_VALUE"""),"{""typ"":""lc"",""txt"":""LC_ITEM_maximus_chest_name""}")</f>
        <v>{"typ":"lc","txt":"LC_ITEM_maximus_chest_name"}</v>
      </c>
      <c r="K1500" s="148" t="str">
        <f>IFERROR(__xludf.DUMMYFUNCTION("""COMPUTED_VALUE"""),"{""typ"":""lc"",""txt"":""LC_ITEM_maximus_chest_desc""}")</f>
        <v>{"typ":"lc","txt":"LC_ITEM_maximus_chest_desc"}</v>
      </c>
      <c r="L1500" s="148" t="str">
        <f>IFERROR(__xludf.DUMMYFUNCTION("""COMPUTED_VALUE"""),"{}")</f>
        <v>{}</v>
      </c>
      <c r="M1500" s="148">
        <f>IFERROR(__xludf.DUMMYFUNCTION("""COMPUTED_VALUE"""),1.0)</f>
        <v>1</v>
      </c>
      <c r="N1500" s="148">
        <f>IFERROR(__xludf.DUMMYFUNCTION("""COMPUTED_VALUE"""),999999.0)</f>
        <v>999999</v>
      </c>
      <c r="O1500" s="148">
        <f>IFERROR(__xludf.DUMMYFUNCTION("""COMPUTED_VALUE"""),99999.0)</f>
        <v>99999</v>
      </c>
      <c r="P1500" s="148">
        <f>IFERROR(__xludf.DUMMYFUNCTION("""COMPUTED_VALUE"""),9999.0)</f>
        <v>9999</v>
      </c>
      <c r="Q1500" s="148" t="str">
        <f>IFERROR(__xludf.DUMMYFUNCTION("""COMPUTED_VALUE"""),"[""bag_other""]")</f>
        <v>["bag_other"]</v>
      </c>
      <c r="R1500" s="148" t="str">
        <f>IFERROR(__xludf.DUMMYFUNCTION("""COMPUTED_VALUE"""),"[]")</f>
        <v>[]</v>
      </c>
      <c r="S1500" s="148" t="str">
        <f>IFERROR(__xludf.DUMMYFUNCTION("""COMPUTED_VALUE"""),"{""drop"":{""typ"":""single_random"",""num"":1,""args"":[{""typ"":""item"",""id"":11111154,""num"":1,""wgt"":100},{""typ"":""item"",""id"":11114329,""num"":1,""wgt"":100},{""typ"":""item"",""id"":11116004,""num"":1,""wgt"":120},{""typ"":""item"",""id"":11"&amp;"116107,""num"":1,""wgt"":60},{""typ"":""item"",""id"":11116110,""num"":1,""wgt"":10},{""typ"":""item"",""id"":11116402,""num"":1,""wgt"":10},{""typ"":""item"",""id"":11111037,""num"":350,""wgt"":120}]}}")</f>
        <v>{"drop":{"typ":"single_random","num":1,"args":[{"typ":"item","id":11111154,"num":1,"wgt":100},{"typ":"item","id":11114329,"num":1,"wgt":100},{"typ":"item","id":11116004,"num":1,"wgt":120},{"typ":"item","id":11116107,"num":1,"wgt":60},{"typ":"item","id":11116110,"num":1,"wgt":10},{"typ":"item","id":11116402,"num":1,"wgt":10},{"typ":"item","id":11111037,"num":350,"wgt":120}]}}</v>
      </c>
      <c r="T1500" s="148">
        <f>IFERROR(__xludf.DUMMYFUNCTION("""COMPUTED_VALUE"""),-1.0)</f>
        <v>-1</v>
      </c>
      <c r="U1500" s="148">
        <f>IFERROR(__xludf.DUMMYFUNCTION("""COMPUTED_VALUE"""),1.0)</f>
        <v>1</v>
      </c>
      <c r="V1500" s="148" t="str">
        <f>IFERROR(__xludf.DUMMYFUNCTION("""COMPUTED_VALUE"""),"[]")</f>
        <v>[]</v>
      </c>
      <c r="W1500" s="148">
        <f>IFERROR(__xludf.DUMMYFUNCTION("""COMPUTED_VALUE"""),1.174E7)</f>
        <v>11740000</v>
      </c>
      <c r="X1500" s="148">
        <f>IFERROR(__xludf.DUMMYFUNCTION("""COMPUTED_VALUE"""),0.0)</f>
        <v>0</v>
      </c>
      <c r="Y1500" s="148">
        <f>IFERROR(__xludf.DUMMYFUNCTION("""COMPUTED_VALUE"""),0.0)</f>
        <v>0</v>
      </c>
      <c r="Z1500" s="148"/>
    </row>
    <row r="1501">
      <c r="A1501" s="148">
        <f>IFERROR(__xludf.DUMMYFUNCTION("""COMPUTED_VALUE"""),1.1117142E7)</f>
        <v>11117142</v>
      </c>
      <c r="B1501" s="148" t="str">
        <f>IFERROR(__xludf.DUMMYFUNCTION("""COMPUTED_VALUE"""),"跨服wonder-载猴炮弹")</f>
        <v>跨服wonder-载猴炮弹</v>
      </c>
      <c r="C1501" s="148"/>
      <c r="D1501" s="148" t="str">
        <f>IFERROR(__xludf.DUMMYFUNCTION("""COMPUTED_VALUE"""),"item_asset")</f>
        <v>item_asset</v>
      </c>
      <c r="E1501" s="148">
        <f>IFERROR(__xludf.DUMMYFUNCTION("""COMPUTED_VALUE"""),0.0)</f>
        <v>0</v>
      </c>
      <c r="F1501" s="148">
        <f>IFERROR(__xludf.DUMMYFUNCTION("""COMPUTED_VALUE"""),405241.0)</f>
        <v>405241</v>
      </c>
      <c r="G1501" s="148">
        <f>IFERROR(__xludf.DUMMYFUNCTION("""COMPUTED_VALUE"""),1.5114601E7)</f>
        <v>15114601</v>
      </c>
      <c r="H1501" s="148">
        <f>IFERROR(__xludf.DUMMYFUNCTION("""COMPUTED_VALUE"""),1.5112563E7)</f>
        <v>15112563</v>
      </c>
      <c r="I1501" s="148" t="str">
        <f>IFERROR(__xludf.DUMMYFUNCTION("""COMPUTED_VALUE"""),"{}")</f>
        <v>{}</v>
      </c>
      <c r="J1501" s="148" t="str">
        <f>IFERROR(__xludf.DUMMYFUNCTION("""COMPUTED_VALUE"""),"{""typ"":""lc"",""txt"":""LC_ITEM_zvz_ticket_name""}")</f>
        <v>{"typ":"lc","txt":"LC_ITEM_zvz_ticket_name"}</v>
      </c>
      <c r="K1501" s="148" t="str">
        <f>IFERROR(__xludf.DUMMYFUNCTION("""COMPUTED_VALUE"""),"{""typ"":""lc"",""txt"":""LC_ITEM_zvz_ticket_desc""}")</f>
        <v>{"typ":"lc","txt":"LC_ITEM_zvz_ticket_desc"}</v>
      </c>
      <c r="L1501" s="148" t="str">
        <f>IFERROR(__xludf.DUMMYFUNCTION("""COMPUTED_VALUE"""),"{}")</f>
        <v>{}</v>
      </c>
      <c r="M1501" s="148">
        <f>IFERROR(__xludf.DUMMYFUNCTION("""COMPUTED_VALUE"""),1000.0)</f>
        <v>1000</v>
      </c>
      <c r="N1501" s="148">
        <f>IFERROR(__xludf.DUMMYFUNCTION("""COMPUTED_VALUE"""),999999.0)</f>
        <v>999999</v>
      </c>
      <c r="O1501" s="148">
        <f>IFERROR(__xludf.DUMMYFUNCTION("""COMPUTED_VALUE"""),99999.0)</f>
        <v>99999</v>
      </c>
      <c r="P1501" s="148">
        <f>IFERROR(__xludf.DUMMYFUNCTION("""COMPUTED_VALUE"""),9999.0)</f>
        <v>9999</v>
      </c>
      <c r="Q1501" s="148" t="str">
        <f>IFERROR(__xludf.DUMMYFUNCTION("""COMPUTED_VALUE"""),"[""bag_other""]")</f>
        <v>["bag_other"]</v>
      </c>
      <c r="R1501" s="148" t="str">
        <f>IFERROR(__xludf.DUMMYFUNCTION("""COMPUTED_VALUE"""),"[]")</f>
        <v>[]</v>
      </c>
      <c r="S1501" s="148" t="str">
        <f>IFERROR(__xludf.DUMMYFUNCTION("""COMPUTED_VALUE"""),"{}")</f>
        <v>{}</v>
      </c>
      <c r="T1501" s="148">
        <f>IFERROR(__xludf.DUMMYFUNCTION("""COMPUTED_VALUE"""),-1.0)</f>
        <v>-1</v>
      </c>
      <c r="U1501" s="148">
        <f>IFERROR(__xludf.DUMMYFUNCTION("""COMPUTED_VALUE"""),0.0)</f>
        <v>0</v>
      </c>
      <c r="V1501" s="148" t="str">
        <f>IFERROR(__xludf.DUMMYFUNCTION("""COMPUTED_VALUE"""),"[]")</f>
        <v>[]</v>
      </c>
      <c r="W1501" s="148">
        <f>IFERROR(__xludf.DUMMYFUNCTION("""COMPUTED_VALUE"""),1.174E7)</f>
        <v>11740000</v>
      </c>
      <c r="X1501" s="148">
        <f>IFERROR(__xludf.DUMMYFUNCTION("""COMPUTED_VALUE"""),0.0)</f>
        <v>0</v>
      </c>
      <c r="Y1501" s="148">
        <f>IFERROR(__xludf.DUMMYFUNCTION("""COMPUTED_VALUE"""),0.0)</f>
        <v>0</v>
      </c>
      <c r="Z1501" s="148"/>
    </row>
    <row r="1502">
      <c r="A1502" s="148">
        <f>IFERROR(__xludf.DUMMYFUNCTION("""COMPUTED_VALUE"""),1.1117143E7)</f>
        <v>11117143</v>
      </c>
      <c r="B1502" s="148" t="str">
        <f>IFERROR(__xludf.DUMMYFUNCTION("""COMPUTED_VALUE"""),"霍格博士挑战券（kvk）")</f>
        <v>霍格博士挑战券（kvk）</v>
      </c>
      <c r="C1502" s="148"/>
      <c r="D1502" s="148" t="str">
        <f>IFERROR(__xludf.DUMMYFUNCTION("""COMPUTED_VALUE"""),"arena")</f>
        <v>arena</v>
      </c>
      <c r="E1502" s="148">
        <f>IFERROR(__xludf.DUMMYFUNCTION("""COMPUTED_VALUE"""),0.0)</f>
        <v>0</v>
      </c>
      <c r="F1502" s="148">
        <f>IFERROR(__xludf.DUMMYFUNCTION("""COMPUTED_VALUE"""),405142.0)</f>
        <v>405142</v>
      </c>
      <c r="G1502" s="148">
        <f>IFERROR(__xludf.DUMMYFUNCTION("""COMPUTED_VALUE"""),1.5114762E7)</f>
        <v>15114762</v>
      </c>
      <c r="H1502" s="148">
        <f>IFERROR(__xludf.DUMMYFUNCTION("""COMPUTED_VALUE"""),1.5112564E7)</f>
        <v>15112564</v>
      </c>
      <c r="I1502" s="148" t="str">
        <f>IFERROR(__xludf.DUMMYFUNCTION("""COMPUTED_VALUE"""),"{}")</f>
        <v>{}</v>
      </c>
      <c r="J1502" s="148" t="str">
        <f>IFERROR(__xludf.DUMMYFUNCTION("""COMPUTED_VALUE"""),"{""typ"":""lc"",""txt"":""LC_ITEM_hogg_ticket_name""}")</f>
        <v>{"typ":"lc","txt":"LC_ITEM_hogg_ticket_name"}</v>
      </c>
      <c r="K1502" s="148" t="str">
        <f>IFERROR(__xludf.DUMMYFUNCTION("""COMPUTED_VALUE"""),"{""typ"":""lc"",""txt"":""LC_ITEM_hogg_ticket_desc""}")</f>
        <v>{"typ":"lc","txt":"LC_ITEM_hogg_ticket_desc"}</v>
      </c>
      <c r="L1502" s="148" t="str">
        <f>IFERROR(__xludf.DUMMYFUNCTION("""COMPUTED_VALUE"""),"{}")</f>
        <v>{}</v>
      </c>
      <c r="M1502" s="148">
        <f>IFERROR(__xludf.DUMMYFUNCTION("""COMPUTED_VALUE"""),300.0)</f>
        <v>300</v>
      </c>
      <c r="N1502" s="148">
        <f>IFERROR(__xludf.DUMMYFUNCTION("""COMPUTED_VALUE"""),99999.0)</f>
        <v>99999</v>
      </c>
      <c r="O1502" s="148">
        <f>IFERROR(__xludf.DUMMYFUNCTION("""COMPUTED_VALUE"""),99999.0)</f>
        <v>99999</v>
      </c>
      <c r="P1502" s="148">
        <f>IFERROR(__xludf.DUMMYFUNCTION("""COMPUTED_VALUE"""),1.0)</f>
        <v>1</v>
      </c>
      <c r="Q1502" s="148" t="str">
        <f>IFERROR(__xludf.DUMMYFUNCTION("""COMPUTED_VALUE"""),"[""bag_other""]")</f>
        <v>["bag_other"]</v>
      </c>
      <c r="R1502" s="148" t="str">
        <f>IFERROR(__xludf.DUMMYFUNCTION("""COMPUTED_VALUE"""),"[]")</f>
        <v>[]</v>
      </c>
      <c r="S1502" s="148" t="str">
        <f>IFERROR(__xludf.DUMMYFUNCTION("""COMPUTED_VALUE"""),"{}")</f>
        <v>{}</v>
      </c>
      <c r="T1502" s="148">
        <f>IFERROR(__xludf.DUMMYFUNCTION("""COMPUTED_VALUE"""),-1.0)</f>
        <v>-1</v>
      </c>
      <c r="U1502" s="148">
        <f>IFERROR(__xludf.DUMMYFUNCTION("""COMPUTED_VALUE"""),0.0)</f>
        <v>0</v>
      </c>
      <c r="V1502" s="148" t="str">
        <f>IFERROR(__xludf.DUMMYFUNCTION("""COMPUTED_VALUE"""),"[]")</f>
        <v>[]</v>
      </c>
      <c r="W1502" s="148">
        <f>IFERROR(__xludf.DUMMYFUNCTION("""COMPUTED_VALUE"""),1.174E7)</f>
        <v>11740000</v>
      </c>
      <c r="X1502" s="148">
        <f>IFERROR(__xludf.DUMMYFUNCTION("""COMPUTED_VALUE"""),0.0)</f>
        <v>0</v>
      </c>
      <c r="Y1502" s="148">
        <f>IFERROR(__xludf.DUMMYFUNCTION("""COMPUTED_VALUE"""),0.0)</f>
        <v>0</v>
      </c>
      <c r="Z1502" s="148"/>
    </row>
    <row r="1503">
      <c r="A1503" s="148">
        <f>IFERROR(__xludf.DUMMYFUNCTION("""COMPUTED_VALUE"""),1.1117144E7)</f>
        <v>11117144</v>
      </c>
      <c r="B1503" s="148" t="str">
        <f>IFERROR(__xludf.DUMMYFUNCTION("""COMPUTED_VALUE"""),"酒馆登陆bp")</f>
        <v>酒馆登陆bp</v>
      </c>
      <c r="C1503" s="148"/>
      <c r="D1503" s="148" t="str">
        <f>IFERROR(__xludf.DUMMYFUNCTION("""COMPUTED_VALUE"""),"battle_pass_card")</f>
        <v>battle_pass_card</v>
      </c>
      <c r="E1503" s="148">
        <f>IFERROR(__xludf.DUMMYFUNCTION("""COMPUTED_VALUE"""),0.0)</f>
        <v>0</v>
      </c>
      <c r="F1503" s="148">
        <f>IFERROR(__xludf.DUMMYFUNCTION("""COMPUTED_VALUE"""),0.0)</f>
        <v>0</v>
      </c>
      <c r="G1503" s="148">
        <f>IFERROR(__xludf.DUMMYFUNCTION("""COMPUTED_VALUE"""),1.5111017E7)</f>
        <v>15111017</v>
      </c>
      <c r="H1503" s="148">
        <f>IFERROR(__xludf.DUMMYFUNCTION("""COMPUTED_VALUE"""),1.5112563E7)</f>
        <v>15112563</v>
      </c>
      <c r="I1503" s="148" t="str">
        <f>IFERROR(__xludf.DUMMYFUNCTION("""COMPUTED_VALUE"""),"{}")</f>
        <v>{}</v>
      </c>
      <c r="J1503" s="148" t="str">
        <f>IFERROR(__xludf.DUMMYFUNCTION("""COMPUTED_VALUE"""),"{""typ"":""lc"",""txt"":""LC_IAP_login_bp_advanced_pkg""}")</f>
        <v>{"typ":"lc","txt":"LC_IAP_login_bp_advanced_pkg"}</v>
      </c>
      <c r="K1503" s="148" t="str">
        <f>IFERROR(__xludf.DUMMYFUNCTION("""COMPUTED_VALUE"""),"{}")</f>
        <v>{}</v>
      </c>
      <c r="L1503" s="148" t="str">
        <f>IFERROR(__xludf.DUMMYFUNCTION("""COMPUTED_VALUE"""),"{}")</f>
        <v>{}</v>
      </c>
      <c r="M1503" s="148">
        <f>IFERROR(__xludf.DUMMYFUNCTION("""COMPUTED_VALUE"""),10.0)</f>
        <v>10</v>
      </c>
      <c r="N1503" s="148">
        <f>IFERROR(__xludf.DUMMYFUNCTION("""COMPUTED_VALUE"""),999999.0)</f>
        <v>999999</v>
      </c>
      <c r="O1503" s="148">
        <f>IFERROR(__xludf.DUMMYFUNCTION("""COMPUTED_VALUE"""),99999.0)</f>
        <v>99999</v>
      </c>
      <c r="P1503" s="148">
        <f>IFERROR(__xludf.DUMMYFUNCTION("""COMPUTED_VALUE"""),9999.0)</f>
        <v>9999</v>
      </c>
      <c r="Q1503" s="148" t="str">
        <f>IFERROR(__xludf.DUMMYFUNCTION("""COMPUTED_VALUE"""),"[]")</f>
        <v>[]</v>
      </c>
      <c r="R1503" s="148" t="str">
        <f>IFERROR(__xludf.DUMMYFUNCTION("""COMPUTED_VALUE"""),"[]")</f>
        <v>[]</v>
      </c>
      <c r="S1503" s="148" t="str">
        <f>IFERROR(__xludf.DUMMYFUNCTION("""COMPUTED_VALUE"""),"{}")</f>
        <v>{}</v>
      </c>
      <c r="T1503" s="148">
        <f>IFERROR(__xludf.DUMMYFUNCTION("""COMPUTED_VALUE"""),-1.0)</f>
        <v>-1</v>
      </c>
      <c r="U1503" s="148">
        <f>IFERROR(__xludf.DUMMYFUNCTION("""COMPUTED_VALUE"""),1.0)</f>
        <v>1</v>
      </c>
      <c r="V1503" s="148" t="str">
        <f>IFERROR(__xludf.DUMMYFUNCTION("""COMPUTED_VALUE"""),"[]")</f>
        <v>[]</v>
      </c>
      <c r="W1503" s="148">
        <f>IFERROR(__xludf.DUMMYFUNCTION("""COMPUTED_VALUE"""),1.174E7)</f>
        <v>11740000</v>
      </c>
      <c r="X1503" s="148">
        <f>IFERROR(__xludf.DUMMYFUNCTION("""COMPUTED_VALUE"""),0.0)</f>
        <v>0</v>
      </c>
      <c r="Y1503" s="148">
        <f>IFERROR(__xludf.DUMMYFUNCTION("""COMPUTED_VALUE"""),0.0)</f>
        <v>0</v>
      </c>
      <c r="Z1503" s="148"/>
    </row>
    <row r="1504">
      <c r="A1504" s="148">
        <f>IFERROR(__xludf.DUMMYFUNCTION("""COMPUTED_VALUE"""),1.1117145E7)</f>
        <v>11117145</v>
      </c>
      <c r="B1504" s="148" t="str">
        <f>IFERROR(__xludf.DUMMYFUNCTION("""COMPUTED_VALUE"""),"幼猴节奖券_2022")</f>
        <v>幼猴节奖券_2022</v>
      </c>
      <c r="C1504" s="148"/>
      <c r="D1504" s="148" t="str">
        <f>IFERROR(__xludf.DUMMYFUNCTION("""COMPUTED_VALUE"""),"event")</f>
        <v>event</v>
      </c>
      <c r="E1504" s="148">
        <f>IFERROR(__xludf.DUMMYFUNCTION("""COMPUTED_VALUE"""),0.0)</f>
        <v>0</v>
      </c>
      <c r="F1504" s="148">
        <f>IFERROR(__xludf.DUMMYFUNCTION("""COMPUTED_VALUE"""),405243.0)</f>
        <v>405243</v>
      </c>
      <c r="G1504" s="148">
        <f>IFERROR(__xludf.DUMMYFUNCTION("""COMPUTED_VALUE"""),1.5114779E7)</f>
        <v>15114779</v>
      </c>
      <c r="H1504" s="148">
        <f>IFERROR(__xludf.DUMMYFUNCTION("""COMPUTED_VALUE"""),1.5112563E7)</f>
        <v>15112563</v>
      </c>
      <c r="I1504" s="148" t="str">
        <f>IFERROR(__xludf.DUMMYFUNCTION("""COMPUTED_VALUE"""),"{}")</f>
        <v>{}</v>
      </c>
      <c r="J1504" s="148" t="str">
        <f>IFERROR(__xludf.DUMMYFUNCTION("""COMPUTED_VALUE"""),"{""typ"":""lc"",""txt"":""LC_ITEM_children_gacha_item""}")</f>
        <v>{"typ":"lc","txt":"LC_ITEM_children_gacha_item"}</v>
      </c>
      <c r="K1504" s="148" t="str">
        <f>IFERROR(__xludf.DUMMYFUNCTION("""COMPUTED_VALUE"""),"{""typ"":""lc"",""txt"":""LC_ITEM_children_gacha_item_desc""}")</f>
        <v>{"typ":"lc","txt":"LC_ITEM_children_gacha_item_desc"}</v>
      </c>
      <c r="L1504" s="148" t="str">
        <f>IFERROR(__xludf.DUMMYFUNCTION("""COMPUTED_VALUE"""),"{}")</f>
        <v>{}</v>
      </c>
      <c r="M1504" s="148">
        <f>IFERROR(__xludf.DUMMYFUNCTION("""COMPUTED_VALUE"""),700.0)</f>
        <v>700</v>
      </c>
      <c r="N1504" s="148">
        <f>IFERROR(__xludf.DUMMYFUNCTION("""COMPUTED_VALUE"""),9.99999999E8)</f>
        <v>999999999</v>
      </c>
      <c r="O1504" s="148">
        <f>IFERROR(__xludf.DUMMYFUNCTION("""COMPUTED_VALUE"""),9.99999999E8)</f>
        <v>999999999</v>
      </c>
      <c r="P1504" s="148">
        <f>IFERROR(__xludf.DUMMYFUNCTION("""COMPUTED_VALUE"""),9.99999999E8)</f>
        <v>999999999</v>
      </c>
      <c r="Q1504" s="148" t="str">
        <f>IFERROR(__xludf.DUMMYFUNCTION("""COMPUTED_VALUE"""),"[""bag_other""]")</f>
        <v>["bag_other"]</v>
      </c>
      <c r="R1504" s="148" t="str">
        <f>IFERROR(__xludf.DUMMYFUNCTION("""COMPUTED_VALUE"""),"[""bag""]")</f>
        <v>["bag"]</v>
      </c>
      <c r="S1504" s="148" t="str">
        <f>IFERROR(__xludf.DUMMYFUNCTION("""COMPUTED_VALUE"""),"{}")</f>
        <v>{}</v>
      </c>
      <c r="T1504" s="148">
        <f>IFERROR(__xludf.DUMMYFUNCTION("""COMPUTED_VALUE"""),-1.0)</f>
        <v>-1</v>
      </c>
      <c r="U1504" s="148">
        <f>IFERROR(__xludf.DUMMYFUNCTION("""COMPUTED_VALUE"""),0.0)</f>
        <v>0</v>
      </c>
      <c r="V1504" s="148" t="str">
        <f>IFERROR(__xludf.DUMMYFUNCTION("""COMPUTED_VALUE"""),"[]")</f>
        <v>[]</v>
      </c>
      <c r="W1504" s="148">
        <f>IFERROR(__xludf.DUMMYFUNCTION("""COMPUTED_VALUE"""),1.174E7)</f>
        <v>11740000</v>
      </c>
      <c r="X1504" s="148">
        <f>IFERROR(__xludf.DUMMYFUNCTION("""COMPUTED_VALUE"""),0.0)</f>
        <v>0</v>
      </c>
      <c r="Y1504" s="148">
        <f>IFERROR(__xludf.DUMMYFUNCTION("""COMPUTED_VALUE"""),0.0)</f>
        <v>0</v>
      </c>
      <c r="Z1504" s="148"/>
    </row>
    <row r="1505">
      <c r="A1505" s="148">
        <f>IFERROR(__xludf.DUMMYFUNCTION("""COMPUTED_VALUE"""),1.1117146E7)</f>
        <v>11117146</v>
      </c>
      <c r="B1505" s="148" t="str">
        <f>IFERROR(__xludf.DUMMYFUNCTION("""COMPUTED_VALUE"""),"奥斯卡形象")</f>
        <v>奥斯卡形象</v>
      </c>
      <c r="C1505" s="148"/>
      <c r="D1505" s="148" t="str">
        <f>IFERROR(__xludf.DUMMYFUNCTION("""COMPUTED_VALUE"""),"item_asset")</f>
        <v>item_asset</v>
      </c>
      <c r="E1505" s="148">
        <f>IFERROR(__xludf.DUMMYFUNCTION("""COMPUTED_VALUE"""),19.0)</f>
        <v>19</v>
      </c>
      <c r="F1505" s="148">
        <f>IFERROR(__xludf.DUMMYFUNCTION("""COMPUTED_VALUE"""),401120.0)</f>
        <v>401120</v>
      </c>
      <c r="G1505" s="148">
        <f>IFERROR(__xludf.DUMMYFUNCTION("""COMPUTED_VALUE"""),1.51148E7)</f>
        <v>15114800</v>
      </c>
      <c r="H1505" s="148">
        <f>IFERROR(__xludf.DUMMYFUNCTION("""COMPUTED_VALUE"""),1.5112564E7)</f>
        <v>15112564</v>
      </c>
      <c r="I1505" s="148" t="str">
        <f>IFERROR(__xludf.DUMMYFUNCTION("""COMPUTED_VALUE"""),"{}")</f>
        <v>{}</v>
      </c>
      <c r="J1505" s="148" t="str">
        <f>IFERROR(__xludf.DUMMYFUNCTION("""COMPUTED_VALUE"""),"{""typ"":""lc"",""txt"":""LC_HERO_hero_name_20""}")</f>
        <v>{"typ":"lc","txt":"LC_HERO_hero_name_20"}</v>
      </c>
      <c r="K1505" s="148" t="str">
        <f>IFERROR(__xludf.DUMMYFUNCTION("""COMPUTED_VALUE"""),"{""typ"":""lc"",""txt"":""LC_HERO_hero_story_20""}")</f>
        <v>{"typ":"lc","txt":"LC_HERO_hero_story_20"}</v>
      </c>
      <c r="L1505" s="148" t="str">
        <f>IFERROR(__xludf.DUMMYFUNCTION("""COMPUTED_VALUE"""),"{}")</f>
        <v>{}</v>
      </c>
      <c r="M1505" s="148">
        <f>IFERROR(__xludf.DUMMYFUNCTION("""COMPUTED_VALUE"""),1.0)</f>
        <v>1</v>
      </c>
      <c r="N1505" s="148">
        <f>IFERROR(__xludf.DUMMYFUNCTION("""COMPUTED_VALUE"""),999999.0)</f>
        <v>999999</v>
      </c>
      <c r="O1505" s="148">
        <f>IFERROR(__xludf.DUMMYFUNCTION("""COMPUTED_VALUE"""),99999.0)</f>
        <v>99999</v>
      </c>
      <c r="P1505" s="148">
        <f>IFERROR(__xludf.DUMMYFUNCTION("""COMPUTED_VALUE"""),9999.0)</f>
        <v>9999</v>
      </c>
      <c r="Q1505" s="148" t="str">
        <f>IFERROR(__xludf.DUMMYFUNCTION("""COMPUTED_VALUE"""),"[""bag_other""]")</f>
        <v>["bag_other"]</v>
      </c>
      <c r="R1505" s="148" t="str">
        <f>IFERROR(__xludf.DUMMYFUNCTION("""COMPUTED_VALUE"""),"[]")</f>
        <v>[]</v>
      </c>
      <c r="S1505" s="148" t="str">
        <f>IFERROR(__xludf.DUMMYFUNCTION("""COMPUTED_VALUE"""),"{""drop"":{""typ"":""single_all"",""num"":1,""args"":[{""typ"":""item"",""id"":11116210,""num"":10,""wgt"":30}]}}")</f>
        <v>{"drop":{"typ":"single_all","num":1,"args":[{"typ":"item","id":11116210,"num":10,"wgt":30}]}}</v>
      </c>
      <c r="T1505" s="148">
        <f>IFERROR(__xludf.DUMMYFUNCTION("""COMPUTED_VALUE"""),-1.0)</f>
        <v>-1</v>
      </c>
      <c r="U1505" s="148">
        <f>IFERROR(__xludf.DUMMYFUNCTION("""COMPUTED_VALUE"""),1.0)</f>
        <v>1</v>
      </c>
      <c r="V1505" s="148" t="str">
        <f>IFERROR(__xludf.DUMMYFUNCTION("""COMPUTED_VALUE"""),"[]")</f>
        <v>[]</v>
      </c>
      <c r="W1505" s="148">
        <f>IFERROR(__xludf.DUMMYFUNCTION("""COMPUTED_VALUE"""),1.174E7)</f>
        <v>11740000</v>
      </c>
      <c r="X1505" s="148">
        <f>IFERROR(__xludf.DUMMYFUNCTION("""COMPUTED_VALUE"""),0.0)</f>
        <v>0</v>
      </c>
      <c r="Y1505" s="148">
        <f>IFERROR(__xludf.DUMMYFUNCTION("""COMPUTED_VALUE"""),0.0)</f>
        <v>0</v>
      </c>
      <c r="Z1505" s="148"/>
    </row>
    <row r="1506">
      <c r="A1506" s="148">
        <f>IFERROR(__xludf.DUMMYFUNCTION("""COMPUTED_VALUE"""),1.1117147E7)</f>
        <v>11117147</v>
      </c>
      <c r="B1506" s="148" t="str">
        <f>IFERROR(__xludf.DUMMYFUNCTION("""COMPUTED_VALUE"""),"酒馆会员积分道具")</f>
        <v>酒馆会员积分道具</v>
      </c>
      <c r="C1506" s="148"/>
      <c r="D1506" s="148" t="str">
        <f>IFERROR(__xludf.DUMMYFUNCTION("""COMPUTED_VALUE"""),"item_asset")</f>
        <v>item_asset</v>
      </c>
      <c r="E1506" s="148">
        <f>IFERROR(__xludf.DUMMYFUNCTION("""COMPUTED_VALUE"""),0.0)</f>
        <v>0</v>
      </c>
      <c r="F1506" s="148">
        <f>IFERROR(__xludf.DUMMYFUNCTION("""COMPUTED_VALUE"""),0.0)</f>
        <v>0</v>
      </c>
      <c r="G1506" s="148">
        <f>IFERROR(__xludf.DUMMYFUNCTION("""COMPUTED_VALUE"""),1.5115709E7)</f>
        <v>15115709</v>
      </c>
      <c r="H1506" s="148">
        <f>IFERROR(__xludf.DUMMYFUNCTION("""COMPUTED_VALUE"""),1.5112563E7)</f>
        <v>15112563</v>
      </c>
      <c r="I1506" s="148" t="str">
        <f>IFERROR(__xludf.DUMMYFUNCTION("""COMPUTED_VALUE"""),"{}")</f>
        <v>{}</v>
      </c>
      <c r="J1506" s="148" t="str">
        <f>IFERROR(__xludf.DUMMYFUNCTION("""COMPUTED_VALUE"""),"{""typ"":""lc"",""txt"":""LC_ITEM_bar_membership_point""}")</f>
        <v>{"typ":"lc","txt":"LC_ITEM_bar_membership_point"}</v>
      </c>
      <c r="K1506" s="148" t="str">
        <f>IFERROR(__xludf.DUMMYFUNCTION("""COMPUTED_VALUE"""),"{""typ"":""lc"",""txt"":""LC_ITEM_bar_membership_point""}")</f>
        <v>{"typ":"lc","txt":"LC_ITEM_bar_membership_point"}</v>
      </c>
      <c r="L1506" s="148" t="str">
        <f>IFERROR(__xludf.DUMMYFUNCTION("""COMPUTED_VALUE"""),"{}")</f>
        <v>{}</v>
      </c>
      <c r="M1506" s="148">
        <f>IFERROR(__xludf.DUMMYFUNCTION("""COMPUTED_VALUE"""),10.0)</f>
        <v>10</v>
      </c>
      <c r="N1506" s="148">
        <f>IFERROR(__xludf.DUMMYFUNCTION("""COMPUTED_VALUE"""),999999.0)</f>
        <v>999999</v>
      </c>
      <c r="O1506" s="148">
        <f>IFERROR(__xludf.DUMMYFUNCTION("""COMPUTED_VALUE"""),99999.0)</f>
        <v>99999</v>
      </c>
      <c r="P1506" s="148">
        <f>IFERROR(__xludf.DUMMYFUNCTION("""COMPUTED_VALUE"""),9999.0)</f>
        <v>9999</v>
      </c>
      <c r="Q1506" s="148" t="str">
        <f>IFERROR(__xludf.DUMMYFUNCTION("""COMPUTED_VALUE"""),"[]")</f>
        <v>[]</v>
      </c>
      <c r="R1506" s="148" t="str">
        <f>IFERROR(__xludf.DUMMYFUNCTION("""COMPUTED_VALUE"""),"[]")</f>
        <v>[]</v>
      </c>
      <c r="S1506" s="148" t="str">
        <f>IFERROR(__xludf.DUMMYFUNCTION("""COMPUTED_VALUE"""),"{""effect"":[{""typ"":""xp"",""id"":11161008,""val"":1}]}")</f>
        <v>{"effect":[{"typ":"xp","id":11161008,"val":1}]}</v>
      </c>
      <c r="T1506" s="148">
        <f>IFERROR(__xludf.DUMMYFUNCTION("""COMPUTED_VALUE"""),-1.0)</f>
        <v>-1</v>
      </c>
      <c r="U1506" s="148">
        <f>IFERROR(__xludf.DUMMYFUNCTION("""COMPUTED_VALUE"""),1.0)</f>
        <v>1</v>
      </c>
      <c r="V1506" s="148" t="str">
        <f>IFERROR(__xludf.DUMMYFUNCTION("""COMPUTED_VALUE"""),"[]")</f>
        <v>[]</v>
      </c>
      <c r="W1506" s="148">
        <f>IFERROR(__xludf.DUMMYFUNCTION("""COMPUTED_VALUE"""),1.174E7)</f>
        <v>11740000</v>
      </c>
      <c r="X1506" s="148">
        <f>IFERROR(__xludf.DUMMYFUNCTION("""COMPUTED_VALUE"""),0.0)</f>
        <v>0</v>
      </c>
      <c r="Y1506" s="148">
        <f>IFERROR(__xludf.DUMMYFUNCTION("""COMPUTED_VALUE"""),0.0)</f>
        <v>0</v>
      </c>
      <c r="Z1506" s="148"/>
    </row>
    <row r="1507">
      <c r="A1507" s="148">
        <f>IFERROR(__xludf.DUMMYFUNCTION("""COMPUTED_VALUE"""),1.1117148E7)</f>
        <v>11117148</v>
      </c>
      <c r="B1507" s="148" t="str">
        <f>IFERROR(__xludf.DUMMYFUNCTION("""COMPUTED_VALUE"""),"1小时训练-治疗加速自选宝箱")</f>
        <v>1小时训练-治疗加速自选宝箱</v>
      </c>
      <c r="C1507" s="148"/>
      <c r="D1507" s="148" t="str">
        <f>IFERROR(__xludf.DUMMYFUNCTION("""COMPUTED_VALUE"""),"item_select_box")</f>
        <v>item_select_box</v>
      </c>
      <c r="E1507" s="148">
        <f>IFERROR(__xludf.DUMMYFUNCTION("""COMPUTED_VALUE"""),19.0)</f>
        <v>19</v>
      </c>
      <c r="F1507" s="148">
        <f>IFERROR(__xludf.DUMMYFUNCTION("""COMPUTED_VALUE"""),201302.0)</f>
        <v>201302</v>
      </c>
      <c r="G1507" s="148">
        <f>IFERROR(__xludf.DUMMYFUNCTION("""COMPUTED_VALUE"""),1.5114838E7)</f>
        <v>15114838</v>
      </c>
      <c r="H1507" s="148">
        <f>IFERROR(__xludf.DUMMYFUNCTION("""COMPUTED_VALUE"""),1.5112562E7)</f>
        <v>15112562</v>
      </c>
      <c r="I1507" s="148" t="str">
        <f>IFERROR(__xludf.DUMMYFUNCTION("""COMPUTED_VALUE"""),"{""typ"":""lc"",""txt"":""LC_ITEM_time_h_upper_show"",""args"":[{""typ"":""int"",""val"":1}]}")</f>
        <v>{"typ":"lc","txt":"LC_ITEM_time_h_upper_show","args":[{"typ":"int","val":1}]}</v>
      </c>
      <c r="J1507" s="148" t="str">
        <f>IFERROR(__xludf.DUMMYFUNCTION("""COMPUTED_VALUE"""),"{""typ"":""lc"",""txt"":""LC_ITEM_heal_train_optional_box_name1""}")</f>
        <v>{"typ":"lc","txt":"LC_ITEM_heal_train_optional_box_name1"}</v>
      </c>
      <c r="K1507" s="148" t="str">
        <f>IFERROR(__xludf.DUMMYFUNCTION("""COMPUTED_VALUE"""),"{""typ"":""lc"",""txt"":""LC_ITEM_heal_train_optional_box_desc"",""args"":[{""typ"":""int"",""val"":1},{""typ"":""int"",""val"":1}]}")</f>
        <v>{"typ":"lc","txt":"LC_ITEM_heal_train_optional_box_desc","args":[{"typ":"int","val":1},{"typ":"int","val":1}]}</v>
      </c>
      <c r="L1507" s="148" t="str">
        <f>IFERROR(__xludf.DUMMYFUNCTION("""COMPUTED_VALUE"""),"{""typ"":""lc"",""txt"":""LC_ITEM_chest_from_atk_npc_usedtip""}")</f>
        <v>{"typ":"lc","txt":"LC_ITEM_chest_from_atk_npc_usedtip"}</v>
      </c>
      <c r="M1507" s="148">
        <f>IFERROR(__xludf.DUMMYFUNCTION("""COMPUTED_VALUE"""),100.0)</f>
        <v>100</v>
      </c>
      <c r="N1507" s="148">
        <f>IFERROR(__xludf.DUMMYFUNCTION("""COMPUTED_VALUE"""),999999.0)</f>
        <v>999999</v>
      </c>
      <c r="O1507" s="148">
        <f>IFERROR(__xludf.DUMMYFUNCTION("""COMPUTED_VALUE"""),99999.0)</f>
        <v>99999</v>
      </c>
      <c r="P1507" s="148">
        <f>IFERROR(__xludf.DUMMYFUNCTION("""COMPUTED_VALUE"""),99999.0)</f>
        <v>99999</v>
      </c>
      <c r="Q1507" s="148" t="str">
        <f>IFERROR(__xludf.DUMMYFUNCTION("""COMPUTED_VALUE"""),"[""bag_speedup"",""speed_heal"",""speed_train""]")</f>
        <v>["bag_speedup","speed_heal","speed_train"]</v>
      </c>
      <c r="R1507" s="148" t="str">
        <f>IFERROR(__xludf.DUMMYFUNCTION("""COMPUTED_VALUE"""),"[""bag"",""speed_heal"",""speed_train""]")</f>
        <v>["bag","speed_heal","speed_train"]</v>
      </c>
      <c r="S1507" s="148" t="str">
        <f>IFERROR(__xludf.DUMMYFUNCTION("""COMPUTED_VALUE"""),"{""select_box"":[{""typ"":""item"",""id"":11111146,""val"":1},{""typ"":""item"",""id"":11111156,""val"":1}]}")</f>
        <v>{"select_box":[{"typ":"item","id":11111146,"val":1},{"typ":"item","id":11111156,"val":1}]}</v>
      </c>
      <c r="T1507" s="148">
        <f>IFERROR(__xludf.DUMMYFUNCTION("""COMPUTED_VALUE"""),-1.0)</f>
        <v>-1</v>
      </c>
      <c r="U1507" s="148">
        <f>IFERROR(__xludf.DUMMYFUNCTION("""COMPUTED_VALUE"""),0.0)</f>
        <v>0</v>
      </c>
      <c r="V1507" s="148" t="str">
        <f>IFERROR(__xludf.DUMMYFUNCTION("""COMPUTED_VALUE"""),"[]")</f>
        <v>[]</v>
      </c>
      <c r="W1507" s="148">
        <f>IFERROR(__xludf.DUMMYFUNCTION("""COMPUTED_VALUE"""),1.1741003E7)</f>
        <v>11741003</v>
      </c>
      <c r="X1507" s="148">
        <f>IFERROR(__xludf.DUMMYFUNCTION("""COMPUTED_VALUE"""),0.0)</f>
        <v>0</v>
      </c>
      <c r="Y1507" s="148">
        <f>IFERROR(__xludf.DUMMYFUNCTION("""COMPUTED_VALUE"""),0.0)</f>
        <v>0</v>
      </c>
      <c r="Z1507" s="148"/>
    </row>
    <row r="1508">
      <c r="A1508" s="148">
        <f>IFERROR(__xludf.DUMMYFUNCTION("""COMPUTED_VALUE"""),1.1117149E7)</f>
        <v>11117149</v>
      </c>
      <c r="B1508" s="148" t="str">
        <f>IFERROR(__xludf.DUMMYFUNCTION("""COMPUTED_VALUE"""),"kvk2建筑升级道具")</f>
        <v>kvk2建筑升级道具</v>
      </c>
      <c r="C1508" s="148"/>
      <c r="D1508" s="148" t="str">
        <f>IFERROR(__xludf.DUMMYFUNCTION("""COMPUTED_VALUE"""),"item_ruin_level")</f>
        <v>item_ruin_level</v>
      </c>
      <c r="E1508" s="148">
        <f>IFERROR(__xludf.DUMMYFUNCTION("""COMPUTED_VALUE"""),0.0)</f>
        <v>0</v>
      </c>
      <c r="F1508" s="148">
        <f>IFERROR(__xludf.DUMMYFUNCTION("""COMPUTED_VALUE"""),415304.0)</f>
        <v>415304</v>
      </c>
      <c r="G1508" s="148">
        <f>IFERROR(__xludf.DUMMYFUNCTION("""COMPUTED_VALUE"""),1.5114912E7)</f>
        <v>15114912</v>
      </c>
      <c r="H1508" s="148">
        <f>IFERROR(__xludf.DUMMYFUNCTION("""COMPUTED_VALUE"""),1.5112562E7)</f>
        <v>15112562</v>
      </c>
      <c r="I1508" s="148" t="str">
        <f>IFERROR(__xludf.DUMMYFUNCTION("""COMPUTED_VALUE"""),"{}")</f>
        <v>{}</v>
      </c>
      <c r="J1508" s="148" t="str">
        <f>IFERROR(__xludf.DUMMYFUNCTION("""COMPUTED_VALUE"""),"{""typ"":""lc"",""txt"":""LC_KVK_kvk2_donate_building_item""}")</f>
        <v>{"typ":"lc","txt":"LC_KVK_kvk2_donate_building_item"}</v>
      </c>
      <c r="K1508" s="148" t="str">
        <f>IFERROR(__xludf.DUMMYFUNCTION("""COMPUTED_VALUE"""),"{""typ"":""lc"",""txt"":""LC_KVK_kvk2_donate_building_item_desc""}")</f>
        <v>{"typ":"lc","txt":"LC_KVK_kvk2_donate_building_item_desc"}</v>
      </c>
      <c r="L1508" s="148" t="str">
        <f>IFERROR(__xludf.DUMMYFUNCTION("""COMPUTED_VALUE"""),"{}")</f>
        <v>{}</v>
      </c>
      <c r="M1508" s="148">
        <f>IFERROR(__xludf.DUMMYFUNCTION("""COMPUTED_VALUE"""),10.0)</f>
        <v>10</v>
      </c>
      <c r="N1508" s="148">
        <f>IFERROR(__xludf.DUMMYFUNCTION("""COMPUTED_VALUE"""),999999.0)</f>
        <v>999999</v>
      </c>
      <c r="O1508" s="148">
        <f>IFERROR(__xludf.DUMMYFUNCTION("""COMPUTED_VALUE"""),99999.0)</f>
        <v>99999</v>
      </c>
      <c r="P1508" s="148">
        <f>IFERROR(__xludf.DUMMYFUNCTION("""COMPUTED_VALUE"""),9999.0)</f>
        <v>9999</v>
      </c>
      <c r="Q1508" s="148" t="str">
        <f>IFERROR(__xludf.DUMMYFUNCTION("""COMPUTED_VALUE"""),"[""bag_other""]")</f>
        <v>["bag_other"]</v>
      </c>
      <c r="R1508" s="148" t="str">
        <f>IFERROR(__xludf.DUMMYFUNCTION("""COMPUTED_VALUE"""),"[]")</f>
        <v>[]</v>
      </c>
      <c r="S1508" s="148" t="str">
        <f>IFERROR(__xludf.DUMMYFUNCTION("""COMPUTED_VALUE"""),"{""effect"":[{""typ"":""ruin_exp"",""val"":10}]}")</f>
        <v>{"effect":[{"typ":"ruin_exp","val":10}]}</v>
      </c>
      <c r="T1508" s="148">
        <f>IFERROR(__xludf.DUMMYFUNCTION("""COMPUTED_VALUE"""),-1.0)</f>
        <v>-1</v>
      </c>
      <c r="U1508" s="148">
        <f>IFERROR(__xludf.DUMMYFUNCTION("""COMPUTED_VALUE"""),0.0)</f>
        <v>0</v>
      </c>
      <c r="V1508" s="148" t="str">
        <f>IFERROR(__xludf.DUMMYFUNCTION("""COMPUTED_VALUE"""),"[]")</f>
        <v>[]</v>
      </c>
      <c r="W1508" s="148">
        <f>IFERROR(__xludf.DUMMYFUNCTION("""COMPUTED_VALUE"""),1.174E7)</f>
        <v>11740000</v>
      </c>
      <c r="X1508" s="148">
        <f>IFERROR(__xludf.DUMMYFUNCTION("""COMPUTED_VALUE"""),0.0)</f>
        <v>0</v>
      </c>
      <c r="Y1508" s="148">
        <f>IFERROR(__xludf.DUMMYFUNCTION("""COMPUTED_VALUE"""),0.0)</f>
        <v>0</v>
      </c>
      <c r="Z1508" s="148"/>
    </row>
    <row r="1509">
      <c r="A1509" s="148">
        <f>IFERROR(__xludf.DUMMYFUNCTION("""COMPUTED_VALUE"""),1.111715E7)</f>
        <v>11117150</v>
      </c>
      <c r="B1509" s="148" t="str">
        <f>IFERROR(__xludf.DUMMYFUNCTION("""COMPUTED_VALUE"""),"联盟礼物(触发)kvk2部落boss")</f>
        <v>联盟礼物(触发)kvk2部落boss</v>
      </c>
      <c r="C1509" s="148"/>
      <c r="D1509" s="148" t="str">
        <f>IFERROR(__xludf.DUMMYFUNCTION("""COMPUTED_VALUE"""),"item_union_gift")</f>
        <v>item_union_gift</v>
      </c>
      <c r="E1509" s="148">
        <f>IFERROR(__xludf.DUMMYFUNCTION("""COMPUTED_VALUE"""),15.0)</f>
        <v>15</v>
      </c>
      <c r="F1509" s="148">
        <f>IFERROR(__xludf.DUMMYFUNCTION("""COMPUTED_VALUE"""),0.0)</f>
        <v>0</v>
      </c>
      <c r="G1509" s="148">
        <f>IFERROR(__xludf.DUMMYFUNCTION("""COMPUTED_VALUE"""),1.5110348E7)</f>
        <v>15110348</v>
      </c>
      <c r="H1509" s="148">
        <f>IFERROR(__xludf.DUMMYFUNCTION("""COMPUTED_VALUE"""),1.5112563E7)</f>
        <v>15112563</v>
      </c>
      <c r="I1509" s="148" t="str">
        <f>IFERROR(__xludf.DUMMYFUNCTION("""COMPUTED_VALUE"""),"{}")</f>
        <v>{}</v>
      </c>
      <c r="J1509" s="148" t="str">
        <f>IFERROR(__xludf.DUMMYFUNCTION("""COMPUTED_VALUE"""),"{""typ"":""lc"",""txt"":""LC_ITEM_item_alliance_gift_kvk2_boss_name""}")</f>
        <v>{"typ":"lc","txt":"LC_ITEM_item_alliance_gift_kvk2_boss_name"}</v>
      </c>
      <c r="K1509" s="148" t="str">
        <f>IFERROR(__xludf.DUMMYFUNCTION("""COMPUTED_VALUE"""),"{""typ"":""lc"",""txt"":""LC_ITEM_item_alliance_gift_kvk2_boss_desc""}")</f>
        <v>{"typ":"lc","txt":"LC_ITEM_item_alliance_gift_kvk2_boss_desc"}</v>
      </c>
      <c r="L1509" s="148" t="str">
        <f>IFERROR(__xludf.DUMMYFUNCTION("""COMPUTED_VALUE"""),"{}")</f>
        <v>{}</v>
      </c>
      <c r="M1509" s="148">
        <f>IFERROR(__xludf.DUMMYFUNCTION("""COMPUTED_VALUE"""),66.0)</f>
        <v>66</v>
      </c>
      <c r="N1509" s="148">
        <f>IFERROR(__xludf.DUMMYFUNCTION("""COMPUTED_VALUE"""),999999.0)</f>
        <v>999999</v>
      </c>
      <c r="O1509" s="148">
        <f>IFERROR(__xludf.DUMMYFUNCTION("""COMPUTED_VALUE"""),99999.0)</f>
        <v>99999</v>
      </c>
      <c r="P1509" s="148">
        <f>IFERROR(__xludf.DUMMYFUNCTION("""COMPUTED_VALUE"""),1.0)</f>
        <v>1</v>
      </c>
      <c r="Q1509" s="148" t="str">
        <f>IFERROR(__xludf.DUMMYFUNCTION("""COMPUTED_VALUE"""),"[]")</f>
        <v>[]</v>
      </c>
      <c r="R1509" s="148" t="str">
        <f>IFERROR(__xludf.DUMMYFUNCTION("""COMPUTED_VALUE"""),"[]")</f>
        <v>[]</v>
      </c>
      <c r="S1509" s="148" t="str">
        <f>IFERROR(__xludf.DUMMYFUNCTION("""COMPUTED_VALUE"""),"{""effect"":[{""typ"":""union_gift_quality_drop"",""id"":15,""val"":1}]}")</f>
        <v>{"effect":[{"typ":"union_gift_quality_drop","id":15,"val":1}]}</v>
      </c>
      <c r="T1509" s="148">
        <f>IFERROR(__xludf.DUMMYFUNCTION("""COMPUTED_VALUE"""),-1.0)</f>
        <v>-1</v>
      </c>
      <c r="U1509" s="148">
        <f>IFERROR(__xludf.DUMMYFUNCTION("""COMPUTED_VALUE"""),1.0)</f>
        <v>1</v>
      </c>
      <c r="V1509" s="148" t="str">
        <f>IFERROR(__xludf.DUMMYFUNCTION("""COMPUTED_VALUE"""),"[]")</f>
        <v>[]</v>
      </c>
      <c r="W1509" s="148">
        <f>IFERROR(__xludf.DUMMYFUNCTION("""COMPUTED_VALUE"""),1.174E7)</f>
        <v>11740000</v>
      </c>
      <c r="X1509" s="148">
        <f>IFERROR(__xludf.DUMMYFUNCTION("""COMPUTED_VALUE"""),0.0)</f>
        <v>0</v>
      </c>
      <c r="Y1509" s="148">
        <f>IFERROR(__xludf.DUMMYFUNCTION("""COMPUTED_VALUE"""),0.0)</f>
        <v>0</v>
      </c>
      <c r="Z1509" s="148"/>
    </row>
    <row r="1510">
      <c r="A1510" s="148">
        <f>IFERROR(__xludf.DUMMYFUNCTION("""COMPUTED_VALUE"""),1.1117151E7)</f>
        <v>11117151</v>
      </c>
      <c r="B1510" s="148" t="str">
        <f>IFERROR(__xludf.DUMMYFUNCTION("""COMPUTED_VALUE"""),"kvk2-香蕉树装饰物")</f>
        <v>kvk2-香蕉树装饰物</v>
      </c>
      <c r="C1510" s="148"/>
      <c r="D1510" s="148" t="str">
        <f>IFERROR(__xludf.DUMMYFUNCTION("""COMPUTED_VALUE"""),"decorations")</f>
        <v>decorations</v>
      </c>
      <c r="E1510" s="148">
        <f>IFERROR(__xludf.DUMMYFUNCTION("""COMPUTED_VALUE"""),23.0)</f>
        <v>23</v>
      </c>
      <c r="F1510" s="148">
        <f>IFERROR(__xludf.DUMMYFUNCTION("""COMPUTED_VALUE"""),0.0)</f>
        <v>0</v>
      </c>
      <c r="G1510" s="148">
        <f>IFERROR(__xludf.DUMMYFUNCTION("""COMPUTED_VALUE"""),1.5113733E7)</f>
        <v>15113733</v>
      </c>
      <c r="H1510" s="148">
        <f>IFERROR(__xludf.DUMMYFUNCTION("""COMPUTED_VALUE"""),1.5112563E7)</f>
        <v>15112563</v>
      </c>
      <c r="I1510" s="148" t="str">
        <f>IFERROR(__xludf.DUMMYFUNCTION("""COMPUTED_VALUE"""),"{}")</f>
        <v>{}</v>
      </c>
      <c r="J1510" s="148" t="str">
        <f>IFERROR(__xludf.DUMMYFUNCTION("""COMPUTED_VALUE"""),"{""typ"":""lc"",""txt"":""LC_BUILDING_gene_banana_tree_name""}")</f>
        <v>{"typ":"lc","txt":"LC_BUILDING_gene_banana_tree_name"}</v>
      </c>
      <c r="K1510" s="148" t="str">
        <f>IFERROR(__xludf.DUMMYFUNCTION("""COMPUTED_VALUE"""),"{""typ"":""lc"",""txt"":""LC_BUILDING_gene_banana_tree_desc""}")</f>
        <v>{"typ":"lc","txt":"LC_BUILDING_gene_banana_tree_desc"}</v>
      </c>
      <c r="L1510" s="148" t="str">
        <f>IFERROR(__xludf.DUMMYFUNCTION("""COMPUTED_VALUE"""),"{}")</f>
        <v>{}</v>
      </c>
      <c r="M1510" s="148">
        <f>IFERROR(__xludf.DUMMYFUNCTION("""COMPUTED_VALUE"""),5000.0)</f>
        <v>5000</v>
      </c>
      <c r="N1510" s="148">
        <f>IFERROR(__xludf.DUMMYFUNCTION("""COMPUTED_VALUE"""),5.0)</f>
        <v>5</v>
      </c>
      <c r="O1510" s="148">
        <f>IFERROR(__xludf.DUMMYFUNCTION("""COMPUTED_VALUE"""),1.0)</f>
        <v>1</v>
      </c>
      <c r="P1510" s="148">
        <f>IFERROR(__xludf.DUMMYFUNCTION("""COMPUTED_VALUE"""),1.0)</f>
        <v>1</v>
      </c>
      <c r="Q1510" s="148" t="str">
        <f>IFERROR(__xludf.DUMMYFUNCTION("""COMPUTED_VALUE"""),"[]")</f>
        <v>[]</v>
      </c>
      <c r="R1510" s="148" t="str">
        <f>IFERROR(__xludf.DUMMYFUNCTION("""COMPUTED_VALUE"""),"[""bag""]")</f>
        <v>["bag"]</v>
      </c>
      <c r="S1510" s="148" t="str">
        <f>IFERROR(__xludf.DUMMYFUNCTION("""COMPUTED_VALUE"""),"{""effect"":[{""typ"":""decorations"",""id"":11117151,""val"":-1}]}")</f>
        <v>{"effect":[{"typ":"decorations","id":11117151,"val":-1}]}</v>
      </c>
      <c r="T1510" s="148">
        <f>IFERROR(__xludf.DUMMYFUNCTION("""COMPUTED_VALUE"""),-1.0)</f>
        <v>-1</v>
      </c>
      <c r="U1510" s="148">
        <f>IFERROR(__xludf.DUMMYFUNCTION("""COMPUTED_VALUE"""),1.0)</f>
        <v>1</v>
      </c>
      <c r="V1510" s="148" t="str">
        <f>IFERROR(__xludf.DUMMYFUNCTION("""COMPUTED_VALUE"""),"[]")</f>
        <v>[]</v>
      </c>
      <c r="W1510" s="148">
        <f>IFERROR(__xludf.DUMMYFUNCTION("""COMPUTED_VALUE"""),1.174E7)</f>
        <v>11740000</v>
      </c>
      <c r="X1510" s="148">
        <f>IFERROR(__xludf.DUMMYFUNCTION("""COMPUTED_VALUE"""),0.0)</f>
        <v>0</v>
      </c>
      <c r="Y1510" s="148">
        <f>IFERROR(__xludf.DUMMYFUNCTION("""COMPUTED_VALUE"""),0.0)</f>
        <v>0</v>
      </c>
      <c r="Z1510" s="148"/>
    </row>
    <row r="1511">
      <c r="A1511" s="148">
        <f>IFERROR(__xludf.DUMMYFUNCTION("""COMPUTED_VALUE"""),1.1117152E7)</f>
        <v>11117152</v>
      </c>
      <c r="B1511" s="148" t="str">
        <f>IFERROR(__xludf.DUMMYFUNCTION("""COMPUTED_VALUE"""),"kvk2荣誉积分显示道具")</f>
        <v>kvk2荣誉积分显示道具</v>
      </c>
      <c r="C1511" s="148"/>
      <c r="D1511" s="148" t="str">
        <f>IFERROR(__xludf.DUMMYFUNCTION("""COMPUTED_VALUE"""),"item_asset")</f>
        <v>item_asset</v>
      </c>
      <c r="E1511" s="148">
        <f>IFERROR(__xludf.DUMMYFUNCTION("""COMPUTED_VALUE"""),0.0)</f>
        <v>0</v>
      </c>
      <c r="F1511" s="148">
        <f>IFERROR(__xludf.DUMMYFUNCTION("""COMPUTED_VALUE"""),0.0)</f>
        <v>0</v>
      </c>
      <c r="G1511" s="148">
        <f>IFERROR(__xludf.DUMMYFUNCTION("""COMPUTED_VALUE"""),1.5119011E7)</f>
        <v>15119011</v>
      </c>
      <c r="H1511" s="148">
        <f>IFERROR(__xludf.DUMMYFUNCTION("""COMPUTED_VALUE"""),1.5112562E7)</f>
        <v>15112562</v>
      </c>
      <c r="I1511" s="148" t="str">
        <f>IFERROR(__xludf.DUMMYFUNCTION("""COMPUTED_VALUE"""),"{}")</f>
        <v>{}</v>
      </c>
      <c r="J1511" s="148" t="str">
        <f>IFERROR(__xludf.DUMMYFUNCTION("""COMPUTED_VALUE"""),"{""typ"":""lc"",""txt"":""LC_KVK_kvk2_rank_score""}")</f>
        <v>{"typ":"lc","txt":"LC_KVK_kvk2_rank_score"}</v>
      </c>
      <c r="K1511" s="148" t="str">
        <f>IFERROR(__xludf.DUMMYFUNCTION("""COMPUTED_VALUE"""),"{""typ"":""lc"",""txt"":""LC_KVK_kvk_2_rule_label_desc_2""}")</f>
        <v>{"typ":"lc","txt":"LC_KVK_kvk_2_rule_label_desc_2"}</v>
      </c>
      <c r="L1511" s="148" t="str">
        <f>IFERROR(__xludf.DUMMYFUNCTION("""COMPUTED_VALUE"""),"{}")</f>
        <v>{}</v>
      </c>
      <c r="M1511" s="148">
        <f>IFERROR(__xludf.DUMMYFUNCTION("""COMPUTED_VALUE"""),10.0)</f>
        <v>10</v>
      </c>
      <c r="N1511" s="148">
        <f>IFERROR(__xludf.DUMMYFUNCTION("""COMPUTED_VALUE"""),9.99999999E8)</f>
        <v>999999999</v>
      </c>
      <c r="O1511" s="148">
        <f>IFERROR(__xludf.DUMMYFUNCTION("""COMPUTED_VALUE"""),9.99999999E8)</f>
        <v>999999999</v>
      </c>
      <c r="P1511" s="148">
        <f>IFERROR(__xludf.DUMMYFUNCTION("""COMPUTED_VALUE"""),9999.0)</f>
        <v>9999</v>
      </c>
      <c r="Q1511" s="148" t="str">
        <f>IFERROR(__xludf.DUMMYFUNCTION("""COMPUTED_VALUE"""),"[]")</f>
        <v>[]</v>
      </c>
      <c r="R1511" s="148" t="str">
        <f>IFERROR(__xludf.DUMMYFUNCTION("""COMPUTED_VALUE"""),"[]")</f>
        <v>[]</v>
      </c>
      <c r="S1511" s="148" t="str">
        <f>IFERROR(__xludf.DUMMYFUNCTION("""COMPUTED_VALUE"""),"{}")</f>
        <v>{}</v>
      </c>
      <c r="T1511" s="148">
        <f>IFERROR(__xludf.DUMMYFUNCTION("""COMPUTED_VALUE"""),-1.0)</f>
        <v>-1</v>
      </c>
      <c r="U1511" s="148">
        <f>IFERROR(__xludf.DUMMYFUNCTION("""COMPUTED_VALUE"""),1.0)</f>
        <v>1</v>
      </c>
      <c r="V1511" s="148" t="str">
        <f>IFERROR(__xludf.DUMMYFUNCTION("""COMPUTED_VALUE"""),"[]")</f>
        <v>[]</v>
      </c>
      <c r="W1511" s="148">
        <f>IFERROR(__xludf.DUMMYFUNCTION("""COMPUTED_VALUE"""),1.174E7)</f>
        <v>11740000</v>
      </c>
      <c r="X1511" s="148">
        <f>IFERROR(__xludf.DUMMYFUNCTION("""COMPUTED_VALUE"""),0.0)</f>
        <v>0</v>
      </c>
      <c r="Y1511" s="148">
        <f>IFERROR(__xludf.DUMMYFUNCTION("""COMPUTED_VALUE"""),0.0)</f>
        <v>0</v>
      </c>
      <c r="Z1511" s="148"/>
    </row>
    <row r="1512">
      <c r="A1512" s="148">
        <f>IFERROR(__xludf.DUMMYFUNCTION("""COMPUTED_VALUE"""),1.1117153E7)</f>
        <v>11117153</v>
      </c>
      <c r="B1512" s="148" t="str">
        <f>IFERROR(__xludf.DUMMYFUNCTION("""COMPUTED_VALUE"""),"酒馆会员卡-订阅卡标识虚拟道具")</f>
        <v>酒馆会员卡-订阅卡标识虚拟道具</v>
      </c>
      <c r="C1512" s="148"/>
      <c r="D1512" s="148" t="str">
        <f>IFERROR(__xludf.DUMMYFUNCTION("""COMPUTED_VALUE"""),"event_progress")</f>
        <v>event_progress</v>
      </c>
      <c r="E1512" s="148">
        <f>IFERROR(__xludf.DUMMYFUNCTION("""COMPUTED_VALUE"""),0.0)</f>
        <v>0</v>
      </c>
      <c r="F1512" s="148">
        <f>IFERROR(__xludf.DUMMYFUNCTION("""COMPUTED_VALUE"""),0.0)</f>
        <v>0</v>
      </c>
      <c r="G1512" s="148">
        <f>IFERROR(__xludf.DUMMYFUNCTION("""COMPUTED_VALUE"""),1.5113732E7)</f>
        <v>15113732</v>
      </c>
      <c r="H1512" s="148">
        <f>IFERROR(__xludf.DUMMYFUNCTION("""COMPUTED_VALUE"""),1.5112563E7)</f>
        <v>15112563</v>
      </c>
      <c r="I1512" s="148" t="str">
        <f>IFERROR(__xludf.DUMMYFUNCTION("""COMPUTED_VALUE"""),"{}")</f>
        <v>{}</v>
      </c>
      <c r="J1512" s="148" t="str">
        <f>IFERROR(__xludf.DUMMYFUNCTION("""COMPUTED_VALUE"""),"{}")</f>
        <v>{}</v>
      </c>
      <c r="K1512" s="148" t="str">
        <f>IFERROR(__xludf.DUMMYFUNCTION("""COMPUTED_VALUE"""),"{}")</f>
        <v>{}</v>
      </c>
      <c r="L1512" s="148" t="str">
        <f>IFERROR(__xludf.DUMMYFUNCTION("""COMPUTED_VALUE"""),"{}")</f>
        <v>{}</v>
      </c>
      <c r="M1512" s="148">
        <f>IFERROR(__xludf.DUMMYFUNCTION("""COMPUTED_VALUE"""),1.0)</f>
        <v>1</v>
      </c>
      <c r="N1512" s="148">
        <f>IFERROR(__xludf.DUMMYFUNCTION("""COMPUTED_VALUE"""),999999.0)</f>
        <v>999999</v>
      </c>
      <c r="O1512" s="148">
        <f>IFERROR(__xludf.DUMMYFUNCTION("""COMPUTED_VALUE"""),99999.0)</f>
        <v>99999</v>
      </c>
      <c r="P1512" s="148">
        <f>IFERROR(__xludf.DUMMYFUNCTION("""COMPUTED_VALUE"""),9999.0)</f>
        <v>9999</v>
      </c>
      <c r="Q1512" s="148" t="str">
        <f>IFERROR(__xludf.DUMMYFUNCTION("""COMPUTED_VALUE"""),"[]")</f>
        <v>[]</v>
      </c>
      <c r="R1512" s="148" t="str">
        <f>IFERROR(__xludf.DUMMYFUNCTION("""COMPUTED_VALUE"""),"[]")</f>
        <v>[]</v>
      </c>
      <c r="S1512" s="148" t="str">
        <f>IFERROR(__xludf.DUMMYFUNCTION("""COMPUTED_VALUE"""),"{""effect"":[{""typ"":""event"",""id"":21121288}]}")</f>
        <v>{"effect":[{"typ":"event","id":21121288}]}</v>
      </c>
      <c r="T1512" s="148">
        <f>IFERROR(__xludf.DUMMYFUNCTION("""COMPUTED_VALUE"""),-1.0)</f>
        <v>-1</v>
      </c>
      <c r="U1512" s="148">
        <f>IFERROR(__xludf.DUMMYFUNCTION("""COMPUTED_VALUE"""),1.0)</f>
        <v>1</v>
      </c>
      <c r="V1512" s="148" t="str">
        <f>IFERROR(__xludf.DUMMYFUNCTION("""COMPUTED_VALUE"""),"[]")</f>
        <v>[]</v>
      </c>
      <c r="W1512" s="148">
        <f>IFERROR(__xludf.DUMMYFUNCTION("""COMPUTED_VALUE"""),1.174E7)</f>
        <v>11740000</v>
      </c>
      <c r="X1512" s="148">
        <f>IFERROR(__xludf.DUMMYFUNCTION("""COMPUTED_VALUE"""),0.0)</f>
        <v>0</v>
      </c>
      <c r="Y1512" s="148">
        <f>IFERROR(__xludf.DUMMYFUNCTION("""COMPUTED_VALUE"""),0.0)</f>
        <v>0</v>
      </c>
      <c r="Z1512" s="148"/>
    </row>
    <row r="1513">
      <c r="A1513" s="148">
        <f>IFERROR(__xludf.DUMMYFUNCTION("""COMPUTED_VALUE"""),1.1117154E7)</f>
        <v>11117154</v>
      </c>
      <c r="B1513" s="148" t="str">
        <f>IFERROR(__xludf.DUMMYFUNCTION("""COMPUTED_VALUE"""),"联盟礼物(触发)回归加入")</f>
        <v>联盟礼物(触发)回归加入</v>
      </c>
      <c r="C1513" s="148"/>
      <c r="D1513" s="148" t="str">
        <f>IFERROR(__xludf.DUMMYFUNCTION("""COMPUTED_VALUE"""),"item_union_gift")</f>
        <v>item_union_gift</v>
      </c>
      <c r="E1513" s="148">
        <f>IFERROR(__xludf.DUMMYFUNCTION("""COMPUTED_VALUE"""),15.0)</f>
        <v>15</v>
      </c>
      <c r="F1513" s="148">
        <f>IFERROR(__xludf.DUMMYFUNCTION("""COMPUTED_VALUE"""),0.0)</f>
        <v>0</v>
      </c>
      <c r="G1513" s="148">
        <f>IFERROR(__xludf.DUMMYFUNCTION("""COMPUTED_VALUE"""),1.5110347E7)</f>
        <v>15110347</v>
      </c>
      <c r="H1513" s="148">
        <f>IFERROR(__xludf.DUMMYFUNCTION("""COMPUTED_VALUE"""),1.5112563E7)</f>
        <v>15112563</v>
      </c>
      <c r="I1513" s="148" t="str">
        <f>IFERROR(__xludf.DUMMYFUNCTION("""COMPUTED_VALUE"""),"{}")</f>
        <v>{}</v>
      </c>
      <c r="J1513" s="148" t="str">
        <f>IFERROR(__xludf.DUMMYFUNCTION("""COMPUTED_VALUE"""),"{""typ"":""lc"",""txt"":""LC_ITEM_return_alliance_box_login""}")</f>
        <v>{"typ":"lc","txt":"LC_ITEM_return_alliance_box_login"}</v>
      </c>
      <c r="K1513" s="148" t="str">
        <f>IFERROR(__xludf.DUMMYFUNCTION("""COMPUTED_VALUE"""),"{""typ"":""lc"",""txt"":""LC_ITEM_return_alliance_box_desc""}")</f>
        <v>{"typ":"lc","txt":"LC_ITEM_return_alliance_box_desc"}</v>
      </c>
      <c r="L1513" s="148" t="str">
        <f>IFERROR(__xludf.DUMMYFUNCTION("""COMPUTED_VALUE"""),"{}")</f>
        <v>{}</v>
      </c>
      <c r="M1513" s="148">
        <f>IFERROR(__xludf.DUMMYFUNCTION("""COMPUTED_VALUE"""),66.0)</f>
        <v>66</v>
      </c>
      <c r="N1513" s="148">
        <f>IFERROR(__xludf.DUMMYFUNCTION("""COMPUTED_VALUE"""),999999.0)</f>
        <v>999999</v>
      </c>
      <c r="O1513" s="148">
        <f>IFERROR(__xludf.DUMMYFUNCTION("""COMPUTED_VALUE"""),99999.0)</f>
        <v>99999</v>
      </c>
      <c r="P1513" s="148">
        <f>IFERROR(__xludf.DUMMYFUNCTION("""COMPUTED_VALUE"""),1.0)</f>
        <v>1</v>
      </c>
      <c r="Q1513" s="148" t="str">
        <f>IFERROR(__xludf.DUMMYFUNCTION("""COMPUTED_VALUE"""),"[]")</f>
        <v>[]</v>
      </c>
      <c r="R1513" s="148" t="str">
        <f>IFERROR(__xludf.DUMMYFUNCTION("""COMPUTED_VALUE"""),"[]")</f>
        <v>[]</v>
      </c>
      <c r="S1513" s="148" t="str">
        <f>IFERROR(__xludf.DUMMYFUNCTION("""COMPUTED_VALUE"""),"{""effect"":[{""typ"":""union_gift_quality_drop"",""id"":16,""val"":1}]}")</f>
        <v>{"effect":[{"typ":"union_gift_quality_drop","id":16,"val":1}]}</v>
      </c>
      <c r="T1513" s="148">
        <f>IFERROR(__xludf.DUMMYFUNCTION("""COMPUTED_VALUE"""),-1.0)</f>
        <v>-1</v>
      </c>
      <c r="U1513" s="148">
        <f>IFERROR(__xludf.DUMMYFUNCTION("""COMPUTED_VALUE"""),1.0)</f>
        <v>1</v>
      </c>
      <c r="V1513" s="148" t="str">
        <f>IFERROR(__xludf.DUMMYFUNCTION("""COMPUTED_VALUE"""),"[]")</f>
        <v>[]</v>
      </c>
      <c r="W1513" s="148">
        <f>IFERROR(__xludf.DUMMYFUNCTION("""COMPUTED_VALUE"""),1.174E7)</f>
        <v>11740000</v>
      </c>
      <c r="X1513" s="148">
        <f>IFERROR(__xludf.DUMMYFUNCTION("""COMPUTED_VALUE"""),0.0)</f>
        <v>0</v>
      </c>
      <c r="Y1513" s="148">
        <f>IFERROR(__xludf.DUMMYFUNCTION("""COMPUTED_VALUE"""),0.0)</f>
        <v>0</v>
      </c>
      <c r="Z1513" s="148"/>
    </row>
    <row r="1514">
      <c r="A1514" s="148">
        <f>IFERROR(__xludf.DUMMYFUNCTION("""COMPUTED_VALUE"""),1.1117155E7)</f>
        <v>11117155</v>
      </c>
      <c r="B1514" s="148" t="str">
        <f>IFERROR(__xludf.DUMMYFUNCTION("""COMPUTED_VALUE"""),"联盟礼物(触发)回归登录")</f>
        <v>联盟礼物(触发)回归登录</v>
      </c>
      <c r="C1514" s="148"/>
      <c r="D1514" s="148" t="str">
        <f>IFERROR(__xludf.DUMMYFUNCTION("""COMPUTED_VALUE"""),"item_union_gift")</f>
        <v>item_union_gift</v>
      </c>
      <c r="E1514" s="148">
        <f>IFERROR(__xludf.DUMMYFUNCTION("""COMPUTED_VALUE"""),15.0)</f>
        <v>15</v>
      </c>
      <c r="F1514" s="148">
        <f>IFERROR(__xludf.DUMMYFUNCTION("""COMPUTED_VALUE"""),0.0)</f>
        <v>0</v>
      </c>
      <c r="G1514" s="148">
        <f>IFERROR(__xludf.DUMMYFUNCTION("""COMPUTED_VALUE"""),1.5110347E7)</f>
        <v>15110347</v>
      </c>
      <c r="H1514" s="148">
        <f>IFERROR(__xludf.DUMMYFUNCTION("""COMPUTED_VALUE"""),1.5112562E7)</f>
        <v>15112562</v>
      </c>
      <c r="I1514" s="148" t="str">
        <f>IFERROR(__xludf.DUMMYFUNCTION("""COMPUTED_VALUE"""),"{}")</f>
        <v>{}</v>
      </c>
      <c r="J1514" s="148" t="str">
        <f>IFERROR(__xludf.DUMMYFUNCTION("""COMPUTED_VALUE"""),"{""typ"":""lc"",""txt"":""LC_ITEM_return_alliance_box_join""}")</f>
        <v>{"typ":"lc","txt":"LC_ITEM_return_alliance_box_join"}</v>
      </c>
      <c r="K1514" s="148" t="str">
        <f>IFERROR(__xludf.DUMMYFUNCTION("""COMPUTED_VALUE"""),"{""typ"":""lc"",""txt"":""LC_ITEM_return_alliance_box_desc""}")</f>
        <v>{"typ":"lc","txt":"LC_ITEM_return_alliance_box_desc"}</v>
      </c>
      <c r="L1514" s="148" t="str">
        <f>IFERROR(__xludf.DUMMYFUNCTION("""COMPUTED_VALUE"""),"{}")</f>
        <v>{}</v>
      </c>
      <c r="M1514" s="148">
        <f>IFERROR(__xludf.DUMMYFUNCTION("""COMPUTED_VALUE"""),66.0)</f>
        <v>66</v>
      </c>
      <c r="N1514" s="148">
        <f>IFERROR(__xludf.DUMMYFUNCTION("""COMPUTED_VALUE"""),999999.0)</f>
        <v>999999</v>
      </c>
      <c r="O1514" s="148">
        <f>IFERROR(__xludf.DUMMYFUNCTION("""COMPUTED_VALUE"""),99999.0)</f>
        <v>99999</v>
      </c>
      <c r="P1514" s="148">
        <f>IFERROR(__xludf.DUMMYFUNCTION("""COMPUTED_VALUE"""),1.0)</f>
        <v>1</v>
      </c>
      <c r="Q1514" s="148" t="str">
        <f>IFERROR(__xludf.DUMMYFUNCTION("""COMPUTED_VALUE"""),"[]")</f>
        <v>[]</v>
      </c>
      <c r="R1514" s="148" t="str">
        <f>IFERROR(__xludf.DUMMYFUNCTION("""COMPUTED_VALUE"""),"[]")</f>
        <v>[]</v>
      </c>
      <c r="S1514" s="148" t="str">
        <f>IFERROR(__xludf.DUMMYFUNCTION("""COMPUTED_VALUE"""),"{""effect"":[{""typ"":""union_gift_quality_drop"",""id"":17,""val"":1}]}")</f>
        <v>{"effect":[{"typ":"union_gift_quality_drop","id":17,"val":1}]}</v>
      </c>
      <c r="T1514" s="148">
        <f>IFERROR(__xludf.DUMMYFUNCTION("""COMPUTED_VALUE"""),-1.0)</f>
        <v>-1</v>
      </c>
      <c r="U1514" s="148">
        <f>IFERROR(__xludf.DUMMYFUNCTION("""COMPUTED_VALUE"""),1.0)</f>
        <v>1</v>
      </c>
      <c r="V1514" s="148" t="str">
        <f>IFERROR(__xludf.DUMMYFUNCTION("""COMPUTED_VALUE"""),"[]")</f>
        <v>[]</v>
      </c>
      <c r="W1514" s="148">
        <f>IFERROR(__xludf.DUMMYFUNCTION("""COMPUTED_VALUE"""),1.174E7)</f>
        <v>11740000</v>
      </c>
      <c r="X1514" s="148">
        <f>IFERROR(__xludf.DUMMYFUNCTION("""COMPUTED_VALUE"""),0.0)</f>
        <v>0</v>
      </c>
      <c r="Y1514" s="148">
        <f>IFERROR(__xludf.DUMMYFUNCTION("""COMPUTED_VALUE"""),0.0)</f>
        <v>0</v>
      </c>
      <c r="Z1514" s="148"/>
    </row>
    <row r="1515">
      <c r="A1515" s="148">
        <f>IFERROR(__xludf.DUMMYFUNCTION("""COMPUTED_VALUE"""),1.1117156E7)</f>
        <v>11117156</v>
      </c>
      <c r="B1515" s="148" t="str">
        <f>IFERROR(__xludf.DUMMYFUNCTION("""COMPUTED_VALUE"""),"联盟礼物(触发)回归七日初级")</f>
        <v>联盟礼物(触发)回归七日初级</v>
      </c>
      <c r="C1515" s="148"/>
      <c r="D1515" s="148" t="str">
        <f>IFERROR(__xludf.DUMMYFUNCTION("""COMPUTED_VALUE"""),"item_union_gift")</f>
        <v>item_union_gift</v>
      </c>
      <c r="E1515" s="148">
        <f>IFERROR(__xludf.DUMMYFUNCTION("""COMPUTED_VALUE"""),15.0)</f>
        <v>15</v>
      </c>
      <c r="F1515" s="148">
        <f>IFERROR(__xludf.DUMMYFUNCTION("""COMPUTED_VALUE"""),0.0)</f>
        <v>0</v>
      </c>
      <c r="G1515" s="148">
        <f>IFERROR(__xludf.DUMMYFUNCTION("""COMPUTED_VALUE"""),1.5110347E7)</f>
        <v>15110347</v>
      </c>
      <c r="H1515" s="148">
        <f>IFERROR(__xludf.DUMMYFUNCTION("""COMPUTED_VALUE"""),1.5112562E7)</f>
        <v>15112562</v>
      </c>
      <c r="I1515" s="148" t="str">
        <f>IFERROR(__xludf.DUMMYFUNCTION("""COMPUTED_VALUE"""),"{}")</f>
        <v>{}</v>
      </c>
      <c r="J1515" s="148" t="str">
        <f>IFERROR(__xludf.DUMMYFUNCTION("""COMPUTED_VALUE"""),"{""typ"":""lc"",""txt"":""LC_ITEM_return_alliance_box_1""}")</f>
        <v>{"typ":"lc","txt":"LC_ITEM_return_alliance_box_1"}</v>
      </c>
      <c r="K1515" s="148" t="str">
        <f>IFERROR(__xludf.DUMMYFUNCTION("""COMPUTED_VALUE"""),"{""typ"":""lc"",""txt"":""LC_ITEM_return_alliance_box_desc""}")</f>
        <v>{"typ":"lc","txt":"LC_ITEM_return_alliance_box_desc"}</v>
      </c>
      <c r="L1515" s="148" t="str">
        <f>IFERROR(__xludf.DUMMYFUNCTION("""COMPUTED_VALUE"""),"{}")</f>
        <v>{}</v>
      </c>
      <c r="M1515" s="148">
        <f>IFERROR(__xludf.DUMMYFUNCTION("""COMPUTED_VALUE"""),66.0)</f>
        <v>66</v>
      </c>
      <c r="N1515" s="148">
        <f>IFERROR(__xludf.DUMMYFUNCTION("""COMPUTED_VALUE"""),999999.0)</f>
        <v>999999</v>
      </c>
      <c r="O1515" s="148">
        <f>IFERROR(__xludf.DUMMYFUNCTION("""COMPUTED_VALUE"""),99999.0)</f>
        <v>99999</v>
      </c>
      <c r="P1515" s="148">
        <f>IFERROR(__xludf.DUMMYFUNCTION("""COMPUTED_VALUE"""),1.0)</f>
        <v>1</v>
      </c>
      <c r="Q1515" s="148" t="str">
        <f>IFERROR(__xludf.DUMMYFUNCTION("""COMPUTED_VALUE"""),"[]")</f>
        <v>[]</v>
      </c>
      <c r="R1515" s="148" t="str">
        <f>IFERROR(__xludf.DUMMYFUNCTION("""COMPUTED_VALUE"""),"[]")</f>
        <v>[]</v>
      </c>
      <c r="S1515" s="148" t="str">
        <f>IFERROR(__xludf.DUMMYFUNCTION("""COMPUTED_VALUE"""),"{""effect"":[{""typ"":""union_gift_quality_drop"",""id"":18,""val"":1}]}")</f>
        <v>{"effect":[{"typ":"union_gift_quality_drop","id":18,"val":1}]}</v>
      </c>
      <c r="T1515" s="148">
        <f>IFERROR(__xludf.DUMMYFUNCTION("""COMPUTED_VALUE"""),-1.0)</f>
        <v>-1</v>
      </c>
      <c r="U1515" s="148">
        <f>IFERROR(__xludf.DUMMYFUNCTION("""COMPUTED_VALUE"""),1.0)</f>
        <v>1</v>
      </c>
      <c r="V1515" s="148" t="str">
        <f>IFERROR(__xludf.DUMMYFUNCTION("""COMPUTED_VALUE"""),"[]")</f>
        <v>[]</v>
      </c>
      <c r="W1515" s="148">
        <f>IFERROR(__xludf.DUMMYFUNCTION("""COMPUTED_VALUE"""),1.174E7)</f>
        <v>11740000</v>
      </c>
      <c r="X1515" s="148">
        <f>IFERROR(__xludf.DUMMYFUNCTION("""COMPUTED_VALUE"""),0.0)</f>
        <v>0</v>
      </c>
      <c r="Y1515" s="148">
        <f>IFERROR(__xludf.DUMMYFUNCTION("""COMPUTED_VALUE"""),0.0)</f>
        <v>0</v>
      </c>
      <c r="Z1515" s="148"/>
    </row>
    <row r="1516">
      <c r="A1516" s="148">
        <f>IFERROR(__xludf.DUMMYFUNCTION("""COMPUTED_VALUE"""),1.1117157E7)</f>
        <v>11117157</v>
      </c>
      <c r="B1516" s="148" t="str">
        <f>IFERROR(__xludf.DUMMYFUNCTION("""COMPUTED_VALUE"""),"联盟礼物(触发)回归七日中级")</f>
        <v>联盟礼物(触发)回归七日中级</v>
      </c>
      <c r="C1516" s="148"/>
      <c r="D1516" s="148" t="str">
        <f>IFERROR(__xludf.DUMMYFUNCTION("""COMPUTED_VALUE"""),"item_union_gift")</f>
        <v>item_union_gift</v>
      </c>
      <c r="E1516" s="148">
        <f>IFERROR(__xludf.DUMMYFUNCTION("""COMPUTED_VALUE"""),15.0)</f>
        <v>15</v>
      </c>
      <c r="F1516" s="148">
        <f>IFERROR(__xludf.DUMMYFUNCTION("""COMPUTED_VALUE"""),0.0)</f>
        <v>0</v>
      </c>
      <c r="G1516" s="148">
        <f>IFERROR(__xludf.DUMMYFUNCTION("""COMPUTED_VALUE"""),1.5110349E7)</f>
        <v>15110349</v>
      </c>
      <c r="H1516" s="148">
        <f>IFERROR(__xludf.DUMMYFUNCTION("""COMPUTED_VALUE"""),1.5112563E7)</f>
        <v>15112563</v>
      </c>
      <c r="I1516" s="148" t="str">
        <f>IFERROR(__xludf.DUMMYFUNCTION("""COMPUTED_VALUE"""),"{}")</f>
        <v>{}</v>
      </c>
      <c r="J1516" s="148" t="str">
        <f>IFERROR(__xludf.DUMMYFUNCTION("""COMPUTED_VALUE"""),"{""typ"":""lc"",""txt"":""LC_ITEM_return_alliance_box_2""}")</f>
        <v>{"typ":"lc","txt":"LC_ITEM_return_alliance_box_2"}</v>
      </c>
      <c r="K1516" s="148" t="str">
        <f>IFERROR(__xludf.DUMMYFUNCTION("""COMPUTED_VALUE"""),"{""typ"":""lc"",""txt"":""LC_ITEM_return_alliance_box_desc""}")</f>
        <v>{"typ":"lc","txt":"LC_ITEM_return_alliance_box_desc"}</v>
      </c>
      <c r="L1516" s="148" t="str">
        <f>IFERROR(__xludf.DUMMYFUNCTION("""COMPUTED_VALUE"""),"{}")</f>
        <v>{}</v>
      </c>
      <c r="M1516" s="148">
        <f>IFERROR(__xludf.DUMMYFUNCTION("""COMPUTED_VALUE"""),66.0)</f>
        <v>66</v>
      </c>
      <c r="N1516" s="148">
        <f>IFERROR(__xludf.DUMMYFUNCTION("""COMPUTED_VALUE"""),999999.0)</f>
        <v>999999</v>
      </c>
      <c r="O1516" s="148">
        <f>IFERROR(__xludf.DUMMYFUNCTION("""COMPUTED_VALUE"""),99999.0)</f>
        <v>99999</v>
      </c>
      <c r="P1516" s="148">
        <f>IFERROR(__xludf.DUMMYFUNCTION("""COMPUTED_VALUE"""),1.0)</f>
        <v>1</v>
      </c>
      <c r="Q1516" s="148" t="str">
        <f>IFERROR(__xludf.DUMMYFUNCTION("""COMPUTED_VALUE"""),"[]")</f>
        <v>[]</v>
      </c>
      <c r="R1516" s="148" t="str">
        <f>IFERROR(__xludf.DUMMYFUNCTION("""COMPUTED_VALUE"""),"[]")</f>
        <v>[]</v>
      </c>
      <c r="S1516" s="148" t="str">
        <f>IFERROR(__xludf.DUMMYFUNCTION("""COMPUTED_VALUE"""),"{""effect"":[{""typ"":""union_gift_quality_drop"",""id"":19,""val"":1}]}")</f>
        <v>{"effect":[{"typ":"union_gift_quality_drop","id":19,"val":1}]}</v>
      </c>
      <c r="T1516" s="148">
        <f>IFERROR(__xludf.DUMMYFUNCTION("""COMPUTED_VALUE"""),-1.0)</f>
        <v>-1</v>
      </c>
      <c r="U1516" s="148">
        <f>IFERROR(__xludf.DUMMYFUNCTION("""COMPUTED_VALUE"""),1.0)</f>
        <v>1</v>
      </c>
      <c r="V1516" s="148" t="str">
        <f>IFERROR(__xludf.DUMMYFUNCTION("""COMPUTED_VALUE"""),"[]")</f>
        <v>[]</v>
      </c>
      <c r="W1516" s="148">
        <f>IFERROR(__xludf.DUMMYFUNCTION("""COMPUTED_VALUE"""),1.174E7)</f>
        <v>11740000</v>
      </c>
      <c r="X1516" s="148">
        <f>IFERROR(__xludf.DUMMYFUNCTION("""COMPUTED_VALUE"""),0.0)</f>
        <v>0</v>
      </c>
      <c r="Y1516" s="148">
        <f>IFERROR(__xludf.DUMMYFUNCTION("""COMPUTED_VALUE"""),0.0)</f>
        <v>0</v>
      </c>
      <c r="Z1516" s="148"/>
    </row>
    <row r="1517">
      <c r="A1517" s="148">
        <f>IFERROR(__xludf.DUMMYFUNCTION("""COMPUTED_VALUE"""),1.1117158E7)</f>
        <v>11117158</v>
      </c>
      <c r="B1517" s="148" t="str">
        <f>IFERROR(__xludf.DUMMYFUNCTION("""COMPUTED_VALUE"""),"联盟礼物(触发)回归七日高级")</f>
        <v>联盟礼物(触发)回归七日高级</v>
      </c>
      <c r="C1517" s="148"/>
      <c r="D1517" s="148" t="str">
        <f>IFERROR(__xludf.DUMMYFUNCTION("""COMPUTED_VALUE"""),"item_union_gift")</f>
        <v>item_union_gift</v>
      </c>
      <c r="E1517" s="148">
        <f>IFERROR(__xludf.DUMMYFUNCTION("""COMPUTED_VALUE"""),15.0)</f>
        <v>15</v>
      </c>
      <c r="F1517" s="148">
        <f>IFERROR(__xludf.DUMMYFUNCTION("""COMPUTED_VALUE"""),0.0)</f>
        <v>0</v>
      </c>
      <c r="G1517" s="148">
        <f>IFERROR(__xludf.DUMMYFUNCTION("""COMPUTED_VALUE"""),1.5110349E7)</f>
        <v>15110349</v>
      </c>
      <c r="H1517" s="148">
        <f>IFERROR(__xludf.DUMMYFUNCTION("""COMPUTED_VALUE"""),1.5112564E7)</f>
        <v>15112564</v>
      </c>
      <c r="I1517" s="148" t="str">
        <f>IFERROR(__xludf.DUMMYFUNCTION("""COMPUTED_VALUE"""),"{}")</f>
        <v>{}</v>
      </c>
      <c r="J1517" s="148" t="str">
        <f>IFERROR(__xludf.DUMMYFUNCTION("""COMPUTED_VALUE"""),"{""typ"":""lc"",""txt"":""LC_ITEM_return_alliance_box_3""}")</f>
        <v>{"typ":"lc","txt":"LC_ITEM_return_alliance_box_3"}</v>
      </c>
      <c r="K1517" s="148" t="str">
        <f>IFERROR(__xludf.DUMMYFUNCTION("""COMPUTED_VALUE"""),"{""typ"":""lc"",""txt"":""LC_ITEM_return_alliance_box_desc""}")</f>
        <v>{"typ":"lc","txt":"LC_ITEM_return_alliance_box_desc"}</v>
      </c>
      <c r="L1517" s="148" t="str">
        <f>IFERROR(__xludf.DUMMYFUNCTION("""COMPUTED_VALUE"""),"{}")</f>
        <v>{}</v>
      </c>
      <c r="M1517" s="148">
        <f>IFERROR(__xludf.DUMMYFUNCTION("""COMPUTED_VALUE"""),66.0)</f>
        <v>66</v>
      </c>
      <c r="N1517" s="148">
        <f>IFERROR(__xludf.DUMMYFUNCTION("""COMPUTED_VALUE"""),999999.0)</f>
        <v>999999</v>
      </c>
      <c r="O1517" s="148">
        <f>IFERROR(__xludf.DUMMYFUNCTION("""COMPUTED_VALUE"""),99999.0)</f>
        <v>99999</v>
      </c>
      <c r="P1517" s="148">
        <f>IFERROR(__xludf.DUMMYFUNCTION("""COMPUTED_VALUE"""),1.0)</f>
        <v>1</v>
      </c>
      <c r="Q1517" s="148" t="str">
        <f>IFERROR(__xludf.DUMMYFUNCTION("""COMPUTED_VALUE"""),"[]")</f>
        <v>[]</v>
      </c>
      <c r="R1517" s="148" t="str">
        <f>IFERROR(__xludf.DUMMYFUNCTION("""COMPUTED_VALUE"""),"[]")</f>
        <v>[]</v>
      </c>
      <c r="S1517" s="148" t="str">
        <f>IFERROR(__xludf.DUMMYFUNCTION("""COMPUTED_VALUE"""),"{""effect"":[{""typ"":""union_gift_quality_drop"",""id"":20,""val"":1}]}")</f>
        <v>{"effect":[{"typ":"union_gift_quality_drop","id":20,"val":1}]}</v>
      </c>
      <c r="T1517" s="148">
        <f>IFERROR(__xludf.DUMMYFUNCTION("""COMPUTED_VALUE"""),-1.0)</f>
        <v>-1</v>
      </c>
      <c r="U1517" s="148">
        <f>IFERROR(__xludf.DUMMYFUNCTION("""COMPUTED_VALUE"""),1.0)</f>
        <v>1</v>
      </c>
      <c r="V1517" s="148" t="str">
        <f>IFERROR(__xludf.DUMMYFUNCTION("""COMPUTED_VALUE"""),"[]")</f>
        <v>[]</v>
      </c>
      <c r="W1517" s="148">
        <f>IFERROR(__xludf.DUMMYFUNCTION("""COMPUTED_VALUE"""),1.174E7)</f>
        <v>11740000</v>
      </c>
      <c r="X1517" s="148">
        <f>IFERROR(__xludf.DUMMYFUNCTION("""COMPUTED_VALUE"""),0.0)</f>
        <v>0</v>
      </c>
      <c r="Y1517" s="148">
        <f>IFERROR(__xludf.DUMMYFUNCTION("""COMPUTED_VALUE"""),0.0)</f>
        <v>0</v>
      </c>
      <c r="Z1517" s="148"/>
    </row>
    <row r="1518">
      <c r="A1518" s="148">
        <f>IFERROR(__xludf.DUMMYFUNCTION("""COMPUTED_VALUE"""),1.1117159E7)</f>
        <v>11117159</v>
      </c>
      <c r="B1518" s="148" t="str">
        <f>IFERROR(__xludf.DUMMYFUNCTION("""COMPUTED_VALUE"""),"回归登录宝箱数值_白")</f>
        <v>回归登录宝箱数值_白</v>
      </c>
      <c r="C1518" s="148"/>
      <c r="D1518" s="148" t="str">
        <f>IFERROR(__xludf.DUMMYFUNCTION("""COMPUTED_VALUE"""),"item_union_gift_box")</f>
        <v>item_union_gift_box</v>
      </c>
      <c r="E1518" s="148">
        <f>IFERROR(__xludf.DUMMYFUNCTION("""COMPUTED_VALUE"""),16.0)</f>
        <v>16</v>
      </c>
      <c r="F1518" s="148">
        <f>IFERROR(__xludf.DUMMYFUNCTION("""COMPUTED_VALUE"""),0.0)</f>
        <v>0</v>
      </c>
      <c r="G1518" s="148">
        <f>IFERROR(__xludf.DUMMYFUNCTION("""COMPUTED_VALUE"""),1.5110347E7)</f>
        <v>15110347</v>
      </c>
      <c r="H1518" s="148">
        <f>IFERROR(__xludf.DUMMYFUNCTION("""COMPUTED_VALUE"""),1.511256E7)</f>
        <v>15112560</v>
      </c>
      <c r="I1518" s="148" t="str">
        <f>IFERROR(__xludf.DUMMYFUNCTION("""COMPUTED_VALUE"""),"{}")</f>
        <v>{}</v>
      </c>
      <c r="J1518" s="148" t="str">
        <f>IFERROR(__xludf.DUMMYFUNCTION("""COMPUTED_VALUE"""),"{""typ"":""lc"",""txt"":""LC_ITEM_return_alliance_box_login""}")</f>
        <v>{"typ":"lc","txt":"LC_ITEM_return_alliance_box_login"}</v>
      </c>
      <c r="K1518" s="148" t="str">
        <f>IFERROR(__xludf.DUMMYFUNCTION("""COMPUTED_VALUE"""),"{""typ"":""lc"",""txt"":""LC_ITEM_return_alliance_box_desc""}")</f>
        <v>{"typ":"lc","txt":"LC_ITEM_return_alliance_box_desc"}</v>
      </c>
      <c r="L1518" s="148" t="str">
        <f>IFERROR(__xludf.DUMMYFUNCTION("""COMPUTED_VALUE"""),"{}")</f>
        <v>{}</v>
      </c>
      <c r="M1518" s="148">
        <f>IFERROR(__xludf.DUMMYFUNCTION("""COMPUTED_VALUE"""),66.0)</f>
        <v>66</v>
      </c>
      <c r="N1518" s="148">
        <f>IFERROR(__xludf.DUMMYFUNCTION("""COMPUTED_VALUE"""),999999.0)</f>
        <v>999999</v>
      </c>
      <c r="O1518" s="148">
        <f>IFERROR(__xludf.DUMMYFUNCTION("""COMPUTED_VALUE"""),99999.0)</f>
        <v>99999</v>
      </c>
      <c r="P1518" s="148">
        <f>IFERROR(__xludf.DUMMYFUNCTION("""COMPUTED_VALUE"""),1.0)</f>
        <v>1</v>
      </c>
      <c r="Q1518" s="148" t="str">
        <f>IFERROR(__xludf.DUMMYFUNCTION("""COMPUTED_VALUE"""),"[]")</f>
        <v>[]</v>
      </c>
      <c r="R1518" s="148" t="str">
        <f>IFERROR(__xludf.DUMMYFUNCTION("""COMPUTED_VALUE"""),"[]")</f>
        <v>[]</v>
      </c>
      <c r="S1518" s="148" t="str">
        <f>IFERROR(__xludf.DUMMYFUNCTION("""COMPUTED_VALUE"""),"{""drop"":{""typ"":""single_all"",""num"":1,""args"":[{""typ"":""single_all"",""num"":1,""args"":[{""typ"":""rss"",""id"":11141022,""num"":40,""wgt"":30}]},{""typ"":""single_random"",""num"":1,""args"":[{""typ"":""item"",""id"":11111017,""num"":1,""wgt"":"&amp;"300},{""typ"":""item"",""id"":11111018,""num"":1,""wgt"":300},{""typ"":""item"",""id"":11111013,""num"":1,""wgt"":100},{""typ"":""item"",""id"":11111101,""num"":1,""wgt"":200},{""typ"":""item"",""id"":11111102,""num"":1,""wgt"":100}]}]}}")</f>
        <v>{"drop":{"typ":"single_all","num":1,"args":[{"typ":"single_all","num":1,"args":[{"typ":"rss","id":11141022,"num":40,"wgt":30}]},{"typ":"single_random","num":1,"args":[{"typ":"item","id":11111017,"num":1,"wgt":300},{"typ":"item","id":11111018,"num":1,"wgt":300},{"typ":"item","id":11111013,"num":1,"wgt":100},{"typ":"item","id":11111101,"num":1,"wgt":200},{"typ":"item","id":11111102,"num":1,"wgt":100}]}]}}</v>
      </c>
      <c r="T1518" s="148">
        <f>IFERROR(__xludf.DUMMYFUNCTION("""COMPUTED_VALUE"""),-1.0)</f>
        <v>-1</v>
      </c>
      <c r="U1518" s="148">
        <f>IFERROR(__xludf.DUMMYFUNCTION("""COMPUTED_VALUE"""),0.0)</f>
        <v>0</v>
      </c>
      <c r="V1518" s="148" t="str">
        <f>IFERROR(__xludf.DUMMYFUNCTION("""COMPUTED_VALUE"""),"[]")</f>
        <v>[]</v>
      </c>
      <c r="W1518" s="148">
        <f>IFERROR(__xludf.DUMMYFUNCTION("""COMPUTED_VALUE"""),1.174E7)</f>
        <v>11740000</v>
      </c>
      <c r="X1518" s="148">
        <f>IFERROR(__xludf.DUMMYFUNCTION("""COMPUTED_VALUE"""),0.0)</f>
        <v>0</v>
      </c>
      <c r="Y1518" s="148">
        <f>IFERROR(__xludf.DUMMYFUNCTION("""COMPUTED_VALUE"""),0.0)</f>
        <v>0</v>
      </c>
      <c r="Z1518" s="148"/>
    </row>
    <row r="1519">
      <c r="A1519" s="148">
        <f>IFERROR(__xludf.DUMMYFUNCTION("""COMPUTED_VALUE"""),1.111716E7)</f>
        <v>11117160</v>
      </c>
      <c r="B1519" s="148" t="str">
        <f>IFERROR(__xludf.DUMMYFUNCTION("""COMPUTED_VALUE"""),"回归登录宝箱数值_绿")</f>
        <v>回归登录宝箱数值_绿</v>
      </c>
      <c r="C1519" s="148"/>
      <c r="D1519" s="148" t="str">
        <f>IFERROR(__xludf.DUMMYFUNCTION("""COMPUTED_VALUE"""),"item_union_gift_box")</f>
        <v>item_union_gift_box</v>
      </c>
      <c r="E1519" s="148">
        <f>IFERROR(__xludf.DUMMYFUNCTION("""COMPUTED_VALUE"""),16.0)</f>
        <v>16</v>
      </c>
      <c r="F1519" s="148">
        <f>IFERROR(__xludf.DUMMYFUNCTION("""COMPUTED_VALUE"""),0.0)</f>
        <v>0</v>
      </c>
      <c r="G1519" s="148">
        <f>IFERROR(__xludf.DUMMYFUNCTION("""COMPUTED_VALUE"""),1.5110348E7)</f>
        <v>15110348</v>
      </c>
      <c r="H1519" s="148">
        <f>IFERROR(__xludf.DUMMYFUNCTION("""COMPUTED_VALUE"""),1.5112561E7)</f>
        <v>15112561</v>
      </c>
      <c r="I1519" s="148" t="str">
        <f>IFERROR(__xludf.DUMMYFUNCTION("""COMPUTED_VALUE"""),"{}")</f>
        <v>{}</v>
      </c>
      <c r="J1519" s="148" t="str">
        <f>IFERROR(__xludf.DUMMYFUNCTION("""COMPUTED_VALUE"""),"{""typ"":""lc"",""txt"":""LC_ITEM_return_alliance_box_login""}")</f>
        <v>{"typ":"lc","txt":"LC_ITEM_return_alliance_box_login"}</v>
      </c>
      <c r="K1519" s="148" t="str">
        <f>IFERROR(__xludf.DUMMYFUNCTION("""COMPUTED_VALUE"""),"{""typ"":""lc"",""txt"":""LC_ITEM_return_alliance_box_desc""}")</f>
        <v>{"typ":"lc","txt":"LC_ITEM_return_alliance_box_desc"}</v>
      </c>
      <c r="L1519" s="148" t="str">
        <f>IFERROR(__xludf.DUMMYFUNCTION("""COMPUTED_VALUE"""),"{}")</f>
        <v>{}</v>
      </c>
      <c r="M1519" s="148">
        <f>IFERROR(__xludf.DUMMYFUNCTION("""COMPUTED_VALUE"""),66.0)</f>
        <v>66</v>
      </c>
      <c r="N1519" s="148">
        <f>IFERROR(__xludf.DUMMYFUNCTION("""COMPUTED_VALUE"""),999999.0)</f>
        <v>999999</v>
      </c>
      <c r="O1519" s="148">
        <f>IFERROR(__xludf.DUMMYFUNCTION("""COMPUTED_VALUE"""),99999.0)</f>
        <v>99999</v>
      </c>
      <c r="P1519" s="148">
        <f>IFERROR(__xludf.DUMMYFUNCTION("""COMPUTED_VALUE"""),1.0)</f>
        <v>1</v>
      </c>
      <c r="Q1519" s="148" t="str">
        <f>IFERROR(__xludf.DUMMYFUNCTION("""COMPUTED_VALUE"""),"[]")</f>
        <v>[]</v>
      </c>
      <c r="R1519" s="148" t="str">
        <f>IFERROR(__xludf.DUMMYFUNCTION("""COMPUTED_VALUE"""),"[]")</f>
        <v>[]</v>
      </c>
      <c r="S1519" s="148" t="str">
        <f>IFERROR(__xludf.DUMMYFUNCTION("""COMPUTED_VALUE"""),"{""drop"":{""typ"":""single_all"",""num"":1,""args"":[{""typ"":""single_all"",""num"":1,""args"":[{""typ"":""rss"",""id"":11141022,""num"":40,""wgt"":30}]},{""typ"":""single_random"",""num"":1,""args"":[{""typ"":""item"",""id"":11111017,""num"":2,""wgt"":"&amp;"270},{""typ"":""item"",""id"":11111018,""num"":2,""wgt"":270},{""typ"":""item"",""id"":11111013,""num"":2,""wgt"":120},{""typ"":""item"",""id"":11111101,""num"":2,""wgt"":220},{""typ"":""item"",""id"":11111102,""num"":1,""wgt"":120}]}]}}")</f>
        <v>{"drop":{"typ":"single_all","num":1,"args":[{"typ":"single_all","num":1,"args":[{"typ":"rss","id":11141022,"num":40,"wgt":30}]},{"typ":"single_random","num":1,"args":[{"typ":"item","id":11111017,"num":2,"wgt":270},{"typ":"item","id":11111018,"num":2,"wgt":270},{"typ":"item","id":11111013,"num":2,"wgt":120},{"typ":"item","id":11111101,"num":2,"wgt":220},{"typ":"item","id":11111102,"num":1,"wgt":120}]}]}}</v>
      </c>
      <c r="T1519" s="148">
        <f>IFERROR(__xludf.DUMMYFUNCTION("""COMPUTED_VALUE"""),-1.0)</f>
        <v>-1</v>
      </c>
      <c r="U1519" s="148">
        <f>IFERROR(__xludf.DUMMYFUNCTION("""COMPUTED_VALUE"""),0.0)</f>
        <v>0</v>
      </c>
      <c r="V1519" s="148" t="str">
        <f>IFERROR(__xludf.DUMMYFUNCTION("""COMPUTED_VALUE"""),"[]")</f>
        <v>[]</v>
      </c>
      <c r="W1519" s="148">
        <f>IFERROR(__xludf.DUMMYFUNCTION("""COMPUTED_VALUE"""),1.174E7)</f>
        <v>11740000</v>
      </c>
      <c r="X1519" s="148">
        <f>IFERROR(__xludf.DUMMYFUNCTION("""COMPUTED_VALUE"""),0.0)</f>
        <v>0</v>
      </c>
      <c r="Y1519" s="148">
        <f>IFERROR(__xludf.DUMMYFUNCTION("""COMPUTED_VALUE"""),0.0)</f>
        <v>0</v>
      </c>
      <c r="Z1519" s="148"/>
    </row>
    <row r="1520">
      <c r="A1520" s="148">
        <f>IFERROR(__xludf.DUMMYFUNCTION("""COMPUTED_VALUE"""),1.1117161E7)</f>
        <v>11117161</v>
      </c>
      <c r="B1520" s="148" t="str">
        <f>IFERROR(__xludf.DUMMYFUNCTION("""COMPUTED_VALUE"""),"回归登录宝箱数值_蓝")</f>
        <v>回归登录宝箱数值_蓝</v>
      </c>
      <c r="C1520" s="148"/>
      <c r="D1520" s="148" t="str">
        <f>IFERROR(__xludf.DUMMYFUNCTION("""COMPUTED_VALUE"""),"item_union_gift_box")</f>
        <v>item_union_gift_box</v>
      </c>
      <c r="E1520" s="148">
        <f>IFERROR(__xludf.DUMMYFUNCTION("""COMPUTED_VALUE"""),16.0)</f>
        <v>16</v>
      </c>
      <c r="F1520" s="148">
        <f>IFERROR(__xludf.DUMMYFUNCTION("""COMPUTED_VALUE"""),0.0)</f>
        <v>0</v>
      </c>
      <c r="G1520" s="148">
        <f>IFERROR(__xludf.DUMMYFUNCTION("""COMPUTED_VALUE"""),1.5110349E7)</f>
        <v>15110349</v>
      </c>
      <c r="H1520" s="148">
        <f>IFERROR(__xludf.DUMMYFUNCTION("""COMPUTED_VALUE"""),1.5112562E7)</f>
        <v>15112562</v>
      </c>
      <c r="I1520" s="148" t="str">
        <f>IFERROR(__xludf.DUMMYFUNCTION("""COMPUTED_VALUE"""),"{}")</f>
        <v>{}</v>
      </c>
      <c r="J1520" s="148" t="str">
        <f>IFERROR(__xludf.DUMMYFUNCTION("""COMPUTED_VALUE"""),"{""typ"":""lc"",""txt"":""LC_ITEM_return_alliance_box_login""}")</f>
        <v>{"typ":"lc","txt":"LC_ITEM_return_alliance_box_login"}</v>
      </c>
      <c r="K1520" s="148" t="str">
        <f>IFERROR(__xludf.DUMMYFUNCTION("""COMPUTED_VALUE"""),"{""typ"":""lc"",""txt"":""LC_ITEM_return_alliance_box_desc""}")</f>
        <v>{"typ":"lc","txt":"LC_ITEM_return_alliance_box_desc"}</v>
      </c>
      <c r="L1520" s="148" t="str">
        <f>IFERROR(__xludf.DUMMYFUNCTION("""COMPUTED_VALUE"""),"{}")</f>
        <v>{}</v>
      </c>
      <c r="M1520" s="148">
        <f>IFERROR(__xludf.DUMMYFUNCTION("""COMPUTED_VALUE"""),66.0)</f>
        <v>66</v>
      </c>
      <c r="N1520" s="148">
        <f>IFERROR(__xludf.DUMMYFUNCTION("""COMPUTED_VALUE"""),999999.0)</f>
        <v>999999</v>
      </c>
      <c r="O1520" s="148">
        <f>IFERROR(__xludf.DUMMYFUNCTION("""COMPUTED_VALUE"""),99999.0)</f>
        <v>99999</v>
      </c>
      <c r="P1520" s="148">
        <f>IFERROR(__xludf.DUMMYFUNCTION("""COMPUTED_VALUE"""),1.0)</f>
        <v>1</v>
      </c>
      <c r="Q1520" s="148" t="str">
        <f>IFERROR(__xludf.DUMMYFUNCTION("""COMPUTED_VALUE"""),"[]")</f>
        <v>[]</v>
      </c>
      <c r="R1520" s="148" t="str">
        <f>IFERROR(__xludf.DUMMYFUNCTION("""COMPUTED_VALUE"""),"[]")</f>
        <v>[]</v>
      </c>
      <c r="S1520" s="148" t="str">
        <f>IFERROR(__xludf.DUMMYFUNCTION("""COMPUTED_VALUE"""),"{""drop"":{""typ"":""single_all"",""num"":1,""args"":[{""typ"":""single_all"",""num"":1,""args"":[{""typ"":""rss"",""id"":11141022,""num"":40,""wgt"":30}]},{""typ"":""single_random"",""num"":1,""args"":[{""typ"":""item"",""id"":11111017,""num"":3,""wgt"":"&amp;"250},{""typ"":""item"",""id"":11111018,""num"":3,""wgt"":250},{""typ"":""item"",""id"":11111013,""num"":3,""wgt"":140},{""typ"":""item"",""id"":11111101,""num"":3,""wgt"":220},{""typ"":""item"",""id"":11111102,""num"":2,""wgt"":140}]}]}}")</f>
        <v>{"drop":{"typ":"single_all","num":1,"args":[{"typ":"single_all","num":1,"args":[{"typ":"rss","id":11141022,"num":40,"wgt":30}]},{"typ":"single_random","num":1,"args":[{"typ":"item","id":11111017,"num":3,"wgt":250},{"typ":"item","id":11111018,"num":3,"wgt":250},{"typ":"item","id":11111013,"num":3,"wgt":140},{"typ":"item","id":11111101,"num":3,"wgt":220},{"typ":"item","id":11111102,"num":2,"wgt":140}]}]}}</v>
      </c>
      <c r="T1520" s="148">
        <f>IFERROR(__xludf.DUMMYFUNCTION("""COMPUTED_VALUE"""),-1.0)</f>
        <v>-1</v>
      </c>
      <c r="U1520" s="148">
        <f>IFERROR(__xludf.DUMMYFUNCTION("""COMPUTED_VALUE"""),0.0)</f>
        <v>0</v>
      </c>
      <c r="V1520" s="148" t="str">
        <f>IFERROR(__xludf.DUMMYFUNCTION("""COMPUTED_VALUE"""),"[]")</f>
        <v>[]</v>
      </c>
      <c r="W1520" s="148">
        <f>IFERROR(__xludf.DUMMYFUNCTION("""COMPUTED_VALUE"""),1.174E7)</f>
        <v>11740000</v>
      </c>
      <c r="X1520" s="148">
        <f>IFERROR(__xludf.DUMMYFUNCTION("""COMPUTED_VALUE"""),0.0)</f>
        <v>0</v>
      </c>
      <c r="Y1520" s="148">
        <f>IFERROR(__xludf.DUMMYFUNCTION("""COMPUTED_VALUE"""),0.0)</f>
        <v>0</v>
      </c>
      <c r="Z1520" s="148"/>
    </row>
    <row r="1521">
      <c r="A1521" s="148">
        <f>IFERROR(__xludf.DUMMYFUNCTION("""COMPUTED_VALUE"""),1.1117162E7)</f>
        <v>11117162</v>
      </c>
      <c r="B1521" s="148" t="str">
        <f>IFERROR(__xludf.DUMMYFUNCTION("""COMPUTED_VALUE"""),"回归登录宝箱数值_紫")</f>
        <v>回归登录宝箱数值_紫</v>
      </c>
      <c r="C1521" s="148"/>
      <c r="D1521" s="148" t="str">
        <f>IFERROR(__xludf.DUMMYFUNCTION("""COMPUTED_VALUE"""),"item_union_gift_box")</f>
        <v>item_union_gift_box</v>
      </c>
      <c r="E1521" s="148">
        <f>IFERROR(__xludf.DUMMYFUNCTION("""COMPUTED_VALUE"""),16.0)</f>
        <v>16</v>
      </c>
      <c r="F1521" s="148">
        <f>IFERROR(__xludf.DUMMYFUNCTION("""COMPUTED_VALUE"""),0.0)</f>
        <v>0</v>
      </c>
      <c r="G1521" s="148">
        <f>IFERROR(__xludf.DUMMYFUNCTION("""COMPUTED_VALUE"""),1.511035E7)</f>
        <v>15110350</v>
      </c>
      <c r="H1521" s="148">
        <f>IFERROR(__xludf.DUMMYFUNCTION("""COMPUTED_VALUE"""),1.5112563E7)</f>
        <v>15112563</v>
      </c>
      <c r="I1521" s="148" t="str">
        <f>IFERROR(__xludf.DUMMYFUNCTION("""COMPUTED_VALUE"""),"{}")</f>
        <v>{}</v>
      </c>
      <c r="J1521" s="148" t="str">
        <f>IFERROR(__xludf.DUMMYFUNCTION("""COMPUTED_VALUE"""),"{""typ"":""lc"",""txt"":""LC_ITEM_return_alliance_box_login""}")</f>
        <v>{"typ":"lc","txt":"LC_ITEM_return_alliance_box_login"}</v>
      </c>
      <c r="K1521" s="148" t="str">
        <f>IFERROR(__xludf.DUMMYFUNCTION("""COMPUTED_VALUE"""),"{""typ"":""lc"",""txt"":""LC_ITEM_return_alliance_box_desc""}")</f>
        <v>{"typ":"lc","txt":"LC_ITEM_return_alliance_box_desc"}</v>
      </c>
      <c r="L1521" s="148" t="str">
        <f>IFERROR(__xludf.DUMMYFUNCTION("""COMPUTED_VALUE"""),"{}")</f>
        <v>{}</v>
      </c>
      <c r="M1521" s="148">
        <f>IFERROR(__xludf.DUMMYFUNCTION("""COMPUTED_VALUE"""),66.0)</f>
        <v>66</v>
      </c>
      <c r="N1521" s="148">
        <f>IFERROR(__xludf.DUMMYFUNCTION("""COMPUTED_VALUE"""),999999.0)</f>
        <v>999999</v>
      </c>
      <c r="O1521" s="148">
        <f>IFERROR(__xludf.DUMMYFUNCTION("""COMPUTED_VALUE"""),99999.0)</f>
        <v>99999</v>
      </c>
      <c r="P1521" s="148">
        <f>IFERROR(__xludf.DUMMYFUNCTION("""COMPUTED_VALUE"""),1.0)</f>
        <v>1</v>
      </c>
      <c r="Q1521" s="148" t="str">
        <f>IFERROR(__xludf.DUMMYFUNCTION("""COMPUTED_VALUE"""),"[]")</f>
        <v>[]</v>
      </c>
      <c r="R1521" s="148" t="str">
        <f>IFERROR(__xludf.DUMMYFUNCTION("""COMPUTED_VALUE"""),"[]")</f>
        <v>[]</v>
      </c>
      <c r="S1521" s="148" t="str">
        <f>IFERROR(__xludf.DUMMYFUNCTION("""COMPUTED_VALUE"""),"{""drop"":{""typ"":""single_all"",""num"":1,""args"":[{""typ"":""single_all"",""num"":1,""args"":[{""typ"":""rss"",""id"":11141022,""num"":40,""wgt"":30}]},{""typ"":""single_random"",""num"":1,""args"":[{""typ"":""item"",""id"":11111017,""num"":4,""wgt"":"&amp;"200},{""typ"":""item"",""id"":11111018,""num"":4,""wgt"":200},{""typ"":""item"",""id"":11111013,""num"":4,""wgt"":160},{""typ"":""item"",""id"":11111101,""num"":4,""wgt"":250},{""typ"":""item"",""id"":11111102,""num"":2,""wgt"":190}]}]}}")</f>
        <v>{"drop":{"typ":"single_all","num":1,"args":[{"typ":"single_all","num":1,"args":[{"typ":"rss","id":11141022,"num":40,"wgt":30}]},{"typ":"single_random","num":1,"args":[{"typ":"item","id":11111017,"num":4,"wgt":200},{"typ":"item","id":11111018,"num":4,"wgt":200},{"typ":"item","id":11111013,"num":4,"wgt":160},{"typ":"item","id":11111101,"num":4,"wgt":250},{"typ":"item","id":11111102,"num":2,"wgt":190}]}]}}</v>
      </c>
      <c r="T1521" s="148">
        <f>IFERROR(__xludf.DUMMYFUNCTION("""COMPUTED_VALUE"""),-1.0)</f>
        <v>-1</v>
      </c>
      <c r="U1521" s="148">
        <f>IFERROR(__xludf.DUMMYFUNCTION("""COMPUTED_VALUE"""),0.0)</f>
        <v>0</v>
      </c>
      <c r="V1521" s="148" t="str">
        <f>IFERROR(__xludf.DUMMYFUNCTION("""COMPUTED_VALUE"""),"[]")</f>
        <v>[]</v>
      </c>
      <c r="W1521" s="148">
        <f>IFERROR(__xludf.DUMMYFUNCTION("""COMPUTED_VALUE"""),1.174E7)</f>
        <v>11740000</v>
      </c>
      <c r="X1521" s="148">
        <f>IFERROR(__xludf.DUMMYFUNCTION("""COMPUTED_VALUE"""),0.0)</f>
        <v>0</v>
      </c>
      <c r="Y1521" s="148">
        <f>IFERROR(__xludf.DUMMYFUNCTION("""COMPUTED_VALUE"""),0.0)</f>
        <v>0</v>
      </c>
      <c r="Z1521" s="148"/>
    </row>
    <row r="1522">
      <c r="A1522" s="148">
        <f>IFERROR(__xludf.DUMMYFUNCTION("""COMPUTED_VALUE"""),1.1117163E7)</f>
        <v>11117163</v>
      </c>
      <c r="B1522" s="148" t="str">
        <f>IFERROR(__xludf.DUMMYFUNCTION("""COMPUTED_VALUE"""),"回归登录宝箱数值_橙")</f>
        <v>回归登录宝箱数值_橙</v>
      </c>
      <c r="C1522" s="148"/>
      <c r="D1522" s="148" t="str">
        <f>IFERROR(__xludf.DUMMYFUNCTION("""COMPUTED_VALUE"""),"item_union_gift_box")</f>
        <v>item_union_gift_box</v>
      </c>
      <c r="E1522" s="148">
        <f>IFERROR(__xludf.DUMMYFUNCTION("""COMPUTED_VALUE"""),16.0)</f>
        <v>16</v>
      </c>
      <c r="F1522" s="148">
        <f>IFERROR(__xludf.DUMMYFUNCTION("""COMPUTED_VALUE"""),0.0)</f>
        <v>0</v>
      </c>
      <c r="G1522" s="148">
        <f>IFERROR(__xludf.DUMMYFUNCTION("""COMPUTED_VALUE"""),1.5110351E7)</f>
        <v>15110351</v>
      </c>
      <c r="H1522" s="148">
        <f>IFERROR(__xludf.DUMMYFUNCTION("""COMPUTED_VALUE"""),1.5112564E7)</f>
        <v>15112564</v>
      </c>
      <c r="I1522" s="148" t="str">
        <f>IFERROR(__xludf.DUMMYFUNCTION("""COMPUTED_VALUE"""),"{}")</f>
        <v>{}</v>
      </c>
      <c r="J1522" s="148" t="str">
        <f>IFERROR(__xludf.DUMMYFUNCTION("""COMPUTED_VALUE"""),"{""typ"":""lc"",""txt"":""LC_ITEM_return_alliance_box_login""}")</f>
        <v>{"typ":"lc","txt":"LC_ITEM_return_alliance_box_login"}</v>
      </c>
      <c r="K1522" s="148" t="str">
        <f>IFERROR(__xludf.DUMMYFUNCTION("""COMPUTED_VALUE"""),"{""typ"":""lc"",""txt"":""LC_ITEM_return_alliance_box_desc""}")</f>
        <v>{"typ":"lc","txt":"LC_ITEM_return_alliance_box_desc"}</v>
      </c>
      <c r="L1522" s="148" t="str">
        <f>IFERROR(__xludf.DUMMYFUNCTION("""COMPUTED_VALUE"""),"{}")</f>
        <v>{}</v>
      </c>
      <c r="M1522" s="148">
        <f>IFERROR(__xludf.DUMMYFUNCTION("""COMPUTED_VALUE"""),66.0)</f>
        <v>66</v>
      </c>
      <c r="N1522" s="148">
        <f>IFERROR(__xludf.DUMMYFUNCTION("""COMPUTED_VALUE"""),999999.0)</f>
        <v>999999</v>
      </c>
      <c r="O1522" s="148">
        <f>IFERROR(__xludf.DUMMYFUNCTION("""COMPUTED_VALUE"""),99999.0)</f>
        <v>99999</v>
      </c>
      <c r="P1522" s="148">
        <f>IFERROR(__xludf.DUMMYFUNCTION("""COMPUTED_VALUE"""),1.0)</f>
        <v>1</v>
      </c>
      <c r="Q1522" s="148" t="str">
        <f>IFERROR(__xludf.DUMMYFUNCTION("""COMPUTED_VALUE"""),"[]")</f>
        <v>[]</v>
      </c>
      <c r="R1522" s="148" t="str">
        <f>IFERROR(__xludf.DUMMYFUNCTION("""COMPUTED_VALUE"""),"[]")</f>
        <v>[]</v>
      </c>
      <c r="S1522" s="148" t="str">
        <f>IFERROR(__xludf.DUMMYFUNCTION("""COMPUTED_VALUE"""),"{""drop"":{""typ"":""single_all"",""num"":1,""args"":[{""typ"":""single_all"",""num"":1,""args"":[{""typ"":""rss"",""id"":11141022,""num"":40,""wgt"":30}]},{""typ"":""single_random"",""num"":1,""args"":[{""typ"":""item"",""id"":11111017,""num"":5,""wgt"":"&amp;"200},{""typ"":""item"",""id"":11111018,""num"":5,""wgt"":200},{""typ"":""item"",""id"":11111013,""num"":5,""wgt"":160},{""typ"":""item"",""id"":11111101,""num"":5,""wgt"":230},{""typ"":""item"",""id"":11111102,""num"":3,""wgt"":210}]}]}}")</f>
        <v>{"drop":{"typ":"single_all","num":1,"args":[{"typ":"single_all","num":1,"args":[{"typ":"rss","id":11141022,"num":40,"wgt":30}]},{"typ":"single_random","num":1,"args":[{"typ":"item","id":11111017,"num":5,"wgt":200},{"typ":"item","id":11111018,"num":5,"wgt":200},{"typ":"item","id":11111013,"num":5,"wgt":160},{"typ":"item","id":11111101,"num":5,"wgt":230},{"typ":"item","id":11111102,"num":3,"wgt":210}]}]}}</v>
      </c>
      <c r="T1522" s="148">
        <f>IFERROR(__xludf.DUMMYFUNCTION("""COMPUTED_VALUE"""),-1.0)</f>
        <v>-1</v>
      </c>
      <c r="U1522" s="148">
        <f>IFERROR(__xludf.DUMMYFUNCTION("""COMPUTED_VALUE"""),0.0)</f>
        <v>0</v>
      </c>
      <c r="V1522" s="148" t="str">
        <f>IFERROR(__xludf.DUMMYFUNCTION("""COMPUTED_VALUE"""),"[]")</f>
        <v>[]</v>
      </c>
      <c r="W1522" s="148">
        <f>IFERROR(__xludf.DUMMYFUNCTION("""COMPUTED_VALUE"""),1.174E7)</f>
        <v>11740000</v>
      </c>
      <c r="X1522" s="148">
        <f>IFERROR(__xludf.DUMMYFUNCTION("""COMPUTED_VALUE"""),0.0)</f>
        <v>0</v>
      </c>
      <c r="Y1522" s="148">
        <f>IFERROR(__xludf.DUMMYFUNCTION("""COMPUTED_VALUE"""),0.0)</f>
        <v>0</v>
      </c>
      <c r="Z1522" s="148"/>
    </row>
    <row r="1523">
      <c r="A1523" s="148">
        <f>IFERROR(__xludf.DUMMYFUNCTION("""COMPUTED_VALUE"""),1.1117164E7)</f>
        <v>11117164</v>
      </c>
      <c r="B1523" s="148" t="str">
        <f>IFERROR(__xludf.DUMMYFUNCTION("""COMPUTED_VALUE"""),"沙滩节BattlePass-初级通行证_2022")</f>
        <v>沙滩节BattlePass-初级通行证_2022</v>
      </c>
      <c r="C1523" s="148"/>
      <c r="D1523" s="148" t="str">
        <f>IFERROR(__xludf.DUMMYFUNCTION("""COMPUTED_VALUE"""),"battle_pass_card")</f>
        <v>battle_pass_card</v>
      </c>
      <c r="E1523" s="148">
        <f>IFERROR(__xludf.DUMMYFUNCTION("""COMPUTED_VALUE"""),0.0)</f>
        <v>0</v>
      </c>
      <c r="F1523" s="148">
        <f>IFERROR(__xludf.DUMMYFUNCTION("""COMPUTED_VALUE"""),0.0)</f>
        <v>0</v>
      </c>
      <c r="G1523" s="148">
        <f>IFERROR(__xludf.DUMMYFUNCTION("""COMPUTED_VALUE"""),1.5113625E7)</f>
        <v>15113625</v>
      </c>
      <c r="H1523" s="148">
        <f>IFERROR(__xludf.DUMMYFUNCTION("""COMPUTED_VALUE"""),1.5112563E7)</f>
        <v>15112563</v>
      </c>
      <c r="I1523" s="148" t="str">
        <f>IFERROR(__xludf.DUMMYFUNCTION("""COMPUTED_VALUE"""),"{}")</f>
        <v>{}</v>
      </c>
      <c r="J1523" s="148" t="str">
        <f>IFERROR(__xludf.DUMMYFUNCTION("""COMPUTED_VALUE"""),"{""typ"":""lc"",""txt"":""LC_ITEM_battlepass_exp_name""}")</f>
        <v>{"typ":"lc","txt":"LC_ITEM_battlepass_exp_name"}</v>
      </c>
      <c r="K1523" s="148" t="str">
        <f>IFERROR(__xludf.DUMMYFUNCTION("""COMPUTED_VALUE"""),"{}")</f>
        <v>{}</v>
      </c>
      <c r="L1523" s="148" t="str">
        <f>IFERROR(__xludf.DUMMYFUNCTION("""COMPUTED_VALUE"""),"{}")</f>
        <v>{}</v>
      </c>
      <c r="M1523" s="148">
        <f>IFERROR(__xludf.DUMMYFUNCTION("""COMPUTED_VALUE"""),10.0)</f>
        <v>10</v>
      </c>
      <c r="N1523" s="148">
        <f>IFERROR(__xludf.DUMMYFUNCTION("""COMPUTED_VALUE"""),999999.0)</f>
        <v>999999</v>
      </c>
      <c r="O1523" s="148">
        <f>IFERROR(__xludf.DUMMYFUNCTION("""COMPUTED_VALUE"""),99999.0)</f>
        <v>99999</v>
      </c>
      <c r="P1523" s="148">
        <f>IFERROR(__xludf.DUMMYFUNCTION("""COMPUTED_VALUE"""),9999.0)</f>
        <v>9999</v>
      </c>
      <c r="Q1523" s="148" t="str">
        <f>IFERROR(__xludf.DUMMYFUNCTION("""COMPUTED_VALUE"""),"[]")</f>
        <v>[]</v>
      </c>
      <c r="R1523" s="148" t="str">
        <f>IFERROR(__xludf.DUMMYFUNCTION("""COMPUTED_VALUE"""),"[]")</f>
        <v>[]</v>
      </c>
      <c r="S1523" s="148" t="str">
        <f>IFERROR(__xludf.DUMMYFUNCTION("""COMPUTED_VALUE"""),"{}")</f>
        <v>{}</v>
      </c>
      <c r="T1523" s="148">
        <f>IFERROR(__xludf.DUMMYFUNCTION("""COMPUTED_VALUE"""),-1.0)</f>
        <v>-1</v>
      </c>
      <c r="U1523" s="148">
        <f>IFERROR(__xludf.DUMMYFUNCTION("""COMPUTED_VALUE"""),1.0)</f>
        <v>1</v>
      </c>
      <c r="V1523" s="148" t="str">
        <f>IFERROR(__xludf.DUMMYFUNCTION("""COMPUTED_VALUE"""),"[]")</f>
        <v>[]</v>
      </c>
      <c r="W1523" s="148">
        <f>IFERROR(__xludf.DUMMYFUNCTION("""COMPUTED_VALUE"""),1.174E7)</f>
        <v>11740000</v>
      </c>
      <c r="X1523" s="148">
        <f>IFERROR(__xludf.DUMMYFUNCTION("""COMPUTED_VALUE"""),0.0)</f>
        <v>0</v>
      </c>
      <c r="Y1523" s="148">
        <f>IFERROR(__xludf.DUMMYFUNCTION("""COMPUTED_VALUE"""),0.0)</f>
        <v>0</v>
      </c>
      <c r="Z1523" s="148"/>
    </row>
    <row r="1524">
      <c r="A1524" s="148">
        <f>IFERROR(__xludf.DUMMYFUNCTION("""COMPUTED_VALUE"""),1.1117165E7)</f>
        <v>11117165</v>
      </c>
      <c r="B1524" s="148" t="str">
        <f>IFERROR(__xludf.DUMMYFUNCTION("""COMPUTED_VALUE"""),"沙滩节BattlePass-高级通行证_2022")</f>
        <v>沙滩节BattlePass-高级通行证_2022</v>
      </c>
      <c r="C1524" s="148"/>
      <c r="D1524" s="148" t="str">
        <f>IFERROR(__xludf.DUMMYFUNCTION("""COMPUTED_VALUE"""),"battle_pass_card")</f>
        <v>battle_pass_card</v>
      </c>
      <c r="E1524" s="148">
        <f>IFERROR(__xludf.DUMMYFUNCTION("""COMPUTED_VALUE"""),0.0)</f>
        <v>0</v>
      </c>
      <c r="F1524" s="148">
        <f>IFERROR(__xludf.DUMMYFUNCTION("""COMPUTED_VALUE"""),0.0)</f>
        <v>0</v>
      </c>
      <c r="G1524" s="148">
        <f>IFERROR(__xludf.DUMMYFUNCTION("""COMPUTED_VALUE"""),1.5113625E7)</f>
        <v>15113625</v>
      </c>
      <c r="H1524" s="148">
        <f>IFERROR(__xludf.DUMMYFUNCTION("""COMPUTED_VALUE"""),1.5112563E7)</f>
        <v>15112563</v>
      </c>
      <c r="I1524" s="148" t="str">
        <f>IFERROR(__xludf.DUMMYFUNCTION("""COMPUTED_VALUE"""),"{}")</f>
        <v>{}</v>
      </c>
      <c r="J1524" s="148" t="str">
        <f>IFERROR(__xludf.DUMMYFUNCTION("""COMPUTED_VALUE"""),"{""typ"":""lc"",""txt"":""LC_ITEM_battlepass_exp_name""}")</f>
        <v>{"typ":"lc","txt":"LC_ITEM_battlepass_exp_name"}</v>
      </c>
      <c r="K1524" s="148" t="str">
        <f>IFERROR(__xludf.DUMMYFUNCTION("""COMPUTED_VALUE"""),"{}")</f>
        <v>{}</v>
      </c>
      <c r="L1524" s="148" t="str">
        <f>IFERROR(__xludf.DUMMYFUNCTION("""COMPUTED_VALUE"""),"{}")</f>
        <v>{}</v>
      </c>
      <c r="M1524" s="148">
        <f>IFERROR(__xludf.DUMMYFUNCTION("""COMPUTED_VALUE"""),10.0)</f>
        <v>10</v>
      </c>
      <c r="N1524" s="148">
        <f>IFERROR(__xludf.DUMMYFUNCTION("""COMPUTED_VALUE"""),999999.0)</f>
        <v>999999</v>
      </c>
      <c r="O1524" s="148">
        <f>IFERROR(__xludf.DUMMYFUNCTION("""COMPUTED_VALUE"""),99999.0)</f>
        <v>99999</v>
      </c>
      <c r="P1524" s="148">
        <f>IFERROR(__xludf.DUMMYFUNCTION("""COMPUTED_VALUE"""),9999.0)</f>
        <v>9999</v>
      </c>
      <c r="Q1524" s="148" t="str">
        <f>IFERROR(__xludf.DUMMYFUNCTION("""COMPUTED_VALUE"""),"[]")</f>
        <v>[]</v>
      </c>
      <c r="R1524" s="148" t="str">
        <f>IFERROR(__xludf.DUMMYFUNCTION("""COMPUTED_VALUE"""),"[]")</f>
        <v>[]</v>
      </c>
      <c r="S1524" s="148" t="str">
        <f>IFERROR(__xludf.DUMMYFUNCTION("""COMPUTED_VALUE"""),"{}")</f>
        <v>{}</v>
      </c>
      <c r="T1524" s="148">
        <f>IFERROR(__xludf.DUMMYFUNCTION("""COMPUTED_VALUE"""),-1.0)</f>
        <v>-1</v>
      </c>
      <c r="U1524" s="148">
        <f>IFERROR(__xludf.DUMMYFUNCTION("""COMPUTED_VALUE"""),1.0)</f>
        <v>1</v>
      </c>
      <c r="V1524" s="148" t="str">
        <f>IFERROR(__xludf.DUMMYFUNCTION("""COMPUTED_VALUE"""),"[]")</f>
        <v>[]</v>
      </c>
      <c r="W1524" s="148">
        <f>IFERROR(__xludf.DUMMYFUNCTION("""COMPUTED_VALUE"""),1.174E7)</f>
        <v>11740000</v>
      </c>
      <c r="X1524" s="148">
        <f>IFERROR(__xludf.DUMMYFUNCTION("""COMPUTED_VALUE"""),0.0)</f>
        <v>0</v>
      </c>
      <c r="Y1524" s="148">
        <f>IFERROR(__xludf.DUMMYFUNCTION("""COMPUTED_VALUE"""),0.0)</f>
        <v>0</v>
      </c>
      <c r="Z1524" s="148"/>
    </row>
    <row r="1525">
      <c r="A1525" s="148">
        <f>IFERROR(__xludf.DUMMYFUNCTION("""COMPUTED_VALUE"""),1.1117166E7)</f>
        <v>11117166</v>
      </c>
      <c r="B1525" s="148" t="str">
        <f>IFERROR(__xludf.DUMMYFUNCTION("""COMPUTED_VALUE"""),"bp道具-沙滩铃鼓-2022")</f>
        <v>bp道具-沙滩铃鼓-2022</v>
      </c>
      <c r="C1525" s="148"/>
      <c r="D1525" s="148" t="str">
        <f>IFERROR(__xludf.DUMMYFUNCTION("""COMPUTED_VALUE"""),"battle_pass_exp")</f>
        <v>battle_pass_exp</v>
      </c>
      <c r="E1525" s="148">
        <f>IFERROR(__xludf.DUMMYFUNCTION("""COMPUTED_VALUE"""),0.0)</f>
        <v>0</v>
      </c>
      <c r="F1525" s="148">
        <f>IFERROR(__xludf.DUMMYFUNCTION("""COMPUTED_VALUE"""),405244.0)</f>
        <v>405244</v>
      </c>
      <c r="G1525" s="148">
        <f>IFERROR(__xludf.DUMMYFUNCTION("""COMPUTED_VALUE"""),1.5114996E7)</f>
        <v>15114996</v>
      </c>
      <c r="H1525" s="148">
        <f>IFERROR(__xludf.DUMMYFUNCTION("""COMPUTED_VALUE"""),1.5112563E7)</f>
        <v>15112563</v>
      </c>
      <c r="I1525" s="148" t="str">
        <f>IFERROR(__xludf.DUMMYFUNCTION("""COMPUTED_VALUE"""),"{}")</f>
        <v>{}</v>
      </c>
      <c r="J1525" s="148" t="str">
        <f>IFERROR(__xludf.DUMMYFUNCTION("""COMPUTED_VALUE"""),"{""typ"":""lc"",""txt"":""LC_ITEM_summer_bp_2022_item_name""}")</f>
        <v>{"typ":"lc","txt":"LC_ITEM_summer_bp_2022_item_name"}</v>
      </c>
      <c r="K1525" s="148" t="str">
        <f>IFERROR(__xludf.DUMMYFUNCTION("""COMPUTED_VALUE"""),"{""typ"":""lc"",""txt"":""LC_ITEM_summer_bp_2022_item_desc""}")</f>
        <v>{"typ":"lc","txt":"LC_ITEM_summer_bp_2022_item_desc"}</v>
      </c>
      <c r="L1525" s="148" t="str">
        <f>IFERROR(__xludf.DUMMYFUNCTION("""COMPUTED_VALUE"""),"{}")</f>
        <v>{}</v>
      </c>
      <c r="M1525" s="148">
        <f>IFERROR(__xludf.DUMMYFUNCTION("""COMPUTED_VALUE"""),35.0)</f>
        <v>35</v>
      </c>
      <c r="N1525" s="148">
        <f>IFERROR(__xludf.DUMMYFUNCTION("""COMPUTED_VALUE"""),999999.0)</f>
        <v>999999</v>
      </c>
      <c r="O1525" s="148">
        <f>IFERROR(__xludf.DUMMYFUNCTION("""COMPUTED_VALUE"""),99999.0)</f>
        <v>99999</v>
      </c>
      <c r="P1525" s="148">
        <f>IFERROR(__xludf.DUMMYFUNCTION("""COMPUTED_VALUE"""),99999.0)</f>
        <v>99999</v>
      </c>
      <c r="Q1525" s="148" t="str">
        <f>IFERROR(__xludf.DUMMYFUNCTION("""COMPUTED_VALUE"""),"[""bag_other""]")</f>
        <v>["bag_other"]</v>
      </c>
      <c r="R1525" s="148" t="str">
        <f>IFERROR(__xludf.DUMMYFUNCTION("""COMPUTED_VALUE"""),"[""bag""]")</f>
        <v>["bag"]</v>
      </c>
      <c r="S1525" s="148" t="str">
        <f>IFERROR(__xludf.DUMMYFUNCTION("""COMPUTED_VALUE"""),"{}")</f>
        <v>{}</v>
      </c>
      <c r="T1525" s="148">
        <f>IFERROR(__xludf.DUMMYFUNCTION("""COMPUTED_VALUE"""),1.0)</f>
        <v>1</v>
      </c>
      <c r="U1525" s="148">
        <f>IFERROR(__xludf.DUMMYFUNCTION("""COMPUTED_VALUE"""),0.0)</f>
        <v>0</v>
      </c>
      <c r="V1525" s="148" t="str">
        <f>IFERROR(__xludf.DUMMYFUNCTION("""COMPUTED_VALUE"""),"[]")</f>
        <v>[]</v>
      </c>
      <c r="W1525" s="148">
        <f>IFERROR(__xludf.DUMMYFUNCTION("""COMPUTED_VALUE"""),1.174E7)</f>
        <v>11740000</v>
      </c>
      <c r="X1525" s="148">
        <f>IFERROR(__xludf.DUMMYFUNCTION("""COMPUTED_VALUE"""),0.0)</f>
        <v>0</v>
      </c>
      <c r="Y1525" s="148">
        <f>IFERROR(__xludf.DUMMYFUNCTION("""COMPUTED_VALUE"""),0.0)</f>
        <v>0</v>
      </c>
      <c r="Z1525" s="148"/>
    </row>
    <row r="1526">
      <c r="A1526" s="148">
        <f>IFERROR(__xludf.DUMMYFUNCTION("""COMPUTED_VALUE"""),1.1117167E7)</f>
        <v>11117167</v>
      </c>
      <c r="B1526" s="148" t="str">
        <f>IFERROR(__xludf.DUMMYFUNCTION("""COMPUTED_VALUE"""),"回归BattlePass-初级通行证_2022")</f>
        <v>回归BattlePass-初级通行证_2022</v>
      </c>
      <c r="C1526" s="148"/>
      <c r="D1526" s="148" t="str">
        <f>IFERROR(__xludf.DUMMYFUNCTION("""COMPUTED_VALUE"""),"battle_pass_card")</f>
        <v>battle_pass_card</v>
      </c>
      <c r="E1526" s="148">
        <f>IFERROR(__xludf.DUMMYFUNCTION("""COMPUTED_VALUE"""),0.0)</f>
        <v>0</v>
      </c>
      <c r="F1526" s="148">
        <f>IFERROR(__xludf.DUMMYFUNCTION("""COMPUTED_VALUE"""),0.0)</f>
        <v>0</v>
      </c>
      <c r="G1526" s="148">
        <f>IFERROR(__xludf.DUMMYFUNCTION("""COMPUTED_VALUE"""),1.5113625E7)</f>
        <v>15113625</v>
      </c>
      <c r="H1526" s="148">
        <f>IFERROR(__xludf.DUMMYFUNCTION("""COMPUTED_VALUE"""),1.5112563E7)</f>
        <v>15112563</v>
      </c>
      <c r="I1526" s="148" t="str">
        <f>IFERROR(__xludf.DUMMYFUNCTION("""COMPUTED_VALUE"""),"{}")</f>
        <v>{}</v>
      </c>
      <c r="J1526" s="148" t="str">
        <f>IFERROR(__xludf.DUMMYFUNCTION("""COMPUTED_VALUE"""),"{""typ"":""lc"",""txt"":""LC_ITEM_battlepass_exp_name""}")</f>
        <v>{"typ":"lc","txt":"LC_ITEM_battlepass_exp_name"}</v>
      </c>
      <c r="K1526" s="148" t="str">
        <f>IFERROR(__xludf.DUMMYFUNCTION("""COMPUTED_VALUE"""),"{}")</f>
        <v>{}</v>
      </c>
      <c r="L1526" s="148" t="str">
        <f>IFERROR(__xludf.DUMMYFUNCTION("""COMPUTED_VALUE"""),"{}")</f>
        <v>{}</v>
      </c>
      <c r="M1526" s="148">
        <f>IFERROR(__xludf.DUMMYFUNCTION("""COMPUTED_VALUE"""),10.0)</f>
        <v>10</v>
      </c>
      <c r="N1526" s="148">
        <f>IFERROR(__xludf.DUMMYFUNCTION("""COMPUTED_VALUE"""),999999.0)</f>
        <v>999999</v>
      </c>
      <c r="O1526" s="148">
        <f>IFERROR(__xludf.DUMMYFUNCTION("""COMPUTED_VALUE"""),99999.0)</f>
        <v>99999</v>
      </c>
      <c r="P1526" s="148">
        <f>IFERROR(__xludf.DUMMYFUNCTION("""COMPUTED_VALUE"""),9999.0)</f>
        <v>9999</v>
      </c>
      <c r="Q1526" s="148" t="str">
        <f>IFERROR(__xludf.DUMMYFUNCTION("""COMPUTED_VALUE"""),"[]")</f>
        <v>[]</v>
      </c>
      <c r="R1526" s="148" t="str">
        <f>IFERROR(__xludf.DUMMYFUNCTION("""COMPUTED_VALUE"""),"[]")</f>
        <v>[]</v>
      </c>
      <c r="S1526" s="148" t="str">
        <f>IFERROR(__xludf.DUMMYFUNCTION("""COMPUTED_VALUE"""),"{}")</f>
        <v>{}</v>
      </c>
      <c r="T1526" s="148">
        <f>IFERROR(__xludf.DUMMYFUNCTION("""COMPUTED_VALUE"""),-1.0)</f>
        <v>-1</v>
      </c>
      <c r="U1526" s="148">
        <f>IFERROR(__xludf.DUMMYFUNCTION("""COMPUTED_VALUE"""),1.0)</f>
        <v>1</v>
      </c>
      <c r="V1526" s="148" t="str">
        <f>IFERROR(__xludf.DUMMYFUNCTION("""COMPUTED_VALUE"""),"[]")</f>
        <v>[]</v>
      </c>
      <c r="W1526" s="148">
        <f>IFERROR(__xludf.DUMMYFUNCTION("""COMPUTED_VALUE"""),1.174E7)</f>
        <v>11740000</v>
      </c>
      <c r="X1526" s="148">
        <f>IFERROR(__xludf.DUMMYFUNCTION("""COMPUTED_VALUE"""),0.0)</f>
        <v>0</v>
      </c>
      <c r="Y1526" s="148">
        <f>IFERROR(__xludf.DUMMYFUNCTION("""COMPUTED_VALUE"""),0.0)</f>
        <v>0</v>
      </c>
      <c r="Z1526" s="148"/>
    </row>
    <row r="1527">
      <c r="A1527" s="148">
        <f>IFERROR(__xludf.DUMMYFUNCTION("""COMPUTED_VALUE"""),1.1117168E7)</f>
        <v>11117168</v>
      </c>
      <c r="B1527" s="148" t="str">
        <f>IFERROR(__xludf.DUMMYFUNCTION("""COMPUTED_VALUE"""),"回归BattlePass-高级通行证_2022")</f>
        <v>回归BattlePass-高级通行证_2022</v>
      </c>
      <c r="C1527" s="148"/>
      <c r="D1527" s="148" t="str">
        <f>IFERROR(__xludf.DUMMYFUNCTION("""COMPUTED_VALUE"""),"battle_pass_card")</f>
        <v>battle_pass_card</v>
      </c>
      <c r="E1527" s="148">
        <f>IFERROR(__xludf.DUMMYFUNCTION("""COMPUTED_VALUE"""),0.0)</f>
        <v>0</v>
      </c>
      <c r="F1527" s="148">
        <f>IFERROR(__xludf.DUMMYFUNCTION("""COMPUTED_VALUE"""),0.0)</f>
        <v>0</v>
      </c>
      <c r="G1527" s="148">
        <f>IFERROR(__xludf.DUMMYFUNCTION("""COMPUTED_VALUE"""),1.5113625E7)</f>
        <v>15113625</v>
      </c>
      <c r="H1527" s="148">
        <f>IFERROR(__xludf.DUMMYFUNCTION("""COMPUTED_VALUE"""),1.5112563E7)</f>
        <v>15112563</v>
      </c>
      <c r="I1527" s="148" t="str">
        <f>IFERROR(__xludf.DUMMYFUNCTION("""COMPUTED_VALUE"""),"{}")</f>
        <v>{}</v>
      </c>
      <c r="J1527" s="148" t="str">
        <f>IFERROR(__xludf.DUMMYFUNCTION("""COMPUTED_VALUE"""),"{""typ"":""lc"",""txt"":""LC_ITEM_battlepass_exp_name""}")</f>
        <v>{"typ":"lc","txt":"LC_ITEM_battlepass_exp_name"}</v>
      </c>
      <c r="K1527" s="148" t="str">
        <f>IFERROR(__xludf.DUMMYFUNCTION("""COMPUTED_VALUE"""),"{}")</f>
        <v>{}</v>
      </c>
      <c r="L1527" s="148" t="str">
        <f>IFERROR(__xludf.DUMMYFUNCTION("""COMPUTED_VALUE"""),"{}")</f>
        <v>{}</v>
      </c>
      <c r="M1527" s="148">
        <f>IFERROR(__xludf.DUMMYFUNCTION("""COMPUTED_VALUE"""),10.0)</f>
        <v>10</v>
      </c>
      <c r="N1527" s="148">
        <f>IFERROR(__xludf.DUMMYFUNCTION("""COMPUTED_VALUE"""),999999.0)</f>
        <v>999999</v>
      </c>
      <c r="O1527" s="148">
        <f>IFERROR(__xludf.DUMMYFUNCTION("""COMPUTED_VALUE"""),99999.0)</f>
        <v>99999</v>
      </c>
      <c r="P1527" s="148">
        <f>IFERROR(__xludf.DUMMYFUNCTION("""COMPUTED_VALUE"""),9999.0)</f>
        <v>9999</v>
      </c>
      <c r="Q1527" s="148" t="str">
        <f>IFERROR(__xludf.DUMMYFUNCTION("""COMPUTED_VALUE"""),"[]")</f>
        <v>[]</v>
      </c>
      <c r="R1527" s="148" t="str">
        <f>IFERROR(__xludf.DUMMYFUNCTION("""COMPUTED_VALUE"""),"[]")</f>
        <v>[]</v>
      </c>
      <c r="S1527" s="148" t="str">
        <f>IFERROR(__xludf.DUMMYFUNCTION("""COMPUTED_VALUE"""),"{}")</f>
        <v>{}</v>
      </c>
      <c r="T1527" s="148">
        <f>IFERROR(__xludf.DUMMYFUNCTION("""COMPUTED_VALUE"""),-1.0)</f>
        <v>-1</v>
      </c>
      <c r="U1527" s="148">
        <f>IFERROR(__xludf.DUMMYFUNCTION("""COMPUTED_VALUE"""),1.0)</f>
        <v>1</v>
      </c>
      <c r="V1527" s="148" t="str">
        <f>IFERROR(__xludf.DUMMYFUNCTION("""COMPUTED_VALUE"""),"[]")</f>
        <v>[]</v>
      </c>
      <c r="W1527" s="148">
        <f>IFERROR(__xludf.DUMMYFUNCTION("""COMPUTED_VALUE"""),1.174E7)</f>
        <v>11740000</v>
      </c>
      <c r="X1527" s="148">
        <f>IFERROR(__xludf.DUMMYFUNCTION("""COMPUTED_VALUE"""),0.0)</f>
        <v>0</v>
      </c>
      <c r="Y1527" s="148">
        <f>IFERROR(__xludf.DUMMYFUNCTION("""COMPUTED_VALUE"""),0.0)</f>
        <v>0</v>
      </c>
      <c r="Z1527" s="148"/>
    </row>
    <row r="1528">
      <c r="A1528" s="148">
        <f>IFERROR(__xludf.DUMMYFUNCTION("""COMPUTED_VALUE"""),1.1117169E7)</f>
        <v>11117169</v>
      </c>
      <c r="B1528" s="148" t="str">
        <f>IFERROR(__xludf.DUMMYFUNCTION("""COMPUTED_VALUE"""),"bp道具-回归荧光棒-2022")</f>
        <v>bp道具-回归荧光棒-2022</v>
      </c>
      <c r="C1528" s="148"/>
      <c r="D1528" s="148" t="str">
        <f>IFERROR(__xludf.DUMMYFUNCTION("""COMPUTED_VALUE"""),"battle_pass_exp")</f>
        <v>battle_pass_exp</v>
      </c>
      <c r="E1528" s="148">
        <f>IFERROR(__xludf.DUMMYFUNCTION("""COMPUTED_VALUE"""),0.0)</f>
        <v>0</v>
      </c>
      <c r="F1528" s="148">
        <f>IFERROR(__xludf.DUMMYFUNCTION("""COMPUTED_VALUE"""),405245.0)</f>
        <v>405245</v>
      </c>
      <c r="G1528" s="148">
        <f>IFERROR(__xludf.DUMMYFUNCTION("""COMPUTED_VALUE"""),1.5114999E7)</f>
        <v>15114999</v>
      </c>
      <c r="H1528" s="148">
        <f>IFERROR(__xludf.DUMMYFUNCTION("""COMPUTED_VALUE"""),1.5112563E7)</f>
        <v>15112563</v>
      </c>
      <c r="I1528" s="148" t="str">
        <f>IFERROR(__xludf.DUMMYFUNCTION("""COMPUTED_VALUE"""),"{}")</f>
        <v>{}</v>
      </c>
      <c r="J1528" s="148" t="str">
        <f>IFERROR(__xludf.DUMMYFUNCTION("""COMPUTED_VALUE"""),"{""typ"":""lc"",""txt"":""LC_ITEM_return_bp_item_name""}")</f>
        <v>{"typ":"lc","txt":"LC_ITEM_return_bp_item_name"}</v>
      </c>
      <c r="K1528" s="148" t="str">
        <f>IFERROR(__xludf.DUMMYFUNCTION("""COMPUTED_VALUE"""),"{""typ"":""lc"",""txt"":""LC_ITEM_return_bp_item_desc""}")</f>
        <v>{"typ":"lc","txt":"LC_ITEM_return_bp_item_desc"}</v>
      </c>
      <c r="L1528" s="148" t="str">
        <f>IFERROR(__xludf.DUMMYFUNCTION("""COMPUTED_VALUE"""),"{}")</f>
        <v>{}</v>
      </c>
      <c r="M1528" s="148">
        <f>IFERROR(__xludf.DUMMYFUNCTION("""COMPUTED_VALUE"""),35.0)</f>
        <v>35</v>
      </c>
      <c r="N1528" s="148">
        <f>IFERROR(__xludf.DUMMYFUNCTION("""COMPUTED_VALUE"""),999999.0)</f>
        <v>999999</v>
      </c>
      <c r="O1528" s="148">
        <f>IFERROR(__xludf.DUMMYFUNCTION("""COMPUTED_VALUE"""),99999.0)</f>
        <v>99999</v>
      </c>
      <c r="P1528" s="148">
        <f>IFERROR(__xludf.DUMMYFUNCTION("""COMPUTED_VALUE"""),99999.0)</f>
        <v>99999</v>
      </c>
      <c r="Q1528" s="148" t="str">
        <f>IFERROR(__xludf.DUMMYFUNCTION("""COMPUTED_VALUE"""),"[""bag_other""]")</f>
        <v>["bag_other"]</v>
      </c>
      <c r="R1528" s="148" t="str">
        <f>IFERROR(__xludf.DUMMYFUNCTION("""COMPUTED_VALUE"""),"[""bag""]")</f>
        <v>["bag"]</v>
      </c>
      <c r="S1528" s="148" t="str">
        <f>IFERROR(__xludf.DUMMYFUNCTION("""COMPUTED_VALUE"""),"{}")</f>
        <v>{}</v>
      </c>
      <c r="T1528" s="148">
        <f>IFERROR(__xludf.DUMMYFUNCTION("""COMPUTED_VALUE"""),1.0)</f>
        <v>1</v>
      </c>
      <c r="U1528" s="148">
        <f>IFERROR(__xludf.DUMMYFUNCTION("""COMPUTED_VALUE"""),0.0)</f>
        <v>0</v>
      </c>
      <c r="V1528" s="148" t="str">
        <f>IFERROR(__xludf.DUMMYFUNCTION("""COMPUTED_VALUE"""),"[]")</f>
        <v>[]</v>
      </c>
      <c r="W1528" s="148">
        <f>IFERROR(__xludf.DUMMYFUNCTION("""COMPUTED_VALUE"""),1.174E7)</f>
        <v>11740000</v>
      </c>
      <c r="X1528" s="148">
        <f>IFERROR(__xludf.DUMMYFUNCTION("""COMPUTED_VALUE"""),0.0)</f>
        <v>0</v>
      </c>
      <c r="Y1528" s="148">
        <f>IFERROR(__xludf.DUMMYFUNCTION("""COMPUTED_VALUE"""),0.0)</f>
        <v>0</v>
      </c>
      <c r="Z1528" s="148"/>
    </row>
    <row r="1529">
      <c r="A1529" s="148">
        <f>IFERROR(__xludf.DUMMYFUNCTION("""COMPUTED_VALUE"""),1.111717E7)</f>
        <v>11117170</v>
      </c>
      <c r="B1529" s="148" t="str">
        <f>IFERROR(__xludf.DUMMYFUNCTION("""COMPUTED_VALUE"""),"回归活动专用-增加次数道具")</f>
        <v>回归活动专用-增加次数道具</v>
      </c>
      <c r="C1529" s="148"/>
      <c r="D1529" s="148" t="str">
        <f>IFERROR(__xludf.DUMMYFUNCTION("""COMPUTED_VALUE"""),"event_progress")</f>
        <v>event_progress</v>
      </c>
      <c r="E1529" s="148">
        <f>IFERROR(__xludf.DUMMYFUNCTION("""COMPUTED_VALUE"""),0.0)</f>
        <v>0</v>
      </c>
      <c r="F1529" s="148">
        <f>IFERROR(__xludf.DUMMYFUNCTION("""COMPUTED_VALUE"""),0.0)</f>
        <v>0</v>
      </c>
      <c r="G1529" s="148">
        <f>IFERROR(__xludf.DUMMYFUNCTION("""COMPUTED_VALUE"""),1.5113732E7)</f>
        <v>15113732</v>
      </c>
      <c r="H1529" s="148">
        <f>IFERROR(__xludf.DUMMYFUNCTION("""COMPUTED_VALUE"""),1.5112563E7)</f>
        <v>15112563</v>
      </c>
      <c r="I1529" s="148" t="str">
        <f>IFERROR(__xludf.DUMMYFUNCTION("""COMPUTED_VALUE"""),"{}")</f>
        <v>{}</v>
      </c>
      <c r="J1529" s="148" t="str">
        <f>IFERROR(__xludf.DUMMYFUNCTION("""COMPUTED_VALUE"""),"{}")</f>
        <v>{}</v>
      </c>
      <c r="K1529" s="148" t="str">
        <f>IFERROR(__xludf.DUMMYFUNCTION("""COMPUTED_VALUE"""),"{}")</f>
        <v>{}</v>
      </c>
      <c r="L1529" s="148" t="str">
        <f>IFERROR(__xludf.DUMMYFUNCTION("""COMPUTED_VALUE"""),"{}")</f>
        <v>{}</v>
      </c>
      <c r="M1529" s="148">
        <f>IFERROR(__xludf.DUMMYFUNCTION("""COMPUTED_VALUE"""),1.0)</f>
        <v>1</v>
      </c>
      <c r="N1529" s="148">
        <f>IFERROR(__xludf.DUMMYFUNCTION("""COMPUTED_VALUE"""),999999.0)</f>
        <v>999999</v>
      </c>
      <c r="O1529" s="148">
        <f>IFERROR(__xludf.DUMMYFUNCTION("""COMPUTED_VALUE"""),99999.0)</f>
        <v>99999</v>
      </c>
      <c r="P1529" s="148">
        <f>IFERROR(__xludf.DUMMYFUNCTION("""COMPUTED_VALUE"""),9999.0)</f>
        <v>9999</v>
      </c>
      <c r="Q1529" s="148" t="str">
        <f>IFERROR(__xludf.DUMMYFUNCTION("""COMPUTED_VALUE"""),"[]")</f>
        <v>[]</v>
      </c>
      <c r="R1529" s="148" t="str">
        <f>IFERROR(__xludf.DUMMYFUNCTION("""COMPUTED_VALUE"""),"[]")</f>
        <v>[]</v>
      </c>
      <c r="S1529" s="148" t="str">
        <f>IFERROR(__xludf.DUMMYFUNCTION("""COMPUTED_VALUE"""),"{""effect"":[{""typ"":""event"",""id"":21121320},{""typ"":""miss_lost_reward""}]}")</f>
        <v>{"effect":[{"typ":"event","id":21121320},{"typ":"miss_lost_reward"}]}</v>
      </c>
      <c r="T1529" s="148">
        <f>IFERROR(__xludf.DUMMYFUNCTION("""COMPUTED_VALUE"""),-1.0)</f>
        <v>-1</v>
      </c>
      <c r="U1529" s="148">
        <f>IFERROR(__xludf.DUMMYFUNCTION("""COMPUTED_VALUE"""),1.0)</f>
        <v>1</v>
      </c>
      <c r="V1529" s="148" t="str">
        <f>IFERROR(__xludf.DUMMYFUNCTION("""COMPUTED_VALUE"""),"[]")</f>
        <v>[]</v>
      </c>
      <c r="W1529" s="148">
        <f>IFERROR(__xludf.DUMMYFUNCTION("""COMPUTED_VALUE"""),1.174E7)</f>
        <v>11740000</v>
      </c>
      <c r="X1529" s="148">
        <f>IFERROR(__xludf.DUMMYFUNCTION("""COMPUTED_VALUE"""),0.0)</f>
        <v>0</v>
      </c>
      <c r="Y1529" s="148">
        <f>IFERROR(__xludf.DUMMYFUNCTION("""COMPUTED_VALUE"""),0.0)</f>
        <v>0</v>
      </c>
      <c r="Z1529" s="148"/>
    </row>
    <row r="1530">
      <c r="A1530" s="148">
        <f>IFERROR(__xludf.DUMMYFUNCTION("""COMPUTED_VALUE"""),1.1117171E7)</f>
        <v>11117171</v>
      </c>
      <c r="B1530" s="148" t="str">
        <f>IFERROR(__xludf.DUMMYFUNCTION("""COMPUTED_VALUE"""),"回归首次加入宝箱_白")</f>
        <v>回归首次加入宝箱_白</v>
      </c>
      <c r="C1530" s="148"/>
      <c r="D1530" s="148" t="str">
        <f>IFERROR(__xludf.DUMMYFUNCTION("""COMPUTED_VALUE"""),"item_union_gift_box")</f>
        <v>item_union_gift_box</v>
      </c>
      <c r="E1530" s="148">
        <f>IFERROR(__xludf.DUMMYFUNCTION("""COMPUTED_VALUE"""),16.0)</f>
        <v>16</v>
      </c>
      <c r="F1530" s="148">
        <f>IFERROR(__xludf.DUMMYFUNCTION("""COMPUTED_VALUE"""),0.0)</f>
        <v>0</v>
      </c>
      <c r="G1530" s="148">
        <f>IFERROR(__xludf.DUMMYFUNCTION("""COMPUTED_VALUE"""),1.5110347E7)</f>
        <v>15110347</v>
      </c>
      <c r="H1530" s="148">
        <f>IFERROR(__xludf.DUMMYFUNCTION("""COMPUTED_VALUE"""),1.511256E7)</f>
        <v>15112560</v>
      </c>
      <c r="I1530" s="148" t="str">
        <f>IFERROR(__xludf.DUMMYFUNCTION("""COMPUTED_VALUE"""),"{}")</f>
        <v>{}</v>
      </c>
      <c r="J1530" s="148" t="str">
        <f>IFERROR(__xludf.DUMMYFUNCTION("""COMPUTED_VALUE"""),"{""typ"":""lc"",""txt"":""LC_ITEM_return_alliance_box_join""}")</f>
        <v>{"typ":"lc","txt":"LC_ITEM_return_alliance_box_join"}</v>
      </c>
      <c r="K1530" s="148" t="str">
        <f>IFERROR(__xludf.DUMMYFUNCTION("""COMPUTED_VALUE"""),"{""typ"":""lc"",""txt"":""LC_ITEM_return_alliance_box_desc""}")</f>
        <v>{"typ":"lc","txt":"LC_ITEM_return_alliance_box_desc"}</v>
      </c>
      <c r="L1530" s="148" t="str">
        <f>IFERROR(__xludf.DUMMYFUNCTION("""COMPUTED_VALUE"""),"{}")</f>
        <v>{}</v>
      </c>
      <c r="M1530" s="148">
        <f>IFERROR(__xludf.DUMMYFUNCTION("""COMPUTED_VALUE"""),66.0)</f>
        <v>66</v>
      </c>
      <c r="N1530" s="148">
        <f>IFERROR(__xludf.DUMMYFUNCTION("""COMPUTED_VALUE"""),999999.0)</f>
        <v>999999</v>
      </c>
      <c r="O1530" s="148">
        <f>IFERROR(__xludf.DUMMYFUNCTION("""COMPUTED_VALUE"""),99999.0)</f>
        <v>99999</v>
      </c>
      <c r="P1530" s="148">
        <f>IFERROR(__xludf.DUMMYFUNCTION("""COMPUTED_VALUE"""),1.0)</f>
        <v>1</v>
      </c>
      <c r="Q1530" s="148" t="str">
        <f>IFERROR(__xludf.DUMMYFUNCTION("""COMPUTED_VALUE"""),"[]")</f>
        <v>[]</v>
      </c>
      <c r="R1530" s="148" t="str">
        <f>IFERROR(__xludf.DUMMYFUNCTION("""COMPUTED_VALUE"""),"[]")</f>
        <v>[]</v>
      </c>
      <c r="S1530" s="148" t="str">
        <f>IFERROR(__xludf.DUMMYFUNCTION("""COMPUTED_VALUE"""),"{""drop"":{""typ"":""single_all"",""num"":1,""args"":[{""typ"":""single_all"",""num"":1,""args"":[{""typ"":""rss"",""id"":11141022,""num"":40,""wgt"":30}]},{""typ"":""single_random"",""num"":1,""args"":[{""typ"":""item"",""id"":11111017,""num"":5,""wgt"":"&amp;"300},{""typ"":""item"",""id"":11111018,""num"":5,""wgt"":300},{""typ"":""item"",""id"":11111013,""num"":5,""wgt"":100},{""typ"":""item"",""id"":11111101,""num"":5,""wgt"":200},{""typ"":""item"",""id"":11111102,""num"":5,""wgt"":100}]}]}}")</f>
        <v>{"drop":{"typ":"single_all","num":1,"args":[{"typ":"single_all","num":1,"args":[{"typ":"rss","id":11141022,"num":40,"wgt":30}]},{"typ":"single_random","num":1,"args":[{"typ":"item","id":11111017,"num":5,"wgt":300},{"typ":"item","id":11111018,"num":5,"wgt":300},{"typ":"item","id":11111013,"num":5,"wgt":100},{"typ":"item","id":11111101,"num":5,"wgt":200},{"typ":"item","id":11111102,"num":5,"wgt":100}]}]}}</v>
      </c>
      <c r="T1530" s="148">
        <f>IFERROR(__xludf.DUMMYFUNCTION("""COMPUTED_VALUE"""),-1.0)</f>
        <v>-1</v>
      </c>
      <c r="U1530" s="148">
        <f>IFERROR(__xludf.DUMMYFUNCTION("""COMPUTED_VALUE"""),0.0)</f>
        <v>0</v>
      </c>
      <c r="V1530" s="148" t="str">
        <f>IFERROR(__xludf.DUMMYFUNCTION("""COMPUTED_VALUE"""),"[]")</f>
        <v>[]</v>
      </c>
      <c r="W1530" s="148">
        <f>IFERROR(__xludf.DUMMYFUNCTION("""COMPUTED_VALUE"""),1.174E7)</f>
        <v>11740000</v>
      </c>
      <c r="X1530" s="148">
        <f>IFERROR(__xludf.DUMMYFUNCTION("""COMPUTED_VALUE"""),0.0)</f>
        <v>0</v>
      </c>
      <c r="Y1530" s="148">
        <f>IFERROR(__xludf.DUMMYFUNCTION("""COMPUTED_VALUE"""),0.0)</f>
        <v>0</v>
      </c>
      <c r="Z1530" s="148"/>
    </row>
    <row r="1531">
      <c r="A1531" s="148">
        <f>IFERROR(__xludf.DUMMYFUNCTION("""COMPUTED_VALUE"""),1.1117172E7)</f>
        <v>11117172</v>
      </c>
      <c r="B1531" s="148" t="str">
        <f>IFERROR(__xludf.DUMMYFUNCTION("""COMPUTED_VALUE"""),"回归首次加入宝箱_绿")</f>
        <v>回归首次加入宝箱_绿</v>
      </c>
      <c r="C1531" s="148"/>
      <c r="D1531" s="148" t="str">
        <f>IFERROR(__xludf.DUMMYFUNCTION("""COMPUTED_VALUE"""),"item_union_gift_box")</f>
        <v>item_union_gift_box</v>
      </c>
      <c r="E1531" s="148">
        <f>IFERROR(__xludf.DUMMYFUNCTION("""COMPUTED_VALUE"""),16.0)</f>
        <v>16</v>
      </c>
      <c r="F1531" s="148">
        <f>IFERROR(__xludf.DUMMYFUNCTION("""COMPUTED_VALUE"""),0.0)</f>
        <v>0</v>
      </c>
      <c r="G1531" s="148">
        <f>IFERROR(__xludf.DUMMYFUNCTION("""COMPUTED_VALUE"""),1.5110348E7)</f>
        <v>15110348</v>
      </c>
      <c r="H1531" s="148">
        <f>IFERROR(__xludf.DUMMYFUNCTION("""COMPUTED_VALUE"""),1.5112561E7)</f>
        <v>15112561</v>
      </c>
      <c r="I1531" s="148" t="str">
        <f>IFERROR(__xludf.DUMMYFUNCTION("""COMPUTED_VALUE"""),"{}")</f>
        <v>{}</v>
      </c>
      <c r="J1531" s="148" t="str">
        <f>IFERROR(__xludf.DUMMYFUNCTION("""COMPUTED_VALUE"""),"{""typ"":""lc"",""txt"":""LC_ITEM_return_alliance_box_join""}")</f>
        <v>{"typ":"lc","txt":"LC_ITEM_return_alliance_box_join"}</v>
      </c>
      <c r="K1531" s="148" t="str">
        <f>IFERROR(__xludf.DUMMYFUNCTION("""COMPUTED_VALUE"""),"{""typ"":""lc"",""txt"":""LC_ITEM_return_alliance_box_desc""}")</f>
        <v>{"typ":"lc","txt":"LC_ITEM_return_alliance_box_desc"}</v>
      </c>
      <c r="L1531" s="148" t="str">
        <f>IFERROR(__xludf.DUMMYFUNCTION("""COMPUTED_VALUE"""),"{}")</f>
        <v>{}</v>
      </c>
      <c r="M1531" s="148">
        <f>IFERROR(__xludf.DUMMYFUNCTION("""COMPUTED_VALUE"""),66.0)</f>
        <v>66</v>
      </c>
      <c r="N1531" s="148">
        <f>IFERROR(__xludf.DUMMYFUNCTION("""COMPUTED_VALUE"""),999999.0)</f>
        <v>999999</v>
      </c>
      <c r="O1531" s="148">
        <f>IFERROR(__xludf.DUMMYFUNCTION("""COMPUTED_VALUE"""),99999.0)</f>
        <v>99999</v>
      </c>
      <c r="P1531" s="148">
        <f>IFERROR(__xludf.DUMMYFUNCTION("""COMPUTED_VALUE"""),1.0)</f>
        <v>1</v>
      </c>
      <c r="Q1531" s="148" t="str">
        <f>IFERROR(__xludf.DUMMYFUNCTION("""COMPUTED_VALUE"""),"[]")</f>
        <v>[]</v>
      </c>
      <c r="R1531" s="148" t="str">
        <f>IFERROR(__xludf.DUMMYFUNCTION("""COMPUTED_VALUE"""),"[]")</f>
        <v>[]</v>
      </c>
      <c r="S1531" s="148" t="str">
        <f>IFERROR(__xludf.DUMMYFUNCTION("""COMPUTED_VALUE"""),"{""drop"":{""typ"":""single_all"",""num"":1,""args"":[{""typ"":""single_all"",""num"":1,""args"":[{""typ"":""rss"",""id"":11141022,""num"":40,""wgt"":30}]},{""typ"":""single_random"",""num"":1,""args"":[{""typ"":""item"",""id"":11111017,""num"":10,""wgt"""&amp;":270},{""typ"":""item"",""id"":11111018,""num"":10,""wgt"":270},{""typ"":""item"",""id"":11111013,""num"":10,""wgt"":120},{""typ"":""item"",""id"":11111101,""num"":10,""wgt"":220},{""typ"":""item"",""id"":11111102,""num"":5,""wgt"":120}]}]}}")</f>
        <v>{"drop":{"typ":"single_all","num":1,"args":[{"typ":"single_all","num":1,"args":[{"typ":"rss","id":11141022,"num":40,"wgt":30}]},{"typ":"single_random","num":1,"args":[{"typ":"item","id":11111017,"num":10,"wgt":270},{"typ":"item","id":11111018,"num":10,"wgt":270},{"typ":"item","id":11111013,"num":10,"wgt":120},{"typ":"item","id":11111101,"num":10,"wgt":220},{"typ":"item","id":11111102,"num":5,"wgt":120}]}]}}</v>
      </c>
      <c r="T1531" s="148">
        <f>IFERROR(__xludf.DUMMYFUNCTION("""COMPUTED_VALUE"""),-1.0)</f>
        <v>-1</v>
      </c>
      <c r="U1531" s="148">
        <f>IFERROR(__xludf.DUMMYFUNCTION("""COMPUTED_VALUE"""),0.0)</f>
        <v>0</v>
      </c>
      <c r="V1531" s="148" t="str">
        <f>IFERROR(__xludf.DUMMYFUNCTION("""COMPUTED_VALUE"""),"[]")</f>
        <v>[]</v>
      </c>
      <c r="W1531" s="148">
        <f>IFERROR(__xludf.DUMMYFUNCTION("""COMPUTED_VALUE"""),1.174E7)</f>
        <v>11740000</v>
      </c>
      <c r="X1531" s="148">
        <f>IFERROR(__xludf.DUMMYFUNCTION("""COMPUTED_VALUE"""),0.0)</f>
        <v>0</v>
      </c>
      <c r="Y1531" s="148">
        <f>IFERROR(__xludf.DUMMYFUNCTION("""COMPUTED_VALUE"""),0.0)</f>
        <v>0</v>
      </c>
      <c r="Z1531" s="148"/>
    </row>
    <row r="1532">
      <c r="A1532" s="148">
        <f>IFERROR(__xludf.DUMMYFUNCTION("""COMPUTED_VALUE"""),1.1117173E7)</f>
        <v>11117173</v>
      </c>
      <c r="B1532" s="148" t="str">
        <f>IFERROR(__xludf.DUMMYFUNCTION("""COMPUTED_VALUE"""),"回归首次加入宝箱_蓝")</f>
        <v>回归首次加入宝箱_蓝</v>
      </c>
      <c r="C1532" s="148"/>
      <c r="D1532" s="148" t="str">
        <f>IFERROR(__xludf.DUMMYFUNCTION("""COMPUTED_VALUE"""),"item_union_gift_box")</f>
        <v>item_union_gift_box</v>
      </c>
      <c r="E1532" s="148">
        <f>IFERROR(__xludf.DUMMYFUNCTION("""COMPUTED_VALUE"""),16.0)</f>
        <v>16</v>
      </c>
      <c r="F1532" s="148">
        <f>IFERROR(__xludf.DUMMYFUNCTION("""COMPUTED_VALUE"""),0.0)</f>
        <v>0</v>
      </c>
      <c r="G1532" s="148">
        <f>IFERROR(__xludf.DUMMYFUNCTION("""COMPUTED_VALUE"""),1.5110349E7)</f>
        <v>15110349</v>
      </c>
      <c r="H1532" s="148">
        <f>IFERROR(__xludf.DUMMYFUNCTION("""COMPUTED_VALUE"""),1.5112562E7)</f>
        <v>15112562</v>
      </c>
      <c r="I1532" s="148" t="str">
        <f>IFERROR(__xludf.DUMMYFUNCTION("""COMPUTED_VALUE"""),"{}")</f>
        <v>{}</v>
      </c>
      <c r="J1532" s="148" t="str">
        <f>IFERROR(__xludf.DUMMYFUNCTION("""COMPUTED_VALUE"""),"{""typ"":""lc"",""txt"":""LC_ITEM_return_alliance_box_join""}")</f>
        <v>{"typ":"lc","txt":"LC_ITEM_return_alliance_box_join"}</v>
      </c>
      <c r="K1532" s="148" t="str">
        <f>IFERROR(__xludf.DUMMYFUNCTION("""COMPUTED_VALUE"""),"{""typ"":""lc"",""txt"":""LC_ITEM_return_alliance_box_desc""}")</f>
        <v>{"typ":"lc","txt":"LC_ITEM_return_alliance_box_desc"}</v>
      </c>
      <c r="L1532" s="148" t="str">
        <f>IFERROR(__xludf.DUMMYFUNCTION("""COMPUTED_VALUE"""),"{}")</f>
        <v>{}</v>
      </c>
      <c r="M1532" s="148">
        <f>IFERROR(__xludf.DUMMYFUNCTION("""COMPUTED_VALUE"""),66.0)</f>
        <v>66</v>
      </c>
      <c r="N1532" s="148">
        <f>IFERROR(__xludf.DUMMYFUNCTION("""COMPUTED_VALUE"""),999999.0)</f>
        <v>999999</v>
      </c>
      <c r="O1532" s="148">
        <f>IFERROR(__xludf.DUMMYFUNCTION("""COMPUTED_VALUE"""),99999.0)</f>
        <v>99999</v>
      </c>
      <c r="P1532" s="148">
        <f>IFERROR(__xludf.DUMMYFUNCTION("""COMPUTED_VALUE"""),1.0)</f>
        <v>1</v>
      </c>
      <c r="Q1532" s="148" t="str">
        <f>IFERROR(__xludf.DUMMYFUNCTION("""COMPUTED_VALUE"""),"[]")</f>
        <v>[]</v>
      </c>
      <c r="R1532" s="148" t="str">
        <f>IFERROR(__xludf.DUMMYFUNCTION("""COMPUTED_VALUE"""),"[]")</f>
        <v>[]</v>
      </c>
      <c r="S1532" s="148" t="str">
        <f>IFERROR(__xludf.DUMMYFUNCTION("""COMPUTED_VALUE"""),"{""drop"":{""typ"":""single_all"",""num"":1,""args"":[{""typ"":""single_all"",""num"":1,""args"":[{""typ"":""rss"",""id"":11141022,""num"":40,""wgt"":30}]},{""typ"":""single_random"",""num"":1,""args"":[{""typ"":""item"",""id"":11111017,""num"":15,""wgt"""&amp;":250},{""typ"":""item"",""id"":11111018,""num"":15,""wgt"":250},{""typ"":""item"",""id"":11111013,""num"":15,""wgt"":140},{""typ"":""item"",""id"":11111101,""num"":15,""wgt"":220},{""typ"":""item"",""id"":11111105,""num"":1,""wgt"":140}]}]}}")</f>
        <v>{"drop":{"typ":"single_all","num":1,"args":[{"typ":"single_all","num":1,"args":[{"typ":"rss","id":11141022,"num":40,"wgt":30}]},{"typ":"single_random","num":1,"args":[{"typ":"item","id":11111017,"num":15,"wgt":250},{"typ":"item","id":11111018,"num":15,"wgt":250},{"typ":"item","id":11111013,"num":15,"wgt":140},{"typ":"item","id":11111101,"num":15,"wgt":220},{"typ":"item","id":11111105,"num":1,"wgt":140}]}]}}</v>
      </c>
      <c r="T1532" s="148">
        <f>IFERROR(__xludf.DUMMYFUNCTION("""COMPUTED_VALUE"""),-1.0)</f>
        <v>-1</v>
      </c>
      <c r="U1532" s="148">
        <f>IFERROR(__xludf.DUMMYFUNCTION("""COMPUTED_VALUE"""),0.0)</f>
        <v>0</v>
      </c>
      <c r="V1532" s="148" t="str">
        <f>IFERROR(__xludf.DUMMYFUNCTION("""COMPUTED_VALUE"""),"[]")</f>
        <v>[]</v>
      </c>
      <c r="W1532" s="148">
        <f>IFERROR(__xludf.DUMMYFUNCTION("""COMPUTED_VALUE"""),1.174E7)</f>
        <v>11740000</v>
      </c>
      <c r="X1532" s="148">
        <f>IFERROR(__xludf.DUMMYFUNCTION("""COMPUTED_VALUE"""),0.0)</f>
        <v>0</v>
      </c>
      <c r="Y1532" s="148">
        <f>IFERROR(__xludf.DUMMYFUNCTION("""COMPUTED_VALUE"""),0.0)</f>
        <v>0</v>
      </c>
      <c r="Z1532" s="148"/>
    </row>
    <row r="1533">
      <c r="A1533" s="148">
        <f>IFERROR(__xludf.DUMMYFUNCTION("""COMPUTED_VALUE"""),1.1117174E7)</f>
        <v>11117174</v>
      </c>
      <c r="B1533" s="148" t="str">
        <f>IFERROR(__xludf.DUMMYFUNCTION("""COMPUTED_VALUE"""),"回归首次加入宝箱_紫")</f>
        <v>回归首次加入宝箱_紫</v>
      </c>
      <c r="C1533" s="148"/>
      <c r="D1533" s="148" t="str">
        <f>IFERROR(__xludf.DUMMYFUNCTION("""COMPUTED_VALUE"""),"item_union_gift_box")</f>
        <v>item_union_gift_box</v>
      </c>
      <c r="E1533" s="148">
        <f>IFERROR(__xludf.DUMMYFUNCTION("""COMPUTED_VALUE"""),16.0)</f>
        <v>16</v>
      </c>
      <c r="F1533" s="148">
        <f>IFERROR(__xludf.DUMMYFUNCTION("""COMPUTED_VALUE"""),0.0)</f>
        <v>0</v>
      </c>
      <c r="G1533" s="148">
        <f>IFERROR(__xludf.DUMMYFUNCTION("""COMPUTED_VALUE"""),1.511035E7)</f>
        <v>15110350</v>
      </c>
      <c r="H1533" s="148">
        <f>IFERROR(__xludf.DUMMYFUNCTION("""COMPUTED_VALUE"""),1.5112563E7)</f>
        <v>15112563</v>
      </c>
      <c r="I1533" s="148" t="str">
        <f>IFERROR(__xludf.DUMMYFUNCTION("""COMPUTED_VALUE"""),"{}")</f>
        <v>{}</v>
      </c>
      <c r="J1533" s="148" t="str">
        <f>IFERROR(__xludf.DUMMYFUNCTION("""COMPUTED_VALUE"""),"{""typ"":""lc"",""txt"":""LC_ITEM_return_alliance_box_join""}")</f>
        <v>{"typ":"lc","txt":"LC_ITEM_return_alliance_box_join"}</v>
      </c>
      <c r="K1533" s="148" t="str">
        <f>IFERROR(__xludf.DUMMYFUNCTION("""COMPUTED_VALUE"""),"{""typ"":""lc"",""txt"":""LC_ITEM_return_alliance_box_desc""}")</f>
        <v>{"typ":"lc","txt":"LC_ITEM_return_alliance_box_desc"}</v>
      </c>
      <c r="L1533" s="148" t="str">
        <f>IFERROR(__xludf.DUMMYFUNCTION("""COMPUTED_VALUE"""),"{}")</f>
        <v>{}</v>
      </c>
      <c r="M1533" s="148">
        <f>IFERROR(__xludf.DUMMYFUNCTION("""COMPUTED_VALUE"""),66.0)</f>
        <v>66</v>
      </c>
      <c r="N1533" s="148">
        <f>IFERROR(__xludf.DUMMYFUNCTION("""COMPUTED_VALUE"""),999999.0)</f>
        <v>999999</v>
      </c>
      <c r="O1533" s="148">
        <f>IFERROR(__xludf.DUMMYFUNCTION("""COMPUTED_VALUE"""),99999.0)</f>
        <v>99999</v>
      </c>
      <c r="P1533" s="148">
        <f>IFERROR(__xludf.DUMMYFUNCTION("""COMPUTED_VALUE"""),1.0)</f>
        <v>1</v>
      </c>
      <c r="Q1533" s="148" t="str">
        <f>IFERROR(__xludf.DUMMYFUNCTION("""COMPUTED_VALUE"""),"[]")</f>
        <v>[]</v>
      </c>
      <c r="R1533" s="148" t="str">
        <f>IFERROR(__xludf.DUMMYFUNCTION("""COMPUTED_VALUE"""),"[]")</f>
        <v>[]</v>
      </c>
      <c r="S1533" s="148" t="str">
        <f>IFERROR(__xludf.DUMMYFUNCTION("""COMPUTED_VALUE"""),"{""drop"":{""typ"":""single_all"",""num"":1,""args"":[{""typ"":""single_all"",""num"":1,""args"":[{""typ"":""rss"",""id"":11141022,""num"":40,""wgt"":30}]},{""typ"":""single_random"",""num"":1,""args"":[{""typ"":""item"",""id"":11111017,""num"":20,""wgt"""&amp;":200},{""typ"":""item"",""id"":11111018,""num"":20,""wgt"":200},{""typ"":""item"",""id"":11111013,""num"":20,""wgt"":160},{""typ"":""item"",""id"":11111101,""num"":20,""wgt"":250},{""typ"":""item"",""id"":11111105,""num"":1,""wgt"":190}]}]}}")</f>
        <v>{"drop":{"typ":"single_all","num":1,"args":[{"typ":"single_all","num":1,"args":[{"typ":"rss","id":11141022,"num":40,"wgt":30}]},{"typ":"single_random","num":1,"args":[{"typ":"item","id":11111017,"num":20,"wgt":200},{"typ":"item","id":11111018,"num":20,"wgt":200},{"typ":"item","id":11111013,"num":20,"wgt":160},{"typ":"item","id":11111101,"num":20,"wgt":250},{"typ":"item","id":11111105,"num":1,"wgt":190}]}]}}</v>
      </c>
      <c r="T1533" s="148">
        <f>IFERROR(__xludf.DUMMYFUNCTION("""COMPUTED_VALUE"""),-1.0)</f>
        <v>-1</v>
      </c>
      <c r="U1533" s="148">
        <f>IFERROR(__xludf.DUMMYFUNCTION("""COMPUTED_VALUE"""),0.0)</f>
        <v>0</v>
      </c>
      <c r="V1533" s="148" t="str">
        <f>IFERROR(__xludf.DUMMYFUNCTION("""COMPUTED_VALUE"""),"[]")</f>
        <v>[]</v>
      </c>
      <c r="W1533" s="148">
        <f>IFERROR(__xludf.DUMMYFUNCTION("""COMPUTED_VALUE"""),1.174E7)</f>
        <v>11740000</v>
      </c>
      <c r="X1533" s="148">
        <f>IFERROR(__xludf.DUMMYFUNCTION("""COMPUTED_VALUE"""),0.0)</f>
        <v>0</v>
      </c>
      <c r="Y1533" s="148">
        <f>IFERROR(__xludf.DUMMYFUNCTION("""COMPUTED_VALUE"""),0.0)</f>
        <v>0</v>
      </c>
      <c r="Z1533" s="148"/>
    </row>
    <row r="1534">
      <c r="A1534" s="148">
        <f>IFERROR(__xludf.DUMMYFUNCTION("""COMPUTED_VALUE"""),1.1117175E7)</f>
        <v>11117175</v>
      </c>
      <c r="B1534" s="148" t="str">
        <f>IFERROR(__xludf.DUMMYFUNCTION("""COMPUTED_VALUE"""),"回归首次加入宝箱_橙")</f>
        <v>回归首次加入宝箱_橙</v>
      </c>
      <c r="C1534" s="148"/>
      <c r="D1534" s="148" t="str">
        <f>IFERROR(__xludf.DUMMYFUNCTION("""COMPUTED_VALUE"""),"item_union_gift_box")</f>
        <v>item_union_gift_box</v>
      </c>
      <c r="E1534" s="148">
        <f>IFERROR(__xludf.DUMMYFUNCTION("""COMPUTED_VALUE"""),16.0)</f>
        <v>16</v>
      </c>
      <c r="F1534" s="148">
        <f>IFERROR(__xludf.DUMMYFUNCTION("""COMPUTED_VALUE"""),0.0)</f>
        <v>0</v>
      </c>
      <c r="G1534" s="148">
        <f>IFERROR(__xludf.DUMMYFUNCTION("""COMPUTED_VALUE"""),1.5110351E7)</f>
        <v>15110351</v>
      </c>
      <c r="H1534" s="148">
        <f>IFERROR(__xludf.DUMMYFUNCTION("""COMPUTED_VALUE"""),1.5112564E7)</f>
        <v>15112564</v>
      </c>
      <c r="I1534" s="148" t="str">
        <f>IFERROR(__xludf.DUMMYFUNCTION("""COMPUTED_VALUE"""),"{}")</f>
        <v>{}</v>
      </c>
      <c r="J1534" s="148" t="str">
        <f>IFERROR(__xludf.DUMMYFUNCTION("""COMPUTED_VALUE"""),"{""typ"":""lc"",""txt"":""LC_ITEM_return_alliance_box_join""}")</f>
        <v>{"typ":"lc","txt":"LC_ITEM_return_alliance_box_join"}</v>
      </c>
      <c r="K1534" s="148" t="str">
        <f>IFERROR(__xludf.DUMMYFUNCTION("""COMPUTED_VALUE"""),"{""typ"":""lc"",""txt"":""LC_ITEM_return_alliance_box_desc""}")</f>
        <v>{"typ":"lc","txt":"LC_ITEM_return_alliance_box_desc"}</v>
      </c>
      <c r="L1534" s="148" t="str">
        <f>IFERROR(__xludf.DUMMYFUNCTION("""COMPUTED_VALUE"""),"{}")</f>
        <v>{}</v>
      </c>
      <c r="M1534" s="148">
        <f>IFERROR(__xludf.DUMMYFUNCTION("""COMPUTED_VALUE"""),66.0)</f>
        <v>66</v>
      </c>
      <c r="N1534" s="148">
        <f>IFERROR(__xludf.DUMMYFUNCTION("""COMPUTED_VALUE"""),999999.0)</f>
        <v>999999</v>
      </c>
      <c r="O1534" s="148">
        <f>IFERROR(__xludf.DUMMYFUNCTION("""COMPUTED_VALUE"""),99999.0)</f>
        <v>99999</v>
      </c>
      <c r="P1534" s="148">
        <f>IFERROR(__xludf.DUMMYFUNCTION("""COMPUTED_VALUE"""),1.0)</f>
        <v>1</v>
      </c>
      <c r="Q1534" s="148" t="str">
        <f>IFERROR(__xludf.DUMMYFUNCTION("""COMPUTED_VALUE"""),"[]")</f>
        <v>[]</v>
      </c>
      <c r="R1534" s="148" t="str">
        <f>IFERROR(__xludf.DUMMYFUNCTION("""COMPUTED_VALUE"""),"[]")</f>
        <v>[]</v>
      </c>
      <c r="S1534" s="148" t="str">
        <f>IFERROR(__xludf.DUMMYFUNCTION("""COMPUTED_VALUE"""),"{""drop"":{""typ"":""single_all"",""num"":1,""args"":[{""typ"":""single_all"",""num"":1,""args"":[{""typ"":""rss"",""id"":11141022,""num"":40,""wgt"":30}]},{""typ"":""single_random"",""num"":1,""args"":[{""typ"":""item"",""id"":11111017,""num"":25,""wgt"""&amp;":200},{""typ"":""item"",""id"":11111018,""num"":25,""wgt"":200},{""typ"":""item"",""id"":11111013,""num"":25,""wgt"":160},{""typ"":""item"",""id"":11111101,""num"":25,""wgt"":230},{""typ"":""item"",""id"":11111105,""num"":1,""wgt"":210}]}]}}")</f>
        <v>{"drop":{"typ":"single_all","num":1,"args":[{"typ":"single_all","num":1,"args":[{"typ":"rss","id":11141022,"num":40,"wgt":30}]},{"typ":"single_random","num":1,"args":[{"typ":"item","id":11111017,"num":25,"wgt":200},{"typ":"item","id":11111018,"num":25,"wgt":200},{"typ":"item","id":11111013,"num":25,"wgt":160},{"typ":"item","id":11111101,"num":25,"wgt":230},{"typ":"item","id":11111105,"num":1,"wgt":210}]}]}}</v>
      </c>
      <c r="T1534" s="148">
        <f>IFERROR(__xludf.DUMMYFUNCTION("""COMPUTED_VALUE"""),-1.0)</f>
        <v>-1</v>
      </c>
      <c r="U1534" s="148">
        <f>IFERROR(__xludf.DUMMYFUNCTION("""COMPUTED_VALUE"""),0.0)</f>
        <v>0</v>
      </c>
      <c r="V1534" s="148" t="str">
        <f>IFERROR(__xludf.DUMMYFUNCTION("""COMPUTED_VALUE"""),"[]")</f>
        <v>[]</v>
      </c>
      <c r="W1534" s="148">
        <f>IFERROR(__xludf.DUMMYFUNCTION("""COMPUTED_VALUE"""),1.174E7)</f>
        <v>11740000</v>
      </c>
      <c r="X1534" s="148">
        <f>IFERROR(__xludf.DUMMYFUNCTION("""COMPUTED_VALUE"""),0.0)</f>
        <v>0</v>
      </c>
      <c r="Y1534" s="148">
        <f>IFERROR(__xludf.DUMMYFUNCTION("""COMPUTED_VALUE"""),0.0)</f>
        <v>0</v>
      </c>
      <c r="Z1534" s="148"/>
    </row>
    <row r="1535">
      <c r="A1535" s="148">
        <f>IFERROR(__xludf.DUMMYFUNCTION("""COMPUTED_VALUE"""),1.1117176E7)</f>
        <v>11117176</v>
      </c>
      <c r="B1535" s="148" t="str">
        <f>IFERROR(__xludf.DUMMYFUNCTION("""COMPUTED_VALUE"""),"回归初级宝箱_白")</f>
        <v>回归初级宝箱_白</v>
      </c>
      <c r="C1535" s="148"/>
      <c r="D1535" s="148" t="str">
        <f>IFERROR(__xludf.DUMMYFUNCTION("""COMPUTED_VALUE"""),"item_union_gift_box")</f>
        <v>item_union_gift_box</v>
      </c>
      <c r="E1535" s="148">
        <f>IFERROR(__xludf.DUMMYFUNCTION("""COMPUTED_VALUE"""),16.0)</f>
        <v>16</v>
      </c>
      <c r="F1535" s="148">
        <f>IFERROR(__xludf.DUMMYFUNCTION("""COMPUTED_VALUE"""),0.0)</f>
        <v>0</v>
      </c>
      <c r="G1535" s="148">
        <f>IFERROR(__xludf.DUMMYFUNCTION("""COMPUTED_VALUE"""),1.5110347E7)</f>
        <v>15110347</v>
      </c>
      <c r="H1535" s="148">
        <f>IFERROR(__xludf.DUMMYFUNCTION("""COMPUTED_VALUE"""),1.511256E7)</f>
        <v>15112560</v>
      </c>
      <c r="I1535" s="148" t="str">
        <f>IFERROR(__xludf.DUMMYFUNCTION("""COMPUTED_VALUE"""),"{}")</f>
        <v>{}</v>
      </c>
      <c r="J1535" s="148" t="str">
        <f>IFERROR(__xludf.DUMMYFUNCTION("""COMPUTED_VALUE"""),"{""typ"":""lc"",""txt"":""LC_ITEM_return_alliance_box_1""}")</f>
        <v>{"typ":"lc","txt":"LC_ITEM_return_alliance_box_1"}</v>
      </c>
      <c r="K1535" s="148" t="str">
        <f>IFERROR(__xludf.DUMMYFUNCTION("""COMPUTED_VALUE"""),"{""typ"":""lc"",""txt"":""LC_ITEM_return_alliance_box_desc""}")</f>
        <v>{"typ":"lc","txt":"LC_ITEM_return_alliance_box_desc"}</v>
      </c>
      <c r="L1535" s="148" t="str">
        <f>IFERROR(__xludf.DUMMYFUNCTION("""COMPUTED_VALUE"""),"{}")</f>
        <v>{}</v>
      </c>
      <c r="M1535" s="148">
        <f>IFERROR(__xludf.DUMMYFUNCTION("""COMPUTED_VALUE"""),66.0)</f>
        <v>66</v>
      </c>
      <c r="N1535" s="148">
        <f>IFERROR(__xludf.DUMMYFUNCTION("""COMPUTED_VALUE"""),999999.0)</f>
        <v>999999</v>
      </c>
      <c r="O1535" s="148">
        <f>IFERROR(__xludf.DUMMYFUNCTION("""COMPUTED_VALUE"""),99999.0)</f>
        <v>99999</v>
      </c>
      <c r="P1535" s="148">
        <f>IFERROR(__xludf.DUMMYFUNCTION("""COMPUTED_VALUE"""),1.0)</f>
        <v>1</v>
      </c>
      <c r="Q1535" s="148" t="str">
        <f>IFERROR(__xludf.DUMMYFUNCTION("""COMPUTED_VALUE"""),"[]")</f>
        <v>[]</v>
      </c>
      <c r="R1535" s="148" t="str">
        <f>IFERROR(__xludf.DUMMYFUNCTION("""COMPUTED_VALUE"""),"[]")</f>
        <v>[]</v>
      </c>
      <c r="S1535" s="148" t="str">
        <f>IFERROR(__xludf.DUMMYFUNCTION("""COMPUTED_VALUE"""),"{""drop"":{""typ"":""single_all"",""num"":1,""args"":[{""typ"":""single_all"",""num"":1,""args"":[{""typ"":""rss"",""id"":11141022,""num"":40,""wgt"":30}]},{""typ"":""single_random"",""num"":1,""args"":[{""typ"":""item"",""id"":11111017,""num"":2,""wgt"":"&amp;"300},{""typ"":""item"",""id"":11111018,""num"":2,""wgt"":300},{""typ"":""item"",""id"":11111013,""num"":2,""wgt"":100},{""typ"":""item"",""id"":11111101,""num"":2,""wgt"":200},{""typ"":""item"",""id"":11111102,""num"":2,""wgt"":100}]}]}}")</f>
        <v>{"drop":{"typ":"single_all","num":1,"args":[{"typ":"single_all","num":1,"args":[{"typ":"rss","id":11141022,"num":40,"wgt":30}]},{"typ":"single_random","num":1,"args":[{"typ":"item","id":11111017,"num":2,"wgt":300},{"typ":"item","id":11111018,"num":2,"wgt":300},{"typ":"item","id":11111013,"num":2,"wgt":100},{"typ":"item","id":11111101,"num":2,"wgt":200},{"typ":"item","id":11111102,"num":2,"wgt":100}]}]}}</v>
      </c>
      <c r="T1535" s="148">
        <f>IFERROR(__xludf.DUMMYFUNCTION("""COMPUTED_VALUE"""),-1.0)</f>
        <v>-1</v>
      </c>
      <c r="U1535" s="148">
        <f>IFERROR(__xludf.DUMMYFUNCTION("""COMPUTED_VALUE"""),0.0)</f>
        <v>0</v>
      </c>
      <c r="V1535" s="148" t="str">
        <f>IFERROR(__xludf.DUMMYFUNCTION("""COMPUTED_VALUE"""),"[]")</f>
        <v>[]</v>
      </c>
      <c r="W1535" s="148">
        <f>IFERROR(__xludf.DUMMYFUNCTION("""COMPUTED_VALUE"""),1.174E7)</f>
        <v>11740000</v>
      </c>
      <c r="X1535" s="148">
        <f>IFERROR(__xludf.DUMMYFUNCTION("""COMPUTED_VALUE"""),0.0)</f>
        <v>0</v>
      </c>
      <c r="Y1535" s="148">
        <f>IFERROR(__xludf.DUMMYFUNCTION("""COMPUTED_VALUE"""),0.0)</f>
        <v>0</v>
      </c>
      <c r="Z1535" s="148"/>
    </row>
    <row r="1536">
      <c r="A1536" s="148">
        <f>IFERROR(__xludf.DUMMYFUNCTION("""COMPUTED_VALUE"""),1.1117177E7)</f>
        <v>11117177</v>
      </c>
      <c r="B1536" s="148" t="str">
        <f>IFERROR(__xludf.DUMMYFUNCTION("""COMPUTED_VALUE"""),"回归初级宝箱_绿")</f>
        <v>回归初级宝箱_绿</v>
      </c>
      <c r="C1536" s="148"/>
      <c r="D1536" s="148" t="str">
        <f>IFERROR(__xludf.DUMMYFUNCTION("""COMPUTED_VALUE"""),"item_union_gift_box")</f>
        <v>item_union_gift_box</v>
      </c>
      <c r="E1536" s="148">
        <f>IFERROR(__xludf.DUMMYFUNCTION("""COMPUTED_VALUE"""),16.0)</f>
        <v>16</v>
      </c>
      <c r="F1536" s="148">
        <f>IFERROR(__xludf.DUMMYFUNCTION("""COMPUTED_VALUE"""),0.0)</f>
        <v>0</v>
      </c>
      <c r="G1536" s="148">
        <f>IFERROR(__xludf.DUMMYFUNCTION("""COMPUTED_VALUE"""),1.5110348E7)</f>
        <v>15110348</v>
      </c>
      <c r="H1536" s="148">
        <f>IFERROR(__xludf.DUMMYFUNCTION("""COMPUTED_VALUE"""),1.5112561E7)</f>
        <v>15112561</v>
      </c>
      <c r="I1536" s="148" t="str">
        <f>IFERROR(__xludf.DUMMYFUNCTION("""COMPUTED_VALUE"""),"{}")</f>
        <v>{}</v>
      </c>
      <c r="J1536" s="148" t="str">
        <f>IFERROR(__xludf.DUMMYFUNCTION("""COMPUTED_VALUE"""),"{""typ"":""lc"",""txt"":""LC_ITEM_return_alliance_box_1""}")</f>
        <v>{"typ":"lc","txt":"LC_ITEM_return_alliance_box_1"}</v>
      </c>
      <c r="K1536" s="148" t="str">
        <f>IFERROR(__xludf.DUMMYFUNCTION("""COMPUTED_VALUE"""),"{""typ"":""lc"",""txt"":""LC_ITEM_return_alliance_box_desc""}")</f>
        <v>{"typ":"lc","txt":"LC_ITEM_return_alliance_box_desc"}</v>
      </c>
      <c r="L1536" s="148" t="str">
        <f>IFERROR(__xludf.DUMMYFUNCTION("""COMPUTED_VALUE"""),"{}")</f>
        <v>{}</v>
      </c>
      <c r="M1536" s="148">
        <f>IFERROR(__xludf.DUMMYFUNCTION("""COMPUTED_VALUE"""),66.0)</f>
        <v>66</v>
      </c>
      <c r="N1536" s="148">
        <f>IFERROR(__xludf.DUMMYFUNCTION("""COMPUTED_VALUE"""),999999.0)</f>
        <v>999999</v>
      </c>
      <c r="O1536" s="148">
        <f>IFERROR(__xludf.DUMMYFUNCTION("""COMPUTED_VALUE"""),99999.0)</f>
        <v>99999</v>
      </c>
      <c r="P1536" s="148">
        <f>IFERROR(__xludf.DUMMYFUNCTION("""COMPUTED_VALUE"""),1.0)</f>
        <v>1</v>
      </c>
      <c r="Q1536" s="148" t="str">
        <f>IFERROR(__xludf.DUMMYFUNCTION("""COMPUTED_VALUE"""),"[]")</f>
        <v>[]</v>
      </c>
      <c r="R1536" s="148" t="str">
        <f>IFERROR(__xludf.DUMMYFUNCTION("""COMPUTED_VALUE"""),"[]")</f>
        <v>[]</v>
      </c>
      <c r="S1536" s="148" t="str">
        <f>IFERROR(__xludf.DUMMYFUNCTION("""COMPUTED_VALUE"""),"{""drop"":{""typ"":""single_all"",""num"":1,""args"":[{""typ"":""single_all"",""num"":1,""args"":[{""typ"":""rss"",""id"":11141022,""num"":40,""wgt"":30}]},{""typ"":""single_random"",""num"":1,""args"":[{""typ"":""item"",""id"":11111017,""num"":4,""wgt"":"&amp;"270},{""typ"":""item"",""id"":11111018,""num"":4,""wgt"":270},{""typ"":""item"",""id"":11111013,""num"":4,""wgt"":120},{""typ"":""item"",""id"":11111101,""num"":4,""wgt"":220},{""typ"":""item"",""id"":11111102,""num"":2,""wgt"":120}]}]}}")</f>
        <v>{"drop":{"typ":"single_all","num":1,"args":[{"typ":"single_all","num":1,"args":[{"typ":"rss","id":11141022,"num":40,"wgt":30}]},{"typ":"single_random","num":1,"args":[{"typ":"item","id":11111017,"num":4,"wgt":270},{"typ":"item","id":11111018,"num":4,"wgt":270},{"typ":"item","id":11111013,"num":4,"wgt":120},{"typ":"item","id":11111101,"num":4,"wgt":220},{"typ":"item","id":11111102,"num":2,"wgt":120}]}]}}</v>
      </c>
      <c r="T1536" s="148">
        <f>IFERROR(__xludf.DUMMYFUNCTION("""COMPUTED_VALUE"""),-1.0)</f>
        <v>-1</v>
      </c>
      <c r="U1536" s="148">
        <f>IFERROR(__xludf.DUMMYFUNCTION("""COMPUTED_VALUE"""),0.0)</f>
        <v>0</v>
      </c>
      <c r="V1536" s="148" t="str">
        <f>IFERROR(__xludf.DUMMYFUNCTION("""COMPUTED_VALUE"""),"[]")</f>
        <v>[]</v>
      </c>
      <c r="W1536" s="148">
        <f>IFERROR(__xludf.DUMMYFUNCTION("""COMPUTED_VALUE"""),1.174E7)</f>
        <v>11740000</v>
      </c>
      <c r="X1536" s="148">
        <f>IFERROR(__xludf.DUMMYFUNCTION("""COMPUTED_VALUE"""),0.0)</f>
        <v>0</v>
      </c>
      <c r="Y1536" s="148">
        <f>IFERROR(__xludf.DUMMYFUNCTION("""COMPUTED_VALUE"""),0.0)</f>
        <v>0</v>
      </c>
      <c r="Z1536" s="148"/>
    </row>
    <row r="1537">
      <c r="A1537" s="148">
        <f>IFERROR(__xludf.DUMMYFUNCTION("""COMPUTED_VALUE"""),1.1117178E7)</f>
        <v>11117178</v>
      </c>
      <c r="B1537" s="148" t="str">
        <f>IFERROR(__xludf.DUMMYFUNCTION("""COMPUTED_VALUE"""),"回归初级宝箱_蓝")</f>
        <v>回归初级宝箱_蓝</v>
      </c>
      <c r="C1537" s="148"/>
      <c r="D1537" s="148" t="str">
        <f>IFERROR(__xludf.DUMMYFUNCTION("""COMPUTED_VALUE"""),"item_union_gift_box")</f>
        <v>item_union_gift_box</v>
      </c>
      <c r="E1537" s="148">
        <f>IFERROR(__xludf.DUMMYFUNCTION("""COMPUTED_VALUE"""),16.0)</f>
        <v>16</v>
      </c>
      <c r="F1537" s="148">
        <f>IFERROR(__xludf.DUMMYFUNCTION("""COMPUTED_VALUE"""),0.0)</f>
        <v>0</v>
      </c>
      <c r="G1537" s="148">
        <f>IFERROR(__xludf.DUMMYFUNCTION("""COMPUTED_VALUE"""),1.5110349E7)</f>
        <v>15110349</v>
      </c>
      <c r="H1537" s="148">
        <f>IFERROR(__xludf.DUMMYFUNCTION("""COMPUTED_VALUE"""),1.5112562E7)</f>
        <v>15112562</v>
      </c>
      <c r="I1537" s="148" t="str">
        <f>IFERROR(__xludf.DUMMYFUNCTION("""COMPUTED_VALUE"""),"{}")</f>
        <v>{}</v>
      </c>
      <c r="J1537" s="148" t="str">
        <f>IFERROR(__xludf.DUMMYFUNCTION("""COMPUTED_VALUE"""),"{""typ"":""lc"",""txt"":""LC_ITEM_return_alliance_box_1""}")</f>
        <v>{"typ":"lc","txt":"LC_ITEM_return_alliance_box_1"}</v>
      </c>
      <c r="K1537" s="148" t="str">
        <f>IFERROR(__xludf.DUMMYFUNCTION("""COMPUTED_VALUE"""),"{""typ"":""lc"",""txt"":""LC_ITEM_return_alliance_box_desc""}")</f>
        <v>{"typ":"lc","txt":"LC_ITEM_return_alliance_box_desc"}</v>
      </c>
      <c r="L1537" s="148" t="str">
        <f>IFERROR(__xludf.DUMMYFUNCTION("""COMPUTED_VALUE"""),"{}")</f>
        <v>{}</v>
      </c>
      <c r="M1537" s="148">
        <f>IFERROR(__xludf.DUMMYFUNCTION("""COMPUTED_VALUE"""),66.0)</f>
        <v>66</v>
      </c>
      <c r="N1537" s="148">
        <f>IFERROR(__xludf.DUMMYFUNCTION("""COMPUTED_VALUE"""),999999.0)</f>
        <v>999999</v>
      </c>
      <c r="O1537" s="148">
        <f>IFERROR(__xludf.DUMMYFUNCTION("""COMPUTED_VALUE"""),99999.0)</f>
        <v>99999</v>
      </c>
      <c r="P1537" s="148">
        <f>IFERROR(__xludf.DUMMYFUNCTION("""COMPUTED_VALUE"""),1.0)</f>
        <v>1</v>
      </c>
      <c r="Q1537" s="148" t="str">
        <f>IFERROR(__xludf.DUMMYFUNCTION("""COMPUTED_VALUE"""),"[]")</f>
        <v>[]</v>
      </c>
      <c r="R1537" s="148" t="str">
        <f>IFERROR(__xludf.DUMMYFUNCTION("""COMPUTED_VALUE"""),"[]")</f>
        <v>[]</v>
      </c>
      <c r="S1537" s="148" t="str">
        <f>IFERROR(__xludf.DUMMYFUNCTION("""COMPUTED_VALUE"""),"{""drop"":{""typ"":""single_all"",""num"":1,""args"":[{""typ"":""single_all"",""num"":1,""args"":[{""typ"":""rss"",""id"":11141022,""num"":40,""wgt"":30}]},{""typ"":""single_random"",""num"":1,""args"":[{""typ"":""item"",""id"":11111017,""num"":6,""wgt"":"&amp;"250},{""typ"":""item"",""id"":11111018,""num"":6,""wgt"":250},{""typ"":""item"",""id"":11111013,""num"":6,""wgt"":140},{""typ"":""item"",""id"":11111101,""num"":6,""wgt"":220},{""typ"":""item"",""id"":11111105,""num"":1,""wgt"":140}]}]}}")</f>
        <v>{"drop":{"typ":"single_all","num":1,"args":[{"typ":"single_all","num":1,"args":[{"typ":"rss","id":11141022,"num":40,"wgt":30}]},{"typ":"single_random","num":1,"args":[{"typ":"item","id":11111017,"num":6,"wgt":250},{"typ":"item","id":11111018,"num":6,"wgt":250},{"typ":"item","id":11111013,"num":6,"wgt":140},{"typ":"item","id":11111101,"num":6,"wgt":220},{"typ":"item","id":11111105,"num":1,"wgt":140}]}]}}</v>
      </c>
      <c r="T1537" s="148">
        <f>IFERROR(__xludf.DUMMYFUNCTION("""COMPUTED_VALUE"""),-1.0)</f>
        <v>-1</v>
      </c>
      <c r="U1537" s="148">
        <f>IFERROR(__xludf.DUMMYFUNCTION("""COMPUTED_VALUE"""),0.0)</f>
        <v>0</v>
      </c>
      <c r="V1537" s="148" t="str">
        <f>IFERROR(__xludf.DUMMYFUNCTION("""COMPUTED_VALUE"""),"[]")</f>
        <v>[]</v>
      </c>
      <c r="W1537" s="148">
        <f>IFERROR(__xludf.DUMMYFUNCTION("""COMPUTED_VALUE"""),1.174E7)</f>
        <v>11740000</v>
      </c>
      <c r="X1537" s="148">
        <f>IFERROR(__xludf.DUMMYFUNCTION("""COMPUTED_VALUE"""),0.0)</f>
        <v>0</v>
      </c>
      <c r="Y1537" s="148">
        <f>IFERROR(__xludf.DUMMYFUNCTION("""COMPUTED_VALUE"""),0.0)</f>
        <v>0</v>
      </c>
      <c r="Z1537" s="148"/>
    </row>
    <row r="1538">
      <c r="A1538" s="148">
        <f>IFERROR(__xludf.DUMMYFUNCTION("""COMPUTED_VALUE"""),1.1117179E7)</f>
        <v>11117179</v>
      </c>
      <c r="B1538" s="148" t="str">
        <f>IFERROR(__xludf.DUMMYFUNCTION("""COMPUTED_VALUE"""),"回归初级宝箱_紫")</f>
        <v>回归初级宝箱_紫</v>
      </c>
      <c r="C1538" s="148"/>
      <c r="D1538" s="148" t="str">
        <f>IFERROR(__xludf.DUMMYFUNCTION("""COMPUTED_VALUE"""),"item_union_gift_box")</f>
        <v>item_union_gift_box</v>
      </c>
      <c r="E1538" s="148">
        <f>IFERROR(__xludf.DUMMYFUNCTION("""COMPUTED_VALUE"""),16.0)</f>
        <v>16</v>
      </c>
      <c r="F1538" s="148">
        <f>IFERROR(__xludf.DUMMYFUNCTION("""COMPUTED_VALUE"""),0.0)</f>
        <v>0</v>
      </c>
      <c r="G1538" s="148">
        <f>IFERROR(__xludf.DUMMYFUNCTION("""COMPUTED_VALUE"""),1.511035E7)</f>
        <v>15110350</v>
      </c>
      <c r="H1538" s="148">
        <f>IFERROR(__xludf.DUMMYFUNCTION("""COMPUTED_VALUE"""),1.5112563E7)</f>
        <v>15112563</v>
      </c>
      <c r="I1538" s="148" t="str">
        <f>IFERROR(__xludf.DUMMYFUNCTION("""COMPUTED_VALUE"""),"{}")</f>
        <v>{}</v>
      </c>
      <c r="J1538" s="148" t="str">
        <f>IFERROR(__xludf.DUMMYFUNCTION("""COMPUTED_VALUE"""),"{""typ"":""lc"",""txt"":""LC_ITEM_return_alliance_box_1""}")</f>
        <v>{"typ":"lc","txt":"LC_ITEM_return_alliance_box_1"}</v>
      </c>
      <c r="K1538" s="148" t="str">
        <f>IFERROR(__xludf.DUMMYFUNCTION("""COMPUTED_VALUE"""),"{""typ"":""lc"",""txt"":""LC_ITEM_return_alliance_box_desc""}")</f>
        <v>{"typ":"lc","txt":"LC_ITEM_return_alliance_box_desc"}</v>
      </c>
      <c r="L1538" s="148" t="str">
        <f>IFERROR(__xludf.DUMMYFUNCTION("""COMPUTED_VALUE"""),"{}")</f>
        <v>{}</v>
      </c>
      <c r="M1538" s="148">
        <f>IFERROR(__xludf.DUMMYFUNCTION("""COMPUTED_VALUE"""),66.0)</f>
        <v>66</v>
      </c>
      <c r="N1538" s="148">
        <f>IFERROR(__xludf.DUMMYFUNCTION("""COMPUTED_VALUE"""),999999.0)</f>
        <v>999999</v>
      </c>
      <c r="O1538" s="148">
        <f>IFERROR(__xludf.DUMMYFUNCTION("""COMPUTED_VALUE"""),99999.0)</f>
        <v>99999</v>
      </c>
      <c r="P1538" s="148">
        <f>IFERROR(__xludf.DUMMYFUNCTION("""COMPUTED_VALUE"""),1.0)</f>
        <v>1</v>
      </c>
      <c r="Q1538" s="148" t="str">
        <f>IFERROR(__xludf.DUMMYFUNCTION("""COMPUTED_VALUE"""),"[]")</f>
        <v>[]</v>
      </c>
      <c r="R1538" s="148" t="str">
        <f>IFERROR(__xludf.DUMMYFUNCTION("""COMPUTED_VALUE"""),"[]")</f>
        <v>[]</v>
      </c>
      <c r="S1538" s="148" t="str">
        <f>IFERROR(__xludf.DUMMYFUNCTION("""COMPUTED_VALUE"""),"{""drop"":{""typ"":""single_all"",""num"":1,""args"":[{""typ"":""single_all"",""num"":1,""args"":[{""typ"":""rss"",""id"":11141022,""num"":40,""wgt"":30}]},{""typ"":""single_random"",""num"":1,""args"":[{""typ"":""item"",""id"":11111017,""num"":8,""wgt"":"&amp;"200},{""typ"":""item"",""id"":11111018,""num"":8,""wgt"":200},{""typ"":""item"",""id"":11111013,""num"":8,""wgt"":160},{""typ"":""item"",""id"":11111101,""num"":8,""wgt"":250},{""typ"":""item"",""id"":11111105,""num"":1,""wgt"":190}]}]}}")</f>
        <v>{"drop":{"typ":"single_all","num":1,"args":[{"typ":"single_all","num":1,"args":[{"typ":"rss","id":11141022,"num":40,"wgt":30}]},{"typ":"single_random","num":1,"args":[{"typ":"item","id":11111017,"num":8,"wgt":200},{"typ":"item","id":11111018,"num":8,"wgt":200},{"typ":"item","id":11111013,"num":8,"wgt":160},{"typ":"item","id":11111101,"num":8,"wgt":250},{"typ":"item","id":11111105,"num":1,"wgt":190}]}]}}</v>
      </c>
      <c r="T1538" s="148">
        <f>IFERROR(__xludf.DUMMYFUNCTION("""COMPUTED_VALUE"""),-1.0)</f>
        <v>-1</v>
      </c>
      <c r="U1538" s="148">
        <f>IFERROR(__xludf.DUMMYFUNCTION("""COMPUTED_VALUE"""),0.0)</f>
        <v>0</v>
      </c>
      <c r="V1538" s="148" t="str">
        <f>IFERROR(__xludf.DUMMYFUNCTION("""COMPUTED_VALUE"""),"[]")</f>
        <v>[]</v>
      </c>
      <c r="W1538" s="148">
        <f>IFERROR(__xludf.DUMMYFUNCTION("""COMPUTED_VALUE"""),1.174E7)</f>
        <v>11740000</v>
      </c>
      <c r="X1538" s="148">
        <f>IFERROR(__xludf.DUMMYFUNCTION("""COMPUTED_VALUE"""),0.0)</f>
        <v>0</v>
      </c>
      <c r="Y1538" s="148">
        <f>IFERROR(__xludf.DUMMYFUNCTION("""COMPUTED_VALUE"""),0.0)</f>
        <v>0</v>
      </c>
      <c r="Z1538" s="148"/>
    </row>
    <row r="1539">
      <c r="A1539" s="148">
        <f>IFERROR(__xludf.DUMMYFUNCTION("""COMPUTED_VALUE"""),1.111718E7)</f>
        <v>11117180</v>
      </c>
      <c r="B1539" s="148" t="str">
        <f>IFERROR(__xludf.DUMMYFUNCTION("""COMPUTED_VALUE"""),"回归初级宝箱_橙")</f>
        <v>回归初级宝箱_橙</v>
      </c>
      <c r="C1539" s="148"/>
      <c r="D1539" s="148" t="str">
        <f>IFERROR(__xludf.DUMMYFUNCTION("""COMPUTED_VALUE"""),"item_union_gift_box")</f>
        <v>item_union_gift_box</v>
      </c>
      <c r="E1539" s="148">
        <f>IFERROR(__xludf.DUMMYFUNCTION("""COMPUTED_VALUE"""),16.0)</f>
        <v>16</v>
      </c>
      <c r="F1539" s="148">
        <f>IFERROR(__xludf.DUMMYFUNCTION("""COMPUTED_VALUE"""),0.0)</f>
        <v>0</v>
      </c>
      <c r="G1539" s="148">
        <f>IFERROR(__xludf.DUMMYFUNCTION("""COMPUTED_VALUE"""),1.5110351E7)</f>
        <v>15110351</v>
      </c>
      <c r="H1539" s="148">
        <f>IFERROR(__xludf.DUMMYFUNCTION("""COMPUTED_VALUE"""),1.5112564E7)</f>
        <v>15112564</v>
      </c>
      <c r="I1539" s="148" t="str">
        <f>IFERROR(__xludf.DUMMYFUNCTION("""COMPUTED_VALUE"""),"{}")</f>
        <v>{}</v>
      </c>
      <c r="J1539" s="148" t="str">
        <f>IFERROR(__xludf.DUMMYFUNCTION("""COMPUTED_VALUE"""),"{""typ"":""lc"",""txt"":""LC_ITEM_return_alliance_box_1""}")</f>
        <v>{"typ":"lc","txt":"LC_ITEM_return_alliance_box_1"}</v>
      </c>
      <c r="K1539" s="148" t="str">
        <f>IFERROR(__xludf.DUMMYFUNCTION("""COMPUTED_VALUE"""),"{""typ"":""lc"",""txt"":""LC_ITEM_return_alliance_box_desc""}")</f>
        <v>{"typ":"lc","txt":"LC_ITEM_return_alliance_box_desc"}</v>
      </c>
      <c r="L1539" s="148" t="str">
        <f>IFERROR(__xludf.DUMMYFUNCTION("""COMPUTED_VALUE"""),"{}")</f>
        <v>{}</v>
      </c>
      <c r="M1539" s="148">
        <f>IFERROR(__xludf.DUMMYFUNCTION("""COMPUTED_VALUE"""),66.0)</f>
        <v>66</v>
      </c>
      <c r="N1539" s="148">
        <f>IFERROR(__xludf.DUMMYFUNCTION("""COMPUTED_VALUE"""),999999.0)</f>
        <v>999999</v>
      </c>
      <c r="O1539" s="148">
        <f>IFERROR(__xludf.DUMMYFUNCTION("""COMPUTED_VALUE"""),99999.0)</f>
        <v>99999</v>
      </c>
      <c r="P1539" s="148">
        <f>IFERROR(__xludf.DUMMYFUNCTION("""COMPUTED_VALUE"""),1.0)</f>
        <v>1</v>
      </c>
      <c r="Q1539" s="148" t="str">
        <f>IFERROR(__xludf.DUMMYFUNCTION("""COMPUTED_VALUE"""),"[]")</f>
        <v>[]</v>
      </c>
      <c r="R1539" s="148" t="str">
        <f>IFERROR(__xludf.DUMMYFUNCTION("""COMPUTED_VALUE"""),"[]")</f>
        <v>[]</v>
      </c>
      <c r="S1539" s="148" t="str">
        <f>IFERROR(__xludf.DUMMYFUNCTION("""COMPUTED_VALUE"""),"{""drop"":{""typ"":""single_all"",""num"":1,""args"":[{""typ"":""single_all"",""num"":1,""args"":[{""typ"":""rss"",""id"":11141022,""num"":40,""wgt"":30}]},{""typ"":""single_random"",""num"":1,""args"":[{""typ"":""item"",""id"":11111017,""num"":10,""wgt"""&amp;":200},{""typ"":""item"",""id"":11111018,""num"":10,""wgt"":200},{""typ"":""item"",""id"":11111013,""num"":10,""wgt"":160},{""typ"":""item"",""id"":11111101,""num"":10,""wgt"":230},{""typ"":""item"",""id"":11111105,""num"":1,""wgt"":210}]}]}}")</f>
        <v>{"drop":{"typ":"single_all","num":1,"args":[{"typ":"single_all","num":1,"args":[{"typ":"rss","id":11141022,"num":40,"wgt":30}]},{"typ":"single_random","num":1,"args":[{"typ":"item","id":11111017,"num":10,"wgt":200},{"typ":"item","id":11111018,"num":10,"wgt":200},{"typ":"item","id":11111013,"num":10,"wgt":160},{"typ":"item","id":11111101,"num":10,"wgt":230},{"typ":"item","id":11111105,"num":1,"wgt":210}]}]}}</v>
      </c>
      <c r="T1539" s="148">
        <f>IFERROR(__xludf.DUMMYFUNCTION("""COMPUTED_VALUE"""),-1.0)</f>
        <v>-1</v>
      </c>
      <c r="U1539" s="148">
        <f>IFERROR(__xludf.DUMMYFUNCTION("""COMPUTED_VALUE"""),0.0)</f>
        <v>0</v>
      </c>
      <c r="V1539" s="148" t="str">
        <f>IFERROR(__xludf.DUMMYFUNCTION("""COMPUTED_VALUE"""),"[]")</f>
        <v>[]</v>
      </c>
      <c r="W1539" s="148">
        <f>IFERROR(__xludf.DUMMYFUNCTION("""COMPUTED_VALUE"""),1.174E7)</f>
        <v>11740000</v>
      </c>
      <c r="X1539" s="148">
        <f>IFERROR(__xludf.DUMMYFUNCTION("""COMPUTED_VALUE"""),0.0)</f>
        <v>0</v>
      </c>
      <c r="Y1539" s="148">
        <f>IFERROR(__xludf.DUMMYFUNCTION("""COMPUTED_VALUE"""),0.0)</f>
        <v>0</v>
      </c>
      <c r="Z1539" s="148"/>
    </row>
    <row r="1540">
      <c r="A1540" s="148">
        <f>IFERROR(__xludf.DUMMYFUNCTION("""COMPUTED_VALUE"""),1.1117181E7)</f>
        <v>11117181</v>
      </c>
      <c r="B1540" s="148" t="str">
        <f>IFERROR(__xludf.DUMMYFUNCTION("""COMPUTED_VALUE"""),"回归中级宝箱_白")</f>
        <v>回归中级宝箱_白</v>
      </c>
      <c r="C1540" s="148"/>
      <c r="D1540" s="148" t="str">
        <f>IFERROR(__xludf.DUMMYFUNCTION("""COMPUTED_VALUE"""),"item_union_gift_box")</f>
        <v>item_union_gift_box</v>
      </c>
      <c r="E1540" s="148">
        <f>IFERROR(__xludf.DUMMYFUNCTION("""COMPUTED_VALUE"""),16.0)</f>
        <v>16</v>
      </c>
      <c r="F1540" s="148">
        <f>IFERROR(__xludf.DUMMYFUNCTION("""COMPUTED_VALUE"""),0.0)</f>
        <v>0</v>
      </c>
      <c r="G1540" s="148">
        <f>IFERROR(__xludf.DUMMYFUNCTION("""COMPUTED_VALUE"""),1.5110347E7)</f>
        <v>15110347</v>
      </c>
      <c r="H1540" s="148">
        <f>IFERROR(__xludf.DUMMYFUNCTION("""COMPUTED_VALUE"""),1.511256E7)</f>
        <v>15112560</v>
      </c>
      <c r="I1540" s="148" t="str">
        <f>IFERROR(__xludf.DUMMYFUNCTION("""COMPUTED_VALUE"""),"{}")</f>
        <v>{}</v>
      </c>
      <c r="J1540" s="148" t="str">
        <f>IFERROR(__xludf.DUMMYFUNCTION("""COMPUTED_VALUE"""),"{""typ"":""lc"",""txt"":""LC_ITEM_return_alliance_box_2""}")</f>
        <v>{"typ":"lc","txt":"LC_ITEM_return_alliance_box_2"}</v>
      </c>
      <c r="K1540" s="148" t="str">
        <f>IFERROR(__xludf.DUMMYFUNCTION("""COMPUTED_VALUE"""),"{""typ"":""lc"",""txt"":""LC_ITEM_return_alliance_box_desc""}")</f>
        <v>{"typ":"lc","txt":"LC_ITEM_return_alliance_box_desc"}</v>
      </c>
      <c r="L1540" s="148" t="str">
        <f>IFERROR(__xludf.DUMMYFUNCTION("""COMPUTED_VALUE"""),"{}")</f>
        <v>{}</v>
      </c>
      <c r="M1540" s="148">
        <f>IFERROR(__xludf.DUMMYFUNCTION("""COMPUTED_VALUE"""),66.0)</f>
        <v>66</v>
      </c>
      <c r="N1540" s="148">
        <f>IFERROR(__xludf.DUMMYFUNCTION("""COMPUTED_VALUE"""),999999.0)</f>
        <v>999999</v>
      </c>
      <c r="O1540" s="148">
        <f>IFERROR(__xludf.DUMMYFUNCTION("""COMPUTED_VALUE"""),99999.0)</f>
        <v>99999</v>
      </c>
      <c r="P1540" s="148">
        <f>IFERROR(__xludf.DUMMYFUNCTION("""COMPUTED_VALUE"""),1.0)</f>
        <v>1</v>
      </c>
      <c r="Q1540" s="148" t="str">
        <f>IFERROR(__xludf.DUMMYFUNCTION("""COMPUTED_VALUE"""),"[]")</f>
        <v>[]</v>
      </c>
      <c r="R1540" s="148" t="str">
        <f>IFERROR(__xludf.DUMMYFUNCTION("""COMPUTED_VALUE"""),"[]")</f>
        <v>[]</v>
      </c>
      <c r="S1540" s="148" t="str">
        <f>IFERROR(__xludf.DUMMYFUNCTION("""COMPUTED_VALUE"""),"{""drop"":{""typ"":""single_all"",""num"":1,""args"":[{""typ"":""single_all"",""num"":1,""args"":[{""typ"":""rss"",""id"":11141022,""num"":40,""wgt"":30}]},{""typ"":""single_random"",""num"":1,""args"":[{""typ"":""item"",""id"":11111017,""num"":5,""wgt"":"&amp;"300},{""typ"":""item"",""id"":11111018,""num"":5,""wgt"":300},{""typ"":""item"",""id"":11111013,""num"":5,""wgt"":100},{""typ"":""item"",""id"":11111101,""num"":5,""wgt"":200},{""typ"":""item"",""id"":11111102,""num"":5,""wgt"":100}]}]}}")</f>
        <v>{"drop":{"typ":"single_all","num":1,"args":[{"typ":"single_all","num":1,"args":[{"typ":"rss","id":11141022,"num":40,"wgt":30}]},{"typ":"single_random","num":1,"args":[{"typ":"item","id":11111017,"num":5,"wgt":300},{"typ":"item","id":11111018,"num":5,"wgt":300},{"typ":"item","id":11111013,"num":5,"wgt":100},{"typ":"item","id":11111101,"num":5,"wgt":200},{"typ":"item","id":11111102,"num":5,"wgt":100}]}]}}</v>
      </c>
      <c r="T1540" s="148">
        <f>IFERROR(__xludf.DUMMYFUNCTION("""COMPUTED_VALUE"""),-1.0)</f>
        <v>-1</v>
      </c>
      <c r="U1540" s="148">
        <f>IFERROR(__xludf.DUMMYFUNCTION("""COMPUTED_VALUE"""),0.0)</f>
        <v>0</v>
      </c>
      <c r="V1540" s="148" t="str">
        <f>IFERROR(__xludf.DUMMYFUNCTION("""COMPUTED_VALUE"""),"[]")</f>
        <v>[]</v>
      </c>
      <c r="W1540" s="148">
        <f>IFERROR(__xludf.DUMMYFUNCTION("""COMPUTED_VALUE"""),1.174E7)</f>
        <v>11740000</v>
      </c>
      <c r="X1540" s="148">
        <f>IFERROR(__xludf.DUMMYFUNCTION("""COMPUTED_VALUE"""),0.0)</f>
        <v>0</v>
      </c>
      <c r="Y1540" s="148">
        <f>IFERROR(__xludf.DUMMYFUNCTION("""COMPUTED_VALUE"""),0.0)</f>
        <v>0</v>
      </c>
      <c r="Z1540" s="148"/>
    </row>
    <row r="1541">
      <c r="A1541" s="148">
        <f>IFERROR(__xludf.DUMMYFUNCTION("""COMPUTED_VALUE"""),1.1117182E7)</f>
        <v>11117182</v>
      </c>
      <c r="B1541" s="148" t="str">
        <f>IFERROR(__xludf.DUMMYFUNCTION("""COMPUTED_VALUE"""),"回归中级宝箱_绿")</f>
        <v>回归中级宝箱_绿</v>
      </c>
      <c r="C1541" s="148"/>
      <c r="D1541" s="148" t="str">
        <f>IFERROR(__xludf.DUMMYFUNCTION("""COMPUTED_VALUE"""),"item_union_gift_box")</f>
        <v>item_union_gift_box</v>
      </c>
      <c r="E1541" s="148">
        <f>IFERROR(__xludf.DUMMYFUNCTION("""COMPUTED_VALUE"""),16.0)</f>
        <v>16</v>
      </c>
      <c r="F1541" s="148">
        <f>IFERROR(__xludf.DUMMYFUNCTION("""COMPUTED_VALUE"""),0.0)</f>
        <v>0</v>
      </c>
      <c r="G1541" s="148">
        <f>IFERROR(__xludf.DUMMYFUNCTION("""COMPUTED_VALUE"""),1.5110348E7)</f>
        <v>15110348</v>
      </c>
      <c r="H1541" s="148">
        <f>IFERROR(__xludf.DUMMYFUNCTION("""COMPUTED_VALUE"""),1.5112561E7)</f>
        <v>15112561</v>
      </c>
      <c r="I1541" s="148" t="str">
        <f>IFERROR(__xludf.DUMMYFUNCTION("""COMPUTED_VALUE"""),"{}")</f>
        <v>{}</v>
      </c>
      <c r="J1541" s="148" t="str">
        <f>IFERROR(__xludf.DUMMYFUNCTION("""COMPUTED_VALUE"""),"{""typ"":""lc"",""txt"":""LC_ITEM_return_alliance_box_2""}")</f>
        <v>{"typ":"lc","txt":"LC_ITEM_return_alliance_box_2"}</v>
      </c>
      <c r="K1541" s="148" t="str">
        <f>IFERROR(__xludf.DUMMYFUNCTION("""COMPUTED_VALUE"""),"{""typ"":""lc"",""txt"":""LC_ITEM_return_alliance_box_desc""}")</f>
        <v>{"typ":"lc","txt":"LC_ITEM_return_alliance_box_desc"}</v>
      </c>
      <c r="L1541" s="148" t="str">
        <f>IFERROR(__xludf.DUMMYFUNCTION("""COMPUTED_VALUE"""),"{}")</f>
        <v>{}</v>
      </c>
      <c r="M1541" s="148">
        <f>IFERROR(__xludf.DUMMYFUNCTION("""COMPUTED_VALUE"""),66.0)</f>
        <v>66</v>
      </c>
      <c r="N1541" s="148">
        <f>IFERROR(__xludf.DUMMYFUNCTION("""COMPUTED_VALUE"""),999999.0)</f>
        <v>999999</v>
      </c>
      <c r="O1541" s="148">
        <f>IFERROR(__xludf.DUMMYFUNCTION("""COMPUTED_VALUE"""),99999.0)</f>
        <v>99999</v>
      </c>
      <c r="P1541" s="148">
        <f>IFERROR(__xludf.DUMMYFUNCTION("""COMPUTED_VALUE"""),1.0)</f>
        <v>1</v>
      </c>
      <c r="Q1541" s="148" t="str">
        <f>IFERROR(__xludf.DUMMYFUNCTION("""COMPUTED_VALUE"""),"[]")</f>
        <v>[]</v>
      </c>
      <c r="R1541" s="148" t="str">
        <f>IFERROR(__xludf.DUMMYFUNCTION("""COMPUTED_VALUE"""),"[]")</f>
        <v>[]</v>
      </c>
      <c r="S1541" s="148" t="str">
        <f>IFERROR(__xludf.DUMMYFUNCTION("""COMPUTED_VALUE"""),"{""drop"":{""typ"":""single_all"",""num"":1,""args"":[{""typ"":""single_all"",""num"":1,""args"":[{""typ"":""rss"",""id"":11141022,""num"":40,""wgt"":30}]},{""typ"":""single_random"",""num"":1,""args"":[{""typ"":""item"",""id"":11111017,""num"":10,""wgt"""&amp;":270},{""typ"":""item"",""id"":11111018,""num"":10,""wgt"":270},{""typ"":""item"",""id"":11111013,""num"":10,""wgt"":120},{""typ"":""item"",""id"":11111101,""num"":10,""wgt"":220},{""typ"":""item"",""id"":11111102,""num"":5,""wgt"":120}]}]}}")</f>
        <v>{"drop":{"typ":"single_all","num":1,"args":[{"typ":"single_all","num":1,"args":[{"typ":"rss","id":11141022,"num":40,"wgt":30}]},{"typ":"single_random","num":1,"args":[{"typ":"item","id":11111017,"num":10,"wgt":270},{"typ":"item","id":11111018,"num":10,"wgt":270},{"typ":"item","id":11111013,"num":10,"wgt":120},{"typ":"item","id":11111101,"num":10,"wgt":220},{"typ":"item","id":11111102,"num":5,"wgt":120}]}]}}</v>
      </c>
      <c r="T1541" s="148">
        <f>IFERROR(__xludf.DUMMYFUNCTION("""COMPUTED_VALUE"""),-1.0)</f>
        <v>-1</v>
      </c>
      <c r="U1541" s="148">
        <f>IFERROR(__xludf.DUMMYFUNCTION("""COMPUTED_VALUE"""),0.0)</f>
        <v>0</v>
      </c>
      <c r="V1541" s="148" t="str">
        <f>IFERROR(__xludf.DUMMYFUNCTION("""COMPUTED_VALUE"""),"[]")</f>
        <v>[]</v>
      </c>
      <c r="W1541" s="148">
        <f>IFERROR(__xludf.DUMMYFUNCTION("""COMPUTED_VALUE"""),1.174E7)</f>
        <v>11740000</v>
      </c>
      <c r="X1541" s="148">
        <f>IFERROR(__xludf.DUMMYFUNCTION("""COMPUTED_VALUE"""),0.0)</f>
        <v>0</v>
      </c>
      <c r="Y1541" s="148">
        <f>IFERROR(__xludf.DUMMYFUNCTION("""COMPUTED_VALUE"""),0.0)</f>
        <v>0</v>
      </c>
      <c r="Z1541" s="148"/>
    </row>
    <row r="1542">
      <c r="A1542" s="148">
        <f>IFERROR(__xludf.DUMMYFUNCTION("""COMPUTED_VALUE"""),1.1117183E7)</f>
        <v>11117183</v>
      </c>
      <c r="B1542" s="148" t="str">
        <f>IFERROR(__xludf.DUMMYFUNCTION("""COMPUTED_VALUE"""),"回归中级宝箱_蓝")</f>
        <v>回归中级宝箱_蓝</v>
      </c>
      <c r="C1542" s="148"/>
      <c r="D1542" s="148" t="str">
        <f>IFERROR(__xludf.DUMMYFUNCTION("""COMPUTED_VALUE"""),"item_union_gift_box")</f>
        <v>item_union_gift_box</v>
      </c>
      <c r="E1542" s="148">
        <f>IFERROR(__xludf.DUMMYFUNCTION("""COMPUTED_VALUE"""),16.0)</f>
        <v>16</v>
      </c>
      <c r="F1542" s="148">
        <f>IFERROR(__xludf.DUMMYFUNCTION("""COMPUTED_VALUE"""),0.0)</f>
        <v>0</v>
      </c>
      <c r="G1542" s="148">
        <f>IFERROR(__xludf.DUMMYFUNCTION("""COMPUTED_VALUE"""),1.5110349E7)</f>
        <v>15110349</v>
      </c>
      <c r="H1542" s="148">
        <f>IFERROR(__xludf.DUMMYFUNCTION("""COMPUTED_VALUE"""),1.5112562E7)</f>
        <v>15112562</v>
      </c>
      <c r="I1542" s="148" t="str">
        <f>IFERROR(__xludf.DUMMYFUNCTION("""COMPUTED_VALUE"""),"{}")</f>
        <v>{}</v>
      </c>
      <c r="J1542" s="148" t="str">
        <f>IFERROR(__xludf.DUMMYFUNCTION("""COMPUTED_VALUE"""),"{""typ"":""lc"",""txt"":""LC_ITEM_return_alliance_box_2""}")</f>
        <v>{"typ":"lc","txt":"LC_ITEM_return_alliance_box_2"}</v>
      </c>
      <c r="K1542" s="148" t="str">
        <f>IFERROR(__xludf.DUMMYFUNCTION("""COMPUTED_VALUE"""),"{""typ"":""lc"",""txt"":""LC_ITEM_return_alliance_box_desc""}")</f>
        <v>{"typ":"lc","txt":"LC_ITEM_return_alliance_box_desc"}</v>
      </c>
      <c r="L1542" s="148" t="str">
        <f>IFERROR(__xludf.DUMMYFUNCTION("""COMPUTED_VALUE"""),"{}")</f>
        <v>{}</v>
      </c>
      <c r="M1542" s="148">
        <f>IFERROR(__xludf.DUMMYFUNCTION("""COMPUTED_VALUE"""),66.0)</f>
        <v>66</v>
      </c>
      <c r="N1542" s="148">
        <f>IFERROR(__xludf.DUMMYFUNCTION("""COMPUTED_VALUE"""),999999.0)</f>
        <v>999999</v>
      </c>
      <c r="O1542" s="148">
        <f>IFERROR(__xludf.DUMMYFUNCTION("""COMPUTED_VALUE"""),99999.0)</f>
        <v>99999</v>
      </c>
      <c r="P1542" s="148">
        <f>IFERROR(__xludf.DUMMYFUNCTION("""COMPUTED_VALUE"""),1.0)</f>
        <v>1</v>
      </c>
      <c r="Q1542" s="148" t="str">
        <f>IFERROR(__xludf.DUMMYFUNCTION("""COMPUTED_VALUE"""),"[]")</f>
        <v>[]</v>
      </c>
      <c r="R1542" s="148" t="str">
        <f>IFERROR(__xludf.DUMMYFUNCTION("""COMPUTED_VALUE"""),"[]")</f>
        <v>[]</v>
      </c>
      <c r="S1542" s="148" t="str">
        <f>IFERROR(__xludf.DUMMYFUNCTION("""COMPUTED_VALUE"""),"{""drop"":{""typ"":""single_all"",""num"":1,""args"":[{""typ"":""single_all"",""num"":1,""args"":[{""typ"":""rss"",""id"":11141022,""num"":40,""wgt"":30}]},{""typ"":""single_random"",""num"":1,""args"":[{""typ"":""item"",""id"":11111017,""num"":15,""wgt"""&amp;":250},{""typ"":""item"",""id"":11111018,""num"":15,""wgt"":250},{""typ"":""item"",""id"":11111013,""num"":15,""wgt"":140},{""typ"":""item"",""id"":11111101,""num"":15,""wgt"":220},{""typ"":""item"",""id"":11111105,""num"":1,""wgt"":140}]}]}}")</f>
        <v>{"drop":{"typ":"single_all","num":1,"args":[{"typ":"single_all","num":1,"args":[{"typ":"rss","id":11141022,"num":40,"wgt":30}]},{"typ":"single_random","num":1,"args":[{"typ":"item","id":11111017,"num":15,"wgt":250},{"typ":"item","id":11111018,"num":15,"wgt":250},{"typ":"item","id":11111013,"num":15,"wgt":140},{"typ":"item","id":11111101,"num":15,"wgt":220},{"typ":"item","id":11111105,"num":1,"wgt":140}]}]}}</v>
      </c>
      <c r="T1542" s="148">
        <f>IFERROR(__xludf.DUMMYFUNCTION("""COMPUTED_VALUE"""),-1.0)</f>
        <v>-1</v>
      </c>
      <c r="U1542" s="148">
        <f>IFERROR(__xludf.DUMMYFUNCTION("""COMPUTED_VALUE"""),0.0)</f>
        <v>0</v>
      </c>
      <c r="V1542" s="148" t="str">
        <f>IFERROR(__xludf.DUMMYFUNCTION("""COMPUTED_VALUE"""),"[]")</f>
        <v>[]</v>
      </c>
      <c r="W1542" s="148">
        <f>IFERROR(__xludf.DUMMYFUNCTION("""COMPUTED_VALUE"""),1.174E7)</f>
        <v>11740000</v>
      </c>
      <c r="X1542" s="148">
        <f>IFERROR(__xludf.DUMMYFUNCTION("""COMPUTED_VALUE"""),0.0)</f>
        <v>0</v>
      </c>
      <c r="Y1542" s="148">
        <f>IFERROR(__xludf.DUMMYFUNCTION("""COMPUTED_VALUE"""),0.0)</f>
        <v>0</v>
      </c>
      <c r="Z1542" s="148"/>
    </row>
    <row r="1543">
      <c r="A1543" s="148">
        <f>IFERROR(__xludf.DUMMYFUNCTION("""COMPUTED_VALUE"""),1.1117184E7)</f>
        <v>11117184</v>
      </c>
      <c r="B1543" s="148" t="str">
        <f>IFERROR(__xludf.DUMMYFUNCTION("""COMPUTED_VALUE"""),"回归中级宝箱_紫")</f>
        <v>回归中级宝箱_紫</v>
      </c>
      <c r="C1543" s="148"/>
      <c r="D1543" s="148" t="str">
        <f>IFERROR(__xludf.DUMMYFUNCTION("""COMPUTED_VALUE"""),"item_union_gift_box")</f>
        <v>item_union_gift_box</v>
      </c>
      <c r="E1543" s="148">
        <f>IFERROR(__xludf.DUMMYFUNCTION("""COMPUTED_VALUE"""),16.0)</f>
        <v>16</v>
      </c>
      <c r="F1543" s="148">
        <f>IFERROR(__xludf.DUMMYFUNCTION("""COMPUTED_VALUE"""),0.0)</f>
        <v>0</v>
      </c>
      <c r="G1543" s="148">
        <f>IFERROR(__xludf.DUMMYFUNCTION("""COMPUTED_VALUE"""),1.511035E7)</f>
        <v>15110350</v>
      </c>
      <c r="H1543" s="148">
        <f>IFERROR(__xludf.DUMMYFUNCTION("""COMPUTED_VALUE"""),1.5112563E7)</f>
        <v>15112563</v>
      </c>
      <c r="I1543" s="148" t="str">
        <f>IFERROR(__xludf.DUMMYFUNCTION("""COMPUTED_VALUE"""),"{}")</f>
        <v>{}</v>
      </c>
      <c r="J1543" s="148" t="str">
        <f>IFERROR(__xludf.DUMMYFUNCTION("""COMPUTED_VALUE"""),"{""typ"":""lc"",""txt"":""LC_ITEM_return_alliance_box_2""}")</f>
        <v>{"typ":"lc","txt":"LC_ITEM_return_alliance_box_2"}</v>
      </c>
      <c r="K1543" s="148" t="str">
        <f>IFERROR(__xludf.DUMMYFUNCTION("""COMPUTED_VALUE"""),"{""typ"":""lc"",""txt"":""LC_ITEM_return_alliance_box_desc""}")</f>
        <v>{"typ":"lc","txt":"LC_ITEM_return_alliance_box_desc"}</v>
      </c>
      <c r="L1543" s="148" t="str">
        <f>IFERROR(__xludf.DUMMYFUNCTION("""COMPUTED_VALUE"""),"{}")</f>
        <v>{}</v>
      </c>
      <c r="M1543" s="148">
        <f>IFERROR(__xludf.DUMMYFUNCTION("""COMPUTED_VALUE"""),66.0)</f>
        <v>66</v>
      </c>
      <c r="N1543" s="148">
        <f>IFERROR(__xludf.DUMMYFUNCTION("""COMPUTED_VALUE"""),999999.0)</f>
        <v>999999</v>
      </c>
      <c r="O1543" s="148">
        <f>IFERROR(__xludf.DUMMYFUNCTION("""COMPUTED_VALUE"""),99999.0)</f>
        <v>99999</v>
      </c>
      <c r="P1543" s="148">
        <f>IFERROR(__xludf.DUMMYFUNCTION("""COMPUTED_VALUE"""),1.0)</f>
        <v>1</v>
      </c>
      <c r="Q1543" s="148" t="str">
        <f>IFERROR(__xludf.DUMMYFUNCTION("""COMPUTED_VALUE"""),"[]")</f>
        <v>[]</v>
      </c>
      <c r="R1543" s="148" t="str">
        <f>IFERROR(__xludf.DUMMYFUNCTION("""COMPUTED_VALUE"""),"[]")</f>
        <v>[]</v>
      </c>
      <c r="S1543" s="148" t="str">
        <f>IFERROR(__xludf.DUMMYFUNCTION("""COMPUTED_VALUE"""),"{""drop"":{""typ"":""single_all"",""num"":1,""args"":[{""typ"":""single_all"",""num"":1,""args"":[{""typ"":""rss"",""id"":11141022,""num"":40,""wgt"":30}]},{""typ"":""single_random"",""num"":1,""args"":[{""typ"":""item"",""id"":11111017,""num"":20,""wgt"""&amp;":200},{""typ"":""item"",""id"":11111018,""num"":20,""wgt"":200},{""typ"":""item"",""id"":11111013,""num"":20,""wgt"":160},{""typ"":""item"",""id"":11111101,""num"":20,""wgt"":250},{""typ"":""item"",""id"":11111105,""num"":1,""wgt"":190}]}]}}")</f>
        <v>{"drop":{"typ":"single_all","num":1,"args":[{"typ":"single_all","num":1,"args":[{"typ":"rss","id":11141022,"num":40,"wgt":30}]},{"typ":"single_random","num":1,"args":[{"typ":"item","id":11111017,"num":20,"wgt":200},{"typ":"item","id":11111018,"num":20,"wgt":200},{"typ":"item","id":11111013,"num":20,"wgt":160},{"typ":"item","id":11111101,"num":20,"wgt":250},{"typ":"item","id":11111105,"num":1,"wgt":190}]}]}}</v>
      </c>
      <c r="T1543" s="148">
        <f>IFERROR(__xludf.DUMMYFUNCTION("""COMPUTED_VALUE"""),-1.0)</f>
        <v>-1</v>
      </c>
      <c r="U1543" s="148">
        <f>IFERROR(__xludf.DUMMYFUNCTION("""COMPUTED_VALUE"""),0.0)</f>
        <v>0</v>
      </c>
      <c r="V1543" s="148" t="str">
        <f>IFERROR(__xludf.DUMMYFUNCTION("""COMPUTED_VALUE"""),"[]")</f>
        <v>[]</v>
      </c>
      <c r="W1543" s="148">
        <f>IFERROR(__xludf.DUMMYFUNCTION("""COMPUTED_VALUE"""),1.174E7)</f>
        <v>11740000</v>
      </c>
      <c r="X1543" s="148">
        <f>IFERROR(__xludf.DUMMYFUNCTION("""COMPUTED_VALUE"""),0.0)</f>
        <v>0</v>
      </c>
      <c r="Y1543" s="148">
        <f>IFERROR(__xludf.DUMMYFUNCTION("""COMPUTED_VALUE"""),0.0)</f>
        <v>0</v>
      </c>
      <c r="Z1543" s="148"/>
    </row>
    <row r="1544">
      <c r="A1544" s="148">
        <f>IFERROR(__xludf.DUMMYFUNCTION("""COMPUTED_VALUE"""),1.1117185E7)</f>
        <v>11117185</v>
      </c>
      <c r="B1544" s="148" t="str">
        <f>IFERROR(__xludf.DUMMYFUNCTION("""COMPUTED_VALUE"""),"回归中级宝箱_橙")</f>
        <v>回归中级宝箱_橙</v>
      </c>
      <c r="C1544" s="148"/>
      <c r="D1544" s="148" t="str">
        <f>IFERROR(__xludf.DUMMYFUNCTION("""COMPUTED_VALUE"""),"item_union_gift_box")</f>
        <v>item_union_gift_box</v>
      </c>
      <c r="E1544" s="148">
        <f>IFERROR(__xludf.DUMMYFUNCTION("""COMPUTED_VALUE"""),16.0)</f>
        <v>16</v>
      </c>
      <c r="F1544" s="148">
        <f>IFERROR(__xludf.DUMMYFUNCTION("""COMPUTED_VALUE"""),0.0)</f>
        <v>0</v>
      </c>
      <c r="G1544" s="148">
        <f>IFERROR(__xludf.DUMMYFUNCTION("""COMPUTED_VALUE"""),1.5110351E7)</f>
        <v>15110351</v>
      </c>
      <c r="H1544" s="148">
        <f>IFERROR(__xludf.DUMMYFUNCTION("""COMPUTED_VALUE"""),1.5112564E7)</f>
        <v>15112564</v>
      </c>
      <c r="I1544" s="148" t="str">
        <f>IFERROR(__xludf.DUMMYFUNCTION("""COMPUTED_VALUE"""),"{}")</f>
        <v>{}</v>
      </c>
      <c r="J1544" s="148" t="str">
        <f>IFERROR(__xludf.DUMMYFUNCTION("""COMPUTED_VALUE"""),"{""typ"":""lc"",""txt"":""LC_ITEM_return_alliance_box_2""}")</f>
        <v>{"typ":"lc","txt":"LC_ITEM_return_alliance_box_2"}</v>
      </c>
      <c r="K1544" s="148" t="str">
        <f>IFERROR(__xludf.DUMMYFUNCTION("""COMPUTED_VALUE"""),"{""typ"":""lc"",""txt"":""LC_ITEM_return_alliance_box_desc""}")</f>
        <v>{"typ":"lc","txt":"LC_ITEM_return_alliance_box_desc"}</v>
      </c>
      <c r="L1544" s="148" t="str">
        <f>IFERROR(__xludf.DUMMYFUNCTION("""COMPUTED_VALUE"""),"{}")</f>
        <v>{}</v>
      </c>
      <c r="M1544" s="148">
        <f>IFERROR(__xludf.DUMMYFUNCTION("""COMPUTED_VALUE"""),66.0)</f>
        <v>66</v>
      </c>
      <c r="N1544" s="148">
        <f>IFERROR(__xludf.DUMMYFUNCTION("""COMPUTED_VALUE"""),999999.0)</f>
        <v>999999</v>
      </c>
      <c r="O1544" s="148">
        <f>IFERROR(__xludf.DUMMYFUNCTION("""COMPUTED_VALUE"""),99999.0)</f>
        <v>99999</v>
      </c>
      <c r="P1544" s="148">
        <f>IFERROR(__xludf.DUMMYFUNCTION("""COMPUTED_VALUE"""),1.0)</f>
        <v>1</v>
      </c>
      <c r="Q1544" s="148" t="str">
        <f>IFERROR(__xludf.DUMMYFUNCTION("""COMPUTED_VALUE"""),"[]")</f>
        <v>[]</v>
      </c>
      <c r="R1544" s="148" t="str">
        <f>IFERROR(__xludf.DUMMYFUNCTION("""COMPUTED_VALUE"""),"[]")</f>
        <v>[]</v>
      </c>
      <c r="S1544" s="148" t="str">
        <f>IFERROR(__xludf.DUMMYFUNCTION("""COMPUTED_VALUE"""),"{""drop"":{""typ"":""single_all"",""num"":1,""args"":[{""typ"":""single_all"",""num"":1,""args"":[{""typ"":""rss"",""id"":11141022,""num"":40,""wgt"":30}]},{""typ"":""single_random"",""num"":1,""args"":[{""typ"":""item"",""id"":11111017,""num"":25,""wgt"""&amp;":200},{""typ"":""item"",""id"":11111018,""num"":25,""wgt"":200},{""typ"":""item"",""id"":11111013,""num"":25,""wgt"":160},{""typ"":""item"",""id"":11111101,""num"":25,""wgt"":230},{""typ"":""item"",""id"":11111105,""num"":1,""wgt"":210}]}]}}")</f>
        <v>{"drop":{"typ":"single_all","num":1,"args":[{"typ":"single_all","num":1,"args":[{"typ":"rss","id":11141022,"num":40,"wgt":30}]},{"typ":"single_random","num":1,"args":[{"typ":"item","id":11111017,"num":25,"wgt":200},{"typ":"item","id":11111018,"num":25,"wgt":200},{"typ":"item","id":11111013,"num":25,"wgt":160},{"typ":"item","id":11111101,"num":25,"wgt":230},{"typ":"item","id":11111105,"num":1,"wgt":210}]}]}}</v>
      </c>
      <c r="T1544" s="148">
        <f>IFERROR(__xludf.DUMMYFUNCTION("""COMPUTED_VALUE"""),-1.0)</f>
        <v>-1</v>
      </c>
      <c r="U1544" s="148">
        <f>IFERROR(__xludf.DUMMYFUNCTION("""COMPUTED_VALUE"""),0.0)</f>
        <v>0</v>
      </c>
      <c r="V1544" s="148" t="str">
        <f>IFERROR(__xludf.DUMMYFUNCTION("""COMPUTED_VALUE"""),"[]")</f>
        <v>[]</v>
      </c>
      <c r="W1544" s="148">
        <f>IFERROR(__xludf.DUMMYFUNCTION("""COMPUTED_VALUE"""),1.174E7)</f>
        <v>11740000</v>
      </c>
      <c r="X1544" s="148">
        <f>IFERROR(__xludf.DUMMYFUNCTION("""COMPUTED_VALUE"""),0.0)</f>
        <v>0</v>
      </c>
      <c r="Y1544" s="148">
        <f>IFERROR(__xludf.DUMMYFUNCTION("""COMPUTED_VALUE"""),0.0)</f>
        <v>0</v>
      </c>
      <c r="Z1544" s="148"/>
    </row>
    <row r="1545">
      <c r="A1545" s="148">
        <f>IFERROR(__xludf.DUMMYFUNCTION("""COMPUTED_VALUE"""),1.1117186E7)</f>
        <v>11117186</v>
      </c>
      <c r="B1545" s="148" t="str">
        <f>IFERROR(__xludf.DUMMYFUNCTION("""COMPUTED_VALUE"""),"回归高级宝箱_白")</f>
        <v>回归高级宝箱_白</v>
      </c>
      <c r="C1545" s="148"/>
      <c r="D1545" s="148" t="str">
        <f>IFERROR(__xludf.DUMMYFUNCTION("""COMPUTED_VALUE"""),"item_union_gift_box")</f>
        <v>item_union_gift_box</v>
      </c>
      <c r="E1545" s="148">
        <f>IFERROR(__xludf.DUMMYFUNCTION("""COMPUTED_VALUE"""),16.0)</f>
        <v>16</v>
      </c>
      <c r="F1545" s="148">
        <f>IFERROR(__xludf.DUMMYFUNCTION("""COMPUTED_VALUE"""),0.0)</f>
        <v>0</v>
      </c>
      <c r="G1545" s="148">
        <f>IFERROR(__xludf.DUMMYFUNCTION("""COMPUTED_VALUE"""),1.5110347E7)</f>
        <v>15110347</v>
      </c>
      <c r="H1545" s="148">
        <f>IFERROR(__xludf.DUMMYFUNCTION("""COMPUTED_VALUE"""),1.511256E7)</f>
        <v>15112560</v>
      </c>
      <c r="I1545" s="148" t="str">
        <f>IFERROR(__xludf.DUMMYFUNCTION("""COMPUTED_VALUE"""),"{}")</f>
        <v>{}</v>
      </c>
      <c r="J1545" s="148" t="str">
        <f>IFERROR(__xludf.DUMMYFUNCTION("""COMPUTED_VALUE"""),"{""typ"":""lc"",""txt"":""LC_ITEM_return_alliance_box_3""}")</f>
        <v>{"typ":"lc","txt":"LC_ITEM_return_alliance_box_3"}</v>
      </c>
      <c r="K1545" s="148" t="str">
        <f>IFERROR(__xludf.DUMMYFUNCTION("""COMPUTED_VALUE"""),"{""typ"":""lc"",""txt"":""LC_ITEM_return_alliance_box_desc""}")</f>
        <v>{"typ":"lc","txt":"LC_ITEM_return_alliance_box_desc"}</v>
      </c>
      <c r="L1545" s="148" t="str">
        <f>IFERROR(__xludf.DUMMYFUNCTION("""COMPUTED_VALUE"""),"{}")</f>
        <v>{}</v>
      </c>
      <c r="M1545" s="148">
        <f>IFERROR(__xludf.DUMMYFUNCTION("""COMPUTED_VALUE"""),66.0)</f>
        <v>66</v>
      </c>
      <c r="N1545" s="148">
        <f>IFERROR(__xludf.DUMMYFUNCTION("""COMPUTED_VALUE"""),999999.0)</f>
        <v>999999</v>
      </c>
      <c r="O1545" s="148">
        <f>IFERROR(__xludf.DUMMYFUNCTION("""COMPUTED_VALUE"""),99999.0)</f>
        <v>99999</v>
      </c>
      <c r="P1545" s="148">
        <f>IFERROR(__xludf.DUMMYFUNCTION("""COMPUTED_VALUE"""),1.0)</f>
        <v>1</v>
      </c>
      <c r="Q1545" s="148" t="str">
        <f>IFERROR(__xludf.DUMMYFUNCTION("""COMPUTED_VALUE"""),"[]")</f>
        <v>[]</v>
      </c>
      <c r="R1545" s="148" t="str">
        <f>IFERROR(__xludf.DUMMYFUNCTION("""COMPUTED_VALUE"""),"[]")</f>
        <v>[]</v>
      </c>
      <c r="S1545" s="148" t="str">
        <f>IFERROR(__xludf.DUMMYFUNCTION("""COMPUTED_VALUE"""),"{""drop"":{""typ"":""single_all"",""num"":1,""args"":[{""typ"":""single_all"",""num"":1,""args"":[{""typ"":""rss"",""id"":11141022,""num"":40,""wgt"":30}]},{""typ"":""single_random"",""num"":1,""args"":[{""typ"":""item"",""id"":11111017,""num"":10,""wgt"""&amp;":300},{""typ"":""item"",""id"":11111018,""num"":10,""wgt"":300},{""typ"":""item"",""id"":11111013,""num"":10,""wgt"":100},{""typ"":""item"",""id"":11111101,""num"":10,""wgt"":200},{""typ"":""item"",""id"":11111102,""num"":10,""wgt"":100}]}]}}")</f>
        <v>{"drop":{"typ":"single_all","num":1,"args":[{"typ":"single_all","num":1,"args":[{"typ":"rss","id":11141022,"num":40,"wgt":30}]},{"typ":"single_random","num":1,"args":[{"typ":"item","id":11111017,"num":10,"wgt":300},{"typ":"item","id":11111018,"num":10,"wgt":300},{"typ":"item","id":11111013,"num":10,"wgt":100},{"typ":"item","id":11111101,"num":10,"wgt":200},{"typ":"item","id":11111102,"num":10,"wgt":100}]}]}}</v>
      </c>
      <c r="T1545" s="148">
        <f>IFERROR(__xludf.DUMMYFUNCTION("""COMPUTED_VALUE"""),-1.0)</f>
        <v>-1</v>
      </c>
      <c r="U1545" s="148">
        <f>IFERROR(__xludf.DUMMYFUNCTION("""COMPUTED_VALUE"""),0.0)</f>
        <v>0</v>
      </c>
      <c r="V1545" s="148" t="str">
        <f>IFERROR(__xludf.DUMMYFUNCTION("""COMPUTED_VALUE"""),"[]")</f>
        <v>[]</v>
      </c>
      <c r="W1545" s="148">
        <f>IFERROR(__xludf.DUMMYFUNCTION("""COMPUTED_VALUE"""),1.174E7)</f>
        <v>11740000</v>
      </c>
      <c r="X1545" s="148">
        <f>IFERROR(__xludf.DUMMYFUNCTION("""COMPUTED_VALUE"""),0.0)</f>
        <v>0</v>
      </c>
      <c r="Y1545" s="148">
        <f>IFERROR(__xludf.DUMMYFUNCTION("""COMPUTED_VALUE"""),0.0)</f>
        <v>0</v>
      </c>
      <c r="Z1545" s="148"/>
    </row>
    <row r="1546">
      <c r="A1546" s="148">
        <f>IFERROR(__xludf.DUMMYFUNCTION("""COMPUTED_VALUE"""),1.1117187E7)</f>
        <v>11117187</v>
      </c>
      <c r="B1546" s="148" t="str">
        <f>IFERROR(__xludf.DUMMYFUNCTION("""COMPUTED_VALUE"""),"回归高级宝箱_绿")</f>
        <v>回归高级宝箱_绿</v>
      </c>
      <c r="C1546" s="148"/>
      <c r="D1546" s="148" t="str">
        <f>IFERROR(__xludf.DUMMYFUNCTION("""COMPUTED_VALUE"""),"item_union_gift_box")</f>
        <v>item_union_gift_box</v>
      </c>
      <c r="E1546" s="148">
        <f>IFERROR(__xludf.DUMMYFUNCTION("""COMPUTED_VALUE"""),16.0)</f>
        <v>16</v>
      </c>
      <c r="F1546" s="148">
        <f>IFERROR(__xludf.DUMMYFUNCTION("""COMPUTED_VALUE"""),0.0)</f>
        <v>0</v>
      </c>
      <c r="G1546" s="148">
        <f>IFERROR(__xludf.DUMMYFUNCTION("""COMPUTED_VALUE"""),1.5110348E7)</f>
        <v>15110348</v>
      </c>
      <c r="H1546" s="148">
        <f>IFERROR(__xludf.DUMMYFUNCTION("""COMPUTED_VALUE"""),1.5112561E7)</f>
        <v>15112561</v>
      </c>
      <c r="I1546" s="148" t="str">
        <f>IFERROR(__xludf.DUMMYFUNCTION("""COMPUTED_VALUE"""),"{}")</f>
        <v>{}</v>
      </c>
      <c r="J1546" s="148" t="str">
        <f>IFERROR(__xludf.DUMMYFUNCTION("""COMPUTED_VALUE"""),"{""typ"":""lc"",""txt"":""LC_ITEM_return_alliance_box_3""}")</f>
        <v>{"typ":"lc","txt":"LC_ITEM_return_alliance_box_3"}</v>
      </c>
      <c r="K1546" s="148" t="str">
        <f>IFERROR(__xludf.DUMMYFUNCTION("""COMPUTED_VALUE"""),"{""typ"":""lc"",""txt"":""LC_ITEM_return_alliance_box_desc""}")</f>
        <v>{"typ":"lc","txt":"LC_ITEM_return_alliance_box_desc"}</v>
      </c>
      <c r="L1546" s="148" t="str">
        <f>IFERROR(__xludf.DUMMYFUNCTION("""COMPUTED_VALUE"""),"{}")</f>
        <v>{}</v>
      </c>
      <c r="M1546" s="148">
        <f>IFERROR(__xludf.DUMMYFUNCTION("""COMPUTED_VALUE"""),66.0)</f>
        <v>66</v>
      </c>
      <c r="N1546" s="148">
        <f>IFERROR(__xludf.DUMMYFUNCTION("""COMPUTED_VALUE"""),999999.0)</f>
        <v>999999</v>
      </c>
      <c r="O1546" s="148">
        <f>IFERROR(__xludf.DUMMYFUNCTION("""COMPUTED_VALUE"""),99999.0)</f>
        <v>99999</v>
      </c>
      <c r="P1546" s="148">
        <f>IFERROR(__xludf.DUMMYFUNCTION("""COMPUTED_VALUE"""),1.0)</f>
        <v>1</v>
      </c>
      <c r="Q1546" s="148" t="str">
        <f>IFERROR(__xludf.DUMMYFUNCTION("""COMPUTED_VALUE"""),"[]")</f>
        <v>[]</v>
      </c>
      <c r="R1546" s="148" t="str">
        <f>IFERROR(__xludf.DUMMYFUNCTION("""COMPUTED_VALUE"""),"[]")</f>
        <v>[]</v>
      </c>
      <c r="S1546" s="148" t="str">
        <f>IFERROR(__xludf.DUMMYFUNCTION("""COMPUTED_VALUE"""),"{""drop"":{""typ"":""single_all"",""num"":1,""args"":[{""typ"":""single_all"",""num"":1,""args"":[{""typ"":""rss"",""id"":11141022,""num"":40,""wgt"":30}]},{""typ"":""single_random"",""num"":1,""args"":[{""typ"":""item"",""id"":11111017,""num"":20,""wgt"""&amp;":270},{""typ"":""item"",""id"":11111018,""num"":20,""wgt"":270},{""typ"":""item"",""id"":11111013,""num"":20,""wgt"":120},{""typ"":""item"",""id"":11111101,""num"":20,""wgt"":220},{""typ"":""item"",""id"":11111102,""num"":10,""wgt"":120}]}]}}")</f>
        <v>{"drop":{"typ":"single_all","num":1,"args":[{"typ":"single_all","num":1,"args":[{"typ":"rss","id":11141022,"num":40,"wgt":30}]},{"typ":"single_random","num":1,"args":[{"typ":"item","id":11111017,"num":20,"wgt":270},{"typ":"item","id":11111018,"num":20,"wgt":270},{"typ":"item","id":11111013,"num":20,"wgt":120},{"typ":"item","id":11111101,"num":20,"wgt":220},{"typ":"item","id":11111102,"num":10,"wgt":120}]}]}}</v>
      </c>
      <c r="T1546" s="148">
        <f>IFERROR(__xludf.DUMMYFUNCTION("""COMPUTED_VALUE"""),-1.0)</f>
        <v>-1</v>
      </c>
      <c r="U1546" s="148">
        <f>IFERROR(__xludf.DUMMYFUNCTION("""COMPUTED_VALUE"""),0.0)</f>
        <v>0</v>
      </c>
      <c r="V1546" s="148" t="str">
        <f>IFERROR(__xludf.DUMMYFUNCTION("""COMPUTED_VALUE"""),"[]")</f>
        <v>[]</v>
      </c>
      <c r="W1546" s="148">
        <f>IFERROR(__xludf.DUMMYFUNCTION("""COMPUTED_VALUE"""),1.174E7)</f>
        <v>11740000</v>
      </c>
      <c r="X1546" s="148">
        <f>IFERROR(__xludf.DUMMYFUNCTION("""COMPUTED_VALUE"""),0.0)</f>
        <v>0</v>
      </c>
      <c r="Y1546" s="148">
        <f>IFERROR(__xludf.DUMMYFUNCTION("""COMPUTED_VALUE"""),0.0)</f>
        <v>0</v>
      </c>
      <c r="Z1546" s="148"/>
    </row>
    <row r="1547">
      <c r="A1547" s="148">
        <f>IFERROR(__xludf.DUMMYFUNCTION("""COMPUTED_VALUE"""),1.1117188E7)</f>
        <v>11117188</v>
      </c>
      <c r="B1547" s="148" t="str">
        <f>IFERROR(__xludf.DUMMYFUNCTION("""COMPUTED_VALUE"""),"回归高级宝箱_蓝")</f>
        <v>回归高级宝箱_蓝</v>
      </c>
      <c r="C1547" s="148"/>
      <c r="D1547" s="148" t="str">
        <f>IFERROR(__xludf.DUMMYFUNCTION("""COMPUTED_VALUE"""),"item_union_gift_box")</f>
        <v>item_union_gift_box</v>
      </c>
      <c r="E1547" s="148">
        <f>IFERROR(__xludf.DUMMYFUNCTION("""COMPUTED_VALUE"""),16.0)</f>
        <v>16</v>
      </c>
      <c r="F1547" s="148">
        <f>IFERROR(__xludf.DUMMYFUNCTION("""COMPUTED_VALUE"""),0.0)</f>
        <v>0</v>
      </c>
      <c r="G1547" s="148">
        <f>IFERROR(__xludf.DUMMYFUNCTION("""COMPUTED_VALUE"""),1.5110349E7)</f>
        <v>15110349</v>
      </c>
      <c r="H1547" s="148">
        <f>IFERROR(__xludf.DUMMYFUNCTION("""COMPUTED_VALUE"""),1.5112562E7)</f>
        <v>15112562</v>
      </c>
      <c r="I1547" s="148" t="str">
        <f>IFERROR(__xludf.DUMMYFUNCTION("""COMPUTED_VALUE"""),"{}")</f>
        <v>{}</v>
      </c>
      <c r="J1547" s="148" t="str">
        <f>IFERROR(__xludf.DUMMYFUNCTION("""COMPUTED_VALUE"""),"{""typ"":""lc"",""txt"":""LC_ITEM_return_alliance_box_3""}")</f>
        <v>{"typ":"lc","txt":"LC_ITEM_return_alliance_box_3"}</v>
      </c>
      <c r="K1547" s="148" t="str">
        <f>IFERROR(__xludf.DUMMYFUNCTION("""COMPUTED_VALUE"""),"{""typ"":""lc"",""txt"":""LC_ITEM_return_alliance_box_desc""}")</f>
        <v>{"typ":"lc","txt":"LC_ITEM_return_alliance_box_desc"}</v>
      </c>
      <c r="L1547" s="148" t="str">
        <f>IFERROR(__xludf.DUMMYFUNCTION("""COMPUTED_VALUE"""),"{}")</f>
        <v>{}</v>
      </c>
      <c r="M1547" s="148">
        <f>IFERROR(__xludf.DUMMYFUNCTION("""COMPUTED_VALUE"""),66.0)</f>
        <v>66</v>
      </c>
      <c r="N1547" s="148">
        <f>IFERROR(__xludf.DUMMYFUNCTION("""COMPUTED_VALUE"""),999999.0)</f>
        <v>999999</v>
      </c>
      <c r="O1547" s="148">
        <f>IFERROR(__xludf.DUMMYFUNCTION("""COMPUTED_VALUE"""),99999.0)</f>
        <v>99999</v>
      </c>
      <c r="P1547" s="148">
        <f>IFERROR(__xludf.DUMMYFUNCTION("""COMPUTED_VALUE"""),1.0)</f>
        <v>1</v>
      </c>
      <c r="Q1547" s="148" t="str">
        <f>IFERROR(__xludf.DUMMYFUNCTION("""COMPUTED_VALUE"""),"[]")</f>
        <v>[]</v>
      </c>
      <c r="R1547" s="148" t="str">
        <f>IFERROR(__xludf.DUMMYFUNCTION("""COMPUTED_VALUE"""),"[]")</f>
        <v>[]</v>
      </c>
      <c r="S1547" s="148" t="str">
        <f>IFERROR(__xludf.DUMMYFUNCTION("""COMPUTED_VALUE"""),"{""drop"":{""typ"":""single_all"",""num"":1,""args"":[{""typ"":""single_all"",""num"":1,""args"":[{""typ"":""rss"",""id"":11141022,""num"":40,""wgt"":30}]},{""typ"":""single_random"",""num"":1,""args"":[{""typ"":""item"",""id"":11111017,""num"":30,""wgt"""&amp;":250},{""typ"":""item"",""id"":11111018,""num"":30,""wgt"":250},{""typ"":""item"",""id"":11111013,""num"":30,""wgt"":140},{""typ"":""item"",""id"":11111101,""num"":30,""wgt"":220},{""typ"":""item"",""id"":11111105,""num"":1,""wgt"":140}]}]}}")</f>
        <v>{"drop":{"typ":"single_all","num":1,"args":[{"typ":"single_all","num":1,"args":[{"typ":"rss","id":11141022,"num":40,"wgt":30}]},{"typ":"single_random","num":1,"args":[{"typ":"item","id":11111017,"num":30,"wgt":250},{"typ":"item","id":11111018,"num":30,"wgt":250},{"typ":"item","id":11111013,"num":30,"wgt":140},{"typ":"item","id":11111101,"num":30,"wgt":220},{"typ":"item","id":11111105,"num":1,"wgt":140}]}]}}</v>
      </c>
      <c r="T1547" s="148">
        <f>IFERROR(__xludf.DUMMYFUNCTION("""COMPUTED_VALUE"""),-1.0)</f>
        <v>-1</v>
      </c>
      <c r="U1547" s="148">
        <f>IFERROR(__xludf.DUMMYFUNCTION("""COMPUTED_VALUE"""),0.0)</f>
        <v>0</v>
      </c>
      <c r="V1547" s="148" t="str">
        <f>IFERROR(__xludf.DUMMYFUNCTION("""COMPUTED_VALUE"""),"[]")</f>
        <v>[]</v>
      </c>
      <c r="W1547" s="148">
        <f>IFERROR(__xludf.DUMMYFUNCTION("""COMPUTED_VALUE"""),1.174E7)</f>
        <v>11740000</v>
      </c>
      <c r="X1547" s="148">
        <f>IFERROR(__xludf.DUMMYFUNCTION("""COMPUTED_VALUE"""),0.0)</f>
        <v>0</v>
      </c>
      <c r="Y1547" s="148">
        <f>IFERROR(__xludf.DUMMYFUNCTION("""COMPUTED_VALUE"""),0.0)</f>
        <v>0</v>
      </c>
      <c r="Z1547" s="148"/>
    </row>
    <row r="1548">
      <c r="A1548" s="148">
        <f>IFERROR(__xludf.DUMMYFUNCTION("""COMPUTED_VALUE"""),1.1117189E7)</f>
        <v>11117189</v>
      </c>
      <c r="B1548" s="148" t="str">
        <f>IFERROR(__xludf.DUMMYFUNCTION("""COMPUTED_VALUE"""),"回归高级宝箱_紫")</f>
        <v>回归高级宝箱_紫</v>
      </c>
      <c r="C1548" s="148"/>
      <c r="D1548" s="148" t="str">
        <f>IFERROR(__xludf.DUMMYFUNCTION("""COMPUTED_VALUE"""),"item_union_gift_box")</f>
        <v>item_union_gift_box</v>
      </c>
      <c r="E1548" s="148">
        <f>IFERROR(__xludf.DUMMYFUNCTION("""COMPUTED_VALUE"""),16.0)</f>
        <v>16</v>
      </c>
      <c r="F1548" s="148">
        <f>IFERROR(__xludf.DUMMYFUNCTION("""COMPUTED_VALUE"""),0.0)</f>
        <v>0</v>
      </c>
      <c r="G1548" s="148">
        <f>IFERROR(__xludf.DUMMYFUNCTION("""COMPUTED_VALUE"""),1.511035E7)</f>
        <v>15110350</v>
      </c>
      <c r="H1548" s="148">
        <f>IFERROR(__xludf.DUMMYFUNCTION("""COMPUTED_VALUE"""),1.5112563E7)</f>
        <v>15112563</v>
      </c>
      <c r="I1548" s="148" t="str">
        <f>IFERROR(__xludf.DUMMYFUNCTION("""COMPUTED_VALUE"""),"{}")</f>
        <v>{}</v>
      </c>
      <c r="J1548" s="148" t="str">
        <f>IFERROR(__xludf.DUMMYFUNCTION("""COMPUTED_VALUE"""),"{""typ"":""lc"",""txt"":""LC_ITEM_return_alliance_box_3""}")</f>
        <v>{"typ":"lc","txt":"LC_ITEM_return_alliance_box_3"}</v>
      </c>
      <c r="K1548" s="148" t="str">
        <f>IFERROR(__xludf.DUMMYFUNCTION("""COMPUTED_VALUE"""),"{""typ"":""lc"",""txt"":""LC_ITEM_return_alliance_box_desc""}")</f>
        <v>{"typ":"lc","txt":"LC_ITEM_return_alliance_box_desc"}</v>
      </c>
      <c r="L1548" s="148" t="str">
        <f>IFERROR(__xludf.DUMMYFUNCTION("""COMPUTED_VALUE"""),"{}")</f>
        <v>{}</v>
      </c>
      <c r="M1548" s="148">
        <f>IFERROR(__xludf.DUMMYFUNCTION("""COMPUTED_VALUE"""),66.0)</f>
        <v>66</v>
      </c>
      <c r="N1548" s="148">
        <f>IFERROR(__xludf.DUMMYFUNCTION("""COMPUTED_VALUE"""),999999.0)</f>
        <v>999999</v>
      </c>
      <c r="O1548" s="148">
        <f>IFERROR(__xludf.DUMMYFUNCTION("""COMPUTED_VALUE"""),99999.0)</f>
        <v>99999</v>
      </c>
      <c r="P1548" s="148">
        <f>IFERROR(__xludf.DUMMYFUNCTION("""COMPUTED_VALUE"""),1.0)</f>
        <v>1</v>
      </c>
      <c r="Q1548" s="148" t="str">
        <f>IFERROR(__xludf.DUMMYFUNCTION("""COMPUTED_VALUE"""),"[]")</f>
        <v>[]</v>
      </c>
      <c r="R1548" s="148" t="str">
        <f>IFERROR(__xludf.DUMMYFUNCTION("""COMPUTED_VALUE"""),"[]")</f>
        <v>[]</v>
      </c>
      <c r="S1548" s="148" t="str">
        <f>IFERROR(__xludf.DUMMYFUNCTION("""COMPUTED_VALUE"""),"{""drop"":{""typ"":""single_all"",""num"":1,""args"":[{""typ"":""single_all"",""num"":1,""args"":[{""typ"":""rss"",""id"":11141022,""num"":40,""wgt"":30}]},{""typ"":""single_random"",""num"":1,""args"":[{""typ"":""item"",""id"":11111017,""num"":40,""wgt"""&amp;":200},{""typ"":""item"",""id"":11111018,""num"":40,""wgt"":200},{""typ"":""item"",""id"":11111013,""num"":40,""wgt"":160},{""typ"":""item"",""id"":11111101,""num"":40,""wgt"":250},{""typ"":""item"",""id"":11111105,""num"":2,""wgt"":190}]}]}}")</f>
        <v>{"drop":{"typ":"single_all","num":1,"args":[{"typ":"single_all","num":1,"args":[{"typ":"rss","id":11141022,"num":40,"wgt":30}]},{"typ":"single_random","num":1,"args":[{"typ":"item","id":11111017,"num":40,"wgt":200},{"typ":"item","id":11111018,"num":40,"wgt":200},{"typ":"item","id":11111013,"num":40,"wgt":160},{"typ":"item","id":11111101,"num":40,"wgt":250},{"typ":"item","id":11111105,"num":2,"wgt":190}]}]}}</v>
      </c>
      <c r="T1548" s="148">
        <f>IFERROR(__xludf.DUMMYFUNCTION("""COMPUTED_VALUE"""),-1.0)</f>
        <v>-1</v>
      </c>
      <c r="U1548" s="148">
        <f>IFERROR(__xludf.DUMMYFUNCTION("""COMPUTED_VALUE"""),0.0)</f>
        <v>0</v>
      </c>
      <c r="V1548" s="148" t="str">
        <f>IFERROR(__xludf.DUMMYFUNCTION("""COMPUTED_VALUE"""),"[]")</f>
        <v>[]</v>
      </c>
      <c r="W1548" s="148">
        <f>IFERROR(__xludf.DUMMYFUNCTION("""COMPUTED_VALUE"""),1.174E7)</f>
        <v>11740000</v>
      </c>
      <c r="X1548" s="148">
        <f>IFERROR(__xludf.DUMMYFUNCTION("""COMPUTED_VALUE"""),0.0)</f>
        <v>0</v>
      </c>
      <c r="Y1548" s="148">
        <f>IFERROR(__xludf.DUMMYFUNCTION("""COMPUTED_VALUE"""),0.0)</f>
        <v>0</v>
      </c>
      <c r="Z1548" s="148"/>
    </row>
    <row r="1549">
      <c r="A1549" s="148">
        <f>IFERROR(__xludf.DUMMYFUNCTION("""COMPUTED_VALUE"""),1.111719E7)</f>
        <v>11117190</v>
      </c>
      <c r="B1549" s="148" t="str">
        <f>IFERROR(__xludf.DUMMYFUNCTION("""COMPUTED_VALUE"""),"回归高级宝箱_橙")</f>
        <v>回归高级宝箱_橙</v>
      </c>
      <c r="C1549" s="148"/>
      <c r="D1549" s="148" t="str">
        <f>IFERROR(__xludf.DUMMYFUNCTION("""COMPUTED_VALUE"""),"item_union_gift_box")</f>
        <v>item_union_gift_box</v>
      </c>
      <c r="E1549" s="148">
        <f>IFERROR(__xludf.DUMMYFUNCTION("""COMPUTED_VALUE"""),16.0)</f>
        <v>16</v>
      </c>
      <c r="F1549" s="148">
        <f>IFERROR(__xludf.DUMMYFUNCTION("""COMPUTED_VALUE"""),0.0)</f>
        <v>0</v>
      </c>
      <c r="G1549" s="148">
        <f>IFERROR(__xludf.DUMMYFUNCTION("""COMPUTED_VALUE"""),1.5110351E7)</f>
        <v>15110351</v>
      </c>
      <c r="H1549" s="148">
        <f>IFERROR(__xludf.DUMMYFUNCTION("""COMPUTED_VALUE"""),1.5112564E7)</f>
        <v>15112564</v>
      </c>
      <c r="I1549" s="148" t="str">
        <f>IFERROR(__xludf.DUMMYFUNCTION("""COMPUTED_VALUE"""),"{}")</f>
        <v>{}</v>
      </c>
      <c r="J1549" s="148" t="str">
        <f>IFERROR(__xludf.DUMMYFUNCTION("""COMPUTED_VALUE"""),"{""typ"":""lc"",""txt"":""LC_ITEM_return_alliance_box_3""}")</f>
        <v>{"typ":"lc","txt":"LC_ITEM_return_alliance_box_3"}</v>
      </c>
      <c r="K1549" s="148" t="str">
        <f>IFERROR(__xludf.DUMMYFUNCTION("""COMPUTED_VALUE"""),"{""typ"":""lc"",""txt"":""LC_ITEM_return_alliance_box_desc""}")</f>
        <v>{"typ":"lc","txt":"LC_ITEM_return_alliance_box_desc"}</v>
      </c>
      <c r="L1549" s="148" t="str">
        <f>IFERROR(__xludf.DUMMYFUNCTION("""COMPUTED_VALUE"""),"{}")</f>
        <v>{}</v>
      </c>
      <c r="M1549" s="148">
        <f>IFERROR(__xludf.DUMMYFUNCTION("""COMPUTED_VALUE"""),66.0)</f>
        <v>66</v>
      </c>
      <c r="N1549" s="148">
        <f>IFERROR(__xludf.DUMMYFUNCTION("""COMPUTED_VALUE"""),999999.0)</f>
        <v>999999</v>
      </c>
      <c r="O1549" s="148">
        <f>IFERROR(__xludf.DUMMYFUNCTION("""COMPUTED_VALUE"""),99999.0)</f>
        <v>99999</v>
      </c>
      <c r="P1549" s="148">
        <f>IFERROR(__xludf.DUMMYFUNCTION("""COMPUTED_VALUE"""),1.0)</f>
        <v>1</v>
      </c>
      <c r="Q1549" s="148" t="str">
        <f>IFERROR(__xludf.DUMMYFUNCTION("""COMPUTED_VALUE"""),"[]")</f>
        <v>[]</v>
      </c>
      <c r="R1549" s="148" t="str">
        <f>IFERROR(__xludf.DUMMYFUNCTION("""COMPUTED_VALUE"""),"[]")</f>
        <v>[]</v>
      </c>
      <c r="S1549" s="148" t="str">
        <f>IFERROR(__xludf.DUMMYFUNCTION("""COMPUTED_VALUE"""),"{""drop"":{""typ"":""single_all"",""num"":1,""args"":[{""typ"":""single_all"",""num"":1,""args"":[{""typ"":""rss"",""id"":11141022,""num"":40,""wgt"":30}]},{""typ"":""single_random"",""num"":1,""args"":[{""typ"":""item"",""id"":11111017,""num"":50,""wgt"""&amp;":200},{""typ"":""item"",""id"":11111018,""num"":50,""wgt"":200},{""typ"":""item"",""id"":11111013,""num"":50,""wgt"":160},{""typ"":""item"",""id"":11111101,""num"":50,""wgt"":230},{""typ"":""item"",""id"":11111105,""num"":2,""wgt"":210}]}]}}")</f>
        <v>{"drop":{"typ":"single_all","num":1,"args":[{"typ":"single_all","num":1,"args":[{"typ":"rss","id":11141022,"num":40,"wgt":30}]},{"typ":"single_random","num":1,"args":[{"typ":"item","id":11111017,"num":50,"wgt":200},{"typ":"item","id":11111018,"num":50,"wgt":200},{"typ":"item","id":11111013,"num":50,"wgt":160},{"typ":"item","id":11111101,"num":50,"wgt":230},{"typ":"item","id":11111105,"num":2,"wgt":210}]}]}}</v>
      </c>
      <c r="T1549" s="148">
        <f>IFERROR(__xludf.DUMMYFUNCTION("""COMPUTED_VALUE"""),-1.0)</f>
        <v>-1</v>
      </c>
      <c r="U1549" s="148">
        <f>IFERROR(__xludf.DUMMYFUNCTION("""COMPUTED_VALUE"""),0.0)</f>
        <v>0</v>
      </c>
      <c r="V1549" s="148" t="str">
        <f>IFERROR(__xludf.DUMMYFUNCTION("""COMPUTED_VALUE"""),"[]")</f>
        <v>[]</v>
      </c>
      <c r="W1549" s="148">
        <f>IFERROR(__xludf.DUMMYFUNCTION("""COMPUTED_VALUE"""),1.174E7)</f>
        <v>11740000</v>
      </c>
      <c r="X1549" s="148">
        <f>IFERROR(__xludf.DUMMYFUNCTION("""COMPUTED_VALUE"""),0.0)</f>
        <v>0</v>
      </c>
      <c r="Y1549" s="148">
        <f>IFERROR(__xludf.DUMMYFUNCTION("""COMPUTED_VALUE"""),0.0)</f>
        <v>0</v>
      </c>
      <c r="Z1549" s="148"/>
    </row>
    <row r="1550">
      <c r="A1550" s="148">
        <f>IFERROR(__xludf.DUMMYFUNCTION("""COMPUTED_VALUE"""),1.1117191E7)</f>
        <v>11117191</v>
      </c>
      <c r="B1550" s="148" t="str">
        <f>IFERROR(__xludf.DUMMYFUNCTION("""COMPUTED_VALUE"""),"活动道具-社区裂变积分香蕉")</f>
        <v>活动道具-社区裂变积分香蕉</v>
      </c>
      <c r="C1550" s="148"/>
      <c r="D1550" s="148" t="str">
        <f>IFERROR(__xludf.DUMMYFUNCTION("""COMPUTED_VALUE"""),"item_asset")</f>
        <v>item_asset</v>
      </c>
      <c r="E1550" s="148">
        <f>IFERROR(__xludf.DUMMYFUNCTION("""COMPUTED_VALUE"""),0.0)</f>
        <v>0</v>
      </c>
      <c r="F1550" s="148">
        <f>IFERROR(__xludf.DUMMYFUNCTION("""COMPUTED_VALUE"""),0.0)</f>
        <v>0</v>
      </c>
      <c r="G1550" s="148">
        <f>IFERROR(__xludf.DUMMYFUNCTION("""COMPUTED_VALUE"""),1.5115017E7)</f>
        <v>15115017</v>
      </c>
      <c r="H1550" s="148">
        <f>IFERROR(__xludf.DUMMYFUNCTION("""COMPUTED_VALUE"""),1.5112562E7)</f>
        <v>15112562</v>
      </c>
      <c r="I1550" s="148" t="str">
        <f>IFERROR(__xludf.DUMMYFUNCTION("""COMPUTED_VALUE"""),"{}")</f>
        <v>{}</v>
      </c>
      <c r="J1550" s="148" t="str">
        <f>IFERROR(__xludf.DUMMYFUNCTION("""COMPUTED_VALUE"""),"{""typ"":""lc"",""txt"":""LC_ITEM_event_invite_progress_banana_name""}")</f>
        <v>{"typ":"lc","txt":"LC_ITEM_event_invite_progress_banana_name"}</v>
      </c>
      <c r="K1550" s="148" t="str">
        <f>IFERROR(__xludf.DUMMYFUNCTION("""COMPUTED_VALUE"""),"{""typ"":""lc"",""txt"":""LC_ITEM_event_invite_progress_banana_name_desc""}")</f>
        <v>{"typ":"lc","txt":"LC_ITEM_event_invite_progress_banana_name_desc"}</v>
      </c>
      <c r="L1550" s="148" t="str">
        <f>IFERROR(__xludf.DUMMYFUNCTION("""COMPUTED_VALUE"""),"{}")</f>
        <v>{}</v>
      </c>
      <c r="M1550" s="148">
        <f>IFERROR(__xludf.DUMMYFUNCTION("""COMPUTED_VALUE"""),133.0)</f>
        <v>133</v>
      </c>
      <c r="N1550" s="148">
        <f>IFERROR(__xludf.DUMMYFUNCTION("""COMPUTED_VALUE"""),999999.0)</f>
        <v>999999</v>
      </c>
      <c r="O1550" s="148">
        <f>IFERROR(__xludf.DUMMYFUNCTION("""COMPUTED_VALUE"""),99999.0)</f>
        <v>99999</v>
      </c>
      <c r="P1550" s="148">
        <f>IFERROR(__xludf.DUMMYFUNCTION("""COMPUTED_VALUE"""),9999.0)</f>
        <v>9999</v>
      </c>
      <c r="Q1550" s="148" t="str">
        <f>IFERROR(__xludf.DUMMYFUNCTION("""COMPUTED_VALUE"""),"[]")</f>
        <v>[]</v>
      </c>
      <c r="R1550" s="148" t="str">
        <f>IFERROR(__xludf.DUMMYFUNCTION("""COMPUTED_VALUE"""),"[]")</f>
        <v>[]</v>
      </c>
      <c r="S1550" s="148" t="str">
        <f>IFERROR(__xludf.DUMMYFUNCTION("""COMPUTED_VALUE"""),"{}")</f>
        <v>{}</v>
      </c>
      <c r="T1550" s="148">
        <f>IFERROR(__xludf.DUMMYFUNCTION("""COMPUTED_VALUE"""),-1.0)</f>
        <v>-1</v>
      </c>
      <c r="U1550" s="148">
        <f>IFERROR(__xludf.DUMMYFUNCTION("""COMPUTED_VALUE"""),1.0)</f>
        <v>1</v>
      </c>
      <c r="V1550" s="148" t="str">
        <f>IFERROR(__xludf.DUMMYFUNCTION("""COMPUTED_VALUE"""),"[]")</f>
        <v>[]</v>
      </c>
      <c r="W1550" s="148">
        <f>IFERROR(__xludf.DUMMYFUNCTION("""COMPUTED_VALUE"""),1.174E7)</f>
        <v>11740000</v>
      </c>
      <c r="X1550" s="148">
        <f>IFERROR(__xludf.DUMMYFUNCTION("""COMPUTED_VALUE"""),0.0)</f>
        <v>0</v>
      </c>
      <c r="Y1550" s="148">
        <f>IFERROR(__xludf.DUMMYFUNCTION("""COMPUTED_VALUE"""),0.0)</f>
        <v>0</v>
      </c>
      <c r="Z1550" s="148"/>
    </row>
    <row r="1551">
      <c r="A1551" s="148">
        <f>IFERROR(__xludf.DUMMYFUNCTION("""COMPUTED_VALUE"""),1.1117192E7)</f>
        <v>11117192</v>
      </c>
      <c r="B1551" s="148" t="str">
        <f>IFERROR(__xludf.DUMMYFUNCTION("""COMPUTED_VALUE"""),"开工日活动-增加进度道具")</f>
        <v>开工日活动-增加进度道具</v>
      </c>
      <c r="C1551" s="148"/>
      <c r="D1551" s="148" t="str">
        <f>IFERROR(__xludf.DUMMYFUNCTION("""COMPUTED_VALUE"""),"event_progress")</f>
        <v>event_progress</v>
      </c>
      <c r="E1551" s="148">
        <f>IFERROR(__xludf.DUMMYFUNCTION("""COMPUTED_VALUE"""),0.0)</f>
        <v>0</v>
      </c>
      <c r="F1551" s="148">
        <f>IFERROR(__xludf.DUMMYFUNCTION("""COMPUTED_VALUE"""),0.0)</f>
        <v>0</v>
      </c>
      <c r="G1551" s="148">
        <f>IFERROR(__xludf.DUMMYFUNCTION("""COMPUTED_VALUE"""),1.5113732E7)</f>
        <v>15113732</v>
      </c>
      <c r="H1551" s="148">
        <f>IFERROR(__xludf.DUMMYFUNCTION("""COMPUTED_VALUE"""),1.5112563E7)</f>
        <v>15112563</v>
      </c>
      <c r="I1551" s="148" t="str">
        <f>IFERROR(__xludf.DUMMYFUNCTION("""COMPUTED_VALUE"""),"{}")</f>
        <v>{}</v>
      </c>
      <c r="J1551" s="148" t="str">
        <f>IFERROR(__xludf.DUMMYFUNCTION("""COMPUTED_VALUE"""),"{}")</f>
        <v>{}</v>
      </c>
      <c r="K1551" s="148" t="str">
        <f>IFERROR(__xludf.DUMMYFUNCTION("""COMPUTED_VALUE"""),"{}")</f>
        <v>{}</v>
      </c>
      <c r="L1551" s="148" t="str">
        <f>IFERROR(__xludf.DUMMYFUNCTION("""COMPUTED_VALUE"""),"{}")</f>
        <v>{}</v>
      </c>
      <c r="M1551" s="148">
        <f>IFERROR(__xludf.DUMMYFUNCTION("""COMPUTED_VALUE"""),1.0)</f>
        <v>1</v>
      </c>
      <c r="N1551" s="148">
        <f>IFERROR(__xludf.DUMMYFUNCTION("""COMPUTED_VALUE"""),999999.0)</f>
        <v>999999</v>
      </c>
      <c r="O1551" s="148">
        <f>IFERROR(__xludf.DUMMYFUNCTION("""COMPUTED_VALUE"""),99999.0)</f>
        <v>99999</v>
      </c>
      <c r="P1551" s="148">
        <f>IFERROR(__xludf.DUMMYFUNCTION("""COMPUTED_VALUE"""),9999.0)</f>
        <v>9999</v>
      </c>
      <c r="Q1551" s="148" t="str">
        <f>IFERROR(__xludf.DUMMYFUNCTION("""COMPUTED_VALUE"""),"[]")</f>
        <v>[]</v>
      </c>
      <c r="R1551" s="148" t="str">
        <f>IFERROR(__xludf.DUMMYFUNCTION("""COMPUTED_VALUE"""),"[]")</f>
        <v>[]</v>
      </c>
      <c r="S1551" s="148" t="str">
        <f>IFERROR(__xludf.DUMMYFUNCTION("""COMPUTED_VALUE"""),"{""effect"":[{""typ"":""event"",""id"":21121339},{""typ"":""miss_lost_reward""},{""typ"":""event"",""id"":21121435},{""typ"":""event"",""id"":21121436},{""typ"":""event"",""id"":21122216},{""typ"":""event"",""id"":21128066}]}")</f>
        <v>{"effect":[{"typ":"event","id":21121339},{"typ":"miss_lost_reward"},{"typ":"event","id":21121435},{"typ":"event","id":21121436},{"typ":"event","id":21122216},{"typ":"event","id":21128066}]}</v>
      </c>
      <c r="T1551" s="148">
        <f>IFERROR(__xludf.DUMMYFUNCTION("""COMPUTED_VALUE"""),-1.0)</f>
        <v>-1</v>
      </c>
      <c r="U1551" s="148">
        <f>IFERROR(__xludf.DUMMYFUNCTION("""COMPUTED_VALUE"""),1.0)</f>
        <v>1</v>
      </c>
      <c r="V1551" s="148" t="str">
        <f>IFERROR(__xludf.DUMMYFUNCTION("""COMPUTED_VALUE"""),"[]")</f>
        <v>[]</v>
      </c>
      <c r="W1551" s="148">
        <f>IFERROR(__xludf.DUMMYFUNCTION("""COMPUTED_VALUE"""),1.174E7)</f>
        <v>11740000</v>
      </c>
      <c r="X1551" s="148">
        <f>IFERROR(__xludf.DUMMYFUNCTION("""COMPUTED_VALUE"""),0.0)</f>
        <v>0</v>
      </c>
      <c r="Y1551" s="148">
        <f>IFERROR(__xludf.DUMMYFUNCTION("""COMPUTED_VALUE"""),0.0)</f>
        <v>0</v>
      </c>
      <c r="Z1551" s="148"/>
    </row>
    <row r="1552">
      <c r="A1552" s="148">
        <f>IFERROR(__xludf.DUMMYFUNCTION("""COMPUTED_VALUE"""),1.1117193E7)</f>
        <v>11117193</v>
      </c>
      <c r="B1552" s="148" t="str">
        <f>IFERROR(__xludf.DUMMYFUNCTION("""COMPUTED_VALUE"""),"开工日活动-折扣券")</f>
        <v>开工日活动-折扣券</v>
      </c>
      <c r="C1552" s="148"/>
      <c r="D1552" s="148" t="str">
        <f>IFERROR(__xludf.DUMMYFUNCTION("""COMPUTED_VALUE"""),"event")</f>
        <v>event</v>
      </c>
      <c r="E1552" s="148">
        <f>IFERROR(__xludf.DUMMYFUNCTION("""COMPUTED_VALUE"""),0.0)</f>
        <v>0</v>
      </c>
      <c r="F1552" s="148">
        <f>IFERROR(__xludf.DUMMYFUNCTION("""COMPUTED_VALUE"""),0.0)</f>
        <v>0</v>
      </c>
      <c r="G1552" s="148">
        <f>IFERROR(__xludf.DUMMYFUNCTION("""COMPUTED_VALUE"""),1.5115042E7)</f>
        <v>15115042</v>
      </c>
      <c r="H1552" s="148">
        <f>IFERROR(__xludf.DUMMYFUNCTION("""COMPUTED_VALUE"""),1.5112563E7)</f>
        <v>15112563</v>
      </c>
      <c r="I1552" s="148" t="str">
        <f>IFERROR(__xludf.DUMMYFUNCTION("""COMPUTED_VALUE"""),"{}")</f>
        <v>{}</v>
      </c>
      <c r="J1552" s="148" t="str">
        <f>IFERROR(__xludf.DUMMYFUNCTION("""COMPUTED_VALUE"""),"{}")</f>
        <v>{}</v>
      </c>
      <c r="K1552" s="148" t="str">
        <f>IFERROR(__xludf.DUMMYFUNCTION("""COMPUTED_VALUE"""),"{}")</f>
        <v>{}</v>
      </c>
      <c r="L1552" s="148" t="str">
        <f>IFERROR(__xludf.DUMMYFUNCTION("""COMPUTED_VALUE"""),"{}")</f>
        <v>{}</v>
      </c>
      <c r="M1552" s="148">
        <f>IFERROR(__xludf.DUMMYFUNCTION("""COMPUTED_VALUE"""),1.0)</f>
        <v>1</v>
      </c>
      <c r="N1552" s="148">
        <f>IFERROR(__xludf.DUMMYFUNCTION("""COMPUTED_VALUE"""),999999.0)</f>
        <v>999999</v>
      </c>
      <c r="O1552" s="148">
        <f>IFERROR(__xludf.DUMMYFUNCTION("""COMPUTED_VALUE"""),99999.0)</f>
        <v>99999</v>
      </c>
      <c r="P1552" s="148">
        <f>IFERROR(__xludf.DUMMYFUNCTION("""COMPUTED_VALUE"""),9999.0)</f>
        <v>9999</v>
      </c>
      <c r="Q1552" s="148" t="str">
        <f>IFERROR(__xludf.DUMMYFUNCTION("""COMPUTED_VALUE"""),"[]")</f>
        <v>[]</v>
      </c>
      <c r="R1552" s="148" t="str">
        <f>IFERROR(__xludf.DUMMYFUNCTION("""COMPUTED_VALUE"""),"[]")</f>
        <v>[]</v>
      </c>
      <c r="S1552" s="148" t="str">
        <f>IFERROR(__xludf.DUMMYFUNCTION("""COMPUTED_VALUE"""),"{}")</f>
        <v>{}</v>
      </c>
      <c r="T1552" s="148">
        <f>IFERROR(__xludf.DUMMYFUNCTION("""COMPUTED_VALUE"""),-1.0)</f>
        <v>-1</v>
      </c>
      <c r="U1552" s="148">
        <f>IFERROR(__xludf.DUMMYFUNCTION("""COMPUTED_VALUE"""),1.0)</f>
        <v>1</v>
      </c>
      <c r="V1552" s="148" t="str">
        <f>IFERROR(__xludf.DUMMYFUNCTION("""COMPUTED_VALUE"""),"[]")</f>
        <v>[]</v>
      </c>
      <c r="W1552" s="148">
        <f>IFERROR(__xludf.DUMMYFUNCTION("""COMPUTED_VALUE"""),1.174E7)</f>
        <v>11740000</v>
      </c>
      <c r="X1552" s="148">
        <f>IFERROR(__xludf.DUMMYFUNCTION("""COMPUTED_VALUE"""),0.0)</f>
        <v>0</v>
      </c>
      <c r="Y1552" s="148">
        <f>IFERROR(__xludf.DUMMYFUNCTION("""COMPUTED_VALUE"""),0.0)</f>
        <v>0</v>
      </c>
      <c r="Z1552" s="148"/>
    </row>
    <row r="1553">
      <c r="A1553" s="148">
        <f>IFERROR(__xludf.DUMMYFUNCTION("""COMPUTED_VALUE"""),1.1117194E7)</f>
        <v>11117194</v>
      </c>
      <c r="B1553" s="148" t="str">
        <f>IFERROR(__xludf.DUMMYFUNCTION("""COMPUTED_VALUE"""),"特战装备图纸箱")</f>
        <v>特战装备图纸箱</v>
      </c>
      <c r="C1553" s="148"/>
      <c r="D1553" s="148" t="str">
        <f>IFERROR(__xludf.DUMMYFUNCTION("""COMPUTED_VALUE"""),"heroarms_box")</f>
        <v>heroarms_box</v>
      </c>
      <c r="E1553" s="148">
        <f>IFERROR(__xludf.DUMMYFUNCTION("""COMPUTED_VALUE"""),0.0)</f>
        <v>0</v>
      </c>
      <c r="F1553" s="148">
        <f>IFERROR(__xludf.DUMMYFUNCTION("""COMPUTED_VALUE"""),403106.0)</f>
        <v>403106</v>
      </c>
      <c r="G1553" s="148">
        <f>IFERROR(__xludf.DUMMYFUNCTION("""COMPUTED_VALUE"""),1.5116855E7)</f>
        <v>15116855</v>
      </c>
      <c r="H1553" s="148">
        <f>IFERROR(__xludf.DUMMYFUNCTION("""COMPUTED_VALUE"""),1.5112563E7)</f>
        <v>15112563</v>
      </c>
      <c r="I1553" s="148" t="str">
        <f>IFERROR(__xludf.DUMMYFUNCTION("""COMPUTED_VALUE"""),"{}")</f>
        <v>{}</v>
      </c>
      <c r="J1553" s="148" t="str">
        <f>IFERROR(__xludf.DUMMYFUNCTION("""COMPUTED_VALUE"""),"{""typ"":""lc"",""txt"":""LC_HERO_equipment_blueprint_box8""}")</f>
        <v>{"typ":"lc","txt":"LC_HERO_equipment_blueprint_box8"}</v>
      </c>
      <c r="K1553" s="148" t="str">
        <f>IFERROR(__xludf.DUMMYFUNCTION("""COMPUTED_VALUE"""),"{""typ"":""lc"",""txt"":""LC_HERO_equipment_blueprint_box_desc8""}")</f>
        <v>{"typ":"lc","txt":"LC_HERO_equipment_blueprint_box_desc8"}</v>
      </c>
      <c r="L1553" s="148" t="str">
        <f>IFERROR(__xludf.DUMMYFUNCTION("""COMPUTED_VALUE"""),"{}")</f>
        <v>{}</v>
      </c>
      <c r="M1553" s="148">
        <f>IFERROR(__xludf.DUMMYFUNCTION("""COMPUTED_VALUE"""),250.0)</f>
        <v>250</v>
      </c>
      <c r="N1553" s="148">
        <f>IFERROR(__xludf.DUMMYFUNCTION("""COMPUTED_VALUE"""),9999999.0)</f>
        <v>9999999</v>
      </c>
      <c r="O1553" s="148">
        <f>IFERROR(__xludf.DUMMYFUNCTION("""COMPUTED_VALUE"""),99999.0)</f>
        <v>99999</v>
      </c>
      <c r="P1553" s="148">
        <f>IFERROR(__xludf.DUMMYFUNCTION("""COMPUTED_VALUE"""),99999.0)</f>
        <v>99999</v>
      </c>
      <c r="Q1553" s="148" t="str">
        <f>IFERROR(__xludf.DUMMYFUNCTION("""COMPUTED_VALUE"""),"[""bag_other""]")</f>
        <v>["bag_other"]</v>
      </c>
      <c r="R1553" s="148" t="str">
        <f>IFERROR(__xludf.DUMMYFUNCTION("""COMPUTED_VALUE"""),"[""bag""]")</f>
        <v>["bag"]</v>
      </c>
      <c r="S1553" s="148" t="str">
        <f>IFERROR(__xludf.DUMMYFUNCTION("""COMPUTED_VALUE"""),"{""drop"":{""typ"":""single_random"",""num"":1,""args"":[{""typ"":""blueprint"",""id"":19343015,""num"":1,""wgt"":100},{""typ"":""blueprint"",""id"":19343016,""num"":1,""wgt"":100},{""typ"":""blueprint"",""id"":19343017,""num"":1,""wgt"":100},{""typ"":""b"&amp;"lueprint"",""id"":19343018,""num"":1,""wgt"":100}]}}")</f>
        <v>{"drop":{"typ":"single_random","num":1,"args":[{"typ":"blueprint","id":19343015,"num":1,"wgt":100},{"typ":"blueprint","id":19343016,"num":1,"wgt":100},{"typ":"blueprint","id":19343017,"num":1,"wgt":100},{"typ":"blueprint","id":19343018,"num":1,"wgt":100}]}}</v>
      </c>
      <c r="T1553" s="148">
        <f>IFERROR(__xludf.DUMMYFUNCTION("""COMPUTED_VALUE"""),-1.0)</f>
        <v>-1</v>
      </c>
      <c r="U1553" s="148">
        <f>IFERROR(__xludf.DUMMYFUNCTION("""COMPUTED_VALUE"""),0.0)</f>
        <v>0</v>
      </c>
      <c r="V1553" s="148" t="str">
        <f>IFERROR(__xludf.DUMMYFUNCTION("""COMPUTED_VALUE"""),"[]")</f>
        <v>[]</v>
      </c>
      <c r="W1553" s="148">
        <f>IFERROR(__xludf.DUMMYFUNCTION("""COMPUTED_VALUE"""),1.1741004E7)</f>
        <v>11741004</v>
      </c>
      <c r="X1553" s="148">
        <f>IFERROR(__xludf.DUMMYFUNCTION("""COMPUTED_VALUE"""),0.0)</f>
        <v>0</v>
      </c>
      <c r="Y1553" s="148">
        <f>IFERROR(__xludf.DUMMYFUNCTION("""COMPUTED_VALUE"""),0.0)</f>
        <v>0</v>
      </c>
      <c r="Z1553" s="148"/>
    </row>
    <row r="1554">
      <c r="A1554" s="148">
        <f>IFERROR(__xludf.DUMMYFUNCTION("""COMPUTED_VALUE"""),1.1117195E7)</f>
        <v>11117195</v>
      </c>
      <c r="B1554" s="148" t="str">
        <f>IFERROR(__xludf.DUMMYFUNCTION("""COMPUTED_VALUE"""),"征服者装备图纸箱")</f>
        <v>征服者装备图纸箱</v>
      </c>
      <c r="C1554" s="148"/>
      <c r="D1554" s="148" t="str">
        <f>IFERROR(__xludf.DUMMYFUNCTION("""COMPUTED_VALUE"""),"heroarms_box")</f>
        <v>heroarms_box</v>
      </c>
      <c r="E1554" s="148">
        <f>IFERROR(__xludf.DUMMYFUNCTION("""COMPUTED_VALUE"""),0.0)</f>
        <v>0</v>
      </c>
      <c r="F1554" s="148">
        <f>IFERROR(__xludf.DUMMYFUNCTION("""COMPUTED_VALUE"""),403106.0)</f>
        <v>403106</v>
      </c>
      <c r="G1554" s="148">
        <f>IFERROR(__xludf.DUMMYFUNCTION("""COMPUTED_VALUE"""),1.5116703E7)</f>
        <v>15116703</v>
      </c>
      <c r="H1554" s="148">
        <f>IFERROR(__xludf.DUMMYFUNCTION("""COMPUTED_VALUE"""),1.5112564E7)</f>
        <v>15112564</v>
      </c>
      <c r="I1554" s="148" t="str">
        <f>IFERROR(__xludf.DUMMYFUNCTION("""COMPUTED_VALUE"""),"{}")</f>
        <v>{}</v>
      </c>
      <c r="J1554" s="148" t="str">
        <f>IFERROR(__xludf.DUMMYFUNCTION("""COMPUTED_VALUE"""),"{""typ"":""lc"",""txt"":""LC_HERO_equipment_blueprint_box6""}")</f>
        <v>{"typ":"lc","txt":"LC_HERO_equipment_blueprint_box6"}</v>
      </c>
      <c r="K1554" s="148" t="str">
        <f>IFERROR(__xludf.DUMMYFUNCTION("""COMPUTED_VALUE"""),"{""typ"":""lc"",""txt"":""LC_HERO_equipment_blueprint_box_desc6""}")</f>
        <v>{"typ":"lc","txt":"LC_HERO_equipment_blueprint_box_desc6"}</v>
      </c>
      <c r="L1554" s="148" t="str">
        <f>IFERROR(__xludf.DUMMYFUNCTION("""COMPUTED_VALUE"""),"{}")</f>
        <v>{}</v>
      </c>
      <c r="M1554" s="148">
        <f>IFERROR(__xludf.DUMMYFUNCTION("""COMPUTED_VALUE"""),500.0)</f>
        <v>500</v>
      </c>
      <c r="N1554" s="148">
        <f>IFERROR(__xludf.DUMMYFUNCTION("""COMPUTED_VALUE"""),9999999.0)</f>
        <v>9999999</v>
      </c>
      <c r="O1554" s="148">
        <f>IFERROR(__xludf.DUMMYFUNCTION("""COMPUTED_VALUE"""),99999.0)</f>
        <v>99999</v>
      </c>
      <c r="P1554" s="148">
        <f>IFERROR(__xludf.DUMMYFUNCTION("""COMPUTED_VALUE"""),99999.0)</f>
        <v>99999</v>
      </c>
      <c r="Q1554" s="148" t="str">
        <f>IFERROR(__xludf.DUMMYFUNCTION("""COMPUTED_VALUE"""),"[""bag_other""]")</f>
        <v>["bag_other"]</v>
      </c>
      <c r="R1554" s="148" t="str">
        <f>IFERROR(__xludf.DUMMYFUNCTION("""COMPUTED_VALUE"""),"[""bag""]")</f>
        <v>["bag"]</v>
      </c>
      <c r="S1554" s="148" t="str">
        <f>IFERROR(__xludf.DUMMYFUNCTION("""COMPUTED_VALUE"""),"{""drop"":{""typ"":""single_random"",""num"":1,""args"":[{""typ"":""blueprint"",""id"":19344005,""num"":1,""wgt"":100},{""typ"":""blueprint"",""id"":19344006,""num"":1,""wgt"":100},{""typ"":""blueprint"",""id"":19344007,""num"":1,""wgt"":100},{""typ"":""b"&amp;"lueprint"",""id"":19344008,""num"":1,""wgt"":100}]}}")</f>
        <v>{"drop":{"typ":"single_random","num":1,"args":[{"typ":"blueprint","id":19344005,"num":1,"wgt":100},{"typ":"blueprint","id":19344006,"num":1,"wgt":100},{"typ":"blueprint","id":19344007,"num":1,"wgt":100},{"typ":"blueprint","id":19344008,"num":1,"wgt":100}]}}</v>
      </c>
      <c r="T1554" s="148">
        <f>IFERROR(__xludf.DUMMYFUNCTION("""COMPUTED_VALUE"""),-1.0)</f>
        <v>-1</v>
      </c>
      <c r="U1554" s="148">
        <f>IFERROR(__xludf.DUMMYFUNCTION("""COMPUTED_VALUE"""),0.0)</f>
        <v>0</v>
      </c>
      <c r="V1554" s="148" t="str">
        <f>IFERROR(__xludf.DUMMYFUNCTION("""COMPUTED_VALUE"""),"[]")</f>
        <v>[]</v>
      </c>
      <c r="W1554" s="148">
        <f>IFERROR(__xludf.DUMMYFUNCTION("""COMPUTED_VALUE"""),1.1741004E7)</f>
        <v>11741004</v>
      </c>
      <c r="X1554" s="148">
        <f>IFERROR(__xludf.DUMMYFUNCTION("""COMPUTED_VALUE"""),0.0)</f>
        <v>0</v>
      </c>
      <c r="Y1554" s="148">
        <f>IFERROR(__xludf.DUMMYFUNCTION("""COMPUTED_VALUE"""),0.0)</f>
        <v>0</v>
      </c>
      <c r="Z1554" s="148"/>
    </row>
    <row r="1555">
      <c r="A1555" s="148">
        <f>IFERROR(__xludf.DUMMYFUNCTION("""COMPUTED_VALUE"""),1.1117196E7)</f>
        <v>11117196</v>
      </c>
      <c r="B1555" s="148" t="str">
        <f>IFERROR(__xludf.DUMMYFUNCTION("""COMPUTED_VALUE"""),"战神装备图纸箱")</f>
        <v>战神装备图纸箱</v>
      </c>
      <c r="C1555" s="148"/>
      <c r="D1555" s="148" t="str">
        <f>IFERROR(__xludf.DUMMYFUNCTION("""COMPUTED_VALUE"""),"heroarms_box")</f>
        <v>heroarms_box</v>
      </c>
      <c r="E1555" s="148">
        <f>IFERROR(__xludf.DUMMYFUNCTION("""COMPUTED_VALUE"""),0.0)</f>
        <v>0</v>
      </c>
      <c r="F1555" s="148">
        <f>IFERROR(__xludf.DUMMYFUNCTION("""COMPUTED_VALUE"""),403106.0)</f>
        <v>403106</v>
      </c>
      <c r="G1555" s="148">
        <f>IFERROR(__xludf.DUMMYFUNCTION("""COMPUTED_VALUE"""),1.5116701E7)</f>
        <v>15116701</v>
      </c>
      <c r="H1555" s="148">
        <f>IFERROR(__xludf.DUMMYFUNCTION("""COMPUTED_VALUE"""),1.5112564E7)</f>
        <v>15112564</v>
      </c>
      <c r="I1555" s="148" t="str">
        <f>IFERROR(__xludf.DUMMYFUNCTION("""COMPUTED_VALUE"""),"{}")</f>
        <v>{}</v>
      </c>
      <c r="J1555" s="148" t="str">
        <f>IFERROR(__xludf.DUMMYFUNCTION("""COMPUTED_VALUE"""),"{""typ"":""lc"",""txt"":""LC_HERO_equipment_blueprint_box7""}")</f>
        <v>{"typ":"lc","txt":"LC_HERO_equipment_blueprint_box7"}</v>
      </c>
      <c r="K1555" s="148" t="str">
        <f>IFERROR(__xludf.DUMMYFUNCTION("""COMPUTED_VALUE"""),"{""typ"":""lc"",""txt"":""LC_HERO_equipment_blueprint_box_desc7""}")</f>
        <v>{"typ":"lc","txt":"LC_HERO_equipment_blueprint_box_desc7"}</v>
      </c>
      <c r="L1555" s="148" t="str">
        <f>IFERROR(__xludf.DUMMYFUNCTION("""COMPUTED_VALUE"""),"{}")</f>
        <v>{}</v>
      </c>
      <c r="M1555" s="148">
        <f>IFERROR(__xludf.DUMMYFUNCTION("""COMPUTED_VALUE"""),500.0)</f>
        <v>500</v>
      </c>
      <c r="N1555" s="148">
        <f>IFERROR(__xludf.DUMMYFUNCTION("""COMPUTED_VALUE"""),9999999.0)</f>
        <v>9999999</v>
      </c>
      <c r="O1555" s="148">
        <f>IFERROR(__xludf.DUMMYFUNCTION("""COMPUTED_VALUE"""),99999.0)</f>
        <v>99999</v>
      </c>
      <c r="P1555" s="148">
        <f>IFERROR(__xludf.DUMMYFUNCTION("""COMPUTED_VALUE"""),99999.0)</f>
        <v>99999</v>
      </c>
      <c r="Q1555" s="148" t="str">
        <f>IFERROR(__xludf.DUMMYFUNCTION("""COMPUTED_VALUE"""),"[""bag_other""]")</f>
        <v>["bag_other"]</v>
      </c>
      <c r="R1555" s="148" t="str">
        <f>IFERROR(__xludf.DUMMYFUNCTION("""COMPUTED_VALUE"""),"[""bag""]")</f>
        <v>["bag"]</v>
      </c>
      <c r="S1555" s="148" t="str">
        <f>IFERROR(__xludf.DUMMYFUNCTION("""COMPUTED_VALUE"""),"{""drop"":{""typ"":""single_random"",""num"":1,""args"":[{""typ"":""blueprint"",""id"":19344009,""num"":1,""wgt"":100},{""typ"":""blueprint"",""id"":19344010,""num"":1,""wgt"":100},{""typ"":""blueprint"",""id"":19344011,""num"":1,""wgt"":100},{""typ"":""b"&amp;"lueprint"",""id"":19344012,""num"":1,""wgt"":100}]}}")</f>
        <v>{"drop":{"typ":"single_random","num":1,"args":[{"typ":"blueprint","id":19344009,"num":1,"wgt":100},{"typ":"blueprint","id":19344010,"num":1,"wgt":100},{"typ":"blueprint","id":19344011,"num":1,"wgt":100},{"typ":"blueprint","id":19344012,"num":1,"wgt":100}]}}</v>
      </c>
      <c r="T1555" s="148">
        <f>IFERROR(__xludf.DUMMYFUNCTION("""COMPUTED_VALUE"""),-1.0)</f>
        <v>-1</v>
      </c>
      <c r="U1555" s="148">
        <f>IFERROR(__xludf.DUMMYFUNCTION("""COMPUTED_VALUE"""),0.0)</f>
        <v>0</v>
      </c>
      <c r="V1555" s="148" t="str">
        <f>IFERROR(__xludf.DUMMYFUNCTION("""COMPUTED_VALUE"""),"[]")</f>
        <v>[]</v>
      </c>
      <c r="W1555" s="148">
        <f>IFERROR(__xludf.DUMMYFUNCTION("""COMPUTED_VALUE"""),1.1741004E7)</f>
        <v>11741004</v>
      </c>
      <c r="X1555" s="148">
        <f>IFERROR(__xludf.DUMMYFUNCTION("""COMPUTED_VALUE"""),0.0)</f>
        <v>0</v>
      </c>
      <c r="Y1555" s="148">
        <f>IFERROR(__xludf.DUMMYFUNCTION("""COMPUTED_VALUE"""),0.0)</f>
        <v>0</v>
      </c>
      <c r="Z1555" s="148"/>
    </row>
    <row r="1556">
      <c r="A1556" s="148">
        <f>IFERROR(__xludf.DUMMYFUNCTION("""COMPUTED_VALUE"""),1.1117197E7)</f>
        <v>11117197</v>
      </c>
      <c r="B1556" s="148" t="str">
        <f>IFERROR(__xludf.DUMMYFUNCTION("""COMPUTED_VALUE"""),"特战装备图纸碎片箱")</f>
        <v>特战装备图纸碎片箱</v>
      </c>
      <c r="C1556" s="148"/>
      <c r="D1556" s="148" t="str">
        <f>IFERROR(__xludf.DUMMYFUNCTION("""COMPUTED_VALUE"""),"heroarms_box")</f>
        <v>heroarms_box</v>
      </c>
      <c r="E1556" s="148">
        <f>IFERROR(__xludf.DUMMYFUNCTION("""COMPUTED_VALUE"""),0.0)</f>
        <v>0</v>
      </c>
      <c r="F1556" s="148">
        <f>IFERROR(__xludf.DUMMYFUNCTION("""COMPUTED_VALUE"""),403106.0)</f>
        <v>403106</v>
      </c>
      <c r="G1556" s="148">
        <f>IFERROR(__xludf.DUMMYFUNCTION("""COMPUTED_VALUE"""),1.5116856E7)</f>
        <v>15116856</v>
      </c>
      <c r="H1556" s="148">
        <f>IFERROR(__xludf.DUMMYFUNCTION("""COMPUTED_VALUE"""),1.5112563E7)</f>
        <v>15112563</v>
      </c>
      <c r="I1556" s="148" t="str">
        <f>IFERROR(__xludf.DUMMYFUNCTION("""COMPUTED_VALUE"""),"{}")</f>
        <v>{}</v>
      </c>
      <c r="J1556" s="148" t="str">
        <f>IFERROR(__xludf.DUMMYFUNCTION("""COMPUTED_VALUE"""),"{""typ"":""lc"",""txt"":""LC_HERO_equipment_puzzle_box8""}")</f>
        <v>{"typ":"lc","txt":"LC_HERO_equipment_puzzle_box8"}</v>
      </c>
      <c r="K1556" s="148" t="str">
        <f>IFERROR(__xludf.DUMMYFUNCTION("""COMPUTED_VALUE"""),"{""typ"":""lc"",""txt"":""LC_HERO_equipment_puzzle_box_desc8""}")</f>
        <v>{"typ":"lc","txt":"LC_HERO_equipment_puzzle_box_desc8"}</v>
      </c>
      <c r="L1556" s="148" t="str">
        <f>IFERROR(__xludf.DUMMYFUNCTION("""COMPUTED_VALUE"""),"{}")</f>
        <v>{}</v>
      </c>
      <c r="M1556" s="148">
        <f>IFERROR(__xludf.DUMMYFUNCTION("""COMPUTED_VALUE"""),25.0)</f>
        <v>25</v>
      </c>
      <c r="N1556" s="148">
        <f>IFERROR(__xludf.DUMMYFUNCTION("""COMPUTED_VALUE"""),9999999.0)</f>
        <v>9999999</v>
      </c>
      <c r="O1556" s="148">
        <f>IFERROR(__xludf.DUMMYFUNCTION("""COMPUTED_VALUE"""),99999.0)</f>
        <v>99999</v>
      </c>
      <c r="P1556" s="148">
        <f>IFERROR(__xludf.DUMMYFUNCTION("""COMPUTED_VALUE"""),99999.0)</f>
        <v>99999</v>
      </c>
      <c r="Q1556" s="148" t="str">
        <f>IFERROR(__xludf.DUMMYFUNCTION("""COMPUTED_VALUE"""),"[""bag_other""]")</f>
        <v>["bag_other"]</v>
      </c>
      <c r="R1556" s="148" t="str">
        <f>IFERROR(__xludf.DUMMYFUNCTION("""COMPUTED_VALUE"""),"[""bag""]")</f>
        <v>["bag"]</v>
      </c>
      <c r="S1556" s="148" t="str">
        <f>IFERROR(__xludf.DUMMYFUNCTION("""COMPUTED_VALUE"""),"{""drop"":{""typ"":""single_random"",""num"":1,""args"":[{""typ"":""puzzle"",""id"":19348009,""num"":1,""wgt"":100},{""typ"":""puzzle"",""id"":19348010,""num"":1,""wgt"":100},{""typ"":""puzzle"",""id"":19348011,""num"":1,""wgt"":100},{""typ"":""puzzle"","&amp;"""id"":19348012,""num"":1,""wgt"":100}]}}")</f>
        <v>{"drop":{"typ":"single_random","num":1,"args":[{"typ":"puzzle","id":19348009,"num":1,"wgt":100},{"typ":"puzzle","id":19348010,"num":1,"wgt":100},{"typ":"puzzle","id":19348011,"num":1,"wgt":100},{"typ":"puzzle","id":19348012,"num":1,"wgt":100}]}}</v>
      </c>
      <c r="T1556" s="148">
        <f>IFERROR(__xludf.DUMMYFUNCTION("""COMPUTED_VALUE"""),-1.0)</f>
        <v>-1</v>
      </c>
      <c r="U1556" s="148">
        <f>IFERROR(__xludf.DUMMYFUNCTION("""COMPUTED_VALUE"""),0.0)</f>
        <v>0</v>
      </c>
      <c r="V1556" s="148" t="str">
        <f>IFERROR(__xludf.DUMMYFUNCTION("""COMPUTED_VALUE"""),"[]")</f>
        <v>[]</v>
      </c>
      <c r="W1556" s="148">
        <f>IFERROR(__xludf.DUMMYFUNCTION("""COMPUTED_VALUE"""),1.1741004E7)</f>
        <v>11741004</v>
      </c>
      <c r="X1556" s="148">
        <f>IFERROR(__xludf.DUMMYFUNCTION("""COMPUTED_VALUE"""),0.0)</f>
        <v>0</v>
      </c>
      <c r="Y1556" s="148">
        <f>IFERROR(__xludf.DUMMYFUNCTION("""COMPUTED_VALUE"""),0.0)</f>
        <v>0</v>
      </c>
      <c r="Z1556" s="148"/>
    </row>
    <row r="1557">
      <c r="A1557" s="148">
        <f>IFERROR(__xludf.DUMMYFUNCTION("""COMPUTED_VALUE"""),1.1117198E7)</f>
        <v>11117198</v>
      </c>
      <c r="B1557" s="148" t="str">
        <f>IFERROR(__xludf.DUMMYFUNCTION("""COMPUTED_VALUE"""),"征服者装备图纸碎片箱")</f>
        <v>征服者装备图纸碎片箱</v>
      </c>
      <c r="C1557" s="148"/>
      <c r="D1557" s="148" t="str">
        <f>IFERROR(__xludf.DUMMYFUNCTION("""COMPUTED_VALUE"""),"heroarms_box")</f>
        <v>heroarms_box</v>
      </c>
      <c r="E1557" s="148">
        <f>IFERROR(__xludf.DUMMYFUNCTION("""COMPUTED_VALUE"""),0.0)</f>
        <v>0</v>
      </c>
      <c r="F1557" s="148">
        <f>IFERROR(__xludf.DUMMYFUNCTION("""COMPUTED_VALUE"""),403106.0)</f>
        <v>403106</v>
      </c>
      <c r="G1557" s="148">
        <f>IFERROR(__xludf.DUMMYFUNCTION("""COMPUTED_VALUE"""),1.5116706E7)</f>
        <v>15116706</v>
      </c>
      <c r="H1557" s="148">
        <f>IFERROR(__xludf.DUMMYFUNCTION("""COMPUTED_VALUE"""),1.5112564E7)</f>
        <v>15112564</v>
      </c>
      <c r="I1557" s="148" t="str">
        <f>IFERROR(__xludf.DUMMYFUNCTION("""COMPUTED_VALUE"""),"{}")</f>
        <v>{}</v>
      </c>
      <c r="J1557" s="148" t="str">
        <f>IFERROR(__xludf.DUMMYFUNCTION("""COMPUTED_VALUE"""),"{""typ"":""lc"",""txt"":""LC_HERO_equipment_puzzle_box6""}")</f>
        <v>{"typ":"lc","txt":"LC_HERO_equipment_puzzle_box6"}</v>
      </c>
      <c r="K1557" s="148" t="str">
        <f>IFERROR(__xludf.DUMMYFUNCTION("""COMPUTED_VALUE"""),"{""typ"":""lc"",""txt"":""LC_HERO_equipment_puzzle_box_desc6""}")</f>
        <v>{"typ":"lc","txt":"LC_HERO_equipment_puzzle_box_desc6"}</v>
      </c>
      <c r="L1557" s="148" t="str">
        <f>IFERROR(__xludf.DUMMYFUNCTION("""COMPUTED_VALUE"""),"{}")</f>
        <v>{}</v>
      </c>
      <c r="M1557" s="148">
        <f>IFERROR(__xludf.DUMMYFUNCTION("""COMPUTED_VALUE"""),50.0)</f>
        <v>50</v>
      </c>
      <c r="N1557" s="148">
        <f>IFERROR(__xludf.DUMMYFUNCTION("""COMPUTED_VALUE"""),9999999.0)</f>
        <v>9999999</v>
      </c>
      <c r="O1557" s="148">
        <f>IFERROR(__xludf.DUMMYFUNCTION("""COMPUTED_VALUE"""),99999.0)</f>
        <v>99999</v>
      </c>
      <c r="P1557" s="148">
        <f>IFERROR(__xludf.DUMMYFUNCTION("""COMPUTED_VALUE"""),99999.0)</f>
        <v>99999</v>
      </c>
      <c r="Q1557" s="148" t="str">
        <f>IFERROR(__xludf.DUMMYFUNCTION("""COMPUTED_VALUE"""),"[""bag_other""]")</f>
        <v>["bag_other"]</v>
      </c>
      <c r="R1557" s="148" t="str">
        <f>IFERROR(__xludf.DUMMYFUNCTION("""COMPUTED_VALUE"""),"[""bag""]")</f>
        <v>["bag"]</v>
      </c>
      <c r="S1557" s="148" t="str">
        <f>IFERROR(__xludf.DUMMYFUNCTION("""COMPUTED_VALUE"""),"{""drop"":{""typ"":""single_random"",""num"":1,""args"":[{""typ"":""puzzle"",""id"":19349005,""num"":1,""wgt"":100},{""typ"":""puzzle"",""id"":19349006,""num"":1,""wgt"":100},{""typ"":""puzzle"",""id"":19349007,""num"":1,""wgt"":100},{""typ"":""puzzle"","&amp;"""id"":19349008,""num"":1,""wgt"":100}]}}")</f>
        <v>{"drop":{"typ":"single_random","num":1,"args":[{"typ":"puzzle","id":19349005,"num":1,"wgt":100},{"typ":"puzzle","id":19349006,"num":1,"wgt":100},{"typ":"puzzle","id":19349007,"num":1,"wgt":100},{"typ":"puzzle","id":19349008,"num":1,"wgt":100}]}}</v>
      </c>
      <c r="T1557" s="148">
        <f>IFERROR(__xludf.DUMMYFUNCTION("""COMPUTED_VALUE"""),-1.0)</f>
        <v>-1</v>
      </c>
      <c r="U1557" s="148">
        <f>IFERROR(__xludf.DUMMYFUNCTION("""COMPUTED_VALUE"""),0.0)</f>
        <v>0</v>
      </c>
      <c r="V1557" s="148" t="str">
        <f>IFERROR(__xludf.DUMMYFUNCTION("""COMPUTED_VALUE"""),"[]")</f>
        <v>[]</v>
      </c>
      <c r="W1557" s="148">
        <f>IFERROR(__xludf.DUMMYFUNCTION("""COMPUTED_VALUE"""),1.1741004E7)</f>
        <v>11741004</v>
      </c>
      <c r="X1557" s="148">
        <f>IFERROR(__xludf.DUMMYFUNCTION("""COMPUTED_VALUE"""),0.0)</f>
        <v>0</v>
      </c>
      <c r="Y1557" s="148">
        <f>IFERROR(__xludf.DUMMYFUNCTION("""COMPUTED_VALUE"""),0.0)</f>
        <v>0</v>
      </c>
      <c r="Z1557" s="148"/>
    </row>
    <row r="1558">
      <c r="A1558" s="148">
        <f>IFERROR(__xludf.DUMMYFUNCTION("""COMPUTED_VALUE"""),1.1117199E7)</f>
        <v>11117199</v>
      </c>
      <c r="B1558" s="148" t="str">
        <f>IFERROR(__xludf.DUMMYFUNCTION("""COMPUTED_VALUE"""),"战神装备图纸碎片箱")</f>
        <v>战神装备图纸碎片箱</v>
      </c>
      <c r="C1558" s="148"/>
      <c r="D1558" s="148" t="str">
        <f>IFERROR(__xludf.DUMMYFUNCTION("""COMPUTED_VALUE"""),"heroarms_box")</f>
        <v>heroarms_box</v>
      </c>
      <c r="E1558" s="148">
        <f>IFERROR(__xludf.DUMMYFUNCTION("""COMPUTED_VALUE"""),0.0)</f>
        <v>0</v>
      </c>
      <c r="F1558" s="148">
        <f>IFERROR(__xludf.DUMMYFUNCTION("""COMPUTED_VALUE"""),403106.0)</f>
        <v>403106</v>
      </c>
      <c r="G1558" s="148">
        <f>IFERROR(__xludf.DUMMYFUNCTION("""COMPUTED_VALUE"""),1.51167E7)</f>
        <v>15116700</v>
      </c>
      <c r="H1558" s="148">
        <f>IFERROR(__xludf.DUMMYFUNCTION("""COMPUTED_VALUE"""),1.5112564E7)</f>
        <v>15112564</v>
      </c>
      <c r="I1558" s="148" t="str">
        <f>IFERROR(__xludf.DUMMYFUNCTION("""COMPUTED_VALUE"""),"{}")</f>
        <v>{}</v>
      </c>
      <c r="J1558" s="148" t="str">
        <f>IFERROR(__xludf.DUMMYFUNCTION("""COMPUTED_VALUE"""),"{""typ"":""lc"",""txt"":""LC_HERO_equipment_puzzle_box7""}")</f>
        <v>{"typ":"lc","txt":"LC_HERO_equipment_puzzle_box7"}</v>
      </c>
      <c r="K1558" s="148" t="str">
        <f>IFERROR(__xludf.DUMMYFUNCTION("""COMPUTED_VALUE"""),"{""typ"":""lc"",""txt"":""LC_HERO_equipment_puzzle_box_desc7""}")</f>
        <v>{"typ":"lc","txt":"LC_HERO_equipment_puzzle_box_desc7"}</v>
      </c>
      <c r="L1558" s="148" t="str">
        <f>IFERROR(__xludf.DUMMYFUNCTION("""COMPUTED_VALUE"""),"{}")</f>
        <v>{}</v>
      </c>
      <c r="M1558" s="148">
        <f>IFERROR(__xludf.DUMMYFUNCTION("""COMPUTED_VALUE"""),50.0)</f>
        <v>50</v>
      </c>
      <c r="N1558" s="148">
        <f>IFERROR(__xludf.DUMMYFUNCTION("""COMPUTED_VALUE"""),9999999.0)</f>
        <v>9999999</v>
      </c>
      <c r="O1558" s="148">
        <f>IFERROR(__xludf.DUMMYFUNCTION("""COMPUTED_VALUE"""),99999.0)</f>
        <v>99999</v>
      </c>
      <c r="P1558" s="148">
        <f>IFERROR(__xludf.DUMMYFUNCTION("""COMPUTED_VALUE"""),99999.0)</f>
        <v>99999</v>
      </c>
      <c r="Q1558" s="148" t="str">
        <f>IFERROR(__xludf.DUMMYFUNCTION("""COMPUTED_VALUE"""),"[""bag_other""]")</f>
        <v>["bag_other"]</v>
      </c>
      <c r="R1558" s="148" t="str">
        <f>IFERROR(__xludf.DUMMYFUNCTION("""COMPUTED_VALUE"""),"[""bag""]")</f>
        <v>["bag"]</v>
      </c>
      <c r="S1558" s="148" t="str">
        <f>IFERROR(__xludf.DUMMYFUNCTION("""COMPUTED_VALUE"""),"{""drop"":{""typ"":""single_random"",""num"":1,""args"":[{""typ"":""puzzle"",""id"":19349009,""num"":1,""wgt"":100},{""typ"":""puzzle"",""id"":19349010,""num"":1,""wgt"":100},{""typ"":""puzzle"",""id"":19349011,""num"":1,""wgt"":100},{""typ"":""puzzle"","&amp;"""id"":19349012,""num"":1,""wgt"":100}]}}")</f>
        <v>{"drop":{"typ":"single_random","num":1,"args":[{"typ":"puzzle","id":19349009,"num":1,"wgt":100},{"typ":"puzzle","id":19349010,"num":1,"wgt":100},{"typ":"puzzle","id":19349011,"num":1,"wgt":100},{"typ":"puzzle","id":19349012,"num":1,"wgt":100}]}}</v>
      </c>
      <c r="T1558" s="148">
        <f>IFERROR(__xludf.DUMMYFUNCTION("""COMPUTED_VALUE"""),-1.0)</f>
        <v>-1</v>
      </c>
      <c r="U1558" s="148">
        <f>IFERROR(__xludf.DUMMYFUNCTION("""COMPUTED_VALUE"""),0.0)</f>
        <v>0</v>
      </c>
      <c r="V1558" s="148" t="str">
        <f>IFERROR(__xludf.DUMMYFUNCTION("""COMPUTED_VALUE"""),"[]")</f>
        <v>[]</v>
      </c>
      <c r="W1558" s="148">
        <f>IFERROR(__xludf.DUMMYFUNCTION("""COMPUTED_VALUE"""),1.1741004E7)</f>
        <v>11741004</v>
      </c>
      <c r="X1558" s="148">
        <f>IFERROR(__xludf.DUMMYFUNCTION("""COMPUTED_VALUE"""),0.0)</f>
        <v>0</v>
      </c>
      <c r="Y1558" s="148">
        <f>IFERROR(__xludf.DUMMYFUNCTION("""COMPUTED_VALUE"""),0.0)</f>
        <v>0</v>
      </c>
      <c r="Z1558" s="148"/>
    </row>
    <row r="1559">
      <c r="A1559" s="148">
        <f>IFERROR(__xludf.DUMMYFUNCTION("""COMPUTED_VALUE"""),1.11172E7)</f>
        <v>11117200</v>
      </c>
      <c r="B1559" s="148" t="str">
        <f>IFERROR(__xludf.DUMMYFUNCTION("""COMPUTED_VALUE"""),"英雄验证活动-伤害掉落宝箱-装备")</f>
        <v>英雄验证活动-伤害掉落宝箱-装备</v>
      </c>
      <c r="C1559" s="148"/>
      <c r="D1559" s="148" t="str">
        <f>IFERROR(__xludf.DUMMYFUNCTION("""COMPUTED_VALUE"""),"item_asset")</f>
        <v>item_asset</v>
      </c>
      <c r="E1559" s="148">
        <f>IFERROR(__xludf.DUMMYFUNCTION("""COMPUTED_VALUE"""),19.0)</f>
        <v>19</v>
      </c>
      <c r="F1559" s="148">
        <f>IFERROR(__xludf.DUMMYFUNCTION("""COMPUTED_VALUE"""),403299.0)</f>
        <v>403299</v>
      </c>
      <c r="G1559" s="148">
        <f>IFERROR(__xludf.DUMMYFUNCTION("""COMPUTED_VALUE"""),1.5113765E7)</f>
        <v>15113765</v>
      </c>
      <c r="H1559" s="148">
        <f>IFERROR(__xludf.DUMMYFUNCTION("""COMPUTED_VALUE"""),1.5112563E7)</f>
        <v>15112563</v>
      </c>
      <c r="I1559" s="148" t="str">
        <f>IFERROR(__xludf.DUMMYFUNCTION("""COMPUTED_VALUE"""),"{}")</f>
        <v>{}</v>
      </c>
      <c r="J1559" s="148" t="str">
        <f>IFERROR(__xludf.DUMMYFUNCTION("""COMPUTED_VALUE"""),"{""typ"":""lc"",""txt"":""LC_ITEM_maximus_chest_name""}")</f>
        <v>{"typ":"lc","txt":"LC_ITEM_maximus_chest_name"}</v>
      </c>
      <c r="K1559" s="148" t="str">
        <f>IFERROR(__xludf.DUMMYFUNCTION("""COMPUTED_VALUE"""),"{""typ"":""lc"",""txt"":""LC_ITEM_maximus_chest_desc""}")</f>
        <v>{"typ":"lc","txt":"LC_ITEM_maximus_chest_desc"}</v>
      </c>
      <c r="L1559" s="148" t="str">
        <f>IFERROR(__xludf.DUMMYFUNCTION("""COMPUTED_VALUE"""),"{}")</f>
        <v>{}</v>
      </c>
      <c r="M1559" s="148">
        <f>IFERROR(__xludf.DUMMYFUNCTION("""COMPUTED_VALUE"""),1.0)</f>
        <v>1</v>
      </c>
      <c r="N1559" s="148">
        <f>IFERROR(__xludf.DUMMYFUNCTION("""COMPUTED_VALUE"""),999999.0)</f>
        <v>999999</v>
      </c>
      <c r="O1559" s="148">
        <f>IFERROR(__xludf.DUMMYFUNCTION("""COMPUTED_VALUE"""),99999.0)</f>
        <v>99999</v>
      </c>
      <c r="P1559" s="148">
        <f>IFERROR(__xludf.DUMMYFUNCTION("""COMPUTED_VALUE"""),9999.0)</f>
        <v>9999</v>
      </c>
      <c r="Q1559" s="148" t="str">
        <f>IFERROR(__xludf.DUMMYFUNCTION("""COMPUTED_VALUE"""),"[""bag_other""]")</f>
        <v>["bag_other"]</v>
      </c>
      <c r="R1559" s="148" t="str">
        <f>IFERROR(__xludf.DUMMYFUNCTION("""COMPUTED_VALUE"""),"[]")</f>
        <v>[]</v>
      </c>
      <c r="S1559" s="148" t="str">
        <f>IFERROR(__xludf.DUMMYFUNCTION("""COMPUTED_VALUE"""),"{""drop"":{""typ"":""single_random"",""num"":1,""args"":[{""typ"":""material"",""id"":19345001,""num"":10,""wgt"":50},{""typ"":""material"",""id"":19345002,""num"":10,""wgt"":50},{""typ"":""material"",""id"":19345003,""num"":2,""wgt"":50},{""typ"":""item"&amp;""",""id"":11117118,""num"":4,""wgt"":38},{""typ"":""item"",""id"":11117119,""num"":2,""wgt"":25},{""typ"":""item"",""id"":11111154,""num"":1,""wgt"":70},{""typ"":""item"",""id"":11114329,""num"":1,""wgt"":80}]}}")</f>
        <v>{"drop":{"typ":"single_random","num":1,"args":[{"typ":"material","id":19345001,"num":10,"wgt":50},{"typ":"material","id":19345002,"num":10,"wgt":50},{"typ":"material","id":19345003,"num":2,"wgt":50},{"typ":"item","id":11117118,"num":4,"wgt":38},{"typ":"item","id":11117119,"num":2,"wgt":25},{"typ":"item","id":11111154,"num":1,"wgt":70},{"typ":"item","id":11114329,"num":1,"wgt":80}]}}</v>
      </c>
      <c r="T1559" s="148">
        <f>IFERROR(__xludf.DUMMYFUNCTION("""COMPUTED_VALUE"""),-1.0)</f>
        <v>-1</v>
      </c>
      <c r="U1559" s="148">
        <f>IFERROR(__xludf.DUMMYFUNCTION("""COMPUTED_VALUE"""),1.0)</f>
        <v>1</v>
      </c>
      <c r="V1559" s="148" t="str">
        <f>IFERROR(__xludf.DUMMYFUNCTION("""COMPUTED_VALUE"""),"[]")</f>
        <v>[]</v>
      </c>
      <c r="W1559" s="148">
        <f>IFERROR(__xludf.DUMMYFUNCTION("""COMPUTED_VALUE"""),1.174E7)</f>
        <v>11740000</v>
      </c>
      <c r="X1559" s="148">
        <f>IFERROR(__xludf.DUMMYFUNCTION("""COMPUTED_VALUE"""),0.0)</f>
        <v>0</v>
      </c>
      <c r="Y1559" s="148">
        <f>IFERROR(__xludf.DUMMYFUNCTION("""COMPUTED_VALUE"""),0.0)</f>
        <v>0</v>
      </c>
      <c r="Z1559" s="148"/>
    </row>
    <row r="1560">
      <c r="A1560" s="148">
        <f>IFERROR(__xludf.DUMMYFUNCTION("""COMPUTED_VALUE"""),1.1117201E7)</f>
        <v>11117201</v>
      </c>
      <c r="B1560" s="148" t="str">
        <f>IFERROR(__xludf.DUMMYFUNCTION("""COMPUTED_VALUE"""),"工具铲-2022科技节抽奖道具")</f>
        <v>工具铲-2022科技节抽奖道具</v>
      </c>
      <c r="C1560" s="148"/>
      <c r="D1560" s="148" t="str">
        <f>IFERROR(__xludf.DUMMYFUNCTION("""COMPUTED_VALUE"""),"event")</f>
        <v>event</v>
      </c>
      <c r="E1560" s="148">
        <f>IFERROR(__xludf.DUMMYFUNCTION("""COMPUTED_VALUE"""),0.0)</f>
        <v>0</v>
      </c>
      <c r="F1560" s="148">
        <f>IFERROR(__xludf.DUMMYFUNCTION("""COMPUTED_VALUE"""),0.0)</f>
        <v>0</v>
      </c>
      <c r="G1560" s="148">
        <f>IFERROR(__xludf.DUMMYFUNCTION("""COMPUTED_VALUE"""),1.5115076E7)</f>
        <v>15115076</v>
      </c>
      <c r="H1560" s="148">
        <f>IFERROR(__xludf.DUMMYFUNCTION("""COMPUTED_VALUE"""),1.5112563E7)</f>
        <v>15112563</v>
      </c>
      <c r="I1560" s="148" t="str">
        <f>IFERROR(__xludf.DUMMYFUNCTION("""COMPUTED_VALUE"""),"{}")</f>
        <v>{}</v>
      </c>
      <c r="J1560" s="148" t="str">
        <f>IFERROR(__xludf.DUMMYFUNCTION("""COMPUTED_VALUE"""),"{""typ"":""lc"",""txt"":""LC_ITEM_sci_gacha_item_name""}")</f>
        <v>{"typ":"lc","txt":"LC_ITEM_sci_gacha_item_name"}</v>
      </c>
      <c r="K1560" s="148" t="str">
        <f>IFERROR(__xludf.DUMMYFUNCTION("""COMPUTED_VALUE"""),"{""typ"":""lc"",""txt"":""LC_ITEM_sci_gacha_item_desc""}")</f>
        <v>{"typ":"lc","txt":"LC_ITEM_sci_gacha_item_desc"}</v>
      </c>
      <c r="L1560" s="148" t="str">
        <f>IFERROR(__xludf.DUMMYFUNCTION("""COMPUTED_VALUE"""),"{}")</f>
        <v>{}</v>
      </c>
      <c r="M1560" s="148">
        <f>IFERROR(__xludf.DUMMYFUNCTION("""COMPUTED_VALUE"""),160.0)</f>
        <v>160</v>
      </c>
      <c r="N1560" s="148">
        <f>IFERROR(__xludf.DUMMYFUNCTION("""COMPUTED_VALUE"""),999999.0)</f>
        <v>999999</v>
      </c>
      <c r="O1560" s="148">
        <f>IFERROR(__xludf.DUMMYFUNCTION("""COMPUTED_VALUE"""),99999.0)</f>
        <v>99999</v>
      </c>
      <c r="P1560" s="148">
        <f>IFERROR(__xludf.DUMMYFUNCTION("""COMPUTED_VALUE"""),9999.0)</f>
        <v>9999</v>
      </c>
      <c r="Q1560" s="148" t="str">
        <f>IFERROR(__xludf.DUMMYFUNCTION("""COMPUTED_VALUE"""),"[""bag_other""]")</f>
        <v>["bag_other"]</v>
      </c>
      <c r="R1560" s="148" t="str">
        <f>IFERROR(__xludf.DUMMYFUNCTION("""COMPUTED_VALUE"""),"[""bag""]")</f>
        <v>["bag"]</v>
      </c>
      <c r="S1560" s="148" t="str">
        <f>IFERROR(__xludf.DUMMYFUNCTION("""COMPUTED_VALUE"""),"{}")</f>
        <v>{}</v>
      </c>
      <c r="T1560" s="148">
        <f>IFERROR(__xludf.DUMMYFUNCTION("""COMPUTED_VALUE"""),-1.0)</f>
        <v>-1</v>
      </c>
      <c r="U1560" s="148">
        <f>IFERROR(__xludf.DUMMYFUNCTION("""COMPUTED_VALUE"""),0.0)</f>
        <v>0</v>
      </c>
      <c r="V1560" s="148" t="str">
        <f>IFERROR(__xludf.DUMMYFUNCTION("""COMPUTED_VALUE"""),"[]")</f>
        <v>[]</v>
      </c>
      <c r="W1560" s="148">
        <f>IFERROR(__xludf.DUMMYFUNCTION("""COMPUTED_VALUE"""),1.174E7)</f>
        <v>11740000</v>
      </c>
      <c r="X1560" s="148">
        <f>IFERROR(__xludf.DUMMYFUNCTION("""COMPUTED_VALUE"""),0.0)</f>
        <v>0</v>
      </c>
      <c r="Y1560" s="148">
        <f>IFERROR(__xludf.DUMMYFUNCTION("""COMPUTED_VALUE"""),0.0)</f>
        <v>0</v>
      </c>
      <c r="Z1560" s="148"/>
    </row>
    <row r="1561">
      <c r="A1561" s="148">
        <f>IFERROR(__xludf.DUMMYFUNCTION("""COMPUTED_VALUE"""),1.1117202E7)</f>
        <v>11117202</v>
      </c>
      <c r="B1561" s="148" t="str">
        <f>IFERROR(__xludf.DUMMYFUNCTION("""COMPUTED_VALUE"""),"智能芯片-2022科技节兑换道具")</f>
        <v>智能芯片-2022科技节兑换道具</v>
      </c>
      <c r="C1561" s="148"/>
      <c r="D1561" s="148" t="str">
        <f>IFERROR(__xludf.DUMMYFUNCTION("""COMPUTED_VALUE"""),"event")</f>
        <v>event</v>
      </c>
      <c r="E1561" s="148">
        <f>IFERROR(__xludf.DUMMYFUNCTION("""COMPUTED_VALUE"""),0.0)</f>
        <v>0</v>
      </c>
      <c r="F1561" s="148">
        <f>IFERROR(__xludf.DUMMYFUNCTION("""COMPUTED_VALUE"""),0.0)</f>
        <v>0</v>
      </c>
      <c r="G1561" s="148">
        <f>IFERROR(__xludf.DUMMYFUNCTION("""COMPUTED_VALUE"""),1.5115077E7)</f>
        <v>15115077</v>
      </c>
      <c r="H1561" s="148">
        <f>IFERROR(__xludf.DUMMYFUNCTION("""COMPUTED_VALUE"""),1.5112563E7)</f>
        <v>15112563</v>
      </c>
      <c r="I1561" s="148" t="str">
        <f>IFERROR(__xludf.DUMMYFUNCTION("""COMPUTED_VALUE"""),"{}")</f>
        <v>{}</v>
      </c>
      <c r="J1561" s="148" t="str">
        <f>IFERROR(__xludf.DUMMYFUNCTION("""COMPUTED_VALUE"""),"{""typ"":""lc"",""txt"":""LC_ITEM_sci_exchange_item_name""}")</f>
        <v>{"typ":"lc","txt":"LC_ITEM_sci_exchange_item_name"}</v>
      </c>
      <c r="K1561" s="148" t="str">
        <f>IFERROR(__xludf.DUMMYFUNCTION("""COMPUTED_VALUE"""),"{""typ"":""lc"",""txt"":""LC_ITEM_sci_exchange_item_desc""}")</f>
        <v>{"typ":"lc","txt":"LC_ITEM_sci_exchange_item_desc"}</v>
      </c>
      <c r="L1561" s="148" t="str">
        <f>IFERROR(__xludf.DUMMYFUNCTION("""COMPUTED_VALUE"""),"{}")</f>
        <v>{}</v>
      </c>
      <c r="M1561" s="148">
        <f>IFERROR(__xludf.DUMMYFUNCTION("""COMPUTED_VALUE"""),1.0)</f>
        <v>1</v>
      </c>
      <c r="N1561" s="148">
        <f>IFERROR(__xludf.DUMMYFUNCTION("""COMPUTED_VALUE"""),999999.0)</f>
        <v>999999</v>
      </c>
      <c r="O1561" s="148">
        <f>IFERROR(__xludf.DUMMYFUNCTION("""COMPUTED_VALUE"""),99999.0)</f>
        <v>99999</v>
      </c>
      <c r="P1561" s="148">
        <f>IFERROR(__xludf.DUMMYFUNCTION("""COMPUTED_VALUE"""),9999.0)</f>
        <v>9999</v>
      </c>
      <c r="Q1561" s="148" t="str">
        <f>IFERROR(__xludf.DUMMYFUNCTION("""COMPUTED_VALUE"""),"[""bag_other""]")</f>
        <v>["bag_other"]</v>
      </c>
      <c r="R1561" s="148" t="str">
        <f>IFERROR(__xludf.DUMMYFUNCTION("""COMPUTED_VALUE"""),"[]")</f>
        <v>[]</v>
      </c>
      <c r="S1561" s="148" t="str">
        <f>IFERROR(__xludf.DUMMYFUNCTION("""COMPUTED_VALUE"""),"{}")</f>
        <v>{}</v>
      </c>
      <c r="T1561" s="148">
        <f>IFERROR(__xludf.DUMMYFUNCTION("""COMPUTED_VALUE"""),-1.0)</f>
        <v>-1</v>
      </c>
      <c r="U1561" s="148">
        <f>IFERROR(__xludf.DUMMYFUNCTION("""COMPUTED_VALUE"""),0.0)</f>
        <v>0</v>
      </c>
      <c r="V1561" s="148" t="str">
        <f>IFERROR(__xludf.DUMMYFUNCTION("""COMPUTED_VALUE"""),"[]")</f>
        <v>[]</v>
      </c>
      <c r="W1561" s="148">
        <f>IFERROR(__xludf.DUMMYFUNCTION("""COMPUTED_VALUE"""),1.174E7)</f>
        <v>11740000</v>
      </c>
      <c r="X1561" s="148">
        <f>IFERROR(__xludf.DUMMYFUNCTION("""COMPUTED_VALUE"""),0.0)</f>
        <v>0</v>
      </c>
      <c r="Y1561" s="148">
        <f>IFERROR(__xludf.DUMMYFUNCTION("""COMPUTED_VALUE"""),0.0)</f>
        <v>0</v>
      </c>
      <c r="Z1561" s="148"/>
    </row>
    <row r="1562">
      <c r="A1562" s="148">
        <f>IFERROR(__xludf.DUMMYFUNCTION("""COMPUTED_VALUE"""),1.1117203E7)</f>
        <v>11117203</v>
      </c>
      <c r="B1562" s="148" t="str">
        <f>IFERROR(__xludf.DUMMYFUNCTION("""COMPUTED_VALUE"""),"红外探测器-2022科技节惊喜道具")</f>
        <v>红外探测器-2022科技节惊喜道具</v>
      </c>
      <c r="C1562" s="148"/>
      <c r="D1562" s="148" t="str">
        <f>IFERROR(__xludf.DUMMYFUNCTION("""COMPUTED_VALUE"""),"event")</f>
        <v>event</v>
      </c>
      <c r="E1562" s="148">
        <f>IFERROR(__xludf.DUMMYFUNCTION("""COMPUTED_VALUE"""),0.0)</f>
        <v>0</v>
      </c>
      <c r="F1562" s="148">
        <f>IFERROR(__xludf.DUMMYFUNCTION("""COMPUTED_VALUE"""),0.0)</f>
        <v>0</v>
      </c>
      <c r="G1562" s="148">
        <f>IFERROR(__xludf.DUMMYFUNCTION("""COMPUTED_VALUE"""),1.5115078E7)</f>
        <v>15115078</v>
      </c>
      <c r="H1562" s="148">
        <f>IFERROR(__xludf.DUMMYFUNCTION("""COMPUTED_VALUE"""),1.5112564E7)</f>
        <v>15112564</v>
      </c>
      <c r="I1562" s="148" t="str">
        <f>IFERROR(__xludf.DUMMYFUNCTION("""COMPUTED_VALUE"""),"{}")</f>
        <v>{}</v>
      </c>
      <c r="J1562" s="148" t="str">
        <f>IFERROR(__xludf.DUMMYFUNCTION("""COMPUTED_VALUE"""),"{""typ"":""lc"",""txt"":""LC_ITEM_sci_gacha_special_name""}")</f>
        <v>{"typ":"lc","txt":"LC_ITEM_sci_gacha_special_name"}</v>
      </c>
      <c r="K1562" s="148" t="str">
        <f>IFERROR(__xludf.DUMMYFUNCTION("""COMPUTED_VALUE"""),"{""typ"":""lc"",""txt"":""LC_ITEM_sci_gacha_special_desc""}")</f>
        <v>{"typ":"lc","txt":"LC_ITEM_sci_gacha_special_desc"}</v>
      </c>
      <c r="L1562" s="148" t="str">
        <f>IFERROR(__xludf.DUMMYFUNCTION("""COMPUTED_VALUE"""),"{}")</f>
        <v>{}</v>
      </c>
      <c r="M1562" s="148">
        <f>IFERROR(__xludf.DUMMYFUNCTION("""COMPUTED_VALUE"""),1.0)</f>
        <v>1</v>
      </c>
      <c r="N1562" s="148">
        <f>IFERROR(__xludf.DUMMYFUNCTION("""COMPUTED_VALUE"""),999999.0)</f>
        <v>999999</v>
      </c>
      <c r="O1562" s="148">
        <f>IFERROR(__xludf.DUMMYFUNCTION("""COMPUTED_VALUE"""),99999.0)</f>
        <v>99999</v>
      </c>
      <c r="P1562" s="148">
        <f>IFERROR(__xludf.DUMMYFUNCTION("""COMPUTED_VALUE"""),9999.0)</f>
        <v>9999</v>
      </c>
      <c r="Q1562" s="148" t="str">
        <f>IFERROR(__xludf.DUMMYFUNCTION("""COMPUTED_VALUE"""),"[]")</f>
        <v>[]</v>
      </c>
      <c r="R1562" s="148" t="str">
        <f>IFERROR(__xludf.DUMMYFUNCTION("""COMPUTED_VALUE"""),"[]")</f>
        <v>[]</v>
      </c>
      <c r="S1562" s="148" t="str">
        <f>IFERROR(__xludf.DUMMYFUNCTION("""COMPUTED_VALUE"""),"{}")</f>
        <v>{}</v>
      </c>
      <c r="T1562" s="148">
        <f>IFERROR(__xludf.DUMMYFUNCTION("""COMPUTED_VALUE"""),-1.0)</f>
        <v>-1</v>
      </c>
      <c r="U1562" s="148">
        <f>IFERROR(__xludf.DUMMYFUNCTION("""COMPUTED_VALUE"""),1.0)</f>
        <v>1</v>
      </c>
      <c r="V1562" s="148" t="str">
        <f>IFERROR(__xludf.DUMMYFUNCTION("""COMPUTED_VALUE"""),"[]")</f>
        <v>[]</v>
      </c>
      <c r="W1562" s="148">
        <f>IFERROR(__xludf.DUMMYFUNCTION("""COMPUTED_VALUE"""),1.174E7)</f>
        <v>11740000</v>
      </c>
      <c r="X1562" s="148">
        <f>IFERROR(__xludf.DUMMYFUNCTION("""COMPUTED_VALUE"""),0.0)</f>
        <v>0</v>
      </c>
      <c r="Y1562" s="148">
        <f>IFERROR(__xludf.DUMMYFUNCTION("""COMPUTED_VALUE"""),0.0)</f>
        <v>0</v>
      </c>
      <c r="Z1562" s="148"/>
    </row>
    <row r="1563">
      <c r="A1563" s="148">
        <f>IFERROR(__xludf.DUMMYFUNCTION("""COMPUTED_VALUE"""),1.1117204E7)</f>
        <v>11117204</v>
      </c>
      <c r="B1563" s="148" t="str">
        <f>IFERROR(__xludf.DUMMYFUNCTION("""COMPUTED_VALUE"""),"科技节活动专用-增加次数道具")</f>
        <v>科技节活动专用-增加次数道具</v>
      </c>
      <c r="C1563" s="148"/>
      <c r="D1563" s="148" t="str">
        <f>IFERROR(__xludf.DUMMYFUNCTION("""COMPUTED_VALUE"""),"event_progress")</f>
        <v>event_progress</v>
      </c>
      <c r="E1563" s="148">
        <f>IFERROR(__xludf.DUMMYFUNCTION("""COMPUTED_VALUE"""),0.0)</f>
        <v>0</v>
      </c>
      <c r="F1563" s="148">
        <f>IFERROR(__xludf.DUMMYFUNCTION("""COMPUTED_VALUE"""),0.0)</f>
        <v>0</v>
      </c>
      <c r="G1563" s="148">
        <f>IFERROR(__xludf.DUMMYFUNCTION("""COMPUTED_VALUE"""),1.5113732E7)</f>
        <v>15113732</v>
      </c>
      <c r="H1563" s="148">
        <f>IFERROR(__xludf.DUMMYFUNCTION("""COMPUTED_VALUE"""),1.5112563E7)</f>
        <v>15112563</v>
      </c>
      <c r="I1563" s="148" t="str">
        <f>IFERROR(__xludf.DUMMYFUNCTION("""COMPUTED_VALUE"""),"{}")</f>
        <v>{}</v>
      </c>
      <c r="J1563" s="148" t="str">
        <f>IFERROR(__xludf.DUMMYFUNCTION("""COMPUTED_VALUE"""),"{}")</f>
        <v>{}</v>
      </c>
      <c r="K1563" s="148" t="str">
        <f>IFERROR(__xludf.DUMMYFUNCTION("""COMPUTED_VALUE"""),"{}")</f>
        <v>{}</v>
      </c>
      <c r="L1563" s="148" t="str">
        <f>IFERROR(__xludf.DUMMYFUNCTION("""COMPUTED_VALUE"""),"{}")</f>
        <v>{}</v>
      </c>
      <c r="M1563" s="148">
        <f>IFERROR(__xludf.DUMMYFUNCTION("""COMPUTED_VALUE"""),1.0)</f>
        <v>1</v>
      </c>
      <c r="N1563" s="148">
        <f>IFERROR(__xludf.DUMMYFUNCTION("""COMPUTED_VALUE"""),999999.0)</f>
        <v>999999</v>
      </c>
      <c r="O1563" s="148">
        <f>IFERROR(__xludf.DUMMYFUNCTION("""COMPUTED_VALUE"""),99999.0)</f>
        <v>99999</v>
      </c>
      <c r="P1563" s="148">
        <f>IFERROR(__xludf.DUMMYFUNCTION("""COMPUTED_VALUE"""),9999.0)</f>
        <v>9999</v>
      </c>
      <c r="Q1563" s="148" t="str">
        <f>IFERROR(__xludf.DUMMYFUNCTION("""COMPUTED_VALUE"""),"[]")</f>
        <v>[]</v>
      </c>
      <c r="R1563" s="148" t="str">
        <f>IFERROR(__xludf.DUMMYFUNCTION("""COMPUTED_VALUE"""),"[]")</f>
        <v>[]</v>
      </c>
      <c r="S1563" s="148" t="str">
        <f>IFERROR(__xludf.DUMMYFUNCTION("""COMPUTED_VALUE"""),"{""effect"":[{""typ"":""event"",""id"":21121341},{""typ"":""miss_lost_reward""}]}")</f>
        <v>{"effect":[{"typ":"event","id":21121341},{"typ":"miss_lost_reward"}]}</v>
      </c>
      <c r="T1563" s="148">
        <f>IFERROR(__xludf.DUMMYFUNCTION("""COMPUTED_VALUE"""),-1.0)</f>
        <v>-1</v>
      </c>
      <c r="U1563" s="148">
        <f>IFERROR(__xludf.DUMMYFUNCTION("""COMPUTED_VALUE"""),1.0)</f>
        <v>1</v>
      </c>
      <c r="V1563" s="148" t="str">
        <f>IFERROR(__xludf.DUMMYFUNCTION("""COMPUTED_VALUE"""),"[]")</f>
        <v>[]</v>
      </c>
      <c r="W1563" s="148">
        <f>IFERROR(__xludf.DUMMYFUNCTION("""COMPUTED_VALUE"""),1.174E7)</f>
        <v>11740000</v>
      </c>
      <c r="X1563" s="148">
        <f>IFERROR(__xludf.DUMMYFUNCTION("""COMPUTED_VALUE"""),0.0)</f>
        <v>0</v>
      </c>
      <c r="Y1563" s="148">
        <f>IFERROR(__xludf.DUMMYFUNCTION("""COMPUTED_VALUE"""),0.0)</f>
        <v>0</v>
      </c>
      <c r="Z1563" s="148"/>
    </row>
    <row r="1564">
      <c r="A1564" s="148">
        <f>IFERROR(__xludf.DUMMYFUNCTION("""COMPUTED_VALUE"""),1.1117205E7)</f>
        <v>11117205</v>
      </c>
      <c r="B1564" s="148" t="str">
        <f>IFERROR(__xludf.DUMMYFUNCTION("""COMPUTED_VALUE"""),"预流失活动道具-幸运积分")</f>
        <v>预流失活动道具-幸运积分</v>
      </c>
      <c r="C1564" s="148"/>
      <c r="D1564" s="148" t="str">
        <f>IFERROR(__xludf.DUMMYFUNCTION("""COMPUTED_VALUE"""),"event_progress")</f>
        <v>event_progress</v>
      </c>
      <c r="E1564" s="148">
        <f>IFERROR(__xludf.DUMMYFUNCTION("""COMPUTED_VALUE"""),0.0)</f>
        <v>0</v>
      </c>
      <c r="F1564" s="148">
        <f>IFERROR(__xludf.DUMMYFUNCTION("""COMPUTED_VALUE"""),405409.0)</f>
        <v>405409</v>
      </c>
      <c r="G1564" s="148">
        <f>IFERROR(__xludf.DUMMYFUNCTION("""COMPUTED_VALUE"""),1.5115115E7)</f>
        <v>15115115</v>
      </c>
      <c r="H1564" s="148">
        <f>IFERROR(__xludf.DUMMYFUNCTION("""COMPUTED_VALUE"""),1.5112561E7)</f>
        <v>15112561</v>
      </c>
      <c r="I1564" s="148" t="str">
        <f>IFERROR(__xludf.DUMMYFUNCTION("""COMPUTED_VALUE"""),"{}")</f>
        <v>{}</v>
      </c>
      <c r="J1564" s="148" t="str">
        <f>IFERROR(__xludf.DUMMYFUNCTION("""COMPUTED_VALUE"""),"{""typ"":""lc"",""txt"":""LC_ITEM_pre_lost_lucky_point""}")</f>
        <v>{"typ":"lc","txt":"LC_ITEM_pre_lost_lucky_point"}</v>
      </c>
      <c r="K1564" s="148" t="str">
        <f>IFERROR(__xludf.DUMMYFUNCTION("""COMPUTED_VALUE"""),"{""typ"":""lc"",""txt"":""LC_ITEM_pre_lost_lucky_point_desc""}")</f>
        <v>{"typ":"lc","txt":"LC_ITEM_pre_lost_lucky_point_desc"}</v>
      </c>
      <c r="L1564" s="148" t="str">
        <f>IFERROR(__xludf.DUMMYFUNCTION("""COMPUTED_VALUE"""),"{}")</f>
        <v>{}</v>
      </c>
      <c r="M1564" s="148">
        <f>IFERROR(__xludf.DUMMYFUNCTION("""COMPUTED_VALUE"""),110.0)</f>
        <v>110</v>
      </c>
      <c r="N1564" s="148">
        <f>IFERROR(__xludf.DUMMYFUNCTION("""COMPUTED_VALUE"""),999999.0)</f>
        <v>999999</v>
      </c>
      <c r="O1564" s="148">
        <f>IFERROR(__xludf.DUMMYFUNCTION("""COMPUTED_VALUE"""),99999.0)</f>
        <v>99999</v>
      </c>
      <c r="P1564" s="148">
        <f>IFERROR(__xludf.DUMMYFUNCTION("""COMPUTED_VALUE"""),9999.0)</f>
        <v>9999</v>
      </c>
      <c r="Q1564" s="148" t="str">
        <f>IFERROR(__xludf.DUMMYFUNCTION("""COMPUTED_VALUE"""),"[""bag_other""]")</f>
        <v>["bag_other"]</v>
      </c>
      <c r="R1564" s="148" t="str">
        <f>IFERROR(__xludf.DUMMYFUNCTION("""COMPUTED_VALUE"""),"[]")</f>
        <v>[]</v>
      </c>
      <c r="S1564" s="148" t="str">
        <f>IFERROR(__xludf.DUMMYFUNCTION("""COMPUTED_VALUE"""),"{""effect"":[{""typ"":""event"",""id"":21121345}]}")</f>
        <v>{"effect":[{"typ":"event","id":21121345}]}</v>
      </c>
      <c r="T1564" s="148">
        <f>IFERROR(__xludf.DUMMYFUNCTION("""COMPUTED_VALUE"""),-1.0)</f>
        <v>-1</v>
      </c>
      <c r="U1564" s="148">
        <f>IFERROR(__xludf.DUMMYFUNCTION("""COMPUTED_VALUE"""),1.0)</f>
        <v>1</v>
      </c>
      <c r="V1564" s="148" t="str">
        <f>IFERROR(__xludf.DUMMYFUNCTION("""COMPUTED_VALUE"""),"[]")</f>
        <v>[]</v>
      </c>
      <c r="W1564" s="148">
        <f>IFERROR(__xludf.DUMMYFUNCTION("""COMPUTED_VALUE"""),1.174E7)</f>
        <v>11740000</v>
      </c>
      <c r="X1564" s="148">
        <f>IFERROR(__xludf.DUMMYFUNCTION("""COMPUTED_VALUE"""),0.0)</f>
        <v>0</v>
      </c>
      <c r="Y1564" s="148">
        <f>IFERROR(__xludf.DUMMYFUNCTION("""COMPUTED_VALUE"""),0.0)</f>
        <v>0</v>
      </c>
      <c r="Z1564" s="148"/>
    </row>
    <row r="1565">
      <c r="A1565" s="148">
        <f>IFERROR(__xludf.DUMMYFUNCTION("""COMPUTED_VALUE"""),1.1117206E7)</f>
        <v>11117206</v>
      </c>
      <c r="B1565" s="148" t="str">
        <f>IFERROR(__xludf.DUMMYFUNCTION("""COMPUTED_VALUE"""),"展台零件")</f>
        <v>展台零件</v>
      </c>
      <c r="C1565" s="148"/>
      <c r="D1565" s="148" t="str">
        <f>IFERROR(__xludf.DUMMYFUNCTION("""COMPUTED_VALUE"""),"item_asset")</f>
        <v>item_asset</v>
      </c>
      <c r="E1565" s="148">
        <f>IFERROR(__xludf.DUMMYFUNCTION("""COMPUTED_VALUE"""),0.0)</f>
        <v>0</v>
      </c>
      <c r="F1565" s="148">
        <f>IFERROR(__xludf.DUMMYFUNCTION("""COMPUTED_VALUE"""),415302.0)</f>
        <v>415302</v>
      </c>
      <c r="G1565" s="148">
        <f>IFERROR(__xludf.DUMMYFUNCTION("""COMPUTED_VALUE"""),1.5115167E7)</f>
        <v>15115167</v>
      </c>
      <c r="H1565" s="148">
        <f>IFERROR(__xludf.DUMMYFUNCTION("""COMPUTED_VALUE"""),1.5112562E7)</f>
        <v>15112562</v>
      </c>
      <c r="I1565" s="148" t="str">
        <f>IFERROR(__xludf.DUMMYFUNCTION("""COMPUTED_VALUE"""),"{}")</f>
        <v>{}</v>
      </c>
      <c r="J1565" s="148" t="str">
        <f>IFERROR(__xludf.DUMMYFUNCTION("""COMPUTED_VALUE"""),"{""typ"":""lc"",""txt"":""LC_ITEM_collection_upgrade_item1""}")</f>
        <v>{"typ":"lc","txt":"LC_ITEM_collection_upgrade_item1"}</v>
      </c>
      <c r="K1565" s="148" t="str">
        <f>IFERROR(__xludf.DUMMYFUNCTION("""COMPUTED_VALUE"""),"{""typ"":""lc"",""txt"":""LC_ITEM_collection_upgrade_item_desc1""}")</f>
        <v>{"typ":"lc","txt":"LC_ITEM_collection_upgrade_item_desc1"}</v>
      </c>
      <c r="L1565" s="148" t="str">
        <f>IFERROR(__xludf.DUMMYFUNCTION("""COMPUTED_VALUE"""),"{}")</f>
        <v>{}</v>
      </c>
      <c r="M1565" s="148">
        <f>IFERROR(__xludf.DUMMYFUNCTION("""COMPUTED_VALUE"""),10.0)</f>
        <v>10</v>
      </c>
      <c r="N1565" s="148">
        <f>IFERROR(__xludf.DUMMYFUNCTION("""COMPUTED_VALUE"""),9999999.0)</f>
        <v>9999999</v>
      </c>
      <c r="O1565" s="148">
        <f>IFERROR(__xludf.DUMMYFUNCTION("""COMPUTED_VALUE"""),99999.0)</f>
        <v>99999</v>
      </c>
      <c r="P1565" s="148">
        <f>IFERROR(__xludf.DUMMYFUNCTION("""COMPUTED_VALUE"""),99999.0)</f>
        <v>99999</v>
      </c>
      <c r="Q1565" s="148" t="str">
        <f>IFERROR(__xludf.DUMMYFUNCTION("""COMPUTED_VALUE"""),"[""bag_other""]")</f>
        <v>["bag_other"]</v>
      </c>
      <c r="R1565" s="148" t="str">
        <f>IFERROR(__xludf.DUMMYFUNCTION("""COMPUTED_VALUE"""),"[]")</f>
        <v>[]</v>
      </c>
      <c r="S1565" s="148" t="str">
        <f>IFERROR(__xludf.DUMMYFUNCTION("""COMPUTED_VALUE"""),"{}")</f>
        <v>{}</v>
      </c>
      <c r="T1565" s="148">
        <f>IFERROR(__xludf.DUMMYFUNCTION("""COMPUTED_VALUE"""),-1.0)</f>
        <v>-1</v>
      </c>
      <c r="U1565" s="148">
        <f>IFERROR(__xludf.DUMMYFUNCTION("""COMPUTED_VALUE"""),0.0)</f>
        <v>0</v>
      </c>
      <c r="V1565" s="148" t="str">
        <f>IFERROR(__xludf.DUMMYFUNCTION("""COMPUTED_VALUE"""),"[]")</f>
        <v>[]</v>
      </c>
      <c r="W1565" s="148">
        <f>IFERROR(__xludf.DUMMYFUNCTION("""COMPUTED_VALUE"""),1.1741004E7)</f>
        <v>11741004</v>
      </c>
      <c r="X1565" s="148">
        <f>IFERROR(__xludf.DUMMYFUNCTION("""COMPUTED_VALUE"""),0.0)</f>
        <v>0</v>
      </c>
      <c r="Y1565" s="148">
        <f>IFERROR(__xludf.DUMMYFUNCTION("""COMPUTED_VALUE"""),0.0)</f>
        <v>0</v>
      </c>
      <c r="Z1565" s="148"/>
    </row>
    <row r="1566">
      <c r="A1566" s="148">
        <f>IFERROR(__xludf.DUMMYFUNCTION("""COMPUTED_VALUE"""),1.1117207E7)</f>
        <v>11117207</v>
      </c>
      <c r="B1566" s="148" t="str">
        <f>IFERROR(__xludf.DUMMYFUNCTION("""COMPUTED_VALUE"""),"展台板材")</f>
        <v>展台板材</v>
      </c>
      <c r="C1566" s="148"/>
      <c r="D1566" s="148" t="str">
        <f>IFERROR(__xludf.DUMMYFUNCTION("""COMPUTED_VALUE"""),"item_asset")</f>
        <v>item_asset</v>
      </c>
      <c r="E1566" s="148">
        <f>IFERROR(__xludf.DUMMYFUNCTION("""COMPUTED_VALUE"""),0.0)</f>
        <v>0</v>
      </c>
      <c r="F1566" s="148">
        <f>IFERROR(__xludf.DUMMYFUNCTION("""COMPUTED_VALUE"""),415101.0)</f>
        <v>415101</v>
      </c>
      <c r="G1566" s="148">
        <f>IFERROR(__xludf.DUMMYFUNCTION("""COMPUTED_VALUE"""),1.5115168E7)</f>
        <v>15115168</v>
      </c>
      <c r="H1566" s="148">
        <f>IFERROR(__xludf.DUMMYFUNCTION("""COMPUTED_VALUE"""),1.5112564E7)</f>
        <v>15112564</v>
      </c>
      <c r="I1566" s="148" t="str">
        <f>IFERROR(__xludf.DUMMYFUNCTION("""COMPUTED_VALUE"""),"{}")</f>
        <v>{}</v>
      </c>
      <c r="J1566" s="148" t="str">
        <f>IFERROR(__xludf.DUMMYFUNCTION("""COMPUTED_VALUE"""),"{""typ"":""lc"",""txt"":""LC_ITEM_collection_upgrade_item2""}")</f>
        <v>{"typ":"lc","txt":"LC_ITEM_collection_upgrade_item2"}</v>
      </c>
      <c r="K1566" s="148" t="str">
        <f>IFERROR(__xludf.DUMMYFUNCTION("""COMPUTED_VALUE"""),"{""typ"":""lc"",""txt"":""LC_ITEM_collection_upgrade_item_desc2""}")</f>
        <v>{"typ":"lc","txt":"LC_ITEM_collection_upgrade_item_desc2"}</v>
      </c>
      <c r="L1566" s="148" t="str">
        <f>IFERROR(__xludf.DUMMYFUNCTION("""COMPUTED_VALUE"""),"{}")</f>
        <v>{}</v>
      </c>
      <c r="M1566" s="148">
        <f>IFERROR(__xludf.DUMMYFUNCTION("""COMPUTED_VALUE"""),50.0)</f>
        <v>50</v>
      </c>
      <c r="N1566" s="148">
        <f>IFERROR(__xludf.DUMMYFUNCTION("""COMPUTED_VALUE"""),9999999.0)</f>
        <v>9999999</v>
      </c>
      <c r="O1566" s="148">
        <f>IFERROR(__xludf.DUMMYFUNCTION("""COMPUTED_VALUE"""),99999.0)</f>
        <v>99999</v>
      </c>
      <c r="P1566" s="148">
        <f>IFERROR(__xludf.DUMMYFUNCTION("""COMPUTED_VALUE"""),99999.0)</f>
        <v>99999</v>
      </c>
      <c r="Q1566" s="148" t="str">
        <f>IFERROR(__xludf.DUMMYFUNCTION("""COMPUTED_VALUE"""),"[""bag_other""]")</f>
        <v>["bag_other"]</v>
      </c>
      <c r="R1566" s="148" t="str">
        <f>IFERROR(__xludf.DUMMYFUNCTION("""COMPUTED_VALUE"""),"[]")</f>
        <v>[]</v>
      </c>
      <c r="S1566" s="148" t="str">
        <f>IFERROR(__xludf.DUMMYFUNCTION("""COMPUTED_VALUE"""),"{}")</f>
        <v>{}</v>
      </c>
      <c r="T1566" s="148">
        <f>IFERROR(__xludf.DUMMYFUNCTION("""COMPUTED_VALUE"""),-1.0)</f>
        <v>-1</v>
      </c>
      <c r="U1566" s="148">
        <f>IFERROR(__xludf.DUMMYFUNCTION("""COMPUTED_VALUE"""),0.0)</f>
        <v>0</v>
      </c>
      <c r="V1566" s="148" t="str">
        <f>IFERROR(__xludf.DUMMYFUNCTION("""COMPUTED_VALUE"""),"[]")</f>
        <v>[]</v>
      </c>
      <c r="W1566" s="148">
        <f>IFERROR(__xludf.DUMMYFUNCTION("""COMPUTED_VALUE"""),1.1741004E7)</f>
        <v>11741004</v>
      </c>
      <c r="X1566" s="148">
        <f>IFERROR(__xludf.DUMMYFUNCTION("""COMPUTED_VALUE"""),0.0)</f>
        <v>0</v>
      </c>
      <c r="Y1566" s="148">
        <f>IFERROR(__xludf.DUMMYFUNCTION("""COMPUTED_VALUE"""),0.0)</f>
        <v>0</v>
      </c>
      <c r="Z1566" s="148"/>
    </row>
    <row r="1567">
      <c r="A1567" s="148">
        <f>IFERROR(__xludf.DUMMYFUNCTION("""COMPUTED_VALUE"""),1.1117208E7)</f>
        <v>11117208</v>
      </c>
      <c r="B1567" s="148" t="str">
        <f>IFERROR(__xludf.DUMMYFUNCTION("""COMPUTED_VALUE"""),"泳池派对钓鱼券")</f>
        <v>泳池派对钓鱼券</v>
      </c>
      <c r="C1567" s="148"/>
      <c r="D1567" s="148" t="str">
        <f>IFERROR(__xludf.DUMMYFUNCTION("""COMPUTED_VALUE"""),"event")</f>
        <v>event</v>
      </c>
      <c r="E1567" s="148">
        <f>IFERROR(__xludf.DUMMYFUNCTION("""COMPUTED_VALUE"""),0.0)</f>
        <v>0</v>
      </c>
      <c r="F1567" s="148">
        <f>IFERROR(__xludf.DUMMYFUNCTION("""COMPUTED_VALUE"""),405243.0)</f>
        <v>405243</v>
      </c>
      <c r="G1567" s="148">
        <f>IFERROR(__xludf.DUMMYFUNCTION("""COMPUTED_VALUE"""),1.5115189E7)</f>
        <v>15115189</v>
      </c>
      <c r="H1567" s="148">
        <f>IFERROR(__xludf.DUMMYFUNCTION("""COMPUTED_VALUE"""),1.5112564E7)</f>
        <v>15112564</v>
      </c>
      <c r="I1567" s="148" t="str">
        <f>IFERROR(__xludf.DUMMYFUNCTION("""COMPUTED_VALUE"""),"{}")</f>
        <v>{}</v>
      </c>
      <c r="J1567" s="148" t="str">
        <f>IFERROR(__xludf.DUMMYFUNCTION("""COMPUTED_VALUE"""),"{""typ"":""lc"",""txt"":""LC_ITEM_normal_skingacha_fishing""}")</f>
        <v>{"typ":"lc","txt":"LC_ITEM_normal_skingacha_fishing"}</v>
      </c>
      <c r="K1567" s="148" t="str">
        <f>IFERROR(__xludf.DUMMYFUNCTION("""COMPUTED_VALUE"""),"{""typ"":""lc"",""txt"":""LC_ITEM_normal_skingacha_fishing_desc""}")</f>
        <v>{"typ":"lc","txt":"LC_ITEM_normal_skingacha_fishing_desc"}</v>
      </c>
      <c r="L1567" s="148" t="str">
        <f>IFERROR(__xludf.DUMMYFUNCTION("""COMPUTED_VALUE"""),"{}")</f>
        <v>{}</v>
      </c>
      <c r="M1567" s="148">
        <f>IFERROR(__xludf.DUMMYFUNCTION("""COMPUTED_VALUE"""),700.0)</f>
        <v>700</v>
      </c>
      <c r="N1567" s="148">
        <f>IFERROR(__xludf.DUMMYFUNCTION("""COMPUTED_VALUE"""),9.99999999E8)</f>
        <v>999999999</v>
      </c>
      <c r="O1567" s="148">
        <f>IFERROR(__xludf.DUMMYFUNCTION("""COMPUTED_VALUE"""),9.99999999E8)</f>
        <v>999999999</v>
      </c>
      <c r="P1567" s="148">
        <f>IFERROR(__xludf.DUMMYFUNCTION("""COMPUTED_VALUE"""),9.99999999E8)</f>
        <v>999999999</v>
      </c>
      <c r="Q1567" s="148" t="str">
        <f>IFERROR(__xludf.DUMMYFUNCTION("""COMPUTED_VALUE"""),"[""bag_other""]")</f>
        <v>["bag_other"]</v>
      </c>
      <c r="R1567" s="148" t="str">
        <f>IFERROR(__xludf.DUMMYFUNCTION("""COMPUTED_VALUE"""),"[""bag""]")</f>
        <v>["bag"]</v>
      </c>
      <c r="S1567" s="148" t="str">
        <f>IFERROR(__xludf.DUMMYFUNCTION("""COMPUTED_VALUE"""),"{}")</f>
        <v>{}</v>
      </c>
      <c r="T1567" s="148">
        <f>IFERROR(__xludf.DUMMYFUNCTION("""COMPUTED_VALUE"""),-1.0)</f>
        <v>-1</v>
      </c>
      <c r="U1567" s="148">
        <f>IFERROR(__xludf.DUMMYFUNCTION("""COMPUTED_VALUE"""),0.0)</f>
        <v>0</v>
      </c>
      <c r="V1567" s="148" t="str">
        <f>IFERROR(__xludf.DUMMYFUNCTION("""COMPUTED_VALUE"""),"[]")</f>
        <v>[]</v>
      </c>
      <c r="W1567" s="148">
        <f>IFERROR(__xludf.DUMMYFUNCTION("""COMPUTED_VALUE"""),1.174E7)</f>
        <v>11740000</v>
      </c>
      <c r="X1567" s="148">
        <f>IFERROR(__xludf.DUMMYFUNCTION("""COMPUTED_VALUE"""),0.0)</f>
        <v>0</v>
      </c>
      <c r="Y1567" s="148">
        <f>IFERROR(__xludf.DUMMYFUNCTION("""COMPUTED_VALUE"""),0.0)</f>
        <v>0</v>
      </c>
      <c r="Z1567" s="148"/>
    </row>
    <row r="1568">
      <c r="A1568" s="148">
        <f>IFERROR(__xludf.DUMMYFUNCTION("""COMPUTED_VALUE"""),1.1117209E7)</f>
        <v>11117209</v>
      </c>
      <c r="B1568" s="148" t="str">
        <f>IFERROR(__xludf.DUMMYFUNCTION("""COMPUTED_VALUE"""),"bp道具-观赏券")</f>
        <v>bp道具-观赏券</v>
      </c>
      <c r="C1568" s="148"/>
      <c r="D1568" s="148" t="str">
        <f>IFERROR(__xludf.DUMMYFUNCTION("""COMPUTED_VALUE"""),"battle_pass_exp")</f>
        <v>battle_pass_exp</v>
      </c>
      <c r="E1568" s="148">
        <f>IFERROR(__xludf.DUMMYFUNCTION("""COMPUTED_VALUE"""),0.0)</f>
        <v>0</v>
      </c>
      <c r="F1568" s="148">
        <f>IFERROR(__xludf.DUMMYFUNCTION("""COMPUTED_VALUE"""),405246.0)</f>
        <v>405246</v>
      </c>
      <c r="G1568" s="148">
        <f>IFERROR(__xludf.DUMMYFUNCTION("""COMPUTED_VALUE"""),1.511516E7)</f>
        <v>15115160</v>
      </c>
      <c r="H1568" s="148">
        <f>IFERROR(__xludf.DUMMYFUNCTION("""COMPUTED_VALUE"""),1.5112563E7)</f>
        <v>15112563</v>
      </c>
      <c r="I1568" s="148" t="str">
        <f>IFERROR(__xludf.DUMMYFUNCTION("""COMPUTED_VALUE"""),"{}")</f>
        <v>{}</v>
      </c>
      <c r="J1568" s="148" t="str">
        <f>IFERROR(__xludf.DUMMYFUNCTION("""COMPUTED_VALUE"""),"{""typ"":""lc"",""txt"":""LC_ITEM_circus_bp_item_name""}")</f>
        <v>{"typ":"lc","txt":"LC_ITEM_circus_bp_item_name"}</v>
      </c>
      <c r="K1568" s="148" t="str">
        <f>IFERROR(__xludf.DUMMYFUNCTION("""COMPUTED_VALUE"""),"{""typ"":""lc"",""txt"":""LC_ITEM_circus_bp_item_desc""}")</f>
        <v>{"typ":"lc","txt":"LC_ITEM_circus_bp_item_desc"}</v>
      </c>
      <c r="L1568" s="148" t="str">
        <f>IFERROR(__xludf.DUMMYFUNCTION("""COMPUTED_VALUE"""),"{}")</f>
        <v>{}</v>
      </c>
      <c r="M1568" s="148">
        <f>IFERROR(__xludf.DUMMYFUNCTION("""COMPUTED_VALUE"""),35.0)</f>
        <v>35</v>
      </c>
      <c r="N1568" s="148">
        <f>IFERROR(__xludf.DUMMYFUNCTION("""COMPUTED_VALUE"""),999999.0)</f>
        <v>999999</v>
      </c>
      <c r="O1568" s="148">
        <f>IFERROR(__xludf.DUMMYFUNCTION("""COMPUTED_VALUE"""),99999.0)</f>
        <v>99999</v>
      </c>
      <c r="P1568" s="148">
        <f>IFERROR(__xludf.DUMMYFUNCTION("""COMPUTED_VALUE"""),99999.0)</f>
        <v>99999</v>
      </c>
      <c r="Q1568" s="148" t="str">
        <f>IFERROR(__xludf.DUMMYFUNCTION("""COMPUTED_VALUE"""),"[""bag_other""]")</f>
        <v>["bag_other"]</v>
      </c>
      <c r="R1568" s="148" t="str">
        <f>IFERROR(__xludf.DUMMYFUNCTION("""COMPUTED_VALUE"""),"[""bag""]")</f>
        <v>["bag"]</v>
      </c>
      <c r="S1568" s="148" t="str">
        <f>IFERROR(__xludf.DUMMYFUNCTION("""COMPUTED_VALUE"""),"{}")</f>
        <v>{}</v>
      </c>
      <c r="T1568" s="148">
        <f>IFERROR(__xludf.DUMMYFUNCTION("""COMPUTED_VALUE"""),-1.0)</f>
        <v>-1</v>
      </c>
      <c r="U1568" s="148">
        <f>IFERROR(__xludf.DUMMYFUNCTION("""COMPUTED_VALUE"""),0.0)</f>
        <v>0</v>
      </c>
      <c r="V1568" s="148" t="str">
        <f>IFERROR(__xludf.DUMMYFUNCTION("""COMPUTED_VALUE"""),"[]")</f>
        <v>[]</v>
      </c>
      <c r="W1568" s="148">
        <f>IFERROR(__xludf.DUMMYFUNCTION("""COMPUTED_VALUE"""),1.174E7)</f>
        <v>11740000</v>
      </c>
      <c r="X1568" s="148">
        <f>IFERROR(__xludf.DUMMYFUNCTION("""COMPUTED_VALUE"""),0.0)</f>
        <v>0</v>
      </c>
      <c r="Y1568" s="148">
        <f>IFERROR(__xludf.DUMMYFUNCTION("""COMPUTED_VALUE"""),0.0)</f>
        <v>0</v>
      </c>
      <c r="Z1568" s="148"/>
    </row>
    <row r="1569">
      <c r="A1569" s="148">
        <f>IFERROR(__xludf.DUMMYFUNCTION("""COMPUTED_VALUE"""),1.111721E7)</f>
        <v>11117210</v>
      </c>
      <c r="B1569" s="148" t="str">
        <f>IFERROR(__xludf.DUMMYFUNCTION("""COMPUTED_VALUE"""),"马戏节-BattlePass-初级通行证")</f>
        <v>马戏节-BattlePass-初级通行证</v>
      </c>
      <c r="C1569" s="148"/>
      <c r="D1569" s="148" t="str">
        <f>IFERROR(__xludf.DUMMYFUNCTION("""COMPUTED_VALUE"""),"battle_pass_card")</f>
        <v>battle_pass_card</v>
      </c>
      <c r="E1569" s="148">
        <f>IFERROR(__xludf.DUMMYFUNCTION("""COMPUTED_VALUE"""),0.0)</f>
        <v>0</v>
      </c>
      <c r="F1569" s="148">
        <f>IFERROR(__xludf.DUMMYFUNCTION("""COMPUTED_VALUE"""),0.0)</f>
        <v>0</v>
      </c>
      <c r="G1569" s="148">
        <f>IFERROR(__xludf.DUMMYFUNCTION("""COMPUTED_VALUE"""),1.5113625E7)</f>
        <v>15113625</v>
      </c>
      <c r="H1569" s="148">
        <f>IFERROR(__xludf.DUMMYFUNCTION("""COMPUTED_VALUE"""),1.5112563E7)</f>
        <v>15112563</v>
      </c>
      <c r="I1569" s="148" t="str">
        <f>IFERROR(__xludf.DUMMYFUNCTION("""COMPUTED_VALUE"""),"{}")</f>
        <v>{}</v>
      </c>
      <c r="J1569" s="148" t="str">
        <f>IFERROR(__xludf.DUMMYFUNCTION("""COMPUTED_VALUE"""),"{""typ"":""lc"",""txt"":""LC_ITEM_battlepass_exp_name""}")</f>
        <v>{"typ":"lc","txt":"LC_ITEM_battlepass_exp_name"}</v>
      </c>
      <c r="K1569" s="148" t="str">
        <f>IFERROR(__xludf.DUMMYFUNCTION("""COMPUTED_VALUE"""),"{}")</f>
        <v>{}</v>
      </c>
      <c r="L1569" s="148" t="str">
        <f>IFERROR(__xludf.DUMMYFUNCTION("""COMPUTED_VALUE"""),"{}")</f>
        <v>{}</v>
      </c>
      <c r="M1569" s="148">
        <f>IFERROR(__xludf.DUMMYFUNCTION("""COMPUTED_VALUE"""),10.0)</f>
        <v>10</v>
      </c>
      <c r="N1569" s="148">
        <f>IFERROR(__xludf.DUMMYFUNCTION("""COMPUTED_VALUE"""),999999.0)</f>
        <v>999999</v>
      </c>
      <c r="O1569" s="148">
        <f>IFERROR(__xludf.DUMMYFUNCTION("""COMPUTED_VALUE"""),99999.0)</f>
        <v>99999</v>
      </c>
      <c r="P1569" s="148">
        <f>IFERROR(__xludf.DUMMYFUNCTION("""COMPUTED_VALUE"""),9999.0)</f>
        <v>9999</v>
      </c>
      <c r="Q1569" s="148" t="str">
        <f>IFERROR(__xludf.DUMMYFUNCTION("""COMPUTED_VALUE"""),"[]")</f>
        <v>[]</v>
      </c>
      <c r="R1569" s="148" t="str">
        <f>IFERROR(__xludf.DUMMYFUNCTION("""COMPUTED_VALUE"""),"[]")</f>
        <v>[]</v>
      </c>
      <c r="S1569" s="148" t="str">
        <f>IFERROR(__xludf.DUMMYFUNCTION("""COMPUTED_VALUE"""),"{}")</f>
        <v>{}</v>
      </c>
      <c r="T1569" s="148">
        <f>IFERROR(__xludf.DUMMYFUNCTION("""COMPUTED_VALUE"""),-1.0)</f>
        <v>-1</v>
      </c>
      <c r="U1569" s="148">
        <f>IFERROR(__xludf.DUMMYFUNCTION("""COMPUTED_VALUE"""),1.0)</f>
        <v>1</v>
      </c>
      <c r="V1569" s="148" t="str">
        <f>IFERROR(__xludf.DUMMYFUNCTION("""COMPUTED_VALUE"""),"[]")</f>
        <v>[]</v>
      </c>
      <c r="W1569" s="148">
        <f>IFERROR(__xludf.DUMMYFUNCTION("""COMPUTED_VALUE"""),1.174E7)</f>
        <v>11740000</v>
      </c>
      <c r="X1569" s="148">
        <f>IFERROR(__xludf.DUMMYFUNCTION("""COMPUTED_VALUE"""),0.0)</f>
        <v>0</v>
      </c>
      <c r="Y1569" s="148">
        <f>IFERROR(__xludf.DUMMYFUNCTION("""COMPUTED_VALUE"""),0.0)</f>
        <v>0</v>
      </c>
      <c r="Z1569" s="148"/>
    </row>
    <row r="1570">
      <c r="A1570" s="148">
        <f>IFERROR(__xludf.DUMMYFUNCTION("""COMPUTED_VALUE"""),1.1117211E7)</f>
        <v>11117211</v>
      </c>
      <c r="B1570" s="148" t="str">
        <f>IFERROR(__xludf.DUMMYFUNCTION("""COMPUTED_VALUE"""),"马戏节-BattlePass-高级通行证")</f>
        <v>马戏节-BattlePass-高级通行证</v>
      </c>
      <c r="C1570" s="148"/>
      <c r="D1570" s="148" t="str">
        <f>IFERROR(__xludf.DUMMYFUNCTION("""COMPUTED_VALUE"""),"battle_pass_card")</f>
        <v>battle_pass_card</v>
      </c>
      <c r="E1570" s="148">
        <f>IFERROR(__xludf.DUMMYFUNCTION("""COMPUTED_VALUE"""),0.0)</f>
        <v>0</v>
      </c>
      <c r="F1570" s="148">
        <f>IFERROR(__xludf.DUMMYFUNCTION("""COMPUTED_VALUE"""),0.0)</f>
        <v>0</v>
      </c>
      <c r="G1570" s="148">
        <f>IFERROR(__xludf.DUMMYFUNCTION("""COMPUTED_VALUE"""),1.5113625E7)</f>
        <v>15113625</v>
      </c>
      <c r="H1570" s="148">
        <f>IFERROR(__xludf.DUMMYFUNCTION("""COMPUTED_VALUE"""),1.5112563E7)</f>
        <v>15112563</v>
      </c>
      <c r="I1570" s="148" t="str">
        <f>IFERROR(__xludf.DUMMYFUNCTION("""COMPUTED_VALUE"""),"{}")</f>
        <v>{}</v>
      </c>
      <c r="J1570" s="148" t="str">
        <f>IFERROR(__xludf.DUMMYFUNCTION("""COMPUTED_VALUE"""),"{""typ"":""lc"",""txt"":""LC_ITEM_battlepass_exp_name""}")</f>
        <v>{"typ":"lc","txt":"LC_ITEM_battlepass_exp_name"}</v>
      </c>
      <c r="K1570" s="148" t="str">
        <f>IFERROR(__xludf.DUMMYFUNCTION("""COMPUTED_VALUE"""),"{}")</f>
        <v>{}</v>
      </c>
      <c r="L1570" s="148" t="str">
        <f>IFERROR(__xludf.DUMMYFUNCTION("""COMPUTED_VALUE"""),"{}")</f>
        <v>{}</v>
      </c>
      <c r="M1570" s="148">
        <f>IFERROR(__xludf.DUMMYFUNCTION("""COMPUTED_VALUE"""),10.0)</f>
        <v>10</v>
      </c>
      <c r="N1570" s="148">
        <f>IFERROR(__xludf.DUMMYFUNCTION("""COMPUTED_VALUE"""),999999.0)</f>
        <v>999999</v>
      </c>
      <c r="O1570" s="148">
        <f>IFERROR(__xludf.DUMMYFUNCTION("""COMPUTED_VALUE"""),99999.0)</f>
        <v>99999</v>
      </c>
      <c r="P1570" s="148">
        <f>IFERROR(__xludf.DUMMYFUNCTION("""COMPUTED_VALUE"""),9999.0)</f>
        <v>9999</v>
      </c>
      <c r="Q1570" s="148" t="str">
        <f>IFERROR(__xludf.DUMMYFUNCTION("""COMPUTED_VALUE"""),"[]")</f>
        <v>[]</v>
      </c>
      <c r="R1570" s="148" t="str">
        <f>IFERROR(__xludf.DUMMYFUNCTION("""COMPUTED_VALUE"""),"[]")</f>
        <v>[]</v>
      </c>
      <c r="S1570" s="148" t="str">
        <f>IFERROR(__xludf.DUMMYFUNCTION("""COMPUTED_VALUE"""),"{}")</f>
        <v>{}</v>
      </c>
      <c r="T1570" s="148">
        <f>IFERROR(__xludf.DUMMYFUNCTION("""COMPUTED_VALUE"""),-1.0)</f>
        <v>-1</v>
      </c>
      <c r="U1570" s="148">
        <f>IFERROR(__xludf.DUMMYFUNCTION("""COMPUTED_VALUE"""),1.0)</f>
        <v>1</v>
      </c>
      <c r="V1570" s="148" t="str">
        <f>IFERROR(__xludf.DUMMYFUNCTION("""COMPUTED_VALUE"""),"[]")</f>
        <v>[]</v>
      </c>
      <c r="W1570" s="148">
        <f>IFERROR(__xludf.DUMMYFUNCTION("""COMPUTED_VALUE"""),1.174E7)</f>
        <v>11740000</v>
      </c>
      <c r="X1570" s="148">
        <f>IFERROR(__xludf.DUMMYFUNCTION("""COMPUTED_VALUE"""),0.0)</f>
        <v>0</v>
      </c>
      <c r="Y1570" s="148">
        <f>IFERROR(__xludf.DUMMYFUNCTION("""COMPUTED_VALUE"""),0.0)</f>
        <v>0</v>
      </c>
      <c r="Z1570" s="148"/>
    </row>
    <row r="1571">
      <c r="A1571" s="148">
        <f>IFERROR(__xludf.DUMMYFUNCTION("""COMPUTED_VALUE"""),1.1117212E7)</f>
        <v>11117212</v>
      </c>
      <c r="B1571" s="148" t="str">
        <f>IFERROR(__xludf.DUMMYFUNCTION("""COMPUTED_VALUE"""),"马戏节活动专用-增加次数道具")</f>
        <v>马戏节活动专用-增加次数道具</v>
      </c>
      <c r="C1571" s="148"/>
      <c r="D1571" s="148" t="str">
        <f>IFERROR(__xludf.DUMMYFUNCTION("""COMPUTED_VALUE"""),"event_progress")</f>
        <v>event_progress</v>
      </c>
      <c r="E1571" s="148">
        <f>IFERROR(__xludf.DUMMYFUNCTION("""COMPUTED_VALUE"""),0.0)</f>
        <v>0</v>
      </c>
      <c r="F1571" s="148">
        <f>IFERROR(__xludf.DUMMYFUNCTION("""COMPUTED_VALUE"""),0.0)</f>
        <v>0</v>
      </c>
      <c r="G1571" s="148">
        <f>IFERROR(__xludf.DUMMYFUNCTION("""COMPUTED_VALUE"""),1.5113732E7)</f>
        <v>15113732</v>
      </c>
      <c r="H1571" s="148">
        <f>IFERROR(__xludf.DUMMYFUNCTION("""COMPUTED_VALUE"""),1.5112563E7)</f>
        <v>15112563</v>
      </c>
      <c r="I1571" s="148" t="str">
        <f>IFERROR(__xludf.DUMMYFUNCTION("""COMPUTED_VALUE"""),"{}")</f>
        <v>{}</v>
      </c>
      <c r="J1571" s="148" t="str">
        <f>IFERROR(__xludf.DUMMYFUNCTION("""COMPUTED_VALUE"""),"{}")</f>
        <v>{}</v>
      </c>
      <c r="K1571" s="148" t="str">
        <f>IFERROR(__xludf.DUMMYFUNCTION("""COMPUTED_VALUE"""),"{}")</f>
        <v>{}</v>
      </c>
      <c r="L1571" s="148" t="str">
        <f>IFERROR(__xludf.DUMMYFUNCTION("""COMPUTED_VALUE"""),"{}")</f>
        <v>{}</v>
      </c>
      <c r="M1571" s="148">
        <f>IFERROR(__xludf.DUMMYFUNCTION("""COMPUTED_VALUE"""),1.0)</f>
        <v>1</v>
      </c>
      <c r="N1571" s="148">
        <f>IFERROR(__xludf.DUMMYFUNCTION("""COMPUTED_VALUE"""),999999.0)</f>
        <v>999999</v>
      </c>
      <c r="O1571" s="148">
        <f>IFERROR(__xludf.DUMMYFUNCTION("""COMPUTED_VALUE"""),99999.0)</f>
        <v>99999</v>
      </c>
      <c r="P1571" s="148">
        <f>IFERROR(__xludf.DUMMYFUNCTION("""COMPUTED_VALUE"""),9999.0)</f>
        <v>9999</v>
      </c>
      <c r="Q1571" s="148" t="str">
        <f>IFERROR(__xludf.DUMMYFUNCTION("""COMPUTED_VALUE"""),"[]")</f>
        <v>[]</v>
      </c>
      <c r="R1571" s="148" t="str">
        <f>IFERROR(__xludf.DUMMYFUNCTION("""COMPUTED_VALUE"""),"[]")</f>
        <v>[]</v>
      </c>
      <c r="S1571" s="148" t="str">
        <f>IFERROR(__xludf.DUMMYFUNCTION("""COMPUTED_VALUE"""),"{""effect"":[{""typ"":""event"",""id"":21121351},{""typ"":""miss_lost_reward""}]}")</f>
        <v>{"effect":[{"typ":"event","id":21121351},{"typ":"miss_lost_reward"}]}</v>
      </c>
      <c r="T1571" s="148">
        <f>IFERROR(__xludf.DUMMYFUNCTION("""COMPUTED_VALUE"""),-1.0)</f>
        <v>-1</v>
      </c>
      <c r="U1571" s="148">
        <f>IFERROR(__xludf.DUMMYFUNCTION("""COMPUTED_VALUE"""),1.0)</f>
        <v>1</v>
      </c>
      <c r="V1571" s="148" t="str">
        <f>IFERROR(__xludf.DUMMYFUNCTION("""COMPUTED_VALUE"""),"[]")</f>
        <v>[]</v>
      </c>
      <c r="W1571" s="148">
        <f>IFERROR(__xludf.DUMMYFUNCTION("""COMPUTED_VALUE"""),1.174E7)</f>
        <v>11740000</v>
      </c>
      <c r="X1571" s="148">
        <f>IFERROR(__xludf.DUMMYFUNCTION("""COMPUTED_VALUE"""),0.0)</f>
        <v>0</v>
      </c>
      <c r="Y1571" s="148">
        <f>IFERROR(__xludf.DUMMYFUNCTION("""COMPUTED_VALUE"""),0.0)</f>
        <v>0</v>
      </c>
      <c r="Z1571" s="148"/>
    </row>
    <row r="1572">
      <c r="A1572" s="148">
        <f>IFERROR(__xludf.DUMMYFUNCTION("""COMPUTED_VALUE"""),1.1117213E7)</f>
        <v>11117213</v>
      </c>
      <c r="B1572" s="148" t="str">
        <f>IFERROR(__xludf.DUMMYFUNCTION("""COMPUTED_VALUE"""),"新月卡折扣券")</f>
        <v>新月卡折扣券</v>
      </c>
      <c r="C1572" s="148"/>
      <c r="D1572" s="148" t="str">
        <f>IFERROR(__xludf.DUMMYFUNCTION("""COMPUTED_VALUE"""),"time_card_discount_new")</f>
        <v>time_card_discount_new</v>
      </c>
      <c r="E1572" s="148">
        <f>IFERROR(__xludf.DUMMYFUNCTION("""COMPUTED_VALUE"""),0.0)</f>
        <v>0</v>
      </c>
      <c r="F1572" s="148">
        <f>IFERROR(__xludf.DUMMYFUNCTION("""COMPUTED_VALUE"""),401201.0)</f>
        <v>401201</v>
      </c>
      <c r="G1572" s="148">
        <f>IFERROR(__xludf.DUMMYFUNCTION("""COMPUTED_VALUE"""),1.5113373E7)</f>
        <v>15113373</v>
      </c>
      <c r="H1572" s="148">
        <f>IFERROR(__xludf.DUMMYFUNCTION("""COMPUTED_VALUE"""),1.5112564E7)</f>
        <v>15112564</v>
      </c>
      <c r="I1572" s="148" t="str">
        <f>IFERROR(__xludf.DUMMYFUNCTION("""COMPUTED_VALUE"""),"{}")</f>
        <v>{}</v>
      </c>
      <c r="J1572" s="148" t="str">
        <f>IFERROR(__xludf.DUMMYFUNCTION("""COMPUTED_VALUE"""),"{""typ"":""lc"",""txt"":""LC_ITEM_card_discount_name""}")</f>
        <v>{"typ":"lc","txt":"LC_ITEM_card_discount_name"}</v>
      </c>
      <c r="K1572" s="148" t="str">
        <f>IFERROR(__xludf.DUMMYFUNCTION("""COMPUTED_VALUE"""),"{""typ"":""lc"",""txt"":""LC_ITEM_card_discount_desc""}")</f>
        <v>{"typ":"lc","txt":"LC_ITEM_card_discount_desc"}</v>
      </c>
      <c r="L1572" s="148" t="str">
        <f>IFERROR(__xludf.DUMMYFUNCTION("""COMPUTED_VALUE"""),"{}")</f>
        <v>{}</v>
      </c>
      <c r="M1572" s="148">
        <f>IFERROR(__xludf.DUMMYFUNCTION("""COMPUTED_VALUE"""),10.0)</f>
        <v>10</v>
      </c>
      <c r="N1572" s="148">
        <f>IFERROR(__xludf.DUMMYFUNCTION("""COMPUTED_VALUE"""),1.0)</f>
        <v>1</v>
      </c>
      <c r="O1572" s="148">
        <f>IFERROR(__xludf.DUMMYFUNCTION("""COMPUTED_VALUE"""),1.0)</f>
        <v>1</v>
      </c>
      <c r="P1572" s="148">
        <f>IFERROR(__xludf.DUMMYFUNCTION("""COMPUTED_VALUE"""),1.0)</f>
        <v>1</v>
      </c>
      <c r="Q1572" s="148" t="str">
        <f>IFERROR(__xludf.DUMMYFUNCTION("""COMPUTED_VALUE"""),"[""bag_other""]")</f>
        <v>["bag_other"]</v>
      </c>
      <c r="R1572" s="148" t="str">
        <f>IFERROR(__xludf.DUMMYFUNCTION("""COMPUTED_VALUE"""),"[""bag""]")</f>
        <v>["bag"]</v>
      </c>
      <c r="S1572" s="148" t="str">
        <f>IFERROR(__xludf.DUMMYFUNCTION("""COMPUTED_VALUE"""),"{""effect"":[{""typ"":""iap_time_card"",""id"":201340014}]}")</f>
        <v>{"effect":[{"typ":"iap_time_card","id":201340014}]}</v>
      </c>
      <c r="T1572" s="148">
        <f>IFERROR(__xludf.DUMMYFUNCTION("""COMPUTED_VALUE"""),-1.0)</f>
        <v>-1</v>
      </c>
      <c r="U1572" s="148">
        <f>IFERROR(__xludf.DUMMYFUNCTION("""COMPUTED_VALUE"""),1.0)</f>
        <v>1</v>
      </c>
      <c r="V1572" s="148" t="str">
        <f>IFERROR(__xludf.DUMMYFUNCTION("""COMPUTED_VALUE"""),"[]")</f>
        <v>[]</v>
      </c>
      <c r="W1572" s="148">
        <f>IFERROR(__xludf.DUMMYFUNCTION("""COMPUTED_VALUE"""),1.174E7)</f>
        <v>11740000</v>
      </c>
      <c r="X1572" s="148">
        <f>IFERROR(__xludf.DUMMYFUNCTION("""COMPUTED_VALUE"""),0.0)</f>
        <v>0</v>
      </c>
      <c r="Y1572" s="148">
        <f>IFERROR(__xludf.DUMMYFUNCTION("""COMPUTED_VALUE"""),0.0)</f>
        <v>0</v>
      </c>
      <c r="Z1572" s="148"/>
    </row>
    <row r="1573">
      <c r="A1573" s="148">
        <f>IFERROR(__xludf.DUMMYFUNCTION("""COMPUTED_VALUE"""),1.1117214E7)</f>
        <v>11117214</v>
      </c>
      <c r="B1573" s="148" t="str">
        <f>IFERROR(__xludf.DUMMYFUNCTION("""COMPUTED_VALUE"""),"铭牌-马戏节铭牌")</f>
        <v>铭牌-马戏节铭牌</v>
      </c>
      <c r="C1573" s="148"/>
      <c r="D1573" s="148" t="str">
        <f>IFERROR(__xludf.DUMMYFUNCTION("""COMPUTED_VALUE"""),"chat_skin")</f>
        <v>chat_skin</v>
      </c>
      <c r="E1573" s="148">
        <f>IFERROR(__xludf.DUMMYFUNCTION("""COMPUTED_VALUE"""),30.0)</f>
        <v>30</v>
      </c>
      <c r="F1573" s="148">
        <f>IFERROR(__xludf.DUMMYFUNCTION("""COMPUTED_VALUE"""),401107.0)</f>
        <v>401107</v>
      </c>
      <c r="G1573" s="148">
        <f>IFERROR(__xludf.DUMMYFUNCTION("""COMPUTED_VALUE"""),1.5115162E7)</f>
        <v>15115162</v>
      </c>
      <c r="H1573" s="148">
        <f>IFERROR(__xludf.DUMMYFUNCTION("""COMPUTED_VALUE"""),1.5112564E7)</f>
        <v>15112564</v>
      </c>
      <c r="I1573" s="148" t="str">
        <f>IFERROR(__xludf.DUMMYFUNCTION("""COMPUTED_VALUE"""),"{}")</f>
        <v>{}</v>
      </c>
      <c r="J1573" s="148" t="str">
        <f>IFERROR(__xludf.DUMMYFUNCTION("""COMPUTED_VALUE"""),"{""typ"":""lc"",""txt"":""LC_ITEM_circus_namepla_name""}")</f>
        <v>{"typ":"lc","txt":"LC_ITEM_circus_namepla_name"}</v>
      </c>
      <c r="K1573" s="148" t="str">
        <f>IFERROR(__xludf.DUMMYFUNCTION("""COMPUTED_VALUE"""),"{""typ"":""lc"",""txt"":""LC_ITEM_circus_namepla_desc_item""}")</f>
        <v>{"typ":"lc","txt":"LC_ITEM_circus_namepla_desc_item"}</v>
      </c>
      <c r="L1573" s="148" t="str">
        <f>IFERROR(__xludf.DUMMYFUNCTION("""COMPUTED_VALUE"""),"{""typ"":""lc"",""txt"":""LC_ITEM_season_extra_reward_usedtip""}")</f>
        <v>{"typ":"lc","txt":"LC_ITEM_season_extra_reward_usedtip"}</v>
      </c>
      <c r="M1573" s="148">
        <f>IFERROR(__xludf.DUMMYFUNCTION("""COMPUTED_VALUE"""),2500.0)</f>
        <v>2500</v>
      </c>
      <c r="N1573" s="148">
        <f>IFERROR(__xludf.DUMMYFUNCTION("""COMPUTED_VALUE"""),9999999.0)</f>
        <v>9999999</v>
      </c>
      <c r="O1573" s="148">
        <f>IFERROR(__xludf.DUMMYFUNCTION("""COMPUTED_VALUE"""),1.0)</f>
        <v>1</v>
      </c>
      <c r="P1573" s="148">
        <f>IFERROR(__xludf.DUMMYFUNCTION("""COMPUTED_VALUE"""),1.0)</f>
        <v>1</v>
      </c>
      <c r="Q1573" s="148" t="str">
        <f>IFERROR(__xludf.DUMMYFUNCTION("""COMPUTED_VALUE"""),"[""bag_other""]")</f>
        <v>["bag_other"]</v>
      </c>
      <c r="R1573" s="148" t="str">
        <f>IFERROR(__xludf.DUMMYFUNCTION("""COMPUTED_VALUE"""),"[""11731006"",""bag""]")</f>
        <v>["11731006","bag"]</v>
      </c>
      <c r="S1573" s="148" t="str">
        <f>IFERROR(__xludf.DUMMYFUNCTION("""COMPUTED_VALUE"""),"{""effect"":[{""typ"":""nameplate"",""id"":11731006,""val"":-1}]}")</f>
        <v>{"effect":[{"typ":"nameplate","id":11731006,"val":-1}]}</v>
      </c>
      <c r="T1573" s="148">
        <f>IFERROR(__xludf.DUMMYFUNCTION("""COMPUTED_VALUE"""),-1.0)</f>
        <v>-1</v>
      </c>
      <c r="U1573" s="148">
        <f>IFERROR(__xludf.DUMMYFUNCTION("""COMPUTED_VALUE"""),0.0)</f>
        <v>0</v>
      </c>
      <c r="V1573" s="148" t="str">
        <f>IFERROR(__xludf.DUMMYFUNCTION("""COMPUTED_VALUE"""),"[]")</f>
        <v>[]</v>
      </c>
      <c r="W1573" s="148">
        <f>IFERROR(__xludf.DUMMYFUNCTION("""COMPUTED_VALUE"""),1.174E7)</f>
        <v>11740000</v>
      </c>
      <c r="X1573" s="148">
        <f>IFERROR(__xludf.DUMMYFUNCTION("""COMPUTED_VALUE"""),0.0)</f>
        <v>0</v>
      </c>
      <c r="Y1573" s="148">
        <f>IFERROR(__xludf.DUMMYFUNCTION("""COMPUTED_VALUE"""),0.0)</f>
        <v>0</v>
      </c>
      <c r="Z1573" s="148"/>
    </row>
    <row r="1574">
      <c r="A1574" s="148">
        <f>IFERROR(__xludf.DUMMYFUNCTION("""COMPUTED_VALUE"""),1.1117215E7)</f>
        <v>11117215</v>
      </c>
      <c r="B1574" s="148" t="str">
        <f>IFERROR(__xludf.DUMMYFUNCTION("""COMPUTED_VALUE"""),"铭牌-马戏节铭牌-7天")</f>
        <v>铭牌-马戏节铭牌-7天</v>
      </c>
      <c r="C1574" s="148"/>
      <c r="D1574" s="148" t="str">
        <f>IFERROR(__xludf.DUMMYFUNCTION("""COMPUTED_VALUE"""),"chat_skin")</f>
        <v>chat_skin</v>
      </c>
      <c r="E1574" s="148">
        <f>IFERROR(__xludf.DUMMYFUNCTION("""COMPUTED_VALUE"""),30.0)</f>
        <v>30</v>
      </c>
      <c r="F1574" s="148">
        <f>IFERROR(__xludf.DUMMYFUNCTION("""COMPUTED_VALUE"""),404298.0)</f>
        <v>404298</v>
      </c>
      <c r="G1574" s="148">
        <f>IFERROR(__xludf.DUMMYFUNCTION("""COMPUTED_VALUE"""),1.5115162E7)</f>
        <v>15115162</v>
      </c>
      <c r="H1574" s="148">
        <f>IFERROR(__xludf.DUMMYFUNCTION("""COMPUTED_VALUE"""),1.5112563E7)</f>
        <v>15112563</v>
      </c>
      <c r="I1574" s="148" t="str">
        <f>IFERROR(__xludf.DUMMYFUNCTION("""COMPUTED_VALUE"""),"{""typ"":""lc"",""txt"":""LC_ITEM_time_day_upper_show"",""args"":[{""typ"":""int"",""val"":7}]}")</f>
        <v>{"typ":"lc","txt":"LC_ITEM_time_day_upper_show","args":[{"typ":"int","val":7}]}</v>
      </c>
      <c r="J1574" s="148" t="str">
        <f>IFERROR(__xludf.DUMMYFUNCTION("""COMPUTED_VALUE"""),"{""typ"":""lc"",""txt"":""LC_ITEM_circus_namepla_name_limit""}")</f>
        <v>{"typ":"lc","txt":"LC_ITEM_circus_namepla_name_limit"}</v>
      </c>
      <c r="K1574" s="148" t="str">
        <f>IFERROR(__xludf.DUMMYFUNCTION("""COMPUTED_VALUE"""),"{""typ"":""lc"",""txt"":""LC_ITEM_circus_namepla_desc_item""}")</f>
        <v>{"typ":"lc","txt":"LC_ITEM_circus_namepla_desc_item"}</v>
      </c>
      <c r="L1574" s="148" t="str">
        <f>IFERROR(__xludf.DUMMYFUNCTION("""COMPUTED_VALUE"""),"{""typ"":""lc"",""txt"":""LC_ITEM_season_extra_reward_usedtip""}")</f>
        <v>{"typ":"lc","txt":"LC_ITEM_season_extra_reward_usedtip"}</v>
      </c>
      <c r="M1574" s="148">
        <f>IFERROR(__xludf.DUMMYFUNCTION("""COMPUTED_VALUE"""),250.0)</f>
        <v>250</v>
      </c>
      <c r="N1574" s="148">
        <f>IFERROR(__xludf.DUMMYFUNCTION("""COMPUTED_VALUE"""),9999999.0)</f>
        <v>9999999</v>
      </c>
      <c r="O1574" s="148">
        <f>IFERROR(__xludf.DUMMYFUNCTION("""COMPUTED_VALUE"""),1.0)</f>
        <v>1</v>
      </c>
      <c r="P1574" s="148">
        <f>IFERROR(__xludf.DUMMYFUNCTION("""COMPUTED_VALUE"""),1.0)</f>
        <v>1</v>
      </c>
      <c r="Q1574" s="148" t="str">
        <f>IFERROR(__xludf.DUMMYFUNCTION("""COMPUTED_VALUE"""),"[""bag_other""]")</f>
        <v>["bag_other"]</v>
      </c>
      <c r="R1574" s="148" t="str">
        <f>IFERROR(__xludf.DUMMYFUNCTION("""COMPUTED_VALUE"""),"[""11731006"",""bag""]")</f>
        <v>["11731006","bag"]</v>
      </c>
      <c r="S1574" s="148" t="str">
        <f>IFERROR(__xludf.DUMMYFUNCTION("""COMPUTED_VALUE"""),"{""effect"":[{""typ"":""nameplate"",""id"":11731006,""val"":604800000}]}")</f>
        <v>{"effect":[{"typ":"nameplate","id":11731006,"val":604800000}]}</v>
      </c>
      <c r="T1574" s="148">
        <f>IFERROR(__xludf.DUMMYFUNCTION("""COMPUTED_VALUE"""),-1.0)</f>
        <v>-1</v>
      </c>
      <c r="U1574" s="148">
        <f>IFERROR(__xludf.DUMMYFUNCTION("""COMPUTED_VALUE"""),0.0)</f>
        <v>0</v>
      </c>
      <c r="V1574" s="148" t="str">
        <f>IFERROR(__xludf.DUMMYFUNCTION("""COMPUTED_VALUE"""),"[]")</f>
        <v>[]</v>
      </c>
      <c r="W1574" s="148">
        <f>IFERROR(__xludf.DUMMYFUNCTION("""COMPUTED_VALUE"""),1.174E7)</f>
        <v>11740000</v>
      </c>
      <c r="X1574" s="148">
        <f>IFERROR(__xludf.DUMMYFUNCTION("""COMPUTED_VALUE"""),0.0)</f>
        <v>0</v>
      </c>
      <c r="Y1574" s="148">
        <f>IFERROR(__xludf.DUMMYFUNCTION("""COMPUTED_VALUE"""),0.0)</f>
        <v>0</v>
      </c>
      <c r="Z1574" s="148"/>
    </row>
    <row r="1575">
      <c r="A1575" s="148">
        <f>IFERROR(__xludf.DUMMYFUNCTION("""COMPUTED_VALUE"""),1.1117216E7)</f>
        <v>11117216</v>
      </c>
      <c r="B1575" s="148" t="str">
        <f>IFERROR(__xludf.DUMMYFUNCTION("""COMPUTED_VALUE"""),"马戏节装饰")</f>
        <v>马戏节装饰</v>
      </c>
      <c r="C1575" s="148"/>
      <c r="D1575" s="148" t="str">
        <f>IFERROR(__xludf.DUMMYFUNCTION("""COMPUTED_VALUE"""),"decorations")</f>
        <v>decorations</v>
      </c>
      <c r="E1575" s="148">
        <f>IFERROR(__xludf.DUMMYFUNCTION("""COMPUTED_VALUE"""),23.0)</f>
        <v>23</v>
      </c>
      <c r="F1575" s="148">
        <f>IFERROR(__xludf.DUMMYFUNCTION("""COMPUTED_VALUE"""),0.0)</f>
        <v>0</v>
      </c>
      <c r="G1575" s="148">
        <f>IFERROR(__xludf.DUMMYFUNCTION("""COMPUTED_VALUE"""),1.5115161E7)</f>
        <v>15115161</v>
      </c>
      <c r="H1575" s="148">
        <f>IFERROR(__xludf.DUMMYFUNCTION("""COMPUTED_VALUE"""),1.5112563E7)</f>
        <v>15112563</v>
      </c>
      <c r="I1575" s="148" t="str">
        <f>IFERROR(__xludf.DUMMYFUNCTION("""COMPUTED_VALUE"""),"{}")</f>
        <v>{}</v>
      </c>
      <c r="J1575" s="148" t="str">
        <f>IFERROR(__xludf.DUMMYFUNCTION("""COMPUTED_VALUE"""),"{""typ"":""lc"",""txt"":""LC_BUILDING_circus_ornament_name""}")</f>
        <v>{"typ":"lc","txt":"LC_BUILDING_circus_ornament_name"}</v>
      </c>
      <c r="K1575" s="148" t="str">
        <f>IFERROR(__xludf.DUMMYFUNCTION("""COMPUTED_VALUE"""),"{""typ"":""lc"",""txt"":""LC_BUILDING_circus_ornament_desc""}")</f>
        <v>{"typ":"lc","txt":"LC_BUILDING_circus_ornament_desc"}</v>
      </c>
      <c r="L1575" s="148" t="str">
        <f>IFERROR(__xludf.DUMMYFUNCTION("""COMPUTED_VALUE"""),"{}")</f>
        <v>{}</v>
      </c>
      <c r="M1575" s="148">
        <f>IFERROR(__xludf.DUMMYFUNCTION("""COMPUTED_VALUE"""),5000.0)</f>
        <v>5000</v>
      </c>
      <c r="N1575" s="148">
        <f>IFERROR(__xludf.DUMMYFUNCTION("""COMPUTED_VALUE"""),5.0)</f>
        <v>5</v>
      </c>
      <c r="O1575" s="148">
        <f>IFERROR(__xludf.DUMMYFUNCTION("""COMPUTED_VALUE"""),1.0)</f>
        <v>1</v>
      </c>
      <c r="P1575" s="148">
        <f>IFERROR(__xludf.DUMMYFUNCTION("""COMPUTED_VALUE"""),1.0)</f>
        <v>1</v>
      </c>
      <c r="Q1575" s="148" t="str">
        <f>IFERROR(__xludf.DUMMYFUNCTION("""COMPUTED_VALUE"""),"[]")</f>
        <v>[]</v>
      </c>
      <c r="R1575" s="148" t="str">
        <f>IFERROR(__xludf.DUMMYFUNCTION("""COMPUTED_VALUE"""),"[""bag""]")</f>
        <v>["bag"]</v>
      </c>
      <c r="S1575" s="148" t="str">
        <f>IFERROR(__xludf.DUMMYFUNCTION("""COMPUTED_VALUE"""),"{""effect"":[{""typ"":""decorations"",""id"":11117216,""val"":-1},{""typ"":""item"",""id"":11112030,""val"":5}]}")</f>
        <v>{"effect":[{"typ":"decorations","id":11117216,"val":-1},{"typ":"item","id":11112030,"val":5}]}</v>
      </c>
      <c r="T1575" s="148">
        <f>IFERROR(__xludf.DUMMYFUNCTION("""COMPUTED_VALUE"""),-1.0)</f>
        <v>-1</v>
      </c>
      <c r="U1575" s="148">
        <f>IFERROR(__xludf.DUMMYFUNCTION("""COMPUTED_VALUE"""),1.0)</f>
        <v>1</v>
      </c>
      <c r="V1575" s="148" t="str">
        <f>IFERROR(__xludf.DUMMYFUNCTION("""COMPUTED_VALUE"""),"[]")</f>
        <v>[]</v>
      </c>
      <c r="W1575" s="148">
        <f>IFERROR(__xludf.DUMMYFUNCTION("""COMPUTED_VALUE"""),1.174E7)</f>
        <v>11740000</v>
      </c>
      <c r="X1575" s="148">
        <f>IFERROR(__xludf.DUMMYFUNCTION("""COMPUTED_VALUE"""),0.0)</f>
        <v>0</v>
      </c>
      <c r="Y1575" s="148">
        <f>IFERROR(__xludf.DUMMYFUNCTION("""COMPUTED_VALUE"""),0.0)</f>
        <v>0</v>
      </c>
      <c r="Z1575" s="148"/>
    </row>
    <row r="1576">
      <c r="A1576" s="148">
        <f>IFERROR(__xludf.DUMMYFUNCTION("""COMPUTED_VALUE"""),1.1117217E7)</f>
        <v>11117217</v>
      </c>
      <c r="B1576" s="148" t="str">
        <f>IFERROR(__xludf.DUMMYFUNCTION("""COMPUTED_VALUE"""),"组队boss狩猎券")</f>
        <v>组队boss狩猎券</v>
      </c>
      <c r="C1576" s="148"/>
      <c r="D1576" s="148" t="str">
        <f>IFERROR(__xludf.DUMMYFUNCTION("""COMPUTED_VALUE"""),"team_boss")</f>
        <v>team_boss</v>
      </c>
      <c r="E1576" s="148">
        <f>IFERROR(__xludf.DUMMYFUNCTION("""COMPUTED_VALUE"""),0.0)</f>
        <v>0</v>
      </c>
      <c r="F1576" s="148">
        <f>IFERROR(__xludf.DUMMYFUNCTION("""COMPUTED_VALUE"""),0.0)</f>
        <v>0</v>
      </c>
      <c r="G1576" s="148">
        <f>IFERROR(__xludf.DUMMYFUNCTION("""COMPUTED_VALUE"""),1.5115158E7)</f>
        <v>15115158</v>
      </c>
      <c r="H1576" s="148">
        <f>IFERROR(__xludf.DUMMYFUNCTION("""COMPUTED_VALUE"""),1.5112563E7)</f>
        <v>15112563</v>
      </c>
      <c r="I1576" s="148" t="str">
        <f>IFERROR(__xludf.DUMMYFUNCTION("""COMPUTED_VALUE"""),"{}")</f>
        <v>{}</v>
      </c>
      <c r="J1576" s="148" t="str">
        <f>IFERROR(__xludf.DUMMYFUNCTION("""COMPUTED_VALUE"""),"{""typ"":""lc"",""txt"":""LC_ITEM_team_boss_ticket_name""}")</f>
        <v>{"typ":"lc","txt":"LC_ITEM_team_boss_ticket_name"}</v>
      </c>
      <c r="K1576" s="148" t="str">
        <f>IFERROR(__xludf.DUMMYFUNCTION("""COMPUTED_VALUE"""),"{""typ"":""lc"",""txt"":""LC_ITEM_team_boss_ticket_desc""}")</f>
        <v>{"typ":"lc","txt":"LC_ITEM_team_boss_ticket_desc"}</v>
      </c>
      <c r="L1576" s="148" t="str">
        <f>IFERROR(__xludf.DUMMYFUNCTION("""COMPUTED_VALUE"""),"{}")</f>
        <v>{}</v>
      </c>
      <c r="M1576" s="148">
        <f>IFERROR(__xludf.DUMMYFUNCTION("""COMPUTED_VALUE"""),1.0)</f>
        <v>1</v>
      </c>
      <c r="N1576" s="148">
        <f>IFERROR(__xludf.DUMMYFUNCTION("""COMPUTED_VALUE"""),999999.0)</f>
        <v>999999</v>
      </c>
      <c r="O1576" s="148">
        <f>IFERROR(__xludf.DUMMYFUNCTION("""COMPUTED_VALUE"""),99999.0)</f>
        <v>99999</v>
      </c>
      <c r="P1576" s="148">
        <f>IFERROR(__xludf.DUMMYFUNCTION("""COMPUTED_VALUE"""),9999.0)</f>
        <v>9999</v>
      </c>
      <c r="Q1576" s="148" t="str">
        <f>IFERROR(__xludf.DUMMYFUNCTION("""COMPUTED_VALUE"""),"[""bag_other""]")</f>
        <v>["bag_other"]</v>
      </c>
      <c r="R1576" s="148" t="str">
        <f>IFERROR(__xludf.DUMMYFUNCTION("""COMPUTED_VALUE"""),"[""bag""]")</f>
        <v>["bag"]</v>
      </c>
      <c r="S1576" s="148" t="str">
        <f>IFERROR(__xludf.DUMMYFUNCTION("""COMPUTED_VALUE"""),"{}")</f>
        <v>{}</v>
      </c>
      <c r="T1576" s="148">
        <f>IFERROR(__xludf.DUMMYFUNCTION("""COMPUTED_VALUE"""),1.0)</f>
        <v>1</v>
      </c>
      <c r="U1576" s="148">
        <f>IFERROR(__xludf.DUMMYFUNCTION("""COMPUTED_VALUE"""),0.0)</f>
        <v>0</v>
      </c>
      <c r="V1576" s="148" t="str">
        <f>IFERROR(__xludf.DUMMYFUNCTION("""COMPUTED_VALUE"""),"[]")</f>
        <v>[]</v>
      </c>
      <c r="W1576" s="148">
        <f>IFERROR(__xludf.DUMMYFUNCTION("""COMPUTED_VALUE"""),1.174E7)</f>
        <v>11740000</v>
      </c>
      <c r="X1576" s="148">
        <f>IFERROR(__xludf.DUMMYFUNCTION("""COMPUTED_VALUE"""),0.0)</f>
        <v>0</v>
      </c>
      <c r="Y1576" s="148">
        <f>IFERROR(__xludf.DUMMYFUNCTION("""COMPUTED_VALUE"""),0.0)</f>
        <v>0</v>
      </c>
      <c r="Z1576" s="148"/>
    </row>
    <row r="1577">
      <c r="A1577" s="148">
        <f>IFERROR(__xludf.DUMMYFUNCTION("""COMPUTED_VALUE"""),1.1117218E7)</f>
        <v>11117218</v>
      </c>
      <c r="B1577" s="148" t="str">
        <f>IFERROR(__xludf.DUMMYFUNCTION("""COMPUTED_VALUE"""),"勇士装备自选图纸箱")</f>
        <v>勇士装备自选图纸箱</v>
      </c>
      <c r="C1577" s="148"/>
      <c r="D1577" s="148" t="str">
        <f>IFERROR(__xludf.DUMMYFUNCTION("""COMPUTED_VALUE"""),"item_select_box")</f>
        <v>item_select_box</v>
      </c>
      <c r="E1577" s="148">
        <f>IFERROR(__xludf.DUMMYFUNCTION("""COMPUTED_VALUE"""),0.0)</f>
        <v>0</v>
      </c>
      <c r="F1577" s="148">
        <f>IFERROR(__xludf.DUMMYFUNCTION("""COMPUTED_VALUE"""),403409.0)</f>
        <v>403409</v>
      </c>
      <c r="G1577" s="148">
        <f>IFERROR(__xludf.DUMMYFUNCTION("""COMPUTED_VALUE"""),1.5116851E7)</f>
        <v>15116851</v>
      </c>
      <c r="H1577" s="148">
        <f>IFERROR(__xludf.DUMMYFUNCTION("""COMPUTED_VALUE"""),1.5112561E7)</f>
        <v>15112561</v>
      </c>
      <c r="I1577" s="148" t="str">
        <f>IFERROR(__xludf.DUMMYFUNCTION("""COMPUTED_VALUE"""),"{}")</f>
        <v>{}</v>
      </c>
      <c r="J1577" s="148" t="str">
        <f>IFERROR(__xludf.DUMMYFUNCTION("""COMPUTED_VALUE"""),"{""typ"":""lc"",""txt"":""LC_HERO_equipment_blueprint_select_box1""}")</f>
        <v>{"typ":"lc","txt":"LC_HERO_equipment_blueprint_select_box1"}</v>
      </c>
      <c r="K1577" s="148" t="str">
        <f>IFERROR(__xludf.DUMMYFUNCTION("""COMPUTED_VALUE"""),"{""typ"":""lc"",""txt"":""LC_HERO_equipment_blueprint_select_box_desc1""}")</f>
        <v>{"typ":"lc","txt":"LC_HERO_equipment_blueprint_select_box_desc1"}</v>
      </c>
      <c r="L1577" s="148" t="str">
        <f>IFERROR(__xludf.DUMMYFUNCTION("""COMPUTED_VALUE"""),"{}")</f>
        <v>{}</v>
      </c>
      <c r="M1577" s="148">
        <f>IFERROR(__xludf.DUMMYFUNCTION("""COMPUTED_VALUE"""),62.0)</f>
        <v>62</v>
      </c>
      <c r="N1577" s="148">
        <f>IFERROR(__xludf.DUMMYFUNCTION("""COMPUTED_VALUE"""),9999999.0)</f>
        <v>9999999</v>
      </c>
      <c r="O1577" s="148">
        <f>IFERROR(__xludf.DUMMYFUNCTION("""COMPUTED_VALUE"""),99999.0)</f>
        <v>99999</v>
      </c>
      <c r="P1577" s="148">
        <f>IFERROR(__xludf.DUMMYFUNCTION("""COMPUTED_VALUE"""),99999.0)</f>
        <v>99999</v>
      </c>
      <c r="Q1577" s="148" t="str">
        <f>IFERROR(__xludf.DUMMYFUNCTION("""COMPUTED_VALUE"""),"[""bag_other""]")</f>
        <v>["bag_other"]</v>
      </c>
      <c r="R1577" s="148" t="str">
        <f>IFERROR(__xludf.DUMMYFUNCTION("""COMPUTED_VALUE"""),"[""bag""]")</f>
        <v>["bag"]</v>
      </c>
      <c r="S1577" s="148" t="str">
        <f>IFERROR(__xludf.DUMMYFUNCTION("""COMPUTED_VALUE"""),"{""select_box"":[{""typ"":""blueprint"",""id"":19341001,""val"":1},{""typ"":""blueprint"",""id"":19341002,""val"":1},{""typ"":""blueprint"",""id"":19341003,""val"":1},{""typ"":""blueprint"",""id"":19341004,""val"":1}]}")</f>
        <v>{"select_box":[{"typ":"blueprint","id":19341001,"val":1},{"typ":"blueprint","id":19341002,"val":1},{"typ":"blueprint","id":19341003,"val":1},{"typ":"blueprint","id":19341004,"val":1}]}</v>
      </c>
      <c r="T1577" s="148">
        <f>IFERROR(__xludf.DUMMYFUNCTION("""COMPUTED_VALUE"""),-1.0)</f>
        <v>-1</v>
      </c>
      <c r="U1577" s="148">
        <f>IFERROR(__xludf.DUMMYFUNCTION("""COMPUTED_VALUE"""),0.0)</f>
        <v>0</v>
      </c>
      <c r="V1577" s="148" t="str">
        <f>IFERROR(__xludf.DUMMYFUNCTION("""COMPUTED_VALUE"""),"[]")</f>
        <v>[]</v>
      </c>
      <c r="W1577" s="148">
        <f>IFERROR(__xludf.DUMMYFUNCTION("""COMPUTED_VALUE"""),1.1741004E7)</f>
        <v>11741004</v>
      </c>
      <c r="X1577" s="148">
        <f>IFERROR(__xludf.DUMMYFUNCTION("""COMPUTED_VALUE"""),0.0)</f>
        <v>0</v>
      </c>
      <c r="Y1577" s="148">
        <f>IFERROR(__xludf.DUMMYFUNCTION("""COMPUTED_VALUE"""),0.0)</f>
        <v>0</v>
      </c>
      <c r="Z1577" s="148"/>
    </row>
    <row r="1578">
      <c r="A1578" s="148">
        <f>IFERROR(__xludf.DUMMYFUNCTION("""COMPUTED_VALUE"""),1.1117219E7)</f>
        <v>11117219</v>
      </c>
      <c r="B1578" s="148" t="str">
        <f>IFERROR(__xludf.DUMMYFUNCTION("""COMPUTED_VALUE"""),"精英装备自选图纸箱")</f>
        <v>精英装备自选图纸箱</v>
      </c>
      <c r="C1578" s="148"/>
      <c r="D1578" s="148" t="str">
        <f>IFERROR(__xludf.DUMMYFUNCTION("""COMPUTED_VALUE"""),"item_select_box")</f>
        <v>item_select_box</v>
      </c>
      <c r="E1578" s="148">
        <f>IFERROR(__xludf.DUMMYFUNCTION("""COMPUTED_VALUE"""),0.0)</f>
        <v>0</v>
      </c>
      <c r="F1578" s="148">
        <f>IFERROR(__xludf.DUMMYFUNCTION("""COMPUTED_VALUE"""),403308.0)</f>
        <v>403308</v>
      </c>
      <c r="G1578" s="148">
        <f>IFERROR(__xludf.DUMMYFUNCTION("""COMPUTED_VALUE"""),1.5116853E7)</f>
        <v>15116853</v>
      </c>
      <c r="H1578" s="148">
        <f>IFERROR(__xludf.DUMMYFUNCTION("""COMPUTED_VALUE"""),1.5112562E7)</f>
        <v>15112562</v>
      </c>
      <c r="I1578" s="148" t="str">
        <f>IFERROR(__xludf.DUMMYFUNCTION("""COMPUTED_VALUE"""),"{}")</f>
        <v>{}</v>
      </c>
      <c r="J1578" s="148" t="str">
        <f>IFERROR(__xludf.DUMMYFUNCTION("""COMPUTED_VALUE"""),"{""typ"":""lc"",""txt"":""LC_HERO_equipment_blueprint_select_box2""}")</f>
        <v>{"typ":"lc","txt":"LC_HERO_equipment_blueprint_select_box2"}</v>
      </c>
      <c r="K1578" s="148" t="str">
        <f>IFERROR(__xludf.DUMMYFUNCTION("""COMPUTED_VALUE"""),"{""typ"":""lc"",""txt"":""LC_HERO_equipment_blueprint_select_box_desc2""}")</f>
        <v>{"typ":"lc","txt":"LC_HERO_equipment_blueprint_select_box_desc2"}</v>
      </c>
      <c r="L1578" s="148" t="str">
        <f>IFERROR(__xludf.DUMMYFUNCTION("""COMPUTED_VALUE"""),"{}")</f>
        <v>{}</v>
      </c>
      <c r="M1578" s="148">
        <f>IFERROR(__xludf.DUMMYFUNCTION("""COMPUTED_VALUE"""),125.0)</f>
        <v>125</v>
      </c>
      <c r="N1578" s="148">
        <f>IFERROR(__xludf.DUMMYFUNCTION("""COMPUTED_VALUE"""),9999999.0)</f>
        <v>9999999</v>
      </c>
      <c r="O1578" s="148">
        <f>IFERROR(__xludf.DUMMYFUNCTION("""COMPUTED_VALUE"""),99999.0)</f>
        <v>99999</v>
      </c>
      <c r="P1578" s="148">
        <f>IFERROR(__xludf.DUMMYFUNCTION("""COMPUTED_VALUE"""),99999.0)</f>
        <v>99999</v>
      </c>
      <c r="Q1578" s="148" t="str">
        <f>IFERROR(__xludf.DUMMYFUNCTION("""COMPUTED_VALUE"""),"[""bag_other""]")</f>
        <v>["bag_other"]</v>
      </c>
      <c r="R1578" s="148" t="str">
        <f>IFERROR(__xludf.DUMMYFUNCTION("""COMPUTED_VALUE"""),"[""bag""]")</f>
        <v>["bag"]</v>
      </c>
      <c r="S1578" s="148" t="str">
        <f>IFERROR(__xludf.DUMMYFUNCTION("""COMPUTED_VALUE"""),"{""select_box"":[{""typ"":""blueprint"",""id"":19342001,""val"":1},{""typ"":""blueprint"",""id"":19342002,""val"":1},{""typ"":""blueprint"",""id"":19342003,""val"":1},{""typ"":""blueprint"",""id"":19342004,""val"":1}]}")</f>
        <v>{"select_box":[{"typ":"blueprint","id":19342001,"val":1},{"typ":"blueprint","id":19342002,"val":1},{"typ":"blueprint","id":19342003,"val":1},{"typ":"blueprint","id":19342004,"val":1}]}</v>
      </c>
      <c r="T1578" s="148">
        <f>IFERROR(__xludf.DUMMYFUNCTION("""COMPUTED_VALUE"""),-1.0)</f>
        <v>-1</v>
      </c>
      <c r="U1578" s="148">
        <f>IFERROR(__xludf.DUMMYFUNCTION("""COMPUTED_VALUE"""),0.0)</f>
        <v>0</v>
      </c>
      <c r="V1578" s="148" t="str">
        <f>IFERROR(__xludf.DUMMYFUNCTION("""COMPUTED_VALUE"""),"[]")</f>
        <v>[]</v>
      </c>
      <c r="W1578" s="148">
        <f>IFERROR(__xludf.DUMMYFUNCTION("""COMPUTED_VALUE"""),1.1741004E7)</f>
        <v>11741004</v>
      </c>
      <c r="X1578" s="148">
        <f>IFERROR(__xludf.DUMMYFUNCTION("""COMPUTED_VALUE"""),0.0)</f>
        <v>0</v>
      </c>
      <c r="Y1578" s="148">
        <f>IFERROR(__xludf.DUMMYFUNCTION("""COMPUTED_VALUE"""),0.0)</f>
        <v>0</v>
      </c>
      <c r="Z1578" s="148"/>
    </row>
    <row r="1579">
      <c r="A1579" s="148">
        <f>IFERROR(__xludf.DUMMYFUNCTION("""COMPUTED_VALUE"""),1.111722E7)</f>
        <v>11117220</v>
      </c>
      <c r="B1579" s="148" t="str">
        <f>IFERROR(__xludf.DUMMYFUNCTION("""COMPUTED_VALUE"""),"先锋装备自选图纸箱")</f>
        <v>先锋装备自选图纸箱</v>
      </c>
      <c r="C1579" s="148"/>
      <c r="D1579" s="148" t="str">
        <f>IFERROR(__xludf.DUMMYFUNCTION("""COMPUTED_VALUE"""),"item_select_box")</f>
        <v>item_select_box</v>
      </c>
      <c r="E1579" s="148">
        <f>IFERROR(__xludf.DUMMYFUNCTION("""COMPUTED_VALUE"""),0.0)</f>
        <v>0</v>
      </c>
      <c r="F1579" s="148">
        <f>IFERROR(__xludf.DUMMYFUNCTION("""COMPUTED_VALUE"""),403208.0)</f>
        <v>403208</v>
      </c>
      <c r="G1579" s="148">
        <f>IFERROR(__xludf.DUMMYFUNCTION("""COMPUTED_VALUE"""),1.5116855E7)</f>
        <v>15116855</v>
      </c>
      <c r="H1579" s="148">
        <f>IFERROR(__xludf.DUMMYFUNCTION("""COMPUTED_VALUE"""),1.5112563E7)</f>
        <v>15112563</v>
      </c>
      <c r="I1579" s="148" t="str">
        <f>IFERROR(__xludf.DUMMYFUNCTION("""COMPUTED_VALUE"""),"{}")</f>
        <v>{}</v>
      </c>
      <c r="J1579" s="148" t="str">
        <f>IFERROR(__xludf.DUMMYFUNCTION("""COMPUTED_VALUE"""),"{""typ"":""lc"",""txt"":""LC_HERO_equipment_blueprint_select_box3""}")</f>
        <v>{"typ":"lc","txt":"LC_HERO_equipment_blueprint_select_box3"}</v>
      </c>
      <c r="K1579" s="148" t="str">
        <f>IFERROR(__xludf.DUMMYFUNCTION("""COMPUTED_VALUE"""),"{""typ"":""lc"",""txt"":""LC_HERO_equipment_blueprint_select_box_desc3""}")</f>
        <v>{"typ":"lc","txt":"LC_HERO_equipment_blueprint_select_box_desc3"}</v>
      </c>
      <c r="L1579" s="148" t="str">
        <f>IFERROR(__xludf.DUMMYFUNCTION("""COMPUTED_VALUE"""),"{}")</f>
        <v>{}</v>
      </c>
      <c r="M1579" s="148">
        <f>IFERROR(__xludf.DUMMYFUNCTION("""COMPUTED_VALUE"""),250.0)</f>
        <v>250</v>
      </c>
      <c r="N1579" s="148">
        <f>IFERROR(__xludf.DUMMYFUNCTION("""COMPUTED_VALUE"""),9999999.0)</f>
        <v>9999999</v>
      </c>
      <c r="O1579" s="148">
        <f>IFERROR(__xludf.DUMMYFUNCTION("""COMPUTED_VALUE"""),99999.0)</f>
        <v>99999</v>
      </c>
      <c r="P1579" s="148">
        <f>IFERROR(__xludf.DUMMYFUNCTION("""COMPUTED_VALUE"""),99999.0)</f>
        <v>99999</v>
      </c>
      <c r="Q1579" s="148" t="str">
        <f>IFERROR(__xludf.DUMMYFUNCTION("""COMPUTED_VALUE"""),"[""bag_other""]")</f>
        <v>["bag_other"]</v>
      </c>
      <c r="R1579" s="148" t="str">
        <f>IFERROR(__xludf.DUMMYFUNCTION("""COMPUTED_VALUE"""),"[""bag""]")</f>
        <v>["bag"]</v>
      </c>
      <c r="S1579" s="148" t="str">
        <f>IFERROR(__xludf.DUMMYFUNCTION("""COMPUTED_VALUE"""),"{""select_box"":[{""typ"":""blueprint"",""id"":19343001,""val"":1},{""typ"":""blueprint"",""id"":19343002,""val"":1},{""typ"":""blueprint"",""id"":19343003,""val"":1},{""typ"":""blueprint"",""id"":19343004,""val"":1}]}")</f>
        <v>{"select_box":[{"typ":"blueprint","id":19343001,"val":1},{"typ":"blueprint","id":19343002,"val":1},{"typ":"blueprint","id":19343003,"val":1},{"typ":"blueprint","id":19343004,"val":1}]}</v>
      </c>
      <c r="T1579" s="148">
        <f>IFERROR(__xludf.DUMMYFUNCTION("""COMPUTED_VALUE"""),-1.0)</f>
        <v>-1</v>
      </c>
      <c r="U1579" s="148">
        <f>IFERROR(__xludf.DUMMYFUNCTION("""COMPUTED_VALUE"""),0.0)</f>
        <v>0</v>
      </c>
      <c r="V1579" s="148" t="str">
        <f>IFERROR(__xludf.DUMMYFUNCTION("""COMPUTED_VALUE"""),"[]")</f>
        <v>[]</v>
      </c>
      <c r="W1579" s="148">
        <f>IFERROR(__xludf.DUMMYFUNCTION("""COMPUTED_VALUE"""),1.1741004E7)</f>
        <v>11741004</v>
      </c>
      <c r="X1579" s="148">
        <f>IFERROR(__xludf.DUMMYFUNCTION("""COMPUTED_VALUE"""),0.0)</f>
        <v>0</v>
      </c>
      <c r="Y1579" s="148">
        <f>IFERROR(__xludf.DUMMYFUNCTION("""COMPUTED_VALUE"""),0.0)</f>
        <v>0</v>
      </c>
      <c r="Z1579" s="148"/>
    </row>
    <row r="1580">
      <c r="A1580" s="148">
        <f>IFERROR(__xludf.DUMMYFUNCTION("""COMPUTED_VALUE"""),1.1117221E7)</f>
        <v>11117221</v>
      </c>
      <c r="B1580" s="148" t="str">
        <f>IFERROR(__xludf.DUMMYFUNCTION("""COMPUTED_VALUE"""),"勇士装备自选图纸碎片箱")</f>
        <v>勇士装备自选图纸碎片箱</v>
      </c>
      <c r="C1580" s="148"/>
      <c r="D1580" s="148" t="str">
        <f>IFERROR(__xludf.DUMMYFUNCTION("""COMPUTED_VALUE"""),"item_select_box")</f>
        <v>item_select_box</v>
      </c>
      <c r="E1580" s="148">
        <f>IFERROR(__xludf.DUMMYFUNCTION("""COMPUTED_VALUE"""),0.0)</f>
        <v>0</v>
      </c>
      <c r="F1580" s="148">
        <f>IFERROR(__xludf.DUMMYFUNCTION("""COMPUTED_VALUE"""),403404.0)</f>
        <v>403404</v>
      </c>
      <c r="G1580" s="148">
        <f>IFERROR(__xludf.DUMMYFUNCTION("""COMPUTED_VALUE"""),1.5116852E7)</f>
        <v>15116852</v>
      </c>
      <c r="H1580" s="148">
        <f>IFERROR(__xludf.DUMMYFUNCTION("""COMPUTED_VALUE"""),1.5112561E7)</f>
        <v>15112561</v>
      </c>
      <c r="I1580" s="148" t="str">
        <f>IFERROR(__xludf.DUMMYFUNCTION("""COMPUTED_VALUE"""),"{}")</f>
        <v>{}</v>
      </c>
      <c r="J1580" s="148" t="str">
        <f>IFERROR(__xludf.DUMMYFUNCTION("""COMPUTED_VALUE"""),"{""typ"":""lc"",""txt"":""LC_HERO_equipment_puzzle_select_box1""}")</f>
        <v>{"typ":"lc","txt":"LC_HERO_equipment_puzzle_select_box1"}</v>
      </c>
      <c r="K1580" s="148" t="str">
        <f>IFERROR(__xludf.DUMMYFUNCTION("""COMPUTED_VALUE"""),"{""typ"":""lc"",""txt"":""LC_HERO_equipment_puzzle_select_box_desc1""}")</f>
        <v>{"typ":"lc","txt":"LC_HERO_equipment_puzzle_select_box_desc1"}</v>
      </c>
      <c r="L1580" s="148" t="str">
        <f>IFERROR(__xludf.DUMMYFUNCTION("""COMPUTED_VALUE"""),"{}")</f>
        <v>{}</v>
      </c>
      <c r="M1580" s="148">
        <f>IFERROR(__xludf.DUMMYFUNCTION("""COMPUTED_VALUE"""),6.0)</f>
        <v>6</v>
      </c>
      <c r="N1580" s="148">
        <f>IFERROR(__xludf.DUMMYFUNCTION("""COMPUTED_VALUE"""),9999999.0)</f>
        <v>9999999</v>
      </c>
      <c r="O1580" s="148">
        <f>IFERROR(__xludf.DUMMYFUNCTION("""COMPUTED_VALUE"""),99999.0)</f>
        <v>99999</v>
      </c>
      <c r="P1580" s="148">
        <f>IFERROR(__xludf.DUMMYFUNCTION("""COMPUTED_VALUE"""),99999.0)</f>
        <v>99999</v>
      </c>
      <c r="Q1580" s="148" t="str">
        <f>IFERROR(__xludf.DUMMYFUNCTION("""COMPUTED_VALUE"""),"[""bag_other""]")</f>
        <v>["bag_other"]</v>
      </c>
      <c r="R1580" s="148" t="str">
        <f>IFERROR(__xludf.DUMMYFUNCTION("""COMPUTED_VALUE"""),"[""bag""]")</f>
        <v>["bag"]</v>
      </c>
      <c r="S1580" s="148" t="str">
        <f>IFERROR(__xludf.DUMMYFUNCTION("""COMPUTED_VALUE"""),"{""select_box"":[{""typ"":""puzzle"",""id"":19346001,""val"":1},{""typ"":""puzzle"",""id"":19346002,""val"":1},{""typ"":""puzzle"",""id"":19346003,""val"":1},{""typ"":""puzzle"",""id"":19346004,""val"":1}]}")</f>
        <v>{"select_box":[{"typ":"puzzle","id":19346001,"val":1},{"typ":"puzzle","id":19346002,"val":1},{"typ":"puzzle","id":19346003,"val":1},{"typ":"puzzle","id":19346004,"val":1}]}</v>
      </c>
      <c r="T1580" s="148">
        <f>IFERROR(__xludf.DUMMYFUNCTION("""COMPUTED_VALUE"""),-1.0)</f>
        <v>-1</v>
      </c>
      <c r="U1580" s="148">
        <f>IFERROR(__xludf.DUMMYFUNCTION("""COMPUTED_VALUE"""),0.0)</f>
        <v>0</v>
      </c>
      <c r="V1580" s="148" t="str">
        <f>IFERROR(__xludf.DUMMYFUNCTION("""COMPUTED_VALUE"""),"[]")</f>
        <v>[]</v>
      </c>
      <c r="W1580" s="148">
        <f>IFERROR(__xludf.DUMMYFUNCTION("""COMPUTED_VALUE"""),1.1741004E7)</f>
        <v>11741004</v>
      </c>
      <c r="X1580" s="148">
        <f>IFERROR(__xludf.DUMMYFUNCTION("""COMPUTED_VALUE"""),0.0)</f>
        <v>0</v>
      </c>
      <c r="Y1580" s="148">
        <f>IFERROR(__xludf.DUMMYFUNCTION("""COMPUTED_VALUE"""),0.0)</f>
        <v>0</v>
      </c>
      <c r="Z1580" s="148"/>
    </row>
    <row r="1581">
      <c r="A1581" s="148">
        <f>IFERROR(__xludf.DUMMYFUNCTION("""COMPUTED_VALUE"""),1.1117222E7)</f>
        <v>11117222</v>
      </c>
      <c r="B1581" s="148" t="str">
        <f>IFERROR(__xludf.DUMMYFUNCTION("""COMPUTED_VALUE"""),"精英装备自选图纸碎片箱")</f>
        <v>精英装备自选图纸碎片箱</v>
      </c>
      <c r="C1581" s="148"/>
      <c r="D1581" s="148" t="str">
        <f>IFERROR(__xludf.DUMMYFUNCTION("""COMPUTED_VALUE"""),"item_select_box")</f>
        <v>item_select_box</v>
      </c>
      <c r="E1581" s="148">
        <f>IFERROR(__xludf.DUMMYFUNCTION("""COMPUTED_VALUE"""),0.0)</f>
        <v>0</v>
      </c>
      <c r="F1581" s="148">
        <f>IFERROR(__xludf.DUMMYFUNCTION("""COMPUTED_VALUE"""),403303.0)</f>
        <v>403303</v>
      </c>
      <c r="G1581" s="148">
        <f>IFERROR(__xludf.DUMMYFUNCTION("""COMPUTED_VALUE"""),1.5116854E7)</f>
        <v>15116854</v>
      </c>
      <c r="H1581" s="148">
        <f>IFERROR(__xludf.DUMMYFUNCTION("""COMPUTED_VALUE"""),1.5112562E7)</f>
        <v>15112562</v>
      </c>
      <c r="I1581" s="148" t="str">
        <f>IFERROR(__xludf.DUMMYFUNCTION("""COMPUTED_VALUE"""),"{}")</f>
        <v>{}</v>
      </c>
      <c r="J1581" s="148" t="str">
        <f>IFERROR(__xludf.DUMMYFUNCTION("""COMPUTED_VALUE"""),"{""typ"":""lc"",""txt"":""LC_HERO_equipment_puzzle_select_box2""}")</f>
        <v>{"typ":"lc","txt":"LC_HERO_equipment_puzzle_select_box2"}</v>
      </c>
      <c r="K1581" s="148" t="str">
        <f>IFERROR(__xludf.DUMMYFUNCTION("""COMPUTED_VALUE"""),"{""typ"":""lc"",""txt"":""LC_HERO_equipment_puzzle_select_box_desc2""}")</f>
        <v>{"typ":"lc","txt":"LC_HERO_equipment_puzzle_select_box_desc2"}</v>
      </c>
      <c r="L1581" s="148" t="str">
        <f>IFERROR(__xludf.DUMMYFUNCTION("""COMPUTED_VALUE"""),"{}")</f>
        <v>{}</v>
      </c>
      <c r="M1581" s="148">
        <f>IFERROR(__xludf.DUMMYFUNCTION("""COMPUTED_VALUE"""),12.0)</f>
        <v>12</v>
      </c>
      <c r="N1581" s="148">
        <f>IFERROR(__xludf.DUMMYFUNCTION("""COMPUTED_VALUE"""),9999999.0)</f>
        <v>9999999</v>
      </c>
      <c r="O1581" s="148">
        <f>IFERROR(__xludf.DUMMYFUNCTION("""COMPUTED_VALUE"""),99999.0)</f>
        <v>99999</v>
      </c>
      <c r="P1581" s="148">
        <f>IFERROR(__xludf.DUMMYFUNCTION("""COMPUTED_VALUE"""),99999.0)</f>
        <v>99999</v>
      </c>
      <c r="Q1581" s="148" t="str">
        <f>IFERROR(__xludf.DUMMYFUNCTION("""COMPUTED_VALUE"""),"[""bag_other""]")</f>
        <v>["bag_other"]</v>
      </c>
      <c r="R1581" s="148" t="str">
        <f>IFERROR(__xludf.DUMMYFUNCTION("""COMPUTED_VALUE"""),"[""bag""]")</f>
        <v>["bag"]</v>
      </c>
      <c r="S1581" s="148" t="str">
        <f>IFERROR(__xludf.DUMMYFUNCTION("""COMPUTED_VALUE"""),"{""select_box"":[{""typ"":""puzzle"",""id"":19347001,""val"":1},{""typ"":""puzzle"",""id"":19347002,""val"":1},{""typ"":""puzzle"",""id"":19347003,""val"":1},{""typ"":""puzzle"",""id"":19347004,""val"":1}]}")</f>
        <v>{"select_box":[{"typ":"puzzle","id":19347001,"val":1},{"typ":"puzzle","id":19347002,"val":1},{"typ":"puzzle","id":19347003,"val":1},{"typ":"puzzle","id":19347004,"val":1}]}</v>
      </c>
      <c r="T1581" s="148">
        <f>IFERROR(__xludf.DUMMYFUNCTION("""COMPUTED_VALUE"""),-1.0)</f>
        <v>-1</v>
      </c>
      <c r="U1581" s="148">
        <f>IFERROR(__xludf.DUMMYFUNCTION("""COMPUTED_VALUE"""),0.0)</f>
        <v>0</v>
      </c>
      <c r="V1581" s="148" t="str">
        <f>IFERROR(__xludf.DUMMYFUNCTION("""COMPUTED_VALUE"""),"[]")</f>
        <v>[]</v>
      </c>
      <c r="W1581" s="148">
        <f>IFERROR(__xludf.DUMMYFUNCTION("""COMPUTED_VALUE"""),1.1741004E7)</f>
        <v>11741004</v>
      </c>
      <c r="X1581" s="148">
        <f>IFERROR(__xludf.DUMMYFUNCTION("""COMPUTED_VALUE"""),0.0)</f>
        <v>0</v>
      </c>
      <c r="Y1581" s="148">
        <f>IFERROR(__xludf.DUMMYFUNCTION("""COMPUTED_VALUE"""),0.0)</f>
        <v>0</v>
      </c>
      <c r="Z1581" s="148"/>
    </row>
    <row r="1582">
      <c r="A1582" s="148">
        <f>IFERROR(__xludf.DUMMYFUNCTION("""COMPUTED_VALUE"""),1.1117223E7)</f>
        <v>11117223</v>
      </c>
      <c r="B1582" s="148" t="str">
        <f>IFERROR(__xludf.DUMMYFUNCTION("""COMPUTED_VALUE"""),"先锋装备自选图纸碎片箱")</f>
        <v>先锋装备自选图纸碎片箱</v>
      </c>
      <c r="C1582" s="148"/>
      <c r="D1582" s="148" t="str">
        <f>IFERROR(__xludf.DUMMYFUNCTION("""COMPUTED_VALUE"""),"item_select_box")</f>
        <v>item_select_box</v>
      </c>
      <c r="E1582" s="148">
        <f>IFERROR(__xludf.DUMMYFUNCTION("""COMPUTED_VALUE"""),0.0)</f>
        <v>0</v>
      </c>
      <c r="F1582" s="148">
        <f>IFERROR(__xludf.DUMMYFUNCTION("""COMPUTED_VALUE"""),403203.0)</f>
        <v>403203</v>
      </c>
      <c r="G1582" s="148">
        <f>IFERROR(__xludf.DUMMYFUNCTION("""COMPUTED_VALUE"""),1.5116856E7)</f>
        <v>15116856</v>
      </c>
      <c r="H1582" s="148">
        <f>IFERROR(__xludf.DUMMYFUNCTION("""COMPUTED_VALUE"""),1.5112563E7)</f>
        <v>15112563</v>
      </c>
      <c r="I1582" s="148" t="str">
        <f>IFERROR(__xludf.DUMMYFUNCTION("""COMPUTED_VALUE"""),"{}")</f>
        <v>{}</v>
      </c>
      <c r="J1582" s="148" t="str">
        <f>IFERROR(__xludf.DUMMYFUNCTION("""COMPUTED_VALUE"""),"{""typ"":""lc"",""txt"":""LC_HERO_equipment_puzzle_select_box3""}")</f>
        <v>{"typ":"lc","txt":"LC_HERO_equipment_puzzle_select_box3"}</v>
      </c>
      <c r="K1582" s="148" t="str">
        <f>IFERROR(__xludf.DUMMYFUNCTION("""COMPUTED_VALUE"""),"{""typ"":""lc"",""txt"":""LC_HERO_equipment_puzzle_select_box_desc3""}")</f>
        <v>{"typ":"lc","txt":"LC_HERO_equipment_puzzle_select_box_desc3"}</v>
      </c>
      <c r="L1582" s="148" t="str">
        <f>IFERROR(__xludf.DUMMYFUNCTION("""COMPUTED_VALUE"""),"{}")</f>
        <v>{}</v>
      </c>
      <c r="M1582" s="148">
        <f>IFERROR(__xludf.DUMMYFUNCTION("""COMPUTED_VALUE"""),25.0)</f>
        <v>25</v>
      </c>
      <c r="N1582" s="148">
        <f>IFERROR(__xludf.DUMMYFUNCTION("""COMPUTED_VALUE"""),9999999.0)</f>
        <v>9999999</v>
      </c>
      <c r="O1582" s="148">
        <f>IFERROR(__xludf.DUMMYFUNCTION("""COMPUTED_VALUE"""),99999.0)</f>
        <v>99999</v>
      </c>
      <c r="P1582" s="148">
        <f>IFERROR(__xludf.DUMMYFUNCTION("""COMPUTED_VALUE"""),99999.0)</f>
        <v>99999</v>
      </c>
      <c r="Q1582" s="148" t="str">
        <f>IFERROR(__xludf.DUMMYFUNCTION("""COMPUTED_VALUE"""),"[""bag_other""]")</f>
        <v>["bag_other"]</v>
      </c>
      <c r="R1582" s="148" t="str">
        <f>IFERROR(__xludf.DUMMYFUNCTION("""COMPUTED_VALUE"""),"[""bag""]")</f>
        <v>["bag"]</v>
      </c>
      <c r="S1582" s="148" t="str">
        <f>IFERROR(__xludf.DUMMYFUNCTION("""COMPUTED_VALUE"""),"{""select_box"":[{""typ"":""puzzle"",""id"":19348001,""val"":1},{""typ"":""puzzle"",""id"":19348002,""val"":1},{""typ"":""puzzle"",""id"":19348003,""val"":1},{""typ"":""puzzle"",""id"":19348004,""val"":1}]}")</f>
        <v>{"select_box":[{"typ":"puzzle","id":19348001,"val":1},{"typ":"puzzle","id":19348002,"val":1},{"typ":"puzzle","id":19348003,"val":1},{"typ":"puzzle","id":19348004,"val":1}]}</v>
      </c>
      <c r="T1582" s="148">
        <f>IFERROR(__xludf.DUMMYFUNCTION("""COMPUTED_VALUE"""),-1.0)</f>
        <v>-1</v>
      </c>
      <c r="U1582" s="148">
        <f>IFERROR(__xludf.DUMMYFUNCTION("""COMPUTED_VALUE"""),0.0)</f>
        <v>0</v>
      </c>
      <c r="V1582" s="148" t="str">
        <f>IFERROR(__xludf.DUMMYFUNCTION("""COMPUTED_VALUE"""),"[]")</f>
        <v>[]</v>
      </c>
      <c r="W1582" s="148">
        <f>IFERROR(__xludf.DUMMYFUNCTION("""COMPUTED_VALUE"""),1.1741004E7)</f>
        <v>11741004</v>
      </c>
      <c r="X1582" s="148">
        <f>IFERROR(__xludf.DUMMYFUNCTION("""COMPUTED_VALUE"""),0.0)</f>
        <v>0</v>
      </c>
      <c r="Y1582" s="148">
        <f>IFERROR(__xludf.DUMMYFUNCTION("""COMPUTED_VALUE"""),0.0)</f>
        <v>0</v>
      </c>
      <c r="Z1582" s="148"/>
    </row>
    <row r="1583">
      <c r="A1583" s="148">
        <f>IFERROR(__xludf.DUMMYFUNCTION("""COMPUTED_VALUE"""),1.1117224E7)</f>
        <v>11117224</v>
      </c>
      <c r="B1583" s="148" t="str">
        <f>IFERROR(__xludf.DUMMYFUNCTION("""COMPUTED_VALUE"""),"装备材料自选箱（1-3）")</f>
        <v>装备材料自选箱（1-3）</v>
      </c>
      <c r="C1583" s="148"/>
      <c r="D1583" s="148" t="str">
        <f>IFERROR(__xludf.DUMMYFUNCTION("""COMPUTED_VALUE"""),"item_select_box")</f>
        <v>item_select_box</v>
      </c>
      <c r="E1583" s="148">
        <f>IFERROR(__xludf.DUMMYFUNCTION("""COMPUTED_VALUE"""),0.0)</f>
        <v>0</v>
      </c>
      <c r="F1583" s="148">
        <f>IFERROR(__xludf.DUMMYFUNCTION("""COMPUTED_VALUE"""),403501.0)</f>
        <v>403501</v>
      </c>
      <c r="G1583" s="148">
        <f>IFERROR(__xludf.DUMMYFUNCTION("""COMPUTED_VALUE"""),1.5116856E7)</f>
        <v>15116856</v>
      </c>
      <c r="H1583" s="148">
        <f>IFERROR(__xludf.DUMMYFUNCTION("""COMPUTED_VALUE"""),1.5112563E7)</f>
        <v>15112563</v>
      </c>
      <c r="I1583" s="148" t="str">
        <f>IFERROR(__xludf.DUMMYFUNCTION("""COMPUTED_VALUE"""),"{}")</f>
        <v>{}</v>
      </c>
      <c r="J1583" s="148" t="str">
        <f>IFERROR(__xludf.DUMMYFUNCTION("""COMPUTED_VALUE"""),"{""typ"":""lc"",""txt"":""LC_HERO_equipment_material_select_box""}")</f>
        <v>{"typ":"lc","txt":"LC_HERO_equipment_material_select_box"}</v>
      </c>
      <c r="K1583" s="148" t="str">
        <f>IFERROR(__xludf.DUMMYFUNCTION("""COMPUTED_VALUE"""),"{""typ"":""lc"",""txt"":""LC_HERO_equipment_material_select_box_desc""}")</f>
        <v>{"typ":"lc","txt":"LC_HERO_equipment_material_select_box_desc"}</v>
      </c>
      <c r="L1583" s="148" t="str">
        <f>IFERROR(__xludf.DUMMYFUNCTION("""COMPUTED_VALUE"""),"{}")</f>
        <v>{}</v>
      </c>
      <c r="M1583" s="148">
        <f>IFERROR(__xludf.DUMMYFUNCTION("""COMPUTED_VALUE"""),20.0)</f>
        <v>20</v>
      </c>
      <c r="N1583" s="148">
        <f>IFERROR(__xludf.DUMMYFUNCTION("""COMPUTED_VALUE"""),9999999.0)</f>
        <v>9999999</v>
      </c>
      <c r="O1583" s="148">
        <f>IFERROR(__xludf.DUMMYFUNCTION("""COMPUTED_VALUE"""),99999.0)</f>
        <v>99999</v>
      </c>
      <c r="P1583" s="148">
        <f>IFERROR(__xludf.DUMMYFUNCTION("""COMPUTED_VALUE"""),99999.0)</f>
        <v>99999</v>
      </c>
      <c r="Q1583" s="148" t="str">
        <f>IFERROR(__xludf.DUMMYFUNCTION("""COMPUTED_VALUE"""),"[""bag_other""]")</f>
        <v>["bag_other"]</v>
      </c>
      <c r="R1583" s="148" t="str">
        <f>IFERROR(__xludf.DUMMYFUNCTION("""COMPUTED_VALUE"""),"[""bag""]")</f>
        <v>["bag"]</v>
      </c>
      <c r="S1583" s="148" t="str">
        <f>IFERROR(__xludf.DUMMYFUNCTION("""COMPUTED_VALUE"""),"{""select_box"":[{""typ"":""material"",""id"":19345003,""val"":1},{""typ"":""material"",""id"":19345001,""val"":5},{""typ"":""material"",""id"":19345002,""val"":5}]}")</f>
        <v>{"select_box":[{"typ":"material","id":19345003,"val":1},{"typ":"material","id":19345001,"val":5},{"typ":"material","id":19345002,"val":5}]}</v>
      </c>
      <c r="T1583" s="148">
        <f>IFERROR(__xludf.DUMMYFUNCTION("""COMPUTED_VALUE"""),-1.0)</f>
        <v>-1</v>
      </c>
      <c r="U1583" s="148">
        <f>IFERROR(__xludf.DUMMYFUNCTION("""COMPUTED_VALUE"""),0.0)</f>
        <v>0</v>
      </c>
      <c r="V1583" s="148" t="str">
        <f>IFERROR(__xludf.DUMMYFUNCTION("""COMPUTED_VALUE"""),"[]")</f>
        <v>[]</v>
      </c>
      <c r="W1583" s="148">
        <f>IFERROR(__xludf.DUMMYFUNCTION("""COMPUTED_VALUE"""),1.1741004E7)</f>
        <v>11741004</v>
      </c>
      <c r="X1583" s="148">
        <f>IFERROR(__xludf.DUMMYFUNCTION("""COMPUTED_VALUE"""),0.0)</f>
        <v>0</v>
      </c>
      <c r="Y1583" s="148">
        <f>IFERROR(__xludf.DUMMYFUNCTION("""COMPUTED_VALUE"""),0.0)</f>
        <v>0</v>
      </c>
      <c r="Z1583" s="148"/>
    </row>
    <row r="1584">
      <c r="A1584" s="148">
        <f>IFERROR(__xludf.DUMMYFUNCTION("""COMPUTED_VALUE"""),1.1117225E7)</f>
        <v>11117225</v>
      </c>
      <c r="B1584" s="148" t="str">
        <f>IFERROR(__xludf.DUMMYFUNCTION("""COMPUTED_VALUE"""),"车头宝箱")</f>
        <v>车头宝箱</v>
      </c>
      <c r="C1584" s="148"/>
      <c r="D1584" s="148" t="str">
        <f>IFERROR(__xludf.DUMMYFUNCTION("""COMPUTED_VALUE"""),"item_asset")</f>
        <v>item_asset</v>
      </c>
      <c r="E1584" s="148">
        <f>IFERROR(__xludf.DUMMYFUNCTION("""COMPUTED_VALUE"""),19.0)</f>
        <v>19</v>
      </c>
      <c r="F1584" s="148">
        <f>IFERROR(__xludf.DUMMYFUNCTION("""COMPUTED_VALUE"""),101200.0)</f>
        <v>101200</v>
      </c>
      <c r="G1584" s="148">
        <f>IFERROR(__xludf.DUMMYFUNCTION("""COMPUTED_VALUE"""),1.5110347E7)</f>
        <v>15110347</v>
      </c>
      <c r="H1584" s="148">
        <f>IFERROR(__xludf.DUMMYFUNCTION("""COMPUTED_VALUE"""),1.5112563E7)</f>
        <v>15112563</v>
      </c>
      <c r="I1584" s="148" t="str">
        <f>IFERROR(__xludf.DUMMYFUNCTION("""COMPUTED_VALUE"""),"{}")</f>
        <v>{}</v>
      </c>
      <c r="J1584" s="148" t="str">
        <f>IFERROR(__xludf.DUMMYFUNCTION("""COMPUTED_VALUE"""),"{""typ"":""lc"",""txt"":""LC_HERO_team_boss_leader_box""}")</f>
        <v>{"typ":"lc","txt":"LC_HERO_team_boss_leader_box"}</v>
      </c>
      <c r="K1584" s="148" t="str">
        <f>IFERROR(__xludf.DUMMYFUNCTION("""COMPUTED_VALUE"""),"{""typ"":""lc"",""txt"":""LC_HERO_team_boss_leader_box_desc""}")</f>
        <v>{"typ":"lc","txt":"LC_HERO_team_boss_leader_box_desc"}</v>
      </c>
      <c r="L1584" s="148" t="str">
        <f>IFERROR(__xludf.DUMMYFUNCTION("""COMPUTED_VALUE"""),"{}")</f>
        <v>{}</v>
      </c>
      <c r="M1584" s="148">
        <f>IFERROR(__xludf.DUMMYFUNCTION("""COMPUTED_VALUE"""),50.0)</f>
        <v>50</v>
      </c>
      <c r="N1584" s="148">
        <f>IFERROR(__xludf.DUMMYFUNCTION("""COMPUTED_VALUE"""),9999999.0)</f>
        <v>9999999</v>
      </c>
      <c r="O1584" s="148">
        <f>IFERROR(__xludf.DUMMYFUNCTION("""COMPUTED_VALUE"""),99999.0)</f>
        <v>99999</v>
      </c>
      <c r="P1584" s="148">
        <f>IFERROR(__xludf.DUMMYFUNCTION("""COMPUTED_VALUE"""),99999.0)</f>
        <v>99999</v>
      </c>
      <c r="Q1584" s="148" t="str">
        <f>IFERROR(__xludf.DUMMYFUNCTION("""COMPUTED_VALUE"""),"[""bag_other""]")</f>
        <v>["bag_other"]</v>
      </c>
      <c r="R1584" s="148" t="str">
        <f>IFERROR(__xludf.DUMMYFUNCTION("""COMPUTED_VALUE"""),"[""bag""]")</f>
        <v>["bag"]</v>
      </c>
      <c r="S1584" s="148" t="str">
        <f>IFERROR(__xludf.DUMMYFUNCTION("""COMPUTED_VALUE"""),"{""drop"":{""typ"":""single_random"",""num"":1,""args"":[{""typ"":""item"",""id"":11111156,""num"":1,""wgt"":3},{""typ"":""item"",""id"":11111155,""num"":1,""wgt"":5},{""typ"":""item"",""id"":11111154,""num"":1,""wgt"":55},{""typ"":""item"",""id"":1111114"&amp;"6,""num"":1,""wgt"":6},{""typ"":""item"",""id"":11111145,""num"":1,""wgt"":10},{""typ"":""item"",""id"":11111144,""num"":1,""wgt"":110},{""typ"":""item"",""id"":11111231,""num"":1,""wgt"":100},{""typ"":""item"",""id"":11111222,""num"":1,""wgt"":50},{""typ"&amp;""":""item"",""id"":11116004,""num"":1,""wgt"":106},{""typ"":""item"",""id"":11116005,""num"":1,""wgt"":40},{""typ"":""item"",""id"":11116006,""num"":1,""wgt"":10},{""typ"":""item"",""id"":11116007,""num"":1,""wgt"":5}]}}")</f>
        <v>{"drop":{"typ":"single_random","num":1,"args":[{"typ":"item","id":11111156,"num":1,"wgt":3},{"typ":"item","id":11111155,"num":1,"wgt":5},{"typ":"item","id":11111154,"num":1,"wgt":55},{"typ":"item","id":11111146,"num":1,"wgt":6},{"typ":"item","id":11111145,"num":1,"wgt":10},{"typ":"item","id":11111144,"num":1,"wgt":110},{"typ":"item","id":11111231,"num":1,"wgt":100},{"typ":"item","id":11111222,"num":1,"wgt":50},{"typ":"item","id":11116004,"num":1,"wgt":106},{"typ":"item","id":11116005,"num":1,"wgt":40},{"typ":"item","id":11116006,"num":1,"wgt":10},{"typ":"item","id":11116007,"num":1,"wgt":5}]}}</v>
      </c>
      <c r="T1584" s="148">
        <f>IFERROR(__xludf.DUMMYFUNCTION("""COMPUTED_VALUE"""),-1.0)</f>
        <v>-1</v>
      </c>
      <c r="U1584" s="148">
        <f>IFERROR(__xludf.DUMMYFUNCTION("""COMPUTED_VALUE"""),0.0)</f>
        <v>0</v>
      </c>
      <c r="V1584" s="148" t="str">
        <f>IFERROR(__xludf.DUMMYFUNCTION("""COMPUTED_VALUE"""),"[]")</f>
        <v>[]</v>
      </c>
      <c r="W1584" s="148">
        <f>IFERROR(__xludf.DUMMYFUNCTION("""COMPUTED_VALUE"""),1.174E7)</f>
        <v>11740000</v>
      </c>
      <c r="X1584" s="148">
        <f>IFERROR(__xludf.DUMMYFUNCTION("""COMPUTED_VALUE"""),0.0)</f>
        <v>0</v>
      </c>
      <c r="Y1584" s="148">
        <f>IFERROR(__xludf.DUMMYFUNCTION("""COMPUTED_VALUE"""),0.0)</f>
        <v>0</v>
      </c>
      <c r="Z1584" s="148"/>
    </row>
    <row r="1585">
      <c r="A1585" s="148">
        <f>IFERROR(__xludf.DUMMYFUNCTION("""COMPUTED_VALUE"""),1.1117227E7)</f>
        <v>11117227</v>
      </c>
      <c r="B1585" s="148" t="str">
        <f>IFERROR(__xludf.DUMMYFUNCTION("""COMPUTED_VALUE"""),"普通装备材料随机箱")</f>
        <v>普通装备材料随机箱</v>
      </c>
      <c r="C1585" s="148"/>
      <c r="D1585" s="148" t="str">
        <f>IFERROR(__xludf.DUMMYFUNCTION("""COMPUTED_VALUE"""),"heroarms_box")</f>
        <v>heroarms_box</v>
      </c>
      <c r="E1585" s="148">
        <f>IFERROR(__xludf.DUMMYFUNCTION("""COMPUTED_VALUE"""),0.0)</f>
        <v>0</v>
      </c>
      <c r="F1585" s="148">
        <f>IFERROR(__xludf.DUMMYFUNCTION("""COMPUTED_VALUE"""),403106.0)</f>
        <v>403106</v>
      </c>
      <c r="G1585" s="148">
        <f>IFERROR(__xludf.DUMMYFUNCTION("""COMPUTED_VALUE"""),1.5116852E7)</f>
        <v>15116852</v>
      </c>
      <c r="H1585" s="148">
        <f>IFERROR(__xludf.DUMMYFUNCTION("""COMPUTED_VALUE"""),1.5112561E7)</f>
        <v>15112561</v>
      </c>
      <c r="I1585" s="148" t="str">
        <f>IFERROR(__xludf.DUMMYFUNCTION("""COMPUTED_VALUE"""),"{}")</f>
        <v>{}</v>
      </c>
      <c r="J1585" s="148" t="str">
        <f>IFERROR(__xludf.DUMMYFUNCTION("""COMPUTED_VALUE"""),"{""typ"":""lc"",""txt"":""LC_HERO_equipment_material_box_name1""}")</f>
        <v>{"typ":"lc","txt":"LC_HERO_equipment_material_box_name1"}</v>
      </c>
      <c r="K1585" s="148" t="str">
        <f>IFERROR(__xludf.DUMMYFUNCTION("""COMPUTED_VALUE"""),"{""typ"":""lc"",""txt"":""LC_HERO_equipment_material_box_desc1""}")</f>
        <v>{"typ":"lc","txt":"LC_HERO_equipment_material_box_desc1"}</v>
      </c>
      <c r="L1585" s="148" t="str">
        <f>IFERROR(__xludf.DUMMYFUNCTION("""COMPUTED_VALUE"""),"{}")</f>
        <v>{}</v>
      </c>
      <c r="M1585" s="148">
        <f>IFERROR(__xludf.DUMMYFUNCTION("""COMPUTED_VALUE"""),4.0)</f>
        <v>4</v>
      </c>
      <c r="N1585" s="148">
        <f>IFERROR(__xludf.DUMMYFUNCTION("""COMPUTED_VALUE"""),9999999.0)</f>
        <v>9999999</v>
      </c>
      <c r="O1585" s="148">
        <f>IFERROR(__xludf.DUMMYFUNCTION("""COMPUTED_VALUE"""),99999.0)</f>
        <v>99999</v>
      </c>
      <c r="P1585" s="148">
        <f>IFERROR(__xludf.DUMMYFUNCTION("""COMPUTED_VALUE"""),99999.0)</f>
        <v>99999</v>
      </c>
      <c r="Q1585" s="148" t="str">
        <f>IFERROR(__xludf.DUMMYFUNCTION("""COMPUTED_VALUE"""),"[""bag_other""]")</f>
        <v>["bag_other"]</v>
      </c>
      <c r="R1585" s="148" t="str">
        <f>IFERROR(__xludf.DUMMYFUNCTION("""COMPUTED_VALUE"""),"[""bag""]")</f>
        <v>["bag"]</v>
      </c>
      <c r="S1585" s="148" t="str">
        <f>IFERROR(__xludf.DUMMYFUNCTION("""COMPUTED_VALUE"""),"{""drop"":{""typ"":""single_random"",""num"":1,""args"":[{""typ"":""material"",""id"":19345001,""num"":1,""wgt"":100},{""typ"":""material"",""id"":19345002,""num"":1,""wgt"":100}]}}")</f>
        <v>{"drop":{"typ":"single_random","num":1,"args":[{"typ":"material","id":19345001,"num":1,"wgt":100},{"typ":"material","id":19345002,"num":1,"wgt":100}]}}</v>
      </c>
      <c r="T1585" s="148">
        <f>IFERROR(__xludf.DUMMYFUNCTION("""COMPUTED_VALUE"""),-1.0)</f>
        <v>-1</v>
      </c>
      <c r="U1585" s="148">
        <f>IFERROR(__xludf.DUMMYFUNCTION("""COMPUTED_VALUE"""),0.0)</f>
        <v>0</v>
      </c>
      <c r="V1585" s="148" t="str">
        <f>IFERROR(__xludf.DUMMYFUNCTION("""COMPUTED_VALUE"""),"[]")</f>
        <v>[]</v>
      </c>
      <c r="W1585" s="148">
        <f>IFERROR(__xludf.DUMMYFUNCTION("""COMPUTED_VALUE"""),1.1741004E7)</f>
        <v>11741004</v>
      </c>
      <c r="X1585" s="148">
        <f>IFERROR(__xludf.DUMMYFUNCTION("""COMPUTED_VALUE"""),0.0)</f>
        <v>0</v>
      </c>
      <c r="Y1585" s="148">
        <f>IFERROR(__xludf.DUMMYFUNCTION("""COMPUTED_VALUE"""),0.0)</f>
        <v>0</v>
      </c>
      <c r="Z1585" s="148"/>
    </row>
    <row r="1586">
      <c r="A1586" s="148">
        <f>IFERROR(__xludf.DUMMYFUNCTION("""COMPUTED_VALUE"""),1.1117228E7)</f>
        <v>11117228</v>
      </c>
      <c r="B1586" s="148" t="str">
        <f>IFERROR(__xludf.DUMMYFUNCTION("""COMPUTED_VALUE"""),"英雄验证活动-伤害掉落宝箱-kvk2")</f>
        <v>英雄验证活动-伤害掉落宝箱-kvk2</v>
      </c>
      <c r="C1586" s="148"/>
      <c r="D1586" s="148" t="str">
        <f>IFERROR(__xludf.DUMMYFUNCTION("""COMPUTED_VALUE"""),"item_asset")</f>
        <v>item_asset</v>
      </c>
      <c r="E1586" s="148">
        <f>IFERROR(__xludf.DUMMYFUNCTION("""COMPUTED_VALUE"""),19.0)</f>
        <v>19</v>
      </c>
      <c r="F1586" s="148">
        <f>IFERROR(__xludf.DUMMYFUNCTION("""COMPUTED_VALUE"""),403299.0)</f>
        <v>403299</v>
      </c>
      <c r="G1586" s="148">
        <f>IFERROR(__xludf.DUMMYFUNCTION("""COMPUTED_VALUE"""),1.5113765E7)</f>
        <v>15113765</v>
      </c>
      <c r="H1586" s="148">
        <f>IFERROR(__xludf.DUMMYFUNCTION("""COMPUTED_VALUE"""),1.5112563E7)</f>
        <v>15112563</v>
      </c>
      <c r="I1586" s="148" t="str">
        <f>IFERROR(__xludf.DUMMYFUNCTION("""COMPUTED_VALUE"""),"{}")</f>
        <v>{}</v>
      </c>
      <c r="J1586" s="148" t="str">
        <f>IFERROR(__xludf.DUMMYFUNCTION("""COMPUTED_VALUE"""),"{""typ"":""lc"",""txt"":""LC_ITEM_maximus_chest_name""}")</f>
        <v>{"typ":"lc","txt":"LC_ITEM_maximus_chest_name"}</v>
      </c>
      <c r="K1586" s="148" t="str">
        <f>IFERROR(__xludf.DUMMYFUNCTION("""COMPUTED_VALUE"""),"{""typ"":""lc"",""txt"":""LC_ITEM_maximus_chest_desc""}")</f>
        <v>{"typ":"lc","txt":"LC_ITEM_maximus_chest_desc"}</v>
      </c>
      <c r="L1586" s="148" t="str">
        <f>IFERROR(__xludf.DUMMYFUNCTION("""COMPUTED_VALUE"""),"{}")</f>
        <v>{}</v>
      </c>
      <c r="M1586" s="148">
        <f>IFERROR(__xludf.DUMMYFUNCTION("""COMPUTED_VALUE"""),1.0)</f>
        <v>1</v>
      </c>
      <c r="N1586" s="148">
        <f>IFERROR(__xludf.DUMMYFUNCTION("""COMPUTED_VALUE"""),999999.0)</f>
        <v>999999</v>
      </c>
      <c r="O1586" s="148">
        <f>IFERROR(__xludf.DUMMYFUNCTION("""COMPUTED_VALUE"""),99999.0)</f>
        <v>99999</v>
      </c>
      <c r="P1586" s="148">
        <f>IFERROR(__xludf.DUMMYFUNCTION("""COMPUTED_VALUE"""),9999.0)</f>
        <v>9999</v>
      </c>
      <c r="Q1586" s="148" t="str">
        <f>IFERROR(__xludf.DUMMYFUNCTION("""COMPUTED_VALUE"""),"[""bag_other""]")</f>
        <v>["bag_other"]</v>
      </c>
      <c r="R1586" s="148" t="str">
        <f>IFERROR(__xludf.DUMMYFUNCTION("""COMPUTED_VALUE"""),"[]")</f>
        <v>[]</v>
      </c>
      <c r="S1586" s="148" t="str">
        <f>IFERROR(__xludf.DUMMYFUNCTION("""COMPUTED_VALUE"""),"{""drop"":{""typ"":""single_random"",""num"":1,""args"":[{""typ"":""material"",""id"":19345001,""num"":10,""wgt"":50},{""typ"":""material"",""id"":19345002,""num"":10,""wgt"":50},{""typ"":""material"",""id"":19345003,""num"":2,""wgt"":50},{""typ"":""item"&amp;""",""id"":11117118,""num"":4,""wgt"":38},{""typ"":""item"",""id"":11117119,""num"":2,""wgt"":25},{""typ"":""item"",""id"":11111154,""num"":1,""wgt"":70},{""typ"":""item"",""id"":11111037,""num"":350,""wgt"":75}]}}")</f>
        <v>{"drop":{"typ":"single_random","num":1,"args":[{"typ":"material","id":19345001,"num":10,"wgt":50},{"typ":"material","id":19345002,"num":10,"wgt":50},{"typ":"material","id":19345003,"num":2,"wgt":50},{"typ":"item","id":11117118,"num":4,"wgt":38},{"typ":"item","id":11117119,"num":2,"wgt":25},{"typ":"item","id":11111154,"num":1,"wgt":70},{"typ":"item","id":11111037,"num":350,"wgt":75}]}}</v>
      </c>
      <c r="T1586" s="148">
        <f>IFERROR(__xludf.DUMMYFUNCTION("""COMPUTED_VALUE"""),-1.0)</f>
        <v>-1</v>
      </c>
      <c r="U1586" s="148">
        <f>IFERROR(__xludf.DUMMYFUNCTION("""COMPUTED_VALUE"""),1.0)</f>
        <v>1</v>
      </c>
      <c r="V1586" s="148" t="str">
        <f>IFERROR(__xludf.DUMMYFUNCTION("""COMPUTED_VALUE"""),"[]")</f>
        <v>[]</v>
      </c>
      <c r="W1586" s="148">
        <f>IFERROR(__xludf.DUMMYFUNCTION("""COMPUTED_VALUE"""),1.174E7)</f>
        <v>11740000</v>
      </c>
      <c r="X1586" s="148">
        <f>IFERROR(__xludf.DUMMYFUNCTION("""COMPUTED_VALUE"""),0.0)</f>
        <v>0</v>
      </c>
      <c r="Y1586" s="148">
        <f>IFERROR(__xludf.DUMMYFUNCTION("""COMPUTED_VALUE"""),0.0)</f>
        <v>0</v>
      </c>
      <c r="Z1586" s="148"/>
    </row>
    <row r="1587">
      <c r="A1587" s="148">
        <f>IFERROR(__xludf.DUMMYFUNCTION("""COMPUTED_VALUE"""),1.1117229E7)</f>
        <v>11117229</v>
      </c>
      <c r="B1587" s="148" t="str">
        <f>IFERROR(__xludf.DUMMYFUNCTION("""COMPUTED_VALUE"""),"兵种技能升级材料-能量剂")</f>
        <v>兵种技能升级材料-能量剂</v>
      </c>
      <c r="C1587" s="148"/>
      <c r="D1587" s="148" t="str">
        <f>IFERROR(__xludf.DUMMYFUNCTION("""COMPUTED_VALUE"""),"item_asset")</f>
        <v>item_asset</v>
      </c>
      <c r="E1587" s="148">
        <f>IFERROR(__xludf.DUMMYFUNCTION("""COMPUTED_VALUE"""),0.0)</f>
        <v>0</v>
      </c>
      <c r="F1587" s="148">
        <f>IFERROR(__xludf.DUMMYFUNCTION("""COMPUTED_VALUE"""),415302.0)</f>
        <v>415302</v>
      </c>
      <c r="G1587" s="148">
        <f>IFERROR(__xludf.DUMMYFUNCTION("""COMPUTED_VALUE"""),1.5115221E7)</f>
        <v>15115221</v>
      </c>
      <c r="H1587" s="148">
        <f>IFERROR(__xludf.DUMMYFUNCTION("""COMPUTED_VALUE"""),1.5112562E7)</f>
        <v>15112562</v>
      </c>
      <c r="I1587" s="148" t="str">
        <f>IFERROR(__xludf.DUMMYFUNCTION("""COMPUTED_VALUE"""),"{}")</f>
        <v>{}</v>
      </c>
      <c r="J1587" s="148" t="str">
        <f>IFERROR(__xludf.DUMMYFUNCTION("""COMPUTED_VALUE"""),"{""typ"":""lc"",""txt"":""LC_SOLDIER_arms_skill_upgrade_name1""}")</f>
        <v>{"typ":"lc","txt":"LC_SOLDIER_arms_skill_upgrade_name1"}</v>
      </c>
      <c r="K1587" s="148" t="str">
        <f>IFERROR(__xludf.DUMMYFUNCTION("""COMPUTED_VALUE"""),"{""typ"":""lc"",""txt"":""LC_SOLDIER_arms_skill_upgrade_desc1""}")</f>
        <v>{"typ":"lc","txt":"LC_SOLDIER_arms_skill_upgrade_desc1"}</v>
      </c>
      <c r="L1587" s="148" t="str">
        <f>IFERROR(__xludf.DUMMYFUNCTION("""COMPUTED_VALUE"""),"{}")</f>
        <v>{}</v>
      </c>
      <c r="M1587" s="148">
        <f>IFERROR(__xludf.DUMMYFUNCTION("""COMPUTED_VALUE"""),100.0)</f>
        <v>100</v>
      </c>
      <c r="N1587" s="148">
        <f>IFERROR(__xludf.DUMMYFUNCTION("""COMPUTED_VALUE"""),9999999.0)</f>
        <v>9999999</v>
      </c>
      <c r="O1587" s="148">
        <f>IFERROR(__xludf.DUMMYFUNCTION("""COMPUTED_VALUE"""),99999.0)</f>
        <v>99999</v>
      </c>
      <c r="P1587" s="148">
        <f>IFERROR(__xludf.DUMMYFUNCTION("""COMPUTED_VALUE"""),99999.0)</f>
        <v>99999</v>
      </c>
      <c r="Q1587" s="148" t="str">
        <f>IFERROR(__xludf.DUMMYFUNCTION("""COMPUTED_VALUE"""),"[""bag_other""]")</f>
        <v>["bag_other"]</v>
      </c>
      <c r="R1587" s="148" t="str">
        <f>IFERROR(__xludf.DUMMYFUNCTION("""COMPUTED_VALUE"""),"[]")</f>
        <v>[]</v>
      </c>
      <c r="S1587" s="148" t="str">
        <f>IFERROR(__xludf.DUMMYFUNCTION("""COMPUTED_VALUE"""),"{}")</f>
        <v>{}</v>
      </c>
      <c r="T1587" s="148">
        <f>IFERROR(__xludf.DUMMYFUNCTION("""COMPUTED_VALUE"""),-1.0)</f>
        <v>-1</v>
      </c>
      <c r="U1587" s="148">
        <f>IFERROR(__xludf.DUMMYFUNCTION("""COMPUTED_VALUE"""),0.0)</f>
        <v>0</v>
      </c>
      <c r="V1587" s="148" t="str">
        <f>IFERROR(__xludf.DUMMYFUNCTION("""COMPUTED_VALUE"""),"[]")</f>
        <v>[]</v>
      </c>
      <c r="W1587" s="148">
        <f>IFERROR(__xludf.DUMMYFUNCTION("""COMPUTED_VALUE"""),1.1741004E7)</f>
        <v>11741004</v>
      </c>
      <c r="X1587" s="148">
        <f>IFERROR(__xludf.DUMMYFUNCTION("""COMPUTED_VALUE"""),0.0)</f>
        <v>0</v>
      </c>
      <c r="Y1587" s="148">
        <f>IFERROR(__xludf.DUMMYFUNCTION("""COMPUTED_VALUE"""),0.0)</f>
        <v>0</v>
      </c>
      <c r="Z1587" s="148"/>
    </row>
    <row r="1588">
      <c r="A1588" s="148">
        <f>IFERROR(__xludf.DUMMYFUNCTION("""COMPUTED_VALUE"""),1.111723E7)</f>
        <v>11117230</v>
      </c>
      <c r="B1588" s="148" t="str">
        <f>IFERROR(__xludf.DUMMYFUNCTION("""COMPUTED_VALUE"""),"兵种技能升级材料-训练检测仪")</f>
        <v>兵种技能升级材料-训练检测仪</v>
      </c>
      <c r="C1588" s="148"/>
      <c r="D1588" s="148" t="str">
        <f>IFERROR(__xludf.DUMMYFUNCTION("""COMPUTED_VALUE"""),"item_asset")</f>
        <v>item_asset</v>
      </c>
      <c r="E1588" s="148">
        <f>IFERROR(__xludf.DUMMYFUNCTION("""COMPUTED_VALUE"""),0.0)</f>
        <v>0</v>
      </c>
      <c r="F1588" s="148">
        <f>IFERROR(__xludf.DUMMYFUNCTION("""COMPUTED_VALUE"""),415101.0)</f>
        <v>415101</v>
      </c>
      <c r="G1588" s="148">
        <f>IFERROR(__xludf.DUMMYFUNCTION("""COMPUTED_VALUE"""),1.5115222E7)</f>
        <v>15115222</v>
      </c>
      <c r="H1588" s="148">
        <f>IFERROR(__xludf.DUMMYFUNCTION("""COMPUTED_VALUE"""),1.5112564E7)</f>
        <v>15112564</v>
      </c>
      <c r="I1588" s="148" t="str">
        <f>IFERROR(__xludf.DUMMYFUNCTION("""COMPUTED_VALUE"""),"{}")</f>
        <v>{}</v>
      </c>
      <c r="J1588" s="148" t="str">
        <f>IFERROR(__xludf.DUMMYFUNCTION("""COMPUTED_VALUE"""),"{""typ"":""lc"",""txt"":""LC_SOLDIER_arms_skill_upgrade_name2""}")</f>
        <v>{"typ":"lc","txt":"LC_SOLDIER_arms_skill_upgrade_name2"}</v>
      </c>
      <c r="K1588" s="148" t="str">
        <f>IFERROR(__xludf.DUMMYFUNCTION("""COMPUTED_VALUE"""),"{""typ"":""lc"",""txt"":""LC_SOLDIER_arms_skill_upgrade_desc2""}")</f>
        <v>{"typ":"lc","txt":"LC_SOLDIER_arms_skill_upgrade_desc2"}</v>
      </c>
      <c r="L1588" s="148" t="str">
        <f>IFERROR(__xludf.DUMMYFUNCTION("""COMPUTED_VALUE"""),"{}")</f>
        <v>{}</v>
      </c>
      <c r="M1588" s="148">
        <f>IFERROR(__xludf.DUMMYFUNCTION("""COMPUTED_VALUE"""),1000.0)</f>
        <v>1000</v>
      </c>
      <c r="N1588" s="148">
        <f>IFERROR(__xludf.DUMMYFUNCTION("""COMPUTED_VALUE"""),9999999.0)</f>
        <v>9999999</v>
      </c>
      <c r="O1588" s="148">
        <f>IFERROR(__xludf.DUMMYFUNCTION("""COMPUTED_VALUE"""),99999.0)</f>
        <v>99999</v>
      </c>
      <c r="P1588" s="148">
        <f>IFERROR(__xludf.DUMMYFUNCTION("""COMPUTED_VALUE"""),99999.0)</f>
        <v>99999</v>
      </c>
      <c r="Q1588" s="148" t="str">
        <f>IFERROR(__xludf.DUMMYFUNCTION("""COMPUTED_VALUE"""),"[""bag_other""]")</f>
        <v>["bag_other"]</v>
      </c>
      <c r="R1588" s="148" t="str">
        <f>IFERROR(__xludf.DUMMYFUNCTION("""COMPUTED_VALUE"""),"[]")</f>
        <v>[]</v>
      </c>
      <c r="S1588" s="148" t="str">
        <f>IFERROR(__xludf.DUMMYFUNCTION("""COMPUTED_VALUE"""),"{}")</f>
        <v>{}</v>
      </c>
      <c r="T1588" s="148">
        <f>IFERROR(__xludf.DUMMYFUNCTION("""COMPUTED_VALUE"""),-1.0)</f>
        <v>-1</v>
      </c>
      <c r="U1588" s="148">
        <f>IFERROR(__xludf.DUMMYFUNCTION("""COMPUTED_VALUE"""),0.0)</f>
        <v>0</v>
      </c>
      <c r="V1588" s="148" t="str">
        <f>IFERROR(__xludf.DUMMYFUNCTION("""COMPUTED_VALUE"""),"[]")</f>
        <v>[]</v>
      </c>
      <c r="W1588" s="148">
        <f>IFERROR(__xludf.DUMMYFUNCTION("""COMPUTED_VALUE"""),1.1741004E7)</f>
        <v>11741004</v>
      </c>
      <c r="X1588" s="148">
        <f>IFERROR(__xludf.DUMMYFUNCTION("""COMPUTED_VALUE"""),0.0)</f>
        <v>0</v>
      </c>
      <c r="Y1588" s="148">
        <f>IFERROR(__xludf.DUMMYFUNCTION("""COMPUTED_VALUE"""),0.0)</f>
        <v>0</v>
      </c>
      <c r="Z1588" s="148"/>
    </row>
    <row r="1589">
      <c r="A1589" s="148">
        <f>IFERROR(__xludf.DUMMYFUNCTION("""COMPUTED_VALUE"""),1.1117231E7)</f>
        <v>11117231</v>
      </c>
      <c r="B1589" s="148" t="str">
        <f>IFERROR(__xludf.DUMMYFUNCTION("""COMPUTED_VALUE"""),"收藏品盲盒抽奖币-放回")</f>
        <v>收藏品盲盒抽奖币-放回</v>
      </c>
      <c r="C1589" s="148"/>
      <c r="D1589" s="148" t="str">
        <f>IFERROR(__xludf.DUMMYFUNCTION("""COMPUTED_VALUE"""),"event")</f>
        <v>event</v>
      </c>
      <c r="E1589" s="148">
        <f>IFERROR(__xludf.DUMMYFUNCTION("""COMPUTED_VALUE"""),0.0)</f>
        <v>0</v>
      </c>
      <c r="F1589" s="148">
        <f>IFERROR(__xludf.DUMMYFUNCTION("""COMPUTED_VALUE"""),405220.0)</f>
        <v>405220</v>
      </c>
      <c r="G1589" s="148">
        <f>IFERROR(__xludf.DUMMYFUNCTION("""COMPUTED_VALUE"""),1.5115225E7)</f>
        <v>15115225</v>
      </c>
      <c r="H1589" s="148">
        <f>IFERROR(__xludf.DUMMYFUNCTION("""COMPUTED_VALUE"""),1.5112563E7)</f>
        <v>15112563</v>
      </c>
      <c r="I1589" s="148" t="str">
        <f>IFERROR(__xludf.DUMMYFUNCTION("""COMPUTED_VALUE"""),"{}")</f>
        <v>{}</v>
      </c>
      <c r="J1589" s="148" t="str">
        <f>IFERROR(__xludf.DUMMYFUNCTION("""COMPUTED_VALUE"""),"{""typ"":""lc"",""txt"":""LC_ITEM_collection_blindbox_coin""}")</f>
        <v>{"typ":"lc","txt":"LC_ITEM_collection_blindbox_coin"}</v>
      </c>
      <c r="K1589" s="148" t="str">
        <f>IFERROR(__xludf.DUMMYFUNCTION("""COMPUTED_VALUE"""),"{""typ"":""lc"",""txt"":""LC_ITEM_collection_blindbox_coin_desc""}")</f>
        <v>{"typ":"lc","txt":"LC_ITEM_collection_blindbox_coin_desc"}</v>
      </c>
      <c r="L1589" s="148" t="str">
        <f>IFERROR(__xludf.DUMMYFUNCTION("""COMPUTED_VALUE"""),"{}")</f>
        <v>{}</v>
      </c>
      <c r="M1589" s="148">
        <f>IFERROR(__xludf.DUMMYFUNCTION("""COMPUTED_VALUE"""),700.0)</f>
        <v>700</v>
      </c>
      <c r="N1589" s="148">
        <f>IFERROR(__xludf.DUMMYFUNCTION("""COMPUTED_VALUE"""),9.99999999E8)</f>
        <v>999999999</v>
      </c>
      <c r="O1589" s="148">
        <f>IFERROR(__xludf.DUMMYFUNCTION("""COMPUTED_VALUE"""),9.99999999E8)</f>
        <v>999999999</v>
      </c>
      <c r="P1589" s="148">
        <f>IFERROR(__xludf.DUMMYFUNCTION("""COMPUTED_VALUE"""),9.99999999E8)</f>
        <v>999999999</v>
      </c>
      <c r="Q1589" s="148" t="str">
        <f>IFERROR(__xludf.DUMMYFUNCTION("""COMPUTED_VALUE"""),"[""bag_other""]")</f>
        <v>["bag_other"]</v>
      </c>
      <c r="R1589" s="148" t="str">
        <f>IFERROR(__xludf.DUMMYFUNCTION("""COMPUTED_VALUE"""),"[]")</f>
        <v>[]</v>
      </c>
      <c r="S1589" s="148" t="str">
        <f>IFERROR(__xludf.DUMMYFUNCTION("""COMPUTED_VALUE"""),"{}")</f>
        <v>{}</v>
      </c>
      <c r="T1589" s="148">
        <f>IFERROR(__xludf.DUMMYFUNCTION("""COMPUTED_VALUE"""),-1.0)</f>
        <v>-1</v>
      </c>
      <c r="U1589" s="148">
        <f>IFERROR(__xludf.DUMMYFUNCTION("""COMPUTED_VALUE"""),0.0)</f>
        <v>0</v>
      </c>
      <c r="V1589" s="148" t="str">
        <f>IFERROR(__xludf.DUMMYFUNCTION("""COMPUTED_VALUE"""),"[]")</f>
        <v>[]</v>
      </c>
      <c r="W1589" s="148">
        <f>IFERROR(__xludf.DUMMYFUNCTION("""COMPUTED_VALUE"""),1.174E7)</f>
        <v>11740000</v>
      </c>
      <c r="X1589" s="148">
        <f>IFERROR(__xludf.DUMMYFUNCTION("""COMPUTED_VALUE"""),0.0)</f>
        <v>0</v>
      </c>
      <c r="Y1589" s="148">
        <f>IFERROR(__xludf.DUMMYFUNCTION("""COMPUTED_VALUE"""),0.0)</f>
        <v>0</v>
      </c>
      <c r="Z1589" s="148"/>
    </row>
    <row r="1590">
      <c r="A1590" s="148">
        <f>IFERROR(__xludf.DUMMYFUNCTION("""COMPUTED_VALUE"""),1.1117232E7)</f>
        <v>11117232</v>
      </c>
      <c r="B1590" s="148" t="str">
        <f>IFERROR(__xludf.DUMMYFUNCTION("""COMPUTED_VALUE"""),"bp道具-南瓜币")</f>
        <v>bp道具-南瓜币</v>
      </c>
      <c r="C1590" s="148"/>
      <c r="D1590" s="148" t="str">
        <f>IFERROR(__xludf.DUMMYFUNCTION("""COMPUTED_VALUE"""),"battle_pass_exp")</f>
        <v>battle_pass_exp</v>
      </c>
      <c r="E1590" s="148">
        <f>IFERROR(__xludf.DUMMYFUNCTION("""COMPUTED_VALUE"""),0.0)</f>
        <v>0</v>
      </c>
      <c r="F1590" s="148">
        <f>IFERROR(__xludf.DUMMYFUNCTION("""COMPUTED_VALUE"""),405246.0)</f>
        <v>405246</v>
      </c>
      <c r="G1590" s="148">
        <f>IFERROR(__xludf.DUMMYFUNCTION("""COMPUTED_VALUE"""),1.5115227E7)</f>
        <v>15115227</v>
      </c>
      <c r="H1590" s="148">
        <f>IFERROR(__xludf.DUMMYFUNCTION("""COMPUTED_VALUE"""),1.5112563E7)</f>
        <v>15112563</v>
      </c>
      <c r="I1590" s="148" t="str">
        <f>IFERROR(__xludf.DUMMYFUNCTION("""COMPUTED_VALUE"""),"{}")</f>
        <v>{}</v>
      </c>
      <c r="J1590" s="148" t="str">
        <f>IFERROR(__xludf.DUMMYFUNCTION("""COMPUTED_VALUE"""),"{""typ"":""lc"",""txt"":""LC_ITEM_halloween_item_2022_name_1""}")</f>
        <v>{"typ":"lc","txt":"LC_ITEM_halloween_item_2022_name_1"}</v>
      </c>
      <c r="K1590" s="148" t="str">
        <f>IFERROR(__xludf.DUMMYFUNCTION("""COMPUTED_VALUE"""),"{""typ"":""lc"",""txt"":""LC_ITEM_halloween_item_2022_desc_1""}")</f>
        <v>{"typ":"lc","txt":"LC_ITEM_halloween_item_2022_desc_1"}</v>
      </c>
      <c r="L1590" s="148" t="str">
        <f>IFERROR(__xludf.DUMMYFUNCTION("""COMPUTED_VALUE"""),"{}")</f>
        <v>{}</v>
      </c>
      <c r="M1590" s="148">
        <f>IFERROR(__xludf.DUMMYFUNCTION("""COMPUTED_VALUE"""),35.0)</f>
        <v>35</v>
      </c>
      <c r="N1590" s="148">
        <f>IFERROR(__xludf.DUMMYFUNCTION("""COMPUTED_VALUE"""),999999.0)</f>
        <v>999999</v>
      </c>
      <c r="O1590" s="148">
        <f>IFERROR(__xludf.DUMMYFUNCTION("""COMPUTED_VALUE"""),99999.0)</f>
        <v>99999</v>
      </c>
      <c r="P1590" s="148">
        <f>IFERROR(__xludf.DUMMYFUNCTION("""COMPUTED_VALUE"""),99999.0)</f>
        <v>99999</v>
      </c>
      <c r="Q1590" s="148" t="str">
        <f>IFERROR(__xludf.DUMMYFUNCTION("""COMPUTED_VALUE"""),"[""bag_other""]")</f>
        <v>["bag_other"]</v>
      </c>
      <c r="R1590" s="148" t="str">
        <f>IFERROR(__xludf.DUMMYFUNCTION("""COMPUTED_VALUE"""),"[""bag""]")</f>
        <v>["bag"]</v>
      </c>
      <c r="S1590" s="148" t="str">
        <f>IFERROR(__xludf.DUMMYFUNCTION("""COMPUTED_VALUE"""),"{}")</f>
        <v>{}</v>
      </c>
      <c r="T1590" s="148">
        <f>IFERROR(__xludf.DUMMYFUNCTION("""COMPUTED_VALUE"""),1.0)</f>
        <v>1</v>
      </c>
      <c r="U1590" s="148">
        <f>IFERROR(__xludf.DUMMYFUNCTION("""COMPUTED_VALUE"""),0.0)</f>
        <v>0</v>
      </c>
      <c r="V1590" s="148" t="str">
        <f>IFERROR(__xludf.DUMMYFUNCTION("""COMPUTED_VALUE"""),"[]")</f>
        <v>[]</v>
      </c>
      <c r="W1590" s="148">
        <f>IFERROR(__xludf.DUMMYFUNCTION("""COMPUTED_VALUE"""),1.174E7)</f>
        <v>11740000</v>
      </c>
      <c r="X1590" s="148">
        <f>IFERROR(__xludf.DUMMYFUNCTION("""COMPUTED_VALUE"""),0.0)</f>
        <v>0</v>
      </c>
      <c r="Y1590" s="148">
        <f>IFERROR(__xludf.DUMMYFUNCTION("""COMPUTED_VALUE"""),0.0)</f>
        <v>0</v>
      </c>
      <c r="Z1590" s="148"/>
    </row>
    <row r="1591">
      <c r="A1591" s="148">
        <f>IFERROR(__xludf.DUMMYFUNCTION("""COMPUTED_VALUE"""),1.1117233E7)</f>
        <v>11117233</v>
      </c>
      <c r="B1591" s="148" t="str">
        <f>IFERROR(__xludf.DUMMYFUNCTION("""COMPUTED_VALUE"""),"南瓜奖券_2022")</f>
        <v>南瓜奖券_2022</v>
      </c>
      <c r="C1591" s="148"/>
      <c r="D1591" s="148" t="str">
        <f>IFERROR(__xludf.DUMMYFUNCTION("""COMPUTED_VALUE"""),"event")</f>
        <v>event</v>
      </c>
      <c r="E1591" s="148">
        <f>IFERROR(__xludf.DUMMYFUNCTION("""COMPUTED_VALUE"""),0.0)</f>
        <v>0</v>
      </c>
      <c r="F1591" s="148">
        <f>IFERROR(__xludf.DUMMYFUNCTION("""COMPUTED_VALUE"""),405243.0)</f>
        <v>405243</v>
      </c>
      <c r="G1591" s="148">
        <f>IFERROR(__xludf.DUMMYFUNCTION("""COMPUTED_VALUE"""),1.5115226E7)</f>
        <v>15115226</v>
      </c>
      <c r="H1591" s="148">
        <f>IFERROR(__xludf.DUMMYFUNCTION("""COMPUTED_VALUE"""),1.5112563E7)</f>
        <v>15112563</v>
      </c>
      <c r="I1591" s="148" t="str">
        <f>IFERROR(__xludf.DUMMYFUNCTION("""COMPUTED_VALUE"""),"{}")</f>
        <v>{}</v>
      </c>
      <c r="J1591" s="148" t="str">
        <f>IFERROR(__xludf.DUMMYFUNCTION("""COMPUTED_VALUE"""),"{""typ"":""lc"",""txt"":""LC_ITEM_halloween_item_2022_name_2""}")</f>
        <v>{"typ":"lc","txt":"LC_ITEM_halloween_item_2022_name_2"}</v>
      </c>
      <c r="K1591" s="148" t="str">
        <f>IFERROR(__xludf.DUMMYFUNCTION("""COMPUTED_VALUE"""),"{""typ"":""lc"",""txt"":""LC_ITEM_halloween_item_2022_desc_2""}")</f>
        <v>{"typ":"lc","txt":"LC_ITEM_halloween_item_2022_desc_2"}</v>
      </c>
      <c r="L1591" s="148" t="str">
        <f>IFERROR(__xludf.DUMMYFUNCTION("""COMPUTED_VALUE"""),"{}")</f>
        <v>{}</v>
      </c>
      <c r="M1591" s="148">
        <f>IFERROR(__xludf.DUMMYFUNCTION("""COMPUTED_VALUE"""),700.0)</f>
        <v>700</v>
      </c>
      <c r="N1591" s="148">
        <f>IFERROR(__xludf.DUMMYFUNCTION("""COMPUTED_VALUE"""),9.99999999E8)</f>
        <v>999999999</v>
      </c>
      <c r="O1591" s="148">
        <f>IFERROR(__xludf.DUMMYFUNCTION("""COMPUTED_VALUE"""),9.99999999E8)</f>
        <v>999999999</v>
      </c>
      <c r="P1591" s="148">
        <f>IFERROR(__xludf.DUMMYFUNCTION("""COMPUTED_VALUE"""),9.99999999E8)</f>
        <v>999999999</v>
      </c>
      <c r="Q1591" s="148" t="str">
        <f>IFERROR(__xludf.DUMMYFUNCTION("""COMPUTED_VALUE"""),"[""bag_other""]")</f>
        <v>["bag_other"]</v>
      </c>
      <c r="R1591" s="148" t="str">
        <f>IFERROR(__xludf.DUMMYFUNCTION("""COMPUTED_VALUE"""),"[""bag""]")</f>
        <v>["bag"]</v>
      </c>
      <c r="S1591" s="148" t="str">
        <f>IFERROR(__xludf.DUMMYFUNCTION("""COMPUTED_VALUE"""),"{}")</f>
        <v>{}</v>
      </c>
      <c r="T1591" s="148">
        <f>IFERROR(__xludf.DUMMYFUNCTION("""COMPUTED_VALUE"""),-1.0)</f>
        <v>-1</v>
      </c>
      <c r="U1591" s="148">
        <f>IFERROR(__xludf.DUMMYFUNCTION("""COMPUTED_VALUE"""),0.0)</f>
        <v>0</v>
      </c>
      <c r="V1591" s="148" t="str">
        <f>IFERROR(__xludf.DUMMYFUNCTION("""COMPUTED_VALUE"""),"[]")</f>
        <v>[]</v>
      </c>
      <c r="W1591" s="148">
        <f>IFERROR(__xludf.DUMMYFUNCTION("""COMPUTED_VALUE"""),1.174E7)</f>
        <v>11740000</v>
      </c>
      <c r="X1591" s="148">
        <f>IFERROR(__xludf.DUMMYFUNCTION("""COMPUTED_VALUE"""),0.0)</f>
        <v>0</v>
      </c>
      <c r="Y1591" s="148">
        <f>IFERROR(__xludf.DUMMYFUNCTION("""COMPUTED_VALUE"""),0.0)</f>
        <v>0</v>
      </c>
      <c r="Z1591" s="148"/>
    </row>
    <row r="1592">
      <c r="A1592" s="148">
        <f>IFERROR(__xludf.DUMMYFUNCTION("""COMPUTED_VALUE"""),1.1117234E7)</f>
        <v>11117234</v>
      </c>
      <c r="B1592" s="148" t="str">
        <f>IFERROR(__xludf.DUMMYFUNCTION("""COMPUTED_VALUE"""),"万圣节-BattlePass-初级通行证")</f>
        <v>万圣节-BattlePass-初级通行证</v>
      </c>
      <c r="C1592" s="148"/>
      <c r="D1592" s="148" t="str">
        <f>IFERROR(__xludf.DUMMYFUNCTION("""COMPUTED_VALUE"""),"battle_pass_card")</f>
        <v>battle_pass_card</v>
      </c>
      <c r="E1592" s="148">
        <f>IFERROR(__xludf.DUMMYFUNCTION("""COMPUTED_VALUE"""),0.0)</f>
        <v>0</v>
      </c>
      <c r="F1592" s="148">
        <f>IFERROR(__xludf.DUMMYFUNCTION("""COMPUTED_VALUE"""),0.0)</f>
        <v>0</v>
      </c>
      <c r="G1592" s="148">
        <f>IFERROR(__xludf.DUMMYFUNCTION("""COMPUTED_VALUE"""),1.5113625E7)</f>
        <v>15113625</v>
      </c>
      <c r="H1592" s="148">
        <f>IFERROR(__xludf.DUMMYFUNCTION("""COMPUTED_VALUE"""),1.5112563E7)</f>
        <v>15112563</v>
      </c>
      <c r="I1592" s="148" t="str">
        <f>IFERROR(__xludf.DUMMYFUNCTION("""COMPUTED_VALUE"""),"{}")</f>
        <v>{}</v>
      </c>
      <c r="J1592" s="148" t="str">
        <f>IFERROR(__xludf.DUMMYFUNCTION("""COMPUTED_VALUE"""),"{""typ"":""lc"",""txt"":""LC_ITEM_battlepass_exp_name""}")</f>
        <v>{"typ":"lc","txt":"LC_ITEM_battlepass_exp_name"}</v>
      </c>
      <c r="K1592" s="148" t="str">
        <f>IFERROR(__xludf.DUMMYFUNCTION("""COMPUTED_VALUE"""),"{}")</f>
        <v>{}</v>
      </c>
      <c r="L1592" s="148" t="str">
        <f>IFERROR(__xludf.DUMMYFUNCTION("""COMPUTED_VALUE"""),"{}")</f>
        <v>{}</v>
      </c>
      <c r="M1592" s="148">
        <f>IFERROR(__xludf.DUMMYFUNCTION("""COMPUTED_VALUE"""),10.0)</f>
        <v>10</v>
      </c>
      <c r="N1592" s="148">
        <f>IFERROR(__xludf.DUMMYFUNCTION("""COMPUTED_VALUE"""),999999.0)</f>
        <v>999999</v>
      </c>
      <c r="O1592" s="148">
        <f>IFERROR(__xludf.DUMMYFUNCTION("""COMPUTED_VALUE"""),99999.0)</f>
        <v>99999</v>
      </c>
      <c r="P1592" s="148">
        <f>IFERROR(__xludf.DUMMYFUNCTION("""COMPUTED_VALUE"""),9999.0)</f>
        <v>9999</v>
      </c>
      <c r="Q1592" s="148" t="str">
        <f>IFERROR(__xludf.DUMMYFUNCTION("""COMPUTED_VALUE"""),"[]")</f>
        <v>[]</v>
      </c>
      <c r="R1592" s="148" t="str">
        <f>IFERROR(__xludf.DUMMYFUNCTION("""COMPUTED_VALUE"""),"[]")</f>
        <v>[]</v>
      </c>
      <c r="S1592" s="148" t="str">
        <f>IFERROR(__xludf.DUMMYFUNCTION("""COMPUTED_VALUE"""),"{}")</f>
        <v>{}</v>
      </c>
      <c r="T1592" s="148">
        <f>IFERROR(__xludf.DUMMYFUNCTION("""COMPUTED_VALUE"""),-1.0)</f>
        <v>-1</v>
      </c>
      <c r="U1592" s="148">
        <f>IFERROR(__xludf.DUMMYFUNCTION("""COMPUTED_VALUE"""),1.0)</f>
        <v>1</v>
      </c>
      <c r="V1592" s="148" t="str">
        <f>IFERROR(__xludf.DUMMYFUNCTION("""COMPUTED_VALUE"""),"[]")</f>
        <v>[]</v>
      </c>
      <c r="W1592" s="148">
        <f>IFERROR(__xludf.DUMMYFUNCTION("""COMPUTED_VALUE"""),1.174E7)</f>
        <v>11740000</v>
      </c>
      <c r="X1592" s="148">
        <f>IFERROR(__xludf.DUMMYFUNCTION("""COMPUTED_VALUE"""),0.0)</f>
        <v>0</v>
      </c>
      <c r="Y1592" s="148">
        <f>IFERROR(__xludf.DUMMYFUNCTION("""COMPUTED_VALUE"""),0.0)</f>
        <v>0</v>
      </c>
      <c r="Z1592" s="148"/>
    </row>
    <row r="1593">
      <c r="A1593" s="148">
        <f>IFERROR(__xludf.DUMMYFUNCTION("""COMPUTED_VALUE"""),1.1117235E7)</f>
        <v>11117235</v>
      </c>
      <c r="B1593" s="148" t="str">
        <f>IFERROR(__xludf.DUMMYFUNCTION("""COMPUTED_VALUE"""),"万圣节-BattlePass-高级通行证")</f>
        <v>万圣节-BattlePass-高级通行证</v>
      </c>
      <c r="C1593" s="148"/>
      <c r="D1593" s="148" t="str">
        <f>IFERROR(__xludf.DUMMYFUNCTION("""COMPUTED_VALUE"""),"battle_pass_card")</f>
        <v>battle_pass_card</v>
      </c>
      <c r="E1593" s="148">
        <f>IFERROR(__xludf.DUMMYFUNCTION("""COMPUTED_VALUE"""),0.0)</f>
        <v>0</v>
      </c>
      <c r="F1593" s="148">
        <f>IFERROR(__xludf.DUMMYFUNCTION("""COMPUTED_VALUE"""),0.0)</f>
        <v>0</v>
      </c>
      <c r="G1593" s="148">
        <f>IFERROR(__xludf.DUMMYFUNCTION("""COMPUTED_VALUE"""),1.5113625E7)</f>
        <v>15113625</v>
      </c>
      <c r="H1593" s="148">
        <f>IFERROR(__xludf.DUMMYFUNCTION("""COMPUTED_VALUE"""),1.5112563E7)</f>
        <v>15112563</v>
      </c>
      <c r="I1593" s="148" t="str">
        <f>IFERROR(__xludf.DUMMYFUNCTION("""COMPUTED_VALUE"""),"{}")</f>
        <v>{}</v>
      </c>
      <c r="J1593" s="148" t="str">
        <f>IFERROR(__xludf.DUMMYFUNCTION("""COMPUTED_VALUE"""),"{""typ"":""lc"",""txt"":""LC_ITEM_battlepass_exp_name""}")</f>
        <v>{"typ":"lc","txt":"LC_ITEM_battlepass_exp_name"}</v>
      </c>
      <c r="K1593" s="148" t="str">
        <f>IFERROR(__xludf.DUMMYFUNCTION("""COMPUTED_VALUE"""),"{}")</f>
        <v>{}</v>
      </c>
      <c r="L1593" s="148" t="str">
        <f>IFERROR(__xludf.DUMMYFUNCTION("""COMPUTED_VALUE"""),"{}")</f>
        <v>{}</v>
      </c>
      <c r="M1593" s="148">
        <f>IFERROR(__xludf.DUMMYFUNCTION("""COMPUTED_VALUE"""),10.0)</f>
        <v>10</v>
      </c>
      <c r="N1593" s="148">
        <f>IFERROR(__xludf.DUMMYFUNCTION("""COMPUTED_VALUE"""),999999.0)</f>
        <v>999999</v>
      </c>
      <c r="O1593" s="148">
        <f>IFERROR(__xludf.DUMMYFUNCTION("""COMPUTED_VALUE"""),99999.0)</f>
        <v>99999</v>
      </c>
      <c r="P1593" s="148">
        <f>IFERROR(__xludf.DUMMYFUNCTION("""COMPUTED_VALUE"""),9999.0)</f>
        <v>9999</v>
      </c>
      <c r="Q1593" s="148" t="str">
        <f>IFERROR(__xludf.DUMMYFUNCTION("""COMPUTED_VALUE"""),"[]")</f>
        <v>[]</v>
      </c>
      <c r="R1593" s="148" t="str">
        <f>IFERROR(__xludf.DUMMYFUNCTION("""COMPUTED_VALUE"""),"[]")</f>
        <v>[]</v>
      </c>
      <c r="S1593" s="148" t="str">
        <f>IFERROR(__xludf.DUMMYFUNCTION("""COMPUTED_VALUE"""),"{}")</f>
        <v>{}</v>
      </c>
      <c r="T1593" s="148">
        <f>IFERROR(__xludf.DUMMYFUNCTION("""COMPUTED_VALUE"""),-1.0)</f>
        <v>-1</v>
      </c>
      <c r="U1593" s="148">
        <f>IFERROR(__xludf.DUMMYFUNCTION("""COMPUTED_VALUE"""),1.0)</f>
        <v>1</v>
      </c>
      <c r="V1593" s="148" t="str">
        <f>IFERROR(__xludf.DUMMYFUNCTION("""COMPUTED_VALUE"""),"[]")</f>
        <v>[]</v>
      </c>
      <c r="W1593" s="148">
        <f>IFERROR(__xludf.DUMMYFUNCTION("""COMPUTED_VALUE"""),1.174E7)</f>
        <v>11740000</v>
      </c>
      <c r="X1593" s="148">
        <f>IFERROR(__xludf.DUMMYFUNCTION("""COMPUTED_VALUE"""),0.0)</f>
        <v>0</v>
      </c>
      <c r="Y1593" s="148">
        <f>IFERROR(__xludf.DUMMYFUNCTION("""COMPUTED_VALUE"""),0.0)</f>
        <v>0</v>
      </c>
      <c r="Z1593" s="148"/>
    </row>
    <row r="1594">
      <c r="A1594" s="148">
        <f>IFERROR(__xludf.DUMMYFUNCTION("""COMPUTED_VALUE"""),1.1117236E7)</f>
        <v>11117236</v>
      </c>
      <c r="B1594" s="148" t="str">
        <f>IFERROR(__xludf.DUMMYFUNCTION("""COMPUTED_VALUE"""),"万圣节活动专用-增加次数道具")</f>
        <v>万圣节活动专用-增加次数道具</v>
      </c>
      <c r="C1594" s="148"/>
      <c r="D1594" s="148" t="str">
        <f>IFERROR(__xludf.DUMMYFUNCTION("""COMPUTED_VALUE"""),"event_progress")</f>
        <v>event_progress</v>
      </c>
      <c r="E1594" s="148">
        <f>IFERROR(__xludf.DUMMYFUNCTION("""COMPUTED_VALUE"""),0.0)</f>
        <v>0</v>
      </c>
      <c r="F1594" s="148">
        <f>IFERROR(__xludf.DUMMYFUNCTION("""COMPUTED_VALUE"""),0.0)</f>
        <v>0</v>
      </c>
      <c r="G1594" s="148">
        <f>IFERROR(__xludf.DUMMYFUNCTION("""COMPUTED_VALUE"""),1.5113732E7)</f>
        <v>15113732</v>
      </c>
      <c r="H1594" s="148">
        <f>IFERROR(__xludf.DUMMYFUNCTION("""COMPUTED_VALUE"""),1.5112563E7)</f>
        <v>15112563</v>
      </c>
      <c r="I1594" s="148" t="str">
        <f>IFERROR(__xludf.DUMMYFUNCTION("""COMPUTED_VALUE"""),"{}")</f>
        <v>{}</v>
      </c>
      <c r="J1594" s="148" t="str">
        <f>IFERROR(__xludf.DUMMYFUNCTION("""COMPUTED_VALUE"""),"{}")</f>
        <v>{}</v>
      </c>
      <c r="K1594" s="148" t="str">
        <f>IFERROR(__xludf.DUMMYFUNCTION("""COMPUTED_VALUE"""),"{}")</f>
        <v>{}</v>
      </c>
      <c r="L1594" s="148" t="str">
        <f>IFERROR(__xludf.DUMMYFUNCTION("""COMPUTED_VALUE"""),"{}")</f>
        <v>{}</v>
      </c>
      <c r="M1594" s="148">
        <f>IFERROR(__xludf.DUMMYFUNCTION("""COMPUTED_VALUE"""),1.0)</f>
        <v>1</v>
      </c>
      <c r="N1594" s="148">
        <f>IFERROR(__xludf.DUMMYFUNCTION("""COMPUTED_VALUE"""),999999.0)</f>
        <v>999999</v>
      </c>
      <c r="O1594" s="148">
        <f>IFERROR(__xludf.DUMMYFUNCTION("""COMPUTED_VALUE"""),99999.0)</f>
        <v>99999</v>
      </c>
      <c r="P1594" s="148">
        <f>IFERROR(__xludf.DUMMYFUNCTION("""COMPUTED_VALUE"""),9999.0)</f>
        <v>9999</v>
      </c>
      <c r="Q1594" s="148" t="str">
        <f>IFERROR(__xludf.DUMMYFUNCTION("""COMPUTED_VALUE"""),"[]")</f>
        <v>[]</v>
      </c>
      <c r="R1594" s="148" t="str">
        <f>IFERROR(__xludf.DUMMYFUNCTION("""COMPUTED_VALUE"""),"[]")</f>
        <v>[]</v>
      </c>
      <c r="S1594" s="148" t="str">
        <f>IFERROR(__xludf.DUMMYFUNCTION("""COMPUTED_VALUE"""),"{""effect"":[{""typ"":""event"",""id"":21121351},{""typ"":""miss_lost_reward""}]}")</f>
        <v>{"effect":[{"typ":"event","id":21121351},{"typ":"miss_lost_reward"}]}</v>
      </c>
      <c r="T1594" s="148">
        <f>IFERROR(__xludf.DUMMYFUNCTION("""COMPUTED_VALUE"""),-1.0)</f>
        <v>-1</v>
      </c>
      <c r="U1594" s="148">
        <f>IFERROR(__xludf.DUMMYFUNCTION("""COMPUTED_VALUE"""),1.0)</f>
        <v>1</v>
      </c>
      <c r="V1594" s="148" t="str">
        <f>IFERROR(__xludf.DUMMYFUNCTION("""COMPUTED_VALUE"""),"[]")</f>
        <v>[]</v>
      </c>
      <c r="W1594" s="148">
        <f>IFERROR(__xludf.DUMMYFUNCTION("""COMPUTED_VALUE"""),1.174E7)</f>
        <v>11740000</v>
      </c>
      <c r="X1594" s="148">
        <f>IFERROR(__xludf.DUMMYFUNCTION("""COMPUTED_VALUE"""),0.0)</f>
        <v>0</v>
      </c>
      <c r="Y1594" s="148">
        <f>IFERROR(__xludf.DUMMYFUNCTION("""COMPUTED_VALUE"""),0.0)</f>
        <v>0</v>
      </c>
      <c r="Z1594" s="148"/>
    </row>
    <row r="1595">
      <c r="A1595" s="148">
        <f>IFERROR(__xludf.DUMMYFUNCTION("""COMPUTED_VALUE"""),1.1117237E7)</f>
        <v>11117237</v>
      </c>
      <c r="B1595" s="148" t="str">
        <f>IFERROR(__xludf.DUMMYFUNCTION("""COMPUTED_VALUE"""),"南瓜拼图-1")</f>
        <v>南瓜拼图-1</v>
      </c>
      <c r="C1595" s="148"/>
      <c r="D1595" s="148" t="str">
        <f>IFERROR(__xludf.DUMMYFUNCTION("""COMPUTED_VALUE"""),"event")</f>
        <v>event</v>
      </c>
      <c r="E1595" s="148">
        <f>IFERROR(__xludf.DUMMYFUNCTION("""COMPUTED_VALUE"""),0.0)</f>
        <v>0</v>
      </c>
      <c r="F1595" s="148">
        <f>IFERROR(__xludf.DUMMYFUNCTION("""COMPUTED_VALUE"""),405243.0)</f>
        <v>405243</v>
      </c>
      <c r="G1595" s="148">
        <f>IFERROR(__xludf.DUMMYFUNCTION("""COMPUTED_VALUE"""),1.5115233E7)</f>
        <v>15115233</v>
      </c>
      <c r="H1595" s="148">
        <f>IFERROR(__xludf.DUMMYFUNCTION("""COMPUTED_VALUE"""),1.5112564E7)</f>
        <v>15112564</v>
      </c>
      <c r="I1595" s="148" t="str">
        <f>IFERROR(__xludf.DUMMYFUNCTION("""COMPUTED_VALUE"""),"{}")</f>
        <v>{}</v>
      </c>
      <c r="J1595" s="148" t="str">
        <f>IFERROR(__xludf.DUMMYFUNCTION("""COMPUTED_VALUE"""),"{""typ"":""lc"",""txt"":""LC_ITEM_halloween_puzzle_2022_name""}")</f>
        <v>{"typ":"lc","txt":"LC_ITEM_halloween_puzzle_2022_name"}</v>
      </c>
      <c r="K1595" s="148" t="str">
        <f>IFERROR(__xludf.DUMMYFUNCTION("""COMPUTED_VALUE"""),"{""typ"":""lc"",""txt"":""LC_ITEM_halloween_puzzle_2022_desc""}")</f>
        <v>{"typ":"lc","txt":"LC_ITEM_halloween_puzzle_2022_desc"}</v>
      </c>
      <c r="L1595" s="148" t="str">
        <f>IFERROR(__xludf.DUMMYFUNCTION("""COMPUTED_VALUE"""),"{}")</f>
        <v>{}</v>
      </c>
      <c r="M1595" s="148">
        <f>IFERROR(__xludf.DUMMYFUNCTION("""COMPUTED_VALUE"""),1000.0)</f>
        <v>1000</v>
      </c>
      <c r="N1595" s="148">
        <f>IFERROR(__xludf.DUMMYFUNCTION("""COMPUTED_VALUE"""),9.99999999E8)</f>
        <v>999999999</v>
      </c>
      <c r="O1595" s="148">
        <f>IFERROR(__xludf.DUMMYFUNCTION("""COMPUTED_VALUE"""),9.99999999E8)</f>
        <v>999999999</v>
      </c>
      <c r="P1595" s="148">
        <f>IFERROR(__xludf.DUMMYFUNCTION("""COMPUTED_VALUE"""),9.99999999E8)</f>
        <v>999999999</v>
      </c>
      <c r="Q1595" s="148" t="str">
        <f>IFERROR(__xludf.DUMMYFUNCTION("""COMPUTED_VALUE"""),"[]")</f>
        <v>[]</v>
      </c>
      <c r="R1595" s="148" t="str">
        <f>IFERROR(__xludf.DUMMYFUNCTION("""COMPUTED_VALUE"""),"[]")</f>
        <v>[]</v>
      </c>
      <c r="S1595" s="148" t="str">
        <f>IFERROR(__xludf.DUMMYFUNCTION("""COMPUTED_VALUE"""),"{}")</f>
        <v>{}</v>
      </c>
      <c r="T1595" s="148">
        <f>IFERROR(__xludf.DUMMYFUNCTION("""COMPUTED_VALUE"""),-1.0)</f>
        <v>-1</v>
      </c>
      <c r="U1595" s="148">
        <f>IFERROR(__xludf.DUMMYFUNCTION("""COMPUTED_VALUE"""),1.0)</f>
        <v>1</v>
      </c>
      <c r="V1595" s="148" t="str">
        <f>IFERROR(__xludf.DUMMYFUNCTION("""COMPUTED_VALUE"""),"[]")</f>
        <v>[]</v>
      </c>
      <c r="W1595" s="148">
        <f>IFERROR(__xludf.DUMMYFUNCTION("""COMPUTED_VALUE"""),1.174E7)</f>
        <v>11740000</v>
      </c>
      <c r="X1595" s="148">
        <f>IFERROR(__xludf.DUMMYFUNCTION("""COMPUTED_VALUE"""),0.0)</f>
        <v>0</v>
      </c>
      <c r="Y1595" s="148">
        <f>IFERROR(__xludf.DUMMYFUNCTION("""COMPUTED_VALUE"""),0.0)</f>
        <v>0</v>
      </c>
      <c r="Z1595" s="148"/>
    </row>
    <row r="1596">
      <c r="A1596" s="148">
        <f>IFERROR(__xludf.DUMMYFUNCTION("""COMPUTED_VALUE"""),1.1117238E7)</f>
        <v>11117238</v>
      </c>
      <c r="B1596" s="148" t="str">
        <f>IFERROR(__xludf.DUMMYFUNCTION("""COMPUTED_VALUE"""),"南瓜拼图-2")</f>
        <v>南瓜拼图-2</v>
      </c>
      <c r="C1596" s="148"/>
      <c r="D1596" s="148" t="str">
        <f>IFERROR(__xludf.DUMMYFUNCTION("""COMPUTED_VALUE"""),"event")</f>
        <v>event</v>
      </c>
      <c r="E1596" s="148">
        <f>IFERROR(__xludf.DUMMYFUNCTION("""COMPUTED_VALUE"""),0.0)</f>
        <v>0</v>
      </c>
      <c r="F1596" s="148">
        <f>IFERROR(__xludf.DUMMYFUNCTION("""COMPUTED_VALUE"""),405243.0)</f>
        <v>405243</v>
      </c>
      <c r="G1596" s="148">
        <f>IFERROR(__xludf.DUMMYFUNCTION("""COMPUTED_VALUE"""),1.5115234E7)</f>
        <v>15115234</v>
      </c>
      <c r="H1596" s="148">
        <f>IFERROR(__xludf.DUMMYFUNCTION("""COMPUTED_VALUE"""),1.5112564E7)</f>
        <v>15112564</v>
      </c>
      <c r="I1596" s="148" t="str">
        <f>IFERROR(__xludf.DUMMYFUNCTION("""COMPUTED_VALUE"""),"{}")</f>
        <v>{}</v>
      </c>
      <c r="J1596" s="148" t="str">
        <f>IFERROR(__xludf.DUMMYFUNCTION("""COMPUTED_VALUE"""),"{""typ"":""lc"",""txt"":""LC_ITEM_halloween_puzzle_2022_name""}")</f>
        <v>{"typ":"lc","txt":"LC_ITEM_halloween_puzzle_2022_name"}</v>
      </c>
      <c r="K1596" s="148" t="str">
        <f>IFERROR(__xludf.DUMMYFUNCTION("""COMPUTED_VALUE"""),"{""typ"":""lc"",""txt"":""LC_ITEM_halloween_puzzle_2022_desc""}")</f>
        <v>{"typ":"lc","txt":"LC_ITEM_halloween_puzzle_2022_desc"}</v>
      </c>
      <c r="L1596" s="148" t="str">
        <f>IFERROR(__xludf.DUMMYFUNCTION("""COMPUTED_VALUE"""),"{}")</f>
        <v>{}</v>
      </c>
      <c r="M1596" s="148">
        <f>IFERROR(__xludf.DUMMYFUNCTION("""COMPUTED_VALUE"""),1000.0)</f>
        <v>1000</v>
      </c>
      <c r="N1596" s="148">
        <f>IFERROR(__xludf.DUMMYFUNCTION("""COMPUTED_VALUE"""),9.99999999E8)</f>
        <v>999999999</v>
      </c>
      <c r="O1596" s="148">
        <f>IFERROR(__xludf.DUMMYFUNCTION("""COMPUTED_VALUE"""),9.99999999E8)</f>
        <v>999999999</v>
      </c>
      <c r="P1596" s="148">
        <f>IFERROR(__xludf.DUMMYFUNCTION("""COMPUTED_VALUE"""),9.99999999E8)</f>
        <v>999999999</v>
      </c>
      <c r="Q1596" s="148" t="str">
        <f>IFERROR(__xludf.DUMMYFUNCTION("""COMPUTED_VALUE"""),"[]")</f>
        <v>[]</v>
      </c>
      <c r="R1596" s="148" t="str">
        <f>IFERROR(__xludf.DUMMYFUNCTION("""COMPUTED_VALUE"""),"[]")</f>
        <v>[]</v>
      </c>
      <c r="S1596" s="148" t="str">
        <f>IFERROR(__xludf.DUMMYFUNCTION("""COMPUTED_VALUE"""),"{}")</f>
        <v>{}</v>
      </c>
      <c r="T1596" s="148">
        <f>IFERROR(__xludf.DUMMYFUNCTION("""COMPUTED_VALUE"""),-1.0)</f>
        <v>-1</v>
      </c>
      <c r="U1596" s="148">
        <f>IFERROR(__xludf.DUMMYFUNCTION("""COMPUTED_VALUE"""),1.0)</f>
        <v>1</v>
      </c>
      <c r="V1596" s="148" t="str">
        <f>IFERROR(__xludf.DUMMYFUNCTION("""COMPUTED_VALUE"""),"[]")</f>
        <v>[]</v>
      </c>
      <c r="W1596" s="148">
        <f>IFERROR(__xludf.DUMMYFUNCTION("""COMPUTED_VALUE"""),1.174E7)</f>
        <v>11740000</v>
      </c>
      <c r="X1596" s="148">
        <f>IFERROR(__xludf.DUMMYFUNCTION("""COMPUTED_VALUE"""),0.0)</f>
        <v>0</v>
      </c>
      <c r="Y1596" s="148">
        <f>IFERROR(__xludf.DUMMYFUNCTION("""COMPUTED_VALUE"""),0.0)</f>
        <v>0</v>
      </c>
      <c r="Z1596" s="148"/>
    </row>
    <row r="1597">
      <c r="A1597" s="148">
        <f>IFERROR(__xludf.DUMMYFUNCTION("""COMPUTED_VALUE"""),1.1117239E7)</f>
        <v>11117239</v>
      </c>
      <c r="B1597" s="148" t="str">
        <f>IFERROR(__xludf.DUMMYFUNCTION("""COMPUTED_VALUE"""),"南瓜拼图-3")</f>
        <v>南瓜拼图-3</v>
      </c>
      <c r="C1597" s="148"/>
      <c r="D1597" s="148" t="str">
        <f>IFERROR(__xludf.DUMMYFUNCTION("""COMPUTED_VALUE"""),"event")</f>
        <v>event</v>
      </c>
      <c r="E1597" s="148">
        <f>IFERROR(__xludf.DUMMYFUNCTION("""COMPUTED_VALUE"""),0.0)</f>
        <v>0</v>
      </c>
      <c r="F1597" s="148">
        <f>IFERROR(__xludf.DUMMYFUNCTION("""COMPUTED_VALUE"""),405243.0)</f>
        <v>405243</v>
      </c>
      <c r="G1597" s="148">
        <f>IFERROR(__xludf.DUMMYFUNCTION("""COMPUTED_VALUE"""),1.5115235E7)</f>
        <v>15115235</v>
      </c>
      <c r="H1597" s="148">
        <f>IFERROR(__xludf.DUMMYFUNCTION("""COMPUTED_VALUE"""),1.5112564E7)</f>
        <v>15112564</v>
      </c>
      <c r="I1597" s="148" t="str">
        <f>IFERROR(__xludf.DUMMYFUNCTION("""COMPUTED_VALUE"""),"{}")</f>
        <v>{}</v>
      </c>
      <c r="J1597" s="148" t="str">
        <f>IFERROR(__xludf.DUMMYFUNCTION("""COMPUTED_VALUE"""),"{""typ"":""lc"",""txt"":""LC_ITEM_halloween_puzzle_2022_name""}")</f>
        <v>{"typ":"lc","txt":"LC_ITEM_halloween_puzzle_2022_name"}</v>
      </c>
      <c r="K1597" s="148" t="str">
        <f>IFERROR(__xludf.DUMMYFUNCTION("""COMPUTED_VALUE"""),"{""typ"":""lc"",""txt"":""LC_ITEM_halloween_puzzle_2022_desc""}")</f>
        <v>{"typ":"lc","txt":"LC_ITEM_halloween_puzzle_2022_desc"}</v>
      </c>
      <c r="L1597" s="148" t="str">
        <f>IFERROR(__xludf.DUMMYFUNCTION("""COMPUTED_VALUE"""),"{}")</f>
        <v>{}</v>
      </c>
      <c r="M1597" s="148">
        <f>IFERROR(__xludf.DUMMYFUNCTION("""COMPUTED_VALUE"""),1000.0)</f>
        <v>1000</v>
      </c>
      <c r="N1597" s="148">
        <f>IFERROR(__xludf.DUMMYFUNCTION("""COMPUTED_VALUE"""),9.99999999E8)</f>
        <v>999999999</v>
      </c>
      <c r="O1597" s="148">
        <f>IFERROR(__xludf.DUMMYFUNCTION("""COMPUTED_VALUE"""),9.99999999E8)</f>
        <v>999999999</v>
      </c>
      <c r="P1597" s="148">
        <f>IFERROR(__xludf.DUMMYFUNCTION("""COMPUTED_VALUE"""),9.99999999E8)</f>
        <v>999999999</v>
      </c>
      <c r="Q1597" s="148" t="str">
        <f>IFERROR(__xludf.DUMMYFUNCTION("""COMPUTED_VALUE"""),"[]")</f>
        <v>[]</v>
      </c>
      <c r="R1597" s="148" t="str">
        <f>IFERROR(__xludf.DUMMYFUNCTION("""COMPUTED_VALUE"""),"[]")</f>
        <v>[]</v>
      </c>
      <c r="S1597" s="148" t="str">
        <f>IFERROR(__xludf.DUMMYFUNCTION("""COMPUTED_VALUE"""),"{}")</f>
        <v>{}</v>
      </c>
      <c r="T1597" s="148">
        <f>IFERROR(__xludf.DUMMYFUNCTION("""COMPUTED_VALUE"""),-1.0)</f>
        <v>-1</v>
      </c>
      <c r="U1597" s="148">
        <f>IFERROR(__xludf.DUMMYFUNCTION("""COMPUTED_VALUE"""),1.0)</f>
        <v>1</v>
      </c>
      <c r="V1597" s="148" t="str">
        <f>IFERROR(__xludf.DUMMYFUNCTION("""COMPUTED_VALUE"""),"[]")</f>
        <v>[]</v>
      </c>
      <c r="W1597" s="148">
        <f>IFERROR(__xludf.DUMMYFUNCTION("""COMPUTED_VALUE"""),1.174E7)</f>
        <v>11740000</v>
      </c>
      <c r="X1597" s="148">
        <f>IFERROR(__xludf.DUMMYFUNCTION("""COMPUTED_VALUE"""),0.0)</f>
        <v>0</v>
      </c>
      <c r="Y1597" s="148">
        <f>IFERROR(__xludf.DUMMYFUNCTION("""COMPUTED_VALUE"""),0.0)</f>
        <v>0</v>
      </c>
      <c r="Z1597" s="148"/>
    </row>
    <row r="1598">
      <c r="A1598" s="148">
        <f>IFERROR(__xludf.DUMMYFUNCTION("""COMPUTED_VALUE"""),1.111724E7)</f>
        <v>11117240</v>
      </c>
      <c r="B1598" s="148" t="str">
        <f>IFERROR(__xludf.DUMMYFUNCTION("""COMPUTED_VALUE"""),"南瓜拼图-4")</f>
        <v>南瓜拼图-4</v>
      </c>
      <c r="C1598" s="148"/>
      <c r="D1598" s="148" t="str">
        <f>IFERROR(__xludf.DUMMYFUNCTION("""COMPUTED_VALUE"""),"event")</f>
        <v>event</v>
      </c>
      <c r="E1598" s="148">
        <f>IFERROR(__xludf.DUMMYFUNCTION("""COMPUTED_VALUE"""),0.0)</f>
        <v>0</v>
      </c>
      <c r="F1598" s="148">
        <f>IFERROR(__xludf.DUMMYFUNCTION("""COMPUTED_VALUE"""),405243.0)</f>
        <v>405243</v>
      </c>
      <c r="G1598" s="148">
        <f>IFERROR(__xludf.DUMMYFUNCTION("""COMPUTED_VALUE"""),1.5115236E7)</f>
        <v>15115236</v>
      </c>
      <c r="H1598" s="148">
        <f>IFERROR(__xludf.DUMMYFUNCTION("""COMPUTED_VALUE"""),1.5112564E7)</f>
        <v>15112564</v>
      </c>
      <c r="I1598" s="148" t="str">
        <f>IFERROR(__xludf.DUMMYFUNCTION("""COMPUTED_VALUE"""),"{}")</f>
        <v>{}</v>
      </c>
      <c r="J1598" s="148" t="str">
        <f>IFERROR(__xludf.DUMMYFUNCTION("""COMPUTED_VALUE"""),"{""typ"":""lc"",""txt"":""LC_ITEM_halloween_puzzle_2022_name""}")</f>
        <v>{"typ":"lc","txt":"LC_ITEM_halloween_puzzle_2022_name"}</v>
      </c>
      <c r="K1598" s="148" t="str">
        <f>IFERROR(__xludf.DUMMYFUNCTION("""COMPUTED_VALUE"""),"{""typ"":""lc"",""txt"":""LC_ITEM_halloween_puzzle_2022_desc""}")</f>
        <v>{"typ":"lc","txt":"LC_ITEM_halloween_puzzle_2022_desc"}</v>
      </c>
      <c r="L1598" s="148" t="str">
        <f>IFERROR(__xludf.DUMMYFUNCTION("""COMPUTED_VALUE"""),"{}")</f>
        <v>{}</v>
      </c>
      <c r="M1598" s="148">
        <f>IFERROR(__xludf.DUMMYFUNCTION("""COMPUTED_VALUE"""),1000.0)</f>
        <v>1000</v>
      </c>
      <c r="N1598" s="148">
        <f>IFERROR(__xludf.DUMMYFUNCTION("""COMPUTED_VALUE"""),9.99999999E8)</f>
        <v>999999999</v>
      </c>
      <c r="O1598" s="148">
        <f>IFERROR(__xludf.DUMMYFUNCTION("""COMPUTED_VALUE"""),9.99999999E8)</f>
        <v>999999999</v>
      </c>
      <c r="P1598" s="148">
        <f>IFERROR(__xludf.DUMMYFUNCTION("""COMPUTED_VALUE"""),9.99999999E8)</f>
        <v>999999999</v>
      </c>
      <c r="Q1598" s="148" t="str">
        <f>IFERROR(__xludf.DUMMYFUNCTION("""COMPUTED_VALUE"""),"[]")</f>
        <v>[]</v>
      </c>
      <c r="R1598" s="148" t="str">
        <f>IFERROR(__xludf.DUMMYFUNCTION("""COMPUTED_VALUE"""),"[]")</f>
        <v>[]</v>
      </c>
      <c r="S1598" s="148" t="str">
        <f>IFERROR(__xludf.DUMMYFUNCTION("""COMPUTED_VALUE"""),"{}")</f>
        <v>{}</v>
      </c>
      <c r="T1598" s="148">
        <f>IFERROR(__xludf.DUMMYFUNCTION("""COMPUTED_VALUE"""),-1.0)</f>
        <v>-1</v>
      </c>
      <c r="U1598" s="148">
        <f>IFERROR(__xludf.DUMMYFUNCTION("""COMPUTED_VALUE"""),1.0)</f>
        <v>1</v>
      </c>
      <c r="V1598" s="148" t="str">
        <f>IFERROR(__xludf.DUMMYFUNCTION("""COMPUTED_VALUE"""),"[]")</f>
        <v>[]</v>
      </c>
      <c r="W1598" s="148">
        <f>IFERROR(__xludf.DUMMYFUNCTION("""COMPUTED_VALUE"""),1.174E7)</f>
        <v>11740000</v>
      </c>
      <c r="X1598" s="148">
        <f>IFERROR(__xludf.DUMMYFUNCTION("""COMPUTED_VALUE"""),0.0)</f>
        <v>0</v>
      </c>
      <c r="Y1598" s="148">
        <f>IFERROR(__xludf.DUMMYFUNCTION("""COMPUTED_VALUE"""),0.0)</f>
        <v>0</v>
      </c>
      <c r="Z1598" s="148"/>
    </row>
    <row r="1599">
      <c r="A1599" s="148">
        <f>IFERROR(__xludf.DUMMYFUNCTION("""COMPUTED_VALUE"""),1.1117241E7)</f>
        <v>11117241</v>
      </c>
      <c r="B1599" s="148" t="str">
        <f>IFERROR(__xludf.DUMMYFUNCTION("""COMPUTED_VALUE"""),"南瓜拼图-5")</f>
        <v>南瓜拼图-5</v>
      </c>
      <c r="C1599" s="148"/>
      <c r="D1599" s="148" t="str">
        <f>IFERROR(__xludf.DUMMYFUNCTION("""COMPUTED_VALUE"""),"event")</f>
        <v>event</v>
      </c>
      <c r="E1599" s="148">
        <f>IFERROR(__xludf.DUMMYFUNCTION("""COMPUTED_VALUE"""),0.0)</f>
        <v>0</v>
      </c>
      <c r="F1599" s="148">
        <f>IFERROR(__xludf.DUMMYFUNCTION("""COMPUTED_VALUE"""),405243.0)</f>
        <v>405243</v>
      </c>
      <c r="G1599" s="148">
        <f>IFERROR(__xludf.DUMMYFUNCTION("""COMPUTED_VALUE"""),1.5115237E7)</f>
        <v>15115237</v>
      </c>
      <c r="H1599" s="148">
        <f>IFERROR(__xludf.DUMMYFUNCTION("""COMPUTED_VALUE"""),1.5112564E7)</f>
        <v>15112564</v>
      </c>
      <c r="I1599" s="148" t="str">
        <f>IFERROR(__xludf.DUMMYFUNCTION("""COMPUTED_VALUE"""),"{}")</f>
        <v>{}</v>
      </c>
      <c r="J1599" s="148" t="str">
        <f>IFERROR(__xludf.DUMMYFUNCTION("""COMPUTED_VALUE"""),"{""typ"":""lc"",""txt"":""LC_ITEM_halloween_puzzle_2022_name""}")</f>
        <v>{"typ":"lc","txt":"LC_ITEM_halloween_puzzle_2022_name"}</v>
      </c>
      <c r="K1599" s="148" t="str">
        <f>IFERROR(__xludf.DUMMYFUNCTION("""COMPUTED_VALUE"""),"{""typ"":""lc"",""txt"":""LC_ITEM_halloween_puzzle_2022_desc""}")</f>
        <v>{"typ":"lc","txt":"LC_ITEM_halloween_puzzle_2022_desc"}</v>
      </c>
      <c r="L1599" s="148" t="str">
        <f>IFERROR(__xludf.DUMMYFUNCTION("""COMPUTED_VALUE"""),"{}")</f>
        <v>{}</v>
      </c>
      <c r="M1599" s="148">
        <f>IFERROR(__xludf.DUMMYFUNCTION("""COMPUTED_VALUE"""),1000.0)</f>
        <v>1000</v>
      </c>
      <c r="N1599" s="148">
        <f>IFERROR(__xludf.DUMMYFUNCTION("""COMPUTED_VALUE"""),9.99999999E8)</f>
        <v>999999999</v>
      </c>
      <c r="O1599" s="148">
        <f>IFERROR(__xludf.DUMMYFUNCTION("""COMPUTED_VALUE"""),9.99999999E8)</f>
        <v>999999999</v>
      </c>
      <c r="P1599" s="148">
        <f>IFERROR(__xludf.DUMMYFUNCTION("""COMPUTED_VALUE"""),9.99999999E8)</f>
        <v>999999999</v>
      </c>
      <c r="Q1599" s="148" t="str">
        <f>IFERROR(__xludf.DUMMYFUNCTION("""COMPUTED_VALUE"""),"[]")</f>
        <v>[]</v>
      </c>
      <c r="R1599" s="148" t="str">
        <f>IFERROR(__xludf.DUMMYFUNCTION("""COMPUTED_VALUE"""),"[]")</f>
        <v>[]</v>
      </c>
      <c r="S1599" s="148" t="str">
        <f>IFERROR(__xludf.DUMMYFUNCTION("""COMPUTED_VALUE"""),"{}")</f>
        <v>{}</v>
      </c>
      <c r="T1599" s="148">
        <f>IFERROR(__xludf.DUMMYFUNCTION("""COMPUTED_VALUE"""),-1.0)</f>
        <v>-1</v>
      </c>
      <c r="U1599" s="148">
        <f>IFERROR(__xludf.DUMMYFUNCTION("""COMPUTED_VALUE"""),1.0)</f>
        <v>1</v>
      </c>
      <c r="V1599" s="148" t="str">
        <f>IFERROR(__xludf.DUMMYFUNCTION("""COMPUTED_VALUE"""),"[]")</f>
        <v>[]</v>
      </c>
      <c r="W1599" s="148">
        <f>IFERROR(__xludf.DUMMYFUNCTION("""COMPUTED_VALUE"""),1.174E7)</f>
        <v>11740000</v>
      </c>
      <c r="X1599" s="148">
        <f>IFERROR(__xludf.DUMMYFUNCTION("""COMPUTED_VALUE"""),0.0)</f>
        <v>0</v>
      </c>
      <c r="Y1599" s="148">
        <f>IFERROR(__xludf.DUMMYFUNCTION("""COMPUTED_VALUE"""),0.0)</f>
        <v>0</v>
      </c>
      <c r="Z1599" s="148"/>
    </row>
    <row r="1600">
      <c r="A1600" s="148">
        <f>IFERROR(__xludf.DUMMYFUNCTION("""COMPUTED_VALUE"""),1.1117242E7)</f>
        <v>11117242</v>
      </c>
      <c r="B1600" s="148" t="str">
        <f>IFERROR(__xludf.DUMMYFUNCTION("""COMPUTED_VALUE"""),"加速回收币")</f>
        <v>加速回收币</v>
      </c>
      <c r="C1600" s="148"/>
      <c r="D1600" s="148" t="str">
        <f>IFERROR(__xludf.DUMMYFUNCTION("""COMPUTED_VALUE"""),"event")</f>
        <v>event</v>
      </c>
      <c r="E1600" s="148">
        <f>IFERROR(__xludf.DUMMYFUNCTION("""COMPUTED_VALUE"""),0.0)</f>
        <v>0</v>
      </c>
      <c r="F1600" s="148">
        <f>IFERROR(__xludf.DUMMYFUNCTION("""COMPUTED_VALUE"""),405243.0)</f>
        <v>405243</v>
      </c>
      <c r="G1600" s="148">
        <f>IFERROR(__xludf.DUMMYFUNCTION("""COMPUTED_VALUE"""),1.5115336E7)</f>
        <v>15115336</v>
      </c>
      <c r="H1600" s="148">
        <f>IFERROR(__xludf.DUMMYFUNCTION("""COMPUTED_VALUE"""),1.5112564E7)</f>
        <v>15112564</v>
      </c>
      <c r="I1600" s="148" t="str">
        <f>IFERROR(__xludf.DUMMYFUNCTION("""COMPUTED_VALUE"""),"{}")</f>
        <v>{}</v>
      </c>
      <c r="J1600" s="148" t="str">
        <f>IFERROR(__xludf.DUMMYFUNCTION("""COMPUTED_VALUE"""),"{""typ"":""lc"",""txt"":""LC_ITEM_recycling_item""}")</f>
        <v>{"typ":"lc","txt":"LC_ITEM_recycling_item"}</v>
      </c>
      <c r="K1600" s="148" t="str">
        <f>IFERROR(__xludf.DUMMYFUNCTION("""COMPUTED_VALUE"""),"{""typ"":""lc"",""txt"":""LC_ITEM_recycling_item_desc""}")</f>
        <v>{"typ":"lc","txt":"LC_ITEM_recycling_item_desc"}</v>
      </c>
      <c r="L1600" s="148" t="str">
        <f>IFERROR(__xludf.DUMMYFUNCTION("""COMPUTED_VALUE"""),"{}")</f>
        <v>{}</v>
      </c>
      <c r="M1600" s="148">
        <f>IFERROR(__xludf.DUMMYFUNCTION("""COMPUTED_VALUE"""),2.0)</f>
        <v>2</v>
      </c>
      <c r="N1600" s="148">
        <f>IFERROR(__xludf.DUMMYFUNCTION("""COMPUTED_VALUE"""),9.99999999E8)</f>
        <v>999999999</v>
      </c>
      <c r="O1600" s="148">
        <f>IFERROR(__xludf.DUMMYFUNCTION("""COMPUTED_VALUE"""),9.99999999E8)</f>
        <v>999999999</v>
      </c>
      <c r="P1600" s="148">
        <f>IFERROR(__xludf.DUMMYFUNCTION("""COMPUTED_VALUE"""),9.99999999E8)</f>
        <v>999999999</v>
      </c>
      <c r="Q1600" s="148" t="str">
        <f>IFERROR(__xludf.DUMMYFUNCTION("""COMPUTED_VALUE"""),"[""bag_other""]")</f>
        <v>["bag_other"]</v>
      </c>
      <c r="R1600" s="148" t="str">
        <f>IFERROR(__xludf.DUMMYFUNCTION("""COMPUTED_VALUE"""),"[]")</f>
        <v>[]</v>
      </c>
      <c r="S1600" s="148" t="str">
        <f>IFERROR(__xludf.DUMMYFUNCTION("""COMPUTED_VALUE"""),"{}")</f>
        <v>{}</v>
      </c>
      <c r="T1600" s="148">
        <f>IFERROR(__xludf.DUMMYFUNCTION("""COMPUTED_VALUE"""),-1.0)</f>
        <v>-1</v>
      </c>
      <c r="U1600" s="148">
        <f>IFERROR(__xludf.DUMMYFUNCTION("""COMPUTED_VALUE"""),0.0)</f>
        <v>0</v>
      </c>
      <c r="V1600" s="148" t="str">
        <f>IFERROR(__xludf.DUMMYFUNCTION("""COMPUTED_VALUE"""),"[]")</f>
        <v>[]</v>
      </c>
      <c r="W1600" s="148">
        <f>IFERROR(__xludf.DUMMYFUNCTION("""COMPUTED_VALUE"""),1.174E7)</f>
        <v>11740000</v>
      </c>
      <c r="X1600" s="148">
        <f>IFERROR(__xludf.DUMMYFUNCTION("""COMPUTED_VALUE"""),0.0)</f>
        <v>0</v>
      </c>
      <c r="Y1600" s="148">
        <f>IFERROR(__xludf.DUMMYFUNCTION("""COMPUTED_VALUE"""),0.0)</f>
        <v>0</v>
      </c>
      <c r="Z1600" s="148"/>
    </row>
    <row r="1601">
      <c r="A1601" s="148">
        <f>IFERROR(__xludf.DUMMYFUNCTION("""COMPUTED_VALUE"""),1.1117244E7)</f>
        <v>11117244</v>
      </c>
      <c r="B1601" s="148" t="str">
        <f>IFERROR(__xludf.DUMMYFUNCTION("""COMPUTED_VALUE"""),"表情包-国际服奥斯卡")</f>
        <v>表情包-国际服奥斯卡</v>
      </c>
      <c r="C1601" s="148"/>
      <c r="D1601" s="148" t="str">
        <f>IFERROR(__xludf.DUMMYFUNCTION("""COMPUTED_VALUE"""),"emoj")</f>
        <v>emoj</v>
      </c>
      <c r="E1601" s="148">
        <f>IFERROR(__xludf.DUMMYFUNCTION("""COMPUTED_VALUE"""),0.0)</f>
        <v>0</v>
      </c>
      <c r="F1601" s="148">
        <f>IFERROR(__xludf.DUMMYFUNCTION("""COMPUTED_VALUE"""),0.0)</f>
        <v>0</v>
      </c>
      <c r="G1601" s="148">
        <f>IFERROR(__xludf.DUMMYFUNCTION("""COMPUTED_VALUE"""),1.5115367E7)</f>
        <v>15115367</v>
      </c>
      <c r="H1601" s="148">
        <f>IFERROR(__xludf.DUMMYFUNCTION("""COMPUTED_VALUE"""),1.5112563E7)</f>
        <v>15112563</v>
      </c>
      <c r="I1601" s="148" t="str">
        <f>IFERROR(__xludf.DUMMYFUNCTION("""COMPUTED_VALUE"""),"{}")</f>
        <v>{}</v>
      </c>
      <c r="J1601" s="148" t="str">
        <f>IFERROR(__xludf.DUMMYFUNCTION("""COMPUTED_VALUE"""),"{""typ"":""lc"",""txt"":""LC_ITEM_emoji_01_name""}")</f>
        <v>{"typ":"lc","txt":"LC_ITEM_emoji_01_name"}</v>
      </c>
      <c r="K1601" s="148" t="str">
        <f>IFERROR(__xludf.DUMMYFUNCTION("""COMPUTED_VALUE"""),"{""typ"":""lc"",""txt"":""LC_ITEM_emoji_02_desc""}")</f>
        <v>{"typ":"lc","txt":"LC_ITEM_emoji_02_desc"}</v>
      </c>
      <c r="L1601" s="148" t="str">
        <f>IFERROR(__xludf.DUMMYFUNCTION("""COMPUTED_VALUE"""),"{}")</f>
        <v>{}</v>
      </c>
      <c r="M1601" s="148">
        <f>IFERROR(__xludf.DUMMYFUNCTION("""COMPUTED_VALUE"""),2500.0)</f>
        <v>2500</v>
      </c>
      <c r="N1601" s="148">
        <f>IFERROR(__xludf.DUMMYFUNCTION("""COMPUTED_VALUE"""),5.0)</f>
        <v>5</v>
      </c>
      <c r="O1601" s="148">
        <f>IFERROR(__xludf.DUMMYFUNCTION("""COMPUTED_VALUE"""),1.0)</f>
        <v>1</v>
      </c>
      <c r="P1601" s="148">
        <f>IFERROR(__xludf.DUMMYFUNCTION("""COMPUTED_VALUE"""),1.0)</f>
        <v>1</v>
      </c>
      <c r="Q1601" s="148" t="str">
        <f>IFERROR(__xludf.DUMMYFUNCTION("""COMPUTED_VALUE"""),"[]")</f>
        <v>[]</v>
      </c>
      <c r="R1601" s="148" t="str">
        <f>IFERROR(__xludf.DUMMYFUNCTION("""COMPUTED_VALUE"""),"[""bag""]")</f>
        <v>["bag"]</v>
      </c>
      <c r="S1601" s="148" t="str">
        <f>IFERROR(__xludf.DUMMYFUNCTION("""COMPUTED_VALUE"""),"{""effect"":[{""typ"":""emoj"",""id"":1525010}]}")</f>
        <v>{"effect":[{"typ":"emoj","id":1525010}]}</v>
      </c>
      <c r="T1601" s="148">
        <f>IFERROR(__xludf.DUMMYFUNCTION("""COMPUTED_VALUE"""),-1.0)</f>
        <v>-1</v>
      </c>
      <c r="U1601" s="148">
        <f>IFERROR(__xludf.DUMMYFUNCTION("""COMPUTED_VALUE"""),1.0)</f>
        <v>1</v>
      </c>
      <c r="V1601" s="148" t="str">
        <f>IFERROR(__xludf.DUMMYFUNCTION("""COMPUTED_VALUE"""),"[]")</f>
        <v>[]</v>
      </c>
      <c r="W1601" s="148">
        <f>IFERROR(__xludf.DUMMYFUNCTION("""COMPUTED_VALUE"""),1.174E7)</f>
        <v>11740000</v>
      </c>
      <c r="X1601" s="148">
        <f>IFERROR(__xludf.DUMMYFUNCTION("""COMPUTED_VALUE"""),0.0)</f>
        <v>0</v>
      </c>
      <c r="Y1601" s="148">
        <f>IFERROR(__xludf.DUMMYFUNCTION("""COMPUTED_VALUE"""),0.0)</f>
        <v>0</v>
      </c>
      <c r="Z1601" s="148"/>
    </row>
    <row r="1602">
      <c r="A1602" s="148">
        <f>IFERROR(__xludf.DUMMYFUNCTION("""COMPUTED_VALUE"""),1.1117245E7)</f>
        <v>11117245</v>
      </c>
      <c r="B1602" s="148" t="str">
        <f>IFERROR(__xludf.DUMMYFUNCTION("""COMPUTED_VALUE"""),"美食奖券_2022")</f>
        <v>美食奖券_2022</v>
      </c>
      <c r="C1602" s="148"/>
      <c r="D1602" s="148" t="str">
        <f>IFERROR(__xludf.DUMMYFUNCTION("""COMPUTED_VALUE"""),"event")</f>
        <v>event</v>
      </c>
      <c r="E1602" s="148">
        <f>IFERROR(__xludf.DUMMYFUNCTION("""COMPUTED_VALUE"""),0.0)</f>
        <v>0</v>
      </c>
      <c r="F1602" s="148">
        <f>IFERROR(__xludf.DUMMYFUNCTION("""COMPUTED_VALUE"""),405242.0)</f>
        <v>405242</v>
      </c>
      <c r="G1602" s="148">
        <f>IFERROR(__xludf.DUMMYFUNCTION("""COMPUTED_VALUE"""),1.5115396E7)</f>
        <v>15115396</v>
      </c>
      <c r="H1602" s="148">
        <f>IFERROR(__xludf.DUMMYFUNCTION("""COMPUTED_VALUE"""),1.5112563E7)</f>
        <v>15112563</v>
      </c>
      <c r="I1602" s="148" t="str">
        <f>IFERROR(__xludf.DUMMYFUNCTION("""COMPUTED_VALUE"""),"{}")</f>
        <v>{}</v>
      </c>
      <c r="J1602" s="148" t="str">
        <f>IFERROR(__xludf.DUMMYFUNCTION("""COMPUTED_VALUE"""),"{""typ"":""lc"",""txt"":""LC_ITEM_2022_thanksgiving_skingacha_fork""}")</f>
        <v>{"typ":"lc","txt":"LC_ITEM_2022_thanksgiving_skingacha_fork"}</v>
      </c>
      <c r="K1602" s="148" t="str">
        <f>IFERROR(__xludf.DUMMYFUNCTION("""COMPUTED_VALUE"""),"{""typ"":""lc"",""txt"":""LC_ITEM_2022_thanksgiving_skingacha_fork_desc""}")</f>
        <v>{"typ":"lc","txt":"LC_ITEM_2022_thanksgiving_skingacha_fork_desc"}</v>
      </c>
      <c r="L1602" s="148" t="str">
        <f>IFERROR(__xludf.DUMMYFUNCTION("""COMPUTED_VALUE"""),"{}")</f>
        <v>{}</v>
      </c>
      <c r="M1602" s="148">
        <f>IFERROR(__xludf.DUMMYFUNCTION("""COMPUTED_VALUE"""),200.0)</f>
        <v>200</v>
      </c>
      <c r="N1602" s="148">
        <f>IFERROR(__xludf.DUMMYFUNCTION("""COMPUTED_VALUE"""),9.99999999E8)</f>
        <v>999999999</v>
      </c>
      <c r="O1602" s="148">
        <f>IFERROR(__xludf.DUMMYFUNCTION("""COMPUTED_VALUE"""),9.99999999E8)</f>
        <v>999999999</v>
      </c>
      <c r="P1602" s="148">
        <f>IFERROR(__xludf.DUMMYFUNCTION("""COMPUTED_VALUE"""),9.99999999E8)</f>
        <v>999999999</v>
      </c>
      <c r="Q1602" s="148" t="str">
        <f>IFERROR(__xludf.DUMMYFUNCTION("""COMPUTED_VALUE"""),"[""bag_other""]")</f>
        <v>["bag_other"]</v>
      </c>
      <c r="R1602" s="148" t="str">
        <f>IFERROR(__xludf.DUMMYFUNCTION("""COMPUTED_VALUE"""),"[""bag""]")</f>
        <v>["bag"]</v>
      </c>
      <c r="S1602" s="148" t="str">
        <f>IFERROR(__xludf.DUMMYFUNCTION("""COMPUTED_VALUE"""),"{}")</f>
        <v>{}</v>
      </c>
      <c r="T1602" s="148">
        <f>IFERROR(__xludf.DUMMYFUNCTION("""COMPUTED_VALUE"""),1.0)</f>
        <v>1</v>
      </c>
      <c r="U1602" s="148">
        <f>IFERROR(__xludf.DUMMYFUNCTION("""COMPUTED_VALUE"""),0.0)</f>
        <v>0</v>
      </c>
      <c r="V1602" s="148" t="str">
        <f>IFERROR(__xludf.DUMMYFUNCTION("""COMPUTED_VALUE"""),"[]")</f>
        <v>[]</v>
      </c>
      <c r="W1602" s="148">
        <f>IFERROR(__xludf.DUMMYFUNCTION("""COMPUTED_VALUE"""),1.174E7)</f>
        <v>11740000</v>
      </c>
      <c r="X1602" s="148">
        <f>IFERROR(__xludf.DUMMYFUNCTION("""COMPUTED_VALUE"""),0.0)</f>
        <v>0</v>
      </c>
      <c r="Y1602" s="148">
        <f>IFERROR(__xludf.DUMMYFUNCTION("""COMPUTED_VALUE"""),0.0)</f>
        <v>0</v>
      </c>
      <c r="Z1602" s="148"/>
    </row>
    <row r="1603">
      <c r="A1603" s="148">
        <f>IFERROR(__xludf.DUMMYFUNCTION("""COMPUTED_VALUE"""),1.1117246E7)</f>
        <v>11117246</v>
      </c>
      <c r="B1603" s="148" t="str">
        <f>IFERROR(__xludf.DUMMYFUNCTION("""COMPUTED_VALUE"""),"主城皮肤-感恩节")</f>
        <v>主城皮肤-感恩节</v>
      </c>
      <c r="C1603" s="148"/>
      <c r="D1603" s="148" t="str">
        <f>IFERROR(__xludf.DUMMYFUNCTION("""COMPUTED_VALUE"""),"city_skin")</f>
        <v>city_skin</v>
      </c>
      <c r="E1603" s="148">
        <f>IFERROR(__xludf.DUMMYFUNCTION("""COMPUTED_VALUE"""),21.0)</f>
        <v>21</v>
      </c>
      <c r="F1603" s="148">
        <f>IFERROR(__xludf.DUMMYFUNCTION("""COMPUTED_VALUE"""),400102.0)</f>
        <v>400102</v>
      </c>
      <c r="G1603" s="148">
        <f>IFERROR(__xludf.DUMMYFUNCTION("""COMPUTED_VALUE"""),1.5115398E7)</f>
        <v>15115398</v>
      </c>
      <c r="H1603" s="148">
        <f>IFERROR(__xludf.DUMMYFUNCTION("""COMPUTED_VALUE"""),1.5112564E7)</f>
        <v>15112564</v>
      </c>
      <c r="I1603" s="148" t="str">
        <f>IFERROR(__xludf.DUMMYFUNCTION("""COMPUTED_VALUE"""),"{}")</f>
        <v>{}</v>
      </c>
      <c r="J1603" s="148" t="str">
        <f>IFERROR(__xludf.DUMMYFUNCTION("""COMPUTED_VALUE"""),"{""typ"":""lc"",""txt"":""LC_ITEM_2022_thanksgiving_castle_skin""}")</f>
        <v>{"typ":"lc","txt":"LC_ITEM_2022_thanksgiving_castle_skin"}</v>
      </c>
      <c r="K1603" s="148" t="str">
        <f>IFERROR(__xludf.DUMMYFUNCTION("""COMPUTED_VALUE"""),"{""typ"":""lc"",""txt"":""LC_ITEM_2022_thanksgiving_castle_skin_desc""}")</f>
        <v>{"typ":"lc","txt":"LC_ITEM_2022_thanksgiving_castle_skin_desc"}</v>
      </c>
      <c r="L1603" s="148" t="str">
        <f>IFERROR(__xludf.DUMMYFUNCTION("""COMPUTED_VALUE"""),"{""typ"":""lc"",""txt"":""LC_ITEM_city_skin_rocket_use_tips""}")</f>
        <v>{"typ":"lc","txt":"LC_ITEM_city_skin_rocket_use_tips"}</v>
      </c>
      <c r="M1603" s="148">
        <f>IFERROR(__xludf.DUMMYFUNCTION("""COMPUTED_VALUE"""),10000.0)</f>
        <v>10000</v>
      </c>
      <c r="N1603" s="148">
        <f>IFERROR(__xludf.DUMMYFUNCTION("""COMPUTED_VALUE"""),999.0)</f>
        <v>999</v>
      </c>
      <c r="O1603" s="148">
        <f>IFERROR(__xludf.DUMMYFUNCTION("""COMPUTED_VALUE"""),1.0)</f>
        <v>1</v>
      </c>
      <c r="P1603" s="148">
        <f>IFERROR(__xludf.DUMMYFUNCTION("""COMPUTED_VALUE"""),1.0)</f>
        <v>1</v>
      </c>
      <c r="Q1603" s="148" t="str">
        <f>IFERROR(__xludf.DUMMYFUNCTION("""COMPUTED_VALUE"""),"[""bag_other""]")</f>
        <v>["bag_other"]</v>
      </c>
      <c r="R1603" s="148" t="str">
        <f>IFERROR(__xludf.DUMMYFUNCTION("""COMPUTED_VALUE"""),"[""bag"",""13121010""]")</f>
        <v>["bag","13121010"]</v>
      </c>
      <c r="S1603" s="148" t="str">
        <f>IFERROR(__xludf.DUMMYFUNCTION("""COMPUTED_VALUE"""),"{""effect"":[{""typ"":""city_skin"",""id"":13121010,""val"":-1},{""typ"":""item"",""id"":11112030,""val"":4000}]}")</f>
        <v>{"effect":[{"typ":"city_skin","id":13121010,"val":-1},{"typ":"item","id":11112030,"val":4000}]}</v>
      </c>
      <c r="T1603" s="148">
        <f>IFERROR(__xludf.DUMMYFUNCTION("""COMPUTED_VALUE"""),-1.0)</f>
        <v>-1</v>
      </c>
      <c r="U1603" s="148">
        <f>IFERROR(__xludf.DUMMYFUNCTION("""COMPUTED_VALUE"""),0.0)</f>
        <v>0</v>
      </c>
      <c r="V1603" s="148" t="str">
        <f>IFERROR(__xludf.DUMMYFUNCTION("""COMPUTED_VALUE"""),"[]")</f>
        <v>[]</v>
      </c>
      <c r="W1603" s="148">
        <f>IFERROR(__xludf.DUMMYFUNCTION("""COMPUTED_VALUE"""),1.174E7)</f>
        <v>11740000</v>
      </c>
      <c r="X1603" s="148">
        <f>IFERROR(__xludf.DUMMYFUNCTION("""COMPUTED_VALUE"""),0.0)</f>
        <v>0</v>
      </c>
      <c r="Y1603" s="148">
        <f>IFERROR(__xludf.DUMMYFUNCTION("""COMPUTED_VALUE"""),0.0)</f>
        <v>0</v>
      </c>
      <c r="Z1603" s="148"/>
    </row>
    <row r="1604">
      <c r="A1604" s="148">
        <f>IFERROR(__xludf.DUMMYFUNCTION("""COMPUTED_VALUE"""),1.1117247E7)</f>
        <v>11117247</v>
      </c>
      <c r="B1604" s="148" t="str">
        <f>IFERROR(__xludf.DUMMYFUNCTION("""COMPUTED_VALUE"""),"主城皮肤-感恩节（2天）")</f>
        <v>主城皮肤-感恩节（2天）</v>
      </c>
      <c r="C1604" s="148"/>
      <c r="D1604" s="148" t="str">
        <f>IFERROR(__xludf.DUMMYFUNCTION("""COMPUTED_VALUE"""),"city_skin")</f>
        <v>city_skin</v>
      </c>
      <c r="E1604" s="148">
        <f>IFERROR(__xludf.DUMMYFUNCTION("""COMPUTED_VALUE"""),21.0)</f>
        <v>21</v>
      </c>
      <c r="F1604" s="148">
        <f>IFERROR(__xludf.DUMMYFUNCTION("""COMPUTED_VALUE"""),404200.0)</f>
        <v>404200</v>
      </c>
      <c r="G1604" s="148">
        <f>IFERROR(__xludf.DUMMYFUNCTION("""COMPUTED_VALUE"""),1.5115398E7)</f>
        <v>15115398</v>
      </c>
      <c r="H1604" s="148">
        <f>IFERROR(__xludf.DUMMYFUNCTION("""COMPUTED_VALUE"""),1.5112563E7)</f>
        <v>15112563</v>
      </c>
      <c r="I1604" s="148" t="str">
        <f>IFERROR(__xludf.DUMMYFUNCTION("""COMPUTED_VALUE"""),"{""typ"":""lc"",""txt"":""LC_ITEM_time_day_upper_show"",""args"":[{""typ"":""int"",""val"":2}]}")</f>
        <v>{"typ":"lc","txt":"LC_ITEM_time_day_upper_show","args":[{"typ":"int","val":2}]}</v>
      </c>
      <c r="J1604" s="148" t="str">
        <f>IFERROR(__xludf.DUMMYFUNCTION("""COMPUTED_VALUE"""),"{""typ"":""lc"",""txt"":""LC_ITEM_2022_thanksgiving_castle_skin""}")</f>
        <v>{"typ":"lc","txt":"LC_ITEM_2022_thanksgiving_castle_skin"}</v>
      </c>
      <c r="K1604" s="148" t="str">
        <f>IFERROR(__xludf.DUMMYFUNCTION("""COMPUTED_VALUE"""),"{""typ"":""lc"",""txt"":""LC_ITEM_2022_thanksgiving_castle_skin_desc""}")</f>
        <v>{"typ":"lc","txt":"LC_ITEM_2022_thanksgiving_castle_skin_desc"}</v>
      </c>
      <c r="L1604" s="148" t="str">
        <f>IFERROR(__xludf.DUMMYFUNCTION("""COMPUTED_VALUE"""),"{""typ"":""lc"",""txt"":""LC_ITEM_city_skin_rocket_use_tips""}")</f>
        <v>{"typ":"lc","txt":"LC_ITEM_city_skin_rocket_use_tips"}</v>
      </c>
      <c r="M1604" s="148">
        <f>IFERROR(__xludf.DUMMYFUNCTION("""COMPUTED_VALUE"""),500.0)</f>
        <v>500</v>
      </c>
      <c r="N1604" s="148">
        <f>IFERROR(__xludf.DUMMYFUNCTION("""COMPUTED_VALUE"""),999.0)</f>
        <v>999</v>
      </c>
      <c r="O1604" s="148">
        <f>IFERROR(__xludf.DUMMYFUNCTION("""COMPUTED_VALUE"""),1.0)</f>
        <v>1</v>
      </c>
      <c r="P1604" s="148">
        <f>IFERROR(__xludf.DUMMYFUNCTION("""COMPUTED_VALUE"""),1.0)</f>
        <v>1</v>
      </c>
      <c r="Q1604" s="148" t="str">
        <f>IFERROR(__xludf.DUMMYFUNCTION("""COMPUTED_VALUE"""),"[""bag_other""]")</f>
        <v>["bag_other"]</v>
      </c>
      <c r="R1604" s="148" t="str">
        <f>IFERROR(__xludf.DUMMYFUNCTION("""COMPUTED_VALUE"""),"[""bag"",""13121010""]")</f>
        <v>["bag","13121010"]</v>
      </c>
      <c r="S1604" s="148" t="str">
        <f>IFERROR(__xludf.DUMMYFUNCTION("""COMPUTED_VALUE"""),"{""effect"":[{""typ"":""city_skin"",""id"":13121010,""val"":172800000},{""typ"":""item"",""id"":11111021,""val"":1}]}")</f>
        <v>{"effect":[{"typ":"city_skin","id":13121010,"val":172800000},{"typ":"item","id":11111021,"val":1}]}</v>
      </c>
      <c r="T1604" s="148">
        <f>IFERROR(__xludf.DUMMYFUNCTION("""COMPUTED_VALUE"""),-1.0)</f>
        <v>-1</v>
      </c>
      <c r="U1604" s="148">
        <f>IFERROR(__xludf.DUMMYFUNCTION("""COMPUTED_VALUE"""),0.0)</f>
        <v>0</v>
      </c>
      <c r="V1604" s="148" t="str">
        <f>IFERROR(__xludf.DUMMYFUNCTION("""COMPUTED_VALUE"""),"[]")</f>
        <v>[]</v>
      </c>
      <c r="W1604" s="148">
        <f>IFERROR(__xludf.DUMMYFUNCTION("""COMPUTED_VALUE"""),1.174E7)</f>
        <v>11740000</v>
      </c>
      <c r="X1604" s="148">
        <f>IFERROR(__xludf.DUMMYFUNCTION("""COMPUTED_VALUE"""),0.0)</f>
        <v>0</v>
      </c>
      <c r="Y1604" s="148">
        <f>IFERROR(__xludf.DUMMYFUNCTION("""COMPUTED_VALUE"""),0.0)</f>
        <v>0</v>
      </c>
      <c r="Z1604" s="148"/>
    </row>
    <row r="1605">
      <c r="A1605" s="148">
        <f>IFERROR(__xludf.DUMMYFUNCTION("""COMPUTED_VALUE"""),1.1117248E7)</f>
        <v>11117248</v>
      </c>
      <c r="B1605" s="148" t="str">
        <f>IFERROR(__xludf.DUMMYFUNCTION("""COMPUTED_VALUE"""),"瓜果篮子-感恩装饰升级道具")</f>
        <v>瓜果篮子-感恩装饰升级道具</v>
      </c>
      <c r="C1605" s="148"/>
      <c r="D1605" s="148" t="str">
        <f>IFERROR(__xludf.DUMMYFUNCTION("""COMPUTED_VALUE"""),"event")</f>
        <v>event</v>
      </c>
      <c r="E1605" s="148">
        <f>IFERROR(__xludf.DUMMYFUNCTION("""COMPUTED_VALUE"""),0.0)</f>
        <v>0</v>
      </c>
      <c r="F1605" s="148">
        <f>IFERROR(__xludf.DUMMYFUNCTION("""COMPUTED_VALUE"""),405243.0)</f>
        <v>405243</v>
      </c>
      <c r="G1605" s="148">
        <f>IFERROR(__xludf.DUMMYFUNCTION("""COMPUTED_VALUE"""),1.5115399E7)</f>
        <v>15115399</v>
      </c>
      <c r="H1605" s="148">
        <f>IFERROR(__xludf.DUMMYFUNCTION("""COMPUTED_VALUE"""),1.5112564E7)</f>
        <v>15112564</v>
      </c>
      <c r="I1605" s="148" t="str">
        <f>IFERROR(__xludf.DUMMYFUNCTION("""COMPUTED_VALUE"""),"{}")</f>
        <v>{}</v>
      </c>
      <c r="J1605" s="148" t="str">
        <f>IFERROR(__xludf.DUMMYFUNCTION("""COMPUTED_VALUE"""),"{""typ"":""lc"",""txt"":""LC_EVENT_thanksgiving_decoration_item_name""}")</f>
        <v>{"typ":"lc","txt":"LC_EVENT_thanksgiving_decoration_item_name"}</v>
      </c>
      <c r="K1605" s="148" t="str">
        <f>IFERROR(__xludf.DUMMYFUNCTION("""COMPUTED_VALUE"""),"{""typ"":""lc"",""txt"":""LC_EVENT_thanksgiving_decoration_item_desc""}")</f>
        <v>{"typ":"lc","txt":"LC_EVENT_thanksgiving_decoration_item_desc"}</v>
      </c>
      <c r="L1605" s="148" t="str">
        <f>IFERROR(__xludf.DUMMYFUNCTION("""COMPUTED_VALUE"""),"{}")</f>
        <v>{}</v>
      </c>
      <c r="M1605" s="148">
        <f>IFERROR(__xludf.DUMMYFUNCTION("""COMPUTED_VALUE"""),1000.0)</f>
        <v>1000</v>
      </c>
      <c r="N1605" s="148">
        <f>IFERROR(__xludf.DUMMYFUNCTION("""COMPUTED_VALUE"""),9.99999999E8)</f>
        <v>999999999</v>
      </c>
      <c r="O1605" s="148">
        <f>IFERROR(__xludf.DUMMYFUNCTION("""COMPUTED_VALUE"""),9.99999999E8)</f>
        <v>999999999</v>
      </c>
      <c r="P1605" s="148">
        <f>IFERROR(__xludf.DUMMYFUNCTION("""COMPUTED_VALUE"""),9.99999999E8)</f>
        <v>999999999</v>
      </c>
      <c r="Q1605" s="148" t="str">
        <f>IFERROR(__xludf.DUMMYFUNCTION("""COMPUTED_VALUE"""),"[""bag_other""]")</f>
        <v>["bag_other"]</v>
      </c>
      <c r="R1605" s="148" t="str">
        <f>IFERROR(__xludf.DUMMYFUNCTION("""COMPUTED_VALUE"""),"[]")</f>
        <v>[]</v>
      </c>
      <c r="S1605" s="148" t="str">
        <f>IFERROR(__xludf.DUMMYFUNCTION("""COMPUTED_VALUE"""),"{}")</f>
        <v>{}</v>
      </c>
      <c r="T1605" s="148">
        <f>IFERROR(__xludf.DUMMYFUNCTION("""COMPUTED_VALUE"""),-1.0)</f>
        <v>-1</v>
      </c>
      <c r="U1605" s="148">
        <f>IFERROR(__xludf.DUMMYFUNCTION("""COMPUTED_VALUE"""),0.0)</f>
        <v>0</v>
      </c>
      <c r="V1605" s="148" t="str">
        <f>IFERROR(__xludf.DUMMYFUNCTION("""COMPUTED_VALUE"""),"[]")</f>
        <v>[]</v>
      </c>
      <c r="W1605" s="148">
        <f>IFERROR(__xludf.DUMMYFUNCTION("""COMPUTED_VALUE"""),1.174E7)</f>
        <v>11740000</v>
      </c>
      <c r="X1605" s="148">
        <f>IFERROR(__xludf.DUMMYFUNCTION("""COMPUTED_VALUE"""),0.0)</f>
        <v>0</v>
      </c>
      <c r="Y1605" s="148">
        <f>IFERROR(__xludf.DUMMYFUNCTION("""COMPUTED_VALUE"""),0.0)</f>
        <v>0</v>
      </c>
      <c r="Z1605" s="148"/>
    </row>
    <row r="1606">
      <c r="A1606" s="148">
        <f>IFERROR(__xludf.DUMMYFUNCTION("""COMPUTED_VALUE"""),1.1117249E7)</f>
        <v>11117249</v>
      </c>
      <c r="B1606" s="148" t="str">
        <f>IFERROR(__xludf.DUMMYFUNCTION("""COMPUTED_VALUE"""),"英雄验证活动-伤害掉落宝箱-收藏品")</f>
        <v>英雄验证活动-伤害掉落宝箱-收藏品</v>
      </c>
      <c r="C1606" s="148"/>
      <c r="D1606" s="148" t="str">
        <f>IFERROR(__xludf.DUMMYFUNCTION("""COMPUTED_VALUE"""),"item_asset")</f>
        <v>item_asset</v>
      </c>
      <c r="E1606" s="148">
        <f>IFERROR(__xludf.DUMMYFUNCTION("""COMPUTED_VALUE"""),19.0)</f>
        <v>19</v>
      </c>
      <c r="F1606" s="148">
        <f>IFERROR(__xludf.DUMMYFUNCTION("""COMPUTED_VALUE"""),403299.0)</f>
        <v>403299</v>
      </c>
      <c r="G1606" s="148">
        <f>IFERROR(__xludf.DUMMYFUNCTION("""COMPUTED_VALUE"""),1.5113765E7)</f>
        <v>15113765</v>
      </c>
      <c r="H1606" s="148">
        <f>IFERROR(__xludf.DUMMYFUNCTION("""COMPUTED_VALUE"""),1.5112563E7)</f>
        <v>15112563</v>
      </c>
      <c r="I1606" s="148" t="str">
        <f>IFERROR(__xludf.DUMMYFUNCTION("""COMPUTED_VALUE"""),"{}")</f>
        <v>{}</v>
      </c>
      <c r="J1606" s="148" t="str">
        <f>IFERROR(__xludf.DUMMYFUNCTION("""COMPUTED_VALUE"""),"{""typ"":""lc"",""txt"":""LC_ITEM_maximus_chest_name""}")</f>
        <v>{"typ":"lc","txt":"LC_ITEM_maximus_chest_name"}</v>
      </c>
      <c r="K1606" s="148" t="str">
        <f>IFERROR(__xludf.DUMMYFUNCTION("""COMPUTED_VALUE"""),"{""typ"":""lc"",""txt"":""LC_ITEM_maximus_chest_desc""}")</f>
        <v>{"typ":"lc","txt":"LC_ITEM_maximus_chest_desc"}</v>
      </c>
      <c r="L1606" s="148" t="str">
        <f>IFERROR(__xludf.DUMMYFUNCTION("""COMPUTED_VALUE"""),"{}")</f>
        <v>{}</v>
      </c>
      <c r="M1606" s="148">
        <f>IFERROR(__xludf.DUMMYFUNCTION("""COMPUTED_VALUE"""),1.0)</f>
        <v>1</v>
      </c>
      <c r="N1606" s="148">
        <f>IFERROR(__xludf.DUMMYFUNCTION("""COMPUTED_VALUE"""),999999.0)</f>
        <v>999999</v>
      </c>
      <c r="O1606" s="148">
        <f>IFERROR(__xludf.DUMMYFUNCTION("""COMPUTED_VALUE"""),99999.0)</f>
        <v>99999</v>
      </c>
      <c r="P1606" s="148">
        <f>IFERROR(__xludf.DUMMYFUNCTION("""COMPUTED_VALUE"""),9999.0)</f>
        <v>9999</v>
      </c>
      <c r="Q1606" s="148" t="str">
        <f>IFERROR(__xludf.DUMMYFUNCTION("""COMPUTED_VALUE"""),"[""bag_other""]")</f>
        <v>["bag_other"]</v>
      </c>
      <c r="R1606" s="148" t="str">
        <f>IFERROR(__xludf.DUMMYFUNCTION("""COMPUTED_VALUE"""),"[]")</f>
        <v>[]</v>
      </c>
      <c r="S1606" s="148" t="str">
        <f>IFERROR(__xludf.DUMMYFUNCTION("""COMPUTED_VALUE"""),"{""drop"":{""typ"":""single_random"",""num"":1,""args"":[{""typ"":""item"",""id"":11116402,""num"":1,""wgt"":10},{""typ"":""item"",""id"":11116110,""num"":1,""wgt"":10},{""typ"":""item"",""id"":11117032,""num"":1,""wgt"":30},{""typ"":""item"",""id"":11116"&amp;"603,""num"":1,""wgt"":100},{""typ"":""item"",""id"":11114329,""num"":1,""wgt"":175},{""typ"":""item"",""id"":11111154,""num"":1,""wgt"":175}]}}")</f>
        <v>{"drop":{"typ":"single_random","num":1,"args":[{"typ":"item","id":11116402,"num":1,"wgt":10},{"typ":"item","id":11116110,"num":1,"wgt":10},{"typ":"item","id":11117032,"num":1,"wgt":30},{"typ":"item","id":11116603,"num":1,"wgt":100},{"typ":"item","id":11114329,"num":1,"wgt":175},{"typ":"item","id":11111154,"num":1,"wgt":175}]}}</v>
      </c>
      <c r="T1606" s="148">
        <f>IFERROR(__xludf.DUMMYFUNCTION("""COMPUTED_VALUE"""),-1.0)</f>
        <v>-1</v>
      </c>
      <c r="U1606" s="148">
        <f>IFERROR(__xludf.DUMMYFUNCTION("""COMPUTED_VALUE"""),1.0)</f>
        <v>1</v>
      </c>
      <c r="V1606" s="148" t="str">
        <f>IFERROR(__xludf.DUMMYFUNCTION("""COMPUTED_VALUE"""),"[]")</f>
        <v>[]</v>
      </c>
      <c r="W1606" s="148">
        <f>IFERROR(__xludf.DUMMYFUNCTION("""COMPUTED_VALUE"""),1.174E7)</f>
        <v>11740000</v>
      </c>
      <c r="X1606" s="148">
        <f>IFERROR(__xludf.DUMMYFUNCTION("""COMPUTED_VALUE"""),0.0)</f>
        <v>0</v>
      </c>
      <c r="Y1606" s="148">
        <f>IFERROR(__xludf.DUMMYFUNCTION("""COMPUTED_VALUE"""),0.0)</f>
        <v>0</v>
      </c>
      <c r="Z1606" s="148"/>
    </row>
    <row r="1607">
      <c r="A1607" s="148">
        <f>IFERROR(__xludf.DUMMYFUNCTION("""COMPUTED_VALUE"""),1.111725E7)</f>
        <v>11117250</v>
      </c>
      <c r="B1607" s="148" t="str">
        <f>IFERROR(__xludf.DUMMYFUNCTION("""COMPUTED_VALUE"""),"尖端装备自选图纸碎片箱")</f>
        <v>尖端装备自选图纸碎片箱</v>
      </c>
      <c r="C1607" s="148"/>
      <c r="D1607" s="148" t="str">
        <f>IFERROR(__xludf.DUMMYFUNCTION("""COMPUTED_VALUE"""),"item_select_box")</f>
        <v>item_select_box</v>
      </c>
      <c r="E1607" s="148">
        <f>IFERROR(__xludf.DUMMYFUNCTION("""COMPUTED_VALUE"""),0.0)</f>
        <v>0</v>
      </c>
      <c r="F1607" s="148">
        <f>IFERROR(__xludf.DUMMYFUNCTION("""COMPUTED_VALUE"""),403101.0)</f>
        <v>403101</v>
      </c>
      <c r="G1607" s="148">
        <f>IFERROR(__xludf.DUMMYFUNCTION("""COMPUTED_VALUE"""),1.5116705E7)</f>
        <v>15116705</v>
      </c>
      <c r="H1607" s="148">
        <f>IFERROR(__xludf.DUMMYFUNCTION("""COMPUTED_VALUE"""),1.5112564E7)</f>
        <v>15112564</v>
      </c>
      <c r="I1607" s="148" t="str">
        <f>IFERROR(__xludf.DUMMYFUNCTION("""COMPUTED_VALUE"""),"{}")</f>
        <v>{}</v>
      </c>
      <c r="J1607" s="148" t="str">
        <f>IFERROR(__xludf.DUMMYFUNCTION("""COMPUTED_VALUE"""),"{""typ"":""lc"",""txt"":""LC_HERO_equipment_puzzle_select_box4""}")</f>
        <v>{"typ":"lc","txt":"LC_HERO_equipment_puzzle_select_box4"}</v>
      </c>
      <c r="K1607" s="148" t="str">
        <f>IFERROR(__xludf.DUMMYFUNCTION("""COMPUTED_VALUE"""),"{""typ"":""lc"",""txt"":""LC_HERO_equipment_puzzle_select_box_desc4""}")</f>
        <v>{"typ":"lc","txt":"LC_HERO_equipment_puzzle_select_box_desc4"}</v>
      </c>
      <c r="L1607" s="148" t="str">
        <f>IFERROR(__xludf.DUMMYFUNCTION("""COMPUTED_VALUE"""),"{}")</f>
        <v>{}</v>
      </c>
      <c r="M1607" s="148">
        <f>IFERROR(__xludf.DUMMYFUNCTION("""COMPUTED_VALUE"""),50.0)</f>
        <v>50</v>
      </c>
      <c r="N1607" s="148">
        <f>IFERROR(__xludf.DUMMYFUNCTION("""COMPUTED_VALUE"""),9999999.0)</f>
        <v>9999999</v>
      </c>
      <c r="O1607" s="148">
        <f>IFERROR(__xludf.DUMMYFUNCTION("""COMPUTED_VALUE"""),99999.0)</f>
        <v>99999</v>
      </c>
      <c r="P1607" s="148">
        <f>IFERROR(__xludf.DUMMYFUNCTION("""COMPUTED_VALUE"""),99999.0)</f>
        <v>99999</v>
      </c>
      <c r="Q1607" s="148" t="str">
        <f>IFERROR(__xludf.DUMMYFUNCTION("""COMPUTED_VALUE"""),"[""bag_other""]")</f>
        <v>["bag_other"]</v>
      </c>
      <c r="R1607" s="148" t="str">
        <f>IFERROR(__xludf.DUMMYFUNCTION("""COMPUTED_VALUE"""),"[""bag""]")</f>
        <v>["bag"]</v>
      </c>
      <c r="S1607" s="148" t="str">
        <f>IFERROR(__xludf.DUMMYFUNCTION("""COMPUTED_VALUE"""),"{""select_box"":[{""typ"":""puzzle"",""id"":19349001,""val"":1},{""typ"":""puzzle"",""id"":19349002,""val"":1},{""typ"":""puzzle"",""id"":19349003,""val"":1},{""typ"":""puzzle"",""id"":19349004,""val"":1}]}")</f>
        <v>{"select_box":[{"typ":"puzzle","id":19349001,"val":1},{"typ":"puzzle","id":19349002,"val":1},{"typ":"puzzle","id":19349003,"val":1},{"typ":"puzzle","id":19349004,"val":1}]}</v>
      </c>
      <c r="T1607" s="148">
        <f>IFERROR(__xludf.DUMMYFUNCTION("""COMPUTED_VALUE"""),-1.0)</f>
        <v>-1</v>
      </c>
      <c r="U1607" s="148">
        <f>IFERROR(__xludf.DUMMYFUNCTION("""COMPUTED_VALUE"""),0.0)</f>
        <v>0</v>
      </c>
      <c r="V1607" s="148" t="str">
        <f>IFERROR(__xludf.DUMMYFUNCTION("""COMPUTED_VALUE"""),"[]")</f>
        <v>[]</v>
      </c>
      <c r="W1607" s="148">
        <f>IFERROR(__xludf.DUMMYFUNCTION("""COMPUTED_VALUE"""),1.1741004E7)</f>
        <v>11741004</v>
      </c>
      <c r="X1607" s="148">
        <f>IFERROR(__xludf.DUMMYFUNCTION("""COMPUTED_VALUE"""),0.0)</f>
        <v>0</v>
      </c>
      <c r="Y1607" s="148">
        <f>IFERROR(__xludf.DUMMYFUNCTION("""COMPUTED_VALUE"""),0.0)</f>
        <v>0</v>
      </c>
      <c r="Z1607" s="148"/>
    </row>
    <row r="1608">
      <c r="A1608" s="148">
        <f>IFERROR(__xludf.DUMMYFUNCTION("""COMPUTED_VALUE"""),1.1117251E7)</f>
        <v>11117251</v>
      </c>
      <c r="B1608" s="148" t="str">
        <f>IFERROR(__xludf.DUMMYFUNCTION("""COMPUTED_VALUE"""),"狂飙拉力赛-极速轮胎（兑换道具）")</f>
        <v>狂飙拉力赛-极速轮胎（兑换道具）</v>
      </c>
      <c r="C1608" s="148"/>
      <c r="D1608" s="148" t="str">
        <f>IFERROR(__xludf.DUMMYFUNCTION("""COMPUTED_VALUE"""),"battle_pass_shop")</f>
        <v>battle_pass_shop</v>
      </c>
      <c r="E1608" s="148">
        <f>IFERROR(__xludf.DUMMYFUNCTION("""COMPUTED_VALUE"""),0.0)</f>
        <v>0</v>
      </c>
      <c r="F1608" s="148">
        <f>IFERROR(__xludf.DUMMYFUNCTION("""COMPUTED_VALUE"""),405221.0)</f>
        <v>405221</v>
      </c>
      <c r="G1608" s="148">
        <f>IFERROR(__xludf.DUMMYFUNCTION("""COMPUTED_VALUE"""),1.5115372E7)</f>
        <v>15115372</v>
      </c>
      <c r="H1608" s="148">
        <f>IFERROR(__xludf.DUMMYFUNCTION("""COMPUTED_VALUE"""),1.5112564E7)</f>
        <v>15112564</v>
      </c>
      <c r="I1608" s="148" t="str">
        <f>IFERROR(__xludf.DUMMYFUNCTION("""COMPUTED_VALUE"""),"{}")</f>
        <v>{}</v>
      </c>
      <c r="J1608" s="148" t="str">
        <f>IFERROR(__xludf.DUMMYFUNCTION("""COMPUTED_VALUE"""),"{""typ"":""lc"",""txt"":""LC_ITEM_BP_coin_name""}")</f>
        <v>{"typ":"lc","txt":"LC_ITEM_BP_coin_name"}</v>
      </c>
      <c r="K1608" s="148" t="str">
        <f>IFERROR(__xludf.DUMMYFUNCTION("""COMPUTED_VALUE"""),"{""typ"":""lc"",""txt"":""LC_ITEM_BP_coin_desc""}")</f>
        <v>{"typ":"lc","txt":"LC_ITEM_BP_coin_desc"}</v>
      </c>
      <c r="L1608" s="148" t="str">
        <f>IFERROR(__xludf.DUMMYFUNCTION("""COMPUTED_VALUE"""),"{}")</f>
        <v>{}</v>
      </c>
      <c r="M1608" s="148">
        <f>IFERROR(__xludf.DUMMYFUNCTION("""COMPUTED_VALUE"""),100.0)</f>
        <v>100</v>
      </c>
      <c r="N1608" s="148">
        <f>IFERROR(__xludf.DUMMYFUNCTION("""COMPUTED_VALUE"""),9.99999999E8)</f>
        <v>999999999</v>
      </c>
      <c r="O1608" s="148">
        <f>IFERROR(__xludf.DUMMYFUNCTION("""COMPUTED_VALUE"""),9.99999999E8)</f>
        <v>999999999</v>
      </c>
      <c r="P1608" s="148">
        <f>IFERROR(__xludf.DUMMYFUNCTION("""COMPUTED_VALUE"""),9.99999999E8)</f>
        <v>999999999</v>
      </c>
      <c r="Q1608" s="148" t="str">
        <f>IFERROR(__xludf.DUMMYFUNCTION("""COMPUTED_VALUE"""),"[""bag_other""]")</f>
        <v>["bag_other"]</v>
      </c>
      <c r="R1608" s="148" t="str">
        <f>IFERROR(__xludf.DUMMYFUNCTION("""COMPUTED_VALUE"""),"[""bag""]")</f>
        <v>["bag"]</v>
      </c>
      <c r="S1608" s="148" t="str">
        <f>IFERROR(__xludf.DUMMYFUNCTION("""COMPUTED_VALUE"""),"{}")</f>
        <v>{}</v>
      </c>
      <c r="T1608" s="148">
        <f>IFERROR(__xludf.DUMMYFUNCTION("""COMPUTED_VALUE"""),-1.0)</f>
        <v>-1</v>
      </c>
      <c r="U1608" s="148">
        <f>IFERROR(__xludf.DUMMYFUNCTION("""COMPUTED_VALUE"""),0.0)</f>
        <v>0</v>
      </c>
      <c r="V1608" s="148" t="str">
        <f>IFERROR(__xludf.DUMMYFUNCTION("""COMPUTED_VALUE"""),"[]")</f>
        <v>[]</v>
      </c>
      <c r="W1608" s="148">
        <f>IFERROR(__xludf.DUMMYFUNCTION("""COMPUTED_VALUE"""),1.174E7)</f>
        <v>11740000</v>
      </c>
      <c r="X1608" s="148">
        <f>IFERROR(__xludf.DUMMYFUNCTION("""COMPUTED_VALUE"""),0.0)</f>
        <v>0</v>
      </c>
      <c r="Y1608" s="148">
        <f>IFERROR(__xludf.DUMMYFUNCTION("""COMPUTED_VALUE"""),0.0)</f>
        <v>0</v>
      </c>
      <c r="Z1608" s="148"/>
    </row>
    <row r="1609">
      <c r="A1609" s="148">
        <f>IFERROR(__xludf.DUMMYFUNCTION("""COMPUTED_VALUE"""),1.1117252E7)</f>
        <v>11117252</v>
      </c>
      <c r="B1609" s="148" t="str">
        <f>IFERROR(__xludf.DUMMYFUNCTION("""COMPUTED_VALUE"""),"狂飙拉力赛-典藏补给站")</f>
        <v>狂飙拉力赛-典藏补给站</v>
      </c>
      <c r="C1609" s="148"/>
      <c r="D1609" s="148" t="str">
        <f>IFERROR(__xludf.DUMMYFUNCTION("""COMPUTED_VALUE"""),"battle_pass_card")</f>
        <v>battle_pass_card</v>
      </c>
      <c r="E1609" s="148">
        <f>IFERROR(__xludf.DUMMYFUNCTION("""COMPUTED_VALUE"""),0.0)</f>
        <v>0</v>
      </c>
      <c r="F1609" s="148">
        <f>IFERROR(__xludf.DUMMYFUNCTION("""COMPUTED_VALUE"""),0.0)</f>
        <v>0</v>
      </c>
      <c r="G1609" s="148">
        <f>IFERROR(__xludf.DUMMYFUNCTION("""COMPUTED_VALUE"""),1.5116159E7)</f>
        <v>15116159</v>
      </c>
      <c r="H1609" s="148">
        <f>IFERROR(__xludf.DUMMYFUNCTION("""COMPUTED_VALUE"""),1.5112564E7)</f>
        <v>15112564</v>
      </c>
      <c r="I1609" s="148" t="str">
        <f>IFERROR(__xludf.DUMMYFUNCTION("""COMPUTED_VALUE"""),"{}")</f>
        <v>{}</v>
      </c>
      <c r="J1609" s="148" t="str">
        <f>IFERROR(__xludf.DUMMYFUNCTION("""COMPUTED_VALUE"""),"{""typ"":""lc"",""txt"":""LC_EVENT_battle_pass_ultimate_supply""}")</f>
        <v>{"typ":"lc","txt":"LC_EVENT_battle_pass_ultimate_supply"}</v>
      </c>
      <c r="K1609" s="148" t="str">
        <f>IFERROR(__xludf.DUMMYFUNCTION("""COMPUTED_VALUE"""),"{""typ"":""lc"",""txt"":""LC_EVENT_battle_pass_ultimate_supply""}")</f>
        <v>{"typ":"lc","txt":"LC_EVENT_battle_pass_ultimate_supply"}</v>
      </c>
      <c r="L1609" s="148" t="str">
        <f>IFERROR(__xludf.DUMMYFUNCTION("""COMPUTED_VALUE"""),"{}")</f>
        <v>{}</v>
      </c>
      <c r="M1609" s="148">
        <f>IFERROR(__xludf.DUMMYFUNCTION("""COMPUTED_VALUE"""),10.0)</f>
        <v>10</v>
      </c>
      <c r="N1609" s="148">
        <f>IFERROR(__xludf.DUMMYFUNCTION("""COMPUTED_VALUE"""),999999.0)</f>
        <v>999999</v>
      </c>
      <c r="O1609" s="148">
        <f>IFERROR(__xludf.DUMMYFUNCTION("""COMPUTED_VALUE"""),99999.0)</f>
        <v>99999</v>
      </c>
      <c r="P1609" s="148">
        <f>IFERROR(__xludf.DUMMYFUNCTION("""COMPUTED_VALUE"""),9999.0)</f>
        <v>9999</v>
      </c>
      <c r="Q1609" s="148" t="str">
        <f>IFERROR(__xludf.DUMMYFUNCTION("""COMPUTED_VALUE"""),"[]")</f>
        <v>[]</v>
      </c>
      <c r="R1609" s="148" t="str">
        <f>IFERROR(__xludf.DUMMYFUNCTION("""COMPUTED_VALUE"""),"[]")</f>
        <v>[]</v>
      </c>
      <c r="S1609" s="148" t="str">
        <f>IFERROR(__xludf.DUMMYFUNCTION("""COMPUTED_VALUE"""),"{}")</f>
        <v>{}</v>
      </c>
      <c r="T1609" s="148">
        <f>IFERROR(__xludf.DUMMYFUNCTION("""COMPUTED_VALUE"""),-1.0)</f>
        <v>-1</v>
      </c>
      <c r="U1609" s="148">
        <f>IFERROR(__xludf.DUMMYFUNCTION("""COMPUTED_VALUE"""),1.0)</f>
        <v>1</v>
      </c>
      <c r="V1609" s="148" t="str">
        <f>IFERROR(__xludf.DUMMYFUNCTION("""COMPUTED_VALUE"""),"[]")</f>
        <v>[]</v>
      </c>
      <c r="W1609" s="148">
        <f>IFERROR(__xludf.DUMMYFUNCTION("""COMPUTED_VALUE"""),1.174E7)</f>
        <v>11740000</v>
      </c>
      <c r="X1609" s="148">
        <f>IFERROR(__xludf.DUMMYFUNCTION("""COMPUTED_VALUE"""),0.0)</f>
        <v>0</v>
      </c>
      <c r="Y1609" s="148">
        <f>IFERROR(__xludf.DUMMYFUNCTION("""COMPUTED_VALUE"""),0.0)</f>
        <v>0</v>
      </c>
      <c r="Z1609" s="148"/>
    </row>
    <row r="1610">
      <c r="A1610" s="148">
        <f>IFERROR(__xludf.DUMMYFUNCTION("""COMPUTED_VALUE"""),1.1117253E7)</f>
        <v>11117253</v>
      </c>
      <c r="B1610" s="148" t="str">
        <f>IFERROR(__xludf.DUMMYFUNCTION("""COMPUTED_VALUE"""),"kvk基因bp-积分道具")</f>
        <v>kvk基因bp-积分道具</v>
      </c>
      <c r="C1610" s="148"/>
      <c r="D1610" s="148" t="str">
        <f>IFERROR(__xludf.DUMMYFUNCTION("""COMPUTED_VALUE"""),"battle_pass_exp")</f>
        <v>battle_pass_exp</v>
      </c>
      <c r="E1610" s="148">
        <f>IFERROR(__xludf.DUMMYFUNCTION("""COMPUTED_VALUE"""),0.0)</f>
        <v>0</v>
      </c>
      <c r="F1610" s="148">
        <f>IFERROR(__xludf.DUMMYFUNCTION("""COMPUTED_VALUE"""),0.0)</f>
        <v>0</v>
      </c>
      <c r="G1610" s="148">
        <f>IFERROR(__xludf.DUMMYFUNCTION("""COMPUTED_VALUE"""),1.51103247E8)</f>
        <v>151103247</v>
      </c>
      <c r="H1610" s="148">
        <f>IFERROR(__xludf.DUMMYFUNCTION("""COMPUTED_VALUE"""),0.0)</f>
        <v>0</v>
      </c>
      <c r="I1610" s="148" t="str">
        <f>IFERROR(__xludf.DUMMYFUNCTION("""COMPUTED_VALUE"""),"{}")</f>
        <v>{}</v>
      </c>
      <c r="J1610" s="148" t="str">
        <f>IFERROR(__xludf.DUMMYFUNCTION("""COMPUTED_VALUE"""),"{""typ"":""lc"",""txt"":""LC_ITEM_gene_bp_exp_item""}")</f>
        <v>{"typ":"lc","txt":"LC_ITEM_gene_bp_exp_item"}</v>
      </c>
      <c r="K1610" s="148" t="str">
        <f>IFERROR(__xludf.DUMMYFUNCTION("""COMPUTED_VALUE"""),"{""typ"":""lc"",""txt"":""LC_ITEM_gene_bp_exp_item""}")</f>
        <v>{"typ":"lc","txt":"LC_ITEM_gene_bp_exp_item"}</v>
      </c>
      <c r="L1610" s="148" t="str">
        <f>IFERROR(__xludf.DUMMYFUNCTION("""COMPUTED_VALUE"""),"{""typ"":""lc"",""txt"":""LC_ITEM_convoy_bp_exp_item""}")</f>
        <v>{"typ":"lc","txt":"LC_ITEM_convoy_bp_exp_item"}</v>
      </c>
      <c r="M1610" s="148">
        <f>IFERROR(__xludf.DUMMYFUNCTION("""COMPUTED_VALUE"""),10.0)</f>
        <v>10</v>
      </c>
      <c r="N1610" s="148">
        <f>IFERROR(__xludf.DUMMYFUNCTION("""COMPUTED_VALUE"""),999999.0)</f>
        <v>999999</v>
      </c>
      <c r="O1610" s="148">
        <f>IFERROR(__xludf.DUMMYFUNCTION("""COMPUTED_VALUE"""),999999.0)</f>
        <v>999999</v>
      </c>
      <c r="P1610" s="148">
        <f>IFERROR(__xludf.DUMMYFUNCTION("""COMPUTED_VALUE"""),999999.0)</f>
        <v>999999</v>
      </c>
      <c r="Q1610" s="148" t="str">
        <f>IFERROR(__xludf.DUMMYFUNCTION("""COMPUTED_VALUE"""),"[]")</f>
        <v>[]</v>
      </c>
      <c r="R1610" s="148" t="str">
        <f>IFERROR(__xludf.DUMMYFUNCTION("""COMPUTED_VALUE"""),"[]")</f>
        <v>[]</v>
      </c>
      <c r="S1610" s="148" t="str">
        <f>IFERROR(__xludf.DUMMYFUNCTION("""COMPUTED_VALUE"""),"{}")</f>
        <v>{}</v>
      </c>
      <c r="T1610" s="148">
        <f>IFERROR(__xludf.DUMMYFUNCTION("""COMPUTED_VALUE"""),-1.0)</f>
        <v>-1</v>
      </c>
      <c r="U1610" s="148">
        <f>IFERROR(__xludf.DUMMYFUNCTION("""COMPUTED_VALUE"""),1.0)</f>
        <v>1</v>
      </c>
      <c r="V1610" s="148" t="str">
        <f>IFERROR(__xludf.DUMMYFUNCTION("""COMPUTED_VALUE"""),"[]")</f>
        <v>[]</v>
      </c>
      <c r="W1610" s="148">
        <f>IFERROR(__xludf.DUMMYFUNCTION("""COMPUTED_VALUE"""),1.174E7)</f>
        <v>11740000</v>
      </c>
      <c r="X1610" s="148">
        <f>IFERROR(__xludf.DUMMYFUNCTION("""COMPUTED_VALUE"""),0.0)</f>
        <v>0</v>
      </c>
      <c r="Y1610" s="148">
        <f>IFERROR(__xludf.DUMMYFUNCTION("""COMPUTED_VALUE"""),0.0)</f>
        <v>0</v>
      </c>
      <c r="Z1610" s="148"/>
    </row>
    <row r="1611">
      <c r="A1611" s="148">
        <f>IFERROR(__xludf.DUMMYFUNCTION("""COMPUTED_VALUE"""),1.1117254E7)</f>
        <v>11117254</v>
      </c>
      <c r="B1611" s="148" t="str">
        <f>IFERROR(__xludf.DUMMYFUNCTION("""COMPUTED_VALUE"""),"BattlePass-通行证-kvk")</f>
        <v>BattlePass-通行证-kvk</v>
      </c>
      <c r="C1611" s="148"/>
      <c r="D1611" s="148" t="str">
        <f>IFERROR(__xludf.DUMMYFUNCTION("""COMPUTED_VALUE"""),"battle_pass_card")</f>
        <v>battle_pass_card</v>
      </c>
      <c r="E1611" s="148">
        <f>IFERROR(__xludf.DUMMYFUNCTION("""COMPUTED_VALUE"""),0.0)</f>
        <v>0</v>
      </c>
      <c r="F1611" s="148">
        <f>IFERROR(__xludf.DUMMYFUNCTION("""COMPUTED_VALUE"""),0.0)</f>
        <v>0</v>
      </c>
      <c r="G1611" s="148">
        <f>IFERROR(__xludf.DUMMYFUNCTION("""COMPUTED_VALUE"""),1.5116158E7)</f>
        <v>15116158</v>
      </c>
      <c r="H1611" s="148">
        <f>IFERROR(__xludf.DUMMYFUNCTION("""COMPUTED_VALUE"""),1.5112563E7)</f>
        <v>15112563</v>
      </c>
      <c r="I1611" s="148" t="str">
        <f>IFERROR(__xludf.DUMMYFUNCTION("""COMPUTED_VALUE"""),"{}")</f>
        <v>{}</v>
      </c>
      <c r="J1611" s="148" t="str">
        <f>IFERROR(__xludf.DUMMYFUNCTION("""COMPUTED_VALUE"""),"{""typ"":""lc"",""txt"":""LC_EVENT_battle_pass_top_supply""}")</f>
        <v>{"typ":"lc","txt":"LC_EVENT_battle_pass_top_supply"}</v>
      </c>
      <c r="K1611" s="148" t="str">
        <f>IFERROR(__xludf.DUMMYFUNCTION("""COMPUTED_VALUE"""),"{""typ"":""lc"",""txt"":""LC_EVENT_battle_pass_top_supply""}")</f>
        <v>{"typ":"lc","txt":"LC_EVENT_battle_pass_top_supply"}</v>
      </c>
      <c r="L1611" s="148" t="str">
        <f>IFERROR(__xludf.DUMMYFUNCTION("""COMPUTED_VALUE"""),"{}")</f>
        <v>{}</v>
      </c>
      <c r="M1611" s="148">
        <f>IFERROR(__xludf.DUMMYFUNCTION("""COMPUTED_VALUE"""),10.0)</f>
        <v>10</v>
      </c>
      <c r="N1611" s="148">
        <f>IFERROR(__xludf.DUMMYFUNCTION("""COMPUTED_VALUE"""),999999.0)</f>
        <v>999999</v>
      </c>
      <c r="O1611" s="148">
        <f>IFERROR(__xludf.DUMMYFUNCTION("""COMPUTED_VALUE"""),99999.0)</f>
        <v>99999</v>
      </c>
      <c r="P1611" s="148">
        <f>IFERROR(__xludf.DUMMYFUNCTION("""COMPUTED_VALUE"""),9999.0)</f>
        <v>9999</v>
      </c>
      <c r="Q1611" s="148" t="str">
        <f>IFERROR(__xludf.DUMMYFUNCTION("""COMPUTED_VALUE"""),"[]")</f>
        <v>[]</v>
      </c>
      <c r="R1611" s="148" t="str">
        <f>IFERROR(__xludf.DUMMYFUNCTION("""COMPUTED_VALUE"""),"[]")</f>
        <v>[]</v>
      </c>
      <c r="S1611" s="148" t="str">
        <f>IFERROR(__xludf.DUMMYFUNCTION("""COMPUTED_VALUE"""),"{}")</f>
        <v>{}</v>
      </c>
      <c r="T1611" s="148">
        <f>IFERROR(__xludf.DUMMYFUNCTION("""COMPUTED_VALUE"""),-1.0)</f>
        <v>-1</v>
      </c>
      <c r="U1611" s="148">
        <f>IFERROR(__xludf.DUMMYFUNCTION("""COMPUTED_VALUE"""),1.0)</f>
        <v>1</v>
      </c>
      <c r="V1611" s="148" t="str">
        <f>IFERROR(__xludf.DUMMYFUNCTION("""COMPUTED_VALUE"""),"[]")</f>
        <v>[]</v>
      </c>
      <c r="W1611" s="148">
        <f>IFERROR(__xludf.DUMMYFUNCTION("""COMPUTED_VALUE"""),1.174E7)</f>
        <v>11740000</v>
      </c>
      <c r="X1611" s="148">
        <f>IFERROR(__xludf.DUMMYFUNCTION("""COMPUTED_VALUE"""),0.0)</f>
        <v>0</v>
      </c>
      <c r="Y1611" s="148">
        <f>IFERROR(__xludf.DUMMYFUNCTION("""COMPUTED_VALUE"""),0.0)</f>
        <v>0</v>
      </c>
      <c r="Z1611" s="148"/>
    </row>
    <row r="1612">
      <c r="A1612" s="148">
        <f>IFERROR(__xludf.DUMMYFUNCTION("""COMPUTED_VALUE"""),1.1117255E7)</f>
        <v>11117255</v>
      </c>
      <c r="B1612" s="148" t="str">
        <f>IFERROR(__xludf.DUMMYFUNCTION("""COMPUTED_VALUE"""),"乔伊形象")</f>
        <v>乔伊形象</v>
      </c>
      <c r="C1612" s="148"/>
      <c r="D1612" s="148" t="str">
        <f>IFERROR(__xludf.DUMMYFUNCTION("""COMPUTED_VALUE"""),"item_asset")</f>
        <v>item_asset</v>
      </c>
      <c r="E1612" s="148">
        <f>IFERROR(__xludf.DUMMYFUNCTION("""COMPUTED_VALUE"""),19.0)</f>
        <v>19</v>
      </c>
      <c r="F1612" s="148">
        <f>IFERROR(__xludf.DUMMYFUNCTION("""COMPUTED_VALUE"""),401120.0)</f>
        <v>401120</v>
      </c>
      <c r="G1612" s="148">
        <f>IFERROR(__xludf.DUMMYFUNCTION("""COMPUTED_VALUE"""),1.511539E7)</f>
        <v>15115390</v>
      </c>
      <c r="H1612" s="148">
        <f>IFERROR(__xludf.DUMMYFUNCTION("""COMPUTED_VALUE"""),1.5112564E7)</f>
        <v>15112564</v>
      </c>
      <c r="I1612" s="148" t="str">
        <f>IFERROR(__xludf.DUMMYFUNCTION("""COMPUTED_VALUE"""),"{}")</f>
        <v>{}</v>
      </c>
      <c r="J1612" s="148" t="str">
        <f>IFERROR(__xludf.DUMMYFUNCTION("""COMPUTED_VALUE"""),"{""typ"":""lc"",""txt"":""LC_HERO_hero_name_33""}")</f>
        <v>{"typ":"lc","txt":"LC_HERO_hero_name_33"}</v>
      </c>
      <c r="K1612" s="148" t="str">
        <f>IFERROR(__xludf.DUMMYFUNCTION("""COMPUTED_VALUE"""),"{""typ"":""lc"",""txt"":""LC_HERO_hero_desc_33""}")</f>
        <v>{"typ":"lc","txt":"LC_HERO_hero_desc_33"}</v>
      </c>
      <c r="L1612" s="148" t="str">
        <f>IFERROR(__xludf.DUMMYFUNCTION("""COMPUTED_VALUE"""),"{}")</f>
        <v>{}</v>
      </c>
      <c r="M1612" s="148">
        <f>IFERROR(__xludf.DUMMYFUNCTION("""COMPUTED_VALUE"""),15000.0)</f>
        <v>15000</v>
      </c>
      <c r="N1612" s="148">
        <f>IFERROR(__xludf.DUMMYFUNCTION("""COMPUTED_VALUE"""),999999.0)</f>
        <v>999999</v>
      </c>
      <c r="O1612" s="148">
        <f>IFERROR(__xludf.DUMMYFUNCTION("""COMPUTED_VALUE"""),99999.0)</f>
        <v>99999</v>
      </c>
      <c r="P1612" s="148">
        <f>IFERROR(__xludf.DUMMYFUNCTION("""COMPUTED_VALUE"""),9999.0)</f>
        <v>9999</v>
      </c>
      <c r="Q1612" s="148" t="str">
        <f>IFERROR(__xludf.DUMMYFUNCTION("""COMPUTED_VALUE"""),"[""bag_other""]")</f>
        <v>["bag_other"]</v>
      </c>
      <c r="R1612" s="148" t="str">
        <f>IFERROR(__xludf.DUMMYFUNCTION("""COMPUTED_VALUE"""),"[]")</f>
        <v>[]</v>
      </c>
      <c r="S1612" s="148" t="str">
        <f>IFERROR(__xludf.DUMMYFUNCTION("""COMPUTED_VALUE"""),"{""drop"":{""typ"":""single_all"",""num"":1,""args"":[{""typ"":""item"",""id"":11116223,""num"":10,""wgt"":30}]}}")</f>
        <v>{"drop":{"typ":"single_all","num":1,"args":[{"typ":"item","id":11116223,"num":10,"wgt":30}]}}</v>
      </c>
      <c r="T1612" s="148">
        <f>IFERROR(__xludf.DUMMYFUNCTION("""COMPUTED_VALUE"""),-1.0)</f>
        <v>-1</v>
      </c>
      <c r="U1612" s="148">
        <f>IFERROR(__xludf.DUMMYFUNCTION("""COMPUTED_VALUE"""),1.0)</f>
        <v>1</v>
      </c>
      <c r="V1612" s="148" t="str">
        <f>IFERROR(__xludf.DUMMYFUNCTION("""COMPUTED_VALUE"""),"[]")</f>
        <v>[]</v>
      </c>
      <c r="W1612" s="148">
        <f>IFERROR(__xludf.DUMMYFUNCTION("""COMPUTED_VALUE"""),1.174E7)</f>
        <v>11740000</v>
      </c>
      <c r="X1612" s="148">
        <f>IFERROR(__xludf.DUMMYFUNCTION("""COMPUTED_VALUE"""),0.0)</f>
        <v>0</v>
      </c>
      <c r="Y1612" s="148">
        <f>IFERROR(__xludf.DUMMYFUNCTION("""COMPUTED_VALUE"""),0.0)</f>
        <v>0</v>
      </c>
      <c r="Z1612" s="148"/>
    </row>
    <row r="1613">
      <c r="A1613" s="148">
        <f>IFERROR(__xludf.DUMMYFUNCTION("""COMPUTED_VALUE"""),1.1117256E7)</f>
        <v>11117256</v>
      </c>
      <c r="B1613" s="148" t="str">
        <f>IFERROR(__xludf.DUMMYFUNCTION("""COMPUTED_VALUE"""),"肯形象")</f>
        <v>肯形象</v>
      </c>
      <c r="C1613" s="148"/>
      <c r="D1613" s="148" t="str">
        <f>IFERROR(__xludf.DUMMYFUNCTION("""COMPUTED_VALUE"""),"item_asset")</f>
        <v>item_asset</v>
      </c>
      <c r="E1613" s="148">
        <f>IFERROR(__xludf.DUMMYFUNCTION("""COMPUTED_VALUE"""),19.0)</f>
        <v>19</v>
      </c>
      <c r="F1613" s="148">
        <f>IFERROR(__xludf.DUMMYFUNCTION("""COMPUTED_VALUE"""),401120.0)</f>
        <v>401120</v>
      </c>
      <c r="G1613" s="148">
        <f>IFERROR(__xludf.DUMMYFUNCTION("""COMPUTED_VALUE"""),1.5115391E7)</f>
        <v>15115391</v>
      </c>
      <c r="H1613" s="148">
        <f>IFERROR(__xludf.DUMMYFUNCTION("""COMPUTED_VALUE"""),1.5112564E7)</f>
        <v>15112564</v>
      </c>
      <c r="I1613" s="148" t="str">
        <f>IFERROR(__xludf.DUMMYFUNCTION("""COMPUTED_VALUE"""),"{}")</f>
        <v>{}</v>
      </c>
      <c r="J1613" s="148" t="str">
        <f>IFERROR(__xludf.DUMMYFUNCTION("""COMPUTED_VALUE"""),"{""typ"":""lc"",""txt"":""LC_HERO_hero_name_58""}")</f>
        <v>{"typ":"lc","txt":"LC_HERO_hero_name_58"}</v>
      </c>
      <c r="K1613" s="148" t="str">
        <f>IFERROR(__xludf.DUMMYFUNCTION("""COMPUTED_VALUE"""),"{""typ"":""lc"",""txt"":""LC_HERO_hero_desc_58""}")</f>
        <v>{"typ":"lc","txt":"LC_HERO_hero_desc_58"}</v>
      </c>
      <c r="L1613" s="148" t="str">
        <f>IFERROR(__xludf.DUMMYFUNCTION("""COMPUTED_VALUE"""),"{}")</f>
        <v>{}</v>
      </c>
      <c r="M1613" s="148">
        <f>IFERROR(__xludf.DUMMYFUNCTION("""COMPUTED_VALUE"""),15000.0)</f>
        <v>15000</v>
      </c>
      <c r="N1613" s="148">
        <f>IFERROR(__xludf.DUMMYFUNCTION("""COMPUTED_VALUE"""),999999.0)</f>
        <v>999999</v>
      </c>
      <c r="O1613" s="148">
        <f>IFERROR(__xludf.DUMMYFUNCTION("""COMPUTED_VALUE"""),99999.0)</f>
        <v>99999</v>
      </c>
      <c r="P1613" s="148">
        <f>IFERROR(__xludf.DUMMYFUNCTION("""COMPUTED_VALUE"""),9999.0)</f>
        <v>9999</v>
      </c>
      <c r="Q1613" s="148" t="str">
        <f>IFERROR(__xludf.DUMMYFUNCTION("""COMPUTED_VALUE"""),"[""bag_other""]")</f>
        <v>["bag_other"]</v>
      </c>
      <c r="R1613" s="148" t="str">
        <f>IFERROR(__xludf.DUMMYFUNCTION("""COMPUTED_VALUE"""),"[]")</f>
        <v>[]</v>
      </c>
      <c r="S1613" s="148" t="str">
        <f>IFERROR(__xludf.DUMMYFUNCTION("""COMPUTED_VALUE"""),"{""drop"":{""typ"":""single_all"",""num"":1,""args"":[{""typ"":""item"",""id"":11116238,""num"":10,""wgt"":30}]}}")</f>
        <v>{"drop":{"typ":"single_all","num":1,"args":[{"typ":"item","id":11116238,"num":10,"wgt":30}]}}</v>
      </c>
      <c r="T1613" s="148">
        <f>IFERROR(__xludf.DUMMYFUNCTION("""COMPUTED_VALUE"""),-1.0)</f>
        <v>-1</v>
      </c>
      <c r="U1613" s="148">
        <f>IFERROR(__xludf.DUMMYFUNCTION("""COMPUTED_VALUE"""),1.0)</f>
        <v>1</v>
      </c>
      <c r="V1613" s="148" t="str">
        <f>IFERROR(__xludf.DUMMYFUNCTION("""COMPUTED_VALUE"""),"[]")</f>
        <v>[]</v>
      </c>
      <c r="W1613" s="148">
        <f>IFERROR(__xludf.DUMMYFUNCTION("""COMPUTED_VALUE"""),1.174E7)</f>
        <v>11740000</v>
      </c>
      <c r="X1613" s="148">
        <f>IFERROR(__xludf.DUMMYFUNCTION("""COMPUTED_VALUE"""),0.0)</f>
        <v>0</v>
      </c>
      <c r="Y1613" s="148">
        <f>IFERROR(__xludf.DUMMYFUNCTION("""COMPUTED_VALUE"""),0.0)</f>
        <v>0</v>
      </c>
      <c r="Z1613" s="148"/>
    </row>
    <row r="1614">
      <c r="A1614" s="148">
        <f>IFERROR(__xludf.DUMMYFUNCTION("""COMPUTED_VALUE"""),1.1117257E7)</f>
        <v>11117257</v>
      </c>
      <c r="B1614" s="148" t="str">
        <f>IFERROR(__xludf.DUMMYFUNCTION("""COMPUTED_VALUE"""),"头像框：基因进化")</f>
        <v>头像框：基因进化</v>
      </c>
      <c r="C1614" s="148"/>
      <c r="D1614" s="148" t="str">
        <f>IFERROR(__xludf.DUMMYFUNCTION("""COMPUTED_VALUE"""),"avatar_frame")</f>
        <v>avatar_frame</v>
      </c>
      <c r="E1614" s="148">
        <f>IFERROR(__xludf.DUMMYFUNCTION("""COMPUTED_VALUE"""),20.0)</f>
        <v>20</v>
      </c>
      <c r="F1614" s="148">
        <f>IFERROR(__xludf.DUMMYFUNCTION("""COMPUTED_VALUE"""),0.0)</f>
        <v>0</v>
      </c>
      <c r="G1614" s="148">
        <f>IFERROR(__xludf.DUMMYFUNCTION("""COMPUTED_VALUE"""),1.5115392E7)</f>
        <v>15115392</v>
      </c>
      <c r="H1614" s="148">
        <f>IFERROR(__xludf.DUMMYFUNCTION("""COMPUTED_VALUE"""),1.5112563E7)</f>
        <v>15112563</v>
      </c>
      <c r="I1614" s="148" t="str">
        <f>IFERROR(__xludf.DUMMYFUNCTION("""COMPUTED_VALUE"""),"{}")</f>
        <v>{}</v>
      </c>
      <c r="J1614" s="148" t="str">
        <f>IFERROR(__xludf.DUMMYFUNCTION("""COMPUTED_VALUE"""),"{""typ"":""lc"",""txt"":""LC_ASSET_avatar_frame_name_19""}")</f>
        <v>{"typ":"lc","txt":"LC_ASSET_avatar_frame_name_19"}</v>
      </c>
      <c r="K1614" s="148" t="str">
        <f>IFERROR(__xludf.DUMMYFUNCTION("""COMPUTED_VALUE"""),"{""typ"":""lc"",""txt"":""LC_MENU_forever""}")</f>
        <v>{"typ":"lc","txt":"LC_MENU_forever"}</v>
      </c>
      <c r="L1614" s="148" t="str">
        <f>IFERROR(__xludf.DUMMYFUNCTION("""COMPUTED_VALUE"""),"{}")</f>
        <v>{}</v>
      </c>
      <c r="M1614" s="148">
        <f>IFERROR(__xludf.DUMMYFUNCTION("""COMPUTED_VALUE"""),1000.0)</f>
        <v>1000</v>
      </c>
      <c r="N1614" s="148">
        <f>IFERROR(__xludf.DUMMYFUNCTION("""COMPUTED_VALUE"""),99.0)</f>
        <v>99</v>
      </c>
      <c r="O1614" s="148">
        <f>IFERROR(__xludf.DUMMYFUNCTION("""COMPUTED_VALUE"""),1.0)</f>
        <v>1</v>
      </c>
      <c r="P1614" s="148">
        <f>IFERROR(__xludf.DUMMYFUNCTION("""COMPUTED_VALUE"""),1.0)</f>
        <v>1</v>
      </c>
      <c r="Q1614" s="148" t="str">
        <f>IFERROR(__xludf.DUMMYFUNCTION("""COMPUTED_VALUE"""),"[]")</f>
        <v>[]</v>
      </c>
      <c r="R1614" s="148" t="str">
        <f>IFERROR(__xludf.DUMMYFUNCTION("""COMPUTED_VALUE"""),"[""11421020""]")</f>
        <v>["11421020"]</v>
      </c>
      <c r="S1614" s="148" t="str">
        <f>IFERROR(__xludf.DUMMYFUNCTION("""COMPUTED_VALUE"""),"{""effect"":[{""typ"":""avatar_frame"",""id"":11421020,""val"":-1},{""typ"":""item"",""id"":11111031,""val"":1000}]}")</f>
        <v>{"effect":[{"typ":"avatar_frame","id":11421020,"val":-1},{"typ":"item","id":11111031,"val":1000}]}</v>
      </c>
      <c r="T1614" s="148">
        <f>IFERROR(__xludf.DUMMYFUNCTION("""COMPUTED_VALUE"""),-1.0)</f>
        <v>-1</v>
      </c>
      <c r="U1614" s="148">
        <f>IFERROR(__xludf.DUMMYFUNCTION("""COMPUTED_VALUE"""),1.0)</f>
        <v>1</v>
      </c>
      <c r="V1614" s="148" t="str">
        <f>IFERROR(__xludf.DUMMYFUNCTION("""COMPUTED_VALUE"""),"[]")</f>
        <v>[]</v>
      </c>
      <c r="W1614" s="148">
        <f>IFERROR(__xludf.DUMMYFUNCTION("""COMPUTED_VALUE"""),1.174E7)</f>
        <v>11740000</v>
      </c>
      <c r="X1614" s="148">
        <f>IFERROR(__xludf.DUMMYFUNCTION("""COMPUTED_VALUE"""),0.0)</f>
        <v>0</v>
      </c>
      <c r="Y1614" s="148">
        <f>IFERROR(__xludf.DUMMYFUNCTION("""COMPUTED_VALUE"""),0.0)</f>
        <v>0</v>
      </c>
      <c r="Z1614" s="148"/>
    </row>
    <row r="1615">
      <c r="A1615" s="148">
        <f>IFERROR(__xludf.DUMMYFUNCTION("""COMPUTED_VALUE"""),1.1117258E7)</f>
        <v>11117258</v>
      </c>
      <c r="B1615" s="148" t="str">
        <f>IFERROR(__xludf.DUMMYFUNCTION("""COMPUTED_VALUE"""),"铭牌-2022感恩节铭牌")</f>
        <v>铭牌-2022感恩节铭牌</v>
      </c>
      <c r="C1615" s="148"/>
      <c r="D1615" s="148" t="str">
        <f>IFERROR(__xludf.DUMMYFUNCTION("""COMPUTED_VALUE"""),"chat_skin")</f>
        <v>chat_skin</v>
      </c>
      <c r="E1615" s="148">
        <f>IFERROR(__xludf.DUMMYFUNCTION("""COMPUTED_VALUE"""),30.0)</f>
        <v>30</v>
      </c>
      <c r="F1615" s="148">
        <f>IFERROR(__xludf.DUMMYFUNCTION("""COMPUTED_VALUE"""),401107.0)</f>
        <v>401107</v>
      </c>
      <c r="G1615" s="148">
        <f>IFERROR(__xludf.DUMMYFUNCTION("""COMPUTED_VALUE"""),1.5115401E7)</f>
        <v>15115401</v>
      </c>
      <c r="H1615" s="148">
        <f>IFERROR(__xludf.DUMMYFUNCTION("""COMPUTED_VALUE"""),1.5112564E7)</f>
        <v>15112564</v>
      </c>
      <c r="I1615" s="148" t="str">
        <f>IFERROR(__xludf.DUMMYFUNCTION("""COMPUTED_VALUE"""),"{}")</f>
        <v>{}</v>
      </c>
      <c r="J1615" s="148" t="str">
        <f>IFERROR(__xludf.DUMMYFUNCTION("""COMPUTED_VALUE"""),"{""typ"":""lc"",""txt"":""LC_ITEM_thanksgiving2022_namepla_name""}")</f>
        <v>{"typ":"lc","txt":"LC_ITEM_thanksgiving2022_namepla_name"}</v>
      </c>
      <c r="K1615" s="148" t="str">
        <f>IFERROR(__xludf.DUMMYFUNCTION("""COMPUTED_VALUE"""),"{""typ"":""lc"",""txt"":""LC_ITEM_thanksgiving2022_namepla_desc_item""}")</f>
        <v>{"typ":"lc","txt":"LC_ITEM_thanksgiving2022_namepla_desc_item"}</v>
      </c>
      <c r="L1615" s="148" t="str">
        <f>IFERROR(__xludf.DUMMYFUNCTION("""COMPUTED_VALUE"""),"{""typ"":""lc"",""txt"":""LC_ITEM_season_extra_reward_usedtip""}")</f>
        <v>{"typ":"lc","txt":"LC_ITEM_season_extra_reward_usedtip"}</v>
      </c>
      <c r="M1615" s="148">
        <f>IFERROR(__xludf.DUMMYFUNCTION("""COMPUTED_VALUE"""),2500.0)</f>
        <v>2500</v>
      </c>
      <c r="N1615" s="148">
        <f>IFERROR(__xludf.DUMMYFUNCTION("""COMPUTED_VALUE"""),9999999.0)</f>
        <v>9999999</v>
      </c>
      <c r="O1615" s="148">
        <f>IFERROR(__xludf.DUMMYFUNCTION("""COMPUTED_VALUE"""),1.0)</f>
        <v>1</v>
      </c>
      <c r="P1615" s="148">
        <f>IFERROR(__xludf.DUMMYFUNCTION("""COMPUTED_VALUE"""),1.0)</f>
        <v>1</v>
      </c>
      <c r="Q1615" s="148" t="str">
        <f>IFERROR(__xludf.DUMMYFUNCTION("""COMPUTED_VALUE"""),"[""bag_other""]")</f>
        <v>["bag_other"]</v>
      </c>
      <c r="R1615" s="148" t="str">
        <f>IFERROR(__xludf.DUMMYFUNCTION("""COMPUTED_VALUE"""),"[""11731007"",""bag""]")</f>
        <v>["11731007","bag"]</v>
      </c>
      <c r="S1615" s="148" t="str">
        <f>IFERROR(__xludf.DUMMYFUNCTION("""COMPUTED_VALUE"""),"{""effect"":[{""typ"":""nameplate"",""id"":11731007,""val"":-1}]}")</f>
        <v>{"effect":[{"typ":"nameplate","id":11731007,"val":-1}]}</v>
      </c>
      <c r="T1615" s="148">
        <f>IFERROR(__xludf.DUMMYFUNCTION("""COMPUTED_VALUE"""),-1.0)</f>
        <v>-1</v>
      </c>
      <c r="U1615" s="148">
        <f>IFERROR(__xludf.DUMMYFUNCTION("""COMPUTED_VALUE"""),0.0)</f>
        <v>0</v>
      </c>
      <c r="V1615" s="148" t="str">
        <f>IFERROR(__xludf.DUMMYFUNCTION("""COMPUTED_VALUE"""),"[]")</f>
        <v>[]</v>
      </c>
      <c r="W1615" s="148">
        <f>IFERROR(__xludf.DUMMYFUNCTION("""COMPUTED_VALUE"""),1.174E7)</f>
        <v>11740000</v>
      </c>
      <c r="X1615" s="148">
        <f>IFERROR(__xludf.DUMMYFUNCTION("""COMPUTED_VALUE"""),0.0)</f>
        <v>0</v>
      </c>
      <c r="Y1615" s="148">
        <f>IFERROR(__xludf.DUMMYFUNCTION("""COMPUTED_VALUE"""),0.0)</f>
        <v>0</v>
      </c>
      <c r="Z1615" s="148"/>
    </row>
    <row r="1616">
      <c r="A1616" s="148">
        <f>IFERROR(__xludf.DUMMYFUNCTION("""COMPUTED_VALUE"""),1.1117259E7)</f>
        <v>11117259</v>
      </c>
      <c r="B1616" s="148" t="str">
        <f>IFERROR(__xludf.DUMMYFUNCTION("""COMPUTED_VALUE"""),"铭牌-马戏节铭牌-7天")</f>
        <v>铭牌-马戏节铭牌-7天</v>
      </c>
      <c r="C1616" s="148"/>
      <c r="D1616" s="148" t="str">
        <f>IFERROR(__xludf.DUMMYFUNCTION("""COMPUTED_VALUE"""),"chat_skin")</f>
        <v>chat_skin</v>
      </c>
      <c r="E1616" s="148">
        <f>IFERROR(__xludf.DUMMYFUNCTION("""COMPUTED_VALUE"""),30.0)</f>
        <v>30</v>
      </c>
      <c r="F1616" s="148">
        <f>IFERROR(__xludf.DUMMYFUNCTION("""COMPUTED_VALUE"""),404298.0)</f>
        <v>404298</v>
      </c>
      <c r="G1616" s="148">
        <f>IFERROR(__xludf.DUMMYFUNCTION("""COMPUTED_VALUE"""),1.5115401E7)</f>
        <v>15115401</v>
      </c>
      <c r="H1616" s="148">
        <f>IFERROR(__xludf.DUMMYFUNCTION("""COMPUTED_VALUE"""),1.5112563E7)</f>
        <v>15112563</v>
      </c>
      <c r="I1616" s="148" t="str">
        <f>IFERROR(__xludf.DUMMYFUNCTION("""COMPUTED_VALUE"""),"{""typ"":""lc"",""txt"":""LC_ITEM_time_day_upper_show"",""args"":[{""typ"":""int"",""val"":7}]}")</f>
        <v>{"typ":"lc","txt":"LC_ITEM_time_day_upper_show","args":[{"typ":"int","val":7}]}</v>
      </c>
      <c r="J1616" s="148" t="str">
        <f>IFERROR(__xludf.DUMMYFUNCTION("""COMPUTED_VALUE"""),"{""typ"":""lc"",""txt"":""LC_ITEM_thanksgiving2022_namepla_name_limit""}")</f>
        <v>{"typ":"lc","txt":"LC_ITEM_thanksgiving2022_namepla_name_limit"}</v>
      </c>
      <c r="K1616" s="148" t="str">
        <f>IFERROR(__xludf.DUMMYFUNCTION("""COMPUTED_VALUE"""),"{""typ"":""lc"",""txt"":""LC_ITEM_thanksgiving2022_namepla_desc_item""}")</f>
        <v>{"typ":"lc","txt":"LC_ITEM_thanksgiving2022_namepla_desc_item"}</v>
      </c>
      <c r="L1616" s="148" t="str">
        <f>IFERROR(__xludf.DUMMYFUNCTION("""COMPUTED_VALUE"""),"{""typ"":""lc"",""txt"":""LC_ITEM_season_extra_reward_usedtip""}")</f>
        <v>{"typ":"lc","txt":"LC_ITEM_season_extra_reward_usedtip"}</v>
      </c>
      <c r="M1616" s="148">
        <f>IFERROR(__xludf.DUMMYFUNCTION("""COMPUTED_VALUE"""),250.0)</f>
        <v>250</v>
      </c>
      <c r="N1616" s="148">
        <f>IFERROR(__xludf.DUMMYFUNCTION("""COMPUTED_VALUE"""),9999999.0)</f>
        <v>9999999</v>
      </c>
      <c r="O1616" s="148">
        <f>IFERROR(__xludf.DUMMYFUNCTION("""COMPUTED_VALUE"""),1.0)</f>
        <v>1</v>
      </c>
      <c r="P1616" s="148">
        <f>IFERROR(__xludf.DUMMYFUNCTION("""COMPUTED_VALUE"""),1.0)</f>
        <v>1</v>
      </c>
      <c r="Q1616" s="148" t="str">
        <f>IFERROR(__xludf.DUMMYFUNCTION("""COMPUTED_VALUE"""),"[""bag_other""]")</f>
        <v>["bag_other"]</v>
      </c>
      <c r="R1616" s="148" t="str">
        <f>IFERROR(__xludf.DUMMYFUNCTION("""COMPUTED_VALUE"""),"[""11731007"",""bag""]")</f>
        <v>["11731007","bag"]</v>
      </c>
      <c r="S1616" s="148" t="str">
        <f>IFERROR(__xludf.DUMMYFUNCTION("""COMPUTED_VALUE"""),"{""effect"":[{""typ"":""nameplate"",""id"":11731007,""val"":604800000}]}")</f>
        <v>{"effect":[{"typ":"nameplate","id":11731007,"val":604800000}]}</v>
      </c>
      <c r="T1616" s="148">
        <f>IFERROR(__xludf.DUMMYFUNCTION("""COMPUTED_VALUE"""),-1.0)</f>
        <v>-1</v>
      </c>
      <c r="U1616" s="148">
        <f>IFERROR(__xludf.DUMMYFUNCTION("""COMPUTED_VALUE"""),0.0)</f>
        <v>0</v>
      </c>
      <c r="V1616" s="148" t="str">
        <f>IFERROR(__xludf.DUMMYFUNCTION("""COMPUTED_VALUE"""),"[]")</f>
        <v>[]</v>
      </c>
      <c r="W1616" s="148">
        <f>IFERROR(__xludf.DUMMYFUNCTION("""COMPUTED_VALUE"""),1.174E7)</f>
        <v>11740000</v>
      </c>
      <c r="X1616" s="148">
        <f>IFERROR(__xludf.DUMMYFUNCTION("""COMPUTED_VALUE"""),0.0)</f>
        <v>0</v>
      </c>
      <c r="Y1616" s="148">
        <f>IFERROR(__xludf.DUMMYFUNCTION("""COMPUTED_VALUE"""),0.0)</f>
        <v>0</v>
      </c>
      <c r="Z1616" s="148"/>
    </row>
    <row r="1617">
      <c r="A1617" s="148">
        <f>IFERROR(__xludf.DUMMYFUNCTION("""COMPUTED_VALUE"""),1.111726E7)</f>
        <v>11117260</v>
      </c>
      <c r="B1617" s="148" t="str">
        <f>IFERROR(__xludf.DUMMYFUNCTION("""COMPUTED_VALUE"""),"感恩节2022活动专用-增加次数道具")</f>
        <v>感恩节2022活动专用-增加次数道具</v>
      </c>
      <c r="C1617" s="148"/>
      <c r="D1617" s="148" t="str">
        <f>IFERROR(__xludf.DUMMYFUNCTION("""COMPUTED_VALUE"""),"event_progress")</f>
        <v>event_progress</v>
      </c>
      <c r="E1617" s="148">
        <f>IFERROR(__xludf.DUMMYFUNCTION("""COMPUTED_VALUE"""),0.0)</f>
        <v>0</v>
      </c>
      <c r="F1617" s="148">
        <f>IFERROR(__xludf.DUMMYFUNCTION("""COMPUTED_VALUE"""),0.0)</f>
        <v>0</v>
      </c>
      <c r="G1617" s="148">
        <f>IFERROR(__xludf.DUMMYFUNCTION("""COMPUTED_VALUE"""),1.5113732E7)</f>
        <v>15113732</v>
      </c>
      <c r="H1617" s="148">
        <f>IFERROR(__xludf.DUMMYFUNCTION("""COMPUTED_VALUE"""),1.5112563E7)</f>
        <v>15112563</v>
      </c>
      <c r="I1617" s="148" t="str">
        <f>IFERROR(__xludf.DUMMYFUNCTION("""COMPUTED_VALUE"""),"{}")</f>
        <v>{}</v>
      </c>
      <c r="J1617" s="148" t="str">
        <f>IFERROR(__xludf.DUMMYFUNCTION("""COMPUTED_VALUE"""),"{}")</f>
        <v>{}</v>
      </c>
      <c r="K1617" s="148" t="str">
        <f>IFERROR(__xludf.DUMMYFUNCTION("""COMPUTED_VALUE"""),"{}")</f>
        <v>{}</v>
      </c>
      <c r="L1617" s="148" t="str">
        <f>IFERROR(__xludf.DUMMYFUNCTION("""COMPUTED_VALUE"""),"{}")</f>
        <v>{}</v>
      </c>
      <c r="M1617" s="148">
        <f>IFERROR(__xludf.DUMMYFUNCTION("""COMPUTED_VALUE"""),1.0)</f>
        <v>1</v>
      </c>
      <c r="N1617" s="148">
        <f>IFERROR(__xludf.DUMMYFUNCTION("""COMPUTED_VALUE"""),999999.0)</f>
        <v>999999</v>
      </c>
      <c r="O1617" s="148">
        <f>IFERROR(__xludf.DUMMYFUNCTION("""COMPUTED_VALUE"""),99999.0)</f>
        <v>99999</v>
      </c>
      <c r="P1617" s="148">
        <f>IFERROR(__xludf.DUMMYFUNCTION("""COMPUTED_VALUE"""),9999.0)</f>
        <v>9999</v>
      </c>
      <c r="Q1617" s="148" t="str">
        <f>IFERROR(__xludf.DUMMYFUNCTION("""COMPUTED_VALUE"""),"[]")</f>
        <v>[]</v>
      </c>
      <c r="R1617" s="148" t="str">
        <f>IFERROR(__xludf.DUMMYFUNCTION("""COMPUTED_VALUE"""),"[]")</f>
        <v>[]</v>
      </c>
      <c r="S1617" s="148" t="str">
        <f>IFERROR(__xludf.DUMMYFUNCTION("""COMPUTED_VALUE"""),"{""effect"":[{""typ"":""event"",""id"":21121380},{""typ"":""miss_lost_reward""}]}")</f>
        <v>{"effect":[{"typ":"event","id":21121380},{"typ":"miss_lost_reward"}]}</v>
      </c>
      <c r="T1617" s="148">
        <f>IFERROR(__xludf.DUMMYFUNCTION("""COMPUTED_VALUE"""),-1.0)</f>
        <v>-1</v>
      </c>
      <c r="U1617" s="148">
        <f>IFERROR(__xludf.DUMMYFUNCTION("""COMPUTED_VALUE"""),1.0)</f>
        <v>1</v>
      </c>
      <c r="V1617" s="148" t="str">
        <f>IFERROR(__xludf.DUMMYFUNCTION("""COMPUTED_VALUE"""),"[]")</f>
        <v>[]</v>
      </c>
      <c r="W1617" s="148">
        <f>IFERROR(__xludf.DUMMYFUNCTION("""COMPUTED_VALUE"""),1.174E7)</f>
        <v>11740000</v>
      </c>
      <c r="X1617" s="148">
        <f>IFERROR(__xludf.DUMMYFUNCTION("""COMPUTED_VALUE"""),0.0)</f>
        <v>0</v>
      </c>
      <c r="Y1617" s="148">
        <f>IFERROR(__xludf.DUMMYFUNCTION("""COMPUTED_VALUE"""),0.0)</f>
        <v>0</v>
      </c>
      <c r="Z1617" s="148"/>
    </row>
    <row r="1618">
      <c r="A1618" s="148">
        <f>IFERROR(__xludf.DUMMYFUNCTION("""COMPUTED_VALUE"""),1.1117261E7)</f>
        <v>11117261</v>
      </c>
      <c r="B1618" s="148" t="str">
        <f>IFERROR(__xludf.DUMMYFUNCTION("""COMPUTED_VALUE"""),"收藏品盲盒抽奖币-不放回")</f>
        <v>收藏品盲盒抽奖币-不放回</v>
      </c>
      <c r="C1618" s="148"/>
      <c r="D1618" s="148" t="str">
        <f>IFERROR(__xludf.DUMMYFUNCTION("""COMPUTED_VALUE"""),"event")</f>
        <v>event</v>
      </c>
      <c r="E1618" s="148">
        <f>IFERROR(__xludf.DUMMYFUNCTION("""COMPUTED_VALUE"""),0.0)</f>
        <v>0</v>
      </c>
      <c r="F1618" s="148">
        <f>IFERROR(__xludf.DUMMYFUNCTION("""COMPUTED_VALUE"""),405220.0)</f>
        <v>405220</v>
      </c>
      <c r="G1618" s="148">
        <f>IFERROR(__xludf.DUMMYFUNCTION("""COMPUTED_VALUE"""),1.5115225E7)</f>
        <v>15115225</v>
      </c>
      <c r="H1618" s="148">
        <f>IFERROR(__xludf.DUMMYFUNCTION("""COMPUTED_VALUE"""),1.5112564E7)</f>
        <v>15112564</v>
      </c>
      <c r="I1618" s="148" t="str">
        <f>IFERROR(__xludf.DUMMYFUNCTION("""COMPUTED_VALUE"""),"{}")</f>
        <v>{}</v>
      </c>
      <c r="J1618" s="148" t="str">
        <f>IFERROR(__xludf.DUMMYFUNCTION("""COMPUTED_VALUE"""),"{""typ"":""lc"",""txt"":""LC_ITEM_collection_blindbox_coin""}")</f>
        <v>{"typ":"lc","txt":"LC_ITEM_collection_blindbox_coin"}</v>
      </c>
      <c r="K1618" s="148" t="str">
        <f>IFERROR(__xludf.DUMMYFUNCTION("""COMPUTED_VALUE"""),"{""typ"":""lc"",""txt"":""LC_ITEM_collection_blindbox_coin_desc""}")</f>
        <v>{"typ":"lc","txt":"LC_ITEM_collection_blindbox_coin_desc"}</v>
      </c>
      <c r="L1618" s="148" t="str">
        <f>IFERROR(__xludf.DUMMYFUNCTION("""COMPUTED_VALUE"""),"{}")</f>
        <v>{}</v>
      </c>
      <c r="M1618" s="148">
        <f>IFERROR(__xludf.DUMMYFUNCTION("""COMPUTED_VALUE"""),700.0)</f>
        <v>700</v>
      </c>
      <c r="N1618" s="148">
        <f>IFERROR(__xludf.DUMMYFUNCTION("""COMPUTED_VALUE"""),9.99999999E8)</f>
        <v>999999999</v>
      </c>
      <c r="O1618" s="148">
        <f>IFERROR(__xludf.DUMMYFUNCTION("""COMPUTED_VALUE"""),9.99999999E8)</f>
        <v>999999999</v>
      </c>
      <c r="P1618" s="148">
        <f>IFERROR(__xludf.DUMMYFUNCTION("""COMPUTED_VALUE"""),9.99999999E8)</f>
        <v>999999999</v>
      </c>
      <c r="Q1618" s="148" t="str">
        <f>IFERROR(__xludf.DUMMYFUNCTION("""COMPUTED_VALUE"""),"[""bag_other""]")</f>
        <v>["bag_other"]</v>
      </c>
      <c r="R1618" s="148" t="str">
        <f>IFERROR(__xludf.DUMMYFUNCTION("""COMPUTED_VALUE"""),"[]")</f>
        <v>[]</v>
      </c>
      <c r="S1618" s="148" t="str">
        <f>IFERROR(__xludf.DUMMYFUNCTION("""COMPUTED_VALUE"""),"{}")</f>
        <v>{}</v>
      </c>
      <c r="T1618" s="148">
        <f>IFERROR(__xludf.DUMMYFUNCTION("""COMPUTED_VALUE"""),-1.0)</f>
        <v>-1</v>
      </c>
      <c r="U1618" s="148">
        <f>IFERROR(__xludf.DUMMYFUNCTION("""COMPUTED_VALUE"""),0.0)</f>
        <v>0</v>
      </c>
      <c r="V1618" s="148" t="str">
        <f>IFERROR(__xludf.DUMMYFUNCTION("""COMPUTED_VALUE"""),"[]")</f>
        <v>[]</v>
      </c>
      <c r="W1618" s="148">
        <f>IFERROR(__xludf.DUMMYFUNCTION("""COMPUTED_VALUE"""),1.174E7)</f>
        <v>11740000</v>
      </c>
      <c r="X1618" s="148">
        <f>IFERROR(__xludf.DUMMYFUNCTION("""COMPUTED_VALUE"""),0.0)</f>
        <v>0</v>
      </c>
      <c r="Y1618" s="148">
        <f>IFERROR(__xludf.DUMMYFUNCTION("""COMPUTED_VALUE"""),0.0)</f>
        <v>0</v>
      </c>
      <c r="Z1618" s="148"/>
    </row>
    <row r="1619">
      <c r="A1619" s="148">
        <f>IFERROR(__xludf.DUMMYFUNCTION("""COMPUTED_VALUE"""),1.1117262E7)</f>
        <v>11117262</v>
      </c>
      <c r="B1619" s="148" t="str">
        <f>IFERROR(__xludf.DUMMYFUNCTION("""COMPUTED_VALUE"""),"酒馆会员激活道具-30天")</f>
        <v>酒馆会员激活道具-30天</v>
      </c>
      <c r="C1619" s="148"/>
      <c r="D1619" s="148" t="str">
        <f>IFERROR(__xludf.DUMMYFUNCTION("""COMPUTED_VALUE"""),"item_subscription")</f>
        <v>item_subscription</v>
      </c>
      <c r="E1619" s="148">
        <f>IFERROR(__xludf.DUMMYFUNCTION("""COMPUTED_VALUE"""),0.0)</f>
        <v>0</v>
      </c>
      <c r="F1619" s="148">
        <f>IFERROR(__xludf.DUMMYFUNCTION("""COMPUTED_VALUE"""),404200.0)</f>
        <v>404200</v>
      </c>
      <c r="G1619" s="148">
        <f>IFERROR(__xludf.DUMMYFUNCTION("""COMPUTED_VALUE"""),1.5115709E7)</f>
        <v>15115709</v>
      </c>
      <c r="H1619" s="148">
        <f>IFERROR(__xludf.DUMMYFUNCTION("""COMPUTED_VALUE"""),1.5112564E7)</f>
        <v>15112564</v>
      </c>
      <c r="I1619" s="148" t="str">
        <f>IFERROR(__xludf.DUMMYFUNCTION("""COMPUTED_VALUE"""),"{}")</f>
        <v>{}</v>
      </c>
      <c r="J1619" s="148" t="str">
        <f>IFERROR(__xludf.DUMMYFUNCTION("""COMPUTED_VALUE"""),"{""typ"":""lc"",""txt"":""LC_EVENT_bar_vip_title""}")</f>
        <v>{"typ":"lc","txt":"LC_EVENT_bar_vip_title"}</v>
      </c>
      <c r="K1619" s="148" t="str">
        <f>IFERROR(__xludf.DUMMYFUNCTION("""COMPUTED_VALUE"""),"{""typ"":""lc"",""txt"":""LC_EVENT_bar_vip_title""}")</f>
        <v>{"typ":"lc","txt":"LC_EVENT_bar_vip_title"}</v>
      </c>
      <c r="L1619" s="148" t="str">
        <f>IFERROR(__xludf.DUMMYFUNCTION("""COMPUTED_VALUE"""),"{}")</f>
        <v>{}</v>
      </c>
      <c r="M1619" s="148">
        <f>IFERROR(__xludf.DUMMYFUNCTION("""COMPUTED_VALUE"""),1000.0)</f>
        <v>1000</v>
      </c>
      <c r="N1619" s="148">
        <f>IFERROR(__xludf.DUMMYFUNCTION("""COMPUTED_VALUE"""),9.99999999E8)</f>
        <v>999999999</v>
      </c>
      <c r="O1619" s="148">
        <f>IFERROR(__xludf.DUMMYFUNCTION("""COMPUTED_VALUE"""),9.99999999E8)</f>
        <v>999999999</v>
      </c>
      <c r="P1619" s="148">
        <f>IFERROR(__xludf.DUMMYFUNCTION("""COMPUTED_VALUE"""),9.99999999E8)</f>
        <v>999999999</v>
      </c>
      <c r="Q1619" s="148" t="str">
        <f>IFERROR(__xludf.DUMMYFUNCTION("""COMPUTED_VALUE"""),"[""bag_other""]")</f>
        <v>["bag_other"]</v>
      </c>
      <c r="R1619" s="148" t="str">
        <f>IFERROR(__xludf.DUMMYFUNCTION("""COMPUTED_VALUE"""),"[]")</f>
        <v>[]</v>
      </c>
      <c r="S1619" s="148" t="str">
        <f>IFERROR(__xludf.DUMMYFUNCTION("""COMPUTED_VALUE"""),"{""effect"":[{""typ"":""item_subscription"",""id"":201340013}]}")</f>
        <v>{"effect":[{"typ":"item_subscription","id":201340013}]}</v>
      </c>
      <c r="T1619" s="148">
        <f>IFERROR(__xludf.DUMMYFUNCTION("""COMPUTED_VALUE"""),-1.0)</f>
        <v>-1</v>
      </c>
      <c r="U1619" s="148">
        <f>IFERROR(__xludf.DUMMYFUNCTION("""COMPUTED_VALUE"""),1.0)</f>
        <v>1</v>
      </c>
      <c r="V1619" s="148" t="str">
        <f>IFERROR(__xludf.DUMMYFUNCTION("""COMPUTED_VALUE"""),"[]")</f>
        <v>[]</v>
      </c>
      <c r="W1619" s="148">
        <f>IFERROR(__xludf.DUMMYFUNCTION("""COMPUTED_VALUE"""),1.174E7)</f>
        <v>11740000</v>
      </c>
      <c r="X1619" s="148">
        <f>IFERROR(__xludf.DUMMYFUNCTION("""COMPUTED_VALUE"""),0.0)</f>
        <v>0</v>
      </c>
      <c r="Y1619" s="148">
        <f>IFERROR(__xludf.DUMMYFUNCTION("""COMPUTED_VALUE"""),0.0)</f>
        <v>0</v>
      </c>
      <c r="Z1619" s="148"/>
    </row>
    <row r="1620">
      <c r="A1620" s="148">
        <f>IFERROR(__xludf.DUMMYFUNCTION("""COMPUTED_VALUE"""),1.1117263E7)</f>
        <v>11117263</v>
      </c>
      <c r="B1620" s="148" t="str">
        <f>IFERROR(__xludf.DUMMYFUNCTION("""COMPUTED_VALUE"""),"酒馆会员激活道具-32天")</f>
        <v>酒馆会员激活道具-32天</v>
      </c>
      <c r="C1620" s="148"/>
      <c r="D1620" s="148" t="str">
        <f>IFERROR(__xludf.DUMMYFUNCTION("""COMPUTED_VALUE"""),"item_subscription")</f>
        <v>item_subscription</v>
      </c>
      <c r="E1620" s="148">
        <f>IFERROR(__xludf.DUMMYFUNCTION("""COMPUTED_VALUE"""),0.0)</f>
        <v>0</v>
      </c>
      <c r="F1620" s="148">
        <f>IFERROR(__xludf.DUMMYFUNCTION("""COMPUTED_VALUE"""),404200.0)</f>
        <v>404200</v>
      </c>
      <c r="G1620" s="148">
        <f>IFERROR(__xludf.DUMMYFUNCTION("""COMPUTED_VALUE"""),1.5115709E7)</f>
        <v>15115709</v>
      </c>
      <c r="H1620" s="148">
        <f>IFERROR(__xludf.DUMMYFUNCTION("""COMPUTED_VALUE"""),1.5112564E7)</f>
        <v>15112564</v>
      </c>
      <c r="I1620" s="148" t="str">
        <f>IFERROR(__xludf.DUMMYFUNCTION("""COMPUTED_VALUE"""),"{}")</f>
        <v>{}</v>
      </c>
      <c r="J1620" s="148" t="str">
        <f>IFERROR(__xludf.DUMMYFUNCTION("""COMPUTED_VALUE"""),"{""typ"":""lc"",""txt"":""LC_EVENT_bar_vip_title""}")</f>
        <v>{"typ":"lc","txt":"LC_EVENT_bar_vip_title"}</v>
      </c>
      <c r="K1620" s="148" t="str">
        <f>IFERROR(__xludf.DUMMYFUNCTION("""COMPUTED_VALUE"""),"{""typ"":""lc"",""txt"":""LC_EVENT_bar_vip_title""}")</f>
        <v>{"typ":"lc","txt":"LC_EVENT_bar_vip_title"}</v>
      </c>
      <c r="L1620" s="148" t="str">
        <f>IFERROR(__xludf.DUMMYFUNCTION("""COMPUTED_VALUE"""),"{}")</f>
        <v>{}</v>
      </c>
      <c r="M1620" s="148">
        <f>IFERROR(__xludf.DUMMYFUNCTION("""COMPUTED_VALUE"""),1000.0)</f>
        <v>1000</v>
      </c>
      <c r="N1620" s="148">
        <f>IFERROR(__xludf.DUMMYFUNCTION("""COMPUTED_VALUE"""),9.99999999E8)</f>
        <v>999999999</v>
      </c>
      <c r="O1620" s="148">
        <f>IFERROR(__xludf.DUMMYFUNCTION("""COMPUTED_VALUE"""),9.99999999E8)</f>
        <v>999999999</v>
      </c>
      <c r="P1620" s="148">
        <f>IFERROR(__xludf.DUMMYFUNCTION("""COMPUTED_VALUE"""),9.99999999E8)</f>
        <v>999999999</v>
      </c>
      <c r="Q1620" s="148" t="str">
        <f>IFERROR(__xludf.DUMMYFUNCTION("""COMPUTED_VALUE"""),"[""bag_other""]")</f>
        <v>["bag_other"]</v>
      </c>
      <c r="R1620" s="148" t="str">
        <f>IFERROR(__xludf.DUMMYFUNCTION("""COMPUTED_VALUE"""),"[]")</f>
        <v>[]</v>
      </c>
      <c r="S1620" s="148" t="str">
        <f>IFERROR(__xludf.DUMMYFUNCTION("""COMPUTED_VALUE"""),"{""effect"":[{""typ"":""item_subscription"",""id"":2013210001}]}")</f>
        <v>{"effect":[{"typ":"item_subscription","id":2013210001}]}</v>
      </c>
      <c r="T1620" s="148">
        <f>IFERROR(__xludf.DUMMYFUNCTION("""COMPUTED_VALUE"""),-1.0)</f>
        <v>-1</v>
      </c>
      <c r="U1620" s="148">
        <f>IFERROR(__xludf.DUMMYFUNCTION("""COMPUTED_VALUE"""),1.0)</f>
        <v>1</v>
      </c>
      <c r="V1620" s="148" t="str">
        <f>IFERROR(__xludf.DUMMYFUNCTION("""COMPUTED_VALUE"""),"[]")</f>
        <v>[]</v>
      </c>
      <c r="W1620" s="148">
        <f>IFERROR(__xludf.DUMMYFUNCTION("""COMPUTED_VALUE"""),1.174E7)</f>
        <v>11740000</v>
      </c>
      <c r="X1620" s="148">
        <f>IFERROR(__xludf.DUMMYFUNCTION("""COMPUTED_VALUE"""),0.0)</f>
        <v>0</v>
      </c>
      <c r="Y1620" s="148">
        <f>IFERROR(__xludf.DUMMYFUNCTION("""COMPUTED_VALUE"""),0.0)</f>
        <v>0</v>
      </c>
      <c r="Z1620" s="148"/>
    </row>
    <row r="1621">
      <c r="A1621" s="148">
        <f>IFERROR(__xludf.DUMMYFUNCTION("""COMPUTED_VALUE"""),1.1117264E7)</f>
        <v>11117264</v>
      </c>
      <c r="B1621" s="148" t="str">
        <f>IFERROR(__xludf.DUMMYFUNCTION("""COMPUTED_VALUE"""),"主城皮肤-kvk2")</f>
        <v>主城皮肤-kvk2</v>
      </c>
      <c r="C1621" s="148"/>
      <c r="D1621" s="148" t="str">
        <f>IFERROR(__xludf.DUMMYFUNCTION("""COMPUTED_VALUE"""),"city_skin")</f>
        <v>city_skin</v>
      </c>
      <c r="E1621" s="148">
        <f>IFERROR(__xludf.DUMMYFUNCTION("""COMPUTED_VALUE"""),21.0)</f>
        <v>21</v>
      </c>
      <c r="F1621" s="148">
        <f>IFERROR(__xludf.DUMMYFUNCTION("""COMPUTED_VALUE"""),400104.0)</f>
        <v>400104</v>
      </c>
      <c r="G1621" s="148">
        <f>IFERROR(__xludf.DUMMYFUNCTION("""COMPUTED_VALUE"""),1.5115488E7)</f>
        <v>15115488</v>
      </c>
      <c r="H1621" s="148">
        <f>IFERROR(__xludf.DUMMYFUNCTION("""COMPUTED_VALUE"""),1.5112564E7)</f>
        <v>15112564</v>
      </c>
      <c r="I1621" s="148" t="str">
        <f>IFERROR(__xludf.DUMMYFUNCTION("""COMPUTED_VALUE"""),"{}")</f>
        <v>{}</v>
      </c>
      <c r="J1621" s="148" t="str">
        <f>IFERROR(__xludf.DUMMYFUNCTION("""COMPUTED_VALUE"""),"{""typ"":""lc"",""txt"":""LC_ASSET_cityskin_kvk2""}")</f>
        <v>{"typ":"lc","txt":"LC_ASSET_cityskin_kvk2"}</v>
      </c>
      <c r="K1621" s="148" t="str">
        <f>IFERROR(__xludf.DUMMYFUNCTION("""COMPUTED_VALUE"""),"{""typ"":""lc"",""txt"":""LC_ASSET_cityskin_kvk2_desc""}")</f>
        <v>{"typ":"lc","txt":"LC_ASSET_cityskin_kvk2_desc"}</v>
      </c>
      <c r="L1621" s="148" t="str">
        <f>IFERROR(__xludf.DUMMYFUNCTION("""COMPUTED_VALUE"""),"{""typ"":""lc"",""txt"":""LC_ITEM_city_skin_rocket_use_tips""}")</f>
        <v>{"typ":"lc","txt":"LC_ITEM_city_skin_rocket_use_tips"}</v>
      </c>
      <c r="M1621" s="148">
        <f>IFERROR(__xludf.DUMMYFUNCTION("""COMPUTED_VALUE"""),10000.0)</f>
        <v>10000</v>
      </c>
      <c r="N1621" s="148">
        <f>IFERROR(__xludf.DUMMYFUNCTION("""COMPUTED_VALUE"""),999.0)</f>
        <v>999</v>
      </c>
      <c r="O1621" s="148">
        <f>IFERROR(__xludf.DUMMYFUNCTION("""COMPUTED_VALUE"""),1.0)</f>
        <v>1</v>
      </c>
      <c r="P1621" s="148">
        <f>IFERROR(__xludf.DUMMYFUNCTION("""COMPUTED_VALUE"""),1.0)</f>
        <v>1</v>
      </c>
      <c r="Q1621" s="148" t="str">
        <f>IFERROR(__xludf.DUMMYFUNCTION("""COMPUTED_VALUE"""),"[""bag_other""]")</f>
        <v>["bag_other"]</v>
      </c>
      <c r="R1621" s="148" t="str">
        <f>IFERROR(__xludf.DUMMYFUNCTION("""COMPUTED_VALUE"""),"[""bag"",""13121011""]")</f>
        <v>["bag","13121011"]</v>
      </c>
      <c r="S1621" s="148" t="str">
        <f>IFERROR(__xludf.DUMMYFUNCTION("""COMPUTED_VALUE"""),"{""effect"":[{""typ"":""city_skin"",""id"":13121011,""val"":-1},{""typ"":""item"",""id"":11111034,""val"":10}]}")</f>
        <v>{"effect":[{"typ":"city_skin","id":13121011,"val":-1},{"typ":"item","id":11111034,"val":10}]}</v>
      </c>
      <c r="T1621" s="148">
        <f>IFERROR(__xludf.DUMMYFUNCTION("""COMPUTED_VALUE"""),-1.0)</f>
        <v>-1</v>
      </c>
      <c r="U1621" s="148">
        <f>IFERROR(__xludf.DUMMYFUNCTION("""COMPUTED_VALUE"""),0.0)</f>
        <v>0</v>
      </c>
      <c r="V1621" s="148" t="str">
        <f>IFERROR(__xludf.DUMMYFUNCTION("""COMPUTED_VALUE"""),"[]")</f>
        <v>[]</v>
      </c>
      <c r="W1621" s="148">
        <f>IFERROR(__xludf.DUMMYFUNCTION("""COMPUTED_VALUE"""),1.174E7)</f>
        <v>11740000</v>
      </c>
      <c r="X1621" s="148">
        <f>IFERROR(__xludf.DUMMYFUNCTION("""COMPUTED_VALUE"""),0.0)</f>
        <v>0</v>
      </c>
      <c r="Y1621" s="148">
        <f>IFERROR(__xludf.DUMMYFUNCTION("""COMPUTED_VALUE"""),0.0)</f>
        <v>0</v>
      </c>
      <c r="Z1621" s="148"/>
    </row>
    <row r="1622">
      <c r="A1622" s="148">
        <f>IFERROR(__xludf.DUMMYFUNCTION("""COMPUTED_VALUE"""),1.1117265E7)</f>
        <v>11117265</v>
      </c>
      <c r="B1622" s="148" t="str">
        <f>IFERROR(__xludf.DUMMYFUNCTION("""COMPUTED_VALUE"""),"幸运铃铛")</f>
        <v>幸运铃铛</v>
      </c>
      <c r="C1622" s="148"/>
      <c r="D1622" s="148" t="str">
        <f>IFERROR(__xludf.DUMMYFUNCTION("""COMPUTED_VALUE"""),"battle_pass_exp")</f>
        <v>battle_pass_exp</v>
      </c>
      <c r="E1622" s="148">
        <f>IFERROR(__xludf.DUMMYFUNCTION("""COMPUTED_VALUE"""),0.0)</f>
        <v>0</v>
      </c>
      <c r="F1622" s="148">
        <f>IFERROR(__xludf.DUMMYFUNCTION("""COMPUTED_VALUE"""),405225.0)</f>
        <v>405225</v>
      </c>
      <c r="G1622" s="148">
        <f>IFERROR(__xludf.DUMMYFUNCTION("""COMPUTED_VALUE"""),1.5114479E7)</f>
        <v>15114479</v>
      </c>
      <c r="H1622" s="148">
        <f>IFERROR(__xludf.DUMMYFUNCTION("""COMPUTED_VALUE"""),1.5112563E7)</f>
        <v>15112563</v>
      </c>
      <c r="I1622" s="148" t="str">
        <f>IFERROR(__xludf.DUMMYFUNCTION("""COMPUTED_VALUE"""),"{}")</f>
        <v>{}</v>
      </c>
      <c r="J1622" s="148" t="str">
        <f>IFERROR(__xludf.DUMMYFUNCTION("""COMPUTED_VALUE"""),"{""typ"":""lc"",""txt"":""LC_ITEM_winter_event_2022_battlepass_item_name""}")</f>
        <v>{"typ":"lc","txt":"LC_ITEM_winter_event_2022_battlepass_item_name"}</v>
      </c>
      <c r="K1622" s="148" t="str">
        <f>IFERROR(__xludf.DUMMYFUNCTION("""COMPUTED_VALUE"""),"{""typ"":""lc"",""txt"":""LC_ITEM_winter_event_2022_battlepass_item_desc""}")</f>
        <v>{"typ":"lc","txt":"LC_ITEM_winter_event_2022_battlepass_item_desc"}</v>
      </c>
      <c r="L1622" s="148" t="str">
        <f>IFERROR(__xludf.DUMMYFUNCTION("""COMPUTED_VALUE"""),"{}")</f>
        <v>{}</v>
      </c>
      <c r="M1622" s="148">
        <f>IFERROR(__xludf.DUMMYFUNCTION("""COMPUTED_VALUE"""),35.0)</f>
        <v>35</v>
      </c>
      <c r="N1622" s="148">
        <f>IFERROR(__xludf.DUMMYFUNCTION("""COMPUTED_VALUE"""),999999.0)</f>
        <v>999999</v>
      </c>
      <c r="O1622" s="148">
        <f>IFERROR(__xludf.DUMMYFUNCTION("""COMPUTED_VALUE"""),99999.0)</f>
        <v>99999</v>
      </c>
      <c r="P1622" s="148">
        <f>IFERROR(__xludf.DUMMYFUNCTION("""COMPUTED_VALUE"""),99999.0)</f>
        <v>99999</v>
      </c>
      <c r="Q1622" s="148" t="str">
        <f>IFERROR(__xludf.DUMMYFUNCTION("""COMPUTED_VALUE"""),"[""bag_other""]")</f>
        <v>["bag_other"]</v>
      </c>
      <c r="R1622" s="148" t="str">
        <f>IFERROR(__xludf.DUMMYFUNCTION("""COMPUTED_VALUE"""),"[""bag""]")</f>
        <v>["bag"]</v>
      </c>
      <c r="S1622" s="148" t="str">
        <f>IFERROR(__xludf.DUMMYFUNCTION("""COMPUTED_VALUE"""),"{}")</f>
        <v>{}</v>
      </c>
      <c r="T1622" s="148">
        <f>IFERROR(__xludf.DUMMYFUNCTION("""COMPUTED_VALUE"""),-1.0)</f>
        <v>-1</v>
      </c>
      <c r="U1622" s="148">
        <f>IFERROR(__xludf.DUMMYFUNCTION("""COMPUTED_VALUE"""),0.0)</f>
        <v>0</v>
      </c>
      <c r="V1622" s="148" t="str">
        <f>IFERROR(__xludf.DUMMYFUNCTION("""COMPUTED_VALUE"""),"[]")</f>
        <v>[]</v>
      </c>
      <c r="W1622" s="148">
        <f>IFERROR(__xludf.DUMMYFUNCTION("""COMPUTED_VALUE"""),1.174E7)</f>
        <v>11740000</v>
      </c>
      <c r="X1622" s="148">
        <f>IFERROR(__xludf.DUMMYFUNCTION("""COMPUTED_VALUE"""),0.0)</f>
        <v>0</v>
      </c>
      <c r="Y1622" s="148">
        <f>IFERROR(__xludf.DUMMYFUNCTION("""COMPUTED_VALUE"""),0.0)</f>
        <v>0</v>
      </c>
      <c r="Z1622" s="148"/>
    </row>
    <row r="1623">
      <c r="A1623" s="148">
        <f>IFERROR(__xludf.DUMMYFUNCTION("""COMPUTED_VALUE"""),1.1117266E7)</f>
        <v>11117266</v>
      </c>
      <c r="B1623" s="148" t="str">
        <f>IFERROR(__xludf.DUMMYFUNCTION("""COMPUTED_VALUE"""),"2022冬日晚会BattlePass-初级通行证")</f>
        <v>2022冬日晚会BattlePass-初级通行证</v>
      </c>
      <c r="C1623" s="148"/>
      <c r="D1623" s="148" t="str">
        <f>IFERROR(__xludf.DUMMYFUNCTION("""COMPUTED_VALUE"""),"battle_pass_card")</f>
        <v>battle_pass_card</v>
      </c>
      <c r="E1623" s="148">
        <f>IFERROR(__xludf.DUMMYFUNCTION("""COMPUTED_VALUE"""),0.0)</f>
        <v>0</v>
      </c>
      <c r="F1623" s="148">
        <f>IFERROR(__xludf.DUMMYFUNCTION("""COMPUTED_VALUE"""),0.0)</f>
        <v>0</v>
      </c>
      <c r="G1623" s="148">
        <f>IFERROR(__xludf.DUMMYFUNCTION("""COMPUTED_VALUE"""),1.5113625E7)</f>
        <v>15113625</v>
      </c>
      <c r="H1623" s="148">
        <f>IFERROR(__xludf.DUMMYFUNCTION("""COMPUTED_VALUE"""),1.5112563E7)</f>
        <v>15112563</v>
      </c>
      <c r="I1623" s="148" t="str">
        <f>IFERROR(__xludf.DUMMYFUNCTION("""COMPUTED_VALUE"""),"{}")</f>
        <v>{}</v>
      </c>
      <c r="J1623" s="148" t="str">
        <f>IFERROR(__xludf.DUMMYFUNCTION("""COMPUTED_VALUE"""),"{""typ"":""lc"",""txt"":""LC_IAP_luxury_2022_winter_gift""}")</f>
        <v>{"typ":"lc","txt":"LC_IAP_luxury_2022_winter_gift"}</v>
      </c>
      <c r="K1623" s="148" t="str">
        <f>IFERROR(__xludf.DUMMYFUNCTION("""COMPUTED_VALUE"""),"{}")</f>
        <v>{}</v>
      </c>
      <c r="L1623" s="148" t="str">
        <f>IFERROR(__xludf.DUMMYFUNCTION("""COMPUTED_VALUE"""),"{}")</f>
        <v>{}</v>
      </c>
      <c r="M1623" s="148">
        <f>IFERROR(__xludf.DUMMYFUNCTION("""COMPUTED_VALUE"""),10.0)</f>
        <v>10</v>
      </c>
      <c r="N1623" s="148">
        <f>IFERROR(__xludf.DUMMYFUNCTION("""COMPUTED_VALUE"""),999999.0)</f>
        <v>999999</v>
      </c>
      <c r="O1623" s="148">
        <f>IFERROR(__xludf.DUMMYFUNCTION("""COMPUTED_VALUE"""),99999.0)</f>
        <v>99999</v>
      </c>
      <c r="P1623" s="148">
        <f>IFERROR(__xludf.DUMMYFUNCTION("""COMPUTED_VALUE"""),9999.0)</f>
        <v>9999</v>
      </c>
      <c r="Q1623" s="148" t="str">
        <f>IFERROR(__xludf.DUMMYFUNCTION("""COMPUTED_VALUE"""),"[]")</f>
        <v>[]</v>
      </c>
      <c r="R1623" s="148" t="str">
        <f>IFERROR(__xludf.DUMMYFUNCTION("""COMPUTED_VALUE"""),"[]")</f>
        <v>[]</v>
      </c>
      <c r="S1623" s="148" t="str">
        <f>IFERROR(__xludf.DUMMYFUNCTION("""COMPUTED_VALUE"""),"{}")</f>
        <v>{}</v>
      </c>
      <c r="T1623" s="148">
        <f>IFERROR(__xludf.DUMMYFUNCTION("""COMPUTED_VALUE"""),-1.0)</f>
        <v>-1</v>
      </c>
      <c r="U1623" s="148">
        <f>IFERROR(__xludf.DUMMYFUNCTION("""COMPUTED_VALUE"""),1.0)</f>
        <v>1</v>
      </c>
      <c r="V1623" s="148" t="str">
        <f>IFERROR(__xludf.DUMMYFUNCTION("""COMPUTED_VALUE"""),"[]")</f>
        <v>[]</v>
      </c>
      <c r="W1623" s="148">
        <f>IFERROR(__xludf.DUMMYFUNCTION("""COMPUTED_VALUE"""),1.174E7)</f>
        <v>11740000</v>
      </c>
      <c r="X1623" s="148">
        <f>IFERROR(__xludf.DUMMYFUNCTION("""COMPUTED_VALUE"""),0.0)</f>
        <v>0</v>
      </c>
      <c r="Y1623" s="148">
        <f>IFERROR(__xludf.DUMMYFUNCTION("""COMPUTED_VALUE"""),0.0)</f>
        <v>0</v>
      </c>
      <c r="Z1623" s="148"/>
    </row>
    <row r="1624">
      <c r="A1624" s="148">
        <f>IFERROR(__xludf.DUMMYFUNCTION("""COMPUTED_VALUE"""),1.1117267E7)</f>
        <v>11117267</v>
      </c>
      <c r="B1624" s="148" t="str">
        <f>IFERROR(__xludf.DUMMYFUNCTION("""COMPUTED_VALUE"""),"2022冬日晚会BattlePass-高级通行证")</f>
        <v>2022冬日晚会BattlePass-高级通行证</v>
      </c>
      <c r="C1624" s="148"/>
      <c r="D1624" s="148" t="str">
        <f>IFERROR(__xludf.DUMMYFUNCTION("""COMPUTED_VALUE"""),"battle_pass_card")</f>
        <v>battle_pass_card</v>
      </c>
      <c r="E1624" s="148">
        <f>IFERROR(__xludf.DUMMYFUNCTION("""COMPUTED_VALUE"""),0.0)</f>
        <v>0</v>
      </c>
      <c r="F1624" s="148">
        <f>IFERROR(__xludf.DUMMYFUNCTION("""COMPUTED_VALUE"""),0.0)</f>
        <v>0</v>
      </c>
      <c r="G1624" s="148">
        <f>IFERROR(__xludf.DUMMYFUNCTION("""COMPUTED_VALUE"""),1.5113625E7)</f>
        <v>15113625</v>
      </c>
      <c r="H1624" s="148">
        <f>IFERROR(__xludf.DUMMYFUNCTION("""COMPUTED_VALUE"""),1.5112563E7)</f>
        <v>15112563</v>
      </c>
      <c r="I1624" s="148" t="str">
        <f>IFERROR(__xludf.DUMMYFUNCTION("""COMPUTED_VALUE"""),"{}")</f>
        <v>{}</v>
      </c>
      <c r="J1624" s="148" t="str">
        <f>IFERROR(__xludf.DUMMYFUNCTION("""COMPUTED_VALUE"""),"{""typ"":""lc"",""txt"":""LC_IAP_luxury_2022_winter_gift""}")</f>
        <v>{"typ":"lc","txt":"LC_IAP_luxury_2022_winter_gift"}</v>
      </c>
      <c r="K1624" s="148" t="str">
        <f>IFERROR(__xludf.DUMMYFUNCTION("""COMPUTED_VALUE"""),"{}")</f>
        <v>{}</v>
      </c>
      <c r="L1624" s="148" t="str">
        <f>IFERROR(__xludf.DUMMYFUNCTION("""COMPUTED_VALUE"""),"{}")</f>
        <v>{}</v>
      </c>
      <c r="M1624" s="148">
        <f>IFERROR(__xludf.DUMMYFUNCTION("""COMPUTED_VALUE"""),10.0)</f>
        <v>10</v>
      </c>
      <c r="N1624" s="148">
        <f>IFERROR(__xludf.DUMMYFUNCTION("""COMPUTED_VALUE"""),999999.0)</f>
        <v>999999</v>
      </c>
      <c r="O1624" s="148">
        <f>IFERROR(__xludf.DUMMYFUNCTION("""COMPUTED_VALUE"""),99999.0)</f>
        <v>99999</v>
      </c>
      <c r="P1624" s="148">
        <f>IFERROR(__xludf.DUMMYFUNCTION("""COMPUTED_VALUE"""),9999.0)</f>
        <v>9999</v>
      </c>
      <c r="Q1624" s="148" t="str">
        <f>IFERROR(__xludf.DUMMYFUNCTION("""COMPUTED_VALUE"""),"[]")</f>
        <v>[]</v>
      </c>
      <c r="R1624" s="148" t="str">
        <f>IFERROR(__xludf.DUMMYFUNCTION("""COMPUTED_VALUE"""),"[]")</f>
        <v>[]</v>
      </c>
      <c r="S1624" s="148" t="str">
        <f>IFERROR(__xludf.DUMMYFUNCTION("""COMPUTED_VALUE"""),"{}")</f>
        <v>{}</v>
      </c>
      <c r="T1624" s="148">
        <f>IFERROR(__xludf.DUMMYFUNCTION("""COMPUTED_VALUE"""),-1.0)</f>
        <v>-1</v>
      </c>
      <c r="U1624" s="148">
        <f>IFERROR(__xludf.DUMMYFUNCTION("""COMPUTED_VALUE"""),1.0)</f>
        <v>1</v>
      </c>
      <c r="V1624" s="148" t="str">
        <f>IFERROR(__xludf.DUMMYFUNCTION("""COMPUTED_VALUE"""),"[]")</f>
        <v>[]</v>
      </c>
      <c r="W1624" s="148">
        <f>IFERROR(__xludf.DUMMYFUNCTION("""COMPUTED_VALUE"""),1.174E7)</f>
        <v>11740000</v>
      </c>
      <c r="X1624" s="148">
        <f>IFERROR(__xludf.DUMMYFUNCTION("""COMPUTED_VALUE"""),0.0)</f>
        <v>0</v>
      </c>
      <c r="Y1624" s="148">
        <f>IFERROR(__xludf.DUMMYFUNCTION("""COMPUTED_VALUE"""),0.0)</f>
        <v>0</v>
      </c>
      <c r="Z1624" s="148"/>
    </row>
    <row r="1625">
      <c r="A1625" s="148">
        <f>IFERROR(__xludf.DUMMYFUNCTION("""COMPUTED_VALUE"""),1.1117268E7)</f>
        <v>11117268</v>
      </c>
      <c r="B1625" s="148" t="str">
        <f>IFERROR(__xludf.DUMMYFUNCTION("""COMPUTED_VALUE"""),"圣诞袜（2022）gacha道具")</f>
        <v>圣诞袜（2022）gacha道具</v>
      </c>
      <c r="C1625" s="148"/>
      <c r="D1625" s="148" t="str">
        <f>IFERROR(__xludf.DUMMYFUNCTION("""COMPUTED_VALUE"""),"event")</f>
        <v>event</v>
      </c>
      <c r="E1625" s="148">
        <f>IFERROR(__xludf.DUMMYFUNCTION("""COMPUTED_VALUE"""),0.0)</f>
        <v>0</v>
      </c>
      <c r="F1625" s="148">
        <f>IFERROR(__xludf.DUMMYFUNCTION("""COMPUTED_VALUE"""),405226.0)</f>
        <v>405226</v>
      </c>
      <c r="G1625" s="148">
        <f>IFERROR(__xludf.DUMMYFUNCTION("""COMPUTED_VALUE"""),1.5113551E7)</f>
        <v>15113551</v>
      </c>
      <c r="H1625" s="148">
        <f>IFERROR(__xludf.DUMMYFUNCTION("""COMPUTED_VALUE"""),1.5112564E7)</f>
        <v>15112564</v>
      </c>
      <c r="I1625" s="148" t="str">
        <f>IFERROR(__xludf.DUMMYFUNCTION("""COMPUTED_VALUE"""),"{}")</f>
        <v>{}</v>
      </c>
      <c r="J1625" s="148" t="str">
        <f>IFERROR(__xludf.DUMMYFUNCTION("""COMPUTED_VALUE"""),"{""typ"":""lc"",""txt"":""LC_ITEM_2022chrismas_gacha_item""}")</f>
        <v>{"typ":"lc","txt":"LC_ITEM_2022chrismas_gacha_item"}</v>
      </c>
      <c r="K1625" s="148" t="str">
        <f>IFERROR(__xludf.DUMMYFUNCTION("""COMPUTED_VALUE"""),"{""typ"":""lc"",""txt"":""LC_ITEM_2022chrismas_gacha_item_desc""}")</f>
        <v>{"typ":"lc","txt":"LC_ITEM_2022chrismas_gacha_item_desc"}</v>
      </c>
      <c r="L1625" s="148" t="str">
        <f>IFERROR(__xludf.DUMMYFUNCTION("""COMPUTED_VALUE"""),"{}")</f>
        <v>{}</v>
      </c>
      <c r="M1625" s="148">
        <f>IFERROR(__xludf.DUMMYFUNCTION("""COMPUTED_VALUE"""),700.0)</f>
        <v>700</v>
      </c>
      <c r="N1625" s="148">
        <f>IFERROR(__xludf.DUMMYFUNCTION("""COMPUTED_VALUE"""),9.99999999E8)</f>
        <v>999999999</v>
      </c>
      <c r="O1625" s="148">
        <f>IFERROR(__xludf.DUMMYFUNCTION("""COMPUTED_VALUE"""),9.99999999E8)</f>
        <v>999999999</v>
      </c>
      <c r="P1625" s="148">
        <f>IFERROR(__xludf.DUMMYFUNCTION("""COMPUTED_VALUE"""),9.99999999E8)</f>
        <v>999999999</v>
      </c>
      <c r="Q1625" s="148" t="str">
        <f>IFERROR(__xludf.DUMMYFUNCTION("""COMPUTED_VALUE"""),"[""bag_other""]")</f>
        <v>["bag_other"]</v>
      </c>
      <c r="R1625" s="148" t="str">
        <f>IFERROR(__xludf.DUMMYFUNCTION("""COMPUTED_VALUE"""),"[""bag""]")</f>
        <v>["bag"]</v>
      </c>
      <c r="S1625" s="148" t="str">
        <f>IFERROR(__xludf.DUMMYFUNCTION("""COMPUTED_VALUE"""),"{}")</f>
        <v>{}</v>
      </c>
      <c r="T1625" s="148">
        <f>IFERROR(__xludf.DUMMYFUNCTION("""COMPUTED_VALUE"""),1.0)</f>
        <v>1</v>
      </c>
      <c r="U1625" s="148">
        <f>IFERROR(__xludf.DUMMYFUNCTION("""COMPUTED_VALUE"""),0.0)</f>
        <v>0</v>
      </c>
      <c r="V1625" s="148" t="str">
        <f>IFERROR(__xludf.DUMMYFUNCTION("""COMPUTED_VALUE"""),"[]")</f>
        <v>[]</v>
      </c>
      <c r="W1625" s="148">
        <f>IFERROR(__xludf.DUMMYFUNCTION("""COMPUTED_VALUE"""),1.174E7)</f>
        <v>11740000</v>
      </c>
      <c r="X1625" s="148">
        <f>IFERROR(__xludf.DUMMYFUNCTION("""COMPUTED_VALUE"""),0.0)</f>
        <v>0</v>
      </c>
      <c r="Y1625" s="148">
        <f>IFERROR(__xludf.DUMMYFUNCTION("""COMPUTED_VALUE"""),0.0)</f>
        <v>0</v>
      </c>
      <c r="Z1625" s="148"/>
    </row>
    <row r="1626">
      <c r="A1626" s="148">
        <f>IFERROR(__xludf.DUMMYFUNCTION("""COMPUTED_VALUE"""),1.1117269E7)</f>
        <v>11117269</v>
      </c>
      <c r="B1626" s="148" t="str">
        <f>IFERROR(__xludf.DUMMYFUNCTION("""COMPUTED_VALUE"""),"圣诞礼券（2022）兑换道具")</f>
        <v>圣诞礼券（2022）兑换道具</v>
      </c>
      <c r="C1626" s="148"/>
      <c r="D1626" s="148" t="str">
        <f>IFERROR(__xludf.DUMMYFUNCTION("""COMPUTED_VALUE"""),"event")</f>
        <v>event</v>
      </c>
      <c r="E1626" s="148">
        <f>IFERROR(__xludf.DUMMYFUNCTION("""COMPUTED_VALUE"""),0.0)</f>
        <v>0</v>
      </c>
      <c r="F1626" s="148">
        <f>IFERROR(__xludf.DUMMYFUNCTION("""COMPUTED_VALUE"""),405227.0)</f>
        <v>405227</v>
      </c>
      <c r="G1626" s="148">
        <f>IFERROR(__xludf.DUMMYFUNCTION("""COMPUTED_VALUE"""),1.511446E7)</f>
        <v>15114460</v>
      </c>
      <c r="H1626" s="148">
        <f>IFERROR(__xludf.DUMMYFUNCTION("""COMPUTED_VALUE"""),1.5112563E7)</f>
        <v>15112563</v>
      </c>
      <c r="I1626" s="148" t="str">
        <f>IFERROR(__xludf.DUMMYFUNCTION("""COMPUTED_VALUE"""),"{}")</f>
        <v>{}</v>
      </c>
      <c r="J1626" s="148" t="str">
        <f>IFERROR(__xludf.DUMMYFUNCTION("""COMPUTED_VALUE"""),"{""typ"":""lc"",""txt"":""LC_ITEM_coupons""}")</f>
        <v>{"typ":"lc","txt":"LC_ITEM_coupons"}</v>
      </c>
      <c r="K1626" s="148" t="str">
        <f>IFERROR(__xludf.DUMMYFUNCTION("""COMPUTED_VALUE"""),"{""typ"":""lc"",""txt"":""LC_ITEM_coupons_desc""}")</f>
        <v>{"typ":"lc","txt":"LC_ITEM_coupons_desc"}</v>
      </c>
      <c r="L1626" s="148" t="str">
        <f>IFERROR(__xludf.DUMMYFUNCTION("""COMPUTED_VALUE"""),"{}")</f>
        <v>{}</v>
      </c>
      <c r="M1626" s="148">
        <f>IFERROR(__xludf.DUMMYFUNCTION("""COMPUTED_VALUE"""),1.0)</f>
        <v>1</v>
      </c>
      <c r="N1626" s="148">
        <f>IFERROR(__xludf.DUMMYFUNCTION("""COMPUTED_VALUE"""),999999.0)</f>
        <v>999999</v>
      </c>
      <c r="O1626" s="148">
        <f>IFERROR(__xludf.DUMMYFUNCTION("""COMPUTED_VALUE"""),99999.0)</f>
        <v>99999</v>
      </c>
      <c r="P1626" s="148">
        <f>IFERROR(__xludf.DUMMYFUNCTION("""COMPUTED_VALUE"""),9999.0)</f>
        <v>9999</v>
      </c>
      <c r="Q1626" s="148" t="str">
        <f>IFERROR(__xludf.DUMMYFUNCTION("""COMPUTED_VALUE"""),"[""bag_other""]")</f>
        <v>["bag_other"]</v>
      </c>
      <c r="R1626" s="148" t="str">
        <f>IFERROR(__xludf.DUMMYFUNCTION("""COMPUTED_VALUE"""),"[]")</f>
        <v>[]</v>
      </c>
      <c r="S1626" s="148" t="str">
        <f>IFERROR(__xludf.DUMMYFUNCTION("""COMPUTED_VALUE"""),"{}")</f>
        <v>{}</v>
      </c>
      <c r="T1626" s="148">
        <f>IFERROR(__xludf.DUMMYFUNCTION("""COMPUTED_VALUE"""),-1.0)</f>
        <v>-1</v>
      </c>
      <c r="U1626" s="148">
        <f>IFERROR(__xludf.DUMMYFUNCTION("""COMPUTED_VALUE"""),0.0)</f>
        <v>0</v>
      </c>
      <c r="V1626" s="148" t="str">
        <f>IFERROR(__xludf.DUMMYFUNCTION("""COMPUTED_VALUE"""),"[]")</f>
        <v>[]</v>
      </c>
      <c r="W1626" s="148">
        <f>IFERROR(__xludf.DUMMYFUNCTION("""COMPUTED_VALUE"""),1.174E7)</f>
        <v>11740000</v>
      </c>
      <c r="X1626" s="148">
        <f>IFERROR(__xludf.DUMMYFUNCTION("""COMPUTED_VALUE"""),0.0)</f>
        <v>0</v>
      </c>
      <c r="Y1626" s="148">
        <f>IFERROR(__xludf.DUMMYFUNCTION("""COMPUTED_VALUE"""),0.0)</f>
        <v>0</v>
      </c>
      <c r="Z1626" s="148"/>
    </row>
    <row r="1627">
      <c r="A1627" s="148">
        <f>IFERROR(__xludf.DUMMYFUNCTION("""COMPUTED_VALUE"""),1.111727E7)</f>
        <v>11117270</v>
      </c>
      <c r="B1627" s="148" t="str">
        <f>IFERROR(__xludf.DUMMYFUNCTION("""COMPUTED_VALUE"""),"圣诞节2022gacha专用-增加内圈抽奖次数")</f>
        <v>圣诞节2022gacha专用-增加内圈抽奖次数</v>
      </c>
      <c r="C1627" s="148"/>
      <c r="D1627" s="148" t="str">
        <f>IFERROR(__xludf.DUMMYFUNCTION("""COMPUTED_VALUE"""),"event")</f>
        <v>event</v>
      </c>
      <c r="E1627" s="148">
        <f>IFERROR(__xludf.DUMMYFUNCTION("""COMPUTED_VALUE"""),0.0)</f>
        <v>0</v>
      </c>
      <c r="F1627" s="148">
        <f>IFERROR(__xludf.DUMMYFUNCTION("""COMPUTED_VALUE"""),0.0)</f>
        <v>0</v>
      </c>
      <c r="G1627" s="148">
        <f>IFERROR(__xludf.DUMMYFUNCTION("""COMPUTED_VALUE"""),1.5113732E7)</f>
        <v>15113732</v>
      </c>
      <c r="H1627" s="148">
        <f>IFERROR(__xludf.DUMMYFUNCTION("""COMPUTED_VALUE"""),1.5112563E7)</f>
        <v>15112563</v>
      </c>
      <c r="I1627" s="148" t="str">
        <f>IFERROR(__xludf.DUMMYFUNCTION("""COMPUTED_VALUE"""),"{}")</f>
        <v>{}</v>
      </c>
      <c r="J1627" s="148" t="str">
        <f>IFERROR(__xludf.DUMMYFUNCTION("""COMPUTED_VALUE"""),"{}")</f>
        <v>{}</v>
      </c>
      <c r="K1627" s="148" t="str">
        <f>IFERROR(__xludf.DUMMYFUNCTION("""COMPUTED_VALUE"""),"{}")</f>
        <v>{}</v>
      </c>
      <c r="L1627" s="148" t="str">
        <f>IFERROR(__xludf.DUMMYFUNCTION("""COMPUTED_VALUE"""),"{}")</f>
        <v>{}</v>
      </c>
      <c r="M1627" s="148">
        <f>IFERROR(__xludf.DUMMYFUNCTION("""COMPUTED_VALUE"""),700.0)</f>
        <v>700</v>
      </c>
      <c r="N1627" s="148">
        <f>IFERROR(__xludf.DUMMYFUNCTION("""COMPUTED_VALUE"""),9.99999999E8)</f>
        <v>999999999</v>
      </c>
      <c r="O1627" s="148">
        <f>IFERROR(__xludf.DUMMYFUNCTION("""COMPUTED_VALUE"""),9.99999999E8)</f>
        <v>999999999</v>
      </c>
      <c r="P1627" s="148">
        <f>IFERROR(__xludf.DUMMYFUNCTION("""COMPUTED_VALUE"""),9.99999999E8)</f>
        <v>999999999</v>
      </c>
      <c r="Q1627" s="148" t="str">
        <f>IFERROR(__xludf.DUMMYFUNCTION("""COMPUTED_VALUE"""),"[]")</f>
        <v>[]</v>
      </c>
      <c r="R1627" s="148" t="str">
        <f>IFERROR(__xludf.DUMMYFUNCTION("""COMPUTED_VALUE"""),"[""bag""]")</f>
        <v>["bag"]</v>
      </c>
      <c r="S1627" s="148" t="str">
        <f>IFERROR(__xludf.DUMMYFUNCTION("""COMPUTED_VALUE"""),"{}")</f>
        <v>{}</v>
      </c>
      <c r="T1627" s="148">
        <f>IFERROR(__xludf.DUMMYFUNCTION("""COMPUTED_VALUE"""),1.0)</f>
        <v>1</v>
      </c>
      <c r="U1627" s="148">
        <f>IFERROR(__xludf.DUMMYFUNCTION("""COMPUTED_VALUE"""),0.0)</f>
        <v>0</v>
      </c>
      <c r="V1627" s="148" t="str">
        <f>IFERROR(__xludf.DUMMYFUNCTION("""COMPUTED_VALUE"""),"[]")</f>
        <v>[]</v>
      </c>
      <c r="W1627" s="148">
        <f>IFERROR(__xludf.DUMMYFUNCTION("""COMPUTED_VALUE"""),1.174E7)</f>
        <v>11740000</v>
      </c>
      <c r="X1627" s="148">
        <f>IFERROR(__xludf.DUMMYFUNCTION("""COMPUTED_VALUE"""),0.0)</f>
        <v>0</v>
      </c>
      <c r="Y1627" s="148">
        <f>IFERROR(__xludf.DUMMYFUNCTION("""COMPUTED_VALUE"""),0.0)</f>
        <v>0</v>
      </c>
      <c r="Z1627" s="148"/>
    </row>
    <row r="1628">
      <c r="A1628" s="148">
        <f>IFERROR(__xludf.DUMMYFUNCTION("""COMPUTED_VALUE"""),1.1117271E7)</f>
        <v>11117271</v>
      </c>
      <c r="B1628" s="148" t="str">
        <f>IFERROR(__xludf.DUMMYFUNCTION("""COMPUTED_VALUE"""),"行军特效-冬日奇缘-1天限时")</f>
        <v>行军特效-冬日奇缘-1天限时</v>
      </c>
      <c r="C1628" s="148"/>
      <c r="D1628" s="148" t="str">
        <f>IFERROR(__xludf.DUMMYFUNCTION("""COMPUTED_VALUE"""),"marching_effect")</f>
        <v>marching_effect</v>
      </c>
      <c r="E1628" s="148">
        <f>IFERROR(__xludf.DUMMYFUNCTION("""COMPUTED_VALUE"""),0.0)</f>
        <v>0</v>
      </c>
      <c r="F1628" s="148">
        <f>IFERROR(__xludf.DUMMYFUNCTION("""COMPUTED_VALUE"""),408200.0)</f>
        <v>408200</v>
      </c>
      <c r="G1628" s="148">
        <f>IFERROR(__xludf.DUMMYFUNCTION("""COMPUTED_VALUE"""),1.5115702E7)</f>
        <v>15115702</v>
      </c>
      <c r="H1628" s="148">
        <f>IFERROR(__xludf.DUMMYFUNCTION("""COMPUTED_VALUE"""),1.511256E7)</f>
        <v>15112560</v>
      </c>
      <c r="I1628" s="148" t="str">
        <f>IFERROR(__xludf.DUMMYFUNCTION("""COMPUTED_VALUE"""),"{""typ"":""lc"",""txt"":""LC_ITEM_time_day_upper_show"",""args"":[{""typ"":""int_unit"",""val"":1}]}")</f>
        <v>{"typ":"lc","txt":"LC_ITEM_time_day_upper_show","args":[{"typ":"int_unit","val":1}]}</v>
      </c>
      <c r="J1628" s="148" t="str">
        <f>IFERROR(__xludf.DUMMYFUNCTION("""COMPUTED_VALUE"""),"{""typ"":""lc"",""txt"":""LC_ITEM_snow_marcheffect_2022_title""}")</f>
        <v>{"typ":"lc","txt":"LC_ITEM_snow_marcheffect_2022_title"}</v>
      </c>
      <c r="K1628" s="148" t="str">
        <f>IFERROR(__xludf.DUMMYFUNCTION("""COMPUTED_VALUE"""),"{""typ"":""lc"",""txt"":""LC_ITEM_snow_marcheffect_2022_desc""}")</f>
        <v>{"typ":"lc","txt":"LC_ITEM_snow_marcheffect_2022_desc"}</v>
      </c>
      <c r="L1628" s="148" t="str">
        <f>IFERROR(__xludf.DUMMYFUNCTION("""COMPUTED_VALUE"""),"{""typ"":""lc"",""txt"":""LC_ITEM_snow_marcheffect_2022_usetip_2_1d""}")</f>
        <v>{"typ":"lc","txt":"LC_ITEM_snow_marcheffect_2022_usetip_2_1d"}</v>
      </c>
      <c r="M1628" s="148">
        <f>IFERROR(__xludf.DUMMYFUNCTION("""COMPUTED_VALUE"""),50.0)</f>
        <v>50</v>
      </c>
      <c r="N1628" s="148">
        <f>IFERROR(__xludf.DUMMYFUNCTION("""COMPUTED_VALUE"""),999999.0)</f>
        <v>999999</v>
      </c>
      <c r="O1628" s="148">
        <f>IFERROR(__xludf.DUMMYFUNCTION("""COMPUTED_VALUE"""),99999.0)</f>
        <v>99999</v>
      </c>
      <c r="P1628" s="148">
        <f>IFERROR(__xludf.DUMMYFUNCTION("""COMPUTED_VALUE"""),1.0)</f>
        <v>1</v>
      </c>
      <c r="Q1628" s="148" t="str">
        <f>IFERROR(__xludf.DUMMYFUNCTION("""COMPUTED_VALUE"""),"[""bag_other""]")</f>
        <v>["bag_other"]</v>
      </c>
      <c r="R1628" s="148" t="str">
        <f>IFERROR(__xludf.DUMMYFUNCTION("""COMPUTED_VALUE"""),"[""bag"",""13650103""]")</f>
        <v>["bag","13650103"]</v>
      </c>
      <c r="S1628" s="148" t="str">
        <f>IFERROR(__xludf.DUMMYFUNCTION("""COMPUTED_VALUE"""),"{""effect"":[{""typ"":""marching_effect"",""id"":13650103,""val"":86400000},{""typ"":""vm"",""id"":11151001,""val"":50}]}")</f>
        <v>{"effect":[{"typ":"marching_effect","id":13650103,"val":86400000},{"typ":"vm","id":11151001,"val":50}]}</v>
      </c>
      <c r="T1628" s="148">
        <f>IFERROR(__xludf.DUMMYFUNCTION("""COMPUTED_VALUE"""),-1.0)</f>
        <v>-1</v>
      </c>
      <c r="U1628" s="148">
        <f>IFERROR(__xludf.DUMMYFUNCTION("""COMPUTED_VALUE"""),0.0)</f>
        <v>0</v>
      </c>
      <c r="V1628" s="148" t="str">
        <f>IFERROR(__xludf.DUMMYFUNCTION("""COMPUTED_VALUE"""),"[]")</f>
        <v>[]</v>
      </c>
      <c r="W1628" s="148">
        <f>IFERROR(__xludf.DUMMYFUNCTION("""COMPUTED_VALUE"""),1.174E7)</f>
        <v>11740000</v>
      </c>
      <c r="X1628" s="148">
        <f>IFERROR(__xludf.DUMMYFUNCTION("""COMPUTED_VALUE"""),0.0)</f>
        <v>0</v>
      </c>
      <c r="Y1628" s="148">
        <f>IFERROR(__xludf.DUMMYFUNCTION("""COMPUTED_VALUE"""),0.0)</f>
        <v>0</v>
      </c>
      <c r="Z1628" s="148"/>
    </row>
    <row r="1629">
      <c r="A1629" s="148">
        <f>IFERROR(__xludf.DUMMYFUNCTION("""COMPUTED_VALUE"""),1.1117272E7)</f>
        <v>11117272</v>
      </c>
      <c r="B1629" s="148" t="str">
        <f>IFERROR(__xludf.DUMMYFUNCTION("""COMPUTED_VALUE"""),"行军特效-冬日奇缘-3天限时")</f>
        <v>行军特效-冬日奇缘-3天限时</v>
      </c>
      <c r="C1629" s="148"/>
      <c r="D1629" s="148" t="str">
        <f>IFERROR(__xludf.DUMMYFUNCTION("""COMPUTED_VALUE"""),"marching_effect")</f>
        <v>marching_effect</v>
      </c>
      <c r="E1629" s="148">
        <f>IFERROR(__xludf.DUMMYFUNCTION("""COMPUTED_VALUE"""),0.0)</f>
        <v>0</v>
      </c>
      <c r="F1629" s="148">
        <f>IFERROR(__xludf.DUMMYFUNCTION("""COMPUTED_VALUE"""),408199.0)</f>
        <v>408199</v>
      </c>
      <c r="G1629" s="148">
        <f>IFERROR(__xludf.DUMMYFUNCTION("""COMPUTED_VALUE"""),1.5115702E7)</f>
        <v>15115702</v>
      </c>
      <c r="H1629" s="148">
        <f>IFERROR(__xludf.DUMMYFUNCTION("""COMPUTED_VALUE"""),1.5112561E7)</f>
        <v>15112561</v>
      </c>
      <c r="I1629" s="148" t="str">
        <f>IFERROR(__xludf.DUMMYFUNCTION("""COMPUTED_VALUE"""),"{""typ"":""lc"",""txt"":""LC_ITEM_time_day_upper_show"",""args"":[{""typ"":""int_unit"",""val"":3}]}")</f>
        <v>{"typ":"lc","txt":"LC_ITEM_time_day_upper_show","args":[{"typ":"int_unit","val":3}]}</v>
      </c>
      <c r="J1629" s="148" t="str">
        <f>IFERROR(__xludf.DUMMYFUNCTION("""COMPUTED_VALUE"""),"{""typ"":""lc"",""txt"":""LC_ITEM_snow_marcheffect_2022_title""}")</f>
        <v>{"typ":"lc","txt":"LC_ITEM_snow_marcheffect_2022_title"}</v>
      </c>
      <c r="K1629" s="148" t="str">
        <f>IFERROR(__xludf.DUMMYFUNCTION("""COMPUTED_VALUE"""),"{""typ"":""lc"",""txt"":""LC_ITEM_snow_marcheffect_2022_desc""}")</f>
        <v>{"typ":"lc","txt":"LC_ITEM_snow_marcheffect_2022_desc"}</v>
      </c>
      <c r="L1629" s="148" t="str">
        <f>IFERROR(__xludf.DUMMYFUNCTION("""COMPUTED_VALUE"""),"{""typ"":""lc"",""txt"":""LC_ITEM_snow_marcheffect_2022_usetip_2_3d""}")</f>
        <v>{"typ":"lc","txt":"LC_ITEM_snow_marcheffect_2022_usetip_2_3d"}</v>
      </c>
      <c r="M1629" s="148">
        <f>IFERROR(__xludf.DUMMYFUNCTION("""COMPUTED_VALUE"""),200.0)</f>
        <v>200</v>
      </c>
      <c r="N1629" s="148">
        <f>IFERROR(__xludf.DUMMYFUNCTION("""COMPUTED_VALUE"""),999999.0)</f>
        <v>999999</v>
      </c>
      <c r="O1629" s="148">
        <f>IFERROR(__xludf.DUMMYFUNCTION("""COMPUTED_VALUE"""),99999.0)</f>
        <v>99999</v>
      </c>
      <c r="P1629" s="148">
        <f>IFERROR(__xludf.DUMMYFUNCTION("""COMPUTED_VALUE"""),1.0)</f>
        <v>1</v>
      </c>
      <c r="Q1629" s="148" t="str">
        <f>IFERROR(__xludf.DUMMYFUNCTION("""COMPUTED_VALUE"""),"[""bag_other""]")</f>
        <v>["bag_other"]</v>
      </c>
      <c r="R1629" s="148" t="str">
        <f>IFERROR(__xludf.DUMMYFUNCTION("""COMPUTED_VALUE"""),"[""bag"",""13650103""]")</f>
        <v>["bag","13650103"]</v>
      </c>
      <c r="S1629" s="148" t="str">
        <f>IFERROR(__xludf.DUMMYFUNCTION("""COMPUTED_VALUE"""),"{""effect"":[{""typ"":""marching_effect"",""id"":13650103,""val"":259200000},{""typ"":""vm"",""id"":11151001,""val"":200}]}")</f>
        <v>{"effect":[{"typ":"marching_effect","id":13650103,"val":259200000},{"typ":"vm","id":11151001,"val":200}]}</v>
      </c>
      <c r="T1629" s="148">
        <f>IFERROR(__xludf.DUMMYFUNCTION("""COMPUTED_VALUE"""),-1.0)</f>
        <v>-1</v>
      </c>
      <c r="U1629" s="148">
        <f>IFERROR(__xludf.DUMMYFUNCTION("""COMPUTED_VALUE"""),0.0)</f>
        <v>0</v>
      </c>
      <c r="V1629" s="148" t="str">
        <f>IFERROR(__xludf.DUMMYFUNCTION("""COMPUTED_VALUE"""),"[]")</f>
        <v>[]</v>
      </c>
      <c r="W1629" s="148">
        <f>IFERROR(__xludf.DUMMYFUNCTION("""COMPUTED_VALUE"""),1.174E7)</f>
        <v>11740000</v>
      </c>
      <c r="X1629" s="148">
        <f>IFERROR(__xludf.DUMMYFUNCTION("""COMPUTED_VALUE"""),0.0)</f>
        <v>0</v>
      </c>
      <c r="Y1629" s="148">
        <f>IFERROR(__xludf.DUMMYFUNCTION("""COMPUTED_VALUE"""),0.0)</f>
        <v>0</v>
      </c>
      <c r="Z1629" s="148"/>
    </row>
    <row r="1630">
      <c r="A1630" s="148">
        <f>IFERROR(__xludf.DUMMYFUNCTION("""COMPUTED_VALUE"""),1.1117273E7)</f>
        <v>11117273</v>
      </c>
      <c r="B1630" s="148" t="str">
        <f>IFERROR(__xludf.DUMMYFUNCTION("""COMPUTED_VALUE"""),"行军特效-冬日奇缘-7天限时")</f>
        <v>行军特效-冬日奇缘-7天限时</v>
      </c>
      <c r="C1630" s="148"/>
      <c r="D1630" s="148" t="str">
        <f>IFERROR(__xludf.DUMMYFUNCTION("""COMPUTED_VALUE"""),"marching_effect")</f>
        <v>marching_effect</v>
      </c>
      <c r="E1630" s="148">
        <f>IFERROR(__xludf.DUMMYFUNCTION("""COMPUTED_VALUE"""),0.0)</f>
        <v>0</v>
      </c>
      <c r="F1630" s="148">
        <f>IFERROR(__xludf.DUMMYFUNCTION("""COMPUTED_VALUE"""),408198.0)</f>
        <v>408198</v>
      </c>
      <c r="G1630" s="148">
        <f>IFERROR(__xludf.DUMMYFUNCTION("""COMPUTED_VALUE"""),1.5115702E7)</f>
        <v>15115702</v>
      </c>
      <c r="H1630" s="148">
        <f>IFERROR(__xludf.DUMMYFUNCTION("""COMPUTED_VALUE"""),1.5112562E7)</f>
        <v>15112562</v>
      </c>
      <c r="I1630" s="148" t="str">
        <f>IFERROR(__xludf.DUMMYFUNCTION("""COMPUTED_VALUE"""),"{""typ"":""lc"",""txt"":""LC_ITEM_time_day_upper_show"",""args"":[{""typ"":""int_unit"",""val"":7}]}")</f>
        <v>{"typ":"lc","txt":"LC_ITEM_time_day_upper_show","args":[{"typ":"int_unit","val":7}]}</v>
      </c>
      <c r="J1630" s="148" t="str">
        <f>IFERROR(__xludf.DUMMYFUNCTION("""COMPUTED_VALUE"""),"{""typ"":""lc"",""txt"":""LC_ITEM_snow_marcheffect_2022_title""}")</f>
        <v>{"typ":"lc","txt":"LC_ITEM_snow_marcheffect_2022_title"}</v>
      </c>
      <c r="K1630" s="148" t="str">
        <f>IFERROR(__xludf.DUMMYFUNCTION("""COMPUTED_VALUE"""),"{""typ"":""lc"",""txt"":""LC_ITEM_snow_marcheffect_2022_desc""}")</f>
        <v>{"typ":"lc","txt":"LC_ITEM_snow_marcheffect_2022_desc"}</v>
      </c>
      <c r="L1630" s="148" t="str">
        <f>IFERROR(__xludf.DUMMYFUNCTION("""COMPUTED_VALUE"""),"{""typ"":""lc"",""txt"":""LC_ITEM_snow_marcheffect_2022_usetip_2_7d""}")</f>
        <v>{"typ":"lc","txt":"LC_ITEM_snow_marcheffect_2022_usetip_2_7d"}</v>
      </c>
      <c r="M1630" s="148">
        <f>IFERROR(__xludf.DUMMYFUNCTION("""COMPUTED_VALUE"""),500.0)</f>
        <v>500</v>
      </c>
      <c r="N1630" s="148">
        <f>IFERROR(__xludf.DUMMYFUNCTION("""COMPUTED_VALUE"""),999999.0)</f>
        <v>999999</v>
      </c>
      <c r="O1630" s="148">
        <f>IFERROR(__xludf.DUMMYFUNCTION("""COMPUTED_VALUE"""),99999.0)</f>
        <v>99999</v>
      </c>
      <c r="P1630" s="148">
        <f>IFERROR(__xludf.DUMMYFUNCTION("""COMPUTED_VALUE"""),1.0)</f>
        <v>1</v>
      </c>
      <c r="Q1630" s="148" t="str">
        <f>IFERROR(__xludf.DUMMYFUNCTION("""COMPUTED_VALUE"""),"[""bag_other""]")</f>
        <v>["bag_other"]</v>
      </c>
      <c r="R1630" s="148" t="str">
        <f>IFERROR(__xludf.DUMMYFUNCTION("""COMPUTED_VALUE"""),"[""bag"",""13650103""]")</f>
        <v>["bag","13650103"]</v>
      </c>
      <c r="S1630" s="148" t="str">
        <f>IFERROR(__xludf.DUMMYFUNCTION("""COMPUTED_VALUE"""),"{""effect"":[{""typ"":""marching_effect"",""id"":13650103,""val"":604800000},{""typ"":""vm"",""id"":11151001,""val"":500}]}")</f>
        <v>{"effect":[{"typ":"marching_effect","id":13650103,"val":604800000},{"typ":"vm","id":11151001,"val":500}]}</v>
      </c>
      <c r="T1630" s="148">
        <f>IFERROR(__xludf.DUMMYFUNCTION("""COMPUTED_VALUE"""),-1.0)</f>
        <v>-1</v>
      </c>
      <c r="U1630" s="148">
        <f>IFERROR(__xludf.DUMMYFUNCTION("""COMPUTED_VALUE"""),0.0)</f>
        <v>0</v>
      </c>
      <c r="V1630" s="148" t="str">
        <f>IFERROR(__xludf.DUMMYFUNCTION("""COMPUTED_VALUE"""),"[]")</f>
        <v>[]</v>
      </c>
      <c r="W1630" s="148">
        <f>IFERROR(__xludf.DUMMYFUNCTION("""COMPUTED_VALUE"""),1.174E7)</f>
        <v>11740000</v>
      </c>
      <c r="X1630" s="148">
        <f>IFERROR(__xludf.DUMMYFUNCTION("""COMPUTED_VALUE"""),0.0)</f>
        <v>0</v>
      </c>
      <c r="Y1630" s="148">
        <f>IFERROR(__xludf.DUMMYFUNCTION("""COMPUTED_VALUE"""),0.0)</f>
        <v>0</v>
      </c>
      <c r="Z1630" s="148"/>
    </row>
    <row r="1631">
      <c r="A1631" s="148">
        <f>IFERROR(__xludf.DUMMYFUNCTION("""COMPUTED_VALUE"""),1.1117274E7)</f>
        <v>11117274</v>
      </c>
      <c r="B1631" s="148" t="str">
        <f>IFERROR(__xludf.DUMMYFUNCTION("""COMPUTED_VALUE"""),"行军特效-冬日奇缘-14天限时")</f>
        <v>行军特效-冬日奇缘-14天限时</v>
      </c>
      <c r="C1631" s="148"/>
      <c r="D1631" s="148" t="str">
        <f>IFERROR(__xludf.DUMMYFUNCTION("""COMPUTED_VALUE"""),"marching_effect")</f>
        <v>marching_effect</v>
      </c>
      <c r="E1631" s="148">
        <f>IFERROR(__xludf.DUMMYFUNCTION("""COMPUTED_VALUE"""),0.0)</f>
        <v>0</v>
      </c>
      <c r="F1631" s="148">
        <f>IFERROR(__xludf.DUMMYFUNCTION("""COMPUTED_VALUE"""),408197.0)</f>
        <v>408197</v>
      </c>
      <c r="G1631" s="148">
        <f>IFERROR(__xludf.DUMMYFUNCTION("""COMPUTED_VALUE"""),1.5115702E7)</f>
        <v>15115702</v>
      </c>
      <c r="H1631" s="148">
        <f>IFERROR(__xludf.DUMMYFUNCTION("""COMPUTED_VALUE"""),1.5112563E7)</f>
        <v>15112563</v>
      </c>
      <c r="I1631" s="148" t="str">
        <f>IFERROR(__xludf.DUMMYFUNCTION("""COMPUTED_VALUE"""),"{""typ"":""lc"",""txt"":""LC_ITEM_time_day_upper_show"",""args"":[{""typ"":""int_unit"",""val"":14}]}")</f>
        <v>{"typ":"lc","txt":"LC_ITEM_time_day_upper_show","args":[{"typ":"int_unit","val":14}]}</v>
      </c>
      <c r="J1631" s="148" t="str">
        <f>IFERROR(__xludf.DUMMYFUNCTION("""COMPUTED_VALUE"""),"{""typ"":""lc"",""txt"":""LC_ITEM_snow_marcheffect_2022_title""}")</f>
        <v>{"typ":"lc","txt":"LC_ITEM_snow_marcheffect_2022_title"}</v>
      </c>
      <c r="K1631" s="148" t="str">
        <f>IFERROR(__xludf.DUMMYFUNCTION("""COMPUTED_VALUE"""),"{""typ"":""lc"",""txt"":""LC_ITEM_snow_marcheffect_2022_desc""}")</f>
        <v>{"typ":"lc","txt":"LC_ITEM_snow_marcheffect_2022_desc"}</v>
      </c>
      <c r="L1631" s="148" t="str">
        <f>IFERROR(__xludf.DUMMYFUNCTION("""COMPUTED_VALUE"""),"{""typ"":""lc"",""txt"":""LC_ITEM_snow_marcheffect_2022_usetip_2_14d""}")</f>
        <v>{"typ":"lc","txt":"LC_ITEM_snow_marcheffect_2022_usetip_2_14d"}</v>
      </c>
      <c r="M1631" s="148">
        <f>IFERROR(__xludf.DUMMYFUNCTION("""COMPUTED_VALUE"""),1000.0)</f>
        <v>1000</v>
      </c>
      <c r="N1631" s="148">
        <f>IFERROR(__xludf.DUMMYFUNCTION("""COMPUTED_VALUE"""),999999.0)</f>
        <v>999999</v>
      </c>
      <c r="O1631" s="148">
        <f>IFERROR(__xludf.DUMMYFUNCTION("""COMPUTED_VALUE"""),99999.0)</f>
        <v>99999</v>
      </c>
      <c r="P1631" s="148">
        <f>IFERROR(__xludf.DUMMYFUNCTION("""COMPUTED_VALUE"""),1.0)</f>
        <v>1</v>
      </c>
      <c r="Q1631" s="148" t="str">
        <f>IFERROR(__xludf.DUMMYFUNCTION("""COMPUTED_VALUE"""),"[""bag_other""]")</f>
        <v>["bag_other"]</v>
      </c>
      <c r="R1631" s="148" t="str">
        <f>IFERROR(__xludf.DUMMYFUNCTION("""COMPUTED_VALUE"""),"[""bag"",""13650103""]")</f>
        <v>["bag","13650103"]</v>
      </c>
      <c r="S1631" s="148" t="str">
        <f>IFERROR(__xludf.DUMMYFUNCTION("""COMPUTED_VALUE"""),"{""effect"":[{""typ"":""marching_effect"",""id"":13650103,""val"":1209600000},{""typ"":""vm"",""id"":11151001,""val"":1000}]}")</f>
        <v>{"effect":[{"typ":"marching_effect","id":13650103,"val":1209600000},{"typ":"vm","id":11151001,"val":1000}]}</v>
      </c>
      <c r="T1631" s="148">
        <f>IFERROR(__xludf.DUMMYFUNCTION("""COMPUTED_VALUE"""),-1.0)</f>
        <v>-1</v>
      </c>
      <c r="U1631" s="148">
        <f>IFERROR(__xludf.DUMMYFUNCTION("""COMPUTED_VALUE"""),0.0)</f>
        <v>0</v>
      </c>
      <c r="V1631" s="148" t="str">
        <f>IFERROR(__xludf.DUMMYFUNCTION("""COMPUTED_VALUE"""),"[]")</f>
        <v>[]</v>
      </c>
      <c r="W1631" s="148">
        <f>IFERROR(__xludf.DUMMYFUNCTION("""COMPUTED_VALUE"""),1.174E7)</f>
        <v>11740000</v>
      </c>
      <c r="X1631" s="148">
        <f>IFERROR(__xludf.DUMMYFUNCTION("""COMPUTED_VALUE"""),0.0)</f>
        <v>0</v>
      </c>
      <c r="Y1631" s="148">
        <f>IFERROR(__xludf.DUMMYFUNCTION("""COMPUTED_VALUE"""),0.0)</f>
        <v>0</v>
      </c>
      <c r="Z1631" s="148"/>
    </row>
    <row r="1632">
      <c r="A1632" s="148">
        <f>IFERROR(__xludf.DUMMYFUNCTION("""COMPUTED_VALUE"""),1.1117275E7)</f>
        <v>11117275</v>
      </c>
      <c r="B1632" s="148" t="str">
        <f>IFERROR(__xludf.DUMMYFUNCTION("""COMPUTED_VALUE"""),"行军特效-冬日奇缘-永久")</f>
        <v>行军特效-冬日奇缘-永久</v>
      </c>
      <c r="C1632" s="148"/>
      <c r="D1632" s="148" t="str">
        <f>IFERROR(__xludf.DUMMYFUNCTION("""COMPUTED_VALUE"""),"marching_effect")</f>
        <v>marching_effect</v>
      </c>
      <c r="E1632" s="148">
        <f>IFERROR(__xludf.DUMMYFUNCTION("""COMPUTED_VALUE"""),0.0)</f>
        <v>0</v>
      </c>
      <c r="F1632" s="148">
        <f>IFERROR(__xludf.DUMMYFUNCTION("""COMPUTED_VALUE"""),408196.0)</f>
        <v>408196</v>
      </c>
      <c r="G1632" s="148">
        <f>IFERROR(__xludf.DUMMYFUNCTION("""COMPUTED_VALUE"""),1.5115702E7)</f>
        <v>15115702</v>
      </c>
      <c r="H1632" s="148">
        <f>IFERROR(__xludf.DUMMYFUNCTION("""COMPUTED_VALUE"""),1.5112564E7)</f>
        <v>15112564</v>
      </c>
      <c r="I1632" s="148" t="str">
        <f>IFERROR(__xludf.DUMMYFUNCTION("""COMPUTED_VALUE"""),"{}")</f>
        <v>{}</v>
      </c>
      <c r="J1632" s="148" t="str">
        <f>IFERROR(__xludf.DUMMYFUNCTION("""COMPUTED_VALUE"""),"{""typ"":""lc"",""txt"":""LC_ITEM_snow_marcheffect_2022_title""}")</f>
        <v>{"typ":"lc","txt":"LC_ITEM_snow_marcheffect_2022_title"}</v>
      </c>
      <c r="K1632" s="148" t="str">
        <f>IFERROR(__xludf.DUMMYFUNCTION("""COMPUTED_VALUE"""),"{""typ"":""lc"",""txt"":""LC_ITEM_snow_marcheffect_2022_desc""}")</f>
        <v>{"typ":"lc","txt":"LC_ITEM_snow_marcheffect_2022_desc"}</v>
      </c>
      <c r="L1632" s="148" t="str">
        <f>IFERROR(__xludf.DUMMYFUNCTION("""COMPUTED_VALUE"""),"{""typ"":""lc"",""txt"":""LC_ITEM_snow_marcheffect_2022_usetip_2""}")</f>
        <v>{"typ":"lc","txt":"LC_ITEM_snow_marcheffect_2022_usetip_2"}</v>
      </c>
      <c r="M1632" s="148">
        <f>IFERROR(__xludf.DUMMYFUNCTION("""COMPUTED_VALUE"""),5000.0)</f>
        <v>5000</v>
      </c>
      <c r="N1632" s="148">
        <f>IFERROR(__xludf.DUMMYFUNCTION("""COMPUTED_VALUE"""),999999.0)</f>
        <v>999999</v>
      </c>
      <c r="O1632" s="148">
        <f>IFERROR(__xludf.DUMMYFUNCTION("""COMPUTED_VALUE"""),99999.0)</f>
        <v>99999</v>
      </c>
      <c r="P1632" s="148">
        <f>IFERROR(__xludf.DUMMYFUNCTION("""COMPUTED_VALUE"""),1.0)</f>
        <v>1</v>
      </c>
      <c r="Q1632" s="148" t="str">
        <f>IFERROR(__xludf.DUMMYFUNCTION("""COMPUTED_VALUE"""),"[""bag_other""]")</f>
        <v>["bag_other"]</v>
      </c>
      <c r="R1632" s="148" t="str">
        <f>IFERROR(__xludf.DUMMYFUNCTION("""COMPUTED_VALUE"""),"[""bag"",""13650103""]")</f>
        <v>["bag","13650103"]</v>
      </c>
      <c r="S1632" s="148" t="str">
        <f>IFERROR(__xludf.DUMMYFUNCTION("""COMPUTED_VALUE"""),"{""effect"":[{""typ"":""marching_effect"",""id"":13650103,""val"":-1},{""typ"":""item"",""id"":11112030,""val"":500}]}")</f>
        <v>{"effect":[{"typ":"marching_effect","id":13650103,"val":-1},{"typ":"item","id":11112030,"val":500}]}</v>
      </c>
      <c r="T1632" s="148">
        <f>IFERROR(__xludf.DUMMYFUNCTION("""COMPUTED_VALUE"""),-1.0)</f>
        <v>-1</v>
      </c>
      <c r="U1632" s="148">
        <f>IFERROR(__xludf.DUMMYFUNCTION("""COMPUTED_VALUE"""),0.0)</f>
        <v>0</v>
      </c>
      <c r="V1632" s="148" t="str">
        <f>IFERROR(__xludf.DUMMYFUNCTION("""COMPUTED_VALUE"""),"[]")</f>
        <v>[]</v>
      </c>
      <c r="W1632" s="148">
        <f>IFERROR(__xludf.DUMMYFUNCTION("""COMPUTED_VALUE"""),1.174E7)</f>
        <v>11740000</v>
      </c>
      <c r="X1632" s="148">
        <f>IFERROR(__xludf.DUMMYFUNCTION("""COMPUTED_VALUE"""),0.0)</f>
        <v>0</v>
      </c>
      <c r="Y1632" s="148">
        <f>IFERROR(__xludf.DUMMYFUNCTION("""COMPUTED_VALUE"""),0.0)</f>
        <v>0</v>
      </c>
      <c r="Z1632" s="148"/>
    </row>
    <row r="1633">
      <c r="A1633" s="148">
        <f>IFERROR(__xludf.DUMMYFUNCTION("""COMPUTED_VALUE"""),1.1117276E7)</f>
        <v>11117276</v>
      </c>
      <c r="B1633" s="148" t="str">
        <f>IFERROR(__xludf.DUMMYFUNCTION("""COMPUTED_VALUE"""),"收藏品预热活动-积分道具")</f>
        <v>收藏品预热活动-积分道具</v>
      </c>
      <c r="C1633" s="148"/>
      <c r="D1633" s="148" t="str">
        <f>IFERROR(__xludf.DUMMYFUNCTION("""COMPUTED_VALUE"""),"event_progress")</f>
        <v>event_progress</v>
      </c>
      <c r="E1633" s="148">
        <f>IFERROR(__xludf.DUMMYFUNCTION("""COMPUTED_VALUE"""),0.0)</f>
        <v>0</v>
      </c>
      <c r="F1633" s="148">
        <f>IFERROR(__xludf.DUMMYFUNCTION("""COMPUTED_VALUE"""),0.0)</f>
        <v>0</v>
      </c>
      <c r="G1633" s="148">
        <f>IFERROR(__xludf.DUMMYFUNCTION("""COMPUTED_VALUE"""),1.511571E7)</f>
        <v>15115710</v>
      </c>
      <c r="H1633" s="148">
        <f>IFERROR(__xludf.DUMMYFUNCTION("""COMPUTED_VALUE"""),0.0)</f>
        <v>0</v>
      </c>
      <c r="I1633" s="148" t="str">
        <f>IFERROR(__xludf.DUMMYFUNCTION("""COMPUTED_VALUE"""),"{}")</f>
        <v>{}</v>
      </c>
      <c r="J1633" s="148" t="str">
        <f>IFERROR(__xludf.DUMMYFUNCTION("""COMPUTED_VALUE"""),"{""typ"":""lc"",""txt"":""LC_ITEM_collection_score_item""}")</f>
        <v>{"typ":"lc","txt":"LC_ITEM_collection_score_item"}</v>
      </c>
      <c r="K1633" s="148" t="str">
        <f>IFERROR(__xludf.DUMMYFUNCTION("""COMPUTED_VALUE"""),"{""typ"":""lc"",""txt"":""LC_ITEM_collection_score_item_desc""}")</f>
        <v>{"typ":"lc","txt":"LC_ITEM_collection_score_item_desc"}</v>
      </c>
      <c r="L1633" s="148" t="str">
        <f>IFERROR(__xludf.DUMMYFUNCTION("""COMPUTED_VALUE"""),"{}")</f>
        <v>{}</v>
      </c>
      <c r="M1633" s="148">
        <f>IFERROR(__xludf.DUMMYFUNCTION("""COMPUTED_VALUE"""),10.0)</f>
        <v>10</v>
      </c>
      <c r="N1633" s="148">
        <f>IFERROR(__xludf.DUMMYFUNCTION("""COMPUTED_VALUE"""),999999.0)</f>
        <v>999999</v>
      </c>
      <c r="O1633" s="148">
        <f>IFERROR(__xludf.DUMMYFUNCTION("""COMPUTED_VALUE"""),99999.0)</f>
        <v>99999</v>
      </c>
      <c r="P1633" s="148">
        <f>IFERROR(__xludf.DUMMYFUNCTION("""COMPUTED_VALUE"""),9999.0)</f>
        <v>9999</v>
      </c>
      <c r="Q1633" s="148" t="str">
        <f>IFERROR(__xludf.DUMMYFUNCTION("""COMPUTED_VALUE"""),"[]")</f>
        <v>[]</v>
      </c>
      <c r="R1633" s="148" t="str">
        <f>IFERROR(__xludf.DUMMYFUNCTION("""COMPUTED_VALUE"""),"[]")</f>
        <v>[]</v>
      </c>
      <c r="S1633" s="148" t="str">
        <f>IFERROR(__xludf.DUMMYFUNCTION("""COMPUTED_VALUE"""),"{}")</f>
        <v>{}</v>
      </c>
      <c r="T1633" s="148">
        <f>IFERROR(__xludf.DUMMYFUNCTION("""COMPUTED_VALUE"""),-1.0)</f>
        <v>-1</v>
      </c>
      <c r="U1633" s="148">
        <f>IFERROR(__xludf.DUMMYFUNCTION("""COMPUTED_VALUE"""),1.0)</f>
        <v>1</v>
      </c>
      <c r="V1633" s="148" t="str">
        <f>IFERROR(__xludf.DUMMYFUNCTION("""COMPUTED_VALUE"""),"[]")</f>
        <v>[]</v>
      </c>
      <c r="W1633" s="148">
        <f>IFERROR(__xludf.DUMMYFUNCTION("""COMPUTED_VALUE"""),1.174E7)</f>
        <v>11740000</v>
      </c>
      <c r="X1633" s="148">
        <f>IFERROR(__xludf.DUMMYFUNCTION("""COMPUTED_VALUE"""),0.0)</f>
        <v>0</v>
      </c>
      <c r="Y1633" s="148">
        <f>IFERROR(__xludf.DUMMYFUNCTION("""COMPUTED_VALUE"""),0.0)</f>
        <v>0</v>
      </c>
      <c r="Z1633" s="148"/>
    </row>
    <row r="1634">
      <c r="A1634" s="148">
        <f>IFERROR(__xludf.DUMMYFUNCTION("""COMPUTED_VALUE"""),1.1117277E7)</f>
        <v>11117277</v>
      </c>
      <c r="B1634" s="148" t="str">
        <f>IFERROR(__xludf.DUMMYFUNCTION("""COMPUTED_VALUE"""),"收藏品预热宝箱-1")</f>
        <v>收藏品预热宝箱-1</v>
      </c>
      <c r="C1634" s="148"/>
      <c r="D1634" s="148" t="str">
        <f>IFERROR(__xludf.DUMMYFUNCTION("""COMPUTED_VALUE"""),"item_asset")</f>
        <v>item_asset</v>
      </c>
      <c r="E1634" s="148">
        <f>IFERROR(__xludf.DUMMYFUNCTION("""COMPUTED_VALUE"""),19.0)</f>
        <v>19</v>
      </c>
      <c r="F1634" s="148">
        <f>IFERROR(__xludf.DUMMYFUNCTION("""COMPUTED_VALUE"""),401116.0)</f>
        <v>401116</v>
      </c>
      <c r="G1634" s="148">
        <f>IFERROR(__xludf.DUMMYFUNCTION("""COMPUTED_VALUE"""),1.5113195E7)</f>
        <v>15113195</v>
      </c>
      <c r="H1634" s="148">
        <f>IFERROR(__xludf.DUMMYFUNCTION("""COMPUTED_VALUE"""),1.5112561E7)</f>
        <v>15112561</v>
      </c>
      <c r="I1634" s="148" t="str">
        <f>IFERROR(__xludf.DUMMYFUNCTION("""COMPUTED_VALUE"""),"{}")</f>
        <v>{}</v>
      </c>
      <c r="J1634" s="148" t="str">
        <f>IFERROR(__xludf.DUMMYFUNCTION("""COMPUTED_VALUE"""),"{""typ"":""lc"",""txt"":""LC_ITEM_tny_chest_name""}")</f>
        <v>{"typ":"lc","txt":"LC_ITEM_tny_chest_name"}</v>
      </c>
      <c r="K1634" s="148" t="str">
        <f>IFERROR(__xludf.DUMMYFUNCTION("""COMPUTED_VALUE"""),"{""typ"":""lc"",""txt"":""LC_ITEM_tny_chest_desc""}")</f>
        <v>{"typ":"lc","txt":"LC_ITEM_tny_chest_desc"}</v>
      </c>
      <c r="L1634" s="148" t="str">
        <f>IFERROR(__xludf.DUMMYFUNCTION("""COMPUTED_VALUE"""),"{""typ"":""lc"",""txt"":""LC_ITEM_season_extra_reward_usedtip""}")</f>
        <v>{"typ":"lc","txt":"LC_ITEM_season_extra_reward_usedtip"}</v>
      </c>
      <c r="M1634" s="148">
        <f>IFERROR(__xludf.DUMMYFUNCTION("""COMPUTED_VALUE"""),1133.0)</f>
        <v>1133</v>
      </c>
      <c r="N1634" s="148">
        <f>IFERROR(__xludf.DUMMYFUNCTION("""COMPUTED_VALUE"""),999999.0)</f>
        <v>999999</v>
      </c>
      <c r="O1634" s="148">
        <f>IFERROR(__xludf.DUMMYFUNCTION("""COMPUTED_VALUE"""),99999.0)</f>
        <v>99999</v>
      </c>
      <c r="P1634" s="148">
        <f>IFERROR(__xludf.DUMMYFUNCTION("""COMPUTED_VALUE"""),100.0)</f>
        <v>100</v>
      </c>
      <c r="Q1634" s="148" t="str">
        <f>IFERROR(__xludf.DUMMYFUNCTION("""COMPUTED_VALUE"""),"[""bag_other""]")</f>
        <v>["bag_other"]</v>
      </c>
      <c r="R1634" s="148" t="str">
        <f>IFERROR(__xludf.DUMMYFUNCTION("""COMPUTED_VALUE"""),"[""bag""]")</f>
        <v>["bag"]</v>
      </c>
      <c r="S1634" s="148" t="str">
        <f>IFERROR(__xludf.DUMMYFUNCTION("""COMPUTED_VALUE"""),"{""drop"":{""typ"":""single_random"",""num"":1,""args"":[{""typ"":""item"",""id"":11111001,""num"":1,""wgt"":20},{""typ"":""item"",""id"":11111005,""num"":1,""wgt"":20},{""typ"":""item"",""id"":11111025,""num"":1,""wgt"":30},{""typ"":""item"",""id"":11111"&amp;"026,""num"":1,""wgt"":30}]}}")</f>
        <v>{"drop":{"typ":"single_random","num":1,"args":[{"typ":"item","id":11111001,"num":1,"wgt":20},{"typ":"item","id":11111005,"num":1,"wgt":20},{"typ":"item","id":11111025,"num":1,"wgt":30},{"typ":"item","id":11111026,"num":1,"wgt":30}]}}</v>
      </c>
      <c r="T1634" s="148">
        <f>IFERROR(__xludf.DUMMYFUNCTION("""COMPUTED_VALUE"""),-1.0)</f>
        <v>-1</v>
      </c>
      <c r="U1634" s="148">
        <f>IFERROR(__xludf.DUMMYFUNCTION("""COMPUTED_VALUE"""),0.0)</f>
        <v>0</v>
      </c>
      <c r="V1634" s="148" t="str">
        <f>IFERROR(__xludf.DUMMYFUNCTION("""COMPUTED_VALUE"""),"[]")</f>
        <v>[]</v>
      </c>
      <c r="W1634" s="148">
        <f>IFERROR(__xludf.DUMMYFUNCTION("""COMPUTED_VALUE"""),1.174E7)</f>
        <v>11740000</v>
      </c>
      <c r="X1634" s="148">
        <f>IFERROR(__xludf.DUMMYFUNCTION("""COMPUTED_VALUE"""),0.0)</f>
        <v>0</v>
      </c>
      <c r="Y1634" s="148">
        <f>IFERROR(__xludf.DUMMYFUNCTION("""COMPUTED_VALUE"""),0.0)</f>
        <v>0</v>
      </c>
      <c r="Z1634" s="148"/>
    </row>
    <row r="1635">
      <c r="A1635" s="148">
        <f>IFERROR(__xludf.DUMMYFUNCTION("""COMPUTED_VALUE"""),1.1117278E7)</f>
        <v>11117278</v>
      </c>
      <c r="B1635" s="148" t="str">
        <f>IFERROR(__xludf.DUMMYFUNCTION("""COMPUTED_VALUE"""),"收藏品预热宝箱-2")</f>
        <v>收藏品预热宝箱-2</v>
      </c>
      <c r="C1635" s="148"/>
      <c r="D1635" s="148" t="str">
        <f>IFERROR(__xludf.DUMMYFUNCTION("""COMPUTED_VALUE"""),"item_asset")</f>
        <v>item_asset</v>
      </c>
      <c r="E1635" s="148">
        <f>IFERROR(__xludf.DUMMYFUNCTION("""COMPUTED_VALUE"""),19.0)</f>
        <v>19</v>
      </c>
      <c r="F1635" s="148">
        <f>IFERROR(__xludf.DUMMYFUNCTION("""COMPUTED_VALUE"""),401116.0)</f>
        <v>401116</v>
      </c>
      <c r="G1635" s="148">
        <f>IFERROR(__xludf.DUMMYFUNCTION("""COMPUTED_VALUE"""),1.5113196E7)</f>
        <v>15113196</v>
      </c>
      <c r="H1635" s="148">
        <f>IFERROR(__xludf.DUMMYFUNCTION("""COMPUTED_VALUE"""),1.5112562E7)</f>
        <v>15112562</v>
      </c>
      <c r="I1635" s="148" t="str">
        <f>IFERROR(__xludf.DUMMYFUNCTION("""COMPUTED_VALUE"""),"{}")</f>
        <v>{}</v>
      </c>
      <c r="J1635" s="148" t="str">
        <f>IFERROR(__xludf.DUMMYFUNCTION("""COMPUTED_VALUE"""),"{""typ"":""lc"",""txt"":""LC_ITEM_tny_chest_name""}")</f>
        <v>{"typ":"lc","txt":"LC_ITEM_tny_chest_name"}</v>
      </c>
      <c r="K1635" s="148" t="str">
        <f>IFERROR(__xludf.DUMMYFUNCTION("""COMPUTED_VALUE"""),"{""typ"":""lc"",""txt"":""LC_ITEM_tny_chest_desc""}")</f>
        <v>{"typ":"lc","txt":"LC_ITEM_tny_chest_desc"}</v>
      </c>
      <c r="L1635" s="148" t="str">
        <f>IFERROR(__xludf.DUMMYFUNCTION("""COMPUTED_VALUE"""),"{""typ"":""lc"",""txt"":""LC_ITEM_season_extra_reward_usedtip""}")</f>
        <v>{"typ":"lc","txt":"LC_ITEM_season_extra_reward_usedtip"}</v>
      </c>
      <c r="M1635" s="148">
        <f>IFERROR(__xludf.DUMMYFUNCTION("""COMPUTED_VALUE"""),1133.0)</f>
        <v>1133</v>
      </c>
      <c r="N1635" s="148">
        <f>IFERROR(__xludf.DUMMYFUNCTION("""COMPUTED_VALUE"""),999999.0)</f>
        <v>999999</v>
      </c>
      <c r="O1635" s="148">
        <f>IFERROR(__xludf.DUMMYFUNCTION("""COMPUTED_VALUE"""),99999.0)</f>
        <v>99999</v>
      </c>
      <c r="P1635" s="148">
        <f>IFERROR(__xludf.DUMMYFUNCTION("""COMPUTED_VALUE"""),100.0)</f>
        <v>100</v>
      </c>
      <c r="Q1635" s="148" t="str">
        <f>IFERROR(__xludf.DUMMYFUNCTION("""COMPUTED_VALUE"""),"[""bag_other""]")</f>
        <v>["bag_other"]</v>
      </c>
      <c r="R1635" s="148" t="str">
        <f>IFERROR(__xludf.DUMMYFUNCTION("""COMPUTED_VALUE"""),"[""bag""]")</f>
        <v>["bag"]</v>
      </c>
      <c r="S1635" s="148" t="str">
        <f>IFERROR(__xludf.DUMMYFUNCTION("""COMPUTED_VALUE"""),"{""drop"":{""typ"":""single_random"",""num"":1,""args"":[{""typ"":""item"",""id"":11111027,""num"":1,""wgt"":50},{""typ"":""item"",""id"":11111013,""num"":1,""wgt"":25},{""typ"":""item"",""id"":11111028,""num"":1,""wgt"":20},{""typ"":""item"",""id"":11111"&amp;"014,""num"":1,""wgt"":5}]}}")</f>
        <v>{"drop":{"typ":"single_random","num":1,"args":[{"typ":"item","id":11111027,"num":1,"wgt":50},{"typ":"item","id":11111013,"num":1,"wgt":25},{"typ":"item","id":11111028,"num":1,"wgt":20},{"typ":"item","id":11111014,"num":1,"wgt":5}]}}</v>
      </c>
      <c r="T1635" s="148">
        <f>IFERROR(__xludf.DUMMYFUNCTION("""COMPUTED_VALUE"""),-1.0)</f>
        <v>-1</v>
      </c>
      <c r="U1635" s="148">
        <f>IFERROR(__xludf.DUMMYFUNCTION("""COMPUTED_VALUE"""),0.0)</f>
        <v>0</v>
      </c>
      <c r="V1635" s="148" t="str">
        <f>IFERROR(__xludf.DUMMYFUNCTION("""COMPUTED_VALUE"""),"[]")</f>
        <v>[]</v>
      </c>
      <c r="W1635" s="148">
        <f>IFERROR(__xludf.DUMMYFUNCTION("""COMPUTED_VALUE"""),1.174E7)</f>
        <v>11740000</v>
      </c>
      <c r="X1635" s="148">
        <f>IFERROR(__xludf.DUMMYFUNCTION("""COMPUTED_VALUE"""),0.0)</f>
        <v>0</v>
      </c>
      <c r="Y1635" s="148">
        <f>IFERROR(__xludf.DUMMYFUNCTION("""COMPUTED_VALUE"""),0.0)</f>
        <v>0</v>
      </c>
      <c r="Z1635" s="148"/>
    </row>
    <row r="1636">
      <c r="A1636" s="148">
        <f>IFERROR(__xludf.DUMMYFUNCTION("""COMPUTED_VALUE"""),1.1117279E7)</f>
        <v>11117279</v>
      </c>
      <c r="B1636" s="148" t="str">
        <f>IFERROR(__xludf.DUMMYFUNCTION("""COMPUTED_VALUE"""),"收藏品预热宝箱-3")</f>
        <v>收藏品预热宝箱-3</v>
      </c>
      <c r="C1636" s="148"/>
      <c r="D1636" s="148" t="str">
        <f>IFERROR(__xludf.DUMMYFUNCTION("""COMPUTED_VALUE"""),"item_asset")</f>
        <v>item_asset</v>
      </c>
      <c r="E1636" s="148">
        <f>IFERROR(__xludf.DUMMYFUNCTION("""COMPUTED_VALUE"""),19.0)</f>
        <v>19</v>
      </c>
      <c r="F1636" s="148">
        <f>IFERROR(__xludf.DUMMYFUNCTION("""COMPUTED_VALUE"""),401116.0)</f>
        <v>401116</v>
      </c>
      <c r="G1636" s="148">
        <f>IFERROR(__xludf.DUMMYFUNCTION("""COMPUTED_VALUE"""),1.5113197E7)</f>
        <v>15113197</v>
      </c>
      <c r="H1636" s="148">
        <f>IFERROR(__xludf.DUMMYFUNCTION("""COMPUTED_VALUE"""),1.5112562E7)</f>
        <v>15112562</v>
      </c>
      <c r="I1636" s="148" t="str">
        <f>IFERROR(__xludf.DUMMYFUNCTION("""COMPUTED_VALUE"""),"{}")</f>
        <v>{}</v>
      </c>
      <c r="J1636" s="148" t="str">
        <f>IFERROR(__xludf.DUMMYFUNCTION("""COMPUTED_VALUE"""),"{""typ"":""lc"",""txt"":""LC_ITEM_tny_chest_name""}")</f>
        <v>{"typ":"lc","txt":"LC_ITEM_tny_chest_name"}</v>
      </c>
      <c r="K1636" s="148" t="str">
        <f>IFERROR(__xludf.DUMMYFUNCTION("""COMPUTED_VALUE"""),"{""typ"":""lc"",""txt"":""LC_ITEM_tny_chest_desc""}")</f>
        <v>{"typ":"lc","txt":"LC_ITEM_tny_chest_desc"}</v>
      </c>
      <c r="L1636" s="148" t="str">
        <f>IFERROR(__xludf.DUMMYFUNCTION("""COMPUTED_VALUE"""),"{""typ"":""lc"",""txt"":""LC_ITEM_season_extra_reward_usedtip""}")</f>
        <v>{"typ":"lc","txt":"LC_ITEM_season_extra_reward_usedtip"}</v>
      </c>
      <c r="M1636" s="148">
        <f>IFERROR(__xludf.DUMMYFUNCTION("""COMPUTED_VALUE"""),1133.0)</f>
        <v>1133</v>
      </c>
      <c r="N1636" s="148">
        <f>IFERROR(__xludf.DUMMYFUNCTION("""COMPUTED_VALUE"""),999999.0)</f>
        <v>999999</v>
      </c>
      <c r="O1636" s="148">
        <f>IFERROR(__xludf.DUMMYFUNCTION("""COMPUTED_VALUE"""),99999.0)</f>
        <v>99999</v>
      </c>
      <c r="P1636" s="148">
        <f>IFERROR(__xludf.DUMMYFUNCTION("""COMPUTED_VALUE"""),100.0)</f>
        <v>100</v>
      </c>
      <c r="Q1636" s="148" t="str">
        <f>IFERROR(__xludf.DUMMYFUNCTION("""COMPUTED_VALUE"""),"[""bag_other""]")</f>
        <v>["bag_other"]</v>
      </c>
      <c r="R1636" s="148" t="str">
        <f>IFERROR(__xludf.DUMMYFUNCTION("""COMPUTED_VALUE"""),"[""bag""]")</f>
        <v>["bag"]</v>
      </c>
      <c r="S1636" s="148" t="str">
        <f>IFERROR(__xludf.DUMMYFUNCTION("""COMPUTED_VALUE"""),"{""drop"":{""typ"":""single_random"",""num"":1,""args"":[{""typ"":""collection"",""id"":11551021,""num"":1,""wgt"":100},{""typ"":""collection"",""id"":11551041,""num"":1,""wgt"":100},{""typ"":""collection"",""id"":11551081,""num"":1,""wgt"":100},{""typ"":"&amp;"""collection"",""id"":11551091,""num"":1,""wgt"":100},{""typ"":""collection"",""id"":11551101,""num"":1,""wgt"":100},{""typ"":""collection"",""id"":11551111,""num"":1,""wgt"":100}]}}")</f>
        <v>{"drop":{"typ":"single_random","num":1,"args":[{"typ":"collection","id":11551021,"num":1,"wgt":100},{"typ":"collection","id":11551041,"num":1,"wgt":100},{"typ":"collection","id":11551081,"num":1,"wgt":100},{"typ":"collection","id":11551091,"num":1,"wgt":100},{"typ":"collection","id":11551101,"num":1,"wgt":100},{"typ":"collection","id":11551111,"num":1,"wgt":100}]}}</v>
      </c>
      <c r="T1636" s="148">
        <f>IFERROR(__xludf.DUMMYFUNCTION("""COMPUTED_VALUE"""),-1.0)</f>
        <v>-1</v>
      </c>
      <c r="U1636" s="148">
        <f>IFERROR(__xludf.DUMMYFUNCTION("""COMPUTED_VALUE"""),0.0)</f>
        <v>0</v>
      </c>
      <c r="V1636" s="148" t="str">
        <f>IFERROR(__xludf.DUMMYFUNCTION("""COMPUTED_VALUE"""),"[]")</f>
        <v>[]</v>
      </c>
      <c r="W1636" s="148">
        <f>IFERROR(__xludf.DUMMYFUNCTION("""COMPUTED_VALUE"""),1.174E7)</f>
        <v>11740000</v>
      </c>
      <c r="X1636" s="148">
        <f>IFERROR(__xludf.DUMMYFUNCTION("""COMPUTED_VALUE"""),0.0)</f>
        <v>0</v>
      </c>
      <c r="Y1636" s="148">
        <f>IFERROR(__xludf.DUMMYFUNCTION("""COMPUTED_VALUE"""),0.0)</f>
        <v>0</v>
      </c>
      <c r="Z1636" s="148"/>
    </row>
    <row r="1637">
      <c r="A1637" s="148">
        <f>IFERROR(__xludf.DUMMYFUNCTION("""COMPUTED_VALUE"""),1.111728E7)</f>
        <v>11117280</v>
      </c>
      <c r="B1637" s="148" t="str">
        <f>IFERROR(__xludf.DUMMYFUNCTION("""COMPUTED_VALUE"""),"收藏品预热宝箱-4")</f>
        <v>收藏品预热宝箱-4</v>
      </c>
      <c r="C1637" s="148"/>
      <c r="D1637" s="148" t="str">
        <f>IFERROR(__xludf.DUMMYFUNCTION("""COMPUTED_VALUE"""),"item_asset")</f>
        <v>item_asset</v>
      </c>
      <c r="E1637" s="148">
        <f>IFERROR(__xludf.DUMMYFUNCTION("""COMPUTED_VALUE"""),19.0)</f>
        <v>19</v>
      </c>
      <c r="F1637" s="148">
        <f>IFERROR(__xludf.DUMMYFUNCTION("""COMPUTED_VALUE"""),401116.0)</f>
        <v>401116</v>
      </c>
      <c r="G1637" s="148">
        <f>IFERROR(__xludf.DUMMYFUNCTION("""COMPUTED_VALUE"""),1.5113198E7)</f>
        <v>15113198</v>
      </c>
      <c r="H1637" s="148">
        <f>IFERROR(__xludf.DUMMYFUNCTION("""COMPUTED_VALUE"""),1.5112563E7)</f>
        <v>15112563</v>
      </c>
      <c r="I1637" s="148" t="str">
        <f>IFERROR(__xludf.DUMMYFUNCTION("""COMPUTED_VALUE"""),"{}")</f>
        <v>{}</v>
      </c>
      <c r="J1637" s="148" t="str">
        <f>IFERROR(__xludf.DUMMYFUNCTION("""COMPUTED_VALUE"""),"{""typ"":""lc"",""txt"":""LC_ITEM_tny_chest_name""}")</f>
        <v>{"typ":"lc","txt":"LC_ITEM_tny_chest_name"}</v>
      </c>
      <c r="K1637" s="148" t="str">
        <f>IFERROR(__xludf.DUMMYFUNCTION("""COMPUTED_VALUE"""),"{""typ"":""lc"",""txt"":""LC_ITEM_tny_chest_desc""}")</f>
        <v>{"typ":"lc","txt":"LC_ITEM_tny_chest_desc"}</v>
      </c>
      <c r="L1637" s="148" t="str">
        <f>IFERROR(__xludf.DUMMYFUNCTION("""COMPUTED_VALUE"""),"{""typ"":""lc"",""txt"":""LC_ITEM_season_extra_reward_usedtip""}")</f>
        <v>{"typ":"lc","txt":"LC_ITEM_season_extra_reward_usedtip"}</v>
      </c>
      <c r="M1637" s="148">
        <f>IFERROR(__xludf.DUMMYFUNCTION("""COMPUTED_VALUE"""),1133.0)</f>
        <v>1133</v>
      </c>
      <c r="N1637" s="148">
        <f>IFERROR(__xludf.DUMMYFUNCTION("""COMPUTED_VALUE"""),999999.0)</f>
        <v>999999</v>
      </c>
      <c r="O1637" s="148">
        <f>IFERROR(__xludf.DUMMYFUNCTION("""COMPUTED_VALUE"""),99999.0)</f>
        <v>99999</v>
      </c>
      <c r="P1637" s="148">
        <f>IFERROR(__xludf.DUMMYFUNCTION("""COMPUTED_VALUE"""),100.0)</f>
        <v>100</v>
      </c>
      <c r="Q1637" s="148" t="str">
        <f>IFERROR(__xludf.DUMMYFUNCTION("""COMPUTED_VALUE"""),"[""bag_other""]")</f>
        <v>["bag_other"]</v>
      </c>
      <c r="R1637" s="148" t="str">
        <f>IFERROR(__xludf.DUMMYFUNCTION("""COMPUTED_VALUE"""),"[""bag""]")</f>
        <v>["bag"]</v>
      </c>
      <c r="S1637" s="148" t="str">
        <f>IFERROR(__xludf.DUMMYFUNCTION("""COMPUTED_VALUE"""),"{""drop"":{""typ"":""single_random"",""num"":1,""args"":[{""typ"":""collection"",""id"":11551021,""num"":1,""wgt"":100},{""typ"":""collection"",""id"":11551041,""num"":1,""wgt"":100},{""typ"":""collection"",""id"":11551081,""num"":1,""wgt"":100},{""typ"":"&amp;"""collection"",""id"":11551091,""num"":1,""wgt"":100},{""typ"":""collection"",""id"":11551101,""num"":1,""wgt"":100},{""typ"":""collection"",""id"":11551111,""num"":1,""wgt"":100}]}}")</f>
        <v>{"drop":{"typ":"single_random","num":1,"args":[{"typ":"collection","id":11551021,"num":1,"wgt":100},{"typ":"collection","id":11551041,"num":1,"wgt":100},{"typ":"collection","id":11551081,"num":1,"wgt":100},{"typ":"collection","id":11551091,"num":1,"wgt":100},{"typ":"collection","id":11551101,"num":1,"wgt":100},{"typ":"collection","id":11551111,"num":1,"wgt":100}]}}</v>
      </c>
      <c r="T1637" s="148">
        <f>IFERROR(__xludf.DUMMYFUNCTION("""COMPUTED_VALUE"""),-1.0)</f>
        <v>-1</v>
      </c>
      <c r="U1637" s="148">
        <f>IFERROR(__xludf.DUMMYFUNCTION("""COMPUTED_VALUE"""),0.0)</f>
        <v>0</v>
      </c>
      <c r="V1637" s="148" t="str">
        <f>IFERROR(__xludf.DUMMYFUNCTION("""COMPUTED_VALUE"""),"[]")</f>
        <v>[]</v>
      </c>
      <c r="W1637" s="148">
        <f>IFERROR(__xludf.DUMMYFUNCTION("""COMPUTED_VALUE"""),1.174E7)</f>
        <v>11740000</v>
      </c>
      <c r="X1637" s="148">
        <f>IFERROR(__xludf.DUMMYFUNCTION("""COMPUTED_VALUE"""),0.0)</f>
        <v>0</v>
      </c>
      <c r="Y1637" s="148">
        <f>IFERROR(__xludf.DUMMYFUNCTION("""COMPUTED_VALUE"""),0.0)</f>
        <v>0</v>
      </c>
      <c r="Z1637" s="148"/>
    </row>
    <row r="1638">
      <c r="A1638" s="148">
        <f>IFERROR(__xludf.DUMMYFUNCTION("""COMPUTED_VALUE"""),1.1117281E7)</f>
        <v>11117281</v>
      </c>
      <c r="B1638" s="148" t="str">
        <f>IFERROR(__xludf.DUMMYFUNCTION("""COMPUTED_VALUE"""),"收藏品预热宝箱-5")</f>
        <v>收藏品预热宝箱-5</v>
      </c>
      <c r="C1638" s="148"/>
      <c r="D1638" s="148" t="str">
        <f>IFERROR(__xludf.DUMMYFUNCTION("""COMPUTED_VALUE"""),"item_asset")</f>
        <v>item_asset</v>
      </c>
      <c r="E1638" s="148">
        <f>IFERROR(__xludf.DUMMYFUNCTION("""COMPUTED_VALUE"""),19.0)</f>
        <v>19</v>
      </c>
      <c r="F1638" s="148">
        <f>IFERROR(__xludf.DUMMYFUNCTION("""COMPUTED_VALUE"""),401116.0)</f>
        <v>401116</v>
      </c>
      <c r="G1638" s="148">
        <f>IFERROR(__xludf.DUMMYFUNCTION("""COMPUTED_VALUE"""),1.5113199E7)</f>
        <v>15113199</v>
      </c>
      <c r="H1638" s="148">
        <f>IFERROR(__xludf.DUMMYFUNCTION("""COMPUTED_VALUE"""),1.5112564E7)</f>
        <v>15112564</v>
      </c>
      <c r="I1638" s="148" t="str">
        <f>IFERROR(__xludf.DUMMYFUNCTION("""COMPUTED_VALUE"""),"{}")</f>
        <v>{}</v>
      </c>
      <c r="J1638" s="148" t="str">
        <f>IFERROR(__xludf.DUMMYFUNCTION("""COMPUTED_VALUE"""),"{""typ"":""lc"",""txt"":""LC_ITEM_tny_chest_name""}")</f>
        <v>{"typ":"lc","txt":"LC_ITEM_tny_chest_name"}</v>
      </c>
      <c r="K1638" s="148" t="str">
        <f>IFERROR(__xludf.DUMMYFUNCTION("""COMPUTED_VALUE"""),"{""typ"":""lc"",""txt"":""LC_ITEM_tny_chest_desc""}")</f>
        <v>{"typ":"lc","txt":"LC_ITEM_tny_chest_desc"}</v>
      </c>
      <c r="L1638" s="148" t="str">
        <f>IFERROR(__xludf.DUMMYFUNCTION("""COMPUTED_VALUE"""),"{""typ"":""lc"",""txt"":""LC_ITEM_season_extra_reward_usedtip""}")</f>
        <v>{"typ":"lc","txt":"LC_ITEM_season_extra_reward_usedtip"}</v>
      </c>
      <c r="M1638" s="148">
        <f>IFERROR(__xludf.DUMMYFUNCTION("""COMPUTED_VALUE"""),1133.0)</f>
        <v>1133</v>
      </c>
      <c r="N1638" s="148">
        <f>IFERROR(__xludf.DUMMYFUNCTION("""COMPUTED_VALUE"""),999999.0)</f>
        <v>999999</v>
      </c>
      <c r="O1638" s="148">
        <f>IFERROR(__xludf.DUMMYFUNCTION("""COMPUTED_VALUE"""),99999.0)</f>
        <v>99999</v>
      </c>
      <c r="P1638" s="148">
        <f>IFERROR(__xludf.DUMMYFUNCTION("""COMPUTED_VALUE"""),100.0)</f>
        <v>100</v>
      </c>
      <c r="Q1638" s="148" t="str">
        <f>IFERROR(__xludf.DUMMYFUNCTION("""COMPUTED_VALUE"""),"[""bag_other""]")</f>
        <v>["bag_other"]</v>
      </c>
      <c r="R1638" s="148" t="str">
        <f>IFERROR(__xludf.DUMMYFUNCTION("""COMPUTED_VALUE"""),"[""bag""]")</f>
        <v>["bag"]</v>
      </c>
      <c r="S1638" s="148" t="str">
        <f>IFERROR(__xludf.DUMMYFUNCTION("""COMPUTED_VALUE"""),"{""drop"":{""typ"":""single_random"",""num"":1,""args"":[{""typ"":""collection"",""id"":11551021,""num"":1,""wgt"":100},{""typ"":""collection"",""id"":11551041,""num"":1,""wgt"":100},{""typ"":""collection"",""id"":11551081,""num"":1,""wgt"":100},{""typ"":"&amp;"""collection"",""id"":11551091,""num"":1,""wgt"":100},{""typ"":""collection"",""id"":11551101,""num"":1,""wgt"":100},{""typ"":""collection"",""id"":11551111,""num"":1,""wgt"":100}]}}")</f>
        <v>{"drop":{"typ":"single_random","num":1,"args":[{"typ":"collection","id":11551021,"num":1,"wgt":100},{"typ":"collection","id":11551041,"num":1,"wgt":100},{"typ":"collection","id":11551081,"num":1,"wgt":100},{"typ":"collection","id":11551091,"num":1,"wgt":100},{"typ":"collection","id":11551101,"num":1,"wgt":100},{"typ":"collection","id":11551111,"num":1,"wgt":100}]}}</v>
      </c>
      <c r="T1638" s="148">
        <f>IFERROR(__xludf.DUMMYFUNCTION("""COMPUTED_VALUE"""),-1.0)</f>
        <v>-1</v>
      </c>
      <c r="U1638" s="148">
        <f>IFERROR(__xludf.DUMMYFUNCTION("""COMPUTED_VALUE"""),0.0)</f>
        <v>0</v>
      </c>
      <c r="V1638" s="148" t="str">
        <f>IFERROR(__xludf.DUMMYFUNCTION("""COMPUTED_VALUE"""),"[]")</f>
        <v>[]</v>
      </c>
      <c r="W1638" s="148">
        <f>IFERROR(__xludf.DUMMYFUNCTION("""COMPUTED_VALUE"""),1.174E7)</f>
        <v>11740000</v>
      </c>
      <c r="X1638" s="148">
        <f>IFERROR(__xludf.DUMMYFUNCTION("""COMPUTED_VALUE"""),0.0)</f>
        <v>0</v>
      </c>
      <c r="Y1638" s="148">
        <f>IFERROR(__xludf.DUMMYFUNCTION("""COMPUTED_VALUE"""),0.0)</f>
        <v>0</v>
      </c>
      <c r="Z1638" s="148"/>
    </row>
    <row r="1639">
      <c r="A1639" s="148">
        <f>IFERROR(__xludf.DUMMYFUNCTION("""COMPUTED_VALUE"""),1.1117297E7)</f>
        <v>11117297</v>
      </c>
      <c r="B1639" s="148" t="str">
        <f>IFERROR(__xludf.DUMMYFUNCTION("""COMPUTED_VALUE"""),"合成挖矿-研究药水（购买后变为rss）100")</f>
        <v>合成挖矿-研究药水（购买后变为rss）100</v>
      </c>
      <c r="C1639" s="148"/>
      <c r="D1639" s="148" t="str">
        <f>IFERROR(__xludf.DUMMYFUNCTION("""COMPUTED_VALUE"""),"metro_minigame_rss")</f>
        <v>metro_minigame_rss</v>
      </c>
      <c r="E1639" s="148">
        <f>IFERROR(__xludf.DUMMYFUNCTION("""COMPUTED_VALUE"""),0.0)</f>
        <v>0</v>
      </c>
      <c r="F1639" s="148">
        <f>IFERROR(__xludf.DUMMYFUNCTION("""COMPUTED_VALUE"""),0.0)</f>
        <v>0</v>
      </c>
      <c r="G1639" s="148">
        <f>IFERROR(__xludf.DUMMYFUNCTION("""COMPUTED_VALUE"""),1.5115588E7)</f>
        <v>15115588</v>
      </c>
      <c r="H1639" s="148">
        <f>IFERROR(__xludf.DUMMYFUNCTION("""COMPUTED_VALUE"""),1.5112562E7)</f>
        <v>15112562</v>
      </c>
      <c r="I1639" s="148" t="str">
        <f>IFERROR(__xludf.DUMMYFUNCTION("""COMPUTED_VALUE"""),"{""typ"":""lc"",""txt"":""LC_ITEM_rss_upper_show"",""args"":[{""typ"":""int"",""val"":100}]}")</f>
        <v>{"typ":"lc","txt":"LC_ITEM_rss_upper_show","args":[{"typ":"int","val":100}]}</v>
      </c>
      <c r="J1639" s="148" t="str">
        <f>IFERROR(__xludf.DUMMYFUNCTION("""COMPUTED_VALUE"""),"{""typ"":""lc"",""txt"":""LC_METRO_add_liquid_name"",""args"":[{""typ"":""int"",""val"":100}]}")</f>
        <v>{"typ":"lc","txt":"LC_METRO_add_liquid_name","args":[{"typ":"int","val":100}]}</v>
      </c>
      <c r="K1639" s="148" t="str">
        <f>IFERROR(__xludf.DUMMYFUNCTION("""COMPUTED_VALUE"""),"{""typ"":""lc"",""txt"":""LC_METRO_add_liquid_desc"",""args"":[{""typ"":""int"",""val"":100}]}")</f>
        <v>{"typ":"lc","txt":"LC_METRO_add_liquid_desc","args":[{"typ":"int","val":100}]}</v>
      </c>
      <c r="L1639" s="148" t="str">
        <f>IFERROR(__xludf.DUMMYFUNCTION("""COMPUTED_VALUE"""),"{""typ"":""lc"",""txt"":""LC_METRO_add_liquid_usedtip"",""args"":[{""typ"":""int"",""val"":100}]}")</f>
        <v>{"typ":"lc","txt":"LC_METRO_add_liquid_usedtip","args":[{"typ":"int","val":100}]}</v>
      </c>
      <c r="M1639" s="148">
        <f>IFERROR(__xludf.DUMMYFUNCTION("""COMPUTED_VALUE"""),30.0)</f>
        <v>30</v>
      </c>
      <c r="N1639" s="148">
        <f>IFERROR(__xludf.DUMMYFUNCTION("""COMPUTED_VALUE"""),9.99999999E8)</f>
        <v>999999999</v>
      </c>
      <c r="O1639" s="148">
        <f>IFERROR(__xludf.DUMMYFUNCTION("""COMPUTED_VALUE"""),9.99999999E8)</f>
        <v>999999999</v>
      </c>
      <c r="P1639" s="148">
        <f>IFERROR(__xludf.DUMMYFUNCTION("""COMPUTED_VALUE"""),9.99999999E8)</f>
        <v>999999999</v>
      </c>
      <c r="Q1639" s="148" t="str">
        <f>IFERROR(__xludf.DUMMYFUNCTION("""COMPUTED_VALUE"""),"[]")</f>
        <v>[]</v>
      </c>
      <c r="R1639" s="148" t="str">
        <f>IFERROR(__xludf.DUMMYFUNCTION("""COMPUTED_VALUE"""),"[""rss_metro_liquid""]")</f>
        <v>["rss_metro_liquid"]</v>
      </c>
      <c r="S1639" s="148" t="str">
        <f>IFERROR(__xludf.DUMMYFUNCTION("""COMPUTED_VALUE"""),"{""effect"":[{""typ"":""rss"",""id"":11141013,""val"":100}]}")</f>
        <v>{"effect":[{"typ":"rss","id":11141013,"val":100}]}</v>
      </c>
      <c r="T1639" s="148">
        <f>IFERROR(__xludf.DUMMYFUNCTION("""COMPUTED_VALUE"""),-1.0)</f>
        <v>-1</v>
      </c>
      <c r="U1639" s="148">
        <f>IFERROR(__xludf.DUMMYFUNCTION("""COMPUTED_VALUE"""),1.0)</f>
        <v>1</v>
      </c>
      <c r="V1639" s="148" t="str">
        <f>IFERROR(__xludf.DUMMYFUNCTION("""COMPUTED_VALUE"""),"[]")</f>
        <v>[]</v>
      </c>
      <c r="W1639" s="148">
        <f>IFERROR(__xludf.DUMMYFUNCTION("""COMPUTED_VALUE"""),1.174E7)</f>
        <v>11740000</v>
      </c>
      <c r="X1639" s="148">
        <f>IFERROR(__xludf.DUMMYFUNCTION("""COMPUTED_VALUE"""),0.0)</f>
        <v>0</v>
      </c>
      <c r="Y1639" s="148">
        <f>IFERROR(__xludf.DUMMYFUNCTION("""COMPUTED_VALUE"""),0.0)</f>
        <v>0</v>
      </c>
      <c r="Z1639" s="148"/>
    </row>
    <row r="1640">
      <c r="A1640" s="148">
        <f>IFERROR(__xludf.DUMMYFUNCTION("""COMPUTED_VALUE"""),1.1117298E7)</f>
        <v>11117298</v>
      </c>
      <c r="B1640" s="148" t="str">
        <f>IFERROR(__xludf.DUMMYFUNCTION("""COMPUTED_VALUE"""),"合成挖矿-研究药水（购买后变为rss）1000")</f>
        <v>合成挖矿-研究药水（购买后变为rss）1000</v>
      </c>
      <c r="C1640" s="148"/>
      <c r="D1640" s="148" t="str">
        <f>IFERROR(__xludf.DUMMYFUNCTION("""COMPUTED_VALUE"""),"metro_minigame_rss")</f>
        <v>metro_minigame_rss</v>
      </c>
      <c r="E1640" s="148">
        <f>IFERROR(__xludf.DUMMYFUNCTION("""COMPUTED_VALUE"""),0.0)</f>
        <v>0</v>
      </c>
      <c r="F1640" s="148">
        <f>IFERROR(__xludf.DUMMYFUNCTION("""COMPUTED_VALUE"""),0.0)</f>
        <v>0</v>
      </c>
      <c r="G1640" s="148">
        <f>IFERROR(__xludf.DUMMYFUNCTION("""COMPUTED_VALUE"""),1.5115588E7)</f>
        <v>15115588</v>
      </c>
      <c r="H1640" s="148">
        <f>IFERROR(__xludf.DUMMYFUNCTION("""COMPUTED_VALUE"""),1.5112563E7)</f>
        <v>15112563</v>
      </c>
      <c r="I1640" s="148" t="str">
        <f>IFERROR(__xludf.DUMMYFUNCTION("""COMPUTED_VALUE"""),"{""typ"":""lc"",""txt"":""LC_ITEM_rss_upper_show"",""args"":[{""typ"":""int"",""val"":1000}]}")</f>
        <v>{"typ":"lc","txt":"LC_ITEM_rss_upper_show","args":[{"typ":"int","val":1000}]}</v>
      </c>
      <c r="J1640" s="148" t="str">
        <f>IFERROR(__xludf.DUMMYFUNCTION("""COMPUTED_VALUE"""),"{""typ"":""lc"",""txt"":""LC_METRO_add_liquid_name"",""args"":[{""typ"":""int"",""val"":1000}]}")</f>
        <v>{"typ":"lc","txt":"LC_METRO_add_liquid_name","args":[{"typ":"int","val":1000}]}</v>
      </c>
      <c r="K1640" s="148" t="str">
        <f>IFERROR(__xludf.DUMMYFUNCTION("""COMPUTED_VALUE"""),"{""typ"":""lc"",""txt"":""LC_METRO_add_liquid_desc"",""args"":[{""typ"":""int"",""val"":1000}]}")</f>
        <v>{"typ":"lc","txt":"LC_METRO_add_liquid_desc","args":[{"typ":"int","val":1000}]}</v>
      </c>
      <c r="L1640" s="148" t="str">
        <f>IFERROR(__xludf.DUMMYFUNCTION("""COMPUTED_VALUE"""),"{""typ"":""lc"",""txt"":""LC_METRO_add_liquid_usedtip"",""args"":[{""typ"":""int"",""val"":1000}]}")</f>
        <v>{"typ":"lc","txt":"LC_METRO_add_liquid_usedtip","args":[{"typ":"int","val":1000}]}</v>
      </c>
      <c r="M1640" s="148">
        <f>IFERROR(__xludf.DUMMYFUNCTION("""COMPUTED_VALUE"""),270.0)</f>
        <v>270</v>
      </c>
      <c r="N1640" s="148">
        <f>IFERROR(__xludf.DUMMYFUNCTION("""COMPUTED_VALUE"""),9.99999999E8)</f>
        <v>999999999</v>
      </c>
      <c r="O1640" s="148">
        <f>IFERROR(__xludf.DUMMYFUNCTION("""COMPUTED_VALUE"""),9.99999999E8)</f>
        <v>999999999</v>
      </c>
      <c r="P1640" s="148">
        <f>IFERROR(__xludf.DUMMYFUNCTION("""COMPUTED_VALUE"""),9.99999999E8)</f>
        <v>999999999</v>
      </c>
      <c r="Q1640" s="148" t="str">
        <f>IFERROR(__xludf.DUMMYFUNCTION("""COMPUTED_VALUE"""),"[]")</f>
        <v>[]</v>
      </c>
      <c r="R1640" s="148" t="str">
        <f>IFERROR(__xludf.DUMMYFUNCTION("""COMPUTED_VALUE"""),"[""rss_metro_liquid""]")</f>
        <v>["rss_metro_liquid"]</v>
      </c>
      <c r="S1640" s="148" t="str">
        <f>IFERROR(__xludf.DUMMYFUNCTION("""COMPUTED_VALUE"""),"{""effect"":[{""typ"":""rss"",""id"":11141013,""val"":1000}]}")</f>
        <v>{"effect":[{"typ":"rss","id":11141013,"val":1000}]}</v>
      </c>
      <c r="T1640" s="148">
        <f>IFERROR(__xludf.DUMMYFUNCTION("""COMPUTED_VALUE"""),-1.0)</f>
        <v>-1</v>
      </c>
      <c r="U1640" s="148">
        <f>IFERROR(__xludf.DUMMYFUNCTION("""COMPUTED_VALUE"""),1.0)</f>
        <v>1</v>
      </c>
      <c r="V1640" s="148" t="str">
        <f>IFERROR(__xludf.DUMMYFUNCTION("""COMPUTED_VALUE"""),"[]")</f>
        <v>[]</v>
      </c>
      <c r="W1640" s="148">
        <f>IFERROR(__xludf.DUMMYFUNCTION("""COMPUTED_VALUE"""),1.174E7)</f>
        <v>11740000</v>
      </c>
      <c r="X1640" s="148">
        <f>IFERROR(__xludf.DUMMYFUNCTION("""COMPUTED_VALUE"""),0.0)</f>
        <v>0</v>
      </c>
      <c r="Y1640" s="148">
        <f>IFERROR(__xludf.DUMMYFUNCTION("""COMPUTED_VALUE"""),0.0)</f>
        <v>0</v>
      </c>
      <c r="Z1640" s="148"/>
    </row>
    <row r="1641">
      <c r="A1641" s="148">
        <f>IFERROR(__xludf.DUMMYFUNCTION("""COMPUTED_VALUE"""),1.1117299E7)</f>
        <v>11117299</v>
      </c>
      <c r="B1641" s="148" t="str">
        <f>IFERROR(__xludf.DUMMYFUNCTION("""COMPUTED_VALUE"""),"合成挖矿-研究药水（购买后变为rss）10000")</f>
        <v>合成挖矿-研究药水（购买后变为rss）10000</v>
      </c>
      <c r="C1641" s="148"/>
      <c r="D1641" s="148" t="str">
        <f>IFERROR(__xludf.DUMMYFUNCTION("""COMPUTED_VALUE"""),"metro_minigame_rss")</f>
        <v>metro_minigame_rss</v>
      </c>
      <c r="E1641" s="148">
        <f>IFERROR(__xludf.DUMMYFUNCTION("""COMPUTED_VALUE"""),0.0)</f>
        <v>0</v>
      </c>
      <c r="F1641" s="148">
        <f>IFERROR(__xludf.DUMMYFUNCTION("""COMPUTED_VALUE"""),0.0)</f>
        <v>0</v>
      </c>
      <c r="G1641" s="148">
        <f>IFERROR(__xludf.DUMMYFUNCTION("""COMPUTED_VALUE"""),1.5115588E7)</f>
        <v>15115588</v>
      </c>
      <c r="H1641" s="148">
        <f>IFERROR(__xludf.DUMMYFUNCTION("""COMPUTED_VALUE"""),1.5112564E7)</f>
        <v>15112564</v>
      </c>
      <c r="I1641" s="148" t="str">
        <f>IFERROR(__xludf.DUMMYFUNCTION("""COMPUTED_VALUE"""),"{""typ"":""lc"",""txt"":""LC_ITEM_rss_upper_show"",""args"":[{""typ"":""int"",""val"":10000}]}")</f>
        <v>{"typ":"lc","txt":"LC_ITEM_rss_upper_show","args":[{"typ":"int","val":10000}]}</v>
      </c>
      <c r="J1641" s="148" t="str">
        <f>IFERROR(__xludf.DUMMYFUNCTION("""COMPUTED_VALUE"""),"{""typ"":""lc"",""txt"":""LC_METRO_add_liquid_name"",""args"":[{""typ"":""int"",""val"":10000}]}")</f>
        <v>{"typ":"lc","txt":"LC_METRO_add_liquid_name","args":[{"typ":"int","val":10000}]}</v>
      </c>
      <c r="K1641" s="148" t="str">
        <f>IFERROR(__xludf.DUMMYFUNCTION("""COMPUTED_VALUE"""),"{""typ"":""lc"",""txt"":""LC_METRO_add_liquid_desc"",""args"":[{""typ"":""int"",""val"":10000}]}")</f>
        <v>{"typ":"lc","txt":"LC_METRO_add_liquid_desc","args":[{"typ":"int","val":10000}]}</v>
      </c>
      <c r="L1641" s="148" t="str">
        <f>IFERROR(__xludf.DUMMYFUNCTION("""COMPUTED_VALUE"""),"{""typ"":""lc"",""txt"":""LC_METRO_add_liquid_usedtip"",""args"":[{""typ"":""int"",""val"":10000}]}")</f>
        <v>{"typ":"lc","txt":"LC_METRO_add_liquid_usedtip","args":[{"typ":"int","val":10000}]}</v>
      </c>
      <c r="M1641" s="148">
        <f>IFERROR(__xludf.DUMMYFUNCTION("""COMPUTED_VALUE"""),2500.0)</f>
        <v>2500</v>
      </c>
      <c r="N1641" s="148">
        <f>IFERROR(__xludf.DUMMYFUNCTION("""COMPUTED_VALUE"""),9.99999999E8)</f>
        <v>999999999</v>
      </c>
      <c r="O1641" s="148">
        <f>IFERROR(__xludf.DUMMYFUNCTION("""COMPUTED_VALUE"""),9.99999999E8)</f>
        <v>999999999</v>
      </c>
      <c r="P1641" s="148">
        <f>IFERROR(__xludf.DUMMYFUNCTION("""COMPUTED_VALUE"""),9.99999999E8)</f>
        <v>999999999</v>
      </c>
      <c r="Q1641" s="148" t="str">
        <f>IFERROR(__xludf.DUMMYFUNCTION("""COMPUTED_VALUE"""),"[]")</f>
        <v>[]</v>
      </c>
      <c r="R1641" s="148" t="str">
        <f>IFERROR(__xludf.DUMMYFUNCTION("""COMPUTED_VALUE"""),"[""rss_metro_liquid""]")</f>
        <v>["rss_metro_liquid"]</v>
      </c>
      <c r="S1641" s="148" t="str">
        <f>IFERROR(__xludf.DUMMYFUNCTION("""COMPUTED_VALUE"""),"{""effect"":[{""typ"":""rss"",""id"":11141013,""val"":10000}]}")</f>
        <v>{"effect":[{"typ":"rss","id":11141013,"val":10000}]}</v>
      </c>
      <c r="T1641" s="148">
        <f>IFERROR(__xludf.DUMMYFUNCTION("""COMPUTED_VALUE"""),-1.0)</f>
        <v>-1</v>
      </c>
      <c r="U1641" s="148">
        <f>IFERROR(__xludf.DUMMYFUNCTION("""COMPUTED_VALUE"""),1.0)</f>
        <v>1</v>
      </c>
      <c r="V1641" s="148" t="str">
        <f>IFERROR(__xludf.DUMMYFUNCTION("""COMPUTED_VALUE"""),"[]")</f>
        <v>[]</v>
      </c>
      <c r="W1641" s="148">
        <f>IFERROR(__xludf.DUMMYFUNCTION("""COMPUTED_VALUE"""),1.174E7)</f>
        <v>11740000</v>
      </c>
      <c r="X1641" s="148">
        <f>IFERROR(__xludf.DUMMYFUNCTION("""COMPUTED_VALUE"""),0.0)</f>
        <v>0</v>
      </c>
      <c r="Y1641" s="148">
        <f>IFERROR(__xludf.DUMMYFUNCTION("""COMPUTED_VALUE"""),0.0)</f>
        <v>0</v>
      </c>
      <c r="Z1641" s="148"/>
    </row>
    <row r="1642">
      <c r="A1642" s="148">
        <f>IFERROR(__xludf.DUMMYFUNCTION("""COMPUTED_VALUE"""),1.1117301E7)</f>
        <v>11117301</v>
      </c>
      <c r="B1642" s="148" t="str">
        <f>IFERROR(__xludf.DUMMYFUNCTION("""COMPUTED_VALUE"""),"合成挖矿-时光药水-1小时")</f>
        <v>合成挖矿-时光药水-1小时</v>
      </c>
      <c r="C1642" s="148"/>
      <c r="D1642" s="148" t="str">
        <f>IFERROR(__xludf.DUMMYFUNCTION("""COMPUTED_VALUE"""),"metro_minigame_speedup")</f>
        <v>metro_minigame_speedup</v>
      </c>
      <c r="E1642" s="148">
        <f>IFERROR(__xludf.DUMMYFUNCTION("""COMPUTED_VALUE"""),0.0)</f>
        <v>0</v>
      </c>
      <c r="F1642" s="148">
        <f>IFERROR(__xludf.DUMMYFUNCTION("""COMPUTED_VALUE"""),0.0)</f>
        <v>0</v>
      </c>
      <c r="G1642" s="148">
        <f>IFERROR(__xludf.DUMMYFUNCTION("""COMPUTED_VALUE"""),1.5115594E7)</f>
        <v>15115594</v>
      </c>
      <c r="H1642" s="148">
        <f>IFERROR(__xludf.DUMMYFUNCTION("""COMPUTED_VALUE"""),1.5112562E7)</f>
        <v>15112562</v>
      </c>
      <c r="I1642" s="148" t="str">
        <f>IFERROR(__xludf.DUMMYFUNCTION("""COMPUTED_VALUE"""),"{""typ"":""lc"",""txt"":""LC_ITEM_time_h_upper_show"",""args"":[{""typ"":""int"",""val"":1}]}")</f>
        <v>{"typ":"lc","txt":"LC_ITEM_time_h_upper_show","args":[{"typ":"int","val":1}]}</v>
      </c>
      <c r="J1642" s="148" t="str">
        <f>IFERROR(__xludf.DUMMYFUNCTION("""COMPUTED_VALUE"""),"{""typ"":""lc"",""txt"":""LC_METRO_shop_timepotion_title""}")</f>
        <v>{"typ":"lc","txt":"LC_METRO_shop_timepotion_title"}</v>
      </c>
      <c r="K1642" s="148" t="str">
        <f>IFERROR(__xludf.DUMMYFUNCTION("""COMPUTED_VALUE"""),"{""typ"":""lc"",""txt"":""LC_METRO_shop_timepotion_desc""}")</f>
        <v>{"typ":"lc","txt":"LC_METRO_shop_timepotion_desc"}</v>
      </c>
      <c r="L1642" s="148" t="str">
        <f>IFERROR(__xludf.DUMMYFUNCTION("""COMPUTED_VALUE"""),"{""typ"":""lc"",""txt"":""LC_ITEM_time_all_speedup_usedtip""}")</f>
        <v>{"typ":"lc","txt":"LC_ITEM_time_all_speedup_usedtip"}</v>
      </c>
      <c r="M1642" s="148">
        <f>IFERROR(__xludf.DUMMYFUNCTION("""COMPUTED_VALUE"""),100.0)</f>
        <v>100</v>
      </c>
      <c r="N1642" s="148">
        <f>IFERROR(__xludf.DUMMYFUNCTION("""COMPUTED_VALUE"""),999999.0)</f>
        <v>999999</v>
      </c>
      <c r="O1642" s="148">
        <f>IFERROR(__xludf.DUMMYFUNCTION("""COMPUTED_VALUE"""),9999.0)</f>
        <v>9999</v>
      </c>
      <c r="P1642" s="148">
        <f>IFERROR(__xludf.DUMMYFUNCTION("""COMPUTED_VALUE"""),1.0)</f>
        <v>1</v>
      </c>
      <c r="Q1642" s="148" t="str">
        <f>IFERROR(__xludf.DUMMYFUNCTION("""COMPUTED_VALUE"""),"[]")</f>
        <v>[]</v>
      </c>
      <c r="R1642" s="148" t="str">
        <f>IFERROR(__xludf.DUMMYFUNCTION("""COMPUTED_VALUE"""),"[]")</f>
        <v>[]</v>
      </c>
      <c r="S1642" s="148" t="str">
        <f>IFERROR(__xludf.DUMMYFUNCTION("""COMPUTED_VALUE"""),"{""effect"":[{""typ"":""metro_minigame_timepotion"",""val"":3600000}]}")</f>
        <v>{"effect":[{"typ":"metro_minigame_timepotion","val":3600000}]}</v>
      </c>
      <c r="T1642" s="148">
        <f>IFERROR(__xludf.DUMMYFUNCTION("""COMPUTED_VALUE"""),1.0)</f>
        <v>1</v>
      </c>
      <c r="U1642" s="148">
        <f>IFERROR(__xludf.DUMMYFUNCTION("""COMPUTED_VALUE"""),0.0)</f>
        <v>0</v>
      </c>
      <c r="V1642" s="148" t="str">
        <f>IFERROR(__xludf.DUMMYFUNCTION("""COMPUTED_VALUE"""),"[]")</f>
        <v>[]</v>
      </c>
      <c r="W1642" s="148">
        <f>IFERROR(__xludf.DUMMYFUNCTION("""COMPUTED_VALUE"""),1.174E7)</f>
        <v>11740000</v>
      </c>
      <c r="X1642" s="148">
        <f>IFERROR(__xludf.DUMMYFUNCTION("""COMPUTED_VALUE"""),0.0)</f>
        <v>0</v>
      </c>
      <c r="Y1642" s="148">
        <f>IFERROR(__xludf.DUMMYFUNCTION("""COMPUTED_VALUE"""),0.0)</f>
        <v>0</v>
      </c>
      <c r="Z1642" s="148"/>
    </row>
    <row r="1643">
      <c r="A1643" s="148">
        <f>IFERROR(__xludf.DUMMYFUNCTION("""COMPUTED_VALUE"""),1.1117302E7)</f>
        <v>11117302</v>
      </c>
      <c r="B1643" s="148" t="str">
        <f>IFERROR(__xludf.DUMMYFUNCTION("""COMPUTED_VALUE"""),"合成挖矿-时光药水-4小时")</f>
        <v>合成挖矿-时光药水-4小时</v>
      </c>
      <c r="C1643" s="148"/>
      <c r="D1643" s="148" t="str">
        <f>IFERROR(__xludf.DUMMYFUNCTION("""COMPUTED_VALUE"""),"metro_minigame_speedup")</f>
        <v>metro_minigame_speedup</v>
      </c>
      <c r="E1643" s="148">
        <f>IFERROR(__xludf.DUMMYFUNCTION("""COMPUTED_VALUE"""),0.0)</f>
        <v>0</v>
      </c>
      <c r="F1643" s="148">
        <f>IFERROR(__xludf.DUMMYFUNCTION("""COMPUTED_VALUE"""),0.0)</f>
        <v>0</v>
      </c>
      <c r="G1643" s="148">
        <f>IFERROR(__xludf.DUMMYFUNCTION("""COMPUTED_VALUE"""),1.5115595E7)</f>
        <v>15115595</v>
      </c>
      <c r="H1643" s="148">
        <f>IFERROR(__xludf.DUMMYFUNCTION("""COMPUTED_VALUE"""),1.5112563E7)</f>
        <v>15112563</v>
      </c>
      <c r="I1643" s="148" t="str">
        <f>IFERROR(__xludf.DUMMYFUNCTION("""COMPUTED_VALUE"""),"{""typ"":""lc"",""txt"":""LC_ITEM_time_h_upper_show"",""args"":[{""typ"":""int"",""val"":4}]}")</f>
        <v>{"typ":"lc","txt":"LC_ITEM_time_h_upper_show","args":[{"typ":"int","val":4}]}</v>
      </c>
      <c r="J1643" s="148" t="str">
        <f>IFERROR(__xludf.DUMMYFUNCTION("""COMPUTED_VALUE"""),"{""typ"":""lc"",""txt"":""LC_METRO_shop_timepotion_title""}")</f>
        <v>{"typ":"lc","txt":"LC_METRO_shop_timepotion_title"}</v>
      </c>
      <c r="K1643" s="148" t="str">
        <f>IFERROR(__xludf.DUMMYFUNCTION("""COMPUTED_VALUE"""),"{""typ"":""lc"",""txt"":""LC_METRO_shop_timepotion_desc""}")</f>
        <v>{"typ":"lc","txt":"LC_METRO_shop_timepotion_desc"}</v>
      </c>
      <c r="L1643" s="148" t="str">
        <f>IFERROR(__xludf.DUMMYFUNCTION("""COMPUTED_VALUE"""),"{""typ"":""lc"",""txt"":""LC_ITEM_time_all_speedup_usedtip""}")</f>
        <v>{"typ":"lc","txt":"LC_ITEM_time_all_speedup_usedtip"}</v>
      </c>
      <c r="M1643" s="148">
        <f>IFERROR(__xludf.DUMMYFUNCTION("""COMPUTED_VALUE"""),300.0)</f>
        <v>300</v>
      </c>
      <c r="N1643" s="148">
        <f>IFERROR(__xludf.DUMMYFUNCTION("""COMPUTED_VALUE"""),999999.0)</f>
        <v>999999</v>
      </c>
      <c r="O1643" s="148">
        <f>IFERROR(__xludf.DUMMYFUNCTION("""COMPUTED_VALUE"""),9999.0)</f>
        <v>9999</v>
      </c>
      <c r="P1643" s="148">
        <f>IFERROR(__xludf.DUMMYFUNCTION("""COMPUTED_VALUE"""),1.0)</f>
        <v>1</v>
      </c>
      <c r="Q1643" s="148" t="str">
        <f>IFERROR(__xludf.DUMMYFUNCTION("""COMPUTED_VALUE"""),"[]")</f>
        <v>[]</v>
      </c>
      <c r="R1643" s="148" t="str">
        <f>IFERROR(__xludf.DUMMYFUNCTION("""COMPUTED_VALUE"""),"[]")</f>
        <v>[]</v>
      </c>
      <c r="S1643" s="148" t="str">
        <f>IFERROR(__xludf.DUMMYFUNCTION("""COMPUTED_VALUE"""),"{""effect"":[{""typ"":""metro_minigame_timepotion"",""val"":14400000}]}")</f>
        <v>{"effect":[{"typ":"metro_minigame_timepotion","val":14400000}]}</v>
      </c>
      <c r="T1643" s="148">
        <f>IFERROR(__xludf.DUMMYFUNCTION("""COMPUTED_VALUE"""),1.0)</f>
        <v>1</v>
      </c>
      <c r="U1643" s="148">
        <f>IFERROR(__xludf.DUMMYFUNCTION("""COMPUTED_VALUE"""),0.0)</f>
        <v>0</v>
      </c>
      <c r="V1643" s="148" t="str">
        <f>IFERROR(__xludf.DUMMYFUNCTION("""COMPUTED_VALUE"""),"[]")</f>
        <v>[]</v>
      </c>
      <c r="W1643" s="148">
        <f>IFERROR(__xludf.DUMMYFUNCTION("""COMPUTED_VALUE"""),1.174E7)</f>
        <v>11740000</v>
      </c>
      <c r="X1643" s="148">
        <f>IFERROR(__xludf.DUMMYFUNCTION("""COMPUTED_VALUE"""),0.0)</f>
        <v>0</v>
      </c>
      <c r="Y1643" s="148">
        <f>IFERROR(__xludf.DUMMYFUNCTION("""COMPUTED_VALUE"""),0.0)</f>
        <v>0</v>
      </c>
      <c r="Z1643" s="148"/>
    </row>
    <row r="1644">
      <c r="A1644" s="148">
        <f>IFERROR(__xludf.DUMMYFUNCTION("""COMPUTED_VALUE"""),1.1117303E7)</f>
        <v>11117303</v>
      </c>
      <c r="B1644" s="148" t="str">
        <f>IFERROR(__xludf.DUMMYFUNCTION("""COMPUTED_VALUE"""),"合成挖矿-时光药水-12小时")</f>
        <v>合成挖矿-时光药水-12小时</v>
      </c>
      <c r="C1644" s="148"/>
      <c r="D1644" s="148" t="str">
        <f>IFERROR(__xludf.DUMMYFUNCTION("""COMPUTED_VALUE"""),"metro_minigame_speedup")</f>
        <v>metro_minigame_speedup</v>
      </c>
      <c r="E1644" s="148">
        <f>IFERROR(__xludf.DUMMYFUNCTION("""COMPUTED_VALUE"""),0.0)</f>
        <v>0</v>
      </c>
      <c r="F1644" s="148">
        <f>IFERROR(__xludf.DUMMYFUNCTION("""COMPUTED_VALUE"""),0.0)</f>
        <v>0</v>
      </c>
      <c r="G1644" s="148">
        <f>IFERROR(__xludf.DUMMYFUNCTION("""COMPUTED_VALUE"""),1.5115596E7)</f>
        <v>15115596</v>
      </c>
      <c r="H1644" s="148">
        <f>IFERROR(__xludf.DUMMYFUNCTION("""COMPUTED_VALUE"""),1.5112564E7)</f>
        <v>15112564</v>
      </c>
      <c r="I1644" s="148" t="str">
        <f>IFERROR(__xludf.DUMMYFUNCTION("""COMPUTED_VALUE"""),"{""typ"":""lc"",""txt"":""LC_ITEM_time_h_upper_show"",""args"":[{""typ"":""int"",""val"":12}]}")</f>
        <v>{"typ":"lc","txt":"LC_ITEM_time_h_upper_show","args":[{"typ":"int","val":12}]}</v>
      </c>
      <c r="J1644" s="148" t="str">
        <f>IFERROR(__xludf.DUMMYFUNCTION("""COMPUTED_VALUE"""),"{""typ"":""lc"",""txt"":""LC_METRO_shop_timepotion_title""}")</f>
        <v>{"typ":"lc","txt":"LC_METRO_shop_timepotion_title"}</v>
      </c>
      <c r="K1644" s="148" t="str">
        <f>IFERROR(__xludf.DUMMYFUNCTION("""COMPUTED_VALUE"""),"{""typ"":""lc"",""txt"":""LC_METRO_shop_timepotion_desc""}")</f>
        <v>{"typ":"lc","txt":"LC_METRO_shop_timepotion_desc"}</v>
      </c>
      <c r="L1644" s="148" t="str">
        <f>IFERROR(__xludf.DUMMYFUNCTION("""COMPUTED_VALUE"""),"{""typ"":""lc"",""txt"":""LC_ITEM_time_all_speedup_usedtip""}")</f>
        <v>{"typ":"lc","txt":"LC_ITEM_time_all_speedup_usedtip"}</v>
      </c>
      <c r="M1644" s="148">
        <f>IFERROR(__xludf.DUMMYFUNCTION("""COMPUTED_VALUE"""),700.0)</f>
        <v>700</v>
      </c>
      <c r="N1644" s="148">
        <f>IFERROR(__xludf.DUMMYFUNCTION("""COMPUTED_VALUE"""),999999.0)</f>
        <v>999999</v>
      </c>
      <c r="O1644" s="148">
        <f>IFERROR(__xludf.DUMMYFUNCTION("""COMPUTED_VALUE"""),9999.0)</f>
        <v>9999</v>
      </c>
      <c r="P1644" s="148">
        <f>IFERROR(__xludf.DUMMYFUNCTION("""COMPUTED_VALUE"""),1.0)</f>
        <v>1</v>
      </c>
      <c r="Q1644" s="148" t="str">
        <f>IFERROR(__xludf.DUMMYFUNCTION("""COMPUTED_VALUE"""),"[]")</f>
        <v>[]</v>
      </c>
      <c r="R1644" s="148" t="str">
        <f>IFERROR(__xludf.DUMMYFUNCTION("""COMPUTED_VALUE"""),"[]")</f>
        <v>[]</v>
      </c>
      <c r="S1644" s="148" t="str">
        <f>IFERROR(__xludf.DUMMYFUNCTION("""COMPUTED_VALUE"""),"{""effect"":[{""typ"":""metro_minigame_timepotion"",""val"":43200000}]}")</f>
        <v>{"effect":[{"typ":"metro_minigame_timepotion","val":43200000}]}</v>
      </c>
      <c r="T1644" s="148">
        <f>IFERROR(__xludf.DUMMYFUNCTION("""COMPUTED_VALUE"""),1.0)</f>
        <v>1</v>
      </c>
      <c r="U1644" s="148">
        <f>IFERROR(__xludf.DUMMYFUNCTION("""COMPUTED_VALUE"""),0.0)</f>
        <v>0</v>
      </c>
      <c r="V1644" s="148" t="str">
        <f>IFERROR(__xludf.DUMMYFUNCTION("""COMPUTED_VALUE"""),"[]")</f>
        <v>[]</v>
      </c>
      <c r="W1644" s="148">
        <f>IFERROR(__xludf.DUMMYFUNCTION("""COMPUTED_VALUE"""),1.174E7)</f>
        <v>11740000</v>
      </c>
      <c r="X1644" s="148">
        <f>IFERROR(__xludf.DUMMYFUNCTION("""COMPUTED_VALUE"""),0.0)</f>
        <v>0</v>
      </c>
      <c r="Y1644" s="148">
        <f>IFERROR(__xludf.DUMMYFUNCTION("""COMPUTED_VALUE"""),0.0)</f>
        <v>0</v>
      </c>
      <c r="Z1644" s="148"/>
    </row>
    <row r="1645">
      <c r="A1645" s="148">
        <f>IFERROR(__xludf.DUMMYFUNCTION("""COMPUTED_VALUE"""),1.1117304E7)</f>
        <v>11117304</v>
      </c>
      <c r="B1645" s="148" t="str">
        <f>IFERROR(__xludf.DUMMYFUNCTION("""COMPUTED_VALUE"""),"圣诞节2022活动专用-增加次数道具")</f>
        <v>圣诞节2022活动专用-增加次数道具</v>
      </c>
      <c r="C1645" s="148"/>
      <c r="D1645" s="148" t="str">
        <f>IFERROR(__xludf.DUMMYFUNCTION("""COMPUTED_VALUE"""),"event_progress")</f>
        <v>event_progress</v>
      </c>
      <c r="E1645" s="148">
        <f>IFERROR(__xludf.DUMMYFUNCTION("""COMPUTED_VALUE"""),0.0)</f>
        <v>0</v>
      </c>
      <c r="F1645" s="148">
        <f>IFERROR(__xludf.DUMMYFUNCTION("""COMPUTED_VALUE"""),0.0)</f>
        <v>0</v>
      </c>
      <c r="G1645" s="148">
        <f>IFERROR(__xludf.DUMMYFUNCTION("""COMPUTED_VALUE"""),1.5113732E7)</f>
        <v>15113732</v>
      </c>
      <c r="H1645" s="148">
        <f>IFERROR(__xludf.DUMMYFUNCTION("""COMPUTED_VALUE"""),1.5112563E7)</f>
        <v>15112563</v>
      </c>
      <c r="I1645" s="148" t="str">
        <f>IFERROR(__xludf.DUMMYFUNCTION("""COMPUTED_VALUE"""),"{}")</f>
        <v>{}</v>
      </c>
      <c r="J1645" s="148" t="str">
        <f>IFERROR(__xludf.DUMMYFUNCTION("""COMPUTED_VALUE"""),"{}")</f>
        <v>{}</v>
      </c>
      <c r="K1645" s="148" t="str">
        <f>IFERROR(__xludf.DUMMYFUNCTION("""COMPUTED_VALUE"""),"{}")</f>
        <v>{}</v>
      </c>
      <c r="L1645" s="148" t="str">
        <f>IFERROR(__xludf.DUMMYFUNCTION("""COMPUTED_VALUE"""),"{}")</f>
        <v>{}</v>
      </c>
      <c r="M1645" s="148">
        <f>IFERROR(__xludf.DUMMYFUNCTION("""COMPUTED_VALUE"""),1.0)</f>
        <v>1</v>
      </c>
      <c r="N1645" s="148">
        <f>IFERROR(__xludf.DUMMYFUNCTION("""COMPUTED_VALUE"""),999999.0)</f>
        <v>999999</v>
      </c>
      <c r="O1645" s="148">
        <f>IFERROR(__xludf.DUMMYFUNCTION("""COMPUTED_VALUE"""),99999.0)</f>
        <v>99999</v>
      </c>
      <c r="P1645" s="148">
        <f>IFERROR(__xludf.DUMMYFUNCTION("""COMPUTED_VALUE"""),9999.0)</f>
        <v>9999</v>
      </c>
      <c r="Q1645" s="148" t="str">
        <f>IFERROR(__xludf.DUMMYFUNCTION("""COMPUTED_VALUE"""),"[]")</f>
        <v>[]</v>
      </c>
      <c r="R1645" s="148" t="str">
        <f>IFERROR(__xludf.DUMMYFUNCTION("""COMPUTED_VALUE"""),"[]")</f>
        <v>[]</v>
      </c>
      <c r="S1645" s="148" t="str">
        <f>IFERROR(__xludf.DUMMYFUNCTION("""COMPUTED_VALUE"""),"{""effect"":[{""typ"":""event"",""id"":21121391},{""typ"":""miss_lost_reward""}]}")</f>
        <v>{"effect":[{"typ":"event","id":21121391},{"typ":"miss_lost_reward"}]}</v>
      </c>
      <c r="T1645" s="148">
        <f>IFERROR(__xludf.DUMMYFUNCTION("""COMPUTED_VALUE"""),-1.0)</f>
        <v>-1</v>
      </c>
      <c r="U1645" s="148">
        <f>IFERROR(__xludf.DUMMYFUNCTION("""COMPUTED_VALUE"""),1.0)</f>
        <v>1</v>
      </c>
      <c r="V1645" s="148" t="str">
        <f>IFERROR(__xludf.DUMMYFUNCTION("""COMPUTED_VALUE"""),"[]")</f>
        <v>[]</v>
      </c>
      <c r="W1645" s="148">
        <f>IFERROR(__xludf.DUMMYFUNCTION("""COMPUTED_VALUE"""),1.174E7)</f>
        <v>11740000</v>
      </c>
      <c r="X1645" s="148">
        <f>IFERROR(__xludf.DUMMYFUNCTION("""COMPUTED_VALUE"""),0.0)</f>
        <v>0</v>
      </c>
      <c r="Y1645" s="148">
        <f>IFERROR(__xludf.DUMMYFUNCTION("""COMPUTED_VALUE"""),0.0)</f>
        <v>0</v>
      </c>
      <c r="Z1645" s="148"/>
    </row>
    <row r="1646">
      <c r="A1646" s="148">
        <f>IFERROR(__xludf.DUMMYFUNCTION("""COMPUTED_VALUE"""),1.1117305E7)</f>
        <v>11117305</v>
      </c>
      <c r="B1646" s="148" t="str">
        <f>IFERROR(__xludf.DUMMYFUNCTION("""COMPUTED_VALUE"""),"战装大富翁-骰子")</f>
        <v>战装大富翁-骰子</v>
      </c>
      <c r="C1646" s="148"/>
      <c r="D1646" s="148" t="str">
        <f>IFERROR(__xludf.DUMMYFUNCTION("""COMPUTED_VALUE"""),"event")</f>
        <v>event</v>
      </c>
      <c r="E1646" s="148">
        <f>IFERROR(__xludf.DUMMYFUNCTION("""COMPUTED_VALUE"""),0.0)</f>
        <v>0</v>
      </c>
      <c r="F1646" s="148">
        <f>IFERROR(__xludf.DUMMYFUNCTION("""COMPUTED_VALUE"""),405221.0)</f>
        <v>405221</v>
      </c>
      <c r="G1646" s="148">
        <f>IFERROR(__xludf.DUMMYFUNCTION("""COMPUTED_VALUE"""),1.511577E7)</f>
        <v>15115770</v>
      </c>
      <c r="H1646" s="148">
        <f>IFERROR(__xludf.DUMMYFUNCTION("""COMPUTED_VALUE"""),1.5112564E7)</f>
        <v>15112564</v>
      </c>
      <c r="I1646" s="148" t="str">
        <f>IFERROR(__xludf.DUMMYFUNCTION("""COMPUTED_VALUE"""),"{}")</f>
        <v>{}</v>
      </c>
      <c r="J1646" s="148" t="str">
        <f>IFERROR(__xludf.DUMMYFUNCTION("""COMPUTED_VALUE"""),"{""typ"":""lc"",""txt"":""LC_ITEM_equip_monopoly_gacha_dice_name""}")</f>
        <v>{"typ":"lc","txt":"LC_ITEM_equip_monopoly_gacha_dice_name"}</v>
      </c>
      <c r="K1646" s="148" t="str">
        <f>IFERROR(__xludf.DUMMYFUNCTION("""COMPUTED_VALUE"""),"{""typ"":""lc"",""txt"":""LC_ITEM_equip_monopoly_gacha_dice_desc""}")</f>
        <v>{"typ":"lc","txt":"LC_ITEM_equip_monopoly_gacha_dice_desc"}</v>
      </c>
      <c r="L1646" s="148" t="str">
        <f>IFERROR(__xludf.DUMMYFUNCTION("""COMPUTED_VALUE"""),"{}")</f>
        <v>{}</v>
      </c>
      <c r="M1646" s="148">
        <f>IFERROR(__xludf.DUMMYFUNCTION("""COMPUTED_VALUE"""),500.0)</f>
        <v>500</v>
      </c>
      <c r="N1646" s="148">
        <f>IFERROR(__xludf.DUMMYFUNCTION("""COMPUTED_VALUE"""),999999.0)</f>
        <v>999999</v>
      </c>
      <c r="O1646" s="148">
        <f>IFERROR(__xludf.DUMMYFUNCTION("""COMPUTED_VALUE"""),999999.0)</f>
        <v>999999</v>
      </c>
      <c r="P1646" s="148">
        <f>IFERROR(__xludf.DUMMYFUNCTION("""COMPUTED_VALUE"""),9999.0)</f>
        <v>9999</v>
      </c>
      <c r="Q1646" s="148" t="str">
        <f>IFERROR(__xludf.DUMMYFUNCTION("""COMPUTED_VALUE"""),"[""bag_other""]")</f>
        <v>["bag_other"]</v>
      </c>
      <c r="R1646" s="148" t="str">
        <f>IFERROR(__xludf.DUMMYFUNCTION("""COMPUTED_VALUE"""),"[]")</f>
        <v>[]</v>
      </c>
      <c r="S1646" s="148" t="str">
        <f>IFERROR(__xludf.DUMMYFUNCTION("""COMPUTED_VALUE"""),"{}")</f>
        <v>{}</v>
      </c>
      <c r="T1646" s="148">
        <f>IFERROR(__xludf.DUMMYFUNCTION("""COMPUTED_VALUE"""),-1.0)</f>
        <v>-1</v>
      </c>
      <c r="U1646" s="148">
        <f>IFERROR(__xludf.DUMMYFUNCTION("""COMPUTED_VALUE"""),0.0)</f>
        <v>0</v>
      </c>
      <c r="V1646" s="148" t="str">
        <f>IFERROR(__xludf.DUMMYFUNCTION("""COMPUTED_VALUE"""),"[]")</f>
        <v>[]</v>
      </c>
      <c r="W1646" s="148">
        <f>IFERROR(__xludf.DUMMYFUNCTION("""COMPUTED_VALUE"""),1.174E7)</f>
        <v>11740000</v>
      </c>
      <c r="X1646" s="148">
        <f>IFERROR(__xludf.DUMMYFUNCTION("""COMPUTED_VALUE"""),0.0)</f>
        <v>0</v>
      </c>
      <c r="Y1646" s="148">
        <f>IFERROR(__xludf.DUMMYFUNCTION("""COMPUTED_VALUE"""),0.0)</f>
        <v>0</v>
      </c>
      <c r="Z1646" s="148"/>
    </row>
    <row r="1647">
      <c r="A1647" s="148">
        <f>IFERROR(__xludf.DUMMYFUNCTION("""COMPUTED_VALUE"""),1.1117306E7)</f>
        <v>11117306</v>
      </c>
      <c r="B1647" s="148" t="str">
        <f>IFERROR(__xludf.DUMMYFUNCTION("""COMPUTED_VALUE"""),"战装大富翁-斗士探险券")</f>
        <v>战装大富翁-斗士探险券</v>
      </c>
      <c r="C1647" s="148"/>
      <c r="D1647" s="148" t="str">
        <f>IFERROR(__xludf.DUMMYFUNCTION("""COMPUTED_VALUE"""),"event")</f>
        <v>event</v>
      </c>
      <c r="E1647" s="148">
        <f>IFERROR(__xludf.DUMMYFUNCTION("""COMPUTED_VALUE"""),0.0)</f>
        <v>0</v>
      </c>
      <c r="F1647" s="148">
        <f>IFERROR(__xludf.DUMMYFUNCTION("""COMPUTED_VALUE"""),405221.0)</f>
        <v>405221</v>
      </c>
      <c r="G1647" s="148">
        <f>IFERROR(__xludf.DUMMYFUNCTION("""COMPUTED_VALUE"""),1.5115771E7)</f>
        <v>15115771</v>
      </c>
      <c r="H1647" s="148">
        <f>IFERROR(__xludf.DUMMYFUNCTION("""COMPUTED_VALUE"""),1.5112563E7)</f>
        <v>15112563</v>
      </c>
      <c r="I1647" s="148" t="str">
        <f>IFERROR(__xludf.DUMMYFUNCTION("""COMPUTED_VALUE"""),"{}")</f>
        <v>{}</v>
      </c>
      <c r="J1647" s="148" t="str">
        <f>IFERROR(__xludf.DUMMYFUNCTION("""COMPUTED_VALUE"""),"{""typ"":""lc"",""txt"":""LC_ITEM_equip_monopoly_gacha_ticket_name""}")</f>
        <v>{"typ":"lc","txt":"LC_ITEM_equip_monopoly_gacha_ticket_name"}</v>
      </c>
      <c r="K1647" s="148" t="str">
        <f>IFERROR(__xludf.DUMMYFUNCTION("""COMPUTED_VALUE"""),"{""typ"":""lc"",""txt"":""LC_ITEM_equip_monopoly_gacha_ticket_desc""}")</f>
        <v>{"typ":"lc","txt":"LC_ITEM_equip_monopoly_gacha_ticket_desc"}</v>
      </c>
      <c r="L1647" s="148" t="str">
        <f>IFERROR(__xludf.DUMMYFUNCTION("""COMPUTED_VALUE"""),"{}")</f>
        <v>{}</v>
      </c>
      <c r="M1647" s="148">
        <f>IFERROR(__xludf.DUMMYFUNCTION("""COMPUTED_VALUE"""),500.0)</f>
        <v>500</v>
      </c>
      <c r="N1647" s="148">
        <f>IFERROR(__xludf.DUMMYFUNCTION("""COMPUTED_VALUE"""),999999.0)</f>
        <v>999999</v>
      </c>
      <c r="O1647" s="148">
        <f>IFERROR(__xludf.DUMMYFUNCTION("""COMPUTED_VALUE"""),999999.0)</f>
        <v>999999</v>
      </c>
      <c r="P1647" s="148">
        <f>IFERROR(__xludf.DUMMYFUNCTION("""COMPUTED_VALUE"""),9999.0)</f>
        <v>9999</v>
      </c>
      <c r="Q1647" s="148" t="str">
        <f>IFERROR(__xludf.DUMMYFUNCTION("""COMPUTED_VALUE"""),"[""bag_other""]")</f>
        <v>["bag_other"]</v>
      </c>
      <c r="R1647" s="148" t="str">
        <f>IFERROR(__xludf.DUMMYFUNCTION("""COMPUTED_VALUE"""),"[]")</f>
        <v>[]</v>
      </c>
      <c r="S1647" s="148" t="str">
        <f>IFERROR(__xludf.DUMMYFUNCTION("""COMPUTED_VALUE"""),"{}")</f>
        <v>{}</v>
      </c>
      <c r="T1647" s="148">
        <f>IFERROR(__xludf.DUMMYFUNCTION("""COMPUTED_VALUE"""),-1.0)</f>
        <v>-1</v>
      </c>
      <c r="U1647" s="148">
        <f>IFERROR(__xludf.DUMMYFUNCTION("""COMPUTED_VALUE"""),0.0)</f>
        <v>0</v>
      </c>
      <c r="V1647" s="148" t="str">
        <f>IFERROR(__xludf.DUMMYFUNCTION("""COMPUTED_VALUE"""),"[]")</f>
        <v>[]</v>
      </c>
      <c r="W1647" s="148">
        <f>IFERROR(__xludf.DUMMYFUNCTION("""COMPUTED_VALUE"""),1.174E7)</f>
        <v>11740000</v>
      </c>
      <c r="X1647" s="148">
        <f>IFERROR(__xludf.DUMMYFUNCTION("""COMPUTED_VALUE"""),0.0)</f>
        <v>0</v>
      </c>
      <c r="Y1647" s="148">
        <f>IFERROR(__xludf.DUMMYFUNCTION("""COMPUTED_VALUE"""),0.0)</f>
        <v>0</v>
      </c>
      <c r="Z1647" s="148"/>
    </row>
    <row r="1648">
      <c r="A1648" s="148">
        <f>IFERROR(__xludf.DUMMYFUNCTION("""COMPUTED_VALUE"""),1.1117307E7)</f>
        <v>11117307</v>
      </c>
      <c r="B1648" s="148" t="str">
        <f>IFERROR(__xludf.DUMMYFUNCTION("""COMPUTED_VALUE"""),"初级起点的馈赠")</f>
        <v>初级起点的馈赠</v>
      </c>
      <c r="C1648" s="148"/>
      <c r="D1648" s="148" t="str">
        <f>IFERROR(__xludf.DUMMYFUNCTION("""COMPUTED_VALUE"""),"item_asset")</f>
        <v>item_asset</v>
      </c>
      <c r="E1648" s="148">
        <f>IFERROR(__xludf.DUMMYFUNCTION("""COMPUTED_VALUE"""),19.0)</f>
        <v>19</v>
      </c>
      <c r="F1648" s="148">
        <f>IFERROR(__xludf.DUMMYFUNCTION("""COMPUTED_VALUE"""),403499.0)</f>
        <v>403499</v>
      </c>
      <c r="G1648" s="148">
        <f>IFERROR(__xludf.DUMMYFUNCTION("""COMPUTED_VALUE"""),1.5112492E7)</f>
        <v>15112492</v>
      </c>
      <c r="H1648" s="148">
        <f>IFERROR(__xludf.DUMMYFUNCTION("""COMPUTED_VALUE"""),1.5112563E7)</f>
        <v>15112563</v>
      </c>
      <c r="I1648" s="148" t="str">
        <f>IFERROR(__xludf.DUMMYFUNCTION("""COMPUTED_VALUE"""),"{}")</f>
        <v>{}</v>
      </c>
      <c r="J1648" s="148" t="str">
        <f>IFERROR(__xludf.DUMMYFUNCTION("""COMPUTED_VALUE"""),"{""typ"":""lc"",""txt"":""LC_ITEM_monopoly_startbox_name_01""}")</f>
        <v>{"typ":"lc","txt":"LC_ITEM_monopoly_startbox_name_01"}</v>
      </c>
      <c r="K1648" s="148" t="str">
        <f>IFERROR(__xludf.DUMMYFUNCTION("""COMPUTED_VALUE"""),"{""typ"":""lc"",""txt"":""LC_ITEM_monopoly_startbox_desc_01""}")</f>
        <v>{"typ":"lc","txt":"LC_ITEM_monopoly_startbox_desc_01"}</v>
      </c>
      <c r="L1648" s="148" t="str">
        <f>IFERROR(__xludf.DUMMYFUNCTION("""COMPUTED_VALUE"""),"{}")</f>
        <v>{}</v>
      </c>
      <c r="M1648" s="148">
        <f>IFERROR(__xludf.DUMMYFUNCTION("""COMPUTED_VALUE"""),200.0)</f>
        <v>200</v>
      </c>
      <c r="N1648" s="148">
        <f>IFERROR(__xludf.DUMMYFUNCTION("""COMPUTED_VALUE"""),9999999.0)</f>
        <v>9999999</v>
      </c>
      <c r="O1648" s="148">
        <f>IFERROR(__xludf.DUMMYFUNCTION("""COMPUTED_VALUE"""),99999.0)</f>
        <v>99999</v>
      </c>
      <c r="P1648" s="148">
        <f>IFERROR(__xludf.DUMMYFUNCTION("""COMPUTED_VALUE"""),99999.0)</f>
        <v>99999</v>
      </c>
      <c r="Q1648" s="148" t="str">
        <f>IFERROR(__xludf.DUMMYFUNCTION("""COMPUTED_VALUE"""),"[""bag_other""]")</f>
        <v>["bag_other"]</v>
      </c>
      <c r="R1648" s="148" t="str">
        <f>IFERROR(__xludf.DUMMYFUNCTION("""COMPUTED_VALUE"""),"[""bag""]")</f>
        <v>["bag"]</v>
      </c>
      <c r="S1648" s="148" t="str">
        <f>IFERROR(__xludf.DUMMYFUNCTION("""COMPUTED_VALUE"""),"{""drop"":{""typ"":""single_random"",""num"":1,""args"":[{""typ"":""material"",""id"":19345004,""num"":1,""wgt"":125},{""typ"":""material"",""id"":19345004,""num"":2,""wgt"":500},{""typ"":""material"",""id"":19345004,""num"":3,""wgt"":125},{""typ"":""mate"&amp;"rial"",""id"":19345004,""num"":4,""wgt"":125},{""typ"":""material"",""id"":19345004,""num"":5,""wgt"":125}]}}")</f>
        <v>{"drop":{"typ":"single_random","num":1,"args":[{"typ":"material","id":19345004,"num":1,"wgt":125},{"typ":"material","id":19345004,"num":2,"wgt":500},{"typ":"material","id":19345004,"num":3,"wgt":125},{"typ":"material","id":19345004,"num":4,"wgt":125},{"typ":"material","id":19345004,"num":5,"wgt":125}]}}</v>
      </c>
      <c r="T1648" s="148">
        <f>IFERROR(__xludf.DUMMYFUNCTION("""COMPUTED_VALUE"""),-1.0)</f>
        <v>-1</v>
      </c>
      <c r="U1648" s="148">
        <f>IFERROR(__xludf.DUMMYFUNCTION("""COMPUTED_VALUE"""),0.0)</f>
        <v>0</v>
      </c>
      <c r="V1648" s="148" t="str">
        <f>IFERROR(__xludf.DUMMYFUNCTION("""COMPUTED_VALUE"""),"[]")</f>
        <v>[]</v>
      </c>
      <c r="W1648" s="148">
        <f>IFERROR(__xludf.DUMMYFUNCTION("""COMPUTED_VALUE"""),1.174E7)</f>
        <v>11740000</v>
      </c>
      <c r="X1648" s="148">
        <f>IFERROR(__xludf.DUMMYFUNCTION("""COMPUTED_VALUE"""),0.0)</f>
        <v>0</v>
      </c>
      <c r="Y1648" s="148">
        <f>IFERROR(__xludf.DUMMYFUNCTION("""COMPUTED_VALUE"""),0.0)</f>
        <v>0</v>
      </c>
      <c r="Z1648" s="148"/>
    </row>
    <row r="1649">
      <c r="A1649" s="148">
        <f>IFERROR(__xludf.DUMMYFUNCTION("""COMPUTED_VALUE"""),1.1117308E7)</f>
        <v>11117308</v>
      </c>
      <c r="B1649" s="148" t="str">
        <f>IFERROR(__xludf.DUMMYFUNCTION("""COMPUTED_VALUE"""),"高级起点的馈赠")</f>
        <v>高级起点的馈赠</v>
      </c>
      <c r="C1649" s="148"/>
      <c r="D1649" s="148" t="str">
        <f>IFERROR(__xludf.DUMMYFUNCTION("""COMPUTED_VALUE"""),"item_asset")</f>
        <v>item_asset</v>
      </c>
      <c r="E1649" s="148">
        <f>IFERROR(__xludf.DUMMYFUNCTION("""COMPUTED_VALUE"""),19.0)</f>
        <v>19</v>
      </c>
      <c r="F1649" s="148">
        <f>IFERROR(__xludf.DUMMYFUNCTION("""COMPUTED_VALUE"""),403499.0)</f>
        <v>403499</v>
      </c>
      <c r="G1649" s="148">
        <f>IFERROR(__xludf.DUMMYFUNCTION("""COMPUTED_VALUE"""),1.5112492E7)</f>
        <v>15112492</v>
      </c>
      <c r="H1649" s="148">
        <f>IFERROR(__xludf.DUMMYFUNCTION("""COMPUTED_VALUE"""),1.5112564E7)</f>
        <v>15112564</v>
      </c>
      <c r="I1649" s="148" t="str">
        <f>IFERROR(__xludf.DUMMYFUNCTION("""COMPUTED_VALUE"""),"{}")</f>
        <v>{}</v>
      </c>
      <c r="J1649" s="148" t="str">
        <f>IFERROR(__xludf.DUMMYFUNCTION("""COMPUTED_VALUE"""),"{""typ"":""lc"",""txt"":""LC_ITEM_monopoly_startbox_name_02""}")</f>
        <v>{"typ":"lc","txt":"LC_ITEM_monopoly_startbox_name_02"}</v>
      </c>
      <c r="K1649" s="148" t="str">
        <f>IFERROR(__xludf.DUMMYFUNCTION("""COMPUTED_VALUE"""),"{""typ"":""lc"",""txt"":""LC_ITEM_monopoly_startbox_desc_02""}")</f>
        <v>{"typ":"lc","txt":"LC_ITEM_monopoly_startbox_desc_02"}</v>
      </c>
      <c r="L1649" s="148" t="str">
        <f>IFERROR(__xludf.DUMMYFUNCTION("""COMPUTED_VALUE"""),"{}")</f>
        <v>{}</v>
      </c>
      <c r="M1649" s="148">
        <f>IFERROR(__xludf.DUMMYFUNCTION("""COMPUTED_VALUE"""),500.0)</f>
        <v>500</v>
      </c>
      <c r="N1649" s="148">
        <f>IFERROR(__xludf.DUMMYFUNCTION("""COMPUTED_VALUE"""),9999999.0)</f>
        <v>9999999</v>
      </c>
      <c r="O1649" s="148">
        <f>IFERROR(__xludf.DUMMYFUNCTION("""COMPUTED_VALUE"""),99999.0)</f>
        <v>99999</v>
      </c>
      <c r="P1649" s="148">
        <f>IFERROR(__xludf.DUMMYFUNCTION("""COMPUTED_VALUE"""),99999.0)</f>
        <v>99999</v>
      </c>
      <c r="Q1649" s="148" t="str">
        <f>IFERROR(__xludf.DUMMYFUNCTION("""COMPUTED_VALUE"""),"[""bag_other""]")</f>
        <v>["bag_other"]</v>
      </c>
      <c r="R1649" s="148" t="str">
        <f>IFERROR(__xludf.DUMMYFUNCTION("""COMPUTED_VALUE"""),"[""bag""]")</f>
        <v>["bag"]</v>
      </c>
      <c r="S1649" s="148" t="str">
        <f>IFERROR(__xludf.DUMMYFUNCTION("""COMPUTED_VALUE"""),"{""drop"":{""typ"":""single_random"",""num"":1,""args"":[{""typ"":""material"",""id"":19345004,""num"":6,""wgt"":500},{""typ"":""material"",""id"":19345004,""num"":7,""wgt"":125},{""typ"":""material"",""id"":19345004,""num"":8,""wgt"":125},{""typ"":""mate"&amp;"rial"",""id"":19345004,""num"":9,""wgt"":125},{""typ"":""material"",""id"":19345004,""num"":10,""wgt"":125}]}}")</f>
        <v>{"drop":{"typ":"single_random","num":1,"args":[{"typ":"material","id":19345004,"num":6,"wgt":500},{"typ":"material","id":19345004,"num":7,"wgt":125},{"typ":"material","id":19345004,"num":8,"wgt":125},{"typ":"material","id":19345004,"num":9,"wgt":125},{"typ":"material","id":19345004,"num":10,"wgt":125}]}}</v>
      </c>
      <c r="T1649" s="148">
        <f>IFERROR(__xludf.DUMMYFUNCTION("""COMPUTED_VALUE"""),-1.0)</f>
        <v>-1</v>
      </c>
      <c r="U1649" s="148">
        <f>IFERROR(__xludf.DUMMYFUNCTION("""COMPUTED_VALUE"""),0.0)</f>
        <v>0</v>
      </c>
      <c r="V1649" s="148" t="str">
        <f>IFERROR(__xludf.DUMMYFUNCTION("""COMPUTED_VALUE"""),"[]")</f>
        <v>[]</v>
      </c>
      <c r="W1649" s="148">
        <f>IFERROR(__xludf.DUMMYFUNCTION("""COMPUTED_VALUE"""),1.174E7)</f>
        <v>11740000</v>
      </c>
      <c r="X1649" s="148">
        <f>IFERROR(__xludf.DUMMYFUNCTION("""COMPUTED_VALUE"""),0.0)</f>
        <v>0</v>
      </c>
      <c r="Y1649" s="148">
        <f>IFERROR(__xludf.DUMMYFUNCTION("""COMPUTED_VALUE"""),0.0)</f>
        <v>0</v>
      </c>
      <c r="Z1649" s="148"/>
    </row>
    <row r="1650">
      <c r="A1650" s="148">
        <f>IFERROR(__xludf.DUMMYFUNCTION("""COMPUTED_VALUE"""),1.1117309E7)</f>
        <v>11117309</v>
      </c>
      <c r="B1650" s="148" t="str">
        <f>IFERROR(__xludf.DUMMYFUNCTION("""COMPUTED_VALUE"""),"精密装备图纸箱")</f>
        <v>精密装备图纸箱</v>
      </c>
      <c r="C1650" s="148"/>
      <c r="D1650" s="148" t="str">
        <f>IFERROR(__xludf.DUMMYFUNCTION("""COMPUTED_VALUE"""),"heroarms_box")</f>
        <v>heroarms_box</v>
      </c>
      <c r="E1650" s="148">
        <f>IFERROR(__xludf.DUMMYFUNCTION("""COMPUTED_VALUE"""),0.0)</f>
        <v>0</v>
      </c>
      <c r="F1650" s="148">
        <f>IFERROR(__xludf.DUMMYFUNCTION("""COMPUTED_VALUE"""),403106.0)</f>
        <v>403106</v>
      </c>
      <c r="G1650" s="148">
        <f>IFERROR(__xludf.DUMMYFUNCTION("""COMPUTED_VALUE"""),1.5116704E7)</f>
        <v>15116704</v>
      </c>
      <c r="H1650" s="148">
        <f>IFERROR(__xludf.DUMMYFUNCTION("""COMPUTED_VALUE"""),1.5112564E7)</f>
        <v>15112564</v>
      </c>
      <c r="I1650" s="148" t="str">
        <f>IFERROR(__xludf.DUMMYFUNCTION("""COMPUTED_VALUE"""),"{}")</f>
        <v>{}</v>
      </c>
      <c r="J1650" s="148" t="str">
        <f>IFERROR(__xludf.DUMMYFUNCTION("""COMPUTED_VALUE"""),"{""typ"":""lc"",""txt"":""LC_HERO_equipment_blueprint_box9""}")</f>
        <v>{"typ":"lc","txt":"LC_HERO_equipment_blueprint_box9"}</v>
      </c>
      <c r="K1650" s="148" t="str">
        <f>IFERROR(__xludf.DUMMYFUNCTION("""COMPUTED_VALUE"""),"{""typ"":""lc"",""txt"":""LC_HERO_equipment_blueprint_box_desc9""}")</f>
        <v>{"typ":"lc","txt":"LC_HERO_equipment_blueprint_box_desc9"}</v>
      </c>
      <c r="L1650" s="148" t="str">
        <f>IFERROR(__xludf.DUMMYFUNCTION("""COMPUTED_VALUE"""),"{}")</f>
        <v>{}</v>
      </c>
      <c r="M1650" s="148">
        <f>IFERROR(__xludf.DUMMYFUNCTION("""COMPUTED_VALUE"""),500.0)</f>
        <v>500</v>
      </c>
      <c r="N1650" s="148">
        <f>IFERROR(__xludf.DUMMYFUNCTION("""COMPUTED_VALUE"""),9999999.0)</f>
        <v>9999999</v>
      </c>
      <c r="O1650" s="148">
        <f>IFERROR(__xludf.DUMMYFUNCTION("""COMPUTED_VALUE"""),99999.0)</f>
        <v>99999</v>
      </c>
      <c r="P1650" s="148">
        <f>IFERROR(__xludf.DUMMYFUNCTION("""COMPUTED_VALUE"""),99999.0)</f>
        <v>99999</v>
      </c>
      <c r="Q1650" s="148" t="str">
        <f>IFERROR(__xludf.DUMMYFUNCTION("""COMPUTED_VALUE"""),"[""bag_other""]")</f>
        <v>["bag_other"]</v>
      </c>
      <c r="R1650" s="148" t="str">
        <f>IFERROR(__xludf.DUMMYFUNCTION("""COMPUTED_VALUE"""),"[""bag""]")</f>
        <v>["bag"]</v>
      </c>
      <c r="S1650" s="148" t="str">
        <f>IFERROR(__xludf.DUMMYFUNCTION("""COMPUTED_VALUE"""),"{""drop"":{""typ"":""single_random"",""num"":1,""args"":[{""typ"":""blueprint"",""id"":19344013,""num"":1,""wgt"":100},{""typ"":""blueprint"",""id"":19344014,""num"":1,""wgt"":100},{""typ"":""blueprint"",""id"":19344015,""num"":1,""wgt"":100},{""typ"":""b"&amp;"lueprint"",""id"":19344016,""num"":1,""wgt"":100}]}}")</f>
        <v>{"drop":{"typ":"single_random","num":1,"args":[{"typ":"blueprint","id":19344013,"num":1,"wgt":100},{"typ":"blueprint","id":19344014,"num":1,"wgt":100},{"typ":"blueprint","id":19344015,"num":1,"wgt":100},{"typ":"blueprint","id":19344016,"num":1,"wgt":100}]}}</v>
      </c>
      <c r="T1650" s="148">
        <f>IFERROR(__xludf.DUMMYFUNCTION("""COMPUTED_VALUE"""),-1.0)</f>
        <v>-1</v>
      </c>
      <c r="U1650" s="148">
        <f>IFERROR(__xludf.DUMMYFUNCTION("""COMPUTED_VALUE"""),0.0)</f>
        <v>0</v>
      </c>
      <c r="V1650" s="148" t="str">
        <f>IFERROR(__xludf.DUMMYFUNCTION("""COMPUTED_VALUE"""),"[]")</f>
        <v>[]</v>
      </c>
      <c r="W1650" s="148">
        <f>IFERROR(__xludf.DUMMYFUNCTION("""COMPUTED_VALUE"""),1.1741004E7)</f>
        <v>11741004</v>
      </c>
      <c r="X1650" s="148">
        <f>IFERROR(__xludf.DUMMYFUNCTION("""COMPUTED_VALUE"""),0.0)</f>
        <v>0</v>
      </c>
      <c r="Y1650" s="148">
        <f>IFERROR(__xludf.DUMMYFUNCTION("""COMPUTED_VALUE"""),0.0)</f>
        <v>0</v>
      </c>
      <c r="Z1650" s="148"/>
    </row>
    <row r="1651">
      <c r="A1651" s="148">
        <f>IFERROR(__xludf.DUMMYFUNCTION("""COMPUTED_VALUE"""),1.111731E7)</f>
        <v>11117310</v>
      </c>
      <c r="B1651" s="148" t="str">
        <f>IFERROR(__xludf.DUMMYFUNCTION("""COMPUTED_VALUE"""),"高级战装图纸自选箱")</f>
        <v>高级战装图纸自选箱</v>
      </c>
      <c r="C1651" s="148"/>
      <c r="D1651" s="148" t="str">
        <f>IFERROR(__xludf.DUMMYFUNCTION("""COMPUTED_VALUE"""),"item_select_box")</f>
        <v>item_select_box</v>
      </c>
      <c r="E1651" s="148">
        <f>IFERROR(__xludf.DUMMYFUNCTION("""COMPUTED_VALUE"""),0.0)</f>
        <v>0</v>
      </c>
      <c r="F1651" s="148">
        <f>IFERROR(__xludf.DUMMYFUNCTION("""COMPUTED_VALUE"""),403308.0)</f>
        <v>403308</v>
      </c>
      <c r="G1651" s="148">
        <f>IFERROR(__xludf.DUMMYFUNCTION("""COMPUTED_VALUE"""),1.5116701E7)</f>
        <v>15116701</v>
      </c>
      <c r="H1651" s="148">
        <f>IFERROR(__xludf.DUMMYFUNCTION("""COMPUTED_VALUE"""),1.5112564E7)</f>
        <v>15112564</v>
      </c>
      <c r="I1651" s="148" t="str">
        <f>IFERROR(__xludf.DUMMYFUNCTION("""COMPUTED_VALUE"""),"{}")</f>
        <v>{}</v>
      </c>
      <c r="J1651" s="148" t="str">
        <f>IFERROR(__xludf.DUMMYFUNCTION("""COMPUTED_VALUE"""),"{""typ"":""lc"",""txt"":""LC_ITEM_monopoly_equipment_blueprint_select_box_name""}")</f>
        <v>{"typ":"lc","txt":"LC_ITEM_monopoly_equipment_blueprint_select_box_name"}</v>
      </c>
      <c r="K1651" s="148" t="str">
        <f>IFERROR(__xludf.DUMMYFUNCTION("""COMPUTED_VALUE"""),"{""typ"":""lc"",""txt"":""LC_ITEM_monopoly_equipment_blueprint_select_box_desc""}")</f>
        <v>{"typ":"lc","txt":"LC_ITEM_monopoly_equipment_blueprint_select_box_desc"}</v>
      </c>
      <c r="L1651" s="148" t="str">
        <f>IFERROR(__xludf.DUMMYFUNCTION("""COMPUTED_VALUE"""),"{}")</f>
        <v>{}</v>
      </c>
      <c r="M1651" s="148">
        <f>IFERROR(__xludf.DUMMYFUNCTION("""COMPUTED_VALUE"""),500.0)</f>
        <v>500</v>
      </c>
      <c r="N1651" s="148">
        <f>IFERROR(__xludf.DUMMYFUNCTION("""COMPUTED_VALUE"""),9999999.0)</f>
        <v>9999999</v>
      </c>
      <c r="O1651" s="148">
        <f>IFERROR(__xludf.DUMMYFUNCTION("""COMPUTED_VALUE"""),99999.0)</f>
        <v>99999</v>
      </c>
      <c r="P1651" s="148">
        <f>IFERROR(__xludf.DUMMYFUNCTION("""COMPUTED_VALUE"""),99999.0)</f>
        <v>99999</v>
      </c>
      <c r="Q1651" s="148" t="str">
        <f>IFERROR(__xludf.DUMMYFUNCTION("""COMPUTED_VALUE"""),"[""bag_other""]")</f>
        <v>["bag_other"]</v>
      </c>
      <c r="R1651" s="148" t="str">
        <f>IFERROR(__xludf.DUMMYFUNCTION("""COMPUTED_VALUE"""),"[""bag""]")</f>
        <v>["bag"]</v>
      </c>
      <c r="S1651" s="148" t="str">
        <f>IFERROR(__xludf.DUMMYFUNCTION("""COMPUTED_VALUE"""),"{""select_box"":[{""typ"":""blueprint"",""id"":19344001,""val"":1},{""typ"":""blueprint"",""id"":19344002,""val"":1},{""typ"":""blueprint"",""id"":19344003,""val"":1},{""typ"":""blueprint"",""id"":19344004,""val"":1},{""typ"":""blueprint"",""id"":19344005"&amp;",""val"":1},{""typ"":""blueprint"",""id"":19344006,""val"":1},{""typ"":""blueprint"",""id"":19344007,""val"":1},{""typ"":""blueprint"",""id"":19344008,""val"":1},{""typ"":""blueprint"",""id"":19344013,""val"":1},{""typ"":""blueprint"",""id"":19344014,""va"&amp;"l"":1},{""typ"":""blueprint"",""id"":19344015,""val"":1},{""typ"":""blueprint"",""id"":19344016,""val"":1}]}")</f>
        <v>{"select_box":[{"typ":"blueprint","id":19344001,"val":1},{"typ":"blueprint","id":19344002,"val":1},{"typ":"blueprint","id":19344003,"val":1},{"typ":"blueprint","id":19344004,"val":1},{"typ":"blueprint","id":19344005,"val":1},{"typ":"blueprint","id":19344006,"val":1},{"typ":"blueprint","id":19344007,"val":1},{"typ":"blueprint","id":19344008,"val":1},{"typ":"blueprint","id":19344013,"val":1},{"typ":"blueprint","id":19344014,"val":1},{"typ":"blueprint","id":19344015,"val":1},{"typ":"blueprint","id":19344016,"val":1}]}</v>
      </c>
      <c r="T1651" s="148">
        <f>IFERROR(__xludf.DUMMYFUNCTION("""COMPUTED_VALUE"""),-1.0)</f>
        <v>-1</v>
      </c>
      <c r="U1651" s="148">
        <f>IFERROR(__xludf.DUMMYFUNCTION("""COMPUTED_VALUE"""),0.0)</f>
        <v>0</v>
      </c>
      <c r="V1651" s="148" t="str">
        <f>IFERROR(__xludf.DUMMYFUNCTION("""COMPUTED_VALUE"""),"[]")</f>
        <v>[]</v>
      </c>
      <c r="W1651" s="148">
        <f>IFERROR(__xludf.DUMMYFUNCTION("""COMPUTED_VALUE"""),1.1741004E7)</f>
        <v>11741004</v>
      </c>
      <c r="X1651" s="148">
        <f>IFERROR(__xludf.DUMMYFUNCTION("""COMPUTED_VALUE"""),0.0)</f>
        <v>0</v>
      </c>
      <c r="Y1651" s="148">
        <f>IFERROR(__xludf.DUMMYFUNCTION("""COMPUTED_VALUE"""),0.0)</f>
        <v>0</v>
      </c>
      <c r="Z1651" s="148"/>
    </row>
    <row r="1652">
      <c r="A1652" s="148">
        <f>IFERROR(__xludf.DUMMYFUNCTION("""COMPUTED_VALUE"""),1.1117311E7)</f>
        <v>11117311</v>
      </c>
      <c r="B1652" s="148" t="str">
        <f>IFERROR(__xludf.DUMMYFUNCTION("""COMPUTED_VALUE"""),"春节骰子（2023）gacha道具")</f>
        <v>春节骰子（2023）gacha道具</v>
      </c>
      <c r="C1652" s="148"/>
      <c r="D1652" s="148" t="str">
        <f>IFERROR(__xludf.DUMMYFUNCTION("""COMPUTED_VALUE"""),"event")</f>
        <v>event</v>
      </c>
      <c r="E1652" s="148">
        <f>IFERROR(__xludf.DUMMYFUNCTION("""COMPUTED_VALUE"""),0.0)</f>
        <v>0</v>
      </c>
      <c r="F1652" s="148">
        <f>IFERROR(__xludf.DUMMYFUNCTION("""COMPUTED_VALUE"""),405226.0)</f>
        <v>405226</v>
      </c>
      <c r="G1652" s="148">
        <f>IFERROR(__xludf.DUMMYFUNCTION("""COMPUTED_VALUE"""),1.511584E7)</f>
        <v>15115840</v>
      </c>
      <c r="H1652" s="148">
        <f>IFERROR(__xludf.DUMMYFUNCTION("""COMPUTED_VALUE"""),1.5112564E7)</f>
        <v>15112564</v>
      </c>
      <c r="I1652" s="148" t="str">
        <f>IFERROR(__xludf.DUMMYFUNCTION("""COMPUTED_VALUE"""),"{}")</f>
        <v>{}</v>
      </c>
      <c r="J1652" s="148" t="str">
        <f>IFERROR(__xludf.DUMMYFUNCTION("""COMPUTED_VALUE"""),"{""typ"":""lc"",""txt"":""LC_ITEM_2023spring_gacha_item""}")</f>
        <v>{"typ":"lc","txt":"LC_ITEM_2023spring_gacha_item"}</v>
      </c>
      <c r="K1652" s="148" t="str">
        <f>IFERROR(__xludf.DUMMYFUNCTION("""COMPUTED_VALUE"""),"{""typ"":""lc"",""txt"":""LC_ITEM_2023spring_gacha_item_desc""}")</f>
        <v>{"typ":"lc","txt":"LC_ITEM_2023spring_gacha_item_desc"}</v>
      </c>
      <c r="L1652" s="148" t="str">
        <f>IFERROR(__xludf.DUMMYFUNCTION("""COMPUTED_VALUE"""),"{}")</f>
        <v>{}</v>
      </c>
      <c r="M1652" s="148">
        <f>IFERROR(__xludf.DUMMYFUNCTION("""COMPUTED_VALUE"""),700.0)</f>
        <v>700</v>
      </c>
      <c r="N1652" s="148">
        <f>IFERROR(__xludf.DUMMYFUNCTION("""COMPUTED_VALUE"""),9.99999999E8)</f>
        <v>999999999</v>
      </c>
      <c r="O1652" s="148">
        <f>IFERROR(__xludf.DUMMYFUNCTION("""COMPUTED_VALUE"""),9.99999999E8)</f>
        <v>999999999</v>
      </c>
      <c r="P1652" s="148">
        <f>IFERROR(__xludf.DUMMYFUNCTION("""COMPUTED_VALUE"""),9.99999999E8)</f>
        <v>999999999</v>
      </c>
      <c r="Q1652" s="148" t="str">
        <f>IFERROR(__xludf.DUMMYFUNCTION("""COMPUTED_VALUE"""),"[""bag_other""]")</f>
        <v>["bag_other"]</v>
      </c>
      <c r="R1652" s="148" t="str">
        <f>IFERROR(__xludf.DUMMYFUNCTION("""COMPUTED_VALUE"""),"[""bag""]")</f>
        <v>["bag"]</v>
      </c>
      <c r="S1652" s="148" t="str">
        <f>IFERROR(__xludf.DUMMYFUNCTION("""COMPUTED_VALUE"""),"{}")</f>
        <v>{}</v>
      </c>
      <c r="T1652" s="148">
        <f>IFERROR(__xludf.DUMMYFUNCTION("""COMPUTED_VALUE"""),1.0)</f>
        <v>1</v>
      </c>
      <c r="U1652" s="148">
        <f>IFERROR(__xludf.DUMMYFUNCTION("""COMPUTED_VALUE"""),0.0)</f>
        <v>0</v>
      </c>
      <c r="V1652" s="148" t="str">
        <f>IFERROR(__xludf.DUMMYFUNCTION("""COMPUTED_VALUE"""),"[]")</f>
        <v>[]</v>
      </c>
      <c r="W1652" s="148">
        <f>IFERROR(__xludf.DUMMYFUNCTION("""COMPUTED_VALUE"""),1.174E7)</f>
        <v>11740000</v>
      </c>
      <c r="X1652" s="148">
        <f>IFERROR(__xludf.DUMMYFUNCTION("""COMPUTED_VALUE"""),0.0)</f>
        <v>0</v>
      </c>
      <c r="Y1652" s="148">
        <f>IFERROR(__xludf.DUMMYFUNCTION("""COMPUTED_VALUE"""),0.0)</f>
        <v>0</v>
      </c>
      <c r="Z1652" s="148"/>
    </row>
    <row r="1653">
      <c r="A1653" s="148">
        <f>IFERROR(__xludf.DUMMYFUNCTION("""COMPUTED_VALUE"""),1.1117312E7)</f>
        <v>11117312</v>
      </c>
      <c r="B1653" s="148" t="str">
        <f>IFERROR(__xludf.DUMMYFUNCTION("""COMPUTED_VALUE"""),"kvk杀敌宝箱1")</f>
        <v>kvk杀敌宝箱1</v>
      </c>
      <c r="C1653" s="148"/>
      <c r="D1653" s="148" t="str">
        <f>IFERROR(__xludf.DUMMYFUNCTION("""COMPUTED_VALUE"""),"item_asset")</f>
        <v>item_asset</v>
      </c>
      <c r="E1653" s="148">
        <f>IFERROR(__xludf.DUMMYFUNCTION("""COMPUTED_VALUE"""),19.0)</f>
        <v>19</v>
      </c>
      <c r="F1653" s="148">
        <f>IFERROR(__xludf.DUMMYFUNCTION("""COMPUTED_VALUE"""),102400.0)</f>
        <v>102400</v>
      </c>
      <c r="G1653" s="148">
        <f>IFERROR(__xludf.DUMMYFUNCTION("""COMPUTED_VALUE"""),1.5110347E7)</f>
        <v>15110347</v>
      </c>
      <c r="H1653" s="148">
        <f>IFERROR(__xludf.DUMMYFUNCTION("""COMPUTED_VALUE"""),1.5112564E7)</f>
        <v>15112564</v>
      </c>
      <c r="I1653" s="148" t="str">
        <f>IFERROR(__xludf.DUMMYFUNCTION("""COMPUTED_VALUE"""),"{}")</f>
        <v>{}</v>
      </c>
      <c r="J1653" s="148" t="str">
        <f>IFERROR(__xludf.DUMMYFUNCTION("""COMPUTED_VALUE"""),"{""typ"":""lc"",""txt"":""LC_ITEM_beat_army_reward_box_name""}")</f>
        <v>{"typ":"lc","txt":"LC_ITEM_beat_army_reward_box_name"}</v>
      </c>
      <c r="K1653" s="148" t="str">
        <f>IFERROR(__xludf.DUMMYFUNCTION("""COMPUTED_VALUE"""),"{""typ"":""lc"",""txt"":""LC_ITEM_beat_army_reward_box_desc""}")</f>
        <v>{"typ":"lc","txt":"LC_ITEM_beat_army_reward_box_desc"}</v>
      </c>
      <c r="L1653" s="148" t="str">
        <f>IFERROR(__xludf.DUMMYFUNCTION("""COMPUTED_VALUE"""),"{}")</f>
        <v>{}</v>
      </c>
      <c r="M1653" s="148">
        <f>IFERROR(__xludf.DUMMYFUNCTION("""COMPUTED_VALUE"""),1225.0)</f>
        <v>1225</v>
      </c>
      <c r="N1653" s="148">
        <f>IFERROR(__xludf.DUMMYFUNCTION("""COMPUTED_VALUE"""),999999.0)</f>
        <v>999999</v>
      </c>
      <c r="O1653" s="148">
        <f>IFERROR(__xludf.DUMMYFUNCTION("""COMPUTED_VALUE"""),99999.0)</f>
        <v>99999</v>
      </c>
      <c r="P1653" s="148">
        <f>IFERROR(__xludf.DUMMYFUNCTION("""COMPUTED_VALUE"""),99999.0)</f>
        <v>99999</v>
      </c>
      <c r="Q1653" s="148" t="str">
        <f>IFERROR(__xludf.DUMMYFUNCTION("""COMPUTED_VALUE"""),"[""bag_other""]")</f>
        <v>["bag_other"]</v>
      </c>
      <c r="R1653" s="148" t="str">
        <f>IFERROR(__xludf.DUMMYFUNCTION("""COMPUTED_VALUE"""),"[""bag""]")</f>
        <v>["bag"]</v>
      </c>
      <c r="S1653" s="148" t="str">
        <f>IFERROR(__xludf.DUMMYFUNCTION("""COMPUTED_VALUE"""),"{""drop"":{""typ"":""single_all"",""num"":1,""args"":[{""typ"":""item"",""id"":11114330,""num"":1},{""typ"":""item"",""id"":11111156,""num"":1},{""typ"":""item"",""id"":11111147,""num"":1},{""typ"":""single_random"",""num"":1,""args"":[{""typ"":""item"","&amp;"""id"":11116223,""num"":1,""wgt"":20},{""typ"":""empty"",""wgt"":80}]}]}}")</f>
        <v>{"drop":{"typ":"single_all","num":1,"args":[{"typ":"item","id":11114330,"num":1},{"typ":"item","id":11111156,"num":1},{"typ":"item","id":11111147,"num":1},{"typ":"single_random","num":1,"args":[{"typ":"item","id":11116223,"num":1,"wgt":20},{"typ":"empty","wgt":80}]}]}}</v>
      </c>
      <c r="T1653" s="148">
        <f>IFERROR(__xludf.DUMMYFUNCTION("""COMPUTED_VALUE"""),-1.0)</f>
        <v>-1</v>
      </c>
      <c r="U1653" s="148">
        <f>IFERROR(__xludf.DUMMYFUNCTION("""COMPUTED_VALUE"""),0.0)</f>
        <v>0</v>
      </c>
      <c r="V1653" s="148" t="str">
        <f>IFERROR(__xludf.DUMMYFUNCTION("""COMPUTED_VALUE"""),"[]")</f>
        <v>[]</v>
      </c>
      <c r="W1653" s="148">
        <f>IFERROR(__xludf.DUMMYFUNCTION("""COMPUTED_VALUE"""),1.174E7)</f>
        <v>11740000</v>
      </c>
      <c r="X1653" s="148">
        <f>IFERROR(__xludf.DUMMYFUNCTION("""COMPUTED_VALUE"""),0.0)</f>
        <v>0</v>
      </c>
      <c r="Y1653" s="148">
        <f>IFERROR(__xludf.DUMMYFUNCTION("""COMPUTED_VALUE"""),0.0)</f>
        <v>0</v>
      </c>
      <c r="Z1653" s="148"/>
    </row>
    <row r="1654">
      <c r="A1654" s="148">
        <f>IFERROR(__xludf.DUMMYFUNCTION("""COMPUTED_VALUE"""),1.1117313E7)</f>
        <v>11117313</v>
      </c>
      <c r="B1654" s="148" t="str">
        <f>IFERROR(__xludf.DUMMYFUNCTION("""COMPUTED_VALUE"""),"kvk杀敌宝箱2")</f>
        <v>kvk杀敌宝箱2</v>
      </c>
      <c r="C1654" s="148"/>
      <c r="D1654" s="148" t="str">
        <f>IFERROR(__xludf.DUMMYFUNCTION("""COMPUTED_VALUE"""),"item_asset")</f>
        <v>item_asset</v>
      </c>
      <c r="E1654" s="148">
        <f>IFERROR(__xludf.DUMMYFUNCTION("""COMPUTED_VALUE"""),19.0)</f>
        <v>19</v>
      </c>
      <c r="F1654" s="148">
        <f>IFERROR(__xludf.DUMMYFUNCTION("""COMPUTED_VALUE"""),102400.0)</f>
        <v>102400</v>
      </c>
      <c r="G1654" s="148">
        <f>IFERROR(__xludf.DUMMYFUNCTION("""COMPUTED_VALUE"""),1.5110347E7)</f>
        <v>15110347</v>
      </c>
      <c r="H1654" s="148">
        <f>IFERROR(__xludf.DUMMYFUNCTION("""COMPUTED_VALUE"""),1.5112564E7)</f>
        <v>15112564</v>
      </c>
      <c r="I1654" s="148" t="str">
        <f>IFERROR(__xludf.DUMMYFUNCTION("""COMPUTED_VALUE"""),"{}")</f>
        <v>{}</v>
      </c>
      <c r="J1654" s="148" t="str">
        <f>IFERROR(__xludf.DUMMYFUNCTION("""COMPUTED_VALUE"""),"{""typ"":""lc"",""txt"":""LC_ITEM_beat_army_reward_box_name""}")</f>
        <v>{"typ":"lc","txt":"LC_ITEM_beat_army_reward_box_name"}</v>
      </c>
      <c r="K1654" s="148" t="str">
        <f>IFERROR(__xludf.DUMMYFUNCTION("""COMPUTED_VALUE"""),"{""typ"":""lc"",""txt"":""LC_ITEM_beat_army_reward_box_desc""}")</f>
        <v>{"typ":"lc","txt":"LC_ITEM_beat_army_reward_box_desc"}</v>
      </c>
      <c r="L1654" s="148" t="str">
        <f>IFERROR(__xludf.DUMMYFUNCTION("""COMPUTED_VALUE"""),"{}")</f>
        <v>{}</v>
      </c>
      <c r="M1654" s="148">
        <f>IFERROR(__xludf.DUMMYFUNCTION("""COMPUTED_VALUE"""),1225.0)</f>
        <v>1225</v>
      </c>
      <c r="N1654" s="148">
        <f>IFERROR(__xludf.DUMMYFUNCTION("""COMPUTED_VALUE"""),999999.0)</f>
        <v>999999</v>
      </c>
      <c r="O1654" s="148">
        <f>IFERROR(__xludf.DUMMYFUNCTION("""COMPUTED_VALUE"""),99999.0)</f>
        <v>99999</v>
      </c>
      <c r="P1654" s="148">
        <f>IFERROR(__xludf.DUMMYFUNCTION("""COMPUTED_VALUE"""),99999.0)</f>
        <v>99999</v>
      </c>
      <c r="Q1654" s="148" t="str">
        <f>IFERROR(__xludf.DUMMYFUNCTION("""COMPUTED_VALUE"""),"[""bag_other""]")</f>
        <v>["bag_other"]</v>
      </c>
      <c r="R1654" s="148" t="str">
        <f>IFERROR(__xludf.DUMMYFUNCTION("""COMPUTED_VALUE"""),"[""bag""]")</f>
        <v>["bag"]</v>
      </c>
      <c r="S1654" s="148" t="str">
        <f>IFERROR(__xludf.DUMMYFUNCTION("""COMPUTED_VALUE"""),"{""drop"":{""typ"":""single_all"",""num"":1,""args"":[{""typ"":""item"",""id"":11114330,""num"":1},{""typ"":""item"",""id"":11111156,""num"":1},{""typ"":""item"",""id"":11111147,""num"":1},{""typ"":""single_random"",""num"":1,""args"":[{""typ"":""item"","&amp;"""id"":11116238,""num"":1,""wgt"":20},{""typ"":""empty"",""wgt"":80}]}]}}")</f>
        <v>{"drop":{"typ":"single_all","num":1,"args":[{"typ":"item","id":11114330,"num":1},{"typ":"item","id":11111156,"num":1},{"typ":"item","id":11111147,"num":1},{"typ":"single_random","num":1,"args":[{"typ":"item","id":11116238,"num":1,"wgt":20},{"typ":"empty","wgt":80}]}]}}</v>
      </c>
      <c r="T1654" s="148">
        <f>IFERROR(__xludf.DUMMYFUNCTION("""COMPUTED_VALUE"""),-1.0)</f>
        <v>-1</v>
      </c>
      <c r="U1654" s="148">
        <f>IFERROR(__xludf.DUMMYFUNCTION("""COMPUTED_VALUE"""),0.0)</f>
        <v>0</v>
      </c>
      <c r="V1654" s="148" t="str">
        <f>IFERROR(__xludf.DUMMYFUNCTION("""COMPUTED_VALUE"""),"[]")</f>
        <v>[]</v>
      </c>
      <c r="W1654" s="148">
        <f>IFERROR(__xludf.DUMMYFUNCTION("""COMPUTED_VALUE"""),1.174E7)</f>
        <v>11740000</v>
      </c>
      <c r="X1654" s="148">
        <f>IFERROR(__xludf.DUMMYFUNCTION("""COMPUTED_VALUE"""),0.0)</f>
        <v>0</v>
      </c>
      <c r="Y1654" s="148">
        <f>IFERROR(__xludf.DUMMYFUNCTION("""COMPUTED_VALUE"""),0.0)</f>
        <v>0</v>
      </c>
      <c r="Z1654" s="148"/>
    </row>
    <row r="1655">
      <c r="A1655" s="148">
        <f>IFERROR(__xludf.DUMMYFUNCTION("""COMPUTED_VALUE"""),1.1117314E7)</f>
        <v>11117314</v>
      </c>
      <c r="B1655" s="148" t="str">
        <f>IFERROR(__xludf.DUMMYFUNCTION("""COMPUTED_VALUE"""),"春节2023活动专用-增加次数道具")</f>
        <v>春节2023活动专用-增加次数道具</v>
      </c>
      <c r="C1655" s="148"/>
      <c r="D1655" s="148" t="str">
        <f>IFERROR(__xludf.DUMMYFUNCTION("""COMPUTED_VALUE"""),"event_progress")</f>
        <v>event_progress</v>
      </c>
      <c r="E1655" s="148">
        <f>IFERROR(__xludf.DUMMYFUNCTION("""COMPUTED_VALUE"""),0.0)</f>
        <v>0</v>
      </c>
      <c r="F1655" s="148">
        <f>IFERROR(__xludf.DUMMYFUNCTION("""COMPUTED_VALUE"""),0.0)</f>
        <v>0</v>
      </c>
      <c r="G1655" s="148">
        <f>IFERROR(__xludf.DUMMYFUNCTION("""COMPUTED_VALUE"""),1.5113732E7)</f>
        <v>15113732</v>
      </c>
      <c r="H1655" s="148">
        <f>IFERROR(__xludf.DUMMYFUNCTION("""COMPUTED_VALUE"""),1.5112563E7)</f>
        <v>15112563</v>
      </c>
      <c r="I1655" s="148" t="str">
        <f>IFERROR(__xludf.DUMMYFUNCTION("""COMPUTED_VALUE"""),"{}")</f>
        <v>{}</v>
      </c>
      <c r="J1655" s="148" t="str">
        <f>IFERROR(__xludf.DUMMYFUNCTION("""COMPUTED_VALUE"""),"{}")</f>
        <v>{}</v>
      </c>
      <c r="K1655" s="148" t="str">
        <f>IFERROR(__xludf.DUMMYFUNCTION("""COMPUTED_VALUE"""),"{}")</f>
        <v>{}</v>
      </c>
      <c r="L1655" s="148" t="str">
        <f>IFERROR(__xludf.DUMMYFUNCTION("""COMPUTED_VALUE"""),"{}")</f>
        <v>{}</v>
      </c>
      <c r="M1655" s="148">
        <f>IFERROR(__xludf.DUMMYFUNCTION("""COMPUTED_VALUE"""),1.0)</f>
        <v>1</v>
      </c>
      <c r="N1655" s="148">
        <f>IFERROR(__xludf.DUMMYFUNCTION("""COMPUTED_VALUE"""),999999.0)</f>
        <v>999999</v>
      </c>
      <c r="O1655" s="148">
        <f>IFERROR(__xludf.DUMMYFUNCTION("""COMPUTED_VALUE"""),99999.0)</f>
        <v>99999</v>
      </c>
      <c r="P1655" s="148">
        <f>IFERROR(__xludf.DUMMYFUNCTION("""COMPUTED_VALUE"""),9999.0)</f>
        <v>9999</v>
      </c>
      <c r="Q1655" s="148" t="str">
        <f>IFERROR(__xludf.DUMMYFUNCTION("""COMPUTED_VALUE"""),"[]")</f>
        <v>[]</v>
      </c>
      <c r="R1655" s="148" t="str">
        <f>IFERROR(__xludf.DUMMYFUNCTION("""COMPUTED_VALUE"""),"[]")</f>
        <v>[]</v>
      </c>
      <c r="S1655" s="148" t="str">
        <f>IFERROR(__xludf.DUMMYFUNCTION("""COMPUTED_VALUE"""),"{""effect"":[{""typ"":""event"",""id"":21121413},{""typ"":""miss_lost_reward""}]}")</f>
        <v>{"effect":[{"typ":"event","id":21121413},{"typ":"miss_lost_reward"}]}</v>
      </c>
      <c r="T1655" s="148">
        <f>IFERROR(__xludf.DUMMYFUNCTION("""COMPUTED_VALUE"""),-1.0)</f>
        <v>-1</v>
      </c>
      <c r="U1655" s="148">
        <f>IFERROR(__xludf.DUMMYFUNCTION("""COMPUTED_VALUE"""),1.0)</f>
        <v>1</v>
      </c>
      <c r="V1655" s="148" t="str">
        <f>IFERROR(__xludf.DUMMYFUNCTION("""COMPUTED_VALUE"""),"[]")</f>
        <v>[]</v>
      </c>
      <c r="W1655" s="148">
        <f>IFERROR(__xludf.DUMMYFUNCTION("""COMPUTED_VALUE"""),1.174E7)</f>
        <v>11740000</v>
      </c>
      <c r="X1655" s="148">
        <f>IFERROR(__xludf.DUMMYFUNCTION("""COMPUTED_VALUE"""),0.0)</f>
        <v>0</v>
      </c>
      <c r="Y1655" s="148">
        <f>IFERROR(__xludf.DUMMYFUNCTION("""COMPUTED_VALUE"""),0.0)</f>
        <v>0</v>
      </c>
      <c r="Z1655" s="148"/>
    </row>
    <row r="1656">
      <c r="A1656" s="148">
        <f>IFERROR(__xludf.DUMMYFUNCTION("""COMPUTED_VALUE"""),1.1117315E7)</f>
        <v>11117315</v>
      </c>
      <c r="B1656" s="148" t="str">
        <f>IFERROR(__xludf.DUMMYFUNCTION("""COMPUTED_VALUE"""),"情人节2023活动专用-增加次数道具")</f>
        <v>情人节2023活动专用-增加次数道具</v>
      </c>
      <c r="C1656" s="148"/>
      <c r="D1656" s="148" t="str">
        <f>IFERROR(__xludf.DUMMYFUNCTION("""COMPUTED_VALUE"""),"event_progress")</f>
        <v>event_progress</v>
      </c>
      <c r="E1656" s="148">
        <f>IFERROR(__xludf.DUMMYFUNCTION("""COMPUTED_VALUE"""),0.0)</f>
        <v>0</v>
      </c>
      <c r="F1656" s="148">
        <f>IFERROR(__xludf.DUMMYFUNCTION("""COMPUTED_VALUE"""),0.0)</f>
        <v>0</v>
      </c>
      <c r="G1656" s="148">
        <f>IFERROR(__xludf.DUMMYFUNCTION("""COMPUTED_VALUE"""),1.5113732E7)</f>
        <v>15113732</v>
      </c>
      <c r="H1656" s="148">
        <f>IFERROR(__xludf.DUMMYFUNCTION("""COMPUTED_VALUE"""),1.5112563E7)</f>
        <v>15112563</v>
      </c>
      <c r="I1656" s="148" t="str">
        <f>IFERROR(__xludf.DUMMYFUNCTION("""COMPUTED_VALUE"""),"{}")</f>
        <v>{}</v>
      </c>
      <c r="J1656" s="148" t="str">
        <f>IFERROR(__xludf.DUMMYFUNCTION("""COMPUTED_VALUE"""),"{}")</f>
        <v>{}</v>
      </c>
      <c r="K1656" s="148" t="str">
        <f>IFERROR(__xludf.DUMMYFUNCTION("""COMPUTED_VALUE"""),"{}")</f>
        <v>{}</v>
      </c>
      <c r="L1656" s="148" t="str">
        <f>IFERROR(__xludf.DUMMYFUNCTION("""COMPUTED_VALUE"""),"{}")</f>
        <v>{}</v>
      </c>
      <c r="M1656" s="148">
        <f>IFERROR(__xludf.DUMMYFUNCTION("""COMPUTED_VALUE"""),1.0)</f>
        <v>1</v>
      </c>
      <c r="N1656" s="148">
        <f>IFERROR(__xludf.DUMMYFUNCTION("""COMPUTED_VALUE"""),999999.0)</f>
        <v>999999</v>
      </c>
      <c r="O1656" s="148">
        <f>IFERROR(__xludf.DUMMYFUNCTION("""COMPUTED_VALUE"""),99999.0)</f>
        <v>99999</v>
      </c>
      <c r="P1656" s="148">
        <f>IFERROR(__xludf.DUMMYFUNCTION("""COMPUTED_VALUE"""),9999.0)</f>
        <v>9999</v>
      </c>
      <c r="Q1656" s="148" t="str">
        <f>IFERROR(__xludf.DUMMYFUNCTION("""COMPUTED_VALUE"""),"[]")</f>
        <v>[]</v>
      </c>
      <c r="R1656" s="148" t="str">
        <f>IFERROR(__xludf.DUMMYFUNCTION("""COMPUTED_VALUE"""),"[]")</f>
        <v>[]</v>
      </c>
      <c r="S1656" s="148" t="str">
        <f>IFERROR(__xludf.DUMMYFUNCTION("""COMPUTED_VALUE"""),"{""effect"":[{""typ"":""event"",""id"":21121418},{""typ"":""miss_lost_reward""}]}")</f>
        <v>{"effect":[{"typ":"event","id":21121418},{"typ":"miss_lost_reward"}]}</v>
      </c>
      <c r="T1656" s="148">
        <f>IFERROR(__xludf.DUMMYFUNCTION("""COMPUTED_VALUE"""),-1.0)</f>
        <v>-1</v>
      </c>
      <c r="U1656" s="148">
        <f>IFERROR(__xludf.DUMMYFUNCTION("""COMPUTED_VALUE"""),1.0)</f>
        <v>1</v>
      </c>
      <c r="V1656" s="148" t="str">
        <f>IFERROR(__xludf.DUMMYFUNCTION("""COMPUTED_VALUE"""),"[]")</f>
        <v>[]</v>
      </c>
      <c r="W1656" s="148">
        <f>IFERROR(__xludf.DUMMYFUNCTION("""COMPUTED_VALUE"""),1.174E7)</f>
        <v>11740000</v>
      </c>
      <c r="X1656" s="148">
        <f>IFERROR(__xludf.DUMMYFUNCTION("""COMPUTED_VALUE"""),0.0)</f>
        <v>0</v>
      </c>
      <c r="Y1656" s="148">
        <f>IFERROR(__xludf.DUMMYFUNCTION("""COMPUTED_VALUE"""),0.0)</f>
        <v>0</v>
      </c>
      <c r="Z1656" s="148"/>
    </row>
    <row r="1657">
      <c r="A1657" s="148">
        <f>IFERROR(__xludf.DUMMYFUNCTION("""COMPUTED_VALUE"""),1.1117316E7)</f>
        <v>11117316</v>
      </c>
      <c r="B1657" s="148" t="str">
        <f>IFERROR(__xludf.DUMMYFUNCTION("""COMPUTED_VALUE"""),"绣球-春节2023活动专用BP道具")</f>
        <v>绣球-春节2023活动专用BP道具</v>
      </c>
      <c r="C1657" s="148"/>
      <c r="D1657" s="148" t="str">
        <f>IFERROR(__xludf.DUMMYFUNCTION("""COMPUTED_VALUE"""),"battle_pass_exp")</f>
        <v>battle_pass_exp</v>
      </c>
      <c r="E1657" s="148">
        <f>IFERROR(__xludf.DUMMYFUNCTION("""COMPUTED_VALUE"""),0.0)</f>
        <v>0</v>
      </c>
      <c r="F1657" s="148">
        <f>IFERROR(__xludf.DUMMYFUNCTION("""COMPUTED_VALUE"""),405225.0)</f>
        <v>405225</v>
      </c>
      <c r="G1657" s="148">
        <f>IFERROR(__xludf.DUMMYFUNCTION("""COMPUTED_VALUE"""),1.5115833E7)</f>
        <v>15115833</v>
      </c>
      <c r="H1657" s="148">
        <f>IFERROR(__xludf.DUMMYFUNCTION("""COMPUTED_VALUE"""),1.5112563E7)</f>
        <v>15112563</v>
      </c>
      <c r="I1657" s="148" t="str">
        <f>IFERROR(__xludf.DUMMYFUNCTION("""COMPUTED_VALUE"""),"{}")</f>
        <v>{}</v>
      </c>
      <c r="J1657" s="148" t="str">
        <f>IFERROR(__xludf.DUMMYFUNCTION("""COMPUTED_VALUE"""),"{""typ"":""lc"",""txt"":""LC_ITEM_spring_item_2023_name_1""}")</f>
        <v>{"typ":"lc","txt":"LC_ITEM_spring_item_2023_name_1"}</v>
      </c>
      <c r="K1657" s="148" t="str">
        <f>IFERROR(__xludf.DUMMYFUNCTION("""COMPUTED_VALUE"""),"{""typ"":""lc"",""txt"":""LC_ITEM_spring_item_2023_desc_1""}")</f>
        <v>{"typ":"lc","txt":"LC_ITEM_spring_item_2023_desc_1"}</v>
      </c>
      <c r="L1657" s="148" t="str">
        <f>IFERROR(__xludf.DUMMYFUNCTION("""COMPUTED_VALUE"""),"{}")</f>
        <v>{}</v>
      </c>
      <c r="M1657" s="148">
        <f>IFERROR(__xludf.DUMMYFUNCTION("""COMPUTED_VALUE"""),35.0)</f>
        <v>35</v>
      </c>
      <c r="N1657" s="148">
        <f>IFERROR(__xludf.DUMMYFUNCTION("""COMPUTED_VALUE"""),999999.0)</f>
        <v>999999</v>
      </c>
      <c r="O1657" s="148">
        <f>IFERROR(__xludf.DUMMYFUNCTION("""COMPUTED_VALUE"""),99999.0)</f>
        <v>99999</v>
      </c>
      <c r="P1657" s="148">
        <f>IFERROR(__xludf.DUMMYFUNCTION("""COMPUTED_VALUE"""),99999.0)</f>
        <v>99999</v>
      </c>
      <c r="Q1657" s="148" t="str">
        <f>IFERROR(__xludf.DUMMYFUNCTION("""COMPUTED_VALUE"""),"[""bag_other""]")</f>
        <v>["bag_other"]</v>
      </c>
      <c r="R1657" s="148" t="str">
        <f>IFERROR(__xludf.DUMMYFUNCTION("""COMPUTED_VALUE"""),"[""bag""]")</f>
        <v>["bag"]</v>
      </c>
      <c r="S1657" s="148" t="str">
        <f>IFERROR(__xludf.DUMMYFUNCTION("""COMPUTED_VALUE"""),"{}")</f>
        <v>{}</v>
      </c>
      <c r="T1657" s="148">
        <f>IFERROR(__xludf.DUMMYFUNCTION("""COMPUTED_VALUE"""),-1.0)</f>
        <v>-1</v>
      </c>
      <c r="U1657" s="148">
        <f>IFERROR(__xludf.DUMMYFUNCTION("""COMPUTED_VALUE"""),0.0)</f>
        <v>0</v>
      </c>
      <c r="V1657" s="148" t="str">
        <f>IFERROR(__xludf.DUMMYFUNCTION("""COMPUTED_VALUE"""),"[]")</f>
        <v>[]</v>
      </c>
      <c r="W1657" s="148">
        <f>IFERROR(__xludf.DUMMYFUNCTION("""COMPUTED_VALUE"""),1.174E7)</f>
        <v>11740000</v>
      </c>
      <c r="X1657" s="148">
        <f>IFERROR(__xludf.DUMMYFUNCTION("""COMPUTED_VALUE"""),0.0)</f>
        <v>0</v>
      </c>
      <c r="Y1657" s="148">
        <f>IFERROR(__xludf.DUMMYFUNCTION("""COMPUTED_VALUE"""),0.0)</f>
        <v>0</v>
      </c>
      <c r="Z1657" s="148"/>
    </row>
    <row r="1658">
      <c r="A1658" s="148">
        <f>IFERROR(__xludf.DUMMYFUNCTION("""COMPUTED_VALUE"""),1.1117317E7)</f>
        <v>11117317</v>
      </c>
      <c r="B1658" s="148" t="str">
        <f>IFERROR(__xludf.DUMMYFUNCTION("""COMPUTED_VALUE"""),"夹心巧克力-情人节2023活动BP道具")</f>
        <v>夹心巧克力-情人节2023活动BP道具</v>
      </c>
      <c r="C1658" s="148"/>
      <c r="D1658" s="148" t="str">
        <f>IFERROR(__xludf.DUMMYFUNCTION("""COMPUTED_VALUE"""),"battle_pass_exp")</f>
        <v>battle_pass_exp</v>
      </c>
      <c r="E1658" s="148">
        <f>IFERROR(__xludf.DUMMYFUNCTION("""COMPUTED_VALUE"""),0.0)</f>
        <v>0</v>
      </c>
      <c r="F1658" s="148">
        <f>IFERROR(__xludf.DUMMYFUNCTION("""COMPUTED_VALUE"""),405217.0)</f>
        <v>405217</v>
      </c>
      <c r="G1658" s="148">
        <f>IFERROR(__xludf.DUMMYFUNCTION("""COMPUTED_VALUE"""),1.5113625E7)</f>
        <v>15113625</v>
      </c>
      <c r="H1658" s="148">
        <f>IFERROR(__xludf.DUMMYFUNCTION("""COMPUTED_VALUE"""),1.5112563E7)</f>
        <v>15112563</v>
      </c>
      <c r="I1658" s="148" t="str">
        <f>IFERROR(__xludf.DUMMYFUNCTION("""COMPUTED_VALUE"""),"{}")</f>
        <v>{}</v>
      </c>
      <c r="J1658" s="148" t="str">
        <f>IFERROR(__xludf.DUMMYFUNCTION("""COMPUTED_VALUE"""),"{""typ"":""lc"",""txt"":""LC_ITEM_filled_chocolate_name""}")</f>
        <v>{"typ":"lc","txt":"LC_ITEM_filled_chocolate_name"}</v>
      </c>
      <c r="K1658" s="148" t="str">
        <f>IFERROR(__xludf.DUMMYFUNCTION("""COMPUTED_VALUE"""),"{""typ"":""lc"",""txt"":""LC_ITEM_filled_chocolate_desc""}")</f>
        <v>{"typ":"lc","txt":"LC_ITEM_filled_chocolate_desc"}</v>
      </c>
      <c r="L1658" s="148" t="str">
        <f>IFERROR(__xludf.DUMMYFUNCTION("""COMPUTED_VALUE"""),"{}")</f>
        <v>{}</v>
      </c>
      <c r="M1658" s="148">
        <f>IFERROR(__xludf.DUMMYFUNCTION("""COMPUTED_VALUE"""),35.0)</f>
        <v>35</v>
      </c>
      <c r="N1658" s="148">
        <f>IFERROR(__xludf.DUMMYFUNCTION("""COMPUTED_VALUE"""),999999.0)</f>
        <v>999999</v>
      </c>
      <c r="O1658" s="148">
        <f>IFERROR(__xludf.DUMMYFUNCTION("""COMPUTED_VALUE"""),99999.0)</f>
        <v>99999</v>
      </c>
      <c r="P1658" s="148">
        <f>IFERROR(__xludf.DUMMYFUNCTION("""COMPUTED_VALUE"""),99999.0)</f>
        <v>99999</v>
      </c>
      <c r="Q1658" s="148" t="str">
        <f>IFERROR(__xludf.DUMMYFUNCTION("""COMPUTED_VALUE"""),"[""bag_other""]")</f>
        <v>["bag_other"]</v>
      </c>
      <c r="R1658" s="148" t="str">
        <f>IFERROR(__xludf.DUMMYFUNCTION("""COMPUTED_VALUE"""),"[""bag""]")</f>
        <v>["bag"]</v>
      </c>
      <c r="S1658" s="148" t="str">
        <f>IFERROR(__xludf.DUMMYFUNCTION("""COMPUTED_VALUE"""),"{}")</f>
        <v>{}</v>
      </c>
      <c r="T1658" s="148">
        <f>IFERROR(__xludf.DUMMYFUNCTION("""COMPUTED_VALUE"""),-1.0)</f>
        <v>-1</v>
      </c>
      <c r="U1658" s="148">
        <f>IFERROR(__xludf.DUMMYFUNCTION("""COMPUTED_VALUE"""),0.0)</f>
        <v>0</v>
      </c>
      <c r="V1658" s="148" t="str">
        <f>IFERROR(__xludf.DUMMYFUNCTION("""COMPUTED_VALUE"""),"[]")</f>
        <v>[]</v>
      </c>
      <c r="W1658" s="148">
        <f>IFERROR(__xludf.DUMMYFUNCTION("""COMPUTED_VALUE"""),1.174E7)</f>
        <v>11740000</v>
      </c>
      <c r="X1658" s="148">
        <f>IFERROR(__xludf.DUMMYFUNCTION("""COMPUTED_VALUE"""),0.0)</f>
        <v>0</v>
      </c>
      <c r="Y1658" s="148">
        <f>IFERROR(__xludf.DUMMYFUNCTION("""COMPUTED_VALUE"""),0.0)</f>
        <v>0</v>
      </c>
      <c r="Z1658" s="148"/>
    </row>
    <row r="1659">
      <c r="A1659" s="148">
        <f>IFERROR(__xludf.DUMMYFUNCTION("""COMPUTED_VALUE"""),1.1117318E7)</f>
        <v>11117318</v>
      </c>
      <c r="B1659" s="148" t="str">
        <f>IFERROR(__xludf.DUMMYFUNCTION("""COMPUTED_VALUE"""),"玫瑰花-情人节2023活动GACHA道具")</f>
        <v>玫瑰花-情人节2023活动GACHA道具</v>
      </c>
      <c r="C1659" s="148"/>
      <c r="D1659" s="148" t="str">
        <f>IFERROR(__xludf.DUMMYFUNCTION("""COMPUTED_VALUE"""),"event")</f>
        <v>event</v>
      </c>
      <c r="E1659" s="148">
        <f>IFERROR(__xludf.DUMMYFUNCTION("""COMPUTED_VALUE"""),0.0)</f>
        <v>0</v>
      </c>
      <c r="F1659" s="148">
        <f>IFERROR(__xludf.DUMMYFUNCTION("""COMPUTED_VALUE"""),405243.0)</f>
        <v>405243</v>
      </c>
      <c r="G1659" s="148">
        <f>IFERROR(__xludf.DUMMYFUNCTION("""COMPUTED_VALUE"""),1.5115834E7)</f>
        <v>15115834</v>
      </c>
      <c r="H1659" s="148">
        <f>IFERROR(__xludf.DUMMYFUNCTION("""COMPUTED_VALUE"""),1.5112563E7)</f>
        <v>15112563</v>
      </c>
      <c r="I1659" s="148" t="str">
        <f>IFERROR(__xludf.DUMMYFUNCTION("""COMPUTED_VALUE"""),"{}")</f>
        <v>{}</v>
      </c>
      <c r="J1659" s="148" t="str">
        <f>IFERROR(__xludf.DUMMYFUNCTION("""COMPUTED_VALUE"""),"{""typ"":""lc"",""txt"":""LC_ITEM_valentine_item_2022_name_2""}")</f>
        <v>{"typ":"lc","txt":"LC_ITEM_valentine_item_2022_name_2"}</v>
      </c>
      <c r="K1659" s="148" t="str">
        <f>IFERROR(__xludf.DUMMYFUNCTION("""COMPUTED_VALUE"""),"{""typ"":""lc"",""txt"":""LC_ITEM_valentine_item_2022_desc_2""}")</f>
        <v>{"typ":"lc","txt":"LC_ITEM_valentine_item_2022_desc_2"}</v>
      </c>
      <c r="L1659" s="148" t="str">
        <f>IFERROR(__xludf.DUMMYFUNCTION("""COMPUTED_VALUE"""),"{}")</f>
        <v>{}</v>
      </c>
      <c r="M1659" s="148">
        <f>IFERROR(__xludf.DUMMYFUNCTION("""COMPUTED_VALUE"""),700.0)</f>
        <v>700</v>
      </c>
      <c r="N1659" s="148">
        <f>IFERROR(__xludf.DUMMYFUNCTION("""COMPUTED_VALUE"""),9.99999999E8)</f>
        <v>999999999</v>
      </c>
      <c r="O1659" s="148">
        <f>IFERROR(__xludf.DUMMYFUNCTION("""COMPUTED_VALUE"""),9.99999999E8)</f>
        <v>999999999</v>
      </c>
      <c r="P1659" s="148">
        <f>IFERROR(__xludf.DUMMYFUNCTION("""COMPUTED_VALUE"""),9.99999999E8)</f>
        <v>999999999</v>
      </c>
      <c r="Q1659" s="148" t="str">
        <f>IFERROR(__xludf.DUMMYFUNCTION("""COMPUTED_VALUE"""),"[""bag_other""]")</f>
        <v>["bag_other"]</v>
      </c>
      <c r="R1659" s="148" t="str">
        <f>IFERROR(__xludf.DUMMYFUNCTION("""COMPUTED_VALUE"""),"[""bag""]")</f>
        <v>["bag"]</v>
      </c>
      <c r="S1659" s="148" t="str">
        <f>IFERROR(__xludf.DUMMYFUNCTION("""COMPUTED_VALUE"""),"{}")</f>
        <v>{}</v>
      </c>
      <c r="T1659" s="148">
        <f>IFERROR(__xludf.DUMMYFUNCTION("""COMPUTED_VALUE"""),1.0)</f>
        <v>1</v>
      </c>
      <c r="U1659" s="148">
        <f>IFERROR(__xludf.DUMMYFUNCTION("""COMPUTED_VALUE"""),0.0)</f>
        <v>0</v>
      </c>
      <c r="V1659" s="148" t="str">
        <f>IFERROR(__xludf.DUMMYFUNCTION("""COMPUTED_VALUE"""),"[]")</f>
        <v>[]</v>
      </c>
      <c r="W1659" s="148">
        <f>IFERROR(__xludf.DUMMYFUNCTION("""COMPUTED_VALUE"""),1.174E7)</f>
        <v>11740000</v>
      </c>
      <c r="X1659" s="148">
        <f>IFERROR(__xludf.DUMMYFUNCTION("""COMPUTED_VALUE"""),0.0)</f>
        <v>0</v>
      </c>
      <c r="Y1659" s="148">
        <f>IFERROR(__xludf.DUMMYFUNCTION("""COMPUTED_VALUE"""),0.0)</f>
        <v>0</v>
      </c>
      <c r="Z1659" s="148"/>
    </row>
    <row r="1660">
      <c r="A1660" s="148">
        <f>IFERROR(__xludf.DUMMYFUNCTION("""COMPUTED_VALUE"""),1.1117319E7)</f>
        <v>11117319</v>
      </c>
      <c r="B1660" s="148" t="str">
        <f>IFERROR(__xludf.DUMMYFUNCTION("""COMPUTED_VALUE"""),"2023春节BattlePass-初级通行证")</f>
        <v>2023春节BattlePass-初级通行证</v>
      </c>
      <c r="C1660" s="148"/>
      <c r="D1660" s="148" t="str">
        <f>IFERROR(__xludf.DUMMYFUNCTION("""COMPUTED_VALUE"""),"battle_pass_card")</f>
        <v>battle_pass_card</v>
      </c>
      <c r="E1660" s="148">
        <f>IFERROR(__xludf.DUMMYFUNCTION("""COMPUTED_VALUE"""),0.0)</f>
        <v>0</v>
      </c>
      <c r="F1660" s="148">
        <f>IFERROR(__xludf.DUMMYFUNCTION("""COMPUTED_VALUE"""),0.0)</f>
        <v>0</v>
      </c>
      <c r="G1660" s="148">
        <f>IFERROR(__xludf.DUMMYFUNCTION("""COMPUTED_VALUE"""),1.5113625E7)</f>
        <v>15113625</v>
      </c>
      <c r="H1660" s="148">
        <f>IFERROR(__xludf.DUMMYFUNCTION("""COMPUTED_VALUE"""),1.5112563E7)</f>
        <v>15112563</v>
      </c>
      <c r="I1660" s="148" t="str">
        <f>IFERROR(__xludf.DUMMYFUNCTION("""COMPUTED_VALUE"""),"{}")</f>
        <v>{}</v>
      </c>
      <c r="J1660" s="148" t="str">
        <f>IFERROR(__xludf.DUMMYFUNCTION("""COMPUTED_VALUE"""),"{""typ"":""lc"",""txt"":""LC_IAP_luxury_2022_winter_gift""}")</f>
        <v>{"typ":"lc","txt":"LC_IAP_luxury_2022_winter_gift"}</v>
      </c>
      <c r="K1660" s="148" t="str">
        <f>IFERROR(__xludf.DUMMYFUNCTION("""COMPUTED_VALUE"""),"{}")</f>
        <v>{}</v>
      </c>
      <c r="L1660" s="148" t="str">
        <f>IFERROR(__xludf.DUMMYFUNCTION("""COMPUTED_VALUE"""),"{}")</f>
        <v>{}</v>
      </c>
      <c r="M1660" s="148">
        <f>IFERROR(__xludf.DUMMYFUNCTION("""COMPUTED_VALUE"""),10.0)</f>
        <v>10</v>
      </c>
      <c r="N1660" s="148">
        <f>IFERROR(__xludf.DUMMYFUNCTION("""COMPUTED_VALUE"""),999999.0)</f>
        <v>999999</v>
      </c>
      <c r="O1660" s="148">
        <f>IFERROR(__xludf.DUMMYFUNCTION("""COMPUTED_VALUE"""),99999.0)</f>
        <v>99999</v>
      </c>
      <c r="P1660" s="148">
        <f>IFERROR(__xludf.DUMMYFUNCTION("""COMPUTED_VALUE"""),9999.0)</f>
        <v>9999</v>
      </c>
      <c r="Q1660" s="148" t="str">
        <f>IFERROR(__xludf.DUMMYFUNCTION("""COMPUTED_VALUE"""),"[]")</f>
        <v>[]</v>
      </c>
      <c r="R1660" s="148" t="str">
        <f>IFERROR(__xludf.DUMMYFUNCTION("""COMPUTED_VALUE"""),"[]")</f>
        <v>[]</v>
      </c>
      <c r="S1660" s="148" t="str">
        <f>IFERROR(__xludf.DUMMYFUNCTION("""COMPUTED_VALUE"""),"{}")</f>
        <v>{}</v>
      </c>
      <c r="T1660" s="148">
        <f>IFERROR(__xludf.DUMMYFUNCTION("""COMPUTED_VALUE"""),-1.0)</f>
        <v>-1</v>
      </c>
      <c r="U1660" s="148">
        <f>IFERROR(__xludf.DUMMYFUNCTION("""COMPUTED_VALUE"""),1.0)</f>
        <v>1</v>
      </c>
      <c r="V1660" s="148" t="str">
        <f>IFERROR(__xludf.DUMMYFUNCTION("""COMPUTED_VALUE"""),"[]")</f>
        <v>[]</v>
      </c>
      <c r="W1660" s="148">
        <f>IFERROR(__xludf.DUMMYFUNCTION("""COMPUTED_VALUE"""),1.174E7)</f>
        <v>11740000</v>
      </c>
      <c r="X1660" s="148">
        <f>IFERROR(__xludf.DUMMYFUNCTION("""COMPUTED_VALUE"""),0.0)</f>
        <v>0</v>
      </c>
      <c r="Y1660" s="148">
        <f>IFERROR(__xludf.DUMMYFUNCTION("""COMPUTED_VALUE"""),0.0)</f>
        <v>0</v>
      </c>
      <c r="Z1660" s="148"/>
    </row>
    <row r="1661">
      <c r="A1661" s="148">
        <f>IFERROR(__xludf.DUMMYFUNCTION("""COMPUTED_VALUE"""),1.111732E7)</f>
        <v>11117320</v>
      </c>
      <c r="B1661" s="148" t="str">
        <f>IFERROR(__xludf.DUMMYFUNCTION("""COMPUTED_VALUE"""),"2023春节BattlePass-高级通行证")</f>
        <v>2023春节BattlePass-高级通行证</v>
      </c>
      <c r="C1661" s="148"/>
      <c r="D1661" s="148" t="str">
        <f>IFERROR(__xludf.DUMMYFUNCTION("""COMPUTED_VALUE"""),"battle_pass_card")</f>
        <v>battle_pass_card</v>
      </c>
      <c r="E1661" s="148">
        <f>IFERROR(__xludf.DUMMYFUNCTION("""COMPUTED_VALUE"""),0.0)</f>
        <v>0</v>
      </c>
      <c r="F1661" s="148">
        <f>IFERROR(__xludf.DUMMYFUNCTION("""COMPUTED_VALUE"""),0.0)</f>
        <v>0</v>
      </c>
      <c r="G1661" s="148">
        <f>IFERROR(__xludf.DUMMYFUNCTION("""COMPUTED_VALUE"""),1.5113625E7)</f>
        <v>15113625</v>
      </c>
      <c r="H1661" s="148">
        <f>IFERROR(__xludf.DUMMYFUNCTION("""COMPUTED_VALUE"""),1.5112563E7)</f>
        <v>15112563</v>
      </c>
      <c r="I1661" s="148" t="str">
        <f>IFERROR(__xludf.DUMMYFUNCTION("""COMPUTED_VALUE"""),"{}")</f>
        <v>{}</v>
      </c>
      <c r="J1661" s="148" t="str">
        <f>IFERROR(__xludf.DUMMYFUNCTION("""COMPUTED_VALUE"""),"{""typ"":""lc"",""txt"":""LC_IAP_luxury_2022_winter_gift""}")</f>
        <v>{"typ":"lc","txt":"LC_IAP_luxury_2022_winter_gift"}</v>
      </c>
      <c r="K1661" s="148" t="str">
        <f>IFERROR(__xludf.DUMMYFUNCTION("""COMPUTED_VALUE"""),"{}")</f>
        <v>{}</v>
      </c>
      <c r="L1661" s="148" t="str">
        <f>IFERROR(__xludf.DUMMYFUNCTION("""COMPUTED_VALUE"""),"{}")</f>
        <v>{}</v>
      </c>
      <c r="M1661" s="148">
        <f>IFERROR(__xludf.DUMMYFUNCTION("""COMPUTED_VALUE"""),10.0)</f>
        <v>10</v>
      </c>
      <c r="N1661" s="148">
        <f>IFERROR(__xludf.DUMMYFUNCTION("""COMPUTED_VALUE"""),999999.0)</f>
        <v>999999</v>
      </c>
      <c r="O1661" s="148">
        <f>IFERROR(__xludf.DUMMYFUNCTION("""COMPUTED_VALUE"""),99999.0)</f>
        <v>99999</v>
      </c>
      <c r="P1661" s="148">
        <f>IFERROR(__xludf.DUMMYFUNCTION("""COMPUTED_VALUE"""),9999.0)</f>
        <v>9999</v>
      </c>
      <c r="Q1661" s="148" t="str">
        <f>IFERROR(__xludf.DUMMYFUNCTION("""COMPUTED_VALUE"""),"[]")</f>
        <v>[]</v>
      </c>
      <c r="R1661" s="148" t="str">
        <f>IFERROR(__xludf.DUMMYFUNCTION("""COMPUTED_VALUE"""),"[]")</f>
        <v>[]</v>
      </c>
      <c r="S1661" s="148" t="str">
        <f>IFERROR(__xludf.DUMMYFUNCTION("""COMPUTED_VALUE"""),"{}")</f>
        <v>{}</v>
      </c>
      <c r="T1661" s="148">
        <f>IFERROR(__xludf.DUMMYFUNCTION("""COMPUTED_VALUE"""),-1.0)</f>
        <v>-1</v>
      </c>
      <c r="U1661" s="148">
        <f>IFERROR(__xludf.DUMMYFUNCTION("""COMPUTED_VALUE"""),1.0)</f>
        <v>1</v>
      </c>
      <c r="V1661" s="148" t="str">
        <f>IFERROR(__xludf.DUMMYFUNCTION("""COMPUTED_VALUE"""),"[]")</f>
        <v>[]</v>
      </c>
      <c r="W1661" s="148">
        <f>IFERROR(__xludf.DUMMYFUNCTION("""COMPUTED_VALUE"""),1.174E7)</f>
        <v>11740000</v>
      </c>
      <c r="X1661" s="148">
        <f>IFERROR(__xludf.DUMMYFUNCTION("""COMPUTED_VALUE"""),0.0)</f>
        <v>0</v>
      </c>
      <c r="Y1661" s="148">
        <f>IFERROR(__xludf.DUMMYFUNCTION("""COMPUTED_VALUE"""),0.0)</f>
        <v>0</v>
      </c>
      <c r="Z1661" s="148"/>
    </row>
    <row r="1662">
      <c r="A1662" s="148">
        <f>IFERROR(__xludf.DUMMYFUNCTION("""COMPUTED_VALUE"""),1.1117321E7)</f>
        <v>11117321</v>
      </c>
      <c r="B1662" s="148" t="str">
        <f>IFERROR(__xludf.DUMMYFUNCTION("""COMPUTED_VALUE"""),"精密装备图纸碎片箱")</f>
        <v>精密装备图纸碎片箱</v>
      </c>
      <c r="C1662" s="148"/>
      <c r="D1662" s="148" t="str">
        <f>IFERROR(__xludf.DUMMYFUNCTION("""COMPUTED_VALUE"""),"heroarms_box")</f>
        <v>heroarms_box</v>
      </c>
      <c r="E1662" s="148">
        <f>IFERROR(__xludf.DUMMYFUNCTION("""COMPUTED_VALUE"""),0.0)</f>
        <v>0</v>
      </c>
      <c r="F1662" s="148">
        <f>IFERROR(__xludf.DUMMYFUNCTION("""COMPUTED_VALUE"""),403101.0)</f>
        <v>403101</v>
      </c>
      <c r="G1662" s="148">
        <f>IFERROR(__xludf.DUMMYFUNCTION("""COMPUTED_VALUE"""),1.5116707E7)</f>
        <v>15116707</v>
      </c>
      <c r="H1662" s="148">
        <f>IFERROR(__xludf.DUMMYFUNCTION("""COMPUTED_VALUE"""),1.5112564E7)</f>
        <v>15112564</v>
      </c>
      <c r="I1662" s="148" t="str">
        <f>IFERROR(__xludf.DUMMYFUNCTION("""COMPUTED_VALUE"""),"{}")</f>
        <v>{}</v>
      </c>
      <c r="J1662" s="148" t="str">
        <f>IFERROR(__xludf.DUMMYFUNCTION("""COMPUTED_VALUE"""),"{""typ"":""lc"",""txt"":""LC_HERO_equipment_puzzle_box9""}")</f>
        <v>{"typ":"lc","txt":"LC_HERO_equipment_puzzle_box9"}</v>
      </c>
      <c r="K1662" s="148" t="str">
        <f>IFERROR(__xludf.DUMMYFUNCTION("""COMPUTED_VALUE"""),"{""typ"":""lc"",""txt"":""LC_HERO_equipment_puzzle_box_desc9""}")</f>
        <v>{"typ":"lc","txt":"LC_HERO_equipment_puzzle_box_desc9"}</v>
      </c>
      <c r="L1662" s="148" t="str">
        <f>IFERROR(__xludf.DUMMYFUNCTION("""COMPUTED_VALUE"""),"{}")</f>
        <v>{}</v>
      </c>
      <c r="M1662" s="148">
        <f>IFERROR(__xludf.DUMMYFUNCTION("""COMPUTED_VALUE"""),50.0)</f>
        <v>50</v>
      </c>
      <c r="N1662" s="148">
        <f>IFERROR(__xludf.DUMMYFUNCTION("""COMPUTED_VALUE"""),9999999.0)</f>
        <v>9999999</v>
      </c>
      <c r="O1662" s="148">
        <f>IFERROR(__xludf.DUMMYFUNCTION("""COMPUTED_VALUE"""),99999.0)</f>
        <v>99999</v>
      </c>
      <c r="P1662" s="148">
        <f>IFERROR(__xludf.DUMMYFUNCTION("""COMPUTED_VALUE"""),99999.0)</f>
        <v>99999</v>
      </c>
      <c r="Q1662" s="148" t="str">
        <f>IFERROR(__xludf.DUMMYFUNCTION("""COMPUTED_VALUE"""),"[""bag_other""]")</f>
        <v>["bag_other"]</v>
      </c>
      <c r="R1662" s="148" t="str">
        <f>IFERROR(__xludf.DUMMYFUNCTION("""COMPUTED_VALUE"""),"[""bag""]")</f>
        <v>["bag"]</v>
      </c>
      <c r="S1662" s="148" t="str">
        <f>IFERROR(__xludf.DUMMYFUNCTION("""COMPUTED_VALUE"""),"{""drop"":{""typ"":""single_random"",""num"":1,""args"":[{""typ"":""puzzle"",""id"":19349013,""num"":1,""wgt"":100},{""typ"":""puzzle"",""id"":19349014,""num"":1,""wgt"":100},{""typ"":""puzzle"",""id"":19349015,""num"":1,""wgt"":100},{""typ"":""puzzle"","&amp;"""id"":19349016,""num"":1,""wgt"":100}]}}")</f>
        <v>{"drop":{"typ":"single_random","num":1,"args":[{"typ":"puzzle","id":19349013,"num":1,"wgt":100},{"typ":"puzzle","id":19349014,"num":1,"wgt":100},{"typ":"puzzle","id":19349015,"num":1,"wgt":100},{"typ":"puzzle","id":19349016,"num":1,"wgt":100}]}}</v>
      </c>
      <c r="T1662" s="148">
        <f>IFERROR(__xludf.DUMMYFUNCTION("""COMPUTED_VALUE"""),-1.0)</f>
        <v>-1</v>
      </c>
      <c r="U1662" s="148">
        <f>IFERROR(__xludf.DUMMYFUNCTION("""COMPUTED_VALUE"""),0.0)</f>
        <v>0</v>
      </c>
      <c r="V1662" s="148" t="str">
        <f>IFERROR(__xludf.DUMMYFUNCTION("""COMPUTED_VALUE"""),"[]")</f>
        <v>[]</v>
      </c>
      <c r="W1662" s="148">
        <f>IFERROR(__xludf.DUMMYFUNCTION("""COMPUTED_VALUE"""),1.1741004E7)</f>
        <v>11741004</v>
      </c>
      <c r="X1662" s="148">
        <f>IFERROR(__xludf.DUMMYFUNCTION("""COMPUTED_VALUE"""),0.0)</f>
        <v>0</v>
      </c>
      <c r="Y1662" s="148">
        <f>IFERROR(__xludf.DUMMYFUNCTION("""COMPUTED_VALUE"""),0.0)</f>
        <v>0</v>
      </c>
      <c r="Z1662" s="148"/>
    </row>
    <row r="1663">
      <c r="A1663" s="148">
        <f>IFERROR(__xludf.DUMMYFUNCTION("""COMPUTED_VALUE"""),1.1117322E7)</f>
        <v>11117322</v>
      </c>
      <c r="B1663" s="148" t="str">
        <f>IFERROR(__xludf.DUMMYFUNCTION("""COMPUTED_VALUE"""),"军功bp道具")</f>
        <v>军功bp道具</v>
      </c>
      <c r="C1663" s="148"/>
      <c r="D1663" s="148" t="str">
        <f>IFERROR(__xludf.DUMMYFUNCTION("""COMPUTED_VALUE"""),"battle_pass_card")</f>
        <v>battle_pass_card</v>
      </c>
      <c r="E1663" s="148">
        <f>IFERROR(__xludf.DUMMYFUNCTION("""COMPUTED_VALUE"""),0.0)</f>
        <v>0</v>
      </c>
      <c r="F1663" s="148">
        <f>IFERROR(__xludf.DUMMYFUNCTION("""COMPUTED_VALUE"""),0.0)</f>
        <v>0</v>
      </c>
      <c r="G1663" s="148">
        <f>IFERROR(__xludf.DUMMYFUNCTION("""COMPUTED_VALUE"""),1.5111017E7)</f>
        <v>15111017</v>
      </c>
      <c r="H1663" s="148">
        <f>IFERROR(__xludf.DUMMYFUNCTION("""COMPUTED_VALUE"""),1.5112563E7)</f>
        <v>15112563</v>
      </c>
      <c r="I1663" s="148" t="str">
        <f>IFERROR(__xludf.DUMMYFUNCTION("""COMPUTED_VALUE"""),"{}")</f>
        <v>{}</v>
      </c>
      <c r="J1663" s="148" t="str">
        <f>IFERROR(__xludf.DUMMYFUNCTION("""COMPUTED_VALUE"""),"{""typ"":""lc"",""txt"":""LC_IAP_honor_pass_name""}")</f>
        <v>{"typ":"lc","txt":"LC_IAP_honor_pass_name"}</v>
      </c>
      <c r="K1663" s="148" t="str">
        <f>IFERROR(__xludf.DUMMYFUNCTION("""COMPUTED_VALUE"""),"{}")</f>
        <v>{}</v>
      </c>
      <c r="L1663" s="148" t="str">
        <f>IFERROR(__xludf.DUMMYFUNCTION("""COMPUTED_VALUE"""),"{}")</f>
        <v>{}</v>
      </c>
      <c r="M1663" s="148">
        <f>IFERROR(__xludf.DUMMYFUNCTION("""COMPUTED_VALUE"""),10.0)</f>
        <v>10</v>
      </c>
      <c r="N1663" s="148">
        <f>IFERROR(__xludf.DUMMYFUNCTION("""COMPUTED_VALUE"""),999999.0)</f>
        <v>999999</v>
      </c>
      <c r="O1663" s="148">
        <f>IFERROR(__xludf.DUMMYFUNCTION("""COMPUTED_VALUE"""),99999.0)</f>
        <v>99999</v>
      </c>
      <c r="P1663" s="148">
        <f>IFERROR(__xludf.DUMMYFUNCTION("""COMPUTED_VALUE"""),9999.0)</f>
        <v>9999</v>
      </c>
      <c r="Q1663" s="148" t="str">
        <f>IFERROR(__xludf.DUMMYFUNCTION("""COMPUTED_VALUE"""),"[]")</f>
        <v>[]</v>
      </c>
      <c r="R1663" s="148" t="str">
        <f>IFERROR(__xludf.DUMMYFUNCTION("""COMPUTED_VALUE"""),"[]")</f>
        <v>[]</v>
      </c>
      <c r="S1663" s="148" t="str">
        <f>IFERROR(__xludf.DUMMYFUNCTION("""COMPUTED_VALUE"""),"{}")</f>
        <v>{}</v>
      </c>
      <c r="T1663" s="148">
        <f>IFERROR(__xludf.DUMMYFUNCTION("""COMPUTED_VALUE"""),-1.0)</f>
        <v>-1</v>
      </c>
      <c r="U1663" s="148">
        <f>IFERROR(__xludf.DUMMYFUNCTION("""COMPUTED_VALUE"""),1.0)</f>
        <v>1</v>
      </c>
      <c r="V1663" s="148" t="str">
        <f>IFERROR(__xludf.DUMMYFUNCTION("""COMPUTED_VALUE"""),"[]")</f>
        <v>[]</v>
      </c>
      <c r="W1663" s="148">
        <f>IFERROR(__xludf.DUMMYFUNCTION("""COMPUTED_VALUE"""),1.174E7)</f>
        <v>11740000</v>
      </c>
      <c r="X1663" s="148">
        <f>IFERROR(__xludf.DUMMYFUNCTION("""COMPUTED_VALUE"""),0.0)</f>
        <v>0</v>
      </c>
      <c r="Y1663" s="148">
        <f>IFERROR(__xludf.DUMMYFUNCTION("""COMPUTED_VALUE"""),0.0)</f>
        <v>0</v>
      </c>
      <c r="Z1663" s="148"/>
    </row>
    <row r="1664">
      <c r="A1664" s="148">
        <f>IFERROR(__xludf.DUMMYFUNCTION("""COMPUTED_VALUE"""),1.1117323E7)</f>
        <v>11117323</v>
      </c>
      <c r="B1664" s="148" t="str">
        <f>IFERROR(__xludf.DUMMYFUNCTION("""COMPUTED_VALUE"""),"军功bp经验")</f>
        <v>军功bp经验</v>
      </c>
      <c r="C1664" s="148"/>
      <c r="D1664" s="148" t="str">
        <f>IFERROR(__xludf.DUMMYFUNCTION("""COMPUTED_VALUE"""),"battle_pass_exp")</f>
        <v>battle_pass_exp</v>
      </c>
      <c r="E1664" s="148">
        <f>IFERROR(__xludf.DUMMYFUNCTION("""COMPUTED_VALUE"""),0.0)</f>
        <v>0</v>
      </c>
      <c r="F1664" s="148">
        <f>IFERROR(__xludf.DUMMYFUNCTION("""COMPUTED_VALUE"""),0.0)</f>
        <v>0</v>
      </c>
      <c r="G1664" s="148">
        <f>IFERROR(__xludf.DUMMYFUNCTION("""COMPUTED_VALUE"""),1.511362E7)</f>
        <v>15113620</v>
      </c>
      <c r="H1664" s="148">
        <f>IFERROR(__xludf.DUMMYFUNCTION("""COMPUTED_VALUE"""),0.0)</f>
        <v>0</v>
      </c>
      <c r="I1664" s="148" t="str">
        <f>IFERROR(__xludf.DUMMYFUNCTION("""COMPUTED_VALUE"""),"{}")</f>
        <v>{}</v>
      </c>
      <c r="J1664" s="148" t="str">
        <f>IFERROR(__xludf.DUMMYFUNCTION("""COMPUTED_VALUE"""),"{""typ"":""lc"",""txt"":""LC_ITEM_merit_xp_name""}")</f>
        <v>{"typ":"lc","txt":"LC_ITEM_merit_xp_name"}</v>
      </c>
      <c r="K1664" s="148" t="str">
        <f>IFERROR(__xludf.DUMMYFUNCTION("""COMPUTED_VALUE"""),"{""typ"":""lc"",""txt"":""LC_ITEM_merit_xp_desc""}")</f>
        <v>{"typ":"lc","txt":"LC_ITEM_merit_xp_desc"}</v>
      </c>
      <c r="L1664" s="148" t="str">
        <f>IFERROR(__xludf.DUMMYFUNCTION("""COMPUTED_VALUE"""),"{}")</f>
        <v>{}</v>
      </c>
      <c r="M1664" s="148">
        <f>IFERROR(__xludf.DUMMYFUNCTION("""COMPUTED_VALUE"""),10.0)</f>
        <v>10</v>
      </c>
      <c r="N1664" s="148">
        <f>IFERROR(__xludf.DUMMYFUNCTION("""COMPUTED_VALUE"""),999999.0)</f>
        <v>999999</v>
      </c>
      <c r="O1664" s="148">
        <f>IFERROR(__xludf.DUMMYFUNCTION("""COMPUTED_VALUE"""),99999.0)</f>
        <v>99999</v>
      </c>
      <c r="P1664" s="148">
        <f>IFERROR(__xludf.DUMMYFUNCTION("""COMPUTED_VALUE"""),99999.0)</f>
        <v>99999</v>
      </c>
      <c r="Q1664" s="148" t="str">
        <f>IFERROR(__xludf.DUMMYFUNCTION("""COMPUTED_VALUE"""),"[]")</f>
        <v>[]</v>
      </c>
      <c r="R1664" s="148" t="str">
        <f>IFERROR(__xludf.DUMMYFUNCTION("""COMPUTED_VALUE"""),"[]")</f>
        <v>[]</v>
      </c>
      <c r="S1664" s="148" t="str">
        <f>IFERROR(__xludf.DUMMYFUNCTION("""COMPUTED_VALUE"""),"{}")</f>
        <v>{}</v>
      </c>
      <c r="T1664" s="148">
        <f>IFERROR(__xludf.DUMMYFUNCTION("""COMPUTED_VALUE"""),-1.0)</f>
        <v>-1</v>
      </c>
      <c r="U1664" s="148">
        <f>IFERROR(__xludf.DUMMYFUNCTION("""COMPUTED_VALUE"""),1.0)</f>
        <v>1</v>
      </c>
      <c r="V1664" s="148" t="str">
        <f>IFERROR(__xludf.DUMMYFUNCTION("""COMPUTED_VALUE"""),"[]")</f>
        <v>[]</v>
      </c>
      <c r="W1664" s="148">
        <f>IFERROR(__xludf.DUMMYFUNCTION("""COMPUTED_VALUE"""),1.174E7)</f>
        <v>11740000</v>
      </c>
      <c r="X1664" s="148">
        <f>IFERROR(__xludf.DUMMYFUNCTION("""COMPUTED_VALUE"""),0.0)</f>
        <v>0</v>
      </c>
      <c r="Y1664" s="148">
        <f>IFERROR(__xludf.DUMMYFUNCTION("""COMPUTED_VALUE"""),0.0)</f>
        <v>0</v>
      </c>
      <c r="Z1664" s="148"/>
    </row>
    <row r="1665">
      <c r="A1665" s="148">
        <f>IFERROR(__xludf.DUMMYFUNCTION("""COMPUTED_VALUE"""),1.1117324E7)</f>
        <v>11117324</v>
      </c>
      <c r="B1665" s="148" t="str">
        <f>IFERROR(__xludf.DUMMYFUNCTION("""COMPUTED_VALUE"""),"行军特效-瑞气祥云-1天限时")</f>
        <v>行军特效-瑞气祥云-1天限时</v>
      </c>
      <c r="C1665" s="148"/>
      <c r="D1665" s="148" t="str">
        <f>IFERROR(__xludf.DUMMYFUNCTION("""COMPUTED_VALUE"""),"marching_effect")</f>
        <v>marching_effect</v>
      </c>
      <c r="E1665" s="148">
        <f>IFERROR(__xludf.DUMMYFUNCTION("""COMPUTED_VALUE"""),0.0)</f>
        <v>0</v>
      </c>
      <c r="F1665" s="148">
        <f>IFERROR(__xludf.DUMMYFUNCTION("""COMPUTED_VALUE"""),408200.0)</f>
        <v>408200</v>
      </c>
      <c r="G1665" s="148">
        <f>IFERROR(__xludf.DUMMYFUNCTION("""COMPUTED_VALUE"""),1.5115794E7)</f>
        <v>15115794</v>
      </c>
      <c r="H1665" s="148">
        <f>IFERROR(__xludf.DUMMYFUNCTION("""COMPUTED_VALUE"""),1.511256E7)</f>
        <v>15112560</v>
      </c>
      <c r="I1665" s="148" t="str">
        <f>IFERROR(__xludf.DUMMYFUNCTION("""COMPUTED_VALUE"""),"{""typ"":""lc"",""txt"":""LC_ITEM_time_day_upper_show"",""args"":[{""typ"":""int_unit"",""val"":1}]}")</f>
        <v>{"typ":"lc","txt":"LC_ITEM_time_day_upper_show","args":[{"typ":"int_unit","val":1}]}</v>
      </c>
      <c r="J1665" s="148" t="str">
        <f>IFERROR(__xludf.DUMMYFUNCTION("""COMPUTED_VALUE"""),"{""typ"":""lc"",""txt"":""LC_ITEM_spring_marcheffect_2023_title""}")</f>
        <v>{"typ":"lc","txt":"LC_ITEM_spring_marcheffect_2023_title"}</v>
      </c>
      <c r="K1665" s="148" t="str">
        <f>IFERROR(__xludf.DUMMYFUNCTION("""COMPUTED_VALUE"""),"{""typ"":""lc"",""txt"":""LC_ITEM_spring_marcheffect_2023_title_desc""}")</f>
        <v>{"typ":"lc","txt":"LC_ITEM_spring_marcheffect_2023_title_desc"}</v>
      </c>
      <c r="L1665" s="148" t="str">
        <f>IFERROR(__xludf.DUMMYFUNCTION("""COMPUTED_VALUE"""),"{""typ"":""lc"",""txt"":""LC_ITEM_spring_marcheffect_2023_usetip_2_1d""}")</f>
        <v>{"typ":"lc","txt":"LC_ITEM_spring_marcheffect_2023_usetip_2_1d"}</v>
      </c>
      <c r="M1665" s="148">
        <f>IFERROR(__xludf.DUMMYFUNCTION("""COMPUTED_VALUE"""),50.0)</f>
        <v>50</v>
      </c>
      <c r="N1665" s="148">
        <f>IFERROR(__xludf.DUMMYFUNCTION("""COMPUTED_VALUE"""),999999.0)</f>
        <v>999999</v>
      </c>
      <c r="O1665" s="148">
        <f>IFERROR(__xludf.DUMMYFUNCTION("""COMPUTED_VALUE"""),99999.0)</f>
        <v>99999</v>
      </c>
      <c r="P1665" s="148">
        <f>IFERROR(__xludf.DUMMYFUNCTION("""COMPUTED_VALUE"""),1.0)</f>
        <v>1</v>
      </c>
      <c r="Q1665" s="148" t="str">
        <f>IFERROR(__xludf.DUMMYFUNCTION("""COMPUTED_VALUE"""),"[""bag_other""]")</f>
        <v>["bag_other"]</v>
      </c>
      <c r="R1665" s="148" t="str">
        <f>IFERROR(__xludf.DUMMYFUNCTION("""COMPUTED_VALUE"""),"[""bag"",""13650104""]")</f>
        <v>["bag","13650104"]</v>
      </c>
      <c r="S1665" s="148" t="str">
        <f>IFERROR(__xludf.DUMMYFUNCTION("""COMPUTED_VALUE"""),"{""effect"":[{""typ"":""marching_effect"",""id"":13650104,""val"":86400000},{""typ"":""vm"",""id"":11151001,""val"":50}]}")</f>
        <v>{"effect":[{"typ":"marching_effect","id":13650104,"val":86400000},{"typ":"vm","id":11151001,"val":50}]}</v>
      </c>
      <c r="T1665" s="148">
        <f>IFERROR(__xludf.DUMMYFUNCTION("""COMPUTED_VALUE"""),-1.0)</f>
        <v>-1</v>
      </c>
      <c r="U1665" s="148">
        <f>IFERROR(__xludf.DUMMYFUNCTION("""COMPUTED_VALUE"""),0.0)</f>
        <v>0</v>
      </c>
      <c r="V1665" s="148" t="str">
        <f>IFERROR(__xludf.DUMMYFUNCTION("""COMPUTED_VALUE"""),"[]")</f>
        <v>[]</v>
      </c>
      <c r="W1665" s="148">
        <f>IFERROR(__xludf.DUMMYFUNCTION("""COMPUTED_VALUE"""),1.174E7)</f>
        <v>11740000</v>
      </c>
      <c r="X1665" s="148">
        <f>IFERROR(__xludf.DUMMYFUNCTION("""COMPUTED_VALUE"""),0.0)</f>
        <v>0</v>
      </c>
      <c r="Y1665" s="148">
        <f>IFERROR(__xludf.DUMMYFUNCTION("""COMPUTED_VALUE"""),0.0)</f>
        <v>0</v>
      </c>
      <c r="Z1665" s="148"/>
    </row>
    <row r="1666">
      <c r="A1666" s="148">
        <f>IFERROR(__xludf.DUMMYFUNCTION("""COMPUTED_VALUE"""),1.1117325E7)</f>
        <v>11117325</v>
      </c>
      <c r="B1666" s="148" t="str">
        <f>IFERROR(__xludf.DUMMYFUNCTION("""COMPUTED_VALUE"""),"行军特效-瑞气祥云-3天限时")</f>
        <v>行军特效-瑞气祥云-3天限时</v>
      </c>
      <c r="C1666" s="148"/>
      <c r="D1666" s="148" t="str">
        <f>IFERROR(__xludf.DUMMYFUNCTION("""COMPUTED_VALUE"""),"marching_effect")</f>
        <v>marching_effect</v>
      </c>
      <c r="E1666" s="148">
        <f>IFERROR(__xludf.DUMMYFUNCTION("""COMPUTED_VALUE"""),0.0)</f>
        <v>0</v>
      </c>
      <c r="F1666" s="148">
        <f>IFERROR(__xludf.DUMMYFUNCTION("""COMPUTED_VALUE"""),408199.0)</f>
        <v>408199</v>
      </c>
      <c r="G1666" s="148">
        <f>IFERROR(__xludf.DUMMYFUNCTION("""COMPUTED_VALUE"""),1.5115794E7)</f>
        <v>15115794</v>
      </c>
      <c r="H1666" s="148">
        <f>IFERROR(__xludf.DUMMYFUNCTION("""COMPUTED_VALUE"""),1.5112561E7)</f>
        <v>15112561</v>
      </c>
      <c r="I1666" s="148" t="str">
        <f>IFERROR(__xludf.DUMMYFUNCTION("""COMPUTED_VALUE"""),"{""typ"":""lc"",""txt"":""LC_ITEM_time_day_upper_show"",""args"":[{""typ"":""int_unit"",""val"":3}]}")</f>
        <v>{"typ":"lc","txt":"LC_ITEM_time_day_upper_show","args":[{"typ":"int_unit","val":3}]}</v>
      </c>
      <c r="J1666" s="148" t="str">
        <f>IFERROR(__xludf.DUMMYFUNCTION("""COMPUTED_VALUE"""),"{""typ"":""lc"",""txt"":""LC_ITEM_spring_marcheffect_2023_title""}")</f>
        <v>{"typ":"lc","txt":"LC_ITEM_spring_marcheffect_2023_title"}</v>
      </c>
      <c r="K1666" s="148" t="str">
        <f>IFERROR(__xludf.DUMMYFUNCTION("""COMPUTED_VALUE"""),"{""typ"":""lc"",""txt"":""LC_ITEM_spring_marcheffect_2023_title_desc""}")</f>
        <v>{"typ":"lc","txt":"LC_ITEM_spring_marcheffect_2023_title_desc"}</v>
      </c>
      <c r="L1666" s="148" t="str">
        <f>IFERROR(__xludf.DUMMYFUNCTION("""COMPUTED_VALUE"""),"{""typ"":""lc"",""txt"":""LC_ITEM_spring_marcheffect_2023_usetip_2_3d""}")</f>
        <v>{"typ":"lc","txt":"LC_ITEM_spring_marcheffect_2023_usetip_2_3d"}</v>
      </c>
      <c r="M1666" s="148">
        <f>IFERROR(__xludf.DUMMYFUNCTION("""COMPUTED_VALUE"""),200.0)</f>
        <v>200</v>
      </c>
      <c r="N1666" s="148">
        <f>IFERROR(__xludf.DUMMYFUNCTION("""COMPUTED_VALUE"""),999999.0)</f>
        <v>999999</v>
      </c>
      <c r="O1666" s="148">
        <f>IFERROR(__xludf.DUMMYFUNCTION("""COMPUTED_VALUE"""),99999.0)</f>
        <v>99999</v>
      </c>
      <c r="P1666" s="148">
        <f>IFERROR(__xludf.DUMMYFUNCTION("""COMPUTED_VALUE"""),1.0)</f>
        <v>1</v>
      </c>
      <c r="Q1666" s="148" t="str">
        <f>IFERROR(__xludf.DUMMYFUNCTION("""COMPUTED_VALUE"""),"[""bag_other""]")</f>
        <v>["bag_other"]</v>
      </c>
      <c r="R1666" s="148" t="str">
        <f>IFERROR(__xludf.DUMMYFUNCTION("""COMPUTED_VALUE"""),"[""bag"",""13650104""]")</f>
        <v>["bag","13650104"]</v>
      </c>
      <c r="S1666" s="148" t="str">
        <f>IFERROR(__xludf.DUMMYFUNCTION("""COMPUTED_VALUE"""),"{""effect"":[{""typ"":""marching_effect"",""id"":13650104,""val"":259200000},{""typ"":""vm"",""id"":11151001,""val"":200}]}")</f>
        <v>{"effect":[{"typ":"marching_effect","id":13650104,"val":259200000},{"typ":"vm","id":11151001,"val":200}]}</v>
      </c>
      <c r="T1666" s="148">
        <f>IFERROR(__xludf.DUMMYFUNCTION("""COMPUTED_VALUE"""),-1.0)</f>
        <v>-1</v>
      </c>
      <c r="U1666" s="148">
        <f>IFERROR(__xludf.DUMMYFUNCTION("""COMPUTED_VALUE"""),0.0)</f>
        <v>0</v>
      </c>
      <c r="V1666" s="148" t="str">
        <f>IFERROR(__xludf.DUMMYFUNCTION("""COMPUTED_VALUE"""),"[]")</f>
        <v>[]</v>
      </c>
      <c r="W1666" s="148">
        <f>IFERROR(__xludf.DUMMYFUNCTION("""COMPUTED_VALUE"""),1.174E7)</f>
        <v>11740000</v>
      </c>
      <c r="X1666" s="148">
        <f>IFERROR(__xludf.DUMMYFUNCTION("""COMPUTED_VALUE"""),0.0)</f>
        <v>0</v>
      </c>
      <c r="Y1666" s="148">
        <f>IFERROR(__xludf.DUMMYFUNCTION("""COMPUTED_VALUE"""),0.0)</f>
        <v>0</v>
      </c>
      <c r="Z1666" s="148"/>
    </row>
    <row r="1667">
      <c r="A1667" s="148">
        <f>IFERROR(__xludf.DUMMYFUNCTION("""COMPUTED_VALUE"""),1.1117326E7)</f>
        <v>11117326</v>
      </c>
      <c r="B1667" s="148" t="str">
        <f>IFERROR(__xludf.DUMMYFUNCTION("""COMPUTED_VALUE"""),"行军特效-瑞气祥云-7天限时")</f>
        <v>行军特效-瑞气祥云-7天限时</v>
      </c>
      <c r="C1667" s="148"/>
      <c r="D1667" s="148" t="str">
        <f>IFERROR(__xludf.DUMMYFUNCTION("""COMPUTED_VALUE"""),"marching_effect")</f>
        <v>marching_effect</v>
      </c>
      <c r="E1667" s="148">
        <f>IFERROR(__xludf.DUMMYFUNCTION("""COMPUTED_VALUE"""),0.0)</f>
        <v>0</v>
      </c>
      <c r="F1667" s="148">
        <f>IFERROR(__xludf.DUMMYFUNCTION("""COMPUTED_VALUE"""),408198.0)</f>
        <v>408198</v>
      </c>
      <c r="G1667" s="148">
        <f>IFERROR(__xludf.DUMMYFUNCTION("""COMPUTED_VALUE"""),1.5115794E7)</f>
        <v>15115794</v>
      </c>
      <c r="H1667" s="148">
        <f>IFERROR(__xludf.DUMMYFUNCTION("""COMPUTED_VALUE"""),1.5112562E7)</f>
        <v>15112562</v>
      </c>
      <c r="I1667" s="148" t="str">
        <f>IFERROR(__xludf.DUMMYFUNCTION("""COMPUTED_VALUE"""),"{""typ"":""lc"",""txt"":""LC_ITEM_time_day_upper_show"",""args"":[{""typ"":""int_unit"",""val"":7}]}")</f>
        <v>{"typ":"lc","txt":"LC_ITEM_time_day_upper_show","args":[{"typ":"int_unit","val":7}]}</v>
      </c>
      <c r="J1667" s="148" t="str">
        <f>IFERROR(__xludf.DUMMYFUNCTION("""COMPUTED_VALUE"""),"{""typ"":""lc"",""txt"":""LC_ITEM_spring_marcheffect_2023_title""}")</f>
        <v>{"typ":"lc","txt":"LC_ITEM_spring_marcheffect_2023_title"}</v>
      </c>
      <c r="K1667" s="148" t="str">
        <f>IFERROR(__xludf.DUMMYFUNCTION("""COMPUTED_VALUE"""),"{""typ"":""lc"",""txt"":""LC_ITEM_spring_marcheffect_2023_title_desc""}")</f>
        <v>{"typ":"lc","txt":"LC_ITEM_spring_marcheffect_2023_title_desc"}</v>
      </c>
      <c r="L1667" s="148" t="str">
        <f>IFERROR(__xludf.DUMMYFUNCTION("""COMPUTED_VALUE"""),"{""typ"":""lc"",""txt"":""LC_ITEM_spring_marcheffect_2023_usetip_2_7d""}")</f>
        <v>{"typ":"lc","txt":"LC_ITEM_spring_marcheffect_2023_usetip_2_7d"}</v>
      </c>
      <c r="M1667" s="148">
        <f>IFERROR(__xludf.DUMMYFUNCTION("""COMPUTED_VALUE"""),500.0)</f>
        <v>500</v>
      </c>
      <c r="N1667" s="148">
        <f>IFERROR(__xludf.DUMMYFUNCTION("""COMPUTED_VALUE"""),999999.0)</f>
        <v>999999</v>
      </c>
      <c r="O1667" s="148">
        <f>IFERROR(__xludf.DUMMYFUNCTION("""COMPUTED_VALUE"""),99999.0)</f>
        <v>99999</v>
      </c>
      <c r="P1667" s="148">
        <f>IFERROR(__xludf.DUMMYFUNCTION("""COMPUTED_VALUE"""),1.0)</f>
        <v>1</v>
      </c>
      <c r="Q1667" s="148" t="str">
        <f>IFERROR(__xludf.DUMMYFUNCTION("""COMPUTED_VALUE"""),"[""bag_other""]")</f>
        <v>["bag_other"]</v>
      </c>
      <c r="R1667" s="148" t="str">
        <f>IFERROR(__xludf.DUMMYFUNCTION("""COMPUTED_VALUE"""),"[""bag"",""13650104""]")</f>
        <v>["bag","13650104"]</v>
      </c>
      <c r="S1667" s="148" t="str">
        <f>IFERROR(__xludf.DUMMYFUNCTION("""COMPUTED_VALUE"""),"{""effect"":[{""typ"":""marching_effect"",""id"":13650104,""val"":604800000},{""typ"":""vm"",""id"":11151001,""val"":500}]}")</f>
        <v>{"effect":[{"typ":"marching_effect","id":13650104,"val":604800000},{"typ":"vm","id":11151001,"val":500}]}</v>
      </c>
      <c r="T1667" s="148">
        <f>IFERROR(__xludf.DUMMYFUNCTION("""COMPUTED_VALUE"""),-1.0)</f>
        <v>-1</v>
      </c>
      <c r="U1667" s="148">
        <f>IFERROR(__xludf.DUMMYFUNCTION("""COMPUTED_VALUE"""),0.0)</f>
        <v>0</v>
      </c>
      <c r="V1667" s="148" t="str">
        <f>IFERROR(__xludf.DUMMYFUNCTION("""COMPUTED_VALUE"""),"[]")</f>
        <v>[]</v>
      </c>
      <c r="W1667" s="148">
        <f>IFERROR(__xludf.DUMMYFUNCTION("""COMPUTED_VALUE"""),1.174E7)</f>
        <v>11740000</v>
      </c>
      <c r="X1667" s="148">
        <f>IFERROR(__xludf.DUMMYFUNCTION("""COMPUTED_VALUE"""),0.0)</f>
        <v>0</v>
      </c>
      <c r="Y1667" s="148">
        <f>IFERROR(__xludf.DUMMYFUNCTION("""COMPUTED_VALUE"""),0.0)</f>
        <v>0</v>
      </c>
      <c r="Z1667" s="148"/>
    </row>
    <row r="1668">
      <c r="A1668" s="148">
        <f>IFERROR(__xludf.DUMMYFUNCTION("""COMPUTED_VALUE"""),1.1117327E7)</f>
        <v>11117327</v>
      </c>
      <c r="B1668" s="148" t="str">
        <f>IFERROR(__xludf.DUMMYFUNCTION("""COMPUTED_VALUE"""),"行军特效-瑞气祥云-14天限时")</f>
        <v>行军特效-瑞气祥云-14天限时</v>
      </c>
      <c r="C1668" s="148"/>
      <c r="D1668" s="148" t="str">
        <f>IFERROR(__xludf.DUMMYFUNCTION("""COMPUTED_VALUE"""),"marching_effect")</f>
        <v>marching_effect</v>
      </c>
      <c r="E1668" s="148">
        <f>IFERROR(__xludf.DUMMYFUNCTION("""COMPUTED_VALUE"""),0.0)</f>
        <v>0</v>
      </c>
      <c r="F1668" s="148">
        <f>IFERROR(__xludf.DUMMYFUNCTION("""COMPUTED_VALUE"""),408197.0)</f>
        <v>408197</v>
      </c>
      <c r="G1668" s="148">
        <f>IFERROR(__xludf.DUMMYFUNCTION("""COMPUTED_VALUE"""),1.5115794E7)</f>
        <v>15115794</v>
      </c>
      <c r="H1668" s="148">
        <f>IFERROR(__xludf.DUMMYFUNCTION("""COMPUTED_VALUE"""),1.5112563E7)</f>
        <v>15112563</v>
      </c>
      <c r="I1668" s="148" t="str">
        <f>IFERROR(__xludf.DUMMYFUNCTION("""COMPUTED_VALUE"""),"{""typ"":""lc"",""txt"":""LC_ITEM_time_day_upper_show"",""args"":[{""typ"":""int_unit"",""val"":14}]}")</f>
        <v>{"typ":"lc","txt":"LC_ITEM_time_day_upper_show","args":[{"typ":"int_unit","val":14}]}</v>
      </c>
      <c r="J1668" s="148" t="str">
        <f>IFERROR(__xludf.DUMMYFUNCTION("""COMPUTED_VALUE"""),"{""typ"":""lc"",""txt"":""LC_ITEM_spring_marcheffect_2023_title""}")</f>
        <v>{"typ":"lc","txt":"LC_ITEM_spring_marcheffect_2023_title"}</v>
      </c>
      <c r="K1668" s="148" t="str">
        <f>IFERROR(__xludf.DUMMYFUNCTION("""COMPUTED_VALUE"""),"{""typ"":""lc"",""txt"":""LC_ITEM_spring_marcheffect_2023_title_desc""}")</f>
        <v>{"typ":"lc","txt":"LC_ITEM_spring_marcheffect_2023_title_desc"}</v>
      </c>
      <c r="L1668" s="148" t="str">
        <f>IFERROR(__xludf.DUMMYFUNCTION("""COMPUTED_VALUE"""),"{""typ"":""lc"",""txt"":""LC_ITEM_spring_marcheffect_2023_usetip_2_14d""}")</f>
        <v>{"typ":"lc","txt":"LC_ITEM_spring_marcheffect_2023_usetip_2_14d"}</v>
      </c>
      <c r="M1668" s="148">
        <f>IFERROR(__xludf.DUMMYFUNCTION("""COMPUTED_VALUE"""),1000.0)</f>
        <v>1000</v>
      </c>
      <c r="N1668" s="148">
        <f>IFERROR(__xludf.DUMMYFUNCTION("""COMPUTED_VALUE"""),999999.0)</f>
        <v>999999</v>
      </c>
      <c r="O1668" s="148">
        <f>IFERROR(__xludf.DUMMYFUNCTION("""COMPUTED_VALUE"""),99999.0)</f>
        <v>99999</v>
      </c>
      <c r="P1668" s="148">
        <f>IFERROR(__xludf.DUMMYFUNCTION("""COMPUTED_VALUE"""),1.0)</f>
        <v>1</v>
      </c>
      <c r="Q1668" s="148" t="str">
        <f>IFERROR(__xludf.DUMMYFUNCTION("""COMPUTED_VALUE"""),"[""bag_other""]")</f>
        <v>["bag_other"]</v>
      </c>
      <c r="R1668" s="148" t="str">
        <f>IFERROR(__xludf.DUMMYFUNCTION("""COMPUTED_VALUE"""),"[""bag"",""13650104""]")</f>
        <v>["bag","13650104"]</v>
      </c>
      <c r="S1668" s="148" t="str">
        <f>IFERROR(__xludf.DUMMYFUNCTION("""COMPUTED_VALUE"""),"{""effect"":[{""typ"":""marching_effect"",""id"":13650104,""val"":1209600000},{""typ"":""vm"",""id"":11151001,""val"":1000}]}")</f>
        <v>{"effect":[{"typ":"marching_effect","id":13650104,"val":1209600000},{"typ":"vm","id":11151001,"val":1000}]}</v>
      </c>
      <c r="T1668" s="148">
        <f>IFERROR(__xludf.DUMMYFUNCTION("""COMPUTED_VALUE"""),-1.0)</f>
        <v>-1</v>
      </c>
      <c r="U1668" s="148">
        <f>IFERROR(__xludf.DUMMYFUNCTION("""COMPUTED_VALUE"""),0.0)</f>
        <v>0</v>
      </c>
      <c r="V1668" s="148" t="str">
        <f>IFERROR(__xludf.DUMMYFUNCTION("""COMPUTED_VALUE"""),"[]")</f>
        <v>[]</v>
      </c>
      <c r="W1668" s="148">
        <f>IFERROR(__xludf.DUMMYFUNCTION("""COMPUTED_VALUE"""),1.174E7)</f>
        <v>11740000</v>
      </c>
      <c r="X1668" s="148">
        <f>IFERROR(__xludf.DUMMYFUNCTION("""COMPUTED_VALUE"""),0.0)</f>
        <v>0</v>
      </c>
      <c r="Y1668" s="148">
        <f>IFERROR(__xludf.DUMMYFUNCTION("""COMPUTED_VALUE"""),0.0)</f>
        <v>0</v>
      </c>
      <c r="Z1668" s="148"/>
    </row>
    <row r="1669">
      <c r="A1669" s="148">
        <f>IFERROR(__xludf.DUMMYFUNCTION("""COMPUTED_VALUE"""),1.1117328E7)</f>
        <v>11117328</v>
      </c>
      <c r="B1669" s="148" t="str">
        <f>IFERROR(__xludf.DUMMYFUNCTION("""COMPUTED_VALUE"""),"行军特效-瑞气祥云-永久")</f>
        <v>行军特效-瑞气祥云-永久</v>
      </c>
      <c r="C1669" s="148"/>
      <c r="D1669" s="148" t="str">
        <f>IFERROR(__xludf.DUMMYFUNCTION("""COMPUTED_VALUE"""),"marching_effect")</f>
        <v>marching_effect</v>
      </c>
      <c r="E1669" s="148">
        <f>IFERROR(__xludf.DUMMYFUNCTION("""COMPUTED_VALUE"""),0.0)</f>
        <v>0</v>
      </c>
      <c r="F1669" s="148">
        <f>IFERROR(__xludf.DUMMYFUNCTION("""COMPUTED_VALUE"""),408195.0)</f>
        <v>408195</v>
      </c>
      <c r="G1669" s="148">
        <f>IFERROR(__xludf.DUMMYFUNCTION("""COMPUTED_VALUE"""),1.5115794E7)</f>
        <v>15115794</v>
      </c>
      <c r="H1669" s="148">
        <f>IFERROR(__xludf.DUMMYFUNCTION("""COMPUTED_VALUE"""),1.5112564E7)</f>
        <v>15112564</v>
      </c>
      <c r="I1669" s="148" t="str">
        <f>IFERROR(__xludf.DUMMYFUNCTION("""COMPUTED_VALUE"""),"{}")</f>
        <v>{}</v>
      </c>
      <c r="J1669" s="148" t="str">
        <f>IFERROR(__xludf.DUMMYFUNCTION("""COMPUTED_VALUE"""),"{""typ"":""lc"",""txt"":""LC_ITEM_spring_marcheffect_2023_title""}")</f>
        <v>{"typ":"lc","txt":"LC_ITEM_spring_marcheffect_2023_title"}</v>
      </c>
      <c r="K1669" s="148" t="str">
        <f>IFERROR(__xludf.DUMMYFUNCTION("""COMPUTED_VALUE"""),"{""typ"":""lc"",""txt"":""LC_ITEM_spring_marcheffect_2023_title_desc""}")</f>
        <v>{"typ":"lc","txt":"LC_ITEM_spring_marcheffect_2023_title_desc"}</v>
      </c>
      <c r="L1669" s="148" t="str">
        <f>IFERROR(__xludf.DUMMYFUNCTION("""COMPUTED_VALUE"""),"{""typ"":""lc"",""txt"":""LC_ITEM_spring_marcheffect_2023_usetip_2""}")</f>
        <v>{"typ":"lc","txt":"LC_ITEM_spring_marcheffect_2023_usetip_2"}</v>
      </c>
      <c r="M1669" s="148">
        <f>IFERROR(__xludf.DUMMYFUNCTION("""COMPUTED_VALUE"""),5000.0)</f>
        <v>5000</v>
      </c>
      <c r="N1669" s="148">
        <f>IFERROR(__xludf.DUMMYFUNCTION("""COMPUTED_VALUE"""),999999.0)</f>
        <v>999999</v>
      </c>
      <c r="O1669" s="148">
        <f>IFERROR(__xludf.DUMMYFUNCTION("""COMPUTED_VALUE"""),99999.0)</f>
        <v>99999</v>
      </c>
      <c r="P1669" s="148">
        <f>IFERROR(__xludf.DUMMYFUNCTION("""COMPUTED_VALUE"""),1.0)</f>
        <v>1</v>
      </c>
      <c r="Q1669" s="148" t="str">
        <f>IFERROR(__xludf.DUMMYFUNCTION("""COMPUTED_VALUE"""),"[""bag_other""]")</f>
        <v>["bag_other"]</v>
      </c>
      <c r="R1669" s="148" t="str">
        <f>IFERROR(__xludf.DUMMYFUNCTION("""COMPUTED_VALUE"""),"[""bag"",""13650104""]")</f>
        <v>["bag","13650104"]</v>
      </c>
      <c r="S1669" s="148" t="str">
        <f>IFERROR(__xludf.DUMMYFUNCTION("""COMPUTED_VALUE"""),"{""effect"":[{""typ"":""marching_effect"",""id"":13650104,""val"":-1},{""typ"":""vm"",""id"":11151001,""val"":2500}]}")</f>
        <v>{"effect":[{"typ":"marching_effect","id":13650104,"val":-1},{"typ":"vm","id":11151001,"val":2500}]}</v>
      </c>
      <c r="T1669" s="148">
        <f>IFERROR(__xludf.DUMMYFUNCTION("""COMPUTED_VALUE"""),-1.0)</f>
        <v>-1</v>
      </c>
      <c r="U1669" s="148">
        <f>IFERROR(__xludf.DUMMYFUNCTION("""COMPUTED_VALUE"""),0.0)</f>
        <v>0</v>
      </c>
      <c r="V1669" s="148" t="str">
        <f>IFERROR(__xludf.DUMMYFUNCTION("""COMPUTED_VALUE"""),"[]")</f>
        <v>[]</v>
      </c>
      <c r="W1669" s="148">
        <f>IFERROR(__xludf.DUMMYFUNCTION("""COMPUTED_VALUE"""),1.174E7)</f>
        <v>11740000</v>
      </c>
      <c r="X1669" s="148">
        <f>IFERROR(__xludf.DUMMYFUNCTION("""COMPUTED_VALUE"""),0.0)</f>
        <v>0</v>
      </c>
      <c r="Y1669" s="148">
        <f>IFERROR(__xludf.DUMMYFUNCTION("""COMPUTED_VALUE"""),0.0)</f>
        <v>0</v>
      </c>
      <c r="Z1669" s="148"/>
    </row>
    <row r="1670">
      <c r="A1670" s="148">
        <f>IFERROR(__xludf.DUMMYFUNCTION("""COMPUTED_VALUE"""),1.1117329E7)</f>
        <v>11117329</v>
      </c>
      <c r="B1670" s="148" t="str">
        <f>IFERROR(__xludf.DUMMYFUNCTION("""COMPUTED_VALUE"""),"军功bp经验+军功经验（军功任务奖励用）")</f>
        <v>军功bp经验+军功经验（军功任务奖励用）</v>
      </c>
      <c r="C1670" s="148"/>
      <c r="D1670" s="148" t="str">
        <f>IFERROR(__xludf.DUMMYFUNCTION("""COMPUTED_VALUE"""),"item_rss")</f>
        <v>item_rss</v>
      </c>
      <c r="E1670" s="148">
        <f>IFERROR(__xludf.DUMMYFUNCTION("""COMPUTED_VALUE"""),0.0)</f>
        <v>0</v>
      </c>
      <c r="F1670" s="148">
        <f>IFERROR(__xludf.DUMMYFUNCTION("""COMPUTED_VALUE"""),0.0)</f>
        <v>0</v>
      </c>
      <c r="G1670" s="148">
        <f>IFERROR(__xludf.DUMMYFUNCTION("""COMPUTED_VALUE"""),1.511362E7)</f>
        <v>15113620</v>
      </c>
      <c r="H1670" s="148">
        <f>IFERROR(__xludf.DUMMYFUNCTION("""COMPUTED_VALUE"""),0.0)</f>
        <v>0</v>
      </c>
      <c r="I1670" s="148" t="str">
        <f>IFERROR(__xludf.DUMMYFUNCTION("""COMPUTED_VALUE"""),"{}")</f>
        <v>{}</v>
      </c>
      <c r="J1670" s="148" t="str">
        <f>IFERROR(__xludf.DUMMYFUNCTION("""COMPUTED_VALUE"""),"{""typ"":""lc"",""txt"":""LC_ITEM_merit_xp_name""}")</f>
        <v>{"typ":"lc","txt":"LC_ITEM_merit_xp_name"}</v>
      </c>
      <c r="K1670" s="148" t="str">
        <f>IFERROR(__xludf.DUMMYFUNCTION("""COMPUTED_VALUE"""),"{""typ"":""lc"",""txt"":""LC_ITEM_merit_xp_desc""}")</f>
        <v>{"typ":"lc","txt":"LC_ITEM_merit_xp_desc"}</v>
      </c>
      <c r="L1670" s="148" t="str">
        <f>IFERROR(__xludf.DUMMYFUNCTION("""COMPUTED_VALUE"""),"{}")</f>
        <v>{}</v>
      </c>
      <c r="M1670" s="148">
        <f>IFERROR(__xludf.DUMMYFUNCTION("""COMPUTED_VALUE"""),10.0)</f>
        <v>10</v>
      </c>
      <c r="N1670" s="148">
        <f>IFERROR(__xludf.DUMMYFUNCTION("""COMPUTED_VALUE"""),999999.0)</f>
        <v>999999</v>
      </c>
      <c r="O1670" s="148">
        <f>IFERROR(__xludf.DUMMYFUNCTION("""COMPUTED_VALUE"""),99999.0)</f>
        <v>99999</v>
      </c>
      <c r="P1670" s="148">
        <f>IFERROR(__xludf.DUMMYFUNCTION("""COMPUTED_VALUE"""),9999.0)</f>
        <v>9999</v>
      </c>
      <c r="Q1670" s="148" t="str">
        <f>IFERROR(__xludf.DUMMYFUNCTION("""COMPUTED_VALUE"""),"[]")</f>
        <v>[]</v>
      </c>
      <c r="R1670" s="148" t="str">
        <f>IFERROR(__xludf.DUMMYFUNCTION("""COMPUTED_VALUE"""),"[]")</f>
        <v>[]</v>
      </c>
      <c r="S1670" s="148" t="str">
        <f>IFERROR(__xludf.DUMMYFUNCTION("""COMPUTED_VALUE"""),"{""effect"":[{""typ"":""xp"",""id"":11161004,""val"":1},{""typ"":""item"",""id"":11117323,""val"":1}]}")</f>
        <v>{"effect":[{"typ":"xp","id":11161004,"val":1},{"typ":"item","id":11117323,"val":1}]}</v>
      </c>
      <c r="T1670" s="148">
        <f>IFERROR(__xludf.DUMMYFUNCTION("""COMPUTED_VALUE"""),-1.0)</f>
        <v>-1</v>
      </c>
      <c r="U1670" s="148">
        <f>IFERROR(__xludf.DUMMYFUNCTION("""COMPUTED_VALUE"""),1.0)</f>
        <v>1</v>
      </c>
      <c r="V1670" s="148" t="str">
        <f>IFERROR(__xludf.DUMMYFUNCTION("""COMPUTED_VALUE"""),"[]")</f>
        <v>[]</v>
      </c>
      <c r="W1670" s="148">
        <f>IFERROR(__xludf.DUMMYFUNCTION("""COMPUTED_VALUE"""),1.174E7)</f>
        <v>11740000</v>
      </c>
      <c r="X1670" s="148">
        <f>IFERROR(__xludf.DUMMYFUNCTION("""COMPUTED_VALUE"""),0.0)</f>
        <v>0</v>
      </c>
      <c r="Y1670" s="148">
        <f>IFERROR(__xludf.DUMMYFUNCTION("""COMPUTED_VALUE"""),0.0)</f>
        <v>0</v>
      </c>
      <c r="Z1670" s="148"/>
    </row>
    <row r="1671">
      <c r="A1671" s="148">
        <f>IFERROR(__xludf.DUMMYFUNCTION("""COMPUTED_VALUE"""),1.111733E7)</f>
        <v>11117330</v>
      </c>
      <c r="B1671" s="148" t="str">
        <f>IFERROR(__xludf.DUMMYFUNCTION("""COMPUTED_VALUE"""),"主城皮肤-春节2023")</f>
        <v>主城皮肤-春节2023</v>
      </c>
      <c r="C1671" s="148"/>
      <c r="D1671" s="148" t="str">
        <f>IFERROR(__xludf.DUMMYFUNCTION("""COMPUTED_VALUE"""),"city_skin")</f>
        <v>city_skin</v>
      </c>
      <c r="E1671" s="148">
        <f>IFERROR(__xludf.DUMMYFUNCTION("""COMPUTED_VALUE"""),21.0)</f>
        <v>21</v>
      </c>
      <c r="F1671" s="148">
        <f>IFERROR(__xludf.DUMMYFUNCTION("""COMPUTED_VALUE"""),400106.0)</f>
        <v>400106</v>
      </c>
      <c r="G1671" s="148">
        <f>IFERROR(__xludf.DUMMYFUNCTION("""COMPUTED_VALUE"""),1.5115839E7)</f>
        <v>15115839</v>
      </c>
      <c r="H1671" s="148">
        <f>IFERROR(__xludf.DUMMYFUNCTION("""COMPUTED_VALUE"""),1.5112564E7)</f>
        <v>15112564</v>
      </c>
      <c r="I1671" s="148" t="str">
        <f>IFERROR(__xludf.DUMMYFUNCTION("""COMPUTED_VALUE"""),"{}")</f>
        <v>{}</v>
      </c>
      <c r="J1671" s="148" t="str">
        <f>IFERROR(__xludf.DUMMYFUNCTION("""COMPUTED_VALUE"""),"{""typ"":""lc"",""txt"":""LC_ITEM_2023spring_base_item_title""}")</f>
        <v>{"typ":"lc","txt":"LC_ITEM_2023spring_base_item_title"}</v>
      </c>
      <c r="K1671" s="148" t="str">
        <f>IFERROR(__xludf.DUMMYFUNCTION("""COMPUTED_VALUE"""),"{""typ"":""lc"",""txt"":""LC_ITEM_2023spring_base_item_desc""}")</f>
        <v>{"typ":"lc","txt":"LC_ITEM_2023spring_base_item_desc"}</v>
      </c>
      <c r="L1671" s="148" t="str">
        <f>IFERROR(__xludf.DUMMYFUNCTION("""COMPUTED_VALUE"""),"{""typ"":""lc"",""txt"":""LC_ITEM_city_skin_rocket_use_tips""}")</f>
        <v>{"typ":"lc","txt":"LC_ITEM_city_skin_rocket_use_tips"}</v>
      </c>
      <c r="M1671" s="148">
        <f>IFERROR(__xludf.DUMMYFUNCTION("""COMPUTED_VALUE"""),10000.0)</f>
        <v>10000</v>
      </c>
      <c r="N1671" s="148">
        <f>IFERROR(__xludf.DUMMYFUNCTION("""COMPUTED_VALUE"""),999.0)</f>
        <v>999</v>
      </c>
      <c r="O1671" s="148">
        <f>IFERROR(__xludf.DUMMYFUNCTION("""COMPUTED_VALUE"""),1.0)</f>
        <v>1</v>
      </c>
      <c r="P1671" s="148">
        <f>IFERROR(__xludf.DUMMYFUNCTION("""COMPUTED_VALUE"""),1.0)</f>
        <v>1</v>
      </c>
      <c r="Q1671" s="148" t="str">
        <f>IFERROR(__xludf.DUMMYFUNCTION("""COMPUTED_VALUE"""),"[""bag_other""]")</f>
        <v>["bag_other"]</v>
      </c>
      <c r="R1671" s="148" t="str">
        <f>IFERROR(__xludf.DUMMYFUNCTION("""COMPUTED_VALUE"""),"[""bag"",""13121014""]")</f>
        <v>["bag","13121014"]</v>
      </c>
      <c r="S1671" s="148" t="str">
        <f>IFERROR(__xludf.DUMMYFUNCTION("""COMPUTED_VALUE"""),"{""effect"":[{""typ"":""city_skin"",""id"":13121014,""val"":-1},{""typ"":""item"",""id"":11112030,""val"":4000}]}")</f>
        <v>{"effect":[{"typ":"city_skin","id":13121014,"val":-1},{"typ":"item","id":11112030,"val":4000}]}</v>
      </c>
      <c r="T1671" s="148">
        <f>IFERROR(__xludf.DUMMYFUNCTION("""COMPUTED_VALUE"""),-1.0)</f>
        <v>-1</v>
      </c>
      <c r="U1671" s="148">
        <f>IFERROR(__xludf.DUMMYFUNCTION("""COMPUTED_VALUE"""),0.0)</f>
        <v>0</v>
      </c>
      <c r="V1671" s="148" t="str">
        <f>IFERROR(__xludf.DUMMYFUNCTION("""COMPUTED_VALUE"""),"[]")</f>
        <v>[]</v>
      </c>
      <c r="W1671" s="148">
        <f>IFERROR(__xludf.DUMMYFUNCTION("""COMPUTED_VALUE"""),1.174E7)</f>
        <v>11740000</v>
      </c>
      <c r="X1671" s="148">
        <f>IFERROR(__xludf.DUMMYFUNCTION("""COMPUTED_VALUE"""),0.0)</f>
        <v>0</v>
      </c>
      <c r="Y1671" s="148">
        <f>IFERROR(__xludf.DUMMYFUNCTION("""COMPUTED_VALUE"""),0.0)</f>
        <v>0</v>
      </c>
      <c r="Z1671" s="148"/>
    </row>
    <row r="1672">
      <c r="A1672" s="148">
        <f>IFERROR(__xludf.DUMMYFUNCTION("""COMPUTED_VALUE"""),1.1117331E7)</f>
        <v>11117331</v>
      </c>
      <c r="B1672" s="148" t="str">
        <f>IFERROR(__xludf.DUMMYFUNCTION("""COMPUTED_VALUE"""),"主城皮肤-春节2023（2天）")</f>
        <v>主城皮肤-春节2023（2天）</v>
      </c>
      <c r="C1672" s="148"/>
      <c r="D1672" s="148" t="str">
        <f>IFERROR(__xludf.DUMMYFUNCTION("""COMPUTED_VALUE"""),"city_skin")</f>
        <v>city_skin</v>
      </c>
      <c r="E1672" s="148">
        <f>IFERROR(__xludf.DUMMYFUNCTION("""COMPUTED_VALUE"""),21.0)</f>
        <v>21</v>
      </c>
      <c r="F1672" s="148">
        <f>IFERROR(__xludf.DUMMYFUNCTION("""COMPUTED_VALUE"""),404201.0)</f>
        <v>404201</v>
      </c>
      <c r="G1672" s="148">
        <f>IFERROR(__xludf.DUMMYFUNCTION("""COMPUTED_VALUE"""),1.5115839E7)</f>
        <v>15115839</v>
      </c>
      <c r="H1672" s="148">
        <f>IFERROR(__xludf.DUMMYFUNCTION("""COMPUTED_VALUE"""),1.5112563E7)</f>
        <v>15112563</v>
      </c>
      <c r="I1672" s="148" t="str">
        <f>IFERROR(__xludf.DUMMYFUNCTION("""COMPUTED_VALUE"""),"{""typ"":""lc"",""txt"":""LC_ITEM_time_day_upper_show"",""args"":[{""typ"":""int"",""val"":2}]}")</f>
        <v>{"typ":"lc","txt":"LC_ITEM_time_day_upper_show","args":[{"typ":"int","val":2}]}</v>
      </c>
      <c r="J1672" s="148" t="str">
        <f>IFERROR(__xludf.DUMMYFUNCTION("""COMPUTED_VALUE"""),"{""typ"":""lc"",""txt"":""LC_ITEM_2023spring_base_item_2_days""}")</f>
        <v>{"typ":"lc","txt":"LC_ITEM_2023spring_base_item_2_days"}</v>
      </c>
      <c r="K1672" s="148" t="str">
        <f>IFERROR(__xludf.DUMMYFUNCTION("""COMPUTED_VALUE"""),"{""typ"":""lc"",""txt"":""LC_ITEM_2023spring_base_item_desc""}")</f>
        <v>{"typ":"lc","txt":"LC_ITEM_2023spring_base_item_desc"}</v>
      </c>
      <c r="L1672" s="148" t="str">
        <f>IFERROR(__xludf.DUMMYFUNCTION("""COMPUTED_VALUE"""),"{""typ"":""lc"",""txt"":""LC_ITEM_city_skin_rocket_use_tips""}")</f>
        <v>{"typ":"lc","txt":"LC_ITEM_city_skin_rocket_use_tips"}</v>
      </c>
      <c r="M1672" s="148">
        <f>IFERROR(__xludf.DUMMYFUNCTION("""COMPUTED_VALUE"""),500.0)</f>
        <v>500</v>
      </c>
      <c r="N1672" s="148">
        <f>IFERROR(__xludf.DUMMYFUNCTION("""COMPUTED_VALUE"""),999.0)</f>
        <v>999</v>
      </c>
      <c r="O1672" s="148">
        <f>IFERROR(__xludf.DUMMYFUNCTION("""COMPUTED_VALUE"""),1.0)</f>
        <v>1</v>
      </c>
      <c r="P1672" s="148">
        <f>IFERROR(__xludf.DUMMYFUNCTION("""COMPUTED_VALUE"""),1.0)</f>
        <v>1</v>
      </c>
      <c r="Q1672" s="148" t="str">
        <f>IFERROR(__xludf.DUMMYFUNCTION("""COMPUTED_VALUE"""),"[""bag_other""]")</f>
        <v>["bag_other"]</v>
      </c>
      <c r="R1672" s="148" t="str">
        <f>IFERROR(__xludf.DUMMYFUNCTION("""COMPUTED_VALUE"""),"[""bag"",""13121014""]")</f>
        <v>["bag","13121014"]</v>
      </c>
      <c r="S1672" s="148" t="str">
        <f>IFERROR(__xludf.DUMMYFUNCTION("""COMPUTED_VALUE"""),"{""effect"":[{""typ"":""city_skin"",""id"":13121014,""val"":172800000},{""typ"":""item"",""id"":11111021,""val"":1}]}")</f>
        <v>{"effect":[{"typ":"city_skin","id":13121014,"val":172800000},{"typ":"item","id":11111021,"val":1}]}</v>
      </c>
      <c r="T1672" s="148">
        <f>IFERROR(__xludf.DUMMYFUNCTION("""COMPUTED_VALUE"""),-1.0)</f>
        <v>-1</v>
      </c>
      <c r="U1672" s="148">
        <f>IFERROR(__xludf.DUMMYFUNCTION("""COMPUTED_VALUE"""),0.0)</f>
        <v>0</v>
      </c>
      <c r="V1672" s="148" t="str">
        <f>IFERROR(__xludf.DUMMYFUNCTION("""COMPUTED_VALUE"""),"[]")</f>
        <v>[]</v>
      </c>
      <c r="W1672" s="148">
        <f>IFERROR(__xludf.DUMMYFUNCTION("""COMPUTED_VALUE"""),1.174E7)</f>
        <v>11740000</v>
      </c>
      <c r="X1672" s="148">
        <f>IFERROR(__xludf.DUMMYFUNCTION("""COMPUTED_VALUE"""),0.0)</f>
        <v>0</v>
      </c>
      <c r="Y1672" s="148">
        <f>IFERROR(__xludf.DUMMYFUNCTION("""COMPUTED_VALUE"""),0.0)</f>
        <v>0</v>
      </c>
      <c r="Z1672" s="148"/>
    </row>
    <row r="1673">
      <c r="A1673" s="148">
        <f>IFERROR(__xludf.DUMMYFUNCTION("""COMPUTED_VALUE"""),1.1117332E7)</f>
        <v>11117332</v>
      </c>
      <c r="B1673" s="148" t="str">
        <f>IFERROR(__xludf.DUMMYFUNCTION("""COMPUTED_VALUE"""),"2023情人节BattlePass-初级通行证")</f>
        <v>2023情人节BattlePass-初级通行证</v>
      </c>
      <c r="C1673" s="148"/>
      <c r="D1673" s="148" t="str">
        <f>IFERROR(__xludf.DUMMYFUNCTION("""COMPUTED_VALUE"""),"battle_pass_card")</f>
        <v>battle_pass_card</v>
      </c>
      <c r="E1673" s="148">
        <f>IFERROR(__xludf.DUMMYFUNCTION("""COMPUTED_VALUE"""),0.0)</f>
        <v>0</v>
      </c>
      <c r="F1673" s="148">
        <f>IFERROR(__xludf.DUMMYFUNCTION("""COMPUTED_VALUE"""),0.0)</f>
        <v>0</v>
      </c>
      <c r="G1673" s="148">
        <f>IFERROR(__xludf.DUMMYFUNCTION("""COMPUTED_VALUE"""),1.5113625E7)</f>
        <v>15113625</v>
      </c>
      <c r="H1673" s="148">
        <f>IFERROR(__xludf.DUMMYFUNCTION("""COMPUTED_VALUE"""),1.5112563E7)</f>
        <v>15112563</v>
      </c>
      <c r="I1673" s="148" t="str">
        <f>IFERROR(__xludf.DUMMYFUNCTION("""COMPUTED_VALUE"""),"{}")</f>
        <v>{}</v>
      </c>
      <c r="J1673" s="148" t="str">
        <f>IFERROR(__xludf.DUMMYFUNCTION("""COMPUTED_VALUE"""),"{""typ"":""lc"",""txt"":""LC_IAP_classic_2023_valentine_gift""}")</f>
        <v>{"typ":"lc","txt":"LC_IAP_classic_2023_valentine_gift"}</v>
      </c>
      <c r="K1673" s="148" t="str">
        <f>IFERROR(__xludf.DUMMYFUNCTION("""COMPUTED_VALUE"""),"{}")</f>
        <v>{}</v>
      </c>
      <c r="L1673" s="148" t="str">
        <f>IFERROR(__xludf.DUMMYFUNCTION("""COMPUTED_VALUE"""),"{}")</f>
        <v>{}</v>
      </c>
      <c r="M1673" s="148">
        <f>IFERROR(__xludf.DUMMYFUNCTION("""COMPUTED_VALUE"""),10.0)</f>
        <v>10</v>
      </c>
      <c r="N1673" s="148">
        <f>IFERROR(__xludf.DUMMYFUNCTION("""COMPUTED_VALUE"""),999999.0)</f>
        <v>999999</v>
      </c>
      <c r="O1673" s="148">
        <f>IFERROR(__xludf.DUMMYFUNCTION("""COMPUTED_VALUE"""),99999.0)</f>
        <v>99999</v>
      </c>
      <c r="P1673" s="148">
        <f>IFERROR(__xludf.DUMMYFUNCTION("""COMPUTED_VALUE"""),9999.0)</f>
        <v>9999</v>
      </c>
      <c r="Q1673" s="148" t="str">
        <f>IFERROR(__xludf.DUMMYFUNCTION("""COMPUTED_VALUE"""),"[]")</f>
        <v>[]</v>
      </c>
      <c r="R1673" s="148" t="str">
        <f>IFERROR(__xludf.DUMMYFUNCTION("""COMPUTED_VALUE"""),"[]")</f>
        <v>[]</v>
      </c>
      <c r="S1673" s="148" t="str">
        <f>IFERROR(__xludf.DUMMYFUNCTION("""COMPUTED_VALUE"""),"{}")</f>
        <v>{}</v>
      </c>
      <c r="T1673" s="148">
        <f>IFERROR(__xludf.DUMMYFUNCTION("""COMPUTED_VALUE"""),-1.0)</f>
        <v>-1</v>
      </c>
      <c r="U1673" s="148">
        <f>IFERROR(__xludf.DUMMYFUNCTION("""COMPUTED_VALUE"""),1.0)</f>
        <v>1</v>
      </c>
      <c r="V1673" s="148" t="str">
        <f>IFERROR(__xludf.DUMMYFUNCTION("""COMPUTED_VALUE"""),"[]")</f>
        <v>[]</v>
      </c>
      <c r="W1673" s="148">
        <f>IFERROR(__xludf.DUMMYFUNCTION("""COMPUTED_VALUE"""),1.174E7)</f>
        <v>11740000</v>
      </c>
      <c r="X1673" s="148">
        <f>IFERROR(__xludf.DUMMYFUNCTION("""COMPUTED_VALUE"""),0.0)</f>
        <v>0</v>
      </c>
      <c r="Y1673" s="148">
        <f>IFERROR(__xludf.DUMMYFUNCTION("""COMPUTED_VALUE"""),0.0)</f>
        <v>0</v>
      </c>
      <c r="Z1673" s="148"/>
    </row>
    <row r="1674">
      <c r="A1674" s="148">
        <f>IFERROR(__xludf.DUMMYFUNCTION("""COMPUTED_VALUE"""),1.1117333E7)</f>
        <v>11117333</v>
      </c>
      <c r="B1674" s="148" t="str">
        <f>IFERROR(__xludf.DUMMYFUNCTION("""COMPUTED_VALUE"""),"2023情人节BattlePass-高级通行证")</f>
        <v>2023情人节BattlePass-高级通行证</v>
      </c>
      <c r="C1674" s="148"/>
      <c r="D1674" s="148" t="str">
        <f>IFERROR(__xludf.DUMMYFUNCTION("""COMPUTED_VALUE"""),"battle_pass_card")</f>
        <v>battle_pass_card</v>
      </c>
      <c r="E1674" s="148">
        <f>IFERROR(__xludf.DUMMYFUNCTION("""COMPUTED_VALUE"""),0.0)</f>
        <v>0</v>
      </c>
      <c r="F1674" s="148">
        <f>IFERROR(__xludf.DUMMYFUNCTION("""COMPUTED_VALUE"""),0.0)</f>
        <v>0</v>
      </c>
      <c r="G1674" s="148">
        <f>IFERROR(__xludf.DUMMYFUNCTION("""COMPUTED_VALUE"""),1.5113625E7)</f>
        <v>15113625</v>
      </c>
      <c r="H1674" s="148">
        <f>IFERROR(__xludf.DUMMYFUNCTION("""COMPUTED_VALUE"""),1.5112564E7)</f>
        <v>15112564</v>
      </c>
      <c r="I1674" s="148" t="str">
        <f>IFERROR(__xludf.DUMMYFUNCTION("""COMPUTED_VALUE"""),"{}")</f>
        <v>{}</v>
      </c>
      <c r="J1674" s="148" t="str">
        <f>IFERROR(__xludf.DUMMYFUNCTION("""COMPUTED_VALUE"""),"{""typ"":""lc"",""txt"":""LC_IAP_luxury_2023_valentine_gift""}")</f>
        <v>{"typ":"lc","txt":"LC_IAP_luxury_2023_valentine_gift"}</v>
      </c>
      <c r="K1674" s="148" t="str">
        <f>IFERROR(__xludf.DUMMYFUNCTION("""COMPUTED_VALUE"""),"{}")</f>
        <v>{}</v>
      </c>
      <c r="L1674" s="148" t="str">
        <f>IFERROR(__xludf.DUMMYFUNCTION("""COMPUTED_VALUE"""),"{}")</f>
        <v>{}</v>
      </c>
      <c r="M1674" s="148">
        <f>IFERROR(__xludf.DUMMYFUNCTION("""COMPUTED_VALUE"""),10.0)</f>
        <v>10</v>
      </c>
      <c r="N1674" s="148">
        <f>IFERROR(__xludf.DUMMYFUNCTION("""COMPUTED_VALUE"""),999999.0)</f>
        <v>999999</v>
      </c>
      <c r="O1674" s="148">
        <f>IFERROR(__xludf.DUMMYFUNCTION("""COMPUTED_VALUE"""),99999.0)</f>
        <v>99999</v>
      </c>
      <c r="P1674" s="148">
        <f>IFERROR(__xludf.DUMMYFUNCTION("""COMPUTED_VALUE"""),9999.0)</f>
        <v>9999</v>
      </c>
      <c r="Q1674" s="148" t="str">
        <f>IFERROR(__xludf.DUMMYFUNCTION("""COMPUTED_VALUE"""),"[]")</f>
        <v>[]</v>
      </c>
      <c r="R1674" s="148" t="str">
        <f>IFERROR(__xludf.DUMMYFUNCTION("""COMPUTED_VALUE"""),"[]")</f>
        <v>[]</v>
      </c>
      <c r="S1674" s="148" t="str">
        <f>IFERROR(__xludf.DUMMYFUNCTION("""COMPUTED_VALUE"""),"{}")</f>
        <v>{}</v>
      </c>
      <c r="T1674" s="148">
        <f>IFERROR(__xludf.DUMMYFUNCTION("""COMPUTED_VALUE"""),-1.0)</f>
        <v>-1</v>
      </c>
      <c r="U1674" s="148">
        <f>IFERROR(__xludf.DUMMYFUNCTION("""COMPUTED_VALUE"""),1.0)</f>
        <v>1</v>
      </c>
      <c r="V1674" s="148" t="str">
        <f>IFERROR(__xludf.DUMMYFUNCTION("""COMPUTED_VALUE"""),"[]")</f>
        <v>[]</v>
      </c>
      <c r="W1674" s="148">
        <f>IFERROR(__xludf.DUMMYFUNCTION("""COMPUTED_VALUE"""),1.174E7)</f>
        <v>11740000</v>
      </c>
      <c r="X1674" s="148">
        <f>IFERROR(__xludf.DUMMYFUNCTION("""COMPUTED_VALUE"""),0.0)</f>
        <v>0</v>
      </c>
      <c r="Y1674" s="148">
        <f>IFERROR(__xludf.DUMMYFUNCTION("""COMPUTED_VALUE"""),0.0)</f>
        <v>0</v>
      </c>
      <c r="Z1674" s="148"/>
    </row>
    <row r="1675">
      <c r="A1675" s="148">
        <f>IFERROR(__xludf.DUMMYFUNCTION("""COMPUTED_VALUE"""),1.1117334E7)</f>
        <v>11117334</v>
      </c>
      <c r="B1675" s="148" t="str">
        <f>IFERROR(__xludf.DUMMYFUNCTION("""COMPUTED_VALUE"""),"行军特效-情意相随-1天限时")</f>
        <v>行军特效-情意相随-1天限时</v>
      </c>
      <c r="C1675" s="148"/>
      <c r="D1675" s="148" t="str">
        <f>IFERROR(__xludf.DUMMYFUNCTION("""COMPUTED_VALUE"""),"marching_effect")</f>
        <v>marching_effect</v>
      </c>
      <c r="E1675" s="148">
        <f>IFERROR(__xludf.DUMMYFUNCTION("""COMPUTED_VALUE"""),0.0)</f>
        <v>0</v>
      </c>
      <c r="F1675" s="148">
        <f>IFERROR(__xludf.DUMMYFUNCTION("""COMPUTED_VALUE"""),408200.0)</f>
        <v>408200</v>
      </c>
      <c r="G1675" s="148">
        <f>IFERROR(__xludf.DUMMYFUNCTION("""COMPUTED_VALUE"""),1.5115842E7)</f>
        <v>15115842</v>
      </c>
      <c r="H1675" s="148">
        <f>IFERROR(__xludf.DUMMYFUNCTION("""COMPUTED_VALUE"""),1.511256E7)</f>
        <v>15112560</v>
      </c>
      <c r="I1675" s="148" t="str">
        <f>IFERROR(__xludf.DUMMYFUNCTION("""COMPUTED_VALUE"""),"{""typ"":""lc"",""txt"":""LC_ITEM_time_day_upper_show"",""args"":[{""typ"":""int_unit"",""val"":1}]}")</f>
        <v>{"typ":"lc","txt":"LC_ITEM_time_day_upper_show","args":[{"typ":"int_unit","val":1}]}</v>
      </c>
      <c r="J1675" s="148" t="str">
        <f>IFERROR(__xludf.DUMMYFUNCTION("""COMPUTED_VALUE"""),"{""typ"":""lc"",""txt"":""LC_ITEM_valentine_marcheffect_2023_title""}")</f>
        <v>{"typ":"lc","txt":"LC_ITEM_valentine_marcheffect_2023_title"}</v>
      </c>
      <c r="K1675" s="148" t="str">
        <f>IFERROR(__xludf.DUMMYFUNCTION("""COMPUTED_VALUE"""),"{""typ"":""lc"",""txt"":""LC_ITEM_valentine_marcheffect_2023_desc""}")</f>
        <v>{"typ":"lc","txt":"LC_ITEM_valentine_marcheffect_2023_desc"}</v>
      </c>
      <c r="L1675" s="148" t="str">
        <f>IFERROR(__xludf.DUMMYFUNCTION("""COMPUTED_VALUE"""),"{""typ"":""lc"",""txt"":""LC_ITEM_valentine_marcheffect_2023_usetip_2_1d""}")</f>
        <v>{"typ":"lc","txt":"LC_ITEM_valentine_marcheffect_2023_usetip_2_1d"}</v>
      </c>
      <c r="M1675" s="148">
        <f>IFERROR(__xludf.DUMMYFUNCTION("""COMPUTED_VALUE"""),50.0)</f>
        <v>50</v>
      </c>
      <c r="N1675" s="148">
        <f>IFERROR(__xludf.DUMMYFUNCTION("""COMPUTED_VALUE"""),999999.0)</f>
        <v>999999</v>
      </c>
      <c r="O1675" s="148">
        <f>IFERROR(__xludf.DUMMYFUNCTION("""COMPUTED_VALUE"""),99999.0)</f>
        <v>99999</v>
      </c>
      <c r="P1675" s="148">
        <f>IFERROR(__xludf.DUMMYFUNCTION("""COMPUTED_VALUE"""),1.0)</f>
        <v>1</v>
      </c>
      <c r="Q1675" s="148" t="str">
        <f>IFERROR(__xludf.DUMMYFUNCTION("""COMPUTED_VALUE"""),"[""bag_other""]")</f>
        <v>["bag_other"]</v>
      </c>
      <c r="R1675" s="148" t="str">
        <f>IFERROR(__xludf.DUMMYFUNCTION("""COMPUTED_VALUE"""),"[""bag"",""13650105""]")</f>
        <v>["bag","13650105"]</v>
      </c>
      <c r="S1675" s="148" t="str">
        <f>IFERROR(__xludf.DUMMYFUNCTION("""COMPUTED_VALUE"""),"{""effect"":[{""typ"":""marching_effect"",""id"":13650105,""val"":86400000},{""typ"":""vm"",""id"":11151001,""val"":50}]}")</f>
        <v>{"effect":[{"typ":"marching_effect","id":13650105,"val":86400000},{"typ":"vm","id":11151001,"val":50}]}</v>
      </c>
      <c r="T1675" s="148">
        <f>IFERROR(__xludf.DUMMYFUNCTION("""COMPUTED_VALUE"""),-1.0)</f>
        <v>-1</v>
      </c>
      <c r="U1675" s="148">
        <f>IFERROR(__xludf.DUMMYFUNCTION("""COMPUTED_VALUE"""),0.0)</f>
        <v>0</v>
      </c>
      <c r="V1675" s="148" t="str">
        <f>IFERROR(__xludf.DUMMYFUNCTION("""COMPUTED_VALUE"""),"[]")</f>
        <v>[]</v>
      </c>
      <c r="W1675" s="148">
        <f>IFERROR(__xludf.DUMMYFUNCTION("""COMPUTED_VALUE"""),1.174E7)</f>
        <v>11740000</v>
      </c>
      <c r="X1675" s="148">
        <f>IFERROR(__xludf.DUMMYFUNCTION("""COMPUTED_VALUE"""),0.0)</f>
        <v>0</v>
      </c>
      <c r="Y1675" s="148">
        <f>IFERROR(__xludf.DUMMYFUNCTION("""COMPUTED_VALUE"""),0.0)</f>
        <v>0</v>
      </c>
      <c r="Z1675" s="148"/>
    </row>
    <row r="1676">
      <c r="A1676" s="148">
        <f>IFERROR(__xludf.DUMMYFUNCTION("""COMPUTED_VALUE"""),1.1117335E7)</f>
        <v>11117335</v>
      </c>
      <c r="B1676" s="148" t="str">
        <f>IFERROR(__xludf.DUMMYFUNCTION("""COMPUTED_VALUE"""),"行军特效-情意相随-3天限时")</f>
        <v>行军特效-情意相随-3天限时</v>
      </c>
      <c r="C1676" s="148"/>
      <c r="D1676" s="148" t="str">
        <f>IFERROR(__xludf.DUMMYFUNCTION("""COMPUTED_VALUE"""),"marching_effect")</f>
        <v>marching_effect</v>
      </c>
      <c r="E1676" s="148">
        <f>IFERROR(__xludf.DUMMYFUNCTION("""COMPUTED_VALUE"""),0.0)</f>
        <v>0</v>
      </c>
      <c r="F1676" s="148">
        <f>IFERROR(__xludf.DUMMYFUNCTION("""COMPUTED_VALUE"""),408199.0)</f>
        <v>408199</v>
      </c>
      <c r="G1676" s="148">
        <f>IFERROR(__xludf.DUMMYFUNCTION("""COMPUTED_VALUE"""),1.5115842E7)</f>
        <v>15115842</v>
      </c>
      <c r="H1676" s="148">
        <f>IFERROR(__xludf.DUMMYFUNCTION("""COMPUTED_VALUE"""),1.5112561E7)</f>
        <v>15112561</v>
      </c>
      <c r="I1676" s="148" t="str">
        <f>IFERROR(__xludf.DUMMYFUNCTION("""COMPUTED_VALUE"""),"{""typ"":""lc"",""txt"":""LC_ITEM_time_day_upper_show"",""args"":[{""typ"":""int_unit"",""val"":3}]}")</f>
        <v>{"typ":"lc","txt":"LC_ITEM_time_day_upper_show","args":[{"typ":"int_unit","val":3}]}</v>
      </c>
      <c r="J1676" s="148" t="str">
        <f>IFERROR(__xludf.DUMMYFUNCTION("""COMPUTED_VALUE"""),"{""typ"":""lc"",""txt"":""LC_ITEM_valentine_marcheffect_2023_title""}")</f>
        <v>{"typ":"lc","txt":"LC_ITEM_valentine_marcheffect_2023_title"}</v>
      </c>
      <c r="K1676" s="148" t="str">
        <f>IFERROR(__xludf.DUMMYFUNCTION("""COMPUTED_VALUE"""),"{""typ"":""lc"",""txt"":""LC_ITEM_valentine_marcheffect_2023_desc""}")</f>
        <v>{"typ":"lc","txt":"LC_ITEM_valentine_marcheffect_2023_desc"}</v>
      </c>
      <c r="L1676" s="148" t="str">
        <f>IFERROR(__xludf.DUMMYFUNCTION("""COMPUTED_VALUE"""),"{""typ"":""lc"",""txt"":""LC_ITEM_valentine_marcheffect_2023_usetip_2_3d""}")</f>
        <v>{"typ":"lc","txt":"LC_ITEM_valentine_marcheffect_2023_usetip_2_3d"}</v>
      </c>
      <c r="M1676" s="148">
        <f>IFERROR(__xludf.DUMMYFUNCTION("""COMPUTED_VALUE"""),200.0)</f>
        <v>200</v>
      </c>
      <c r="N1676" s="148">
        <f>IFERROR(__xludf.DUMMYFUNCTION("""COMPUTED_VALUE"""),999999.0)</f>
        <v>999999</v>
      </c>
      <c r="O1676" s="148">
        <f>IFERROR(__xludf.DUMMYFUNCTION("""COMPUTED_VALUE"""),99999.0)</f>
        <v>99999</v>
      </c>
      <c r="P1676" s="148">
        <f>IFERROR(__xludf.DUMMYFUNCTION("""COMPUTED_VALUE"""),1.0)</f>
        <v>1</v>
      </c>
      <c r="Q1676" s="148" t="str">
        <f>IFERROR(__xludf.DUMMYFUNCTION("""COMPUTED_VALUE"""),"[""bag_other""]")</f>
        <v>["bag_other"]</v>
      </c>
      <c r="R1676" s="148" t="str">
        <f>IFERROR(__xludf.DUMMYFUNCTION("""COMPUTED_VALUE"""),"[""bag"",""13650105""]")</f>
        <v>["bag","13650105"]</v>
      </c>
      <c r="S1676" s="148" t="str">
        <f>IFERROR(__xludf.DUMMYFUNCTION("""COMPUTED_VALUE"""),"{""effect"":[{""typ"":""marching_effect"",""id"":13650105,""val"":259200000},{""typ"":""vm"",""id"":11151001,""val"":200}]}")</f>
        <v>{"effect":[{"typ":"marching_effect","id":13650105,"val":259200000},{"typ":"vm","id":11151001,"val":200}]}</v>
      </c>
      <c r="T1676" s="148">
        <f>IFERROR(__xludf.DUMMYFUNCTION("""COMPUTED_VALUE"""),-1.0)</f>
        <v>-1</v>
      </c>
      <c r="U1676" s="148">
        <f>IFERROR(__xludf.DUMMYFUNCTION("""COMPUTED_VALUE"""),0.0)</f>
        <v>0</v>
      </c>
      <c r="V1676" s="148" t="str">
        <f>IFERROR(__xludf.DUMMYFUNCTION("""COMPUTED_VALUE"""),"[]")</f>
        <v>[]</v>
      </c>
      <c r="W1676" s="148">
        <f>IFERROR(__xludf.DUMMYFUNCTION("""COMPUTED_VALUE"""),1.174E7)</f>
        <v>11740000</v>
      </c>
      <c r="X1676" s="148">
        <f>IFERROR(__xludf.DUMMYFUNCTION("""COMPUTED_VALUE"""),0.0)</f>
        <v>0</v>
      </c>
      <c r="Y1676" s="148">
        <f>IFERROR(__xludf.DUMMYFUNCTION("""COMPUTED_VALUE"""),0.0)</f>
        <v>0</v>
      </c>
      <c r="Z1676" s="148"/>
    </row>
    <row r="1677">
      <c r="A1677" s="148">
        <f>IFERROR(__xludf.DUMMYFUNCTION("""COMPUTED_VALUE"""),1.1117336E7)</f>
        <v>11117336</v>
      </c>
      <c r="B1677" s="148" t="str">
        <f>IFERROR(__xludf.DUMMYFUNCTION("""COMPUTED_VALUE"""),"行军特效-情意相随-7天限时")</f>
        <v>行军特效-情意相随-7天限时</v>
      </c>
      <c r="C1677" s="148"/>
      <c r="D1677" s="148" t="str">
        <f>IFERROR(__xludf.DUMMYFUNCTION("""COMPUTED_VALUE"""),"marching_effect")</f>
        <v>marching_effect</v>
      </c>
      <c r="E1677" s="148">
        <f>IFERROR(__xludf.DUMMYFUNCTION("""COMPUTED_VALUE"""),0.0)</f>
        <v>0</v>
      </c>
      <c r="F1677" s="148">
        <f>IFERROR(__xludf.DUMMYFUNCTION("""COMPUTED_VALUE"""),408198.0)</f>
        <v>408198</v>
      </c>
      <c r="G1677" s="148">
        <f>IFERROR(__xludf.DUMMYFUNCTION("""COMPUTED_VALUE"""),1.5115842E7)</f>
        <v>15115842</v>
      </c>
      <c r="H1677" s="148">
        <f>IFERROR(__xludf.DUMMYFUNCTION("""COMPUTED_VALUE"""),1.5112562E7)</f>
        <v>15112562</v>
      </c>
      <c r="I1677" s="148" t="str">
        <f>IFERROR(__xludf.DUMMYFUNCTION("""COMPUTED_VALUE"""),"{""typ"":""lc"",""txt"":""LC_ITEM_time_day_upper_show"",""args"":[{""typ"":""int_unit"",""val"":7}]}")</f>
        <v>{"typ":"lc","txt":"LC_ITEM_time_day_upper_show","args":[{"typ":"int_unit","val":7}]}</v>
      </c>
      <c r="J1677" s="148" t="str">
        <f>IFERROR(__xludf.DUMMYFUNCTION("""COMPUTED_VALUE"""),"{""typ"":""lc"",""txt"":""LC_ITEM_valentine_marcheffect_2023_title""}")</f>
        <v>{"typ":"lc","txt":"LC_ITEM_valentine_marcheffect_2023_title"}</v>
      </c>
      <c r="K1677" s="148" t="str">
        <f>IFERROR(__xludf.DUMMYFUNCTION("""COMPUTED_VALUE"""),"{""typ"":""lc"",""txt"":""LC_ITEM_valentine_marcheffect_2023_desc""}")</f>
        <v>{"typ":"lc","txt":"LC_ITEM_valentine_marcheffect_2023_desc"}</v>
      </c>
      <c r="L1677" s="148" t="str">
        <f>IFERROR(__xludf.DUMMYFUNCTION("""COMPUTED_VALUE"""),"{""typ"":""lc"",""txt"":""LC_ITEM_valentine_marcheffect_2023_usetip_2_7d""}")</f>
        <v>{"typ":"lc","txt":"LC_ITEM_valentine_marcheffect_2023_usetip_2_7d"}</v>
      </c>
      <c r="M1677" s="148">
        <f>IFERROR(__xludf.DUMMYFUNCTION("""COMPUTED_VALUE"""),500.0)</f>
        <v>500</v>
      </c>
      <c r="N1677" s="148">
        <f>IFERROR(__xludf.DUMMYFUNCTION("""COMPUTED_VALUE"""),999999.0)</f>
        <v>999999</v>
      </c>
      <c r="O1677" s="148">
        <f>IFERROR(__xludf.DUMMYFUNCTION("""COMPUTED_VALUE"""),99999.0)</f>
        <v>99999</v>
      </c>
      <c r="P1677" s="148">
        <f>IFERROR(__xludf.DUMMYFUNCTION("""COMPUTED_VALUE"""),1.0)</f>
        <v>1</v>
      </c>
      <c r="Q1677" s="148" t="str">
        <f>IFERROR(__xludf.DUMMYFUNCTION("""COMPUTED_VALUE"""),"[""bag_other""]")</f>
        <v>["bag_other"]</v>
      </c>
      <c r="R1677" s="148" t="str">
        <f>IFERROR(__xludf.DUMMYFUNCTION("""COMPUTED_VALUE"""),"[""bag"",""13650105""]")</f>
        <v>["bag","13650105"]</v>
      </c>
      <c r="S1677" s="148" t="str">
        <f>IFERROR(__xludf.DUMMYFUNCTION("""COMPUTED_VALUE"""),"{""effect"":[{""typ"":""marching_effect"",""id"":13650105,""val"":604800000},{""typ"":""vm"",""id"":11151001,""val"":500}]}")</f>
        <v>{"effect":[{"typ":"marching_effect","id":13650105,"val":604800000},{"typ":"vm","id":11151001,"val":500}]}</v>
      </c>
      <c r="T1677" s="148">
        <f>IFERROR(__xludf.DUMMYFUNCTION("""COMPUTED_VALUE"""),-1.0)</f>
        <v>-1</v>
      </c>
      <c r="U1677" s="148">
        <f>IFERROR(__xludf.DUMMYFUNCTION("""COMPUTED_VALUE"""),0.0)</f>
        <v>0</v>
      </c>
      <c r="V1677" s="148" t="str">
        <f>IFERROR(__xludf.DUMMYFUNCTION("""COMPUTED_VALUE"""),"[]")</f>
        <v>[]</v>
      </c>
      <c r="W1677" s="148">
        <f>IFERROR(__xludf.DUMMYFUNCTION("""COMPUTED_VALUE"""),1.174E7)</f>
        <v>11740000</v>
      </c>
      <c r="X1677" s="148">
        <f>IFERROR(__xludf.DUMMYFUNCTION("""COMPUTED_VALUE"""),0.0)</f>
        <v>0</v>
      </c>
      <c r="Y1677" s="148">
        <f>IFERROR(__xludf.DUMMYFUNCTION("""COMPUTED_VALUE"""),0.0)</f>
        <v>0</v>
      </c>
      <c r="Z1677" s="148"/>
    </row>
    <row r="1678">
      <c r="A1678" s="148">
        <f>IFERROR(__xludf.DUMMYFUNCTION("""COMPUTED_VALUE"""),1.1117337E7)</f>
        <v>11117337</v>
      </c>
      <c r="B1678" s="148" t="str">
        <f>IFERROR(__xludf.DUMMYFUNCTION("""COMPUTED_VALUE"""),"行军特效-情意相随-14天限时")</f>
        <v>行军特效-情意相随-14天限时</v>
      </c>
      <c r="C1678" s="148"/>
      <c r="D1678" s="148" t="str">
        <f>IFERROR(__xludf.DUMMYFUNCTION("""COMPUTED_VALUE"""),"marching_effect")</f>
        <v>marching_effect</v>
      </c>
      <c r="E1678" s="148">
        <f>IFERROR(__xludf.DUMMYFUNCTION("""COMPUTED_VALUE"""),0.0)</f>
        <v>0</v>
      </c>
      <c r="F1678" s="148">
        <f>IFERROR(__xludf.DUMMYFUNCTION("""COMPUTED_VALUE"""),408197.0)</f>
        <v>408197</v>
      </c>
      <c r="G1678" s="148">
        <f>IFERROR(__xludf.DUMMYFUNCTION("""COMPUTED_VALUE"""),1.5115842E7)</f>
        <v>15115842</v>
      </c>
      <c r="H1678" s="148">
        <f>IFERROR(__xludf.DUMMYFUNCTION("""COMPUTED_VALUE"""),1.5112563E7)</f>
        <v>15112563</v>
      </c>
      <c r="I1678" s="148" t="str">
        <f>IFERROR(__xludf.DUMMYFUNCTION("""COMPUTED_VALUE"""),"{""typ"":""lc"",""txt"":""LC_ITEM_time_day_upper_show"",""args"":[{""typ"":""int_unit"",""val"":14}]}")</f>
        <v>{"typ":"lc","txt":"LC_ITEM_time_day_upper_show","args":[{"typ":"int_unit","val":14}]}</v>
      </c>
      <c r="J1678" s="148" t="str">
        <f>IFERROR(__xludf.DUMMYFUNCTION("""COMPUTED_VALUE"""),"{""typ"":""lc"",""txt"":""LC_ITEM_valentine_marcheffect_2023_title""}")</f>
        <v>{"typ":"lc","txt":"LC_ITEM_valentine_marcheffect_2023_title"}</v>
      </c>
      <c r="K1678" s="148" t="str">
        <f>IFERROR(__xludf.DUMMYFUNCTION("""COMPUTED_VALUE"""),"{""typ"":""lc"",""txt"":""LC_ITEM_valentine_marcheffect_2023_desc""}")</f>
        <v>{"typ":"lc","txt":"LC_ITEM_valentine_marcheffect_2023_desc"}</v>
      </c>
      <c r="L1678" s="148" t="str">
        <f>IFERROR(__xludf.DUMMYFUNCTION("""COMPUTED_VALUE"""),"{""typ"":""lc"",""txt"":""LC_ITEM_valentine_marcheffect_2023_usetip_2_14d""}")</f>
        <v>{"typ":"lc","txt":"LC_ITEM_valentine_marcheffect_2023_usetip_2_14d"}</v>
      </c>
      <c r="M1678" s="148">
        <f>IFERROR(__xludf.DUMMYFUNCTION("""COMPUTED_VALUE"""),1000.0)</f>
        <v>1000</v>
      </c>
      <c r="N1678" s="148">
        <f>IFERROR(__xludf.DUMMYFUNCTION("""COMPUTED_VALUE"""),999999.0)</f>
        <v>999999</v>
      </c>
      <c r="O1678" s="148">
        <f>IFERROR(__xludf.DUMMYFUNCTION("""COMPUTED_VALUE"""),99999.0)</f>
        <v>99999</v>
      </c>
      <c r="P1678" s="148">
        <f>IFERROR(__xludf.DUMMYFUNCTION("""COMPUTED_VALUE"""),1.0)</f>
        <v>1</v>
      </c>
      <c r="Q1678" s="148" t="str">
        <f>IFERROR(__xludf.DUMMYFUNCTION("""COMPUTED_VALUE"""),"[""bag_other""]")</f>
        <v>["bag_other"]</v>
      </c>
      <c r="R1678" s="148" t="str">
        <f>IFERROR(__xludf.DUMMYFUNCTION("""COMPUTED_VALUE"""),"[""bag"",""13650105""]")</f>
        <v>["bag","13650105"]</v>
      </c>
      <c r="S1678" s="148" t="str">
        <f>IFERROR(__xludf.DUMMYFUNCTION("""COMPUTED_VALUE"""),"{""effect"":[{""typ"":""marching_effect"",""id"":13650105,""val"":1209600000},{""typ"":""vm"",""id"":11151001,""val"":1000}]}")</f>
        <v>{"effect":[{"typ":"marching_effect","id":13650105,"val":1209600000},{"typ":"vm","id":11151001,"val":1000}]}</v>
      </c>
      <c r="T1678" s="148">
        <f>IFERROR(__xludf.DUMMYFUNCTION("""COMPUTED_VALUE"""),-1.0)</f>
        <v>-1</v>
      </c>
      <c r="U1678" s="148">
        <f>IFERROR(__xludf.DUMMYFUNCTION("""COMPUTED_VALUE"""),0.0)</f>
        <v>0</v>
      </c>
      <c r="V1678" s="148" t="str">
        <f>IFERROR(__xludf.DUMMYFUNCTION("""COMPUTED_VALUE"""),"[]")</f>
        <v>[]</v>
      </c>
      <c r="W1678" s="148">
        <f>IFERROR(__xludf.DUMMYFUNCTION("""COMPUTED_VALUE"""),1.174E7)</f>
        <v>11740000</v>
      </c>
      <c r="X1678" s="148">
        <f>IFERROR(__xludf.DUMMYFUNCTION("""COMPUTED_VALUE"""),0.0)</f>
        <v>0</v>
      </c>
      <c r="Y1678" s="148">
        <f>IFERROR(__xludf.DUMMYFUNCTION("""COMPUTED_VALUE"""),0.0)</f>
        <v>0</v>
      </c>
      <c r="Z1678" s="148"/>
    </row>
    <row r="1679">
      <c r="A1679" s="148">
        <f>IFERROR(__xludf.DUMMYFUNCTION("""COMPUTED_VALUE"""),1.1117338E7)</f>
        <v>11117338</v>
      </c>
      <c r="B1679" s="148" t="str">
        <f>IFERROR(__xludf.DUMMYFUNCTION("""COMPUTED_VALUE"""),"行军特效-情意相随-永久")</f>
        <v>行军特效-情意相随-永久</v>
      </c>
      <c r="C1679" s="148"/>
      <c r="D1679" s="148" t="str">
        <f>IFERROR(__xludf.DUMMYFUNCTION("""COMPUTED_VALUE"""),"marching_effect")</f>
        <v>marching_effect</v>
      </c>
      <c r="E1679" s="148">
        <f>IFERROR(__xludf.DUMMYFUNCTION("""COMPUTED_VALUE"""),0.0)</f>
        <v>0</v>
      </c>
      <c r="F1679" s="148">
        <f>IFERROR(__xludf.DUMMYFUNCTION("""COMPUTED_VALUE"""),408195.0)</f>
        <v>408195</v>
      </c>
      <c r="G1679" s="148">
        <f>IFERROR(__xludf.DUMMYFUNCTION("""COMPUTED_VALUE"""),1.5115842E7)</f>
        <v>15115842</v>
      </c>
      <c r="H1679" s="148">
        <f>IFERROR(__xludf.DUMMYFUNCTION("""COMPUTED_VALUE"""),1.5112564E7)</f>
        <v>15112564</v>
      </c>
      <c r="I1679" s="148" t="str">
        <f>IFERROR(__xludf.DUMMYFUNCTION("""COMPUTED_VALUE"""),"{}")</f>
        <v>{}</v>
      </c>
      <c r="J1679" s="148" t="str">
        <f>IFERROR(__xludf.DUMMYFUNCTION("""COMPUTED_VALUE"""),"{""typ"":""lc"",""txt"":""LC_ITEM_valentine_marcheffect_2023_title""}")</f>
        <v>{"typ":"lc","txt":"LC_ITEM_valentine_marcheffect_2023_title"}</v>
      </c>
      <c r="K1679" s="148" t="str">
        <f>IFERROR(__xludf.DUMMYFUNCTION("""COMPUTED_VALUE"""),"{""typ"":""lc"",""txt"":""LC_ITEM_valentine_marcheffect_2023_desc""}")</f>
        <v>{"typ":"lc","txt":"LC_ITEM_valentine_marcheffect_2023_desc"}</v>
      </c>
      <c r="L1679" s="148" t="str">
        <f>IFERROR(__xludf.DUMMYFUNCTION("""COMPUTED_VALUE"""),"{""typ"":""lc"",""txt"":""LC_ITEM_valentine_marcheffect_2023_usetip_2""}")</f>
        <v>{"typ":"lc","txt":"LC_ITEM_valentine_marcheffect_2023_usetip_2"}</v>
      </c>
      <c r="M1679" s="148">
        <f>IFERROR(__xludf.DUMMYFUNCTION("""COMPUTED_VALUE"""),5000.0)</f>
        <v>5000</v>
      </c>
      <c r="N1679" s="148">
        <f>IFERROR(__xludf.DUMMYFUNCTION("""COMPUTED_VALUE"""),999999.0)</f>
        <v>999999</v>
      </c>
      <c r="O1679" s="148">
        <f>IFERROR(__xludf.DUMMYFUNCTION("""COMPUTED_VALUE"""),99999.0)</f>
        <v>99999</v>
      </c>
      <c r="P1679" s="148">
        <f>IFERROR(__xludf.DUMMYFUNCTION("""COMPUTED_VALUE"""),1.0)</f>
        <v>1</v>
      </c>
      <c r="Q1679" s="148" t="str">
        <f>IFERROR(__xludf.DUMMYFUNCTION("""COMPUTED_VALUE"""),"[""bag_other""]")</f>
        <v>["bag_other"]</v>
      </c>
      <c r="R1679" s="148" t="str">
        <f>IFERROR(__xludf.DUMMYFUNCTION("""COMPUTED_VALUE"""),"[""bag"",""13650105""]")</f>
        <v>["bag","13650105"]</v>
      </c>
      <c r="S1679" s="148" t="str">
        <f>IFERROR(__xludf.DUMMYFUNCTION("""COMPUTED_VALUE"""),"{""effect"":[{""typ"":""marching_effect"",""id"":13650105,""val"":-1},{""typ"":""vm"",""id"":11151001,""val"":2500}]}")</f>
        <v>{"effect":[{"typ":"marching_effect","id":13650105,"val":-1},{"typ":"vm","id":11151001,"val":2500}]}</v>
      </c>
      <c r="T1679" s="148">
        <f>IFERROR(__xludf.DUMMYFUNCTION("""COMPUTED_VALUE"""),-1.0)</f>
        <v>-1</v>
      </c>
      <c r="U1679" s="148">
        <f>IFERROR(__xludf.DUMMYFUNCTION("""COMPUTED_VALUE"""),0.0)</f>
        <v>0</v>
      </c>
      <c r="V1679" s="148" t="str">
        <f>IFERROR(__xludf.DUMMYFUNCTION("""COMPUTED_VALUE"""),"[]")</f>
        <v>[]</v>
      </c>
      <c r="W1679" s="148">
        <f>IFERROR(__xludf.DUMMYFUNCTION("""COMPUTED_VALUE"""),1.174E7)</f>
        <v>11740000</v>
      </c>
      <c r="X1679" s="148">
        <f>IFERROR(__xludf.DUMMYFUNCTION("""COMPUTED_VALUE"""),0.0)</f>
        <v>0</v>
      </c>
      <c r="Y1679" s="148">
        <f>IFERROR(__xludf.DUMMYFUNCTION("""COMPUTED_VALUE"""),0.0)</f>
        <v>0</v>
      </c>
      <c r="Z1679" s="148"/>
    </row>
    <row r="1680">
      <c r="A1680" s="148">
        <f>IFERROR(__xludf.DUMMYFUNCTION("""COMPUTED_VALUE"""),1.1117339E7)</f>
        <v>11117339</v>
      </c>
      <c r="B1680" s="148" t="str">
        <f>IFERROR(__xludf.DUMMYFUNCTION("""COMPUTED_VALUE"""),"2023春节锦鲤-灯笼画笔")</f>
        <v>2023春节锦鲤-灯笼画笔</v>
      </c>
      <c r="C1680" s="148"/>
      <c r="D1680" s="148" t="str">
        <f>IFERROR(__xludf.DUMMYFUNCTION("""COMPUTED_VALUE"""),"event")</f>
        <v>event</v>
      </c>
      <c r="E1680" s="148">
        <f>IFERROR(__xludf.DUMMYFUNCTION("""COMPUTED_VALUE"""),0.0)</f>
        <v>0</v>
      </c>
      <c r="F1680" s="148">
        <f>IFERROR(__xludf.DUMMYFUNCTION("""COMPUTED_VALUE"""),405226.0)</f>
        <v>405226</v>
      </c>
      <c r="G1680" s="148">
        <f>IFERROR(__xludf.DUMMYFUNCTION("""COMPUTED_VALUE"""),1.5115841E7)</f>
        <v>15115841</v>
      </c>
      <c r="H1680" s="148">
        <f>IFERROR(__xludf.DUMMYFUNCTION("""COMPUTED_VALUE"""),1.5112564E7)</f>
        <v>15112564</v>
      </c>
      <c r="I1680" s="148" t="str">
        <f>IFERROR(__xludf.DUMMYFUNCTION("""COMPUTED_VALUE"""),"{}")</f>
        <v>{}</v>
      </c>
      <c r="J1680" s="148" t="str">
        <f>IFERROR(__xludf.DUMMYFUNCTION("""COMPUTED_VALUE"""),"{""typ"":""lc"",""txt"":""LC_ITEM_2023spring_koi_pass_item_name""}")</f>
        <v>{"typ":"lc","txt":"LC_ITEM_2023spring_koi_pass_item_name"}</v>
      </c>
      <c r="K1680" s="148" t="str">
        <f>IFERROR(__xludf.DUMMYFUNCTION("""COMPUTED_VALUE"""),"{""typ"":""lc"",""txt"":""LC_ITEM_2023spring_koi_pass_item_desc""}")</f>
        <v>{"typ":"lc","txt":"LC_ITEM_2023spring_koi_pass_item_desc"}</v>
      </c>
      <c r="L1680" s="148" t="str">
        <f>IFERROR(__xludf.DUMMYFUNCTION("""COMPUTED_VALUE"""),"{}")</f>
        <v>{}</v>
      </c>
      <c r="M1680" s="148">
        <f>IFERROR(__xludf.DUMMYFUNCTION("""COMPUTED_VALUE"""),700.0)</f>
        <v>700</v>
      </c>
      <c r="N1680" s="148">
        <f>IFERROR(__xludf.DUMMYFUNCTION("""COMPUTED_VALUE"""),9.99999999E8)</f>
        <v>999999999</v>
      </c>
      <c r="O1680" s="148">
        <f>IFERROR(__xludf.DUMMYFUNCTION("""COMPUTED_VALUE"""),9.99999999E8)</f>
        <v>999999999</v>
      </c>
      <c r="P1680" s="148">
        <f>IFERROR(__xludf.DUMMYFUNCTION("""COMPUTED_VALUE"""),9.99999999E8)</f>
        <v>999999999</v>
      </c>
      <c r="Q1680" s="148" t="str">
        <f>IFERROR(__xludf.DUMMYFUNCTION("""COMPUTED_VALUE"""),"[""bag_other""]")</f>
        <v>["bag_other"]</v>
      </c>
      <c r="R1680" s="148" t="str">
        <f>IFERROR(__xludf.DUMMYFUNCTION("""COMPUTED_VALUE"""),"[""bag""]")</f>
        <v>["bag"]</v>
      </c>
      <c r="S1680" s="148" t="str">
        <f>IFERROR(__xludf.DUMMYFUNCTION("""COMPUTED_VALUE"""),"{}")</f>
        <v>{}</v>
      </c>
      <c r="T1680" s="148">
        <f>IFERROR(__xludf.DUMMYFUNCTION("""COMPUTED_VALUE"""),1.0)</f>
        <v>1</v>
      </c>
      <c r="U1680" s="148">
        <f>IFERROR(__xludf.DUMMYFUNCTION("""COMPUTED_VALUE"""),0.0)</f>
        <v>0</v>
      </c>
      <c r="V1680" s="148" t="str">
        <f>IFERROR(__xludf.DUMMYFUNCTION("""COMPUTED_VALUE"""),"[]")</f>
        <v>[]</v>
      </c>
      <c r="W1680" s="148">
        <f>IFERROR(__xludf.DUMMYFUNCTION("""COMPUTED_VALUE"""),1.174E7)</f>
        <v>11740000</v>
      </c>
      <c r="X1680" s="148">
        <f>IFERROR(__xludf.DUMMYFUNCTION("""COMPUTED_VALUE"""),0.0)</f>
        <v>0</v>
      </c>
      <c r="Y1680" s="148">
        <f>IFERROR(__xludf.DUMMYFUNCTION("""COMPUTED_VALUE"""),0.0)</f>
        <v>0</v>
      </c>
      <c r="Z1680" s="148"/>
    </row>
    <row r="1681">
      <c r="A1681" s="148">
        <f>IFERROR(__xludf.DUMMYFUNCTION("""COMPUTED_VALUE"""),1.111734E7)</f>
        <v>11117340</v>
      </c>
      <c r="B1681" s="148" t="str">
        <f>IFERROR(__xludf.DUMMYFUNCTION("""COMPUTED_VALUE"""),"头像框：锦鲤贺岁")</f>
        <v>头像框：锦鲤贺岁</v>
      </c>
      <c r="C1681" s="148"/>
      <c r="D1681" s="148" t="str">
        <f>IFERROR(__xludf.DUMMYFUNCTION("""COMPUTED_VALUE"""),"avatar_frame")</f>
        <v>avatar_frame</v>
      </c>
      <c r="E1681" s="148">
        <f>IFERROR(__xludf.DUMMYFUNCTION("""COMPUTED_VALUE"""),20.0)</f>
        <v>20</v>
      </c>
      <c r="F1681" s="148">
        <f>IFERROR(__xludf.DUMMYFUNCTION("""COMPUTED_VALUE"""),0.0)</f>
        <v>0</v>
      </c>
      <c r="G1681" s="148">
        <f>IFERROR(__xludf.DUMMYFUNCTION("""COMPUTED_VALUE"""),1.5115854E7)</f>
        <v>15115854</v>
      </c>
      <c r="H1681" s="148">
        <f>IFERROR(__xludf.DUMMYFUNCTION("""COMPUTED_VALUE"""),1.5112563E7)</f>
        <v>15112563</v>
      </c>
      <c r="I1681" s="148" t="str">
        <f>IFERROR(__xludf.DUMMYFUNCTION("""COMPUTED_VALUE"""),"{}")</f>
        <v>{}</v>
      </c>
      <c r="J1681" s="148" t="str">
        <f>IFERROR(__xludf.DUMMYFUNCTION("""COMPUTED_VALUE"""),"{""typ"":""lc"",""txt"":""LC_ASSET_2023spring_koi_frame_name""}")</f>
        <v>{"typ":"lc","txt":"LC_ASSET_2023spring_koi_frame_name"}</v>
      </c>
      <c r="K1681" s="148" t="str">
        <f>IFERROR(__xludf.DUMMYFUNCTION("""COMPUTED_VALUE"""),"{""typ"":""lc"",""txt"":""LC_ASSET_2023spring_koi_frame_desc""}")</f>
        <v>{"typ":"lc","txt":"LC_ASSET_2023spring_koi_frame_desc"}</v>
      </c>
      <c r="L1681" s="148" t="str">
        <f>IFERROR(__xludf.DUMMYFUNCTION("""COMPUTED_VALUE"""),"{}")</f>
        <v>{}</v>
      </c>
      <c r="M1681" s="148">
        <f>IFERROR(__xludf.DUMMYFUNCTION("""COMPUTED_VALUE"""),1000.0)</f>
        <v>1000</v>
      </c>
      <c r="N1681" s="148">
        <f>IFERROR(__xludf.DUMMYFUNCTION("""COMPUTED_VALUE"""),99.0)</f>
        <v>99</v>
      </c>
      <c r="O1681" s="148">
        <f>IFERROR(__xludf.DUMMYFUNCTION("""COMPUTED_VALUE"""),1.0)</f>
        <v>1</v>
      </c>
      <c r="P1681" s="148">
        <f>IFERROR(__xludf.DUMMYFUNCTION("""COMPUTED_VALUE"""),1.0)</f>
        <v>1</v>
      </c>
      <c r="Q1681" s="148" t="str">
        <f>IFERROR(__xludf.DUMMYFUNCTION("""COMPUTED_VALUE"""),"[]")</f>
        <v>[]</v>
      </c>
      <c r="R1681" s="148" t="str">
        <f>IFERROR(__xludf.DUMMYFUNCTION("""COMPUTED_VALUE"""),"[""11421021""]")</f>
        <v>["11421021"]</v>
      </c>
      <c r="S1681" s="148" t="str">
        <f>IFERROR(__xludf.DUMMYFUNCTION("""COMPUTED_VALUE"""),"{""effect"":[{""typ"":""avatar_frame"",""id"":11421021,""val"":-1},{""typ"":""item"",""id"":11111031,""val"":1000}]}")</f>
        <v>{"effect":[{"typ":"avatar_frame","id":11421021,"val":-1},{"typ":"item","id":11111031,"val":1000}]}</v>
      </c>
      <c r="T1681" s="148">
        <f>IFERROR(__xludf.DUMMYFUNCTION("""COMPUTED_VALUE"""),-1.0)</f>
        <v>-1</v>
      </c>
      <c r="U1681" s="148">
        <f>IFERROR(__xludf.DUMMYFUNCTION("""COMPUTED_VALUE"""),1.0)</f>
        <v>1</v>
      </c>
      <c r="V1681" s="148" t="str">
        <f>IFERROR(__xludf.DUMMYFUNCTION("""COMPUTED_VALUE"""),"[]")</f>
        <v>[]</v>
      </c>
      <c r="W1681" s="148">
        <f>IFERROR(__xludf.DUMMYFUNCTION("""COMPUTED_VALUE"""),1.174E7)</f>
        <v>11740000</v>
      </c>
      <c r="X1681" s="148">
        <f>IFERROR(__xludf.DUMMYFUNCTION("""COMPUTED_VALUE"""),0.0)</f>
        <v>0</v>
      </c>
      <c r="Y1681" s="148">
        <f>IFERROR(__xludf.DUMMYFUNCTION("""COMPUTED_VALUE"""),0.0)</f>
        <v>0</v>
      </c>
      <c r="Z1681" s="148"/>
    </row>
    <row r="1682">
      <c r="A1682" s="148">
        <f>IFERROR(__xludf.DUMMYFUNCTION("""COMPUTED_VALUE"""),1.1117341E7)</f>
        <v>11117341</v>
      </c>
      <c r="B1682" s="148" t="str">
        <f>IFERROR(__xludf.DUMMYFUNCTION("""COMPUTED_VALUE"""),"心意红包")</f>
        <v>心意红包</v>
      </c>
      <c r="C1682" s="148"/>
      <c r="D1682" s="148" t="str">
        <f>IFERROR(__xludf.DUMMYFUNCTION("""COMPUTED_VALUE"""),"red_package")</f>
        <v>red_package</v>
      </c>
      <c r="E1682" s="148">
        <f>IFERROR(__xludf.DUMMYFUNCTION("""COMPUTED_VALUE"""),0.0)</f>
        <v>0</v>
      </c>
      <c r="F1682" s="148">
        <f>IFERROR(__xludf.DUMMYFUNCTION("""COMPUTED_VALUE"""),101105.0)</f>
        <v>101105</v>
      </c>
      <c r="G1682" s="148">
        <f>IFERROR(__xludf.DUMMYFUNCTION("""COMPUTED_VALUE"""),1.51158E7)</f>
        <v>15115800</v>
      </c>
      <c r="H1682" s="148">
        <f>IFERROR(__xludf.DUMMYFUNCTION("""COMPUTED_VALUE"""),1.511256E7)</f>
        <v>15112560</v>
      </c>
      <c r="I1682" s="148" t="str">
        <f>IFERROR(__xludf.DUMMYFUNCTION("""COMPUTED_VALUE"""),"{}")</f>
        <v>{}</v>
      </c>
      <c r="J1682" s="148" t="str">
        <f>IFERROR(__xludf.DUMMYFUNCTION("""COMPUTED_VALUE"""),"{""typ"":""lc"",""txt"":""LC_ITEM_spring_red_packages_2023_title_1""}")</f>
        <v>{"typ":"lc","txt":"LC_ITEM_spring_red_packages_2023_title_1"}</v>
      </c>
      <c r="K1682" s="148" t="str">
        <f>IFERROR(__xludf.DUMMYFUNCTION("""COMPUTED_VALUE"""),"{""typ"":""lc"",""txt"":""LC_ITEM_spring_red_packages_2023_title_desc"",""args"":[{""typ"":""int"",""val"":75}]}")</f>
        <v>{"typ":"lc","txt":"LC_ITEM_spring_red_packages_2023_title_desc","args":[{"typ":"int","val":75}]}</v>
      </c>
      <c r="L1682" s="148" t="str">
        <f>IFERROR(__xludf.DUMMYFUNCTION("""COMPUTED_VALUE"""),"{}")</f>
        <v>{}</v>
      </c>
      <c r="M1682" s="148">
        <f>IFERROR(__xludf.DUMMYFUNCTION("""COMPUTED_VALUE"""),50.0)</f>
        <v>50</v>
      </c>
      <c r="N1682" s="148">
        <f>IFERROR(__xludf.DUMMYFUNCTION("""COMPUTED_VALUE"""),999999.0)</f>
        <v>999999</v>
      </c>
      <c r="O1682" s="148">
        <f>IFERROR(__xludf.DUMMYFUNCTION("""COMPUTED_VALUE"""),99999.0)</f>
        <v>99999</v>
      </c>
      <c r="P1682" s="148">
        <f>IFERROR(__xludf.DUMMYFUNCTION("""COMPUTED_VALUE"""),1.0)</f>
        <v>1</v>
      </c>
      <c r="Q1682" s="148" t="str">
        <f>IFERROR(__xludf.DUMMYFUNCTION("""COMPUTED_VALUE"""),"[""bag_other""]")</f>
        <v>["bag_other"]</v>
      </c>
      <c r="R1682" s="148" t="str">
        <f>IFERROR(__xludf.DUMMYFUNCTION("""COMPUTED_VALUE"""),"[""bag""]")</f>
        <v>["bag"]</v>
      </c>
      <c r="S1682" s="148" t="str">
        <f>IFERROR(__xludf.DUMMYFUNCTION("""COMPUTED_VALUE"""),"{""effect"":[{""typ"":""red_pack"",""id"":20290001}]}")</f>
        <v>{"effect":[{"typ":"red_pack","id":20290001}]}</v>
      </c>
      <c r="T1682" s="148">
        <f>IFERROR(__xludf.DUMMYFUNCTION("""COMPUTED_VALUE"""),1.0)</f>
        <v>1</v>
      </c>
      <c r="U1682" s="148">
        <f>IFERROR(__xludf.DUMMYFUNCTION("""COMPUTED_VALUE"""),0.0)</f>
        <v>0</v>
      </c>
      <c r="V1682" s="148" t="str">
        <f>IFERROR(__xludf.DUMMYFUNCTION("""COMPUTED_VALUE"""),"[]")</f>
        <v>[]</v>
      </c>
      <c r="W1682" s="148">
        <f>IFERROR(__xludf.DUMMYFUNCTION("""COMPUTED_VALUE"""),1.174E7)</f>
        <v>11740000</v>
      </c>
      <c r="X1682" s="148">
        <f>IFERROR(__xludf.DUMMYFUNCTION("""COMPUTED_VALUE"""),0.0)</f>
        <v>0</v>
      </c>
      <c r="Y1682" s="148">
        <f>IFERROR(__xludf.DUMMYFUNCTION("""COMPUTED_VALUE"""),0.0)</f>
        <v>0</v>
      </c>
      <c r="Z1682" s="148"/>
    </row>
    <row r="1683">
      <c r="A1683" s="148">
        <f>IFERROR(__xludf.DUMMYFUNCTION("""COMPUTED_VALUE"""),1.1117342E7)</f>
        <v>11117342</v>
      </c>
      <c r="B1683" s="148" t="str">
        <f>IFERROR(__xludf.DUMMYFUNCTION("""COMPUTED_VALUE"""),"吉利红包")</f>
        <v>吉利红包</v>
      </c>
      <c r="C1683" s="148"/>
      <c r="D1683" s="148" t="str">
        <f>IFERROR(__xludf.DUMMYFUNCTION("""COMPUTED_VALUE"""),"red_package")</f>
        <v>red_package</v>
      </c>
      <c r="E1683" s="148">
        <f>IFERROR(__xludf.DUMMYFUNCTION("""COMPUTED_VALUE"""),0.0)</f>
        <v>0</v>
      </c>
      <c r="F1683" s="148">
        <f>IFERROR(__xludf.DUMMYFUNCTION("""COMPUTED_VALUE"""),101104.0)</f>
        <v>101104</v>
      </c>
      <c r="G1683" s="148">
        <f>IFERROR(__xludf.DUMMYFUNCTION("""COMPUTED_VALUE"""),1.5115801E7)</f>
        <v>15115801</v>
      </c>
      <c r="H1683" s="148">
        <f>IFERROR(__xludf.DUMMYFUNCTION("""COMPUTED_VALUE"""),1.5112561E7)</f>
        <v>15112561</v>
      </c>
      <c r="I1683" s="148" t="str">
        <f>IFERROR(__xludf.DUMMYFUNCTION("""COMPUTED_VALUE"""),"{}")</f>
        <v>{}</v>
      </c>
      <c r="J1683" s="148" t="str">
        <f>IFERROR(__xludf.DUMMYFUNCTION("""COMPUTED_VALUE"""),"{""typ"":""lc"",""txt"":""LC_ITEM_spring_red_packages_2023_title_2""}")</f>
        <v>{"typ":"lc","txt":"LC_ITEM_spring_red_packages_2023_title_2"}</v>
      </c>
      <c r="K1683" s="148" t="str">
        <f>IFERROR(__xludf.DUMMYFUNCTION("""COMPUTED_VALUE"""),"{""typ"":""lc"",""txt"":""LC_ITEM_spring_red_packages_2023_title_desc"",""args"":[{""typ"":""int"",""val"":250}]}")</f>
        <v>{"typ":"lc","txt":"LC_ITEM_spring_red_packages_2023_title_desc","args":[{"typ":"int","val":250}]}</v>
      </c>
      <c r="L1683" s="148" t="str">
        <f>IFERROR(__xludf.DUMMYFUNCTION("""COMPUTED_VALUE"""),"{}")</f>
        <v>{}</v>
      </c>
      <c r="M1683" s="148">
        <f>IFERROR(__xludf.DUMMYFUNCTION("""COMPUTED_VALUE"""),100.0)</f>
        <v>100</v>
      </c>
      <c r="N1683" s="148">
        <f>IFERROR(__xludf.DUMMYFUNCTION("""COMPUTED_VALUE"""),999999.0)</f>
        <v>999999</v>
      </c>
      <c r="O1683" s="148">
        <f>IFERROR(__xludf.DUMMYFUNCTION("""COMPUTED_VALUE"""),99999.0)</f>
        <v>99999</v>
      </c>
      <c r="P1683" s="148">
        <f>IFERROR(__xludf.DUMMYFUNCTION("""COMPUTED_VALUE"""),1.0)</f>
        <v>1</v>
      </c>
      <c r="Q1683" s="148" t="str">
        <f>IFERROR(__xludf.DUMMYFUNCTION("""COMPUTED_VALUE"""),"[""bag_other""]")</f>
        <v>["bag_other"]</v>
      </c>
      <c r="R1683" s="148" t="str">
        <f>IFERROR(__xludf.DUMMYFUNCTION("""COMPUTED_VALUE"""),"[""bag""]")</f>
        <v>["bag"]</v>
      </c>
      <c r="S1683" s="148" t="str">
        <f>IFERROR(__xludf.DUMMYFUNCTION("""COMPUTED_VALUE"""),"{""effect"":[{""typ"":""red_pack"",""id"":20290002}]}")</f>
        <v>{"effect":[{"typ":"red_pack","id":20290002}]}</v>
      </c>
      <c r="T1683" s="148">
        <f>IFERROR(__xludf.DUMMYFUNCTION("""COMPUTED_VALUE"""),1.0)</f>
        <v>1</v>
      </c>
      <c r="U1683" s="148">
        <f>IFERROR(__xludf.DUMMYFUNCTION("""COMPUTED_VALUE"""),0.0)</f>
        <v>0</v>
      </c>
      <c r="V1683" s="148" t="str">
        <f>IFERROR(__xludf.DUMMYFUNCTION("""COMPUTED_VALUE"""),"[]")</f>
        <v>[]</v>
      </c>
      <c r="W1683" s="148">
        <f>IFERROR(__xludf.DUMMYFUNCTION("""COMPUTED_VALUE"""),1.174E7)</f>
        <v>11740000</v>
      </c>
      <c r="X1683" s="148">
        <f>IFERROR(__xludf.DUMMYFUNCTION("""COMPUTED_VALUE"""),0.0)</f>
        <v>0</v>
      </c>
      <c r="Y1683" s="148">
        <f>IFERROR(__xludf.DUMMYFUNCTION("""COMPUTED_VALUE"""),0.0)</f>
        <v>0</v>
      </c>
      <c r="Z1683" s="148"/>
    </row>
    <row r="1684">
      <c r="A1684" s="148">
        <f>IFERROR(__xludf.DUMMYFUNCTION("""COMPUTED_VALUE"""),1.1117343E7)</f>
        <v>11117343</v>
      </c>
      <c r="B1684" s="148" t="str">
        <f>IFERROR(__xludf.DUMMYFUNCTION("""COMPUTED_VALUE"""),"福运红包")</f>
        <v>福运红包</v>
      </c>
      <c r="C1684" s="148"/>
      <c r="D1684" s="148" t="str">
        <f>IFERROR(__xludf.DUMMYFUNCTION("""COMPUTED_VALUE"""),"red_package")</f>
        <v>red_package</v>
      </c>
      <c r="E1684" s="148">
        <f>IFERROR(__xludf.DUMMYFUNCTION("""COMPUTED_VALUE"""),0.0)</f>
        <v>0</v>
      </c>
      <c r="F1684" s="148">
        <f>IFERROR(__xludf.DUMMYFUNCTION("""COMPUTED_VALUE"""),101103.0)</f>
        <v>101103</v>
      </c>
      <c r="G1684" s="148">
        <f>IFERROR(__xludf.DUMMYFUNCTION("""COMPUTED_VALUE"""),1.5115802E7)</f>
        <v>15115802</v>
      </c>
      <c r="H1684" s="148">
        <f>IFERROR(__xludf.DUMMYFUNCTION("""COMPUTED_VALUE"""),1.5112562E7)</f>
        <v>15112562</v>
      </c>
      <c r="I1684" s="148" t="str">
        <f>IFERROR(__xludf.DUMMYFUNCTION("""COMPUTED_VALUE"""),"{}")</f>
        <v>{}</v>
      </c>
      <c r="J1684" s="148" t="str">
        <f>IFERROR(__xludf.DUMMYFUNCTION("""COMPUTED_VALUE"""),"{""typ"":""lc"",""txt"":""LC_ITEM_spring_red_packages_2023_title_3""}")</f>
        <v>{"typ":"lc","txt":"LC_ITEM_spring_red_packages_2023_title_3"}</v>
      </c>
      <c r="K1684" s="148" t="str">
        <f>IFERROR(__xludf.DUMMYFUNCTION("""COMPUTED_VALUE"""),"{""typ"":""lc"",""txt"":""LC_ITEM_spring_red_packages_2023_title_desc"",""args"":[{""typ"":""int"",""val"":500}]}")</f>
        <v>{"typ":"lc","txt":"LC_ITEM_spring_red_packages_2023_title_desc","args":[{"typ":"int","val":500}]}</v>
      </c>
      <c r="L1684" s="148" t="str">
        <f>IFERROR(__xludf.DUMMYFUNCTION("""COMPUTED_VALUE"""),"{}")</f>
        <v>{}</v>
      </c>
      <c r="M1684" s="148">
        <f>IFERROR(__xludf.DUMMYFUNCTION("""COMPUTED_VALUE"""),200.0)</f>
        <v>200</v>
      </c>
      <c r="N1684" s="148">
        <f>IFERROR(__xludf.DUMMYFUNCTION("""COMPUTED_VALUE"""),999999.0)</f>
        <v>999999</v>
      </c>
      <c r="O1684" s="148">
        <f>IFERROR(__xludf.DUMMYFUNCTION("""COMPUTED_VALUE"""),99999.0)</f>
        <v>99999</v>
      </c>
      <c r="P1684" s="148">
        <f>IFERROR(__xludf.DUMMYFUNCTION("""COMPUTED_VALUE"""),1.0)</f>
        <v>1</v>
      </c>
      <c r="Q1684" s="148" t="str">
        <f>IFERROR(__xludf.DUMMYFUNCTION("""COMPUTED_VALUE"""),"[""bag_other""]")</f>
        <v>["bag_other"]</v>
      </c>
      <c r="R1684" s="148" t="str">
        <f>IFERROR(__xludf.DUMMYFUNCTION("""COMPUTED_VALUE"""),"[""bag""]")</f>
        <v>["bag"]</v>
      </c>
      <c r="S1684" s="148" t="str">
        <f>IFERROR(__xludf.DUMMYFUNCTION("""COMPUTED_VALUE"""),"{""effect"":[{""typ"":""red_pack"",""id"":20290003}]}")</f>
        <v>{"effect":[{"typ":"red_pack","id":20290003}]}</v>
      </c>
      <c r="T1684" s="148">
        <f>IFERROR(__xludf.DUMMYFUNCTION("""COMPUTED_VALUE"""),1.0)</f>
        <v>1</v>
      </c>
      <c r="U1684" s="148">
        <f>IFERROR(__xludf.DUMMYFUNCTION("""COMPUTED_VALUE"""),0.0)</f>
        <v>0</v>
      </c>
      <c r="V1684" s="148" t="str">
        <f>IFERROR(__xludf.DUMMYFUNCTION("""COMPUTED_VALUE"""),"[]")</f>
        <v>[]</v>
      </c>
      <c r="W1684" s="148">
        <f>IFERROR(__xludf.DUMMYFUNCTION("""COMPUTED_VALUE"""),1.174E7)</f>
        <v>11740000</v>
      </c>
      <c r="X1684" s="148">
        <f>IFERROR(__xludf.DUMMYFUNCTION("""COMPUTED_VALUE"""),0.0)</f>
        <v>0</v>
      </c>
      <c r="Y1684" s="148">
        <f>IFERROR(__xludf.DUMMYFUNCTION("""COMPUTED_VALUE"""),0.0)</f>
        <v>0</v>
      </c>
      <c r="Z1684" s="148"/>
    </row>
    <row r="1685">
      <c r="A1685" s="148">
        <f>IFERROR(__xludf.DUMMYFUNCTION("""COMPUTED_VALUE"""),1.1117344E7)</f>
        <v>11117344</v>
      </c>
      <c r="B1685" s="148" t="str">
        <f>IFERROR(__xludf.DUMMYFUNCTION("""COMPUTED_VALUE"""),"奢享红包")</f>
        <v>奢享红包</v>
      </c>
      <c r="C1685" s="148"/>
      <c r="D1685" s="148" t="str">
        <f>IFERROR(__xludf.DUMMYFUNCTION("""COMPUTED_VALUE"""),"red_package")</f>
        <v>red_package</v>
      </c>
      <c r="E1685" s="148">
        <f>IFERROR(__xludf.DUMMYFUNCTION("""COMPUTED_VALUE"""),0.0)</f>
        <v>0</v>
      </c>
      <c r="F1685" s="148">
        <f>IFERROR(__xludf.DUMMYFUNCTION("""COMPUTED_VALUE"""),101102.0)</f>
        <v>101102</v>
      </c>
      <c r="G1685" s="148">
        <f>IFERROR(__xludf.DUMMYFUNCTION("""COMPUTED_VALUE"""),1.5115803E7)</f>
        <v>15115803</v>
      </c>
      <c r="H1685" s="148">
        <f>IFERROR(__xludf.DUMMYFUNCTION("""COMPUTED_VALUE"""),1.5112563E7)</f>
        <v>15112563</v>
      </c>
      <c r="I1685" s="148" t="str">
        <f>IFERROR(__xludf.DUMMYFUNCTION("""COMPUTED_VALUE"""),"{}")</f>
        <v>{}</v>
      </c>
      <c r="J1685" s="148" t="str">
        <f>IFERROR(__xludf.DUMMYFUNCTION("""COMPUTED_VALUE"""),"{""typ"":""lc"",""txt"":""LC_ITEM_spring_red_packages_2023_title_4""}")</f>
        <v>{"typ":"lc","txt":"LC_ITEM_spring_red_packages_2023_title_4"}</v>
      </c>
      <c r="K1685" s="148" t="str">
        <f>IFERROR(__xludf.DUMMYFUNCTION("""COMPUTED_VALUE"""),"{""typ"":""lc"",""txt"":""LC_ITEM_spring_red_packages_2023_title_desc"",""args"":[{""typ"":""int"",""val"":1250}]}")</f>
        <v>{"typ":"lc","txt":"LC_ITEM_spring_red_packages_2023_title_desc","args":[{"typ":"int","val":1250}]}</v>
      </c>
      <c r="L1685" s="148" t="str">
        <f>IFERROR(__xludf.DUMMYFUNCTION("""COMPUTED_VALUE"""),"{}")</f>
        <v>{}</v>
      </c>
      <c r="M1685" s="148">
        <f>IFERROR(__xludf.DUMMYFUNCTION("""COMPUTED_VALUE"""),500.0)</f>
        <v>500</v>
      </c>
      <c r="N1685" s="148">
        <f>IFERROR(__xludf.DUMMYFUNCTION("""COMPUTED_VALUE"""),999999.0)</f>
        <v>999999</v>
      </c>
      <c r="O1685" s="148">
        <f>IFERROR(__xludf.DUMMYFUNCTION("""COMPUTED_VALUE"""),99999.0)</f>
        <v>99999</v>
      </c>
      <c r="P1685" s="148">
        <f>IFERROR(__xludf.DUMMYFUNCTION("""COMPUTED_VALUE"""),1.0)</f>
        <v>1</v>
      </c>
      <c r="Q1685" s="148" t="str">
        <f>IFERROR(__xludf.DUMMYFUNCTION("""COMPUTED_VALUE"""),"[""bag_other""]")</f>
        <v>["bag_other"]</v>
      </c>
      <c r="R1685" s="148" t="str">
        <f>IFERROR(__xludf.DUMMYFUNCTION("""COMPUTED_VALUE"""),"[""bag""]")</f>
        <v>["bag"]</v>
      </c>
      <c r="S1685" s="148" t="str">
        <f>IFERROR(__xludf.DUMMYFUNCTION("""COMPUTED_VALUE"""),"{""effect"":[{""typ"":""red_pack"",""id"":20290004}]}")</f>
        <v>{"effect":[{"typ":"red_pack","id":20290004}]}</v>
      </c>
      <c r="T1685" s="148">
        <f>IFERROR(__xludf.DUMMYFUNCTION("""COMPUTED_VALUE"""),1.0)</f>
        <v>1</v>
      </c>
      <c r="U1685" s="148">
        <f>IFERROR(__xludf.DUMMYFUNCTION("""COMPUTED_VALUE"""),0.0)</f>
        <v>0</v>
      </c>
      <c r="V1685" s="148" t="str">
        <f>IFERROR(__xludf.DUMMYFUNCTION("""COMPUTED_VALUE"""),"[]")</f>
        <v>[]</v>
      </c>
      <c r="W1685" s="148">
        <f>IFERROR(__xludf.DUMMYFUNCTION("""COMPUTED_VALUE"""),1.174E7)</f>
        <v>11740000</v>
      </c>
      <c r="X1685" s="148">
        <f>IFERROR(__xludf.DUMMYFUNCTION("""COMPUTED_VALUE"""),0.0)</f>
        <v>0</v>
      </c>
      <c r="Y1685" s="148">
        <f>IFERROR(__xludf.DUMMYFUNCTION("""COMPUTED_VALUE"""),0.0)</f>
        <v>0</v>
      </c>
      <c r="Z1685" s="148"/>
    </row>
    <row r="1686">
      <c r="A1686" s="148">
        <f>IFERROR(__xludf.DUMMYFUNCTION("""COMPUTED_VALUE"""),1.1117345E7)</f>
        <v>11117345</v>
      </c>
      <c r="B1686" s="148" t="str">
        <f>IFERROR(__xludf.DUMMYFUNCTION("""COMPUTED_VALUE"""),"至尊红包")</f>
        <v>至尊红包</v>
      </c>
      <c r="C1686" s="148"/>
      <c r="D1686" s="148" t="str">
        <f>IFERROR(__xludf.DUMMYFUNCTION("""COMPUTED_VALUE"""),"red_package")</f>
        <v>red_package</v>
      </c>
      <c r="E1686" s="148">
        <f>IFERROR(__xludf.DUMMYFUNCTION("""COMPUTED_VALUE"""),0.0)</f>
        <v>0</v>
      </c>
      <c r="F1686" s="148">
        <f>IFERROR(__xludf.DUMMYFUNCTION("""COMPUTED_VALUE"""),101101.0)</f>
        <v>101101</v>
      </c>
      <c r="G1686" s="148">
        <f>IFERROR(__xludf.DUMMYFUNCTION("""COMPUTED_VALUE"""),1.5115804E7)</f>
        <v>15115804</v>
      </c>
      <c r="H1686" s="148">
        <f>IFERROR(__xludf.DUMMYFUNCTION("""COMPUTED_VALUE"""),1.5112564E7)</f>
        <v>15112564</v>
      </c>
      <c r="I1686" s="148" t="str">
        <f>IFERROR(__xludf.DUMMYFUNCTION("""COMPUTED_VALUE"""),"{}")</f>
        <v>{}</v>
      </c>
      <c r="J1686" s="148" t="str">
        <f>IFERROR(__xludf.DUMMYFUNCTION("""COMPUTED_VALUE"""),"{""typ"":""lc"",""txt"":""LC_ITEM_spring_red_packages_2023_title_5""}")</f>
        <v>{"typ":"lc","txt":"LC_ITEM_spring_red_packages_2023_title_5"}</v>
      </c>
      <c r="K1686" s="148" t="str">
        <f>IFERROR(__xludf.DUMMYFUNCTION("""COMPUTED_VALUE"""),"{""typ"":""lc"",""txt"":""LC_ITEM_spring_red_packages_2023_title_desc"",""args"":[{""typ"":""int"",""val"":2500}]}")</f>
        <v>{"typ":"lc","txt":"LC_ITEM_spring_red_packages_2023_title_desc","args":[{"typ":"int","val":2500}]}</v>
      </c>
      <c r="L1686" s="148" t="str">
        <f>IFERROR(__xludf.DUMMYFUNCTION("""COMPUTED_VALUE"""),"{}")</f>
        <v>{}</v>
      </c>
      <c r="M1686" s="148">
        <f>IFERROR(__xludf.DUMMYFUNCTION("""COMPUTED_VALUE"""),1000.0)</f>
        <v>1000</v>
      </c>
      <c r="N1686" s="148">
        <f>IFERROR(__xludf.DUMMYFUNCTION("""COMPUTED_VALUE"""),999999.0)</f>
        <v>999999</v>
      </c>
      <c r="O1686" s="148">
        <f>IFERROR(__xludf.DUMMYFUNCTION("""COMPUTED_VALUE"""),99999.0)</f>
        <v>99999</v>
      </c>
      <c r="P1686" s="148">
        <f>IFERROR(__xludf.DUMMYFUNCTION("""COMPUTED_VALUE"""),1.0)</f>
        <v>1</v>
      </c>
      <c r="Q1686" s="148" t="str">
        <f>IFERROR(__xludf.DUMMYFUNCTION("""COMPUTED_VALUE"""),"[""bag_other""]")</f>
        <v>["bag_other"]</v>
      </c>
      <c r="R1686" s="148" t="str">
        <f>IFERROR(__xludf.DUMMYFUNCTION("""COMPUTED_VALUE"""),"[""bag""]")</f>
        <v>["bag"]</v>
      </c>
      <c r="S1686" s="148" t="str">
        <f>IFERROR(__xludf.DUMMYFUNCTION("""COMPUTED_VALUE"""),"{""effect"":[{""typ"":""red_pack"",""id"":20290005}]}")</f>
        <v>{"effect":[{"typ":"red_pack","id":20290005}]}</v>
      </c>
      <c r="T1686" s="148">
        <f>IFERROR(__xludf.DUMMYFUNCTION("""COMPUTED_VALUE"""),1.0)</f>
        <v>1</v>
      </c>
      <c r="U1686" s="148">
        <f>IFERROR(__xludf.DUMMYFUNCTION("""COMPUTED_VALUE"""),0.0)</f>
        <v>0</v>
      </c>
      <c r="V1686" s="148" t="str">
        <f>IFERROR(__xludf.DUMMYFUNCTION("""COMPUTED_VALUE"""),"[]")</f>
        <v>[]</v>
      </c>
      <c r="W1686" s="148">
        <f>IFERROR(__xludf.DUMMYFUNCTION("""COMPUTED_VALUE"""),1.174E7)</f>
        <v>11740000</v>
      </c>
      <c r="X1686" s="148">
        <f>IFERROR(__xludf.DUMMYFUNCTION("""COMPUTED_VALUE"""),0.0)</f>
        <v>0</v>
      </c>
      <c r="Y1686" s="148">
        <f>IFERROR(__xludf.DUMMYFUNCTION("""COMPUTED_VALUE"""),0.0)</f>
        <v>0</v>
      </c>
      <c r="Z1686" s="148"/>
    </row>
    <row r="1687">
      <c r="A1687" s="148">
        <f>IFERROR(__xludf.DUMMYFUNCTION("""COMPUTED_VALUE"""),1.1117346E7)</f>
        <v>11117346</v>
      </c>
      <c r="B1687" s="148" t="str">
        <f>IFERROR(__xludf.DUMMYFUNCTION("""COMPUTED_VALUE"""),"主城皮肤-svip皮肤")</f>
        <v>主城皮肤-svip皮肤</v>
      </c>
      <c r="C1687" s="148"/>
      <c r="D1687" s="148" t="str">
        <f>IFERROR(__xludf.DUMMYFUNCTION("""COMPUTED_VALUE"""),"city_skin")</f>
        <v>city_skin</v>
      </c>
      <c r="E1687" s="148">
        <f>IFERROR(__xludf.DUMMYFUNCTION("""COMPUTED_VALUE"""),21.0)</f>
        <v>21</v>
      </c>
      <c r="F1687" s="148">
        <f>IFERROR(__xludf.DUMMYFUNCTION("""COMPUTED_VALUE"""),400102.0)</f>
        <v>400102</v>
      </c>
      <c r="G1687" s="148">
        <f>IFERROR(__xludf.DUMMYFUNCTION("""COMPUTED_VALUE"""),1.5115817E7)</f>
        <v>15115817</v>
      </c>
      <c r="H1687" s="148">
        <f>IFERROR(__xludf.DUMMYFUNCTION("""COMPUTED_VALUE"""),1.5112564E7)</f>
        <v>15112564</v>
      </c>
      <c r="I1687" s="148" t="str">
        <f>IFERROR(__xludf.DUMMYFUNCTION("""COMPUTED_VALUE"""),"{}")</f>
        <v>{}</v>
      </c>
      <c r="J1687" s="148" t="str">
        <f>IFERROR(__xludf.DUMMYFUNCTION("""COMPUTED_VALUE"""),"{""typ"":""lc"",""txt"":""LC_ITEM_svip_skin_name""}")</f>
        <v>{"typ":"lc","txt":"LC_ITEM_svip_skin_name"}</v>
      </c>
      <c r="K1687" s="148" t="str">
        <f>IFERROR(__xludf.DUMMYFUNCTION("""COMPUTED_VALUE"""),"{""typ"":""lc"",""txt"":""LC_ITEM_svip_skin_desc""}")</f>
        <v>{"typ":"lc","txt":"LC_ITEM_svip_skin_desc"}</v>
      </c>
      <c r="L1687" s="148" t="str">
        <f>IFERROR(__xludf.DUMMYFUNCTION("""COMPUTED_VALUE"""),"{""typ"":""lc"",""txt"":""LC_ITEM_city_skin_rocket_use_tips""}")</f>
        <v>{"typ":"lc","txt":"LC_ITEM_city_skin_rocket_use_tips"}</v>
      </c>
      <c r="M1687" s="148">
        <f>IFERROR(__xludf.DUMMYFUNCTION("""COMPUTED_VALUE"""),10000.0)</f>
        <v>10000</v>
      </c>
      <c r="N1687" s="148">
        <f>IFERROR(__xludf.DUMMYFUNCTION("""COMPUTED_VALUE"""),999.0)</f>
        <v>999</v>
      </c>
      <c r="O1687" s="148">
        <f>IFERROR(__xludf.DUMMYFUNCTION("""COMPUTED_VALUE"""),1.0)</f>
        <v>1</v>
      </c>
      <c r="P1687" s="148">
        <f>IFERROR(__xludf.DUMMYFUNCTION("""COMPUTED_VALUE"""),1.0)</f>
        <v>1</v>
      </c>
      <c r="Q1687" s="148" t="str">
        <f>IFERROR(__xludf.DUMMYFUNCTION("""COMPUTED_VALUE"""),"[""bag_other""]")</f>
        <v>["bag_other"]</v>
      </c>
      <c r="R1687" s="148" t="str">
        <f>IFERROR(__xludf.DUMMYFUNCTION("""COMPUTED_VALUE"""),"[""bag"",""13121012""]")</f>
        <v>["bag","13121012"]</v>
      </c>
      <c r="S1687" s="148" t="str">
        <f>IFERROR(__xludf.DUMMYFUNCTION("""COMPUTED_VALUE"""),"{""effect"":[{""typ"":""city_skin"",""id"":13121012,""val"":-1},{""typ"":""item"",""id"":11111034,""val"":10}]}")</f>
        <v>{"effect":[{"typ":"city_skin","id":13121012,"val":-1},{"typ":"item","id":11111034,"val":10}]}</v>
      </c>
      <c r="T1687" s="148">
        <f>IFERROR(__xludf.DUMMYFUNCTION("""COMPUTED_VALUE"""),-1.0)</f>
        <v>-1</v>
      </c>
      <c r="U1687" s="148">
        <f>IFERROR(__xludf.DUMMYFUNCTION("""COMPUTED_VALUE"""),0.0)</f>
        <v>0</v>
      </c>
      <c r="V1687" s="148" t="str">
        <f>IFERROR(__xludf.DUMMYFUNCTION("""COMPUTED_VALUE"""),"[]")</f>
        <v>[]</v>
      </c>
      <c r="W1687" s="148">
        <f>IFERROR(__xludf.DUMMYFUNCTION("""COMPUTED_VALUE"""),1.174E7)</f>
        <v>11740000</v>
      </c>
      <c r="X1687" s="148">
        <f>IFERROR(__xludf.DUMMYFUNCTION("""COMPUTED_VALUE"""),0.0)</f>
        <v>0</v>
      </c>
      <c r="Y1687" s="148">
        <f>IFERROR(__xludf.DUMMYFUNCTION("""COMPUTED_VALUE"""),0.0)</f>
        <v>0</v>
      </c>
      <c r="Z1687" s="148"/>
    </row>
    <row r="1688">
      <c r="A1688" s="148">
        <f>IFERROR(__xludf.DUMMYFUNCTION("""COMPUTED_VALUE"""),1.1117347E7)</f>
        <v>11117347</v>
      </c>
      <c r="B1688" s="148" t="str">
        <f>IFERROR(__xludf.DUMMYFUNCTION("""COMPUTED_VALUE"""),"行军特效-瑞气祥云-30天限时")</f>
        <v>行军特效-瑞气祥云-30天限时</v>
      </c>
      <c r="C1688" s="148"/>
      <c r="D1688" s="148" t="str">
        <f>IFERROR(__xludf.DUMMYFUNCTION("""COMPUTED_VALUE"""),"marching_effect")</f>
        <v>marching_effect</v>
      </c>
      <c r="E1688" s="148">
        <f>IFERROR(__xludf.DUMMYFUNCTION("""COMPUTED_VALUE"""),0.0)</f>
        <v>0</v>
      </c>
      <c r="F1688" s="148">
        <f>IFERROR(__xludf.DUMMYFUNCTION("""COMPUTED_VALUE"""),408196.0)</f>
        <v>408196</v>
      </c>
      <c r="G1688" s="148">
        <f>IFERROR(__xludf.DUMMYFUNCTION("""COMPUTED_VALUE"""),1.5115794E7)</f>
        <v>15115794</v>
      </c>
      <c r="H1688" s="148">
        <f>IFERROR(__xludf.DUMMYFUNCTION("""COMPUTED_VALUE"""),1.5112563E7)</f>
        <v>15112563</v>
      </c>
      <c r="I1688" s="148" t="str">
        <f>IFERROR(__xludf.DUMMYFUNCTION("""COMPUTED_VALUE"""),"{""typ"":""lc"",""txt"":""LC_ITEM_time_day_upper_show"",""args"":[{""typ"":""int_unit"",""val"":30}]}")</f>
        <v>{"typ":"lc","txt":"LC_ITEM_time_day_upper_show","args":[{"typ":"int_unit","val":30}]}</v>
      </c>
      <c r="J1688" s="148" t="str">
        <f>IFERROR(__xludf.DUMMYFUNCTION("""COMPUTED_VALUE"""),"{""typ"":""lc"",""txt"":""LC_ITEM_spring_marcheffect_2023_title""}")</f>
        <v>{"typ":"lc","txt":"LC_ITEM_spring_marcheffect_2023_title"}</v>
      </c>
      <c r="K1688" s="148" t="str">
        <f>IFERROR(__xludf.DUMMYFUNCTION("""COMPUTED_VALUE"""),"{""typ"":""lc"",""txt"":""LC_ITEM_spring_marcheffect_2023_title_desc""}")</f>
        <v>{"typ":"lc","txt":"LC_ITEM_spring_marcheffect_2023_title_desc"}</v>
      </c>
      <c r="L1688" s="148" t="str">
        <f>IFERROR(__xludf.DUMMYFUNCTION("""COMPUTED_VALUE"""),"{""typ"":""lc"",""txt"":""LC_ITEM_spring_marcheffect_2023_usetip_2_30d""}")</f>
        <v>{"typ":"lc","txt":"LC_ITEM_spring_marcheffect_2023_usetip_2_30d"}</v>
      </c>
      <c r="M1688" s="148">
        <f>IFERROR(__xludf.DUMMYFUNCTION("""COMPUTED_VALUE"""),1000.0)</f>
        <v>1000</v>
      </c>
      <c r="N1688" s="148">
        <f>IFERROR(__xludf.DUMMYFUNCTION("""COMPUTED_VALUE"""),999999.0)</f>
        <v>999999</v>
      </c>
      <c r="O1688" s="148">
        <f>IFERROR(__xludf.DUMMYFUNCTION("""COMPUTED_VALUE"""),99999.0)</f>
        <v>99999</v>
      </c>
      <c r="P1688" s="148">
        <f>IFERROR(__xludf.DUMMYFUNCTION("""COMPUTED_VALUE"""),1.0)</f>
        <v>1</v>
      </c>
      <c r="Q1688" s="148" t="str">
        <f>IFERROR(__xludf.DUMMYFUNCTION("""COMPUTED_VALUE"""),"[""bag_other""]")</f>
        <v>["bag_other"]</v>
      </c>
      <c r="R1688" s="148" t="str">
        <f>IFERROR(__xludf.DUMMYFUNCTION("""COMPUTED_VALUE"""),"[""bag"",""13650104""]")</f>
        <v>["bag","13650104"]</v>
      </c>
      <c r="S1688" s="148" t="str">
        <f>IFERROR(__xludf.DUMMYFUNCTION("""COMPUTED_VALUE"""),"{""effect"":[{""typ"":""marching_effect"",""id"":13650104,""val"":2592000000},{""typ"":""vm"",""id"":11151001,""val"":1000}]}")</f>
        <v>{"effect":[{"typ":"marching_effect","id":13650104,"val":2592000000},{"typ":"vm","id":11151001,"val":1000}]}</v>
      </c>
      <c r="T1688" s="148">
        <f>IFERROR(__xludf.DUMMYFUNCTION("""COMPUTED_VALUE"""),-1.0)</f>
        <v>-1</v>
      </c>
      <c r="U1688" s="148">
        <f>IFERROR(__xludf.DUMMYFUNCTION("""COMPUTED_VALUE"""),0.0)</f>
        <v>0</v>
      </c>
      <c r="V1688" s="148" t="str">
        <f>IFERROR(__xludf.DUMMYFUNCTION("""COMPUTED_VALUE"""),"[]")</f>
        <v>[]</v>
      </c>
      <c r="W1688" s="148">
        <f>IFERROR(__xludf.DUMMYFUNCTION("""COMPUTED_VALUE"""),1.174E7)</f>
        <v>11740000</v>
      </c>
      <c r="X1688" s="148">
        <f>IFERROR(__xludf.DUMMYFUNCTION("""COMPUTED_VALUE"""),0.0)</f>
        <v>0</v>
      </c>
      <c r="Y1688" s="148">
        <f>IFERROR(__xludf.DUMMYFUNCTION("""COMPUTED_VALUE"""),0.0)</f>
        <v>0</v>
      </c>
      <c r="Z1688" s="148"/>
    </row>
    <row r="1689">
      <c r="A1689" s="148">
        <f>IFERROR(__xludf.DUMMYFUNCTION("""COMPUTED_VALUE"""),1.1117348E7)</f>
        <v>11117348</v>
      </c>
      <c r="B1689" s="148" t="str">
        <f>IFERROR(__xludf.DUMMYFUNCTION("""COMPUTED_VALUE"""),"行军特效-情意相随-30天限时")</f>
        <v>行军特效-情意相随-30天限时</v>
      </c>
      <c r="C1689" s="148"/>
      <c r="D1689" s="148" t="str">
        <f>IFERROR(__xludf.DUMMYFUNCTION("""COMPUTED_VALUE"""),"marching_effect")</f>
        <v>marching_effect</v>
      </c>
      <c r="E1689" s="148">
        <f>IFERROR(__xludf.DUMMYFUNCTION("""COMPUTED_VALUE"""),0.0)</f>
        <v>0</v>
      </c>
      <c r="F1689" s="148">
        <f>IFERROR(__xludf.DUMMYFUNCTION("""COMPUTED_VALUE"""),408196.0)</f>
        <v>408196</v>
      </c>
      <c r="G1689" s="148">
        <f>IFERROR(__xludf.DUMMYFUNCTION("""COMPUTED_VALUE"""),1.5115842E7)</f>
        <v>15115842</v>
      </c>
      <c r="H1689" s="148">
        <f>IFERROR(__xludf.DUMMYFUNCTION("""COMPUTED_VALUE"""),1.5112563E7)</f>
        <v>15112563</v>
      </c>
      <c r="I1689" s="148" t="str">
        <f>IFERROR(__xludf.DUMMYFUNCTION("""COMPUTED_VALUE"""),"{""typ"":""lc"",""txt"":""LC_ITEM_time_day_upper_show"",""args"":[{""typ"":""int_unit"",""val"":30}]}")</f>
        <v>{"typ":"lc","txt":"LC_ITEM_time_day_upper_show","args":[{"typ":"int_unit","val":30}]}</v>
      </c>
      <c r="J1689" s="148" t="str">
        <f>IFERROR(__xludf.DUMMYFUNCTION("""COMPUTED_VALUE"""),"{""typ"":""lc"",""txt"":""LC_ITEM_valentine_marcheffect_2023_title""}")</f>
        <v>{"typ":"lc","txt":"LC_ITEM_valentine_marcheffect_2023_title"}</v>
      </c>
      <c r="K1689" s="148" t="str">
        <f>IFERROR(__xludf.DUMMYFUNCTION("""COMPUTED_VALUE"""),"{""typ"":""lc"",""txt"":""LC_ITEM_valentine_marcheffect_2023_desc""}")</f>
        <v>{"typ":"lc","txt":"LC_ITEM_valentine_marcheffect_2023_desc"}</v>
      </c>
      <c r="L1689" s="148" t="str">
        <f>IFERROR(__xludf.DUMMYFUNCTION("""COMPUTED_VALUE"""),"{""typ"":""lc"",""txt"":""LC_ITEM_valentine_marcheffect_2023_usetip_2_30d""}")</f>
        <v>{"typ":"lc","txt":"LC_ITEM_valentine_marcheffect_2023_usetip_2_30d"}</v>
      </c>
      <c r="M1689" s="148">
        <f>IFERROR(__xludf.DUMMYFUNCTION("""COMPUTED_VALUE"""),1000.0)</f>
        <v>1000</v>
      </c>
      <c r="N1689" s="148">
        <f>IFERROR(__xludf.DUMMYFUNCTION("""COMPUTED_VALUE"""),999999.0)</f>
        <v>999999</v>
      </c>
      <c r="O1689" s="148">
        <f>IFERROR(__xludf.DUMMYFUNCTION("""COMPUTED_VALUE"""),99999.0)</f>
        <v>99999</v>
      </c>
      <c r="P1689" s="148">
        <f>IFERROR(__xludf.DUMMYFUNCTION("""COMPUTED_VALUE"""),1.0)</f>
        <v>1</v>
      </c>
      <c r="Q1689" s="148" t="str">
        <f>IFERROR(__xludf.DUMMYFUNCTION("""COMPUTED_VALUE"""),"[""bag_other""]")</f>
        <v>["bag_other"]</v>
      </c>
      <c r="R1689" s="148" t="str">
        <f>IFERROR(__xludf.DUMMYFUNCTION("""COMPUTED_VALUE"""),"[""bag"",""13650105""]")</f>
        <v>["bag","13650105"]</v>
      </c>
      <c r="S1689" s="148" t="str">
        <f>IFERROR(__xludf.DUMMYFUNCTION("""COMPUTED_VALUE"""),"{""effect"":[{""typ"":""marching_effect"",""id"":13650105,""val"":2592000000},{""typ"":""vm"",""id"":11151001,""val"":1000}]}")</f>
        <v>{"effect":[{"typ":"marching_effect","id":13650105,"val":2592000000},{"typ":"vm","id":11151001,"val":1000}]}</v>
      </c>
      <c r="T1689" s="148">
        <f>IFERROR(__xludf.DUMMYFUNCTION("""COMPUTED_VALUE"""),-1.0)</f>
        <v>-1</v>
      </c>
      <c r="U1689" s="148">
        <f>IFERROR(__xludf.DUMMYFUNCTION("""COMPUTED_VALUE"""),0.0)</f>
        <v>0</v>
      </c>
      <c r="V1689" s="148" t="str">
        <f>IFERROR(__xludf.DUMMYFUNCTION("""COMPUTED_VALUE"""),"[]")</f>
        <v>[]</v>
      </c>
      <c r="W1689" s="148">
        <f>IFERROR(__xludf.DUMMYFUNCTION("""COMPUTED_VALUE"""),1.174E7)</f>
        <v>11740000</v>
      </c>
      <c r="X1689" s="148">
        <f>IFERROR(__xludf.DUMMYFUNCTION("""COMPUTED_VALUE"""),0.0)</f>
        <v>0</v>
      </c>
      <c r="Y1689" s="148">
        <f>IFERROR(__xludf.DUMMYFUNCTION("""COMPUTED_VALUE"""),0.0)</f>
        <v>0</v>
      </c>
      <c r="Z1689" s="148"/>
    </row>
    <row r="1690">
      <c r="A1690" s="148">
        <f>IFERROR(__xludf.DUMMYFUNCTION("""COMPUTED_VALUE"""),1.1117349E7)</f>
        <v>11117349</v>
      </c>
      <c r="B1690" s="148" t="str">
        <f>IFERROR(__xludf.DUMMYFUNCTION("""COMPUTED_VALUE"""),"铭牌-2023春节铭牌")</f>
        <v>铭牌-2023春节铭牌</v>
      </c>
      <c r="C1690" s="148"/>
      <c r="D1690" s="148" t="str">
        <f>IFERROR(__xludf.DUMMYFUNCTION("""COMPUTED_VALUE"""),"chat_skin")</f>
        <v>chat_skin</v>
      </c>
      <c r="E1690" s="148">
        <f>IFERROR(__xludf.DUMMYFUNCTION("""COMPUTED_VALUE"""),30.0)</f>
        <v>30</v>
      </c>
      <c r="F1690" s="148">
        <f>IFERROR(__xludf.DUMMYFUNCTION("""COMPUTED_VALUE"""),401107.0)</f>
        <v>401107</v>
      </c>
      <c r="G1690" s="148">
        <f>IFERROR(__xludf.DUMMYFUNCTION("""COMPUTED_VALUE"""),1.5115857E7)</f>
        <v>15115857</v>
      </c>
      <c r="H1690" s="148">
        <f>IFERROR(__xludf.DUMMYFUNCTION("""COMPUTED_VALUE"""),1.5112564E7)</f>
        <v>15112564</v>
      </c>
      <c r="I1690" s="148" t="str">
        <f>IFERROR(__xludf.DUMMYFUNCTION("""COMPUTED_VALUE"""),"{}")</f>
        <v>{}</v>
      </c>
      <c r="J1690" s="148" t="str">
        <f>IFERROR(__xludf.DUMMYFUNCTION("""COMPUTED_VALUE"""),"{""typ"":""lc"",""txt"":""LC_ITEM_2023spring_namepla_name""}")</f>
        <v>{"typ":"lc","txt":"LC_ITEM_2023spring_namepla_name"}</v>
      </c>
      <c r="K1690" s="148" t="str">
        <f>IFERROR(__xludf.DUMMYFUNCTION("""COMPUTED_VALUE"""),"{""typ"":""lc"",""txt"":""LC_ITEM_2023spring_namepla_desc_item""}")</f>
        <v>{"typ":"lc","txt":"LC_ITEM_2023spring_namepla_desc_item"}</v>
      </c>
      <c r="L1690" s="148" t="str">
        <f>IFERROR(__xludf.DUMMYFUNCTION("""COMPUTED_VALUE"""),"{""typ"":""lc"",""txt"":""LC_ITEM_season_extra_reward_usedtip""}")</f>
        <v>{"typ":"lc","txt":"LC_ITEM_season_extra_reward_usedtip"}</v>
      </c>
      <c r="M1690" s="148">
        <f>IFERROR(__xludf.DUMMYFUNCTION("""COMPUTED_VALUE"""),2500.0)</f>
        <v>2500</v>
      </c>
      <c r="N1690" s="148">
        <f>IFERROR(__xludf.DUMMYFUNCTION("""COMPUTED_VALUE"""),9999999.0)</f>
        <v>9999999</v>
      </c>
      <c r="O1690" s="148">
        <f>IFERROR(__xludf.DUMMYFUNCTION("""COMPUTED_VALUE"""),1.0)</f>
        <v>1</v>
      </c>
      <c r="P1690" s="148">
        <f>IFERROR(__xludf.DUMMYFUNCTION("""COMPUTED_VALUE"""),1.0)</f>
        <v>1</v>
      </c>
      <c r="Q1690" s="148" t="str">
        <f>IFERROR(__xludf.DUMMYFUNCTION("""COMPUTED_VALUE"""),"[""bag_other""]")</f>
        <v>["bag_other"]</v>
      </c>
      <c r="R1690" s="148" t="str">
        <f>IFERROR(__xludf.DUMMYFUNCTION("""COMPUTED_VALUE"""),"[""11731008"",""bag""]")</f>
        <v>["11731008","bag"]</v>
      </c>
      <c r="S1690" s="148" t="str">
        <f>IFERROR(__xludf.DUMMYFUNCTION("""COMPUTED_VALUE"""),"{""effect"":[{""typ"":""nameplate"",""id"":11731008,""val"":-1}]}")</f>
        <v>{"effect":[{"typ":"nameplate","id":11731008,"val":-1}]}</v>
      </c>
      <c r="T1690" s="148">
        <f>IFERROR(__xludf.DUMMYFUNCTION("""COMPUTED_VALUE"""),-1.0)</f>
        <v>-1</v>
      </c>
      <c r="U1690" s="148">
        <f>IFERROR(__xludf.DUMMYFUNCTION("""COMPUTED_VALUE"""),0.0)</f>
        <v>0</v>
      </c>
      <c r="V1690" s="148" t="str">
        <f>IFERROR(__xludf.DUMMYFUNCTION("""COMPUTED_VALUE"""),"[]")</f>
        <v>[]</v>
      </c>
      <c r="W1690" s="148">
        <f>IFERROR(__xludf.DUMMYFUNCTION("""COMPUTED_VALUE"""),1.174E7)</f>
        <v>11740000</v>
      </c>
      <c r="X1690" s="148">
        <f>IFERROR(__xludf.DUMMYFUNCTION("""COMPUTED_VALUE"""),0.0)</f>
        <v>0</v>
      </c>
      <c r="Y1690" s="148">
        <f>IFERROR(__xludf.DUMMYFUNCTION("""COMPUTED_VALUE"""),0.0)</f>
        <v>0</v>
      </c>
      <c r="Z1690" s="148"/>
    </row>
    <row r="1691">
      <c r="A1691" s="148">
        <f>IFERROR(__xludf.DUMMYFUNCTION("""COMPUTED_VALUE"""),1.111735E7)</f>
        <v>11117350</v>
      </c>
      <c r="B1691" s="148" t="str">
        <f>IFERROR(__xludf.DUMMYFUNCTION("""COMPUTED_VALUE"""),"训练凭证（军备bp积分）")</f>
        <v>训练凭证（军备bp积分）</v>
      </c>
      <c r="C1691" s="148"/>
      <c r="D1691" s="148" t="str">
        <f>IFERROR(__xludf.DUMMYFUNCTION("""COMPUTED_VALUE"""),"battle_pass_exp")</f>
        <v>battle_pass_exp</v>
      </c>
      <c r="E1691" s="148">
        <f>IFERROR(__xludf.DUMMYFUNCTION("""COMPUTED_VALUE"""),0.0)</f>
        <v>0</v>
      </c>
      <c r="F1691" s="148">
        <f>IFERROR(__xludf.DUMMYFUNCTION("""COMPUTED_VALUE"""),0.0)</f>
        <v>0</v>
      </c>
      <c r="G1691" s="148">
        <f>IFERROR(__xludf.DUMMYFUNCTION("""COMPUTED_VALUE"""),1.5115771E7)</f>
        <v>15115771</v>
      </c>
      <c r="H1691" s="148">
        <f>IFERROR(__xludf.DUMMYFUNCTION("""COMPUTED_VALUE"""),1.5112563E7)</f>
        <v>15112563</v>
      </c>
      <c r="I1691" s="148" t="str">
        <f>IFERROR(__xludf.DUMMYFUNCTION("""COMPUTED_VALUE"""),"{}")</f>
        <v>{}</v>
      </c>
      <c r="J1691" s="148" t="str">
        <f>IFERROR(__xludf.DUMMYFUNCTION("""COMPUTED_VALUE"""),"{""typ"":""lc"",""txt"":""LC_ITEM_soldierarmbp_exp_title""}")</f>
        <v>{"typ":"lc","txt":"LC_ITEM_soldierarmbp_exp_title"}</v>
      </c>
      <c r="K1691" s="148" t="str">
        <f>IFERROR(__xludf.DUMMYFUNCTION("""COMPUTED_VALUE"""),"{""typ"":""lc"",""txt"":""LC_ITEM_soldierarmbp_exp_desc""}")</f>
        <v>{"typ":"lc","txt":"LC_ITEM_soldierarmbp_exp_desc"}</v>
      </c>
      <c r="L1691" s="148" t="str">
        <f>IFERROR(__xludf.DUMMYFUNCTION("""COMPUTED_VALUE"""),"{}")</f>
        <v>{}</v>
      </c>
      <c r="M1691" s="148">
        <f>IFERROR(__xludf.DUMMYFUNCTION("""COMPUTED_VALUE"""),10.0)</f>
        <v>10</v>
      </c>
      <c r="N1691" s="148">
        <f>IFERROR(__xludf.DUMMYFUNCTION("""COMPUTED_VALUE"""),999999.0)</f>
        <v>999999</v>
      </c>
      <c r="O1691" s="148">
        <f>IFERROR(__xludf.DUMMYFUNCTION("""COMPUTED_VALUE"""),99999.0)</f>
        <v>99999</v>
      </c>
      <c r="P1691" s="148">
        <f>IFERROR(__xludf.DUMMYFUNCTION("""COMPUTED_VALUE"""),9999.0)</f>
        <v>9999</v>
      </c>
      <c r="Q1691" s="148" t="str">
        <f>IFERROR(__xludf.DUMMYFUNCTION("""COMPUTED_VALUE"""),"[]")</f>
        <v>[]</v>
      </c>
      <c r="R1691" s="148" t="str">
        <f>IFERROR(__xludf.DUMMYFUNCTION("""COMPUTED_VALUE"""),"[]")</f>
        <v>[]</v>
      </c>
      <c r="S1691" s="148" t="str">
        <f>IFERROR(__xludf.DUMMYFUNCTION("""COMPUTED_VALUE"""),"{}")</f>
        <v>{}</v>
      </c>
      <c r="T1691" s="148">
        <f>IFERROR(__xludf.DUMMYFUNCTION("""COMPUTED_VALUE"""),-1.0)</f>
        <v>-1</v>
      </c>
      <c r="U1691" s="148">
        <f>IFERROR(__xludf.DUMMYFUNCTION("""COMPUTED_VALUE"""),1.0)</f>
        <v>1</v>
      </c>
      <c r="V1691" s="148" t="str">
        <f>IFERROR(__xludf.DUMMYFUNCTION("""COMPUTED_VALUE"""),"[]")</f>
        <v>[]</v>
      </c>
      <c r="W1691" s="148">
        <f>IFERROR(__xludf.DUMMYFUNCTION("""COMPUTED_VALUE"""),1.174E7)</f>
        <v>11740000</v>
      </c>
      <c r="X1691" s="148">
        <f>IFERROR(__xludf.DUMMYFUNCTION("""COMPUTED_VALUE"""),0.0)</f>
        <v>0</v>
      </c>
      <c r="Y1691" s="148">
        <f>IFERROR(__xludf.DUMMYFUNCTION("""COMPUTED_VALUE"""),0.0)</f>
        <v>0</v>
      </c>
      <c r="Z1691" s="148"/>
    </row>
    <row r="1692">
      <c r="A1692" s="148">
        <f>IFERROR(__xludf.DUMMYFUNCTION("""COMPUTED_VALUE"""),1.1117351E7)</f>
        <v>11117351</v>
      </c>
      <c r="B1692" s="148" t="str">
        <f>IFERROR(__xludf.DUMMYFUNCTION("""COMPUTED_VALUE"""),"军备bp-第一档解锁")</f>
        <v>军备bp-第一档解锁</v>
      </c>
      <c r="C1692" s="148"/>
      <c r="D1692" s="148" t="str">
        <f>IFERROR(__xludf.DUMMYFUNCTION("""COMPUTED_VALUE"""),"battle_pass_card")</f>
        <v>battle_pass_card</v>
      </c>
      <c r="E1692" s="148">
        <f>IFERROR(__xludf.DUMMYFUNCTION("""COMPUTED_VALUE"""),0.0)</f>
        <v>0</v>
      </c>
      <c r="F1692" s="148">
        <f>IFERROR(__xludf.DUMMYFUNCTION("""COMPUTED_VALUE"""),0.0)</f>
        <v>0</v>
      </c>
      <c r="G1692" s="148">
        <f>IFERROR(__xludf.DUMMYFUNCTION("""COMPUTED_VALUE"""),1.5115771E7)</f>
        <v>15115771</v>
      </c>
      <c r="H1692" s="148">
        <f>IFERROR(__xludf.DUMMYFUNCTION("""COMPUTED_VALUE"""),1.5112563E7)</f>
        <v>15112563</v>
      </c>
      <c r="I1692" s="148" t="str">
        <f>IFERROR(__xludf.DUMMYFUNCTION("""COMPUTED_VALUE"""),"{}")</f>
        <v>{}</v>
      </c>
      <c r="J1692" s="148" t="str">
        <f>IFERROR(__xludf.DUMMYFUNCTION("""COMPUTED_VALUE"""),"{""typ"":""lc"",""txt"":""LC_EVENT_soldierarmbp_title""}")</f>
        <v>{"typ":"lc","txt":"LC_EVENT_soldierarmbp_title"}</v>
      </c>
      <c r="K1692" s="148" t="str">
        <f>IFERROR(__xludf.DUMMYFUNCTION("""COMPUTED_VALUE"""),"{}")</f>
        <v>{}</v>
      </c>
      <c r="L1692" s="148" t="str">
        <f>IFERROR(__xludf.DUMMYFUNCTION("""COMPUTED_VALUE"""),"{}")</f>
        <v>{}</v>
      </c>
      <c r="M1692" s="148">
        <f>IFERROR(__xludf.DUMMYFUNCTION("""COMPUTED_VALUE"""),10.0)</f>
        <v>10</v>
      </c>
      <c r="N1692" s="148">
        <f>IFERROR(__xludf.DUMMYFUNCTION("""COMPUTED_VALUE"""),999999.0)</f>
        <v>999999</v>
      </c>
      <c r="O1692" s="148">
        <f>IFERROR(__xludf.DUMMYFUNCTION("""COMPUTED_VALUE"""),99999.0)</f>
        <v>99999</v>
      </c>
      <c r="P1692" s="148">
        <f>IFERROR(__xludf.DUMMYFUNCTION("""COMPUTED_VALUE"""),9999.0)</f>
        <v>9999</v>
      </c>
      <c r="Q1692" s="148" t="str">
        <f>IFERROR(__xludf.DUMMYFUNCTION("""COMPUTED_VALUE"""),"[]")</f>
        <v>[]</v>
      </c>
      <c r="R1692" s="148" t="str">
        <f>IFERROR(__xludf.DUMMYFUNCTION("""COMPUTED_VALUE"""),"[]")</f>
        <v>[]</v>
      </c>
      <c r="S1692" s="148" t="str">
        <f>IFERROR(__xludf.DUMMYFUNCTION("""COMPUTED_VALUE"""),"{}")</f>
        <v>{}</v>
      </c>
      <c r="T1692" s="148">
        <f>IFERROR(__xludf.DUMMYFUNCTION("""COMPUTED_VALUE"""),-1.0)</f>
        <v>-1</v>
      </c>
      <c r="U1692" s="148">
        <f>IFERROR(__xludf.DUMMYFUNCTION("""COMPUTED_VALUE"""),1.0)</f>
        <v>1</v>
      </c>
      <c r="V1692" s="148" t="str">
        <f>IFERROR(__xludf.DUMMYFUNCTION("""COMPUTED_VALUE"""),"[]")</f>
        <v>[]</v>
      </c>
      <c r="W1692" s="148">
        <f>IFERROR(__xludf.DUMMYFUNCTION("""COMPUTED_VALUE"""),1.174E7)</f>
        <v>11740000</v>
      </c>
      <c r="X1692" s="148">
        <f>IFERROR(__xludf.DUMMYFUNCTION("""COMPUTED_VALUE"""),0.0)</f>
        <v>0</v>
      </c>
      <c r="Y1692" s="148">
        <f>IFERROR(__xludf.DUMMYFUNCTION("""COMPUTED_VALUE"""),0.0)</f>
        <v>0</v>
      </c>
      <c r="Z1692" s="148"/>
    </row>
    <row r="1693">
      <c r="A1693" s="148">
        <f>IFERROR(__xludf.DUMMYFUNCTION("""COMPUTED_VALUE"""),1.1117352E7)</f>
        <v>11117352</v>
      </c>
      <c r="B1693" s="148" t="str">
        <f>IFERROR(__xludf.DUMMYFUNCTION("""COMPUTED_VALUE"""),"军备bp-第二档解锁")</f>
        <v>军备bp-第二档解锁</v>
      </c>
      <c r="C1693" s="148"/>
      <c r="D1693" s="148" t="str">
        <f>IFERROR(__xludf.DUMMYFUNCTION("""COMPUTED_VALUE"""),"battle_pass_card")</f>
        <v>battle_pass_card</v>
      </c>
      <c r="E1693" s="148">
        <f>IFERROR(__xludf.DUMMYFUNCTION("""COMPUTED_VALUE"""),0.0)</f>
        <v>0</v>
      </c>
      <c r="F1693" s="148">
        <f>IFERROR(__xludf.DUMMYFUNCTION("""COMPUTED_VALUE"""),0.0)</f>
        <v>0</v>
      </c>
      <c r="G1693" s="148">
        <f>IFERROR(__xludf.DUMMYFUNCTION("""COMPUTED_VALUE"""),1.5115771E7)</f>
        <v>15115771</v>
      </c>
      <c r="H1693" s="148">
        <f>IFERROR(__xludf.DUMMYFUNCTION("""COMPUTED_VALUE"""),1.5112563E7)</f>
        <v>15112563</v>
      </c>
      <c r="I1693" s="148" t="str">
        <f>IFERROR(__xludf.DUMMYFUNCTION("""COMPUTED_VALUE"""),"{}")</f>
        <v>{}</v>
      </c>
      <c r="J1693" s="148" t="str">
        <f>IFERROR(__xludf.DUMMYFUNCTION("""COMPUTED_VALUE"""),"{""typ"":""lc"",""txt"":""LC_EVENT_soldierarmbp_title""}")</f>
        <v>{"typ":"lc","txt":"LC_EVENT_soldierarmbp_title"}</v>
      </c>
      <c r="K1693" s="148" t="str">
        <f>IFERROR(__xludf.DUMMYFUNCTION("""COMPUTED_VALUE"""),"{}")</f>
        <v>{}</v>
      </c>
      <c r="L1693" s="148" t="str">
        <f>IFERROR(__xludf.DUMMYFUNCTION("""COMPUTED_VALUE"""),"{}")</f>
        <v>{}</v>
      </c>
      <c r="M1693" s="148">
        <f>IFERROR(__xludf.DUMMYFUNCTION("""COMPUTED_VALUE"""),10.0)</f>
        <v>10</v>
      </c>
      <c r="N1693" s="148">
        <f>IFERROR(__xludf.DUMMYFUNCTION("""COMPUTED_VALUE"""),999999.0)</f>
        <v>999999</v>
      </c>
      <c r="O1693" s="148">
        <f>IFERROR(__xludf.DUMMYFUNCTION("""COMPUTED_VALUE"""),99999.0)</f>
        <v>99999</v>
      </c>
      <c r="P1693" s="148">
        <f>IFERROR(__xludf.DUMMYFUNCTION("""COMPUTED_VALUE"""),9999.0)</f>
        <v>9999</v>
      </c>
      <c r="Q1693" s="148" t="str">
        <f>IFERROR(__xludf.DUMMYFUNCTION("""COMPUTED_VALUE"""),"[]")</f>
        <v>[]</v>
      </c>
      <c r="R1693" s="148" t="str">
        <f>IFERROR(__xludf.DUMMYFUNCTION("""COMPUTED_VALUE"""),"[]")</f>
        <v>[]</v>
      </c>
      <c r="S1693" s="148" t="str">
        <f>IFERROR(__xludf.DUMMYFUNCTION("""COMPUTED_VALUE"""),"{}")</f>
        <v>{}</v>
      </c>
      <c r="T1693" s="148">
        <f>IFERROR(__xludf.DUMMYFUNCTION("""COMPUTED_VALUE"""),-1.0)</f>
        <v>-1</v>
      </c>
      <c r="U1693" s="148">
        <f>IFERROR(__xludf.DUMMYFUNCTION("""COMPUTED_VALUE"""),1.0)</f>
        <v>1</v>
      </c>
      <c r="V1693" s="148" t="str">
        <f>IFERROR(__xludf.DUMMYFUNCTION("""COMPUTED_VALUE"""),"[]")</f>
        <v>[]</v>
      </c>
      <c r="W1693" s="148">
        <f>IFERROR(__xludf.DUMMYFUNCTION("""COMPUTED_VALUE"""),1.174E7)</f>
        <v>11740000</v>
      </c>
      <c r="X1693" s="148">
        <f>IFERROR(__xludf.DUMMYFUNCTION("""COMPUTED_VALUE"""),0.0)</f>
        <v>0</v>
      </c>
      <c r="Y1693" s="148">
        <f>IFERROR(__xludf.DUMMYFUNCTION("""COMPUTED_VALUE"""),0.0)</f>
        <v>0</v>
      </c>
      <c r="Z1693" s="148"/>
    </row>
    <row r="1694">
      <c r="A1694" s="148">
        <f>IFERROR(__xludf.DUMMYFUNCTION("""COMPUTED_VALUE"""),1.1117353E7)</f>
        <v>11117353</v>
      </c>
      <c r="B1694" s="148" t="str">
        <f>IFERROR(__xludf.DUMMYFUNCTION("""COMPUTED_VALUE"""),"军备bp-第三档解锁")</f>
        <v>军备bp-第三档解锁</v>
      </c>
      <c r="C1694" s="148"/>
      <c r="D1694" s="148" t="str">
        <f>IFERROR(__xludf.DUMMYFUNCTION("""COMPUTED_VALUE"""),"battle_pass_card")</f>
        <v>battle_pass_card</v>
      </c>
      <c r="E1694" s="148">
        <f>IFERROR(__xludf.DUMMYFUNCTION("""COMPUTED_VALUE"""),0.0)</f>
        <v>0</v>
      </c>
      <c r="F1694" s="148">
        <f>IFERROR(__xludf.DUMMYFUNCTION("""COMPUTED_VALUE"""),0.0)</f>
        <v>0</v>
      </c>
      <c r="G1694" s="148">
        <f>IFERROR(__xludf.DUMMYFUNCTION("""COMPUTED_VALUE"""),1.5115771E7)</f>
        <v>15115771</v>
      </c>
      <c r="H1694" s="148">
        <f>IFERROR(__xludf.DUMMYFUNCTION("""COMPUTED_VALUE"""),1.5112563E7)</f>
        <v>15112563</v>
      </c>
      <c r="I1694" s="148" t="str">
        <f>IFERROR(__xludf.DUMMYFUNCTION("""COMPUTED_VALUE"""),"{}")</f>
        <v>{}</v>
      </c>
      <c r="J1694" s="148" t="str">
        <f>IFERROR(__xludf.DUMMYFUNCTION("""COMPUTED_VALUE"""),"{""typ"":""lc"",""txt"":""LC_EVENT_soldierarmbp_title""}")</f>
        <v>{"typ":"lc","txt":"LC_EVENT_soldierarmbp_title"}</v>
      </c>
      <c r="K1694" s="148" t="str">
        <f>IFERROR(__xludf.DUMMYFUNCTION("""COMPUTED_VALUE"""),"{}")</f>
        <v>{}</v>
      </c>
      <c r="L1694" s="148" t="str">
        <f>IFERROR(__xludf.DUMMYFUNCTION("""COMPUTED_VALUE"""),"{}")</f>
        <v>{}</v>
      </c>
      <c r="M1694" s="148">
        <f>IFERROR(__xludf.DUMMYFUNCTION("""COMPUTED_VALUE"""),10.0)</f>
        <v>10</v>
      </c>
      <c r="N1694" s="148">
        <f>IFERROR(__xludf.DUMMYFUNCTION("""COMPUTED_VALUE"""),999999.0)</f>
        <v>999999</v>
      </c>
      <c r="O1694" s="148">
        <f>IFERROR(__xludf.DUMMYFUNCTION("""COMPUTED_VALUE"""),99999.0)</f>
        <v>99999</v>
      </c>
      <c r="P1694" s="148">
        <f>IFERROR(__xludf.DUMMYFUNCTION("""COMPUTED_VALUE"""),9999.0)</f>
        <v>9999</v>
      </c>
      <c r="Q1694" s="148" t="str">
        <f>IFERROR(__xludf.DUMMYFUNCTION("""COMPUTED_VALUE"""),"[]")</f>
        <v>[]</v>
      </c>
      <c r="R1694" s="148" t="str">
        <f>IFERROR(__xludf.DUMMYFUNCTION("""COMPUTED_VALUE"""),"[]")</f>
        <v>[]</v>
      </c>
      <c r="S1694" s="148" t="str">
        <f>IFERROR(__xludf.DUMMYFUNCTION("""COMPUTED_VALUE"""),"{}")</f>
        <v>{}</v>
      </c>
      <c r="T1694" s="148">
        <f>IFERROR(__xludf.DUMMYFUNCTION("""COMPUTED_VALUE"""),-1.0)</f>
        <v>-1</v>
      </c>
      <c r="U1694" s="148">
        <f>IFERROR(__xludf.DUMMYFUNCTION("""COMPUTED_VALUE"""),1.0)</f>
        <v>1</v>
      </c>
      <c r="V1694" s="148" t="str">
        <f>IFERROR(__xludf.DUMMYFUNCTION("""COMPUTED_VALUE"""),"[]")</f>
        <v>[]</v>
      </c>
      <c r="W1694" s="148">
        <f>IFERROR(__xludf.DUMMYFUNCTION("""COMPUTED_VALUE"""),1.174E7)</f>
        <v>11740000</v>
      </c>
      <c r="X1694" s="148">
        <f>IFERROR(__xludf.DUMMYFUNCTION("""COMPUTED_VALUE"""),0.0)</f>
        <v>0</v>
      </c>
      <c r="Y1694" s="148">
        <f>IFERROR(__xludf.DUMMYFUNCTION("""COMPUTED_VALUE"""),0.0)</f>
        <v>0</v>
      </c>
      <c r="Z1694" s="148"/>
    </row>
    <row r="1695">
      <c r="A1695" s="148">
        <f>IFERROR(__xludf.DUMMYFUNCTION("""COMPUTED_VALUE"""),1.1117354E7)</f>
        <v>11117354</v>
      </c>
      <c r="B1695" s="148" t="str">
        <f>IFERROR(__xludf.DUMMYFUNCTION("""COMPUTED_VALUE"""),"精密齿轮-重装出击-付费材料")</f>
        <v>精密齿轮-重装出击-付费材料</v>
      </c>
      <c r="C1695" s="148"/>
      <c r="D1695" s="148" t="str">
        <f>IFERROR(__xludf.DUMMYFUNCTION("""COMPUTED_VALUE"""),"item_asset")</f>
        <v>item_asset</v>
      </c>
      <c r="E1695" s="148">
        <f>IFERROR(__xludf.DUMMYFUNCTION("""COMPUTED_VALUE"""),0.0)</f>
        <v>0</v>
      </c>
      <c r="F1695" s="148">
        <f>IFERROR(__xludf.DUMMYFUNCTION("""COMPUTED_VALUE"""),415302.0)</f>
        <v>415302</v>
      </c>
      <c r="G1695" s="148">
        <f>IFERROR(__xludf.DUMMYFUNCTION("""COMPUTED_VALUE"""),1.5115913E7)</f>
        <v>15115913</v>
      </c>
      <c r="H1695" s="148">
        <f>IFERROR(__xludf.DUMMYFUNCTION("""COMPUTED_VALUE"""),1.5112564E7)</f>
        <v>15112564</v>
      </c>
      <c r="I1695" s="148" t="str">
        <f>IFERROR(__xludf.DUMMYFUNCTION("""COMPUTED_VALUE"""),"{}")</f>
        <v>{}</v>
      </c>
      <c r="J1695" s="148" t="str">
        <f>IFERROR(__xludf.DUMMYFUNCTION("""COMPUTED_VALUE"""),"{""typ"":""lc"",""txt"":""LC_ITEM_bossrush_box_item_2_name""}")</f>
        <v>{"typ":"lc","txt":"LC_ITEM_bossrush_box_item_2_name"}</v>
      </c>
      <c r="K1695" s="148" t="str">
        <f>IFERROR(__xludf.DUMMYFUNCTION("""COMPUTED_VALUE"""),"{""typ"":""lc"",""txt"":""LC_ITEM_bossrush_box_item_2_desc""}")</f>
        <v>{"typ":"lc","txt":"LC_ITEM_bossrush_box_item_2_desc"}</v>
      </c>
      <c r="L1695" s="148" t="str">
        <f>IFERROR(__xludf.DUMMYFUNCTION("""COMPUTED_VALUE"""),"{}")</f>
        <v>{}</v>
      </c>
      <c r="M1695" s="148">
        <f>IFERROR(__xludf.DUMMYFUNCTION("""COMPUTED_VALUE"""),1000.0)</f>
        <v>1000</v>
      </c>
      <c r="N1695" s="148">
        <f>IFERROR(__xludf.DUMMYFUNCTION("""COMPUTED_VALUE"""),9999999.0)</f>
        <v>9999999</v>
      </c>
      <c r="O1695" s="148">
        <f>IFERROR(__xludf.DUMMYFUNCTION("""COMPUTED_VALUE"""),99999.0)</f>
        <v>99999</v>
      </c>
      <c r="P1695" s="148">
        <f>IFERROR(__xludf.DUMMYFUNCTION("""COMPUTED_VALUE"""),99999.0)</f>
        <v>99999</v>
      </c>
      <c r="Q1695" s="148" t="str">
        <f>IFERROR(__xludf.DUMMYFUNCTION("""COMPUTED_VALUE"""),"[""bag_other""]")</f>
        <v>["bag_other"]</v>
      </c>
      <c r="R1695" s="148" t="str">
        <f>IFERROR(__xludf.DUMMYFUNCTION("""COMPUTED_VALUE"""),"[]")</f>
        <v>[]</v>
      </c>
      <c r="S1695" s="148" t="str">
        <f>IFERROR(__xludf.DUMMYFUNCTION("""COMPUTED_VALUE"""),"{}")</f>
        <v>{}</v>
      </c>
      <c r="T1695" s="148">
        <f>IFERROR(__xludf.DUMMYFUNCTION("""COMPUTED_VALUE"""),-1.0)</f>
        <v>-1</v>
      </c>
      <c r="U1695" s="148">
        <f>IFERROR(__xludf.DUMMYFUNCTION("""COMPUTED_VALUE"""),0.0)</f>
        <v>0</v>
      </c>
      <c r="V1695" s="148" t="str">
        <f>IFERROR(__xludf.DUMMYFUNCTION("""COMPUTED_VALUE"""),"[]")</f>
        <v>[]</v>
      </c>
      <c r="W1695" s="148">
        <f>IFERROR(__xludf.DUMMYFUNCTION("""COMPUTED_VALUE"""),1.1741004E7)</f>
        <v>11741004</v>
      </c>
      <c r="X1695" s="148">
        <f>IFERROR(__xludf.DUMMYFUNCTION("""COMPUTED_VALUE"""),0.0)</f>
        <v>0</v>
      </c>
      <c r="Y1695" s="148">
        <f>IFERROR(__xludf.DUMMYFUNCTION("""COMPUTED_VALUE"""),0.0)</f>
        <v>0</v>
      </c>
      <c r="Z1695" s="148"/>
    </row>
    <row r="1696">
      <c r="A1696" s="148">
        <f>IFERROR(__xludf.DUMMYFUNCTION("""COMPUTED_VALUE"""),1.1117355E7)</f>
        <v>11117355</v>
      </c>
      <c r="B1696" s="148" t="str">
        <f>IFERROR(__xludf.DUMMYFUNCTION("""COMPUTED_VALUE"""),"铁质发条-重装出击-免费材料")</f>
        <v>铁质发条-重装出击-免费材料</v>
      </c>
      <c r="C1696" s="148"/>
      <c r="D1696" s="148" t="str">
        <f>IFERROR(__xludf.DUMMYFUNCTION("""COMPUTED_VALUE"""),"item_asset")</f>
        <v>item_asset</v>
      </c>
      <c r="E1696" s="148">
        <f>IFERROR(__xludf.DUMMYFUNCTION("""COMPUTED_VALUE"""),0.0)</f>
        <v>0</v>
      </c>
      <c r="F1696" s="148">
        <f>IFERROR(__xludf.DUMMYFUNCTION("""COMPUTED_VALUE"""),415101.0)</f>
        <v>415101</v>
      </c>
      <c r="G1696" s="148">
        <f>IFERROR(__xludf.DUMMYFUNCTION("""COMPUTED_VALUE"""),1.5115912E7)</f>
        <v>15115912</v>
      </c>
      <c r="H1696" s="148">
        <f>IFERROR(__xludf.DUMMYFUNCTION("""COMPUTED_VALUE"""),1.5112562E7)</f>
        <v>15112562</v>
      </c>
      <c r="I1696" s="148" t="str">
        <f>IFERROR(__xludf.DUMMYFUNCTION("""COMPUTED_VALUE"""),"{}")</f>
        <v>{}</v>
      </c>
      <c r="J1696" s="148" t="str">
        <f>IFERROR(__xludf.DUMMYFUNCTION("""COMPUTED_VALUE"""),"{""typ"":""lc"",""txt"":""LC_ITEM_bossrush_box_item_1_name""}")</f>
        <v>{"typ":"lc","txt":"LC_ITEM_bossrush_box_item_1_name"}</v>
      </c>
      <c r="K1696" s="148" t="str">
        <f>IFERROR(__xludf.DUMMYFUNCTION("""COMPUTED_VALUE"""),"{""typ"":""lc"",""txt"":""LC_ITEM_bossrush_box_item_1_desc""}")</f>
        <v>{"typ":"lc","txt":"LC_ITEM_bossrush_box_item_1_desc"}</v>
      </c>
      <c r="L1696" s="148" t="str">
        <f>IFERROR(__xludf.DUMMYFUNCTION("""COMPUTED_VALUE"""),"{}")</f>
        <v>{}</v>
      </c>
      <c r="M1696" s="148">
        <f>IFERROR(__xludf.DUMMYFUNCTION("""COMPUTED_VALUE"""),200.0)</f>
        <v>200</v>
      </c>
      <c r="N1696" s="148">
        <f>IFERROR(__xludf.DUMMYFUNCTION("""COMPUTED_VALUE"""),9999999.0)</f>
        <v>9999999</v>
      </c>
      <c r="O1696" s="148">
        <f>IFERROR(__xludf.DUMMYFUNCTION("""COMPUTED_VALUE"""),99999.0)</f>
        <v>99999</v>
      </c>
      <c r="P1696" s="148">
        <f>IFERROR(__xludf.DUMMYFUNCTION("""COMPUTED_VALUE"""),99999.0)</f>
        <v>99999</v>
      </c>
      <c r="Q1696" s="148" t="str">
        <f>IFERROR(__xludf.DUMMYFUNCTION("""COMPUTED_VALUE"""),"[""bag_other""]")</f>
        <v>["bag_other"]</v>
      </c>
      <c r="R1696" s="148" t="str">
        <f>IFERROR(__xludf.DUMMYFUNCTION("""COMPUTED_VALUE"""),"[]")</f>
        <v>[]</v>
      </c>
      <c r="S1696" s="148" t="str">
        <f>IFERROR(__xludf.DUMMYFUNCTION("""COMPUTED_VALUE"""),"{}")</f>
        <v>{}</v>
      </c>
      <c r="T1696" s="148">
        <f>IFERROR(__xludf.DUMMYFUNCTION("""COMPUTED_VALUE"""),-1.0)</f>
        <v>-1</v>
      </c>
      <c r="U1696" s="148">
        <f>IFERROR(__xludf.DUMMYFUNCTION("""COMPUTED_VALUE"""),0.0)</f>
        <v>0</v>
      </c>
      <c r="V1696" s="148" t="str">
        <f>IFERROR(__xludf.DUMMYFUNCTION("""COMPUTED_VALUE"""),"[]")</f>
        <v>[]</v>
      </c>
      <c r="W1696" s="148">
        <f>IFERROR(__xludf.DUMMYFUNCTION("""COMPUTED_VALUE"""),1.1741004E7)</f>
        <v>11741004</v>
      </c>
      <c r="X1696" s="148">
        <f>IFERROR(__xludf.DUMMYFUNCTION("""COMPUTED_VALUE"""),0.0)</f>
        <v>0</v>
      </c>
      <c r="Y1696" s="148">
        <f>IFERROR(__xludf.DUMMYFUNCTION("""COMPUTED_VALUE"""),0.0)</f>
        <v>0</v>
      </c>
      <c r="Z1696" s="148"/>
    </row>
    <row r="1697">
      <c r="A1697" s="148">
        <f>IFERROR(__xludf.DUMMYFUNCTION("""COMPUTED_VALUE"""),1.1117356E7)</f>
        <v>11117356</v>
      </c>
      <c r="B1697" s="148" t="str">
        <f>IFERROR(__xludf.DUMMYFUNCTION("""COMPUTED_VALUE"""),"战装材料箱-重装出击-黄金装备宝箱")</f>
        <v>战装材料箱-重装出击-黄金装备宝箱</v>
      </c>
      <c r="C1697" s="148"/>
      <c r="D1697" s="148" t="str">
        <f>IFERROR(__xludf.DUMMYFUNCTION("""COMPUTED_VALUE"""),"heroarms_box")</f>
        <v>heroarms_box</v>
      </c>
      <c r="E1697" s="148">
        <f>IFERROR(__xludf.DUMMYFUNCTION("""COMPUTED_VALUE"""),0.0)</f>
        <v>0</v>
      </c>
      <c r="F1697" s="148">
        <f>IFERROR(__xludf.DUMMYFUNCTION("""COMPUTED_VALUE"""),403106.0)</f>
        <v>403106</v>
      </c>
      <c r="G1697" s="148">
        <f>IFERROR(__xludf.DUMMYFUNCTION("""COMPUTED_VALUE"""),1.5115914E7)</f>
        <v>15115914</v>
      </c>
      <c r="H1697" s="148">
        <f>IFERROR(__xludf.DUMMYFUNCTION("""COMPUTED_VALUE"""),1.5112564E7)</f>
        <v>15112564</v>
      </c>
      <c r="I1697" s="148" t="str">
        <f>IFERROR(__xludf.DUMMYFUNCTION("""COMPUTED_VALUE"""),"{}")</f>
        <v>{}</v>
      </c>
      <c r="J1697" s="148" t="str">
        <f>IFERROR(__xludf.DUMMYFUNCTION("""COMPUTED_VALUE"""),"{""typ"":""lc"",""txt"":""LC_ITEM_bossrush_heroarms_box_name""}")</f>
        <v>{"typ":"lc","txt":"LC_ITEM_bossrush_heroarms_box_name"}</v>
      </c>
      <c r="K1697" s="148" t="str">
        <f>IFERROR(__xludf.DUMMYFUNCTION("""COMPUTED_VALUE"""),"{""typ"":""lc"",""txt"":""LC_ITEM_bossrush_heroarms_box_desc""}")</f>
        <v>{"typ":"lc","txt":"LC_ITEM_bossrush_heroarms_box_desc"}</v>
      </c>
      <c r="L1697" s="148" t="str">
        <f>IFERROR(__xludf.DUMMYFUNCTION("""COMPUTED_VALUE"""),"{}")</f>
        <v>{}</v>
      </c>
      <c r="M1697" s="148">
        <f>IFERROR(__xludf.DUMMYFUNCTION("""COMPUTED_VALUE"""),500.0)</f>
        <v>500</v>
      </c>
      <c r="N1697" s="148">
        <f>IFERROR(__xludf.DUMMYFUNCTION("""COMPUTED_VALUE"""),9999999.0)</f>
        <v>9999999</v>
      </c>
      <c r="O1697" s="148">
        <f>IFERROR(__xludf.DUMMYFUNCTION("""COMPUTED_VALUE"""),99999.0)</f>
        <v>99999</v>
      </c>
      <c r="P1697" s="148">
        <f>IFERROR(__xludf.DUMMYFUNCTION("""COMPUTED_VALUE"""),99999.0)</f>
        <v>99999</v>
      </c>
      <c r="Q1697" s="148" t="str">
        <f>IFERROR(__xludf.DUMMYFUNCTION("""COMPUTED_VALUE"""),"[""bag_other""]")</f>
        <v>["bag_other"]</v>
      </c>
      <c r="R1697" s="148" t="str">
        <f>IFERROR(__xludf.DUMMYFUNCTION("""COMPUTED_VALUE"""),"[""bag""]")</f>
        <v>["bag"]</v>
      </c>
      <c r="S1697" s="148" t="str">
        <f>IFERROR(__xludf.DUMMYFUNCTION("""COMPUTED_VALUE"""),"{""drop"":{""typ"":""single_random"",""num"":1,""args"":[{""typ"":""item"",""id"":11117116,""num"":1,""wgt"":500},{""typ"":""item"",""id"":11117195,""num"":1,""wgt"":500},{""typ"":""item"",""id"":11117309,""num"":1,""wgt"":500},{""typ"":""item"",""id"":11"&amp;"117196,""num"":1,""wgt"":6000},{""typ"":""material"",""id"":19345004,""num"":10,""wgt"":2500}]}}")</f>
        <v>{"drop":{"typ":"single_random","num":1,"args":[{"typ":"item","id":11117116,"num":1,"wgt":500},{"typ":"item","id":11117195,"num":1,"wgt":500},{"typ":"item","id":11117309,"num":1,"wgt":500},{"typ":"item","id":11117196,"num":1,"wgt":6000},{"typ":"material","id":19345004,"num":10,"wgt":2500}]}}</v>
      </c>
      <c r="T1697" s="148">
        <f>IFERROR(__xludf.DUMMYFUNCTION("""COMPUTED_VALUE"""),-1.0)</f>
        <v>-1</v>
      </c>
      <c r="U1697" s="148">
        <f>IFERROR(__xludf.DUMMYFUNCTION("""COMPUTED_VALUE"""),0.0)</f>
        <v>0</v>
      </c>
      <c r="V1697" s="148" t="str">
        <f>IFERROR(__xludf.DUMMYFUNCTION("""COMPUTED_VALUE"""),"[]")</f>
        <v>[]</v>
      </c>
      <c r="W1697" s="148">
        <f>IFERROR(__xludf.DUMMYFUNCTION("""COMPUTED_VALUE"""),1.1741004E7)</f>
        <v>11741004</v>
      </c>
      <c r="X1697" s="148">
        <f>IFERROR(__xludf.DUMMYFUNCTION("""COMPUTED_VALUE"""),0.0)</f>
        <v>0</v>
      </c>
      <c r="Y1697" s="148">
        <f>IFERROR(__xludf.DUMMYFUNCTION("""COMPUTED_VALUE"""),0.0)</f>
        <v>0</v>
      </c>
      <c r="Z1697" s="148"/>
    </row>
    <row r="1698">
      <c r="A1698" s="148">
        <f>IFERROR(__xludf.DUMMYFUNCTION("""COMPUTED_VALUE"""),1.1117357E7)</f>
        <v>11117357</v>
      </c>
      <c r="B1698" s="148" t="str">
        <f>IFERROR(__xludf.DUMMYFUNCTION("""COMPUTED_VALUE"""),"zvz-死兵返还比例提升-5%")</f>
        <v>zvz-死兵返还比例提升-5%</v>
      </c>
      <c r="C1698" s="148"/>
      <c r="D1698" s="148" t="str">
        <f>IFERROR(__xludf.DUMMYFUNCTION("""COMPUTED_VALUE"""),"item_buff_soon")</f>
        <v>item_buff_soon</v>
      </c>
      <c r="E1698" s="148">
        <f>IFERROR(__xludf.DUMMYFUNCTION("""COMPUTED_VALUE"""),0.0)</f>
        <v>0</v>
      </c>
      <c r="F1698" s="148">
        <f>IFERROR(__xludf.DUMMYFUNCTION("""COMPUTED_VALUE"""),404102.0)</f>
        <v>404102</v>
      </c>
      <c r="G1698" s="148">
        <f>IFERROR(__xludf.DUMMYFUNCTION("""COMPUTED_VALUE"""),1.5114602E7)</f>
        <v>15114602</v>
      </c>
      <c r="H1698" s="148">
        <f>IFERROR(__xludf.DUMMYFUNCTION("""COMPUTED_VALUE"""),1.5112564E7)</f>
        <v>15112564</v>
      </c>
      <c r="I1698" s="148" t="str">
        <f>IFERROR(__xludf.DUMMYFUNCTION("""COMPUTED_VALUE"""),"{""typ"":""lc"",""txt"":""LC_ITEM_buff_val_upper_show"",""args"":[{""typ"":""int"",""val"":5}]}")</f>
        <v>{"typ":"lc","txt":"LC_ITEM_buff_val_upper_show","args":[{"typ":"int","val":5}]}</v>
      </c>
      <c r="J1698" s="148" t="str">
        <f>IFERROR(__xludf.DUMMYFUNCTION("""COMPUTED_VALUE"""),"{""typ"":""lc"",""txt"":""LC_ITEM_treat_station_upgrade_name""}")</f>
        <v>{"typ":"lc","txt":"LC_ITEM_treat_station_upgrade_name"}</v>
      </c>
      <c r="K1698" s="148" t="str">
        <f>IFERROR(__xludf.DUMMYFUNCTION("""COMPUTED_VALUE"""),"{""typ"":""lc"",""txt"":""LC_ITEM_treat_station_upgrade_desc"",""args"":[{""typ"":""int"",""val"":5}]}")</f>
        <v>{"typ":"lc","txt":"LC_ITEM_treat_station_upgrade_desc","args":[{"typ":"int","val":5}]}</v>
      </c>
      <c r="L1698" s="148" t="str">
        <f>IFERROR(__xludf.DUMMYFUNCTION("""COMPUTED_VALUE"""),"{""typ"":""lc"",""txt"":""LC_ITEM_treat_station_upgrade_usetip""}")</f>
        <v>{"typ":"lc","txt":"LC_ITEM_treat_station_upgrade_usetip"}</v>
      </c>
      <c r="M1698" s="148">
        <f>IFERROR(__xludf.DUMMYFUNCTION("""COMPUTED_VALUE"""),6750.0)</f>
        <v>6750</v>
      </c>
      <c r="N1698" s="148">
        <f>IFERROR(__xludf.DUMMYFUNCTION("""COMPUTED_VALUE"""),100.0)</f>
        <v>100</v>
      </c>
      <c r="O1698" s="148">
        <f>IFERROR(__xludf.DUMMYFUNCTION("""COMPUTED_VALUE"""),100.0)</f>
        <v>100</v>
      </c>
      <c r="P1698" s="148">
        <f>IFERROR(__xludf.DUMMYFUNCTION("""COMPUTED_VALUE"""),100.0)</f>
        <v>100</v>
      </c>
      <c r="Q1698" s="148" t="str">
        <f>IFERROR(__xludf.DUMMYFUNCTION("""COMPUTED_VALUE"""),"[""bag_other""]")</f>
        <v>["bag_other"]</v>
      </c>
      <c r="R1698" s="148" t="str">
        <f>IFERROR(__xludf.DUMMYFUNCTION("""COMPUTED_VALUE"""),"[]")</f>
        <v>[]</v>
      </c>
      <c r="S1698" s="148" t="str">
        <f>IFERROR(__xludf.DUMMYFUNCTION("""COMPUTED_VALUE"""),"{""effect"":[{""typ"":""buff"",""id"":121111025,""val"":-1,""arg1"":0.05}]}")</f>
        <v>{"effect":[{"typ":"buff","id":121111025,"val":-1,"arg1":0.05}]}</v>
      </c>
      <c r="T1698" s="148">
        <f>IFERROR(__xludf.DUMMYFUNCTION("""COMPUTED_VALUE"""),-1.0)</f>
        <v>-1</v>
      </c>
      <c r="U1698" s="148">
        <f>IFERROR(__xludf.DUMMYFUNCTION("""COMPUTED_VALUE"""),1.0)</f>
        <v>1</v>
      </c>
      <c r="V1698" s="148" t="str">
        <f>IFERROR(__xludf.DUMMYFUNCTION("""COMPUTED_VALUE"""),"[]")</f>
        <v>[]</v>
      </c>
      <c r="W1698" s="148">
        <f>IFERROR(__xludf.DUMMYFUNCTION("""COMPUTED_VALUE"""),1.174E7)</f>
        <v>11740000</v>
      </c>
      <c r="X1698" s="148">
        <f>IFERROR(__xludf.DUMMYFUNCTION("""COMPUTED_VALUE"""),0.0)</f>
        <v>0</v>
      </c>
      <c r="Y1698" s="148">
        <f>IFERROR(__xludf.DUMMYFUNCTION("""COMPUTED_VALUE"""),0.0)</f>
        <v>0</v>
      </c>
      <c r="Z1698" s="148"/>
    </row>
    <row r="1699">
      <c r="A1699" s="148">
        <f>IFERROR(__xludf.DUMMYFUNCTION("""COMPUTED_VALUE"""),1.1117358E7)</f>
        <v>11117358</v>
      </c>
      <c r="B1699" s="148" t="str">
        <f>IFERROR(__xludf.DUMMYFUNCTION("""COMPUTED_VALUE"""),"zvz-跨服期间攻击力提升-15%")</f>
        <v>zvz-跨服期间攻击力提升-15%</v>
      </c>
      <c r="C1699" s="148"/>
      <c r="D1699" s="148" t="str">
        <f>IFERROR(__xludf.DUMMYFUNCTION("""COMPUTED_VALUE"""),"item_buff_soon")</f>
        <v>item_buff_soon</v>
      </c>
      <c r="E1699" s="148">
        <f>IFERROR(__xludf.DUMMYFUNCTION("""COMPUTED_VALUE"""),0.0)</f>
        <v>0</v>
      </c>
      <c r="F1699" s="148">
        <f>IFERROR(__xludf.DUMMYFUNCTION("""COMPUTED_VALUE"""),404102.0)</f>
        <v>404102</v>
      </c>
      <c r="G1699" s="148">
        <f>IFERROR(__xludf.DUMMYFUNCTION("""COMPUTED_VALUE"""),1.5112567E7)</f>
        <v>15112567</v>
      </c>
      <c r="H1699" s="148">
        <f>IFERROR(__xludf.DUMMYFUNCTION("""COMPUTED_VALUE"""),1.5112564E7)</f>
        <v>15112564</v>
      </c>
      <c r="I1699" s="148" t="str">
        <f>IFERROR(__xludf.DUMMYFUNCTION("""COMPUTED_VALUE"""),"{""typ"":""lc"",""txt"":""LC_ITEM_buff_val_upper_show"",""args"":[{""typ"":""int"",""val"":15}]}")</f>
        <v>{"typ":"lc","txt":"LC_ITEM_buff_val_upper_show","args":[{"typ":"int","val":15}]}</v>
      </c>
      <c r="J1699" s="148" t="str">
        <f>IFERROR(__xludf.DUMMYFUNCTION("""COMPUTED_VALUE"""),"{""typ"":""lc"",""txt"":""LC_ITEM_zvzwonder_atkup_title"",""args"":[{""typ"":""int"",""val"":15}]}")</f>
        <v>{"typ":"lc","txt":"LC_ITEM_zvzwonder_atkup_title","args":[{"typ":"int","val":15}]}</v>
      </c>
      <c r="K1699" s="148" t="str">
        <f>IFERROR(__xludf.DUMMYFUNCTION("""COMPUTED_VALUE"""),"{""typ"":""lc"",""txt"":""LC_ITEM_zvzwonder_atkup_desc"",""args"":[{""typ"":""int"",""val"":15}]}")</f>
        <v>{"typ":"lc","txt":"LC_ITEM_zvzwonder_atkup_desc","args":[{"typ":"int","val":15}]}</v>
      </c>
      <c r="L1699" s="148" t="str">
        <f>IFERROR(__xludf.DUMMYFUNCTION("""COMPUTED_VALUE"""),"{}")</f>
        <v>{}</v>
      </c>
      <c r="M1699" s="148">
        <f>IFERROR(__xludf.DUMMYFUNCTION("""COMPUTED_VALUE"""),20250.0)</f>
        <v>20250</v>
      </c>
      <c r="N1699" s="148">
        <f>IFERROR(__xludf.DUMMYFUNCTION("""COMPUTED_VALUE"""),100.0)</f>
        <v>100</v>
      </c>
      <c r="O1699" s="148">
        <f>IFERROR(__xludf.DUMMYFUNCTION("""COMPUTED_VALUE"""),100.0)</f>
        <v>100</v>
      </c>
      <c r="P1699" s="148">
        <f>IFERROR(__xludf.DUMMYFUNCTION("""COMPUTED_VALUE"""),100.0)</f>
        <v>100</v>
      </c>
      <c r="Q1699" s="148" t="str">
        <f>IFERROR(__xludf.DUMMYFUNCTION("""COMPUTED_VALUE"""),"[""bag_other""]")</f>
        <v>["bag_other"]</v>
      </c>
      <c r="R1699" s="148" t="str">
        <f>IFERROR(__xludf.DUMMYFUNCTION("""COMPUTED_VALUE"""),"[]")</f>
        <v>[]</v>
      </c>
      <c r="S1699" s="148" t="str">
        <f>IFERROR(__xludf.DUMMYFUNCTION("""COMPUTED_VALUE"""),"{""effect"":[{""typ"":""buff"",""id"":121111026,""val"":172800000,""arg1"":0.15}]}")</f>
        <v>{"effect":[{"typ":"buff","id":121111026,"val":172800000,"arg1":0.15}]}</v>
      </c>
      <c r="T1699" s="148">
        <f>IFERROR(__xludf.DUMMYFUNCTION("""COMPUTED_VALUE"""),-1.0)</f>
        <v>-1</v>
      </c>
      <c r="U1699" s="148">
        <f>IFERROR(__xludf.DUMMYFUNCTION("""COMPUTED_VALUE"""),1.0)</f>
        <v>1</v>
      </c>
      <c r="V1699" s="148" t="str">
        <f>IFERROR(__xludf.DUMMYFUNCTION("""COMPUTED_VALUE"""),"[]")</f>
        <v>[]</v>
      </c>
      <c r="W1699" s="148">
        <f>IFERROR(__xludf.DUMMYFUNCTION("""COMPUTED_VALUE"""),1.174E7)</f>
        <v>11740000</v>
      </c>
      <c r="X1699" s="148">
        <f>IFERROR(__xludf.DUMMYFUNCTION("""COMPUTED_VALUE"""),0.0)</f>
        <v>0</v>
      </c>
      <c r="Y1699" s="148">
        <f>IFERROR(__xludf.DUMMYFUNCTION("""COMPUTED_VALUE"""),0.0)</f>
        <v>0</v>
      </c>
      <c r="Z1699" s="148"/>
    </row>
    <row r="1700">
      <c r="A1700" s="148">
        <f>IFERROR(__xludf.DUMMYFUNCTION("""COMPUTED_VALUE"""),1.1117359E7)</f>
        <v>11117359</v>
      </c>
      <c r="B1700" s="148" t="str">
        <f>IFERROR(__xludf.DUMMYFUNCTION("""COMPUTED_VALUE"""),"跨服wonder-成就币")</f>
        <v>跨服wonder-成就币</v>
      </c>
      <c r="C1700" s="148"/>
      <c r="D1700" s="148" t="str">
        <f>IFERROR(__xludf.DUMMYFUNCTION("""COMPUTED_VALUE"""),"event_progress")</f>
        <v>event_progress</v>
      </c>
      <c r="E1700" s="148">
        <f>IFERROR(__xludf.DUMMYFUNCTION("""COMPUTED_VALUE"""),0.0)</f>
        <v>0</v>
      </c>
      <c r="F1700" s="148">
        <f>IFERROR(__xludf.DUMMYFUNCTION("""COMPUTED_VALUE"""),0.0)</f>
        <v>0</v>
      </c>
      <c r="G1700" s="148">
        <f>IFERROR(__xludf.DUMMYFUNCTION("""COMPUTED_VALUE"""),1.5115993E7)</f>
        <v>15115993</v>
      </c>
      <c r="H1700" s="148">
        <f>IFERROR(__xludf.DUMMYFUNCTION("""COMPUTED_VALUE"""),0.0)</f>
        <v>0</v>
      </c>
      <c r="I1700" s="148" t="str">
        <f>IFERROR(__xludf.DUMMYFUNCTION("""COMPUTED_VALUE"""),"{}")</f>
        <v>{}</v>
      </c>
      <c r="J1700" s="148" t="str">
        <f>IFERROR(__xludf.DUMMYFUNCTION("""COMPUTED_VALUE"""),"{""typ"":""lc"",""txt"":""LC_ITEM_zvz_wonder_shop_currency""}")</f>
        <v>{"typ":"lc","txt":"LC_ITEM_zvz_wonder_shop_currency"}</v>
      </c>
      <c r="K1700" s="148" t="str">
        <f>IFERROR(__xludf.DUMMYFUNCTION("""COMPUTED_VALUE"""),"{""typ"":""lc"",""txt"":""LC_ITEM_zvz_wonder_shop_currency_desc""}")</f>
        <v>{"typ":"lc","txt":"LC_ITEM_zvz_wonder_shop_currency_desc"}</v>
      </c>
      <c r="L1700" s="148" t="str">
        <f>IFERROR(__xludf.DUMMYFUNCTION("""COMPUTED_VALUE"""),"{}")</f>
        <v>{}</v>
      </c>
      <c r="M1700" s="148">
        <f>IFERROR(__xludf.DUMMYFUNCTION("""COMPUTED_VALUE"""),10.0)</f>
        <v>10</v>
      </c>
      <c r="N1700" s="148">
        <f>IFERROR(__xludf.DUMMYFUNCTION("""COMPUTED_VALUE"""),9.99999999E8)</f>
        <v>999999999</v>
      </c>
      <c r="O1700" s="148">
        <f>IFERROR(__xludf.DUMMYFUNCTION("""COMPUTED_VALUE"""),9.99999999E8)</f>
        <v>999999999</v>
      </c>
      <c r="P1700" s="148">
        <f>IFERROR(__xludf.DUMMYFUNCTION("""COMPUTED_VALUE"""),9.99999999E8)</f>
        <v>999999999</v>
      </c>
      <c r="Q1700" s="148" t="str">
        <f>IFERROR(__xludf.DUMMYFUNCTION("""COMPUTED_VALUE"""),"[]")</f>
        <v>[]</v>
      </c>
      <c r="R1700" s="148" t="str">
        <f>IFERROR(__xludf.DUMMYFUNCTION("""COMPUTED_VALUE"""),"[]")</f>
        <v>[]</v>
      </c>
      <c r="S1700" s="148" t="str">
        <f>IFERROR(__xludf.DUMMYFUNCTION("""COMPUTED_VALUE"""),"{}")</f>
        <v>{}</v>
      </c>
      <c r="T1700" s="148">
        <f>IFERROR(__xludf.DUMMYFUNCTION("""COMPUTED_VALUE"""),-1.0)</f>
        <v>-1</v>
      </c>
      <c r="U1700" s="148">
        <f>IFERROR(__xludf.DUMMYFUNCTION("""COMPUTED_VALUE"""),1.0)</f>
        <v>1</v>
      </c>
      <c r="V1700" s="148" t="str">
        <f>IFERROR(__xludf.DUMMYFUNCTION("""COMPUTED_VALUE"""),"[]")</f>
        <v>[]</v>
      </c>
      <c r="W1700" s="148">
        <f>IFERROR(__xludf.DUMMYFUNCTION("""COMPUTED_VALUE"""),1.174E7)</f>
        <v>11740000</v>
      </c>
      <c r="X1700" s="148">
        <f>IFERROR(__xludf.DUMMYFUNCTION("""COMPUTED_VALUE"""),0.0)</f>
        <v>0</v>
      </c>
      <c r="Y1700" s="148">
        <f>IFERROR(__xludf.DUMMYFUNCTION("""COMPUTED_VALUE"""),0.0)</f>
        <v>0</v>
      </c>
      <c r="Z1700" s="148"/>
    </row>
    <row r="1701">
      <c r="A1701" s="148">
        <f>IFERROR(__xludf.DUMMYFUNCTION("""COMPUTED_VALUE"""),1.111736E7)</f>
        <v>11117360</v>
      </c>
      <c r="B1701" s="148" t="str">
        <f>IFERROR(__xludf.DUMMYFUNCTION("""COMPUTED_VALUE"""),"科技节2023活动专用-增加次数道具")</f>
        <v>科技节2023活动专用-增加次数道具</v>
      </c>
      <c r="C1701" s="148"/>
      <c r="D1701" s="148" t="str">
        <f>IFERROR(__xludf.DUMMYFUNCTION("""COMPUTED_VALUE"""),"event_progress")</f>
        <v>event_progress</v>
      </c>
      <c r="E1701" s="148">
        <f>IFERROR(__xludf.DUMMYFUNCTION("""COMPUTED_VALUE"""),0.0)</f>
        <v>0</v>
      </c>
      <c r="F1701" s="148">
        <f>IFERROR(__xludf.DUMMYFUNCTION("""COMPUTED_VALUE"""),0.0)</f>
        <v>0</v>
      </c>
      <c r="G1701" s="148">
        <f>IFERROR(__xludf.DUMMYFUNCTION("""COMPUTED_VALUE"""),1.5113732E7)</f>
        <v>15113732</v>
      </c>
      <c r="H1701" s="148">
        <f>IFERROR(__xludf.DUMMYFUNCTION("""COMPUTED_VALUE"""),1.5112563E7)</f>
        <v>15112563</v>
      </c>
      <c r="I1701" s="148" t="str">
        <f>IFERROR(__xludf.DUMMYFUNCTION("""COMPUTED_VALUE"""),"{}")</f>
        <v>{}</v>
      </c>
      <c r="J1701" s="148" t="str">
        <f>IFERROR(__xludf.DUMMYFUNCTION("""COMPUTED_VALUE"""),"{}")</f>
        <v>{}</v>
      </c>
      <c r="K1701" s="148" t="str">
        <f>IFERROR(__xludf.DUMMYFUNCTION("""COMPUTED_VALUE"""),"{}")</f>
        <v>{}</v>
      </c>
      <c r="L1701" s="148" t="str">
        <f>IFERROR(__xludf.DUMMYFUNCTION("""COMPUTED_VALUE"""),"{}")</f>
        <v>{}</v>
      </c>
      <c r="M1701" s="148">
        <f>IFERROR(__xludf.DUMMYFUNCTION("""COMPUTED_VALUE"""),1.0)</f>
        <v>1</v>
      </c>
      <c r="N1701" s="148">
        <f>IFERROR(__xludf.DUMMYFUNCTION("""COMPUTED_VALUE"""),999999.0)</f>
        <v>999999</v>
      </c>
      <c r="O1701" s="148">
        <f>IFERROR(__xludf.DUMMYFUNCTION("""COMPUTED_VALUE"""),99999.0)</f>
        <v>99999</v>
      </c>
      <c r="P1701" s="148">
        <f>IFERROR(__xludf.DUMMYFUNCTION("""COMPUTED_VALUE"""),9999.0)</f>
        <v>9999</v>
      </c>
      <c r="Q1701" s="148" t="str">
        <f>IFERROR(__xludf.DUMMYFUNCTION("""COMPUTED_VALUE"""),"[]")</f>
        <v>[]</v>
      </c>
      <c r="R1701" s="148" t="str">
        <f>IFERROR(__xludf.DUMMYFUNCTION("""COMPUTED_VALUE"""),"[]")</f>
        <v>[]</v>
      </c>
      <c r="S1701" s="148" t="str">
        <f>IFERROR(__xludf.DUMMYFUNCTION("""COMPUTED_VALUE"""),"{""effect"":[{""typ"":""event"",""id"":21121457},{""typ"":""miss_lost_reward""}]}")</f>
        <v>{"effect":[{"typ":"event","id":21121457},{"typ":"miss_lost_reward"}]}</v>
      </c>
      <c r="T1701" s="148">
        <f>IFERROR(__xludf.DUMMYFUNCTION("""COMPUTED_VALUE"""),-1.0)</f>
        <v>-1</v>
      </c>
      <c r="U1701" s="148">
        <f>IFERROR(__xludf.DUMMYFUNCTION("""COMPUTED_VALUE"""),1.0)</f>
        <v>1</v>
      </c>
      <c r="V1701" s="148" t="str">
        <f>IFERROR(__xludf.DUMMYFUNCTION("""COMPUTED_VALUE"""),"[]")</f>
        <v>[]</v>
      </c>
      <c r="W1701" s="148">
        <f>IFERROR(__xludf.DUMMYFUNCTION("""COMPUTED_VALUE"""),1.174E7)</f>
        <v>11740000</v>
      </c>
      <c r="X1701" s="148">
        <f>IFERROR(__xludf.DUMMYFUNCTION("""COMPUTED_VALUE"""),0.0)</f>
        <v>0</v>
      </c>
      <c r="Y1701" s="148">
        <f>IFERROR(__xludf.DUMMYFUNCTION("""COMPUTED_VALUE"""),0.0)</f>
        <v>0</v>
      </c>
      <c r="Z1701" s="148"/>
    </row>
    <row r="1702">
      <c r="A1702" s="148">
        <f>IFERROR(__xludf.DUMMYFUNCTION("""COMPUTED_VALUE"""),1.1117361E7)</f>
        <v>11117361</v>
      </c>
      <c r="B1702" s="148" t="str">
        <f>IFERROR(__xludf.DUMMYFUNCTION("""COMPUTED_VALUE"""),"2023科技节BattlePass-初级通行证")</f>
        <v>2023科技节BattlePass-初级通行证</v>
      </c>
      <c r="C1702" s="148"/>
      <c r="D1702" s="148" t="str">
        <f>IFERROR(__xludf.DUMMYFUNCTION("""COMPUTED_VALUE"""),"battle_pass_card")</f>
        <v>battle_pass_card</v>
      </c>
      <c r="E1702" s="148">
        <f>IFERROR(__xludf.DUMMYFUNCTION("""COMPUTED_VALUE"""),0.0)</f>
        <v>0</v>
      </c>
      <c r="F1702" s="148">
        <f>IFERROR(__xludf.DUMMYFUNCTION("""COMPUTED_VALUE"""),0.0)</f>
        <v>0</v>
      </c>
      <c r="G1702" s="148">
        <f>IFERROR(__xludf.DUMMYFUNCTION("""COMPUTED_VALUE"""),1.5113625E7)</f>
        <v>15113625</v>
      </c>
      <c r="H1702" s="148">
        <f>IFERROR(__xludf.DUMMYFUNCTION("""COMPUTED_VALUE"""),1.5112563E7)</f>
        <v>15112563</v>
      </c>
      <c r="I1702" s="148" t="str">
        <f>IFERROR(__xludf.DUMMYFUNCTION("""COMPUTED_VALUE"""),"{}")</f>
        <v>{}</v>
      </c>
      <c r="J1702" s="148" t="str">
        <f>IFERROR(__xludf.DUMMYFUNCTION("""COMPUTED_VALUE"""),"{""typ"":""lc"",""txt"":""LC_IAP_classic_2023_valentine_gift""}")</f>
        <v>{"typ":"lc","txt":"LC_IAP_classic_2023_valentine_gift"}</v>
      </c>
      <c r="K1702" s="148" t="str">
        <f>IFERROR(__xludf.DUMMYFUNCTION("""COMPUTED_VALUE"""),"{}")</f>
        <v>{}</v>
      </c>
      <c r="L1702" s="148" t="str">
        <f>IFERROR(__xludf.DUMMYFUNCTION("""COMPUTED_VALUE"""),"{}")</f>
        <v>{}</v>
      </c>
      <c r="M1702" s="148">
        <f>IFERROR(__xludf.DUMMYFUNCTION("""COMPUTED_VALUE"""),10.0)</f>
        <v>10</v>
      </c>
      <c r="N1702" s="148">
        <f>IFERROR(__xludf.DUMMYFUNCTION("""COMPUTED_VALUE"""),999999.0)</f>
        <v>999999</v>
      </c>
      <c r="O1702" s="148">
        <f>IFERROR(__xludf.DUMMYFUNCTION("""COMPUTED_VALUE"""),99999.0)</f>
        <v>99999</v>
      </c>
      <c r="P1702" s="148">
        <f>IFERROR(__xludf.DUMMYFUNCTION("""COMPUTED_VALUE"""),9999.0)</f>
        <v>9999</v>
      </c>
      <c r="Q1702" s="148" t="str">
        <f>IFERROR(__xludf.DUMMYFUNCTION("""COMPUTED_VALUE"""),"[]")</f>
        <v>[]</v>
      </c>
      <c r="R1702" s="148" t="str">
        <f>IFERROR(__xludf.DUMMYFUNCTION("""COMPUTED_VALUE"""),"[]")</f>
        <v>[]</v>
      </c>
      <c r="S1702" s="148" t="str">
        <f>IFERROR(__xludf.DUMMYFUNCTION("""COMPUTED_VALUE"""),"{}")</f>
        <v>{}</v>
      </c>
      <c r="T1702" s="148">
        <f>IFERROR(__xludf.DUMMYFUNCTION("""COMPUTED_VALUE"""),-1.0)</f>
        <v>-1</v>
      </c>
      <c r="U1702" s="148">
        <f>IFERROR(__xludf.DUMMYFUNCTION("""COMPUTED_VALUE"""),1.0)</f>
        <v>1</v>
      </c>
      <c r="V1702" s="148" t="str">
        <f>IFERROR(__xludf.DUMMYFUNCTION("""COMPUTED_VALUE"""),"[]")</f>
        <v>[]</v>
      </c>
      <c r="W1702" s="148">
        <f>IFERROR(__xludf.DUMMYFUNCTION("""COMPUTED_VALUE"""),1.174E7)</f>
        <v>11740000</v>
      </c>
      <c r="X1702" s="148">
        <f>IFERROR(__xludf.DUMMYFUNCTION("""COMPUTED_VALUE"""),0.0)</f>
        <v>0</v>
      </c>
      <c r="Y1702" s="148">
        <f>IFERROR(__xludf.DUMMYFUNCTION("""COMPUTED_VALUE"""),0.0)</f>
        <v>0</v>
      </c>
      <c r="Z1702" s="148"/>
    </row>
    <row r="1703">
      <c r="A1703" s="148">
        <f>IFERROR(__xludf.DUMMYFUNCTION("""COMPUTED_VALUE"""),1.1117362E7)</f>
        <v>11117362</v>
      </c>
      <c r="B1703" s="148" t="str">
        <f>IFERROR(__xludf.DUMMYFUNCTION("""COMPUTED_VALUE"""),"2023科技节BattlePass-高级通行证")</f>
        <v>2023科技节BattlePass-高级通行证</v>
      </c>
      <c r="C1703" s="148"/>
      <c r="D1703" s="148" t="str">
        <f>IFERROR(__xludf.DUMMYFUNCTION("""COMPUTED_VALUE"""),"battle_pass_card")</f>
        <v>battle_pass_card</v>
      </c>
      <c r="E1703" s="148">
        <f>IFERROR(__xludf.DUMMYFUNCTION("""COMPUTED_VALUE"""),0.0)</f>
        <v>0</v>
      </c>
      <c r="F1703" s="148">
        <f>IFERROR(__xludf.DUMMYFUNCTION("""COMPUTED_VALUE"""),0.0)</f>
        <v>0</v>
      </c>
      <c r="G1703" s="148">
        <f>IFERROR(__xludf.DUMMYFUNCTION("""COMPUTED_VALUE"""),1.5113625E7)</f>
        <v>15113625</v>
      </c>
      <c r="H1703" s="148">
        <f>IFERROR(__xludf.DUMMYFUNCTION("""COMPUTED_VALUE"""),1.5112564E7)</f>
        <v>15112564</v>
      </c>
      <c r="I1703" s="148" t="str">
        <f>IFERROR(__xludf.DUMMYFUNCTION("""COMPUTED_VALUE"""),"{}")</f>
        <v>{}</v>
      </c>
      <c r="J1703" s="148" t="str">
        <f>IFERROR(__xludf.DUMMYFUNCTION("""COMPUTED_VALUE"""),"{""typ"":""lc"",""txt"":""LC_IAP_luxury_2023_valentine_gift""}")</f>
        <v>{"typ":"lc","txt":"LC_IAP_luxury_2023_valentine_gift"}</v>
      </c>
      <c r="K1703" s="148" t="str">
        <f>IFERROR(__xludf.DUMMYFUNCTION("""COMPUTED_VALUE"""),"{}")</f>
        <v>{}</v>
      </c>
      <c r="L1703" s="148" t="str">
        <f>IFERROR(__xludf.DUMMYFUNCTION("""COMPUTED_VALUE"""),"{}")</f>
        <v>{}</v>
      </c>
      <c r="M1703" s="148">
        <f>IFERROR(__xludf.DUMMYFUNCTION("""COMPUTED_VALUE"""),10.0)</f>
        <v>10</v>
      </c>
      <c r="N1703" s="148">
        <f>IFERROR(__xludf.DUMMYFUNCTION("""COMPUTED_VALUE"""),999999.0)</f>
        <v>999999</v>
      </c>
      <c r="O1703" s="148">
        <f>IFERROR(__xludf.DUMMYFUNCTION("""COMPUTED_VALUE"""),99999.0)</f>
        <v>99999</v>
      </c>
      <c r="P1703" s="148">
        <f>IFERROR(__xludf.DUMMYFUNCTION("""COMPUTED_VALUE"""),9999.0)</f>
        <v>9999</v>
      </c>
      <c r="Q1703" s="148" t="str">
        <f>IFERROR(__xludf.DUMMYFUNCTION("""COMPUTED_VALUE"""),"[]")</f>
        <v>[]</v>
      </c>
      <c r="R1703" s="148" t="str">
        <f>IFERROR(__xludf.DUMMYFUNCTION("""COMPUTED_VALUE"""),"[]")</f>
        <v>[]</v>
      </c>
      <c r="S1703" s="148" t="str">
        <f>IFERROR(__xludf.DUMMYFUNCTION("""COMPUTED_VALUE"""),"{}")</f>
        <v>{}</v>
      </c>
      <c r="T1703" s="148">
        <f>IFERROR(__xludf.DUMMYFUNCTION("""COMPUTED_VALUE"""),-1.0)</f>
        <v>-1</v>
      </c>
      <c r="U1703" s="148">
        <f>IFERROR(__xludf.DUMMYFUNCTION("""COMPUTED_VALUE"""),1.0)</f>
        <v>1</v>
      </c>
      <c r="V1703" s="148" t="str">
        <f>IFERROR(__xludf.DUMMYFUNCTION("""COMPUTED_VALUE"""),"[]")</f>
        <v>[]</v>
      </c>
      <c r="W1703" s="148">
        <f>IFERROR(__xludf.DUMMYFUNCTION("""COMPUTED_VALUE"""),1.174E7)</f>
        <v>11740000</v>
      </c>
      <c r="X1703" s="148">
        <f>IFERROR(__xludf.DUMMYFUNCTION("""COMPUTED_VALUE"""),0.0)</f>
        <v>0</v>
      </c>
      <c r="Y1703" s="148">
        <f>IFERROR(__xludf.DUMMYFUNCTION("""COMPUTED_VALUE"""),0.0)</f>
        <v>0</v>
      </c>
      <c r="Z1703" s="148"/>
    </row>
    <row r="1704">
      <c r="A1704" s="148">
        <f>IFERROR(__xludf.DUMMYFUNCTION("""COMPUTED_VALUE"""),1.1117363E7)</f>
        <v>11117363</v>
      </c>
      <c r="B1704" s="148" t="str">
        <f>IFERROR(__xludf.DUMMYFUNCTION("""COMPUTED_VALUE"""),"聚能环-科技节2023活动BP道具")</f>
        <v>聚能环-科技节2023活动BP道具</v>
      </c>
      <c r="C1704" s="148"/>
      <c r="D1704" s="148" t="str">
        <f>IFERROR(__xludf.DUMMYFUNCTION("""COMPUTED_VALUE"""),"battle_pass_exp")</f>
        <v>battle_pass_exp</v>
      </c>
      <c r="E1704" s="148">
        <f>IFERROR(__xludf.DUMMYFUNCTION("""COMPUTED_VALUE"""),0.0)</f>
        <v>0</v>
      </c>
      <c r="F1704" s="148">
        <f>IFERROR(__xludf.DUMMYFUNCTION("""COMPUTED_VALUE"""),405217.0)</f>
        <v>405217</v>
      </c>
      <c r="G1704" s="148">
        <f>IFERROR(__xludf.DUMMYFUNCTION("""COMPUTED_VALUE"""),1.5115997E7)</f>
        <v>15115997</v>
      </c>
      <c r="H1704" s="148">
        <f>IFERROR(__xludf.DUMMYFUNCTION("""COMPUTED_VALUE"""),1.5112563E7)</f>
        <v>15112563</v>
      </c>
      <c r="I1704" s="148" t="str">
        <f>IFERROR(__xludf.DUMMYFUNCTION("""COMPUTED_VALUE"""),"{}")</f>
        <v>{}</v>
      </c>
      <c r="J1704" s="148" t="str">
        <f>IFERROR(__xludf.DUMMYFUNCTION("""COMPUTED_VALUE"""),"{""typ"":""lc"",""txt"":""LC_ITEM_2023_science_bp_item""}")</f>
        <v>{"typ":"lc","txt":"LC_ITEM_2023_science_bp_item"}</v>
      </c>
      <c r="K1704" s="148" t="str">
        <f>IFERROR(__xludf.DUMMYFUNCTION("""COMPUTED_VALUE"""),"{""typ"":""lc"",""txt"":""LC_ITEM_2023_science_bp_item_desc""}")</f>
        <v>{"typ":"lc","txt":"LC_ITEM_2023_science_bp_item_desc"}</v>
      </c>
      <c r="L1704" s="148" t="str">
        <f>IFERROR(__xludf.DUMMYFUNCTION("""COMPUTED_VALUE"""),"{}")</f>
        <v>{}</v>
      </c>
      <c r="M1704" s="148">
        <f>IFERROR(__xludf.DUMMYFUNCTION("""COMPUTED_VALUE"""),35.0)</f>
        <v>35</v>
      </c>
      <c r="N1704" s="148">
        <f>IFERROR(__xludf.DUMMYFUNCTION("""COMPUTED_VALUE"""),999999.0)</f>
        <v>999999</v>
      </c>
      <c r="O1704" s="148">
        <f>IFERROR(__xludf.DUMMYFUNCTION("""COMPUTED_VALUE"""),99999.0)</f>
        <v>99999</v>
      </c>
      <c r="P1704" s="148">
        <f>IFERROR(__xludf.DUMMYFUNCTION("""COMPUTED_VALUE"""),99999.0)</f>
        <v>99999</v>
      </c>
      <c r="Q1704" s="148" t="str">
        <f>IFERROR(__xludf.DUMMYFUNCTION("""COMPUTED_VALUE"""),"[""bag_other""]")</f>
        <v>["bag_other"]</v>
      </c>
      <c r="R1704" s="148" t="str">
        <f>IFERROR(__xludf.DUMMYFUNCTION("""COMPUTED_VALUE"""),"[""bag""]")</f>
        <v>["bag"]</v>
      </c>
      <c r="S1704" s="148" t="str">
        <f>IFERROR(__xludf.DUMMYFUNCTION("""COMPUTED_VALUE"""),"{}")</f>
        <v>{}</v>
      </c>
      <c r="T1704" s="148">
        <f>IFERROR(__xludf.DUMMYFUNCTION("""COMPUTED_VALUE"""),-1.0)</f>
        <v>-1</v>
      </c>
      <c r="U1704" s="148">
        <f>IFERROR(__xludf.DUMMYFUNCTION("""COMPUTED_VALUE"""),0.0)</f>
        <v>0</v>
      </c>
      <c r="V1704" s="148" t="str">
        <f>IFERROR(__xludf.DUMMYFUNCTION("""COMPUTED_VALUE"""),"[]")</f>
        <v>[]</v>
      </c>
      <c r="W1704" s="148">
        <f>IFERROR(__xludf.DUMMYFUNCTION("""COMPUTED_VALUE"""),1.174E7)</f>
        <v>11740000</v>
      </c>
      <c r="X1704" s="148">
        <f>IFERROR(__xludf.DUMMYFUNCTION("""COMPUTED_VALUE"""),0.0)</f>
        <v>0</v>
      </c>
      <c r="Y1704" s="148">
        <f>IFERROR(__xludf.DUMMYFUNCTION("""COMPUTED_VALUE"""),0.0)</f>
        <v>0</v>
      </c>
      <c r="Z1704" s="148"/>
    </row>
    <row r="1705">
      <c r="A1705" s="148">
        <f>IFERROR(__xludf.DUMMYFUNCTION("""COMPUTED_VALUE"""),1.1117364E7)</f>
        <v>11117364</v>
      </c>
      <c r="B1705" s="148" t="str">
        <f>IFERROR(__xludf.DUMMYFUNCTION("""COMPUTED_VALUE"""),"行军特效-科技光辉-1天限时")</f>
        <v>行军特效-科技光辉-1天限时</v>
      </c>
      <c r="C1705" s="148"/>
      <c r="D1705" s="148" t="str">
        <f>IFERROR(__xludf.DUMMYFUNCTION("""COMPUTED_VALUE"""),"marching_effect")</f>
        <v>marching_effect</v>
      </c>
      <c r="E1705" s="148">
        <f>IFERROR(__xludf.DUMMYFUNCTION("""COMPUTED_VALUE"""),0.0)</f>
        <v>0</v>
      </c>
      <c r="F1705" s="148">
        <f>IFERROR(__xludf.DUMMYFUNCTION("""COMPUTED_VALUE"""),408200.0)</f>
        <v>408200</v>
      </c>
      <c r="G1705" s="148">
        <f>IFERROR(__xludf.DUMMYFUNCTION("""COMPUTED_VALUE"""),1.5115998E7)</f>
        <v>15115998</v>
      </c>
      <c r="H1705" s="148">
        <f>IFERROR(__xludf.DUMMYFUNCTION("""COMPUTED_VALUE"""),1.511256E7)</f>
        <v>15112560</v>
      </c>
      <c r="I1705" s="148" t="str">
        <f>IFERROR(__xludf.DUMMYFUNCTION("""COMPUTED_VALUE"""),"{""typ"":""lc"",""txt"":""LC_ITEM_time_day_upper_show"",""args"":[{""typ"":""int_unit"",""val"":1}]}")</f>
        <v>{"typ":"lc","txt":"LC_ITEM_time_day_upper_show","args":[{"typ":"int_unit","val":1}]}</v>
      </c>
      <c r="J1705" s="148" t="str">
        <f>IFERROR(__xludf.DUMMYFUNCTION("""COMPUTED_VALUE"""),"{""typ"":""lc"",""txt"":""LC_ITEM_2023_science_bp_march_effect""}")</f>
        <v>{"typ":"lc","txt":"LC_ITEM_2023_science_bp_march_effect"}</v>
      </c>
      <c r="K1705" s="148" t="str">
        <f>IFERROR(__xludf.DUMMYFUNCTION("""COMPUTED_VALUE"""),"{""typ"":""lc"",""txt"":""LC_ITEM_2023_science_bp_march_effect_desc""}")</f>
        <v>{"typ":"lc","txt":"LC_ITEM_2023_science_bp_march_effect_desc"}</v>
      </c>
      <c r="L1705" s="148" t="str">
        <f>IFERROR(__xludf.DUMMYFUNCTION("""COMPUTED_VALUE"""),"{""typ"":""lc"",""txt"":""LC_ITEM_2023_science_bp_march_effect_use_tip_1d""}")</f>
        <v>{"typ":"lc","txt":"LC_ITEM_2023_science_bp_march_effect_use_tip_1d"}</v>
      </c>
      <c r="M1705" s="148">
        <f>IFERROR(__xludf.DUMMYFUNCTION("""COMPUTED_VALUE"""),50.0)</f>
        <v>50</v>
      </c>
      <c r="N1705" s="148">
        <f>IFERROR(__xludf.DUMMYFUNCTION("""COMPUTED_VALUE"""),999999.0)</f>
        <v>999999</v>
      </c>
      <c r="O1705" s="148">
        <f>IFERROR(__xludf.DUMMYFUNCTION("""COMPUTED_VALUE"""),99999.0)</f>
        <v>99999</v>
      </c>
      <c r="P1705" s="148">
        <f>IFERROR(__xludf.DUMMYFUNCTION("""COMPUTED_VALUE"""),1.0)</f>
        <v>1</v>
      </c>
      <c r="Q1705" s="148" t="str">
        <f>IFERROR(__xludf.DUMMYFUNCTION("""COMPUTED_VALUE"""),"[""bag_other""]")</f>
        <v>["bag_other"]</v>
      </c>
      <c r="R1705" s="148" t="str">
        <f>IFERROR(__xludf.DUMMYFUNCTION("""COMPUTED_VALUE"""),"[""bag"",""13650106""]")</f>
        <v>["bag","13650106"]</v>
      </c>
      <c r="S1705" s="148" t="str">
        <f>IFERROR(__xludf.DUMMYFUNCTION("""COMPUTED_VALUE"""),"{""effect"":[{""typ"":""marching_effect"",""id"":13650106,""val"":86400000},{""typ"":""vm"",""id"":11151001,""val"":50}]}")</f>
        <v>{"effect":[{"typ":"marching_effect","id":13650106,"val":86400000},{"typ":"vm","id":11151001,"val":50}]}</v>
      </c>
      <c r="T1705" s="148">
        <f>IFERROR(__xludf.DUMMYFUNCTION("""COMPUTED_VALUE"""),-1.0)</f>
        <v>-1</v>
      </c>
      <c r="U1705" s="148">
        <f>IFERROR(__xludf.DUMMYFUNCTION("""COMPUTED_VALUE"""),0.0)</f>
        <v>0</v>
      </c>
      <c r="V1705" s="148" t="str">
        <f>IFERROR(__xludf.DUMMYFUNCTION("""COMPUTED_VALUE"""),"[]")</f>
        <v>[]</v>
      </c>
      <c r="W1705" s="148">
        <f>IFERROR(__xludf.DUMMYFUNCTION("""COMPUTED_VALUE"""),1.174E7)</f>
        <v>11740000</v>
      </c>
      <c r="X1705" s="148">
        <f>IFERROR(__xludf.DUMMYFUNCTION("""COMPUTED_VALUE"""),0.0)</f>
        <v>0</v>
      </c>
      <c r="Y1705" s="148">
        <f>IFERROR(__xludf.DUMMYFUNCTION("""COMPUTED_VALUE"""),0.0)</f>
        <v>0</v>
      </c>
      <c r="Z1705" s="148"/>
    </row>
    <row r="1706">
      <c r="A1706" s="148">
        <f>IFERROR(__xludf.DUMMYFUNCTION("""COMPUTED_VALUE"""),1.1117365E7)</f>
        <v>11117365</v>
      </c>
      <c r="B1706" s="148" t="str">
        <f>IFERROR(__xludf.DUMMYFUNCTION("""COMPUTED_VALUE"""),"行军特效-科技光辉-3天限时")</f>
        <v>行军特效-科技光辉-3天限时</v>
      </c>
      <c r="C1706" s="148"/>
      <c r="D1706" s="148" t="str">
        <f>IFERROR(__xludf.DUMMYFUNCTION("""COMPUTED_VALUE"""),"marching_effect")</f>
        <v>marching_effect</v>
      </c>
      <c r="E1706" s="148">
        <f>IFERROR(__xludf.DUMMYFUNCTION("""COMPUTED_VALUE"""),0.0)</f>
        <v>0</v>
      </c>
      <c r="F1706" s="148">
        <f>IFERROR(__xludf.DUMMYFUNCTION("""COMPUTED_VALUE"""),408199.0)</f>
        <v>408199</v>
      </c>
      <c r="G1706" s="148">
        <f>IFERROR(__xludf.DUMMYFUNCTION("""COMPUTED_VALUE"""),1.5115998E7)</f>
        <v>15115998</v>
      </c>
      <c r="H1706" s="148">
        <f>IFERROR(__xludf.DUMMYFUNCTION("""COMPUTED_VALUE"""),1.5112561E7)</f>
        <v>15112561</v>
      </c>
      <c r="I1706" s="148" t="str">
        <f>IFERROR(__xludf.DUMMYFUNCTION("""COMPUTED_VALUE"""),"{""typ"":""lc"",""txt"":""LC_ITEM_time_day_upper_show"",""args"":[{""typ"":""int_unit"",""val"":3}]}")</f>
        <v>{"typ":"lc","txt":"LC_ITEM_time_day_upper_show","args":[{"typ":"int_unit","val":3}]}</v>
      </c>
      <c r="J1706" s="148" t="str">
        <f>IFERROR(__xludf.DUMMYFUNCTION("""COMPUTED_VALUE"""),"{""typ"":""lc"",""txt"":""LC_ITEM_2023_science_bp_march_effect""}")</f>
        <v>{"typ":"lc","txt":"LC_ITEM_2023_science_bp_march_effect"}</v>
      </c>
      <c r="K1706" s="148" t="str">
        <f>IFERROR(__xludf.DUMMYFUNCTION("""COMPUTED_VALUE"""),"{""typ"":""lc"",""txt"":""LC_ITEM_2023_science_bp_march_effect_desc""}")</f>
        <v>{"typ":"lc","txt":"LC_ITEM_2023_science_bp_march_effect_desc"}</v>
      </c>
      <c r="L1706" s="148" t="str">
        <f>IFERROR(__xludf.DUMMYFUNCTION("""COMPUTED_VALUE"""),"{""typ"":""lc"",""txt"":""LC_ITEM_2023_science_bp_march_effect_use_tip_3d""}")</f>
        <v>{"typ":"lc","txt":"LC_ITEM_2023_science_bp_march_effect_use_tip_3d"}</v>
      </c>
      <c r="M1706" s="148">
        <f>IFERROR(__xludf.DUMMYFUNCTION("""COMPUTED_VALUE"""),200.0)</f>
        <v>200</v>
      </c>
      <c r="N1706" s="148">
        <f>IFERROR(__xludf.DUMMYFUNCTION("""COMPUTED_VALUE"""),999999.0)</f>
        <v>999999</v>
      </c>
      <c r="O1706" s="148">
        <f>IFERROR(__xludf.DUMMYFUNCTION("""COMPUTED_VALUE"""),99999.0)</f>
        <v>99999</v>
      </c>
      <c r="P1706" s="148">
        <f>IFERROR(__xludf.DUMMYFUNCTION("""COMPUTED_VALUE"""),1.0)</f>
        <v>1</v>
      </c>
      <c r="Q1706" s="148" t="str">
        <f>IFERROR(__xludf.DUMMYFUNCTION("""COMPUTED_VALUE"""),"[""bag_other""]")</f>
        <v>["bag_other"]</v>
      </c>
      <c r="R1706" s="148" t="str">
        <f>IFERROR(__xludf.DUMMYFUNCTION("""COMPUTED_VALUE"""),"[""bag"",""13650106""]")</f>
        <v>["bag","13650106"]</v>
      </c>
      <c r="S1706" s="148" t="str">
        <f>IFERROR(__xludf.DUMMYFUNCTION("""COMPUTED_VALUE"""),"{""effect"":[{""typ"":""marching_effect"",""id"":13650106,""val"":259200000},{""typ"":""vm"",""id"":11151001,""val"":200}]}")</f>
        <v>{"effect":[{"typ":"marching_effect","id":13650106,"val":259200000},{"typ":"vm","id":11151001,"val":200}]}</v>
      </c>
      <c r="T1706" s="148">
        <f>IFERROR(__xludf.DUMMYFUNCTION("""COMPUTED_VALUE"""),-1.0)</f>
        <v>-1</v>
      </c>
      <c r="U1706" s="148">
        <f>IFERROR(__xludf.DUMMYFUNCTION("""COMPUTED_VALUE"""),0.0)</f>
        <v>0</v>
      </c>
      <c r="V1706" s="148" t="str">
        <f>IFERROR(__xludf.DUMMYFUNCTION("""COMPUTED_VALUE"""),"[]")</f>
        <v>[]</v>
      </c>
      <c r="W1706" s="148">
        <f>IFERROR(__xludf.DUMMYFUNCTION("""COMPUTED_VALUE"""),1.174E7)</f>
        <v>11740000</v>
      </c>
      <c r="X1706" s="148">
        <f>IFERROR(__xludf.DUMMYFUNCTION("""COMPUTED_VALUE"""),0.0)</f>
        <v>0</v>
      </c>
      <c r="Y1706" s="148">
        <f>IFERROR(__xludf.DUMMYFUNCTION("""COMPUTED_VALUE"""),0.0)</f>
        <v>0</v>
      </c>
      <c r="Z1706" s="148"/>
    </row>
    <row r="1707">
      <c r="A1707" s="148">
        <f>IFERROR(__xludf.DUMMYFUNCTION("""COMPUTED_VALUE"""),1.1117366E7)</f>
        <v>11117366</v>
      </c>
      <c r="B1707" s="148" t="str">
        <f>IFERROR(__xludf.DUMMYFUNCTION("""COMPUTED_VALUE"""),"行军特效-科技光辉-7天限时")</f>
        <v>行军特效-科技光辉-7天限时</v>
      </c>
      <c r="C1707" s="148"/>
      <c r="D1707" s="148" t="str">
        <f>IFERROR(__xludf.DUMMYFUNCTION("""COMPUTED_VALUE"""),"marching_effect")</f>
        <v>marching_effect</v>
      </c>
      <c r="E1707" s="148">
        <f>IFERROR(__xludf.DUMMYFUNCTION("""COMPUTED_VALUE"""),0.0)</f>
        <v>0</v>
      </c>
      <c r="F1707" s="148">
        <f>IFERROR(__xludf.DUMMYFUNCTION("""COMPUTED_VALUE"""),408198.0)</f>
        <v>408198</v>
      </c>
      <c r="G1707" s="148">
        <f>IFERROR(__xludf.DUMMYFUNCTION("""COMPUTED_VALUE"""),1.5115998E7)</f>
        <v>15115998</v>
      </c>
      <c r="H1707" s="148">
        <f>IFERROR(__xludf.DUMMYFUNCTION("""COMPUTED_VALUE"""),1.5112562E7)</f>
        <v>15112562</v>
      </c>
      <c r="I1707" s="148" t="str">
        <f>IFERROR(__xludf.DUMMYFUNCTION("""COMPUTED_VALUE"""),"{""typ"":""lc"",""txt"":""LC_ITEM_time_day_upper_show"",""args"":[{""typ"":""int_unit"",""val"":7}]}")</f>
        <v>{"typ":"lc","txt":"LC_ITEM_time_day_upper_show","args":[{"typ":"int_unit","val":7}]}</v>
      </c>
      <c r="J1707" s="148" t="str">
        <f>IFERROR(__xludf.DUMMYFUNCTION("""COMPUTED_VALUE"""),"{""typ"":""lc"",""txt"":""LC_ITEM_2023_science_bp_march_effect""}")</f>
        <v>{"typ":"lc","txt":"LC_ITEM_2023_science_bp_march_effect"}</v>
      </c>
      <c r="K1707" s="148" t="str">
        <f>IFERROR(__xludf.DUMMYFUNCTION("""COMPUTED_VALUE"""),"{""typ"":""lc"",""txt"":""LC_ITEM_2023_science_bp_march_effect_desc""}")</f>
        <v>{"typ":"lc","txt":"LC_ITEM_2023_science_bp_march_effect_desc"}</v>
      </c>
      <c r="L1707" s="148" t="str">
        <f>IFERROR(__xludf.DUMMYFUNCTION("""COMPUTED_VALUE"""),"{""typ"":""lc"",""txt"":""LC_ITEM_2023_science_bp_march_effect_use_tip_7d""}")</f>
        <v>{"typ":"lc","txt":"LC_ITEM_2023_science_bp_march_effect_use_tip_7d"}</v>
      </c>
      <c r="M1707" s="148">
        <f>IFERROR(__xludf.DUMMYFUNCTION("""COMPUTED_VALUE"""),500.0)</f>
        <v>500</v>
      </c>
      <c r="N1707" s="148">
        <f>IFERROR(__xludf.DUMMYFUNCTION("""COMPUTED_VALUE"""),999999.0)</f>
        <v>999999</v>
      </c>
      <c r="O1707" s="148">
        <f>IFERROR(__xludf.DUMMYFUNCTION("""COMPUTED_VALUE"""),99999.0)</f>
        <v>99999</v>
      </c>
      <c r="P1707" s="148">
        <f>IFERROR(__xludf.DUMMYFUNCTION("""COMPUTED_VALUE"""),1.0)</f>
        <v>1</v>
      </c>
      <c r="Q1707" s="148" t="str">
        <f>IFERROR(__xludf.DUMMYFUNCTION("""COMPUTED_VALUE"""),"[""bag_other""]")</f>
        <v>["bag_other"]</v>
      </c>
      <c r="R1707" s="148" t="str">
        <f>IFERROR(__xludf.DUMMYFUNCTION("""COMPUTED_VALUE"""),"[""bag"",""13650106""]")</f>
        <v>["bag","13650106"]</v>
      </c>
      <c r="S1707" s="148" t="str">
        <f>IFERROR(__xludf.DUMMYFUNCTION("""COMPUTED_VALUE"""),"{""effect"":[{""typ"":""marching_effect"",""id"":13650106,""val"":604800000},{""typ"":""vm"",""id"":11151001,""val"":500}]}")</f>
        <v>{"effect":[{"typ":"marching_effect","id":13650106,"val":604800000},{"typ":"vm","id":11151001,"val":500}]}</v>
      </c>
      <c r="T1707" s="148">
        <f>IFERROR(__xludf.DUMMYFUNCTION("""COMPUTED_VALUE"""),-1.0)</f>
        <v>-1</v>
      </c>
      <c r="U1707" s="148">
        <f>IFERROR(__xludf.DUMMYFUNCTION("""COMPUTED_VALUE"""),0.0)</f>
        <v>0</v>
      </c>
      <c r="V1707" s="148" t="str">
        <f>IFERROR(__xludf.DUMMYFUNCTION("""COMPUTED_VALUE"""),"[]")</f>
        <v>[]</v>
      </c>
      <c r="W1707" s="148">
        <f>IFERROR(__xludf.DUMMYFUNCTION("""COMPUTED_VALUE"""),1.174E7)</f>
        <v>11740000</v>
      </c>
      <c r="X1707" s="148">
        <f>IFERROR(__xludf.DUMMYFUNCTION("""COMPUTED_VALUE"""),0.0)</f>
        <v>0</v>
      </c>
      <c r="Y1707" s="148">
        <f>IFERROR(__xludf.DUMMYFUNCTION("""COMPUTED_VALUE"""),0.0)</f>
        <v>0</v>
      </c>
      <c r="Z1707" s="148"/>
    </row>
    <row r="1708">
      <c r="A1708" s="148">
        <f>IFERROR(__xludf.DUMMYFUNCTION("""COMPUTED_VALUE"""),1.1117367E7)</f>
        <v>11117367</v>
      </c>
      <c r="B1708" s="148" t="str">
        <f>IFERROR(__xludf.DUMMYFUNCTION("""COMPUTED_VALUE"""),"行军特效-科技光辉-14天限时")</f>
        <v>行军特效-科技光辉-14天限时</v>
      </c>
      <c r="C1708" s="148"/>
      <c r="D1708" s="148" t="str">
        <f>IFERROR(__xludf.DUMMYFUNCTION("""COMPUTED_VALUE"""),"marching_effect")</f>
        <v>marching_effect</v>
      </c>
      <c r="E1708" s="148">
        <f>IFERROR(__xludf.DUMMYFUNCTION("""COMPUTED_VALUE"""),0.0)</f>
        <v>0</v>
      </c>
      <c r="F1708" s="148">
        <f>IFERROR(__xludf.DUMMYFUNCTION("""COMPUTED_VALUE"""),408197.0)</f>
        <v>408197</v>
      </c>
      <c r="G1708" s="148">
        <f>IFERROR(__xludf.DUMMYFUNCTION("""COMPUTED_VALUE"""),1.5115998E7)</f>
        <v>15115998</v>
      </c>
      <c r="H1708" s="148">
        <f>IFERROR(__xludf.DUMMYFUNCTION("""COMPUTED_VALUE"""),1.5112563E7)</f>
        <v>15112563</v>
      </c>
      <c r="I1708" s="148" t="str">
        <f>IFERROR(__xludf.DUMMYFUNCTION("""COMPUTED_VALUE"""),"{""typ"":""lc"",""txt"":""LC_ITEM_time_day_upper_show"",""args"":[{""typ"":""int_unit"",""val"":14}]}")</f>
        <v>{"typ":"lc","txt":"LC_ITEM_time_day_upper_show","args":[{"typ":"int_unit","val":14}]}</v>
      </c>
      <c r="J1708" s="148" t="str">
        <f>IFERROR(__xludf.DUMMYFUNCTION("""COMPUTED_VALUE"""),"{""typ"":""lc"",""txt"":""LC_ITEM_2023_science_bp_march_effect""}")</f>
        <v>{"typ":"lc","txt":"LC_ITEM_2023_science_bp_march_effect"}</v>
      </c>
      <c r="K1708" s="148" t="str">
        <f>IFERROR(__xludf.DUMMYFUNCTION("""COMPUTED_VALUE"""),"{""typ"":""lc"",""txt"":""LC_ITEM_2023_science_bp_march_effect_desc""}")</f>
        <v>{"typ":"lc","txt":"LC_ITEM_2023_science_bp_march_effect_desc"}</v>
      </c>
      <c r="L1708" s="148" t="str">
        <f>IFERROR(__xludf.DUMMYFUNCTION("""COMPUTED_VALUE"""),"{""typ"":""lc"",""txt"":""LC_ITEM_2023_science_bp_march_effect_use_tip_14d""}")</f>
        <v>{"typ":"lc","txt":"LC_ITEM_2023_science_bp_march_effect_use_tip_14d"}</v>
      </c>
      <c r="M1708" s="148">
        <f>IFERROR(__xludf.DUMMYFUNCTION("""COMPUTED_VALUE"""),1000.0)</f>
        <v>1000</v>
      </c>
      <c r="N1708" s="148">
        <f>IFERROR(__xludf.DUMMYFUNCTION("""COMPUTED_VALUE"""),999999.0)</f>
        <v>999999</v>
      </c>
      <c r="O1708" s="148">
        <f>IFERROR(__xludf.DUMMYFUNCTION("""COMPUTED_VALUE"""),99999.0)</f>
        <v>99999</v>
      </c>
      <c r="P1708" s="148">
        <f>IFERROR(__xludf.DUMMYFUNCTION("""COMPUTED_VALUE"""),1.0)</f>
        <v>1</v>
      </c>
      <c r="Q1708" s="148" t="str">
        <f>IFERROR(__xludf.DUMMYFUNCTION("""COMPUTED_VALUE"""),"[""bag_other""]")</f>
        <v>["bag_other"]</v>
      </c>
      <c r="R1708" s="148" t="str">
        <f>IFERROR(__xludf.DUMMYFUNCTION("""COMPUTED_VALUE"""),"[""bag"",""13650106""]")</f>
        <v>["bag","13650106"]</v>
      </c>
      <c r="S1708" s="148" t="str">
        <f>IFERROR(__xludf.DUMMYFUNCTION("""COMPUTED_VALUE"""),"{""effect"":[{""typ"":""marching_effect"",""id"":13650106,""val"":1209600000},{""typ"":""vm"",""id"":11151001,""val"":1000}]}")</f>
        <v>{"effect":[{"typ":"marching_effect","id":13650106,"val":1209600000},{"typ":"vm","id":11151001,"val":1000}]}</v>
      </c>
      <c r="T1708" s="148">
        <f>IFERROR(__xludf.DUMMYFUNCTION("""COMPUTED_VALUE"""),-1.0)</f>
        <v>-1</v>
      </c>
      <c r="U1708" s="148">
        <f>IFERROR(__xludf.DUMMYFUNCTION("""COMPUTED_VALUE"""),0.0)</f>
        <v>0</v>
      </c>
      <c r="V1708" s="148" t="str">
        <f>IFERROR(__xludf.DUMMYFUNCTION("""COMPUTED_VALUE"""),"[]")</f>
        <v>[]</v>
      </c>
      <c r="W1708" s="148">
        <f>IFERROR(__xludf.DUMMYFUNCTION("""COMPUTED_VALUE"""),1.174E7)</f>
        <v>11740000</v>
      </c>
      <c r="X1708" s="148">
        <f>IFERROR(__xludf.DUMMYFUNCTION("""COMPUTED_VALUE"""),0.0)</f>
        <v>0</v>
      </c>
      <c r="Y1708" s="148">
        <f>IFERROR(__xludf.DUMMYFUNCTION("""COMPUTED_VALUE"""),0.0)</f>
        <v>0</v>
      </c>
      <c r="Z1708" s="148"/>
    </row>
    <row r="1709">
      <c r="A1709" s="148">
        <f>IFERROR(__xludf.DUMMYFUNCTION("""COMPUTED_VALUE"""),1.1117368E7)</f>
        <v>11117368</v>
      </c>
      <c r="B1709" s="148" t="str">
        <f>IFERROR(__xludf.DUMMYFUNCTION("""COMPUTED_VALUE"""),"行军特效-科技光辉-30天限时")</f>
        <v>行军特效-科技光辉-30天限时</v>
      </c>
      <c r="C1709" s="148"/>
      <c r="D1709" s="148" t="str">
        <f>IFERROR(__xludf.DUMMYFUNCTION("""COMPUTED_VALUE"""),"marching_effect")</f>
        <v>marching_effect</v>
      </c>
      <c r="E1709" s="148">
        <f>IFERROR(__xludf.DUMMYFUNCTION("""COMPUTED_VALUE"""),0.0)</f>
        <v>0</v>
      </c>
      <c r="F1709" s="148">
        <f>IFERROR(__xludf.DUMMYFUNCTION("""COMPUTED_VALUE"""),408196.0)</f>
        <v>408196</v>
      </c>
      <c r="G1709" s="148">
        <f>IFERROR(__xludf.DUMMYFUNCTION("""COMPUTED_VALUE"""),1.5115998E7)</f>
        <v>15115998</v>
      </c>
      <c r="H1709" s="148">
        <f>IFERROR(__xludf.DUMMYFUNCTION("""COMPUTED_VALUE"""),1.5112563E7)</f>
        <v>15112563</v>
      </c>
      <c r="I1709" s="148" t="str">
        <f>IFERROR(__xludf.DUMMYFUNCTION("""COMPUTED_VALUE"""),"{""typ"":""lc"",""txt"":""LC_ITEM_time_day_upper_show"",""args"":[{""typ"":""int_unit"",""val"":30}]}")</f>
        <v>{"typ":"lc","txt":"LC_ITEM_time_day_upper_show","args":[{"typ":"int_unit","val":30}]}</v>
      </c>
      <c r="J1709" s="148" t="str">
        <f>IFERROR(__xludf.DUMMYFUNCTION("""COMPUTED_VALUE"""),"{""typ"":""lc"",""txt"":""LC_ITEM_2023_science_bp_march_effect""}")</f>
        <v>{"typ":"lc","txt":"LC_ITEM_2023_science_bp_march_effect"}</v>
      </c>
      <c r="K1709" s="148" t="str">
        <f>IFERROR(__xludf.DUMMYFUNCTION("""COMPUTED_VALUE"""),"{""typ"":""lc"",""txt"":""LC_ITEM_2023_science_bp_march_effect_desc""}")</f>
        <v>{"typ":"lc","txt":"LC_ITEM_2023_science_bp_march_effect_desc"}</v>
      </c>
      <c r="L1709" s="148" t="str">
        <f>IFERROR(__xludf.DUMMYFUNCTION("""COMPUTED_VALUE"""),"{""typ"":""lc"",""txt"":""LC_ITEM_2023_science_bp_march_effect_use_tip_30d""}")</f>
        <v>{"typ":"lc","txt":"LC_ITEM_2023_science_bp_march_effect_use_tip_30d"}</v>
      </c>
      <c r="M1709" s="148">
        <f>IFERROR(__xludf.DUMMYFUNCTION("""COMPUTED_VALUE"""),2000.0)</f>
        <v>2000</v>
      </c>
      <c r="N1709" s="148">
        <f>IFERROR(__xludf.DUMMYFUNCTION("""COMPUTED_VALUE"""),999999.0)</f>
        <v>999999</v>
      </c>
      <c r="O1709" s="148">
        <f>IFERROR(__xludf.DUMMYFUNCTION("""COMPUTED_VALUE"""),99999.0)</f>
        <v>99999</v>
      </c>
      <c r="P1709" s="148">
        <f>IFERROR(__xludf.DUMMYFUNCTION("""COMPUTED_VALUE"""),1.0)</f>
        <v>1</v>
      </c>
      <c r="Q1709" s="148" t="str">
        <f>IFERROR(__xludf.DUMMYFUNCTION("""COMPUTED_VALUE"""),"[""bag_other""]")</f>
        <v>["bag_other"]</v>
      </c>
      <c r="R1709" s="148" t="str">
        <f>IFERROR(__xludf.DUMMYFUNCTION("""COMPUTED_VALUE"""),"[""bag"",""13650106""]")</f>
        <v>["bag","13650106"]</v>
      </c>
      <c r="S1709" s="148" t="str">
        <f>IFERROR(__xludf.DUMMYFUNCTION("""COMPUTED_VALUE"""),"{""effect"":[{""typ"":""marching_effect"",""id"":13650106,""val"":2592000000},{""typ"":""vm"",""id"":11151001,""val"":1000}]}")</f>
        <v>{"effect":[{"typ":"marching_effect","id":13650106,"val":2592000000},{"typ":"vm","id":11151001,"val":1000}]}</v>
      </c>
      <c r="T1709" s="148">
        <f>IFERROR(__xludf.DUMMYFUNCTION("""COMPUTED_VALUE"""),-1.0)</f>
        <v>-1</v>
      </c>
      <c r="U1709" s="148">
        <f>IFERROR(__xludf.DUMMYFUNCTION("""COMPUTED_VALUE"""),0.0)</f>
        <v>0</v>
      </c>
      <c r="V1709" s="148" t="str">
        <f>IFERROR(__xludf.DUMMYFUNCTION("""COMPUTED_VALUE"""),"[]")</f>
        <v>[]</v>
      </c>
      <c r="W1709" s="148">
        <f>IFERROR(__xludf.DUMMYFUNCTION("""COMPUTED_VALUE"""),1.174E7)</f>
        <v>11740000</v>
      </c>
      <c r="X1709" s="148">
        <f>IFERROR(__xludf.DUMMYFUNCTION("""COMPUTED_VALUE"""),0.0)</f>
        <v>0</v>
      </c>
      <c r="Y1709" s="148">
        <f>IFERROR(__xludf.DUMMYFUNCTION("""COMPUTED_VALUE"""),0.0)</f>
        <v>0</v>
      </c>
      <c r="Z1709" s="148"/>
    </row>
    <row r="1710">
      <c r="A1710" s="148">
        <f>IFERROR(__xludf.DUMMYFUNCTION("""COMPUTED_VALUE"""),1.1117369E7)</f>
        <v>11117369</v>
      </c>
      <c r="B1710" s="148" t="str">
        <f>IFERROR(__xludf.DUMMYFUNCTION("""COMPUTED_VALUE"""),"行军特效-科技光辉-永久")</f>
        <v>行军特效-科技光辉-永久</v>
      </c>
      <c r="C1710" s="148"/>
      <c r="D1710" s="148" t="str">
        <f>IFERROR(__xludf.DUMMYFUNCTION("""COMPUTED_VALUE"""),"marching_effect")</f>
        <v>marching_effect</v>
      </c>
      <c r="E1710" s="148">
        <f>IFERROR(__xludf.DUMMYFUNCTION("""COMPUTED_VALUE"""),0.0)</f>
        <v>0</v>
      </c>
      <c r="F1710" s="148">
        <f>IFERROR(__xludf.DUMMYFUNCTION("""COMPUTED_VALUE"""),408195.0)</f>
        <v>408195</v>
      </c>
      <c r="G1710" s="148">
        <f>IFERROR(__xludf.DUMMYFUNCTION("""COMPUTED_VALUE"""),1.5115998E7)</f>
        <v>15115998</v>
      </c>
      <c r="H1710" s="148">
        <f>IFERROR(__xludf.DUMMYFUNCTION("""COMPUTED_VALUE"""),1.5112564E7)</f>
        <v>15112564</v>
      </c>
      <c r="I1710" s="148" t="str">
        <f>IFERROR(__xludf.DUMMYFUNCTION("""COMPUTED_VALUE"""),"{}")</f>
        <v>{}</v>
      </c>
      <c r="J1710" s="148" t="str">
        <f>IFERROR(__xludf.DUMMYFUNCTION("""COMPUTED_VALUE"""),"{""typ"":""lc"",""txt"":""LC_ITEM_2023_science_bp_march_effect""}")</f>
        <v>{"typ":"lc","txt":"LC_ITEM_2023_science_bp_march_effect"}</v>
      </c>
      <c r="K1710" s="148" t="str">
        <f>IFERROR(__xludf.DUMMYFUNCTION("""COMPUTED_VALUE"""),"{""typ"":""lc"",""txt"":""LC_ITEM_2023_science_bp_march_effect_desc""}")</f>
        <v>{"typ":"lc","txt":"LC_ITEM_2023_science_bp_march_effect_desc"}</v>
      </c>
      <c r="L1710" s="148" t="str">
        <f>IFERROR(__xludf.DUMMYFUNCTION("""COMPUTED_VALUE"""),"{""typ"":""lc"",""txt"":""LC_ITEM_2023_science_bp_march_effect_use_tip""}")</f>
        <v>{"typ":"lc","txt":"LC_ITEM_2023_science_bp_march_effect_use_tip"}</v>
      </c>
      <c r="M1710" s="148">
        <f>IFERROR(__xludf.DUMMYFUNCTION("""COMPUTED_VALUE"""),5000.0)</f>
        <v>5000</v>
      </c>
      <c r="N1710" s="148">
        <f>IFERROR(__xludf.DUMMYFUNCTION("""COMPUTED_VALUE"""),999999.0)</f>
        <v>999999</v>
      </c>
      <c r="O1710" s="148">
        <f>IFERROR(__xludf.DUMMYFUNCTION("""COMPUTED_VALUE"""),99999.0)</f>
        <v>99999</v>
      </c>
      <c r="P1710" s="148">
        <f>IFERROR(__xludf.DUMMYFUNCTION("""COMPUTED_VALUE"""),1.0)</f>
        <v>1</v>
      </c>
      <c r="Q1710" s="148" t="str">
        <f>IFERROR(__xludf.DUMMYFUNCTION("""COMPUTED_VALUE"""),"[""bag_other""]")</f>
        <v>["bag_other"]</v>
      </c>
      <c r="R1710" s="148" t="str">
        <f>IFERROR(__xludf.DUMMYFUNCTION("""COMPUTED_VALUE"""),"[""bag"",""13650106""]")</f>
        <v>["bag","13650106"]</v>
      </c>
      <c r="S1710" s="148" t="str">
        <f>IFERROR(__xludf.DUMMYFUNCTION("""COMPUTED_VALUE"""),"{""effect"":[{""typ"":""marching_effect"",""id"":13650106,""val"":-1},{""typ"":""vm"",""id"":11151001,""val"":2500}]}")</f>
        <v>{"effect":[{"typ":"marching_effect","id":13650106,"val":-1},{"typ":"vm","id":11151001,"val":2500}]}</v>
      </c>
      <c r="T1710" s="148">
        <f>IFERROR(__xludf.DUMMYFUNCTION("""COMPUTED_VALUE"""),-1.0)</f>
        <v>-1</v>
      </c>
      <c r="U1710" s="148">
        <f>IFERROR(__xludf.DUMMYFUNCTION("""COMPUTED_VALUE"""),0.0)</f>
        <v>0</v>
      </c>
      <c r="V1710" s="148" t="str">
        <f>IFERROR(__xludf.DUMMYFUNCTION("""COMPUTED_VALUE"""),"[]")</f>
        <v>[]</v>
      </c>
      <c r="W1710" s="148">
        <f>IFERROR(__xludf.DUMMYFUNCTION("""COMPUTED_VALUE"""),1.174E7)</f>
        <v>11740000</v>
      </c>
      <c r="X1710" s="148">
        <f>IFERROR(__xludf.DUMMYFUNCTION("""COMPUTED_VALUE"""),0.0)</f>
        <v>0</v>
      </c>
      <c r="Y1710" s="148">
        <f>IFERROR(__xludf.DUMMYFUNCTION("""COMPUTED_VALUE"""),0.0)</f>
        <v>0</v>
      </c>
      <c r="Z1710" s="148"/>
    </row>
    <row r="1711">
      <c r="A1711" s="148">
        <f>IFERROR(__xludf.DUMMYFUNCTION("""COMPUTED_VALUE"""),1.111737E7)</f>
        <v>11117370</v>
      </c>
      <c r="B1711" s="148" t="str">
        <f>IFERROR(__xludf.DUMMYFUNCTION("""COMPUTED_VALUE"""),"铭牌-2023科技节铭牌")</f>
        <v>铭牌-2023科技节铭牌</v>
      </c>
      <c r="C1711" s="148"/>
      <c r="D1711" s="148" t="str">
        <f>IFERROR(__xludf.DUMMYFUNCTION("""COMPUTED_VALUE"""),"chat_skin")</f>
        <v>chat_skin</v>
      </c>
      <c r="E1711" s="148">
        <f>IFERROR(__xludf.DUMMYFUNCTION("""COMPUTED_VALUE"""),30.0)</f>
        <v>30</v>
      </c>
      <c r="F1711" s="148">
        <f>IFERROR(__xludf.DUMMYFUNCTION("""COMPUTED_VALUE"""),401107.0)</f>
        <v>401107</v>
      </c>
      <c r="G1711" s="148">
        <f>IFERROR(__xludf.DUMMYFUNCTION("""COMPUTED_VALUE"""),1.5116E7)</f>
        <v>15116000</v>
      </c>
      <c r="H1711" s="148">
        <f>IFERROR(__xludf.DUMMYFUNCTION("""COMPUTED_VALUE"""),1.5112564E7)</f>
        <v>15112564</v>
      </c>
      <c r="I1711" s="148" t="str">
        <f>IFERROR(__xludf.DUMMYFUNCTION("""COMPUTED_VALUE"""),"{}")</f>
        <v>{}</v>
      </c>
      <c r="J1711" s="148" t="str">
        <f>IFERROR(__xludf.DUMMYFUNCTION("""COMPUTED_VALUE"""),"{""typ"":""lc"",""txt"":""LC_ITEM_2023_science_bp_nameplate""}")</f>
        <v>{"typ":"lc","txt":"LC_ITEM_2023_science_bp_nameplate"}</v>
      </c>
      <c r="K1711" s="148" t="str">
        <f>IFERROR(__xludf.DUMMYFUNCTION("""COMPUTED_VALUE"""),"{""typ"":""lc"",""txt"":""LC_ITEM_2023_science_bp_nameplate_desc_item""}")</f>
        <v>{"typ":"lc","txt":"LC_ITEM_2023_science_bp_nameplate_desc_item"}</v>
      </c>
      <c r="L1711" s="148" t="str">
        <f>IFERROR(__xludf.DUMMYFUNCTION("""COMPUTED_VALUE"""),"{""typ"":""lc"",""txt"":""LC_ITEM_season_extra_reward_usedtip""}")</f>
        <v>{"typ":"lc","txt":"LC_ITEM_season_extra_reward_usedtip"}</v>
      </c>
      <c r="M1711" s="148">
        <f>IFERROR(__xludf.DUMMYFUNCTION("""COMPUTED_VALUE"""),2500.0)</f>
        <v>2500</v>
      </c>
      <c r="N1711" s="148">
        <f>IFERROR(__xludf.DUMMYFUNCTION("""COMPUTED_VALUE"""),9999999.0)</f>
        <v>9999999</v>
      </c>
      <c r="O1711" s="148">
        <f>IFERROR(__xludf.DUMMYFUNCTION("""COMPUTED_VALUE"""),1.0)</f>
        <v>1</v>
      </c>
      <c r="P1711" s="148">
        <f>IFERROR(__xludf.DUMMYFUNCTION("""COMPUTED_VALUE"""),1.0)</f>
        <v>1</v>
      </c>
      <c r="Q1711" s="148" t="str">
        <f>IFERROR(__xludf.DUMMYFUNCTION("""COMPUTED_VALUE"""),"[""bag_other""]")</f>
        <v>["bag_other"]</v>
      </c>
      <c r="R1711" s="148" t="str">
        <f>IFERROR(__xludf.DUMMYFUNCTION("""COMPUTED_VALUE"""),"[""11731009"",""bag""]")</f>
        <v>["11731009","bag"]</v>
      </c>
      <c r="S1711" s="148" t="str">
        <f>IFERROR(__xludf.DUMMYFUNCTION("""COMPUTED_VALUE"""),"{""effect"":[{""typ"":""nameplate"",""id"":11731009,""val"":-1}]}")</f>
        <v>{"effect":[{"typ":"nameplate","id":11731009,"val":-1}]}</v>
      </c>
      <c r="T1711" s="148">
        <f>IFERROR(__xludf.DUMMYFUNCTION("""COMPUTED_VALUE"""),-1.0)</f>
        <v>-1</v>
      </c>
      <c r="U1711" s="148">
        <f>IFERROR(__xludf.DUMMYFUNCTION("""COMPUTED_VALUE"""),0.0)</f>
        <v>0</v>
      </c>
      <c r="V1711" s="148" t="str">
        <f>IFERROR(__xludf.DUMMYFUNCTION("""COMPUTED_VALUE"""),"[]")</f>
        <v>[]</v>
      </c>
      <c r="W1711" s="148">
        <f>IFERROR(__xludf.DUMMYFUNCTION("""COMPUTED_VALUE"""),1.174E7)</f>
        <v>11740000</v>
      </c>
      <c r="X1711" s="148">
        <f>IFERROR(__xludf.DUMMYFUNCTION("""COMPUTED_VALUE"""),0.0)</f>
        <v>0</v>
      </c>
      <c r="Y1711" s="148">
        <f>IFERROR(__xludf.DUMMYFUNCTION("""COMPUTED_VALUE"""),0.0)</f>
        <v>0</v>
      </c>
      <c r="Z1711" s="148"/>
    </row>
    <row r="1712">
      <c r="A1712" s="148">
        <f>IFERROR(__xludf.DUMMYFUNCTION("""COMPUTED_VALUE"""),1.1117371E7)</f>
        <v>11117371</v>
      </c>
      <c r="B1712" s="148" t="str">
        <f>IFERROR(__xludf.DUMMYFUNCTION("""COMPUTED_VALUE"""),"新工具铲-2023科技节抽奖道具")</f>
        <v>新工具铲-2023科技节抽奖道具</v>
      </c>
      <c r="C1712" s="148"/>
      <c r="D1712" s="148" t="str">
        <f>IFERROR(__xludf.DUMMYFUNCTION("""COMPUTED_VALUE"""),"event")</f>
        <v>event</v>
      </c>
      <c r="E1712" s="148">
        <f>IFERROR(__xludf.DUMMYFUNCTION("""COMPUTED_VALUE"""),0.0)</f>
        <v>0</v>
      </c>
      <c r="F1712" s="148">
        <f>IFERROR(__xludf.DUMMYFUNCTION("""COMPUTED_VALUE"""),0.0)</f>
        <v>0</v>
      </c>
      <c r="G1712" s="148">
        <f>IFERROR(__xludf.DUMMYFUNCTION("""COMPUTED_VALUE"""),1.5115076E7)</f>
        <v>15115076</v>
      </c>
      <c r="H1712" s="148">
        <f>IFERROR(__xludf.DUMMYFUNCTION("""COMPUTED_VALUE"""),1.5112563E7)</f>
        <v>15112563</v>
      </c>
      <c r="I1712" s="148" t="str">
        <f>IFERROR(__xludf.DUMMYFUNCTION("""COMPUTED_VALUE"""),"{}")</f>
        <v>{}</v>
      </c>
      <c r="J1712" s="148" t="str">
        <f>IFERROR(__xludf.DUMMYFUNCTION("""COMPUTED_VALUE"""),"{""typ"":""lc"",""txt"":""LC_ITEM_sci_gacha_item_name""}")</f>
        <v>{"typ":"lc","txt":"LC_ITEM_sci_gacha_item_name"}</v>
      </c>
      <c r="K1712" s="148" t="str">
        <f>IFERROR(__xludf.DUMMYFUNCTION("""COMPUTED_VALUE"""),"{""typ"":""lc"",""txt"":""LC_ITEM_sci_gacha_item_desc""}")</f>
        <v>{"typ":"lc","txt":"LC_ITEM_sci_gacha_item_desc"}</v>
      </c>
      <c r="L1712" s="148" t="str">
        <f>IFERROR(__xludf.DUMMYFUNCTION("""COMPUTED_VALUE"""),"{}")</f>
        <v>{}</v>
      </c>
      <c r="M1712" s="148">
        <f>IFERROR(__xludf.DUMMYFUNCTION("""COMPUTED_VALUE"""),160.0)</f>
        <v>160</v>
      </c>
      <c r="N1712" s="148">
        <f>IFERROR(__xludf.DUMMYFUNCTION("""COMPUTED_VALUE"""),999999.0)</f>
        <v>999999</v>
      </c>
      <c r="O1712" s="148">
        <f>IFERROR(__xludf.DUMMYFUNCTION("""COMPUTED_VALUE"""),99999.0)</f>
        <v>99999</v>
      </c>
      <c r="P1712" s="148">
        <f>IFERROR(__xludf.DUMMYFUNCTION("""COMPUTED_VALUE"""),1.0)</f>
        <v>1</v>
      </c>
      <c r="Q1712" s="148" t="str">
        <f>IFERROR(__xludf.DUMMYFUNCTION("""COMPUTED_VALUE"""),"[""bag_other""]")</f>
        <v>["bag_other"]</v>
      </c>
      <c r="R1712" s="148" t="str">
        <f>IFERROR(__xludf.DUMMYFUNCTION("""COMPUTED_VALUE"""),"[]")</f>
        <v>[]</v>
      </c>
      <c r="S1712" s="148" t="str">
        <f>IFERROR(__xludf.DUMMYFUNCTION("""COMPUTED_VALUE"""),"{}")</f>
        <v>{}</v>
      </c>
      <c r="T1712" s="148">
        <f>IFERROR(__xludf.DUMMYFUNCTION("""COMPUTED_VALUE"""),-1.0)</f>
        <v>-1</v>
      </c>
      <c r="U1712" s="148">
        <f>IFERROR(__xludf.DUMMYFUNCTION("""COMPUTED_VALUE"""),0.0)</f>
        <v>0</v>
      </c>
      <c r="V1712" s="148" t="str">
        <f>IFERROR(__xludf.DUMMYFUNCTION("""COMPUTED_VALUE"""),"[]")</f>
        <v>[]</v>
      </c>
      <c r="W1712" s="148">
        <f>IFERROR(__xludf.DUMMYFUNCTION("""COMPUTED_VALUE"""),1.174E7)</f>
        <v>11740000</v>
      </c>
      <c r="X1712" s="148">
        <f>IFERROR(__xludf.DUMMYFUNCTION("""COMPUTED_VALUE"""),0.0)</f>
        <v>0</v>
      </c>
      <c r="Y1712" s="148">
        <f>IFERROR(__xludf.DUMMYFUNCTION("""COMPUTED_VALUE"""),0.0)</f>
        <v>0</v>
      </c>
      <c r="Z1712" s="148"/>
    </row>
    <row r="1713">
      <c r="A1713" s="148">
        <f>IFERROR(__xludf.DUMMYFUNCTION("""COMPUTED_VALUE"""),1.1117372E7)</f>
        <v>11117372</v>
      </c>
      <c r="B1713" s="148" t="str">
        <f>IFERROR(__xludf.DUMMYFUNCTION("""COMPUTED_VALUE"""),"主城皮肤-复活节2023")</f>
        <v>主城皮肤-复活节2023</v>
      </c>
      <c r="C1713" s="148"/>
      <c r="D1713" s="148" t="str">
        <f>IFERROR(__xludf.DUMMYFUNCTION("""COMPUTED_VALUE"""),"city_skin")</f>
        <v>city_skin</v>
      </c>
      <c r="E1713" s="148">
        <f>IFERROR(__xludf.DUMMYFUNCTION("""COMPUTED_VALUE"""),21.0)</f>
        <v>21</v>
      </c>
      <c r="F1713" s="148">
        <f>IFERROR(__xludf.DUMMYFUNCTION("""COMPUTED_VALUE"""),400106.0)</f>
        <v>400106</v>
      </c>
      <c r="G1713" s="148">
        <f>IFERROR(__xludf.DUMMYFUNCTION("""COMPUTED_VALUE"""),1.5116115E7)</f>
        <v>15116115</v>
      </c>
      <c r="H1713" s="148">
        <f>IFERROR(__xludf.DUMMYFUNCTION("""COMPUTED_VALUE"""),1.5112564E7)</f>
        <v>15112564</v>
      </c>
      <c r="I1713" s="148" t="str">
        <f>IFERROR(__xludf.DUMMYFUNCTION("""COMPUTED_VALUE"""),"{}")</f>
        <v>{}</v>
      </c>
      <c r="J1713" s="148" t="str">
        <f>IFERROR(__xludf.DUMMYFUNCTION("""COMPUTED_VALUE"""),"{""typ"":""lc"",""txt"":""LC_ITEM_2023easter_castle_skin_item""}")</f>
        <v>{"typ":"lc","txt":"LC_ITEM_2023easter_castle_skin_item"}</v>
      </c>
      <c r="K1713" s="148" t="str">
        <f>IFERROR(__xludf.DUMMYFUNCTION("""COMPUTED_VALUE"""),"{""typ"":""lc"",""txt"":""LC_ITEM_2023easter_castle_skin_item_desc""}")</f>
        <v>{"typ":"lc","txt":"LC_ITEM_2023easter_castle_skin_item_desc"}</v>
      </c>
      <c r="L1713" s="148" t="str">
        <f>IFERROR(__xludf.DUMMYFUNCTION("""COMPUTED_VALUE"""),"{""typ"":""lc"",""txt"":""LC_ITEM_city_skin_rocket_use_tips""}")</f>
        <v>{"typ":"lc","txt":"LC_ITEM_city_skin_rocket_use_tips"}</v>
      </c>
      <c r="M1713" s="148">
        <f>IFERROR(__xludf.DUMMYFUNCTION("""COMPUTED_VALUE"""),10000.0)</f>
        <v>10000</v>
      </c>
      <c r="N1713" s="148">
        <f>IFERROR(__xludf.DUMMYFUNCTION("""COMPUTED_VALUE"""),999.0)</f>
        <v>999</v>
      </c>
      <c r="O1713" s="148">
        <f>IFERROR(__xludf.DUMMYFUNCTION("""COMPUTED_VALUE"""),1.0)</f>
        <v>1</v>
      </c>
      <c r="P1713" s="148">
        <f>IFERROR(__xludf.DUMMYFUNCTION("""COMPUTED_VALUE"""),1.0)</f>
        <v>1</v>
      </c>
      <c r="Q1713" s="148" t="str">
        <f>IFERROR(__xludf.DUMMYFUNCTION("""COMPUTED_VALUE"""),"[""bag_other""]")</f>
        <v>["bag_other"]</v>
      </c>
      <c r="R1713" s="148" t="str">
        <f>IFERROR(__xludf.DUMMYFUNCTION("""COMPUTED_VALUE"""),"[""bag"",""13121016""]")</f>
        <v>["bag","13121016"]</v>
      </c>
      <c r="S1713" s="148" t="str">
        <f>IFERROR(__xludf.DUMMYFUNCTION("""COMPUTED_VALUE"""),"{""effect"":[{""typ"":""city_skin"",""id"":13121016,""val"":-1},{""typ"":""item"",""id"":11111034,""val"":10}]}")</f>
        <v>{"effect":[{"typ":"city_skin","id":13121016,"val":-1},{"typ":"item","id":11111034,"val":10}]}</v>
      </c>
      <c r="T1713" s="148">
        <f>IFERROR(__xludf.DUMMYFUNCTION("""COMPUTED_VALUE"""),-1.0)</f>
        <v>-1</v>
      </c>
      <c r="U1713" s="148">
        <f>IFERROR(__xludf.DUMMYFUNCTION("""COMPUTED_VALUE"""),0.0)</f>
        <v>0</v>
      </c>
      <c r="V1713" s="148" t="str">
        <f>IFERROR(__xludf.DUMMYFUNCTION("""COMPUTED_VALUE"""),"[]")</f>
        <v>[]</v>
      </c>
      <c r="W1713" s="148">
        <f>IFERROR(__xludf.DUMMYFUNCTION("""COMPUTED_VALUE"""),1.174E7)</f>
        <v>11740000</v>
      </c>
      <c r="X1713" s="148">
        <f>IFERROR(__xludf.DUMMYFUNCTION("""COMPUTED_VALUE"""),0.0)</f>
        <v>0</v>
      </c>
      <c r="Y1713" s="148">
        <f>IFERROR(__xludf.DUMMYFUNCTION("""COMPUTED_VALUE"""),0.0)</f>
        <v>0</v>
      </c>
      <c r="Z1713" s="148"/>
    </row>
    <row r="1714">
      <c r="A1714" s="148">
        <f>IFERROR(__xludf.DUMMYFUNCTION("""COMPUTED_VALUE"""),1.1117373E7)</f>
        <v>11117373</v>
      </c>
      <c r="B1714" s="148" t="str">
        <f>IFERROR(__xludf.DUMMYFUNCTION("""COMPUTED_VALUE"""),"主城皮肤-复活节2023（2天）")</f>
        <v>主城皮肤-复活节2023（2天）</v>
      </c>
      <c r="C1714" s="148"/>
      <c r="D1714" s="148" t="str">
        <f>IFERROR(__xludf.DUMMYFUNCTION("""COMPUTED_VALUE"""),"city_skin")</f>
        <v>city_skin</v>
      </c>
      <c r="E1714" s="148">
        <f>IFERROR(__xludf.DUMMYFUNCTION("""COMPUTED_VALUE"""),21.0)</f>
        <v>21</v>
      </c>
      <c r="F1714" s="148">
        <f>IFERROR(__xludf.DUMMYFUNCTION("""COMPUTED_VALUE"""),404201.0)</f>
        <v>404201</v>
      </c>
      <c r="G1714" s="148">
        <f>IFERROR(__xludf.DUMMYFUNCTION("""COMPUTED_VALUE"""),1.5116115E7)</f>
        <v>15116115</v>
      </c>
      <c r="H1714" s="148">
        <f>IFERROR(__xludf.DUMMYFUNCTION("""COMPUTED_VALUE"""),1.5112563E7)</f>
        <v>15112563</v>
      </c>
      <c r="I1714" s="148" t="str">
        <f>IFERROR(__xludf.DUMMYFUNCTION("""COMPUTED_VALUE"""),"{""typ"":""lc"",""txt"":""LC_ITEM_time_day_upper_show"",""args"":[{""typ"":""int"",""val"":2}]}")</f>
        <v>{"typ":"lc","txt":"LC_ITEM_time_day_upper_show","args":[{"typ":"int","val":2}]}</v>
      </c>
      <c r="J1714" s="148" t="str">
        <f>IFERROR(__xludf.DUMMYFUNCTION("""COMPUTED_VALUE"""),"{""typ"":""lc"",""txt"":""LC_ITEM_2023easter_castle_skin_item_days4""}")</f>
        <v>{"typ":"lc","txt":"LC_ITEM_2023easter_castle_skin_item_days4"}</v>
      </c>
      <c r="K1714" s="148" t="str">
        <f>IFERROR(__xludf.DUMMYFUNCTION("""COMPUTED_VALUE"""),"{""typ"":""lc"",""txt"":""LC_ITEM_2023easter_castle_skin_item_desc""}")</f>
        <v>{"typ":"lc","txt":"LC_ITEM_2023easter_castle_skin_item_desc"}</v>
      </c>
      <c r="L1714" s="148" t="str">
        <f>IFERROR(__xludf.DUMMYFUNCTION("""COMPUTED_VALUE"""),"{""typ"":""lc"",""txt"":""LC_ITEM_city_skin_rocket_use_tips""}")</f>
        <v>{"typ":"lc","txt":"LC_ITEM_city_skin_rocket_use_tips"}</v>
      </c>
      <c r="M1714" s="148">
        <f>IFERROR(__xludf.DUMMYFUNCTION("""COMPUTED_VALUE"""),500.0)</f>
        <v>500</v>
      </c>
      <c r="N1714" s="148">
        <f>IFERROR(__xludf.DUMMYFUNCTION("""COMPUTED_VALUE"""),999.0)</f>
        <v>999</v>
      </c>
      <c r="O1714" s="148">
        <f>IFERROR(__xludf.DUMMYFUNCTION("""COMPUTED_VALUE"""),1.0)</f>
        <v>1</v>
      </c>
      <c r="P1714" s="148">
        <f>IFERROR(__xludf.DUMMYFUNCTION("""COMPUTED_VALUE"""),1.0)</f>
        <v>1</v>
      </c>
      <c r="Q1714" s="148" t="str">
        <f>IFERROR(__xludf.DUMMYFUNCTION("""COMPUTED_VALUE"""),"[""bag_other""]")</f>
        <v>["bag_other"]</v>
      </c>
      <c r="R1714" s="148" t="str">
        <f>IFERROR(__xludf.DUMMYFUNCTION("""COMPUTED_VALUE"""),"[""bag"",""13121016""]")</f>
        <v>["bag","13121016"]</v>
      </c>
      <c r="S1714" s="148" t="str">
        <f>IFERROR(__xludf.DUMMYFUNCTION("""COMPUTED_VALUE"""),"{""effect"":[{""typ"":""city_skin"",""id"":13121016,""val"":172800000},{""typ"":""item"",""id"":11111021,""val"":1}]}")</f>
        <v>{"effect":[{"typ":"city_skin","id":13121016,"val":172800000},{"typ":"item","id":11111021,"val":1}]}</v>
      </c>
      <c r="T1714" s="148">
        <f>IFERROR(__xludf.DUMMYFUNCTION("""COMPUTED_VALUE"""),-1.0)</f>
        <v>-1</v>
      </c>
      <c r="U1714" s="148">
        <f>IFERROR(__xludf.DUMMYFUNCTION("""COMPUTED_VALUE"""),0.0)</f>
        <v>0</v>
      </c>
      <c r="V1714" s="148" t="str">
        <f>IFERROR(__xludf.DUMMYFUNCTION("""COMPUTED_VALUE"""),"[]")</f>
        <v>[]</v>
      </c>
      <c r="W1714" s="148">
        <f>IFERROR(__xludf.DUMMYFUNCTION("""COMPUTED_VALUE"""),1.174E7)</f>
        <v>11740000</v>
      </c>
      <c r="X1714" s="148">
        <f>IFERROR(__xludf.DUMMYFUNCTION("""COMPUTED_VALUE"""),0.0)</f>
        <v>0</v>
      </c>
      <c r="Y1714" s="148">
        <f>IFERROR(__xludf.DUMMYFUNCTION("""COMPUTED_VALUE"""),0.0)</f>
        <v>0</v>
      </c>
      <c r="Z1714" s="148"/>
    </row>
    <row r="1715">
      <c r="A1715" s="148">
        <f>IFERROR(__xludf.DUMMYFUNCTION("""COMPUTED_VALUE"""),1.1117374E7)</f>
        <v>11117374</v>
      </c>
      <c r="B1715" s="148" t="str">
        <f>IFERROR(__xludf.DUMMYFUNCTION("""COMPUTED_VALUE"""),"彩蛋锤-复活节2023活动GACHA道具")</f>
        <v>彩蛋锤-复活节2023活动GACHA道具</v>
      </c>
      <c r="C1715" s="148"/>
      <c r="D1715" s="148" t="str">
        <f>IFERROR(__xludf.DUMMYFUNCTION("""COMPUTED_VALUE"""),"event")</f>
        <v>event</v>
      </c>
      <c r="E1715" s="148">
        <f>IFERROR(__xludf.DUMMYFUNCTION("""COMPUTED_VALUE"""),0.0)</f>
        <v>0</v>
      </c>
      <c r="F1715" s="148">
        <f>IFERROR(__xludf.DUMMYFUNCTION("""COMPUTED_VALUE"""),405243.0)</f>
        <v>405243</v>
      </c>
      <c r="G1715" s="148">
        <f>IFERROR(__xludf.DUMMYFUNCTION("""COMPUTED_VALUE"""),1.5116107E7)</f>
        <v>15116107</v>
      </c>
      <c r="H1715" s="148">
        <f>IFERROR(__xludf.DUMMYFUNCTION("""COMPUTED_VALUE"""),1.5112564E7)</f>
        <v>15112564</v>
      </c>
      <c r="I1715" s="148" t="str">
        <f>IFERROR(__xludf.DUMMYFUNCTION("""COMPUTED_VALUE"""),"{}")</f>
        <v>{}</v>
      </c>
      <c r="J1715" s="148" t="str">
        <f>IFERROR(__xludf.DUMMYFUNCTION("""COMPUTED_VALUE"""),"{""typ"":""lc"",""txt"":""LC_ITEM_2023easter_gacha_item""}")</f>
        <v>{"typ":"lc","txt":"LC_ITEM_2023easter_gacha_item"}</v>
      </c>
      <c r="K1715" s="148" t="str">
        <f>IFERROR(__xludf.DUMMYFUNCTION("""COMPUTED_VALUE"""),"{""typ"":""lc"",""txt"":""LC_ITEM_2023easter_gacha_item_desc""}")</f>
        <v>{"typ":"lc","txt":"LC_ITEM_2023easter_gacha_item_desc"}</v>
      </c>
      <c r="L1715" s="148" t="str">
        <f>IFERROR(__xludf.DUMMYFUNCTION("""COMPUTED_VALUE"""),"{}")</f>
        <v>{}</v>
      </c>
      <c r="M1715" s="148">
        <f>IFERROR(__xludf.DUMMYFUNCTION("""COMPUTED_VALUE"""),700.0)</f>
        <v>700</v>
      </c>
      <c r="N1715" s="148">
        <f>IFERROR(__xludf.DUMMYFUNCTION("""COMPUTED_VALUE"""),9.99999999E8)</f>
        <v>999999999</v>
      </c>
      <c r="O1715" s="148">
        <f>IFERROR(__xludf.DUMMYFUNCTION("""COMPUTED_VALUE"""),9.99999999E8)</f>
        <v>999999999</v>
      </c>
      <c r="P1715" s="148">
        <f>IFERROR(__xludf.DUMMYFUNCTION("""COMPUTED_VALUE"""),9.99999999E8)</f>
        <v>999999999</v>
      </c>
      <c r="Q1715" s="148" t="str">
        <f>IFERROR(__xludf.DUMMYFUNCTION("""COMPUTED_VALUE"""),"[""bag_other""]")</f>
        <v>["bag_other"]</v>
      </c>
      <c r="R1715" s="148" t="str">
        <f>IFERROR(__xludf.DUMMYFUNCTION("""COMPUTED_VALUE"""),"[""bag""]")</f>
        <v>["bag"]</v>
      </c>
      <c r="S1715" s="148" t="str">
        <f>IFERROR(__xludf.DUMMYFUNCTION("""COMPUTED_VALUE"""),"{}")</f>
        <v>{}</v>
      </c>
      <c r="T1715" s="148">
        <f>IFERROR(__xludf.DUMMYFUNCTION("""COMPUTED_VALUE"""),1.0)</f>
        <v>1</v>
      </c>
      <c r="U1715" s="148">
        <f>IFERROR(__xludf.DUMMYFUNCTION("""COMPUTED_VALUE"""),0.0)</f>
        <v>0</v>
      </c>
      <c r="V1715" s="148" t="str">
        <f>IFERROR(__xludf.DUMMYFUNCTION("""COMPUTED_VALUE"""),"[]")</f>
        <v>[]</v>
      </c>
      <c r="W1715" s="148">
        <f>IFERROR(__xludf.DUMMYFUNCTION("""COMPUTED_VALUE"""),1.174E7)</f>
        <v>11740000</v>
      </c>
      <c r="X1715" s="148">
        <f>IFERROR(__xludf.DUMMYFUNCTION("""COMPUTED_VALUE"""),0.0)</f>
        <v>0</v>
      </c>
      <c r="Y1715" s="148">
        <f>IFERROR(__xludf.DUMMYFUNCTION("""COMPUTED_VALUE"""),0.0)</f>
        <v>0</v>
      </c>
      <c r="Z1715" s="148"/>
    </row>
    <row r="1716">
      <c r="A1716" s="148">
        <f>IFERROR(__xludf.DUMMYFUNCTION("""COMPUTED_VALUE"""),1.1117375E7)</f>
        <v>11117375</v>
      </c>
      <c r="B1716" s="148" t="str">
        <f>IFERROR(__xludf.DUMMYFUNCTION("""COMPUTED_VALUE"""),"秘境起点的馈赠")</f>
        <v>秘境起点的馈赠</v>
      </c>
      <c r="C1716" s="148"/>
      <c r="D1716" s="148" t="str">
        <f>IFERROR(__xludf.DUMMYFUNCTION("""COMPUTED_VALUE"""),"item_asset")</f>
        <v>item_asset</v>
      </c>
      <c r="E1716" s="148">
        <f>IFERROR(__xludf.DUMMYFUNCTION("""COMPUTED_VALUE"""),19.0)</f>
        <v>19</v>
      </c>
      <c r="F1716" s="148">
        <f>IFERROR(__xludf.DUMMYFUNCTION("""COMPUTED_VALUE"""),403499.0)</f>
        <v>403499</v>
      </c>
      <c r="G1716" s="148">
        <f>IFERROR(__xludf.DUMMYFUNCTION("""COMPUTED_VALUE"""),1.5112492E7)</f>
        <v>15112492</v>
      </c>
      <c r="H1716" s="148">
        <f>IFERROR(__xludf.DUMMYFUNCTION("""COMPUTED_VALUE"""),1.5112564E7)</f>
        <v>15112564</v>
      </c>
      <c r="I1716" s="148" t="str">
        <f>IFERROR(__xludf.DUMMYFUNCTION("""COMPUTED_VALUE"""),"{}")</f>
        <v>{}</v>
      </c>
      <c r="J1716" s="148" t="str">
        <f>IFERROR(__xludf.DUMMYFUNCTION("""COMPUTED_VALUE"""),"{""typ"":""lc"",""txt"":""LC_ITEM_monopoly_startbox_name_03""}")</f>
        <v>{"typ":"lc","txt":"LC_ITEM_monopoly_startbox_name_03"}</v>
      </c>
      <c r="K1716" s="148" t="str">
        <f>IFERROR(__xludf.DUMMYFUNCTION("""COMPUTED_VALUE"""),"{""typ"":""lc"",""txt"":""LC_ITEM_monopoly_startbox_desc_03""}")</f>
        <v>{"typ":"lc","txt":"LC_ITEM_monopoly_startbox_desc_03"}</v>
      </c>
      <c r="L1716" s="148" t="str">
        <f>IFERROR(__xludf.DUMMYFUNCTION("""COMPUTED_VALUE"""),"{}")</f>
        <v>{}</v>
      </c>
      <c r="M1716" s="148">
        <f>IFERROR(__xludf.DUMMYFUNCTION("""COMPUTED_VALUE"""),500.0)</f>
        <v>500</v>
      </c>
      <c r="N1716" s="148">
        <f>IFERROR(__xludf.DUMMYFUNCTION("""COMPUTED_VALUE"""),9999999.0)</f>
        <v>9999999</v>
      </c>
      <c r="O1716" s="148">
        <f>IFERROR(__xludf.DUMMYFUNCTION("""COMPUTED_VALUE"""),99999.0)</f>
        <v>99999</v>
      </c>
      <c r="P1716" s="148">
        <f>IFERROR(__xludf.DUMMYFUNCTION("""COMPUTED_VALUE"""),99999.0)</f>
        <v>99999</v>
      </c>
      <c r="Q1716" s="148" t="str">
        <f>IFERROR(__xludf.DUMMYFUNCTION("""COMPUTED_VALUE"""),"[""bag_other""]")</f>
        <v>["bag_other"]</v>
      </c>
      <c r="R1716" s="148" t="str">
        <f>IFERROR(__xludf.DUMMYFUNCTION("""COMPUTED_VALUE"""),"[""bag""]")</f>
        <v>["bag"]</v>
      </c>
      <c r="S1716" s="148" t="str">
        <f>IFERROR(__xludf.DUMMYFUNCTION("""COMPUTED_VALUE"""),"{""drop"":{""typ"":""single_random"",""num"":1,""args"":[{""typ"":""material"",""id"":19345004,""num"":5,""wgt"":30},{""typ"":""material"",""id"":19345004,""num"":6,""wgt"":40},{""typ"":""material"",""id"":19345004,""num"":7,""wgt"":15},{""typ"":""materia"&amp;"l"",""id"":19345004,""num"":8,""wgt"":5},{""typ"":""material"",""id"":19345004,""num"":9,""wgt"":5},{""typ"":""material"",""id"":19345004,""num"":10,""wgt"":5}]}}")</f>
        <v>{"drop":{"typ":"single_random","num":1,"args":[{"typ":"material","id":19345004,"num":5,"wgt":30},{"typ":"material","id":19345004,"num":6,"wgt":40},{"typ":"material","id":19345004,"num":7,"wgt":15},{"typ":"material","id":19345004,"num":8,"wgt":5},{"typ":"material","id":19345004,"num":9,"wgt":5},{"typ":"material","id":19345004,"num":10,"wgt":5}]}}</v>
      </c>
      <c r="T1716" s="148">
        <f>IFERROR(__xludf.DUMMYFUNCTION("""COMPUTED_VALUE"""),-1.0)</f>
        <v>-1</v>
      </c>
      <c r="U1716" s="148">
        <f>IFERROR(__xludf.DUMMYFUNCTION("""COMPUTED_VALUE"""),0.0)</f>
        <v>0</v>
      </c>
      <c r="V1716" s="148" t="str">
        <f>IFERROR(__xludf.DUMMYFUNCTION("""COMPUTED_VALUE"""),"[]")</f>
        <v>[]</v>
      </c>
      <c r="W1716" s="148">
        <f>IFERROR(__xludf.DUMMYFUNCTION("""COMPUTED_VALUE"""),1.174E7)</f>
        <v>11740000</v>
      </c>
      <c r="X1716" s="148">
        <f>IFERROR(__xludf.DUMMYFUNCTION("""COMPUTED_VALUE"""),0.0)</f>
        <v>0</v>
      </c>
      <c r="Y1716" s="148">
        <f>IFERROR(__xludf.DUMMYFUNCTION("""COMPUTED_VALUE"""),0.0)</f>
        <v>0</v>
      </c>
      <c r="Z1716" s="148"/>
    </row>
    <row r="1717">
      <c r="A1717" s="148">
        <f>IFERROR(__xludf.DUMMYFUNCTION("""COMPUTED_VALUE"""),1.1117376E7)</f>
        <v>11117376</v>
      </c>
      <c r="B1717" s="148" t="str">
        <f>IFERROR(__xludf.DUMMYFUNCTION("""COMPUTED_VALUE"""),"秘境装备自选箱")</f>
        <v>秘境装备自选箱</v>
      </c>
      <c r="C1717" s="148"/>
      <c r="D1717" s="148" t="str">
        <f>IFERROR(__xludf.DUMMYFUNCTION("""COMPUTED_VALUE"""),"item_select_box")</f>
        <v>item_select_box</v>
      </c>
      <c r="E1717" s="148">
        <f>IFERROR(__xludf.DUMMYFUNCTION("""COMPUTED_VALUE"""),19.0)</f>
        <v>19</v>
      </c>
      <c r="F1717" s="148">
        <f>IFERROR(__xludf.DUMMYFUNCTION("""COMPUTED_VALUE"""),403308.0)</f>
        <v>403308</v>
      </c>
      <c r="G1717" s="148">
        <f>IFERROR(__xludf.DUMMYFUNCTION("""COMPUTED_VALUE"""),1.5115914E7)</f>
        <v>15115914</v>
      </c>
      <c r="H1717" s="148">
        <f>IFERROR(__xludf.DUMMYFUNCTION("""COMPUTED_VALUE"""),1.5112564E7)</f>
        <v>15112564</v>
      </c>
      <c r="I1717" s="148" t="str">
        <f>IFERROR(__xludf.DUMMYFUNCTION("""COMPUTED_VALUE"""),"{}")</f>
        <v>{}</v>
      </c>
      <c r="J1717" s="148" t="str">
        <f>IFERROR(__xludf.DUMMYFUNCTION("""COMPUTED_VALUE"""),"{""typ"":""lc"",""txt"":""LC_ITEM_monopoly_equipment_blueprint_select_box_name_1""}")</f>
        <v>{"typ":"lc","txt":"LC_ITEM_monopoly_equipment_blueprint_select_box_name_1"}</v>
      </c>
      <c r="K1717" s="148" t="str">
        <f>IFERROR(__xludf.DUMMYFUNCTION("""COMPUTED_VALUE"""),"{""typ"":""lc"",""txt"":""LC_ITEM_monopoly_equipment_blueprint_select_box_desc_1""}")</f>
        <v>{"typ":"lc","txt":"LC_ITEM_monopoly_equipment_blueprint_select_box_desc_1"}</v>
      </c>
      <c r="L1717" s="148" t="str">
        <f>IFERROR(__xludf.DUMMYFUNCTION("""COMPUTED_VALUE"""),"{}")</f>
        <v>{}</v>
      </c>
      <c r="M1717" s="148">
        <f>IFERROR(__xludf.DUMMYFUNCTION("""COMPUTED_VALUE"""),500.0)</f>
        <v>500</v>
      </c>
      <c r="N1717" s="148">
        <f>IFERROR(__xludf.DUMMYFUNCTION("""COMPUTED_VALUE"""),9999999.0)</f>
        <v>9999999</v>
      </c>
      <c r="O1717" s="148">
        <f>IFERROR(__xludf.DUMMYFUNCTION("""COMPUTED_VALUE"""),99999.0)</f>
        <v>99999</v>
      </c>
      <c r="P1717" s="148">
        <f>IFERROR(__xludf.DUMMYFUNCTION("""COMPUTED_VALUE"""),99999.0)</f>
        <v>99999</v>
      </c>
      <c r="Q1717" s="148" t="str">
        <f>IFERROR(__xludf.DUMMYFUNCTION("""COMPUTED_VALUE"""),"[""bag_other""]")</f>
        <v>["bag_other"]</v>
      </c>
      <c r="R1717" s="148" t="str">
        <f>IFERROR(__xludf.DUMMYFUNCTION("""COMPUTED_VALUE"""),"[""bag""]")</f>
        <v>["bag"]</v>
      </c>
      <c r="S1717" s="148" t="str">
        <f>IFERROR(__xludf.DUMMYFUNCTION("""COMPUTED_VALUE"""),"{""select_box"":[{""typ"":""item"",""id"":11117399,""val"":1},{""typ"":""item"",""id"":11117400,""val"":1},{""typ"":""item"",""id"":11117401,""val"":1}]}")</f>
        <v>{"select_box":[{"typ":"item","id":11117399,"val":1},{"typ":"item","id":11117400,"val":1},{"typ":"item","id":11117401,"val":1}]}</v>
      </c>
      <c r="T1717" s="148">
        <f>IFERROR(__xludf.DUMMYFUNCTION("""COMPUTED_VALUE"""),-1.0)</f>
        <v>-1</v>
      </c>
      <c r="U1717" s="148">
        <f>IFERROR(__xludf.DUMMYFUNCTION("""COMPUTED_VALUE"""),0.0)</f>
        <v>0</v>
      </c>
      <c r="V1717" s="148" t="str">
        <f>IFERROR(__xludf.DUMMYFUNCTION("""COMPUTED_VALUE"""),"[]")</f>
        <v>[]</v>
      </c>
      <c r="W1717" s="148">
        <f>IFERROR(__xludf.DUMMYFUNCTION("""COMPUTED_VALUE"""),1.1741004E7)</f>
        <v>11741004</v>
      </c>
      <c r="X1717" s="148">
        <f>IFERROR(__xludf.DUMMYFUNCTION("""COMPUTED_VALUE"""),0.0)</f>
        <v>0</v>
      </c>
      <c r="Y1717" s="148">
        <f>IFERROR(__xludf.DUMMYFUNCTION("""COMPUTED_VALUE"""),0.0)</f>
        <v>0</v>
      </c>
      <c r="Z1717" s="148"/>
    </row>
    <row r="1718">
      <c r="A1718" s="148">
        <f>IFERROR(__xludf.DUMMYFUNCTION("""COMPUTED_VALUE"""),1.1117377E7)</f>
        <v>11117377</v>
      </c>
      <c r="B1718" s="148" t="str">
        <f>IFERROR(__xludf.DUMMYFUNCTION("""COMPUTED_VALUE"""),"心意红包-复活节")</f>
        <v>心意红包-复活节</v>
      </c>
      <c r="C1718" s="148"/>
      <c r="D1718" s="148" t="str">
        <f>IFERROR(__xludf.DUMMYFUNCTION("""COMPUTED_VALUE"""),"red_package")</f>
        <v>red_package</v>
      </c>
      <c r="E1718" s="148">
        <f>IFERROR(__xludf.DUMMYFUNCTION("""COMPUTED_VALUE"""),0.0)</f>
        <v>0</v>
      </c>
      <c r="F1718" s="148">
        <f>IFERROR(__xludf.DUMMYFUNCTION("""COMPUTED_VALUE"""),101105.0)</f>
        <v>101105</v>
      </c>
      <c r="G1718" s="148">
        <f>IFERROR(__xludf.DUMMYFUNCTION("""COMPUTED_VALUE"""),1.511602E7)</f>
        <v>15116020</v>
      </c>
      <c r="H1718" s="148">
        <f>IFERROR(__xludf.DUMMYFUNCTION("""COMPUTED_VALUE"""),1.511256E7)</f>
        <v>15112560</v>
      </c>
      <c r="I1718" s="148" t="str">
        <f>IFERROR(__xludf.DUMMYFUNCTION("""COMPUTED_VALUE"""),"{}")</f>
        <v>{}</v>
      </c>
      <c r="J1718" s="148" t="str">
        <f>IFERROR(__xludf.DUMMYFUNCTION("""COMPUTED_VALUE"""),"{""typ"":""lc"",""txt"":""LC_ITEM_spring_red_packages_2023_title_1""}")</f>
        <v>{"typ":"lc","txt":"LC_ITEM_spring_red_packages_2023_title_1"}</v>
      </c>
      <c r="K1718" s="148" t="str">
        <f>IFERROR(__xludf.DUMMYFUNCTION("""COMPUTED_VALUE"""),"{""typ"":""lc"",""txt"":""LC_ITEM_spring_red_packages_2023_title_desc"",""args"":[{""typ"":""int"",""val"":75}]}")</f>
        <v>{"typ":"lc","txt":"LC_ITEM_spring_red_packages_2023_title_desc","args":[{"typ":"int","val":75}]}</v>
      </c>
      <c r="L1718" s="148" t="str">
        <f>IFERROR(__xludf.DUMMYFUNCTION("""COMPUTED_VALUE"""),"{}")</f>
        <v>{}</v>
      </c>
      <c r="M1718" s="148">
        <f>IFERROR(__xludf.DUMMYFUNCTION("""COMPUTED_VALUE"""),50.0)</f>
        <v>50</v>
      </c>
      <c r="N1718" s="148">
        <f>IFERROR(__xludf.DUMMYFUNCTION("""COMPUTED_VALUE"""),999999.0)</f>
        <v>999999</v>
      </c>
      <c r="O1718" s="148">
        <f>IFERROR(__xludf.DUMMYFUNCTION("""COMPUTED_VALUE"""),99999.0)</f>
        <v>99999</v>
      </c>
      <c r="P1718" s="148">
        <f>IFERROR(__xludf.DUMMYFUNCTION("""COMPUTED_VALUE"""),1.0)</f>
        <v>1</v>
      </c>
      <c r="Q1718" s="148" t="str">
        <f>IFERROR(__xludf.DUMMYFUNCTION("""COMPUTED_VALUE"""),"[""bag_other""]")</f>
        <v>["bag_other"]</v>
      </c>
      <c r="R1718" s="148" t="str">
        <f>IFERROR(__xludf.DUMMYFUNCTION("""COMPUTED_VALUE"""),"[""bag""]")</f>
        <v>["bag"]</v>
      </c>
      <c r="S1718" s="148" t="str">
        <f>IFERROR(__xludf.DUMMYFUNCTION("""COMPUTED_VALUE"""),"{""effect"":[{""typ"":""red_pack"",""id"":20290006}]}")</f>
        <v>{"effect":[{"typ":"red_pack","id":20290006}]}</v>
      </c>
      <c r="T1718" s="148">
        <f>IFERROR(__xludf.DUMMYFUNCTION("""COMPUTED_VALUE"""),1.0)</f>
        <v>1</v>
      </c>
      <c r="U1718" s="148">
        <f>IFERROR(__xludf.DUMMYFUNCTION("""COMPUTED_VALUE"""),0.0)</f>
        <v>0</v>
      </c>
      <c r="V1718" s="148" t="str">
        <f>IFERROR(__xludf.DUMMYFUNCTION("""COMPUTED_VALUE"""),"[]")</f>
        <v>[]</v>
      </c>
      <c r="W1718" s="148">
        <f>IFERROR(__xludf.DUMMYFUNCTION("""COMPUTED_VALUE"""),1.174E7)</f>
        <v>11740000</v>
      </c>
      <c r="X1718" s="148">
        <f>IFERROR(__xludf.DUMMYFUNCTION("""COMPUTED_VALUE"""),0.0)</f>
        <v>0</v>
      </c>
      <c r="Y1718" s="148">
        <f>IFERROR(__xludf.DUMMYFUNCTION("""COMPUTED_VALUE"""),0.0)</f>
        <v>0</v>
      </c>
      <c r="Z1718" s="148"/>
    </row>
    <row r="1719">
      <c r="A1719" s="148">
        <f>IFERROR(__xludf.DUMMYFUNCTION("""COMPUTED_VALUE"""),1.1117378E7)</f>
        <v>11117378</v>
      </c>
      <c r="B1719" s="148" t="str">
        <f>IFERROR(__xludf.DUMMYFUNCTION("""COMPUTED_VALUE"""),"吉利红包-复活节")</f>
        <v>吉利红包-复活节</v>
      </c>
      <c r="C1719" s="148"/>
      <c r="D1719" s="148" t="str">
        <f>IFERROR(__xludf.DUMMYFUNCTION("""COMPUTED_VALUE"""),"red_package")</f>
        <v>red_package</v>
      </c>
      <c r="E1719" s="148">
        <f>IFERROR(__xludf.DUMMYFUNCTION("""COMPUTED_VALUE"""),0.0)</f>
        <v>0</v>
      </c>
      <c r="F1719" s="148">
        <f>IFERROR(__xludf.DUMMYFUNCTION("""COMPUTED_VALUE"""),101104.0)</f>
        <v>101104</v>
      </c>
      <c r="G1719" s="148">
        <f>IFERROR(__xludf.DUMMYFUNCTION("""COMPUTED_VALUE"""),1.5116021E7)</f>
        <v>15116021</v>
      </c>
      <c r="H1719" s="148">
        <f>IFERROR(__xludf.DUMMYFUNCTION("""COMPUTED_VALUE"""),1.5112561E7)</f>
        <v>15112561</v>
      </c>
      <c r="I1719" s="148" t="str">
        <f>IFERROR(__xludf.DUMMYFUNCTION("""COMPUTED_VALUE"""),"{}")</f>
        <v>{}</v>
      </c>
      <c r="J1719" s="148" t="str">
        <f>IFERROR(__xludf.DUMMYFUNCTION("""COMPUTED_VALUE"""),"{""typ"":""lc"",""txt"":""LC_ITEM_spring_red_packages_2023_title_2""}")</f>
        <v>{"typ":"lc","txt":"LC_ITEM_spring_red_packages_2023_title_2"}</v>
      </c>
      <c r="K1719" s="148" t="str">
        <f>IFERROR(__xludf.DUMMYFUNCTION("""COMPUTED_VALUE"""),"{""typ"":""lc"",""txt"":""LC_ITEM_spring_red_packages_2023_title_desc"",""args"":[{""typ"":""int"",""val"":250}]}")</f>
        <v>{"typ":"lc","txt":"LC_ITEM_spring_red_packages_2023_title_desc","args":[{"typ":"int","val":250}]}</v>
      </c>
      <c r="L1719" s="148" t="str">
        <f>IFERROR(__xludf.DUMMYFUNCTION("""COMPUTED_VALUE"""),"{}")</f>
        <v>{}</v>
      </c>
      <c r="M1719" s="148">
        <f>IFERROR(__xludf.DUMMYFUNCTION("""COMPUTED_VALUE"""),100.0)</f>
        <v>100</v>
      </c>
      <c r="N1719" s="148">
        <f>IFERROR(__xludf.DUMMYFUNCTION("""COMPUTED_VALUE"""),999999.0)</f>
        <v>999999</v>
      </c>
      <c r="O1719" s="148">
        <f>IFERROR(__xludf.DUMMYFUNCTION("""COMPUTED_VALUE"""),99999.0)</f>
        <v>99999</v>
      </c>
      <c r="P1719" s="148">
        <f>IFERROR(__xludf.DUMMYFUNCTION("""COMPUTED_VALUE"""),1.0)</f>
        <v>1</v>
      </c>
      <c r="Q1719" s="148" t="str">
        <f>IFERROR(__xludf.DUMMYFUNCTION("""COMPUTED_VALUE"""),"[""bag_other""]")</f>
        <v>["bag_other"]</v>
      </c>
      <c r="R1719" s="148" t="str">
        <f>IFERROR(__xludf.DUMMYFUNCTION("""COMPUTED_VALUE"""),"[""bag""]")</f>
        <v>["bag"]</v>
      </c>
      <c r="S1719" s="148" t="str">
        <f>IFERROR(__xludf.DUMMYFUNCTION("""COMPUTED_VALUE"""),"{""effect"":[{""typ"":""red_pack"",""id"":20290007}]}")</f>
        <v>{"effect":[{"typ":"red_pack","id":20290007}]}</v>
      </c>
      <c r="T1719" s="148">
        <f>IFERROR(__xludf.DUMMYFUNCTION("""COMPUTED_VALUE"""),1.0)</f>
        <v>1</v>
      </c>
      <c r="U1719" s="148">
        <f>IFERROR(__xludf.DUMMYFUNCTION("""COMPUTED_VALUE"""),0.0)</f>
        <v>0</v>
      </c>
      <c r="V1719" s="148" t="str">
        <f>IFERROR(__xludf.DUMMYFUNCTION("""COMPUTED_VALUE"""),"[]")</f>
        <v>[]</v>
      </c>
      <c r="W1719" s="148">
        <f>IFERROR(__xludf.DUMMYFUNCTION("""COMPUTED_VALUE"""),1.174E7)</f>
        <v>11740000</v>
      </c>
      <c r="X1719" s="148">
        <f>IFERROR(__xludf.DUMMYFUNCTION("""COMPUTED_VALUE"""),0.0)</f>
        <v>0</v>
      </c>
      <c r="Y1719" s="148">
        <f>IFERROR(__xludf.DUMMYFUNCTION("""COMPUTED_VALUE"""),0.0)</f>
        <v>0</v>
      </c>
      <c r="Z1719" s="148"/>
    </row>
    <row r="1720">
      <c r="A1720" s="148">
        <f>IFERROR(__xludf.DUMMYFUNCTION("""COMPUTED_VALUE"""),1.1117379E7)</f>
        <v>11117379</v>
      </c>
      <c r="B1720" s="148" t="str">
        <f>IFERROR(__xludf.DUMMYFUNCTION("""COMPUTED_VALUE"""),"福运红包-复活节")</f>
        <v>福运红包-复活节</v>
      </c>
      <c r="C1720" s="148"/>
      <c r="D1720" s="148" t="str">
        <f>IFERROR(__xludf.DUMMYFUNCTION("""COMPUTED_VALUE"""),"red_package")</f>
        <v>red_package</v>
      </c>
      <c r="E1720" s="148">
        <f>IFERROR(__xludf.DUMMYFUNCTION("""COMPUTED_VALUE"""),0.0)</f>
        <v>0</v>
      </c>
      <c r="F1720" s="148">
        <f>IFERROR(__xludf.DUMMYFUNCTION("""COMPUTED_VALUE"""),101103.0)</f>
        <v>101103</v>
      </c>
      <c r="G1720" s="148">
        <f>IFERROR(__xludf.DUMMYFUNCTION("""COMPUTED_VALUE"""),1.5116022E7)</f>
        <v>15116022</v>
      </c>
      <c r="H1720" s="148">
        <f>IFERROR(__xludf.DUMMYFUNCTION("""COMPUTED_VALUE"""),1.5112562E7)</f>
        <v>15112562</v>
      </c>
      <c r="I1720" s="148" t="str">
        <f>IFERROR(__xludf.DUMMYFUNCTION("""COMPUTED_VALUE"""),"{}")</f>
        <v>{}</v>
      </c>
      <c r="J1720" s="148" t="str">
        <f>IFERROR(__xludf.DUMMYFUNCTION("""COMPUTED_VALUE"""),"{""typ"":""lc"",""txt"":""LC_ITEM_spring_red_packages_2023_title_3""}")</f>
        <v>{"typ":"lc","txt":"LC_ITEM_spring_red_packages_2023_title_3"}</v>
      </c>
      <c r="K1720" s="148" t="str">
        <f>IFERROR(__xludf.DUMMYFUNCTION("""COMPUTED_VALUE"""),"{""typ"":""lc"",""txt"":""LC_ITEM_spring_red_packages_2023_title_desc"",""args"":[{""typ"":""int"",""val"":500}]}")</f>
        <v>{"typ":"lc","txt":"LC_ITEM_spring_red_packages_2023_title_desc","args":[{"typ":"int","val":500}]}</v>
      </c>
      <c r="L1720" s="148" t="str">
        <f>IFERROR(__xludf.DUMMYFUNCTION("""COMPUTED_VALUE"""),"{}")</f>
        <v>{}</v>
      </c>
      <c r="M1720" s="148">
        <f>IFERROR(__xludf.DUMMYFUNCTION("""COMPUTED_VALUE"""),200.0)</f>
        <v>200</v>
      </c>
      <c r="N1720" s="148">
        <f>IFERROR(__xludf.DUMMYFUNCTION("""COMPUTED_VALUE"""),999999.0)</f>
        <v>999999</v>
      </c>
      <c r="O1720" s="148">
        <f>IFERROR(__xludf.DUMMYFUNCTION("""COMPUTED_VALUE"""),99999.0)</f>
        <v>99999</v>
      </c>
      <c r="P1720" s="148">
        <f>IFERROR(__xludf.DUMMYFUNCTION("""COMPUTED_VALUE"""),1.0)</f>
        <v>1</v>
      </c>
      <c r="Q1720" s="148" t="str">
        <f>IFERROR(__xludf.DUMMYFUNCTION("""COMPUTED_VALUE"""),"[""bag_other""]")</f>
        <v>["bag_other"]</v>
      </c>
      <c r="R1720" s="148" t="str">
        <f>IFERROR(__xludf.DUMMYFUNCTION("""COMPUTED_VALUE"""),"[""bag""]")</f>
        <v>["bag"]</v>
      </c>
      <c r="S1720" s="148" t="str">
        <f>IFERROR(__xludf.DUMMYFUNCTION("""COMPUTED_VALUE"""),"{""effect"":[{""typ"":""red_pack"",""id"":20290008}]}")</f>
        <v>{"effect":[{"typ":"red_pack","id":20290008}]}</v>
      </c>
      <c r="T1720" s="148">
        <f>IFERROR(__xludf.DUMMYFUNCTION("""COMPUTED_VALUE"""),1.0)</f>
        <v>1</v>
      </c>
      <c r="U1720" s="148">
        <f>IFERROR(__xludf.DUMMYFUNCTION("""COMPUTED_VALUE"""),0.0)</f>
        <v>0</v>
      </c>
      <c r="V1720" s="148" t="str">
        <f>IFERROR(__xludf.DUMMYFUNCTION("""COMPUTED_VALUE"""),"[]")</f>
        <v>[]</v>
      </c>
      <c r="W1720" s="148">
        <f>IFERROR(__xludf.DUMMYFUNCTION("""COMPUTED_VALUE"""),1.174E7)</f>
        <v>11740000</v>
      </c>
      <c r="X1720" s="148">
        <f>IFERROR(__xludf.DUMMYFUNCTION("""COMPUTED_VALUE"""),0.0)</f>
        <v>0</v>
      </c>
      <c r="Y1720" s="148">
        <f>IFERROR(__xludf.DUMMYFUNCTION("""COMPUTED_VALUE"""),0.0)</f>
        <v>0</v>
      </c>
      <c r="Z1720" s="148"/>
    </row>
    <row r="1721">
      <c r="A1721" s="148">
        <f>IFERROR(__xludf.DUMMYFUNCTION("""COMPUTED_VALUE"""),1.111738E7)</f>
        <v>11117380</v>
      </c>
      <c r="B1721" s="148" t="str">
        <f>IFERROR(__xludf.DUMMYFUNCTION("""COMPUTED_VALUE"""),"奢享红包-复活节")</f>
        <v>奢享红包-复活节</v>
      </c>
      <c r="C1721" s="148"/>
      <c r="D1721" s="148" t="str">
        <f>IFERROR(__xludf.DUMMYFUNCTION("""COMPUTED_VALUE"""),"red_package")</f>
        <v>red_package</v>
      </c>
      <c r="E1721" s="148">
        <f>IFERROR(__xludf.DUMMYFUNCTION("""COMPUTED_VALUE"""),0.0)</f>
        <v>0</v>
      </c>
      <c r="F1721" s="148">
        <f>IFERROR(__xludf.DUMMYFUNCTION("""COMPUTED_VALUE"""),101102.0)</f>
        <v>101102</v>
      </c>
      <c r="G1721" s="148">
        <f>IFERROR(__xludf.DUMMYFUNCTION("""COMPUTED_VALUE"""),1.5116023E7)</f>
        <v>15116023</v>
      </c>
      <c r="H1721" s="148">
        <f>IFERROR(__xludf.DUMMYFUNCTION("""COMPUTED_VALUE"""),1.5112563E7)</f>
        <v>15112563</v>
      </c>
      <c r="I1721" s="148" t="str">
        <f>IFERROR(__xludf.DUMMYFUNCTION("""COMPUTED_VALUE"""),"{}")</f>
        <v>{}</v>
      </c>
      <c r="J1721" s="148" t="str">
        <f>IFERROR(__xludf.DUMMYFUNCTION("""COMPUTED_VALUE"""),"{""typ"":""lc"",""txt"":""LC_ITEM_spring_red_packages_2023_title_4""}")</f>
        <v>{"typ":"lc","txt":"LC_ITEM_spring_red_packages_2023_title_4"}</v>
      </c>
      <c r="K1721" s="148" t="str">
        <f>IFERROR(__xludf.DUMMYFUNCTION("""COMPUTED_VALUE"""),"{""typ"":""lc"",""txt"":""LC_ITEM_spring_red_packages_2023_title_desc"",""args"":[{""typ"":""int"",""val"":1250}]}")</f>
        <v>{"typ":"lc","txt":"LC_ITEM_spring_red_packages_2023_title_desc","args":[{"typ":"int","val":1250}]}</v>
      </c>
      <c r="L1721" s="148" t="str">
        <f>IFERROR(__xludf.DUMMYFUNCTION("""COMPUTED_VALUE"""),"{}")</f>
        <v>{}</v>
      </c>
      <c r="M1721" s="148">
        <f>IFERROR(__xludf.DUMMYFUNCTION("""COMPUTED_VALUE"""),500.0)</f>
        <v>500</v>
      </c>
      <c r="N1721" s="148">
        <f>IFERROR(__xludf.DUMMYFUNCTION("""COMPUTED_VALUE"""),999999.0)</f>
        <v>999999</v>
      </c>
      <c r="O1721" s="148">
        <f>IFERROR(__xludf.DUMMYFUNCTION("""COMPUTED_VALUE"""),99999.0)</f>
        <v>99999</v>
      </c>
      <c r="P1721" s="148">
        <f>IFERROR(__xludf.DUMMYFUNCTION("""COMPUTED_VALUE"""),1.0)</f>
        <v>1</v>
      </c>
      <c r="Q1721" s="148" t="str">
        <f>IFERROR(__xludf.DUMMYFUNCTION("""COMPUTED_VALUE"""),"[""bag_other""]")</f>
        <v>["bag_other"]</v>
      </c>
      <c r="R1721" s="148" t="str">
        <f>IFERROR(__xludf.DUMMYFUNCTION("""COMPUTED_VALUE"""),"[""bag""]")</f>
        <v>["bag"]</v>
      </c>
      <c r="S1721" s="148" t="str">
        <f>IFERROR(__xludf.DUMMYFUNCTION("""COMPUTED_VALUE"""),"{""effect"":[{""typ"":""red_pack"",""id"":20290009}]}")</f>
        <v>{"effect":[{"typ":"red_pack","id":20290009}]}</v>
      </c>
      <c r="T1721" s="148">
        <f>IFERROR(__xludf.DUMMYFUNCTION("""COMPUTED_VALUE"""),1.0)</f>
        <v>1</v>
      </c>
      <c r="U1721" s="148">
        <f>IFERROR(__xludf.DUMMYFUNCTION("""COMPUTED_VALUE"""),0.0)</f>
        <v>0</v>
      </c>
      <c r="V1721" s="148" t="str">
        <f>IFERROR(__xludf.DUMMYFUNCTION("""COMPUTED_VALUE"""),"[]")</f>
        <v>[]</v>
      </c>
      <c r="W1721" s="148">
        <f>IFERROR(__xludf.DUMMYFUNCTION("""COMPUTED_VALUE"""),1.174E7)</f>
        <v>11740000</v>
      </c>
      <c r="X1721" s="148">
        <f>IFERROR(__xludf.DUMMYFUNCTION("""COMPUTED_VALUE"""),0.0)</f>
        <v>0</v>
      </c>
      <c r="Y1721" s="148">
        <f>IFERROR(__xludf.DUMMYFUNCTION("""COMPUTED_VALUE"""),0.0)</f>
        <v>0</v>
      </c>
      <c r="Z1721" s="148"/>
    </row>
    <row r="1722">
      <c r="A1722" s="148">
        <f>IFERROR(__xludf.DUMMYFUNCTION("""COMPUTED_VALUE"""),1.1117381E7)</f>
        <v>11117381</v>
      </c>
      <c r="B1722" s="148" t="str">
        <f>IFERROR(__xludf.DUMMYFUNCTION("""COMPUTED_VALUE"""),"至尊红包-复活节")</f>
        <v>至尊红包-复活节</v>
      </c>
      <c r="C1722" s="148"/>
      <c r="D1722" s="148" t="str">
        <f>IFERROR(__xludf.DUMMYFUNCTION("""COMPUTED_VALUE"""),"red_package")</f>
        <v>red_package</v>
      </c>
      <c r="E1722" s="148">
        <f>IFERROR(__xludf.DUMMYFUNCTION("""COMPUTED_VALUE"""),0.0)</f>
        <v>0</v>
      </c>
      <c r="F1722" s="148">
        <f>IFERROR(__xludf.DUMMYFUNCTION("""COMPUTED_VALUE"""),101101.0)</f>
        <v>101101</v>
      </c>
      <c r="G1722" s="148">
        <f>IFERROR(__xludf.DUMMYFUNCTION("""COMPUTED_VALUE"""),1.5116024E7)</f>
        <v>15116024</v>
      </c>
      <c r="H1722" s="148">
        <f>IFERROR(__xludf.DUMMYFUNCTION("""COMPUTED_VALUE"""),1.5112564E7)</f>
        <v>15112564</v>
      </c>
      <c r="I1722" s="148" t="str">
        <f>IFERROR(__xludf.DUMMYFUNCTION("""COMPUTED_VALUE"""),"{}")</f>
        <v>{}</v>
      </c>
      <c r="J1722" s="148" t="str">
        <f>IFERROR(__xludf.DUMMYFUNCTION("""COMPUTED_VALUE"""),"{""typ"":""lc"",""txt"":""LC_ITEM_spring_red_packages_2023_title_5""}")</f>
        <v>{"typ":"lc","txt":"LC_ITEM_spring_red_packages_2023_title_5"}</v>
      </c>
      <c r="K1722" s="148" t="str">
        <f>IFERROR(__xludf.DUMMYFUNCTION("""COMPUTED_VALUE"""),"{""typ"":""lc"",""txt"":""LC_ITEM_spring_red_packages_2023_title_desc"",""args"":[{""typ"":""int"",""val"":2500}]}")</f>
        <v>{"typ":"lc","txt":"LC_ITEM_spring_red_packages_2023_title_desc","args":[{"typ":"int","val":2500}]}</v>
      </c>
      <c r="L1722" s="148" t="str">
        <f>IFERROR(__xludf.DUMMYFUNCTION("""COMPUTED_VALUE"""),"{}")</f>
        <v>{}</v>
      </c>
      <c r="M1722" s="148">
        <f>IFERROR(__xludf.DUMMYFUNCTION("""COMPUTED_VALUE"""),1000.0)</f>
        <v>1000</v>
      </c>
      <c r="N1722" s="148">
        <f>IFERROR(__xludf.DUMMYFUNCTION("""COMPUTED_VALUE"""),999999.0)</f>
        <v>999999</v>
      </c>
      <c r="O1722" s="148">
        <f>IFERROR(__xludf.DUMMYFUNCTION("""COMPUTED_VALUE"""),99999.0)</f>
        <v>99999</v>
      </c>
      <c r="P1722" s="148">
        <f>IFERROR(__xludf.DUMMYFUNCTION("""COMPUTED_VALUE"""),1.0)</f>
        <v>1</v>
      </c>
      <c r="Q1722" s="148" t="str">
        <f>IFERROR(__xludf.DUMMYFUNCTION("""COMPUTED_VALUE"""),"[""bag_other""]")</f>
        <v>["bag_other"]</v>
      </c>
      <c r="R1722" s="148" t="str">
        <f>IFERROR(__xludf.DUMMYFUNCTION("""COMPUTED_VALUE"""),"[""bag""]")</f>
        <v>["bag"]</v>
      </c>
      <c r="S1722" s="148" t="str">
        <f>IFERROR(__xludf.DUMMYFUNCTION("""COMPUTED_VALUE"""),"{""effect"":[{""typ"":""red_pack"",""id"":20290010}]}")</f>
        <v>{"effect":[{"typ":"red_pack","id":20290010}]}</v>
      </c>
      <c r="T1722" s="148">
        <f>IFERROR(__xludf.DUMMYFUNCTION("""COMPUTED_VALUE"""),1.0)</f>
        <v>1</v>
      </c>
      <c r="U1722" s="148">
        <f>IFERROR(__xludf.DUMMYFUNCTION("""COMPUTED_VALUE"""),0.0)</f>
        <v>0</v>
      </c>
      <c r="V1722" s="148" t="str">
        <f>IFERROR(__xludf.DUMMYFUNCTION("""COMPUTED_VALUE"""),"[]")</f>
        <v>[]</v>
      </c>
      <c r="W1722" s="148">
        <f>IFERROR(__xludf.DUMMYFUNCTION("""COMPUTED_VALUE"""),1.174E7)</f>
        <v>11740000</v>
      </c>
      <c r="X1722" s="148">
        <f>IFERROR(__xludf.DUMMYFUNCTION("""COMPUTED_VALUE"""),0.0)</f>
        <v>0</v>
      </c>
      <c r="Y1722" s="148">
        <f>IFERROR(__xludf.DUMMYFUNCTION("""COMPUTED_VALUE"""),0.0)</f>
        <v>0</v>
      </c>
      <c r="Z1722" s="148"/>
    </row>
    <row r="1723">
      <c r="A1723" s="148">
        <f>IFERROR(__xludf.DUMMYFUNCTION("""COMPUTED_VALUE"""),1.1117382E7)</f>
        <v>11117382</v>
      </c>
      <c r="B1723" s="148" t="str">
        <f>IFERROR(__xludf.DUMMYFUNCTION("""COMPUTED_VALUE"""),"异步pvp-挑战券")</f>
        <v>异步pvp-挑战券</v>
      </c>
      <c r="C1723" s="148"/>
      <c r="D1723" s="148" t="str">
        <f>IFERROR(__xludf.DUMMYFUNCTION("""COMPUTED_VALUE"""),"asynchronous__tower_pvp")</f>
        <v>asynchronous__tower_pvp</v>
      </c>
      <c r="E1723" s="148">
        <f>IFERROR(__xludf.DUMMYFUNCTION("""COMPUTED_VALUE"""),0.0)</f>
        <v>0</v>
      </c>
      <c r="F1723" s="148">
        <f>IFERROR(__xludf.DUMMYFUNCTION("""COMPUTED_VALUE"""),408197.0)</f>
        <v>408197</v>
      </c>
      <c r="G1723" s="148">
        <f>IFERROR(__xludf.DUMMYFUNCTION("""COMPUTED_VALUE"""),1.511603E7)</f>
        <v>15116030</v>
      </c>
      <c r="H1723" s="148">
        <f>IFERROR(__xludf.DUMMYFUNCTION("""COMPUTED_VALUE"""),1.511256E7)</f>
        <v>15112560</v>
      </c>
      <c r="I1723" s="148" t="str">
        <f>IFERROR(__xludf.DUMMYFUNCTION("""COMPUTED_VALUE"""),"{}")</f>
        <v>{}</v>
      </c>
      <c r="J1723" s="148" t="str">
        <f>IFERROR(__xludf.DUMMYFUNCTION("""COMPUTED_VALUE"""),"{""typ"":""lc"",""txt"":""LC_MAP_tower_pvp_attack_item_name""}")</f>
        <v>{"typ":"lc","txt":"LC_MAP_tower_pvp_attack_item_name"}</v>
      </c>
      <c r="K1723" s="148" t="str">
        <f>IFERROR(__xludf.DUMMYFUNCTION("""COMPUTED_VALUE"""),"{""typ"":""lc"",""txt"":""LC_MAP_tower_tower_pvp_attack_item_desc""}")</f>
        <v>{"typ":"lc","txt":"LC_MAP_tower_tower_pvp_attack_item_desc"}</v>
      </c>
      <c r="L1723" s="148" t="str">
        <f>IFERROR(__xludf.DUMMYFUNCTION("""COMPUTED_VALUE"""),"{}")</f>
        <v>{}</v>
      </c>
      <c r="M1723" s="148">
        <f>IFERROR(__xludf.DUMMYFUNCTION("""COMPUTED_VALUE"""),300.0)</f>
        <v>300</v>
      </c>
      <c r="N1723" s="148">
        <f>IFERROR(__xludf.DUMMYFUNCTION("""COMPUTED_VALUE"""),99999.0)</f>
        <v>99999</v>
      </c>
      <c r="O1723" s="148">
        <f>IFERROR(__xludf.DUMMYFUNCTION("""COMPUTED_VALUE"""),99999.0)</f>
        <v>99999</v>
      </c>
      <c r="P1723" s="148">
        <f>IFERROR(__xludf.DUMMYFUNCTION("""COMPUTED_VALUE"""),1.0)</f>
        <v>1</v>
      </c>
      <c r="Q1723" s="148" t="str">
        <f>IFERROR(__xludf.DUMMYFUNCTION("""COMPUTED_VALUE"""),"[]")</f>
        <v>[]</v>
      </c>
      <c r="R1723" s="148" t="str">
        <f>IFERROR(__xludf.DUMMYFUNCTION("""COMPUTED_VALUE"""),"[]")</f>
        <v>[]</v>
      </c>
      <c r="S1723" s="148" t="str">
        <f>IFERROR(__xludf.DUMMYFUNCTION("""COMPUTED_VALUE"""),"{}")</f>
        <v>{}</v>
      </c>
      <c r="T1723" s="148">
        <f>IFERROR(__xludf.DUMMYFUNCTION("""COMPUTED_VALUE"""),-1.0)</f>
        <v>-1</v>
      </c>
      <c r="U1723" s="148">
        <f>IFERROR(__xludf.DUMMYFUNCTION("""COMPUTED_VALUE"""),0.0)</f>
        <v>0</v>
      </c>
      <c r="V1723" s="148" t="str">
        <f>IFERROR(__xludf.DUMMYFUNCTION("""COMPUTED_VALUE"""),"[]")</f>
        <v>[]</v>
      </c>
      <c r="W1723" s="148">
        <f>IFERROR(__xludf.DUMMYFUNCTION("""COMPUTED_VALUE"""),1.174E7)</f>
        <v>11740000</v>
      </c>
      <c r="X1723" s="148">
        <f>IFERROR(__xludf.DUMMYFUNCTION("""COMPUTED_VALUE"""),0.0)</f>
        <v>0</v>
      </c>
      <c r="Y1723" s="148">
        <f>IFERROR(__xludf.DUMMYFUNCTION("""COMPUTED_VALUE"""),0.0)</f>
        <v>0</v>
      </c>
      <c r="Z1723" s="148"/>
    </row>
    <row r="1724">
      <c r="A1724" s="148">
        <f>IFERROR(__xludf.DUMMYFUNCTION("""COMPUTED_VALUE"""),1.1117383E7)</f>
        <v>11117383</v>
      </c>
      <c r="B1724" s="148" t="str">
        <f>IFERROR(__xludf.DUMMYFUNCTION("""COMPUTED_VALUE"""),"头像框：氮气加速")</f>
        <v>头像框：氮气加速</v>
      </c>
      <c r="C1724" s="148"/>
      <c r="D1724" s="148" t="str">
        <f>IFERROR(__xludf.DUMMYFUNCTION("""COMPUTED_VALUE"""),"avatar_frame")</f>
        <v>avatar_frame</v>
      </c>
      <c r="E1724" s="148">
        <f>IFERROR(__xludf.DUMMYFUNCTION("""COMPUTED_VALUE"""),20.0)</f>
        <v>20</v>
      </c>
      <c r="F1724" s="148">
        <f>IFERROR(__xludf.DUMMYFUNCTION("""COMPUTED_VALUE"""),0.0)</f>
        <v>0</v>
      </c>
      <c r="G1724" s="148">
        <f>IFERROR(__xludf.DUMMYFUNCTION("""COMPUTED_VALUE"""),1.5116104E7)</f>
        <v>15116104</v>
      </c>
      <c r="H1724" s="148">
        <f>IFERROR(__xludf.DUMMYFUNCTION("""COMPUTED_VALUE"""),1.5112563E7)</f>
        <v>15112563</v>
      </c>
      <c r="I1724" s="148" t="str">
        <f>IFERROR(__xludf.DUMMYFUNCTION("""COMPUTED_VALUE"""),"{}")</f>
        <v>{}</v>
      </c>
      <c r="J1724" s="148" t="str">
        <f>IFERROR(__xludf.DUMMYFUNCTION("""COMPUTED_VALUE"""),"{""typ"":""lc"",""txt"":""LC_ASSET_avatar_frame_name_22""}")</f>
        <v>{"typ":"lc","txt":"LC_ASSET_avatar_frame_name_22"}</v>
      </c>
      <c r="K1724" s="148" t="str">
        <f>IFERROR(__xludf.DUMMYFUNCTION("""COMPUTED_VALUE"""),"{""typ"":""lc"",""txt"":""LC_MENU_forever""}")</f>
        <v>{"typ":"lc","txt":"LC_MENU_forever"}</v>
      </c>
      <c r="L1724" s="148" t="str">
        <f>IFERROR(__xludf.DUMMYFUNCTION("""COMPUTED_VALUE"""),"{}")</f>
        <v>{}</v>
      </c>
      <c r="M1724" s="148">
        <f>IFERROR(__xludf.DUMMYFUNCTION("""COMPUTED_VALUE"""),1000.0)</f>
        <v>1000</v>
      </c>
      <c r="N1724" s="148">
        <f>IFERROR(__xludf.DUMMYFUNCTION("""COMPUTED_VALUE"""),99.0)</f>
        <v>99</v>
      </c>
      <c r="O1724" s="148">
        <f>IFERROR(__xludf.DUMMYFUNCTION("""COMPUTED_VALUE"""),1.0)</f>
        <v>1</v>
      </c>
      <c r="P1724" s="148">
        <f>IFERROR(__xludf.DUMMYFUNCTION("""COMPUTED_VALUE"""),1.0)</f>
        <v>1</v>
      </c>
      <c r="Q1724" s="148" t="str">
        <f>IFERROR(__xludf.DUMMYFUNCTION("""COMPUTED_VALUE"""),"[]")</f>
        <v>[]</v>
      </c>
      <c r="R1724" s="148" t="str">
        <f>IFERROR(__xludf.DUMMYFUNCTION("""COMPUTED_VALUE"""),"[""11421022""]")</f>
        <v>["11421022"]</v>
      </c>
      <c r="S1724" s="148" t="str">
        <f>IFERROR(__xludf.DUMMYFUNCTION("""COMPUTED_VALUE"""),"{""effect"":[{""typ"":""avatar_frame"",""id"":11421022,""val"":-1},{""typ"":""item"",""id"":11111031,""val"":1000}]}")</f>
        <v>{"effect":[{"typ":"avatar_frame","id":11421022,"val":-1},{"typ":"item","id":11111031,"val":1000}]}</v>
      </c>
      <c r="T1724" s="148">
        <f>IFERROR(__xludf.DUMMYFUNCTION("""COMPUTED_VALUE"""),-1.0)</f>
        <v>-1</v>
      </c>
      <c r="U1724" s="148">
        <f>IFERROR(__xludf.DUMMYFUNCTION("""COMPUTED_VALUE"""),1.0)</f>
        <v>1</v>
      </c>
      <c r="V1724" s="148" t="str">
        <f>IFERROR(__xludf.DUMMYFUNCTION("""COMPUTED_VALUE"""),"[]")</f>
        <v>[]</v>
      </c>
      <c r="W1724" s="148">
        <f>IFERROR(__xludf.DUMMYFUNCTION("""COMPUTED_VALUE"""),1.174E7)</f>
        <v>11740000</v>
      </c>
      <c r="X1724" s="148">
        <f>IFERROR(__xludf.DUMMYFUNCTION("""COMPUTED_VALUE"""),0.0)</f>
        <v>0</v>
      </c>
      <c r="Y1724" s="148">
        <f>IFERROR(__xludf.DUMMYFUNCTION("""COMPUTED_VALUE"""),0.0)</f>
        <v>0</v>
      </c>
      <c r="Z1724" s="148"/>
    </row>
    <row r="1725">
      <c r="A1725" s="148">
        <f>IFERROR(__xludf.DUMMYFUNCTION("""COMPUTED_VALUE"""),1.1117384E7)</f>
        <v>11117384</v>
      </c>
      <c r="B1725" s="148" t="str">
        <f>IFERROR(__xludf.DUMMYFUNCTION("""COMPUTED_VALUE"""),"头像框：危险水域")</f>
        <v>头像框：危险水域</v>
      </c>
      <c r="C1725" s="148"/>
      <c r="D1725" s="148" t="str">
        <f>IFERROR(__xludf.DUMMYFUNCTION("""COMPUTED_VALUE"""),"avatar_frame")</f>
        <v>avatar_frame</v>
      </c>
      <c r="E1725" s="148">
        <f>IFERROR(__xludf.DUMMYFUNCTION("""COMPUTED_VALUE"""),20.0)</f>
        <v>20</v>
      </c>
      <c r="F1725" s="148">
        <f>IFERROR(__xludf.DUMMYFUNCTION("""COMPUTED_VALUE"""),0.0)</f>
        <v>0</v>
      </c>
      <c r="G1725" s="148">
        <f>IFERROR(__xludf.DUMMYFUNCTION("""COMPUTED_VALUE"""),1.5116105E7)</f>
        <v>15116105</v>
      </c>
      <c r="H1725" s="148">
        <f>IFERROR(__xludf.DUMMYFUNCTION("""COMPUTED_VALUE"""),1.5112563E7)</f>
        <v>15112563</v>
      </c>
      <c r="I1725" s="148" t="str">
        <f>IFERROR(__xludf.DUMMYFUNCTION("""COMPUTED_VALUE"""),"{}")</f>
        <v>{}</v>
      </c>
      <c r="J1725" s="148" t="str">
        <f>IFERROR(__xludf.DUMMYFUNCTION("""COMPUTED_VALUE"""),"{""typ"":""lc"",""txt"":""LC_ASSET_avatar_frame_name_23""}")</f>
        <v>{"typ":"lc","txt":"LC_ASSET_avatar_frame_name_23"}</v>
      </c>
      <c r="K1725" s="148" t="str">
        <f>IFERROR(__xludf.DUMMYFUNCTION("""COMPUTED_VALUE"""),"{""typ"":""lc"",""txt"":""LC_MENU_forever""}")</f>
        <v>{"typ":"lc","txt":"LC_MENU_forever"}</v>
      </c>
      <c r="L1725" s="148" t="str">
        <f>IFERROR(__xludf.DUMMYFUNCTION("""COMPUTED_VALUE"""),"{}")</f>
        <v>{}</v>
      </c>
      <c r="M1725" s="148">
        <f>IFERROR(__xludf.DUMMYFUNCTION("""COMPUTED_VALUE"""),1000.0)</f>
        <v>1000</v>
      </c>
      <c r="N1725" s="148">
        <f>IFERROR(__xludf.DUMMYFUNCTION("""COMPUTED_VALUE"""),99.0)</f>
        <v>99</v>
      </c>
      <c r="O1725" s="148">
        <f>IFERROR(__xludf.DUMMYFUNCTION("""COMPUTED_VALUE"""),1.0)</f>
        <v>1</v>
      </c>
      <c r="P1725" s="148">
        <f>IFERROR(__xludf.DUMMYFUNCTION("""COMPUTED_VALUE"""),1.0)</f>
        <v>1</v>
      </c>
      <c r="Q1725" s="148" t="str">
        <f>IFERROR(__xludf.DUMMYFUNCTION("""COMPUTED_VALUE"""),"[]")</f>
        <v>[]</v>
      </c>
      <c r="R1725" s="148" t="str">
        <f>IFERROR(__xludf.DUMMYFUNCTION("""COMPUTED_VALUE"""),"[""11421023""]")</f>
        <v>["11421023"]</v>
      </c>
      <c r="S1725" s="148" t="str">
        <f>IFERROR(__xludf.DUMMYFUNCTION("""COMPUTED_VALUE"""),"{""effect"":[{""typ"":""avatar_frame"",""id"":11421023,""val"":-1},{""typ"":""item"",""id"":11111031,""val"":1000}]}")</f>
        <v>{"effect":[{"typ":"avatar_frame","id":11421023,"val":-1},{"typ":"item","id":11111031,"val":1000}]}</v>
      </c>
      <c r="T1725" s="148">
        <f>IFERROR(__xludf.DUMMYFUNCTION("""COMPUTED_VALUE"""),-1.0)</f>
        <v>-1</v>
      </c>
      <c r="U1725" s="148">
        <f>IFERROR(__xludf.DUMMYFUNCTION("""COMPUTED_VALUE"""),1.0)</f>
        <v>1</v>
      </c>
      <c r="V1725" s="148" t="str">
        <f>IFERROR(__xludf.DUMMYFUNCTION("""COMPUTED_VALUE"""),"[]")</f>
        <v>[]</v>
      </c>
      <c r="W1725" s="148">
        <f>IFERROR(__xludf.DUMMYFUNCTION("""COMPUTED_VALUE"""),1.174E7)</f>
        <v>11740000</v>
      </c>
      <c r="X1725" s="148">
        <f>IFERROR(__xludf.DUMMYFUNCTION("""COMPUTED_VALUE"""),0.0)</f>
        <v>0</v>
      </c>
      <c r="Y1725" s="148">
        <f>IFERROR(__xludf.DUMMYFUNCTION("""COMPUTED_VALUE"""),0.0)</f>
        <v>0</v>
      </c>
      <c r="Z1725" s="148"/>
    </row>
    <row r="1726">
      <c r="A1726" s="148">
        <f>IFERROR(__xludf.DUMMYFUNCTION("""COMPUTED_VALUE"""),1.1117385E7)</f>
        <v>11117385</v>
      </c>
      <c r="B1726" s="148" t="str">
        <f>IFERROR(__xludf.DUMMYFUNCTION("""COMPUTED_VALUE"""),"头像框：动感节拍")</f>
        <v>头像框：动感节拍</v>
      </c>
      <c r="C1726" s="148"/>
      <c r="D1726" s="148" t="str">
        <f>IFERROR(__xludf.DUMMYFUNCTION("""COMPUTED_VALUE"""),"avatar_frame")</f>
        <v>avatar_frame</v>
      </c>
      <c r="E1726" s="148">
        <f>IFERROR(__xludf.DUMMYFUNCTION("""COMPUTED_VALUE"""),20.0)</f>
        <v>20</v>
      </c>
      <c r="F1726" s="148">
        <f>IFERROR(__xludf.DUMMYFUNCTION("""COMPUTED_VALUE"""),0.0)</f>
        <v>0</v>
      </c>
      <c r="G1726" s="148">
        <f>IFERROR(__xludf.DUMMYFUNCTION("""COMPUTED_VALUE"""),1.5116106E7)</f>
        <v>15116106</v>
      </c>
      <c r="H1726" s="148">
        <f>IFERROR(__xludf.DUMMYFUNCTION("""COMPUTED_VALUE"""),1.5112563E7)</f>
        <v>15112563</v>
      </c>
      <c r="I1726" s="148" t="str">
        <f>IFERROR(__xludf.DUMMYFUNCTION("""COMPUTED_VALUE"""),"{}")</f>
        <v>{}</v>
      </c>
      <c r="J1726" s="148" t="str">
        <f>IFERROR(__xludf.DUMMYFUNCTION("""COMPUTED_VALUE"""),"{""typ"":""lc"",""txt"":""LC_ASSET_avatar_frame_name_24""}")</f>
        <v>{"typ":"lc","txt":"LC_ASSET_avatar_frame_name_24"}</v>
      </c>
      <c r="K1726" s="148" t="str">
        <f>IFERROR(__xludf.DUMMYFUNCTION("""COMPUTED_VALUE"""),"{""typ"":""lc"",""txt"":""LC_MENU_forever""}")</f>
        <v>{"typ":"lc","txt":"LC_MENU_forever"}</v>
      </c>
      <c r="L1726" s="148" t="str">
        <f>IFERROR(__xludf.DUMMYFUNCTION("""COMPUTED_VALUE"""),"{}")</f>
        <v>{}</v>
      </c>
      <c r="M1726" s="148">
        <f>IFERROR(__xludf.DUMMYFUNCTION("""COMPUTED_VALUE"""),1000.0)</f>
        <v>1000</v>
      </c>
      <c r="N1726" s="148">
        <f>IFERROR(__xludf.DUMMYFUNCTION("""COMPUTED_VALUE"""),99.0)</f>
        <v>99</v>
      </c>
      <c r="O1726" s="148">
        <f>IFERROR(__xludf.DUMMYFUNCTION("""COMPUTED_VALUE"""),1.0)</f>
        <v>1</v>
      </c>
      <c r="P1726" s="148">
        <f>IFERROR(__xludf.DUMMYFUNCTION("""COMPUTED_VALUE"""),1.0)</f>
        <v>1</v>
      </c>
      <c r="Q1726" s="148" t="str">
        <f>IFERROR(__xludf.DUMMYFUNCTION("""COMPUTED_VALUE"""),"[]")</f>
        <v>[]</v>
      </c>
      <c r="R1726" s="148" t="str">
        <f>IFERROR(__xludf.DUMMYFUNCTION("""COMPUTED_VALUE"""),"[""11421024""]")</f>
        <v>["11421024"]</v>
      </c>
      <c r="S1726" s="148" t="str">
        <f>IFERROR(__xludf.DUMMYFUNCTION("""COMPUTED_VALUE"""),"{""effect"":[{""typ"":""avatar_frame"",""id"":11421024,""val"":-1},{""typ"":""item"",""id"":11111031,""val"":1000}]}")</f>
        <v>{"effect":[{"typ":"avatar_frame","id":11421024,"val":-1},{"typ":"item","id":11111031,"val":1000}]}</v>
      </c>
      <c r="T1726" s="148">
        <f>IFERROR(__xludf.DUMMYFUNCTION("""COMPUTED_VALUE"""),-1.0)</f>
        <v>-1</v>
      </c>
      <c r="U1726" s="148">
        <f>IFERROR(__xludf.DUMMYFUNCTION("""COMPUTED_VALUE"""),1.0)</f>
        <v>1</v>
      </c>
      <c r="V1726" s="148" t="str">
        <f>IFERROR(__xludf.DUMMYFUNCTION("""COMPUTED_VALUE"""),"[]")</f>
        <v>[]</v>
      </c>
      <c r="W1726" s="148">
        <f>IFERROR(__xludf.DUMMYFUNCTION("""COMPUTED_VALUE"""),1.174E7)</f>
        <v>11740000</v>
      </c>
      <c r="X1726" s="148">
        <f>IFERROR(__xludf.DUMMYFUNCTION("""COMPUTED_VALUE"""),0.0)</f>
        <v>0</v>
      </c>
      <c r="Y1726" s="148">
        <f>IFERROR(__xludf.DUMMYFUNCTION("""COMPUTED_VALUE"""),0.0)</f>
        <v>0</v>
      </c>
      <c r="Z1726" s="148"/>
    </row>
    <row r="1727">
      <c r="A1727" s="148">
        <f>IFERROR(__xludf.DUMMYFUNCTION("""COMPUTED_VALUE"""),1.1117386E7)</f>
        <v>11117386</v>
      </c>
      <c r="B1727" s="148" t="str">
        <f>IFERROR(__xludf.DUMMYFUNCTION("""COMPUTED_VALUE"""),"复活节2023活动专用-增加次数道具")</f>
        <v>复活节2023活动专用-增加次数道具</v>
      </c>
      <c r="C1727" s="148"/>
      <c r="D1727" s="148" t="str">
        <f>IFERROR(__xludf.DUMMYFUNCTION("""COMPUTED_VALUE"""),"event_progress")</f>
        <v>event_progress</v>
      </c>
      <c r="E1727" s="148">
        <f>IFERROR(__xludf.DUMMYFUNCTION("""COMPUTED_VALUE"""),0.0)</f>
        <v>0</v>
      </c>
      <c r="F1727" s="148">
        <f>IFERROR(__xludf.DUMMYFUNCTION("""COMPUTED_VALUE"""),0.0)</f>
        <v>0</v>
      </c>
      <c r="G1727" s="148">
        <f>IFERROR(__xludf.DUMMYFUNCTION("""COMPUTED_VALUE"""),1.5113732E7)</f>
        <v>15113732</v>
      </c>
      <c r="H1727" s="148">
        <f>IFERROR(__xludf.DUMMYFUNCTION("""COMPUTED_VALUE"""),1.5112563E7)</f>
        <v>15112563</v>
      </c>
      <c r="I1727" s="148" t="str">
        <f>IFERROR(__xludf.DUMMYFUNCTION("""COMPUTED_VALUE"""),"{}")</f>
        <v>{}</v>
      </c>
      <c r="J1727" s="148" t="str">
        <f>IFERROR(__xludf.DUMMYFUNCTION("""COMPUTED_VALUE"""),"{}")</f>
        <v>{}</v>
      </c>
      <c r="K1727" s="148" t="str">
        <f>IFERROR(__xludf.DUMMYFUNCTION("""COMPUTED_VALUE"""),"{}")</f>
        <v>{}</v>
      </c>
      <c r="L1727" s="148" t="str">
        <f>IFERROR(__xludf.DUMMYFUNCTION("""COMPUTED_VALUE"""),"{}")</f>
        <v>{}</v>
      </c>
      <c r="M1727" s="148">
        <f>IFERROR(__xludf.DUMMYFUNCTION("""COMPUTED_VALUE"""),1.0)</f>
        <v>1</v>
      </c>
      <c r="N1727" s="148">
        <f>IFERROR(__xludf.DUMMYFUNCTION("""COMPUTED_VALUE"""),999999.0)</f>
        <v>999999</v>
      </c>
      <c r="O1727" s="148">
        <f>IFERROR(__xludf.DUMMYFUNCTION("""COMPUTED_VALUE"""),99999.0)</f>
        <v>99999</v>
      </c>
      <c r="P1727" s="148">
        <f>IFERROR(__xludf.DUMMYFUNCTION("""COMPUTED_VALUE"""),9999.0)</f>
        <v>9999</v>
      </c>
      <c r="Q1727" s="148" t="str">
        <f>IFERROR(__xludf.DUMMYFUNCTION("""COMPUTED_VALUE"""),"[]")</f>
        <v>[]</v>
      </c>
      <c r="R1727" s="148" t="str">
        <f>IFERROR(__xludf.DUMMYFUNCTION("""COMPUTED_VALUE"""),"[]")</f>
        <v>[]</v>
      </c>
      <c r="S1727" s="148" t="str">
        <f>IFERROR(__xludf.DUMMYFUNCTION("""COMPUTED_VALUE"""),"{""effect"":[{""typ"":""event"",""id"":21121482},{""typ"":""miss_lost_reward""}]}")</f>
        <v>{"effect":[{"typ":"event","id":21121482},{"typ":"miss_lost_reward"}]}</v>
      </c>
      <c r="T1727" s="148">
        <f>IFERROR(__xludf.DUMMYFUNCTION("""COMPUTED_VALUE"""),-1.0)</f>
        <v>-1</v>
      </c>
      <c r="U1727" s="148">
        <f>IFERROR(__xludf.DUMMYFUNCTION("""COMPUTED_VALUE"""),1.0)</f>
        <v>1</v>
      </c>
      <c r="V1727" s="148" t="str">
        <f>IFERROR(__xludf.DUMMYFUNCTION("""COMPUTED_VALUE"""),"[]")</f>
        <v>[]</v>
      </c>
      <c r="W1727" s="148">
        <f>IFERROR(__xludf.DUMMYFUNCTION("""COMPUTED_VALUE"""),1.174E7)</f>
        <v>11740000</v>
      </c>
      <c r="X1727" s="148">
        <f>IFERROR(__xludf.DUMMYFUNCTION("""COMPUTED_VALUE"""),0.0)</f>
        <v>0</v>
      </c>
      <c r="Y1727" s="148">
        <f>IFERROR(__xludf.DUMMYFUNCTION("""COMPUTED_VALUE"""),0.0)</f>
        <v>0</v>
      </c>
      <c r="Z1727" s="148"/>
    </row>
    <row r="1728">
      <c r="A1728" s="148">
        <f>IFERROR(__xludf.DUMMYFUNCTION("""COMPUTED_VALUE"""),1.1117387E7)</f>
        <v>11117387</v>
      </c>
      <c r="B1728" s="148" t="str">
        <f>IFERROR(__xludf.DUMMYFUNCTION("""COMPUTED_VALUE"""),"复活节装饰升级道具")</f>
        <v>复活节装饰升级道具</v>
      </c>
      <c r="C1728" s="148"/>
      <c r="D1728" s="148" t="str">
        <f>IFERROR(__xludf.DUMMYFUNCTION("""COMPUTED_VALUE"""),"event")</f>
        <v>event</v>
      </c>
      <c r="E1728" s="148">
        <f>IFERROR(__xludf.DUMMYFUNCTION("""COMPUTED_VALUE"""),0.0)</f>
        <v>0</v>
      </c>
      <c r="F1728" s="148">
        <f>IFERROR(__xludf.DUMMYFUNCTION("""COMPUTED_VALUE"""),405243.0)</f>
        <v>405243</v>
      </c>
      <c r="G1728" s="148">
        <f>IFERROR(__xludf.DUMMYFUNCTION("""COMPUTED_VALUE"""),1.5113733E7)</f>
        <v>15113733</v>
      </c>
      <c r="H1728" s="148">
        <f>IFERROR(__xludf.DUMMYFUNCTION("""COMPUTED_VALUE"""),1.5112564E7)</f>
        <v>15112564</v>
      </c>
      <c r="I1728" s="148" t="str">
        <f>IFERROR(__xludf.DUMMYFUNCTION("""COMPUTED_VALUE"""),"{}")</f>
        <v>{}</v>
      </c>
      <c r="J1728" s="148" t="str">
        <f>IFERROR(__xludf.DUMMYFUNCTION("""COMPUTED_VALUE"""),"{""typ"":""lc"",""txt"":""LC_ITEM_easter_egg_model""}")</f>
        <v>{"typ":"lc","txt":"LC_ITEM_easter_egg_model"}</v>
      </c>
      <c r="K1728" s="148" t="str">
        <f>IFERROR(__xludf.DUMMYFUNCTION("""COMPUTED_VALUE"""),"{""typ"":""lc"",""txt"":""LC_ITEM_easter_decoration_desc_1""}")</f>
        <v>{"typ":"lc","txt":"LC_ITEM_easter_decoration_desc_1"}</v>
      </c>
      <c r="L1728" s="148" t="str">
        <f>IFERROR(__xludf.DUMMYFUNCTION("""COMPUTED_VALUE"""),"{}")</f>
        <v>{}</v>
      </c>
      <c r="M1728" s="148">
        <f>IFERROR(__xludf.DUMMYFUNCTION("""COMPUTED_VALUE"""),1000.0)</f>
        <v>1000</v>
      </c>
      <c r="N1728" s="148">
        <f>IFERROR(__xludf.DUMMYFUNCTION("""COMPUTED_VALUE"""),9.99999999E8)</f>
        <v>999999999</v>
      </c>
      <c r="O1728" s="148">
        <f>IFERROR(__xludf.DUMMYFUNCTION("""COMPUTED_VALUE"""),9.99999999E8)</f>
        <v>999999999</v>
      </c>
      <c r="P1728" s="148">
        <f>IFERROR(__xludf.DUMMYFUNCTION("""COMPUTED_VALUE"""),9.99999999E8)</f>
        <v>999999999</v>
      </c>
      <c r="Q1728" s="148" t="str">
        <f>IFERROR(__xludf.DUMMYFUNCTION("""COMPUTED_VALUE"""),"[""bag_other""]")</f>
        <v>["bag_other"]</v>
      </c>
      <c r="R1728" s="148" t="str">
        <f>IFERROR(__xludf.DUMMYFUNCTION("""COMPUTED_VALUE"""),"[]")</f>
        <v>[]</v>
      </c>
      <c r="S1728" s="148" t="str">
        <f>IFERROR(__xludf.DUMMYFUNCTION("""COMPUTED_VALUE"""),"{}")</f>
        <v>{}</v>
      </c>
      <c r="T1728" s="148">
        <f>IFERROR(__xludf.DUMMYFUNCTION("""COMPUTED_VALUE"""),-1.0)</f>
        <v>-1</v>
      </c>
      <c r="U1728" s="148">
        <f>IFERROR(__xludf.DUMMYFUNCTION("""COMPUTED_VALUE"""),0.0)</f>
        <v>0</v>
      </c>
      <c r="V1728" s="148" t="str">
        <f>IFERROR(__xludf.DUMMYFUNCTION("""COMPUTED_VALUE"""),"[]")</f>
        <v>[]</v>
      </c>
      <c r="W1728" s="148">
        <f>IFERROR(__xludf.DUMMYFUNCTION("""COMPUTED_VALUE"""),1.174E7)</f>
        <v>11740000</v>
      </c>
      <c r="X1728" s="148">
        <f>IFERROR(__xludf.DUMMYFUNCTION("""COMPUTED_VALUE"""),0.0)</f>
        <v>0</v>
      </c>
      <c r="Y1728" s="148">
        <f>IFERROR(__xludf.DUMMYFUNCTION("""COMPUTED_VALUE"""),0.0)</f>
        <v>0</v>
      </c>
      <c r="Z1728" s="148"/>
    </row>
    <row r="1729">
      <c r="A1729" s="148">
        <f>IFERROR(__xludf.DUMMYFUNCTION("""COMPUTED_VALUE"""),1.1117388E7)</f>
        <v>11117388</v>
      </c>
      <c r="B1729" s="148" t="str">
        <f>IFERROR(__xludf.DUMMYFUNCTION("""COMPUTED_VALUE"""),"zvz-跨服期间攻击力提升-10%")</f>
        <v>zvz-跨服期间攻击力提升-10%</v>
      </c>
      <c r="C1729" s="148"/>
      <c r="D1729" s="148" t="str">
        <f>IFERROR(__xludf.DUMMYFUNCTION("""COMPUTED_VALUE"""),"item_buff_soon")</f>
        <v>item_buff_soon</v>
      </c>
      <c r="E1729" s="148">
        <f>IFERROR(__xludf.DUMMYFUNCTION("""COMPUTED_VALUE"""),0.0)</f>
        <v>0</v>
      </c>
      <c r="F1729" s="148">
        <f>IFERROR(__xludf.DUMMYFUNCTION("""COMPUTED_VALUE"""),404102.0)</f>
        <v>404102</v>
      </c>
      <c r="G1729" s="148">
        <f>IFERROR(__xludf.DUMMYFUNCTION("""COMPUTED_VALUE"""),1.5112567E7)</f>
        <v>15112567</v>
      </c>
      <c r="H1729" s="148">
        <f>IFERROR(__xludf.DUMMYFUNCTION("""COMPUTED_VALUE"""),1.5112564E7)</f>
        <v>15112564</v>
      </c>
      <c r="I1729" s="148" t="str">
        <f>IFERROR(__xludf.DUMMYFUNCTION("""COMPUTED_VALUE"""),"{""typ"":""lc"",""txt"":""LC_ITEM_buff_val_upper_show"",""args"":[{""typ"":""int"",""val"":10}]}")</f>
        <v>{"typ":"lc","txt":"LC_ITEM_buff_val_upper_show","args":[{"typ":"int","val":10}]}</v>
      </c>
      <c r="J1729" s="148" t="str">
        <f>IFERROR(__xludf.DUMMYFUNCTION("""COMPUTED_VALUE"""),"{""typ"":""lc"",""txt"":""LC_ITEM_zvzwonder_atkup_title"",""args"":[{""typ"":""int"",""val"":10}]}")</f>
        <v>{"typ":"lc","txt":"LC_ITEM_zvzwonder_atkup_title","args":[{"typ":"int","val":10}]}</v>
      </c>
      <c r="K1729" s="148" t="str">
        <f>IFERROR(__xludf.DUMMYFUNCTION("""COMPUTED_VALUE"""),"{""typ"":""lc"",""txt"":""LC_ITEM_zvzwonder_atkup_desc"",""args"":[{""typ"":""int"",""val"":10}]}")</f>
        <v>{"typ":"lc","txt":"LC_ITEM_zvzwonder_atkup_desc","args":[{"typ":"int","val":10}]}</v>
      </c>
      <c r="L1729" s="148" t="str">
        <f>IFERROR(__xludf.DUMMYFUNCTION("""COMPUTED_VALUE"""),"{}")</f>
        <v>{}</v>
      </c>
      <c r="M1729" s="148">
        <f>IFERROR(__xludf.DUMMYFUNCTION("""COMPUTED_VALUE"""),13500.0)</f>
        <v>13500</v>
      </c>
      <c r="N1729" s="148">
        <f>IFERROR(__xludf.DUMMYFUNCTION("""COMPUTED_VALUE"""),100.0)</f>
        <v>100</v>
      </c>
      <c r="O1729" s="148">
        <f>IFERROR(__xludf.DUMMYFUNCTION("""COMPUTED_VALUE"""),100.0)</f>
        <v>100</v>
      </c>
      <c r="P1729" s="148">
        <f>IFERROR(__xludf.DUMMYFUNCTION("""COMPUTED_VALUE"""),100.0)</f>
        <v>100</v>
      </c>
      <c r="Q1729" s="148" t="str">
        <f>IFERROR(__xludf.DUMMYFUNCTION("""COMPUTED_VALUE"""),"[""bag_other""]")</f>
        <v>["bag_other"]</v>
      </c>
      <c r="R1729" s="148" t="str">
        <f>IFERROR(__xludf.DUMMYFUNCTION("""COMPUTED_VALUE"""),"[]")</f>
        <v>[]</v>
      </c>
      <c r="S1729" s="148" t="str">
        <f>IFERROR(__xludf.DUMMYFUNCTION("""COMPUTED_VALUE"""),"{""effect"":[{""typ"":""buff"",""id"":121111026,""val"":172800000,""arg1"":0.10}]}")</f>
        <v>{"effect":[{"typ":"buff","id":121111026,"val":172800000,"arg1":0.10}]}</v>
      </c>
      <c r="T1729" s="148">
        <f>IFERROR(__xludf.DUMMYFUNCTION("""COMPUTED_VALUE"""),-1.0)</f>
        <v>-1</v>
      </c>
      <c r="U1729" s="148">
        <f>IFERROR(__xludf.DUMMYFUNCTION("""COMPUTED_VALUE"""),1.0)</f>
        <v>1</v>
      </c>
      <c r="V1729" s="148" t="str">
        <f>IFERROR(__xludf.DUMMYFUNCTION("""COMPUTED_VALUE"""),"[]")</f>
        <v>[]</v>
      </c>
      <c r="W1729" s="148">
        <f>IFERROR(__xludf.DUMMYFUNCTION("""COMPUTED_VALUE"""),1.174E7)</f>
        <v>11740000</v>
      </c>
      <c r="X1729" s="148">
        <f>IFERROR(__xludf.DUMMYFUNCTION("""COMPUTED_VALUE"""),0.0)</f>
        <v>0</v>
      </c>
      <c r="Y1729" s="148">
        <f>IFERROR(__xludf.DUMMYFUNCTION("""COMPUTED_VALUE"""),0.0)</f>
        <v>0</v>
      </c>
      <c r="Z1729" s="148"/>
    </row>
    <row r="1730">
      <c r="A1730" s="148">
        <f>IFERROR(__xludf.DUMMYFUNCTION("""COMPUTED_VALUE"""),1.1117389E7)</f>
        <v>11117389</v>
      </c>
      <c r="B1730" s="148" t="str">
        <f>IFERROR(__xludf.DUMMYFUNCTION("""COMPUTED_VALUE"""),"zvz-跨服期间攻击力提升-5%")</f>
        <v>zvz-跨服期间攻击力提升-5%</v>
      </c>
      <c r="C1730" s="148"/>
      <c r="D1730" s="148" t="str">
        <f>IFERROR(__xludf.DUMMYFUNCTION("""COMPUTED_VALUE"""),"item_buff_soon")</f>
        <v>item_buff_soon</v>
      </c>
      <c r="E1730" s="148">
        <f>IFERROR(__xludf.DUMMYFUNCTION("""COMPUTED_VALUE"""),0.0)</f>
        <v>0</v>
      </c>
      <c r="F1730" s="148">
        <f>IFERROR(__xludf.DUMMYFUNCTION("""COMPUTED_VALUE"""),404102.0)</f>
        <v>404102</v>
      </c>
      <c r="G1730" s="148">
        <f>IFERROR(__xludf.DUMMYFUNCTION("""COMPUTED_VALUE"""),1.5112567E7)</f>
        <v>15112567</v>
      </c>
      <c r="H1730" s="148">
        <f>IFERROR(__xludf.DUMMYFUNCTION("""COMPUTED_VALUE"""),1.5112564E7)</f>
        <v>15112564</v>
      </c>
      <c r="I1730" s="148" t="str">
        <f>IFERROR(__xludf.DUMMYFUNCTION("""COMPUTED_VALUE"""),"{""typ"":""lc"",""txt"":""LC_ITEM_buff_val_upper_show"",""args"":[{""typ"":""int"",""val"":5}]}")</f>
        <v>{"typ":"lc","txt":"LC_ITEM_buff_val_upper_show","args":[{"typ":"int","val":5}]}</v>
      </c>
      <c r="J1730" s="148" t="str">
        <f>IFERROR(__xludf.DUMMYFUNCTION("""COMPUTED_VALUE"""),"{""typ"":""lc"",""txt"":""LC_ITEM_zvzwonder_atkup_title"",""args"":[{""typ"":""int"",""val"":5}]}")</f>
        <v>{"typ":"lc","txt":"LC_ITEM_zvzwonder_atkup_title","args":[{"typ":"int","val":5}]}</v>
      </c>
      <c r="K1730" s="148" t="str">
        <f>IFERROR(__xludf.DUMMYFUNCTION("""COMPUTED_VALUE"""),"{""typ"":""lc"",""txt"":""LC_ITEM_zvzwonder_atkup_desc"",""args"":[{""typ"":""int"",""val"":5}]}")</f>
        <v>{"typ":"lc","txt":"LC_ITEM_zvzwonder_atkup_desc","args":[{"typ":"int","val":5}]}</v>
      </c>
      <c r="L1730" s="148" t="str">
        <f>IFERROR(__xludf.DUMMYFUNCTION("""COMPUTED_VALUE"""),"{}")</f>
        <v>{}</v>
      </c>
      <c r="M1730" s="148">
        <f>IFERROR(__xludf.DUMMYFUNCTION("""COMPUTED_VALUE"""),6750.0)</f>
        <v>6750</v>
      </c>
      <c r="N1730" s="148">
        <f>IFERROR(__xludf.DUMMYFUNCTION("""COMPUTED_VALUE"""),100.0)</f>
        <v>100</v>
      </c>
      <c r="O1730" s="148">
        <f>IFERROR(__xludf.DUMMYFUNCTION("""COMPUTED_VALUE"""),100.0)</f>
        <v>100</v>
      </c>
      <c r="P1730" s="148">
        <f>IFERROR(__xludf.DUMMYFUNCTION("""COMPUTED_VALUE"""),100.0)</f>
        <v>100</v>
      </c>
      <c r="Q1730" s="148" t="str">
        <f>IFERROR(__xludf.DUMMYFUNCTION("""COMPUTED_VALUE"""),"[""bag_other""]")</f>
        <v>["bag_other"]</v>
      </c>
      <c r="R1730" s="148" t="str">
        <f>IFERROR(__xludf.DUMMYFUNCTION("""COMPUTED_VALUE"""),"[]")</f>
        <v>[]</v>
      </c>
      <c r="S1730" s="148" t="str">
        <f>IFERROR(__xludf.DUMMYFUNCTION("""COMPUTED_VALUE"""),"{""effect"":[{""typ"":""buff"",""id"":121111026,""val"":172800000,""arg1"":0.05}]}")</f>
        <v>{"effect":[{"typ":"buff","id":121111026,"val":172800000,"arg1":0.05}]}</v>
      </c>
      <c r="T1730" s="148">
        <f>IFERROR(__xludf.DUMMYFUNCTION("""COMPUTED_VALUE"""),-1.0)</f>
        <v>-1</v>
      </c>
      <c r="U1730" s="148">
        <f>IFERROR(__xludf.DUMMYFUNCTION("""COMPUTED_VALUE"""),1.0)</f>
        <v>1</v>
      </c>
      <c r="V1730" s="148" t="str">
        <f>IFERROR(__xludf.DUMMYFUNCTION("""COMPUTED_VALUE"""),"[]")</f>
        <v>[]</v>
      </c>
      <c r="W1730" s="148">
        <f>IFERROR(__xludf.DUMMYFUNCTION("""COMPUTED_VALUE"""),1.174E7)</f>
        <v>11740000</v>
      </c>
      <c r="X1730" s="148">
        <f>IFERROR(__xludf.DUMMYFUNCTION("""COMPUTED_VALUE"""),0.0)</f>
        <v>0</v>
      </c>
      <c r="Y1730" s="148">
        <f>IFERROR(__xludf.DUMMYFUNCTION("""COMPUTED_VALUE"""),0.0)</f>
        <v>0</v>
      </c>
      <c r="Z1730" s="148"/>
    </row>
    <row r="1731">
      <c r="A1731" s="148">
        <f>IFERROR(__xludf.DUMMYFUNCTION("""COMPUTED_VALUE"""),1.111739E7)</f>
        <v>11117390</v>
      </c>
      <c r="B1731" s="148" t="str">
        <f>IFERROR(__xludf.DUMMYFUNCTION("""COMPUTED_VALUE"""),"魔法棒-复活节2023活动BP道具")</f>
        <v>魔法棒-复活节2023活动BP道具</v>
      </c>
      <c r="C1731" s="148"/>
      <c r="D1731" s="148" t="str">
        <f>IFERROR(__xludf.DUMMYFUNCTION("""COMPUTED_VALUE"""),"battle_pass_exp")</f>
        <v>battle_pass_exp</v>
      </c>
      <c r="E1731" s="148">
        <f>IFERROR(__xludf.DUMMYFUNCTION("""COMPUTED_VALUE"""),0.0)</f>
        <v>0</v>
      </c>
      <c r="F1731" s="148">
        <f>IFERROR(__xludf.DUMMYFUNCTION("""COMPUTED_VALUE"""),405217.0)</f>
        <v>405217</v>
      </c>
      <c r="G1731" s="148">
        <f>IFERROR(__xludf.DUMMYFUNCTION("""COMPUTED_VALUE"""),1.5116108E7)</f>
        <v>15116108</v>
      </c>
      <c r="H1731" s="148">
        <f>IFERROR(__xludf.DUMMYFUNCTION("""COMPUTED_VALUE"""),1.5112563E7)</f>
        <v>15112563</v>
      </c>
      <c r="I1731" s="148" t="str">
        <f>IFERROR(__xludf.DUMMYFUNCTION("""COMPUTED_VALUE"""),"{}")</f>
        <v>{}</v>
      </c>
      <c r="J1731" s="148" t="str">
        <f>IFERROR(__xludf.DUMMYFUNCTION("""COMPUTED_VALUE"""),"{""typ"":""lc"",""txt"":""LC_ITEM_easter2023_bp_item_name""}")</f>
        <v>{"typ":"lc","txt":"LC_ITEM_easter2023_bp_item_name"}</v>
      </c>
      <c r="K1731" s="148" t="str">
        <f>IFERROR(__xludf.DUMMYFUNCTION("""COMPUTED_VALUE"""),"{""typ"":""lc"",""txt"":""LC_ITEM_easter2023_bp_item_name_desc""}")</f>
        <v>{"typ":"lc","txt":"LC_ITEM_easter2023_bp_item_name_desc"}</v>
      </c>
      <c r="L1731" s="148" t="str">
        <f>IFERROR(__xludf.DUMMYFUNCTION("""COMPUTED_VALUE"""),"{}")</f>
        <v>{}</v>
      </c>
      <c r="M1731" s="148">
        <f>IFERROR(__xludf.DUMMYFUNCTION("""COMPUTED_VALUE"""),35.0)</f>
        <v>35</v>
      </c>
      <c r="N1731" s="148">
        <f>IFERROR(__xludf.DUMMYFUNCTION("""COMPUTED_VALUE"""),999999.0)</f>
        <v>999999</v>
      </c>
      <c r="O1731" s="148">
        <f>IFERROR(__xludf.DUMMYFUNCTION("""COMPUTED_VALUE"""),99999.0)</f>
        <v>99999</v>
      </c>
      <c r="P1731" s="148">
        <f>IFERROR(__xludf.DUMMYFUNCTION("""COMPUTED_VALUE"""),99999.0)</f>
        <v>99999</v>
      </c>
      <c r="Q1731" s="148" t="str">
        <f>IFERROR(__xludf.DUMMYFUNCTION("""COMPUTED_VALUE"""),"[""bag_other""]")</f>
        <v>["bag_other"]</v>
      </c>
      <c r="R1731" s="148" t="str">
        <f>IFERROR(__xludf.DUMMYFUNCTION("""COMPUTED_VALUE"""),"[""bag""]")</f>
        <v>["bag"]</v>
      </c>
      <c r="S1731" s="148" t="str">
        <f>IFERROR(__xludf.DUMMYFUNCTION("""COMPUTED_VALUE"""),"{}")</f>
        <v>{}</v>
      </c>
      <c r="T1731" s="148">
        <f>IFERROR(__xludf.DUMMYFUNCTION("""COMPUTED_VALUE"""),-1.0)</f>
        <v>-1</v>
      </c>
      <c r="U1731" s="148">
        <f>IFERROR(__xludf.DUMMYFUNCTION("""COMPUTED_VALUE"""),0.0)</f>
        <v>0</v>
      </c>
      <c r="V1731" s="148" t="str">
        <f>IFERROR(__xludf.DUMMYFUNCTION("""COMPUTED_VALUE"""),"[]")</f>
        <v>[]</v>
      </c>
      <c r="W1731" s="148">
        <f>IFERROR(__xludf.DUMMYFUNCTION("""COMPUTED_VALUE"""),1.174E7)</f>
        <v>11740000</v>
      </c>
      <c r="X1731" s="148">
        <f>IFERROR(__xludf.DUMMYFUNCTION("""COMPUTED_VALUE"""),0.0)</f>
        <v>0</v>
      </c>
      <c r="Y1731" s="148">
        <f>IFERROR(__xludf.DUMMYFUNCTION("""COMPUTED_VALUE"""),0.0)</f>
        <v>0</v>
      </c>
      <c r="Z1731" s="148"/>
    </row>
    <row r="1732">
      <c r="A1732" s="148">
        <f>IFERROR(__xludf.DUMMYFUNCTION("""COMPUTED_VALUE"""),1.1117391E7)</f>
        <v>11117391</v>
      </c>
      <c r="B1732" s="148" t="str">
        <f>IFERROR(__xludf.DUMMYFUNCTION("""COMPUTED_VALUE"""),"行军特效-炫彩悦动-1天限时")</f>
        <v>行军特效-炫彩悦动-1天限时</v>
      </c>
      <c r="C1732" s="148"/>
      <c r="D1732" s="148" t="str">
        <f>IFERROR(__xludf.DUMMYFUNCTION("""COMPUTED_VALUE"""),"marching_effect")</f>
        <v>marching_effect</v>
      </c>
      <c r="E1732" s="148">
        <f>IFERROR(__xludf.DUMMYFUNCTION("""COMPUTED_VALUE"""),0.0)</f>
        <v>0</v>
      </c>
      <c r="F1732" s="148">
        <f>IFERROR(__xludf.DUMMYFUNCTION("""COMPUTED_VALUE"""),408200.0)</f>
        <v>408200</v>
      </c>
      <c r="G1732" s="148">
        <f>IFERROR(__xludf.DUMMYFUNCTION("""COMPUTED_VALUE"""),1.5116109E7)</f>
        <v>15116109</v>
      </c>
      <c r="H1732" s="148">
        <f>IFERROR(__xludf.DUMMYFUNCTION("""COMPUTED_VALUE"""),1.511256E7)</f>
        <v>15112560</v>
      </c>
      <c r="I1732" s="148" t="str">
        <f>IFERROR(__xludf.DUMMYFUNCTION("""COMPUTED_VALUE"""),"{""typ"":""lc"",""txt"":""LC_ITEM_time_day_upper_show"",""args"":[{""typ"":""int_unit"",""val"":1}]}")</f>
        <v>{"typ":"lc","txt":"LC_ITEM_time_day_upper_show","args":[{"typ":"int_unit","val":1}]}</v>
      </c>
      <c r="J1732" s="148" t="str">
        <f>IFERROR(__xludf.DUMMYFUNCTION("""COMPUTED_VALUE"""),"{""typ"":""lc"",""txt"":""LC_ITEM_2023_easter_bp_march_effect""}")</f>
        <v>{"typ":"lc","txt":"LC_ITEM_2023_easter_bp_march_effect"}</v>
      </c>
      <c r="K1732" s="148" t="str">
        <f>IFERROR(__xludf.DUMMYFUNCTION("""COMPUTED_VALUE"""),"{""typ"":""lc"",""txt"":""LC_ITEM_2023_easter_bp_march_effect_desc""}")</f>
        <v>{"typ":"lc","txt":"LC_ITEM_2023_easter_bp_march_effect_desc"}</v>
      </c>
      <c r="L1732" s="148" t="str">
        <f>IFERROR(__xludf.DUMMYFUNCTION("""COMPUTED_VALUE"""),"{""typ"":""lc"",""txt"":""LC_ITEM_2023_easter_bp_march_effect_use_tip_1d""}")</f>
        <v>{"typ":"lc","txt":"LC_ITEM_2023_easter_bp_march_effect_use_tip_1d"}</v>
      </c>
      <c r="M1732" s="148">
        <f>IFERROR(__xludf.DUMMYFUNCTION("""COMPUTED_VALUE"""),50.0)</f>
        <v>50</v>
      </c>
      <c r="N1732" s="148">
        <f>IFERROR(__xludf.DUMMYFUNCTION("""COMPUTED_VALUE"""),999999.0)</f>
        <v>999999</v>
      </c>
      <c r="O1732" s="148">
        <f>IFERROR(__xludf.DUMMYFUNCTION("""COMPUTED_VALUE"""),99999.0)</f>
        <v>99999</v>
      </c>
      <c r="P1732" s="148">
        <f>IFERROR(__xludf.DUMMYFUNCTION("""COMPUTED_VALUE"""),1.0)</f>
        <v>1</v>
      </c>
      <c r="Q1732" s="148" t="str">
        <f>IFERROR(__xludf.DUMMYFUNCTION("""COMPUTED_VALUE"""),"[""bag_other""]")</f>
        <v>["bag_other"]</v>
      </c>
      <c r="R1732" s="148" t="str">
        <f>IFERROR(__xludf.DUMMYFUNCTION("""COMPUTED_VALUE"""),"[""bag"",""13650107""]")</f>
        <v>["bag","13650107"]</v>
      </c>
      <c r="S1732" s="148" t="str">
        <f>IFERROR(__xludf.DUMMYFUNCTION("""COMPUTED_VALUE"""),"{""effect"":[{""typ"":""marching_effect"",""id"":13650107,""val"":86400000},{""typ"":""vm"",""id"":11151001,""val"":50}]}")</f>
        <v>{"effect":[{"typ":"marching_effect","id":13650107,"val":86400000},{"typ":"vm","id":11151001,"val":50}]}</v>
      </c>
      <c r="T1732" s="148">
        <f>IFERROR(__xludf.DUMMYFUNCTION("""COMPUTED_VALUE"""),-1.0)</f>
        <v>-1</v>
      </c>
      <c r="U1732" s="148">
        <f>IFERROR(__xludf.DUMMYFUNCTION("""COMPUTED_VALUE"""),0.0)</f>
        <v>0</v>
      </c>
      <c r="V1732" s="148" t="str">
        <f>IFERROR(__xludf.DUMMYFUNCTION("""COMPUTED_VALUE"""),"[]")</f>
        <v>[]</v>
      </c>
      <c r="W1732" s="148">
        <f>IFERROR(__xludf.DUMMYFUNCTION("""COMPUTED_VALUE"""),1.174E7)</f>
        <v>11740000</v>
      </c>
      <c r="X1732" s="148">
        <f>IFERROR(__xludf.DUMMYFUNCTION("""COMPUTED_VALUE"""),0.0)</f>
        <v>0</v>
      </c>
      <c r="Y1732" s="148">
        <f>IFERROR(__xludf.DUMMYFUNCTION("""COMPUTED_VALUE"""),0.0)</f>
        <v>0</v>
      </c>
      <c r="Z1732" s="148"/>
    </row>
    <row r="1733">
      <c r="A1733" s="148">
        <f>IFERROR(__xludf.DUMMYFUNCTION("""COMPUTED_VALUE"""),1.1117392E7)</f>
        <v>11117392</v>
      </c>
      <c r="B1733" s="148" t="str">
        <f>IFERROR(__xludf.DUMMYFUNCTION("""COMPUTED_VALUE"""),"行军特效-炫彩悦动-3天限时")</f>
        <v>行军特效-炫彩悦动-3天限时</v>
      </c>
      <c r="C1733" s="148"/>
      <c r="D1733" s="148" t="str">
        <f>IFERROR(__xludf.DUMMYFUNCTION("""COMPUTED_VALUE"""),"marching_effect")</f>
        <v>marching_effect</v>
      </c>
      <c r="E1733" s="148">
        <f>IFERROR(__xludf.DUMMYFUNCTION("""COMPUTED_VALUE"""),0.0)</f>
        <v>0</v>
      </c>
      <c r="F1733" s="148">
        <f>IFERROR(__xludf.DUMMYFUNCTION("""COMPUTED_VALUE"""),408199.0)</f>
        <v>408199</v>
      </c>
      <c r="G1733" s="148">
        <f>IFERROR(__xludf.DUMMYFUNCTION("""COMPUTED_VALUE"""),1.5116109E7)</f>
        <v>15116109</v>
      </c>
      <c r="H1733" s="148">
        <f>IFERROR(__xludf.DUMMYFUNCTION("""COMPUTED_VALUE"""),1.5112561E7)</f>
        <v>15112561</v>
      </c>
      <c r="I1733" s="148" t="str">
        <f>IFERROR(__xludf.DUMMYFUNCTION("""COMPUTED_VALUE"""),"{""typ"":""lc"",""txt"":""LC_ITEM_time_day_upper_show"",""args"":[{""typ"":""int_unit"",""val"":3}]}")</f>
        <v>{"typ":"lc","txt":"LC_ITEM_time_day_upper_show","args":[{"typ":"int_unit","val":3}]}</v>
      </c>
      <c r="J1733" s="148" t="str">
        <f>IFERROR(__xludf.DUMMYFUNCTION("""COMPUTED_VALUE"""),"{""typ"":""lc"",""txt"":""LC_ITEM_2023_easter_bp_march_effect""}")</f>
        <v>{"typ":"lc","txt":"LC_ITEM_2023_easter_bp_march_effect"}</v>
      </c>
      <c r="K1733" s="148" t="str">
        <f>IFERROR(__xludf.DUMMYFUNCTION("""COMPUTED_VALUE"""),"{""typ"":""lc"",""txt"":""LC_ITEM_2023_easter_bp_march_effect_desc""}")</f>
        <v>{"typ":"lc","txt":"LC_ITEM_2023_easter_bp_march_effect_desc"}</v>
      </c>
      <c r="L1733" s="148" t="str">
        <f>IFERROR(__xludf.DUMMYFUNCTION("""COMPUTED_VALUE"""),"{""typ"":""lc"",""txt"":""LC_ITEM_2023_easter_bp_march_effect_use_tip_3d""}")</f>
        <v>{"typ":"lc","txt":"LC_ITEM_2023_easter_bp_march_effect_use_tip_3d"}</v>
      </c>
      <c r="M1733" s="148">
        <f>IFERROR(__xludf.DUMMYFUNCTION("""COMPUTED_VALUE"""),200.0)</f>
        <v>200</v>
      </c>
      <c r="N1733" s="148">
        <f>IFERROR(__xludf.DUMMYFUNCTION("""COMPUTED_VALUE"""),999999.0)</f>
        <v>999999</v>
      </c>
      <c r="O1733" s="148">
        <f>IFERROR(__xludf.DUMMYFUNCTION("""COMPUTED_VALUE"""),99999.0)</f>
        <v>99999</v>
      </c>
      <c r="P1733" s="148">
        <f>IFERROR(__xludf.DUMMYFUNCTION("""COMPUTED_VALUE"""),1.0)</f>
        <v>1</v>
      </c>
      <c r="Q1733" s="148" t="str">
        <f>IFERROR(__xludf.DUMMYFUNCTION("""COMPUTED_VALUE"""),"[""bag_other""]")</f>
        <v>["bag_other"]</v>
      </c>
      <c r="R1733" s="148" t="str">
        <f>IFERROR(__xludf.DUMMYFUNCTION("""COMPUTED_VALUE"""),"[""bag"",""13650107""]")</f>
        <v>["bag","13650107"]</v>
      </c>
      <c r="S1733" s="148" t="str">
        <f>IFERROR(__xludf.DUMMYFUNCTION("""COMPUTED_VALUE"""),"{""effect"":[{""typ"":""marching_effect"",""id"":13650107,""val"":259200000},{""typ"":""vm"",""id"":11151001,""val"":200}]}")</f>
        <v>{"effect":[{"typ":"marching_effect","id":13650107,"val":259200000},{"typ":"vm","id":11151001,"val":200}]}</v>
      </c>
      <c r="T1733" s="148">
        <f>IFERROR(__xludf.DUMMYFUNCTION("""COMPUTED_VALUE"""),-1.0)</f>
        <v>-1</v>
      </c>
      <c r="U1733" s="148">
        <f>IFERROR(__xludf.DUMMYFUNCTION("""COMPUTED_VALUE"""),0.0)</f>
        <v>0</v>
      </c>
      <c r="V1733" s="148" t="str">
        <f>IFERROR(__xludf.DUMMYFUNCTION("""COMPUTED_VALUE"""),"[]")</f>
        <v>[]</v>
      </c>
      <c r="W1733" s="148">
        <f>IFERROR(__xludf.DUMMYFUNCTION("""COMPUTED_VALUE"""),1.174E7)</f>
        <v>11740000</v>
      </c>
      <c r="X1733" s="148">
        <f>IFERROR(__xludf.DUMMYFUNCTION("""COMPUTED_VALUE"""),0.0)</f>
        <v>0</v>
      </c>
      <c r="Y1733" s="148">
        <f>IFERROR(__xludf.DUMMYFUNCTION("""COMPUTED_VALUE"""),0.0)</f>
        <v>0</v>
      </c>
      <c r="Z1733" s="148"/>
    </row>
    <row r="1734">
      <c r="A1734" s="148">
        <f>IFERROR(__xludf.DUMMYFUNCTION("""COMPUTED_VALUE"""),1.1117393E7)</f>
        <v>11117393</v>
      </c>
      <c r="B1734" s="148" t="str">
        <f>IFERROR(__xludf.DUMMYFUNCTION("""COMPUTED_VALUE"""),"行军特效-炫彩悦动-7天限时")</f>
        <v>行军特效-炫彩悦动-7天限时</v>
      </c>
      <c r="C1734" s="148"/>
      <c r="D1734" s="148" t="str">
        <f>IFERROR(__xludf.DUMMYFUNCTION("""COMPUTED_VALUE"""),"marching_effect")</f>
        <v>marching_effect</v>
      </c>
      <c r="E1734" s="148">
        <f>IFERROR(__xludf.DUMMYFUNCTION("""COMPUTED_VALUE"""),0.0)</f>
        <v>0</v>
      </c>
      <c r="F1734" s="148">
        <f>IFERROR(__xludf.DUMMYFUNCTION("""COMPUTED_VALUE"""),408198.0)</f>
        <v>408198</v>
      </c>
      <c r="G1734" s="148">
        <f>IFERROR(__xludf.DUMMYFUNCTION("""COMPUTED_VALUE"""),1.5116109E7)</f>
        <v>15116109</v>
      </c>
      <c r="H1734" s="148">
        <f>IFERROR(__xludf.DUMMYFUNCTION("""COMPUTED_VALUE"""),1.5112562E7)</f>
        <v>15112562</v>
      </c>
      <c r="I1734" s="148" t="str">
        <f>IFERROR(__xludf.DUMMYFUNCTION("""COMPUTED_VALUE"""),"{""typ"":""lc"",""txt"":""LC_ITEM_time_day_upper_show"",""args"":[{""typ"":""int_unit"",""val"":7}]}")</f>
        <v>{"typ":"lc","txt":"LC_ITEM_time_day_upper_show","args":[{"typ":"int_unit","val":7}]}</v>
      </c>
      <c r="J1734" s="148" t="str">
        <f>IFERROR(__xludf.DUMMYFUNCTION("""COMPUTED_VALUE"""),"{""typ"":""lc"",""txt"":""LC_ITEM_2023_easter_bp_march_effect""}")</f>
        <v>{"typ":"lc","txt":"LC_ITEM_2023_easter_bp_march_effect"}</v>
      </c>
      <c r="K1734" s="148" t="str">
        <f>IFERROR(__xludf.DUMMYFUNCTION("""COMPUTED_VALUE"""),"{""typ"":""lc"",""txt"":""LC_ITEM_2023_easter_bp_march_effect_desc""}")</f>
        <v>{"typ":"lc","txt":"LC_ITEM_2023_easter_bp_march_effect_desc"}</v>
      </c>
      <c r="L1734" s="148" t="str">
        <f>IFERROR(__xludf.DUMMYFUNCTION("""COMPUTED_VALUE"""),"{""typ"":""lc"",""txt"":""LC_ITEM_2023_easter_bp_march_effect_use_tip_7d""}")</f>
        <v>{"typ":"lc","txt":"LC_ITEM_2023_easter_bp_march_effect_use_tip_7d"}</v>
      </c>
      <c r="M1734" s="148">
        <f>IFERROR(__xludf.DUMMYFUNCTION("""COMPUTED_VALUE"""),500.0)</f>
        <v>500</v>
      </c>
      <c r="N1734" s="148">
        <f>IFERROR(__xludf.DUMMYFUNCTION("""COMPUTED_VALUE"""),999999.0)</f>
        <v>999999</v>
      </c>
      <c r="O1734" s="148">
        <f>IFERROR(__xludf.DUMMYFUNCTION("""COMPUTED_VALUE"""),99999.0)</f>
        <v>99999</v>
      </c>
      <c r="P1734" s="148">
        <f>IFERROR(__xludf.DUMMYFUNCTION("""COMPUTED_VALUE"""),1.0)</f>
        <v>1</v>
      </c>
      <c r="Q1734" s="148" t="str">
        <f>IFERROR(__xludf.DUMMYFUNCTION("""COMPUTED_VALUE"""),"[""bag_other""]")</f>
        <v>["bag_other"]</v>
      </c>
      <c r="R1734" s="148" t="str">
        <f>IFERROR(__xludf.DUMMYFUNCTION("""COMPUTED_VALUE"""),"[""bag"",""13650107""]")</f>
        <v>["bag","13650107"]</v>
      </c>
      <c r="S1734" s="148" t="str">
        <f>IFERROR(__xludf.DUMMYFUNCTION("""COMPUTED_VALUE"""),"{""effect"":[{""typ"":""marching_effect"",""id"":13650107,""val"":604800000},{""typ"":""vm"",""id"":11151001,""val"":500}]}")</f>
        <v>{"effect":[{"typ":"marching_effect","id":13650107,"val":604800000},{"typ":"vm","id":11151001,"val":500}]}</v>
      </c>
      <c r="T1734" s="148">
        <f>IFERROR(__xludf.DUMMYFUNCTION("""COMPUTED_VALUE"""),-1.0)</f>
        <v>-1</v>
      </c>
      <c r="U1734" s="148">
        <f>IFERROR(__xludf.DUMMYFUNCTION("""COMPUTED_VALUE"""),0.0)</f>
        <v>0</v>
      </c>
      <c r="V1734" s="148" t="str">
        <f>IFERROR(__xludf.DUMMYFUNCTION("""COMPUTED_VALUE"""),"[]")</f>
        <v>[]</v>
      </c>
      <c r="W1734" s="148">
        <f>IFERROR(__xludf.DUMMYFUNCTION("""COMPUTED_VALUE"""),1.174E7)</f>
        <v>11740000</v>
      </c>
      <c r="X1734" s="148">
        <f>IFERROR(__xludf.DUMMYFUNCTION("""COMPUTED_VALUE"""),0.0)</f>
        <v>0</v>
      </c>
      <c r="Y1734" s="148">
        <f>IFERROR(__xludf.DUMMYFUNCTION("""COMPUTED_VALUE"""),0.0)</f>
        <v>0</v>
      </c>
      <c r="Z1734" s="148"/>
    </row>
    <row r="1735">
      <c r="A1735" s="148">
        <f>IFERROR(__xludf.DUMMYFUNCTION("""COMPUTED_VALUE"""),1.1117394E7)</f>
        <v>11117394</v>
      </c>
      <c r="B1735" s="148" t="str">
        <f>IFERROR(__xludf.DUMMYFUNCTION("""COMPUTED_VALUE"""),"行军特效-炫彩悦动-14天限时")</f>
        <v>行军特效-炫彩悦动-14天限时</v>
      </c>
      <c r="C1735" s="148"/>
      <c r="D1735" s="148" t="str">
        <f>IFERROR(__xludf.DUMMYFUNCTION("""COMPUTED_VALUE"""),"marching_effect")</f>
        <v>marching_effect</v>
      </c>
      <c r="E1735" s="148">
        <f>IFERROR(__xludf.DUMMYFUNCTION("""COMPUTED_VALUE"""),0.0)</f>
        <v>0</v>
      </c>
      <c r="F1735" s="148">
        <f>IFERROR(__xludf.DUMMYFUNCTION("""COMPUTED_VALUE"""),408197.0)</f>
        <v>408197</v>
      </c>
      <c r="G1735" s="148">
        <f>IFERROR(__xludf.DUMMYFUNCTION("""COMPUTED_VALUE"""),1.5116109E7)</f>
        <v>15116109</v>
      </c>
      <c r="H1735" s="148">
        <f>IFERROR(__xludf.DUMMYFUNCTION("""COMPUTED_VALUE"""),1.5112563E7)</f>
        <v>15112563</v>
      </c>
      <c r="I1735" s="148" t="str">
        <f>IFERROR(__xludf.DUMMYFUNCTION("""COMPUTED_VALUE"""),"{""typ"":""lc"",""txt"":""LC_ITEM_time_day_upper_show"",""args"":[{""typ"":""int_unit"",""val"":14}]}")</f>
        <v>{"typ":"lc","txt":"LC_ITEM_time_day_upper_show","args":[{"typ":"int_unit","val":14}]}</v>
      </c>
      <c r="J1735" s="148" t="str">
        <f>IFERROR(__xludf.DUMMYFUNCTION("""COMPUTED_VALUE"""),"{""typ"":""lc"",""txt"":""LC_ITEM_2023_easter_bp_march_effect""}")</f>
        <v>{"typ":"lc","txt":"LC_ITEM_2023_easter_bp_march_effect"}</v>
      </c>
      <c r="K1735" s="148" t="str">
        <f>IFERROR(__xludf.DUMMYFUNCTION("""COMPUTED_VALUE"""),"{""typ"":""lc"",""txt"":""LC_ITEM_2023_easter_bp_march_effect_desc""}")</f>
        <v>{"typ":"lc","txt":"LC_ITEM_2023_easter_bp_march_effect_desc"}</v>
      </c>
      <c r="L1735" s="148" t="str">
        <f>IFERROR(__xludf.DUMMYFUNCTION("""COMPUTED_VALUE"""),"{""typ"":""lc"",""txt"":""LC_ITEM_2023_easter_bp_march_effect_use_tip_14d""}")</f>
        <v>{"typ":"lc","txt":"LC_ITEM_2023_easter_bp_march_effect_use_tip_14d"}</v>
      </c>
      <c r="M1735" s="148">
        <f>IFERROR(__xludf.DUMMYFUNCTION("""COMPUTED_VALUE"""),1000.0)</f>
        <v>1000</v>
      </c>
      <c r="N1735" s="148">
        <f>IFERROR(__xludf.DUMMYFUNCTION("""COMPUTED_VALUE"""),999999.0)</f>
        <v>999999</v>
      </c>
      <c r="O1735" s="148">
        <f>IFERROR(__xludf.DUMMYFUNCTION("""COMPUTED_VALUE"""),99999.0)</f>
        <v>99999</v>
      </c>
      <c r="P1735" s="148">
        <f>IFERROR(__xludf.DUMMYFUNCTION("""COMPUTED_VALUE"""),1.0)</f>
        <v>1</v>
      </c>
      <c r="Q1735" s="148" t="str">
        <f>IFERROR(__xludf.DUMMYFUNCTION("""COMPUTED_VALUE"""),"[""bag_other""]")</f>
        <v>["bag_other"]</v>
      </c>
      <c r="R1735" s="148" t="str">
        <f>IFERROR(__xludf.DUMMYFUNCTION("""COMPUTED_VALUE"""),"[""bag"",""13650107""]")</f>
        <v>["bag","13650107"]</v>
      </c>
      <c r="S1735" s="148" t="str">
        <f>IFERROR(__xludf.DUMMYFUNCTION("""COMPUTED_VALUE"""),"{""effect"":[{""typ"":""marching_effect"",""id"":13650107,""val"":1209600000},{""typ"":""vm"",""id"":11151001,""val"":1000}]}")</f>
        <v>{"effect":[{"typ":"marching_effect","id":13650107,"val":1209600000},{"typ":"vm","id":11151001,"val":1000}]}</v>
      </c>
      <c r="T1735" s="148">
        <f>IFERROR(__xludf.DUMMYFUNCTION("""COMPUTED_VALUE"""),-1.0)</f>
        <v>-1</v>
      </c>
      <c r="U1735" s="148">
        <f>IFERROR(__xludf.DUMMYFUNCTION("""COMPUTED_VALUE"""),0.0)</f>
        <v>0</v>
      </c>
      <c r="V1735" s="148" t="str">
        <f>IFERROR(__xludf.DUMMYFUNCTION("""COMPUTED_VALUE"""),"[]")</f>
        <v>[]</v>
      </c>
      <c r="W1735" s="148">
        <f>IFERROR(__xludf.DUMMYFUNCTION("""COMPUTED_VALUE"""),1.174E7)</f>
        <v>11740000</v>
      </c>
      <c r="X1735" s="148">
        <f>IFERROR(__xludf.DUMMYFUNCTION("""COMPUTED_VALUE"""),0.0)</f>
        <v>0</v>
      </c>
      <c r="Y1735" s="148">
        <f>IFERROR(__xludf.DUMMYFUNCTION("""COMPUTED_VALUE"""),0.0)</f>
        <v>0</v>
      </c>
      <c r="Z1735" s="148"/>
    </row>
    <row r="1736">
      <c r="A1736" s="148">
        <f>IFERROR(__xludf.DUMMYFUNCTION("""COMPUTED_VALUE"""),1.1117395E7)</f>
        <v>11117395</v>
      </c>
      <c r="B1736" s="148" t="str">
        <f>IFERROR(__xludf.DUMMYFUNCTION("""COMPUTED_VALUE"""),"行军特效-炫彩悦动-30天限时")</f>
        <v>行军特效-炫彩悦动-30天限时</v>
      </c>
      <c r="C1736" s="148"/>
      <c r="D1736" s="148" t="str">
        <f>IFERROR(__xludf.DUMMYFUNCTION("""COMPUTED_VALUE"""),"marching_effect")</f>
        <v>marching_effect</v>
      </c>
      <c r="E1736" s="148">
        <f>IFERROR(__xludf.DUMMYFUNCTION("""COMPUTED_VALUE"""),0.0)</f>
        <v>0</v>
      </c>
      <c r="F1736" s="148">
        <f>IFERROR(__xludf.DUMMYFUNCTION("""COMPUTED_VALUE"""),408196.0)</f>
        <v>408196</v>
      </c>
      <c r="G1736" s="148">
        <f>IFERROR(__xludf.DUMMYFUNCTION("""COMPUTED_VALUE"""),1.5116109E7)</f>
        <v>15116109</v>
      </c>
      <c r="H1736" s="148">
        <f>IFERROR(__xludf.DUMMYFUNCTION("""COMPUTED_VALUE"""),1.5112563E7)</f>
        <v>15112563</v>
      </c>
      <c r="I1736" s="148" t="str">
        <f>IFERROR(__xludf.DUMMYFUNCTION("""COMPUTED_VALUE"""),"{""typ"":""lc"",""txt"":""LC_ITEM_time_day_upper_show"",""args"":[{""typ"":""int_unit"",""val"":30}]}")</f>
        <v>{"typ":"lc","txt":"LC_ITEM_time_day_upper_show","args":[{"typ":"int_unit","val":30}]}</v>
      </c>
      <c r="J1736" s="148" t="str">
        <f>IFERROR(__xludf.DUMMYFUNCTION("""COMPUTED_VALUE"""),"{""typ"":""lc"",""txt"":""LC_ITEM_2023_easter_bp_march_effect""}")</f>
        <v>{"typ":"lc","txt":"LC_ITEM_2023_easter_bp_march_effect"}</v>
      </c>
      <c r="K1736" s="148" t="str">
        <f>IFERROR(__xludf.DUMMYFUNCTION("""COMPUTED_VALUE"""),"{""typ"":""lc"",""txt"":""LC_ITEM_2023_easter_bp_march_effect_desc""}")</f>
        <v>{"typ":"lc","txt":"LC_ITEM_2023_easter_bp_march_effect_desc"}</v>
      </c>
      <c r="L1736" s="148" t="str">
        <f>IFERROR(__xludf.DUMMYFUNCTION("""COMPUTED_VALUE"""),"{""typ"":""lc"",""txt"":""LC_ITEM_2023_easter_bp_march_effect_use_tip_30d""}")</f>
        <v>{"typ":"lc","txt":"LC_ITEM_2023_easter_bp_march_effect_use_tip_30d"}</v>
      </c>
      <c r="M1736" s="148">
        <f>IFERROR(__xludf.DUMMYFUNCTION("""COMPUTED_VALUE"""),2000.0)</f>
        <v>2000</v>
      </c>
      <c r="N1736" s="148">
        <f>IFERROR(__xludf.DUMMYFUNCTION("""COMPUTED_VALUE"""),999999.0)</f>
        <v>999999</v>
      </c>
      <c r="O1736" s="148">
        <f>IFERROR(__xludf.DUMMYFUNCTION("""COMPUTED_VALUE"""),99999.0)</f>
        <v>99999</v>
      </c>
      <c r="P1736" s="148">
        <f>IFERROR(__xludf.DUMMYFUNCTION("""COMPUTED_VALUE"""),1.0)</f>
        <v>1</v>
      </c>
      <c r="Q1736" s="148" t="str">
        <f>IFERROR(__xludf.DUMMYFUNCTION("""COMPUTED_VALUE"""),"[""bag_other""]")</f>
        <v>["bag_other"]</v>
      </c>
      <c r="R1736" s="148" t="str">
        <f>IFERROR(__xludf.DUMMYFUNCTION("""COMPUTED_VALUE"""),"[""bag"",""13650107""]")</f>
        <v>["bag","13650107"]</v>
      </c>
      <c r="S1736" s="148" t="str">
        <f>IFERROR(__xludf.DUMMYFUNCTION("""COMPUTED_VALUE"""),"{""effect"":[{""typ"":""marching_effect"",""id"":13650107,""val"":2592000000},{""typ"":""vm"",""id"":11151001,""val"":1000}]}")</f>
        <v>{"effect":[{"typ":"marching_effect","id":13650107,"val":2592000000},{"typ":"vm","id":11151001,"val":1000}]}</v>
      </c>
      <c r="T1736" s="148">
        <f>IFERROR(__xludf.DUMMYFUNCTION("""COMPUTED_VALUE"""),-1.0)</f>
        <v>-1</v>
      </c>
      <c r="U1736" s="148">
        <f>IFERROR(__xludf.DUMMYFUNCTION("""COMPUTED_VALUE"""),0.0)</f>
        <v>0</v>
      </c>
      <c r="V1736" s="148" t="str">
        <f>IFERROR(__xludf.DUMMYFUNCTION("""COMPUTED_VALUE"""),"[]")</f>
        <v>[]</v>
      </c>
      <c r="W1736" s="148">
        <f>IFERROR(__xludf.DUMMYFUNCTION("""COMPUTED_VALUE"""),1.174E7)</f>
        <v>11740000</v>
      </c>
      <c r="X1736" s="148">
        <f>IFERROR(__xludf.DUMMYFUNCTION("""COMPUTED_VALUE"""),0.0)</f>
        <v>0</v>
      </c>
      <c r="Y1736" s="148">
        <f>IFERROR(__xludf.DUMMYFUNCTION("""COMPUTED_VALUE"""),0.0)</f>
        <v>0</v>
      </c>
      <c r="Z1736" s="148"/>
    </row>
    <row r="1737">
      <c r="A1737" s="148">
        <f>IFERROR(__xludf.DUMMYFUNCTION("""COMPUTED_VALUE"""),1.1117396E7)</f>
        <v>11117396</v>
      </c>
      <c r="B1737" s="148" t="str">
        <f>IFERROR(__xludf.DUMMYFUNCTION("""COMPUTED_VALUE"""),"行军特效-炫彩悦动-永久")</f>
        <v>行军特效-炫彩悦动-永久</v>
      </c>
      <c r="C1737" s="148"/>
      <c r="D1737" s="148" t="str">
        <f>IFERROR(__xludf.DUMMYFUNCTION("""COMPUTED_VALUE"""),"marching_effect")</f>
        <v>marching_effect</v>
      </c>
      <c r="E1737" s="148">
        <f>IFERROR(__xludf.DUMMYFUNCTION("""COMPUTED_VALUE"""),0.0)</f>
        <v>0</v>
      </c>
      <c r="F1737" s="148">
        <f>IFERROR(__xludf.DUMMYFUNCTION("""COMPUTED_VALUE"""),408195.0)</f>
        <v>408195</v>
      </c>
      <c r="G1737" s="148">
        <f>IFERROR(__xludf.DUMMYFUNCTION("""COMPUTED_VALUE"""),1.5116109E7)</f>
        <v>15116109</v>
      </c>
      <c r="H1737" s="148">
        <f>IFERROR(__xludf.DUMMYFUNCTION("""COMPUTED_VALUE"""),1.5112564E7)</f>
        <v>15112564</v>
      </c>
      <c r="I1737" s="148" t="str">
        <f>IFERROR(__xludf.DUMMYFUNCTION("""COMPUTED_VALUE"""),"{}")</f>
        <v>{}</v>
      </c>
      <c r="J1737" s="148" t="str">
        <f>IFERROR(__xludf.DUMMYFUNCTION("""COMPUTED_VALUE"""),"{""typ"":""lc"",""txt"":""LC_ITEM_2023_easter_bp_march_effect""}")</f>
        <v>{"typ":"lc","txt":"LC_ITEM_2023_easter_bp_march_effect"}</v>
      </c>
      <c r="K1737" s="148" t="str">
        <f>IFERROR(__xludf.DUMMYFUNCTION("""COMPUTED_VALUE"""),"{""typ"":""lc"",""txt"":""LC_ITEM_2023_easter_bp_march_effect_desc""}")</f>
        <v>{"typ":"lc","txt":"LC_ITEM_2023_easter_bp_march_effect_desc"}</v>
      </c>
      <c r="L1737" s="148" t="str">
        <f>IFERROR(__xludf.DUMMYFUNCTION("""COMPUTED_VALUE"""),"{""typ"":""lc"",""txt"":""LC_ITEM_2023_easter_bp_march_effect_use_tip""}")</f>
        <v>{"typ":"lc","txt":"LC_ITEM_2023_easter_bp_march_effect_use_tip"}</v>
      </c>
      <c r="M1737" s="148">
        <f>IFERROR(__xludf.DUMMYFUNCTION("""COMPUTED_VALUE"""),5000.0)</f>
        <v>5000</v>
      </c>
      <c r="N1737" s="148">
        <f>IFERROR(__xludf.DUMMYFUNCTION("""COMPUTED_VALUE"""),999999.0)</f>
        <v>999999</v>
      </c>
      <c r="O1737" s="148">
        <f>IFERROR(__xludf.DUMMYFUNCTION("""COMPUTED_VALUE"""),99999.0)</f>
        <v>99999</v>
      </c>
      <c r="P1737" s="148">
        <f>IFERROR(__xludf.DUMMYFUNCTION("""COMPUTED_VALUE"""),1.0)</f>
        <v>1</v>
      </c>
      <c r="Q1737" s="148" t="str">
        <f>IFERROR(__xludf.DUMMYFUNCTION("""COMPUTED_VALUE"""),"[""bag_other""]")</f>
        <v>["bag_other"]</v>
      </c>
      <c r="R1737" s="148" t="str">
        <f>IFERROR(__xludf.DUMMYFUNCTION("""COMPUTED_VALUE"""),"[""bag"",""13650107""]")</f>
        <v>["bag","13650107"]</v>
      </c>
      <c r="S1737" s="148" t="str">
        <f>IFERROR(__xludf.DUMMYFUNCTION("""COMPUTED_VALUE"""),"{""effect"":[{""typ"":""marching_effect"",""id"":13650107,""val"":-1},{""typ"":""item"",""id"":11112030,""val"":500}]}")</f>
        <v>{"effect":[{"typ":"marching_effect","id":13650107,"val":-1},{"typ":"item","id":11112030,"val":500}]}</v>
      </c>
      <c r="T1737" s="148">
        <f>IFERROR(__xludf.DUMMYFUNCTION("""COMPUTED_VALUE"""),-1.0)</f>
        <v>-1</v>
      </c>
      <c r="U1737" s="148">
        <f>IFERROR(__xludf.DUMMYFUNCTION("""COMPUTED_VALUE"""),0.0)</f>
        <v>0</v>
      </c>
      <c r="V1737" s="148" t="str">
        <f>IFERROR(__xludf.DUMMYFUNCTION("""COMPUTED_VALUE"""),"[]")</f>
        <v>[]</v>
      </c>
      <c r="W1737" s="148">
        <f>IFERROR(__xludf.DUMMYFUNCTION("""COMPUTED_VALUE"""),1.174E7)</f>
        <v>11740000</v>
      </c>
      <c r="X1737" s="148">
        <f>IFERROR(__xludf.DUMMYFUNCTION("""COMPUTED_VALUE"""),0.0)</f>
        <v>0</v>
      </c>
      <c r="Y1737" s="148">
        <f>IFERROR(__xludf.DUMMYFUNCTION("""COMPUTED_VALUE"""),0.0)</f>
        <v>0</v>
      </c>
      <c r="Z1737" s="148"/>
    </row>
    <row r="1738">
      <c r="A1738" s="148">
        <f>IFERROR(__xludf.DUMMYFUNCTION("""COMPUTED_VALUE"""),1.1117397E7)</f>
        <v>11117397</v>
      </c>
      <c r="B1738" s="148" t="str">
        <f>IFERROR(__xludf.DUMMYFUNCTION("""COMPUTED_VALUE"""),"2023复活节BattlePass-初级通行证")</f>
        <v>2023复活节BattlePass-初级通行证</v>
      </c>
      <c r="C1738" s="148"/>
      <c r="D1738" s="148" t="str">
        <f>IFERROR(__xludf.DUMMYFUNCTION("""COMPUTED_VALUE"""),"battle_pass_card")</f>
        <v>battle_pass_card</v>
      </c>
      <c r="E1738" s="148">
        <f>IFERROR(__xludf.DUMMYFUNCTION("""COMPUTED_VALUE"""),0.0)</f>
        <v>0</v>
      </c>
      <c r="F1738" s="148">
        <f>IFERROR(__xludf.DUMMYFUNCTION("""COMPUTED_VALUE"""),0.0)</f>
        <v>0</v>
      </c>
      <c r="G1738" s="148">
        <f>IFERROR(__xludf.DUMMYFUNCTION("""COMPUTED_VALUE"""),1.5113625E7)</f>
        <v>15113625</v>
      </c>
      <c r="H1738" s="148">
        <f>IFERROR(__xludf.DUMMYFUNCTION("""COMPUTED_VALUE"""),1.5112563E7)</f>
        <v>15112563</v>
      </c>
      <c r="I1738" s="148" t="str">
        <f>IFERROR(__xludf.DUMMYFUNCTION("""COMPUTED_VALUE"""),"{}")</f>
        <v>{}</v>
      </c>
      <c r="J1738" s="148" t="str">
        <f>IFERROR(__xludf.DUMMYFUNCTION("""COMPUTED_VALUE"""),"{""typ"":""lc"",""txt"":""LC_IAP_2023_easter_bp_pack_unlock_1""}")</f>
        <v>{"typ":"lc","txt":"LC_IAP_2023_easter_bp_pack_unlock_1"}</v>
      </c>
      <c r="K1738" s="148" t="str">
        <f>IFERROR(__xludf.DUMMYFUNCTION("""COMPUTED_VALUE"""),"{}")</f>
        <v>{}</v>
      </c>
      <c r="L1738" s="148" t="str">
        <f>IFERROR(__xludf.DUMMYFUNCTION("""COMPUTED_VALUE"""),"{}")</f>
        <v>{}</v>
      </c>
      <c r="M1738" s="148">
        <f>IFERROR(__xludf.DUMMYFUNCTION("""COMPUTED_VALUE"""),10.0)</f>
        <v>10</v>
      </c>
      <c r="N1738" s="148">
        <f>IFERROR(__xludf.DUMMYFUNCTION("""COMPUTED_VALUE"""),999999.0)</f>
        <v>999999</v>
      </c>
      <c r="O1738" s="148">
        <f>IFERROR(__xludf.DUMMYFUNCTION("""COMPUTED_VALUE"""),99999.0)</f>
        <v>99999</v>
      </c>
      <c r="P1738" s="148">
        <f>IFERROR(__xludf.DUMMYFUNCTION("""COMPUTED_VALUE"""),9999.0)</f>
        <v>9999</v>
      </c>
      <c r="Q1738" s="148" t="str">
        <f>IFERROR(__xludf.DUMMYFUNCTION("""COMPUTED_VALUE"""),"[]")</f>
        <v>[]</v>
      </c>
      <c r="R1738" s="148" t="str">
        <f>IFERROR(__xludf.DUMMYFUNCTION("""COMPUTED_VALUE"""),"[]")</f>
        <v>[]</v>
      </c>
      <c r="S1738" s="148" t="str">
        <f>IFERROR(__xludf.DUMMYFUNCTION("""COMPUTED_VALUE"""),"{}")</f>
        <v>{}</v>
      </c>
      <c r="T1738" s="148">
        <f>IFERROR(__xludf.DUMMYFUNCTION("""COMPUTED_VALUE"""),-1.0)</f>
        <v>-1</v>
      </c>
      <c r="U1738" s="148">
        <f>IFERROR(__xludf.DUMMYFUNCTION("""COMPUTED_VALUE"""),1.0)</f>
        <v>1</v>
      </c>
      <c r="V1738" s="148" t="str">
        <f>IFERROR(__xludf.DUMMYFUNCTION("""COMPUTED_VALUE"""),"[]")</f>
        <v>[]</v>
      </c>
      <c r="W1738" s="148">
        <f>IFERROR(__xludf.DUMMYFUNCTION("""COMPUTED_VALUE"""),1.174E7)</f>
        <v>11740000</v>
      </c>
      <c r="X1738" s="148">
        <f>IFERROR(__xludf.DUMMYFUNCTION("""COMPUTED_VALUE"""),0.0)</f>
        <v>0</v>
      </c>
      <c r="Y1738" s="148">
        <f>IFERROR(__xludf.DUMMYFUNCTION("""COMPUTED_VALUE"""),0.0)</f>
        <v>0</v>
      </c>
      <c r="Z1738" s="148"/>
    </row>
    <row r="1739">
      <c r="A1739" s="148">
        <f>IFERROR(__xludf.DUMMYFUNCTION("""COMPUTED_VALUE"""),1.1117398E7)</f>
        <v>11117398</v>
      </c>
      <c r="B1739" s="148" t="str">
        <f>IFERROR(__xludf.DUMMYFUNCTION("""COMPUTED_VALUE"""),"2023复活节BattlePass-高级通行证")</f>
        <v>2023复活节BattlePass-高级通行证</v>
      </c>
      <c r="C1739" s="148"/>
      <c r="D1739" s="148" t="str">
        <f>IFERROR(__xludf.DUMMYFUNCTION("""COMPUTED_VALUE"""),"battle_pass_card")</f>
        <v>battle_pass_card</v>
      </c>
      <c r="E1739" s="148">
        <f>IFERROR(__xludf.DUMMYFUNCTION("""COMPUTED_VALUE"""),0.0)</f>
        <v>0</v>
      </c>
      <c r="F1739" s="148">
        <f>IFERROR(__xludf.DUMMYFUNCTION("""COMPUTED_VALUE"""),0.0)</f>
        <v>0</v>
      </c>
      <c r="G1739" s="148">
        <f>IFERROR(__xludf.DUMMYFUNCTION("""COMPUTED_VALUE"""),1.5113625E7)</f>
        <v>15113625</v>
      </c>
      <c r="H1739" s="148">
        <f>IFERROR(__xludf.DUMMYFUNCTION("""COMPUTED_VALUE"""),1.5112564E7)</f>
        <v>15112564</v>
      </c>
      <c r="I1739" s="148" t="str">
        <f>IFERROR(__xludf.DUMMYFUNCTION("""COMPUTED_VALUE"""),"{}")</f>
        <v>{}</v>
      </c>
      <c r="J1739" s="148" t="str">
        <f>IFERROR(__xludf.DUMMYFUNCTION("""COMPUTED_VALUE"""),"{""typ"":""lc"",""txt"":""LC_IAP_2023_easter_bp_pack_unlock_2""}")</f>
        <v>{"typ":"lc","txt":"LC_IAP_2023_easter_bp_pack_unlock_2"}</v>
      </c>
      <c r="K1739" s="148" t="str">
        <f>IFERROR(__xludf.DUMMYFUNCTION("""COMPUTED_VALUE"""),"{}")</f>
        <v>{}</v>
      </c>
      <c r="L1739" s="148" t="str">
        <f>IFERROR(__xludf.DUMMYFUNCTION("""COMPUTED_VALUE"""),"{}")</f>
        <v>{}</v>
      </c>
      <c r="M1739" s="148">
        <f>IFERROR(__xludf.DUMMYFUNCTION("""COMPUTED_VALUE"""),10.0)</f>
        <v>10</v>
      </c>
      <c r="N1739" s="148">
        <f>IFERROR(__xludf.DUMMYFUNCTION("""COMPUTED_VALUE"""),999999.0)</f>
        <v>999999</v>
      </c>
      <c r="O1739" s="148">
        <f>IFERROR(__xludf.DUMMYFUNCTION("""COMPUTED_VALUE"""),99999.0)</f>
        <v>99999</v>
      </c>
      <c r="P1739" s="148">
        <f>IFERROR(__xludf.DUMMYFUNCTION("""COMPUTED_VALUE"""),9999.0)</f>
        <v>9999</v>
      </c>
      <c r="Q1739" s="148" t="str">
        <f>IFERROR(__xludf.DUMMYFUNCTION("""COMPUTED_VALUE"""),"[]")</f>
        <v>[]</v>
      </c>
      <c r="R1739" s="148" t="str">
        <f>IFERROR(__xludf.DUMMYFUNCTION("""COMPUTED_VALUE"""),"[]")</f>
        <v>[]</v>
      </c>
      <c r="S1739" s="148" t="str">
        <f>IFERROR(__xludf.DUMMYFUNCTION("""COMPUTED_VALUE"""),"{}")</f>
        <v>{}</v>
      </c>
      <c r="T1739" s="148">
        <f>IFERROR(__xludf.DUMMYFUNCTION("""COMPUTED_VALUE"""),-1.0)</f>
        <v>-1</v>
      </c>
      <c r="U1739" s="148">
        <f>IFERROR(__xludf.DUMMYFUNCTION("""COMPUTED_VALUE"""),1.0)</f>
        <v>1</v>
      </c>
      <c r="V1739" s="148" t="str">
        <f>IFERROR(__xludf.DUMMYFUNCTION("""COMPUTED_VALUE"""),"[]")</f>
        <v>[]</v>
      </c>
      <c r="W1739" s="148">
        <f>IFERROR(__xludf.DUMMYFUNCTION("""COMPUTED_VALUE"""),1.174E7)</f>
        <v>11740000</v>
      </c>
      <c r="X1739" s="148">
        <f>IFERROR(__xludf.DUMMYFUNCTION("""COMPUTED_VALUE"""),0.0)</f>
        <v>0</v>
      </c>
      <c r="Y1739" s="148">
        <f>IFERROR(__xludf.DUMMYFUNCTION("""COMPUTED_VALUE"""),0.0)</f>
        <v>0</v>
      </c>
      <c r="Z1739" s="148"/>
    </row>
    <row r="1740">
      <c r="A1740" s="148">
        <f>IFERROR(__xludf.DUMMYFUNCTION("""COMPUTED_VALUE"""),1.1117399E7)</f>
        <v>11117399</v>
      </c>
      <c r="B1740" s="148" t="str">
        <f>IFERROR(__xludf.DUMMYFUNCTION("""COMPUTED_VALUE"""),"尖端装备图纸自选箱")</f>
        <v>尖端装备图纸自选箱</v>
      </c>
      <c r="C1740" s="148"/>
      <c r="D1740" s="148" t="str">
        <f>IFERROR(__xludf.DUMMYFUNCTION("""COMPUTED_VALUE"""),"item_select_box")</f>
        <v>item_select_box</v>
      </c>
      <c r="E1740" s="148">
        <f>IFERROR(__xludf.DUMMYFUNCTION("""COMPUTED_VALUE"""),19.0)</f>
        <v>19</v>
      </c>
      <c r="F1740" s="148">
        <f>IFERROR(__xludf.DUMMYFUNCTION("""COMPUTED_VALUE"""),403308.0)</f>
        <v>403308</v>
      </c>
      <c r="G1740" s="148">
        <f>IFERROR(__xludf.DUMMYFUNCTION("""COMPUTED_VALUE"""),1.5116702E7)</f>
        <v>15116702</v>
      </c>
      <c r="H1740" s="148">
        <f>IFERROR(__xludf.DUMMYFUNCTION("""COMPUTED_VALUE"""),1.5112564E7)</f>
        <v>15112564</v>
      </c>
      <c r="I1740" s="148" t="str">
        <f>IFERROR(__xludf.DUMMYFUNCTION("""COMPUTED_VALUE"""),"{}")</f>
        <v>{}</v>
      </c>
      <c r="J1740" s="148" t="str">
        <f>IFERROR(__xludf.DUMMYFUNCTION("""COMPUTED_VALUE"""),"{""typ"":""lc"",""txt"":""LC_ITEM_monopoly_equipment_blueprint_select_box_name_2""}")</f>
        <v>{"typ":"lc","txt":"LC_ITEM_monopoly_equipment_blueprint_select_box_name_2"}</v>
      </c>
      <c r="K1740" s="148" t="str">
        <f>IFERROR(__xludf.DUMMYFUNCTION("""COMPUTED_VALUE"""),"{""typ"":""lc"",""txt"":""LC_ITEM_monopoly_equipment_blueprint_select_box_desc_2""}")</f>
        <v>{"typ":"lc","txt":"LC_ITEM_monopoly_equipment_blueprint_select_box_desc_2"}</v>
      </c>
      <c r="L1740" s="148" t="str">
        <f>IFERROR(__xludf.DUMMYFUNCTION("""COMPUTED_VALUE"""),"{}")</f>
        <v>{}</v>
      </c>
      <c r="M1740" s="148">
        <f>IFERROR(__xludf.DUMMYFUNCTION("""COMPUTED_VALUE"""),500.0)</f>
        <v>500</v>
      </c>
      <c r="N1740" s="148">
        <f>IFERROR(__xludf.DUMMYFUNCTION("""COMPUTED_VALUE"""),9999999.0)</f>
        <v>9999999</v>
      </c>
      <c r="O1740" s="148">
        <f>IFERROR(__xludf.DUMMYFUNCTION("""COMPUTED_VALUE"""),99999.0)</f>
        <v>99999</v>
      </c>
      <c r="P1740" s="148">
        <f>IFERROR(__xludf.DUMMYFUNCTION("""COMPUTED_VALUE"""),99999.0)</f>
        <v>99999</v>
      </c>
      <c r="Q1740" s="148" t="str">
        <f>IFERROR(__xludf.DUMMYFUNCTION("""COMPUTED_VALUE"""),"[""bag_other""]")</f>
        <v>["bag_other"]</v>
      </c>
      <c r="R1740" s="148" t="str">
        <f>IFERROR(__xludf.DUMMYFUNCTION("""COMPUTED_VALUE"""),"[""bag""]")</f>
        <v>["bag"]</v>
      </c>
      <c r="S1740" s="148" t="str">
        <f>IFERROR(__xludf.DUMMYFUNCTION("""COMPUTED_VALUE"""),"{""select_box"":[{""typ"":""blueprint"",""id"":19344001,""val"":1},{""typ"":""blueprint"",""id"":19344002,""val"":1},{""typ"":""blueprint"",""id"":19344003,""val"":1},{""typ"":""blueprint"",""id"":19344004,""val"":1}]}")</f>
        <v>{"select_box":[{"typ":"blueprint","id":19344001,"val":1},{"typ":"blueprint","id":19344002,"val":1},{"typ":"blueprint","id":19344003,"val":1},{"typ":"blueprint","id":19344004,"val":1}]}</v>
      </c>
      <c r="T1740" s="148">
        <f>IFERROR(__xludf.DUMMYFUNCTION("""COMPUTED_VALUE"""),-1.0)</f>
        <v>-1</v>
      </c>
      <c r="U1740" s="148">
        <f>IFERROR(__xludf.DUMMYFUNCTION("""COMPUTED_VALUE"""),0.0)</f>
        <v>0</v>
      </c>
      <c r="V1740" s="148" t="str">
        <f>IFERROR(__xludf.DUMMYFUNCTION("""COMPUTED_VALUE"""),"[]")</f>
        <v>[]</v>
      </c>
      <c r="W1740" s="148">
        <f>IFERROR(__xludf.DUMMYFUNCTION("""COMPUTED_VALUE"""),1.1741004E7)</f>
        <v>11741004</v>
      </c>
      <c r="X1740" s="148">
        <f>IFERROR(__xludf.DUMMYFUNCTION("""COMPUTED_VALUE"""),0.0)</f>
        <v>0</v>
      </c>
      <c r="Y1740" s="148">
        <f>IFERROR(__xludf.DUMMYFUNCTION("""COMPUTED_VALUE"""),0.0)</f>
        <v>0</v>
      </c>
      <c r="Z1740" s="148"/>
    </row>
    <row r="1741">
      <c r="A1741" s="148">
        <f>IFERROR(__xludf.DUMMYFUNCTION("""COMPUTED_VALUE"""),1.11174E7)</f>
        <v>11117400</v>
      </c>
      <c r="B1741" s="148" t="str">
        <f>IFERROR(__xludf.DUMMYFUNCTION("""COMPUTED_VALUE"""),"征服者装备图纸自选箱")</f>
        <v>征服者装备图纸自选箱</v>
      </c>
      <c r="C1741" s="148"/>
      <c r="D1741" s="148" t="str">
        <f>IFERROR(__xludf.DUMMYFUNCTION("""COMPUTED_VALUE"""),"item_select_box")</f>
        <v>item_select_box</v>
      </c>
      <c r="E1741" s="148">
        <f>IFERROR(__xludf.DUMMYFUNCTION("""COMPUTED_VALUE"""),19.0)</f>
        <v>19</v>
      </c>
      <c r="F1741" s="148">
        <f>IFERROR(__xludf.DUMMYFUNCTION("""COMPUTED_VALUE"""),403308.0)</f>
        <v>403308</v>
      </c>
      <c r="G1741" s="148">
        <f>IFERROR(__xludf.DUMMYFUNCTION("""COMPUTED_VALUE"""),1.5116703E7)</f>
        <v>15116703</v>
      </c>
      <c r="H1741" s="148">
        <f>IFERROR(__xludf.DUMMYFUNCTION("""COMPUTED_VALUE"""),1.5112564E7)</f>
        <v>15112564</v>
      </c>
      <c r="I1741" s="148" t="str">
        <f>IFERROR(__xludf.DUMMYFUNCTION("""COMPUTED_VALUE"""),"{}")</f>
        <v>{}</v>
      </c>
      <c r="J1741" s="148" t="str">
        <f>IFERROR(__xludf.DUMMYFUNCTION("""COMPUTED_VALUE"""),"{""typ"":""lc"",""txt"":""LC_ITEM_monopoly_equipment_blueprint_select_box_name_3""}")</f>
        <v>{"typ":"lc","txt":"LC_ITEM_monopoly_equipment_blueprint_select_box_name_3"}</v>
      </c>
      <c r="K1741" s="148" t="str">
        <f>IFERROR(__xludf.DUMMYFUNCTION("""COMPUTED_VALUE"""),"{""typ"":""lc"",""txt"":""LC_ITEM_monopoly_equipment_blueprint_select_box_desc_3""}")</f>
        <v>{"typ":"lc","txt":"LC_ITEM_monopoly_equipment_blueprint_select_box_desc_3"}</v>
      </c>
      <c r="L1741" s="148" t="str">
        <f>IFERROR(__xludf.DUMMYFUNCTION("""COMPUTED_VALUE"""),"{}")</f>
        <v>{}</v>
      </c>
      <c r="M1741" s="148">
        <f>IFERROR(__xludf.DUMMYFUNCTION("""COMPUTED_VALUE"""),500.0)</f>
        <v>500</v>
      </c>
      <c r="N1741" s="148">
        <f>IFERROR(__xludf.DUMMYFUNCTION("""COMPUTED_VALUE"""),9999999.0)</f>
        <v>9999999</v>
      </c>
      <c r="O1741" s="148">
        <f>IFERROR(__xludf.DUMMYFUNCTION("""COMPUTED_VALUE"""),99999.0)</f>
        <v>99999</v>
      </c>
      <c r="P1741" s="148">
        <f>IFERROR(__xludf.DUMMYFUNCTION("""COMPUTED_VALUE"""),99999.0)</f>
        <v>99999</v>
      </c>
      <c r="Q1741" s="148" t="str">
        <f>IFERROR(__xludf.DUMMYFUNCTION("""COMPUTED_VALUE"""),"[""bag_other""]")</f>
        <v>["bag_other"]</v>
      </c>
      <c r="R1741" s="148" t="str">
        <f>IFERROR(__xludf.DUMMYFUNCTION("""COMPUTED_VALUE"""),"[""bag""]")</f>
        <v>["bag"]</v>
      </c>
      <c r="S1741" s="148" t="str">
        <f>IFERROR(__xludf.DUMMYFUNCTION("""COMPUTED_VALUE"""),"{""select_box"":[{""typ"":""blueprint"",""id"":19344005,""val"":1},{""typ"":""blueprint"",""id"":19344006,""val"":1},{""typ"":""blueprint"",""id"":19344007,""val"":1},{""typ"":""blueprint"",""id"":19344008,""val"":1}]}")</f>
        <v>{"select_box":[{"typ":"blueprint","id":19344005,"val":1},{"typ":"blueprint","id":19344006,"val":1},{"typ":"blueprint","id":19344007,"val":1},{"typ":"blueprint","id":19344008,"val":1}]}</v>
      </c>
      <c r="T1741" s="148">
        <f>IFERROR(__xludf.DUMMYFUNCTION("""COMPUTED_VALUE"""),-1.0)</f>
        <v>-1</v>
      </c>
      <c r="U1741" s="148">
        <f>IFERROR(__xludf.DUMMYFUNCTION("""COMPUTED_VALUE"""),0.0)</f>
        <v>0</v>
      </c>
      <c r="V1741" s="148" t="str">
        <f>IFERROR(__xludf.DUMMYFUNCTION("""COMPUTED_VALUE"""),"[]")</f>
        <v>[]</v>
      </c>
      <c r="W1741" s="148">
        <f>IFERROR(__xludf.DUMMYFUNCTION("""COMPUTED_VALUE"""),1.1741004E7)</f>
        <v>11741004</v>
      </c>
      <c r="X1741" s="148">
        <f>IFERROR(__xludf.DUMMYFUNCTION("""COMPUTED_VALUE"""),0.0)</f>
        <v>0</v>
      </c>
      <c r="Y1741" s="148">
        <f>IFERROR(__xludf.DUMMYFUNCTION("""COMPUTED_VALUE"""),0.0)</f>
        <v>0</v>
      </c>
      <c r="Z1741" s="148"/>
    </row>
    <row r="1742">
      <c r="A1742" s="148">
        <f>IFERROR(__xludf.DUMMYFUNCTION("""COMPUTED_VALUE"""),1.1117401E7)</f>
        <v>11117401</v>
      </c>
      <c r="B1742" s="148" t="str">
        <f>IFERROR(__xludf.DUMMYFUNCTION("""COMPUTED_VALUE"""),"精密装备图纸自选箱")</f>
        <v>精密装备图纸自选箱</v>
      </c>
      <c r="C1742" s="148"/>
      <c r="D1742" s="148" t="str">
        <f>IFERROR(__xludf.DUMMYFUNCTION("""COMPUTED_VALUE"""),"item_select_box")</f>
        <v>item_select_box</v>
      </c>
      <c r="E1742" s="148">
        <f>IFERROR(__xludf.DUMMYFUNCTION("""COMPUTED_VALUE"""),19.0)</f>
        <v>19</v>
      </c>
      <c r="F1742" s="148">
        <f>IFERROR(__xludf.DUMMYFUNCTION("""COMPUTED_VALUE"""),403308.0)</f>
        <v>403308</v>
      </c>
      <c r="G1742" s="148">
        <f>IFERROR(__xludf.DUMMYFUNCTION("""COMPUTED_VALUE"""),1.5116704E7)</f>
        <v>15116704</v>
      </c>
      <c r="H1742" s="148">
        <f>IFERROR(__xludf.DUMMYFUNCTION("""COMPUTED_VALUE"""),1.5112564E7)</f>
        <v>15112564</v>
      </c>
      <c r="I1742" s="148" t="str">
        <f>IFERROR(__xludf.DUMMYFUNCTION("""COMPUTED_VALUE"""),"{}")</f>
        <v>{}</v>
      </c>
      <c r="J1742" s="148" t="str">
        <f>IFERROR(__xludf.DUMMYFUNCTION("""COMPUTED_VALUE"""),"{""typ"":""lc"",""txt"":""LC_ITEM_monopoly_equipment_blueprint_select_box_name_4""}")</f>
        <v>{"typ":"lc","txt":"LC_ITEM_monopoly_equipment_blueprint_select_box_name_4"}</v>
      </c>
      <c r="K1742" s="148" t="str">
        <f>IFERROR(__xludf.DUMMYFUNCTION("""COMPUTED_VALUE"""),"{""typ"":""lc"",""txt"":""LC_ITEM_monopoly_equipment_blueprint_select_box_desc_4""}")</f>
        <v>{"typ":"lc","txt":"LC_ITEM_monopoly_equipment_blueprint_select_box_desc_4"}</v>
      </c>
      <c r="L1742" s="148" t="str">
        <f>IFERROR(__xludf.DUMMYFUNCTION("""COMPUTED_VALUE"""),"{}")</f>
        <v>{}</v>
      </c>
      <c r="M1742" s="148">
        <f>IFERROR(__xludf.DUMMYFUNCTION("""COMPUTED_VALUE"""),500.0)</f>
        <v>500</v>
      </c>
      <c r="N1742" s="148">
        <f>IFERROR(__xludf.DUMMYFUNCTION("""COMPUTED_VALUE"""),9999999.0)</f>
        <v>9999999</v>
      </c>
      <c r="O1742" s="148">
        <f>IFERROR(__xludf.DUMMYFUNCTION("""COMPUTED_VALUE"""),99999.0)</f>
        <v>99999</v>
      </c>
      <c r="P1742" s="148">
        <f>IFERROR(__xludf.DUMMYFUNCTION("""COMPUTED_VALUE"""),99999.0)</f>
        <v>99999</v>
      </c>
      <c r="Q1742" s="148" t="str">
        <f>IFERROR(__xludf.DUMMYFUNCTION("""COMPUTED_VALUE"""),"[""bag_other""]")</f>
        <v>["bag_other"]</v>
      </c>
      <c r="R1742" s="148" t="str">
        <f>IFERROR(__xludf.DUMMYFUNCTION("""COMPUTED_VALUE"""),"[""bag""]")</f>
        <v>["bag"]</v>
      </c>
      <c r="S1742" s="148" t="str">
        <f>IFERROR(__xludf.DUMMYFUNCTION("""COMPUTED_VALUE"""),"{""select_box"":[{""typ"":""blueprint"",""id"":19344013,""val"":1},{""typ"":""blueprint"",""id"":19344014,""val"":1},{""typ"":""blueprint"",""id"":19344015,""val"":1},{""typ"":""blueprint"",""id"":19344016,""val"":1}]}")</f>
        <v>{"select_box":[{"typ":"blueprint","id":19344013,"val":1},{"typ":"blueprint","id":19344014,"val":1},{"typ":"blueprint","id":19344015,"val":1},{"typ":"blueprint","id":19344016,"val":1}]}</v>
      </c>
      <c r="T1742" s="148">
        <f>IFERROR(__xludf.DUMMYFUNCTION("""COMPUTED_VALUE"""),-1.0)</f>
        <v>-1</v>
      </c>
      <c r="U1742" s="148">
        <f>IFERROR(__xludf.DUMMYFUNCTION("""COMPUTED_VALUE"""),0.0)</f>
        <v>0</v>
      </c>
      <c r="V1742" s="148" t="str">
        <f>IFERROR(__xludf.DUMMYFUNCTION("""COMPUTED_VALUE"""),"[]")</f>
        <v>[]</v>
      </c>
      <c r="W1742" s="148">
        <f>IFERROR(__xludf.DUMMYFUNCTION("""COMPUTED_VALUE"""),1.1741004E7)</f>
        <v>11741004</v>
      </c>
      <c r="X1742" s="148">
        <f>IFERROR(__xludf.DUMMYFUNCTION("""COMPUTED_VALUE"""),0.0)</f>
        <v>0</v>
      </c>
      <c r="Y1742" s="148">
        <f>IFERROR(__xludf.DUMMYFUNCTION("""COMPUTED_VALUE"""),0.0)</f>
        <v>0</v>
      </c>
      <c r="Z1742" s="148"/>
    </row>
    <row r="1743">
      <c r="A1743" s="148">
        <f>IFERROR(__xludf.DUMMYFUNCTION("""COMPUTED_VALUE"""),1.1117402E7)</f>
        <v>11117402</v>
      </c>
      <c r="B1743" s="148" t="str">
        <f>IFERROR(__xludf.DUMMYFUNCTION("""COMPUTED_VALUE"""),"合成挖矿-活动研究药水（购买后变为rss）100")</f>
        <v>合成挖矿-活动研究药水（购买后变为rss）100</v>
      </c>
      <c r="C1743" s="148"/>
      <c r="D1743" s="148" t="str">
        <f>IFERROR(__xludf.DUMMYFUNCTION("""COMPUTED_VALUE"""),"metro_minigame_rss_event")</f>
        <v>metro_minigame_rss_event</v>
      </c>
      <c r="E1743" s="148">
        <f>IFERROR(__xludf.DUMMYFUNCTION("""COMPUTED_VALUE"""),0.0)</f>
        <v>0</v>
      </c>
      <c r="F1743" s="148">
        <f>IFERROR(__xludf.DUMMYFUNCTION("""COMPUTED_VALUE"""),0.0)</f>
        <v>0</v>
      </c>
      <c r="G1743" s="148">
        <f>IFERROR(__xludf.DUMMYFUNCTION("""COMPUTED_VALUE"""),1.5116261E7)</f>
        <v>15116261</v>
      </c>
      <c r="H1743" s="148">
        <f>IFERROR(__xludf.DUMMYFUNCTION("""COMPUTED_VALUE"""),1.5112562E7)</f>
        <v>15112562</v>
      </c>
      <c r="I1743" s="148" t="str">
        <f>IFERROR(__xludf.DUMMYFUNCTION("""COMPUTED_VALUE"""),"{""typ"":""lc"",""txt"":""LC_ITEM_rss_upper_show"",""args"":[{""typ"":""int"",""val"":100}]}")</f>
        <v>{"typ":"lc","txt":"LC_ITEM_rss_upper_show","args":[{"typ":"int","val":100}]}</v>
      </c>
      <c r="J1743" s="148" t="str">
        <f>IFERROR(__xludf.DUMMYFUNCTION("""COMPUTED_VALUE"""),"{""typ"":""lc"",""txt"":""LC_METRO_actv_add_liquid_name"",""args"":[{""typ"":""int"",""val"":100}]}")</f>
        <v>{"typ":"lc","txt":"LC_METRO_actv_add_liquid_name","args":[{"typ":"int","val":100}]}</v>
      </c>
      <c r="K1743" s="148" t="str">
        <f>IFERROR(__xludf.DUMMYFUNCTION("""COMPUTED_VALUE"""),"{""typ"":""lc"",""txt"":""LC_METRO_actv_add_liquid_desc"",""args"":[{""typ"":""int"",""val"":100}]}")</f>
        <v>{"typ":"lc","txt":"LC_METRO_actv_add_liquid_desc","args":[{"typ":"int","val":100}]}</v>
      </c>
      <c r="L1743" s="148" t="str">
        <f>IFERROR(__xludf.DUMMYFUNCTION("""COMPUTED_VALUE"""),"{""typ"":""lc"",""txt"":""LC_METRO_actv_add_liquid_usedtip"",""args"":[{""typ"":""int"",""val"":100}]}")</f>
        <v>{"typ":"lc","txt":"LC_METRO_actv_add_liquid_usedtip","args":[{"typ":"int","val":100}]}</v>
      </c>
      <c r="M1743" s="148">
        <f>IFERROR(__xludf.DUMMYFUNCTION("""COMPUTED_VALUE"""),10.0)</f>
        <v>10</v>
      </c>
      <c r="N1743" s="148">
        <f>IFERROR(__xludf.DUMMYFUNCTION("""COMPUTED_VALUE"""),9.99999999E8)</f>
        <v>999999999</v>
      </c>
      <c r="O1743" s="148">
        <f>IFERROR(__xludf.DUMMYFUNCTION("""COMPUTED_VALUE"""),9.99999999E8)</f>
        <v>999999999</v>
      </c>
      <c r="P1743" s="148">
        <f>IFERROR(__xludf.DUMMYFUNCTION("""COMPUTED_VALUE"""),9.99999999E8)</f>
        <v>999999999</v>
      </c>
      <c r="Q1743" s="148" t="str">
        <f>IFERROR(__xludf.DUMMYFUNCTION("""COMPUTED_VALUE"""),"[]")</f>
        <v>[]</v>
      </c>
      <c r="R1743" s="148" t="str">
        <f>IFERROR(__xludf.DUMMYFUNCTION("""COMPUTED_VALUE"""),"[""rss_metro_liquid_event""]")</f>
        <v>["rss_metro_liquid_event"]</v>
      </c>
      <c r="S1743" s="148" t="str">
        <f>IFERROR(__xludf.DUMMYFUNCTION("""COMPUTED_VALUE"""),"{""effect"":[{""typ"":""rss"",""id"":11141014,""val"":100}]}")</f>
        <v>{"effect":[{"typ":"rss","id":11141014,"val":100}]}</v>
      </c>
      <c r="T1743" s="148">
        <f>IFERROR(__xludf.DUMMYFUNCTION("""COMPUTED_VALUE"""),-1.0)</f>
        <v>-1</v>
      </c>
      <c r="U1743" s="148">
        <f>IFERROR(__xludf.DUMMYFUNCTION("""COMPUTED_VALUE"""),1.0)</f>
        <v>1</v>
      </c>
      <c r="V1743" s="148" t="str">
        <f>IFERROR(__xludf.DUMMYFUNCTION("""COMPUTED_VALUE"""),"[]")</f>
        <v>[]</v>
      </c>
      <c r="W1743" s="148">
        <f>IFERROR(__xludf.DUMMYFUNCTION("""COMPUTED_VALUE"""),1.174E7)</f>
        <v>11740000</v>
      </c>
      <c r="X1743" s="148">
        <f>IFERROR(__xludf.DUMMYFUNCTION("""COMPUTED_VALUE"""),0.0)</f>
        <v>0</v>
      </c>
      <c r="Y1743" s="148">
        <f>IFERROR(__xludf.DUMMYFUNCTION("""COMPUTED_VALUE"""),0.0)</f>
        <v>0</v>
      </c>
      <c r="Z1743" s="148"/>
    </row>
    <row r="1744">
      <c r="A1744" s="148">
        <f>IFERROR(__xludf.DUMMYFUNCTION("""COMPUTED_VALUE"""),1.1117403E7)</f>
        <v>11117403</v>
      </c>
      <c r="B1744" s="148" t="str">
        <f>IFERROR(__xludf.DUMMYFUNCTION("""COMPUTED_VALUE"""),"合成挖矿-活动研究药水（购买后变为rss）1000")</f>
        <v>合成挖矿-活动研究药水（购买后变为rss）1000</v>
      </c>
      <c r="C1744" s="148"/>
      <c r="D1744" s="148" t="str">
        <f>IFERROR(__xludf.DUMMYFUNCTION("""COMPUTED_VALUE"""),"metro_minigame_rss_event")</f>
        <v>metro_minigame_rss_event</v>
      </c>
      <c r="E1744" s="148">
        <f>IFERROR(__xludf.DUMMYFUNCTION("""COMPUTED_VALUE"""),0.0)</f>
        <v>0</v>
      </c>
      <c r="F1744" s="148">
        <f>IFERROR(__xludf.DUMMYFUNCTION("""COMPUTED_VALUE"""),0.0)</f>
        <v>0</v>
      </c>
      <c r="G1744" s="148">
        <f>IFERROR(__xludf.DUMMYFUNCTION("""COMPUTED_VALUE"""),1.5116261E7)</f>
        <v>15116261</v>
      </c>
      <c r="H1744" s="148">
        <f>IFERROR(__xludf.DUMMYFUNCTION("""COMPUTED_VALUE"""),1.5112563E7)</f>
        <v>15112563</v>
      </c>
      <c r="I1744" s="148" t="str">
        <f>IFERROR(__xludf.DUMMYFUNCTION("""COMPUTED_VALUE"""),"{""typ"":""lc"",""txt"":""LC_ITEM_rss_upper_show"",""args"":[{""typ"":""int"",""val"":1000}]}")</f>
        <v>{"typ":"lc","txt":"LC_ITEM_rss_upper_show","args":[{"typ":"int","val":1000}]}</v>
      </c>
      <c r="J1744" s="148" t="str">
        <f>IFERROR(__xludf.DUMMYFUNCTION("""COMPUTED_VALUE"""),"{""typ"":""lc"",""txt"":""LC_METRO_actv_add_liquid_name"",""args"":[{""typ"":""int"",""val"":1000}]}")</f>
        <v>{"typ":"lc","txt":"LC_METRO_actv_add_liquid_name","args":[{"typ":"int","val":1000}]}</v>
      </c>
      <c r="K1744" s="148" t="str">
        <f>IFERROR(__xludf.DUMMYFUNCTION("""COMPUTED_VALUE"""),"{""typ"":""lc"",""txt"":""LC_METRO_actv_add_liquid_desc"",""args"":[{""typ"":""int"",""val"":1000}]}")</f>
        <v>{"typ":"lc","txt":"LC_METRO_actv_add_liquid_desc","args":[{"typ":"int","val":1000}]}</v>
      </c>
      <c r="L1744" s="148" t="str">
        <f>IFERROR(__xludf.DUMMYFUNCTION("""COMPUTED_VALUE"""),"{""typ"":""lc"",""txt"":""LC_METRO_actv_add_liquid_usedtip"",""args"":[{""typ"":""int"",""val"":1000}]}")</f>
        <v>{"typ":"lc","txt":"LC_METRO_actv_add_liquid_usedtip","args":[{"typ":"int","val":1000}]}</v>
      </c>
      <c r="M1744" s="148">
        <f>IFERROR(__xludf.DUMMYFUNCTION("""COMPUTED_VALUE"""),90.0)</f>
        <v>90</v>
      </c>
      <c r="N1744" s="148">
        <f>IFERROR(__xludf.DUMMYFUNCTION("""COMPUTED_VALUE"""),9.99999999E8)</f>
        <v>999999999</v>
      </c>
      <c r="O1744" s="148">
        <f>IFERROR(__xludf.DUMMYFUNCTION("""COMPUTED_VALUE"""),9.99999999E8)</f>
        <v>999999999</v>
      </c>
      <c r="P1744" s="148">
        <f>IFERROR(__xludf.DUMMYFUNCTION("""COMPUTED_VALUE"""),9.99999999E8)</f>
        <v>999999999</v>
      </c>
      <c r="Q1744" s="148" t="str">
        <f>IFERROR(__xludf.DUMMYFUNCTION("""COMPUTED_VALUE"""),"[]")</f>
        <v>[]</v>
      </c>
      <c r="R1744" s="148" t="str">
        <f>IFERROR(__xludf.DUMMYFUNCTION("""COMPUTED_VALUE"""),"[""rss_metro_liquid_event""]")</f>
        <v>["rss_metro_liquid_event"]</v>
      </c>
      <c r="S1744" s="148" t="str">
        <f>IFERROR(__xludf.DUMMYFUNCTION("""COMPUTED_VALUE"""),"{""effect"":[{""typ"":""rss"",""id"":11141014,""val"":1000}]}")</f>
        <v>{"effect":[{"typ":"rss","id":11141014,"val":1000}]}</v>
      </c>
      <c r="T1744" s="148">
        <f>IFERROR(__xludf.DUMMYFUNCTION("""COMPUTED_VALUE"""),-1.0)</f>
        <v>-1</v>
      </c>
      <c r="U1744" s="148">
        <f>IFERROR(__xludf.DUMMYFUNCTION("""COMPUTED_VALUE"""),1.0)</f>
        <v>1</v>
      </c>
      <c r="V1744" s="148" t="str">
        <f>IFERROR(__xludf.DUMMYFUNCTION("""COMPUTED_VALUE"""),"[]")</f>
        <v>[]</v>
      </c>
      <c r="W1744" s="148">
        <f>IFERROR(__xludf.DUMMYFUNCTION("""COMPUTED_VALUE"""),1.174E7)</f>
        <v>11740000</v>
      </c>
      <c r="X1744" s="148">
        <f>IFERROR(__xludf.DUMMYFUNCTION("""COMPUTED_VALUE"""),0.0)</f>
        <v>0</v>
      </c>
      <c r="Y1744" s="148">
        <f>IFERROR(__xludf.DUMMYFUNCTION("""COMPUTED_VALUE"""),0.0)</f>
        <v>0</v>
      </c>
      <c r="Z1744" s="148"/>
    </row>
    <row r="1745">
      <c r="A1745" s="148">
        <f>IFERROR(__xludf.DUMMYFUNCTION("""COMPUTED_VALUE"""),1.1117404E7)</f>
        <v>11117404</v>
      </c>
      <c r="B1745" s="148" t="str">
        <f>IFERROR(__xludf.DUMMYFUNCTION("""COMPUTED_VALUE"""),"合成挖矿-活动研究药水（购买后变为rss）10000")</f>
        <v>合成挖矿-活动研究药水（购买后变为rss）10000</v>
      </c>
      <c r="C1745" s="148"/>
      <c r="D1745" s="148" t="str">
        <f>IFERROR(__xludf.DUMMYFUNCTION("""COMPUTED_VALUE"""),"metro_minigame_rss_event")</f>
        <v>metro_minigame_rss_event</v>
      </c>
      <c r="E1745" s="148">
        <f>IFERROR(__xludf.DUMMYFUNCTION("""COMPUTED_VALUE"""),0.0)</f>
        <v>0</v>
      </c>
      <c r="F1745" s="148">
        <f>IFERROR(__xludf.DUMMYFUNCTION("""COMPUTED_VALUE"""),0.0)</f>
        <v>0</v>
      </c>
      <c r="G1745" s="148">
        <f>IFERROR(__xludf.DUMMYFUNCTION("""COMPUTED_VALUE"""),1.5116261E7)</f>
        <v>15116261</v>
      </c>
      <c r="H1745" s="148">
        <f>IFERROR(__xludf.DUMMYFUNCTION("""COMPUTED_VALUE"""),1.5112564E7)</f>
        <v>15112564</v>
      </c>
      <c r="I1745" s="148" t="str">
        <f>IFERROR(__xludf.DUMMYFUNCTION("""COMPUTED_VALUE"""),"{""typ"":""lc"",""txt"":""LC_ITEM_rss_upper_show"",""args"":[{""typ"":""int"",""val"":10000}]}")</f>
        <v>{"typ":"lc","txt":"LC_ITEM_rss_upper_show","args":[{"typ":"int","val":10000}]}</v>
      </c>
      <c r="J1745" s="148" t="str">
        <f>IFERROR(__xludf.DUMMYFUNCTION("""COMPUTED_VALUE"""),"{""typ"":""lc"",""txt"":""LC_METRO_actv_add_liquid_name"",""args"":[{""typ"":""int"",""val"":10000}]}")</f>
        <v>{"typ":"lc","txt":"LC_METRO_actv_add_liquid_name","args":[{"typ":"int","val":10000}]}</v>
      </c>
      <c r="K1745" s="148" t="str">
        <f>IFERROR(__xludf.DUMMYFUNCTION("""COMPUTED_VALUE"""),"{""typ"":""lc"",""txt"":""LC_METRO_actv_add_liquid_desc"",""args"":[{""typ"":""int"",""val"":10000}]}")</f>
        <v>{"typ":"lc","txt":"LC_METRO_actv_add_liquid_desc","args":[{"typ":"int","val":10000}]}</v>
      </c>
      <c r="L1745" s="148" t="str">
        <f>IFERROR(__xludf.DUMMYFUNCTION("""COMPUTED_VALUE"""),"{""typ"":""lc"",""txt"":""LC_METRO_actv_add_liquid_usedtip"",""args"":[{""typ"":""int"",""val"":10000}]}")</f>
        <v>{"typ":"lc","txt":"LC_METRO_actv_add_liquid_usedtip","args":[{"typ":"int","val":10000}]}</v>
      </c>
      <c r="M1745" s="148">
        <f>IFERROR(__xludf.DUMMYFUNCTION("""COMPUTED_VALUE"""),850.0)</f>
        <v>850</v>
      </c>
      <c r="N1745" s="148">
        <f>IFERROR(__xludf.DUMMYFUNCTION("""COMPUTED_VALUE"""),9.99999999E8)</f>
        <v>999999999</v>
      </c>
      <c r="O1745" s="148">
        <f>IFERROR(__xludf.DUMMYFUNCTION("""COMPUTED_VALUE"""),9.99999999E8)</f>
        <v>999999999</v>
      </c>
      <c r="P1745" s="148">
        <f>IFERROR(__xludf.DUMMYFUNCTION("""COMPUTED_VALUE"""),9.99999999E8)</f>
        <v>999999999</v>
      </c>
      <c r="Q1745" s="148" t="str">
        <f>IFERROR(__xludf.DUMMYFUNCTION("""COMPUTED_VALUE"""),"[]")</f>
        <v>[]</v>
      </c>
      <c r="R1745" s="148" t="str">
        <f>IFERROR(__xludf.DUMMYFUNCTION("""COMPUTED_VALUE"""),"[""rss_metro_liquid_event""]")</f>
        <v>["rss_metro_liquid_event"]</v>
      </c>
      <c r="S1745" s="148" t="str">
        <f>IFERROR(__xludf.DUMMYFUNCTION("""COMPUTED_VALUE"""),"{""effect"":[{""typ"":""rss"",""id"":11141014,""val"":10000}]}")</f>
        <v>{"effect":[{"typ":"rss","id":11141014,"val":10000}]}</v>
      </c>
      <c r="T1745" s="148">
        <f>IFERROR(__xludf.DUMMYFUNCTION("""COMPUTED_VALUE"""),-1.0)</f>
        <v>-1</v>
      </c>
      <c r="U1745" s="148">
        <f>IFERROR(__xludf.DUMMYFUNCTION("""COMPUTED_VALUE"""),1.0)</f>
        <v>1</v>
      </c>
      <c r="V1745" s="148" t="str">
        <f>IFERROR(__xludf.DUMMYFUNCTION("""COMPUTED_VALUE"""),"[]")</f>
        <v>[]</v>
      </c>
      <c r="W1745" s="148">
        <f>IFERROR(__xludf.DUMMYFUNCTION("""COMPUTED_VALUE"""),1.174E7)</f>
        <v>11740000</v>
      </c>
      <c r="X1745" s="148">
        <f>IFERROR(__xludf.DUMMYFUNCTION("""COMPUTED_VALUE"""),0.0)</f>
        <v>0</v>
      </c>
      <c r="Y1745" s="148">
        <f>IFERROR(__xludf.DUMMYFUNCTION("""COMPUTED_VALUE"""),0.0)</f>
        <v>0</v>
      </c>
      <c r="Z1745" s="148"/>
    </row>
    <row r="1746">
      <c r="A1746" s="148">
        <f>IFERROR(__xludf.DUMMYFUNCTION("""COMPUTED_VALUE"""),1.1117405E7)</f>
        <v>11117405</v>
      </c>
      <c r="B1746" s="148" t="str">
        <f>IFERROR(__xludf.DUMMYFUNCTION("""COMPUTED_VALUE"""),"纪念扳手-拓荒节2023活动GACHA道具")</f>
        <v>纪念扳手-拓荒节2023活动GACHA道具</v>
      </c>
      <c r="C1746" s="148"/>
      <c r="D1746" s="148" t="str">
        <f>IFERROR(__xludf.DUMMYFUNCTION("""COMPUTED_VALUE"""),"event")</f>
        <v>event</v>
      </c>
      <c r="E1746" s="148">
        <f>IFERROR(__xludf.DUMMYFUNCTION("""COMPUTED_VALUE"""),0.0)</f>
        <v>0</v>
      </c>
      <c r="F1746" s="148">
        <f>IFERROR(__xludf.DUMMYFUNCTION("""COMPUTED_VALUE"""),405243.0)</f>
        <v>405243</v>
      </c>
      <c r="G1746" s="148">
        <f>IFERROR(__xludf.DUMMYFUNCTION("""COMPUTED_VALUE"""),1.5116143E7)</f>
        <v>15116143</v>
      </c>
      <c r="H1746" s="148">
        <f>IFERROR(__xludf.DUMMYFUNCTION("""COMPUTED_VALUE"""),1.5112564E7)</f>
        <v>15112564</v>
      </c>
      <c r="I1746" s="148" t="str">
        <f>IFERROR(__xludf.DUMMYFUNCTION("""COMPUTED_VALUE"""),"{}")</f>
        <v>{}</v>
      </c>
      <c r="J1746" s="148" t="str">
        <f>IFERROR(__xludf.DUMMYFUNCTION("""COMPUTED_VALUE"""),"{""typ"":""lc"",""txt"":""LC_ITEM_2023laborday_gacha_item""}")</f>
        <v>{"typ":"lc","txt":"LC_ITEM_2023laborday_gacha_item"}</v>
      </c>
      <c r="K1746" s="148" t="str">
        <f>IFERROR(__xludf.DUMMYFUNCTION("""COMPUTED_VALUE"""),"{""typ"":""lc"",""txt"":""LC_ITEM_2023laborday_gacha_item_desc""}")</f>
        <v>{"typ":"lc","txt":"LC_ITEM_2023laborday_gacha_item_desc"}</v>
      </c>
      <c r="L1746" s="148" t="str">
        <f>IFERROR(__xludf.DUMMYFUNCTION("""COMPUTED_VALUE"""),"{}")</f>
        <v>{}</v>
      </c>
      <c r="M1746" s="148">
        <f>IFERROR(__xludf.DUMMYFUNCTION("""COMPUTED_VALUE"""),700.0)</f>
        <v>700</v>
      </c>
      <c r="N1746" s="148">
        <f>IFERROR(__xludf.DUMMYFUNCTION("""COMPUTED_VALUE"""),9.99999999E8)</f>
        <v>999999999</v>
      </c>
      <c r="O1746" s="148">
        <f>IFERROR(__xludf.DUMMYFUNCTION("""COMPUTED_VALUE"""),9.99999999E8)</f>
        <v>999999999</v>
      </c>
      <c r="P1746" s="148">
        <f>IFERROR(__xludf.DUMMYFUNCTION("""COMPUTED_VALUE"""),9.99999999E8)</f>
        <v>999999999</v>
      </c>
      <c r="Q1746" s="148" t="str">
        <f>IFERROR(__xludf.DUMMYFUNCTION("""COMPUTED_VALUE"""),"[""bag_other""]")</f>
        <v>["bag_other"]</v>
      </c>
      <c r="R1746" s="148" t="str">
        <f>IFERROR(__xludf.DUMMYFUNCTION("""COMPUTED_VALUE"""),"[""bag""]")</f>
        <v>["bag"]</v>
      </c>
      <c r="S1746" s="148" t="str">
        <f>IFERROR(__xludf.DUMMYFUNCTION("""COMPUTED_VALUE"""),"{}")</f>
        <v>{}</v>
      </c>
      <c r="T1746" s="148">
        <f>IFERROR(__xludf.DUMMYFUNCTION("""COMPUTED_VALUE"""),1.0)</f>
        <v>1</v>
      </c>
      <c r="U1746" s="148">
        <f>IFERROR(__xludf.DUMMYFUNCTION("""COMPUTED_VALUE"""),0.0)</f>
        <v>0</v>
      </c>
      <c r="V1746" s="148" t="str">
        <f>IFERROR(__xludf.DUMMYFUNCTION("""COMPUTED_VALUE"""),"[]")</f>
        <v>[]</v>
      </c>
      <c r="W1746" s="148">
        <f>IFERROR(__xludf.DUMMYFUNCTION("""COMPUTED_VALUE"""),1.174E7)</f>
        <v>11740000</v>
      </c>
      <c r="X1746" s="148">
        <f>IFERROR(__xludf.DUMMYFUNCTION("""COMPUTED_VALUE"""),0.0)</f>
        <v>0</v>
      </c>
      <c r="Y1746" s="148">
        <f>IFERROR(__xludf.DUMMYFUNCTION("""COMPUTED_VALUE"""),0.0)</f>
        <v>0</v>
      </c>
      <c r="Z1746" s="148"/>
    </row>
    <row r="1747">
      <c r="A1747" s="148">
        <f>IFERROR(__xludf.DUMMYFUNCTION("""COMPUTED_VALUE"""),1.1117406E7)</f>
        <v>11117406</v>
      </c>
      <c r="B1747" s="148" t="str">
        <f>IFERROR(__xludf.DUMMYFUNCTION("""COMPUTED_VALUE"""),"主城皮肤-拓荒节2023")</f>
        <v>主城皮肤-拓荒节2023</v>
      </c>
      <c r="C1747" s="148"/>
      <c r="D1747" s="148" t="str">
        <f>IFERROR(__xludf.DUMMYFUNCTION("""COMPUTED_VALUE"""),"city_skin")</f>
        <v>city_skin</v>
      </c>
      <c r="E1747" s="148">
        <f>IFERROR(__xludf.DUMMYFUNCTION("""COMPUTED_VALUE"""),21.0)</f>
        <v>21</v>
      </c>
      <c r="F1747" s="148">
        <f>IFERROR(__xludf.DUMMYFUNCTION("""COMPUTED_VALUE"""),400106.0)</f>
        <v>400106</v>
      </c>
      <c r="G1747" s="148">
        <f>IFERROR(__xludf.DUMMYFUNCTION("""COMPUTED_VALUE"""),1.5116145E7)</f>
        <v>15116145</v>
      </c>
      <c r="H1747" s="148">
        <f>IFERROR(__xludf.DUMMYFUNCTION("""COMPUTED_VALUE"""),1.5112564E7)</f>
        <v>15112564</v>
      </c>
      <c r="I1747" s="148" t="str">
        <f>IFERROR(__xludf.DUMMYFUNCTION("""COMPUTED_VALUE"""),"{}")</f>
        <v>{}</v>
      </c>
      <c r="J1747" s="148" t="str">
        <f>IFERROR(__xludf.DUMMYFUNCTION("""COMPUTED_VALUE"""),"{""typ"":""lc"",""txt"":""LC_ITEM_2023laborday_skin_item""}")</f>
        <v>{"typ":"lc","txt":"LC_ITEM_2023laborday_skin_item"}</v>
      </c>
      <c r="K1747" s="148" t="str">
        <f>IFERROR(__xludf.DUMMYFUNCTION("""COMPUTED_VALUE"""),"{""typ"":""lc"",""txt"":""LC_ITEM_2023laborday_skin_item_desc""}")</f>
        <v>{"typ":"lc","txt":"LC_ITEM_2023laborday_skin_item_desc"}</v>
      </c>
      <c r="L1747" s="148" t="str">
        <f>IFERROR(__xludf.DUMMYFUNCTION("""COMPUTED_VALUE"""),"{""typ"":""lc"",""txt"":""LC_ITEM_city_skin_rocket_use_tips""}")</f>
        <v>{"typ":"lc","txt":"LC_ITEM_city_skin_rocket_use_tips"}</v>
      </c>
      <c r="M1747" s="148">
        <f>IFERROR(__xludf.DUMMYFUNCTION("""COMPUTED_VALUE"""),10000.0)</f>
        <v>10000</v>
      </c>
      <c r="N1747" s="148">
        <f>IFERROR(__xludf.DUMMYFUNCTION("""COMPUTED_VALUE"""),999.0)</f>
        <v>999</v>
      </c>
      <c r="O1747" s="148">
        <f>IFERROR(__xludf.DUMMYFUNCTION("""COMPUTED_VALUE"""),1.0)</f>
        <v>1</v>
      </c>
      <c r="P1747" s="148">
        <f>IFERROR(__xludf.DUMMYFUNCTION("""COMPUTED_VALUE"""),1.0)</f>
        <v>1</v>
      </c>
      <c r="Q1747" s="148" t="str">
        <f>IFERROR(__xludf.DUMMYFUNCTION("""COMPUTED_VALUE"""),"[""bag_other""]")</f>
        <v>["bag_other"]</v>
      </c>
      <c r="R1747" s="148" t="str">
        <f>IFERROR(__xludf.DUMMYFUNCTION("""COMPUTED_VALUE"""),"[""bag"",""13121017""]")</f>
        <v>["bag","13121017"]</v>
      </c>
      <c r="S1747" s="148" t="str">
        <f>IFERROR(__xludf.DUMMYFUNCTION("""COMPUTED_VALUE"""),"{""effect"":[{""typ"":""city_skin"",""id"":13121017,""val"":-1},{""typ"":""item"",""id"":11111034,""val"":10}]}")</f>
        <v>{"effect":[{"typ":"city_skin","id":13121017,"val":-1},{"typ":"item","id":11111034,"val":10}]}</v>
      </c>
      <c r="T1747" s="148">
        <f>IFERROR(__xludf.DUMMYFUNCTION("""COMPUTED_VALUE"""),-1.0)</f>
        <v>-1</v>
      </c>
      <c r="U1747" s="148">
        <f>IFERROR(__xludf.DUMMYFUNCTION("""COMPUTED_VALUE"""),0.0)</f>
        <v>0</v>
      </c>
      <c r="V1747" s="148" t="str">
        <f>IFERROR(__xludf.DUMMYFUNCTION("""COMPUTED_VALUE"""),"[]")</f>
        <v>[]</v>
      </c>
      <c r="W1747" s="148">
        <f>IFERROR(__xludf.DUMMYFUNCTION("""COMPUTED_VALUE"""),1.174E7)</f>
        <v>11740000</v>
      </c>
      <c r="X1747" s="148">
        <f>IFERROR(__xludf.DUMMYFUNCTION("""COMPUTED_VALUE"""),0.0)</f>
        <v>0</v>
      </c>
      <c r="Y1747" s="148">
        <f>IFERROR(__xludf.DUMMYFUNCTION("""COMPUTED_VALUE"""),0.0)</f>
        <v>0</v>
      </c>
      <c r="Z1747" s="148"/>
    </row>
    <row r="1748">
      <c r="A1748" s="148">
        <f>IFERROR(__xludf.DUMMYFUNCTION("""COMPUTED_VALUE"""),1.1117407E7)</f>
        <v>11117407</v>
      </c>
      <c r="B1748" s="148" t="str">
        <f>IFERROR(__xludf.DUMMYFUNCTION("""COMPUTED_VALUE"""),"主城皮肤-拓荒节2023（2天）")</f>
        <v>主城皮肤-拓荒节2023（2天）</v>
      </c>
      <c r="C1748" s="148"/>
      <c r="D1748" s="148" t="str">
        <f>IFERROR(__xludf.DUMMYFUNCTION("""COMPUTED_VALUE"""),"city_skin")</f>
        <v>city_skin</v>
      </c>
      <c r="E1748" s="148">
        <f>IFERROR(__xludf.DUMMYFUNCTION("""COMPUTED_VALUE"""),21.0)</f>
        <v>21</v>
      </c>
      <c r="F1748" s="148">
        <f>IFERROR(__xludf.DUMMYFUNCTION("""COMPUTED_VALUE"""),404201.0)</f>
        <v>404201</v>
      </c>
      <c r="G1748" s="148">
        <f>IFERROR(__xludf.DUMMYFUNCTION("""COMPUTED_VALUE"""),1.5116145E7)</f>
        <v>15116145</v>
      </c>
      <c r="H1748" s="148">
        <f>IFERROR(__xludf.DUMMYFUNCTION("""COMPUTED_VALUE"""),1.5112563E7)</f>
        <v>15112563</v>
      </c>
      <c r="I1748" s="148" t="str">
        <f>IFERROR(__xludf.DUMMYFUNCTION("""COMPUTED_VALUE"""),"{""typ"":""lc"",""txt"":""LC_ITEM_time_day_upper_show"",""args"":[{""typ"":""int"",""val"":2}]}")</f>
        <v>{"typ":"lc","txt":"LC_ITEM_time_day_upper_show","args":[{"typ":"int","val":2}]}</v>
      </c>
      <c r="J1748" s="148" t="str">
        <f>IFERROR(__xludf.DUMMYFUNCTION("""COMPUTED_VALUE"""),"{""typ"":""lc"",""txt"":""LC_ITEM_2023laborday_skin_item_2day""}")</f>
        <v>{"typ":"lc","txt":"LC_ITEM_2023laborday_skin_item_2day"}</v>
      </c>
      <c r="K1748" s="148" t="str">
        <f>IFERROR(__xludf.DUMMYFUNCTION("""COMPUTED_VALUE"""),"{""typ"":""lc"",""txt"":""LC_ITEM_2023laborday_skin_item_desc_2day""}")</f>
        <v>{"typ":"lc","txt":"LC_ITEM_2023laborday_skin_item_desc_2day"}</v>
      </c>
      <c r="L1748" s="148" t="str">
        <f>IFERROR(__xludf.DUMMYFUNCTION("""COMPUTED_VALUE"""),"{""typ"":""lc"",""txt"":""LC_ITEM_city_skin_rocket_use_tips""}")</f>
        <v>{"typ":"lc","txt":"LC_ITEM_city_skin_rocket_use_tips"}</v>
      </c>
      <c r="M1748" s="148">
        <f>IFERROR(__xludf.DUMMYFUNCTION("""COMPUTED_VALUE"""),500.0)</f>
        <v>500</v>
      </c>
      <c r="N1748" s="148">
        <f>IFERROR(__xludf.DUMMYFUNCTION("""COMPUTED_VALUE"""),999.0)</f>
        <v>999</v>
      </c>
      <c r="O1748" s="148">
        <f>IFERROR(__xludf.DUMMYFUNCTION("""COMPUTED_VALUE"""),1.0)</f>
        <v>1</v>
      </c>
      <c r="P1748" s="148">
        <f>IFERROR(__xludf.DUMMYFUNCTION("""COMPUTED_VALUE"""),1.0)</f>
        <v>1</v>
      </c>
      <c r="Q1748" s="148" t="str">
        <f>IFERROR(__xludf.DUMMYFUNCTION("""COMPUTED_VALUE"""),"[""bag_other""]")</f>
        <v>["bag_other"]</v>
      </c>
      <c r="R1748" s="148" t="str">
        <f>IFERROR(__xludf.DUMMYFUNCTION("""COMPUTED_VALUE"""),"[""bag"",""13121017""]")</f>
        <v>["bag","13121017"]</v>
      </c>
      <c r="S1748" s="148" t="str">
        <f>IFERROR(__xludf.DUMMYFUNCTION("""COMPUTED_VALUE"""),"{""effect"":[{""typ"":""city_skin"",""id"":13121017,""val"":172800000},{""typ"":""item"",""id"":11111021,""val"":1}]}")</f>
        <v>{"effect":[{"typ":"city_skin","id":13121017,"val":172800000},{"typ":"item","id":11111021,"val":1}]}</v>
      </c>
      <c r="T1748" s="148">
        <f>IFERROR(__xludf.DUMMYFUNCTION("""COMPUTED_VALUE"""),-1.0)</f>
        <v>-1</v>
      </c>
      <c r="U1748" s="148">
        <f>IFERROR(__xludf.DUMMYFUNCTION("""COMPUTED_VALUE"""),0.0)</f>
        <v>0</v>
      </c>
      <c r="V1748" s="148" t="str">
        <f>IFERROR(__xludf.DUMMYFUNCTION("""COMPUTED_VALUE"""),"[]")</f>
        <v>[]</v>
      </c>
      <c r="W1748" s="148">
        <f>IFERROR(__xludf.DUMMYFUNCTION("""COMPUTED_VALUE"""),1.174E7)</f>
        <v>11740000</v>
      </c>
      <c r="X1748" s="148">
        <f>IFERROR(__xludf.DUMMYFUNCTION("""COMPUTED_VALUE"""),0.0)</f>
        <v>0</v>
      </c>
      <c r="Y1748" s="148">
        <f>IFERROR(__xludf.DUMMYFUNCTION("""COMPUTED_VALUE"""),0.0)</f>
        <v>0</v>
      </c>
      <c r="Z1748" s="148"/>
    </row>
    <row r="1749">
      <c r="A1749" s="148">
        <f>IFERROR(__xludf.DUMMYFUNCTION("""COMPUTED_VALUE"""),1.1117408E7)</f>
        <v>11117408</v>
      </c>
      <c r="B1749" s="148" t="str">
        <f>IFERROR(__xludf.DUMMYFUNCTION("""COMPUTED_VALUE"""),"拓荒节2023gacha专用-增加内圈抽奖次数")</f>
        <v>拓荒节2023gacha专用-增加内圈抽奖次数</v>
      </c>
      <c r="C1749" s="148"/>
      <c r="D1749" s="148" t="str">
        <f>IFERROR(__xludf.DUMMYFUNCTION("""COMPUTED_VALUE"""),"event")</f>
        <v>event</v>
      </c>
      <c r="E1749" s="148">
        <f>IFERROR(__xludf.DUMMYFUNCTION("""COMPUTED_VALUE"""),0.0)</f>
        <v>0</v>
      </c>
      <c r="F1749" s="148">
        <f>IFERROR(__xludf.DUMMYFUNCTION("""COMPUTED_VALUE"""),0.0)</f>
        <v>0</v>
      </c>
      <c r="G1749" s="148">
        <f>IFERROR(__xludf.DUMMYFUNCTION("""COMPUTED_VALUE"""),1.5116146E7)</f>
        <v>15116146</v>
      </c>
      <c r="H1749" s="148">
        <f>IFERROR(__xludf.DUMMYFUNCTION("""COMPUTED_VALUE"""),1.5112564E7)</f>
        <v>15112564</v>
      </c>
      <c r="I1749" s="148" t="str">
        <f>IFERROR(__xludf.DUMMYFUNCTION("""COMPUTED_VALUE"""),"{}")</f>
        <v>{}</v>
      </c>
      <c r="J1749" s="148" t="str">
        <f>IFERROR(__xludf.DUMMYFUNCTION("""COMPUTED_VALUE"""),"{""typ"":""lc"",""txt"":""LC_ITEM_2023laborday_gacha_inner_item""}")</f>
        <v>{"typ":"lc","txt":"LC_ITEM_2023laborday_gacha_inner_item"}</v>
      </c>
      <c r="K1749" s="148" t="str">
        <f>IFERROR(__xludf.DUMMYFUNCTION("""COMPUTED_VALUE"""),"{""typ"":""lc"",""txt"":""LC_ITEM_2023laborday_gacha_inner_item_desc""}")</f>
        <v>{"typ":"lc","txt":"LC_ITEM_2023laborday_gacha_inner_item_desc"}</v>
      </c>
      <c r="L1749" s="148" t="str">
        <f>IFERROR(__xludf.DUMMYFUNCTION("""COMPUTED_VALUE"""),"{}")</f>
        <v>{}</v>
      </c>
      <c r="M1749" s="148">
        <f>IFERROR(__xludf.DUMMYFUNCTION("""COMPUTED_VALUE"""),700.0)</f>
        <v>700</v>
      </c>
      <c r="N1749" s="148">
        <f>IFERROR(__xludf.DUMMYFUNCTION("""COMPUTED_VALUE"""),9.99999999E8)</f>
        <v>999999999</v>
      </c>
      <c r="O1749" s="148">
        <f>IFERROR(__xludf.DUMMYFUNCTION("""COMPUTED_VALUE"""),9.99999999E8)</f>
        <v>999999999</v>
      </c>
      <c r="P1749" s="148">
        <f>IFERROR(__xludf.DUMMYFUNCTION("""COMPUTED_VALUE"""),9.99999999E8)</f>
        <v>999999999</v>
      </c>
      <c r="Q1749" s="148" t="str">
        <f>IFERROR(__xludf.DUMMYFUNCTION("""COMPUTED_VALUE"""),"[]")</f>
        <v>[]</v>
      </c>
      <c r="R1749" s="148" t="str">
        <f>IFERROR(__xludf.DUMMYFUNCTION("""COMPUTED_VALUE"""),"[""bag""]")</f>
        <v>["bag"]</v>
      </c>
      <c r="S1749" s="148" t="str">
        <f>IFERROR(__xludf.DUMMYFUNCTION("""COMPUTED_VALUE"""),"{}")</f>
        <v>{}</v>
      </c>
      <c r="T1749" s="148">
        <f>IFERROR(__xludf.DUMMYFUNCTION("""COMPUTED_VALUE"""),1.0)</f>
        <v>1</v>
      </c>
      <c r="U1749" s="148">
        <f>IFERROR(__xludf.DUMMYFUNCTION("""COMPUTED_VALUE"""),0.0)</f>
        <v>0</v>
      </c>
      <c r="V1749" s="148" t="str">
        <f>IFERROR(__xludf.DUMMYFUNCTION("""COMPUTED_VALUE"""),"[]")</f>
        <v>[]</v>
      </c>
      <c r="W1749" s="148">
        <f>IFERROR(__xludf.DUMMYFUNCTION("""COMPUTED_VALUE"""),1.174E7)</f>
        <v>11740000</v>
      </c>
      <c r="X1749" s="148">
        <f>IFERROR(__xludf.DUMMYFUNCTION("""COMPUTED_VALUE"""),0.0)</f>
        <v>0</v>
      </c>
      <c r="Y1749" s="148">
        <f>IFERROR(__xludf.DUMMYFUNCTION("""COMPUTED_VALUE"""),0.0)</f>
        <v>0</v>
      </c>
      <c r="Z1749" s="148"/>
    </row>
    <row r="1750">
      <c r="A1750" s="148">
        <f>IFERROR(__xludf.DUMMYFUNCTION("""COMPUTED_VALUE"""),1.1117409E7)</f>
        <v>11117409</v>
      </c>
      <c r="B1750" s="148" t="str">
        <f>IFERROR(__xludf.DUMMYFUNCTION("""COMPUTED_VALUE"""),"2023拓荒节BattlePass-初级通行证")</f>
        <v>2023拓荒节BattlePass-初级通行证</v>
      </c>
      <c r="C1750" s="148"/>
      <c r="D1750" s="148" t="str">
        <f>IFERROR(__xludf.DUMMYFUNCTION("""COMPUTED_VALUE"""),"battle_pass_card")</f>
        <v>battle_pass_card</v>
      </c>
      <c r="E1750" s="148">
        <f>IFERROR(__xludf.DUMMYFUNCTION("""COMPUTED_VALUE"""),0.0)</f>
        <v>0</v>
      </c>
      <c r="F1750" s="148">
        <f>IFERROR(__xludf.DUMMYFUNCTION("""COMPUTED_VALUE"""),0.0)</f>
        <v>0</v>
      </c>
      <c r="G1750" s="148">
        <f>IFERROR(__xludf.DUMMYFUNCTION("""COMPUTED_VALUE"""),1.5113625E7)</f>
        <v>15113625</v>
      </c>
      <c r="H1750" s="148">
        <f>IFERROR(__xludf.DUMMYFUNCTION("""COMPUTED_VALUE"""),1.5112563E7)</f>
        <v>15112563</v>
      </c>
      <c r="I1750" s="148" t="str">
        <f>IFERROR(__xludf.DUMMYFUNCTION("""COMPUTED_VALUE"""),"{}")</f>
        <v>{}</v>
      </c>
      <c r="J1750" s="148" t="str">
        <f>IFERROR(__xludf.DUMMYFUNCTION("""COMPUTED_VALUE"""),"{""typ"":""lc"",""txt"":""LC_IAP_labor_unlock_pack_1""}")</f>
        <v>{"typ":"lc","txt":"LC_IAP_labor_unlock_pack_1"}</v>
      </c>
      <c r="K1750" s="148" t="str">
        <f>IFERROR(__xludf.DUMMYFUNCTION("""COMPUTED_VALUE"""),"{}")</f>
        <v>{}</v>
      </c>
      <c r="L1750" s="148" t="str">
        <f>IFERROR(__xludf.DUMMYFUNCTION("""COMPUTED_VALUE"""),"{}")</f>
        <v>{}</v>
      </c>
      <c r="M1750" s="148">
        <f>IFERROR(__xludf.DUMMYFUNCTION("""COMPUTED_VALUE"""),10.0)</f>
        <v>10</v>
      </c>
      <c r="N1750" s="148">
        <f>IFERROR(__xludf.DUMMYFUNCTION("""COMPUTED_VALUE"""),999999.0)</f>
        <v>999999</v>
      </c>
      <c r="O1750" s="148">
        <f>IFERROR(__xludf.DUMMYFUNCTION("""COMPUTED_VALUE"""),99999.0)</f>
        <v>99999</v>
      </c>
      <c r="P1750" s="148">
        <f>IFERROR(__xludf.DUMMYFUNCTION("""COMPUTED_VALUE"""),9999.0)</f>
        <v>9999</v>
      </c>
      <c r="Q1750" s="148" t="str">
        <f>IFERROR(__xludf.DUMMYFUNCTION("""COMPUTED_VALUE"""),"[]")</f>
        <v>[]</v>
      </c>
      <c r="R1750" s="148" t="str">
        <f>IFERROR(__xludf.DUMMYFUNCTION("""COMPUTED_VALUE"""),"[]")</f>
        <v>[]</v>
      </c>
      <c r="S1750" s="148" t="str">
        <f>IFERROR(__xludf.DUMMYFUNCTION("""COMPUTED_VALUE"""),"{}")</f>
        <v>{}</v>
      </c>
      <c r="T1750" s="148">
        <f>IFERROR(__xludf.DUMMYFUNCTION("""COMPUTED_VALUE"""),-1.0)</f>
        <v>-1</v>
      </c>
      <c r="U1750" s="148">
        <f>IFERROR(__xludf.DUMMYFUNCTION("""COMPUTED_VALUE"""),1.0)</f>
        <v>1</v>
      </c>
      <c r="V1750" s="148" t="str">
        <f>IFERROR(__xludf.DUMMYFUNCTION("""COMPUTED_VALUE"""),"[]")</f>
        <v>[]</v>
      </c>
      <c r="W1750" s="148">
        <f>IFERROR(__xludf.DUMMYFUNCTION("""COMPUTED_VALUE"""),1.174E7)</f>
        <v>11740000</v>
      </c>
      <c r="X1750" s="148">
        <f>IFERROR(__xludf.DUMMYFUNCTION("""COMPUTED_VALUE"""),0.0)</f>
        <v>0</v>
      </c>
      <c r="Y1750" s="148">
        <f>IFERROR(__xludf.DUMMYFUNCTION("""COMPUTED_VALUE"""),0.0)</f>
        <v>0</v>
      </c>
      <c r="Z1750" s="148"/>
    </row>
    <row r="1751">
      <c r="A1751" s="148">
        <f>IFERROR(__xludf.DUMMYFUNCTION("""COMPUTED_VALUE"""),1.111741E7)</f>
        <v>11117410</v>
      </c>
      <c r="B1751" s="148" t="str">
        <f>IFERROR(__xludf.DUMMYFUNCTION("""COMPUTED_VALUE"""),"2023拓荒节BattlePass-高级通行证")</f>
        <v>2023拓荒节BattlePass-高级通行证</v>
      </c>
      <c r="C1751" s="148"/>
      <c r="D1751" s="148" t="str">
        <f>IFERROR(__xludf.DUMMYFUNCTION("""COMPUTED_VALUE"""),"battle_pass_card")</f>
        <v>battle_pass_card</v>
      </c>
      <c r="E1751" s="148">
        <f>IFERROR(__xludf.DUMMYFUNCTION("""COMPUTED_VALUE"""),0.0)</f>
        <v>0</v>
      </c>
      <c r="F1751" s="148">
        <f>IFERROR(__xludf.DUMMYFUNCTION("""COMPUTED_VALUE"""),0.0)</f>
        <v>0</v>
      </c>
      <c r="G1751" s="148">
        <f>IFERROR(__xludf.DUMMYFUNCTION("""COMPUTED_VALUE"""),1.5113625E7)</f>
        <v>15113625</v>
      </c>
      <c r="H1751" s="148">
        <f>IFERROR(__xludf.DUMMYFUNCTION("""COMPUTED_VALUE"""),1.5112564E7)</f>
        <v>15112564</v>
      </c>
      <c r="I1751" s="148" t="str">
        <f>IFERROR(__xludf.DUMMYFUNCTION("""COMPUTED_VALUE"""),"{}")</f>
        <v>{}</v>
      </c>
      <c r="J1751" s="148" t="str">
        <f>IFERROR(__xludf.DUMMYFUNCTION("""COMPUTED_VALUE"""),"{""typ"":""lc"",""txt"":""LC_IAP_labor_unlock_pack_2""}")</f>
        <v>{"typ":"lc","txt":"LC_IAP_labor_unlock_pack_2"}</v>
      </c>
      <c r="K1751" s="148" t="str">
        <f>IFERROR(__xludf.DUMMYFUNCTION("""COMPUTED_VALUE"""),"{}")</f>
        <v>{}</v>
      </c>
      <c r="L1751" s="148" t="str">
        <f>IFERROR(__xludf.DUMMYFUNCTION("""COMPUTED_VALUE"""),"{}")</f>
        <v>{}</v>
      </c>
      <c r="M1751" s="148">
        <f>IFERROR(__xludf.DUMMYFUNCTION("""COMPUTED_VALUE"""),10.0)</f>
        <v>10</v>
      </c>
      <c r="N1751" s="148">
        <f>IFERROR(__xludf.DUMMYFUNCTION("""COMPUTED_VALUE"""),999999.0)</f>
        <v>999999</v>
      </c>
      <c r="O1751" s="148">
        <f>IFERROR(__xludf.DUMMYFUNCTION("""COMPUTED_VALUE"""),99999.0)</f>
        <v>99999</v>
      </c>
      <c r="P1751" s="148">
        <f>IFERROR(__xludf.DUMMYFUNCTION("""COMPUTED_VALUE"""),9999.0)</f>
        <v>9999</v>
      </c>
      <c r="Q1751" s="148" t="str">
        <f>IFERROR(__xludf.DUMMYFUNCTION("""COMPUTED_VALUE"""),"[]")</f>
        <v>[]</v>
      </c>
      <c r="R1751" s="148" t="str">
        <f>IFERROR(__xludf.DUMMYFUNCTION("""COMPUTED_VALUE"""),"[]")</f>
        <v>[]</v>
      </c>
      <c r="S1751" s="148" t="str">
        <f>IFERROR(__xludf.DUMMYFUNCTION("""COMPUTED_VALUE"""),"{}")</f>
        <v>{}</v>
      </c>
      <c r="T1751" s="148">
        <f>IFERROR(__xludf.DUMMYFUNCTION("""COMPUTED_VALUE"""),-1.0)</f>
        <v>-1</v>
      </c>
      <c r="U1751" s="148">
        <f>IFERROR(__xludf.DUMMYFUNCTION("""COMPUTED_VALUE"""),1.0)</f>
        <v>1</v>
      </c>
      <c r="V1751" s="148" t="str">
        <f>IFERROR(__xludf.DUMMYFUNCTION("""COMPUTED_VALUE"""),"[]")</f>
        <v>[]</v>
      </c>
      <c r="W1751" s="148">
        <f>IFERROR(__xludf.DUMMYFUNCTION("""COMPUTED_VALUE"""),1.174E7)</f>
        <v>11740000</v>
      </c>
      <c r="X1751" s="148">
        <f>IFERROR(__xludf.DUMMYFUNCTION("""COMPUTED_VALUE"""),0.0)</f>
        <v>0</v>
      </c>
      <c r="Y1751" s="148">
        <f>IFERROR(__xludf.DUMMYFUNCTION("""COMPUTED_VALUE"""),0.0)</f>
        <v>0</v>
      </c>
      <c r="Z1751" s="148"/>
    </row>
    <row r="1752">
      <c r="A1752" s="148">
        <f>IFERROR(__xludf.DUMMYFUNCTION("""COMPUTED_VALUE"""),1.1117411E7)</f>
        <v>11117411</v>
      </c>
      <c r="B1752" s="148" t="str">
        <f>IFERROR(__xludf.DUMMYFUNCTION("""COMPUTED_VALUE"""),"纪念钻头-拓荒节2023活动BP道具")</f>
        <v>纪念钻头-拓荒节2023活动BP道具</v>
      </c>
      <c r="C1752" s="148"/>
      <c r="D1752" s="148" t="str">
        <f>IFERROR(__xludf.DUMMYFUNCTION("""COMPUTED_VALUE"""),"battle_pass_exp")</f>
        <v>battle_pass_exp</v>
      </c>
      <c r="E1752" s="148">
        <f>IFERROR(__xludf.DUMMYFUNCTION("""COMPUTED_VALUE"""),0.0)</f>
        <v>0</v>
      </c>
      <c r="F1752" s="148">
        <f>IFERROR(__xludf.DUMMYFUNCTION("""COMPUTED_VALUE"""),405217.0)</f>
        <v>405217</v>
      </c>
      <c r="G1752" s="148">
        <f>IFERROR(__xludf.DUMMYFUNCTION("""COMPUTED_VALUE"""),1.5116173E7)</f>
        <v>15116173</v>
      </c>
      <c r="H1752" s="148">
        <f>IFERROR(__xludf.DUMMYFUNCTION("""COMPUTED_VALUE"""),1.5112563E7)</f>
        <v>15112563</v>
      </c>
      <c r="I1752" s="148" t="str">
        <f>IFERROR(__xludf.DUMMYFUNCTION("""COMPUTED_VALUE"""),"{}")</f>
        <v>{}</v>
      </c>
      <c r="J1752" s="148" t="str">
        <f>IFERROR(__xludf.DUMMYFUNCTION("""COMPUTED_VALUE"""),"{""typ"":""lc"",""txt"":""LC_ITEM_labor_battlepass_event_item""}")</f>
        <v>{"typ":"lc","txt":"LC_ITEM_labor_battlepass_event_item"}</v>
      </c>
      <c r="K1752" s="148" t="str">
        <f>IFERROR(__xludf.DUMMYFUNCTION("""COMPUTED_VALUE"""),"{""typ"":""lc"",""txt"":""LC_ITEM_labor_battlepass_event_item_desc""}")</f>
        <v>{"typ":"lc","txt":"LC_ITEM_labor_battlepass_event_item_desc"}</v>
      </c>
      <c r="L1752" s="148" t="str">
        <f>IFERROR(__xludf.DUMMYFUNCTION("""COMPUTED_VALUE"""),"{}")</f>
        <v>{}</v>
      </c>
      <c r="M1752" s="148">
        <f>IFERROR(__xludf.DUMMYFUNCTION("""COMPUTED_VALUE"""),35.0)</f>
        <v>35</v>
      </c>
      <c r="N1752" s="148">
        <f>IFERROR(__xludf.DUMMYFUNCTION("""COMPUTED_VALUE"""),999999.0)</f>
        <v>999999</v>
      </c>
      <c r="O1752" s="148">
        <f>IFERROR(__xludf.DUMMYFUNCTION("""COMPUTED_VALUE"""),99999.0)</f>
        <v>99999</v>
      </c>
      <c r="P1752" s="148">
        <f>IFERROR(__xludf.DUMMYFUNCTION("""COMPUTED_VALUE"""),99999.0)</f>
        <v>99999</v>
      </c>
      <c r="Q1752" s="148" t="str">
        <f>IFERROR(__xludf.DUMMYFUNCTION("""COMPUTED_VALUE"""),"[""bag_other""]")</f>
        <v>["bag_other"]</v>
      </c>
      <c r="R1752" s="148" t="str">
        <f>IFERROR(__xludf.DUMMYFUNCTION("""COMPUTED_VALUE"""),"[""bag""]")</f>
        <v>["bag"]</v>
      </c>
      <c r="S1752" s="148" t="str">
        <f>IFERROR(__xludf.DUMMYFUNCTION("""COMPUTED_VALUE"""),"{}")</f>
        <v>{}</v>
      </c>
      <c r="T1752" s="148">
        <f>IFERROR(__xludf.DUMMYFUNCTION("""COMPUTED_VALUE"""),-1.0)</f>
        <v>-1</v>
      </c>
      <c r="U1752" s="148">
        <f>IFERROR(__xludf.DUMMYFUNCTION("""COMPUTED_VALUE"""),0.0)</f>
        <v>0</v>
      </c>
      <c r="V1752" s="148" t="str">
        <f>IFERROR(__xludf.DUMMYFUNCTION("""COMPUTED_VALUE"""),"[]")</f>
        <v>[]</v>
      </c>
      <c r="W1752" s="148">
        <f>IFERROR(__xludf.DUMMYFUNCTION("""COMPUTED_VALUE"""),1.174E7)</f>
        <v>11740000</v>
      </c>
      <c r="X1752" s="148">
        <f>IFERROR(__xludf.DUMMYFUNCTION("""COMPUTED_VALUE"""),0.0)</f>
        <v>0</v>
      </c>
      <c r="Y1752" s="148">
        <f>IFERROR(__xludf.DUMMYFUNCTION("""COMPUTED_VALUE"""),0.0)</f>
        <v>0</v>
      </c>
      <c r="Z1752" s="148"/>
    </row>
    <row r="1753">
      <c r="A1753" s="148">
        <f>IFERROR(__xludf.DUMMYFUNCTION("""COMPUTED_VALUE"""),1.1117412E7)</f>
        <v>11117412</v>
      </c>
      <c r="B1753" s="148" t="str">
        <f>IFERROR(__xludf.DUMMYFUNCTION("""COMPUTED_VALUE"""),"拓荒节2023活动专用-增加次数道具")</f>
        <v>拓荒节2023活动专用-增加次数道具</v>
      </c>
      <c r="C1753" s="148"/>
      <c r="D1753" s="148" t="str">
        <f>IFERROR(__xludf.DUMMYFUNCTION("""COMPUTED_VALUE"""),"event_progress")</f>
        <v>event_progress</v>
      </c>
      <c r="E1753" s="148">
        <f>IFERROR(__xludf.DUMMYFUNCTION("""COMPUTED_VALUE"""),0.0)</f>
        <v>0</v>
      </c>
      <c r="F1753" s="148">
        <f>IFERROR(__xludf.DUMMYFUNCTION("""COMPUTED_VALUE"""),0.0)</f>
        <v>0</v>
      </c>
      <c r="G1753" s="148">
        <f>IFERROR(__xludf.DUMMYFUNCTION("""COMPUTED_VALUE"""),1.5113732E7)</f>
        <v>15113732</v>
      </c>
      <c r="H1753" s="148">
        <f>IFERROR(__xludf.DUMMYFUNCTION("""COMPUTED_VALUE"""),1.5112563E7)</f>
        <v>15112563</v>
      </c>
      <c r="I1753" s="148" t="str">
        <f>IFERROR(__xludf.DUMMYFUNCTION("""COMPUTED_VALUE"""),"{}")</f>
        <v>{}</v>
      </c>
      <c r="J1753" s="148" t="str">
        <f>IFERROR(__xludf.DUMMYFUNCTION("""COMPUTED_VALUE"""),"{}")</f>
        <v>{}</v>
      </c>
      <c r="K1753" s="148" t="str">
        <f>IFERROR(__xludf.DUMMYFUNCTION("""COMPUTED_VALUE"""),"{}")</f>
        <v>{}</v>
      </c>
      <c r="L1753" s="148" t="str">
        <f>IFERROR(__xludf.DUMMYFUNCTION("""COMPUTED_VALUE"""),"{}")</f>
        <v>{}</v>
      </c>
      <c r="M1753" s="148">
        <f>IFERROR(__xludf.DUMMYFUNCTION("""COMPUTED_VALUE"""),1.0)</f>
        <v>1</v>
      </c>
      <c r="N1753" s="148">
        <f>IFERROR(__xludf.DUMMYFUNCTION("""COMPUTED_VALUE"""),999999.0)</f>
        <v>999999</v>
      </c>
      <c r="O1753" s="148">
        <f>IFERROR(__xludf.DUMMYFUNCTION("""COMPUTED_VALUE"""),99999.0)</f>
        <v>99999</v>
      </c>
      <c r="P1753" s="148">
        <f>IFERROR(__xludf.DUMMYFUNCTION("""COMPUTED_VALUE"""),9999.0)</f>
        <v>9999</v>
      </c>
      <c r="Q1753" s="148" t="str">
        <f>IFERROR(__xludf.DUMMYFUNCTION("""COMPUTED_VALUE"""),"[]")</f>
        <v>[]</v>
      </c>
      <c r="R1753" s="148" t="str">
        <f>IFERROR(__xludf.DUMMYFUNCTION("""COMPUTED_VALUE"""),"[]")</f>
        <v>[]</v>
      </c>
      <c r="S1753" s="148" t="str">
        <f>IFERROR(__xludf.DUMMYFUNCTION("""COMPUTED_VALUE"""),"{""effect"":[{""typ"":""event"",""id"":21121482},{""typ"":""miss_lost_reward""}]}")</f>
        <v>{"effect":[{"typ":"event","id":21121482},{"typ":"miss_lost_reward"}]}</v>
      </c>
      <c r="T1753" s="148">
        <f>IFERROR(__xludf.DUMMYFUNCTION("""COMPUTED_VALUE"""),-1.0)</f>
        <v>-1</v>
      </c>
      <c r="U1753" s="148">
        <f>IFERROR(__xludf.DUMMYFUNCTION("""COMPUTED_VALUE"""),1.0)</f>
        <v>1</v>
      </c>
      <c r="V1753" s="148" t="str">
        <f>IFERROR(__xludf.DUMMYFUNCTION("""COMPUTED_VALUE"""),"[]")</f>
        <v>[]</v>
      </c>
      <c r="W1753" s="148">
        <f>IFERROR(__xludf.DUMMYFUNCTION("""COMPUTED_VALUE"""),1.174E7)</f>
        <v>11740000</v>
      </c>
      <c r="X1753" s="148">
        <f>IFERROR(__xludf.DUMMYFUNCTION("""COMPUTED_VALUE"""),0.0)</f>
        <v>0</v>
      </c>
      <c r="Y1753" s="148">
        <f>IFERROR(__xludf.DUMMYFUNCTION("""COMPUTED_VALUE"""),0.0)</f>
        <v>0</v>
      </c>
      <c r="Z1753" s="148"/>
    </row>
    <row r="1754">
      <c r="A1754" s="148">
        <f>IFERROR(__xludf.DUMMYFUNCTION("""COMPUTED_VALUE"""),1.1117413E7)</f>
        <v>11117413</v>
      </c>
      <c r="B1754" s="148" t="str">
        <f>IFERROR(__xludf.DUMMYFUNCTION("""COMPUTED_VALUE"""),"行军特效-械动未来-1天限时")</f>
        <v>行军特效-械动未来-1天限时</v>
      </c>
      <c r="C1754" s="148"/>
      <c r="D1754" s="148" t="str">
        <f>IFERROR(__xludf.DUMMYFUNCTION("""COMPUTED_VALUE"""),"marching_effect")</f>
        <v>marching_effect</v>
      </c>
      <c r="E1754" s="148">
        <f>IFERROR(__xludf.DUMMYFUNCTION("""COMPUTED_VALUE"""),0.0)</f>
        <v>0</v>
      </c>
      <c r="F1754" s="148">
        <f>IFERROR(__xludf.DUMMYFUNCTION("""COMPUTED_VALUE"""),408200.0)</f>
        <v>408200</v>
      </c>
      <c r="G1754" s="148">
        <f>IFERROR(__xludf.DUMMYFUNCTION("""COMPUTED_VALUE"""),1.5116172E7)</f>
        <v>15116172</v>
      </c>
      <c r="H1754" s="148">
        <f>IFERROR(__xludf.DUMMYFUNCTION("""COMPUTED_VALUE"""),1.511256E7)</f>
        <v>15112560</v>
      </c>
      <c r="I1754" s="148" t="str">
        <f>IFERROR(__xludf.DUMMYFUNCTION("""COMPUTED_VALUE"""),"{""typ"":""lc"",""txt"":""LC_ITEM_time_day_upper_show"",""args"":[{""typ"":""int_unit"",""val"":1}]}")</f>
        <v>{"typ":"lc","txt":"LC_ITEM_time_day_upper_show","args":[{"typ":"int_unit","val":1}]}</v>
      </c>
      <c r="J1754" s="148" t="str">
        <f>IFERROR(__xludf.DUMMYFUNCTION("""COMPUTED_VALUE"""),"{""typ"":""lc"",""txt"":""LC_ITEM_labor_march_effect_title""}")</f>
        <v>{"typ":"lc","txt":"LC_ITEM_labor_march_effect_title"}</v>
      </c>
      <c r="K1754" s="148" t="str">
        <f>IFERROR(__xludf.DUMMYFUNCTION("""COMPUTED_VALUE"""),"{""typ"":""lc"",""txt"":""LC_ITEM_labor_march_effect_title_desc""}")</f>
        <v>{"typ":"lc","txt":"LC_ITEM_labor_march_effect_title_desc"}</v>
      </c>
      <c r="L1754" s="148" t="str">
        <f>IFERROR(__xludf.DUMMYFUNCTION("""COMPUTED_VALUE"""),"{""typ"":""lc"",""txt"":""LC_ITEM_2023_labor_bp_march_effect_use_tip_1d""}")</f>
        <v>{"typ":"lc","txt":"LC_ITEM_2023_labor_bp_march_effect_use_tip_1d"}</v>
      </c>
      <c r="M1754" s="148">
        <f>IFERROR(__xludf.DUMMYFUNCTION("""COMPUTED_VALUE"""),50.0)</f>
        <v>50</v>
      </c>
      <c r="N1754" s="148">
        <f>IFERROR(__xludf.DUMMYFUNCTION("""COMPUTED_VALUE"""),999999.0)</f>
        <v>999999</v>
      </c>
      <c r="O1754" s="148">
        <f>IFERROR(__xludf.DUMMYFUNCTION("""COMPUTED_VALUE"""),99999.0)</f>
        <v>99999</v>
      </c>
      <c r="P1754" s="148">
        <f>IFERROR(__xludf.DUMMYFUNCTION("""COMPUTED_VALUE"""),1.0)</f>
        <v>1</v>
      </c>
      <c r="Q1754" s="148" t="str">
        <f>IFERROR(__xludf.DUMMYFUNCTION("""COMPUTED_VALUE"""),"[""bag_other""]")</f>
        <v>["bag_other"]</v>
      </c>
      <c r="R1754" s="148" t="str">
        <f>IFERROR(__xludf.DUMMYFUNCTION("""COMPUTED_VALUE"""),"[""bag"",""13650108""]")</f>
        <v>["bag","13650108"]</v>
      </c>
      <c r="S1754" s="148" t="str">
        <f>IFERROR(__xludf.DUMMYFUNCTION("""COMPUTED_VALUE"""),"{""effect"":[{""typ"":""marching_effect"",""id"":13650108,""val"":86400000},{""typ"":""vm"",""id"":11151001,""val"":50}]}")</f>
        <v>{"effect":[{"typ":"marching_effect","id":13650108,"val":86400000},{"typ":"vm","id":11151001,"val":50}]}</v>
      </c>
      <c r="T1754" s="148">
        <f>IFERROR(__xludf.DUMMYFUNCTION("""COMPUTED_VALUE"""),-1.0)</f>
        <v>-1</v>
      </c>
      <c r="U1754" s="148">
        <f>IFERROR(__xludf.DUMMYFUNCTION("""COMPUTED_VALUE"""),0.0)</f>
        <v>0</v>
      </c>
      <c r="V1754" s="148" t="str">
        <f>IFERROR(__xludf.DUMMYFUNCTION("""COMPUTED_VALUE"""),"[]")</f>
        <v>[]</v>
      </c>
      <c r="W1754" s="148">
        <f>IFERROR(__xludf.DUMMYFUNCTION("""COMPUTED_VALUE"""),1.174E7)</f>
        <v>11740000</v>
      </c>
      <c r="X1754" s="148">
        <f>IFERROR(__xludf.DUMMYFUNCTION("""COMPUTED_VALUE"""),0.0)</f>
        <v>0</v>
      </c>
      <c r="Y1754" s="148">
        <f>IFERROR(__xludf.DUMMYFUNCTION("""COMPUTED_VALUE"""),0.0)</f>
        <v>0</v>
      </c>
      <c r="Z1754" s="148"/>
    </row>
    <row r="1755">
      <c r="A1755" s="148">
        <f>IFERROR(__xludf.DUMMYFUNCTION("""COMPUTED_VALUE"""),1.1117414E7)</f>
        <v>11117414</v>
      </c>
      <c r="B1755" s="148" t="str">
        <f>IFERROR(__xludf.DUMMYFUNCTION("""COMPUTED_VALUE"""),"行军特效-械动未来-3天限时")</f>
        <v>行军特效-械动未来-3天限时</v>
      </c>
      <c r="C1755" s="148"/>
      <c r="D1755" s="148" t="str">
        <f>IFERROR(__xludf.DUMMYFUNCTION("""COMPUTED_VALUE"""),"marching_effect")</f>
        <v>marching_effect</v>
      </c>
      <c r="E1755" s="148">
        <f>IFERROR(__xludf.DUMMYFUNCTION("""COMPUTED_VALUE"""),0.0)</f>
        <v>0</v>
      </c>
      <c r="F1755" s="148">
        <f>IFERROR(__xludf.DUMMYFUNCTION("""COMPUTED_VALUE"""),408199.0)</f>
        <v>408199</v>
      </c>
      <c r="G1755" s="148">
        <f>IFERROR(__xludf.DUMMYFUNCTION("""COMPUTED_VALUE"""),1.5116172E7)</f>
        <v>15116172</v>
      </c>
      <c r="H1755" s="148">
        <f>IFERROR(__xludf.DUMMYFUNCTION("""COMPUTED_VALUE"""),1.5112561E7)</f>
        <v>15112561</v>
      </c>
      <c r="I1755" s="148" t="str">
        <f>IFERROR(__xludf.DUMMYFUNCTION("""COMPUTED_VALUE"""),"{""typ"":""lc"",""txt"":""LC_ITEM_time_day_upper_show"",""args"":[{""typ"":""int_unit"",""val"":3}]}")</f>
        <v>{"typ":"lc","txt":"LC_ITEM_time_day_upper_show","args":[{"typ":"int_unit","val":3}]}</v>
      </c>
      <c r="J1755" s="148" t="str">
        <f>IFERROR(__xludf.DUMMYFUNCTION("""COMPUTED_VALUE"""),"{""typ"":""lc"",""txt"":""LC_ITEM_labor_march_effect_title""}")</f>
        <v>{"typ":"lc","txt":"LC_ITEM_labor_march_effect_title"}</v>
      </c>
      <c r="K1755" s="148" t="str">
        <f>IFERROR(__xludf.DUMMYFUNCTION("""COMPUTED_VALUE"""),"{""typ"":""lc"",""txt"":""LC_ITEM_labor_march_effect_title_desc""}")</f>
        <v>{"typ":"lc","txt":"LC_ITEM_labor_march_effect_title_desc"}</v>
      </c>
      <c r="L1755" s="148" t="str">
        <f>IFERROR(__xludf.DUMMYFUNCTION("""COMPUTED_VALUE"""),"{""typ"":""lc"",""txt"":""LC_ITEM_2023_labor_bp_march_effect_use_tip_3d""}")</f>
        <v>{"typ":"lc","txt":"LC_ITEM_2023_labor_bp_march_effect_use_tip_3d"}</v>
      </c>
      <c r="M1755" s="148">
        <f>IFERROR(__xludf.DUMMYFUNCTION("""COMPUTED_VALUE"""),200.0)</f>
        <v>200</v>
      </c>
      <c r="N1755" s="148">
        <f>IFERROR(__xludf.DUMMYFUNCTION("""COMPUTED_VALUE"""),999999.0)</f>
        <v>999999</v>
      </c>
      <c r="O1755" s="148">
        <f>IFERROR(__xludf.DUMMYFUNCTION("""COMPUTED_VALUE"""),99999.0)</f>
        <v>99999</v>
      </c>
      <c r="P1755" s="148">
        <f>IFERROR(__xludf.DUMMYFUNCTION("""COMPUTED_VALUE"""),1.0)</f>
        <v>1</v>
      </c>
      <c r="Q1755" s="148" t="str">
        <f>IFERROR(__xludf.DUMMYFUNCTION("""COMPUTED_VALUE"""),"[""bag_other""]")</f>
        <v>["bag_other"]</v>
      </c>
      <c r="R1755" s="148" t="str">
        <f>IFERROR(__xludf.DUMMYFUNCTION("""COMPUTED_VALUE"""),"[""bag"",""13650108""]")</f>
        <v>["bag","13650108"]</v>
      </c>
      <c r="S1755" s="148" t="str">
        <f>IFERROR(__xludf.DUMMYFUNCTION("""COMPUTED_VALUE"""),"{""effect"":[{""typ"":""marching_effect"",""id"":13650108,""val"":259200000},{""typ"":""vm"",""id"":11151001,""val"":200}]}")</f>
        <v>{"effect":[{"typ":"marching_effect","id":13650108,"val":259200000},{"typ":"vm","id":11151001,"val":200}]}</v>
      </c>
      <c r="T1755" s="148">
        <f>IFERROR(__xludf.DUMMYFUNCTION("""COMPUTED_VALUE"""),-1.0)</f>
        <v>-1</v>
      </c>
      <c r="U1755" s="148">
        <f>IFERROR(__xludf.DUMMYFUNCTION("""COMPUTED_VALUE"""),0.0)</f>
        <v>0</v>
      </c>
      <c r="V1755" s="148" t="str">
        <f>IFERROR(__xludf.DUMMYFUNCTION("""COMPUTED_VALUE"""),"[]")</f>
        <v>[]</v>
      </c>
      <c r="W1755" s="148">
        <f>IFERROR(__xludf.DUMMYFUNCTION("""COMPUTED_VALUE"""),1.174E7)</f>
        <v>11740000</v>
      </c>
      <c r="X1755" s="148">
        <f>IFERROR(__xludf.DUMMYFUNCTION("""COMPUTED_VALUE"""),0.0)</f>
        <v>0</v>
      </c>
      <c r="Y1755" s="148">
        <f>IFERROR(__xludf.DUMMYFUNCTION("""COMPUTED_VALUE"""),0.0)</f>
        <v>0</v>
      </c>
      <c r="Z1755" s="148"/>
    </row>
    <row r="1756">
      <c r="A1756" s="148">
        <f>IFERROR(__xludf.DUMMYFUNCTION("""COMPUTED_VALUE"""),1.1117415E7)</f>
        <v>11117415</v>
      </c>
      <c r="B1756" s="148" t="str">
        <f>IFERROR(__xludf.DUMMYFUNCTION("""COMPUTED_VALUE"""),"行军特效-械动未来-7天限时")</f>
        <v>行军特效-械动未来-7天限时</v>
      </c>
      <c r="C1756" s="148"/>
      <c r="D1756" s="148" t="str">
        <f>IFERROR(__xludf.DUMMYFUNCTION("""COMPUTED_VALUE"""),"marching_effect")</f>
        <v>marching_effect</v>
      </c>
      <c r="E1756" s="148">
        <f>IFERROR(__xludf.DUMMYFUNCTION("""COMPUTED_VALUE"""),0.0)</f>
        <v>0</v>
      </c>
      <c r="F1756" s="148">
        <f>IFERROR(__xludf.DUMMYFUNCTION("""COMPUTED_VALUE"""),408198.0)</f>
        <v>408198</v>
      </c>
      <c r="G1756" s="148">
        <f>IFERROR(__xludf.DUMMYFUNCTION("""COMPUTED_VALUE"""),1.5116172E7)</f>
        <v>15116172</v>
      </c>
      <c r="H1756" s="148">
        <f>IFERROR(__xludf.DUMMYFUNCTION("""COMPUTED_VALUE"""),1.5112562E7)</f>
        <v>15112562</v>
      </c>
      <c r="I1756" s="148" t="str">
        <f>IFERROR(__xludf.DUMMYFUNCTION("""COMPUTED_VALUE"""),"{""typ"":""lc"",""txt"":""LC_ITEM_time_day_upper_show"",""args"":[{""typ"":""int_unit"",""val"":7}]}")</f>
        <v>{"typ":"lc","txt":"LC_ITEM_time_day_upper_show","args":[{"typ":"int_unit","val":7}]}</v>
      </c>
      <c r="J1756" s="148" t="str">
        <f>IFERROR(__xludf.DUMMYFUNCTION("""COMPUTED_VALUE"""),"{""typ"":""lc"",""txt"":""LC_ITEM_labor_march_effect_title""}")</f>
        <v>{"typ":"lc","txt":"LC_ITEM_labor_march_effect_title"}</v>
      </c>
      <c r="K1756" s="148" t="str">
        <f>IFERROR(__xludf.DUMMYFUNCTION("""COMPUTED_VALUE"""),"{""typ"":""lc"",""txt"":""LC_ITEM_labor_march_effect_title_desc""}")</f>
        <v>{"typ":"lc","txt":"LC_ITEM_labor_march_effect_title_desc"}</v>
      </c>
      <c r="L1756" s="148" t="str">
        <f>IFERROR(__xludf.DUMMYFUNCTION("""COMPUTED_VALUE"""),"{""typ"":""lc"",""txt"":""LC_ITEM_2023_labor_bp_march_effect_use_tip_7d""}")</f>
        <v>{"typ":"lc","txt":"LC_ITEM_2023_labor_bp_march_effect_use_tip_7d"}</v>
      </c>
      <c r="M1756" s="148">
        <f>IFERROR(__xludf.DUMMYFUNCTION("""COMPUTED_VALUE"""),500.0)</f>
        <v>500</v>
      </c>
      <c r="N1756" s="148">
        <f>IFERROR(__xludf.DUMMYFUNCTION("""COMPUTED_VALUE"""),999999.0)</f>
        <v>999999</v>
      </c>
      <c r="O1756" s="148">
        <f>IFERROR(__xludf.DUMMYFUNCTION("""COMPUTED_VALUE"""),99999.0)</f>
        <v>99999</v>
      </c>
      <c r="P1756" s="148">
        <f>IFERROR(__xludf.DUMMYFUNCTION("""COMPUTED_VALUE"""),1.0)</f>
        <v>1</v>
      </c>
      <c r="Q1756" s="148" t="str">
        <f>IFERROR(__xludf.DUMMYFUNCTION("""COMPUTED_VALUE"""),"[""bag_other""]")</f>
        <v>["bag_other"]</v>
      </c>
      <c r="R1756" s="148" t="str">
        <f>IFERROR(__xludf.DUMMYFUNCTION("""COMPUTED_VALUE"""),"[""bag"",""13650108""]")</f>
        <v>["bag","13650108"]</v>
      </c>
      <c r="S1756" s="148" t="str">
        <f>IFERROR(__xludf.DUMMYFUNCTION("""COMPUTED_VALUE"""),"{""effect"":[{""typ"":""marching_effect"",""id"":13650108,""val"":604800000},{""typ"":""vm"",""id"":11151001,""val"":500}]}")</f>
        <v>{"effect":[{"typ":"marching_effect","id":13650108,"val":604800000},{"typ":"vm","id":11151001,"val":500}]}</v>
      </c>
      <c r="T1756" s="148">
        <f>IFERROR(__xludf.DUMMYFUNCTION("""COMPUTED_VALUE"""),-1.0)</f>
        <v>-1</v>
      </c>
      <c r="U1756" s="148">
        <f>IFERROR(__xludf.DUMMYFUNCTION("""COMPUTED_VALUE"""),0.0)</f>
        <v>0</v>
      </c>
      <c r="V1756" s="148" t="str">
        <f>IFERROR(__xludf.DUMMYFUNCTION("""COMPUTED_VALUE"""),"[]")</f>
        <v>[]</v>
      </c>
      <c r="W1756" s="148">
        <f>IFERROR(__xludf.DUMMYFUNCTION("""COMPUTED_VALUE"""),1.174E7)</f>
        <v>11740000</v>
      </c>
      <c r="X1756" s="148">
        <f>IFERROR(__xludf.DUMMYFUNCTION("""COMPUTED_VALUE"""),0.0)</f>
        <v>0</v>
      </c>
      <c r="Y1756" s="148">
        <f>IFERROR(__xludf.DUMMYFUNCTION("""COMPUTED_VALUE"""),0.0)</f>
        <v>0</v>
      </c>
      <c r="Z1756" s="148"/>
    </row>
    <row r="1757">
      <c r="A1757" s="148">
        <f>IFERROR(__xludf.DUMMYFUNCTION("""COMPUTED_VALUE"""),1.1117416E7)</f>
        <v>11117416</v>
      </c>
      <c r="B1757" s="148" t="str">
        <f>IFERROR(__xludf.DUMMYFUNCTION("""COMPUTED_VALUE"""),"行军特效-械动未来-14天限时")</f>
        <v>行军特效-械动未来-14天限时</v>
      </c>
      <c r="C1757" s="148"/>
      <c r="D1757" s="148" t="str">
        <f>IFERROR(__xludf.DUMMYFUNCTION("""COMPUTED_VALUE"""),"marching_effect")</f>
        <v>marching_effect</v>
      </c>
      <c r="E1757" s="148">
        <f>IFERROR(__xludf.DUMMYFUNCTION("""COMPUTED_VALUE"""),0.0)</f>
        <v>0</v>
      </c>
      <c r="F1757" s="148">
        <f>IFERROR(__xludf.DUMMYFUNCTION("""COMPUTED_VALUE"""),408197.0)</f>
        <v>408197</v>
      </c>
      <c r="G1757" s="148">
        <f>IFERROR(__xludf.DUMMYFUNCTION("""COMPUTED_VALUE"""),1.5116172E7)</f>
        <v>15116172</v>
      </c>
      <c r="H1757" s="148">
        <f>IFERROR(__xludf.DUMMYFUNCTION("""COMPUTED_VALUE"""),1.5112563E7)</f>
        <v>15112563</v>
      </c>
      <c r="I1757" s="148" t="str">
        <f>IFERROR(__xludf.DUMMYFUNCTION("""COMPUTED_VALUE"""),"{""typ"":""lc"",""txt"":""LC_ITEM_time_day_upper_show"",""args"":[{""typ"":""int_unit"",""val"":14}]}")</f>
        <v>{"typ":"lc","txt":"LC_ITEM_time_day_upper_show","args":[{"typ":"int_unit","val":14}]}</v>
      </c>
      <c r="J1757" s="148" t="str">
        <f>IFERROR(__xludf.DUMMYFUNCTION("""COMPUTED_VALUE"""),"{""typ"":""lc"",""txt"":""LC_ITEM_labor_march_effect_title""}")</f>
        <v>{"typ":"lc","txt":"LC_ITEM_labor_march_effect_title"}</v>
      </c>
      <c r="K1757" s="148" t="str">
        <f>IFERROR(__xludf.DUMMYFUNCTION("""COMPUTED_VALUE"""),"{""typ"":""lc"",""txt"":""LC_ITEM_labor_march_effect_title_desc""}")</f>
        <v>{"typ":"lc","txt":"LC_ITEM_labor_march_effect_title_desc"}</v>
      </c>
      <c r="L1757" s="148" t="str">
        <f>IFERROR(__xludf.DUMMYFUNCTION("""COMPUTED_VALUE"""),"{""typ"":""lc"",""txt"":""LC_ITEM_2023_labor_bp_march_effect_use_tip_14d""}")</f>
        <v>{"typ":"lc","txt":"LC_ITEM_2023_labor_bp_march_effect_use_tip_14d"}</v>
      </c>
      <c r="M1757" s="148">
        <f>IFERROR(__xludf.DUMMYFUNCTION("""COMPUTED_VALUE"""),1000.0)</f>
        <v>1000</v>
      </c>
      <c r="N1757" s="148">
        <f>IFERROR(__xludf.DUMMYFUNCTION("""COMPUTED_VALUE"""),999999.0)</f>
        <v>999999</v>
      </c>
      <c r="O1757" s="148">
        <f>IFERROR(__xludf.DUMMYFUNCTION("""COMPUTED_VALUE"""),99999.0)</f>
        <v>99999</v>
      </c>
      <c r="P1757" s="148">
        <f>IFERROR(__xludf.DUMMYFUNCTION("""COMPUTED_VALUE"""),1.0)</f>
        <v>1</v>
      </c>
      <c r="Q1757" s="148" t="str">
        <f>IFERROR(__xludf.DUMMYFUNCTION("""COMPUTED_VALUE"""),"[""bag_other""]")</f>
        <v>["bag_other"]</v>
      </c>
      <c r="R1757" s="148" t="str">
        <f>IFERROR(__xludf.DUMMYFUNCTION("""COMPUTED_VALUE"""),"[""bag"",""13650108""]")</f>
        <v>["bag","13650108"]</v>
      </c>
      <c r="S1757" s="148" t="str">
        <f>IFERROR(__xludf.DUMMYFUNCTION("""COMPUTED_VALUE"""),"{""effect"":[{""typ"":""marching_effect"",""id"":13650108,""val"":1209600000},{""typ"":""vm"",""id"":11151001,""val"":1000}]}")</f>
        <v>{"effect":[{"typ":"marching_effect","id":13650108,"val":1209600000},{"typ":"vm","id":11151001,"val":1000}]}</v>
      </c>
      <c r="T1757" s="148">
        <f>IFERROR(__xludf.DUMMYFUNCTION("""COMPUTED_VALUE"""),-1.0)</f>
        <v>-1</v>
      </c>
      <c r="U1757" s="148">
        <f>IFERROR(__xludf.DUMMYFUNCTION("""COMPUTED_VALUE"""),0.0)</f>
        <v>0</v>
      </c>
      <c r="V1757" s="148" t="str">
        <f>IFERROR(__xludf.DUMMYFUNCTION("""COMPUTED_VALUE"""),"[]")</f>
        <v>[]</v>
      </c>
      <c r="W1757" s="148">
        <f>IFERROR(__xludf.DUMMYFUNCTION("""COMPUTED_VALUE"""),1.174E7)</f>
        <v>11740000</v>
      </c>
      <c r="X1757" s="148">
        <f>IFERROR(__xludf.DUMMYFUNCTION("""COMPUTED_VALUE"""),0.0)</f>
        <v>0</v>
      </c>
      <c r="Y1757" s="148">
        <f>IFERROR(__xludf.DUMMYFUNCTION("""COMPUTED_VALUE"""),0.0)</f>
        <v>0</v>
      </c>
      <c r="Z1757" s="148"/>
    </row>
    <row r="1758">
      <c r="A1758" s="148">
        <f>IFERROR(__xludf.DUMMYFUNCTION("""COMPUTED_VALUE"""),1.1117417E7)</f>
        <v>11117417</v>
      </c>
      <c r="B1758" s="148" t="str">
        <f>IFERROR(__xludf.DUMMYFUNCTION("""COMPUTED_VALUE"""),"行军特效-械动未来-30天限时")</f>
        <v>行军特效-械动未来-30天限时</v>
      </c>
      <c r="C1758" s="148"/>
      <c r="D1758" s="148" t="str">
        <f>IFERROR(__xludf.DUMMYFUNCTION("""COMPUTED_VALUE"""),"marching_effect")</f>
        <v>marching_effect</v>
      </c>
      <c r="E1758" s="148">
        <f>IFERROR(__xludf.DUMMYFUNCTION("""COMPUTED_VALUE"""),0.0)</f>
        <v>0</v>
      </c>
      <c r="F1758" s="148">
        <f>IFERROR(__xludf.DUMMYFUNCTION("""COMPUTED_VALUE"""),408196.0)</f>
        <v>408196</v>
      </c>
      <c r="G1758" s="148">
        <f>IFERROR(__xludf.DUMMYFUNCTION("""COMPUTED_VALUE"""),1.5116172E7)</f>
        <v>15116172</v>
      </c>
      <c r="H1758" s="148">
        <f>IFERROR(__xludf.DUMMYFUNCTION("""COMPUTED_VALUE"""),1.5112563E7)</f>
        <v>15112563</v>
      </c>
      <c r="I1758" s="148" t="str">
        <f>IFERROR(__xludf.DUMMYFUNCTION("""COMPUTED_VALUE"""),"{""typ"":""lc"",""txt"":""LC_ITEM_time_day_upper_show"",""args"":[{""typ"":""int_unit"",""val"":30}]}")</f>
        <v>{"typ":"lc","txt":"LC_ITEM_time_day_upper_show","args":[{"typ":"int_unit","val":30}]}</v>
      </c>
      <c r="J1758" s="148" t="str">
        <f>IFERROR(__xludf.DUMMYFUNCTION("""COMPUTED_VALUE"""),"{""typ"":""lc"",""txt"":""LC_ITEM_labor_march_effect_title""}")</f>
        <v>{"typ":"lc","txt":"LC_ITEM_labor_march_effect_title"}</v>
      </c>
      <c r="K1758" s="148" t="str">
        <f>IFERROR(__xludf.DUMMYFUNCTION("""COMPUTED_VALUE"""),"{""typ"":""lc"",""txt"":""LC_ITEM_labor_march_effect_title_desc""}")</f>
        <v>{"typ":"lc","txt":"LC_ITEM_labor_march_effect_title_desc"}</v>
      </c>
      <c r="L1758" s="148" t="str">
        <f>IFERROR(__xludf.DUMMYFUNCTION("""COMPUTED_VALUE"""),"{""typ"":""lc"",""txt"":""LC_ITEM_2023_labor_bp_march_effect_use_tip_30d""}")</f>
        <v>{"typ":"lc","txt":"LC_ITEM_2023_labor_bp_march_effect_use_tip_30d"}</v>
      </c>
      <c r="M1758" s="148">
        <f>IFERROR(__xludf.DUMMYFUNCTION("""COMPUTED_VALUE"""),2000.0)</f>
        <v>2000</v>
      </c>
      <c r="N1758" s="148">
        <f>IFERROR(__xludf.DUMMYFUNCTION("""COMPUTED_VALUE"""),999999.0)</f>
        <v>999999</v>
      </c>
      <c r="O1758" s="148">
        <f>IFERROR(__xludf.DUMMYFUNCTION("""COMPUTED_VALUE"""),99999.0)</f>
        <v>99999</v>
      </c>
      <c r="P1758" s="148">
        <f>IFERROR(__xludf.DUMMYFUNCTION("""COMPUTED_VALUE"""),1.0)</f>
        <v>1</v>
      </c>
      <c r="Q1758" s="148" t="str">
        <f>IFERROR(__xludf.DUMMYFUNCTION("""COMPUTED_VALUE"""),"[""bag_other""]")</f>
        <v>["bag_other"]</v>
      </c>
      <c r="R1758" s="148" t="str">
        <f>IFERROR(__xludf.DUMMYFUNCTION("""COMPUTED_VALUE"""),"[""bag"",""13650108""]")</f>
        <v>["bag","13650108"]</v>
      </c>
      <c r="S1758" s="148" t="str">
        <f>IFERROR(__xludf.DUMMYFUNCTION("""COMPUTED_VALUE"""),"{""effect"":[{""typ"":""marching_effect"",""id"":13650108,""val"":2592000000},{""typ"":""vm"",""id"":11151001,""val"":1000}]}")</f>
        <v>{"effect":[{"typ":"marching_effect","id":13650108,"val":2592000000},{"typ":"vm","id":11151001,"val":1000}]}</v>
      </c>
      <c r="T1758" s="148">
        <f>IFERROR(__xludf.DUMMYFUNCTION("""COMPUTED_VALUE"""),-1.0)</f>
        <v>-1</v>
      </c>
      <c r="U1758" s="148">
        <f>IFERROR(__xludf.DUMMYFUNCTION("""COMPUTED_VALUE"""),0.0)</f>
        <v>0</v>
      </c>
      <c r="V1758" s="148" t="str">
        <f>IFERROR(__xludf.DUMMYFUNCTION("""COMPUTED_VALUE"""),"[]")</f>
        <v>[]</v>
      </c>
      <c r="W1758" s="148">
        <f>IFERROR(__xludf.DUMMYFUNCTION("""COMPUTED_VALUE"""),1.174E7)</f>
        <v>11740000</v>
      </c>
      <c r="X1758" s="148">
        <f>IFERROR(__xludf.DUMMYFUNCTION("""COMPUTED_VALUE"""),0.0)</f>
        <v>0</v>
      </c>
      <c r="Y1758" s="148">
        <f>IFERROR(__xludf.DUMMYFUNCTION("""COMPUTED_VALUE"""),0.0)</f>
        <v>0</v>
      </c>
      <c r="Z1758" s="148"/>
    </row>
    <row r="1759">
      <c r="A1759" s="148">
        <f>IFERROR(__xludf.DUMMYFUNCTION("""COMPUTED_VALUE"""),1.1117418E7)</f>
        <v>11117418</v>
      </c>
      <c r="B1759" s="148" t="str">
        <f>IFERROR(__xludf.DUMMYFUNCTION("""COMPUTED_VALUE"""),"行军特效械动未来-永久")</f>
        <v>行军特效械动未来-永久</v>
      </c>
      <c r="C1759" s="148"/>
      <c r="D1759" s="148" t="str">
        <f>IFERROR(__xludf.DUMMYFUNCTION("""COMPUTED_VALUE"""),"marching_effect")</f>
        <v>marching_effect</v>
      </c>
      <c r="E1759" s="148">
        <f>IFERROR(__xludf.DUMMYFUNCTION("""COMPUTED_VALUE"""),0.0)</f>
        <v>0</v>
      </c>
      <c r="F1759" s="148">
        <f>IFERROR(__xludf.DUMMYFUNCTION("""COMPUTED_VALUE"""),408195.0)</f>
        <v>408195</v>
      </c>
      <c r="G1759" s="148">
        <f>IFERROR(__xludf.DUMMYFUNCTION("""COMPUTED_VALUE"""),1.5116172E7)</f>
        <v>15116172</v>
      </c>
      <c r="H1759" s="148">
        <f>IFERROR(__xludf.DUMMYFUNCTION("""COMPUTED_VALUE"""),1.5112564E7)</f>
        <v>15112564</v>
      </c>
      <c r="I1759" s="148" t="str">
        <f>IFERROR(__xludf.DUMMYFUNCTION("""COMPUTED_VALUE"""),"{}")</f>
        <v>{}</v>
      </c>
      <c r="J1759" s="148" t="str">
        <f>IFERROR(__xludf.DUMMYFUNCTION("""COMPUTED_VALUE"""),"{""typ"":""lc"",""txt"":""LC_ITEM_labor_march_effect_title""}")</f>
        <v>{"typ":"lc","txt":"LC_ITEM_labor_march_effect_title"}</v>
      </c>
      <c r="K1759" s="148" t="str">
        <f>IFERROR(__xludf.DUMMYFUNCTION("""COMPUTED_VALUE"""),"{""typ"":""lc"",""txt"":""LC_ITEM_labor_march_effect_title_desc""}")</f>
        <v>{"typ":"lc","txt":"LC_ITEM_labor_march_effect_title_desc"}</v>
      </c>
      <c r="L1759" s="148" t="str">
        <f>IFERROR(__xludf.DUMMYFUNCTION("""COMPUTED_VALUE"""),"{""typ"":""lc"",""txt"":""LC_ITEM_2023_labor_bp_march_effect_use_tip""}")</f>
        <v>{"typ":"lc","txt":"LC_ITEM_2023_labor_bp_march_effect_use_tip"}</v>
      </c>
      <c r="M1759" s="148">
        <f>IFERROR(__xludf.DUMMYFUNCTION("""COMPUTED_VALUE"""),5000.0)</f>
        <v>5000</v>
      </c>
      <c r="N1759" s="148">
        <f>IFERROR(__xludf.DUMMYFUNCTION("""COMPUTED_VALUE"""),999999.0)</f>
        <v>999999</v>
      </c>
      <c r="O1759" s="148">
        <f>IFERROR(__xludf.DUMMYFUNCTION("""COMPUTED_VALUE"""),99999.0)</f>
        <v>99999</v>
      </c>
      <c r="P1759" s="148">
        <f>IFERROR(__xludf.DUMMYFUNCTION("""COMPUTED_VALUE"""),1.0)</f>
        <v>1</v>
      </c>
      <c r="Q1759" s="148" t="str">
        <f>IFERROR(__xludf.DUMMYFUNCTION("""COMPUTED_VALUE"""),"[""bag_other""]")</f>
        <v>["bag_other"]</v>
      </c>
      <c r="R1759" s="148" t="str">
        <f>IFERROR(__xludf.DUMMYFUNCTION("""COMPUTED_VALUE"""),"[""bag"",""13650108""]")</f>
        <v>["bag","13650108"]</v>
      </c>
      <c r="S1759" s="148" t="str">
        <f>IFERROR(__xludf.DUMMYFUNCTION("""COMPUTED_VALUE"""),"{""effect"":[{""typ"":""marching_effect"",""id"":13650108,""val"":-1},{""typ"":""vm"",""id"":11151001,""val"":2500}]}")</f>
        <v>{"effect":[{"typ":"marching_effect","id":13650108,"val":-1},{"typ":"vm","id":11151001,"val":2500}]}</v>
      </c>
      <c r="T1759" s="148">
        <f>IFERROR(__xludf.DUMMYFUNCTION("""COMPUTED_VALUE"""),-1.0)</f>
        <v>-1</v>
      </c>
      <c r="U1759" s="148">
        <f>IFERROR(__xludf.DUMMYFUNCTION("""COMPUTED_VALUE"""),0.0)</f>
        <v>0</v>
      </c>
      <c r="V1759" s="148" t="str">
        <f>IFERROR(__xludf.DUMMYFUNCTION("""COMPUTED_VALUE"""),"[]")</f>
        <v>[]</v>
      </c>
      <c r="W1759" s="148">
        <f>IFERROR(__xludf.DUMMYFUNCTION("""COMPUTED_VALUE"""),1.174E7)</f>
        <v>11740000</v>
      </c>
      <c r="X1759" s="148">
        <f>IFERROR(__xludf.DUMMYFUNCTION("""COMPUTED_VALUE"""),0.0)</f>
        <v>0</v>
      </c>
      <c r="Y1759" s="148">
        <f>IFERROR(__xludf.DUMMYFUNCTION("""COMPUTED_VALUE"""),0.0)</f>
        <v>0</v>
      </c>
      <c r="Z1759" s="148"/>
    </row>
    <row r="1760">
      <c r="A1760" s="148">
        <f>IFERROR(__xludf.DUMMYFUNCTION("""COMPUTED_VALUE"""),1.1117419E7)</f>
        <v>11117419</v>
      </c>
      <c r="B1760" s="148" t="str">
        <f>IFERROR(__xludf.DUMMYFUNCTION("""COMPUTED_VALUE"""),"铭牌-2023拓荒节铭牌")</f>
        <v>铭牌-2023拓荒节铭牌</v>
      </c>
      <c r="C1760" s="148"/>
      <c r="D1760" s="148" t="str">
        <f>IFERROR(__xludf.DUMMYFUNCTION("""COMPUTED_VALUE"""),"chat_skin")</f>
        <v>chat_skin</v>
      </c>
      <c r="E1760" s="148">
        <f>IFERROR(__xludf.DUMMYFUNCTION("""COMPUTED_VALUE"""),30.0)</f>
        <v>30</v>
      </c>
      <c r="F1760" s="148">
        <f>IFERROR(__xludf.DUMMYFUNCTION("""COMPUTED_VALUE"""),401107.0)</f>
        <v>401107</v>
      </c>
      <c r="G1760" s="148">
        <f>IFERROR(__xludf.DUMMYFUNCTION("""COMPUTED_VALUE"""),1.5116301E7)</f>
        <v>15116301</v>
      </c>
      <c r="H1760" s="148">
        <f>IFERROR(__xludf.DUMMYFUNCTION("""COMPUTED_VALUE"""),1.5112564E7)</f>
        <v>15112564</v>
      </c>
      <c r="I1760" s="148" t="str">
        <f>IFERROR(__xludf.DUMMYFUNCTION("""COMPUTED_VALUE"""),"{}")</f>
        <v>{}</v>
      </c>
      <c r="J1760" s="148" t="str">
        <f>IFERROR(__xludf.DUMMYFUNCTION("""COMPUTED_VALUE"""),"{""typ"":""lc"",""txt"":""LC_ITEM_labor_nameplate_title""}")</f>
        <v>{"typ":"lc","txt":"LC_ITEM_labor_nameplate_title"}</v>
      </c>
      <c r="K1760" s="148" t="str">
        <f>IFERROR(__xludf.DUMMYFUNCTION("""COMPUTED_VALUE"""),"{""typ"":""lc"",""txt"":""LC_ITEM_labor_nameplate_title_desc_item""}")</f>
        <v>{"typ":"lc","txt":"LC_ITEM_labor_nameplate_title_desc_item"}</v>
      </c>
      <c r="L1760" s="148" t="str">
        <f>IFERROR(__xludf.DUMMYFUNCTION("""COMPUTED_VALUE"""),"{""typ"":""lc"",""txt"":""LC_ITEM_season_extra_reward_usedtip""}")</f>
        <v>{"typ":"lc","txt":"LC_ITEM_season_extra_reward_usedtip"}</v>
      </c>
      <c r="M1760" s="148">
        <f>IFERROR(__xludf.DUMMYFUNCTION("""COMPUTED_VALUE"""),2500.0)</f>
        <v>2500</v>
      </c>
      <c r="N1760" s="148">
        <f>IFERROR(__xludf.DUMMYFUNCTION("""COMPUTED_VALUE"""),9999999.0)</f>
        <v>9999999</v>
      </c>
      <c r="O1760" s="148">
        <f>IFERROR(__xludf.DUMMYFUNCTION("""COMPUTED_VALUE"""),1.0)</f>
        <v>1</v>
      </c>
      <c r="P1760" s="148">
        <f>IFERROR(__xludf.DUMMYFUNCTION("""COMPUTED_VALUE"""),1.0)</f>
        <v>1</v>
      </c>
      <c r="Q1760" s="148" t="str">
        <f>IFERROR(__xludf.DUMMYFUNCTION("""COMPUTED_VALUE"""),"[""bag_other""]")</f>
        <v>["bag_other"]</v>
      </c>
      <c r="R1760" s="148" t="str">
        <f>IFERROR(__xludf.DUMMYFUNCTION("""COMPUTED_VALUE"""),"[""11731010"",""bag""]")</f>
        <v>["11731010","bag"]</v>
      </c>
      <c r="S1760" s="148" t="str">
        <f>IFERROR(__xludf.DUMMYFUNCTION("""COMPUTED_VALUE"""),"{""effect"":[{""typ"":""nameplate"",""id"":11731010,""val"":-1}]}")</f>
        <v>{"effect":[{"typ":"nameplate","id":11731010,"val":-1}]}</v>
      </c>
      <c r="T1760" s="148">
        <f>IFERROR(__xludf.DUMMYFUNCTION("""COMPUTED_VALUE"""),-1.0)</f>
        <v>-1</v>
      </c>
      <c r="U1760" s="148">
        <f>IFERROR(__xludf.DUMMYFUNCTION("""COMPUTED_VALUE"""),0.0)</f>
        <v>0</v>
      </c>
      <c r="V1760" s="148" t="str">
        <f>IFERROR(__xludf.DUMMYFUNCTION("""COMPUTED_VALUE"""),"[]")</f>
        <v>[]</v>
      </c>
      <c r="W1760" s="148">
        <f>IFERROR(__xludf.DUMMYFUNCTION("""COMPUTED_VALUE"""),1.174E7)</f>
        <v>11740000</v>
      </c>
      <c r="X1760" s="148">
        <f>IFERROR(__xludf.DUMMYFUNCTION("""COMPUTED_VALUE"""),0.0)</f>
        <v>0</v>
      </c>
      <c r="Y1760" s="148">
        <f>IFERROR(__xludf.DUMMYFUNCTION("""COMPUTED_VALUE"""),0.0)</f>
        <v>0</v>
      </c>
      <c r="Z1760" s="148"/>
    </row>
    <row r="1761">
      <c r="A1761" s="148">
        <f>IFERROR(__xludf.DUMMYFUNCTION("""COMPUTED_VALUE"""),1.111742E7)</f>
        <v>11117420</v>
      </c>
      <c r="B1761" s="148" t="str">
        <f>IFERROR(__xludf.DUMMYFUNCTION("""COMPUTED_VALUE"""),"拓荒节-装饰升级道具")</f>
        <v>拓荒节-装饰升级道具</v>
      </c>
      <c r="C1761" s="148"/>
      <c r="D1761" s="148" t="str">
        <f>IFERROR(__xludf.DUMMYFUNCTION("""COMPUTED_VALUE"""),"event")</f>
        <v>event</v>
      </c>
      <c r="E1761" s="148">
        <f>IFERROR(__xludf.DUMMYFUNCTION("""COMPUTED_VALUE"""),0.0)</f>
        <v>0</v>
      </c>
      <c r="F1761" s="148">
        <f>IFERROR(__xludf.DUMMYFUNCTION("""COMPUTED_VALUE"""),405243.0)</f>
        <v>405243</v>
      </c>
      <c r="G1761" s="148">
        <f>IFERROR(__xludf.DUMMYFUNCTION("""COMPUTED_VALUE"""),1.5116156E7)</f>
        <v>15116156</v>
      </c>
      <c r="H1761" s="148">
        <f>IFERROR(__xludf.DUMMYFUNCTION("""COMPUTED_VALUE"""),1.5112564E7)</f>
        <v>15112564</v>
      </c>
      <c r="I1761" s="148" t="str">
        <f>IFERROR(__xludf.DUMMYFUNCTION("""COMPUTED_VALUE"""),"{}")</f>
        <v>{}</v>
      </c>
      <c r="J1761" s="148" t="str">
        <f>IFERROR(__xludf.DUMMYFUNCTION("""COMPUTED_VALUE"""),"{""typ"":""lc"",""txt"":""LC_ITEM_labor_decoration_item_name""}")</f>
        <v>{"typ":"lc","txt":"LC_ITEM_labor_decoration_item_name"}</v>
      </c>
      <c r="K1761" s="148" t="str">
        <f>IFERROR(__xludf.DUMMYFUNCTION("""COMPUTED_VALUE"""),"{""typ"":""lc"",""txt"":""LC_ITEM_labor_decoration_item_desc""}")</f>
        <v>{"typ":"lc","txt":"LC_ITEM_labor_decoration_item_desc"}</v>
      </c>
      <c r="L1761" s="148" t="str">
        <f>IFERROR(__xludf.DUMMYFUNCTION("""COMPUTED_VALUE"""),"{}")</f>
        <v>{}</v>
      </c>
      <c r="M1761" s="148">
        <f>IFERROR(__xludf.DUMMYFUNCTION("""COMPUTED_VALUE"""),1000.0)</f>
        <v>1000</v>
      </c>
      <c r="N1761" s="148">
        <f>IFERROR(__xludf.DUMMYFUNCTION("""COMPUTED_VALUE"""),9.99999999E8)</f>
        <v>999999999</v>
      </c>
      <c r="O1761" s="148">
        <f>IFERROR(__xludf.DUMMYFUNCTION("""COMPUTED_VALUE"""),9.99999999E8)</f>
        <v>999999999</v>
      </c>
      <c r="P1761" s="148">
        <f>IFERROR(__xludf.DUMMYFUNCTION("""COMPUTED_VALUE"""),9.99999999E8)</f>
        <v>999999999</v>
      </c>
      <c r="Q1761" s="148" t="str">
        <f>IFERROR(__xludf.DUMMYFUNCTION("""COMPUTED_VALUE"""),"[""bag_other""]")</f>
        <v>["bag_other"]</v>
      </c>
      <c r="R1761" s="148" t="str">
        <f>IFERROR(__xludf.DUMMYFUNCTION("""COMPUTED_VALUE"""),"[]")</f>
        <v>[]</v>
      </c>
      <c r="S1761" s="148" t="str">
        <f>IFERROR(__xludf.DUMMYFUNCTION("""COMPUTED_VALUE"""),"{}")</f>
        <v>{}</v>
      </c>
      <c r="T1761" s="148">
        <f>IFERROR(__xludf.DUMMYFUNCTION("""COMPUTED_VALUE"""),-1.0)</f>
        <v>-1</v>
      </c>
      <c r="U1761" s="148">
        <f>IFERROR(__xludf.DUMMYFUNCTION("""COMPUTED_VALUE"""),0.0)</f>
        <v>0</v>
      </c>
      <c r="V1761" s="148" t="str">
        <f>IFERROR(__xludf.DUMMYFUNCTION("""COMPUTED_VALUE"""),"[]")</f>
        <v>[]</v>
      </c>
      <c r="W1761" s="148">
        <f>IFERROR(__xludf.DUMMYFUNCTION("""COMPUTED_VALUE"""),1.174E7)</f>
        <v>11740000</v>
      </c>
      <c r="X1761" s="148">
        <f>IFERROR(__xludf.DUMMYFUNCTION("""COMPUTED_VALUE"""),0.0)</f>
        <v>0</v>
      </c>
      <c r="Y1761" s="148">
        <f>IFERROR(__xludf.DUMMYFUNCTION("""COMPUTED_VALUE"""),0.0)</f>
        <v>0</v>
      </c>
      <c r="Z1761" s="148"/>
    </row>
    <row r="1762">
      <c r="A1762" s="148">
        <f>IFERROR(__xludf.DUMMYFUNCTION("""COMPUTED_VALUE"""),1.1117421E7)</f>
        <v>11117421</v>
      </c>
      <c r="B1762" s="148" t="str">
        <f>IFERROR(__xludf.DUMMYFUNCTION("""COMPUTED_VALUE"""),"帮派运动会旗帜展示道具")</f>
        <v>帮派运动会旗帜展示道具</v>
      </c>
      <c r="C1762" s="148"/>
      <c r="D1762" s="148" t="str">
        <f>IFERROR(__xludf.DUMMYFUNCTION("""COMPUTED_VALUE"""),"event")</f>
        <v>event</v>
      </c>
      <c r="E1762" s="148">
        <f>IFERROR(__xludf.DUMMYFUNCTION("""COMPUTED_VALUE"""),0.0)</f>
        <v>0</v>
      </c>
      <c r="F1762" s="148">
        <f>IFERROR(__xludf.DUMMYFUNCTION("""COMPUTED_VALUE"""),405243.0)</f>
        <v>405243</v>
      </c>
      <c r="G1762" s="148">
        <f>IFERROR(__xludf.DUMMYFUNCTION("""COMPUTED_VALUE"""),1.5116303E7)</f>
        <v>15116303</v>
      </c>
      <c r="H1762" s="148">
        <f>IFERROR(__xludf.DUMMYFUNCTION("""COMPUTED_VALUE"""),1.5112564E7)</f>
        <v>15112564</v>
      </c>
      <c r="I1762" s="148" t="str">
        <f>IFERROR(__xludf.DUMMYFUNCTION("""COMPUTED_VALUE"""),"{""typ"":""lc"",""txt"":""LC_ITEM_time_day_upper_show"",""args"":[{""typ"":""int_unit"",""val"":14}]}")</f>
        <v>{"typ":"lc","txt":"LC_ITEM_time_day_upper_show","args":[{"typ":"int_unit","val":14}]}</v>
      </c>
      <c r="J1762" s="148" t="str">
        <f>IFERROR(__xludf.DUMMYFUNCTION("""COMPUTED_VALUE"""),"{""typ"":""lc"",""txt"":""LC_ITEM_gangsport_skin_name""}")</f>
        <v>{"typ":"lc","txt":"LC_ITEM_gangsport_skin_name"}</v>
      </c>
      <c r="K1762" s="148" t="str">
        <f>IFERROR(__xludf.DUMMYFUNCTION("""COMPUTED_VALUE"""),"{""typ"":""lc"",""txt"":""LC_ITEM_union_skin_item_desc_1""}")</f>
        <v>{"typ":"lc","txt":"LC_ITEM_union_skin_item_desc_1"}</v>
      </c>
      <c r="L1762" s="148" t="str">
        <f>IFERROR(__xludf.DUMMYFUNCTION("""COMPUTED_VALUE"""),"{}")</f>
        <v>{}</v>
      </c>
      <c r="M1762" s="148">
        <f>IFERROR(__xludf.DUMMYFUNCTION("""COMPUTED_VALUE"""),1000.0)</f>
        <v>1000</v>
      </c>
      <c r="N1762" s="148">
        <f>IFERROR(__xludf.DUMMYFUNCTION("""COMPUTED_VALUE"""),9.99999999E8)</f>
        <v>999999999</v>
      </c>
      <c r="O1762" s="148">
        <f>IFERROR(__xludf.DUMMYFUNCTION("""COMPUTED_VALUE"""),9.99999999E8)</f>
        <v>999999999</v>
      </c>
      <c r="P1762" s="148">
        <f>IFERROR(__xludf.DUMMYFUNCTION("""COMPUTED_VALUE"""),9.99999999E8)</f>
        <v>999999999</v>
      </c>
      <c r="Q1762" s="148" t="str">
        <f>IFERROR(__xludf.DUMMYFUNCTION("""COMPUTED_VALUE"""),"[""bag_other""]")</f>
        <v>["bag_other"]</v>
      </c>
      <c r="R1762" s="148" t="str">
        <f>IFERROR(__xludf.DUMMYFUNCTION("""COMPUTED_VALUE"""),"[]")</f>
        <v>[]</v>
      </c>
      <c r="S1762" s="148" t="str">
        <f>IFERROR(__xludf.DUMMYFUNCTION("""COMPUTED_VALUE"""),"{}")</f>
        <v>{}</v>
      </c>
      <c r="T1762" s="148">
        <f>IFERROR(__xludf.DUMMYFUNCTION("""COMPUTED_VALUE"""),-1.0)</f>
        <v>-1</v>
      </c>
      <c r="U1762" s="148">
        <f>IFERROR(__xludf.DUMMYFUNCTION("""COMPUTED_VALUE"""),1.0)</f>
        <v>1</v>
      </c>
      <c r="V1762" s="148" t="str">
        <f>IFERROR(__xludf.DUMMYFUNCTION("""COMPUTED_VALUE"""),"[]")</f>
        <v>[]</v>
      </c>
      <c r="W1762" s="148">
        <f>IFERROR(__xludf.DUMMYFUNCTION("""COMPUTED_VALUE"""),1.174E7)</f>
        <v>11740000</v>
      </c>
      <c r="X1762" s="148">
        <f>IFERROR(__xludf.DUMMYFUNCTION("""COMPUTED_VALUE"""),0.0)</f>
        <v>0</v>
      </c>
      <c r="Y1762" s="148">
        <f>IFERROR(__xludf.DUMMYFUNCTION("""COMPUTED_VALUE"""),0.0)</f>
        <v>0</v>
      </c>
      <c r="Z1762" s="148"/>
    </row>
    <row r="1763">
      <c r="A1763" s="148">
        <f>IFERROR(__xludf.DUMMYFUNCTION("""COMPUTED_VALUE"""),1.1117422E7)</f>
        <v>11117422</v>
      </c>
      <c r="B1763" s="148" t="str">
        <f>IFERROR(__xludf.DUMMYFUNCTION("""COMPUTED_VALUE"""),"精密纤维（item版，ark使用）")</f>
        <v>精密纤维（item版，ark使用）</v>
      </c>
      <c r="C1763" s="148"/>
      <c r="D1763" s="148" t="str">
        <f>IFERROR(__xludf.DUMMYFUNCTION("""COMPUTED_VALUE"""),"item_asset")</f>
        <v>item_asset</v>
      </c>
      <c r="E1763" s="148">
        <f>IFERROR(__xludf.DUMMYFUNCTION("""COMPUTED_VALUE"""),19.0)</f>
        <v>19</v>
      </c>
      <c r="F1763" s="148">
        <f>IFERROR(__xludf.DUMMYFUNCTION("""COMPUTED_VALUE"""),403499.0)</f>
        <v>403499</v>
      </c>
      <c r="G1763" s="148">
        <f>IFERROR(__xludf.DUMMYFUNCTION("""COMPUTED_VALUE"""),1.5114676E7)</f>
        <v>15114676</v>
      </c>
      <c r="H1763" s="148">
        <f>IFERROR(__xludf.DUMMYFUNCTION("""COMPUTED_VALUE"""),1.5112563E7)</f>
        <v>15112563</v>
      </c>
      <c r="I1763" s="148" t="str">
        <f>IFERROR(__xludf.DUMMYFUNCTION("""COMPUTED_VALUE"""),"{}")</f>
        <v>{}</v>
      </c>
      <c r="J1763" s="148" t="str">
        <f>IFERROR(__xludf.DUMMYFUNCTION("""COMPUTED_VALUE"""),"{""typ"":""lc"",""txt"":""LC_HERO_equipment_material_name3""}")</f>
        <v>{"typ":"lc","txt":"LC_HERO_equipment_material_name3"}</v>
      </c>
      <c r="K1763" s="148" t="str">
        <f>IFERROR(__xludf.DUMMYFUNCTION("""COMPUTED_VALUE"""),"{""typ"":""lc"",""txt"":""LC_HERO_equipment_material_name3_desc""}")</f>
        <v>{"typ":"lc","txt":"LC_HERO_equipment_material_name3_desc"}</v>
      </c>
      <c r="L1763" s="148" t="str">
        <f>IFERROR(__xludf.DUMMYFUNCTION("""COMPUTED_VALUE"""),"{}")</f>
        <v>{}</v>
      </c>
      <c r="M1763" s="148">
        <f>IFERROR(__xludf.DUMMYFUNCTION("""COMPUTED_VALUE"""),20.0)</f>
        <v>20</v>
      </c>
      <c r="N1763" s="148">
        <f>IFERROR(__xludf.DUMMYFUNCTION("""COMPUTED_VALUE"""),9999999.0)</f>
        <v>9999999</v>
      </c>
      <c r="O1763" s="148">
        <f>IFERROR(__xludf.DUMMYFUNCTION("""COMPUTED_VALUE"""),99999.0)</f>
        <v>99999</v>
      </c>
      <c r="P1763" s="148">
        <f>IFERROR(__xludf.DUMMYFUNCTION("""COMPUTED_VALUE"""),99999.0)</f>
        <v>99999</v>
      </c>
      <c r="Q1763" s="148" t="str">
        <f>IFERROR(__xludf.DUMMYFUNCTION("""COMPUTED_VALUE"""),"[]")</f>
        <v>[]</v>
      </c>
      <c r="R1763" s="148" t="str">
        <f>IFERROR(__xludf.DUMMYFUNCTION("""COMPUTED_VALUE"""),"[]")</f>
        <v>[]</v>
      </c>
      <c r="S1763" s="148" t="str">
        <f>IFERROR(__xludf.DUMMYFUNCTION("""COMPUTED_VALUE"""),"{""drop"":{""typ"":""single_random"",""num"":1,""args"":[{""typ"":""material"",""id"":19345003,""num"":1,""wgt"":100}]}}")</f>
        <v>{"drop":{"typ":"single_random","num":1,"args":[{"typ":"material","id":19345003,"num":1,"wgt":100}]}}</v>
      </c>
      <c r="T1763" s="148">
        <f>IFERROR(__xludf.DUMMYFUNCTION("""COMPUTED_VALUE"""),-1.0)</f>
        <v>-1</v>
      </c>
      <c r="U1763" s="148">
        <f>IFERROR(__xludf.DUMMYFUNCTION("""COMPUTED_VALUE"""),1.0)</f>
        <v>1</v>
      </c>
      <c r="V1763" s="148" t="str">
        <f>IFERROR(__xludf.DUMMYFUNCTION("""COMPUTED_VALUE"""),"[]")</f>
        <v>[]</v>
      </c>
      <c r="W1763" s="148">
        <f>IFERROR(__xludf.DUMMYFUNCTION("""COMPUTED_VALUE"""),1.174E7)</f>
        <v>11740000</v>
      </c>
      <c r="X1763" s="148">
        <f>IFERROR(__xludf.DUMMYFUNCTION("""COMPUTED_VALUE"""),0.0)</f>
        <v>0</v>
      </c>
      <c r="Y1763" s="148">
        <f>IFERROR(__xludf.DUMMYFUNCTION("""COMPUTED_VALUE"""),0.0)</f>
        <v>0</v>
      </c>
      <c r="Z1763" s="148"/>
    </row>
    <row r="1764">
      <c r="A1764" s="148">
        <f>IFERROR(__xludf.DUMMYFUNCTION("""COMPUTED_VALUE"""),1.1117423E7)</f>
        <v>11117423</v>
      </c>
      <c r="B1764" s="148" t="str">
        <f>IFERROR(__xludf.DUMMYFUNCTION("""COMPUTED_VALUE"""),"纳米材料（item版，ark使用）")</f>
        <v>纳米材料（item版，ark使用）</v>
      </c>
      <c r="C1764" s="148"/>
      <c r="D1764" s="148" t="str">
        <f>IFERROR(__xludf.DUMMYFUNCTION("""COMPUTED_VALUE"""),"item_asset")</f>
        <v>item_asset</v>
      </c>
      <c r="E1764" s="148">
        <f>IFERROR(__xludf.DUMMYFUNCTION("""COMPUTED_VALUE"""),19.0)</f>
        <v>19</v>
      </c>
      <c r="F1764" s="148">
        <f>IFERROR(__xludf.DUMMYFUNCTION("""COMPUTED_VALUE"""),403499.0)</f>
        <v>403499</v>
      </c>
      <c r="G1764" s="148">
        <f>IFERROR(__xludf.DUMMYFUNCTION("""COMPUTED_VALUE"""),1.5114677E7)</f>
        <v>15114677</v>
      </c>
      <c r="H1764" s="148">
        <f>IFERROR(__xludf.DUMMYFUNCTION("""COMPUTED_VALUE"""),1.5112564E7)</f>
        <v>15112564</v>
      </c>
      <c r="I1764" s="148" t="str">
        <f>IFERROR(__xludf.DUMMYFUNCTION("""COMPUTED_VALUE"""),"{}")</f>
        <v>{}</v>
      </c>
      <c r="J1764" s="148" t="str">
        <f>IFERROR(__xludf.DUMMYFUNCTION("""COMPUTED_VALUE"""),"{""typ"":""lc"",""txt"":""LC_HERO_equipment_material_name4""}")</f>
        <v>{"typ":"lc","txt":"LC_HERO_equipment_material_name4"}</v>
      </c>
      <c r="K1764" s="148" t="str">
        <f>IFERROR(__xludf.DUMMYFUNCTION("""COMPUTED_VALUE"""),"{""typ"":""lc"",""txt"":""LC_HERO_equipment_material_name4_desc""}")</f>
        <v>{"typ":"lc","txt":"LC_HERO_equipment_material_name4_desc"}</v>
      </c>
      <c r="L1764" s="148" t="str">
        <f>IFERROR(__xludf.DUMMYFUNCTION("""COMPUTED_VALUE"""),"{}")</f>
        <v>{}</v>
      </c>
      <c r="M1764" s="148">
        <f>IFERROR(__xludf.DUMMYFUNCTION("""COMPUTED_VALUE"""),60.0)</f>
        <v>60</v>
      </c>
      <c r="N1764" s="148">
        <f>IFERROR(__xludf.DUMMYFUNCTION("""COMPUTED_VALUE"""),9999999.0)</f>
        <v>9999999</v>
      </c>
      <c r="O1764" s="148">
        <f>IFERROR(__xludf.DUMMYFUNCTION("""COMPUTED_VALUE"""),99999.0)</f>
        <v>99999</v>
      </c>
      <c r="P1764" s="148">
        <f>IFERROR(__xludf.DUMMYFUNCTION("""COMPUTED_VALUE"""),99999.0)</f>
        <v>99999</v>
      </c>
      <c r="Q1764" s="148" t="str">
        <f>IFERROR(__xludf.DUMMYFUNCTION("""COMPUTED_VALUE"""),"[]")</f>
        <v>[]</v>
      </c>
      <c r="R1764" s="148" t="str">
        <f>IFERROR(__xludf.DUMMYFUNCTION("""COMPUTED_VALUE"""),"[]")</f>
        <v>[]</v>
      </c>
      <c r="S1764" s="148" t="str">
        <f>IFERROR(__xludf.DUMMYFUNCTION("""COMPUTED_VALUE"""),"{""drop"":{""typ"":""single_random"",""num"":1,""args"":[{""typ"":""material"",""id"":19345004,""num"":1,""wgt"":100}]}}")</f>
        <v>{"drop":{"typ":"single_random","num":1,"args":[{"typ":"material","id":19345004,"num":1,"wgt":100}]}}</v>
      </c>
      <c r="T1764" s="148">
        <f>IFERROR(__xludf.DUMMYFUNCTION("""COMPUTED_VALUE"""),-1.0)</f>
        <v>-1</v>
      </c>
      <c r="U1764" s="148">
        <f>IFERROR(__xludf.DUMMYFUNCTION("""COMPUTED_VALUE"""),1.0)</f>
        <v>1</v>
      </c>
      <c r="V1764" s="148" t="str">
        <f>IFERROR(__xludf.DUMMYFUNCTION("""COMPUTED_VALUE"""),"[]")</f>
        <v>[]</v>
      </c>
      <c r="W1764" s="148">
        <f>IFERROR(__xludf.DUMMYFUNCTION("""COMPUTED_VALUE"""),1.174E7)</f>
        <v>11740000</v>
      </c>
      <c r="X1764" s="148">
        <f>IFERROR(__xludf.DUMMYFUNCTION("""COMPUTED_VALUE"""),0.0)</f>
        <v>0</v>
      </c>
      <c r="Y1764" s="148">
        <f>IFERROR(__xludf.DUMMYFUNCTION("""COMPUTED_VALUE"""),0.0)</f>
        <v>0</v>
      </c>
      <c r="Z1764" s="148"/>
    </row>
    <row r="1765">
      <c r="A1765" s="148">
        <f>IFERROR(__xludf.DUMMYFUNCTION("""COMPUTED_VALUE"""),1.1117424E7)</f>
        <v>11117424</v>
      </c>
      <c r="B1765" s="148" t="str">
        <f>IFERROR(__xludf.DUMMYFUNCTION("""COMPUTED_VALUE"""),"重铸矿晶（item版，ark使用）")</f>
        <v>重铸矿晶（item版，ark使用）</v>
      </c>
      <c r="C1765" s="148"/>
      <c r="D1765" s="148" t="str">
        <f>IFERROR(__xludf.DUMMYFUNCTION("""COMPUTED_VALUE"""),"item_asset")</f>
        <v>item_asset</v>
      </c>
      <c r="E1765" s="148">
        <f>IFERROR(__xludf.DUMMYFUNCTION("""COMPUTED_VALUE"""),19.0)</f>
        <v>19</v>
      </c>
      <c r="F1765" s="148">
        <f>IFERROR(__xludf.DUMMYFUNCTION("""COMPUTED_VALUE"""),403499.0)</f>
        <v>403499</v>
      </c>
      <c r="G1765" s="148">
        <f>IFERROR(__xludf.DUMMYFUNCTION("""COMPUTED_VALUE"""),1.5115904E7)</f>
        <v>15115904</v>
      </c>
      <c r="H1765" s="148">
        <f>IFERROR(__xludf.DUMMYFUNCTION("""COMPUTED_VALUE"""),1.5112564E7)</f>
        <v>15112564</v>
      </c>
      <c r="I1765" s="148" t="str">
        <f>IFERROR(__xludf.DUMMYFUNCTION("""COMPUTED_VALUE"""),"{}")</f>
        <v>{}</v>
      </c>
      <c r="J1765" s="148" t="str">
        <f>IFERROR(__xludf.DUMMYFUNCTION("""COMPUTED_VALUE"""),"{""typ"":""lc"",""txt"":""LC_ITEM_lock_rune_name1""}")</f>
        <v>{"typ":"lc","txt":"LC_ITEM_lock_rune_name1"}</v>
      </c>
      <c r="K1765" s="148" t="str">
        <f>IFERROR(__xludf.DUMMYFUNCTION("""COMPUTED_VALUE"""),"{""typ"":""lc"",""txt"":""LC_ITEM_lock_rune_desc1""}")</f>
        <v>{"typ":"lc","txt":"LC_ITEM_lock_rune_desc1"}</v>
      </c>
      <c r="L1765" s="148" t="str">
        <f>IFERROR(__xludf.DUMMYFUNCTION("""COMPUTED_VALUE"""),"{}")</f>
        <v>{}</v>
      </c>
      <c r="M1765" s="148">
        <f>IFERROR(__xludf.DUMMYFUNCTION("""COMPUTED_VALUE"""),2000.0)</f>
        <v>2000</v>
      </c>
      <c r="N1765" s="148">
        <f>IFERROR(__xludf.DUMMYFUNCTION("""COMPUTED_VALUE"""),9999999.0)</f>
        <v>9999999</v>
      </c>
      <c r="O1765" s="148">
        <f>IFERROR(__xludf.DUMMYFUNCTION("""COMPUTED_VALUE"""),99999.0)</f>
        <v>99999</v>
      </c>
      <c r="P1765" s="148">
        <f>IFERROR(__xludf.DUMMYFUNCTION("""COMPUTED_VALUE"""),99999.0)</f>
        <v>99999</v>
      </c>
      <c r="Q1765" s="148" t="str">
        <f>IFERROR(__xludf.DUMMYFUNCTION("""COMPUTED_VALUE"""),"[]")</f>
        <v>[]</v>
      </c>
      <c r="R1765" s="148" t="str">
        <f>IFERROR(__xludf.DUMMYFUNCTION("""COMPUTED_VALUE"""),"[]")</f>
        <v>[]</v>
      </c>
      <c r="S1765" s="148" t="str">
        <f>IFERROR(__xludf.DUMMYFUNCTION("""COMPUTED_VALUE"""),"{""drop"":{""typ"":""single_random"",""num"":1,""args"":[{""typ"":""lockrune"",""id"":19345010,""num"":1,""wgt"":100}]}}")</f>
        <v>{"drop":{"typ":"single_random","num":1,"args":[{"typ":"lockrune","id":19345010,"num":1,"wgt":100}]}}</v>
      </c>
      <c r="T1765" s="148">
        <f>IFERROR(__xludf.DUMMYFUNCTION("""COMPUTED_VALUE"""),-1.0)</f>
        <v>-1</v>
      </c>
      <c r="U1765" s="148">
        <f>IFERROR(__xludf.DUMMYFUNCTION("""COMPUTED_VALUE"""),1.0)</f>
        <v>1</v>
      </c>
      <c r="V1765" s="148" t="str">
        <f>IFERROR(__xludf.DUMMYFUNCTION("""COMPUTED_VALUE"""),"[]")</f>
        <v>[]</v>
      </c>
      <c r="W1765" s="148">
        <f>IFERROR(__xludf.DUMMYFUNCTION("""COMPUTED_VALUE"""),1.174E7)</f>
        <v>11740000</v>
      </c>
      <c r="X1765" s="148">
        <f>IFERROR(__xludf.DUMMYFUNCTION("""COMPUTED_VALUE"""),0.0)</f>
        <v>0</v>
      </c>
      <c r="Y1765" s="148">
        <f>IFERROR(__xludf.DUMMYFUNCTION("""COMPUTED_VALUE"""),0.0)</f>
        <v>0</v>
      </c>
      <c r="Z1765" s="148"/>
    </row>
    <row r="1766">
      <c r="A1766" s="148">
        <f>IFERROR(__xludf.DUMMYFUNCTION("""COMPUTED_VALUE"""),1.1117425E7)</f>
        <v>11117425</v>
      </c>
      <c r="B1766" s="148" t="str">
        <f>IFERROR(__xludf.DUMMYFUNCTION("""COMPUTED_VALUE"""),"高级重铸矿晶（item版，ark使用）")</f>
        <v>高级重铸矿晶（item版，ark使用）</v>
      </c>
      <c r="C1766" s="148"/>
      <c r="D1766" s="148" t="str">
        <f>IFERROR(__xludf.DUMMYFUNCTION("""COMPUTED_VALUE"""),"item_asset")</f>
        <v>item_asset</v>
      </c>
      <c r="E1766" s="148">
        <f>IFERROR(__xludf.DUMMYFUNCTION("""COMPUTED_VALUE"""),19.0)</f>
        <v>19</v>
      </c>
      <c r="F1766" s="148">
        <f>IFERROR(__xludf.DUMMYFUNCTION("""COMPUTED_VALUE"""),403499.0)</f>
        <v>403499</v>
      </c>
      <c r="G1766" s="148">
        <f>IFERROR(__xludf.DUMMYFUNCTION("""COMPUTED_VALUE"""),1.5115905E7)</f>
        <v>15115905</v>
      </c>
      <c r="H1766" s="148">
        <f>IFERROR(__xludf.DUMMYFUNCTION("""COMPUTED_VALUE"""),1.5115983E7)</f>
        <v>15115983</v>
      </c>
      <c r="I1766" s="148" t="str">
        <f>IFERROR(__xludf.DUMMYFUNCTION("""COMPUTED_VALUE"""),"{}")</f>
        <v>{}</v>
      </c>
      <c r="J1766" s="148" t="str">
        <f>IFERROR(__xludf.DUMMYFUNCTION("""COMPUTED_VALUE"""),"{""typ"":""lc"",""txt"":""LC_ITEM_lock_rune_name2""}")</f>
        <v>{"typ":"lc","txt":"LC_ITEM_lock_rune_name2"}</v>
      </c>
      <c r="K1766" s="148" t="str">
        <f>IFERROR(__xludf.DUMMYFUNCTION("""COMPUTED_VALUE"""),"{""typ"":""lc"",""txt"":""LC_ITEM_lock_rune_desc2""}")</f>
        <v>{"typ":"lc","txt":"LC_ITEM_lock_rune_desc2"}</v>
      </c>
      <c r="L1766" s="148" t="str">
        <f>IFERROR(__xludf.DUMMYFUNCTION("""COMPUTED_VALUE"""),"{}")</f>
        <v>{}</v>
      </c>
      <c r="M1766" s="148">
        <f>IFERROR(__xludf.DUMMYFUNCTION("""COMPUTED_VALUE"""),10000.0)</f>
        <v>10000</v>
      </c>
      <c r="N1766" s="148">
        <f>IFERROR(__xludf.DUMMYFUNCTION("""COMPUTED_VALUE"""),9999999.0)</f>
        <v>9999999</v>
      </c>
      <c r="O1766" s="148">
        <f>IFERROR(__xludf.DUMMYFUNCTION("""COMPUTED_VALUE"""),99999.0)</f>
        <v>99999</v>
      </c>
      <c r="P1766" s="148">
        <f>IFERROR(__xludf.DUMMYFUNCTION("""COMPUTED_VALUE"""),99999.0)</f>
        <v>99999</v>
      </c>
      <c r="Q1766" s="148" t="str">
        <f>IFERROR(__xludf.DUMMYFUNCTION("""COMPUTED_VALUE"""),"[]")</f>
        <v>[]</v>
      </c>
      <c r="R1766" s="148" t="str">
        <f>IFERROR(__xludf.DUMMYFUNCTION("""COMPUTED_VALUE"""),"[]")</f>
        <v>[]</v>
      </c>
      <c r="S1766" s="148" t="str">
        <f>IFERROR(__xludf.DUMMYFUNCTION("""COMPUTED_VALUE"""),"{""drop"":{""typ"":""single_random"",""num"":1,""args"":[{""typ"":""lockrune"",""id"":19345011,""num"":1,""wgt"":100}]}}")</f>
        <v>{"drop":{"typ":"single_random","num":1,"args":[{"typ":"lockrune","id":19345011,"num":1,"wgt":100}]}}</v>
      </c>
      <c r="T1766" s="148">
        <f>IFERROR(__xludf.DUMMYFUNCTION("""COMPUTED_VALUE"""),-1.0)</f>
        <v>-1</v>
      </c>
      <c r="U1766" s="148">
        <f>IFERROR(__xludf.DUMMYFUNCTION("""COMPUTED_VALUE"""),1.0)</f>
        <v>1</v>
      </c>
      <c r="V1766" s="148" t="str">
        <f>IFERROR(__xludf.DUMMYFUNCTION("""COMPUTED_VALUE"""),"[]")</f>
        <v>[]</v>
      </c>
      <c r="W1766" s="148">
        <f>IFERROR(__xludf.DUMMYFUNCTION("""COMPUTED_VALUE"""),1.174E7)</f>
        <v>11740000</v>
      </c>
      <c r="X1766" s="148">
        <f>IFERROR(__xludf.DUMMYFUNCTION("""COMPUTED_VALUE"""),0.0)</f>
        <v>0</v>
      </c>
      <c r="Y1766" s="148">
        <f>IFERROR(__xludf.DUMMYFUNCTION("""COMPUTED_VALUE"""),0.0)</f>
        <v>0</v>
      </c>
      <c r="Z1766" s="148"/>
    </row>
    <row r="1767">
      <c r="A1767" s="148">
        <f>IFERROR(__xludf.DUMMYFUNCTION("""COMPUTED_VALUE"""),1.1117426E7)</f>
        <v>11117426</v>
      </c>
      <c r="B1767" s="148" t="str">
        <f>IFERROR(__xludf.DUMMYFUNCTION("""COMPUTED_VALUE"""),"狂飙拉力赛折扣卡（5折）")</f>
        <v>狂飙拉力赛折扣卡（5折）</v>
      </c>
      <c r="C1767" s="148"/>
      <c r="D1767" s="148" t="str">
        <f>IFERROR(__xludf.DUMMYFUNCTION("""COMPUTED_VALUE"""),"event")</f>
        <v>event</v>
      </c>
      <c r="E1767" s="148">
        <f>IFERROR(__xludf.DUMMYFUNCTION("""COMPUTED_VALUE"""),0.0)</f>
        <v>0</v>
      </c>
      <c r="F1767" s="148">
        <f>IFERROR(__xludf.DUMMYFUNCTION("""COMPUTED_VALUE"""),401201.0)</f>
        <v>401201</v>
      </c>
      <c r="G1767" s="148">
        <f>IFERROR(__xludf.DUMMYFUNCTION("""COMPUTED_VALUE"""),1.5113373E7)</f>
        <v>15113373</v>
      </c>
      <c r="H1767" s="148">
        <f>IFERROR(__xludf.DUMMYFUNCTION("""COMPUTED_VALUE"""),1.5112564E7)</f>
        <v>15112564</v>
      </c>
      <c r="I1767" s="148" t="str">
        <f>IFERROR(__xludf.DUMMYFUNCTION("""COMPUTED_VALUE"""),"{}")</f>
        <v>{}</v>
      </c>
      <c r="J1767" s="148" t="str">
        <f>IFERROR(__xludf.DUMMYFUNCTION("""COMPUTED_VALUE"""),"{""typ"":""lc"",""txt"":""LC_ITEM_BP_discount_card_name""}")</f>
        <v>{"typ":"lc","txt":"LC_ITEM_BP_discount_card_name"}</v>
      </c>
      <c r="K1767" s="148" t="str">
        <f>IFERROR(__xludf.DUMMYFUNCTION("""COMPUTED_VALUE"""),"{""typ"":""lc"",""txt"":""LC_ITEM_BP_discount_card_desc""}")</f>
        <v>{"typ":"lc","txt":"LC_ITEM_BP_discount_card_desc"}</v>
      </c>
      <c r="L1767" s="148" t="str">
        <f>IFERROR(__xludf.DUMMYFUNCTION("""COMPUTED_VALUE"""),"{}")</f>
        <v>{}</v>
      </c>
      <c r="M1767" s="148">
        <f>IFERROR(__xludf.DUMMYFUNCTION("""COMPUTED_VALUE"""),2500.0)</f>
        <v>2500</v>
      </c>
      <c r="N1767" s="148">
        <f>IFERROR(__xludf.DUMMYFUNCTION("""COMPUTED_VALUE"""),9999.0)</f>
        <v>9999</v>
      </c>
      <c r="O1767" s="148">
        <f>IFERROR(__xludf.DUMMYFUNCTION("""COMPUTED_VALUE"""),9999.0)</f>
        <v>9999</v>
      </c>
      <c r="P1767" s="148">
        <f>IFERROR(__xludf.DUMMYFUNCTION("""COMPUTED_VALUE"""),9999.0)</f>
        <v>9999</v>
      </c>
      <c r="Q1767" s="148" t="str">
        <f>IFERROR(__xludf.DUMMYFUNCTION("""COMPUTED_VALUE"""),"[""bag_other""]")</f>
        <v>["bag_other"]</v>
      </c>
      <c r="R1767" s="148" t="str">
        <f>IFERROR(__xludf.DUMMYFUNCTION("""COMPUTED_VALUE"""),"[]")</f>
        <v>[]</v>
      </c>
      <c r="S1767" s="148" t="str">
        <f>IFERROR(__xludf.DUMMYFUNCTION("""COMPUTED_VALUE"""),"{}")</f>
        <v>{}</v>
      </c>
      <c r="T1767" s="148">
        <f>IFERROR(__xludf.DUMMYFUNCTION("""COMPUTED_VALUE"""),-1.0)</f>
        <v>-1</v>
      </c>
      <c r="U1767" s="148">
        <f>IFERROR(__xludf.DUMMYFUNCTION("""COMPUTED_VALUE"""),0.0)</f>
        <v>0</v>
      </c>
      <c r="V1767" s="148" t="str">
        <f>IFERROR(__xludf.DUMMYFUNCTION("""COMPUTED_VALUE"""),"[]")</f>
        <v>[]</v>
      </c>
      <c r="W1767" s="148">
        <f>IFERROR(__xludf.DUMMYFUNCTION("""COMPUTED_VALUE"""),1.174E7)</f>
        <v>11740000</v>
      </c>
      <c r="X1767" s="148">
        <f>IFERROR(__xludf.DUMMYFUNCTION("""COMPUTED_VALUE"""),0.0)</f>
        <v>0</v>
      </c>
      <c r="Y1767" s="148">
        <f>IFERROR(__xludf.DUMMYFUNCTION("""COMPUTED_VALUE"""),0.0)</f>
        <v>0</v>
      </c>
      <c r="Z1767" s="148"/>
    </row>
    <row r="1768">
      <c r="A1768" s="148">
        <f>IFERROR(__xludf.DUMMYFUNCTION("""COMPUTED_VALUE"""),1.1117427E7)</f>
        <v>11117427</v>
      </c>
      <c r="B1768" s="148" t="str">
        <f>IFERROR(__xludf.DUMMYFUNCTION("""COMPUTED_VALUE"""),"联盟旗帜活动-积分道具")</f>
        <v>联盟旗帜活动-积分道具</v>
      </c>
      <c r="C1768" s="148"/>
      <c r="D1768" s="148" t="str">
        <f>IFERROR(__xludf.DUMMYFUNCTION("""COMPUTED_VALUE"""),"event")</f>
        <v>event</v>
      </c>
      <c r="E1768" s="148">
        <f>IFERROR(__xludf.DUMMYFUNCTION("""COMPUTED_VALUE"""),0.0)</f>
        <v>0</v>
      </c>
      <c r="F1768" s="148">
        <f>IFERROR(__xludf.DUMMYFUNCTION("""COMPUTED_VALUE"""),405221.0)</f>
        <v>405221</v>
      </c>
      <c r="G1768" s="148">
        <f>IFERROR(__xludf.DUMMYFUNCTION("""COMPUTED_VALUE"""),1.511632E7)</f>
        <v>15116320</v>
      </c>
      <c r="H1768" s="148">
        <f>IFERROR(__xludf.DUMMYFUNCTION("""COMPUTED_VALUE"""),1.5112563E7)</f>
        <v>15112563</v>
      </c>
      <c r="I1768" s="148" t="str">
        <f>IFERROR(__xludf.DUMMYFUNCTION("""COMPUTED_VALUE"""),"{}")</f>
        <v>{}</v>
      </c>
      <c r="J1768" s="148" t="str">
        <f>IFERROR(__xludf.DUMMYFUNCTION("""COMPUTED_VALUE"""),"{""typ"":""lc"",""txt"":""LC_ITEM_union_flag_item_name""}")</f>
        <v>{"typ":"lc","txt":"LC_ITEM_union_flag_item_name"}</v>
      </c>
      <c r="K1768" s="148" t="str">
        <f>IFERROR(__xludf.DUMMYFUNCTION("""COMPUTED_VALUE"""),"{""typ"":""lc"",""txt"":""LC_ITEM_union_flag_item_desc""}")</f>
        <v>{"typ":"lc","txt":"LC_ITEM_union_flag_item_desc"}</v>
      </c>
      <c r="L1768" s="148" t="str">
        <f>IFERROR(__xludf.DUMMYFUNCTION("""COMPUTED_VALUE"""),"{}")</f>
        <v>{}</v>
      </c>
      <c r="M1768" s="148">
        <f>IFERROR(__xludf.DUMMYFUNCTION("""COMPUTED_VALUE"""),100.0)</f>
        <v>100</v>
      </c>
      <c r="N1768" s="148">
        <f>IFERROR(__xludf.DUMMYFUNCTION("""COMPUTED_VALUE"""),9.99999999E8)</f>
        <v>999999999</v>
      </c>
      <c r="O1768" s="148">
        <f>IFERROR(__xludf.DUMMYFUNCTION("""COMPUTED_VALUE"""),9.99999999E8)</f>
        <v>999999999</v>
      </c>
      <c r="P1768" s="148">
        <f>IFERROR(__xludf.DUMMYFUNCTION("""COMPUTED_VALUE"""),9.99999999E8)</f>
        <v>999999999</v>
      </c>
      <c r="Q1768" s="148" t="str">
        <f>IFERROR(__xludf.DUMMYFUNCTION("""COMPUTED_VALUE"""),"[""bag_other""]")</f>
        <v>["bag_other"]</v>
      </c>
      <c r="R1768" s="148" t="str">
        <f>IFERROR(__xludf.DUMMYFUNCTION("""COMPUTED_VALUE"""),"[""bag""]")</f>
        <v>["bag"]</v>
      </c>
      <c r="S1768" s="148" t="str">
        <f>IFERROR(__xludf.DUMMYFUNCTION("""COMPUTED_VALUE"""),"{}")</f>
        <v>{}</v>
      </c>
      <c r="T1768" s="148">
        <f>IFERROR(__xludf.DUMMYFUNCTION("""COMPUTED_VALUE"""),1.0)</f>
        <v>1</v>
      </c>
      <c r="U1768" s="148">
        <f>IFERROR(__xludf.DUMMYFUNCTION("""COMPUTED_VALUE"""),0.0)</f>
        <v>0</v>
      </c>
      <c r="V1768" s="148" t="str">
        <f>IFERROR(__xludf.DUMMYFUNCTION("""COMPUTED_VALUE"""),"[]")</f>
        <v>[]</v>
      </c>
      <c r="W1768" s="148">
        <f>IFERROR(__xludf.DUMMYFUNCTION("""COMPUTED_VALUE"""),1.174E7)</f>
        <v>11740000</v>
      </c>
      <c r="X1768" s="148">
        <f>IFERROR(__xludf.DUMMYFUNCTION("""COMPUTED_VALUE"""),0.0)</f>
        <v>0</v>
      </c>
      <c r="Y1768" s="148">
        <f>IFERROR(__xludf.DUMMYFUNCTION("""COMPUTED_VALUE"""),0.0)</f>
        <v>0</v>
      </c>
      <c r="Z1768" s="148"/>
    </row>
    <row r="1769">
      <c r="A1769" s="148">
        <f>IFERROR(__xludf.DUMMYFUNCTION("""COMPUTED_VALUE"""),1.1117428E7)</f>
        <v>11117428</v>
      </c>
      <c r="B1769" s="148" t="str">
        <f>IFERROR(__xludf.DUMMYFUNCTION("""COMPUTED_VALUE"""),"联盟旗帜活动-积分-宝箱")</f>
        <v>联盟旗帜活动-积分-宝箱</v>
      </c>
      <c r="C1769" s="148"/>
      <c r="D1769" s="148" t="str">
        <f>IFERROR(__xludf.DUMMYFUNCTION("""COMPUTED_VALUE"""),"item_asset")</f>
        <v>item_asset</v>
      </c>
      <c r="E1769" s="148">
        <f>IFERROR(__xludf.DUMMYFUNCTION("""COMPUTED_VALUE"""),19.0)</f>
        <v>19</v>
      </c>
      <c r="F1769" s="148">
        <f>IFERROR(__xludf.DUMMYFUNCTION("""COMPUTED_VALUE"""),403299.0)</f>
        <v>403299</v>
      </c>
      <c r="G1769" s="148">
        <f>IFERROR(__xludf.DUMMYFUNCTION("""COMPUTED_VALUE"""),1.5116321E7)</f>
        <v>15116321</v>
      </c>
      <c r="H1769" s="148">
        <f>IFERROR(__xludf.DUMMYFUNCTION("""COMPUTED_VALUE"""),1.5112563E7)</f>
        <v>15112563</v>
      </c>
      <c r="I1769" s="148" t="str">
        <f>IFERROR(__xludf.DUMMYFUNCTION("""COMPUTED_VALUE"""),"{}")</f>
        <v>{}</v>
      </c>
      <c r="J1769" s="148" t="str">
        <f>IFERROR(__xludf.DUMMYFUNCTION("""COMPUTED_VALUE"""),"{""typ"":""lc"",""txt"":""LC_ITEM_union_flag_box_name""}")</f>
        <v>{"typ":"lc","txt":"LC_ITEM_union_flag_box_name"}</v>
      </c>
      <c r="K1769" s="148" t="str">
        <f>IFERROR(__xludf.DUMMYFUNCTION("""COMPUTED_VALUE"""),"{""typ"":""lc"",""txt"":""LC_ITEM_union_flag_box_desc""}")</f>
        <v>{"typ":"lc","txt":"LC_ITEM_union_flag_box_desc"}</v>
      </c>
      <c r="L1769" s="148" t="str">
        <f>IFERROR(__xludf.DUMMYFUNCTION("""COMPUTED_VALUE"""),"{}")</f>
        <v>{}</v>
      </c>
      <c r="M1769" s="148">
        <f>IFERROR(__xludf.DUMMYFUNCTION("""COMPUTED_VALUE"""),100.0)</f>
        <v>100</v>
      </c>
      <c r="N1769" s="148">
        <f>IFERROR(__xludf.DUMMYFUNCTION("""COMPUTED_VALUE"""),9.99999999E8)</f>
        <v>999999999</v>
      </c>
      <c r="O1769" s="148">
        <f>IFERROR(__xludf.DUMMYFUNCTION("""COMPUTED_VALUE"""),9.99999999E8)</f>
        <v>999999999</v>
      </c>
      <c r="P1769" s="148">
        <f>IFERROR(__xludf.DUMMYFUNCTION("""COMPUTED_VALUE"""),9.99999999E8)</f>
        <v>999999999</v>
      </c>
      <c r="Q1769" s="148" t="str">
        <f>IFERROR(__xludf.DUMMYFUNCTION("""COMPUTED_VALUE"""),"[""bag_other""]")</f>
        <v>["bag_other"]</v>
      </c>
      <c r="R1769" s="148" t="str">
        <f>IFERROR(__xludf.DUMMYFUNCTION("""COMPUTED_VALUE"""),"[""bag""]")</f>
        <v>["bag"]</v>
      </c>
      <c r="S1769" s="148" t="str">
        <f>IFERROR(__xludf.DUMMYFUNCTION("""COMPUTED_VALUE"""),"{""drop"":{""typ"":""single_random"",""num"":1,""args"":[{""typ"":""item"",""id"":11111001,""num"":3,""wgt"":300},{""typ"":""item"",""id"":11111005,""num"":3,""wgt"":300},{""typ"":""item"",""id"":11117427,""num"":10,""wgt"":400},{""typ"":""item"",""id"":1"&amp;"1117427,""num"":20,""wgt"":200},{""typ"":""item"",""id"":11117427,""num"":50,""wgt"":100}]}}")</f>
        <v>{"drop":{"typ":"single_random","num":1,"args":[{"typ":"item","id":11111001,"num":3,"wgt":300},{"typ":"item","id":11111005,"num":3,"wgt":300},{"typ":"item","id":11117427,"num":10,"wgt":400},{"typ":"item","id":11117427,"num":20,"wgt":200},{"typ":"item","id":11117427,"num":50,"wgt":100}]}}</v>
      </c>
      <c r="T1769" s="148">
        <f>IFERROR(__xludf.DUMMYFUNCTION("""COMPUTED_VALUE"""),-1.0)</f>
        <v>-1</v>
      </c>
      <c r="U1769" s="148">
        <f>IFERROR(__xludf.DUMMYFUNCTION("""COMPUTED_VALUE"""),0.0)</f>
        <v>0</v>
      </c>
      <c r="V1769" s="148" t="str">
        <f>IFERROR(__xludf.DUMMYFUNCTION("""COMPUTED_VALUE"""),"[]")</f>
        <v>[]</v>
      </c>
      <c r="W1769" s="148">
        <f>IFERROR(__xludf.DUMMYFUNCTION("""COMPUTED_VALUE"""),1.174E7)</f>
        <v>11740000</v>
      </c>
      <c r="X1769" s="148">
        <f>IFERROR(__xludf.DUMMYFUNCTION("""COMPUTED_VALUE"""),0.0)</f>
        <v>0</v>
      </c>
      <c r="Y1769" s="148">
        <f>IFERROR(__xludf.DUMMYFUNCTION("""COMPUTED_VALUE"""),0.0)</f>
        <v>0</v>
      </c>
      <c r="Z1769" s="148"/>
    </row>
    <row r="1770">
      <c r="A1770" s="148">
        <f>IFERROR(__xludf.DUMMYFUNCTION("""COMPUTED_VALUE"""),1.1117429E7)</f>
        <v>11117429</v>
      </c>
      <c r="B1770" s="148" t="str">
        <f>IFERROR(__xludf.DUMMYFUNCTION("""COMPUTED_VALUE"""),"帮派运动会旗帜展示道具")</f>
        <v>帮派运动会旗帜展示道具</v>
      </c>
      <c r="C1770" s="148"/>
      <c r="D1770" s="148" t="str">
        <f>IFERROR(__xludf.DUMMYFUNCTION("""COMPUTED_VALUE"""),"event")</f>
        <v>event</v>
      </c>
      <c r="E1770" s="148">
        <f>IFERROR(__xludf.DUMMYFUNCTION("""COMPUTED_VALUE"""),0.0)</f>
        <v>0</v>
      </c>
      <c r="F1770" s="148">
        <f>IFERROR(__xludf.DUMMYFUNCTION("""COMPUTED_VALUE"""),405243.0)</f>
        <v>405243</v>
      </c>
      <c r="G1770" s="148">
        <f>IFERROR(__xludf.DUMMYFUNCTION("""COMPUTED_VALUE"""),1.5116303E7)</f>
        <v>15116303</v>
      </c>
      <c r="H1770" s="148">
        <f>IFERROR(__xludf.DUMMYFUNCTION("""COMPUTED_VALUE"""),1.5112564E7)</f>
        <v>15112564</v>
      </c>
      <c r="I1770" s="148" t="str">
        <f>IFERROR(__xludf.DUMMYFUNCTION("""COMPUTED_VALUE"""),"{""typ"":""lc"",""txt"":""LC_ITEM_time_day_upper_show"",""args"":[{""typ"":""int_unit"",""val"":14}]}")</f>
        <v>{"typ":"lc","txt":"LC_ITEM_time_day_upper_show","args":[{"typ":"int_unit","val":14}]}</v>
      </c>
      <c r="J1770" s="148" t="str">
        <f>IFERROR(__xludf.DUMMYFUNCTION("""COMPUTED_VALUE"""),"{""typ"":""lc"",""txt"":""LC_ITEM_gangsport_skin_name""}")</f>
        <v>{"typ":"lc","txt":"LC_ITEM_gangsport_skin_name"}</v>
      </c>
      <c r="K1770" s="148" t="str">
        <f>IFERROR(__xludf.DUMMYFUNCTION("""COMPUTED_VALUE"""),"{""typ"":""lc"",""txt"":""LC_ITEM_union_skin_item_desc_1""}")</f>
        <v>{"typ":"lc","txt":"LC_ITEM_union_skin_item_desc_1"}</v>
      </c>
      <c r="L1770" s="148" t="str">
        <f>IFERROR(__xludf.DUMMYFUNCTION("""COMPUTED_VALUE"""),"{}")</f>
        <v>{}</v>
      </c>
      <c r="M1770" s="148">
        <f>IFERROR(__xludf.DUMMYFUNCTION("""COMPUTED_VALUE"""),1000.0)</f>
        <v>1000</v>
      </c>
      <c r="N1770" s="148">
        <f>IFERROR(__xludf.DUMMYFUNCTION("""COMPUTED_VALUE"""),9.99999999E8)</f>
        <v>999999999</v>
      </c>
      <c r="O1770" s="148">
        <f>IFERROR(__xludf.DUMMYFUNCTION("""COMPUTED_VALUE"""),9.99999999E8)</f>
        <v>999999999</v>
      </c>
      <c r="P1770" s="148">
        <f>IFERROR(__xludf.DUMMYFUNCTION("""COMPUTED_VALUE"""),9.99999999E8)</f>
        <v>999999999</v>
      </c>
      <c r="Q1770" s="148" t="str">
        <f>IFERROR(__xludf.DUMMYFUNCTION("""COMPUTED_VALUE"""),"[""bag_other""]")</f>
        <v>["bag_other"]</v>
      </c>
      <c r="R1770" s="148" t="str">
        <f>IFERROR(__xludf.DUMMYFUNCTION("""COMPUTED_VALUE"""),"[]")</f>
        <v>[]</v>
      </c>
      <c r="S1770" s="148" t="str">
        <f>IFERROR(__xludf.DUMMYFUNCTION("""COMPUTED_VALUE"""),"{}")</f>
        <v>{}</v>
      </c>
      <c r="T1770" s="148">
        <f>IFERROR(__xludf.DUMMYFUNCTION("""COMPUTED_VALUE"""),-1.0)</f>
        <v>-1</v>
      </c>
      <c r="U1770" s="148">
        <f>IFERROR(__xludf.DUMMYFUNCTION("""COMPUTED_VALUE"""),1.0)</f>
        <v>1</v>
      </c>
      <c r="V1770" s="148" t="str">
        <f>IFERROR(__xludf.DUMMYFUNCTION("""COMPUTED_VALUE"""),"[]")</f>
        <v>[]</v>
      </c>
      <c r="W1770" s="148">
        <f>IFERROR(__xludf.DUMMYFUNCTION("""COMPUTED_VALUE"""),1.174E7)</f>
        <v>11740000</v>
      </c>
      <c r="X1770" s="148">
        <f>IFERROR(__xludf.DUMMYFUNCTION("""COMPUTED_VALUE"""),0.0)</f>
        <v>0</v>
      </c>
      <c r="Y1770" s="148">
        <f>IFERROR(__xludf.DUMMYFUNCTION("""COMPUTED_VALUE"""),0.0)</f>
        <v>0</v>
      </c>
      <c r="Z1770" s="148"/>
    </row>
    <row r="1771">
      <c r="A1771" s="148">
        <f>IFERROR(__xludf.DUMMYFUNCTION("""COMPUTED_VALUE"""),1.111743E7)</f>
        <v>11117430</v>
      </c>
      <c r="B1771" s="148" t="str">
        <f>IFERROR(__xludf.DUMMYFUNCTION("""COMPUTED_VALUE"""),"车手集结宝箱-拉力赛1")</f>
        <v>车手集结宝箱-拉力赛1</v>
      </c>
      <c r="C1771" s="148"/>
      <c r="D1771" s="148" t="str">
        <f>IFERROR(__xludf.DUMMYFUNCTION("""COMPUTED_VALUE"""),"item_asset")</f>
        <v>item_asset</v>
      </c>
      <c r="E1771" s="148">
        <f>IFERROR(__xludf.DUMMYFUNCTION("""COMPUTED_VALUE"""),19.0)</f>
        <v>19</v>
      </c>
      <c r="F1771" s="148">
        <f>IFERROR(__xludf.DUMMYFUNCTION("""COMPUTED_VALUE"""),403499.0)</f>
        <v>403499</v>
      </c>
      <c r="G1771" s="148">
        <f>IFERROR(__xludf.DUMMYFUNCTION("""COMPUTED_VALUE"""),1.5112492E7)</f>
        <v>15112492</v>
      </c>
      <c r="H1771" s="148">
        <f>IFERROR(__xludf.DUMMYFUNCTION("""COMPUTED_VALUE"""),1.5112564E7)</f>
        <v>15112564</v>
      </c>
      <c r="I1771" s="148" t="str">
        <f>IFERROR(__xludf.DUMMYFUNCTION("""COMPUTED_VALUE"""),"{}")</f>
        <v>{}</v>
      </c>
      <c r="J1771" s="148" t="str">
        <f>IFERROR(__xludf.DUMMYFUNCTION("""COMPUTED_VALUE"""),"{""typ"":""lc"",""txt"":""LC_ITEM_BP_rally_box_name""}")</f>
        <v>{"typ":"lc","txt":"LC_ITEM_BP_rally_box_name"}</v>
      </c>
      <c r="K1771" s="148" t="str">
        <f>IFERROR(__xludf.DUMMYFUNCTION("""COMPUTED_VALUE"""),"{""typ"":""lc"",""txt"":""LC_ITEM_BP_rally_box_desc_1""}")</f>
        <v>{"typ":"lc","txt":"LC_ITEM_BP_rally_box_desc_1"}</v>
      </c>
      <c r="L1771" s="148" t="str">
        <f>IFERROR(__xludf.DUMMYFUNCTION("""COMPUTED_VALUE"""),"{}")</f>
        <v>{}</v>
      </c>
      <c r="M1771" s="148">
        <f>IFERROR(__xludf.DUMMYFUNCTION("""COMPUTED_VALUE"""),500.0)</f>
        <v>500</v>
      </c>
      <c r="N1771" s="148">
        <f>IFERROR(__xludf.DUMMYFUNCTION("""COMPUTED_VALUE"""),9999999.0)</f>
        <v>9999999</v>
      </c>
      <c r="O1771" s="148">
        <f>IFERROR(__xludf.DUMMYFUNCTION("""COMPUTED_VALUE"""),99999.0)</f>
        <v>99999</v>
      </c>
      <c r="P1771" s="148">
        <f>IFERROR(__xludf.DUMMYFUNCTION("""COMPUTED_VALUE"""),99999.0)</f>
        <v>99999</v>
      </c>
      <c r="Q1771" s="148" t="str">
        <f>IFERROR(__xludf.DUMMYFUNCTION("""COMPUTED_VALUE"""),"[""bag_other""]")</f>
        <v>["bag_other"]</v>
      </c>
      <c r="R1771" s="148" t="str">
        <f>IFERROR(__xludf.DUMMYFUNCTION("""COMPUTED_VALUE"""),"[""bag""]")</f>
        <v>["bag"]</v>
      </c>
      <c r="S1771" s="148" t="str">
        <f>IFERROR(__xludf.DUMMYFUNCTION("""COMPUTED_VALUE"""),"{""drop"":{""typ"":""single_random"",""num"":1,""args"":[{""typ"":""item"",""id"":11117251,""num"":20,""wgt"":500},{""typ"":""item"",""id"":11116402,""num"":5,""wgt"":300},{""typ"":""item"",""id"":11116110,""num"":3,""wgt"":45},{""typ"":""item"",""id"":11"&amp;"116007,""num"":5,""wgt"":150},{""typ"":""item"",""id"":11116304,""num"":1,""wgt"":5}]}}")</f>
        <v>{"drop":{"typ":"single_random","num":1,"args":[{"typ":"item","id":11117251,"num":20,"wgt":500},{"typ":"item","id":11116402,"num":5,"wgt":300},{"typ":"item","id":11116110,"num":3,"wgt":45},{"typ":"item","id":11116007,"num":5,"wgt":150},{"typ":"item","id":11116304,"num":1,"wgt":5}]}}</v>
      </c>
      <c r="T1771" s="148">
        <f>IFERROR(__xludf.DUMMYFUNCTION("""COMPUTED_VALUE"""),-1.0)</f>
        <v>-1</v>
      </c>
      <c r="U1771" s="148">
        <f>IFERROR(__xludf.DUMMYFUNCTION("""COMPUTED_VALUE"""),0.0)</f>
        <v>0</v>
      </c>
      <c r="V1771" s="148" t="str">
        <f>IFERROR(__xludf.DUMMYFUNCTION("""COMPUTED_VALUE"""),"[]")</f>
        <v>[]</v>
      </c>
      <c r="W1771" s="148">
        <f>IFERROR(__xludf.DUMMYFUNCTION("""COMPUTED_VALUE"""),1.174E7)</f>
        <v>11740000</v>
      </c>
      <c r="X1771" s="148">
        <f>IFERROR(__xludf.DUMMYFUNCTION("""COMPUTED_VALUE"""),0.0)</f>
        <v>0</v>
      </c>
      <c r="Y1771" s="148">
        <f>IFERROR(__xludf.DUMMYFUNCTION("""COMPUTED_VALUE"""),0.0)</f>
        <v>0</v>
      </c>
      <c r="Z1771" s="148"/>
    </row>
    <row r="1772">
      <c r="A1772" s="148">
        <f>IFERROR(__xludf.DUMMYFUNCTION("""COMPUTED_VALUE"""),1.1117431E7)</f>
        <v>11117431</v>
      </c>
      <c r="B1772" s="148" t="str">
        <f>IFERROR(__xludf.DUMMYFUNCTION("""COMPUTED_VALUE"""),"车手集结宝箱-拉力赛2")</f>
        <v>车手集结宝箱-拉力赛2</v>
      </c>
      <c r="C1772" s="148"/>
      <c r="D1772" s="148" t="str">
        <f>IFERROR(__xludf.DUMMYFUNCTION("""COMPUTED_VALUE"""),"item_asset")</f>
        <v>item_asset</v>
      </c>
      <c r="E1772" s="148">
        <f>IFERROR(__xludf.DUMMYFUNCTION("""COMPUTED_VALUE"""),19.0)</f>
        <v>19</v>
      </c>
      <c r="F1772" s="148">
        <f>IFERROR(__xludf.DUMMYFUNCTION("""COMPUTED_VALUE"""),403499.0)</f>
        <v>403499</v>
      </c>
      <c r="G1772" s="148">
        <f>IFERROR(__xludf.DUMMYFUNCTION("""COMPUTED_VALUE"""),1.5112492E7)</f>
        <v>15112492</v>
      </c>
      <c r="H1772" s="148">
        <f>IFERROR(__xludf.DUMMYFUNCTION("""COMPUTED_VALUE"""),1.5112564E7)</f>
        <v>15112564</v>
      </c>
      <c r="I1772" s="148" t="str">
        <f>IFERROR(__xludf.DUMMYFUNCTION("""COMPUTED_VALUE"""),"{}")</f>
        <v>{}</v>
      </c>
      <c r="J1772" s="148" t="str">
        <f>IFERROR(__xludf.DUMMYFUNCTION("""COMPUTED_VALUE"""),"{""typ"":""lc"",""txt"":""LC_ITEM_BP_rally_box_name""}")</f>
        <v>{"typ":"lc","txt":"LC_ITEM_BP_rally_box_name"}</v>
      </c>
      <c r="K1772" s="148" t="str">
        <f>IFERROR(__xludf.DUMMYFUNCTION("""COMPUTED_VALUE"""),"{""typ"":""lc"",""txt"":""LC_ITEM_BP_rally_box_desc_2""}")</f>
        <v>{"typ":"lc","txt":"LC_ITEM_BP_rally_box_desc_2"}</v>
      </c>
      <c r="L1772" s="148" t="str">
        <f>IFERROR(__xludf.DUMMYFUNCTION("""COMPUTED_VALUE"""),"{}")</f>
        <v>{}</v>
      </c>
      <c r="M1772" s="148">
        <f>IFERROR(__xludf.DUMMYFUNCTION("""COMPUTED_VALUE"""),500.0)</f>
        <v>500</v>
      </c>
      <c r="N1772" s="148">
        <f>IFERROR(__xludf.DUMMYFUNCTION("""COMPUTED_VALUE"""),9999999.0)</f>
        <v>9999999</v>
      </c>
      <c r="O1772" s="148">
        <f>IFERROR(__xludf.DUMMYFUNCTION("""COMPUTED_VALUE"""),99999.0)</f>
        <v>99999</v>
      </c>
      <c r="P1772" s="148">
        <f>IFERROR(__xludf.DUMMYFUNCTION("""COMPUTED_VALUE"""),99999.0)</f>
        <v>99999</v>
      </c>
      <c r="Q1772" s="148" t="str">
        <f>IFERROR(__xludf.DUMMYFUNCTION("""COMPUTED_VALUE"""),"[""bag_other""]")</f>
        <v>["bag_other"]</v>
      </c>
      <c r="R1772" s="148" t="str">
        <f>IFERROR(__xludf.DUMMYFUNCTION("""COMPUTED_VALUE"""),"[""bag""]")</f>
        <v>["bag"]</v>
      </c>
      <c r="S1772" s="148" t="str">
        <f>IFERROR(__xludf.DUMMYFUNCTION("""COMPUTED_VALUE"""),"{""drop"":{""typ"":""single_random"",""num"":1,""args"":[{""typ"":""item"",""id"":11117251,""num"":20,""wgt"":500},{""typ"":""item"",""id"":11117024,""num"":5,""wgt"":300},{""typ"":""item"",""id"":11117069,""num"":5,""wgt"":45},{""typ"":""item"",""id"":11"&amp;"116604,""num"":10,""wgt"":150},{""typ"":""item"",""id"":11116304,""num"":1,""wgt"":5}]}}")</f>
        <v>{"drop":{"typ":"single_random","num":1,"args":[{"typ":"item","id":11117251,"num":20,"wgt":500},{"typ":"item","id":11117024,"num":5,"wgt":300},{"typ":"item","id":11117069,"num":5,"wgt":45},{"typ":"item","id":11116604,"num":10,"wgt":150},{"typ":"item","id":11116304,"num":1,"wgt":5}]}}</v>
      </c>
      <c r="T1772" s="148">
        <f>IFERROR(__xludf.DUMMYFUNCTION("""COMPUTED_VALUE"""),-1.0)</f>
        <v>-1</v>
      </c>
      <c r="U1772" s="148">
        <f>IFERROR(__xludf.DUMMYFUNCTION("""COMPUTED_VALUE"""),0.0)</f>
        <v>0</v>
      </c>
      <c r="V1772" s="148" t="str">
        <f>IFERROR(__xludf.DUMMYFUNCTION("""COMPUTED_VALUE"""),"[]")</f>
        <v>[]</v>
      </c>
      <c r="W1772" s="148">
        <f>IFERROR(__xludf.DUMMYFUNCTION("""COMPUTED_VALUE"""),1.174E7)</f>
        <v>11740000</v>
      </c>
      <c r="X1772" s="148">
        <f>IFERROR(__xludf.DUMMYFUNCTION("""COMPUTED_VALUE"""),0.0)</f>
        <v>0</v>
      </c>
      <c r="Y1772" s="148">
        <f>IFERROR(__xludf.DUMMYFUNCTION("""COMPUTED_VALUE"""),0.0)</f>
        <v>0</v>
      </c>
      <c r="Z1772" s="148"/>
    </row>
    <row r="1773">
      <c r="A1773" s="148">
        <f>IFERROR(__xludf.DUMMYFUNCTION("""COMPUTED_VALUE"""),1.1117432E7)</f>
        <v>11117432</v>
      </c>
      <c r="B1773" s="148" t="str">
        <f>IFERROR(__xludf.DUMMYFUNCTION("""COMPUTED_VALUE"""),"车手集结宝箱-拉力赛3")</f>
        <v>车手集结宝箱-拉力赛3</v>
      </c>
      <c r="C1773" s="148"/>
      <c r="D1773" s="148" t="str">
        <f>IFERROR(__xludf.DUMMYFUNCTION("""COMPUTED_VALUE"""),"item_asset")</f>
        <v>item_asset</v>
      </c>
      <c r="E1773" s="148">
        <f>IFERROR(__xludf.DUMMYFUNCTION("""COMPUTED_VALUE"""),19.0)</f>
        <v>19</v>
      </c>
      <c r="F1773" s="148">
        <f>IFERROR(__xludf.DUMMYFUNCTION("""COMPUTED_VALUE"""),403499.0)</f>
        <v>403499</v>
      </c>
      <c r="G1773" s="148">
        <f>IFERROR(__xludf.DUMMYFUNCTION("""COMPUTED_VALUE"""),1.5112492E7)</f>
        <v>15112492</v>
      </c>
      <c r="H1773" s="148">
        <f>IFERROR(__xludf.DUMMYFUNCTION("""COMPUTED_VALUE"""),1.5112564E7)</f>
        <v>15112564</v>
      </c>
      <c r="I1773" s="148" t="str">
        <f>IFERROR(__xludf.DUMMYFUNCTION("""COMPUTED_VALUE"""),"{}")</f>
        <v>{}</v>
      </c>
      <c r="J1773" s="148" t="str">
        <f>IFERROR(__xludf.DUMMYFUNCTION("""COMPUTED_VALUE"""),"{""typ"":""lc"",""txt"":""LC_ITEM_BP_rally_box_name""}")</f>
        <v>{"typ":"lc","txt":"LC_ITEM_BP_rally_box_name"}</v>
      </c>
      <c r="K1773" s="148" t="str">
        <f>IFERROR(__xludf.DUMMYFUNCTION("""COMPUTED_VALUE"""),"{""typ"":""lc"",""txt"":""LC_ITEM_BP_rally_box_desc_3""}")</f>
        <v>{"typ":"lc","txt":"LC_ITEM_BP_rally_box_desc_3"}</v>
      </c>
      <c r="L1773" s="148" t="str">
        <f>IFERROR(__xludf.DUMMYFUNCTION("""COMPUTED_VALUE"""),"{}")</f>
        <v>{}</v>
      </c>
      <c r="M1773" s="148">
        <f>IFERROR(__xludf.DUMMYFUNCTION("""COMPUTED_VALUE"""),500.0)</f>
        <v>500</v>
      </c>
      <c r="N1773" s="148">
        <f>IFERROR(__xludf.DUMMYFUNCTION("""COMPUTED_VALUE"""),9999999.0)</f>
        <v>9999999</v>
      </c>
      <c r="O1773" s="148">
        <f>IFERROR(__xludf.DUMMYFUNCTION("""COMPUTED_VALUE"""),99999.0)</f>
        <v>99999</v>
      </c>
      <c r="P1773" s="148">
        <f>IFERROR(__xludf.DUMMYFUNCTION("""COMPUTED_VALUE"""),99999.0)</f>
        <v>99999</v>
      </c>
      <c r="Q1773" s="148" t="str">
        <f>IFERROR(__xludf.DUMMYFUNCTION("""COMPUTED_VALUE"""),"[""bag_other""]")</f>
        <v>["bag_other"]</v>
      </c>
      <c r="R1773" s="148" t="str">
        <f>IFERROR(__xludf.DUMMYFUNCTION("""COMPUTED_VALUE"""),"[""bag""]")</f>
        <v>["bag"]</v>
      </c>
      <c r="S1773" s="148" t="str">
        <f>IFERROR(__xludf.DUMMYFUNCTION("""COMPUTED_VALUE"""),"{""drop"":{""typ"":""single_random"",""num"":1,""args"":[{""typ"":""item"",""id"":11117251,""num"":20,""wgt"":500},{""typ"":""item"",""id"":11117024,""num"":5,""wgt"":300},{""typ"":""item"",""id"":11117069,""num"":5,""wgt"":45},{""typ"":""item"",""id"":11"&amp;"116604,""num"":10,""wgt"":150},{""typ"":""item"",""id"":11116304,""num"":1,""wgt"":5}]}}")</f>
        <v>{"drop":{"typ":"single_random","num":1,"args":[{"typ":"item","id":11117251,"num":20,"wgt":500},{"typ":"item","id":11117024,"num":5,"wgt":300},{"typ":"item","id":11117069,"num":5,"wgt":45},{"typ":"item","id":11116604,"num":10,"wgt":150},{"typ":"item","id":11116304,"num":1,"wgt":5}]}}</v>
      </c>
      <c r="T1773" s="148">
        <f>IFERROR(__xludf.DUMMYFUNCTION("""COMPUTED_VALUE"""),-1.0)</f>
        <v>-1</v>
      </c>
      <c r="U1773" s="148">
        <f>IFERROR(__xludf.DUMMYFUNCTION("""COMPUTED_VALUE"""),0.0)</f>
        <v>0</v>
      </c>
      <c r="V1773" s="148" t="str">
        <f>IFERROR(__xludf.DUMMYFUNCTION("""COMPUTED_VALUE"""),"[]")</f>
        <v>[]</v>
      </c>
      <c r="W1773" s="148">
        <f>IFERROR(__xludf.DUMMYFUNCTION("""COMPUTED_VALUE"""),1.174E7)</f>
        <v>11740000</v>
      </c>
      <c r="X1773" s="148">
        <f>IFERROR(__xludf.DUMMYFUNCTION("""COMPUTED_VALUE"""),0.0)</f>
        <v>0</v>
      </c>
      <c r="Y1773" s="148">
        <f>IFERROR(__xludf.DUMMYFUNCTION("""COMPUTED_VALUE"""),0.0)</f>
        <v>0</v>
      </c>
      <c r="Z1773" s="148"/>
    </row>
    <row r="1774">
      <c r="A1774" s="148">
        <f>IFERROR(__xludf.DUMMYFUNCTION("""COMPUTED_VALUE"""),1.1117433E7)</f>
        <v>11117433</v>
      </c>
      <c r="B1774" s="148" t="str">
        <f>IFERROR(__xludf.DUMMYFUNCTION("""COMPUTED_VALUE"""),"车手集结宝箱-拉力赛4")</f>
        <v>车手集结宝箱-拉力赛4</v>
      </c>
      <c r="C1774" s="148"/>
      <c r="D1774" s="148" t="str">
        <f>IFERROR(__xludf.DUMMYFUNCTION("""COMPUTED_VALUE"""),"item_asset")</f>
        <v>item_asset</v>
      </c>
      <c r="E1774" s="148">
        <f>IFERROR(__xludf.DUMMYFUNCTION("""COMPUTED_VALUE"""),19.0)</f>
        <v>19</v>
      </c>
      <c r="F1774" s="148">
        <f>IFERROR(__xludf.DUMMYFUNCTION("""COMPUTED_VALUE"""),403499.0)</f>
        <v>403499</v>
      </c>
      <c r="G1774" s="148">
        <f>IFERROR(__xludf.DUMMYFUNCTION("""COMPUTED_VALUE"""),1.5112492E7)</f>
        <v>15112492</v>
      </c>
      <c r="H1774" s="148">
        <f>IFERROR(__xludf.DUMMYFUNCTION("""COMPUTED_VALUE"""),1.5112564E7)</f>
        <v>15112564</v>
      </c>
      <c r="I1774" s="148" t="str">
        <f>IFERROR(__xludf.DUMMYFUNCTION("""COMPUTED_VALUE"""),"{}")</f>
        <v>{}</v>
      </c>
      <c r="J1774" s="148" t="str">
        <f>IFERROR(__xludf.DUMMYFUNCTION("""COMPUTED_VALUE"""),"{""typ"":""lc"",""txt"":""LC_ITEM_BP_rally_box_name""}")</f>
        <v>{"typ":"lc","txt":"LC_ITEM_BP_rally_box_name"}</v>
      </c>
      <c r="K1774" s="148" t="str">
        <f>IFERROR(__xludf.DUMMYFUNCTION("""COMPUTED_VALUE"""),"{""typ"":""lc"",""txt"":""LC_ITEM_BP_rally_box_desc_4""}")</f>
        <v>{"typ":"lc","txt":"LC_ITEM_BP_rally_box_desc_4"}</v>
      </c>
      <c r="L1774" s="148" t="str">
        <f>IFERROR(__xludf.DUMMYFUNCTION("""COMPUTED_VALUE"""),"{}")</f>
        <v>{}</v>
      </c>
      <c r="M1774" s="148">
        <f>IFERROR(__xludf.DUMMYFUNCTION("""COMPUTED_VALUE"""),500.0)</f>
        <v>500</v>
      </c>
      <c r="N1774" s="148">
        <f>IFERROR(__xludf.DUMMYFUNCTION("""COMPUTED_VALUE"""),9999999.0)</f>
        <v>9999999</v>
      </c>
      <c r="O1774" s="148">
        <f>IFERROR(__xludf.DUMMYFUNCTION("""COMPUTED_VALUE"""),99999.0)</f>
        <v>99999</v>
      </c>
      <c r="P1774" s="148">
        <f>IFERROR(__xludf.DUMMYFUNCTION("""COMPUTED_VALUE"""),99999.0)</f>
        <v>99999</v>
      </c>
      <c r="Q1774" s="148" t="str">
        <f>IFERROR(__xludf.DUMMYFUNCTION("""COMPUTED_VALUE"""),"[""bag_other""]")</f>
        <v>["bag_other"]</v>
      </c>
      <c r="R1774" s="148" t="str">
        <f>IFERROR(__xludf.DUMMYFUNCTION("""COMPUTED_VALUE"""),"[""bag""]")</f>
        <v>["bag"]</v>
      </c>
      <c r="S1774" s="148" t="str">
        <f>IFERROR(__xludf.DUMMYFUNCTION("""COMPUTED_VALUE"""),"{""drop"":{""typ"":""single_random"",""num"":1,""args"":[{""typ"":""item"",""id"":11117251,""num"":20,""wgt"":500},{""typ"":""material"",""id"":19345004,""num"":10,""wgt"":150},{""typ"":""item"",""id"":11117069,""num"":5,""wgt"":45},{""typ"":""item"",""id"&amp;""":11116604,""num"":10,""wgt"":300},{""typ"":""item"",""id"":11116304,""num"":1,""wgt"":5}]}}")</f>
        <v>{"drop":{"typ":"single_random","num":1,"args":[{"typ":"item","id":11117251,"num":20,"wgt":500},{"typ":"material","id":19345004,"num":10,"wgt":150},{"typ":"item","id":11117069,"num":5,"wgt":45},{"typ":"item","id":11116604,"num":10,"wgt":300},{"typ":"item","id":11116304,"num":1,"wgt":5}]}}</v>
      </c>
      <c r="T1774" s="148">
        <f>IFERROR(__xludf.DUMMYFUNCTION("""COMPUTED_VALUE"""),-1.0)</f>
        <v>-1</v>
      </c>
      <c r="U1774" s="148">
        <f>IFERROR(__xludf.DUMMYFUNCTION("""COMPUTED_VALUE"""),0.0)</f>
        <v>0</v>
      </c>
      <c r="V1774" s="148" t="str">
        <f>IFERROR(__xludf.DUMMYFUNCTION("""COMPUTED_VALUE"""),"[]")</f>
        <v>[]</v>
      </c>
      <c r="W1774" s="148">
        <f>IFERROR(__xludf.DUMMYFUNCTION("""COMPUTED_VALUE"""),1.174E7)</f>
        <v>11740000</v>
      </c>
      <c r="X1774" s="148">
        <f>IFERROR(__xludf.DUMMYFUNCTION("""COMPUTED_VALUE"""),0.0)</f>
        <v>0</v>
      </c>
      <c r="Y1774" s="148">
        <f>IFERROR(__xludf.DUMMYFUNCTION("""COMPUTED_VALUE"""),0.0)</f>
        <v>0</v>
      </c>
      <c r="Z1774" s="148"/>
    </row>
    <row r="1775">
      <c r="A1775" s="148">
        <f>IFERROR(__xludf.DUMMYFUNCTION("""COMPUTED_VALUE"""),1.1117434E7)</f>
        <v>11117434</v>
      </c>
      <c r="B1775" s="148" t="str">
        <f>IFERROR(__xludf.DUMMYFUNCTION("""COMPUTED_VALUE"""),"军备bp-7日-增加次数道具")</f>
        <v>军备bp-7日-增加次数道具</v>
      </c>
      <c r="C1775" s="148"/>
      <c r="D1775" s="148" t="str">
        <f>IFERROR(__xludf.DUMMYFUNCTION("""COMPUTED_VALUE"""),"event_progress")</f>
        <v>event_progress</v>
      </c>
      <c r="E1775" s="148">
        <f>IFERROR(__xludf.DUMMYFUNCTION("""COMPUTED_VALUE"""),0.0)</f>
        <v>0</v>
      </c>
      <c r="F1775" s="148">
        <f>IFERROR(__xludf.DUMMYFUNCTION("""COMPUTED_VALUE"""),0.0)</f>
        <v>0</v>
      </c>
      <c r="G1775" s="148">
        <f>IFERROR(__xludf.DUMMYFUNCTION("""COMPUTED_VALUE"""),1.5115115E7)</f>
        <v>15115115</v>
      </c>
      <c r="H1775" s="148">
        <f>IFERROR(__xludf.DUMMYFUNCTION("""COMPUTED_VALUE"""),1.5112563E7)</f>
        <v>15112563</v>
      </c>
      <c r="I1775" s="148" t="str">
        <f>IFERROR(__xludf.DUMMYFUNCTION("""COMPUTED_VALUE"""),"{}")</f>
        <v>{}</v>
      </c>
      <c r="J1775" s="148" t="str">
        <f>IFERROR(__xludf.DUMMYFUNCTION("""COMPUTED_VALUE"""),"{}")</f>
        <v>{}</v>
      </c>
      <c r="K1775" s="148" t="str">
        <f>IFERROR(__xludf.DUMMYFUNCTION("""COMPUTED_VALUE"""),"{}")</f>
        <v>{}</v>
      </c>
      <c r="L1775" s="148" t="str">
        <f>IFERROR(__xludf.DUMMYFUNCTION("""COMPUTED_VALUE"""),"{}")</f>
        <v>{}</v>
      </c>
      <c r="M1775" s="148">
        <f>IFERROR(__xludf.DUMMYFUNCTION("""COMPUTED_VALUE"""),1.0)</f>
        <v>1</v>
      </c>
      <c r="N1775" s="148">
        <f>IFERROR(__xludf.DUMMYFUNCTION("""COMPUTED_VALUE"""),999999.0)</f>
        <v>999999</v>
      </c>
      <c r="O1775" s="148">
        <f>IFERROR(__xludf.DUMMYFUNCTION("""COMPUTED_VALUE"""),99999.0)</f>
        <v>99999</v>
      </c>
      <c r="P1775" s="148">
        <f>IFERROR(__xludf.DUMMYFUNCTION("""COMPUTED_VALUE"""),9999.0)</f>
        <v>9999</v>
      </c>
      <c r="Q1775" s="148" t="str">
        <f>IFERROR(__xludf.DUMMYFUNCTION("""COMPUTED_VALUE"""),"[]")</f>
        <v>[]</v>
      </c>
      <c r="R1775" s="148" t="str">
        <f>IFERROR(__xludf.DUMMYFUNCTION("""COMPUTED_VALUE"""),"[]")</f>
        <v>[]</v>
      </c>
      <c r="S1775" s="148" t="str">
        <f>IFERROR(__xludf.DUMMYFUNCTION("""COMPUTED_VALUE"""),"{""effect"":[{""typ"":""event"",""id"":21121530},{""typ"":""miss_lost_reward""}]}")</f>
        <v>{"effect":[{"typ":"event","id":21121530},{"typ":"miss_lost_reward"}]}</v>
      </c>
      <c r="T1775" s="148">
        <f>IFERROR(__xludf.DUMMYFUNCTION("""COMPUTED_VALUE"""),-1.0)</f>
        <v>-1</v>
      </c>
      <c r="U1775" s="148">
        <f>IFERROR(__xludf.DUMMYFUNCTION("""COMPUTED_VALUE"""),1.0)</f>
        <v>1</v>
      </c>
      <c r="V1775" s="148" t="str">
        <f>IFERROR(__xludf.DUMMYFUNCTION("""COMPUTED_VALUE"""),"[]")</f>
        <v>[]</v>
      </c>
      <c r="W1775" s="148">
        <f>IFERROR(__xludf.DUMMYFUNCTION("""COMPUTED_VALUE"""),1.174E7)</f>
        <v>11740000</v>
      </c>
      <c r="X1775" s="148">
        <f>IFERROR(__xludf.DUMMYFUNCTION("""COMPUTED_VALUE"""),0.0)</f>
        <v>0</v>
      </c>
      <c r="Y1775" s="148">
        <f>IFERROR(__xludf.DUMMYFUNCTION("""COMPUTED_VALUE"""),0.0)</f>
        <v>0</v>
      </c>
      <c r="Z1775" s="148"/>
    </row>
    <row r="1776">
      <c r="A1776" s="148">
        <f>IFERROR(__xludf.DUMMYFUNCTION("""COMPUTED_VALUE"""),1.1117435E7)</f>
        <v>11117435</v>
      </c>
      <c r="B1776" s="148" t="str">
        <f>IFERROR(__xludf.DUMMYFUNCTION("""COMPUTED_VALUE"""),"联盟旗帜活动展示道具")</f>
        <v>联盟旗帜活动展示道具</v>
      </c>
      <c r="C1776" s="148"/>
      <c r="D1776" s="148" t="str">
        <f>IFERROR(__xludf.DUMMYFUNCTION("""COMPUTED_VALUE"""),"event")</f>
        <v>event</v>
      </c>
      <c r="E1776" s="148">
        <f>IFERROR(__xludf.DUMMYFUNCTION("""COMPUTED_VALUE"""),0.0)</f>
        <v>0</v>
      </c>
      <c r="F1776" s="148">
        <f>IFERROR(__xludf.DUMMYFUNCTION("""COMPUTED_VALUE"""),405243.0)</f>
        <v>405243</v>
      </c>
      <c r="G1776" s="148">
        <f>IFERROR(__xludf.DUMMYFUNCTION("""COMPUTED_VALUE"""),1.5115468E7)</f>
        <v>15115468</v>
      </c>
      <c r="H1776" s="148">
        <f>IFERROR(__xludf.DUMMYFUNCTION("""COMPUTED_VALUE"""),1.5112564E7)</f>
        <v>15112564</v>
      </c>
      <c r="I1776" s="148" t="str">
        <f>IFERROR(__xludf.DUMMYFUNCTION("""COMPUTED_VALUE"""),"{}")</f>
        <v>{}</v>
      </c>
      <c r="J1776" s="148" t="str">
        <f>IFERROR(__xludf.DUMMYFUNCTION("""COMPUTED_VALUE"""),"{""typ"":""lc"",""txt"":""LC_UNION_delivery_skin_name_2""}")</f>
        <v>{"typ":"lc","txt":"LC_UNION_delivery_skin_name_2"}</v>
      </c>
      <c r="K1776" s="148" t="str">
        <f>IFERROR(__xludf.DUMMYFUNCTION("""COMPUTED_VALUE"""),"{""typ"":""lc"",""txt"":""LC_ITEM_union_skin_item_desc_2""}")</f>
        <v>{"typ":"lc","txt":"LC_ITEM_union_skin_item_desc_2"}</v>
      </c>
      <c r="L1776" s="148" t="str">
        <f>IFERROR(__xludf.DUMMYFUNCTION("""COMPUTED_VALUE"""),"{}")</f>
        <v>{}</v>
      </c>
      <c r="M1776" s="148">
        <f>IFERROR(__xludf.DUMMYFUNCTION("""COMPUTED_VALUE"""),1000.0)</f>
        <v>1000</v>
      </c>
      <c r="N1776" s="148">
        <f>IFERROR(__xludf.DUMMYFUNCTION("""COMPUTED_VALUE"""),9.99999999E8)</f>
        <v>999999999</v>
      </c>
      <c r="O1776" s="148">
        <f>IFERROR(__xludf.DUMMYFUNCTION("""COMPUTED_VALUE"""),9.99999999E8)</f>
        <v>999999999</v>
      </c>
      <c r="P1776" s="148">
        <f>IFERROR(__xludf.DUMMYFUNCTION("""COMPUTED_VALUE"""),9.99999999E8)</f>
        <v>999999999</v>
      </c>
      <c r="Q1776" s="148" t="str">
        <f>IFERROR(__xludf.DUMMYFUNCTION("""COMPUTED_VALUE"""),"[""bag_other""]")</f>
        <v>["bag_other"]</v>
      </c>
      <c r="R1776" s="148" t="str">
        <f>IFERROR(__xludf.DUMMYFUNCTION("""COMPUTED_VALUE"""),"[]")</f>
        <v>[]</v>
      </c>
      <c r="S1776" s="148" t="str">
        <f>IFERROR(__xludf.DUMMYFUNCTION("""COMPUTED_VALUE"""),"{}")</f>
        <v>{}</v>
      </c>
      <c r="T1776" s="148">
        <f>IFERROR(__xludf.DUMMYFUNCTION("""COMPUTED_VALUE"""),-1.0)</f>
        <v>-1</v>
      </c>
      <c r="U1776" s="148">
        <f>IFERROR(__xludf.DUMMYFUNCTION("""COMPUTED_VALUE"""),1.0)</f>
        <v>1</v>
      </c>
      <c r="V1776" s="148" t="str">
        <f>IFERROR(__xludf.DUMMYFUNCTION("""COMPUTED_VALUE"""),"[]")</f>
        <v>[]</v>
      </c>
      <c r="W1776" s="148">
        <f>IFERROR(__xludf.DUMMYFUNCTION("""COMPUTED_VALUE"""),1.174E7)</f>
        <v>11740000</v>
      </c>
      <c r="X1776" s="148">
        <f>IFERROR(__xludf.DUMMYFUNCTION("""COMPUTED_VALUE"""),0.0)</f>
        <v>0</v>
      </c>
      <c r="Y1776" s="148">
        <f>IFERROR(__xludf.DUMMYFUNCTION("""COMPUTED_VALUE"""),0.0)</f>
        <v>0</v>
      </c>
      <c r="Z1776" s="148"/>
    </row>
    <row r="1777">
      <c r="A1777" s="148">
        <f>IFERROR(__xludf.DUMMYFUNCTION("""COMPUTED_VALUE"""),1.1117436E7)</f>
        <v>11117436</v>
      </c>
      <c r="B1777" s="148" t="str">
        <f>IFERROR(__xludf.DUMMYFUNCTION("""COMPUTED_VALUE"""),"KVK3-香蕉树装饰物")</f>
        <v>KVK3-香蕉树装饰物</v>
      </c>
      <c r="C1777" s="148"/>
      <c r="D1777" s="148" t="str">
        <f>IFERROR(__xludf.DUMMYFUNCTION("""COMPUTED_VALUE"""),"decorations")</f>
        <v>decorations</v>
      </c>
      <c r="E1777" s="148">
        <f>IFERROR(__xludf.DUMMYFUNCTION("""COMPUTED_VALUE"""),23.0)</f>
        <v>23</v>
      </c>
      <c r="F1777" s="148">
        <f>IFERROR(__xludf.DUMMYFUNCTION("""COMPUTED_VALUE"""),0.0)</f>
        <v>0</v>
      </c>
      <c r="G1777" s="148">
        <f>IFERROR(__xludf.DUMMYFUNCTION("""COMPUTED_VALUE"""),1.5113733E7)</f>
        <v>15113733</v>
      </c>
      <c r="H1777" s="148">
        <f>IFERROR(__xludf.DUMMYFUNCTION("""COMPUTED_VALUE"""),1.5112563E7)</f>
        <v>15112563</v>
      </c>
      <c r="I1777" s="148" t="str">
        <f>IFERROR(__xludf.DUMMYFUNCTION("""COMPUTED_VALUE"""),"{}")</f>
        <v>{}</v>
      </c>
      <c r="J1777" s="148" t="str">
        <f>IFERROR(__xludf.DUMMYFUNCTION("""COMPUTED_VALUE"""),"{""typ"":""lc"",""txt"":""LC_BUILDING_gene_banana_tree_name""}")</f>
        <v>{"typ":"lc","txt":"LC_BUILDING_gene_banana_tree_name"}</v>
      </c>
      <c r="K1777" s="148" t="str">
        <f>IFERROR(__xludf.DUMMYFUNCTION("""COMPUTED_VALUE"""),"{""typ"":""lc"",""txt"":""LC_BUILDING_gene_banana_tree_desc""}")</f>
        <v>{"typ":"lc","txt":"LC_BUILDING_gene_banana_tree_desc"}</v>
      </c>
      <c r="L1777" s="148" t="str">
        <f>IFERROR(__xludf.DUMMYFUNCTION("""COMPUTED_VALUE"""),"{}")</f>
        <v>{}</v>
      </c>
      <c r="M1777" s="148">
        <f>IFERROR(__xludf.DUMMYFUNCTION("""COMPUTED_VALUE"""),5000.0)</f>
        <v>5000</v>
      </c>
      <c r="N1777" s="148">
        <f>IFERROR(__xludf.DUMMYFUNCTION("""COMPUTED_VALUE"""),5.0)</f>
        <v>5</v>
      </c>
      <c r="O1777" s="148">
        <f>IFERROR(__xludf.DUMMYFUNCTION("""COMPUTED_VALUE"""),1.0)</f>
        <v>1</v>
      </c>
      <c r="P1777" s="148">
        <f>IFERROR(__xludf.DUMMYFUNCTION("""COMPUTED_VALUE"""),1.0)</f>
        <v>1</v>
      </c>
      <c r="Q1777" s="148" t="str">
        <f>IFERROR(__xludf.DUMMYFUNCTION("""COMPUTED_VALUE"""),"[]")</f>
        <v>[]</v>
      </c>
      <c r="R1777" s="148" t="str">
        <f>IFERROR(__xludf.DUMMYFUNCTION("""COMPUTED_VALUE"""),"[""bag""]")</f>
        <v>["bag"]</v>
      </c>
      <c r="S1777" s="148" t="str">
        <f>IFERROR(__xludf.DUMMYFUNCTION("""COMPUTED_VALUE"""),"{""effect"":[{""typ"":""decorations"",""id"":11117436,""val"":-1}]}")</f>
        <v>{"effect":[{"typ":"decorations","id":11117436,"val":-1}]}</v>
      </c>
      <c r="T1777" s="148">
        <f>IFERROR(__xludf.DUMMYFUNCTION("""COMPUTED_VALUE"""),-1.0)</f>
        <v>-1</v>
      </c>
      <c r="U1777" s="148">
        <f>IFERROR(__xludf.DUMMYFUNCTION("""COMPUTED_VALUE"""),1.0)</f>
        <v>1</v>
      </c>
      <c r="V1777" s="148" t="str">
        <f>IFERROR(__xludf.DUMMYFUNCTION("""COMPUTED_VALUE"""),"[]")</f>
        <v>[]</v>
      </c>
      <c r="W1777" s="148">
        <f>IFERROR(__xludf.DUMMYFUNCTION("""COMPUTED_VALUE"""),1.174E7)</f>
        <v>11740000</v>
      </c>
      <c r="X1777" s="148">
        <f>IFERROR(__xludf.DUMMYFUNCTION("""COMPUTED_VALUE"""),0.0)</f>
        <v>0</v>
      </c>
      <c r="Y1777" s="148">
        <f>IFERROR(__xludf.DUMMYFUNCTION("""COMPUTED_VALUE"""),0.0)</f>
        <v>0</v>
      </c>
      <c r="Z1777" s="148"/>
    </row>
    <row r="1778">
      <c r="A1778" s="148">
        <f>IFERROR(__xludf.DUMMYFUNCTION("""COMPUTED_VALUE"""),1.1117437E7)</f>
        <v>11117437</v>
      </c>
      <c r="B1778" s="148" t="str">
        <f>IFERROR(__xludf.DUMMYFUNCTION("""COMPUTED_VALUE"""),"KVK3_军团捐献道具_海贝")</f>
        <v>KVK3_军团捐献道具_海贝</v>
      </c>
      <c r="C1778" s="148"/>
      <c r="D1778" s="148" t="str">
        <f>IFERROR(__xludf.DUMMYFUNCTION("""COMPUTED_VALUE"""),"item_horde")</f>
        <v>item_horde</v>
      </c>
      <c r="E1778" s="148">
        <f>IFERROR(__xludf.DUMMYFUNCTION("""COMPUTED_VALUE"""),0.0)</f>
        <v>0</v>
      </c>
      <c r="F1778" s="148">
        <f>IFERROR(__xludf.DUMMYFUNCTION("""COMPUTED_VALUE"""),415205.0)</f>
        <v>415205</v>
      </c>
      <c r="G1778" s="148">
        <f>IFERROR(__xludf.DUMMYFUNCTION("""COMPUTED_VALUE"""),1.5116554E7)</f>
        <v>15116554</v>
      </c>
      <c r="H1778" s="148">
        <f>IFERROR(__xludf.DUMMYFUNCTION("""COMPUTED_VALUE"""),1.5112563E7)</f>
        <v>15112563</v>
      </c>
      <c r="I1778" s="148" t="str">
        <f>IFERROR(__xludf.DUMMYFUNCTION("""COMPUTED_VALUE"""),"{}")</f>
        <v>{}</v>
      </c>
      <c r="J1778" s="148" t="str">
        <f>IFERROR(__xludf.DUMMYFUNCTION("""COMPUTED_VALUE"""),"{""typ"":""lc"",""txt"":""LC_KVK_horde_charge_item_name""}")</f>
        <v>{"typ":"lc","txt":"LC_KVK_horde_charge_item_name"}</v>
      </c>
      <c r="K1778" s="148" t="str">
        <f>IFERROR(__xludf.DUMMYFUNCTION("""COMPUTED_VALUE"""),"{""typ"":""lc"",""txt"":""LC_KVK_horde_charge_item_desc""}")</f>
        <v>{"typ":"lc","txt":"LC_KVK_horde_charge_item_desc"}</v>
      </c>
      <c r="L1778" s="148" t="str">
        <f>IFERROR(__xludf.DUMMYFUNCTION("""COMPUTED_VALUE"""),"{}")</f>
        <v>{}</v>
      </c>
      <c r="M1778" s="148">
        <f>IFERROR(__xludf.DUMMYFUNCTION("""COMPUTED_VALUE"""),50.0)</f>
        <v>50</v>
      </c>
      <c r="N1778" s="148">
        <f>IFERROR(__xludf.DUMMYFUNCTION("""COMPUTED_VALUE"""),9999999.0)</f>
        <v>9999999</v>
      </c>
      <c r="O1778" s="148">
        <f>IFERROR(__xludf.DUMMYFUNCTION("""COMPUTED_VALUE"""),99999.0)</f>
        <v>99999</v>
      </c>
      <c r="P1778" s="148">
        <f>IFERROR(__xludf.DUMMYFUNCTION("""COMPUTED_VALUE"""),99999.0)</f>
        <v>99999</v>
      </c>
      <c r="Q1778" s="148" t="str">
        <f>IFERROR(__xludf.DUMMYFUNCTION("""COMPUTED_VALUE"""),"[""bag_other""]")</f>
        <v>["bag_other"]</v>
      </c>
      <c r="R1778" s="148" t="str">
        <f>IFERROR(__xludf.DUMMYFUNCTION("""COMPUTED_VALUE"""),"[""horde_donate""]")</f>
        <v>["horde_donate"]</v>
      </c>
      <c r="S1778" s="148" t="str">
        <f>IFERROR(__xludf.DUMMYFUNCTION("""COMPUTED_VALUE"""),"{}")</f>
        <v>{}</v>
      </c>
      <c r="T1778" s="148">
        <f>IFERROR(__xludf.DUMMYFUNCTION("""COMPUTED_VALUE"""),-1.0)</f>
        <v>-1</v>
      </c>
      <c r="U1778" s="148">
        <f>IFERROR(__xludf.DUMMYFUNCTION("""COMPUTED_VALUE"""),0.0)</f>
        <v>0</v>
      </c>
      <c r="V1778" s="148" t="str">
        <f>IFERROR(__xludf.DUMMYFUNCTION("""COMPUTED_VALUE"""),"[]")</f>
        <v>[]</v>
      </c>
      <c r="W1778" s="148">
        <f>IFERROR(__xludf.DUMMYFUNCTION("""COMPUTED_VALUE"""),1.174E7)</f>
        <v>11740000</v>
      </c>
      <c r="X1778" s="148">
        <f>IFERROR(__xludf.DUMMYFUNCTION("""COMPUTED_VALUE"""),0.0)</f>
        <v>0</v>
      </c>
      <c r="Y1778" s="148">
        <f>IFERROR(__xludf.DUMMYFUNCTION("""COMPUTED_VALUE"""),0.0)</f>
        <v>0</v>
      </c>
      <c r="Z1778" s="148"/>
    </row>
    <row r="1779">
      <c r="A1779" s="148">
        <f>IFERROR(__xludf.DUMMYFUNCTION("""COMPUTED_VALUE"""),1.1117438E7)</f>
        <v>11117438</v>
      </c>
      <c r="B1779" s="148" t="str">
        <f>IFERROR(__xludf.DUMMYFUNCTION("""COMPUTED_VALUE"""),"端午节活跃活动道具A-粽叶")</f>
        <v>端午节活跃活动道具A-粽叶</v>
      </c>
      <c r="C1779" s="148"/>
      <c r="D1779" s="148" t="str">
        <f>IFERROR(__xludf.DUMMYFUNCTION("""COMPUTED_VALUE"""),"battle_pass_exp")</f>
        <v>battle_pass_exp</v>
      </c>
      <c r="E1779" s="148">
        <f>IFERROR(__xludf.DUMMYFUNCTION("""COMPUTED_VALUE"""),0.0)</f>
        <v>0</v>
      </c>
      <c r="F1779" s="148">
        <f>IFERROR(__xludf.DUMMYFUNCTION("""COMPUTED_VALUE"""),405217.0)</f>
        <v>405217</v>
      </c>
      <c r="G1779" s="148">
        <f>IFERROR(__xludf.DUMMYFUNCTION("""COMPUTED_VALUE"""),1.51165E7)</f>
        <v>15116500</v>
      </c>
      <c r="H1779" s="148">
        <f>IFERROR(__xludf.DUMMYFUNCTION("""COMPUTED_VALUE"""),1.5112563E7)</f>
        <v>15112563</v>
      </c>
      <c r="I1779" s="148" t="str">
        <f>IFERROR(__xludf.DUMMYFUNCTION("""COMPUTED_VALUE"""),"{}")</f>
        <v>{}</v>
      </c>
      <c r="J1779" s="148" t="str">
        <f>IFERROR(__xludf.DUMMYFUNCTION("""COMPUTED_VALUE"""),"{""typ"":""lc"",""txt"":""LC_EVENT_23exchange_actv_item_zongye""}")</f>
        <v>{"typ":"lc","txt":"LC_EVENT_23exchange_actv_item_zongye"}</v>
      </c>
      <c r="K1779" s="148" t="str">
        <f>IFERROR(__xludf.DUMMYFUNCTION("""COMPUTED_VALUE"""),"{""typ"":""lc"",""txt"":""LC_EVENT_23zongzi_item_desc""}")</f>
        <v>{"typ":"lc","txt":"LC_EVENT_23zongzi_item_desc"}</v>
      </c>
      <c r="L1779" s="148" t="str">
        <f>IFERROR(__xludf.DUMMYFUNCTION("""COMPUTED_VALUE"""),"{}")</f>
        <v>{}</v>
      </c>
      <c r="M1779" s="148">
        <f>IFERROR(__xludf.DUMMYFUNCTION("""COMPUTED_VALUE"""),35.0)</f>
        <v>35</v>
      </c>
      <c r="N1779" s="148">
        <f>IFERROR(__xludf.DUMMYFUNCTION("""COMPUTED_VALUE"""),999999.0)</f>
        <v>999999</v>
      </c>
      <c r="O1779" s="148">
        <f>IFERROR(__xludf.DUMMYFUNCTION("""COMPUTED_VALUE"""),99999.0)</f>
        <v>99999</v>
      </c>
      <c r="P1779" s="148">
        <f>IFERROR(__xludf.DUMMYFUNCTION("""COMPUTED_VALUE"""),99999.0)</f>
        <v>99999</v>
      </c>
      <c r="Q1779" s="148" t="str">
        <f>IFERROR(__xludf.DUMMYFUNCTION("""COMPUTED_VALUE"""),"[""bag_other""]")</f>
        <v>["bag_other"]</v>
      </c>
      <c r="R1779" s="148" t="str">
        <f>IFERROR(__xludf.DUMMYFUNCTION("""COMPUTED_VALUE"""),"[""bag""]")</f>
        <v>["bag"]</v>
      </c>
      <c r="S1779" s="148" t="str">
        <f>IFERROR(__xludf.DUMMYFUNCTION("""COMPUTED_VALUE"""),"{}")</f>
        <v>{}</v>
      </c>
      <c r="T1779" s="148">
        <f>IFERROR(__xludf.DUMMYFUNCTION("""COMPUTED_VALUE"""),1.0)</f>
        <v>1</v>
      </c>
      <c r="U1779" s="148">
        <f>IFERROR(__xludf.DUMMYFUNCTION("""COMPUTED_VALUE"""),0.0)</f>
        <v>0</v>
      </c>
      <c r="V1779" s="148" t="str">
        <f>IFERROR(__xludf.DUMMYFUNCTION("""COMPUTED_VALUE"""),"[]")</f>
        <v>[]</v>
      </c>
      <c r="W1779" s="148">
        <f>IFERROR(__xludf.DUMMYFUNCTION("""COMPUTED_VALUE"""),1.174E7)</f>
        <v>11740000</v>
      </c>
      <c r="X1779" s="148">
        <f>IFERROR(__xludf.DUMMYFUNCTION("""COMPUTED_VALUE"""),0.0)</f>
        <v>0</v>
      </c>
      <c r="Y1779" s="148">
        <f>IFERROR(__xludf.DUMMYFUNCTION("""COMPUTED_VALUE"""),0.0)</f>
        <v>0</v>
      </c>
      <c r="Z1779" s="148"/>
    </row>
    <row r="1780">
      <c r="A1780" s="148">
        <f>IFERROR(__xludf.DUMMYFUNCTION("""COMPUTED_VALUE"""),1.1117439E7)</f>
        <v>11117439</v>
      </c>
      <c r="B1780" s="148" t="str">
        <f>IFERROR(__xludf.DUMMYFUNCTION("""COMPUTED_VALUE"""),"端午节活跃活动道具B-糯米")</f>
        <v>端午节活跃活动道具B-糯米</v>
      </c>
      <c r="C1780" s="148"/>
      <c r="D1780" s="148" t="str">
        <f>IFERROR(__xludf.DUMMYFUNCTION("""COMPUTED_VALUE"""),"battle_pass_exp")</f>
        <v>battle_pass_exp</v>
      </c>
      <c r="E1780" s="148">
        <f>IFERROR(__xludf.DUMMYFUNCTION("""COMPUTED_VALUE"""),0.0)</f>
        <v>0</v>
      </c>
      <c r="F1780" s="148">
        <f>IFERROR(__xludf.DUMMYFUNCTION("""COMPUTED_VALUE"""),405217.0)</f>
        <v>405217</v>
      </c>
      <c r="G1780" s="148">
        <f>IFERROR(__xludf.DUMMYFUNCTION("""COMPUTED_VALUE"""),1.5116501E7)</f>
        <v>15116501</v>
      </c>
      <c r="H1780" s="148">
        <f>IFERROR(__xludf.DUMMYFUNCTION("""COMPUTED_VALUE"""),1.5112563E7)</f>
        <v>15112563</v>
      </c>
      <c r="I1780" s="148" t="str">
        <f>IFERROR(__xludf.DUMMYFUNCTION("""COMPUTED_VALUE"""),"{}")</f>
        <v>{}</v>
      </c>
      <c r="J1780" s="148" t="str">
        <f>IFERROR(__xludf.DUMMYFUNCTION("""COMPUTED_VALUE"""),"{""typ"":""lc"",""txt"":""LC_EVENT_23exchange_actv_item_nuomi""}")</f>
        <v>{"typ":"lc","txt":"LC_EVENT_23exchange_actv_item_nuomi"}</v>
      </c>
      <c r="K1780" s="148" t="str">
        <f>IFERROR(__xludf.DUMMYFUNCTION("""COMPUTED_VALUE"""),"{""typ"":""lc"",""txt"":""LC_EVENT_23zongzi_item_desc""}")</f>
        <v>{"typ":"lc","txt":"LC_EVENT_23zongzi_item_desc"}</v>
      </c>
      <c r="L1780" s="148" t="str">
        <f>IFERROR(__xludf.DUMMYFUNCTION("""COMPUTED_VALUE"""),"{}")</f>
        <v>{}</v>
      </c>
      <c r="M1780" s="148">
        <f>IFERROR(__xludf.DUMMYFUNCTION("""COMPUTED_VALUE"""),35.0)</f>
        <v>35</v>
      </c>
      <c r="N1780" s="148">
        <f>IFERROR(__xludf.DUMMYFUNCTION("""COMPUTED_VALUE"""),999999.0)</f>
        <v>999999</v>
      </c>
      <c r="O1780" s="148">
        <f>IFERROR(__xludf.DUMMYFUNCTION("""COMPUTED_VALUE"""),99999.0)</f>
        <v>99999</v>
      </c>
      <c r="P1780" s="148">
        <f>IFERROR(__xludf.DUMMYFUNCTION("""COMPUTED_VALUE"""),99999.0)</f>
        <v>99999</v>
      </c>
      <c r="Q1780" s="148" t="str">
        <f>IFERROR(__xludf.DUMMYFUNCTION("""COMPUTED_VALUE"""),"[""bag_other""]")</f>
        <v>["bag_other"]</v>
      </c>
      <c r="R1780" s="148" t="str">
        <f>IFERROR(__xludf.DUMMYFUNCTION("""COMPUTED_VALUE"""),"[""bag""]")</f>
        <v>["bag"]</v>
      </c>
      <c r="S1780" s="148" t="str">
        <f>IFERROR(__xludf.DUMMYFUNCTION("""COMPUTED_VALUE"""),"{}")</f>
        <v>{}</v>
      </c>
      <c r="T1780" s="148">
        <f>IFERROR(__xludf.DUMMYFUNCTION("""COMPUTED_VALUE"""),1.0)</f>
        <v>1</v>
      </c>
      <c r="U1780" s="148">
        <f>IFERROR(__xludf.DUMMYFUNCTION("""COMPUTED_VALUE"""),0.0)</f>
        <v>0</v>
      </c>
      <c r="V1780" s="148" t="str">
        <f>IFERROR(__xludf.DUMMYFUNCTION("""COMPUTED_VALUE"""),"[]")</f>
        <v>[]</v>
      </c>
      <c r="W1780" s="148">
        <f>IFERROR(__xludf.DUMMYFUNCTION("""COMPUTED_VALUE"""),1.174E7)</f>
        <v>11740000</v>
      </c>
      <c r="X1780" s="148">
        <f>IFERROR(__xludf.DUMMYFUNCTION("""COMPUTED_VALUE"""),0.0)</f>
        <v>0</v>
      </c>
      <c r="Y1780" s="148">
        <f>IFERROR(__xludf.DUMMYFUNCTION("""COMPUTED_VALUE"""),0.0)</f>
        <v>0</v>
      </c>
      <c r="Z1780" s="148"/>
    </row>
    <row r="1781">
      <c r="A1781" s="148">
        <f>IFERROR(__xludf.DUMMYFUNCTION("""COMPUTED_VALUE"""),1.111744E7)</f>
        <v>11117440</v>
      </c>
      <c r="B1781" s="148" t="str">
        <f>IFERROR(__xludf.DUMMYFUNCTION("""COMPUTED_VALUE"""),"端午节活跃活动道具C-馅料")</f>
        <v>端午节活跃活动道具C-馅料</v>
      </c>
      <c r="C1781" s="148"/>
      <c r="D1781" s="148" t="str">
        <f>IFERROR(__xludf.DUMMYFUNCTION("""COMPUTED_VALUE"""),"battle_pass_exp")</f>
        <v>battle_pass_exp</v>
      </c>
      <c r="E1781" s="148">
        <f>IFERROR(__xludf.DUMMYFUNCTION("""COMPUTED_VALUE"""),0.0)</f>
        <v>0</v>
      </c>
      <c r="F1781" s="148">
        <f>IFERROR(__xludf.DUMMYFUNCTION("""COMPUTED_VALUE"""),405217.0)</f>
        <v>405217</v>
      </c>
      <c r="G1781" s="148">
        <f>IFERROR(__xludf.DUMMYFUNCTION("""COMPUTED_VALUE"""),1.5116502E7)</f>
        <v>15116502</v>
      </c>
      <c r="H1781" s="148">
        <f>IFERROR(__xludf.DUMMYFUNCTION("""COMPUTED_VALUE"""),1.5112563E7)</f>
        <v>15112563</v>
      </c>
      <c r="I1781" s="148" t="str">
        <f>IFERROR(__xludf.DUMMYFUNCTION("""COMPUTED_VALUE"""),"{}")</f>
        <v>{}</v>
      </c>
      <c r="J1781" s="148" t="str">
        <f>IFERROR(__xludf.DUMMYFUNCTION("""COMPUTED_VALUE"""),"{""typ"":""lc"",""txt"":""LC_EVENT_23exchange_actv_item_xianliao""}")</f>
        <v>{"typ":"lc","txt":"LC_EVENT_23exchange_actv_item_xianliao"}</v>
      </c>
      <c r="K1781" s="148" t="str">
        <f>IFERROR(__xludf.DUMMYFUNCTION("""COMPUTED_VALUE"""),"{""typ"":""lc"",""txt"":""LC_EVENT_23zongzi_item_desc""}")</f>
        <v>{"typ":"lc","txt":"LC_EVENT_23zongzi_item_desc"}</v>
      </c>
      <c r="L1781" s="148" t="str">
        <f>IFERROR(__xludf.DUMMYFUNCTION("""COMPUTED_VALUE"""),"{}")</f>
        <v>{}</v>
      </c>
      <c r="M1781" s="148">
        <f>IFERROR(__xludf.DUMMYFUNCTION("""COMPUTED_VALUE"""),35.0)</f>
        <v>35</v>
      </c>
      <c r="N1781" s="148">
        <f>IFERROR(__xludf.DUMMYFUNCTION("""COMPUTED_VALUE"""),999999.0)</f>
        <v>999999</v>
      </c>
      <c r="O1781" s="148">
        <f>IFERROR(__xludf.DUMMYFUNCTION("""COMPUTED_VALUE"""),99999.0)</f>
        <v>99999</v>
      </c>
      <c r="P1781" s="148">
        <f>IFERROR(__xludf.DUMMYFUNCTION("""COMPUTED_VALUE"""),99999.0)</f>
        <v>99999</v>
      </c>
      <c r="Q1781" s="148" t="str">
        <f>IFERROR(__xludf.DUMMYFUNCTION("""COMPUTED_VALUE"""),"[""bag_other""]")</f>
        <v>["bag_other"]</v>
      </c>
      <c r="R1781" s="148" t="str">
        <f>IFERROR(__xludf.DUMMYFUNCTION("""COMPUTED_VALUE"""),"[""bag""]")</f>
        <v>["bag"]</v>
      </c>
      <c r="S1781" s="148" t="str">
        <f>IFERROR(__xludf.DUMMYFUNCTION("""COMPUTED_VALUE"""),"{}")</f>
        <v>{}</v>
      </c>
      <c r="T1781" s="148">
        <f>IFERROR(__xludf.DUMMYFUNCTION("""COMPUTED_VALUE"""),1.0)</f>
        <v>1</v>
      </c>
      <c r="U1781" s="148">
        <f>IFERROR(__xludf.DUMMYFUNCTION("""COMPUTED_VALUE"""),0.0)</f>
        <v>0</v>
      </c>
      <c r="V1781" s="148" t="str">
        <f>IFERROR(__xludf.DUMMYFUNCTION("""COMPUTED_VALUE"""),"[]")</f>
        <v>[]</v>
      </c>
      <c r="W1781" s="148">
        <f>IFERROR(__xludf.DUMMYFUNCTION("""COMPUTED_VALUE"""),1.174E7)</f>
        <v>11740000</v>
      </c>
      <c r="X1781" s="148">
        <f>IFERROR(__xludf.DUMMYFUNCTION("""COMPUTED_VALUE"""),0.0)</f>
        <v>0</v>
      </c>
      <c r="Y1781" s="148">
        <f>IFERROR(__xludf.DUMMYFUNCTION("""COMPUTED_VALUE"""),0.0)</f>
        <v>0</v>
      </c>
      <c r="Z1781" s="148"/>
    </row>
    <row r="1782">
      <c r="A1782" s="148">
        <f>IFERROR(__xludf.DUMMYFUNCTION("""COMPUTED_VALUE"""),1.1117441E7)</f>
        <v>11117441</v>
      </c>
      <c r="B1782" s="148" t="str">
        <f>IFERROR(__xludf.DUMMYFUNCTION("""COMPUTED_VALUE"""),"端午节活跃活动道具D-绳子")</f>
        <v>端午节活跃活动道具D-绳子</v>
      </c>
      <c r="C1782" s="148"/>
      <c r="D1782" s="148" t="str">
        <f>IFERROR(__xludf.DUMMYFUNCTION("""COMPUTED_VALUE"""),"battle_pass_exp")</f>
        <v>battle_pass_exp</v>
      </c>
      <c r="E1782" s="148">
        <f>IFERROR(__xludf.DUMMYFUNCTION("""COMPUTED_VALUE"""),0.0)</f>
        <v>0</v>
      </c>
      <c r="F1782" s="148">
        <f>IFERROR(__xludf.DUMMYFUNCTION("""COMPUTED_VALUE"""),405217.0)</f>
        <v>405217</v>
      </c>
      <c r="G1782" s="148">
        <f>IFERROR(__xludf.DUMMYFUNCTION("""COMPUTED_VALUE"""),1.5116503E7)</f>
        <v>15116503</v>
      </c>
      <c r="H1782" s="148">
        <f>IFERROR(__xludf.DUMMYFUNCTION("""COMPUTED_VALUE"""),1.5112563E7)</f>
        <v>15112563</v>
      </c>
      <c r="I1782" s="148" t="str">
        <f>IFERROR(__xludf.DUMMYFUNCTION("""COMPUTED_VALUE"""),"{}")</f>
        <v>{}</v>
      </c>
      <c r="J1782" s="148" t="str">
        <f>IFERROR(__xludf.DUMMYFUNCTION("""COMPUTED_VALUE"""),"{""typ"":""lc"",""txt"":""LC_EVENT_23exchange_actv_item_shengzi""}")</f>
        <v>{"typ":"lc","txt":"LC_EVENT_23exchange_actv_item_shengzi"}</v>
      </c>
      <c r="K1782" s="148" t="str">
        <f>IFERROR(__xludf.DUMMYFUNCTION("""COMPUTED_VALUE"""),"{""typ"":""lc"",""txt"":""LC_EVENT_23zongzi_item_desc""}")</f>
        <v>{"typ":"lc","txt":"LC_EVENT_23zongzi_item_desc"}</v>
      </c>
      <c r="L1782" s="148" t="str">
        <f>IFERROR(__xludf.DUMMYFUNCTION("""COMPUTED_VALUE"""),"{}")</f>
        <v>{}</v>
      </c>
      <c r="M1782" s="148">
        <f>IFERROR(__xludf.DUMMYFUNCTION("""COMPUTED_VALUE"""),35.0)</f>
        <v>35</v>
      </c>
      <c r="N1782" s="148">
        <f>IFERROR(__xludf.DUMMYFUNCTION("""COMPUTED_VALUE"""),999999.0)</f>
        <v>999999</v>
      </c>
      <c r="O1782" s="148">
        <f>IFERROR(__xludf.DUMMYFUNCTION("""COMPUTED_VALUE"""),99999.0)</f>
        <v>99999</v>
      </c>
      <c r="P1782" s="148">
        <f>IFERROR(__xludf.DUMMYFUNCTION("""COMPUTED_VALUE"""),99999.0)</f>
        <v>99999</v>
      </c>
      <c r="Q1782" s="148" t="str">
        <f>IFERROR(__xludf.DUMMYFUNCTION("""COMPUTED_VALUE"""),"[""bag_other""]")</f>
        <v>["bag_other"]</v>
      </c>
      <c r="R1782" s="148" t="str">
        <f>IFERROR(__xludf.DUMMYFUNCTION("""COMPUTED_VALUE"""),"[""bag""]")</f>
        <v>["bag"]</v>
      </c>
      <c r="S1782" s="148" t="str">
        <f>IFERROR(__xludf.DUMMYFUNCTION("""COMPUTED_VALUE"""),"{}")</f>
        <v>{}</v>
      </c>
      <c r="T1782" s="148">
        <f>IFERROR(__xludf.DUMMYFUNCTION("""COMPUTED_VALUE"""),1.0)</f>
        <v>1</v>
      </c>
      <c r="U1782" s="148">
        <f>IFERROR(__xludf.DUMMYFUNCTION("""COMPUTED_VALUE"""),0.0)</f>
        <v>0</v>
      </c>
      <c r="V1782" s="148" t="str">
        <f>IFERROR(__xludf.DUMMYFUNCTION("""COMPUTED_VALUE"""),"[]")</f>
        <v>[]</v>
      </c>
      <c r="W1782" s="148">
        <f>IFERROR(__xludf.DUMMYFUNCTION("""COMPUTED_VALUE"""),1.174E7)</f>
        <v>11740000</v>
      </c>
      <c r="X1782" s="148">
        <f>IFERROR(__xludf.DUMMYFUNCTION("""COMPUTED_VALUE"""),0.0)</f>
        <v>0</v>
      </c>
      <c r="Y1782" s="148">
        <f>IFERROR(__xludf.DUMMYFUNCTION("""COMPUTED_VALUE"""),0.0)</f>
        <v>0</v>
      </c>
      <c r="Z1782" s="148"/>
    </row>
    <row r="1783">
      <c r="A1783" s="148">
        <f>IFERROR(__xludf.DUMMYFUNCTION("""COMPUTED_VALUE"""),1.1117442E7)</f>
        <v>11117442</v>
      </c>
      <c r="B1783" s="148" t="str">
        <f>IFERROR(__xludf.DUMMYFUNCTION("""COMPUTED_VALUE"""),"端午节活跃活动道具E-香料")</f>
        <v>端午节活跃活动道具E-香料</v>
      </c>
      <c r="C1783" s="148"/>
      <c r="D1783" s="148" t="str">
        <f>IFERROR(__xludf.DUMMYFUNCTION("""COMPUTED_VALUE"""),"battle_pass_exp")</f>
        <v>battle_pass_exp</v>
      </c>
      <c r="E1783" s="148">
        <f>IFERROR(__xludf.DUMMYFUNCTION("""COMPUTED_VALUE"""),0.0)</f>
        <v>0</v>
      </c>
      <c r="F1783" s="148">
        <f>IFERROR(__xludf.DUMMYFUNCTION("""COMPUTED_VALUE"""),405217.0)</f>
        <v>405217</v>
      </c>
      <c r="G1783" s="148">
        <f>IFERROR(__xludf.DUMMYFUNCTION("""COMPUTED_VALUE"""),1.5116504E7)</f>
        <v>15116504</v>
      </c>
      <c r="H1783" s="148">
        <f>IFERROR(__xludf.DUMMYFUNCTION("""COMPUTED_VALUE"""),1.5112563E7)</f>
        <v>15112563</v>
      </c>
      <c r="I1783" s="148" t="str">
        <f>IFERROR(__xludf.DUMMYFUNCTION("""COMPUTED_VALUE"""),"{}")</f>
        <v>{}</v>
      </c>
      <c r="J1783" s="148" t="str">
        <f>IFERROR(__xludf.DUMMYFUNCTION("""COMPUTED_VALUE"""),"{""typ"":""lc"",""txt"":""LC_EVENT_23exchange_actv_item_spicy""}")</f>
        <v>{"typ":"lc","txt":"LC_EVENT_23exchange_actv_item_spicy"}</v>
      </c>
      <c r="K1783" s="148" t="str">
        <f>IFERROR(__xludf.DUMMYFUNCTION("""COMPUTED_VALUE"""),"{""typ"":""lc"",""txt"":""LC_EVENT_23zongzi_item_desc""}")</f>
        <v>{"typ":"lc","txt":"LC_EVENT_23zongzi_item_desc"}</v>
      </c>
      <c r="L1783" s="148" t="str">
        <f>IFERROR(__xludf.DUMMYFUNCTION("""COMPUTED_VALUE"""),"{}")</f>
        <v>{}</v>
      </c>
      <c r="M1783" s="148">
        <f>IFERROR(__xludf.DUMMYFUNCTION("""COMPUTED_VALUE"""),35.0)</f>
        <v>35</v>
      </c>
      <c r="N1783" s="148">
        <f>IFERROR(__xludf.DUMMYFUNCTION("""COMPUTED_VALUE"""),999999.0)</f>
        <v>999999</v>
      </c>
      <c r="O1783" s="148">
        <f>IFERROR(__xludf.DUMMYFUNCTION("""COMPUTED_VALUE"""),99999.0)</f>
        <v>99999</v>
      </c>
      <c r="P1783" s="148">
        <f>IFERROR(__xludf.DUMMYFUNCTION("""COMPUTED_VALUE"""),99999.0)</f>
        <v>99999</v>
      </c>
      <c r="Q1783" s="148" t="str">
        <f>IFERROR(__xludf.DUMMYFUNCTION("""COMPUTED_VALUE"""),"[""bag_other""]")</f>
        <v>["bag_other"]</v>
      </c>
      <c r="R1783" s="148" t="str">
        <f>IFERROR(__xludf.DUMMYFUNCTION("""COMPUTED_VALUE"""),"[""bag""]")</f>
        <v>["bag"]</v>
      </c>
      <c r="S1783" s="148" t="str">
        <f>IFERROR(__xludf.DUMMYFUNCTION("""COMPUTED_VALUE"""),"{}")</f>
        <v>{}</v>
      </c>
      <c r="T1783" s="148">
        <f>IFERROR(__xludf.DUMMYFUNCTION("""COMPUTED_VALUE"""),1.0)</f>
        <v>1</v>
      </c>
      <c r="U1783" s="148">
        <f>IFERROR(__xludf.DUMMYFUNCTION("""COMPUTED_VALUE"""),0.0)</f>
        <v>0</v>
      </c>
      <c r="V1783" s="148" t="str">
        <f>IFERROR(__xludf.DUMMYFUNCTION("""COMPUTED_VALUE"""),"[]")</f>
        <v>[]</v>
      </c>
      <c r="W1783" s="148">
        <f>IFERROR(__xludf.DUMMYFUNCTION("""COMPUTED_VALUE"""),1.174E7)</f>
        <v>11740000</v>
      </c>
      <c r="X1783" s="148">
        <f>IFERROR(__xludf.DUMMYFUNCTION("""COMPUTED_VALUE"""),0.0)</f>
        <v>0</v>
      </c>
      <c r="Y1783" s="148">
        <f>IFERROR(__xludf.DUMMYFUNCTION("""COMPUTED_VALUE"""),0.0)</f>
        <v>0</v>
      </c>
      <c r="Z1783" s="148"/>
    </row>
    <row r="1784">
      <c r="A1784" s="148">
        <f>IFERROR(__xludf.DUMMYFUNCTION("""COMPUTED_VALUE"""),1.1117443E7)</f>
        <v>11117443</v>
      </c>
      <c r="B1784" s="148" t="str">
        <f>IFERROR(__xludf.DUMMYFUNCTION("""COMPUTED_VALUE"""),"战装预热-开箱代币")</f>
        <v>战装预热-开箱代币</v>
      </c>
      <c r="C1784" s="148"/>
      <c r="D1784" s="148" t="str">
        <f>IFERROR(__xludf.DUMMYFUNCTION("""COMPUTED_VALUE"""),"event")</f>
        <v>event</v>
      </c>
      <c r="E1784" s="148">
        <f>IFERROR(__xludf.DUMMYFUNCTION("""COMPUTED_VALUE"""),0.0)</f>
        <v>0</v>
      </c>
      <c r="F1784" s="148">
        <f>IFERROR(__xludf.DUMMYFUNCTION("""COMPUTED_VALUE"""),405243.0)</f>
        <v>405243</v>
      </c>
      <c r="G1784" s="148">
        <f>IFERROR(__xludf.DUMMYFUNCTION("""COMPUTED_VALUE"""),1.5116559E7)</f>
        <v>15116559</v>
      </c>
      <c r="H1784" s="148">
        <f>IFERROR(__xludf.DUMMYFUNCTION("""COMPUTED_VALUE"""),1.5112563E7)</f>
        <v>15112563</v>
      </c>
      <c r="I1784" s="148" t="str">
        <f>IFERROR(__xludf.DUMMYFUNCTION("""COMPUTED_VALUE"""),"{}")</f>
        <v>{}</v>
      </c>
      <c r="J1784" s="148" t="str">
        <f>IFERROR(__xludf.DUMMYFUNCTION("""COMPUTED_VALUE"""),"{""typ"":""lc"",""txt"":""LC_ITEM_hero_equipment_warm_up_token_name""}")</f>
        <v>{"typ":"lc","txt":"LC_ITEM_hero_equipment_warm_up_token_name"}</v>
      </c>
      <c r="K1784" s="148" t="str">
        <f>IFERROR(__xludf.DUMMYFUNCTION("""COMPUTED_VALUE"""),"{""typ"":""lc"",""txt"":""LC_ITEM_hero_equipment_warm_up_token_desc""}")</f>
        <v>{"typ":"lc","txt":"LC_ITEM_hero_equipment_warm_up_token_desc"}</v>
      </c>
      <c r="L1784" s="148" t="str">
        <f>IFERROR(__xludf.DUMMYFUNCTION("""COMPUTED_VALUE"""),"{}")</f>
        <v>{}</v>
      </c>
      <c r="M1784" s="148">
        <f>IFERROR(__xludf.DUMMYFUNCTION("""COMPUTED_VALUE"""),100.0)</f>
        <v>100</v>
      </c>
      <c r="N1784" s="148">
        <f>IFERROR(__xludf.DUMMYFUNCTION("""COMPUTED_VALUE"""),9.99999999E8)</f>
        <v>999999999</v>
      </c>
      <c r="O1784" s="148">
        <f>IFERROR(__xludf.DUMMYFUNCTION("""COMPUTED_VALUE"""),9.99999999E8)</f>
        <v>999999999</v>
      </c>
      <c r="P1784" s="148">
        <f>IFERROR(__xludf.DUMMYFUNCTION("""COMPUTED_VALUE"""),9.99999999E8)</f>
        <v>999999999</v>
      </c>
      <c r="Q1784" s="148" t="str">
        <f>IFERROR(__xludf.DUMMYFUNCTION("""COMPUTED_VALUE"""),"[""bag_other""]")</f>
        <v>["bag_other"]</v>
      </c>
      <c r="R1784" s="148" t="str">
        <f>IFERROR(__xludf.DUMMYFUNCTION("""COMPUTED_VALUE"""),"[]")</f>
        <v>[]</v>
      </c>
      <c r="S1784" s="148" t="str">
        <f>IFERROR(__xludf.DUMMYFUNCTION("""COMPUTED_VALUE"""),"{}")</f>
        <v>{}</v>
      </c>
      <c r="T1784" s="148">
        <f>IFERROR(__xludf.DUMMYFUNCTION("""COMPUTED_VALUE"""),-1.0)</f>
        <v>-1</v>
      </c>
      <c r="U1784" s="148">
        <f>IFERROR(__xludf.DUMMYFUNCTION("""COMPUTED_VALUE"""),0.0)</f>
        <v>0</v>
      </c>
      <c r="V1784" s="148" t="str">
        <f>IFERROR(__xludf.DUMMYFUNCTION("""COMPUTED_VALUE"""),"[]")</f>
        <v>[]</v>
      </c>
      <c r="W1784" s="148">
        <f>IFERROR(__xludf.DUMMYFUNCTION("""COMPUTED_VALUE"""),1.174E7)</f>
        <v>11740000</v>
      </c>
      <c r="X1784" s="148">
        <f>IFERROR(__xludf.DUMMYFUNCTION("""COMPUTED_VALUE"""),0.0)</f>
        <v>0</v>
      </c>
      <c r="Y1784" s="148">
        <f>IFERROR(__xludf.DUMMYFUNCTION("""COMPUTED_VALUE"""),0.0)</f>
        <v>0</v>
      </c>
      <c r="Z1784" s="148"/>
    </row>
    <row r="1785">
      <c r="A1785" s="148">
        <f>IFERROR(__xludf.DUMMYFUNCTION("""COMPUTED_VALUE"""),1.1117444E7)</f>
        <v>11117444</v>
      </c>
      <c r="B1785" s="148" t="str">
        <f>IFERROR(__xludf.DUMMYFUNCTION("""COMPUTED_VALUE"""),"塔西娅形象")</f>
        <v>塔西娅形象</v>
      </c>
      <c r="C1785" s="148"/>
      <c r="D1785" s="148" t="str">
        <f>IFERROR(__xludf.DUMMYFUNCTION("""COMPUTED_VALUE"""),"item_asset")</f>
        <v>item_asset</v>
      </c>
      <c r="E1785" s="148">
        <f>IFERROR(__xludf.DUMMYFUNCTION("""COMPUTED_VALUE"""),19.0)</f>
        <v>19</v>
      </c>
      <c r="F1785" s="148">
        <f>IFERROR(__xludf.DUMMYFUNCTION("""COMPUTED_VALUE"""),401120.0)</f>
        <v>401120</v>
      </c>
      <c r="G1785" s="148">
        <f>IFERROR(__xludf.DUMMYFUNCTION("""COMPUTED_VALUE"""),1.5116576E7)</f>
        <v>15116576</v>
      </c>
      <c r="H1785" s="148">
        <f>IFERROR(__xludf.DUMMYFUNCTION("""COMPUTED_VALUE"""),1.5112564E7)</f>
        <v>15112564</v>
      </c>
      <c r="I1785" s="148" t="str">
        <f>IFERROR(__xludf.DUMMYFUNCTION("""COMPUTED_VALUE"""),"{}")</f>
        <v>{}</v>
      </c>
      <c r="J1785" s="148" t="str">
        <f>IFERROR(__xludf.DUMMYFUNCTION("""COMPUTED_VALUE"""),"{""typ"":""lc"",""txt"":""LC_HERO_hero_name_76""}")</f>
        <v>{"typ":"lc","txt":"LC_HERO_hero_name_76"}</v>
      </c>
      <c r="K1785" s="148" t="str">
        <f>IFERROR(__xludf.DUMMYFUNCTION("""COMPUTED_VALUE"""),"{""typ"":""lc"",""txt"":""LC_HERO_hero_desc_76""}")</f>
        <v>{"typ":"lc","txt":"LC_HERO_hero_desc_76"}</v>
      </c>
      <c r="L1785" s="148" t="str">
        <f>IFERROR(__xludf.DUMMYFUNCTION("""COMPUTED_VALUE"""),"{}")</f>
        <v>{}</v>
      </c>
      <c r="M1785" s="148">
        <f>IFERROR(__xludf.DUMMYFUNCTION("""COMPUTED_VALUE"""),15000.0)</f>
        <v>15000</v>
      </c>
      <c r="N1785" s="148">
        <f>IFERROR(__xludf.DUMMYFUNCTION("""COMPUTED_VALUE"""),999999.0)</f>
        <v>999999</v>
      </c>
      <c r="O1785" s="148">
        <f>IFERROR(__xludf.DUMMYFUNCTION("""COMPUTED_VALUE"""),99999.0)</f>
        <v>99999</v>
      </c>
      <c r="P1785" s="148">
        <f>IFERROR(__xludf.DUMMYFUNCTION("""COMPUTED_VALUE"""),9999.0)</f>
        <v>9999</v>
      </c>
      <c r="Q1785" s="148" t="str">
        <f>IFERROR(__xludf.DUMMYFUNCTION("""COMPUTED_VALUE"""),"[""bag_other""]")</f>
        <v>["bag_other"]</v>
      </c>
      <c r="R1785" s="148" t="str">
        <f>IFERROR(__xludf.DUMMYFUNCTION("""COMPUTED_VALUE"""),"[]")</f>
        <v>[]</v>
      </c>
      <c r="S1785" s="148" t="str">
        <f>IFERROR(__xludf.DUMMYFUNCTION("""COMPUTED_VALUE"""),"{""drop"":{""typ"":""single_all"",""num"":1,""args"":[{""typ"":""item"",""id"":11116246,""num"":10,""wgt"":30}]}}")</f>
        <v>{"drop":{"typ":"single_all","num":1,"args":[{"typ":"item","id":11116246,"num":10,"wgt":30}]}}</v>
      </c>
      <c r="T1785" s="148">
        <f>IFERROR(__xludf.DUMMYFUNCTION("""COMPUTED_VALUE"""),-1.0)</f>
        <v>-1</v>
      </c>
      <c r="U1785" s="148">
        <f>IFERROR(__xludf.DUMMYFUNCTION("""COMPUTED_VALUE"""),1.0)</f>
        <v>1</v>
      </c>
      <c r="V1785" s="148" t="str">
        <f>IFERROR(__xludf.DUMMYFUNCTION("""COMPUTED_VALUE"""),"[]")</f>
        <v>[]</v>
      </c>
      <c r="W1785" s="148">
        <f>IFERROR(__xludf.DUMMYFUNCTION("""COMPUTED_VALUE"""),1.174E7)</f>
        <v>11740000</v>
      </c>
      <c r="X1785" s="148">
        <f>IFERROR(__xludf.DUMMYFUNCTION("""COMPUTED_VALUE"""),0.0)</f>
        <v>0</v>
      </c>
      <c r="Y1785" s="148">
        <f>IFERROR(__xludf.DUMMYFUNCTION("""COMPUTED_VALUE"""),0.0)</f>
        <v>0</v>
      </c>
      <c r="Z1785" s="148"/>
    </row>
    <row r="1786">
      <c r="A1786" s="148">
        <f>IFERROR(__xludf.DUMMYFUNCTION("""COMPUTED_VALUE"""),1.1117445E7)</f>
        <v>11117445</v>
      </c>
      <c r="B1786" s="148" t="str">
        <f>IFERROR(__xludf.DUMMYFUNCTION("""COMPUTED_VALUE"""),"头像框：珊瑚之心")</f>
        <v>头像框：珊瑚之心</v>
      </c>
      <c r="C1786" s="148"/>
      <c r="D1786" s="148" t="str">
        <f>IFERROR(__xludf.DUMMYFUNCTION("""COMPUTED_VALUE"""),"avatar_frame")</f>
        <v>avatar_frame</v>
      </c>
      <c r="E1786" s="148">
        <f>IFERROR(__xludf.DUMMYFUNCTION("""COMPUTED_VALUE"""),20.0)</f>
        <v>20</v>
      </c>
      <c r="F1786" s="148">
        <f>IFERROR(__xludf.DUMMYFUNCTION("""COMPUTED_VALUE"""),0.0)</f>
        <v>0</v>
      </c>
      <c r="G1786" s="148">
        <f>IFERROR(__xludf.DUMMYFUNCTION("""COMPUTED_VALUE"""),1.5116514E7)</f>
        <v>15116514</v>
      </c>
      <c r="H1786" s="148">
        <f>IFERROR(__xludf.DUMMYFUNCTION("""COMPUTED_VALUE"""),1.5112563E7)</f>
        <v>15112563</v>
      </c>
      <c r="I1786" s="148" t="str">
        <f>IFERROR(__xludf.DUMMYFUNCTION("""COMPUTED_VALUE"""),"{}")</f>
        <v>{}</v>
      </c>
      <c r="J1786" s="148" t="str">
        <f>IFERROR(__xludf.DUMMYFUNCTION("""COMPUTED_VALUE"""),"{""typ"":""lc"",""txt"":""LC_ASSET_avatar_frame_name_25""}")</f>
        <v>{"typ":"lc","txt":"LC_ASSET_avatar_frame_name_25"}</v>
      </c>
      <c r="K1786" s="148" t="str">
        <f>IFERROR(__xludf.DUMMYFUNCTION("""COMPUTED_VALUE"""),"{""typ"":""lc"",""txt"":""LC_MENU_forever""}")</f>
        <v>{"typ":"lc","txt":"LC_MENU_forever"}</v>
      </c>
      <c r="L1786" s="148" t="str">
        <f>IFERROR(__xludf.DUMMYFUNCTION("""COMPUTED_VALUE"""),"{}")</f>
        <v>{}</v>
      </c>
      <c r="M1786" s="148">
        <f>IFERROR(__xludf.DUMMYFUNCTION("""COMPUTED_VALUE"""),1000.0)</f>
        <v>1000</v>
      </c>
      <c r="N1786" s="148">
        <f>IFERROR(__xludf.DUMMYFUNCTION("""COMPUTED_VALUE"""),99.0)</f>
        <v>99</v>
      </c>
      <c r="O1786" s="148">
        <f>IFERROR(__xludf.DUMMYFUNCTION("""COMPUTED_VALUE"""),1.0)</f>
        <v>1</v>
      </c>
      <c r="P1786" s="148">
        <f>IFERROR(__xludf.DUMMYFUNCTION("""COMPUTED_VALUE"""),1.0)</f>
        <v>1</v>
      </c>
      <c r="Q1786" s="148" t="str">
        <f>IFERROR(__xludf.DUMMYFUNCTION("""COMPUTED_VALUE"""),"[]")</f>
        <v>[]</v>
      </c>
      <c r="R1786" s="148" t="str">
        <f>IFERROR(__xludf.DUMMYFUNCTION("""COMPUTED_VALUE"""),"[""11421025""]")</f>
        <v>["11421025"]</v>
      </c>
      <c r="S1786" s="148" t="str">
        <f>IFERROR(__xludf.DUMMYFUNCTION("""COMPUTED_VALUE"""),"{""effect"":[{""typ"":""avatar_frame"",""id"":11421025,""val"":-1},{""typ"":""item"",""id"":11111031,""val"":1000}]}")</f>
        <v>{"effect":[{"typ":"avatar_frame","id":11421025,"val":-1},{"typ":"item","id":11111031,"val":1000}]}</v>
      </c>
      <c r="T1786" s="148">
        <f>IFERROR(__xludf.DUMMYFUNCTION("""COMPUTED_VALUE"""),-1.0)</f>
        <v>-1</v>
      </c>
      <c r="U1786" s="148">
        <f>IFERROR(__xludf.DUMMYFUNCTION("""COMPUTED_VALUE"""),1.0)</f>
        <v>1</v>
      </c>
      <c r="V1786" s="148" t="str">
        <f>IFERROR(__xludf.DUMMYFUNCTION("""COMPUTED_VALUE"""),"[]")</f>
        <v>[]</v>
      </c>
      <c r="W1786" s="148">
        <f>IFERROR(__xludf.DUMMYFUNCTION("""COMPUTED_VALUE"""),1.174E7)</f>
        <v>11740000</v>
      </c>
      <c r="X1786" s="148">
        <f>IFERROR(__xludf.DUMMYFUNCTION("""COMPUTED_VALUE"""),0.0)</f>
        <v>0</v>
      </c>
      <c r="Y1786" s="148">
        <f>IFERROR(__xludf.DUMMYFUNCTION("""COMPUTED_VALUE"""),0.0)</f>
        <v>0</v>
      </c>
      <c r="Z1786" s="148"/>
    </row>
    <row r="1787">
      <c r="A1787" s="148">
        <f>IFERROR(__xludf.DUMMYFUNCTION("""COMPUTED_VALUE"""),1.1117446E7)</f>
        <v>11117446</v>
      </c>
      <c r="B1787" s="148" t="str">
        <f>IFERROR(__xludf.DUMMYFUNCTION("""COMPUTED_VALUE"""),"主城皮肤-端午节2023")</f>
        <v>主城皮肤-端午节2023</v>
      </c>
      <c r="C1787" s="148"/>
      <c r="D1787" s="148" t="str">
        <f>IFERROR(__xludf.DUMMYFUNCTION("""COMPUTED_VALUE"""),"city_skin")</f>
        <v>city_skin</v>
      </c>
      <c r="E1787" s="148">
        <f>IFERROR(__xludf.DUMMYFUNCTION("""COMPUTED_VALUE"""),21.0)</f>
        <v>21</v>
      </c>
      <c r="F1787" s="148">
        <f>IFERROR(__xludf.DUMMYFUNCTION("""COMPUTED_VALUE"""),400106.0)</f>
        <v>400106</v>
      </c>
      <c r="G1787" s="148">
        <f>IFERROR(__xludf.DUMMYFUNCTION("""COMPUTED_VALUE"""),1.5116518E7)</f>
        <v>15116518</v>
      </c>
      <c r="H1787" s="148">
        <f>IFERROR(__xludf.DUMMYFUNCTION("""COMPUTED_VALUE"""),1.5112564E7)</f>
        <v>15112564</v>
      </c>
      <c r="I1787" s="148" t="str">
        <f>IFERROR(__xludf.DUMMYFUNCTION("""COMPUTED_VALUE"""),"{}")</f>
        <v>{}</v>
      </c>
      <c r="J1787" s="148" t="str">
        <f>IFERROR(__xludf.DUMMYFUNCTION("""COMPUTED_VALUE"""),"{""typ"":""lc"",""txt"":""LC_EVENT_dragon_boat_skin_2023_title""}")</f>
        <v>{"typ":"lc","txt":"LC_EVENT_dragon_boat_skin_2023_title"}</v>
      </c>
      <c r="K1787" s="148" t="str">
        <f>IFERROR(__xludf.DUMMYFUNCTION("""COMPUTED_VALUE"""),"{""typ"":""lc"",""txt"":""LC_EVENT_dragon_boat_skin_2023_title_desc""}")</f>
        <v>{"typ":"lc","txt":"LC_EVENT_dragon_boat_skin_2023_title_desc"}</v>
      </c>
      <c r="L1787" s="148" t="str">
        <f>IFERROR(__xludf.DUMMYFUNCTION("""COMPUTED_VALUE"""),"{""typ"":""lc"",""txt"":""LC_ITEM_city_skin_rocket_use_tips""}")</f>
        <v>{"typ":"lc","txt":"LC_ITEM_city_skin_rocket_use_tips"}</v>
      </c>
      <c r="M1787" s="148">
        <f>IFERROR(__xludf.DUMMYFUNCTION("""COMPUTED_VALUE"""),10000.0)</f>
        <v>10000</v>
      </c>
      <c r="N1787" s="148">
        <f>IFERROR(__xludf.DUMMYFUNCTION("""COMPUTED_VALUE"""),999.0)</f>
        <v>999</v>
      </c>
      <c r="O1787" s="148">
        <f>IFERROR(__xludf.DUMMYFUNCTION("""COMPUTED_VALUE"""),1.0)</f>
        <v>1</v>
      </c>
      <c r="P1787" s="148">
        <f>IFERROR(__xludf.DUMMYFUNCTION("""COMPUTED_VALUE"""),1.0)</f>
        <v>1</v>
      </c>
      <c r="Q1787" s="148" t="str">
        <f>IFERROR(__xludf.DUMMYFUNCTION("""COMPUTED_VALUE"""),"[""bag_other""]")</f>
        <v>["bag_other"]</v>
      </c>
      <c r="R1787" s="148" t="str">
        <f>IFERROR(__xludf.DUMMYFUNCTION("""COMPUTED_VALUE"""),"[""bag"",""13121018""]")</f>
        <v>["bag","13121018"]</v>
      </c>
      <c r="S1787" s="148" t="str">
        <f>IFERROR(__xludf.DUMMYFUNCTION("""COMPUTED_VALUE"""),"{""effect"":[{""typ"":""city_skin"",""id"":13121018,""val"":-1},{""typ"":""item"",""id"":11111034,""val"":10}]}")</f>
        <v>{"effect":[{"typ":"city_skin","id":13121018,"val":-1},{"typ":"item","id":11111034,"val":10}]}</v>
      </c>
      <c r="T1787" s="148">
        <f>IFERROR(__xludf.DUMMYFUNCTION("""COMPUTED_VALUE"""),-1.0)</f>
        <v>-1</v>
      </c>
      <c r="U1787" s="148">
        <f>IFERROR(__xludf.DUMMYFUNCTION("""COMPUTED_VALUE"""),0.0)</f>
        <v>0</v>
      </c>
      <c r="V1787" s="148" t="str">
        <f>IFERROR(__xludf.DUMMYFUNCTION("""COMPUTED_VALUE"""),"[]")</f>
        <v>[]</v>
      </c>
      <c r="W1787" s="148">
        <f>IFERROR(__xludf.DUMMYFUNCTION("""COMPUTED_VALUE"""),1.174E7)</f>
        <v>11740000</v>
      </c>
      <c r="X1787" s="148">
        <f>IFERROR(__xludf.DUMMYFUNCTION("""COMPUTED_VALUE"""),0.0)</f>
        <v>0</v>
      </c>
      <c r="Y1787" s="148">
        <f>IFERROR(__xludf.DUMMYFUNCTION("""COMPUTED_VALUE"""),0.0)</f>
        <v>0</v>
      </c>
      <c r="Z1787" s="148"/>
    </row>
    <row r="1788">
      <c r="A1788" s="148">
        <f>IFERROR(__xludf.DUMMYFUNCTION("""COMPUTED_VALUE"""),1.1117447E7)</f>
        <v>11117447</v>
      </c>
      <c r="B1788" s="148" t="str">
        <f>IFERROR(__xludf.DUMMYFUNCTION("""COMPUTED_VALUE"""),"主城皮肤-端午节2023（2天）")</f>
        <v>主城皮肤-端午节2023（2天）</v>
      </c>
      <c r="C1788" s="148"/>
      <c r="D1788" s="148" t="str">
        <f>IFERROR(__xludf.DUMMYFUNCTION("""COMPUTED_VALUE"""),"city_skin")</f>
        <v>city_skin</v>
      </c>
      <c r="E1788" s="148">
        <f>IFERROR(__xludf.DUMMYFUNCTION("""COMPUTED_VALUE"""),21.0)</f>
        <v>21</v>
      </c>
      <c r="F1788" s="148">
        <f>IFERROR(__xludf.DUMMYFUNCTION("""COMPUTED_VALUE"""),404201.0)</f>
        <v>404201</v>
      </c>
      <c r="G1788" s="148">
        <f>IFERROR(__xludf.DUMMYFUNCTION("""COMPUTED_VALUE"""),1.5116518E7)</f>
        <v>15116518</v>
      </c>
      <c r="H1788" s="148">
        <f>IFERROR(__xludf.DUMMYFUNCTION("""COMPUTED_VALUE"""),1.5112563E7)</f>
        <v>15112563</v>
      </c>
      <c r="I1788" s="148" t="str">
        <f>IFERROR(__xludf.DUMMYFUNCTION("""COMPUTED_VALUE"""),"{""typ"":""lc"",""txt"":""LC_ITEM_time_day_upper_show"",""args"":[{""typ"":""int"",""val"":2}]}")</f>
        <v>{"typ":"lc","txt":"LC_ITEM_time_day_upper_show","args":[{"typ":"int","val":2}]}</v>
      </c>
      <c r="J1788" s="148" t="str">
        <f>IFERROR(__xludf.DUMMYFUNCTION("""COMPUTED_VALUE"""),"{""typ"":""lc"",""txt"":""LC_EVENT_dragon_boat_skin_2023_title_2day""}")</f>
        <v>{"typ":"lc","txt":"LC_EVENT_dragon_boat_skin_2023_title_2day"}</v>
      </c>
      <c r="K1788" s="148" t="str">
        <f>IFERROR(__xludf.DUMMYFUNCTION("""COMPUTED_VALUE"""),"{""typ"":""lc"",""txt"":""LC_EVENT_dragon_boat_skin_2023_title_desc""}")</f>
        <v>{"typ":"lc","txt":"LC_EVENT_dragon_boat_skin_2023_title_desc"}</v>
      </c>
      <c r="L1788" s="148" t="str">
        <f>IFERROR(__xludf.DUMMYFUNCTION("""COMPUTED_VALUE"""),"{""typ"":""lc"",""txt"":""LC_ITEM_city_skin_rocket_use_tips""}")</f>
        <v>{"typ":"lc","txt":"LC_ITEM_city_skin_rocket_use_tips"}</v>
      </c>
      <c r="M1788" s="148">
        <f>IFERROR(__xludf.DUMMYFUNCTION("""COMPUTED_VALUE"""),500.0)</f>
        <v>500</v>
      </c>
      <c r="N1788" s="148">
        <f>IFERROR(__xludf.DUMMYFUNCTION("""COMPUTED_VALUE"""),999.0)</f>
        <v>999</v>
      </c>
      <c r="O1788" s="148">
        <f>IFERROR(__xludf.DUMMYFUNCTION("""COMPUTED_VALUE"""),1.0)</f>
        <v>1</v>
      </c>
      <c r="P1788" s="148">
        <f>IFERROR(__xludf.DUMMYFUNCTION("""COMPUTED_VALUE"""),1.0)</f>
        <v>1</v>
      </c>
      <c r="Q1788" s="148" t="str">
        <f>IFERROR(__xludf.DUMMYFUNCTION("""COMPUTED_VALUE"""),"[""bag_other""]")</f>
        <v>["bag_other"]</v>
      </c>
      <c r="R1788" s="148" t="str">
        <f>IFERROR(__xludf.DUMMYFUNCTION("""COMPUTED_VALUE"""),"[""bag"",""13121018""]")</f>
        <v>["bag","13121018"]</v>
      </c>
      <c r="S1788" s="148" t="str">
        <f>IFERROR(__xludf.DUMMYFUNCTION("""COMPUTED_VALUE"""),"{""effect"":[{""typ"":""city_skin"",""id"":13121018,""val"":172800000},{""typ"":""item"",""id"":11111021,""val"":1}]}")</f>
        <v>{"effect":[{"typ":"city_skin","id":13121018,"val":172800000},{"typ":"item","id":11111021,"val":1}]}</v>
      </c>
      <c r="T1788" s="148">
        <f>IFERROR(__xludf.DUMMYFUNCTION("""COMPUTED_VALUE"""),-1.0)</f>
        <v>-1</v>
      </c>
      <c r="U1788" s="148">
        <f>IFERROR(__xludf.DUMMYFUNCTION("""COMPUTED_VALUE"""),0.0)</f>
        <v>0</v>
      </c>
      <c r="V1788" s="148" t="str">
        <f>IFERROR(__xludf.DUMMYFUNCTION("""COMPUTED_VALUE"""),"[]")</f>
        <v>[]</v>
      </c>
      <c r="W1788" s="148">
        <f>IFERROR(__xludf.DUMMYFUNCTION("""COMPUTED_VALUE"""),1.174E7)</f>
        <v>11740000</v>
      </c>
      <c r="X1788" s="148">
        <f>IFERROR(__xludf.DUMMYFUNCTION("""COMPUTED_VALUE"""),0.0)</f>
        <v>0</v>
      </c>
      <c r="Y1788" s="148">
        <f>IFERROR(__xludf.DUMMYFUNCTION("""COMPUTED_VALUE"""),0.0)</f>
        <v>0</v>
      </c>
      <c r="Z1788" s="148"/>
    </row>
    <row r="1789">
      <c r="A1789" s="148">
        <f>IFERROR(__xludf.DUMMYFUNCTION("""COMPUTED_VALUE"""),1.1117448E7)</f>
        <v>11117448</v>
      </c>
      <c r="B1789" s="148" t="str">
        <f>IFERROR(__xludf.DUMMYFUNCTION("""COMPUTED_VALUE"""),"强力船桨-端午节2023活动GACHA道具")</f>
        <v>强力船桨-端午节2023活动GACHA道具</v>
      </c>
      <c r="C1789" s="148"/>
      <c r="D1789" s="148" t="str">
        <f>IFERROR(__xludf.DUMMYFUNCTION("""COMPUTED_VALUE"""),"event")</f>
        <v>event</v>
      </c>
      <c r="E1789" s="148">
        <f>IFERROR(__xludf.DUMMYFUNCTION("""COMPUTED_VALUE"""),0.0)</f>
        <v>0</v>
      </c>
      <c r="F1789" s="148">
        <f>IFERROR(__xludf.DUMMYFUNCTION("""COMPUTED_VALUE"""),405243.0)</f>
        <v>405243</v>
      </c>
      <c r="G1789" s="148">
        <f>IFERROR(__xludf.DUMMYFUNCTION("""COMPUTED_VALUE"""),1.5116529E7)</f>
        <v>15116529</v>
      </c>
      <c r="H1789" s="148">
        <f>IFERROR(__xludf.DUMMYFUNCTION("""COMPUTED_VALUE"""),1.5112564E7)</f>
        <v>15112564</v>
      </c>
      <c r="I1789" s="148" t="str">
        <f>IFERROR(__xludf.DUMMYFUNCTION("""COMPUTED_VALUE"""),"{}")</f>
        <v>{}</v>
      </c>
      <c r="J1789" s="148" t="str">
        <f>IFERROR(__xludf.DUMMYFUNCTION("""COMPUTED_VALUE"""),"{""typ"":""lc"",""txt"":""LC_EVENT_23dragonboat_actv_item""}")</f>
        <v>{"typ":"lc","txt":"LC_EVENT_23dragonboat_actv_item"}</v>
      </c>
      <c r="K1789" s="148" t="str">
        <f>IFERROR(__xludf.DUMMYFUNCTION("""COMPUTED_VALUE"""),"{""typ"":""lc"",""txt"":""LC_EVENT_23dragonboat_actv_item_desc""}")</f>
        <v>{"typ":"lc","txt":"LC_EVENT_23dragonboat_actv_item_desc"}</v>
      </c>
      <c r="L1789" s="148" t="str">
        <f>IFERROR(__xludf.DUMMYFUNCTION("""COMPUTED_VALUE"""),"{}")</f>
        <v>{}</v>
      </c>
      <c r="M1789" s="148">
        <f>IFERROR(__xludf.DUMMYFUNCTION("""COMPUTED_VALUE"""),175.0)</f>
        <v>175</v>
      </c>
      <c r="N1789" s="148">
        <f>IFERROR(__xludf.DUMMYFUNCTION("""COMPUTED_VALUE"""),9.99999999E8)</f>
        <v>999999999</v>
      </c>
      <c r="O1789" s="148">
        <f>IFERROR(__xludf.DUMMYFUNCTION("""COMPUTED_VALUE"""),9.99999999E8)</f>
        <v>999999999</v>
      </c>
      <c r="P1789" s="148">
        <f>IFERROR(__xludf.DUMMYFUNCTION("""COMPUTED_VALUE"""),9.99999999E8)</f>
        <v>999999999</v>
      </c>
      <c r="Q1789" s="148" t="str">
        <f>IFERROR(__xludf.DUMMYFUNCTION("""COMPUTED_VALUE"""),"[""bag_other""]")</f>
        <v>["bag_other"]</v>
      </c>
      <c r="R1789" s="148" t="str">
        <f>IFERROR(__xludf.DUMMYFUNCTION("""COMPUTED_VALUE"""),"[""bag""]")</f>
        <v>["bag"]</v>
      </c>
      <c r="S1789" s="148" t="str">
        <f>IFERROR(__xludf.DUMMYFUNCTION("""COMPUTED_VALUE"""),"{}")</f>
        <v>{}</v>
      </c>
      <c r="T1789" s="148">
        <f>IFERROR(__xludf.DUMMYFUNCTION("""COMPUTED_VALUE"""),1.0)</f>
        <v>1</v>
      </c>
      <c r="U1789" s="148">
        <f>IFERROR(__xludf.DUMMYFUNCTION("""COMPUTED_VALUE"""),0.0)</f>
        <v>0</v>
      </c>
      <c r="V1789" s="148" t="str">
        <f>IFERROR(__xludf.DUMMYFUNCTION("""COMPUTED_VALUE"""),"[]")</f>
        <v>[]</v>
      </c>
      <c r="W1789" s="148">
        <f>IFERROR(__xludf.DUMMYFUNCTION("""COMPUTED_VALUE"""),1.174E7)</f>
        <v>11740000</v>
      </c>
      <c r="X1789" s="148">
        <f>IFERROR(__xludf.DUMMYFUNCTION("""COMPUTED_VALUE"""),0.0)</f>
        <v>0</v>
      </c>
      <c r="Y1789" s="148">
        <f>IFERROR(__xludf.DUMMYFUNCTION("""COMPUTED_VALUE"""),0.0)</f>
        <v>0</v>
      </c>
      <c r="Z1789" s="148"/>
    </row>
    <row r="1790">
      <c r="A1790" s="148">
        <f>IFERROR(__xludf.DUMMYFUNCTION("""COMPUTED_VALUE"""),1.1117449E7)</f>
        <v>11117449</v>
      </c>
      <c r="B1790" s="148" t="str">
        <f>IFERROR(__xludf.DUMMYFUNCTION("""COMPUTED_VALUE"""),"2023端午节BattlePass-初级通行证")</f>
        <v>2023端午节BattlePass-初级通行证</v>
      </c>
      <c r="C1790" s="148"/>
      <c r="D1790" s="148" t="str">
        <f>IFERROR(__xludf.DUMMYFUNCTION("""COMPUTED_VALUE"""),"battle_pass_card")</f>
        <v>battle_pass_card</v>
      </c>
      <c r="E1790" s="148">
        <f>IFERROR(__xludf.DUMMYFUNCTION("""COMPUTED_VALUE"""),0.0)</f>
        <v>0</v>
      </c>
      <c r="F1790" s="148">
        <f>IFERROR(__xludf.DUMMYFUNCTION("""COMPUTED_VALUE"""),0.0)</f>
        <v>0</v>
      </c>
      <c r="G1790" s="148">
        <f>IFERROR(__xludf.DUMMYFUNCTION("""COMPUTED_VALUE"""),1.5116526E7)</f>
        <v>15116526</v>
      </c>
      <c r="H1790" s="148">
        <f>IFERROR(__xludf.DUMMYFUNCTION("""COMPUTED_VALUE"""),1.5112563E7)</f>
        <v>15112563</v>
      </c>
      <c r="I1790" s="148" t="str">
        <f>IFERROR(__xludf.DUMMYFUNCTION("""COMPUTED_VALUE"""),"{}")</f>
        <v>{}</v>
      </c>
      <c r="J1790" s="148" t="str">
        <f>IFERROR(__xludf.DUMMYFUNCTION("""COMPUTED_VALUE"""),"{""typ"":""lc"",""txt"":""LC_IAP_dragon_boat_pack_1_unlock""}")</f>
        <v>{"typ":"lc","txt":"LC_IAP_dragon_boat_pack_1_unlock"}</v>
      </c>
      <c r="K1790" s="148" t="str">
        <f>IFERROR(__xludf.DUMMYFUNCTION("""COMPUTED_VALUE"""),"{}")</f>
        <v>{}</v>
      </c>
      <c r="L1790" s="148" t="str">
        <f>IFERROR(__xludf.DUMMYFUNCTION("""COMPUTED_VALUE"""),"{}")</f>
        <v>{}</v>
      </c>
      <c r="M1790" s="148">
        <f>IFERROR(__xludf.DUMMYFUNCTION("""COMPUTED_VALUE"""),10.0)</f>
        <v>10</v>
      </c>
      <c r="N1790" s="148">
        <f>IFERROR(__xludf.DUMMYFUNCTION("""COMPUTED_VALUE"""),999999.0)</f>
        <v>999999</v>
      </c>
      <c r="O1790" s="148">
        <f>IFERROR(__xludf.DUMMYFUNCTION("""COMPUTED_VALUE"""),99999.0)</f>
        <v>99999</v>
      </c>
      <c r="P1790" s="148">
        <f>IFERROR(__xludf.DUMMYFUNCTION("""COMPUTED_VALUE"""),9999.0)</f>
        <v>9999</v>
      </c>
      <c r="Q1790" s="148" t="str">
        <f>IFERROR(__xludf.DUMMYFUNCTION("""COMPUTED_VALUE"""),"[]")</f>
        <v>[]</v>
      </c>
      <c r="R1790" s="148" t="str">
        <f>IFERROR(__xludf.DUMMYFUNCTION("""COMPUTED_VALUE"""),"[]")</f>
        <v>[]</v>
      </c>
      <c r="S1790" s="148" t="str">
        <f>IFERROR(__xludf.DUMMYFUNCTION("""COMPUTED_VALUE"""),"{}")</f>
        <v>{}</v>
      </c>
      <c r="T1790" s="148">
        <f>IFERROR(__xludf.DUMMYFUNCTION("""COMPUTED_VALUE"""),-1.0)</f>
        <v>-1</v>
      </c>
      <c r="U1790" s="148">
        <f>IFERROR(__xludf.DUMMYFUNCTION("""COMPUTED_VALUE"""),1.0)</f>
        <v>1</v>
      </c>
      <c r="V1790" s="148" t="str">
        <f>IFERROR(__xludf.DUMMYFUNCTION("""COMPUTED_VALUE"""),"[]")</f>
        <v>[]</v>
      </c>
      <c r="W1790" s="148">
        <f>IFERROR(__xludf.DUMMYFUNCTION("""COMPUTED_VALUE"""),1.174E7)</f>
        <v>11740000</v>
      </c>
      <c r="X1790" s="148">
        <f>IFERROR(__xludf.DUMMYFUNCTION("""COMPUTED_VALUE"""),0.0)</f>
        <v>0</v>
      </c>
      <c r="Y1790" s="148">
        <f>IFERROR(__xludf.DUMMYFUNCTION("""COMPUTED_VALUE"""),0.0)</f>
        <v>0</v>
      </c>
      <c r="Z1790" s="148"/>
    </row>
    <row r="1791">
      <c r="A1791" s="148">
        <f>IFERROR(__xludf.DUMMYFUNCTION("""COMPUTED_VALUE"""),1.111745E7)</f>
        <v>11117450</v>
      </c>
      <c r="B1791" s="148" t="str">
        <f>IFERROR(__xludf.DUMMYFUNCTION("""COMPUTED_VALUE"""),"2023端午节BattlePass-高级通行证")</f>
        <v>2023端午节BattlePass-高级通行证</v>
      </c>
      <c r="C1791" s="148"/>
      <c r="D1791" s="148" t="str">
        <f>IFERROR(__xludf.DUMMYFUNCTION("""COMPUTED_VALUE"""),"battle_pass_card")</f>
        <v>battle_pass_card</v>
      </c>
      <c r="E1791" s="148">
        <f>IFERROR(__xludf.DUMMYFUNCTION("""COMPUTED_VALUE"""),0.0)</f>
        <v>0</v>
      </c>
      <c r="F1791" s="148">
        <f>IFERROR(__xludf.DUMMYFUNCTION("""COMPUTED_VALUE"""),0.0)</f>
        <v>0</v>
      </c>
      <c r="G1791" s="148">
        <f>IFERROR(__xludf.DUMMYFUNCTION("""COMPUTED_VALUE"""),1.5116526E7)</f>
        <v>15116526</v>
      </c>
      <c r="H1791" s="148">
        <f>IFERROR(__xludf.DUMMYFUNCTION("""COMPUTED_VALUE"""),1.5112564E7)</f>
        <v>15112564</v>
      </c>
      <c r="I1791" s="148" t="str">
        <f>IFERROR(__xludf.DUMMYFUNCTION("""COMPUTED_VALUE"""),"{}")</f>
        <v>{}</v>
      </c>
      <c r="J1791" s="148" t="str">
        <f>IFERROR(__xludf.DUMMYFUNCTION("""COMPUTED_VALUE"""),"{""typ"":""lc"",""txt"":""LC_IAP_dragon_boat_pack_2_unlock""}")</f>
        <v>{"typ":"lc","txt":"LC_IAP_dragon_boat_pack_2_unlock"}</v>
      </c>
      <c r="K1791" s="148" t="str">
        <f>IFERROR(__xludf.DUMMYFUNCTION("""COMPUTED_VALUE"""),"{}")</f>
        <v>{}</v>
      </c>
      <c r="L1791" s="148" t="str">
        <f>IFERROR(__xludf.DUMMYFUNCTION("""COMPUTED_VALUE"""),"{}")</f>
        <v>{}</v>
      </c>
      <c r="M1791" s="148">
        <f>IFERROR(__xludf.DUMMYFUNCTION("""COMPUTED_VALUE"""),10.0)</f>
        <v>10</v>
      </c>
      <c r="N1791" s="148">
        <f>IFERROR(__xludf.DUMMYFUNCTION("""COMPUTED_VALUE"""),999999.0)</f>
        <v>999999</v>
      </c>
      <c r="O1791" s="148">
        <f>IFERROR(__xludf.DUMMYFUNCTION("""COMPUTED_VALUE"""),99999.0)</f>
        <v>99999</v>
      </c>
      <c r="P1791" s="148">
        <f>IFERROR(__xludf.DUMMYFUNCTION("""COMPUTED_VALUE"""),9999.0)</f>
        <v>9999</v>
      </c>
      <c r="Q1791" s="148" t="str">
        <f>IFERROR(__xludf.DUMMYFUNCTION("""COMPUTED_VALUE"""),"[]")</f>
        <v>[]</v>
      </c>
      <c r="R1791" s="148" t="str">
        <f>IFERROR(__xludf.DUMMYFUNCTION("""COMPUTED_VALUE"""),"[]")</f>
        <v>[]</v>
      </c>
      <c r="S1791" s="148" t="str">
        <f>IFERROR(__xludf.DUMMYFUNCTION("""COMPUTED_VALUE"""),"{}")</f>
        <v>{}</v>
      </c>
      <c r="T1791" s="148">
        <f>IFERROR(__xludf.DUMMYFUNCTION("""COMPUTED_VALUE"""),-1.0)</f>
        <v>-1</v>
      </c>
      <c r="U1791" s="148">
        <f>IFERROR(__xludf.DUMMYFUNCTION("""COMPUTED_VALUE"""),1.0)</f>
        <v>1</v>
      </c>
      <c r="V1791" s="148" t="str">
        <f>IFERROR(__xludf.DUMMYFUNCTION("""COMPUTED_VALUE"""),"[]")</f>
        <v>[]</v>
      </c>
      <c r="W1791" s="148">
        <f>IFERROR(__xludf.DUMMYFUNCTION("""COMPUTED_VALUE"""),1.174E7)</f>
        <v>11740000</v>
      </c>
      <c r="X1791" s="148">
        <f>IFERROR(__xludf.DUMMYFUNCTION("""COMPUTED_VALUE"""),0.0)</f>
        <v>0</v>
      </c>
      <c r="Y1791" s="148">
        <f>IFERROR(__xludf.DUMMYFUNCTION("""COMPUTED_VALUE"""),0.0)</f>
        <v>0</v>
      </c>
      <c r="Z1791" s="148"/>
    </row>
    <row r="1792">
      <c r="A1792" s="148">
        <f>IFERROR(__xludf.DUMMYFUNCTION("""COMPUTED_VALUE"""),1.1117451E7)</f>
        <v>11117451</v>
      </c>
      <c r="B1792" s="148" t="str">
        <f>IFERROR(__xludf.DUMMYFUNCTION("""COMPUTED_VALUE"""),"龙舟鼓-端午节2023活动BP道具")</f>
        <v>龙舟鼓-端午节2023活动BP道具</v>
      </c>
      <c r="C1792" s="148"/>
      <c r="D1792" s="148" t="str">
        <f>IFERROR(__xludf.DUMMYFUNCTION("""COMPUTED_VALUE"""),"battle_pass_exp")</f>
        <v>battle_pass_exp</v>
      </c>
      <c r="E1792" s="148">
        <f>IFERROR(__xludf.DUMMYFUNCTION("""COMPUTED_VALUE"""),0.0)</f>
        <v>0</v>
      </c>
      <c r="F1792" s="148">
        <f>IFERROR(__xludf.DUMMYFUNCTION("""COMPUTED_VALUE"""),405217.0)</f>
        <v>405217</v>
      </c>
      <c r="G1792" s="148">
        <f>IFERROR(__xludf.DUMMYFUNCTION("""COMPUTED_VALUE"""),1.5116526E7)</f>
        <v>15116526</v>
      </c>
      <c r="H1792" s="148">
        <f>IFERROR(__xludf.DUMMYFUNCTION("""COMPUTED_VALUE"""),1.5112563E7)</f>
        <v>15112563</v>
      </c>
      <c r="I1792" s="148" t="str">
        <f>IFERROR(__xludf.DUMMYFUNCTION("""COMPUTED_VALUE"""),"{}")</f>
        <v>{}</v>
      </c>
      <c r="J1792" s="148" t="str">
        <f>IFERROR(__xludf.DUMMYFUNCTION("""COMPUTED_VALUE"""),"{""typ"":""lc"",""txt"":""LC_ITEM_dragon_boat_bp_item""}")</f>
        <v>{"typ":"lc","txt":"LC_ITEM_dragon_boat_bp_item"}</v>
      </c>
      <c r="K1792" s="148" t="str">
        <f>IFERROR(__xludf.DUMMYFUNCTION("""COMPUTED_VALUE"""),"{""typ"":""lc"",""txt"":""LC_ITEM_dragon_boat_bp_item_desc""}")</f>
        <v>{"typ":"lc","txt":"LC_ITEM_dragon_boat_bp_item_desc"}</v>
      </c>
      <c r="L1792" s="148" t="str">
        <f>IFERROR(__xludf.DUMMYFUNCTION("""COMPUTED_VALUE"""),"{}")</f>
        <v>{}</v>
      </c>
      <c r="M1792" s="148">
        <f>IFERROR(__xludf.DUMMYFUNCTION("""COMPUTED_VALUE"""),35.0)</f>
        <v>35</v>
      </c>
      <c r="N1792" s="148">
        <f>IFERROR(__xludf.DUMMYFUNCTION("""COMPUTED_VALUE"""),999999.0)</f>
        <v>999999</v>
      </c>
      <c r="O1792" s="148">
        <f>IFERROR(__xludf.DUMMYFUNCTION("""COMPUTED_VALUE"""),99999.0)</f>
        <v>99999</v>
      </c>
      <c r="P1792" s="148">
        <f>IFERROR(__xludf.DUMMYFUNCTION("""COMPUTED_VALUE"""),99999.0)</f>
        <v>99999</v>
      </c>
      <c r="Q1792" s="148" t="str">
        <f>IFERROR(__xludf.DUMMYFUNCTION("""COMPUTED_VALUE"""),"[""bag_other""]")</f>
        <v>["bag_other"]</v>
      </c>
      <c r="R1792" s="148" t="str">
        <f>IFERROR(__xludf.DUMMYFUNCTION("""COMPUTED_VALUE"""),"[""bag""]")</f>
        <v>["bag"]</v>
      </c>
      <c r="S1792" s="148" t="str">
        <f>IFERROR(__xludf.DUMMYFUNCTION("""COMPUTED_VALUE"""),"{}")</f>
        <v>{}</v>
      </c>
      <c r="T1792" s="148">
        <f>IFERROR(__xludf.DUMMYFUNCTION("""COMPUTED_VALUE"""),-1.0)</f>
        <v>-1</v>
      </c>
      <c r="U1792" s="148">
        <f>IFERROR(__xludf.DUMMYFUNCTION("""COMPUTED_VALUE"""),0.0)</f>
        <v>0</v>
      </c>
      <c r="V1792" s="148" t="str">
        <f>IFERROR(__xludf.DUMMYFUNCTION("""COMPUTED_VALUE"""),"[]")</f>
        <v>[]</v>
      </c>
      <c r="W1792" s="148">
        <f>IFERROR(__xludf.DUMMYFUNCTION("""COMPUTED_VALUE"""),1.174E7)</f>
        <v>11740000</v>
      </c>
      <c r="X1792" s="148">
        <f>IFERROR(__xludf.DUMMYFUNCTION("""COMPUTED_VALUE"""),0.0)</f>
        <v>0</v>
      </c>
      <c r="Y1792" s="148">
        <f>IFERROR(__xludf.DUMMYFUNCTION("""COMPUTED_VALUE"""),0.0)</f>
        <v>0</v>
      </c>
      <c r="Z1792" s="148"/>
    </row>
    <row r="1793">
      <c r="A1793" s="148">
        <f>IFERROR(__xludf.DUMMYFUNCTION("""COMPUTED_VALUE"""),1.1117452E7)</f>
        <v>11117452</v>
      </c>
      <c r="B1793" s="148" t="str">
        <f>IFERROR(__xludf.DUMMYFUNCTION("""COMPUTED_VALUE"""),"端午节2023活动专用-增加次数道具")</f>
        <v>端午节2023活动专用-增加次数道具</v>
      </c>
      <c r="C1793" s="148"/>
      <c r="D1793" s="148" t="str">
        <f>IFERROR(__xludf.DUMMYFUNCTION("""COMPUTED_VALUE"""),"event_progress")</f>
        <v>event_progress</v>
      </c>
      <c r="E1793" s="148">
        <f>IFERROR(__xludf.DUMMYFUNCTION("""COMPUTED_VALUE"""),0.0)</f>
        <v>0</v>
      </c>
      <c r="F1793" s="148">
        <f>IFERROR(__xludf.DUMMYFUNCTION("""COMPUTED_VALUE"""),0.0)</f>
        <v>0</v>
      </c>
      <c r="G1793" s="148">
        <f>IFERROR(__xludf.DUMMYFUNCTION("""COMPUTED_VALUE"""),1.5113732E7)</f>
        <v>15113732</v>
      </c>
      <c r="H1793" s="148">
        <f>IFERROR(__xludf.DUMMYFUNCTION("""COMPUTED_VALUE"""),1.5112563E7)</f>
        <v>15112563</v>
      </c>
      <c r="I1793" s="148" t="str">
        <f>IFERROR(__xludf.DUMMYFUNCTION("""COMPUTED_VALUE"""),"{}")</f>
        <v>{}</v>
      </c>
      <c r="J1793" s="148" t="str">
        <f>IFERROR(__xludf.DUMMYFUNCTION("""COMPUTED_VALUE"""),"{}")</f>
        <v>{}</v>
      </c>
      <c r="K1793" s="148" t="str">
        <f>IFERROR(__xludf.DUMMYFUNCTION("""COMPUTED_VALUE"""),"{}")</f>
        <v>{}</v>
      </c>
      <c r="L1793" s="148" t="str">
        <f>IFERROR(__xludf.DUMMYFUNCTION("""COMPUTED_VALUE"""),"{}")</f>
        <v>{}</v>
      </c>
      <c r="M1793" s="148">
        <f>IFERROR(__xludf.DUMMYFUNCTION("""COMPUTED_VALUE"""),1.0)</f>
        <v>1</v>
      </c>
      <c r="N1793" s="148">
        <f>IFERROR(__xludf.DUMMYFUNCTION("""COMPUTED_VALUE"""),999999.0)</f>
        <v>999999</v>
      </c>
      <c r="O1793" s="148">
        <f>IFERROR(__xludf.DUMMYFUNCTION("""COMPUTED_VALUE"""),99999.0)</f>
        <v>99999</v>
      </c>
      <c r="P1793" s="148">
        <f>IFERROR(__xludf.DUMMYFUNCTION("""COMPUTED_VALUE"""),9999.0)</f>
        <v>9999</v>
      </c>
      <c r="Q1793" s="148" t="str">
        <f>IFERROR(__xludf.DUMMYFUNCTION("""COMPUTED_VALUE"""),"[]")</f>
        <v>[]</v>
      </c>
      <c r="R1793" s="148" t="str">
        <f>IFERROR(__xludf.DUMMYFUNCTION("""COMPUTED_VALUE"""),"[]")</f>
        <v>[]</v>
      </c>
      <c r="S1793" s="148" t="str">
        <f>IFERROR(__xludf.DUMMYFUNCTION("""COMPUTED_VALUE"""),"{""effect"":[{""typ"":""event"",""id"":21121549},{""typ"":""miss_lost_reward""}]}")</f>
        <v>{"effect":[{"typ":"event","id":21121549},{"typ":"miss_lost_reward"}]}</v>
      </c>
      <c r="T1793" s="148">
        <f>IFERROR(__xludf.DUMMYFUNCTION("""COMPUTED_VALUE"""),-1.0)</f>
        <v>-1</v>
      </c>
      <c r="U1793" s="148">
        <f>IFERROR(__xludf.DUMMYFUNCTION("""COMPUTED_VALUE"""),1.0)</f>
        <v>1</v>
      </c>
      <c r="V1793" s="148" t="str">
        <f>IFERROR(__xludf.DUMMYFUNCTION("""COMPUTED_VALUE"""),"[]")</f>
        <v>[]</v>
      </c>
      <c r="W1793" s="148">
        <f>IFERROR(__xludf.DUMMYFUNCTION("""COMPUTED_VALUE"""),1.174E7)</f>
        <v>11740000</v>
      </c>
      <c r="X1793" s="148">
        <f>IFERROR(__xludf.DUMMYFUNCTION("""COMPUTED_VALUE"""),0.0)</f>
        <v>0</v>
      </c>
      <c r="Y1793" s="148">
        <f>IFERROR(__xludf.DUMMYFUNCTION("""COMPUTED_VALUE"""),0.0)</f>
        <v>0</v>
      </c>
      <c r="Z1793" s="148"/>
    </row>
    <row r="1794">
      <c r="A1794" s="148">
        <f>IFERROR(__xludf.DUMMYFUNCTION("""COMPUTED_VALUE"""),1.1117453E7)</f>
        <v>11117453</v>
      </c>
      <c r="B1794" s="148" t="str">
        <f>IFERROR(__xludf.DUMMYFUNCTION("""COMPUTED_VALUE"""),"行军特效-夏日涟漪-1天限时")</f>
        <v>行军特效-夏日涟漪-1天限时</v>
      </c>
      <c r="C1794" s="148"/>
      <c r="D1794" s="148" t="str">
        <f>IFERROR(__xludf.DUMMYFUNCTION("""COMPUTED_VALUE"""),"marching_effect")</f>
        <v>marching_effect</v>
      </c>
      <c r="E1794" s="148">
        <f>IFERROR(__xludf.DUMMYFUNCTION("""COMPUTED_VALUE"""),0.0)</f>
        <v>0</v>
      </c>
      <c r="F1794" s="148">
        <f>IFERROR(__xludf.DUMMYFUNCTION("""COMPUTED_VALUE"""),408200.0)</f>
        <v>408200</v>
      </c>
      <c r="G1794" s="148">
        <f>IFERROR(__xludf.DUMMYFUNCTION("""COMPUTED_VALUE"""),1.5116525E7)</f>
        <v>15116525</v>
      </c>
      <c r="H1794" s="148">
        <f>IFERROR(__xludf.DUMMYFUNCTION("""COMPUTED_VALUE"""),1.511256E7)</f>
        <v>15112560</v>
      </c>
      <c r="I1794" s="148" t="str">
        <f>IFERROR(__xludf.DUMMYFUNCTION("""COMPUTED_VALUE"""),"{""typ"":""lc"",""txt"":""LC_ITEM_time_day_upper_show"",""args"":[{""typ"":""int_unit"",""val"":1}]}")</f>
        <v>{"typ":"lc","txt":"LC_ITEM_time_day_upper_show","args":[{"typ":"int_unit","val":1}]}</v>
      </c>
      <c r="J1794" s="148" t="str">
        <f>IFERROR(__xludf.DUMMYFUNCTION("""COMPUTED_VALUE"""),"{""typ"":""lc"",""txt"":""LC_ITEM_2023_dragon_boat_march_effect_title""}")</f>
        <v>{"typ":"lc","txt":"LC_ITEM_2023_dragon_boat_march_effect_title"}</v>
      </c>
      <c r="K1794" s="148" t="str">
        <f>IFERROR(__xludf.DUMMYFUNCTION("""COMPUTED_VALUE"""),"{""typ"":""lc"",""txt"":""LC_ITEM_2023_dragon_boat_march_effect_title_desc""}")</f>
        <v>{"typ":"lc","txt":"LC_ITEM_2023_dragon_boat_march_effect_title_desc"}</v>
      </c>
      <c r="L1794" s="148" t="str">
        <f>IFERROR(__xludf.DUMMYFUNCTION("""COMPUTED_VALUE"""),"{""typ"":""lc"",""txt"":""LC_ITEM_2023_dragon_boat_bp_march_effect_use_tip_1d""}")</f>
        <v>{"typ":"lc","txt":"LC_ITEM_2023_dragon_boat_bp_march_effect_use_tip_1d"}</v>
      </c>
      <c r="M1794" s="148">
        <f>IFERROR(__xludf.DUMMYFUNCTION("""COMPUTED_VALUE"""),50.0)</f>
        <v>50</v>
      </c>
      <c r="N1794" s="148">
        <f>IFERROR(__xludf.DUMMYFUNCTION("""COMPUTED_VALUE"""),999999.0)</f>
        <v>999999</v>
      </c>
      <c r="O1794" s="148">
        <f>IFERROR(__xludf.DUMMYFUNCTION("""COMPUTED_VALUE"""),99999.0)</f>
        <v>99999</v>
      </c>
      <c r="P1794" s="148">
        <f>IFERROR(__xludf.DUMMYFUNCTION("""COMPUTED_VALUE"""),1.0)</f>
        <v>1</v>
      </c>
      <c r="Q1794" s="148" t="str">
        <f>IFERROR(__xludf.DUMMYFUNCTION("""COMPUTED_VALUE"""),"[""bag_other""]")</f>
        <v>["bag_other"]</v>
      </c>
      <c r="R1794" s="148" t="str">
        <f>IFERROR(__xludf.DUMMYFUNCTION("""COMPUTED_VALUE"""),"[""bag"",""13650109""]")</f>
        <v>["bag","13650109"]</v>
      </c>
      <c r="S1794" s="148" t="str">
        <f>IFERROR(__xludf.DUMMYFUNCTION("""COMPUTED_VALUE"""),"{""effect"":[{""typ"":""marching_effect"",""id"":13650109,""val"":86400000},{""typ"":""vm"",""id"":11151001,""val"":50}]}")</f>
        <v>{"effect":[{"typ":"marching_effect","id":13650109,"val":86400000},{"typ":"vm","id":11151001,"val":50}]}</v>
      </c>
      <c r="T1794" s="148">
        <f>IFERROR(__xludf.DUMMYFUNCTION("""COMPUTED_VALUE"""),-1.0)</f>
        <v>-1</v>
      </c>
      <c r="U1794" s="148">
        <f>IFERROR(__xludf.DUMMYFUNCTION("""COMPUTED_VALUE"""),0.0)</f>
        <v>0</v>
      </c>
      <c r="V1794" s="148" t="str">
        <f>IFERROR(__xludf.DUMMYFUNCTION("""COMPUTED_VALUE"""),"[]")</f>
        <v>[]</v>
      </c>
      <c r="W1794" s="148">
        <f>IFERROR(__xludf.DUMMYFUNCTION("""COMPUTED_VALUE"""),1.174E7)</f>
        <v>11740000</v>
      </c>
      <c r="X1794" s="148">
        <f>IFERROR(__xludf.DUMMYFUNCTION("""COMPUTED_VALUE"""),0.0)</f>
        <v>0</v>
      </c>
      <c r="Y1794" s="148">
        <f>IFERROR(__xludf.DUMMYFUNCTION("""COMPUTED_VALUE"""),0.0)</f>
        <v>0</v>
      </c>
      <c r="Z1794" s="148"/>
    </row>
    <row r="1795">
      <c r="A1795" s="148">
        <f>IFERROR(__xludf.DUMMYFUNCTION("""COMPUTED_VALUE"""),1.1117454E7)</f>
        <v>11117454</v>
      </c>
      <c r="B1795" s="148" t="str">
        <f>IFERROR(__xludf.DUMMYFUNCTION("""COMPUTED_VALUE"""),"行军特效-夏日涟漪-3天限时")</f>
        <v>行军特效-夏日涟漪-3天限时</v>
      </c>
      <c r="C1795" s="148"/>
      <c r="D1795" s="148" t="str">
        <f>IFERROR(__xludf.DUMMYFUNCTION("""COMPUTED_VALUE"""),"marching_effect")</f>
        <v>marching_effect</v>
      </c>
      <c r="E1795" s="148">
        <f>IFERROR(__xludf.DUMMYFUNCTION("""COMPUTED_VALUE"""),0.0)</f>
        <v>0</v>
      </c>
      <c r="F1795" s="148">
        <f>IFERROR(__xludf.DUMMYFUNCTION("""COMPUTED_VALUE"""),408199.0)</f>
        <v>408199</v>
      </c>
      <c r="G1795" s="148">
        <f>IFERROR(__xludf.DUMMYFUNCTION("""COMPUTED_VALUE"""),1.5116525E7)</f>
        <v>15116525</v>
      </c>
      <c r="H1795" s="148">
        <f>IFERROR(__xludf.DUMMYFUNCTION("""COMPUTED_VALUE"""),1.5112561E7)</f>
        <v>15112561</v>
      </c>
      <c r="I1795" s="148" t="str">
        <f>IFERROR(__xludf.DUMMYFUNCTION("""COMPUTED_VALUE"""),"{""typ"":""lc"",""txt"":""LC_ITEM_time_day_upper_show"",""args"":[{""typ"":""int_unit"",""val"":3}]}")</f>
        <v>{"typ":"lc","txt":"LC_ITEM_time_day_upper_show","args":[{"typ":"int_unit","val":3}]}</v>
      </c>
      <c r="J1795" s="148" t="str">
        <f>IFERROR(__xludf.DUMMYFUNCTION("""COMPUTED_VALUE"""),"{""typ"":""lc"",""txt"":""LC_ITEM_2023_dragon_boat_march_effect_title""}")</f>
        <v>{"typ":"lc","txt":"LC_ITEM_2023_dragon_boat_march_effect_title"}</v>
      </c>
      <c r="K1795" s="148" t="str">
        <f>IFERROR(__xludf.DUMMYFUNCTION("""COMPUTED_VALUE"""),"{""typ"":""lc"",""txt"":""LC_ITEM_2023_dragon_boat_march_effect_title_desc""}")</f>
        <v>{"typ":"lc","txt":"LC_ITEM_2023_dragon_boat_march_effect_title_desc"}</v>
      </c>
      <c r="L1795" s="148" t="str">
        <f>IFERROR(__xludf.DUMMYFUNCTION("""COMPUTED_VALUE"""),"{""typ"":""lc"",""txt"":""LC_ITEM_2023_dragon_boat_bp_march_effect_use_tip_3d""}")</f>
        <v>{"typ":"lc","txt":"LC_ITEM_2023_dragon_boat_bp_march_effect_use_tip_3d"}</v>
      </c>
      <c r="M1795" s="148">
        <f>IFERROR(__xludf.DUMMYFUNCTION("""COMPUTED_VALUE"""),200.0)</f>
        <v>200</v>
      </c>
      <c r="N1795" s="148">
        <f>IFERROR(__xludf.DUMMYFUNCTION("""COMPUTED_VALUE"""),999999.0)</f>
        <v>999999</v>
      </c>
      <c r="O1795" s="148">
        <f>IFERROR(__xludf.DUMMYFUNCTION("""COMPUTED_VALUE"""),99999.0)</f>
        <v>99999</v>
      </c>
      <c r="P1795" s="148">
        <f>IFERROR(__xludf.DUMMYFUNCTION("""COMPUTED_VALUE"""),1.0)</f>
        <v>1</v>
      </c>
      <c r="Q1795" s="148" t="str">
        <f>IFERROR(__xludf.DUMMYFUNCTION("""COMPUTED_VALUE"""),"[""bag_other""]")</f>
        <v>["bag_other"]</v>
      </c>
      <c r="R1795" s="148" t="str">
        <f>IFERROR(__xludf.DUMMYFUNCTION("""COMPUTED_VALUE"""),"[""bag"",""13650109""]")</f>
        <v>["bag","13650109"]</v>
      </c>
      <c r="S1795" s="148" t="str">
        <f>IFERROR(__xludf.DUMMYFUNCTION("""COMPUTED_VALUE"""),"{""effect"":[{""typ"":""marching_effect"",""id"":13650109,""val"":259200000},{""typ"":""vm"",""id"":11151001,""val"":200}]}")</f>
        <v>{"effect":[{"typ":"marching_effect","id":13650109,"val":259200000},{"typ":"vm","id":11151001,"val":200}]}</v>
      </c>
      <c r="T1795" s="148">
        <f>IFERROR(__xludf.DUMMYFUNCTION("""COMPUTED_VALUE"""),-1.0)</f>
        <v>-1</v>
      </c>
      <c r="U1795" s="148">
        <f>IFERROR(__xludf.DUMMYFUNCTION("""COMPUTED_VALUE"""),0.0)</f>
        <v>0</v>
      </c>
      <c r="V1795" s="148" t="str">
        <f>IFERROR(__xludf.DUMMYFUNCTION("""COMPUTED_VALUE"""),"[]")</f>
        <v>[]</v>
      </c>
      <c r="W1795" s="148">
        <f>IFERROR(__xludf.DUMMYFUNCTION("""COMPUTED_VALUE"""),1.174E7)</f>
        <v>11740000</v>
      </c>
      <c r="X1795" s="148">
        <f>IFERROR(__xludf.DUMMYFUNCTION("""COMPUTED_VALUE"""),0.0)</f>
        <v>0</v>
      </c>
      <c r="Y1795" s="148">
        <f>IFERROR(__xludf.DUMMYFUNCTION("""COMPUTED_VALUE"""),0.0)</f>
        <v>0</v>
      </c>
      <c r="Z1795" s="148"/>
    </row>
    <row r="1796">
      <c r="A1796" s="148">
        <f>IFERROR(__xludf.DUMMYFUNCTION("""COMPUTED_VALUE"""),1.1117455E7)</f>
        <v>11117455</v>
      </c>
      <c r="B1796" s="148" t="str">
        <f>IFERROR(__xludf.DUMMYFUNCTION("""COMPUTED_VALUE"""),"行军特效-夏日涟漪-7天限时")</f>
        <v>行军特效-夏日涟漪-7天限时</v>
      </c>
      <c r="C1796" s="148"/>
      <c r="D1796" s="148" t="str">
        <f>IFERROR(__xludf.DUMMYFUNCTION("""COMPUTED_VALUE"""),"marching_effect")</f>
        <v>marching_effect</v>
      </c>
      <c r="E1796" s="148">
        <f>IFERROR(__xludf.DUMMYFUNCTION("""COMPUTED_VALUE"""),0.0)</f>
        <v>0</v>
      </c>
      <c r="F1796" s="148">
        <f>IFERROR(__xludf.DUMMYFUNCTION("""COMPUTED_VALUE"""),408198.0)</f>
        <v>408198</v>
      </c>
      <c r="G1796" s="148">
        <f>IFERROR(__xludf.DUMMYFUNCTION("""COMPUTED_VALUE"""),1.5116525E7)</f>
        <v>15116525</v>
      </c>
      <c r="H1796" s="148">
        <f>IFERROR(__xludf.DUMMYFUNCTION("""COMPUTED_VALUE"""),1.5112562E7)</f>
        <v>15112562</v>
      </c>
      <c r="I1796" s="148" t="str">
        <f>IFERROR(__xludf.DUMMYFUNCTION("""COMPUTED_VALUE"""),"{""typ"":""lc"",""txt"":""LC_ITEM_time_day_upper_show"",""args"":[{""typ"":""int_unit"",""val"":7}]}")</f>
        <v>{"typ":"lc","txt":"LC_ITEM_time_day_upper_show","args":[{"typ":"int_unit","val":7}]}</v>
      </c>
      <c r="J1796" s="148" t="str">
        <f>IFERROR(__xludf.DUMMYFUNCTION("""COMPUTED_VALUE"""),"{""typ"":""lc"",""txt"":""LC_ITEM_2023_dragon_boat_march_effect_title""}")</f>
        <v>{"typ":"lc","txt":"LC_ITEM_2023_dragon_boat_march_effect_title"}</v>
      </c>
      <c r="K1796" s="148" t="str">
        <f>IFERROR(__xludf.DUMMYFUNCTION("""COMPUTED_VALUE"""),"{""typ"":""lc"",""txt"":""LC_ITEM_2023_dragon_boat_march_effect_title_desc""}")</f>
        <v>{"typ":"lc","txt":"LC_ITEM_2023_dragon_boat_march_effect_title_desc"}</v>
      </c>
      <c r="L1796" s="148" t="str">
        <f>IFERROR(__xludf.DUMMYFUNCTION("""COMPUTED_VALUE"""),"{""typ"":""lc"",""txt"":""LC_ITEM_2023_dragon_boat_bp_march_effect_use_tip_7d""}")</f>
        <v>{"typ":"lc","txt":"LC_ITEM_2023_dragon_boat_bp_march_effect_use_tip_7d"}</v>
      </c>
      <c r="M1796" s="148">
        <f>IFERROR(__xludf.DUMMYFUNCTION("""COMPUTED_VALUE"""),500.0)</f>
        <v>500</v>
      </c>
      <c r="N1796" s="148">
        <f>IFERROR(__xludf.DUMMYFUNCTION("""COMPUTED_VALUE"""),999999.0)</f>
        <v>999999</v>
      </c>
      <c r="O1796" s="148">
        <f>IFERROR(__xludf.DUMMYFUNCTION("""COMPUTED_VALUE"""),99999.0)</f>
        <v>99999</v>
      </c>
      <c r="P1796" s="148">
        <f>IFERROR(__xludf.DUMMYFUNCTION("""COMPUTED_VALUE"""),1.0)</f>
        <v>1</v>
      </c>
      <c r="Q1796" s="148" t="str">
        <f>IFERROR(__xludf.DUMMYFUNCTION("""COMPUTED_VALUE"""),"[""bag_other""]")</f>
        <v>["bag_other"]</v>
      </c>
      <c r="R1796" s="148" t="str">
        <f>IFERROR(__xludf.DUMMYFUNCTION("""COMPUTED_VALUE"""),"[""bag"",""13650109""]")</f>
        <v>["bag","13650109"]</v>
      </c>
      <c r="S1796" s="148" t="str">
        <f>IFERROR(__xludf.DUMMYFUNCTION("""COMPUTED_VALUE"""),"{""effect"":[{""typ"":""marching_effect"",""id"":13650109,""val"":604800000},{""typ"":""vm"",""id"":11151001,""val"":500}]}")</f>
        <v>{"effect":[{"typ":"marching_effect","id":13650109,"val":604800000},{"typ":"vm","id":11151001,"val":500}]}</v>
      </c>
      <c r="T1796" s="148">
        <f>IFERROR(__xludf.DUMMYFUNCTION("""COMPUTED_VALUE"""),-1.0)</f>
        <v>-1</v>
      </c>
      <c r="U1796" s="148">
        <f>IFERROR(__xludf.DUMMYFUNCTION("""COMPUTED_VALUE"""),0.0)</f>
        <v>0</v>
      </c>
      <c r="V1796" s="148" t="str">
        <f>IFERROR(__xludf.DUMMYFUNCTION("""COMPUTED_VALUE"""),"[]")</f>
        <v>[]</v>
      </c>
      <c r="W1796" s="148">
        <f>IFERROR(__xludf.DUMMYFUNCTION("""COMPUTED_VALUE"""),1.174E7)</f>
        <v>11740000</v>
      </c>
      <c r="X1796" s="148">
        <f>IFERROR(__xludf.DUMMYFUNCTION("""COMPUTED_VALUE"""),0.0)</f>
        <v>0</v>
      </c>
      <c r="Y1796" s="148">
        <f>IFERROR(__xludf.DUMMYFUNCTION("""COMPUTED_VALUE"""),0.0)</f>
        <v>0</v>
      </c>
      <c r="Z1796" s="148"/>
    </row>
    <row r="1797">
      <c r="A1797" s="148">
        <f>IFERROR(__xludf.DUMMYFUNCTION("""COMPUTED_VALUE"""),1.1117456E7)</f>
        <v>11117456</v>
      </c>
      <c r="B1797" s="148" t="str">
        <f>IFERROR(__xludf.DUMMYFUNCTION("""COMPUTED_VALUE"""),"行军特效-夏日涟漪-14天限时")</f>
        <v>行军特效-夏日涟漪-14天限时</v>
      </c>
      <c r="C1797" s="148"/>
      <c r="D1797" s="148" t="str">
        <f>IFERROR(__xludf.DUMMYFUNCTION("""COMPUTED_VALUE"""),"marching_effect")</f>
        <v>marching_effect</v>
      </c>
      <c r="E1797" s="148">
        <f>IFERROR(__xludf.DUMMYFUNCTION("""COMPUTED_VALUE"""),0.0)</f>
        <v>0</v>
      </c>
      <c r="F1797" s="148">
        <f>IFERROR(__xludf.DUMMYFUNCTION("""COMPUTED_VALUE"""),408197.0)</f>
        <v>408197</v>
      </c>
      <c r="G1797" s="148">
        <f>IFERROR(__xludf.DUMMYFUNCTION("""COMPUTED_VALUE"""),1.5116525E7)</f>
        <v>15116525</v>
      </c>
      <c r="H1797" s="148">
        <f>IFERROR(__xludf.DUMMYFUNCTION("""COMPUTED_VALUE"""),1.5112563E7)</f>
        <v>15112563</v>
      </c>
      <c r="I1797" s="148" t="str">
        <f>IFERROR(__xludf.DUMMYFUNCTION("""COMPUTED_VALUE"""),"{""typ"":""lc"",""txt"":""LC_ITEM_time_day_upper_show"",""args"":[{""typ"":""int_unit"",""val"":14}]}")</f>
        <v>{"typ":"lc","txt":"LC_ITEM_time_day_upper_show","args":[{"typ":"int_unit","val":14}]}</v>
      </c>
      <c r="J1797" s="148" t="str">
        <f>IFERROR(__xludf.DUMMYFUNCTION("""COMPUTED_VALUE"""),"{""typ"":""lc"",""txt"":""LC_ITEM_2023_dragon_boat_march_effect_title""}")</f>
        <v>{"typ":"lc","txt":"LC_ITEM_2023_dragon_boat_march_effect_title"}</v>
      </c>
      <c r="K1797" s="148" t="str">
        <f>IFERROR(__xludf.DUMMYFUNCTION("""COMPUTED_VALUE"""),"{""typ"":""lc"",""txt"":""LC_ITEM_2023_dragon_boat_march_effect_title_desc""}")</f>
        <v>{"typ":"lc","txt":"LC_ITEM_2023_dragon_boat_march_effect_title_desc"}</v>
      </c>
      <c r="L1797" s="148" t="str">
        <f>IFERROR(__xludf.DUMMYFUNCTION("""COMPUTED_VALUE"""),"{""typ"":""lc"",""txt"":""LC_ITEM_2023_dragon_boat_bp_march_effect_use_tip_14d""}")</f>
        <v>{"typ":"lc","txt":"LC_ITEM_2023_dragon_boat_bp_march_effect_use_tip_14d"}</v>
      </c>
      <c r="M1797" s="148">
        <f>IFERROR(__xludf.DUMMYFUNCTION("""COMPUTED_VALUE"""),1000.0)</f>
        <v>1000</v>
      </c>
      <c r="N1797" s="148">
        <f>IFERROR(__xludf.DUMMYFUNCTION("""COMPUTED_VALUE"""),999999.0)</f>
        <v>999999</v>
      </c>
      <c r="O1797" s="148">
        <f>IFERROR(__xludf.DUMMYFUNCTION("""COMPUTED_VALUE"""),99999.0)</f>
        <v>99999</v>
      </c>
      <c r="P1797" s="148">
        <f>IFERROR(__xludf.DUMMYFUNCTION("""COMPUTED_VALUE"""),1.0)</f>
        <v>1</v>
      </c>
      <c r="Q1797" s="148" t="str">
        <f>IFERROR(__xludf.DUMMYFUNCTION("""COMPUTED_VALUE"""),"[""bag_other""]")</f>
        <v>["bag_other"]</v>
      </c>
      <c r="R1797" s="148" t="str">
        <f>IFERROR(__xludf.DUMMYFUNCTION("""COMPUTED_VALUE"""),"[""bag"",""13650109""]")</f>
        <v>["bag","13650109"]</v>
      </c>
      <c r="S1797" s="148" t="str">
        <f>IFERROR(__xludf.DUMMYFUNCTION("""COMPUTED_VALUE"""),"{""effect"":[{""typ"":""marching_effect"",""id"":13650109,""val"":1209600000},{""typ"":""vm"",""id"":11151001,""val"":1000}]}")</f>
        <v>{"effect":[{"typ":"marching_effect","id":13650109,"val":1209600000},{"typ":"vm","id":11151001,"val":1000}]}</v>
      </c>
      <c r="T1797" s="148">
        <f>IFERROR(__xludf.DUMMYFUNCTION("""COMPUTED_VALUE"""),-1.0)</f>
        <v>-1</v>
      </c>
      <c r="U1797" s="148">
        <f>IFERROR(__xludf.DUMMYFUNCTION("""COMPUTED_VALUE"""),0.0)</f>
        <v>0</v>
      </c>
      <c r="V1797" s="148" t="str">
        <f>IFERROR(__xludf.DUMMYFUNCTION("""COMPUTED_VALUE"""),"[]")</f>
        <v>[]</v>
      </c>
      <c r="W1797" s="148">
        <f>IFERROR(__xludf.DUMMYFUNCTION("""COMPUTED_VALUE"""),1.174E7)</f>
        <v>11740000</v>
      </c>
      <c r="X1797" s="148">
        <f>IFERROR(__xludf.DUMMYFUNCTION("""COMPUTED_VALUE"""),0.0)</f>
        <v>0</v>
      </c>
      <c r="Y1797" s="148">
        <f>IFERROR(__xludf.DUMMYFUNCTION("""COMPUTED_VALUE"""),0.0)</f>
        <v>0</v>
      </c>
      <c r="Z1797" s="148"/>
    </row>
    <row r="1798">
      <c r="A1798" s="148">
        <f>IFERROR(__xludf.DUMMYFUNCTION("""COMPUTED_VALUE"""),1.1117457E7)</f>
        <v>11117457</v>
      </c>
      <c r="B1798" s="148" t="str">
        <f>IFERROR(__xludf.DUMMYFUNCTION("""COMPUTED_VALUE"""),"行军特效-夏日涟漪-30天限时")</f>
        <v>行军特效-夏日涟漪-30天限时</v>
      </c>
      <c r="C1798" s="148"/>
      <c r="D1798" s="148" t="str">
        <f>IFERROR(__xludf.DUMMYFUNCTION("""COMPUTED_VALUE"""),"marching_effect")</f>
        <v>marching_effect</v>
      </c>
      <c r="E1798" s="148">
        <f>IFERROR(__xludf.DUMMYFUNCTION("""COMPUTED_VALUE"""),0.0)</f>
        <v>0</v>
      </c>
      <c r="F1798" s="148">
        <f>IFERROR(__xludf.DUMMYFUNCTION("""COMPUTED_VALUE"""),408196.0)</f>
        <v>408196</v>
      </c>
      <c r="G1798" s="148">
        <f>IFERROR(__xludf.DUMMYFUNCTION("""COMPUTED_VALUE"""),1.5116525E7)</f>
        <v>15116525</v>
      </c>
      <c r="H1798" s="148">
        <f>IFERROR(__xludf.DUMMYFUNCTION("""COMPUTED_VALUE"""),1.5112563E7)</f>
        <v>15112563</v>
      </c>
      <c r="I1798" s="148" t="str">
        <f>IFERROR(__xludf.DUMMYFUNCTION("""COMPUTED_VALUE"""),"{""typ"":""lc"",""txt"":""LC_ITEM_time_day_upper_show"",""args"":[{""typ"":""int_unit"",""val"":30}]}")</f>
        <v>{"typ":"lc","txt":"LC_ITEM_time_day_upper_show","args":[{"typ":"int_unit","val":30}]}</v>
      </c>
      <c r="J1798" s="148" t="str">
        <f>IFERROR(__xludf.DUMMYFUNCTION("""COMPUTED_VALUE"""),"{""typ"":""lc"",""txt"":""LC_ITEM_2023_dragon_boat_march_effect_title""}")</f>
        <v>{"typ":"lc","txt":"LC_ITEM_2023_dragon_boat_march_effect_title"}</v>
      </c>
      <c r="K1798" s="148" t="str">
        <f>IFERROR(__xludf.DUMMYFUNCTION("""COMPUTED_VALUE"""),"{""typ"":""lc"",""txt"":""LC_ITEM_2023_dragon_boat_march_effect_title_desc""}")</f>
        <v>{"typ":"lc","txt":"LC_ITEM_2023_dragon_boat_march_effect_title_desc"}</v>
      </c>
      <c r="L1798" s="148" t="str">
        <f>IFERROR(__xludf.DUMMYFUNCTION("""COMPUTED_VALUE"""),"{""typ"":""lc"",""txt"":""LC_ITEM_2023_dragon_boat_bp_march_effect_use_tip_30d""}")</f>
        <v>{"typ":"lc","txt":"LC_ITEM_2023_dragon_boat_bp_march_effect_use_tip_30d"}</v>
      </c>
      <c r="M1798" s="148">
        <f>IFERROR(__xludf.DUMMYFUNCTION("""COMPUTED_VALUE"""),2000.0)</f>
        <v>2000</v>
      </c>
      <c r="N1798" s="148">
        <f>IFERROR(__xludf.DUMMYFUNCTION("""COMPUTED_VALUE"""),999999.0)</f>
        <v>999999</v>
      </c>
      <c r="O1798" s="148">
        <f>IFERROR(__xludf.DUMMYFUNCTION("""COMPUTED_VALUE"""),99999.0)</f>
        <v>99999</v>
      </c>
      <c r="P1798" s="148">
        <f>IFERROR(__xludf.DUMMYFUNCTION("""COMPUTED_VALUE"""),1.0)</f>
        <v>1</v>
      </c>
      <c r="Q1798" s="148" t="str">
        <f>IFERROR(__xludf.DUMMYFUNCTION("""COMPUTED_VALUE"""),"[""bag_other""]")</f>
        <v>["bag_other"]</v>
      </c>
      <c r="R1798" s="148" t="str">
        <f>IFERROR(__xludf.DUMMYFUNCTION("""COMPUTED_VALUE"""),"[""bag"",""13650109""]")</f>
        <v>["bag","13650109"]</v>
      </c>
      <c r="S1798" s="148" t="str">
        <f>IFERROR(__xludf.DUMMYFUNCTION("""COMPUTED_VALUE"""),"{""effect"":[{""typ"":""marching_effect"",""id"":13650109,""val"":2592000000},{""typ"":""vm"",""id"":11151001,""val"":1000}]}")</f>
        <v>{"effect":[{"typ":"marching_effect","id":13650109,"val":2592000000},{"typ":"vm","id":11151001,"val":1000}]}</v>
      </c>
      <c r="T1798" s="148">
        <f>IFERROR(__xludf.DUMMYFUNCTION("""COMPUTED_VALUE"""),-1.0)</f>
        <v>-1</v>
      </c>
      <c r="U1798" s="148">
        <f>IFERROR(__xludf.DUMMYFUNCTION("""COMPUTED_VALUE"""),0.0)</f>
        <v>0</v>
      </c>
      <c r="V1798" s="148" t="str">
        <f>IFERROR(__xludf.DUMMYFUNCTION("""COMPUTED_VALUE"""),"[]")</f>
        <v>[]</v>
      </c>
      <c r="W1798" s="148">
        <f>IFERROR(__xludf.DUMMYFUNCTION("""COMPUTED_VALUE"""),1.174E7)</f>
        <v>11740000</v>
      </c>
      <c r="X1798" s="148">
        <f>IFERROR(__xludf.DUMMYFUNCTION("""COMPUTED_VALUE"""),0.0)</f>
        <v>0</v>
      </c>
      <c r="Y1798" s="148">
        <f>IFERROR(__xludf.DUMMYFUNCTION("""COMPUTED_VALUE"""),0.0)</f>
        <v>0</v>
      </c>
      <c r="Z1798" s="148"/>
    </row>
    <row r="1799">
      <c r="A1799" s="148">
        <f>IFERROR(__xludf.DUMMYFUNCTION("""COMPUTED_VALUE"""),1.1117458E7)</f>
        <v>11117458</v>
      </c>
      <c r="B1799" s="148" t="str">
        <f>IFERROR(__xludf.DUMMYFUNCTION("""COMPUTED_VALUE"""),"行军特效夏日涟漪-永久")</f>
        <v>行军特效夏日涟漪-永久</v>
      </c>
      <c r="C1799" s="148"/>
      <c r="D1799" s="148" t="str">
        <f>IFERROR(__xludf.DUMMYFUNCTION("""COMPUTED_VALUE"""),"marching_effect")</f>
        <v>marching_effect</v>
      </c>
      <c r="E1799" s="148">
        <f>IFERROR(__xludf.DUMMYFUNCTION("""COMPUTED_VALUE"""),0.0)</f>
        <v>0</v>
      </c>
      <c r="F1799" s="148">
        <f>IFERROR(__xludf.DUMMYFUNCTION("""COMPUTED_VALUE"""),408195.0)</f>
        <v>408195</v>
      </c>
      <c r="G1799" s="148">
        <f>IFERROR(__xludf.DUMMYFUNCTION("""COMPUTED_VALUE"""),1.5116525E7)</f>
        <v>15116525</v>
      </c>
      <c r="H1799" s="148">
        <f>IFERROR(__xludf.DUMMYFUNCTION("""COMPUTED_VALUE"""),1.5112564E7)</f>
        <v>15112564</v>
      </c>
      <c r="I1799" s="148" t="str">
        <f>IFERROR(__xludf.DUMMYFUNCTION("""COMPUTED_VALUE"""),"{}")</f>
        <v>{}</v>
      </c>
      <c r="J1799" s="148" t="str">
        <f>IFERROR(__xludf.DUMMYFUNCTION("""COMPUTED_VALUE"""),"{""typ"":""lc"",""txt"":""LC_ITEM_2023_dragon_boat_march_effect_title""}")</f>
        <v>{"typ":"lc","txt":"LC_ITEM_2023_dragon_boat_march_effect_title"}</v>
      </c>
      <c r="K1799" s="148" t="str">
        <f>IFERROR(__xludf.DUMMYFUNCTION("""COMPUTED_VALUE"""),"{""typ"":""lc"",""txt"":""LC_ITEM_2023_dragon_boat_march_effect_title_desc""}")</f>
        <v>{"typ":"lc","txt":"LC_ITEM_2023_dragon_boat_march_effect_title_desc"}</v>
      </c>
      <c r="L1799" s="148" t="str">
        <f>IFERROR(__xludf.DUMMYFUNCTION("""COMPUTED_VALUE"""),"{""typ"":""lc"",""txt"":""LC_ITEM_2023_dragon_boat_bp_march_effect_use_tip""}")</f>
        <v>{"typ":"lc","txt":"LC_ITEM_2023_dragon_boat_bp_march_effect_use_tip"}</v>
      </c>
      <c r="M1799" s="148">
        <f>IFERROR(__xludf.DUMMYFUNCTION("""COMPUTED_VALUE"""),5000.0)</f>
        <v>5000</v>
      </c>
      <c r="N1799" s="148">
        <f>IFERROR(__xludf.DUMMYFUNCTION("""COMPUTED_VALUE"""),999999.0)</f>
        <v>999999</v>
      </c>
      <c r="O1799" s="148">
        <f>IFERROR(__xludf.DUMMYFUNCTION("""COMPUTED_VALUE"""),99999.0)</f>
        <v>99999</v>
      </c>
      <c r="P1799" s="148">
        <f>IFERROR(__xludf.DUMMYFUNCTION("""COMPUTED_VALUE"""),1.0)</f>
        <v>1</v>
      </c>
      <c r="Q1799" s="148" t="str">
        <f>IFERROR(__xludf.DUMMYFUNCTION("""COMPUTED_VALUE"""),"[""bag_other""]")</f>
        <v>["bag_other"]</v>
      </c>
      <c r="R1799" s="148" t="str">
        <f>IFERROR(__xludf.DUMMYFUNCTION("""COMPUTED_VALUE"""),"[""bag"",""13650109""]")</f>
        <v>["bag","13650109"]</v>
      </c>
      <c r="S1799" s="148" t="str">
        <f>IFERROR(__xludf.DUMMYFUNCTION("""COMPUTED_VALUE"""),"{""effect"":[{""typ"":""marching_effect"",""id"":13650109,""val"":-1},{""typ"":""vm"",""id"":11151001,""val"":2500}]}")</f>
        <v>{"effect":[{"typ":"marching_effect","id":13650109,"val":-1},{"typ":"vm","id":11151001,"val":2500}]}</v>
      </c>
      <c r="T1799" s="148">
        <f>IFERROR(__xludf.DUMMYFUNCTION("""COMPUTED_VALUE"""),-1.0)</f>
        <v>-1</v>
      </c>
      <c r="U1799" s="148">
        <f>IFERROR(__xludf.DUMMYFUNCTION("""COMPUTED_VALUE"""),0.0)</f>
        <v>0</v>
      </c>
      <c r="V1799" s="148" t="str">
        <f>IFERROR(__xludf.DUMMYFUNCTION("""COMPUTED_VALUE"""),"[]")</f>
        <v>[]</v>
      </c>
      <c r="W1799" s="148">
        <f>IFERROR(__xludf.DUMMYFUNCTION("""COMPUTED_VALUE"""),1.174E7)</f>
        <v>11740000</v>
      </c>
      <c r="X1799" s="148">
        <f>IFERROR(__xludf.DUMMYFUNCTION("""COMPUTED_VALUE"""),0.0)</f>
        <v>0</v>
      </c>
      <c r="Y1799" s="148">
        <f>IFERROR(__xludf.DUMMYFUNCTION("""COMPUTED_VALUE"""),0.0)</f>
        <v>0</v>
      </c>
      <c r="Z1799" s="148"/>
    </row>
    <row r="1800">
      <c r="A1800" s="148">
        <f>IFERROR(__xludf.DUMMYFUNCTION("""COMPUTED_VALUE"""),1.1117459E7)</f>
        <v>11117459</v>
      </c>
      <c r="B1800" s="148" t="str">
        <f>IFERROR(__xludf.DUMMYFUNCTION("""COMPUTED_VALUE"""),"铭牌-2023端午节铭牌")</f>
        <v>铭牌-2023端午节铭牌</v>
      </c>
      <c r="C1800" s="148"/>
      <c r="D1800" s="148" t="str">
        <f>IFERROR(__xludf.DUMMYFUNCTION("""COMPUTED_VALUE"""),"chat_skin")</f>
        <v>chat_skin</v>
      </c>
      <c r="E1800" s="148">
        <f>IFERROR(__xludf.DUMMYFUNCTION("""COMPUTED_VALUE"""),30.0)</f>
        <v>30</v>
      </c>
      <c r="F1800" s="148">
        <f>IFERROR(__xludf.DUMMYFUNCTION("""COMPUTED_VALUE"""),401107.0)</f>
        <v>401107</v>
      </c>
      <c r="G1800" s="148">
        <f>IFERROR(__xludf.DUMMYFUNCTION("""COMPUTED_VALUE"""),1.5116527E7)</f>
        <v>15116527</v>
      </c>
      <c r="H1800" s="148">
        <f>IFERROR(__xludf.DUMMYFUNCTION("""COMPUTED_VALUE"""),1.5112564E7)</f>
        <v>15112564</v>
      </c>
      <c r="I1800" s="148" t="str">
        <f>IFERROR(__xludf.DUMMYFUNCTION("""COMPUTED_VALUE"""),"{}")</f>
        <v>{}</v>
      </c>
      <c r="J1800" s="148" t="str">
        <f>IFERROR(__xludf.DUMMYFUNCTION("""COMPUTED_VALUE"""),"{""typ"":""lc"",""txt"":""LC_ITEM_2023_dragon_boat_nameplate_title""}")</f>
        <v>{"typ":"lc","txt":"LC_ITEM_2023_dragon_boat_nameplate_title"}</v>
      </c>
      <c r="K1800" s="148" t="str">
        <f>IFERROR(__xludf.DUMMYFUNCTION("""COMPUTED_VALUE"""),"{""typ"":""lc"",""txt"":""LC_ITEM_2023_dragon_boat_nameplate_title_desc_item""}")</f>
        <v>{"typ":"lc","txt":"LC_ITEM_2023_dragon_boat_nameplate_title_desc_item"}</v>
      </c>
      <c r="L1800" s="148" t="str">
        <f>IFERROR(__xludf.DUMMYFUNCTION("""COMPUTED_VALUE"""),"{""typ"":""lc"",""txt"":""LC_ITEM_season_extra_reward_usedtip""}")</f>
        <v>{"typ":"lc","txt":"LC_ITEM_season_extra_reward_usedtip"}</v>
      </c>
      <c r="M1800" s="148">
        <f>IFERROR(__xludf.DUMMYFUNCTION("""COMPUTED_VALUE"""),2500.0)</f>
        <v>2500</v>
      </c>
      <c r="N1800" s="148">
        <f>IFERROR(__xludf.DUMMYFUNCTION("""COMPUTED_VALUE"""),9999999.0)</f>
        <v>9999999</v>
      </c>
      <c r="O1800" s="148">
        <f>IFERROR(__xludf.DUMMYFUNCTION("""COMPUTED_VALUE"""),1.0)</f>
        <v>1</v>
      </c>
      <c r="P1800" s="148">
        <f>IFERROR(__xludf.DUMMYFUNCTION("""COMPUTED_VALUE"""),1.0)</f>
        <v>1</v>
      </c>
      <c r="Q1800" s="148" t="str">
        <f>IFERROR(__xludf.DUMMYFUNCTION("""COMPUTED_VALUE"""),"[""bag_other""]")</f>
        <v>["bag_other"]</v>
      </c>
      <c r="R1800" s="148" t="str">
        <f>IFERROR(__xludf.DUMMYFUNCTION("""COMPUTED_VALUE"""),"[""11731011"",""bag""]")</f>
        <v>["11731011","bag"]</v>
      </c>
      <c r="S1800" s="148" t="str">
        <f>IFERROR(__xludf.DUMMYFUNCTION("""COMPUTED_VALUE"""),"{""effect"":[{""typ"":""nameplate"",""id"":11731011,""val"":-1}]}")</f>
        <v>{"effect":[{"typ":"nameplate","id":11731011,"val":-1}]}</v>
      </c>
      <c r="T1800" s="148">
        <f>IFERROR(__xludf.DUMMYFUNCTION("""COMPUTED_VALUE"""),-1.0)</f>
        <v>-1</v>
      </c>
      <c r="U1800" s="148">
        <f>IFERROR(__xludf.DUMMYFUNCTION("""COMPUTED_VALUE"""),0.0)</f>
        <v>0</v>
      </c>
      <c r="V1800" s="148" t="str">
        <f>IFERROR(__xludf.DUMMYFUNCTION("""COMPUTED_VALUE"""),"[]")</f>
        <v>[]</v>
      </c>
      <c r="W1800" s="148">
        <f>IFERROR(__xludf.DUMMYFUNCTION("""COMPUTED_VALUE"""),1.174E7)</f>
        <v>11740000</v>
      </c>
      <c r="X1800" s="148">
        <f>IFERROR(__xludf.DUMMYFUNCTION("""COMPUTED_VALUE"""),0.0)</f>
        <v>0</v>
      </c>
      <c r="Y1800" s="148">
        <f>IFERROR(__xludf.DUMMYFUNCTION("""COMPUTED_VALUE"""),0.0)</f>
        <v>0</v>
      </c>
      <c r="Z1800" s="148"/>
    </row>
    <row r="1801">
      <c r="A1801" s="148">
        <f>IFERROR(__xludf.DUMMYFUNCTION("""COMPUTED_VALUE"""),1.111746E7)</f>
        <v>11117460</v>
      </c>
      <c r="B1801" s="148" t="str">
        <f>IFERROR(__xludf.DUMMYFUNCTION("""COMPUTED_VALUE"""),"2023端午节装饰_龙舟雕像")</f>
        <v>2023端午节装饰_龙舟雕像</v>
      </c>
      <c r="C1801" s="148"/>
      <c r="D1801" s="148" t="str">
        <f>IFERROR(__xludf.DUMMYFUNCTION("""COMPUTED_VALUE"""),"decorations")</f>
        <v>decorations</v>
      </c>
      <c r="E1801" s="148">
        <f>IFERROR(__xludf.DUMMYFUNCTION("""COMPUTED_VALUE"""),23.0)</f>
        <v>23</v>
      </c>
      <c r="F1801" s="148">
        <f>IFERROR(__xludf.DUMMYFUNCTION("""COMPUTED_VALUE"""),0.0)</f>
        <v>0</v>
      </c>
      <c r="G1801" s="148">
        <f>IFERROR(__xludf.DUMMYFUNCTION("""COMPUTED_VALUE"""),1.5116524E7)</f>
        <v>15116524</v>
      </c>
      <c r="H1801" s="148">
        <f>IFERROR(__xludf.DUMMYFUNCTION("""COMPUTED_VALUE"""),1.5112563E7)</f>
        <v>15112563</v>
      </c>
      <c r="I1801" s="148" t="str">
        <f>IFERROR(__xludf.DUMMYFUNCTION("""COMPUTED_VALUE"""),"{}")</f>
        <v>{}</v>
      </c>
      <c r="J1801" s="148" t="str">
        <f>IFERROR(__xludf.DUMMYFUNCTION("""COMPUTED_VALUE"""),"{""typ"":""lc"",""txt"":""LC_ITEM_2023_dragon_boat_decorate_name""}")</f>
        <v>{"typ":"lc","txt":"LC_ITEM_2023_dragon_boat_decorate_name"}</v>
      </c>
      <c r="K1801" s="148" t="str">
        <f>IFERROR(__xludf.DUMMYFUNCTION("""COMPUTED_VALUE"""),"{""typ"":""lc"",""txt"":""LC_ITEM_2023_dragon_boat_decorate_desc""}")</f>
        <v>{"typ":"lc","txt":"LC_ITEM_2023_dragon_boat_decorate_desc"}</v>
      </c>
      <c r="L1801" s="148" t="str">
        <f>IFERROR(__xludf.DUMMYFUNCTION("""COMPUTED_VALUE"""),"{}")</f>
        <v>{}</v>
      </c>
      <c r="M1801" s="148">
        <f>IFERROR(__xludf.DUMMYFUNCTION("""COMPUTED_VALUE"""),5000.0)</f>
        <v>5000</v>
      </c>
      <c r="N1801" s="148">
        <f>IFERROR(__xludf.DUMMYFUNCTION("""COMPUTED_VALUE"""),5.0)</f>
        <v>5</v>
      </c>
      <c r="O1801" s="148">
        <f>IFERROR(__xludf.DUMMYFUNCTION("""COMPUTED_VALUE"""),1.0)</f>
        <v>1</v>
      </c>
      <c r="P1801" s="148">
        <f>IFERROR(__xludf.DUMMYFUNCTION("""COMPUTED_VALUE"""),1.0)</f>
        <v>1</v>
      </c>
      <c r="Q1801" s="148" t="str">
        <f>IFERROR(__xludf.DUMMYFUNCTION("""COMPUTED_VALUE"""),"[]")</f>
        <v>[]</v>
      </c>
      <c r="R1801" s="148" t="str">
        <f>IFERROR(__xludf.DUMMYFUNCTION("""COMPUTED_VALUE"""),"[""bag""]")</f>
        <v>["bag"]</v>
      </c>
      <c r="S1801" s="148" t="str">
        <f>IFERROR(__xludf.DUMMYFUNCTION("""COMPUTED_VALUE"""),"{""effect"":[{""typ"":""decorations"",""id"":11117460,""val"":-1},{""typ"":""item"",""id"":11112030,""val"":5}]}")</f>
        <v>{"effect":[{"typ":"decorations","id":11117460,"val":-1},{"typ":"item","id":11112030,"val":5}]}</v>
      </c>
      <c r="T1801" s="148">
        <f>IFERROR(__xludf.DUMMYFUNCTION("""COMPUTED_VALUE"""),-1.0)</f>
        <v>-1</v>
      </c>
      <c r="U1801" s="148">
        <f>IFERROR(__xludf.DUMMYFUNCTION("""COMPUTED_VALUE"""),1.0)</f>
        <v>1</v>
      </c>
      <c r="V1801" s="148" t="str">
        <f>IFERROR(__xludf.DUMMYFUNCTION("""COMPUTED_VALUE"""),"[]")</f>
        <v>[]</v>
      </c>
      <c r="W1801" s="148">
        <f>IFERROR(__xludf.DUMMYFUNCTION("""COMPUTED_VALUE"""),1.174E7)</f>
        <v>11740000</v>
      </c>
      <c r="X1801" s="148">
        <f>IFERROR(__xludf.DUMMYFUNCTION("""COMPUTED_VALUE"""),0.0)</f>
        <v>0</v>
      </c>
      <c r="Y1801" s="148">
        <f>IFERROR(__xludf.DUMMYFUNCTION("""COMPUTED_VALUE"""),0.0)</f>
        <v>0</v>
      </c>
      <c r="Z1801" s="148"/>
    </row>
    <row r="1802">
      <c r="A1802" s="148">
        <f>IFERROR(__xludf.DUMMYFUNCTION("""COMPUTED_VALUE"""),1.1117461E7)</f>
        <v>11117461</v>
      </c>
      <c r="B1802" s="148" t="str">
        <f>IFERROR(__xludf.DUMMYFUNCTION("""COMPUTED_VALUE"""),"付费迁服道具-猿晶燃料")</f>
        <v>付费迁服道具-猿晶燃料</v>
      </c>
      <c r="C1802" s="148"/>
      <c r="D1802" s="148" t="str">
        <f>IFERROR(__xludf.DUMMYFUNCTION("""COMPUTED_VALUE"""),"event")</f>
        <v>event</v>
      </c>
      <c r="E1802" s="148">
        <f>IFERROR(__xludf.DUMMYFUNCTION("""COMPUTED_VALUE"""),0.0)</f>
        <v>0</v>
      </c>
      <c r="F1802" s="148">
        <f>IFERROR(__xludf.DUMMYFUNCTION("""COMPUTED_VALUE"""),405243.0)</f>
        <v>405243</v>
      </c>
      <c r="G1802" s="148">
        <f>IFERROR(__xludf.DUMMYFUNCTION("""COMPUTED_VALUE"""),1.5116498E7)</f>
        <v>15116498</v>
      </c>
      <c r="H1802" s="148">
        <f>IFERROR(__xludf.DUMMYFUNCTION("""COMPUTED_VALUE"""),1.5112564E7)</f>
        <v>15112564</v>
      </c>
      <c r="I1802" s="148" t="str">
        <f>IFERROR(__xludf.DUMMYFUNCTION("""COMPUTED_VALUE"""),"{}")</f>
        <v>{}</v>
      </c>
      <c r="J1802" s="148" t="str">
        <f>IFERROR(__xludf.DUMMYFUNCTION("""COMPUTED_VALUE"""),"{""typ"":""lc"",""txt"":""LC_ITEM_transfer_server_item""}")</f>
        <v>{"typ":"lc","txt":"LC_ITEM_transfer_server_item"}</v>
      </c>
      <c r="K1802" s="148" t="str">
        <f>IFERROR(__xludf.DUMMYFUNCTION("""COMPUTED_VALUE"""),"{""typ"":""lc"",""txt"":""LC_ITEM_transfer_server_item_desc""}")</f>
        <v>{"typ":"lc","txt":"LC_ITEM_transfer_server_item_desc"}</v>
      </c>
      <c r="L1802" s="148" t="str">
        <f>IFERROR(__xludf.DUMMYFUNCTION("""COMPUTED_VALUE"""),"{}")</f>
        <v>{}</v>
      </c>
      <c r="M1802" s="148">
        <f>IFERROR(__xludf.DUMMYFUNCTION("""COMPUTED_VALUE"""),1000.0)</f>
        <v>1000</v>
      </c>
      <c r="N1802" s="148">
        <f>IFERROR(__xludf.DUMMYFUNCTION("""COMPUTED_VALUE"""),9.99999999E8)</f>
        <v>999999999</v>
      </c>
      <c r="O1802" s="148">
        <f>IFERROR(__xludf.DUMMYFUNCTION("""COMPUTED_VALUE"""),9.99999999E8)</f>
        <v>999999999</v>
      </c>
      <c r="P1802" s="148">
        <f>IFERROR(__xludf.DUMMYFUNCTION("""COMPUTED_VALUE"""),9.99999999E8)</f>
        <v>999999999</v>
      </c>
      <c r="Q1802" s="148" t="str">
        <f>IFERROR(__xludf.DUMMYFUNCTION("""COMPUTED_VALUE"""),"[""bag_other""]")</f>
        <v>["bag_other"]</v>
      </c>
      <c r="R1802" s="148" t="str">
        <f>IFERROR(__xludf.DUMMYFUNCTION("""COMPUTED_VALUE"""),"[]")</f>
        <v>[]</v>
      </c>
      <c r="S1802" s="148" t="str">
        <f>IFERROR(__xludf.DUMMYFUNCTION("""COMPUTED_VALUE"""),"{}")</f>
        <v>{}</v>
      </c>
      <c r="T1802" s="148">
        <f>IFERROR(__xludf.DUMMYFUNCTION("""COMPUTED_VALUE"""),1.0)</f>
        <v>1</v>
      </c>
      <c r="U1802" s="148">
        <f>IFERROR(__xludf.DUMMYFUNCTION("""COMPUTED_VALUE"""),0.0)</f>
        <v>0</v>
      </c>
      <c r="V1802" s="148" t="str">
        <f>IFERROR(__xludf.DUMMYFUNCTION("""COMPUTED_VALUE"""),"[]")</f>
        <v>[]</v>
      </c>
      <c r="W1802" s="148">
        <f>IFERROR(__xludf.DUMMYFUNCTION("""COMPUTED_VALUE"""),1.174E7)</f>
        <v>11740000</v>
      </c>
      <c r="X1802" s="148">
        <f>IFERROR(__xludf.DUMMYFUNCTION("""COMPUTED_VALUE"""),0.0)</f>
        <v>0</v>
      </c>
      <c r="Y1802" s="148">
        <f>IFERROR(__xludf.DUMMYFUNCTION("""COMPUTED_VALUE"""),0.0)</f>
        <v>0</v>
      </c>
      <c r="Z1802" s="148"/>
    </row>
    <row r="1803">
      <c r="A1803" s="148">
        <f>IFERROR(__xludf.DUMMYFUNCTION("""COMPUTED_VALUE"""),1.1117462E7)</f>
        <v>11117462</v>
      </c>
      <c r="B1803" s="148" t="str">
        <f>IFERROR(__xludf.DUMMYFUNCTION("""COMPUTED_VALUE"""),"免单活动2023红包")</f>
        <v>免单活动2023红包</v>
      </c>
      <c r="C1803" s="148" t="str">
        <f>IFERROR(__xludf.DUMMYFUNCTION("""COMPUTED_VALUE"""),"free_charge")</f>
        <v>free_charge</v>
      </c>
      <c r="D1803" s="148" t="str">
        <f>IFERROR(__xludf.DUMMYFUNCTION("""COMPUTED_VALUE"""),"red_package")</f>
        <v>red_package</v>
      </c>
      <c r="E1803" s="148">
        <f>IFERROR(__xludf.DUMMYFUNCTION("""COMPUTED_VALUE"""),0.0)</f>
        <v>0</v>
      </c>
      <c r="F1803" s="148">
        <f>IFERROR(__xludf.DUMMYFUNCTION("""COMPUTED_VALUE"""),101105.0)</f>
        <v>101105</v>
      </c>
      <c r="G1803" s="148">
        <f>IFERROR(__xludf.DUMMYFUNCTION("""COMPUTED_VALUE"""),1.5115803E7)</f>
        <v>15115803</v>
      </c>
      <c r="H1803" s="148">
        <f>IFERROR(__xludf.DUMMYFUNCTION("""COMPUTED_VALUE"""),1.511256E7)</f>
        <v>15112560</v>
      </c>
      <c r="I1803" s="148" t="str">
        <f>IFERROR(__xludf.DUMMYFUNCTION("""COMPUTED_VALUE"""),"{}")</f>
        <v>{}</v>
      </c>
      <c r="J1803" s="148" t="str">
        <f>IFERROR(__xludf.DUMMYFUNCTION("""COMPUTED_VALUE"""),"{""typ"":""lc"",""txt"":""LC_ITEM_free_act_2023_share""}")</f>
        <v>{"typ":"lc","txt":"LC_ITEM_free_act_2023_share"}</v>
      </c>
      <c r="K1803" s="148" t="str">
        <f>IFERROR(__xludf.DUMMYFUNCTION("""COMPUTED_VALUE"""),"{""typ"":""lc"",""txt"":""LC_ITEM_free_act_2023_red_content""}")</f>
        <v>{"typ":"lc","txt":"LC_ITEM_free_act_2023_red_content"}</v>
      </c>
      <c r="L1803" s="148" t="str">
        <f>IFERROR(__xludf.DUMMYFUNCTION("""COMPUTED_VALUE"""),"{}")</f>
        <v>{}</v>
      </c>
      <c r="M1803" s="148">
        <f>IFERROR(__xludf.DUMMYFUNCTION("""COMPUTED_VALUE"""),500.0)</f>
        <v>500</v>
      </c>
      <c r="N1803" s="148">
        <f>IFERROR(__xludf.DUMMYFUNCTION("""COMPUTED_VALUE"""),999999.0)</f>
        <v>999999</v>
      </c>
      <c r="O1803" s="148">
        <f>IFERROR(__xludf.DUMMYFUNCTION("""COMPUTED_VALUE"""),99999.0)</f>
        <v>99999</v>
      </c>
      <c r="P1803" s="148">
        <f>IFERROR(__xludf.DUMMYFUNCTION("""COMPUTED_VALUE"""),1.0)</f>
        <v>1</v>
      </c>
      <c r="Q1803" s="148" t="str">
        <f>IFERROR(__xludf.DUMMYFUNCTION("""COMPUTED_VALUE"""),"[""bag_other""]")</f>
        <v>["bag_other"]</v>
      </c>
      <c r="R1803" s="148" t="str">
        <f>IFERROR(__xludf.DUMMYFUNCTION("""COMPUTED_VALUE"""),"[""bag""]")</f>
        <v>["bag"]</v>
      </c>
      <c r="S1803" s="148" t="str">
        <f>IFERROR(__xludf.DUMMYFUNCTION("""COMPUTED_VALUE"""),"{""effect"":[{""typ"":""red_pack"",""id"":20290011}]}")</f>
        <v>{"effect":[{"typ":"red_pack","id":20290011}]}</v>
      </c>
      <c r="T1803" s="148">
        <f>IFERROR(__xludf.DUMMYFUNCTION("""COMPUTED_VALUE"""),1.0)</f>
        <v>1</v>
      </c>
      <c r="U1803" s="148">
        <f>IFERROR(__xludf.DUMMYFUNCTION("""COMPUTED_VALUE"""),1.0)</f>
        <v>1</v>
      </c>
      <c r="V1803" s="148" t="str">
        <f>IFERROR(__xludf.DUMMYFUNCTION("""COMPUTED_VALUE"""),"[]")</f>
        <v>[]</v>
      </c>
      <c r="W1803" s="148">
        <f>IFERROR(__xludf.DUMMYFUNCTION("""COMPUTED_VALUE"""),1.174E7)</f>
        <v>11740000</v>
      </c>
      <c r="X1803" s="148">
        <f>IFERROR(__xludf.DUMMYFUNCTION("""COMPUTED_VALUE"""),0.0)</f>
        <v>0</v>
      </c>
      <c r="Y1803" s="148">
        <f>IFERROR(__xludf.DUMMYFUNCTION("""COMPUTED_VALUE"""),0.0)</f>
        <v>0</v>
      </c>
      <c r="Z1803" s="148"/>
    </row>
    <row r="1804">
      <c r="A1804" s="148">
        <f>IFERROR(__xludf.DUMMYFUNCTION("""COMPUTED_VALUE"""),1.1117463E7)</f>
        <v>11117463</v>
      </c>
      <c r="B1804" s="148" t="str">
        <f>IFERROR(__xludf.DUMMYFUNCTION("""COMPUTED_VALUE"""),"联盟礼物(触发)kvk3部落boss")</f>
        <v>联盟礼物(触发)kvk3部落boss</v>
      </c>
      <c r="C1804" s="148"/>
      <c r="D1804" s="148" t="str">
        <f>IFERROR(__xludf.DUMMYFUNCTION("""COMPUTED_VALUE"""),"item_union_gift")</f>
        <v>item_union_gift</v>
      </c>
      <c r="E1804" s="148">
        <f>IFERROR(__xludf.DUMMYFUNCTION("""COMPUTED_VALUE"""),15.0)</f>
        <v>15</v>
      </c>
      <c r="F1804" s="148">
        <f>IFERROR(__xludf.DUMMYFUNCTION("""COMPUTED_VALUE"""),0.0)</f>
        <v>0</v>
      </c>
      <c r="G1804" s="148">
        <f>IFERROR(__xludf.DUMMYFUNCTION("""COMPUTED_VALUE"""),1.5110348E7)</f>
        <v>15110348</v>
      </c>
      <c r="H1804" s="148">
        <f>IFERROR(__xludf.DUMMYFUNCTION("""COMPUTED_VALUE"""),1.5112563E7)</f>
        <v>15112563</v>
      </c>
      <c r="I1804" s="148" t="str">
        <f>IFERROR(__xludf.DUMMYFUNCTION("""COMPUTED_VALUE"""),"{}")</f>
        <v>{}</v>
      </c>
      <c r="J1804" s="148" t="str">
        <f>IFERROR(__xludf.DUMMYFUNCTION("""COMPUTED_VALUE"""),"{""typ"":""lc"",""txt"":""LC_ITEM_item_alliance_gift_kvk3_boss_name""}")</f>
        <v>{"typ":"lc","txt":"LC_ITEM_item_alliance_gift_kvk3_boss_name"}</v>
      </c>
      <c r="K1804" s="148" t="str">
        <f>IFERROR(__xludf.DUMMYFUNCTION("""COMPUTED_VALUE"""),"{""typ"":""lc"",""txt"":""LC_ITEM_item_alliance_gift_kvk3_boss_desc""}")</f>
        <v>{"typ":"lc","txt":"LC_ITEM_item_alliance_gift_kvk3_boss_desc"}</v>
      </c>
      <c r="L1804" s="148" t="str">
        <f>IFERROR(__xludf.DUMMYFUNCTION("""COMPUTED_VALUE"""),"{}")</f>
        <v>{}</v>
      </c>
      <c r="M1804" s="148">
        <f>IFERROR(__xludf.DUMMYFUNCTION("""COMPUTED_VALUE"""),66.0)</f>
        <v>66</v>
      </c>
      <c r="N1804" s="148">
        <f>IFERROR(__xludf.DUMMYFUNCTION("""COMPUTED_VALUE"""),999999.0)</f>
        <v>999999</v>
      </c>
      <c r="O1804" s="148">
        <f>IFERROR(__xludf.DUMMYFUNCTION("""COMPUTED_VALUE"""),99999.0)</f>
        <v>99999</v>
      </c>
      <c r="P1804" s="148">
        <f>IFERROR(__xludf.DUMMYFUNCTION("""COMPUTED_VALUE"""),1.0)</f>
        <v>1</v>
      </c>
      <c r="Q1804" s="148" t="str">
        <f>IFERROR(__xludf.DUMMYFUNCTION("""COMPUTED_VALUE"""),"[]")</f>
        <v>[]</v>
      </c>
      <c r="R1804" s="148" t="str">
        <f>IFERROR(__xludf.DUMMYFUNCTION("""COMPUTED_VALUE"""),"[]")</f>
        <v>[]</v>
      </c>
      <c r="S1804" s="148" t="str">
        <f>IFERROR(__xludf.DUMMYFUNCTION("""COMPUTED_VALUE"""),"{""effect"":[{""typ"":""union_gift_quality_drop"",""id"":21,""val"":1}]}")</f>
        <v>{"effect":[{"typ":"union_gift_quality_drop","id":21,"val":1}]}</v>
      </c>
      <c r="T1804" s="148">
        <f>IFERROR(__xludf.DUMMYFUNCTION("""COMPUTED_VALUE"""),-1.0)</f>
        <v>-1</v>
      </c>
      <c r="U1804" s="148">
        <f>IFERROR(__xludf.DUMMYFUNCTION("""COMPUTED_VALUE"""),1.0)</f>
        <v>1</v>
      </c>
      <c r="V1804" s="148" t="str">
        <f>IFERROR(__xludf.DUMMYFUNCTION("""COMPUTED_VALUE"""),"[]")</f>
        <v>[]</v>
      </c>
      <c r="W1804" s="148">
        <f>IFERROR(__xludf.DUMMYFUNCTION("""COMPUTED_VALUE"""),1.174E7)</f>
        <v>11740000</v>
      </c>
      <c r="X1804" s="148">
        <f>IFERROR(__xludf.DUMMYFUNCTION("""COMPUTED_VALUE"""),0.0)</f>
        <v>0</v>
      </c>
      <c r="Y1804" s="148">
        <f>IFERROR(__xludf.DUMMYFUNCTION("""COMPUTED_VALUE"""),0.0)</f>
        <v>0</v>
      </c>
      <c r="Z1804" s="148"/>
    </row>
    <row r="1805">
      <c r="A1805" s="148">
        <f>IFERROR(__xludf.DUMMYFUNCTION("""COMPUTED_VALUE"""),1.1117464E7)</f>
        <v>11117464</v>
      </c>
      <c r="B1805" s="148" t="str">
        <f>IFERROR(__xludf.DUMMYFUNCTION("""COMPUTED_VALUE"""),"kvk杀敌宝箱3")</f>
        <v>kvk杀敌宝箱3</v>
      </c>
      <c r="C1805" s="148"/>
      <c r="D1805" s="148" t="str">
        <f>IFERROR(__xludf.DUMMYFUNCTION("""COMPUTED_VALUE"""),"item_asset")</f>
        <v>item_asset</v>
      </c>
      <c r="E1805" s="148">
        <f>IFERROR(__xludf.DUMMYFUNCTION("""COMPUTED_VALUE"""),19.0)</f>
        <v>19</v>
      </c>
      <c r="F1805" s="148">
        <f>IFERROR(__xludf.DUMMYFUNCTION("""COMPUTED_VALUE"""),102400.0)</f>
        <v>102400</v>
      </c>
      <c r="G1805" s="148">
        <f>IFERROR(__xludf.DUMMYFUNCTION("""COMPUTED_VALUE"""),1.5110347E7)</f>
        <v>15110347</v>
      </c>
      <c r="H1805" s="148">
        <f>IFERROR(__xludf.DUMMYFUNCTION("""COMPUTED_VALUE"""),1.5112564E7)</f>
        <v>15112564</v>
      </c>
      <c r="I1805" s="148" t="str">
        <f>IFERROR(__xludf.DUMMYFUNCTION("""COMPUTED_VALUE"""),"{}")</f>
        <v>{}</v>
      </c>
      <c r="J1805" s="148" t="str">
        <f>IFERROR(__xludf.DUMMYFUNCTION("""COMPUTED_VALUE"""),"{""typ"":""lc"",""txt"":""LC_ITEM_beat_army_reward_box_name""}")</f>
        <v>{"typ":"lc","txt":"LC_ITEM_beat_army_reward_box_name"}</v>
      </c>
      <c r="K1805" s="148" t="str">
        <f>IFERROR(__xludf.DUMMYFUNCTION("""COMPUTED_VALUE"""),"{""typ"":""lc"",""txt"":""LC_ITEM_beat_army_reward_box_desc""}")</f>
        <v>{"typ":"lc","txt":"LC_ITEM_beat_army_reward_box_desc"}</v>
      </c>
      <c r="L1805" s="148" t="str">
        <f>IFERROR(__xludf.DUMMYFUNCTION("""COMPUTED_VALUE"""),"{}")</f>
        <v>{}</v>
      </c>
      <c r="M1805" s="148">
        <f>IFERROR(__xludf.DUMMYFUNCTION("""COMPUTED_VALUE"""),1225.0)</f>
        <v>1225</v>
      </c>
      <c r="N1805" s="148">
        <f>IFERROR(__xludf.DUMMYFUNCTION("""COMPUTED_VALUE"""),999999.0)</f>
        <v>999999</v>
      </c>
      <c r="O1805" s="148">
        <f>IFERROR(__xludf.DUMMYFUNCTION("""COMPUTED_VALUE"""),99999.0)</f>
        <v>99999</v>
      </c>
      <c r="P1805" s="148">
        <f>IFERROR(__xludf.DUMMYFUNCTION("""COMPUTED_VALUE"""),99999.0)</f>
        <v>99999</v>
      </c>
      <c r="Q1805" s="148" t="str">
        <f>IFERROR(__xludf.DUMMYFUNCTION("""COMPUTED_VALUE"""),"[""bag_other""]")</f>
        <v>["bag_other"]</v>
      </c>
      <c r="R1805" s="148" t="str">
        <f>IFERROR(__xludf.DUMMYFUNCTION("""COMPUTED_VALUE"""),"[""bag""]")</f>
        <v>["bag"]</v>
      </c>
      <c r="S1805" s="148" t="str">
        <f>IFERROR(__xludf.DUMMYFUNCTION("""COMPUTED_VALUE"""),"{""drop"":{""typ"":""single_all"",""num"":1,""args"":[{""typ"":""item"",""id"":11114330,""num"":1},{""typ"":""item"",""id"":11111156,""num"":1},{""typ"":""item"",""id"":11111147,""num"":1},{""typ"":""single_random"",""num"":1,""args"":[{""typ"":""item"","&amp;"""id"":11116246,""num"":1,""wgt"":20},{""typ"":""empty"",""wgt"":80}]}]}}")</f>
        <v>{"drop":{"typ":"single_all","num":1,"args":[{"typ":"item","id":11114330,"num":1},{"typ":"item","id":11111156,"num":1},{"typ":"item","id":11111147,"num":1},{"typ":"single_random","num":1,"args":[{"typ":"item","id":11116246,"num":1,"wgt":20},{"typ":"empty","wgt":80}]}]}}</v>
      </c>
      <c r="T1805" s="148">
        <f>IFERROR(__xludf.DUMMYFUNCTION("""COMPUTED_VALUE"""),-1.0)</f>
        <v>-1</v>
      </c>
      <c r="U1805" s="148">
        <f>IFERROR(__xludf.DUMMYFUNCTION("""COMPUTED_VALUE"""),0.0)</f>
        <v>0</v>
      </c>
      <c r="V1805" s="148" t="str">
        <f>IFERROR(__xludf.DUMMYFUNCTION("""COMPUTED_VALUE"""),"[]")</f>
        <v>[]</v>
      </c>
      <c r="W1805" s="148">
        <f>IFERROR(__xludf.DUMMYFUNCTION("""COMPUTED_VALUE"""),1.174E7)</f>
        <v>11740000</v>
      </c>
      <c r="X1805" s="148">
        <f>IFERROR(__xludf.DUMMYFUNCTION("""COMPUTED_VALUE"""),0.0)</f>
        <v>0</v>
      </c>
      <c r="Y1805" s="148">
        <f>IFERROR(__xludf.DUMMYFUNCTION("""COMPUTED_VALUE"""),0.0)</f>
        <v>0</v>
      </c>
      <c r="Z1805" s="148"/>
    </row>
    <row r="1806">
      <c r="A1806" s="148">
        <f>IFERROR(__xludf.DUMMYFUNCTION("""COMPUTED_VALUE"""),1.1117465E7)</f>
        <v>11117465</v>
      </c>
      <c r="B1806" s="148" t="str">
        <f>IFERROR(__xludf.DUMMYFUNCTION("""COMPUTED_VALUE"""),"kvk3旗帜展示道具")</f>
        <v>kvk3旗帜展示道具</v>
      </c>
      <c r="C1806" s="148"/>
      <c r="D1806" s="148" t="str">
        <f>IFERROR(__xludf.DUMMYFUNCTION("""COMPUTED_VALUE"""),"event")</f>
        <v>event</v>
      </c>
      <c r="E1806" s="148">
        <f>IFERROR(__xludf.DUMMYFUNCTION("""COMPUTED_VALUE"""),0.0)</f>
        <v>0</v>
      </c>
      <c r="F1806" s="148">
        <f>IFERROR(__xludf.DUMMYFUNCTION("""COMPUTED_VALUE"""),405243.0)</f>
        <v>405243</v>
      </c>
      <c r="G1806" s="148">
        <f>IFERROR(__xludf.DUMMYFUNCTION("""COMPUTED_VALUE"""),1.511652E7)</f>
        <v>15116520</v>
      </c>
      <c r="H1806" s="148">
        <f>IFERROR(__xludf.DUMMYFUNCTION("""COMPUTED_VALUE"""),1.5112564E7)</f>
        <v>15112564</v>
      </c>
      <c r="I1806" s="148" t="str">
        <f>IFERROR(__xludf.DUMMYFUNCTION("""COMPUTED_VALUE"""),"{}")</f>
        <v>{}</v>
      </c>
      <c r="J1806" s="148" t="str">
        <f>IFERROR(__xludf.DUMMYFUNCTION("""COMPUTED_VALUE"""),"{""typ"":""lc"",""txt"":""LC_ITEM_kvk3_flag_skin_name""}")</f>
        <v>{"typ":"lc","txt":"LC_ITEM_kvk3_flag_skin_name"}</v>
      </c>
      <c r="K1806" s="148" t="str">
        <f>IFERROR(__xludf.DUMMYFUNCTION("""COMPUTED_VALUE"""),"{""typ"":""lc"",""txt"":""LC_ITEM_kvk3_flag_skin_desc""}")</f>
        <v>{"typ":"lc","txt":"LC_ITEM_kvk3_flag_skin_desc"}</v>
      </c>
      <c r="L1806" s="148" t="str">
        <f>IFERROR(__xludf.DUMMYFUNCTION("""COMPUTED_VALUE"""),"{}")</f>
        <v>{}</v>
      </c>
      <c r="M1806" s="148">
        <f>IFERROR(__xludf.DUMMYFUNCTION("""COMPUTED_VALUE"""),1000.0)</f>
        <v>1000</v>
      </c>
      <c r="N1806" s="148">
        <f>IFERROR(__xludf.DUMMYFUNCTION("""COMPUTED_VALUE"""),9.99999999E8)</f>
        <v>999999999</v>
      </c>
      <c r="O1806" s="148">
        <f>IFERROR(__xludf.DUMMYFUNCTION("""COMPUTED_VALUE"""),9.99999999E8)</f>
        <v>999999999</v>
      </c>
      <c r="P1806" s="148">
        <f>IFERROR(__xludf.DUMMYFUNCTION("""COMPUTED_VALUE"""),9.99999999E8)</f>
        <v>999999999</v>
      </c>
      <c r="Q1806" s="148" t="str">
        <f>IFERROR(__xludf.DUMMYFUNCTION("""COMPUTED_VALUE"""),"[""bag_other""]")</f>
        <v>["bag_other"]</v>
      </c>
      <c r="R1806" s="148" t="str">
        <f>IFERROR(__xludf.DUMMYFUNCTION("""COMPUTED_VALUE"""),"[]")</f>
        <v>[]</v>
      </c>
      <c r="S1806" s="148" t="str">
        <f>IFERROR(__xludf.DUMMYFUNCTION("""COMPUTED_VALUE"""),"{}")</f>
        <v>{}</v>
      </c>
      <c r="T1806" s="148">
        <f>IFERROR(__xludf.DUMMYFUNCTION("""COMPUTED_VALUE"""),-1.0)</f>
        <v>-1</v>
      </c>
      <c r="U1806" s="148">
        <f>IFERROR(__xludf.DUMMYFUNCTION("""COMPUTED_VALUE"""),1.0)</f>
        <v>1</v>
      </c>
      <c r="V1806" s="148" t="str">
        <f>IFERROR(__xludf.DUMMYFUNCTION("""COMPUTED_VALUE"""),"[]")</f>
        <v>[]</v>
      </c>
      <c r="W1806" s="148">
        <f>IFERROR(__xludf.DUMMYFUNCTION("""COMPUTED_VALUE"""),1.174E7)</f>
        <v>11740000</v>
      </c>
      <c r="X1806" s="148">
        <f>IFERROR(__xludf.DUMMYFUNCTION("""COMPUTED_VALUE"""),0.0)</f>
        <v>0</v>
      </c>
      <c r="Y1806" s="148">
        <f>IFERROR(__xludf.DUMMYFUNCTION("""COMPUTED_VALUE"""),0.0)</f>
        <v>0</v>
      </c>
      <c r="Z1806" s="148"/>
    </row>
    <row r="1807">
      <c r="A1807" s="148">
        <f>IFERROR(__xludf.DUMMYFUNCTION("""COMPUTED_VALUE"""),1.1117466E7)</f>
        <v>11117466</v>
      </c>
      <c r="B1807" s="148" t="str">
        <f>IFERROR(__xludf.DUMMYFUNCTION("""COMPUTED_VALUE"""),"主城皮肤-kvk3")</f>
        <v>主城皮肤-kvk3</v>
      </c>
      <c r="C1807" s="148"/>
      <c r="D1807" s="148" t="str">
        <f>IFERROR(__xludf.DUMMYFUNCTION("""COMPUTED_VALUE"""),"city_skin")</f>
        <v>city_skin</v>
      </c>
      <c r="E1807" s="148">
        <f>IFERROR(__xludf.DUMMYFUNCTION("""COMPUTED_VALUE"""),21.0)</f>
        <v>21</v>
      </c>
      <c r="F1807" s="148">
        <f>IFERROR(__xludf.DUMMYFUNCTION("""COMPUTED_VALUE"""),400105.0)</f>
        <v>400105</v>
      </c>
      <c r="G1807" s="148">
        <f>IFERROR(__xludf.DUMMYFUNCTION("""COMPUTED_VALUE"""),1.5116578E7)</f>
        <v>15116578</v>
      </c>
      <c r="H1807" s="148">
        <f>IFERROR(__xludf.DUMMYFUNCTION("""COMPUTED_VALUE"""),1.5112564E7)</f>
        <v>15112564</v>
      </c>
      <c r="I1807" s="148" t="str">
        <f>IFERROR(__xludf.DUMMYFUNCTION("""COMPUTED_VALUE"""),"{}")</f>
        <v>{}</v>
      </c>
      <c r="J1807" s="148" t="str">
        <f>IFERROR(__xludf.DUMMYFUNCTION("""COMPUTED_VALUE"""),"{""typ"":""lc"",""txt"":""LC_KVK_kvk3_cityskin_name""}")</f>
        <v>{"typ":"lc","txt":"LC_KVK_kvk3_cityskin_name"}</v>
      </c>
      <c r="K1807" s="148" t="str">
        <f>IFERROR(__xludf.DUMMYFUNCTION("""COMPUTED_VALUE"""),"{""typ"":""lc"",""txt"":""LC_KVK_kvk3_cityskin_desc""}")</f>
        <v>{"typ":"lc","txt":"LC_KVK_kvk3_cityskin_desc"}</v>
      </c>
      <c r="L1807" s="148" t="str">
        <f>IFERROR(__xludf.DUMMYFUNCTION("""COMPUTED_VALUE"""),"{""typ"":""lc"",""txt"":""LC_ITEM_city_skin_rocket_use_tips""}")</f>
        <v>{"typ":"lc","txt":"LC_ITEM_city_skin_rocket_use_tips"}</v>
      </c>
      <c r="M1807" s="148">
        <f>IFERROR(__xludf.DUMMYFUNCTION("""COMPUTED_VALUE"""),10000.0)</f>
        <v>10000</v>
      </c>
      <c r="N1807" s="148">
        <f>IFERROR(__xludf.DUMMYFUNCTION("""COMPUTED_VALUE"""),999.0)</f>
        <v>999</v>
      </c>
      <c r="O1807" s="148">
        <f>IFERROR(__xludf.DUMMYFUNCTION("""COMPUTED_VALUE"""),1.0)</f>
        <v>1</v>
      </c>
      <c r="P1807" s="148">
        <f>IFERROR(__xludf.DUMMYFUNCTION("""COMPUTED_VALUE"""),1.0)</f>
        <v>1</v>
      </c>
      <c r="Q1807" s="148" t="str">
        <f>IFERROR(__xludf.DUMMYFUNCTION("""COMPUTED_VALUE"""),"[""bag_other""]")</f>
        <v>["bag_other"]</v>
      </c>
      <c r="R1807" s="148" t="str">
        <f>IFERROR(__xludf.DUMMYFUNCTION("""COMPUTED_VALUE"""),"[""bag"",""13121019""]")</f>
        <v>["bag","13121019"]</v>
      </c>
      <c r="S1807" s="148" t="str">
        <f>IFERROR(__xludf.DUMMYFUNCTION("""COMPUTED_VALUE"""),"{""effect"":[{""typ"":""city_skin"",""id"":13121019,""val"":-1},{""typ"":""item"",""id"":11111034,""val"":10}]}")</f>
        <v>{"effect":[{"typ":"city_skin","id":13121019,"val":-1},{"typ":"item","id":11111034,"val":10}]}</v>
      </c>
      <c r="T1807" s="148">
        <f>IFERROR(__xludf.DUMMYFUNCTION("""COMPUTED_VALUE"""),-1.0)</f>
        <v>-1</v>
      </c>
      <c r="U1807" s="148">
        <f>IFERROR(__xludf.DUMMYFUNCTION("""COMPUTED_VALUE"""),0.0)</f>
        <v>0</v>
      </c>
      <c r="V1807" s="148" t="str">
        <f>IFERROR(__xludf.DUMMYFUNCTION("""COMPUTED_VALUE"""),"[]")</f>
        <v>[]</v>
      </c>
      <c r="W1807" s="148">
        <f>IFERROR(__xludf.DUMMYFUNCTION("""COMPUTED_VALUE"""),1.174E7)</f>
        <v>11740000</v>
      </c>
      <c r="X1807" s="148">
        <f>IFERROR(__xludf.DUMMYFUNCTION("""COMPUTED_VALUE"""),0.0)</f>
        <v>0</v>
      </c>
      <c r="Y1807" s="148">
        <f>IFERROR(__xludf.DUMMYFUNCTION("""COMPUTED_VALUE"""),0.0)</f>
        <v>0</v>
      </c>
      <c r="Z1807" s="148"/>
    </row>
    <row r="1808">
      <c r="A1808" s="148">
        <f>IFERROR(__xludf.DUMMYFUNCTION("""COMPUTED_VALUE"""),1.1117467E7)</f>
        <v>11117467</v>
      </c>
      <c r="B1808" s="148" t="str">
        <f>IFERROR(__xludf.DUMMYFUNCTION("""COMPUTED_VALUE"""),"冰爽畅饮券-2023沙滩节抽奖道具")</f>
        <v>冰爽畅饮券-2023沙滩节抽奖道具</v>
      </c>
      <c r="C1808" s="148"/>
      <c r="D1808" s="148" t="str">
        <f>IFERROR(__xludf.DUMMYFUNCTION("""COMPUTED_VALUE"""),"event")</f>
        <v>event</v>
      </c>
      <c r="E1808" s="148">
        <f>IFERROR(__xludf.DUMMYFUNCTION("""COMPUTED_VALUE"""),0.0)</f>
        <v>0</v>
      </c>
      <c r="F1808" s="148">
        <f>IFERROR(__xludf.DUMMYFUNCTION("""COMPUTED_VALUE"""),0.0)</f>
        <v>0</v>
      </c>
      <c r="G1808" s="148">
        <f>IFERROR(__xludf.DUMMYFUNCTION("""COMPUTED_VALUE"""),1.5116708E7)</f>
        <v>15116708</v>
      </c>
      <c r="H1808" s="148">
        <f>IFERROR(__xludf.DUMMYFUNCTION("""COMPUTED_VALUE"""),1.5112564E7)</f>
        <v>15112564</v>
      </c>
      <c r="I1808" s="148" t="str">
        <f>IFERROR(__xludf.DUMMYFUNCTION("""COMPUTED_VALUE"""),"{}")</f>
        <v>{}</v>
      </c>
      <c r="J1808" s="148" t="str">
        <f>IFERROR(__xludf.DUMMYFUNCTION("""COMPUTED_VALUE"""),"{""typ"":""lc"",""txt"":""LC_ITEM_beach_gacha_2023_item_title""}")</f>
        <v>{"typ":"lc","txt":"LC_ITEM_beach_gacha_2023_item_title"}</v>
      </c>
      <c r="K1808" s="148" t="str">
        <f>IFERROR(__xludf.DUMMYFUNCTION("""COMPUTED_VALUE"""),"{""typ"":""lc"",""txt"":""LC_ITEM_beach_gacha_2023_item_desc""}")</f>
        <v>{"typ":"lc","txt":"LC_ITEM_beach_gacha_2023_item_desc"}</v>
      </c>
      <c r="L1808" s="148" t="str">
        <f>IFERROR(__xludf.DUMMYFUNCTION("""COMPUTED_VALUE"""),"{}")</f>
        <v>{}</v>
      </c>
      <c r="M1808" s="148">
        <f>IFERROR(__xludf.DUMMYFUNCTION("""COMPUTED_VALUE"""),500.0)</f>
        <v>500</v>
      </c>
      <c r="N1808" s="148">
        <f>IFERROR(__xludf.DUMMYFUNCTION("""COMPUTED_VALUE"""),999999.0)</f>
        <v>999999</v>
      </c>
      <c r="O1808" s="148">
        <f>IFERROR(__xludf.DUMMYFUNCTION("""COMPUTED_VALUE"""),99999.0)</f>
        <v>99999</v>
      </c>
      <c r="P1808" s="148">
        <f>IFERROR(__xludf.DUMMYFUNCTION("""COMPUTED_VALUE"""),9.99999999E8)</f>
        <v>999999999</v>
      </c>
      <c r="Q1808" s="148" t="str">
        <f>IFERROR(__xludf.DUMMYFUNCTION("""COMPUTED_VALUE"""),"[""bag_other""]")</f>
        <v>["bag_other"]</v>
      </c>
      <c r="R1808" s="148" t="str">
        <f>IFERROR(__xludf.DUMMYFUNCTION("""COMPUTED_VALUE"""),"[""bag""]")</f>
        <v>["bag"]</v>
      </c>
      <c r="S1808" s="148" t="str">
        <f>IFERROR(__xludf.DUMMYFUNCTION("""COMPUTED_VALUE"""),"{}")</f>
        <v>{}</v>
      </c>
      <c r="T1808" s="148">
        <f>IFERROR(__xludf.DUMMYFUNCTION("""COMPUTED_VALUE"""),1.0)</f>
        <v>1</v>
      </c>
      <c r="U1808" s="148">
        <f>IFERROR(__xludf.DUMMYFUNCTION("""COMPUTED_VALUE"""),0.0)</f>
        <v>0</v>
      </c>
      <c r="V1808" s="148" t="str">
        <f>IFERROR(__xludf.DUMMYFUNCTION("""COMPUTED_VALUE"""),"[]")</f>
        <v>[]</v>
      </c>
      <c r="W1808" s="148">
        <f>IFERROR(__xludf.DUMMYFUNCTION("""COMPUTED_VALUE"""),1.174E7)</f>
        <v>11740000</v>
      </c>
      <c r="X1808" s="148">
        <f>IFERROR(__xludf.DUMMYFUNCTION("""COMPUTED_VALUE"""),0.0)</f>
        <v>0</v>
      </c>
      <c r="Y1808" s="148">
        <f>IFERROR(__xludf.DUMMYFUNCTION("""COMPUTED_VALUE"""),0.0)</f>
        <v>0</v>
      </c>
      <c r="Z1808" s="148"/>
    </row>
    <row r="1809">
      <c r="A1809" s="148">
        <f>IFERROR(__xludf.DUMMYFUNCTION("""COMPUTED_VALUE"""),1.1117468E7)</f>
        <v>11117468</v>
      </c>
      <c r="B1809" s="148" t="str">
        <f>IFERROR(__xludf.DUMMYFUNCTION("""COMPUTED_VALUE"""),"主城皮肤-沙滩节2023")</f>
        <v>主城皮肤-沙滩节2023</v>
      </c>
      <c r="C1809" s="148"/>
      <c r="D1809" s="148" t="str">
        <f>IFERROR(__xludf.DUMMYFUNCTION("""COMPUTED_VALUE"""),"city_skin")</f>
        <v>city_skin</v>
      </c>
      <c r="E1809" s="148">
        <f>IFERROR(__xludf.DUMMYFUNCTION("""COMPUTED_VALUE"""),21.0)</f>
        <v>21</v>
      </c>
      <c r="F1809" s="148">
        <f>IFERROR(__xludf.DUMMYFUNCTION("""COMPUTED_VALUE"""),400106.0)</f>
        <v>400106</v>
      </c>
      <c r="G1809" s="148">
        <f>IFERROR(__xludf.DUMMYFUNCTION("""COMPUTED_VALUE"""),1.5116677E7)</f>
        <v>15116677</v>
      </c>
      <c r="H1809" s="148">
        <f>IFERROR(__xludf.DUMMYFUNCTION("""COMPUTED_VALUE"""),1.5112564E7)</f>
        <v>15112564</v>
      </c>
      <c r="I1809" s="148" t="str">
        <f>IFERROR(__xludf.DUMMYFUNCTION("""COMPUTED_VALUE"""),"{}")</f>
        <v>{}</v>
      </c>
      <c r="J1809" s="148" t="str">
        <f>IFERROR(__xludf.DUMMYFUNCTION("""COMPUTED_VALUE"""),"{""typ"":""lc"",""txt"":""LC_ITEM_beach_gacha_2023_city_skin_title""}")</f>
        <v>{"typ":"lc","txt":"LC_ITEM_beach_gacha_2023_city_skin_title"}</v>
      </c>
      <c r="K1809" s="148" t="str">
        <f>IFERROR(__xludf.DUMMYFUNCTION("""COMPUTED_VALUE"""),"{""typ"":""lc"",""txt"":""LC_ITEM_beach_gacha_2023_city_skin_desc""}")</f>
        <v>{"typ":"lc","txt":"LC_ITEM_beach_gacha_2023_city_skin_desc"}</v>
      </c>
      <c r="L1809" s="148" t="str">
        <f>IFERROR(__xludf.DUMMYFUNCTION("""COMPUTED_VALUE"""),"{""typ"":""lc"",""txt"":""LC_ITEM_city_skin_rocket_use_tips""}")</f>
        <v>{"typ":"lc","txt":"LC_ITEM_city_skin_rocket_use_tips"}</v>
      </c>
      <c r="M1809" s="148">
        <f>IFERROR(__xludf.DUMMYFUNCTION("""COMPUTED_VALUE"""),10000.0)</f>
        <v>10000</v>
      </c>
      <c r="N1809" s="148">
        <f>IFERROR(__xludf.DUMMYFUNCTION("""COMPUTED_VALUE"""),999.0)</f>
        <v>999</v>
      </c>
      <c r="O1809" s="148">
        <f>IFERROR(__xludf.DUMMYFUNCTION("""COMPUTED_VALUE"""),1.0)</f>
        <v>1</v>
      </c>
      <c r="P1809" s="148">
        <f>IFERROR(__xludf.DUMMYFUNCTION("""COMPUTED_VALUE"""),1.0)</f>
        <v>1</v>
      </c>
      <c r="Q1809" s="148" t="str">
        <f>IFERROR(__xludf.DUMMYFUNCTION("""COMPUTED_VALUE"""),"[""bag_other""]")</f>
        <v>["bag_other"]</v>
      </c>
      <c r="R1809" s="148" t="str">
        <f>IFERROR(__xludf.DUMMYFUNCTION("""COMPUTED_VALUE"""),"[""bag"",""13121020""]")</f>
        <v>["bag","13121020"]</v>
      </c>
      <c r="S1809" s="148" t="str">
        <f>IFERROR(__xludf.DUMMYFUNCTION("""COMPUTED_VALUE"""),"{""effect"":[{""typ"":""city_skin"",""id"":13121020,""val"":-1},{""typ"":""item"",""id"":11111034,""val"":10}]}")</f>
        <v>{"effect":[{"typ":"city_skin","id":13121020,"val":-1},{"typ":"item","id":11111034,"val":10}]}</v>
      </c>
      <c r="T1809" s="148">
        <f>IFERROR(__xludf.DUMMYFUNCTION("""COMPUTED_VALUE"""),-1.0)</f>
        <v>-1</v>
      </c>
      <c r="U1809" s="148">
        <f>IFERROR(__xludf.DUMMYFUNCTION("""COMPUTED_VALUE"""),0.0)</f>
        <v>0</v>
      </c>
      <c r="V1809" s="148" t="str">
        <f>IFERROR(__xludf.DUMMYFUNCTION("""COMPUTED_VALUE"""),"[]")</f>
        <v>[]</v>
      </c>
      <c r="W1809" s="148">
        <f>IFERROR(__xludf.DUMMYFUNCTION("""COMPUTED_VALUE"""),1.174E7)</f>
        <v>11740000</v>
      </c>
      <c r="X1809" s="148">
        <f>IFERROR(__xludf.DUMMYFUNCTION("""COMPUTED_VALUE"""),0.0)</f>
        <v>0</v>
      </c>
      <c r="Y1809" s="148">
        <f>IFERROR(__xludf.DUMMYFUNCTION("""COMPUTED_VALUE"""),0.0)</f>
        <v>0</v>
      </c>
      <c r="Z1809" s="148"/>
    </row>
    <row r="1810">
      <c r="A1810" s="148">
        <f>IFERROR(__xludf.DUMMYFUNCTION("""COMPUTED_VALUE"""),1.1117469E7)</f>
        <v>11117469</v>
      </c>
      <c r="B1810" s="148" t="str">
        <f>IFERROR(__xludf.DUMMYFUNCTION("""COMPUTED_VALUE"""),"主城皮肤-沙滩节2023（2天）")</f>
        <v>主城皮肤-沙滩节2023（2天）</v>
      </c>
      <c r="C1810" s="148"/>
      <c r="D1810" s="148" t="str">
        <f>IFERROR(__xludf.DUMMYFUNCTION("""COMPUTED_VALUE"""),"city_skin")</f>
        <v>city_skin</v>
      </c>
      <c r="E1810" s="148">
        <f>IFERROR(__xludf.DUMMYFUNCTION("""COMPUTED_VALUE"""),21.0)</f>
        <v>21</v>
      </c>
      <c r="F1810" s="148">
        <f>IFERROR(__xludf.DUMMYFUNCTION("""COMPUTED_VALUE"""),404201.0)</f>
        <v>404201</v>
      </c>
      <c r="G1810" s="148">
        <f>IFERROR(__xludf.DUMMYFUNCTION("""COMPUTED_VALUE"""),1.5116677E7)</f>
        <v>15116677</v>
      </c>
      <c r="H1810" s="148">
        <f>IFERROR(__xludf.DUMMYFUNCTION("""COMPUTED_VALUE"""),1.5112563E7)</f>
        <v>15112563</v>
      </c>
      <c r="I1810" s="148" t="str">
        <f>IFERROR(__xludf.DUMMYFUNCTION("""COMPUTED_VALUE"""),"{""typ"":""lc"",""txt"":""LC_ITEM_time_day_upper_show"",""args"":[{""typ"":""int"",""val"":2}]}")</f>
        <v>{"typ":"lc","txt":"LC_ITEM_time_day_upper_show","args":[{"typ":"int","val":2}]}</v>
      </c>
      <c r="J1810" s="148" t="str">
        <f>IFERROR(__xludf.DUMMYFUNCTION("""COMPUTED_VALUE"""),"{""typ"":""lc"",""txt"":""LC_ITEM_beach_gacha_2023_city_skin_title_2_days""}")</f>
        <v>{"typ":"lc","txt":"LC_ITEM_beach_gacha_2023_city_skin_title_2_days"}</v>
      </c>
      <c r="K1810" s="148" t="str">
        <f>IFERROR(__xludf.DUMMYFUNCTION("""COMPUTED_VALUE"""),"{""typ"":""lc"",""txt"":""LC_ITEM_beach_gacha_2023_city_skin_desc""}")</f>
        <v>{"typ":"lc","txt":"LC_ITEM_beach_gacha_2023_city_skin_desc"}</v>
      </c>
      <c r="L1810" s="148" t="str">
        <f>IFERROR(__xludf.DUMMYFUNCTION("""COMPUTED_VALUE"""),"{""typ"":""lc"",""txt"":""LC_ITEM_city_skin_rocket_use_tips""}")</f>
        <v>{"typ":"lc","txt":"LC_ITEM_city_skin_rocket_use_tips"}</v>
      </c>
      <c r="M1810" s="148">
        <f>IFERROR(__xludf.DUMMYFUNCTION("""COMPUTED_VALUE"""),500.0)</f>
        <v>500</v>
      </c>
      <c r="N1810" s="148">
        <f>IFERROR(__xludf.DUMMYFUNCTION("""COMPUTED_VALUE"""),999.0)</f>
        <v>999</v>
      </c>
      <c r="O1810" s="148">
        <f>IFERROR(__xludf.DUMMYFUNCTION("""COMPUTED_VALUE"""),1.0)</f>
        <v>1</v>
      </c>
      <c r="P1810" s="148">
        <f>IFERROR(__xludf.DUMMYFUNCTION("""COMPUTED_VALUE"""),1.0)</f>
        <v>1</v>
      </c>
      <c r="Q1810" s="148" t="str">
        <f>IFERROR(__xludf.DUMMYFUNCTION("""COMPUTED_VALUE"""),"[""bag_other""]")</f>
        <v>["bag_other"]</v>
      </c>
      <c r="R1810" s="148" t="str">
        <f>IFERROR(__xludf.DUMMYFUNCTION("""COMPUTED_VALUE"""),"[""bag"",""13121020""]")</f>
        <v>["bag","13121020"]</v>
      </c>
      <c r="S1810" s="148" t="str">
        <f>IFERROR(__xludf.DUMMYFUNCTION("""COMPUTED_VALUE"""),"{""effect"":[{""typ"":""city_skin"",""id"":13121020,""val"":172800000},{""typ"":""item"",""id"":11111021,""val"":1}]}")</f>
        <v>{"effect":[{"typ":"city_skin","id":13121020,"val":172800000},{"typ":"item","id":11111021,"val":1}]}</v>
      </c>
      <c r="T1810" s="148">
        <f>IFERROR(__xludf.DUMMYFUNCTION("""COMPUTED_VALUE"""),-1.0)</f>
        <v>-1</v>
      </c>
      <c r="U1810" s="148">
        <f>IFERROR(__xludf.DUMMYFUNCTION("""COMPUTED_VALUE"""),0.0)</f>
        <v>0</v>
      </c>
      <c r="V1810" s="148" t="str">
        <f>IFERROR(__xludf.DUMMYFUNCTION("""COMPUTED_VALUE"""),"[]")</f>
        <v>[]</v>
      </c>
      <c r="W1810" s="148">
        <f>IFERROR(__xludf.DUMMYFUNCTION("""COMPUTED_VALUE"""),1.174E7)</f>
        <v>11740000</v>
      </c>
      <c r="X1810" s="148">
        <f>IFERROR(__xludf.DUMMYFUNCTION("""COMPUTED_VALUE"""),0.0)</f>
        <v>0</v>
      </c>
      <c r="Y1810" s="148">
        <f>IFERROR(__xludf.DUMMYFUNCTION("""COMPUTED_VALUE"""),0.0)</f>
        <v>0</v>
      </c>
      <c r="Z1810" s="148"/>
    </row>
    <row r="1811">
      <c r="A1811" s="148">
        <f>IFERROR(__xludf.DUMMYFUNCTION("""COMPUTED_VALUE"""),1.111747E7)</f>
        <v>11117470</v>
      </c>
      <c r="B1811" s="148" t="str">
        <f>IFERROR(__xludf.DUMMYFUNCTION("""COMPUTED_VALUE"""),"kvk累充替换道具-指定英雄碎片")</f>
        <v>kvk累充替换道具-指定英雄碎片</v>
      </c>
      <c r="C1811" s="148"/>
      <c r="D1811" s="148" t="str">
        <f>IFERROR(__xludf.DUMMYFUNCTION("""COMPUTED_VALUE"""),"event")</f>
        <v>event</v>
      </c>
      <c r="E1811" s="148">
        <f>IFERROR(__xludf.DUMMYFUNCTION("""COMPUTED_VALUE"""),0.0)</f>
        <v>0</v>
      </c>
      <c r="F1811" s="148">
        <f>IFERROR(__xludf.DUMMYFUNCTION("""COMPUTED_VALUE"""),400100.0)</f>
        <v>400100</v>
      </c>
      <c r="G1811" s="148">
        <f>IFERROR(__xludf.DUMMYFUNCTION("""COMPUTED_VALUE"""),1.5116592E7)</f>
        <v>15116592</v>
      </c>
      <c r="H1811" s="148">
        <f>IFERROR(__xludf.DUMMYFUNCTION("""COMPUTED_VALUE"""),1.5112564E7)</f>
        <v>15112564</v>
      </c>
      <c r="I1811" s="148" t="str">
        <f>IFERROR(__xludf.DUMMYFUNCTION("""COMPUTED_VALUE"""),"{}")</f>
        <v>{}</v>
      </c>
      <c r="J1811" s="148" t="str">
        <f>IFERROR(__xludf.DUMMYFUNCTION("""COMPUTED_VALUE"""),"{""typ"":""lc"",""txt"":""LC_ITEM_hero_choose_name""}")</f>
        <v>{"typ":"lc","txt":"LC_ITEM_hero_choose_name"}</v>
      </c>
      <c r="K1811" s="148" t="str">
        <f>IFERROR(__xludf.DUMMYFUNCTION("""COMPUTED_VALUE"""),"{""typ"":""lc"",""txt"":""LC_ITEM_hero_choose_name""}")</f>
        <v>{"typ":"lc","txt":"LC_ITEM_hero_choose_name"}</v>
      </c>
      <c r="L1811" s="148" t="str">
        <f>IFERROR(__xludf.DUMMYFUNCTION("""COMPUTED_VALUE"""),"{}")</f>
        <v>{}</v>
      </c>
      <c r="M1811" s="148">
        <f>IFERROR(__xludf.DUMMYFUNCTION("""COMPUTED_VALUE"""),4000.0)</f>
        <v>4000</v>
      </c>
      <c r="N1811" s="148">
        <f>IFERROR(__xludf.DUMMYFUNCTION("""COMPUTED_VALUE"""),999999.0)</f>
        <v>999999</v>
      </c>
      <c r="O1811" s="148">
        <f>IFERROR(__xludf.DUMMYFUNCTION("""COMPUTED_VALUE"""),99999.0)</f>
        <v>99999</v>
      </c>
      <c r="P1811" s="148">
        <f>IFERROR(__xludf.DUMMYFUNCTION("""COMPUTED_VALUE"""),9999.0)</f>
        <v>9999</v>
      </c>
      <c r="Q1811" s="148" t="str">
        <f>IFERROR(__xludf.DUMMYFUNCTION("""COMPUTED_VALUE"""),"[]")</f>
        <v>[]</v>
      </c>
      <c r="R1811" s="148" t="str">
        <f>IFERROR(__xludf.DUMMYFUNCTION("""COMPUTED_VALUE"""),"[]")</f>
        <v>[]</v>
      </c>
      <c r="S1811" s="148" t="str">
        <f>IFERROR(__xludf.DUMMYFUNCTION("""COMPUTED_VALUE"""),"{}")</f>
        <v>{}</v>
      </c>
      <c r="T1811" s="148">
        <f>IFERROR(__xludf.DUMMYFUNCTION("""COMPUTED_VALUE"""),-1.0)</f>
        <v>-1</v>
      </c>
      <c r="U1811" s="148">
        <f>IFERROR(__xludf.DUMMYFUNCTION("""COMPUTED_VALUE"""),0.0)</f>
        <v>0</v>
      </c>
      <c r="V1811" s="148" t="str">
        <f>IFERROR(__xludf.DUMMYFUNCTION("""COMPUTED_VALUE"""),"[]")</f>
        <v>[]</v>
      </c>
      <c r="W1811" s="148">
        <f>IFERROR(__xludf.DUMMYFUNCTION("""COMPUTED_VALUE"""),1.174E7)</f>
        <v>11740000</v>
      </c>
      <c r="X1811" s="148">
        <f>IFERROR(__xludf.DUMMYFUNCTION("""COMPUTED_VALUE"""),0.0)</f>
        <v>0</v>
      </c>
      <c r="Y1811" s="148">
        <f>IFERROR(__xludf.DUMMYFUNCTION("""COMPUTED_VALUE"""),0.0)</f>
        <v>0</v>
      </c>
      <c r="Z1811" s="148"/>
    </row>
    <row r="1812">
      <c r="A1812" s="148">
        <f>IFERROR(__xludf.DUMMYFUNCTION("""COMPUTED_VALUE"""),1.1117471E7)</f>
        <v>11117471</v>
      </c>
      <c r="B1812" s="148" t="str">
        <f>IFERROR(__xludf.DUMMYFUNCTION("""COMPUTED_VALUE"""),"2023沙滩节BattlePass-初级通行证")</f>
        <v>2023沙滩节BattlePass-初级通行证</v>
      </c>
      <c r="C1812" s="148"/>
      <c r="D1812" s="148" t="str">
        <f>IFERROR(__xludf.DUMMYFUNCTION("""COMPUTED_VALUE"""),"battle_pass_card")</f>
        <v>battle_pass_card</v>
      </c>
      <c r="E1812" s="148">
        <f>IFERROR(__xludf.DUMMYFUNCTION("""COMPUTED_VALUE"""),0.0)</f>
        <v>0</v>
      </c>
      <c r="F1812" s="148">
        <f>IFERROR(__xludf.DUMMYFUNCTION("""COMPUTED_VALUE"""),0.0)</f>
        <v>0</v>
      </c>
      <c r="G1812" s="148">
        <f>IFERROR(__xludf.DUMMYFUNCTION("""COMPUTED_VALUE"""),1.5114996E7)</f>
        <v>15114996</v>
      </c>
      <c r="H1812" s="148">
        <f>IFERROR(__xludf.DUMMYFUNCTION("""COMPUTED_VALUE"""),1.5112563E7)</f>
        <v>15112563</v>
      </c>
      <c r="I1812" s="148" t="str">
        <f>IFERROR(__xludf.DUMMYFUNCTION("""COMPUTED_VALUE"""),"{}")</f>
        <v>{}</v>
      </c>
      <c r="J1812" s="148" t="str">
        <f>IFERROR(__xludf.DUMMYFUNCTION("""COMPUTED_VALUE"""),"{""typ"":""lc"",""txt"":""LC_IAP_summer_normal_bp""}")</f>
        <v>{"typ":"lc","txt":"LC_IAP_summer_normal_bp"}</v>
      </c>
      <c r="K1812" s="148" t="str">
        <f>IFERROR(__xludf.DUMMYFUNCTION("""COMPUTED_VALUE"""),"{}")</f>
        <v>{}</v>
      </c>
      <c r="L1812" s="148" t="str">
        <f>IFERROR(__xludf.DUMMYFUNCTION("""COMPUTED_VALUE"""),"{}")</f>
        <v>{}</v>
      </c>
      <c r="M1812" s="148">
        <f>IFERROR(__xludf.DUMMYFUNCTION("""COMPUTED_VALUE"""),10.0)</f>
        <v>10</v>
      </c>
      <c r="N1812" s="148">
        <f>IFERROR(__xludf.DUMMYFUNCTION("""COMPUTED_VALUE"""),999999.0)</f>
        <v>999999</v>
      </c>
      <c r="O1812" s="148">
        <f>IFERROR(__xludf.DUMMYFUNCTION("""COMPUTED_VALUE"""),99999.0)</f>
        <v>99999</v>
      </c>
      <c r="P1812" s="148">
        <f>IFERROR(__xludf.DUMMYFUNCTION("""COMPUTED_VALUE"""),9999.0)</f>
        <v>9999</v>
      </c>
      <c r="Q1812" s="148" t="str">
        <f>IFERROR(__xludf.DUMMYFUNCTION("""COMPUTED_VALUE"""),"[]")</f>
        <v>[]</v>
      </c>
      <c r="R1812" s="148" t="str">
        <f>IFERROR(__xludf.DUMMYFUNCTION("""COMPUTED_VALUE"""),"[]")</f>
        <v>[]</v>
      </c>
      <c r="S1812" s="148" t="str">
        <f>IFERROR(__xludf.DUMMYFUNCTION("""COMPUTED_VALUE"""),"{}")</f>
        <v>{}</v>
      </c>
      <c r="T1812" s="148">
        <f>IFERROR(__xludf.DUMMYFUNCTION("""COMPUTED_VALUE"""),-1.0)</f>
        <v>-1</v>
      </c>
      <c r="U1812" s="148">
        <f>IFERROR(__xludf.DUMMYFUNCTION("""COMPUTED_VALUE"""),1.0)</f>
        <v>1</v>
      </c>
      <c r="V1812" s="148" t="str">
        <f>IFERROR(__xludf.DUMMYFUNCTION("""COMPUTED_VALUE"""),"[]")</f>
        <v>[]</v>
      </c>
      <c r="W1812" s="148">
        <f>IFERROR(__xludf.DUMMYFUNCTION("""COMPUTED_VALUE"""),1.174E7)</f>
        <v>11740000</v>
      </c>
      <c r="X1812" s="148">
        <f>IFERROR(__xludf.DUMMYFUNCTION("""COMPUTED_VALUE"""),0.0)</f>
        <v>0</v>
      </c>
      <c r="Y1812" s="148">
        <f>IFERROR(__xludf.DUMMYFUNCTION("""COMPUTED_VALUE"""),0.0)</f>
        <v>0</v>
      </c>
      <c r="Z1812" s="148"/>
    </row>
    <row r="1813">
      <c r="A1813" s="148">
        <f>IFERROR(__xludf.DUMMYFUNCTION("""COMPUTED_VALUE"""),1.1117472E7)</f>
        <v>11117472</v>
      </c>
      <c r="B1813" s="148" t="str">
        <f>IFERROR(__xludf.DUMMYFUNCTION("""COMPUTED_VALUE"""),"2023沙滩节BattlePass-高级通行证")</f>
        <v>2023沙滩节BattlePass-高级通行证</v>
      </c>
      <c r="C1813" s="148"/>
      <c r="D1813" s="148" t="str">
        <f>IFERROR(__xludf.DUMMYFUNCTION("""COMPUTED_VALUE"""),"battle_pass_card")</f>
        <v>battle_pass_card</v>
      </c>
      <c r="E1813" s="148">
        <f>IFERROR(__xludf.DUMMYFUNCTION("""COMPUTED_VALUE"""),0.0)</f>
        <v>0</v>
      </c>
      <c r="F1813" s="148">
        <f>IFERROR(__xludf.DUMMYFUNCTION("""COMPUTED_VALUE"""),0.0)</f>
        <v>0</v>
      </c>
      <c r="G1813" s="148">
        <f>IFERROR(__xludf.DUMMYFUNCTION("""COMPUTED_VALUE"""),1.5114996E7)</f>
        <v>15114996</v>
      </c>
      <c r="H1813" s="148">
        <f>IFERROR(__xludf.DUMMYFUNCTION("""COMPUTED_VALUE"""),1.5112564E7)</f>
        <v>15112564</v>
      </c>
      <c r="I1813" s="148" t="str">
        <f>IFERROR(__xludf.DUMMYFUNCTION("""COMPUTED_VALUE"""),"{}")</f>
        <v>{}</v>
      </c>
      <c r="J1813" s="148" t="str">
        <f>IFERROR(__xludf.DUMMYFUNCTION("""COMPUTED_VALUE"""),"{""typ"":""lc"",""txt"":""LC_IAP_summer_senior_bp""}")</f>
        <v>{"typ":"lc","txt":"LC_IAP_summer_senior_bp"}</v>
      </c>
      <c r="K1813" s="148" t="str">
        <f>IFERROR(__xludf.DUMMYFUNCTION("""COMPUTED_VALUE"""),"{}")</f>
        <v>{}</v>
      </c>
      <c r="L1813" s="148" t="str">
        <f>IFERROR(__xludf.DUMMYFUNCTION("""COMPUTED_VALUE"""),"{}")</f>
        <v>{}</v>
      </c>
      <c r="M1813" s="148">
        <f>IFERROR(__xludf.DUMMYFUNCTION("""COMPUTED_VALUE"""),10.0)</f>
        <v>10</v>
      </c>
      <c r="N1813" s="148">
        <f>IFERROR(__xludf.DUMMYFUNCTION("""COMPUTED_VALUE"""),999999.0)</f>
        <v>999999</v>
      </c>
      <c r="O1813" s="148">
        <f>IFERROR(__xludf.DUMMYFUNCTION("""COMPUTED_VALUE"""),99999.0)</f>
        <v>99999</v>
      </c>
      <c r="P1813" s="148">
        <f>IFERROR(__xludf.DUMMYFUNCTION("""COMPUTED_VALUE"""),9999.0)</f>
        <v>9999</v>
      </c>
      <c r="Q1813" s="148" t="str">
        <f>IFERROR(__xludf.DUMMYFUNCTION("""COMPUTED_VALUE"""),"[]")</f>
        <v>[]</v>
      </c>
      <c r="R1813" s="148" t="str">
        <f>IFERROR(__xludf.DUMMYFUNCTION("""COMPUTED_VALUE"""),"[]")</f>
        <v>[]</v>
      </c>
      <c r="S1813" s="148" t="str">
        <f>IFERROR(__xludf.DUMMYFUNCTION("""COMPUTED_VALUE"""),"{}")</f>
        <v>{}</v>
      </c>
      <c r="T1813" s="148">
        <f>IFERROR(__xludf.DUMMYFUNCTION("""COMPUTED_VALUE"""),-1.0)</f>
        <v>-1</v>
      </c>
      <c r="U1813" s="148">
        <f>IFERROR(__xludf.DUMMYFUNCTION("""COMPUTED_VALUE"""),1.0)</f>
        <v>1</v>
      </c>
      <c r="V1813" s="148" t="str">
        <f>IFERROR(__xludf.DUMMYFUNCTION("""COMPUTED_VALUE"""),"[]")</f>
        <v>[]</v>
      </c>
      <c r="W1813" s="148">
        <f>IFERROR(__xludf.DUMMYFUNCTION("""COMPUTED_VALUE"""),1.174E7)</f>
        <v>11740000</v>
      </c>
      <c r="X1813" s="148">
        <f>IFERROR(__xludf.DUMMYFUNCTION("""COMPUTED_VALUE"""),0.0)</f>
        <v>0</v>
      </c>
      <c r="Y1813" s="148">
        <f>IFERROR(__xludf.DUMMYFUNCTION("""COMPUTED_VALUE"""),0.0)</f>
        <v>0</v>
      </c>
      <c r="Z1813" s="148"/>
    </row>
    <row r="1814">
      <c r="A1814" s="148">
        <f>IFERROR(__xludf.DUMMYFUNCTION("""COMPUTED_VALUE"""),1.1117473E7)</f>
        <v>11117473</v>
      </c>
      <c r="B1814" s="148" t="str">
        <f>IFERROR(__xludf.DUMMYFUNCTION("""COMPUTED_VALUE"""),"沙滩摇铃-沙滩节2023活动BP道具")</f>
        <v>沙滩摇铃-沙滩节2023活动BP道具</v>
      </c>
      <c r="C1814" s="148"/>
      <c r="D1814" s="148" t="str">
        <f>IFERROR(__xludf.DUMMYFUNCTION("""COMPUTED_VALUE"""),"battle_pass_exp")</f>
        <v>battle_pass_exp</v>
      </c>
      <c r="E1814" s="148">
        <f>IFERROR(__xludf.DUMMYFUNCTION("""COMPUTED_VALUE"""),0.0)</f>
        <v>0</v>
      </c>
      <c r="F1814" s="148">
        <f>IFERROR(__xludf.DUMMYFUNCTION("""COMPUTED_VALUE"""),405217.0)</f>
        <v>405217</v>
      </c>
      <c r="G1814" s="148">
        <f>IFERROR(__xludf.DUMMYFUNCTION("""COMPUTED_VALUE"""),1.5114996E7)</f>
        <v>15114996</v>
      </c>
      <c r="H1814" s="148">
        <f>IFERROR(__xludf.DUMMYFUNCTION("""COMPUTED_VALUE"""),1.5112563E7)</f>
        <v>15112563</v>
      </c>
      <c r="I1814" s="148" t="str">
        <f>IFERROR(__xludf.DUMMYFUNCTION("""COMPUTED_VALUE"""),"{}")</f>
        <v>{}</v>
      </c>
      <c r="J1814" s="148" t="str">
        <f>IFERROR(__xludf.DUMMYFUNCTION("""COMPUTED_VALUE"""),"{""typ"":""lc"",""txt"":""LC_ITEM_summer_bp_2023_item""}")</f>
        <v>{"typ":"lc","txt":"LC_ITEM_summer_bp_2023_item"}</v>
      </c>
      <c r="K1814" s="148" t="str">
        <f>IFERROR(__xludf.DUMMYFUNCTION("""COMPUTED_VALUE"""),"{""typ"":""lc"",""txt"":""LC_ITEM_summer_bp_2023_item_desc""}")</f>
        <v>{"typ":"lc","txt":"LC_ITEM_summer_bp_2023_item_desc"}</v>
      </c>
      <c r="L1814" s="148" t="str">
        <f>IFERROR(__xludf.DUMMYFUNCTION("""COMPUTED_VALUE"""),"{}")</f>
        <v>{}</v>
      </c>
      <c r="M1814" s="148">
        <f>IFERROR(__xludf.DUMMYFUNCTION("""COMPUTED_VALUE"""),35.0)</f>
        <v>35</v>
      </c>
      <c r="N1814" s="148">
        <f>IFERROR(__xludf.DUMMYFUNCTION("""COMPUTED_VALUE"""),999999.0)</f>
        <v>999999</v>
      </c>
      <c r="O1814" s="148">
        <f>IFERROR(__xludf.DUMMYFUNCTION("""COMPUTED_VALUE"""),99999.0)</f>
        <v>99999</v>
      </c>
      <c r="P1814" s="148">
        <f>IFERROR(__xludf.DUMMYFUNCTION("""COMPUTED_VALUE"""),99999.0)</f>
        <v>99999</v>
      </c>
      <c r="Q1814" s="148" t="str">
        <f>IFERROR(__xludf.DUMMYFUNCTION("""COMPUTED_VALUE"""),"[""bag_other""]")</f>
        <v>["bag_other"]</v>
      </c>
      <c r="R1814" s="148" t="str">
        <f>IFERROR(__xludf.DUMMYFUNCTION("""COMPUTED_VALUE"""),"[""bag""]")</f>
        <v>["bag"]</v>
      </c>
      <c r="S1814" s="148" t="str">
        <f>IFERROR(__xludf.DUMMYFUNCTION("""COMPUTED_VALUE"""),"{}")</f>
        <v>{}</v>
      </c>
      <c r="T1814" s="148">
        <f>IFERROR(__xludf.DUMMYFUNCTION("""COMPUTED_VALUE"""),-1.0)</f>
        <v>-1</v>
      </c>
      <c r="U1814" s="148">
        <f>IFERROR(__xludf.DUMMYFUNCTION("""COMPUTED_VALUE"""),0.0)</f>
        <v>0</v>
      </c>
      <c r="V1814" s="148" t="str">
        <f>IFERROR(__xludf.DUMMYFUNCTION("""COMPUTED_VALUE"""),"[]")</f>
        <v>[]</v>
      </c>
      <c r="W1814" s="148">
        <f>IFERROR(__xludf.DUMMYFUNCTION("""COMPUTED_VALUE"""),1.174E7)</f>
        <v>11740000</v>
      </c>
      <c r="X1814" s="148">
        <f>IFERROR(__xludf.DUMMYFUNCTION("""COMPUTED_VALUE"""),0.0)</f>
        <v>0</v>
      </c>
      <c r="Y1814" s="148">
        <f>IFERROR(__xludf.DUMMYFUNCTION("""COMPUTED_VALUE"""),0.0)</f>
        <v>0</v>
      </c>
      <c r="Z1814" s="148"/>
    </row>
    <row r="1815">
      <c r="A1815" s="148">
        <f>IFERROR(__xludf.DUMMYFUNCTION("""COMPUTED_VALUE"""),1.1117474E7)</f>
        <v>11117474</v>
      </c>
      <c r="B1815" s="148" t="str">
        <f>IFERROR(__xludf.DUMMYFUNCTION("""COMPUTED_VALUE"""),"行军特效-海滩拾贝-1天限时")</f>
        <v>行军特效-海滩拾贝-1天限时</v>
      </c>
      <c r="C1815" s="148"/>
      <c r="D1815" s="148" t="str">
        <f>IFERROR(__xludf.DUMMYFUNCTION("""COMPUTED_VALUE"""),"marching_effect")</f>
        <v>marching_effect</v>
      </c>
      <c r="E1815" s="148">
        <f>IFERROR(__xludf.DUMMYFUNCTION("""COMPUTED_VALUE"""),0.0)</f>
        <v>0</v>
      </c>
      <c r="F1815" s="148">
        <f>IFERROR(__xludf.DUMMYFUNCTION("""COMPUTED_VALUE"""),408200.0)</f>
        <v>408200</v>
      </c>
      <c r="G1815" s="148">
        <f>IFERROR(__xludf.DUMMYFUNCTION("""COMPUTED_VALUE"""),1.5116699E7)</f>
        <v>15116699</v>
      </c>
      <c r="H1815" s="148">
        <f>IFERROR(__xludf.DUMMYFUNCTION("""COMPUTED_VALUE"""),1.511256E7)</f>
        <v>15112560</v>
      </c>
      <c r="I1815" s="148" t="str">
        <f>IFERROR(__xludf.DUMMYFUNCTION("""COMPUTED_VALUE"""),"{""typ"":""lc"",""txt"":""LC_ITEM_time_day_upper_show"",""args"":[{""typ"":""int_unit"",""val"":1}]}")</f>
        <v>{"typ":"lc","txt":"LC_ITEM_time_day_upper_show","args":[{"typ":"int_unit","val":1}]}</v>
      </c>
      <c r="J1815" s="148" t="str">
        <f>IFERROR(__xludf.DUMMYFUNCTION("""COMPUTED_VALUE"""),"{""typ"":""lc"",""txt"":""LC_ITEM_summer_bp_march_effect_2023_item""}")</f>
        <v>{"typ":"lc","txt":"LC_ITEM_summer_bp_march_effect_2023_item"}</v>
      </c>
      <c r="K1815" s="148" t="str">
        <f>IFERROR(__xludf.DUMMYFUNCTION("""COMPUTED_VALUE"""),"{""typ"":""lc"",""txt"":""LC_ITEM_summer_bp_march_effect_2023_item_desc""}")</f>
        <v>{"typ":"lc","txt":"LC_ITEM_summer_bp_march_effect_2023_item_desc"}</v>
      </c>
      <c r="L1815" s="148" t="str">
        <f>IFERROR(__xludf.DUMMYFUNCTION("""COMPUTED_VALUE"""),"{""typ"":""lc"",""txt"":""LC_ITEM_summer_bp_march_effect_2023_item_1d""}")</f>
        <v>{"typ":"lc","txt":"LC_ITEM_summer_bp_march_effect_2023_item_1d"}</v>
      </c>
      <c r="M1815" s="148">
        <f>IFERROR(__xludf.DUMMYFUNCTION("""COMPUTED_VALUE"""),50.0)</f>
        <v>50</v>
      </c>
      <c r="N1815" s="148">
        <f>IFERROR(__xludf.DUMMYFUNCTION("""COMPUTED_VALUE"""),999999.0)</f>
        <v>999999</v>
      </c>
      <c r="O1815" s="148">
        <f>IFERROR(__xludf.DUMMYFUNCTION("""COMPUTED_VALUE"""),99999.0)</f>
        <v>99999</v>
      </c>
      <c r="P1815" s="148">
        <f>IFERROR(__xludf.DUMMYFUNCTION("""COMPUTED_VALUE"""),1.0)</f>
        <v>1</v>
      </c>
      <c r="Q1815" s="148" t="str">
        <f>IFERROR(__xludf.DUMMYFUNCTION("""COMPUTED_VALUE"""),"[""bag_other""]")</f>
        <v>["bag_other"]</v>
      </c>
      <c r="R1815" s="148" t="str">
        <f>IFERROR(__xludf.DUMMYFUNCTION("""COMPUTED_VALUE"""),"[""bag"",""13650110""]")</f>
        <v>["bag","13650110"]</v>
      </c>
      <c r="S1815" s="148" t="str">
        <f>IFERROR(__xludf.DUMMYFUNCTION("""COMPUTED_VALUE"""),"{""effect"":[{""typ"":""marching_effect"",""id"":13650110,""val"":86400000},{""typ"":""vm"",""id"":11151001,""val"":50}]}")</f>
        <v>{"effect":[{"typ":"marching_effect","id":13650110,"val":86400000},{"typ":"vm","id":11151001,"val":50}]}</v>
      </c>
      <c r="T1815" s="148">
        <f>IFERROR(__xludf.DUMMYFUNCTION("""COMPUTED_VALUE"""),-1.0)</f>
        <v>-1</v>
      </c>
      <c r="U1815" s="148">
        <f>IFERROR(__xludf.DUMMYFUNCTION("""COMPUTED_VALUE"""),0.0)</f>
        <v>0</v>
      </c>
      <c r="V1815" s="148" t="str">
        <f>IFERROR(__xludf.DUMMYFUNCTION("""COMPUTED_VALUE"""),"[]")</f>
        <v>[]</v>
      </c>
      <c r="W1815" s="148">
        <f>IFERROR(__xludf.DUMMYFUNCTION("""COMPUTED_VALUE"""),1.174E7)</f>
        <v>11740000</v>
      </c>
      <c r="X1815" s="148">
        <f>IFERROR(__xludf.DUMMYFUNCTION("""COMPUTED_VALUE"""),0.0)</f>
        <v>0</v>
      </c>
      <c r="Y1815" s="148">
        <f>IFERROR(__xludf.DUMMYFUNCTION("""COMPUTED_VALUE"""),0.0)</f>
        <v>0</v>
      </c>
      <c r="Z1815" s="148"/>
    </row>
    <row r="1816">
      <c r="A1816" s="148">
        <f>IFERROR(__xludf.DUMMYFUNCTION("""COMPUTED_VALUE"""),1.1117475E7)</f>
        <v>11117475</v>
      </c>
      <c r="B1816" s="148" t="str">
        <f>IFERROR(__xludf.DUMMYFUNCTION("""COMPUTED_VALUE"""),"行军特效-海滩拾贝-3天限时")</f>
        <v>行军特效-海滩拾贝-3天限时</v>
      </c>
      <c r="C1816" s="148"/>
      <c r="D1816" s="148" t="str">
        <f>IFERROR(__xludf.DUMMYFUNCTION("""COMPUTED_VALUE"""),"marching_effect")</f>
        <v>marching_effect</v>
      </c>
      <c r="E1816" s="148">
        <f>IFERROR(__xludf.DUMMYFUNCTION("""COMPUTED_VALUE"""),0.0)</f>
        <v>0</v>
      </c>
      <c r="F1816" s="148">
        <f>IFERROR(__xludf.DUMMYFUNCTION("""COMPUTED_VALUE"""),408199.0)</f>
        <v>408199</v>
      </c>
      <c r="G1816" s="148">
        <f>IFERROR(__xludf.DUMMYFUNCTION("""COMPUTED_VALUE"""),1.5116699E7)</f>
        <v>15116699</v>
      </c>
      <c r="H1816" s="148">
        <f>IFERROR(__xludf.DUMMYFUNCTION("""COMPUTED_VALUE"""),1.5112561E7)</f>
        <v>15112561</v>
      </c>
      <c r="I1816" s="148" t="str">
        <f>IFERROR(__xludf.DUMMYFUNCTION("""COMPUTED_VALUE"""),"{""typ"":""lc"",""txt"":""LC_ITEM_time_day_upper_show"",""args"":[{""typ"":""int_unit"",""val"":3}]}")</f>
        <v>{"typ":"lc","txt":"LC_ITEM_time_day_upper_show","args":[{"typ":"int_unit","val":3}]}</v>
      </c>
      <c r="J1816" s="148" t="str">
        <f>IFERROR(__xludf.DUMMYFUNCTION("""COMPUTED_VALUE"""),"{""typ"":""lc"",""txt"":""LC_ITEM_summer_bp_march_effect_2023_item""}")</f>
        <v>{"typ":"lc","txt":"LC_ITEM_summer_bp_march_effect_2023_item"}</v>
      </c>
      <c r="K1816" s="148" t="str">
        <f>IFERROR(__xludf.DUMMYFUNCTION("""COMPUTED_VALUE"""),"{""typ"":""lc"",""txt"":""LC_ITEM_summer_bp_march_effect_2023_item_desc""}")</f>
        <v>{"typ":"lc","txt":"LC_ITEM_summer_bp_march_effect_2023_item_desc"}</v>
      </c>
      <c r="L1816" s="148" t="str">
        <f>IFERROR(__xludf.DUMMYFUNCTION("""COMPUTED_VALUE"""),"{""typ"":""lc"",""txt"":""LC_ITEM_summer_bp_march_effect_2023_item_3d""}")</f>
        <v>{"typ":"lc","txt":"LC_ITEM_summer_bp_march_effect_2023_item_3d"}</v>
      </c>
      <c r="M1816" s="148">
        <f>IFERROR(__xludf.DUMMYFUNCTION("""COMPUTED_VALUE"""),200.0)</f>
        <v>200</v>
      </c>
      <c r="N1816" s="148">
        <f>IFERROR(__xludf.DUMMYFUNCTION("""COMPUTED_VALUE"""),999999.0)</f>
        <v>999999</v>
      </c>
      <c r="O1816" s="148">
        <f>IFERROR(__xludf.DUMMYFUNCTION("""COMPUTED_VALUE"""),99999.0)</f>
        <v>99999</v>
      </c>
      <c r="P1816" s="148">
        <f>IFERROR(__xludf.DUMMYFUNCTION("""COMPUTED_VALUE"""),1.0)</f>
        <v>1</v>
      </c>
      <c r="Q1816" s="148" t="str">
        <f>IFERROR(__xludf.DUMMYFUNCTION("""COMPUTED_VALUE"""),"[""bag_other""]")</f>
        <v>["bag_other"]</v>
      </c>
      <c r="R1816" s="148" t="str">
        <f>IFERROR(__xludf.DUMMYFUNCTION("""COMPUTED_VALUE"""),"[""bag"",""13650110""]")</f>
        <v>["bag","13650110"]</v>
      </c>
      <c r="S1816" s="148" t="str">
        <f>IFERROR(__xludf.DUMMYFUNCTION("""COMPUTED_VALUE"""),"{""effect"":[{""typ"":""marching_effect"",""id"":13650110,""val"":259200000},{""typ"":""vm"",""id"":11151001,""val"":200}]}")</f>
        <v>{"effect":[{"typ":"marching_effect","id":13650110,"val":259200000},{"typ":"vm","id":11151001,"val":200}]}</v>
      </c>
      <c r="T1816" s="148">
        <f>IFERROR(__xludf.DUMMYFUNCTION("""COMPUTED_VALUE"""),-1.0)</f>
        <v>-1</v>
      </c>
      <c r="U1816" s="148">
        <f>IFERROR(__xludf.DUMMYFUNCTION("""COMPUTED_VALUE"""),0.0)</f>
        <v>0</v>
      </c>
      <c r="V1816" s="148" t="str">
        <f>IFERROR(__xludf.DUMMYFUNCTION("""COMPUTED_VALUE"""),"[]")</f>
        <v>[]</v>
      </c>
      <c r="W1816" s="148">
        <f>IFERROR(__xludf.DUMMYFUNCTION("""COMPUTED_VALUE"""),1.174E7)</f>
        <v>11740000</v>
      </c>
      <c r="X1816" s="148">
        <f>IFERROR(__xludf.DUMMYFUNCTION("""COMPUTED_VALUE"""),0.0)</f>
        <v>0</v>
      </c>
      <c r="Y1816" s="148">
        <f>IFERROR(__xludf.DUMMYFUNCTION("""COMPUTED_VALUE"""),0.0)</f>
        <v>0</v>
      </c>
      <c r="Z1816" s="148"/>
    </row>
    <row r="1817">
      <c r="A1817" s="148">
        <f>IFERROR(__xludf.DUMMYFUNCTION("""COMPUTED_VALUE"""),1.1117476E7)</f>
        <v>11117476</v>
      </c>
      <c r="B1817" s="148" t="str">
        <f>IFERROR(__xludf.DUMMYFUNCTION("""COMPUTED_VALUE"""),"行军特效-海滩拾贝-7天限时")</f>
        <v>行军特效-海滩拾贝-7天限时</v>
      </c>
      <c r="C1817" s="148"/>
      <c r="D1817" s="148" t="str">
        <f>IFERROR(__xludf.DUMMYFUNCTION("""COMPUTED_VALUE"""),"marching_effect")</f>
        <v>marching_effect</v>
      </c>
      <c r="E1817" s="148">
        <f>IFERROR(__xludf.DUMMYFUNCTION("""COMPUTED_VALUE"""),0.0)</f>
        <v>0</v>
      </c>
      <c r="F1817" s="148">
        <f>IFERROR(__xludf.DUMMYFUNCTION("""COMPUTED_VALUE"""),408198.0)</f>
        <v>408198</v>
      </c>
      <c r="G1817" s="148">
        <f>IFERROR(__xludf.DUMMYFUNCTION("""COMPUTED_VALUE"""),1.5116699E7)</f>
        <v>15116699</v>
      </c>
      <c r="H1817" s="148">
        <f>IFERROR(__xludf.DUMMYFUNCTION("""COMPUTED_VALUE"""),1.5112562E7)</f>
        <v>15112562</v>
      </c>
      <c r="I1817" s="148" t="str">
        <f>IFERROR(__xludf.DUMMYFUNCTION("""COMPUTED_VALUE"""),"{""typ"":""lc"",""txt"":""LC_ITEM_time_day_upper_show"",""args"":[{""typ"":""int_unit"",""val"":7}]}")</f>
        <v>{"typ":"lc","txt":"LC_ITEM_time_day_upper_show","args":[{"typ":"int_unit","val":7}]}</v>
      </c>
      <c r="J1817" s="148" t="str">
        <f>IFERROR(__xludf.DUMMYFUNCTION("""COMPUTED_VALUE"""),"{""typ"":""lc"",""txt"":""LC_ITEM_summer_bp_march_effect_2023_item""}")</f>
        <v>{"typ":"lc","txt":"LC_ITEM_summer_bp_march_effect_2023_item"}</v>
      </c>
      <c r="K1817" s="148" t="str">
        <f>IFERROR(__xludf.DUMMYFUNCTION("""COMPUTED_VALUE"""),"{""typ"":""lc"",""txt"":""LC_ITEM_summer_bp_march_effect_2023_item_desc""}")</f>
        <v>{"typ":"lc","txt":"LC_ITEM_summer_bp_march_effect_2023_item_desc"}</v>
      </c>
      <c r="L1817" s="148" t="str">
        <f>IFERROR(__xludf.DUMMYFUNCTION("""COMPUTED_VALUE"""),"{""typ"":""lc"",""txt"":""LC_ITEM_summer_bp_march_effect_2023_item_7d""}")</f>
        <v>{"typ":"lc","txt":"LC_ITEM_summer_bp_march_effect_2023_item_7d"}</v>
      </c>
      <c r="M1817" s="148">
        <f>IFERROR(__xludf.DUMMYFUNCTION("""COMPUTED_VALUE"""),500.0)</f>
        <v>500</v>
      </c>
      <c r="N1817" s="148">
        <f>IFERROR(__xludf.DUMMYFUNCTION("""COMPUTED_VALUE"""),999999.0)</f>
        <v>999999</v>
      </c>
      <c r="O1817" s="148">
        <f>IFERROR(__xludf.DUMMYFUNCTION("""COMPUTED_VALUE"""),99999.0)</f>
        <v>99999</v>
      </c>
      <c r="P1817" s="148">
        <f>IFERROR(__xludf.DUMMYFUNCTION("""COMPUTED_VALUE"""),1.0)</f>
        <v>1</v>
      </c>
      <c r="Q1817" s="148" t="str">
        <f>IFERROR(__xludf.DUMMYFUNCTION("""COMPUTED_VALUE"""),"[""bag_other""]")</f>
        <v>["bag_other"]</v>
      </c>
      <c r="R1817" s="148" t="str">
        <f>IFERROR(__xludf.DUMMYFUNCTION("""COMPUTED_VALUE"""),"[""bag"",""13650110""]")</f>
        <v>["bag","13650110"]</v>
      </c>
      <c r="S1817" s="148" t="str">
        <f>IFERROR(__xludf.DUMMYFUNCTION("""COMPUTED_VALUE"""),"{""effect"":[{""typ"":""marching_effect"",""id"":13650110,""val"":604800000},{""typ"":""vm"",""id"":11151001,""val"":500}]}")</f>
        <v>{"effect":[{"typ":"marching_effect","id":13650110,"val":604800000},{"typ":"vm","id":11151001,"val":500}]}</v>
      </c>
      <c r="T1817" s="148">
        <f>IFERROR(__xludf.DUMMYFUNCTION("""COMPUTED_VALUE"""),-1.0)</f>
        <v>-1</v>
      </c>
      <c r="U1817" s="148">
        <f>IFERROR(__xludf.DUMMYFUNCTION("""COMPUTED_VALUE"""),0.0)</f>
        <v>0</v>
      </c>
      <c r="V1817" s="148" t="str">
        <f>IFERROR(__xludf.DUMMYFUNCTION("""COMPUTED_VALUE"""),"[]")</f>
        <v>[]</v>
      </c>
      <c r="W1817" s="148">
        <f>IFERROR(__xludf.DUMMYFUNCTION("""COMPUTED_VALUE"""),1.174E7)</f>
        <v>11740000</v>
      </c>
      <c r="X1817" s="148">
        <f>IFERROR(__xludf.DUMMYFUNCTION("""COMPUTED_VALUE"""),0.0)</f>
        <v>0</v>
      </c>
      <c r="Y1817" s="148">
        <f>IFERROR(__xludf.DUMMYFUNCTION("""COMPUTED_VALUE"""),0.0)</f>
        <v>0</v>
      </c>
      <c r="Z1817" s="148"/>
    </row>
    <row r="1818">
      <c r="A1818" s="148">
        <f>IFERROR(__xludf.DUMMYFUNCTION("""COMPUTED_VALUE"""),1.1117477E7)</f>
        <v>11117477</v>
      </c>
      <c r="B1818" s="148" t="str">
        <f>IFERROR(__xludf.DUMMYFUNCTION("""COMPUTED_VALUE"""),"行军特效-海滩拾贝-14天限时")</f>
        <v>行军特效-海滩拾贝-14天限时</v>
      </c>
      <c r="C1818" s="148"/>
      <c r="D1818" s="148" t="str">
        <f>IFERROR(__xludf.DUMMYFUNCTION("""COMPUTED_VALUE"""),"marching_effect")</f>
        <v>marching_effect</v>
      </c>
      <c r="E1818" s="148">
        <f>IFERROR(__xludf.DUMMYFUNCTION("""COMPUTED_VALUE"""),0.0)</f>
        <v>0</v>
      </c>
      <c r="F1818" s="148">
        <f>IFERROR(__xludf.DUMMYFUNCTION("""COMPUTED_VALUE"""),408197.0)</f>
        <v>408197</v>
      </c>
      <c r="G1818" s="148">
        <f>IFERROR(__xludf.DUMMYFUNCTION("""COMPUTED_VALUE"""),1.5116699E7)</f>
        <v>15116699</v>
      </c>
      <c r="H1818" s="148">
        <f>IFERROR(__xludf.DUMMYFUNCTION("""COMPUTED_VALUE"""),1.5112563E7)</f>
        <v>15112563</v>
      </c>
      <c r="I1818" s="148" t="str">
        <f>IFERROR(__xludf.DUMMYFUNCTION("""COMPUTED_VALUE"""),"{""typ"":""lc"",""txt"":""LC_ITEM_time_day_upper_show"",""args"":[{""typ"":""int_unit"",""val"":14}]}")</f>
        <v>{"typ":"lc","txt":"LC_ITEM_time_day_upper_show","args":[{"typ":"int_unit","val":14}]}</v>
      </c>
      <c r="J1818" s="148" t="str">
        <f>IFERROR(__xludf.DUMMYFUNCTION("""COMPUTED_VALUE"""),"{""typ"":""lc"",""txt"":""LC_ITEM_summer_bp_march_effect_2023_item""}")</f>
        <v>{"typ":"lc","txt":"LC_ITEM_summer_bp_march_effect_2023_item"}</v>
      </c>
      <c r="K1818" s="148" t="str">
        <f>IFERROR(__xludf.DUMMYFUNCTION("""COMPUTED_VALUE"""),"{""typ"":""lc"",""txt"":""LC_ITEM_summer_bp_march_effect_2023_item_desc""}")</f>
        <v>{"typ":"lc","txt":"LC_ITEM_summer_bp_march_effect_2023_item_desc"}</v>
      </c>
      <c r="L1818" s="148" t="str">
        <f>IFERROR(__xludf.DUMMYFUNCTION("""COMPUTED_VALUE"""),"{""typ"":""lc"",""txt"":""LC_ITEM_summer_bp_march_effect_2023_item_14d""}")</f>
        <v>{"typ":"lc","txt":"LC_ITEM_summer_bp_march_effect_2023_item_14d"}</v>
      </c>
      <c r="M1818" s="148">
        <f>IFERROR(__xludf.DUMMYFUNCTION("""COMPUTED_VALUE"""),1000.0)</f>
        <v>1000</v>
      </c>
      <c r="N1818" s="148">
        <f>IFERROR(__xludf.DUMMYFUNCTION("""COMPUTED_VALUE"""),999999.0)</f>
        <v>999999</v>
      </c>
      <c r="O1818" s="148">
        <f>IFERROR(__xludf.DUMMYFUNCTION("""COMPUTED_VALUE"""),99999.0)</f>
        <v>99999</v>
      </c>
      <c r="P1818" s="148">
        <f>IFERROR(__xludf.DUMMYFUNCTION("""COMPUTED_VALUE"""),1.0)</f>
        <v>1</v>
      </c>
      <c r="Q1818" s="148" t="str">
        <f>IFERROR(__xludf.DUMMYFUNCTION("""COMPUTED_VALUE"""),"[""bag_other""]")</f>
        <v>["bag_other"]</v>
      </c>
      <c r="R1818" s="148" t="str">
        <f>IFERROR(__xludf.DUMMYFUNCTION("""COMPUTED_VALUE"""),"[""bag"",""13650110""]")</f>
        <v>["bag","13650110"]</v>
      </c>
      <c r="S1818" s="148" t="str">
        <f>IFERROR(__xludf.DUMMYFUNCTION("""COMPUTED_VALUE"""),"{""effect"":[{""typ"":""marching_effect"",""id"":13650110,""val"":1209600000},{""typ"":""vm"",""id"":11151001,""val"":1000}]}")</f>
        <v>{"effect":[{"typ":"marching_effect","id":13650110,"val":1209600000},{"typ":"vm","id":11151001,"val":1000}]}</v>
      </c>
      <c r="T1818" s="148">
        <f>IFERROR(__xludf.DUMMYFUNCTION("""COMPUTED_VALUE"""),-1.0)</f>
        <v>-1</v>
      </c>
      <c r="U1818" s="148">
        <f>IFERROR(__xludf.DUMMYFUNCTION("""COMPUTED_VALUE"""),0.0)</f>
        <v>0</v>
      </c>
      <c r="V1818" s="148" t="str">
        <f>IFERROR(__xludf.DUMMYFUNCTION("""COMPUTED_VALUE"""),"[]")</f>
        <v>[]</v>
      </c>
      <c r="W1818" s="148">
        <f>IFERROR(__xludf.DUMMYFUNCTION("""COMPUTED_VALUE"""),1.174E7)</f>
        <v>11740000</v>
      </c>
      <c r="X1818" s="148">
        <f>IFERROR(__xludf.DUMMYFUNCTION("""COMPUTED_VALUE"""),0.0)</f>
        <v>0</v>
      </c>
      <c r="Y1818" s="148">
        <f>IFERROR(__xludf.DUMMYFUNCTION("""COMPUTED_VALUE"""),0.0)</f>
        <v>0</v>
      </c>
      <c r="Z1818" s="148"/>
    </row>
    <row r="1819">
      <c r="A1819" s="148">
        <f>IFERROR(__xludf.DUMMYFUNCTION("""COMPUTED_VALUE"""),1.1117478E7)</f>
        <v>11117478</v>
      </c>
      <c r="B1819" s="148" t="str">
        <f>IFERROR(__xludf.DUMMYFUNCTION("""COMPUTED_VALUE"""),"行军特效-海滩拾贝-30天限时")</f>
        <v>行军特效-海滩拾贝-30天限时</v>
      </c>
      <c r="C1819" s="148"/>
      <c r="D1819" s="148" t="str">
        <f>IFERROR(__xludf.DUMMYFUNCTION("""COMPUTED_VALUE"""),"marching_effect")</f>
        <v>marching_effect</v>
      </c>
      <c r="E1819" s="148">
        <f>IFERROR(__xludf.DUMMYFUNCTION("""COMPUTED_VALUE"""),0.0)</f>
        <v>0</v>
      </c>
      <c r="F1819" s="148">
        <f>IFERROR(__xludf.DUMMYFUNCTION("""COMPUTED_VALUE"""),408196.0)</f>
        <v>408196</v>
      </c>
      <c r="G1819" s="148">
        <f>IFERROR(__xludf.DUMMYFUNCTION("""COMPUTED_VALUE"""),1.5116699E7)</f>
        <v>15116699</v>
      </c>
      <c r="H1819" s="148">
        <f>IFERROR(__xludf.DUMMYFUNCTION("""COMPUTED_VALUE"""),1.5112563E7)</f>
        <v>15112563</v>
      </c>
      <c r="I1819" s="148" t="str">
        <f>IFERROR(__xludf.DUMMYFUNCTION("""COMPUTED_VALUE"""),"{""typ"":""lc"",""txt"":""LC_ITEM_time_day_upper_show"",""args"":[{""typ"":""int_unit"",""val"":30}]}")</f>
        <v>{"typ":"lc","txt":"LC_ITEM_time_day_upper_show","args":[{"typ":"int_unit","val":30}]}</v>
      </c>
      <c r="J1819" s="148" t="str">
        <f>IFERROR(__xludf.DUMMYFUNCTION("""COMPUTED_VALUE"""),"{""typ"":""lc"",""txt"":""LC_ITEM_summer_bp_march_effect_2023_item""}")</f>
        <v>{"typ":"lc","txt":"LC_ITEM_summer_bp_march_effect_2023_item"}</v>
      </c>
      <c r="K1819" s="148" t="str">
        <f>IFERROR(__xludf.DUMMYFUNCTION("""COMPUTED_VALUE"""),"{""typ"":""lc"",""txt"":""LC_ITEM_summer_bp_march_effect_2023_item_desc""}")</f>
        <v>{"typ":"lc","txt":"LC_ITEM_summer_bp_march_effect_2023_item_desc"}</v>
      </c>
      <c r="L1819" s="148" t="str">
        <f>IFERROR(__xludf.DUMMYFUNCTION("""COMPUTED_VALUE"""),"{""typ"":""lc"",""txt"":""LC_ITEM_summer_bp_march_effect_2023_item_30d""}")</f>
        <v>{"typ":"lc","txt":"LC_ITEM_summer_bp_march_effect_2023_item_30d"}</v>
      </c>
      <c r="M1819" s="148">
        <f>IFERROR(__xludf.DUMMYFUNCTION("""COMPUTED_VALUE"""),2000.0)</f>
        <v>2000</v>
      </c>
      <c r="N1819" s="148">
        <f>IFERROR(__xludf.DUMMYFUNCTION("""COMPUTED_VALUE"""),999999.0)</f>
        <v>999999</v>
      </c>
      <c r="O1819" s="148">
        <f>IFERROR(__xludf.DUMMYFUNCTION("""COMPUTED_VALUE"""),99999.0)</f>
        <v>99999</v>
      </c>
      <c r="P1819" s="148">
        <f>IFERROR(__xludf.DUMMYFUNCTION("""COMPUTED_VALUE"""),1.0)</f>
        <v>1</v>
      </c>
      <c r="Q1819" s="148" t="str">
        <f>IFERROR(__xludf.DUMMYFUNCTION("""COMPUTED_VALUE"""),"[""bag_other""]")</f>
        <v>["bag_other"]</v>
      </c>
      <c r="R1819" s="148" t="str">
        <f>IFERROR(__xludf.DUMMYFUNCTION("""COMPUTED_VALUE"""),"[""bag"",""13650110""]")</f>
        <v>["bag","13650110"]</v>
      </c>
      <c r="S1819" s="148" t="str">
        <f>IFERROR(__xludf.DUMMYFUNCTION("""COMPUTED_VALUE"""),"{""effect"":[{""typ"":""marching_effect"",""id"":13650110,""val"":2592000000},{""typ"":""vm"",""id"":11151001,""val"":1000}]}")</f>
        <v>{"effect":[{"typ":"marching_effect","id":13650110,"val":2592000000},{"typ":"vm","id":11151001,"val":1000}]}</v>
      </c>
      <c r="T1819" s="148">
        <f>IFERROR(__xludf.DUMMYFUNCTION("""COMPUTED_VALUE"""),-1.0)</f>
        <v>-1</v>
      </c>
      <c r="U1819" s="148">
        <f>IFERROR(__xludf.DUMMYFUNCTION("""COMPUTED_VALUE"""),0.0)</f>
        <v>0</v>
      </c>
      <c r="V1819" s="148" t="str">
        <f>IFERROR(__xludf.DUMMYFUNCTION("""COMPUTED_VALUE"""),"[]")</f>
        <v>[]</v>
      </c>
      <c r="W1819" s="148">
        <f>IFERROR(__xludf.DUMMYFUNCTION("""COMPUTED_VALUE"""),1.174E7)</f>
        <v>11740000</v>
      </c>
      <c r="X1819" s="148">
        <f>IFERROR(__xludf.DUMMYFUNCTION("""COMPUTED_VALUE"""),0.0)</f>
        <v>0</v>
      </c>
      <c r="Y1819" s="148">
        <f>IFERROR(__xludf.DUMMYFUNCTION("""COMPUTED_VALUE"""),0.0)</f>
        <v>0</v>
      </c>
      <c r="Z1819" s="148"/>
    </row>
    <row r="1820">
      <c r="A1820" s="148">
        <f>IFERROR(__xludf.DUMMYFUNCTION("""COMPUTED_VALUE"""),1.1117479E7)</f>
        <v>11117479</v>
      </c>
      <c r="B1820" s="148" t="str">
        <f>IFERROR(__xludf.DUMMYFUNCTION("""COMPUTED_VALUE"""),"行军特效-海滩拾贝-永久")</f>
        <v>行军特效-海滩拾贝-永久</v>
      </c>
      <c r="C1820" s="148"/>
      <c r="D1820" s="148" t="str">
        <f>IFERROR(__xludf.DUMMYFUNCTION("""COMPUTED_VALUE"""),"marching_effect")</f>
        <v>marching_effect</v>
      </c>
      <c r="E1820" s="148">
        <f>IFERROR(__xludf.DUMMYFUNCTION("""COMPUTED_VALUE"""),0.0)</f>
        <v>0</v>
      </c>
      <c r="F1820" s="148">
        <f>IFERROR(__xludf.DUMMYFUNCTION("""COMPUTED_VALUE"""),408195.0)</f>
        <v>408195</v>
      </c>
      <c r="G1820" s="148">
        <f>IFERROR(__xludf.DUMMYFUNCTION("""COMPUTED_VALUE"""),1.5116699E7)</f>
        <v>15116699</v>
      </c>
      <c r="H1820" s="148">
        <f>IFERROR(__xludf.DUMMYFUNCTION("""COMPUTED_VALUE"""),1.5112564E7)</f>
        <v>15112564</v>
      </c>
      <c r="I1820" s="148" t="str">
        <f>IFERROR(__xludf.DUMMYFUNCTION("""COMPUTED_VALUE"""),"{}")</f>
        <v>{}</v>
      </c>
      <c r="J1820" s="148" t="str">
        <f>IFERROR(__xludf.DUMMYFUNCTION("""COMPUTED_VALUE"""),"{""typ"":""lc"",""txt"":""LC_ITEM_summer_bp_march_effect_2023_item""}")</f>
        <v>{"typ":"lc","txt":"LC_ITEM_summer_bp_march_effect_2023_item"}</v>
      </c>
      <c r="K1820" s="148" t="str">
        <f>IFERROR(__xludf.DUMMYFUNCTION("""COMPUTED_VALUE"""),"{""typ"":""lc"",""txt"":""LC_ITEM_summer_bp_march_effect_2023_item_desc""}")</f>
        <v>{"typ":"lc","txt":"LC_ITEM_summer_bp_march_effect_2023_item_desc"}</v>
      </c>
      <c r="L1820" s="148" t="str">
        <f>IFERROR(__xludf.DUMMYFUNCTION("""COMPUTED_VALUE"""),"{""typ"":""lc"",""txt"":""LC_ITEM_summer_bp_march_effect_2023_item_use_tips""}")</f>
        <v>{"typ":"lc","txt":"LC_ITEM_summer_bp_march_effect_2023_item_use_tips"}</v>
      </c>
      <c r="M1820" s="148">
        <f>IFERROR(__xludf.DUMMYFUNCTION("""COMPUTED_VALUE"""),5000.0)</f>
        <v>5000</v>
      </c>
      <c r="N1820" s="148">
        <f>IFERROR(__xludf.DUMMYFUNCTION("""COMPUTED_VALUE"""),999999.0)</f>
        <v>999999</v>
      </c>
      <c r="O1820" s="148">
        <f>IFERROR(__xludf.DUMMYFUNCTION("""COMPUTED_VALUE"""),99999.0)</f>
        <v>99999</v>
      </c>
      <c r="P1820" s="148">
        <f>IFERROR(__xludf.DUMMYFUNCTION("""COMPUTED_VALUE"""),1.0)</f>
        <v>1</v>
      </c>
      <c r="Q1820" s="148" t="str">
        <f>IFERROR(__xludf.DUMMYFUNCTION("""COMPUTED_VALUE"""),"[""bag_other""]")</f>
        <v>["bag_other"]</v>
      </c>
      <c r="R1820" s="148" t="str">
        <f>IFERROR(__xludf.DUMMYFUNCTION("""COMPUTED_VALUE"""),"[""bag"",""13650110""]")</f>
        <v>["bag","13650110"]</v>
      </c>
      <c r="S1820" s="148" t="str">
        <f>IFERROR(__xludf.DUMMYFUNCTION("""COMPUTED_VALUE"""),"{""effect"":[{""typ"":""marching_effect"",""id"":13650110,""val"":-1},{""typ"":""vm"",""id"":11151001,""val"":2500}]}")</f>
        <v>{"effect":[{"typ":"marching_effect","id":13650110,"val":-1},{"typ":"vm","id":11151001,"val":2500}]}</v>
      </c>
      <c r="T1820" s="148">
        <f>IFERROR(__xludf.DUMMYFUNCTION("""COMPUTED_VALUE"""),-1.0)</f>
        <v>-1</v>
      </c>
      <c r="U1820" s="148">
        <f>IFERROR(__xludf.DUMMYFUNCTION("""COMPUTED_VALUE"""),0.0)</f>
        <v>0</v>
      </c>
      <c r="V1820" s="148" t="str">
        <f>IFERROR(__xludf.DUMMYFUNCTION("""COMPUTED_VALUE"""),"[]")</f>
        <v>[]</v>
      </c>
      <c r="W1820" s="148">
        <f>IFERROR(__xludf.DUMMYFUNCTION("""COMPUTED_VALUE"""),1.174E7)</f>
        <v>11740000</v>
      </c>
      <c r="X1820" s="148">
        <f>IFERROR(__xludf.DUMMYFUNCTION("""COMPUTED_VALUE"""),0.0)</f>
        <v>0</v>
      </c>
      <c r="Y1820" s="148">
        <f>IFERROR(__xludf.DUMMYFUNCTION("""COMPUTED_VALUE"""),0.0)</f>
        <v>0</v>
      </c>
      <c r="Z1820" s="148"/>
    </row>
    <row r="1821">
      <c r="A1821" s="148">
        <f>IFERROR(__xludf.DUMMYFUNCTION("""COMPUTED_VALUE"""),1.111748E7)</f>
        <v>11117480</v>
      </c>
      <c r="B1821" s="148" t="str">
        <f>IFERROR(__xludf.DUMMYFUNCTION("""COMPUTED_VALUE"""),"周年主城自选道具")</f>
        <v>周年主城自选道具</v>
      </c>
      <c r="C1821" s="148"/>
      <c r="D1821" s="148" t="str">
        <f>IFERROR(__xludf.DUMMYFUNCTION("""COMPUTED_VALUE"""),"item_select_box")</f>
        <v>item_select_box</v>
      </c>
      <c r="E1821" s="148">
        <f>IFERROR(__xludf.DUMMYFUNCTION("""COMPUTED_VALUE"""),19.0)</f>
        <v>19</v>
      </c>
      <c r="F1821" s="148">
        <f>IFERROR(__xludf.DUMMYFUNCTION("""COMPUTED_VALUE"""),403200.0)</f>
        <v>403200</v>
      </c>
      <c r="G1821" s="148">
        <f>IFERROR(__xludf.DUMMYFUNCTION("""COMPUTED_VALUE"""),1.5116839E7)</f>
        <v>15116839</v>
      </c>
      <c r="H1821" s="148">
        <f>IFERROR(__xludf.DUMMYFUNCTION("""COMPUTED_VALUE"""),1.5112564E7)</f>
        <v>15112564</v>
      </c>
      <c r="I1821" s="148" t="str">
        <f>IFERROR(__xludf.DUMMYFUNCTION("""COMPUTED_VALUE"""),"{}")</f>
        <v>{}</v>
      </c>
      <c r="J1821" s="148" t="str">
        <f>IFERROR(__xludf.DUMMYFUNCTION("""COMPUTED_VALUE"""),"{""typ"":""lc"",""txt"":""LC_ITEM_2023anniversary_box_name""}")</f>
        <v>{"typ":"lc","txt":"LC_ITEM_2023anniversary_box_name"}</v>
      </c>
      <c r="K1821" s="148" t="str">
        <f>IFERROR(__xludf.DUMMYFUNCTION("""COMPUTED_VALUE"""),"{""typ"":""lc"",""txt"":""LC_ITEM_2023anniversary_box_desc"",""args"":[{""typ"":""int"",""val"":1},{""typ"":""int"",""val"":1}]}")</f>
        <v>{"typ":"lc","txt":"LC_ITEM_2023anniversary_box_desc","args":[{"typ":"int","val":1},{"typ":"int","val":1}]}</v>
      </c>
      <c r="L1821" s="148" t="str">
        <f>IFERROR(__xludf.DUMMYFUNCTION("""COMPUTED_VALUE"""),"{""typ"":""lc"",""txt"":""LC_ITEM_chest_from_atk_npc_usedtip""}")</f>
        <v>{"typ":"lc","txt":"LC_ITEM_chest_from_atk_npc_usedtip"}</v>
      </c>
      <c r="M1821" s="148">
        <f>IFERROR(__xludf.DUMMYFUNCTION("""COMPUTED_VALUE"""),1000.0)</f>
        <v>1000</v>
      </c>
      <c r="N1821" s="148">
        <f>IFERROR(__xludf.DUMMYFUNCTION("""COMPUTED_VALUE"""),999999.0)</f>
        <v>999999</v>
      </c>
      <c r="O1821" s="148">
        <f>IFERROR(__xludf.DUMMYFUNCTION("""COMPUTED_VALUE"""),99999.0)</f>
        <v>99999</v>
      </c>
      <c r="P1821" s="148">
        <f>IFERROR(__xludf.DUMMYFUNCTION("""COMPUTED_VALUE"""),99999.0)</f>
        <v>99999</v>
      </c>
      <c r="Q1821" s="148" t="str">
        <f>IFERROR(__xludf.DUMMYFUNCTION("""COMPUTED_VALUE"""),"[""bag_other""]")</f>
        <v>["bag_other"]</v>
      </c>
      <c r="R1821" s="148" t="str">
        <f>IFERROR(__xludf.DUMMYFUNCTION("""COMPUTED_VALUE"""),"[""bag""]")</f>
        <v>["bag"]</v>
      </c>
      <c r="S1821" s="148" t="str">
        <f>IFERROR(__xludf.DUMMYFUNCTION("""COMPUTED_VALUE"""),"{""select_box"":[{""typ"":""item"",""id"":11111334,""val"":1},{""typ"":""item"",""id"":11117085,""val"":1},{""typ"":""item"",""id"":11111341,""val"":1},{""typ"":""item"",""id"":11111344,""val"":1},{""typ"":""item"",""id"":11111331,""val"":1}]}")</f>
        <v>{"select_box":[{"typ":"item","id":11111334,"val":1},{"typ":"item","id":11117085,"val":1},{"typ":"item","id":11111341,"val":1},{"typ":"item","id":11111344,"val":1},{"typ":"item","id":11111331,"val":1}]}</v>
      </c>
      <c r="T1821" s="148">
        <f>IFERROR(__xludf.DUMMYFUNCTION("""COMPUTED_VALUE"""),1.0)</f>
        <v>1</v>
      </c>
      <c r="U1821" s="148">
        <f>IFERROR(__xludf.DUMMYFUNCTION("""COMPUTED_VALUE"""),1.0)</f>
        <v>1</v>
      </c>
      <c r="V1821" s="148" t="str">
        <f>IFERROR(__xludf.DUMMYFUNCTION("""COMPUTED_VALUE"""),"[]")</f>
        <v>[]</v>
      </c>
      <c r="W1821" s="148">
        <f>IFERROR(__xludf.DUMMYFUNCTION("""COMPUTED_VALUE"""),1.174E7)</f>
        <v>11740000</v>
      </c>
      <c r="X1821" s="148">
        <f>IFERROR(__xludf.DUMMYFUNCTION("""COMPUTED_VALUE"""),0.0)</f>
        <v>0</v>
      </c>
      <c r="Y1821" s="148">
        <f>IFERROR(__xludf.DUMMYFUNCTION("""COMPUTED_VALUE"""),0.0)</f>
        <v>0</v>
      </c>
      <c r="Z1821" s="148"/>
    </row>
    <row r="1822">
      <c r="A1822" s="148">
        <f>IFERROR(__xludf.DUMMYFUNCTION("""COMPUTED_VALUE"""),1.1117481E7)</f>
        <v>11117481</v>
      </c>
      <c r="B1822" s="148" t="str">
        <f>IFERROR(__xludf.DUMMYFUNCTION("""COMPUTED_VALUE"""),"碎片-一代传说斗士奖牌")</f>
        <v>碎片-一代传说斗士奖牌</v>
      </c>
      <c r="C1822" s="148"/>
      <c r="D1822" s="148" t="str">
        <f>IFERROR(__xludf.DUMMYFUNCTION("""COMPUTED_VALUE"""),"item_select_box")</f>
        <v>item_select_box</v>
      </c>
      <c r="E1822" s="148">
        <f>IFERROR(__xludf.DUMMYFUNCTION("""COMPUTED_VALUE"""),19.0)</f>
        <v>19</v>
      </c>
      <c r="F1822" s="148">
        <f>IFERROR(__xludf.DUMMYFUNCTION("""COMPUTED_VALUE"""),408195.0)</f>
        <v>408195</v>
      </c>
      <c r="G1822" s="148">
        <f>IFERROR(__xludf.DUMMYFUNCTION("""COMPUTED_VALUE"""),1.5116782E7)</f>
        <v>15116782</v>
      </c>
      <c r="H1822" s="148">
        <f>IFERROR(__xludf.DUMMYFUNCTION("""COMPUTED_VALUE"""),1.5112564E7)</f>
        <v>15112564</v>
      </c>
      <c r="I1822" s="148" t="str">
        <f>IFERROR(__xludf.DUMMYFUNCTION("""COMPUTED_VALUE"""),"{}")</f>
        <v>{}</v>
      </c>
      <c r="J1822" s="148" t="str">
        <f>IFERROR(__xludf.DUMMYFUNCTION("""COMPUTED_VALUE"""),"{""typ"":""lc"",""txt"":""LC_ITEM_hero_custom_fragment_chest_tier1""}")</f>
        <v>{"typ":"lc","txt":"LC_ITEM_hero_custom_fragment_chest_tier1"}</v>
      </c>
      <c r="K1822" s="148" t="str">
        <f>IFERROR(__xludf.DUMMYFUNCTION("""COMPUTED_VALUE"""),"{""typ"":""lc"",""txt"":""LC_ITEM_hero_custom_fragment_chest_tier1_desc""}")</f>
        <v>{"typ":"lc","txt":"LC_ITEM_hero_custom_fragment_chest_tier1_desc"}</v>
      </c>
      <c r="L1822" s="148" t="str">
        <f>IFERROR(__xludf.DUMMYFUNCTION("""COMPUTED_VALUE"""),"{}")</f>
        <v>{}</v>
      </c>
      <c r="M1822" s="148">
        <f>IFERROR(__xludf.DUMMYFUNCTION("""COMPUTED_VALUE"""),4000.0)</f>
        <v>4000</v>
      </c>
      <c r="N1822" s="148">
        <f>IFERROR(__xludf.DUMMYFUNCTION("""COMPUTED_VALUE"""),9999999.0)</f>
        <v>9999999</v>
      </c>
      <c r="O1822" s="148">
        <f>IFERROR(__xludf.DUMMYFUNCTION("""COMPUTED_VALUE"""),99999.0)</f>
        <v>99999</v>
      </c>
      <c r="P1822" s="148">
        <f>IFERROR(__xludf.DUMMYFUNCTION("""COMPUTED_VALUE"""),99999.0)</f>
        <v>99999</v>
      </c>
      <c r="Q1822" s="148" t="str">
        <f>IFERROR(__xludf.DUMMYFUNCTION("""COMPUTED_VALUE"""),"[""bag_other""]")</f>
        <v>["bag_other"]</v>
      </c>
      <c r="R1822" s="148" t="str">
        <f>IFERROR(__xludf.DUMMYFUNCTION("""COMPUTED_VALUE"""),"[""bag""]")</f>
        <v>["bag"]</v>
      </c>
      <c r="S1822" s="148" t="str">
        <f>IFERROR(__xludf.DUMMYFUNCTION("""COMPUTED_VALUE"""),"{""select_box"":[{""typ"":""item"",""id"":11116212,""val"":1},{""typ"":""item"",""id"":11116234,""val"":1},{""typ"":""item"",""id"":11116218,""val"":1}]}")</f>
        <v>{"select_box":[{"typ":"item","id":11116212,"val":1},{"typ":"item","id":11116234,"val":1},{"typ":"item","id":11116218,"val":1}]}</v>
      </c>
      <c r="T1822" s="148">
        <f>IFERROR(__xludf.DUMMYFUNCTION("""COMPUTED_VALUE"""),-1.0)</f>
        <v>-1</v>
      </c>
      <c r="U1822" s="148">
        <f>IFERROR(__xludf.DUMMYFUNCTION("""COMPUTED_VALUE"""),0.0)</f>
        <v>0</v>
      </c>
      <c r="V1822" s="148" t="str">
        <f>IFERROR(__xludf.DUMMYFUNCTION("""COMPUTED_VALUE"""),"[]")</f>
        <v>[]</v>
      </c>
      <c r="W1822" s="148">
        <f>IFERROR(__xludf.DUMMYFUNCTION("""COMPUTED_VALUE"""),1.1741002E7)</f>
        <v>11741002</v>
      </c>
      <c r="X1822" s="148">
        <f>IFERROR(__xludf.DUMMYFUNCTION("""COMPUTED_VALUE"""),0.0)</f>
        <v>0</v>
      </c>
      <c r="Y1822" s="148">
        <f>IFERROR(__xludf.DUMMYFUNCTION("""COMPUTED_VALUE"""),0.0)</f>
        <v>0</v>
      </c>
      <c r="Z1822" s="148"/>
    </row>
    <row r="1823">
      <c r="A1823" s="148">
        <f>IFERROR(__xludf.DUMMYFUNCTION("""COMPUTED_VALUE"""),1.1117482E7)</f>
        <v>11117482</v>
      </c>
      <c r="B1823" s="148" t="str">
        <f>IFERROR(__xludf.DUMMYFUNCTION("""COMPUTED_VALUE"""),"碎片-二代传说斗士奖牌")</f>
        <v>碎片-二代传说斗士奖牌</v>
      </c>
      <c r="C1823" s="148"/>
      <c r="D1823" s="148" t="str">
        <f>IFERROR(__xludf.DUMMYFUNCTION("""COMPUTED_VALUE"""),"item_select_box")</f>
        <v>item_select_box</v>
      </c>
      <c r="E1823" s="148">
        <f>IFERROR(__xludf.DUMMYFUNCTION("""COMPUTED_VALUE"""),19.0)</f>
        <v>19</v>
      </c>
      <c r="F1823" s="148">
        <f>IFERROR(__xludf.DUMMYFUNCTION("""COMPUTED_VALUE"""),408195.0)</f>
        <v>408195</v>
      </c>
      <c r="G1823" s="148">
        <f>IFERROR(__xludf.DUMMYFUNCTION("""COMPUTED_VALUE"""),1.5116783E7)</f>
        <v>15116783</v>
      </c>
      <c r="H1823" s="148">
        <f>IFERROR(__xludf.DUMMYFUNCTION("""COMPUTED_VALUE"""),1.5112564E7)</f>
        <v>15112564</v>
      </c>
      <c r="I1823" s="148" t="str">
        <f>IFERROR(__xludf.DUMMYFUNCTION("""COMPUTED_VALUE"""),"{}")</f>
        <v>{}</v>
      </c>
      <c r="J1823" s="148" t="str">
        <f>IFERROR(__xludf.DUMMYFUNCTION("""COMPUTED_VALUE"""),"{""typ"":""lc"",""txt"":""LC_ITEM_hero_custom_fragment_chest_tier2""}")</f>
        <v>{"typ":"lc","txt":"LC_ITEM_hero_custom_fragment_chest_tier2"}</v>
      </c>
      <c r="K1823" s="148" t="str">
        <f>IFERROR(__xludf.DUMMYFUNCTION("""COMPUTED_VALUE"""),"{""typ"":""lc"",""txt"":""LC_ITEM_hero_custom_fragment_chest_tier2_desc""}")</f>
        <v>{"typ":"lc","txt":"LC_ITEM_hero_custom_fragment_chest_tier2_desc"}</v>
      </c>
      <c r="L1823" s="148" t="str">
        <f>IFERROR(__xludf.DUMMYFUNCTION("""COMPUTED_VALUE"""),"{}")</f>
        <v>{}</v>
      </c>
      <c r="M1823" s="148">
        <f>IFERROR(__xludf.DUMMYFUNCTION("""COMPUTED_VALUE"""),4000.0)</f>
        <v>4000</v>
      </c>
      <c r="N1823" s="148">
        <f>IFERROR(__xludf.DUMMYFUNCTION("""COMPUTED_VALUE"""),9999999.0)</f>
        <v>9999999</v>
      </c>
      <c r="O1823" s="148">
        <f>IFERROR(__xludf.DUMMYFUNCTION("""COMPUTED_VALUE"""),99999.0)</f>
        <v>99999</v>
      </c>
      <c r="P1823" s="148">
        <f>IFERROR(__xludf.DUMMYFUNCTION("""COMPUTED_VALUE"""),99999.0)</f>
        <v>99999</v>
      </c>
      <c r="Q1823" s="148" t="str">
        <f>IFERROR(__xludf.DUMMYFUNCTION("""COMPUTED_VALUE"""),"[""bag_other""]")</f>
        <v>["bag_other"]</v>
      </c>
      <c r="R1823" s="148" t="str">
        <f>IFERROR(__xludf.DUMMYFUNCTION("""COMPUTED_VALUE"""),"[""bag""]")</f>
        <v>["bag"]</v>
      </c>
      <c r="S1823" s="148" t="str">
        <f>IFERROR(__xludf.DUMMYFUNCTION("""COMPUTED_VALUE"""),"{""select_box"":[{""typ"":""item"",""id"":11116214,""val"":1},{""typ"":""item"",""id"":11116221,""val"":1},{""typ"":""item"",""id"":11116233,""val"":1}]}")</f>
        <v>{"select_box":[{"typ":"item","id":11116214,"val":1},{"typ":"item","id":11116221,"val":1},{"typ":"item","id":11116233,"val":1}]}</v>
      </c>
      <c r="T1823" s="148">
        <f>IFERROR(__xludf.DUMMYFUNCTION("""COMPUTED_VALUE"""),-1.0)</f>
        <v>-1</v>
      </c>
      <c r="U1823" s="148">
        <f>IFERROR(__xludf.DUMMYFUNCTION("""COMPUTED_VALUE"""),0.0)</f>
        <v>0</v>
      </c>
      <c r="V1823" s="148" t="str">
        <f>IFERROR(__xludf.DUMMYFUNCTION("""COMPUTED_VALUE"""),"[]")</f>
        <v>[]</v>
      </c>
      <c r="W1823" s="148">
        <f>IFERROR(__xludf.DUMMYFUNCTION("""COMPUTED_VALUE"""),1.1741002E7)</f>
        <v>11741002</v>
      </c>
      <c r="X1823" s="148">
        <f>IFERROR(__xludf.DUMMYFUNCTION("""COMPUTED_VALUE"""),0.0)</f>
        <v>0</v>
      </c>
      <c r="Y1823" s="148">
        <f>IFERROR(__xludf.DUMMYFUNCTION("""COMPUTED_VALUE"""),0.0)</f>
        <v>0</v>
      </c>
      <c r="Z1823" s="148"/>
    </row>
    <row r="1824">
      <c r="A1824" s="148">
        <f>IFERROR(__xludf.DUMMYFUNCTION("""COMPUTED_VALUE"""),1.1117483E7)</f>
        <v>11117483</v>
      </c>
      <c r="B1824" s="148" t="str">
        <f>IFERROR(__xludf.DUMMYFUNCTION("""COMPUTED_VALUE"""),"碎片-三代传说斗士奖牌")</f>
        <v>碎片-三代传说斗士奖牌</v>
      </c>
      <c r="C1824" s="148"/>
      <c r="D1824" s="148" t="str">
        <f>IFERROR(__xludf.DUMMYFUNCTION("""COMPUTED_VALUE"""),"item_select_box")</f>
        <v>item_select_box</v>
      </c>
      <c r="E1824" s="148">
        <f>IFERROR(__xludf.DUMMYFUNCTION("""COMPUTED_VALUE"""),19.0)</f>
        <v>19</v>
      </c>
      <c r="F1824" s="148">
        <f>IFERROR(__xludf.DUMMYFUNCTION("""COMPUTED_VALUE"""),408195.0)</f>
        <v>408195</v>
      </c>
      <c r="G1824" s="148">
        <f>IFERROR(__xludf.DUMMYFUNCTION("""COMPUTED_VALUE"""),1.5116784E7)</f>
        <v>15116784</v>
      </c>
      <c r="H1824" s="148">
        <f>IFERROR(__xludf.DUMMYFUNCTION("""COMPUTED_VALUE"""),1.5112564E7)</f>
        <v>15112564</v>
      </c>
      <c r="I1824" s="148" t="str">
        <f>IFERROR(__xludf.DUMMYFUNCTION("""COMPUTED_VALUE"""),"{}")</f>
        <v>{}</v>
      </c>
      <c r="J1824" s="148" t="str">
        <f>IFERROR(__xludf.DUMMYFUNCTION("""COMPUTED_VALUE"""),"{""typ"":""lc"",""txt"":""LC_ITEM_hero_custom_fragment_chest_tier3""}")</f>
        <v>{"typ":"lc","txt":"LC_ITEM_hero_custom_fragment_chest_tier3"}</v>
      </c>
      <c r="K1824" s="148" t="str">
        <f>IFERROR(__xludf.DUMMYFUNCTION("""COMPUTED_VALUE"""),"{""typ"":""lc"",""txt"":""LC_ITEM_hero_custom_fragment_chest_tier3_desc""}")</f>
        <v>{"typ":"lc","txt":"LC_ITEM_hero_custom_fragment_chest_tier3_desc"}</v>
      </c>
      <c r="L1824" s="148" t="str">
        <f>IFERROR(__xludf.DUMMYFUNCTION("""COMPUTED_VALUE"""),"{}")</f>
        <v>{}</v>
      </c>
      <c r="M1824" s="148">
        <f>IFERROR(__xludf.DUMMYFUNCTION("""COMPUTED_VALUE"""),4000.0)</f>
        <v>4000</v>
      </c>
      <c r="N1824" s="148">
        <f>IFERROR(__xludf.DUMMYFUNCTION("""COMPUTED_VALUE"""),9999999.0)</f>
        <v>9999999</v>
      </c>
      <c r="O1824" s="148">
        <f>IFERROR(__xludf.DUMMYFUNCTION("""COMPUTED_VALUE"""),99999.0)</f>
        <v>99999</v>
      </c>
      <c r="P1824" s="148">
        <f>IFERROR(__xludf.DUMMYFUNCTION("""COMPUTED_VALUE"""),99999.0)</f>
        <v>99999</v>
      </c>
      <c r="Q1824" s="148" t="str">
        <f>IFERROR(__xludf.DUMMYFUNCTION("""COMPUTED_VALUE"""),"[""bag_other""]")</f>
        <v>["bag_other"]</v>
      </c>
      <c r="R1824" s="148" t="str">
        <f>IFERROR(__xludf.DUMMYFUNCTION("""COMPUTED_VALUE"""),"[""bag""]")</f>
        <v>["bag"]</v>
      </c>
      <c r="S1824" s="148" t="str">
        <f>IFERROR(__xludf.DUMMYFUNCTION("""COMPUTED_VALUE"""),"{""select_box"":[{""typ"":""item"",""id"":11116217,""val"":1},{""typ"":""item"",""id"":11116222,""val"":1},{""typ"":""item"",""id"":11116235,""val"":1}]}")</f>
        <v>{"select_box":[{"typ":"item","id":11116217,"val":1},{"typ":"item","id":11116222,"val":1},{"typ":"item","id":11116235,"val":1}]}</v>
      </c>
      <c r="T1824" s="148">
        <f>IFERROR(__xludf.DUMMYFUNCTION("""COMPUTED_VALUE"""),-1.0)</f>
        <v>-1</v>
      </c>
      <c r="U1824" s="148">
        <f>IFERROR(__xludf.DUMMYFUNCTION("""COMPUTED_VALUE"""),0.0)</f>
        <v>0</v>
      </c>
      <c r="V1824" s="148" t="str">
        <f>IFERROR(__xludf.DUMMYFUNCTION("""COMPUTED_VALUE"""),"[]")</f>
        <v>[]</v>
      </c>
      <c r="W1824" s="148">
        <f>IFERROR(__xludf.DUMMYFUNCTION("""COMPUTED_VALUE"""),1.1741002E7)</f>
        <v>11741002</v>
      </c>
      <c r="X1824" s="148">
        <f>IFERROR(__xludf.DUMMYFUNCTION("""COMPUTED_VALUE"""),0.0)</f>
        <v>0</v>
      </c>
      <c r="Y1824" s="148">
        <f>IFERROR(__xludf.DUMMYFUNCTION("""COMPUTED_VALUE"""),0.0)</f>
        <v>0</v>
      </c>
      <c r="Z1824" s="148"/>
    </row>
    <row r="1825">
      <c r="A1825" s="148">
        <f>IFERROR(__xludf.DUMMYFUNCTION("""COMPUTED_VALUE"""),1.1117484E7)</f>
        <v>11117484</v>
      </c>
      <c r="B1825" s="148" t="str">
        <f>IFERROR(__xludf.DUMMYFUNCTION("""COMPUTED_VALUE"""),"主城皮肤-周年庆典2023")</f>
        <v>主城皮肤-周年庆典2023</v>
      </c>
      <c r="C1825" s="148"/>
      <c r="D1825" s="148" t="str">
        <f>IFERROR(__xludf.DUMMYFUNCTION("""COMPUTED_VALUE"""),"city_skin")</f>
        <v>city_skin</v>
      </c>
      <c r="E1825" s="148">
        <f>IFERROR(__xludf.DUMMYFUNCTION("""COMPUTED_VALUE"""),21.0)</f>
        <v>21</v>
      </c>
      <c r="F1825" s="148">
        <f>IFERROR(__xludf.DUMMYFUNCTION("""COMPUTED_VALUE"""),400106.0)</f>
        <v>400106</v>
      </c>
      <c r="G1825" s="148">
        <f>IFERROR(__xludf.DUMMYFUNCTION("""COMPUTED_VALUE"""),1.5116777E7)</f>
        <v>15116777</v>
      </c>
      <c r="H1825" s="148">
        <f>IFERROR(__xludf.DUMMYFUNCTION("""COMPUTED_VALUE"""),1.5112564E7)</f>
        <v>15112564</v>
      </c>
      <c r="I1825" s="148" t="str">
        <f>IFERROR(__xludf.DUMMYFUNCTION("""COMPUTED_VALUE"""),"{}")</f>
        <v>{}</v>
      </c>
      <c r="J1825" s="148" t="str">
        <f>IFERROR(__xludf.DUMMYFUNCTION("""COMPUTED_VALUE"""),"{""typ"":""lc"",""txt"":""LC_ITEM_2023anniversary_skin_item""}")</f>
        <v>{"typ":"lc","txt":"LC_ITEM_2023anniversary_skin_item"}</v>
      </c>
      <c r="K1825" s="148" t="str">
        <f>IFERROR(__xludf.DUMMYFUNCTION("""COMPUTED_VALUE"""),"{""typ"":""lc"",""txt"":""LC_ITEM_2023anniversary_skin_item_desc""}")</f>
        <v>{"typ":"lc","txt":"LC_ITEM_2023anniversary_skin_item_desc"}</v>
      </c>
      <c r="L1825" s="148" t="str">
        <f>IFERROR(__xludf.DUMMYFUNCTION("""COMPUTED_VALUE"""),"{""typ"":""lc"",""txt"":""LC_ITEM_city_skin_rocket_use_tips""}")</f>
        <v>{"typ":"lc","txt":"LC_ITEM_city_skin_rocket_use_tips"}</v>
      </c>
      <c r="M1825" s="148">
        <f>IFERROR(__xludf.DUMMYFUNCTION("""COMPUTED_VALUE"""),10000.0)</f>
        <v>10000</v>
      </c>
      <c r="N1825" s="148">
        <f>IFERROR(__xludf.DUMMYFUNCTION("""COMPUTED_VALUE"""),999.0)</f>
        <v>999</v>
      </c>
      <c r="O1825" s="148">
        <f>IFERROR(__xludf.DUMMYFUNCTION("""COMPUTED_VALUE"""),1.0)</f>
        <v>1</v>
      </c>
      <c r="P1825" s="148">
        <f>IFERROR(__xludf.DUMMYFUNCTION("""COMPUTED_VALUE"""),1.0)</f>
        <v>1</v>
      </c>
      <c r="Q1825" s="148" t="str">
        <f>IFERROR(__xludf.DUMMYFUNCTION("""COMPUTED_VALUE"""),"[""bag_other""]")</f>
        <v>["bag_other"]</v>
      </c>
      <c r="R1825" s="148" t="str">
        <f>IFERROR(__xludf.DUMMYFUNCTION("""COMPUTED_VALUE"""),"[""bag"",""13121021""]")</f>
        <v>["bag","13121021"]</v>
      </c>
      <c r="S1825" s="148" t="str">
        <f>IFERROR(__xludf.DUMMYFUNCTION("""COMPUTED_VALUE"""),"{""effect"":[{""typ"":""city_skin"",""id"":13121021,""val"":-1},{""typ"":""item"",""id"":11112030,""val"":8000}]}")</f>
        <v>{"effect":[{"typ":"city_skin","id":13121021,"val":-1},{"typ":"item","id":11112030,"val":8000}]}</v>
      </c>
      <c r="T1825" s="148">
        <f>IFERROR(__xludf.DUMMYFUNCTION("""COMPUTED_VALUE"""),-1.0)</f>
        <v>-1</v>
      </c>
      <c r="U1825" s="148">
        <f>IFERROR(__xludf.DUMMYFUNCTION("""COMPUTED_VALUE"""),0.0)</f>
        <v>0</v>
      </c>
      <c r="V1825" s="148" t="str">
        <f>IFERROR(__xludf.DUMMYFUNCTION("""COMPUTED_VALUE"""),"[]")</f>
        <v>[]</v>
      </c>
      <c r="W1825" s="148">
        <f>IFERROR(__xludf.DUMMYFUNCTION("""COMPUTED_VALUE"""),1.174E7)</f>
        <v>11740000</v>
      </c>
      <c r="X1825" s="148">
        <f>IFERROR(__xludf.DUMMYFUNCTION("""COMPUTED_VALUE"""),0.0)</f>
        <v>0</v>
      </c>
      <c r="Y1825" s="148">
        <f>IFERROR(__xludf.DUMMYFUNCTION("""COMPUTED_VALUE"""),0.0)</f>
        <v>0</v>
      </c>
      <c r="Z1825" s="148"/>
    </row>
    <row r="1826">
      <c r="A1826" s="148">
        <f>IFERROR(__xludf.DUMMYFUNCTION("""COMPUTED_VALUE"""),1.1117485E7)</f>
        <v>11117485</v>
      </c>
      <c r="B1826" s="148" t="str">
        <f>IFERROR(__xludf.DUMMYFUNCTION("""COMPUTED_VALUE"""),"主城皮肤-周年庆典2023（2天）")</f>
        <v>主城皮肤-周年庆典2023（2天）</v>
      </c>
      <c r="C1826" s="148"/>
      <c r="D1826" s="148" t="str">
        <f>IFERROR(__xludf.DUMMYFUNCTION("""COMPUTED_VALUE"""),"city_skin")</f>
        <v>city_skin</v>
      </c>
      <c r="E1826" s="148">
        <f>IFERROR(__xludf.DUMMYFUNCTION("""COMPUTED_VALUE"""),21.0)</f>
        <v>21</v>
      </c>
      <c r="F1826" s="148">
        <f>IFERROR(__xludf.DUMMYFUNCTION("""COMPUTED_VALUE"""),404201.0)</f>
        <v>404201</v>
      </c>
      <c r="G1826" s="148">
        <f>IFERROR(__xludf.DUMMYFUNCTION("""COMPUTED_VALUE"""),1.5116777E7)</f>
        <v>15116777</v>
      </c>
      <c r="H1826" s="148">
        <f>IFERROR(__xludf.DUMMYFUNCTION("""COMPUTED_VALUE"""),1.5112563E7)</f>
        <v>15112563</v>
      </c>
      <c r="I1826" s="148" t="str">
        <f>IFERROR(__xludf.DUMMYFUNCTION("""COMPUTED_VALUE"""),"{""typ"":""lc"",""txt"":""LC_ITEM_time_day_upper_show"",""args"":[{""typ"":""int"",""val"":2}]}")</f>
        <v>{"typ":"lc","txt":"LC_ITEM_time_day_upper_show","args":[{"typ":"int","val":2}]}</v>
      </c>
      <c r="J1826" s="148" t="str">
        <f>IFERROR(__xludf.DUMMYFUNCTION("""COMPUTED_VALUE"""),"{""typ"":""lc"",""txt"":""LC_ITEM_2023anniversary_skin_item_2day""}")</f>
        <v>{"typ":"lc","txt":"LC_ITEM_2023anniversary_skin_item_2day"}</v>
      </c>
      <c r="K1826" s="148" t="str">
        <f>IFERROR(__xludf.DUMMYFUNCTION("""COMPUTED_VALUE"""),"{""typ"":""lc"",""txt"":""LC_ITEM_2023anniversary_skin_item_desc_2day""}")</f>
        <v>{"typ":"lc","txt":"LC_ITEM_2023anniversary_skin_item_desc_2day"}</v>
      </c>
      <c r="L1826" s="148" t="str">
        <f>IFERROR(__xludf.DUMMYFUNCTION("""COMPUTED_VALUE"""),"{""typ"":""lc"",""txt"":""LC_ITEM_city_skin_rocket_use_tips""}")</f>
        <v>{"typ":"lc","txt":"LC_ITEM_city_skin_rocket_use_tips"}</v>
      </c>
      <c r="M1826" s="148">
        <f>IFERROR(__xludf.DUMMYFUNCTION("""COMPUTED_VALUE"""),500.0)</f>
        <v>500</v>
      </c>
      <c r="N1826" s="148">
        <f>IFERROR(__xludf.DUMMYFUNCTION("""COMPUTED_VALUE"""),999.0)</f>
        <v>999</v>
      </c>
      <c r="O1826" s="148">
        <f>IFERROR(__xludf.DUMMYFUNCTION("""COMPUTED_VALUE"""),1.0)</f>
        <v>1</v>
      </c>
      <c r="P1826" s="148">
        <f>IFERROR(__xludf.DUMMYFUNCTION("""COMPUTED_VALUE"""),1.0)</f>
        <v>1</v>
      </c>
      <c r="Q1826" s="148" t="str">
        <f>IFERROR(__xludf.DUMMYFUNCTION("""COMPUTED_VALUE"""),"[""bag_other""]")</f>
        <v>["bag_other"]</v>
      </c>
      <c r="R1826" s="148" t="str">
        <f>IFERROR(__xludf.DUMMYFUNCTION("""COMPUTED_VALUE"""),"[""bag"",""13121021""]")</f>
        <v>["bag","13121021"]</v>
      </c>
      <c r="S1826" s="148" t="str">
        <f>IFERROR(__xludf.DUMMYFUNCTION("""COMPUTED_VALUE"""),"{""effect"":[{""typ"":""city_skin"",""id"":13121021,""val"":172800000},{""typ"":""item"",""id"":11111021,""val"":1}]}")</f>
        <v>{"effect":[{"typ":"city_skin","id":13121021,"val":172800000},{"typ":"item","id":11111021,"val":1}]}</v>
      </c>
      <c r="T1826" s="148">
        <f>IFERROR(__xludf.DUMMYFUNCTION("""COMPUTED_VALUE"""),-1.0)</f>
        <v>-1</v>
      </c>
      <c r="U1826" s="148">
        <f>IFERROR(__xludf.DUMMYFUNCTION("""COMPUTED_VALUE"""),0.0)</f>
        <v>0</v>
      </c>
      <c r="V1826" s="148" t="str">
        <f>IFERROR(__xludf.DUMMYFUNCTION("""COMPUTED_VALUE"""),"[]")</f>
        <v>[]</v>
      </c>
      <c r="W1826" s="148">
        <f>IFERROR(__xludf.DUMMYFUNCTION("""COMPUTED_VALUE"""),1.174E7)</f>
        <v>11740000</v>
      </c>
      <c r="X1826" s="148">
        <f>IFERROR(__xludf.DUMMYFUNCTION("""COMPUTED_VALUE"""),0.0)</f>
        <v>0</v>
      </c>
      <c r="Y1826" s="148">
        <f>IFERROR(__xludf.DUMMYFUNCTION("""COMPUTED_VALUE"""),0.0)</f>
        <v>0</v>
      </c>
      <c r="Z1826" s="148"/>
    </row>
    <row r="1827">
      <c r="A1827" s="148">
        <f>IFERROR(__xludf.DUMMYFUNCTION("""COMPUTED_VALUE"""),1.1117486E7)</f>
        <v>11117486</v>
      </c>
      <c r="B1827" s="148" t="str">
        <f>IFERROR(__xludf.DUMMYFUNCTION("""COMPUTED_VALUE"""),"周年纪念币-2023周年庆抽奖道具")</f>
        <v>周年纪念币-2023周年庆抽奖道具</v>
      </c>
      <c r="C1827" s="148"/>
      <c r="D1827" s="148" t="str">
        <f>IFERROR(__xludf.DUMMYFUNCTION("""COMPUTED_VALUE"""),"event")</f>
        <v>event</v>
      </c>
      <c r="E1827" s="148">
        <f>IFERROR(__xludf.DUMMYFUNCTION("""COMPUTED_VALUE"""),0.0)</f>
        <v>0</v>
      </c>
      <c r="F1827" s="148">
        <f>IFERROR(__xludf.DUMMYFUNCTION("""COMPUTED_VALUE"""),0.0)</f>
        <v>0</v>
      </c>
      <c r="G1827" s="148">
        <f>IFERROR(__xludf.DUMMYFUNCTION("""COMPUTED_VALUE"""),1.5116785E7)</f>
        <v>15116785</v>
      </c>
      <c r="H1827" s="148">
        <f>IFERROR(__xludf.DUMMYFUNCTION("""COMPUTED_VALUE"""),1.5112564E7)</f>
        <v>15112564</v>
      </c>
      <c r="I1827" s="148" t="str">
        <f>IFERROR(__xludf.DUMMYFUNCTION("""COMPUTED_VALUE"""),"{}")</f>
        <v>{}</v>
      </c>
      <c r="J1827" s="148" t="str">
        <f>IFERROR(__xludf.DUMMYFUNCTION("""COMPUTED_VALUE"""),"{""typ"":""lc"",""txt"":""LC_ITEM_2023anniversary_gacha_item""}")</f>
        <v>{"typ":"lc","txt":"LC_ITEM_2023anniversary_gacha_item"}</v>
      </c>
      <c r="K1827" s="148" t="str">
        <f>IFERROR(__xludf.DUMMYFUNCTION("""COMPUTED_VALUE"""),"{""typ"":""lc"",""txt"":""LC_ITEM_2023anniversary_gacha_item_desc""}")</f>
        <v>{"typ":"lc","txt":"LC_ITEM_2023anniversary_gacha_item_desc"}</v>
      </c>
      <c r="L1827" s="148" t="str">
        <f>IFERROR(__xludf.DUMMYFUNCTION("""COMPUTED_VALUE"""),"{}")</f>
        <v>{}</v>
      </c>
      <c r="M1827" s="148">
        <f>IFERROR(__xludf.DUMMYFUNCTION("""COMPUTED_VALUE"""),500.0)</f>
        <v>500</v>
      </c>
      <c r="N1827" s="148">
        <f>IFERROR(__xludf.DUMMYFUNCTION("""COMPUTED_VALUE"""),999999.0)</f>
        <v>999999</v>
      </c>
      <c r="O1827" s="148">
        <f>IFERROR(__xludf.DUMMYFUNCTION("""COMPUTED_VALUE"""),99999.0)</f>
        <v>99999</v>
      </c>
      <c r="P1827" s="148">
        <f>IFERROR(__xludf.DUMMYFUNCTION("""COMPUTED_VALUE"""),9.99999999E8)</f>
        <v>999999999</v>
      </c>
      <c r="Q1827" s="148" t="str">
        <f>IFERROR(__xludf.DUMMYFUNCTION("""COMPUTED_VALUE"""),"[""bag_other""]")</f>
        <v>["bag_other"]</v>
      </c>
      <c r="R1827" s="148" t="str">
        <f>IFERROR(__xludf.DUMMYFUNCTION("""COMPUTED_VALUE"""),"[""bag""]")</f>
        <v>["bag"]</v>
      </c>
      <c r="S1827" s="148" t="str">
        <f>IFERROR(__xludf.DUMMYFUNCTION("""COMPUTED_VALUE"""),"{}")</f>
        <v>{}</v>
      </c>
      <c r="T1827" s="148">
        <f>IFERROR(__xludf.DUMMYFUNCTION("""COMPUTED_VALUE"""),-1.0)</f>
        <v>-1</v>
      </c>
      <c r="U1827" s="148">
        <f>IFERROR(__xludf.DUMMYFUNCTION("""COMPUTED_VALUE"""),0.0)</f>
        <v>0</v>
      </c>
      <c r="V1827" s="148" t="str">
        <f>IFERROR(__xludf.DUMMYFUNCTION("""COMPUTED_VALUE"""),"[]")</f>
        <v>[]</v>
      </c>
      <c r="W1827" s="148">
        <f>IFERROR(__xludf.DUMMYFUNCTION("""COMPUTED_VALUE"""),1.174E7)</f>
        <v>11740000</v>
      </c>
      <c r="X1827" s="148">
        <f>IFERROR(__xludf.DUMMYFUNCTION("""COMPUTED_VALUE"""),0.0)</f>
        <v>0</v>
      </c>
      <c r="Y1827" s="148">
        <f>IFERROR(__xludf.DUMMYFUNCTION("""COMPUTED_VALUE"""),0.0)</f>
        <v>0</v>
      </c>
      <c r="Z1827" s="148"/>
    </row>
    <row r="1828">
      <c r="A1828" s="148">
        <f>IFERROR(__xludf.DUMMYFUNCTION("""COMPUTED_VALUE"""),1.1117487E7)</f>
        <v>11117487</v>
      </c>
      <c r="B1828" s="148" t="str">
        <f>IFERROR(__xludf.DUMMYFUNCTION("""COMPUTED_VALUE"""),"2023登月节BattlePass-初级通行证")</f>
        <v>2023登月节BattlePass-初级通行证</v>
      </c>
      <c r="C1828" s="148"/>
      <c r="D1828" s="148" t="str">
        <f>IFERROR(__xludf.DUMMYFUNCTION("""COMPUTED_VALUE"""),"battle_pass_card")</f>
        <v>battle_pass_card</v>
      </c>
      <c r="E1828" s="148">
        <f>IFERROR(__xludf.DUMMYFUNCTION("""COMPUTED_VALUE"""),0.0)</f>
        <v>0</v>
      </c>
      <c r="F1828" s="148">
        <f>IFERROR(__xludf.DUMMYFUNCTION("""COMPUTED_VALUE"""),0.0)</f>
        <v>0</v>
      </c>
      <c r="G1828" s="148">
        <f>IFERROR(__xludf.DUMMYFUNCTION("""COMPUTED_VALUE"""),1.5117129E7)</f>
        <v>15117129</v>
      </c>
      <c r="H1828" s="148">
        <f>IFERROR(__xludf.DUMMYFUNCTION("""COMPUTED_VALUE"""),1.5112563E7)</f>
        <v>15112563</v>
      </c>
      <c r="I1828" s="148" t="str">
        <f>IFERROR(__xludf.DUMMYFUNCTION("""COMPUTED_VALUE"""),"{}")</f>
        <v>{}</v>
      </c>
      <c r="J1828" s="148" t="str">
        <f>IFERROR(__xludf.DUMMYFUNCTION("""COMPUTED_VALUE"""),"{""typ"":""lc"",""txt"":""LC_IAP_moonday2023_normal_bp""}")</f>
        <v>{"typ":"lc","txt":"LC_IAP_moonday2023_normal_bp"}</v>
      </c>
      <c r="K1828" s="148" t="str">
        <f>IFERROR(__xludf.DUMMYFUNCTION("""COMPUTED_VALUE"""),"{}")</f>
        <v>{}</v>
      </c>
      <c r="L1828" s="148" t="str">
        <f>IFERROR(__xludf.DUMMYFUNCTION("""COMPUTED_VALUE"""),"{}")</f>
        <v>{}</v>
      </c>
      <c r="M1828" s="148">
        <f>IFERROR(__xludf.DUMMYFUNCTION("""COMPUTED_VALUE"""),10.0)</f>
        <v>10</v>
      </c>
      <c r="N1828" s="148">
        <f>IFERROR(__xludf.DUMMYFUNCTION("""COMPUTED_VALUE"""),999999.0)</f>
        <v>999999</v>
      </c>
      <c r="O1828" s="148">
        <f>IFERROR(__xludf.DUMMYFUNCTION("""COMPUTED_VALUE"""),99999.0)</f>
        <v>99999</v>
      </c>
      <c r="P1828" s="148">
        <f>IFERROR(__xludf.DUMMYFUNCTION("""COMPUTED_VALUE"""),9999.0)</f>
        <v>9999</v>
      </c>
      <c r="Q1828" s="148" t="str">
        <f>IFERROR(__xludf.DUMMYFUNCTION("""COMPUTED_VALUE"""),"[]")</f>
        <v>[]</v>
      </c>
      <c r="R1828" s="148" t="str">
        <f>IFERROR(__xludf.DUMMYFUNCTION("""COMPUTED_VALUE"""),"[]")</f>
        <v>[]</v>
      </c>
      <c r="S1828" s="148" t="str">
        <f>IFERROR(__xludf.DUMMYFUNCTION("""COMPUTED_VALUE"""),"{}")</f>
        <v>{}</v>
      </c>
      <c r="T1828" s="148">
        <f>IFERROR(__xludf.DUMMYFUNCTION("""COMPUTED_VALUE"""),-1.0)</f>
        <v>-1</v>
      </c>
      <c r="U1828" s="148">
        <f>IFERROR(__xludf.DUMMYFUNCTION("""COMPUTED_VALUE"""),1.0)</f>
        <v>1</v>
      </c>
      <c r="V1828" s="148" t="str">
        <f>IFERROR(__xludf.DUMMYFUNCTION("""COMPUTED_VALUE"""),"[]")</f>
        <v>[]</v>
      </c>
      <c r="W1828" s="148">
        <f>IFERROR(__xludf.DUMMYFUNCTION("""COMPUTED_VALUE"""),1.174E7)</f>
        <v>11740000</v>
      </c>
      <c r="X1828" s="148">
        <f>IFERROR(__xludf.DUMMYFUNCTION("""COMPUTED_VALUE"""),0.0)</f>
        <v>0</v>
      </c>
      <c r="Y1828" s="148">
        <f>IFERROR(__xludf.DUMMYFUNCTION("""COMPUTED_VALUE"""),0.0)</f>
        <v>0</v>
      </c>
      <c r="Z1828" s="148"/>
    </row>
    <row r="1829">
      <c r="A1829" s="148">
        <f>IFERROR(__xludf.DUMMYFUNCTION("""COMPUTED_VALUE"""),1.1117488E7)</f>
        <v>11117488</v>
      </c>
      <c r="B1829" s="148" t="str">
        <f>IFERROR(__xludf.DUMMYFUNCTION("""COMPUTED_VALUE"""),"2023登月节BattlePass-高级通行证")</f>
        <v>2023登月节BattlePass-高级通行证</v>
      </c>
      <c r="C1829" s="148"/>
      <c r="D1829" s="148" t="str">
        <f>IFERROR(__xludf.DUMMYFUNCTION("""COMPUTED_VALUE"""),"battle_pass_card")</f>
        <v>battle_pass_card</v>
      </c>
      <c r="E1829" s="148">
        <f>IFERROR(__xludf.DUMMYFUNCTION("""COMPUTED_VALUE"""),0.0)</f>
        <v>0</v>
      </c>
      <c r="F1829" s="148">
        <f>IFERROR(__xludf.DUMMYFUNCTION("""COMPUTED_VALUE"""),0.0)</f>
        <v>0</v>
      </c>
      <c r="G1829" s="148">
        <f>IFERROR(__xludf.DUMMYFUNCTION("""COMPUTED_VALUE"""),1.5117129E7)</f>
        <v>15117129</v>
      </c>
      <c r="H1829" s="148">
        <f>IFERROR(__xludf.DUMMYFUNCTION("""COMPUTED_VALUE"""),1.5112564E7)</f>
        <v>15112564</v>
      </c>
      <c r="I1829" s="148" t="str">
        <f>IFERROR(__xludf.DUMMYFUNCTION("""COMPUTED_VALUE"""),"{}")</f>
        <v>{}</v>
      </c>
      <c r="J1829" s="148" t="str">
        <f>IFERROR(__xludf.DUMMYFUNCTION("""COMPUTED_VALUE"""),"{""typ"":""lc"",""txt"":""LC_IAP_moonday2023_senior_bp""}")</f>
        <v>{"typ":"lc","txt":"LC_IAP_moonday2023_senior_bp"}</v>
      </c>
      <c r="K1829" s="148" t="str">
        <f>IFERROR(__xludf.DUMMYFUNCTION("""COMPUTED_VALUE"""),"{}")</f>
        <v>{}</v>
      </c>
      <c r="L1829" s="148" t="str">
        <f>IFERROR(__xludf.DUMMYFUNCTION("""COMPUTED_VALUE"""),"{}")</f>
        <v>{}</v>
      </c>
      <c r="M1829" s="148">
        <f>IFERROR(__xludf.DUMMYFUNCTION("""COMPUTED_VALUE"""),10.0)</f>
        <v>10</v>
      </c>
      <c r="N1829" s="148">
        <f>IFERROR(__xludf.DUMMYFUNCTION("""COMPUTED_VALUE"""),999999.0)</f>
        <v>999999</v>
      </c>
      <c r="O1829" s="148">
        <f>IFERROR(__xludf.DUMMYFUNCTION("""COMPUTED_VALUE"""),99999.0)</f>
        <v>99999</v>
      </c>
      <c r="P1829" s="148">
        <f>IFERROR(__xludf.DUMMYFUNCTION("""COMPUTED_VALUE"""),9999.0)</f>
        <v>9999</v>
      </c>
      <c r="Q1829" s="148" t="str">
        <f>IFERROR(__xludf.DUMMYFUNCTION("""COMPUTED_VALUE"""),"[]")</f>
        <v>[]</v>
      </c>
      <c r="R1829" s="148" t="str">
        <f>IFERROR(__xludf.DUMMYFUNCTION("""COMPUTED_VALUE"""),"[]")</f>
        <v>[]</v>
      </c>
      <c r="S1829" s="148" t="str">
        <f>IFERROR(__xludf.DUMMYFUNCTION("""COMPUTED_VALUE"""),"{}")</f>
        <v>{}</v>
      </c>
      <c r="T1829" s="148">
        <f>IFERROR(__xludf.DUMMYFUNCTION("""COMPUTED_VALUE"""),-1.0)</f>
        <v>-1</v>
      </c>
      <c r="U1829" s="148">
        <f>IFERROR(__xludf.DUMMYFUNCTION("""COMPUTED_VALUE"""),1.0)</f>
        <v>1</v>
      </c>
      <c r="V1829" s="148" t="str">
        <f>IFERROR(__xludf.DUMMYFUNCTION("""COMPUTED_VALUE"""),"[]")</f>
        <v>[]</v>
      </c>
      <c r="W1829" s="148">
        <f>IFERROR(__xludf.DUMMYFUNCTION("""COMPUTED_VALUE"""),1.174E7)</f>
        <v>11740000</v>
      </c>
      <c r="X1829" s="148">
        <f>IFERROR(__xludf.DUMMYFUNCTION("""COMPUTED_VALUE"""),0.0)</f>
        <v>0</v>
      </c>
      <c r="Y1829" s="148">
        <f>IFERROR(__xludf.DUMMYFUNCTION("""COMPUTED_VALUE"""),0.0)</f>
        <v>0</v>
      </c>
      <c r="Z1829" s="148"/>
    </row>
    <row r="1830">
      <c r="A1830" s="148">
        <f>IFERROR(__xludf.DUMMYFUNCTION("""COMPUTED_VALUE"""),1.1117489E7)</f>
        <v>11117489</v>
      </c>
      <c r="B1830" s="148" t="str">
        <f>IFERROR(__xludf.DUMMYFUNCTION("""COMPUTED_VALUE"""),"纪念胶卷-登月节2023活动BP道具")</f>
        <v>纪念胶卷-登月节2023活动BP道具</v>
      </c>
      <c r="C1830" s="148"/>
      <c r="D1830" s="148" t="str">
        <f>IFERROR(__xludf.DUMMYFUNCTION("""COMPUTED_VALUE"""),"battle_pass_exp")</f>
        <v>battle_pass_exp</v>
      </c>
      <c r="E1830" s="148">
        <f>IFERROR(__xludf.DUMMYFUNCTION("""COMPUTED_VALUE"""),0.0)</f>
        <v>0</v>
      </c>
      <c r="F1830" s="148">
        <f>IFERROR(__xludf.DUMMYFUNCTION("""COMPUTED_VALUE"""),405217.0)</f>
        <v>405217</v>
      </c>
      <c r="G1830" s="148">
        <f>IFERROR(__xludf.DUMMYFUNCTION("""COMPUTED_VALUE"""),1.5117129E7)</f>
        <v>15117129</v>
      </c>
      <c r="H1830" s="148">
        <f>IFERROR(__xludf.DUMMYFUNCTION("""COMPUTED_VALUE"""),1.5112563E7)</f>
        <v>15112563</v>
      </c>
      <c r="I1830" s="148" t="str">
        <f>IFERROR(__xludf.DUMMYFUNCTION("""COMPUTED_VALUE"""),"{}")</f>
        <v>{}</v>
      </c>
      <c r="J1830" s="148" t="str">
        <f>IFERROR(__xludf.DUMMYFUNCTION("""COMPUTED_VALUE"""),"{""typ"":""lc"",""txt"":""LC_ITEM_festival_bp_23_moon_item""}")</f>
        <v>{"typ":"lc","txt":"LC_ITEM_festival_bp_23_moon_item"}</v>
      </c>
      <c r="K1830" s="148" t="str">
        <f>IFERROR(__xludf.DUMMYFUNCTION("""COMPUTED_VALUE"""),"{""typ"":""lc"",""txt"":""LC_ITEM_festival_bp_23_moon_item_desc""}")</f>
        <v>{"typ":"lc","txt":"LC_ITEM_festival_bp_23_moon_item_desc"}</v>
      </c>
      <c r="L1830" s="148" t="str">
        <f>IFERROR(__xludf.DUMMYFUNCTION("""COMPUTED_VALUE"""),"{}")</f>
        <v>{}</v>
      </c>
      <c r="M1830" s="148">
        <f>IFERROR(__xludf.DUMMYFUNCTION("""COMPUTED_VALUE"""),35.0)</f>
        <v>35</v>
      </c>
      <c r="N1830" s="148">
        <f>IFERROR(__xludf.DUMMYFUNCTION("""COMPUTED_VALUE"""),999999.0)</f>
        <v>999999</v>
      </c>
      <c r="O1830" s="148">
        <f>IFERROR(__xludf.DUMMYFUNCTION("""COMPUTED_VALUE"""),99999.0)</f>
        <v>99999</v>
      </c>
      <c r="P1830" s="148">
        <f>IFERROR(__xludf.DUMMYFUNCTION("""COMPUTED_VALUE"""),99999.0)</f>
        <v>99999</v>
      </c>
      <c r="Q1830" s="148" t="str">
        <f>IFERROR(__xludf.DUMMYFUNCTION("""COMPUTED_VALUE"""),"[""bag_other""]")</f>
        <v>["bag_other"]</v>
      </c>
      <c r="R1830" s="148" t="str">
        <f>IFERROR(__xludf.DUMMYFUNCTION("""COMPUTED_VALUE"""),"[""bag""]")</f>
        <v>["bag"]</v>
      </c>
      <c r="S1830" s="148" t="str">
        <f>IFERROR(__xludf.DUMMYFUNCTION("""COMPUTED_VALUE"""),"{}")</f>
        <v>{}</v>
      </c>
      <c r="T1830" s="148">
        <f>IFERROR(__xludf.DUMMYFUNCTION("""COMPUTED_VALUE"""),-1.0)</f>
        <v>-1</v>
      </c>
      <c r="U1830" s="148">
        <f>IFERROR(__xludf.DUMMYFUNCTION("""COMPUTED_VALUE"""),0.0)</f>
        <v>0</v>
      </c>
      <c r="V1830" s="148" t="str">
        <f>IFERROR(__xludf.DUMMYFUNCTION("""COMPUTED_VALUE"""),"[]")</f>
        <v>[]</v>
      </c>
      <c r="W1830" s="148">
        <f>IFERROR(__xludf.DUMMYFUNCTION("""COMPUTED_VALUE"""),1.174E7)</f>
        <v>11740000</v>
      </c>
      <c r="X1830" s="148">
        <f>IFERROR(__xludf.DUMMYFUNCTION("""COMPUTED_VALUE"""),0.0)</f>
        <v>0</v>
      </c>
      <c r="Y1830" s="148">
        <f>IFERROR(__xludf.DUMMYFUNCTION("""COMPUTED_VALUE"""),0.0)</f>
        <v>0</v>
      </c>
      <c r="Z1830" s="148"/>
    </row>
    <row r="1831">
      <c r="A1831" s="148">
        <f>IFERROR(__xludf.DUMMYFUNCTION("""COMPUTED_VALUE"""),1.111749E7)</f>
        <v>11117490</v>
      </c>
      <c r="B1831" s="148" t="str">
        <f>IFERROR(__xludf.DUMMYFUNCTION("""COMPUTED_VALUE"""),"行军特效-银河之夜-1天限时")</f>
        <v>行军特效-银河之夜-1天限时</v>
      </c>
      <c r="C1831" s="148"/>
      <c r="D1831" s="148" t="str">
        <f>IFERROR(__xludf.DUMMYFUNCTION("""COMPUTED_VALUE"""),"marching_effect")</f>
        <v>marching_effect</v>
      </c>
      <c r="E1831" s="148">
        <f>IFERROR(__xludf.DUMMYFUNCTION("""COMPUTED_VALUE"""),0.0)</f>
        <v>0</v>
      </c>
      <c r="F1831" s="148">
        <f>IFERROR(__xludf.DUMMYFUNCTION("""COMPUTED_VALUE"""),408200.0)</f>
        <v>408200</v>
      </c>
      <c r="G1831" s="148">
        <f>IFERROR(__xludf.DUMMYFUNCTION("""COMPUTED_VALUE"""),1.511713E7)</f>
        <v>15117130</v>
      </c>
      <c r="H1831" s="148">
        <f>IFERROR(__xludf.DUMMYFUNCTION("""COMPUTED_VALUE"""),1.511256E7)</f>
        <v>15112560</v>
      </c>
      <c r="I1831" s="148" t="str">
        <f>IFERROR(__xludf.DUMMYFUNCTION("""COMPUTED_VALUE"""),"{""typ"":""lc"",""txt"":""LC_ITEM_time_day_upper_show"",""args"":[{""typ"":""int_unit"",""val"":1}]}")</f>
        <v>{"typ":"lc","txt":"LC_ITEM_time_day_upper_show","args":[{"typ":"int_unit","val":1}]}</v>
      </c>
      <c r="J1831" s="148" t="str">
        <f>IFERROR(__xludf.DUMMYFUNCTION("""COMPUTED_VALUE"""),"{""typ"":""lc"",""txt"":""LC_ITEM_festival_bp_23_moon_march_effect""}")</f>
        <v>{"typ":"lc","txt":"LC_ITEM_festival_bp_23_moon_march_effect"}</v>
      </c>
      <c r="K1831" s="148" t="str">
        <f>IFERROR(__xludf.DUMMYFUNCTION("""COMPUTED_VALUE"""),"{""typ"":""lc"",""txt"":""LC_ITEM_festival_bp_23_moon_march_effect_desc""}")</f>
        <v>{"typ":"lc","txt":"LC_ITEM_festival_bp_23_moon_march_effect_desc"}</v>
      </c>
      <c r="L1831" s="148" t="str">
        <f>IFERROR(__xludf.DUMMYFUNCTION("""COMPUTED_VALUE"""),"{""typ"":""lc"",""txt"":""LC_ITEM_festival_bp_23_moon_march_effect_used_1d""}")</f>
        <v>{"typ":"lc","txt":"LC_ITEM_festival_bp_23_moon_march_effect_used_1d"}</v>
      </c>
      <c r="M1831" s="148">
        <f>IFERROR(__xludf.DUMMYFUNCTION("""COMPUTED_VALUE"""),50.0)</f>
        <v>50</v>
      </c>
      <c r="N1831" s="148">
        <f>IFERROR(__xludf.DUMMYFUNCTION("""COMPUTED_VALUE"""),999999.0)</f>
        <v>999999</v>
      </c>
      <c r="O1831" s="148">
        <f>IFERROR(__xludf.DUMMYFUNCTION("""COMPUTED_VALUE"""),99999.0)</f>
        <v>99999</v>
      </c>
      <c r="P1831" s="148">
        <f>IFERROR(__xludf.DUMMYFUNCTION("""COMPUTED_VALUE"""),1.0)</f>
        <v>1</v>
      </c>
      <c r="Q1831" s="148" t="str">
        <f>IFERROR(__xludf.DUMMYFUNCTION("""COMPUTED_VALUE"""),"[""bag_other""]")</f>
        <v>["bag_other"]</v>
      </c>
      <c r="R1831" s="148" t="str">
        <f>IFERROR(__xludf.DUMMYFUNCTION("""COMPUTED_VALUE"""),"[""bag"",""13650112""]")</f>
        <v>["bag","13650112"]</v>
      </c>
      <c r="S1831" s="148" t="str">
        <f>IFERROR(__xludf.DUMMYFUNCTION("""COMPUTED_VALUE"""),"{""effect"":[{""typ"":""marching_effect"",""id"":13650112,""val"":86400000},{""typ"":""vm"",""id"":11151001,""val"":50}]}")</f>
        <v>{"effect":[{"typ":"marching_effect","id":13650112,"val":86400000},{"typ":"vm","id":11151001,"val":50}]}</v>
      </c>
      <c r="T1831" s="148">
        <f>IFERROR(__xludf.DUMMYFUNCTION("""COMPUTED_VALUE"""),-1.0)</f>
        <v>-1</v>
      </c>
      <c r="U1831" s="148">
        <f>IFERROR(__xludf.DUMMYFUNCTION("""COMPUTED_VALUE"""),0.0)</f>
        <v>0</v>
      </c>
      <c r="V1831" s="148" t="str">
        <f>IFERROR(__xludf.DUMMYFUNCTION("""COMPUTED_VALUE"""),"[]")</f>
        <v>[]</v>
      </c>
      <c r="W1831" s="148">
        <f>IFERROR(__xludf.DUMMYFUNCTION("""COMPUTED_VALUE"""),1.174E7)</f>
        <v>11740000</v>
      </c>
      <c r="X1831" s="148">
        <f>IFERROR(__xludf.DUMMYFUNCTION("""COMPUTED_VALUE"""),0.0)</f>
        <v>0</v>
      </c>
      <c r="Y1831" s="148">
        <f>IFERROR(__xludf.DUMMYFUNCTION("""COMPUTED_VALUE"""),0.0)</f>
        <v>0</v>
      </c>
      <c r="Z1831" s="148"/>
    </row>
    <row r="1832">
      <c r="A1832" s="148">
        <f>IFERROR(__xludf.DUMMYFUNCTION("""COMPUTED_VALUE"""),1.1117491E7)</f>
        <v>11117491</v>
      </c>
      <c r="B1832" s="148" t="str">
        <f>IFERROR(__xludf.DUMMYFUNCTION("""COMPUTED_VALUE"""),"行军特效-银河之夜-3天限时")</f>
        <v>行军特效-银河之夜-3天限时</v>
      </c>
      <c r="C1832" s="148"/>
      <c r="D1832" s="148" t="str">
        <f>IFERROR(__xludf.DUMMYFUNCTION("""COMPUTED_VALUE"""),"marching_effect")</f>
        <v>marching_effect</v>
      </c>
      <c r="E1832" s="148">
        <f>IFERROR(__xludf.DUMMYFUNCTION("""COMPUTED_VALUE"""),0.0)</f>
        <v>0</v>
      </c>
      <c r="F1832" s="148">
        <f>IFERROR(__xludf.DUMMYFUNCTION("""COMPUTED_VALUE"""),408199.0)</f>
        <v>408199</v>
      </c>
      <c r="G1832" s="148">
        <f>IFERROR(__xludf.DUMMYFUNCTION("""COMPUTED_VALUE"""),1.511713E7)</f>
        <v>15117130</v>
      </c>
      <c r="H1832" s="148">
        <f>IFERROR(__xludf.DUMMYFUNCTION("""COMPUTED_VALUE"""),1.5112561E7)</f>
        <v>15112561</v>
      </c>
      <c r="I1832" s="148" t="str">
        <f>IFERROR(__xludf.DUMMYFUNCTION("""COMPUTED_VALUE"""),"{""typ"":""lc"",""txt"":""LC_ITEM_time_day_upper_show"",""args"":[{""typ"":""int_unit"",""val"":3}]}")</f>
        <v>{"typ":"lc","txt":"LC_ITEM_time_day_upper_show","args":[{"typ":"int_unit","val":3}]}</v>
      </c>
      <c r="J1832" s="148" t="str">
        <f>IFERROR(__xludf.DUMMYFUNCTION("""COMPUTED_VALUE"""),"{""typ"":""lc"",""txt"":""LC_ITEM_festival_bp_23_moon_march_effect""}")</f>
        <v>{"typ":"lc","txt":"LC_ITEM_festival_bp_23_moon_march_effect"}</v>
      </c>
      <c r="K1832" s="148" t="str">
        <f>IFERROR(__xludf.DUMMYFUNCTION("""COMPUTED_VALUE"""),"{""typ"":""lc"",""txt"":""LC_ITEM_festival_bp_23_moon_march_effect_desc""}")</f>
        <v>{"typ":"lc","txt":"LC_ITEM_festival_bp_23_moon_march_effect_desc"}</v>
      </c>
      <c r="L1832" s="148" t="str">
        <f>IFERROR(__xludf.DUMMYFUNCTION("""COMPUTED_VALUE"""),"{""typ"":""lc"",""txt"":""LC_ITEM_festival_bp_23_moon_march_effect_used_3d""}")</f>
        <v>{"typ":"lc","txt":"LC_ITEM_festival_bp_23_moon_march_effect_used_3d"}</v>
      </c>
      <c r="M1832" s="148">
        <f>IFERROR(__xludf.DUMMYFUNCTION("""COMPUTED_VALUE"""),200.0)</f>
        <v>200</v>
      </c>
      <c r="N1832" s="148">
        <f>IFERROR(__xludf.DUMMYFUNCTION("""COMPUTED_VALUE"""),999999.0)</f>
        <v>999999</v>
      </c>
      <c r="O1832" s="148">
        <f>IFERROR(__xludf.DUMMYFUNCTION("""COMPUTED_VALUE"""),99999.0)</f>
        <v>99999</v>
      </c>
      <c r="P1832" s="148">
        <f>IFERROR(__xludf.DUMMYFUNCTION("""COMPUTED_VALUE"""),1.0)</f>
        <v>1</v>
      </c>
      <c r="Q1832" s="148" t="str">
        <f>IFERROR(__xludf.DUMMYFUNCTION("""COMPUTED_VALUE"""),"[""bag_other""]")</f>
        <v>["bag_other"]</v>
      </c>
      <c r="R1832" s="148" t="str">
        <f>IFERROR(__xludf.DUMMYFUNCTION("""COMPUTED_VALUE"""),"[""bag"",""13650112""]")</f>
        <v>["bag","13650112"]</v>
      </c>
      <c r="S1832" s="148" t="str">
        <f>IFERROR(__xludf.DUMMYFUNCTION("""COMPUTED_VALUE"""),"{""effect"":[{""typ"":""marching_effect"",""id"":13650112,""val"":259200000},{""typ"":""vm"",""id"":11151001,""val"":200}]}")</f>
        <v>{"effect":[{"typ":"marching_effect","id":13650112,"val":259200000},{"typ":"vm","id":11151001,"val":200}]}</v>
      </c>
      <c r="T1832" s="148">
        <f>IFERROR(__xludf.DUMMYFUNCTION("""COMPUTED_VALUE"""),-1.0)</f>
        <v>-1</v>
      </c>
      <c r="U1832" s="148">
        <f>IFERROR(__xludf.DUMMYFUNCTION("""COMPUTED_VALUE"""),0.0)</f>
        <v>0</v>
      </c>
      <c r="V1832" s="148" t="str">
        <f>IFERROR(__xludf.DUMMYFUNCTION("""COMPUTED_VALUE"""),"[]")</f>
        <v>[]</v>
      </c>
      <c r="W1832" s="148">
        <f>IFERROR(__xludf.DUMMYFUNCTION("""COMPUTED_VALUE"""),1.174E7)</f>
        <v>11740000</v>
      </c>
      <c r="X1832" s="148">
        <f>IFERROR(__xludf.DUMMYFUNCTION("""COMPUTED_VALUE"""),0.0)</f>
        <v>0</v>
      </c>
      <c r="Y1832" s="148">
        <f>IFERROR(__xludf.DUMMYFUNCTION("""COMPUTED_VALUE"""),0.0)</f>
        <v>0</v>
      </c>
      <c r="Z1832" s="148"/>
    </row>
    <row r="1833">
      <c r="A1833" s="148">
        <f>IFERROR(__xludf.DUMMYFUNCTION("""COMPUTED_VALUE"""),1.1117492E7)</f>
        <v>11117492</v>
      </c>
      <c r="B1833" s="148" t="str">
        <f>IFERROR(__xludf.DUMMYFUNCTION("""COMPUTED_VALUE"""),"行军特效-银河之夜-7天限时")</f>
        <v>行军特效-银河之夜-7天限时</v>
      </c>
      <c r="C1833" s="148"/>
      <c r="D1833" s="148" t="str">
        <f>IFERROR(__xludf.DUMMYFUNCTION("""COMPUTED_VALUE"""),"marching_effect")</f>
        <v>marching_effect</v>
      </c>
      <c r="E1833" s="148">
        <f>IFERROR(__xludf.DUMMYFUNCTION("""COMPUTED_VALUE"""),0.0)</f>
        <v>0</v>
      </c>
      <c r="F1833" s="148">
        <f>IFERROR(__xludf.DUMMYFUNCTION("""COMPUTED_VALUE"""),408198.0)</f>
        <v>408198</v>
      </c>
      <c r="G1833" s="148">
        <f>IFERROR(__xludf.DUMMYFUNCTION("""COMPUTED_VALUE"""),1.511713E7)</f>
        <v>15117130</v>
      </c>
      <c r="H1833" s="148">
        <f>IFERROR(__xludf.DUMMYFUNCTION("""COMPUTED_VALUE"""),1.5112562E7)</f>
        <v>15112562</v>
      </c>
      <c r="I1833" s="148" t="str">
        <f>IFERROR(__xludf.DUMMYFUNCTION("""COMPUTED_VALUE"""),"{""typ"":""lc"",""txt"":""LC_ITEM_time_day_upper_show"",""args"":[{""typ"":""int_unit"",""val"":7}]}")</f>
        <v>{"typ":"lc","txt":"LC_ITEM_time_day_upper_show","args":[{"typ":"int_unit","val":7}]}</v>
      </c>
      <c r="J1833" s="148" t="str">
        <f>IFERROR(__xludf.DUMMYFUNCTION("""COMPUTED_VALUE"""),"{""typ"":""lc"",""txt"":""LC_ITEM_festival_bp_23_moon_march_effect""}")</f>
        <v>{"typ":"lc","txt":"LC_ITEM_festival_bp_23_moon_march_effect"}</v>
      </c>
      <c r="K1833" s="148" t="str">
        <f>IFERROR(__xludf.DUMMYFUNCTION("""COMPUTED_VALUE"""),"{""typ"":""lc"",""txt"":""LC_ITEM_festival_bp_23_moon_march_effect_desc""}")</f>
        <v>{"typ":"lc","txt":"LC_ITEM_festival_bp_23_moon_march_effect_desc"}</v>
      </c>
      <c r="L1833" s="148" t="str">
        <f>IFERROR(__xludf.DUMMYFUNCTION("""COMPUTED_VALUE"""),"{""typ"":""lc"",""txt"":""LC_ITEM_festival_bp_23_moon_march_effect_used_7d""}")</f>
        <v>{"typ":"lc","txt":"LC_ITEM_festival_bp_23_moon_march_effect_used_7d"}</v>
      </c>
      <c r="M1833" s="148">
        <f>IFERROR(__xludf.DUMMYFUNCTION("""COMPUTED_VALUE"""),500.0)</f>
        <v>500</v>
      </c>
      <c r="N1833" s="148">
        <f>IFERROR(__xludf.DUMMYFUNCTION("""COMPUTED_VALUE"""),999999.0)</f>
        <v>999999</v>
      </c>
      <c r="O1833" s="148">
        <f>IFERROR(__xludf.DUMMYFUNCTION("""COMPUTED_VALUE"""),99999.0)</f>
        <v>99999</v>
      </c>
      <c r="P1833" s="148">
        <f>IFERROR(__xludf.DUMMYFUNCTION("""COMPUTED_VALUE"""),1.0)</f>
        <v>1</v>
      </c>
      <c r="Q1833" s="148" t="str">
        <f>IFERROR(__xludf.DUMMYFUNCTION("""COMPUTED_VALUE"""),"[""bag_other""]")</f>
        <v>["bag_other"]</v>
      </c>
      <c r="R1833" s="148" t="str">
        <f>IFERROR(__xludf.DUMMYFUNCTION("""COMPUTED_VALUE"""),"[""bag"",""13650112""]")</f>
        <v>["bag","13650112"]</v>
      </c>
      <c r="S1833" s="148" t="str">
        <f>IFERROR(__xludf.DUMMYFUNCTION("""COMPUTED_VALUE"""),"{""effect"":[{""typ"":""marching_effect"",""id"":13650112,""val"":604800000},{""typ"":""vm"",""id"":11151001,""val"":500}]}")</f>
        <v>{"effect":[{"typ":"marching_effect","id":13650112,"val":604800000},{"typ":"vm","id":11151001,"val":500}]}</v>
      </c>
      <c r="T1833" s="148">
        <f>IFERROR(__xludf.DUMMYFUNCTION("""COMPUTED_VALUE"""),-1.0)</f>
        <v>-1</v>
      </c>
      <c r="U1833" s="148">
        <f>IFERROR(__xludf.DUMMYFUNCTION("""COMPUTED_VALUE"""),0.0)</f>
        <v>0</v>
      </c>
      <c r="V1833" s="148" t="str">
        <f>IFERROR(__xludf.DUMMYFUNCTION("""COMPUTED_VALUE"""),"[]")</f>
        <v>[]</v>
      </c>
      <c r="W1833" s="148">
        <f>IFERROR(__xludf.DUMMYFUNCTION("""COMPUTED_VALUE"""),1.174E7)</f>
        <v>11740000</v>
      </c>
      <c r="X1833" s="148">
        <f>IFERROR(__xludf.DUMMYFUNCTION("""COMPUTED_VALUE"""),0.0)</f>
        <v>0</v>
      </c>
      <c r="Y1833" s="148">
        <f>IFERROR(__xludf.DUMMYFUNCTION("""COMPUTED_VALUE"""),0.0)</f>
        <v>0</v>
      </c>
      <c r="Z1833" s="148"/>
    </row>
    <row r="1834">
      <c r="A1834" s="148">
        <f>IFERROR(__xludf.DUMMYFUNCTION("""COMPUTED_VALUE"""),1.1117493E7)</f>
        <v>11117493</v>
      </c>
      <c r="B1834" s="148" t="str">
        <f>IFERROR(__xludf.DUMMYFUNCTION("""COMPUTED_VALUE"""),"行军特效-银河之夜-14天限时")</f>
        <v>行军特效-银河之夜-14天限时</v>
      </c>
      <c r="C1834" s="148"/>
      <c r="D1834" s="148" t="str">
        <f>IFERROR(__xludf.DUMMYFUNCTION("""COMPUTED_VALUE"""),"marching_effect")</f>
        <v>marching_effect</v>
      </c>
      <c r="E1834" s="148">
        <f>IFERROR(__xludf.DUMMYFUNCTION("""COMPUTED_VALUE"""),0.0)</f>
        <v>0</v>
      </c>
      <c r="F1834" s="148">
        <f>IFERROR(__xludf.DUMMYFUNCTION("""COMPUTED_VALUE"""),408197.0)</f>
        <v>408197</v>
      </c>
      <c r="G1834" s="148">
        <f>IFERROR(__xludf.DUMMYFUNCTION("""COMPUTED_VALUE"""),1.511713E7)</f>
        <v>15117130</v>
      </c>
      <c r="H1834" s="148">
        <f>IFERROR(__xludf.DUMMYFUNCTION("""COMPUTED_VALUE"""),1.5112563E7)</f>
        <v>15112563</v>
      </c>
      <c r="I1834" s="148" t="str">
        <f>IFERROR(__xludf.DUMMYFUNCTION("""COMPUTED_VALUE"""),"{""typ"":""lc"",""txt"":""LC_ITEM_time_day_upper_show"",""args"":[{""typ"":""int_unit"",""val"":14}]}")</f>
        <v>{"typ":"lc","txt":"LC_ITEM_time_day_upper_show","args":[{"typ":"int_unit","val":14}]}</v>
      </c>
      <c r="J1834" s="148" t="str">
        <f>IFERROR(__xludf.DUMMYFUNCTION("""COMPUTED_VALUE"""),"{""typ"":""lc"",""txt"":""LC_ITEM_festival_bp_23_moon_march_effect""}")</f>
        <v>{"typ":"lc","txt":"LC_ITEM_festival_bp_23_moon_march_effect"}</v>
      </c>
      <c r="K1834" s="148" t="str">
        <f>IFERROR(__xludf.DUMMYFUNCTION("""COMPUTED_VALUE"""),"{""typ"":""lc"",""txt"":""LC_ITEM_festival_bp_23_moon_march_effect_desc""}")</f>
        <v>{"typ":"lc","txt":"LC_ITEM_festival_bp_23_moon_march_effect_desc"}</v>
      </c>
      <c r="L1834" s="148" t="str">
        <f>IFERROR(__xludf.DUMMYFUNCTION("""COMPUTED_VALUE"""),"{""typ"":""lc"",""txt"":""LC_ITEM_festival_bp_23_moon_march_effect_used_14d""}")</f>
        <v>{"typ":"lc","txt":"LC_ITEM_festival_bp_23_moon_march_effect_used_14d"}</v>
      </c>
      <c r="M1834" s="148">
        <f>IFERROR(__xludf.DUMMYFUNCTION("""COMPUTED_VALUE"""),1000.0)</f>
        <v>1000</v>
      </c>
      <c r="N1834" s="148">
        <f>IFERROR(__xludf.DUMMYFUNCTION("""COMPUTED_VALUE"""),999999.0)</f>
        <v>999999</v>
      </c>
      <c r="O1834" s="148">
        <f>IFERROR(__xludf.DUMMYFUNCTION("""COMPUTED_VALUE"""),99999.0)</f>
        <v>99999</v>
      </c>
      <c r="P1834" s="148">
        <f>IFERROR(__xludf.DUMMYFUNCTION("""COMPUTED_VALUE"""),1.0)</f>
        <v>1</v>
      </c>
      <c r="Q1834" s="148" t="str">
        <f>IFERROR(__xludf.DUMMYFUNCTION("""COMPUTED_VALUE"""),"[""bag_other""]")</f>
        <v>["bag_other"]</v>
      </c>
      <c r="R1834" s="148" t="str">
        <f>IFERROR(__xludf.DUMMYFUNCTION("""COMPUTED_VALUE"""),"[""bag"",""13650112""]")</f>
        <v>["bag","13650112"]</v>
      </c>
      <c r="S1834" s="148" t="str">
        <f>IFERROR(__xludf.DUMMYFUNCTION("""COMPUTED_VALUE"""),"{""effect"":[{""typ"":""marching_effect"",""id"":13650112,""val"":1209600000},{""typ"":""vm"",""id"":11151001,""val"":1000}]}")</f>
        <v>{"effect":[{"typ":"marching_effect","id":13650112,"val":1209600000},{"typ":"vm","id":11151001,"val":1000}]}</v>
      </c>
      <c r="T1834" s="148">
        <f>IFERROR(__xludf.DUMMYFUNCTION("""COMPUTED_VALUE"""),-1.0)</f>
        <v>-1</v>
      </c>
      <c r="U1834" s="148">
        <f>IFERROR(__xludf.DUMMYFUNCTION("""COMPUTED_VALUE"""),0.0)</f>
        <v>0</v>
      </c>
      <c r="V1834" s="148" t="str">
        <f>IFERROR(__xludf.DUMMYFUNCTION("""COMPUTED_VALUE"""),"[]")</f>
        <v>[]</v>
      </c>
      <c r="W1834" s="148">
        <f>IFERROR(__xludf.DUMMYFUNCTION("""COMPUTED_VALUE"""),1.174E7)</f>
        <v>11740000</v>
      </c>
      <c r="X1834" s="148">
        <f>IFERROR(__xludf.DUMMYFUNCTION("""COMPUTED_VALUE"""),0.0)</f>
        <v>0</v>
      </c>
      <c r="Y1834" s="148">
        <f>IFERROR(__xludf.DUMMYFUNCTION("""COMPUTED_VALUE"""),0.0)</f>
        <v>0</v>
      </c>
      <c r="Z1834" s="148"/>
    </row>
    <row r="1835">
      <c r="A1835" s="148">
        <f>IFERROR(__xludf.DUMMYFUNCTION("""COMPUTED_VALUE"""),1.1117494E7)</f>
        <v>11117494</v>
      </c>
      <c r="B1835" s="148" t="str">
        <f>IFERROR(__xludf.DUMMYFUNCTION("""COMPUTED_VALUE"""),"行军特效-银河之夜-30天限时")</f>
        <v>行军特效-银河之夜-30天限时</v>
      </c>
      <c r="C1835" s="148"/>
      <c r="D1835" s="148" t="str">
        <f>IFERROR(__xludf.DUMMYFUNCTION("""COMPUTED_VALUE"""),"marching_effect")</f>
        <v>marching_effect</v>
      </c>
      <c r="E1835" s="148">
        <f>IFERROR(__xludf.DUMMYFUNCTION("""COMPUTED_VALUE"""),0.0)</f>
        <v>0</v>
      </c>
      <c r="F1835" s="148">
        <f>IFERROR(__xludf.DUMMYFUNCTION("""COMPUTED_VALUE"""),408196.0)</f>
        <v>408196</v>
      </c>
      <c r="G1835" s="148">
        <f>IFERROR(__xludf.DUMMYFUNCTION("""COMPUTED_VALUE"""),1.511713E7)</f>
        <v>15117130</v>
      </c>
      <c r="H1835" s="148">
        <f>IFERROR(__xludf.DUMMYFUNCTION("""COMPUTED_VALUE"""),1.5112563E7)</f>
        <v>15112563</v>
      </c>
      <c r="I1835" s="148" t="str">
        <f>IFERROR(__xludf.DUMMYFUNCTION("""COMPUTED_VALUE"""),"{""typ"":""lc"",""txt"":""LC_ITEM_time_day_upper_show"",""args"":[{""typ"":""int_unit"",""val"":30}]}")</f>
        <v>{"typ":"lc","txt":"LC_ITEM_time_day_upper_show","args":[{"typ":"int_unit","val":30}]}</v>
      </c>
      <c r="J1835" s="148" t="str">
        <f>IFERROR(__xludf.DUMMYFUNCTION("""COMPUTED_VALUE"""),"{""typ"":""lc"",""txt"":""LC_ITEM_festival_bp_23_moon_march_effect""}")</f>
        <v>{"typ":"lc","txt":"LC_ITEM_festival_bp_23_moon_march_effect"}</v>
      </c>
      <c r="K1835" s="148" t="str">
        <f>IFERROR(__xludf.DUMMYFUNCTION("""COMPUTED_VALUE"""),"{""typ"":""lc"",""txt"":""LC_ITEM_festival_bp_23_moon_march_effect_desc""}")</f>
        <v>{"typ":"lc","txt":"LC_ITEM_festival_bp_23_moon_march_effect_desc"}</v>
      </c>
      <c r="L1835" s="148" t="str">
        <f>IFERROR(__xludf.DUMMYFUNCTION("""COMPUTED_VALUE"""),"{""typ"":""lc"",""txt"":""LC_ITEM_festival_bp_23_moon_march_effect_used_30d""}")</f>
        <v>{"typ":"lc","txt":"LC_ITEM_festival_bp_23_moon_march_effect_used_30d"}</v>
      </c>
      <c r="M1835" s="148">
        <f>IFERROR(__xludf.DUMMYFUNCTION("""COMPUTED_VALUE"""),2000.0)</f>
        <v>2000</v>
      </c>
      <c r="N1835" s="148">
        <f>IFERROR(__xludf.DUMMYFUNCTION("""COMPUTED_VALUE"""),999999.0)</f>
        <v>999999</v>
      </c>
      <c r="O1835" s="148">
        <f>IFERROR(__xludf.DUMMYFUNCTION("""COMPUTED_VALUE"""),99999.0)</f>
        <v>99999</v>
      </c>
      <c r="P1835" s="148">
        <f>IFERROR(__xludf.DUMMYFUNCTION("""COMPUTED_VALUE"""),1.0)</f>
        <v>1</v>
      </c>
      <c r="Q1835" s="148" t="str">
        <f>IFERROR(__xludf.DUMMYFUNCTION("""COMPUTED_VALUE"""),"[""bag_other""]")</f>
        <v>["bag_other"]</v>
      </c>
      <c r="R1835" s="148" t="str">
        <f>IFERROR(__xludf.DUMMYFUNCTION("""COMPUTED_VALUE"""),"[""bag"",""13650112""]")</f>
        <v>["bag","13650112"]</v>
      </c>
      <c r="S1835" s="148" t="str">
        <f>IFERROR(__xludf.DUMMYFUNCTION("""COMPUTED_VALUE"""),"{""effect"":[{""typ"":""marching_effect"",""id"":13650112,""val"":2592000000},{""typ"":""vm"",""id"":11151001,""val"":1000}]}")</f>
        <v>{"effect":[{"typ":"marching_effect","id":13650112,"val":2592000000},{"typ":"vm","id":11151001,"val":1000}]}</v>
      </c>
      <c r="T1835" s="148">
        <f>IFERROR(__xludf.DUMMYFUNCTION("""COMPUTED_VALUE"""),-1.0)</f>
        <v>-1</v>
      </c>
      <c r="U1835" s="148">
        <f>IFERROR(__xludf.DUMMYFUNCTION("""COMPUTED_VALUE"""),0.0)</f>
        <v>0</v>
      </c>
      <c r="V1835" s="148" t="str">
        <f>IFERROR(__xludf.DUMMYFUNCTION("""COMPUTED_VALUE"""),"[]")</f>
        <v>[]</v>
      </c>
      <c r="W1835" s="148">
        <f>IFERROR(__xludf.DUMMYFUNCTION("""COMPUTED_VALUE"""),1.174E7)</f>
        <v>11740000</v>
      </c>
      <c r="X1835" s="148">
        <f>IFERROR(__xludf.DUMMYFUNCTION("""COMPUTED_VALUE"""),0.0)</f>
        <v>0</v>
      </c>
      <c r="Y1835" s="148">
        <f>IFERROR(__xludf.DUMMYFUNCTION("""COMPUTED_VALUE"""),0.0)</f>
        <v>0</v>
      </c>
      <c r="Z1835" s="148"/>
    </row>
    <row r="1836">
      <c r="A1836" s="148">
        <f>IFERROR(__xludf.DUMMYFUNCTION("""COMPUTED_VALUE"""),1.1117495E7)</f>
        <v>11117495</v>
      </c>
      <c r="B1836" s="148" t="str">
        <f>IFERROR(__xludf.DUMMYFUNCTION("""COMPUTED_VALUE"""),"行军特效-银河之夜-永久")</f>
        <v>行军特效-银河之夜-永久</v>
      </c>
      <c r="C1836" s="148"/>
      <c r="D1836" s="148" t="str">
        <f>IFERROR(__xludf.DUMMYFUNCTION("""COMPUTED_VALUE"""),"marching_effect")</f>
        <v>marching_effect</v>
      </c>
      <c r="E1836" s="148">
        <f>IFERROR(__xludf.DUMMYFUNCTION("""COMPUTED_VALUE"""),0.0)</f>
        <v>0</v>
      </c>
      <c r="F1836" s="148">
        <f>IFERROR(__xludf.DUMMYFUNCTION("""COMPUTED_VALUE"""),408195.0)</f>
        <v>408195</v>
      </c>
      <c r="G1836" s="148">
        <f>IFERROR(__xludf.DUMMYFUNCTION("""COMPUTED_VALUE"""),1.511713E7)</f>
        <v>15117130</v>
      </c>
      <c r="H1836" s="148">
        <f>IFERROR(__xludf.DUMMYFUNCTION("""COMPUTED_VALUE"""),1.5112564E7)</f>
        <v>15112564</v>
      </c>
      <c r="I1836" s="148" t="str">
        <f>IFERROR(__xludf.DUMMYFUNCTION("""COMPUTED_VALUE"""),"{}")</f>
        <v>{}</v>
      </c>
      <c r="J1836" s="148" t="str">
        <f>IFERROR(__xludf.DUMMYFUNCTION("""COMPUTED_VALUE"""),"{""typ"":""lc"",""txt"":""LC_ITEM_festival_bp_23_moon_march_effect""}")</f>
        <v>{"typ":"lc","txt":"LC_ITEM_festival_bp_23_moon_march_effect"}</v>
      </c>
      <c r="K1836" s="148" t="str">
        <f>IFERROR(__xludf.DUMMYFUNCTION("""COMPUTED_VALUE"""),"{""typ"":""lc"",""txt"":""LC_ITEM_festival_bp_23_moon_march_effect_desc""}")</f>
        <v>{"typ":"lc","txt":"LC_ITEM_festival_bp_23_moon_march_effect_desc"}</v>
      </c>
      <c r="L1836" s="148" t="str">
        <f>IFERROR(__xludf.DUMMYFUNCTION("""COMPUTED_VALUE"""),"{""typ"":""lc"",""txt"":""LC_ITEM_festival_bp_23_moon_march_effect_used""}")</f>
        <v>{"typ":"lc","txt":"LC_ITEM_festival_bp_23_moon_march_effect_used"}</v>
      </c>
      <c r="M1836" s="148">
        <f>IFERROR(__xludf.DUMMYFUNCTION("""COMPUTED_VALUE"""),5000.0)</f>
        <v>5000</v>
      </c>
      <c r="N1836" s="148">
        <f>IFERROR(__xludf.DUMMYFUNCTION("""COMPUTED_VALUE"""),999999.0)</f>
        <v>999999</v>
      </c>
      <c r="O1836" s="148">
        <f>IFERROR(__xludf.DUMMYFUNCTION("""COMPUTED_VALUE"""),99999.0)</f>
        <v>99999</v>
      </c>
      <c r="P1836" s="148">
        <f>IFERROR(__xludf.DUMMYFUNCTION("""COMPUTED_VALUE"""),1.0)</f>
        <v>1</v>
      </c>
      <c r="Q1836" s="148" t="str">
        <f>IFERROR(__xludf.DUMMYFUNCTION("""COMPUTED_VALUE"""),"[""bag_other""]")</f>
        <v>["bag_other"]</v>
      </c>
      <c r="R1836" s="148" t="str">
        <f>IFERROR(__xludf.DUMMYFUNCTION("""COMPUTED_VALUE"""),"[""bag"",""13650112""]")</f>
        <v>["bag","13650112"]</v>
      </c>
      <c r="S1836" s="148" t="str">
        <f>IFERROR(__xludf.DUMMYFUNCTION("""COMPUTED_VALUE"""),"{""effect"":[{""typ"":""marching_effect"",""id"":13650112,""val"":-1},{""typ"":""vm"",""id"":11151001,""val"":2500}]}")</f>
        <v>{"effect":[{"typ":"marching_effect","id":13650112,"val":-1},{"typ":"vm","id":11151001,"val":2500}]}</v>
      </c>
      <c r="T1836" s="148">
        <f>IFERROR(__xludf.DUMMYFUNCTION("""COMPUTED_VALUE"""),-1.0)</f>
        <v>-1</v>
      </c>
      <c r="U1836" s="148">
        <f>IFERROR(__xludf.DUMMYFUNCTION("""COMPUTED_VALUE"""),0.0)</f>
        <v>0</v>
      </c>
      <c r="V1836" s="148" t="str">
        <f>IFERROR(__xludf.DUMMYFUNCTION("""COMPUTED_VALUE"""),"[]")</f>
        <v>[]</v>
      </c>
      <c r="W1836" s="148">
        <f>IFERROR(__xludf.DUMMYFUNCTION("""COMPUTED_VALUE"""),1.174E7)</f>
        <v>11740000</v>
      </c>
      <c r="X1836" s="148">
        <f>IFERROR(__xludf.DUMMYFUNCTION("""COMPUTED_VALUE"""),0.0)</f>
        <v>0</v>
      </c>
      <c r="Y1836" s="148">
        <f>IFERROR(__xludf.DUMMYFUNCTION("""COMPUTED_VALUE"""),0.0)</f>
        <v>0</v>
      </c>
      <c r="Z1836" s="148"/>
    </row>
    <row r="1837">
      <c r="A1837" s="148">
        <f>IFERROR(__xludf.DUMMYFUNCTION("""COMPUTED_VALUE"""),1.1117496E7)</f>
        <v>11117496</v>
      </c>
      <c r="B1837" s="148" t="str">
        <f>IFERROR(__xludf.DUMMYFUNCTION("""COMPUTED_VALUE"""),"科技成就积分-1分")</f>
        <v>科技成就积分-1分</v>
      </c>
      <c r="C1837" s="148"/>
      <c r="D1837" s="148" t="str">
        <f>IFERROR(__xludf.DUMMYFUNCTION("""COMPUTED_VALUE"""),"tech_achievement_point")</f>
        <v>tech_achievement_point</v>
      </c>
      <c r="E1837" s="148">
        <f>IFERROR(__xludf.DUMMYFUNCTION("""COMPUTED_VALUE"""),0.0)</f>
        <v>0</v>
      </c>
      <c r="F1837" s="148">
        <f>IFERROR(__xludf.DUMMYFUNCTION("""COMPUTED_VALUE"""),0.0)</f>
        <v>0</v>
      </c>
      <c r="G1837" s="148">
        <f>IFERROR(__xludf.DUMMYFUNCTION("""COMPUTED_VALUE"""),1.5116777E7)</f>
        <v>15116777</v>
      </c>
      <c r="H1837" s="148">
        <f>IFERROR(__xludf.DUMMYFUNCTION("""COMPUTED_VALUE"""),1.511256E7)</f>
        <v>15112560</v>
      </c>
      <c r="I1837" s="148" t="str">
        <f>IFERROR(__xludf.DUMMYFUNCTION("""COMPUTED_VALUE"""),"{}")</f>
        <v>{}</v>
      </c>
      <c r="J1837" s="148" t="str">
        <f>IFERROR(__xludf.DUMMYFUNCTION("""COMPUTED_VALUE"""),"{""typ"":""lc"",""txt"":""LC_IAP_tech_achievement_point""}")</f>
        <v>{"typ":"lc","txt":"LC_IAP_tech_achievement_point"}</v>
      </c>
      <c r="K1837" s="148" t="str">
        <f>IFERROR(__xludf.DUMMYFUNCTION("""COMPUTED_VALUE"""),"{}")</f>
        <v>{}</v>
      </c>
      <c r="L1837" s="148" t="str">
        <f>IFERROR(__xludf.DUMMYFUNCTION("""COMPUTED_VALUE"""),"{}")</f>
        <v>{}</v>
      </c>
      <c r="M1837" s="148">
        <f>IFERROR(__xludf.DUMMYFUNCTION("""COMPUTED_VALUE"""),58.0)</f>
        <v>58</v>
      </c>
      <c r="N1837" s="148">
        <f>IFERROR(__xludf.DUMMYFUNCTION("""COMPUTED_VALUE"""),9999999.0)</f>
        <v>9999999</v>
      </c>
      <c r="O1837" s="148">
        <f>IFERROR(__xludf.DUMMYFUNCTION("""COMPUTED_VALUE"""),9999999.0)</f>
        <v>9999999</v>
      </c>
      <c r="P1837" s="148">
        <f>IFERROR(__xludf.DUMMYFUNCTION("""COMPUTED_VALUE"""),9999999.0)</f>
        <v>9999999</v>
      </c>
      <c r="Q1837" s="148" t="str">
        <f>IFERROR(__xludf.DUMMYFUNCTION("""COMPUTED_VALUE"""),"[]")</f>
        <v>[]</v>
      </c>
      <c r="R1837" s="148" t="str">
        <f>IFERROR(__xludf.DUMMYFUNCTION("""COMPUTED_VALUE"""),"[]")</f>
        <v>[]</v>
      </c>
      <c r="S1837" s="148" t="str">
        <f>IFERROR(__xludf.DUMMYFUNCTION("""COMPUTED_VALUE"""),"{""effect"":[{""typ"":""tech_achievement_point"",""val"":1}]}")</f>
        <v>{"effect":[{"typ":"tech_achievement_point","val":1}]}</v>
      </c>
      <c r="T1837" s="148">
        <f>IFERROR(__xludf.DUMMYFUNCTION("""COMPUTED_VALUE"""),-1.0)</f>
        <v>-1</v>
      </c>
      <c r="U1837" s="148">
        <f>IFERROR(__xludf.DUMMYFUNCTION("""COMPUTED_VALUE"""),1.0)</f>
        <v>1</v>
      </c>
      <c r="V1837" s="148" t="str">
        <f>IFERROR(__xludf.DUMMYFUNCTION("""COMPUTED_VALUE"""),"[]")</f>
        <v>[]</v>
      </c>
      <c r="W1837" s="148">
        <f>IFERROR(__xludf.DUMMYFUNCTION("""COMPUTED_VALUE"""),1.174E7)</f>
        <v>11740000</v>
      </c>
      <c r="X1837" s="148">
        <f>IFERROR(__xludf.DUMMYFUNCTION("""COMPUTED_VALUE"""),0.0)</f>
        <v>0</v>
      </c>
      <c r="Y1837" s="148">
        <f>IFERROR(__xludf.DUMMYFUNCTION("""COMPUTED_VALUE"""),0.0)</f>
        <v>0</v>
      </c>
      <c r="Z1837" s="148"/>
    </row>
    <row r="1838">
      <c r="A1838" s="148">
        <f>IFERROR(__xludf.DUMMYFUNCTION("""COMPUTED_VALUE"""),1.1117497E7)</f>
        <v>11117497</v>
      </c>
      <c r="B1838" s="148" t="str">
        <f>IFERROR(__xludf.DUMMYFUNCTION("""COMPUTED_VALUE"""),"主城皮肤-登月节2023")</f>
        <v>主城皮肤-登月节2023</v>
      </c>
      <c r="C1838" s="148"/>
      <c r="D1838" s="148" t="str">
        <f>IFERROR(__xludf.DUMMYFUNCTION("""COMPUTED_VALUE"""),"city_skin")</f>
        <v>city_skin</v>
      </c>
      <c r="E1838" s="148">
        <f>IFERROR(__xludf.DUMMYFUNCTION("""COMPUTED_VALUE"""),21.0)</f>
        <v>21</v>
      </c>
      <c r="F1838" s="148">
        <f>IFERROR(__xludf.DUMMYFUNCTION("""COMPUTED_VALUE"""),400106.0)</f>
        <v>400106</v>
      </c>
      <c r="G1838" s="148">
        <f>IFERROR(__xludf.DUMMYFUNCTION("""COMPUTED_VALUE"""),1.5117132E7)</f>
        <v>15117132</v>
      </c>
      <c r="H1838" s="148">
        <f>IFERROR(__xludf.DUMMYFUNCTION("""COMPUTED_VALUE"""),1.5112564E7)</f>
        <v>15112564</v>
      </c>
      <c r="I1838" s="148" t="str">
        <f>IFERROR(__xludf.DUMMYFUNCTION("""COMPUTED_VALUE"""),"{}")</f>
        <v>{}</v>
      </c>
      <c r="J1838" s="148" t="str">
        <f>IFERROR(__xludf.DUMMYFUNCTION("""COMPUTED_VALUE"""),"{""typ"":""lc"",""txt"":""LC_ITEM_2023moon_skin_item_forever""}")</f>
        <v>{"typ":"lc","txt":"LC_ITEM_2023moon_skin_item_forever"}</v>
      </c>
      <c r="K1838" s="148" t="str">
        <f>IFERROR(__xludf.DUMMYFUNCTION("""COMPUTED_VALUE"""),"{""typ"":""lc"",""txt"":""LC_ITEM_2023moon_skin_item_desc""}")</f>
        <v>{"typ":"lc","txt":"LC_ITEM_2023moon_skin_item_desc"}</v>
      </c>
      <c r="L1838" s="148" t="str">
        <f>IFERROR(__xludf.DUMMYFUNCTION("""COMPUTED_VALUE"""),"{""typ"":""lc"",""txt"":""LC_ITEM_city_skin_rocket_use_tips""}")</f>
        <v>{"typ":"lc","txt":"LC_ITEM_city_skin_rocket_use_tips"}</v>
      </c>
      <c r="M1838" s="148">
        <f>IFERROR(__xludf.DUMMYFUNCTION("""COMPUTED_VALUE"""),10000.0)</f>
        <v>10000</v>
      </c>
      <c r="N1838" s="148">
        <f>IFERROR(__xludf.DUMMYFUNCTION("""COMPUTED_VALUE"""),999.0)</f>
        <v>999</v>
      </c>
      <c r="O1838" s="148">
        <f>IFERROR(__xludf.DUMMYFUNCTION("""COMPUTED_VALUE"""),3.0)</f>
        <v>3</v>
      </c>
      <c r="P1838" s="148">
        <f>IFERROR(__xludf.DUMMYFUNCTION("""COMPUTED_VALUE"""),1.0)</f>
        <v>1</v>
      </c>
      <c r="Q1838" s="148" t="str">
        <f>IFERROR(__xludf.DUMMYFUNCTION("""COMPUTED_VALUE"""),"[""bag_other""]")</f>
        <v>["bag_other"]</v>
      </c>
      <c r="R1838" s="148" t="str">
        <f>IFERROR(__xludf.DUMMYFUNCTION("""COMPUTED_VALUE"""),"[""bag"",""13121022""]")</f>
        <v>["bag","13121022"]</v>
      </c>
      <c r="S1838" s="148" t="str">
        <f>IFERROR(__xludf.DUMMYFUNCTION("""COMPUTED_VALUE"""),"{""effect"":[{""typ"":""city_skin"",""id"":13121022,""val"":-1},{""typ"":""item"",""id"":11112030,""val"":4000}]}")</f>
        <v>{"effect":[{"typ":"city_skin","id":13121022,"val":-1},{"typ":"item","id":11112030,"val":4000}]}</v>
      </c>
      <c r="T1838" s="148">
        <f>IFERROR(__xludf.DUMMYFUNCTION("""COMPUTED_VALUE"""),-1.0)</f>
        <v>-1</v>
      </c>
      <c r="U1838" s="148">
        <f>IFERROR(__xludf.DUMMYFUNCTION("""COMPUTED_VALUE"""),0.0)</f>
        <v>0</v>
      </c>
      <c r="V1838" s="148" t="str">
        <f>IFERROR(__xludf.DUMMYFUNCTION("""COMPUTED_VALUE"""),"[]")</f>
        <v>[]</v>
      </c>
      <c r="W1838" s="148">
        <f>IFERROR(__xludf.DUMMYFUNCTION("""COMPUTED_VALUE"""),1.174E7)</f>
        <v>11740000</v>
      </c>
      <c r="X1838" s="148">
        <f>IFERROR(__xludf.DUMMYFUNCTION("""COMPUTED_VALUE"""),0.0)</f>
        <v>0</v>
      </c>
      <c r="Y1838" s="148">
        <f>IFERROR(__xludf.DUMMYFUNCTION("""COMPUTED_VALUE"""),0.0)</f>
        <v>0</v>
      </c>
      <c r="Z1838" s="148"/>
    </row>
    <row r="1839">
      <c r="A1839" s="148">
        <f>IFERROR(__xludf.DUMMYFUNCTION("""COMPUTED_VALUE"""),1.1117498E7)</f>
        <v>11117498</v>
      </c>
      <c r="B1839" s="148" t="str">
        <f>IFERROR(__xludf.DUMMYFUNCTION("""COMPUTED_VALUE"""),"主城皮肤-登月节2023（2天）")</f>
        <v>主城皮肤-登月节2023（2天）</v>
      </c>
      <c r="C1839" s="148"/>
      <c r="D1839" s="148" t="str">
        <f>IFERROR(__xludf.DUMMYFUNCTION("""COMPUTED_VALUE"""),"city_skin")</f>
        <v>city_skin</v>
      </c>
      <c r="E1839" s="148">
        <f>IFERROR(__xludf.DUMMYFUNCTION("""COMPUTED_VALUE"""),21.0)</f>
        <v>21</v>
      </c>
      <c r="F1839" s="148">
        <f>IFERROR(__xludf.DUMMYFUNCTION("""COMPUTED_VALUE"""),404201.0)</f>
        <v>404201</v>
      </c>
      <c r="G1839" s="148">
        <f>IFERROR(__xludf.DUMMYFUNCTION("""COMPUTED_VALUE"""),1.5117132E7)</f>
        <v>15117132</v>
      </c>
      <c r="H1839" s="148">
        <f>IFERROR(__xludf.DUMMYFUNCTION("""COMPUTED_VALUE"""),1.5112563E7)</f>
        <v>15112563</v>
      </c>
      <c r="I1839" s="148" t="str">
        <f>IFERROR(__xludf.DUMMYFUNCTION("""COMPUTED_VALUE"""),"{""typ"":""lc"",""txt"":""LC_ITEM_time_day_upper_show"",""args"":[{""typ"":""int"",""val"":2}]}")</f>
        <v>{"typ":"lc","txt":"LC_ITEM_time_day_upper_show","args":[{"typ":"int","val":2}]}</v>
      </c>
      <c r="J1839" s="148" t="str">
        <f>IFERROR(__xludf.DUMMYFUNCTION("""COMPUTED_VALUE"""),"{""typ"":""lc"",""txt"":""LC_ITEM_2023moon_skin_item_2day""}")</f>
        <v>{"typ":"lc","txt":"LC_ITEM_2023moon_skin_item_2day"}</v>
      </c>
      <c r="K1839" s="148" t="str">
        <f>IFERROR(__xludf.DUMMYFUNCTION("""COMPUTED_VALUE"""),"{""typ"":""lc"",""txt"":""LC_ITEM_2023moon_skin_item_desc_2day""}")</f>
        <v>{"typ":"lc","txt":"LC_ITEM_2023moon_skin_item_desc_2day"}</v>
      </c>
      <c r="L1839" s="148" t="str">
        <f>IFERROR(__xludf.DUMMYFUNCTION("""COMPUTED_VALUE"""),"{""typ"":""lc"",""txt"":""LC_ITEM_city_skin_rocket_use_tips""}")</f>
        <v>{"typ":"lc","txt":"LC_ITEM_city_skin_rocket_use_tips"}</v>
      </c>
      <c r="M1839" s="148">
        <f>IFERROR(__xludf.DUMMYFUNCTION("""COMPUTED_VALUE"""),500.0)</f>
        <v>500</v>
      </c>
      <c r="N1839" s="148">
        <f>IFERROR(__xludf.DUMMYFUNCTION("""COMPUTED_VALUE"""),999.0)</f>
        <v>999</v>
      </c>
      <c r="O1839" s="148">
        <f>IFERROR(__xludf.DUMMYFUNCTION("""COMPUTED_VALUE"""),1.0)</f>
        <v>1</v>
      </c>
      <c r="P1839" s="148">
        <f>IFERROR(__xludf.DUMMYFUNCTION("""COMPUTED_VALUE"""),1.0)</f>
        <v>1</v>
      </c>
      <c r="Q1839" s="148" t="str">
        <f>IFERROR(__xludf.DUMMYFUNCTION("""COMPUTED_VALUE"""),"[""bag_other""]")</f>
        <v>["bag_other"]</v>
      </c>
      <c r="R1839" s="148" t="str">
        <f>IFERROR(__xludf.DUMMYFUNCTION("""COMPUTED_VALUE"""),"[""bag"",""13121022""]")</f>
        <v>["bag","13121022"]</v>
      </c>
      <c r="S1839" s="148" t="str">
        <f>IFERROR(__xludf.DUMMYFUNCTION("""COMPUTED_VALUE"""),"{""effect"":[{""typ"":""city_skin"",""id"":13121022,""val"":172800000},{""typ"":""item"",""id"":11111021,""val"":1}]}")</f>
        <v>{"effect":[{"typ":"city_skin","id":13121022,"val":172800000},{"typ":"item","id":11111021,"val":1}]}</v>
      </c>
      <c r="T1839" s="148">
        <f>IFERROR(__xludf.DUMMYFUNCTION("""COMPUTED_VALUE"""),-1.0)</f>
        <v>-1</v>
      </c>
      <c r="U1839" s="148">
        <f>IFERROR(__xludf.DUMMYFUNCTION("""COMPUTED_VALUE"""),0.0)</f>
        <v>0</v>
      </c>
      <c r="V1839" s="148" t="str">
        <f>IFERROR(__xludf.DUMMYFUNCTION("""COMPUTED_VALUE"""),"[]")</f>
        <v>[]</v>
      </c>
      <c r="W1839" s="148">
        <f>IFERROR(__xludf.DUMMYFUNCTION("""COMPUTED_VALUE"""),1.174E7)</f>
        <v>11740000</v>
      </c>
      <c r="X1839" s="148">
        <f>IFERROR(__xludf.DUMMYFUNCTION("""COMPUTED_VALUE"""),0.0)</f>
        <v>0</v>
      </c>
      <c r="Y1839" s="148">
        <f>IFERROR(__xludf.DUMMYFUNCTION("""COMPUTED_VALUE"""),0.0)</f>
        <v>0</v>
      </c>
      <c r="Z1839" s="148"/>
    </row>
    <row r="1840">
      <c r="A1840" s="148">
        <f>IFERROR(__xludf.DUMMYFUNCTION("""COMPUTED_VALUE"""),1.1117499E7)</f>
        <v>11117499</v>
      </c>
      <c r="B1840" s="148" t="str">
        <f>IFERROR(__xludf.DUMMYFUNCTION("""COMPUTED_VALUE"""),"铭牌-登月节2023铭牌")</f>
        <v>铭牌-登月节2023铭牌</v>
      </c>
      <c r="C1840" s="148"/>
      <c r="D1840" s="148" t="str">
        <f>IFERROR(__xludf.DUMMYFUNCTION("""COMPUTED_VALUE"""),"chat_skin")</f>
        <v>chat_skin</v>
      </c>
      <c r="E1840" s="148">
        <f>IFERROR(__xludf.DUMMYFUNCTION("""COMPUTED_VALUE"""),30.0)</f>
        <v>30</v>
      </c>
      <c r="F1840" s="148">
        <f>IFERROR(__xludf.DUMMYFUNCTION("""COMPUTED_VALUE"""),401107.0)</f>
        <v>401107</v>
      </c>
      <c r="G1840" s="148">
        <f>IFERROR(__xludf.DUMMYFUNCTION("""COMPUTED_VALUE"""),1.5117131E7)</f>
        <v>15117131</v>
      </c>
      <c r="H1840" s="148">
        <f>IFERROR(__xludf.DUMMYFUNCTION("""COMPUTED_VALUE"""),1.5112564E7)</f>
        <v>15112564</v>
      </c>
      <c r="I1840" s="148" t="str">
        <f>IFERROR(__xludf.DUMMYFUNCTION("""COMPUTED_VALUE"""),"{}")</f>
        <v>{}</v>
      </c>
      <c r="J1840" s="148" t="str">
        <f>IFERROR(__xludf.DUMMYFUNCTION("""COMPUTED_VALUE"""),"{""typ"":""lc"",""txt"":""LC_ITEM_moon2023_nameplate_item_name""}")</f>
        <v>{"typ":"lc","txt":"LC_ITEM_moon2023_nameplate_item_name"}</v>
      </c>
      <c r="K1840" s="148" t="str">
        <f>IFERROR(__xludf.DUMMYFUNCTION("""COMPUTED_VALUE"""),"{""typ"":""lc"",""txt"":""LC_ITEM_moon2023_nameplate_item_desc_item""}")</f>
        <v>{"typ":"lc","txt":"LC_ITEM_moon2023_nameplate_item_desc_item"}</v>
      </c>
      <c r="L1840" s="148" t="str">
        <f>IFERROR(__xludf.DUMMYFUNCTION("""COMPUTED_VALUE"""),"{""typ"":""lc"",""txt"":""LC_ITEM_season_extra_reward_usedtip""}")</f>
        <v>{"typ":"lc","txt":"LC_ITEM_season_extra_reward_usedtip"}</v>
      </c>
      <c r="M1840" s="148">
        <f>IFERROR(__xludf.DUMMYFUNCTION("""COMPUTED_VALUE"""),2500.0)</f>
        <v>2500</v>
      </c>
      <c r="N1840" s="148">
        <f>IFERROR(__xludf.DUMMYFUNCTION("""COMPUTED_VALUE"""),9999999.0)</f>
        <v>9999999</v>
      </c>
      <c r="O1840" s="148">
        <f>IFERROR(__xludf.DUMMYFUNCTION("""COMPUTED_VALUE"""),1.0)</f>
        <v>1</v>
      </c>
      <c r="P1840" s="148">
        <f>IFERROR(__xludf.DUMMYFUNCTION("""COMPUTED_VALUE"""),1.0)</f>
        <v>1</v>
      </c>
      <c r="Q1840" s="148" t="str">
        <f>IFERROR(__xludf.DUMMYFUNCTION("""COMPUTED_VALUE"""),"[""bag_other""]")</f>
        <v>["bag_other"]</v>
      </c>
      <c r="R1840" s="148" t="str">
        <f>IFERROR(__xludf.DUMMYFUNCTION("""COMPUTED_VALUE"""),"[""11731014"",""bag""]")</f>
        <v>["11731014","bag"]</v>
      </c>
      <c r="S1840" s="148" t="str">
        <f>IFERROR(__xludf.DUMMYFUNCTION("""COMPUTED_VALUE"""),"{""effect"":[{""typ"":""nameplate"",""id"":11731014,""val"":-1}]}")</f>
        <v>{"effect":[{"typ":"nameplate","id":11731014,"val":-1}]}</v>
      </c>
      <c r="T1840" s="148">
        <f>IFERROR(__xludf.DUMMYFUNCTION("""COMPUTED_VALUE"""),-1.0)</f>
        <v>-1</v>
      </c>
      <c r="U1840" s="148">
        <f>IFERROR(__xludf.DUMMYFUNCTION("""COMPUTED_VALUE"""),0.0)</f>
        <v>0</v>
      </c>
      <c r="V1840" s="148" t="str">
        <f>IFERROR(__xludf.DUMMYFUNCTION("""COMPUTED_VALUE"""),"[]")</f>
        <v>[]</v>
      </c>
      <c r="W1840" s="148">
        <f>IFERROR(__xludf.DUMMYFUNCTION("""COMPUTED_VALUE"""),1.174E7)</f>
        <v>11740000</v>
      </c>
      <c r="X1840" s="148">
        <f>IFERROR(__xludf.DUMMYFUNCTION("""COMPUTED_VALUE"""),0.0)</f>
        <v>0</v>
      </c>
      <c r="Y1840" s="148">
        <f>IFERROR(__xludf.DUMMYFUNCTION("""COMPUTED_VALUE"""),0.0)</f>
        <v>0</v>
      </c>
      <c r="Z1840" s="148"/>
    </row>
    <row r="1841">
      <c r="A1841" s="148">
        <f>IFERROR(__xludf.DUMMYFUNCTION("""COMPUTED_VALUE"""),1.11175E7)</f>
        <v>11117500</v>
      </c>
      <c r="B1841" s="148" t="str">
        <f>IFERROR(__xludf.DUMMYFUNCTION("""COMPUTED_VALUE"""),"2023万圣节BattlePass-初级通行证")</f>
        <v>2023万圣节BattlePass-初级通行证</v>
      </c>
      <c r="C1841" s="148"/>
      <c r="D1841" s="148" t="str">
        <f>IFERROR(__xludf.DUMMYFUNCTION("""COMPUTED_VALUE"""),"battle_pass_card")</f>
        <v>battle_pass_card</v>
      </c>
      <c r="E1841" s="148">
        <f>IFERROR(__xludf.DUMMYFUNCTION("""COMPUTED_VALUE"""),0.0)</f>
        <v>0</v>
      </c>
      <c r="F1841" s="148">
        <f>IFERROR(__xludf.DUMMYFUNCTION("""COMPUTED_VALUE"""),0.0)</f>
        <v>0</v>
      </c>
      <c r="G1841" s="148">
        <f>IFERROR(__xludf.DUMMYFUNCTION("""COMPUTED_VALUE"""),1.5117279E7)</f>
        <v>15117279</v>
      </c>
      <c r="H1841" s="148">
        <f>IFERROR(__xludf.DUMMYFUNCTION("""COMPUTED_VALUE"""),1.5112563E7)</f>
        <v>15112563</v>
      </c>
      <c r="I1841" s="148" t="str">
        <f>IFERROR(__xludf.DUMMYFUNCTION("""COMPUTED_VALUE"""),"{}")</f>
        <v>{}</v>
      </c>
      <c r="J1841" s="148" t="str">
        <f>IFERROR(__xludf.DUMMYFUNCTION("""COMPUTED_VALUE"""),"{""typ"":""lc"",""txt"":""LC_IAP_hallo23_bp_unlock_name_normal""}")</f>
        <v>{"typ":"lc","txt":"LC_IAP_hallo23_bp_unlock_name_normal"}</v>
      </c>
      <c r="K1841" s="148" t="str">
        <f>IFERROR(__xludf.DUMMYFUNCTION("""COMPUTED_VALUE"""),"{}")</f>
        <v>{}</v>
      </c>
      <c r="L1841" s="148" t="str">
        <f>IFERROR(__xludf.DUMMYFUNCTION("""COMPUTED_VALUE"""),"{}")</f>
        <v>{}</v>
      </c>
      <c r="M1841" s="148">
        <f>IFERROR(__xludf.DUMMYFUNCTION("""COMPUTED_VALUE"""),10.0)</f>
        <v>10</v>
      </c>
      <c r="N1841" s="148">
        <f>IFERROR(__xludf.DUMMYFUNCTION("""COMPUTED_VALUE"""),999999.0)</f>
        <v>999999</v>
      </c>
      <c r="O1841" s="148">
        <f>IFERROR(__xludf.DUMMYFUNCTION("""COMPUTED_VALUE"""),99999.0)</f>
        <v>99999</v>
      </c>
      <c r="P1841" s="148">
        <f>IFERROR(__xludf.DUMMYFUNCTION("""COMPUTED_VALUE"""),9999.0)</f>
        <v>9999</v>
      </c>
      <c r="Q1841" s="148" t="str">
        <f>IFERROR(__xludf.DUMMYFUNCTION("""COMPUTED_VALUE"""),"[]")</f>
        <v>[]</v>
      </c>
      <c r="R1841" s="148" t="str">
        <f>IFERROR(__xludf.DUMMYFUNCTION("""COMPUTED_VALUE"""),"[]")</f>
        <v>[]</v>
      </c>
      <c r="S1841" s="148" t="str">
        <f>IFERROR(__xludf.DUMMYFUNCTION("""COMPUTED_VALUE"""),"{}")</f>
        <v>{}</v>
      </c>
      <c r="T1841" s="148">
        <f>IFERROR(__xludf.DUMMYFUNCTION("""COMPUTED_VALUE"""),-1.0)</f>
        <v>-1</v>
      </c>
      <c r="U1841" s="148">
        <f>IFERROR(__xludf.DUMMYFUNCTION("""COMPUTED_VALUE"""),1.0)</f>
        <v>1</v>
      </c>
      <c r="V1841" s="148" t="str">
        <f>IFERROR(__xludf.DUMMYFUNCTION("""COMPUTED_VALUE"""),"[]")</f>
        <v>[]</v>
      </c>
      <c r="W1841" s="148">
        <f>IFERROR(__xludf.DUMMYFUNCTION("""COMPUTED_VALUE"""),1.174E7)</f>
        <v>11740000</v>
      </c>
      <c r="X1841" s="148">
        <f>IFERROR(__xludf.DUMMYFUNCTION("""COMPUTED_VALUE"""),0.0)</f>
        <v>0</v>
      </c>
      <c r="Y1841" s="148">
        <f>IFERROR(__xludf.DUMMYFUNCTION("""COMPUTED_VALUE"""),0.0)</f>
        <v>0</v>
      </c>
      <c r="Z1841" s="148"/>
    </row>
    <row r="1842">
      <c r="A1842" s="148">
        <f>IFERROR(__xludf.DUMMYFUNCTION("""COMPUTED_VALUE"""),1.1117501E7)</f>
        <v>11117501</v>
      </c>
      <c r="B1842" s="148" t="str">
        <f>IFERROR(__xludf.DUMMYFUNCTION("""COMPUTED_VALUE"""),"2023万圣节BattlePass-高级通行证")</f>
        <v>2023万圣节BattlePass-高级通行证</v>
      </c>
      <c r="C1842" s="148"/>
      <c r="D1842" s="148" t="str">
        <f>IFERROR(__xludf.DUMMYFUNCTION("""COMPUTED_VALUE"""),"battle_pass_card")</f>
        <v>battle_pass_card</v>
      </c>
      <c r="E1842" s="148">
        <f>IFERROR(__xludf.DUMMYFUNCTION("""COMPUTED_VALUE"""),0.0)</f>
        <v>0</v>
      </c>
      <c r="F1842" s="148">
        <f>IFERROR(__xludf.DUMMYFUNCTION("""COMPUTED_VALUE"""),0.0)</f>
        <v>0</v>
      </c>
      <c r="G1842" s="148">
        <f>IFERROR(__xludf.DUMMYFUNCTION("""COMPUTED_VALUE"""),1.5117279E7)</f>
        <v>15117279</v>
      </c>
      <c r="H1842" s="148">
        <f>IFERROR(__xludf.DUMMYFUNCTION("""COMPUTED_VALUE"""),1.5112564E7)</f>
        <v>15112564</v>
      </c>
      <c r="I1842" s="148" t="str">
        <f>IFERROR(__xludf.DUMMYFUNCTION("""COMPUTED_VALUE"""),"{}")</f>
        <v>{}</v>
      </c>
      <c r="J1842" s="148" t="str">
        <f>IFERROR(__xludf.DUMMYFUNCTION("""COMPUTED_VALUE"""),"{""typ"":""lc"",""txt"":""LC_IAP_hallo23_bp_unlock_name_classic""}")</f>
        <v>{"typ":"lc","txt":"LC_IAP_hallo23_bp_unlock_name_classic"}</v>
      </c>
      <c r="K1842" s="148" t="str">
        <f>IFERROR(__xludf.DUMMYFUNCTION("""COMPUTED_VALUE"""),"{}")</f>
        <v>{}</v>
      </c>
      <c r="L1842" s="148" t="str">
        <f>IFERROR(__xludf.DUMMYFUNCTION("""COMPUTED_VALUE"""),"{}")</f>
        <v>{}</v>
      </c>
      <c r="M1842" s="148">
        <f>IFERROR(__xludf.DUMMYFUNCTION("""COMPUTED_VALUE"""),10.0)</f>
        <v>10</v>
      </c>
      <c r="N1842" s="148">
        <f>IFERROR(__xludf.DUMMYFUNCTION("""COMPUTED_VALUE"""),999999.0)</f>
        <v>999999</v>
      </c>
      <c r="O1842" s="148">
        <f>IFERROR(__xludf.DUMMYFUNCTION("""COMPUTED_VALUE"""),99999.0)</f>
        <v>99999</v>
      </c>
      <c r="P1842" s="148">
        <f>IFERROR(__xludf.DUMMYFUNCTION("""COMPUTED_VALUE"""),9999.0)</f>
        <v>9999</v>
      </c>
      <c r="Q1842" s="148" t="str">
        <f>IFERROR(__xludf.DUMMYFUNCTION("""COMPUTED_VALUE"""),"[]")</f>
        <v>[]</v>
      </c>
      <c r="R1842" s="148" t="str">
        <f>IFERROR(__xludf.DUMMYFUNCTION("""COMPUTED_VALUE"""),"[]")</f>
        <v>[]</v>
      </c>
      <c r="S1842" s="148" t="str">
        <f>IFERROR(__xludf.DUMMYFUNCTION("""COMPUTED_VALUE"""),"{}")</f>
        <v>{}</v>
      </c>
      <c r="T1842" s="148">
        <f>IFERROR(__xludf.DUMMYFUNCTION("""COMPUTED_VALUE"""),-1.0)</f>
        <v>-1</v>
      </c>
      <c r="U1842" s="148">
        <f>IFERROR(__xludf.DUMMYFUNCTION("""COMPUTED_VALUE"""),1.0)</f>
        <v>1</v>
      </c>
      <c r="V1842" s="148" t="str">
        <f>IFERROR(__xludf.DUMMYFUNCTION("""COMPUTED_VALUE"""),"[]")</f>
        <v>[]</v>
      </c>
      <c r="W1842" s="148">
        <f>IFERROR(__xludf.DUMMYFUNCTION("""COMPUTED_VALUE"""),1.174E7)</f>
        <v>11740000</v>
      </c>
      <c r="X1842" s="148">
        <f>IFERROR(__xludf.DUMMYFUNCTION("""COMPUTED_VALUE"""),0.0)</f>
        <v>0</v>
      </c>
      <c r="Y1842" s="148">
        <f>IFERROR(__xludf.DUMMYFUNCTION("""COMPUTED_VALUE"""),0.0)</f>
        <v>0</v>
      </c>
      <c r="Z1842" s="148"/>
    </row>
    <row r="1843">
      <c r="A1843" s="148">
        <f>IFERROR(__xludf.DUMMYFUNCTION("""COMPUTED_VALUE"""),1.1117502E7)</f>
        <v>11117502</v>
      </c>
      <c r="B1843" s="148" t="str">
        <f>IFERROR(__xludf.DUMMYFUNCTION("""COMPUTED_VALUE"""),"南瓜币-万圣节2023活动BP道具")</f>
        <v>南瓜币-万圣节2023活动BP道具</v>
      </c>
      <c r="C1843" s="148"/>
      <c r="D1843" s="148" t="str">
        <f>IFERROR(__xludf.DUMMYFUNCTION("""COMPUTED_VALUE"""),"battle_pass_exp")</f>
        <v>battle_pass_exp</v>
      </c>
      <c r="E1843" s="148">
        <f>IFERROR(__xludf.DUMMYFUNCTION("""COMPUTED_VALUE"""),0.0)</f>
        <v>0</v>
      </c>
      <c r="F1843" s="148">
        <f>IFERROR(__xludf.DUMMYFUNCTION("""COMPUTED_VALUE"""),405246.0)</f>
        <v>405246</v>
      </c>
      <c r="G1843" s="148">
        <f>IFERROR(__xludf.DUMMYFUNCTION("""COMPUTED_VALUE"""),1.5117279E7)</f>
        <v>15117279</v>
      </c>
      <c r="H1843" s="148">
        <f>IFERROR(__xludf.DUMMYFUNCTION("""COMPUTED_VALUE"""),1.5112563E7)</f>
        <v>15112563</v>
      </c>
      <c r="I1843" s="148" t="str">
        <f>IFERROR(__xludf.DUMMYFUNCTION("""COMPUTED_VALUE"""),"{}")</f>
        <v>{}</v>
      </c>
      <c r="J1843" s="148" t="str">
        <f>IFERROR(__xludf.DUMMYFUNCTION("""COMPUTED_VALUE"""),"{""typ"":""lc"",""txt"":""LC_ITEM_halloween_item_2022_name_1""}")</f>
        <v>{"typ":"lc","txt":"LC_ITEM_halloween_item_2022_name_1"}</v>
      </c>
      <c r="K1843" s="148" t="str">
        <f>IFERROR(__xludf.DUMMYFUNCTION("""COMPUTED_VALUE"""),"{""typ"":""lc"",""txt"":""LC_ITEM_halloween_item_2022_desc_1""}")</f>
        <v>{"typ":"lc","txt":"LC_ITEM_halloween_item_2022_desc_1"}</v>
      </c>
      <c r="L1843" s="148" t="str">
        <f>IFERROR(__xludf.DUMMYFUNCTION("""COMPUTED_VALUE"""),"{}")</f>
        <v>{}</v>
      </c>
      <c r="M1843" s="148">
        <f>IFERROR(__xludf.DUMMYFUNCTION("""COMPUTED_VALUE"""),35.0)</f>
        <v>35</v>
      </c>
      <c r="N1843" s="148">
        <f>IFERROR(__xludf.DUMMYFUNCTION("""COMPUTED_VALUE"""),999999.0)</f>
        <v>999999</v>
      </c>
      <c r="O1843" s="148">
        <f>IFERROR(__xludf.DUMMYFUNCTION("""COMPUTED_VALUE"""),99999.0)</f>
        <v>99999</v>
      </c>
      <c r="P1843" s="148">
        <f>IFERROR(__xludf.DUMMYFUNCTION("""COMPUTED_VALUE"""),99999.0)</f>
        <v>99999</v>
      </c>
      <c r="Q1843" s="148" t="str">
        <f>IFERROR(__xludf.DUMMYFUNCTION("""COMPUTED_VALUE"""),"[""bag_other""]")</f>
        <v>["bag_other"]</v>
      </c>
      <c r="R1843" s="148" t="str">
        <f>IFERROR(__xludf.DUMMYFUNCTION("""COMPUTED_VALUE"""),"[""bag""]")</f>
        <v>["bag"]</v>
      </c>
      <c r="S1843" s="148" t="str">
        <f>IFERROR(__xludf.DUMMYFUNCTION("""COMPUTED_VALUE"""),"{}")</f>
        <v>{}</v>
      </c>
      <c r="T1843" s="148">
        <f>IFERROR(__xludf.DUMMYFUNCTION("""COMPUTED_VALUE"""),-1.0)</f>
        <v>-1</v>
      </c>
      <c r="U1843" s="148">
        <f>IFERROR(__xludf.DUMMYFUNCTION("""COMPUTED_VALUE"""),0.0)</f>
        <v>0</v>
      </c>
      <c r="V1843" s="148" t="str">
        <f>IFERROR(__xludf.DUMMYFUNCTION("""COMPUTED_VALUE"""),"[]")</f>
        <v>[]</v>
      </c>
      <c r="W1843" s="148">
        <f>IFERROR(__xludf.DUMMYFUNCTION("""COMPUTED_VALUE"""),1.174E7)</f>
        <v>11740000</v>
      </c>
      <c r="X1843" s="148">
        <f>IFERROR(__xludf.DUMMYFUNCTION("""COMPUTED_VALUE"""),0.0)</f>
        <v>0</v>
      </c>
      <c r="Y1843" s="148">
        <f>IFERROR(__xludf.DUMMYFUNCTION("""COMPUTED_VALUE"""),0.0)</f>
        <v>0</v>
      </c>
      <c r="Z1843" s="148"/>
    </row>
    <row r="1844">
      <c r="A1844" s="148">
        <f>IFERROR(__xludf.DUMMYFUNCTION("""COMPUTED_VALUE"""),1.1117503E7)</f>
        <v>11117503</v>
      </c>
      <c r="B1844" s="148" t="str">
        <f>IFERROR(__xludf.DUMMYFUNCTION("""COMPUTED_VALUE"""),"行军特效-夜影幽彩-1天限时")</f>
        <v>行军特效-夜影幽彩-1天限时</v>
      </c>
      <c r="C1844" s="148"/>
      <c r="D1844" s="148" t="str">
        <f>IFERROR(__xludf.DUMMYFUNCTION("""COMPUTED_VALUE"""),"marching_effect")</f>
        <v>marching_effect</v>
      </c>
      <c r="E1844" s="148">
        <f>IFERROR(__xludf.DUMMYFUNCTION("""COMPUTED_VALUE"""),0.0)</f>
        <v>0</v>
      </c>
      <c r="F1844" s="148">
        <f>IFERROR(__xludf.DUMMYFUNCTION("""COMPUTED_VALUE"""),408200.0)</f>
        <v>408200</v>
      </c>
      <c r="G1844" s="148">
        <f>IFERROR(__xludf.DUMMYFUNCTION("""COMPUTED_VALUE"""),1.5117277E7)</f>
        <v>15117277</v>
      </c>
      <c r="H1844" s="148">
        <f>IFERROR(__xludf.DUMMYFUNCTION("""COMPUTED_VALUE"""),1.511256E7)</f>
        <v>15112560</v>
      </c>
      <c r="I1844" s="148" t="str">
        <f>IFERROR(__xludf.DUMMYFUNCTION("""COMPUTED_VALUE"""),"{""typ"":""lc"",""txt"":""LC_ITEM_time_day_upper_show"",""args"":[{""typ"":""int_unit"",""val"":1}]}")</f>
        <v>{"typ":"lc","txt":"LC_ITEM_time_day_upper_show","args":[{"typ":"int_unit","val":1}]}</v>
      </c>
      <c r="J1844" s="148" t="str">
        <f>IFERROR(__xludf.DUMMYFUNCTION("""COMPUTED_VALUE"""),"{""typ"":""lc"",""txt"":""LC_ITEM_hallo23_march_effect_name""}")</f>
        <v>{"typ":"lc","txt":"LC_ITEM_hallo23_march_effect_name"}</v>
      </c>
      <c r="K1844" s="148" t="str">
        <f>IFERROR(__xludf.DUMMYFUNCTION("""COMPUTED_VALUE"""),"{""typ"":""lc"",""txt"":""LC_ITEM_hallo23_march_effect_desc""}")</f>
        <v>{"typ":"lc","txt":"LC_ITEM_hallo23_march_effect_desc"}</v>
      </c>
      <c r="L1844" s="148" t="str">
        <f>IFERROR(__xludf.DUMMYFUNCTION("""COMPUTED_VALUE"""),"{""typ"":""lc"",""txt"":""LC_ITEM_hallo23_march_effect_used_tip_1d""}")</f>
        <v>{"typ":"lc","txt":"LC_ITEM_hallo23_march_effect_used_tip_1d"}</v>
      </c>
      <c r="M1844" s="148">
        <f>IFERROR(__xludf.DUMMYFUNCTION("""COMPUTED_VALUE"""),50.0)</f>
        <v>50</v>
      </c>
      <c r="N1844" s="148">
        <f>IFERROR(__xludf.DUMMYFUNCTION("""COMPUTED_VALUE"""),999999.0)</f>
        <v>999999</v>
      </c>
      <c r="O1844" s="148">
        <f>IFERROR(__xludf.DUMMYFUNCTION("""COMPUTED_VALUE"""),99999.0)</f>
        <v>99999</v>
      </c>
      <c r="P1844" s="148">
        <f>IFERROR(__xludf.DUMMYFUNCTION("""COMPUTED_VALUE"""),1.0)</f>
        <v>1</v>
      </c>
      <c r="Q1844" s="148" t="str">
        <f>IFERROR(__xludf.DUMMYFUNCTION("""COMPUTED_VALUE"""),"[""bag_other""]")</f>
        <v>["bag_other"]</v>
      </c>
      <c r="R1844" s="148" t="str">
        <f>IFERROR(__xludf.DUMMYFUNCTION("""COMPUTED_VALUE"""),"[""bag"",""13650113""]")</f>
        <v>["bag","13650113"]</v>
      </c>
      <c r="S1844" s="148" t="str">
        <f>IFERROR(__xludf.DUMMYFUNCTION("""COMPUTED_VALUE"""),"{""effect"":[{""typ"":""marching_effect"",""id"":13650113,""val"":86400000},{""typ"":""vm"",""id"":11151001,""val"":50}]}")</f>
        <v>{"effect":[{"typ":"marching_effect","id":13650113,"val":86400000},{"typ":"vm","id":11151001,"val":50}]}</v>
      </c>
      <c r="T1844" s="148">
        <f>IFERROR(__xludf.DUMMYFUNCTION("""COMPUTED_VALUE"""),-1.0)</f>
        <v>-1</v>
      </c>
      <c r="U1844" s="148">
        <f>IFERROR(__xludf.DUMMYFUNCTION("""COMPUTED_VALUE"""),0.0)</f>
        <v>0</v>
      </c>
      <c r="V1844" s="148" t="str">
        <f>IFERROR(__xludf.DUMMYFUNCTION("""COMPUTED_VALUE"""),"[]")</f>
        <v>[]</v>
      </c>
      <c r="W1844" s="148">
        <f>IFERROR(__xludf.DUMMYFUNCTION("""COMPUTED_VALUE"""),1.174E7)</f>
        <v>11740000</v>
      </c>
      <c r="X1844" s="148">
        <f>IFERROR(__xludf.DUMMYFUNCTION("""COMPUTED_VALUE"""),0.0)</f>
        <v>0</v>
      </c>
      <c r="Y1844" s="148">
        <f>IFERROR(__xludf.DUMMYFUNCTION("""COMPUTED_VALUE"""),0.0)</f>
        <v>0</v>
      </c>
      <c r="Z1844" s="148"/>
    </row>
    <row r="1845">
      <c r="A1845" s="148">
        <f>IFERROR(__xludf.DUMMYFUNCTION("""COMPUTED_VALUE"""),1.1117504E7)</f>
        <v>11117504</v>
      </c>
      <c r="B1845" s="148" t="str">
        <f>IFERROR(__xludf.DUMMYFUNCTION("""COMPUTED_VALUE"""),"行军特效-夜影幽彩-3天限时")</f>
        <v>行军特效-夜影幽彩-3天限时</v>
      </c>
      <c r="C1845" s="148"/>
      <c r="D1845" s="148" t="str">
        <f>IFERROR(__xludf.DUMMYFUNCTION("""COMPUTED_VALUE"""),"marching_effect")</f>
        <v>marching_effect</v>
      </c>
      <c r="E1845" s="148">
        <f>IFERROR(__xludf.DUMMYFUNCTION("""COMPUTED_VALUE"""),0.0)</f>
        <v>0</v>
      </c>
      <c r="F1845" s="148">
        <f>IFERROR(__xludf.DUMMYFUNCTION("""COMPUTED_VALUE"""),408199.0)</f>
        <v>408199</v>
      </c>
      <c r="G1845" s="148">
        <f>IFERROR(__xludf.DUMMYFUNCTION("""COMPUTED_VALUE"""),1.5117277E7)</f>
        <v>15117277</v>
      </c>
      <c r="H1845" s="148">
        <f>IFERROR(__xludf.DUMMYFUNCTION("""COMPUTED_VALUE"""),1.5112561E7)</f>
        <v>15112561</v>
      </c>
      <c r="I1845" s="148" t="str">
        <f>IFERROR(__xludf.DUMMYFUNCTION("""COMPUTED_VALUE"""),"{""typ"":""lc"",""txt"":""LC_ITEM_time_day_upper_show"",""args"":[{""typ"":""int_unit"",""val"":3}]}")</f>
        <v>{"typ":"lc","txt":"LC_ITEM_time_day_upper_show","args":[{"typ":"int_unit","val":3}]}</v>
      </c>
      <c r="J1845" s="148" t="str">
        <f>IFERROR(__xludf.DUMMYFUNCTION("""COMPUTED_VALUE"""),"{""typ"":""lc"",""txt"":""LC_ITEM_hallo23_march_effect_name""}")</f>
        <v>{"typ":"lc","txt":"LC_ITEM_hallo23_march_effect_name"}</v>
      </c>
      <c r="K1845" s="148" t="str">
        <f>IFERROR(__xludf.DUMMYFUNCTION("""COMPUTED_VALUE"""),"{""typ"":""lc"",""txt"":""LC_ITEM_hallo23_march_effect_desc""}")</f>
        <v>{"typ":"lc","txt":"LC_ITEM_hallo23_march_effect_desc"}</v>
      </c>
      <c r="L1845" s="148" t="str">
        <f>IFERROR(__xludf.DUMMYFUNCTION("""COMPUTED_VALUE"""),"{""typ"":""lc"",""txt"":""LC_ITEM_hallo23_march_effect_used_tip_3d""}")</f>
        <v>{"typ":"lc","txt":"LC_ITEM_hallo23_march_effect_used_tip_3d"}</v>
      </c>
      <c r="M1845" s="148">
        <f>IFERROR(__xludf.DUMMYFUNCTION("""COMPUTED_VALUE"""),200.0)</f>
        <v>200</v>
      </c>
      <c r="N1845" s="148">
        <f>IFERROR(__xludf.DUMMYFUNCTION("""COMPUTED_VALUE"""),999999.0)</f>
        <v>999999</v>
      </c>
      <c r="O1845" s="148">
        <f>IFERROR(__xludf.DUMMYFUNCTION("""COMPUTED_VALUE"""),99999.0)</f>
        <v>99999</v>
      </c>
      <c r="P1845" s="148">
        <f>IFERROR(__xludf.DUMMYFUNCTION("""COMPUTED_VALUE"""),1.0)</f>
        <v>1</v>
      </c>
      <c r="Q1845" s="148" t="str">
        <f>IFERROR(__xludf.DUMMYFUNCTION("""COMPUTED_VALUE"""),"[""bag_other""]")</f>
        <v>["bag_other"]</v>
      </c>
      <c r="R1845" s="148" t="str">
        <f>IFERROR(__xludf.DUMMYFUNCTION("""COMPUTED_VALUE"""),"[""bag"",""13650113""]")</f>
        <v>["bag","13650113"]</v>
      </c>
      <c r="S1845" s="148" t="str">
        <f>IFERROR(__xludf.DUMMYFUNCTION("""COMPUTED_VALUE"""),"{""effect"":[{""typ"":""marching_effect"",""id"":13650113,""val"":259200000},{""typ"":""vm"",""id"":11151001,""val"":200}]}")</f>
        <v>{"effect":[{"typ":"marching_effect","id":13650113,"val":259200000},{"typ":"vm","id":11151001,"val":200}]}</v>
      </c>
      <c r="T1845" s="148">
        <f>IFERROR(__xludf.DUMMYFUNCTION("""COMPUTED_VALUE"""),-1.0)</f>
        <v>-1</v>
      </c>
      <c r="U1845" s="148">
        <f>IFERROR(__xludf.DUMMYFUNCTION("""COMPUTED_VALUE"""),0.0)</f>
        <v>0</v>
      </c>
      <c r="V1845" s="148" t="str">
        <f>IFERROR(__xludf.DUMMYFUNCTION("""COMPUTED_VALUE"""),"[]")</f>
        <v>[]</v>
      </c>
      <c r="W1845" s="148">
        <f>IFERROR(__xludf.DUMMYFUNCTION("""COMPUTED_VALUE"""),1.174E7)</f>
        <v>11740000</v>
      </c>
      <c r="X1845" s="148">
        <f>IFERROR(__xludf.DUMMYFUNCTION("""COMPUTED_VALUE"""),0.0)</f>
        <v>0</v>
      </c>
      <c r="Y1845" s="148">
        <f>IFERROR(__xludf.DUMMYFUNCTION("""COMPUTED_VALUE"""),0.0)</f>
        <v>0</v>
      </c>
      <c r="Z1845" s="148"/>
    </row>
    <row r="1846">
      <c r="A1846" s="148">
        <f>IFERROR(__xludf.DUMMYFUNCTION("""COMPUTED_VALUE"""),1.1117505E7)</f>
        <v>11117505</v>
      </c>
      <c r="B1846" s="148" t="str">
        <f>IFERROR(__xludf.DUMMYFUNCTION("""COMPUTED_VALUE"""),"行军特效-夜影幽彩-7天限时")</f>
        <v>行军特效-夜影幽彩-7天限时</v>
      </c>
      <c r="C1846" s="148"/>
      <c r="D1846" s="148" t="str">
        <f>IFERROR(__xludf.DUMMYFUNCTION("""COMPUTED_VALUE"""),"marching_effect")</f>
        <v>marching_effect</v>
      </c>
      <c r="E1846" s="148">
        <f>IFERROR(__xludf.DUMMYFUNCTION("""COMPUTED_VALUE"""),0.0)</f>
        <v>0</v>
      </c>
      <c r="F1846" s="148">
        <f>IFERROR(__xludf.DUMMYFUNCTION("""COMPUTED_VALUE"""),408198.0)</f>
        <v>408198</v>
      </c>
      <c r="G1846" s="148">
        <f>IFERROR(__xludf.DUMMYFUNCTION("""COMPUTED_VALUE"""),1.5117277E7)</f>
        <v>15117277</v>
      </c>
      <c r="H1846" s="148">
        <f>IFERROR(__xludf.DUMMYFUNCTION("""COMPUTED_VALUE"""),1.5112562E7)</f>
        <v>15112562</v>
      </c>
      <c r="I1846" s="148" t="str">
        <f>IFERROR(__xludf.DUMMYFUNCTION("""COMPUTED_VALUE"""),"{""typ"":""lc"",""txt"":""LC_ITEM_time_day_upper_show"",""args"":[{""typ"":""int_unit"",""val"":7}]}")</f>
        <v>{"typ":"lc","txt":"LC_ITEM_time_day_upper_show","args":[{"typ":"int_unit","val":7}]}</v>
      </c>
      <c r="J1846" s="148" t="str">
        <f>IFERROR(__xludf.DUMMYFUNCTION("""COMPUTED_VALUE"""),"{""typ"":""lc"",""txt"":""LC_ITEM_hallo23_march_effect_name""}")</f>
        <v>{"typ":"lc","txt":"LC_ITEM_hallo23_march_effect_name"}</v>
      </c>
      <c r="K1846" s="148" t="str">
        <f>IFERROR(__xludf.DUMMYFUNCTION("""COMPUTED_VALUE"""),"{""typ"":""lc"",""txt"":""LC_ITEM_hallo23_march_effect_desc""}")</f>
        <v>{"typ":"lc","txt":"LC_ITEM_hallo23_march_effect_desc"}</v>
      </c>
      <c r="L1846" s="148" t="str">
        <f>IFERROR(__xludf.DUMMYFUNCTION("""COMPUTED_VALUE"""),"{""typ"":""lc"",""txt"":""LC_ITEM_hallo23_march_effect_used_tip_7d""}")</f>
        <v>{"typ":"lc","txt":"LC_ITEM_hallo23_march_effect_used_tip_7d"}</v>
      </c>
      <c r="M1846" s="148">
        <f>IFERROR(__xludf.DUMMYFUNCTION("""COMPUTED_VALUE"""),500.0)</f>
        <v>500</v>
      </c>
      <c r="N1846" s="148">
        <f>IFERROR(__xludf.DUMMYFUNCTION("""COMPUTED_VALUE"""),999999.0)</f>
        <v>999999</v>
      </c>
      <c r="O1846" s="148">
        <f>IFERROR(__xludf.DUMMYFUNCTION("""COMPUTED_VALUE"""),99999.0)</f>
        <v>99999</v>
      </c>
      <c r="P1846" s="148">
        <f>IFERROR(__xludf.DUMMYFUNCTION("""COMPUTED_VALUE"""),1.0)</f>
        <v>1</v>
      </c>
      <c r="Q1846" s="148" t="str">
        <f>IFERROR(__xludf.DUMMYFUNCTION("""COMPUTED_VALUE"""),"[""bag_other""]")</f>
        <v>["bag_other"]</v>
      </c>
      <c r="R1846" s="148" t="str">
        <f>IFERROR(__xludf.DUMMYFUNCTION("""COMPUTED_VALUE"""),"[""bag"",""13650113""]")</f>
        <v>["bag","13650113"]</v>
      </c>
      <c r="S1846" s="148" t="str">
        <f>IFERROR(__xludf.DUMMYFUNCTION("""COMPUTED_VALUE"""),"{""effect"":[{""typ"":""marching_effect"",""id"":13650113,""val"":604800000},{""typ"":""vm"",""id"":11151001,""val"":500}]}")</f>
        <v>{"effect":[{"typ":"marching_effect","id":13650113,"val":604800000},{"typ":"vm","id":11151001,"val":500}]}</v>
      </c>
      <c r="T1846" s="148">
        <f>IFERROR(__xludf.DUMMYFUNCTION("""COMPUTED_VALUE"""),-1.0)</f>
        <v>-1</v>
      </c>
      <c r="U1846" s="148">
        <f>IFERROR(__xludf.DUMMYFUNCTION("""COMPUTED_VALUE"""),0.0)</f>
        <v>0</v>
      </c>
      <c r="V1846" s="148" t="str">
        <f>IFERROR(__xludf.DUMMYFUNCTION("""COMPUTED_VALUE"""),"[]")</f>
        <v>[]</v>
      </c>
      <c r="W1846" s="148">
        <f>IFERROR(__xludf.DUMMYFUNCTION("""COMPUTED_VALUE"""),1.174E7)</f>
        <v>11740000</v>
      </c>
      <c r="X1846" s="148">
        <f>IFERROR(__xludf.DUMMYFUNCTION("""COMPUTED_VALUE"""),0.0)</f>
        <v>0</v>
      </c>
      <c r="Y1846" s="148">
        <f>IFERROR(__xludf.DUMMYFUNCTION("""COMPUTED_VALUE"""),0.0)</f>
        <v>0</v>
      </c>
      <c r="Z1846" s="148"/>
    </row>
    <row r="1847">
      <c r="A1847" s="148">
        <f>IFERROR(__xludf.DUMMYFUNCTION("""COMPUTED_VALUE"""),1.1117506E7)</f>
        <v>11117506</v>
      </c>
      <c r="B1847" s="148" t="str">
        <f>IFERROR(__xludf.DUMMYFUNCTION("""COMPUTED_VALUE"""),"行军特效-夜影幽彩-14天限时")</f>
        <v>行军特效-夜影幽彩-14天限时</v>
      </c>
      <c r="C1847" s="148"/>
      <c r="D1847" s="148" t="str">
        <f>IFERROR(__xludf.DUMMYFUNCTION("""COMPUTED_VALUE"""),"marching_effect")</f>
        <v>marching_effect</v>
      </c>
      <c r="E1847" s="148">
        <f>IFERROR(__xludf.DUMMYFUNCTION("""COMPUTED_VALUE"""),0.0)</f>
        <v>0</v>
      </c>
      <c r="F1847" s="148">
        <f>IFERROR(__xludf.DUMMYFUNCTION("""COMPUTED_VALUE"""),408197.0)</f>
        <v>408197</v>
      </c>
      <c r="G1847" s="148">
        <f>IFERROR(__xludf.DUMMYFUNCTION("""COMPUTED_VALUE"""),1.5117277E7)</f>
        <v>15117277</v>
      </c>
      <c r="H1847" s="148">
        <f>IFERROR(__xludf.DUMMYFUNCTION("""COMPUTED_VALUE"""),1.5112563E7)</f>
        <v>15112563</v>
      </c>
      <c r="I1847" s="148" t="str">
        <f>IFERROR(__xludf.DUMMYFUNCTION("""COMPUTED_VALUE"""),"{""typ"":""lc"",""txt"":""LC_ITEM_time_day_upper_show"",""args"":[{""typ"":""int_unit"",""val"":14}]}")</f>
        <v>{"typ":"lc","txt":"LC_ITEM_time_day_upper_show","args":[{"typ":"int_unit","val":14}]}</v>
      </c>
      <c r="J1847" s="148" t="str">
        <f>IFERROR(__xludf.DUMMYFUNCTION("""COMPUTED_VALUE"""),"{""typ"":""lc"",""txt"":""LC_ITEM_hallo23_march_effect_name""}")</f>
        <v>{"typ":"lc","txt":"LC_ITEM_hallo23_march_effect_name"}</v>
      </c>
      <c r="K1847" s="148" t="str">
        <f>IFERROR(__xludf.DUMMYFUNCTION("""COMPUTED_VALUE"""),"{""typ"":""lc"",""txt"":""LC_ITEM_hallo23_march_effect_desc""}")</f>
        <v>{"typ":"lc","txt":"LC_ITEM_hallo23_march_effect_desc"}</v>
      </c>
      <c r="L1847" s="148" t="str">
        <f>IFERROR(__xludf.DUMMYFUNCTION("""COMPUTED_VALUE"""),"{""typ"":""lc"",""txt"":""LC_ITEM_hallo23_march_effect_used_tip_14d""}")</f>
        <v>{"typ":"lc","txt":"LC_ITEM_hallo23_march_effect_used_tip_14d"}</v>
      </c>
      <c r="M1847" s="148">
        <f>IFERROR(__xludf.DUMMYFUNCTION("""COMPUTED_VALUE"""),1000.0)</f>
        <v>1000</v>
      </c>
      <c r="N1847" s="148">
        <f>IFERROR(__xludf.DUMMYFUNCTION("""COMPUTED_VALUE"""),999999.0)</f>
        <v>999999</v>
      </c>
      <c r="O1847" s="148">
        <f>IFERROR(__xludf.DUMMYFUNCTION("""COMPUTED_VALUE"""),99999.0)</f>
        <v>99999</v>
      </c>
      <c r="P1847" s="148">
        <f>IFERROR(__xludf.DUMMYFUNCTION("""COMPUTED_VALUE"""),1.0)</f>
        <v>1</v>
      </c>
      <c r="Q1847" s="148" t="str">
        <f>IFERROR(__xludf.DUMMYFUNCTION("""COMPUTED_VALUE"""),"[""bag_other""]")</f>
        <v>["bag_other"]</v>
      </c>
      <c r="R1847" s="148" t="str">
        <f>IFERROR(__xludf.DUMMYFUNCTION("""COMPUTED_VALUE"""),"[""bag"",""13650113""]")</f>
        <v>["bag","13650113"]</v>
      </c>
      <c r="S1847" s="148" t="str">
        <f>IFERROR(__xludf.DUMMYFUNCTION("""COMPUTED_VALUE"""),"{""effect"":[{""typ"":""marching_effect"",""id"":13650113,""val"":1209600000},{""typ"":""vm"",""id"":11151001,""val"":1000}]}")</f>
        <v>{"effect":[{"typ":"marching_effect","id":13650113,"val":1209600000},{"typ":"vm","id":11151001,"val":1000}]}</v>
      </c>
      <c r="T1847" s="148">
        <f>IFERROR(__xludf.DUMMYFUNCTION("""COMPUTED_VALUE"""),-1.0)</f>
        <v>-1</v>
      </c>
      <c r="U1847" s="148">
        <f>IFERROR(__xludf.DUMMYFUNCTION("""COMPUTED_VALUE"""),0.0)</f>
        <v>0</v>
      </c>
      <c r="V1847" s="148" t="str">
        <f>IFERROR(__xludf.DUMMYFUNCTION("""COMPUTED_VALUE"""),"[]")</f>
        <v>[]</v>
      </c>
      <c r="W1847" s="148">
        <f>IFERROR(__xludf.DUMMYFUNCTION("""COMPUTED_VALUE"""),1.174E7)</f>
        <v>11740000</v>
      </c>
      <c r="X1847" s="148">
        <f>IFERROR(__xludf.DUMMYFUNCTION("""COMPUTED_VALUE"""),0.0)</f>
        <v>0</v>
      </c>
      <c r="Y1847" s="148">
        <f>IFERROR(__xludf.DUMMYFUNCTION("""COMPUTED_VALUE"""),0.0)</f>
        <v>0</v>
      </c>
      <c r="Z1847" s="148"/>
    </row>
    <row r="1848">
      <c r="A1848" s="148">
        <f>IFERROR(__xludf.DUMMYFUNCTION("""COMPUTED_VALUE"""),1.1117507E7)</f>
        <v>11117507</v>
      </c>
      <c r="B1848" s="148" t="str">
        <f>IFERROR(__xludf.DUMMYFUNCTION("""COMPUTED_VALUE"""),"行军特效-夜影幽彩-30天限时")</f>
        <v>行军特效-夜影幽彩-30天限时</v>
      </c>
      <c r="C1848" s="148"/>
      <c r="D1848" s="148" t="str">
        <f>IFERROR(__xludf.DUMMYFUNCTION("""COMPUTED_VALUE"""),"marching_effect")</f>
        <v>marching_effect</v>
      </c>
      <c r="E1848" s="148">
        <f>IFERROR(__xludf.DUMMYFUNCTION("""COMPUTED_VALUE"""),0.0)</f>
        <v>0</v>
      </c>
      <c r="F1848" s="148">
        <f>IFERROR(__xludf.DUMMYFUNCTION("""COMPUTED_VALUE"""),408196.0)</f>
        <v>408196</v>
      </c>
      <c r="G1848" s="148">
        <f>IFERROR(__xludf.DUMMYFUNCTION("""COMPUTED_VALUE"""),1.5117277E7)</f>
        <v>15117277</v>
      </c>
      <c r="H1848" s="148">
        <f>IFERROR(__xludf.DUMMYFUNCTION("""COMPUTED_VALUE"""),1.5112563E7)</f>
        <v>15112563</v>
      </c>
      <c r="I1848" s="148" t="str">
        <f>IFERROR(__xludf.DUMMYFUNCTION("""COMPUTED_VALUE"""),"{""typ"":""lc"",""txt"":""LC_ITEM_time_day_upper_show"",""args"":[{""typ"":""int_unit"",""val"":30}]}")</f>
        <v>{"typ":"lc","txt":"LC_ITEM_time_day_upper_show","args":[{"typ":"int_unit","val":30}]}</v>
      </c>
      <c r="J1848" s="148" t="str">
        <f>IFERROR(__xludf.DUMMYFUNCTION("""COMPUTED_VALUE"""),"{""typ"":""lc"",""txt"":""LC_ITEM_hallo23_march_effect_name""}")</f>
        <v>{"typ":"lc","txt":"LC_ITEM_hallo23_march_effect_name"}</v>
      </c>
      <c r="K1848" s="148" t="str">
        <f>IFERROR(__xludf.DUMMYFUNCTION("""COMPUTED_VALUE"""),"{""typ"":""lc"",""txt"":""LC_ITEM_hallo23_march_effect_desc""}")</f>
        <v>{"typ":"lc","txt":"LC_ITEM_hallo23_march_effect_desc"}</v>
      </c>
      <c r="L1848" s="148" t="str">
        <f>IFERROR(__xludf.DUMMYFUNCTION("""COMPUTED_VALUE"""),"{""typ"":""lc"",""txt"":""LC_ITEM_hallo23_march_effect_used_tip_30d""}")</f>
        <v>{"typ":"lc","txt":"LC_ITEM_hallo23_march_effect_used_tip_30d"}</v>
      </c>
      <c r="M1848" s="148">
        <f>IFERROR(__xludf.DUMMYFUNCTION("""COMPUTED_VALUE"""),2000.0)</f>
        <v>2000</v>
      </c>
      <c r="N1848" s="148">
        <f>IFERROR(__xludf.DUMMYFUNCTION("""COMPUTED_VALUE"""),999999.0)</f>
        <v>999999</v>
      </c>
      <c r="O1848" s="148">
        <f>IFERROR(__xludf.DUMMYFUNCTION("""COMPUTED_VALUE"""),99999.0)</f>
        <v>99999</v>
      </c>
      <c r="P1848" s="148">
        <f>IFERROR(__xludf.DUMMYFUNCTION("""COMPUTED_VALUE"""),1.0)</f>
        <v>1</v>
      </c>
      <c r="Q1848" s="148" t="str">
        <f>IFERROR(__xludf.DUMMYFUNCTION("""COMPUTED_VALUE"""),"[""bag_other""]")</f>
        <v>["bag_other"]</v>
      </c>
      <c r="R1848" s="148" t="str">
        <f>IFERROR(__xludf.DUMMYFUNCTION("""COMPUTED_VALUE"""),"[""bag"",""13650113""]")</f>
        <v>["bag","13650113"]</v>
      </c>
      <c r="S1848" s="148" t="str">
        <f>IFERROR(__xludf.DUMMYFUNCTION("""COMPUTED_VALUE"""),"{""effect"":[{""typ"":""marching_effect"",""id"":13650113,""val"":2592000000},{""typ"":""vm"",""id"":11151001,""val"":1000}]}")</f>
        <v>{"effect":[{"typ":"marching_effect","id":13650113,"val":2592000000},{"typ":"vm","id":11151001,"val":1000}]}</v>
      </c>
      <c r="T1848" s="148">
        <f>IFERROR(__xludf.DUMMYFUNCTION("""COMPUTED_VALUE"""),-1.0)</f>
        <v>-1</v>
      </c>
      <c r="U1848" s="148">
        <f>IFERROR(__xludf.DUMMYFUNCTION("""COMPUTED_VALUE"""),0.0)</f>
        <v>0</v>
      </c>
      <c r="V1848" s="148" t="str">
        <f>IFERROR(__xludf.DUMMYFUNCTION("""COMPUTED_VALUE"""),"[]")</f>
        <v>[]</v>
      </c>
      <c r="W1848" s="148">
        <f>IFERROR(__xludf.DUMMYFUNCTION("""COMPUTED_VALUE"""),1.174E7)</f>
        <v>11740000</v>
      </c>
      <c r="X1848" s="148">
        <f>IFERROR(__xludf.DUMMYFUNCTION("""COMPUTED_VALUE"""),0.0)</f>
        <v>0</v>
      </c>
      <c r="Y1848" s="148">
        <f>IFERROR(__xludf.DUMMYFUNCTION("""COMPUTED_VALUE"""),0.0)</f>
        <v>0</v>
      </c>
      <c r="Z1848" s="148"/>
    </row>
    <row r="1849">
      <c r="A1849" s="148">
        <f>IFERROR(__xludf.DUMMYFUNCTION("""COMPUTED_VALUE"""),1.1117508E7)</f>
        <v>11117508</v>
      </c>
      <c r="B1849" s="148" t="str">
        <f>IFERROR(__xludf.DUMMYFUNCTION("""COMPUTED_VALUE"""),"行军特效-夜影幽彩-永久")</f>
        <v>行军特效-夜影幽彩-永久</v>
      </c>
      <c r="C1849" s="148"/>
      <c r="D1849" s="148" t="str">
        <f>IFERROR(__xludf.DUMMYFUNCTION("""COMPUTED_VALUE"""),"marching_effect")</f>
        <v>marching_effect</v>
      </c>
      <c r="E1849" s="148">
        <f>IFERROR(__xludf.DUMMYFUNCTION("""COMPUTED_VALUE"""),0.0)</f>
        <v>0</v>
      </c>
      <c r="F1849" s="148">
        <f>IFERROR(__xludf.DUMMYFUNCTION("""COMPUTED_VALUE"""),408195.0)</f>
        <v>408195</v>
      </c>
      <c r="G1849" s="148">
        <f>IFERROR(__xludf.DUMMYFUNCTION("""COMPUTED_VALUE"""),1.5117277E7)</f>
        <v>15117277</v>
      </c>
      <c r="H1849" s="148">
        <f>IFERROR(__xludf.DUMMYFUNCTION("""COMPUTED_VALUE"""),1.5112564E7)</f>
        <v>15112564</v>
      </c>
      <c r="I1849" s="148" t="str">
        <f>IFERROR(__xludf.DUMMYFUNCTION("""COMPUTED_VALUE"""),"{}")</f>
        <v>{}</v>
      </c>
      <c r="J1849" s="148" t="str">
        <f>IFERROR(__xludf.DUMMYFUNCTION("""COMPUTED_VALUE"""),"{""typ"":""lc"",""txt"":""LC_ITEM_hallo23_march_effect_name""}")</f>
        <v>{"typ":"lc","txt":"LC_ITEM_hallo23_march_effect_name"}</v>
      </c>
      <c r="K1849" s="148" t="str">
        <f>IFERROR(__xludf.DUMMYFUNCTION("""COMPUTED_VALUE"""),"{""typ"":""lc"",""txt"":""LC_ITEM_hallo23_march_effect_desc""}")</f>
        <v>{"typ":"lc","txt":"LC_ITEM_hallo23_march_effect_desc"}</v>
      </c>
      <c r="L1849" s="148" t="str">
        <f>IFERROR(__xludf.DUMMYFUNCTION("""COMPUTED_VALUE"""),"{""typ"":""lc"",""txt"":""LC_ITEM_hallo23_march_effect_used_tip""}")</f>
        <v>{"typ":"lc","txt":"LC_ITEM_hallo23_march_effect_used_tip"}</v>
      </c>
      <c r="M1849" s="148">
        <f>IFERROR(__xludf.DUMMYFUNCTION("""COMPUTED_VALUE"""),5000.0)</f>
        <v>5000</v>
      </c>
      <c r="N1849" s="148">
        <f>IFERROR(__xludf.DUMMYFUNCTION("""COMPUTED_VALUE"""),999999.0)</f>
        <v>999999</v>
      </c>
      <c r="O1849" s="148">
        <f>IFERROR(__xludf.DUMMYFUNCTION("""COMPUTED_VALUE"""),99999.0)</f>
        <v>99999</v>
      </c>
      <c r="P1849" s="148">
        <f>IFERROR(__xludf.DUMMYFUNCTION("""COMPUTED_VALUE"""),1.0)</f>
        <v>1</v>
      </c>
      <c r="Q1849" s="148" t="str">
        <f>IFERROR(__xludf.DUMMYFUNCTION("""COMPUTED_VALUE"""),"[""bag_other""]")</f>
        <v>["bag_other"]</v>
      </c>
      <c r="R1849" s="148" t="str">
        <f>IFERROR(__xludf.DUMMYFUNCTION("""COMPUTED_VALUE"""),"[""bag"",""13650113""]")</f>
        <v>["bag","13650113"]</v>
      </c>
      <c r="S1849" s="148" t="str">
        <f>IFERROR(__xludf.DUMMYFUNCTION("""COMPUTED_VALUE"""),"{""effect"":[{""typ"":""marching_effect"",""id"":13650113,""val"":-1},{""typ"":""vm"",""id"":11151001,""val"":2500}]}")</f>
        <v>{"effect":[{"typ":"marching_effect","id":13650113,"val":-1},{"typ":"vm","id":11151001,"val":2500}]}</v>
      </c>
      <c r="T1849" s="148">
        <f>IFERROR(__xludf.DUMMYFUNCTION("""COMPUTED_VALUE"""),-1.0)</f>
        <v>-1</v>
      </c>
      <c r="U1849" s="148">
        <f>IFERROR(__xludf.DUMMYFUNCTION("""COMPUTED_VALUE"""),0.0)</f>
        <v>0</v>
      </c>
      <c r="V1849" s="148" t="str">
        <f>IFERROR(__xludf.DUMMYFUNCTION("""COMPUTED_VALUE"""),"[]")</f>
        <v>[]</v>
      </c>
      <c r="W1849" s="148">
        <f>IFERROR(__xludf.DUMMYFUNCTION("""COMPUTED_VALUE"""),1.174E7)</f>
        <v>11740000</v>
      </c>
      <c r="X1849" s="148">
        <f>IFERROR(__xludf.DUMMYFUNCTION("""COMPUTED_VALUE"""),0.0)</f>
        <v>0</v>
      </c>
      <c r="Y1849" s="148">
        <f>IFERROR(__xludf.DUMMYFUNCTION("""COMPUTED_VALUE"""),0.0)</f>
        <v>0</v>
      </c>
      <c r="Z1849" s="148"/>
    </row>
    <row r="1850">
      <c r="A1850" s="148">
        <f>IFERROR(__xludf.DUMMYFUNCTION("""COMPUTED_VALUE"""),1.1117509E7)</f>
        <v>11117509</v>
      </c>
      <c r="B1850" s="148" t="str">
        <f>IFERROR(__xludf.DUMMYFUNCTION("""COMPUTED_VALUE"""),"铭牌-万圣节2023铭牌")</f>
        <v>铭牌-万圣节2023铭牌</v>
      </c>
      <c r="C1850" s="148"/>
      <c r="D1850" s="148" t="str">
        <f>IFERROR(__xludf.DUMMYFUNCTION("""COMPUTED_VALUE"""),"chat_skin")</f>
        <v>chat_skin</v>
      </c>
      <c r="E1850" s="148">
        <f>IFERROR(__xludf.DUMMYFUNCTION("""COMPUTED_VALUE"""),30.0)</f>
        <v>30</v>
      </c>
      <c r="F1850" s="148">
        <f>IFERROR(__xludf.DUMMYFUNCTION("""COMPUTED_VALUE"""),401107.0)</f>
        <v>401107</v>
      </c>
      <c r="G1850" s="148">
        <f>IFERROR(__xludf.DUMMYFUNCTION("""COMPUTED_VALUE"""),1.5117278E7)</f>
        <v>15117278</v>
      </c>
      <c r="H1850" s="148">
        <f>IFERROR(__xludf.DUMMYFUNCTION("""COMPUTED_VALUE"""),1.5112564E7)</f>
        <v>15112564</v>
      </c>
      <c r="I1850" s="148" t="str">
        <f>IFERROR(__xludf.DUMMYFUNCTION("""COMPUTED_VALUE"""),"{}")</f>
        <v>{}</v>
      </c>
      <c r="J1850" s="148" t="str">
        <f>IFERROR(__xludf.DUMMYFUNCTION("""COMPUTED_VALUE"""),"{""typ"":""lc"",""txt"":""LC_ITEM_hallo23_nameplate_name""}")</f>
        <v>{"typ":"lc","txt":"LC_ITEM_hallo23_nameplate_name"}</v>
      </c>
      <c r="K1850" s="148" t="str">
        <f>IFERROR(__xludf.DUMMYFUNCTION("""COMPUTED_VALUE"""),"{""typ"":""lc"",""txt"":""LC_ITEM_hallo23_nameplate_desc_item""}")</f>
        <v>{"typ":"lc","txt":"LC_ITEM_hallo23_nameplate_desc_item"}</v>
      </c>
      <c r="L1850" s="148" t="str">
        <f>IFERROR(__xludf.DUMMYFUNCTION("""COMPUTED_VALUE"""),"{""typ"":""lc"",""txt"":""LC_ITEM_season_extra_reward_usedtip""}")</f>
        <v>{"typ":"lc","txt":"LC_ITEM_season_extra_reward_usedtip"}</v>
      </c>
      <c r="M1850" s="148">
        <f>IFERROR(__xludf.DUMMYFUNCTION("""COMPUTED_VALUE"""),2500.0)</f>
        <v>2500</v>
      </c>
      <c r="N1850" s="148">
        <f>IFERROR(__xludf.DUMMYFUNCTION("""COMPUTED_VALUE"""),9999999.0)</f>
        <v>9999999</v>
      </c>
      <c r="O1850" s="148">
        <f>IFERROR(__xludf.DUMMYFUNCTION("""COMPUTED_VALUE"""),1.0)</f>
        <v>1</v>
      </c>
      <c r="P1850" s="148">
        <f>IFERROR(__xludf.DUMMYFUNCTION("""COMPUTED_VALUE"""),1.0)</f>
        <v>1</v>
      </c>
      <c r="Q1850" s="148" t="str">
        <f>IFERROR(__xludf.DUMMYFUNCTION("""COMPUTED_VALUE"""),"[""bag_other""]")</f>
        <v>["bag_other"]</v>
      </c>
      <c r="R1850" s="148" t="str">
        <f>IFERROR(__xludf.DUMMYFUNCTION("""COMPUTED_VALUE"""),"[""11731015"",""bag""]")</f>
        <v>["11731015","bag"]</v>
      </c>
      <c r="S1850" s="148" t="str">
        <f>IFERROR(__xludf.DUMMYFUNCTION("""COMPUTED_VALUE"""),"{""effect"":[{""typ"":""nameplate"",""id"":11731015,""val"":-1}]}")</f>
        <v>{"effect":[{"typ":"nameplate","id":11731015,"val":-1}]}</v>
      </c>
      <c r="T1850" s="148">
        <f>IFERROR(__xludf.DUMMYFUNCTION("""COMPUTED_VALUE"""),-1.0)</f>
        <v>-1</v>
      </c>
      <c r="U1850" s="148">
        <f>IFERROR(__xludf.DUMMYFUNCTION("""COMPUTED_VALUE"""),0.0)</f>
        <v>0</v>
      </c>
      <c r="V1850" s="148" t="str">
        <f>IFERROR(__xludf.DUMMYFUNCTION("""COMPUTED_VALUE"""),"[]")</f>
        <v>[]</v>
      </c>
      <c r="W1850" s="148">
        <f>IFERROR(__xludf.DUMMYFUNCTION("""COMPUTED_VALUE"""),1.174E7)</f>
        <v>11740000</v>
      </c>
      <c r="X1850" s="148">
        <f>IFERROR(__xludf.DUMMYFUNCTION("""COMPUTED_VALUE"""),0.0)</f>
        <v>0</v>
      </c>
      <c r="Y1850" s="148">
        <f>IFERROR(__xludf.DUMMYFUNCTION("""COMPUTED_VALUE"""),0.0)</f>
        <v>0</v>
      </c>
      <c r="Z1850" s="148"/>
    </row>
    <row r="1851">
      <c r="A1851" s="148">
        <f>IFERROR(__xludf.DUMMYFUNCTION("""COMPUTED_VALUE"""),1.111751E7)</f>
        <v>11117510</v>
      </c>
      <c r="B1851" s="148" t="str">
        <f>IFERROR(__xludf.DUMMYFUNCTION("""COMPUTED_VALUE"""),"兵种技能升级材料-猩战手册")</f>
        <v>兵种技能升级材料-猩战手册</v>
      </c>
      <c r="C1851" s="148"/>
      <c r="D1851" s="148" t="str">
        <f>IFERROR(__xludf.DUMMYFUNCTION("""COMPUTED_VALUE"""),"item_asset")</f>
        <v>item_asset</v>
      </c>
      <c r="E1851" s="148">
        <f>IFERROR(__xludf.DUMMYFUNCTION("""COMPUTED_VALUE"""),0.0)</f>
        <v>0</v>
      </c>
      <c r="F1851" s="148">
        <f>IFERROR(__xludf.DUMMYFUNCTION("""COMPUTED_VALUE"""),415101.0)</f>
        <v>415101</v>
      </c>
      <c r="G1851" s="148">
        <f>IFERROR(__xludf.DUMMYFUNCTION("""COMPUTED_VALUE"""),1.5117211E7)</f>
        <v>15117211</v>
      </c>
      <c r="H1851" s="148">
        <f>IFERROR(__xludf.DUMMYFUNCTION("""COMPUTED_VALUE"""),1.5115983E7)</f>
        <v>15115983</v>
      </c>
      <c r="I1851" s="148" t="str">
        <f>IFERROR(__xludf.DUMMYFUNCTION("""COMPUTED_VALUE"""),"{}")</f>
        <v>{}</v>
      </c>
      <c r="J1851" s="148" t="str">
        <f>IFERROR(__xludf.DUMMYFUNCTION("""COMPUTED_VALUE"""),"{""typ"":""lc"",""txt"":""LC_ITEM_arms_material_c""}")</f>
        <v>{"typ":"lc","txt":"LC_ITEM_arms_material_c"}</v>
      </c>
      <c r="K1851" s="148" t="str">
        <f>IFERROR(__xludf.DUMMYFUNCTION("""COMPUTED_VALUE"""),"{""typ"":""lc"",""txt"":""LC_ITEM_arms_material_desc_c""}")</f>
        <v>{"typ":"lc","txt":"LC_ITEM_arms_material_desc_c"}</v>
      </c>
      <c r="L1851" s="148" t="str">
        <f>IFERROR(__xludf.DUMMYFUNCTION("""COMPUTED_VALUE"""),"{}")</f>
        <v>{}</v>
      </c>
      <c r="M1851" s="148">
        <f>IFERROR(__xludf.DUMMYFUNCTION("""COMPUTED_VALUE"""),2000.0)</f>
        <v>2000</v>
      </c>
      <c r="N1851" s="148">
        <f>IFERROR(__xludf.DUMMYFUNCTION("""COMPUTED_VALUE"""),9999999.0)</f>
        <v>9999999</v>
      </c>
      <c r="O1851" s="148">
        <f>IFERROR(__xludf.DUMMYFUNCTION("""COMPUTED_VALUE"""),99999.0)</f>
        <v>99999</v>
      </c>
      <c r="P1851" s="148">
        <f>IFERROR(__xludf.DUMMYFUNCTION("""COMPUTED_VALUE"""),99999.0)</f>
        <v>99999</v>
      </c>
      <c r="Q1851" s="148" t="str">
        <f>IFERROR(__xludf.DUMMYFUNCTION("""COMPUTED_VALUE"""),"[""bag_other""]")</f>
        <v>["bag_other"]</v>
      </c>
      <c r="R1851" s="148" t="str">
        <f>IFERROR(__xludf.DUMMYFUNCTION("""COMPUTED_VALUE"""),"[]")</f>
        <v>[]</v>
      </c>
      <c r="S1851" s="148" t="str">
        <f>IFERROR(__xludf.DUMMYFUNCTION("""COMPUTED_VALUE"""),"{}")</f>
        <v>{}</v>
      </c>
      <c r="T1851" s="148">
        <f>IFERROR(__xludf.DUMMYFUNCTION("""COMPUTED_VALUE"""),-1.0)</f>
        <v>-1</v>
      </c>
      <c r="U1851" s="148">
        <f>IFERROR(__xludf.DUMMYFUNCTION("""COMPUTED_VALUE"""),0.0)</f>
        <v>0</v>
      </c>
      <c r="V1851" s="148" t="str">
        <f>IFERROR(__xludf.DUMMYFUNCTION("""COMPUTED_VALUE"""),"[]")</f>
        <v>[]</v>
      </c>
      <c r="W1851" s="148">
        <f>IFERROR(__xludf.DUMMYFUNCTION("""COMPUTED_VALUE"""),1.1741004E7)</f>
        <v>11741004</v>
      </c>
      <c r="X1851" s="148">
        <f>IFERROR(__xludf.DUMMYFUNCTION("""COMPUTED_VALUE"""),0.0)</f>
        <v>0</v>
      </c>
      <c r="Y1851" s="148">
        <f>IFERROR(__xludf.DUMMYFUNCTION("""COMPUTED_VALUE"""),0.0)</f>
        <v>0</v>
      </c>
      <c r="Z1851" s="148"/>
    </row>
    <row r="1852">
      <c r="A1852" s="148">
        <f>IFERROR(__xludf.DUMMYFUNCTION("""COMPUTED_VALUE"""),1.1117511E7)</f>
        <v>11117511</v>
      </c>
      <c r="B1852" s="148" t="str">
        <f>IFERROR(__xludf.DUMMYFUNCTION("""COMPUTED_VALUE"""),"T6军备养成-高分子材料")</f>
        <v>T6军备养成-高分子材料</v>
      </c>
      <c r="C1852" s="148"/>
      <c r="D1852" s="148" t="str">
        <f>IFERROR(__xludf.DUMMYFUNCTION("""COMPUTED_VALUE"""),"soldier_arms")</f>
        <v>soldier_arms</v>
      </c>
      <c r="E1852" s="148">
        <f>IFERROR(__xludf.DUMMYFUNCTION("""COMPUTED_VALUE"""),0.0)</f>
        <v>0</v>
      </c>
      <c r="F1852" s="148">
        <f>IFERROR(__xludf.DUMMYFUNCTION("""COMPUTED_VALUE"""),415303.0)</f>
        <v>415303</v>
      </c>
      <c r="G1852" s="148">
        <f>IFERROR(__xludf.DUMMYFUNCTION("""COMPUTED_VALUE"""),1.5117212E7)</f>
        <v>15117212</v>
      </c>
      <c r="H1852" s="148">
        <f>IFERROR(__xludf.DUMMYFUNCTION("""COMPUTED_VALUE"""),1.5115983E7)</f>
        <v>15115983</v>
      </c>
      <c r="I1852" s="148" t="str">
        <f>IFERROR(__xludf.DUMMYFUNCTION("""COMPUTED_VALUE"""),"{}")</f>
        <v>{}</v>
      </c>
      <c r="J1852" s="148" t="str">
        <f>IFERROR(__xludf.DUMMYFUNCTION("""COMPUTED_VALUE"""),"{""typ"":""lc"",""txt"":""LC_ITEM_arms_material_b""}")</f>
        <v>{"typ":"lc","txt":"LC_ITEM_arms_material_b"}</v>
      </c>
      <c r="K1852" s="148" t="str">
        <f>IFERROR(__xludf.DUMMYFUNCTION("""COMPUTED_VALUE"""),"{""typ"":""lc"",""txt"":""LC_ITEM_arms_material_desc_b""}")</f>
        <v>{"typ":"lc","txt":"LC_ITEM_arms_material_desc_b"}</v>
      </c>
      <c r="L1852" s="148" t="str">
        <f>IFERROR(__xludf.DUMMYFUNCTION("""COMPUTED_VALUE"""),"{}")</f>
        <v>{}</v>
      </c>
      <c r="M1852" s="148">
        <f>IFERROR(__xludf.DUMMYFUNCTION("""COMPUTED_VALUE"""),1000.0)</f>
        <v>1000</v>
      </c>
      <c r="N1852" s="148">
        <f>IFERROR(__xludf.DUMMYFUNCTION("""COMPUTED_VALUE"""),9999999.0)</f>
        <v>9999999</v>
      </c>
      <c r="O1852" s="148">
        <f>IFERROR(__xludf.DUMMYFUNCTION("""COMPUTED_VALUE"""),99999.0)</f>
        <v>99999</v>
      </c>
      <c r="P1852" s="148">
        <f>IFERROR(__xludf.DUMMYFUNCTION("""COMPUTED_VALUE"""),99999.0)</f>
        <v>99999</v>
      </c>
      <c r="Q1852" s="148" t="str">
        <f>IFERROR(__xludf.DUMMYFUNCTION("""COMPUTED_VALUE"""),"[""bag_other""]")</f>
        <v>["bag_other"]</v>
      </c>
      <c r="R1852" s="148" t="str">
        <f>IFERROR(__xludf.DUMMYFUNCTION("""COMPUTED_VALUE"""),"[""item_arms_material""]")</f>
        <v>["item_arms_material"]</v>
      </c>
      <c r="S1852" s="148" t="str">
        <f>IFERROR(__xludf.DUMMYFUNCTION("""COMPUTED_VALUE"""),"{}")</f>
        <v>{}</v>
      </c>
      <c r="T1852" s="148">
        <f>IFERROR(__xludf.DUMMYFUNCTION("""COMPUTED_VALUE"""),-1.0)</f>
        <v>-1</v>
      </c>
      <c r="U1852" s="148">
        <f>IFERROR(__xludf.DUMMYFUNCTION("""COMPUTED_VALUE"""),0.0)</f>
        <v>0</v>
      </c>
      <c r="V1852" s="148" t="str">
        <f>IFERROR(__xludf.DUMMYFUNCTION("""COMPUTED_VALUE"""),"[]")</f>
        <v>[]</v>
      </c>
      <c r="W1852" s="148">
        <f>IFERROR(__xludf.DUMMYFUNCTION("""COMPUTED_VALUE"""),1.1741004E7)</f>
        <v>11741004</v>
      </c>
      <c r="X1852" s="148">
        <f>IFERROR(__xludf.DUMMYFUNCTION("""COMPUTED_VALUE"""),0.0)</f>
        <v>0</v>
      </c>
      <c r="Y1852" s="148">
        <f>IFERROR(__xludf.DUMMYFUNCTION("""COMPUTED_VALUE"""),0.0)</f>
        <v>0</v>
      </c>
      <c r="Z1852" s="148"/>
    </row>
    <row r="1853">
      <c r="A1853" s="148">
        <f>IFERROR(__xludf.DUMMYFUNCTION("""COMPUTED_VALUE"""),1.1117512E7)</f>
        <v>11117512</v>
      </c>
      <c r="B1853" s="148" t="str">
        <f>IFERROR(__xludf.DUMMYFUNCTION("""COMPUTED_VALUE"""),"主城皮肤-感恩节2023")</f>
        <v>主城皮肤-感恩节2023</v>
      </c>
      <c r="C1853" s="148"/>
      <c r="D1853" s="148" t="str">
        <f>IFERROR(__xludf.DUMMYFUNCTION("""COMPUTED_VALUE"""),"city_skin")</f>
        <v>city_skin</v>
      </c>
      <c r="E1853" s="148">
        <f>IFERROR(__xludf.DUMMYFUNCTION("""COMPUTED_VALUE"""),21.0)</f>
        <v>21</v>
      </c>
      <c r="F1853" s="148">
        <f>IFERROR(__xludf.DUMMYFUNCTION("""COMPUTED_VALUE"""),400106.0)</f>
        <v>400106</v>
      </c>
      <c r="G1853" s="148">
        <f>IFERROR(__xludf.DUMMYFUNCTION("""COMPUTED_VALUE"""),1.5117422E7)</f>
        <v>15117422</v>
      </c>
      <c r="H1853" s="148">
        <f>IFERROR(__xludf.DUMMYFUNCTION("""COMPUTED_VALUE"""),1.5112564E7)</f>
        <v>15112564</v>
      </c>
      <c r="I1853" s="148" t="str">
        <f>IFERROR(__xludf.DUMMYFUNCTION("""COMPUTED_VALUE"""),"{}")</f>
        <v>{}</v>
      </c>
      <c r="J1853" s="148" t="str">
        <f>IFERROR(__xludf.DUMMYFUNCTION("""COMPUTED_VALUE"""),"{""typ"":""lc"",""txt"":""LC_ITEM_2023thanksgiving_lowcity_skin_title""}")</f>
        <v>{"typ":"lc","txt":"LC_ITEM_2023thanksgiving_lowcity_skin_title"}</v>
      </c>
      <c r="K1853" s="148" t="str">
        <f>IFERROR(__xludf.DUMMYFUNCTION("""COMPUTED_VALUE"""),"{""typ"":""lc"",""txt"":""LC_ITEM_2023thanksgiving_lowcity_skin_desc""}")</f>
        <v>{"typ":"lc","txt":"LC_ITEM_2023thanksgiving_lowcity_skin_desc"}</v>
      </c>
      <c r="L1853" s="148" t="str">
        <f>IFERROR(__xludf.DUMMYFUNCTION("""COMPUTED_VALUE"""),"{""typ"":""lc"",""txt"":""LC_ITEM_city_skin_rocket_use_tips""}")</f>
        <v>{"typ":"lc","txt":"LC_ITEM_city_skin_rocket_use_tips"}</v>
      </c>
      <c r="M1853" s="148">
        <f>IFERROR(__xludf.DUMMYFUNCTION("""COMPUTED_VALUE"""),10000.0)</f>
        <v>10000</v>
      </c>
      <c r="N1853" s="148">
        <f>IFERROR(__xludf.DUMMYFUNCTION("""COMPUTED_VALUE"""),999.0)</f>
        <v>999</v>
      </c>
      <c r="O1853" s="148">
        <f>IFERROR(__xludf.DUMMYFUNCTION("""COMPUTED_VALUE"""),1.0)</f>
        <v>1</v>
      </c>
      <c r="P1853" s="148">
        <f>IFERROR(__xludf.DUMMYFUNCTION("""COMPUTED_VALUE"""),1.0)</f>
        <v>1</v>
      </c>
      <c r="Q1853" s="148" t="str">
        <f>IFERROR(__xludf.DUMMYFUNCTION("""COMPUTED_VALUE"""),"[""bag_other""]")</f>
        <v>["bag_other"]</v>
      </c>
      <c r="R1853" s="148" t="str">
        <f>IFERROR(__xludf.DUMMYFUNCTION("""COMPUTED_VALUE"""),"[""bag"",""13121026""]")</f>
        <v>["bag","13121026"]</v>
      </c>
      <c r="S1853" s="148" t="str">
        <f>IFERROR(__xludf.DUMMYFUNCTION("""COMPUTED_VALUE"""),"{""effect"":[{""typ"":""city_skin"",""id"":13121026,""val"":-1},{""typ"":""item"",""id"":11111034,""val"":10}]}")</f>
        <v>{"effect":[{"typ":"city_skin","id":13121026,"val":-1},{"typ":"item","id":11111034,"val":10}]}</v>
      </c>
      <c r="T1853" s="148">
        <f>IFERROR(__xludf.DUMMYFUNCTION("""COMPUTED_VALUE"""),-1.0)</f>
        <v>-1</v>
      </c>
      <c r="U1853" s="148">
        <f>IFERROR(__xludf.DUMMYFUNCTION("""COMPUTED_VALUE"""),0.0)</f>
        <v>0</v>
      </c>
      <c r="V1853" s="148" t="str">
        <f>IFERROR(__xludf.DUMMYFUNCTION("""COMPUTED_VALUE"""),"[]")</f>
        <v>[]</v>
      </c>
      <c r="W1853" s="148">
        <f>IFERROR(__xludf.DUMMYFUNCTION("""COMPUTED_VALUE"""),1.174E7)</f>
        <v>11740000</v>
      </c>
      <c r="X1853" s="148">
        <f>IFERROR(__xludf.DUMMYFUNCTION("""COMPUTED_VALUE"""),0.0)</f>
        <v>0</v>
      </c>
      <c r="Y1853" s="148">
        <f>IFERROR(__xludf.DUMMYFUNCTION("""COMPUTED_VALUE"""),0.0)</f>
        <v>0</v>
      </c>
      <c r="Z1853" s="148"/>
    </row>
    <row r="1854">
      <c r="A1854" s="148">
        <f>IFERROR(__xludf.DUMMYFUNCTION("""COMPUTED_VALUE"""),1.1117513E7)</f>
        <v>11117513</v>
      </c>
      <c r="B1854" s="148" t="str">
        <f>IFERROR(__xludf.DUMMYFUNCTION("""COMPUTED_VALUE"""),"主城皮肤-感恩节2023（2天）")</f>
        <v>主城皮肤-感恩节2023（2天）</v>
      </c>
      <c r="C1854" s="148"/>
      <c r="D1854" s="148" t="str">
        <f>IFERROR(__xludf.DUMMYFUNCTION("""COMPUTED_VALUE"""),"city_skin")</f>
        <v>city_skin</v>
      </c>
      <c r="E1854" s="148">
        <f>IFERROR(__xludf.DUMMYFUNCTION("""COMPUTED_VALUE"""),21.0)</f>
        <v>21</v>
      </c>
      <c r="F1854" s="148">
        <f>IFERROR(__xludf.DUMMYFUNCTION("""COMPUTED_VALUE"""),404201.0)</f>
        <v>404201</v>
      </c>
      <c r="G1854" s="148">
        <f>IFERROR(__xludf.DUMMYFUNCTION("""COMPUTED_VALUE"""),1.5117422E7)</f>
        <v>15117422</v>
      </c>
      <c r="H1854" s="148">
        <f>IFERROR(__xludf.DUMMYFUNCTION("""COMPUTED_VALUE"""),1.5112563E7)</f>
        <v>15112563</v>
      </c>
      <c r="I1854" s="148" t="str">
        <f>IFERROR(__xludf.DUMMYFUNCTION("""COMPUTED_VALUE"""),"{""typ"":""lc"",""txt"":""LC_ITEM_time_day_upper_show"",""args"":[{""typ"":""int"",""val"":2}]}")</f>
        <v>{"typ":"lc","txt":"LC_ITEM_time_day_upper_show","args":[{"typ":"int","val":2}]}</v>
      </c>
      <c r="J1854" s="148" t="str">
        <f>IFERROR(__xludf.DUMMYFUNCTION("""COMPUTED_VALUE"""),"{""typ"":""lc"",""txt"":""LC_ITEM_2023thanksgiving_lowcity_skin_title_2day""}")</f>
        <v>{"typ":"lc","txt":"LC_ITEM_2023thanksgiving_lowcity_skin_title_2day"}</v>
      </c>
      <c r="K1854" s="148" t="str">
        <f>IFERROR(__xludf.DUMMYFUNCTION("""COMPUTED_VALUE"""),"{""typ"":""lc"",""txt"":""LC_ITEM_2023thanksgiving_lowcity_skin_desc_2day""}")</f>
        <v>{"typ":"lc","txt":"LC_ITEM_2023thanksgiving_lowcity_skin_desc_2day"}</v>
      </c>
      <c r="L1854" s="148" t="str">
        <f>IFERROR(__xludf.DUMMYFUNCTION("""COMPUTED_VALUE"""),"{""typ"":""lc"",""txt"":""LC_ITEM_city_skin_rocket_use_tips""}")</f>
        <v>{"typ":"lc","txt":"LC_ITEM_city_skin_rocket_use_tips"}</v>
      </c>
      <c r="M1854" s="148">
        <f>IFERROR(__xludf.DUMMYFUNCTION("""COMPUTED_VALUE"""),500.0)</f>
        <v>500</v>
      </c>
      <c r="N1854" s="148">
        <f>IFERROR(__xludf.DUMMYFUNCTION("""COMPUTED_VALUE"""),999.0)</f>
        <v>999</v>
      </c>
      <c r="O1854" s="148">
        <f>IFERROR(__xludf.DUMMYFUNCTION("""COMPUTED_VALUE"""),1.0)</f>
        <v>1</v>
      </c>
      <c r="P1854" s="148">
        <f>IFERROR(__xludf.DUMMYFUNCTION("""COMPUTED_VALUE"""),1.0)</f>
        <v>1</v>
      </c>
      <c r="Q1854" s="148" t="str">
        <f>IFERROR(__xludf.DUMMYFUNCTION("""COMPUTED_VALUE"""),"[""bag_other""]")</f>
        <v>["bag_other"]</v>
      </c>
      <c r="R1854" s="148" t="str">
        <f>IFERROR(__xludf.DUMMYFUNCTION("""COMPUTED_VALUE"""),"[""bag"",""13121026""]")</f>
        <v>["bag","13121026"]</v>
      </c>
      <c r="S1854" s="148" t="str">
        <f>IFERROR(__xludf.DUMMYFUNCTION("""COMPUTED_VALUE"""),"{""effect"":[{""typ"":""city_skin"",""id"":13121026,""val"":172800000},{""typ"":""item"",""id"":11111021,""val"":1}]}")</f>
        <v>{"effect":[{"typ":"city_skin","id":13121026,"val":172800000},{"typ":"item","id":11111021,"val":1}]}</v>
      </c>
      <c r="T1854" s="148">
        <f>IFERROR(__xludf.DUMMYFUNCTION("""COMPUTED_VALUE"""),-1.0)</f>
        <v>-1</v>
      </c>
      <c r="U1854" s="148">
        <f>IFERROR(__xludf.DUMMYFUNCTION("""COMPUTED_VALUE"""),0.0)</f>
        <v>0</v>
      </c>
      <c r="V1854" s="148" t="str">
        <f>IFERROR(__xludf.DUMMYFUNCTION("""COMPUTED_VALUE"""),"[]")</f>
        <v>[]</v>
      </c>
      <c r="W1854" s="148">
        <f>IFERROR(__xludf.DUMMYFUNCTION("""COMPUTED_VALUE"""),1.174E7)</f>
        <v>11740000</v>
      </c>
      <c r="X1854" s="148">
        <f>IFERROR(__xludf.DUMMYFUNCTION("""COMPUTED_VALUE"""),0.0)</f>
        <v>0</v>
      </c>
      <c r="Y1854" s="148">
        <f>IFERROR(__xludf.DUMMYFUNCTION("""COMPUTED_VALUE"""),0.0)</f>
        <v>0</v>
      </c>
      <c r="Z1854" s="148"/>
    </row>
    <row r="1855">
      <c r="A1855" s="148">
        <f>IFERROR(__xludf.DUMMYFUNCTION("""COMPUTED_VALUE"""),1.1117514E7)</f>
        <v>11117514</v>
      </c>
      <c r="B1855" s="148" t="str">
        <f>IFERROR(__xludf.DUMMYFUNCTION("""COMPUTED_VALUE"""),"主城皮肤升级版-感恩节2023")</f>
        <v>主城皮肤升级版-感恩节2023</v>
      </c>
      <c r="C1855" s="148"/>
      <c r="D1855" s="148" t="str">
        <f>IFERROR(__xludf.DUMMYFUNCTION("""COMPUTED_VALUE"""),"city_skin")</f>
        <v>city_skin</v>
      </c>
      <c r="E1855" s="148">
        <f>IFERROR(__xludf.DUMMYFUNCTION("""COMPUTED_VALUE"""),21.0)</f>
        <v>21</v>
      </c>
      <c r="F1855" s="148">
        <f>IFERROR(__xludf.DUMMYFUNCTION("""COMPUTED_VALUE"""),400106.0)</f>
        <v>400106</v>
      </c>
      <c r="G1855" s="148">
        <f>IFERROR(__xludf.DUMMYFUNCTION("""COMPUTED_VALUE"""),1.5117423E7)</f>
        <v>15117423</v>
      </c>
      <c r="H1855" s="148">
        <f>IFERROR(__xludf.DUMMYFUNCTION("""COMPUTED_VALUE"""),1.5112564E7)</f>
        <v>15112564</v>
      </c>
      <c r="I1855" s="148" t="str">
        <f>IFERROR(__xludf.DUMMYFUNCTION("""COMPUTED_VALUE"""),"{}")</f>
        <v>{}</v>
      </c>
      <c r="J1855" s="148" t="str">
        <f>IFERROR(__xludf.DUMMYFUNCTION("""COMPUTED_VALUE"""),"{""typ"":""lc"",""txt"":""LC_ITEM_2023thanksgiving_2023_highcity_skin_title""}")</f>
        <v>{"typ":"lc","txt":"LC_ITEM_2023thanksgiving_2023_highcity_skin_title"}</v>
      </c>
      <c r="K1855" s="148" t="str">
        <f>IFERROR(__xludf.DUMMYFUNCTION("""COMPUTED_VALUE"""),"{""typ"":""lc"",""txt"":""LC_ITEM_2023thanksgiving_highskin_desc_forever""}")</f>
        <v>{"typ":"lc","txt":"LC_ITEM_2023thanksgiving_highskin_desc_forever"}</v>
      </c>
      <c r="L1855" s="148" t="str">
        <f>IFERROR(__xludf.DUMMYFUNCTION("""COMPUTED_VALUE"""),"{""typ"":""lc"",""txt"":""LC_ITEM_city_skin_rocket_use_tips""}")</f>
        <v>{"typ":"lc","txt":"LC_ITEM_city_skin_rocket_use_tips"}</v>
      </c>
      <c r="M1855" s="148">
        <f>IFERROR(__xludf.DUMMYFUNCTION("""COMPUTED_VALUE"""),10000.0)</f>
        <v>10000</v>
      </c>
      <c r="N1855" s="148">
        <f>IFERROR(__xludf.DUMMYFUNCTION("""COMPUTED_VALUE"""),999.0)</f>
        <v>999</v>
      </c>
      <c r="O1855" s="148">
        <f>IFERROR(__xludf.DUMMYFUNCTION("""COMPUTED_VALUE"""),1.0)</f>
        <v>1</v>
      </c>
      <c r="P1855" s="148">
        <f>IFERROR(__xludf.DUMMYFUNCTION("""COMPUTED_VALUE"""),1.0)</f>
        <v>1</v>
      </c>
      <c r="Q1855" s="148" t="str">
        <f>IFERROR(__xludf.DUMMYFUNCTION("""COMPUTED_VALUE"""),"[""bag_other""]")</f>
        <v>["bag_other"]</v>
      </c>
      <c r="R1855" s="148" t="str">
        <f>IFERROR(__xludf.DUMMYFUNCTION("""COMPUTED_VALUE"""),"[""bag"",""13121027""]")</f>
        <v>["bag","13121027"]</v>
      </c>
      <c r="S1855" s="148" t="str">
        <f>IFERROR(__xludf.DUMMYFUNCTION("""COMPUTED_VALUE"""),"{""effect"":[{""typ"":""city_skin"",""id"":13121027,""val"":-1},{""typ"":""item"",""id"":11111034,""val"":10}]}")</f>
        <v>{"effect":[{"typ":"city_skin","id":13121027,"val":-1},{"typ":"item","id":11111034,"val":10}]}</v>
      </c>
      <c r="T1855" s="148">
        <f>IFERROR(__xludf.DUMMYFUNCTION("""COMPUTED_VALUE"""),-1.0)</f>
        <v>-1</v>
      </c>
      <c r="U1855" s="148">
        <f>IFERROR(__xludf.DUMMYFUNCTION("""COMPUTED_VALUE"""),0.0)</f>
        <v>0</v>
      </c>
      <c r="V1855" s="148" t="str">
        <f>IFERROR(__xludf.DUMMYFUNCTION("""COMPUTED_VALUE"""),"[]")</f>
        <v>[]</v>
      </c>
      <c r="W1855" s="148">
        <f>IFERROR(__xludf.DUMMYFUNCTION("""COMPUTED_VALUE"""),1.174E7)</f>
        <v>11740000</v>
      </c>
      <c r="X1855" s="148">
        <f>IFERROR(__xludf.DUMMYFUNCTION("""COMPUTED_VALUE"""),0.0)</f>
        <v>0</v>
      </c>
      <c r="Y1855" s="148">
        <f>IFERROR(__xludf.DUMMYFUNCTION("""COMPUTED_VALUE"""),0.0)</f>
        <v>0</v>
      </c>
      <c r="Z1855" s="148"/>
    </row>
    <row r="1856">
      <c r="A1856" s="148">
        <f>IFERROR(__xludf.DUMMYFUNCTION("""COMPUTED_VALUE"""),1.1117515E7)</f>
        <v>11117515</v>
      </c>
      <c r="B1856" s="148" t="str">
        <f>IFERROR(__xludf.DUMMYFUNCTION("""COMPUTED_VALUE"""),"主城皮肤升级版-感恩节2023-7天")</f>
        <v>主城皮肤升级版-感恩节2023-7天</v>
      </c>
      <c r="C1856" s="148"/>
      <c r="D1856" s="148" t="str">
        <f>IFERROR(__xludf.DUMMYFUNCTION("""COMPUTED_VALUE"""),"city_skin")</f>
        <v>city_skin</v>
      </c>
      <c r="E1856" s="148">
        <f>IFERROR(__xludf.DUMMYFUNCTION("""COMPUTED_VALUE"""),21.0)</f>
        <v>21</v>
      </c>
      <c r="F1856" s="148">
        <f>IFERROR(__xludf.DUMMYFUNCTION("""COMPUTED_VALUE"""),400106.0)</f>
        <v>400106</v>
      </c>
      <c r="G1856" s="148">
        <f>IFERROR(__xludf.DUMMYFUNCTION("""COMPUTED_VALUE"""),1.5117423E7)</f>
        <v>15117423</v>
      </c>
      <c r="H1856" s="148">
        <f>IFERROR(__xludf.DUMMYFUNCTION("""COMPUTED_VALUE"""),1.5112564E7)</f>
        <v>15112564</v>
      </c>
      <c r="I1856" s="148" t="str">
        <f>IFERROR(__xludf.DUMMYFUNCTION("""COMPUTED_VALUE"""),"{""typ"":""lc"",""txt"":""LC_ITEM_time_day_upper_show"",""args"":[{""typ"":""int"",""val"":7}]}")</f>
        <v>{"typ":"lc","txt":"LC_ITEM_time_day_upper_show","args":[{"typ":"int","val":7}]}</v>
      </c>
      <c r="J1856" s="148" t="str">
        <f>IFERROR(__xludf.DUMMYFUNCTION("""COMPUTED_VALUE"""),"{""typ"":""lc"",""txt"":""LC_ITEM_2023thanksgiving_2023_highcity_skin_title_7day""}")</f>
        <v>{"typ":"lc","txt":"LC_ITEM_2023thanksgiving_2023_highcity_skin_title_7day"}</v>
      </c>
      <c r="K1856" s="148" t="str">
        <f>IFERROR(__xludf.DUMMYFUNCTION("""COMPUTED_VALUE"""),"{""typ"":""lc"",""txt"":""LC_ITEM_2023thanksgiving_highskin_desc_7days""}")</f>
        <v>{"typ":"lc","txt":"LC_ITEM_2023thanksgiving_highskin_desc_7days"}</v>
      </c>
      <c r="L1856" s="148" t="str">
        <f>IFERROR(__xludf.DUMMYFUNCTION("""COMPUTED_VALUE"""),"{""typ"":""lc"",""txt"":""LC_ITEM_city_skin_rocket_use_tips""}")</f>
        <v>{"typ":"lc","txt":"LC_ITEM_city_skin_rocket_use_tips"}</v>
      </c>
      <c r="M1856" s="148">
        <f>IFERROR(__xludf.DUMMYFUNCTION("""COMPUTED_VALUE"""),10000.0)</f>
        <v>10000</v>
      </c>
      <c r="N1856" s="148">
        <f>IFERROR(__xludf.DUMMYFUNCTION("""COMPUTED_VALUE"""),999.0)</f>
        <v>999</v>
      </c>
      <c r="O1856" s="148">
        <f>IFERROR(__xludf.DUMMYFUNCTION("""COMPUTED_VALUE"""),1.0)</f>
        <v>1</v>
      </c>
      <c r="P1856" s="148">
        <f>IFERROR(__xludf.DUMMYFUNCTION("""COMPUTED_VALUE"""),1.0)</f>
        <v>1</v>
      </c>
      <c r="Q1856" s="148" t="str">
        <f>IFERROR(__xludf.DUMMYFUNCTION("""COMPUTED_VALUE"""),"[""bag_other""]")</f>
        <v>["bag_other"]</v>
      </c>
      <c r="R1856" s="148" t="str">
        <f>IFERROR(__xludf.DUMMYFUNCTION("""COMPUTED_VALUE"""),"[""bag"",""13121027""]")</f>
        <v>["bag","13121027"]</v>
      </c>
      <c r="S1856" s="148" t="str">
        <f>IFERROR(__xludf.DUMMYFUNCTION("""COMPUTED_VALUE"""),"{""effect"":[{""typ"":""city_skin"",""id"":13121027,""val"":604800000},{""typ"":""item"",""id"":11111021,""val"":3}]}")</f>
        <v>{"effect":[{"typ":"city_skin","id":13121027,"val":604800000},{"typ":"item","id":11111021,"val":3}]}</v>
      </c>
      <c r="T1856" s="148">
        <f>IFERROR(__xludf.DUMMYFUNCTION("""COMPUTED_VALUE"""),-1.0)</f>
        <v>-1</v>
      </c>
      <c r="U1856" s="148">
        <f>IFERROR(__xludf.DUMMYFUNCTION("""COMPUTED_VALUE"""),0.0)</f>
        <v>0</v>
      </c>
      <c r="V1856" s="148" t="str">
        <f>IFERROR(__xludf.DUMMYFUNCTION("""COMPUTED_VALUE"""),"[]")</f>
        <v>[]</v>
      </c>
      <c r="W1856" s="148">
        <f>IFERROR(__xludf.DUMMYFUNCTION("""COMPUTED_VALUE"""),1.174E7)</f>
        <v>11740000</v>
      </c>
      <c r="X1856" s="148">
        <f>IFERROR(__xludf.DUMMYFUNCTION("""COMPUTED_VALUE"""),0.0)</f>
        <v>0</v>
      </c>
      <c r="Y1856" s="148">
        <f>IFERROR(__xludf.DUMMYFUNCTION("""COMPUTED_VALUE"""),0.0)</f>
        <v>0</v>
      </c>
      <c r="Z1856" s="148"/>
    </row>
    <row r="1857">
      <c r="A1857" s="148">
        <f>IFERROR(__xludf.DUMMYFUNCTION("""COMPUTED_VALUE"""),1.1117516E7)</f>
        <v>11117516</v>
      </c>
      <c r="B1857" s="148" t="str">
        <f>IFERROR(__xludf.DUMMYFUNCTION("""COMPUTED_VALUE"""),"主城皮肤升级版-感恩节2023-14天")</f>
        <v>主城皮肤升级版-感恩节2023-14天</v>
      </c>
      <c r="C1857" s="148"/>
      <c r="D1857" s="148" t="str">
        <f>IFERROR(__xludf.DUMMYFUNCTION("""COMPUTED_VALUE"""),"city_skin")</f>
        <v>city_skin</v>
      </c>
      <c r="E1857" s="148">
        <f>IFERROR(__xludf.DUMMYFUNCTION("""COMPUTED_VALUE"""),21.0)</f>
        <v>21</v>
      </c>
      <c r="F1857" s="148">
        <f>IFERROR(__xludf.DUMMYFUNCTION("""COMPUTED_VALUE"""),400106.0)</f>
        <v>400106</v>
      </c>
      <c r="G1857" s="148">
        <f>IFERROR(__xludf.DUMMYFUNCTION("""COMPUTED_VALUE"""),1.5117423E7)</f>
        <v>15117423</v>
      </c>
      <c r="H1857" s="148">
        <f>IFERROR(__xludf.DUMMYFUNCTION("""COMPUTED_VALUE"""),1.5112564E7)</f>
        <v>15112564</v>
      </c>
      <c r="I1857" s="148" t="str">
        <f>IFERROR(__xludf.DUMMYFUNCTION("""COMPUTED_VALUE"""),"{""typ"":""lc"",""txt"":""LC_ITEM_time_day_upper_show"",""args"":[{""typ"":""int"",""val"":14}]}")</f>
        <v>{"typ":"lc","txt":"LC_ITEM_time_day_upper_show","args":[{"typ":"int","val":14}]}</v>
      </c>
      <c r="J1857" s="148" t="str">
        <f>IFERROR(__xludf.DUMMYFUNCTION("""COMPUTED_VALUE"""),"{""typ"":""lc"",""txt"":""LC_ITEM_2023thanksgiving_2023_highcity_skin_title_14day""}")</f>
        <v>{"typ":"lc","txt":"LC_ITEM_2023thanksgiving_2023_highcity_skin_title_14day"}</v>
      </c>
      <c r="K1857" s="148" t="str">
        <f>IFERROR(__xludf.DUMMYFUNCTION("""COMPUTED_VALUE"""),"{""typ"":""lc"",""txt"":""LC_ITEM_2023thanksgiving_highskin_desc_14days""}")</f>
        <v>{"typ":"lc","txt":"LC_ITEM_2023thanksgiving_highskin_desc_14days"}</v>
      </c>
      <c r="L1857" s="148" t="str">
        <f>IFERROR(__xludf.DUMMYFUNCTION("""COMPUTED_VALUE"""),"{""typ"":""lc"",""txt"":""LC_ITEM_city_skin_rocket_use_tips""}")</f>
        <v>{"typ":"lc","txt":"LC_ITEM_city_skin_rocket_use_tips"}</v>
      </c>
      <c r="M1857" s="148">
        <f>IFERROR(__xludf.DUMMYFUNCTION("""COMPUTED_VALUE"""),10000.0)</f>
        <v>10000</v>
      </c>
      <c r="N1857" s="148">
        <f>IFERROR(__xludf.DUMMYFUNCTION("""COMPUTED_VALUE"""),999.0)</f>
        <v>999</v>
      </c>
      <c r="O1857" s="148">
        <f>IFERROR(__xludf.DUMMYFUNCTION("""COMPUTED_VALUE"""),1.0)</f>
        <v>1</v>
      </c>
      <c r="P1857" s="148">
        <f>IFERROR(__xludf.DUMMYFUNCTION("""COMPUTED_VALUE"""),1.0)</f>
        <v>1</v>
      </c>
      <c r="Q1857" s="148" t="str">
        <f>IFERROR(__xludf.DUMMYFUNCTION("""COMPUTED_VALUE"""),"[""bag_other""]")</f>
        <v>["bag_other"]</v>
      </c>
      <c r="R1857" s="148" t="str">
        <f>IFERROR(__xludf.DUMMYFUNCTION("""COMPUTED_VALUE"""),"[""bag"",""13121027""]")</f>
        <v>["bag","13121027"]</v>
      </c>
      <c r="S1857" s="148" t="str">
        <f>IFERROR(__xludf.DUMMYFUNCTION("""COMPUTED_VALUE"""),"{""effect"":[{""typ"":""city_skin"",""id"":13121027,""val"":1209600000},{""typ"":""item"",""id"":11111021,""val"":7}]}")</f>
        <v>{"effect":[{"typ":"city_skin","id":13121027,"val":1209600000},{"typ":"item","id":11111021,"val":7}]}</v>
      </c>
      <c r="T1857" s="148">
        <f>IFERROR(__xludf.DUMMYFUNCTION("""COMPUTED_VALUE"""),-1.0)</f>
        <v>-1</v>
      </c>
      <c r="U1857" s="148">
        <f>IFERROR(__xludf.DUMMYFUNCTION("""COMPUTED_VALUE"""),0.0)</f>
        <v>0</v>
      </c>
      <c r="V1857" s="148" t="str">
        <f>IFERROR(__xludf.DUMMYFUNCTION("""COMPUTED_VALUE"""),"[]")</f>
        <v>[]</v>
      </c>
      <c r="W1857" s="148">
        <f>IFERROR(__xludf.DUMMYFUNCTION("""COMPUTED_VALUE"""),1.174E7)</f>
        <v>11740000</v>
      </c>
      <c r="X1857" s="148">
        <f>IFERROR(__xludf.DUMMYFUNCTION("""COMPUTED_VALUE"""),0.0)</f>
        <v>0</v>
      </c>
      <c r="Y1857" s="148">
        <f>IFERROR(__xludf.DUMMYFUNCTION("""COMPUTED_VALUE"""),0.0)</f>
        <v>0</v>
      </c>
      <c r="Z1857" s="148"/>
    </row>
    <row r="1858">
      <c r="A1858" s="148">
        <f>IFERROR(__xludf.DUMMYFUNCTION("""COMPUTED_VALUE"""),1.1117517E7)</f>
        <v>11117517</v>
      </c>
      <c r="B1858" s="148" t="str">
        <f>IFERROR(__xludf.DUMMYFUNCTION("""COMPUTED_VALUE"""),"紧急胶囊转换")</f>
        <v>紧急胶囊转换</v>
      </c>
      <c r="C1858" s="148"/>
      <c r="D1858" s="148" t="str">
        <f>IFERROR(__xludf.DUMMYFUNCTION("""COMPUTED_VALUE"""),"capsule_convert")</f>
        <v>capsule_convert</v>
      </c>
      <c r="E1858" s="148">
        <f>IFERROR(__xludf.DUMMYFUNCTION("""COMPUTED_VALUE"""),0.0)</f>
        <v>0</v>
      </c>
      <c r="F1858" s="148">
        <f>IFERROR(__xludf.DUMMYFUNCTION("""COMPUTED_VALUE"""),0.0)</f>
        <v>0</v>
      </c>
      <c r="G1858" s="148">
        <f>IFERROR(__xludf.DUMMYFUNCTION("""COMPUTED_VALUE"""),1.5117116E7)</f>
        <v>15117116</v>
      </c>
      <c r="H1858" s="148">
        <f>IFERROR(__xludf.DUMMYFUNCTION("""COMPUTED_VALUE"""),1.511256E7)</f>
        <v>15112560</v>
      </c>
      <c r="I1858" s="148" t="str">
        <f>IFERROR(__xludf.DUMMYFUNCTION("""COMPUTED_VALUE"""),"{}")</f>
        <v>{}</v>
      </c>
      <c r="J1858" s="148" t="str">
        <f>IFERROR(__xludf.DUMMYFUNCTION("""COMPUTED_VALUE"""),"{""typ"":""lc"",""txt"":""LC_RSS_capsule_convert_return_name""}")</f>
        <v>{"typ":"lc","txt":"LC_RSS_capsule_convert_return_name"}</v>
      </c>
      <c r="K1858" s="148" t="str">
        <f>IFERROR(__xludf.DUMMYFUNCTION("""COMPUTED_VALUE"""),"{""typ"":""lc"",""txt"":""LC_RSS_capsule_convert_return_desc""}")</f>
        <v>{"typ":"lc","txt":"LC_RSS_capsule_convert_return_desc"}</v>
      </c>
      <c r="L1858" s="148" t="str">
        <f>IFERROR(__xludf.DUMMYFUNCTION("""COMPUTED_VALUE"""),"{""typ"":""lc"",""txt"":""LC_TIP_capsule_convert_return_tips""}")</f>
        <v>{"typ":"lc","txt":"LC_TIP_capsule_convert_return_tips"}</v>
      </c>
      <c r="M1858" s="148">
        <f>IFERROR(__xludf.DUMMYFUNCTION("""COMPUTED_VALUE"""),25.0)</f>
        <v>25</v>
      </c>
      <c r="N1858" s="148">
        <f>IFERROR(__xludf.DUMMYFUNCTION("""COMPUTED_VALUE"""),9999999.0)</f>
        <v>9999999</v>
      </c>
      <c r="O1858" s="148">
        <f>IFERROR(__xludf.DUMMYFUNCTION("""COMPUTED_VALUE"""),99999.0)</f>
        <v>99999</v>
      </c>
      <c r="P1858" s="148">
        <f>IFERROR(__xludf.DUMMYFUNCTION("""COMPUTED_VALUE"""),99999.0)</f>
        <v>99999</v>
      </c>
      <c r="Q1858" s="148" t="str">
        <f>IFERROR(__xludf.DUMMYFUNCTION("""COMPUTED_VALUE"""),"[]")</f>
        <v>[]</v>
      </c>
      <c r="R1858" s="148" t="str">
        <f>IFERROR(__xludf.DUMMYFUNCTION("""COMPUTED_VALUE"""),"[""rss_capsule""]")</f>
        <v>["rss_capsule"]</v>
      </c>
      <c r="S1858" s="148" t="str">
        <f>IFERROR(__xludf.DUMMYFUNCTION("""COMPUTED_VALUE"""),"{""effect"":[{""typ"":""rss"",""id"":11141041,""val"":1000}],""target"":[{""typ"":""rss"",""id"":11141001,""val"":10000},{""typ"":""rss"",""id"":11141003,""val"":10000}]}")</f>
        <v>{"effect":[{"typ":"rss","id":11141041,"val":1000}],"target":[{"typ":"rss","id":11141001,"val":10000},{"typ":"rss","id":11141003,"val":10000}]}</v>
      </c>
      <c r="T1858" s="148">
        <f>IFERROR(__xludf.DUMMYFUNCTION("""COMPUTED_VALUE"""),-1.0)</f>
        <v>-1</v>
      </c>
      <c r="U1858" s="148">
        <f>IFERROR(__xludf.DUMMYFUNCTION("""COMPUTED_VALUE"""),0.0)</f>
        <v>0</v>
      </c>
      <c r="V1858" s="148" t="str">
        <f>IFERROR(__xludf.DUMMYFUNCTION("""COMPUTED_VALUE"""),"[]")</f>
        <v>[]</v>
      </c>
      <c r="W1858" s="148">
        <f>IFERROR(__xludf.DUMMYFUNCTION("""COMPUTED_VALUE"""),1.174E7)</f>
        <v>11740000</v>
      </c>
      <c r="X1858" s="148">
        <f>IFERROR(__xludf.DUMMYFUNCTION("""COMPUTED_VALUE"""),0.0)</f>
        <v>0</v>
      </c>
      <c r="Y1858" s="148">
        <f>IFERROR(__xludf.DUMMYFUNCTION("""COMPUTED_VALUE"""),0.0)</f>
        <v>0</v>
      </c>
      <c r="Z1858" s="148"/>
    </row>
    <row r="1859">
      <c r="A1859" s="148">
        <f>IFERROR(__xludf.DUMMYFUNCTION("""COMPUTED_VALUE"""),1.1117518E7)</f>
        <v>11117518</v>
      </c>
      <c r="B1859" s="148" t="str">
        <f>IFERROR(__xludf.DUMMYFUNCTION("""COMPUTED_VALUE"""),"随机装备图纸碎片箱")</f>
        <v>随机装备图纸碎片箱</v>
      </c>
      <c r="C1859" s="148"/>
      <c r="D1859" s="148" t="str">
        <f>IFERROR(__xludf.DUMMYFUNCTION("""COMPUTED_VALUE"""),"heroarms_box")</f>
        <v>heroarms_box</v>
      </c>
      <c r="E1859" s="148">
        <f>IFERROR(__xludf.DUMMYFUNCTION("""COMPUTED_VALUE"""),0.0)</f>
        <v>0</v>
      </c>
      <c r="F1859" s="148">
        <f>IFERROR(__xludf.DUMMYFUNCTION("""COMPUTED_VALUE"""),403101.0)</f>
        <v>403101</v>
      </c>
      <c r="G1859" s="148">
        <f>IFERROR(__xludf.DUMMYFUNCTION("""COMPUTED_VALUE"""),1.5117703E7)</f>
        <v>15117703</v>
      </c>
      <c r="H1859" s="148">
        <f>IFERROR(__xludf.DUMMYFUNCTION("""COMPUTED_VALUE"""),1.5112564E7)</f>
        <v>15112564</v>
      </c>
      <c r="I1859" s="148" t="str">
        <f>IFERROR(__xludf.DUMMYFUNCTION("""COMPUTED_VALUE"""),"{}")</f>
        <v>{}</v>
      </c>
      <c r="J1859" s="148" t="str">
        <f>IFERROR(__xludf.DUMMYFUNCTION("""COMPUTED_VALUE"""),"{""typ"":""lc"",""txt"":""LC_HERO_equipment_puzzle_box13""}")</f>
        <v>{"typ":"lc","txt":"LC_HERO_equipment_puzzle_box13"}</v>
      </c>
      <c r="K1859" s="148" t="str">
        <f>IFERROR(__xludf.DUMMYFUNCTION("""COMPUTED_VALUE"""),"{""typ"":""lc"",""txt"":""LC_HERO_equipment_puzzle_box_desc13""}")</f>
        <v>{"typ":"lc","txt":"LC_HERO_equipment_puzzle_box_desc13"}</v>
      </c>
      <c r="L1859" s="148" t="str">
        <f>IFERROR(__xludf.DUMMYFUNCTION("""COMPUTED_VALUE"""),"{}")</f>
        <v>{}</v>
      </c>
      <c r="M1859" s="148">
        <f>IFERROR(__xludf.DUMMYFUNCTION("""COMPUTED_VALUE"""),50.0)</f>
        <v>50</v>
      </c>
      <c r="N1859" s="148">
        <f>IFERROR(__xludf.DUMMYFUNCTION("""COMPUTED_VALUE"""),9999999.0)</f>
        <v>9999999</v>
      </c>
      <c r="O1859" s="148">
        <f>IFERROR(__xludf.DUMMYFUNCTION("""COMPUTED_VALUE"""),99999.0)</f>
        <v>99999</v>
      </c>
      <c r="P1859" s="148">
        <f>IFERROR(__xludf.DUMMYFUNCTION("""COMPUTED_VALUE"""),99999.0)</f>
        <v>99999</v>
      </c>
      <c r="Q1859" s="148" t="str">
        <f>IFERROR(__xludf.DUMMYFUNCTION("""COMPUTED_VALUE"""),"[""bag_other""]")</f>
        <v>["bag_other"]</v>
      </c>
      <c r="R1859" s="148" t="str">
        <f>IFERROR(__xludf.DUMMYFUNCTION("""COMPUTED_VALUE"""),"[""bag""]")</f>
        <v>["bag"]</v>
      </c>
      <c r="S1859" s="148" t="str">
        <f>IFERROR(__xludf.DUMMYFUNCTION("""COMPUTED_VALUE"""),"{""drop"":{""typ"":""single_random"",""num"":1,""args"":[{""typ"":""puzzle"",""id"":19349013,""num"":1,""wgt"":100},{""typ"":""puzzle"",""id"":19349014,""num"":1,""wgt"":100},{""typ"":""puzzle"",""id"":19349015,""num"":1,""wgt"":100},{""typ"":""puzzle"","&amp;"""id"":19349016,""num"":1,""wgt"":100},{""typ"":""puzzle"",""id"":19349001,""num"":1,""wgt"":100},{""typ"":""puzzle"",""id"":19349002,""num"":1,""wgt"":100},{""typ"":""puzzle"",""id"":19349003,""num"":1,""wgt"":100},{""typ"":""puzzle"",""id"":19349004,""n"&amp;"um"":1,""wgt"":100},{""typ"":""puzzle"",""id"":19349005,""num"":1,""wgt"":100},{""typ"":""puzzle"",""id"":19349006,""num"":1,""wgt"":100},{""typ"":""puzzle"",""id"":19349007,""num"":1,""wgt"":100},{""typ"":""puzzle"",""id"":19349008,""num"":1,""wgt"":100}"&amp;"]}}")</f>
        <v>{"drop":{"typ":"single_random","num":1,"args":[{"typ":"puzzle","id":19349013,"num":1,"wgt":100},{"typ":"puzzle","id":19349014,"num":1,"wgt":100},{"typ":"puzzle","id":19349015,"num":1,"wgt":100},{"typ":"puzzle","id":19349016,"num":1,"wgt":100},{"typ":"puzzle","id":19349001,"num":1,"wgt":100},{"typ":"puzzle","id":19349002,"num":1,"wgt":100},{"typ":"puzzle","id":19349003,"num":1,"wgt":100},{"typ":"puzzle","id":19349004,"num":1,"wgt":100},{"typ":"puzzle","id":19349005,"num":1,"wgt":100},{"typ":"puzzle","id":19349006,"num":1,"wgt":100},{"typ":"puzzle","id":19349007,"num":1,"wgt":100},{"typ":"puzzle","id":19349008,"num":1,"wgt":100}]}}</v>
      </c>
      <c r="T1859" s="148">
        <f>IFERROR(__xludf.DUMMYFUNCTION("""COMPUTED_VALUE"""),-1.0)</f>
        <v>-1</v>
      </c>
      <c r="U1859" s="148">
        <f>IFERROR(__xludf.DUMMYFUNCTION("""COMPUTED_VALUE"""),0.0)</f>
        <v>0</v>
      </c>
      <c r="V1859" s="148" t="str">
        <f>IFERROR(__xludf.DUMMYFUNCTION("""COMPUTED_VALUE"""),"[]")</f>
        <v>[]</v>
      </c>
      <c r="W1859" s="148">
        <f>IFERROR(__xludf.DUMMYFUNCTION("""COMPUTED_VALUE"""),1.1741004E7)</f>
        <v>11741004</v>
      </c>
      <c r="X1859" s="148">
        <f>IFERROR(__xludf.DUMMYFUNCTION("""COMPUTED_VALUE"""),0.0)</f>
        <v>0</v>
      </c>
      <c r="Y1859" s="148">
        <f>IFERROR(__xludf.DUMMYFUNCTION("""COMPUTED_VALUE"""),0.0)</f>
        <v>0</v>
      </c>
      <c r="Z1859" s="148"/>
    </row>
    <row r="1860">
      <c r="A1860" s="148">
        <f>IFERROR(__xludf.DUMMYFUNCTION("""COMPUTED_VALUE"""),1.1117519E7)</f>
        <v>11117519</v>
      </c>
      <c r="B1860" s="148" t="str">
        <f>IFERROR(__xludf.DUMMYFUNCTION("""COMPUTED_VALUE"""),"碎片-四代传说斗士奖牌")</f>
        <v>碎片-四代传说斗士奖牌</v>
      </c>
      <c r="C1860" s="148"/>
      <c r="D1860" s="148" t="str">
        <f>IFERROR(__xludf.DUMMYFUNCTION("""COMPUTED_VALUE"""),"item_select_box")</f>
        <v>item_select_box</v>
      </c>
      <c r="E1860" s="148">
        <f>IFERROR(__xludf.DUMMYFUNCTION("""COMPUTED_VALUE"""),19.0)</f>
        <v>19</v>
      </c>
      <c r="F1860" s="148">
        <f>IFERROR(__xludf.DUMMYFUNCTION("""COMPUTED_VALUE"""),408195.0)</f>
        <v>408195</v>
      </c>
      <c r="G1860" s="148">
        <f>IFERROR(__xludf.DUMMYFUNCTION("""COMPUTED_VALUE"""),1.5117676E7)</f>
        <v>15117676</v>
      </c>
      <c r="H1860" s="148">
        <f>IFERROR(__xludf.DUMMYFUNCTION("""COMPUTED_VALUE"""),1.5112564E7)</f>
        <v>15112564</v>
      </c>
      <c r="I1860" s="148" t="str">
        <f>IFERROR(__xludf.DUMMYFUNCTION("""COMPUTED_VALUE"""),"{}")</f>
        <v>{}</v>
      </c>
      <c r="J1860" s="148" t="str">
        <f>IFERROR(__xludf.DUMMYFUNCTION("""COMPUTED_VALUE"""),"{""typ"":""lc"",""txt"":""LC_ITEM_hero_custom_fragment_chest_tier4""}")</f>
        <v>{"typ":"lc","txt":"LC_ITEM_hero_custom_fragment_chest_tier4"}</v>
      </c>
      <c r="K1860" s="148" t="str">
        <f>IFERROR(__xludf.DUMMYFUNCTION("""COMPUTED_VALUE"""),"{""typ"":""lc"",""txt"":""LC_ITEM_hero_custom_fragment_chest_tier4_desc""}")</f>
        <v>{"typ":"lc","txt":"LC_ITEM_hero_custom_fragment_chest_tier4_desc"}</v>
      </c>
      <c r="L1860" s="148" t="str">
        <f>IFERROR(__xludf.DUMMYFUNCTION("""COMPUTED_VALUE"""),"{}")</f>
        <v>{}</v>
      </c>
      <c r="M1860" s="148">
        <f>IFERROR(__xludf.DUMMYFUNCTION("""COMPUTED_VALUE"""),4000.0)</f>
        <v>4000</v>
      </c>
      <c r="N1860" s="148">
        <f>IFERROR(__xludf.DUMMYFUNCTION("""COMPUTED_VALUE"""),9999999.0)</f>
        <v>9999999</v>
      </c>
      <c r="O1860" s="148">
        <f>IFERROR(__xludf.DUMMYFUNCTION("""COMPUTED_VALUE"""),99999.0)</f>
        <v>99999</v>
      </c>
      <c r="P1860" s="148">
        <f>IFERROR(__xludf.DUMMYFUNCTION("""COMPUTED_VALUE"""),99999.0)</f>
        <v>99999</v>
      </c>
      <c r="Q1860" s="148" t="str">
        <f>IFERROR(__xludf.DUMMYFUNCTION("""COMPUTED_VALUE"""),"[""bag_other""]")</f>
        <v>["bag_other"]</v>
      </c>
      <c r="R1860" s="148" t="str">
        <f>IFERROR(__xludf.DUMMYFUNCTION("""COMPUTED_VALUE"""),"[""bag""]")</f>
        <v>["bag"]</v>
      </c>
      <c r="S1860" s="148" t="str">
        <f>IFERROR(__xludf.DUMMYFUNCTION("""COMPUTED_VALUE"""),"{""select_box"":[{""typ"":""item"",""id"":11116239,""val"":1},{""typ"":""item"",""id"":11116240,""val"":1},{""typ"":""item"",""id"":11116241,""val"":1}]}")</f>
        <v>{"select_box":[{"typ":"item","id":11116239,"val":1},{"typ":"item","id":11116240,"val":1},{"typ":"item","id":11116241,"val":1}]}</v>
      </c>
      <c r="T1860" s="148">
        <f>IFERROR(__xludf.DUMMYFUNCTION("""COMPUTED_VALUE"""),-1.0)</f>
        <v>-1</v>
      </c>
      <c r="U1860" s="148">
        <f>IFERROR(__xludf.DUMMYFUNCTION("""COMPUTED_VALUE"""),0.0)</f>
        <v>0</v>
      </c>
      <c r="V1860" s="148" t="str">
        <f>IFERROR(__xludf.DUMMYFUNCTION("""COMPUTED_VALUE"""),"[]")</f>
        <v>[]</v>
      </c>
      <c r="W1860" s="148">
        <f>IFERROR(__xludf.DUMMYFUNCTION("""COMPUTED_VALUE"""),1.1741002E7)</f>
        <v>11741002</v>
      </c>
      <c r="X1860" s="148">
        <f>IFERROR(__xludf.DUMMYFUNCTION("""COMPUTED_VALUE"""),0.0)</f>
        <v>0</v>
      </c>
      <c r="Y1860" s="148">
        <f>IFERROR(__xludf.DUMMYFUNCTION("""COMPUTED_VALUE"""),0.0)</f>
        <v>0</v>
      </c>
      <c r="Z1860" s="148"/>
    </row>
    <row r="1861">
      <c r="A1861" s="148">
        <f>IFERROR(__xludf.DUMMYFUNCTION("""COMPUTED_VALUE"""),1.111752E7)</f>
        <v>11117520</v>
      </c>
      <c r="B1861" s="148" t="str">
        <f>IFERROR(__xludf.DUMMYFUNCTION("""COMPUTED_VALUE"""),"战装试炼-随机卡片（纯表现）")</f>
        <v>战装试炼-随机卡片（纯表现）</v>
      </c>
      <c r="C1861" s="148"/>
      <c r="D1861" s="148" t="str">
        <f>IFERROR(__xludf.DUMMYFUNCTION("""COMPUTED_VALUE"""),"item_show_only")</f>
        <v>item_show_only</v>
      </c>
      <c r="E1861" s="148">
        <f>IFERROR(__xludf.DUMMYFUNCTION("""COMPUTED_VALUE"""),0.0)</f>
        <v>0</v>
      </c>
      <c r="F1861" s="148">
        <f>IFERROR(__xludf.DUMMYFUNCTION("""COMPUTED_VALUE"""),408195.0)</f>
        <v>408195</v>
      </c>
      <c r="G1861" s="148">
        <f>IFERROR(__xludf.DUMMYFUNCTION("""COMPUTED_VALUE"""),1.5118034E7)</f>
        <v>15118034</v>
      </c>
      <c r="H1861" s="148">
        <f>IFERROR(__xludf.DUMMYFUNCTION("""COMPUTED_VALUE"""),1.5112564E7)</f>
        <v>15112564</v>
      </c>
      <c r="I1861" s="148" t="str">
        <f>IFERROR(__xludf.DUMMYFUNCTION("""COMPUTED_VALUE"""),"{}")</f>
        <v>{}</v>
      </c>
      <c r="J1861" s="148" t="str">
        <f>IFERROR(__xludf.DUMMYFUNCTION("""COMPUTED_VALUE"""),"{""typ"":""lc"",""txt"":""LC_ARENA_bossrush_giftcard_name""}")</f>
        <v>{"typ":"lc","txt":"LC_ARENA_bossrush_giftcard_name"}</v>
      </c>
      <c r="K1861" s="148" t="str">
        <f>IFERROR(__xludf.DUMMYFUNCTION("""COMPUTED_VALUE"""),"{""typ"":""lc"",""txt"":""LC_ARENA_bossrush_giftcard_desc""}")</f>
        <v>{"typ":"lc","txt":"LC_ARENA_bossrush_giftcard_desc"}</v>
      </c>
      <c r="L1861" s="148" t="str">
        <f>IFERROR(__xludf.DUMMYFUNCTION("""COMPUTED_VALUE"""),"{}")</f>
        <v>{}</v>
      </c>
      <c r="M1861" s="148">
        <f>IFERROR(__xludf.DUMMYFUNCTION("""COMPUTED_VALUE"""),10.0)</f>
        <v>10</v>
      </c>
      <c r="N1861" s="148">
        <f>IFERROR(__xludf.DUMMYFUNCTION("""COMPUTED_VALUE"""),999999.0)</f>
        <v>999999</v>
      </c>
      <c r="O1861" s="148">
        <f>IFERROR(__xludf.DUMMYFUNCTION("""COMPUTED_VALUE"""),99999.0)</f>
        <v>99999</v>
      </c>
      <c r="P1861" s="148">
        <f>IFERROR(__xludf.DUMMYFUNCTION("""COMPUTED_VALUE"""),9999.0)</f>
        <v>9999</v>
      </c>
      <c r="Q1861" s="148" t="str">
        <f>IFERROR(__xludf.DUMMYFUNCTION("""COMPUTED_VALUE"""),"[]")</f>
        <v>[]</v>
      </c>
      <c r="R1861" s="148" t="str">
        <f>IFERROR(__xludf.DUMMYFUNCTION("""COMPUTED_VALUE"""),"[]")</f>
        <v>[]</v>
      </c>
      <c r="S1861" s="148" t="str">
        <f>IFERROR(__xludf.DUMMYFUNCTION("""COMPUTED_VALUE"""),"{}")</f>
        <v>{}</v>
      </c>
      <c r="T1861" s="148">
        <f>IFERROR(__xludf.DUMMYFUNCTION("""COMPUTED_VALUE"""),-1.0)</f>
        <v>-1</v>
      </c>
      <c r="U1861" s="148">
        <f>IFERROR(__xludf.DUMMYFUNCTION("""COMPUTED_VALUE"""),1.0)</f>
        <v>1</v>
      </c>
      <c r="V1861" s="148" t="str">
        <f>IFERROR(__xludf.DUMMYFUNCTION("""COMPUTED_VALUE"""),"[]")</f>
        <v>[]</v>
      </c>
      <c r="W1861" s="148">
        <f>IFERROR(__xludf.DUMMYFUNCTION("""COMPUTED_VALUE"""),1.174E7)</f>
        <v>11740000</v>
      </c>
      <c r="X1861" s="148">
        <f>IFERROR(__xludf.DUMMYFUNCTION("""COMPUTED_VALUE"""),0.0)</f>
        <v>0</v>
      </c>
      <c r="Y1861" s="148">
        <f>IFERROR(__xludf.DUMMYFUNCTION("""COMPUTED_VALUE"""),0.0)</f>
        <v>0</v>
      </c>
      <c r="Z1861" s="148"/>
    </row>
    <row r="1862">
      <c r="A1862" s="148">
        <f>IFERROR(__xludf.DUMMYFUNCTION("""COMPUTED_VALUE"""),1.1117522E7)</f>
        <v>11117522</v>
      </c>
      <c r="B1862" s="148" t="str">
        <f>IFERROR(__xludf.DUMMYFUNCTION("""COMPUTED_VALUE"""),"kvk杀敌宝箱4")</f>
        <v>kvk杀敌宝箱4</v>
      </c>
      <c r="C1862" s="148"/>
      <c r="D1862" s="148" t="str">
        <f>IFERROR(__xludf.DUMMYFUNCTION("""COMPUTED_VALUE"""),"item_asset")</f>
        <v>item_asset</v>
      </c>
      <c r="E1862" s="148">
        <f>IFERROR(__xludf.DUMMYFUNCTION("""COMPUTED_VALUE"""),19.0)</f>
        <v>19</v>
      </c>
      <c r="F1862" s="148">
        <f>IFERROR(__xludf.DUMMYFUNCTION("""COMPUTED_VALUE"""),102400.0)</f>
        <v>102400</v>
      </c>
      <c r="G1862" s="148">
        <f>IFERROR(__xludf.DUMMYFUNCTION("""COMPUTED_VALUE"""),1.5110347E7)</f>
        <v>15110347</v>
      </c>
      <c r="H1862" s="148">
        <f>IFERROR(__xludf.DUMMYFUNCTION("""COMPUTED_VALUE"""),1.5112564E7)</f>
        <v>15112564</v>
      </c>
      <c r="I1862" s="148" t="str">
        <f>IFERROR(__xludf.DUMMYFUNCTION("""COMPUTED_VALUE"""),"{}")</f>
        <v>{}</v>
      </c>
      <c r="J1862" s="148" t="str">
        <f>IFERROR(__xludf.DUMMYFUNCTION("""COMPUTED_VALUE"""),"{""typ"":""lc"",""txt"":""LC_ITEM_beat_army_reward_box_name""}")</f>
        <v>{"typ":"lc","txt":"LC_ITEM_beat_army_reward_box_name"}</v>
      </c>
      <c r="K1862" s="148" t="str">
        <f>IFERROR(__xludf.DUMMYFUNCTION("""COMPUTED_VALUE"""),"{""typ"":""lc"",""txt"":""LC_ITEM_beat_army_reward_box_desc""}")</f>
        <v>{"typ":"lc","txt":"LC_ITEM_beat_army_reward_box_desc"}</v>
      </c>
      <c r="L1862" s="148" t="str">
        <f>IFERROR(__xludf.DUMMYFUNCTION("""COMPUTED_VALUE"""),"{}")</f>
        <v>{}</v>
      </c>
      <c r="M1862" s="148">
        <f>IFERROR(__xludf.DUMMYFUNCTION("""COMPUTED_VALUE"""),1225.0)</f>
        <v>1225</v>
      </c>
      <c r="N1862" s="148">
        <f>IFERROR(__xludf.DUMMYFUNCTION("""COMPUTED_VALUE"""),999999.0)</f>
        <v>999999</v>
      </c>
      <c r="O1862" s="148">
        <f>IFERROR(__xludf.DUMMYFUNCTION("""COMPUTED_VALUE"""),99999.0)</f>
        <v>99999</v>
      </c>
      <c r="P1862" s="148">
        <f>IFERROR(__xludf.DUMMYFUNCTION("""COMPUTED_VALUE"""),99999.0)</f>
        <v>99999</v>
      </c>
      <c r="Q1862" s="148" t="str">
        <f>IFERROR(__xludf.DUMMYFUNCTION("""COMPUTED_VALUE"""),"[""bag_other""]")</f>
        <v>["bag_other"]</v>
      </c>
      <c r="R1862" s="148" t="str">
        <f>IFERROR(__xludf.DUMMYFUNCTION("""COMPUTED_VALUE"""),"[""bag""]")</f>
        <v>["bag"]</v>
      </c>
      <c r="S1862" s="148" t="str">
        <f>IFERROR(__xludf.DUMMYFUNCTION("""COMPUTED_VALUE"""),"{""drop"":{""typ"":""single_all"",""num"":1,""args"":[{""typ"":""item"",""id"":11114330,""num"":1},{""typ"":""item"",""id"":11111156,""num"":1},{""typ"":""item"",""id"":11111147,""num"":1},{""typ"":""single_random"",""num"":1,""args"":[{""typ"":""item"","&amp;"""id"":11116254,""num"":1,""wgt"":20},{""typ"":""empty"",""wgt"":80}]}]}}")</f>
        <v>{"drop":{"typ":"single_all","num":1,"args":[{"typ":"item","id":11114330,"num":1},{"typ":"item","id":11111156,"num":1},{"typ":"item","id":11111147,"num":1},{"typ":"single_random","num":1,"args":[{"typ":"item","id":11116254,"num":1,"wgt":20},{"typ":"empty","wgt":80}]}]}}</v>
      </c>
      <c r="T1862" s="148">
        <f>IFERROR(__xludf.DUMMYFUNCTION("""COMPUTED_VALUE"""),-1.0)</f>
        <v>-1</v>
      </c>
      <c r="U1862" s="148">
        <f>IFERROR(__xludf.DUMMYFUNCTION("""COMPUTED_VALUE"""),0.0)</f>
        <v>0</v>
      </c>
      <c r="V1862" s="148" t="str">
        <f>IFERROR(__xludf.DUMMYFUNCTION("""COMPUTED_VALUE"""),"[]")</f>
        <v>[]</v>
      </c>
      <c r="W1862" s="148">
        <f>IFERROR(__xludf.DUMMYFUNCTION("""COMPUTED_VALUE"""),1.174E7)</f>
        <v>11740000</v>
      </c>
      <c r="X1862" s="148">
        <f>IFERROR(__xludf.DUMMYFUNCTION("""COMPUTED_VALUE"""),0.0)</f>
        <v>0</v>
      </c>
      <c r="Y1862" s="148">
        <f>IFERROR(__xludf.DUMMYFUNCTION("""COMPUTED_VALUE"""),0.0)</f>
        <v>0</v>
      </c>
      <c r="Z1862" s="148"/>
    </row>
    <row r="1863">
      <c r="A1863" s="148">
        <f>IFERROR(__xludf.DUMMYFUNCTION("""COMPUTED_VALUE"""),1.1117601E7)</f>
        <v>11117601</v>
      </c>
      <c r="B1863" s="148" t="str">
        <f>IFERROR(__xludf.DUMMYFUNCTION("""COMPUTED_VALUE"""),"复活节彩蛋1")</f>
        <v>复活节彩蛋1</v>
      </c>
      <c r="C1863" s="148"/>
      <c r="D1863" s="148" t="str">
        <f>IFERROR(__xludf.DUMMYFUNCTION("""COMPUTED_VALUE"""),"item_asset")</f>
        <v>item_asset</v>
      </c>
      <c r="E1863" s="148">
        <f>IFERROR(__xludf.DUMMYFUNCTION("""COMPUTED_VALUE"""),0.0)</f>
        <v>0</v>
      </c>
      <c r="F1863" s="148">
        <f>IFERROR(__xludf.DUMMYFUNCTION("""COMPUTED_VALUE"""),0.0)</f>
        <v>0</v>
      </c>
      <c r="G1863" s="148">
        <f>IFERROR(__xludf.DUMMYFUNCTION("""COMPUTED_VALUE"""),1.51104373E8)</f>
        <v>151104373</v>
      </c>
      <c r="H1863" s="148">
        <f>IFERROR(__xludf.DUMMYFUNCTION("""COMPUTED_VALUE"""),1.5112564E7)</f>
        <v>15112564</v>
      </c>
      <c r="I1863" s="148" t="str">
        <f>IFERROR(__xludf.DUMMYFUNCTION("""COMPUTED_VALUE"""),"{}")</f>
        <v>{}</v>
      </c>
      <c r="J1863" s="148" t="str">
        <f>IFERROR(__xludf.DUMMYFUNCTION("""COMPUTED_VALUE"""),"{""typ"":""lc"",""txt"":""LC_ITEM_easter_egg_name_1""}")</f>
        <v>{"typ":"lc","txt":"LC_ITEM_easter_egg_name_1"}</v>
      </c>
      <c r="K1863" s="148" t="str">
        <f>IFERROR(__xludf.DUMMYFUNCTION("""COMPUTED_VALUE"""),"{}")</f>
        <v>{}</v>
      </c>
      <c r="L1863" s="148" t="str">
        <f>IFERROR(__xludf.DUMMYFUNCTION("""COMPUTED_VALUE"""),"{}")</f>
        <v>{}</v>
      </c>
      <c r="M1863" s="148">
        <f>IFERROR(__xludf.DUMMYFUNCTION("""COMPUTED_VALUE"""),100.0)</f>
        <v>100</v>
      </c>
      <c r="N1863" s="148">
        <f>IFERROR(__xludf.DUMMYFUNCTION("""COMPUTED_VALUE"""),999999.0)</f>
        <v>999999</v>
      </c>
      <c r="O1863" s="148">
        <f>IFERROR(__xludf.DUMMYFUNCTION("""COMPUTED_VALUE"""),99999.0)</f>
        <v>99999</v>
      </c>
      <c r="P1863" s="148">
        <f>IFERROR(__xludf.DUMMYFUNCTION("""COMPUTED_VALUE"""),99999.0)</f>
        <v>99999</v>
      </c>
      <c r="Q1863" s="148" t="str">
        <f>IFERROR(__xludf.DUMMYFUNCTION("""COMPUTED_VALUE"""),"[]")</f>
        <v>[]</v>
      </c>
      <c r="R1863" s="148" t="str">
        <f>IFERROR(__xludf.DUMMYFUNCTION("""COMPUTED_VALUE"""),"[]")</f>
        <v>[]</v>
      </c>
      <c r="S1863" s="148" t="str">
        <f>IFERROR(__xludf.DUMMYFUNCTION("""COMPUTED_VALUE"""),"{}")</f>
        <v>{}</v>
      </c>
      <c r="T1863" s="148">
        <f>IFERROR(__xludf.DUMMYFUNCTION("""COMPUTED_VALUE"""),-1.0)</f>
        <v>-1</v>
      </c>
      <c r="U1863" s="148">
        <f>IFERROR(__xludf.DUMMYFUNCTION("""COMPUTED_VALUE"""),0.0)</f>
        <v>0</v>
      </c>
      <c r="V1863" s="148" t="str">
        <f>IFERROR(__xludf.DUMMYFUNCTION("""COMPUTED_VALUE"""),"[]")</f>
        <v>[]</v>
      </c>
      <c r="W1863" s="148">
        <f>IFERROR(__xludf.DUMMYFUNCTION("""COMPUTED_VALUE"""),1.174E7)</f>
        <v>11740000</v>
      </c>
      <c r="X1863" s="148">
        <f>IFERROR(__xludf.DUMMYFUNCTION("""COMPUTED_VALUE"""),0.0)</f>
        <v>0</v>
      </c>
      <c r="Y1863" s="148">
        <f>IFERROR(__xludf.DUMMYFUNCTION("""COMPUTED_VALUE"""),0.0)</f>
        <v>0</v>
      </c>
      <c r="Z1863" s="148"/>
    </row>
    <row r="1864">
      <c r="A1864" s="148">
        <f>IFERROR(__xludf.DUMMYFUNCTION("""COMPUTED_VALUE"""),1.1117602E7)</f>
        <v>11117602</v>
      </c>
      <c r="B1864" s="148" t="str">
        <f>IFERROR(__xludf.DUMMYFUNCTION("""COMPUTED_VALUE"""),"复活节彩蛋2")</f>
        <v>复活节彩蛋2</v>
      </c>
      <c r="C1864" s="148"/>
      <c r="D1864" s="148" t="str">
        <f>IFERROR(__xludf.DUMMYFUNCTION("""COMPUTED_VALUE"""),"item_asset")</f>
        <v>item_asset</v>
      </c>
      <c r="E1864" s="148">
        <f>IFERROR(__xludf.DUMMYFUNCTION("""COMPUTED_VALUE"""),0.0)</f>
        <v>0</v>
      </c>
      <c r="F1864" s="148">
        <f>IFERROR(__xludf.DUMMYFUNCTION("""COMPUTED_VALUE"""),0.0)</f>
        <v>0</v>
      </c>
      <c r="G1864" s="148">
        <f>IFERROR(__xludf.DUMMYFUNCTION("""COMPUTED_VALUE"""),1.51104374E8)</f>
        <v>151104374</v>
      </c>
      <c r="H1864" s="148">
        <f>IFERROR(__xludf.DUMMYFUNCTION("""COMPUTED_VALUE"""),1.5112564E7)</f>
        <v>15112564</v>
      </c>
      <c r="I1864" s="148" t="str">
        <f>IFERROR(__xludf.DUMMYFUNCTION("""COMPUTED_VALUE"""),"{}")</f>
        <v>{}</v>
      </c>
      <c r="J1864" s="148" t="str">
        <f>IFERROR(__xludf.DUMMYFUNCTION("""COMPUTED_VALUE"""),"{""typ"":""lc"",""txt"":""LC_ITEM_easter_egg_name_2""}")</f>
        <v>{"typ":"lc","txt":"LC_ITEM_easter_egg_name_2"}</v>
      </c>
      <c r="K1864" s="148" t="str">
        <f>IFERROR(__xludf.DUMMYFUNCTION("""COMPUTED_VALUE"""),"{}")</f>
        <v>{}</v>
      </c>
      <c r="L1864" s="148" t="str">
        <f>IFERROR(__xludf.DUMMYFUNCTION("""COMPUTED_VALUE"""),"{}")</f>
        <v>{}</v>
      </c>
      <c r="M1864" s="148">
        <f>IFERROR(__xludf.DUMMYFUNCTION("""COMPUTED_VALUE"""),100.0)</f>
        <v>100</v>
      </c>
      <c r="N1864" s="148">
        <f>IFERROR(__xludf.DUMMYFUNCTION("""COMPUTED_VALUE"""),999999.0)</f>
        <v>999999</v>
      </c>
      <c r="O1864" s="148">
        <f>IFERROR(__xludf.DUMMYFUNCTION("""COMPUTED_VALUE"""),99999.0)</f>
        <v>99999</v>
      </c>
      <c r="P1864" s="148">
        <f>IFERROR(__xludf.DUMMYFUNCTION("""COMPUTED_VALUE"""),99999.0)</f>
        <v>99999</v>
      </c>
      <c r="Q1864" s="148" t="str">
        <f>IFERROR(__xludf.DUMMYFUNCTION("""COMPUTED_VALUE"""),"[]")</f>
        <v>[]</v>
      </c>
      <c r="R1864" s="148" t="str">
        <f>IFERROR(__xludf.DUMMYFUNCTION("""COMPUTED_VALUE"""),"[]")</f>
        <v>[]</v>
      </c>
      <c r="S1864" s="148" t="str">
        <f>IFERROR(__xludf.DUMMYFUNCTION("""COMPUTED_VALUE"""),"{}")</f>
        <v>{}</v>
      </c>
      <c r="T1864" s="148">
        <f>IFERROR(__xludf.DUMMYFUNCTION("""COMPUTED_VALUE"""),-1.0)</f>
        <v>-1</v>
      </c>
      <c r="U1864" s="148">
        <f>IFERROR(__xludf.DUMMYFUNCTION("""COMPUTED_VALUE"""),0.0)</f>
        <v>0</v>
      </c>
      <c r="V1864" s="148" t="str">
        <f>IFERROR(__xludf.DUMMYFUNCTION("""COMPUTED_VALUE"""),"[]")</f>
        <v>[]</v>
      </c>
      <c r="W1864" s="148">
        <f>IFERROR(__xludf.DUMMYFUNCTION("""COMPUTED_VALUE"""),1.174E7)</f>
        <v>11740000</v>
      </c>
      <c r="X1864" s="148">
        <f>IFERROR(__xludf.DUMMYFUNCTION("""COMPUTED_VALUE"""),0.0)</f>
        <v>0</v>
      </c>
      <c r="Y1864" s="148">
        <f>IFERROR(__xludf.DUMMYFUNCTION("""COMPUTED_VALUE"""),0.0)</f>
        <v>0</v>
      </c>
      <c r="Z1864" s="148"/>
    </row>
    <row r="1865">
      <c r="A1865" s="148">
        <f>IFERROR(__xludf.DUMMYFUNCTION("""COMPUTED_VALUE"""),1.1117603E7)</f>
        <v>11117603</v>
      </c>
      <c r="B1865" s="148" t="str">
        <f>IFERROR(__xludf.DUMMYFUNCTION("""COMPUTED_VALUE"""),"复活节彩蛋3")</f>
        <v>复活节彩蛋3</v>
      </c>
      <c r="C1865" s="148"/>
      <c r="D1865" s="148" t="str">
        <f>IFERROR(__xludf.DUMMYFUNCTION("""COMPUTED_VALUE"""),"item_asset")</f>
        <v>item_asset</v>
      </c>
      <c r="E1865" s="148">
        <f>IFERROR(__xludf.DUMMYFUNCTION("""COMPUTED_VALUE"""),0.0)</f>
        <v>0</v>
      </c>
      <c r="F1865" s="148">
        <f>IFERROR(__xludf.DUMMYFUNCTION("""COMPUTED_VALUE"""),0.0)</f>
        <v>0</v>
      </c>
      <c r="G1865" s="148">
        <f>IFERROR(__xludf.DUMMYFUNCTION("""COMPUTED_VALUE"""),1.51104375E8)</f>
        <v>151104375</v>
      </c>
      <c r="H1865" s="148">
        <f>IFERROR(__xludf.DUMMYFUNCTION("""COMPUTED_VALUE"""),1.5112564E7)</f>
        <v>15112564</v>
      </c>
      <c r="I1865" s="148" t="str">
        <f>IFERROR(__xludf.DUMMYFUNCTION("""COMPUTED_VALUE"""),"{}")</f>
        <v>{}</v>
      </c>
      <c r="J1865" s="148" t="str">
        <f>IFERROR(__xludf.DUMMYFUNCTION("""COMPUTED_VALUE"""),"{""typ"":""lc"",""txt"":""LC_ITEM_easter_egg_name_3""}")</f>
        <v>{"typ":"lc","txt":"LC_ITEM_easter_egg_name_3"}</v>
      </c>
      <c r="K1865" s="148" t="str">
        <f>IFERROR(__xludf.DUMMYFUNCTION("""COMPUTED_VALUE"""),"{}")</f>
        <v>{}</v>
      </c>
      <c r="L1865" s="148" t="str">
        <f>IFERROR(__xludf.DUMMYFUNCTION("""COMPUTED_VALUE"""),"{}")</f>
        <v>{}</v>
      </c>
      <c r="M1865" s="148">
        <f>IFERROR(__xludf.DUMMYFUNCTION("""COMPUTED_VALUE"""),100.0)</f>
        <v>100</v>
      </c>
      <c r="N1865" s="148">
        <f>IFERROR(__xludf.DUMMYFUNCTION("""COMPUTED_VALUE"""),999999.0)</f>
        <v>999999</v>
      </c>
      <c r="O1865" s="148">
        <f>IFERROR(__xludf.DUMMYFUNCTION("""COMPUTED_VALUE"""),99999.0)</f>
        <v>99999</v>
      </c>
      <c r="P1865" s="148">
        <f>IFERROR(__xludf.DUMMYFUNCTION("""COMPUTED_VALUE"""),99999.0)</f>
        <v>99999</v>
      </c>
      <c r="Q1865" s="148" t="str">
        <f>IFERROR(__xludf.DUMMYFUNCTION("""COMPUTED_VALUE"""),"[]")</f>
        <v>[]</v>
      </c>
      <c r="R1865" s="148" t="str">
        <f>IFERROR(__xludf.DUMMYFUNCTION("""COMPUTED_VALUE"""),"[]")</f>
        <v>[]</v>
      </c>
      <c r="S1865" s="148" t="str">
        <f>IFERROR(__xludf.DUMMYFUNCTION("""COMPUTED_VALUE"""),"{}")</f>
        <v>{}</v>
      </c>
      <c r="T1865" s="148">
        <f>IFERROR(__xludf.DUMMYFUNCTION("""COMPUTED_VALUE"""),-1.0)</f>
        <v>-1</v>
      </c>
      <c r="U1865" s="148">
        <f>IFERROR(__xludf.DUMMYFUNCTION("""COMPUTED_VALUE"""),0.0)</f>
        <v>0</v>
      </c>
      <c r="V1865" s="148" t="str">
        <f>IFERROR(__xludf.DUMMYFUNCTION("""COMPUTED_VALUE"""),"[]")</f>
        <v>[]</v>
      </c>
      <c r="W1865" s="148">
        <f>IFERROR(__xludf.DUMMYFUNCTION("""COMPUTED_VALUE"""),1.174E7)</f>
        <v>11740000</v>
      </c>
      <c r="X1865" s="148">
        <f>IFERROR(__xludf.DUMMYFUNCTION("""COMPUTED_VALUE"""),0.0)</f>
        <v>0</v>
      </c>
      <c r="Y1865" s="148">
        <f>IFERROR(__xludf.DUMMYFUNCTION("""COMPUTED_VALUE"""),0.0)</f>
        <v>0</v>
      </c>
      <c r="Z1865" s="148"/>
    </row>
    <row r="1866">
      <c r="A1866" s="148">
        <f>IFERROR(__xludf.DUMMYFUNCTION("""COMPUTED_VALUE"""),1.1117604E7)</f>
        <v>11117604</v>
      </c>
      <c r="B1866" s="148" t="str">
        <f>IFERROR(__xludf.DUMMYFUNCTION("""COMPUTED_VALUE"""),"复活节彩蛋4")</f>
        <v>复活节彩蛋4</v>
      </c>
      <c r="C1866" s="148"/>
      <c r="D1866" s="148" t="str">
        <f>IFERROR(__xludf.DUMMYFUNCTION("""COMPUTED_VALUE"""),"item_asset")</f>
        <v>item_asset</v>
      </c>
      <c r="E1866" s="148">
        <f>IFERROR(__xludf.DUMMYFUNCTION("""COMPUTED_VALUE"""),0.0)</f>
        <v>0</v>
      </c>
      <c r="F1866" s="148">
        <f>IFERROR(__xludf.DUMMYFUNCTION("""COMPUTED_VALUE"""),0.0)</f>
        <v>0</v>
      </c>
      <c r="G1866" s="148">
        <f>IFERROR(__xludf.DUMMYFUNCTION("""COMPUTED_VALUE"""),1.51104376E8)</f>
        <v>151104376</v>
      </c>
      <c r="H1866" s="148">
        <f>IFERROR(__xludf.DUMMYFUNCTION("""COMPUTED_VALUE"""),1.5112564E7)</f>
        <v>15112564</v>
      </c>
      <c r="I1866" s="148" t="str">
        <f>IFERROR(__xludf.DUMMYFUNCTION("""COMPUTED_VALUE"""),"{}")</f>
        <v>{}</v>
      </c>
      <c r="J1866" s="148" t="str">
        <f>IFERROR(__xludf.DUMMYFUNCTION("""COMPUTED_VALUE"""),"{""typ"":""lc"",""txt"":""LC_ITEM_easter_egg_name_4""}")</f>
        <v>{"typ":"lc","txt":"LC_ITEM_easter_egg_name_4"}</v>
      </c>
      <c r="K1866" s="148" t="str">
        <f>IFERROR(__xludf.DUMMYFUNCTION("""COMPUTED_VALUE"""),"{}")</f>
        <v>{}</v>
      </c>
      <c r="L1866" s="148" t="str">
        <f>IFERROR(__xludf.DUMMYFUNCTION("""COMPUTED_VALUE"""),"{}")</f>
        <v>{}</v>
      </c>
      <c r="M1866" s="148">
        <f>IFERROR(__xludf.DUMMYFUNCTION("""COMPUTED_VALUE"""),100.0)</f>
        <v>100</v>
      </c>
      <c r="N1866" s="148">
        <f>IFERROR(__xludf.DUMMYFUNCTION("""COMPUTED_VALUE"""),999999.0)</f>
        <v>999999</v>
      </c>
      <c r="O1866" s="148">
        <f>IFERROR(__xludf.DUMMYFUNCTION("""COMPUTED_VALUE"""),99999.0)</f>
        <v>99999</v>
      </c>
      <c r="P1866" s="148">
        <f>IFERROR(__xludf.DUMMYFUNCTION("""COMPUTED_VALUE"""),99999.0)</f>
        <v>99999</v>
      </c>
      <c r="Q1866" s="148" t="str">
        <f>IFERROR(__xludf.DUMMYFUNCTION("""COMPUTED_VALUE"""),"[]")</f>
        <v>[]</v>
      </c>
      <c r="R1866" s="148" t="str">
        <f>IFERROR(__xludf.DUMMYFUNCTION("""COMPUTED_VALUE"""),"[]")</f>
        <v>[]</v>
      </c>
      <c r="S1866" s="148" t="str">
        <f>IFERROR(__xludf.DUMMYFUNCTION("""COMPUTED_VALUE"""),"{}")</f>
        <v>{}</v>
      </c>
      <c r="T1866" s="148">
        <f>IFERROR(__xludf.DUMMYFUNCTION("""COMPUTED_VALUE"""),-1.0)</f>
        <v>-1</v>
      </c>
      <c r="U1866" s="148">
        <f>IFERROR(__xludf.DUMMYFUNCTION("""COMPUTED_VALUE"""),0.0)</f>
        <v>0</v>
      </c>
      <c r="V1866" s="148" t="str">
        <f>IFERROR(__xludf.DUMMYFUNCTION("""COMPUTED_VALUE"""),"[]")</f>
        <v>[]</v>
      </c>
      <c r="W1866" s="148">
        <f>IFERROR(__xludf.DUMMYFUNCTION("""COMPUTED_VALUE"""),1.174E7)</f>
        <v>11740000</v>
      </c>
      <c r="X1866" s="148">
        <f>IFERROR(__xludf.DUMMYFUNCTION("""COMPUTED_VALUE"""),0.0)</f>
        <v>0</v>
      </c>
      <c r="Y1866" s="148">
        <f>IFERROR(__xludf.DUMMYFUNCTION("""COMPUTED_VALUE"""),0.0)</f>
        <v>0</v>
      </c>
      <c r="Z1866" s="148"/>
    </row>
    <row r="1867">
      <c r="A1867" s="148">
        <f>IFERROR(__xludf.DUMMYFUNCTION("""COMPUTED_VALUE"""),1.1117605E7)</f>
        <v>11117605</v>
      </c>
      <c r="B1867" s="148" t="str">
        <f>IFERROR(__xludf.DUMMYFUNCTION("""COMPUTED_VALUE"""),"复活节彩蛋5")</f>
        <v>复活节彩蛋5</v>
      </c>
      <c r="C1867" s="148"/>
      <c r="D1867" s="148" t="str">
        <f>IFERROR(__xludf.DUMMYFUNCTION("""COMPUTED_VALUE"""),"item_asset")</f>
        <v>item_asset</v>
      </c>
      <c r="E1867" s="148">
        <f>IFERROR(__xludf.DUMMYFUNCTION("""COMPUTED_VALUE"""),0.0)</f>
        <v>0</v>
      </c>
      <c r="F1867" s="148">
        <f>IFERROR(__xludf.DUMMYFUNCTION("""COMPUTED_VALUE"""),0.0)</f>
        <v>0</v>
      </c>
      <c r="G1867" s="148">
        <f>IFERROR(__xludf.DUMMYFUNCTION("""COMPUTED_VALUE"""),1.51104377E8)</f>
        <v>151104377</v>
      </c>
      <c r="H1867" s="148">
        <f>IFERROR(__xludf.DUMMYFUNCTION("""COMPUTED_VALUE"""),1.5112564E7)</f>
        <v>15112564</v>
      </c>
      <c r="I1867" s="148" t="str">
        <f>IFERROR(__xludf.DUMMYFUNCTION("""COMPUTED_VALUE"""),"{}")</f>
        <v>{}</v>
      </c>
      <c r="J1867" s="148" t="str">
        <f>IFERROR(__xludf.DUMMYFUNCTION("""COMPUTED_VALUE"""),"{""typ"":""lc"",""txt"":""LC_ITEM_easter_egg_name_5""}")</f>
        <v>{"typ":"lc","txt":"LC_ITEM_easter_egg_name_5"}</v>
      </c>
      <c r="K1867" s="148" t="str">
        <f>IFERROR(__xludf.DUMMYFUNCTION("""COMPUTED_VALUE"""),"{}")</f>
        <v>{}</v>
      </c>
      <c r="L1867" s="148" t="str">
        <f>IFERROR(__xludf.DUMMYFUNCTION("""COMPUTED_VALUE"""),"{}")</f>
        <v>{}</v>
      </c>
      <c r="M1867" s="148">
        <f>IFERROR(__xludf.DUMMYFUNCTION("""COMPUTED_VALUE"""),100.0)</f>
        <v>100</v>
      </c>
      <c r="N1867" s="148">
        <f>IFERROR(__xludf.DUMMYFUNCTION("""COMPUTED_VALUE"""),999999.0)</f>
        <v>999999</v>
      </c>
      <c r="O1867" s="148">
        <f>IFERROR(__xludf.DUMMYFUNCTION("""COMPUTED_VALUE"""),99999.0)</f>
        <v>99999</v>
      </c>
      <c r="P1867" s="148">
        <f>IFERROR(__xludf.DUMMYFUNCTION("""COMPUTED_VALUE"""),99999.0)</f>
        <v>99999</v>
      </c>
      <c r="Q1867" s="148" t="str">
        <f>IFERROR(__xludf.DUMMYFUNCTION("""COMPUTED_VALUE"""),"[]")</f>
        <v>[]</v>
      </c>
      <c r="R1867" s="148" t="str">
        <f>IFERROR(__xludf.DUMMYFUNCTION("""COMPUTED_VALUE"""),"[]")</f>
        <v>[]</v>
      </c>
      <c r="S1867" s="148" t="str">
        <f>IFERROR(__xludf.DUMMYFUNCTION("""COMPUTED_VALUE"""),"{}")</f>
        <v>{}</v>
      </c>
      <c r="T1867" s="148">
        <f>IFERROR(__xludf.DUMMYFUNCTION("""COMPUTED_VALUE"""),-1.0)</f>
        <v>-1</v>
      </c>
      <c r="U1867" s="148">
        <f>IFERROR(__xludf.DUMMYFUNCTION("""COMPUTED_VALUE"""),0.0)</f>
        <v>0</v>
      </c>
      <c r="V1867" s="148" t="str">
        <f>IFERROR(__xludf.DUMMYFUNCTION("""COMPUTED_VALUE"""),"[]")</f>
        <v>[]</v>
      </c>
      <c r="W1867" s="148">
        <f>IFERROR(__xludf.DUMMYFUNCTION("""COMPUTED_VALUE"""),1.174E7)</f>
        <v>11740000</v>
      </c>
      <c r="X1867" s="148">
        <f>IFERROR(__xludf.DUMMYFUNCTION("""COMPUTED_VALUE"""),0.0)</f>
        <v>0</v>
      </c>
      <c r="Y1867" s="148">
        <f>IFERROR(__xludf.DUMMYFUNCTION("""COMPUTED_VALUE"""),0.0)</f>
        <v>0</v>
      </c>
      <c r="Z1867" s="148"/>
    </row>
    <row r="1868">
      <c r="A1868" s="148">
        <f>IFERROR(__xludf.DUMMYFUNCTION("""COMPUTED_VALUE"""),1.1117606E7)</f>
        <v>11117606</v>
      </c>
      <c r="B1868" s="148" t="str">
        <f>IFERROR(__xludf.DUMMYFUNCTION("""COMPUTED_VALUE"""),"复活节彩蛋6")</f>
        <v>复活节彩蛋6</v>
      </c>
      <c r="C1868" s="148"/>
      <c r="D1868" s="148" t="str">
        <f>IFERROR(__xludf.DUMMYFUNCTION("""COMPUTED_VALUE"""),"item_asset")</f>
        <v>item_asset</v>
      </c>
      <c r="E1868" s="148">
        <f>IFERROR(__xludf.DUMMYFUNCTION("""COMPUTED_VALUE"""),0.0)</f>
        <v>0</v>
      </c>
      <c r="F1868" s="148">
        <f>IFERROR(__xludf.DUMMYFUNCTION("""COMPUTED_VALUE"""),0.0)</f>
        <v>0</v>
      </c>
      <c r="G1868" s="148">
        <f>IFERROR(__xludf.DUMMYFUNCTION("""COMPUTED_VALUE"""),1.51104378E8)</f>
        <v>151104378</v>
      </c>
      <c r="H1868" s="148">
        <f>IFERROR(__xludf.DUMMYFUNCTION("""COMPUTED_VALUE"""),1.5112564E7)</f>
        <v>15112564</v>
      </c>
      <c r="I1868" s="148" t="str">
        <f>IFERROR(__xludf.DUMMYFUNCTION("""COMPUTED_VALUE"""),"{}")</f>
        <v>{}</v>
      </c>
      <c r="J1868" s="148" t="str">
        <f>IFERROR(__xludf.DUMMYFUNCTION("""COMPUTED_VALUE"""),"{""typ"":""lc"",""txt"":""LC_ITEM_easter_egg_name_6""}")</f>
        <v>{"typ":"lc","txt":"LC_ITEM_easter_egg_name_6"}</v>
      </c>
      <c r="K1868" s="148" t="str">
        <f>IFERROR(__xludf.DUMMYFUNCTION("""COMPUTED_VALUE"""),"{}")</f>
        <v>{}</v>
      </c>
      <c r="L1868" s="148" t="str">
        <f>IFERROR(__xludf.DUMMYFUNCTION("""COMPUTED_VALUE"""),"{}")</f>
        <v>{}</v>
      </c>
      <c r="M1868" s="148">
        <f>IFERROR(__xludf.DUMMYFUNCTION("""COMPUTED_VALUE"""),100.0)</f>
        <v>100</v>
      </c>
      <c r="N1868" s="148">
        <f>IFERROR(__xludf.DUMMYFUNCTION("""COMPUTED_VALUE"""),999999.0)</f>
        <v>999999</v>
      </c>
      <c r="O1868" s="148">
        <f>IFERROR(__xludf.DUMMYFUNCTION("""COMPUTED_VALUE"""),99999.0)</f>
        <v>99999</v>
      </c>
      <c r="P1868" s="148">
        <f>IFERROR(__xludf.DUMMYFUNCTION("""COMPUTED_VALUE"""),99999.0)</f>
        <v>99999</v>
      </c>
      <c r="Q1868" s="148" t="str">
        <f>IFERROR(__xludf.DUMMYFUNCTION("""COMPUTED_VALUE"""),"[]")</f>
        <v>[]</v>
      </c>
      <c r="R1868" s="148" t="str">
        <f>IFERROR(__xludf.DUMMYFUNCTION("""COMPUTED_VALUE"""),"[]")</f>
        <v>[]</v>
      </c>
      <c r="S1868" s="148" t="str">
        <f>IFERROR(__xludf.DUMMYFUNCTION("""COMPUTED_VALUE"""),"{}")</f>
        <v>{}</v>
      </c>
      <c r="T1868" s="148">
        <f>IFERROR(__xludf.DUMMYFUNCTION("""COMPUTED_VALUE"""),-1.0)</f>
        <v>-1</v>
      </c>
      <c r="U1868" s="148">
        <f>IFERROR(__xludf.DUMMYFUNCTION("""COMPUTED_VALUE"""),0.0)</f>
        <v>0</v>
      </c>
      <c r="V1868" s="148" t="str">
        <f>IFERROR(__xludf.DUMMYFUNCTION("""COMPUTED_VALUE"""),"[]")</f>
        <v>[]</v>
      </c>
      <c r="W1868" s="148">
        <f>IFERROR(__xludf.DUMMYFUNCTION("""COMPUTED_VALUE"""),1.174E7)</f>
        <v>11740000</v>
      </c>
      <c r="X1868" s="148">
        <f>IFERROR(__xludf.DUMMYFUNCTION("""COMPUTED_VALUE"""),0.0)</f>
        <v>0</v>
      </c>
      <c r="Y1868" s="148">
        <f>IFERROR(__xludf.DUMMYFUNCTION("""COMPUTED_VALUE"""),0.0)</f>
        <v>0</v>
      </c>
      <c r="Z1868" s="148"/>
    </row>
    <row r="1869">
      <c r="A1869" s="148">
        <f>IFERROR(__xludf.DUMMYFUNCTION("""COMPUTED_VALUE"""),1.1117607E7)</f>
        <v>11117607</v>
      </c>
      <c r="B1869" s="148" t="str">
        <f>IFERROR(__xludf.DUMMYFUNCTION("""COMPUTED_VALUE"""),"复活节彩蛋7")</f>
        <v>复活节彩蛋7</v>
      </c>
      <c r="C1869" s="148"/>
      <c r="D1869" s="148" t="str">
        <f>IFERROR(__xludf.DUMMYFUNCTION("""COMPUTED_VALUE"""),"item_asset")</f>
        <v>item_asset</v>
      </c>
      <c r="E1869" s="148">
        <f>IFERROR(__xludf.DUMMYFUNCTION("""COMPUTED_VALUE"""),0.0)</f>
        <v>0</v>
      </c>
      <c r="F1869" s="148">
        <f>IFERROR(__xludf.DUMMYFUNCTION("""COMPUTED_VALUE"""),0.0)</f>
        <v>0</v>
      </c>
      <c r="G1869" s="148">
        <f>IFERROR(__xludf.DUMMYFUNCTION("""COMPUTED_VALUE"""),1.51104379E8)</f>
        <v>151104379</v>
      </c>
      <c r="H1869" s="148">
        <f>IFERROR(__xludf.DUMMYFUNCTION("""COMPUTED_VALUE"""),1.5112564E7)</f>
        <v>15112564</v>
      </c>
      <c r="I1869" s="148" t="str">
        <f>IFERROR(__xludf.DUMMYFUNCTION("""COMPUTED_VALUE"""),"{}")</f>
        <v>{}</v>
      </c>
      <c r="J1869" s="148" t="str">
        <f>IFERROR(__xludf.DUMMYFUNCTION("""COMPUTED_VALUE"""),"{""typ"":""lc"",""txt"":""LC_ITEM_easter_egg_name_7""}")</f>
        <v>{"typ":"lc","txt":"LC_ITEM_easter_egg_name_7"}</v>
      </c>
      <c r="K1869" s="148" t="str">
        <f>IFERROR(__xludf.DUMMYFUNCTION("""COMPUTED_VALUE"""),"{}")</f>
        <v>{}</v>
      </c>
      <c r="L1869" s="148" t="str">
        <f>IFERROR(__xludf.DUMMYFUNCTION("""COMPUTED_VALUE"""),"{}")</f>
        <v>{}</v>
      </c>
      <c r="M1869" s="148">
        <f>IFERROR(__xludf.DUMMYFUNCTION("""COMPUTED_VALUE"""),100.0)</f>
        <v>100</v>
      </c>
      <c r="N1869" s="148">
        <f>IFERROR(__xludf.DUMMYFUNCTION("""COMPUTED_VALUE"""),999999.0)</f>
        <v>999999</v>
      </c>
      <c r="O1869" s="148">
        <f>IFERROR(__xludf.DUMMYFUNCTION("""COMPUTED_VALUE"""),99999.0)</f>
        <v>99999</v>
      </c>
      <c r="P1869" s="148">
        <f>IFERROR(__xludf.DUMMYFUNCTION("""COMPUTED_VALUE"""),99999.0)</f>
        <v>99999</v>
      </c>
      <c r="Q1869" s="148" t="str">
        <f>IFERROR(__xludf.DUMMYFUNCTION("""COMPUTED_VALUE"""),"[]")</f>
        <v>[]</v>
      </c>
      <c r="R1869" s="148" t="str">
        <f>IFERROR(__xludf.DUMMYFUNCTION("""COMPUTED_VALUE"""),"[]")</f>
        <v>[]</v>
      </c>
      <c r="S1869" s="148" t="str">
        <f>IFERROR(__xludf.DUMMYFUNCTION("""COMPUTED_VALUE"""),"{}")</f>
        <v>{}</v>
      </c>
      <c r="T1869" s="148">
        <f>IFERROR(__xludf.DUMMYFUNCTION("""COMPUTED_VALUE"""),-1.0)</f>
        <v>-1</v>
      </c>
      <c r="U1869" s="148">
        <f>IFERROR(__xludf.DUMMYFUNCTION("""COMPUTED_VALUE"""),0.0)</f>
        <v>0</v>
      </c>
      <c r="V1869" s="148" t="str">
        <f>IFERROR(__xludf.DUMMYFUNCTION("""COMPUTED_VALUE"""),"[]")</f>
        <v>[]</v>
      </c>
      <c r="W1869" s="148">
        <f>IFERROR(__xludf.DUMMYFUNCTION("""COMPUTED_VALUE"""),1.174E7)</f>
        <v>11740000</v>
      </c>
      <c r="X1869" s="148">
        <f>IFERROR(__xludf.DUMMYFUNCTION("""COMPUTED_VALUE"""),0.0)</f>
        <v>0</v>
      </c>
      <c r="Y1869" s="148">
        <f>IFERROR(__xludf.DUMMYFUNCTION("""COMPUTED_VALUE"""),0.0)</f>
        <v>0</v>
      </c>
      <c r="Z1869" s="148"/>
    </row>
    <row r="1870">
      <c r="A1870" s="148">
        <f>IFERROR(__xludf.DUMMYFUNCTION("""COMPUTED_VALUE"""),1.1117608E7)</f>
        <v>11117608</v>
      </c>
      <c r="B1870" s="148" t="str">
        <f>IFERROR(__xludf.DUMMYFUNCTION("""COMPUTED_VALUE"""),"复活节彩蛋8")</f>
        <v>复活节彩蛋8</v>
      </c>
      <c r="C1870" s="148"/>
      <c r="D1870" s="148" t="str">
        <f>IFERROR(__xludf.DUMMYFUNCTION("""COMPUTED_VALUE"""),"item_asset")</f>
        <v>item_asset</v>
      </c>
      <c r="E1870" s="148">
        <f>IFERROR(__xludf.DUMMYFUNCTION("""COMPUTED_VALUE"""),0.0)</f>
        <v>0</v>
      </c>
      <c r="F1870" s="148">
        <f>IFERROR(__xludf.DUMMYFUNCTION("""COMPUTED_VALUE"""),0.0)</f>
        <v>0</v>
      </c>
      <c r="G1870" s="148">
        <f>IFERROR(__xludf.DUMMYFUNCTION("""COMPUTED_VALUE"""),1.5110438E8)</f>
        <v>151104380</v>
      </c>
      <c r="H1870" s="148">
        <f>IFERROR(__xludf.DUMMYFUNCTION("""COMPUTED_VALUE"""),1.5112564E7)</f>
        <v>15112564</v>
      </c>
      <c r="I1870" s="148" t="str">
        <f>IFERROR(__xludf.DUMMYFUNCTION("""COMPUTED_VALUE"""),"{}")</f>
        <v>{}</v>
      </c>
      <c r="J1870" s="148" t="str">
        <f>IFERROR(__xludf.DUMMYFUNCTION("""COMPUTED_VALUE"""),"{""typ"":""lc"",""txt"":""LC_ITEM_easter_egg_name_8""}")</f>
        <v>{"typ":"lc","txt":"LC_ITEM_easter_egg_name_8"}</v>
      </c>
      <c r="K1870" s="148" t="str">
        <f>IFERROR(__xludf.DUMMYFUNCTION("""COMPUTED_VALUE"""),"{}")</f>
        <v>{}</v>
      </c>
      <c r="L1870" s="148" t="str">
        <f>IFERROR(__xludf.DUMMYFUNCTION("""COMPUTED_VALUE"""),"{}")</f>
        <v>{}</v>
      </c>
      <c r="M1870" s="148">
        <f>IFERROR(__xludf.DUMMYFUNCTION("""COMPUTED_VALUE"""),100.0)</f>
        <v>100</v>
      </c>
      <c r="N1870" s="148">
        <f>IFERROR(__xludf.DUMMYFUNCTION("""COMPUTED_VALUE"""),999999.0)</f>
        <v>999999</v>
      </c>
      <c r="O1870" s="148">
        <f>IFERROR(__xludf.DUMMYFUNCTION("""COMPUTED_VALUE"""),99999.0)</f>
        <v>99999</v>
      </c>
      <c r="P1870" s="148">
        <f>IFERROR(__xludf.DUMMYFUNCTION("""COMPUTED_VALUE"""),99999.0)</f>
        <v>99999</v>
      </c>
      <c r="Q1870" s="148" t="str">
        <f>IFERROR(__xludf.DUMMYFUNCTION("""COMPUTED_VALUE"""),"[]")</f>
        <v>[]</v>
      </c>
      <c r="R1870" s="148" t="str">
        <f>IFERROR(__xludf.DUMMYFUNCTION("""COMPUTED_VALUE"""),"[]")</f>
        <v>[]</v>
      </c>
      <c r="S1870" s="148" t="str">
        <f>IFERROR(__xludf.DUMMYFUNCTION("""COMPUTED_VALUE"""),"{}")</f>
        <v>{}</v>
      </c>
      <c r="T1870" s="148">
        <f>IFERROR(__xludf.DUMMYFUNCTION("""COMPUTED_VALUE"""),-1.0)</f>
        <v>-1</v>
      </c>
      <c r="U1870" s="148">
        <f>IFERROR(__xludf.DUMMYFUNCTION("""COMPUTED_VALUE"""),0.0)</f>
        <v>0</v>
      </c>
      <c r="V1870" s="148" t="str">
        <f>IFERROR(__xludf.DUMMYFUNCTION("""COMPUTED_VALUE"""),"[]")</f>
        <v>[]</v>
      </c>
      <c r="W1870" s="148">
        <f>IFERROR(__xludf.DUMMYFUNCTION("""COMPUTED_VALUE"""),1.174E7)</f>
        <v>11740000</v>
      </c>
      <c r="X1870" s="148">
        <f>IFERROR(__xludf.DUMMYFUNCTION("""COMPUTED_VALUE"""),0.0)</f>
        <v>0</v>
      </c>
      <c r="Y1870" s="148">
        <f>IFERROR(__xludf.DUMMYFUNCTION("""COMPUTED_VALUE"""),0.0)</f>
        <v>0</v>
      </c>
      <c r="Z1870" s="148"/>
    </row>
    <row r="1871">
      <c r="A1871" s="148">
        <f>IFERROR(__xludf.DUMMYFUNCTION("""COMPUTED_VALUE"""),1.1117609E7)</f>
        <v>11117609</v>
      </c>
      <c r="B1871" s="148" t="str">
        <f>IFERROR(__xludf.DUMMYFUNCTION("""COMPUTED_VALUE"""),"复活节彩蛋9")</f>
        <v>复活节彩蛋9</v>
      </c>
      <c r="C1871" s="148"/>
      <c r="D1871" s="148" t="str">
        <f>IFERROR(__xludf.DUMMYFUNCTION("""COMPUTED_VALUE"""),"item_asset")</f>
        <v>item_asset</v>
      </c>
      <c r="E1871" s="148">
        <f>IFERROR(__xludf.DUMMYFUNCTION("""COMPUTED_VALUE"""),0.0)</f>
        <v>0</v>
      </c>
      <c r="F1871" s="148">
        <f>IFERROR(__xludf.DUMMYFUNCTION("""COMPUTED_VALUE"""),0.0)</f>
        <v>0</v>
      </c>
      <c r="G1871" s="148">
        <f>IFERROR(__xludf.DUMMYFUNCTION("""COMPUTED_VALUE"""),1.51104381E8)</f>
        <v>151104381</v>
      </c>
      <c r="H1871" s="148">
        <f>IFERROR(__xludf.DUMMYFUNCTION("""COMPUTED_VALUE"""),1.5112564E7)</f>
        <v>15112564</v>
      </c>
      <c r="I1871" s="148" t="str">
        <f>IFERROR(__xludf.DUMMYFUNCTION("""COMPUTED_VALUE"""),"{}")</f>
        <v>{}</v>
      </c>
      <c r="J1871" s="148" t="str">
        <f>IFERROR(__xludf.DUMMYFUNCTION("""COMPUTED_VALUE"""),"{""typ"":""lc"",""txt"":""LC_ITEM_easter_egg_name_9""}")</f>
        <v>{"typ":"lc","txt":"LC_ITEM_easter_egg_name_9"}</v>
      </c>
      <c r="K1871" s="148" t="str">
        <f>IFERROR(__xludf.DUMMYFUNCTION("""COMPUTED_VALUE"""),"{}")</f>
        <v>{}</v>
      </c>
      <c r="L1871" s="148" t="str">
        <f>IFERROR(__xludf.DUMMYFUNCTION("""COMPUTED_VALUE"""),"{}")</f>
        <v>{}</v>
      </c>
      <c r="M1871" s="148">
        <f>IFERROR(__xludf.DUMMYFUNCTION("""COMPUTED_VALUE"""),100.0)</f>
        <v>100</v>
      </c>
      <c r="N1871" s="148">
        <f>IFERROR(__xludf.DUMMYFUNCTION("""COMPUTED_VALUE"""),999999.0)</f>
        <v>999999</v>
      </c>
      <c r="O1871" s="148">
        <f>IFERROR(__xludf.DUMMYFUNCTION("""COMPUTED_VALUE"""),99999.0)</f>
        <v>99999</v>
      </c>
      <c r="P1871" s="148">
        <f>IFERROR(__xludf.DUMMYFUNCTION("""COMPUTED_VALUE"""),99999.0)</f>
        <v>99999</v>
      </c>
      <c r="Q1871" s="148" t="str">
        <f>IFERROR(__xludf.DUMMYFUNCTION("""COMPUTED_VALUE"""),"[]")</f>
        <v>[]</v>
      </c>
      <c r="R1871" s="148" t="str">
        <f>IFERROR(__xludf.DUMMYFUNCTION("""COMPUTED_VALUE"""),"[]")</f>
        <v>[]</v>
      </c>
      <c r="S1871" s="148" t="str">
        <f>IFERROR(__xludf.DUMMYFUNCTION("""COMPUTED_VALUE"""),"{}")</f>
        <v>{}</v>
      </c>
      <c r="T1871" s="148">
        <f>IFERROR(__xludf.DUMMYFUNCTION("""COMPUTED_VALUE"""),-1.0)</f>
        <v>-1</v>
      </c>
      <c r="U1871" s="148">
        <f>IFERROR(__xludf.DUMMYFUNCTION("""COMPUTED_VALUE"""),0.0)</f>
        <v>0</v>
      </c>
      <c r="V1871" s="148" t="str">
        <f>IFERROR(__xludf.DUMMYFUNCTION("""COMPUTED_VALUE"""),"[]")</f>
        <v>[]</v>
      </c>
      <c r="W1871" s="148">
        <f>IFERROR(__xludf.DUMMYFUNCTION("""COMPUTED_VALUE"""),1.174E7)</f>
        <v>11740000</v>
      </c>
      <c r="X1871" s="148">
        <f>IFERROR(__xludf.DUMMYFUNCTION("""COMPUTED_VALUE"""),0.0)</f>
        <v>0</v>
      </c>
      <c r="Y1871" s="148">
        <f>IFERROR(__xludf.DUMMYFUNCTION("""COMPUTED_VALUE"""),0.0)</f>
        <v>0</v>
      </c>
      <c r="Z1871" s="148"/>
    </row>
    <row r="1872">
      <c r="A1872" s="148">
        <f>IFERROR(__xludf.DUMMYFUNCTION("""COMPUTED_VALUE"""),1.111761E7)</f>
        <v>11117610</v>
      </c>
      <c r="B1872" s="148" t="str">
        <f>IFERROR(__xludf.DUMMYFUNCTION("""COMPUTED_VALUE"""),"复活节彩蛋10")</f>
        <v>复活节彩蛋10</v>
      </c>
      <c r="C1872" s="148"/>
      <c r="D1872" s="148" t="str">
        <f>IFERROR(__xludf.DUMMYFUNCTION("""COMPUTED_VALUE"""),"item_asset")</f>
        <v>item_asset</v>
      </c>
      <c r="E1872" s="148">
        <f>IFERROR(__xludf.DUMMYFUNCTION("""COMPUTED_VALUE"""),0.0)</f>
        <v>0</v>
      </c>
      <c r="F1872" s="148">
        <f>IFERROR(__xludf.DUMMYFUNCTION("""COMPUTED_VALUE"""),0.0)</f>
        <v>0</v>
      </c>
      <c r="G1872" s="148">
        <f>IFERROR(__xludf.DUMMYFUNCTION("""COMPUTED_VALUE"""),1.51104382E8)</f>
        <v>151104382</v>
      </c>
      <c r="H1872" s="148">
        <f>IFERROR(__xludf.DUMMYFUNCTION("""COMPUTED_VALUE"""),1.5112564E7)</f>
        <v>15112564</v>
      </c>
      <c r="I1872" s="148" t="str">
        <f>IFERROR(__xludf.DUMMYFUNCTION("""COMPUTED_VALUE"""),"{}")</f>
        <v>{}</v>
      </c>
      <c r="J1872" s="148" t="str">
        <f>IFERROR(__xludf.DUMMYFUNCTION("""COMPUTED_VALUE"""),"{""typ"":""lc"",""txt"":""LC_ITEM_easter_egg_name_10""}")</f>
        <v>{"typ":"lc","txt":"LC_ITEM_easter_egg_name_10"}</v>
      </c>
      <c r="K1872" s="148" t="str">
        <f>IFERROR(__xludf.DUMMYFUNCTION("""COMPUTED_VALUE"""),"{}")</f>
        <v>{}</v>
      </c>
      <c r="L1872" s="148" t="str">
        <f>IFERROR(__xludf.DUMMYFUNCTION("""COMPUTED_VALUE"""),"{}")</f>
        <v>{}</v>
      </c>
      <c r="M1872" s="148">
        <f>IFERROR(__xludf.DUMMYFUNCTION("""COMPUTED_VALUE"""),100.0)</f>
        <v>100</v>
      </c>
      <c r="N1872" s="148">
        <f>IFERROR(__xludf.DUMMYFUNCTION("""COMPUTED_VALUE"""),999999.0)</f>
        <v>999999</v>
      </c>
      <c r="O1872" s="148">
        <f>IFERROR(__xludf.DUMMYFUNCTION("""COMPUTED_VALUE"""),99999.0)</f>
        <v>99999</v>
      </c>
      <c r="P1872" s="148">
        <f>IFERROR(__xludf.DUMMYFUNCTION("""COMPUTED_VALUE"""),99999.0)</f>
        <v>99999</v>
      </c>
      <c r="Q1872" s="148" t="str">
        <f>IFERROR(__xludf.DUMMYFUNCTION("""COMPUTED_VALUE"""),"[]")</f>
        <v>[]</v>
      </c>
      <c r="R1872" s="148" t="str">
        <f>IFERROR(__xludf.DUMMYFUNCTION("""COMPUTED_VALUE"""),"[]")</f>
        <v>[]</v>
      </c>
      <c r="S1872" s="148" t="str">
        <f>IFERROR(__xludf.DUMMYFUNCTION("""COMPUTED_VALUE"""),"{}")</f>
        <v>{}</v>
      </c>
      <c r="T1872" s="148">
        <f>IFERROR(__xludf.DUMMYFUNCTION("""COMPUTED_VALUE"""),-1.0)</f>
        <v>-1</v>
      </c>
      <c r="U1872" s="148">
        <f>IFERROR(__xludf.DUMMYFUNCTION("""COMPUTED_VALUE"""),0.0)</f>
        <v>0</v>
      </c>
      <c r="V1872" s="148" t="str">
        <f>IFERROR(__xludf.DUMMYFUNCTION("""COMPUTED_VALUE"""),"[]")</f>
        <v>[]</v>
      </c>
      <c r="W1872" s="148">
        <f>IFERROR(__xludf.DUMMYFUNCTION("""COMPUTED_VALUE"""),1.174E7)</f>
        <v>11740000</v>
      </c>
      <c r="X1872" s="148">
        <f>IFERROR(__xludf.DUMMYFUNCTION("""COMPUTED_VALUE"""),0.0)</f>
        <v>0</v>
      </c>
      <c r="Y1872" s="148">
        <f>IFERROR(__xludf.DUMMYFUNCTION("""COMPUTED_VALUE"""),0.0)</f>
        <v>0</v>
      </c>
      <c r="Z1872" s="148"/>
    </row>
    <row r="1873">
      <c r="A1873" s="148">
        <f>IFERROR(__xludf.DUMMYFUNCTION("""COMPUTED_VALUE"""),1.1117611E7)</f>
        <v>11117611</v>
      </c>
      <c r="B1873" s="148" t="str">
        <f>IFERROR(__xludf.DUMMYFUNCTION("""COMPUTED_VALUE"""),"复活节彩蛋11")</f>
        <v>复活节彩蛋11</v>
      </c>
      <c r="C1873" s="148"/>
      <c r="D1873" s="148" t="str">
        <f>IFERROR(__xludf.DUMMYFUNCTION("""COMPUTED_VALUE"""),"item_asset")</f>
        <v>item_asset</v>
      </c>
      <c r="E1873" s="148">
        <f>IFERROR(__xludf.DUMMYFUNCTION("""COMPUTED_VALUE"""),0.0)</f>
        <v>0</v>
      </c>
      <c r="F1873" s="148">
        <f>IFERROR(__xludf.DUMMYFUNCTION("""COMPUTED_VALUE"""),0.0)</f>
        <v>0</v>
      </c>
      <c r="G1873" s="148">
        <f>IFERROR(__xludf.DUMMYFUNCTION("""COMPUTED_VALUE"""),1.51104383E8)</f>
        <v>151104383</v>
      </c>
      <c r="H1873" s="148">
        <f>IFERROR(__xludf.DUMMYFUNCTION("""COMPUTED_VALUE"""),1.5112564E7)</f>
        <v>15112564</v>
      </c>
      <c r="I1873" s="148" t="str">
        <f>IFERROR(__xludf.DUMMYFUNCTION("""COMPUTED_VALUE"""),"{}")</f>
        <v>{}</v>
      </c>
      <c r="J1873" s="148" t="str">
        <f>IFERROR(__xludf.DUMMYFUNCTION("""COMPUTED_VALUE"""),"{""typ"":""lc"",""txt"":""LC_ITEM_easter_egg_name_11""}")</f>
        <v>{"typ":"lc","txt":"LC_ITEM_easter_egg_name_11"}</v>
      </c>
      <c r="K1873" s="148" t="str">
        <f>IFERROR(__xludf.DUMMYFUNCTION("""COMPUTED_VALUE"""),"{}")</f>
        <v>{}</v>
      </c>
      <c r="L1873" s="148" t="str">
        <f>IFERROR(__xludf.DUMMYFUNCTION("""COMPUTED_VALUE"""),"{}")</f>
        <v>{}</v>
      </c>
      <c r="M1873" s="148">
        <f>IFERROR(__xludf.DUMMYFUNCTION("""COMPUTED_VALUE"""),100.0)</f>
        <v>100</v>
      </c>
      <c r="N1873" s="148">
        <f>IFERROR(__xludf.DUMMYFUNCTION("""COMPUTED_VALUE"""),999999.0)</f>
        <v>999999</v>
      </c>
      <c r="O1873" s="148">
        <f>IFERROR(__xludf.DUMMYFUNCTION("""COMPUTED_VALUE"""),99999.0)</f>
        <v>99999</v>
      </c>
      <c r="P1873" s="148">
        <f>IFERROR(__xludf.DUMMYFUNCTION("""COMPUTED_VALUE"""),99999.0)</f>
        <v>99999</v>
      </c>
      <c r="Q1873" s="148" t="str">
        <f>IFERROR(__xludf.DUMMYFUNCTION("""COMPUTED_VALUE"""),"[]")</f>
        <v>[]</v>
      </c>
      <c r="R1873" s="148" t="str">
        <f>IFERROR(__xludf.DUMMYFUNCTION("""COMPUTED_VALUE"""),"[]")</f>
        <v>[]</v>
      </c>
      <c r="S1873" s="148" t="str">
        <f>IFERROR(__xludf.DUMMYFUNCTION("""COMPUTED_VALUE"""),"{}")</f>
        <v>{}</v>
      </c>
      <c r="T1873" s="148">
        <f>IFERROR(__xludf.DUMMYFUNCTION("""COMPUTED_VALUE"""),-1.0)</f>
        <v>-1</v>
      </c>
      <c r="U1873" s="148">
        <f>IFERROR(__xludf.DUMMYFUNCTION("""COMPUTED_VALUE"""),0.0)</f>
        <v>0</v>
      </c>
      <c r="V1873" s="148" t="str">
        <f>IFERROR(__xludf.DUMMYFUNCTION("""COMPUTED_VALUE"""),"[]")</f>
        <v>[]</v>
      </c>
      <c r="W1873" s="148">
        <f>IFERROR(__xludf.DUMMYFUNCTION("""COMPUTED_VALUE"""),1.174E7)</f>
        <v>11740000</v>
      </c>
      <c r="X1873" s="148">
        <f>IFERROR(__xludf.DUMMYFUNCTION("""COMPUTED_VALUE"""),0.0)</f>
        <v>0</v>
      </c>
      <c r="Y1873" s="148">
        <f>IFERROR(__xludf.DUMMYFUNCTION("""COMPUTED_VALUE"""),0.0)</f>
        <v>0</v>
      </c>
      <c r="Z1873" s="148"/>
    </row>
    <row r="1874">
      <c r="A1874" s="148">
        <f>IFERROR(__xludf.DUMMYFUNCTION("""COMPUTED_VALUE"""),1.1117612E7)</f>
        <v>11117612</v>
      </c>
      <c r="B1874" s="148" t="str">
        <f>IFERROR(__xludf.DUMMYFUNCTION("""COMPUTED_VALUE"""),"复活节彩蛋12")</f>
        <v>复活节彩蛋12</v>
      </c>
      <c r="C1874" s="148"/>
      <c r="D1874" s="148" t="str">
        <f>IFERROR(__xludf.DUMMYFUNCTION("""COMPUTED_VALUE"""),"item_asset")</f>
        <v>item_asset</v>
      </c>
      <c r="E1874" s="148">
        <f>IFERROR(__xludf.DUMMYFUNCTION("""COMPUTED_VALUE"""),0.0)</f>
        <v>0</v>
      </c>
      <c r="F1874" s="148">
        <f>IFERROR(__xludf.DUMMYFUNCTION("""COMPUTED_VALUE"""),0.0)</f>
        <v>0</v>
      </c>
      <c r="G1874" s="148">
        <f>IFERROR(__xludf.DUMMYFUNCTION("""COMPUTED_VALUE"""),1.51104384E8)</f>
        <v>151104384</v>
      </c>
      <c r="H1874" s="148">
        <f>IFERROR(__xludf.DUMMYFUNCTION("""COMPUTED_VALUE"""),1.5112564E7)</f>
        <v>15112564</v>
      </c>
      <c r="I1874" s="148" t="str">
        <f>IFERROR(__xludf.DUMMYFUNCTION("""COMPUTED_VALUE"""),"{}")</f>
        <v>{}</v>
      </c>
      <c r="J1874" s="148" t="str">
        <f>IFERROR(__xludf.DUMMYFUNCTION("""COMPUTED_VALUE"""),"{""typ"":""lc"",""txt"":""LC_ITEM_easter_egg_name_12""}")</f>
        <v>{"typ":"lc","txt":"LC_ITEM_easter_egg_name_12"}</v>
      </c>
      <c r="K1874" s="148" t="str">
        <f>IFERROR(__xludf.DUMMYFUNCTION("""COMPUTED_VALUE"""),"{}")</f>
        <v>{}</v>
      </c>
      <c r="L1874" s="148" t="str">
        <f>IFERROR(__xludf.DUMMYFUNCTION("""COMPUTED_VALUE"""),"{}")</f>
        <v>{}</v>
      </c>
      <c r="M1874" s="148">
        <f>IFERROR(__xludf.DUMMYFUNCTION("""COMPUTED_VALUE"""),100.0)</f>
        <v>100</v>
      </c>
      <c r="N1874" s="148">
        <f>IFERROR(__xludf.DUMMYFUNCTION("""COMPUTED_VALUE"""),999999.0)</f>
        <v>999999</v>
      </c>
      <c r="O1874" s="148">
        <f>IFERROR(__xludf.DUMMYFUNCTION("""COMPUTED_VALUE"""),99999.0)</f>
        <v>99999</v>
      </c>
      <c r="P1874" s="148">
        <f>IFERROR(__xludf.DUMMYFUNCTION("""COMPUTED_VALUE"""),99999.0)</f>
        <v>99999</v>
      </c>
      <c r="Q1874" s="148" t="str">
        <f>IFERROR(__xludf.DUMMYFUNCTION("""COMPUTED_VALUE"""),"[]")</f>
        <v>[]</v>
      </c>
      <c r="R1874" s="148" t="str">
        <f>IFERROR(__xludf.DUMMYFUNCTION("""COMPUTED_VALUE"""),"[]")</f>
        <v>[]</v>
      </c>
      <c r="S1874" s="148" t="str">
        <f>IFERROR(__xludf.DUMMYFUNCTION("""COMPUTED_VALUE"""),"{}")</f>
        <v>{}</v>
      </c>
      <c r="T1874" s="148">
        <f>IFERROR(__xludf.DUMMYFUNCTION("""COMPUTED_VALUE"""),-1.0)</f>
        <v>-1</v>
      </c>
      <c r="U1874" s="148">
        <f>IFERROR(__xludf.DUMMYFUNCTION("""COMPUTED_VALUE"""),0.0)</f>
        <v>0</v>
      </c>
      <c r="V1874" s="148" t="str">
        <f>IFERROR(__xludf.DUMMYFUNCTION("""COMPUTED_VALUE"""),"[]")</f>
        <v>[]</v>
      </c>
      <c r="W1874" s="148">
        <f>IFERROR(__xludf.DUMMYFUNCTION("""COMPUTED_VALUE"""),1.174E7)</f>
        <v>11740000</v>
      </c>
      <c r="X1874" s="148">
        <f>IFERROR(__xludf.DUMMYFUNCTION("""COMPUTED_VALUE"""),0.0)</f>
        <v>0</v>
      </c>
      <c r="Y1874" s="148">
        <f>IFERROR(__xludf.DUMMYFUNCTION("""COMPUTED_VALUE"""),0.0)</f>
        <v>0</v>
      </c>
      <c r="Z1874" s="148"/>
    </row>
    <row r="1875">
      <c r="A1875" s="148">
        <f>IFERROR(__xludf.DUMMYFUNCTION("""COMPUTED_VALUE"""),1.1117613E7)</f>
        <v>11117613</v>
      </c>
      <c r="B1875" s="148" t="str">
        <f>IFERROR(__xludf.DUMMYFUNCTION("""COMPUTED_VALUE"""),"复活节彩蛋13")</f>
        <v>复活节彩蛋13</v>
      </c>
      <c r="C1875" s="148"/>
      <c r="D1875" s="148" t="str">
        <f>IFERROR(__xludf.DUMMYFUNCTION("""COMPUTED_VALUE"""),"item_asset")</f>
        <v>item_asset</v>
      </c>
      <c r="E1875" s="148">
        <f>IFERROR(__xludf.DUMMYFUNCTION("""COMPUTED_VALUE"""),0.0)</f>
        <v>0</v>
      </c>
      <c r="F1875" s="148">
        <f>IFERROR(__xludf.DUMMYFUNCTION("""COMPUTED_VALUE"""),0.0)</f>
        <v>0</v>
      </c>
      <c r="G1875" s="148">
        <f>IFERROR(__xludf.DUMMYFUNCTION("""COMPUTED_VALUE"""),1.51104385E8)</f>
        <v>151104385</v>
      </c>
      <c r="H1875" s="148">
        <f>IFERROR(__xludf.DUMMYFUNCTION("""COMPUTED_VALUE"""),1.5112564E7)</f>
        <v>15112564</v>
      </c>
      <c r="I1875" s="148" t="str">
        <f>IFERROR(__xludf.DUMMYFUNCTION("""COMPUTED_VALUE"""),"{}")</f>
        <v>{}</v>
      </c>
      <c r="J1875" s="148" t="str">
        <f>IFERROR(__xludf.DUMMYFUNCTION("""COMPUTED_VALUE"""),"{""typ"":""lc"",""txt"":""LC_ITEM_easter_egg_name_13""}")</f>
        <v>{"typ":"lc","txt":"LC_ITEM_easter_egg_name_13"}</v>
      </c>
      <c r="K1875" s="148" t="str">
        <f>IFERROR(__xludf.DUMMYFUNCTION("""COMPUTED_VALUE"""),"{}")</f>
        <v>{}</v>
      </c>
      <c r="L1875" s="148" t="str">
        <f>IFERROR(__xludf.DUMMYFUNCTION("""COMPUTED_VALUE"""),"{}")</f>
        <v>{}</v>
      </c>
      <c r="M1875" s="148">
        <f>IFERROR(__xludf.DUMMYFUNCTION("""COMPUTED_VALUE"""),100.0)</f>
        <v>100</v>
      </c>
      <c r="N1875" s="148">
        <f>IFERROR(__xludf.DUMMYFUNCTION("""COMPUTED_VALUE"""),999999.0)</f>
        <v>999999</v>
      </c>
      <c r="O1875" s="148">
        <f>IFERROR(__xludf.DUMMYFUNCTION("""COMPUTED_VALUE"""),99999.0)</f>
        <v>99999</v>
      </c>
      <c r="P1875" s="148">
        <f>IFERROR(__xludf.DUMMYFUNCTION("""COMPUTED_VALUE"""),99999.0)</f>
        <v>99999</v>
      </c>
      <c r="Q1875" s="148" t="str">
        <f>IFERROR(__xludf.DUMMYFUNCTION("""COMPUTED_VALUE"""),"[]")</f>
        <v>[]</v>
      </c>
      <c r="R1875" s="148" t="str">
        <f>IFERROR(__xludf.DUMMYFUNCTION("""COMPUTED_VALUE"""),"[]")</f>
        <v>[]</v>
      </c>
      <c r="S1875" s="148" t="str">
        <f>IFERROR(__xludf.DUMMYFUNCTION("""COMPUTED_VALUE"""),"{}")</f>
        <v>{}</v>
      </c>
      <c r="T1875" s="148">
        <f>IFERROR(__xludf.DUMMYFUNCTION("""COMPUTED_VALUE"""),-1.0)</f>
        <v>-1</v>
      </c>
      <c r="U1875" s="148">
        <f>IFERROR(__xludf.DUMMYFUNCTION("""COMPUTED_VALUE"""),0.0)</f>
        <v>0</v>
      </c>
      <c r="V1875" s="148" t="str">
        <f>IFERROR(__xludf.DUMMYFUNCTION("""COMPUTED_VALUE"""),"[]")</f>
        <v>[]</v>
      </c>
      <c r="W1875" s="148">
        <f>IFERROR(__xludf.DUMMYFUNCTION("""COMPUTED_VALUE"""),1.174E7)</f>
        <v>11740000</v>
      </c>
      <c r="X1875" s="148">
        <f>IFERROR(__xludf.DUMMYFUNCTION("""COMPUTED_VALUE"""),0.0)</f>
        <v>0</v>
      </c>
      <c r="Y1875" s="148">
        <f>IFERROR(__xludf.DUMMYFUNCTION("""COMPUTED_VALUE"""),0.0)</f>
        <v>0</v>
      </c>
      <c r="Z1875" s="148"/>
    </row>
    <row r="1876">
      <c r="A1876" s="148">
        <f>IFERROR(__xludf.DUMMYFUNCTION("""COMPUTED_VALUE"""),1.1117614E7)</f>
        <v>11117614</v>
      </c>
      <c r="B1876" s="148" t="str">
        <f>IFERROR(__xludf.DUMMYFUNCTION("""COMPUTED_VALUE"""),"复活节彩蛋14")</f>
        <v>复活节彩蛋14</v>
      </c>
      <c r="C1876" s="148"/>
      <c r="D1876" s="148" t="str">
        <f>IFERROR(__xludf.DUMMYFUNCTION("""COMPUTED_VALUE"""),"item_asset")</f>
        <v>item_asset</v>
      </c>
      <c r="E1876" s="148">
        <f>IFERROR(__xludf.DUMMYFUNCTION("""COMPUTED_VALUE"""),0.0)</f>
        <v>0</v>
      </c>
      <c r="F1876" s="148">
        <f>IFERROR(__xludf.DUMMYFUNCTION("""COMPUTED_VALUE"""),0.0)</f>
        <v>0</v>
      </c>
      <c r="G1876" s="148">
        <f>IFERROR(__xludf.DUMMYFUNCTION("""COMPUTED_VALUE"""),1.51104386E8)</f>
        <v>151104386</v>
      </c>
      <c r="H1876" s="148">
        <f>IFERROR(__xludf.DUMMYFUNCTION("""COMPUTED_VALUE"""),1.5112564E7)</f>
        <v>15112564</v>
      </c>
      <c r="I1876" s="148" t="str">
        <f>IFERROR(__xludf.DUMMYFUNCTION("""COMPUTED_VALUE"""),"{}")</f>
        <v>{}</v>
      </c>
      <c r="J1876" s="148" t="str">
        <f>IFERROR(__xludf.DUMMYFUNCTION("""COMPUTED_VALUE"""),"{""typ"":""lc"",""txt"":""LC_ITEM_easter_egg_name_14""}")</f>
        <v>{"typ":"lc","txt":"LC_ITEM_easter_egg_name_14"}</v>
      </c>
      <c r="K1876" s="148" t="str">
        <f>IFERROR(__xludf.DUMMYFUNCTION("""COMPUTED_VALUE"""),"{}")</f>
        <v>{}</v>
      </c>
      <c r="L1876" s="148" t="str">
        <f>IFERROR(__xludf.DUMMYFUNCTION("""COMPUTED_VALUE"""),"{}")</f>
        <v>{}</v>
      </c>
      <c r="M1876" s="148">
        <f>IFERROR(__xludf.DUMMYFUNCTION("""COMPUTED_VALUE"""),100.0)</f>
        <v>100</v>
      </c>
      <c r="N1876" s="148">
        <f>IFERROR(__xludf.DUMMYFUNCTION("""COMPUTED_VALUE"""),999999.0)</f>
        <v>999999</v>
      </c>
      <c r="O1876" s="148">
        <f>IFERROR(__xludf.DUMMYFUNCTION("""COMPUTED_VALUE"""),99999.0)</f>
        <v>99999</v>
      </c>
      <c r="P1876" s="148">
        <f>IFERROR(__xludf.DUMMYFUNCTION("""COMPUTED_VALUE"""),99999.0)</f>
        <v>99999</v>
      </c>
      <c r="Q1876" s="148" t="str">
        <f>IFERROR(__xludf.DUMMYFUNCTION("""COMPUTED_VALUE"""),"[]")</f>
        <v>[]</v>
      </c>
      <c r="R1876" s="148" t="str">
        <f>IFERROR(__xludf.DUMMYFUNCTION("""COMPUTED_VALUE"""),"[]")</f>
        <v>[]</v>
      </c>
      <c r="S1876" s="148" t="str">
        <f>IFERROR(__xludf.DUMMYFUNCTION("""COMPUTED_VALUE"""),"{}")</f>
        <v>{}</v>
      </c>
      <c r="T1876" s="148">
        <f>IFERROR(__xludf.DUMMYFUNCTION("""COMPUTED_VALUE"""),-1.0)</f>
        <v>-1</v>
      </c>
      <c r="U1876" s="148">
        <f>IFERROR(__xludf.DUMMYFUNCTION("""COMPUTED_VALUE"""),0.0)</f>
        <v>0</v>
      </c>
      <c r="V1876" s="148" t="str">
        <f>IFERROR(__xludf.DUMMYFUNCTION("""COMPUTED_VALUE"""),"[]")</f>
        <v>[]</v>
      </c>
      <c r="W1876" s="148">
        <f>IFERROR(__xludf.DUMMYFUNCTION("""COMPUTED_VALUE"""),1.174E7)</f>
        <v>11740000</v>
      </c>
      <c r="X1876" s="148">
        <f>IFERROR(__xludf.DUMMYFUNCTION("""COMPUTED_VALUE"""),0.0)</f>
        <v>0</v>
      </c>
      <c r="Y1876" s="148">
        <f>IFERROR(__xludf.DUMMYFUNCTION("""COMPUTED_VALUE"""),0.0)</f>
        <v>0</v>
      </c>
      <c r="Z1876" s="148"/>
    </row>
    <row r="1877">
      <c r="A1877" s="148">
        <f>IFERROR(__xludf.DUMMYFUNCTION("""COMPUTED_VALUE"""),1.1117615E7)</f>
        <v>11117615</v>
      </c>
      <c r="B1877" s="148" t="str">
        <f>IFERROR(__xludf.DUMMYFUNCTION("""COMPUTED_VALUE"""),"复活节彩蛋15")</f>
        <v>复活节彩蛋15</v>
      </c>
      <c r="C1877" s="148"/>
      <c r="D1877" s="148" t="str">
        <f>IFERROR(__xludf.DUMMYFUNCTION("""COMPUTED_VALUE"""),"item_asset")</f>
        <v>item_asset</v>
      </c>
      <c r="E1877" s="148">
        <f>IFERROR(__xludf.DUMMYFUNCTION("""COMPUTED_VALUE"""),0.0)</f>
        <v>0</v>
      </c>
      <c r="F1877" s="148">
        <f>IFERROR(__xludf.DUMMYFUNCTION("""COMPUTED_VALUE"""),0.0)</f>
        <v>0</v>
      </c>
      <c r="G1877" s="148">
        <f>IFERROR(__xludf.DUMMYFUNCTION("""COMPUTED_VALUE"""),1.51104387E8)</f>
        <v>151104387</v>
      </c>
      <c r="H1877" s="148">
        <f>IFERROR(__xludf.DUMMYFUNCTION("""COMPUTED_VALUE"""),1.5112564E7)</f>
        <v>15112564</v>
      </c>
      <c r="I1877" s="148" t="str">
        <f>IFERROR(__xludf.DUMMYFUNCTION("""COMPUTED_VALUE"""),"{}")</f>
        <v>{}</v>
      </c>
      <c r="J1877" s="148" t="str">
        <f>IFERROR(__xludf.DUMMYFUNCTION("""COMPUTED_VALUE"""),"{""typ"":""lc"",""txt"":""LC_ITEM_easter_egg_name_15""}")</f>
        <v>{"typ":"lc","txt":"LC_ITEM_easter_egg_name_15"}</v>
      </c>
      <c r="K1877" s="148" t="str">
        <f>IFERROR(__xludf.DUMMYFUNCTION("""COMPUTED_VALUE"""),"{}")</f>
        <v>{}</v>
      </c>
      <c r="L1877" s="148" t="str">
        <f>IFERROR(__xludf.DUMMYFUNCTION("""COMPUTED_VALUE"""),"{}")</f>
        <v>{}</v>
      </c>
      <c r="M1877" s="148">
        <f>IFERROR(__xludf.DUMMYFUNCTION("""COMPUTED_VALUE"""),100.0)</f>
        <v>100</v>
      </c>
      <c r="N1877" s="148">
        <f>IFERROR(__xludf.DUMMYFUNCTION("""COMPUTED_VALUE"""),999999.0)</f>
        <v>999999</v>
      </c>
      <c r="O1877" s="148">
        <f>IFERROR(__xludf.DUMMYFUNCTION("""COMPUTED_VALUE"""),99999.0)</f>
        <v>99999</v>
      </c>
      <c r="P1877" s="148">
        <f>IFERROR(__xludf.DUMMYFUNCTION("""COMPUTED_VALUE"""),99999.0)</f>
        <v>99999</v>
      </c>
      <c r="Q1877" s="148" t="str">
        <f>IFERROR(__xludf.DUMMYFUNCTION("""COMPUTED_VALUE"""),"[]")</f>
        <v>[]</v>
      </c>
      <c r="R1877" s="148" t="str">
        <f>IFERROR(__xludf.DUMMYFUNCTION("""COMPUTED_VALUE"""),"[]")</f>
        <v>[]</v>
      </c>
      <c r="S1877" s="148" t="str">
        <f>IFERROR(__xludf.DUMMYFUNCTION("""COMPUTED_VALUE"""),"{}")</f>
        <v>{}</v>
      </c>
      <c r="T1877" s="148">
        <f>IFERROR(__xludf.DUMMYFUNCTION("""COMPUTED_VALUE"""),-1.0)</f>
        <v>-1</v>
      </c>
      <c r="U1877" s="148">
        <f>IFERROR(__xludf.DUMMYFUNCTION("""COMPUTED_VALUE"""),0.0)</f>
        <v>0</v>
      </c>
      <c r="V1877" s="148" t="str">
        <f>IFERROR(__xludf.DUMMYFUNCTION("""COMPUTED_VALUE"""),"[]")</f>
        <v>[]</v>
      </c>
      <c r="W1877" s="148">
        <f>IFERROR(__xludf.DUMMYFUNCTION("""COMPUTED_VALUE"""),1.174E7)</f>
        <v>11740000</v>
      </c>
      <c r="X1877" s="148">
        <f>IFERROR(__xludf.DUMMYFUNCTION("""COMPUTED_VALUE"""),0.0)</f>
        <v>0</v>
      </c>
      <c r="Y1877" s="148">
        <f>IFERROR(__xludf.DUMMYFUNCTION("""COMPUTED_VALUE"""),0.0)</f>
        <v>0</v>
      </c>
      <c r="Z1877" s="148"/>
    </row>
    <row r="1878">
      <c r="A1878" s="148">
        <f>IFERROR(__xludf.DUMMYFUNCTION("""COMPUTED_VALUE"""),1.1117616E7)</f>
        <v>11117616</v>
      </c>
      <c r="B1878" s="148" t="str">
        <f>IFERROR(__xludf.DUMMYFUNCTION("""COMPUTED_VALUE"""),"复活节彩蛋16")</f>
        <v>复活节彩蛋16</v>
      </c>
      <c r="C1878" s="148"/>
      <c r="D1878" s="148" t="str">
        <f>IFERROR(__xludf.DUMMYFUNCTION("""COMPUTED_VALUE"""),"item_asset")</f>
        <v>item_asset</v>
      </c>
      <c r="E1878" s="148">
        <f>IFERROR(__xludf.DUMMYFUNCTION("""COMPUTED_VALUE"""),0.0)</f>
        <v>0</v>
      </c>
      <c r="F1878" s="148">
        <f>IFERROR(__xludf.DUMMYFUNCTION("""COMPUTED_VALUE"""),0.0)</f>
        <v>0</v>
      </c>
      <c r="G1878" s="148">
        <f>IFERROR(__xludf.DUMMYFUNCTION("""COMPUTED_VALUE"""),1.51104388E8)</f>
        <v>151104388</v>
      </c>
      <c r="H1878" s="148">
        <f>IFERROR(__xludf.DUMMYFUNCTION("""COMPUTED_VALUE"""),1.5112564E7)</f>
        <v>15112564</v>
      </c>
      <c r="I1878" s="148" t="str">
        <f>IFERROR(__xludf.DUMMYFUNCTION("""COMPUTED_VALUE"""),"{}")</f>
        <v>{}</v>
      </c>
      <c r="J1878" s="148" t="str">
        <f>IFERROR(__xludf.DUMMYFUNCTION("""COMPUTED_VALUE"""),"{""typ"":""lc"",""txt"":""LC_ITEM_easter_egg_name_16""}")</f>
        <v>{"typ":"lc","txt":"LC_ITEM_easter_egg_name_16"}</v>
      </c>
      <c r="K1878" s="148" t="str">
        <f>IFERROR(__xludf.DUMMYFUNCTION("""COMPUTED_VALUE"""),"{}")</f>
        <v>{}</v>
      </c>
      <c r="L1878" s="148" t="str">
        <f>IFERROR(__xludf.DUMMYFUNCTION("""COMPUTED_VALUE"""),"{}")</f>
        <v>{}</v>
      </c>
      <c r="M1878" s="148">
        <f>IFERROR(__xludf.DUMMYFUNCTION("""COMPUTED_VALUE"""),100.0)</f>
        <v>100</v>
      </c>
      <c r="N1878" s="148">
        <f>IFERROR(__xludf.DUMMYFUNCTION("""COMPUTED_VALUE"""),999999.0)</f>
        <v>999999</v>
      </c>
      <c r="O1878" s="148">
        <f>IFERROR(__xludf.DUMMYFUNCTION("""COMPUTED_VALUE"""),99999.0)</f>
        <v>99999</v>
      </c>
      <c r="P1878" s="148">
        <f>IFERROR(__xludf.DUMMYFUNCTION("""COMPUTED_VALUE"""),99999.0)</f>
        <v>99999</v>
      </c>
      <c r="Q1878" s="148" t="str">
        <f>IFERROR(__xludf.DUMMYFUNCTION("""COMPUTED_VALUE"""),"[]")</f>
        <v>[]</v>
      </c>
      <c r="R1878" s="148" t="str">
        <f>IFERROR(__xludf.DUMMYFUNCTION("""COMPUTED_VALUE"""),"[]")</f>
        <v>[]</v>
      </c>
      <c r="S1878" s="148" t="str">
        <f>IFERROR(__xludf.DUMMYFUNCTION("""COMPUTED_VALUE"""),"{}")</f>
        <v>{}</v>
      </c>
      <c r="T1878" s="148">
        <f>IFERROR(__xludf.DUMMYFUNCTION("""COMPUTED_VALUE"""),-1.0)</f>
        <v>-1</v>
      </c>
      <c r="U1878" s="148">
        <f>IFERROR(__xludf.DUMMYFUNCTION("""COMPUTED_VALUE"""),0.0)</f>
        <v>0</v>
      </c>
      <c r="V1878" s="148" t="str">
        <f>IFERROR(__xludf.DUMMYFUNCTION("""COMPUTED_VALUE"""),"[]")</f>
        <v>[]</v>
      </c>
      <c r="W1878" s="148">
        <f>IFERROR(__xludf.DUMMYFUNCTION("""COMPUTED_VALUE"""),1.174E7)</f>
        <v>11740000</v>
      </c>
      <c r="X1878" s="148">
        <f>IFERROR(__xludf.DUMMYFUNCTION("""COMPUTED_VALUE"""),0.0)</f>
        <v>0</v>
      </c>
      <c r="Y1878" s="148">
        <f>IFERROR(__xludf.DUMMYFUNCTION("""COMPUTED_VALUE"""),0.0)</f>
        <v>0</v>
      </c>
      <c r="Z1878" s="148"/>
    </row>
    <row r="1879">
      <c r="A1879" s="148">
        <f>IFERROR(__xludf.DUMMYFUNCTION("""COMPUTED_VALUE"""),1.1117617E7)</f>
        <v>11117617</v>
      </c>
      <c r="B1879" s="148" t="str">
        <f>IFERROR(__xludf.DUMMYFUNCTION("""COMPUTED_VALUE"""),"复活节随机彩蛋宝箱")</f>
        <v>复活节随机彩蛋宝箱</v>
      </c>
      <c r="C1879" s="148"/>
      <c r="D1879" s="148" t="str">
        <f>IFERROR(__xludf.DUMMYFUNCTION("""COMPUTED_VALUE"""),"item_asset")</f>
        <v>item_asset</v>
      </c>
      <c r="E1879" s="148">
        <f>IFERROR(__xludf.DUMMYFUNCTION("""COMPUTED_VALUE"""),19.0)</f>
        <v>19</v>
      </c>
      <c r="F1879" s="148">
        <f>IFERROR(__xludf.DUMMYFUNCTION("""COMPUTED_VALUE"""),0.0)</f>
        <v>0</v>
      </c>
      <c r="G1879" s="148">
        <f>IFERROR(__xludf.DUMMYFUNCTION("""COMPUTED_VALUE"""),1.51104401E8)</f>
        <v>151104401</v>
      </c>
      <c r="H1879" s="148">
        <f>IFERROR(__xludf.DUMMYFUNCTION("""COMPUTED_VALUE"""),1.5112564E7)</f>
        <v>15112564</v>
      </c>
      <c r="I1879" s="148" t="str">
        <f>IFERROR(__xludf.DUMMYFUNCTION("""COMPUTED_VALUE"""),"{}")</f>
        <v>{}</v>
      </c>
      <c r="J1879" s="148" t="str">
        <f>IFERROR(__xludf.DUMMYFUNCTION("""COMPUTED_VALUE"""),"{""typ"":""lc"",""txt"":""LC_ITEM_easter_egg_rbox_name""}")</f>
        <v>{"typ":"lc","txt":"LC_ITEM_easter_egg_rbox_name"}</v>
      </c>
      <c r="K1879" s="148" t="str">
        <f>IFERROR(__xludf.DUMMYFUNCTION("""COMPUTED_VALUE"""),"{}")</f>
        <v>{}</v>
      </c>
      <c r="L1879" s="148" t="str">
        <f>IFERROR(__xludf.DUMMYFUNCTION("""COMPUTED_VALUE"""),"{}")</f>
        <v>{}</v>
      </c>
      <c r="M1879" s="148">
        <f>IFERROR(__xludf.DUMMYFUNCTION("""COMPUTED_VALUE"""),100.0)</f>
        <v>100</v>
      </c>
      <c r="N1879" s="148">
        <f>IFERROR(__xludf.DUMMYFUNCTION("""COMPUTED_VALUE"""),999999.0)</f>
        <v>999999</v>
      </c>
      <c r="O1879" s="148">
        <f>IFERROR(__xludf.DUMMYFUNCTION("""COMPUTED_VALUE"""),99999.0)</f>
        <v>99999</v>
      </c>
      <c r="P1879" s="148">
        <f>IFERROR(__xludf.DUMMYFUNCTION("""COMPUTED_VALUE"""),99999.0)</f>
        <v>99999</v>
      </c>
      <c r="Q1879" s="148" t="str">
        <f>IFERROR(__xludf.DUMMYFUNCTION("""COMPUTED_VALUE"""),"[]")</f>
        <v>[]</v>
      </c>
      <c r="R1879" s="148" t="str">
        <f>IFERROR(__xludf.DUMMYFUNCTION("""COMPUTED_VALUE"""),"[]")</f>
        <v>[]</v>
      </c>
      <c r="S1879" s="148" t="str">
        <f>IFERROR(__xludf.DUMMYFUNCTION("""COMPUTED_VALUE"""),"{""drop"":{""typ"":""single_random"",""num"":1,""args"":[{""typ"":""item"",""id"":11117601,""num"":1,""wgt"":20},{""typ"":""item"",""id"":11117602,""num"":1,""wgt"":20},{""typ"":""item"",""id"":11117603,""num"":1,""wgt"":20},{""typ"":""item"",""id"":11117"&amp;"604,""num"":1,""wgt"":20},{""typ"":""item"",""id"":11117605,""num"":1,""wgt"":20},{""typ"":""item"",""id"":11117606,""num"":1,""wgt"":20},{""typ"":""item"",""id"":11117607,""num"":1,""wgt"":20},{""typ"":""item"",""id"":11117608,""num"":1,""wgt"":20},{""ty"&amp;"p"":""item"",""id"":11117609,""num"":1,""wgt"":20},{""typ"":""item"",""id"":11117610,""num"":1,""wgt"":20},{""typ"":""item"",""id"":11117611,""num"":1,""wgt"":20},{""typ"":""item"",""id"":11117612,""num"":1,""wgt"":20},{""typ"":""item"",""id"":11117613,"""&amp;"num"":1,""wgt"":20},{""typ"":""item"",""id"":11117614,""num"":1,""wgt"":20},{""typ"":""item"",""id"":11117615,""num"":1,""wgt"":20},{""typ"":""item"",""id"":11117616,""num"":1,""wgt"":20}]}}")</f>
        <v>{"drop":{"typ":"single_random","num":1,"args":[{"typ":"item","id":11117601,"num":1,"wgt":20},{"typ":"item","id":11117602,"num":1,"wgt":20},{"typ":"item","id":11117603,"num":1,"wgt":20},{"typ":"item","id":11117604,"num":1,"wgt":20},{"typ":"item","id":11117605,"num":1,"wgt":20},{"typ":"item","id":11117606,"num":1,"wgt":20},{"typ":"item","id":11117607,"num":1,"wgt":20},{"typ":"item","id":11117608,"num":1,"wgt":20},{"typ":"item","id":11117609,"num":1,"wgt":20},{"typ":"item","id":11117610,"num":1,"wgt":20},{"typ":"item","id":11117611,"num":1,"wgt":20},{"typ":"item","id":11117612,"num":1,"wgt":20},{"typ":"item","id":11117613,"num":1,"wgt":20},{"typ":"item","id":11117614,"num":1,"wgt":20},{"typ":"item","id":11117615,"num":1,"wgt":20},{"typ":"item","id":11117616,"num":1,"wgt":20}]}}</v>
      </c>
      <c r="T1879" s="148">
        <f>IFERROR(__xludf.DUMMYFUNCTION("""COMPUTED_VALUE"""),-1.0)</f>
        <v>-1</v>
      </c>
      <c r="U1879" s="148">
        <f>IFERROR(__xludf.DUMMYFUNCTION("""COMPUTED_VALUE"""),1.0)</f>
        <v>1</v>
      </c>
      <c r="V1879" s="148" t="str">
        <f>IFERROR(__xludf.DUMMYFUNCTION("""COMPUTED_VALUE"""),"[]")</f>
        <v>[]</v>
      </c>
      <c r="W1879" s="148">
        <f>IFERROR(__xludf.DUMMYFUNCTION("""COMPUTED_VALUE"""),1.174E7)</f>
        <v>11740000</v>
      </c>
      <c r="X1879" s="148">
        <f>IFERROR(__xludf.DUMMYFUNCTION("""COMPUTED_VALUE"""),0.0)</f>
        <v>0</v>
      </c>
      <c r="Y1879" s="148">
        <f>IFERROR(__xludf.DUMMYFUNCTION("""COMPUTED_VALUE"""),0.0)</f>
        <v>0</v>
      </c>
      <c r="Z1879" s="148"/>
    </row>
    <row r="1880">
      <c r="A1880" s="148">
        <f>IFERROR(__xludf.DUMMYFUNCTION("""COMPUTED_VALUE"""),1.1117618E7)</f>
        <v>11117618</v>
      </c>
      <c r="B1880" s="148" t="str">
        <f>IFERROR(__xludf.DUMMYFUNCTION("""COMPUTED_VALUE"""),"复活节彩蛋自选箱")</f>
        <v>复活节彩蛋自选箱</v>
      </c>
      <c r="C1880" s="148"/>
      <c r="D1880" s="148" t="str">
        <f>IFERROR(__xludf.DUMMYFUNCTION("""COMPUTED_VALUE"""),"item_select_box_easter")</f>
        <v>item_select_box_easter</v>
      </c>
      <c r="E1880" s="148">
        <f>IFERROR(__xludf.DUMMYFUNCTION("""COMPUTED_VALUE"""),19.0)</f>
        <v>19</v>
      </c>
      <c r="F1880" s="148">
        <f>IFERROR(__xludf.DUMMYFUNCTION("""COMPUTED_VALUE"""),0.0)</f>
        <v>0</v>
      </c>
      <c r="G1880" s="148">
        <f>IFERROR(__xludf.DUMMYFUNCTION("""COMPUTED_VALUE"""),1.51104402E8)</f>
        <v>151104402</v>
      </c>
      <c r="H1880" s="148">
        <f>IFERROR(__xludf.DUMMYFUNCTION("""COMPUTED_VALUE"""),1.5112564E7)</f>
        <v>15112564</v>
      </c>
      <c r="I1880" s="148" t="str">
        <f>IFERROR(__xludf.DUMMYFUNCTION("""COMPUTED_VALUE"""),"{}")</f>
        <v>{}</v>
      </c>
      <c r="J1880" s="148" t="str">
        <f>IFERROR(__xludf.DUMMYFUNCTION("""COMPUTED_VALUE"""),"{""typ"":""lc"",""txt"":""LC_ITEM_easter_egg_cbox_name""}")</f>
        <v>{"typ":"lc","txt":"LC_ITEM_easter_egg_cbox_name"}</v>
      </c>
      <c r="K1880" s="148" t="str">
        <f>IFERROR(__xludf.DUMMYFUNCTION("""COMPUTED_VALUE"""),"{""typ"":""lc"",""txt"":""LC_ITEM_easter_egg_cbox_desc""}")</f>
        <v>{"typ":"lc","txt":"LC_ITEM_easter_egg_cbox_desc"}</v>
      </c>
      <c r="L1880" s="148" t="str">
        <f>IFERROR(__xludf.DUMMYFUNCTION("""COMPUTED_VALUE"""),"{}")</f>
        <v>{}</v>
      </c>
      <c r="M1880" s="148">
        <f>IFERROR(__xludf.DUMMYFUNCTION("""COMPUTED_VALUE"""),100.0)</f>
        <v>100</v>
      </c>
      <c r="N1880" s="148">
        <f>IFERROR(__xludf.DUMMYFUNCTION("""COMPUTED_VALUE"""),999999.0)</f>
        <v>999999</v>
      </c>
      <c r="O1880" s="148">
        <f>IFERROR(__xludf.DUMMYFUNCTION("""COMPUTED_VALUE"""),99999.0)</f>
        <v>99999</v>
      </c>
      <c r="P1880" s="148">
        <f>IFERROR(__xludf.DUMMYFUNCTION("""COMPUTED_VALUE"""),99999.0)</f>
        <v>99999</v>
      </c>
      <c r="Q1880" s="148" t="str">
        <f>IFERROR(__xludf.DUMMYFUNCTION("""COMPUTED_VALUE"""),"[""bag_other""]")</f>
        <v>["bag_other"]</v>
      </c>
      <c r="R1880" s="148" t="str">
        <f>IFERROR(__xludf.DUMMYFUNCTION("""COMPUTED_VALUE"""),"[""bag""]")</f>
        <v>["bag"]</v>
      </c>
      <c r="S1880" s="148" t="str">
        <f>IFERROR(__xludf.DUMMYFUNCTION("""COMPUTED_VALUE"""),"{""select_box"":[{""typ"":""item"",""id"":11117601,""val"":1},{""typ"":""item"",""id"":11117602,""val"":1},{""typ"":""item"",""id"":11117603,""val"":1},{""typ"":""item"",""id"":11117604,""val"":1},{""typ"":""item"",""id"":11117605,""val"":1},{""typ"":""it"&amp;"em"",""id"":11117606,""val"":1},{""typ"":""item"",""id"":11117607,""val"":1},{""typ"":""item"",""id"":11117608,""val"":1},{""typ"":""item"",""id"":11117609,""val"":1},{""typ"":""item"",""id"":11117610,""val"":1},{""typ"":""item"",""id"":11117611,""val"":1"&amp;"},{""typ"":""item"",""id"":11117612,""val"":1},{""typ"":""item"",""id"":11117613,""val"":1},{""typ"":""item"",""id"":11117614,""val"":1},{""typ"":""item"",""id"":11117615,""val"":1},{""typ"":""item"",""id"":11117616,""val"":1}]}")</f>
        <v>{"select_box":[{"typ":"item","id":11117601,"val":1},{"typ":"item","id":11117602,"val":1},{"typ":"item","id":11117603,"val":1},{"typ":"item","id":11117604,"val":1},{"typ":"item","id":11117605,"val":1},{"typ":"item","id":11117606,"val":1},{"typ":"item","id":11117607,"val":1},{"typ":"item","id":11117608,"val":1},{"typ":"item","id":11117609,"val":1},{"typ":"item","id":11117610,"val":1},{"typ":"item","id":11117611,"val":1},{"typ":"item","id":11117612,"val":1},{"typ":"item","id":11117613,"val":1},{"typ":"item","id":11117614,"val":1},{"typ":"item","id":11117615,"val":1},{"typ":"item","id":11117616,"val":1}]}</v>
      </c>
      <c r="T1880" s="148">
        <f>IFERROR(__xludf.DUMMYFUNCTION("""COMPUTED_VALUE"""),-1.0)</f>
        <v>-1</v>
      </c>
      <c r="U1880" s="148">
        <f>IFERROR(__xludf.DUMMYFUNCTION("""COMPUTED_VALUE"""),0.0)</f>
        <v>0</v>
      </c>
      <c r="V1880" s="148" t="str">
        <f>IFERROR(__xludf.DUMMYFUNCTION("""COMPUTED_VALUE"""),"[]")</f>
        <v>[]</v>
      </c>
      <c r="W1880" s="148">
        <f>IFERROR(__xludf.DUMMYFUNCTION("""COMPUTED_VALUE"""),1.174E7)</f>
        <v>11740000</v>
      </c>
      <c r="X1880" s="148">
        <f>IFERROR(__xludf.DUMMYFUNCTION("""COMPUTED_VALUE"""),0.0)</f>
        <v>0</v>
      </c>
      <c r="Y1880" s="148">
        <f>IFERROR(__xludf.DUMMYFUNCTION("""COMPUTED_VALUE"""),0.0)</f>
        <v>0</v>
      </c>
      <c r="Z1880" s="148"/>
    </row>
    <row r="1881">
      <c r="A1881" s="148">
        <f>IFERROR(__xludf.DUMMYFUNCTION("""COMPUTED_VALUE"""),1.1117619E7)</f>
        <v>11117619</v>
      </c>
      <c r="B1881" s="148" t="str">
        <f>IFERROR(__xludf.DUMMYFUNCTION("""COMPUTED_VALUE"""),"复活节金蛋")</f>
        <v>复活节金蛋</v>
      </c>
      <c r="C1881" s="148"/>
      <c r="D1881" s="148" t="str">
        <f>IFERROR(__xludf.DUMMYFUNCTION("""COMPUTED_VALUE"""),"item_asset")</f>
        <v>item_asset</v>
      </c>
      <c r="E1881" s="148">
        <f>IFERROR(__xludf.DUMMYFUNCTION("""COMPUTED_VALUE"""),0.0)</f>
        <v>0</v>
      </c>
      <c r="F1881" s="148">
        <f>IFERROR(__xludf.DUMMYFUNCTION("""COMPUTED_VALUE"""),0.0)</f>
        <v>0</v>
      </c>
      <c r="G1881" s="148">
        <f>IFERROR(__xludf.DUMMYFUNCTION("""COMPUTED_VALUE"""),1.51104403E8)</f>
        <v>151104403</v>
      </c>
      <c r="H1881" s="148">
        <f>IFERROR(__xludf.DUMMYFUNCTION("""COMPUTED_VALUE"""),1.5112563E7)</f>
        <v>15112563</v>
      </c>
      <c r="I1881" s="148" t="str">
        <f>IFERROR(__xludf.DUMMYFUNCTION("""COMPUTED_VALUE"""),"{}")</f>
        <v>{}</v>
      </c>
      <c r="J1881" s="148" t="str">
        <f>IFERROR(__xludf.DUMMYFUNCTION("""COMPUTED_VALUE"""),"{""typ"":""lc"",""txt"":""LC_ITEM_easter_egg_golden""}")</f>
        <v>{"typ":"lc","txt":"LC_ITEM_easter_egg_golden"}</v>
      </c>
      <c r="K1881" s="148" t="str">
        <f>IFERROR(__xludf.DUMMYFUNCTION("""COMPUTED_VALUE"""),"{}")</f>
        <v>{}</v>
      </c>
      <c r="L1881" s="148" t="str">
        <f>IFERROR(__xludf.DUMMYFUNCTION("""COMPUTED_VALUE"""),"{}")</f>
        <v>{}</v>
      </c>
      <c r="M1881" s="148">
        <f>IFERROR(__xludf.DUMMYFUNCTION("""COMPUTED_VALUE"""),1.0)</f>
        <v>1</v>
      </c>
      <c r="N1881" s="148">
        <f>IFERROR(__xludf.DUMMYFUNCTION("""COMPUTED_VALUE"""),999999.0)</f>
        <v>999999</v>
      </c>
      <c r="O1881" s="148">
        <f>IFERROR(__xludf.DUMMYFUNCTION("""COMPUTED_VALUE"""),99999.0)</f>
        <v>99999</v>
      </c>
      <c r="P1881" s="148">
        <f>IFERROR(__xludf.DUMMYFUNCTION("""COMPUTED_VALUE"""),9999.0)</f>
        <v>9999</v>
      </c>
      <c r="Q1881" s="148" t="str">
        <f>IFERROR(__xludf.DUMMYFUNCTION("""COMPUTED_VALUE"""),"[]")</f>
        <v>[]</v>
      </c>
      <c r="R1881" s="148" t="str">
        <f>IFERROR(__xludf.DUMMYFUNCTION("""COMPUTED_VALUE"""),"[]")</f>
        <v>[]</v>
      </c>
      <c r="S1881" s="148" t="str">
        <f>IFERROR(__xludf.DUMMYFUNCTION("""COMPUTED_VALUE"""),"{}")</f>
        <v>{}</v>
      </c>
      <c r="T1881" s="148">
        <f>IFERROR(__xludf.DUMMYFUNCTION("""COMPUTED_VALUE"""),-1.0)</f>
        <v>-1</v>
      </c>
      <c r="U1881" s="148">
        <f>IFERROR(__xludf.DUMMYFUNCTION("""COMPUTED_VALUE"""),0.0)</f>
        <v>0</v>
      </c>
      <c r="V1881" s="148" t="str">
        <f>IFERROR(__xludf.DUMMYFUNCTION("""COMPUTED_VALUE"""),"[]")</f>
        <v>[]</v>
      </c>
      <c r="W1881" s="148">
        <f>IFERROR(__xludf.DUMMYFUNCTION("""COMPUTED_VALUE"""),1.174E7)</f>
        <v>11740000</v>
      </c>
      <c r="X1881" s="148">
        <f>IFERROR(__xludf.DUMMYFUNCTION("""COMPUTED_VALUE"""),0.0)</f>
        <v>0</v>
      </c>
      <c r="Y1881" s="148">
        <f>IFERROR(__xludf.DUMMYFUNCTION("""COMPUTED_VALUE"""),0.0)</f>
        <v>0</v>
      </c>
      <c r="Z1881" s="148"/>
    </row>
    <row r="1882">
      <c r="A1882" s="148">
        <f>IFERROR(__xludf.DUMMYFUNCTION("""COMPUTED_VALUE"""),1.111765E7)</f>
        <v>11117650</v>
      </c>
      <c r="B1882" s="148" t="str">
        <f>IFERROR(__xludf.DUMMYFUNCTION("""COMPUTED_VALUE"""),"大富翁组队道具（捐赠使用的锤子）")</f>
        <v>大富翁组队道具（捐赠使用的锤子）</v>
      </c>
      <c r="C1882" s="148"/>
      <c r="D1882" s="148" t="str">
        <f>IFERROR(__xludf.DUMMYFUNCTION("""COMPUTED_VALUE"""),"event")</f>
        <v>event</v>
      </c>
      <c r="E1882" s="148">
        <f>IFERROR(__xludf.DUMMYFUNCTION("""COMPUTED_VALUE"""),0.0)</f>
        <v>0</v>
      </c>
      <c r="F1882" s="148">
        <f>IFERROR(__xludf.DUMMYFUNCTION("""COMPUTED_VALUE"""),0.0)</f>
        <v>0</v>
      </c>
      <c r="G1882" s="148">
        <f>IFERROR(__xludf.DUMMYFUNCTION("""COMPUTED_VALUE"""),1.51104798E8)</f>
        <v>151104798</v>
      </c>
      <c r="H1882" s="148">
        <f>IFERROR(__xludf.DUMMYFUNCTION("""COMPUTED_VALUE"""),1.5112564E7)</f>
        <v>15112564</v>
      </c>
      <c r="I1882" s="148" t="str">
        <f>IFERROR(__xludf.DUMMYFUNCTION("""COMPUTED_VALUE"""),"{}")</f>
        <v>{}</v>
      </c>
      <c r="J1882" s="148" t="str">
        <f>IFERROR(__xludf.DUMMYFUNCTION("""COMPUTED_VALUE"""),"{""typ"":""lc"",""txt"":""LC_ITEM_fes_monopoly_team_game_item_1_name""}")</f>
        <v>{"typ":"lc","txt":"LC_ITEM_fes_monopoly_team_game_item_1_name"}</v>
      </c>
      <c r="K1882" s="148" t="str">
        <f>IFERROR(__xludf.DUMMYFUNCTION("""COMPUTED_VALUE"""),"{""typ"":""lc"",""txt"":""LC_ITEM_fes_monopoly_team_game_item_1_desc""}")</f>
        <v>{"typ":"lc","txt":"LC_ITEM_fes_monopoly_team_game_item_1_desc"}</v>
      </c>
      <c r="L1882" s="148" t="str">
        <f>IFERROR(__xludf.DUMMYFUNCTION("""COMPUTED_VALUE"""),"{}")</f>
        <v>{}</v>
      </c>
      <c r="M1882" s="148">
        <f>IFERROR(__xludf.DUMMYFUNCTION("""COMPUTED_VALUE"""),500.0)</f>
        <v>500</v>
      </c>
      <c r="N1882" s="148">
        <f>IFERROR(__xludf.DUMMYFUNCTION("""COMPUTED_VALUE"""),999999.0)</f>
        <v>999999</v>
      </c>
      <c r="O1882" s="148">
        <f>IFERROR(__xludf.DUMMYFUNCTION("""COMPUTED_VALUE"""),99999.0)</f>
        <v>99999</v>
      </c>
      <c r="P1882" s="148">
        <f>IFERROR(__xludf.DUMMYFUNCTION("""COMPUTED_VALUE"""),9.99999999E8)</f>
        <v>999999999</v>
      </c>
      <c r="Q1882" s="148" t="str">
        <f>IFERROR(__xludf.DUMMYFUNCTION("""COMPUTED_VALUE"""),"[""bag_other""]")</f>
        <v>["bag_other"]</v>
      </c>
      <c r="R1882" s="148" t="str">
        <f>IFERROR(__xludf.DUMMYFUNCTION("""COMPUTED_VALUE"""),"[""bag""]")</f>
        <v>["bag"]</v>
      </c>
      <c r="S1882" s="148" t="str">
        <f>IFERROR(__xludf.DUMMYFUNCTION("""COMPUTED_VALUE"""),"{}")</f>
        <v>{}</v>
      </c>
      <c r="T1882" s="148">
        <f>IFERROR(__xludf.DUMMYFUNCTION("""COMPUTED_VALUE"""),-1.0)</f>
        <v>-1</v>
      </c>
      <c r="U1882" s="148">
        <f>IFERROR(__xludf.DUMMYFUNCTION("""COMPUTED_VALUE"""),0.0)</f>
        <v>0</v>
      </c>
      <c r="V1882" s="148" t="str">
        <f>IFERROR(__xludf.DUMMYFUNCTION("""COMPUTED_VALUE"""),"[]")</f>
        <v>[]</v>
      </c>
      <c r="W1882" s="148">
        <f>IFERROR(__xludf.DUMMYFUNCTION("""COMPUTED_VALUE"""),1.174E7)</f>
        <v>11740000</v>
      </c>
      <c r="X1882" s="148">
        <f>IFERROR(__xludf.DUMMYFUNCTION("""COMPUTED_VALUE"""),0.0)</f>
        <v>0</v>
      </c>
      <c r="Y1882" s="148">
        <f>IFERROR(__xludf.DUMMYFUNCTION("""COMPUTED_VALUE"""),0.0)</f>
        <v>0</v>
      </c>
      <c r="Z1882" s="148"/>
    </row>
    <row r="1883">
      <c r="A1883" s="148">
        <f>IFERROR(__xludf.DUMMYFUNCTION("""COMPUTED_VALUE"""),1.1117901E7)</f>
        <v>11117901</v>
      </c>
      <c r="B1883" s="148" t="str">
        <f>IFERROR(__xludf.DUMMYFUNCTION("""COMPUTED_VALUE"""),"机甲驾驶经验-5000")</f>
        <v>机甲驾驶经验-5000</v>
      </c>
      <c r="C1883" s="148"/>
      <c r="D1883" s="148" t="str">
        <f>IFERROR(__xludf.DUMMYFUNCTION("""COMPUTED_VALUE"""),"item_rss")</f>
        <v>item_rss</v>
      </c>
      <c r="E1883" s="148">
        <f>IFERROR(__xludf.DUMMYFUNCTION("""COMPUTED_VALUE"""),20.0)</f>
        <v>20</v>
      </c>
      <c r="F1883" s="148">
        <f>IFERROR(__xludf.DUMMYFUNCTION("""COMPUTED_VALUE"""),413011.0)</f>
        <v>413011</v>
      </c>
      <c r="G1883" s="148">
        <f>IFERROR(__xludf.DUMMYFUNCTION("""COMPUTED_VALUE"""),1.511878E7)</f>
        <v>15118780</v>
      </c>
      <c r="H1883" s="148">
        <f>IFERROR(__xludf.DUMMYFUNCTION("""COMPUTED_VALUE"""),1.5112561E7)</f>
        <v>15112561</v>
      </c>
      <c r="I1883" s="148" t="str">
        <f>IFERROR(__xludf.DUMMYFUNCTION("""COMPUTED_VALUE"""),"{""typ"":""lc"",""txt"":""LC_ITEM_rss_upper_show"",""args"":[{""typ"":""int"",""val"":5000}]}")</f>
        <v>{"typ":"lc","txt":"LC_ITEM_rss_upper_show","args":[{"typ":"int","val":5000}]}</v>
      </c>
      <c r="J1883" s="148" t="str">
        <f>IFERROR(__xludf.DUMMYFUNCTION("""COMPUTED_VALUE"""),"{""typ"":""lc"",""txt"":""LC_ITEM_mecha_driver_exp_name"",""args"":[{""typ"":""int"",""val"":5000}]}")</f>
        <v>{"typ":"lc","txt":"LC_ITEM_mecha_driver_exp_name","args":[{"typ":"int","val":5000}]}</v>
      </c>
      <c r="K1883" s="148" t="str">
        <f>IFERROR(__xludf.DUMMYFUNCTION("""COMPUTED_VALUE"""),"{""typ"":""lc"",""txt"":""LC_ITEM_mecha_driver_exp_desc"",""args"":[{""typ"":""int"",""val"":5000}]}")</f>
        <v>{"typ":"lc","txt":"LC_ITEM_mecha_driver_exp_desc","args":[{"typ":"int","val":5000}]}</v>
      </c>
      <c r="L1883" s="148" t="str">
        <f>IFERROR(__xludf.DUMMYFUNCTION("""COMPUTED_VALUE"""),"{""typ"":""lc"",""txt"":""LC_ITEM_mecha_driver_exp_usedtip""}")</f>
        <v>{"typ":"lc","txt":"LC_ITEM_mecha_driver_exp_usedtip"}</v>
      </c>
      <c r="M1883" s="148">
        <f>IFERROR(__xludf.DUMMYFUNCTION("""COMPUTED_VALUE"""),50.0)</f>
        <v>50</v>
      </c>
      <c r="N1883" s="148">
        <f>IFERROR(__xludf.DUMMYFUNCTION("""COMPUTED_VALUE"""),999999.0)</f>
        <v>999999</v>
      </c>
      <c r="O1883" s="148">
        <f>IFERROR(__xludf.DUMMYFUNCTION("""COMPUTED_VALUE"""),99999.0)</f>
        <v>99999</v>
      </c>
      <c r="P1883" s="148">
        <f>IFERROR(__xludf.DUMMYFUNCTION("""COMPUTED_VALUE"""),9999.0)</f>
        <v>9999</v>
      </c>
      <c r="Q1883" s="148" t="str">
        <f>IFERROR(__xludf.DUMMYFUNCTION("""COMPUTED_VALUE"""),"[]")</f>
        <v>[]</v>
      </c>
      <c r="R1883" s="148" t="str">
        <f>IFERROR(__xludf.DUMMYFUNCTION("""COMPUTED_VALUE"""),"[""bag""]")</f>
        <v>["bag"]</v>
      </c>
      <c r="S1883" s="148" t="str">
        <f>IFERROR(__xludf.DUMMYFUNCTION("""COMPUTED_VALUE"""),"{""effect"":[{""typ"":""rss"",""id"":11142003,""val"":5000}]}")</f>
        <v>{"effect":[{"typ":"rss","id":11142003,"val":5000}]}</v>
      </c>
      <c r="T1883" s="148">
        <f>IFERROR(__xludf.DUMMYFUNCTION("""COMPUTED_VALUE"""),-1.0)</f>
        <v>-1</v>
      </c>
      <c r="U1883" s="148">
        <f>IFERROR(__xludf.DUMMYFUNCTION("""COMPUTED_VALUE"""),1.0)</f>
        <v>1</v>
      </c>
      <c r="V1883" s="148" t="str">
        <f>IFERROR(__xludf.DUMMYFUNCTION("""COMPUTED_VALUE"""),"[]")</f>
        <v>[]</v>
      </c>
      <c r="W1883" s="148">
        <f>IFERROR(__xludf.DUMMYFUNCTION("""COMPUTED_VALUE"""),1.174E7)</f>
        <v>11740000</v>
      </c>
      <c r="X1883" s="148">
        <f>IFERROR(__xludf.DUMMYFUNCTION("""COMPUTED_VALUE"""),0.0)</f>
        <v>0</v>
      </c>
      <c r="Y1883" s="148">
        <f>IFERROR(__xludf.DUMMYFUNCTION("""COMPUTED_VALUE"""),0.0)</f>
        <v>0</v>
      </c>
      <c r="Z1883" s="148"/>
    </row>
    <row r="1884">
      <c r="A1884" s="148">
        <f>IFERROR(__xludf.DUMMYFUNCTION("""COMPUTED_VALUE"""),1.1117902E7)</f>
        <v>11117902</v>
      </c>
      <c r="B1884" s="148" t="str">
        <f>IFERROR(__xludf.DUMMYFUNCTION("""COMPUTED_VALUE"""),"机甲驾驶经验-10000")</f>
        <v>机甲驾驶经验-10000</v>
      </c>
      <c r="C1884" s="148"/>
      <c r="D1884" s="148" t="str">
        <f>IFERROR(__xludf.DUMMYFUNCTION("""COMPUTED_VALUE"""),"item_rss")</f>
        <v>item_rss</v>
      </c>
      <c r="E1884" s="148">
        <f>IFERROR(__xludf.DUMMYFUNCTION("""COMPUTED_VALUE"""),20.0)</f>
        <v>20</v>
      </c>
      <c r="F1884" s="148">
        <f>IFERROR(__xludf.DUMMYFUNCTION("""COMPUTED_VALUE"""),413010.0)</f>
        <v>413010</v>
      </c>
      <c r="G1884" s="148">
        <f>IFERROR(__xludf.DUMMYFUNCTION("""COMPUTED_VALUE"""),1.511878E7)</f>
        <v>15118780</v>
      </c>
      <c r="H1884" s="148">
        <f>IFERROR(__xludf.DUMMYFUNCTION("""COMPUTED_VALUE"""),1.5112562E7)</f>
        <v>15112562</v>
      </c>
      <c r="I1884" s="148" t="str">
        <f>IFERROR(__xludf.DUMMYFUNCTION("""COMPUTED_VALUE"""),"{""typ"":""lc"",""txt"":""LC_ITEM_rss_upper_show"",""args"":[{""typ"":""int"",""val"":10000}]}")</f>
        <v>{"typ":"lc","txt":"LC_ITEM_rss_upper_show","args":[{"typ":"int","val":10000}]}</v>
      </c>
      <c r="J1884" s="148" t="str">
        <f>IFERROR(__xludf.DUMMYFUNCTION("""COMPUTED_VALUE"""),"{""typ"":""lc"",""txt"":""LC_ITEM_mecha_driver_exp_name"",""args"":[{""typ"":""int"",""val"":10000}]}")</f>
        <v>{"typ":"lc","txt":"LC_ITEM_mecha_driver_exp_name","args":[{"typ":"int","val":10000}]}</v>
      </c>
      <c r="K1884" s="148" t="str">
        <f>IFERROR(__xludf.DUMMYFUNCTION("""COMPUTED_VALUE"""),"{""typ"":""lc"",""txt"":""LC_ITEM_mecha_driver_exp_desc"",""args"":[{""typ"":""int"",""val"":10000}]}")</f>
        <v>{"typ":"lc","txt":"LC_ITEM_mecha_driver_exp_desc","args":[{"typ":"int","val":10000}]}</v>
      </c>
      <c r="L1884" s="148" t="str">
        <f>IFERROR(__xludf.DUMMYFUNCTION("""COMPUTED_VALUE"""),"{""typ"":""lc"",""txt"":""LC_ITEM_mecha_driver_exp_usedtip""}")</f>
        <v>{"typ":"lc","txt":"LC_ITEM_mecha_driver_exp_usedtip"}</v>
      </c>
      <c r="M1884" s="148">
        <f>IFERROR(__xludf.DUMMYFUNCTION("""COMPUTED_VALUE"""),80.0)</f>
        <v>80</v>
      </c>
      <c r="N1884" s="148">
        <f>IFERROR(__xludf.DUMMYFUNCTION("""COMPUTED_VALUE"""),999999.0)</f>
        <v>999999</v>
      </c>
      <c r="O1884" s="148">
        <f>IFERROR(__xludf.DUMMYFUNCTION("""COMPUTED_VALUE"""),99999.0)</f>
        <v>99999</v>
      </c>
      <c r="P1884" s="148">
        <f>IFERROR(__xludf.DUMMYFUNCTION("""COMPUTED_VALUE"""),9999.0)</f>
        <v>9999</v>
      </c>
      <c r="Q1884" s="148" t="str">
        <f>IFERROR(__xludf.DUMMYFUNCTION("""COMPUTED_VALUE"""),"[]")</f>
        <v>[]</v>
      </c>
      <c r="R1884" s="148" t="str">
        <f>IFERROR(__xludf.DUMMYFUNCTION("""COMPUTED_VALUE"""),"[""bag""]")</f>
        <v>["bag"]</v>
      </c>
      <c r="S1884" s="148" t="str">
        <f>IFERROR(__xludf.DUMMYFUNCTION("""COMPUTED_VALUE"""),"{""effect"":[{""typ"":""rss"",""id"":11142003,""val"":10000}]}")</f>
        <v>{"effect":[{"typ":"rss","id":11142003,"val":10000}]}</v>
      </c>
      <c r="T1884" s="148">
        <f>IFERROR(__xludf.DUMMYFUNCTION("""COMPUTED_VALUE"""),-1.0)</f>
        <v>-1</v>
      </c>
      <c r="U1884" s="148">
        <f>IFERROR(__xludf.DUMMYFUNCTION("""COMPUTED_VALUE"""),1.0)</f>
        <v>1</v>
      </c>
      <c r="V1884" s="148" t="str">
        <f>IFERROR(__xludf.DUMMYFUNCTION("""COMPUTED_VALUE"""),"[]")</f>
        <v>[]</v>
      </c>
      <c r="W1884" s="148">
        <f>IFERROR(__xludf.DUMMYFUNCTION("""COMPUTED_VALUE"""),1.174E7)</f>
        <v>11740000</v>
      </c>
      <c r="X1884" s="148">
        <f>IFERROR(__xludf.DUMMYFUNCTION("""COMPUTED_VALUE"""),0.0)</f>
        <v>0</v>
      </c>
      <c r="Y1884" s="148">
        <f>IFERROR(__xludf.DUMMYFUNCTION("""COMPUTED_VALUE"""),0.0)</f>
        <v>0</v>
      </c>
      <c r="Z1884" s="148"/>
    </row>
    <row r="1885">
      <c r="A1885" s="148">
        <f>IFERROR(__xludf.DUMMYFUNCTION("""COMPUTED_VALUE"""),1.1117903E7)</f>
        <v>11117903</v>
      </c>
      <c r="B1885" s="148" t="str">
        <f>IFERROR(__xludf.DUMMYFUNCTION("""COMPUTED_VALUE"""),"机甲驾驶经验-20000")</f>
        <v>机甲驾驶经验-20000</v>
      </c>
      <c r="C1885" s="148"/>
      <c r="D1885" s="148" t="str">
        <f>IFERROR(__xludf.DUMMYFUNCTION("""COMPUTED_VALUE"""),"item_rss")</f>
        <v>item_rss</v>
      </c>
      <c r="E1885" s="148">
        <f>IFERROR(__xludf.DUMMYFUNCTION("""COMPUTED_VALUE"""),20.0)</f>
        <v>20</v>
      </c>
      <c r="F1885" s="148">
        <f>IFERROR(__xludf.DUMMYFUNCTION("""COMPUTED_VALUE"""),413009.0)</f>
        <v>413009</v>
      </c>
      <c r="G1885" s="148">
        <f>IFERROR(__xludf.DUMMYFUNCTION("""COMPUTED_VALUE"""),1.511878E7)</f>
        <v>15118780</v>
      </c>
      <c r="H1885" s="148">
        <f>IFERROR(__xludf.DUMMYFUNCTION("""COMPUTED_VALUE"""),1.5112563E7)</f>
        <v>15112563</v>
      </c>
      <c r="I1885" s="148" t="str">
        <f>IFERROR(__xludf.DUMMYFUNCTION("""COMPUTED_VALUE"""),"{""typ"":""lc"",""txt"":""LC_ITEM_rss_upper_show"",""args"":[{""typ"":""int"",""val"":20000}]}")</f>
        <v>{"typ":"lc","txt":"LC_ITEM_rss_upper_show","args":[{"typ":"int","val":20000}]}</v>
      </c>
      <c r="J1885" s="148" t="str">
        <f>IFERROR(__xludf.DUMMYFUNCTION("""COMPUTED_VALUE"""),"{""typ"":""lc"",""txt"":""LC_ITEM_mecha_driver_exp_name"",""args"":[{""typ"":""int"",""val"":20000}]}")</f>
        <v>{"typ":"lc","txt":"LC_ITEM_mecha_driver_exp_name","args":[{"typ":"int","val":20000}]}</v>
      </c>
      <c r="K1885" s="148" t="str">
        <f>IFERROR(__xludf.DUMMYFUNCTION("""COMPUTED_VALUE"""),"{""typ"":""lc"",""txt"":""LC_ITEM_mecha_driver_exp_desc"",""args"":[{""typ"":""int"",""val"":20000}]}")</f>
        <v>{"typ":"lc","txt":"LC_ITEM_mecha_driver_exp_desc","args":[{"typ":"int","val":20000}]}</v>
      </c>
      <c r="L1885" s="148" t="str">
        <f>IFERROR(__xludf.DUMMYFUNCTION("""COMPUTED_VALUE"""),"{""typ"":""lc"",""txt"":""LC_ITEM_mecha_driver_exp_usedtip""}")</f>
        <v>{"typ":"lc","txt":"LC_ITEM_mecha_driver_exp_usedtip"}</v>
      </c>
      <c r="M1885" s="148">
        <f>IFERROR(__xludf.DUMMYFUNCTION("""COMPUTED_VALUE"""),150.0)</f>
        <v>150</v>
      </c>
      <c r="N1885" s="148">
        <f>IFERROR(__xludf.DUMMYFUNCTION("""COMPUTED_VALUE"""),999999.0)</f>
        <v>999999</v>
      </c>
      <c r="O1885" s="148">
        <f>IFERROR(__xludf.DUMMYFUNCTION("""COMPUTED_VALUE"""),99999.0)</f>
        <v>99999</v>
      </c>
      <c r="P1885" s="148">
        <f>IFERROR(__xludf.DUMMYFUNCTION("""COMPUTED_VALUE"""),9999.0)</f>
        <v>9999</v>
      </c>
      <c r="Q1885" s="148" t="str">
        <f>IFERROR(__xludf.DUMMYFUNCTION("""COMPUTED_VALUE"""),"[]")</f>
        <v>[]</v>
      </c>
      <c r="R1885" s="148" t="str">
        <f>IFERROR(__xludf.DUMMYFUNCTION("""COMPUTED_VALUE"""),"[""bag""]")</f>
        <v>["bag"]</v>
      </c>
      <c r="S1885" s="148" t="str">
        <f>IFERROR(__xludf.DUMMYFUNCTION("""COMPUTED_VALUE"""),"{""effect"":[{""typ"":""rss"",""id"":11142003,""val"":20000}]}")</f>
        <v>{"effect":[{"typ":"rss","id":11142003,"val":20000}]}</v>
      </c>
      <c r="T1885" s="148">
        <f>IFERROR(__xludf.DUMMYFUNCTION("""COMPUTED_VALUE"""),-1.0)</f>
        <v>-1</v>
      </c>
      <c r="U1885" s="148">
        <f>IFERROR(__xludf.DUMMYFUNCTION("""COMPUTED_VALUE"""),1.0)</f>
        <v>1</v>
      </c>
      <c r="V1885" s="148" t="str">
        <f>IFERROR(__xludf.DUMMYFUNCTION("""COMPUTED_VALUE"""),"[]")</f>
        <v>[]</v>
      </c>
      <c r="W1885" s="148">
        <f>IFERROR(__xludf.DUMMYFUNCTION("""COMPUTED_VALUE"""),1.174E7)</f>
        <v>11740000</v>
      </c>
      <c r="X1885" s="148">
        <f>IFERROR(__xludf.DUMMYFUNCTION("""COMPUTED_VALUE"""),0.0)</f>
        <v>0</v>
      </c>
      <c r="Y1885" s="148">
        <f>IFERROR(__xludf.DUMMYFUNCTION("""COMPUTED_VALUE"""),0.0)</f>
        <v>0</v>
      </c>
      <c r="Z1885" s="148"/>
    </row>
    <row r="1886">
      <c r="A1886" s="148">
        <f>IFERROR(__xludf.DUMMYFUNCTION("""COMPUTED_VALUE"""),1.1117904E7)</f>
        <v>11117904</v>
      </c>
      <c r="B1886" s="148" t="str">
        <f>IFERROR(__xludf.DUMMYFUNCTION("""COMPUTED_VALUE"""),"机甲驾驶经验-50000")</f>
        <v>机甲驾驶经验-50000</v>
      </c>
      <c r="C1886" s="148"/>
      <c r="D1886" s="148" t="str">
        <f>IFERROR(__xludf.DUMMYFUNCTION("""COMPUTED_VALUE"""),"item_rss")</f>
        <v>item_rss</v>
      </c>
      <c r="E1886" s="148">
        <f>IFERROR(__xludf.DUMMYFUNCTION("""COMPUTED_VALUE"""),20.0)</f>
        <v>20</v>
      </c>
      <c r="F1886" s="148">
        <f>IFERROR(__xludf.DUMMYFUNCTION("""COMPUTED_VALUE"""),413008.0)</f>
        <v>413008</v>
      </c>
      <c r="G1886" s="148">
        <f>IFERROR(__xludf.DUMMYFUNCTION("""COMPUTED_VALUE"""),1.511878E7)</f>
        <v>15118780</v>
      </c>
      <c r="H1886" s="148">
        <f>IFERROR(__xludf.DUMMYFUNCTION("""COMPUTED_VALUE"""),1.5112564E7)</f>
        <v>15112564</v>
      </c>
      <c r="I1886" s="148" t="str">
        <f>IFERROR(__xludf.DUMMYFUNCTION("""COMPUTED_VALUE"""),"{""typ"":""lc"",""txt"":""LC_ITEM_rss_upper_show"",""args"":[{""typ"":""int"",""val"":50000}]}")</f>
        <v>{"typ":"lc","txt":"LC_ITEM_rss_upper_show","args":[{"typ":"int","val":50000}]}</v>
      </c>
      <c r="J1886" s="148" t="str">
        <f>IFERROR(__xludf.DUMMYFUNCTION("""COMPUTED_VALUE"""),"{""typ"":""lc"",""txt"":""LC_ITEM_mecha_driver_exp_name"",""args"":[{""typ"":""int"",""val"":50000}]}")</f>
        <v>{"typ":"lc","txt":"LC_ITEM_mecha_driver_exp_name","args":[{"typ":"int","val":50000}]}</v>
      </c>
      <c r="K1886" s="148" t="str">
        <f>IFERROR(__xludf.DUMMYFUNCTION("""COMPUTED_VALUE"""),"{""typ"":""lc"",""txt"":""LC_ITEM_mecha_driver_exp_desc"",""args"":[{""typ"":""int"",""val"":50000}]}")</f>
        <v>{"typ":"lc","txt":"LC_ITEM_mecha_driver_exp_desc","args":[{"typ":"int","val":50000}]}</v>
      </c>
      <c r="L1886" s="148" t="str">
        <f>IFERROR(__xludf.DUMMYFUNCTION("""COMPUTED_VALUE"""),"{""typ"":""lc"",""txt"":""LC_ITEM_mecha_driver_exp_usedtip""}")</f>
        <v>{"typ":"lc","txt":"LC_ITEM_mecha_driver_exp_usedtip"}</v>
      </c>
      <c r="M1886" s="148">
        <f>IFERROR(__xludf.DUMMYFUNCTION("""COMPUTED_VALUE"""),300.0)</f>
        <v>300</v>
      </c>
      <c r="N1886" s="148">
        <f>IFERROR(__xludf.DUMMYFUNCTION("""COMPUTED_VALUE"""),999999.0)</f>
        <v>999999</v>
      </c>
      <c r="O1886" s="148">
        <f>IFERROR(__xludf.DUMMYFUNCTION("""COMPUTED_VALUE"""),99999.0)</f>
        <v>99999</v>
      </c>
      <c r="P1886" s="148">
        <f>IFERROR(__xludf.DUMMYFUNCTION("""COMPUTED_VALUE"""),9999.0)</f>
        <v>9999</v>
      </c>
      <c r="Q1886" s="148" t="str">
        <f>IFERROR(__xludf.DUMMYFUNCTION("""COMPUTED_VALUE"""),"[]")</f>
        <v>[]</v>
      </c>
      <c r="R1886" s="148" t="str">
        <f>IFERROR(__xludf.DUMMYFUNCTION("""COMPUTED_VALUE"""),"[""bag""]")</f>
        <v>["bag"]</v>
      </c>
      <c r="S1886" s="148" t="str">
        <f>IFERROR(__xludf.DUMMYFUNCTION("""COMPUTED_VALUE"""),"{""effect"":[{""typ"":""rss"",""id"":11142003,""val"":50000}]}")</f>
        <v>{"effect":[{"typ":"rss","id":11142003,"val":50000}]}</v>
      </c>
      <c r="T1886" s="148">
        <f>IFERROR(__xludf.DUMMYFUNCTION("""COMPUTED_VALUE"""),-1.0)</f>
        <v>-1</v>
      </c>
      <c r="U1886" s="148">
        <f>IFERROR(__xludf.DUMMYFUNCTION("""COMPUTED_VALUE"""),1.0)</f>
        <v>1</v>
      </c>
      <c r="V1886" s="148" t="str">
        <f>IFERROR(__xludf.DUMMYFUNCTION("""COMPUTED_VALUE"""),"[]")</f>
        <v>[]</v>
      </c>
      <c r="W1886" s="148">
        <f>IFERROR(__xludf.DUMMYFUNCTION("""COMPUTED_VALUE"""),1.174E7)</f>
        <v>11740000</v>
      </c>
      <c r="X1886" s="148">
        <f>IFERROR(__xludf.DUMMYFUNCTION("""COMPUTED_VALUE"""),0.0)</f>
        <v>0</v>
      </c>
      <c r="Y1886" s="148">
        <f>IFERROR(__xludf.DUMMYFUNCTION("""COMPUTED_VALUE"""),0.0)</f>
        <v>0</v>
      </c>
      <c r="Z1886" s="148"/>
    </row>
    <row r="1887">
      <c r="A1887" s="148">
        <f>IFERROR(__xludf.DUMMYFUNCTION("""COMPUTED_VALUE"""),1.1117905E7)</f>
        <v>11117905</v>
      </c>
      <c r="B1887" s="148" t="str">
        <f>IFERROR(__xludf.DUMMYFUNCTION("""COMPUTED_VALUE"""),"机甲驾驶经验-100")</f>
        <v>机甲驾驶经验-100</v>
      </c>
      <c r="C1887" s="148"/>
      <c r="D1887" s="148" t="str">
        <f>IFERROR(__xludf.DUMMYFUNCTION("""COMPUTED_VALUE"""),"item_rss")</f>
        <v>item_rss</v>
      </c>
      <c r="E1887" s="148">
        <f>IFERROR(__xludf.DUMMYFUNCTION("""COMPUTED_VALUE"""),20.0)</f>
        <v>20</v>
      </c>
      <c r="F1887" s="148">
        <f>IFERROR(__xludf.DUMMYFUNCTION("""COMPUTED_VALUE"""),413014.0)</f>
        <v>413014</v>
      </c>
      <c r="G1887" s="148">
        <f>IFERROR(__xludf.DUMMYFUNCTION("""COMPUTED_VALUE"""),1.511878E7)</f>
        <v>15118780</v>
      </c>
      <c r="H1887" s="148">
        <f>IFERROR(__xludf.DUMMYFUNCTION("""COMPUTED_VALUE"""),1.511256E7)</f>
        <v>15112560</v>
      </c>
      <c r="I1887" s="148" t="str">
        <f>IFERROR(__xludf.DUMMYFUNCTION("""COMPUTED_VALUE"""),"{""typ"":""lc"",""txt"":""LC_ITEM_rss_upper_show"",""args"":[{""typ"":""int"",""val"":100}]}")</f>
        <v>{"typ":"lc","txt":"LC_ITEM_rss_upper_show","args":[{"typ":"int","val":100}]}</v>
      </c>
      <c r="J1887" s="148" t="str">
        <f>IFERROR(__xludf.DUMMYFUNCTION("""COMPUTED_VALUE"""),"{""typ"":""lc"",""txt"":""LC_ITEM_mecha_driver_exp_name"",""args"":[{""typ"":""int"",""val"":100}]}")</f>
        <v>{"typ":"lc","txt":"LC_ITEM_mecha_driver_exp_name","args":[{"typ":"int","val":100}]}</v>
      </c>
      <c r="K1887" s="148" t="str">
        <f>IFERROR(__xludf.DUMMYFUNCTION("""COMPUTED_VALUE"""),"{""typ"":""lc"",""txt"":""LC_ITEM_mecha_driver_exp_desc"",""args"":[{""typ"":""int"",""val"":100}]}")</f>
        <v>{"typ":"lc","txt":"LC_ITEM_mecha_driver_exp_desc","args":[{"typ":"int","val":100}]}</v>
      </c>
      <c r="L1887" s="148" t="str">
        <f>IFERROR(__xludf.DUMMYFUNCTION("""COMPUTED_VALUE"""),"{""typ"":""lc"",""txt"":""LC_ITEM_mecha_driver_exp_usedtip""}")</f>
        <v>{"typ":"lc","txt":"LC_ITEM_mecha_driver_exp_usedtip"}</v>
      </c>
      <c r="M1887" s="148">
        <f>IFERROR(__xludf.DUMMYFUNCTION("""COMPUTED_VALUE"""),1.0)</f>
        <v>1</v>
      </c>
      <c r="N1887" s="148">
        <f>IFERROR(__xludf.DUMMYFUNCTION("""COMPUTED_VALUE"""),999999.0)</f>
        <v>999999</v>
      </c>
      <c r="O1887" s="148">
        <f>IFERROR(__xludf.DUMMYFUNCTION("""COMPUTED_VALUE"""),99999.0)</f>
        <v>99999</v>
      </c>
      <c r="P1887" s="148">
        <f>IFERROR(__xludf.DUMMYFUNCTION("""COMPUTED_VALUE"""),9999.0)</f>
        <v>9999</v>
      </c>
      <c r="Q1887" s="148" t="str">
        <f>IFERROR(__xludf.DUMMYFUNCTION("""COMPUTED_VALUE"""),"[]")</f>
        <v>[]</v>
      </c>
      <c r="R1887" s="148" t="str">
        <f>IFERROR(__xludf.DUMMYFUNCTION("""COMPUTED_VALUE"""),"[""bag""]")</f>
        <v>["bag"]</v>
      </c>
      <c r="S1887" s="148" t="str">
        <f>IFERROR(__xludf.DUMMYFUNCTION("""COMPUTED_VALUE"""),"{""effect"":[{""typ"":""rss"",""id"":11142003,""val"":100}]}")</f>
        <v>{"effect":[{"typ":"rss","id":11142003,"val":100}]}</v>
      </c>
      <c r="T1887" s="148">
        <f>IFERROR(__xludf.DUMMYFUNCTION("""COMPUTED_VALUE"""),-1.0)</f>
        <v>-1</v>
      </c>
      <c r="U1887" s="148">
        <f>IFERROR(__xludf.DUMMYFUNCTION("""COMPUTED_VALUE"""),1.0)</f>
        <v>1</v>
      </c>
      <c r="V1887" s="148" t="str">
        <f>IFERROR(__xludf.DUMMYFUNCTION("""COMPUTED_VALUE"""),"[]")</f>
        <v>[]</v>
      </c>
      <c r="W1887" s="148">
        <f>IFERROR(__xludf.DUMMYFUNCTION("""COMPUTED_VALUE"""),1.174E7)</f>
        <v>11740000</v>
      </c>
      <c r="X1887" s="148">
        <f>IFERROR(__xludf.DUMMYFUNCTION("""COMPUTED_VALUE"""),0.0)</f>
        <v>0</v>
      </c>
      <c r="Y1887" s="148">
        <f>IFERROR(__xludf.DUMMYFUNCTION("""COMPUTED_VALUE"""),0.0)</f>
        <v>0</v>
      </c>
      <c r="Z1887" s="148"/>
    </row>
    <row r="1888">
      <c r="A1888" s="148">
        <f>IFERROR(__xludf.DUMMYFUNCTION("""COMPUTED_VALUE"""),1.1117906E7)</f>
        <v>11117906</v>
      </c>
      <c r="B1888" s="148" t="str">
        <f>IFERROR(__xludf.DUMMYFUNCTION("""COMPUTED_VALUE"""),"机甲驾驶经验-500")</f>
        <v>机甲驾驶经验-500</v>
      </c>
      <c r="C1888" s="148"/>
      <c r="D1888" s="148" t="str">
        <f>IFERROR(__xludf.DUMMYFUNCTION("""COMPUTED_VALUE"""),"item_rss")</f>
        <v>item_rss</v>
      </c>
      <c r="E1888" s="148">
        <f>IFERROR(__xludf.DUMMYFUNCTION("""COMPUTED_VALUE"""),20.0)</f>
        <v>20</v>
      </c>
      <c r="F1888" s="148">
        <f>IFERROR(__xludf.DUMMYFUNCTION("""COMPUTED_VALUE"""),413013.0)</f>
        <v>413013</v>
      </c>
      <c r="G1888" s="148">
        <f>IFERROR(__xludf.DUMMYFUNCTION("""COMPUTED_VALUE"""),1.511878E7)</f>
        <v>15118780</v>
      </c>
      <c r="H1888" s="148">
        <f>IFERROR(__xludf.DUMMYFUNCTION("""COMPUTED_VALUE"""),1.511256E7)</f>
        <v>15112560</v>
      </c>
      <c r="I1888" s="148" t="str">
        <f>IFERROR(__xludf.DUMMYFUNCTION("""COMPUTED_VALUE"""),"{""typ"":""lc"",""txt"":""LC_ITEM_rss_upper_show"",""args"":[{""typ"":""int"",""val"":500}]}")</f>
        <v>{"typ":"lc","txt":"LC_ITEM_rss_upper_show","args":[{"typ":"int","val":500}]}</v>
      </c>
      <c r="J1888" s="148" t="str">
        <f>IFERROR(__xludf.DUMMYFUNCTION("""COMPUTED_VALUE"""),"{""typ"":""lc"",""txt"":""LC_ITEM_mecha_driver_exp_name"",""args"":[{""typ"":""int"",""val"":500}]}")</f>
        <v>{"typ":"lc","txt":"LC_ITEM_mecha_driver_exp_name","args":[{"typ":"int","val":500}]}</v>
      </c>
      <c r="K1888" s="148" t="str">
        <f>IFERROR(__xludf.DUMMYFUNCTION("""COMPUTED_VALUE"""),"{""typ"":""lc"",""txt"":""LC_ITEM_mecha_driver_exp_desc"",""args"":[{""typ"":""int"",""val"":500}]}")</f>
        <v>{"typ":"lc","txt":"LC_ITEM_mecha_driver_exp_desc","args":[{"typ":"int","val":500}]}</v>
      </c>
      <c r="L1888" s="148" t="str">
        <f>IFERROR(__xludf.DUMMYFUNCTION("""COMPUTED_VALUE"""),"{""typ"":""lc"",""txt"":""LC_ITEM_mecha_driver_exp_usedtip""}")</f>
        <v>{"typ":"lc","txt":"LC_ITEM_mecha_driver_exp_usedtip"}</v>
      </c>
      <c r="M1888" s="148">
        <f>IFERROR(__xludf.DUMMYFUNCTION("""COMPUTED_VALUE"""),5.0)</f>
        <v>5</v>
      </c>
      <c r="N1888" s="148">
        <f>IFERROR(__xludf.DUMMYFUNCTION("""COMPUTED_VALUE"""),999999.0)</f>
        <v>999999</v>
      </c>
      <c r="O1888" s="148">
        <f>IFERROR(__xludf.DUMMYFUNCTION("""COMPUTED_VALUE"""),99999.0)</f>
        <v>99999</v>
      </c>
      <c r="P1888" s="148">
        <f>IFERROR(__xludf.DUMMYFUNCTION("""COMPUTED_VALUE"""),9999.0)</f>
        <v>9999</v>
      </c>
      <c r="Q1888" s="148" t="str">
        <f>IFERROR(__xludf.DUMMYFUNCTION("""COMPUTED_VALUE"""),"[]")</f>
        <v>[]</v>
      </c>
      <c r="R1888" s="148" t="str">
        <f>IFERROR(__xludf.DUMMYFUNCTION("""COMPUTED_VALUE"""),"[""bag""]")</f>
        <v>["bag"]</v>
      </c>
      <c r="S1888" s="148" t="str">
        <f>IFERROR(__xludf.DUMMYFUNCTION("""COMPUTED_VALUE"""),"{""effect"":[{""typ"":""rss"",""id"":11142003,""val"":500}]}")</f>
        <v>{"effect":[{"typ":"rss","id":11142003,"val":500}]}</v>
      </c>
      <c r="T1888" s="148">
        <f>IFERROR(__xludf.DUMMYFUNCTION("""COMPUTED_VALUE"""),-1.0)</f>
        <v>-1</v>
      </c>
      <c r="U1888" s="148">
        <f>IFERROR(__xludf.DUMMYFUNCTION("""COMPUTED_VALUE"""),1.0)</f>
        <v>1</v>
      </c>
      <c r="V1888" s="148" t="str">
        <f>IFERROR(__xludf.DUMMYFUNCTION("""COMPUTED_VALUE"""),"[]")</f>
        <v>[]</v>
      </c>
      <c r="W1888" s="148">
        <f>IFERROR(__xludf.DUMMYFUNCTION("""COMPUTED_VALUE"""),1.174E7)</f>
        <v>11740000</v>
      </c>
      <c r="X1888" s="148">
        <f>IFERROR(__xludf.DUMMYFUNCTION("""COMPUTED_VALUE"""),0.0)</f>
        <v>0</v>
      </c>
      <c r="Y1888" s="148">
        <f>IFERROR(__xludf.DUMMYFUNCTION("""COMPUTED_VALUE"""),0.0)</f>
        <v>0</v>
      </c>
      <c r="Z1888" s="148"/>
    </row>
    <row r="1889">
      <c r="A1889" s="148">
        <f>IFERROR(__xludf.DUMMYFUNCTION("""COMPUTED_VALUE"""),1.1117907E7)</f>
        <v>11117907</v>
      </c>
      <c r="B1889" s="148" t="str">
        <f>IFERROR(__xludf.DUMMYFUNCTION("""COMPUTED_VALUE"""),"机甲驾驶经验-1000")</f>
        <v>机甲驾驶经验-1000</v>
      </c>
      <c r="C1889" s="148"/>
      <c r="D1889" s="148" t="str">
        <f>IFERROR(__xludf.DUMMYFUNCTION("""COMPUTED_VALUE"""),"item_rss")</f>
        <v>item_rss</v>
      </c>
      <c r="E1889" s="148">
        <f>IFERROR(__xludf.DUMMYFUNCTION("""COMPUTED_VALUE"""),20.0)</f>
        <v>20</v>
      </c>
      <c r="F1889" s="148">
        <f>IFERROR(__xludf.DUMMYFUNCTION("""COMPUTED_VALUE"""),413012.0)</f>
        <v>413012</v>
      </c>
      <c r="G1889" s="148">
        <f>IFERROR(__xludf.DUMMYFUNCTION("""COMPUTED_VALUE"""),1.511878E7)</f>
        <v>15118780</v>
      </c>
      <c r="H1889" s="148">
        <f>IFERROR(__xludf.DUMMYFUNCTION("""COMPUTED_VALUE"""),1.511256E7)</f>
        <v>15112560</v>
      </c>
      <c r="I1889" s="148" t="str">
        <f>IFERROR(__xludf.DUMMYFUNCTION("""COMPUTED_VALUE"""),"{""typ"":""lc"",""txt"":""LC_ITEM_rss_upper_show"",""args"":[{""typ"":""int"",""val"":1000}]}")</f>
        <v>{"typ":"lc","txt":"LC_ITEM_rss_upper_show","args":[{"typ":"int","val":1000}]}</v>
      </c>
      <c r="J1889" s="148" t="str">
        <f>IFERROR(__xludf.DUMMYFUNCTION("""COMPUTED_VALUE"""),"{""typ"":""lc"",""txt"":""LC_ITEM_mecha_driver_exp_name"",""args"":[{""typ"":""int"",""val"":1000}]}")</f>
        <v>{"typ":"lc","txt":"LC_ITEM_mecha_driver_exp_name","args":[{"typ":"int","val":1000}]}</v>
      </c>
      <c r="K1889" s="148" t="str">
        <f>IFERROR(__xludf.DUMMYFUNCTION("""COMPUTED_VALUE"""),"{""typ"":""lc"",""txt"":""LC_ITEM_mecha_driver_exp_desc"",""args"":[{""typ"":""int"",""val"":1000}]}")</f>
        <v>{"typ":"lc","txt":"LC_ITEM_mecha_driver_exp_desc","args":[{"typ":"int","val":1000}]}</v>
      </c>
      <c r="L1889" s="148" t="str">
        <f>IFERROR(__xludf.DUMMYFUNCTION("""COMPUTED_VALUE"""),"{""typ"":""lc"",""txt"":""LC_ITEM_mecha_driver_exp_usedtip""}")</f>
        <v>{"typ":"lc","txt":"LC_ITEM_mecha_driver_exp_usedtip"}</v>
      </c>
      <c r="M1889" s="148">
        <f>IFERROR(__xludf.DUMMYFUNCTION("""COMPUTED_VALUE"""),15.0)</f>
        <v>15</v>
      </c>
      <c r="N1889" s="148">
        <f>IFERROR(__xludf.DUMMYFUNCTION("""COMPUTED_VALUE"""),999999.0)</f>
        <v>999999</v>
      </c>
      <c r="O1889" s="148">
        <f>IFERROR(__xludf.DUMMYFUNCTION("""COMPUTED_VALUE"""),99999.0)</f>
        <v>99999</v>
      </c>
      <c r="P1889" s="148">
        <f>IFERROR(__xludf.DUMMYFUNCTION("""COMPUTED_VALUE"""),9999.0)</f>
        <v>9999</v>
      </c>
      <c r="Q1889" s="148" t="str">
        <f>IFERROR(__xludf.DUMMYFUNCTION("""COMPUTED_VALUE"""),"[]")</f>
        <v>[]</v>
      </c>
      <c r="R1889" s="148" t="str">
        <f>IFERROR(__xludf.DUMMYFUNCTION("""COMPUTED_VALUE"""),"[""bag""]")</f>
        <v>["bag"]</v>
      </c>
      <c r="S1889" s="148" t="str">
        <f>IFERROR(__xludf.DUMMYFUNCTION("""COMPUTED_VALUE"""),"{""effect"":[{""typ"":""rss"",""id"":11142003,""val"":1000}]}")</f>
        <v>{"effect":[{"typ":"rss","id":11142003,"val":1000}]}</v>
      </c>
      <c r="T1889" s="148">
        <f>IFERROR(__xludf.DUMMYFUNCTION("""COMPUTED_VALUE"""),-1.0)</f>
        <v>-1</v>
      </c>
      <c r="U1889" s="148">
        <f>IFERROR(__xludf.DUMMYFUNCTION("""COMPUTED_VALUE"""),1.0)</f>
        <v>1</v>
      </c>
      <c r="V1889" s="148" t="str">
        <f>IFERROR(__xludf.DUMMYFUNCTION("""COMPUTED_VALUE"""),"[]")</f>
        <v>[]</v>
      </c>
      <c r="W1889" s="148">
        <f>IFERROR(__xludf.DUMMYFUNCTION("""COMPUTED_VALUE"""),1.174E7)</f>
        <v>11740000</v>
      </c>
      <c r="X1889" s="148">
        <f>IFERROR(__xludf.DUMMYFUNCTION("""COMPUTED_VALUE"""),0.0)</f>
        <v>0</v>
      </c>
      <c r="Y1889" s="148">
        <f>IFERROR(__xludf.DUMMYFUNCTION("""COMPUTED_VALUE"""),0.0)</f>
        <v>0</v>
      </c>
      <c r="Z1889" s="148"/>
    </row>
    <row r="1890">
      <c r="A1890" s="148">
        <f>IFERROR(__xludf.DUMMYFUNCTION("""COMPUTED_VALUE"""),1.1117908E7)</f>
        <v>11117908</v>
      </c>
      <c r="B1890" s="148" t="str">
        <f>IFERROR(__xludf.DUMMYFUNCTION("""COMPUTED_VALUE"""),"神经增强剂-紫")</f>
        <v>神经增强剂-紫</v>
      </c>
      <c r="C1890" s="148"/>
      <c r="D1890" s="148" t="str">
        <f>IFERROR(__xludf.DUMMYFUNCTION("""COMPUTED_VALUE"""),"item_asset")</f>
        <v>item_asset</v>
      </c>
      <c r="E1890" s="148">
        <f>IFERROR(__xludf.DUMMYFUNCTION("""COMPUTED_VALUE"""),0.0)</f>
        <v>0</v>
      </c>
      <c r="F1890" s="148">
        <f>IFERROR(__xludf.DUMMYFUNCTION("""COMPUTED_VALUE"""),413015.0)</f>
        <v>413015</v>
      </c>
      <c r="G1890" s="148">
        <f>IFERROR(__xludf.DUMMYFUNCTION("""COMPUTED_VALUE"""),1.5118781E7)</f>
        <v>15118781</v>
      </c>
      <c r="H1890" s="148">
        <f>IFERROR(__xludf.DUMMYFUNCTION("""COMPUTED_VALUE"""),1.5112563E7)</f>
        <v>15112563</v>
      </c>
      <c r="I1890" s="148" t="str">
        <f>IFERROR(__xludf.DUMMYFUNCTION("""COMPUTED_VALUE"""),"{}")</f>
        <v>{}</v>
      </c>
      <c r="J1890" s="148" t="str">
        <f>IFERROR(__xludf.DUMMYFUNCTION("""COMPUTED_VALUE"""),"{""typ"":""lc"",""txt"":""LC_ITEM_mecha_driver_break_name_1""}")</f>
        <v>{"typ":"lc","txt":"LC_ITEM_mecha_driver_break_name_1"}</v>
      </c>
      <c r="K1890" s="148" t="str">
        <f>IFERROR(__xludf.DUMMYFUNCTION("""COMPUTED_VALUE"""),"{""typ"":""lc"",""txt"":""LC_ITEM_mecha_driver_break_desc_1""}")</f>
        <v>{"typ":"lc","txt":"LC_ITEM_mecha_driver_break_desc_1"}</v>
      </c>
      <c r="L1890" s="148" t="str">
        <f>IFERROR(__xludf.DUMMYFUNCTION("""COMPUTED_VALUE"""),"{}")</f>
        <v>{}</v>
      </c>
      <c r="M1890" s="148">
        <f>IFERROR(__xludf.DUMMYFUNCTION("""COMPUTED_VALUE"""),200.0)</f>
        <v>200</v>
      </c>
      <c r="N1890" s="148">
        <f>IFERROR(__xludf.DUMMYFUNCTION("""COMPUTED_VALUE"""),999999.0)</f>
        <v>999999</v>
      </c>
      <c r="O1890" s="148">
        <f>IFERROR(__xludf.DUMMYFUNCTION("""COMPUTED_VALUE"""),99999.0)</f>
        <v>99999</v>
      </c>
      <c r="P1890" s="148">
        <f>IFERROR(__xludf.DUMMYFUNCTION("""COMPUTED_VALUE"""),9999.0)</f>
        <v>9999</v>
      </c>
      <c r="Q1890" s="148" t="str">
        <f>IFERROR(__xludf.DUMMYFUNCTION("""COMPUTED_VALUE"""),"[""bag_other""]")</f>
        <v>["bag_other"]</v>
      </c>
      <c r="R1890" s="148" t="str">
        <f>IFERROR(__xludf.DUMMYFUNCTION("""COMPUTED_VALUE"""),"[]")</f>
        <v>[]</v>
      </c>
      <c r="S1890" s="148" t="str">
        <f>IFERROR(__xludf.DUMMYFUNCTION("""COMPUTED_VALUE"""),"{}")</f>
        <v>{}</v>
      </c>
      <c r="T1890" s="148">
        <f>IFERROR(__xludf.DUMMYFUNCTION("""COMPUTED_VALUE"""),-1.0)</f>
        <v>-1</v>
      </c>
      <c r="U1890" s="148">
        <f>IFERROR(__xludf.DUMMYFUNCTION("""COMPUTED_VALUE"""),0.0)</f>
        <v>0</v>
      </c>
      <c r="V1890" s="148" t="str">
        <f>IFERROR(__xludf.DUMMYFUNCTION("""COMPUTED_VALUE"""),"[]")</f>
        <v>[]</v>
      </c>
      <c r="W1890" s="148">
        <f>IFERROR(__xludf.DUMMYFUNCTION("""COMPUTED_VALUE"""),1.174E7)</f>
        <v>11740000</v>
      </c>
      <c r="X1890" s="148">
        <f>IFERROR(__xludf.DUMMYFUNCTION("""COMPUTED_VALUE"""),0.0)</f>
        <v>0</v>
      </c>
      <c r="Y1890" s="148">
        <f>IFERROR(__xludf.DUMMYFUNCTION("""COMPUTED_VALUE"""),0.0)</f>
        <v>0</v>
      </c>
      <c r="Z1890" s="148"/>
    </row>
    <row r="1891">
      <c r="A1891" s="148">
        <f>IFERROR(__xludf.DUMMYFUNCTION("""COMPUTED_VALUE"""),1.1117909E7)</f>
        <v>11117909</v>
      </c>
      <c r="B1891" s="148" t="str">
        <f>IFERROR(__xludf.DUMMYFUNCTION("""COMPUTED_VALUE"""),"神经增强剂-橙")</f>
        <v>神经增强剂-橙</v>
      </c>
      <c r="C1891" s="148"/>
      <c r="D1891" s="148" t="str">
        <f>IFERROR(__xludf.DUMMYFUNCTION("""COMPUTED_VALUE"""),"item_asset")</f>
        <v>item_asset</v>
      </c>
      <c r="E1891" s="148">
        <f>IFERROR(__xludf.DUMMYFUNCTION("""COMPUTED_VALUE"""),0.0)</f>
        <v>0</v>
      </c>
      <c r="F1891" s="148">
        <f>IFERROR(__xludf.DUMMYFUNCTION("""COMPUTED_VALUE"""),413016.0)</f>
        <v>413016</v>
      </c>
      <c r="G1891" s="148">
        <f>IFERROR(__xludf.DUMMYFUNCTION("""COMPUTED_VALUE"""),1.5118782E7)</f>
        <v>15118782</v>
      </c>
      <c r="H1891" s="148">
        <f>IFERROR(__xludf.DUMMYFUNCTION("""COMPUTED_VALUE"""),1.5112564E7)</f>
        <v>15112564</v>
      </c>
      <c r="I1891" s="148" t="str">
        <f>IFERROR(__xludf.DUMMYFUNCTION("""COMPUTED_VALUE"""),"{}")</f>
        <v>{}</v>
      </c>
      <c r="J1891" s="148" t="str">
        <f>IFERROR(__xludf.DUMMYFUNCTION("""COMPUTED_VALUE"""),"{""typ"":""lc"",""txt"":""LC_ITEM_mecha_driver_break_name_2""}")</f>
        <v>{"typ":"lc","txt":"LC_ITEM_mecha_driver_break_name_2"}</v>
      </c>
      <c r="K1891" s="148" t="str">
        <f>IFERROR(__xludf.DUMMYFUNCTION("""COMPUTED_VALUE"""),"{""typ"":""lc"",""txt"":""LC_ITEM_mecha_driver_break_desc_2""}")</f>
        <v>{"typ":"lc","txt":"LC_ITEM_mecha_driver_break_desc_2"}</v>
      </c>
      <c r="L1891" s="148" t="str">
        <f>IFERROR(__xludf.DUMMYFUNCTION("""COMPUTED_VALUE"""),"{}")</f>
        <v>{}</v>
      </c>
      <c r="M1891" s="148">
        <f>IFERROR(__xludf.DUMMYFUNCTION("""COMPUTED_VALUE"""),500.0)</f>
        <v>500</v>
      </c>
      <c r="N1891" s="148">
        <f>IFERROR(__xludf.DUMMYFUNCTION("""COMPUTED_VALUE"""),999999.0)</f>
        <v>999999</v>
      </c>
      <c r="O1891" s="148">
        <f>IFERROR(__xludf.DUMMYFUNCTION("""COMPUTED_VALUE"""),99999.0)</f>
        <v>99999</v>
      </c>
      <c r="P1891" s="148">
        <f>IFERROR(__xludf.DUMMYFUNCTION("""COMPUTED_VALUE"""),9999.0)</f>
        <v>9999</v>
      </c>
      <c r="Q1891" s="148" t="str">
        <f>IFERROR(__xludf.DUMMYFUNCTION("""COMPUTED_VALUE"""),"[""bag_other""]")</f>
        <v>["bag_other"]</v>
      </c>
      <c r="R1891" s="148" t="str">
        <f>IFERROR(__xludf.DUMMYFUNCTION("""COMPUTED_VALUE"""),"[]")</f>
        <v>[]</v>
      </c>
      <c r="S1891" s="148" t="str">
        <f>IFERROR(__xludf.DUMMYFUNCTION("""COMPUTED_VALUE"""),"{}")</f>
        <v>{}</v>
      </c>
      <c r="T1891" s="148">
        <f>IFERROR(__xludf.DUMMYFUNCTION("""COMPUTED_VALUE"""),-1.0)</f>
        <v>-1</v>
      </c>
      <c r="U1891" s="148">
        <f>IFERROR(__xludf.DUMMYFUNCTION("""COMPUTED_VALUE"""),0.0)</f>
        <v>0</v>
      </c>
      <c r="V1891" s="148" t="str">
        <f>IFERROR(__xludf.DUMMYFUNCTION("""COMPUTED_VALUE"""),"[]")</f>
        <v>[]</v>
      </c>
      <c r="W1891" s="148">
        <f>IFERROR(__xludf.DUMMYFUNCTION("""COMPUTED_VALUE"""),1.174E7)</f>
        <v>11740000</v>
      </c>
      <c r="X1891" s="148">
        <f>IFERROR(__xludf.DUMMYFUNCTION("""COMPUTED_VALUE"""),0.0)</f>
        <v>0</v>
      </c>
      <c r="Y1891" s="148">
        <f>IFERROR(__xludf.DUMMYFUNCTION("""COMPUTED_VALUE"""),0.0)</f>
        <v>0</v>
      </c>
      <c r="Z1891" s="148"/>
    </row>
    <row r="1892">
      <c r="A1892" s="148">
        <f>IFERROR(__xludf.DUMMYFUNCTION("""COMPUTED_VALUE"""),1.111791E7)</f>
        <v>11117910</v>
      </c>
      <c r="B1892" s="148" t="str">
        <f>IFERROR(__xludf.DUMMYFUNCTION("""COMPUTED_VALUE"""),"机师安迪—紫")</f>
        <v>机师安迪—紫</v>
      </c>
      <c r="C1892" s="148"/>
      <c r="D1892" s="148" t="str">
        <f>IFERROR(__xludf.DUMMYFUNCTION("""COMPUTED_VALUE"""),"item_mecha_driver")</f>
        <v>item_mecha_driver</v>
      </c>
      <c r="E1892" s="148">
        <f>IFERROR(__xludf.DUMMYFUNCTION("""COMPUTED_VALUE"""),20.0)</f>
        <v>20</v>
      </c>
      <c r="F1892" s="148">
        <f>IFERROR(__xludf.DUMMYFUNCTION("""COMPUTED_VALUE"""),408195.0)</f>
        <v>408195</v>
      </c>
      <c r="G1892" s="148">
        <f>IFERROR(__xludf.DUMMYFUNCTION("""COMPUTED_VALUE"""),1.5118675E7)</f>
        <v>15118675</v>
      </c>
      <c r="H1892" s="148">
        <f>IFERROR(__xludf.DUMMYFUNCTION("""COMPUTED_VALUE"""),1.5112563E7)</f>
        <v>15112563</v>
      </c>
      <c r="I1892" s="148" t="str">
        <f>IFERROR(__xludf.DUMMYFUNCTION("""COMPUTED_VALUE"""),"{}")</f>
        <v>{}</v>
      </c>
      <c r="J1892" s="148" t="str">
        <f>IFERROR(__xludf.DUMMYFUNCTION("""COMPUTED_VALUE"""),"{""typ"":""lc"",""txt"":""LC_MAP_mecha_driver_hero_name_1""}")</f>
        <v>{"typ":"lc","txt":"LC_MAP_mecha_driver_hero_name_1"}</v>
      </c>
      <c r="K1892" s="148" t="str">
        <f>IFERROR(__xludf.DUMMYFUNCTION("""COMPUTED_VALUE"""),"{""typ"":""lc"",""txt"":""LC_MAP_mecha_driver_hero_desc_1""}")</f>
        <v>{"typ":"lc","txt":"LC_MAP_mecha_driver_hero_desc_1"}</v>
      </c>
      <c r="L1892" s="148" t="str">
        <f>IFERROR(__xludf.DUMMYFUNCTION("""COMPUTED_VALUE"""),"{}")</f>
        <v>{}</v>
      </c>
      <c r="M1892" s="148">
        <f>IFERROR(__xludf.DUMMYFUNCTION("""COMPUTED_VALUE"""),2500.0)</f>
        <v>2500</v>
      </c>
      <c r="N1892" s="148">
        <f>IFERROR(__xludf.DUMMYFUNCTION("""COMPUTED_VALUE"""),999999.0)</f>
        <v>999999</v>
      </c>
      <c r="O1892" s="148">
        <f>IFERROR(__xludf.DUMMYFUNCTION("""COMPUTED_VALUE"""),99999.0)</f>
        <v>99999</v>
      </c>
      <c r="P1892" s="148">
        <f>IFERROR(__xludf.DUMMYFUNCTION("""COMPUTED_VALUE"""),9999.0)</f>
        <v>9999</v>
      </c>
      <c r="Q1892" s="148" t="str">
        <f>IFERROR(__xludf.DUMMYFUNCTION("""COMPUTED_VALUE"""),"[""bag_other""]")</f>
        <v>["bag_other"]</v>
      </c>
      <c r="R1892" s="148" t="str">
        <f>IFERROR(__xludf.DUMMYFUNCTION("""COMPUTED_VALUE"""),"[""bag"",""40120101""]")</f>
        <v>["bag","40120101"]</v>
      </c>
      <c r="S1892" s="148" t="str">
        <f>IFERROR(__xludf.DUMMYFUNCTION("""COMPUTED_VALUE"""),"{""effect"":[{""typ"":""mecha_driver"",""id"":40120101,""val"":1}]}")</f>
        <v>{"effect":[{"typ":"mecha_driver","id":40120101,"val":1}]}</v>
      </c>
      <c r="T1892" s="148">
        <f>IFERROR(__xludf.DUMMYFUNCTION("""COMPUTED_VALUE"""),1.0)</f>
        <v>1</v>
      </c>
      <c r="U1892" s="148">
        <f>IFERROR(__xludf.DUMMYFUNCTION("""COMPUTED_VALUE"""),1.0)</f>
        <v>1</v>
      </c>
      <c r="V1892" s="148" t="str">
        <f>IFERROR(__xludf.DUMMYFUNCTION("""COMPUTED_VALUE"""),"[]")</f>
        <v>[]</v>
      </c>
      <c r="W1892" s="148">
        <f>IFERROR(__xludf.DUMMYFUNCTION("""COMPUTED_VALUE"""),1.174E7)</f>
        <v>11740000</v>
      </c>
      <c r="X1892" s="148">
        <f>IFERROR(__xludf.DUMMYFUNCTION("""COMPUTED_VALUE"""),0.0)</f>
        <v>0</v>
      </c>
      <c r="Y1892" s="148">
        <f>IFERROR(__xludf.DUMMYFUNCTION("""COMPUTED_VALUE"""),0.0)</f>
        <v>0</v>
      </c>
      <c r="Z1892" s="148"/>
    </row>
    <row r="1893">
      <c r="A1893" s="148">
        <f>IFERROR(__xludf.DUMMYFUNCTION("""COMPUTED_VALUE"""),1.1117911E7)</f>
        <v>11117911</v>
      </c>
      <c r="B1893" s="148" t="str">
        <f>IFERROR(__xludf.DUMMYFUNCTION("""COMPUTED_VALUE"""),"机师安德鲁—紫")</f>
        <v>机师安德鲁—紫</v>
      </c>
      <c r="C1893" s="148"/>
      <c r="D1893" s="148" t="str">
        <f>IFERROR(__xludf.DUMMYFUNCTION("""COMPUTED_VALUE"""),"item_mecha_driver")</f>
        <v>item_mecha_driver</v>
      </c>
      <c r="E1893" s="148">
        <f>IFERROR(__xludf.DUMMYFUNCTION("""COMPUTED_VALUE"""),20.0)</f>
        <v>20</v>
      </c>
      <c r="F1893" s="148">
        <f>IFERROR(__xludf.DUMMYFUNCTION("""COMPUTED_VALUE"""),408195.0)</f>
        <v>408195</v>
      </c>
      <c r="G1893" s="148">
        <f>IFERROR(__xludf.DUMMYFUNCTION("""COMPUTED_VALUE"""),1.5118668E7)</f>
        <v>15118668</v>
      </c>
      <c r="H1893" s="148">
        <f>IFERROR(__xludf.DUMMYFUNCTION("""COMPUTED_VALUE"""),1.5112563E7)</f>
        <v>15112563</v>
      </c>
      <c r="I1893" s="148" t="str">
        <f>IFERROR(__xludf.DUMMYFUNCTION("""COMPUTED_VALUE"""),"{}")</f>
        <v>{}</v>
      </c>
      <c r="J1893" s="148" t="str">
        <f>IFERROR(__xludf.DUMMYFUNCTION("""COMPUTED_VALUE"""),"{""typ"":""lc"",""txt"":""LC_MAP_mecha_driver_hero_name_2""}")</f>
        <v>{"typ":"lc","txt":"LC_MAP_mecha_driver_hero_name_2"}</v>
      </c>
      <c r="K1893" s="148" t="str">
        <f>IFERROR(__xludf.DUMMYFUNCTION("""COMPUTED_VALUE"""),"{""typ"":""lc"",""txt"":""LC_MAP_mecha_driver_hero_desc_2""}")</f>
        <v>{"typ":"lc","txt":"LC_MAP_mecha_driver_hero_desc_2"}</v>
      </c>
      <c r="L1893" s="148" t="str">
        <f>IFERROR(__xludf.DUMMYFUNCTION("""COMPUTED_VALUE"""),"{}")</f>
        <v>{}</v>
      </c>
      <c r="M1893" s="148">
        <f>IFERROR(__xludf.DUMMYFUNCTION("""COMPUTED_VALUE"""),2500.0)</f>
        <v>2500</v>
      </c>
      <c r="N1893" s="148">
        <f>IFERROR(__xludf.DUMMYFUNCTION("""COMPUTED_VALUE"""),999999.0)</f>
        <v>999999</v>
      </c>
      <c r="O1893" s="148">
        <f>IFERROR(__xludf.DUMMYFUNCTION("""COMPUTED_VALUE"""),99999.0)</f>
        <v>99999</v>
      </c>
      <c r="P1893" s="148">
        <f>IFERROR(__xludf.DUMMYFUNCTION("""COMPUTED_VALUE"""),9999.0)</f>
        <v>9999</v>
      </c>
      <c r="Q1893" s="148" t="str">
        <f>IFERROR(__xludf.DUMMYFUNCTION("""COMPUTED_VALUE"""),"[""bag_other""]")</f>
        <v>["bag_other"]</v>
      </c>
      <c r="R1893" s="148" t="str">
        <f>IFERROR(__xludf.DUMMYFUNCTION("""COMPUTED_VALUE"""),"[""bag"",""40120102""]")</f>
        <v>["bag","40120102"]</v>
      </c>
      <c r="S1893" s="148" t="str">
        <f>IFERROR(__xludf.DUMMYFUNCTION("""COMPUTED_VALUE"""),"{""effect"":[{""typ"":""mecha_driver"",""id"":40120102,""val"":1}]}")</f>
        <v>{"effect":[{"typ":"mecha_driver","id":40120102,"val":1}]}</v>
      </c>
      <c r="T1893" s="148">
        <f>IFERROR(__xludf.DUMMYFUNCTION("""COMPUTED_VALUE"""),1.0)</f>
        <v>1</v>
      </c>
      <c r="U1893" s="148">
        <f>IFERROR(__xludf.DUMMYFUNCTION("""COMPUTED_VALUE"""),1.0)</f>
        <v>1</v>
      </c>
      <c r="V1893" s="148" t="str">
        <f>IFERROR(__xludf.DUMMYFUNCTION("""COMPUTED_VALUE"""),"[]")</f>
        <v>[]</v>
      </c>
      <c r="W1893" s="148">
        <f>IFERROR(__xludf.DUMMYFUNCTION("""COMPUTED_VALUE"""),1.174E7)</f>
        <v>11740000</v>
      </c>
      <c r="X1893" s="148">
        <f>IFERROR(__xludf.DUMMYFUNCTION("""COMPUTED_VALUE"""),0.0)</f>
        <v>0</v>
      </c>
      <c r="Y1893" s="148">
        <f>IFERROR(__xludf.DUMMYFUNCTION("""COMPUTED_VALUE"""),0.0)</f>
        <v>0</v>
      </c>
      <c r="Z1893" s="148"/>
    </row>
    <row r="1894">
      <c r="A1894" s="148">
        <f>IFERROR(__xludf.DUMMYFUNCTION("""COMPUTED_VALUE"""),1.1117912E7)</f>
        <v>11117912</v>
      </c>
      <c r="B1894" s="148" t="str">
        <f>IFERROR(__xludf.DUMMYFUNCTION("""COMPUTED_VALUE"""),"机师尼尔森—紫")</f>
        <v>机师尼尔森—紫</v>
      </c>
      <c r="C1894" s="148"/>
      <c r="D1894" s="148" t="str">
        <f>IFERROR(__xludf.DUMMYFUNCTION("""COMPUTED_VALUE"""),"item_mecha_driver")</f>
        <v>item_mecha_driver</v>
      </c>
      <c r="E1894" s="148">
        <f>IFERROR(__xludf.DUMMYFUNCTION("""COMPUTED_VALUE"""),20.0)</f>
        <v>20</v>
      </c>
      <c r="F1894" s="148">
        <f>IFERROR(__xludf.DUMMYFUNCTION("""COMPUTED_VALUE"""),408195.0)</f>
        <v>408195</v>
      </c>
      <c r="G1894" s="148">
        <f>IFERROR(__xludf.DUMMYFUNCTION("""COMPUTED_VALUE"""),1.5118674E7)</f>
        <v>15118674</v>
      </c>
      <c r="H1894" s="148">
        <f>IFERROR(__xludf.DUMMYFUNCTION("""COMPUTED_VALUE"""),1.5112563E7)</f>
        <v>15112563</v>
      </c>
      <c r="I1894" s="148" t="str">
        <f>IFERROR(__xludf.DUMMYFUNCTION("""COMPUTED_VALUE"""),"{}")</f>
        <v>{}</v>
      </c>
      <c r="J1894" s="148" t="str">
        <f>IFERROR(__xludf.DUMMYFUNCTION("""COMPUTED_VALUE"""),"{""typ"":""lc"",""txt"":""LC_MAP_mecha_driver_hero_name_3""}")</f>
        <v>{"typ":"lc","txt":"LC_MAP_mecha_driver_hero_name_3"}</v>
      </c>
      <c r="K1894" s="148" t="str">
        <f>IFERROR(__xludf.DUMMYFUNCTION("""COMPUTED_VALUE"""),"{""typ"":""lc"",""txt"":""LC_MAP_mecha_driver_hero_desc_3""}")</f>
        <v>{"typ":"lc","txt":"LC_MAP_mecha_driver_hero_desc_3"}</v>
      </c>
      <c r="L1894" s="148" t="str">
        <f>IFERROR(__xludf.DUMMYFUNCTION("""COMPUTED_VALUE"""),"{}")</f>
        <v>{}</v>
      </c>
      <c r="M1894" s="148">
        <f>IFERROR(__xludf.DUMMYFUNCTION("""COMPUTED_VALUE"""),2500.0)</f>
        <v>2500</v>
      </c>
      <c r="N1894" s="148">
        <f>IFERROR(__xludf.DUMMYFUNCTION("""COMPUTED_VALUE"""),999999.0)</f>
        <v>999999</v>
      </c>
      <c r="O1894" s="148">
        <f>IFERROR(__xludf.DUMMYFUNCTION("""COMPUTED_VALUE"""),99999.0)</f>
        <v>99999</v>
      </c>
      <c r="P1894" s="148">
        <f>IFERROR(__xludf.DUMMYFUNCTION("""COMPUTED_VALUE"""),9999.0)</f>
        <v>9999</v>
      </c>
      <c r="Q1894" s="148" t="str">
        <f>IFERROR(__xludf.DUMMYFUNCTION("""COMPUTED_VALUE"""),"[""bag_other""]")</f>
        <v>["bag_other"]</v>
      </c>
      <c r="R1894" s="148" t="str">
        <f>IFERROR(__xludf.DUMMYFUNCTION("""COMPUTED_VALUE"""),"[""bag"",""40120103""]")</f>
        <v>["bag","40120103"]</v>
      </c>
      <c r="S1894" s="148" t="str">
        <f>IFERROR(__xludf.DUMMYFUNCTION("""COMPUTED_VALUE"""),"{""effect"":[{""typ"":""mecha_driver"",""id"":40120103,""val"":1}]}")</f>
        <v>{"effect":[{"typ":"mecha_driver","id":40120103,"val":1}]}</v>
      </c>
      <c r="T1894" s="148">
        <f>IFERROR(__xludf.DUMMYFUNCTION("""COMPUTED_VALUE"""),1.0)</f>
        <v>1</v>
      </c>
      <c r="U1894" s="148">
        <f>IFERROR(__xludf.DUMMYFUNCTION("""COMPUTED_VALUE"""),1.0)</f>
        <v>1</v>
      </c>
      <c r="V1894" s="148" t="str">
        <f>IFERROR(__xludf.DUMMYFUNCTION("""COMPUTED_VALUE"""),"[]")</f>
        <v>[]</v>
      </c>
      <c r="W1894" s="148">
        <f>IFERROR(__xludf.DUMMYFUNCTION("""COMPUTED_VALUE"""),1.174E7)</f>
        <v>11740000</v>
      </c>
      <c r="X1894" s="148">
        <f>IFERROR(__xludf.DUMMYFUNCTION("""COMPUTED_VALUE"""),0.0)</f>
        <v>0</v>
      </c>
      <c r="Y1894" s="148">
        <f>IFERROR(__xludf.DUMMYFUNCTION("""COMPUTED_VALUE"""),0.0)</f>
        <v>0</v>
      </c>
      <c r="Z1894" s="148"/>
    </row>
    <row r="1895">
      <c r="A1895" s="148">
        <f>IFERROR(__xludf.DUMMYFUNCTION("""COMPUTED_VALUE"""),1.1117913E7)</f>
        <v>11117913</v>
      </c>
      <c r="B1895" s="148" t="str">
        <f>IFERROR(__xludf.DUMMYFUNCTION("""COMPUTED_VALUE"""),"机师吉姆—橙")</f>
        <v>机师吉姆—橙</v>
      </c>
      <c r="C1895" s="148"/>
      <c r="D1895" s="148" t="str">
        <f>IFERROR(__xludf.DUMMYFUNCTION("""COMPUTED_VALUE"""),"item_mecha_driver")</f>
        <v>item_mecha_driver</v>
      </c>
      <c r="E1895" s="148">
        <f>IFERROR(__xludf.DUMMYFUNCTION("""COMPUTED_VALUE"""),20.0)</f>
        <v>20</v>
      </c>
      <c r="F1895" s="148">
        <f>IFERROR(__xludf.DUMMYFUNCTION("""COMPUTED_VALUE"""),408195.0)</f>
        <v>408195</v>
      </c>
      <c r="G1895" s="148">
        <f>IFERROR(__xludf.DUMMYFUNCTION("""COMPUTED_VALUE"""),1.5118671E7)</f>
        <v>15118671</v>
      </c>
      <c r="H1895" s="148">
        <f>IFERROR(__xludf.DUMMYFUNCTION("""COMPUTED_VALUE"""),1.5112564E7)</f>
        <v>15112564</v>
      </c>
      <c r="I1895" s="148" t="str">
        <f>IFERROR(__xludf.DUMMYFUNCTION("""COMPUTED_VALUE"""),"{}")</f>
        <v>{}</v>
      </c>
      <c r="J1895" s="148" t="str">
        <f>IFERROR(__xludf.DUMMYFUNCTION("""COMPUTED_VALUE"""),"{""typ"":""lc"",""txt"":""LC_MAP_mecha_driver_hero_name_4""}")</f>
        <v>{"typ":"lc","txt":"LC_MAP_mecha_driver_hero_name_4"}</v>
      </c>
      <c r="K1895" s="148" t="str">
        <f>IFERROR(__xludf.DUMMYFUNCTION("""COMPUTED_VALUE"""),"{""typ"":""lc"",""txt"":""LC_MAP_mecha_driver_hero_desc_4""}")</f>
        <v>{"typ":"lc","txt":"LC_MAP_mecha_driver_hero_desc_4"}</v>
      </c>
      <c r="L1895" s="148" t="str">
        <f>IFERROR(__xludf.DUMMYFUNCTION("""COMPUTED_VALUE"""),"{}")</f>
        <v>{}</v>
      </c>
      <c r="M1895" s="148">
        <f>IFERROR(__xludf.DUMMYFUNCTION("""COMPUTED_VALUE"""),8300.0)</f>
        <v>8300</v>
      </c>
      <c r="N1895" s="148">
        <f>IFERROR(__xludf.DUMMYFUNCTION("""COMPUTED_VALUE"""),999999.0)</f>
        <v>999999</v>
      </c>
      <c r="O1895" s="148">
        <f>IFERROR(__xludf.DUMMYFUNCTION("""COMPUTED_VALUE"""),99999.0)</f>
        <v>99999</v>
      </c>
      <c r="P1895" s="148">
        <f>IFERROR(__xludf.DUMMYFUNCTION("""COMPUTED_VALUE"""),9999.0)</f>
        <v>9999</v>
      </c>
      <c r="Q1895" s="148" t="str">
        <f>IFERROR(__xludf.DUMMYFUNCTION("""COMPUTED_VALUE"""),"[""bag_other""]")</f>
        <v>["bag_other"]</v>
      </c>
      <c r="R1895" s="148" t="str">
        <f>IFERROR(__xludf.DUMMYFUNCTION("""COMPUTED_VALUE"""),"[""bag"",""40120201""]")</f>
        <v>["bag","40120201"]</v>
      </c>
      <c r="S1895" s="148" t="str">
        <f>IFERROR(__xludf.DUMMYFUNCTION("""COMPUTED_VALUE"""),"{""effect"":[{""typ"":""mecha_driver"",""id"":40120201,""val"":1}]}")</f>
        <v>{"effect":[{"typ":"mecha_driver","id":40120201,"val":1}]}</v>
      </c>
      <c r="T1895" s="148">
        <f>IFERROR(__xludf.DUMMYFUNCTION("""COMPUTED_VALUE"""),1.0)</f>
        <v>1</v>
      </c>
      <c r="U1895" s="148">
        <f>IFERROR(__xludf.DUMMYFUNCTION("""COMPUTED_VALUE"""),1.0)</f>
        <v>1</v>
      </c>
      <c r="V1895" s="148" t="str">
        <f>IFERROR(__xludf.DUMMYFUNCTION("""COMPUTED_VALUE"""),"[]")</f>
        <v>[]</v>
      </c>
      <c r="W1895" s="148">
        <f>IFERROR(__xludf.DUMMYFUNCTION("""COMPUTED_VALUE"""),1.174E7)</f>
        <v>11740000</v>
      </c>
      <c r="X1895" s="148">
        <f>IFERROR(__xludf.DUMMYFUNCTION("""COMPUTED_VALUE"""),0.0)</f>
        <v>0</v>
      </c>
      <c r="Y1895" s="148">
        <f>IFERROR(__xludf.DUMMYFUNCTION("""COMPUTED_VALUE"""),0.0)</f>
        <v>0</v>
      </c>
      <c r="Z1895" s="148"/>
    </row>
    <row r="1896">
      <c r="A1896" s="148">
        <f>IFERROR(__xludf.DUMMYFUNCTION("""COMPUTED_VALUE"""),1.1117914E7)</f>
        <v>11117914</v>
      </c>
      <c r="B1896" s="148" t="str">
        <f>IFERROR(__xludf.DUMMYFUNCTION("""COMPUTED_VALUE"""),"机师克拉拉—橙")</f>
        <v>机师克拉拉—橙</v>
      </c>
      <c r="C1896" s="148"/>
      <c r="D1896" s="148" t="str">
        <f>IFERROR(__xludf.DUMMYFUNCTION("""COMPUTED_VALUE"""),"item_mecha_driver")</f>
        <v>item_mecha_driver</v>
      </c>
      <c r="E1896" s="148">
        <f>IFERROR(__xludf.DUMMYFUNCTION("""COMPUTED_VALUE"""),20.0)</f>
        <v>20</v>
      </c>
      <c r="F1896" s="148">
        <f>IFERROR(__xludf.DUMMYFUNCTION("""COMPUTED_VALUE"""),408195.0)</f>
        <v>408195</v>
      </c>
      <c r="G1896" s="148">
        <f>IFERROR(__xludf.DUMMYFUNCTION("""COMPUTED_VALUE"""),1.5118673E7)</f>
        <v>15118673</v>
      </c>
      <c r="H1896" s="148">
        <f>IFERROR(__xludf.DUMMYFUNCTION("""COMPUTED_VALUE"""),1.5112564E7)</f>
        <v>15112564</v>
      </c>
      <c r="I1896" s="148" t="str">
        <f>IFERROR(__xludf.DUMMYFUNCTION("""COMPUTED_VALUE"""),"{}")</f>
        <v>{}</v>
      </c>
      <c r="J1896" s="148" t="str">
        <f>IFERROR(__xludf.DUMMYFUNCTION("""COMPUTED_VALUE"""),"{""typ"":""lc"",""txt"":""LC_MAP_mecha_driver_hero_name_5""}")</f>
        <v>{"typ":"lc","txt":"LC_MAP_mecha_driver_hero_name_5"}</v>
      </c>
      <c r="K1896" s="148" t="str">
        <f>IFERROR(__xludf.DUMMYFUNCTION("""COMPUTED_VALUE"""),"{""typ"":""lc"",""txt"":""LC_MAP_mecha_driver_hero_desc_5""}")</f>
        <v>{"typ":"lc","txt":"LC_MAP_mecha_driver_hero_desc_5"}</v>
      </c>
      <c r="L1896" s="148" t="str">
        <f>IFERROR(__xludf.DUMMYFUNCTION("""COMPUTED_VALUE"""),"{}")</f>
        <v>{}</v>
      </c>
      <c r="M1896" s="148">
        <f>IFERROR(__xludf.DUMMYFUNCTION("""COMPUTED_VALUE"""),8300.0)</f>
        <v>8300</v>
      </c>
      <c r="N1896" s="148">
        <f>IFERROR(__xludf.DUMMYFUNCTION("""COMPUTED_VALUE"""),999999.0)</f>
        <v>999999</v>
      </c>
      <c r="O1896" s="148">
        <f>IFERROR(__xludf.DUMMYFUNCTION("""COMPUTED_VALUE"""),99999.0)</f>
        <v>99999</v>
      </c>
      <c r="P1896" s="148">
        <f>IFERROR(__xludf.DUMMYFUNCTION("""COMPUTED_VALUE"""),9999.0)</f>
        <v>9999</v>
      </c>
      <c r="Q1896" s="148" t="str">
        <f>IFERROR(__xludf.DUMMYFUNCTION("""COMPUTED_VALUE"""),"[""bag_other""]")</f>
        <v>["bag_other"]</v>
      </c>
      <c r="R1896" s="148" t="str">
        <f>IFERROR(__xludf.DUMMYFUNCTION("""COMPUTED_VALUE"""),"[""bag"",""40120202""]")</f>
        <v>["bag","40120202"]</v>
      </c>
      <c r="S1896" s="148" t="str">
        <f>IFERROR(__xludf.DUMMYFUNCTION("""COMPUTED_VALUE"""),"{""effect"":[{""typ"":""mecha_driver"",""id"":40120202,""val"":1}]}")</f>
        <v>{"effect":[{"typ":"mecha_driver","id":40120202,"val":1}]}</v>
      </c>
      <c r="T1896" s="148">
        <f>IFERROR(__xludf.DUMMYFUNCTION("""COMPUTED_VALUE"""),1.0)</f>
        <v>1</v>
      </c>
      <c r="U1896" s="148">
        <f>IFERROR(__xludf.DUMMYFUNCTION("""COMPUTED_VALUE"""),1.0)</f>
        <v>1</v>
      </c>
      <c r="V1896" s="148" t="str">
        <f>IFERROR(__xludf.DUMMYFUNCTION("""COMPUTED_VALUE"""),"[]")</f>
        <v>[]</v>
      </c>
      <c r="W1896" s="148">
        <f>IFERROR(__xludf.DUMMYFUNCTION("""COMPUTED_VALUE"""),1.174E7)</f>
        <v>11740000</v>
      </c>
      <c r="X1896" s="148">
        <f>IFERROR(__xludf.DUMMYFUNCTION("""COMPUTED_VALUE"""),0.0)</f>
        <v>0</v>
      </c>
      <c r="Y1896" s="148">
        <f>IFERROR(__xludf.DUMMYFUNCTION("""COMPUTED_VALUE"""),0.0)</f>
        <v>0</v>
      </c>
      <c r="Z1896" s="148"/>
    </row>
    <row r="1897">
      <c r="A1897" s="148">
        <f>IFERROR(__xludf.DUMMYFUNCTION("""COMPUTED_VALUE"""),1.1117915E7)</f>
        <v>11117915</v>
      </c>
      <c r="B1897" s="148" t="str">
        <f>IFERROR(__xludf.DUMMYFUNCTION("""COMPUTED_VALUE"""),"机师米歇尔—橙")</f>
        <v>机师米歇尔—橙</v>
      </c>
      <c r="C1897" s="148"/>
      <c r="D1897" s="148" t="str">
        <f>IFERROR(__xludf.DUMMYFUNCTION("""COMPUTED_VALUE"""),"item_mecha_driver")</f>
        <v>item_mecha_driver</v>
      </c>
      <c r="E1897" s="148">
        <f>IFERROR(__xludf.DUMMYFUNCTION("""COMPUTED_VALUE"""),20.0)</f>
        <v>20</v>
      </c>
      <c r="F1897" s="148">
        <f>IFERROR(__xludf.DUMMYFUNCTION("""COMPUTED_VALUE"""),408195.0)</f>
        <v>408195</v>
      </c>
      <c r="G1897" s="148">
        <f>IFERROR(__xludf.DUMMYFUNCTION("""COMPUTED_VALUE"""),1.5118667E7)</f>
        <v>15118667</v>
      </c>
      <c r="H1897" s="148">
        <f>IFERROR(__xludf.DUMMYFUNCTION("""COMPUTED_VALUE"""),1.5112564E7)</f>
        <v>15112564</v>
      </c>
      <c r="I1897" s="148" t="str">
        <f>IFERROR(__xludf.DUMMYFUNCTION("""COMPUTED_VALUE"""),"{}")</f>
        <v>{}</v>
      </c>
      <c r="J1897" s="148" t="str">
        <f>IFERROR(__xludf.DUMMYFUNCTION("""COMPUTED_VALUE"""),"{""typ"":""lc"",""txt"":""LC_MAP_mecha_driver_hero_name_6""}")</f>
        <v>{"typ":"lc","txt":"LC_MAP_mecha_driver_hero_name_6"}</v>
      </c>
      <c r="K1897" s="148" t="str">
        <f>IFERROR(__xludf.DUMMYFUNCTION("""COMPUTED_VALUE"""),"{""typ"":""lc"",""txt"":""LC_MAP_mecha_driver_hero_desc_6""}")</f>
        <v>{"typ":"lc","txt":"LC_MAP_mecha_driver_hero_desc_6"}</v>
      </c>
      <c r="L1897" s="148" t="str">
        <f>IFERROR(__xludf.DUMMYFUNCTION("""COMPUTED_VALUE"""),"{}")</f>
        <v>{}</v>
      </c>
      <c r="M1897" s="148">
        <f>IFERROR(__xludf.DUMMYFUNCTION("""COMPUTED_VALUE"""),8300.0)</f>
        <v>8300</v>
      </c>
      <c r="N1897" s="148">
        <f>IFERROR(__xludf.DUMMYFUNCTION("""COMPUTED_VALUE"""),999999.0)</f>
        <v>999999</v>
      </c>
      <c r="O1897" s="148">
        <f>IFERROR(__xludf.DUMMYFUNCTION("""COMPUTED_VALUE"""),99999.0)</f>
        <v>99999</v>
      </c>
      <c r="P1897" s="148">
        <f>IFERROR(__xludf.DUMMYFUNCTION("""COMPUTED_VALUE"""),9999.0)</f>
        <v>9999</v>
      </c>
      <c r="Q1897" s="148" t="str">
        <f>IFERROR(__xludf.DUMMYFUNCTION("""COMPUTED_VALUE"""),"[""bag_other""]")</f>
        <v>["bag_other"]</v>
      </c>
      <c r="R1897" s="148" t="str">
        <f>IFERROR(__xludf.DUMMYFUNCTION("""COMPUTED_VALUE"""),"[""bag"",""40120203""]")</f>
        <v>["bag","40120203"]</v>
      </c>
      <c r="S1897" s="148" t="str">
        <f>IFERROR(__xludf.DUMMYFUNCTION("""COMPUTED_VALUE"""),"{""effect"":[{""typ"":""mecha_driver"",""id"":40120203,""val"":1}]}")</f>
        <v>{"effect":[{"typ":"mecha_driver","id":40120203,"val":1}]}</v>
      </c>
      <c r="T1897" s="148">
        <f>IFERROR(__xludf.DUMMYFUNCTION("""COMPUTED_VALUE"""),1.0)</f>
        <v>1</v>
      </c>
      <c r="U1897" s="148">
        <f>IFERROR(__xludf.DUMMYFUNCTION("""COMPUTED_VALUE"""),1.0)</f>
        <v>1</v>
      </c>
      <c r="V1897" s="148" t="str">
        <f>IFERROR(__xludf.DUMMYFUNCTION("""COMPUTED_VALUE"""),"[]")</f>
        <v>[]</v>
      </c>
      <c r="W1897" s="148">
        <f>IFERROR(__xludf.DUMMYFUNCTION("""COMPUTED_VALUE"""),1.174E7)</f>
        <v>11740000</v>
      </c>
      <c r="X1897" s="148">
        <f>IFERROR(__xludf.DUMMYFUNCTION("""COMPUTED_VALUE"""),0.0)</f>
        <v>0</v>
      </c>
      <c r="Y1897" s="148">
        <f>IFERROR(__xludf.DUMMYFUNCTION("""COMPUTED_VALUE"""),0.0)</f>
        <v>0</v>
      </c>
      <c r="Z1897" s="148"/>
    </row>
    <row r="1898">
      <c r="A1898" s="148">
        <f>IFERROR(__xludf.DUMMYFUNCTION("""COMPUTED_VALUE"""),1.1117916E7)</f>
        <v>11117916</v>
      </c>
      <c r="B1898" s="148" t="str">
        <f>IFERROR(__xludf.DUMMYFUNCTION("""COMPUTED_VALUE"""),"机师约瑟夫—橙")</f>
        <v>机师约瑟夫—橙</v>
      </c>
      <c r="C1898" s="148"/>
      <c r="D1898" s="148" t="str">
        <f>IFERROR(__xludf.DUMMYFUNCTION("""COMPUTED_VALUE"""),"item_mecha_driver")</f>
        <v>item_mecha_driver</v>
      </c>
      <c r="E1898" s="148">
        <f>IFERROR(__xludf.DUMMYFUNCTION("""COMPUTED_VALUE"""),20.0)</f>
        <v>20</v>
      </c>
      <c r="F1898" s="148">
        <f>IFERROR(__xludf.DUMMYFUNCTION("""COMPUTED_VALUE"""),408195.0)</f>
        <v>408195</v>
      </c>
      <c r="G1898" s="148">
        <f>IFERROR(__xludf.DUMMYFUNCTION("""COMPUTED_VALUE"""),1.5118669E7)</f>
        <v>15118669</v>
      </c>
      <c r="H1898" s="148">
        <f>IFERROR(__xludf.DUMMYFUNCTION("""COMPUTED_VALUE"""),1.5112564E7)</f>
        <v>15112564</v>
      </c>
      <c r="I1898" s="148" t="str">
        <f>IFERROR(__xludf.DUMMYFUNCTION("""COMPUTED_VALUE"""),"{}")</f>
        <v>{}</v>
      </c>
      <c r="J1898" s="148" t="str">
        <f>IFERROR(__xludf.DUMMYFUNCTION("""COMPUTED_VALUE"""),"{""typ"":""lc"",""txt"":""LC_MAP_mecha_driver_hero_name_7""}")</f>
        <v>{"typ":"lc","txt":"LC_MAP_mecha_driver_hero_name_7"}</v>
      </c>
      <c r="K1898" s="148" t="str">
        <f>IFERROR(__xludf.DUMMYFUNCTION("""COMPUTED_VALUE"""),"{""typ"":""lc"",""txt"":""LC_MAP_mecha_driver_hero_desc_7""}")</f>
        <v>{"typ":"lc","txt":"LC_MAP_mecha_driver_hero_desc_7"}</v>
      </c>
      <c r="L1898" s="148" t="str">
        <f>IFERROR(__xludf.DUMMYFUNCTION("""COMPUTED_VALUE"""),"{}")</f>
        <v>{}</v>
      </c>
      <c r="M1898" s="148">
        <f>IFERROR(__xludf.DUMMYFUNCTION("""COMPUTED_VALUE"""),8300.0)</f>
        <v>8300</v>
      </c>
      <c r="N1898" s="148">
        <f>IFERROR(__xludf.DUMMYFUNCTION("""COMPUTED_VALUE"""),999999.0)</f>
        <v>999999</v>
      </c>
      <c r="O1898" s="148">
        <f>IFERROR(__xludf.DUMMYFUNCTION("""COMPUTED_VALUE"""),99999.0)</f>
        <v>99999</v>
      </c>
      <c r="P1898" s="148">
        <f>IFERROR(__xludf.DUMMYFUNCTION("""COMPUTED_VALUE"""),9999.0)</f>
        <v>9999</v>
      </c>
      <c r="Q1898" s="148" t="str">
        <f>IFERROR(__xludf.DUMMYFUNCTION("""COMPUTED_VALUE"""),"[""bag_other""]")</f>
        <v>["bag_other"]</v>
      </c>
      <c r="R1898" s="148" t="str">
        <f>IFERROR(__xludf.DUMMYFUNCTION("""COMPUTED_VALUE"""),"[""bag"",""40120301""]")</f>
        <v>["bag","40120301"]</v>
      </c>
      <c r="S1898" s="148" t="str">
        <f>IFERROR(__xludf.DUMMYFUNCTION("""COMPUTED_VALUE"""),"{""effect"":[{""typ"":""mecha_driver"",""id"":40120301,""val"":1}]}")</f>
        <v>{"effect":[{"typ":"mecha_driver","id":40120301,"val":1}]}</v>
      </c>
      <c r="T1898" s="148">
        <f>IFERROR(__xludf.DUMMYFUNCTION("""COMPUTED_VALUE"""),1.0)</f>
        <v>1</v>
      </c>
      <c r="U1898" s="148">
        <f>IFERROR(__xludf.DUMMYFUNCTION("""COMPUTED_VALUE"""),1.0)</f>
        <v>1</v>
      </c>
      <c r="V1898" s="148" t="str">
        <f>IFERROR(__xludf.DUMMYFUNCTION("""COMPUTED_VALUE"""),"[]")</f>
        <v>[]</v>
      </c>
      <c r="W1898" s="148">
        <f>IFERROR(__xludf.DUMMYFUNCTION("""COMPUTED_VALUE"""),1.174E7)</f>
        <v>11740000</v>
      </c>
      <c r="X1898" s="148">
        <f>IFERROR(__xludf.DUMMYFUNCTION("""COMPUTED_VALUE"""),0.0)</f>
        <v>0</v>
      </c>
      <c r="Y1898" s="148">
        <f>IFERROR(__xludf.DUMMYFUNCTION("""COMPUTED_VALUE"""),0.0)</f>
        <v>0</v>
      </c>
      <c r="Z1898" s="148"/>
    </row>
    <row r="1899">
      <c r="A1899" s="148">
        <f>IFERROR(__xludf.DUMMYFUNCTION("""COMPUTED_VALUE"""),1.1117917E7)</f>
        <v>11117917</v>
      </c>
      <c r="B1899" s="148" t="str">
        <f>IFERROR(__xludf.DUMMYFUNCTION("""COMPUTED_VALUE"""),"机师布莱恩—橙")</f>
        <v>机师布莱恩—橙</v>
      </c>
      <c r="C1899" s="148"/>
      <c r="D1899" s="148" t="str">
        <f>IFERROR(__xludf.DUMMYFUNCTION("""COMPUTED_VALUE"""),"item_mecha_driver")</f>
        <v>item_mecha_driver</v>
      </c>
      <c r="E1899" s="148">
        <f>IFERROR(__xludf.DUMMYFUNCTION("""COMPUTED_VALUE"""),20.0)</f>
        <v>20</v>
      </c>
      <c r="F1899" s="148">
        <f>IFERROR(__xludf.DUMMYFUNCTION("""COMPUTED_VALUE"""),408195.0)</f>
        <v>408195</v>
      </c>
      <c r="G1899" s="148">
        <f>IFERROR(__xludf.DUMMYFUNCTION("""COMPUTED_VALUE"""),1.5118672E7)</f>
        <v>15118672</v>
      </c>
      <c r="H1899" s="148">
        <f>IFERROR(__xludf.DUMMYFUNCTION("""COMPUTED_VALUE"""),1.5112564E7)</f>
        <v>15112564</v>
      </c>
      <c r="I1899" s="148" t="str">
        <f>IFERROR(__xludf.DUMMYFUNCTION("""COMPUTED_VALUE"""),"{}")</f>
        <v>{}</v>
      </c>
      <c r="J1899" s="148" t="str">
        <f>IFERROR(__xludf.DUMMYFUNCTION("""COMPUTED_VALUE"""),"{""typ"":""lc"",""txt"":""LC_MAP_mecha_driver_hero_name_8""}")</f>
        <v>{"typ":"lc","txt":"LC_MAP_mecha_driver_hero_name_8"}</v>
      </c>
      <c r="K1899" s="148" t="str">
        <f>IFERROR(__xludf.DUMMYFUNCTION("""COMPUTED_VALUE"""),"{""typ"":""lc"",""txt"":""LC_MAP_mecha_driver_hero_desc_8""}")</f>
        <v>{"typ":"lc","txt":"LC_MAP_mecha_driver_hero_desc_8"}</v>
      </c>
      <c r="L1899" s="148" t="str">
        <f>IFERROR(__xludf.DUMMYFUNCTION("""COMPUTED_VALUE"""),"{}")</f>
        <v>{}</v>
      </c>
      <c r="M1899" s="148">
        <f>IFERROR(__xludf.DUMMYFUNCTION("""COMPUTED_VALUE"""),8300.0)</f>
        <v>8300</v>
      </c>
      <c r="N1899" s="148">
        <f>IFERROR(__xludf.DUMMYFUNCTION("""COMPUTED_VALUE"""),999999.0)</f>
        <v>999999</v>
      </c>
      <c r="O1899" s="148">
        <f>IFERROR(__xludf.DUMMYFUNCTION("""COMPUTED_VALUE"""),99999.0)</f>
        <v>99999</v>
      </c>
      <c r="P1899" s="148">
        <f>IFERROR(__xludf.DUMMYFUNCTION("""COMPUTED_VALUE"""),9999.0)</f>
        <v>9999</v>
      </c>
      <c r="Q1899" s="148" t="str">
        <f>IFERROR(__xludf.DUMMYFUNCTION("""COMPUTED_VALUE"""),"[""bag_other""]")</f>
        <v>["bag_other"]</v>
      </c>
      <c r="R1899" s="148" t="str">
        <f>IFERROR(__xludf.DUMMYFUNCTION("""COMPUTED_VALUE"""),"[""bag"",""40120302""]")</f>
        <v>["bag","40120302"]</v>
      </c>
      <c r="S1899" s="148" t="str">
        <f>IFERROR(__xludf.DUMMYFUNCTION("""COMPUTED_VALUE"""),"{""effect"":[{""typ"":""mecha_driver"",""id"":40120302,""val"":1}]}")</f>
        <v>{"effect":[{"typ":"mecha_driver","id":40120302,"val":1}]}</v>
      </c>
      <c r="T1899" s="148">
        <f>IFERROR(__xludf.DUMMYFUNCTION("""COMPUTED_VALUE"""),1.0)</f>
        <v>1</v>
      </c>
      <c r="U1899" s="148">
        <f>IFERROR(__xludf.DUMMYFUNCTION("""COMPUTED_VALUE"""),1.0)</f>
        <v>1</v>
      </c>
      <c r="V1899" s="148" t="str">
        <f>IFERROR(__xludf.DUMMYFUNCTION("""COMPUTED_VALUE"""),"[]")</f>
        <v>[]</v>
      </c>
      <c r="W1899" s="148">
        <f>IFERROR(__xludf.DUMMYFUNCTION("""COMPUTED_VALUE"""),1.174E7)</f>
        <v>11740000</v>
      </c>
      <c r="X1899" s="148">
        <f>IFERROR(__xludf.DUMMYFUNCTION("""COMPUTED_VALUE"""),0.0)</f>
        <v>0</v>
      </c>
      <c r="Y1899" s="148">
        <f>IFERROR(__xludf.DUMMYFUNCTION("""COMPUTED_VALUE"""),0.0)</f>
        <v>0</v>
      </c>
      <c r="Z1899" s="148"/>
    </row>
    <row r="1900">
      <c r="A1900" s="148">
        <f>IFERROR(__xludf.DUMMYFUNCTION("""COMPUTED_VALUE"""),1.1117918E7)</f>
        <v>11117918</v>
      </c>
      <c r="B1900" s="148" t="str">
        <f>IFERROR(__xludf.DUMMYFUNCTION("""COMPUTED_VALUE"""),"机师克劳德—橙")</f>
        <v>机师克劳德—橙</v>
      </c>
      <c r="C1900" s="148"/>
      <c r="D1900" s="148" t="str">
        <f>IFERROR(__xludf.DUMMYFUNCTION("""COMPUTED_VALUE"""),"item_mecha_driver")</f>
        <v>item_mecha_driver</v>
      </c>
      <c r="E1900" s="148">
        <f>IFERROR(__xludf.DUMMYFUNCTION("""COMPUTED_VALUE"""),20.0)</f>
        <v>20</v>
      </c>
      <c r="F1900" s="148">
        <f>IFERROR(__xludf.DUMMYFUNCTION("""COMPUTED_VALUE"""),408195.0)</f>
        <v>408195</v>
      </c>
      <c r="G1900" s="148">
        <f>IFERROR(__xludf.DUMMYFUNCTION("""COMPUTED_VALUE"""),1.511867E7)</f>
        <v>15118670</v>
      </c>
      <c r="H1900" s="148">
        <f>IFERROR(__xludf.DUMMYFUNCTION("""COMPUTED_VALUE"""),1.5112564E7)</f>
        <v>15112564</v>
      </c>
      <c r="I1900" s="148" t="str">
        <f>IFERROR(__xludf.DUMMYFUNCTION("""COMPUTED_VALUE"""),"{}")</f>
        <v>{}</v>
      </c>
      <c r="J1900" s="148" t="str">
        <f>IFERROR(__xludf.DUMMYFUNCTION("""COMPUTED_VALUE"""),"{""typ"":""lc"",""txt"":""LC_MAP_mecha_driver_hero_name_9""}")</f>
        <v>{"typ":"lc","txt":"LC_MAP_mecha_driver_hero_name_9"}</v>
      </c>
      <c r="K1900" s="148" t="str">
        <f>IFERROR(__xludf.DUMMYFUNCTION("""COMPUTED_VALUE"""),"{""typ"":""lc"",""txt"":""LC_MAP_mecha_driver_hero_desc_9""}")</f>
        <v>{"typ":"lc","txt":"LC_MAP_mecha_driver_hero_desc_9"}</v>
      </c>
      <c r="L1900" s="148" t="str">
        <f>IFERROR(__xludf.DUMMYFUNCTION("""COMPUTED_VALUE"""),"{}")</f>
        <v>{}</v>
      </c>
      <c r="M1900" s="148">
        <f>IFERROR(__xludf.DUMMYFUNCTION("""COMPUTED_VALUE"""),8300.0)</f>
        <v>8300</v>
      </c>
      <c r="N1900" s="148">
        <f>IFERROR(__xludf.DUMMYFUNCTION("""COMPUTED_VALUE"""),999999.0)</f>
        <v>999999</v>
      </c>
      <c r="O1900" s="148">
        <f>IFERROR(__xludf.DUMMYFUNCTION("""COMPUTED_VALUE"""),99999.0)</f>
        <v>99999</v>
      </c>
      <c r="P1900" s="148">
        <f>IFERROR(__xludf.DUMMYFUNCTION("""COMPUTED_VALUE"""),9999.0)</f>
        <v>9999</v>
      </c>
      <c r="Q1900" s="148" t="str">
        <f>IFERROR(__xludf.DUMMYFUNCTION("""COMPUTED_VALUE"""),"[""bag_other""]")</f>
        <v>["bag_other"]</v>
      </c>
      <c r="R1900" s="148" t="str">
        <f>IFERROR(__xludf.DUMMYFUNCTION("""COMPUTED_VALUE"""),"[""bag"",""40120303""]")</f>
        <v>["bag","40120303"]</v>
      </c>
      <c r="S1900" s="148" t="str">
        <f>IFERROR(__xludf.DUMMYFUNCTION("""COMPUTED_VALUE"""),"{""effect"":[{""typ"":""mecha_driver"",""id"":40120303,""val"":1}]}")</f>
        <v>{"effect":[{"typ":"mecha_driver","id":40120303,"val":1}]}</v>
      </c>
      <c r="T1900" s="148">
        <f>IFERROR(__xludf.DUMMYFUNCTION("""COMPUTED_VALUE"""),1.0)</f>
        <v>1</v>
      </c>
      <c r="U1900" s="148">
        <f>IFERROR(__xludf.DUMMYFUNCTION("""COMPUTED_VALUE"""),1.0)</f>
        <v>1</v>
      </c>
      <c r="V1900" s="148" t="str">
        <f>IFERROR(__xludf.DUMMYFUNCTION("""COMPUTED_VALUE"""),"[]")</f>
        <v>[]</v>
      </c>
      <c r="W1900" s="148">
        <f>IFERROR(__xludf.DUMMYFUNCTION("""COMPUTED_VALUE"""),1.174E7)</f>
        <v>11740000</v>
      </c>
      <c r="X1900" s="148">
        <f>IFERROR(__xludf.DUMMYFUNCTION("""COMPUTED_VALUE"""),0.0)</f>
        <v>0</v>
      </c>
      <c r="Y1900" s="148">
        <f>IFERROR(__xludf.DUMMYFUNCTION("""COMPUTED_VALUE"""),0.0)</f>
        <v>0</v>
      </c>
      <c r="Z1900" s="148"/>
    </row>
    <row r="1901">
      <c r="A1901" s="148">
        <f>IFERROR(__xludf.DUMMYFUNCTION("""COMPUTED_VALUE"""),1.1117919E7)</f>
        <v>11117919</v>
      </c>
      <c r="B1901" s="148" t="str">
        <f>IFERROR(__xludf.DUMMYFUNCTION("""COMPUTED_VALUE"""),"鲍勃—橙")</f>
        <v>鲍勃—橙</v>
      </c>
      <c r="C1901" s="148"/>
      <c r="D1901" s="148" t="str">
        <f>IFERROR(__xludf.DUMMYFUNCTION("""COMPUTED_VALUE"""),"item_mecha_driver")</f>
        <v>item_mecha_driver</v>
      </c>
      <c r="E1901" s="148">
        <f>IFERROR(__xludf.DUMMYFUNCTION("""COMPUTED_VALUE"""),20.0)</f>
        <v>20</v>
      </c>
      <c r="F1901" s="148">
        <f>IFERROR(__xludf.DUMMYFUNCTION("""COMPUTED_VALUE"""),408195.0)</f>
        <v>408195</v>
      </c>
      <c r="G1901" s="148">
        <f>IFERROR(__xludf.DUMMYFUNCTION("""COMPUTED_VALUE"""),1.5119329E7)</f>
        <v>15119329</v>
      </c>
      <c r="H1901" s="148">
        <f>IFERROR(__xludf.DUMMYFUNCTION("""COMPUTED_VALUE"""),1.5112564E7)</f>
        <v>15112564</v>
      </c>
      <c r="I1901" s="148" t="str">
        <f>IFERROR(__xludf.DUMMYFUNCTION("""COMPUTED_VALUE"""),"{}")</f>
        <v>{}</v>
      </c>
      <c r="J1901" s="148" t="str">
        <f>IFERROR(__xludf.DUMMYFUNCTION("""COMPUTED_VALUE"""),"{""typ"":""lc"",""txt"":""LC_MAP_mecha_driver_hero_name_10""}")</f>
        <v>{"typ":"lc","txt":"LC_MAP_mecha_driver_hero_name_10"}</v>
      </c>
      <c r="K1901" s="148" t="str">
        <f>IFERROR(__xludf.DUMMYFUNCTION("""COMPUTED_VALUE"""),"{""typ"":""lc"",""txt"":""LC_MAP_mecha_driver_hero_desc_10""}")</f>
        <v>{"typ":"lc","txt":"LC_MAP_mecha_driver_hero_desc_10"}</v>
      </c>
      <c r="L1901" s="148" t="str">
        <f>IFERROR(__xludf.DUMMYFUNCTION("""COMPUTED_VALUE"""),"{}")</f>
        <v>{}</v>
      </c>
      <c r="M1901" s="148">
        <f>IFERROR(__xludf.DUMMYFUNCTION("""COMPUTED_VALUE"""),8300.0)</f>
        <v>8300</v>
      </c>
      <c r="N1901" s="148">
        <f>IFERROR(__xludf.DUMMYFUNCTION("""COMPUTED_VALUE"""),999999.0)</f>
        <v>999999</v>
      </c>
      <c r="O1901" s="148">
        <f>IFERROR(__xludf.DUMMYFUNCTION("""COMPUTED_VALUE"""),99999.0)</f>
        <v>99999</v>
      </c>
      <c r="P1901" s="148">
        <f>IFERROR(__xludf.DUMMYFUNCTION("""COMPUTED_VALUE"""),9999.0)</f>
        <v>9999</v>
      </c>
      <c r="Q1901" s="148" t="str">
        <f>IFERROR(__xludf.DUMMYFUNCTION("""COMPUTED_VALUE"""),"[""bag_other""]")</f>
        <v>["bag_other"]</v>
      </c>
      <c r="R1901" s="148" t="str">
        <f>IFERROR(__xludf.DUMMYFUNCTION("""COMPUTED_VALUE"""),"[""bag"",""40120401""]")</f>
        <v>["bag","40120401"]</v>
      </c>
      <c r="S1901" s="148" t="str">
        <f>IFERROR(__xludf.DUMMYFUNCTION("""COMPUTED_VALUE"""),"{""effect"":[{""typ"":""mecha_driver"",""id"":40120401,""val"":1}]}")</f>
        <v>{"effect":[{"typ":"mecha_driver","id":40120401,"val":1}]}</v>
      </c>
      <c r="T1901" s="148">
        <f>IFERROR(__xludf.DUMMYFUNCTION("""COMPUTED_VALUE"""),1.0)</f>
        <v>1</v>
      </c>
      <c r="U1901" s="148">
        <f>IFERROR(__xludf.DUMMYFUNCTION("""COMPUTED_VALUE"""),1.0)</f>
        <v>1</v>
      </c>
      <c r="V1901" s="148" t="str">
        <f>IFERROR(__xludf.DUMMYFUNCTION("""COMPUTED_VALUE"""),"[]")</f>
        <v>[]</v>
      </c>
      <c r="W1901" s="148">
        <f>IFERROR(__xludf.DUMMYFUNCTION("""COMPUTED_VALUE"""),1.174E7)</f>
        <v>11740000</v>
      </c>
      <c r="X1901" s="148">
        <f>IFERROR(__xludf.DUMMYFUNCTION("""COMPUTED_VALUE"""),0.0)</f>
        <v>0</v>
      </c>
      <c r="Y1901" s="148">
        <f>IFERROR(__xludf.DUMMYFUNCTION("""COMPUTED_VALUE"""),0.0)</f>
        <v>0</v>
      </c>
      <c r="Z1901" s="148"/>
    </row>
    <row r="1902">
      <c r="A1902" s="148">
        <f>IFERROR(__xludf.DUMMYFUNCTION("""COMPUTED_VALUE"""),1.111792E7)</f>
        <v>11117920</v>
      </c>
      <c r="B1902" s="148" t="str">
        <f>IFERROR(__xludf.DUMMYFUNCTION("""COMPUTED_VALUE"""),"哈里斯—橙")</f>
        <v>哈里斯—橙</v>
      </c>
      <c r="C1902" s="148"/>
      <c r="D1902" s="148" t="str">
        <f>IFERROR(__xludf.DUMMYFUNCTION("""COMPUTED_VALUE"""),"item_mecha_driver")</f>
        <v>item_mecha_driver</v>
      </c>
      <c r="E1902" s="148">
        <f>IFERROR(__xludf.DUMMYFUNCTION("""COMPUTED_VALUE"""),20.0)</f>
        <v>20</v>
      </c>
      <c r="F1902" s="148">
        <f>IFERROR(__xludf.DUMMYFUNCTION("""COMPUTED_VALUE"""),408195.0)</f>
        <v>408195</v>
      </c>
      <c r="G1902" s="148">
        <f>IFERROR(__xludf.DUMMYFUNCTION("""COMPUTED_VALUE"""),1.5119332E7)</f>
        <v>15119332</v>
      </c>
      <c r="H1902" s="148">
        <f>IFERROR(__xludf.DUMMYFUNCTION("""COMPUTED_VALUE"""),1.5112564E7)</f>
        <v>15112564</v>
      </c>
      <c r="I1902" s="148" t="str">
        <f>IFERROR(__xludf.DUMMYFUNCTION("""COMPUTED_VALUE"""),"{}")</f>
        <v>{}</v>
      </c>
      <c r="J1902" s="148" t="str">
        <f>IFERROR(__xludf.DUMMYFUNCTION("""COMPUTED_VALUE"""),"{""typ"":""lc"",""txt"":""LC_MAP_mecha_driver_hero_name_13""}")</f>
        <v>{"typ":"lc","txt":"LC_MAP_mecha_driver_hero_name_13"}</v>
      </c>
      <c r="K1902" s="148" t="str">
        <f>IFERROR(__xludf.DUMMYFUNCTION("""COMPUTED_VALUE"""),"{""typ"":""lc"",""txt"":""LC_MAP_mecha_driver_hero_desc_13""}")</f>
        <v>{"typ":"lc","txt":"LC_MAP_mecha_driver_hero_desc_13"}</v>
      </c>
      <c r="L1902" s="148" t="str">
        <f>IFERROR(__xludf.DUMMYFUNCTION("""COMPUTED_VALUE"""),"{}")</f>
        <v>{}</v>
      </c>
      <c r="M1902" s="148">
        <f>IFERROR(__xludf.DUMMYFUNCTION("""COMPUTED_VALUE"""),8300.0)</f>
        <v>8300</v>
      </c>
      <c r="N1902" s="148">
        <f>IFERROR(__xludf.DUMMYFUNCTION("""COMPUTED_VALUE"""),999999.0)</f>
        <v>999999</v>
      </c>
      <c r="O1902" s="148">
        <f>IFERROR(__xludf.DUMMYFUNCTION("""COMPUTED_VALUE"""),99999.0)</f>
        <v>99999</v>
      </c>
      <c r="P1902" s="148">
        <f>IFERROR(__xludf.DUMMYFUNCTION("""COMPUTED_VALUE"""),9999.0)</f>
        <v>9999</v>
      </c>
      <c r="Q1902" s="148" t="str">
        <f>IFERROR(__xludf.DUMMYFUNCTION("""COMPUTED_VALUE"""),"[""bag_other""]")</f>
        <v>["bag_other"]</v>
      </c>
      <c r="R1902" s="148" t="str">
        <f>IFERROR(__xludf.DUMMYFUNCTION("""COMPUTED_VALUE"""),"[""bag"",""40120402""]")</f>
        <v>["bag","40120402"]</v>
      </c>
      <c r="S1902" s="148" t="str">
        <f>IFERROR(__xludf.DUMMYFUNCTION("""COMPUTED_VALUE"""),"{""effect"":[{""typ"":""mecha_driver"",""id"":40120402,""val"":1}]}")</f>
        <v>{"effect":[{"typ":"mecha_driver","id":40120402,"val":1}]}</v>
      </c>
      <c r="T1902" s="148">
        <f>IFERROR(__xludf.DUMMYFUNCTION("""COMPUTED_VALUE"""),1.0)</f>
        <v>1</v>
      </c>
      <c r="U1902" s="148">
        <f>IFERROR(__xludf.DUMMYFUNCTION("""COMPUTED_VALUE"""),1.0)</f>
        <v>1</v>
      </c>
      <c r="V1902" s="148" t="str">
        <f>IFERROR(__xludf.DUMMYFUNCTION("""COMPUTED_VALUE"""),"[]")</f>
        <v>[]</v>
      </c>
      <c r="W1902" s="148">
        <f>IFERROR(__xludf.DUMMYFUNCTION("""COMPUTED_VALUE"""),1.174E7)</f>
        <v>11740000</v>
      </c>
      <c r="X1902" s="148">
        <f>IFERROR(__xludf.DUMMYFUNCTION("""COMPUTED_VALUE"""),0.0)</f>
        <v>0</v>
      </c>
      <c r="Y1902" s="148">
        <f>IFERROR(__xludf.DUMMYFUNCTION("""COMPUTED_VALUE"""),0.0)</f>
        <v>0</v>
      </c>
      <c r="Z1902" s="148"/>
    </row>
    <row r="1903">
      <c r="A1903" s="148">
        <f>IFERROR(__xludf.DUMMYFUNCTION("""COMPUTED_VALUE"""),1.1117921E7)</f>
        <v>11117921</v>
      </c>
      <c r="B1903" s="148" t="str">
        <f>IFERROR(__xludf.DUMMYFUNCTION("""COMPUTED_VALUE"""),"查尔斯—橙")</f>
        <v>查尔斯—橙</v>
      </c>
      <c r="C1903" s="148"/>
      <c r="D1903" s="148" t="str">
        <f>IFERROR(__xludf.DUMMYFUNCTION("""COMPUTED_VALUE"""),"item_mecha_driver")</f>
        <v>item_mecha_driver</v>
      </c>
      <c r="E1903" s="148">
        <f>IFERROR(__xludf.DUMMYFUNCTION("""COMPUTED_VALUE"""),20.0)</f>
        <v>20</v>
      </c>
      <c r="F1903" s="148">
        <f>IFERROR(__xludf.DUMMYFUNCTION("""COMPUTED_VALUE"""),408195.0)</f>
        <v>408195</v>
      </c>
      <c r="G1903" s="148">
        <f>IFERROR(__xludf.DUMMYFUNCTION("""COMPUTED_VALUE"""),1.5119335E7)</f>
        <v>15119335</v>
      </c>
      <c r="H1903" s="148">
        <f>IFERROR(__xludf.DUMMYFUNCTION("""COMPUTED_VALUE"""),1.5112564E7)</f>
        <v>15112564</v>
      </c>
      <c r="I1903" s="148" t="str">
        <f>IFERROR(__xludf.DUMMYFUNCTION("""COMPUTED_VALUE"""),"{}")</f>
        <v>{}</v>
      </c>
      <c r="J1903" s="148" t="str">
        <f>IFERROR(__xludf.DUMMYFUNCTION("""COMPUTED_VALUE"""),"{""typ"":""lc"",""txt"":""LC_MAP_mecha_driver_hero_name_16""}")</f>
        <v>{"typ":"lc","txt":"LC_MAP_mecha_driver_hero_name_16"}</v>
      </c>
      <c r="K1903" s="148" t="str">
        <f>IFERROR(__xludf.DUMMYFUNCTION("""COMPUTED_VALUE"""),"{""typ"":""lc"",""txt"":""LC_MAP_mecha_driver_hero_desc_16""}")</f>
        <v>{"typ":"lc","txt":"LC_MAP_mecha_driver_hero_desc_16"}</v>
      </c>
      <c r="L1903" s="148" t="str">
        <f>IFERROR(__xludf.DUMMYFUNCTION("""COMPUTED_VALUE"""),"{}")</f>
        <v>{}</v>
      </c>
      <c r="M1903" s="148">
        <f>IFERROR(__xludf.DUMMYFUNCTION("""COMPUTED_VALUE"""),8300.0)</f>
        <v>8300</v>
      </c>
      <c r="N1903" s="148">
        <f>IFERROR(__xludf.DUMMYFUNCTION("""COMPUTED_VALUE"""),999999.0)</f>
        <v>999999</v>
      </c>
      <c r="O1903" s="148">
        <f>IFERROR(__xludf.DUMMYFUNCTION("""COMPUTED_VALUE"""),99999.0)</f>
        <v>99999</v>
      </c>
      <c r="P1903" s="148">
        <f>IFERROR(__xludf.DUMMYFUNCTION("""COMPUTED_VALUE"""),9999.0)</f>
        <v>9999</v>
      </c>
      <c r="Q1903" s="148" t="str">
        <f>IFERROR(__xludf.DUMMYFUNCTION("""COMPUTED_VALUE"""),"[""bag_other""]")</f>
        <v>["bag_other"]</v>
      </c>
      <c r="R1903" s="148" t="str">
        <f>IFERROR(__xludf.DUMMYFUNCTION("""COMPUTED_VALUE"""),"[""bag"",""40120403""]")</f>
        <v>["bag","40120403"]</v>
      </c>
      <c r="S1903" s="148" t="str">
        <f>IFERROR(__xludf.DUMMYFUNCTION("""COMPUTED_VALUE"""),"{""effect"":[{""typ"":""mecha_driver"",""id"":40120403,""val"":1}]}")</f>
        <v>{"effect":[{"typ":"mecha_driver","id":40120403,"val":1}]}</v>
      </c>
      <c r="T1903" s="148">
        <f>IFERROR(__xludf.DUMMYFUNCTION("""COMPUTED_VALUE"""),1.0)</f>
        <v>1</v>
      </c>
      <c r="U1903" s="148">
        <f>IFERROR(__xludf.DUMMYFUNCTION("""COMPUTED_VALUE"""),1.0)</f>
        <v>1</v>
      </c>
      <c r="V1903" s="148" t="str">
        <f>IFERROR(__xludf.DUMMYFUNCTION("""COMPUTED_VALUE"""),"[]")</f>
        <v>[]</v>
      </c>
      <c r="W1903" s="148">
        <f>IFERROR(__xludf.DUMMYFUNCTION("""COMPUTED_VALUE"""),1.174E7)</f>
        <v>11740000</v>
      </c>
      <c r="X1903" s="148">
        <f>IFERROR(__xludf.DUMMYFUNCTION("""COMPUTED_VALUE"""),0.0)</f>
        <v>0</v>
      </c>
      <c r="Y1903" s="148">
        <f>IFERROR(__xludf.DUMMYFUNCTION("""COMPUTED_VALUE"""),0.0)</f>
        <v>0</v>
      </c>
      <c r="Z1903" s="148"/>
    </row>
    <row r="1904">
      <c r="A1904" s="148">
        <f>IFERROR(__xludf.DUMMYFUNCTION("""COMPUTED_VALUE"""),1.1117922E7)</f>
        <v>11117922</v>
      </c>
      <c r="B1904" s="148" t="str">
        <f>IFERROR(__xludf.DUMMYFUNCTION("""COMPUTED_VALUE"""),"埃里克—橙")</f>
        <v>埃里克—橙</v>
      </c>
      <c r="C1904" s="148"/>
      <c r="D1904" s="148" t="str">
        <f>IFERROR(__xludf.DUMMYFUNCTION("""COMPUTED_VALUE"""),"item_mecha_driver")</f>
        <v>item_mecha_driver</v>
      </c>
      <c r="E1904" s="148">
        <f>IFERROR(__xludf.DUMMYFUNCTION("""COMPUTED_VALUE"""),20.0)</f>
        <v>20</v>
      </c>
      <c r="F1904" s="148">
        <f>IFERROR(__xludf.DUMMYFUNCTION("""COMPUTED_VALUE"""),408195.0)</f>
        <v>408195</v>
      </c>
      <c r="G1904" s="148">
        <f>IFERROR(__xludf.DUMMYFUNCTION("""COMPUTED_VALUE"""),1.511933E7)</f>
        <v>15119330</v>
      </c>
      <c r="H1904" s="148">
        <f>IFERROR(__xludf.DUMMYFUNCTION("""COMPUTED_VALUE"""),1.5112564E7)</f>
        <v>15112564</v>
      </c>
      <c r="I1904" s="148" t="str">
        <f>IFERROR(__xludf.DUMMYFUNCTION("""COMPUTED_VALUE"""),"{}")</f>
        <v>{}</v>
      </c>
      <c r="J1904" s="148" t="str">
        <f>IFERROR(__xludf.DUMMYFUNCTION("""COMPUTED_VALUE"""),"{""typ"":""lc"",""txt"":""LC_MAP_mecha_driver_hero_name_11""}")</f>
        <v>{"typ":"lc","txt":"LC_MAP_mecha_driver_hero_name_11"}</v>
      </c>
      <c r="K1904" s="148" t="str">
        <f>IFERROR(__xludf.DUMMYFUNCTION("""COMPUTED_VALUE"""),"{""typ"":""lc"",""txt"":""LC_MAP_mecha_driver_hero_desc_11""}")</f>
        <v>{"typ":"lc","txt":"LC_MAP_mecha_driver_hero_desc_11"}</v>
      </c>
      <c r="L1904" s="148" t="str">
        <f>IFERROR(__xludf.DUMMYFUNCTION("""COMPUTED_VALUE"""),"{}")</f>
        <v>{}</v>
      </c>
      <c r="M1904" s="148">
        <f>IFERROR(__xludf.DUMMYFUNCTION("""COMPUTED_VALUE"""),8300.0)</f>
        <v>8300</v>
      </c>
      <c r="N1904" s="148">
        <f>IFERROR(__xludf.DUMMYFUNCTION("""COMPUTED_VALUE"""),999999.0)</f>
        <v>999999</v>
      </c>
      <c r="O1904" s="148">
        <f>IFERROR(__xludf.DUMMYFUNCTION("""COMPUTED_VALUE"""),99999.0)</f>
        <v>99999</v>
      </c>
      <c r="P1904" s="148">
        <f>IFERROR(__xludf.DUMMYFUNCTION("""COMPUTED_VALUE"""),9999.0)</f>
        <v>9999</v>
      </c>
      <c r="Q1904" s="148" t="str">
        <f>IFERROR(__xludf.DUMMYFUNCTION("""COMPUTED_VALUE"""),"[""bag_other""]")</f>
        <v>["bag_other"]</v>
      </c>
      <c r="R1904" s="148" t="str">
        <f>IFERROR(__xludf.DUMMYFUNCTION("""COMPUTED_VALUE"""),"[""bag"",""40120501""]")</f>
        <v>["bag","40120501"]</v>
      </c>
      <c r="S1904" s="148" t="str">
        <f>IFERROR(__xludf.DUMMYFUNCTION("""COMPUTED_VALUE"""),"{""effect"":[{""typ"":""mecha_driver"",""id"":40120501,""val"":1}]}")</f>
        <v>{"effect":[{"typ":"mecha_driver","id":40120501,"val":1}]}</v>
      </c>
      <c r="T1904" s="148">
        <f>IFERROR(__xludf.DUMMYFUNCTION("""COMPUTED_VALUE"""),1.0)</f>
        <v>1</v>
      </c>
      <c r="U1904" s="148">
        <f>IFERROR(__xludf.DUMMYFUNCTION("""COMPUTED_VALUE"""),1.0)</f>
        <v>1</v>
      </c>
      <c r="V1904" s="148" t="str">
        <f>IFERROR(__xludf.DUMMYFUNCTION("""COMPUTED_VALUE"""),"[]")</f>
        <v>[]</v>
      </c>
      <c r="W1904" s="148">
        <f>IFERROR(__xludf.DUMMYFUNCTION("""COMPUTED_VALUE"""),1.174E7)</f>
        <v>11740000</v>
      </c>
      <c r="X1904" s="148">
        <f>IFERROR(__xludf.DUMMYFUNCTION("""COMPUTED_VALUE"""),0.0)</f>
        <v>0</v>
      </c>
      <c r="Y1904" s="148">
        <f>IFERROR(__xludf.DUMMYFUNCTION("""COMPUTED_VALUE"""),0.0)</f>
        <v>0</v>
      </c>
      <c r="Z1904" s="148"/>
    </row>
    <row r="1905">
      <c r="A1905" s="148">
        <f>IFERROR(__xludf.DUMMYFUNCTION("""COMPUTED_VALUE"""),1.1117923E7)</f>
        <v>11117923</v>
      </c>
      <c r="B1905" s="148" t="str">
        <f>IFERROR(__xludf.DUMMYFUNCTION("""COMPUTED_VALUE"""),"马丁—橙")</f>
        <v>马丁—橙</v>
      </c>
      <c r="C1905" s="148"/>
      <c r="D1905" s="148" t="str">
        <f>IFERROR(__xludf.DUMMYFUNCTION("""COMPUTED_VALUE"""),"item_mecha_driver")</f>
        <v>item_mecha_driver</v>
      </c>
      <c r="E1905" s="148">
        <f>IFERROR(__xludf.DUMMYFUNCTION("""COMPUTED_VALUE"""),20.0)</f>
        <v>20</v>
      </c>
      <c r="F1905" s="148">
        <f>IFERROR(__xludf.DUMMYFUNCTION("""COMPUTED_VALUE"""),408195.0)</f>
        <v>408195</v>
      </c>
      <c r="G1905" s="148">
        <f>IFERROR(__xludf.DUMMYFUNCTION("""COMPUTED_VALUE"""),1.5119333E7)</f>
        <v>15119333</v>
      </c>
      <c r="H1905" s="148">
        <f>IFERROR(__xludf.DUMMYFUNCTION("""COMPUTED_VALUE"""),1.5112564E7)</f>
        <v>15112564</v>
      </c>
      <c r="I1905" s="148" t="str">
        <f>IFERROR(__xludf.DUMMYFUNCTION("""COMPUTED_VALUE"""),"{}")</f>
        <v>{}</v>
      </c>
      <c r="J1905" s="148" t="str">
        <f>IFERROR(__xludf.DUMMYFUNCTION("""COMPUTED_VALUE"""),"{""typ"":""lc"",""txt"":""LC_MAP_mecha_driver_hero_name_14""}")</f>
        <v>{"typ":"lc","txt":"LC_MAP_mecha_driver_hero_name_14"}</v>
      </c>
      <c r="K1905" s="148" t="str">
        <f>IFERROR(__xludf.DUMMYFUNCTION("""COMPUTED_VALUE"""),"{""typ"":""lc"",""txt"":""LC_MAP_mecha_driver_hero_desc_14""}")</f>
        <v>{"typ":"lc","txt":"LC_MAP_mecha_driver_hero_desc_14"}</v>
      </c>
      <c r="L1905" s="148" t="str">
        <f>IFERROR(__xludf.DUMMYFUNCTION("""COMPUTED_VALUE"""),"{}")</f>
        <v>{}</v>
      </c>
      <c r="M1905" s="148">
        <f>IFERROR(__xludf.DUMMYFUNCTION("""COMPUTED_VALUE"""),8300.0)</f>
        <v>8300</v>
      </c>
      <c r="N1905" s="148">
        <f>IFERROR(__xludf.DUMMYFUNCTION("""COMPUTED_VALUE"""),999999.0)</f>
        <v>999999</v>
      </c>
      <c r="O1905" s="148">
        <f>IFERROR(__xludf.DUMMYFUNCTION("""COMPUTED_VALUE"""),99999.0)</f>
        <v>99999</v>
      </c>
      <c r="P1905" s="148">
        <f>IFERROR(__xludf.DUMMYFUNCTION("""COMPUTED_VALUE"""),9999.0)</f>
        <v>9999</v>
      </c>
      <c r="Q1905" s="148" t="str">
        <f>IFERROR(__xludf.DUMMYFUNCTION("""COMPUTED_VALUE"""),"[""bag_other""]")</f>
        <v>["bag_other"]</v>
      </c>
      <c r="R1905" s="148" t="str">
        <f>IFERROR(__xludf.DUMMYFUNCTION("""COMPUTED_VALUE"""),"[""bag"",""40120502""]")</f>
        <v>["bag","40120502"]</v>
      </c>
      <c r="S1905" s="148" t="str">
        <f>IFERROR(__xludf.DUMMYFUNCTION("""COMPUTED_VALUE"""),"{""effect"":[{""typ"":""mecha_driver"",""id"":40120502,""val"":1}]}")</f>
        <v>{"effect":[{"typ":"mecha_driver","id":40120502,"val":1}]}</v>
      </c>
      <c r="T1905" s="148">
        <f>IFERROR(__xludf.DUMMYFUNCTION("""COMPUTED_VALUE"""),1.0)</f>
        <v>1</v>
      </c>
      <c r="U1905" s="148">
        <f>IFERROR(__xludf.DUMMYFUNCTION("""COMPUTED_VALUE"""),1.0)</f>
        <v>1</v>
      </c>
      <c r="V1905" s="148" t="str">
        <f>IFERROR(__xludf.DUMMYFUNCTION("""COMPUTED_VALUE"""),"[]")</f>
        <v>[]</v>
      </c>
      <c r="W1905" s="148">
        <f>IFERROR(__xludf.DUMMYFUNCTION("""COMPUTED_VALUE"""),1.174E7)</f>
        <v>11740000</v>
      </c>
      <c r="X1905" s="148">
        <f>IFERROR(__xludf.DUMMYFUNCTION("""COMPUTED_VALUE"""),0.0)</f>
        <v>0</v>
      </c>
      <c r="Y1905" s="148">
        <f>IFERROR(__xludf.DUMMYFUNCTION("""COMPUTED_VALUE"""),0.0)</f>
        <v>0</v>
      </c>
      <c r="Z1905" s="148"/>
    </row>
    <row r="1906">
      <c r="A1906" s="148">
        <f>IFERROR(__xludf.DUMMYFUNCTION("""COMPUTED_VALUE"""),1.1117924E7)</f>
        <v>11117924</v>
      </c>
      <c r="B1906" s="148" t="str">
        <f>IFERROR(__xludf.DUMMYFUNCTION("""COMPUTED_VALUE"""),"大卫—橙")</f>
        <v>大卫—橙</v>
      </c>
      <c r="C1906" s="148"/>
      <c r="D1906" s="148" t="str">
        <f>IFERROR(__xludf.DUMMYFUNCTION("""COMPUTED_VALUE"""),"item_mecha_driver")</f>
        <v>item_mecha_driver</v>
      </c>
      <c r="E1906" s="148">
        <f>IFERROR(__xludf.DUMMYFUNCTION("""COMPUTED_VALUE"""),20.0)</f>
        <v>20</v>
      </c>
      <c r="F1906" s="148">
        <f>IFERROR(__xludf.DUMMYFUNCTION("""COMPUTED_VALUE"""),408195.0)</f>
        <v>408195</v>
      </c>
      <c r="G1906" s="148">
        <f>IFERROR(__xludf.DUMMYFUNCTION("""COMPUTED_VALUE"""),1.5119336E7)</f>
        <v>15119336</v>
      </c>
      <c r="H1906" s="148">
        <f>IFERROR(__xludf.DUMMYFUNCTION("""COMPUTED_VALUE"""),1.5112564E7)</f>
        <v>15112564</v>
      </c>
      <c r="I1906" s="148" t="str">
        <f>IFERROR(__xludf.DUMMYFUNCTION("""COMPUTED_VALUE"""),"{}")</f>
        <v>{}</v>
      </c>
      <c r="J1906" s="148" t="str">
        <f>IFERROR(__xludf.DUMMYFUNCTION("""COMPUTED_VALUE"""),"{""typ"":""lc"",""txt"":""LC_MAP_mecha_driver_hero_name_17""}")</f>
        <v>{"typ":"lc","txt":"LC_MAP_mecha_driver_hero_name_17"}</v>
      </c>
      <c r="K1906" s="148" t="str">
        <f>IFERROR(__xludf.DUMMYFUNCTION("""COMPUTED_VALUE"""),"{""typ"":""lc"",""txt"":""LC_MAP_mecha_driver_hero_desc_17""}")</f>
        <v>{"typ":"lc","txt":"LC_MAP_mecha_driver_hero_desc_17"}</v>
      </c>
      <c r="L1906" s="148" t="str">
        <f>IFERROR(__xludf.DUMMYFUNCTION("""COMPUTED_VALUE"""),"{}")</f>
        <v>{}</v>
      </c>
      <c r="M1906" s="148">
        <f>IFERROR(__xludf.DUMMYFUNCTION("""COMPUTED_VALUE"""),8300.0)</f>
        <v>8300</v>
      </c>
      <c r="N1906" s="148">
        <f>IFERROR(__xludf.DUMMYFUNCTION("""COMPUTED_VALUE"""),999999.0)</f>
        <v>999999</v>
      </c>
      <c r="O1906" s="148">
        <f>IFERROR(__xludf.DUMMYFUNCTION("""COMPUTED_VALUE"""),99999.0)</f>
        <v>99999</v>
      </c>
      <c r="P1906" s="148">
        <f>IFERROR(__xludf.DUMMYFUNCTION("""COMPUTED_VALUE"""),9999.0)</f>
        <v>9999</v>
      </c>
      <c r="Q1906" s="148" t="str">
        <f>IFERROR(__xludf.DUMMYFUNCTION("""COMPUTED_VALUE"""),"[""bag_other""]")</f>
        <v>["bag_other"]</v>
      </c>
      <c r="R1906" s="148" t="str">
        <f>IFERROR(__xludf.DUMMYFUNCTION("""COMPUTED_VALUE"""),"[""bag"",""40120503""]")</f>
        <v>["bag","40120503"]</v>
      </c>
      <c r="S1906" s="148" t="str">
        <f>IFERROR(__xludf.DUMMYFUNCTION("""COMPUTED_VALUE"""),"{""effect"":[{""typ"":""mecha_driver"",""id"":40120503,""val"":1}]}")</f>
        <v>{"effect":[{"typ":"mecha_driver","id":40120503,"val":1}]}</v>
      </c>
      <c r="T1906" s="148">
        <f>IFERROR(__xludf.DUMMYFUNCTION("""COMPUTED_VALUE"""),1.0)</f>
        <v>1</v>
      </c>
      <c r="U1906" s="148">
        <f>IFERROR(__xludf.DUMMYFUNCTION("""COMPUTED_VALUE"""),1.0)</f>
        <v>1</v>
      </c>
      <c r="V1906" s="148" t="str">
        <f>IFERROR(__xludf.DUMMYFUNCTION("""COMPUTED_VALUE"""),"[]")</f>
        <v>[]</v>
      </c>
      <c r="W1906" s="148">
        <f>IFERROR(__xludf.DUMMYFUNCTION("""COMPUTED_VALUE"""),1.174E7)</f>
        <v>11740000</v>
      </c>
      <c r="X1906" s="148">
        <f>IFERROR(__xludf.DUMMYFUNCTION("""COMPUTED_VALUE"""),0.0)</f>
        <v>0</v>
      </c>
      <c r="Y1906" s="148">
        <f>IFERROR(__xludf.DUMMYFUNCTION("""COMPUTED_VALUE"""),0.0)</f>
        <v>0</v>
      </c>
      <c r="Z1906" s="148"/>
    </row>
    <row r="1907">
      <c r="A1907" s="148">
        <f>IFERROR(__xludf.DUMMYFUNCTION("""COMPUTED_VALUE"""),1.1117925E7)</f>
        <v>11117925</v>
      </c>
      <c r="B1907" s="148" t="str">
        <f>IFERROR(__xludf.DUMMYFUNCTION("""COMPUTED_VALUE"""),"阿诺德—橙")</f>
        <v>阿诺德—橙</v>
      </c>
      <c r="C1907" s="148"/>
      <c r="D1907" s="148" t="str">
        <f>IFERROR(__xludf.DUMMYFUNCTION("""COMPUTED_VALUE"""),"item_mecha_driver")</f>
        <v>item_mecha_driver</v>
      </c>
      <c r="E1907" s="148">
        <f>IFERROR(__xludf.DUMMYFUNCTION("""COMPUTED_VALUE"""),20.0)</f>
        <v>20</v>
      </c>
      <c r="F1907" s="148">
        <f>IFERROR(__xludf.DUMMYFUNCTION("""COMPUTED_VALUE"""),408195.0)</f>
        <v>408195</v>
      </c>
      <c r="G1907" s="148">
        <f>IFERROR(__xludf.DUMMYFUNCTION("""COMPUTED_VALUE"""),1.5119331E7)</f>
        <v>15119331</v>
      </c>
      <c r="H1907" s="148">
        <f>IFERROR(__xludf.DUMMYFUNCTION("""COMPUTED_VALUE"""),1.5112564E7)</f>
        <v>15112564</v>
      </c>
      <c r="I1907" s="148" t="str">
        <f>IFERROR(__xludf.DUMMYFUNCTION("""COMPUTED_VALUE"""),"{}")</f>
        <v>{}</v>
      </c>
      <c r="J1907" s="148" t="str">
        <f>IFERROR(__xludf.DUMMYFUNCTION("""COMPUTED_VALUE"""),"{""typ"":""lc"",""txt"":""LC_MAP_mecha_driver_hero_name_12""}")</f>
        <v>{"typ":"lc","txt":"LC_MAP_mecha_driver_hero_name_12"}</v>
      </c>
      <c r="K1907" s="148" t="str">
        <f>IFERROR(__xludf.DUMMYFUNCTION("""COMPUTED_VALUE"""),"{""typ"":""lc"",""txt"":""LC_MAP_mecha_driver_hero_desc_12""}")</f>
        <v>{"typ":"lc","txt":"LC_MAP_mecha_driver_hero_desc_12"}</v>
      </c>
      <c r="L1907" s="148" t="str">
        <f>IFERROR(__xludf.DUMMYFUNCTION("""COMPUTED_VALUE"""),"{}")</f>
        <v>{}</v>
      </c>
      <c r="M1907" s="148">
        <f>IFERROR(__xludf.DUMMYFUNCTION("""COMPUTED_VALUE"""),8300.0)</f>
        <v>8300</v>
      </c>
      <c r="N1907" s="148">
        <f>IFERROR(__xludf.DUMMYFUNCTION("""COMPUTED_VALUE"""),999999.0)</f>
        <v>999999</v>
      </c>
      <c r="O1907" s="148">
        <f>IFERROR(__xludf.DUMMYFUNCTION("""COMPUTED_VALUE"""),99999.0)</f>
        <v>99999</v>
      </c>
      <c r="P1907" s="148">
        <f>IFERROR(__xludf.DUMMYFUNCTION("""COMPUTED_VALUE"""),9999.0)</f>
        <v>9999</v>
      </c>
      <c r="Q1907" s="148" t="str">
        <f>IFERROR(__xludf.DUMMYFUNCTION("""COMPUTED_VALUE"""),"[""bag_other""]")</f>
        <v>["bag_other"]</v>
      </c>
      <c r="R1907" s="148" t="str">
        <f>IFERROR(__xludf.DUMMYFUNCTION("""COMPUTED_VALUE"""),"[""bag"",""40120601""]")</f>
        <v>["bag","40120601"]</v>
      </c>
      <c r="S1907" s="148" t="str">
        <f>IFERROR(__xludf.DUMMYFUNCTION("""COMPUTED_VALUE"""),"{""effect"":[{""typ"":""mecha_driver"",""id"":40120601,""val"":1}]}")</f>
        <v>{"effect":[{"typ":"mecha_driver","id":40120601,"val":1}]}</v>
      </c>
      <c r="T1907" s="148">
        <f>IFERROR(__xludf.DUMMYFUNCTION("""COMPUTED_VALUE"""),1.0)</f>
        <v>1</v>
      </c>
      <c r="U1907" s="148">
        <f>IFERROR(__xludf.DUMMYFUNCTION("""COMPUTED_VALUE"""),1.0)</f>
        <v>1</v>
      </c>
      <c r="V1907" s="148" t="str">
        <f>IFERROR(__xludf.DUMMYFUNCTION("""COMPUTED_VALUE"""),"[]")</f>
        <v>[]</v>
      </c>
      <c r="W1907" s="148">
        <f>IFERROR(__xludf.DUMMYFUNCTION("""COMPUTED_VALUE"""),1.174E7)</f>
        <v>11740000</v>
      </c>
      <c r="X1907" s="148">
        <f>IFERROR(__xludf.DUMMYFUNCTION("""COMPUTED_VALUE"""),0.0)</f>
        <v>0</v>
      </c>
      <c r="Y1907" s="148">
        <f>IFERROR(__xludf.DUMMYFUNCTION("""COMPUTED_VALUE"""),0.0)</f>
        <v>0</v>
      </c>
      <c r="Z1907" s="148"/>
    </row>
    <row r="1908">
      <c r="A1908" s="148">
        <f>IFERROR(__xludf.DUMMYFUNCTION("""COMPUTED_VALUE"""),1.1117926E7)</f>
        <v>11117926</v>
      </c>
      <c r="B1908" s="148" t="str">
        <f>IFERROR(__xludf.DUMMYFUNCTION("""COMPUTED_VALUE"""),"巴顿—橙")</f>
        <v>巴顿—橙</v>
      </c>
      <c r="C1908" s="148"/>
      <c r="D1908" s="148" t="str">
        <f>IFERROR(__xludf.DUMMYFUNCTION("""COMPUTED_VALUE"""),"item_mecha_driver")</f>
        <v>item_mecha_driver</v>
      </c>
      <c r="E1908" s="148">
        <f>IFERROR(__xludf.DUMMYFUNCTION("""COMPUTED_VALUE"""),20.0)</f>
        <v>20</v>
      </c>
      <c r="F1908" s="148">
        <f>IFERROR(__xludf.DUMMYFUNCTION("""COMPUTED_VALUE"""),408195.0)</f>
        <v>408195</v>
      </c>
      <c r="G1908" s="148">
        <f>IFERROR(__xludf.DUMMYFUNCTION("""COMPUTED_VALUE"""),1.5119334E7)</f>
        <v>15119334</v>
      </c>
      <c r="H1908" s="148">
        <f>IFERROR(__xludf.DUMMYFUNCTION("""COMPUTED_VALUE"""),1.5112564E7)</f>
        <v>15112564</v>
      </c>
      <c r="I1908" s="148" t="str">
        <f>IFERROR(__xludf.DUMMYFUNCTION("""COMPUTED_VALUE"""),"{}")</f>
        <v>{}</v>
      </c>
      <c r="J1908" s="148" t="str">
        <f>IFERROR(__xludf.DUMMYFUNCTION("""COMPUTED_VALUE"""),"{""typ"":""lc"",""txt"":""LC_MAP_mecha_driver_hero_name_15""}")</f>
        <v>{"typ":"lc","txt":"LC_MAP_mecha_driver_hero_name_15"}</v>
      </c>
      <c r="K1908" s="148" t="str">
        <f>IFERROR(__xludf.DUMMYFUNCTION("""COMPUTED_VALUE"""),"{""typ"":""lc"",""txt"":""LC_MAP_mecha_driver_hero_desc_15""}")</f>
        <v>{"typ":"lc","txt":"LC_MAP_mecha_driver_hero_desc_15"}</v>
      </c>
      <c r="L1908" s="148" t="str">
        <f>IFERROR(__xludf.DUMMYFUNCTION("""COMPUTED_VALUE"""),"{}")</f>
        <v>{}</v>
      </c>
      <c r="M1908" s="148">
        <f>IFERROR(__xludf.DUMMYFUNCTION("""COMPUTED_VALUE"""),8300.0)</f>
        <v>8300</v>
      </c>
      <c r="N1908" s="148">
        <f>IFERROR(__xludf.DUMMYFUNCTION("""COMPUTED_VALUE"""),999999.0)</f>
        <v>999999</v>
      </c>
      <c r="O1908" s="148">
        <f>IFERROR(__xludf.DUMMYFUNCTION("""COMPUTED_VALUE"""),99999.0)</f>
        <v>99999</v>
      </c>
      <c r="P1908" s="148">
        <f>IFERROR(__xludf.DUMMYFUNCTION("""COMPUTED_VALUE"""),9999.0)</f>
        <v>9999</v>
      </c>
      <c r="Q1908" s="148" t="str">
        <f>IFERROR(__xludf.DUMMYFUNCTION("""COMPUTED_VALUE"""),"[""bag_other""]")</f>
        <v>["bag_other"]</v>
      </c>
      <c r="R1908" s="148" t="str">
        <f>IFERROR(__xludf.DUMMYFUNCTION("""COMPUTED_VALUE"""),"[""bag"",""40120602""]")</f>
        <v>["bag","40120602"]</v>
      </c>
      <c r="S1908" s="148" t="str">
        <f>IFERROR(__xludf.DUMMYFUNCTION("""COMPUTED_VALUE"""),"{""effect"":[{""typ"":""mecha_driver"",""id"":40120602,""val"":1}]}")</f>
        <v>{"effect":[{"typ":"mecha_driver","id":40120602,"val":1}]}</v>
      </c>
      <c r="T1908" s="148">
        <f>IFERROR(__xludf.DUMMYFUNCTION("""COMPUTED_VALUE"""),1.0)</f>
        <v>1</v>
      </c>
      <c r="U1908" s="148">
        <f>IFERROR(__xludf.DUMMYFUNCTION("""COMPUTED_VALUE"""),1.0)</f>
        <v>1</v>
      </c>
      <c r="V1908" s="148" t="str">
        <f>IFERROR(__xludf.DUMMYFUNCTION("""COMPUTED_VALUE"""),"[]")</f>
        <v>[]</v>
      </c>
      <c r="W1908" s="148">
        <f>IFERROR(__xludf.DUMMYFUNCTION("""COMPUTED_VALUE"""),1.174E7)</f>
        <v>11740000</v>
      </c>
      <c r="X1908" s="148">
        <f>IFERROR(__xludf.DUMMYFUNCTION("""COMPUTED_VALUE"""),0.0)</f>
        <v>0</v>
      </c>
      <c r="Y1908" s="148">
        <f>IFERROR(__xludf.DUMMYFUNCTION("""COMPUTED_VALUE"""),0.0)</f>
        <v>0</v>
      </c>
      <c r="Z1908" s="148"/>
    </row>
    <row r="1909">
      <c r="A1909" s="148">
        <f>IFERROR(__xludf.DUMMYFUNCTION("""COMPUTED_VALUE"""),1.1117927E7)</f>
        <v>11117927</v>
      </c>
      <c r="B1909" s="148" t="str">
        <f>IFERROR(__xludf.DUMMYFUNCTION("""COMPUTED_VALUE"""),"珍妮—橙")</f>
        <v>珍妮—橙</v>
      </c>
      <c r="C1909" s="148"/>
      <c r="D1909" s="148" t="str">
        <f>IFERROR(__xludf.DUMMYFUNCTION("""COMPUTED_VALUE"""),"item_mecha_driver")</f>
        <v>item_mecha_driver</v>
      </c>
      <c r="E1909" s="148">
        <f>IFERROR(__xludf.DUMMYFUNCTION("""COMPUTED_VALUE"""),20.0)</f>
        <v>20</v>
      </c>
      <c r="F1909" s="148">
        <f>IFERROR(__xludf.DUMMYFUNCTION("""COMPUTED_VALUE"""),408195.0)</f>
        <v>408195</v>
      </c>
      <c r="G1909" s="148">
        <f>IFERROR(__xludf.DUMMYFUNCTION("""COMPUTED_VALUE"""),1.5119337E7)</f>
        <v>15119337</v>
      </c>
      <c r="H1909" s="148">
        <f>IFERROR(__xludf.DUMMYFUNCTION("""COMPUTED_VALUE"""),1.5112564E7)</f>
        <v>15112564</v>
      </c>
      <c r="I1909" s="148" t="str">
        <f>IFERROR(__xludf.DUMMYFUNCTION("""COMPUTED_VALUE"""),"{}")</f>
        <v>{}</v>
      </c>
      <c r="J1909" s="148" t="str">
        <f>IFERROR(__xludf.DUMMYFUNCTION("""COMPUTED_VALUE"""),"{""typ"":""lc"",""txt"":""LC_MAP_mecha_driver_hero_name_18""}")</f>
        <v>{"typ":"lc","txt":"LC_MAP_mecha_driver_hero_name_18"}</v>
      </c>
      <c r="K1909" s="148" t="str">
        <f>IFERROR(__xludf.DUMMYFUNCTION("""COMPUTED_VALUE"""),"{""typ"":""lc"",""txt"":""LC_MAP_mecha_driver_hero_desc_18""}")</f>
        <v>{"typ":"lc","txt":"LC_MAP_mecha_driver_hero_desc_18"}</v>
      </c>
      <c r="L1909" s="148" t="str">
        <f>IFERROR(__xludf.DUMMYFUNCTION("""COMPUTED_VALUE"""),"{}")</f>
        <v>{}</v>
      </c>
      <c r="M1909" s="148">
        <f>IFERROR(__xludf.DUMMYFUNCTION("""COMPUTED_VALUE"""),8300.0)</f>
        <v>8300</v>
      </c>
      <c r="N1909" s="148">
        <f>IFERROR(__xludf.DUMMYFUNCTION("""COMPUTED_VALUE"""),999999.0)</f>
        <v>999999</v>
      </c>
      <c r="O1909" s="148">
        <f>IFERROR(__xludf.DUMMYFUNCTION("""COMPUTED_VALUE"""),99999.0)</f>
        <v>99999</v>
      </c>
      <c r="P1909" s="148">
        <f>IFERROR(__xludf.DUMMYFUNCTION("""COMPUTED_VALUE"""),9999.0)</f>
        <v>9999</v>
      </c>
      <c r="Q1909" s="148" t="str">
        <f>IFERROR(__xludf.DUMMYFUNCTION("""COMPUTED_VALUE"""),"[""bag_other""]")</f>
        <v>["bag_other"]</v>
      </c>
      <c r="R1909" s="148" t="str">
        <f>IFERROR(__xludf.DUMMYFUNCTION("""COMPUTED_VALUE"""),"[""bag"",""40120603""]")</f>
        <v>["bag","40120603"]</v>
      </c>
      <c r="S1909" s="148" t="str">
        <f>IFERROR(__xludf.DUMMYFUNCTION("""COMPUTED_VALUE"""),"{""effect"":[{""typ"":""mecha_driver"",""id"":40120603,""val"":1}]}")</f>
        <v>{"effect":[{"typ":"mecha_driver","id":40120603,"val":1}]}</v>
      </c>
      <c r="T1909" s="148">
        <f>IFERROR(__xludf.DUMMYFUNCTION("""COMPUTED_VALUE"""),1.0)</f>
        <v>1</v>
      </c>
      <c r="U1909" s="148">
        <f>IFERROR(__xludf.DUMMYFUNCTION("""COMPUTED_VALUE"""),1.0)</f>
        <v>1</v>
      </c>
      <c r="V1909" s="148" t="str">
        <f>IFERROR(__xludf.DUMMYFUNCTION("""COMPUTED_VALUE"""),"[]")</f>
        <v>[]</v>
      </c>
      <c r="W1909" s="148">
        <f>IFERROR(__xludf.DUMMYFUNCTION("""COMPUTED_VALUE"""),1.174E7)</f>
        <v>11740000</v>
      </c>
      <c r="X1909" s="148">
        <f>IFERROR(__xludf.DUMMYFUNCTION("""COMPUTED_VALUE"""),0.0)</f>
        <v>0</v>
      </c>
      <c r="Y1909" s="148">
        <f>IFERROR(__xludf.DUMMYFUNCTION("""COMPUTED_VALUE"""),0.0)</f>
        <v>0</v>
      </c>
      <c r="Z1909" s="148"/>
    </row>
    <row r="1910">
      <c r="A1910" s="148">
        <f>IFERROR(__xludf.DUMMYFUNCTION("""COMPUTED_VALUE"""),1.1117928E7)</f>
        <v>11117928</v>
      </c>
      <c r="B1910" s="148" t="str">
        <f>IFERROR(__xludf.DUMMYFUNCTION("""COMPUTED_VALUE"""),"罗伯特·布朗")</f>
        <v>罗伯特·布朗</v>
      </c>
      <c r="C1910" s="148"/>
      <c r="D1910" s="148" t="str">
        <f>IFERROR(__xludf.DUMMYFUNCTION("""COMPUTED_VALUE"""),"item_mecha_driver")</f>
        <v>item_mecha_driver</v>
      </c>
      <c r="E1910" s="148">
        <f>IFERROR(__xludf.DUMMYFUNCTION("""COMPUTED_VALUE"""),20.0)</f>
        <v>20</v>
      </c>
      <c r="F1910" s="148">
        <f>IFERROR(__xludf.DUMMYFUNCTION("""COMPUTED_VALUE"""),408195.0)</f>
        <v>408195</v>
      </c>
      <c r="G1910" s="148">
        <f>IFERROR(__xludf.DUMMYFUNCTION("""COMPUTED_VALUE"""),1.51100073E8)</f>
        <v>151100073</v>
      </c>
      <c r="H1910" s="148">
        <f>IFERROR(__xludf.DUMMYFUNCTION("""COMPUTED_VALUE"""),1.5112564E7)</f>
        <v>15112564</v>
      </c>
      <c r="I1910" s="148" t="str">
        <f>IFERROR(__xludf.DUMMYFUNCTION("""COMPUTED_VALUE"""),"{}")</f>
        <v>{}</v>
      </c>
      <c r="J1910" s="148" t="str">
        <f>IFERROR(__xludf.DUMMYFUNCTION("""COMPUTED_VALUE"""),"{""typ"":""lc"",""txt"":""LC_MAP_mecha_driver_hero_name_19""}")</f>
        <v>{"typ":"lc","txt":"LC_MAP_mecha_driver_hero_name_19"}</v>
      </c>
      <c r="K1910" s="148" t="str">
        <f>IFERROR(__xludf.DUMMYFUNCTION("""COMPUTED_VALUE"""),"{""typ"":""lc"",""txt"":""LC_MAP_mecha_driver_hero_desc_19""}")</f>
        <v>{"typ":"lc","txt":"LC_MAP_mecha_driver_hero_desc_19"}</v>
      </c>
      <c r="L1910" s="148" t="str">
        <f>IFERROR(__xludf.DUMMYFUNCTION("""COMPUTED_VALUE"""),"{}")</f>
        <v>{}</v>
      </c>
      <c r="M1910" s="148">
        <f>IFERROR(__xludf.DUMMYFUNCTION("""COMPUTED_VALUE"""),8300.0)</f>
        <v>8300</v>
      </c>
      <c r="N1910" s="148">
        <f>IFERROR(__xludf.DUMMYFUNCTION("""COMPUTED_VALUE"""),999999.0)</f>
        <v>999999</v>
      </c>
      <c r="O1910" s="148">
        <f>IFERROR(__xludf.DUMMYFUNCTION("""COMPUTED_VALUE"""),99999.0)</f>
        <v>99999</v>
      </c>
      <c r="P1910" s="148">
        <f>IFERROR(__xludf.DUMMYFUNCTION("""COMPUTED_VALUE"""),9999.0)</f>
        <v>9999</v>
      </c>
      <c r="Q1910" s="148" t="str">
        <f>IFERROR(__xludf.DUMMYFUNCTION("""COMPUTED_VALUE"""),"[""bag_other""]")</f>
        <v>["bag_other"]</v>
      </c>
      <c r="R1910" s="148" t="str">
        <f>IFERROR(__xludf.DUMMYFUNCTION("""COMPUTED_VALUE"""),"[""bag"",""40120701""]")</f>
        <v>["bag","40120701"]</v>
      </c>
      <c r="S1910" s="148" t="str">
        <f>IFERROR(__xludf.DUMMYFUNCTION("""COMPUTED_VALUE"""),"{""effect"":[{""typ"":""mecha_driver"",""id"":40120701,""val"":1}]}")</f>
        <v>{"effect":[{"typ":"mecha_driver","id":40120701,"val":1}]}</v>
      </c>
      <c r="T1910" s="148">
        <f>IFERROR(__xludf.DUMMYFUNCTION("""COMPUTED_VALUE"""),1.0)</f>
        <v>1</v>
      </c>
      <c r="U1910" s="148">
        <f>IFERROR(__xludf.DUMMYFUNCTION("""COMPUTED_VALUE"""),1.0)</f>
        <v>1</v>
      </c>
      <c r="V1910" s="148" t="str">
        <f>IFERROR(__xludf.DUMMYFUNCTION("""COMPUTED_VALUE"""),"[]")</f>
        <v>[]</v>
      </c>
      <c r="W1910" s="148">
        <f>IFERROR(__xludf.DUMMYFUNCTION("""COMPUTED_VALUE"""),1.174E7)</f>
        <v>11740000</v>
      </c>
      <c r="X1910" s="148">
        <f>IFERROR(__xludf.DUMMYFUNCTION("""COMPUTED_VALUE"""),0.0)</f>
        <v>0</v>
      </c>
      <c r="Y1910" s="148">
        <f>IFERROR(__xludf.DUMMYFUNCTION("""COMPUTED_VALUE"""),0.0)</f>
        <v>0</v>
      </c>
      <c r="Z1910" s="148"/>
    </row>
    <row r="1911">
      <c r="A1911" s="148">
        <f>IFERROR(__xludf.DUMMYFUNCTION("""COMPUTED_VALUE"""),1.1117929E7)</f>
        <v>11117929</v>
      </c>
      <c r="B1911" s="148" t="str">
        <f>IFERROR(__xludf.DUMMYFUNCTION("""COMPUTED_VALUE"""),"亚当·戴维斯")</f>
        <v>亚当·戴维斯</v>
      </c>
      <c r="C1911" s="148"/>
      <c r="D1911" s="148" t="str">
        <f>IFERROR(__xludf.DUMMYFUNCTION("""COMPUTED_VALUE"""),"item_mecha_driver")</f>
        <v>item_mecha_driver</v>
      </c>
      <c r="E1911" s="148">
        <f>IFERROR(__xludf.DUMMYFUNCTION("""COMPUTED_VALUE"""),20.0)</f>
        <v>20</v>
      </c>
      <c r="F1911" s="148">
        <f>IFERROR(__xludf.DUMMYFUNCTION("""COMPUTED_VALUE"""),408195.0)</f>
        <v>408195</v>
      </c>
      <c r="G1911" s="148">
        <f>IFERROR(__xludf.DUMMYFUNCTION("""COMPUTED_VALUE"""),1.51100074E8)</f>
        <v>151100074</v>
      </c>
      <c r="H1911" s="148">
        <f>IFERROR(__xludf.DUMMYFUNCTION("""COMPUTED_VALUE"""),1.5112564E7)</f>
        <v>15112564</v>
      </c>
      <c r="I1911" s="148" t="str">
        <f>IFERROR(__xludf.DUMMYFUNCTION("""COMPUTED_VALUE"""),"{}")</f>
        <v>{}</v>
      </c>
      <c r="J1911" s="148" t="str">
        <f>IFERROR(__xludf.DUMMYFUNCTION("""COMPUTED_VALUE"""),"{""typ"":""lc"",""txt"":""LC_MAP_mecha_driver_hero_name_20""}")</f>
        <v>{"typ":"lc","txt":"LC_MAP_mecha_driver_hero_name_20"}</v>
      </c>
      <c r="K1911" s="148" t="str">
        <f>IFERROR(__xludf.DUMMYFUNCTION("""COMPUTED_VALUE"""),"{""typ"":""lc"",""txt"":""LC_MAP_mecha_driver_hero_desc_20""}")</f>
        <v>{"typ":"lc","txt":"LC_MAP_mecha_driver_hero_desc_20"}</v>
      </c>
      <c r="L1911" s="148" t="str">
        <f>IFERROR(__xludf.DUMMYFUNCTION("""COMPUTED_VALUE"""),"{}")</f>
        <v>{}</v>
      </c>
      <c r="M1911" s="148">
        <f>IFERROR(__xludf.DUMMYFUNCTION("""COMPUTED_VALUE"""),8300.0)</f>
        <v>8300</v>
      </c>
      <c r="N1911" s="148">
        <f>IFERROR(__xludf.DUMMYFUNCTION("""COMPUTED_VALUE"""),999999.0)</f>
        <v>999999</v>
      </c>
      <c r="O1911" s="148">
        <f>IFERROR(__xludf.DUMMYFUNCTION("""COMPUTED_VALUE"""),99999.0)</f>
        <v>99999</v>
      </c>
      <c r="P1911" s="148">
        <f>IFERROR(__xludf.DUMMYFUNCTION("""COMPUTED_VALUE"""),9999.0)</f>
        <v>9999</v>
      </c>
      <c r="Q1911" s="148" t="str">
        <f>IFERROR(__xludf.DUMMYFUNCTION("""COMPUTED_VALUE"""),"[""bag_other""]")</f>
        <v>["bag_other"]</v>
      </c>
      <c r="R1911" s="148" t="str">
        <f>IFERROR(__xludf.DUMMYFUNCTION("""COMPUTED_VALUE"""),"[""bag"",""40120702""]")</f>
        <v>["bag","40120702"]</v>
      </c>
      <c r="S1911" s="148" t="str">
        <f>IFERROR(__xludf.DUMMYFUNCTION("""COMPUTED_VALUE"""),"{""effect"":[{""typ"":""mecha_driver"",""id"":40120702,""val"":1}]}")</f>
        <v>{"effect":[{"typ":"mecha_driver","id":40120702,"val":1}]}</v>
      </c>
      <c r="T1911" s="148">
        <f>IFERROR(__xludf.DUMMYFUNCTION("""COMPUTED_VALUE"""),1.0)</f>
        <v>1</v>
      </c>
      <c r="U1911" s="148">
        <f>IFERROR(__xludf.DUMMYFUNCTION("""COMPUTED_VALUE"""),1.0)</f>
        <v>1</v>
      </c>
      <c r="V1911" s="148" t="str">
        <f>IFERROR(__xludf.DUMMYFUNCTION("""COMPUTED_VALUE"""),"[]")</f>
        <v>[]</v>
      </c>
      <c r="W1911" s="148">
        <f>IFERROR(__xludf.DUMMYFUNCTION("""COMPUTED_VALUE"""),1.174E7)</f>
        <v>11740000</v>
      </c>
      <c r="X1911" s="148">
        <f>IFERROR(__xludf.DUMMYFUNCTION("""COMPUTED_VALUE"""),0.0)</f>
        <v>0</v>
      </c>
      <c r="Y1911" s="148">
        <f>IFERROR(__xludf.DUMMYFUNCTION("""COMPUTED_VALUE"""),0.0)</f>
        <v>0</v>
      </c>
      <c r="Z1911" s="148"/>
    </row>
    <row r="1912">
      <c r="A1912" s="148">
        <f>IFERROR(__xludf.DUMMYFUNCTION("""COMPUTED_VALUE"""),1.111793E7)</f>
        <v>11117930</v>
      </c>
      <c r="B1912" s="148" t="str">
        <f>IFERROR(__xludf.DUMMYFUNCTION("""COMPUTED_VALUE"""),"瑞恩·威尔逊")</f>
        <v>瑞恩·威尔逊</v>
      </c>
      <c r="C1912" s="148"/>
      <c r="D1912" s="148" t="str">
        <f>IFERROR(__xludf.DUMMYFUNCTION("""COMPUTED_VALUE"""),"item_mecha_driver")</f>
        <v>item_mecha_driver</v>
      </c>
      <c r="E1912" s="148">
        <f>IFERROR(__xludf.DUMMYFUNCTION("""COMPUTED_VALUE"""),20.0)</f>
        <v>20</v>
      </c>
      <c r="F1912" s="148">
        <f>IFERROR(__xludf.DUMMYFUNCTION("""COMPUTED_VALUE"""),408195.0)</f>
        <v>408195</v>
      </c>
      <c r="G1912" s="148">
        <f>IFERROR(__xludf.DUMMYFUNCTION("""COMPUTED_VALUE"""),1.51100075E8)</f>
        <v>151100075</v>
      </c>
      <c r="H1912" s="148">
        <f>IFERROR(__xludf.DUMMYFUNCTION("""COMPUTED_VALUE"""),1.5112564E7)</f>
        <v>15112564</v>
      </c>
      <c r="I1912" s="148" t="str">
        <f>IFERROR(__xludf.DUMMYFUNCTION("""COMPUTED_VALUE"""),"{}")</f>
        <v>{}</v>
      </c>
      <c r="J1912" s="148" t="str">
        <f>IFERROR(__xludf.DUMMYFUNCTION("""COMPUTED_VALUE"""),"{""typ"":""lc"",""txt"":""LC_MAP_mecha_driver_hero_name_21""}")</f>
        <v>{"typ":"lc","txt":"LC_MAP_mecha_driver_hero_name_21"}</v>
      </c>
      <c r="K1912" s="148" t="str">
        <f>IFERROR(__xludf.DUMMYFUNCTION("""COMPUTED_VALUE"""),"{""typ"":""lc"",""txt"":""LC_MAP_mecha_driver_hero_desc_21""}")</f>
        <v>{"typ":"lc","txt":"LC_MAP_mecha_driver_hero_desc_21"}</v>
      </c>
      <c r="L1912" s="148" t="str">
        <f>IFERROR(__xludf.DUMMYFUNCTION("""COMPUTED_VALUE"""),"{}")</f>
        <v>{}</v>
      </c>
      <c r="M1912" s="148">
        <f>IFERROR(__xludf.DUMMYFUNCTION("""COMPUTED_VALUE"""),8300.0)</f>
        <v>8300</v>
      </c>
      <c r="N1912" s="148">
        <f>IFERROR(__xludf.DUMMYFUNCTION("""COMPUTED_VALUE"""),999999.0)</f>
        <v>999999</v>
      </c>
      <c r="O1912" s="148">
        <f>IFERROR(__xludf.DUMMYFUNCTION("""COMPUTED_VALUE"""),99999.0)</f>
        <v>99999</v>
      </c>
      <c r="P1912" s="148">
        <f>IFERROR(__xludf.DUMMYFUNCTION("""COMPUTED_VALUE"""),9999.0)</f>
        <v>9999</v>
      </c>
      <c r="Q1912" s="148" t="str">
        <f>IFERROR(__xludf.DUMMYFUNCTION("""COMPUTED_VALUE"""),"[""bag_other""]")</f>
        <v>["bag_other"]</v>
      </c>
      <c r="R1912" s="148" t="str">
        <f>IFERROR(__xludf.DUMMYFUNCTION("""COMPUTED_VALUE"""),"[""bag"",""40120703""]")</f>
        <v>["bag","40120703"]</v>
      </c>
      <c r="S1912" s="148" t="str">
        <f>IFERROR(__xludf.DUMMYFUNCTION("""COMPUTED_VALUE"""),"{""effect"":[{""typ"":""mecha_driver"",""id"":40120703,""val"":1}]}")</f>
        <v>{"effect":[{"typ":"mecha_driver","id":40120703,"val":1}]}</v>
      </c>
      <c r="T1912" s="148">
        <f>IFERROR(__xludf.DUMMYFUNCTION("""COMPUTED_VALUE"""),1.0)</f>
        <v>1</v>
      </c>
      <c r="U1912" s="148">
        <f>IFERROR(__xludf.DUMMYFUNCTION("""COMPUTED_VALUE"""),1.0)</f>
        <v>1</v>
      </c>
      <c r="V1912" s="148" t="str">
        <f>IFERROR(__xludf.DUMMYFUNCTION("""COMPUTED_VALUE"""),"[]")</f>
        <v>[]</v>
      </c>
      <c r="W1912" s="148">
        <f>IFERROR(__xludf.DUMMYFUNCTION("""COMPUTED_VALUE"""),1.174E7)</f>
        <v>11740000</v>
      </c>
      <c r="X1912" s="148">
        <f>IFERROR(__xludf.DUMMYFUNCTION("""COMPUTED_VALUE"""),0.0)</f>
        <v>0</v>
      </c>
      <c r="Y1912" s="148">
        <f>IFERROR(__xludf.DUMMYFUNCTION("""COMPUTED_VALUE"""),0.0)</f>
        <v>0</v>
      </c>
      <c r="Z1912" s="148"/>
    </row>
    <row r="1913">
      <c r="A1913" s="148">
        <f>IFERROR(__xludf.DUMMYFUNCTION("""COMPUTED_VALUE"""),1.1117931E7)</f>
        <v>11117931</v>
      </c>
      <c r="B1913" s="148" t="str">
        <f>IFERROR(__xludf.DUMMYFUNCTION("""COMPUTED_VALUE"""),"杰里米·洛佩兹")</f>
        <v>杰里米·洛佩兹</v>
      </c>
      <c r="C1913" s="148"/>
      <c r="D1913" s="148" t="str">
        <f>IFERROR(__xludf.DUMMYFUNCTION("""COMPUTED_VALUE"""),"item_mecha_driver")</f>
        <v>item_mecha_driver</v>
      </c>
      <c r="E1913" s="148">
        <f>IFERROR(__xludf.DUMMYFUNCTION("""COMPUTED_VALUE"""),20.0)</f>
        <v>20</v>
      </c>
      <c r="F1913" s="148">
        <f>IFERROR(__xludf.DUMMYFUNCTION("""COMPUTED_VALUE"""),408195.0)</f>
        <v>408195</v>
      </c>
      <c r="G1913" s="148">
        <f>IFERROR(__xludf.DUMMYFUNCTION("""COMPUTED_VALUE"""),1.51100076E8)</f>
        <v>151100076</v>
      </c>
      <c r="H1913" s="148">
        <f>IFERROR(__xludf.DUMMYFUNCTION("""COMPUTED_VALUE"""),1.5112564E7)</f>
        <v>15112564</v>
      </c>
      <c r="I1913" s="148" t="str">
        <f>IFERROR(__xludf.DUMMYFUNCTION("""COMPUTED_VALUE"""),"{}")</f>
        <v>{}</v>
      </c>
      <c r="J1913" s="148" t="str">
        <f>IFERROR(__xludf.DUMMYFUNCTION("""COMPUTED_VALUE"""),"{""typ"":""lc"",""txt"":""LC_MAP_mecha_driver_hero_name_22""}")</f>
        <v>{"typ":"lc","txt":"LC_MAP_mecha_driver_hero_name_22"}</v>
      </c>
      <c r="K1913" s="148" t="str">
        <f>IFERROR(__xludf.DUMMYFUNCTION("""COMPUTED_VALUE"""),"{""typ"":""lc"",""txt"":""LC_MAP_mecha_driver_hero_desc_22""}")</f>
        <v>{"typ":"lc","txt":"LC_MAP_mecha_driver_hero_desc_22"}</v>
      </c>
      <c r="L1913" s="148" t="str">
        <f>IFERROR(__xludf.DUMMYFUNCTION("""COMPUTED_VALUE"""),"{}")</f>
        <v>{}</v>
      </c>
      <c r="M1913" s="148">
        <f>IFERROR(__xludf.DUMMYFUNCTION("""COMPUTED_VALUE"""),8300.0)</f>
        <v>8300</v>
      </c>
      <c r="N1913" s="148">
        <f>IFERROR(__xludf.DUMMYFUNCTION("""COMPUTED_VALUE"""),999999.0)</f>
        <v>999999</v>
      </c>
      <c r="O1913" s="148">
        <f>IFERROR(__xludf.DUMMYFUNCTION("""COMPUTED_VALUE"""),99999.0)</f>
        <v>99999</v>
      </c>
      <c r="P1913" s="148">
        <f>IFERROR(__xludf.DUMMYFUNCTION("""COMPUTED_VALUE"""),9999.0)</f>
        <v>9999</v>
      </c>
      <c r="Q1913" s="148" t="str">
        <f>IFERROR(__xludf.DUMMYFUNCTION("""COMPUTED_VALUE"""),"[""bag_other""]")</f>
        <v>["bag_other"]</v>
      </c>
      <c r="R1913" s="148" t="str">
        <f>IFERROR(__xludf.DUMMYFUNCTION("""COMPUTED_VALUE"""),"[""bag"",""40120801""]")</f>
        <v>["bag","40120801"]</v>
      </c>
      <c r="S1913" s="148" t="str">
        <f>IFERROR(__xludf.DUMMYFUNCTION("""COMPUTED_VALUE"""),"{""effect"":[{""typ"":""mecha_driver"",""id"":40120801,""val"":1}]}")</f>
        <v>{"effect":[{"typ":"mecha_driver","id":40120801,"val":1}]}</v>
      </c>
      <c r="T1913" s="148">
        <f>IFERROR(__xludf.DUMMYFUNCTION("""COMPUTED_VALUE"""),1.0)</f>
        <v>1</v>
      </c>
      <c r="U1913" s="148">
        <f>IFERROR(__xludf.DUMMYFUNCTION("""COMPUTED_VALUE"""),1.0)</f>
        <v>1</v>
      </c>
      <c r="V1913" s="148" t="str">
        <f>IFERROR(__xludf.DUMMYFUNCTION("""COMPUTED_VALUE"""),"[]")</f>
        <v>[]</v>
      </c>
      <c r="W1913" s="148">
        <f>IFERROR(__xludf.DUMMYFUNCTION("""COMPUTED_VALUE"""),1.174E7)</f>
        <v>11740000</v>
      </c>
      <c r="X1913" s="148">
        <f>IFERROR(__xludf.DUMMYFUNCTION("""COMPUTED_VALUE"""),0.0)</f>
        <v>0</v>
      </c>
      <c r="Y1913" s="148">
        <f>IFERROR(__xludf.DUMMYFUNCTION("""COMPUTED_VALUE"""),0.0)</f>
        <v>0</v>
      </c>
      <c r="Z1913" s="148"/>
    </row>
    <row r="1914">
      <c r="A1914" s="148">
        <f>IFERROR(__xludf.DUMMYFUNCTION("""COMPUTED_VALUE"""),1.1117932E7)</f>
        <v>11117932</v>
      </c>
      <c r="B1914" s="148" t="str">
        <f>IFERROR(__xludf.DUMMYFUNCTION("""COMPUTED_VALUE"""),"布兰登·史密斯")</f>
        <v>布兰登·史密斯</v>
      </c>
      <c r="C1914" s="148"/>
      <c r="D1914" s="148" t="str">
        <f>IFERROR(__xludf.DUMMYFUNCTION("""COMPUTED_VALUE"""),"item_mecha_driver")</f>
        <v>item_mecha_driver</v>
      </c>
      <c r="E1914" s="148">
        <f>IFERROR(__xludf.DUMMYFUNCTION("""COMPUTED_VALUE"""),20.0)</f>
        <v>20</v>
      </c>
      <c r="F1914" s="148">
        <f>IFERROR(__xludf.DUMMYFUNCTION("""COMPUTED_VALUE"""),408195.0)</f>
        <v>408195</v>
      </c>
      <c r="G1914" s="148">
        <f>IFERROR(__xludf.DUMMYFUNCTION("""COMPUTED_VALUE"""),1.51100077E8)</f>
        <v>151100077</v>
      </c>
      <c r="H1914" s="148">
        <f>IFERROR(__xludf.DUMMYFUNCTION("""COMPUTED_VALUE"""),1.5112564E7)</f>
        <v>15112564</v>
      </c>
      <c r="I1914" s="148" t="str">
        <f>IFERROR(__xludf.DUMMYFUNCTION("""COMPUTED_VALUE"""),"{}")</f>
        <v>{}</v>
      </c>
      <c r="J1914" s="148" t="str">
        <f>IFERROR(__xludf.DUMMYFUNCTION("""COMPUTED_VALUE"""),"{""typ"":""lc"",""txt"":""LC_MAP_mecha_driver_hero_name_23""}")</f>
        <v>{"typ":"lc","txt":"LC_MAP_mecha_driver_hero_name_23"}</v>
      </c>
      <c r="K1914" s="148" t="str">
        <f>IFERROR(__xludf.DUMMYFUNCTION("""COMPUTED_VALUE"""),"{""typ"":""lc"",""txt"":""LC_MAP_mecha_driver_hero_desc_23""}")</f>
        <v>{"typ":"lc","txt":"LC_MAP_mecha_driver_hero_desc_23"}</v>
      </c>
      <c r="L1914" s="148" t="str">
        <f>IFERROR(__xludf.DUMMYFUNCTION("""COMPUTED_VALUE"""),"{}")</f>
        <v>{}</v>
      </c>
      <c r="M1914" s="148">
        <f>IFERROR(__xludf.DUMMYFUNCTION("""COMPUTED_VALUE"""),8300.0)</f>
        <v>8300</v>
      </c>
      <c r="N1914" s="148">
        <f>IFERROR(__xludf.DUMMYFUNCTION("""COMPUTED_VALUE"""),999999.0)</f>
        <v>999999</v>
      </c>
      <c r="O1914" s="148">
        <f>IFERROR(__xludf.DUMMYFUNCTION("""COMPUTED_VALUE"""),99999.0)</f>
        <v>99999</v>
      </c>
      <c r="P1914" s="148">
        <f>IFERROR(__xludf.DUMMYFUNCTION("""COMPUTED_VALUE"""),9999.0)</f>
        <v>9999</v>
      </c>
      <c r="Q1914" s="148" t="str">
        <f>IFERROR(__xludf.DUMMYFUNCTION("""COMPUTED_VALUE"""),"[""bag_other""]")</f>
        <v>["bag_other"]</v>
      </c>
      <c r="R1914" s="148" t="str">
        <f>IFERROR(__xludf.DUMMYFUNCTION("""COMPUTED_VALUE"""),"[""bag"",""40120802""]")</f>
        <v>["bag","40120802"]</v>
      </c>
      <c r="S1914" s="148" t="str">
        <f>IFERROR(__xludf.DUMMYFUNCTION("""COMPUTED_VALUE"""),"{""effect"":[{""typ"":""mecha_driver"",""id"":40120802,""val"":1}]}")</f>
        <v>{"effect":[{"typ":"mecha_driver","id":40120802,"val":1}]}</v>
      </c>
      <c r="T1914" s="148">
        <f>IFERROR(__xludf.DUMMYFUNCTION("""COMPUTED_VALUE"""),1.0)</f>
        <v>1</v>
      </c>
      <c r="U1914" s="148">
        <f>IFERROR(__xludf.DUMMYFUNCTION("""COMPUTED_VALUE"""),1.0)</f>
        <v>1</v>
      </c>
      <c r="V1914" s="148" t="str">
        <f>IFERROR(__xludf.DUMMYFUNCTION("""COMPUTED_VALUE"""),"[]")</f>
        <v>[]</v>
      </c>
      <c r="W1914" s="148">
        <f>IFERROR(__xludf.DUMMYFUNCTION("""COMPUTED_VALUE"""),1.174E7)</f>
        <v>11740000</v>
      </c>
      <c r="X1914" s="148">
        <f>IFERROR(__xludf.DUMMYFUNCTION("""COMPUTED_VALUE"""),0.0)</f>
        <v>0</v>
      </c>
      <c r="Y1914" s="148">
        <f>IFERROR(__xludf.DUMMYFUNCTION("""COMPUTED_VALUE"""),0.0)</f>
        <v>0</v>
      </c>
      <c r="Z1914" s="148"/>
    </row>
    <row r="1915">
      <c r="A1915" s="148">
        <f>IFERROR(__xludf.DUMMYFUNCTION("""COMPUTED_VALUE"""),1.1117933E7)</f>
        <v>11117933</v>
      </c>
      <c r="B1915" s="148" t="str">
        <f>IFERROR(__xludf.DUMMYFUNCTION("""COMPUTED_VALUE"""),"安妮·琼斯")</f>
        <v>安妮·琼斯</v>
      </c>
      <c r="C1915" s="148"/>
      <c r="D1915" s="148" t="str">
        <f>IFERROR(__xludf.DUMMYFUNCTION("""COMPUTED_VALUE"""),"item_mecha_driver")</f>
        <v>item_mecha_driver</v>
      </c>
      <c r="E1915" s="148">
        <f>IFERROR(__xludf.DUMMYFUNCTION("""COMPUTED_VALUE"""),20.0)</f>
        <v>20</v>
      </c>
      <c r="F1915" s="148">
        <f>IFERROR(__xludf.DUMMYFUNCTION("""COMPUTED_VALUE"""),408195.0)</f>
        <v>408195</v>
      </c>
      <c r="G1915" s="148">
        <f>IFERROR(__xludf.DUMMYFUNCTION("""COMPUTED_VALUE"""),1.51100078E8)</f>
        <v>151100078</v>
      </c>
      <c r="H1915" s="148">
        <f>IFERROR(__xludf.DUMMYFUNCTION("""COMPUTED_VALUE"""),1.5112564E7)</f>
        <v>15112564</v>
      </c>
      <c r="I1915" s="148" t="str">
        <f>IFERROR(__xludf.DUMMYFUNCTION("""COMPUTED_VALUE"""),"{}")</f>
        <v>{}</v>
      </c>
      <c r="J1915" s="148" t="str">
        <f>IFERROR(__xludf.DUMMYFUNCTION("""COMPUTED_VALUE"""),"{""typ"":""lc"",""txt"":""LC_MAP_mecha_driver_hero_name_24""}")</f>
        <v>{"typ":"lc","txt":"LC_MAP_mecha_driver_hero_name_24"}</v>
      </c>
      <c r="K1915" s="148" t="str">
        <f>IFERROR(__xludf.DUMMYFUNCTION("""COMPUTED_VALUE"""),"{""typ"":""lc"",""txt"":""LC_MAP_mecha_driver_hero_desc_24""}")</f>
        <v>{"typ":"lc","txt":"LC_MAP_mecha_driver_hero_desc_24"}</v>
      </c>
      <c r="L1915" s="148" t="str">
        <f>IFERROR(__xludf.DUMMYFUNCTION("""COMPUTED_VALUE"""),"{}")</f>
        <v>{}</v>
      </c>
      <c r="M1915" s="148">
        <f>IFERROR(__xludf.DUMMYFUNCTION("""COMPUTED_VALUE"""),8300.0)</f>
        <v>8300</v>
      </c>
      <c r="N1915" s="148">
        <f>IFERROR(__xludf.DUMMYFUNCTION("""COMPUTED_VALUE"""),999999.0)</f>
        <v>999999</v>
      </c>
      <c r="O1915" s="148">
        <f>IFERROR(__xludf.DUMMYFUNCTION("""COMPUTED_VALUE"""),99999.0)</f>
        <v>99999</v>
      </c>
      <c r="P1915" s="148">
        <f>IFERROR(__xludf.DUMMYFUNCTION("""COMPUTED_VALUE"""),9999.0)</f>
        <v>9999</v>
      </c>
      <c r="Q1915" s="148" t="str">
        <f>IFERROR(__xludf.DUMMYFUNCTION("""COMPUTED_VALUE"""),"[""bag_other""]")</f>
        <v>["bag_other"]</v>
      </c>
      <c r="R1915" s="148" t="str">
        <f>IFERROR(__xludf.DUMMYFUNCTION("""COMPUTED_VALUE"""),"[""bag"",""40120803""]")</f>
        <v>["bag","40120803"]</v>
      </c>
      <c r="S1915" s="148" t="str">
        <f>IFERROR(__xludf.DUMMYFUNCTION("""COMPUTED_VALUE"""),"{""effect"":[{""typ"":""mecha_driver"",""id"":40120803,""val"":1}]}")</f>
        <v>{"effect":[{"typ":"mecha_driver","id":40120803,"val":1}]}</v>
      </c>
      <c r="T1915" s="148">
        <f>IFERROR(__xludf.DUMMYFUNCTION("""COMPUTED_VALUE"""),1.0)</f>
        <v>1</v>
      </c>
      <c r="U1915" s="148">
        <f>IFERROR(__xludf.DUMMYFUNCTION("""COMPUTED_VALUE"""),1.0)</f>
        <v>1</v>
      </c>
      <c r="V1915" s="148" t="str">
        <f>IFERROR(__xludf.DUMMYFUNCTION("""COMPUTED_VALUE"""),"[]")</f>
        <v>[]</v>
      </c>
      <c r="W1915" s="148">
        <f>IFERROR(__xludf.DUMMYFUNCTION("""COMPUTED_VALUE"""),1.174E7)</f>
        <v>11740000</v>
      </c>
      <c r="X1915" s="148">
        <f>IFERROR(__xludf.DUMMYFUNCTION("""COMPUTED_VALUE"""),0.0)</f>
        <v>0</v>
      </c>
      <c r="Y1915" s="148">
        <f>IFERROR(__xludf.DUMMYFUNCTION("""COMPUTED_VALUE"""),0.0)</f>
        <v>0</v>
      </c>
      <c r="Z1915" s="148"/>
    </row>
    <row r="1916">
      <c r="A1916" s="148">
        <f>IFERROR(__xludf.DUMMYFUNCTION("""COMPUTED_VALUE"""),1.1117934E7)</f>
        <v>11117934</v>
      </c>
      <c r="B1916" s="148" t="str">
        <f>IFERROR(__xludf.DUMMYFUNCTION("""COMPUTED_VALUE"""),"亚历山大·怀尔德")</f>
        <v>亚历山大·怀尔德</v>
      </c>
      <c r="C1916" s="148"/>
      <c r="D1916" s="148" t="str">
        <f>IFERROR(__xludf.DUMMYFUNCTION("""COMPUTED_VALUE"""),"item_mecha_driver")</f>
        <v>item_mecha_driver</v>
      </c>
      <c r="E1916" s="148">
        <f>IFERROR(__xludf.DUMMYFUNCTION("""COMPUTED_VALUE"""),20.0)</f>
        <v>20</v>
      </c>
      <c r="F1916" s="148">
        <f>IFERROR(__xludf.DUMMYFUNCTION("""COMPUTED_VALUE"""),408195.0)</f>
        <v>408195</v>
      </c>
      <c r="G1916" s="148">
        <f>IFERROR(__xludf.DUMMYFUNCTION("""COMPUTED_VALUE"""),1.51100562E8)</f>
        <v>151100562</v>
      </c>
      <c r="H1916" s="148">
        <f>IFERROR(__xludf.DUMMYFUNCTION("""COMPUTED_VALUE"""),1.5112564E7)</f>
        <v>15112564</v>
      </c>
      <c r="I1916" s="148" t="str">
        <f>IFERROR(__xludf.DUMMYFUNCTION("""COMPUTED_VALUE"""),"{}")</f>
        <v>{}</v>
      </c>
      <c r="J1916" s="148" t="str">
        <f>IFERROR(__xludf.DUMMYFUNCTION("""COMPUTED_VALUE"""),"{""typ"":""lc"",""txt"":""LC_MAP_mecha_driver_hero_name_25""}")</f>
        <v>{"typ":"lc","txt":"LC_MAP_mecha_driver_hero_name_25"}</v>
      </c>
      <c r="K1916" s="148" t="str">
        <f>IFERROR(__xludf.DUMMYFUNCTION("""COMPUTED_VALUE"""),"{""typ"":""lc"",""txt"":""LC_MAP_mecha_driver_hero_desc_25""}")</f>
        <v>{"typ":"lc","txt":"LC_MAP_mecha_driver_hero_desc_25"}</v>
      </c>
      <c r="L1916" s="148" t="str">
        <f>IFERROR(__xludf.DUMMYFUNCTION("""COMPUTED_VALUE"""),"{}")</f>
        <v>{}</v>
      </c>
      <c r="M1916" s="148">
        <f>IFERROR(__xludf.DUMMYFUNCTION("""COMPUTED_VALUE"""),8300.0)</f>
        <v>8300</v>
      </c>
      <c r="N1916" s="148">
        <f>IFERROR(__xludf.DUMMYFUNCTION("""COMPUTED_VALUE"""),999999.0)</f>
        <v>999999</v>
      </c>
      <c r="O1916" s="148">
        <f>IFERROR(__xludf.DUMMYFUNCTION("""COMPUTED_VALUE"""),99999.0)</f>
        <v>99999</v>
      </c>
      <c r="P1916" s="148">
        <f>IFERROR(__xludf.DUMMYFUNCTION("""COMPUTED_VALUE"""),9999.0)</f>
        <v>9999</v>
      </c>
      <c r="Q1916" s="148" t="str">
        <f>IFERROR(__xludf.DUMMYFUNCTION("""COMPUTED_VALUE"""),"[""bag_other""]")</f>
        <v>["bag_other"]</v>
      </c>
      <c r="R1916" s="148" t="str">
        <f>IFERROR(__xludf.DUMMYFUNCTION("""COMPUTED_VALUE"""),"[""bag"",""40120901""]")</f>
        <v>["bag","40120901"]</v>
      </c>
      <c r="S1916" s="148" t="str">
        <f>IFERROR(__xludf.DUMMYFUNCTION("""COMPUTED_VALUE"""),"{""effect"":[{""typ"":""mecha_driver"",""id"":40120901,""val"":1}]}")</f>
        <v>{"effect":[{"typ":"mecha_driver","id":40120901,"val":1}]}</v>
      </c>
      <c r="T1916" s="148">
        <f>IFERROR(__xludf.DUMMYFUNCTION("""COMPUTED_VALUE"""),1.0)</f>
        <v>1</v>
      </c>
      <c r="U1916" s="148">
        <f>IFERROR(__xludf.DUMMYFUNCTION("""COMPUTED_VALUE"""),1.0)</f>
        <v>1</v>
      </c>
      <c r="V1916" s="148" t="str">
        <f>IFERROR(__xludf.DUMMYFUNCTION("""COMPUTED_VALUE"""),"[]")</f>
        <v>[]</v>
      </c>
      <c r="W1916" s="148">
        <f>IFERROR(__xludf.DUMMYFUNCTION("""COMPUTED_VALUE"""),1.174E7)</f>
        <v>11740000</v>
      </c>
      <c r="X1916" s="148">
        <f>IFERROR(__xludf.DUMMYFUNCTION("""COMPUTED_VALUE"""),0.0)</f>
        <v>0</v>
      </c>
      <c r="Y1916" s="148">
        <f>IFERROR(__xludf.DUMMYFUNCTION("""COMPUTED_VALUE"""),0.0)</f>
        <v>0</v>
      </c>
      <c r="Z1916" s="148"/>
    </row>
    <row r="1917">
      <c r="A1917" s="148">
        <f>IFERROR(__xludf.DUMMYFUNCTION("""COMPUTED_VALUE"""),1.1117935E7)</f>
        <v>11117935</v>
      </c>
      <c r="B1917" s="148" t="str">
        <f>IFERROR(__xludf.DUMMYFUNCTION("""COMPUTED_VALUE"""),"伊莱·格兰姆斯")</f>
        <v>伊莱·格兰姆斯</v>
      </c>
      <c r="C1917" s="148"/>
      <c r="D1917" s="148" t="str">
        <f>IFERROR(__xludf.DUMMYFUNCTION("""COMPUTED_VALUE"""),"item_mecha_driver")</f>
        <v>item_mecha_driver</v>
      </c>
      <c r="E1917" s="148">
        <f>IFERROR(__xludf.DUMMYFUNCTION("""COMPUTED_VALUE"""),20.0)</f>
        <v>20</v>
      </c>
      <c r="F1917" s="148">
        <f>IFERROR(__xludf.DUMMYFUNCTION("""COMPUTED_VALUE"""),408195.0)</f>
        <v>408195</v>
      </c>
      <c r="G1917" s="148">
        <f>IFERROR(__xludf.DUMMYFUNCTION("""COMPUTED_VALUE"""),1.51100563E8)</f>
        <v>151100563</v>
      </c>
      <c r="H1917" s="148">
        <f>IFERROR(__xludf.DUMMYFUNCTION("""COMPUTED_VALUE"""),1.5112564E7)</f>
        <v>15112564</v>
      </c>
      <c r="I1917" s="148" t="str">
        <f>IFERROR(__xludf.DUMMYFUNCTION("""COMPUTED_VALUE"""),"{}")</f>
        <v>{}</v>
      </c>
      <c r="J1917" s="148" t="str">
        <f>IFERROR(__xludf.DUMMYFUNCTION("""COMPUTED_VALUE"""),"{""typ"":""lc"",""txt"":""LC_MAP_mecha_driver_hero_name_26""}")</f>
        <v>{"typ":"lc","txt":"LC_MAP_mecha_driver_hero_name_26"}</v>
      </c>
      <c r="K1917" s="148" t="str">
        <f>IFERROR(__xludf.DUMMYFUNCTION("""COMPUTED_VALUE"""),"{""typ"":""lc"",""txt"":""LC_MAP_mecha_driver_hero_desc_26""}")</f>
        <v>{"typ":"lc","txt":"LC_MAP_mecha_driver_hero_desc_26"}</v>
      </c>
      <c r="L1917" s="148" t="str">
        <f>IFERROR(__xludf.DUMMYFUNCTION("""COMPUTED_VALUE"""),"{}")</f>
        <v>{}</v>
      </c>
      <c r="M1917" s="148">
        <f>IFERROR(__xludf.DUMMYFUNCTION("""COMPUTED_VALUE"""),8300.0)</f>
        <v>8300</v>
      </c>
      <c r="N1917" s="148">
        <f>IFERROR(__xludf.DUMMYFUNCTION("""COMPUTED_VALUE"""),999999.0)</f>
        <v>999999</v>
      </c>
      <c r="O1917" s="148">
        <f>IFERROR(__xludf.DUMMYFUNCTION("""COMPUTED_VALUE"""),99999.0)</f>
        <v>99999</v>
      </c>
      <c r="P1917" s="148">
        <f>IFERROR(__xludf.DUMMYFUNCTION("""COMPUTED_VALUE"""),9999.0)</f>
        <v>9999</v>
      </c>
      <c r="Q1917" s="148" t="str">
        <f>IFERROR(__xludf.DUMMYFUNCTION("""COMPUTED_VALUE"""),"[""bag_other""]")</f>
        <v>["bag_other"]</v>
      </c>
      <c r="R1917" s="148" t="str">
        <f>IFERROR(__xludf.DUMMYFUNCTION("""COMPUTED_VALUE"""),"[""bag"",""40120902""]")</f>
        <v>["bag","40120902"]</v>
      </c>
      <c r="S1917" s="148" t="str">
        <f>IFERROR(__xludf.DUMMYFUNCTION("""COMPUTED_VALUE"""),"{""effect"":[{""typ"":""mecha_driver"",""id"":40120902,""val"":1}]}")</f>
        <v>{"effect":[{"typ":"mecha_driver","id":40120902,"val":1}]}</v>
      </c>
      <c r="T1917" s="148">
        <f>IFERROR(__xludf.DUMMYFUNCTION("""COMPUTED_VALUE"""),1.0)</f>
        <v>1</v>
      </c>
      <c r="U1917" s="148">
        <f>IFERROR(__xludf.DUMMYFUNCTION("""COMPUTED_VALUE"""),1.0)</f>
        <v>1</v>
      </c>
      <c r="V1917" s="148" t="str">
        <f>IFERROR(__xludf.DUMMYFUNCTION("""COMPUTED_VALUE"""),"[]")</f>
        <v>[]</v>
      </c>
      <c r="W1917" s="148">
        <f>IFERROR(__xludf.DUMMYFUNCTION("""COMPUTED_VALUE"""),1.174E7)</f>
        <v>11740000</v>
      </c>
      <c r="X1917" s="148">
        <f>IFERROR(__xludf.DUMMYFUNCTION("""COMPUTED_VALUE"""),0.0)</f>
        <v>0</v>
      </c>
      <c r="Y1917" s="148">
        <f>IFERROR(__xludf.DUMMYFUNCTION("""COMPUTED_VALUE"""),0.0)</f>
        <v>0</v>
      </c>
      <c r="Z1917" s="148"/>
    </row>
    <row r="1918">
      <c r="A1918" s="148">
        <f>IFERROR(__xludf.DUMMYFUNCTION("""COMPUTED_VALUE"""),1.1117936E7)</f>
        <v>11117936</v>
      </c>
      <c r="B1918" s="148" t="str">
        <f>IFERROR(__xludf.DUMMYFUNCTION("""COMPUTED_VALUE"""),"利亚姆·帕克")</f>
        <v>利亚姆·帕克</v>
      </c>
      <c r="C1918" s="148"/>
      <c r="D1918" s="148" t="str">
        <f>IFERROR(__xludf.DUMMYFUNCTION("""COMPUTED_VALUE"""),"item_mecha_driver")</f>
        <v>item_mecha_driver</v>
      </c>
      <c r="E1918" s="148">
        <f>IFERROR(__xludf.DUMMYFUNCTION("""COMPUTED_VALUE"""),20.0)</f>
        <v>20</v>
      </c>
      <c r="F1918" s="148">
        <f>IFERROR(__xludf.DUMMYFUNCTION("""COMPUTED_VALUE"""),408195.0)</f>
        <v>408195</v>
      </c>
      <c r="G1918" s="148">
        <f>IFERROR(__xludf.DUMMYFUNCTION("""COMPUTED_VALUE"""),1.51100564E8)</f>
        <v>151100564</v>
      </c>
      <c r="H1918" s="148">
        <f>IFERROR(__xludf.DUMMYFUNCTION("""COMPUTED_VALUE"""),1.5112564E7)</f>
        <v>15112564</v>
      </c>
      <c r="I1918" s="148" t="str">
        <f>IFERROR(__xludf.DUMMYFUNCTION("""COMPUTED_VALUE"""),"{}")</f>
        <v>{}</v>
      </c>
      <c r="J1918" s="148" t="str">
        <f>IFERROR(__xludf.DUMMYFUNCTION("""COMPUTED_VALUE"""),"{""typ"":""lc"",""txt"":""LC_MAP_mecha_driver_hero_name_27""}")</f>
        <v>{"typ":"lc","txt":"LC_MAP_mecha_driver_hero_name_27"}</v>
      </c>
      <c r="K1918" s="148" t="str">
        <f>IFERROR(__xludf.DUMMYFUNCTION("""COMPUTED_VALUE"""),"{""typ"":""lc"",""txt"":""LC_MAP_mecha_driver_hero_desc_27""}")</f>
        <v>{"typ":"lc","txt":"LC_MAP_mecha_driver_hero_desc_27"}</v>
      </c>
      <c r="L1918" s="148" t="str">
        <f>IFERROR(__xludf.DUMMYFUNCTION("""COMPUTED_VALUE"""),"{}")</f>
        <v>{}</v>
      </c>
      <c r="M1918" s="148">
        <f>IFERROR(__xludf.DUMMYFUNCTION("""COMPUTED_VALUE"""),8300.0)</f>
        <v>8300</v>
      </c>
      <c r="N1918" s="148">
        <f>IFERROR(__xludf.DUMMYFUNCTION("""COMPUTED_VALUE"""),999999.0)</f>
        <v>999999</v>
      </c>
      <c r="O1918" s="148">
        <f>IFERROR(__xludf.DUMMYFUNCTION("""COMPUTED_VALUE"""),99999.0)</f>
        <v>99999</v>
      </c>
      <c r="P1918" s="148">
        <f>IFERROR(__xludf.DUMMYFUNCTION("""COMPUTED_VALUE"""),9999.0)</f>
        <v>9999</v>
      </c>
      <c r="Q1918" s="148" t="str">
        <f>IFERROR(__xludf.DUMMYFUNCTION("""COMPUTED_VALUE"""),"[""bag_other""]")</f>
        <v>["bag_other"]</v>
      </c>
      <c r="R1918" s="148" t="str">
        <f>IFERROR(__xludf.DUMMYFUNCTION("""COMPUTED_VALUE"""),"[""bag"",""40120903""]")</f>
        <v>["bag","40120903"]</v>
      </c>
      <c r="S1918" s="148" t="str">
        <f>IFERROR(__xludf.DUMMYFUNCTION("""COMPUTED_VALUE"""),"{""effect"":[{""typ"":""mecha_driver"",""id"":40120903,""val"":1}]}")</f>
        <v>{"effect":[{"typ":"mecha_driver","id":40120903,"val":1}]}</v>
      </c>
      <c r="T1918" s="148">
        <f>IFERROR(__xludf.DUMMYFUNCTION("""COMPUTED_VALUE"""),1.0)</f>
        <v>1</v>
      </c>
      <c r="U1918" s="148">
        <f>IFERROR(__xludf.DUMMYFUNCTION("""COMPUTED_VALUE"""),1.0)</f>
        <v>1</v>
      </c>
      <c r="V1918" s="148" t="str">
        <f>IFERROR(__xludf.DUMMYFUNCTION("""COMPUTED_VALUE"""),"[]")</f>
        <v>[]</v>
      </c>
      <c r="W1918" s="148">
        <f>IFERROR(__xludf.DUMMYFUNCTION("""COMPUTED_VALUE"""),1.174E7)</f>
        <v>11740000</v>
      </c>
      <c r="X1918" s="148">
        <f>IFERROR(__xludf.DUMMYFUNCTION("""COMPUTED_VALUE"""),0.0)</f>
        <v>0</v>
      </c>
      <c r="Y1918" s="148">
        <f>IFERROR(__xludf.DUMMYFUNCTION("""COMPUTED_VALUE"""),0.0)</f>
        <v>0</v>
      </c>
      <c r="Z1918" s="148"/>
    </row>
    <row r="1919">
      <c r="A1919" s="148">
        <f>IFERROR(__xludf.DUMMYFUNCTION("""COMPUTED_VALUE"""),1.1117937E7)</f>
        <v>11117937</v>
      </c>
      <c r="B1919" s="148" t="str">
        <f>IFERROR(__xludf.DUMMYFUNCTION("""COMPUTED_VALUE"""),"克莱尔·海斯")</f>
        <v>克莱尔·海斯</v>
      </c>
      <c r="C1919" s="148"/>
      <c r="D1919" s="148" t="str">
        <f>IFERROR(__xludf.DUMMYFUNCTION("""COMPUTED_VALUE"""),"item_mecha_driver")</f>
        <v>item_mecha_driver</v>
      </c>
      <c r="E1919" s="148">
        <f>IFERROR(__xludf.DUMMYFUNCTION("""COMPUTED_VALUE"""),20.0)</f>
        <v>20</v>
      </c>
      <c r="F1919" s="148">
        <f>IFERROR(__xludf.DUMMYFUNCTION("""COMPUTED_VALUE"""),408195.0)</f>
        <v>408195</v>
      </c>
      <c r="G1919" s="148">
        <f>IFERROR(__xludf.DUMMYFUNCTION("""COMPUTED_VALUE"""),1.51100565E8)</f>
        <v>151100565</v>
      </c>
      <c r="H1919" s="148">
        <f>IFERROR(__xludf.DUMMYFUNCTION("""COMPUTED_VALUE"""),1.5112564E7)</f>
        <v>15112564</v>
      </c>
      <c r="I1919" s="148" t="str">
        <f>IFERROR(__xludf.DUMMYFUNCTION("""COMPUTED_VALUE"""),"{}")</f>
        <v>{}</v>
      </c>
      <c r="J1919" s="148" t="str">
        <f>IFERROR(__xludf.DUMMYFUNCTION("""COMPUTED_VALUE"""),"{""typ"":""lc"",""txt"":""LC_MAP_mecha_driver_hero_name_28""}")</f>
        <v>{"typ":"lc","txt":"LC_MAP_mecha_driver_hero_name_28"}</v>
      </c>
      <c r="K1919" s="148" t="str">
        <f>IFERROR(__xludf.DUMMYFUNCTION("""COMPUTED_VALUE"""),"{""typ"":""lc"",""txt"":""LC_MAP_mecha_driver_hero_desc_28""}")</f>
        <v>{"typ":"lc","txt":"LC_MAP_mecha_driver_hero_desc_28"}</v>
      </c>
      <c r="L1919" s="148" t="str">
        <f>IFERROR(__xludf.DUMMYFUNCTION("""COMPUTED_VALUE"""),"{}")</f>
        <v>{}</v>
      </c>
      <c r="M1919" s="148">
        <f>IFERROR(__xludf.DUMMYFUNCTION("""COMPUTED_VALUE"""),8300.0)</f>
        <v>8300</v>
      </c>
      <c r="N1919" s="148">
        <f>IFERROR(__xludf.DUMMYFUNCTION("""COMPUTED_VALUE"""),999999.0)</f>
        <v>999999</v>
      </c>
      <c r="O1919" s="148">
        <f>IFERROR(__xludf.DUMMYFUNCTION("""COMPUTED_VALUE"""),99999.0)</f>
        <v>99999</v>
      </c>
      <c r="P1919" s="148">
        <f>IFERROR(__xludf.DUMMYFUNCTION("""COMPUTED_VALUE"""),9999.0)</f>
        <v>9999</v>
      </c>
      <c r="Q1919" s="148" t="str">
        <f>IFERROR(__xludf.DUMMYFUNCTION("""COMPUTED_VALUE"""),"[""bag_other""]")</f>
        <v>["bag_other"]</v>
      </c>
      <c r="R1919" s="148" t="str">
        <f>IFERROR(__xludf.DUMMYFUNCTION("""COMPUTED_VALUE"""),"[""bag"",""40121001""]")</f>
        <v>["bag","40121001"]</v>
      </c>
      <c r="S1919" s="148" t="str">
        <f>IFERROR(__xludf.DUMMYFUNCTION("""COMPUTED_VALUE"""),"{""effect"":[{""typ"":""mecha_driver"",""id"":40121001,""val"":1}]}")</f>
        <v>{"effect":[{"typ":"mecha_driver","id":40121001,"val":1}]}</v>
      </c>
      <c r="T1919" s="148">
        <f>IFERROR(__xludf.DUMMYFUNCTION("""COMPUTED_VALUE"""),1.0)</f>
        <v>1</v>
      </c>
      <c r="U1919" s="148">
        <f>IFERROR(__xludf.DUMMYFUNCTION("""COMPUTED_VALUE"""),1.0)</f>
        <v>1</v>
      </c>
      <c r="V1919" s="148" t="str">
        <f>IFERROR(__xludf.DUMMYFUNCTION("""COMPUTED_VALUE"""),"[]")</f>
        <v>[]</v>
      </c>
      <c r="W1919" s="148">
        <f>IFERROR(__xludf.DUMMYFUNCTION("""COMPUTED_VALUE"""),1.174E7)</f>
        <v>11740000</v>
      </c>
      <c r="X1919" s="148">
        <f>IFERROR(__xludf.DUMMYFUNCTION("""COMPUTED_VALUE"""),0.0)</f>
        <v>0</v>
      </c>
      <c r="Y1919" s="148">
        <f>IFERROR(__xludf.DUMMYFUNCTION("""COMPUTED_VALUE"""),0.0)</f>
        <v>0</v>
      </c>
      <c r="Z1919" s="148"/>
    </row>
    <row r="1920">
      <c r="A1920" s="148">
        <f>IFERROR(__xludf.DUMMYFUNCTION("""COMPUTED_VALUE"""),1.1117938E7)</f>
        <v>11117938</v>
      </c>
      <c r="B1920" s="148" t="str">
        <f>IFERROR(__xludf.DUMMYFUNCTION("""COMPUTED_VALUE"""),"伊桑·布雷克")</f>
        <v>伊桑·布雷克</v>
      </c>
      <c r="C1920" s="148"/>
      <c r="D1920" s="148" t="str">
        <f>IFERROR(__xludf.DUMMYFUNCTION("""COMPUTED_VALUE"""),"item_mecha_driver")</f>
        <v>item_mecha_driver</v>
      </c>
      <c r="E1920" s="148">
        <f>IFERROR(__xludf.DUMMYFUNCTION("""COMPUTED_VALUE"""),20.0)</f>
        <v>20</v>
      </c>
      <c r="F1920" s="148">
        <f>IFERROR(__xludf.DUMMYFUNCTION("""COMPUTED_VALUE"""),408195.0)</f>
        <v>408195</v>
      </c>
      <c r="G1920" s="148">
        <f>IFERROR(__xludf.DUMMYFUNCTION("""COMPUTED_VALUE"""),1.51100566E8)</f>
        <v>151100566</v>
      </c>
      <c r="H1920" s="148">
        <f>IFERROR(__xludf.DUMMYFUNCTION("""COMPUTED_VALUE"""),1.5112564E7)</f>
        <v>15112564</v>
      </c>
      <c r="I1920" s="148" t="str">
        <f>IFERROR(__xludf.DUMMYFUNCTION("""COMPUTED_VALUE"""),"{}")</f>
        <v>{}</v>
      </c>
      <c r="J1920" s="148" t="str">
        <f>IFERROR(__xludf.DUMMYFUNCTION("""COMPUTED_VALUE"""),"{""typ"":""lc"",""txt"":""LC_MAP_mecha_driver_hero_name_29""}")</f>
        <v>{"typ":"lc","txt":"LC_MAP_mecha_driver_hero_name_29"}</v>
      </c>
      <c r="K1920" s="148" t="str">
        <f>IFERROR(__xludf.DUMMYFUNCTION("""COMPUTED_VALUE"""),"{""typ"":""lc"",""txt"":""LC_MAP_mecha_driver_hero_desc_29""}")</f>
        <v>{"typ":"lc","txt":"LC_MAP_mecha_driver_hero_desc_29"}</v>
      </c>
      <c r="L1920" s="148" t="str">
        <f>IFERROR(__xludf.DUMMYFUNCTION("""COMPUTED_VALUE"""),"{}")</f>
        <v>{}</v>
      </c>
      <c r="M1920" s="148">
        <f>IFERROR(__xludf.DUMMYFUNCTION("""COMPUTED_VALUE"""),8300.0)</f>
        <v>8300</v>
      </c>
      <c r="N1920" s="148">
        <f>IFERROR(__xludf.DUMMYFUNCTION("""COMPUTED_VALUE"""),999999.0)</f>
        <v>999999</v>
      </c>
      <c r="O1920" s="148">
        <f>IFERROR(__xludf.DUMMYFUNCTION("""COMPUTED_VALUE"""),99999.0)</f>
        <v>99999</v>
      </c>
      <c r="P1920" s="148">
        <f>IFERROR(__xludf.DUMMYFUNCTION("""COMPUTED_VALUE"""),9999.0)</f>
        <v>9999</v>
      </c>
      <c r="Q1920" s="148" t="str">
        <f>IFERROR(__xludf.DUMMYFUNCTION("""COMPUTED_VALUE"""),"[""bag_other""]")</f>
        <v>["bag_other"]</v>
      </c>
      <c r="R1920" s="148" t="str">
        <f>IFERROR(__xludf.DUMMYFUNCTION("""COMPUTED_VALUE"""),"[""bag"",""40121002""]")</f>
        <v>["bag","40121002"]</v>
      </c>
      <c r="S1920" s="148" t="str">
        <f>IFERROR(__xludf.DUMMYFUNCTION("""COMPUTED_VALUE"""),"{""effect"":[{""typ"":""mecha_driver"",""id"":40121002,""val"":1}]}")</f>
        <v>{"effect":[{"typ":"mecha_driver","id":40121002,"val":1}]}</v>
      </c>
      <c r="T1920" s="148">
        <f>IFERROR(__xludf.DUMMYFUNCTION("""COMPUTED_VALUE"""),1.0)</f>
        <v>1</v>
      </c>
      <c r="U1920" s="148">
        <f>IFERROR(__xludf.DUMMYFUNCTION("""COMPUTED_VALUE"""),1.0)</f>
        <v>1</v>
      </c>
      <c r="V1920" s="148" t="str">
        <f>IFERROR(__xludf.DUMMYFUNCTION("""COMPUTED_VALUE"""),"[]")</f>
        <v>[]</v>
      </c>
      <c r="W1920" s="148">
        <f>IFERROR(__xludf.DUMMYFUNCTION("""COMPUTED_VALUE"""),1.174E7)</f>
        <v>11740000</v>
      </c>
      <c r="X1920" s="148">
        <f>IFERROR(__xludf.DUMMYFUNCTION("""COMPUTED_VALUE"""),0.0)</f>
        <v>0</v>
      </c>
      <c r="Y1920" s="148">
        <f>IFERROR(__xludf.DUMMYFUNCTION("""COMPUTED_VALUE"""),0.0)</f>
        <v>0</v>
      </c>
      <c r="Z1920" s="148"/>
    </row>
    <row r="1921">
      <c r="A1921" s="148">
        <f>IFERROR(__xludf.DUMMYFUNCTION("""COMPUTED_VALUE"""),1.1117939E7)</f>
        <v>11117939</v>
      </c>
      <c r="B1921" s="148" t="str">
        <f>IFERROR(__xludf.DUMMYFUNCTION("""COMPUTED_VALUE"""),"加布里奥·格雷1")</f>
        <v>加布里奥·格雷1</v>
      </c>
      <c r="C1921" s="148"/>
      <c r="D1921" s="148" t="str">
        <f>IFERROR(__xludf.DUMMYFUNCTION("""COMPUTED_VALUE"""),"item_mecha_driver")</f>
        <v>item_mecha_driver</v>
      </c>
      <c r="E1921" s="148">
        <f>IFERROR(__xludf.DUMMYFUNCTION("""COMPUTED_VALUE"""),20.0)</f>
        <v>20</v>
      </c>
      <c r="F1921" s="148">
        <f>IFERROR(__xludf.DUMMYFUNCTION("""COMPUTED_VALUE"""),408195.0)</f>
        <v>408195</v>
      </c>
      <c r="G1921" s="148">
        <f>IFERROR(__xludf.DUMMYFUNCTION("""COMPUTED_VALUE"""),1.51100567E8)</f>
        <v>151100567</v>
      </c>
      <c r="H1921" s="148">
        <f>IFERROR(__xludf.DUMMYFUNCTION("""COMPUTED_VALUE"""),1.5112564E7)</f>
        <v>15112564</v>
      </c>
      <c r="I1921" s="148" t="str">
        <f>IFERROR(__xludf.DUMMYFUNCTION("""COMPUTED_VALUE"""),"{}")</f>
        <v>{}</v>
      </c>
      <c r="J1921" s="148" t="str">
        <f>IFERROR(__xludf.DUMMYFUNCTION("""COMPUTED_VALUE"""),"{""typ"":""lc"",""txt"":""LC_MAP_mecha_driver_hero_name_30""}")</f>
        <v>{"typ":"lc","txt":"LC_MAP_mecha_driver_hero_name_30"}</v>
      </c>
      <c r="K1921" s="148" t="str">
        <f>IFERROR(__xludf.DUMMYFUNCTION("""COMPUTED_VALUE"""),"{""typ"":""lc"",""txt"":""LC_MAP_mecha_driver_hero_desc_30""}")</f>
        <v>{"typ":"lc","txt":"LC_MAP_mecha_driver_hero_desc_30"}</v>
      </c>
      <c r="L1921" s="148" t="str">
        <f>IFERROR(__xludf.DUMMYFUNCTION("""COMPUTED_VALUE"""),"{}")</f>
        <v>{}</v>
      </c>
      <c r="M1921" s="148">
        <f>IFERROR(__xludf.DUMMYFUNCTION("""COMPUTED_VALUE"""),8300.0)</f>
        <v>8300</v>
      </c>
      <c r="N1921" s="148">
        <f>IFERROR(__xludf.DUMMYFUNCTION("""COMPUTED_VALUE"""),999999.0)</f>
        <v>999999</v>
      </c>
      <c r="O1921" s="148">
        <f>IFERROR(__xludf.DUMMYFUNCTION("""COMPUTED_VALUE"""),99999.0)</f>
        <v>99999</v>
      </c>
      <c r="P1921" s="148">
        <f>IFERROR(__xludf.DUMMYFUNCTION("""COMPUTED_VALUE"""),9999.0)</f>
        <v>9999</v>
      </c>
      <c r="Q1921" s="148" t="str">
        <f>IFERROR(__xludf.DUMMYFUNCTION("""COMPUTED_VALUE"""),"[""bag_other""]")</f>
        <v>["bag_other"]</v>
      </c>
      <c r="R1921" s="148" t="str">
        <f>IFERROR(__xludf.DUMMYFUNCTION("""COMPUTED_VALUE"""),"[""bag"",""40121003""]")</f>
        <v>["bag","40121003"]</v>
      </c>
      <c r="S1921" s="148" t="str">
        <f>IFERROR(__xludf.DUMMYFUNCTION("""COMPUTED_VALUE"""),"{""effect"":[{""typ"":""mecha_driver"",""id"":40121003,""val"":1}]}")</f>
        <v>{"effect":[{"typ":"mecha_driver","id":40121003,"val":1}]}</v>
      </c>
      <c r="T1921" s="148">
        <f>IFERROR(__xludf.DUMMYFUNCTION("""COMPUTED_VALUE"""),1.0)</f>
        <v>1</v>
      </c>
      <c r="U1921" s="148">
        <f>IFERROR(__xludf.DUMMYFUNCTION("""COMPUTED_VALUE"""),1.0)</f>
        <v>1</v>
      </c>
      <c r="V1921" s="148" t="str">
        <f>IFERROR(__xludf.DUMMYFUNCTION("""COMPUTED_VALUE"""),"[]")</f>
        <v>[]</v>
      </c>
      <c r="W1921" s="148">
        <f>IFERROR(__xludf.DUMMYFUNCTION("""COMPUTED_VALUE"""),1.174E7)</f>
        <v>11740000</v>
      </c>
      <c r="X1921" s="148">
        <f>IFERROR(__xludf.DUMMYFUNCTION("""COMPUTED_VALUE"""),0.0)</f>
        <v>0</v>
      </c>
      <c r="Y1921" s="148">
        <f>IFERROR(__xludf.DUMMYFUNCTION("""COMPUTED_VALUE"""),0.0)</f>
        <v>0</v>
      </c>
      <c r="Z1921" s="148"/>
    </row>
    <row r="1922">
      <c r="A1922" s="148">
        <f>IFERROR(__xludf.DUMMYFUNCTION("""COMPUTED_VALUE"""),1.111794E7)</f>
        <v>11117940</v>
      </c>
      <c r="B1922" s="148" t="str">
        <f>IFERROR(__xludf.DUMMYFUNCTION("""COMPUTED_VALUE"""),"威廉·史密斯")</f>
        <v>威廉·史密斯</v>
      </c>
      <c r="C1922" s="148"/>
      <c r="D1922" s="148" t="str">
        <f>IFERROR(__xludf.DUMMYFUNCTION("""COMPUTED_VALUE"""),"item_mecha_driver")</f>
        <v>item_mecha_driver</v>
      </c>
      <c r="E1922" s="148">
        <f>IFERROR(__xludf.DUMMYFUNCTION("""COMPUTED_VALUE"""),20.0)</f>
        <v>20</v>
      </c>
      <c r="F1922" s="148">
        <f>IFERROR(__xludf.DUMMYFUNCTION("""COMPUTED_VALUE"""),408195.0)</f>
        <v>408195</v>
      </c>
      <c r="G1922" s="148">
        <f>IFERROR(__xludf.DUMMYFUNCTION("""COMPUTED_VALUE"""),1.51101164E8)</f>
        <v>151101164</v>
      </c>
      <c r="H1922" s="148">
        <f>IFERROR(__xludf.DUMMYFUNCTION("""COMPUTED_VALUE"""),1.5112564E7)</f>
        <v>15112564</v>
      </c>
      <c r="I1922" s="148" t="str">
        <f>IFERROR(__xludf.DUMMYFUNCTION("""COMPUTED_VALUE"""),"{}")</f>
        <v>{}</v>
      </c>
      <c r="J1922" s="148" t="str">
        <f>IFERROR(__xludf.DUMMYFUNCTION("""COMPUTED_VALUE"""),"{""typ"":""lc"",""txt"":""LC_MAP_mecha_driver_hero_name_31""}")</f>
        <v>{"typ":"lc","txt":"LC_MAP_mecha_driver_hero_name_31"}</v>
      </c>
      <c r="K1922" s="148" t="str">
        <f>IFERROR(__xludf.DUMMYFUNCTION("""COMPUTED_VALUE"""),"{""typ"":""lc"",""txt"":""LC_MAP_mecha_driver_hero_desc_31""}")</f>
        <v>{"typ":"lc","txt":"LC_MAP_mecha_driver_hero_desc_31"}</v>
      </c>
      <c r="L1922" s="148" t="str">
        <f>IFERROR(__xludf.DUMMYFUNCTION("""COMPUTED_VALUE"""),"{}")</f>
        <v>{}</v>
      </c>
      <c r="M1922" s="148">
        <f>IFERROR(__xludf.DUMMYFUNCTION("""COMPUTED_VALUE"""),8300.0)</f>
        <v>8300</v>
      </c>
      <c r="N1922" s="148">
        <f>IFERROR(__xludf.DUMMYFUNCTION("""COMPUTED_VALUE"""),999999.0)</f>
        <v>999999</v>
      </c>
      <c r="O1922" s="148">
        <f>IFERROR(__xludf.DUMMYFUNCTION("""COMPUTED_VALUE"""),99999.0)</f>
        <v>99999</v>
      </c>
      <c r="P1922" s="148">
        <f>IFERROR(__xludf.DUMMYFUNCTION("""COMPUTED_VALUE"""),9999.0)</f>
        <v>9999</v>
      </c>
      <c r="Q1922" s="148" t="str">
        <f>IFERROR(__xludf.DUMMYFUNCTION("""COMPUTED_VALUE"""),"[""bag_other""]")</f>
        <v>["bag_other"]</v>
      </c>
      <c r="R1922" s="148" t="str">
        <f>IFERROR(__xludf.DUMMYFUNCTION("""COMPUTED_VALUE"""),"[""bag"",""40121101""]")</f>
        <v>["bag","40121101"]</v>
      </c>
      <c r="S1922" s="148" t="str">
        <f>IFERROR(__xludf.DUMMYFUNCTION("""COMPUTED_VALUE"""),"{""effect"":[{""typ"":""mecha_driver"",""id"":40121101,""val"":1}]}")</f>
        <v>{"effect":[{"typ":"mecha_driver","id":40121101,"val":1}]}</v>
      </c>
      <c r="T1922" s="148">
        <f>IFERROR(__xludf.DUMMYFUNCTION("""COMPUTED_VALUE"""),1.0)</f>
        <v>1</v>
      </c>
      <c r="U1922" s="148">
        <f>IFERROR(__xludf.DUMMYFUNCTION("""COMPUTED_VALUE"""),1.0)</f>
        <v>1</v>
      </c>
      <c r="V1922" s="148" t="str">
        <f>IFERROR(__xludf.DUMMYFUNCTION("""COMPUTED_VALUE"""),"[]")</f>
        <v>[]</v>
      </c>
      <c r="W1922" s="148">
        <f>IFERROR(__xludf.DUMMYFUNCTION("""COMPUTED_VALUE"""),1.174E7)</f>
        <v>11740000</v>
      </c>
      <c r="X1922" s="148">
        <f>IFERROR(__xludf.DUMMYFUNCTION("""COMPUTED_VALUE"""),0.0)</f>
        <v>0</v>
      </c>
      <c r="Y1922" s="148">
        <f>IFERROR(__xludf.DUMMYFUNCTION("""COMPUTED_VALUE"""),0.0)</f>
        <v>0</v>
      </c>
      <c r="Z1922" s="148"/>
    </row>
    <row r="1923">
      <c r="A1923" s="148">
        <f>IFERROR(__xludf.DUMMYFUNCTION("""COMPUTED_VALUE"""),1.1117941E7)</f>
        <v>11117941</v>
      </c>
      <c r="B1923" s="148" t="str">
        <f>IFERROR(__xludf.DUMMYFUNCTION("""COMPUTED_VALUE"""),"戴维·布朗")</f>
        <v>戴维·布朗</v>
      </c>
      <c r="C1923" s="148"/>
      <c r="D1923" s="148" t="str">
        <f>IFERROR(__xludf.DUMMYFUNCTION("""COMPUTED_VALUE"""),"item_mecha_driver")</f>
        <v>item_mecha_driver</v>
      </c>
      <c r="E1923" s="148">
        <f>IFERROR(__xludf.DUMMYFUNCTION("""COMPUTED_VALUE"""),20.0)</f>
        <v>20</v>
      </c>
      <c r="F1923" s="148">
        <f>IFERROR(__xludf.DUMMYFUNCTION("""COMPUTED_VALUE"""),408195.0)</f>
        <v>408195</v>
      </c>
      <c r="G1923" s="148">
        <f>IFERROR(__xludf.DUMMYFUNCTION("""COMPUTED_VALUE"""),1.51101165E8)</f>
        <v>151101165</v>
      </c>
      <c r="H1923" s="148">
        <f>IFERROR(__xludf.DUMMYFUNCTION("""COMPUTED_VALUE"""),1.5112564E7)</f>
        <v>15112564</v>
      </c>
      <c r="I1923" s="148" t="str">
        <f>IFERROR(__xludf.DUMMYFUNCTION("""COMPUTED_VALUE"""),"{}")</f>
        <v>{}</v>
      </c>
      <c r="J1923" s="148" t="str">
        <f>IFERROR(__xludf.DUMMYFUNCTION("""COMPUTED_VALUE"""),"{""typ"":""lc"",""txt"":""LC_MAP_mecha_driver_hero_name_32""}")</f>
        <v>{"typ":"lc","txt":"LC_MAP_mecha_driver_hero_name_32"}</v>
      </c>
      <c r="K1923" s="148" t="str">
        <f>IFERROR(__xludf.DUMMYFUNCTION("""COMPUTED_VALUE"""),"{""typ"":""lc"",""txt"":""LC_MAP_mecha_driver_hero_desc_32""}")</f>
        <v>{"typ":"lc","txt":"LC_MAP_mecha_driver_hero_desc_32"}</v>
      </c>
      <c r="L1923" s="148" t="str">
        <f>IFERROR(__xludf.DUMMYFUNCTION("""COMPUTED_VALUE"""),"{}")</f>
        <v>{}</v>
      </c>
      <c r="M1923" s="148">
        <f>IFERROR(__xludf.DUMMYFUNCTION("""COMPUTED_VALUE"""),8300.0)</f>
        <v>8300</v>
      </c>
      <c r="N1923" s="148">
        <f>IFERROR(__xludf.DUMMYFUNCTION("""COMPUTED_VALUE"""),999999.0)</f>
        <v>999999</v>
      </c>
      <c r="O1923" s="148">
        <f>IFERROR(__xludf.DUMMYFUNCTION("""COMPUTED_VALUE"""),99999.0)</f>
        <v>99999</v>
      </c>
      <c r="P1923" s="148">
        <f>IFERROR(__xludf.DUMMYFUNCTION("""COMPUTED_VALUE"""),9999.0)</f>
        <v>9999</v>
      </c>
      <c r="Q1923" s="148" t="str">
        <f>IFERROR(__xludf.DUMMYFUNCTION("""COMPUTED_VALUE"""),"[""bag_other""]")</f>
        <v>["bag_other"]</v>
      </c>
      <c r="R1923" s="148" t="str">
        <f>IFERROR(__xludf.DUMMYFUNCTION("""COMPUTED_VALUE"""),"[""bag"",""40121102""]")</f>
        <v>["bag","40121102"]</v>
      </c>
      <c r="S1923" s="148" t="str">
        <f>IFERROR(__xludf.DUMMYFUNCTION("""COMPUTED_VALUE"""),"{""effect"":[{""typ"":""mecha_driver"",""id"":40121102,""val"":1}]}")</f>
        <v>{"effect":[{"typ":"mecha_driver","id":40121102,"val":1}]}</v>
      </c>
      <c r="T1923" s="148">
        <f>IFERROR(__xludf.DUMMYFUNCTION("""COMPUTED_VALUE"""),1.0)</f>
        <v>1</v>
      </c>
      <c r="U1923" s="148">
        <f>IFERROR(__xludf.DUMMYFUNCTION("""COMPUTED_VALUE"""),1.0)</f>
        <v>1</v>
      </c>
      <c r="V1923" s="148" t="str">
        <f>IFERROR(__xludf.DUMMYFUNCTION("""COMPUTED_VALUE"""),"[]")</f>
        <v>[]</v>
      </c>
      <c r="W1923" s="148">
        <f>IFERROR(__xludf.DUMMYFUNCTION("""COMPUTED_VALUE"""),1.174E7)</f>
        <v>11740000</v>
      </c>
      <c r="X1923" s="148">
        <f>IFERROR(__xludf.DUMMYFUNCTION("""COMPUTED_VALUE"""),0.0)</f>
        <v>0</v>
      </c>
      <c r="Y1923" s="148">
        <f>IFERROR(__xludf.DUMMYFUNCTION("""COMPUTED_VALUE"""),0.0)</f>
        <v>0</v>
      </c>
      <c r="Z1923" s="148"/>
    </row>
    <row r="1924">
      <c r="A1924" s="148">
        <f>IFERROR(__xludf.DUMMYFUNCTION("""COMPUTED_VALUE"""),1.1117942E7)</f>
        <v>11117942</v>
      </c>
      <c r="B1924" s="148" t="str">
        <f>IFERROR(__xludf.DUMMYFUNCTION("""COMPUTED_VALUE"""),"米娅·安德森")</f>
        <v>米娅·安德森</v>
      </c>
      <c r="C1924" s="148"/>
      <c r="D1924" s="148" t="str">
        <f>IFERROR(__xludf.DUMMYFUNCTION("""COMPUTED_VALUE"""),"item_mecha_driver")</f>
        <v>item_mecha_driver</v>
      </c>
      <c r="E1924" s="148">
        <f>IFERROR(__xludf.DUMMYFUNCTION("""COMPUTED_VALUE"""),20.0)</f>
        <v>20</v>
      </c>
      <c r="F1924" s="148">
        <f>IFERROR(__xludf.DUMMYFUNCTION("""COMPUTED_VALUE"""),408195.0)</f>
        <v>408195</v>
      </c>
      <c r="G1924" s="148">
        <f>IFERROR(__xludf.DUMMYFUNCTION("""COMPUTED_VALUE"""),1.51101166E8)</f>
        <v>151101166</v>
      </c>
      <c r="H1924" s="148">
        <f>IFERROR(__xludf.DUMMYFUNCTION("""COMPUTED_VALUE"""),1.5112564E7)</f>
        <v>15112564</v>
      </c>
      <c r="I1924" s="148" t="str">
        <f>IFERROR(__xludf.DUMMYFUNCTION("""COMPUTED_VALUE"""),"{}")</f>
        <v>{}</v>
      </c>
      <c r="J1924" s="148" t="str">
        <f>IFERROR(__xludf.DUMMYFUNCTION("""COMPUTED_VALUE"""),"{""typ"":""lc"",""txt"":""LC_MAP_mecha_driver_hero_name_33""}")</f>
        <v>{"typ":"lc","txt":"LC_MAP_mecha_driver_hero_name_33"}</v>
      </c>
      <c r="K1924" s="148" t="str">
        <f>IFERROR(__xludf.DUMMYFUNCTION("""COMPUTED_VALUE"""),"{""typ"":""lc"",""txt"":""LC_MAP_mecha_driver_hero_desc_33""}")</f>
        <v>{"typ":"lc","txt":"LC_MAP_mecha_driver_hero_desc_33"}</v>
      </c>
      <c r="L1924" s="148" t="str">
        <f>IFERROR(__xludf.DUMMYFUNCTION("""COMPUTED_VALUE"""),"{}")</f>
        <v>{}</v>
      </c>
      <c r="M1924" s="148">
        <f>IFERROR(__xludf.DUMMYFUNCTION("""COMPUTED_VALUE"""),8300.0)</f>
        <v>8300</v>
      </c>
      <c r="N1924" s="148">
        <f>IFERROR(__xludf.DUMMYFUNCTION("""COMPUTED_VALUE"""),999999.0)</f>
        <v>999999</v>
      </c>
      <c r="O1924" s="148">
        <f>IFERROR(__xludf.DUMMYFUNCTION("""COMPUTED_VALUE"""),99999.0)</f>
        <v>99999</v>
      </c>
      <c r="P1924" s="148">
        <f>IFERROR(__xludf.DUMMYFUNCTION("""COMPUTED_VALUE"""),9999.0)</f>
        <v>9999</v>
      </c>
      <c r="Q1924" s="148" t="str">
        <f>IFERROR(__xludf.DUMMYFUNCTION("""COMPUTED_VALUE"""),"[""bag_other""]")</f>
        <v>["bag_other"]</v>
      </c>
      <c r="R1924" s="148" t="str">
        <f>IFERROR(__xludf.DUMMYFUNCTION("""COMPUTED_VALUE"""),"[""bag"",""40121103""]")</f>
        <v>["bag","40121103"]</v>
      </c>
      <c r="S1924" s="148" t="str">
        <f>IFERROR(__xludf.DUMMYFUNCTION("""COMPUTED_VALUE"""),"{""effect"":[{""typ"":""mecha_driver"",""id"":40121103,""val"":1}]}")</f>
        <v>{"effect":[{"typ":"mecha_driver","id":40121103,"val":1}]}</v>
      </c>
      <c r="T1924" s="148">
        <f>IFERROR(__xludf.DUMMYFUNCTION("""COMPUTED_VALUE"""),1.0)</f>
        <v>1</v>
      </c>
      <c r="U1924" s="148">
        <f>IFERROR(__xludf.DUMMYFUNCTION("""COMPUTED_VALUE"""),1.0)</f>
        <v>1</v>
      </c>
      <c r="V1924" s="148" t="str">
        <f>IFERROR(__xludf.DUMMYFUNCTION("""COMPUTED_VALUE"""),"[]")</f>
        <v>[]</v>
      </c>
      <c r="W1924" s="148">
        <f>IFERROR(__xludf.DUMMYFUNCTION("""COMPUTED_VALUE"""),1.174E7)</f>
        <v>11740000</v>
      </c>
      <c r="X1924" s="148">
        <f>IFERROR(__xludf.DUMMYFUNCTION("""COMPUTED_VALUE"""),0.0)</f>
        <v>0</v>
      </c>
      <c r="Y1924" s="148">
        <f>IFERROR(__xludf.DUMMYFUNCTION("""COMPUTED_VALUE"""),0.0)</f>
        <v>0</v>
      </c>
      <c r="Z1924" s="148"/>
    </row>
    <row r="1925">
      <c r="A1925" s="148">
        <f>IFERROR(__xludf.DUMMYFUNCTION("""COMPUTED_VALUE"""),1.1117943E7)</f>
        <v>11117943</v>
      </c>
      <c r="B1925" s="148" t="str">
        <f>IFERROR(__xludf.DUMMYFUNCTION("""COMPUTED_VALUE"""),"托马斯·摩尔")</f>
        <v>托马斯·摩尔</v>
      </c>
      <c r="C1925" s="148"/>
      <c r="D1925" s="148" t="str">
        <f>IFERROR(__xludf.DUMMYFUNCTION("""COMPUTED_VALUE"""),"item_mecha_driver")</f>
        <v>item_mecha_driver</v>
      </c>
      <c r="E1925" s="148">
        <f>IFERROR(__xludf.DUMMYFUNCTION("""COMPUTED_VALUE"""),20.0)</f>
        <v>20</v>
      </c>
      <c r="F1925" s="148">
        <f>IFERROR(__xludf.DUMMYFUNCTION("""COMPUTED_VALUE"""),408195.0)</f>
        <v>408195</v>
      </c>
      <c r="G1925" s="148">
        <f>IFERROR(__xludf.DUMMYFUNCTION("""COMPUTED_VALUE"""),1.51101167E8)</f>
        <v>151101167</v>
      </c>
      <c r="H1925" s="148">
        <f>IFERROR(__xludf.DUMMYFUNCTION("""COMPUTED_VALUE"""),1.5112564E7)</f>
        <v>15112564</v>
      </c>
      <c r="I1925" s="148" t="str">
        <f>IFERROR(__xludf.DUMMYFUNCTION("""COMPUTED_VALUE"""),"{}")</f>
        <v>{}</v>
      </c>
      <c r="J1925" s="148" t="str">
        <f>IFERROR(__xludf.DUMMYFUNCTION("""COMPUTED_VALUE"""),"{""typ"":""lc"",""txt"":""LC_MAP_mecha_driver_hero_name_34""}")</f>
        <v>{"typ":"lc","txt":"LC_MAP_mecha_driver_hero_name_34"}</v>
      </c>
      <c r="K1925" s="148" t="str">
        <f>IFERROR(__xludf.DUMMYFUNCTION("""COMPUTED_VALUE"""),"{""typ"":""lc"",""txt"":""LC_MAP_mecha_driver_hero_desc_34""}")</f>
        <v>{"typ":"lc","txt":"LC_MAP_mecha_driver_hero_desc_34"}</v>
      </c>
      <c r="L1925" s="148" t="str">
        <f>IFERROR(__xludf.DUMMYFUNCTION("""COMPUTED_VALUE"""),"{}")</f>
        <v>{}</v>
      </c>
      <c r="M1925" s="148">
        <f>IFERROR(__xludf.DUMMYFUNCTION("""COMPUTED_VALUE"""),8300.0)</f>
        <v>8300</v>
      </c>
      <c r="N1925" s="148">
        <f>IFERROR(__xludf.DUMMYFUNCTION("""COMPUTED_VALUE"""),999999.0)</f>
        <v>999999</v>
      </c>
      <c r="O1925" s="148">
        <f>IFERROR(__xludf.DUMMYFUNCTION("""COMPUTED_VALUE"""),99999.0)</f>
        <v>99999</v>
      </c>
      <c r="P1925" s="148">
        <f>IFERROR(__xludf.DUMMYFUNCTION("""COMPUTED_VALUE"""),9999.0)</f>
        <v>9999</v>
      </c>
      <c r="Q1925" s="148" t="str">
        <f>IFERROR(__xludf.DUMMYFUNCTION("""COMPUTED_VALUE"""),"[""bag_other""]")</f>
        <v>["bag_other"]</v>
      </c>
      <c r="R1925" s="148" t="str">
        <f>IFERROR(__xludf.DUMMYFUNCTION("""COMPUTED_VALUE"""),"[""bag"",""40121201""]")</f>
        <v>["bag","40121201"]</v>
      </c>
      <c r="S1925" s="148" t="str">
        <f>IFERROR(__xludf.DUMMYFUNCTION("""COMPUTED_VALUE"""),"{""effect"":[{""typ"":""mecha_driver"",""id"":40121201,""val"":1}]}")</f>
        <v>{"effect":[{"typ":"mecha_driver","id":40121201,"val":1}]}</v>
      </c>
      <c r="T1925" s="148">
        <f>IFERROR(__xludf.DUMMYFUNCTION("""COMPUTED_VALUE"""),1.0)</f>
        <v>1</v>
      </c>
      <c r="U1925" s="148">
        <f>IFERROR(__xludf.DUMMYFUNCTION("""COMPUTED_VALUE"""),1.0)</f>
        <v>1</v>
      </c>
      <c r="V1925" s="148" t="str">
        <f>IFERROR(__xludf.DUMMYFUNCTION("""COMPUTED_VALUE"""),"[]")</f>
        <v>[]</v>
      </c>
      <c r="W1925" s="148">
        <f>IFERROR(__xludf.DUMMYFUNCTION("""COMPUTED_VALUE"""),1.174E7)</f>
        <v>11740000</v>
      </c>
      <c r="X1925" s="148">
        <f>IFERROR(__xludf.DUMMYFUNCTION("""COMPUTED_VALUE"""),0.0)</f>
        <v>0</v>
      </c>
      <c r="Y1925" s="148">
        <f>IFERROR(__xludf.DUMMYFUNCTION("""COMPUTED_VALUE"""),0.0)</f>
        <v>0</v>
      </c>
      <c r="Z1925" s="148"/>
    </row>
    <row r="1926">
      <c r="A1926" s="148">
        <f>IFERROR(__xludf.DUMMYFUNCTION("""COMPUTED_VALUE"""),1.1117944E7)</f>
        <v>11117944</v>
      </c>
      <c r="B1926" s="148" t="str">
        <f>IFERROR(__xludf.DUMMYFUNCTION("""COMPUTED_VALUE"""),"莉莉·扬")</f>
        <v>莉莉·扬</v>
      </c>
      <c r="C1926" s="148"/>
      <c r="D1926" s="148" t="str">
        <f>IFERROR(__xludf.DUMMYFUNCTION("""COMPUTED_VALUE"""),"item_mecha_driver")</f>
        <v>item_mecha_driver</v>
      </c>
      <c r="E1926" s="148">
        <f>IFERROR(__xludf.DUMMYFUNCTION("""COMPUTED_VALUE"""),20.0)</f>
        <v>20</v>
      </c>
      <c r="F1926" s="148">
        <f>IFERROR(__xludf.DUMMYFUNCTION("""COMPUTED_VALUE"""),408195.0)</f>
        <v>408195</v>
      </c>
      <c r="G1926" s="148">
        <f>IFERROR(__xludf.DUMMYFUNCTION("""COMPUTED_VALUE"""),1.51101168E8)</f>
        <v>151101168</v>
      </c>
      <c r="H1926" s="148">
        <f>IFERROR(__xludf.DUMMYFUNCTION("""COMPUTED_VALUE"""),1.5112564E7)</f>
        <v>15112564</v>
      </c>
      <c r="I1926" s="148" t="str">
        <f>IFERROR(__xludf.DUMMYFUNCTION("""COMPUTED_VALUE"""),"{}")</f>
        <v>{}</v>
      </c>
      <c r="J1926" s="148" t="str">
        <f>IFERROR(__xludf.DUMMYFUNCTION("""COMPUTED_VALUE"""),"{""typ"":""lc"",""txt"":""LC_MAP_mecha_driver_hero_name_35""}")</f>
        <v>{"typ":"lc","txt":"LC_MAP_mecha_driver_hero_name_35"}</v>
      </c>
      <c r="K1926" s="148" t="str">
        <f>IFERROR(__xludf.DUMMYFUNCTION("""COMPUTED_VALUE"""),"{""typ"":""lc"",""txt"":""LC_MAP_mecha_driver_hero_desc_35""}")</f>
        <v>{"typ":"lc","txt":"LC_MAP_mecha_driver_hero_desc_35"}</v>
      </c>
      <c r="L1926" s="148" t="str">
        <f>IFERROR(__xludf.DUMMYFUNCTION("""COMPUTED_VALUE"""),"{}")</f>
        <v>{}</v>
      </c>
      <c r="M1926" s="148">
        <f>IFERROR(__xludf.DUMMYFUNCTION("""COMPUTED_VALUE"""),8300.0)</f>
        <v>8300</v>
      </c>
      <c r="N1926" s="148">
        <f>IFERROR(__xludf.DUMMYFUNCTION("""COMPUTED_VALUE"""),999999.0)</f>
        <v>999999</v>
      </c>
      <c r="O1926" s="148">
        <f>IFERROR(__xludf.DUMMYFUNCTION("""COMPUTED_VALUE"""),99999.0)</f>
        <v>99999</v>
      </c>
      <c r="P1926" s="148">
        <f>IFERROR(__xludf.DUMMYFUNCTION("""COMPUTED_VALUE"""),9999.0)</f>
        <v>9999</v>
      </c>
      <c r="Q1926" s="148" t="str">
        <f>IFERROR(__xludf.DUMMYFUNCTION("""COMPUTED_VALUE"""),"[""bag_other""]")</f>
        <v>["bag_other"]</v>
      </c>
      <c r="R1926" s="148" t="str">
        <f>IFERROR(__xludf.DUMMYFUNCTION("""COMPUTED_VALUE"""),"[""bag"",""40121202""]")</f>
        <v>["bag","40121202"]</v>
      </c>
      <c r="S1926" s="148" t="str">
        <f>IFERROR(__xludf.DUMMYFUNCTION("""COMPUTED_VALUE"""),"{""effect"":[{""typ"":""mecha_driver"",""id"":40121202,""val"":1}]}")</f>
        <v>{"effect":[{"typ":"mecha_driver","id":40121202,"val":1}]}</v>
      </c>
      <c r="T1926" s="148">
        <f>IFERROR(__xludf.DUMMYFUNCTION("""COMPUTED_VALUE"""),1.0)</f>
        <v>1</v>
      </c>
      <c r="U1926" s="148">
        <f>IFERROR(__xludf.DUMMYFUNCTION("""COMPUTED_VALUE"""),1.0)</f>
        <v>1</v>
      </c>
      <c r="V1926" s="148" t="str">
        <f>IFERROR(__xludf.DUMMYFUNCTION("""COMPUTED_VALUE"""),"[]")</f>
        <v>[]</v>
      </c>
      <c r="W1926" s="148">
        <f>IFERROR(__xludf.DUMMYFUNCTION("""COMPUTED_VALUE"""),1.174E7)</f>
        <v>11740000</v>
      </c>
      <c r="X1926" s="148">
        <f>IFERROR(__xludf.DUMMYFUNCTION("""COMPUTED_VALUE"""),0.0)</f>
        <v>0</v>
      </c>
      <c r="Y1926" s="148">
        <f>IFERROR(__xludf.DUMMYFUNCTION("""COMPUTED_VALUE"""),0.0)</f>
        <v>0</v>
      </c>
      <c r="Z1926" s="148"/>
    </row>
    <row r="1927">
      <c r="A1927" s="148">
        <f>IFERROR(__xludf.DUMMYFUNCTION("""COMPUTED_VALUE"""),1.1117945E7)</f>
        <v>11117945</v>
      </c>
      <c r="B1927" s="148" t="str">
        <f>IFERROR(__xludf.DUMMYFUNCTION("""COMPUTED_VALUE"""),"查尔斯·怀特")</f>
        <v>查尔斯·怀特</v>
      </c>
      <c r="C1927" s="148"/>
      <c r="D1927" s="148" t="str">
        <f>IFERROR(__xludf.DUMMYFUNCTION("""COMPUTED_VALUE"""),"item_mecha_driver")</f>
        <v>item_mecha_driver</v>
      </c>
      <c r="E1927" s="148">
        <f>IFERROR(__xludf.DUMMYFUNCTION("""COMPUTED_VALUE"""),20.0)</f>
        <v>20</v>
      </c>
      <c r="F1927" s="148">
        <f>IFERROR(__xludf.DUMMYFUNCTION("""COMPUTED_VALUE"""),408195.0)</f>
        <v>408195</v>
      </c>
      <c r="G1927" s="148">
        <f>IFERROR(__xludf.DUMMYFUNCTION("""COMPUTED_VALUE"""),1.51101169E8)</f>
        <v>151101169</v>
      </c>
      <c r="H1927" s="148">
        <f>IFERROR(__xludf.DUMMYFUNCTION("""COMPUTED_VALUE"""),1.5112564E7)</f>
        <v>15112564</v>
      </c>
      <c r="I1927" s="148" t="str">
        <f>IFERROR(__xludf.DUMMYFUNCTION("""COMPUTED_VALUE"""),"{}")</f>
        <v>{}</v>
      </c>
      <c r="J1927" s="148" t="str">
        <f>IFERROR(__xludf.DUMMYFUNCTION("""COMPUTED_VALUE"""),"{""typ"":""lc"",""txt"":""LC_MAP_mecha_driver_hero_name_36""}")</f>
        <v>{"typ":"lc","txt":"LC_MAP_mecha_driver_hero_name_36"}</v>
      </c>
      <c r="K1927" s="148" t="str">
        <f>IFERROR(__xludf.DUMMYFUNCTION("""COMPUTED_VALUE"""),"{""typ"":""lc"",""txt"":""LC_MAP_mecha_driver_hero_desc_36""}")</f>
        <v>{"typ":"lc","txt":"LC_MAP_mecha_driver_hero_desc_36"}</v>
      </c>
      <c r="L1927" s="148" t="str">
        <f>IFERROR(__xludf.DUMMYFUNCTION("""COMPUTED_VALUE"""),"{}")</f>
        <v>{}</v>
      </c>
      <c r="M1927" s="148">
        <f>IFERROR(__xludf.DUMMYFUNCTION("""COMPUTED_VALUE"""),8300.0)</f>
        <v>8300</v>
      </c>
      <c r="N1927" s="148">
        <f>IFERROR(__xludf.DUMMYFUNCTION("""COMPUTED_VALUE"""),999999.0)</f>
        <v>999999</v>
      </c>
      <c r="O1927" s="148">
        <f>IFERROR(__xludf.DUMMYFUNCTION("""COMPUTED_VALUE"""),99999.0)</f>
        <v>99999</v>
      </c>
      <c r="P1927" s="148">
        <f>IFERROR(__xludf.DUMMYFUNCTION("""COMPUTED_VALUE"""),9999.0)</f>
        <v>9999</v>
      </c>
      <c r="Q1927" s="148" t="str">
        <f>IFERROR(__xludf.DUMMYFUNCTION("""COMPUTED_VALUE"""),"[""bag_other""]")</f>
        <v>["bag_other"]</v>
      </c>
      <c r="R1927" s="148" t="str">
        <f>IFERROR(__xludf.DUMMYFUNCTION("""COMPUTED_VALUE"""),"[""bag"",""40121203""]")</f>
        <v>["bag","40121203"]</v>
      </c>
      <c r="S1927" s="148" t="str">
        <f>IFERROR(__xludf.DUMMYFUNCTION("""COMPUTED_VALUE"""),"{""effect"":[{""typ"":""mecha_driver"",""id"":40121203,""val"":1}]}")</f>
        <v>{"effect":[{"typ":"mecha_driver","id":40121203,"val":1}]}</v>
      </c>
      <c r="T1927" s="148">
        <f>IFERROR(__xludf.DUMMYFUNCTION("""COMPUTED_VALUE"""),1.0)</f>
        <v>1</v>
      </c>
      <c r="U1927" s="148">
        <f>IFERROR(__xludf.DUMMYFUNCTION("""COMPUTED_VALUE"""),1.0)</f>
        <v>1</v>
      </c>
      <c r="V1927" s="148" t="str">
        <f>IFERROR(__xludf.DUMMYFUNCTION("""COMPUTED_VALUE"""),"[]")</f>
        <v>[]</v>
      </c>
      <c r="W1927" s="148">
        <f>IFERROR(__xludf.DUMMYFUNCTION("""COMPUTED_VALUE"""),1.174E7)</f>
        <v>11740000</v>
      </c>
      <c r="X1927" s="148">
        <f>IFERROR(__xludf.DUMMYFUNCTION("""COMPUTED_VALUE"""),0.0)</f>
        <v>0</v>
      </c>
      <c r="Y1927" s="148">
        <f>IFERROR(__xludf.DUMMYFUNCTION("""COMPUTED_VALUE"""),0.0)</f>
        <v>0</v>
      </c>
      <c r="Z1927" s="148"/>
    </row>
    <row r="1928">
      <c r="A1928" s="148">
        <f>IFERROR(__xludf.DUMMYFUNCTION("""COMPUTED_VALUE"""),1.1117946E7)</f>
        <v>11117946</v>
      </c>
      <c r="B1928" s="148" t="str">
        <f>IFERROR(__xludf.DUMMYFUNCTION("""COMPUTED_VALUE"""),"卢克·卡特")</f>
        <v>卢克·卡特</v>
      </c>
      <c r="C1928" s="148"/>
      <c r="D1928" s="148" t="str">
        <f>IFERROR(__xludf.DUMMYFUNCTION("""COMPUTED_VALUE"""),"item_mecha_driver")</f>
        <v>item_mecha_driver</v>
      </c>
      <c r="E1928" s="148">
        <f>IFERROR(__xludf.DUMMYFUNCTION("""COMPUTED_VALUE"""),20.0)</f>
        <v>20</v>
      </c>
      <c r="F1928" s="148">
        <f>IFERROR(__xludf.DUMMYFUNCTION("""COMPUTED_VALUE"""),408195.0)</f>
        <v>408195</v>
      </c>
      <c r="G1928" s="148">
        <f>IFERROR(__xludf.DUMMYFUNCTION("""COMPUTED_VALUE"""),1.51102298E8)</f>
        <v>151102298</v>
      </c>
      <c r="H1928" s="148">
        <f>IFERROR(__xludf.DUMMYFUNCTION("""COMPUTED_VALUE"""),1.5112564E7)</f>
        <v>15112564</v>
      </c>
      <c r="I1928" s="148" t="str">
        <f>IFERROR(__xludf.DUMMYFUNCTION("""COMPUTED_VALUE"""),"{}")</f>
        <v>{}</v>
      </c>
      <c r="J1928" s="148" t="str">
        <f>IFERROR(__xludf.DUMMYFUNCTION("""COMPUTED_VALUE"""),"{""typ"":""lc"",""txt"":""LC_MAP_mecha_driver_hero_name_37""}")</f>
        <v>{"typ":"lc","txt":"LC_MAP_mecha_driver_hero_name_37"}</v>
      </c>
      <c r="K1928" s="148" t="str">
        <f>IFERROR(__xludf.DUMMYFUNCTION("""COMPUTED_VALUE"""),"{""typ"":""lc"",""txt"":""LC_MAP_mecha_driver_hero_desc_37""}")</f>
        <v>{"typ":"lc","txt":"LC_MAP_mecha_driver_hero_desc_37"}</v>
      </c>
      <c r="L1928" s="148" t="str">
        <f>IFERROR(__xludf.DUMMYFUNCTION("""COMPUTED_VALUE"""),"{}")</f>
        <v>{}</v>
      </c>
      <c r="M1928" s="148">
        <f>IFERROR(__xludf.DUMMYFUNCTION("""COMPUTED_VALUE"""),8300.0)</f>
        <v>8300</v>
      </c>
      <c r="N1928" s="148">
        <f>IFERROR(__xludf.DUMMYFUNCTION("""COMPUTED_VALUE"""),999999.0)</f>
        <v>999999</v>
      </c>
      <c r="O1928" s="148">
        <f>IFERROR(__xludf.DUMMYFUNCTION("""COMPUTED_VALUE"""),99999.0)</f>
        <v>99999</v>
      </c>
      <c r="P1928" s="148">
        <f>IFERROR(__xludf.DUMMYFUNCTION("""COMPUTED_VALUE"""),9999.0)</f>
        <v>9999</v>
      </c>
      <c r="Q1928" s="148" t="str">
        <f>IFERROR(__xludf.DUMMYFUNCTION("""COMPUTED_VALUE"""),"[""bag_other""]")</f>
        <v>["bag_other"]</v>
      </c>
      <c r="R1928" s="148" t="str">
        <f>IFERROR(__xludf.DUMMYFUNCTION("""COMPUTED_VALUE"""),"[""bag"",""40121301""]")</f>
        <v>["bag","40121301"]</v>
      </c>
      <c r="S1928" s="148" t="str">
        <f>IFERROR(__xludf.DUMMYFUNCTION("""COMPUTED_VALUE"""),"{""effect"":[{""typ"":""mecha_driver"",""id"":40121301,""val"":1}]}")</f>
        <v>{"effect":[{"typ":"mecha_driver","id":40121301,"val":1}]}</v>
      </c>
      <c r="T1928" s="148">
        <f>IFERROR(__xludf.DUMMYFUNCTION("""COMPUTED_VALUE"""),1.0)</f>
        <v>1</v>
      </c>
      <c r="U1928" s="148">
        <f>IFERROR(__xludf.DUMMYFUNCTION("""COMPUTED_VALUE"""),1.0)</f>
        <v>1</v>
      </c>
      <c r="V1928" s="148" t="str">
        <f>IFERROR(__xludf.DUMMYFUNCTION("""COMPUTED_VALUE"""),"[]")</f>
        <v>[]</v>
      </c>
      <c r="W1928" s="148">
        <f>IFERROR(__xludf.DUMMYFUNCTION("""COMPUTED_VALUE"""),1.174E7)</f>
        <v>11740000</v>
      </c>
      <c r="X1928" s="148">
        <f>IFERROR(__xludf.DUMMYFUNCTION("""COMPUTED_VALUE"""),0.0)</f>
        <v>0</v>
      </c>
      <c r="Y1928" s="148">
        <f>IFERROR(__xludf.DUMMYFUNCTION("""COMPUTED_VALUE"""),0.0)</f>
        <v>0</v>
      </c>
      <c r="Z1928" s="148"/>
    </row>
    <row r="1929">
      <c r="A1929" s="148">
        <f>IFERROR(__xludf.DUMMYFUNCTION("""COMPUTED_VALUE"""),1.1117947E7)</f>
        <v>11117947</v>
      </c>
      <c r="B1929" s="148" t="str">
        <f>IFERROR(__xludf.DUMMYFUNCTION("""COMPUTED_VALUE"""),"弗兰克·米歇尔")</f>
        <v>弗兰克·米歇尔</v>
      </c>
      <c r="C1929" s="148"/>
      <c r="D1929" s="148" t="str">
        <f>IFERROR(__xludf.DUMMYFUNCTION("""COMPUTED_VALUE"""),"item_mecha_driver")</f>
        <v>item_mecha_driver</v>
      </c>
      <c r="E1929" s="148">
        <f>IFERROR(__xludf.DUMMYFUNCTION("""COMPUTED_VALUE"""),20.0)</f>
        <v>20</v>
      </c>
      <c r="F1929" s="148">
        <f>IFERROR(__xludf.DUMMYFUNCTION("""COMPUTED_VALUE"""),408195.0)</f>
        <v>408195</v>
      </c>
      <c r="G1929" s="148">
        <f>IFERROR(__xludf.DUMMYFUNCTION("""COMPUTED_VALUE"""),1.51102299E8)</f>
        <v>151102299</v>
      </c>
      <c r="H1929" s="148">
        <f>IFERROR(__xludf.DUMMYFUNCTION("""COMPUTED_VALUE"""),1.5112564E7)</f>
        <v>15112564</v>
      </c>
      <c r="I1929" s="148" t="str">
        <f>IFERROR(__xludf.DUMMYFUNCTION("""COMPUTED_VALUE"""),"{}")</f>
        <v>{}</v>
      </c>
      <c r="J1929" s="148" t="str">
        <f>IFERROR(__xludf.DUMMYFUNCTION("""COMPUTED_VALUE"""),"{""typ"":""lc"",""txt"":""LC_MAP_mecha_driver_hero_name_38""}")</f>
        <v>{"typ":"lc","txt":"LC_MAP_mecha_driver_hero_name_38"}</v>
      </c>
      <c r="K1929" s="148" t="str">
        <f>IFERROR(__xludf.DUMMYFUNCTION("""COMPUTED_VALUE"""),"{""typ"":""lc"",""txt"":""LC_MAP_mecha_driver_hero_desc_38""}")</f>
        <v>{"typ":"lc","txt":"LC_MAP_mecha_driver_hero_desc_38"}</v>
      </c>
      <c r="L1929" s="148" t="str">
        <f>IFERROR(__xludf.DUMMYFUNCTION("""COMPUTED_VALUE"""),"{}")</f>
        <v>{}</v>
      </c>
      <c r="M1929" s="148">
        <f>IFERROR(__xludf.DUMMYFUNCTION("""COMPUTED_VALUE"""),8300.0)</f>
        <v>8300</v>
      </c>
      <c r="N1929" s="148">
        <f>IFERROR(__xludf.DUMMYFUNCTION("""COMPUTED_VALUE"""),999999.0)</f>
        <v>999999</v>
      </c>
      <c r="O1929" s="148">
        <f>IFERROR(__xludf.DUMMYFUNCTION("""COMPUTED_VALUE"""),99999.0)</f>
        <v>99999</v>
      </c>
      <c r="P1929" s="148">
        <f>IFERROR(__xludf.DUMMYFUNCTION("""COMPUTED_VALUE"""),9999.0)</f>
        <v>9999</v>
      </c>
      <c r="Q1929" s="148" t="str">
        <f>IFERROR(__xludf.DUMMYFUNCTION("""COMPUTED_VALUE"""),"[""bag_other""]")</f>
        <v>["bag_other"]</v>
      </c>
      <c r="R1929" s="148" t="str">
        <f>IFERROR(__xludf.DUMMYFUNCTION("""COMPUTED_VALUE"""),"[""bag"",""40121302""]")</f>
        <v>["bag","40121302"]</v>
      </c>
      <c r="S1929" s="148" t="str">
        <f>IFERROR(__xludf.DUMMYFUNCTION("""COMPUTED_VALUE"""),"{""effect"":[{""typ"":""mecha_driver"",""id"":40121302,""val"":1}]}")</f>
        <v>{"effect":[{"typ":"mecha_driver","id":40121302,"val":1}]}</v>
      </c>
      <c r="T1929" s="148">
        <f>IFERROR(__xludf.DUMMYFUNCTION("""COMPUTED_VALUE"""),1.0)</f>
        <v>1</v>
      </c>
      <c r="U1929" s="148">
        <f>IFERROR(__xludf.DUMMYFUNCTION("""COMPUTED_VALUE"""),1.0)</f>
        <v>1</v>
      </c>
      <c r="V1929" s="148" t="str">
        <f>IFERROR(__xludf.DUMMYFUNCTION("""COMPUTED_VALUE"""),"[]")</f>
        <v>[]</v>
      </c>
      <c r="W1929" s="148">
        <f>IFERROR(__xludf.DUMMYFUNCTION("""COMPUTED_VALUE"""),1.174E7)</f>
        <v>11740000</v>
      </c>
      <c r="X1929" s="148">
        <f>IFERROR(__xludf.DUMMYFUNCTION("""COMPUTED_VALUE"""),0.0)</f>
        <v>0</v>
      </c>
      <c r="Y1929" s="148">
        <f>IFERROR(__xludf.DUMMYFUNCTION("""COMPUTED_VALUE"""),0.0)</f>
        <v>0</v>
      </c>
      <c r="Z1929" s="148"/>
    </row>
    <row r="1930">
      <c r="A1930" s="148">
        <f>IFERROR(__xludf.DUMMYFUNCTION("""COMPUTED_VALUE"""),1.1117948E7)</f>
        <v>11117948</v>
      </c>
      <c r="B1930" s="148" t="str">
        <f>IFERROR(__xludf.DUMMYFUNCTION("""COMPUTED_VALUE"""),"娜塔莉·沃森")</f>
        <v>娜塔莉·沃森</v>
      </c>
      <c r="C1930" s="148"/>
      <c r="D1930" s="148" t="str">
        <f>IFERROR(__xludf.DUMMYFUNCTION("""COMPUTED_VALUE"""),"item_mecha_driver")</f>
        <v>item_mecha_driver</v>
      </c>
      <c r="E1930" s="148">
        <f>IFERROR(__xludf.DUMMYFUNCTION("""COMPUTED_VALUE"""),20.0)</f>
        <v>20</v>
      </c>
      <c r="F1930" s="148">
        <f>IFERROR(__xludf.DUMMYFUNCTION("""COMPUTED_VALUE"""),408195.0)</f>
        <v>408195</v>
      </c>
      <c r="G1930" s="148">
        <f>IFERROR(__xludf.DUMMYFUNCTION("""COMPUTED_VALUE"""),1.511023E8)</f>
        <v>151102300</v>
      </c>
      <c r="H1930" s="148">
        <f>IFERROR(__xludf.DUMMYFUNCTION("""COMPUTED_VALUE"""),1.5112564E7)</f>
        <v>15112564</v>
      </c>
      <c r="I1930" s="148" t="str">
        <f>IFERROR(__xludf.DUMMYFUNCTION("""COMPUTED_VALUE"""),"{}")</f>
        <v>{}</v>
      </c>
      <c r="J1930" s="148" t="str">
        <f>IFERROR(__xludf.DUMMYFUNCTION("""COMPUTED_VALUE"""),"{""typ"":""lc"",""txt"":""LC_MAP_mecha_driver_hero_name_39""}")</f>
        <v>{"typ":"lc","txt":"LC_MAP_mecha_driver_hero_name_39"}</v>
      </c>
      <c r="K1930" s="148" t="str">
        <f>IFERROR(__xludf.DUMMYFUNCTION("""COMPUTED_VALUE"""),"{""typ"":""lc"",""txt"":""LC_MAP_mecha_driver_hero_desc_39""}")</f>
        <v>{"typ":"lc","txt":"LC_MAP_mecha_driver_hero_desc_39"}</v>
      </c>
      <c r="L1930" s="148" t="str">
        <f>IFERROR(__xludf.DUMMYFUNCTION("""COMPUTED_VALUE"""),"{}")</f>
        <v>{}</v>
      </c>
      <c r="M1930" s="148">
        <f>IFERROR(__xludf.DUMMYFUNCTION("""COMPUTED_VALUE"""),8300.0)</f>
        <v>8300</v>
      </c>
      <c r="N1930" s="148">
        <f>IFERROR(__xludf.DUMMYFUNCTION("""COMPUTED_VALUE"""),999999.0)</f>
        <v>999999</v>
      </c>
      <c r="O1930" s="148">
        <f>IFERROR(__xludf.DUMMYFUNCTION("""COMPUTED_VALUE"""),99999.0)</f>
        <v>99999</v>
      </c>
      <c r="P1930" s="148">
        <f>IFERROR(__xludf.DUMMYFUNCTION("""COMPUTED_VALUE"""),9999.0)</f>
        <v>9999</v>
      </c>
      <c r="Q1930" s="148" t="str">
        <f>IFERROR(__xludf.DUMMYFUNCTION("""COMPUTED_VALUE"""),"[""bag_other""]")</f>
        <v>["bag_other"]</v>
      </c>
      <c r="R1930" s="148" t="str">
        <f>IFERROR(__xludf.DUMMYFUNCTION("""COMPUTED_VALUE"""),"[""bag"",""40121303""]")</f>
        <v>["bag","40121303"]</v>
      </c>
      <c r="S1930" s="148" t="str">
        <f>IFERROR(__xludf.DUMMYFUNCTION("""COMPUTED_VALUE"""),"{""effect"":[{""typ"":""mecha_driver"",""id"":40121303,""val"":1}]}")</f>
        <v>{"effect":[{"typ":"mecha_driver","id":40121303,"val":1}]}</v>
      </c>
      <c r="T1930" s="148">
        <f>IFERROR(__xludf.DUMMYFUNCTION("""COMPUTED_VALUE"""),1.0)</f>
        <v>1</v>
      </c>
      <c r="U1930" s="148">
        <f>IFERROR(__xludf.DUMMYFUNCTION("""COMPUTED_VALUE"""),1.0)</f>
        <v>1</v>
      </c>
      <c r="V1930" s="148" t="str">
        <f>IFERROR(__xludf.DUMMYFUNCTION("""COMPUTED_VALUE"""),"[]")</f>
        <v>[]</v>
      </c>
      <c r="W1930" s="148">
        <f>IFERROR(__xludf.DUMMYFUNCTION("""COMPUTED_VALUE"""),1.174E7)</f>
        <v>11740000</v>
      </c>
      <c r="X1930" s="148">
        <f>IFERROR(__xludf.DUMMYFUNCTION("""COMPUTED_VALUE"""),0.0)</f>
        <v>0</v>
      </c>
      <c r="Y1930" s="148">
        <f>IFERROR(__xludf.DUMMYFUNCTION("""COMPUTED_VALUE"""),0.0)</f>
        <v>0</v>
      </c>
      <c r="Z1930" s="148"/>
    </row>
    <row r="1931">
      <c r="A1931" s="148">
        <f>IFERROR(__xludf.DUMMYFUNCTION("""COMPUTED_VALUE"""),1.1117949E7)</f>
        <v>11117949</v>
      </c>
      <c r="B1931" s="148" t="str">
        <f>IFERROR(__xludf.DUMMYFUNCTION("""COMPUTED_VALUE"""),"理查德·科尔曼")</f>
        <v>理查德·科尔曼</v>
      </c>
      <c r="C1931" s="148"/>
      <c r="D1931" s="148" t="str">
        <f>IFERROR(__xludf.DUMMYFUNCTION("""COMPUTED_VALUE"""),"item_mecha_driver")</f>
        <v>item_mecha_driver</v>
      </c>
      <c r="E1931" s="148">
        <f>IFERROR(__xludf.DUMMYFUNCTION("""COMPUTED_VALUE"""),20.0)</f>
        <v>20</v>
      </c>
      <c r="F1931" s="148">
        <f>IFERROR(__xludf.DUMMYFUNCTION("""COMPUTED_VALUE"""),408195.0)</f>
        <v>408195</v>
      </c>
      <c r="G1931" s="148">
        <f>IFERROR(__xludf.DUMMYFUNCTION("""COMPUTED_VALUE"""),1.51102301E8)</f>
        <v>151102301</v>
      </c>
      <c r="H1931" s="148">
        <f>IFERROR(__xludf.DUMMYFUNCTION("""COMPUTED_VALUE"""),1.5112564E7)</f>
        <v>15112564</v>
      </c>
      <c r="I1931" s="148" t="str">
        <f>IFERROR(__xludf.DUMMYFUNCTION("""COMPUTED_VALUE"""),"{}")</f>
        <v>{}</v>
      </c>
      <c r="J1931" s="148" t="str">
        <f>IFERROR(__xludf.DUMMYFUNCTION("""COMPUTED_VALUE"""),"{""typ"":""lc"",""txt"":""LC_MAP_mecha_driver_hero_name_40""}")</f>
        <v>{"typ":"lc","txt":"LC_MAP_mecha_driver_hero_name_40"}</v>
      </c>
      <c r="K1931" s="148" t="str">
        <f>IFERROR(__xludf.DUMMYFUNCTION("""COMPUTED_VALUE"""),"{""typ"":""lc"",""txt"":""LC_MAP_mecha_driver_hero_desc_40""}")</f>
        <v>{"typ":"lc","txt":"LC_MAP_mecha_driver_hero_desc_40"}</v>
      </c>
      <c r="L1931" s="148" t="str">
        <f>IFERROR(__xludf.DUMMYFUNCTION("""COMPUTED_VALUE"""),"{}")</f>
        <v>{}</v>
      </c>
      <c r="M1931" s="148">
        <f>IFERROR(__xludf.DUMMYFUNCTION("""COMPUTED_VALUE"""),8300.0)</f>
        <v>8300</v>
      </c>
      <c r="N1931" s="148">
        <f>IFERROR(__xludf.DUMMYFUNCTION("""COMPUTED_VALUE"""),999999.0)</f>
        <v>999999</v>
      </c>
      <c r="O1931" s="148">
        <f>IFERROR(__xludf.DUMMYFUNCTION("""COMPUTED_VALUE"""),99999.0)</f>
        <v>99999</v>
      </c>
      <c r="P1931" s="148">
        <f>IFERROR(__xludf.DUMMYFUNCTION("""COMPUTED_VALUE"""),9999.0)</f>
        <v>9999</v>
      </c>
      <c r="Q1931" s="148" t="str">
        <f>IFERROR(__xludf.DUMMYFUNCTION("""COMPUTED_VALUE"""),"[""bag_other""]")</f>
        <v>["bag_other"]</v>
      </c>
      <c r="R1931" s="148" t="str">
        <f>IFERROR(__xludf.DUMMYFUNCTION("""COMPUTED_VALUE"""),"[""bag"",""40121401""]")</f>
        <v>["bag","40121401"]</v>
      </c>
      <c r="S1931" s="148" t="str">
        <f>IFERROR(__xludf.DUMMYFUNCTION("""COMPUTED_VALUE"""),"{""effect"":[{""typ"":""mecha_driver"",""id"":40121401,""val"":1}]}")</f>
        <v>{"effect":[{"typ":"mecha_driver","id":40121401,"val":1}]}</v>
      </c>
      <c r="T1931" s="148">
        <f>IFERROR(__xludf.DUMMYFUNCTION("""COMPUTED_VALUE"""),1.0)</f>
        <v>1</v>
      </c>
      <c r="U1931" s="148">
        <f>IFERROR(__xludf.DUMMYFUNCTION("""COMPUTED_VALUE"""),1.0)</f>
        <v>1</v>
      </c>
      <c r="V1931" s="148" t="str">
        <f>IFERROR(__xludf.DUMMYFUNCTION("""COMPUTED_VALUE"""),"[]")</f>
        <v>[]</v>
      </c>
      <c r="W1931" s="148">
        <f>IFERROR(__xludf.DUMMYFUNCTION("""COMPUTED_VALUE"""),1.174E7)</f>
        <v>11740000</v>
      </c>
      <c r="X1931" s="148">
        <f>IFERROR(__xludf.DUMMYFUNCTION("""COMPUTED_VALUE"""),0.0)</f>
        <v>0</v>
      </c>
      <c r="Y1931" s="148">
        <f>IFERROR(__xludf.DUMMYFUNCTION("""COMPUTED_VALUE"""),0.0)</f>
        <v>0</v>
      </c>
      <c r="Z1931" s="148"/>
    </row>
    <row r="1932">
      <c r="A1932" s="148">
        <f>IFERROR(__xludf.DUMMYFUNCTION("""COMPUTED_VALUE"""),1.111795E7)</f>
        <v>11117950</v>
      </c>
      <c r="B1932" s="148" t="str">
        <f>IFERROR(__xludf.DUMMYFUNCTION("""COMPUTED_VALUE"""),"保罗·道森")</f>
        <v>保罗·道森</v>
      </c>
      <c r="C1932" s="148"/>
      <c r="D1932" s="148" t="str">
        <f>IFERROR(__xludf.DUMMYFUNCTION("""COMPUTED_VALUE"""),"item_mecha_driver")</f>
        <v>item_mecha_driver</v>
      </c>
      <c r="E1932" s="148">
        <f>IFERROR(__xludf.DUMMYFUNCTION("""COMPUTED_VALUE"""),20.0)</f>
        <v>20</v>
      </c>
      <c r="F1932" s="148">
        <f>IFERROR(__xludf.DUMMYFUNCTION("""COMPUTED_VALUE"""),408195.0)</f>
        <v>408195</v>
      </c>
      <c r="G1932" s="148">
        <f>IFERROR(__xludf.DUMMYFUNCTION("""COMPUTED_VALUE"""),1.51102302E8)</f>
        <v>151102302</v>
      </c>
      <c r="H1932" s="148">
        <f>IFERROR(__xludf.DUMMYFUNCTION("""COMPUTED_VALUE"""),1.5112564E7)</f>
        <v>15112564</v>
      </c>
      <c r="I1932" s="148" t="str">
        <f>IFERROR(__xludf.DUMMYFUNCTION("""COMPUTED_VALUE"""),"{}")</f>
        <v>{}</v>
      </c>
      <c r="J1932" s="148" t="str">
        <f>IFERROR(__xludf.DUMMYFUNCTION("""COMPUTED_VALUE"""),"{""typ"":""lc"",""txt"":""LC_MAP_mecha_driver_hero_name_41""}")</f>
        <v>{"typ":"lc","txt":"LC_MAP_mecha_driver_hero_name_41"}</v>
      </c>
      <c r="K1932" s="148" t="str">
        <f>IFERROR(__xludf.DUMMYFUNCTION("""COMPUTED_VALUE"""),"{""typ"":""lc"",""txt"":""LC_MAP_mecha_driver_hero_desc_41""}")</f>
        <v>{"typ":"lc","txt":"LC_MAP_mecha_driver_hero_desc_41"}</v>
      </c>
      <c r="L1932" s="148" t="str">
        <f>IFERROR(__xludf.DUMMYFUNCTION("""COMPUTED_VALUE"""),"{}")</f>
        <v>{}</v>
      </c>
      <c r="M1932" s="148">
        <f>IFERROR(__xludf.DUMMYFUNCTION("""COMPUTED_VALUE"""),8300.0)</f>
        <v>8300</v>
      </c>
      <c r="N1932" s="148">
        <f>IFERROR(__xludf.DUMMYFUNCTION("""COMPUTED_VALUE"""),999999.0)</f>
        <v>999999</v>
      </c>
      <c r="O1932" s="148">
        <f>IFERROR(__xludf.DUMMYFUNCTION("""COMPUTED_VALUE"""),99999.0)</f>
        <v>99999</v>
      </c>
      <c r="P1932" s="148">
        <f>IFERROR(__xludf.DUMMYFUNCTION("""COMPUTED_VALUE"""),9999.0)</f>
        <v>9999</v>
      </c>
      <c r="Q1932" s="148" t="str">
        <f>IFERROR(__xludf.DUMMYFUNCTION("""COMPUTED_VALUE"""),"[""bag_other""]")</f>
        <v>["bag_other"]</v>
      </c>
      <c r="R1932" s="148" t="str">
        <f>IFERROR(__xludf.DUMMYFUNCTION("""COMPUTED_VALUE"""),"[""bag"",""40121402""]")</f>
        <v>["bag","40121402"]</v>
      </c>
      <c r="S1932" s="148" t="str">
        <f>IFERROR(__xludf.DUMMYFUNCTION("""COMPUTED_VALUE"""),"{""effect"":[{""typ"":""mecha_driver"",""id"":40121402,""val"":1}]}")</f>
        <v>{"effect":[{"typ":"mecha_driver","id":40121402,"val":1}]}</v>
      </c>
      <c r="T1932" s="148">
        <f>IFERROR(__xludf.DUMMYFUNCTION("""COMPUTED_VALUE"""),1.0)</f>
        <v>1</v>
      </c>
      <c r="U1932" s="148">
        <f>IFERROR(__xludf.DUMMYFUNCTION("""COMPUTED_VALUE"""),1.0)</f>
        <v>1</v>
      </c>
      <c r="V1932" s="148" t="str">
        <f>IFERROR(__xludf.DUMMYFUNCTION("""COMPUTED_VALUE"""),"[]")</f>
        <v>[]</v>
      </c>
      <c r="W1932" s="148">
        <f>IFERROR(__xludf.DUMMYFUNCTION("""COMPUTED_VALUE"""),1.174E7)</f>
        <v>11740000</v>
      </c>
      <c r="X1932" s="148">
        <f>IFERROR(__xludf.DUMMYFUNCTION("""COMPUTED_VALUE"""),0.0)</f>
        <v>0</v>
      </c>
      <c r="Y1932" s="148">
        <f>IFERROR(__xludf.DUMMYFUNCTION("""COMPUTED_VALUE"""),0.0)</f>
        <v>0</v>
      </c>
      <c r="Z1932" s="148"/>
    </row>
    <row r="1933">
      <c r="A1933" s="148">
        <f>IFERROR(__xludf.DUMMYFUNCTION("""COMPUTED_VALUE"""),1.1117951E7)</f>
        <v>11117951</v>
      </c>
      <c r="B1933" s="148" t="str">
        <f>IFERROR(__xludf.DUMMYFUNCTION("""COMPUTED_VALUE"""),"丹尼尔·戴维斯")</f>
        <v>丹尼尔·戴维斯</v>
      </c>
      <c r="C1933" s="148"/>
      <c r="D1933" s="148" t="str">
        <f>IFERROR(__xludf.DUMMYFUNCTION("""COMPUTED_VALUE"""),"item_mecha_driver")</f>
        <v>item_mecha_driver</v>
      </c>
      <c r="E1933" s="148">
        <f>IFERROR(__xludf.DUMMYFUNCTION("""COMPUTED_VALUE"""),20.0)</f>
        <v>20</v>
      </c>
      <c r="F1933" s="148">
        <f>IFERROR(__xludf.DUMMYFUNCTION("""COMPUTED_VALUE"""),408195.0)</f>
        <v>408195</v>
      </c>
      <c r="G1933" s="148">
        <f>IFERROR(__xludf.DUMMYFUNCTION("""COMPUTED_VALUE"""),1.51102303E8)</f>
        <v>151102303</v>
      </c>
      <c r="H1933" s="148">
        <f>IFERROR(__xludf.DUMMYFUNCTION("""COMPUTED_VALUE"""),1.5112564E7)</f>
        <v>15112564</v>
      </c>
      <c r="I1933" s="148" t="str">
        <f>IFERROR(__xludf.DUMMYFUNCTION("""COMPUTED_VALUE"""),"{}")</f>
        <v>{}</v>
      </c>
      <c r="J1933" s="148" t="str">
        <f>IFERROR(__xludf.DUMMYFUNCTION("""COMPUTED_VALUE"""),"{""typ"":""lc"",""txt"":""LC_MAP_mecha_driver_hero_name_42""}")</f>
        <v>{"typ":"lc","txt":"LC_MAP_mecha_driver_hero_name_42"}</v>
      </c>
      <c r="K1933" s="148" t="str">
        <f>IFERROR(__xludf.DUMMYFUNCTION("""COMPUTED_VALUE"""),"{""typ"":""lc"",""txt"":""LC_MAP_mecha_driver_hero_desc_42""}")</f>
        <v>{"typ":"lc","txt":"LC_MAP_mecha_driver_hero_desc_42"}</v>
      </c>
      <c r="L1933" s="148" t="str">
        <f>IFERROR(__xludf.DUMMYFUNCTION("""COMPUTED_VALUE"""),"{}")</f>
        <v>{}</v>
      </c>
      <c r="M1933" s="148">
        <f>IFERROR(__xludf.DUMMYFUNCTION("""COMPUTED_VALUE"""),8300.0)</f>
        <v>8300</v>
      </c>
      <c r="N1933" s="148">
        <f>IFERROR(__xludf.DUMMYFUNCTION("""COMPUTED_VALUE"""),999999.0)</f>
        <v>999999</v>
      </c>
      <c r="O1933" s="148">
        <f>IFERROR(__xludf.DUMMYFUNCTION("""COMPUTED_VALUE"""),99999.0)</f>
        <v>99999</v>
      </c>
      <c r="P1933" s="148">
        <f>IFERROR(__xludf.DUMMYFUNCTION("""COMPUTED_VALUE"""),9999.0)</f>
        <v>9999</v>
      </c>
      <c r="Q1933" s="148" t="str">
        <f>IFERROR(__xludf.DUMMYFUNCTION("""COMPUTED_VALUE"""),"[""bag_other""]")</f>
        <v>["bag_other"]</v>
      </c>
      <c r="R1933" s="148" t="str">
        <f>IFERROR(__xludf.DUMMYFUNCTION("""COMPUTED_VALUE"""),"[""bag"",""40121403""]")</f>
        <v>["bag","40121403"]</v>
      </c>
      <c r="S1933" s="148" t="str">
        <f>IFERROR(__xludf.DUMMYFUNCTION("""COMPUTED_VALUE"""),"{""effect"":[{""typ"":""mecha_driver"",""id"":40121403,""val"":1}]}")</f>
        <v>{"effect":[{"typ":"mecha_driver","id":40121403,"val":1}]}</v>
      </c>
      <c r="T1933" s="148">
        <f>IFERROR(__xludf.DUMMYFUNCTION("""COMPUTED_VALUE"""),1.0)</f>
        <v>1</v>
      </c>
      <c r="U1933" s="148">
        <f>IFERROR(__xludf.DUMMYFUNCTION("""COMPUTED_VALUE"""),1.0)</f>
        <v>1</v>
      </c>
      <c r="V1933" s="148" t="str">
        <f>IFERROR(__xludf.DUMMYFUNCTION("""COMPUTED_VALUE"""),"[]")</f>
        <v>[]</v>
      </c>
      <c r="W1933" s="148">
        <f>IFERROR(__xludf.DUMMYFUNCTION("""COMPUTED_VALUE"""),1.174E7)</f>
        <v>11740000</v>
      </c>
      <c r="X1933" s="148">
        <f>IFERROR(__xludf.DUMMYFUNCTION("""COMPUTED_VALUE"""),0.0)</f>
        <v>0</v>
      </c>
      <c r="Y1933" s="148">
        <f>IFERROR(__xludf.DUMMYFUNCTION("""COMPUTED_VALUE"""),0.0)</f>
        <v>0</v>
      </c>
      <c r="Z1933" s="148"/>
    </row>
    <row r="1934">
      <c r="A1934" s="148">
        <f>IFERROR(__xludf.DUMMYFUNCTION("""COMPUTED_VALUE"""),1.1118001E7)</f>
        <v>11118001</v>
      </c>
      <c r="B1934" s="148" t="str">
        <f>IFERROR(__xludf.DUMMYFUNCTION("""COMPUTED_VALUE"""),"机甲经验-5000")</f>
        <v>机甲经验-5000</v>
      </c>
      <c r="C1934" s="148"/>
      <c r="D1934" s="148" t="str">
        <f>IFERROR(__xludf.DUMMYFUNCTION("""COMPUTED_VALUE"""),"item_mecha_level_rss")</f>
        <v>item_mecha_level_rss</v>
      </c>
      <c r="E1934" s="148">
        <f>IFERROR(__xludf.DUMMYFUNCTION("""COMPUTED_VALUE"""),30.0)</f>
        <v>30</v>
      </c>
      <c r="F1934" s="148">
        <f>IFERROR(__xludf.DUMMYFUNCTION("""COMPUTED_VALUE"""),413004.0)</f>
        <v>413004</v>
      </c>
      <c r="G1934" s="148">
        <f>IFERROR(__xludf.DUMMYFUNCTION("""COMPUTED_VALUE"""),1.5116359E7)</f>
        <v>15116359</v>
      </c>
      <c r="H1934" s="148">
        <f>IFERROR(__xludf.DUMMYFUNCTION("""COMPUTED_VALUE"""),1.5112561E7)</f>
        <v>15112561</v>
      </c>
      <c r="I1934" s="148" t="str">
        <f>IFERROR(__xludf.DUMMYFUNCTION("""COMPUTED_VALUE"""),"{""typ"":""lc"",""txt"":""LC_ITEM_rss_upper_show"",""args"":[{""typ"":""int"",""val"":5000}]}")</f>
        <v>{"typ":"lc","txt":"LC_ITEM_rss_upper_show","args":[{"typ":"int","val":5000}]}</v>
      </c>
      <c r="J1934" s="148" t="str">
        <f>IFERROR(__xludf.DUMMYFUNCTION("""COMPUTED_VALUE"""),"{""typ"":""lc"",""txt"":""LC_ITEM_mecha_exp_name"",""args"":[{""typ"":""int"",""val"":5000}]}")</f>
        <v>{"typ":"lc","txt":"LC_ITEM_mecha_exp_name","args":[{"typ":"int","val":5000}]}</v>
      </c>
      <c r="K1934" s="148" t="str">
        <f>IFERROR(__xludf.DUMMYFUNCTION("""COMPUTED_VALUE"""),"{""typ"":""lc"",""txt"":""LC_ITEM_mecha_exp_desc"",""args"":[{""typ"":""int"",""val"":5000}]}")</f>
        <v>{"typ":"lc","txt":"LC_ITEM_mecha_exp_desc","args":[{"typ":"int","val":5000}]}</v>
      </c>
      <c r="L1934" s="148" t="str">
        <f>IFERROR(__xludf.DUMMYFUNCTION("""COMPUTED_VALUE"""),"{""typ"":""lc"",""txt"":""LC_ITEM_mecha_exp_usedtip""}")</f>
        <v>{"typ":"lc","txt":"LC_ITEM_mecha_exp_usedtip"}</v>
      </c>
      <c r="M1934" s="148">
        <f>IFERROR(__xludf.DUMMYFUNCTION("""COMPUTED_VALUE"""),50.0)</f>
        <v>50</v>
      </c>
      <c r="N1934" s="148">
        <f>IFERROR(__xludf.DUMMYFUNCTION("""COMPUTED_VALUE"""),9999999.0)</f>
        <v>9999999</v>
      </c>
      <c r="O1934" s="148">
        <f>IFERROR(__xludf.DUMMYFUNCTION("""COMPUTED_VALUE"""),99999.0)</f>
        <v>99999</v>
      </c>
      <c r="P1934" s="148">
        <f>IFERROR(__xludf.DUMMYFUNCTION("""COMPUTED_VALUE"""),99999.0)</f>
        <v>99999</v>
      </c>
      <c r="Q1934" s="148" t="str">
        <f>IFERROR(__xludf.DUMMYFUNCTION("""COMPUTED_VALUE"""),"[""bag_other""]")</f>
        <v>["bag_other"]</v>
      </c>
      <c r="R1934" s="148" t="str">
        <f>IFERROR(__xludf.DUMMYFUNCTION("""COMPUTED_VALUE"""),"[""mecha_level_exp""]")</f>
        <v>["mecha_level_exp"]</v>
      </c>
      <c r="S1934" s="148" t="str">
        <f>IFERROR(__xludf.DUMMYFUNCTION("""COMPUTED_VALUE"""),"{""effect"":[{""typ"":""rss"",""id"":11141038,""val"":5000}]}")</f>
        <v>{"effect":[{"typ":"rss","id":11141038,"val":5000}]}</v>
      </c>
      <c r="T1934" s="148">
        <f>IFERROR(__xludf.DUMMYFUNCTION("""COMPUTED_VALUE"""),-1.0)</f>
        <v>-1</v>
      </c>
      <c r="U1934" s="148">
        <f>IFERROR(__xludf.DUMMYFUNCTION("""COMPUTED_VALUE"""),0.0)</f>
        <v>0</v>
      </c>
      <c r="V1934" s="148" t="str">
        <f>IFERROR(__xludf.DUMMYFUNCTION("""COMPUTED_VALUE"""),"[]")</f>
        <v>[]</v>
      </c>
      <c r="W1934" s="148">
        <f>IFERROR(__xludf.DUMMYFUNCTION("""COMPUTED_VALUE"""),1.174E7)</f>
        <v>11740000</v>
      </c>
      <c r="X1934" s="148">
        <f>IFERROR(__xludf.DUMMYFUNCTION("""COMPUTED_VALUE"""),0.0)</f>
        <v>0</v>
      </c>
      <c r="Y1934" s="148">
        <f>IFERROR(__xludf.DUMMYFUNCTION("""COMPUTED_VALUE"""),0.0)</f>
        <v>0</v>
      </c>
      <c r="Z1934" s="148"/>
    </row>
    <row r="1935">
      <c r="A1935" s="148">
        <f>IFERROR(__xludf.DUMMYFUNCTION("""COMPUTED_VALUE"""),1.1118002E7)</f>
        <v>11118002</v>
      </c>
      <c r="B1935" s="148" t="str">
        <f>IFERROR(__xludf.DUMMYFUNCTION("""COMPUTED_VALUE"""),"机甲经验-10000")</f>
        <v>机甲经验-10000</v>
      </c>
      <c r="C1935" s="148"/>
      <c r="D1935" s="148" t="str">
        <f>IFERROR(__xludf.DUMMYFUNCTION("""COMPUTED_VALUE"""),"item_mecha_level_rss")</f>
        <v>item_mecha_level_rss</v>
      </c>
      <c r="E1935" s="148">
        <f>IFERROR(__xludf.DUMMYFUNCTION("""COMPUTED_VALUE"""),30.0)</f>
        <v>30</v>
      </c>
      <c r="F1935" s="148">
        <f>IFERROR(__xludf.DUMMYFUNCTION("""COMPUTED_VALUE"""),413005.0)</f>
        <v>413005</v>
      </c>
      <c r="G1935" s="148">
        <f>IFERROR(__xludf.DUMMYFUNCTION("""COMPUTED_VALUE"""),1.5116359E7)</f>
        <v>15116359</v>
      </c>
      <c r="H1935" s="148">
        <f>IFERROR(__xludf.DUMMYFUNCTION("""COMPUTED_VALUE"""),1.5112562E7)</f>
        <v>15112562</v>
      </c>
      <c r="I1935" s="148" t="str">
        <f>IFERROR(__xludf.DUMMYFUNCTION("""COMPUTED_VALUE"""),"{""typ"":""lc"",""txt"":""LC_ITEM_rss_upper_show"",""args"":[{""typ"":""int"",""val"":10000}]}")</f>
        <v>{"typ":"lc","txt":"LC_ITEM_rss_upper_show","args":[{"typ":"int","val":10000}]}</v>
      </c>
      <c r="J1935" s="148" t="str">
        <f>IFERROR(__xludf.DUMMYFUNCTION("""COMPUTED_VALUE"""),"{""typ"":""lc"",""txt"":""LC_ITEM_mecha_exp_name"",""args"":[{""typ"":""int"",""val"":10000}]}")</f>
        <v>{"typ":"lc","txt":"LC_ITEM_mecha_exp_name","args":[{"typ":"int","val":10000}]}</v>
      </c>
      <c r="K1935" s="148" t="str">
        <f>IFERROR(__xludf.DUMMYFUNCTION("""COMPUTED_VALUE"""),"{""typ"":""lc"",""txt"":""LC_ITEM_mecha_exp_desc"",""args"":[{""typ"":""int"",""val"":10000}]}")</f>
        <v>{"typ":"lc","txt":"LC_ITEM_mecha_exp_desc","args":[{"typ":"int","val":10000}]}</v>
      </c>
      <c r="L1935" s="148" t="str">
        <f>IFERROR(__xludf.DUMMYFUNCTION("""COMPUTED_VALUE"""),"{""typ"":""lc"",""txt"":""LC_ITEM_mecha_exp_usedtip""}")</f>
        <v>{"typ":"lc","txt":"LC_ITEM_mecha_exp_usedtip"}</v>
      </c>
      <c r="M1935" s="148">
        <f>IFERROR(__xludf.DUMMYFUNCTION("""COMPUTED_VALUE"""),80.0)</f>
        <v>80</v>
      </c>
      <c r="N1935" s="148">
        <f>IFERROR(__xludf.DUMMYFUNCTION("""COMPUTED_VALUE"""),9999999.0)</f>
        <v>9999999</v>
      </c>
      <c r="O1935" s="148">
        <f>IFERROR(__xludf.DUMMYFUNCTION("""COMPUTED_VALUE"""),99999.0)</f>
        <v>99999</v>
      </c>
      <c r="P1935" s="148">
        <f>IFERROR(__xludf.DUMMYFUNCTION("""COMPUTED_VALUE"""),99999.0)</f>
        <v>99999</v>
      </c>
      <c r="Q1935" s="148" t="str">
        <f>IFERROR(__xludf.DUMMYFUNCTION("""COMPUTED_VALUE"""),"[""bag_other""]")</f>
        <v>["bag_other"]</v>
      </c>
      <c r="R1935" s="148" t="str">
        <f>IFERROR(__xludf.DUMMYFUNCTION("""COMPUTED_VALUE"""),"[""mecha_level_exp""]")</f>
        <v>["mecha_level_exp"]</v>
      </c>
      <c r="S1935" s="148" t="str">
        <f>IFERROR(__xludf.DUMMYFUNCTION("""COMPUTED_VALUE"""),"{""effect"":[{""typ"":""rss"",""id"":11141038,""val"":10000}]}")</f>
        <v>{"effect":[{"typ":"rss","id":11141038,"val":10000}]}</v>
      </c>
      <c r="T1935" s="148">
        <f>IFERROR(__xludf.DUMMYFUNCTION("""COMPUTED_VALUE"""),-1.0)</f>
        <v>-1</v>
      </c>
      <c r="U1935" s="148">
        <f>IFERROR(__xludf.DUMMYFUNCTION("""COMPUTED_VALUE"""),0.0)</f>
        <v>0</v>
      </c>
      <c r="V1935" s="148" t="str">
        <f>IFERROR(__xludf.DUMMYFUNCTION("""COMPUTED_VALUE"""),"[]")</f>
        <v>[]</v>
      </c>
      <c r="W1935" s="148">
        <f>IFERROR(__xludf.DUMMYFUNCTION("""COMPUTED_VALUE"""),1.174E7)</f>
        <v>11740000</v>
      </c>
      <c r="X1935" s="148">
        <f>IFERROR(__xludf.DUMMYFUNCTION("""COMPUTED_VALUE"""),0.0)</f>
        <v>0</v>
      </c>
      <c r="Y1935" s="148">
        <f>IFERROR(__xludf.DUMMYFUNCTION("""COMPUTED_VALUE"""),0.0)</f>
        <v>0</v>
      </c>
      <c r="Z1935" s="148"/>
    </row>
    <row r="1936">
      <c r="A1936" s="148">
        <f>IFERROR(__xludf.DUMMYFUNCTION("""COMPUTED_VALUE"""),1.1118003E7)</f>
        <v>11118003</v>
      </c>
      <c r="B1936" s="148" t="str">
        <f>IFERROR(__xludf.DUMMYFUNCTION("""COMPUTED_VALUE"""),"机甲经验-20000")</f>
        <v>机甲经验-20000</v>
      </c>
      <c r="C1936" s="148"/>
      <c r="D1936" s="148" t="str">
        <f>IFERROR(__xludf.DUMMYFUNCTION("""COMPUTED_VALUE"""),"item_mecha_level_rss")</f>
        <v>item_mecha_level_rss</v>
      </c>
      <c r="E1936" s="148">
        <f>IFERROR(__xludf.DUMMYFUNCTION("""COMPUTED_VALUE"""),30.0)</f>
        <v>30</v>
      </c>
      <c r="F1936" s="148">
        <f>IFERROR(__xludf.DUMMYFUNCTION("""COMPUTED_VALUE"""),413006.0)</f>
        <v>413006</v>
      </c>
      <c r="G1936" s="148">
        <f>IFERROR(__xludf.DUMMYFUNCTION("""COMPUTED_VALUE"""),1.5116359E7)</f>
        <v>15116359</v>
      </c>
      <c r="H1936" s="148">
        <f>IFERROR(__xludf.DUMMYFUNCTION("""COMPUTED_VALUE"""),1.5112562E7)</f>
        <v>15112562</v>
      </c>
      <c r="I1936" s="148" t="str">
        <f>IFERROR(__xludf.DUMMYFUNCTION("""COMPUTED_VALUE"""),"{""typ"":""lc"",""txt"":""LC_ITEM_rss_upper_show"",""args"":[{""typ"":""int"",""val"":20000}]}")</f>
        <v>{"typ":"lc","txt":"LC_ITEM_rss_upper_show","args":[{"typ":"int","val":20000}]}</v>
      </c>
      <c r="J1936" s="148" t="str">
        <f>IFERROR(__xludf.DUMMYFUNCTION("""COMPUTED_VALUE"""),"{""typ"":""lc"",""txt"":""LC_ITEM_mecha_exp_name"",""args"":[{""typ"":""int"",""val"":20000}]}")</f>
        <v>{"typ":"lc","txt":"LC_ITEM_mecha_exp_name","args":[{"typ":"int","val":20000}]}</v>
      </c>
      <c r="K1936" s="148" t="str">
        <f>IFERROR(__xludf.DUMMYFUNCTION("""COMPUTED_VALUE"""),"{""typ"":""lc"",""txt"":""LC_ITEM_mecha_exp_desc"",""args"":[{""typ"":""int"",""val"":20000}]}")</f>
        <v>{"typ":"lc","txt":"LC_ITEM_mecha_exp_desc","args":[{"typ":"int","val":20000}]}</v>
      </c>
      <c r="L1936" s="148" t="str">
        <f>IFERROR(__xludf.DUMMYFUNCTION("""COMPUTED_VALUE"""),"{""typ"":""lc"",""txt"":""LC_ITEM_mecha_exp_usedtip""}")</f>
        <v>{"typ":"lc","txt":"LC_ITEM_mecha_exp_usedtip"}</v>
      </c>
      <c r="M1936" s="148">
        <f>IFERROR(__xludf.DUMMYFUNCTION("""COMPUTED_VALUE"""),150.0)</f>
        <v>150</v>
      </c>
      <c r="N1936" s="148">
        <f>IFERROR(__xludf.DUMMYFUNCTION("""COMPUTED_VALUE"""),9999999.0)</f>
        <v>9999999</v>
      </c>
      <c r="O1936" s="148">
        <f>IFERROR(__xludf.DUMMYFUNCTION("""COMPUTED_VALUE"""),99999.0)</f>
        <v>99999</v>
      </c>
      <c r="P1936" s="148">
        <f>IFERROR(__xludf.DUMMYFUNCTION("""COMPUTED_VALUE"""),99999.0)</f>
        <v>99999</v>
      </c>
      <c r="Q1936" s="148" t="str">
        <f>IFERROR(__xludf.DUMMYFUNCTION("""COMPUTED_VALUE"""),"[""bag_other""]")</f>
        <v>["bag_other"]</v>
      </c>
      <c r="R1936" s="148" t="str">
        <f>IFERROR(__xludf.DUMMYFUNCTION("""COMPUTED_VALUE"""),"[""mecha_level_exp""]")</f>
        <v>["mecha_level_exp"]</v>
      </c>
      <c r="S1936" s="148" t="str">
        <f>IFERROR(__xludf.DUMMYFUNCTION("""COMPUTED_VALUE"""),"{""effect"":[{""typ"":""rss"",""id"":11141038,""val"":20000}]}")</f>
        <v>{"effect":[{"typ":"rss","id":11141038,"val":20000}]}</v>
      </c>
      <c r="T1936" s="148">
        <f>IFERROR(__xludf.DUMMYFUNCTION("""COMPUTED_VALUE"""),-1.0)</f>
        <v>-1</v>
      </c>
      <c r="U1936" s="148">
        <f>IFERROR(__xludf.DUMMYFUNCTION("""COMPUTED_VALUE"""),0.0)</f>
        <v>0</v>
      </c>
      <c r="V1936" s="148" t="str">
        <f>IFERROR(__xludf.DUMMYFUNCTION("""COMPUTED_VALUE"""),"[]")</f>
        <v>[]</v>
      </c>
      <c r="W1936" s="148">
        <f>IFERROR(__xludf.DUMMYFUNCTION("""COMPUTED_VALUE"""),1.174E7)</f>
        <v>11740000</v>
      </c>
      <c r="X1936" s="148">
        <f>IFERROR(__xludf.DUMMYFUNCTION("""COMPUTED_VALUE"""),0.0)</f>
        <v>0</v>
      </c>
      <c r="Y1936" s="148">
        <f>IFERROR(__xludf.DUMMYFUNCTION("""COMPUTED_VALUE"""),0.0)</f>
        <v>0</v>
      </c>
      <c r="Z1936" s="148"/>
    </row>
    <row r="1937">
      <c r="A1937" s="148">
        <f>IFERROR(__xludf.DUMMYFUNCTION("""COMPUTED_VALUE"""),1.1118004E7)</f>
        <v>11118004</v>
      </c>
      <c r="B1937" s="148" t="str">
        <f>IFERROR(__xludf.DUMMYFUNCTION("""COMPUTED_VALUE"""),"机甲经验-50000")</f>
        <v>机甲经验-50000</v>
      </c>
      <c r="C1937" s="148"/>
      <c r="D1937" s="148" t="str">
        <f>IFERROR(__xludf.DUMMYFUNCTION("""COMPUTED_VALUE"""),"item_mecha_level_rss")</f>
        <v>item_mecha_level_rss</v>
      </c>
      <c r="E1937" s="148">
        <f>IFERROR(__xludf.DUMMYFUNCTION("""COMPUTED_VALUE"""),30.0)</f>
        <v>30</v>
      </c>
      <c r="F1937" s="148">
        <f>IFERROR(__xludf.DUMMYFUNCTION("""COMPUTED_VALUE"""),413007.0)</f>
        <v>413007</v>
      </c>
      <c r="G1937" s="148">
        <f>IFERROR(__xludf.DUMMYFUNCTION("""COMPUTED_VALUE"""),1.5116359E7)</f>
        <v>15116359</v>
      </c>
      <c r="H1937" s="148">
        <f>IFERROR(__xludf.DUMMYFUNCTION("""COMPUTED_VALUE"""),1.5112563E7)</f>
        <v>15112563</v>
      </c>
      <c r="I1937" s="148" t="str">
        <f>IFERROR(__xludf.DUMMYFUNCTION("""COMPUTED_VALUE"""),"{""typ"":""lc"",""txt"":""LC_ITEM_rss_upper_show"",""args"":[{""typ"":""int"",""val"":50000}]}")</f>
        <v>{"typ":"lc","txt":"LC_ITEM_rss_upper_show","args":[{"typ":"int","val":50000}]}</v>
      </c>
      <c r="J1937" s="148" t="str">
        <f>IFERROR(__xludf.DUMMYFUNCTION("""COMPUTED_VALUE"""),"{""typ"":""lc"",""txt"":""LC_ITEM_mecha_exp_name"",""args"":[{""typ"":""int"",""val"":50000}]}")</f>
        <v>{"typ":"lc","txt":"LC_ITEM_mecha_exp_name","args":[{"typ":"int","val":50000}]}</v>
      </c>
      <c r="K1937" s="148" t="str">
        <f>IFERROR(__xludf.DUMMYFUNCTION("""COMPUTED_VALUE"""),"{""typ"":""lc"",""txt"":""LC_ITEM_mecha_exp_desc"",""args"":[{""typ"":""int"",""val"":50000}]}")</f>
        <v>{"typ":"lc","txt":"LC_ITEM_mecha_exp_desc","args":[{"typ":"int","val":50000}]}</v>
      </c>
      <c r="L1937" s="148" t="str">
        <f>IFERROR(__xludf.DUMMYFUNCTION("""COMPUTED_VALUE"""),"{""typ"":""lc"",""txt"":""LC_ITEM_mecha_exp_usedtip""}")</f>
        <v>{"typ":"lc","txt":"LC_ITEM_mecha_exp_usedtip"}</v>
      </c>
      <c r="M1937" s="148">
        <f>IFERROR(__xludf.DUMMYFUNCTION("""COMPUTED_VALUE"""),300.0)</f>
        <v>300</v>
      </c>
      <c r="N1937" s="148">
        <f>IFERROR(__xludf.DUMMYFUNCTION("""COMPUTED_VALUE"""),9999999.0)</f>
        <v>9999999</v>
      </c>
      <c r="O1937" s="148">
        <f>IFERROR(__xludf.DUMMYFUNCTION("""COMPUTED_VALUE"""),99999.0)</f>
        <v>99999</v>
      </c>
      <c r="P1937" s="148">
        <f>IFERROR(__xludf.DUMMYFUNCTION("""COMPUTED_VALUE"""),99999.0)</f>
        <v>99999</v>
      </c>
      <c r="Q1937" s="148" t="str">
        <f>IFERROR(__xludf.DUMMYFUNCTION("""COMPUTED_VALUE"""),"[""bag_other""]")</f>
        <v>["bag_other"]</v>
      </c>
      <c r="R1937" s="148" t="str">
        <f>IFERROR(__xludf.DUMMYFUNCTION("""COMPUTED_VALUE"""),"[""mecha_level_exp""]")</f>
        <v>["mecha_level_exp"]</v>
      </c>
      <c r="S1937" s="148" t="str">
        <f>IFERROR(__xludf.DUMMYFUNCTION("""COMPUTED_VALUE"""),"{""effect"":[{""typ"":""rss"",""id"":11141038,""val"":50000}]}")</f>
        <v>{"effect":[{"typ":"rss","id":11141038,"val":50000}]}</v>
      </c>
      <c r="T1937" s="148">
        <f>IFERROR(__xludf.DUMMYFUNCTION("""COMPUTED_VALUE"""),-1.0)</f>
        <v>-1</v>
      </c>
      <c r="U1937" s="148">
        <f>IFERROR(__xludf.DUMMYFUNCTION("""COMPUTED_VALUE"""),0.0)</f>
        <v>0</v>
      </c>
      <c r="V1937" s="148" t="str">
        <f>IFERROR(__xludf.DUMMYFUNCTION("""COMPUTED_VALUE"""),"[]")</f>
        <v>[]</v>
      </c>
      <c r="W1937" s="148">
        <f>IFERROR(__xludf.DUMMYFUNCTION("""COMPUTED_VALUE"""),1.174E7)</f>
        <v>11740000</v>
      </c>
      <c r="X1937" s="148">
        <f>IFERROR(__xludf.DUMMYFUNCTION("""COMPUTED_VALUE"""),0.0)</f>
        <v>0</v>
      </c>
      <c r="Y1937" s="148">
        <f>IFERROR(__xludf.DUMMYFUNCTION("""COMPUTED_VALUE"""),0.0)</f>
        <v>0</v>
      </c>
      <c r="Z1937" s="148"/>
    </row>
    <row r="1938">
      <c r="A1938" s="148">
        <f>IFERROR(__xludf.DUMMYFUNCTION("""COMPUTED_VALUE"""),1.1118005E7)</f>
        <v>11118005</v>
      </c>
      <c r="B1938" s="148" t="str">
        <f>IFERROR(__xludf.DUMMYFUNCTION("""COMPUTED_VALUE"""),"机甲经验-100")</f>
        <v>机甲经验-100</v>
      </c>
      <c r="C1938" s="148"/>
      <c r="D1938" s="148" t="str">
        <f>IFERROR(__xludf.DUMMYFUNCTION("""COMPUTED_VALUE"""),"item_mecha_level_rss")</f>
        <v>item_mecha_level_rss</v>
      </c>
      <c r="E1938" s="148">
        <f>IFERROR(__xludf.DUMMYFUNCTION("""COMPUTED_VALUE"""),30.0)</f>
        <v>30</v>
      </c>
      <c r="F1938" s="148">
        <f>IFERROR(__xludf.DUMMYFUNCTION("""COMPUTED_VALUE"""),413001.0)</f>
        <v>413001</v>
      </c>
      <c r="G1938" s="148">
        <f>IFERROR(__xludf.DUMMYFUNCTION("""COMPUTED_VALUE"""),1.5116359E7)</f>
        <v>15116359</v>
      </c>
      <c r="H1938" s="148">
        <f>IFERROR(__xludf.DUMMYFUNCTION("""COMPUTED_VALUE"""),1.511256E7)</f>
        <v>15112560</v>
      </c>
      <c r="I1938" s="148" t="str">
        <f>IFERROR(__xludf.DUMMYFUNCTION("""COMPUTED_VALUE"""),"{""typ"":""lc"",""txt"":""LC_ITEM_rss_upper_show"",""args"":[{""typ"":""int"",""val"":100}]}")</f>
        <v>{"typ":"lc","txt":"LC_ITEM_rss_upper_show","args":[{"typ":"int","val":100}]}</v>
      </c>
      <c r="J1938" s="148" t="str">
        <f>IFERROR(__xludf.DUMMYFUNCTION("""COMPUTED_VALUE"""),"{""typ"":""lc"",""txt"":""LC_ITEM_mecha_exp_name"",""args"":[{""typ"":""int"",""val"":100}]}")</f>
        <v>{"typ":"lc","txt":"LC_ITEM_mecha_exp_name","args":[{"typ":"int","val":100}]}</v>
      </c>
      <c r="K1938" s="148" t="str">
        <f>IFERROR(__xludf.DUMMYFUNCTION("""COMPUTED_VALUE"""),"{""typ"":""lc"",""txt"":""LC_ITEM_mecha_exp_desc"",""args"":[{""typ"":""int"",""val"":100}]}")</f>
        <v>{"typ":"lc","txt":"LC_ITEM_mecha_exp_desc","args":[{"typ":"int","val":100}]}</v>
      </c>
      <c r="L1938" s="148" t="str">
        <f>IFERROR(__xludf.DUMMYFUNCTION("""COMPUTED_VALUE"""),"{""typ"":""lc"",""txt"":""LC_ITEM_mecha_exp_usedtip""}")</f>
        <v>{"typ":"lc","txt":"LC_ITEM_mecha_exp_usedtip"}</v>
      </c>
      <c r="M1938" s="148">
        <f>IFERROR(__xludf.DUMMYFUNCTION("""COMPUTED_VALUE"""),1.0)</f>
        <v>1</v>
      </c>
      <c r="N1938" s="148">
        <f>IFERROR(__xludf.DUMMYFUNCTION("""COMPUTED_VALUE"""),9999999.0)</f>
        <v>9999999</v>
      </c>
      <c r="O1938" s="148">
        <f>IFERROR(__xludf.DUMMYFUNCTION("""COMPUTED_VALUE"""),99999.0)</f>
        <v>99999</v>
      </c>
      <c r="P1938" s="148">
        <f>IFERROR(__xludf.DUMMYFUNCTION("""COMPUTED_VALUE"""),99999.0)</f>
        <v>99999</v>
      </c>
      <c r="Q1938" s="148" t="str">
        <f>IFERROR(__xludf.DUMMYFUNCTION("""COMPUTED_VALUE"""),"[""bag_other""]")</f>
        <v>["bag_other"]</v>
      </c>
      <c r="R1938" s="148" t="str">
        <f>IFERROR(__xludf.DUMMYFUNCTION("""COMPUTED_VALUE"""),"[""mecha_level_exp""]")</f>
        <v>["mecha_level_exp"]</v>
      </c>
      <c r="S1938" s="148" t="str">
        <f>IFERROR(__xludf.DUMMYFUNCTION("""COMPUTED_VALUE"""),"{""effect"":[{""typ"":""rss"",""id"":11141038,""val"":100}]}")</f>
        <v>{"effect":[{"typ":"rss","id":11141038,"val":100}]}</v>
      </c>
      <c r="T1938" s="148">
        <f>IFERROR(__xludf.DUMMYFUNCTION("""COMPUTED_VALUE"""),-1.0)</f>
        <v>-1</v>
      </c>
      <c r="U1938" s="148">
        <f>IFERROR(__xludf.DUMMYFUNCTION("""COMPUTED_VALUE"""),0.0)</f>
        <v>0</v>
      </c>
      <c r="V1938" s="148" t="str">
        <f>IFERROR(__xludf.DUMMYFUNCTION("""COMPUTED_VALUE"""),"[]")</f>
        <v>[]</v>
      </c>
      <c r="W1938" s="148">
        <f>IFERROR(__xludf.DUMMYFUNCTION("""COMPUTED_VALUE"""),1.174E7)</f>
        <v>11740000</v>
      </c>
      <c r="X1938" s="148">
        <f>IFERROR(__xludf.DUMMYFUNCTION("""COMPUTED_VALUE"""),0.0)</f>
        <v>0</v>
      </c>
      <c r="Y1938" s="148">
        <f>IFERROR(__xludf.DUMMYFUNCTION("""COMPUTED_VALUE"""),0.0)</f>
        <v>0</v>
      </c>
      <c r="Z1938" s="148"/>
    </row>
    <row r="1939">
      <c r="A1939" s="148">
        <f>IFERROR(__xludf.DUMMYFUNCTION("""COMPUTED_VALUE"""),1.1118006E7)</f>
        <v>11118006</v>
      </c>
      <c r="B1939" s="148" t="str">
        <f>IFERROR(__xludf.DUMMYFUNCTION("""COMPUTED_VALUE"""),"机甲经验-500")</f>
        <v>机甲经验-500</v>
      </c>
      <c r="C1939" s="148"/>
      <c r="D1939" s="148" t="str">
        <f>IFERROR(__xludf.DUMMYFUNCTION("""COMPUTED_VALUE"""),"item_mecha_level_rss")</f>
        <v>item_mecha_level_rss</v>
      </c>
      <c r="E1939" s="148">
        <f>IFERROR(__xludf.DUMMYFUNCTION("""COMPUTED_VALUE"""),30.0)</f>
        <v>30</v>
      </c>
      <c r="F1939" s="148">
        <f>IFERROR(__xludf.DUMMYFUNCTION("""COMPUTED_VALUE"""),413002.0)</f>
        <v>413002</v>
      </c>
      <c r="G1939" s="148">
        <f>IFERROR(__xludf.DUMMYFUNCTION("""COMPUTED_VALUE"""),1.5116359E7)</f>
        <v>15116359</v>
      </c>
      <c r="H1939" s="148">
        <f>IFERROR(__xludf.DUMMYFUNCTION("""COMPUTED_VALUE"""),1.511256E7)</f>
        <v>15112560</v>
      </c>
      <c r="I1939" s="148" t="str">
        <f>IFERROR(__xludf.DUMMYFUNCTION("""COMPUTED_VALUE"""),"{""typ"":""lc"",""txt"":""LC_ITEM_rss_upper_show"",""args"":[{""typ"":""int"",""val"":500}]}")</f>
        <v>{"typ":"lc","txt":"LC_ITEM_rss_upper_show","args":[{"typ":"int","val":500}]}</v>
      </c>
      <c r="J1939" s="148" t="str">
        <f>IFERROR(__xludf.DUMMYFUNCTION("""COMPUTED_VALUE"""),"{""typ"":""lc"",""txt"":""LC_ITEM_mecha_exp_name"",""args"":[{""typ"":""int"",""val"":500}]}")</f>
        <v>{"typ":"lc","txt":"LC_ITEM_mecha_exp_name","args":[{"typ":"int","val":500}]}</v>
      </c>
      <c r="K1939" s="148" t="str">
        <f>IFERROR(__xludf.DUMMYFUNCTION("""COMPUTED_VALUE"""),"{""typ"":""lc"",""txt"":""LC_ITEM_mecha_exp_desc"",""args"":[{""typ"":""int"",""val"":500}]}")</f>
        <v>{"typ":"lc","txt":"LC_ITEM_mecha_exp_desc","args":[{"typ":"int","val":500}]}</v>
      </c>
      <c r="L1939" s="148" t="str">
        <f>IFERROR(__xludf.DUMMYFUNCTION("""COMPUTED_VALUE"""),"{""typ"":""lc"",""txt"":""LC_ITEM_mecha_exp_usedtip""}")</f>
        <v>{"typ":"lc","txt":"LC_ITEM_mecha_exp_usedtip"}</v>
      </c>
      <c r="M1939" s="148">
        <f>IFERROR(__xludf.DUMMYFUNCTION("""COMPUTED_VALUE"""),5.0)</f>
        <v>5</v>
      </c>
      <c r="N1939" s="148">
        <f>IFERROR(__xludf.DUMMYFUNCTION("""COMPUTED_VALUE"""),9999999.0)</f>
        <v>9999999</v>
      </c>
      <c r="O1939" s="148">
        <f>IFERROR(__xludf.DUMMYFUNCTION("""COMPUTED_VALUE"""),99999.0)</f>
        <v>99999</v>
      </c>
      <c r="P1939" s="148">
        <f>IFERROR(__xludf.DUMMYFUNCTION("""COMPUTED_VALUE"""),99999.0)</f>
        <v>99999</v>
      </c>
      <c r="Q1939" s="148" t="str">
        <f>IFERROR(__xludf.DUMMYFUNCTION("""COMPUTED_VALUE"""),"[""bag_other""]")</f>
        <v>["bag_other"]</v>
      </c>
      <c r="R1939" s="148" t="str">
        <f>IFERROR(__xludf.DUMMYFUNCTION("""COMPUTED_VALUE"""),"[""mecha_level_exp""]")</f>
        <v>["mecha_level_exp"]</v>
      </c>
      <c r="S1939" s="148" t="str">
        <f>IFERROR(__xludf.DUMMYFUNCTION("""COMPUTED_VALUE"""),"{""effect"":[{""typ"":""rss"",""id"":11141038,""val"":500}]}")</f>
        <v>{"effect":[{"typ":"rss","id":11141038,"val":500}]}</v>
      </c>
      <c r="T1939" s="148">
        <f>IFERROR(__xludf.DUMMYFUNCTION("""COMPUTED_VALUE"""),-1.0)</f>
        <v>-1</v>
      </c>
      <c r="U1939" s="148">
        <f>IFERROR(__xludf.DUMMYFUNCTION("""COMPUTED_VALUE"""),0.0)</f>
        <v>0</v>
      </c>
      <c r="V1939" s="148" t="str">
        <f>IFERROR(__xludf.DUMMYFUNCTION("""COMPUTED_VALUE"""),"[]")</f>
        <v>[]</v>
      </c>
      <c r="W1939" s="148">
        <f>IFERROR(__xludf.DUMMYFUNCTION("""COMPUTED_VALUE"""),1.174E7)</f>
        <v>11740000</v>
      </c>
      <c r="X1939" s="148">
        <f>IFERROR(__xludf.DUMMYFUNCTION("""COMPUTED_VALUE"""),0.0)</f>
        <v>0</v>
      </c>
      <c r="Y1939" s="148">
        <f>IFERROR(__xludf.DUMMYFUNCTION("""COMPUTED_VALUE"""),0.0)</f>
        <v>0</v>
      </c>
      <c r="Z1939" s="148"/>
    </row>
    <row r="1940">
      <c r="A1940" s="148">
        <f>IFERROR(__xludf.DUMMYFUNCTION("""COMPUTED_VALUE"""),1.1118007E7)</f>
        <v>11118007</v>
      </c>
      <c r="B1940" s="148" t="str">
        <f>IFERROR(__xludf.DUMMYFUNCTION("""COMPUTED_VALUE"""),"机甲经验-1000")</f>
        <v>机甲经验-1000</v>
      </c>
      <c r="C1940" s="148"/>
      <c r="D1940" s="148" t="str">
        <f>IFERROR(__xludf.DUMMYFUNCTION("""COMPUTED_VALUE"""),"item_mecha_level_rss")</f>
        <v>item_mecha_level_rss</v>
      </c>
      <c r="E1940" s="148">
        <f>IFERROR(__xludf.DUMMYFUNCTION("""COMPUTED_VALUE"""),30.0)</f>
        <v>30</v>
      </c>
      <c r="F1940" s="148">
        <f>IFERROR(__xludf.DUMMYFUNCTION("""COMPUTED_VALUE"""),413003.0)</f>
        <v>413003</v>
      </c>
      <c r="G1940" s="148">
        <f>IFERROR(__xludf.DUMMYFUNCTION("""COMPUTED_VALUE"""),1.5116359E7)</f>
        <v>15116359</v>
      </c>
      <c r="H1940" s="148">
        <f>IFERROR(__xludf.DUMMYFUNCTION("""COMPUTED_VALUE"""),1.5112561E7)</f>
        <v>15112561</v>
      </c>
      <c r="I1940" s="148" t="str">
        <f>IFERROR(__xludf.DUMMYFUNCTION("""COMPUTED_VALUE"""),"{""typ"":""lc"",""txt"":""LC_ITEM_rss_upper_show"",""args"":[{""typ"":""int"",""val"":1000}]}")</f>
        <v>{"typ":"lc","txt":"LC_ITEM_rss_upper_show","args":[{"typ":"int","val":1000}]}</v>
      </c>
      <c r="J1940" s="148" t="str">
        <f>IFERROR(__xludf.DUMMYFUNCTION("""COMPUTED_VALUE"""),"{""typ"":""lc"",""txt"":""LC_ITEM_mecha_exp_name"",""args"":[{""typ"":""int"",""val"":1000}]}")</f>
        <v>{"typ":"lc","txt":"LC_ITEM_mecha_exp_name","args":[{"typ":"int","val":1000}]}</v>
      </c>
      <c r="K1940" s="148" t="str">
        <f>IFERROR(__xludf.DUMMYFUNCTION("""COMPUTED_VALUE"""),"{""typ"":""lc"",""txt"":""LC_ITEM_mecha_exp_desc"",""args"":[{""typ"":""int"",""val"":1000}]}")</f>
        <v>{"typ":"lc","txt":"LC_ITEM_mecha_exp_desc","args":[{"typ":"int","val":1000}]}</v>
      </c>
      <c r="L1940" s="148" t="str">
        <f>IFERROR(__xludf.DUMMYFUNCTION("""COMPUTED_VALUE"""),"{""typ"":""lc"",""txt"":""LC_ITEM_mecha_exp_usedtip""}")</f>
        <v>{"typ":"lc","txt":"LC_ITEM_mecha_exp_usedtip"}</v>
      </c>
      <c r="M1940" s="148">
        <f>IFERROR(__xludf.DUMMYFUNCTION("""COMPUTED_VALUE"""),15.0)</f>
        <v>15</v>
      </c>
      <c r="N1940" s="148">
        <f>IFERROR(__xludf.DUMMYFUNCTION("""COMPUTED_VALUE"""),9999999.0)</f>
        <v>9999999</v>
      </c>
      <c r="O1940" s="148">
        <f>IFERROR(__xludf.DUMMYFUNCTION("""COMPUTED_VALUE"""),99999.0)</f>
        <v>99999</v>
      </c>
      <c r="P1940" s="148">
        <f>IFERROR(__xludf.DUMMYFUNCTION("""COMPUTED_VALUE"""),99999.0)</f>
        <v>99999</v>
      </c>
      <c r="Q1940" s="148" t="str">
        <f>IFERROR(__xludf.DUMMYFUNCTION("""COMPUTED_VALUE"""),"[""bag_other""]")</f>
        <v>["bag_other"]</v>
      </c>
      <c r="R1940" s="148" t="str">
        <f>IFERROR(__xludf.DUMMYFUNCTION("""COMPUTED_VALUE"""),"[""mecha_level_exp""]")</f>
        <v>["mecha_level_exp"]</v>
      </c>
      <c r="S1940" s="148" t="str">
        <f>IFERROR(__xludf.DUMMYFUNCTION("""COMPUTED_VALUE"""),"{""effect"":[{""typ"":""rss"",""id"":11141038,""val"":1000}]}")</f>
        <v>{"effect":[{"typ":"rss","id":11141038,"val":1000}]}</v>
      </c>
      <c r="T1940" s="148">
        <f>IFERROR(__xludf.DUMMYFUNCTION("""COMPUTED_VALUE"""),-1.0)</f>
        <v>-1</v>
      </c>
      <c r="U1940" s="148">
        <f>IFERROR(__xludf.DUMMYFUNCTION("""COMPUTED_VALUE"""),0.0)</f>
        <v>0</v>
      </c>
      <c r="V1940" s="148" t="str">
        <f>IFERROR(__xludf.DUMMYFUNCTION("""COMPUTED_VALUE"""),"[]")</f>
        <v>[]</v>
      </c>
      <c r="W1940" s="148">
        <f>IFERROR(__xludf.DUMMYFUNCTION("""COMPUTED_VALUE"""),1.174E7)</f>
        <v>11740000</v>
      </c>
      <c r="X1940" s="148">
        <f>IFERROR(__xludf.DUMMYFUNCTION("""COMPUTED_VALUE"""),0.0)</f>
        <v>0</v>
      </c>
      <c r="Y1940" s="148">
        <f>IFERROR(__xludf.DUMMYFUNCTION("""COMPUTED_VALUE"""),0.0)</f>
        <v>0</v>
      </c>
      <c r="Z1940" s="148"/>
    </row>
    <row r="1941">
      <c r="A1941" s="148">
        <f>IFERROR(__xludf.DUMMYFUNCTION("""COMPUTED_VALUE"""),1.1118008E7)</f>
        <v>11118008</v>
      </c>
      <c r="B1941" s="148" t="str">
        <f>IFERROR(__xludf.DUMMYFUNCTION("""COMPUTED_VALUE"""),"机甲改名道具")</f>
        <v>机甲改名道具</v>
      </c>
      <c r="C1941" s="148"/>
      <c r="D1941" s="148" t="str">
        <f>IFERROR(__xludf.DUMMYFUNCTION("""COMPUTED_VALUE"""),"mech_rename")</f>
        <v>mech_rename</v>
      </c>
      <c r="E1941" s="148">
        <f>IFERROR(__xludf.DUMMYFUNCTION("""COMPUTED_VALUE"""),0.0)</f>
        <v>0</v>
      </c>
      <c r="F1941" s="148">
        <f>IFERROR(__xludf.DUMMYFUNCTION("""COMPUTED_VALUE"""),413004.0)</f>
        <v>413004</v>
      </c>
      <c r="G1941" s="148">
        <f>IFERROR(__xludf.DUMMYFUNCTION("""COMPUTED_VALUE"""),1.5117468E7)</f>
        <v>15117468</v>
      </c>
      <c r="H1941" s="148">
        <f>IFERROR(__xludf.DUMMYFUNCTION("""COMPUTED_VALUE"""),1.5112563E7)</f>
        <v>15112563</v>
      </c>
      <c r="I1941" s="148" t="str">
        <f>IFERROR(__xludf.DUMMYFUNCTION("""COMPUTED_VALUE"""),"{}")</f>
        <v>{}</v>
      </c>
      <c r="J1941" s="148" t="str">
        <f>IFERROR(__xludf.DUMMYFUNCTION("""COMPUTED_VALUE"""),"{""typ"":""lc"",""txt"":""LC_ITEM_mecha_rename""}")</f>
        <v>{"typ":"lc","txt":"LC_ITEM_mecha_rename"}</v>
      </c>
      <c r="K1941" s="148" t="str">
        <f>IFERROR(__xludf.DUMMYFUNCTION("""COMPUTED_VALUE"""),"{""typ"":""lc"",""txt"":""LC_ITEM_mecha_rename_desc""}")</f>
        <v>{"typ":"lc","txt":"LC_ITEM_mecha_rename_desc"}</v>
      </c>
      <c r="L1941" s="148" t="str">
        <f>IFERROR(__xludf.DUMMYFUNCTION("""COMPUTED_VALUE"""),"{}")</f>
        <v>{}</v>
      </c>
      <c r="M1941" s="148">
        <f>IFERROR(__xludf.DUMMYFUNCTION("""COMPUTED_VALUE"""),15.0)</f>
        <v>15</v>
      </c>
      <c r="N1941" s="148">
        <f>IFERROR(__xludf.DUMMYFUNCTION("""COMPUTED_VALUE"""),9999999.0)</f>
        <v>9999999</v>
      </c>
      <c r="O1941" s="148">
        <f>IFERROR(__xludf.DUMMYFUNCTION("""COMPUTED_VALUE"""),99999.0)</f>
        <v>99999</v>
      </c>
      <c r="P1941" s="148">
        <f>IFERROR(__xludf.DUMMYFUNCTION("""COMPUTED_VALUE"""),99999.0)</f>
        <v>99999</v>
      </c>
      <c r="Q1941" s="148" t="str">
        <f>IFERROR(__xludf.DUMMYFUNCTION("""COMPUTED_VALUE"""),"[""bag_other""]")</f>
        <v>["bag_other"]</v>
      </c>
      <c r="R1941" s="148" t="str">
        <f>IFERROR(__xludf.DUMMYFUNCTION("""COMPUTED_VALUE"""),"[]")</f>
        <v>[]</v>
      </c>
      <c r="S1941" s="148" t="str">
        <f>IFERROR(__xludf.DUMMYFUNCTION("""COMPUTED_VALUE"""),"{}")</f>
        <v>{}</v>
      </c>
      <c r="T1941" s="148">
        <f>IFERROR(__xludf.DUMMYFUNCTION("""COMPUTED_VALUE"""),-1.0)</f>
        <v>-1</v>
      </c>
      <c r="U1941" s="148">
        <f>IFERROR(__xludf.DUMMYFUNCTION("""COMPUTED_VALUE"""),0.0)</f>
        <v>0</v>
      </c>
      <c r="V1941" s="148" t="str">
        <f>IFERROR(__xludf.DUMMYFUNCTION("""COMPUTED_VALUE"""),"[]")</f>
        <v>[]</v>
      </c>
      <c r="W1941" s="148">
        <f>IFERROR(__xludf.DUMMYFUNCTION("""COMPUTED_VALUE"""),1.174E7)</f>
        <v>11740000</v>
      </c>
      <c r="X1941" s="148">
        <f>IFERROR(__xludf.DUMMYFUNCTION("""COMPUTED_VALUE"""),0.0)</f>
        <v>0</v>
      </c>
      <c r="Y1941" s="148">
        <f>IFERROR(__xludf.DUMMYFUNCTION("""COMPUTED_VALUE"""),0.0)</f>
        <v>0</v>
      </c>
      <c r="Z1941" s="148"/>
    </row>
    <row r="1942">
      <c r="A1942" s="148">
        <f>IFERROR(__xludf.DUMMYFUNCTION("""COMPUTED_VALUE"""),1.1118009E7)</f>
        <v>11118009</v>
      </c>
      <c r="B1942" s="148" t="str">
        <f>IFERROR(__xludf.DUMMYFUNCTION("""COMPUTED_VALUE"""),"机甲破冰打折卡-金刚")</f>
        <v>机甲破冰打折卡-金刚</v>
      </c>
      <c r="C1942" s="148"/>
      <c r="D1942" s="148" t="str">
        <f>IFERROR(__xludf.DUMMYFUNCTION("""COMPUTED_VALUE"""),"mecha_coupon")</f>
        <v>mecha_coupon</v>
      </c>
      <c r="E1942" s="148">
        <f>IFERROR(__xludf.DUMMYFUNCTION("""COMPUTED_VALUE"""),0.0)</f>
        <v>0</v>
      </c>
      <c r="F1942" s="148">
        <f>IFERROR(__xludf.DUMMYFUNCTION("""COMPUTED_VALUE"""),413004.0)</f>
        <v>413004</v>
      </c>
      <c r="G1942" s="148">
        <f>IFERROR(__xludf.DUMMYFUNCTION("""COMPUTED_VALUE"""),1.5119264E7)</f>
        <v>15119264</v>
      </c>
      <c r="H1942" s="148">
        <f>IFERROR(__xludf.DUMMYFUNCTION("""COMPUTED_VALUE"""),1.5112564E7)</f>
        <v>15112564</v>
      </c>
      <c r="I1942" s="148" t="str">
        <f>IFERROR(__xludf.DUMMYFUNCTION("""COMPUTED_VALUE"""),"{}")</f>
        <v>{}</v>
      </c>
      <c r="J1942" s="148" t="str">
        <f>IFERROR(__xludf.DUMMYFUNCTION("""COMPUTED_VALUE"""),"{""typ"":""lc"",""txt"":""LC_ITEM_mecha1_coupon_title""}")</f>
        <v>{"typ":"lc","txt":"LC_ITEM_mecha1_coupon_title"}</v>
      </c>
      <c r="K1942" s="148" t="str">
        <f>IFERROR(__xludf.DUMMYFUNCTION("""COMPUTED_VALUE"""),"{""typ"":""lc"",""txt"":""LC_ITEM_mecha1_coupon_desc""}")</f>
        <v>{"typ":"lc","txt":"LC_ITEM_mecha1_coupon_desc"}</v>
      </c>
      <c r="L1942" s="148" t="str">
        <f>IFERROR(__xludf.DUMMYFUNCTION("""COMPUTED_VALUE"""),"{}")</f>
        <v>{}</v>
      </c>
      <c r="M1942" s="148">
        <f>IFERROR(__xludf.DUMMYFUNCTION("""COMPUTED_VALUE"""),15.0)</f>
        <v>15</v>
      </c>
      <c r="N1942" s="148">
        <f>IFERROR(__xludf.DUMMYFUNCTION("""COMPUTED_VALUE"""),9999999.0)</f>
        <v>9999999</v>
      </c>
      <c r="O1942" s="148">
        <f>IFERROR(__xludf.DUMMYFUNCTION("""COMPUTED_VALUE"""),99999.0)</f>
        <v>99999</v>
      </c>
      <c r="P1942" s="148">
        <f>IFERROR(__xludf.DUMMYFUNCTION("""COMPUTED_VALUE"""),99999.0)</f>
        <v>99999</v>
      </c>
      <c r="Q1942" s="148" t="str">
        <f>IFERROR(__xludf.DUMMYFUNCTION("""COMPUTED_VALUE"""),"[""bag_other""]")</f>
        <v>["bag_other"]</v>
      </c>
      <c r="R1942" s="148" t="str">
        <f>IFERROR(__xludf.DUMMYFUNCTION("""COMPUTED_VALUE"""),"[]")</f>
        <v>[]</v>
      </c>
      <c r="S1942" s="148" t="str">
        <f>IFERROR(__xludf.DUMMYFUNCTION("""COMPUTED_VALUE"""),"{}")</f>
        <v>{}</v>
      </c>
      <c r="T1942" s="148">
        <f>IFERROR(__xludf.DUMMYFUNCTION("""COMPUTED_VALUE"""),-1.0)</f>
        <v>-1</v>
      </c>
      <c r="U1942" s="148">
        <f>IFERROR(__xludf.DUMMYFUNCTION("""COMPUTED_VALUE"""),1.0)</f>
        <v>1</v>
      </c>
      <c r="V1942" s="148" t="str">
        <f>IFERROR(__xludf.DUMMYFUNCTION("""COMPUTED_VALUE"""),"[]")</f>
        <v>[]</v>
      </c>
      <c r="W1942" s="148">
        <f>IFERROR(__xludf.DUMMYFUNCTION("""COMPUTED_VALUE"""),1.174E7)</f>
        <v>11740000</v>
      </c>
      <c r="X1942" s="148">
        <f>IFERROR(__xludf.DUMMYFUNCTION("""COMPUTED_VALUE"""),0.0)</f>
        <v>0</v>
      </c>
      <c r="Y1942" s="148">
        <f>IFERROR(__xludf.DUMMYFUNCTION("""COMPUTED_VALUE"""),0.0)</f>
        <v>0</v>
      </c>
      <c r="Z1942" s="148"/>
    </row>
    <row r="1943">
      <c r="A1943" s="148">
        <f>IFERROR(__xludf.DUMMYFUNCTION("""COMPUTED_VALUE"""),1.111801E7)</f>
        <v>11118010</v>
      </c>
      <c r="B1943" s="148" t="str">
        <f>IFERROR(__xludf.DUMMYFUNCTION("""COMPUTED_VALUE"""),"机甲破冰打折卡-猎豹")</f>
        <v>机甲破冰打折卡-猎豹</v>
      </c>
      <c r="C1943" s="148"/>
      <c r="D1943" s="148" t="str">
        <f>IFERROR(__xludf.DUMMYFUNCTION("""COMPUTED_VALUE"""),"mecha_coupon")</f>
        <v>mecha_coupon</v>
      </c>
      <c r="E1943" s="148">
        <f>IFERROR(__xludf.DUMMYFUNCTION("""COMPUTED_VALUE"""),0.0)</f>
        <v>0</v>
      </c>
      <c r="F1943" s="148">
        <f>IFERROR(__xludf.DUMMYFUNCTION("""COMPUTED_VALUE"""),413004.0)</f>
        <v>413004</v>
      </c>
      <c r="G1943" s="148">
        <f>IFERROR(__xludf.DUMMYFUNCTION("""COMPUTED_VALUE"""),1.51100455E8)</f>
        <v>151100455</v>
      </c>
      <c r="H1943" s="148">
        <f>IFERROR(__xludf.DUMMYFUNCTION("""COMPUTED_VALUE"""),1.5112564E7)</f>
        <v>15112564</v>
      </c>
      <c r="I1943" s="148" t="str">
        <f>IFERROR(__xludf.DUMMYFUNCTION("""COMPUTED_VALUE"""),"{}")</f>
        <v>{}</v>
      </c>
      <c r="J1943" s="148" t="str">
        <f>IFERROR(__xludf.DUMMYFUNCTION("""COMPUTED_VALUE"""),"{""typ"":""lc"",""txt"":""LC_ITEM_mecha2_coupon_title""}")</f>
        <v>{"typ":"lc","txt":"LC_ITEM_mecha2_coupon_title"}</v>
      </c>
      <c r="K1943" s="148" t="str">
        <f>IFERROR(__xludf.DUMMYFUNCTION("""COMPUTED_VALUE"""),"{""typ"":""lc"",""txt"":""LC_ITEM_mecha2_coupon_desc""}")</f>
        <v>{"typ":"lc","txt":"LC_ITEM_mecha2_coupon_desc"}</v>
      </c>
      <c r="L1943" s="148" t="str">
        <f>IFERROR(__xludf.DUMMYFUNCTION("""COMPUTED_VALUE"""),"{}")</f>
        <v>{}</v>
      </c>
      <c r="M1943" s="148">
        <f>IFERROR(__xludf.DUMMYFUNCTION("""COMPUTED_VALUE"""),15.0)</f>
        <v>15</v>
      </c>
      <c r="N1943" s="148">
        <f>IFERROR(__xludf.DUMMYFUNCTION("""COMPUTED_VALUE"""),9999999.0)</f>
        <v>9999999</v>
      </c>
      <c r="O1943" s="148">
        <f>IFERROR(__xludf.DUMMYFUNCTION("""COMPUTED_VALUE"""),99999.0)</f>
        <v>99999</v>
      </c>
      <c r="P1943" s="148">
        <f>IFERROR(__xludf.DUMMYFUNCTION("""COMPUTED_VALUE"""),99999.0)</f>
        <v>99999</v>
      </c>
      <c r="Q1943" s="148" t="str">
        <f>IFERROR(__xludf.DUMMYFUNCTION("""COMPUTED_VALUE"""),"[""bag_other""]")</f>
        <v>["bag_other"]</v>
      </c>
      <c r="R1943" s="148" t="str">
        <f>IFERROR(__xludf.DUMMYFUNCTION("""COMPUTED_VALUE"""),"[]")</f>
        <v>[]</v>
      </c>
      <c r="S1943" s="148" t="str">
        <f>IFERROR(__xludf.DUMMYFUNCTION("""COMPUTED_VALUE"""),"{}")</f>
        <v>{}</v>
      </c>
      <c r="T1943" s="148">
        <f>IFERROR(__xludf.DUMMYFUNCTION("""COMPUTED_VALUE"""),-1.0)</f>
        <v>-1</v>
      </c>
      <c r="U1943" s="148">
        <f>IFERROR(__xludf.DUMMYFUNCTION("""COMPUTED_VALUE"""),1.0)</f>
        <v>1</v>
      </c>
      <c r="V1943" s="148" t="str">
        <f>IFERROR(__xludf.DUMMYFUNCTION("""COMPUTED_VALUE"""),"[]")</f>
        <v>[]</v>
      </c>
      <c r="W1943" s="148">
        <f>IFERROR(__xludf.DUMMYFUNCTION("""COMPUTED_VALUE"""),1.174E7)</f>
        <v>11740000</v>
      </c>
      <c r="X1943" s="148">
        <f>IFERROR(__xludf.DUMMYFUNCTION("""COMPUTED_VALUE"""),0.0)</f>
        <v>0</v>
      </c>
      <c r="Y1943" s="148">
        <f>IFERROR(__xludf.DUMMYFUNCTION("""COMPUTED_VALUE"""),0.0)</f>
        <v>0</v>
      </c>
      <c r="Z1943" s="148"/>
    </row>
    <row r="1944">
      <c r="A1944" s="148">
        <f>IFERROR(__xludf.DUMMYFUNCTION("""COMPUTED_VALUE"""),1.1118011E7)</f>
        <v>11118011</v>
      </c>
      <c r="B1944" s="148" t="str">
        <f>IFERROR(__xludf.DUMMYFUNCTION("""COMPUTED_VALUE"""),"机甲破冰打折卡-毒蝎")</f>
        <v>机甲破冰打折卡-毒蝎</v>
      </c>
      <c r="C1944" s="148"/>
      <c r="D1944" s="148" t="str">
        <f>IFERROR(__xludf.DUMMYFUNCTION("""COMPUTED_VALUE"""),"mecha_coupon")</f>
        <v>mecha_coupon</v>
      </c>
      <c r="E1944" s="148">
        <f>IFERROR(__xludf.DUMMYFUNCTION("""COMPUTED_VALUE"""),0.0)</f>
        <v>0</v>
      </c>
      <c r="F1944" s="148">
        <f>IFERROR(__xludf.DUMMYFUNCTION("""COMPUTED_VALUE"""),413004.0)</f>
        <v>413004</v>
      </c>
      <c r="G1944" s="148">
        <f>IFERROR(__xludf.DUMMYFUNCTION("""COMPUTED_VALUE"""),1.51100456E8)</f>
        <v>151100456</v>
      </c>
      <c r="H1944" s="148">
        <f>IFERROR(__xludf.DUMMYFUNCTION("""COMPUTED_VALUE"""),1.5112564E7)</f>
        <v>15112564</v>
      </c>
      <c r="I1944" s="148" t="str">
        <f>IFERROR(__xludf.DUMMYFUNCTION("""COMPUTED_VALUE"""),"{}")</f>
        <v>{}</v>
      </c>
      <c r="J1944" s="148" t="str">
        <f>IFERROR(__xludf.DUMMYFUNCTION("""COMPUTED_VALUE"""),"{""typ"":""lc"",""txt"":""LC_ITEM_mecha3_coupon_title""}")</f>
        <v>{"typ":"lc","txt":"LC_ITEM_mecha3_coupon_title"}</v>
      </c>
      <c r="K1944" s="148" t="str">
        <f>IFERROR(__xludf.DUMMYFUNCTION("""COMPUTED_VALUE"""),"{""typ"":""lc"",""txt"":""LC_ITEM_mecha3_coupon_desc""}")</f>
        <v>{"typ":"lc","txt":"LC_ITEM_mecha3_coupon_desc"}</v>
      </c>
      <c r="L1944" s="148" t="str">
        <f>IFERROR(__xludf.DUMMYFUNCTION("""COMPUTED_VALUE"""),"{}")</f>
        <v>{}</v>
      </c>
      <c r="M1944" s="148">
        <f>IFERROR(__xludf.DUMMYFUNCTION("""COMPUTED_VALUE"""),15.0)</f>
        <v>15</v>
      </c>
      <c r="N1944" s="148">
        <f>IFERROR(__xludf.DUMMYFUNCTION("""COMPUTED_VALUE"""),9999999.0)</f>
        <v>9999999</v>
      </c>
      <c r="O1944" s="148">
        <f>IFERROR(__xludf.DUMMYFUNCTION("""COMPUTED_VALUE"""),99999.0)</f>
        <v>99999</v>
      </c>
      <c r="P1944" s="148">
        <f>IFERROR(__xludf.DUMMYFUNCTION("""COMPUTED_VALUE"""),99999.0)</f>
        <v>99999</v>
      </c>
      <c r="Q1944" s="148" t="str">
        <f>IFERROR(__xludf.DUMMYFUNCTION("""COMPUTED_VALUE"""),"[""bag_other""]")</f>
        <v>["bag_other"]</v>
      </c>
      <c r="R1944" s="148" t="str">
        <f>IFERROR(__xludf.DUMMYFUNCTION("""COMPUTED_VALUE"""),"[]")</f>
        <v>[]</v>
      </c>
      <c r="S1944" s="148" t="str">
        <f>IFERROR(__xludf.DUMMYFUNCTION("""COMPUTED_VALUE"""),"{}")</f>
        <v>{}</v>
      </c>
      <c r="T1944" s="148">
        <f>IFERROR(__xludf.DUMMYFUNCTION("""COMPUTED_VALUE"""),-1.0)</f>
        <v>-1</v>
      </c>
      <c r="U1944" s="148">
        <f>IFERROR(__xludf.DUMMYFUNCTION("""COMPUTED_VALUE"""),1.0)</f>
        <v>1</v>
      </c>
      <c r="V1944" s="148" t="str">
        <f>IFERROR(__xludf.DUMMYFUNCTION("""COMPUTED_VALUE"""),"[]")</f>
        <v>[]</v>
      </c>
      <c r="W1944" s="148">
        <f>IFERROR(__xludf.DUMMYFUNCTION("""COMPUTED_VALUE"""),1.174E7)</f>
        <v>11740000</v>
      </c>
      <c r="X1944" s="148">
        <f>IFERROR(__xludf.DUMMYFUNCTION("""COMPUTED_VALUE"""),0.0)</f>
        <v>0</v>
      </c>
      <c r="Y1944" s="148">
        <f>IFERROR(__xludf.DUMMYFUNCTION("""COMPUTED_VALUE"""),0.0)</f>
        <v>0</v>
      </c>
      <c r="Z1944" s="148"/>
    </row>
    <row r="1945">
      <c r="A1945" s="148">
        <f>IFERROR(__xludf.DUMMYFUNCTION("""COMPUTED_VALUE"""),1.1118101E7)</f>
        <v>11118101</v>
      </c>
      <c r="B1945" s="148" t="str">
        <f>IFERROR(__xludf.DUMMYFUNCTION("""COMPUTED_VALUE"""),"犀牛机甲芯片")</f>
        <v>犀牛机甲芯片</v>
      </c>
      <c r="C1945" s="148"/>
      <c r="D1945" s="148" t="str">
        <f>IFERROR(__xludf.DUMMYFUNCTION("""COMPUTED_VALUE"""),"mecha_unit")</f>
        <v>mecha_unit</v>
      </c>
      <c r="E1945" s="148">
        <f>IFERROR(__xludf.DUMMYFUNCTION("""COMPUTED_VALUE"""),0.0)</f>
        <v>0</v>
      </c>
      <c r="F1945" s="148">
        <f>IFERROR(__xludf.DUMMYFUNCTION("""COMPUTED_VALUE"""),412001.0)</f>
        <v>412001</v>
      </c>
      <c r="G1945" s="148">
        <f>IFERROR(__xludf.DUMMYFUNCTION("""COMPUTED_VALUE"""),1.5116355E7)</f>
        <v>15116355</v>
      </c>
      <c r="H1945" s="148">
        <f>IFERROR(__xludf.DUMMYFUNCTION("""COMPUTED_VALUE"""),1.5112563E7)</f>
        <v>15112563</v>
      </c>
      <c r="I1945" s="148" t="str">
        <f>IFERROR(__xludf.DUMMYFUNCTION("""COMPUTED_VALUE"""),"{}")</f>
        <v>{}</v>
      </c>
      <c r="J1945" s="148" t="str">
        <f>IFERROR(__xludf.DUMMYFUNCTION("""COMPUTED_VALUE"""),"{""typ"":""lc"",""txt"":""LC_ITEM_mecha_fragment_name"",""args"":[{""typ"":""lc"",""txt"":""LC_HERO_mecha_name_1""}]}")</f>
        <v>{"typ":"lc","txt":"LC_ITEM_mecha_fragment_name","args":[{"typ":"lc","txt":"LC_HERO_mecha_name_1"}]}</v>
      </c>
      <c r="K1945" s="148" t="str">
        <f>IFERROR(__xludf.DUMMYFUNCTION("""COMPUTED_VALUE"""),"{""typ"":""lc"",""txt"":""LC_ITEM_mecha_fragment_desc""}")</f>
        <v>{"typ":"lc","txt":"LC_ITEM_mecha_fragment_desc"}</v>
      </c>
      <c r="L1945" s="148" t="str">
        <f>IFERROR(__xludf.DUMMYFUNCTION("""COMPUTED_VALUE"""),"{}")</f>
        <v>{}</v>
      </c>
      <c r="M1945" s="148">
        <f>IFERROR(__xludf.DUMMYFUNCTION("""COMPUTED_VALUE"""),1500.0)</f>
        <v>1500</v>
      </c>
      <c r="N1945" s="148">
        <f>IFERROR(__xludf.DUMMYFUNCTION("""COMPUTED_VALUE"""),9999999.0)</f>
        <v>9999999</v>
      </c>
      <c r="O1945" s="148">
        <f>IFERROR(__xludf.DUMMYFUNCTION("""COMPUTED_VALUE"""),99999.0)</f>
        <v>99999</v>
      </c>
      <c r="P1945" s="148">
        <f>IFERROR(__xludf.DUMMYFUNCTION("""COMPUTED_VALUE"""),99999.0)</f>
        <v>99999</v>
      </c>
      <c r="Q1945" s="148" t="str">
        <f>IFERROR(__xludf.DUMMYFUNCTION("""COMPUTED_VALUE"""),"[""bag_other""]")</f>
        <v>["bag_other"]</v>
      </c>
      <c r="R1945" s="148" t="str">
        <f>IFERROR(__xludf.DUMMYFUNCTION("""COMPUTED_VALUE"""),"[""40011001""]")</f>
        <v>["40011001"]</v>
      </c>
      <c r="S1945" s="148" t="str">
        <f>IFERROR(__xludf.DUMMYFUNCTION("""COMPUTED_VALUE"""),"{}")</f>
        <v>{}</v>
      </c>
      <c r="T1945" s="148">
        <f>IFERROR(__xludf.DUMMYFUNCTION("""COMPUTED_VALUE"""),-1.0)</f>
        <v>-1</v>
      </c>
      <c r="U1945" s="148">
        <f>IFERROR(__xludf.DUMMYFUNCTION("""COMPUTED_VALUE"""),0.0)</f>
        <v>0</v>
      </c>
      <c r="V1945" s="148" t="str">
        <f>IFERROR(__xludf.DUMMYFUNCTION("""COMPUTED_VALUE"""),"[]")</f>
        <v>[]</v>
      </c>
      <c r="W1945" s="148">
        <f>IFERROR(__xludf.DUMMYFUNCTION("""COMPUTED_VALUE"""),1.174E7)</f>
        <v>11740000</v>
      </c>
      <c r="X1945" s="148">
        <f>IFERROR(__xludf.DUMMYFUNCTION("""COMPUTED_VALUE"""),0.0)</f>
        <v>0</v>
      </c>
      <c r="Y1945" s="148">
        <f>IFERROR(__xludf.DUMMYFUNCTION("""COMPUTED_VALUE"""),0.0)</f>
        <v>0</v>
      </c>
      <c r="Z1945" s="148"/>
    </row>
    <row r="1946">
      <c r="A1946" s="148">
        <f>IFERROR(__xludf.DUMMYFUNCTION("""COMPUTED_VALUE"""),1.1118102E7)</f>
        <v>11118102</v>
      </c>
      <c r="B1946" s="148" t="str">
        <f>IFERROR(__xludf.DUMMYFUNCTION("""COMPUTED_VALUE"""),"金刚机甲芯片")</f>
        <v>金刚机甲芯片</v>
      </c>
      <c r="C1946" s="148"/>
      <c r="D1946" s="148" t="str">
        <f>IFERROR(__xludf.DUMMYFUNCTION("""COMPUTED_VALUE"""),"mecha_unit")</f>
        <v>mecha_unit</v>
      </c>
      <c r="E1946" s="148">
        <f>IFERROR(__xludf.DUMMYFUNCTION("""COMPUTED_VALUE"""),0.0)</f>
        <v>0</v>
      </c>
      <c r="F1946" s="148">
        <f>IFERROR(__xludf.DUMMYFUNCTION("""COMPUTED_VALUE"""),412002.0)</f>
        <v>412002</v>
      </c>
      <c r="G1946" s="148">
        <f>IFERROR(__xludf.DUMMYFUNCTION("""COMPUTED_VALUE"""),1.5116548E7)</f>
        <v>15116548</v>
      </c>
      <c r="H1946" s="148">
        <f>IFERROR(__xludf.DUMMYFUNCTION("""COMPUTED_VALUE"""),1.5112564E7)</f>
        <v>15112564</v>
      </c>
      <c r="I1946" s="148" t="str">
        <f>IFERROR(__xludf.DUMMYFUNCTION("""COMPUTED_VALUE"""),"{}")</f>
        <v>{}</v>
      </c>
      <c r="J1946" s="148" t="str">
        <f>IFERROR(__xludf.DUMMYFUNCTION("""COMPUTED_VALUE"""),"{""typ"":""lc"",""txt"":""LC_ITEM_mecha_fragment_name"",""args"":[{""typ"":""lc"",""txt"":""LC_HERO_mecha_name_2""}]}")</f>
        <v>{"typ":"lc","txt":"LC_ITEM_mecha_fragment_name","args":[{"typ":"lc","txt":"LC_HERO_mecha_name_2"}]}</v>
      </c>
      <c r="K1946" s="148" t="str">
        <f>IFERROR(__xludf.DUMMYFUNCTION("""COMPUTED_VALUE"""),"{""typ"":""lc"",""txt"":""LC_ITEM_mecha_fragment_desc""}")</f>
        <v>{"typ":"lc","txt":"LC_ITEM_mecha_fragment_desc"}</v>
      </c>
      <c r="L1946" s="148" t="str">
        <f>IFERROR(__xludf.DUMMYFUNCTION("""COMPUTED_VALUE"""),"{}")</f>
        <v>{}</v>
      </c>
      <c r="M1946" s="148">
        <f>IFERROR(__xludf.DUMMYFUNCTION("""COMPUTED_VALUE"""),4000.0)</f>
        <v>4000</v>
      </c>
      <c r="N1946" s="148">
        <f>IFERROR(__xludf.DUMMYFUNCTION("""COMPUTED_VALUE"""),9999999.0)</f>
        <v>9999999</v>
      </c>
      <c r="O1946" s="148">
        <f>IFERROR(__xludf.DUMMYFUNCTION("""COMPUTED_VALUE"""),99999.0)</f>
        <v>99999</v>
      </c>
      <c r="P1946" s="148">
        <f>IFERROR(__xludf.DUMMYFUNCTION("""COMPUTED_VALUE"""),99999.0)</f>
        <v>99999</v>
      </c>
      <c r="Q1946" s="148" t="str">
        <f>IFERROR(__xludf.DUMMYFUNCTION("""COMPUTED_VALUE"""),"[""bag_other""]")</f>
        <v>["bag_other"]</v>
      </c>
      <c r="R1946" s="148" t="str">
        <f>IFERROR(__xludf.DUMMYFUNCTION("""COMPUTED_VALUE"""),"[""40011002""]")</f>
        <v>["40011002"]</v>
      </c>
      <c r="S1946" s="148" t="str">
        <f>IFERROR(__xludf.DUMMYFUNCTION("""COMPUTED_VALUE"""),"{}")</f>
        <v>{}</v>
      </c>
      <c r="T1946" s="148">
        <f>IFERROR(__xludf.DUMMYFUNCTION("""COMPUTED_VALUE"""),-1.0)</f>
        <v>-1</v>
      </c>
      <c r="U1946" s="148">
        <f>IFERROR(__xludf.DUMMYFUNCTION("""COMPUTED_VALUE"""),0.0)</f>
        <v>0</v>
      </c>
      <c r="V1946" s="148" t="str">
        <f>IFERROR(__xludf.DUMMYFUNCTION("""COMPUTED_VALUE"""),"[]")</f>
        <v>[]</v>
      </c>
      <c r="W1946" s="148">
        <f>IFERROR(__xludf.DUMMYFUNCTION("""COMPUTED_VALUE"""),1.174E7)</f>
        <v>11740000</v>
      </c>
      <c r="X1946" s="148">
        <f>IFERROR(__xludf.DUMMYFUNCTION("""COMPUTED_VALUE"""),0.0)</f>
        <v>0</v>
      </c>
      <c r="Y1946" s="148">
        <f>IFERROR(__xludf.DUMMYFUNCTION("""COMPUTED_VALUE"""),0.0)</f>
        <v>0</v>
      </c>
      <c r="Z1946" s="148"/>
    </row>
    <row r="1947">
      <c r="A1947" s="148">
        <f>IFERROR(__xludf.DUMMYFUNCTION("""COMPUTED_VALUE"""),1.1118103E7)</f>
        <v>11118103</v>
      </c>
      <c r="B1947" s="148" t="str">
        <f>IFERROR(__xludf.DUMMYFUNCTION("""COMPUTED_VALUE"""),"猎豹机甲芯片")</f>
        <v>猎豹机甲芯片</v>
      </c>
      <c r="C1947" s="148"/>
      <c r="D1947" s="148" t="str">
        <f>IFERROR(__xludf.DUMMYFUNCTION("""COMPUTED_VALUE"""),"mecha_unit")</f>
        <v>mecha_unit</v>
      </c>
      <c r="E1947" s="148">
        <f>IFERROR(__xludf.DUMMYFUNCTION("""COMPUTED_VALUE"""),0.0)</f>
        <v>0</v>
      </c>
      <c r="F1947" s="148">
        <f>IFERROR(__xludf.DUMMYFUNCTION("""COMPUTED_VALUE"""),412003.0)</f>
        <v>412003</v>
      </c>
      <c r="G1947" s="148">
        <f>IFERROR(__xludf.DUMMYFUNCTION("""COMPUTED_VALUE"""),1.5117312E7)</f>
        <v>15117312</v>
      </c>
      <c r="H1947" s="148">
        <f>IFERROR(__xludf.DUMMYFUNCTION("""COMPUTED_VALUE"""),1.5112564E7)</f>
        <v>15112564</v>
      </c>
      <c r="I1947" s="148" t="str">
        <f>IFERROR(__xludf.DUMMYFUNCTION("""COMPUTED_VALUE"""),"{}")</f>
        <v>{}</v>
      </c>
      <c r="J1947" s="148" t="str">
        <f>IFERROR(__xludf.DUMMYFUNCTION("""COMPUTED_VALUE"""),"{""typ"":""lc"",""txt"":""LC_ITEM_mecha_fragment_name"",""args"":[{""typ"":""lc"",""txt"":""LC_HERO_mecha_name_3""}]}")</f>
        <v>{"typ":"lc","txt":"LC_ITEM_mecha_fragment_name","args":[{"typ":"lc","txt":"LC_HERO_mecha_name_3"}]}</v>
      </c>
      <c r="K1947" s="148" t="str">
        <f>IFERROR(__xludf.DUMMYFUNCTION("""COMPUTED_VALUE"""),"{""typ"":""lc"",""txt"":""LC_ITEM_mecha_fragment_desc""}")</f>
        <v>{"typ":"lc","txt":"LC_ITEM_mecha_fragment_desc"}</v>
      </c>
      <c r="L1947" s="148" t="str">
        <f>IFERROR(__xludf.DUMMYFUNCTION("""COMPUTED_VALUE"""),"{}")</f>
        <v>{}</v>
      </c>
      <c r="M1947" s="148">
        <f>IFERROR(__xludf.DUMMYFUNCTION("""COMPUTED_VALUE"""),4000.0)</f>
        <v>4000</v>
      </c>
      <c r="N1947" s="148">
        <f>IFERROR(__xludf.DUMMYFUNCTION("""COMPUTED_VALUE"""),9999999.0)</f>
        <v>9999999</v>
      </c>
      <c r="O1947" s="148">
        <f>IFERROR(__xludf.DUMMYFUNCTION("""COMPUTED_VALUE"""),99999.0)</f>
        <v>99999</v>
      </c>
      <c r="P1947" s="148">
        <f>IFERROR(__xludf.DUMMYFUNCTION("""COMPUTED_VALUE"""),99999.0)</f>
        <v>99999</v>
      </c>
      <c r="Q1947" s="148" t="str">
        <f>IFERROR(__xludf.DUMMYFUNCTION("""COMPUTED_VALUE"""),"[""bag_other""]")</f>
        <v>["bag_other"]</v>
      </c>
      <c r="R1947" s="148" t="str">
        <f>IFERROR(__xludf.DUMMYFUNCTION("""COMPUTED_VALUE"""),"[""40011003""]")</f>
        <v>["40011003"]</v>
      </c>
      <c r="S1947" s="148" t="str">
        <f>IFERROR(__xludf.DUMMYFUNCTION("""COMPUTED_VALUE"""),"{}")</f>
        <v>{}</v>
      </c>
      <c r="T1947" s="148">
        <f>IFERROR(__xludf.DUMMYFUNCTION("""COMPUTED_VALUE"""),-1.0)</f>
        <v>-1</v>
      </c>
      <c r="U1947" s="148">
        <f>IFERROR(__xludf.DUMMYFUNCTION("""COMPUTED_VALUE"""),0.0)</f>
        <v>0</v>
      </c>
      <c r="V1947" s="148" t="str">
        <f>IFERROR(__xludf.DUMMYFUNCTION("""COMPUTED_VALUE"""),"[]")</f>
        <v>[]</v>
      </c>
      <c r="W1947" s="148">
        <f>IFERROR(__xludf.DUMMYFUNCTION("""COMPUTED_VALUE"""),1.174E7)</f>
        <v>11740000</v>
      </c>
      <c r="X1947" s="148">
        <f>IFERROR(__xludf.DUMMYFUNCTION("""COMPUTED_VALUE"""),0.0)</f>
        <v>0</v>
      </c>
      <c r="Y1947" s="148">
        <f>IFERROR(__xludf.DUMMYFUNCTION("""COMPUTED_VALUE"""),0.0)</f>
        <v>0</v>
      </c>
      <c r="Z1947" s="148"/>
    </row>
    <row r="1948">
      <c r="A1948" s="148">
        <f>IFERROR(__xludf.DUMMYFUNCTION("""COMPUTED_VALUE"""),1.1118104E7)</f>
        <v>11118104</v>
      </c>
      <c r="B1948" s="148" t="str">
        <f>IFERROR(__xludf.DUMMYFUNCTION("""COMPUTED_VALUE"""),"蝎子机甲芯片")</f>
        <v>蝎子机甲芯片</v>
      </c>
      <c r="C1948" s="148"/>
      <c r="D1948" s="148" t="str">
        <f>IFERROR(__xludf.DUMMYFUNCTION("""COMPUTED_VALUE"""),"mecha_unit")</f>
        <v>mecha_unit</v>
      </c>
      <c r="E1948" s="148">
        <f>IFERROR(__xludf.DUMMYFUNCTION("""COMPUTED_VALUE"""),0.0)</f>
        <v>0</v>
      </c>
      <c r="F1948" s="148">
        <f>IFERROR(__xludf.DUMMYFUNCTION("""COMPUTED_VALUE"""),412003.0)</f>
        <v>412003</v>
      </c>
      <c r="G1948" s="148">
        <f>IFERROR(__xludf.DUMMYFUNCTION("""COMPUTED_VALUE"""),1.5117575E7)</f>
        <v>15117575</v>
      </c>
      <c r="H1948" s="148">
        <f>IFERROR(__xludf.DUMMYFUNCTION("""COMPUTED_VALUE"""),1.5112564E7)</f>
        <v>15112564</v>
      </c>
      <c r="I1948" s="148" t="str">
        <f>IFERROR(__xludf.DUMMYFUNCTION("""COMPUTED_VALUE"""),"{}")</f>
        <v>{}</v>
      </c>
      <c r="J1948" s="148" t="str">
        <f>IFERROR(__xludf.DUMMYFUNCTION("""COMPUTED_VALUE"""),"{""typ"":""lc"",""txt"":""LC_ITEM_mecha_fragment_name"",""args"":[{""typ"":""lc"",""txt"":""LC_HERO_mecha_name_4""}]}")</f>
        <v>{"typ":"lc","txt":"LC_ITEM_mecha_fragment_name","args":[{"typ":"lc","txt":"LC_HERO_mecha_name_4"}]}</v>
      </c>
      <c r="K1948" s="148" t="str">
        <f>IFERROR(__xludf.DUMMYFUNCTION("""COMPUTED_VALUE"""),"{""typ"":""lc"",""txt"":""LC_ITEM_mecha_fragment_desc""}")</f>
        <v>{"typ":"lc","txt":"LC_ITEM_mecha_fragment_desc"}</v>
      </c>
      <c r="L1948" s="148" t="str">
        <f>IFERROR(__xludf.DUMMYFUNCTION("""COMPUTED_VALUE"""),"{}")</f>
        <v>{}</v>
      </c>
      <c r="M1948" s="148">
        <f>IFERROR(__xludf.DUMMYFUNCTION("""COMPUTED_VALUE"""),4000.0)</f>
        <v>4000</v>
      </c>
      <c r="N1948" s="148">
        <f>IFERROR(__xludf.DUMMYFUNCTION("""COMPUTED_VALUE"""),9999999.0)</f>
        <v>9999999</v>
      </c>
      <c r="O1948" s="148">
        <f>IFERROR(__xludf.DUMMYFUNCTION("""COMPUTED_VALUE"""),99999.0)</f>
        <v>99999</v>
      </c>
      <c r="P1948" s="148">
        <f>IFERROR(__xludf.DUMMYFUNCTION("""COMPUTED_VALUE"""),99999.0)</f>
        <v>99999</v>
      </c>
      <c r="Q1948" s="148" t="str">
        <f>IFERROR(__xludf.DUMMYFUNCTION("""COMPUTED_VALUE"""),"[""bag_other""]")</f>
        <v>["bag_other"]</v>
      </c>
      <c r="R1948" s="148" t="str">
        <f>IFERROR(__xludf.DUMMYFUNCTION("""COMPUTED_VALUE"""),"[""40011004""]")</f>
        <v>["40011004"]</v>
      </c>
      <c r="S1948" s="148" t="str">
        <f>IFERROR(__xludf.DUMMYFUNCTION("""COMPUTED_VALUE"""),"{}")</f>
        <v>{}</v>
      </c>
      <c r="T1948" s="148">
        <f>IFERROR(__xludf.DUMMYFUNCTION("""COMPUTED_VALUE"""),-1.0)</f>
        <v>-1</v>
      </c>
      <c r="U1948" s="148">
        <f>IFERROR(__xludf.DUMMYFUNCTION("""COMPUTED_VALUE"""),0.0)</f>
        <v>0</v>
      </c>
      <c r="V1948" s="148" t="str">
        <f>IFERROR(__xludf.DUMMYFUNCTION("""COMPUTED_VALUE"""),"[]")</f>
        <v>[]</v>
      </c>
      <c r="W1948" s="148">
        <f>IFERROR(__xludf.DUMMYFUNCTION("""COMPUTED_VALUE"""),1.174E7)</f>
        <v>11740000</v>
      </c>
      <c r="X1948" s="148">
        <f>IFERROR(__xludf.DUMMYFUNCTION("""COMPUTED_VALUE"""),0.0)</f>
        <v>0</v>
      </c>
      <c r="Y1948" s="148">
        <f>IFERROR(__xludf.DUMMYFUNCTION("""COMPUTED_VALUE"""),0.0)</f>
        <v>0</v>
      </c>
      <c r="Z1948" s="148"/>
    </row>
    <row r="1949">
      <c r="A1949" s="148">
        <f>IFERROR(__xludf.DUMMYFUNCTION("""COMPUTED_VALUE"""),1.1118105E7)</f>
        <v>11118105</v>
      </c>
      <c r="B1949" s="148" t="str">
        <f>IFERROR(__xludf.DUMMYFUNCTION("""COMPUTED_VALUE"""),"天鹰机甲芯片")</f>
        <v>天鹰机甲芯片</v>
      </c>
      <c r="C1949" s="148"/>
      <c r="D1949" s="148" t="str">
        <f>IFERROR(__xludf.DUMMYFUNCTION("""COMPUTED_VALUE"""),"mecha_unit")</f>
        <v>mecha_unit</v>
      </c>
      <c r="E1949" s="148">
        <f>IFERROR(__xludf.DUMMYFUNCTION("""COMPUTED_VALUE"""),0.0)</f>
        <v>0</v>
      </c>
      <c r="F1949" s="148">
        <f>IFERROR(__xludf.DUMMYFUNCTION("""COMPUTED_VALUE"""),412003.0)</f>
        <v>412003</v>
      </c>
      <c r="G1949" s="148">
        <f>IFERROR(__xludf.DUMMYFUNCTION("""COMPUTED_VALUE"""),1.5117787E7)</f>
        <v>15117787</v>
      </c>
      <c r="H1949" s="148">
        <f>IFERROR(__xludf.DUMMYFUNCTION("""COMPUTED_VALUE"""),1.5112564E7)</f>
        <v>15112564</v>
      </c>
      <c r="I1949" s="148" t="str">
        <f>IFERROR(__xludf.DUMMYFUNCTION("""COMPUTED_VALUE"""),"{}")</f>
        <v>{}</v>
      </c>
      <c r="J1949" s="148" t="str">
        <f>IFERROR(__xludf.DUMMYFUNCTION("""COMPUTED_VALUE"""),"{""typ"":""lc"",""txt"":""LC_ITEM_mecha_fragment_name"",""args"":[{""typ"":""lc"",""txt"":""LC_HERO_mecha_name_5""}]}")</f>
        <v>{"typ":"lc","txt":"LC_ITEM_mecha_fragment_name","args":[{"typ":"lc","txt":"LC_HERO_mecha_name_5"}]}</v>
      </c>
      <c r="K1949" s="148" t="str">
        <f>IFERROR(__xludf.DUMMYFUNCTION("""COMPUTED_VALUE"""),"{""typ"":""lc"",""txt"":""LC_ITEM_mecha_fragment_desc""}")</f>
        <v>{"typ":"lc","txt":"LC_ITEM_mecha_fragment_desc"}</v>
      </c>
      <c r="L1949" s="148" t="str">
        <f>IFERROR(__xludf.DUMMYFUNCTION("""COMPUTED_VALUE"""),"{}")</f>
        <v>{}</v>
      </c>
      <c r="M1949" s="148">
        <f>IFERROR(__xludf.DUMMYFUNCTION("""COMPUTED_VALUE"""),4000.0)</f>
        <v>4000</v>
      </c>
      <c r="N1949" s="148">
        <f>IFERROR(__xludf.DUMMYFUNCTION("""COMPUTED_VALUE"""),9999999.0)</f>
        <v>9999999</v>
      </c>
      <c r="O1949" s="148">
        <f>IFERROR(__xludf.DUMMYFUNCTION("""COMPUTED_VALUE"""),99999.0)</f>
        <v>99999</v>
      </c>
      <c r="P1949" s="148">
        <f>IFERROR(__xludf.DUMMYFUNCTION("""COMPUTED_VALUE"""),99999.0)</f>
        <v>99999</v>
      </c>
      <c r="Q1949" s="148" t="str">
        <f>IFERROR(__xludf.DUMMYFUNCTION("""COMPUTED_VALUE"""),"[""bag_other""]")</f>
        <v>["bag_other"]</v>
      </c>
      <c r="R1949" s="148" t="str">
        <f>IFERROR(__xludf.DUMMYFUNCTION("""COMPUTED_VALUE"""),"[""40011005""]")</f>
        <v>["40011005"]</v>
      </c>
      <c r="S1949" s="148" t="str">
        <f>IFERROR(__xludf.DUMMYFUNCTION("""COMPUTED_VALUE"""),"{}")</f>
        <v>{}</v>
      </c>
      <c r="T1949" s="148">
        <f>IFERROR(__xludf.DUMMYFUNCTION("""COMPUTED_VALUE"""),-1.0)</f>
        <v>-1</v>
      </c>
      <c r="U1949" s="148">
        <f>IFERROR(__xludf.DUMMYFUNCTION("""COMPUTED_VALUE"""),0.0)</f>
        <v>0</v>
      </c>
      <c r="V1949" s="148" t="str">
        <f>IFERROR(__xludf.DUMMYFUNCTION("""COMPUTED_VALUE"""),"[]")</f>
        <v>[]</v>
      </c>
      <c r="W1949" s="148">
        <f>IFERROR(__xludf.DUMMYFUNCTION("""COMPUTED_VALUE"""),1.174E7)</f>
        <v>11740000</v>
      </c>
      <c r="X1949" s="148">
        <f>IFERROR(__xludf.DUMMYFUNCTION("""COMPUTED_VALUE"""),0.0)</f>
        <v>0</v>
      </c>
      <c r="Y1949" s="148">
        <f>IFERROR(__xludf.DUMMYFUNCTION("""COMPUTED_VALUE"""),0.0)</f>
        <v>0</v>
      </c>
      <c r="Z1949" s="148"/>
    </row>
    <row r="1950">
      <c r="A1950" s="148">
        <f>IFERROR(__xludf.DUMMYFUNCTION("""COMPUTED_VALUE"""),1.1118106E7)</f>
        <v>11118106</v>
      </c>
      <c r="B1950" s="148" t="str">
        <f>IFERROR(__xludf.DUMMYFUNCTION("""COMPUTED_VALUE"""),"巨象机甲芯片")</f>
        <v>巨象机甲芯片</v>
      </c>
      <c r="C1950" s="148"/>
      <c r="D1950" s="148" t="str">
        <f>IFERROR(__xludf.DUMMYFUNCTION("""COMPUTED_VALUE"""),"mecha_unit")</f>
        <v>mecha_unit</v>
      </c>
      <c r="E1950" s="148">
        <f>IFERROR(__xludf.DUMMYFUNCTION("""COMPUTED_VALUE"""),0.0)</f>
        <v>0</v>
      </c>
      <c r="F1950" s="148">
        <f>IFERROR(__xludf.DUMMYFUNCTION("""COMPUTED_VALUE"""),412003.0)</f>
        <v>412003</v>
      </c>
      <c r="G1950" s="148">
        <f>IFERROR(__xludf.DUMMYFUNCTION("""COMPUTED_VALUE"""),1.5118638E7)</f>
        <v>15118638</v>
      </c>
      <c r="H1950" s="148">
        <f>IFERROR(__xludf.DUMMYFUNCTION("""COMPUTED_VALUE"""),1.5112564E7)</f>
        <v>15112564</v>
      </c>
      <c r="I1950" s="148" t="str">
        <f>IFERROR(__xludf.DUMMYFUNCTION("""COMPUTED_VALUE"""),"{}")</f>
        <v>{}</v>
      </c>
      <c r="J1950" s="148" t="str">
        <f>IFERROR(__xludf.DUMMYFUNCTION("""COMPUTED_VALUE"""),"{""typ"":""lc"",""txt"":""LC_ITEM_mecha_fragment_name"",""args"":[{""typ"":""lc"",""txt"":""LC_HERO_mecha_name_6""}]}")</f>
        <v>{"typ":"lc","txt":"LC_ITEM_mecha_fragment_name","args":[{"typ":"lc","txt":"LC_HERO_mecha_name_6"}]}</v>
      </c>
      <c r="K1950" s="148" t="str">
        <f>IFERROR(__xludf.DUMMYFUNCTION("""COMPUTED_VALUE"""),"{""typ"":""lc"",""txt"":""LC_ITEM_mecha_fragment_desc""}")</f>
        <v>{"typ":"lc","txt":"LC_ITEM_mecha_fragment_desc"}</v>
      </c>
      <c r="L1950" s="148" t="str">
        <f>IFERROR(__xludf.DUMMYFUNCTION("""COMPUTED_VALUE"""),"{}")</f>
        <v>{}</v>
      </c>
      <c r="M1950" s="148">
        <f>IFERROR(__xludf.DUMMYFUNCTION("""COMPUTED_VALUE"""),4000.0)</f>
        <v>4000</v>
      </c>
      <c r="N1950" s="148">
        <f>IFERROR(__xludf.DUMMYFUNCTION("""COMPUTED_VALUE"""),9999999.0)</f>
        <v>9999999</v>
      </c>
      <c r="O1950" s="148">
        <f>IFERROR(__xludf.DUMMYFUNCTION("""COMPUTED_VALUE"""),99999.0)</f>
        <v>99999</v>
      </c>
      <c r="P1950" s="148">
        <f>IFERROR(__xludf.DUMMYFUNCTION("""COMPUTED_VALUE"""),99999.0)</f>
        <v>99999</v>
      </c>
      <c r="Q1950" s="148" t="str">
        <f>IFERROR(__xludf.DUMMYFUNCTION("""COMPUTED_VALUE"""),"[""bag_other""]")</f>
        <v>["bag_other"]</v>
      </c>
      <c r="R1950" s="148" t="str">
        <f>IFERROR(__xludf.DUMMYFUNCTION("""COMPUTED_VALUE"""),"[""40011006""]")</f>
        <v>["40011006"]</v>
      </c>
      <c r="S1950" s="148" t="str">
        <f>IFERROR(__xludf.DUMMYFUNCTION("""COMPUTED_VALUE"""),"{}")</f>
        <v>{}</v>
      </c>
      <c r="T1950" s="148">
        <f>IFERROR(__xludf.DUMMYFUNCTION("""COMPUTED_VALUE"""),-1.0)</f>
        <v>-1</v>
      </c>
      <c r="U1950" s="148">
        <f>IFERROR(__xludf.DUMMYFUNCTION("""COMPUTED_VALUE"""),0.0)</f>
        <v>0</v>
      </c>
      <c r="V1950" s="148" t="str">
        <f>IFERROR(__xludf.DUMMYFUNCTION("""COMPUTED_VALUE"""),"[]")</f>
        <v>[]</v>
      </c>
      <c r="W1950" s="148">
        <f>IFERROR(__xludf.DUMMYFUNCTION("""COMPUTED_VALUE"""),1.174E7)</f>
        <v>11740000</v>
      </c>
      <c r="X1950" s="148">
        <f>IFERROR(__xludf.DUMMYFUNCTION("""COMPUTED_VALUE"""),0.0)</f>
        <v>0</v>
      </c>
      <c r="Y1950" s="148">
        <f>IFERROR(__xludf.DUMMYFUNCTION("""COMPUTED_VALUE"""),0.0)</f>
        <v>0</v>
      </c>
      <c r="Z1950" s="148"/>
    </row>
    <row r="1951">
      <c r="A1951" s="148">
        <f>IFERROR(__xludf.DUMMYFUNCTION("""COMPUTED_VALUE"""),1.1118107E7)</f>
        <v>11118107</v>
      </c>
      <c r="B1951" s="148" t="str">
        <f>IFERROR(__xludf.DUMMYFUNCTION("""COMPUTED_VALUE"""),"雄狮机甲芯片")</f>
        <v>雄狮机甲芯片</v>
      </c>
      <c r="C1951" s="148"/>
      <c r="D1951" s="148" t="str">
        <f>IFERROR(__xludf.DUMMYFUNCTION("""COMPUTED_VALUE"""),"mecha_unit")</f>
        <v>mecha_unit</v>
      </c>
      <c r="E1951" s="148">
        <f>IFERROR(__xludf.DUMMYFUNCTION("""COMPUTED_VALUE"""),0.0)</f>
        <v>0</v>
      </c>
      <c r="F1951" s="148">
        <f>IFERROR(__xludf.DUMMYFUNCTION("""COMPUTED_VALUE"""),412003.0)</f>
        <v>412003</v>
      </c>
      <c r="G1951" s="148">
        <f>IFERROR(__xludf.DUMMYFUNCTION("""COMPUTED_VALUE"""),1.5119688E7)</f>
        <v>15119688</v>
      </c>
      <c r="H1951" s="148">
        <f>IFERROR(__xludf.DUMMYFUNCTION("""COMPUTED_VALUE"""),1.5112564E7)</f>
        <v>15112564</v>
      </c>
      <c r="I1951" s="148" t="str">
        <f>IFERROR(__xludf.DUMMYFUNCTION("""COMPUTED_VALUE"""),"{}")</f>
        <v>{}</v>
      </c>
      <c r="J1951" s="148" t="str">
        <f>IFERROR(__xludf.DUMMYFUNCTION("""COMPUTED_VALUE"""),"{""typ"":""lc"",""txt"":""LC_ITEM_mecha_fragment_name"",""args"":[{""typ"":""lc"",""txt"":""LC_HERO_mecha_name_7""}]}")</f>
        <v>{"typ":"lc","txt":"LC_ITEM_mecha_fragment_name","args":[{"typ":"lc","txt":"LC_HERO_mecha_name_7"}]}</v>
      </c>
      <c r="K1951" s="148" t="str">
        <f>IFERROR(__xludf.DUMMYFUNCTION("""COMPUTED_VALUE"""),"{""typ"":""lc"",""txt"":""LC_ITEM_mecha_fragment_desc""}")</f>
        <v>{"typ":"lc","txt":"LC_ITEM_mecha_fragment_desc"}</v>
      </c>
      <c r="L1951" s="148" t="str">
        <f>IFERROR(__xludf.DUMMYFUNCTION("""COMPUTED_VALUE"""),"{}")</f>
        <v>{}</v>
      </c>
      <c r="M1951" s="148">
        <f>IFERROR(__xludf.DUMMYFUNCTION("""COMPUTED_VALUE"""),4000.0)</f>
        <v>4000</v>
      </c>
      <c r="N1951" s="148">
        <f>IFERROR(__xludf.DUMMYFUNCTION("""COMPUTED_VALUE"""),9999999.0)</f>
        <v>9999999</v>
      </c>
      <c r="O1951" s="148">
        <f>IFERROR(__xludf.DUMMYFUNCTION("""COMPUTED_VALUE"""),99999.0)</f>
        <v>99999</v>
      </c>
      <c r="P1951" s="148">
        <f>IFERROR(__xludf.DUMMYFUNCTION("""COMPUTED_VALUE"""),99999.0)</f>
        <v>99999</v>
      </c>
      <c r="Q1951" s="148" t="str">
        <f>IFERROR(__xludf.DUMMYFUNCTION("""COMPUTED_VALUE"""),"[""bag_other""]")</f>
        <v>["bag_other"]</v>
      </c>
      <c r="R1951" s="148" t="str">
        <f>IFERROR(__xludf.DUMMYFUNCTION("""COMPUTED_VALUE"""),"[""40011007""]")</f>
        <v>["40011007"]</v>
      </c>
      <c r="S1951" s="148" t="str">
        <f>IFERROR(__xludf.DUMMYFUNCTION("""COMPUTED_VALUE"""),"{}")</f>
        <v>{}</v>
      </c>
      <c r="T1951" s="148">
        <f>IFERROR(__xludf.DUMMYFUNCTION("""COMPUTED_VALUE"""),-1.0)</f>
        <v>-1</v>
      </c>
      <c r="U1951" s="148">
        <f>IFERROR(__xludf.DUMMYFUNCTION("""COMPUTED_VALUE"""),0.0)</f>
        <v>0</v>
      </c>
      <c r="V1951" s="148" t="str">
        <f>IFERROR(__xludf.DUMMYFUNCTION("""COMPUTED_VALUE"""),"[]")</f>
        <v>[]</v>
      </c>
      <c r="W1951" s="148">
        <f>IFERROR(__xludf.DUMMYFUNCTION("""COMPUTED_VALUE"""),1.174E7)</f>
        <v>11740000</v>
      </c>
      <c r="X1951" s="148">
        <f>IFERROR(__xludf.DUMMYFUNCTION("""COMPUTED_VALUE"""),0.0)</f>
        <v>0</v>
      </c>
      <c r="Y1951" s="148">
        <f>IFERROR(__xludf.DUMMYFUNCTION("""COMPUTED_VALUE"""),0.0)</f>
        <v>0</v>
      </c>
      <c r="Z1951" s="148"/>
    </row>
    <row r="1952">
      <c r="A1952" s="148">
        <f>IFERROR(__xludf.DUMMYFUNCTION("""COMPUTED_VALUE"""),1.1118108E7)</f>
        <v>11118108</v>
      </c>
      <c r="B1952" s="148" t="str">
        <f>IFERROR(__xludf.DUMMYFUNCTION("""COMPUTED_VALUE"""),"螳螂机甲芯片")</f>
        <v>螳螂机甲芯片</v>
      </c>
      <c r="C1952" s="148"/>
      <c r="D1952" s="148" t="str">
        <f>IFERROR(__xludf.DUMMYFUNCTION("""COMPUTED_VALUE"""),"mecha_unit")</f>
        <v>mecha_unit</v>
      </c>
      <c r="E1952" s="148">
        <f>IFERROR(__xludf.DUMMYFUNCTION("""COMPUTED_VALUE"""),0.0)</f>
        <v>0</v>
      </c>
      <c r="F1952" s="148">
        <f>IFERROR(__xludf.DUMMYFUNCTION("""COMPUTED_VALUE"""),412003.0)</f>
        <v>412003</v>
      </c>
      <c r="G1952" s="148">
        <f>IFERROR(__xludf.DUMMYFUNCTION("""COMPUTED_VALUE"""),1.51100124E8)</f>
        <v>151100124</v>
      </c>
      <c r="H1952" s="148">
        <f>IFERROR(__xludf.DUMMYFUNCTION("""COMPUTED_VALUE"""),1.5112564E7)</f>
        <v>15112564</v>
      </c>
      <c r="I1952" s="148" t="str">
        <f>IFERROR(__xludf.DUMMYFUNCTION("""COMPUTED_VALUE"""),"{}")</f>
        <v>{}</v>
      </c>
      <c r="J1952" s="148" t="str">
        <f>IFERROR(__xludf.DUMMYFUNCTION("""COMPUTED_VALUE"""),"{""typ"":""lc"",""txt"":""LC_ITEM_mecha_fragment_name"",""args"":[{""typ"":""lc"",""txt"":""LC_HERO_mecha_name_8""}]}")</f>
        <v>{"typ":"lc","txt":"LC_ITEM_mecha_fragment_name","args":[{"typ":"lc","txt":"LC_HERO_mecha_name_8"}]}</v>
      </c>
      <c r="K1952" s="148" t="str">
        <f>IFERROR(__xludf.DUMMYFUNCTION("""COMPUTED_VALUE"""),"{""typ"":""lc"",""txt"":""LC_ITEM_mecha_fragment_desc""}")</f>
        <v>{"typ":"lc","txt":"LC_ITEM_mecha_fragment_desc"}</v>
      </c>
      <c r="L1952" s="148" t="str">
        <f>IFERROR(__xludf.DUMMYFUNCTION("""COMPUTED_VALUE"""),"{}")</f>
        <v>{}</v>
      </c>
      <c r="M1952" s="148">
        <f>IFERROR(__xludf.DUMMYFUNCTION("""COMPUTED_VALUE"""),4000.0)</f>
        <v>4000</v>
      </c>
      <c r="N1952" s="148">
        <f>IFERROR(__xludf.DUMMYFUNCTION("""COMPUTED_VALUE"""),9999999.0)</f>
        <v>9999999</v>
      </c>
      <c r="O1952" s="148">
        <f>IFERROR(__xludf.DUMMYFUNCTION("""COMPUTED_VALUE"""),99999.0)</f>
        <v>99999</v>
      </c>
      <c r="P1952" s="148">
        <f>IFERROR(__xludf.DUMMYFUNCTION("""COMPUTED_VALUE"""),99999.0)</f>
        <v>99999</v>
      </c>
      <c r="Q1952" s="148" t="str">
        <f>IFERROR(__xludf.DUMMYFUNCTION("""COMPUTED_VALUE"""),"[""bag_other""]")</f>
        <v>["bag_other"]</v>
      </c>
      <c r="R1952" s="148" t="str">
        <f>IFERROR(__xludf.DUMMYFUNCTION("""COMPUTED_VALUE"""),"[""40011008""]")</f>
        <v>["40011008"]</v>
      </c>
      <c r="S1952" s="148" t="str">
        <f>IFERROR(__xludf.DUMMYFUNCTION("""COMPUTED_VALUE"""),"{}")</f>
        <v>{}</v>
      </c>
      <c r="T1952" s="148">
        <f>IFERROR(__xludf.DUMMYFUNCTION("""COMPUTED_VALUE"""),-1.0)</f>
        <v>-1</v>
      </c>
      <c r="U1952" s="148">
        <f>IFERROR(__xludf.DUMMYFUNCTION("""COMPUTED_VALUE"""),0.0)</f>
        <v>0</v>
      </c>
      <c r="V1952" s="148" t="str">
        <f>IFERROR(__xludf.DUMMYFUNCTION("""COMPUTED_VALUE"""),"[]")</f>
        <v>[]</v>
      </c>
      <c r="W1952" s="148">
        <f>IFERROR(__xludf.DUMMYFUNCTION("""COMPUTED_VALUE"""),1.174E7)</f>
        <v>11740000</v>
      </c>
      <c r="X1952" s="148">
        <f>IFERROR(__xludf.DUMMYFUNCTION("""COMPUTED_VALUE"""),0.0)</f>
        <v>0</v>
      </c>
      <c r="Y1952" s="148">
        <f>IFERROR(__xludf.DUMMYFUNCTION("""COMPUTED_VALUE"""),0.0)</f>
        <v>0</v>
      </c>
      <c r="Z1952" s="148"/>
    </row>
    <row r="1953">
      <c r="A1953" s="148">
        <f>IFERROR(__xludf.DUMMYFUNCTION("""COMPUTED_VALUE"""),1.1118109E7)</f>
        <v>11118109</v>
      </c>
      <c r="B1953" s="148" t="str">
        <f>IFERROR(__xludf.DUMMYFUNCTION("""COMPUTED_VALUE"""),"战龟机甲芯片")</f>
        <v>战龟机甲芯片</v>
      </c>
      <c r="C1953" s="148"/>
      <c r="D1953" s="148" t="str">
        <f>IFERROR(__xludf.DUMMYFUNCTION("""COMPUTED_VALUE"""),"mecha_unit")</f>
        <v>mecha_unit</v>
      </c>
      <c r="E1953" s="148">
        <f>IFERROR(__xludf.DUMMYFUNCTION("""COMPUTED_VALUE"""),0.0)</f>
        <v>0</v>
      </c>
      <c r="F1953" s="148">
        <f>IFERROR(__xludf.DUMMYFUNCTION("""COMPUTED_VALUE"""),412003.0)</f>
        <v>412003</v>
      </c>
      <c r="G1953" s="148">
        <f>IFERROR(__xludf.DUMMYFUNCTION("""COMPUTED_VALUE"""),1.51100753E8)</f>
        <v>151100753</v>
      </c>
      <c r="H1953" s="148">
        <f>IFERROR(__xludf.DUMMYFUNCTION("""COMPUTED_VALUE"""),1.5112564E7)</f>
        <v>15112564</v>
      </c>
      <c r="I1953" s="148" t="str">
        <f>IFERROR(__xludf.DUMMYFUNCTION("""COMPUTED_VALUE"""),"{}")</f>
        <v>{}</v>
      </c>
      <c r="J1953" s="148" t="str">
        <f>IFERROR(__xludf.DUMMYFUNCTION("""COMPUTED_VALUE"""),"{""typ"":""lc"",""txt"":""LC_ITEM_mecha_fragment_name"",""args"":[{""typ"":""lc"",""txt"":""LC_HERO_mecha_name_9""}]}")</f>
        <v>{"typ":"lc","txt":"LC_ITEM_mecha_fragment_name","args":[{"typ":"lc","txt":"LC_HERO_mecha_name_9"}]}</v>
      </c>
      <c r="K1953" s="148" t="str">
        <f>IFERROR(__xludf.DUMMYFUNCTION("""COMPUTED_VALUE"""),"{""typ"":""lc"",""txt"":""LC_ITEM_mecha_fragment_desc""}")</f>
        <v>{"typ":"lc","txt":"LC_ITEM_mecha_fragment_desc"}</v>
      </c>
      <c r="L1953" s="148" t="str">
        <f>IFERROR(__xludf.DUMMYFUNCTION("""COMPUTED_VALUE"""),"{}")</f>
        <v>{}</v>
      </c>
      <c r="M1953" s="148">
        <f>IFERROR(__xludf.DUMMYFUNCTION("""COMPUTED_VALUE"""),4000.0)</f>
        <v>4000</v>
      </c>
      <c r="N1953" s="148">
        <f>IFERROR(__xludf.DUMMYFUNCTION("""COMPUTED_VALUE"""),9999999.0)</f>
        <v>9999999</v>
      </c>
      <c r="O1953" s="148">
        <f>IFERROR(__xludf.DUMMYFUNCTION("""COMPUTED_VALUE"""),99999.0)</f>
        <v>99999</v>
      </c>
      <c r="P1953" s="148">
        <f>IFERROR(__xludf.DUMMYFUNCTION("""COMPUTED_VALUE"""),99999.0)</f>
        <v>99999</v>
      </c>
      <c r="Q1953" s="148" t="str">
        <f>IFERROR(__xludf.DUMMYFUNCTION("""COMPUTED_VALUE"""),"[""bag_other""]")</f>
        <v>["bag_other"]</v>
      </c>
      <c r="R1953" s="148" t="str">
        <f>IFERROR(__xludf.DUMMYFUNCTION("""COMPUTED_VALUE"""),"[""40011009""]")</f>
        <v>["40011009"]</v>
      </c>
      <c r="S1953" s="148" t="str">
        <f>IFERROR(__xludf.DUMMYFUNCTION("""COMPUTED_VALUE"""),"{}")</f>
        <v>{}</v>
      </c>
      <c r="T1953" s="148">
        <f>IFERROR(__xludf.DUMMYFUNCTION("""COMPUTED_VALUE"""),-1.0)</f>
        <v>-1</v>
      </c>
      <c r="U1953" s="148">
        <f>IFERROR(__xludf.DUMMYFUNCTION("""COMPUTED_VALUE"""),0.0)</f>
        <v>0</v>
      </c>
      <c r="V1953" s="148" t="str">
        <f>IFERROR(__xludf.DUMMYFUNCTION("""COMPUTED_VALUE"""),"[]")</f>
        <v>[]</v>
      </c>
      <c r="W1953" s="148">
        <f>IFERROR(__xludf.DUMMYFUNCTION("""COMPUTED_VALUE"""),1.174E7)</f>
        <v>11740000</v>
      </c>
      <c r="X1953" s="148">
        <f>IFERROR(__xludf.DUMMYFUNCTION("""COMPUTED_VALUE"""),0.0)</f>
        <v>0</v>
      </c>
      <c r="Y1953" s="148">
        <f>IFERROR(__xludf.DUMMYFUNCTION("""COMPUTED_VALUE"""),0.0)</f>
        <v>0</v>
      </c>
      <c r="Z1953" s="148"/>
    </row>
    <row r="1954">
      <c r="A1954" s="148">
        <f>IFERROR(__xludf.DUMMYFUNCTION("""COMPUTED_VALUE"""),1.111811E7)</f>
        <v>11118110</v>
      </c>
      <c r="B1954" s="148" t="str">
        <f>IFERROR(__xludf.DUMMYFUNCTION("""COMPUTED_VALUE"""),"蜘蛛机甲芯片")</f>
        <v>蜘蛛机甲芯片</v>
      </c>
      <c r="C1954" s="148"/>
      <c r="D1954" s="148" t="str">
        <f>IFERROR(__xludf.DUMMYFUNCTION("""COMPUTED_VALUE"""),"mecha_unit")</f>
        <v>mecha_unit</v>
      </c>
      <c r="E1954" s="148">
        <f>IFERROR(__xludf.DUMMYFUNCTION("""COMPUTED_VALUE"""),0.0)</f>
        <v>0</v>
      </c>
      <c r="F1954" s="148">
        <f>IFERROR(__xludf.DUMMYFUNCTION("""COMPUTED_VALUE"""),412003.0)</f>
        <v>412003</v>
      </c>
      <c r="G1954" s="148">
        <f>IFERROR(__xludf.DUMMYFUNCTION("""COMPUTED_VALUE"""),1.51101828E8)</f>
        <v>151101828</v>
      </c>
      <c r="H1954" s="148">
        <f>IFERROR(__xludf.DUMMYFUNCTION("""COMPUTED_VALUE"""),1.5112564E7)</f>
        <v>15112564</v>
      </c>
      <c r="I1954" s="148" t="str">
        <f>IFERROR(__xludf.DUMMYFUNCTION("""COMPUTED_VALUE"""),"{}")</f>
        <v>{}</v>
      </c>
      <c r="J1954" s="148" t="str">
        <f>IFERROR(__xludf.DUMMYFUNCTION("""COMPUTED_VALUE"""),"{""typ"":""lc"",""txt"":""LC_ITEM_mecha_fragment_name"",""args"":[{""typ"":""lc"",""txt"":""LC_HERO_mecha_name_10""}]}")</f>
        <v>{"typ":"lc","txt":"LC_ITEM_mecha_fragment_name","args":[{"typ":"lc","txt":"LC_HERO_mecha_name_10"}]}</v>
      </c>
      <c r="K1954" s="148" t="str">
        <f>IFERROR(__xludf.DUMMYFUNCTION("""COMPUTED_VALUE"""),"{""typ"":""lc"",""txt"":""LC_ITEM_mecha_fragment_desc""}")</f>
        <v>{"typ":"lc","txt":"LC_ITEM_mecha_fragment_desc"}</v>
      </c>
      <c r="L1954" s="148" t="str">
        <f>IFERROR(__xludf.DUMMYFUNCTION("""COMPUTED_VALUE"""),"{}")</f>
        <v>{}</v>
      </c>
      <c r="M1954" s="148">
        <f>IFERROR(__xludf.DUMMYFUNCTION("""COMPUTED_VALUE"""),4000.0)</f>
        <v>4000</v>
      </c>
      <c r="N1954" s="148">
        <f>IFERROR(__xludf.DUMMYFUNCTION("""COMPUTED_VALUE"""),9999999.0)</f>
        <v>9999999</v>
      </c>
      <c r="O1954" s="148">
        <f>IFERROR(__xludf.DUMMYFUNCTION("""COMPUTED_VALUE"""),99999.0)</f>
        <v>99999</v>
      </c>
      <c r="P1954" s="148">
        <f>IFERROR(__xludf.DUMMYFUNCTION("""COMPUTED_VALUE"""),99999.0)</f>
        <v>99999</v>
      </c>
      <c r="Q1954" s="148" t="str">
        <f>IFERROR(__xludf.DUMMYFUNCTION("""COMPUTED_VALUE"""),"[""bag_other""]")</f>
        <v>["bag_other"]</v>
      </c>
      <c r="R1954" s="148" t="str">
        <f>IFERROR(__xludf.DUMMYFUNCTION("""COMPUTED_VALUE"""),"[""40011010""]")</f>
        <v>["40011010"]</v>
      </c>
      <c r="S1954" s="148" t="str">
        <f>IFERROR(__xludf.DUMMYFUNCTION("""COMPUTED_VALUE"""),"{}")</f>
        <v>{}</v>
      </c>
      <c r="T1954" s="148">
        <f>IFERROR(__xludf.DUMMYFUNCTION("""COMPUTED_VALUE"""),-1.0)</f>
        <v>-1</v>
      </c>
      <c r="U1954" s="148">
        <f>IFERROR(__xludf.DUMMYFUNCTION("""COMPUTED_VALUE"""),0.0)</f>
        <v>0</v>
      </c>
      <c r="V1954" s="148" t="str">
        <f>IFERROR(__xludf.DUMMYFUNCTION("""COMPUTED_VALUE"""),"[]")</f>
        <v>[]</v>
      </c>
      <c r="W1954" s="148">
        <f>IFERROR(__xludf.DUMMYFUNCTION("""COMPUTED_VALUE"""),1.174E7)</f>
        <v>11740000</v>
      </c>
      <c r="X1954" s="148">
        <f>IFERROR(__xludf.DUMMYFUNCTION("""COMPUTED_VALUE"""),0.0)</f>
        <v>0</v>
      </c>
      <c r="Y1954" s="148">
        <f>IFERROR(__xludf.DUMMYFUNCTION("""COMPUTED_VALUE"""),0.0)</f>
        <v>0</v>
      </c>
      <c r="Z1954" s="148"/>
    </row>
    <row r="1955">
      <c r="A1955" s="148">
        <f>IFERROR(__xludf.DUMMYFUNCTION("""COMPUTED_VALUE"""),1.1118111E7)</f>
        <v>11118111</v>
      </c>
      <c r="B1955" s="148" t="str">
        <f>IFERROR(__xludf.DUMMYFUNCTION("""COMPUTED_VALUE"""),"机甲破冰打折卡-巨象")</f>
        <v>机甲破冰打折卡-巨象</v>
      </c>
      <c r="C1955" s="148"/>
      <c r="D1955" s="148" t="str">
        <f>IFERROR(__xludf.DUMMYFUNCTION("""COMPUTED_VALUE"""),"mecha_coupon")</f>
        <v>mecha_coupon</v>
      </c>
      <c r="E1955" s="148">
        <f>IFERROR(__xludf.DUMMYFUNCTION("""COMPUTED_VALUE"""),0.0)</f>
        <v>0</v>
      </c>
      <c r="F1955" s="148">
        <f>IFERROR(__xludf.DUMMYFUNCTION("""COMPUTED_VALUE"""),413004.0)</f>
        <v>413004</v>
      </c>
      <c r="G1955" s="148">
        <f>IFERROR(__xludf.DUMMYFUNCTION("""COMPUTED_VALUE"""),1.51102132E8)</f>
        <v>151102132</v>
      </c>
      <c r="H1955" s="148">
        <f>IFERROR(__xludf.DUMMYFUNCTION("""COMPUTED_VALUE"""),1.5112564E7)</f>
        <v>15112564</v>
      </c>
      <c r="I1955" s="148" t="str">
        <f>IFERROR(__xludf.DUMMYFUNCTION("""COMPUTED_VALUE"""),"{}")</f>
        <v>{}</v>
      </c>
      <c r="J1955" s="148" t="str">
        <f>IFERROR(__xludf.DUMMYFUNCTION("""COMPUTED_VALUE"""),"{""typ"":""lc"",""txt"":""LC_ITEM_mecha4_coupon_title""}")</f>
        <v>{"typ":"lc","txt":"LC_ITEM_mecha4_coupon_title"}</v>
      </c>
      <c r="K1955" s="148" t="str">
        <f>IFERROR(__xludf.DUMMYFUNCTION("""COMPUTED_VALUE"""),"{""typ"":""lc"",""txt"":""LC_ITEM_mecha4_coupon_desc""}")</f>
        <v>{"typ":"lc","txt":"LC_ITEM_mecha4_coupon_desc"}</v>
      </c>
      <c r="L1955" s="148" t="str">
        <f>IFERROR(__xludf.DUMMYFUNCTION("""COMPUTED_VALUE"""),"{}")</f>
        <v>{}</v>
      </c>
      <c r="M1955" s="148">
        <f>IFERROR(__xludf.DUMMYFUNCTION("""COMPUTED_VALUE"""),15.0)</f>
        <v>15</v>
      </c>
      <c r="N1955" s="148">
        <f>IFERROR(__xludf.DUMMYFUNCTION("""COMPUTED_VALUE"""),9999999.0)</f>
        <v>9999999</v>
      </c>
      <c r="O1955" s="148">
        <f>IFERROR(__xludf.DUMMYFUNCTION("""COMPUTED_VALUE"""),99999.0)</f>
        <v>99999</v>
      </c>
      <c r="P1955" s="148">
        <f>IFERROR(__xludf.DUMMYFUNCTION("""COMPUTED_VALUE"""),99999.0)</f>
        <v>99999</v>
      </c>
      <c r="Q1955" s="148" t="str">
        <f>IFERROR(__xludf.DUMMYFUNCTION("""COMPUTED_VALUE"""),"[""bag_other""]")</f>
        <v>["bag_other"]</v>
      </c>
      <c r="R1955" s="148" t="str">
        <f>IFERROR(__xludf.DUMMYFUNCTION("""COMPUTED_VALUE"""),"[]")</f>
        <v>[]</v>
      </c>
      <c r="S1955" s="148" t="str">
        <f>IFERROR(__xludf.DUMMYFUNCTION("""COMPUTED_VALUE"""),"{}")</f>
        <v>{}</v>
      </c>
      <c r="T1955" s="148">
        <f>IFERROR(__xludf.DUMMYFUNCTION("""COMPUTED_VALUE"""),-1.0)</f>
        <v>-1</v>
      </c>
      <c r="U1955" s="148">
        <f>IFERROR(__xludf.DUMMYFUNCTION("""COMPUTED_VALUE"""),1.0)</f>
        <v>1</v>
      </c>
      <c r="V1955" s="148" t="str">
        <f>IFERROR(__xludf.DUMMYFUNCTION("""COMPUTED_VALUE"""),"[]")</f>
        <v>[]</v>
      </c>
      <c r="W1955" s="148">
        <f>IFERROR(__xludf.DUMMYFUNCTION("""COMPUTED_VALUE"""),1.174E7)</f>
        <v>11740000</v>
      </c>
      <c r="X1955" s="148">
        <f>IFERROR(__xludf.DUMMYFUNCTION("""COMPUTED_VALUE"""),0.0)</f>
        <v>0</v>
      </c>
      <c r="Y1955" s="148">
        <f>IFERROR(__xludf.DUMMYFUNCTION("""COMPUTED_VALUE"""),0.0)</f>
        <v>0</v>
      </c>
      <c r="Z1955" s="148"/>
    </row>
    <row r="1956">
      <c r="A1956" s="148">
        <f>IFERROR(__xludf.DUMMYFUNCTION("""COMPUTED_VALUE"""),1.1118112E7)</f>
        <v>11118112</v>
      </c>
      <c r="B1956" s="148" t="str">
        <f>IFERROR(__xludf.DUMMYFUNCTION("""COMPUTED_VALUE"""),"鳄鱼机甲芯片")</f>
        <v>鳄鱼机甲芯片</v>
      </c>
      <c r="C1956" s="148"/>
      <c r="D1956" s="148" t="str">
        <f>IFERROR(__xludf.DUMMYFUNCTION("""COMPUTED_VALUE"""),"mecha_unit")</f>
        <v>mecha_unit</v>
      </c>
      <c r="E1956" s="148">
        <f>IFERROR(__xludf.DUMMYFUNCTION("""COMPUTED_VALUE"""),0.0)</f>
        <v>0</v>
      </c>
      <c r="F1956" s="148">
        <f>IFERROR(__xludf.DUMMYFUNCTION("""COMPUTED_VALUE"""),412003.0)</f>
        <v>412003</v>
      </c>
      <c r="G1956" s="148">
        <f>IFERROR(__xludf.DUMMYFUNCTION("""COMPUTED_VALUE"""),1.51102987E8)</f>
        <v>151102987</v>
      </c>
      <c r="H1956" s="148">
        <f>IFERROR(__xludf.DUMMYFUNCTION("""COMPUTED_VALUE"""),1.5112564E7)</f>
        <v>15112564</v>
      </c>
      <c r="I1956" s="148" t="str">
        <f>IFERROR(__xludf.DUMMYFUNCTION("""COMPUTED_VALUE"""),"{}")</f>
        <v>{}</v>
      </c>
      <c r="J1956" s="148" t="str">
        <f>IFERROR(__xludf.DUMMYFUNCTION("""COMPUTED_VALUE"""),"{""typ"":""lc"",""txt"":""LC_ITEM_mecha_fragment_name"",""args"":[{""typ"":""lc"",""txt"":""LC_HERO_mecha_name_11""}]}")</f>
        <v>{"typ":"lc","txt":"LC_ITEM_mecha_fragment_name","args":[{"typ":"lc","txt":"LC_HERO_mecha_name_11"}]}</v>
      </c>
      <c r="K1956" s="148" t="str">
        <f>IFERROR(__xludf.DUMMYFUNCTION("""COMPUTED_VALUE"""),"{""typ"":""lc"",""txt"":""LC_ITEM_mecha_fragment_desc""}")</f>
        <v>{"typ":"lc","txt":"LC_ITEM_mecha_fragment_desc"}</v>
      </c>
      <c r="L1956" s="148" t="str">
        <f>IFERROR(__xludf.DUMMYFUNCTION("""COMPUTED_VALUE"""),"{}")</f>
        <v>{}</v>
      </c>
      <c r="M1956" s="148">
        <f>IFERROR(__xludf.DUMMYFUNCTION("""COMPUTED_VALUE"""),4000.0)</f>
        <v>4000</v>
      </c>
      <c r="N1956" s="148">
        <f>IFERROR(__xludf.DUMMYFUNCTION("""COMPUTED_VALUE"""),9999999.0)</f>
        <v>9999999</v>
      </c>
      <c r="O1956" s="148">
        <f>IFERROR(__xludf.DUMMYFUNCTION("""COMPUTED_VALUE"""),99999.0)</f>
        <v>99999</v>
      </c>
      <c r="P1956" s="148">
        <f>IFERROR(__xludf.DUMMYFUNCTION("""COMPUTED_VALUE"""),99999.0)</f>
        <v>99999</v>
      </c>
      <c r="Q1956" s="148" t="str">
        <f>IFERROR(__xludf.DUMMYFUNCTION("""COMPUTED_VALUE"""),"[""bag_other""]")</f>
        <v>["bag_other"]</v>
      </c>
      <c r="R1956" s="148" t="str">
        <f>IFERROR(__xludf.DUMMYFUNCTION("""COMPUTED_VALUE"""),"[""40011011""]")</f>
        <v>["40011011"]</v>
      </c>
      <c r="S1956" s="148" t="str">
        <f>IFERROR(__xludf.DUMMYFUNCTION("""COMPUTED_VALUE"""),"{}")</f>
        <v>{}</v>
      </c>
      <c r="T1956" s="148">
        <f>IFERROR(__xludf.DUMMYFUNCTION("""COMPUTED_VALUE"""),-1.0)</f>
        <v>-1</v>
      </c>
      <c r="U1956" s="148">
        <f>IFERROR(__xludf.DUMMYFUNCTION("""COMPUTED_VALUE"""),0.0)</f>
        <v>0</v>
      </c>
      <c r="V1956" s="148" t="str">
        <f>IFERROR(__xludf.DUMMYFUNCTION("""COMPUTED_VALUE"""),"[]")</f>
        <v>[]</v>
      </c>
      <c r="W1956" s="148">
        <f>IFERROR(__xludf.DUMMYFUNCTION("""COMPUTED_VALUE"""),1.174E7)</f>
        <v>11740000</v>
      </c>
      <c r="X1956" s="148">
        <f>IFERROR(__xludf.DUMMYFUNCTION("""COMPUTED_VALUE"""),0.0)</f>
        <v>0</v>
      </c>
      <c r="Y1956" s="148">
        <f>IFERROR(__xludf.DUMMYFUNCTION("""COMPUTED_VALUE"""),0.0)</f>
        <v>0</v>
      </c>
      <c r="Z1956" s="148"/>
    </row>
    <row r="1957">
      <c r="A1957" s="148">
        <f>IFERROR(__xludf.DUMMYFUNCTION("""COMPUTED_VALUE"""),1.1118201E7)</f>
        <v>11118201</v>
      </c>
      <c r="B1957" s="148" t="str">
        <f>IFERROR(__xludf.DUMMYFUNCTION("""COMPUTED_VALUE"""),"通用机甲芯片")</f>
        <v>通用机甲芯片</v>
      </c>
      <c r="C1957" s="148"/>
      <c r="D1957" s="148" t="str">
        <f>IFERROR(__xludf.DUMMYFUNCTION("""COMPUTED_VALUE"""),"mecha_unit_universal")</f>
        <v>mecha_unit_universal</v>
      </c>
      <c r="E1957" s="148">
        <f>IFERROR(__xludf.DUMMYFUNCTION("""COMPUTED_VALUE"""),0.0)</f>
        <v>0</v>
      </c>
      <c r="F1957" s="148">
        <f>IFERROR(__xludf.DUMMYFUNCTION("""COMPUTED_VALUE"""),414001.0)</f>
        <v>414001</v>
      </c>
      <c r="G1957" s="148">
        <f>IFERROR(__xludf.DUMMYFUNCTION("""COMPUTED_VALUE"""),1.5116354E7)</f>
        <v>15116354</v>
      </c>
      <c r="H1957" s="148">
        <f>IFERROR(__xludf.DUMMYFUNCTION("""COMPUTED_VALUE"""),1.5112564E7)</f>
        <v>15112564</v>
      </c>
      <c r="I1957" s="148" t="str">
        <f>IFERROR(__xludf.DUMMYFUNCTION("""COMPUTED_VALUE"""),"{}")</f>
        <v>{}</v>
      </c>
      <c r="J1957" s="148" t="str">
        <f>IFERROR(__xludf.DUMMYFUNCTION("""COMPUTED_VALUE"""),"{""typ"":""lc"",""txt"":""LC_ITEM_mecha_unit_universal_name""}")</f>
        <v>{"typ":"lc","txt":"LC_ITEM_mecha_unit_universal_name"}</v>
      </c>
      <c r="K1957" s="148" t="str">
        <f>IFERROR(__xludf.DUMMYFUNCTION("""COMPUTED_VALUE"""),"{""typ"":""lc"",""txt"":""LC_ITEM_mecha_unit_universal_desc""}")</f>
        <v>{"typ":"lc","txt":"LC_ITEM_mecha_unit_universal_desc"}</v>
      </c>
      <c r="L1957" s="148" t="str">
        <f>IFERROR(__xludf.DUMMYFUNCTION("""COMPUTED_VALUE"""),"{}")</f>
        <v>{}</v>
      </c>
      <c r="M1957" s="148">
        <f>IFERROR(__xludf.DUMMYFUNCTION("""COMPUTED_VALUE"""),5000.0)</f>
        <v>5000</v>
      </c>
      <c r="N1957" s="148">
        <f>IFERROR(__xludf.DUMMYFUNCTION("""COMPUTED_VALUE"""),9999999.0)</f>
        <v>9999999</v>
      </c>
      <c r="O1957" s="148">
        <f>IFERROR(__xludf.DUMMYFUNCTION("""COMPUTED_VALUE"""),99999.0)</f>
        <v>99999</v>
      </c>
      <c r="P1957" s="148">
        <f>IFERROR(__xludf.DUMMYFUNCTION("""COMPUTED_VALUE"""),99999.0)</f>
        <v>99999</v>
      </c>
      <c r="Q1957" s="148" t="str">
        <f>IFERROR(__xludf.DUMMYFUNCTION("""COMPUTED_VALUE"""),"[""bag_other""]")</f>
        <v>["bag_other"]</v>
      </c>
      <c r="R1957" s="148" t="str">
        <f>IFERROR(__xludf.DUMMYFUNCTION("""COMPUTED_VALUE"""),"[""exchange_mecha_orange""]")</f>
        <v>["exchange_mecha_orange"]</v>
      </c>
      <c r="S1957" s="148" t="str">
        <f>IFERROR(__xludf.DUMMYFUNCTION("""COMPUTED_VALUE"""),"{""effect"":[{""typ"":""item"",""id"":11118102,""val"":1,""arg1"":1,""arg2"":[40011002]},{""typ"":""item"",""id"":11118103,""val"":1,""arg1"":1,""arg2"":[40011003]},{""typ"":""item"",""id"":11118104,""val"":1,""arg1"":1,""arg2"":[40011004]},{""typ"":""ite"&amp;"m"",""id"":11118105,""val"":1,""arg1"":1,""arg2"":[40011005]},{""typ"":""item"",""id"":11118106,""val"":1,""arg1"":1,""arg2"":[40011006]},{""typ"":""item"",""id"":11118107,""val"":1,""arg1"":1,""arg2"":[40011007]},{""typ"":""item"",""id"":11118108,""val"""&amp;":1,""arg1"":1,""arg2"":[40011008]},{""typ"":""item"",""id"":11118109,""val"":1,""arg1"":1,""arg2"":[40011009]},{""typ"":""item"",""id"":11118110,""val"":1,""arg1"":1,""arg2"":[40011010]},{""typ"":""item"",""id"":11118112,""val"":1,""arg1"":1,""arg2"":[400"&amp;"11011]}]}")</f>
        <v>{"effect":[{"typ":"item","id":11118102,"val":1,"arg1":1,"arg2":[40011002]},{"typ":"item","id":11118103,"val":1,"arg1":1,"arg2":[40011003]},{"typ":"item","id":11118104,"val":1,"arg1":1,"arg2":[40011004]},{"typ":"item","id":11118105,"val":1,"arg1":1,"arg2":[40011005]},{"typ":"item","id":11118106,"val":1,"arg1":1,"arg2":[40011006]},{"typ":"item","id":11118107,"val":1,"arg1":1,"arg2":[40011007]},{"typ":"item","id":11118108,"val":1,"arg1":1,"arg2":[40011008]},{"typ":"item","id":11118109,"val":1,"arg1":1,"arg2":[40011009]},{"typ":"item","id":11118110,"val":1,"arg1":1,"arg2":[40011010]},{"typ":"item","id":11118112,"val":1,"arg1":1,"arg2":[40011011]}]}</v>
      </c>
      <c r="T1957" s="148">
        <f>IFERROR(__xludf.DUMMYFUNCTION("""COMPUTED_VALUE"""),-1.0)</f>
        <v>-1</v>
      </c>
      <c r="U1957" s="148">
        <f>IFERROR(__xludf.DUMMYFUNCTION("""COMPUTED_VALUE"""),0.0)</f>
        <v>0</v>
      </c>
      <c r="V1957" s="148" t="str">
        <f>IFERROR(__xludf.DUMMYFUNCTION("""COMPUTED_VALUE"""),"[]")</f>
        <v>[]</v>
      </c>
      <c r="W1957" s="148">
        <f>IFERROR(__xludf.DUMMYFUNCTION("""COMPUTED_VALUE"""),1.174E7)</f>
        <v>11740000</v>
      </c>
      <c r="X1957" s="148">
        <f>IFERROR(__xludf.DUMMYFUNCTION("""COMPUTED_VALUE"""),0.0)</f>
        <v>0</v>
      </c>
      <c r="Y1957" s="148">
        <f>IFERROR(__xludf.DUMMYFUNCTION("""COMPUTED_VALUE"""),0.0)</f>
        <v>0</v>
      </c>
      <c r="Z1957" s="148"/>
    </row>
    <row r="1958">
      <c r="A1958" s="148">
        <f>IFERROR(__xludf.DUMMYFUNCTION("""COMPUTED_VALUE"""),1.1118202E7)</f>
        <v>11118202</v>
      </c>
      <c r="B1958" s="148" t="str">
        <f>IFERROR(__xludf.DUMMYFUNCTION("""COMPUTED_VALUE"""),"机甲耐久强化道具")</f>
        <v>机甲耐久强化道具</v>
      </c>
      <c r="C1958" s="148"/>
      <c r="D1958" s="148" t="str">
        <f>IFERROR(__xludf.DUMMYFUNCTION("""COMPUTED_VALUE"""),"mecha")</f>
        <v>mecha</v>
      </c>
      <c r="E1958" s="148">
        <f>IFERROR(__xludf.DUMMYFUNCTION("""COMPUTED_VALUE"""),0.0)</f>
        <v>0</v>
      </c>
      <c r="F1958" s="148">
        <f>IFERROR(__xludf.DUMMYFUNCTION("""COMPUTED_VALUE"""),414002.0)</f>
        <v>414002</v>
      </c>
      <c r="G1958" s="148">
        <f>IFERROR(__xludf.DUMMYFUNCTION("""COMPUTED_VALUE"""),1.5119383E7)</f>
        <v>15119383</v>
      </c>
      <c r="H1958" s="148">
        <f>IFERROR(__xludf.DUMMYFUNCTION("""COMPUTED_VALUE"""),1.5115983E7)</f>
        <v>15115983</v>
      </c>
      <c r="I1958" s="148" t="str">
        <f>IFERROR(__xludf.DUMMYFUNCTION("""COMPUTED_VALUE"""),"{}")</f>
        <v>{}</v>
      </c>
      <c r="J1958" s="148" t="str">
        <f>IFERROR(__xludf.DUMMYFUNCTION("""COMPUTED_VALUE"""),"{""typ"":""lc"",""txt"":""LC_ITEM_mecha_durability_level_name""}")</f>
        <v>{"typ":"lc","txt":"LC_ITEM_mecha_durability_level_name"}</v>
      </c>
      <c r="K1958" s="148" t="str">
        <f>IFERROR(__xludf.DUMMYFUNCTION("""COMPUTED_VALUE"""),"{""typ"":""lc"",""txt"":""LC_ITEM_mecha_durability_level_desc""}")</f>
        <v>{"typ":"lc","txt":"LC_ITEM_mecha_durability_level_desc"}</v>
      </c>
      <c r="L1958" s="148" t="str">
        <f>IFERROR(__xludf.DUMMYFUNCTION("""COMPUTED_VALUE"""),"{}")</f>
        <v>{}</v>
      </c>
      <c r="M1958" s="148">
        <f>IFERROR(__xludf.DUMMYFUNCTION("""COMPUTED_VALUE"""),5000.0)</f>
        <v>5000</v>
      </c>
      <c r="N1958" s="148">
        <f>IFERROR(__xludf.DUMMYFUNCTION("""COMPUTED_VALUE"""),9999999.0)</f>
        <v>9999999</v>
      </c>
      <c r="O1958" s="148">
        <f>IFERROR(__xludf.DUMMYFUNCTION("""COMPUTED_VALUE"""),99999.0)</f>
        <v>99999</v>
      </c>
      <c r="P1958" s="148">
        <f>IFERROR(__xludf.DUMMYFUNCTION("""COMPUTED_VALUE"""),99999.0)</f>
        <v>99999</v>
      </c>
      <c r="Q1958" s="148" t="str">
        <f>IFERROR(__xludf.DUMMYFUNCTION("""COMPUTED_VALUE"""),"[""bag_other""]")</f>
        <v>["bag_other"]</v>
      </c>
      <c r="R1958" s="148" t="str">
        <f>IFERROR(__xludf.DUMMYFUNCTION("""COMPUTED_VALUE"""),"[]")</f>
        <v>[]</v>
      </c>
      <c r="S1958" s="148" t="str">
        <f>IFERROR(__xludf.DUMMYFUNCTION("""COMPUTED_VALUE"""),"{}")</f>
        <v>{}</v>
      </c>
      <c r="T1958" s="148">
        <f>IFERROR(__xludf.DUMMYFUNCTION("""COMPUTED_VALUE"""),-1.0)</f>
        <v>-1</v>
      </c>
      <c r="U1958" s="148">
        <f>IFERROR(__xludf.DUMMYFUNCTION("""COMPUTED_VALUE"""),0.0)</f>
        <v>0</v>
      </c>
      <c r="V1958" s="148" t="str">
        <f>IFERROR(__xludf.DUMMYFUNCTION("""COMPUTED_VALUE"""),"[]")</f>
        <v>[]</v>
      </c>
      <c r="W1958" s="148">
        <f>IFERROR(__xludf.DUMMYFUNCTION("""COMPUTED_VALUE"""),1.174E7)</f>
        <v>11740000</v>
      </c>
      <c r="X1958" s="148">
        <f>IFERROR(__xludf.DUMMYFUNCTION("""COMPUTED_VALUE"""),0.0)</f>
        <v>0</v>
      </c>
      <c r="Y1958" s="148">
        <f>IFERROR(__xludf.DUMMYFUNCTION("""COMPUTED_VALUE"""),0.0)</f>
        <v>0</v>
      </c>
      <c r="Z1958" s="148"/>
    </row>
    <row r="1959">
      <c r="A1959" s="148">
        <f>IFERROR(__xludf.DUMMYFUNCTION("""COMPUTED_VALUE"""),1.1118203E7)</f>
        <v>11118203</v>
      </c>
      <c r="B1959" s="148" t="str">
        <f>IFERROR(__xludf.DUMMYFUNCTION("""COMPUTED_VALUE"""),"机甲芯片自选宝箱（金刚、猎豹、毒蝎）")</f>
        <v>机甲芯片自选宝箱（金刚、猎豹、毒蝎）</v>
      </c>
      <c r="C1959" s="148"/>
      <c r="D1959" s="148" t="str">
        <f>IFERROR(__xludf.DUMMYFUNCTION("""COMPUTED_VALUE"""),"item_select_box")</f>
        <v>item_select_box</v>
      </c>
      <c r="E1959" s="148">
        <f>IFERROR(__xludf.DUMMYFUNCTION("""COMPUTED_VALUE"""),19.0)</f>
        <v>19</v>
      </c>
      <c r="F1959" s="148">
        <f>IFERROR(__xludf.DUMMYFUNCTION("""COMPUTED_VALUE"""),412003.0)</f>
        <v>412003</v>
      </c>
      <c r="G1959" s="148">
        <f>IFERROR(__xludf.DUMMYFUNCTION("""COMPUTED_VALUE"""),1.51100704E8)</f>
        <v>151100704</v>
      </c>
      <c r="H1959" s="148">
        <f>IFERROR(__xludf.DUMMYFUNCTION("""COMPUTED_VALUE"""),1.5112564E7)</f>
        <v>15112564</v>
      </c>
      <c r="I1959" s="148" t="str">
        <f>IFERROR(__xludf.DUMMYFUNCTION("""COMPUTED_VALUE"""),"{}")</f>
        <v>{}</v>
      </c>
      <c r="J1959" s="148" t="str">
        <f>IFERROR(__xludf.DUMMYFUNCTION("""COMPUTED_VALUE"""),"{""typ"":""lc"",""txt"":""LC_ITEM_mecha_select_box""}")</f>
        <v>{"typ":"lc","txt":"LC_ITEM_mecha_select_box"}</v>
      </c>
      <c r="K1959" s="148" t="str">
        <f>IFERROR(__xludf.DUMMYFUNCTION("""COMPUTED_VALUE"""),"{""typ"":""lc"",""txt"":""LC_ITEM_mecha_select_box_desc""}")</f>
        <v>{"typ":"lc","txt":"LC_ITEM_mecha_select_box_desc"}</v>
      </c>
      <c r="L1959" s="148" t="str">
        <f>IFERROR(__xludf.DUMMYFUNCTION("""COMPUTED_VALUE"""),"{}")</f>
        <v>{}</v>
      </c>
      <c r="M1959" s="148">
        <f>IFERROR(__xludf.DUMMYFUNCTION("""COMPUTED_VALUE"""),4000.0)</f>
        <v>4000</v>
      </c>
      <c r="N1959" s="148">
        <f>IFERROR(__xludf.DUMMYFUNCTION("""COMPUTED_VALUE"""),999999.0)</f>
        <v>999999</v>
      </c>
      <c r="O1959" s="148">
        <f>IFERROR(__xludf.DUMMYFUNCTION("""COMPUTED_VALUE"""),99999.0)</f>
        <v>99999</v>
      </c>
      <c r="P1959" s="148">
        <f>IFERROR(__xludf.DUMMYFUNCTION("""COMPUTED_VALUE"""),99999.0)</f>
        <v>99999</v>
      </c>
      <c r="Q1959" s="148" t="str">
        <f>IFERROR(__xludf.DUMMYFUNCTION("""COMPUTED_VALUE"""),"[""bag_other""]")</f>
        <v>["bag_other"]</v>
      </c>
      <c r="R1959" s="148" t="str">
        <f>IFERROR(__xludf.DUMMYFUNCTION("""COMPUTED_VALUE"""),"[""bag""]")</f>
        <v>["bag"]</v>
      </c>
      <c r="S1959" s="148" t="str">
        <f>IFERROR(__xludf.DUMMYFUNCTION("""COMPUTED_VALUE"""),"{""select_box"":[{""typ"":""item"",""id"":11118102,""val"":1},{""typ"":""item"",""id"":11118103,""val"":1},{""typ"":""item"",""id"":11118104,""val"":1}]}")</f>
        <v>{"select_box":[{"typ":"item","id":11118102,"val":1},{"typ":"item","id":11118103,"val":1},{"typ":"item","id":11118104,"val":1}]}</v>
      </c>
      <c r="T1959" s="148">
        <f>IFERROR(__xludf.DUMMYFUNCTION("""COMPUTED_VALUE"""),-1.0)</f>
        <v>-1</v>
      </c>
      <c r="U1959" s="148">
        <f>IFERROR(__xludf.DUMMYFUNCTION("""COMPUTED_VALUE"""),0.0)</f>
        <v>0</v>
      </c>
      <c r="V1959" s="148" t="str">
        <f>IFERROR(__xludf.DUMMYFUNCTION("""COMPUTED_VALUE"""),"[]")</f>
        <v>[]</v>
      </c>
      <c r="W1959" s="148">
        <f>IFERROR(__xludf.DUMMYFUNCTION("""COMPUTED_VALUE"""),1.174E7)</f>
        <v>11740000</v>
      </c>
      <c r="X1959" s="148">
        <f>IFERROR(__xludf.DUMMYFUNCTION("""COMPUTED_VALUE"""),0.0)</f>
        <v>0</v>
      </c>
      <c r="Y1959" s="148">
        <f>IFERROR(__xludf.DUMMYFUNCTION("""COMPUTED_VALUE"""),0.0)</f>
        <v>0</v>
      </c>
      <c r="Z1959" s="148"/>
    </row>
    <row r="1960">
      <c r="A1960" s="148">
        <f>IFERROR(__xludf.DUMMYFUNCTION("""COMPUTED_VALUE"""),1.1118301E7)</f>
        <v>11118301</v>
      </c>
      <c r="B1960" s="148" t="str">
        <f>IFERROR(__xludf.DUMMYFUNCTION("""COMPUTED_VALUE"""),"机甲重置器")</f>
        <v>机甲重置器</v>
      </c>
      <c r="C1960" s="148"/>
      <c r="D1960" s="148" t="str">
        <f>IFERROR(__xludf.DUMMYFUNCTION("""COMPUTED_VALUE"""),"mecha_free_attr_reset")</f>
        <v>mecha_free_attr_reset</v>
      </c>
      <c r="E1960" s="148">
        <f>IFERROR(__xludf.DUMMYFUNCTION("""COMPUTED_VALUE"""),0.0)</f>
        <v>0</v>
      </c>
      <c r="F1960" s="148">
        <f>IFERROR(__xludf.DUMMYFUNCTION("""COMPUTED_VALUE"""),415001.0)</f>
        <v>415001</v>
      </c>
      <c r="G1960" s="148">
        <f>IFERROR(__xludf.DUMMYFUNCTION("""COMPUTED_VALUE"""),1.5116357E7)</f>
        <v>15116357</v>
      </c>
      <c r="H1960" s="148">
        <f>IFERROR(__xludf.DUMMYFUNCTION("""COMPUTED_VALUE"""),1.5112564E7)</f>
        <v>15112564</v>
      </c>
      <c r="I1960" s="148" t="str">
        <f>IFERROR(__xludf.DUMMYFUNCTION("""COMPUTED_VALUE"""),"{}")</f>
        <v>{}</v>
      </c>
      <c r="J1960" s="148" t="str">
        <f>IFERROR(__xludf.DUMMYFUNCTION("""COMPUTED_VALUE"""),"{""typ"":""lc"",""txt"":""LC_ITEM_mecha_reset_name""}")</f>
        <v>{"typ":"lc","txt":"LC_ITEM_mecha_reset_name"}</v>
      </c>
      <c r="K1960" s="148" t="str">
        <f>IFERROR(__xludf.DUMMYFUNCTION("""COMPUTED_VALUE"""),"{""typ"":""lc"",""txt"":""LC_ITEM_mecha_reset_desc""}")</f>
        <v>{"typ":"lc","txt":"LC_ITEM_mecha_reset_desc"}</v>
      </c>
      <c r="L1960" s="148" t="str">
        <f>IFERROR(__xludf.DUMMYFUNCTION("""COMPUTED_VALUE"""),"{}")</f>
        <v>{}</v>
      </c>
      <c r="M1960" s="148">
        <f>IFERROR(__xludf.DUMMYFUNCTION("""COMPUTED_VALUE"""),10000.0)</f>
        <v>10000</v>
      </c>
      <c r="N1960" s="148">
        <f>IFERROR(__xludf.DUMMYFUNCTION("""COMPUTED_VALUE"""),9999999.0)</f>
        <v>9999999</v>
      </c>
      <c r="O1960" s="148">
        <f>IFERROR(__xludf.DUMMYFUNCTION("""COMPUTED_VALUE"""),99999.0)</f>
        <v>99999</v>
      </c>
      <c r="P1960" s="148">
        <f>IFERROR(__xludf.DUMMYFUNCTION("""COMPUTED_VALUE"""),99999.0)</f>
        <v>99999</v>
      </c>
      <c r="Q1960" s="148" t="str">
        <f>IFERROR(__xludf.DUMMYFUNCTION("""COMPUTED_VALUE"""),"[""bag_other""]")</f>
        <v>["bag_other"]</v>
      </c>
      <c r="R1960" s="148" t="str">
        <f>IFERROR(__xludf.DUMMYFUNCTION("""COMPUTED_VALUE"""),"[]")</f>
        <v>[]</v>
      </c>
      <c r="S1960" s="148" t="str">
        <f>IFERROR(__xludf.DUMMYFUNCTION("""COMPUTED_VALUE"""),"{}")</f>
        <v>{}</v>
      </c>
      <c r="T1960" s="148">
        <f>IFERROR(__xludf.DUMMYFUNCTION("""COMPUTED_VALUE"""),1.0)</f>
        <v>1</v>
      </c>
      <c r="U1960" s="148">
        <f>IFERROR(__xludf.DUMMYFUNCTION("""COMPUTED_VALUE"""),0.0)</f>
        <v>0</v>
      </c>
      <c r="V1960" s="148" t="str">
        <f>IFERROR(__xludf.DUMMYFUNCTION("""COMPUTED_VALUE"""),"[]")</f>
        <v>[]</v>
      </c>
      <c r="W1960" s="148">
        <f>IFERROR(__xludf.DUMMYFUNCTION("""COMPUTED_VALUE"""),1.174E7)</f>
        <v>11740000</v>
      </c>
      <c r="X1960" s="148">
        <f>IFERROR(__xludf.DUMMYFUNCTION("""COMPUTED_VALUE"""),0.0)</f>
        <v>0</v>
      </c>
      <c r="Y1960" s="148">
        <f>IFERROR(__xludf.DUMMYFUNCTION("""COMPUTED_VALUE"""),0.0)</f>
        <v>0</v>
      </c>
      <c r="Z1960" s="148"/>
    </row>
    <row r="1961">
      <c r="A1961" s="148">
        <f>IFERROR(__xludf.DUMMYFUNCTION("""COMPUTED_VALUE"""),1.1118401E7)</f>
        <v>11118401</v>
      </c>
      <c r="B1961" s="148" t="str">
        <f>IFERROR(__xludf.DUMMYFUNCTION("""COMPUTED_VALUE"""),"机甲手册")</f>
        <v>机甲手册</v>
      </c>
      <c r="C1961" s="148"/>
      <c r="D1961" s="148" t="str">
        <f>IFERROR(__xludf.DUMMYFUNCTION("""COMPUTED_VALUE"""),"mecha")</f>
        <v>mecha</v>
      </c>
      <c r="E1961" s="148">
        <f>IFERROR(__xludf.DUMMYFUNCTION("""COMPUTED_VALUE"""),0.0)</f>
        <v>0</v>
      </c>
      <c r="F1961" s="148">
        <f>IFERROR(__xludf.DUMMYFUNCTION("""COMPUTED_VALUE"""),416001.0)</f>
        <v>416001</v>
      </c>
      <c r="G1961" s="148">
        <f>IFERROR(__xludf.DUMMYFUNCTION("""COMPUTED_VALUE"""),1.5116358E7)</f>
        <v>15116358</v>
      </c>
      <c r="H1961" s="148">
        <f>IFERROR(__xludf.DUMMYFUNCTION("""COMPUTED_VALUE"""),1.5112563E7)</f>
        <v>15112563</v>
      </c>
      <c r="I1961" s="148" t="str">
        <f>IFERROR(__xludf.DUMMYFUNCTION("""COMPUTED_VALUE"""),"{}")</f>
        <v>{}</v>
      </c>
      <c r="J1961" s="148" t="str">
        <f>IFERROR(__xludf.DUMMYFUNCTION("""COMPUTED_VALUE"""),"{""typ"":""lc"",""txt"":""LC_ITEM_mecha_manual_name""}")</f>
        <v>{"typ":"lc","txt":"LC_ITEM_mecha_manual_name"}</v>
      </c>
      <c r="K1961" s="148" t="str">
        <f>IFERROR(__xludf.DUMMYFUNCTION("""COMPUTED_VALUE"""),"{""typ"":""lc"",""txt"":""LC_ITEM_mecha_manual_desc""}")</f>
        <v>{"typ":"lc","txt":"LC_ITEM_mecha_manual_desc"}</v>
      </c>
      <c r="L1961" s="148" t="str">
        <f>IFERROR(__xludf.DUMMYFUNCTION("""COMPUTED_VALUE"""),"{}")</f>
        <v>{}</v>
      </c>
      <c r="M1961" s="148">
        <f>IFERROR(__xludf.DUMMYFUNCTION("""COMPUTED_VALUE"""),1000.0)</f>
        <v>1000</v>
      </c>
      <c r="N1961" s="148">
        <f>IFERROR(__xludf.DUMMYFUNCTION("""COMPUTED_VALUE"""),9999999.0)</f>
        <v>9999999</v>
      </c>
      <c r="O1961" s="148">
        <f>IFERROR(__xludf.DUMMYFUNCTION("""COMPUTED_VALUE"""),99999.0)</f>
        <v>99999</v>
      </c>
      <c r="P1961" s="148">
        <f>IFERROR(__xludf.DUMMYFUNCTION("""COMPUTED_VALUE"""),99999.0)</f>
        <v>99999</v>
      </c>
      <c r="Q1961" s="148" t="str">
        <f>IFERROR(__xludf.DUMMYFUNCTION("""COMPUTED_VALUE"""),"[""bag_other""]")</f>
        <v>["bag_other"]</v>
      </c>
      <c r="R1961" s="148" t="str">
        <f>IFERROR(__xludf.DUMMYFUNCTION("""COMPUTED_VALUE"""),"[]")</f>
        <v>[]</v>
      </c>
      <c r="S1961" s="148" t="str">
        <f>IFERROR(__xludf.DUMMYFUNCTION("""COMPUTED_VALUE"""),"{}")</f>
        <v>{}</v>
      </c>
      <c r="T1961" s="148">
        <f>IFERROR(__xludf.DUMMYFUNCTION("""COMPUTED_VALUE"""),1.0)</f>
        <v>1</v>
      </c>
      <c r="U1961" s="148">
        <f>IFERROR(__xludf.DUMMYFUNCTION("""COMPUTED_VALUE"""),0.0)</f>
        <v>0</v>
      </c>
      <c r="V1961" s="148" t="str">
        <f>IFERROR(__xludf.DUMMYFUNCTION("""COMPUTED_VALUE"""),"[]")</f>
        <v>[]</v>
      </c>
      <c r="W1961" s="148">
        <f>IFERROR(__xludf.DUMMYFUNCTION("""COMPUTED_VALUE"""),1.174E7)</f>
        <v>11740000</v>
      </c>
      <c r="X1961" s="148">
        <f>IFERROR(__xludf.DUMMYFUNCTION("""COMPUTED_VALUE"""),0.0)</f>
        <v>0</v>
      </c>
      <c r="Y1961" s="148">
        <f>IFERROR(__xludf.DUMMYFUNCTION("""COMPUTED_VALUE"""),0.0)</f>
        <v>0</v>
      </c>
      <c r="Z1961" s="148"/>
    </row>
    <row r="1962">
      <c r="A1962" s="148">
        <f>IFERROR(__xludf.DUMMYFUNCTION("""COMPUTED_VALUE"""),1.1118501E7)</f>
        <v>11118501</v>
      </c>
      <c r="B1962" s="148" t="str">
        <f>IFERROR(__xludf.DUMMYFUNCTION("""COMPUTED_VALUE"""),"机能核心")</f>
        <v>机能核心</v>
      </c>
      <c r="C1962" s="148"/>
      <c r="D1962" s="148" t="str">
        <f>IFERROR(__xludf.DUMMYFUNCTION("""COMPUTED_VALUE"""),"mecha")</f>
        <v>mecha</v>
      </c>
      <c r="E1962" s="148">
        <f>IFERROR(__xludf.DUMMYFUNCTION("""COMPUTED_VALUE"""),0.0)</f>
        <v>0</v>
      </c>
      <c r="F1962" s="148">
        <f>IFERROR(__xludf.DUMMYFUNCTION("""COMPUTED_VALUE"""),417001.0)</f>
        <v>417001</v>
      </c>
      <c r="G1962" s="148">
        <f>IFERROR(__xludf.DUMMYFUNCTION("""COMPUTED_VALUE"""),1.5116356E7)</f>
        <v>15116356</v>
      </c>
      <c r="H1962" s="148">
        <f>IFERROR(__xludf.DUMMYFUNCTION("""COMPUTED_VALUE"""),1.5112564E7)</f>
        <v>15112564</v>
      </c>
      <c r="I1962" s="148" t="str">
        <f>IFERROR(__xludf.DUMMYFUNCTION("""COMPUTED_VALUE"""),"{}")</f>
        <v>{}</v>
      </c>
      <c r="J1962" s="148" t="str">
        <f>IFERROR(__xludf.DUMMYFUNCTION("""COMPUTED_VALUE"""),"{""typ"":""lc"",""txt"":""LC_ITEM_mecha_core_name""}")</f>
        <v>{"typ":"lc","txt":"LC_ITEM_mecha_core_name"}</v>
      </c>
      <c r="K1962" s="148" t="str">
        <f>IFERROR(__xludf.DUMMYFUNCTION("""COMPUTED_VALUE"""),"{""typ"":""lc"",""txt"":""LC_ITEM_mecha_core_desc""}")</f>
        <v>{"typ":"lc","txt":"LC_ITEM_mecha_core_desc"}</v>
      </c>
      <c r="L1962" s="148" t="str">
        <f>IFERROR(__xludf.DUMMYFUNCTION("""COMPUTED_VALUE"""),"{}")</f>
        <v>{}</v>
      </c>
      <c r="M1962" s="148">
        <f>IFERROR(__xludf.DUMMYFUNCTION("""COMPUTED_VALUE"""),2000.0)</f>
        <v>2000</v>
      </c>
      <c r="N1962" s="148">
        <f>IFERROR(__xludf.DUMMYFUNCTION("""COMPUTED_VALUE"""),9999999.0)</f>
        <v>9999999</v>
      </c>
      <c r="O1962" s="148">
        <f>IFERROR(__xludf.DUMMYFUNCTION("""COMPUTED_VALUE"""),99999.0)</f>
        <v>99999</v>
      </c>
      <c r="P1962" s="148">
        <f>IFERROR(__xludf.DUMMYFUNCTION("""COMPUTED_VALUE"""),99999.0)</f>
        <v>99999</v>
      </c>
      <c r="Q1962" s="148" t="str">
        <f>IFERROR(__xludf.DUMMYFUNCTION("""COMPUTED_VALUE"""),"[""bag_other""]")</f>
        <v>["bag_other"]</v>
      </c>
      <c r="R1962" s="148" t="str">
        <f>IFERROR(__xludf.DUMMYFUNCTION("""COMPUTED_VALUE"""),"[]")</f>
        <v>[]</v>
      </c>
      <c r="S1962" s="148" t="str">
        <f>IFERROR(__xludf.DUMMYFUNCTION("""COMPUTED_VALUE"""),"{}")</f>
        <v>{}</v>
      </c>
      <c r="T1962" s="148">
        <f>IFERROR(__xludf.DUMMYFUNCTION("""COMPUTED_VALUE"""),1.0)</f>
        <v>1</v>
      </c>
      <c r="U1962" s="148">
        <f>IFERROR(__xludf.DUMMYFUNCTION("""COMPUTED_VALUE"""),0.0)</f>
        <v>0</v>
      </c>
      <c r="V1962" s="148" t="str">
        <f>IFERROR(__xludf.DUMMYFUNCTION("""COMPUTED_VALUE"""),"[]")</f>
        <v>[]</v>
      </c>
      <c r="W1962" s="148">
        <f>IFERROR(__xludf.DUMMYFUNCTION("""COMPUTED_VALUE"""),1.174E7)</f>
        <v>11740000</v>
      </c>
      <c r="X1962" s="148">
        <f>IFERROR(__xludf.DUMMYFUNCTION("""COMPUTED_VALUE"""),0.0)</f>
        <v>0</v>
      </c>
      <c r="Y1962" s="148">
        <f>IFERROR(__xludf.DUMMYFUNCTION("""COMPUTED_VALUE"""),0.0)</f>
        <v>0</v>
      </c>
      <c r="Z1962" s="148"/>
    </row>
    <row r="1963">
      <c r="A1963" s="148">
        <f>IFERROR(__xludf.DUMMYFUNCTION("""COMPUTED_VALUE"""),1.1118502E7)</f>
        <v>11118502</v>
      </c>
      <c r="B1963" s="148" t="str">
        <f>IFERROR(__xludf.DUMMYFUNCTION("""COMPUTED_VALUE"""),"猎豹头部（礼包表现用）")</f>
        <v>猎豹头部（礼包表现用）</v>
      </c>
      <c r="C1963" s="148"/>
      <c r="D1963" s="148" t="str">
        <f>IFERROR(__xludf.DUMMYFUNCTION("""COMPUTED_VALUE"""),"mecha")</f>
        <v>mecha</v>
      </c>
      <c r="E1963" s="148">
        <f>IFERROR(__xludf.DUMMYFUNCTION("""COMPUTED_VALUE"""),0.0)</f>
        <v>0</v>
      </c>
      <c r="F1963" s="148">
        <f>IFERROR(__xludf.DUMMYFUNCTION("""COMPUTED_VALUE"""),417001.0)</f>
        <v>417001</v>
      </c>
      <c r="G1963" s="148">
        <f>IFERROR(__xludf.DUMMYFUNCTION("""COMPUTED_VALUE"""),1.5117292E7)</f>
        <v>15117292</v>
      </c>
      <c r="H1963" s="148">
        <f>IFERROR(__xludf.DUMMYFUNCTION("""COMPUTED_VALUE"""),1.5112564E7)</f>
        <v>15112564</v>
      </c>
      <c r="I1963" s="148" t="str">
        <f>IFERROR(__xludf.DUMMYFUNCTION("""COMPUTED_VALUE"""),"{}")</f>
        <v>{}</v>
      </c>
      <c r="J1963" s="148" t="str">
        <f>IFERROR(__xludf.DUMMYFUNCTION("""COMPUTED_VALUE"""),"{""typ"":""lc"",""txt"":""LC_IAP_mecha3_head_name""}")</f>
        <v>{"typ":"lc","txt":"LC_IAP_mecha3_head_name"}</v>
      </c>
      <c r="K1963" s="148" t="str">
        <f>IFERROR(__xludf.DUMMYFUNCTION("""COMPUTED_VALUE"""),"{""typ"":""lc"",""txt"":""LC_IAP_mecha3_head_desc""}")</f>
        <v>{"typ":"lc","txt":"LC_IAP_mecha3_head_desc"}</v>
      </c>
      <c r="L1963" s="148" t="str">
        <f>IFERROR(__xludf.DUMMYFUNCTION("""COMPUTED_VALUE"""),"{}")</f>
        <v>{}</v>
      </c>
      <c r="M1963" s="148">
        <f>IFERROR(__xludf.DUMMYFUNCTION("""COMPUTED_VALUE"""),40000.0)</f>
        <v>40000</v>
      </c>
      <c r="N1963" s="148">
        <f>IFERROR(__xludf.DUMMYFUNCTION("""COMPUTED_VALUE"""),999999.0)</f>
        <v>999999</v>
      </c>
      <c r="O1963" s="148">
        <f>IFERROR(__xludf.DUMMYFUNCTION("""COMPUTED_VALUE"""),99999.0)</f>
        <v>99999</v>
      </c>
      <c r="P1963" s="148">
        <f>IFERROR(__xludf.DUMMYFUNCTION("""COMPUTED_VALUE"""),9999.0)</f>
        <v>9999</v>
      </c>
      <c r="Q1963" s="148" t="str">
        <f>IFERROR(__xludf.DUMMYFUNCTION("""COMPUTED_VALUE"""),"[]")</f>
        <v>[]</v>
      </c>
      <c r="R1963" s="148" t="str">
        <f>IFERROR(__xludf.DUMMYFUNCTION("""COMPUTED_VALUE"""),"[]")</f>
        <v>[]</v>
      </c>
      <c r="S1963" s="148" t="str">
        <f>IFERROR(__xludf.DUMMYFUNCTION("""COMPUTED_VALUE"""),"{}")</f>
        <v>{}</v>
      </c>
      <c r="T1963" s="148">
        <f>IFERROR(__xludf.DUMMYFUNCTION("""COMPUTED_VALUE"""),1.0)</f>
        <v>1</v>
      </c>
      <c r="U1963" s="148">
        <f>IFERROR(__xludf.DUMMYFUNCTION("""COMPUTED_VALUE"""),0.0)</f>
        <v>0</v>
      </c>
      <c r="V1963" s="148" t="str">
        <f>IFERROR(__xludf.DUMMYFUNCTION("""COMPUTED_VALUE"""),"[]")</f>
        <v>[]</v>
      </c>
      <c r="W1963" s="148">
        <f>IFERROR(__xludf.DUMMYFUNCTION("""COMPUTED_VALUE"""),1.174E7)</f>
        <v>11740000</v>
      </c>
      <c r="X1963" s="148">
        <f>IFERROR(__xludf.DUMMYFUNCTION("""COMPUTED_VALUE"""),0.0)</f>
        <v>0</v>
      </c>
      <c r="Y1963" s="148">
        <f>IFERROR(__xludf.DUMMYFUNCTION("""COMPUTED_VALUE"""),0.0)</f>
        <v>0</v>
      </c>
      <c r="Z1963" s="148"/>
    </row>
    <row r="1964">
      <c r="A1964" s="148">
        <f>IFERROR(__xludf.DUMMYFUNCTION("""COMPUTED_VALUE"""),1.1118503E7)</f>
        <v>11118503</v>
      </c>
      <c r="B1964" s="148" t="str">
        <f>IFERROR(__xludf.DUMMYFUNCTION("""COMPUTED_VALUE"""),"蝎子头部（礼包表现用）")</f>
        <v>蝎子头部（礼包表现用）</v>
      </c>
      <c r="C1964" s="148"/>
      <c r="D1964" s="148" t="str">
        <f>IFERROR(__xludf.DUMMYFUNCTION("""COMPUTED_VALUE"""),"mecha")</f>
        <v>mecha</v>
      </c>
      <c r="E1964" s="148">
        <f>IFERROR(__xludf.DUMMYFUNCTION("""COMPUTED_VALUE"""),0.0)</f>
        <v>0</v>
      </c>
      <c r="F1964" s="148">
        <f>IFERROR(__xludf.DUMMYFUNCTION("""COMPUTED_VALUE"""),417001.0)</f>
        <v>417001</v>
      </c>
      <c r="G1964" s="148">
        <f>IFERROR(__xludf.DUMMYFUNCTION("""COMPUTED_VALUE"""),1.5117574E7)</f>
        <v>15117574</v>
      </c>
      <c r="H1964" s="148">
        <f>IFERROR(__xludf.DUMMYFUNCTION("""COMPUTED_VALUE"""),1.5112564E7)</f>
        <v>15112564</v>
      </c>
      <c r="I1964" s="148" t="str">
        <f>IFERROR(__xludf.DUMMYFUNCTION("""COMPUTED_VALUE"""),"{}")</f>
        <v>{}</v>
      </c>
      <c r="J1964" s="148" t="str">
        <f>IFERROR(__xludf.DUMMYFUNCTION("""COMPUTED_VALUE"""),"{""typ"":""lc"",""txt"":""LC_IAP_mecha4_head_name""}")</f>
        <v>{"typ":"lc","txt":"LC_IAP_mecha4_head_name"}</v>
      </c>
      <c r="K1964" s="148" t="str">
        <f>IFERROR(__xludf.DUMMYFUNCTION("""COMPUTED_VALUE"""),"{""typ"":""lc"",""txt"":""LC_IAP_mecha4_head_desc""}")</f>
        <v>{"typ":"lc","txt":"LC_IAP_mecha4_head_desc"}</v>
      </c>
      <c r="L1964" s="148" t="str">
        <f>IFERROR(__xludf.DUMMYFUNCTION("""COMPUTED_VALUE"""),"{}")</f>
        <v>{}</v>
      </c>
      <c r="M1964" s="148">
        <f>IFERROR(__xludf.DUMMYFUNCTION("""COMPUTED_VALUE"""),40000.0)</f>
        <v>40000</v>
      </c>
      <c r="N1964" s="148">
        <f>IFERROR(__xludf.DUMMYFUNCTION("""COMPUTED_VALUE"""),999999.0)</f>
        <v>999999</v>
      </c>
      <c r="O1964" s="148">
        <f>IFERROR(__xludf.DUMMYFUNCTION("""COMPUTED_VALUE"""),99999.0)</f>
        <v>99999</v>
      </c>
      <c r="P1964" s="148">
        <f>IFERROR(__xludf.DUMMYFUNCTION("""COMPUTED_VALUE"""),9999.0)</f>
        <v>9999</v>
      </c>
      <c r="Q1964" s="148" t="str">
        <f>IFERROR(__xludf.DUMMYFUNCTION("""COMPUTED_VALUE"""),"[]")</f>
        <v>[]</v>
      </c>
      <c r="R1964" s="148" t="str">
        <f>IFERROR(__xludf.DUMMYFUNCTION("""COMPUTED_VALUE"""),"[]")</f>
        <v>[]</v>
      </c>
      <c r="S1964" s="148" t="str">
        <f>IFERROR(__xludf.DUMMYFUNCTION("""COMPUTED_VALUE"""),"{}")</f>
        <v>{}</v>
      </c>
      <c r="T1964" s="148">
        <f>IFERROR(__xludf.DUMMYFUNCTION("""COMPUTED_VALUE"""),1.0)</f>
        <v>1</v>
      </c>
      <c r="U1964" s="148">
        <f>IFERROR(__xludf.DUMMYFUNCTION("""COMPUTED_VALUE"""),0.0)</f>
        <v>0</v>
      </c>
      <c r="V1964" s="148" t="str">
        <f>IFERROR(__xludf.DUMMYFUNCTION("""COMPUTED_VALUE"""),"[]")</f>
        <v>[]</v>
      </c>
      <c r="W1964" s="148">
        <f>IFERROR(__xludf.DUMMYFUNCTION("""COMPUTED_VALUE"""),1.174E7)</f>
        <v>11740000</v>
      </c>
      <c r="X1964" s="148">
        <f>IFERROR(__xludf.DUMMYFUNCTION("""COMPUTED_VALUE"""),0.0)</f>
        <v>0</v>
      </c>
      <c r="Y1964" s="148">
        <f>IFERROR(__xludf.DUMMYFUNCTION("""COMPUTED_VALUE"""),0.0)</f>
        <v>0</v>
      </c>
      <c r="Z1964" s="148"/>
    </row>
    <row r="1965">
      <c r="A1965" s="148">
        <f>IFERROR(__xludf.DUMMYFUNCTION("""COMPUTED_VALUE"""),1.1118504E7)</f>
        <v>11118504</v>
      </c>
      <c r="B1965" s="148" t="str">
        <f>IFERROR(__xludf.DUMMYFUNCTION("""COMPUTED_VALUE"""),"天鹰头部（礼包表现用）")</f>
        <v>天鹰头部（礼包表现用）</v>
      </c>
      <c r="C1965" s="148"/>
      <c r="D1965" s="148" t="str">
        <f>IFERROR(__xludf.DUMMYFUNCTION("""COMPUTED_VALUE"""),"mecha")</f>
        <v>mecha</v>
      </c>
      <c r="E1965" s="148">
        <f>IFERROR(__xludf.DUMMYFUNCTION("""COMPUTED_VALUE"""),0.0)</f>
        <v>0</v>
      </c>
      <c r="F1965" s="148">
        <f>IFERROR(__xludf.DUMMYFUNCTION("""COMPUTED_VALUE"""),417001.0)</f>
        <v>417001</v>
      </c>
      <c r="G1965" s="148">
        <f>IFERROR(__xludf.DUMMYFUNCTION("""COMPUTED_VALUE"""),1.5118607E7)</f>
        <v>15118607</v>
      </c>
      <c r="H1965" s="148">
        <f>IFERROR(__xludf.DUMMYFUNCTION("""COMPUTED_VALUE"""),1.5112564E7)</f>
        <v>15112564</v>
      </c>
      <c r="I1965" s="148" t="str">
        <f>IFERROR(__xludf.DUMMYFUNCTION("""COMPUTED_VALUE"""),"{}")</f>
        <v>{}</v>
      </c>
      <c r="J1965" s="148" t="str">
        <f>IFERROR(__xludf.DUMMYFUNCTION("""COMPUTED_VALUE"""),"{""typ"":""lc"",""txt"":""LC_IAP_mecha5_head_name""}")</f>
        <v>{"typ":"lc","txt":"LC_IAP_mecha5_head_name"}</v>
      </c>
      <c r="K1965" s="148" t="str">
        <f>IFERROR(__xludf.DUMMYFUNCTION("""COMPUTED_VALUE"""),"{""typ"":""lc"",""txt"":""LC_IAP_mecha5_head_desc""}")</f>
        <v>{"typ":"lc","txt":"LC_IAP_mecha5_head_desc"}</v>
      </c>
      <c r="L1965" s="148" t="str">
        <f>IFERROR(__xludf.DUMMYFUNCTION("""COMPUTED_VALUE"""),"{}")</f>
        <v>{}</v>
      </c>
      <c r="M1965" s="148">
        <f>IFERROR(__xludf.DUMMYFUNCTION("""COMPUTED_VALUE"""),40000.0)</f>
        <v>40000</v>
      </c>
      <c r="N1965" s="148">
        <f>IFERROR(__xludf.DUMMYFUNCTION("""COMPUTED_VALUE"""),999999.0)</f>
        <v>999999</v>
      </c>
      <c r="O1965" s="148">
        <f>IFERROR(__xludf.DUMMYFUNCTION("""COMPUTED_VALUE"""),99999.0)</f>
        <v>99999</v>
      </c>
      <c r="P1965" s="148">
        <f>IFERROR(__xludf.DUMMYFUNCTION("""COMPUTED_VALUE"""),9999.0)</f>
        <v>9999</v>
      </c>
      <c r="Q1965" s="148" t="str">
        <f>IFERROR(__xludf.DUMMYFUNCTION("""COMPUTED_VALUE"""),"[]")</f>
        <v>[]</v>
      </c>
      <c r="R1965" s="148" t="str">
        <f>IFERROR(__xludf.DUMMYFUNCTION("""COMPUTED_VALUE"""),"[]")</f>
        <v>[]</v>
      </c>
      <c r="S1965" s="148" t="str">
        <f>IFERROR(__xludf.DUMMYFUNCTION("""COMPUTED_VALUE"""),"{}")</f>
        <v>{}</v>
      </c>
      <c r="T1965" s="148">
        <f>IFERROR(__xludf.DUMMYFUNCTION("""COMPUTED_VALUE"""),1.0)</f>
        <v>1</v>
      </c>
      <c r="U1965" s="148">
        <f>IFERROR(__xludf.DUMMYFUNCTION("""COMPUTED_VALUE"""),0.0)</f>
        <v>0</v>
      </c>
      <c r="V1965" s="148" t="str">
        <f>IFERROR(__xludf.DUMMYFUNCTION("""COMPUTED_VALUE"""),"[]")</f>
        <v>[]</v>
      </c>
      <c r="W1965" s="148">
        <f>IFERROR(__xludf.DUMMYFUNCTION("""COMPUTED_VALUE"""),1.174E7)</f>
        <v>11740000</v>
      </c>
      <c r="X1965" s="148">
        <f>IFERROR(__xludf.DUMMYFUNCTION("""COMPUTED_VALUE"""),0.0)</f>
        <v>0</v>
      </c>
      <c r="Y1965" s="148">
        <f>IFERROR(__xludf.DUMMYFUNCTION("""COMPUTED_VALUE"""),0.0)</f>
        <v>0</v>
      </c>
      <c r="Z1965" s="148"/>
    </row>
    <row r="1966">
      <c r="A1966" s="148">
        <f>IFERROR(__xludf.DUMMYFUNCTION("""COMPUTED_VALUE"""),1.1118505E7)</f>
        <v>11118505</v>
      </c>
      <c r="B1966" s="148" t="str">
        <f>IFERROR(__xludf.DUMMYFUNCTION("""COMPUTED_VALUE"""),"巨象头部（礼包表现用）")</f>
        <v>巨象头部（礼包表现用）</v>
      </c>
      <c r="C1966" s="148"/>
      <c r="D1966" s="148" t="str">
        <f>IFERROR(__xludf.DUMMYFUNCTION("""COMPUTED_VALUE"""),"mecha")</f>
        <v>mecha</v>
      </c>
      <c r="E1966" s="148">
        <f>IFERROR(__xludf.DUMMYFUNCTION("""COMPUTED_VALUE"""),0.0)</f>
        <v>0</v>
      </c>
      <c r="F1966" s="148">
        <f>IFERROR(__xludf.DUMMYFUNCTION("""COMPUTED_VALUE"""),417001.0)</f>
        <v>417001</v>
      </c>
      <c r="G1966" s="148">
        <f>IFERROR(__xludf.DUMMYFUNCTION("""COMPUTED_VALUE"""),1.5118646E7)</f>
        <v>15118646</v>
      </c>
      <c r="H1966" s="148">
        <f>IFERROR(__xludf.DUMMYFUNCTION("""COMPUTED_VALUE"""),1.5112564E7)</f>
        <v>15112564</v>
      </c>
      <c r="I1966" s="148" t="str">
        <f>IFERROR(__xludf.DUMMYFUNCTION("""COMPUTED_VALUE"""),"{}")</f>
        <v>{}</v>
      </c>
      <c r="J1966" s="148" t="str">
        <f>IFERROR(__xludf.DUMMYFUNCTION("""COMPUTED_VALUE"""),"{""typ"":""lc"",""txt"":""LC_IAP_mecha6_head_name""}")</f>
        <v>{"typ":"lc","txt":"LC_IAP_mecha6_head_name"}</v>
      </c>
      <c r="K1966" s="148" t="str">
        <f>IFERROR(__xludf.DUMMYFUNCTION("""COMPUTED_VALUE"""),"{""typ"":""lc"",""txt"":""LC_IAP_mecha6_head_desc""}")</f>
        <v>{"typ":"lc","txt":"LC_IAP_mecha6_head_desc"}</v>
      </c>
      <c r="L1966" s="148" t="str">
        <f>IFERROR(__xludf.DUMMYFUNCTION("""COMPUTED_VALUE"""),"{}")</f>
        <v>{}</v>
      </c>
      <c r="M1966" s="148">
        <f>IFERROR(__xludf.DUMMYFUNCTION("""COMPUTED_VALUE"""),40000.0)</f>
        <v>40000</v>
      </c>
      <c r="N1966" s="148">
        <f>IFERROR(__xludf.DUMMYFUNCTION("""COMPUTED_VALUE"""),999999.0)</f>
        <v>999999</v>
      </c>
      <c r="O1966" s="148">
        <f>IFERROR(__xludf.DUMMYFUNCTION("""COMPUTED_VALUE"""),99999.0)</f>
        <v>99999</v>
      </c>
      <c r="P1966" s="148">
        <f>IFERROR(__xludf.DUMMYFUNCTION("""COMPUTED_VALUE"""),9999.0)</f>
        <v>9999</v>
      </c>
      <c r="Q1966" s="148" t="str">
        <f>IFERROR(__xludf.DUMMYFUNCTION("""COMPUTED_VALUE"""),"[]")</f>
        <v>[]</v>
      </c>
      <c r="R1966" s="148" t="str">
        <f>IFERROR(__xludf.DUMMYFUNCTION("""COMPUTED_VALUE"""),"[]")</f>
        <v>[]</v>
      </c>
      <c r="S1966" s="148" t="str">
        <f>IFERROR(__xludf.DUMMYFUNCTION("""COMPUTED_VALUE"""),"{}")</f>
        <v>{}</v>
      </c>
      <c r="T1966" s="148">
        <f>IFERROR(__xludf.DUMMYFUNCTION("""COMPUTED_VALUE"""),1.0)</f>
        <v>1</v>
      </c>
      <c r="U1966" s="148">
        <f>IFERROR(__xludf.DUMMYFUNCTION("""COMPUTED_VALUE"""),0.0)</f>
        <v>0</v>
      </c>
      <c r="V1966" s="148" t="str">
        <f>IFERROR(__xludf.DUMMYFUNCTION("""COMPUTED_VALUE"""),"[]")</f>
        <v>[]</v>
      </c>
      <c r="W1966" s="148">
        <f>IFERROR(__xludf.DUMMYFUNCTION("""COMPUTED_VALUE"""),1.174E7)</f>
        <v>11740000</v>
      </c>
      <c r="X1966" s="148">
        <f>IFERROR(__xludf.DUMMYFUNCTION("""COMPUTED_VALUE"""),0.0)</f>
        <v>0</v>
      </c>
      <c r="Y1966" s="148">
        <f>IFERROR(__xludf.DUMMYFUNCTION("""COMPUTED_VALUE"""),0.0)</f>
        <v>0</v>
      </c>
      <c r="Z1966" s="148"/>
    </row>
    <row r="1967">
      <c r="A1967" s="148">
        <f>IFERROR(__xludf.DUMMYFUNCTION("""COMPUTED_VALUE"""),1.1118506E7)</f>
        <v>11118506</v>
      </c>
      <c r="B1967" s="148" t="str">
        <f>IFERROR(__xludf.DUMMYFUNCTION("""COMPUTED_VALUE"""),"雄狮头部（礼包表现用）")</f>
        <v>雄狮头部（礼包表现用）</v>
      </c>
      <c r="C1967" s="148"/>
      <c r="D1967" s="148" t="str">
        <f>IFERROR(__xludf.DUMMYFUNCTION("""COMPUTED_VALUE"""),"mecha")</f>
        <v>mecha</v>
      </c>
      <c r="E1967" s="148">
        <f>IFERROR(__xludf.DUMMYFUNCTION("""COMPUTED_VALUE"""),0.0)</f>
        <v>0</v>
      </c>
      <c r="F1967" s="148">
        <f>IFERROR(__xludf.DUMMYFUNCTION("""COMPUTED_VALUE"""),417001.0)</f>
        <v>417001</v>
      </c>
      <c r="G1967" s="148">
        <f>IFERROR(__xludf.DUMMYFUNCTION("""COMPUTED_VALUE"""),1.5119766E7)</f>
        <v>15119766</v>
      </c>
      <c r="H1967" s="148">
        <f>IFERROR(__xludf.DUMMYFUNCTION("""COMPUTED_VALUE"""),1.5112564E7)</f>
        <v>15112564</v>
      </c>
      <c r="I1967" s="148" t="str">
        <f>IFERROR(__xludf.DUMMYFUNCTION("""COMPUTED_VALUE"""),"{}")</f>
        <v>{}</v>
      </c>
      <c r="J1967" s="148" t="str">
        <f>IFERROR(__xludf.DUMMYFUNCTION("""COMPUTED_VALUE"""),"{""typ"":""lc"",""txt"":""LC_IAP_mecha7_head_name""}")</f>
        <v>{"typ":"lc","txt":"LC_IAP_mecha7_head_name"}</v>
      </c>
      <c r="K1967" s="148" t="str">
        <f>IFERROR(__xludf.DUMMYFUNCTION("""COMPUTED_VALUE"""),"{""typ"":""lc"",""txt"":""LC_IAP_mecha7_head_desc""}")</f>
        <v>{"typ":"lc","txt":"LC_IAP_mecha7_head_desc"}</v>
      </c>
      <c r="L1967" s="148" t="str">
        <f>IFERROR(__xludf.DUMMYFUNCTION("""COMPUTED_VALUE"""),"{}")</f>
        <v>{}</v>
      </c>
      <c r="M1967" s="148">
        <f>IFERROR(__xludf.DUMMYFUNCTION("""COMPUTED_VALUE"""),40000.0)</f>
        <v>40000</v>
      </c>
      <c r="N1967" s="148">
        <f>IFERROR(__xludf.DUMMYFUNCTION("""COMPUTED_VALUE"""),999999.0)</f>
        <v>999999</v>
      </c>
      <c r="O1967" s="148">
        <f>IFERROR(__xludf.DUMMYFUNCTION("""COMPUTED_VALUE"""),99999.0)</f>
        <v>99999</v>
      </c>
      <c r="P1967" s="148">
        <f>IFERROR(__xludf.DUMMYFUNCTION("""COMPUTED_VALUE"""),9999.0)</f>
        <v>9999</v>
      </c>
      <c r="Q1967" s="148" t="str">
        <f>IFERROR(__xludf.DUMMYFUNCTION("""COMPUTED_VALUE"""),"[]")</f>
        <v>[]</v>
      </c>
      <c r="R1967" s="148" t="str">
        <f>IFERROR(__xludf.DUMMYFUNCTION("""COMPUTED_VALUE"""),"[]")</f>
        <v>[]</v>
      </c>
      <c r="S1967" s="148" t="str">
        <f>IFERROR(__xludf.DUMMYFUNCTION("""COMPUTED_VALUE"""),"{}")</f>
        <v>{}</v>
      </c>
      <c r="T1967" s="148">
        <f>IFERROR(__xludf.DUMMYFUNCTION("""COMPUTED_VALUE"""),1.0)</f>
        <v>1</v>
      </c>
      <c r="U1967" s="148">
        <f>IFERROR(__xludf.DUMMYFUNCTION("""COMPUTED_VALUE"""),0.0)</f>
        <v>0</v>
      </c>
      <c r="V1967" s="148" t="str">
        <f>IFERROR(__xludf.DUMMYFUNCTION("""COMPUTED_VALUE"""),"[]")</f>
        <v>[]</v>
      </c>
      <c r="W1967" s="148">
        <f>IFERROR(__xludf.DUMMYFUNCTION("""COMPUTED_VALUE"""),1.174E7)</f>
        <v>11740000</v>
      </c>
      <c r="X1967" s="148">
        <f>IFERROR(__xludf.DUMMYFUNCTION("""COMPUTED_VALUE"""),0.0)</f>
        <v>0</v>
      </c>
      <c r="Y1967" s="148">
        <f>IFERROR(__xludf.DUMMYFUNCTION("""COMPUTED_VALUE"""),0.0)</f>
        <v>0</v>
      </c>
      <c r="Z1967" s="148"/>
    </row>
    <row r="1968">
      <c r="A1968" s="148">
        <f>IFERROR(__xludf.DUMMYFUNCTION("""COMPUTED_VALUE"""),1.1118507E7)</f>
        <v>11118507</v>
      </c>
      <c r="B1968" s="148" t="str">
        <f>IFERROR(__xludf.DUMMYFUNCTION("""COMPUTED_VALUE"""),"螳螂头部（礼包表现用）")</f>
        <v>螳螂头部（礼包表现用）</v>
      </c>
      <c r="C1968" s="148"/>
      <c r="D1968" s="148" t="str">
        <f>IFERROR(__xludf.DUMMYFUNCTION("""COMPUTED_VALUE"""),"mecha")</f>
        <v>mecha</v>
      </c>
      <c r="E1968" s="148">
        <f>IFERROR(__xludf.DUMMYFUNCTION("""COMPUTED_VALUE"""),0.0)</f>
        <v>0</v>
      </c>
      <c r="F1968" s="148">
        <f>IFERROR(__xludf.DUMMYFUNCTION("""COMPUTED_VALUE"""),417001.0)</f>
        <v>417001</v>
      </c>
      <c r="G1968" s="148">
        <f>IFERROR(__xludf.DUMMYFUNCTION("""COMPUTED_VALUE"""),1.51100357E8)</f>
        <v>151100357</v>
      </c>
      <c r="H1968" s="148">
        <f>IFERROR(__xludf.DUMMYFUNCTION("""COMPUTED_VALUE"""),1.5112564E7)</f>
        <v>15112564</v>
      </c>
      <c r="I1968" s="148" t="str">
        <f>IFERROR(__xludf.DUMMYFUNCTION("""COMPUTED_VALUE"""),"{}")</f>
        <v>{}</v>
      </c>
      <c r="J1968" s="148" t="str">
        <f>IFERROR(__xludf.DUMMYFUNCTION("""COMPUTED_VALUE"""),"{""typ"":""lc"",""txt"":""LC_IAP_mecha8_head_name""}")</f>
        <v>{"typ":"lc","txt":"LC_IAP_mecha8_head_name"}</v>
      </c>
      <c r="K1968" s="148" t="str">
        <f>IFERROR(__xludf.DUMMYFUNCTION("""COMPUTED_VALUE"""),"{""typ"":""lc"",""txt"":""LC_IAP_mecha8_head_desc""}")</f>
        <v>{"typ":"lc","txt":"LC_IAP_mecha8_head_desc"}</v>
      </c>
      <c r="L1968" s="148" t="str">
        <f>IFERROR(__xludf.DUMMYFUNCTION("""COMPUTED_VALUE"""),"{}")</f>
        <v>{}</v>
      </c>
      <c r="M1968" s="148">
        <f>IFERROR(__xludf.DUMMYFUNCTION("""COMPUTED_VALUE"""),40000.0)</f>
        <v>40000</v>
      </c>
      <c r="N1968" s="148">
        <f>IFERROR(__xludf.DUMMYFUNCTION("""COMPUTED_VALUE"""),999999.0)</f>
        <v>999999</v>
      </c>
      <c r="O1968" s="148">
        <f>IFERROR(__xludf.DUMMYFUNCTION("""COMPUTED_VALUE"""),99999.0)</f>
        <v>99999</v>
      </c>
      <c r="P1968" s="148">
        <f>IFERROR(__xludf.DUMMYFUNCTION("""COMPUTED_VALUE"""),9999.0)</f>
        <v>9999</v>
      </c>
      <c r="Q1968" s="148" t="str">
        <f>IFERROR(__xludf.DUMMYFUNCTION("""COMPUTED_VALUE"""),"[]")</f>
        <v>[]</v>
      </c>
      <c r="R1968" s="148" t="str">
        <f>IFERROR(__xludf.DUMMYFUNCTION("""COMPUTED_VALUE"""),"[]")</f>
        <v>[]</v>
      </c>
      <c r="S1968" s="148" t="str">
        <f>IFERROR(__xludf.DUMMYFUNCTION("""COMPUTED_VALUE"""),"{}")</f>
        <v>{}</v>
      </c>
      <c r="T1968" s="148">
        <f>IFERROR(__xludf.DUMMYFUNCTION("""COMPUTED_VALUE"""),1.0)</f>
        <v>1</v>
      </c>
      <c r="U1968" s="148">
        <f>IFERROR(__xludf.DUMMYFUNCTION("""COMPUTED_VALUE"""),0.0)</f>
        <v>0</v>
      </c>
      <c r="V1968" s="148" t="str">
        <f>IFERROR(__xludf.DUMMYFUNCTION("""COMPUTED_VALUE"""),"[]")</f>
        <v>[]</v>
      </c>
      <c r="W1968" s="148">
        <f>IFERROR(__xludf.DUMMYFUNCTION("""COMPUTED_VALUE"""),1.174E7)</f>
        <v>11740000</v>
      </c>
      <c r="X1968" s="148">
        <f>IFERROR(__xludf.DUMMYFUNCTION("""COMPUTED_VALUE"""),0.0)</f>
        <v>0</v>
      </c>
      <c r="Y1968" s="148">
        <f>IFERROR(__xludf.DUMMYFUNCTION("""COMPUTED_VALUE"""),0.0)</f>
        <v>0</v>
      </c>
      <c r="Z1968" s="148"/>
    </row>
    <row r="1969">
      <c r="A1969" s="148">
        <f>IFERROR(__xludf.DUMMYFUNCTION("""COMPUTED_VALUE"""),1.1118508E7)</f>
        <v>11118508</v>
      </c>
      <c r="B1969" s="148" t="str">
        <f>IFERROR(__xludf.DUMMYFUNCTION("""COMPUTED_VALUE"""),"战龟头部（礼包表现用）")</f>
        <v>战龟头部（礼包表现用）</v>
      </c>
      <c r="C1969" s="148"/>
      <c r="D1969" s="148" t="str">
        <f>IFERROR(__xludf.DUMMYFUNCTION("""COMPUTED_VALUE"""),"mecha")</f>
        <v>mecha</v>
      </c>
      <c r="E1969" s="148">
        <f>IFERROR(__xludf.DUMMYFUNCTION("""COMPUTED_VALUE"""),0.0)</f>
        <v>0</v>
      </c>
      <c r="F1969" s="148">
        <f>IFERROR(__xludf.DUMMYFUNCTION("""COMPUTED_VALUE"""),417001.0)</f>
        <v>417001</v>
      </c>
      <c r="G1969" s="148">
        <f>IFERROR(__xludf.DUMMYFUNCTION("""COMPUTED_VALUE"""),1.51100867E8)</f>
        <v>151100867</v>
      </c>
      <c r="H1969" s="148">
        <f>IFERROR(__xludf.DUMMYFUNCTION("""COMPUTED_VALUE"""),1.5112564E7)</f>
        <v>15112564</v>
      </c>
      <c r="I1969" s="148" t="str">
        <f>IFERROR(__xludf.DUMMYFUNCTION("""COMPUTED_VALUE"""),"{}")</f>
        <v>{}</v>
      </c>
      <c r="J1969" s="148" t="str">
        <f>IFERROR(__xludf.DUMMYFUNCTION("""COMPUTED_VALUE"""),"{""typ"":""lc"",""txt"":""LC_IAP_mecha9_head_name""}")</f>
        <v>{"typ":"lc","txt":"LC_IAP_mecha9_head_name"}</v>
      </c>
      <c r="K1969" s="148" t="str">
        <f>IFERROR(__xludf.DUMMYFUNCTION("""COMPUTED_VALUE"""),"{""typ"":""lc"",""txt"":""LC_IAP_mecha9_head_desc""}")</f>
        <v>{"typ":"lc","txt":"LC_IAP_mecha9_head_desc"}</v>
      </c>
      <c r="L1969" s="148" t="str">
        <f>IFERROR(__xludf.DUMMYFUNCTION("""COMPUTED_VALUE"""),"{}")</f>
        <v>{}</v>
      </c>
      <c r="M1969" s="148">
        <f>IFERROR(__xludf.DUMMYFUNCTION("""COMPUTED_VALUE"""),40000.0)</f>
        <v>40000</v>
      </c>
      <c r="N1969" s="148">
        <f>IFERROR(__xludf.DUMMYFUNCTION("""COMPUTED_VALUE"""),999999.0)</f>
        <v>999999</v>
      </c>
      <c r="O1969" s="148">
        <f>IFERROR(__xludf.DUMMYFUNCTION("""COMPUTED_VALUE"""),99999.0)</f>
        <v>99999</v>
      </c>
      <c r="P1969" s="148">
        <f>IFERROR(__xludf.DUMMYFUNCTION("""COMPUTED_VALUE"""),9999.0)</f>
        <v>9999</v>
      </c>
      <c r="Q1969" s="148" t="str">
        <f>IFERROR(__xludf.DUMMYFUNCTION("""COMPUTED_VALUE"""),"[]")</f>
        <v>[]</v>
      </c>
      <c r="R1969" s="148" t="str">
        <f>IFERROR(__xludf.DUMMYFUNCTION("""COMPUTED_VALUE"""),"[]")</f>
        <v>[]</v>
      </c>
      <c r="S1969" s="148" t="str">
        <f>IFERROR(__xludf.DUMMYFUNCTION("""COMPUTED_VALUE"""),"{}")</f>
        <v>{}</v>
      </c>
      <c r="T1969" s="148">
        <f>IFERROR(__xludf.DUMMYFUNCTION("""COMPUTED_VALUE"""),1.0)</f>
        <v>1</v>
      </c>
      <c r="U1969" s="148">
        <f>IFERROR(__xludf.DUMMYFUNCTION("""COMPUTED_VALUE"""),0.0)</f>
        <v>0</v>
      </c>
      <c r="V1969" s="148" t="str">
        <f>IFERROR(__xludf.DUMMYFUNCTION("""COMPUTED_VALUE"""),"[]")</f>
        <v>[]</v>
      </c>
      <c r="W1969" s="148">
        <f>IFERROR(__xludf.DUMMYFUNCTION("""COMPUTED_VALUE"""),1.174E7)</f>
        <v>11740000</v>
      </c>
      <c r="X1969" s="148">
        <f>IFERROR(__xludf.DUMMYFUNCTION("""COMPUTED_VALUE"""),0.0)</f>
        <v>0</v>
      </c>
      <c r="Y1969" s="148">
        <f>IFERROR(__xludf.DUMMYFUNCTION("""COMPUTED_VALUE"""),0.0)</f>
        <v>0</v>
      </c>
      <c r="Z1969" s="148"/>
    </row>
    <row r="1970">
      <c r="A1970" s="148">
        <f>IFERROR(__xludf.DUMMYFUNCTION("""COMPUTED_VALUE"""),1.1118509E7)</f>
        <v>11118509</v>
      </c>
      <c r="B1970" s="148" t="str">
        <f>IFERROR(__xludf.DUMMYFUNCTION("""COMPUTED_VALUE"""),"蜘蛛头部（礼包表现用）")</f>
        <v>蜘蛛头部（礼包表现用）</v>
      </c>
      <c r="C1970" s="148"/>
      <c r="D1970" s="148" t="str">
        <f>IFERROR(__xludf.DUMMYFUNCTION("""COMPUTED_VALUE"""),"mecha")</f>
        <v>mecha</v>
      </c>
      <c r="E1970" s="148">
        <f>IFERROR(__xludf.DUMMYFUNCTION("""COMPUTED_VALUE"""),0.0)</f>
        <v>0</v>
      </c>
      <c r="F1970" s="148">
        <f>IFERROR(__xludf.DUMMYFUNCTION("""COMPUTED_VALUE"""),417001.0)</f>
        <v>417001</v>
      </c>
      <c r="G1970" s="148">
        <f>IFERROR(__xludf.DUMMYFUNCTION("""COMPUTED_VALUE"""),1.51101901E8)</f>
        <v>151101901</v>
      </c>
      <c r="H1970" s="148">
        <f>IFERROR(__xludf.DUMMYFUNCTION("""COMPUTED_VALUE"""),1.5112564E7)</f>
        <v>15112564</v>
      </c>
      <c r="I1970" s="148" t="str">
        <f>IFERROR(__xludf.DUMMYFUNCTION("""COMPUTED_VALUE"""),"{}")</f>
        <v>{}</v>
      </c>
      <c r="J1970" s="148" t="str">
        <f>IFERROR(__xludf.DUMMYFUNCTION("""COMPUTED_VALUE"""),"{""typ"":""lc"",""txt"":""LC_IAP_mecha10_head_name""}")</f>
        <v>{"typ":"lc","txt":"LC_IAP_mecha10_head_name"}</v>
      </c>
      <c r="K1970" s="148" t="str">
        <f>IFERROR(__xludf.DUMMYFUNCTION("""COMPUTED_VALUE"""),"{""typ"":""lc"",""txt"":""LC_IAP_mecha10_head_desc""}")</f>
        <v>{"typ":"lc","txt":"LC_IAP_mecha10_head_desc"}</v>
      </c>
      <c r="L1970" s="148" t="str">
        <f>IFERROR(__xludf.DUMMYFUNCTION("""COMPUTED_VALUE"""),"{}")</f>
        <v>{}</v>
      </c>
      <c r="M1970" s="148">
        <f>IFERROR(__xludf.DUMMYFUNCTION("""COMPUTED_VALUE"""),40000.0)</f>
        <v>40000</v>
      </c>
      <c r="N1970" s="148">
        <f>IFERROR(__xludf.DUMMYFUNCTION("""COMPUTED_VALUE"""),999999.0)</f>
        <v>999999</v>
      </c>
      <c r="O1970" s="148">
        <f>IFERROR(__xludf.DUMMYFUNCTION("""COMPUTED_VALUE"""),99999.0)</f>
        <v>99999</v>
      </c>
      <c r="P1970" s="148">
        <f>IFERROR(__xludf.DUMMYFUNCTION("""COMPUTED_VALUE"""),9999.0)</f>
        <v>9999</v>
      </c>
      <c r="Q1970" s="148" t="str">
        <f>IFERROR(__xludf.DUMMYFUNCTION("""COMPUTED_VALUE"""),"[]")</f>
        <v>[]</v>
      </c>
      <c r="R1970" s="148" t="str">
        <f>IFERROR(__xludf.DUMMYFUNCTION("""COMPUTED_VALUE"""),"[]")</f>
        <v>[]</v>
      </c>
      <c r="S1970" s="148" t="str">
        <f>IFERROR(__xludf.DUMMYFUNCTION("""COMPUTED_VALUE"""),"{}")</f>
        <v>{}</v>
      </c>
      <c r="T1970" s="148">
        <f>IFERROR(__xludf.DUMMYFUNCTION("""COMPUTED_VALUE"""),1.0)</f>
        <v>1</v>
      </c>
      <c r="U1970" s="148">
        <f>IFERROR(__xludf.DUMMYFUNCTION("""COMPUTED_VALUE"""),0.0)</f>
        <v>0</v>
      </c>
      <c r="V1970" s="148" t="str">
        <f>IFERROR(__xludf.DUMMYFUNCTION("""COMPUTED_VALUE"""),"[]")</f>
        <v>[]</v>
      </c>
      <c r="W1970" s="148">
        <f>IFERROR(__xludf.DUMMYFUNCTION("""COMPUTED_VALUE"""),1.174E7)</f>
        <v>11740000</v>
      </c>
      <c r="X1970" s="148">
        <f>IFERROR(__xludf.DUMMYFUNCTION("""COMPUTED_VALUE"""),0.0)</f>
        <v>0</v>
      </c>
      <c r="Y1970" s="148">
        <f>IFERROR(__xludf.DUMMYFUNCTION("""COMPUTED_VALUE"""),0.0)</f>
        <v>0</v>
      </c>
      <c r="Z1970" s="148"/>
    </row>
    <row r="1971">
      <c r="A1971" s="148">
        <f>IFERROR(__xludf.DUMMYFUNCTION("""COMPUTED_VALUE"""),1.111851E7)</f>
        <v>11118510</v>
      </c>
      <c r="B1971" s="148" t="str">
        <f>IFERROR(__xludf.DUMMYFUNCTION("""COMPUTED_VALUE"""),"鳄鱼头部（礼包表现用）")</f>
        <v>鳄鱼头部（礼包表现用）</v>
      </c>
      <c r="C1971" s="148"/>
      <c r="D1971" s="148" t="str">
        <f>IFERROR(__xludf.DUMMYFUNCTION("""COMPUTED_VALUE"""),"mecha")</f>
        <v>mecha</v>
      </c>
      <c r="E1971" s="148">
        <f>IFERROR(__xludf.DUMMYFUNCTION("""COMPUTED_VALUE"""),0.0)</f>
        <v>0</v>
      </c>
      <c r="F1971" s="148">
        <f>IFERROR(__xludf.DUMMYFUNCTION("""COMPUTED_VALUE"""),417001.0)</f>
        <v>417001</v>
      </c>
      <c r="G1971" s="148">
        <f>IFERROR(__xludf.DUMMYFUNCTION("""COMPUTED_VALUE"""),1.5110316E8)</f>
        <v>151103160</v>
      </c>
      <c r="H1971" s="148">
        <f>IFERROR(__xludf.DUMMYFUNCTION("""COMPUTED_VALUE"""),1.5112564E7)</f>
        <v>15112564</v>
      </c>
      <c r="I1971" s="148" t="str">
        <f>IFERROR(__xludf.DUMMYFUNCTION("""COMPUTED_VALUE"""),"{}")</f>
        <v>{}</v>
      </c>
      <c r="J1971" s="148" t="str">
        <f>IFERROR(__xludf.DUMMYFUNCTION("""COMPUTED_VALUE"""),"{""typ"":""lc"",""txt"":""LC_IAP_mecha11_head_name""}")</f>
        <v>{"typ":"lc","txt":"LC_IAP_mecha11_head_name"}</v>
      </c>
      <c r="K1971" s="148" t="str">
        <f>IFERROR(__xludf.DUMMYFUNCTION("""COMPUTED_VALUE"""),"{""typ"":""lc"",""txt"":""LC_IAP_mecha11_head_desc""}")</f>
        <v>{"typ":"lc","txt":"LC_IAP_mecha11_head_desc"}</v>
      </c>
      <c r="L1971" s="148" t="str">
        <f>IFERROR(__xludf.DUMMYFUNCTION("""COMPUTED_VALUE"""),"{}")</f>
        <v>{}</v>
      </c>
      <c r="M1971" s="148">
        <f>IFERROR(__xludf.DUMMYFUNCTION("""COMPUTED_VALUE"""),40000.0)</f>
        <v>40000</v>
      </c>
      <c r="N1971" s="148">
        <f>IFERROR(__xludf.DUMMYFUNCTION("""COMPUTED_VALUE"""),999999.0)</f>
        <v>999999</v>
      </c>
      <c r="O1971" s="148">
        <f>IFERROR(__xludf.DUMMYFUNCTION("""COMPUTED_VALUE"""),99999.0)</f>
        <v>99999</v>
      </c>
      <c r="P1971" s="148">
        <f>IFERROR(__xludf.DUMMYFUNCTION("""COMPUTED_VALUE"""),9999.0)</f>
        <v>9999</v>
      </c>
      <c r="Q1971" s="148" t="str">
        <f>IFERROR(__xludf.DUMMYFUNCTION("""COMPUTED_VALUE"""),"[]")</f>
        <v>[]</v>
      </c>
      <c r="R1971" s="148" t="str">
        <f>IFERROR(__xludf.DUMMYFUNCTION("""COMPUTED_VALUE"""),"[]")</f>
        <v>[]</v>
      </c>
      <c r="S1971" s="148" t="str">
        <f>IFERROR(__xludf.DUMMYFUNCTION("""COMPUTED_VALUE"""),"{}")</f>
        <v>{}</v>
      </c>
      <c r="T1971" s="148">
        <f>IFERROR(__xludf.DUMMYFUNCTION("""COMPUTED_VALUE"""),1.0)</f>
        <v>1</v>
      </c>
      <c r="U1971" s="148">
        <f>IFERROR(__xludf.DUMMYFUNCTION("""COMPUTED_VALUE"""),0.0)</f>
        <v>0</v>
      </c>
      <c r="V1971" s="148" t="str">
        <f>IFERROR(__xludf.DUMMYFUNCTION("""COMPUTED_VALUE"""),"[]")</f>
        <v>[]</v>
      </c>
      <c r="W1971" s="148">
        <f>IFERROR(__xludf.DUMMYFUNCTION("""COMPUTED_VALUE"""),1.174E7)</f>
        <v>11740000</v>
      </c>
      <c r="X1971" s="148">
        <f>IFERROR(__xludf.DUMMYFUNCTION("""COMPUTED_VALUE"""),0.0)</f>
        <v>0</v>
      </c>
      <c r="Y1971" s="148">
        <f>IFERROR(__xludf.DUMMYFUNCTION("""COMPUTED_VALUE"""),0.0)</f>
        <v>0</v>
      </c>
      <c r="Z1971" s="148"/>
    </row>
    <row r="1972">
      <c r="A1972" s="148">
        <f>IFERROR(__xludf.DUMMYFUNCTION("""COMPUTED_VALUE"""),1.1118601E7)</f>
        <v>11118601</v>
      </c>
      <c r="B1972" s="148" t="str">
        <f>IFERROR(__xludf.DUMMYFUNCTION("""COMPUTED_VALUE"""),"金刚头部（礼包表现用）")</f>
        <v>金刚头部（礼包表现用）</v>
      </c>
      <c r="C1972" s="148"/>
      <c r="D1972" s="148" t="str">
        <f>IFERROR(__xludf.DUMMYFUNCTION("""COMPUTED_VALUE"""),"mecha")</f>
        <v>mecha</v>
      </c>
      <c r="E1972" s="148">
        <f>IFERROR(__xludf.DUMMYFUNCTION("""COMPUTED_VALUE"""),0.0)</f>
        <v>0</v>
      </c>
      <c r="F1972" s="148">
        <f>IFERROR(__xludf.DUMMYFUNCTION("""COMPUTED_VALUE"""),417001.0)</f>
        <v>417001</v>
      </c>
      <c r="G1972" s="148">
        <f>IFERROR(__xludf.DUMMYFUNCTION("""COMPUTED_VALUE"""),1.511653E7)</f>
        <v>15116530</v>
      </c>
      <c r="H1972" s="148">
        <f>IFERROR(__xludf.DUMMYFUNCTION("""COMPUTED_VALUE"""),1.5112564E7)</f>
        <v>15112564</v>
      </c>
      <c r="I1972" s="148" t="str">
        <f>IFERROR(__xludf.DUMMYFUNCTION("""COMPUTED_VALUE"""),"{}")</f>
        <v>{}</v>
      </c>
      <c r="J1972" s="148" t="str">
        <f>IFERROR(__xludf.DUMMYFUNCTION("""COMPUTED_VALUE"""),"{""typ"":""lc"",""txt"":""LC_IAP_mecha2_head_name""}")</f>
        <v>{"typ":"lc","txt":"LC_IAP_mecha2_head_name"}</v>
      </c>
      <c r="K1972" s="148" t="str">
        <f>IFERROR(__xludf.DUMMYFUNCTION("""COMPUTED_VALUE"""),"{""typ"":""lc"",""txt"":""LC_IAP_mecha2_head_desc""}")</f>
        <v>{"typ":"lc","txt":"LC_IAP_mecha2_head_desc"}</v>
      </c>
      <c r="L1972" s="148" t="str">
        <f>IFERROR(__xludf.DUMMYFUNCTION("""COMPUTED_VALUE"""),"{}")</f>
        <v>{}</v>
      </c>
      <c r="M1972" s="148">
        <f>IFERROR(__xludf.DUMMYFUNCTION("""COMPUTED_VALUE"""),40000.0)</f>
        <v>40000</v>
      </c>
      <c r="N1972" s="148">
        <f>IFERROR(__xludf.DUMMYFUNCTION("""COMPUTED_VALUE"""),999999.0)</f>
        <v>999999</v>
      </c>
      <c r="O1972" s="148">
        <f>IFERROR(__xludf.DUMMYFUNCTION("""COMPUTED_VALUE"""),99999.0)</f>
        <v>99999</v>
      </c>
      <c r="P1972" s="148">
        <f>IFERROR(__xludf.DUMMYFUNCTION("""COMPUTED_VALUE"""),9999.0)</f>
        <v>9999</v>
      </c>
      <c r="Q1972" s="148" t="str">
        <f>IFERROR(__xludf.DUMMYFUNCTION("""COMPUTED_VALUE"""),"[]")</f>
        <v>[]</v>
      </c>
      <c r="R1972" s="148" t="str">
        <f>IFERROR(__xludf.DUMMYFUNCTION("""COMPUTED_VALUE"""),"[]")</f>
        <v>[]</v>
      </c>
      <c r="S1972" s="148" t="str">
        <f>IFERROR(__xludf.DUMMYFUNCTION("""COMPUTED_VALUE"""),"{}")</f>
        <v>{}</v>
      </c>
      <c r="T1972" s="148">
        <f>IFERROR(__xludf.DUMMYFUNCTION("""COMPUTED_VALUE"""),1.0)</f>
        <v>1</v>
      </c>
      <c r="U1972" s="148">
        <f>IFERROR(__xludf.DUMMYFUNCTION("""COMPUTED_VALUE"""),0.0)</f>
        <v>0</v>
      </c>
      <c r="V1972" s="148" t="str">
        <f>IFERROR(__xludf.DUMMYFUNCTION("""COMPUTED_VALUE"""),"[]")</f>
        <v>[]</v>
      </c>
      <c r="W1972" s="148">
        <f>IFERROR(__xludf.DUMMYFUNCTION("""COMPUTED_VALUE"""),1.174E7)</f>
        <v>11740000</v>
      </c>
      <c r="X1972" s="148">
        <f>IFERROR(__xludf.DUMMYFUNCTION("""COMPUTED_VALUE"""),0.0)</f>
        <v>0</v>
      </c>
      <c r="Y1972" s="148">
        <f>IFERROR(__xludf.DUMMYFUNCTION("""COMPUTED_VALUE"""),0.0)</f>
        <v>0</v>
      </c>
      <c r="Z1972" s="148"/>
    </row>
    <row r="1973">
      <c r="A1973" s="148">
        <f>IFERROR(__xludf.DUMMYFUNCTION("""COMPUTED_VALUE"""),1.1118602E7)</f>
        <v>11118602</v>
      </c>
      <c r="B1973" s="148" t="str">
        <f>IFERROR(__xludf.DUMMYFUNCTION("""COMPUTED_VALUE"""),"机甲转盘翻倍道具（服务器识别翻倍事件用）")</f>
        <v>机甲转盘翻倍道具（服务器识别翻倍事件用）</v>
      </c>
      <c r="C1973" s="148"/>
      <c r="D1973" s="148" t="str">
        <f>IFERROR(__xludf.DUMMYFUNCTION("""COMPUTED_VALUE"""),"mecha_chips_gacha")</f>
        <v>mecha_chips_gacha</v>
      </c>
      <c r="E1973" s="148">
        <f>IFERROR(__xludf.DUMMYFUNCTION("""COMPUTED_VALUE"""),0.0)</f>
        <v>0</v>
      </c>
      <c r="F1973" s="148">
        <f>IFERROR(__xludf.DUMMYFUNCTION("""COMPUTED_VALUE"""),417001.0)</f>
        <v>417001</v>
      </c>
      <c r="G1973" s="148">
        <f>IFERROR(__xludf.DUMMYFUNCTION("""COMPUTED_VALUE"""),1.511653E7)</f>
        <v>15116530</v>
      </c>
      <c r="H1973" s="148">
        <f>IFERROR(__xludf.DUMMYFUNCTION("""COMPUTED_VALUE"""),1.511256E7)</f>
        <v>15112560</v>
      </c>
      <c r="I1973" s="148" t="str">
        <f>IFERROR(__xludf.DUMMYFUNCTION("""COMPUTED_VALUE"""),"{}")</f>
        <v>{}</v>
      </c>
      <c r="J1973" s="148" t="str">
        <f>IFERROR(__xludf.DUMMYFUNCTION("""COMPUTED_VALUE"""),"{}")</f>
        <v>{}</v>
      </c>
      <c r="K1973" s="148" t="str">
        <f>IFERROR(__xludf.DUMMYFUNCTION("""COMPUTED_VALUE"""),"{}")</f>
        <v>{}</v>
      </c>
      <c r="L1973" s="148" t="str">
        <f>IFERROR(__xludf.DUMMYFUNCTION("""COMPUTED_VALUE"""),"{}")</f>
        <v>{}</v>
      </c>
      <c r="M1973" s="148">
        <f>IFERROR(__xludf.DUMMYFUNCTION("""COMPUTED_VALUE"""),1.0)</f>
        <v>1</v>
      </c>
      <c r="N1973" s="148">
        <f>IFERROR(__xludf.DUMMYFUNCTION("""COMPUTED_VALUE"""),999999.0)</f>
        <v>999999</v>
      </c>
      <c r="O1973" s="148">
        <f>IFERROR(__xludf.DUMMYFUNCTION("""COMPUTED_VALUE"""),99999.0)</f>
        <v>99999</v>
      </c>
      <c r="P1973" s="148">
        <f>IFERROR(__xludf.DUMMYFUNCTION("""COMPUTED_VALUE"""),9999.0)</f>
        <v>9999</v>
      </c>
      <c r="Q1973" s="148" t="str">
        <f>IFERROR(__xludf.DUMMYFUNCTION("""COMPUTED_VALUE"""),"[]")</f>
        <v>[]</v>
      </c>
      <c r="R1973" s="148" t="str">
        <f>IFERROR(__xludf.DUMMYFUNCTION("""COMPUTED_VALUE"""),"[]")</f>
        <v>[]</v>
      </c>
      <c r="S1973" s="148" t="str">
        <f>IFERROR(__xludf.DUMMYFUNCTION("""COMPUTED_VALUE"""),"{}")</f>
        <v>{}</v>
      </c>
      <c r="T1973" s="148">
        <f>IFERROR(__xludf.DUMMYFUNCTION("""COMPUTED_VALUE"""),-1.0)</f>
        <v>-1</v>
      </c>
      <c r="U1973" s="148">
        <f>IFERROR(__xludf.DUMMYFUNCTION("""COMPUTED_VALUE"""),1.0)</f>
        <v>1</v>
      </c>
      <c r="V1973" s="148" t="str">
        <f>IFERROR(__xludf.DUMMYFUNCTION("""COMPUTED_VALUE"""),"[]")</f>
        <v>[]</v>
      </c>
      <c r="W1973" s="148">
        <f>IFERROR(__xludf.DUMMYFUNCTION("""COMPUTED_VALUE"""),1.174E7)</f>
        <v>11740000</v>
      </c>
      <c r="X1973" s="148">
        <f>IFERROR(__xludf.DUMMYFUNCTION("""COMPUTED_VALUE"""),0.0)</f>
        <v>0</v>
      </c>
      <c r="Y1973" s="148">
        <f>IFERROR(__xludf.DUMMYFUNCTION("""COMPUTED_VALUE"""),0.0)</f>
        <v>0</v>
      </c>
      <c r="Z1973" s="148"/>
    </row>
    <row r="1974">
      <c r="A1974" s="148">
        <f>IFERROR(__xludf.DUMMYFUNCTION("""COMPUTED_VALUE"""),1.1118603E7)</f>
        <v>11118603</v>
      </c>
      <c r="B1974" s="148" t="str">
        <f>IFERROR(__xludf.DUMMYFUNCTION("""COMPUTED_VALUE"""),"机甲转盘道具")</f>
        <v>机甲转盘道具</v>
      </c>
      <c r="C1974" s="148"/>
      <c r="D1974" s="148" t="str">
        <f>IFERROR(__xludf.DUMMYFUNCTION("""COMPUTED_VALUE"""),"event")</f>
        <v>event</v>
      </c>
      <c r="E1974" s="148">
        <f>IFERROR(__xludf.DUMMYFUNCTION("""COMPUTED_VALUE"""),0.0)</f>
        <v>0</v>
      </c>
      <c r="F1974" s="148">
        <f>IFERROR(__xludf.DUMMYFUNCTION("""COMPUTED_VALUE"""),417001.0)</f>
        <v>417001</v>
      </c>
      <c r="G1974" s="148">
        <f>IFERROR(__xludf.DUMMYFUNCTION("""COMPUTED_VALUE"""),1.5116664E7)</f>
        <v>15116664</v>
      </c>
      <c r="H1974" s="148">
        <f>IFERROR(__xludf.DUMMYFUNCTION("""COMPUTED_VALUE"""),1.5112564E7)</f>
        <v>15112564</v>
      </c>
      <c r="I1974" s="148" t="str">
        <f>IFERROR(__xludf.DUMMYFUNCTION("""COMPUTED_VALUE"""),"{}")</f>
        <v>{}</v>
      </c>
      <c r="J1974" s="148" t="str">
        <f>IFERROR(__xludf.DUMMYFUNCTION("""COMPUTED_VALUE"""),"{""typ"":""lc"",""txt"":""LC_IAP_mecha_chips_gacha_item""}")</f>
        <v>{"typ":"lc","txt":"LC_IAP_mecha_chips_gacha_item"}</v>
      </c>
      <c r="K1974" s="148" t="str">
        <f>IFERROR(__xludf.DUMMYFUNCTION("""COMPUTED_VALUE"""),"{""typ"":""lc"",""txt"":""LC_IAP_mecha_chips_gacha_item_desc""}")</f>
        <v>{"typ":"lc","txt":"LC_IAP_mecha_chips_gacha_item_desc"}</v>
      </c>
      <c r="L1974" s="148" t="str">
        <f>IFERROR(__xludf.DUMMYFUNCTION("""COMPUTED_VALUE"""),"{}")</f>
        <v>{}</v>
      </c>
      <c r="M1974" s="148">
        <f>IFERROR(__xludf.DUMMYFUNCTION("""COMPUTED_VALUE"""),9500.0)</f>
        <v>9500</v>
      </c>
      <c r="N1974" s="148">
        <f>IFERROR(__xludf.DUMMYFUNCTION("""COMPUTED_VALUE"""),999999.0)</f>
        <v>999999</v>
      </c>
      <c r="O1974" s="148">
        <f>IFERROR(__xludf.DUMMYFUNCTION("""COMPUTED_VALUE"""),99999.0)</f>
        <v>99999</v>
      </c>
      <c r="P1974" s="148">
        <f>IFERROR(__xludf.DUMMYFUNCTION("""COMPUTED_VALUE"""),9999.0)</f>
        <v>9999</v>
      </c>
      <c r="Q1974" s="148" t="str">
        <f>IFERROR(__xludf.DUMMYFUNCTION("""COMPUTED_VALUE"""),"[""bag_other""]")</f>
        <v>["bag_other"]</v>
      </c>
      <c r="R1974" s="148" t="str">
        <f>IFERROR(__xludf.DUMMYFUNCTION("""COMPUTED_VALUE"""),"[]")</f>
        <v>[]</v>
      </c>
      <c r="S1974" s="148" t="str">
        <f>IFERROR(__xludf.DUMMYFUNCTION("""COMPUTED_VALUE"""),"{}")</f>
        <v>{}</v>
      </c>
      <c r="T1974" s="148">
        <f>IFERROR(__xludf.DUMMYFUNCTION("""COMPUTED_VALUE"""),-1.0)</f>
        <v>-1</v>
      </c>
      <c r="U1974" s="148">
        <f>IFERROR(__xludf.DUMMYFUNCTION("""COMPUTED_VALUE"""),0.0)</f>
        <v>0</v>
      </c>
      <c r="V1974" s="148" t="str">
        <f>IFERROR(__xludf.DUMMYFUNCTION("""COMPUTED_VALUE"""),"[]")</f>
        <v>[]</v>
      </c>
      <c r="W1974" s="148">
        <f>IFERROR(__xludf.DUMMYFUNCTION("""COMPUTED_VALUE"""),1.174E7)</f>
        <v>11740000</v>
      </c>
      <c r="X1974" s="148">
        <f>IFERROR(__xludf.DUMMYFUNCTION("""COMPUTED_VALUE"""),0.0)</f>
        <v>0</v>
      </c>
      <c r="Y1974" s="148">
        <f>IFERROR(__xludf.DUMMYFUNCTION("""COMPUTED_VALUE"""),0.0)</f>
        <v>0</v>
      </c>
      <c r="Z1974" s="148"/>
    </row>
    <row r="1975">
      <c r="A1975" s="148">
        <f>IFERROR(__xludf.DUMMYFUNCTION("""COMPUTED_VALUE"""),1.1118604E7)</f>
        <v>11118604</v>
      </c>
      <c r="B1975" s="148" t="str">
        <f>IFERROR(__xludf.DUMMYFUNCTION("""COMPUTED_VALUE"""),"缔造者装备图纸箱")</f>
        <v>缔造者装备图纸箱</v>
      </c>
      <c r="C1975" s="148"/>
      <c r="D1975" s="148" t="str">
        <f>IFERROR(__xludf.DUMMYFUNCTION("""COMPUTED_VALUE"""),"heroarms_box")</f>
        <v>heroarms_box</v>
      </c>
      <c r="E1975" s="148">
        <f>IFERROR(__xludf.DUMMYFUNCTION("""COMPUTED_VALUE"""),0.0)</f>
        <v>0</v>
      </c>
      <c r="F1975" s="148">
        <f>IFERROR(__xludf.DUMMYFUNCTION("""COMPUTED_VALUE"""),403106.0)</f>
        <v>403106</v>
      </c>
      <c r="G1975" s="148">
        <f>IFERROR(__xludf.DUMMYFUNCTION("""COMPUTED_VALUE"""),1.5116065E7)</f>
        <v>15116065</v>
      </c>
      <c r="H1975" s="148">
        <f>IFERROR(__xludf.DUMMYFUNCTION("""COMPUTED_VALUE"""),1.5112564E7)</f>
        <v>15112564</v>
      </c>
      <c r="I1975" s="148" t="str">
        <f>IFERROR(__xludf.DUMMYFUNCTION("""COMPUTED_VALUE"""),"{}")</f>
        <v>{}</v>
      </c>
      <c r="J1975" s="148" t="str">
        <f>IFERROR(__xludf.DUMMYFUNCTION("""COMPUTED_VALUE"""),"{""typ"":""lc"",""txt"":""LC_HERO_equipment_blueprint_box10""}")</f>
        <v>{"typ":"lc","txt":"LC_HERO_equipment_blueprint_box10"}</v>
      </c>
      <c r="K1975" s="148" t="str">
        <f>IFERROR(__xludf.DUMMYFUNCTION("""COMPUTED_VALUE"""),"{""typ"":""lc"",""txt"":""LC_HERO_equipment_blueprint_box_desc10""}")</f>
        <v>{"typ":"lc","txt":"LC_HERO_equipment_blueprint_box_desc10"}</v>
      </c>
      <c r="L1975" s="148" t="str">
        <f>IFERROR(__xludf.DUMMYFUNCTION("""COMPUTED_VALUE"""),"{}")</f>
        <v>{}</v>
      </c>
      <c r="M1975" s="148">
        <f>IFERROR(__xludf.DUMMYFUNCTION("""COMPUTED_VALUE"""),500.0)</f>
        <v>500</v>
      </c>
      <c r="N1975" s="148">
        <f>IFERROR(__xludf.DUMMYFUNCTION("""COMPUTED_VALUE"""),9999999.0)</f>
        <v>9999999</v>
      </c>
      <c r="O1975" s="148">
        <f>IFERROR(__xludf.DUMMYFUNCTION("""COMPUTED_VALUE"""),99999.0)</f>
        <v>99999</v>
      </c>
      <c r="P1975" s="148">
        <f>IFERROR(__xludf.DUMMYFUNCTION("""COMPUTED_VALUE"""),99999.0)</f>
        <v>99999</v>
      </c>
      <c r="Q1975" s="148" t="str">
        <f>IFERROR(__xludf.DUMMYFUNCTION("""COMPUTED_VALUE"""),"[""bag_other""]")</f>
        <v>["bag_other"]</v>
      </c>
      <c r="R1975" s="148" t="str">
        <f>IFERROR(__xludf.DUMMYFUNCTION("""COMPUTED_VALUE"""),"[""bag""]")</f>
        <v>["bag"]</v>
      </c>
      <c r="S1975" s="148" t="str">
        <f>IFERROR(__xludf.DUMMYFUNCTION("""COMPUTED_VALUE"""),"{""drop"":{""typ"":""single_random"",""num"":1,""args"":[{""typ"":""blueprint"",""id"":19344017,""num"":1,""wgt"":100},{""typ"":""blueprint"",""id"":19344018,""num"":1,""wgt"":100},{""typ"":""blueprint"",""id"":19344019,""num"":1,""wgt"":100},{""typ"":""b"&amp;"lueprint"",""id"":19344020,""num"":1,""wgt"":100}]}}")</f>
        <v>{"drop":{"typ":"single_random","num":1,"args":[{"typ":"blueprint","id":19344017,"num":1,"wgt":100},{"typ":"blueprint","id":19344018,"num":1,"wgt":100},{"typ":"blueprint","id":19344019,"num":1,"wgt":100},{"typ":"blueprint","id":19344020,"num":1,"wgt":100}]}}</v>
      </c>
      <c r="T1975" s="148">
        <f>IFERROR(__xludf.DUMMYFUNCTION("""COMPUTED_VALUE"""),-1.0)</f>
        <v>-1</v>
      </c>
      <c r="U1975" s="148">
        <f>IFERROR(__xludf.DUMMYFUNCTION("""COMPUTED_VALUE"""),0.0)</f>
        <v>0</v>
      </c>
      <c r="V1975" s="148" t="str">
        <f>IFERROR(__xludf.DUMMYFUNCTION("""COMPUTED_VALUE"""),"[]")</f>
        <v>[]</v>
      </c>
      <c r="W1975" s="148">
        <f>IFERROR(__xludf.DUMMYFUNCTION("""COMPUTED_VALUE"""),1.1741004E7)</f>
        <v>11741004</v>
      </c>
      <c r="X1975" s="148">
        <f>IFERROR(__xludf.DUMMYFUNCTION("""COMPUTED_VALUE"""),0.0)</f>
        <v>0</v>
      </c>
      <c r="Y1975" s="148">
        <f>IFERROR(__xludf.DUMMYFUNCTION("""COMPUTED_VALUE"""),0.0)</f>
        <v>0</v>
      </c>
      <c r="Z1975" s="148"/>
    </row>
    <row r="1976">
      <c r="A1976" s="148">
        <f>IFERROR(__xludf.DUMMYFUNCTION("""COMPUTED_VALUE"""),1.1118605E7)</f>
        <v>11118605</v>
      </c>
      <c r="B1976" s="148" t="str">
        <f>IFERROR(__xludf.DUMMYFUNCTION("""COMPUTED_VALUE"""),"霸者装备图纸箱")</f>
        <v>霸者装备图纸箱</v>
      </c>
      <c r="C1976" s="148"/>
      <c r="D1976" s="148" t="str">
        <f>IFERROR(__xludf.DUMMYFUNCTION("""COMPUTED_VALUE"""),"heroarms_box")</f>
        <v>heroarms_box</v>
      </c>
      <c r="E1976" s="148">
        <f>IFERROR(__xludf.DUMMYFUNCTION("""COMPUTED_VALUE"""),0.0)</f>
        <v>0</v>
      </c>
      <c r="F1976" s="148">
        <f>IFERROR(__xludf.DUMMYFUNCTION("""COMPUTED_VALUE"""),403106.0)</f>
        <v>403106</v>
      </c>
      <c r="G1976" s="148">
        <f>IFERROR(__xludf.DUMMYFUNCTION("""COMPUTED_VALUE"""),1.5116066E7)</f>
        <v>15116066</v>
      </c>
      <c r="H1976" s="148">
        <f>IFERROR(__xludf.DUMMYFUNCTION("""COMPUTED_VALUE"""),1.5112564E7)</f>
        <v>15112564</v>
      </c>
      <c r="I1976" s="148" t="str">
        <f>IFERROR(__xludf.DUMMYFUNCTION("""COMPUTED_VALUE"""),"{}")</f>
        <v>{}</v>
      </c>
      <c r="J1976" s="148" t="str">
        <f>IFERROR(__xludf.DUMMYFUNCTION("""COMPUTED_VALUE"""),"{""typ"":""lc"",""txt"":""LC_HERO_equipment_blueprint_box11""}")</f>
        <v>{"typ":"lc","txt":"LC_HERO_equipment_blueprint_box11"}</v>
      </c>
      <c r="K1976" s="148" t="str">
        <f>IFERROR(__xludf.DUMMYFUNCTION("""COMPUTED_VALUE"""),"{""typ"":""lc"",""txt"":""LC_HERO_equipment_blueprint_box_desc11""}")</f>
        <v>{"typ":"lc","txt":"LC_HERO_equipment_blueprint_box_desc11"}</v>
      </c>
      <c r="L1976" s="148" t="str">
        <f>IFERROR(__xludf.DUMMYFUNCTION("""COMPUTED_VALUE"""),"{}")</f>
        <v>{}</v>
      </c>
      <c r="M1976" s="148">
        <f>IFERROR(__xludf.DUMMYFUNCTION("""COMPUTED_VALUE"""),500.0)</f>
        <v>500</v>
      </c>
      <c r="N1976" s="148">
        <f>IFERROR(__xludf.DUMMYFUNCTION("""COMPUTED_VALUE"""),9999999.0)</f>
        <v>9999999</v>
      </c>
      <c r="O1976" s="148">
        <f>IFERROR(__xludf.DUMMYFUNCTION("""COMPUTED_VALUE"""),99999.0)</f>
        <v>99999</v>
      </c>
      <c r="P1976" s="148">
        <f>IFERROR(__xludf.DUMMYFUNCTION("""COMPUTED_VALUE"""),99999.0)</f>
        <v>99999</v>
      </c>
      <c r="Q1976" s="148" t="str">
        <f>IFERROR(__xludf.DUMMYFUNCTION("""COMPUTED_VALUE"""),"[""bag_other""]")</f>
        <v>["bag_other"]</v>
      </c>
      <c r="R1976" s="148" t="str">
        <f>IFERROR(__xludf.DUMMYFUNCTION("""COMPUTED_VALUE"""),"[""bag""]")</f>
        <v>["bag"]</v>
      </c>
      <c r="S1976" s="148" t="str">
        <f>IFERROR(__xludf.DUMMYFUNCTION("""COMPUTED_VALUE"""),"{""drop"":{""typ"":""single_random"",""num"":1,""args"":[{""typ"":""blueprint"",""id"":19344021,""num"":1,""wgt"":100},{""typ"":""blueprint"",""id"":19344022,""num"":1,""wgt"":100},{""typ"":""blueprint"",""id"":19344023,""num"":1,""wgt"":100},{""typ"":""b"&amp;"lueprint"",""id"":19344024,""num"":1,""wgt"":100}]}}")</f>
        <v>{"drop":{"typ":"single_random","num":1,"args":[{"typ":"blueprint","id":19344021,"num":1,"wgt":100},{"typ":"blueprint","id":19344022,"num":1,"wgt":100},{"typ":"blueprint","id":19344023,"num":1,"wgt":100},{"typ":"blueprint","id":19344024,"num":1,"wgt":100}]}}</v>
      </c>
      <c r="T1976" s="148">
        <f>IFERROR(__xludf.DUMMYFUNCTION("""COMPUTED_VALUE"""),-1.0)</f>
        <v>-1</v>
      </c>
      <c r="U1976" s="148">
        <f>IFERROR(__xludf.DUMMYFUNCTION("""COMPUTED_VALUE"""),0.0)</f>
        <v>0</v>
      </c>
      <c r="V1976" s="148" t="str">
        <f>IFERROR(__xludf.DUMMYFUNCTION("""COMPUTED_VALUE"""),"[]")</f>
        <v>[]</v>
      </c>
      <c r="W1976" s="148">
        <f>IFERROR(__xludf.DUMMYFUNCTION("""COMPUTED_VALUE"""),1.1741004E7)</f>
        <v>11741004</v>
      </c>
      <c r="X1976" s="148">
        <f>IFERROR(__xludf.DUMMYFUNCTION("""COMPUTED_VALUE"""),0.0)</f>
        <v>0</v>
      </c>
      <c r="Y1976" s="148">
        <f>IFERROR(__xludf.DUMMYFUNCTION("""COMPUTED_VALUE"""),0.0)</f>
        <v>0</v>
      </c>
      <c r="Z1976" s="148"/>
    </row>
    <row r="1977">
      <c r="A1977" s="148">
        <f>IFERROR(__xludf.DUMMYFUNCTION("""COMPUTED_VALUE"""),1.1118606E7)</f>
        <v>11118606</v>
      </c>
      <c r="B1977" s="148" t="str">
        <f>IFERROR(__xludf.DUMMYFUNCTION("""COMPUTED_VALUE"""),"狩猎者装备图纸箱")</f>
        <v>狩猎者装备图纸箱</v>
      </c>
      <c r="C1977" s="148"/>
      <c r="D1977" s="148" t="str">
        <f>IFERROR(__xludf.DUMMYFUNCTION("""COMPUTED_VALUE"""),"heroarms_box")</f>
        <v>heroarms_box</v>
      </c>
      <c r="E1977" s="148">
        <f>IFERROR(__xludf.DUMMYFUNCTION("""COMPUTED_VALUE"""),0.0)</f>
        <v>0</v>
      </c>
      <c r="F1977" s="148">
        <f>IFERROR(__xludf.DUMMYFUNCTION("""COMPUTED_VALUE"""),403106.0)</f>
        <v>403106</v>
      </c>
      <c r="G1977" s="148">
        <f>IFERROR(__xludf.DUMMYFUNCTION("""COMPUTED_VALUE"""),1.5116067E7)</f>
        <v>15116067</v>
      </c>
      <c r="H1977" s="148">
        <f>IFERROR(__xludf.DUMMYFUNCTION("""COMPUTED_VALUE"""),1.5112564E7)</f>
        <v>15112564</v>
      </c>
      <c r="I1977" s="148" t="str">
        <f>IFERROR(__xludf.DUMMYFUNCTION("""COMPUTED_VALUE"""),"{}")</f>
        <v>{}</v>
      </c>
      <c r="J1977" s="148" t="str">
        <f>IFERROR(__xludf.DUMMYFUNCTION("""COMPUTED_VALUE"""),"{""typ"":""lc"",""txt"":""LC_HERO_equipment_blueprint_box12""}")</f>
        <v>{"typ":"lc","txt":"LC_HERO_equipment_blueprint_box12"}</v>
      </c>
      <c r="K1977" s="148" t="str">
        <f>IFERROR(__xludf.DUMMYFUNCTION("""COMPUTED_VALUE"""),"{""typ"":""lc"",""txt"":""LC_HERO_equipment_blueprint_box_desc12""}")</f>
        <v>{"typ":"lc","txt":"LC_HERO_equipment_blueprint_box_desc12"}</v>
      </c>
      <c r="L1977" s="148" t="str">
        <f>IFERROR(__xludf.DUMMYFUNCTION("""COMPUTED_VALUE"""),"{}")</f>
        <v>{}</v>
      </c>
      <c r="M1977" s="148">
        <f>IFERROR(__xludf.DUMMYFUNCTION("""COMPUTED_VALUE"""),500.0)</f>
        <v>500</v>
      </c>
      <c r="N1977" s="148">
        <f>IFERROR(__xludf.DUMMYFUNCTION("""COMPUTED_VALUE"""),9999999.0)</f>
        <v>9999999</v>
      </c>
      <c r="O1977" s="148">
        <f>IFERROR(__xludf.DUMMYFUNCTION("""COMPUTED_VALUE"""),99999.0)</f>
        <v>99999</v>
      </c>
      <c r="P1977" s="148">
        <f>IFERROR(__xludf.DUMMYFUNCTION("""COMPUTED_VALUE"""),99999.0)</f>
        <v>99999</v>
      </c>
      <c r="Q1977" s="148" t="str">
        <f>IFERROR(__xludf.DUMMYFUNCTION("""COMPUTED_VALUE"""),"[""bag_other""]")</f>
        <v>["bag_other"]</v>
      </c>
      <c r="R1977" s="148" t="str">
        <f>IFERROR(__xludf.DUMMYFUNCTION("""COMPUTED_VALUE"""),"[""bag""]")</f>
        <v>["bag"]</v>
      </c>
      <c r="S1977" s="148" t="str">
        <f>IFERROR(__xludf.DUMMYFUNCTION("""COMPUTED_VALUE"""),"{""drop"":{""typ"":""single_random"",""num"":1,""args"":[{""typ"":""blueprint"",""id"":19344025,""num"":1,""wgt"":100},{""typ"":""blueprint"",""id"":19344026,""num"":1,""wgt"":100},{""typ"":""blueprint"",""id"":19344027,""num"":1,""wgt"":100},{""typ"":""b"&amp;"lueprint"",""id"":19344028,""num"":1,""wgt"":100}]}}")</f>
        <v>{"drop":{"typ":"single_random","num":1,"args":[{"typ":"blueprint","id":19344025,"num":1,"wgt":100},{"typ":"blueprint","id":19344026,"num":1,"wgt":100},{"typ":"blueprint","id":19344027,"num":1,"wgt":100},{"typ":"blueprint","id":19344028,"num":1,"wgt":100}]}}</v>
      </c>
      <c r="T1977" s="148">
        <f>IFERROR(__xludf.DUMMYFUNCTION("""COMPUTED_VALUE"""),-1.0)</f>
        <v>-1</v>
      </c>
      <c r="U1977" s="148">
        <f>IFERROR(__xludf.DUMMYFUNCTION("""COMPUTED_VALUE"""),0.0)</f>
        <v>0</v>
      </c>
      <c r="V1977" s="148" t="str">
        <f>IFERROR(__xludf.DUMMYFUNCTION("""COMPUTED_VALUE"""),"[]")</f>
        <v>[]</v>
      </c>
      <c r="W1977" s="148">
        <f>IFERROR(__xludf.DUMMYFUNCTION("""COMPUTED_VALUE"""),1.1741004E7)</f>
        <v>11741004</v>
      </c>
      <c r="X1977" s="148">
        <f>IFERROR(__xludf.DUMMYFUNCTION("""COMPUTED_VALUE"""),0.0)</f>
        <v>0</v>
      </c>
      <c r="Y1977" s="148">
        <f>IFERROR(__xludf.DUMMYFUNCTION("""COMPUTED_VALUE"""),0.0)</f>
        <v>0</v>
      </c>
      <c r="Z1977" s="148"/>
    </row>
    <row r="1978">
      <c r="A1978" s="148">
        <f>IFERROR(__xludf.DUMMYFUNCTION("""COMPUTED_VALUE"""),1.1118607E7)</f>
        <v>11118607</v>
      </c>
      <c r="B1978" s="148" t="str">
        <f>IFERROR(__xludf.DUMMYFUNCTION("""COMPUTED_VALUE"""),"缔造者装备图纸碎片箱")</f>
        <v>缔造者装备图纸碎片箱</v>
      </c>
      <c r="C1978" s="148"/>
      <c r="D1978" s="148" t="str">
        <f>IFERROR(__xludf.DUMMYFUNCTION("""COMPUTED_VALUE"""),"heroarms_box")</f>
        <v>heroarms_box</v>
      </c>
      <c r="E1978" s="148">
        <f>IFERROR(__xludf.DUMMYFUNCTION("""COMPUTED_VALUE"""),0.0)</f>
        <v>0</v>
      </c>
      <c r="F1978" s="148">
        <f>IFERROR(__xludf.DUMMYFUNCTION("""COMPUTED_VALUE"""),403106.0)</f>
        <v>403106</v>
      </c>
      <c r="G1978" s="148">
        <f>IFERROR(__xludf.DUMMYFUNCTION("""COMPUTED_VALUE"""),1.5116062E7)</f>
        <v>15116062</v>
      </c>
      <c r="H1978" s="148">
        <f>IFERROR(__xludf.DUMMYFUNCTION("""COMPUTED_VALUE"""),1.5112564E7)</f>
        <v>15112564</v>
      </c>
      <c r="I1978" s="148" t="str">
        <f>IFERROR(__xludf.DUMMYFUNCTION("""COMPUTED_VALUE"""),"{}")</f>
        <v>{}</v>
      </c>
      <c r="J1978" s="148" t="str">
        <f>IFERROR(__xludf.DUMMYFUNCTION("""COMPUTED_VALUE"""),"{""typ"":""lc"",""txt"":""LC_HERO_equipment_puzzle_box10""}")</f>
        <v>{"typ":"lc","txt":"LC_HERO_equipment_puzzle_box10"}</v>
      </c>
      <c r="K1978" s="148" t="str">
        <f>IFERROR(__xludf.DUMMYFUNCTION("""COMPUTED_VALUE"""),"{""typ"":""lc"",""txt"":""LC_HERO_equipment_puzzle_box_desc10""}")</f>
        <v>{"typ":"lc","txt":"LC_HERO_equipment_puzzle_box_desc10"}</v>
      </c>
      <c r="L1978" s="148" t="str">
        <f>IFERROR(__xludf.DUMMYFUNCTION("""COMPUTED_VALUE"""),"{}")</f>
        <v>{}</v>
      </c>
      <c r="M1978" s="148">
        <f>IFERROR(__xludf.DUMMYFUNCTION("""COMPUTED_VALUE"""),50.0)</f>
        <v>50</v>
      </c>
      <c r="N1978" s="148">
        <f>IFERROR(__xludf.DUMMYFUNCTION("""COMPUTED_VALUE"""),9999999.0)</f>
        <v>9999999</v>
      </c>
      <c r="O1978" s="148">
        <f>IFERROR(__xludf.DUMMYFUNCTION("""COMPUTED_VALUE"""),99999.0)</f>
        <v>99999</v>
      </c>
      <c r="P1978" s="148">
        <f>IFERROR(__xludf.DUMMYFUNCTION("""COMPUTED_VALUE"""),99999.0)</f>
        <v>99999</v>
      </c>
      <c r="Q1978" s="148" t="str">
        <f>IFERROR(__xludf.DUMMYFUNCTION("""COMPUTED_VALUE"""),"[""bag_other""]")</f>
        <v>["bag_other"]</v>
      </c>
      <c r="R1978" s="148" t="str">
        <f>IFERROR(__xludf.DUMMYFUNCTION("""COMPUTED_VALUE"""),"[""bag""]")</f>
        <v>["bag"]</v>
      </c>
      <c r="S1978" s="148" t="str">
        <f>IFERROR(__xludf.DUMMYFUNCTION("""COMPUTED_VALUE"""),"{""drop"":{""typ"":""single_random"",""num"":1,""args"":[{""typ"":""puzzle"",""id"":19349017,""num"":1,""wgt"":100},{""typ"":""puzzle"",""id"":19349018,""num"":1,""wgt"":100},{""typ"":""puzzle"",""id"":19349019,""num"":1,""wgt"":100},{""typ"":""puzzle"","&amp;"""id"":19349020,""num"":1,""wgt"":100}]}}")</f>
        <v>{"drop":{"typ":"single_random","num":1,"args":[{"typ":"puzzle","id":19349017,"num":1,"wgt":100},{"typ":"puzzle","id":19349018,"num":1,"wgt":100},{"typ":"puzzle","id":19349019,"num":1,"wgt":100},{"typ":"puzzle","id":19349020,"num":1,"wgt":100}]}}</v>
      </c>
      <c r="T1978" s="148">
        <f>IFERROR(__xludf.DUMMYFUNCTION("""COMPUTED_VALUE"""),-1.0)</f>
        <v>-1</v>
      </c>
      <c r="U1978" s="148">
        <f>IFERROR(__xludf.DUMMYFUNCTION("""COMPUTED_VALUE"""),0.0)</f>
        <v>0</v>
      </c>
      <c r="V1978" s="148" t="str">
        <f>IFERROR(__xludf.DUMMYFUNCTION("""COMPUTED_VALUE"""),"[]")</f>
        <v>[]</v>
      </c>
      <c r="W1978" s="148">
        <f>IFERROR(__xludf.DUMMYFUNCTION("""COMPUTED_VALUE"""),1.1741004E7)</f>
        <v>11741004</v>
      </c>
      <c r="X1978" s="148">
        <f>IFERROR(__xludf.DUMMYFUNCTION("""COMPUTED_VALUE"""),0.0)</f>
        <v>0</v>
      </c>
      <c r="Y1978" s="148">
        <f>IFERROR(__xludf.DUMMYFUNCTION("""COMPUTED_VALUE"""),0.0)</f>
        <v>0</v>
      </c>
      <c r="Z1978" s="148"/>
    </row>
    <row r="1979">
      <c r="A1979" s="148">
        <f>IFERROR(__xludf.DUMMYFUNCTION("""COMPUTED_VALUE"""),1.1118608E7)</f>
        <v>11118608</v>
      </c>
      <c r="B1979" s="148" t="str">
        <f>IFERROR(__xludf.DUMMYFUNCTION("""COMPUTED_VALUE"""),"霸者装备图纸碎片箱")</f>
        <v>霸者装备图纸碎片箱</v>
      </c>
      <c r="C1979" s="148"/>
      <c r="D1979" s="148" t="str">
        <f>IFERROR(__xludf.DUMMYFUNCTION("""COMPUTED_VALUE"""),"heroarms_box")</f>
        <v>heroarms_box</v>
      </c>
      <c r="E1979" s="148">
        <f>IFERROR(__xludf.DUMMYFUNCTION("""COMPUTED_VALUE"""),0.0)</f>
        <v>0</v>
      </c>
      <c r="F1979" s="148">
        <f>IFERROR(__xludf.DUMMYFUNCTION("""COMPUTED_VALUE"""),403106.0)</f>
        <v>403106</v>
      </c>
      <c r="G1979" s="148">
        <f>IFERROR(__xludf.DUMMYFUNCTION("""COMPUTED_VALUE"""),1.5116063E7)</f>
        <v>15116063</v>
      </c>
      <c r="H1979" s="148">
        <f>IFERROR(__xludf.DUMMYFUNCTION("""COMPUTED_VALUE"""),1.5112564E7)</f>
        <v>15112564</v>
      </c>
      <c r="I1979" s="148" t="str">
        <f>IFERROR(__xludf.DUMMYFUNCTION("""COMPUTED_VALUE"""),"{}")</f>
        <v>{}</v>
      </c>
      <c r="J1979" s="148" t="str">
        <f>IFERROR(__xludf.DUMMYFUNCTION("""COMPUTED_VALUE"""),"{""typ"":""lc"",""txt"":""LC_HERO_equipment_puzzle_box11""}")</f>
        <v>{"typ":"lc","txt":"LC_HERO_equipment_puzzle_box11"}</v>
      </c>
      <c r="K1979" s="148" t="str">
        <f>IFERROR(__xludf.DUMMYFUNCTION("""COMPUTED_VALUE"""),"{""typ"":""lc"",""txt"":""LC_HERO_equipment_puzzle_box_desc11""}")</f>
        <v>{"typ":"lc","txt":"LC_HERO_equipment_puzzle_box_desc11"}</v>
      </c>
      <c r="L1979" s="148" t="str">
        <f>IFERROR(__xludf.DUMMYFUNCTION("""COMPUTED_VALUE"""),"{}")</f>
        <v>{}</v>
      </c>
      <c r="M1979" s="148">
        <f>IFERROR(__xludf.DUMMYFUNCTION("""COMPUTED_VALUE"""),50.0)</f>
        <v>50</v>
      </c>
      <c r="N1979" s="148">
        <f>IFERROR(__xludf.DUMMYFUNCTION("""COMPUTED_VALUE"""),9999999.0)</f>
        <v>9999999</v>
      </c>
      <c r="O1979" s="148">
        <f>IFERROR(__xludf.DUMMYFUNCTION("""COMPUTED_VALUE"""),99999.0)</f>
        <v>99999</v>
      </c>
      <c r="P1979" s="148">
        <f>IFERROR(__xludf.DUMMYFUNCTION("""COMPUTED_VALUE"""),99999.0)</f>
        <v>99999</v>
      </c>
      <c r="Q1979" s="148" t="str">
        <f>IFERROR(__xludf.DUMMYFUNCTION("""COMPUTED_VALUE"""),"[""bag_other""]")</f>
        <v>["bag_other"]</v>
      </c>
      <c r="R1979" s="148" t="str">
        <f>IFERROR(__xludf.DUMMYFUNCTION("""COMPUTED_VALUE"""),"[""bag""]")</f>
        <v>["bag"]</v>
      </c>
      <c r="S1979" s="148" t="str">
        <f>IFERROR(__xludf.DUMMYFUNCTION("""COMPUTED_VALUE"""),"{""drop"":{""typ"":""single_random"",""num"":1,""args"":[{""typ"":""puzzle"",""id"":19349021,""num"":1,""wgt"":100},{""typ"":""puzzle"",""id"":19349022,""num"":1,""wgt"":100},{""typ"":""puzzle"",""id"":19349023,""num"":1,""wgt"":100},{""typ"":""puzzle"","&amp;"""id"":19349024,""num"":1,""wgt"":100}]}}")</f>
        <v>{"drop":{"typ":"single_random","num":1,"args":[{"typ":"puzzle","id":19349021,"num":1,"wgt":100},{"typ":"puzzle","id":19349022,"num":1,"wgt":100},{"typ":"puzzle","id":19349023,"num":1,"wgt":100},{"typ":"puzzle","id":19349024,"num":1,"wgt":100}]}}</v>
      </c>
      <c r="T1979" s="148">
        <f>IFERROR(__xludf.DUMMYFUNCTION("""COMPUTED_VALUE"""),-1.0)</f>
        <v>-1</v>
      </c>
      <c r="U1979" s="148">
        <f>IFERROR(__xludf.DUMMYFUNCTION("""COMPUTED_VALUE"""),0.0)</f>
        <v>0</v>
      </c>
      <c r="V1979" s="148" t="str">
        <f>IFERROR(__xludf.DUMMYFUNCTION("""COMPUTED_VALUE"""),"[]")</f>
        <v>[]</v>
      </c>
      <c r="W1979" s="148">
        <f>IFERROR(__xludf.DUMMYFUNCTION("""COMPUTED_VALUE"""),1.1741004E7)</f>
        <v>11741004</v>
      </c>
      <c r="X1979" s="148">
        <f>IFERROR(__xludf.DUMMYFUNCTION("""COMPUTED_VALUE"""),0.0)</f>
        <v>0</v>
      </c>
      <c r="Y1979" s="148">
        <f>IFERROR(__xludf.DUMMYFUNCTION("""COMPUTED_VALUE"""),0.0)</f>
        <v>0</v>
      </c>
      <c r="Z1979" s="148"/>
    </row>
    <row r="1980">
      <c r="A1980" s="148">
        <f>IFERROR(__xludf.DUMMYFUNCTION("""COMPUTED_VALUE"""),1.1118609E7)</f>
        <v>11118609</v>
      </c>
      <c r="B1980" s="148" t="str">
        <f>IFERROR(__xludf.DUMMYFUNCTION("""COMPUTED_VALUE"""),"狩猎者装备图纸碎片箱")</f>
        <v>狩猎者装备图纸碎片箱</v>
      </c>
      <c r="C1980" s="148"/>
      <c r="D1980" s="148" t="str">
        <f>IFERROR(__xludf.DUMMYFUNCTION("""COMPUTED_VALUE"""),"heroarms_box")</f>
        <v>heroarms_box</v>
      </c>
      <c r="E1980" s="148">
        <f>IFERROR(__xludf.DUMMYFUNCTION("""COMPUTED_VALUE"""),0.0)</f>
        <v>0</v>
      </c>
      <c r="F1980" s="148">
        <f>IFERROR(__xludf.DUMMYFUNCTION("""COMPUTED_VALUE"""),403106.0)</f>
        <v>403106</v>
      </c>
      <c r="G1980" s="148">
        <f>IFERROR(__xludf.DUMMYFUNCTION("""COMPUTED_VALUE"""),1.5116064E7)</f>
        <v>15116064</v>
      </c>
      <c r="H1980" s="148">
        <f>IFERROR(__xludf.DUMMYFUNCTION("""COMPUTED_VALUE"""),1.5112564E7)</f>
        <v>15112564</v>
      </c>
      <c r="I1980" s="148" t="str">
        <f>IFERROR(__xludf.DUMMYFUNCTION("""COMPUTED_VALUE"""),"{}")</f>
        <v>{}</v>
      </c>
      <c r="J1980" s="148" t="str">
        <f>IFERROR(__xludf.DUMMYFUNCTION("""COMPUTED_VALUE"""),"{""typ"":""lc"",""txt"":""LC_HERO_equipment_puzzle_box12""}")</f>
        <v>{"typ":"lc","txt":"LC_HERO_equipment_puzzle_box12"}</v>
      </c>
      <c r="K1980" s="148" t="str">
        <f>IFERROR(__xludf.DUMMYFUNCTION("""COMPUTED_VALUE"""),"{""typ"":""lc"",""txt"":""LC_HERO_equipment_puzzle_box_desc12""}")</f>
        <v>{"typ":"lc","txt":"LC_HERO_equipment_puzzle_box_desc12"}</v>
      </c>
      <c r="L1980" s="148" t="str">
        <f>IFERROR(__xludf.DUMMYFUNCTION("""COMPUTED_VALUE"""),"{}")</f>
        <v>{}</v>
      </c>
      <c r="M1980" s="148">
        <f>IFERROR(__xludf.DUMMYFUNCTION("""COMPUTED_VALUE"""),50.0)</f>
        <v>50</v>
      </c>
      <c r="N1980" s="148">
        <f>IFERROR(__xludf.DUMMYFUNCTION("""COMPUTED_VALUE"""),9999999.0)</f>
        <v>9999999</v>
      </c>
      <c r="O1980" s="148">
        <f>IFERROR(__xludf.DUMMYFUNCTION("""COMPUTED_VALUE"""),99999.0)</f>
        <v>99999</v>
      </c>
      <c r="P1980" s="148">
        <f>IFERROR(__xludf.DUMMYFUNCTION("""COMPUTED_VALUE"""),99999.0)</f>
        <v>99999</v>
      </c>
      <c r="Q1980" s="148" t="str">
        <f>IFERROR(__xludf.DUMMYFUNCTION("""COMPUTED_VALUE"""),"[""bag_other""]")</f>
        <v>["bag_other"]</v>
      </c>
      <c r="R1980" s="148" t="str">
        <f>IFERROR(__xludf.DUMMYFUNCTION("""COMPUTED_VALUE"""),"[""bag""]")</f>
        <v>["bag"]</v>
      </c>
      <c r="S1980" s="148" t="str">
        <f>IFERROR(__xludf.DUMMYFUNCTION("""COMPUTED_VALUE"""),"{""drop"":{""typ"":""single_random"",""num"":1,""args"":[{""typ"":""puzzle"",""id"":19349025,""num"":1,""wgt"":100},{""typ"":""puzzle"",""id"":19349026,""num"":1,""wgt"":100},{""typ"":""puzzle"",""id"":19349027,""num"":1,""wgt"":100},{""typ"":""puzzle"","&amp;"""id"":19349028,""num"":1,""wgt"":100}]}}")</f>
        <v>{"drop":{"typ":"single_random","num":1,"args":[{"typ":"puzzle","id":19349025,"num":1,"wgt":100},{"typ":"puzzle","id":19349026,"num":1,"wgt":100},{"typ":"puzzle","id":19349027,"num":1,"wgt":100},{"typ":"puzzle","id":19349028,"num":1,"wgt":100}]}}</v>
      </c>
      <c r="T1980" s="148">
        <f>IFERROR(__xludf.DUMMYFUNCTION("""COMPUTED_VALUE"""),-1.0)</f>
        <v>-1</v>
      </c>
      <c r="U1980" s="148">
        <f>IFERROR(__xludf.DUMMYFUNCTION("""COMPUTED_VALUE"""),0.0)</f>
        <v>0</v>
      </c>
      <c r="V1980" s="148" t="str">
        <f>IFERROR(__xludf.DUMMYFUNCTION("""COMPUTED_VALUE"""),"[]")</f>
        <v>[]</v>
      </c>
      <c r="W1980" s="148">
        <f>IFERROR(__xludf.DUMMYFUNCTION("""COMPUTED_VALUE"""),1.1741004E7)</f>
        <v>11741004</v>
      </c>
      <c r="X1980" s="148">
        <f>IFERROR(__xludf.DUMMYFUNCTION("""COMPUTED_VALUE"""),0.0)</f>
        <v>0</v>
      </c>
      <c r="Y1980" s="148">
        <f>IFERROR(__xludf.DUMMYFUNCTION("""COMPUTED_VALUE"""),0.0)</f>
        <v>0</v>
      </c>
      <c r="Z1980" s="148"/>
    </row>
    <row r="1981">
      <c r="A1981" s="148">
        <f>IFERROR(__xludf.DUMMYFUNCTION("""COMPUTED_VALUE"""),1.111861E7)</f>
        <v>11118610</v>
      </c>
      <c r="B1981" s="148" t="str">
        <f>IFERROR(__xludf.DUMMYFUNCTION("""COMPUTED_VALUE"""),"缔造者装备图纸自选箱")</f>
        <v>缔造者装备图纸自选箱</v>
      </c>
      <c r="C1981" s="148"/>
      <c r="D1981" s="148" t="str">
        <f>IFERROR(__xludf.DUMMYFUNCTION("""COMPUTED_VALUE"""),"item_select_box")</f>
        <v>item_select_box</v>
      </c>
      <c r="E1981" s="148">
        <f>IFERROR(__xludf.DUMMYFUNCTION("""COMPUTED_VALUE"""),19.0)</f>
        <v>19</v>
      </c>
      <c r="F1981" s="148">
        <f>IFERROR(__xludf.DUMMYFUNCTION("""COMPUTED_VALUE"""),403308.0)</f>
        <v>403308</v>
      </c>
      <c r="G1981" s="148">
        <f>IFERROR(__xludf.DUMMYFUNCTION("""COMPUTED_VALUE"""),1.5116065E7)</f>
        <v>15116065</v>
      </c>
      <c r="H1981" s="148">
        <f>IFERROR(__xludf.DUMMYFUNCTION("""COMPUTED_VALUE"""),1.5112564E7)</f>
        <v>15112564</v>
      </c>
      <c r="I1981" s="148" t="str">
        <f>IFERROR(__xludf.DUMMYFUNCTION("""COMPUTED_VALUE"""),"{}")</f>
        <v>{}</v>
      </c>
      <c r="J1981" s="148" t="str">
        <f>IFERROR(__xludf.DUMMYFUNCTION("""COMPUTED_VALUE"""),"{""typ"":""lc"",""txt"":""LC_HERO_equipment_blueprint_select_box10""}")</f>
        <v>{"typ":"lc","txt":"LC_HERO_equipment_blueprint_select_box10"}</v>
      </c>
      <c r="K1981" s="148" t="str">
        <f>IFERROR(__xludf.DUMMYFUNCTION("""COMPUTED_VALUE"""),"{""typ"":""lc"",""txt"":""LC_HERO_equipment_puzzle_select_box_desc10""}")</f>
        <v>{"typ":"lc","txt":"LC_HERO_equipment_puzzle_select_box_desc10"}</v>
      </c>
      <c r="L1981" s="148" t="str">
        <f>IFERROR(__xludf.DUMMYFUNCTION("""COMPUTED_VALUE"""),"{}")</f>
        <v>{}</v>
      </c>
      <c r="M1981" s="148">
        <f>IFERROR(__xludf.DUMMYFUNCTION("""COMPUTED_VALUE"""),500.0)</f>
        <v>500</v>
      </c>
      <c r="N1981" s="148">
        <f>IFERROR(__xludf.DUMMYFUNCTION("""COMPUTED_VALUE"""),9999999.0)</f>
        <v>9999999</v>
      </c>
      <c r="O1981" s="148">
        <f>IFERROR(__xludf.DUMMYFUNCTION("""COMPUTED_VALUE"""),99999.0)</f>
        <v>99999</v>
      </c>
      <c r="P1981" s="148">
        <f>IFERROR(__xludf.DUMMYFUNCTION("""COMPUTED_VALUE"""),99999.0)</f>
        <v>99999</v>
      </c>
      <c r="Q1981" s="148" t="str">
        <f>IFERROR(__xludf.DUMMYFUNCTION("""COMPUTED_VALUE"""),"[""bag_other""]")</f>
        <v>["bag_other"]</v>
      </c>
      <c r="R1981" s="148" t="str">
        <f>IFERROR(__xludf.DUMMYFUNCTION("""COMPUTED_VALUE"""),"[""bag""]")</f>
        <v>["bag"]</v>
      </c>
      <c r="S1981" s="148" t="str">
        <f>IFERROR(__xludf.DUMMYFUNCTION("""COMPUTED_VALUE"""),"{""select_box"":[{""typ"":""blueprint"",""id"":19344017,""val"":1},{""typ"":""blueprint"",""id"":19344018,""val"":1},{""typ"":""blueprint"",""id"":19344019,""val"":1},{""typ"":""blueprint"",""id"":19344020,""val"":1}]}")</f>
        <v>{"select_box":[{"typ":"blueprint","id":19344017,"val":1},{"typ":"blueprint","id":19344018,"val":1},{"typ":"blueprint","id":19344019,"val":1},{"typ":"blueprint","id":19344020,"val":1}]}</v>
      </c>
      <c r="T1981" s="148">
        <f>IFERROR(__xludf.DUMMYFUNCTION("""COMPUTED_VALUE"""),-1.0)</f>
        <v>-1</v>
      </c>
      <c r="U1981" s="148">
        <f>IFERROR(__xludf.DUMMYFUNCTION("""COMPUTED_VALUE"""),0.0)</f>
        <v>0</v>
      </c>
      <c r="V1981" s="148" t="str">
        <f>IFERROR(__xludf.DUMMYFUNCTION("""COMPUTED_VALUE"""),"[]")</f>
        <v>[]</v>
      </c>
      <c r="W1981" s="148">
        <f>IFERROR(__xludf.DUMMYFUNCTION("""COMPUTED_VALUE"""),1.1741004E7)</f>
        <v>11741004</v>
      </c>
      <c r="X1981" s="148">
        <f>IFERROR(__xludf.DUMMYFUNCTION("""COMPUTED_VALUE"""),0.0)</f>
        <v>0</v>
      </c>
      <c r="Y1981" s="148">
        <f>IFERROR(__xludf.DUMMYFUNCTION("""COMPUTED_VALUE"""),0.0)</f>
        <v>0</v>
      </c>
      <c r="Z1981" s="148"/>
    </row>
    <row r="1982">
      <c r="A1982" s="148">
        <f>IFERROR(__xludf.DUMMYFUNCTION("""COMPUTED_VALUE"""),1.1118611E7)</f>
        <v>11118611</v>
      </c>
      <c r="B1982" s="148" t="str">
        <f>IFERROR(__xludf.DUMMYFUNCTION("""COMPUTED_VALUE"""),"霸者装备图纸自选箱")</f>
        <v>霸者装备图纸自选箱</v>
      </c>
      <c r="C1982" s="148"/>
      <c r="D1982" s="148" t="str">
        <f>IFERROR(__xludf.DUMMYFUNCTION("""COMPUTED_VALUE"""),"item_select_box")</f>
        <v>item_select_box</v>
      </c>
      <c r="E1982" s="148">
        <f>IFERROR(__xludf.DUMMYFUNCTION("""COMPUTED_VALUE"""),19.0)</f>
        <v>19</v>
      </c>
      <c r="F1982" s="148">
        <f>IFERROR(__xludf.DUMMYFUNCTION("""COMPUTED_VALUE"""),403308.0)</f>
        <v>403308</v>
      </c>
      <c r="G1982" s="148">
        <f>IFERROR(__xludf.DUMMYFUNCTION("""COMPUTED_VALUE"""),1.5116066E7)</f>
        <v>15116066</v>
      </c>
      <c r="H1982" s="148">
        <f>IFERROR(__xludf.DUMMYFUNCTION("""COMPUTED_VALUE"""),1.5112564E7)</f>
        <v>15112564</v>
      </c>
      <c r="I1982" s="148" t="str">
        <f>IFERROR(__xludf.DUMMYFUNCTION("""COMPUTED_VALUE"""),"{}")</f>
        <v>{}</v>
      </c>
      <c r="J1982" s="148" t="str">
        <f>IFERROR(__xludf.DUMMYFUNCTION("""COMPUTED_VALUE"""),"{""typ"":""lc"",""txt"":""LC_HERO_equipment_blueprint_select_box11""}")</f>
        <v>{"typ":"lc","txt":"LC_HERO_equipment_blueprint_select_box11"}</v>
      </c>
      <c r="K1982" s="148" t="str">
        <f>IFERROR(__xludf.DUMMYFUNCTION("""COMPUTED_VALUE"""),"{""typ"":""lc"",""txt"":""LC_HERO_equipment_puzzle_select_box_desc11""}")</f>
        <v>{"typ":"lc","txt":"LC_HERO_equipment_puzzle_select_box_desc11"}</v>
      </c>
      <c r="L1982" s="148" t="str">
        <f>IFERROR(__xludf.DUMMYFUNCTION("""COMPUTED_VALUE"""),"{}")</f>
        <v>{}</v>
      </c>
      <c r="M1982" s="148">
        <f>IFERROR(__xludf.DUMMYFUNCTION("""COMPUTED_VALUE"""),500.0)</f>
        <v>500</v>
      </c>
      <c r="N1982" s="148">
        <f>IFERROR(__xludf.DUMMYFUNCTION("""COMPUTED_VALUE"""),9999999.0)</f>
        <v>9999999</v>
      </c>
      <c r="O1982" s="148">
        <f>IFERROR(__xludf.DUMMYFUNCTION("""COMPUTED_VALUE"""),99999.0)</f>
        <v>99999</v>
      </c>
      <c r="P1982" s="148">
        <f>IFERROR(__xludf.DUMMYFUNCTION("""COMPUTED_VALUE"""),99999.0)</f>
        <v>99999</v>
      </c>
      <c r="Q1982" s="148" t="str">
        <f>IFERROR(__xludf.DUMMYFUNCTION("""COMPUTED_VALUE"""),"[""bag_other""]")</f>
        <v>["bag_other"]</v>
      </c>
      <c r="R1982" s="148" t="str">
        <f>IFERROR(__xludf.DUMMYFUNCTION("""COMPUTED_VALUE"""),"[""bag""]")</f>
        <v>["bag"]</v>
      </c>
      <c r="S1982" s="148" t="str">
        <f>IFERROR(__xludf.DUMMYFUNCTION("""COMPUTED_VALUE"""),"{""select_box"":[{""typ"":""blueprint"",""id"":19344021,""val"":1},{""typ"":""blueprint"",""id"":19344022,""val"":1},{""typ"":""blueprint"",""id"":19344023,""val"":1},{""typ"":""blueprint"",""id"":19344024,""val"":1}]}")</f>
        <v>{"select_box":[{"typ":"blueprint","id":19344021,"val":1},{"typ":"blueprint","id":19344022,"val":1},{"typ":"blueprint","id":19344023,"val":1},{"typ":"blueprint","id":19344024,"val":1}]}</v>
      </c>
      <c r="T1982" s="148">
        <f>IFERROR(__xludf.DUMMYFUNCTION("""COMPUTED_VALUE"""),-1.0)</f>
        <v>-1</v>
      </c>
      <c r="U1982" s="148">
        <f>IFERROR(__xludf.DUMMYFUNCTION("""COMPUTED_VALUE"""),0.0)</f>
        <v>0</v>
      </c>
      <c r="V1982" s="148" t="str">
        <f>IFERROR(__xludf.DUMMYFUNCTION("""COMPUTED_VALUE"""),"[]")</f>
        <v>[]</v>
      </c>
      <c r="W1982" s="148">
        <f>IFERROR(__xludf.DUMMYFUNCTION("""COMPUTED_VALUE"""),1.1741004E7)</f>
        <v>11741004</v>
      </c>
      <c r="X1982" s="148">
        <f>IFERROR(__xludf.DUMMYFUNCTION("""COMPUTED_VALUE"""),0.0)</f>
        <v>0</v>
      </c>
      <c r="Y1982" s="148">
        <f>IFERROR(__xludf.DUMMYFUNCTION("""COMPUTED_VALUE"""),0.0)</f>
        <v>0</v>
      </c>
      <c r="Z1982" s="148"/>
    </row>
    <row r="1983">
      <c r="A1983" s="148">
        <f>IFERROR(__xludf.DUMMYFUNCTION("""COMPUTED_VALUE"""),1.1118612E7)</f>
        <v>11118612</v>
      </c>
      <c r="B1983" s="148" t="str">
        <f>IFERROR(__xludf.DUMMYFUNCTION("""COMPUTED_VALUE"""),"狩猎者装备图纸自选箱")</f>
        <v>狩猎者装备图纸自选箱</v>
      </c>
      <c r="C1983" s="148"/>
      <c r="D1983" s="148" t="str">
        <f>IFERROR(__xludf.DUMMYFUNCTION("""COMPUTED_VALUE"""),"item_select_box")</f>
        <v>item_select_box</v>
      </c>
      <c r="E1983" s="148">
        <f>IFERROR(__xludf.DUMMYFUNCTION("""COMPUTED_VALUE"""),19.0)</f>
        <v>19</v>
      </c>
      <c r="F1983" s="148">
        <f>IFERROR(__xludf.DUMMYFUNCTION("""COMPUTED_VALUE"""),403308.0)</f>
        <v>403308</v>
      </c>
      <c r="G1983" s="148">
        <f>IFERROR(__xludf.DUMMYFUNCTION("""COMPUTED_VALUE"""),1.5116067E7)</f>
        <v>15116067</v>
      </c>
      <c r="H1983" s="148">
        <f>IFERROR(__xludf.DUMMYFUNCTION("""COMPUTED_VALUE"""),1.5112564E7)</f>
        <v>15112564</v>
      </c>
      <c r="I1983" s="148" t="str">
        <f>IFERROR(__xludf.DUMMYFUNCTION("""COMPUTED_VALUE"""),"{}")</f>
        <v>{}</v>
      </c>
      <c r="J1983" s="148" t="str">
        <f>IFERROR(__xludf.DUMMYFUNCTION("""COMPUTED_VALUE"""),"{""typ"":""lc"",""txt"":""LC_HERO_equipment_blueprint_select_box12""}")</f>
        <v>{"typ":"lc","txt":"LC_HERO_equipment_blueprint_select_box12"}</v>
      </c>
      <c r="K1983" s="148" t="str">
        <f>IFERROR(__xludf.DUMMYFUNCTION("""COMPUTED_VALUE"""),"{""typ"":""lc"",""txt"":""LC_HERO_equipment_puzzle_select_box_desc12""}")</f>
        <v>{"typ":"lc","txt":"LC_HERO_equipment_puzzle_select_box_desc12"}</v>
      </c>
      <c r="L1983" s="148" t="str">
        <f>IFERROR(__xludf.DUMMYFUNCTION("""COMPUTED_VALUE"""),"{}")</f>
        <v>{}</v>
      </c>
      <c r="M1983" s="148">
        <f>IFERROR(__xludf.DUMMYFUNCTION("""COMPUTED_VALUE"""),500.0)</f>
        <v>500</v>
      </c>
      <c r="N1983" s="148">
        <f>IFERROR(__xludf.DUMMYFUNCTION("""COMPUTED_VALUE"""),9999999.0)</f>
        <v>9999999</v>
      </c>
      <c r="O1983" s="148">
        <f>IFERROR(__xludf.DUMMYFUNCTION("""COMPUTED_VALUE"""),99999.0)</f>
        <v>99999</v>
      </c>
      <c r="P1983" s="148">
        <f>IFERROR(__xludf.DUMMYFUNCTION("""COMPUTED_VALUE"""),99999.0)</f>
        <v>99999</v>
      </c>
      <c r="Q1983" s="148" t="str">
        <f>IFERROR(__xludf.DUMMYFUNCTION("""COMPUTED_VALUE"""),"[""bag_other""]")</f>
        <v>["bag_other"]</v>
      </c>
      <c r="R1983" s="148" t="str">
        <f>IFERROR(__xludf.DUMMYFUNCTION("""COMPUTED_VALUE"""),"[""bag""]")</f>
        <v>["bag"]</v>
      </c>
      <c r="S1983" s="148" t="str">
        <f>IFERROR(__xludf.DUMMYFUNCTION("""COMPUTED_VALUE"""),"{""select_box"":[{""typ"":""blueprint"",""id"":19344025,""val"":1},{""typ"":""blueprint"",""id"":19344026,""val"":1},{""typ"":""blueprint"",""id"":19344027,""val"":1},{""typ"":""blueprint"",""id"":19344028,""val"":1}]}")</f>
        <v>{"select_box":[{"typ":"blueprint","id":19344025,"val":1},{"typ":"blueprint","id":19344026,"val":1},{"typ":"blueprint","id":19344027,"val":1},{"typ":"blueprint","id":19344028,"val":1}]}</v>
      </c>
      <c r="T1983" s="148">
        <f>IFERROR(__xludf.DUMMYFUNCTION("""COMPUTED_VALUE"""),-1.0)</f>
        <v>-1</v>
      </c>
      <c r="U1983" s="148">
        <f>IFERROR(__xludf.DUMMYFUNCTION("""COMPUTED_VALUE"""),0.0)</f>
        <v>0</v>
      </c>
      <c r="V1983" s="148" t="str">
        <f>IFERROR(__xludf.DUMMYFUNCTION("""COMPUTED_VALUE"""),"[]")</f>
        <v>[]</v>
      </c>
      <c r="W1983" s="148">
        <f>IFERROR(__xludf.DUMMYFUNCTION("""COMPUTED_VALUE"""),1.1741004E7)</f>
        <v>11741004</v>
      </c>
      <c r="X1983" s="148">
        <f>IFERROR(__xludf.DUMMYFUNCTION("""COMPUTED_VALUE"""),0.0)</f>
        <v>0</v>
      </c>
      <c r="Y1983" s="148">
        <f>IFERROR(__xludf.DUMMYFUNCTION("""COMPUTED_VALUE"""),0.0)</f>
        <v>0</v>
      </c>
      <c r="Z1983" s="148"/>
    </row>
    <row r="1984">
      <c r="A1984" s="148">
        <f>IFERROR(__xludf.DUMMYFUNCTION("""COMPUTED_VALUE"""),1.1118613E7)</f>
        <v>11118613</v>
      </c>
      <c r="B1984" s="148" t="str">
        <f>IFERROR(__xludf.DUMMYFUNCTION("""COMPUTED_VALUE"""),"秘境装备自选箱2")</f>
        <v>秘境装备自选箱2</v>
      </c>
      <c r="C1984" s="148"/>
      <c r="D1984" s="148" t="str">
        <f>IFERROR(__xludf.DUMMYFUNCTION("""COMPUTED_VALUE"""),"item_select_box")</f>
        <v>item_select_box</v>
      </c>
      <c r="E1984" s="148">
        <f>IFERROR(__xludf.DUMMYFUNCTION("""COMPUTED_VALUE"""),19.0)</f>
        <v>19</v>
      </c>
      <c r="F1984" s="148">
        <f>IFERROR(__xludf.DUMMYFUNCTION("""COMPUTED_VALUE"""),403308.0)</f>
        <v>403308</v>
      </c>
      <c r="G1984" s="148">
        <f>IFERROR(__xludf.DUMMYFUNCTION("""COMPUTED_VALUE"""),1.5115914E7)</f>
        <v>15115914</v>
      </c>
      <c r="H1984" s="148">
        <f>IFERROR(__xludf.DUMMYFUNCTION("""COMPUTED_VALUE"""),1.5112564E7)</f>
        <v>15112564</v>
      </c>
      <c r="I1984" s="148" t="str">
        <f>IFERROR(__xludf.DUMMYFUNCTION("""COMPUTED_VALUE"""),"{}")</f>
        <v>{}</v>
      </c>
      <c r="J1984" s="148" t="str">
        <f>IFERROR(__xludf.DUMMYFUNCTION("""COMPUTED_VALUE"""),"{""typ"":""lc"",""txt"":""LC_ITEM_monopoly_equipment_blueprint_select_box_name_1""}")</f>
        <v>{"typ":"lc","txt":"LC_ITEM_monopoly_equipment_blueprint_select_box_name_1"}</v>
      </c>
      <c r="K1984" s="148" t="str">
        <f>IFERROR(__xludf.DUMMYFUNCTION("""COMPUTED_VALUE"""),"{""typ"":""lc"",""txt"":""LC_ITEM_monopoly_equipment_blueprint_select_box_desc_5""}")</f>
        <v>{"typ":"lc","txt":"LC_ITEM_monopoly_equipment_blueprint_select_box_desc_5"}</v>
      </c>
      <c r="L1984" s="148" t="str">
        <f>IFERROR(__xludf.DUMMYFUNCTION("""COMPUTED_VALUE"""),"{}")</f>
        <v>{}</v>
      </c>
      <c r="M1984" s="148">
        <f>IFERROR(__xludf.DUMMYFUNCTION("""COMPUTED_VALUE"""),500.0)</f>
        <v>500</v>
      </c>
      <c r="N1984" s="148">
        <f>IFERROR(__xludf.DUMMYFUNCTION("""COMPUTED_VALUE"""),9999999.0)</f>
        <v>9999999</v>
      </c>
      <c r="O1984" s="148">
        <f>IFERROR(__xludf.DUMMYFUNCTION("""COMPUTED_VALUE"""),99999.0)</f>
        <v>99999</v>
      </c>
      <c r="P1984" s="148">
        <f>IFERROR(__xludf.DUMMYFUNCTION("""COMPUTED_VALUE"""),99999.0)</f>
        <v>99999</v>
      </c>
      <c r="Q1984" s="148" t="str">
        <f>IFERROR(__xludf.DUMMYFUNCTION("""COMPUTED_VALUE"""),"[""bag_other""]")</f>
        <v>["bag_other"]</v>
      </c>
      <c r="R1984" s="148" t="str">
        <f>IFERROR(__xludf.DUMMYFUNCTION("""COMPUTED_VALUE"""),"[""bag""]")</f>
        <v>["bag"]</v>
      </c>
      <c r="S1984" s="148" t="str">
        <f>IFERROR(__xludf.DUMMYFUNCTION("""COMPUTED_VALUE"""),"{""select_box"":[{""typ"":""item"",""id"":11118610,""val"":1},{""typ"":""item"",""id"":11118611,""val"":1},{""typ"":""item"",""id"":11118612,""val"":1}]}")</f>
        <v>{"select_box":[{"typ":"item","id":11118610,"val":1},{"typ":"item","id":11118611,"val":1},{"typ":"item","id":11118612,"val":1}]}</v>
      </c>
      <c r="T1984" s="148">
        <f>IFERROR(__xludf.DUMMYFUNCTION("""COMPUTED_VALUE"""),-1.0)</f>
        <v>-1</v>
      </c>
      <c r="U1984" s="148">
        <f>IFERROR(__xludf.DUMMYFUNCTION("""COMPUTED_VALUE"""),0.0)</f>
        <v>0</v>
      </c>
      <c r="V1984" s="148" t="str">
        <f>IFERROR(__xludf.DUMMYFUNCTION("""COMPUTED_VALUE"""),"[]")</f>
        <v>[]</v>
      </c>
      <c r="W1984" s="148">
        <f>IFERROR(__xludf.DUMMYFUNCTION("""COMPUTED_VALUE"""),1.1741004E7)</f>
        <v>11741004</v>
      </c>
      <c r="X1984" s="148">
        <f>IFERROR(__xludf.DUMMYFUNCTION("""COMPUTED_VALUE"""),0.0)</f>
        <v>0</v>
      </c>
      <c r="Y1984" s="148">
        <f>IFERROR(__xludf.DUMMYFUNCTION("""COMPUTED_VALUE"""),0.0)</f>
        <v>0</v>
      </c>
      <c r="Z1984" s="148"/>
    </row>
    <row r="1985">
      <c r="A1985" s="148">
        <f>IFERROR(__xludf.DUMMYFUNCTION("""COMPUTED_VALUE"""),1.1118614E7)</f>
        <v>11118614</v>
      </c>
      <c r="B1985" s="148" t="str">
        <f>IFERROR(__xludf.DUMMYFUNCTION("""COMPUTED_VALUE"""),"沙滩节-装饰升级道具")</f>
        <v>沙滩节-装饰升级道具</v>
      </c>
      <c r="C1985" s="148"/>
      <c r="D1985" s="148" t="str">
        <f>IFERROR(__xludf.DUMMYFUNCTION("""COMPUTED_VALUE"""),"event")</f>
        <v>event</v>
      </c>
      <c r="E1985" s="148">
        <f>IFERROR(__xludf.DUMMYFUNCTION("""COMPUTED_VALUE"""),0.0)</f>
        <v>0</v>
      </c>
      <c r="F1985" s="148">
        <f>IFERROR(__xludf.DUMMYFUNCTION("""COMPUTED_VALUE"""),405243.0)</f>
        <v>405243</v>
      </c>
      <c r="G1985" s="148">
        <f>IFERROR(__xludf.DUMMYFUNCTION("""COMPUTED_VALUE"""),1.5114997E7)</f>
        <v>15114997</v>
      </c>
      <c r="H1985" s="148">
        <f>IFERROR(__xludf.DUMMYFUNCTION("""COMPUTED_VALUE"""),1.5112564E7)</f>
        <v>15112564</v>
      </c>
      <c r="I1985" s="148" t="str">
        <f>IFERROR(__xludf.DUMMYFUNCTION("""COMPUTED_VALUE"""),"{}")</f>
        <v>{}</v>
      </c>
      <c r="J1985" s="148" t="str">
        <f>IFERROR(__xludf.DUMMYFUNCTION("""COMPUTED_VALUE"""),"{""typ"":""lc"",""txt"":""LC_BUILDING_summer_2022_ornament_name""}")</f>
        <v>{"typ":"lc","txt":"LC_BUILDING_summer_2022_ornament_name"}</v>
      </c>
      <c r="K1985" s="148" t="str">
        <f>IFERROR(__xludf.DUMMYFUNCTION("""COMPUTED_VALUE"""),"{""typ"":""lc"",""txt"":""LC_ITEM_summer_dec_2023_desc""}")</f>
        <v>{"typ":"lc","txt":"LC_ITEM_summer_dec_2023_desc"}</v>
      </c>
      <c r="L1985" s="148" t="str">
        <f>IFERROR(__xludf.DUMMYFUNCTION("""COMPUTED_VALUE"""),"{}")</f>
        <v>{}</v>
      </c>
      <c r="M1985" s="148">
        <f>IFERROR(__xludf.DUMMYFUNCTION("""COMPUTED_VALUE"""),1000.0)</f>
        <v>1000</v>
      </c>
      <c r="N1985" s="148">
        <f>IFERROR(__xludf.DUMMYFUNCTION("""COMPUTED_VALUE"""),9.99999999E8)</f>
        <v>999999999</v>
      </c>
      <c r="O1985" s="148">
        <f>IFERROR(__xludf.DUMMYFUNCTION("""COMPUTED_VALUE"""),9.99999999E8)</f>
        <v>999999999</v>
      </c>
      <c r="P1985" s="148">
        <f>IFERROR(__xludf.DUMMYFUNCTION("""COMPUTED_VALUE"""),9.99999999E8)</f>
        <v>999999999</v>
      </c>
      <c r="Q1985" s="148" t="str">
        <f>IFERROR(__xludf.DUMMYFUNCTION("""COMPUTED_VALUE"""),"[""bag_other""]")</f>
        <v>["bag_other"]</v>
      </c>
      <c r="R1985" s="148" t="str">
        <f>IFERROR(__xludf.DUMMYFUNCTION("""COMPUTED_VALUE"""),"[]")</f>
        <v>[]</v>
      </c>
      <c r="S1985" s="148" t="str">
        <f>IFERROR(__xludf.DUMMYFUNCTION("""COMPUTED_VALUE"""),"{}")</f>
        <v>{}</v>
      </c>
      <c r="T1985" s="148">
        <f>IFERROR(__xludf.DUMMYFUNCTION("""COMPUTED_VALUE"""),-1.0)</f>
        <v>-1</v>
      </c>
      <c r="U1985" s="148">
        <f>IFERROR(__xludf.DUMMYFUNCTION("""COMPUTED_VALUE"""),0.0)</f>
        <v>0</v>
      </c>
      <c r="V1985" s="148" t="str">
        <f>IFERROR(__xludf.DUMMYFUNCTION("""COMPUTED_VALUE"""),"[]")</f>
        <v>[]</v>
      </c>
      <c r="W1985" s="148">
        <f>IFERROR(__xludf.DUMMYFUNCTION("""COMPUTED_VALUE"""),1.174E7)</f>
        <v>11740000</v>
      </c>
      <c r="X1985" s="148">
        <f>IFERROR(__xludf.DUMMYFUNCTION("""COMPUTED_VALUE"""),0.0)</f>
        <v>0</v>
      </c>
      <c r="Y1985" s="148">
        <f>IFERROR(__xludf.DUMMYFUNCTION("""COMPUTED_VALUE"""),0.0)</f>
        <v>0</v>
      </c>
      <c r="Z1985" s="148"/>
    </row>
    <row r="1986">
      <c r="A1986" s="148">
        <f>IFERROR(__xludf.DUMMYFUNCTION("""COMPUTED_VALUE"""),1.1118615E7)</f>
        <v>11118615</v>
      </c>
      <c r="B1986" s="148" t="str">
        <f>IFERROR(__xludf.DUMMYFUNCTION("""COMPUTED_VALUE"""),"周年庆-蛋糕收集活动道具-1-蛋糕底座")</f>
        <v>周年庆-蛋糕收集活动道具-1-蛋糕底座</v>
      </c>
      <c r="C1986" s="148"/>
      <c r="D1986" s="148" t="str">
        <f>IFERROR(__xludf.DUMMYFUNCTION("""COMPUTED_VALUE"""),"event")</f>
        <v>event</v>
      </c>
      <c r="E1986" s="148">
        <f>IFERROR(__xludf.DUMMYFUNCTION("""COMPUTED_VALUE"""),0.0)</f>
        <v>0</v>
      </c>
      <c r="F1986" s="148">
        <f>IFERROR(__xludf.DUMMYFUNCTION("""COMPUTED_VALUE"""),405243.0)</f>
        <v>405243</v>
      </c>
      <c r="G1986" s="148">
        <f>IFERROR(__xludf.DUMMYFUNCTION("""COMPUTED_VALUE"""),1.5116766E7)</f>
        <v>15116766</v>
      </c>
      <c r="H1986" s="148">
        <f>IFERROR(__xludf.DUMMYFUNCTION("""COMPUTED_VALUE"""),1.5112564E7)</f>
        <v>15112564</v>
      </c>
      <c r="I1986" s="148" t="str">
        <f>IFERROR(__xludf.DUMMYFUNCTION("""COMPUTED_VALUE"""),"{}")</f>
        <v>{}</v>
      </c>
      <c r="J1986" s="148" t="str">
        <f>IFERROR(__xludf.DUMMYFUNCTION("""COMPUTED_VALUE"""),"{""typ"":""lc"",""txt"":""LC_ITEM_2023anniversary_cake_item_name_1""}")</f>
        <v>{"typ":"lc","txt":"LC_ITEM_2023anniversary_cake_item_name_1"}</v>
      </c>
      <c r="K1986" s="148" t="str">
        <f>IFERROR(__xludf.DUMMYFUNCTION("""COMPUTED_VALUE"""),"{""typ"":""lc"",""txt"":""LC_ITEM_2023anniversary_cake_item_desc_1""}")</f>
        <v>{"typ":"lc","txt":"LC_ITEM_2023anniversary_cake_item_desc_1"}</v>
      </c>
      <c r="L1986" s="148" t="str">
        <f>IFERROR(__xludf.DUMMYFUNCTION("""COMPUTED_VALUE"""),"{}")</f>
        <v>{}</v>
      </c>
      <c r="M1986" s="148">
        <f>IFERROR(__xludf.DUMMYFUNCTION("""COMPUTED_VALUE"""),1000.0)</f>
        <v>1000</v>
      </c>
      <c r="N1986" s="148">
        <f>IFERROR(__xludf.DUMMYFUNCTION("""COMPUTED_VALUE"""),9.99999999E8)</f>
        <v>999999999</v>
      </c>
      <c r="O1986" s="148">
        <f>IFERROR(__xludf.DUMMYFUNCTION("""COMPUTED_VALUE"""),9.99999999E8)</f>
        <v>999999999</v>
      </c>
      <c r="P1986" s="148">
        <f>IFERROR(__xludf.DUMMYFUNCTION("""COMPUTED_VALUE"""),9.99999999E8)</f>
        <v>999999999</v>
      </c>
      <c r="Q1986" s="148" t="str">
        <f>IFERROR(__xludf.DUMMYFUNCTION("""COMPUTED_VALUE"""),"[""bag_other""]")</f>
        <v>["bag_other"]</v>
      </c>
      <c r="R1986" s="148" t="str">
        <f>IFERROR(__xludf.DUMMYFUNCTION("""COMPUTED_VALUE"""),"[]")</f>
        <v>[]</v>
      </c>
      <c r="S1986" s="148" t="str">
        <f>IFERROR(__xludf.DUMMYFUNCTION("""COMPUTED_VALUE"""),"{}")</f>
        <v>{}</v>
      </c>
      <c r="T1986" s="148">
        <f>IFERROR(__xludf.DUMMYFUNCTION("""COMPUTED_VALUE"""),-1.0)</f>
        <v>-1</v>
      </c>
      <c r="U1986" s="148">
        <f>IFERROR(__xludf.DUMMYFUNCTION("""COMPUTED_VALUE"""),1.0)</f>
        <v>1</v>
      </c>
      <c r="V1986" s="148" t="str">
        <f>IFERROR(__xludf.DUMMYFUNCTION("""COMPUTED_VALUE"""),"[]")</f>
        <v>[]</v>
      </c>
      <c r="W1986" s="148">
        <f>IFERROR(__xludf.DUMMYFUNCTION("""COMPUTED_VALUE"""),1.174E7)</f>
        <v>11740000</v>
      </c>
      <c r="X1986" s="148">
        <f>IFERROR(__xludf.DUMMYFUNCTION("""COMPUTED_VALUE"""),0.0)</f>
        <v>0</v>
      </c>
      <c r="Y1986" s="148">
        <f>IFERROR(__xludf.DUMMYFUNCTION("""COMPUTED_VALUE"""),0.0)</f>
        <v>0</v>
      </c>
      <c r="Z1986" s="148"/>
    </row>
    <row r="1987">
      <c r="A1987" s="148">
        <f>IFERROR(__xludf.DUMMYFUNCTION("""COMPUTED_VALUE"""),1.1118616E7)</f>
        <v>11118616</v>
      </c>
      <c r="B1987" s="148" t="str">
        <f>IFERROR(__xludf.DUMMYFUNCTION("""COMPUTED_VALUE"""),"周年庆-蛋糕收集活动道具-2-奶油裱花")</f>
        <v>周年庆-蛋糕收集活动道具-2-奶油裱花</v>
      </c>
      <c r="C1987" s="148"/>
      <c r="D1987" s="148" t="str">
        <f>IFERROR(__xludf.DUMMYFUNCTION("""COMPUTED_VALUE"""),"event")</f>
        <v>event</v>
      </c>
      <c r="E1987" s="148">
        <f>IFERROR(__xludf.DUMMYFUNCTION("""COMPUTED_VALUE"""),0.0)</f>
        <v>0</v>
      </c>
      <c r="F1987" s="148">
        <f>IFERROR(__xludf.DUMMYFUNCTION("""COMPUTED_VALUE"""),405242.0)</f>
        <v>405242</v>
      </c>
      <c r="G1987" s="148">
        <f>IFERROR(__xludf.DUMMYFUNCTION("""COMPUTED_VALUE"""),1.5116767E7)</f>
        <v>15116767</v>
      </c>
      <c r="H1987" s="148">
        <f>IFERROR(__xludf.DUMMYFUNCTION("""COMPUTED_VALUE"""),1.5112564E7)</f>
        <v>15112564</v>
      </c>
      <c r="I1987" s="148" t="str">
        <f>IFERROR(__xludf.DUMMYFUNCTION("""COMPUTED_VALUE"""),"{}")</f>
        <v>{}</v>
      </c>
      <c r="J1987" s="148" t="str">
        <f>IFERROR(__xludf.DUMMYFUNCTION("""COMPUTED_VALUE"""),"{""typ"":""lc"",""txt"":""LC_ITEM_2023anniversary_cake_item_name_2""}")</f>
        <v>{"typ":"lc","txt":"LC_ITEM_2023anniversary_cake_item_name_2"}</v>
      </c>
      <c r="K1987" s="148" t="str">
        <f>IFERROR(__xludf.DUMMYFUNCTION("""COMPUTED_VALUE"""),"{""typ"":""lc"",""txt"":""LC_ITEM_2023anniversary_cake_item_desc_2""}")</f>
        <v>{"typ":"lc","txt":"LC_ITEM_2023anniversary_cake_item_desc_2"}</v>
      </c>
      <c r="L1987" s="148" t="str">
        <f>IFERROR(__xludf.DUMMYFUNCTION("""COMPUTED_VALUE"""),"{}")</f>
        <v>{}</v>
      </c>
      <c r="M1987" s="148">
        <f>IFERROR(__xludf.DUMMYFUNCTION("""COMPUTED_VALUE"""),1000.0)</f>
        <v>1000</v>
      </c>
      <c r="N1987" s="148">
        <f>IFERROR(__xludf.DUMMYFUNCTION("""COMPUTED_VALUE"""),9.99999999E8)</f>
        <v>999999999</v>
      </c>
      <c r="O1987" s="148">
        <f>IFERROR(__xludf.DUMMYFUNCTION("""COMPUTED_VALUE"""),9.99999999E8)</f>
        <v>999999999</v>
      </c>
      <c r="P1987" s="148">
        <f>IFERROR(__xludf.DUMMYFUNCTION("""COMPUTED_VALUE"""),9.99999999E8)</f>
        <v>999999999</v>
      </c>
      <c r="Q1987" s="148" t="str">
        <f>IFERROR(__xludf.DUMMYFUNCTION("""COMPUTED_VALUE"""),"[""bag_other""]")</f>
        <v>["bag_other"]</v>
      </c>
      <c r="R1987" s="148" t="str">
        <f>IFERROR(__xludf.DUMMYFUNCTION("""COMPUTED_VALUE"""),"[]")</f>
        <v>[]</v>
      </c>
      <c r="S1987" s="148" t="str">
        <f>IFERROR(__xludf.DUMMYFUNCTION("""COMPUTED_VALUE"""),"{}")</f>
        <v>{}</v>
      </c>
      <c r="T1987" s="148">
        <f>IFERROR(__xludf.DUMMYFUNCTION("""COMPUTED_VALUE"""),-1.0)</f>
        <v>-1</v>
      </c>
      <c r="U1987" s="148">
        <f>IFERROR(__xludf.DUMMYFUNCTION("""COMPUTED_VALUE"""),1.0)</f>
        <v>1</v>
      </c>
      <c r="V1987" s="148" t="str">
        <f>IFERROR(__xludf.DUMMYFUNCTION("""COMPUTED_VALUE"""),"[]")</f>
        <v>[]</v>
      </c>
      <c r="W1987" s="148">
        <f>IFERROR(__xludf.DUMMYFUNCTION("""COMPUTED_VALUE"""),1.174E7)</f>
        <v>11740000</v>
      </c>
      <c r="X1987" s="148">
        <f>IFERROR(__xludf.DUMMYFUNCTION("""COMPUTED_VALUE"""),0.0)</f>
        <v>0</v>
      </c>
      <c r="Y1987" s="148">
        <f>IFERROR(__xludf.DUMMYFUNCTION("""COMPUTED_VALUE"""),0.0)</f>
        <v>0</v>
      </c>
      <c r="Z1987" s="148"/>
    </row>
    <row r="1988">
      <c r="A1988" s="148">
        <f>IFERROR(__xludf.DUMMYFUNCTION("""COMPUTED_VALUE"""),1.1118617E7)</f>
        <v>11118617</v>
      </c>
      <c r="B1988" s="148" t="str">
        <f>IFERROR(__xludf.DUMMYFUNCTION("""COMPUTED_VALUE"""),"周年庆-蛋糕收集活动道具-3-美味水果")</f>
        <v>周年庆-蛋糕收集活动道具-3-美味水果</v>
      </c>
      <c r="C1988" s="148"/>
      <c r="D1988" s="148" t="str">
        <f>IFERROR(__xludf.DUMMYFUNCTION("""COMPUTED_VALUE"""),"event")</f>
        <v>event</v>
      </c>
      <c r="E1988" s="148">
        <f>IFERROR(__xludf.DUMMYFUNCTION("""COMPUTED_VALUE"""),0.0)</f>
        <v>0</v>
      </c>
      <c r="F1988" s="148">
        <f>IFERROR(__xludf.DUMMYFUNCTION("""COMPUTED_VALUE"""),405241.0)</f>
        <v>405241</v>
      </c>
      <c r="G1988" s="148">
        <f>IFERROR(__xludf.DUMMYFUNCTION("""COMPUTED_VALUE"""),1.5116768E7)</f>
        <v>15116768</v>
      </c>
      <c r="H1988" s="148">
        <f>IFERROR(__xludf.DUMMYFUNCTION("""COMPUTED_VALUE"""),1.5112564E7)</f>
        <v>15112564</v>
      </c>
      <c r="I1988" s="148" t="str">
        <f>IFERROR(__xludf.DUMMYFUNCTION("""COMPUTED_VALUE"""),"{}")</f>
        <v>{}</v>
      </c>
      <c r="J1988" s="148" t="str">
        <f>IFERROR(__xludf.DUMMYFUNCTION("""COMPUTED_VALUE"""),"{""typ"":""lc"",""txt"":""LC_ITEM_2023anniversary_cake_item_name_3""}")</f>
        <v>{"typ":"lc","txt":"LC_ITEM_2023anniversary_cake_item_name_3"}</v>
      </c>
      <c r="K1988" s="148" t="str">
        <f>IFERROR(__xludf.DUMMYFUNCTION("""COMPUTED_VALUE"""),"{""typ"":""lc"",""txt"":""LC_ITEM_2023anniversary_cake_item_desc_3""}")</f>
        <v>{"typ":"lc","txt":"LC_ITEM_2023anniversary_cake_item_desc_3"}</v>
      </c>
      <c r="L1988" s="148" t="str">
        <f>IFERROR(__xludf.DUMMYFUNCTION("""COMPUTED_VALUE"""),"{}")</f>
        <v>{}</v>
      </c>
      <c r="M1988" s="148">
        <f>IFERROR(__xludf.DUMMYFUNCTION("""COMPUTED_VALUE"""),1000.0)</f>
        <v>1000</v>
      </c>
      <c r="N1988" s="148">
        <f>IFERROR(__xludf.DUMMYFUNCTION("""COMPUTED_VALUE"""),9.99999999E8)</f>
        <v>999999999</v>
      </c>
      <c r="O1988" s="148">
        <f>IFERROR(__xludf.DUMMYFUNCTION("""COMPUTED_VALUE"""),9.99999999E8)</f>
        <v>999999999</v>
      </c>
      <c r="P1988" s="148">
        <f>IFERROR(__xludf.DUMMYFUNCTION("""COMPUTED_VALUE"""),9.99999999E8)</f>
        <v>999999999</v>
      </c>
      <c r="Q1988" s="148" t="str">
        <f>IFERROR(__xludf.DUMMYFUNCTION("""COMPUTED_VALUE"""),"[""bag_other""]")</f>
        <v>["bag_other"]</v>
      </c>
      <c r="R1988" s="148" t="str">
        <f>IFERROR(__xludf.DUMMYFUNCTION("""COMPUTED_VALUE"""),"[]")</f>
        <v>[]</v>
      </c>
      <c r="S1988" s="148" t="str">
        <f>IFERROR(__xludf.DUMMYFUNCTION("""COMPUTED_VALUE"""),"{}")</f>
        <v>{}</v>
      </c>
      <c r="T1988" s="148">
        <f>IFERROR(__xludf.DUMMYFUNCTION("""COMPUTED_VALUE"""),-1.0)</f>
        <v>-1</v>
      </c>
      <c r="U1988" s="148">
        <f>IFERROR(__xludf.DUMMYFUNCTION("""COMPUTED_VALUE"""),1.0)</f>
        <v>1</v>
      </c>
      <c r="V1988" s="148" t="str">
        <f>IFERROR(__xludf.DUMMYFUNCTION("""COMPUTED_VALUE"""),"[]")</f>
        <v>[]</v>
      </c>
      <c r="W1988" s="148">
        <f>IFERROR(__xludf.DUMMYFUNCTION("""COMPUTED_VALUE"""),1.174E7)</f>
        <v>11740000</v>
      </c>
      <c r="X1988" s="148">
        <f>IFERROR(__xludf.DUMMYFUNCTION("""COMPUTED_VALUE"""),0.0)</f>
        <v>0</v>
      </c>
      <c r="Y1988" s="148">
        <f>IFERROR(__xludf.DUMMYFUNCTION("""COMPUTED_VALUE"""),0.0)</f>
        <v>0</v>
      </c>
      <c r="Z1988" s="148"/>
    </row>
    <row r="1989">
      <c r="A1989" s="148">
        <f>IFERROR(__xludf.DUMMYFUNCTION("""COMPUTED_VALUE"""),1.1118618E7)</f>
        <v>11118618</v>
      </c>
      <c r="B1989" s="148" t="str">
        <f>IFERROR(__xludf.DUMMYFUNCTION("""COMPUTED_VALUE"""),"周年庆-蛋糕收集活动道具-4-装饰彩糖")</f>
        <v>周年庆-蛋糕收集活动道具-4-装饰彩糖</v>
      </c>
      <c r="C1989" s="148"/>
      <c r="D1989" s="148" t="str">
        <f>IFERROR(__xludf.DUMMYFUNCTION("""COMPUTED_VALUE"""),"event")</f>
        <v>event</v>
      </c>
      <c r="E1989" s="148">
        <f>IFERROR(__xludf.DUMMYFUNCTION("""COMPUTED_VALUE"""),0.0)</f>
        <v>0</v>
      </c>
      <c r="F1989" s="148">
        <f>IFERROR(__xludf.DUMMYFUNCTION("""COMPUTED_VALUE"""),405240.0)</f>
        <v>405240</v>
      </c>
      <c r="G1989" s="148">
        <f>IFERROR(__xludf.DUMMYFUNCTION("""COMPUTED_VALUE"""),1.5116769E7)</f>
        <v>15116769</v>
      </c>
      <c r="H1989" s="148">
        <f>IFERROR(__xludf.DUMMYFUNCTION("""COMPUTED_VALUE"""),1.5112564E7)</f>
        <v>15112564</v>
      </c>
      <c r="I1989" s="148" t="str">
        <f>IFERROR(__xludf.DUMMYFUNCTION("""COMPUTED_VALUE"""),"{}")</f>
        <v>{}</v>
      </c>
      <c r="J1989" s="148" t="str">
        <f>IFERROR(__xludf.DUMMYFUNCTION("""COMPUTED_VALUE"""),"{""typ"":""lc"",""txt"":""LC_ITEM_2023anniversary_cake_item_name_4""}")</f>
        <v>{"typ":"lc","txt":"LC_ITEM_2023anniversary_cake_item_name_4"}</v>
      </c>
      <c r="K1989" s="148" t="str">
        <f>IFERROR(__xludf.DUMMYFUNCTION("""COMPUTED_VALUE"""),"{""typ"":""lc"",""txt"":""LC_ITEM_2023anniversary_cake_item_desc_4""}")</f>
        <v>{"typ":"lc","txt":"LC_ITEM_2023anniversary_cake_item_desc_4"}</v>
      </c>
      <c r="L1989" s="148" t="str">
        <f>IFERROR(__xludf.DUMMYFUNCTION("""COMPUTED_VALUE"""),"{}")</f>
        <v>{}</v>
      </c>
      <c r="M1989" s="148">
        <f>IFERROR(__xludf.DUMMYFUNCTION("""COMPUTED_VALUE"""),1000.0)</f>
        <v>1000</v>
      </c>
      <c r="N1989" s="148">
        <f>IFERROR(__xludf.DUMMYFUNCTION("""COMPUTED_VALUE"""),9.99999999E8)</f>
        <v>999999999</v>
      </c>
      <c r="O1989" s="148">
        <f>IFERROR(__xludf.DUMMYFUNCTION("""COMPUTED_VALUE"""),9.99999999E8)</f>
        <v>999999999</v>
      </c>
      <c r="P1989" s="148">
        <f>IFERROR(__xludf.DUMMYFUNCTION("""COMPUTED_VALUE"""),9.99999999E8)</f>
        <v>999999999</v>
      </c>
      <c r="Q1989" s="148" t="str">
        <f>IFERROR(__xludf.DUMMYFUNCTION("""COMPUTED_VALUE"""),"[""bag_other""]")</f>
        <v>["bag_other"]</v>
      </c>
      <c r="R1989" s="148" t="str">
        <f>IFERROR(__xludf.DUMMYFUNCTION("""COMPUTED_VALUE"""),"[]")</f>
        <v>[]</v>
      </c>
      <c r="S1989" s="148" t="str">
        <f>IFERROR(__xludf.DUMMYFUNCTION("""COMPUTED_VALUE"""),"{}")</f>
        <v>{}</v>
      </c>
      <c r="T1989" s="148">
        <f>IFERROR(__xludf.DUMMYFUNCTION("""COMPUTED_VALUE"""),-1.0)</f>
        <v>-1</v>
      </c>
      <c r="U1989" s="148">
        <f>IFERROR(__xludf.DUMMYFUNCTION("""COMPUTED_VALUE"""),1.0)</f>
        <v>1</v>
      </c>
      <c r="V1989" s="148" t="str">
        <f>IFERROR(__xludf.DUMMYFUNCTION("""COMPUTED_VALUE"""),"[]")</f>
        <v>[]</v>
      </c>
      <c r="W1989" s="148">
        <f>IFERROR(__xludf.DUMMYFUNCTION("""COMPUTED_VALUE"""),1.174E7)</f>
        <v>11740000</v>
      </c>
      <c r="X1989" s="148">
        <f>IFERROR(__xludf.DUMMYFUNCTION("""COMPUTED_VALUE"""),0.0)</f>
        <v>0</v>
      </c>
      <c r="Y1989" s="148">
        <f>IFERROR(__xludf.DUMMYFUNCTION("""COMPUTED_VALUE"""),0.0)</f>
        <v>0</v>
      </c>
      <c r="Z1989" s="148"/>
    </row>
    <row r="1990">
      <c r="A1990" s="148">
        <f>IFERROR(__xludf.DUMMYFUNCTION("""COMPUTED_VALUE"""),1.1118619E7)</f>
        <v>11118619</v>
      </c>
      <c r="B1990" s="148" t="str">
        <f>IFERROR(__xludf.DUMMYFUNCTION("""COMPUTED_VALUE"""),"周年庆-蛋糕收集活动道具-5-纪念蜡烛")</f>
        <v>周年庆-蛋糕收集活动道具-5-纪念蜡烛</v>
      </c>
      <c r="C1990" s="148"/>
      <c r="D1990" s="148" t="str">
        <f>IFERROR(__xludf.DUMMYFUNCTION("""COMPUTED_VALUE"""),"event")</f>
        <v>event</v>
      </c>
      <c r="E1990" s="148">
        <f>IFERROR(__xludf.DUMMYFUNCTION("""COMPUTED_VALUE"""),0.0)</f>
        <v>0</v>
      </c>
      <c r="F1990" s="148">
        <f>IFERROR(__xludf.DUMMYFUNCTION("""COMPUTED_VALUE"""),405239.0)</f>
        <v>405239</v>
      </c>
      <c r="G1990" s="148">
        <f>IFERROR(__xludf.DUMMYFUNCTION("""COMPUTED_VALUE"""),1.511677E7)</f>
        <v>15116770</v>
      </c>
      <c r="H1990" s="148">
        <f>IFERROR(__xludf.DUMMYFUNCTION("""COMPUTED_VALUE"""),1.5112564E7)</f>
        <v>15112564</v>
      </c>
      <c r="I1990" s="148" t="str">
        <f>IFERROR(__xludf.DUMMYFUNCTION("""COMPUTED_VALUE"""),"{}")</f>
        <v>{}</v>
      </c>
      <c r="J1990" s="148" t="str">
        <f>IFERROR(__xludf.DUMMYFUNCTION("""COMPUTED_VALUE"""),"{""typ"":""lc"",""txt"":""LC_ITEM_2023anniversary_cake_item_name_5""}")</f>
        <v>{"typ":"lc","txt":"LC_ITEM_2023anniversary_cake_item_name_5"}</v>
      </c>
      <c r="K1990" s="148" t="str">
        <f>IFERROR(__xludf.DUMMYFUNCTION("""COMPUTED_VALUE"""),"{""typ"":""lc"",""txt"":""LC_ITEM_2023anniversary_cake_item_desc_5""}")</f>
        <v>{"typ":"lc","txt":"LC_ITEM_2023anniversary_cake_item_desc_5"}</v>
      </c>
      <c r="L1990" s="148" t="str">
        <f>IFERROR(__xludf.DUMMYFUNCTION("""COMPUTED_VALUE"""),"{}")</f>
        <v>{}</v>
      </c>
      <c r="M1990" s="148">
        <f>IFERROR(__xludf.DUMMYFUNCTION("""COMPUTED_VALUE"""),1000.0)</f>
        <v>1000</v>
      </c>
      <c r="N1990" s="148">
        <f>IFERROR(__xludf.DUMMYFUNCTION("""COMPUTED_VALUE"""),9.99999999E8)</f>
        <v>999999999</v>
      </c>
      <c r="O1990" s="148">
        <f>IFERROR(__xludf.DUMMYFUNCTION("""COMPUTED_VALUE"""),9.99999999E8)</f>
        <v>999999999</v>
      </c>
      <c r="P1990" s="148">
        <f>IFERROR(__xludf.DUMMYFUNCTION("""COMPUTED_VALUE"""),9.99999999E8)</f>
        <v>999999999</v>
      </c>
      <c r="Q1990" s="148" t="str">
        <f>IFERROR(__xludf.DUMMYFUNCTION("""COMPUTED_VALUE"""),"[""bag_other""]")</f>
        <v>["bag_other"]</v>
      </c>
      <c r="R1990" s="148" t="str">
        <f>IFERROR(__xludf.DUMMYFUNCTION("""COMPUTED_VALUE"""),"[]")</f>
        <v>[]</v>
      </c>
      <c r="S1990" s="148" t="str">
        <f>IFERROR(__xludf.DUMMYFUNCTION("""COMPUTED_VALUE"""),"{}")</f>
        <v>{}</v>
      </c>
      <c r="T1990" s="148">
        <f>IFERROR(__xludf.DUMMYFUNCTION("""COMPUTED_VALUE"""),-1.0)</f>
        <v>-1</v>
      </c>
      <c r="U1990" s="148">
        <f>IFERROR(__xludf.DUMMYFUNCTION("""COMPUTED_VALUE"""),1.0)</f>
        <v>1</v>
      </c>
      <c r="V1990" s="148" t="str">
        <f>IFERROR(__xludf.DUMMYFUNCTION("""COMPUTED_VALUE"""),"[]")</f>
        <v>[]</v>
      </c>
      <c r="W1990" s="148">
        <f>IFERROR(__xludf.DUMMYFUNCTION("""COMPUTED_VALUE"""),1.174E7)</f>
        <v>11740000</v>
      </c>
      <c r="X1990" s="148">
        <f>IFERROR(__xludf.DUMMYFUNCTION("""COMPUTED_VALUE"""),0.0)</f>
        <v>0</v>
      </c>
      <c r="Y1990" s="148">
        <f>IFERROR(__xludf.DUMMYFUNCTION("""COMPUTED_VALUE"""),0.0)</f>
        <v>0</v>
      </c>
      <c r="Z1990" s="148"/>
    </row>
    <row r="1991">
      <c r="A1991" s="148">
        <f>IFERROR(__xludf.DUMMYFUNCTION("""COMPUTED_VALUE"""),1.111862E7)</f>
        <v>11118620</v>
      </c>
      <c r="B1991" s="148" t="str">
        <f>IFERROR(__xludf.DUMMYFUNCTION("""COMPUTED_VALUE"""),"周年庆-装饰升级道具")</f>
        <v>周年庆-装饰升级道具</v>
      </c>
      <c r="C1991" s="148"/>
      <c r="D1991" s="148" t="str">
        <f>IFERROR(__xludf.DUMMYFUNCTION("""COMPUTED_VALUE"""),"event")</f>
        <v>event</v>
      </c>
      <c r="E1991" s="148">
        <f>IFERROR(__xludf.DUMMYFUNCTION("""COMPUTED_VALUE"""),0.0)</f>
        <v>0</v>
      </c>
      <c r="F1991" s="148">
        <f>IFERROR(__xludf.DUMMYFUNCTION("""COMPUTED_VALUE"""),405243.0)</f>
        <v>405243</v>
      </c>
      <c r="G1991" s="148">
        <f>IFERROR(__xludf.DUMMYFUNCTION("""COMPUTED_VALUE"""),1.5116844E7)</f>
        <v>15116844</v>
      </c>
      <c r="H1991" s="148">
        <f>IFERROR(__xludf.DUMMYFUNCTION("""COMPUTED_VALUE"""),1.5112564E7)</f>
        <v>15112564</v>
      </c>
      <c r="I1991" s="148" t="str">
        <f>IFERROR(__xludf.DUMMYFUNCTION("""COMPUTED_VALUE"""),"{}")</f>
        <v>{}</v>
      </c>
      <c r="J1991" s="148" t="str">
        <f>IFERROR(__xludf.DUMMYFUNCTION("""COMPUTED_VALUE"""),"{""typ"":""lc"",""txt"":""LC_EVENT_2023anniversary_cake_dec_name""}")</f>
        <v>{"typ":"lc","txt":"LC_EVENT_2023anniversary_cake_dec_name"}</v>
      </c>
      <c r="K1991" s="148" t="str">
        <f>IFERROR(__xludf.DUMMYFUNCTION("""COMPUTED_VALUE"""),"{""typ"":""lc"",""txt"":""LC_EVENT_2023anniversary_cake_dec_lv_up_desc""}")</f>
        <v>{"typ":"lc","txt":"LC_EVENT_2023anniversary_cake_dec_lv_up_desc"}</v>
      </c>
      <c r="L1991" s="148" t="str">
        <f>IFERROR(__xludf.DUMMYFUNCTION("""COMPUTED_VALUE"""),"{}")</f>
        <v>{}</v>
      </c>
      <c r="M1991" s="148">
        <f>IFERROR(__xludf.DUMMYFUNCTION("""COMPUTED_VALUE"""),1000.0)</f>
        <v>1000</v>
      </c>
      <c r="N1991" s="148">
        <f>IFERROR(__xludf.DUMMYFUNCTION("""COMPUTED_VALUE"""),9.99999999E8)</f>
        <v>999999999</v>
      </c>
      <c r="O1991" s="148">
        <f>IFERROR(__xludf.DUMMYFUNCTION("""COMPUTED_VALUE"""),9.99999999E8)</f>
        <v>999999999</v>
      </c>
      <c r="P1991" s="148">
        <f>IFERROR(__xludf.DUMMYFUNCTION("""COMPUTED_VALUE"""),9.99999999E8)</f>
        <v>999999999</v>
      </c>
      <c r="Q1991" s="148" t="str">
        <f>IFERROR(__xludf.DUMMYFUNCTION("""COMPUTED_VALUE"""),"[""bag_other""]")</f>
        <v>["bag_other"]</v>
      </c>
      <c r="R1991" s="148" t="str">
        <f>IFERROR(__xludf.DUMMYFUNCTION("""COMPUTED_VALUE"""),"[]")</f>
        <v>[]</v>
      </c>
      <c r="S1991" s="148" t="str">
        <f>IFERROR(__xludf.DUMMYFUNCTION("""COMPUTED_VALUE"""),"{}")</f>
        <v>{}</v>
      </c>
      <c r="T1991" s="148">
        <f>IFERROR(__xludf.DUMMYFUNCTION("""COMPUTED_VALUE"""),-1.0)</f>
        <v>-1</v>
      </c>
      <c r="U1991" s="148">
        <f>IFERROR(__xludf.DUMMYFUNCTION("""COMPUTED_VALUE"""),0.0)</f>
        <v>0</v>
      </c>
      <c r="V1991" s="148" t="str">
        <f>IFERROR(__xludf.DUMMYFUNCTION("""COMPUTED_VALUE"""),"[]")</f>
        <v>[]</v>
      </c>
      <c r="W1991" s="148">
        <f>IFERROR(__xludf.DUMMYFUNCTION("""COMPUTED_VALUE"""),1.174E7)</f>
        <v>11740000</v>
      </c>
      <c r="X1991" s="148">
        <f>IFERROR(__xludf.DUMMYFUNCTION("""COMPUTED_VALUE"""),0.0)</f>
        <v>0</v>
      </c>
      <c r="Y1991" s="148">
        <f>IFERROR(__xludf.DUMMYFUNCTION("""COMPUTED_VALUE"""),0.0)</f>
        <v>0</v>
      </c>
      <c r="Z1991" s="148"/>
    </row>
    <row r="1992">
      <c r="A1992" s="148">
        <f>IFERROR(__xludf.DUMMYFUNCTION("""COMPUTED_VALUE"""),1.1118621E7)</f>
        <v>11118621</v>
      </c>
      <c r="B1992" s="148" t="str">
        <f>IFERROR(__xludf.DUMMYFUNCTION("""COMPUTED_VALUE"""),"2023周年庆BattlePass-初级通行证")</f>
        <v>2023周年庆BattlePass-初级通行证</v>
      </c>
      <c r="C1992" s="148"/>
      <c r="D1992" s="148" t="str">
        <f>IFERROR(__xludf.DUMMYFUNCTION("""COMPUTED_VALUE"""),"battle_pass_card")</f>
        <v>battle_pass_card</v>
      </c>
      <c r="E1992" s="148">
        <f>IFERROR(__xludf.DUMMYFUNCTION("""COMPUTED_VALUE"""),0.0)</f>
        <v>0</v>
      </c>
      <c r="F1992" s="148">
        <f>IFERROR(__xludf.DUMMYFUNCTION("""COMPUTED_VALUE"""),0.0)</f>
        <v>0</v>
      </c>
      <c r="G1992" s="148">
        <f>IFERROR(__xludf.DUMMYFUNCTION("""COMPUTED_VALUE"""),1.5116793E7)</f>
        <v>15116793</v>
      </c>
      <c r="H1992" s="148">
        <f>IFERROR(__xludf.DUMMYFUNCTION("""COMPUTED_VALUE"""),1.5112563E7)</f>
        <v>15112563</v>
      </c>
      <c r="I1992" s="148" t="str">
        <f>IFERROR(__xludf.DUMMYFUNCTION("""COMPUTED_VALUE"""),"{}")</f>
        <v>{}</v>
      </c>
      <c r="J1992" s="148" t="str">
        <f>IFERROR(__xludf.DUMMYFUNCTION("""COMPUTED_VALUE"""),"{""typ"":""lc"",""txt"":""LC_IAP_anniversary2023_normal_bp""}")</f>
        <v>{"typ":"lc","txt":"LC_IAP_anniversary2023_normal_bp"}</v>
      </c>
      <c r="K1992" s="148" t="str">
        <f>IFERROR(__xludf.DUMMYFUNCTION("""COMPUTED_VALUE"""),"{}")</f>
        <v>{}</v>
      </c>
      <c r="L1992" s="148" t="str">
        <f>IFERROR(__xludf.DUMMYFUNCTION("""COMPUTED_VALUE"""),"{}")</f>
        <v>{}</v>
      </c>
      <c r="M1992" s="148">
        <f>IFERROR(__xludf.DUMMYFUNCTION("""COMPUTED_VALUE"""),10.0)</f>
        <v>10</v>
      </c>
      <c r="N1992" s="148">
        <f>IFERROR(__xludf.DUMMYFUNCTION("""COMPUTED_VALUE"""),999999.0)</f>
        <v>999999</v>
      </c>
      <c r="O1992" s="148">
        <f>IFERROR(__xludf.DUMMYFUNCTION("""COMPUTED_VALUE"""),99999.0)</f>
        <v>99999</v>
      </c>
      <c r="P1992" s="148">
        <f>IFERROR(__xludf.DUMMYFUNCTION("""COMPUTED_VALUE"""),9999.0)</f>
        <v>9999</v>
      </c>
      <c r="Q1992" s="148" t="str">
        <f>IFERROR(__xludf.DUMMYFUNCTION("""COMPUTED_VALUE"""),"[]")</f>
        <v>[]</v>
      </c>
      <c r="R1992" s="148" t="str">
        <f>IFERROR(__xludf.DUMMYFUNCTION("""COMPUTED_VALUE"""),"[]")</f>
        <v>[]</v>
      </c>
      <c r="S1992" s="148" t="str">
        <f>IFERROR(__xludf.DUMMYFUNCTION("""COMPUTED_VALUE"""),"{}")</f>
        <v>{}</v>
      </c>
      <c r="T1992" s="148">
        <f>IFERROR(__xludf.DUMMYFUNCTION("""COMPUTED_VALUE"""),-1.0)</f>
        <v>-1</v>
      </c>
      <c r="U1992" s="148">
        <f>IFERROR(__xludf.DUMMYFUNCTION("""COMPUTED_VALUE"""),1.0)</f>
        <v>1</v>
      </c>
      <c r="V1992" s="148" t="str">
        <f>IFERROR(__xludf.DUMMYFUNCTION("""COMPUTED_VALUE"""),"[]")</f>
        <v>[]</v>
      </c>
      <c r="W1992" s="148">
        <f>IFERROR(__xludf.DUMMYFUNCTION("""COMPUTED_VALUE"""),1.174E7)</f>
        <v>11740000</v>
      </c>
      <c r="X1992" s="148">
        <f>IFERROR(__xludf.DUMMYFUNCTION("""COMPUTED_VALUE"""),0.0)</f>
        <v>0</v>
      </c>
      <c r="Y1992" s="148">
        <f>IFERROR(__xludf.DUMMYFUNCTION("""COMPUTED_VALUE"""),0.0)</f>
        <v>0</v>
      </c>
      <c r="Z1992" s="148"/>
    </row>
    <row r="1993">
      <c r="A1993" s="148">
        <f>IFERROR(__xludf.DUMMYFUNCTION("""COMPUTED_VALUE"""),1.1118622E7)</f>
        <v>11118622</v>
      </c>
      <c r="B1993" s="148" t="str">
        <f>IFERROR(__xludf.DUMMYFUNCTION("""COMPUTED_VALUE"""),"2023周年庆BattlePass-高级通行证")</f>
        <v>2023周年庆BattlePass-高级通行证</v>
      </c>
      <c r="C1993" s="148"/>
      <c r="D1993" s="148" t="str">
        <f>IFERROR(__xludf.DUMMYFUNCTION("""COMPUTED_VALUE"""),"battle_pass_card")</f>
        <v>battle_pass_card</v>
      </c>
      <c r="E1993" s="148">
        <f>IFERROR(__xludf.DUMMYFUNCTION("""COMPUTED_VALUE"""),0.0)</f>
        <v>0</v>
      </c>
      <c r="F1993" s="148">
        <f>IFERROR(__xludf.DUMMYFUNCTION("""COMPUTED_VALUE"""),0.0)</f>
        <v>0</v>
      </c>
      <c r="G1993" s="148">
        <f>IFERROR(__xludf.DUMMYFUNCTION("""COMPUTED_VALUE"""),1.5116793E7)</f>
        <v>15116793</v>
      </c>
      <c r="H1993" s="148">
        <f>IFERROR(__xludf.DUMMYFUNCTION("""COMPUTED_VALUE"""),1.5112564E7)</f>
        <v>15112564</v>
      </c>
      <c r="I1993" s="148" t="str">
        <f>IFERROR(__xludf.DUMMYFUNCTION("""COMPUTED_VALUE"""),"{}")</f>
        <v>{}</v>
      </c>
      <c r="J1993" s="148" t="str">
        <f>IFERROR(__xludf.DUMMYFUNCTION("""COMPUTED_VALUE"""),"{""typ"":""lc"",""txt"":""LC_IAP_anniversary2023_senior_bp""}")</f>
        <v>{"typ":"lc","txt":"LC_IAP_anniversary2023_senior_bp"}</v>
      </c>
      <c r="K1993" s="148" t="str">
        <f>IFERROR(__xludf.DUMMYFUNCTION("""COMPUTED_VALUE"""),"{}")</f>
        <v>{}</v>
      </c>
      <c r="L1993" s="148" t="str">
        <f>IFERROR(__xludf.DUMMYFUNCTION("""COMPUTED_VALUE"""),"{}")</f>
        <v>{}</v>
      </c>
      <c r="M1993" s="148">
        <f>IFERROR(__xludf.DUMMYFUNCTION("""COMPUTED_VALUE"""),10.0)</f>
        <v>10</v>
      </c>
      <c r="N1993" s="148">
        <f>IFERROR(__xludf.DUMMYFUNCTION("""COMPUTED_VALUE"""),999999.0)</f>
        <v>999999</v>
      </c>
      <c r="O1993" s="148">
        <f>IFERROR(__xludf.DUMMYFUNCTION("""COMPUTED_VALUE"""),99999.0)</f>
        <v>99999</v>
      </c>
      <c r="P1993" s="148">
        <f>IFERROR(__xludf.DUMMYFUNCTION("""COMPUTED_VALUE"""),9999.0)</f>
        <v>9999</v>
      </c>
      <c r="Q1993" s="148" t="str">
        <f>IFERROR(__xludf.DUMMYFUNCTION("""COMPUTED_VALUE"""),"[]")</f>
        <v>[]</v>
      </c>
      <c r="R1993" s="148" t="str">
        <f>IFERROR(__xludf.DUMMYFUNCTION("""COMPUTED_VALUE"""),"[]")</f>
        <v>[]</v>
      </c>
      <c r="S1993" s="148" t="str">
        <f>IFERROR(__xludf.DUMMYFUNCTION("""COMPUTED_VALUE"""),"{}")</f>
        <v>{}</v>
      </c>
      <c r="T1993" s="148">
        <f>IFERROR(__xludf.DUMMYFUNCTION("""COMPUTED_VALUE"""),-1.0)</f>
        <v>-1</v>
      </c>
      <c r="U1993" s="148">
        <f>IFERROR(__xludf.DUMMYFUNCTION("""COMPUTED_VALUE"""),1.0)</f>
        <v>1</v>
      </c>
      <c r="V1993" s="148" t="str">
        <f>IFERROR(__xludf.DUMMYFUNCTION("""COMPUTED_VALUE"""),"[]")</f>
        <v>[]</v>
      </c>
      <c r="W1993" s="148">
        <f>IFERROR(__xludf.DUMMYFUNCTION("""COMPUTED_VALUE"""),1.174E7)</f>
        <v>11740000</v>
      </c>
      <c r="X1993" s="148">
        <f>IFERROR(__xludf.DUMMYFUNCTION("""COMPUTED_VALUE"""),0.0)</f>
        <v>0</v>
      </c>
      <c r="Y1993" s="148">
        <f>IFERROR(__xludf.DUMMYFUNCTION("""COMPUTED_VALUE"""),0.0)</f>
        <v>0</v>
      </c>
      <c r="Z1993" s="148"/>
    </row>
    <row r="1994">
      <c r="A1994" s="148">
        <f>IFERROR(__xludf.DUMMYFUNCTION("""COMPUTED_VALUE"""),1.1118623E7)</f>
        <v>11118623</v>
      </c>
      <c r="B1994" s="148" t="str">
        <f>IFERROR(__xludf.DUMMYFUNCTION("""COMPUTED_VALUE"""),"周年礼花-周年庆2023活动BP道具")</f>
        <v>周年礼花-周年庆2023活动BP道具</v>
      </c>
      <c r="C1994" s="148"/>
      <c r="D1994" s="148" t="str">
        <f>IFERROR(__xludf.DUMMYFUNCTION("""COMPUTED_VALUE"""),"battle_pass_exp")</f>
        <v>battle_pass_exp</v>
      </c>
      <c r="E1994" s="148">
        <f>IFERROR(__xludf.DUMMYFUNCTION("""COMPUTED_VALUE"""),0.0)</f>
        <v>0</v>
      </c>
      <c r="F1994" s="148">
        <f>IFERROR(__xludf.DUMMYFUNCTION("""COMPUTED_VALUE"""),405217.0)</f>
        <v>405217</v>
      </c>
      <c r="G1994" s="148">
        <f>IFERROR(__xludf.DUMMYFUNCTION("""COMPUTED_VALUE"""),1.5116793E7)</f>
        <v>15116793</v>
      </c>
      <c r="H1994" s="148">
        <f>IFERROR(__xludf.DUMMYFUNCTION("""COMPUTED_VALUE"""),1.5112563E7)</f>
        <v>15112563</v>
      </c>
      <c r="I1994" s="148" t="str">
        <f>IFERROR(__xludf.DUMMYFUNCTION("""COMPUTED_VALUE"""),"{}")</f>
        <v>{}</v>
      </c>
      <c r="J1994" s="148" t="str">
        <f>IFERROR(__xludf.DUMMYFUNCTION("""COMPUTED_VALUE"""),"{""typ"":""lc"",""txt"":""LC_ITEM_anniversary2023_bp_item_name""}")</f>
        <v>{"typ":"lc","txt":"LC_ITEM_anniversary2023_bp_item_name"}</v>
      </c>
      <c r="K1994" s="148" t="str">
        <f>IFERROR(__xludf.DUMMYFUNCTION("""COMPUTED_VALUE"""),"{""typ"":""lc"",""txt"":""LC_ITEM_anniversary2023_bp_item_desc""}")</f>
        <v>{"typ":"lc","txt":"LC_ITEM_anniversary2023_bp_item_desc"}</v>
      </c>
      <c r="L1994" s="148" t="str">
        <f>IFERROR(__xludf.DUMMYFUNCTION("""COMPUTED_VALUE"""),"{}")</f>
        <v>{}</v>
      </c>
      <c r="M1994" s="148">
        <f>IFERROR(__xludf.DUMMYFUNCTION("""COMPUTED_VALUE"""),35.0)</f>
        <v>35</v>
      </c>
      <c r="N1994" s="148">
        <f>IFERROR(__xludf.DUMMYFUNCTION("""COMPUTED_VALUE"""),999999.0)</f>
        <v>999999</v>
      </c>
      <c r="O1994" s="148">
        <f>IFERROR(__xludf.DUMMYFUNCTION("""COMPUTED_VALUE"""),99999.0)</f>
        <v>99999</v>
      </c>
      <c r="P1994" s="148">
        <f>IFERROR(__xludf.DUMMYFUNCTION("""COMPUTED_VALUE"""),99999.0)</f>
        <v>99999</v>
      </c>
      <c r="Q1994" s="148" t="str">
        <f>IFERROR(__xludf.DUMMYFUNCTION("""COMPUTED_VALUE"""),"[""bag_other""]")</f>
        <v>["bag_other"]</v>
      </c>
      <c r="R1994" s="148" t="str">
        <f>IFERROR(__xludf.DUMMYFUNCTION("""COMPUTED_VALUE"""),"[""bag""]")</f>
        <v>["bag"]</v>
      </c>
      <c r="S1994" s="148" t="str">
        <f>IFERROR(__xludf.DUMMYFUNCTION("""COMPUTED_VALUE"""),"{}")</f>
        <v>{}</v>
      </c>
      <c r="T1994" s="148">
        <f>IFERROR(__xludf.DUMMYFUNCTION("""COMPUTED_VALUE"""),-1.0)</f>
        <v>-1</v>
      </c>
      <c r="U1994" s="148">
        <f>IFERROR(__xludf.DUMMYFUNCTION("""COMPUTED_VALUE"""),0.0)</f>
        <v>0</v>
      </c>
      <c r="V1994" s="148" t="str">
        <f>IFERROR(__xludf.DUMMYFUNCTION("""COMPUTED_VALUE"""),"[]")</f>
        <v>[]</v>
      </c>
      <c r="W1994" s="148">
        <f>IFERROR(__xludf.DUMMYFUNCTION("""COMPUTED_VALUE"""),1.174E7)</f>
        <v>11740000</v>
      </c>
      <c r="X1994" s="148">
        <f>IFERROR(__xludf.DUMMYFUNCTION("""COMPUTED_VALUE"""),0.0)</f>
        <v>0</v>
      </c>
      <c r="Y1994" s="148">
        <f>IFERROR(__xludf.DUMMYFUNCTION("""COMPUTED_VALUE"""),0.0)</f>
        <v>0</v>
      </c>
      <c r="Z1994" s="148"/>
    </row>
    <row r="1995">
      <c r="A1995" s="148">
        <f>IFERROR(__xludf.DUMMYFUNCTION("""COMPUTED_VALUE"""),1.1118624E7)</f>
        <v>11118624</v>
      </c>
      <c r="B1995" s="148" t="str">
        <f>IFERROR(__xludf.DUMMYFUNCTION("""COMPUTED_VALUE"""),"行军特效-欢庆时刻-1天限时")</f>
        <v>行军特效-欢庆时刻-1天限时</v>
      </c>
      <c r="C1995" s="148"/>
      <c r="D1995" s="148" t="str">
        <f>IFERROR(__xludf.DUMMYFUNCTION("""COMPUTED_VALUE"""),"marching_effect")</f>
        <v>marching_effect</v>
      </c>
      <c r="E1995" s="148">
        <f>IFERROR(__xludf.DUMMYFUNCTION("""COMPUTED_VALUE"""),0.0)</f>
        <v>0</v>
      </c>
      <c r="F1995" s="148">
        <f>IFERROR(__xludf.DUMMYFUNCTION("""COMPUTED_VALUE"""),408200.0)</f>
        <v>408200</v>
      </c>
      <c r="G1995" s="148">
        <f>IFERROR(__xludf.DUMMYFUNCTION("""COMPUTED_VALUE"""),1.5116792E7)</f>
        <v>15116792</v>
      </c>
      <c r="H1995" s="148">
        <f>IFERROR(__xludf.DUMMYFUNCTION("""COMPUTED_VALUE"""),1.511256E7)</f>
        <v>15112560</v>
      </c>
      <c r="I1995" s="148" t="str">
        <f>IFERROR(__xludf.DUMMYFUNCTION("""COMPUTED_VALUE"""),"{""typ"":""lc"",""txt"":""LC_ITEM_time_day_upper_show"",""args"":[{""typ"":""int_unit"",""val"":1}]}")</f>
        <v>{"typ":"lc","txt":"LC_ITEM_time_day_upper_show","args":[{"typ":"int_unit","val":1}]}</v>
      </c>
      <c r="J1995" s="148" t="str">
        <f>IFERROR(__xludf.DUMMYFUNCTION("""COMPUTED_VALUE"""),"{""typ"":""lc"",""txt"":""LC_ITEM_2023_anniversary_bp_march_effect""}")</f>
        <v>{"typ":"lc","txt":"LC_ITEM_2023_anniversary_bp_march_effect"}</v>
      </c>
      <c r="K1995" s="148" t="str">
        <f>IFERROR(__xludf.DUMMYFUNCTION("""COMPUTED_VALUE"""),"{""typ"":""lc"",""txt"":""LC_ITEM_2023_anniversary_bp_march_effect_desc""}")</f>
        <v>{"typ":"lc","txt":"LC_ITEM_2023_anniversary_bp_march_effect_desc"}</v>
      </c>
      <c r="L1995" s="148" t="str">
        <f>IFERROR(__xludf.DUMMYFUNCTION("""COMPUTED_VALUE"""),"{""typ"":""lc"",""txt"":""LC_ITEM_2023_anniversary_bp_march_effect_use_tip""}")</f>
        <v>{"typ":"lc","txt":"LC_ITEM_2023_anniversary_bp_march_effect_use_tip"}</v>
      </c>
      <c r="M1995" s="148">
        <f>IFERROR(__xludf.DUMMYFUNCTION("""COMPUTED_VALUE"""),50.0)</f>
        <v>50</v>
      </c>
      <c r="N1995" s="148">
        <f>IFERROR(__xludf.DUMMYFUNCTION("""COMPUTED_VALUE"""),999999.0)</f>
        <v>999999</v>
      </c>
      <c r="O1995" s="148">
        <f>IFERROR(__xludf.DUMMYFUNCTION("""COMPUTED_VALUE"""),99999.0)</f>
        <v>99999</v>
      </c>
      <c r="P1995" s="148">
        <f>IFERROR(__xludf.DUMMYFUNCTION("""COMPUTED_VALUE"""),1.0)</f>
        <v>1</v>
      </c>
      <c r="Q1995" s="148" t="str">
        <f>IFERROR(__xludf.DUMMYFUNCTION("""COMPUTED_VALUE"""),"[""bag_other""]")</f>
        <v>["bag_other"]</v>
      </c>
      <c r="R1995" s="148" t="str">
        <f>IFERROR(__xludf.DUMMYFUNCTION("""COMPUTED_VALUE"""),"[""bag"",""13650111""]")</f>
        <v>["bag","13650111"]</v>
      </c>
      <c r="S1995" s="148" t="str">
        <f>IFERROR(__xludf.DUMMYFUNCTION("""COMPUTED_VALUE"""),"{""effect"":[{""typ"":""marching_effect"",""id"":13650111,""val"":86400000},{""typ"":""vm"",""id"":11151001,""val"":50}]}")</f>
        <v>{"effect":[{"typ":"marching_effect","id":13650111,"val":86400000},{"typ":"vm","id":11151001,"val":50}]}</v>
      </c>
      <c r="T1995" s="148">
        <f>IFERROR(__xludf.DUMMYFUNCTION("""COMPUTED_VALUE"""),-1.0)</f>
        <v>-1</v>
      </c>
      <c r="U1995" s="148">
        <f>IFERROR(__xludf.DUMMYFUNCTION("""COMPUTED_VALUE"""),0.0)</f>
        <v>0</v>
      </c>
      <c r="V1995" s="148" t="str">
        <f>IFERROR(__xludf.DUMMYFUNCTION("""COMPUTED_VALUE"""),"[]")</f>
        <v>[]</v>
      </c>
      <c r="W1995" s="148">
        <f>IFERROR(__xludf.DUMMYFUNCTION("""COMPUTED_VALUE"""),1.174E7)</f>
        <v>11740000</v>
      </c>
      <c r="X1995" s="148">
        <f>IFERROR(__xludf.DUMMYFUNCTION("""COMPUTED_VALUE"""),0.0)</f>
        <v>0</v>
      </c>
      <c r="Y1995" s="148">
        <f>IFERROR(__xludf.DUMMYFUNCTION("""COMPUTED_VALUE"""),0.0)</f>
        <v>0</v>
      </c>
      <c r="Z1995" s="148"/>
    </row>
    <row r="1996">
      <c r="A1996" s="148">
        <f>IFERROR(__xludf.DUMMYFUNCTION("""COMPUTED_VALUE"""),1.1118625E7)</f>
        <v>11118625</v>
      </c>
      <c r="B1996" s="148" t="str">
        <f>IFERROR(__xludf.DUMMYFUNCTION("""COMPUTED_VALUE"""),"行军特效-欢庆时刻-3天限时")</f>
        <v>行军特效-欢庆时刻-3天限时</v>
      </c>
      <c r="C1996" s="148"/>
      <c r="D1996" s="148" t="str">
        <f>IFERROR(__xludf.DUMMYFUNCTION("""COMPUTED_VALUE"""),"marching_effect")</f>
        <v>marching_effect</v>
      </c>
      <c r="E1996" s="148">
        <f>IFERROR(__xludf.DUMMYFUNCTION("""COMPUTED_VALUE"""),0.0)</f>
        <v>0</v>
      </c>
      <c r="F1996" s="148">
        <f>IFERROR(__xludf.DUMMYFUNCTION("""COMPUTED_VALUE"""),408199.0)</f>
        <v>408199</v>
      </c>
      <c r="G1996" s="148">
        <f>IFERROR(__xludf.DUMMYFUNCTION("""COMPUTED_VALUE"""),1.5116792E7)</f>
        <v>15116792</v>
      </c>
      <c r="H1996" s="148">
        <f>IFERROR(__xludf.DUMMYFUNCTION("""COMPUTED_VALUE"""),1.5112561E7)</f>
        <v>15112561</v>
      </c>
      <c r="I1996" s="148" t="str">
        <f>IFERROR(__xludf.DUMMYFUNCTION("""COMPUTED_VALUE"""),"{""typ"":""lc"",""txt"":""LC_ITEM_time_day_upper_show"",""args"":[{""typ"":""int_unit"",""val"":3}]}")</f>
        <v>{"typ":"lc","txt":"LC_ITEM_time_day_upper_show","args":[{"typ":"int_unit","val":3}]}</v>
      </c>
      <c r="J1996" s="148" t="str">
        <f>IFERROR(__xludf.DUMMYFUNCTION("""COMPUTED_VALUE"""),"{""typ"":""lc"",""txt"":""LC_ITEM_2023_anniversary_bp_march_effect""}")</f>
        <v>{"typ":"lc","txt":"LC_ITEM_2023_anniversary_bp_march_effect"}</v>
      </c>
      <c r="K1996" s="148" t="str">
        <f>IFERROR(__xludf.DUMMYFUNCTION("""COMPUTED_VALUE"""),"{""typ"":""lc"",""txt"":""LC_ITEM_2023_anniversary_bp_march_effect_desc""}")</f>
        <v>{"typ":"lc","txt":"LC_ITEM_2023_anniversary_bp_march_effect_desc"}</v>
      </c>
      <c r="L1996" s="148" t="str">
        <f>IFERROR(__xludf.DUMMYFUNCTION("""COMPUTED_VALUE"""),"{""typ"":""lc"",""txt"":""LC_ITEM_2023_anniversary_bp_march_effect_use_tip""}")</f>
        <v>{"typ":"lc","txt":"LC_ITEM_2023_anniversary_bp_march_effect_use_tip"}</v>
      </c>
      <c r="M1996" s="148">
        <f>IFERROR(__xludf.DUMMYFUNCTION("""COMPUTED_VALUE"""),200.0)</f>
        <v>200</v>
      </c>
      <c r="N1996" s="148">
        <f>IFERROR(__xludf.DUMMYFUNCTION("""COMPUTED_VALUE"""),999999.0)</f>
        <v>999999</v>
      </c>
      <c r="O1996" s="148">
        <f>IFERROR(__xludf.DUMMYFUNCTION("""COMPUTED_VALUE"""),99999.0)</f>
        <v>99999</v>
      </c>
      <c r="P1996" s="148">
        <f>IFERROR(__xludf.DUMMYFUNCTION("""COMPUTED_VALUE"""),1.0)</f>
        <v>1</v>
      </c>
      <c r="Q1996" s="148" t="str">
        <f>IFERROR(__xludf.DUMMYFUNCTION("""COMPUTED_VALUE"""),"[""bag_other""]")</f>
        <v>["bag_other"]</v>
      </c>
      <c r="R1996" s="148" t="str">
        <f>IFERROR(__xludf.DUMMYFUNCTION("""COMPUTED_VALUE"""),"[""bag"",""13650111""]")</f>
        <v>["bag","13650111"]</v>
      </c>
      <c r="S1996" s="148" t="str">
        <f>IFERROR(__xludf.DUMMYFUNCTION("""COMPUTED_VALUE"""),"{""effect"":[{""typ"":""marching_effect"",""id"":13650111,""val"":259200000},{""typ"":""vm"",""id"":11151001,""val"":200}]}")</f>
        <v>{"effect":[{"typ":"marching_effect","id":13650111,"val":259200000},{"typ":"vm","id":11151001,"val":200}]}</v>
      </c>
      <c r="T1996" s="148">
        <f>IFERROR(__xludf.DUMMYFUNCTION("""COMPUTED_VALUE"""),-1.0)</f>
        <v>-1</v>
      </c>
      <c r="U1996" s="148">
        <f>IFERROR(__xludf.DUMMYFUNCTION("""COMPUTED_VALUE"""),0.0)</f>
        <v>0</v>
      </c>
      <c r="V1996" s="148" t="str">
        <f>IFERROR(__xludf.DUMMYFUNCTION("""COMPUTED_VALUE"""),"[]")</f>
        <v>[]</v>
      </c>
      <c r="W1996" s="148">
        <f>IFERROR(__xludf.DUMMYFUNCTION("""COMPUTED_VALUE"""),1.174E7)</f>
        <v>11740000</v>
      </c>
      <c r="X1996" s="148">
        <f>IFERROR(__xludf.DUMMYFUNCTION("""COMPUTED_VALUE"""),0.0)</f>
        <v>0</v>
      </c>
      <c r="Y1996" s="148">
        <f>IFERROR(__xludf.DUMMYFUNCTION("""COMPUTED_VALUE"""),0.0)</f>
        <v>0</v>
      </c>
      <c r="Z1996" s="148"/>
    </row>
    <row r="1997">
      <c r="A1997" s="148">
        <f>IFERROR(__xludf.DUMMYFUNCTION("""COMPUTED_VALUE"""),1.1118626E7)</f>
        <v>11118626</v>
      </c>
      <c r="B1997" s="148" t="str">
        <f>IFERROR(__xludf.DUMMYFUNCTION("""COMPUTED_VALUE"""),"行军特效-欢庆时刻-7天限时")</f>
        <v>行军特效-欢庆时刻-7天限时</v>
      </c>
      <c r="C1997" s="148"/>
      <c r="D1997" s="148" t="str">
        <f>IFERROR(__xludf.DUMMYFUNCTION("""COMPUTED_VALUE"""),"marching_effect")</f>
        <v>marching_effect</v>
      </c>
      <c r="E1997" s="148">
        <f>IFERROR(__xludf.DUMMYFUNCTION("""COMPUTED_VALUE"""),0.0)</f>
        <v>0</v>
      </c>
      <c r="F1997" s="148">
        <f>IFERROR(__xludf.DUMMYFUNCTION("""COMPUTED_VALUE"""),408198.0)</f>
        <v>408198</v>
      </c>
      <c r="G1997" s="148">
        <f>IFERROR(__xludf.DUMMYFUNCTION("""COMPUTED_VALUE"""),1.5116792E7)</f>
        <v>15116792</v>
      </c>
      <c r="H1997" s="148">
        <f>IFERROR(__xludf.DUMMYFUNCTION("""COMPUTED_VALUE"""),1.5112562E7)</f>
        <v>15112562</v>
      </c>
      <c r="I1997" s="148" t="str">
        <f>IFERROR(__xludf.DUMMYFUNCTION("""COMPUTED_VALUE"""),"{""typ"":""lc"",""txt"":""LC_ITEM_time_day_upper_show"",""args"":[{""typ"":""int_unit"",""val"":7}]}")</f>
        <v>{"typ":"lc","txt":"LC_ITEM_time_day_upper_show","args":[{"typ":"int_unit","val":7}]}</v>
      </c>
      <c r="J1997" s="148" t="str">
        <f>IFERROR(__xludf.DUMMYFUNCTION("""COMPUTED_VALUE"""),"{""typ"":""lc"",""txt"":""LC_ITEM_2023_anniversary_bp_march_effect""}")</f>
        <v>{"typ":"lc","txt":"LC_ITEM_2023_anniversary_bp_march_effect"}</v>
      </c>
      <c r="K1997" s="148" t="str">
        <f>IFERROR(__xludf.DUMMYFUNCTION("""COMPUTED_VALUE"""),"{""typ"":""lc"",""txt"":""LC_ITEM_2023_anniversary_bp_march_effect_desc""}")</f>
        <v>{"typ":"lc","txt":"LC_ITEM_2023_anniversary_bp_march_effect_desc"}</v>
      </c>
      <c r="L1997" s="148" t="str">
        <f>IFERROR(__xludf.DUMMYFUNCTION("""COMPUTED_VALUE"""),"{""typ"":""lc"",""txt"":""LC_ITEM_2023_anniversary_bp_march_effect_use_tip""}")</f>
        <v>{"typ":"lc","txt":"LC_ITEM_2023_anniversary_bp_march_effect_use_tip"}</v>
      </c>
      <c r="M1997" s="148">
        <f>IFERROR(__xludf.DUMMYFUNCTION("""COMPUTED_VALUE"""),500.0)</f>
        <v>500</v>
      </c>
      <c r="N1997" s="148">
        <f>IFERROR(__xludf.DUMMYFUNCTION("""COMPUTED_VALUE"""),999999.0)</f>
        <v>999999</v>
      </c>
      <c r="O1997" s="148">
        <f>IFERROR(__xludf.DUMMYFUNCTION("""COMPUTED_VALUE"""),99999.0)</f>
        <v>99999</v>
      </c>
      <c r="P1997" s="148">
        <f>IFERROR(__xludf.DUMMYFUNCTION("""COMPUTED_VALUE"""),1.0)</f>
        <v>1</v>
      </c>
      <c r="Q1997" s="148" t="str">
        <f>IFERROR(__xludf.DUMMYFUNCTION("""COMPUTED_VALUE"""),"[""bag_other""]")</f>
        <v>["bag_other"]</v>
      </c>
      <c r="R1997" s="148" t="str">
        <f>IFERROR(__xludf.DUMMYFUNCTION("""COMPUTED_VALUE"""),"[""bag"",""13650111""]")</f>
        <v>["bag","13650111"]</v>
      </c>
      <c r="S1997" s="148" t="str">
        <f>IFERROR(__xludf.DUMMYFUNCTION("""COMPUTED_VALUE"""),"{""effect"":[{""typ"":""marching_effect"",""id"":13650111,""val"":604800000},{""typ"":""vm"",""id"":11151001,""val"":500}]}")</f>
        <v>{"effect":[{"typ":"marching_effect","id":13650111,"val":604800000},{"typ":"vm","id":11151001,"val":500}]}</v>
      </c>
      <c r="T1997" s="148">
        <f>IFERROR(__xludf.DUMMYFUNCTION("""COMPUTED_VALUE"""),-1.0)</f>
        <v>-1</v>
      </c>
      <c r="U1997" s="148">
        <f>IFERROR(__xludf.DUMMYFUNCTION("""COMPUTED_VALUE"""),0.0)</f>
        <v>0</v>
      </c>
      <c r="V1997" s="148" t="str">
        <f>IFERROR(__xludf.DUMMYFUNCTION("""COMPUTED_VALUE"""),"[]")</f>
        <v>[]</v>
      </c>
      <c r="W1997" s="148">
        <f>IFERROR(__xludf.DUMMYFUNCTION("""COMPUTED_VALUE"""),1.174E7)</f>
        <v>11740000</v>
      </c>
      <c r="X1997" s="148">
        <f>IFERROR(__xludf.DUMMYFUNCTION("""COMPUTED_VALUE"""),0.0)</f>
        <v>0</v>
      </c>
      <c r="Y1997" s="148">
        <f>IFERROR(__xludf.DUMMYFUNCTION("""COMPUTED_VALUE"""),0.0)</f>
        <v>0</v>
      </c>
      <c r="Z1997" s="148"/>
    </row>
    <row r="1998">
      <c r="A1998" s="148">
        <f>IFERROR(__xludf.DUMMYFUNCTION("""COMPUTED_VALUE"""),1.1118627E7)</f>
        <v>11118627</v>
      </c>
      <c r="B1998" s="148" t="str">
        <f>IFERROR(__xludf.DUMMYFUNCTION("""COMPUTED_VALUE"""),"行军特效-欢庆时刻-14天限时")</f>
        <v>行军特效-欢庆时刻-14天限时</v>
      </c>
      <c r="C1998" s="148"/>
      <c r="D1998" s="148" t="str">
        <f>IFERROR(__xludf.DUMMYFUNCTION("""COMPUTED_VALUE"""),"marching_effect")</f>
        <v>marching_effect</v>
      </c>
      <c r="E1998" s="148">
        <f>IFERROR(__xludf.DUMMYFUNCTION("""COMPUTED_VALUE"""),0.0)</f>
        <v>0</v>
      </c>
      <c r="F1998" s="148">
        <f>IFERROR(__xludf.DUMMYFUNCTION("""COMPUTED_VALUE"""),408197.0)</f>
        <v>408197</v>
      </c>
      <c r="G1998" s="148">
        <f>IFERROR(__xludf.DUMMYFUNCTION("""COMPUTED_VALUE"""),1.5116792E7)</f>
        <v>15116792</v>
      </c>
      <c r="H1998" s="148">
        <f>IFERROR(__xludf.DUMMYFUNCTION("""COMPUTED_VALUE"""),1.5112563E7)</f>
        <v>15112563</v>
      </c>
      <c r="I1998" s="148" t="str">
        <f>IFERROR(__xludf.DUMMYFUNCTION("""COMPUTED_VALUE"""),"{""typ"":""lc"",""txt"":""LC_ITEM_time_day_upper_show"",""args"":[{""typ"":""int_unit"",""val"":14}]}")</f>
        <v>{"typ":"lc","txt":"LC_ITEM_time_day_upper_show","args":[{"typ":"int_unit","val":14}]}</v>
      </c>
      <c r="J1998" s="148" t="str">
        <f>IFERROR(__xludf.DUMMYFUNCTION("""COMPUTED_VALUE"""),"{""typ"":""lc"",""txt"":""LC_ITEM_2023_anniversary_bp_march_effect""}")</f>
        <v>{"typ":"lc","txt":"LC_ITEM_2023_anniversary_bp_march_effect"}</v>
      </c>
      <c r="K1998" s="148" t="str">
        <f>IFERROR(__xludf.DUMMYFUNCTION("""COMPUTED_VALUE"""),"{""typ"":""lc"",""txt"":""LC_ITEM_2023_anniversary_bp_march_effect_desc""}")</f>
        <v>{"typ":"lc","txt":"LC_ITEM_2023_anniversary_bp_march_effect_desc"}</v>
      </c>
      <c r="L1998" s="148" t="str">
        <f>IFERROR(__xludf.DUMMYFUNCTION("""COMPUTED_VALUE"""),"{""typ"":""lc"",""txt"":""LC_ITEM_2023_anniversary_bp_march_effect_use_tip""}")</f>
        <v>{"typ":"lc","txt":"LC_ITEM_2023_anniversary_bp_march_effect_use_tip"}</v>
      </c>
      <c r="M1998" s="148">
        <f>IFERROR(__xludf.DUMMYFUNCTION("""COMPUTED_VALUE"""),1000.0)</f>
        <v>1000</v>
      </c>
      <c r="N1998" s="148">
        <f>IFERROR(__xludf.DUMMYFUNCTION("""COMPUTED_VALUE"""),999999.0)</f>
        <v>999999</v>
      </c>
      <c r="O1998" s="148">
        <f>IFERROR(__xludf.DUMMYFUNCTION("""COMPUTED_VALUE"""),99999.0)</f>
        <v>99999</v>
      </c>
      <c r="P1998" s="148">
        <f>IFERROR(__xludf.DUMMYFUNCTION("""COMPUTED_VALUE"""),1.0)</f>
        <v>1</v>
      </c>
      <c r="Q1998" s="148" t="str">
        <f>IFERROR(__xludf.DUMMYFUNCTION("""COMPUTED_VALUE"""),"[""bag_other""]")</f>
        <v>["bag_other"]</v>
      </c>
      <c r="R1998" s="148" t="str">
        <f>IFERROR(__xludf.DUMMYFUNCTION("""COMPUTED_VALUE"""),"[""bag"",""13650111""]")</f>
        <v>["bag","13650111"]</v>
      </c>
      <c r="S1998" s="148" t="str">
        <f>IFERROR(__xludf.DUMMYFUNCTION("""COMPUTED_VALUE"""),"{""effect"":[{""typ"":""marching_effect"",""id"":13650111,""val"":1209600000},{""typ"":""vm"",""id"":11151001,""val"":1000}]}")</f>
        <v>{"effect":[{"typ":"marching_effect","id":13650111,"val":1209600000},{"typ":"vm","id":11151001,"val":1000}]}</v>
      </c>
      <c r="T1998" s="148">
        <f>IFERROR(__xludf.DUMMYFUNCTION("""COMPUTED_VALUE"""),-1.0)</f>
        <v>-1</v>
      </c>
      <c r="U1998" s="148">
        <f>IFERROR(__xludf.DUMMYFUNCTION("""COMPUTED_VALUE"""),0.0)</f>
        <v>0</v>
      </c>
      <c r="V1998" s="148" t="str">
        <f>IFERROR(__xludf.DUMMYFUNCTION("""COMPUTED_VALUE"""),"[]")</f>
        <v>[]</v>
      </c>
      <c r="W1998" s="148">
        <f>IFERROR(__xludf.DUMMYFUNCTION("""COMPUTED_VALUE"""),1.174E7)</f>
        <v>11740000</v>
      </c>
      <c r="X1998" s="148">
        <f>IFERROR(__xludf.DUMMYFUNCTION("""COMPUTED_VALUE"""),0.0)</f>
        <v>0</v>
      </c>
      <c r="Y1998" s="148">
        <f>IFERROR(__xludf.DUMMYFUNCTION("""COMPUTED_VALUE"""),0.0)</f>
        <v>0</v>
      </c>
      <c r="Z1998" s="148"/>
    </row>
    <row r="1999">
      <c r="A1999" s="148">
        <f>IFERROR(__xludf.DUMMYFUNCTION("""COMPUTED_VALUE"""),1.1118628E7)</f>
        <v>11118628</v>
      </c>
      <c r="B1999" s="148" t="str">
        <f>IFERROR(__xludf.DUMMYFUNCTION("""COMPUTED_VALUE"""),"行军特效-欢庆时刻-30天限时")</f>
        <v>行军特效-欢庆时刻-30天限时</v>
      </c>
      <c r="C1999" s="148"/>
      <c r="D1999" s="148" t="str">
        <f>IFERROR(__xludf.DUMMYFUNCTION("""COMPUTED_VALUE"""),"marching_effect")</f>
        <v>marching_effect</v>
      </c>
      <c r="E1999" s="148">
        <f>IFERROR(__xludf.DUMMYFUNCTION("""COMPUTED_VALUE"""),0.0)</f>
        <v>0</v>
      </c>
      <c r="F1999" s="148">
        <f>IFERROR(__xludf.DUMMYFUNCTION("""COMPUTED_VALUE"""),408196.0)</f>
        <v>408196</v>
      </c>
      <c r="G1999" s="148">
        <f>IFERROR(__xludf.DUMMYFUNCTION("""COMPUTED_VALUE"""),1.5116792E7)</f>
        <v>15116792</v>
      </c>
      <c r="H1999" s="148">
        <f>IFERROR(__xludf.DUMMYFUNCTION("""COMPUTED_VALUE"""),1.5112563E7)</f>
        <v>15112563</v>
      </c>
      <c r="I1999" s="148" t="str">
        <f>IFERROR(__xludf.DUMMYFUNCTION("""COMPUTED_VALUE"""),"{""typ"":""lc"",""txt"":""LC_ITEM_time_day_upper_show"",""args"":[{""typ"":""int_unit"",""val"":30}]}")</f>
        <v>{"typ":"lc","txt":"LC_ITEM_time_day_upper_show","args":[{"typ":"int_unit","val":30}]}</v>
      </c>
      <c r="J1999" s="148" t="str">
        <f>IFERROR(__xludf.DUMMYFUNCTION("""COMPUTED_VALUE"""),"{""typ"":""lc"",""txt"":""LC_ITEM_2023_anniversary_bp_march_effect""}")</f>
        <v>{"typ":"lc","txt":"LC_ITEM_2023_anniversary_bp_march_effect"}</v>
      </c>
      <c r="K1999" s="148" t="str">
        <f>IFERROR(__xludf.DUMMYFUNCTION("""COMPUTED_VALUE"""),"{""typ"":""lc"",""txt"":""LC_ITEM_2023_anniversary_bp_march_effect_desc""}")</f>
        <v>{"typ":"lc","txt":"LC_ITEM_2023_anniversary_bp_march_effect_desc"}</v>
      </c>
      <c r="L1999" s="148" t="str">
        <f>IFERROR(__xludf.DUMMYFUNCTION("""COMPUTED_VALUE"""),"{""typ"":""lc"",""txt"":""LC_ITEM_2023_anniversary_bp_march_effect_use_tip""}")</f>
        <v>{"typ":"lc","txt":"LC_ITEM_2023_anniversary_bp_march_effect_use_tip"}</v>
      </c>
      <c r="M1999" s="148">
        <f>IFERROR(__xludf.DUMMYFUNCTION("""COMPUTED_VALUE"""),1000.0)</f>
        <v>1000</v>
      </c>
      <c r="N1999" s="148">
        <f>IFERROR(__xludf.DUMMYFUNCTION("""COMPUTED_VALUE"""),999999.0)</f>
        <v>999999</v>
      </c>
      <c r="O1999" s="148">
        <f>IFERROR(__xludf.DUMMYFUNCTION("""COMPUTED_VALUE"""),99999.0)</f>
        <v>99999</v>
      </c>
      <c r="P1999" s="148">
        <f>IFERROR(__xludf.DUMMYFUNCTION("""COMPUTED_VALUE"""),1.0)</f>
        <v>1</v>
      </c>
      <c r="Q1999" s="148" t="str">
        <f>IFERROR(__xludf.DUMMYFUNCTION("""COMPUTED_VALUE"""),"[""bag_other""]")</f>
        <v>["bag_other"]</v>
      </c>
      <c r="R1999" s="148" t="str">
        <f>IFERROR(__xludf.DUMMYFUNCTION("""COMPUTED_VALUE"""),"[""bag"",""13650111""]")</f>
        <v>["bag","13650111"]</v>
      </c>
      <c r="S1999" s="148" t="str">
        <f>IFERROR(__xludf.DUMMYFUNCTION("""COMPUTED_VALUE"""),"{""effect"":[{""typ"":""marching_effect"",""id"":13650111,""val"":2592000000},{""typ"":""vm"",""id"":11151001,""val"":1000}]}")</f>
        <v>{"effect":[{"typ":"marching_effect","id":13650111,"val":2592000000},{"typ":"vm","id":11151001,"val":1000}]}</v>
      </c>
      <c r="T1999" s="148">
        <f>IFERROR(__xludf.DUMMYFUNCTION("""COMPUTED_VALUE"""),-1.0)</f>
        <v>-1</v>
      </c>
      <c r="U1999" s="148">
        <f>IFERROR(__xludf.DUMMYFUNCTION("""COMPUTED_VALUE"""),0.0)</f>
        <v>0</v>
      </c>
      <c r="V1999" s="148" t="str">
        <f>IFERROR(__xludf.DUMMYFUNCTION("""COMPUTED_VALUE"""),"[]")</f>
        <v>[]</v>
      </c>
      <c r="W1999" s="148">
        <f>IFERROR(__xludf.DUMMYFUNCTION("""COMPUTED_VALUE"""),1.174E7)</f>
        <v>11740000</v>
      </c>
      <c r="X1999" s="148">
        <f>IFERROR(__xludf.DUMMYFUNCTION("""COMPUTED_VALUE"""),0.0)</f>
        <v>0</v>
      </c>
      <c r="Y1999" s="148">
        <f>IFERROR(__xludf.DUMMYFUNCTION("""COMPUTED_VALUE"""),0.0)</f>
        <v>0</v>
      </c>
      <c r="Z1999" s="148"/>
    </row>
    <row r="2000">
      <c r="A2000" s="148">
        <f>IFERROR(__xludf.DUMMYFUNCTION("""COMPUTED_VALUE"""),1.1118629E7)</f>
        <v>11118629</v>
      </c>
      <c r="B2000" s="148" t="str">
        <f>IFERROR(__xludf.DUMMYFUNCTION("""COMPUTED_VALUE"""),"行军特效-欢庆时刻-永久")</f>
        <v>行军特效-欢庆时刻-永久</v>
      </c>
      <c r="C2000" s="148"/>
      <c r="D2000" s="148" t="str">
        <f>IFERROR(__xludf.DUMMYFUNCTION("""COMPUTED_VALUE"""),"marching_effect")</f>
        <v>marching_effect</v>
      </c>
      <c r="E2000" s="148">
        <f>IFERROR(__xludf.DUMMYFUNCTION("""COMPUTED_VALUE"""),0.0)</f>
        <v>0</v>
      </c>
      <c r="F2000" s="148">
        <f>IFERROR(__xludf.DUMMYFUNCTION("""COMPUTED_VALUE"""),408195.0)</f>
        <v>408195</v>
      </c>
      <c r="G2000" s="148">
        <f>IFERROR(__xludf.DUMMYFUNCTION("""COMPUTED_VALUE"""),1.5116792E7)</f>
        <v>15116792</v>
      </c>
      <c r="H2000" s="148">
        <f>IFERROR(__xludf.DUMMYFUNCTION("""COMPUTED_VALUE"""),1.5112564E7)</f>
        <v>15112564</v>
      </c>
      <c r="I2000" s="148" t="str">
        <f>IFERROR(__xludf.DUMMYFUNCTION("""COMPUTED_VALUE"""),"{}")</f>
        <v>{}</v>
      </c>
      <c r="J2000" s="148" t="str">
        <f>IFERROR(__xludf.DUMMYFUNCTION("""COMPUTED_VALUE"""),"{""typ"":""lc"",""txt"":""LC_ITEM_2023_anniversary_bp_march_effect""}")</f>
        <v>{"typ":"lc","txt":"LC_ITEM_2023_anniversary_bp_march_effect"}</v>
      </c>
      <c r="K2000" s="148" t="str">
        <f>IFERROR(__xludf.DUMMYFUNCTION("""COMPUTED_VALUE"""),"{""typ"":""lc"",""txt"":""LC_ITEM_2023_anniversary_bp_march_effect_desc""}")</f>
        <v>{"typ":"lc","txt":"LC_ITEM_2023_anniversary_bp_march_effect_desc"}</v>
      </c>
      <c r="L2000" s="148" t="str">
        <f>IFERROR(__xludf.DUMMYFUNCTION("""COMPUTED_VALUE"""),"{""typ"":""lc"",""txt"":""LC_ITEM_2023_anniversary_bp_march_effect_use_tip""}")</f>
        <v>{"typ":"lc","txt":"LC_ITEM_2023_anniversary_bp_march_effect_use_tip"}</v>
      </c>
      <c r="M2000" s="148">
        <f>IFERROR(__xludf.DUMMYFUNCTION("""COMPUTED_VALUE"""),2500.0)</f>
        <v>2500</v>
      </c>
      <c r="N2000" s="148">
        <f>IFERROR(__xludf.DUMMYFUNCTION("""COMPUTED_VALUE"""),999999.0)</f>
        <v>999999</v>
      </c>
      <c r="O2000" s="148">
        <f>IFERROR(__xludf.DUMMYFUNCTION("""COMPUTED_VALUE"""),99999.0)</f>
        <v>99999</v>
      </c>
      <c r="P2000" s="148">
        <f>IFERROR(__xludf.DUMMYFUNCTION("""COMPUTED_VALUE"""),1.0)</f>
        <v>1</v>
      </c>
      <c r="Q2000" s="148" t="str">
        <f>IFERROR(__xludf.DUMMYFUNCTION("""COMPUTED_VALUE"""),"[""bag_other""]")</f>
        <v>["bag_other"]</v>
      </c>
      <c r="R2000" s="148" t="str">
        <f>IFERROR(__xludf.DUMMYFUNCTION("""COMPUTED_VALUE"""),"[""bag"",""13650111""]")</f>
        <v>["bag","13650111"]</v>
      </c>
      <c r="S2000" s="148" t="str">
        <f>IFERROR(__xludf.DUMMYFUNCTION("""COMPUTED_VALUE"""),"{""effect"":[{""typ"":""marching_effect"",""id"":13650111,""val"":-1},{""typ"":""vm"",""id"":11151001,""val"":2500}]}")</f>
        <v>{"effect":[{"typ":"marching_effect","id":13650111,"val":-1},{"typ":"vm","id":11151001,"val":2500}]}</v>
      </c>
      <c r="T2000" s="148">
        <f>IFERROR(__xludf.DUMMYFUNCTION("""COMPUTED_VALUE"""),-1.0)</f>
        <v>-1</v>
      </c>
      <c r="U2000" s="148">
        <f>IFERROR(__xludf.DUMMYFUNCTION("""COMPUTED_VALUE"""),0.0)</f>
        <v>0</v>
      </c>
      <c r="V2000" s="148" t="str">
        <f>IFERROR(__xludf.DUMMYFUNCTION("""COMPUTED_VALUE"""),"[]")</f>
        <v>[]</v>
      </c>
      <c r="W2000" s="148">
        <f>IFERROR(__xludf.DUMMYFUNCTION("""COMPUTED_VALUE"""),1.174E7)</f>
        <v>11740000</v>
      </c>
      <c r="X2000" s="148">
        <f>IFERROR(__xludf.DUMMYFUNCTION("""COMPUTED_VALUE"""),0.0)</f>
        <v>0</v>
      </c>
      <c r="Y2000" s="148">
        <f>IFERROR(__xludf.DUMMYFUNCTION("""COMPUTED_VALUE"""),0.0)</f>
        <v>0</v>
      </c>
      <c r="Z2000" s="148"/>
    </row>
    <row r="2001">
      <c r="A2001" s="148">
        <f>IFERROR(__xludf.DUMMYFUNCTION("""COMPUTED_VALUE"""),1.111863E7)</f>
        <v>11118630</v>
      </c>
      <c r="B2001" s="148" t="str">
        <f>IFERROR(__xludf.DUMMYFUNCTION("""COMPUTED_VALUE"""),"周年庆2023gacha专用-增加内圈抽奖次数")</f>
        <v>周年庆2023gacha专用-增加内圈抽奖次数</v>
      </c>
      <c r="C2001" s="148"/>
      <c r="D2001" s="148" t="str">
        <f>IFERROR(__xludf.DUMMYFUNCTION("""COMPUTED_VALUE"""),"event")</f>
        <v>event</v>
      </c>
      <c r="E2001" s="148">
        <f>IFERROR(__xludf.DUMMYFUNCTION("""COMPUTED_VALUE"""),0.0)</f>
        <v>0</v>
      </c>
      <c r="F2001" s="148">
        <f>IFERROR(__xludf.DUMMYFUNCTION("""COMPUTED_VALUE"""),0.0)</f>
        <v>0</v>
      </c>
      <c r="G2001" s="148">
        <f>IFERROR(__xludf.DUMMYFUNCTION("""COMPUTED_VALUE"""),1.5116809E7)</f>
        <v>15116809</v>
      </c>
      <c r="H2001" s="148">
        <f>IFERROR(__xludf.DUMMYFUNCTION("""COMPUTED_VALUE"""),1.5112564E7)</f>
        <v>15112564</v>
      </c>
      <c r="I2001" s="148" t="str">
        <f>IFERROR(__xludf.DUMMYFUNCTION("""COMPUTED_VALUE"""),"{}")</f>
        <v>{}</v>
      </c>
      <c r="J2001" s="148" t="str">
        <f>IFERROR(__xludf.DUMMYFUNCTION("""COMPUTED_VALUE"""),"{""typ"":""lc"",""txt"":""LC_ITEM_2023laborday_gacha_inner_item""}")</f>
        <v>{"typ":"lc","txt":"LC_ITEM_2023laborday_gacha_inner_item"}</v>
      </c>
      <c r="K2001" s="148" t="str">
        <f>IFERROR(__xludf.DUMMYFUNCTION("""COMPUTED_VALUE"""),"{""typ"":""lc"",""txt"":""LC_ITEM_2023laborday_gacha_inner_item_desc""}")</f>
        <v>{"typ":"lc","txt":"LC_ITEM_2023laborday_gacha_inner_item_desc"}</v>
      </c>
      <c r="L2001" s="148" t="str">
        <f>IFERROR(__xludf.DUMMYFUNCTION("""COMPUTED_VALUE"""),"{}")</f>
        <v>{}</v>
      </c>
      <c r="M2001" s="148">
        <f>IFERROR(__xludf.DUMMYFUNCTION("""COMPUTED_VALUE"""),700.0)</f>
        <v>700</v>
      </c>
      <c r="N2001" s="148">
        <f>IFERROR(__xludf.DUMMYFUNCTION("""COMPUTED_VALUE"""),9.99999999E8)</f>
        <v>999999999</v>
      </c>
      <c r="O2001" s="148">
        <f>IFERROR(__xludf.DUMMYFUNCTION("""COMPUTED_VALUE"""),9.99999999E8)</f>
        <v>999999999</v>
      </c>
      <c r="P2001" s="148">
        <f>IFERROR(__xludf.DUMMYFUNCTION("""COMPUTED_VALUE"""),9.99999999E8)</f>
        <v>999999999</v>
      </c>
      <c r="Q2001" s="148" t="str">
        <f>IFERROR(__xludf.DUMMYFUNCTION("""COMPUTED_VALUE"""),"[]")</f>
        <v>[]</v>
      </c>
      <c r="R2001" s="148" t="str">
        <f>IFERROR(__xludf.DUMMYFUNCTION("""COMPUTED_VALUE"""),"[""bag""]")</f>
        <v>["bag"]</v>
      </c>
      <c r="S2001" s="148" t="str">
        <f>IFERROR(__xludf.DUMMYFUNCTION("""COMPUTED_VALUE"""),"{}")</f>
        <v>{}</v>
      </c>
      <c r="T2001" s="148">
        <f>IFERROR(__xludf.DUMMYFUNCTION("""COMPUTED_VALUE"""),1.0)</f>
        <v>1</v>
      </c>
      <c r="U2001" s="148">
        <f>IFERROR(__xludf.DUMMYFUNCTION("""COMPUTED_VALUE"""),0.0)</f>
        <v>0</v>
      </c>
      <c r="V2001" s="148" t="str">
        <f>IFERROR(__xludf.DUMMYFUNCTION("""COMPUTED_VALUE"""),"[]")</f>
        <v>[]</v>
      </c>
      <c r="W2001" s="148">
        <f>IFERROR(__xludf.DUMMYFUNCTION("""COMPUTED_VALUE"""),1.174E7)</f>
        <v>11740000</v>
      </c>
      <c r="X2001" s="148">
        <f>IFERROR(__xludf.DUMMYFUNCTION("""COMPUTED_VALUE"""),0.0)</f>
        <v>0</v>
      </c>
      <c r="Y2001" s="148">
        <f>IFERROR(__xludf.DUMMYFUNCTION("""COMPUTED_VALUE"""),0.0)</f>
        <v>0</v>
      </c>
      <c r="Z2001" s="148"/>
    </row>
    <row r="2002">
      <c r="A2002" s="148">
        <f>IFERROR(__xludf.DUMMYFUNCTION("""COMPUTED_VALUE"""),1.1118631E7)</f>
        <v>11118631</v>
      </c>
      <c r="B2002" s="148" t="str">
        <f>IFERROR(__xludf.DUMMYFUNCTION("""COMPUTED_VALUE"""),"铭牌-周年庆2023铭牌")</f>
        <v>铭牌-周年庆2023铭牌</v>
      </c>
      <c r="C2002" s="148"/>
      <c r="D2002" s="148" t="str">
        <f>IFERROR(__xludf.DUMMYFUNCTION("""COMPUTED_VALUE"""),"chat_skin")</f>
        <v>chat_skin</v>
      </c>
      <c r="E2002" s="148">
        <f>IFERROR(__xludf.DUMMYFUNCTION("""COMPUTED_VALUE"""),30.0)</f>
        <v>30</v>
      </c>
      <c r="F2002" s="148">
        <f>IFERROR(__xludf.DUMMYFUNCTION("""COMPUTED_VALUE"""),401107.0)</f>
        <v>401107</v>
      </c>
      <c r="G2002" s="148">
        <f>IFERROR(__xludf.DUMMYFUNCTION("""COMPUTED_VALUE"""),1.5116789E7)</f>
        <v>15116789</v>
      </c>
      <c r="H2002" s="148">
        <f>IFERROR(__xludf.DUMMYFUNCTION("""COMPUTED_VALUE"""),1.5112564E7)</f>
        <v>15112564</v>
      </c>
      <c r="I2002" s="148" t="str">
        <f>IFERROR(__xludf.DUMMYFUNCTION("""COMPUTED_VALUE"""),"{}")</f>
        <v>{}</v>
      </c>
      <c r="J2002" s="148" t="str">
        <f>IFERROR(__xludf.DUMMYFUNCTION("""COMPUTED_VALUE"""),"{""typ"":""lc"",""txt"":""LC_ITEM_anniversary2023_nameplate_item_name""}")</f>
        <v>{"typ":"lc","txt":"LC_ITEM_anniversary2023_nameplate_item_name"}</v>
      </c>
      <c r="K2002" s="148" t="str">
        <f>IFERROR(__xludf.DUMMYFUNCTION("""COMPUTED_VALUE"""),"{""typ"":""lc"",""txt"":""LC_ITEM_anniversary2023_nameplate_item_desc_item""}")</f>
        <v>{"typ":"lc","txt":"LC_ITEM_anniversary2023_nameplate_item_desc_item"}</v>
      </c>
      <c r="L2002" s="148" t="str">
        <f>IFERROR(__xludf.DUMMYFUNCTION("""COMPUTED_VALUE"""),"{""typ"":""lc"",""txt"":""LC_ITEM_season_extra_reward_usedtip""}")</f>
        <v>{"typ":"lc","txt":"LC_ITEM_season_extra_reward_usedtip"}</v>
      </c>
      <c r="M2002" s="148">
        <f>IFERROR(__xludf.DUMMYFUNCTION("""COMPUTED_VALUE"""),2500.0)</f>
        <v>2500</v>
      </c>
      <c r="N2002" s="148">
        <f>IFERROR(__xludf.DUMMYFUNCTION("""COMPUTED_VALUE"""),9999999.0)</f>
        <v>9999999</v>
      </c>
      <c r="O2002" s="148">
        <f>IFERROR(__xludf.DUMMYFUNCTION("""COMPUTED_VALUE"""),1.0)</f>
        <v>1</v>
      </c>
      <c r="P2002" s="148">
        <f>IFERROR(__xludf.DUMMYFUNCTION("""COMPUTED_VALUE"""),1.0)</f>
        <v>1</v>
      </c>
      <c r="Q2002" s="148" t="str">
        <f>IFERROR(__xludf.DUMMYFUNCTION("""COMPUTED_VALUE"""),"[""bag_other""]")</f>
        <v>["bag_other"]</v>
      </c>
      <c r="R2002" s="148" t="str">
        <f>IFERROR(__xludf.DUMMYFUNCTION("""COMPUTED_VALUE"""),"[""11731012"",""bag""]")</f>
        <v>["11731012","bag"]</v>
      </c>
      <c r="S2002" s="148" t="str">
        <f>IFERROR(__xludf.DUMMYFUNCTION("""COMPUTED_VALUE"""),"{""effect"":[{""typ"":""nameplate"",""id"":11731012,""val"":-1}]}")</f>
        <v>{"effect":[{"typ":"nameplate","id":11731012,"val":-1}]}</v>
      </c>
      <c r="T2002" s="148">
        <f>IFERROR(__xludf.DUMMYFUNCTION("""COMPUTED_VALUE"""),-1.0)</f>
        <v>-1</v>
      </c>
      <c r="U2002" s="148">
        <f>IFERROR(__xludf.DUMMYFUNCTION("""COMPUTED_VALUE"""),0.0)</f>
        <v>0</v>
      </c>
      <c r="V2002" s="148" t="str">
        <f>IFERROR(__xludf.DUMMYFUNCTION("""COMPUTED_VALUE"""),"[]")</f>
        <v>[]</v>
      </c>
      <c r="W2002" s="148">
        <f>IFERROR(__xludf.DUMMYFUNCTION("""COMPUTED_VALUE"""),1.174E7)</f>
        <v>11740000</v>
      </c>
      <c r="X2002" s="148">
        <f>IFERROR(__xludf.DUMMYFUNCTION("""COMPUTED_VALUE"""),0.0)</f>
        <v>0</v>
      </c>
      <c r="Y2002" s="148">
        <f>IFERROR(__xludf.DUMMYFUNCTION("""COMPUTED_VALUE"""),0.0)</f>
        <v>0</v>
      </c>
      <c r="Z2002" s="148"/>
    </row>
    <row r="2003">
      <c r="A2003" s="148">
        <f>IFERROR(__xludf.DUMMYFUNCTION("""COMPUTED_VALUE"""),1.1118632E7)</f>
        <v>11118632</v>
      </c>
      <c r="B2003" s="148" t="str">
        <f>IFERROR(__xludf.DUMMYFUNCTION("""COMPUTED_VALUE"""),"头像框：红叶之舞")</f>
        <v>头像框：红叶之舞</v>
      </c>
      <c r="C2003" s="148"/>
      <c r="D2003" s="148" t="str">
        <f>IFERROR(__xludf.DUMMYFUNCTION("""COMPUTED_VALUE"""),"avatar_frame")</f>
        <v>avatar_frame</v>
      </c>
      <c r="E2003" s="148">
        <f>IFERROR(__xludf.DUMMYFUNCTION("""COMPUTED_VALUE"""),20.0)</f>
        <v>20</v>
      </c>
      <c r="F2003" s="148">
        <f>IFERROR(__xludf.DUMMYFUNCTION("""COMPUTED_VALUE"""),0.0)</f>
        <v>0</v>
      </c>
      <c r="G2003" s="148">
        <f>IFERROR(__xludf.DUMMYFUNCTION("""COMPUTED_VALUE"""),1.5116845E7)</f>
        <v>15116845</v>
      </c>
      <c r="H2003" s="148">
        <f>IFERROR(__xludf.DUMMYFUNCTION("""COMPUTED_VALUE"""),1.5112563E7)</f>
        <v>15112563</v>
      </c>
      <c r="I2003" s="148" t="str">
        <f>IFERROR(__xludf.DUMMYFUNCTION("""COMPUTED_VALUE"""),"{}")</f>
        <v>{}</v>
      </c>
      <c r="J2003" s="148" t="str">
        <f>IFERROR(__xludf.DUMMYFUNCTION("""COMPUTED_VALUE"""),"{""typ"":""lc"",""txt"":""LC_ASSET_avatar_frame_name_29""}")</f>
        <v>{"typ":"lc","txt":"LC_ASSET_avatar_frame_name_29"}</v>
      </c>
      <c r="K2003" s="148" t="str">
        <f>IFERROR(__xludf.DUMMYFUNCTION("""COMPUTED_VALUE"""),"{""typ"":""lc"",""txt"":""LC_MENU_forever""}")</f>
        <v>{"typ":"lc","txt":"LC_MENU_forever"}</v>
      </c>
      <c r="L2003" s="148" t="str">
        <f>IFERROR(__xludf.DUMMYFUNCTION("""COMPUTED_VALUE"""),"{}")</f>
        <v>{}</v>
      </c>
      <c r="M2003" s="148">
        <f>IFERROR(__xludf.DUMMYFUNCTION("""COMPUTED_VALUE"""),1000.0)</f>
        <v>1000</v>
      </c>
      <c r="N2003" s="148">
        <f>IFERROR(__xludf.DUMMYFUNCTION("""COMPUTED_VALUE"""),99.0)</f>
        <v>99</v>
      </c>
      <c r="O2003" s="148">
        <f>IFERROR(__xludf.DUMMYFUNCTION("""COMPUTED_VALUE"""),1.0)</f>
        <v>1</v>
      </c>
      <c r="P2003" s="148">
        <f>IFERROR(__xludf.DUMMYFUNCTION("""COMPUTED_VALUE"""),1.0)</f>
        <v>1</v>
      </c>
      <c r="Q2003" s="148" t="str">
        <f>IFERROR(__xludf.DUMMYFUNCTION("""COMPUTED_VALUE"""),"[]")</f>
        <v>[]</v>
      </c>
      <c r="R2003" s="148" t="str">
        <f>IFERROR(__xludf.DUMMYFUNCTION("""COMPUTED_VALUE"""),"[""11421029""]")</f>
        <v>["11421029"]</v>
      </c>
      <c r="S2003" s="148" t="str">
        <f>IFERROR(__xludf.DUMMYFUNCTION("""COMPUTED_VALUE"""),"{""effect"":[{""typ"":""avatar_frame"",""id"":11421029,""val"":-1},{""typ"":""item"",""id"":11111031,""val"":1000}]}")</f>
        <v>{"effect":[{"typ":"avatar_frame","id":11421029,"val":-1},{"typ":"item","id":11111031,"val":1000}]}</v>
      </c>
      <c r="T2003" s="148">
        <f>IFERROR(__xludf.DUMMYFUNCTION("""COMPUTED_VALUE"""),-1.0)</f>
        <v>-1</v>
      </c>
      <c r="U2003" s="148">
        <f>IFERROR(__xludf.DUMMYFUNCTION("""COMPUTED_VALUE"""),1.0)</f>
        <v>1</v>
      </c>
      <c r="V2003" s="148" t="str">
        <f>IFERROR(__xludf.DUMMYFUNCTION("""COMPUTED_VALUE"""),"[]")</f>
        <v>[]</v>
      </c>
      <c r="W2003" s="148">
        <f>IFERROR(__xludf.DUMMYFUNCTION("""COMPUTED_VALUE"""),1.174E7)</f>
        <v>11740000</v>
      </c>
      <c r="X2003" s="148">
        <f>IFERROR(__xludf.DUMMYFUNCTION("""COMPUTED_VALUE"""),0.0)</f>
        <v>0</v>
      </c>
      <c r="Y2003" s="148">
        <f>IFERROR(__xludf.DUMMYFUNCTION("""COMPUTED_VALUE"""),0.0)</f>
        <v>0</v>
      </c>
      <c r="Z2003" s="148"/>
    </row>
    <row r="2004">
      <c r="A2004" s="148">
        <f>IFERROR(__xludf.DUMMYFUNCTION("""COMPUTED_VALUE"""),1.1118633E7)</f>
        <v>11118633</v>
      </c>
      <c r="B2004" s="148" t="str">
        <f>IFERROR(__xludf.DUMMYFUNCTION("""COMPUTED_VALUE"""),"头像框：猩球脉动")</f>
        <v>头像框：猩球脉动</v>
      </c>
      <c r="C2004" s="148"/>
      <c r="D2004" s="148" t="str">
        <f>IFERROR(__xludf.DUMMYFUNCTION("""COMPUTED_VALUE"""),"avatar_frame")</f>
        <v>avatar_frame</v>
      </c>
      <c r="E2004" s="148">
        <f>IFERROR(__xludf.DUMMYFUNCTION("""COMPUTED_VALUE"""),20.0)</f>
        <v>20</v>
      </c>
      <c r="F2004" s="148">
        <f>IFERROR(__xludf.DUMMYFUNCTION("""COMPUTED_VALUE"""),0.0)</f>
        <v>0</v>
      </c>
      <c r="G2004" s="148">
        <f>IFERROR(__xludf.DUMMYFUNCTION("""COMPUTED_VALUE"""),1.5116846E7)</f>
        <v>15116846</v>
      </c>
      <c r="H2004" s="148">
        <f>IFERROR(__xludf.DUMMYFUNCTION("""COMPUTED_VALUE"""),1.5112563E7)</f>
        <v>15112563</v>
      </c>
      <c r="I2004" s="148" t="str">
        <f>IFERROR(__xludf.DUMMYFUNCTION("""COMPUTED_VALUE"""),"{}")</f>
        <v>{}</v>
      </c>
      <c r="J2004" s="148" t="str">
        <f>IFERROR(__xludf.DUMMYFUNCTION("""COMPUTED_VALUE"""),"{""typ"":""lc"",""txt"":""LC_ASSET_avatar_frame_name_30""}")</f>
        <v>{"typ":"lc","txt":"LC_ASSET_avatar_frame_name_30"}</v>
      </c>
      <c r="K2004" s="148" t="str">
        <f>IFERROR(__xludf.DUMMYFUNCTION("""COMPUTED_VALUE"""),"{""typ"":""lc"",""txt"":""LC_MENU_forever""}")</f>
        <v>{"typ":"lc","txt":"LC_MENU_forever"}</v>
      </c>
      <c r="L2004" s="148" t="str">
        <f>IFERROR(__xludf.DUMMYFUNCTION("""COMPUTED_VALUE"""),"{}")</f>
        <v>{}</v>
      </c>
      <c r="M2004" s="148">
        <f>IFERROR(__xludf.DUMMYFUNCTION("""COMPUTED_VALUE"""),1000.0)</f>
        <v>1000</v>
      </c>
      <c r="N2004" s="148">
        <f>IFERROR(__xludf.DUMMYFUNCTION("""COMPUTED_VALUE"""),99.0)</f>
        <v>99</v>
      </c>
      <c r="O2004" s="148">
        <f>IFERROR(__xludf.DUMMYFUNCTION("""COMPUTED_VALUE"""),1.0)</f>
        <v>1</v>
      </c>
      <c r="P2004" s="148">
        <f>IFERROR(__xludf.DUMMYFUNCTION("""COMPUTED_VALUE"""),1.0)</f>
        <v>1</v>
      </c>
      <c r="Q2004" s="148" t="str">
        <f>IFERROR(__xludf.DUMMYFUNCTION("""COMPUTED_VALUE"""),"[]")</f>
        <v>[]</v>
      </c>
      <c r="R2004" s="148" t="str">
        <f>IFERROR(__xludf.DUMMYFUNCTION("""COMPUTED_VALUE"""),"[""11421030""]")</f>
        <v>["11421030"]</v>
      </c>
      <c r="S2004" s="148" t="str">
        <f>IFERROR(__xludf.DUMMYFUNCTION("""COMPUTED_VALUE"""),"{""effect"":[{""typ"":""avatar_frame"",""id"":11421030,""val"":-1},{""typ"":""item"",""id"":11111031,""val"":1000}]}")</f>
        <v>{"effect":[{"typ":"avatar_frame","id":11421030,"val":-1},{"typ":"item","id":11111031,"val":1000}]}</v>
      </c>
      <c r="T2004" s="148">
        <f>IFERROR(__xludf.DUMMYFUNCTION("""COMPUTED_VALUE"""),-1.0)</f>
        <v>-1</v>
      </c>
      <c r="U2004" s="148">
        <f>IFERROR(__xludf.DUMMYFUNCTION("""COMPUTED_VALUE"""),1.0)</f>
        <v>1</v>
      </c>
      <c r="V2004" s="148" t="str">
        <f>IFERROR(__xludf.DUMMYFUNCTION("""COMPUTED_VALUE"""),"[]")</f>
        <v>[]</v>
      </c>
      <c r="W2004" s="148">
        <f>IFERROR(__xludf.DUMMYFUNCTION("""COMPUTED_VALUE"""),1.174E7)</f>
        <v>11740000</v>
      </c>
      <c r="X2004" s="148">
        <f>IFERROR(__xludf.DUMMYFUNCTION("""COMPUTED_VALUE"""),0.0)</f>
        <v>0</v>
      </c>
      <c r="Y2004" s="148">
        <f>IFERROR(__xludf.DUMMYFUNCTION("""COMPUTED_VALUE"""),0.0)</f>
        <v>0</v>
      </c>
      <c r="Z2004" s="148"/>
    </row>
    <row r="2005">
      <c r="A2005" s="148">
        <f>IFERROR(__xludf.DUMMYFUNCTION("""COMPUTED_VALUE"""),1.1118634E7)</f>
        <v>11118634</v>
      </c>
      <c r="B2005" s="148" t="str">
        <f>IFERROR(__xludf.DUMMYFUNCTION("""COMPUTED_VALUE"""),"头像框：蓝海绿林")</f>
        <v>头像框：蓝海绿林</v>
      </c>
      <c r="C2005" s="148"/>
      <c r="D2005" s="148" t="str">
        <f>IFERROR(__xludf.DUMMYFUNCTION("""COMPUTED_VALUE"""),"avatar_frame")</f>
        <v>avatar_frame</v>
      </c>
      <c r="E2005" s="148">
        <f>IFERROR(__xludf.DUMMYFUNCTION("""COMPUTED_VALUE"""),20.0)</f>
        <v>20</v>
      </c>
      <c r="F2005" s="148">
        <f>IFERROR(__xludf.DUMMYFUNCTION("""COMPUTED_VALUE"""),0.0)</f>
        <v>0</v>
      </c>
      <c r="G2005" s="148">
        <f>IFERROR(__xludf.DUMMYFUNCTION("""COMPUTED_VALUE"""),1.5116847E7)</f>
        <v>15116847</v>
      </c>
      <c r="H2005" s="148">
        <f>IFERROR(__xludf.DUMMYFUNCTION("""COMPUTED_VALUE"""),1.5112563E7)</f>
        <v>15112563</v>
      </c>
      <c r="I2005" s="148" t="str">
        <f>IFERROR(__xludf.DUMMYFUNCTION("""COMPUTED_VALUE"""),"{}")</f>
        <v>{}</v>
      </c>
      <c r="J2005" s="148" t="str">
        <f>IFERROR(__xludf.DUMMYFUNCTION("""COMPUTED_VALUE"""),"{""typ"":""lc"",""txt"":""LC_ASSET_avatar_frame_name_31""}")</f>
        <v>{"typ":"lc","txt":"LC_ASSET_avatar_frame_name_31"}</v>
      </c>
      <c r="K2005" s="148" t="str">
        <f>IFERROR(__xludf.DUMMYFUNCTION("""COMPUTED_VALUE"""),"{""typ"":""lc"",""txt"":""LC_MENU_forever""}")</f>
        <v>{"typ":"lc","txt":"LC_MENU_forever"}</v>
      </c>
      <c r="L2005" s="148" t="str">
        <f>IFERROR(__xludf.DUMMYFUNCTION("""COMPUTED_VALUE"""),"{}")</f>
        <v>{}</v>
      </c>
      <c r="M2005" s="148">
        <f>IFERROR(__xludf.DUMMYFUNCTION("""COMPUTED_VALUE"""),1000.0)</f>
        <v>1000</v>
      </c>
      <c r="N2005" s="148">
        <f>IFERROR(__xludf.DUMMYFUNCTION("""COMPUTED_VALUE"""),99.0)</f>
        <v>99</v>
      </c>
      <c r="O2005" s="148">
        <f>IFERROR(__xludf.DUMMYFUNCTION("""COMPUTED_VALUE"""),1.0)</f>
        <v>1</v>
      </c>
      <c r="P2005" s="148">
        <f>IFERROR(__xludf.DUMMYFUNCTION("""COMPUTED_VALUE"""),1.0)</f>
        <v>1</v>
      </c>
      <c r="Q2005" s="148" t="str">
        <f>IFERROR(__xludf.DUMMYFUNCTION("""COMPUTED_VALUE"""),"[]")</f>
        <v>[]</v>
      </c>
      <c r="R2005" s="148" t="str">
        <f>IFERROR(__xludf.DUMMYFUNCTION("""COMPUTED_VALUE"""),"[""11421031""]")</f>
        <v>["11421031"]</v>
      </c>
      <c r="S2005" s="148" t="str">
        <f>IFERROR(__xludf.DUMMYFUNCTION("""COMPUTED_VALUE"""),"{""effect"":[{""typ"":""avatar_frame"",""id"":11421031,""val"":-1},{""typ"":""item"",""id"":11111031,""val"":1000}]}")</f>
        <v>{"effect":[{"typ":"avatar_frame","id":11421031,"val":-1},{"typ":"item","id":11111031,"val":1000}]}</v>
      </c>
      <c r="T2005" s="148">
        <f>IFERROR(__xludf.DUMMYFUNCTION("""COMPUTED_VALUE"""),-1.0)</f>
        <v>-1</v>
      </c>
      <c r="U2005" s="148">
        <f>IFERROR(__xludf.DUMMYFUNCTION("""COMPUTED_VALUE"""),1.0)</f>
        <v>1</v>
      </c>
      <c r="V2005" s="148" t="str">
        <f>IFERROR(__xludf.DUMMYFUNCTION("""COMPUTED_VALUE"""),"[]")</f>
        <v>[]</v>
      </c>
      <c r="W2005" s="148">
        <f>IFERROR(__xludf.DUMMYFUNCTION("""COMPUTED_VALUE"""),1.174E7)</f>
        <v>11740000</v>
      </c>
      <c r="X2005" s="148">
        <f>IFERROR(__xludf.DUMMYFUNCTION("""COMPUTED_VALUE"""),0.0)</f>
        <v>0</v>
      </c>
      <c r="Y2005" s="148">
        <f>IFERROR(__xludf.DUMMYFUNCTION("""COMPUTED_VALUE"""),0.0)</f>
        <v>0</v>
      </c>
      <c r="Z2005" s="148"/>
    </row>
    <row r="2006">
      <c r="A2006" s="148">
        <f>IFERROR(__xludf.DUMMYFUNCTION("""COMPUTED_VALUE"""),1.1118635E7)</f>
        <v>11118635</v>
      </c>
      <c r="B2006" s="148" t="str">
        <f>IFERROR(__xludf.DUMMYFUNCTION("""COMPUTED_VALUE"""),"头像框：钢铁之躯")</f>
        <v>头像框：钢铁之躯</v>
      </c>
      <c r="C2006" s="148"/>
      <c r="D2006" s="148" t="str">
        <f>IFERROR(__xludf.DUMMYFUNCTION("""COMPUTED_VALUE"""),"avatar_frame")</f>
        <v>avatar_frame</v>
      </c>
      <c r="E2006" s="148">
        <f>IFERROR(__xludf.DUMMYFUNCTION("""COMPUTED_VALUE"""),20.0)</f>
        <v>20</v>
      </c>
      <c r="F2006" s="148">
        <f>IFERROR(__xludf.DUMMYFUNCTION("""COMPUTED_VALUE"""),0.0)</f>
        <v>0</v>
      </c>
      <c r="G2006" s="148">
        <f>IFERROR(__xludf.DUMMYFUNCTION("""COMPUTED_VALUE"""),1.5116848E7)</f>
        <v>15116848</v>
      </c>
      <c r="H2006" s="148">
        <f>IFERROR(__xludf.DUMMYFUNCTION("""COMPUTED_VALUE"""),1.5112563E7)</f>
        <v>15112563</v>
      </c>
      <c r="I2006" s="148" t="str">
        <f>IFERROR(__xludf.DUMMYFUNCTION("""COMPUTED_VALUE"""),"{}")</f>
        <v>{}</v>
      </c>
      <c r="J2006" s="148" t="str">
        <f>IFERROR(__xludf.DUMMYFUNCTION("""COMPUTED_VALUE"""),"{""typ"":""lc"",""txt"":""LC_ASSET_avatar_frame_name_26""}")</f>
        <v>{"typ":"lc","txt":"LC_ASSET_avatar_frame_name_26"}</v>
      </c>
      <c r="K2006" s="148" t="str">
        <f>IFERROR(__xludf.DUMMYFUNCTION("""COMPUTED_VALUE"""),"{""typ"":""lc"",""txt"":""LC_MENU_forever""}")</f>
        <v>{"typ":"lc","txt":"LC_MENU_forever"}</v>
      </c>
      <c r="L2006" s="148" t="str">
        <f>IFERROR(__xludf.DUMMYFUNCTION("""COMPUTED_VALUE"""),"{}")</f>
        <v>{}</v>
      </c>
      <c r="M2006" s="148">
        <f>IFERROR(__xludf.DUMMYFUNCTION("""COMPUTED_VALUE"""),1000.0)</f>
        <v>1000</v>
      </c>
      <c r="N2006" s="148">
        <f>IFERROR(__xludf.DUMMYFUNCTION("""COMPUTED_VALUE"""),99.0)</f>
        <v>99</v>
      </c>
      <c r="O2006" s="148">
        <f>IFERROR(__xludf.DUMMYFUNCTION("""COMPUTED_VALUE"""),1.0)</f>
        <v>1</v>
      </c>
      <c r="P2006" s="148">
        <f>IFERROR(__xludf.DUMMYFUNCTION("""COMPUTED_VALUE"""),1.0)</f>
        <v>1</v>
      </c>
      <c r="Q2006" s="148" t="str">
        <f>IFERROR(__xludf.DUMMYFUNCTION("""COMPUTED_VALUE"""),"[]")</f>
        <v>[]</v>
      </c>
      <c r="R2006" s="148" t="str">
        <f>IFERROR(__xludf.DUMMYFUNCTION("""COMPUTED_VALUE"""),"[""11421026""]")</f>
        <v>["11421026"]</v>
      </c>
      <c r="S2006" s="148" t="str">
        <f>IFERROR(__xludf.DUMMYFUNCTION("""COMPUTED_VALUE"""),"{""effect"":[{""typ"":""avatar_frame"",""id"":11421026,""val"":-1},{""typ"":""item"",""id"":11111031,""val"":1000}]}")</f>
        <v>{"effect":[{"typ":"avatar_frame","id":11421026,"val":-1},{"typ":"item","id":11111031,"val":1000}]}</v>
      </c>
      <c r="T2006" s="148">
        <f>IFERROR(__xludf.DUMMYFUNCTION("""COMPUTED_VALUE"""),-1.0)</f>
        <v>-1</v>
      </c>
      <c r="U2006" s="148">
        <f>IFERROR(__xludf.DUMMYFUNCTION("""COMPUTED_VALUE"""),1.0)</f>
        <v>1</v>
      </c>
      <c r="V2006" s="148" t="str">
        <f>IFERROR(__xludf.DUMMYFUNCTION("""COMPUTED_VALUE"""),"[]")</f>
        <v>[]</v>
      </c>
      <c r="W2006" s="148">
        <f>IFERROR(__xludf.DUMMYFUNCTION("""COMPUTED_VALUE"""),1.174E7)</f>
        <v>11740000</v>
      </c>
      <c r="X2006" s="148">
        <f>IFERROR(__xludf.DUMMYFUNCTION("""COMPUTED_VALUE"""),0.0)</f>
        <v>0</v>
      </c>
      <c r="Y2006" s="148">
        <f>IFERROR(__xludf.DUMMYFUNCTION("""COMPUTED_VALUE"""),0.0)</f>
        <v>0</v>
      </c>
      <c r="Z2006" s="148"/>
    </row>
    <row r="2007">
      <c r="A2007" s="148">
        <f>IFERROR(__xludf.DUMMYFUNCTION("""COMPUTED_VALUE"""),1.1118636E7)</f>
        <v>11118636</v>
      </c>
      <c r="B2007" s="148" t="str">
        <f>IFERROR(__xludf.DUMMYFUNCTION("""COMPUTED_VALUE"""),"头像框：卫星勇士")</f>
        <v>头像框：卫星勇士</v>
      </c>
      <c r="C2007" s="148"/>
      <c r="D2007" s="148" t="str">
        <f>IFERROR(__xludf.DUMMYFUNCTION("""COMPUTED_VALUE"""),"avatar_frame")</f>
        <v>avatar_frame</v>
      </c>
      <c r="E2007" s="148">
        <f>IFERROR(__xludf.DUMMYFUNCTION("""COMPUTED_VALUE"""),20.0)</f>
        <v>20</v>
      </c>
      <c r="F2007" s="148">
        <f>IFERROR(__xludf.DUMMYFUNCTION("""COMPUTED_VALUE"""),0.0)</f>
        <v>0</v>
      </c>
      <c r="G2007" s="148">
        <f>IFERROR(__xludf.DUMMYFUNCTION("""COMPUTED_VALUE"""),1.5116849E7)</f>
        <v>15116849</v>
      </c>
      <c r="H2007" s="148">
        <f>IFERROR(__xludf.DUMMYFUNCTION("""COMPUTED_VALUE"""),1.5112563E7)</f>
        <v>15112563</v>
      </c>
      <c r="I2007" s="148" t="str">
        <f>IFERROR(__xludf.DUMMYFUNCTION("""COMPUTED_VALUE"""),"{}")</f>
        <v>{}</v>
      </c>
      <c r="J2007" s="148" t="str">
        <f>IFERROR(__xludf.DUMMYFUNCTION("""COMPUTED_VALUE"""),"{""typ"":""lc"",""txt"":""LC_ASSET_avatar_frame_name_27""}")</f>
        <v>{"typ":"lc","txt":"LC_ASSET_avatar_frame_name_27"}</v>
      </c>
      <c r="K2007" s="148" t="str">
        <f>IFERROR(__xludf.DUMMYFUNCTION("""COMPUTED_VALUE"""),"{""typ"":""lc"",""txt"":""LC_MENU_forever""}")</f>
        <v>{"typ":"lc","txt":"LC_MENU_forever"}</v>
      </c>
      <c r="L2007" s="148" t="str">
        <f>IFERROR(__xludf.DUMMYFUNCTION("""COMPUTED_VALUE"""),"{}")</f>
        <v>{}</v>
      </c>
      <c r="M2007" s="148">
        <f>IFERROR(__xludf.DUMMYFUNCTION("""COMPUTED_VALUE"""),1000.0)</f>
        <v>1000</v>
      </c>
      <c r="N2007" s="148">
        <f>IFERROR(__xludf.DUMMYFUNCTION("""COMPUTED_VALUE"""),99.0)</f>
        <v>99</v>
      </c>
      <c r="O2007" s="148">
        <f>IFERROR(__xludf.DUMMYFUNCTION("""COMPUTED_VALUE"""),1.0)</f>
        <v>1</v>
      </c>
      <c r="P2007" s="148">
        <f>IFERROR(__xludf.DUMMYFUNCTION("""COMPUTED_VALUE"""),1.0)</f>
        <v>1</v>
      </c>
      <c r="Q2007" s="148" t="str">
        <f>IFERROR(__xludf.DUMMYFUNCTION("""COMPUTED_VALUE"""),"[]")</f>
        <v>[]</v>
      </c>
      <c r="R2007" s="148" t="str">
        <f>IFERROR(__xludf.DUMMYFUNCTION("""COMPUTED_VALUE"""),"[""11421027""]")</f>
        <v>["11421027"]</v>
      </c>
      <c r="S2007" s="148" t="str">
        <f>IFERROR(__xludf.DUMMYFUNCTION("""COMPUTED_VALUE"""),"{""effect"":[{""typ"":""avatar_frame"",""id"":11421027,""val"":-1},{""typ"":""item"",""id"":11111031,""val"":1000}]}")</f>
        <v>{"effect":[{"typ":"avatar_frame","id":11421027,"val":-1},{"typ":"item","id":11111031,"val":1000}]}</v>
      </c>
      <c r="T2007" s="148">
        <f>IFERROR(__xludf.DUMMYFUNCTION("""COMPUTED_VALUE"""),-1.0)</f>
        <v>-1</v>
      </c>
      <c r="U2007" s="148">
        <f>IFERROR(__xludf.DUMMYFUNCTION("""COMPUTED_VALUE"""),1.0)</f>
        <v>1</v>
      </c>
      <c r="V2007" s="148" t="str">
        <f>IFERROR(__xludf.DUMMYFUNCTION("""COMPUTED_VALUE"""),"[]")</f>
        <v>[]</v>
      </c>
      <c r="W2007" s="148">
        <f>IFERROR(__xludf.DUMMYFUNCTION("""COMPUTED_VALUE"""),1.174E7)</f>
        <v>11740000</v>
      </c>
      <c r="X2007" s="148">
        <f>IFERROR(__xludf.DUMMYFUNCTION("""COMPUTED_VALUE"""),0.0)</f>
        <v>0</v>
      </c>
      <c r="Y2007" s="148">
        <f>IFERROR(__xludf.DUMMYFUNCTION("""COMPUTED_VALUE"""),0.0)</f>
        <v>0</v>
      </c>
      <c r="Z2007" s="148"/>
    </row>
    <row r="2008">
      <c r="A2008" s="148">
        <f>IFERROR(__xludf.DUMMYFUNCTION("""COMPUTED_VALUE"""),1.1118637E7)</f>
        <v>11118637</v>
      </c>
      <c r="B2008" s="148" t="str">
        <f>IFERROR(__xludf.DUMMYFUNCTION("""COMPUTED_VALUE"""),"头像框：太空先锋")</f>
        <v>头像框：太空先锋</v>
      </c>
      <c r="C2008" s="148"/>
      <c r="D2008" s="148" t="str">
        <f>IFERROR(__xludf.DUMMYFUNCTION("""COMPUTED_VALUE"""),"avatar_frame")</f>
        <v>avatar_frame</v>
      </c>
      <c r="E2008" s="148">
        <f>IFERROR(__xludf.DUMMYFUNCTION("""COMPUTED_VALUE"""),20.0)</f>
        <v>20</v>
      </c>
      <c r="F2008" s="148">
        <f>IFERROR(__xludf.DUMMYFUNCTION("""COMPUTED_VALUE"""),0.0)</f>
        <v>0</v>
      </c>
      <c r="G2008" s="148">
        <f>IFERROR(__xludf.DUMMYFUNCTION("""COMPUTED_VALUE"""),1.511685E7)</f>
        <v>15116850</v>
      </c>
      <c r="H2008" s="148">
        <f>IFERROR(__xludf.DUMMYFUNCTION("""COMPUTED_VALUE"""),1.5112563E7)</f>
        <v>15112563</v>
      </c>
      <c r="I2008" s="148" t="str">
        <f>IFERROR(__xludf.DUMMYFUNCTION("""COMPUTED_VALUE"""),"{}")</f>
        <v>{}</v>
      </c>
      <c r="J2008" s="148" t="str">
        <f>IFERROR(__xludf.DUMMYFUNCTION("""COMPUTED_VALUE"""),"{""typ"":""lc"",""txt"":""LC_ASSET_avatar_frame_name_28""}")</f>
        <v>{"typ":"lc","txt":"LC_ASSET_avatar_frame_name_28"}</v>
      </c>
      <c r="K2008" s="148" t="str">
        <f>IFERROR(__xludf.DUMMYFUNCTION("""COMPUTED_VALUE"""),"{""typ"":""lc"",""txt"":""LC_MENU_forever""}")</f>
        <v>{"typ":"lc","txt":"LC_MENU_forever"}</v>
      </c>
      <c r="L2008" s="148" t="str">
        <f>IFERROR(__xludf.DUMMYFUNCTION("""COMPUTED_VALUE"""),"{}")</f>
        <v>{}</v>
      </c>
      <c r="M2008" s="148">
        <f>IFERROR(__xludf.DUMMYFUNCTION("""COMPUTED_VALUE"""),1000.0)</f>
        <v>1000</v>
      </c>
      <c r="N2008" s="148">
        <f>IFERROR(__xludf.DUMMYFUNCTION("""COMPUTED_VALUE"""),99.0)</f>
        <v>99</v>
      </c>
      <c r="O2008" s="148">
        <f>IFERROR(__xludf.DUMMYFUNCTION("""COMPUTED_VALUE"""),1.0)</f>
        <v>1</v>
      </c>
      <c r="P2008" s="148">
        <f>IFERROR(__xludf.DUMMYFUNCTION("""COMPUTED_VALUE"""),1.0)</f>
        <v>1</v>
      </c>
      <c r="Q2008" s="148" t="str">
        <f>IFERROR(__xludf.DUMMYFUNCTION("""COMPUTED_VALUE"""),"[]")</f>
        <v>[]</v>
      </c>
      <c r="R2008" s="148" t="str">
        <f>IFERROR(__xludf.DUMMYFUNCTION("""COMPUTED_VALUE"""),"[""11421028""]")</f>
        <v>["11421028"]</v>
      </c>
      <c r="S2008" s="148" t="str">
        <f>IFERROR(__xludf.DUMMYFUNCTION("""COMPUTED_VALUE"""),"{""effect"":[{""typ"":""avatar_frame"",""id"":11421028,""val"":-1},{""typ"":""item"",""id"":11111031,""val"":1000}]}")</f>
        <v>{"effect":[{"typ":"avatar_frame","id":11421028,"val":-1},{"typ":"item","id":11111031,"val":1000}]}</v>
      </c>
      <c r="T2008" s="148">
        <f>IFERROR(__xludf.DUMMYFUNCTION("""COMPUTED_VALUE"""),-1.0)</f>
        <v>-1</v>
      </c>
      <c r="U2008" s="148">
        <f>IFERROR(__xludf.DUMMYFUNCTION("""COMPUTED_VALUE"""),1.0)</f>
        <v>1</v>
      </c>
      <c r="V2008" s="148" t="str">
        <f>IFERROR(__xludf.DUMMYFUNCTION("""COMPUTED_VALUE"""),"[]")</f>
        <v>[]</v>
      </c>
      <c r="W2008" s="148">
        <f>IFERROR(__xludf.DUMMYFUNCTION("""COMPUTED_VALUE"""),1.174E7)</f>
        <v>11740000</v>
      </c>
      <c r="X2008" s="148">
        <f>IFERROR(__xludf.DUMMYFUNCTION("""COMPUTED_VALUE"""),0.0)</f>
        <v>0</v>
      </c>
      <c r="Y2008" s="148">
        <f>IFERROR(__xludf.DUMMYFUNCTION("""COMPUTED_VALUE"""),0.0)</f>
        <v>0</v>
      </c>
      <c r="Z2008" s="148"/>
    </row>
    <row r="2009">
      <c r="A2009" s="148">
        <f>IFERROR(__xludf.DUMMYFUNCTION("""COMPUTED_VALUE"""),1.1118638E7)</f>
        <v>11118638</v>
      </c>
      <c r="B2009" s="148" t="str">
        <f>IFERROR(__xludf.DUMMYFUNCTION("""COMPUTED_VALUE"""),"登月节-装饰升级道具")</f>
        <v>登月节-装饰升级道具</v>
      </c>
      <c r="C2009" s="148"/>
      <c r="D2009" s="148" t="str">
        <f>IFERROR(__xludf.DUMMYFUNCTION("""COMPUTED_VALUE"""),"event")</f>
        <v>event</v>
      </c>
      <c r="E2009" s="148">
        <f>IFERROR(__xludf.DUMMYFUNCTION("""COMPUTED_VALUE"""),0.0)</f>
        <v>0</v>
      </c>
      <c r="F2009" s="148">
        <f>IFERROR(__xludf.DUMMYFUNCTION("""COMPUTED_VALUE"""),405243.0)</f>
        <v>405243</v>
      </c>
      <c r="G2009" s="148">
        <f>IFERROR(__xludf.DUMMYFUNCTION("""COMPUTED_VALUE"""),1.5116877E7)</f>
        <v>15116877</v>
      </c>
      <c r="H2009" s="148">
        <f>IFERROR(__xludf.DUMMYFUNCTION("""COMPUTED_VALUE"""),1.5112564E7)</f>
        <v>15112564</v>
      </c>
      <c r="I2009" s="148" t="str">
        <f>IFERROR(__xludf.DUMMYFUNCTION("""COMPUTED_VALUE"""),"{}")</f>
        <v>{}</v>
      </c>
      <c r="J2009" s="148" t="str">
        <f>IFERROR(__xludf.DUMMYFUNCTION("""COMPUTED_VALUE"""),"{""typ"":""lc"",""txt"":""LC_ITEM_moon_decoration_item_name""}")</f>
        <v>{"typ":"lc","txt":"LC_ITEM_moon_decoration_item_name"}</v>
      </c>
      <c r="K2009" s="148" t="str">
        <f>IFERROR(__xludf.DUMMYFUNCTION("""COMPUTED_VALUE"""),"{""typ"":""lc"",""txt"":""LC_ITEM_moon_decoration_item_desc""}")</f>
        <v>{"typ":"lc","txt":"LC_ITEM_moon_decoration_item_desc"}</v>
      </c>
      <c r="L2009" s="148" t="str">
        <f>IFERROR(__xludf.DUMMYFUNCTION("""COMPUTED_VALUE"""),"{}")</f>
        <v>{}</v>
      </c>
      <c r="M2009" s="148">
        <f>IFERROR(__xludf.DUMMYFUNCTION("""COMPUTED_VALUE"""),1000.0)</f>
        <v>1000</v>
      </c>
      <c r="N2009" s="148">
        <f>IFERROR(__xludf.DUMMYFUNCTION("""COMPUTED_VALUE"""),9.99999999E8)</f>
        <v>999999999</v>
      </c>
      <c r="O2009" s="148">
        <f>IFERROR(__xludf.DUMMYFUNCTION("""COMPUTED_VALUE"""),9.99999999E8)</f>
        <v>999999999</v>
      </c>
      <c r="P2009" s="148">
        <f>IFERROR(__xludf.DUMMYFUNCTION("""COMPUTED_VALUE"""),9.99999999E8)</f>
        <v>999999999</v>
      </c>
      <c r="Q2009" s="148" t="str">
        <f>IFERROR(__xludf.DUMMYFUNCTION("""COMPUTED_VALUE"""),"[""bag_other""]")</f>
        <v>["bag_other"]</v>
      </c>
      <c r="R2009" s="148" t="str">
        <f>IFERROR(__xludf.DUMMYFUNCTION("""COMPUTED_VALUE"""),"[]")</f>
        <v>[]</v>
      </c>
      <c r="S2009" s="148" t="str">
        <f>IFERROR(__xludf.DUMMYFUNCTION("""COMPUTED_VALUE"""),"{}")</f>
        <v>{}</v>
      </c>
      <c r="T2009" s="148">
        <f>IFERROR(__xludf.DUMMYFUNCTION("""COMPUTED_VALUE"""),-1.0)</f>
        <v>-1</v>
      </c>
      <c r="U2009" s="148">
        <f>IFERROR(__xludf.DUMMYFUNCTION("""COMPUTED_VALUE"""),0.0)</f>
        <v>0</v>
      </c>
      <c r="V2009" s="148" t="str">
        <f>IFERROR(__xludf.DUMMYFUNCTION("""COMPUTED_VALUE"""),"[]")</f>
        <v>[]</v>
      </c>
      <c r="W2009" s="148">
        <f>IFERROR(__xludf.DUMMYFUNCTION("""COMPUTED_VALUE"""),1.174E7)</f>
        <v>11740000</v>
      </c>
      <c r="X2009" s="148">
        <f>IFERROR(__xludf.DUMMYFUNCTION("""COMPUTED_VALUE"""),0.0)</f>
        <v>0</v>
      </c>
      <c r="Y2009" s="148">
        <f>IFERROR(__xludf.DUMMYFUNCTION("""COMPUTED_VALUE"""),0.0)</f>
        <v>0</v>
      </c>
      <c r="Z2009" s="148"/>
    </row>
    <row r="2010">
      <c r="A2010" s="148">
        <f>IFERROR(__xludf.DUMMYFUNCTION("""COMPUTED_VALUE"""),1.1118639E7)</f>
        <v>11118639</v>
      </c>
      <c r="B2010" s="148" t="str">
        <f>IFERROR(__xludf.DUMMYFUNCTION("""COMPUTED_VALUE"""),"小型稀有资源自选宝箱")</f>
        <v>小型稀有资源自选宝箱</v>
      </c>
      <c r="C2010" s="148"/>
      <c r="D2010" s="148" t="str">
        <f>IFERROR(__xludf.DUMMYFUNCTION("""COMPUTED_VALUE"""),"item_select_box")</f>
        <v>item_select_box</v>
      </c>
      <c r="E2010" s="148">
        <f>IFERROR(__xludf.DUMMYFUNCTION("""COMPUTED_VALUE"""),19.0)</f>
        <v>19</v>
      </c>
      <c r="F2010" s="148">
        <f>IFERROR(__xludf.DUMMYFUNCTION("""COMPUTED_VALUE"""),102600.0)</f>
        <v>102600</v>
      </c>
      <c r="G2010" s="148">
        <f>IFERROR(__xludf.DUMMYFUNCTION("""COMPUTED_VALUE"""),1.5117178E7)</f>
        <v>15117178</v>
      </c>
      <c r="H2010" s="148">
        <f>IFERROR(__xludf.DUMMYFUNCTION("""COMPUTED_VALUE"""),1.5112562E7)</f>
        <v>15112562</v>
      </c>
      <c r="I2010" s="148" t="str">
        <f>IFERROR(__xludf.DUMMYFUNCTION("""COMPUTED_VALUE"""),"{}")</f>
        <v>{}</v>
      </c>
      <c r="J2010" s="148" t="str">
        <f>IFERROR(__xludf.DUMMYFUNCTION("""COMPUTED_VALUE"""),"{""typ"":""lc"",""txt"":""LC_ITEM_rare_rss_optional_box_name1""}")</f>
        <v>{"typ":"lc","txt":"LC_ITEM_rare_rss_optional_box_name1"}</v>
      </c>
      <c r="K2010" s="148" t="str">
        <f>IFERROR(__xludf.DUMMYFUNCTION("""COMPUTED_VALUE"""),"{""typ"":""lc"",""txt"":""LC_ITEM_rare_rss_optional_box_desc"",""args"":[{""typ"":""int"",""val"":10000},{""typ"":""int"",""val"":10000},{""typ"":""int"",""val"":1000}]}")</f>
        <v>{"typ":"lc","txt":"LC_ITEM_rare_rss_optional_box_desc","args":[{"typ":"int","val":10000},{"typ":"int","val":10000},{"typ":"int","val":1000}]}</v>
      </c>
      <c r="L2010" s="148" t="str">
        <f>IFERROR(__xludf.DUMMYFUNCTION("""COMPUTED_VALUE"""),"{""typ"":""lc"",""txt"":""LC_ITEM_chest_from_atk_npc_usedtip""}")</f>
        <v>{"typ":"lc","txt":"LC_ITEM_chest_from_atk_npc_usedtip"}</v>
      </c>
      <c r="M2010" s="148">
        <f>IFERROR(__xludf.DUMMYFUNCTION("""COMPUTED_VALUE"""),25.0)</f>
        <v>25</v>
      </c>
      <c r="N2010" s="148">
        <f>IFERROR(__xludf.DUMMYFUNCTION("""COMPUTED_VALUE"""),999999.0)</f>
        <v>999999</v>
      </c>
      <c r="O2010" s="148">
        <f>IFERROR(__xludf.DUMMYFUNCTION("""COMPUTED_VALUE"""),99999.0)</f>
        <v>99999</v>
      </c>
      <c r="P2010" s="148">
        <f>IFERROR(__xludf.DUMMYFUNCTION("""COMPUTED_VALUE"""),99999.0)</f>
        <v>99999</v>
      </c>
      <c r="Q2010" s="148" t="str">
        <f>IFERROR(__xludf.DUMMYFUNCTION("""COMPUTED_VALUE"""),"[""bag_asset"",""rss_food"",""rss_iron""]")</f>
        <v>["bag_asset","rss_food","rss_iron"]</v>
      </c>
      <c r="R2010" s="148" t="str">
        <f>IFERROR(__xludf.DUMMYFUNCTION("""COMPUTED_VALUE"""),"[""bag"",""rss_food"",""rss_iron"",""rss_capsule""]")</f>
        <v>["bag","rss_food","rss_iron","rss_capsule"]</v>
      </c>
      <c r="S2010" s="148" t="str">
        <f>IFERROR(__xludf.DUMMYFUNCTION("""COMPUTED_VALUE"""),"{""select_box"":[{""typ"":""rss"",""id"":11141001,""val"":10000},{""typ"":""rss"",""id"":11141003,""val"":10000},{""typ"":""rss"",""id"":11141041,""val"":1000}]}")</f>
        <v>{"select_box":[{"typ":"rss","id":11141001,"val":10000},{"typ":"rss","id":11141003,"val":10000},{"typ":"rss","id":11141041,"val":1000}]}</v>
      </c>
      <c r="T2010" s="148">
        <f>IFERROR(__xludf.DUMMYFUNCTION("""COMPUTED_VALUE"""),-1.0)</f>
        <v>-1</v>
      </c>
      <c r="U2010" s="148">
        <f>IFERROR(__xludf.DUMMYFUNCTION("""COMPUTED_VALUE"""),0.0)</f>
        <v>0</v>
      </c>
      <c r="V2010" s="148" t="str">
        <f>IFERROR(__xludf.DUMMYFUNCTION("""COMPUTED_VALUE"""),"[]")</f>
        <v>[]</v>
      </c>
      <c r="W2010" s="148">
        <f>IFERROR(__xludf.DUMMYFUNCTION("""COMPUTED_VALUE"""),1.1741001E7)</f>
        <v>11741001</v>
      </c>
      <c r="X2010" s="148">
        <f>IFERROR(__xludf.DUMMYFUNCTION("""COMPUTED_VALUE"""),0.0)</f>
        <v>0</v>
      </c>
      <c r="Y2010" s="148">
        <f>IFERROR(__xludf.DUMMYFUNCTION("""COMPUTED_VALUE"""),0.0)</f>
        <v>0</v>
      </c>
      <c r="Z2010" s="148"/>
    </row>
    <row r="2011">
      <c r="A2011" s="148">
        <f>IFERROR(__xludf.DUMMYFUNCTION("""COMPUTED_VALUE"""),1.111864E7)</f>
        <v>11118640</v>
      </c>
      <c r="B2011" s="148" t="str">
        <f>IFERROR(__xludf.DUMMYFUNCTION("""COMPUTED_VALUE"""),"中型稀有资源自选宝箱")</f>
        <v>中型稀有资源自选宝箱</v>
      </c>
      <c r="C2011" s="148"/>
      <c r="D2011" s="148" t="str">
        <f>IFERROR(__xludf.DUMMYFUNCTION("""COMPUTED_VALUE"""),"item_select_box")</f>
        <v>item_select_box</v>
      </c>
      <c r="E2011" s="148">
        <f>IFERROR(__xludf.DUMMYFUNCTION("""COMPUTED_VALUE"""),19.0)</f>
        <v>19</v>
      </c>
      <c r="F2011" s="148">
        <f>IFERROR(__xludf.DUMMYFUNCTION("""COMPUTED_VALUE"""),102700.0)</f>
        <v>102700</v>
      </c>
      <c r="G2011" s="148">
        <f>IFERROR(__xludf.DUMMYFUNCTION("""COMPUTED_VALUE"""),1.5117178E7)</f>
        <v>15117178</v>
      </c>
      <c r="H2011" s="148">
        <f>IFERROR(__xludf.DUMMYFUNCTION("""COMPUTED_VALUE"""),1.5112563E7)</f>
        <v>15112563</v>
      </c>
      <c r="I2011" s="148" t="str">
        <f>IFERROR(__xludf.DUMMYFUNCTION("""COMPUTED_VALUE"""),"{}")</f>
        <v>{}</v>
      </c>
      <c r="J2011" s="148" t="str">
        <f>IFERROR(__xludf.DUMMYFUNCTION("""COMPUTED_VALUE"""),"{""typ"":""lc"",""txt"":""LC_ITEM_rare_rss_optional_box_name2""}")</f>
        <v>{"typ":"lc","txt":"LC_ITEM_rare_rss_optional_box_name2"}</v>
      </c>
      <c r="K2011" s="148" t="str">
        <f>IFERROR(__xludf.DUMMYFUNCTION("""COMPUTED_VALUE"""),"{""typ"":""lc"",""txt"":""LC_ITEM_rare_rss_optional_box_desc"",""args"":[{""typ"":""int"",""val"":100000},{""typ"":""int"",""val"":100000},{""typ"":""int"",""val"":10000}]}")</f>
        <v>{"typ":"lc","txt":"LC_ITEM_rare_rss_optional_box_desc","args":[{"typ":"int","val":100000},{"typ":"int","val":100000},{"typ":"int","val":10000}]}</v>
      </c>
      <c r="L2011" s="148" t="str">
        <f>IFERROR(__xludf.DUMMYFUNCTION("""COMPUTED_VALUE"""),"{""typ"":""lc"",""txt"":""LC_ITEM_chest_from_atk_npc_usedtip""}")</f>
        <v>{"typ":"lc","txt":"LC_ITEM_chest_from_atk_npc_usedtip"}</v>
      </c>
      <c r="M2011" s="148">
        <f>IFERROR(__xludf.DUMMYFUNCTION("""COMPUTED_VALUE"""),200.0)</f>
        <v>200</v>
      </c>
      <c r="N2011" s="148">
        <f>IFERROR(__xludf.DUMMYFUNCTION("""COMPUTED_VALUE"""),999999.0)</f>
        <v>999999</v>
      </c>
      <c r="O2011" s="148">
        <f>IFERROR(__xludf.DUMMYFUNCTION("""COMPUTED_VALUE"""),99999.0)</f>
        <v>99999</v>
      </c>
      <c r="P2011" s="148">
        <f>IFERROR(__xludf.DUMMYFUNCTION("""COMPUTED_VALUE"""),99999.0)</f>
        <v>99999</v>
      </c>
      <c r="Q2011" s="148" t="str">
        <f>IFERROR(__xludf.DUMMYFUNCTION("""COMPUTED_VALUE"""),"[""bag_asset"",""rss_food"",""rss_iron""]")</f>
        <v>["bag_asset","rss_food","rss_iron"]</v>
      </c>
      <c r="R2011" s="148" t="str">
        <f>IFERROR(__xludf.DUMMYFUNCTION("""COMPUTED_VALUE"""),"[""bag"",""rss_food"",""rss_iron"",""rss_capsule""]")</f>
        <v>["bag","rss_food","rss_iron","rss_capsule"]</v>
      </c>
      <c r="S2011" s="148" t="str">
        <f>IFERROR(__xludf.DUMMYFUNCTION("""COMPUTED_VALUE"""),"{""select_box"":[{""typ"":""rss"",""id"":11141001,""val"":100000},{""typ"":""rss"",""id"":11141003,""val"":100000},{""typ"":""rss"",""id"":11141041,""val"":10000}]}")</f>
        <v>{"select_box":[{"typ":"rss","id":11141001,"val":100000},{"typ":"rss","id":11141003,"val":100000},{"typ":"rss","id":11141041,"val":10000}]}</v>
      </c>
      <c r="T2011" s="148">
        <f>IFERROR(__xludf.DUMMYFUNCTION("""COMPUTED_VALUE"""),-1.0)</f>
        <v>-1</v>
      </c>
      <c r="U2011" s="148">
        <f>IFERROR(__xludf.DUMMYFUNCTION("""COMPUTED_VALUE"""),0.0)</f>
        <v>0</v>
      </c>
      <c r="V2011" s="148" t="str">
        <f>IFERROR(__xludf.DUMMYFUNCTION("""COMPUTED_VALUE"""),"[]")</f>
        <v>[]</v>
      </c>
      <c r="W2011" s="148">
        <f>IFERROR(__xludf.DUMMYFUNCTION("""COMPUTED_VALUE"""),1.1741001E7)</f>
        <v>11741001</v>
      </c>
      <c r="X2011" s="148">
        <f>IFERROR(__xludf.DUMMYFUNCTION("""COMPUTED_VALUE"""),0.0)</f>
        <v>0</v>
      </c>
      <c r="Y2011" s="148">
        <f>IFERROR(__xludf.DUMMYFUNCTION("""COMPUTED_VALUE"""),0.0)</f>
        <v>0</v>
      </c>
      <c r="Z2011" s="148"/>
    </row>
    <row r="2012">
      <c r="A2012" s="148">
        <f>IFERROR(__xludf.DUMMYFUNCTION("""COMPUTED_VALUE"""),1.1118641E7)</f>
        <v>11118641</v>
      </c>
      <c r="B2012" s="148" t="str">
        <f>IFERROR(__xludf.DUMMYFUNCTION("""COMPUTED_VALUE"""),"大型稀有资源自选宝箱")</f>
        <v>大型稀有资源自选宝箱</v>
      </c>
      <c r="C2012" s="148"/>
      <c r="D2012" s="148" t="str">
        <f>IFERROR(__xludf.DUMMYFUNCTION("""COMPUTED_VALUE"""),"item_select_box")</f>
        <v>item_select_box</v>
      </c>
      <c r="E2012" s="148">
        <f>IFERROR(__xludf.DUMMYFUNCTION("""COMPUTED_VALUE"""),19.0)</f>
        <v>19</v>
      </c>
      <c r="F2012" s="148">
        <f>IFERROR(__xludf.DUMMYFUNCTION("""COMPUTED_VALUE"""),102800.0)</f>
        <v>102800</v>
      </c>
      <c r="G2012" s="148">
        <f>IFERROR(__xludf.DUMMYFUNCTION("""COMPUTED_VALUE"""),1.5117178E7)</f>
        <v>15117178</v>
      </c>
      <c r="H2012" s="148">
        <f>IFERROR(__xludf.DUMMYFUNCTION("""COMPUTED_VALUE"""),1.5112564E7)</f>
        <v>15112564</v>
      </c>
      <c r="I2012" s="148" t="str">
        <f>IFERROR(__xludf.DUMMYFUNCTION("""COMPUTED_VALUE"""),"{}")</f>
        <v>{}</v>
      </c>
      <c r="J2012" s="148" t="str">
        <f>IFERROR(__xludf.DUMMYFUNCTION("""COMPUTED_VALUE"""),"{""typ"":""lc"",""txt"":""LC_ITEM_rare_rss_optional_box_name3""}")</f>
        <v>{"typ":"lc","txt":"LC_ITEM_rare_rss_optional_box_name3"}</v>
      </c>
      <c r="K2012" s="148" t="str">
        <f>IFERROR(__xludf.DUMMYFUNCTION("""COMPUTED_VALUE"""),"{""typ"":""lc"",""txt"":""LC_ITEM_rare_rss_optional_box_desc"",""args"":[{""typ"":""int"",""val"":500000},{""typ"":""int"",""val"":500000},{""typ"":""int"",""val"":50000}]}")</f>
        <v>{"typ":"lc","txt":"LC_ITEM_rare_rss_optional_box_desc","args":[{"typ":"int","val":500000},{"typ":"int","val":500000},{"typ":"int","val":50000}]}</v>
      </c>
      <c r="L2012" s="148" t="str">
        <f>IFERROR(__xludf.DUMMYFUNCTION("""COMPUTED_VALUE"""),"{""typ"":""lc"",""txt"":""LC_ITEM_chest_from_atk_npc_usedtip""}")</f>
        <v>{"typ":"lc","txt":"LC_ITEM_chest_from_atk_npc_usedtip"}</v>
      </c>
      <c r="M2012" s="148">
        <f>IFERROR(__xludf.DUMMYFUNCTION("""COMPUTED_VALUE"""),850.0)</f>
        <v>850</v>
      </c>
      <c r="N2012" s="148">
        <f>IFERROR(__xludf.DUMMYFUNCTION("""COMPUTED_VALUE"""),999999.0)</f>
        <v>999999</v>
      </c>
      <c r="O2012" s="148">
        <f>IFERROR(__xludf.DUMMYFUNCTION("""COMPUTED_VALUE"""),99999.0)</f>
        <v>99999</v>
      </c>
      <c r="P2012" s="148">
        <f>IFERROR(__xludf.DUMMYFUNCTION("""COMPUTED_VALUE"""),99999.0)</f>
        <v>99999</v>
      </c>
      <c r="Q2012" s="148" t="str">
        <f>IFERROR(__xludf.DUMMYFUNCTION("""COMPUTED_VALUE"""),"[""bag_asset"",""rss_food"",""rss_iron""]")</f>
        <v>["bag_asset","rss_food","rss_iron"]</v>
      </c>
      <c r="R2012" s="148" t="str">
        <f>IFERROR(__xludf.DUMMYFUNCTION("""COMPUTED_VALUE"""),"[""bag"",""rss_food"",""rss_iron"",""rss_capsule""]")</f>
        <v>["bag","rss_food","rss_iron","rss_capsule"]</v>
      </c>
      <c r="S2012" s="148" t="str">
        <f>IFERROR(__xludf.DUMMYFUNCTION("""COMPUTED_VALUE"""),"{""select_box"":[{""typ"":""rss"",""id"":11141001,""val"":500000},{""typ"":""rss"",""id"":11141003,""val"":500000},{""typ"":""rss"",""id"":11141041,""val"":50000}]}")</f>
        <v>{"select_box":[{"typ":"rss","id":11141001,"val":500000},{"typ":"rss","id":11141003,"val":500000},{"typ":"rss","id":11141041,"val":50000}]}</v>
      </c>
      <c r="T2012" s="148">
        <f>IFERROR(__xludf.DUMMYFUNCTION("""COMPUTED_VALUE"""),-1.0)</f>
        <v>-1</v>
      </c>
      <c r="U2012" s="148">
        <f>IFERROR(__xludf.DUMMYFUNCTION("""COMPUTED_VALUE"""),0.0)</f>
        <v>0</v>
      </c>
      <c r="V2012" s="148" t="str">
        <f>IFERROR(__xludf.DUMMYFUNCTION("""COMPUTED_VALUE"""),"[]")</f>
        <v>[]</v>
      </c>
      <c r="W2012" s="148">
        <f>IFERROR(__xludf.DUMMYFUNCTION("""COMPUTED_VALUE"""),1.1741001E7)</f>
        <v>11741001</v>
      </c>
      <c r="X2012" s="148">
        <f>IFERROR(__xludf.DUMMYFUNCTION("""COMPUTED_VALUE"""),0.0)</f>
        <v>0</v>
      </c>
      <c r="Y2012" s="148">
        <f>IFERROR(__xludf.DUMMYFUNCTION("""COMPUTED_VALUE"""),0.0)</f>
        <v>0</v>
      </c>
      <c r="Z2012" s="148"/>
    </row>
    <row r="2013">
      <c r="A2013" s="148">
        <f>IFERROR(__xludf.DUMMYFUNCTION("""COMPUTED_VALUE"""),1.1118642E7)</f>
        <v>11118642</v>
      </c>
      <c r="B2013" s="148" t="str">
        <f>IFERROR(__xludf.DUMMYFUNCTION("""COMPUTED_VALUE"""),"登月节-gacha道具")</f>
        <v>登月节-gacha道具</v>
      </c>
      <c r="C2013" s="148"/>
      <c r="D2013" s="148" t="str">
        <f>IFERROR(__xludf.DUMMYFUNCTION("""COMPUTED_VALUE"""),"event")</f>
        <v>event</v>
      </c>
      <c r="E2013" s="148">
        <f>IFERROR(__xludf.DUMMYFUNCTION("""COMPUTED_VALUE"""),0.0)</f>
        <v>0</v>
      </c>
      <c r="F2013" s="148">
        <f>IFERROR(__xludf.DUMMYFUNCTION("""COMPUTED_VALUE"""),405243.0)</f>
        <v>405243</v>
      </c>
      <c r="G2013" s="148">
        <f>IFERROR(__xludf.DUMMYFUNCTION("""COMPUTED_VALUE"""),1.5117135E7)</f>
        <v>15117135</v>
      </c>
      <c r="H2013" s="148">
        <f>IFERROR(__xludf.DUMMYFUNCTION("""COMPUTED_VALUE"""),1.5112564E7)</f>
        <v>15112564</v>
      </c>
      <c r="I2013" s="148" t="str">
        <f>IFERROR(__xludf.DUMMYFUNCTION("""COMPUTED_VALUE"""),"{}")</f>
        <v>{}</v>
      </c>
      <c r="J2013" s="148" t="str">
        <f>IFERROR(__xludf.DUMMYFUNCTION("""COMPUTED_VALUE"""),"{""typ"":""lc"",""txt"":""LC_EVENT_2023moon_gacha_item_name_2""}")</f>
        <v>{"typ":"lc","txt":"LC_EVENT_2023moon_gacha_item_name_2"}</v>
      </c>
      <c r="K2013" s="148" t="str">
        <f>IFERROR(__xludf.DUMMYFUNCTION("""COMPUTED_VALUE"""),"{""typ"":""lc"",""txt"":""LC_EVENT_2023moon_gacha_item_desc_2""}")</f>
        <v>{"typ":"lc","txt":"LC_EVENT_2023moon_gacha_item_desc_2"}</v>
      </c>
      <c r="L2013" s="148" t="str">
        <f>IFERROR(__xludf.DUMMYFUNCTION("""COMPUTED_VALUE"""),"{}")</f>
        <v>{}</v>
      </c>
      <c r="M2013" s="148">
        <f>IFERROR(__xludf.DUMMYFUNCTION("""COMPUTED_VALUE"""),500.0)</f>
        <v>500</v>
      </c>
      <c r="N2013" s="148">
        <f>IFERROR(__xludf.DUMMYFUNCTION("""COMPUTED_VALUE"""),9.99999999E8)</f>
        <v>999999999</v>
      </c>
      <c r="O2013" s="148">
        <f>IFERROR(__xludf.DUMMYFUNCTION("""COMPUTED_VALUE"""),9.99999999E8)</f>
        <v>999999999</v>
      </c>
      <c r="P2013" s="148">
        <f>IFERROR(__xludf.DUMMYFUNCTION("""COMPUTED_VALUE"""),9.99999999E8)</f>
        <v>999999999</v>
      </c>
      <c r="Q2013" s="148" t="str">
        <f>IFERROR(__xludf.DUMMYFUNCTION("""COMPUTED_VALUE"""),"[""bag_other""]")</f>
        <v>["bag_other"]</v>
      </c>
      <c r="R2013" s="148" t="str">
        <f>IFERROR(__xludf.DUMMYFUNCTION("""COMPUTED_VALUE"""),"[""bag""]")</f>
        <v>["bag"]</v>
      </c>
      <c r="S2013" s="148" t="str">
        <f>IFERROR(__xludf.DUMMYFUNCTION("""COMPUTED_VALUE"""),"{}")</f>
        <v>{}</v>
      </c>
      <c r="T2013" s="148">
        <f>IFERROR(__xludf.DUMMYFUNCTION("""COMPUTED_VALUE"""),-1.0)</f>
        <v>-1</v>
      </c>
      <c r="U2013" s="148">
        <f>IFERROR(__xludf.DUMMYFUNCTION("""COMPUTED_VALUE"""),0.0)</f>
        <v>0</v>
      </c>
      <c r="V2013" s="148" t="str">
        <f>IFERROR(__xludf.DUMMYFUNCTION("""COMPUTED_VALUE"""),"[]")</f>
        <v>[]</v>
      </c>
      <c r="W2013" s="148">
        <f>IFERROR(__xludf.DUMMYFUNCTION("""COMPUTED_VALUE"""),1.174E7)</f>
        <v>11740000</v>
      </c>
      <c r="X2013" s="148">
        <f>IFERROR(__xludf.DUMMYFUNCTION("""COMPUTED_VALUE"""),0.0)</f>
        <v>0</v>
      </c>
      <c r="Y2013" s="148">
        <f>IFERROR(__xludf.DUMMYFUNCTION("""COMPUTED_VALUE"""),0.0)</f>
        <v>0</v>
      </c>
      <c r="Z2013" s="148"/>
    </row>
    <row r="2014">
      <c r="A2014" s="148">
        <f>IFERROR(__xludf.DUMMYFUNCTION("""COMPUTED_VALUE"""),1.1118643E7)</f>
        <v>11118643</v>
      </c>
      <c r="B2014" s="148" t="str">
        <f>IFERROR(__xludf.DUMMYFUNCTION("""COMPUTED_VALUE"""),"登月节-兑换道具")</f>
        <v>登月节-兑换道具</v>
      </c>
      <c r="C2014" s="148"/>
      <c r="D2014" s="148" t="str">
        <f>IFERROR(__xludf.DUMMYFUNCTION("""COMPUTED_VALUE"""),"event")</f>
        <v>event</v>
      </c>
      <c r="E2014" s="148">
        <f>IFERROR(__xludf.DUMMYFUNCTION("""COMPUTED_VALUE"""),0.0)</f>
        <v>0</v>
      </c>
      <c r="F2014" s="148">
        <f>IFERROR(__xludf.DUMMYFUNCTION("""COMPUTED_VALUE"""),405243.0)</f>
        <v>405243</v>
      </c>
      <c r="G2014" s="148">
        <f>IFERROR(__xludf.DUMMYFUNCTION("""COMPUTED_VALUE"""),1.5117136E7)</f>
        <v>15117136</v>
      </c>
      <c r="H2014" s="148">
        <f>IFERROR(__xludf.DUMMYFUNCTION("""COMPUTED_VALUE"""),1.5112564E7)</f>
        <v>15112564</v>
      </c>
      <c r="I2014" s="148" t="str">
        <f>IFERROR(__xludf.DUMMYFUNCTION("""COMPUTED_VALUE"""),"{}")</f>
        <v>{}</v>
      </c>
      <c r="J2014" s="148" t="str">
        <f>IFERROR(__xludf.DUMMYFUNCTION("""COMPUTED_VALUE"""),"{""typ"":""lc"",""txt"":""LC_EVENT_2023moon_gacha_item_name_1""}")</f>
        <v>{"typ":"lc","txt":"LC_EVENT_2023moon_gacha_item_name_1"}</v>
      </c>
      <c r="K2014" s="148" t="str">
        <f>IFERROR(__xludf.DUMMYFUNCTION("""COMPUTED_VALUE"""),"{""typ"":""lc"",""txt"":""LC_EVENT_2023moon_gacha_item_desc_1""}")</f>
        <v>{"typ":"lc","txt":"LC_EVENT_2023moon_gacha_item_desc_1"}</v>
      </c>
      <c r="L2014" s="148" t="str">
        <f>IFERROR(__xludf.DUMMYFUNCTION("""COMPUTED_VALUE"""),"{}")</f>
        <v>{}</v>
      </c>
      <c r="M2014" s="148">
        <f>IFERROR(__xludf.DUMMYFUNCTION("""COMPUTED_VALUE"""),100.0)</f>
        <v>100</v>
      </c>
      <c r="N2014" s="148">
        <f>IFERROR(__xludf.DUMMYFUNCTION("""COMPUTED_VALUE"""),9.99999999E8)</f>
        <v>999999999</v>
      </c>
      <c r="O2014" s="148">
        <f>IFERROR(__xludf.DUMMYFUNCTION("""COMPUTED_VALUE"""),9.99999999E8)</f>
        <v>999999999</v>
      </c>
      <c r="P2014" s="148">
        <f>IFERROR(__xludf.DUMMYFUNCTION("""COMPUTED_VALUE"""),9.99999999E8)</f>
        <v>999999999</v>
      </c>
      <c r="Q2014" s="148" t="str">
        <f>IFERROR(__xludf.DUMMYFUNCTION("""COMPUTED_VALUE"""),"[""bag_other""]")</f>
        <v>["bag_other"]</v>
      </c>
      <c r="R2014" s="148" t="str">
        <f>IFERROR(__xludf.DUMMYFUNCTION("""COMPUTED_VALUE"""),"[""bag""]")</f>
        <v>["bag"]</v>
      </c>
      <c r="S2014" s="148" t="str">
        <f>IFERROR(__xludf.DUMMYFUNCTION("""COMPUTED_VALUE"""),"{}")</f>
        <v>{}</v>
      </c>
      <c r="T2014" s="148">
        <f>IFERROR(__xludf.DUMMYFUNCTION("""COMPUTED_VALUE"""),-1.0)</f>
        <v>-1</v>
      </c>
      <c r="U2014" s="148">
        <f>IFERROR(__xludf.DUMMYFUNCTION("""COMPUTED_VALUE"""),0.0)</f>
        <v>0</v>
      </c>
      <c r="V2014" s="148" t="str">
        <f>IFERROR(__xludf.DUMMYFUNCTION("""COMPUTED_VALUE"""),"[]")</f>
        <v>[]</v>
      </c>
      <c r="W2014" s="148">
        <f>IFERROR(__xludf.DUMMYFUNCTION("""COMPUTED_VALUE"""),1.174E7)</f>
        <v>11740000</v>
      </c>
      <c r="X2014" s="148">
        <f>IFERROR(__xludf.DUMMYFUNCTION("""COMPUTED_VALUE"""),0.0)</f>
        <v>0</v>
      </c>
      <c r="Y2014" s="148">
        <f>IFERROR(__xludf.DUMMYFUNCTION("""COMPUTED_VALUE"""),0.0)</f>
        <v>0</v>
      </c>
      <c r="Z2014" s="148"/>
    </row>
    <row r="2015">
      <c r="A2015" s="148">
        <f>IFERROR(__xludf.DUMMYFUNCTION("""COMPUTED_VALUE"""),1.1118644E7)</f>
        <v>11118644</v>
      </c>
      <c r="B2015" s="148" t="str">
        <f>IFERROR(__xludf.DUMMYFUNCTION("""COMPUTED_VALUE"""),"头像框：神奇矿工-14天")</f>
        <v>头像框：神奇矿工-14天</v>
      </c>
      <c r="C2015" s="148"/>
      <c r="D2015" s="148" t="str">
        <f>IFERROR(__xludf.DUMMYFUNCTION("""COMPUTED_VALUE"""),"avatar_frame")</f>
        <v>avatar_frame</v>
      </c>
      <c r="E2015" s="148">
        <f>IFERROR(__xludf.DUMMYFUNCTION("""COMPUTED_VALUE"""),20.0)</f>
        <v>20</v>
      </c>
      <c r="F2015" s="148">
        <f>IFERROR(__xludf.DUMMYFUNCTION("""COMPUTED_VALUE"""),0.0)</f>
        <v>0</v>
      </c>
      <c r="G2015" s="148">
        <f>IFERROR(__xludf.DUMMYFUNCTION("""COMPUTED_VALUE"""),1.5117171E7)</f>
        <v>15117171</v>
      </c>
      <c r="H2015" s="148">
        <f>IFERROR(__xludf.DUMMYFUNCTION("""COMPUTED_VALUE"""),1.5112563E7)</f>
        <v>15112563</v>
      </c>
      <c r="I2015" s="148" t="str">
        <f>IFERROR(__xludf.DUMMYFUNCTION("""COMPUTED_VALUE"""),"{""typ"":""lc"",""txt"":""LC_ITEM_time_day_upper_show"",""args"":[{""typ"":""int"",""val"":14}]}")</f>
        <v>{"typ":"lc","txt":"LC_ITEM_time_day_upper_show","args":[{"typ":"int","val":14}]}</v>
      </c>
      <c r="J2015" s="148" t="str">
        <f>IFERROR(__xludf.DUMMYFUNCTION("""COMPUTED_VALUE"""),"{""typ"":""lc"",""txt"":""LC_ASSET_avatar_frame_name_32_limit_14d""}")</f>
        <v>{"typ":"lc","txt":"LC_ASSET_avatar_frame_name_32_limit_14d"}</v>
      </c>
      <c r="K2015" s="148" t="str">
        <f>IFERROR(__xludf.DUMMYFUNCTION("""COMPUTED_VALUE"""),"{""typ"":""lc"",""txt"":""LC_ASSET_avatar_frame_name_32_limit_14d""}")</f>
        <v>{"typ":"lc","txt":"LC_ASSET_avatar_frame_name_32_limit_14d"}</v>
      </c>
      <c r="L2015" s="148" t="str">
        <f>IFERROR(__xludf.DUMMYFUNCTION("""COMPUTED_VALUE"""),"{}")</f>
        <v>{}</v>
      </c>
      <c r="M2015" s="148">
        <f>IFERROR(__xludf.DUMMYFUNCTION("""COMPUTED_VALUE"""),1000.0)</f>
        <v>1000</v>
      </c>
      <c r="N2015" s="148">
        <f>IFERROR(__xludf.DUMMYFUNCTION("""COMPUTED_VALUE"""),99.0)</f>
        <v>99</v>
      </c>
      <c r="O2015" s="148">
        <f>IFERROR(__xludf.DUMMYFUNCTION("""COMPUTED_VALUE"""),1.0)</f>
        <v>1</v>
      </c>
      <c r="P2015" s="148">
        <f>IFERROR(__xludf.DUMMYFUNCTION("""COMPUTED_VALUE"""),1.0)</f>
        <v>1</v>
      </c>
      <c r="Q2015" s="148" t="str">
        <f>IFERROR(__xludf.DUMMYFUNCTION("""COMPUTED_VALUE"""),"[]")</f>
        <v>[]</v>
      </c>
      <c r="R2015" s="148" t="str">
        <f>IFERROR(__xludf.DUMMYFUNCTION("""COMPUTED_VALUE"""),"[""11421032""]")</f>
        <v>["11421032"]</v>
      </c>
      <c r="S2015" s="148" t="str">
        <f>IFERROR(__xludf.DUMMYFUNCTION("""COMPUTED_VALUE"""),"{""effect"":[{""typ"":""avatar_frame"",""id"":11421032,""val"":1209600000}]}")</f>
        <v>{"effect":[{"typ":"avatar_frame","id":11421032,"val":1209600000}]}</v>
      </c>
      <c r="T2015" s="148">
        <f>IFERROR(__xludf.DUMMYFUNCTION("""COMPUTED_VALUE"""),-1.0)</f>
        <v>-1</v>
      </c>
      <c r="U2015" s="148">
        <f>IFERROR(__xludf.DUMMYFUNCTION("""COMPUTED_VALUE"""),1.0)</f>
        <v>1</v>
      </c>
      <c r="V2015" s="148" t="str">
        <f>IFERROR(__xludf.DUMMYFUNCTION("""COMPUTED_VALUE"""),"[]")</f>
        <v>[]</v>
      </c>
      <c r="W2015" s="148">
        <f>IFERROR(__xludf.DUMMYFUNCTION("""COMPUTED_VALUE"""),1.174E7)</f>
        <v>11740000</v>
      </c>
      <c r="X2015" s="148">
        <f>IFERROR(__xludf.DUMMYFUNCTION("""COMPUTED_VALUE"""),0.0)</f>
        <v>0</v>
      </c>
      <c r="Y2015" s="148">
        <f>IFERROR(__xludf.DUMMYFUNCTION("""COMPUTED_VALUE"""),0.0)</f>
        <v>0</v>
      </c>
      <c r="Z2015" s="148"/>
    </row>
    <row r="2016">
      <c r="A2016" s="148">
        <f>IFERROR(__xludf.DUMMYFUNCTION("""COMPUTED_VALUE"""),1.1118645E7)</f>
        <v>11118645</v>
      </c>
      <c r="B2016" s="148" t="str">
        <f>IFERROR(__xludf.DUMMYFUNCTION("""COMPUTED_VALUE"""),"头像框：神奇矿工-7天")</f>
        <v>头像框：神奇矿工-7天</v>
      </c>
      <c r="C2016" s="148"/>
      <c r="D2016" s="148" t="str">
        <f>IFERROR(__xludf.DUMMYFUNCTION("""COMPUTED_VALUE"""),"avatar_frame")</f>
        <v>avatar_frame</v>
      </c>
      <c r="E2016" s="148">
        <f>IFERROR(__xludf.DUMMYFUNCTION("""COMPUTED_VALUE"""),20.0)</f>
        <v>20</v>
      </c>
      <c r="F2016" s="148">
        <f>IFERROR(__xludf.DUMMYFUNCTION("""COMPUTED_VALUE"""),0.0)</f>
        <v>0</v>
      </c>
      <c r="G2016" s="148">
        <f>IFERROR(__xludf.DUMMYFUNCTION("""COMPUTED_VALUE"""),1.5117171E7)</f>
        <v>15117171</v>
      </c>
      <c r="H2016" s="148">
        <f>IFERROR(__xludf.DUMMYFUNCTION("""COMPUTED_VALUE"""),1.5112563E7)</f>
        <v>15112563</v>
      </c>
      <c r="I2016" s="148" t="str">
        <f>IFERROR(__xludf.DUMMYFUNCTION("""COMPUTED_VALUE"""),"{""typ"":""lc"",""txt"":""LC_ITEM_time_day_upper_show"",""args"":[{""typ"":""int"",""val"":7}]}")</f>
        <v>{"typ":"lc","txt":"LC_ITEM_time_day_upper_show","args":[{"typ":"int","val":7}]}</v>
      </c>
      <c r="J2016" s="148" t="str">
        <f>IFERROR(__xludf.DUMMYFUNCTION("""COMPUTED_VALUE"""),"{""typ"":""lc"",""txt"":""LC_ASSET_avatar_frame_name_32_limit_7d""}")</f>
        <v>{"typ":"lc","txt":"LC_ASSET_avatar_frame_name_32_limit_7d"}</v>
      </c>
      <c r="K2016" s="148" t="str">
        <f>IFERROR(__xludf.DUMMYFUNCTION("""COMPUTED_VALUE"""),"{""typ"":""lc"",""txt"":""LC_ASSET_avatar_frame_name_32_limit_7d""}")</f>
        <v>{"typ":"lc","txt":"LC_ASSET_avatar_frame_name_32_limit_7d"}</v>
      </c>
      <c r="L2016" s="148" t="str">
        <f>IFERROR(__xludf.DUMMYFUNCTION("""COMPUTED_VALUE"""),"{}")</f>
        <v>{}</v>
      </c>
      <c r="M2016" s="148">
        <f>IFERROR(__xludf.DUMMYFUNCTION("""COMPUTED_VALUE"""),1000.0)</f>
        <v>1000</v>
      </c>
      <c r="N2016" s="148">
        <f>IFERROR(__xludf.DUMMYFUNCTION("""COMPUTED_VALUE"""),99.0)</f>
        <v>99</v>
      </c>
      <c r="O2016" s="148">
        <f>IFERROR(__xludf.DUMMYFUNCTION("""COMPUTED_VALUE"""),1.0)</f>
        <v>1</v>
      </c>
      <c r="P2016" s="148">
        <f>IFERROR(__xludf.DUMMYFUNCTION("""COMPUTED_VALUE"""),1.0)</f>
        <v>1</v>
      </c>
      <c r="Q2016" s="148" t="str">
        <f>IFERROR(__xludf.DUMMYFUNCTION("""COMPUTED_VALUE"""),"[]")</f>
        <v>[]</v>
      </c>
      <c r="R2016" s="148" t="str">
        <f>IFERROR(__xludf.DUMMYFUNCTION("""COMPUTED_VALUE"""),"[""11421032""]")</f>
        <v>["11421032"]</v>
      </c>
      <c r="S2016" s="148" t="str">
        <f>IFERROR(__xludf.DUMMYFUNCTION("""COMPUTED_VALUE"""),"{""effect"":[{""typ"":""avatar_frame"",""id"":11421032,""val"":604800000}]}")</f>
        <v>{"effect":[{"typ":"avatar_frame","id":11421032,"val":604800000}]}</v>
      </c>
      <c r="T2016" s="148">
        <f>IFERROR(__xludf.DUMMYFUNCTION("""COMPUTED_VALUE"""),-1.0)</f>
        <v>-1</v>
      </c>
      <c r="U2016" s="148">
        <f>IFERROR(__xludf.DUMMYFUNCTION("""COMPUTED_VALUE"""),1.0)</f>
        <v>1</v>
      </c>
      <c r="V2016" s="148" t="str">
        <f>IFERROR(__xludf.DUMMYFUNCTION("""COMPUTED_VALUE"""),"[]")</f>
        <v>[]</v>
      </c>
      <c r="W2016" s="148">
        <f>IFERROR(__xludf.DUMMYFUNCTION("""COMPUTED_VALUE"""),1.174E7)</f>
        <v>11740000</v>
      </c>
      <c r="X2016" s="148">
        <f>IFERROR(__xludf.DUMMYFUNCTION("""COMPUTED_VALUE"""),0.0)</f>
        <v>0</v>
      </c>
      <c r="Y2016" s="148">
        <f>IFERROR(__xludf.DUMMYFUNCTION("""COMPUTED_VALUE"""),0.0)</f>
        <v>0</v>
      </c>
      <c r="Z2016" s="148"/>
    </row>
    <row r="2017">
      <c r="A2017" s="148">
        <f>IFERROR(__xludf.DUMMYFUNCTION("""COMPUTED_VALUE"""),1.1118646E7)</f>
        <v>11118646</v>
      </c>
      <c r="B2017" s="148" t="str">
        <f>IFERROR(__xludf.DUMMYFUNCTION("""COMPUTED_VALUE"""),"头像框：神奇矿工-3天")</f>
        <v>头像框：神奇矿工-3天</v>
      </c>
      <c r="C2017" s="148"/>
      <c r="D2017" s="148" t="str">
        <f>IFERROR(__xludf.DUMMYFUNCTION("""COMPUTED_VALUE"""),"avatar_frame")</f>
        <v>avatar_frame</v>
      </c>
      <c r="E2017" s="148">
        <f>IFERROR(__xludf.DUMMYFUNCTION("""COMPUTED_VALUE"""),20.0)</f>
        <v>20</v>
      </c>
      <c r="F2017" s="148">
        <f>IFERROR(__xludf.DUMMYFUNCTION("""COMPUTED_VALUE"""),0.0)</f>
        <v>0</v>
      </c>
      <c r="G2017" s="148">
        <f>IFERROR(__xludf.DUMMYFUNCTION("""COMPUTED_VALUE"""),1.5117171E7)</f>
        <v>15117171</v>
      </c>
      <c r="H2017" s="148">
        <f>IFERROR(__xludf.DUMMYFUNCTION("""COMPUTED_VALUE"""),1.5112563E7)</f>
        <v>15112563</v>
      </c>
      <c r="I2017" s="148" t="str">
        <f>IFERROR(__xludf.DUMMYFUNCTION("""COMPUTED_VALUE"""),"{""typ"":""lc"",""txt"":""LC_ITEM_time_day_upper_show"",""args"":[{""typ"":""int"",""val"":3}]}")</f>
        <v>{"typ":"lc","txt":"LC_ITEM_time_day_upper_show","args":[{"typ":"int","val":3}]}</v>
      </c>
      <c r="J2017" s="148" t="str">
        <f>IFERROR(__xludf.DUMMYFUNCTION("""COMPUTED_VALUE"""),"{""typ"":""lc"",""txt"":""LC_ASSET_avatar_frame_name_32_limit_3d""}")</f>
        <v>{"typ":"lc","txt":"LC_ASSET_avatar_frame_name_32_limit_3d"}</v>
      </c>
      <c r="K2017" s="148" t="str">
        <f>IFERROR(__xludf.DUMMYFUNCTION("""COMPUTED_VALUE"""),"{""typ"":""lc"",""txt"":""LC_ASSET_avatar_frame_name_32_limit_3d""}")</f>
        <v>{"typ":"lc","txt":"LC_ASSET_avatar_frame_name_32_limit_3d"}</v>
      </c>
      <c r="L2017" s="148" t="str">
        <f>IFERROR(__xludf.DUMMYFUNCTION("""COMPUTED_VALUE"""),"{}")</f>
        <v>{}</v>
      </c>
      <c r="M2017" s="148">
        <f>IFERROR(__xludf.DUMMYFUNCTION("""COMPUTED_VALUE"""),1000.0)</f>
        <v>1000</v>
      </c>
      <c r="N2017" s="148">
        <f>IFERROR(__xludf.DUMMYFUNCTION("""COMPUTED_VALUE"""),99.0)</f>
        <v>99</v>
      </c>
      <c r="O2017" s="148">
        <f>IFERROR(__xludf.DUMMYFUNCTION("""COMPUTED_VALUE"""),1.0)</f>
        <v>1</v>
      </c>
      <c r="P2017" s="148">
        <f>IFERROR(__xludf.DUMMYFUNCTION("""COMPUTED_VALUE"""),1.0)</f>
        <v>1</v>
      </c>
      <c r="Q2017" s="148" t="str">
        <f>IFERROR(__xludf.DUMMYFUNCTION("""COMPUTED_VALUE"""),"[]")</f>
        <v>[]</v>
      </c>
      <c r="R2017" s="148" t="str">
        <f>IFERROR(__xludf.DUMMYFUNCTION("""COMPUTED_VALUE"""),"[""11421032""]")</f>
        <v>["11421032"]</v>
      </c>
      <c r="S2017" s="148" t="str">
        <f>IFERROR(__xludf.DUMMYFUNCTION("""COMPUTED_VALUE"""),"{""effect"":[{""typ"":""avatar_frame"",""id"":11421032,""val"":259200000}]}")</f>
        <v>{"effect":[{"typ":"avatar_frame","id":11421032,"val":259200000}]}</v>
      </c>
      <c r="T2017" s="148">
        <f>IFERROR(__xludf.DUMMYFUNCTION("""COMPUTED_VALUE"""),-1.0)</f>
        <v>-1</v>
      </c>
      <c r="U2017" s="148">
        <f>IFERROR(__xludf.DUMMYFUNCTION("""COMPUTED_VALUE"""),1.0)</f>
        <v>1</v>
      </c>
      <c r="V2017" s="148" t="str">
        <f>IFERROR(__xludf.DUMMYFUNCTION("""COMPUTED_VALUE"""),"[]")</f>
        <v>[]</v>
      </c>
      <c r="W2017" s="148">
        <f>IFERROR(__xludf.DUMMYFUNCTION("""COMPUTED_VALUE"""),1.174E7)</f>
        <v>11740000</v>
      </c>
      <c r="X2017" s="148">
        <f>IFERROR(__xludf.DUMMYFUNCTION("""COMPUTED_VALUE"""),0.0)</f>
        <v>0</v>
      </c>
      <c r="Y2017" s="148">
        <f>IFERROR(__xludf.DUMMYFUNCTION("""COMPUTED_VALUE"""),0.0)</f>
        <v>0</v>
      </c>
      <c r="Z2017" s="148"/>
    </row>
    <row r="2018">
      <c r="A2018" s="148">
        <f>IFERROR(__xludf.DUMMYFUNCTION("""COMPUTED_VALUE"""),1.1118647E7)</f>
        <v>11118647</v>
      </c>
      <c r="B2018" s="148" t="str">
        <f>IFERROR(__xludf.DUMMYFUNCTION("""COMPUTED_VALUE"""),"头像框：神奇矿工-1天")</f>
        <v>头像框：神奇矿工-1天</v>
      </c>
      <c r="C2018" s="148"/>
      <c r="D2018" s="148" t="str">
        <f>IFERROR(__xludf.DUMMYFUNCTION("""COMPUTED_VALUE"""),"avatar_frame")</f>
        <v>avatar_frame</v>
      </c>
      <c r="E2018" s="148">
        <f>IFERROR(__xludf.DUMMYFUNCTION("""COMPUTED_VALUE"""),20.0)</f>
        <v>20</v>
      </c>
      <c r="F2018" s="148">
        <f>IFERROR(__xludf.DUMMYFUNCTION("""COMPUTED_VALUE"""),0.0)</f>
        <v>0</v>
      </c>
      <c r="G2018" s="148">
        <f>IFERROR(__xludf.DUMMYFUNCTION("""COMPUTED_VALUE"""),1.5117171E7)</f>
        <v>15117171</v>
      </c>
      <c r="H2018" s="148">
        <f>IFERROR(__xludf.DUMMYFUNCTION("""COMPUTED_VALUE"""),1.5112563E7)</f>
        <v>15112563</v>
      </c>
      <c r="I2018" s="148" t="str">
        <f>IFERROR(__xludf.DUMMYFUNCTION("""COMPUTED_VALUE"""),"{""typ"":""lc"",""txt"":""LC_ITEM_time_day_upper_show"",""args"":[{""typ"":""int"",""val"":1}]}")</f>
        <v>{"typ":"lc","txt":"LC_ITEM_time_day_upper_show","args":[{"typ":"int","val":1}]}</v>
      </c>
      <c r="J2018" s="148" t="str">
        <f>IFERROR(__xludf.DUMMYFUNCTION("""COMPUTED_VALUE"""),"{""typ"":""lc"",""txt"":""LC_ASSET_avatar_frame_name_32_limit_1d""}")</f>
        <v>{"typ":"lc","txt":"LC_ASSET_avatar_frame_name_32_limit_1d"}</v>
      </c>
      <c r="K2018" s="148" t="str">
        <f>IFERROR(__xludf.DUMMYFUNCTION("""COMPUTED_VALUE"""),"{""typ"":""lc"",""txt"":""LC_ASSET_avatar_frame_name_32_limit_1d""}")</f>
        <v>{"typ":"lc","txt":"LC_ASSET_avatar_frame_name_32_limit_1d"}</v>
      </c>
      <c r="L2018" s="148" t="str">
        <f>IFERROR(__xludf.DUMMYFUNCTION("""COMPUTED_VALUE"""),"{}")</f>
        <v>{}</v>
      </c>
      <c r="M2018" s="148">
        <f>IFERROR(__xludf.DUMMYFUNCTION("""COMPUTED_VALUE"""),1000.0)</f>
        <v>1000</v>
      </c>
      <c r="N2018" s="148">
        <f>IFERROR(__xludf.DUMMYFUNCTION("""COMPUTED_VALUE"""),99.0)</f>
        <v>99</v>
      </c>
      <c r="O2018" s="148">
        <f>IFERROR(__xludf.DUMMYFUNCTION("""COMPUTED_VALUE"""),1.0)</f>
        <v>1</v>
      </c>
      <c r="P2018" s="148">
        <f>IFERROR(__xludf.DUMMYFUNCTION("""COMPUTED_VALUE"""),1.0)</f>
        <v>1</v>
      </c>
      <c r="Q2018" s="148" t="str">
        <f>IFERROR(__xludf.DUMMYFUNCTION("""COMPUTED_VALUE"""),"[]")</f>
        <v>[]</v>
      </c>
      <c r="R2018" s="148" t="str">
        <f>IFERROR(__xludf.DUMMYFUNCTION("""COMPUTED_VALUE"""),"[""11421032""]")</f>
        <v>["11421032"]</v>
      </c>
      <c r="S2018" s="148" t="str">
        <f>IFERROR(__xludf.DUMMYFUNCTION("""COMPUTED_VALUE"""),"{""effect"":[{""typ"":""avatar_frame"",""id"":11421032,""val"":86400000}]}")</f>
        <v>{"effect":[{"typ":"avatar_frame","id":11421032,"val":86400000}]}</v>
      </c>
      <c r="T2018" s="148">
        <f>IFERROR(__xludf.DUMMYFUNCTION("""COMPUTED_VALUE"""),-1.0)</f>
        <v>-1</v>
      </c>
      <c r="U2018" s="148">
        <f>IFERROR(__xludf.DUMMYFUNCTION("""COMPUTED_VALUE"""),1.0)</f>
        <v>1</v>
      </c>
      <c r="V2018" s="148" t="str">
        <f>IFERROR(__xludf.DUMMYFUNCTION("""COMPUTED_VALUE"""),"[]")</f>
        <v>[]</v>
      </c>
      <c r="W2018" s="148">
        <f>IFERROR(__xludf.DUMMYFUNCTION("""COMPUTED_VALUE"""),1.174E7)</f>
        <v>11740000</v>
      </c>
      <c r="X2018" s="148">
        <f>IFERROR(__xludf.DUMMYFUNCTION("""COMPUTED_VALUE"""),0.0)</f>
        <v>0</v>
      </c>
      <c r="Y2018" s="148">
        <f>IFERROR(__xludf.DUMMYFUNCTION("""COMPUTED_VALUE"""),0.0)</f>
        <v>0</v>
      </c>
      <c r="Z2018" s="148"/>
    </row>
    <row r="2019">
      <c r="A2019" s="148">
        <f>IFERROR(__xludf.DUMMYFUNCTION("""COMPUTED_VALUE"""),1.1118648E7)</f>
        <v>11118648</v>
      </c>
      <c r="B2019" s="148" t="str">
        <f>IFERROR(__xludf.DUMMYFUNCTION("""COMPUTED_VALUE"""),"铭牌-劳动光荣-14天")</f>
        <v>铭牌-劳动光荣-14天</v>
      </c>
      <c r="C2019" s="148"/>
      <c r="D2019" s="148" t="str">
        <f>IFERROR(__xludf.DUMMYFUNCTION("""COMPUTED_VALUE"""),"chat_skin")</f>
        <v>chat_skin</v>
      </c>
      <c r="E2019" s="148">
        <f>IFERROR(__xludf.DUMMYFUNCTION("""COMPUTED_VALUE"""),30.0)</f>
        <v>30</v>
      </c>
      <c r="F2019" s="148">
        <f>IFERROR(__xludf.DUMMYFUNCTION("""COMPUTED_VALUE"""),404299.0)</f>
        <v>404299</v>
      </c>
      <c r="G2019" s="148">
        <f>IFERROR(__xludf.DUMMYFUNCTION("""COMPUTED_VALUE"""),1.5117173E7)</f>
        <v>15117173</v>
      </c>
      <c r="H2019" s="148">
        <f>IFERROR(__xludf.DUMMYFUNCTION("""COMPUTED_VALUE"""),1.5112563E7)</f>
        <v>15112563</v>
      </c>
      <c r="I2019" s="148" t="str">
        <f>IFERROR(__xludf.DUMMYFUNCTION("""COMPUTED_VALUE"""),"{""typ"":""lc"",""txt"":""LC_ITEM_time_day_upper_show"",""args"":[{""typ"":""int"",""val"":14}]}")</f>
        <v>{"typ":"lc","txt":"LC_ITEM_time_day_upper_show","args":[{"typ":"int","val":14}]}</v>
      </c>
      <c r="J2019" s="148" t="str">
        <f>IFERROR(__xludf.DUMMYFUNCTION("""COMPUTED_VALUE"""),"{""typ"":""lc"",""txt"":""LC_ITEM_metro_actv_namepla_name_limit_14d""}")</f>
        <v>{"typ":"lc","txt":"LC_ITEM_metro_actv_namepla_name_limit_14d"}</v>
      </c>
      <c r="K2019" s="148" t="str">
        <f>IFERROR(__xludf.DUMMYFUNCTION("""COMPUTED_VALUE"""),"{""typ"":""lc"",""txt"":""LC_ITEM_metro_actv_namepla_desc_item""}")</f>
        <v>{"typ":"lc","txt":"LC_ITEM_metro_actv_namepla_desc_item"}</v>
      </c>
      <c r="L2019" s="148" t="str">
        <f>IFERROR(__xludf.DUMMYFUNCTION("""COMPUTED_VALUE"""),"{""typ"":""lc"",""txt"":""LC_ITEM_season_extra_reward_usedtip""}")</f>
        <v>{"typ":"lc","txt":"LC_ITEM_season_extra_reward_usedtip"}</v>
      </c>
      <c r="M2019" s="148">
        <f>IFERROR(__xludf.DUMMYFUNCTION("""COMPUTED_VALUE"""),250.0)</f>
        <v>250</v>
      </c>
      <c r="N2019" s="148">
        <f>IFERROR(__xludf.DUMMYFUNCTION("""COMPUTED_VALUE"""),9999999.0)</f>
        <v>9999999</v>
      </c>
      <c r="O2019" s="148">
        <f>IFERROR(__xludf.DUMMYFUNCTION("""COMPUTED_VALUE"""),1.0)</f>
        <v>1</v>
      </c>
      <c r="P2019" s="148">
        <f>IFERROR(__xludf.DUMMYFUNCTION("""COMPUTED_VALUE"""),1.0)</f>
        <v>1</v>
      </c>
      <c r="Q2019" s="148" t="str">
        <f>IFERROR(__xludf.DUMMYFUNCTION("""COMPUTED_VALUE"""),"[""bag_other""]")</f>
        <v>["bag_other"]</v>
      </c>
      <c r="R2019" s="148" t="str">
        <f>IFERROR(__xludf.DUMMYFUNCTION("""COMPUTED_VALUE"""),"[""11731013"",""bag""]")</f>
        <v>["11731013","bag"]</v>
      </c>
      <c r="S2019" s="148" t="str">
        <f>IFERROR(__xludf.DUMMYFUNCTION("""COMPUTED_VALUE"""),"{""effect"":[{""typ"":""nameplate"",""id"":11731013,""val"":1209600000}]}")</f>
        <v>{"effect":[{"typ":"nameplate","id":11731013,"val":1209600000}]}</v>
      </c>
      <c r="T2019" s="148">
        <f>IFERROR(__xludf.DUMMYFUNCTION("""COMPUTED_VALUE"""),-1.0)</f>
        <v>-1</v>
      </c>
      <c r="U2019" s="148">
        <f>IFERROR(__xludf.DUMMYFUNCTION("""COMPUTED_VALUE"""),0.0)</f>
        <v>0</v>
      </c>
      <c r="V2019" s="148" t="str">
        <f>IFERROR(__xludf.DUMMYFUNCTION("""COMPUTED_VALUE"""),"[]")</f>
        <v>[]</v>
      </c>
      <c r="W2019" s="148">
        <f>IFERROR(__xludf.DUMMYFUNCTION("""COMPUTED_VALUE"""),1.174E7)</f>
        <v>11740000</v>
      </c>
      <c r="X2019" s="148">
        <f>IFERROR(__xludf.DUMMYFUNCTION("""COMPUTED_VALUE"""),0.0)</f>
        <v>0</v>
      </c>
      <c r="Y2019" s="148">
        <f>IFERROR(__xludf.DUMMYFUNCTION("""COMPUTED_VALUE"""),0.0)</f>
        <v>0</v>
      </c>
      <c r="Z2019" s="148"/>
    </row>
    <row r="2020">
      <c r="A2020" s="148">
        <f>IFERROR(__xludf.DUMMYFUNCTION("""COMPUTED_VALUE"""),1.1118649E7)</f>
        <v>11118649</v>
      </c>
      <c r="B2020" s="148" t="str">
        <f>IFERROR(__xludf.DUMMYFUNCTION("""COMPUTED_VALUE"""),"铭牌-劳动光荣-7天")</f>
        <v>铭牌-劳动光荣-7天</v>
      </c>
      <c r="C2020" s="148"/>
      <c r="D2020" s="148" t="str">
        <f>IFERROR(__xludf.DUMMYFUNCTION("""COMPUTED_VALUE"""),"chat_skin")</f>
        <v>chat_skin</v>
      </c>
      <c r="E2020" s="148">
        <f>IFERROR(__xludf.DUMMYFUNCTION("""COMPUTED_VALUE"""),30.0)</f>
        <v>30</v>
      </c>
      <c r="F2020" s="148">
        <f>IFERROR(__xludf.DUMMYFUNCTION("""COMPUTED_VALUE"""),404299.0)</f>
        <v>404299</v>
      </c>
      <c r="G2020" s="148">
        <f>IFERROR(__xludf.DUMMYFUNCTION("""COMPUTED_VALUE"""),1.5117173E7)</f>
        <v>15117173</v>
      </c>
      <c r="H2020" s="148">
        <f>IFERROR(__xludf.DUMMYFUNCTION("""COMPUTED_VALUE"""),1.5112563E7)</f>
        <v>15112563</v>
      </c>
      <c r="I2020" s="148" t="str">
        <f>IFERROR(__xludf.DUMMYFUNCTION("""COMPUTED_VALUE"""),"{""typ"":""lc"",""txt"":""LC_ITEM_time_day_upper_show"",""args"":[{""typ"":""int"",""val"":7}]}")</f>
        <v>{"typ":"lc","txt":"LC_ITEM_time_day_upper_show","args":[{"typ":"int","val":7}]}</v>
      </c>
      <c r="J2020" s="148" t="str">
        <f>IFERROR(__xludf.DUMMYFUNCTION("""COMPUTED_VALUE"""),"{""typ"":""lc"",""txt"":""LC_ITEM_metro_actv_namepla_name_limit_7d""}")</f>
        <v>{"typ":"lc","txt":"LC_ITEM_metro_actv_namepla_name_limit_7d"}</v>
      </c>
      <c r="K2020" s="148" t="str">
        <f>IFERROR(__xludf.DUMMYFUNCTION("""COMPUTED_VALUE"""),"{""typ"":""lc"",""txt"":""LC_ITEM_metro_actv_namepla_desc_item""}")</f>
        <v>{"typ":"lc","txt":"LC_ITEM_metro_actv_namepla_desc_item"}</v>
      </c>
      <c r="L2020" s="148" t="str">
        <f>IFERROR(__xludf.DUMMYFUNCTION("""COMPUTED_VALUE"""),"{""typ"":""lc"",""txt"":""LC_ITEM_season_extra_reward_usedtip""}")</f>
        <v>{"typ":"lc","txt":"LC_ITEM_season_extra_reward_usedtip"}</v>
      </c>
      <c r="M2020" s="148">
        <f>IFERROR(__xludf.DUMMYFUNCTION("""COMPUTED_VALUE"""),250.0)</f>
        <v>250</v>
      </c>
      <c r="N2020" s="148">
        <f>IFERROR(__xludf.DUMMYFUNCTION("""COMPUTED_VALUE"""),9999999.0)</f>
        <v>9999999</v>
      </c>
      <c r="O2020" s="148">
        <f>IFERROR(__xludf.DUMMYFUNCTION("""COMPUTED_VALUE"""),1.0)</f>
        <v>1</v>
      </c>
      <c r="P2020" s="148">
        <f>IFERROR(__xludf.DUMMYFUNCTION("""COMPUTED_VALUE"""),1.0)</f>
        <v>1</v>
      </c>
      <c r="Q2020" s="148" t="str">
        <f>IFERROR(__xludf.DUMMYFUNCTION("""COMPUTED_VALUE"""),"[""bag_other""]")</f>
        <v>["bag_other"]</v>
      </c>
      <c r="R2020" s="148" t="str">
        <f>IFERROR(__xludf.DUMMYFUNCTION("""COMPUTED_VALUE"""),"[""11731013"",""bag""]")</f>
        <v>["11731013","bag"]</v>
      </c>
      <c r="S2020" s="148" t="str">
        <f>IFERROR(__xludf.DUMMYFUNCTION("""COMPUTED_VALUE"""),"{""effect"":[{""typ"":""nameplate"",""id"":11731013,""val"":604800000}]}")</f>
        <v>{"effect":[{"typ":"nameplate","id":11731013,"val":604800000}]}</v>
      </c>
      <c r="T2020" s="148">
        <f>IFERROR(__xludf.DUMMYFUNCTION("""COMPUTED_VALUE"""),-1.0)</f>
        <v>-1</v>
      </c>
      <c r="U2020" s="148">
        <f>IFERROR(__xludf.DUMMYFUNCTION("""COMPUTED_VALUE"""),0.0)</f>
        <v>0</v>
      </c>
      <c r="V2020" s="148" t="str">
        <f>IFERROR(__xludf.DUMMYFUNCTION("""COMPUTED_VALUE"""),"[]")</f>
        <v>[]</v>
      </c>
      <c r="W2020" s="148">
        <f>IFERROR(__xludf.DUMMYFUNCTION("""COMPUTED_VALUE"""),1.174E7)</f>
        <v>11740000</v>
      </c>
      <c r="X2020" s="148">
        <f>IFERROR(__xludf.DUMMYFUNCTION("""COMPUTED_VALUE"""),0.0)</f>
        <v>0</v>
      </c>
      <c r="Y2020" s="148">
        <f>IFERROR(__xludf.DUMMYFUNCTION("""COMPUTED_VALUE"""),0.0)</f>
        <v>0</v>
      </c>
      <c r="Z2020" s="148"/>
    </row>
    <row r="2021">
      <c r="A2021" s="148">
        <f>IFERROR(__xludf.DUMMYFUNCTION("""COMPUTED_VALUE"""),1.111865E7)</f>
        <v>11118650</v>
      </c>
      <c r="B2021" s="148" t="str">
        <f>IFERROR(__xludf.DUMMYFUNCTION("""COMPUTED_VALUE"""),"铭牌-劳动光荣-3天")</f>
        <v>铭牌-劳动光荣-3天</v>
      </c>
      <c r="C2021" s="148"/>
      <c r="D2021" s="148" t="str">
        <f>IFERROR(__xludf.DUMMYFUNCTION("""COMPUTED_VALUE"""),"chat_skin")</f>
        <v>chat_skin</v>
      </c>
      <c r="E2021" s="148">
        <f>IFERROR(__xludf.DUMMYFUNCTION("""COMPUTED_VALUE"""),30.0)</f>
        <v>30</v>
      </c>
      <c r="F2021" s="148">
        <f>IFERROR(__xludf.DUMMYFUNCTION("""COMPUTED_VALUE"""),404299.0)</f>
        <v>404299</v>
      </c>
      <c r="G2021" s="148">
        <f>IFERROR(__xludf.DUMMYFUNCTION("""COMPUTED_VALUE"""),1.5117173E7)</f>
        <v>15117173</v>
      </c>
      <c r="H2021" s="148">
        <f>IFERROR(__xludf.DUMMYFUNCTION("""COMPUTED_VALUE"""),1.5112563E7)</f>
        <v>15112563</v>
      </c>
      <c r="I2021" s="148" t="str">
        <f>IFERROR(__xludf.DUMMYFUNCTION("""COMPUTED_VALUE"""),"{""typ"":""lc"",""txt"":""LC_ITEM_time_day_upper_show"",""args"":[{""typ"":""int"",""val"":3}]}")</f>
        <v>{"typ":"lc","txt":"LC_ITEM_time_day_upper_show","args":[{"typ":"int","val":3}]}</v>
      </c>
      <c r="J2021" s="148" t="str">
        <f>IFERROR(__xludf.DUMMYFUNCTION("""COMPUTED_VALUE"""),"{""typ"":""lc"",""txt"":""LC_ITEM_metro_actv_namepla_name_limit_3d""}")</f>
        <v>{"typ":"lc","txt":"LC_ITEM_metro_actv_namepla_name_limit_3d"}</v>
      </c>
      <c r="K2021" s="148" t="str">
        <f>IFERROR(__xludf.DUMMYFUNCTION("""COMPUTED_VALUE"""),"{""typ"":""lc"",""txt"":""LC_ITEM_metro_actv_namepla_desc_item""}")</f>
        <v>{"typ":"lc","txt":"LC_ITEM_metro_actv_namepla_desc_item"}</v>
      </c>
      <c r="L2021" s="148" t="str">
        <f>IFERROR(__xludf.DUMMYFUNCTION("""COMPUTED_VALUE"""),"{""typ"":""lc"",""txt"":""LC_ITEM_season_extra_reward_usedtip""}")</f>
        <v>{"typ":"lc","txt":"LC_ITEM_season_extra_reward_usedtip"}</v>
      </c>
      <c r="M2021" s="148">
        <f>IFERROR(__xludf.DUMMYFUNCTION("""COMPUTED_VALUE"""),250.0)</f>
        <v>250</v>
      </c>
      <c r="N2021" s="148">
        <f>IFERROR(__xludf.DUMMYFUNCTION("""COMPUTED_VALUE"""),9999999.0)</f>
        <v>9999999</v>
      </c>
      <c r="O2021" s="148">
        <f>IFERROR(__xludf.DUMMYFUNCTION("""COMPUTED_VALUE"""),1.0)</f>
        <v>1</v>
      </c>
      <c r="P2021" s="148">
        <f>IFERROR(__xludf.DUMMYFUNCTION("""COMPUTED_VALUE"""),1.0)</f>
        <v>1</v>
      </c>
      <c r="Q2021" s="148" t="str">
        <f>IFERROR(__xludf.DUMMYFUNCTION("""COMPUTED_VALUE"""),"[""bag_other""]")</f>
        <v>["bag_other"]</v>
      </c>
      <c r="R2021" s="148" t="str">
        <f>IFERROR(__xludf.DUMMYFUNCTION("""COMPUTED_VALUE"""),"[""11731013"",""bag""]")</f>
        <v>["11731013","bag"]</v>
      </c>
      <c r="S2021" s="148" t="str">
        <f>IFERROR(__xludf.DUMMYFUNCTION("""COMPUTED_VALUE"""),"{""effect"":[{""typ"":""nameplate"",""id"":11731013,""val"":259200000}]}")</f>
        <v>{"effect":[{"typ":"nameplate","id":11731013,"val":259200000}]}</v>
      </c>
      <c r="T2021" s="148">
        <f>IFERROR(__xludf.DUMMYFUNCTION("""COMPUTED_VALUE"""),-1.0)</f>
        <v>-1</v>
      </c>
      <c r="U2021" s="148">
        <f>IFERROR(__xludf.DUMMYFUNCTION("""COMPUTED_VALUE"""),0.0)</f>
        <v>0</v>
      </c>
      <c r="V2021" s="148" t="str">
        <f>IFERROR(__xludf.DUMMYFUNCTION("""COMPUTED_VALUE"""),"[]")</f>
        <v>[]</v>
      </c>
      <c r="W2021" s="148">
        <f>IFERROR(__xludf.DUMMYFUNCTION("""COMPUTED_VALUE"""),1.174E7)</f>
        <v>11740000</v>
      </c>
      <c r="X2021" s="148">
        <f>IFERROR(__xludf.DUMMYFUNCTION("""COMPUTED_VALUE"""),0.0)</f>
        <v>0</v>
      </c>
      <c r="Y2021" s="148">
        <f>IFERROR(__xludf.DUMMYFUNCTION("""COMPUTED_VALUE"""),0.0)</f>
        <v>0</v>
      </c>
      <c r="Z2021" s="148"/>
    </row>
    <row r="2022">
      <c r="A2022" s="148">
        <f>IFERROR(__xludf.DUMMYFUNCTION("""COMPUTED_VALUE"""),1.1118651E7)</f>
        <v>11118651</v>
      </c>
      <c r="B2022" s="148" t="str">
        <f>IFERROR(__xludf.DUMMYFUNCTION("""COMPUTED_VALUE"""),"铭牌-劳动光荣-1天")</f>
        <v>铭牌-劳动光荣-1天</v>
      </c>
      <c r="C2022" s="148"/>
      <c r="D2022" s="148" t="str">
        <f>IFERROR(__xludf.DUMMYFUNCTION("""COMPUTED_VALUE"""),"chat_skin")</f>
        <v>chat_skin</v>
      </c>
      <c r="E2022" s="148">
        <f>IFERROR(__xludf.DUMMYFUNCTION("""COMPUTED_VALUE"""),30.0)</f>
        <v>30</v>
      </c>
      <c r="F2022" s="148">
        <f>IFERROR(__xludf.DUMMYFUNCTION("""COMPUTED_VALUE"""),404299.0)</f>
        <v>404299</v>
      </c>
      <c r="G2022" s="148">
        <f>IFERROR(__xludf.DUMMYFUNCTION("""COMPUTED_VALUE"""),1.5117173E7)</f>
        <v>15117173</v>
      </c>
      <c r="H2022" s="148">
        <f>IFERROR(__xludf.DUMMYFUNCTION("""COMPUTED_VALUE"""),1.5112563E7)</f>
        <v>15112563</v>
      </c>
      <c r="I2022" s="148" t="str">
        <f>IFERROR(__xludf.DUMMYFUNCTION("""COMPUTED_VALUE"""),"{""typ"":""lc"",""txt"":""LC_ITEM_time_day_upper_show"",""args"":[{""typ"":""int"",""val"":1}]}")</f>
        <v>{"typ":"lc","txt":"LC_ITEM_time_day_upper_show","args":[{"typ":"int","val":1}]}</v>
      </c>
      <c r="J2022" s="148" t="str">
        <f>IFERROR(__xludf.DUMMYFUNCTION("""COMPUTED_VALUE"""),"{""typ"":""lc"",""txt"":""LC_ITEM_metro_actv_namepla_name_limit_1d""}")</f>
        <v>{"typ":"lc","txt":"LC_ITEM_metro_actv_namepla_name_limit_1d"}</v>
      </c>
      <c r="K2022" s="148" t="str">
        <f>IFERROR(__xludf.DUMMYFUNCTION("""COMPUTED_VALUE"""),"{""typ"":""lc"",""txt"":""LC_ITEM_metro_actv_namepla_desc_item""}")</f>
        <v>{"typ":"lc","txt":"LC_ITEM_metro_actv_namepla_desc_item"}</v>
      </c>
      <c r="L2022" s="148" t="str">
        <f>IFERROR(__xludf.DUMMYFUNCTION("""COMPUTED_VALUE"""),"{""typ"":""lc"",""txt"":""LC_ITEM_season_extra_reward_usedtip""}")</f>
        <v>{"typ":"lc","txt":"LC_ITEM_season_extra_reward_usedtip"}</v>
      </c>
      <c r="M2022" s="148">
        <f>IFERROR(__xludf.DUMMYFUNCTION("""COMPUTED_VALUE"""),250.0)</f>
        <v>250</v>
      </c>
      <c r="N2022" s="148">
        <f>IFERROR(__xludf.DUMMYFUNCTION("""COMPUTED_VALUE"""),9999999.0)</f>
        <v>9999999</v>
      </c>
      <c r="O2022" s="148">
        <f>IFERROR(__xludf.DUMMYFUNCTION("""COMPUTED_VALUE"""),1.0)</f>
        <v>1</v>
      </c>
      <c r="P2022" s="148">
        <f>IFERROR(__xludf.DUMMYFUNCTION("""COMPUTED_VALUE"""),1.0)</f>
        <v>1</v>
      </c>
      <c r="Q2022" s="148" t="str">
        <f>IFERROR(__xludf.DUMMYFUNCTION("""COMPUTED_VALUE"""),"[""bag_other""]")</f>
        <v>["bag_other"]</v>
      </c>
      <c r="R2022" s="148" t="str">
        <f>IFERROR(__xludf.DUMMYFUNCTION("""COMPUTED_VALUE"""),"[""11731013"",""bag""]")</f>
        <v>["11731013","bag"]</v>
      </c>
      <c r="S2022" s="148" t="str">
        <f>IFERROR(__xludf.DUMMYFUNCTION("""COMPUTED_VALUE"""),"{""effect"":[{""typ"":""nameplate"",""id"":11731013,""val"":86400000}]}")</f>
        <v>{"effect":[{"typ":"nameplate","id":11731013,"val":86400000}]}</v>
      </c>
      <c r="T2022" s="148">
        <f>IFERROR(__xludf.DUMMYFUNCTION("""COMPUTED_VALUE"""),-1.0)</f>
        <v>-1</v>
      </c>
      <c r="U2022" s="148">
        <f>IFERROR(__xludf.DUMMYFUNCTION("""COMPUTED_VALUE"""),0.0)</f>
        <v>0</v>
      </c>
      <c r="V2022" s="148" t="str">
        <f>IFERROR(__xludf.DUMMYFUNCTION("""COMPUTED_VALUE"""),"[]")</f>
        <v>[]</v>
      </c>
      <c r="W2022" s="148">
        <f>IFERROR(__xludf.DUMMYFUNCTION("""COMPUTED_VALUE"""),1.174E7)</f>
        <v>11740000</v>
      </c>
      <c r="X2022" s="148">
        <f>IFERROR(__xludf.DUMMYFUNCTION("""COMPUTED_VALUE"""),0.0)</f>
        <v>0</v>
      </c>
      <c r="Y2022" s="148">
        <f>IFERROR(__xludf.DUMMYFUNCTION("""COMPUTED_VALUE"""),0.0)</f>
        <v>0</v>
      </c>
      <c r="Z2022" s="148"/>
    </row>
    <row r="2023">
      <c r="A2023" s="148">
        <f>IFERROR(__xludf.DUMMYFUNCTION("""COMPUTED_VALUE"""),1.1118652E7)</f>
        <v>11118652</v>
      </c>
      <c r="B2023" s="148" t="str">
        <f>IFERROR(__xludf.DUMMYFUNCTION("""COMPUTED_VALUE"""),"2023登月节-7日活动宝箱")</f>
        <v>2023登月节-7日活动宝箱</v>
      </c>
      <c r="C2023" s="148"/>
      <c r="D2023" s="148" t="str">
        <f>IFERROR(__xludf.DUMMYFUNCTION("""COMPUTED_VALUE"""),"item_asset")</f>
        <v>item_asset</v>
      </c>
      <c r="E2023" s="148">
        <f>IFERROR(__xludf.DUMMYFUNCTION("""COMPUTED_VALUE"""),19.0)</f>
        <v>19</v>
      </c>
      <c r="F2023" s="148">
        <f>IFERROR(__xludf.DUMMYFUNCTION("""COMPUTED_VALUE"""),201101.0)</f>
        <v>201101</v>
      </c>
      <c r="G2023" s="148">
        <f>IFERROR(__xludf.DUMMYFUNCTION("""COMPUTED_VALUE"""),1.5117141E7)</f>
        <v>15117141</v>
      </c>
      <c r="H2023" s="148">
        <f>IFERROR(__xludf.DUMMYFUNCTION("""COMPUTED_VALUE"""),1.5112564E7)</f>
        <v>15112564</v>
      </c>
      <c r="I2023" s="148" t="str">
        <f>IFERROR(__xludf.DUMMYFUNCTION("""COMPUTED_VALUE"""),"{}")</f>
        <v>{}</v>
      </c>
      <c r="J2023" s="148" t="str">
        <f>IFERROR(__xludf.DUMMYFUNCTION("""COMPUTED_VALUE"""),"{""typ"":""lc"",""txt"":""LC_ITEM_seven_day_box_name""}")</f>
        <v>{"typ":"lc","txt":"LC_ITEM_seven_day_box_name"}</v>
      </c>
      <c r="K2023" s="148" t="str">
        <f>IFERROR(__xludf.DUMMYFUNCTION("""COMPUTED_VALUE"""),"{""typ"":""lc"",""txt"":""LC_ITEM_seven_day_box_desc""}")</f>
        <v>{"typ":"lc","txt":"LC_ITEM_seven_day_box_desc"}</v>
      </c>
      <c r="L2023" s="148" t="str">
        <f>IFERROR(__xludf.DUMMYFUNCTION("""COMPUTED_VALUE"""),"{""typ"":""lc"",""txt"":""LC_ITEM_horde_elite_box_usedtip""}")</f>
        <v>{"typ":"lc","txt":"LC_ITEM_horde_elite_box_usedtip"}</v>
      </c>
      <c r="M2023" s="148">
        <f>IFERROR(__xludf.DUMMYFUNCTION("""COMPUTED_VALUE"""),40.0)</f>
        <v>40</v>
      </c>
      <c r="N2023" s="148">
        <f>IFERROR(__xludf.DUMMYFUNCTION("""COMPUTED_VALUE"""),999999.0)</f>
        <v>999999</v>
      </c>
      <c r="O2023" s="148">
        <f>IFERROR(__xludf.DUMMYFUNCTION("""COMPUTED_VALUE"""),99999.0)</f>
        <v>99999</v>
      </c>
      <c r="P2023" s="148">
        <f>IFERROR(__xludf.DUMMYFUNCTION("""COMPUTED_VALUE"""),99999.0)</f>
        <v>99999</v>
      </c>
      <c r="Q2023" s="148" t="str">
        <f>IFERROR(__xludf.DUMMYFUNCTION("""COMPUTED_VALUE"""),"[]")</f>
        <v>[]</v>
      </c>
      <c r="R2023" s="148" t="str">
        <f>IFERROR(__xludf.DUMMYFUNCTION("""COMPUTED_VALUE"""),"[""bag""]")</f>
        <v>["bag"]</v>
      </c>
      <c r="S2023"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2023" s="148">
        <f>IFERROR(__xludf.DUMMYFUNCTION("""COMPUTED_VALUE"""),-1.0)</f>
        <v>-1</v>
      </c>
      <c r="U2023" s="148">
        <f>IFERROR(__xludf.DUMMYFUNCTION("""COMPUTED_VALUE"""),1.0)</f>
        <v>1</v>
      </c>
      <c r="V2023" s="148" t="str">
        <f>IFERROR(__xludf.DUMMYFUNCTION("""COMPUTED_VALUE"""),"[]")</f>
        <v>[]</v>
      </c>
      <c r="W2023" s="148">
        <f>IFERROR(__xludf.DUMMYFUNCTION("""COMPUTED_VALUE"""),1.174E7)</f>
        <v>11740000</v>
      </c>
      <c r="X2023" s="148">
        <f>IFERROR(__xludf.DUMMYFUNCTION("""COMPUTED_VALUE"""),0.0)</f>
        <v>0</v>
      </c>
      <c r="Y2023" s="148">
        <f>IFERROR(__xludf.DUMMYFUNCTION("""COMPUTED_VALUE"""),0.0)</f>
        <v>0</v>
      </c>
      <c r="Z2023" s="148"/>
    </row>
    <row r="2024">
      <c r="A2024" s="148">
        <f>IFERROR(__xludf.DUMMYFUNCTION("""COMPUTED_VALUE"""),1.1118653E7)</f>
        <v>11118653</v>
      </c>
      <c r="B2024" s="148" t="str">
        <f>IFERROR(__xludf.DUMMYFUNCTION("""COMPUTED_VALUE"""),"2023登月节活动专用-增加次数道具")</f>
        <v>2023登月节活动专用-增加次数道具</v>
      </c>
      <c r="C2024" s="148"/>
      <c r="D2024" s="148" t="str">
        <f>IFERROR(__xludf.DUMMYFUNCTION("""COMPUTED_VALUE"""),"event_progress")</f>
        <v>event_progress</v>
      </c>
      <c r="E2024" s="148">
        <f>IFERROR(__xludf.DUMMYFUNCTION("""COMPUTED_VALUE"""),0.0)</f>
        <v>0</v>
      </c>
      <c r="F2024" s="148">
        <f>IFERROR(__xludf.DUMMYFUNCTION("""COMPUTED_VALUE"""),0.0)</f>
        <v>0</v>
      </c>
      <c r="G2024" s="148">
        <f>IFERROR(__xludf.DUMMYFUNCTION("""COMPUTED_VALUE"""),1.5113732E7)</f>
        <v>15113732</v>
      </c>
      <c r="H2024" s="148">
        <f>IFERROR(__xludf.DUMMYFUNCTION("""COMPUTED_VALUE"""),1.5112563E7)</f>
        <v>15112563</v>
      </c>
      <c r="I2024" s="148" t="str">
        <f>IFERROR(__xludf.DUMMYFUNCTION("""COMPUTED_VALUE"""),"{}")</f>
        <v>{}</v>
      </c>
      <c r="J2024" s="148" t="str">
        <f>IFERROR(__xludf.DUMMYFUNCTION("""COMPUTED_VALUE"""),"{}")</f>
        <v>{}</v>
      </c>
      <c r="K2024" s="148" t="str">
        <f>IFERROR(__xludf.DUMMYFUNCTION("""COMPUTED_VALUE"""),"{}")</f>
        <v>{}</v>
      </c>
      <c r="L2024" s="148" t="str">
        <f>IFERROR(__xludf.DUMMYFUNCTION("""COMPUTED_VALUE"""),"{}")</f>
        <v>{}</v>
      </c>
      <c r="M2024" s="148">
        <f>IFERROR(__xludf.DUMMYFUNCTION("""COMPUTED_VALUE"""),1.0)</f>
        <v>1</v>
      </c>
      <c r="N2024" s="148">
        <f>IFERROR(__xludf.DUMMYFUNCTION("""COMPUTED_VALUE"""),999999.0)</f>
        <v>999999</v>
      </c>
      <c r="O2024" s="148">
        <f>IFERROR(__xludf.DUMMYFUNCTION("""COMPUTED_VALUE"""),99999.0)</f>
        <v>99999</v>
      </c>
      <c r="P2024" s="148">
        <f>IFERROR(__xludf.DUMMYFUNCTION("""COMPUTED_VALUE"""),9999.0)</f>
        <v>9999</v>
      </c>
      <c r="Q2024" s="148" t="str">
        <f>IFERROR(__xludf.DUMMYFUNCTION("""COMPUTED_VALUE"""),"[]")</f>
        <v>[]</v>
      </c>
      <c r="R2024" s="148" t="str">
        <f>IFERROR(__xludf.DUMMYFUNCTION("""COMPUTED_VALUE"""),"[]")</f>
        <v>[]</v>
      </c>
      <c r="S2024" s="148" t="str">
        <f>IFERROR(__xludf.DUMMYFUNCTION("""COMPUTED_VALUE"""),"{""effect"":[{""typ"":""event"",""id"":21121639},{""typ"":""miss_lost_reward""}]}")</f>
        <v>{"effect":[{"typ":"event","id":21121639},{"typ":"miss_lost_reward"}]}</v>
      </c>
      <c r="T2024" s="148">
        <f>IFERROR(__xludf.DUMMYFUNCTION("""COMPUTED_VALUE"""),-1.0)</f>
        <v>-1</v>
      </c>
      <c r="U2024" s="148">
        <f>IFERROR(__xludf.DUMMYFUNCTION("""COMPUTED_VALUE"""),1.0)</f>
        <v>1</v>
      </c>
      <c r="V2024" s="148" t="str">
        <f>IFERROR(__xludf.DUMMYFUNCTION("""COMPUTED_VALUE"""),"[]")</f>
        <v>[]</v>
      </c>
      <c r="W2024" s="148">
        <f>IFERROR(__xludf.DUMMYFUNCTION("""COMPUTED_VALUE"""),1.174E7)</f>
        <v>11740000</v>
      </c>
      <c r="X2024" s="148">
        <f>IFERROR(__xludf.DUMMYFUNCTION("""COMPUTED_VALUE"""),0.0)</f>
        <v>0</v>
      </c>
      <c r="Y2024" s="148">
        <f>IFERROR(__xludf.DUMMYFUNCTION("""COMPUTED_VALUE"""),0.0)</f>
        <v>0</v>
      </c>
      <c r="Z2024" s="148"/>
    </row>
    <row r="2025">
      <c r="A2025" s="148">
        <f>IFERROR(__xludf.DUMMYFUNCTION("""COMPUTED_VALUE"""),1.1118654E7)</f>
        <v>11118654</v>
      </c>
      <c r="B2025" s="148" t="str">
        <f>IFERROR(__xludf.DUMMYFUNCTION("""COMPUTED_VALUE"""),"2023登月节活动-解锁宝箱礼包钥匙")</f>
        <v>2023登月节活动-解锁宝箱礼包钥匙</v>
      </c>
      <c r="C2025" s="148"/>
      <c r="D2025" s="148" t="str">
        <f>IFERROR(__xludf.DUMMYFUNCTION("""COMPUTED_VALUE"""),"event")</f>
        <v>event</v>
      </c>
      <c r="E2025" s="148">
        <f>IFERROR(__xludf.DUMMYFUNCTION("""COMPUTED_VALUE"""),0.0)</f>
        <v>0</v>
      </c>
      <c r="F2025" s="148">
        <f>IFERROR(__xludf.DUMMYFUNCTION("""COMPUTED_VALUE"""),0.0)</f>
        <v>0</v>
      </c>
      <c r="G2025" s="148">
        <f>IFERROR(__xludf.DUMMYFUNCTION("""COMPUTED_VALUE"""),1.5117142E7)</f>
        <v>15117142</v>
      </c>
      <c r="H2025" s="148">
        <f>IFERROR(__xludf.DUMMYFUNCTION("""COMPUTED_VALUE"""),1.5112564E7)</f>
        <v>15112564</v>
      </c>
      <c r="I2025" s="148" t="str">
        <f>IFERROR(__xludf.DUMMYFUNCTION("""COMPUTED_VALUE"""),"{}")</f>
        <v>{}</v>
      </c>
      <c r="J2025" s="148" t="str">
        <f>IFERROR(__xludf.DUMMYFUNCTION("""COMPUTED_VALUE"""),"{""typ"":""lc"",""txt"":""LC_ITEM_seven_day_box_key_name""}")</f>
        <v>{"typ":"lc","txt":"LC_ITEM_seven_day_box_key_name"}</v>
      </c>
      <c r="K2025" s="148" t="str">
        <f>IFERROR(__xludf.DUMMYFUNCTION("""COMPUTED_VALUE"""),"{""typ"":""lc"",""txt"":""LC_ITEM_seven_day_box_key_desc""}")</f>
        <v>{"typ":"lc","txt":"LC_ITEM_seven_day_box_key_desc"}</v>
      </c>
      <c r="L2025" s="148" t="str">
        <f>IFERROR(__xludf.DUMMYFUNCTION("""COMPUTED_VALUE"""),"{}")</f>
        <v>{}</v>
      </c>
      <c r="M2025" s="148">
        <f>IFERROR(__xludf.DUMMYFUNCTION("""COMPUTED_VALUE"""),10.0)</f>
        <v>10</v>
      </c>
      <c r="N2025" s="148">
        <f>IFERROR(__xludf.DUMMYFUNCTION("""COMPUTED_VALUE"""),999999.0)</f>
        <v>999999</v>
      </c>
      <c r="O2025" s="148">
        <f>IFERROR(__xludf.DUMMYFUNCTION("""COMPUTED_VALUE"""),99999.0)</f>
        <v>99999</v>
      </c>
      <c r="P2025" s="148">
        <f>IFERROR(__xludf.DUMMYFUNCTION("""COMPUTED_VALUE"""),9999.0)</f>
        <v>9999</v>
      </c>
      <c r="Q2025" s="148" t="str">
        <f>IFERROR(__xludf.DUMMYFUNCTION("""COMPUTED_VALUE"""),"[""bag_other""]")</f>
        <v>["bag_other"]</v>
      </c>
      <c r="R2025" s="148" t="str">
        <f>IFERROR(__xludf.DUMMYFUNCTION("""COMPUTED_VALUE"""),"[]")</f>
        <v>[]</v>
      </c>
      <c r="S2025" s="148" t="str">
        <f>IFERROR(__xludf.DUMMYFUNCTION("""COMPUTED_VALUE"""),"{}")</f>
        <v>{}</v>
      </c>
      <c r="T2025" s="148">
        <f>IFERROR(__xludf.DUMMYFUNCTION("""COMPUTED_VALUE"""),-1.0)</f>
        <v>-1</v>
      </c>
      <c r="U2025" s="148">
        <f>IFERROR(__xludf.DUMMYFUNCTION("""COMPUTED_VALUE"""),0.0)</f>
        <v>0</v>
      </c>
      <c r="V2025" s="148" t="str">
        <f>IFERROR(__xludf.DUMMYFUNCTION("""COMPUTED_VALUE"""),"[]")</f>
        <v>[]</v>
      </c>
      <c r="W2025" s="148">
        <f>IFERROR(__xludf.DUMMYFUNCTION("""COMPUTED_VALUE"""),1.174E7)</f>
        <v>11740000</v>
      </c>
      <c r="X2025" s="148">
        <f>IFERROR(__xludf.DUMMYFUNCTION("""COMPUTED_VALUE"""),0.0)</f>
        <v>0</v>
      </c>
      <c r="Y2025" s="148">
        <f>IFERROR(__xludf.DUMMYFUNCTION("""COMPUTED_VALUE"""),0.0)</f>
        <v>0</v>
      </c>
      <c r="Z2025" s="148"/>
    </row>
    <row r="2026">
      <c r="A2026" s="148">
        <f>IFERROR(__xludf.DUMMYFUNCTION("""COMPUTED_VALUE"""),1.1118655E7)</f>
        <v>11118655</v>
      </c>
      <c r="B2026" s="148" t="str">
        <f>IFERROR(__xludf.DUMMYFUNCTION("""COMPUTED_VALUE"""),"2023登月节-7日活动宝箱-显示用")</f>
        <v>2023登月节-7日活动宝箱-显示用</v>
      </c>
      <c r="C2026" s="148"/>
      <c r="D2026" s="148" t="str">
        <f>IFERROR(__xludf.DUMMYFUNCTION("""COMPUTED_VALUE"""),"event")</f>
        <v>event</v>
      </c>
      <c r="E2026" s="148">
        <f>IFERROR(__xludf.DUMMYFUNCTION("""COMPUTED_VALUE"""),0.0)</f>
        <v>0</v>
      </c>
      <c r="F2026" s="148">
        <f>IFERROR(__xludf.DUMMYFUNCTION("""COMPUTED_VALUE"""),0.0)</f>
        <v>0</v>
      </c>
      <c r="G2026" s="148">
        <f>IFERROR(__xludf.DUMMYFUNCTION("""COMPUTED_VALUE"""),1.5117141E7)</f>
        <v>15117141</v>
      </c>
      <c r="H2026" s="148">
        <f>IFERROR(__xludf.DUMMYFUNCTION("""COMPUTED_VALUE"""),1.5112564E7)</f>
        <v>15112564</v>
      </c>
      <c r="I2026" s="148" t="str">
        <f>IFERROR(__xludf.DUMMYFUNCTION("""COMPUTED_VALUE"""),"{}")</f>
        <v>{}</v>
      </c>
      <c r="J2026" s="148" t="str">
        <f>IFERROR(__xludf.DUMMYFUNCTION("""COMPUTED_VALUE"""),"{""typ"":""lc"",""txt"":""LC_ITEM_seven_day_box_name""}")</f>
        <v>{"typ":"lc","txt":"LC_ITEM_seven_day_box_name"}</v>
      </c>
      <c r="K2026" s="148" t="str">
        <f>IFERROR(__xludf.DUMMYFUNCTION("""COMPUTED_VALUE"""),"{""typ"":""lc"",""txt"":""LC_ITEM_seven_day_box_desc""}")</f>
        <v>{"typ":"lc","txt":"LC_ITEM_seven_day_box_desc"}</v>
      </c>
      <c r="L2026" s="148" t="str">
        <f>IFERROR(__xludf.DUMMYFUNCTION("""COMPUTED_VALUE"""),"{}")</f>
        <v>{}</v>
      </c>
      <c r="M2026" s="148">
        <f>IFERROR(__xludf.DUMMYFUNCTION("""COMPUTED_VALUE"""),1.0)</f>
        <v>1</v>
      </c>
      <c r="N2026" s="148">
        <f>IFERROR(__xludf.DUMMYFUNCTION("""COMPUTED_VALUE"""),999999.0)</f>
        <v>999999</v>
      </c>
      <c r="O2026" s="148">
        <f>IFERROR(__xludf.DUMMYFUNCTION("""COMPUTED_VALUE"""),99999.0)</f>
        <v>99999</v>
      </c>
      <c r="P2026" s="148">
        <f>IFERROR(__xludf.DUMMYFUNCTION("""COMPUTED_VALUE"""),9999.0)</f>
        <v>9999</v>
      </c>
      <c r="Q2026" s="148" t="str">
        <f>IFERROR(__xludf.DUMMYFUNCTION("""COMPUTED_VALUE"""),"[]")</f>
        <v>[]</v>
      </c>
      <c r="R2026" s="148" t="str">
        <f>IFERROR(__xludf.DUMMYFUNCTION("""COMPUTED_VALUE"""),"[]")</f>
        <v>[]</v>
      </c>
      <c r="S2026" s="148" t="str">
        <f>IFERROR(__xludf.DUMMYFUNCTION("""COMPUTED_VALUE"""),"{""effect"":[{""typ"":""miss_lost_reward""}]}")</f>
        <v>{"effect":[{"typ":"miss_lost_reward"}]}</v>
      </c>
      <c r="T2026" s="148">
        <f>IFERROR(__xludf.DUMMYFUNCTION("""COMPUTED_VALUE"""),-1.0)</f>
        <v>-1</v>
      </c>
      <c r="U2026" s="148">
        <f>IFERROR(__xludf.DUMMYFUNCTION("""COMPUTED_VALUE"""),1.0)</f>
        <v>1</v>
      </c>
      <c r="V2026" s="148" t="str">
        <f>IFERROR(__xludf.DUMMYFUNCTION("""COMPUTED_VALUE"""),"[]")</f>
        <v>[]</v>
      </c>
      <c r="W2026" s="148">
        <f>IFERROR(__xludf.DUMMYFUNCTION("""COMPUTED_VALUE"""),1.174E7)</f>
        <v>11740000</v>
      </c>
      <c r="X2026" s="148">
        <f>IFERROR(__xludf.DUMMYFUNCTION("""COMPUTED_VALUE"""),0.0)</f>
        <v>0</v>
      </c>
      <c r="Y2026" s="148">
        <f>IFERROR(__xludf.DUMMYFUNCTION("""COMPUTED_VALUE"""),0.0)</f>
        <v>0</v>
      </c>
      <c r="Z2026" s="148"/>
    </row>
    <row r="2027">
      <c r="A2027" s="148">
        <f>IFERROR(__xludf.DUMMYFUNCTION("""COMPUTED_VALUE"""),1.1118656E7)</f>
        <v>11118656</v>
      </c>
      <c r="B2027" s="148" t="str">
        <f>IFERROR(__xludf.DUMMYFUNCTION("""COMPUTED_VALUE"""),"军备bp-7日-增加次数道具_v57")</f>
        <v>军备bp-7日-增加次数道具_v57</v>
      </c>
      <c r="C2027" s="148"/>
      <c r="D2027" s="148" t="str">
        <f>IFERROR(__xludf.DUMMYFUNCTION("""COMPUTED_VALUE"""),"event_progress")</f>
        <v>event_progress</v>
      </c>
      <c r="E2027" s="148">
        <f>IFERROR(__xludf.DUMMYFUNCTION("""COMPUTED_VALUE"""),0.0)</f>
        <v>0</v>
      </c>
      <c r="F2027" s="148">
        <f>IFERROR(__xludf.DUMMYFUNCTION("""COMPUTED_VALUE"""),0.0)</f>
        <v>0</v>
      </c>
      <c r="G2027" s="148">
        <f>IFERROR(__xludf.DUMMYFUNCTION("""COMPUTED_VALUE"""),1.5115115E7)</f>
        <v>15115115</v>
      </c>
      <c r="H2027" s="148">
        <f>IFERROR(__xludf.DUMMYFUNCTION("""COMPUTED_VALUE"""),1.5112563E7)</f>
        <v>15112563</v>
      </c>
      <c r="I2027" s="148" t="str">
        <f>IFERROR(__xludf.DUMMYFUNCTION("""COMPUTED_VALUE"""),"{}")</f>
        <v>{}</v>
      </c>
      <c r="J2027" s="148" t="str">
        <f>IFERROR(__xludf.DUMMYFUNCTION("""COMPUTED_VALUE"""),"{}")</f>
        <v>{}</v>
      </c>
      <c r="K2027" s="148" t="str">
        <f>IFERROR(__xludf.DUMMYFUNCTION("""COMPUTED_VALUE"""),"{}")</f>
        <v>{}</v>
      </c>
      <c r="L2027" s="148" t="str">
        <f>IFERROR(__xludf.DUMMYFUNCTION("""COMPUTED_VALUE"""),"{}")</f>
        <v>{}</v>
      </c>
      <c r="M2027" s="148">
        <f>IFERROR(__xludf.DUMMYFUNCTION("""COMPUTED_VALUE"""),1.0)</f>
        <v>1</v>
      </c>
      <c r="N2027" s="148">
        <f>IFERROR(__xludf.DUMMYFUNCTION("""COMPUTED_VALUE"""),999999.0)</f>
        <v>999999</v>
      </c>
      <c r="O2027" s="148">
        <f>IFERROR(__xludf.DUMMYFUNCTION("""COMPUTED_VALUE"""),99999.0)</f>
        <v>99999</v>
      </c>
      <c r="P2027" s="148">
        <f>IFERROR(__xludf.DUMMYFUNCTION("""COMPUTED_VALUE"""),9999.0)</f>
        <v>9999</v>
      </c>
      <c r="Q2027" s="148" t="str">
        <f>IFERROR(__xludf.DUMMYFUNCTION("""COMPUTED_VALUE"""),"[]")</f>
        <v>[]</v>
      </c>
      <c r="R2027" s="148" t="str">
        <f>IFERROR(__xludf.DUMMYFUNCTION("""COMPUTED_VALUE"""),"[]")</f>
        <v>[]</v>
      </c>
      <c r="S2027" s="148" t="str">
        <f>IFERROR(__xludf.DUMMYFUNCTION("""COMPUTED_VALUE"""),"{""effect"":[{""typ"":""event"",""id"":21121611},{""typ"":""miss_lost_reward""}]}")</f>
        <v>{"effect":[{"typ":"event","id":21121611},{"typ":"miss_lost_reward"}]}</v>
      </c>
      <c r="T2027" s="148">
        <f>IFERROR(__xludf.DUMMYFUNCTION("""COMPUTED_VALUE"""),-1.0)</f>
        <v>-1</v>
      </c>
      <c r="U2027" s="148">
        <f>IFERROR(__xludf.DUMMYFUNCTION("""COMPUTED_VALUE"""),1.0)</f>
        <v>1</v>
      </c>
      <c r="V2027" s="148" t="str">
        <f>IFERROR(__xludf.DUMMYFUNCTION("""COMPUTED_VALUE"""),"[]")</f>
        <v>[]</v>
      </c>
      <c r="W2027" s="148">
        <f>IFERROR(__xludf.DUMMYFUNCTION("""COMPUTED_VALUE"""),1.174E7)</f>
        <v>11740000</v>
      </c>
      <c r="X2027" s="148">
        <f>IFERROR(__xludf.DUMMYFUNCTION("""COMPUTED_VALUE"""),0.0)</f>
        <v>0</v>
      </c>
      <c r="Y2027" s="148">
        <f>IFERROR(__xludf.DUMMYFUNCTION("""COMPUTED_VALUE"""),0.0)</f>
        <v>0</v>
      </c>
      <c r="Z2027" s="148"/>
    </row>
    <row r="2028">
      <c r="A2028" s="148">
        <f>IFERROR(__xludf.DUMMYFUNCTION("""COMPUTED_VALUE"""),1.1118657E7)</f>
        <v>11118657</v>
      </c>
      <c r="B2028" s="148" t="str">
        <f>IFERROR(__xludf.DUMMYFUNCTION("""COMPUTED_VALUE"""),"2023万圣节-7日活动宝箱")</f>
        <v>2023万圣节-7日活动宝箱</v>
      </c>
      <c r="C2028" s="148"/>
      <c r="D2028" s="148" t="str">
        <f>IFERROR(__xludf.DUMMYFUNCTION("""COMPUTED_VALUE"""),"item_asset")</f>
        <v>item_asset</v>
      </c>
      <c r="E2028" s="148">
        <f>IFERROR(__xludf.DUMMYFUNCTION("""COMPUTED_VALUE"""),19.0)</f>
        <v>19</v>
      </c>
      <c r="F2028" s="148">
        <f>IFERROR(__xludf.DUMMYFUNCTION("""COMPUTED_VALUE"""),201101.0)</f>
        <v>201101</v>
      </c>
      <c r="G2028" s="148">
        <f>IFERROR(__xludf.DUMMYFUNCTION("""COMPUTED_VALUE"""),1.5117141E7)</f>
        <v>15117141</v>
      </c>
      <c r="H2028" s="148">
        <f>IFERROR(__xludf.DUMMYFUNCTION("""COMPUTED_VALUE"""),1.5112564E7)</f>
        <v>15112564</v>
      </c>
      <c r="I2028" s="148" t="str">
        <f>IFERROR(__xludf.DUMMYFUNCTION("""COMPUTED_VALUE"""),"{}")</f>
        <v>{}</v>
      </c>
      <c r="J2028" s="148" t="str">
        <f>IFERROR(__xludf.DUMMYFUNCTION("""COMPUTED_VALUE"""),"{""typ"":""lc"",""txt"":""LC_ITEM_seven_day_box_name""}")</f>
        <v>{"typ":"lc","txt":"LC_ITEM_seven_day_box_name"}</v>
      </c>
      <c r="K2028" s="148" t="str">
        <f>IFERROR(__xludf.DUMMYFUNCTION("""COMPUTED_VALUE"""),"{""typ"":""lc"",""txt"":""LC_ITEM_seven_day_box_desc""}")</f>
        <v>{"typ":"lc","txt":"LC_ITEM_seven_day_box_desc"}</v>
      </c>
      <c r="L2028" s="148" t="str">
        <f>IFERROR(__xludf.DUMMYFUNCTION("""COMPUTED_VALUE"""),"{""typ"":""lc"",""txt"":""LC_ITEM_horde_elite_box_usedtip""}")</f>
        <v>{"typ":"lc","txt":"LC_ITEM_horde_elite_box_usedtip"}</v>
      </c>
      <c r="M2028" s="148">
        <f>IFERROR(__xludf.DUMMYFUNCTION("""COMPUTED_VALUE"""),40.0)</f>
        <v>40</v>
      </c>
      <c r="N2028" s="148">
        <f>IFERROR(__xludf.DUMMYFUNCTION("""COMPUTED_VALUE"""),999999.0)</f>
        <v>999999</v>
      </c>
      <c r="O2028" s="148">
        <f>IFERROR(__xludf.DUMMYFUNCTION("""COMPUTED_VALUE"""),99999.0)</f>
        <v>99999</v>
      </c>
      <c r="P2028" s="148">
        <f>IFERROR(__xludf.DUMMYFUNCTION("""COMPUTED_VALUE"""),99999.0)</f>
        <v>99999</v>
      </c>
      <c r="Q2028" s="148" t="str">
        <f>IFERROR(__xludf.DUMMYFUNCTION("""COMPUTED_VALUE"""),"[]")</f>
        <v>[]</v>
      </c>
      <c r="R2028" s="148" t="str">
        <f>IFERROR(__xludf.DUMMYFUNCTION("""COMPUTED_VALUE"""),"[""bag""]")</f>
        <v>["bag"]</v>
      </c>
      <c r="S2028"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2028" s="148">
        <f>IFERROR(__xludf.DUMMYFUNCTION("""COMPUTED_VALUE"""),-1.0)</f>
        <v>-1</v>
      </c>
      <c r="U2028" s="148">
        <f>IFERROR(__xludf.DUMMYFUNCTION("""COMPUTED_VALUE"""),1.0)</f>
        <v>1</v>
      </c>
      <c r="V2028" s="148" t="str">
        <f>IFERROR(__xludf.DUMMYFUNCTION("""COMPUTED_VALUE"""),"[]")</f>
        <v>[]</v>
      </c>
      <c r="W2028" s="148">
        <f>IFERROR(__xludf.DUMMYFUNCTION("""COMPUTED_VALUE"""),1.174E7)</f>
        <v>11740000</v>
      </c>
      <c r="X2028" s="148">
        <f>IFERROR(__xludf.DUMMYFUNCTION("""COMPUTED_VALUE"""),0.0)</f>
        <v>0</v>
      </c>
      <c r="Y2028" s="148">
        <f>IFERROR(__xludf.DUMMYFUNCTION("""COMPUTED_VALUE"""),0.0)</f>
        <v>0</v>
      </c>
      <c r="Z2028" s="148"/>
    </row>
    <row r="2029">
      <c r="A2029" s="148">
        <f>IFERROR(__xludf.DUMMYFUNCTION("""COMPUTED_VALUE"""),1.1118658E7)</f>
        <v>11118658</v>
      </c>
      <c r="B2029" s="148" t="str">
        <f>IFERROR(__xludf.DUMMYFUNCTION("""COMPUTED_VALUE"""),"2023万圣节活动专用-增加次数道具")</f>
        <v>2023万圣节活动专用-增加次数道具</v>
      </c>
      <c r="C2029" s="148"/>
      <c r="D2029" s="148" t="str">
        <f>IFERROR(__xludf.DUMMYFUNCTION("""COMPUTED_VALUE"""),"event_progress")</f>
        <v>event_progress</v>
      </c>
      <c r="E2029" s="148">
        <f>IFERROR(__xludf.DUMMYFUNCTION("""COMPUTED_VALUE"""),0.0)</f>
        <v>0</v>
      </c>
      <c r="F2029" s="148">
        <f>IFERROR(__xludf.DUMMYFUNCTION("""COMPUTED_VALUE"""),0.0)</f>
        <v>0</v>
      </c>
      <c r="G2029" s="148">
        <f>IFERROR(__xludf.DUMMYFUNCTION("""COMPUTED_VALUE"""),1.5113732E7)</f>
        <v>15113732</v>
      </c>
      <c r="H2029" s="148">
        <f>IFERROR(__xludf.DUMMYFUNCTION("""COMPUTED_VALUE"""),1.5112563E7)</f>
        <v>15112563</v>
      </c>
      <c r="I2029" s="148" t="str">
        <f>IFERROR(__xludf.DUMMYFUNCTION("""COMPUTED_VALUE"""),"{}")</f>
        <v>{}</v>
      </c>
      <c r="J2029" s="148" t="str">
        <f>IFERROR(__xludf.DUMMYFUNCTION("""COMPUTED_VALUE"""),"{}")</f>
        <v>{}</v>
      </c>
      <c r="K2029" s="148" t="str">
        <f>IFERROR(__xludf.DUMMYFUNCTION("""COMPUTED_VALUE"""),"{}")</f>
        <v>{}</v>
      </c>
      <c r="L2029" s="148" t="str">
        <f>IFERROR(__xludf.DUMMYFUNCTION("""COMPUTED_VALUE"""),"{}")</f>
        <v>{}</v>
      </c>
      <c r="M2029" s="148">
        <f>IFERROR(__xludf.DUMMYFUNCTION("""COMPUTED_VALUE"""),1.0)</f>
        <v>1</v>
      </c>
      <c r="N2029" s="148">
        <f>IFERROR(__xludf.DUMMYFUNCTION("""COMPUTED_VALUE"""),999999.0)</f>
        <v>999999</v>
      </c>
      <c r="O2029" s="148">
        <f>IFERROR(__xludf.DUMMYFUNCTION("""COMPUTED_VALUE"""),99999.0)</f>
        <v>99999</v>
      </c>
      <c r="P2029" s="148">
        <f>IFERROR(__xludf.DUMMYFUNCTION("""COMPUTED_VALUE"""),9999.0)</f>
        <v>9999</v>
      </c>
      <c r="Q2029" s="148" t="str">
        <f>IFERROR(__xludf.DUMMYFUNCTION("""COMPUTED_VALUE"""),"[]")</f>
        <v>[]</v>
      </c>
      <c r="R2029" s="148" t="str">
        <f>IFERROR(__xludf.DUMMYFUNCTION("""COMPUTED_VALUE"""),"[]")</f>
        <v>[]</v>
      </c>
      <c r="S2029" s="148" t="str">
        <f>IFERROR(__xludf.DUMMYFUNCTION("""COMPUTED_VALUE"""),"{""effect"":[{""typ"":""event"",""id"":21121645},{""typ"":""miss_lost_reward""}]}")</f>
        <v>{"effect":[{"typ":"event","id":21121645},{"typ":"miss_lost_reward"}]}</v>
      </c>
      <c r="T2029" s="148">
        <f>IFERROR(__xludf.DUMMYFUNCTION("""COMPUTED_VALUE"""),-1.0)</f>
        <v>-1</v>
      </c>
      <c r="U2029" s="148">
        <f>IFERROR(__xludf.DUMMYFUNCTION("""COMPUTED_VALUE"""),1.0)</f>
        <v>1</v>
      </c>
      <c r="V2029" s="148" t="str">
        <f>IFERROR(__xludf.DUMMYFUNCTION("""COMPUTED_VALUE"""),"[]")</f>
        <v>[]</v>
      </c>
      <c r="W2029" s="148">
        <f>IFERROR(__xludf.DUMMYFUNCTION("""COMPUTED_VALUE"""),1.174E7)</f>
        <v>11740000</v>
      </c>
      <c r="X2029" s="148">
        <f>IFERROR(__xludf.DUMMYFUNCTION("""COMPUTED_VALUE"""),0.0)</f>
        <v>0</v>
      </c>
      <c r="Y2029" s="148">
        <f>IFERROR(__xludf.DUMMYFUNCTION("""COMPUTED_VALUE"""),0.0)</f>
        <v>0</v>
      </c>
      <c r="Z2029" s="148"/>
    </row>
    <row r="2030">
      <c r="A2030" s="148">
        <f>IFERROR(__xludf.DUMMYFUNCTION("""COMPUTED_VALUE"""),1.1118659E7)</f>
        <v>11118659</v>
      </c>
      <c r="B2030" s="148" t="str">
        <f>IFERROR(__xludf.DUMMYFUNCTION("""COMPUTED_VALUE"""),"2023万圣节活动-解锁宝箱礼包钥匙")</f>
        <v>2023万圣节活动-解锁宝箱礼包钥匙</v>
      </c>
      <c r="C2030" s="148"/>
      <c r="D2030" s="148" t="str">
        <f>IFERROR(__xludf.DUMMYFUNCTION("""COMPUTED_VALUE"""),"event")</f>
        <v>event</v>
      </c>
      <c r="E2030" s="148">
        <f>IFERROR(__xludf.DUMMYFUNCTION("""COMPUTED_VALUE"""),0.0)</f>
        <v>0</v>
      </c>
      <c r="F2030" s="148">
        <f>IFERROR(__xludf.DUMMYFUNCTION("""COMPUTED_VALUE"""),0.0)</f>
        <v>0</v>
      </c>
      <c r="G2030" s="148">
        <f>IFERROR(__xludf.DUMMYFUNCTION("""COMPUTED_VALUE"""),1.5117142E7)</f>
        <v>15117142</v>
      </c>
      <c r="H2030" s="148">
        <f>IFERROR(__xludf.DUMMYFUNCTION("""COMPUTED_VALUE"""),1.5112564E7)</f>
        <v>15112564</v>
      </c>
      <c r="I2030" s="148" t="str">
        <f>IFERROR(__xludf.DUMMYFUNCTION("""COMPUTED_VALUE"""),"{}")</f>
        <v>{}</v>
      </c>
      <c r="J2030" s="148" t="str">
        <f>IFERROR(__xludf.DUMMYFUNCTION("""COMPUTED_VALUE"""),"{""typ"":""lc"",""txt"":""LC_ITEM_seven_day_box_key_name""}")</f>
        <v>{"typ":"lc","txt":"LC_ITEM_seven_day_box_key_name"}</v>
      </c>
      <c r="K2030" s="148" t="str">
        <f>IFERROR(__xludf.DUMMYFUNCTION("""COMPUTED_VALUE"""),"{""typ"":""lc"",""txt"":""LC_ITEM_seven_day_box_key_desc""}")</f>
        <v>{"typ":"lc","txt":"LC_ITEM_seven_day_box_key_desc"}</v>
      </c>
      <c r="L2030" s="148" t="str">
        <f>IFERROR(__xludf.DUMMYFUNCTION("""COMPUTED_VALUE"""),"{}")</f>
        <v>{}</v>
      </c>
      <c r="M2030" s="148">
        <f>IFERROR(__xludf.DUMMYFUNCTION("""COMPUTED_VALUE"""),10.0)</f>
        <v>10</v>
      </c>
      <c r="N2030" s="148">
        <f>IFERROR(__xludf.DUMMYFUNCTION("""COMPUTED_VALUE"""),999999.0)</f>
        <v>999999</v>
      </c>
      <c r="O2030" s="148">
        <f>IFERROR(__xludf.DUMMYFUNCTION("""COMPUTED_VALUE"""),99999.0)</f>
        <v>99999</v>
      </c>
      <c r="P2030" s="148">
        <f>IFERROR(__xludf.DUMMYFUNCTION("""COMPUTED_VALUE"""),9999.0)</f>
        <v>9999</v>
      </c>
      <c r="Q2030" s="148" t="str">
        <f>IFERROR(__xludf.DUMMYFUNCTION("""COMPUTED_VALUE"""),"[""bag_other""]")</f>
        <v>["bag_other"]</v>
      </c>
      <c r="R2030" s="148" t="str">
        <f>IFERROR(__xludf.DUMMYFUNCTION("""COMPUTED_VALUE"""),"[]")</f>
        <v>[]</v>
      </c>
      <c r="S2030" s="148" t="str">
        <f>IFERROR(__xludf.DUMMYFUNCTION("""COMPUTED_VALUE"""),"{}")</f>
        <v>{}</v>
      </c>
      <c r="T2030" s="148">
        <f>IFERROR(__xludf.DUMMYFUNCTION("""COMPUTED_VALUE"""),-1.0)</f>
        <v>-1</v>
      </c>
      <c r="U2030" s="148">
        <f>IFERROR(__xludf.DUMMYFUNCTION("""COMPUTED_VALUE"""),0.0)</f>
        <v>0</v>
      </c>
      <c r="V2030" s="148" t="str">
        <f>IFERROR(__xludf.DUMMYFUNCTION("""COMPUTED_VALUE"""),"[]")</f>
        <v>[]</v>
      </c>
      <c r="W2030" s="148">
        <f>IFERROR(__xludf.DUMMYFUNCTION("""COMPUTED_VALUE"""),1.174E7)</f>
        <v>11740000</v>
      </c>
      <c r="X2030" s="148">
        <f>IFERROR(__xludf.DUMMYFUNCTION("""COMPUTED_VALUE"""),0.0)</f>
        <v>0</v>
      </c>
      <c r="Y2030" s="148">
        <f>IFERROR(__xludf.DUMMYFUNCTION("""COMPUTED_VALUE"""),0.0)</f>
        <v>0</v>
      </c>
      <c r="Z2030" s="148"/>
    </row>
    <row r="2031">
      <c r="A2031" s="148">
        <f>IFERROR(__xludf.DUMMYFUNCTION("""COMPUTED_VALUE"""),1.111866E7)</f>
        <v>11118660</v>
      </c>
      <c r="B2031" s="148" t="str">
        <f>IFERROR(__xludf.DUMMYFUNCTION("""COMPUTED_VALUE"""),"2023万圣节-7日活动宝箱-显示用")</f>
        <v>2023万圣节-7日活动宝箱-显示用</v>
      </c>
      <c r="C2031" s="148"/>
      <c r="D2031" s="148" t="str">
        <f>IFERROR(__xludf.DUMMYFUNCTION("""COMPUTED_VALUE"""),"event")</f>
        <v>event</v>
      </c>
      <c r="E2031" s="148">
        <f>IFERROR(__xludf.DUMMYFUNCTION("""COMPUTED_VALUE"""),0.0)</f>
        <v>0</v>
      </c>
      <c r="F2031" s="148">
        <f>IFERROR(__xludf.DUMMYFUNCTION("""COMPUTED_VALUE"""),0.0)</f>
        <v>0</v>
      </c>
      <c r="G2031" s="148">
        <f>IFERROR(__xludf.DUMMYFUNCTION("""COMPUTED_VALUE"""),1.5117141E7)</f>
        <v>15117141</v>
      </c>
      <c r="H2031" s="148">
        <f>IFERROR(__xludf.DUMMYFUNCTION("""COMPUTED_VALUE"""),1.5112564E7)</f>
        <v>15112564</v>
      </c>
      <c r="I2031" s="148" t="str">
        <f>IFERROR(__xludf.DUMMYFUNCTION("""COMPUTED_VALUE"""),"{}")</f>
        <v>{}</v>
      </c>
      <c r="J2031" s="148" t="str">
        <f>IFERROR(__xludf.DUMMYFUNCTION("""COMPUTED_VALUE"""),"{""typ"":""lc"",""txt"":""LC_ITEM_seven_day_box_name""}")</f>
        <v>{"typ":"lc","txt":"LC_ITEM_seven_day_box_name"}</v>
      </c>
      <c r="K2031" s="148" t="str">
        <f>IFERROR(__xludf.DUMMYFUNCTION("""COMPUTED_VALUE"""),"{""typ"":""lc"",""txt"":""LC_ITEM_seven_day_box_desc""}")</f>
        <v>{"typ":"lc","txt":"LC_ITEM_seven_day_box_desc"}</v>
      </c>
      <c r="L2031" s="148" t="str">
        <f>IFERROR(__xludf.DUMMYFUNCTION("""COMPUTED_VALUE"""),"{}")</f>
        <v>{}</v>
      </c>
      <c r="M2031" s="148">
        <f>IFERROR(__xludf.DUMMYFUNCTION("""COMPUTED_VALUE"""),1.0)</f>
        <v>1</v>
      </c>
      <c r="N2031" s="148">
        <f>IFERROR(__xludf.DUMMYFUNCTION("""COMPUTED_VALUE"""),999999.0)</f>
        <v>999999</v>
      </c>
      <c r="O2031" s="148">
        <f>IFERROR(__xludf.DUMMYFUNCTION("""COMPUTED_VALUE"""),99999.0)</f>
        <v>99999</v>
      </c>
      <c r="P2031" s="148">
        <f>IFERROR(__xludf.DUMMYFUNCTION("""COMPUTED_VALUE"""),9999.0)</f>
        <v>9999</v>
      </c>
      <c r="Q2031" s="148" t="str">
        <f>IFERROR(__xludf.DUMMYFUNCTION("""COMPUTED_VALUE"""),"[]")</f>
        <v>[]</v>
      </c>
      <c r="R2031" s="148" t="str">
        <f>IFERROR(__xludf.DUMMYFUNCTION("""COMPUTED_VALUE"""),"[]")</f>
        <v>[]</v>
      </c>
      <c r="S2031" s="148" t="str">
        <f>IFERROR(__xludf.DUMMYFUNCTION("""COMPUTED_VALUE"""),"{""effect"":[{""typ"":""miss_lost_reward""}]}")</f>
        <v>{"effect":[{"typ":"miss_lost_reward"}]}</v>
      </c>
      <c r="T2031" s="148">
        <f>IFERROR(__xludf.DUMMYFUNCTION("""COMPUTED_VALUE"""),-1.0)</f>
        <v>-1</v>
      </c>
      <c r="U2031" s="148">
        <f>IFERROR(__xludf.DUMMYFUNCTION("""COMPUTED_VALUE"""),1.0)</f>
        <v>1</v>
      </c>
      <c r="V2031" s="148" t="str">
        <f>IFERROR(__xludf.DUMMYFUNCTION("""COMPUTED_VALUE"""),"[]")</f>
        <v>[]</v>
      </c>
      <c r="W2031" s="148">
        <f>IFERROR(__xludf.DUMMYFUNCTION("""COMPUTED_VALUE"""),1.174E7)</f>
        <v>11740000</v>
      </c>
      <c r="X2031" s="148">
        <f>IFERROR(__xludf.DUMMYFUNCTION("""COMPUTED_VALUE"""),0.0)</f>
        <v>0</v>
      </c>
      <c r="Y2031" s="148">
        <f>IFERROR(__xludf.DUMMYFUNCTION("""COMPUTED_VALUE"""),0.0)</f>
        <v>0</v>
      </c>
      <c r="Z2031" s="148"/>
    </row>
    <row r="2032">
      <c r="A2032" s="148">
        <f>IFERROR(__xludf.DUMMYFUNCTION("""COMPUTED_VALUE"""),1.1118661E7)</f>
        <v>11118661</v>
      </c>
      <c r="B2032" s="148" t="str">
        <f>IFERROR(__xludf.DUMMYFUNCTION("""COMPUTED_VALUE"""),"糖果罐-2023万圣节抽奖道具")</f>
        <v>糖果罐-2023万圣节抽奖道具</v>
      </c>
      <c r="C2032" s="148"/>
      <c r="D2032" s="148" t="str">
        <f>IFERROR(__xludf.DUMMYFUNCTION("""COMPUTED_VALUE"""),"event")</f>
        <v>event</v>
      </c>
      <c r="E2032" s="148">
        <f>IFERROR(__xludf.DUMMYFUNCTION("""COMPUTED_VALUE"""),0.0)</f>
        <v>0</v>
      </c>
      <c r="F2032" s="148">
        <f>IFERROR(__xludf.DUMMYFUNCTION("""COMPUTED_VALUE"""),0.0)</f>
        <v>0</v>
      </c>
      <c r="G2032" s="148">
        <f>IFERROR(__xludf.DUMMYFUNCTION("""COMPUTED_VALUE"""),1.511726E7)</f>
        <v>15117260</v>
      </c>
      <c r="H2032" s="148">
        <f>IFERROR(__xludf.DUMMYFUNCTION("""COMPUTED_VALUE"""),1.5112564E7)</f>
        <v>15112564</v>
      </c>
      <c r="I2032" s="148" t="str">
        <f>IFERROR(__xludf.DUMMYFUNCTION("""COMPUTED_VALUE"""),"{}")</f>
        <v>{}</v>
      </c>
      <c r="J2032" s="148" t="str">
        <f>IFERROR(__xludf.DUMMYFUNCTION("""COMPUTED_VALUE"""),"{""typ"":""lc"",""txt"":""LC_EVENT_2023halloween_gacha_item_name_1""}")</f>
        <v>{"typ":"lc","txt":"LC_EVENT_2023halloween_gacha_item_name_1"}</v>
      </c>
      <c r="K2032" s="148" t="str">
        <f>IFERROR(__xludf.DUMMYFUNCTION("""COMPUTED_VALUE"""),"{""typ"":""lc"",""txt"":""LC_EVENT_2023halloween_gacha_item_desc_1""}")</f>
        <v>{"typ":"lc","txt":"LC_EVENT_2023halloween_gacha_item_desc_1"}</v>
      </c>
      <c r="L2032" s="148" t="str">
        <f>IFERROR(__xludf.DUMMYFUNCTION("""COMPUTED_VALUE"""),"{}")</f>
        <v>{}</v>
      </c>
      <c r="M2032" s="148">
        <f>IFERROR(__xludf.DUMMYFUNCTION("""COMPUTED_VALUE"""),500.0)</f>
        <v>500</v>
      </c>
      <c r="N2032" s="148">
        <f>IFERROR(__xludf.DUMMYFUNCTION("""COMPUTED_VALUE"""),999999.0)</f>
        <v>999999</v>
      </c>
      <c r="O2032" s="148">
        <f>IFERROR(__xludf.DUMMYFUNCTION("""COMPUTED_VALUE"""),99999.0)</f>
        <v>99999</v>
      </c>
      <c r="P2032" s="148">
        <f>IFERROR(__xludf.DUMMYFUNCTION("""COMPUTED_VALUE"""),9.99999999E8)</f>
        <v>999999999</v>
      </c>
      <c r="Q2032" s="148" t="str">
        <f>IFERROR(__xludf.DUMMYFUNCTION("""COMPUTED_VALUE"""),"[""bag_other""]")</f>
        <v>["bag_other"]</v>
      </c>
      <c r="R2032" s="148" t="str">
        <f>IFERROR(__xludf.DUMMYFUNCTION("""COMPUTED_VALUE"""),"[""bag""]")</f>
        <v>["bag"]</v>
      </c>
      <c r="S2032" s="148" t="str">
        <f>IFERROR(__xludf.DUMMYFUNCTION("""COMPUTED_VALUE"""),"{}")</f>
        <v>{}</v>
      </c>
      <c r="T2032" s="148">
        <f>IFERROR(__xludf.DUMMYFUNCTION("""COMPUTED_VALUE"""),-1.0)</f>
        <v>-1</v>
      </c>
      <c r="U2032" s="148">
        <f>IFERROR(__xludf.DUMMYFUNCTION("""COMPUTED_VALUE"""),0.0)</f>
        <v>0</v>
      </c>
      <c r="V2032" s="148" t="str">
        <f>IFERROR(__xludf.DUMMYFUNCTION("""COMPUTED_VALUE"""),"[]")</f>
        <v>[]</v>
      </c>
      <c r="W2032" s="148">
        <f>IFERROR(__xludf.DUMMYFUNCTION("""COMPUTED_VALUE"""),1.174E7)</f>
        <v>11740000</v>
      </c>
      <c r="X2032" s="148">
        <f>IFERROR(__xludf.DUMMYFUNCTION("""COMPUTED_VALUE"""),0.0)</f>
        <v>0</v>
      </c>
      <c r="Y2032" s="148">
        <f>IFERROR(__xludf.DUMMYFUNCTION("""COMPUTED_VALUE"""),0.0)</f>
        <v>0</v>
      </c>
      <c r="Z2032" s="148"/>
    </row>
    <row r="2033">
      <c r="A2033" s="148">
        <f>IFERROR(__xludf.DUMMYFUNCTION("""COMPUTED_VALUE"""),1.1118662E7)</f>
        <v>11118662</v>
      </c>
      <c r="B2033" s="148" t="str">
        <f>IFERROR(__xludf.DUMMYFUNCTION("""COMPUTED_VALUE"""),"万圣节2023gacha专用-增加内圈抽奖次数")</f>
        <v>万圣节2023gacha专用-增加内圈抽奖次数</v>
      </c>
      <c r="C2033" s="148"/>
      <c r="D2033" s="148" t="str">
        <f>IFERROR(__xludf.DUMMYFUNCTION("""COMPUTED_VALUE"""),"event")</f>
        <v>event</v>
      </c>
      <c r="E2033" s="148">
        <f>IFERROR(__xludf.DUMMYFUNCTION("""COMPUTED_VALUE"""),0.0)</f>
        <v>0</v>
      </c>
      <c r="F2033" s="148">
        <f>IFERROR(__xludf.DUMMYFUNCTION("""COMPUTED_VALUE"""),0.0)</f>
        <v>0</v>
      </c>
      <c r="G2033" s="148">
        <f>IFERROR(__xludf.DUMMYFUNCTION("""COMPUTED_VALUE"""),1.5115227E7)</f>
        <v>15115227</v>
      </c>
      <c r="H2033" s="148">
        <f>IFERROR(__xludf.DUMMYFUNCTION("""COMPUTED_VALUE"""),1.5112564E7)</f>
        <v>15112564</v>
      </c>
      <c r="I2033" s="148" t="str">
        <f>IFERROR(__xludf.DUMMYFUNCTION("""COMPUTED_VALUE"""),"{}")</f>
        <v>{}</v>
      </c>
      <c r="J2033" s="148" t="str">
        <f>IFERROR(__xludf.DUMMYFUNCTION("""COMPUTED_VALUE"""),"{""typ"":""lc"",""txt"":""LC_EVENT_2023halloween_gacha_item_name_2""}")</f>
        <v>{"typ":"lc","txt":"LC_EVENT_2023halloween_gacha_item_name_2"}</v>
      </c>
      <c r="K2033" s="148" t="str">
        <f>IFERROR(__xludf.DUMMYFUNCTION("""COMPUTED_VALUE"""),"{""typ"":""lc"",""txt"":""LC_EVENT_2023halloween_gacha_item_desc_2""}")</f>
        <v>{"typ":"lc","txt":"LC_EVENT_2023halloween_gacha_item_desc_2"}</v>
      </c>
      <c r="L2033" s="148" t="str">
        <f>IFERROR(__xludf.DUMMYFUNCTION("""COMPUTED_VALUE"""),"{}")</f>
        <v>{}</v>
      </c>
      <c r="M2033" s="148">
        <f>IFERROR(__xludf.DUMMYFUNCTION("""COMPUTED_VALUE"""),700.0)</f>
        <v>700</v>
      </c>
      <c r="N2033" s="148">
        <f>IFERROR(__xludf.DUMMYFUNCTION("""COMPUTED_VALUE"""),9.99999999E8)</f>
        <v>999999999</v>
      </c>
      <c r="O2033" s="148">
        <f>IFERROR(__xludf.DUMMYFUNCTION("""COMPUTED_VALUE"""),9.99999999E8)</f>
        <v>999999999</v>
      </c>
      <c r="P2033" s="148">
        <f>IFERROR(__xludf.DUMMYFUNCTION("""COMPUTED_VALUE"""),9.99999999E8)</f>
        <v>999999999</v>
      </c>
      <c r="Q2033" s="148" t="str">
        <f>IFERROR(__xludf.DUMMYFUNCTION("""COMPUTED_VALUE"""),"[]")</f>
        <v>[]</v>
      </c>
      <c r="R2033" s="148" t="str">
        <f>IFERROR(__xludf.DUMMYFUNCTION("""COMPUTED_VALUE"""),"[""bag""]")</f>
        <v>["bag"]</v>
      </c>
      <c r="S2033" s="148" t="str">
        <f>IFERROR(__xludf.DUMMYFUNCTION("""COMPUTED_VALUE"""),"{}")</f>
        <v>{}</v>
      </c>
      <c r="T2033" s="148">
        <f>IFERROR(__xludf.DUMMYFUNCTION("""COMPUTED_VALUE"""),1.0)</f>
        <v>1</v>
      </c>
      <c r="U2033" s="148">
        <f>IFERROR(__xludf.DUMMYFUNCTION("""COMPUTED_VALUE"""),0.0)</f>
        <v>0</v>
      </c>
      <c r="V2033" s="148" t="str">
        <f>IFERROR(__xludf.DUMMYFUNCTION("""COMPUTED_VALUE"""),"[]")</f>
        <v>[]</v>
      </c>
      <c r="W2033" s="148">
        <f>IFERROR(__xludf.DUMMYFUNCTION("""COMPUTED_VALUE"""),1.174E7)</f>
        <v>11740000</v>
      </c>
      <c r="X2033" s="148">
        <f>IFERROR(__xludf.DUMMYFUNCTION("""COMPUTED_VALUE"""),0.0)</f>
        <v>0</v>
      </c>
      <c r="Y2033" s="148">
        <f>IFERROR(__xludf.DUMMYFUNCTION("""COMPUTED_VALUE"""),0.0)</f>
        <v>0</v>
      </c>
      <c r="Z2033" s="148"/>
    </row>
    <row r="2034">
      <c r="A2034" s="148">
        <f>IFERROR(__xludf.DUMMYFUNCTION("""COMPUTED_VALUE"""),1.1118663E7)</f>
        <v>11118663</v>
      </c>
      <c r="B2034" s="148" t="str">
        <f>IFERROR(__xludf.DUMMYFUNCTION("""COMPUTED_VALUE"""),"多成长线自选宝箱（价值$2)")</f>
        <v>多成长线自选宝箱（价值$2)</v>
      </c>
      <c r="C2034" s="148"/>
      <c r="D2034" s="148" t="str">
        <f>IFERROR(__xludf.DUMMYFUNCTION("""COMPUTED_VALUE"""),"item_select_box")</f>
        <v>item_select_box</v>
      </c>
      <c r="E2034" s="148">
        <f>IFERROR(__xludf.DUMMYFUNCTION("""COMPUTED_VALUE"""),19.0)</f>
        <v>19</v>
      </c>
      <c r="F2034" s="148">
        <f>IFERROR(__xludf.DUMMYFUNCTION("""COMPUTED_VALUE"""),100000.0)</f>
        <v>100000</v>
      </c>
      <c r="G2034" s="148">
        <f>IFERROR(__xludf.DUMMYFUNCTION("""COMPUTED_VALUE"""),1.5117285E7)</f>
        <v>15117285</v>
      </c>
      <c r="H2034" s="148">
        <f>IFERROR(__xludf.DUMMYFUNCTION("""COMPUTED_VALUE"""),1.5112564E7)</f>
        <v>15112564</v>
      </c>
      <c r="I2034" s="148" t="str">
        <f>IFERROR(__xludf.DUMMYFUNCTION("""COMPUTED_VALUE"""),"{}")</f>
        <v>{}</v>
      </c>
      <c r="J2034" s="148" t="str">
        <f>IFERROR(__xludf.DUMMYFUNCTION("""COMPUTED_VALUE"""),"{""typ"":""lc"",""txt"":""LC_ITEM_growth_line_select_box_name""}")</f>
        <v>{"typ":"lc","txt":"LC_ITEM_growth_line_select_box_name"}</v>
      </c>
      <c r="K2034" s="148" t="str">
        <f>IFERROR(__xludf.DUMMYFUNCTION("""COMPUTED_VALUE"""),"{""typ"":""lc"",""txt"":""LC_ITEM_growth_line_select_box_desc""}")</f>
        <v>{"typ":"lc","txt":"LC_ITEM_growth_line_select_box_desc"}</v>
      </c>
      <c r="L2034" s="148" t="str">
        <f>IFERROR(__xludf.DUMMYFUNCTION("""COMPUTED_VALUE"""),"{}")</f>
        <v>{}</v>
      </c>
      <c r="M2034" s="148">
        <f>IFERROR(__xludf.DUMMYFUNCTION("""COMPUTED_VALUE"""),2000.0)</f>
        <v>2000</v>
      </c>
      <c r="N2034" s="148">
        <f>IFERROR(__xludf.DUMMYFUNCTION("""COMPUTED_VALUE"""),999999.0)</f>
        <v>999999</v>
      </c>
      <c r="O2034" s="148">
        <f>IFERROR(__xludf.DUMMYFUNCTION("""COMPUTED_VALUE"""),999999.0)</f>
        <v>999999</v>
      </c>
      <c r="P2034" s="148">
        <f>IFERROR(__xludf.DUMMYFUNCTION("""COMPUTED_VALUE"""),999999.0)</f>
        <v>999999</v>
      </c>
      <c r="Q2034" s="148" t="str">
        <f>IFERROR(__xludf.DUMMYFUNCTION("""COMPUTED_VALUE"""),"[""bag_other""]")</f>
        <v>["bag_other"]</v>
      </c>
      <c r="R2034" s="148" t="str">
        <f>IFERROR(__xludf.DUMMYFUNCTION("""COMPUTED_VALUE"""),"[""bag""]")</f>
        <v>["bag"]</v>
      </c>
      <c r="S2034" s="148" t="str">
        <f>IFERROR(__xludf.DUMMYFUNCTION("""COMPUTED_VALUE"""),"{""select_box"":[{""typ"":""material"",""id"":19345004,""val"":8},{""typ"":""item"",""id"":11117069,""val"":2},{""typ"":""item"",""id"":11118501,""val"":1},{""typ"":""item"",""id"":11116604,""val"":4}]}")</f>
        <v>{"select_box":[{"typ":"material","id":19345004,"val":8},{"typ":"item","id":11117069,"val":2},{"typ":"item","id":11118501,"val":1},{"typ":"item","id":11116604,"val":4}]}</v>
      </c>
      <c r="T2034" s="148">
        <f>IFERROR(__xludf.DUMMYFUNCTION("""COMPUTED_VALUE"""),-1.0)</f>
        <v>-1</v>
      </c>
      <c r="U2034" s="148">
        <f>IFERROR(__xludf.DUMMYFUNCTION("""COMPUTED_VALUE"""),0.0)</f>
        <v>0</v>
      </c>
      <c r="V2034" s="148" t="str">
        <f>IFERROR(__xludf.DUMMYFUNCTION("""COMPUTED_VALUE"""),"[]")</f>
        <v>[]</v>
      </c>
      <c r="W2034" s="148">
        <f>IFERROR(__xludf.DUMMYFUNCTION("""COMPUTED_VALUE"""),1.174E7)</f>
        <v>11740000</v>
      </c>
      <c r="X2034" s="148">
        <f>IFERROR(__xludf.DUMMYFUNCTION("""COMPUTED_VALUE"""),0.0)</f>
        <v>0</v>
      </c>
      <c r="Y2034" s="148">
        <f>IFERROR(__xludf.DUMMYFUNCTION("""COMPUTED_VALUE"""),0.0)</f>
        <v>0</v>
      </c>
      <c r="Z2034" s="148"/>
    </row>
    <row r="2035">
      <c r="A2035" s="148">
        <f>IFERROR(__xludf.DUMMYFUNCTION("""COMPUTED_VALUE"""),1.1118664E7)</f>
        <v>11118664</v>
      </c>
      <c r="B2035" s="148" t="str">
        <f>IFERROR(__xludf.DUMMYFUNCTION("""COMPUTED_VALUE"""),"万圣节-装饰升级道具")</f>
        <v>万圣节-装饰升级道具</v>
      </c>
      <c r="C2035" s="148"/>
      <c r="D2035" s="148" t="str">
        <f>IFERROR(__xludf.DUMMYFUNCTION("""COMPUTED_VALUE"""),"event")</f>
        <v>event</v>
      </c>
      <c r="E2035" s="148">
        <f>IFERROR(__xludf.DUMMYFUNCTION("""COMPUTED_VALUE"""),0.0)</f>
        <v>0</v>
      </c>
      <c r="F2035" s="148">
        <f>IFERROR(__xludf.DUMMYFUNCTION("""COMPUTED_VALUE"""),405243.0)</f>
        <v>405243</v>
      </c>
      <c r="G2035" s="148">
        <f>IFERROR(__xludf.DUMMYFUNCTION("""COMPUTED_VALUE"""),1.5115229E7)</f>
        <v>15115229</v>
      </c>
      <c r="H2035" s="148">
        <f>IFERROR(__xludf.DUMMYFUNCTION("""COMPUTED_VALUE"""),1.5112564E7)</f>
        <v>15112564</v>
      </c>
      <c r="I2035" s="148" t="str">
        <f>IFERROR(__xludf.DUMMYFUNCTION("""COMPUTED_VALUE"""),"{}")</f>
        <v>{}</v>
      </c>
      <c r="J2035" s="148" t="str">
        <f>IFERROR(__xludf.DUMMYFUNCTION("""COMPUTED_VALUE"""),"{""typ"":""lc"",""txt"":""LC_ITEM_halloween_item_2022_name_3""}")</f>
        <v>{"typ":"lc","txt":"LC_ITEM_halloween_item_2022_name_3"}</v>
      </c>
      <c r="K2035" s="148" t="str">
        <f>IFERROR(__xludf.DUMMYFUNCTION("""COMPUTED_VALUE"""),"{""typ"":""lc"",""txt"":""LC_ITEM_halloween_item_2022_desc_4""}")</f>
        <v>{"typ":"lc","txt":"LC_ITEM_halloween_item_2022_desc_4"}</v>
      </c>
      <c r="L2035" s="148" t="str">
        <f>IFERROR(__xludf.DUMMYFUNCTION("""COMPUTED_VALUE"""),"{}")</f>
        <v>{}</v>
      </c>
      <c r="M2035" s="148">
        <f>IFERROR(__xludf.DUMMYFUNCTION("""COMPUTED_VALUE"""),1000.0)</f>
        <v>1000</v>
      </c>
      <c r="N2035" s="148">
        <f>IFERROR(__xludf.DUMMYFUNCTION("""COMPUTED_VALUE"""),9.99999999E8)</f>
        <v>999999999</v>
      </c>
      <c r="O2035" s="148">
        <f>IFERROR(__xludf.DUMMYFUNCTION("""COMPUTED_VALUE"""),9.99999999E8)</f>
        <v>999999999</v>
      </c>
      <c r="P2035" s="148">
        <f>IFERROR(__xludf.DUMMYFUNCTION("""COMPUTED_VALUE"""),9.99999999E8)</f>
        <v>999999999</v>
      </c>
      <c r="Q2035" s="148" t="str">
        <f>IFERROR(__xludf.DUMMYFUNCTION("""COMPUTED_VALUE"""),"[""bag_other""]")</f>
        <v>["bag_other"]</v>
      </c>
      <c r="R2035" s="148" t="str">
        <f>IFERROR(__xludf.DUMMYFUNCTION("""COMPUTED_VALUE"""),"[]")</f>
        <v>[]</v>
      </c>
      <c r="S2035" s="148" t="str">
        <f>IFERROR(__xludf.DUMMYFUNCTION("""COMPUTED_VALUE"""),"{}")</f>
        <v>{}</v>
      </c>
      <c r="T2035" s="148">
        <f>IFERROR(__xludf.DUMMYFUNCTION("""COMPUTED_VALUE"""),-1.0)</f>
        <v>-1</v>
      </c>
      <c r="U2035" s="148">
        <f>IFERROR(__xludf.DUMMYFUNCTION("""COMPUTED_VALUE"""),0.0)</f>
        <v>0</v>
      </c>
      <c r="V2035" s="148" t="str">
        <f>IFERROR(__xludf.DUMMYFUNCTION("""COMPUTED_VALUE"""),"[]")</f>
        <v>[]</v>
      </c>
      <c r="W2035" s="148">
        <f>IFERROR(__xludf.DUMMYFUNCTION("""COMPUTED_VALUE"""),1.174E7)</f>
        <v>11740000</v>
      </c>
      <c r="X2035" s="148">
        <f>IFERROR(__xludf.DUMMYFUNCTION("""COMPUTED_VALUE"""),0.0)</f>
        <v>0</v>
      </c>
      <c r="Y2035" s="148">
        <f>IFERROR(__xludf.DUMMYFUNCTION("""COMPUTED_VALUE"""),0.0)</f>
        <v>0</v>
      </c>
      <c r="Z2035" s="148"/>
    </row>
    <row r="2036">
      <c r="A2036" s="148">
        <f>IFERROR(__xludf.DUMMYFUNCTION("""COMPUTED_VALUE"""),1.1118665E7)</f>
        <v>11118665</v>
      </c>
      <c r="B2036" s="148" t="str">
        <f>IFERROR(__xludf.DUMMYFUNCTION("""COMPUTED_VALUE"""),"2023感恩节BattlePass-初级通行证")</f>
        <v>2023感恩节BattlePass-初级通行证</v>
      </c>
      <c r="C2036" s="148"/>
      <c r="D2036" s="148" t="str">
        <f>IFERROR(__xludf.DUMMYFUNCTION("""COMPUTED_VALUE"""),"battle_pass_card")</f>
        <v>battle_pass_card</v>
      </c>
      <c r="E2036" s="148">
        <f>IFERROR(__xludf.DUMMYFUNCTION("""COMPUTED_VALUE"""),0.0)</f>
        <v>0</v>
      </c>
      <c r="F2036" s="148">
        <f>IFERROR(__xludf.DUMMYFUNCTION("""COMPUTED_VALUE"""),0.0)</f>
        <v>0</v>
      </c>
      <c r="G2036" s="148">
        <f>IFERROR(__xludf.DUMMYFUNCTION("""COMPUTED_VALUE"""),1.5114438E7)</f>
        <v>15114438</v>
      </c>
      <c r="H2036" s="148">
        <f>IFERROR(__xludf.DUMMYFUNCTION("""COMPUTED_VALUE"""),1.5112563E7)</f>
        <v>15112563</v>
      </c>
      <c r="I2036" s="148" t="str">
        <f>IFERROR(__xludf.DUMMYFUNCTION("""COMPUTED_VALUE"""),"{}")</f>
        <v>{}</v>
      </c>
      <c r="J2036" s="148" t="str">
        <f>IFERROR(__xludf.DUMMYFUNCTION("""COMPUTED_VALUE"""),"{""typ"":""lc"",""txt"":""LC_IAP_hallo23_bp_unlock_name_normal""}")</f>
        <v>{"typ":"lc","txt":"LC_IAP_hallo23_bp_unlock_name_normal"}</v>
      </c>
      <c r="K2036" s="148" t="str">
        <f>IFERROR(__xludf.DUMMYFUNCTION("""COMPUTED_VALUE"""),"{}")</f>
        <v>{}</v>
      </c>
      <c r="L2036" s="148" t="str">
        <f>IFERROR(__xludf.DUMMYFUNCTION("""COMPUTED_VALUE"""),"{}")</f>
        <v>{}</v>
      </c>
      <c r="M2036" s="148">
        <f>IFERROR(__xludf.DUMMYFUNCTION("""COMPUTED_VALUE"""),10.0)</f>
        <v>10</v>
      </c>
      <c r="N2036" s="148">
        <f>IFERROR(__xludf.DUMMYFUNCTION("""COMPUTED_VALUE"""),999999.0)</f>
        <v>999999</v>
      </c>
      <c r="O2036" s="148">
        <f>IFERROR(__xludf.DUMMYFUNCTION("""COMPUTED_VALUE"""),99999.0)</f>
        <v>99999</v>
      </c>
      <c r="P2036" s="148">
        <f>IFERROR(__xludf.DUMMYFUNCTION("""COMPUTED_VALUE"""),9999.0)</f>
        <v>9999</v>
      </c>
      <c r="Q2036" s="148" t="str">
        <f>IFERROR(__xludf.DUMMYFUNCTION("""COMPUTED_VALUE"""),"[]")</f>
        <v>[]</v>
      </c>
      <c r="R2036" s="148" t="str">
        <f>IFERROR(__xludf.DUMMYFUNCTION("""COMPUTED_VALUE"""),"[]")</f>
        <v>[]</v>
      </c>
      <c r="S2036" s="148" t="str">
        <f>IFERROR(__xludf.DUMMYFUNCTION("""COMPUTED_VALUE"""),"{}")</f>
        <v>{}</v>
      </c>
      <c r="T2036" s="148">
        <f>IFERROR(__xludf.DUMMYFUNCTION("""COMPUTED_VALUE"""),-1.0)</f>
        <v>-1</v>
      </c>
      <c r="U2036" s="148">
        <f>IFERROR(__xludf.DUMMYFUNCTION("""COMPUTED_VALUE"""),1.0)</f>
        <v>1</v>
      </c>
      <c r="V2036" s="148" t="str">
        <f>IFERROR(__xludf.DUMMYFUNCTION("""COMPUTED_VALUE"""),"[]")</f>
        <v>[]</v>
      </c>
      <c r="W2036" s="148">
        <f>IFERROR(__xludf.DUMMYFUNCTION("""COMPUTED_VALUE"""),1.174E7)</f>
        <v>11740000</v>
      </c>
      <c r="X2036" s="148">
        <f>IFERROR(__xludf.DUMMYFUNCTION("""COMPUTED_VALUE"""),0.0)</f>
        <v>0</v>
      </c>
      <c r="Y2036" s="148">
        <f>IFERROR(__xludf.DUMMYFUNCTION("""COMPUTED_VALUE"""),0.0)</f>
        <v>0</v>
      </c>
      <c r="Z2036" s="148"/>
    </row>
    <row r="2037">
      <c r="A2037" s="148">
        <f>IFERROR(__xludf.DUMMYFUNCTION("""COMPUTED_VALUE"""),1.1118666E7)</f>
        <v>11118666</v>
      </c>
      <c r="B2037" s="148" t="str">
        <f>IFERROR(__xludf.DUMMYFUNCTION("""COMPUTED_VALUE"""),"2023感恩节BattlePass-高级通行证")</f>
        <v>2023感恩节BattlePass-高级通行证</v>
      </c>
      <c r="C2037" s="148"/>
      <c r="D2037" s="148" t="str">
        <f>IFERROR(__xludf.DUMMYFUNCTION("""COMPUTED_VALUE"""),"battle_pass_card")</f>
        <v>battle_pass_card</v>
      </c>
      <c r="E2037" s="148">
        <f>IFERROR(__xludf.DUMMYFUNCTION("""COMPUTED_VALUE"""),0.0)</f>
        <v>0</v>
      </c>
      <c r="F2037" s="148">
        <f>IFERROR(__xludf.DUMMYFUNCTION("""COMPUTED_VALUE"""),0.0)</f>
        <v>0</v>
      </c>
      <c r="G2037" s="148">
        <f>IFERROR(__xludf.DUMMYFUNCTION("""COMPUTED_VALUE"""),1.5114438E7)</f>
        <v>15114438</v>
      </c>
      <c r="H2037" s="148">
        <f>IFERROR(__xludf.DUMMYFUNCTION("""COMPUTED_VALUE"""),1.5112564E7)</f>
        <v>15112564</v>
      </c>
      <c r="I2037" s="148" t="str">
        <f>IFERROR(__xludf.DUMMYFUNCTION("""COMPUTED_VALUE"""),"{}")</f>
        <v>{}</v>
      </c>
      <c r="J2037" s="148" t="str">
        <f>IFERROR(__xludf.DUMMYFUNCTION("""COMPUTED_VALUE"""),"{""typ"":""lc"",""txt"":""LC_IAP_hallo23_bp_unlock_name_classic""}")</f>
        <v>{"typ":"lc","txt":"LC_IAP_hallo23_bp_unlock_name_classic"}</v>
      </c>
      <c r="K2037" s="148" t="str">
        <f>IFERROR(__xludf.DUMMYFUNCTION("""COMPUTED_VALUE"""),"{}")</f>
        <v>{}</v>
      </c>
      <c r="L2037" s="148" t="str">
        <f>IFERROR(__xludf.DUMMYFUNCTION("""COMPUTED_VALUE"""),"{}")</f>
        <v>{}</v>
      </c>
      <c r="M2037" s="148">
        <f>IFERROR(__xludf.DUMMYFUNCTION("""COMPUTED_VALUE"""),10.0)</f>
        <v>10</v>
      </c>
      <c r="N2037" s="148">
        <f>IFERROR(__xludf.DUMMYFUNCTION("""COMPUTED_VALUE"""),999999.0)</f>
        <v>999999</v>
      </c>
      <c r="O2037" s="148">
        <f>IFERROR(__xludf.DUMMYFUNCTION("""COMPUTED_VALUE"""),99999.0)</f>
        <v>99999</v>
      </c>
      <c r="P2037" s="148">
        <f>IFERROR(__xludf.DUMMYFUNCTION("""COMPUTED_VALUE"""),9999.0)</f>
        <v>9999</v>
      </c>
      <c r="Q2037" s="148" t="str">
        <f>IFERROR(__xludf.DUMMYFUNCTION("""COMPUTED_VALUE"""),"[]")</f>
        <v>[]</v>
      </c>
      <c r="R2037" s="148" t="str">
        <f>IFERROR(__xludf.DUMMYFUNCTION("""COMPUTED_VALUE"""),"[]")</f>
        <v>[]</v>
      </c>
      <c r="S2037" s="148" t="str">
        <f>IFERROR(__xludf.DUMMYFUNCTION("""COMPUTED_VALUE"""),"{}")</f>
        <v>{}</v>
      </c>
      <c r="T2037" s="148">
        <f>IFERROR(__xludf.DUMMYFUNCTION("""COMPUTED_VALUE"""),-1.0)</f>
        <v>-1</v>
      </c>
      <c r="U2037" s="148">
        <f>IFERROR(__xludf.DUMMYFUNCTION("""COMPUTED_VALUE"""),1.0)</f>
        <v>1</v>
      </c>
      <c r="V2037" s="148" t="str">
        <f>IFERROR(__xludf.DUMMYFUNCTION("""COMPUTED_VALUE"""),"[]")</f>
        <v>[]</v>
      </c>
      <c r="W2037" s="148">
        <f>IFERROR(__xludf.DUMMYFUNCTION("""COMPUTED_VALUE"""),1.174E7)</f>
        <v>11740000</v>
      </c>
      <c r="X2037" s="148">
        <f>IFERROR(__xludf.DUMMYFUNCTION("""COMPUTED_VALUE"""),0.0)</f>
        <v>0</v>
      </c>
      <c r="Y2037" s="148">
        <f>IFERROR(__xludf.DUMMYFUNCTION("""COMPUTED_VALUE"""),0.0)</f>
        <v>0</v>
      </c>
      <c r="Z2037" s="148"/>
    </row>
    <row r="2038">
      <c r="A2038" s="148">
        <f>IFERROR(__xludf.DUMMYFUNCTION("""COMPUTED_VALUE"""),1.1118667E7)</f>
        <v>11118667</v>
      </c>
      <c r="B2038" s="148" t="str">
        <f>IFERROR(__xludf.DUMMYFUNCTION("""COMPUTED_VALUE"""),"感恩食材盒-2023年感恩节BP升级道具")</f>
        <v>感恩食材盒-2023年感恩节BP升级道具</v>
      </c>
      <c r="C2038" s="148"/>
      <c r="D2038" s="148" t="str">
        <f>IFERROR(__xludf.DUMMYFUNCTION("""COMPUTED_VALUE"""),"battle_pass_exp")</f>
        <v>battle_pass_exp</v>
      </c>
      <c r="E2038" s="148">
        <f>IFERROR(__xludf.DUMMYFUNCTION("""COMPUTED_VALUE"""),0.0)</f>
        <v>0</v>
      </c>
      <c r="F2038" s="148">
        <f>IFERROR(__xludf.DUMMYFUNCTION("""COMPUTED_VALUE"""),405224.0)</f>
        <v>405224</v>
      </c>
      <c r="G2038" s="148">
        <f>IFERROR(__xludf.DUMMYFUNCTION("""COMPUTED_VALUE"""),1.5114438E7)</f>
        <v>15114438</v>
      </c>
      <c r="H2038" s="148">
        <f>IFERROR(__xludf.DUMMYFUNCTION("""COMPUTED_VALUE"""),1.5112563E7)</f>
        <v>15112563</v>
      </c>
      <c r="I2038" s="148" t="str">
        <f>IFERROR(__xludf.DUMMYFUNCTION("""COMPUTED_VALUE"""),"{}")</f>
        <v>{}</v>
      </c>
      <c r="J2038" s="148" t="str">
        <f>IFERROR(__xludf.DUMMYFUNCTION("""COMPUTED_VALUE"""),"{""typ"":""lc"",""txt"":""LC_ITEM_thanksgiving_2021_item_1""}")</f>
        <v>{"typ":"lc","txt":"LC_ITEM_thanksgiving_2021_item_1"}</v>
      </c>
      <c r="K2038" s="148" t="str">
        <f>IFERROR(__xludf.DUMMYFUNCTION("""COMPUTED_VALUE"""),"{""typ"":""lc"",""txt"":""LC_ITEM_thanksgiving_2021_item_1_desc""}")</f>
        <v>{"typ":"lc","txt":"LC_ITEM_thanksgiving_2021_item_1_desc"}</v>
      </c>
      <c r="L2038" s="148" t="str">
        <f>IFERROR(__xludf.DUMMYFUNCTION("""COMPUTED_VALUE"""),"{}")</f>
        <v>{}</v>
      </c>
      <c r="M2038" s="148">
        <f>IFERROR(__xludf.DUMMYFUNCTION("""COMPUTED_VALUE"""),35.0)</f>
        <v>35</v>
      </c>
      <c r="N2038" s="148">
        <f>IFERROR(__xludf.DUMMYFUNCTION("""COMPUTED_VALUE"""),999999.0)</f>
        <v>999999</v>
      </c>
      <c r="O2038" s="148">
        <f>IFERROR(__xludf.DUMMYFUNCTION("""COMPUTED_VALUE"""),99999.0)</f>
        <v>99999</v>
      </c>
      <c r="P2038" s="148">
        <f>IFERROR(__xludf.DUMMYFUNCTION("""COMPUTED_VALUE"""),99999.0)</f>
        <v>99999</v>
      </c>
      <c r="Q2038" s="148" t="str">
        <f>IFERROR(__xludf.DUMMYFUNCTION("""COMPUTED_VALUE"""),"[""bag_other""]")</f>
        <v>["bag_other"]</v>
      </c>
      <c r="R2038" s="148" t="str">
        <f>IFERROR(__xludf.DUMMYFUNCTION("""COMPUTED_VALUE"""),"[""bag""]")</f>
        <v>["bag"]</v>
      </c>
      <c r="S2038" s="148" t="str">
        <f>IFERROR(__xludf.DUMMYFUNCTION("""COMPUTED_VALUE"""),"{}")</f>
        <v>{}</v>
      </c>
      <c r="T2038" s="148">
        <f>IFERROR(__xludf.DUMMYFUNCTION("""COMPUTED_VALUE"""),-1.0)</f>
        <v>-1</v>
      </c>
      <c r="U2038" s="148">
        <f>IFERROR(__xludf.DUMMYFUNCTION("""COMPUTED_VALUE"""),0.0)</f>
        <v>0</v>
      </c>
      <c r="V2038" s="148" t="str">
        <f>IFERROR(__xludf.DUMMYFUNCTION("""COMPUTED_VALUE"""),"[]")</f>
        <v>[]</v>
      </c>
      <c r="W2038" s="148">
        <f>IFERROR(__xludf.DUMMYFUNCTION("""COMPUTED_VALUE"""),1.174E7)</f>
        <v>11740000</v>
      </c>
      <c r="X2038" s="148">
        <f>IFERROR(__xludf.DUMMYFUNCTION("""COMPUTED_VALUE"""),0.0)</f>
        <v>0</v>
      </c>
      <c r="Y2038" s="148">
        <f>IFERROR(__xludf.DUMMYFUNCTION("""COMPUTED_VALUE"""),0.0)</f>
        <v>0</v>
      </c>
      <c r="Z2038" s="148"/>
    </row>
    <row r="2039">
      <c r="A2039" s="148">
        <f>IFERROR(__xludf.DUMMYFUNCTION("""COMPUTED_VALUE"""),1.1118668E7)</f>
        <v>11118668</v>
      </c>
      <c r="B2039" s="148" t="str">
        <f>IFERROR(__xludf.DUMMYFUNCTION("""COMPUTED_VALUE"""),"行军特效-金穗浓情-1天限时")</f>
        <v>行军特效-金穗浓情-1天限时</v>
      </c>
      <c r="C2039" s="148"/>
      <c r="D2039" s="148" t="str">
        <f>IFERROR(__xludf.DUMMYFUNCTION("""COMPUTED_VALUE"""),"marching_effect")</f>
        <v>marching_effect</v>
      </c>
      <c r="E2039" s="148">
        <f>IFERROR(__xludf.DUMMYFUNCTION("""COMPUTED_VALUE"""),0.0)</f>
        <v>0</v>
      </c>
      <c r="F2039" s="148">
        <f>IFERROR(__xludf.DUMMYFUNCTION("""COMPUTED_VALUE"""),408200.0)</f>
        <v>408200</v>
      </c>
      <c r="G2039" s="148">
        <f>IFERROR(__xludf.DUMMYFUNCTION("""COMPUTED_VALUE"""),1.5117348E7)</f>
        <v>15117348</v>
      </c>
      <c r="H2039" s="148">
        <f>IFERROR(__xludf.DUMMYFUNCTION("""COMPUTED_VALUE"""),1.511256E7)</f>
        <v>15112560</v>
      </c>
      <c r="I2039" s="148" t="str">
        <f>IFERROR(__xludf.DUMMYFUNCTION("""COMPUTED_VALUE"""),"{""typ"":""lc"",""txt"":""LC_ITEM_time_day_upper_show"",""args"":[{""typ"":""int_unit"",""val"":1}]}")</f>
        <v>{"typ":"lc","txt":"LC_ITEM_time_day_upper_show","args":[{"typ":"int_unit","val":1}]}</v>
      </c>
      <c r="J2039" s="148" t="str">
        <f>IFERROR(__xludf.DUMMYFUNCTION("""COMPUTED_VALUE"""),"{""typ"":""lc"",""txt"":""LC_ITEM_thanks23_march_effect_name""}")</f>
        <v>{"typ":"lc","txt":"LC_ITEM_thanks23_march_effect_name"}</v>
      </c>
      <c r="K2039" s="148" t="str">
        <f>IFERROR(__xludf.DUMMYFUNCTION("""COMPUTED_VALUE"""),"{""typ"":""lc"",""txt"":""LC_ITEM_thanks23_march_effect_name_desc""}")</f>
        <v>{"typ":"lc","txt":"LC_ITEM_thanks23_march_effect_name_desc"}</v>
      </c>
      <c r="L2039" s="148" t="str">
        <f>IFERROR(__xludf.DUMMYFUNCTION("""COMPUTED_VALUE"""),"{""typ"":""lc"",""txt"":""LC_ITEM_thanks23_march_effect_use_tip_1d""}")</f>
        <v>{"typ":"lc","txt":"LC_ITEM_thanks23_march_effect_use_tip_1d"}</v>
      </c>
      <c r="M2039" s="148">
        <f>IFERROR(__xludf.DUMMYFUNCTION("""COMPUTED_VALUE"""),50.0)</f>
        <v>50</v>
      </c>
      <c r="N2039" s="148">
        <f>IFERROR(__xludf.DUMMYFUNCTION("""COMPUTED_VALUE"""),999999.0)</f>
        <v>999999</v>
      </c>
      <c r="O2039" s="148">
        <f>IFERROR(__xludf.DUMMYFUNCTION("""COMPUTED_VALUE"""),99999.0)</f>
        <v>99999</v>
      </c>
      <c r="P2039" s="148">
        <f>IFERROR(__xludf.DUMMYFUNCTION("""COMPUTED_VALUE"""),1.0)</f>
        <v>1</v>
      </c>
      <c r="Q2039" s="148" t="str">
        <f>IFERROR(__xludf.DUMMYFUNCTION("""COMPUTED_VALUE"""),"[""bag_other""]")</f>
        <v>["bag_other"]</v>
      </c>
      <c r="R2039" s="148" t="str">
        <f>IFERROR(__xludf.DUMMYFUNCTION("""COMPUTED_VALUE"""),"[""bag"",""13650114""]")</f>
        <v>["bag","13650114"]</v>
      </c>
      <c r="S2039" s="148" t="str">
        <f>IFERROR(__xludf.DUMMYFUNCTION("""COMPUTED_VALUE"""),"{""effect"":[{""typ"":""marching_effect"",""id"":13650114,""val"":86400000},{""typ"":""vm"",""id"":11151001,""val"":50}]}")</f>
        <v>{"effect":[{"typ":"marching_effect","id":13650114,"val":86400000},{"typ":"vm","id":11151001,"val":50}]}</v>
      </c>
      <c r="T2039" s="148">
        <f>IFERROR(__xludf.DUMMYFUNCTION("""COMPUTED_VALUE"""),-1.0)</f>
        <v>-1</v>
      </c>
      <c r="U2039" s="148">
        <f>IFERROR(__xludf.DUMMYFUNCTION("""COMPUTED_VALUE"""),0.0)</f>
        <v>0</v>
      </c>
      <c r="V2039" s="148" t="str">
        <f>IFERROR(__xludf.DUMMYFUNCTION("""COMPUTED_VALUE"""),"[]")</f>
        <v>[]</v>
      </c>
      <c r="W2039" s="148">
        <f>IFERROR(__xludf.DUMMYFUNCTION("""COMPUTED_VALUE"""),1.174E7)</f>
        <v>11740000</v>
      </c>
      <c r="X2039" s="148">
        <f>IFERROR(__xludf.DUMMYFUNCTION("""COMPUTED_VALUE"""),0.0)</f>
        <v>0</v>
      </c>
      <c r="Y2039" s="148">
        <f>IFERROR(__xludf.DUMMYFUNCTION("""COMPUTED_VALUE"""),0.0)</f>
        <v>0</v>
      </c>
      <c r="Z2039" s="148"/>
    </row>
    <row r="2040">
      <c r="A2040" s="148">
        <f>IFERROR(__xludf.DUMMYFUNCTION("""COMPUTED_VALUE"""),1.1118669E7)</f>
        <v>11118669</v>
      </c>
      <c r="B2040" s="148" t="str">
        <f>IFERROR(__xludf.DUMMYFUNCTION("""COMPUTED_VALUE"""),"行军特效-金穗浓情-3天限时")</f>
        <v>行军特效-金穗浓情-3天限时</v>
      </c>
      <c r="C2040" s="148"/>
      <c r="D2040" s="148" t="str">
        <f>IFERROR(__xludf.DUMMYFUNCTION("""COMPUTED_VALUE"""),"marching_effect")</f>
        <v>marching_effect</v>
      </c>
      <c r="E2040" s="148">
        <f>IFERROR(__xludf.DUMMYFUNCTION("""COMPUTED_VALUE"""),0.0)</f>
        <v>0</v>
      </c>
      <c r="F2040" s="148">
        <f>IFERROR(__xludf.DUMMYFUNCTION("""COMPUTED_VALUE"""),408199.0)</f>
        <v>408199</v>
      </c>
      <c r="G2040" s="148">
        <f>IFERROR(__xludf.DUMMYFUNCTION("""COMPUTED_VALUE"""),1.5117348E7)</f>
        <v>15117348</v>
      </c>
      <c r="H2040" s="148">
        <f>IFERROR(__xludf.DUMMYFUNCTION("""COMPUTED_VALUE"""),1.5112561E7)</f>
        <v>15112561</v>
      </c>
      <c r="I2040" s="148" t="str">
        <f>IFERROR(__xludf.DUMMYFUNCTION("""COMPUTED_VALUE"""),"{""typ"":""lc"",""txt"":""LC_ITEM_time_day_upper_show"",""args"":[{""typ"":""int_unit"",""val"":3}]}")</f>
        <v>{"typ":"lc","txt":"LC_ITEM_time_day_upper_show","args":[{"typ":"int_unit","val":3}]}</v>
      </c>
      <c r="J2040" s="148" t="str">
        <f>IFERROR(__xludf.DUMMYFUNCTION("""COMPUTED_VALUE"""),"{""typ"":""lc"",""txt"":""LC_ITEM_thanks23_march_effect_name""}")</f>
        <v>{"typ":"lc","txt":"LC_ITEM_thanks23_march_effect_name"}</v>
      </c>
      <c r="K2040" s="148" t="str">
        <f>IFERROR(__xludf.DUMMYFUNCTION("""COMPUTED_VALUE"""),"{""typ"":""lc"",""txt"":""LC_ITEM_thanks23_march_effect_name_desc""}")</f>
        <v>{"typ":"lc","txt":"LC_ITEM_thanks23_march_effect_name_desc"}</v>
      </c>
      <c r="L2040" s="148" t="str">
        <f>IFERROR(__xludf.DUMMYFUNCTION("""COMPUTED_VALUE"""),"{""typ"":""lc"",""txt"":""LC_ITEM_thanks23_march_effect_use_tip_3d""}")</f>
        <v>{"typ":"lc","txt":"LC_ITEM_thanks23_march_effect_use_tip_3d"}</v>
      </c>
      <c r="M2040" s="148">
        <f>IFERROR(__xludf.DUMMYFUNCTION("""COMPUTED_VALUE"""),200.0)</f>
        <v>200</v>
      </c>
      <c r="N2040" s="148">
        <f>IFERROR(__xludf.DUMMYFUNCTION("""COMPUTED_VALUE"""),999999.0)</f>
        <v>999999</v>
      </c>
      <c r="O2040" s="148">
        <f>IFERROR(__xludf.DUMMYFUNCTION("""COMPUTED_VALUE"""),99999.0)</f>
        <v>99999</v>
      </c>
      <c r="P2040" s="148">
        <f>IFERROR(__xludf.DUMMYFUNCTION("""COMPUTED_VALUE"""),1.0)</f>
        <v>1</v>
      </c>
      <c r="Q2040" s="148" t="str">
        <f>IFERROR(__xludf.DUMMYFUNCTION("""COMPUTED_VALUE"""),"[""bag_other""]")</f>
        <v>["bag_other"]</v>
      </c>
      <c r="R2040" s="148" t="str">
        <f>IFERROR(__xludf.DUMMYFUNCTION("""COMPUTED_VALUE"""),"[""bag"",""13650114""]")</f>
        <v>["bag","13650114"]</v>
      </c>
      <c r="S2040" s="148" t="str">
        <f>IFERROR(__xludf.DUMMYFUNCTION("""COMPUTED_VALUE"""),"{""effect"":[{""typ"":""marching_effect"",""id"":13650114,""val"":259200000},{""typ"":""vm"",""id"":11151001,""val"":200}]}")</f>
        <v>{"effect":[{"typ":"marching_effect","id":13650114,"val":259200000},{"typ":"vm","id":11151001,"val":200}]}</v>
      </c>
      <c r="T2040" s="148">
        <f>IFERROR(__xludf.DUMMYFUNCTION("""COMPUTED_VALUE"""),-1.0)</f>
        <v>-1</v>
      </c>
      <c r="U2040" s="148">
        <f>IFERROR(__xludf.DUMMYFUNCTION("""COMPUTED_VALUE"""),0.0)</f>
        <v>0</v>
      </c>
      <c r="V2040" s="148" t="str">
        <f>IFERROR(__xludf.DUMMYFUNCTION("""COMPUTED_VALUE"""),"[]")</f>
        <v>[]</v>
      </c>
      <c r="W2040" s="148">
        <f>IFERROR(__xludf.DUMMYFUNCTION("""COMPUTED_VALUE"""),1.174E7)</f>
        <v>11740000</v>
      </c>
      <c r="X2040" s="148">
        <f>IFERROR(__xludf.DUMMYFUNCTION("""COMPUTED_VALUE"""),0.0)</f>
        <v>0</v>
      </c>
      <c r="Y2040" s="148">
        <f>IFERROR(__xludf.DUMMYFUNCTION("""COMPUTED_VALUE"""),0.0)</f>
        <v>0</v>
      </c>
      <c r="Z2040" s="148"/>
    </row>
    <row r="2041">
      <c r="A2041" s="148">
        <f>IFERROR(__xludf.DUMMYFUNCTION("""COMPUTED_VALUE"""),1.111867E7)</f>
        <v>11118670</v>
      </c>
      <c r="B2041" s="148" t="str">
        <f>IFERROR(__xludf.DUMMYFUNCTION("""COMPUTED_VALUE"""),"行军特效-金穗浓情-7天限时")</f>
        <v>行军特效-金穗浓情-7天限时</v>
      </c>
      <c r="C2041" s="148"/>
      <c r="D2041" s="148" t="str">
        <f>IFERROR(__xludf.DUMMYFUNCTION("""COMPUTED_VALUE"""),"marching_effect")</f>
        <v>marching_effect</v>
      </c>
      <c r="E2041" s="148">
        <f>IFERROR(__xludf.DUMMYFUNCTION("""COMPUTED_VALUE"""),0.0)</f>
        <v>0</v>
      </c>
      <c r="F2041" s="148">
        <f>IFERROR(__xludf.DUMMYFUNCTION("""COMPUTED_VALUE"""),408198.0)</f>
        <v>408198</v>
      </c>
      <c r="G2041" s="148">
        <f>IFERROR(__xludf.DUMMYFUNCTION("""COMPUTED_VALUE"""),1.5117348E7)</f>
        <v>15117348</v>
      </c>
      <c r="H2041" s="148">
        <f>IFERROR(__xludf.DUMMYFUNCTION("""COMPUTED_VALUE"""),1.5112562E7)</f>
        <v>15112562</v>
      </c>
      <c r="I2041" s="148" t="str">
        <f>IFERROR(__xludf.DUMMYFUNCTION("""COMPUTED_VALUE"""),"{""typ"":""lc"",""txt"":""LC_ITEM_time_day_upper_show"",""args"":[{""typ"":""int_unit"",""val"":7}]}")</f>
        <v>{"typ":"lc","txt":"LC_ITEM_time_day_upper_show","args":[{"typ":"int_unit","val":7}]}</v>
      </c>
      <c r="J2041" s="148" t="str">
        <f>IFERROR(__xludf.DUMMYFUNCTION("""COMPUTED_VALUE"""),"{""typ"":""lc"",""txt"":""LC_ITEM_thanks23_march_effect_name""}")</f>
        <v>{"typ":"lc","txt":"LC_ITEM_thanks23_march_effect_name"}</v>
      </c>
      <c r="K2041" s="148" t="str">
        <f>IFERROR(__xludf.DUMMYFUNCTION("""COMPUTED_VALUE"""),"{""typ"":""lc"",""txt"":""LC_ITEM_thanks23_march_effect_name_desc""}")</f>
        <v>{"typ":"lc","txt":"LC_ITEM_thanks23_march_effect_name_desc"}</v>
      </c>
      <c r="L2041" s="148" t="str">
        <f>IFERROR(__xludf.DUMMYFUNCTION("""COMPUTED_VALUE"""),"{""typ"":""lc"",""txt"":""LC_ITEM_thanks23_march_effect_use_tip_7d""}")</f>
        <v>{"typ":"lc","txt":"LC_ITEM_thanks23_march_effect_use_tip_7d"}</v>
      </c>
      <c r="M2041" s="148">
        <f>IFERROR(__xludf.DUMMYFUNCTION("""COMPUTED_VALUE"""),500.0)</f>
        <v>500</v>
      </c>
      <c r="N2041" s="148">
        <f>IFERROR(__xludf.DUMMYFUNCTION("""COMPUTED_VALUE"""),999999.0)</f>
        <v>999999</v>
      </c>
      <c r="O2041" s="148">
        <f>IFERROR(__xludf.DUMMYFUNCTION("""COMPUTED_VALUE"""),99999.0)</f>
        <v>99999</v>
      </c>
      <c r="P2041" s="148">
        <f>IFERROR(__xludf.DUMMYFUNCTION("""COMPUTED_VALUE"""),1.0)</f>
        <v>1</v>
      </c>
      <c r="Q2041" s="148" t="str">
        <f>IFERROR(__xludf.DUMMYFUNCTION("""COMPUTED_VALUE"""),"[""bag_other""]")</f>
        <v>["bag_other"]</v>
      </c>
      <c r="R2041" s="148" t="str">
        <f>IFERROR(__xludf.DUMMYFUNCTION("""COMPUTED_VALUE"""),"[""bag"",""13650114""]")</f>
        <v>["bag","13650114"]</v>
      </c>
      <c r="S2041" s="148" t="str">
        <f>IFERROR(__xludf.DUMMYFUNCTION("""COMPUTED_VALUE"""),"{""effect"":[{""typ"":""marching_effect"",""id"":13650114,""val"":604800000},{""typ"":""vm"",""id"":11151001,""val"":500}]}")</f>
        <v>{"effect":[{"typ":"marching_effect","id":13650114,"val":604800000},{"typ":"vm","id":11151001,"val":500}]}</v>
      </c>
      <c r="T2041" s="148">
        <f>IFERROR(__xludf.DUMMYFUNCTION("""COMPUTED_VALUE"""),-1.0)</f>
        <v>-1</v>
      </c>
      <c r="U2041" s="148">
        <f>IFERROR(__xludf.DUMMYFUNCTION("""COMPUTED_VALUE"""),0.0)</f>
        <v>0</v>
      </c>
      <c r="V2041" s="148" t="str">
        <f>IFERROR(__xludf.DUMMYFUNCTION("""COMPUTED_VALUE"""),"[]")</f>
        <v>[]</v>
      </c>
      <c r="W2041" s="148">
        <f>IFERROR(__xludf.DUMMYFUNCTION("""COMPUTED_VALUE"""),1.174E7)</f>
        <v>11740000</v>
      </c>
      <c r="X2041" s="148">
        <f>IFERROR(__xludf.DUMMYFUNCTION("""COMPUTED_VALUE"""),0.0)</f>
        <v>0</v>
      </c>
      <c r="Y2041" s="148">
        <f>IFERROR(__xludf.DUMMYFUNCTION("""COMPUTED_VALUE"""),0.0)</f>
        <v>0</v>
      </c>
      <c r="Z2041" s="148"/>
    </row>
    <row r="2042">
      <c r="A2042" s="148">
        <f>IFERROR(__xludf.DUMMYFUNCTION("""COMPUTED_VALUE"""),1.1118671E7)</f>
        <v>11118671</v>
      </c>
      <c r="B2042" s="148" t="str">
        <f>IFERROR(__xludf.DUMMYFUNCTION("""COMPUTED_VALUE"""),"行军特效-金穗浓情-14天限时")</f>
        <v>行军特效-金穗浓情-14天限时</v>
      </c>
      <c r="C2042" s="148"/>
      <c r="D2042" s="148" t="str">
        <f>IFERROR(__xludf.DUMMYFUNCTION("""COMPUTED_VALUE"""),"marching_effect")</f>
        <v>marching_effect</v>
      </c>
      <c r="E2042" s="148">
        <f>IFERROR(__xludf.DUMMYFUNCTION("""COMPUTED_VALUE"""),0.0)</f>
        <v>0</v>
      </c>
      <c r="F2042" s="148">
        <f>IFERROR(__xludf.DUMMYFUNCTION("""COMPUTED_VALUE"""),408197.0)</f>
        <v>408197</v>
      </c>
      <c r="G2042" s="148">
        <f>IFERROR(__xludf.DUMMYFUNCTION("""COMPUTED_VALUE"""),1.5117348E7)</f>
        <v>15117348</v>
      </c>
      <c r="H2042" s="148">
        <f>IFERROR(__xludf.DUMMYFUNCTION("""COMPUTED_VALUE"""),1.5112563E7)</f>
        <v>15112563</v>
      </c>
      <c r="I2042" s="148" t="str">
        <f>IFERROR(__xludf.DUMMYFUNCTION("""COMPUTED_VALUE"""),"{""typ"":""lc"",""txt"":""LC_ITEM_time_day_upper_show"",""args"":[{""typ"":""int_unit"",""val"":14}]}")</f>
        <v>{"typ":"lc","txt":"LC_ITEM_time_day_upper_show","args":[{"typ":"int_unit","val":14}]}</v>
      </c>
      <c r="J2042" s="148" t="str">
        <f>IFERROR(__xludf.DUMMYFUNCTION("""COMPUTED_VALUE"""),"{""typ"":""lc"",""txt"":""LC_ITEM_thanks23_march_effect_name""}")</f>
        <v>{"typ":"lc","txt":"LC_ITEM_thanks23_march_effect_name"}</v>
      </c>
      <c r="K2042" s="148" t="str">
        <f>IFERROR(__xludf.DUMMYFUNCTION("""COMPUTED_VALUE"""),"{""typ"":""lc"",""txt"":""LC_ITEM_thanks23_march_effect_name_desc""}")</f>
        <v>{"typ":"lc","txt":"LC_ITEM_thanks23_march_effect_name_desc"}</v>
      </c>
      <c r="L2042" s="148" t="str">
        <f>IFERROR(__xludf.DUMMYFUNCTION("""COMPUTED_VALUE"""),"{""typ"":""lc"",""txt"":""LC_ITEM_thanks23_march_effect_use_tip_14d""}")</f>
        <v>{"typ":"lc","txt":"LC_ITEM_thanks23_march_effect_use_tip_14d"}</v>
      </c>
      <c r="M2042" s="148">
        <f>IFERROR(__xludf.DUMMYFUNCTION("""COMPUTED_VALUE"""),1000.0)</f>
        <v>1000</v>
      </c>
      <c r="N2042" s="148">
        <f>IFERROR(__xludf.DUMMYFUNCTION("""COMPUTED_VALUE"""),999999.0)</f>
        <v>999999</v>
      </c>
      <c r="O2042" s="148">
        <f>IFERROR(__xludf.DUMMYFUNCTION("""COMPUTED_VALUE"""),99999.0)</f>
        <v>99999</v>
      </c>
      <c r="P2042" s="148">
        <f>IFERROR(__xludf.DUMMYFUNCTION("""COMPUTED_VALUE"""),1.0)</f>
        <v>1</v>
      </c>
      <c r="Q2042" s="148" t="str">
        <f>IFERROR(__xludf.DUMMYFUNCTION("""COMPUTED_VALUE"""),"[""bag_other""]")</f>
        <v>["bag_other"]</v>
      </c>
      <c r="R2042" s="148" t="str">
        <f>IFERROR(__xludf.DUMMYFUNCTION("""COMPUTED_VALUE"""),"[""bag"",""13650114""]")</f>
        <v>["bag","13650114"]</v>
      </c>
      <c r="S2042" s="148" t="str">
        <f>IFERROR(__xludf.DUMMYFUNCTION("""COMPUTED_VALUE"""),"{""effect"":[{""typ"":""marching_effect"",""id"":13650114,""val"":1209600000},{""typ"":""vm"",""id"":11151001,""val"":1000}]}")</f>
        <v>{"effect":[{"typ":"marching_effect","id":13650114,"val":1209600000},{"typ":"vm","id":11151001,"val":1000}]}</v>
      </c>
      <c r="T2042" s="148">
        <f>IFERROR(__xludf.DUMMYFUNCTION("""COMPUTED_VALUE"""),-1.0)</f>
        <v>-1</v>
      </c>
      <c r="U2042" s="148">
        <f>IFERROR(__xludf.DUMMYFUNCTION("""COMPUTED_VALUE"""),0.0)</f>
        <v>0</v>
      </c>
      <c r="V2042" s="148" t="str">
        <f>IFERROR(__xludf.DUMMYFUNCTION("""COMPUTED_VALUE"""),"[]")</f>
        <v>[]</v>
      </c>
      <c r="W2042" s="148">
        <f>IFERROR(__xludf.DUMMYFUNCTION("""COMPUTED_VALUE"""),1.174E7)</f>
        <v>11740000</v>
      </c>
      <c r="X2042" s="148">
        <f>IFERROR(__xludf.DUMMYFUNCTION("""COMPUTED_VALUE"""),0.0)</f>
        <v>0</v>
      </c>
      <c r="Y2042" s="148">
        <f>IFERROR(__xludf.DUMMYFUNCTION("""COMPUTED_VALUE"""),0.0)</f>
        <v>0</v>
      </c>
      <c r="Z2042" s="148"/>
    </row>
    <row r="2043">
      <c r="A2043" s="148">
        <f>IFERROR(__xludf.DUMMYFUNCTION("""COMPUTED_VALUE"""),1.1118672E7)</f>
        <v>11118672</v>
      </c>
      <c r="B2043" s="148" t="str">
        <f>IFERROR(__xludf.DUMMYFUNCTION("""COMPUTED_VALUE"""),"行军特效-金穗浓情-30天限时")</f>
        <v>行军特效-金穗浓情-30天限时</v>
      </c>
      <c r="C2043" s="148"/>
      <c r="D2043" s="148" t="str">
        <f>IFERROR(__xludf.DUMMYFUNCTION("""COMPUTED_VALUE"""),"marching_effect")</f>
        <v>marching_effect</v>
      </c>
      <c r="E2043" s="148">
        <f>IFERROR(__xludf.DUMMYFUNCTION("""COMPUTED_VALUE"""),0.0)</f>
        <v>0</v>
      </c>
      <c r="F2043" s="148">
        <f>IFERROR(__xludf.DUMMYFUNCTION("""COMPUTED_VALUE"""),408196.0)</f>
        <v>408196</v>
      </c>
      <c r="G2043" s="148">
        <f>IFERROR(__xludf.DUMMYFUNCTION("""COMPUTED_VALUE"""),1.5117348E7)</f>
        <v>15117348</v>
      </c>
      <c r="H2043" s="148">
        <f>IFERROR(__xludf.DUMMYFUNCTION("""COMPUTED_VALUE"""),1.5112563E7)</f>
        <v>15112563</v>
      </c>
      <c r="I2043" s="148" t="str">
        <f>IFERROR(__xludf.DUMMYFUNCTION("""COMPUTED_VALUE"""),"{""typ"":""lc"",""txt"":""LC_ITEM_time_day_upper_show"",""args"":[{""typ"":""int_unit"",""val"":30}]}")</f>
        <v>{"typ":"lc","txt":"LC_ITEM_time_day_upper_show","args":[{"typ":"int_unit","val":30}]}</v>
      </c>
      <c r="J2043" s="148" t="str">
        <f>IFERROR(__xludf.DUMMYFUNCTION("""COMPUTED_VALUE"""),"{""typ"":""lc"",""txt"":""LC_ITEM_thanks23_march_effect_name""}")</f>
        <v>{"typ":"lc","txt":"LC_ITEM_thanks23_march_effect_name"}</v>
      </c>
      <c r="K2043" s="148" t="str">
        <f>IFERROR(__xludf.DUMMYFUNCTION("""COMPUTED_VALUE"""),"{""typ"":""lc"",""txt"":""LC_ITEM_thanks23_march_effect_name_desc""}")</f>
        <v>{"typ":"lc","txt":"LC_ITEM_thanks23_march_effect_name_desc"}</v>
      </c>
      <c r="L2043" s="148" t="str">
        <f>IFERROR(__xludf.DUMMYFUNCTION("""COMPUTED_VALUE"""),"{""typ"":""lc"",""txt"":""LC_ITEM_thanks23_march_effect_use_tip_30d""}")</f>
        <v>{"typ":"lc","txt":"LC_ITEM_thanks23_march_effect_use_tip_30d"}</v>
      </c>
      <c r="M2043" s="148">
        <f>IFERROR(__xludf.DUMMYFUNCTION("""COMPUTED_VALUE"""),2000.0)</f>
        <v>2000</v>
      </c>
      <c r="N2043" s="148">
        <f>IFERROR(__xludf.DUMMYFUNCTION("""COMPUTED_VALUE"""),999999.0)</f>
        <v>999999</v>
      </c>
      <c r="O2043" s="148">
        <f>IFERROR(__xludf.DUMMYFUNCTION("""COMPUTED_VALUE"""),99999.0)</f>
        <v>99999</v>
      </c>
      <c r="P2043" s="148">
        <f>IFERROR(__xludf.DUMMYFUNCTION("""COMPUTED_VALUE"""),1.0)</f>
        <v>1</v>
      </c>
      <c r="Q2043" s="148" t="str">
        <f>IFERROR(__xludf.DUMMYFUNCTION("""COMPUTED_VALUE"""),"[""bag_other""]")</f>
        <v>["bag_other"]</v>
      </c>
      <c r="R2043" s="148" t="str">
        <f>IFERROR(__xludf.DUMMYFUNCTION("""COMPUTED_VALUE"""),"[""bag"",""13650114""]")</f>
        <v>["bag","13650114"]</v>
      </c>
      <c r="S2043" s="148" t="str">
        <f>IFERROR(__xludf.DUMMYFUNCTION("""COMPUTED_VALUE"""),"{""effect"":[{""typ"":""marching_effect"",""id"":13650114,""val"":2592000000},{""typ"":""vm"",""id"":11151001,""val"":1000}]}")</f>
        <v>{"effect":[{"typ":"marching_effect","id":13650114,"val":2592000000},{"typ":"vm","id":11151001,"val":1000}]}</v>
      </c>
      <c r="T2043" s="148">
        <f>IFERROR(__xludf.DUMMYFUNCTION("""COMPUTED_VALUE"""),-1.0)</f>
        <v>-1</v>
      </c>
      <c r="U2043" s="148">
        <f>IFERROR(__xludf.DUMMYFUNCTION("""COMPUTED_VALUE"""),0.0)</f>
        <v>0</v>
      </c>
      <c r="V2043" s="148" t="str">
        <f>IFERROR(__xludf.DUMMYFUNCTION("""COMPUTED_VALUE"""),"[]")</f>
        <v>[]</v>
      </c>
      <c r="W2043" s="148">
        <f>IFERROR(__xludf.DUMMYFUNCTION("""COMPUTED_VALUE"""),1.174E7)</f>
        <v>11740000</v>
      </c>
      <c r="X2043" s="148">
        <f>IFERROR(__xludf.DUMMYFUNCTION("""COMPUTED_VALUE"""),0.0)</f>
        <v>0</v>
      </c>
      <c r="Y2043" s="148">
        <f>IFERROR(__xludf.DUMMYFUNCTION("""COMPUTED_VALUE"""),0.0)</f>
        <v>0</v>
      </c>
      <c r="Z2043" s="148"/>
    </row>
    <row r="2044">
      <c r="A2044" s="148">
        <f>IFERROR(__xludf.DUMMYFUNCTION("""COMPUTED_VALUE"""),1.1118673E7)</f>
        <v>11118673</v>
      </c>
      <c r="B2044" s="148" t="str">
        <f>IFERROR(__xludf.DUMMYFUNCTION("""COMPUTED_VALUE"""),"行军特效-金穗浓情-永久")</f>
        <v>行军特效-金穗浓情-永久</v>
      </c>
      <c r="C2044" s="148"/>
      <c r="D2044" s="148" t="str">
        <f>IFERROR(__xludf.DUMMYFUNCTION("""COMPUTED_VALUE"""),"marching_effect")</f>
        <v>marching_effect</v>
      </c>
      <c r="E2044" s="148">
        <f>IFERROR(__xludf.DUMMYFUNCTION("""COMPUTED_VALUE"""),0.0)</f>
        <v>0</v>
      </c>
      <c r="F2044" s="148">
        <f>IFERROR(__xludf.DUMMYFUNCTION("""COMPUTED_VALUE"""),408195.0)</f>
        <v>408195</v>
      </c>
      <c r="G2044" s="148">
        <f>IFERROR(__xludf.DUMMYFUNCTION("""COMPUTED_VALUE"""),1.5117348E7)</f>
        <v>15117348</v>
      </c>
      <c r="H2044" s="148">
        <f>IFERROR(__xludf.DUMMYFUNCTION("""COMPUTED_VALUE"""),1.5112564E7)</f>
        <v>15112564</v>
      </c>
      <c r="I2044" s="148" t="str">
        <f>IFERROR(__xludf.DUMMYFUNCTION("""COMPUTED_VALUE"""),"{}")</f>
        <v>{}</v>
      </c>
      <c r="J2044" s="148" t="str">
        <f>IFERROR(__xludf.DUMMYFUNCTION("""COMPUTED_VALUE"""),"{""typ"":""lc"",""txt"":""LC_ITEM_thanks23_march_effect_name""}")</f>
        <v>{"typ":"lc","txt":"LC_ITEM_thanks23_march_effect_name"}</v>
      </c>
      <c r="K2044" s="148" t="str">
        <f>IFERROR(__xludf.DUMMYFUNCTION("""COMPUTED_VALUE"""),"{""typ"":""lc"",""txt"":""LC_ITEM_thanks23_march_effect_name_desc""}")</f>
        <v>{"typ":"lc","txt":"LC_ITEM_thanks23_march_effect_name_desc"}</v>
      </c>
      <c r="L2044" s="148" t="str">
        <f>IFERROR(__xludf.DUMMYFUNCTION("""COMPUTED_VALUE"""),"{""typ"":""lc"",""txt"":""LC_ITEM_thanks23_march_effect_use_tip""}")</f>
        <v>{"typ":"lc","txt":"LC_ITEM_thanks23_march_effect_use_tip"}</v>
      </c>
      <c r="M2044" s="148">
        <f>IFERROR(__xludf.DUMMYFUNCTION("""COMPUTED_VALUE"""),5000.0)</f>
        <v>5000</v>
      </c>
      <c r="N2044" s="148">
        <f>IFERROR(__xludf.DUMMYFUNCTION("""COMPUTED_VALUE"""),999999.0)</f>
        <v>999999</v>
      </c>
      <c r="O2044" s="148">
        <f>IFERROR(__xludf.DUMMYFUNCTION("""COMPUTED_VALUE"""),99999.0)</f>
        <v>99999</v>
      </c>
      <c r="P2044" s="148">
        <f>IFERROR(__xludf.DUMMYFUNCTION("""COMPUTED_VALUE"""),1.0)</f>
        <v>1</v>
      </c>
      <c r="Q2044" s="148" t="str">
        <f>IFERROR(__xludf.DUMMYFUNCTION("""COMPUTED_VALUE"""),"[""bag_other""]")</f>
        <v>["bag_other"]</v>
      </c>
      <c r="R2044" s="148" t="str">
        <f>IFERROR(__xludf.DUMMYFUNCTION("""COMPUTED_VALUE"""),"[""bag"",""13650114""]")</f>
        <v>["bag","13650114"]</v>
      </c>
      <c r="S2044" s="148" t="str">
        <f>IFERROR(__xludf.DUMMYFUNCTION("""COMPUTED_VALUE"""),"{""effect"":[{""typ"":""marching_effect"",""id"":13650114,""val"":-1},{""typ"":""vm"",""id"":11151001,""val"":2500}]}")</f>
        <v>{"effect":[{"typ":"marching_effect","id":13650114,"val":-1},{"typ":"vm","id":11151001,"val":2500}]}</v>
      </c>
      <c r="T2044" s="148">
        <f>IFERROR(__xludf.DUMMYFUNCTION("""COMPUTED_VALUE"""),-1.0)</f>
        <v>-1</v>
      </c>
      <c r="U2044" s="148">
        <f>IFERROR(__xludf.DUMMYFUNCTION("""COMPUTED_VALUE"""),0.0)</f>
        <v>0</v>
      </c>
      <c r="V2044" s="148" t="str">
        <f>IFERROR(__xludf.DUMMYFUNCTION("""COMPUTED_VALUE"""),"[]")</f>
        <v>[]</v>
      </c>
      <c r="W2044" s="148">
        <f>IFERROR(__xludf.DUMMYFUNCTION("""COMPUTED_VALUE"""),1.174E7)</f>
        <v>11740000</v>
      </c>
      <c r="X2044" s="148">
        <f>IFERROR(__xludf.DUMMYFUNCTION("""COMPUTED_VALUE"""),0.0)</f>
        <v>0</v>
      </c>
      <c r="Y2044" s="148">
        <f>IFERROR(__xludf.DUMMYFUNCTION("""COMPUTED_VALUE"""),0.0)</f>
        <v>0</v>
      </c>
      <c r="Z2044" s="148"/>
    </row>
    <row r="2045">
      <c r="A2045" s="148">
        <f>IFERROR(__xludf.DUMMYFUNCTION("""COMPUTED_VALUE"""),1.1118674E7)</f>
        <v>11118674</v>
      </c>
      <c r="B2045" s="148" t="str">
        <f>IFERROR(__xludf.DUMMYFUNCTION("""COMPUTED_VALUE"""),"铭牌-感恩节2023铭牌")</f>
        <v>铭牌-感恩节2023铭牌</v>
      </c>
      <c r="C2045" s="148"/>
      <c r="D2045" s="148" t="str">
        <f>IFERROR(__xludf.DUMMYFUNCTION("""COMPUTED_VALUE"""),"chat_skin")</f>
        <v>chat_skin</v>
      </c>
      <c r="E2045" s="148">
        <f>IFERROR(__xludf.DUMMYFUNCTION("""COMPUTED_VALUE"""),30.0)</f>
        <v>30</v>
      </c>
      <c r="F2045" s="148">
        <f>IFERROR(__xludf.DUMMYFUNCTION("""COMPUTED_VALUE"""),401107.0)</f>
        <v>401107</v>
      </c>
      <c r="G2045" s="148">
        <f>IFERROR(__xludf.DUMMYFUNCTION("""COMPUTED_VALUE"""),1.5117349E7)</f>
        <v>15117349</v>
      </c>
      <c r="H2045" s="148">
        <f>IFERROR(__xludf.DUMMYFUNCTION("""COMPUTED_VALUE"""),1.5112564E7)</f>
        <v>15112564</v>
      </c>
      <c r="I2045" s="148" t="str">
        <f>IFERROR(__xludf.DUMMYFUNCTION("""COMPUTED_VALUE"""),"{}")</f>
        <v>{}</v>
      </c>
      <c r="J2045" s="148" t="str">
        <f>IFERROR(__xludf.DUMMYFUNCTION("""COMPUTED_VALUE"""),"{""typ"":""lc"",""txt"":""LC_ITEM_thanks23_nameplate_name""}")</f>
        <v>{"typ":"lc","txt":"LC_ITEM_thanks23_nameplate_name"}</v>
      </c>
      <c r="K2045" s="148" t="str">
        <f>IFERROR(__xludf.DUMMYFUNCTION("""COMPUTED_VALUE"""),"{""typ"":""lc"",""txt"":""LC_ITEM_thanks23_nameplate_name_desc_item""}")</f>
        <v>{"typ":"lc","txt":"LC_ITEM_thanks23_nameplate_name_desc_item"}</v>
      </c>
      <c r="L2045" s="148" t="str">
        <f>IFERROR(__xludf.DUMMYFUNCTION("""COMPUTED_VALUE"""),"{""typ"":""lc"",""txt"":""LC_ITEM_season_extra_reward_usedtip""}")</f>
        <v>{"typ":"lc","txt":"LC_ITEM_season_extra_reward_usedtip"}</v>
      </c>
      <c r="M2045" s="148">
        <f>IFERROR(__xludf.DUMMYFUNCTION("""COMPUTED_VALUE"""),2500.0)</f>
        <v>2500</v>
      </c>
      <c r="N2045" s="148">
        <f>IFERROR(__xludf.DUMMYFUNCTION("""COMPUTED_VALUE"""),9999999.0)</f>
        <v>9999999</v>
      </c>
      <c r="O2045" s="148">
        <f>IFERROR(__xludf.DUMMYFUNCTION("""COMPUTED_VALUE"""),1.0)</f>
        <v>1</v>
      </c>
      <c r="P2045" s="148">
        <f>IFERROR(__xludf.DUMMYFUNCTION("""COMPUTED_VALUE"""),1.0)</f>
        <v>1</v>
      </c>
      <c r="Q2045" s="148" t="str">
        <f>IFERROR(__xludf.DUMMYFUNCTION("""COMPUTED_VALUE"""),"[""bag_other""]")</f>
        <v>["bag_other"]</v>
      </c>
      <c r="R2045" s="148" t="str">
        <f>IFERROR(__xludf.DUMMYFUNCTION("""COMPUTED_VALUE"""),"[""11731016"",""bag""]")</f>
        <v>["11731016","bag"]</v>
      </c>
      <c r="S2045" s="148" t="str">
        <f>IFERROR(__xludf.DUMMYFUNCTION("""COMPUTED_VALUE"""),"{""effect"":[{""typ"":""nameplate"",""id"":11731016,""val"":-1}]}")</f>
        <v>{"effect":[{"typ":"nameplate","id":11731016,"val":-1}]}</v>
      </c>
      <c r="T2045" s="148">
        <f>IFERROR(__xludf.DUMMYFUNCTION("""COMPUTED_VALUE"""),-1.0)</f>
        <v>-1</v>
      </c>
      <c r="U2045" s="148">
        <f>IFERROR(__xludf.DUMMYFUNCTION("""COMPUTED_VALUE"""),0.0)</f>
        <v>0</v>
      </c>
      <c r="V2045" s="148" t="str">
        <f>IFERROR(__xludf.DUMMYFUNCTION("""COMPUTED_VALUE"""),"[]")</f>
        <v>[]</v>
      </c>
      <c r="W2045" s="148">
        <f>IFERROR(__xludf.DUMMYFUNCTION("""COMPUTED_VALUE"""),1.174E7)</f>
        <v>11740000</v>
      </c>
      <c r="X2045" s="148">
        <f>IFERROR(__xludf.DUMMYFUNCTION("""COMPUTED_VALUE"""),0.0)</f>
        <v>0</v>
      </c>
      <c r="Y2045" s="148">
        <f>IFERROR(__xludf.DUMMYFUNCTION("""COMPUTED_VALUE"""),0.0)</f>
        <v>0</v>
      </c>
      <c r="Z2045" s="148"/>
    </row>
    <row r="2046">
      <c r="A2046" s="148">
        <f>IFERROR(__xludf.DUMMYFUNCTION("""COMPUTED_VALUE"""),1.1118675E7)</f>
        <v>11118675</v>
      </c>
      <c r="B2046" s="148" t="str">
        <f>IFERROR(__xludf.DUMMYFUNCTION("""COMPUTED_VALUE"""),"2023感恩节黑五折扣抽奖券")</f>
        <v>2023感恩节黑五折扣抽奖券</v>
      </c>
      <c r="C2046" s="148"/>
      <c r="D2046" s="148" t="str">
        <f>IFERROR(__xludf.DUMMYFUNCTION("""COMPUTED_VALUE"""),"event")</f>
        <v>event</v>
      </c>
      <c r="E2046" s="148">
        <f>IFERROR(__xludf.DUMMYFUNCTION("""COMPUTED_VALUE"""),0.0)</f>
        <v>0</v>
      </c>
      <c r="F2046" s="148">
        <f>IFERROR(__xludf.DUMMYFUNCTION("""COMPUTED_VALUE"""),405243.0)</f>
        <v>405243</v>
      </c>
      <c r="G2046" s="148">
        <f>IFERROR(__xludf.DUMMYFUNCTION("""COMPUTED_VALUE"""),1.5117404E7)</f>
        <v>15117404</v>
      </c>
      <c r="H2046" s="148">
        <f>IFERROR(__xludf.DUMMYFUNCTION("""COMPUTED_VALUE"""),1.5112564E7)</f>
        <v>15112564</v>
      </c>
      <c r="I2046" s="148" t="str">
        <f>IFERROR(__xludf.DUMMYFUNCTION("""COMPUTED_VALUE"""),"{}")</f>
        <v>{}</v>
      </c>
      <c r="J2046" s="148" t="str">
        <f>IFERROR(__xludf.DUMMYFUNCTION("""COMPUTED_VALUE"""),"{""typ"":""lc"",""txt"":""LC_ITEM_black_friday_item_name""}")</f>
        <v>{"typ":"lc","txt":"LC_ITEM_black_friday_item_name"}</v>
      </c>
      <c r="K2046" s="148" t="str">
        <f>IFERROR(__xludf.DUMMYFUNCTION("""COMPUTED_VALUE"""),"{""typ"":""lc"",""txt"":""LC_ITEM_black_friday_item_desc""}")</f>
        <v>{"typ":"lc","txt":"LC_ITEM_black_friday_item_desc"}</v>
      </c>
      <c r="L2046" s="148" t="str">
        <f>IFERROR(__xludf.DUMMYFUNCTION("""COMPUTED_VALUE"""),"{}")</f>
        <v>{}</v>
      </c>
      <c r="M2046" s="148">
        <f>IFERROR(__xludf.DUMMYFUNCTION("""COMPUTED_VALUE"""),500.0)</f>
        <v>500</v>
      </c>
      <c r="N2046" s="148">
        <f>IFERROR(__xludf.DUMMYFUNCTION("""COMPUTED_VALUE"""),9.99999999E8)</f>
        <v>999999999</v>
      </c>
      <c r="O2046" s="148">
        <f>IFERROR(__xludf.DUMMYFUNCTION("""COMPUTED_VALUE"""),9.99999999E8)</f>
        <v>999999999</v>
      </c>
      <c r="P2046" s="148">
        <f>IFERROR(__xludf.DUMMYFUNCTION("""COMPUTED_VALUE"""),9.99999999E8)</f>
        <v>999999999</v>
      </c>
      <c r="Q2046" s="148" t="str">
        <f>IFERROR(__xludf.DUMMYFUNCTION("""COMPUTED_VALUE"""),"[""bag_other""]")</f>
        <v>["bag_other"]</v>
      </c>
      <c r="R2046" s="148" t="str">
        <f>IFERROR(__xludf.DUMMYFUNCTION("""COMPUTED_VALUE"""),"[""bag""]")</f>
        <v>["bag"]</v>
      </c>
      <c r="S2046" s="148" t="str">
        <f>IFERROR(__xludf.DUMMYFUNCTION("""COMPUTED_VALUE"""),"{}")</f>
        <v>{}</v>
      </c>
      <c r="T2046" s="148">
        <f>IFERROR(__xludf.DUMMYFUNCTION("""COMPUTED_VALUE"""),-1.0)</f>
        <v>-1</v>
      </c>
      <c r="U2046" s="148">
        <f>IFERROR(__xludf.DUMMYFUNCTION("""COMPUTED_VALUE"""),0.0)</f>
        <v>0</v>
      </c>
      <c r="V2046" s="148" t="str">
        <f>IFERROR(__xludf.DUMMYFUNCTION("""COMPUTED_VALUE"""),"[]")</f>
        <v>[]</v>
      </c>
      <c r="W2046" s="148">
        <f>IFERROR(__xludf.DUMMYFUNCTION("""COMPUTED_VALUE"""),1.174E7)</f>
        <v>11740000</v>
      </c>
      <c r="X2046" s="148">
        <f>IFERROR(__xludf.DUMMYFUNCTION("""COMPUTED_VALUE"""),0.0)</f>
        <v>0</v>
      </c>
      <c r="Y2046" s="148">
        <f>IFERROR(__xludf.DUMMYFUNCTION("""COMPUTED_VALUE"""),0.0)</f>
        <v>0</v>
      </c>
      <c r="Z2046" s="148"/>
    </row>
    <row r="2047">
      <c r="A2047" s="148">
        <f>IFERROR(__xludf.DUMMYFUNCTION("""COMPUTED_VALUE"""),1.1118676E7)</f>
        <v>11118676</v>
      </c>
      <c r="B2047" s="148" t="str">
        <f>IFERROR(__xludf.DUMMYFUNCTION("""COMPUTED_VALUE"""),"美食奖券_2023")</f>
        <v>美食奖券_2023</v>
      </c>
      <c r="C2047" s="148"/>
      <c r="D2047" s="148" t="str">
        <f>IFERROR(__xludf.DUMMYFUNCTION("""COMPUTED_VALUE"""),"event")</f>
        <v>event</v>
      </c>
      <c r="E2047" s="148">
        <f>IFERROR(__xludf.DUMMYFUNCTION("""COMPUTED_VALUE"""),0.0)</f>
        <v>0</v>
      </c>
      <c r="F2047" s="148">
        <f>IFERROR(__xludf.DUMMYFUNCTION("""COMPUTED_VALUE"""),405242.0)</f>
        <v>405242</v>
      </c>
      <c r="G2047" s="148">
        <f>IFERROR(__xludf.DUMMYFUNCTION("""COMPUTED_VALUE"""),1.5115396E7)</f>
        <v>15115396</v>
      </c>
      <c r="H2047" s="148">
        <f>IFERROR(__xludf.DUMMYFUNCTION("""COMPUTED_VALUE"""),1.5112563E7)</f>
        <v>15112563</v>
      </c>
      <c r="I2047" s="148" t="str">
        <f>IFERROR(__xludf.DUMMYFUNCTION("""COMPUTED_VALUE"""),"{}")</f>
        <v>{}</v>
      </c>
      <c r="J2047" s="148" t="str">
        <f>IFERROR(__xludf.DUMMYFUNCTION("""COMPUTED_VALUE"""),"{""typ"":""lc"",""txt"":""LC_ITEM_2022_thanksgiving_skingacha_fork""}")</f>
        <v>{"typ":"lc","txt":"LC_ITEM_2022_thanksgiving_skingacha_fork"}</v>
      </c>
      <c r="K2047" s="148" t="str">
        <f>IFERROR(__xludf.DUMMYFUNCTION("""COMPUTED_VALUE"""),"{""typ"":""lc"",""txt"":""LC_ITEM_2022_thanksgiving_skingacha_fork_desc""}")</f>
        <v>{"typ":"lc","txt":"LC_ITEM_2022_thanksgiving_skingacha_fork_desc"}</v>
      </c>
      <c r="L2047" s="148" t="str">
        <f>IFERROR(__xludf.DUMMYFUNCTION("""COMPUTED_VALUE"""),"{}")</f>
        <v>{}</v>
      </c>
      <c r="M2047" s="148">
        <f>IFERROR(__xludf.DUMMYFUNCTION("""COMPUTED_VALUE"""),200.0)</f>
        <v>200</v>
      </c>
      <c r="N2047" s="148">
        <f>IFERROR(__xludf.DUMMYFUNCTION("""COMPUTED_VALUE"""),9.99999999E8)</f>
        <v>999999999</v>
      </c>
      <c r="O2047" s="148">
        <f>IFERROR(__xludf.DUMMYFUNCTION("""COMPUTED_VALUE"""),9.99999999E8)</f>
        <v>999999999</v>
      </c>
      <c r="P2047" s="148">
        <f>IFERROR(__xludf.DUMMYFUNCTION("""COMPUTED_VALUE"""),9.99999999E8)</f>
        <v>999999999</v>
      </c>
      <c r="Q2047" s="148" t="str">
        <f>IFERROR(__xludf.DUMMYFUNCTION("""COMPUTED_VALUE"""),"[""bag_other""]")</f>
        <v>["bag_other"]</v>
      </c>
      <c r="R2047" s="148" t="str">
        <f>IFERROR(__xludf.DUMMYFUNCTION("""COMPUTED_VALUE"""),"[""bag""]")</f>
        <v>["bag"]</v>
      </c>
      <c r="S2047" s="148" t="str">
        <f>IFERROR(__xludf.DUMMYFUNCTION("""COMPUTED_VALUE"""),"{}")</f>
        <v>{}</v>
      </c>
      <c r="T2047" s="148">
        <f>IFERROR(__xludf.DUMMYFUNCTION("""COMPUTED_VALUE"""),1.0)</f>
        <v>1</v>
      </c>
      <c r="U2047" s="148">
        <f>IFERROR(__xludf.DUMMYFUNCTION("""COMPUTED_VALUE"""),0.0)</f>
        <v>0</v>
      </c>
      <c r="V2047" s="148" t="str">
        <f>IFERROR(__xludf.DUMMYFUNCTION("""COMPUTED_VALUE"""),"[]")</f>
        <v>[]</v>
      </c>
      <c r="W2047" s="148">
        <f>IFERROR(__xludf.DUMMYFUNCTION("""COMPUTED_VALUE"""),1.174E7)</f>
        <v>11740000</v>
      </c>
      <c r="X2047" s="148">
        <f>IFERROR(__xludf.DUMMYFUNCTION("""COMPUTED_VALUE"""),0.0)</f>
        <v>0</v>
      </c>
      <c r="Y2047" s="148">
        <f>IFERROR(__xludf.DUMMYFUNCTION("""COMPUTED_VALUE"""),0.0)</f>
        <v>0</v>
      </c>
      <c r="Z2047" s="148"/>
    </row>
    <row r="2048">
      <c r="A2048" s="148">
        <f>IFERROR(__xludf.DUMMYFUNCTION("""COMPUTED_VALUE"""),1.1118677E7)</f>
        <v>11118677</v>
      </c>
      <c r="B2048" s="148" t="str">
        <f>IFERROR(__xludf.DUMMYFUNCTION("""COMPUTED_VALUE"""),"2023感恩节-7日活动宝箱")</f>
        <v>2023感恩节-7日活动宝箱</v>
      </c>
      <c r="C2048" s="148"/>
      <c r="D2048" s="148" t="str">
        <f>IFERROR(__xludf.DUMMYFUNCTION("""COMPUTED_VALUE"""),"item_asset")</f>
        <v>item_asset</v>
      </c>
      <c r="E2048" s="148">
        <f>IFERROR(__xludf.DUMMYFUNCTION("""COMPUTED_VALUE"""),19.0)</f>
        <v>19</v>
      </c>
      <c r="F2048" s="148">
        <f>IFERROR(__xludf.DUMMYFUNCTION("""COMPUTED_VALUE"""),201101.0)</f>
        <v>201101</v>
      </c>
      <c r="G2048" s="148">
        <f>IFERROR(__xludf.DUMMYFUNCTION("""COMPUTED_VALUE"""),1.5117141E7)</f>
        <v>15117141</v>
      </c>
      <c r="H2048" s="148">
        <f>IFERROR(__xludf.DUMMYFUNCTION("""COMPUTED_VALUE"""),1.5112564E7)</f>
        <v>15112564</v>
      </c>
      <c r="I2048" s="148" t="str">
        <f>IFERROR(__xludf.DUMMYFUNCTION("""COMPUTED_VALUE"""),"{}")</f>
        <v>{}</v>
      </c>
      <c r="J2048" s="148" t="str">
        <f>IFERROR(__xludf.DUMMYFUNCTION("""COMPUTED_VALUE"""),"{""typ"":""lc"",""txt"":""LC_ITEM_seven_day_box_name""}")</f>
        <v>{"typ":"lc","txt":"LC_ITEM_seven_day_box_name"}</v>
      </c>
      <c r="K2048" s="148" t="str">
        <f>IFERROR(__xludf.DUMMYFUNCTION("""COMPUTED_VALUE"""),"{""typ"":""lc"",""txt"":""LC_ITEM_seven_day_box_desc""}")</f>
        <v>{"typ":"lc","txt":"LC_ITEM_seven_day_box_desc"}</v>
      </c>
      <c r="L2048" s="148" t="str">
        <f>IFERROR(__xludf.DUMMYFUNCTION("""COMPUTED_VALUE"""),"{""typ"":""lc"",""txt"":""LC_ITEM_horde_elite_box_usedtip""}")</f>
        <v>{"typ":"lc","txt":"LC_ITEM_horde_elite_box_usedtip"}</v>
      </c>
      <c r="M2048" s="148">
        <f>IFERROR(__xludf.DUMMYFUNCTION("""COMPUTED_VALUE"""),40.0)</f>
        <v>40</v>
      </c>
      <c r="N2048" s="148">
        <f>IFERROR(__xludf.DUMMYFUNCTION("""COMPUTED_VALUE"""),999999.0)</f>
        <v>999999</v>
      </c>
      <c r="O2048" s="148">
        <f>IFERROR(__xludf.DUMMYFUNCTION("""COMPUTED_VALUE"""),99999.0)</f>
        <v>99999</v>
      </c>
      <c r="P2048" s="148">
        <f>IFERROR(__xludf.DUMMYFUNCTION("""COMPUTED_VALUE"""),99999.0)</f>
        <v>99999</v>
      </c>
      <c r="Q2048" s="148" t="str">
        <f>IFERROR(__xludf.DUMMYFUNCTION("""COMPUTED_VALUE"""),"[]")</f>
        <v>[]</v>
      </c>
      <c r="R2048" s="148" t="str">
        <f>IFERROR(__xludf.DUMMYFUNCTION("""COMPUTED_VALUE"""),"[""bag""]")</f>
        <v>["bag"]</v>
      </c>
      <c r="S2048"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2048" s="148">
        <f>IFERROR(__xludf.DUMMYFUNCTION("""COMPUTED_VALUE"""),-1.0)</f>
        <v>-1</v>
      </c>
      <c r="U2048" s="148">
        <f>IFERROR(__xludf.DUMMYFUNCTION("""COMPUTED_VALUE"""),1.0)</f>
        <v>1</v>
      </c>
      <c r="V2048" s="148" t="str">
        <f>IFERROR(__xludf.DUMMYFUNCTION("""COMPUTED_VALUE"""),"[]")</f>
        <v>[]</v>
      </c>
      <c r="W2048" s="148">
        <f>IFERROR(__xludf.DUMMYFUNCTION("""COMPUTED_VALUE"""),1.174E7)</f>
        <v>11740000</v>
      </c>
      <c r="X2048" s="148">
        <f>IFERROR(__xludf.DUMMYFUNCTION("""COMPUTED_VALUE"""),0.0)</f>
        <v>0</v>
      </c>
      <c r="Y2048" s="148">
        <f>IFERROR(__xludf.DUMMYFUNCTION("""COMPUTED_VALUE"""),0.0)</f>
        <v>0</v>
      </c>
      <c r="Z2048" s="148"/>
    </row>
    <row r="2049">
      <c r="A2049" s="148">
        <f>IFERROR(__xludf.DUMMYFUNCTION("""COMPUTED_VALUE"""),1.1118678E7)</f>
        <v>11118678</v>
      </c>
      <c r="B2049" s="148" t="str">
        <f>IFERROR(__xludf.DUMMYFUNCTION("""COMPUTED_VALUE"""),"2023感恩节活动专用-增加次数道具")</f>
        <v>2023感恩节活动专用-增加次数道具</v>
      </c>
      <c r="C2049" s="148"/>
      <c r="D2049" s="148" t="str">
        <f>IFERROR(__xludf.DUMMYFUNCTION("""COMPUTED_VALUE"""),"event_progress")</f>
        <v>event_progress</v>
      </c>
      <c r="E2049" s="148">
        <f>IFERROR(__xludf.DUMMYFUNCTION("""COMPUTED_VALUE"""),0.0)</f>
        <v>0</v>
      </c>
      <c r="F2049" s="148">
        <f>IFERROR(__xludf.DUMMYFUNCTION("""COMPUTED_VALUE"""),0.0)</f>
        <v>0</v>
      </c>
      <c r="G2049" s="148">
        <f>IFERROR(__xludf.DUMMYFUNCTION("""COMPUTED_VALUE"""),1.5113732E7)</f>
        <v>15113732</v>
      </c>
      <c r="H2049" s="148">
        <f>IFERROR(__xludf.DUMMYFUNCTION("""COMPUTED_VALUE"""),1.5112563E7)</f>
        <v>15112563</v>
      </c>
      <c r="I2049" s="148" t="str">
        <f>IFERROR(__xludf.DUMMYFUNCTION("""COMPUTED_VALUE"""),"{}")</f>
        <v>{}</v>
      </c>
      <c r="J2049" s="148" t="str">
        <f>IFERROR(__xludf.DUMMYFUNCTION("""COMPUTED_VALUE"""),"{}")</f>
        <v>{}</v>
      </c>
      <c r="K2049" s="148" t="str">
        <f>IFERROR(__xludf.DUMMYFUNCTION("""COMPUTED_VALUE"""),"{}")</f>
        <v>{}</v>
      </c>
      <c r="L2049" s="148" t="str">
        <f>IFERROR(__xludf.DUMMYFUNCTION("""COMPUTED_VALUE"""),"{}")</f>
        <v>{}</v>
      </c>
      <c r="M2049" s="148">
        <f>IFERROR(__xludf.DUMMYFUNCTION("""COMPUTED_VALUE"""),1.0)</f>
        <v>1</v>
      </c>
      <c r="N2049" s="148">
        <f>IFERROR(__xludf.DUMMYFUNCTION("""COMPUTED_VALUE"""),999999.0)</f>
        <v>999999</v>
      </c>
      <c r="O2049" s="148">
        <f>IFERROR(__xludf.DUMMYFUNCTION("""COMPUTED_VALUE"""),99999.0)</f>
        <v>99999</v>
      </c>
      <c r="P2049" s="148">
        <f>IFERROR(__xludf.DUMMYFUNCTION("""COMPUTED_VALUE"""),9999.0)</f>
        <v>9999</v>
      </c>
      <c r="Q2049" s="148" t="str">
        <f>IFERROR(__xludf.DUMMYFUNCTION("""COMPUTED_VALUE"""),"[]")</f>
        <v>[]</v>
      </c>
      <c r="R2049" s="148" t="str">
        <f>IFERROR(__xludf.DUMMYFUNCTION("""COMPUTED_VALUE"""),"[]")</f>
        <v>[]</v>
      </c>
      <c r="S2049" s="148" t="str">
        <f>IFERROR(__xludf.DUMMYFUNCTION("""COMPUTED_VALUE"""),"{""effect"":[{""typ"":""event"",""id"":21121658},{""typ"":""miss_lost_reward""}]}")</f>
        <v>{"effect":[{"typ":"event","id":21121658},{"typ":"miss_lost_reward"}]}</v>
      </c>
      <c r="T2049" s="148">
        <f>IFERROR(__xludf.DUMMYFUNCTION("""COMPUTED_VALUE"""),-1.0)</f>
        <v>-1</v>
      </c>
      <c r="U2049" s="148">
        <f>IFERROR(__xludf.DUMMYFUNCTION("""COMPUTED_VALUE"""),1.0)</f>
        <v>1</v>
      </c>
      <c r="V2049" s="148" t="str">
        <f>IFERROR(__xludf.DUMMYFUNCTION("""COMPUTED_VALUE"""),"[]")</f>
        <v>[]</v>
      </c>
      <c r="W2049" s="148">
        <f>IFERROR(__xludf.DUMMYFUNCTION("""COMPUTED_VALUE"""),1.174E7)</f>
        <v>11740000</v>
      </c>
      <c r="X2049" s="148">
        <f>IFERROR(__xludf.DUMMYFUNCTION("""COMPUTED_VALUE"""),0.0)</f>
        <v>0</v>
      </c>
      <c r="Y2049" s="148">
        <f>IFERROR(__xludf.DUMMYFUNCTION("""COMPUTED_VALUE"""),0.0)</f>
        <v>0</v>
      </c>
      <c r="Z2049" s="148"/>
    </row>
    <row r="2050">
      <c r="A2050" s="148">
        <f>IFERROR(__xludf.DUMMYFUNCTION("""COMPUTED_VALUE"""),1.1118679E7)</f>
        <v>11118679</v>
      </c>
      <c r="B2050" s="148" t="str">
        <f>IFERROR(__xludf.DUMMYFUNCTION("""COMPUTED_VALUE"""),"2023感恩节活动-解锁宝箱礼包钥匙")</f>
        <v>2023感恩节活动-解锁宝箱礼包钥匙</v>
      </c>
      <c r="C2050" s="148"/>
      <c r="D2050" s="148" t="str">
        <f>IFERROR(__xludf.DUMMYFUNCTION("""COMPUTED_VALUE"""),"event")</f>
        <v>event</v>
      </c>
      <c r="E2050" s="148">
        <f>IFERROR(__xludf.DUMMYFUNCTION("""COMPUTED_VALUE"""),0.0)</f>
        <v>0</v>
      </c>
      <c r="F2050" s="148">
        <f>IFERROR(__xludf.DUMMYFUNCTION("""COMPUTED_VALUE"""),0.0)</f>
        <v>0</v>
      </c>
      <c r="G2050" s="148">
        <f>IFERROR(__xludf.DUMMYFUNCTION("""COMPUTED_VALUE"""),1.5117142E7)</f>
        <v>15117142</v>
      </c>
      <c r="H2050" s="148">
        <f>IFERROR(__xludf.DUMMYFUNCTION("""COMPUTED_VALUE"""),1.5112564E7)</f>
        <v>15112564</v>
      </c>
      <c r="I2050" s="148" t="str">
        <f>IFERROR(__xludf.DUMMYFUNCTION("""COMPUTED_VALUE"""),"{}")</f>
        <v>{}</v>
      </c>
      <c r="J2050" s="148" t="str">
        <f>IFERROR(__xludf.DUMMYFUNCTION("""COMPUTED_VALUE"""),"{""typ"":""lc"",""txt"":""LC_ITEM_seven_day_box_key_name""}")</f>
        <v>{"typ":"lc","txt":"LC_ITEM_seven_day_box_key_name"}</v>
      </c>
      <c r="K2050" s="148" t="str">
        <f>IFERROR(__xludf.DUMMYFUNCTION("""COMPUTED_VALUE"""),"{""typ"":""lc"",""txt"":""LC_ITEM_seven_day_box_key_desc""}")</f>
        <v>{"typ":"lc","txt":"LC_ITEM_seven_day_box_key_desc"}</v>
      </c>
      <c r="L2050" s="148" t="str">
        <f>IFERROR(__xludf.DUMMYFUNCTION("""COMPUTED_VALUE"""),"{}")</f>
        <v>{}</v>
      </c>
      <c r="M2050" s="148">
        <f>IFERROR(__xludf.DUMMYFUNCTION("""COMPUTED_VALUE"""),10.0)</f>
        <v>10</v>
      </c>
      <c r="N2050" s="148">
        <f>IFERROR(__xludf.DUMMYFUNCTION("""COMPUTED_VALUE"""),999999.0)</f>
        <v>999999</v>
      </c>
      <c r="O2050" s="148">
        <f>IFERROR(__xludf.DUMMYFUNCTION("""COMPUTED_VALUE"""),99999.0)</f>
        <v>99999</v>
      </c>
      <c r="P2050" s="148">
        <f>IFERROR(__xludf.DUMMYFUNCTION("""COMPUTED_VALUE"""),9999.0)</f>
        <v>9999</v>
      </c>
      <c r="Q2050" s="148" t="str">
        <f>IFERROR(__xludf.DUMMYFUNCTION("""COMPUTED_VALUE"""),"[""bag_other""]")</f>
        <v>["bag_other"]</v>
      </c>
      <c r="R2050" s="148" t="str">
        <f>IFERROR(__xludf.DUMMYFUNCTION("""COMPUTED_VALUE"""),"[]")</f>
        <v>[]</v>
      </c>
      <c r="S2050" s="148" t="str">
        <f>IFERROR(__xludf.DUMMYFUNCTION("""COMPUTED_VALUE"""),"{}")</f>
        <v>{}</v>
      </c>
      <c r="T2050" s="148">
        <f>IFERROR(__xludf.DUMMYFUNCTION("""COMPUTED_VALUE"""),-1.0)</f>
        <v>-1</v>
      </c>
      <c r="U2050" s="148">
        <f>IFERROR(__xludf.DUMMYFUNCTION("""COMPUTED_VALUE"""),0.0)</f>
        <v>0</v>
      </c>
      <c r="V2050" s="148" t="str">
        <f>IFERROR(__xludf.DUMMYFUNCTION("""COMPUTED_VALUE"""),"[]")</f>
        <v>[]</v>
      </c>
      <c r="W2050" s="148">
        <f>IFERROR(__xludf.DUMMYFUNCTION("""COMPUTED_VALUE"""),1.174E7)</f>
        <v>11740000</v>
      </c>
      <c r="X2050" s="148">
        <f>IFERROR(__xludf.DUMMYFUNCTION("""COMPUTED_VALUE"""),0.0)</f>
        <v>0</v>
      </c>
      <c r="Y2050" s="148">
        <f>IFERROR(__xludf.DUMMYFUNCTION("""COMPUTED_VALUE"""),0.0)</f>
        <v>0</v>
      </c>
      <c r="Z2050" s="148"/>
    </row>
    <row r="2051">
      <c r="A2051" s="148">
        <f>IFERROR(__xludf.DUMMYFUNCTION("""COMPUTED_VALUE"""),1.111868E7)</f>
        <v>11118680</v>
      </c>
      <c r="B2051" s="148" t="str">
        <f>IFERROR(__xludf.DUMMYFUNCTION("""COMPUTED_VALUE"""),"2023感恩节-7日活动宝箱-显示用")</f>
        <v>2023感恩节-7日活动宝箱-显示用</v>
      </c>
      <c r="C2051" s="148"/>
      <c r="D2051" s="148" t="str">
        <f>IFERROR(__xludf.DUMMYFUNCTION("""COMPUTED_VALUE"""),"event")</f>
        <v>event</v>
      </c>
      <c r="E2051" s="148">
        <f>IFERROR(__xludf.DUMMYFUNCTION("""COMPUTED_VALUE"""),0.0)</f>
        <v>0</v>
      </c>
      <c r="F2051" s="148">
        <f>IFERROR(__xludf.DUMMYFUNCTION("""COMPUTED_VALUE"""),0.0)</f>
        <v>0</v>
      </c>
      <c r="G2051" s="148">
        <f>IFERROR(__xludf.DUMMYFUNCTION("""COMPUTED_VALUE"""),1.5117141E7)</f>
        <v>15117141</v>
      </c>
      <c r="H2051" s="148">
        <f>IFERROR(__xludf.DUMMYFUNCTION("""COMPUTED_VALUE"""),1.5112564E7)</f>
        <v>15112564</v>
      </c>
      <c r="I2051" s="148" t="str">
        <f>IFERROR(__xludf.DUMMYFUNCTION("""COMPUTED_VALUE"""),"{}")</f>
        <v>{}</v>
      </c>
      <c r="J2051" s="148" t="str">
        <f>IFERROR(__xludf.DUMMYFUNCTION("""COMPUTED_VALUE"""),"{""typ"":""lc"",""txt"":""LC_ITEM_seven_day_box_name""}")</f>
        <v>{"typ":"lc","txt":"LC_ITEM_seven_day_box_name"}</v>
      </c>
      <c r="K2051" s="148" t="str">
        <f>IFERROR(__xludf.DUMMYFUNCTION("""COMPUTED_VALUE"""),"{""typ"":""lc"",""txt"":""LC_ITEM_seven_day_box_desc""}")</f>
        <v>{"typ":"lc","txt":"LC_ITEM_seven_day_box_desc"}</v>
      </c>
      <c r="L2051" s="148" t="str">
        <f>IFERROR(__xludf.DUMMYFUNCTION("""COMPUTED_VALUE"""),"{}")</f>
        <v>{}</v>
      </c>
      <c r="M2051" s="148">
        <f>IFERROR(__xludf.DUMMYFUNCTION("""COMPUTED_VALUE"""),1.0)</f>
        <v>1</v>
      </c>
      <c r="N2051" s="148">
        <f>IFERROR(__xludf.DUMMYFUNCTION("""COMPUTED_VALUE"""),999999.0)</f>
        <v>999999</v>
      </c>
      <c r="O2051" s="148">
        <f>IFERROR(__xludf.DUMMYFUNCTION("""COMPUTED_VALUE"""),99999.0)</f>
        <v>99999</v>
      </c>
      <c r="P2051" s="148">
        <f>IFERROR(__xludf.DUMMYFUNCTION("""COMPUTED_VALUE"""),9999.0)</f>
        <v>9999</v>
      </c>
      <c r="Q2051" s="148" t="str">
        <f>IFERROR(__xludf.DUMMYFUNCTION("""COMPUTED_VALUE"""),"[]")</f>
        <v>[]</v>
      </c>
      <c r="R2051" s="148" t="str">
        <f>IFERROR(__xludf.DUMMYFUNCTION("""COMPUTED_VALUE"""),"[]")</f>
        <v>[]</v>
      </c>
      <c r="S2051" s="148" t="str">
        <f>IFERROR(__xludf.DUMMYFUNCTION("""COMPUTED_VALUE"""),"{""effect"":[{""typ"":""miss_lost_reward""}]}")</f>
        <v>{"effect":[{"typ":"miss_lost_reward"}]}</v>
      </c>
      <c r="T2051" s="148">
        <f>IFERROR(__xludf.DUMMYFUNCTION("""COMPUTED_VALUE"""),-1.0)</f>
        <v>-1</v>
      </c>
      <c r="U2051" s="148">
        <f>IFERROR(__xludf.DUMMYFUNCTION("""COMPUTED_VALUE"""),1.0)</f>
        <v>1</v>
      </c>
      <c r="V2051" s="148" t="str">
        <f>IFERROR(__xludf.DUMMYFUNCTION("""COMPUTED_VALUE"""),"[]")</f>
        <v>[]</v>
      </c>
      <c r="W2051" s="148">
        <f>IFERROR(__xludf.DUMMYFUNCTION("""COMPUTED_VALUE"""),1.174E7)</f>
        <v>11740000</v>
      </c>
      <c r="X2051" s="148">
        <f>IFERROR(__xludf.DUMMYFUNCTION("""COMPUTED_VALUE"""),0.0)</f>
        <v>0</v>
      </c>
      <c r="Y2051" s="148">
        <f>IFERROR(__xludf.DUMMYFUNCTION("""COMPUTED_VALUE"""),0.0)</f>
        <v>0</v>
      </c>
      <c r="Z2051" s="148"/>
    </row>
    <row r="2052">
      <c r="A2052" s="148">
        <f>IFERROR(__xludf.DUMMYFUNCTION("""COMPUTED_VALUE"""),1.1118681E7)</f>
        <v>11118681</v>
      </c>
      <c r="B2052" s="148" t="str">
        <f>IFERROR(__xludf.DUMMYFUNCTION("""COMPUTED_VALUE"""),"收藏品-红色升星道具-超凡")</f>
        <v>收藏品-红色升星道具-超凡</v>
      </c>
      <c r="C2052" s="148"/>
      <c r="D2052" s="148" t="str">
        <f>IFERROR(__xludf.DUMMYFUNCTION("""COMPUTED_VALUE"""),"collection_unit_universal")</f>
        <v>collection_unit_universal</v>
      </c>
      <c r="E2052" s="148">
        <f>IFERROR(__xludf.DUMMYFUNCTION("""COMPUTED_VALUE"""),0.0)</f>
        <v>0</v>
      </c>
      <c r="F2052" s="148">
        <f>IFERROR(__xludf.DUMMYFUNCTION("""COMPUTED_VALUE"""),414100.0)</f>
        <v>414100</v>
      </c>
      <c r="G2052" s="148">
        <f>IFERROR(__xludf.DUMMYFUNCTION("""COMPUTED_VALUE"""),1.5117329E7)</f>
        <v>15117329</v>
      </c>
      <c r="H2052" s="148">
        <f>IFERROR(__xludf.DUMMYFUNCTION("""COMPUTED_VALUE"""),1.5115983E7)</f>
        <v>15115983</v>
      </c>
      <c r="I2052" s="148" t="str">
        <f>IFERROR(__xludf.DUMMYFUNCTION("""COMPUTED_VALUE"""),"{}")</f>
        <v>{}</v>
      </c>
      <c r="J2052" s="148" t="str">
        <f>IFERROR(__xludf.DUMMYFUNCTION("""COMPUTED_VALUE"""),"{""typ"":""lc"",""txt"":""LC_ITEM_collection_super_up_star_name""}")</f>
        <v>{"typ":"lc","txt":"LC_ITEM_collection_super_up_star_name"}</v>
      </c>
      <c r="K2052" s="148" t="str">
        <f>IFERROR(__xludf.DUMMYFUNCTION("""COMPUTED_VALUE"""),"{""typ"":""lc"",""txt"":""LC_ITEM_collection_super_up_star_desc""}")</f>
        <v>{"typ":"lc","txt":"LC_ITEM_collection_super_up_star_desc"}</v>
      </c>
      <c r="L2052" s="148" t="str">
        <f>IFERROR(__xludf.DUMMYFUNCTION("""COMPUTED_VALUE"""),"{}")</f>
        <v>{}</v>
      </c>
      <c r="M2052" s="148">
        <f>IFERROR(__xludf.DUMMYFUNCTION("""COMPUTED_VALUE"""),400.0)</f>
        <v>400</v>
      </c>
      <c r="N2052" s="148">
        <f>IFERROR(__xludf.DUMMYFUNCTION("""COMPUTED_VALUE"""),9999999.0)</f>
        <v>9999999</v>
      </c>
      <c r="O2052" s="148">
        <f>IFERROR(__xludf.DUMMYFUNCTION("""COMPUTED_VALUE"""),99999.0)</f>
        <v>99999</v>
      </c>
      <c r="P2052" s="148">
        <f>IFERROR(__xludf.DUMMYFUNCTION("""COMPUTED_VALUE"""),99999.0)</f>
        <v>99999</v>
      </c>
      <c r="Q2052" s="148" t="str">
        <f>IFERROR(__xludf.DUMMYFUNCTION("""COMPUTED_VALUE"""),"[""bag_other""]")</f>
        <v>["bag_other"]</v>
      </c>
      <c r="R2052" s="148" t="str">
        <f>IFERROR(__xludf.DUMMYFUNCTION("""COMPUTED_VALUE"""),"[]")</f>
        <v>[]</v>
      </c>
      <c r="S2052" s="148" t="str">
        <f>IFERROR(__xludf.DUMMYFUNCTION("""COMPUTED_VALUE"""),"{}")</f>
        <v>{}</v>
      </c>
      <c r="T2052" s="148">
        <f>IFERROR(__xludf.DUMMYFUNCTION("""COMPUTED_VALUE"""),-1.0)</f>
        <v>-1</v>
      </c>
      <c r="U2052" s="148">
        <f>IFERROR(__xludf.DUMMYFUNCTION("""COMPUTED_VALUE"""),0.0)</f>
        <v>0</v>
      </c>
      <c r="V2052" s="148" t="str">
        <f>IFERROR(__xludf.DUMMYFUNCTION("""COMPUTED_VALUE"""),"[]")</f>
        <v>[]</v>
      </c>
      <c r="W2052" s="148">
        <f>IFERROR(__xludf.DUMMYFUNCTION("""COMPUTED_VALUE"""),1.1741002E7)</f>
        <v>11741002</v>
      </c>
      <c r="X2052" s="148">
        <f>IFERROR(__xludf.DUMMYFUNCTION("""COMPUTED_VALUE"""),0.0)</f>
        <v>0</v>
      </c>
      <c r="Y2052" s="148">
        <f>IFERROR(__xludf.DUMMYFUNCTION("""COMPUTED_VALUE"""),0.0)</f>
        <v>0</v>
      </c>
      <c r="Z2052" s="148"/>
    </row>
    <row r="2053">
      <c r="A2053" s="148">
        <f>IFERROR(__xludf.DUMMYFUNCTION("""COMPUTED_VALUE"""),1.1118682E7)</f>
        <v>11118682</v>
      </c>
      <c r="B2053" s="148" t="str">
        <f>IFERROR(__xludf.DUMMYFUNCTION("""COMPUTED_VALUE"""),"巨犀红色喷漆")</f>
        <v>巨犀红色喷漆</v>
      </c>
      <c r="C2053" s="148"/>
      <c r="D2053" s="148" t="str">
        <f>IFERROR(__xludf.DUMMYFUNCTION("""COMPUTED_VALUE"""),"mecha_skin_colour")</f>
        <v>mecha_skin_colour</v>
      </c>
      <c r="E2053" s="148">
        <f>IFERROR(__xludf.DUMMYFUNCTION("""COMPUTED_VALUE"""),32.0)</f>
        <v>32</v>
      </c>
      <c r="F2053" s="148">
        <f>IFERROR(__xludf.DUMMYFUNCTION("""COMPUTED_VALUE"""),0.0)</f>
        <v>0</v>
      </c>
      <c r="G2053" s="148">
        <f>IFERROR(__xludf.DUMMYFUNCTION("""COMPUTED_VALUE"""),1.5119914E7)</f>
        <v>15119914</v>
      </c>
      <c r="H2053" s="148">
        <f>IFERROR(__xludf.DUMMYFUNCTION("""COMPUTED_VALUE"""),1.5112563E7)</f>
        <v>15112563</v>
      </c>
      <c r="I2053" s="148" t="str">
        <f>IFERROR(__xludf.DUMMYFUNCTION("""COMPUTED_VALUE"""),"{}")</f>
        <v>{}</v>
      </c>
      <c r="J2053" s="148" t="str">
        <f>IFERROR(__xludf.DUMMYFUNCTION("""COMPUTED_VALUE"""),"{""typ"":""lc"",""txt"":""LC_ITEM_mecha_skin_colour_name_1""}")</f>
        <v>{"typ":"lc","txt":"LC_ITEM_mecha_skin_colour_name_1"}</v>
      </c>
      <c r="K2053" s="148" t="str">
        <f>IFERROR(__xludf.DUMMYFUNCTION("""COMPUTED_VALUE"""),"{""typ"":""lc"",""txt"":""LC_ITEM_mecha_skin_colour_desc_1""}")</f>
        <v>{"typ":"lc","txt":"LC_ITEM_mecha_skin_colour_desc_1"}</v>
      </c>
      <c r="L2053" s="148" t="str">
        <f>IFERROR(__xludf.DUMMYFUNCTION("""COMPUTED_VALUE"""),"{""typ"":""lc"",""txt"":""LC_ITEM_mecha_skin_colour_use_tips_1""}")</f>
        <v>{"typ":"lc","txt":"LC_ITEM_mecha_skin_colour_use_tips_1"}</v>
      </c>
      <c r="M2053" s="148">
        <f>IFERROR(__xludf.DUMMYFUNCTION("""COMPUTED_VALUE"""),1000.0)</f>
        <v>1000</v>
      </c>
      <c r="N2053" s="148">
        <f>IFERROR(__xludf.DUMMYFUNCTION("""COMPUTED_VALUE"""),999999.0)</f>
        <v>999999</v>
      </c>
      <c r="O2053" s="148">
        <f>IFERROR(__xludf.DUMMYFUNCTION("""COMPUTED_VALUE"""),99999.0)</f>
        <v>99999</v>
      </c>
      <c r="P2053" s="148">
        <f>IFERROR(__xludf.DUMMYFUNCTION("""COMPUTED_VALUE"""),1.0)</f>
        <v>1</v>
      </c>
      <c r="Q2053" s="148" t="str">
        <f>IFERROR(__xludf.DUMMYFUNCTION("""COMPUTED_VALUE"""),"[""bag_other""]")</f>
        <v>["bag_other"]</v>
      </c>
      <c r="R2053" s="148" t="str">
        <f>IFERROR(__xludf.DUMMYFUNCTION("""COMPUTED_VALUE"""),"[""bag"",""40111002""]")</f>
        <v>["bag","40111002"]</v>
      </c>
      <c r="S2053" s="148" t="str">
        <f>IFERROR(__xludf.DUMMYFUNCTION("""COMPUTED_VALUE"""),"{""effect"":[{""typ"":""mecha_colour"",""id"":40111002,""val"":-1},{""typ"":""item"",""id"":11111034,""val"":10}]}")</f>
        <v>{"effect":[{"typ":"mecha_colour","id":40111002,"val":-1},{"typ":"item","id":11111034,"val":10}]}</v>
      </c>
      <c r="T2053" s="148">
        <f>IFERROR(__xludf.DUMMYFUNCTION("""COMPUTED_VALUE"""),-1.0)</f>
        <v>-1</v>
      </c>
      <c r="U2053" s="148">
        <f>IFERROR(__xludf.DUMMYFUNCTION("""COMPUTED_VALUE"""),0.0)</f>
        <v>0</v>
      </c>
      <c r="V2053" s="148" t="str">
        <f>IFERROR(__xludf.DUMMYFUNCTION("""COMPUTED_VALUE"""),"[]")</f>
        <v>[]</v>
      </c>
      <c r="W2053" s="148">
        <f>IFERROR(__xludf.DUMMYFUNCTION("""COMPUTED_VALUE"""),1.174E7)</f>
        <v>11740000</v>
      </c>
      <c r="X2053" s="148">
        <f>IFERROR(__xludf.DUMMYFUNCTION("""COMPUTED_VALUE"""),0.0)</f>
        <v>0</v>
      </c>
      <c r="Y2053" s="148">
        <f>IFERROR(__xludf.DUMMYFUNCTION("""COMPUTED_VALUE"""),0.0)</f>
        <v>0</v>
      </c>
      <c r="Z2053" s="148"/>
    </row>
    <row r="2054">
      <c r="A2054" s="148">
        <f>IFERROR(__xludf.DUMMYFUNCTION("""COMPUTED_VALUE"""),1.1118683E7)</f>
        <v>11118683</v>
      </c>
      <c r="B2054" s="148" t="str">
        <f>IFERROR(__xludf.DUMMYFUNCTION("""COMPUTED_VALUE"""),"巨犀绿色喷漆")</f>
        <v>巨犀绿色喷漆</v>
      </c>
      <c r="C2054" s="148"/>
      <c r="D2054" s="148" t="str">
        <f>IFERROR(__xludf.DUMMYFUNCTION("""COMPUTED_VALUE"""),"mecha_skin_colour")</f>
        <v>mecha_skin_colour</v>
      </c>
      <c r="E2054" s="148">
        <f>IFERROR(__xludf.DUMMYFUNCTION("""COMPUTED_VALUE"""),32.0)</f>
        <v>32</v>
      </c>
      <c r="F2054" s="148">
        <f>IFERROR(__xludf.DUMMYFUNCTION("""COMPUTED_VALUE"""),0.0)</f>
        <v>0</v>
      </c>
      <c r="G2054" s="148">
        <f>IFERROR(__xludf.DUMMYFUNCTION("""COMPUTED_VALUE"""),1.511991E7)</f>
        <v>15119910</v>
      </c>
      <c r="H2054" s="148">
        <f>IFERROR(__xludf.DUMMYFUNCTION("""COMPUTED_VALUE"""),1.5112563E7)</f>
        <v>15112563</v>
      </c>
      <c r="I2054" s="148" t="str">
        <f>IFERROR(__xludf.DUMMYFUNCTION("""COMPUTED_VALUE"""),"{}")</f>
        <v>{}</v>
      </c>
      <c r="J2054" s="148" t="str">
        <f>IFERROR(__xludf.DUMMYFUNCTION("""COMPUTED_VALUE"""),"{""typ"":""lc"",""txt"":""LC_ITEM_mecha_skin_colour_name_2""}")</f>
        <v>{"typ":"lc","txt":"LC_ITEM_mecha_skin_colour_name_2"}</v>
      </c>
      <c r="K2054" s="148" t="str">
        <f>IFERROR(__xludf.DUMMYFUNCTION("""COMPUTED_VALUE"""),"{""typ"":""lc"",""txt"":""LC_ITEM_mecha_skin_colour_desc_2""}")</f>
        <v>{"typ":"lc","txt":"LC_ITEM_mecha_skin_colour_desc_2"}</v>
      </c>
      <c r="L2054" s="148" t="str">
        <f>IFERROR(__xludf.DUMMYFUNCTION("""COMPUTED_VALUE"""),"{""typ"":""lc"",""txt"":""LC_ITEM_mecha_skin_colour_use_tips_2""}")</f>
        <v>{"typ":"lc","txt":"LC_ITEM_mecha_skin_colour_use_tips_2"}</v>
      </c>
      <c r="M2054" s="148">
        <f>IFERROR(__xludf.DUMMYFUNCTION("""COMPUTED_VALUE"""),1000.0)</f>
        <v>1000</v>
      </c>
      <c r="N2054" s="148">
        <f>IFERROR(__xludf.DUMMYFUNCTION("""COMPUTED_VALUE"""),999999.0)</f>
        <v>999999</v>
      </c>
      <c r="O2054" s="148">
        <f>IFERROR(__xludf.DUMMYFUNCTION("""COMPUTED_VALUE"""),99999.0)</f>
        <v>99999</v>
      </c>
      <c r="P2054" s="148">
        <f>IFERROR(__xludf.DUMMYFUNCTION("""COMPUTED_VALUE"""),1.0)</f>
        <v>1</v>
      </c>
      <c r="Q2054" s="148" t="str">
        <f>IFERROR(__xludf.DUMMYFUNCTION("""COMPUTED_VALUE"""),"[""bag_other""]")</f>
        <v>["bag_other"]</v>
      </c>
      <c r="R2054" s="148" t="str">
        <f>IFERROR(__xludf.DUMMYFUNCTION("""COMPUTED_VALUE"""),"[""bag"",""40111003""]")</f>
        <v>["bag","40111003"]</v>
      </c>
      <c r="S2054" s="148" t="str">
        <f>IFERROR(__xludf.DUMMYFUNCTION("""COMPUTED_VALUE"""),"{""effect"":[{""typ"":""mecha_colour"",""id"":40111003,""val"":-1},{""typ"":""item"",""id"":11111034,""val"":10}]}")</f>
        <v>{"effect":[{"typ":"mecha_colour","id":40111003,"val":-1},{"typ":"item","id":11111034,"val":10}]}</v>
      </c>
      <c r="T2054" s="148">
        <f>IFERROR(__xludf.DUMMYFUNCTION("""COMPUTED_VALUE"""),-1.0)</f>
        <v>-1</v>
      </c>
      <c r="U2054" s="148">
        <f>IFERROR(__xludf.DUMMYFUNCTION("""COMPUTED_VALUE"""),0.0)</f>
        <v>0</v>
      </c>
      <c r="V2054" s="148" t="str">
        <f>IFERROR(__xludf.DUMMYFUNCTION("""COMPUTED_VALUE"""),"[]")</f>
        <v>[]</v>
      </c>
      <c r="W2054" s="148">
        <f>IFERROR(__xludf.DUMMYFUNCTION("""COMPUTED_VALUE"""),1.174E7)</f>
        <v>11740000</v>
      </c>
      <c r="X2054" s="148">
        <f>IFERROR(__xludf.DUMMYFUNCTION("""COMPUTED_VALUE"""),0.0)</f>
        <v>0</v>
      </c>
      <c r="Y2054" s="148">
        <f>IFERROR(__xludf.DUMMYFUNCTION("""COMPUTED_VALUE"""),0.0)</f>
        <v>0</v>
      </c>
      <c r="Z2054" s="148"/>
    </row>
    <row r="2055">
      <c r="A2055" s="148">
        <f>IFERROR(__xludf.DUMMYFUNCTION("""COMPUTED_VALUE"""),1.1118684E7)</f>
        <v>11118684</v>
      </c>
      <c r="B2055" s="148" t="str">
        <f>IFERROR(__xludf.DUMMYFUNCTION("""COMPUTED_VALUE"""),"巨犀青色喷漆")</f>
        <v>巨犀青色喷漆</v>
      </c>
      <c r="C2055" s="148"/>
      <c r="D2055" s="148" t="str">
        <f>IFERROR(__xludf.DUMMYFUNCTION("""COMPUTED_VALUE"""),"mecha_skin_colour")</f>
        <v>mecha_skin_colour</v>
      </c>
      <c r="E2055" s="148">
        <f>IFERROR(__xludf.DUMMYFUNCTION("""COMPUTED_VALUE"""),32.0)</f>
        <v>32</v>
      </c>
      <c r="F2055" s="148">
        <f>IFERROR(__xludf.DUMMYFUNCTION("""COMPUTED_VALUE"""),0.0)</f>
        <v>0</v>
      </c>
      <c r="G2055" s="148">
        <f>IFERROR(__xludf.DUMMYFUNCTION("""COMPUTED_VALUE"""),1.5119909E7)</f>
        <v>15119909</v>
      </c>
      <c r="H2055" s="148">
        <f>IFERROR(__xludf.DUMMYFUNCTION("""COMPUTED_VALUE"""),1.5112563E7)</f>
        <v>15112563</v>
      </c>
      <c r="I2055" s="148" t="str">
        <f>IFERROR(__xludf.DUMMYFUNCTION("""COMPUTED_VALUE"""),"{}")</f>
        <v>{}</v>
      </c>
      <c r="J2055" s="148" t="str">
        <f>IFERROR(__xludf.DUMMYFUNCTION("""COMPUTED_VALUE"""),"{""typ"":""lc"",""txt"":""LC_ITEM_mecha_skin_colour_name_3""}")</f>
        <v>{"typ":"lc","txt":"LC_ITEM_mecha_skin_colour_name_3"}</v>
      </c>
      <c r="K2055" s="148" t="str">
        <f>IFERROR(__xludf.DUMMYFUNCTION("""COMPUTED_VALUE"""),"{""typ"":""lc"",""txt"":""LC_ITEM_mecha_skin_colour_desc_3""}")</f>
        <v>{"typ":"lc","txt":"LC_ITEM_mecha_skin_colour_desc_3"}</v>
      </c>
      <c r="L2055" s="148" t="str">
        <f>IFERROR(__xludf.DUMMYFUNCTION("""COMPUTED_VALUE"""),"{""typ"":""lc"",""txt"":""LC_ITEM_mecha_skin_colour_use_tips_3""}")</f>
        <v>{"typ":"lc","txt":"LC_ITEM_mecha_skin_colour_use_tips_3"}</v>
      </c>
      <c r="M2055" s="148">
        <f>IFERROR(__xludf.DUMMYFUNCTION("""COMPUTED_VALUE"""),1000.0)</f>
        <v>1000</v>
      </c>
      <c r="N2055" s="148">
        <f>IFERROR(__xludf.DUMMYFUNCTION("""COMPUTED_VALUE"""),999999.0)</f>
        <v>999999</v>
      </c>
      <c r="O2055" s="148">
        <f>IFERROR(__xludf.DUMMYFUNCTION("""COMPUTED_VALUE"""),99999.0)</f>
        <v>99999</v>
      </c>
      <c r="P2055" s="148">
        <f>IFERROR(__xludf.DUMMYFUNCTION("""COMPUTED_VALUE"""),1.0)</f>
        <v>1</v>
      </c>
      <c r="Q2055" s="148" t="str">
        <f>IFERROR(__xludf.DUMMYFUNCTION("""COMPUTED_VALUE"""),"[""bag_other""]")</f>
        <v>["bag_other"]</v>
      </c>
      <c r="R2055" s="148" t="str">
        <f>IFERROR(__xludf.DUMMYFUNCTION("""COMPUTED_VALUE"""),"[""bag"",""40111004""]")</f>
        <v>["bag","40111004"]</v>
      </c>
      <c r="S2055" s="148" t="str">
        <f>IFERROR(__xludf.DUMMYFUNCTION("""COMPUTED_VALUE"""),"{""effect"":[{""typ"":""mecha_colour"",""id"":40111004,""val"":-1},{""typ"":""item"",""id"":11111034,""val"":10}]}")</f>
        <v>{"effect":[{"typ":"mecha_colour","id":40111004,"val":-1},{"typ":"item","id":11111034,"val":10}]}</v>
      </c>
      <c r="T2055" s="148">
        <f>IFERROR(__xludf.DUMMYFUNCTION("""COMPUTED_VALUE"""),-1.0)</f>
        <v>-1</v>
      </c>
      <c r="U2055" s="148">
        <f>IFERROR(__xludf.DUMMYFUNCTION("""COMPUTED_VALUE"""),0.0)</f>
        <v>0</v>
      </c>
      <c r="V2055" s="148" t="str">
        <f>IFERROR(__xludf.DUMMYFUNCTION("""COMPUTED_VALUE"""),"[]")</f>
        <v>[]</v>
      </c>
      <c r="W2055" s="148">
        <f>IFERROR(__xludf.DUMMYFUNCTION("""COMPUTED_VALUE"""),1.174E7)</f>
        <v>11740000</v>
      </c>
      <c r="X2055" s="148">
        <f>IFERROR(__xludf.DUMMYFUNCTION("""COMPUTED_VALUE"""),0.0)</f>
        <v>0</v>
      </c>
      <c r="Y2055" s="148">
        <f>IFERROR(__xludf.DUMMYFUNCTION("""COMPUTED_VALUE"""),0.0)</f>
        <v>0</v>
      </c>
      <c r="Z2055" s="148"/>
    </row>
    <row r="2056">
      <c r="A2056" s="148">
        <f>IFERROR(__xludf.DUMMYFUNCTION("""COMPUTED_VALUE"""),1.1118685E7)</f>
        <v>11118685</v>
      </c>
      <c r="B2056" s="148" t="str">
        <f>IFERROR(__xludf.DUMMYFUNCTION("""COMPUTED_VALUE"""),"金刚红色喷漆")</f>
        <v>金刚红色喷漆</v>
      </c>
      <c r="C2056" s="148"/>
      <c r="D2056" s="148" t="str">
        <f>IFERROR(__xludf.DUMMYFUNCTION("""COMPUTED_VALUE"""),"mecha_skin_colour")</f>
        <v>mecha_skin_colour</v>
      </c>
      <c r="E2056" s="148">
        <f>IFERROR(__xludf.DUMMYFUNCTION("""COMPUTED_VALUE"""),32.0)</f>
        <v>32</v>
      </c>
      <c r="F2056" s="148">
        <f>IFERROR(__xludf.DUMMYFUNCTION("""COMPUTED_VALUE"""),0.0)</f>
        <v>0</v>
      </c>
      <c r="G2056" s="148">
        <f>IFERROR(__xludf.DUMMYFUNCTION("""COMPUTED_VALUE"""),1.5119921E7)</f>
        <v>15119921</v>
      </c>
      <c r="H2056" s="148">
        <f>IFERROR(__xludf.DUMMYFUNCTION("""COMPUTED_VALUE"""),1.5112563E7)</f>
        <v>15112563</v>
      </c>
      <c r="I2056" s="148" t="str">
        <f>IFERROR(__xludf.DUMMYFUNCTION("""COMPUTED_VALUE"""),"{}")</f>
        <v>{}</v>
      </c>
      <c r="J2056" s="148" t="str">
        <f>IFERROR(__xludf.DUMMYFUNCTION("""COMPUTED_VALUE"""),"{""typ"":""lc"",""txt"":""LC_ITEM_mecha_skin_colour_name_4""}")</f>
        <v>{"typ":"lc","txt":"LC_ITEM_mecha_skin_colour_name_4"}</v>
      </c>
      <c r="K2056" s="148" t="str">
        <f>IFERROR(__xludf.DUMMYFUNCTION("""COMPUTED_VALUE"""),"{""typ"":""lc"",""txt"":""LC_ITEM_mecha_skin_colour_desc_4""}")</f>
        <v>{"typ":"lc","txt":"LC_ITEM_mecha_skin_colour_desc_4"}</v>
      </c>
      <c r="L2056" s="148" t="str">
        <f>IFERROR(__xludf.DUMMYFUNCTION("""COMPUTED_VALUE"""),"{""typ"":""lc"",""txt"":""LC_ITEM_mecha_skin_colour_use_tips_4""}")</f>
        <v>{"typ":"lc","txt":"LC_ITEM_mecha_skin_colour_use_tips_4"}</v>
      </c>
      <c r="M2056" s="148">
        <f>IFERROR(__xludf.DUMMYFUNCTION("""COMPUTED_VALUE"""),2500.0)</f>
        <v>2500</v>
      </c>
      <c r="N2056" s="148">
        <f>IFERROR(__xludf.DUMMYFUNCTION("""COMPUTED_VALUE"""),999999.0)</f>
        <v>999999</v>
      </c>
      <c r="O2056" s="148">
        <f>IFERROR(__xludf.DUMMYFUNCTION("""COMPUTED_VALUE"""),99999.0)</f>
        <v>99999</v>
      </c>
      <c r="P2056" s="148">
        <f>IFERROR(__xludf.DUMMYFUNCTION("""COMPUTED_VALUE"""),1.0)</f>
        <v>1</v>
      </c>
      <c r="Q2056" s="148" t="str">
        <f>IFERROR(__xludf.DUMMYFUNCTION("""COMPUTED_VALUE"""),"[""bag_other""]")</f>
        <v>["bag_other"]</v>
      </c>
      <c r="R2056" s="148" t="str">
        <f>IFERROR(__xludf.DUMMYFUNCTION("""COMPUTED_VALUE"""),"[""bag"",""40112002""]")</f>
        <v>["bag","40112002"]</v>
      </c>
      <c r="S2056" s="148" t="str">
        <f>IFERROR(__xludf.DUMMYFUNCTION("""COMPUTED_VALUE"""),"{""effect"":[{""typ"":""mecha_colour"",""id"":40112002,""val"":-1},{""typ"":""item"",""id"":11111034,""val"":10}]}")</f>
        <v>{"effect":[{"typ":"mecha_colour","id":40112002,"val":-1},{"typ":"item","id":11111034,"val":10}]}</v>
      </c>
      <c r="T2056" s="148">
        <f>IFERROR(__xludf.DUMMYFUNCTION("""COMPUTED_VALUE"""),-1.0)</f>
        <v>-1</v>
      </c>
      <c r="U2056" s="148">
        <f>IFERROR(__xludf.DUMMYFUNCTION("""COMPUTED_VALUE"""),0.0)</f>
        <v>0</v>
      </c>
      <c r="V2056" s="148" t="str">
        <f>IFERROR(__xludf.DUMMYFUNCTION("""COMPUTED_VALUE"""),"[]")</f>
        <v>[]</v>
      </c>
      <c r="W2056" s="148">
        <f>IFERROR(__xludf.DUMMYFUNCTION("""COMPUTED_VALUE"""),1.174E7)</f>
        <v>11740000</v>
      </c>
      <c r="X2056" s="148">
        <f>IFERROR(__xludf.DUMMYFUNCTION("""COMPUTED_VALUE"""),0.0)</f>
        <v>0</v>
      </c>
      <c r="Y2056" s="148">
        <f>IFERROR(__xludf.DUMMYFUNCTION("""COMPUTED_VALUE"""),0.0)</f>
        <v>0</v>
      </c>
      <c r="Z2056" s="148"/>
    </row>
    <row r="2057">
      <c r="A2057" s="148">
        <f>IFERROR(__xludf.DUMMYFUNCTION("""COMPUTED_VALUE"""),1.1118686E7)</f>
        <v>11118686</v>
      </c>
      <c r="B2057" s="148" t="str">
        <f>IFERROR(__xludf.DUMMYFUNCTION("""COMPUTED_VALUE"""),"金刚绿色喷漆")</f>
        <v>金刚绿色喷漆</v>
      </c>
      <c r="C2057" s="148"/>
      <c r="D2057" s="148" t="str">
        <f>IFERROR(__xludf.DUMMYFUNCTION("""COMPUTED_VALUE"""),"mecha_skin_colour")</f>
        <v>mecha_skin_colour</v>
      </c>
      <c r="E2057" s="148">
        <f>IFERROR(__xludf.DUMMYFUNCTION("""COMPUTED_VALUE"""),32.0)</f>
        <v>32</v>
      </c>
      <c r="F2057" s="148">
        <f>IFERROR(__xludf.DUMMYFUNCTION("""COMPUTED_VALUE"""),0.0)</f>
        <v>0</v>
      </c>
      <c r="G2057" s="148">
        <f>IFERROR(__xludf.DUMMYFUNCTION("""COMPUTED_VALUE"""),1.5119917E7)</f>
        <v>15119917</v>
      </c>
      <c r="H2057" s="148">
        <f>IFERROR(__xludf.DUMMYFUNCTION("""COMPUTED_VALUE"""),1.5112563E7)</f>
        <v>15112563</v>
      </c>
      <c r="I2057" s="148" t="str">
        <f>IFERROR(__xludf.DUMMYFUNCTION("""COMPUTED_VALUE"""),"{}")</f>
        <v>{}</v>
      </c>
      <c r="J2057" s="148" t="str">
        <f>IFERROR(__xludf.DUMMYFUNCTION("""COMPUTED_VALUE"""),"{""typ"":""lc"",""txt"":""LC_ITEM_mecha_skin_colour_name_5""}")</f>
        <v>{"typ":"lc","txt":"LC_ITEM_mecha_skin_colour_name_5"}</v>
      </c>
      <c r="K2057" s="148" t="str">
        <f>IFERROR(__xludf.DUMMYFUNCTION("""COMPUTED_VALUE"""),"{""typ"":""lc"",""txt"":""LC_ITEM_mecha_skin_colour_desc_5""}")</f>
        <v>{"typ":"lc","txt":"LC_ITEM_mecha_skin_colour_desc_5"}</v>
      </c>
      <c r="L2057" s="148" t="str">
        <f>IFERROR(__xludf.DUMMYFUNCTION("""COMPUTED_VALUE"""),"{""typ"":""lc"",""txt"":""LC_ITEM_mecha_skin_colour_use_tips_5""}")</f>
        <v>{"typ":"lc","txt":"LC_ITEM_mecha_skin_colour_use_tips_5"}</v>
      </c>
      <c r="M2057" s="148">
        <f>IFERROR(__xludf.DUMMYFUNCTION("""COMPUTED_VALUE"""),2500.0)</f>
        <v>2500</v>
      </c>
      <c r="N2057" s="148">
        <f>IFERROR(__xludf.DUMMYFUNCTION("""COMPUTED_VALUE"""),999999.0)</f>
        <v>999999</v>
      </c>
      <c r="O2057" s="148">
        <f>IFERROR(__xludf.DUMMYFUNCTION("""COMPUTED_VALUE"""),99999.0)</f>
        <v>99999</v>
      </c>
      <c r="P2057" s="148">
        <f>IFERROR(__xludf.DUMMYFUNCTION("""COMPUTED_VALUE"""),1.0)</f>
        <v>1</v>
      </c>
      <c r="Q2057" s="148" t="str">
        <f>IFERROR(__xludf.DUMMYFUNCTION("""COMPUTED_VALUE"""),"[""bag_other""]")</f>
        <v>["bag_other"]</v>
      </c>
      <c r="R2057" s="148" t="str">
        <f>IFERROR(__xludf.DUMMYFUNCTION("""COMPUTED_VALUE"""),"[""bag"",""40112003""]")</f>
        <v>["bag","40112003"]</v>
      </c>
      <c r="S2057" s="148" t="str">
        <f>IFERROR(__xludf.DUMMYFUNCTION("""COMPUTED_VALUE"""),"{""effect"":[{""typ"":""mecha_colour"",""id"":40112003,""val"":-1},{""typ"":""item"",""id"":11111034,""val"":10}]}")</f>
        <v>{"effect":[{"typ":"mecha_colour","id":40112003,"val":-1},{"typ":"item","id":11111034,"val":10}]}</v>
      </c>
      <c r="T2057" s="148">
        <f>IFERROR(__xludf.DUMMYFUNCTION("""COMPUTED_VALUE"""),-1.0)</f>
        <v>-1</v>
      </c>
      <c r="U2057" s="148">
        <f>IFERROR(__xludf.DUMMYFUNCTION("""COMPUTED_VALUE"""),0.0)</f>
        <v>0</v>
      </c>
      <c r="V2057" s="148" t="str">
        <f>IFERROR(__xludf.DUMMYFUNCTION("""COMPUTED_VALUE"""),"[]")</f>
        <v>[]</v>
      </c>
      <c r="W2057" s="148">
        <f>IFERROR(__xludf.DUMMYFUNCTION("""COMPUTED_VALUE"""),1.174E7)</f>
        <v>11740000</v>
      </c>
      <c r="X2057" s="148">
        <f>IFERROR(__xludf.DUMMYFUNCTION("""COMPUTED_VALUE"""),0.0)</f>
        <v>0</v>
      </c>
      <c r="Y2057" s="148">
        <f>IFERROR(__xludf.DUMMYFUNCTION("""COMPUTED_VALUE"""),0.0)</f>
        <v>0</v>
      </c>
      <c r="Z2057" s="148"/>
    </row>
    <row r="2058">
      <c r="A2058" s="148">
        <f>IFERROR(__xludf.DUMMYFUNCTION("""COMPUTED_VALUE"""),1.1118687E7)</f>
        <v>11118687</v>
      </c>
      <c r="B2058" s="148" t="str">
        <f>IFERROR(__xludf.DUMMYFUNCTION("""COMPUTED_VALUE"""),"金刚青色喷漆")</f>
        <v>金刚青色喷漆</v>
      </c>
      <c r="C2058" s="148"/>
      <c r="D2058" s="148" t="str">
        <f>IFERROR(__xludf.DUMMYFUNCTION("""COMPUTED_VALUE"""),"mecha_skin_colour")</f>
        <v>mecha_skin_colour</v>
      </c>
      <c r="E2058" s="148">
        <f>IFERROR(__xludf.DUMMYFUNCTION("""COMPUTED_VALUE"""),32.0)</f>
        <v>32</v>
      </c>
      <c r="F2058" s="148">
        <f>IFERROR(__xludf.DUMMYFUNCTION("""COMPUTED_VALUE"""),0.0)</f>
        <v>0</v>
      </c>
      <c r="G2058" s="148">
        <f>IFERROR(__xludf.DUMMYFUNCTION("""COMPUTED_VALUE"""),1.5119916E7)</f>
        <v>15119916</v>
      </c>
      <c r="H2058" s="148">
        <f>IFERROR(__xludf.DUMMYFUNCTION("""COMPUTED_VALUE"""),1.5112563E7)</f>
        <v>15112563</v>
      </c>
      <c r="I2058" s="148" t="str">
        <f>IFERROR(__xludf.DUMMYFUNCTION("""COMPUTED_VALUE"""),"{}")</f>
        <v>{}</v>
      </c>
      <c r="J2058" s="148" t="str">
        <f>IFERROR(__xludf.DUMMYFUNCTION("""COMPUTED_VALUE"""),"{""typ"":""lc"",""txt"":""LC_ITEM_mecha_skin_colour_name_6""}")</f>
        <v>{"typ":"lc","txt":"LC_ITEM_mecha_skin_colour_name_6"}</v>
      </c>
      <c r="K2058" s="148" t="str">
        <f>IFERROR(__xludf.DUMMYFUNCTION("""COMPUTED_VALUE"""),"{""typ"":""lc"",""txt"":""LC_ITEM_mecha_skin_colour_desc_6""}")</f>
        <v>{"typ":"lc","txt":"LC_ITEM_mecha_skin_colour_desc_6"}</v>
      </c>
      <c r="L2058" s="148" t="str">
        <f>IFERROR(__xludf.DUMMYFUNCTION("""COMPUTED_VALUE"""),"{""typ"":""lc"",""txt"":""LC_ITEM_mecha_skin_colour_use_tips_6""}")</f>
        <v>{"typ":"lc","txt":"LC_ITEM_mecha_skin_colour_use_tips_6"}</v>
      </c>
      <c r="M2058" s="148">
        <f>IFERROR(__xludf.DUMMYFUNCTION("""COMPUTED_VALUE"""),2500.0)</f>
        <v>2500</v>
      </c>
      <c r="N2058" s="148">
        <f>IFERROR(__xludf.DUMMYFUNCTION("""COMPUTED_VALUE"""),999999.0)</f>
        <v>999999</v>
      </c>
      <c r="O2058" s="148">
        <f>IFERROR(__xludf.DUMMYFUNCTION("""COMPUTED_VALUE"""),99999.0)</f>
        <v>99999</v>
      </c>
      <c r="P2058" s="148">
        <f>IFERROR(__xludf.DUMMYFUNCTION("""COMPUTED_VALUE"""),1.0)</f>
        <v>1</v>
      </c>
      <c r="Q2058" s="148" t="str">
        <f>IFERROR(__xludf.DUMMYFUNCTION("""COMPUTED_VALUE"""),"[""bag_other""]")</f>
        <v>["bag_other"]</v>
      </c>
      <c r="R2058" s="148" t="str">
        <f>IFERROR(__xludf.DUMMYFUNCTION("""COMPUTED_VALUE"""),"[""bag"",""40112004""]")</f>
        <v>["bag","40112004"]</v>
      </c>
      <c r="S2058" s="148" t="str">
        <f>IFERROR(__xludf.DUMMYFUNCTION("""COMPUTED_VALUE"""),"{""effect"":[{""typ"":""mecha_colour"",""id"":40112004,""val"":-1},{""typ"":""item"",""id"":11111034,""val"":10}]}")</f>
        <v>{"effect":[{"typ":"mecha_colour","id":40112004,"val":-1},{"typ":"item","id":11111034,"val":10}]}</v>
      </c>
      <c r="T2058" s="148">
        <f>IFERROR(__xludf.DUMMYFUNCTION("""COMPUTED_VALUE"""),-1.0)</f>
        <v>-1</v>
      </c>
      <c r="U2058" s="148">
        <f>IFERROR(__xludf.DUMMYFUNCTION("""COMPUTED_VALUE"""),0.0)</f>
        <v>0</v>
      </c>
      <c r="V2058" s="148" t="str">
        <f>IFERROR(__xludf.DUMMYFUNCTION("""COMPUTED_VALUE"""),"[]")</f>
        <v>[]</v>
      </c>
      <c r="W2058" s="148">
        <f>IFERROR(__xludf.DUMMYFUNCTION("""COMPUTED_VALUE"""),1.174E7)</f>
        <v>11740000</v>
      </c>
      <c r="X2058" s="148">
        <f>IFERROR(__xludf.DUMMYFUNCTION("""COMPUTED_VALUE"""),0.0)</f>
        <v>0</v>
      </c>
      <c r="Y2058" s="148">
        <f>IFERROR(__xludf.DUMMYFUNCTION("""COMPUTED_VALUE"""),0.0)</f>
        <v>0</v>
      </c>
      <c r="Z2058" s="148"/>
    </row>
    <row r="2059">
      <c r="A2059" s="148">
        <f>IFERROR(__xludf.DUMMYFUNCTION("""COMPUTED_VALUE"""),1.1118688E7)</f>
        <v>11118688</v>
      </c>
      <c r="B2059" s="148" t="str">
        <f>IFERROR(__xludf.DUMMYFUNCTION("""COMPUTED_VALUE"""),"野豹红色喷漆")</f>
        <v>野豹红色喷漆</v>
      </c>
      <c r="C2059" s="148"/>
      <c r="D2059" s="148" t="str">
        <f>IFERROR(__xludf.DUMMYFUNCTION("""COMPUTED_VALUE"""),"mecha_skin_colour")</f>
        <v>mecha_skin_colour</v>
      </c>
      <c r="E2059" s="148">
        <f>IFERROR(__xludf.DUMMYFUNCTION("""COMPUTED_VALUE"""),32.0)</f>
        <v>32</v>
      </c>
      <c r="F2059" s="148">
        <f>IFERROR(__xludf.DUMMYFUNCTION("""COMPUTED_VALUE"""),0.0)</f>
        <v>0</v>
      </c>
      <c r="G2059" s="148">
        <f>IFERROR(__xludf.DUMMYFUNCTION("""COMPUTED_VALUE"""),1.5119928E7)</f>
        <v>15119928</v>
      </c>
      <c r="H2059" s="148">
        <f>IFERROR(__xludf.DUMMYFUNCTION("""COMPUTED_VALUE"""),1.5112563E7)</f>
        <v>15112563</v>
      </c>
      <c r="I2059" s="148" t="str">
        <f>IFERROR(__xludf.DUMMYFUNCTION("""COMPUTED_VALUE"""),"{}")</f>
        <v>{}</v>
      </c>
      <c r="J2059" s="148" t="str">
        <f>IFERROR(__xludf.DUMMYFUNCTION("""COMPUTED_VALUE"""),"{""typ"":""lc"",""txt"":""LC_ITEM_mecha_skin_colour_name_7""}")</f>
        <v>{"typ":"lc","txt":"LC_ITEM_mecha_skin_colour_name_7"}</v>
      </c>
      <c r="K2059" s="148" t="str">
        <f>IFERROR(__xludf.DUMMYFUNCTION("""COMPUTED_VALUE"""),"{""typ"":""lc"",""txt"":""LC_ITEM_mecha_skin_colour_desc_7""}")</f>
        <v>{"typ":"lc","txt":"LC_ITEM_mecha_skin_colour_desc_7"}</v>
      </c>
      <c r="L2059" s="148" t="str">
        <f>IFERROR(__xludf.DUMMYFUNCTION("""COMPUTED_VALUE"""),"{""typ"":""lc"",""txt"":""LC_ITEM_mecha_skin_colour_use_tips_7""}")</f>
        <v>{"typ":"lc","txt":"LC_ITEM_mecha_skin_colour_use_tips_7"}</v>
      </c>
      <c r="M2059" s="148">
        <f>IFERROR(__xludf.DUMMYFUNCTION("""COMPUTED_VALUE"""),2500.0)</f>
        <v>2500</v>
      </c>
      <c r="N2059" s="148">
        <f>IFERROR(__xludf.DUMMYFUNCTION("""COMPUTED_VALUE"""),999999.0)</f>
        <v>999999</v>
      </c>
      <c r="O2059" s="148">
        <f>IFERROR(__xludf.DUMMYFUNCTION("""COMPUTED_VALUE"""),99999.0)</f>
        <v>99999</v>
      </c>
      <c r="P2059" s="148">
        <f>IFERROR(__xludf.DUMMYFUNCTION("""COMPUTED_VALUE"""),1.0)</f>
        <v>1</v>
      </c>
      <c r="Q2059" s="148" t="str">
        <f>IFERROR(__xludf.DUMMYFUNCTION("""COMPUTED_VALUE"""),"[""bag_other""]")</f>
        <v>["bag_other"]</v>
      </c>
      <c r="R2059" s="148" t="str">
        <f>IFERROR(__xludf.DUMMYFUNCTION("""COMPUTED_VALUE"""),"[""bag"",""40113002""]")</f>
        <v>["bag","40113002"]</v>
      </c>
      <c r="S2059" s="148" t="str">
        <f>IFERROR(__xludf.DUMMYFUNCTION("""COMPUTED_VALUE"""),"{""effect"":[{""typ"":""mecha_colour"",""id"":40113002,""val"":-1},{""typ"":""item"",""id"":11111034,""val"":10}]}")</f>
        <v>{"effect":[{"typ":"mecha_colour","id":40113002,"val":-1},{"typ":"item","id":11111034,"val":10}]}</v>
      </c>
      <c r="T2059" s="148">
        <f>IFERROR(__xludf.DUMMYFUNCTION("""COMPUTED_VALUE"""),-1.0)</f>
        <v>-1</v>
      </c>
      <c r="U2059" s="148">
        <f>IFERROR(__xludf.DUMMYFUNCTION("""COMPUTED_VALUE"""),0.0)</f>
        <v>0</v>
      </c>
      <c r="V2059" s="148" t="str">
        <f>IFERROR(__xludf.DUMMYFUNCTION("""COMPUTED_VALUE"""),"[]")</f>
        <v>[]</v>
      </c>
      <c r="W2059" s="148">
        <f>IFERROR(__xludf.DUMMYFUNCTION("""COMPUTED_VALUE"""),1.174E7)</f>
        <v>11740000</v>
      </c>
      <c r="X2059" s="148">
        <f>IFERROR(__xludf.DUMMYFUNCTION("""COMPUTED_VALUE"""),0.0)</f>
        <v>0</v>
      </c>
      <c r="Y2059" s="148">
        <f>IFERROR(__xludf.DUMMYFUNCTION("""COMPUTED_VALUE"""),0.0)</f>
        <v>0</v>
      </c>
      <c r="Z2059" s="148"/>
    </row>
    <row r="2060">
      <c r="A2060" s="148">
        <f>IFERROR(__xludf.DUMMYFUNCTION("""COMPUTED_VALUE"""),1.1118689E7)</f>
        <v>11118689</v>
      </c>
      <c r="B2060" s="148" t="str">
        <f>IFERROR(__xludf.DUMMYFUNCTION("""COMPUTED_VALUE"""),"野豹绿色喷漆")</f>
        <v>野豹绿色喷漆</v>
      </c>
      <c r="C2060" s="148"/>
      <c r="D2060" s="148" t="str">
        <f>IFERROR(__xludf.DUMMYFUNCTION("""COMPUTED_VALUE"""),"mecha_skin_colour")</f>
        <v>mecha_skin_colour</v>
      </c>
      <c r="E2060" s="148">
        <f>IFERROR(__xludf.DUMMYFUNCTION("""COMPUTED_VALUE"""),32.0)</f>
        <v>32</v>
      </c>
      <c r="F2060" s="148">
        <f>IFERROR(__xludf.DUMMYFUNCTION("""COMPUTED_VALUE"""),0.0)</f>
        <v>0</v>
      </c>
      <c r="G2060" s="148">
        <f>IFERROR(__xludf.DUMMYFUNCTION("""COMPUTED_VALUE"""),1.5119924E7)</f>
        <v>15119924</v>
      </c>
      <c r="H2060" s="148">
        <f>IFERROR(__xludf.DUMMYFUNCTION("""COMPUTED_VALUE"""),1.5112563E7)</f>
        <v>15112563</v>
      </c>
      <c r="I2060" s="148" t="str">
        <f>IFERROR(__xludf.DUMMYFUNCTION("""COMPUTED_VALUE"""),"{}")</f>
        <v>{}</v>
      </c>
      <c r="J2060" s="148" t="str">
        <f>IFERROR(__xludf.DUMMYFUNCTION("""COMPUTED_VALUE"""),"{""typ"":""lc"",""txt"":""LC_ITEM_mecha_skin_colour_name_8""}")</f>
        <v>{"typ":"lc","txt":"LC_ITEM_mecha_skin_colour_name_8"}</v>
      </c>
      <c r="K2060" s="148" t="str">
        <f>IFERROR(__xludf.DUMMYFUNCTION("""COMPUTED_VALUE"""),"{""typ"":""lc"",""txt"":""LC_ITEM_mecha_skin_colour_desc_8""}")</f>
        <v>{"typ":"lc","txt":"LC_ITEM_mecha_skin_colour_desc_8"}</v>
      </c>
      <c r="L2060" s="148" t="str">
        <f>IFERROR(__xludf.DUMMYFUNCTION("""COMPUTED_VALUE"""),"{""typ"":""lc"",""txt"":""LC_ITEM_mecha_skin_colour_use_tips_8""}")</f>
        <v>{"typ":"lc","txt":"LC_ITEM_mecha_skin_colour_use_tips_8"}</v>
      </c>
      <c r="M2060" s="148">
        <f>IFERROR(__xludf.DUMMYFUNCTION("""COMPUTED_VALUE"""),2500.0)</f>
        <v>2500</v>
      </c>
      <c r="N2060" s="148">
        <f>IFERROR(__xludf.DUMMYFUNCTION("""COMPUTED_VALUE"""),999999.0)</f>
        <v>999999</v>
      </c>
      <c r="O2060" s="148">
        <f>IFERROR(__xludf.DUMMYFUNCTION("""COMPUTED_VALUE"""),99999.0)</f>
        <v>99999</v>
      </c>
      <c r="P2060" s="148">
        <f>IFERROR(__xludf.DUMMYFUNCTION("""COMPUTED_VALUE"""),1.0)</f>
        <v>1</v>
      </c>
      <c r="Q2060" s="148" t="str">
        <f>IFERROR(__xludf.DUMMYFUNCTION("""COMPUTED_VALUE"""),"[""bag_other""]")</f>
        <v>["bag_other"]</v>
      </c>
      <c r="R2060" s="148" t="str">
        <f>IFERROR(__xludf.DUMMYFUNCTION("""COMPUTED_VALUE"""),"[""bag"",""40113003""]")</f>
        <v>["bag","40113003"]</v>
      </c>
      <c r="S2060" s="148" t="str">
        <f>IFERROR(__xludf.DUMMYFUNCTION("""COMPUTED_VALUE"""),"{""effect"":[{""typ"":""mecha_colour"",""id"":40113003,""val"":-1},{""typ"":""item"",""id"":11111034,""val"":10}]}")</f>
        <v>{"effect":[{"typ":"mecha_colour","id":40113003,"val":-1},{"typ":"item","id":11111034,"val":10}]}</v>
      </c>
      <c r="T2060" s="148">
        <f>IFERROR(__xludf.DUMMYFUNCTION("""COMPUTED_VALUE"""),-1.0)</f>
        <v>-1</v>
      </c>
      <c r="U2060" s="148">
        <f>IFERROR(__xludf.DUMMYFUNCTION("""COMPUTED_VALUE"""),0.0)</f>
        <v>0</v>
      </c>
      <c r="V2060" s="148" t="str">
        <f>IFERROR(__xludf.DUMMYFUNCTION("""COMPUTED_VALUE"""),"[]")</f>
        <v>[]</v>
      </c>
      <c r="W2060" s="148">
        <f>IFERROR(__xludf.DUMMYFUNCTION("""COMPUTED_VALUE"""),1.174E7)</f>
        <v>11740000</v>
      </c>
      <c r="X2060" s="148">
        <f>IFERROR(__xludf.DUMMYFUNCTION("""COMPUTED_VALUE"""),0.0)</f>
        <v>0</v>
      </c>
      <c r="Y2060" s="148">
        <f>IFERROR(__xludf.DUMMYFUNCTION("""COMPUTED_VALUE"""),0.0)</f>
        <v>0</v>
      </c>
      <c r="Z2060" s="148"/>
    </row>
    <row r="2061">
      <c r="A2061" s="148">
        <f>IFERROR(__xludf.DUMMYFUNCTION("""COMPUTED_VALUE"""),1.111869E7)</f>
        <v>11118690</v>
      </c>
      <c r="B2061" s="148" t="str">
        <f>IFERROR(__xludf.DUMMYFUNCTION("""COMPUTED_VALUE"""),"野豹青色喷漆")</f>
        <v>野豹青色喷漆</v>
      </c>
      <c r="C2061" s="148"/>
      <c r="D2061" s="148" t="str">
        <f>IFERROR(__xludf.DUMMYFUNCTION("""COMPUTED_VALUE"""),"mecha_skin_colour")</f>
        <v>mecha_skin_colour</v>
      </c>
      <c r="E2061" s="148">
        <f>IFERROR(__xludf.DUMMYFUNCTION("""COMPUTED_VALUE"""),32.0)</f>
        <v>32</v>
      </c>
      <c r="F2061" s="148">
        <f>IFERROR(__xludf.DUMMYFUNCTION("""COMPUTED_VALUE"""),0.0)</f>
        <v>0</v>
      </c>
      <c r="G2061" s="148">
        <f>IFERROR(__xludf.DUMMYFUNCTION("""COMPUTED_VALUE"""),1.5119923E7)</f>
        <v>15119923</v>
      </c>
      <c r="H2061" s="148">
        <f>IFERROR(__xludf.DUMMYFUNCTION("""COMPUTED_VALUE"""),1.5112563E7)</f>
        <v>15112563</v>
      </c>
      <c r="I2061" s="148" t="str">
        <f>IFERROR(__xludf.DUMMYFUNCTION("""COMPUTED_VALUE"""),"{}")</f>
        <v>{}</v>
      </c>
      <c r="J2061" s="148" t="str">
        <f>IFERROR(__xludf.DUMMYFUNCTION("""COMPUTED_VALUE"""),"{""typ"":""lc"",""txt"":""LC_ITEM_mecha_skin_colour_name_9""}")</f>
        <v>{"typ":"lc","txt":"LC_ITEM_mecha_skin_colour_name_9"}</v>
      </c>
      <c r="K2061" s="148" t="str">
        <f>IFERROR(__xludf.DUMMYFUNCTION("""COMPUTED_VALUE"""),"{""typ"":""lc"",""txt"":""LC_ITEM_mecha_skin_colour_desc_9""}")</f>
        <v>{"typ":"lc","txt":"LC_ITEM_mecha_skin_colour_desc_9"}</v>
      </c>
      <c r="L2061" s="148" t="str">
        <f>IFERROR(__xludf.DUMMYFUNCTION("""COMPUTED_VALUE"""),"{""typ"":""lc"",""txt"":""LC_ITEM_mecha_skin_colour_use_tips_9""}")</f>
        <v>{"typ":"lc","txt":"LC_ITEM_mecha_skin_colour_use_tips_9"}</v>
      </c>
      <c r="M2061" s="148">
        <f>IFERROR(__xludf.DUMMYFUNCTION("""COMPUTED_VALUE"""),2500.0)</f>
        <v>2500</v>
      </c>
      <c r="N2061" s="148">
        <f>IFERROR(__xludf.DUMMYFUNCTION("""COMPUTED_VALUE"""),999999.0)</f>
        <v>999999</v>
      </c>
      <c r="O2061" s="148">
        <f>IFERROR(__xludf.DUMMYFUNCTION("""COMPUTED_VALUE"""),99999.0)</f>
        <v>99999</v>
      </c>
      <c r="P2061" s="148">
        <f>IFERROR(__xludf.DUMMYFUNCTION("""COMPUTED_VALUE"""),1.0)</f>
        <v>1</v>
      </c>
      <c r="Q2061" s="148" t="str">
        <f>IFERROR(__xludf.DUMMYFUNCTION("""COMPUTED_VALUE"""),"[""bag_other""]")</f>
        <v>["bag_other"]</v>
      </c>
      <c r="R2061" s="148" t="str">
        <f>IFERROR(__xludf.DUMMYFUNCTION("""COMPUTED_VALUE"""),"[""bag"",""40113004""]")</f>
        <v>["bag","40113004"]</v>
      </c>
      <c r="S2061" s="148" t="str">
        <f>IFERROR(__xludf.DUMMYFUNCTION("""COMPUTED_VALUE"""),"{""effect"":[{""typ"":""mecha_colour"",""id"":40113004,""val"":-1},{""typ"":""item"",""id"":11111034,""val"":10}]}")</f>
        <v>{"effect":[{"typ":"mecha_colour","id":40113004,"val":-1},{"typ":"item","id":11111034,"val":10}]}</v>
      </c>
      <c r="T2061" s="148">
        <f>IFERROR(__xludf.DUMMYFUNCTION("""COMPUTED_VALUE"""),-1.0)</f>
        <v>-1</v>
      </c>
      <c r="U2061" s="148">
        <f>IFERROR(__xludf.DUMMYFUNCTION("""COMPUTED_VALUE"""),0.0)</f>
        <v>0</v>
      </c>
      <c r="V2061" s="148" t="str">
        <f>IFERROR(__xludf.DUMMYFUNCTION("""COMPUTED_VALUE"""),"[]")</f>
        <v>[]</v>
      </c>
      <c r="W2061" s="148">
        <f>IFERROR(__xludf.DUMMYFUNCTION("""COMPUTED_VALUE"""),1.174E7)</f>
        <v>11740000</v>
      </c>
      <c r="X2061" s="148">
        <f>IFERROR(__xludf.DUMMYFUNCTION("""COMPUTED_VALUE"""),0.0)</f>
        <v>0</v>
      </c>
      <c r="Y2061" s="148">
        <f>IFERROR(__xludf.DUMMYFUNCTION("""COMPUTED_VALUE"""),0.0)</f>
        <v>0</v>
      </c>
      <c r="Z2061" s="148"/>
    </row>
    <row r="2062">
      <c r="A2062" s="148">
        <f>IFERROR(__xludf.DUMMYFUNCTION("""COMPUTED_VALUE"""),1.1118691E7)</f>
        <v>11118691</v>
      </c>
      <c r="B2062" s="148" t="str">
        <f>IFERROR(__xludf.DUMMYFUNCTION("""COMPUTED_VALUE"""),"毒蝎红色喷漆")</f>
        <v>毒蝎红色喷漆</v>
      </c>
      <c r="C2062" s="148"/>
      <c r="D2062" s="148" t="str">
        <f>IFERROR(__xludf.DUMMYFUNCTION("""COMPUTED_VALUE"""),"mecha_skin_colour")</f>
        <v>mecha_skin_colour</v>
      </c>
      <c r="E2062" s="148">
        <f>IFERROR(__xludf.DUMMYFUNCTION("""COMPUTED_VALUE"""),32.0)</f>
        <v>32</v>
      </c>
      <c r="F2062" s="148">
        <f>IFERROR(__xludf.DUMMYFUNCTION("""COMPUTED_VALUE"""),0.0)</f>
        <v>0</v>
      </c>
      <c r="G2062" s="148">
        <f>IFERROR(__xludf.DUMMYFUNCTION("""COMPUTED_VALUE"""),1.5119935E7)</f>
        <v>15119935</v>
      </c>
      <c r="H2062" s="148">
        <f>IFERROR(__xludf.DUMMYFUNCTION("""COMPUTED_VALUE"""),1.5112564E7)</f>
        <v>15112564</v>
      </c>
      <c r="I2062" s="148" t="str">
        <f>IFERROR(__xludf.DUMMYFUNCTION("""COMPUTED_VALUE"""),"{}")</f>
        <v>{}</v>
      </c>
      <c r="J2062" s="148" t="str">
        <f>IFERROR(__xludf.DUMMYFUNCTION("""COMPUTED_VALUE"""),"{""typ"":""lc"",""txt"":""LC_ITEM_mecha_skin_colour_name_10""}")</f>
        <v>{"typ":"lc","txt":"LC_ITEM_mecha_skin_colour_name_10"}</v>
      </c>
      <c r="K2062" s="148" t="str">
        <f>IFERROR(__xludf.DUMMYFUNCTION("""COMPUTED_VALUE"""),"{""typ"":""lc"",""txt"":""LC_ITEM_mecha_skin_colour_desc_10""}")</f>
        <v>{"typ":"lc","txt":"LC_ITEM_mecha_skin_colour_desc_10"}</v>
      </c>
      <c r="L2062" s="148" t="str">
        <f>IFERROR(__xludf.DUMMYFUNCTION("""COMPUTED_VALUE"""),"{""typ"":""lc"",""txt"":""LC_ITEM_mecha_skin_colour_use_tips_10""}")</f>
        <v>{"typ":"lc","txt":"LC_ITEM_mecha_skin_colour_use_tips_10"}</v>
      </c>
      <c r="M2062" s="148">
        <f>IFERROR(__xludf.DUMMYFUNCTION("""COMPUTED_VALUE"""),2500.0)</f>
        <v>2500</v>
      </c>
      <c r="N2062" s="148">
        <f>IFERROR(__xludf.DUMMYFUNCTION("""COMPUTED_VALUE"""),999999.0)</f>
        <v>999999</v>
      </c>
      <c r="O2062" s="148">
        <f>IFERROR(__xludf.DUMMYFUNCTION("""COMPUTED_VALUE"""),99999.0)</f>
        <v>99999</v>
      </c>
      <c r="P2062" s="148">
        <f>IFERROR(__xludf.DUMMYFUNCTION("""COMPUTED_VALUE"""),1.0)</f>
        <v>1</v>
      </c>
      <c r="Q2062" s="148" t="str">
        <f>IFERROR(__xludf.DUMMYFUNCTION("""COMPUTED_VALUE"""),"[""bag_other""]")</f>
        <v>["bag_other"]</v>
      </c>
      <c r="R2062" s="148" t="str">
        <f>IFERROR(__xludf.DUMMYFUNCTION("""COMPUTED_VALUE"""),"[""bag"",""40114002""]")</f>
        <v>["bag","40114002"]</v>
      </c>
      <c r="S2062" s="148" t="str">
        <f>IFERROR(__xludf.DUMMYFUNCTION("""COMPUTED_VALUE"""),"{""effect"":[{""typ"":""mecha_colour"",""id"":40114002,""val"":-1},{""typ"":""item"",""id"":11111034,""val"":10}]}")</f>
        <v>{"effect":[{"typ":"mecha_colour","id":40114002,"val":-1},{"typ":"item","id":11111034,"val":10}]}</v>
      </c>
      <c r="T2062" s="148">
        <f>IFERROR(__xludf.DUMMYFUNCTION("""COMPUTED_VALUE"""),-1.0)</f>
        <v>-1</v>
      </c>
      <c r="U2062" s="148">
        <f>IFERROR(__xludf.DUMMYFUNCTION("""COMPUTED_VALUE"""),0.0)</f>
        <v>0</v>
      </c>
      <c r="V2062" s="148" t="str">
        <f>IFERROR(__xludf.DUMMYFUNCTION("""COMPUTED_VALUE"""),"[]")</f>
        <v>[]</v>
      </c>
      <c r="W2062" s="148">
        <f>IFERROR(__xludf.DUMMYFUNCTION("""COMPUTED_VALUE"""),1.174E7)</f>
        <v>11740000</v>
      </c>
      <c r="X2062" s="148">
        <f>IFERROR(__xludf.DUMMYFUNCTION("""COMPUTED_VALUE"""),0.0)</f>
        <v>0</v>
      </c>
      <c r="Y2062" s="148">
        <f>IFERROR(__xludf.DUMMYFUNCTION("""COMPUTED_VALUE"""),0.0)</f>
        <v>0</v>
      </c>
      <c r="Z2062" s="148"/>
    </row>
    <row r="2063">
      <c r="A2063" s="148">
        <f>IFERROR(__xludf.DUMMYFUNCTION("""COMPUTED_VALUE"""),1.1118692E7)</f>
        <v>11118692</v>
      </c>
      <c r="B2063" s="148" t="str">
        <f>IFERROR(__xludf.DUMMYFUNCTION("""COMPUTED_VALUE"""),"毒蝎绿色喷漆")</f>
        <v>毒蝎绿色喷漆</v>
      </c>
      <c r="C2063" s="148"/>
      <c r="D2063" s="148" t="str">
        <f>IFERROR(__xludf.DUMMYFUNCTION("""COMPUTED_VALUE"""),"mecha_skin_colour")</f>
        <v>mecha_skin_colour</v>
      </c>
      <c r="E2063" s="148">
        <f>IFERROR(__xludf.DUMMYFUNCTION("""COMPUTED_VALUE"""),32.0)</f>
        <v>32</v>
      </c>
      <c r="F2063" s="148">
        <f>IFERROR(__xludf.DUMMYFUNCTION("""COMPUTED_VALUE"""),0.0)</f>
        <v>0</v>
      </c>
      <c r="G2063" s="148">
        <f>IFERROR(__xludf.DUMMYFUNCTION("""COMPUTED_VALUE"""),1.5119931E7)</f>
        <v>15119931</v>
      </c>
      <c r="H2063" s="148">
        <f>IFERROR(__xludf.DUMMYFUNCTION("""COMPUTED_VALUE"""),1.5112563E7)</f>
        <v>15112563</v>
      </c>
      <c r="I2063" s="148" t="str">
        <f>IFERROR(__xludf.DUMMYFUNCTION("""COMPUTED_VALUE"""),"{}")</f>
        <v>{}</v>
      </c>
      <c r="J2063" s="148" t="str">
        <f>IFERROR(__xludf.DUMMYFUNCTION("""COMPUTED_VALUE"""),"{""typ"":""lc"",""txt"":""LC_ITEM_mecha_skin_colour_name_11""}")</f>
        <v>{"typ":"lc","txt":"LC_ITEM_mecha_skin_colour_name_11"}</v>
      </c>
      <c r="K2063" s="148" t="str">
        <f>IFERROR(__xludf.DUMMYFUNCTION("""COMPUTED_VALUE"""),"{""typ"":""lc"",""txt"":""LC_ITEM_mecha_skin_colour_desc_11""}")</f>
        <v>{"typ":"lc","txt":"LC_ITEM_mecha_skin_colour_desc_11"}</v>
      </c>
      <c r="L2063" s="148" t="str">
        <f>IFERROR(__xludf.DUMMYFUNCTION("""COMPUTED_VALUE"""),"{""typ"":""lc"",""txt"":""LC_ITEM_mecha_skin_colour_use_tips_11""}")</f>
        <v>{"typ":"lc","txt":"LC_ITEM_mecha_skin_colour_use_tips_11"}</v>
      </c>
      <c r="M2063" s="148">
        <f>IFERROR(__xludf.DUMMYFUNCTION("""COMPUTED_VALUE"""),2500.0)</f>
        <v>2500</v>
      </c>
      <c r="N2063" s="148">
        <f>IFERROR(__xludf.DUMMYFUNCTION("""COMPUTED_VALUE"""),999999.0)</f>
        <v>999999</v>
      </c>
      <c r="O2063" s="148">
        <f>IFERROR(__xludf.DUMMYFUNCTION("""COMPUTED_VALUE"""),99999.0)</f>
        <v>99999</v>
      </c>
      <c r="P2063" s="148">
        <f>IFERROR(__xludf.DUMMYFUNCTION("""COMPUTED_VALUE"""),1.0)</f>
        <v>1</v>
      </c>
      <c r="Q2063" s="148" t="str">
        <f>IFERROR(__xludf.DUMMYFUNCTION("""COMPUTED_VALUE"""),"[""bag_other""]")</f>
        <v>["bag_other"]</v>
      </c>
      <c r="R2063" s="148" t="str">
        <f>IFERROR(__xludf.DUMMYFUNCTION("""COMPUTED_VALUE"""),"[""bag"",""40114003""]")</f>
        <v>["bag","40114003"]</v>
      </c>
      <c r="S2063" s="148" t="str">
        <f>IFERROR(__xludf.DUMMYFUNCTION("""COMPUTED_VALUE"""),"{""effect"":[{""typ"":""mecha_colour"",""id"":40114003,""val"":-1},{""typ"":""item"",""id"":11111034,""val"":10}]}")</f>
        <v>{"effect":[{"typ":"mecha_colour","id":40114003,"val":-1},{"typ":"item","id":11111034,"val":10}]}</v>
      </c>
      <c r="T2063" s="148">
        <f>IFERROR(__xludf.DUMMYFUNCTION("""COMPUTED_VALUE"""),-1.0)</f>
        <v>-1</v>
      </c>
      <c r="U2063" s="148">
        <f>IFERROR(__xludf.DUMMYFUNCTION("""COMPUTED_VALUE"""),0.0)</f>
        <v>0</v>
      </c>
      <c r="V2063" s="148" t="str">
        <f>IFERROR(__xludf.DUMMYFUNCTION("""COMPUTED_VALUE"""),"[]")</f>
        <v>[]</v>
      </c>
      <c r="W2063" s="148">
        <f>IFERROR(__xludf.DUMMYFUNCTION("""COMPUTED_VALUE"""),1.174E7)</f>
        <v>11740000</v>
      </c>
      <c r="X2063" s="148">
        <f>IFERROR(__xludf.DUMMYFUNCTION("""COMPUTED_VALUE"""),0.0)</f>
        <v>0</v>
      </c>
      <c r="Y2063" s="148">
        <f>IFERROR(__xludf.DUMMYFUNCTION("""COMPUTED_VALUE"""),0.0)</f>
        <v>0</v>
      </c>
      <c r="Z2063" s="148"/>
    </row>
    <row r="2064">
      <c r="A2064" s="148">
        <f>IFERROR(__xludf.DUMMYFUNCTION("""COMPUTED_VALUE"""),1.1118693E7)</f>
        <v>11118693</v>
      </c>
      <c r="B2064" s="148" t="str">
        <f>IFERROR(__xludf.DUMMYFUNCTION("""COMPUTED_VALUE"""),"毒蝎青色喷漆")</f>
        <v>毒蝎青色喷漆</v>
      </c>
      <c r="C2064" s="148"/>
      <c r="D2064" s="148" t="str">
        <f>IFERROR(__xludf.DUMMYFUNCTION("""COMPUTED_VALUE"""),"mecha_skin_colour")</f>
        <v>mecha_skin_colour</v>
      </c>
      <c r="E2064" s="148">
        <f>IFERROR(__xludf.DUMMYFUNCTION("""COMPUTED_VALUE"""),32.0)</f>
        <v>32</v>
      </c>
      <c r="F2064" s="148">
        <f>IFERROR(__xludf.DUMMYFUNCTION("""COMPUTED_VALUE"""),0.0)</f>
        <v>0</v>
      </c>
      <c r="G2064" s="148">
        <f>IFERROR(__xludf.DUMMYFUNCTION("""COMPUTED_VALUE"""),1.511993E7)</f>
        <v>15119930</v>
      </c>
      <c r="H2064" s="148">
        <f>IFERROR(__xludf.DUMMYFUNCTION("""COMPUTED_VALUE"""),1.5112563E7)</f>
        <v>15112563</v>
      </c>
      <c r="I2064" s="148" t="str">
        <f>IFERROR(__xludf.DUMMYFUNCTION("""COMPUTED_VALUE"""),"{}")</f>
        <v>{}</v>
      </c>
      <c r="J2064" s="148" t="str">
        <f>IFERROR(__xludf.DUMMYFUNCTION("""COMPUTED_VALUE"""),"{""typ"":""lc"",""txt"":""LC_ITEM_mecha_skin_colour_name_12""}")</f>
        <v>{"typ":"lc","txt":"LC_ITEM_mecha_skin_colour_name_12"}</v>
      </c>
      <c r="K2064" s="148" t="str">
        <f>IFERROR(__xludf.DUMMYFUNCTION("""COMPUTED_VALUE"""),"{""typ"":""lc"",""txt"":""LC_ITEM_mecha_skin_colour_desc_12""}")</f>
        <v>{"typ":"lc","txt":"LC_ITEM_mecha_skin_colour_desc_12"}</v>
      </c>
      <c r="L2064" s="148" t="str">
        <f>IFERROR(__xludf.DUMMYFUNCTION("""COMPUTED_VALUE"""),"{""typ"":""lc"",""txt"":""LC_ITEM_mecha_skin_colour_use_tips_12""}")</f>
        <v>{"typ":"lc","txt":"LC_ITEM_mecha_skin_colour_use_tips_12"}</v>
      </c>
      <c r="M2064" s="148">
        <f>IFERROR(__xludf.DUMMYFUNCTION("""COMPUTED_VALUE"""),2500.0)</f>
        <v>2500</v>
      </c>
      <c r="N2064" s="148">
        <f>IFERROR(__xludf.DUMMYFUNCTION("""COMPUTED_VALUE"""),999999.0)</f>
        <v>999999</v>
      </c>
      <c r="O2064" s="148">
        <f>IFERROR(__xludf.DUMMYFUNCTION("""COMPUTED_VALUE"""),99999.0)</f>
        <v>99999</v>
      </c>
      <c r="P2064" s="148">
        <f>IFERROR(__xludf.DUMMYFUNCTION("""COMPUTED_VALUE"""),1.0)</f>
        <v>1</v>
      </c>
      <c r="Q2064" s="148" t="str">
        <f>IFERROR(__xludf.DUMMYFUNCTION("""COMPUTED_VALUE"""),"[""bag_other""]")</f>
        <v>["bag_other"]</v>
      </c>
      <c r="R2064" s="148" t="str">
        <f>IFERROR(__xludf.DUMMYFUNCTION("""COMPUTED_VALUE"""),"[""bag"",""40114004""]")</f>
        <v>["bag","40114004"]</v>
      </c>
      <c r="S2064" s="148" t="str">
        <f>IFERROR(__xludf.DUMMYFUNCTION("""COMPUTED_VALUE"""),"{""effect"":[{""typ"":""mecha_colour"",""id"":40114004,""val"":-1},{""typ"":""item"",""id"":11111034,""val"":10}]}")</f>
        <v>{"effect":[{"typ":"mecha_colour","id":40114004,"val":-1},{"typ":"item","id":11111034,"val":10}]}</v>
      </c>
      <c r="T2064" s="148">
        <f>IFERROR(__xludf.DUMMYFUNCTION("""COMPUTED_VALUE"""),-1.0)</f>
        <v>-1</v>
      </c>
      <c r="U2064" s="148">
        <f>IFERROR(__xludf.DUMMYFUNCTION("""COMPUTED_VALUE"""),0.0)</f>
        <v>0</v>
      </c>
      <c r="V2064" s="148" t="str">
        <f>IFERROR(__xludf.DUMMYFUNCTION("""COMPUTED_VALUE"""),"[]")</f>
        <v>[]</v>
      </c>
      <c r="W2064" s="148">
        <f>IFERROR(__xludf.DUMMYFUNCTION("""COMPUTED_VALUE"""),1.174E7)</f>
        <v>11740000</v>
      </c>
      <c r="X2064" s="148">
        <f>IFERROR(__xludf.DUMMYFUNCTION("""COMPUTED_VALUE"""),0.0)</f>
        <v>0</v>
      </c>
      <c r="Y2064" s="148">
        <f>IFERROR(__xludf.DUMMYFUNCTION("""COMPUTED_VALUE"""),0.0)</f>
        <v>0</v>
      </c>
      <c r="Z2064" s="148"/>
    </row>
    <row r="2065">
      <c r="A2065" s="148">
        <f>IFERROR(__xludf.DUMMYFUNCTION("""COMPUTED_VALUE"""),1.1118694E7)</f>
        <v>11118694</v>
      </c>
      <c r="B2065" s="148" t="str">
        <f>IFERROR(__xludf.DUMMYFUNCTION("""COMPUTED_VALUE"""),"天鹰红色喷漆")</f>
        <v>天鹰红色喷漆</v>
      </c>
      <c r="C2065" s="148"/>
      <c r="D2065" s="148" t="str">
        <f>IFERROR(__xludf.DUMMYFUNCTION("""COMPUTED_VALUE"""),"mecha_skin_colour")</f>
        <v>mecha_skin_colour</v>
      </c>
      <c r="E2065" s="148">
        <f>IFERROR(__xludf.DUMMYFUNCTION("""COMPUTED_VALUE"""),32.0)</f>
        <v>32</v>
      </c>
      <c r="F2065" s="148">
        <f>IFERROR(__xludf.DUMMYFUNCTION("""COMPUTED_VALUE"""),0.0)</f>
        <v>0</v>
      </c>
      <c r="G2065" s="148">
        <f>IFERROR(__xludf.DUMMYFUNCTION("""COMPUTED_VALUE"""),1.5119949E7)</f>
        <v>15119949</v>
      </c>
      <c r="H2065" s="148">
        <f>IFERROR(__xludf.DUMMYFUNCTION("""COMPUTED_VALUE"""),1.5112564E7)</f>
        <v>15112564</v>
      </c>
      <c r="I2065" s="148" t="str">
        <f>IFERROR(__xludf.DUMMYFUNCTION("""COMPUTED_VALUE"""),"{}")</f>
        <v>{}</v>
      </c>
      <c r="J2065" s="148" t="str">
        <f>IFERROR(__xludf.DUMMYFUNCTION("""COMPUTED_VALUE"""),"{""typ"":""lc"",""txt"":""LC_ITEM_mecha_skin_colour_name_13""}")</f>
        <v>{"typ":"lc","txt":"LC_ITEM_mecha_skin_colour_name_13"}</v>
      </c>
      <c r="K2065" s="148" t="str">
        <f>IFERROR(__xludf.DUMMYFUNCTION("""COMPUTED_VALUE"""),"{""typ"":""lc"",""txt"":""LC_ITEM_mecha_skin_colour_desc_13""}")</f>
        <v>{"typ":"lc","txt":"LC_ITEM_mecha_skin_colour_desc_13"}</v>
      </c>
      <c r="L2065" s="148" t="str">
        <f>IFERROR(__xludf.DUMMYFUNCTION("""COMPUTED_VALUE"""),"{""typ"":""lc"",""txt"":""LC_ITEM_mecha_skin_colour_use_tips_13""}")</f>
        <v>{"typ":"lc","txt":"LC_ITEM_mecha_skin_colour_use_tips_13"}</v>
      </c>
      <c r="M2065" s="148">
        <f>IFERROR(__xludf.DUMMYFUNCTION("""COMPUTED_VALUE"""),2500.0)</f>
        <v>2500</v>
      </c>
      <c r="N2065" s="148">
        <f>IFERROR(__xludf.DUMMYFUNCTION("""COMPUTED_VALUE"""),999999.0)</f>
        <v>999999</v>
      </c>
      <c r="O2065" s="148">
        <f>IFERROR(__xludf.DUMMYFUNCTION("""COMPUTED_VALUE"""),99999.0)</f>
        <v>99999</v>
      </c>
      <c r="P2065" s="148">
        <f>IFERROR(__xludf.DUMMYFUNCTION("""COMPUTED_VALUE"""),1.0)</f>
        <v>1</v>
      </c>
      <c r="Q2065" s="148" t="str">
        <f>IFERROR(__xludf.DUMMYFUNCTION("""COMPUTED_VALUE"""),"[""bag_other""]")</f>
        <v>["bag_other"]</v>
      </c>
      <c r="R2065" s="148" t="str">
        <f>IFERROR(__xludf.DUMMYFUNCTION("""COMPUTED_VALUE"""),"[""bag"",""40115002""]")</f>
        <v>["bag","40115002"]</v>
      </c>
      <c r="S2065" s="148" t="str">
        <f>IFERROR(__xludf.DUMMYFUNCTION("""COMPUTED_VALUE"""),"{""effect"":[{""typ"":""mecha_colour"",""id"":40115002,""val"":-1},{""typ"":""item"",""id"":11111034,""val"":10}]}")</f>
        <v>{"effect":[{"typ":"mecha_colour","id":40115002,"val":-1},{"typ":"item","id":11111034,"val":10}]}</v>
      </c>
      <c r="T2065" s="148">
        <f>IFERROR(__xludf.DUMMYFUNCTION("""COMPUTED_VALUE"""),-1.0)</f>
        <v>-1</v>
      </c>
      <c r="U2065" s="148">
        <f>IFERROR(__xludf.DUMMYFUNCTION("""COMPUTED_VALUE"""),0.0)</f>
        <v>0</v>
      </c>
      <c r="V2065" s="148" t="str">
        <f>IFERROR(__xludf.DUMMYFUNCTION("""COMPUTED_VALUE"""),"[]")</f>
        <v>[]</v>
      </c>
      <c r="W2065" s="148">
        <f>IFERROR(__xludf.DUMMYFUNCTION("""COMPUTED_VALUE"""),1.174E7)</f>
        <v>11740000</v>
      </c>
      <c r="X2065" s="148">
        <f>IFERROR(__xludf.DUMMYFUNCTION("""COMPUTED_VALUE"""),0.0)</f>
        <v>0</v>
      </c>
      <c r="Y2065" s="148">
        <f>IFERROR(__xludf.DUMMYFUNCTION("""COMPUTED_VALUE"""),0.0)</f>
        <v>0</v>
      </c>
      <c r="Z2065" s="148"/>
    </row>
    <row r="2066">
      <c r="A2066" s="148">
        <f>IFERROR(__xludf.DUMMYFUNCTION("""COMPUTED_VALUE"""),1.1118695E7)</f>
        <v>11118695</v>
      </c>
      <c r="B2066" s="148" t="str">
        <f>IFERROR(__xludf.DUMMYFUNCTION("""COMPUTED_VALUE"""),"天鹰绿色喷漆")</f>
        <v>天鹰绿色喷漆</v>
      </c>
      <c r="C2066" s="148"/>
      <c r="D2066" s="148" t="str">
        <f>IFERROR(__xludf.DUMMYFUNCTION("""COMPUTED_VALUE"""),"mecha_skin_colour")</f>
        <v>mecha_skin_colour</v>
      </c>
      <c r="E2066" s="148">
        <f>IFERROR(__xludf.DUMMYFUNCTION("""COMPUTED_VALUE"""),32.0)</f>
        <v>32</v>
      </c>
      <c r="F2066" s="148">
        <f>IFERROR(__xludf.DUMMYFUNCTION("""COMPUTED_VALUE"""),0.0)</f>
        <v>0</v>
      </c>
      <c r="G2066" s="148">
        <f>IFERROR(__xludf.DUMMYFUNCTION("""COMPUTED_VALUE"""),1.5119945E7)</f>
        <v>15119945</v>
      </c>
      <c r="H2066" s="148">
        <f>IFERROR(__xludf.DUMMYFUNCTION("""COMPUTED_VALUE"""),1.5112563E7)</f>
        <v>15112563</v>
      </c>
      <c r="I2066" s="148" t="str">
        <f>IFERROR(__xludf.DUMMYFUNCTION("""COMPUTED_VALUE"""),"{}")</f>
        <v>{}</v>
      </c>
      <c r="J2066" s="148" t="str">
        <f>IFERROR(__xludf.DUMMYFUNCTION("""COMPUTED_VALUE"""),"{""typ"":""lc"",""txt"":""LC_ITEM_mecha_skin_colour_name_14""}")</f>
        <v>{"typ":"lc","txt":"LC_ITEM_mecha_skin_colour_name_14"}</v>
      </c>
      <c r="K2066" s="148" t="str">
        <f>IFERROR(__xludf.DUMMYFUNCTION("""COMPUTED_VALUE"""),"{""typ"":""lc"",""txt"":""LC_ITEM_mecha_skin_colour_desc_14""}")</f>
        <v>{"typ":"lc","txt":"LC_ITEM_mecha_skin_colour_desc_14"}</v>
      </c>
      <c r="L2066" s="148" t="str">
        <f>IFERROR(__xludf.DUMMYFUNCTION("""COMPUTED_VALUE"""),"{""typ"":""lc"",""txt"":""LC_ITEM_mecha_skin_colour_use_tips_14""}")</f>
        <v>{"typ":"lc","txt":"LC_ITEM_mecha_skin_colour_use_tips_14"}</v>
      </c>
      <c r="M2066" s="148">
        <f>IFERROR(__xludf.DUMMYFUNCTION("""COMPUTED_VALUE"""),2500.0)</f>
        <v>2500</v>
      </c>
      <c r="N2066" s="148">
        <f>IFERROR(__xludf.DUMMYFUNCTION("""COMPUTED_VALUE"""),999999.0)</f>
        <v>999999</v>
      </c>
      <c r="O2066" s="148">
        <f>IFERROR(__xludf.DUMMYFUNCTION("""COMPUTED_VALUE"""),99999.0)</f>
        <v>99999</v>
      </c>
      <c r="P2066" s="148">
        <f>IFERROR(__xludf.DUMMYFUNCTION("""COMPUTED_VALUE"""),1.0)</f>
        <v>1</v>
      </c>
      <c r="Q2066" s="148" t="str">
        <f>IFERROR(__xludf.DUMMYFUNCTION("""COMPUTED_VALUE"""),"[""bag_other""]")</f>
        <v>["bag_other"]</v>
      </c>
      <c r="R2066" s="148" t="str">
        <f>IFERROR(__xludf.DUMMYFUNCTION("""COMPUTED_VALUE"""),"[""bag"",""40115003""]")</f>
        <v>["bag","40115003"]</v>
      </c>
      <c r="S2066" s="148" t="str">
        <f>IFERROR(__xludf.DUMMYFUNCTION("""COMPUTED_VALUE"""),"{""effect"":[{""typ"":""mecha_colour"",""id"":40115003,""val"":-1},{""typ"":""item"",""id"":11111034,""val"":10}]}")</f>
        <v>{"effect":[{"typ":"mecha_colour","id":40115003,"val":-1},{"typ":"item","id":11111034,"val":10}]}</v>
      </c>
      <c r="T2066" s="148">
        <f>IFERROR(__xludf.DUMMYFUNCTION("""COMPUTED_VALUE"""),-1.0)</f>
        <v>-1</v>
      </c>
      <c r="U2066" s="148">
        <f>IFERROR(__xludf.DUMMYFUNCTION("""COMPUTED_VALUE"""),0.0)</f>
        <v>0</v>
      </c>
      <c r="V2066" s="148" t="str">
        <f>IFERROR(__xludf.DUMMYFUNCTION("""COMPUTED_VALUE"""),"[]")</f>
        <v>[]</v>
      </c>
      <c r="W2066" s="148">
        <f>IFERROR(__xludf.DUMMYFUNCTION("""COMPUTED_VALUE"""),1.174E7)</f>
        <v>11740000</v>
      </c>
      <c r="X2066" s="148">
        <f>IFERROR(__xludf.DUMMYFUNCTION("""COMPUTED_VALUE"""),0.0)</f>
        <v>0</v>
      </c>
      <c r="Y2066" s="148">
        <f>IFERROR(__xludf.DUMMYFUNCTION("""COMPUTED_VALUE"""),0.0)</f>
        <v>0</v>
      </c>
      <c r="Z2066" s="148"/>
    </row>
    <row r="2067">
      <c r="A2067" s="148">
        <f>IFERROR(__xludf.DUMMYFUNCTION("""COMPUTED_VALUE"""),1.1118696E7)</f>
        <v>11118696</v>
      </c>
      <c r="B2067" s="148" t="str">
        <f>IFERROR(__xludf.DUMMYFUNCTION("""COMPUTED_VALUE"""),"天鹰青色喷漆")</f>
        <v>天鹰青色喷漆</v>
      </c>
      <c r="C2067" s="148"/>
      <c r="D2067" s="148" t="str">
        <f>IFERROR(__xludf.DUMMYFUNCTION("""COMPUTED_VALUE"""),"mecha_skin_colour")</f>
        <v>mecha_skin_colour</v>
      </c>
      <c r="E2067" s="148">
        <f>IFERROR(__xludf.DUMMYFUNCTION("""COMPUTED_VALUE"""),32.0)</f>
        <v>32</v>
      </c>
      <c r="F2067" s="148">
        <f>IFERROR(__xludf.DUMMYFUNCTION("""COMPUTED_VALUE"""),0.0)</f>
        <v>0</v>
      </c>
      <c r="G2067" s="148">
        <f>IFERROR(__xludf.DUMMYFUNCTION("""COMPUTED_VALUE"""),1.5119944E7)</f>
        <v>15119944</v>
      </c>
      <c r="H2067" s="148">
        <f>IFERROR(__xludf.DUMMYFUNCTION("""COMPUTED_VALUE"""),1.5112563E7)</f>
        <v>15112563</v>
      </c>
      <c r="I2067" s="148" t="str">
        <f>IFERROR(__xludf.DUMMYFUNCTION("""COMPUTED_VALUE"""),"{}")</f>
        <v>{}</v>
      </c>
      <c r="J2067" s="148" t="str">
        <f>IFERROR(__xludf.DUMMYFUNCTION("""COMPUTED_VALUE"""),"{""typ"":""lc"",""txt"":""LC_ITEM_mecha_skin_colour_name_15""}")</f>
        <v>{"typ":"lc","txt":"LC_ITEM_mecha_skin_colour_name_15"}</v>
      </c>
      <c r="K2067" s="148" t="str">
        <f>IFERROR(__xludf.DUMMYFUNCTION("""COMPUTED_VALUE"""),"{""typ"":""lc"",""txt"":""LC_ITEM_mecha_skin_colour_desc_15""}")</f>
        <v>{"typ":"lc","txt":"LC_ITEM_mecha_skin_colour_desc_15"}</v>
      </c>
      <c r="L2067" s="148" t="str">
        <f>IFERROR(__xludf.DUMMYFUNCTION("""COMPUTED_VALUE"""),"{""typ"":""lc"",""txt"":""LC_ITEM_mecha_skin_colour_use_tips_15""}")</f>
        <v>{"typ":"lc","txt":"LC_ITEM_mecha_skin_colour_use_tips_15"}</v>
      </c>
      <c r="M2067" s="148">
        <f>IFERROR(__xludf.DUMMYFUNCTION("""COMPUTED_VALUE"""),2500.0)</f>
        <v>2500</v>
      </c>
      <c r="N2067" s="148">
        <f>IFERROR(__xludf.DUMMYFUNCTION("""COMPUTED_VALUE"""),999999.0)</f>
        <v>999999</v>
      </c>
      <c r="O2067" s="148">
        <f>IFERROR(__xludf.DUMMYFUNCTION("""COMPUTED_VALUE"""),99999.0)</f>
        <v>99999</v>
      </c>
      <c r="P2067" s="148">
        <f>IFERROR(__xludf.DUMMYFUNCTION("""COMPUTED_VALUE"""),1.0)</f>
        <v>1</v>
      </c>
      <c r="Q2067" s="148" t="str">
        <f>IFERROR(__xludf.DUMMYFUNCTION("""COMPUTED_VALUE"""),"[""bag_other""]")</f>
        <v>["bag_other"]</v>
      </c>
      <c r="R2067" s="148" t="str">
        <f>IFERROR(__xludf.DUMMYFUNCTION("""COMPUTED_VALUE"""),"[""bag"",""40115004""]")</f>
        <v>["bag","40115004"]</v>
      </c>
      <c r="S2067" s="148" t="str">
        <f>IFERROR(__xludf.DUMMYFUNCTION("""COMPUTED_VALUE"""),"{""effect"":[{""typ"":""mecha_colour"",""id"":40115004,""val"":-1},{""typ"":""item"",""id"":11111034,""val"":10}]}")</f>
        <v>{"effect":[{"typ":"mecha_colour","id":40115004,"val":-1},{"typ":"item","id":11111034,"val":10}]}</v>
      </c>
      <c r="T2067" s="148">
        <f>IFERROR(__xludf.DUMMYFUNCTION("""COMPUTED_VALUE"""),-1.0)</f>
        <v>-1</v>
      </c>
      <c r="U2067" s="148">
        <f>IFERROR(__xludf.DUMMYFUNCTION("""COMPUTED_VALUE"""),0.0)</f>
        <v>0</v>
      </c>
      <c r="V2067" s="148" t="str">
        <f>IFERROR(__xludf.DUMMYFUNCTION("""COMPUTED_VALUE"""),"[]")</f>
        <v>[]</v>
      </c>
      <c r="W2067" s="148">
        <f>IFERROR(__xludf.DUMMYFUNCTION("""COMPUTED_VALUE"""),1.174E7)</f>
        <v>11740000</v>
      </c>
      <c r="X2067" s="148">
        <f>IFERROR(__xludf.DUMMYFUNCTION("""COMPUTED_VALUE"""),0.0)</f>
        <v>0</v>
      </c>
      <c r="Y2067" s="148">
        <f>IFERROR(__xludf.DUMMYFUNCTION("""COMPUTED_VALUE"""),0.0)</f>
        <v>0</v>
      </c>
      <c r="Z2067" s="148"/>
    </row>
    <row r="2068">
      <c r="A2068" s="148">
        <f>IFERROR(__xludf.DUMMYFUNCTION("""COMPUTED_VALUE"""),1.1118697E7)</f>
        <v>11118697</v>
      </c>
      <c r="B2068" s="148" t="str">
        <f>IFERROR(__xludf.DUMMYFUNCTION("""COMPUTED_VALUE"""),"巨犀粉色喷漆")</f>
        <v>巨犀粉色喷漆</v>
      </c>
      <c r="C2068" s="148"/>
      <c r="D2068" s="148" t="str">
        <f>IFERROR(__xludf.DUMMYFUNCTION("""COMPUTED_VALUE"""),"mecha_skin_colour")</f>
        <v>mecha_skin_colour</v>
      </c>
      <c r="E2068" s="148">
        <f>IFERROR(__xludf.DUMMYFUNCTION("""COMPUTED_VALUE"""),32.0)</f>
        <v>32</v>
      </c>
      <c r="F2068" s="148">
        <f>IFERROR(__xludf.DUMMYFUNCTION("""COMPUTED_VALUE"""),0.0)</f>
        <v>0</v>
      </c>
      <c r="G2068" s="148">
        <f>IFERROR(__xludf.DUMMYFUNCTION("""COMPUTED_VALUE"""),1.5119912E7)</f>
        <v>15119912</v>
      </c>
      <c r="H2068" s="148">
        <f>IFERROR(__xludf.DUMMYFUNCTION("""COMPUTED_VALUE"""),1.5112563E7)</f>
        <v>15112563</v>
      </c>
      <c r="I2068" s="148" t="str">
        <f>IFERROR(__xludf.DUMMYFUNCTION("""COMPUTED_VALUE"""),"{}")</f>
        <v>{}</v>
      </c>
      <c r="J2068" s="148" t="str">
        <f>IFERROR(__xludf.DUMMYFUNCTION("""COMPUTED_VALUE"""),"{""typ"":""lc"",""txt"":""LC_ITEM_mecha_skin_colour_name_16""}")</f>
        <v>{"typ":"lc","txt":"LC_ITEM_mecha_skin_colour_name_16"}</v>
      </c>
      <c r="K2068" s="148" t="str">
        <f>IFERROR(__xludf.DUMMYFUNCTION("""COMPUTED_VALUE"""),"{""typ"":""lc"",""txt"":""LC_ITEM_mecha_skin_colour_desc_16""}")</f>
        <v>{"typ":"lc","txt":"LC_ITEM_mecha_skin_colour_desc_16"}</v>
      </c>
      <c r="L2068" s="148" t="str">
        <f>IFERROR(__xludf.DUMMYFUNCTION("""COMPUTED_VALUE"""),"{""typ"":""lc"",""txt"":""LC_ITEM_mecha_skin_colour_use_tips_16""}")</f>
        <v>{"typ":"lc","txt":"LC_ITEM_mecha_skin_colour_use_tips_16"}</v>
      </c>
      <c r="M2068" s="148">
        <f>IFERROR(__xludf.DUMMYFUNCTION("""COMPUTED_VALUE"""),1000.0)</f>
        <v>1000</v>
      </c>
      <c r="N2068" s="148">
        <f>IFERROR(__xludf.DUMMYFUNCTION("""COMPUTED_VALUE"""),999999.0)</f>
        <v>999999</v>
      </c>
      <c r="O2068" s="148">
        <f>IFERROR(__xludf.DUMMYFUNCTION("""COMPUTED_VALUE"""),99999.0)</f>
        <v>99999</v>
      </c>
      <c r="P2068" s="148">
        <f>IFERROR(__xludf.DUMMYFUNCTION("""COMPUTED_VALUE"""),1.0)</f>
        <v>1</v>
      </c>
      <c r="Q2068" s="148" t="str">
        <f>IFERROR(__xludf.DUMMYFUNCTION("""COMPUTED_VALUE"""),"[""bag_other""]")</f>
        <v>["bag_other"]</v>
      </c>
      <c r="R2068" s="148" t="str">
        <f>IFERROR(__xludf.DUMMYFUNCTION("""COMPUTED_VALUE"""),"[""bag"",""40111005""]")</f>
        <v>["bag","40111005"]</v>
      </c>
      <c r="S2068" s="148" t="str">
        <f>IFERROR(__xludf.DUMMYFUNCTION("""COMPUTED_VALUE"""),"{""effect"":[{""typ"":""mecha_colour"",""id"":40111005,""val"":-1},{""typ"":""item"",""id"":11111034,""val"":10}]}")</f>
        <v>{"effect":[{"typ":"mecha_colour","id":40111005,"val":-1},{"typ":"item","id":11111034,"val":10}]}</v>
      </c>
      <c r="T2068" s="148">
        <f>IFERROR(__xludf.DUMMYFUNCTION("""COMPUTED_VALUE"""),-1.0)</f>
        <v>-1</v>
      </c>
      <c r="U2068" s="148">
        <f>IFERROR(__xludf.DUMMYFUNCTION("""COMPUTED_VALUE"""),0.0)</f>
        <v>0</v>
      </c>
      <c r="V2068" s="148" t="str">
        <f>IFERROR(__xludf.DUMMYFUNCTION("""COMPUTED_VALUE"""),"[]")</f>
        <v>[]</v>
      </c>
      <c r="W2068" s="148">
        <f>IFERROR(__xludf.DUMMYFUNCTION("""COMPUTED_VALUE"""),1.174E7)</f>
        <v>11740000</v>
      </c>
      <c r="X2068" s="148">
        <f>IFERROR(__xludf.DUMMYFUNCTION("""COMPUTED_VALUE"""),0.0)</f>
        <v>0</v>
      </c>
      <c r="Y2068" s="148">
        <f>IFERROR(__xludf.DUMMYFUNCTION("""COMPUTED_VALUE"""),0.0)</f>
        <v>0</v>
      </c>
      <c r="Z2068" s="148"/>
    </row>
    <row r="2069">
      <c r="A2069" s="148">
        <f>IFERROR(__xludf.DUMMYFUNCTION("""COMPUTED_VALUE"""),1.1118698E7)</f>
        <v>11118698</v>
      </c>
      <c r="B2069" s="148" t="str">
        <f>IFERROR(__xludf.DUMMYFUNCTION("""COMPUTED_VALUE"""),"巨犀金色喷漆")</f>
        <v>巨犀金色喷漆</v>
      </c>
      <c r="C2069" s="148"/>
      <c r="D2069" s="148" t="str">
        <f>IFERROR(__xludf.DUMMYFUNCTION("""COMPUTED_VALUE"""),"mecha_skin_colour")</f>
        <v>mecha_skin_colour</v>
      </c>
      <c r="E2069" s="148">
        <f>IFERROR(__xludf.DUMMYFUNCTION("""COMPUTED_VALUE"""),32.0)</f>
        <v>32</v>
      </c>
      <c r="F2069" s="148">
        <f>IFERROR(__xludf.DUMMYFUNCTION("""COMPUTED_VALUE"""),0.0)</f>
        <v>0</v>
      </c>
      <c r="G2069" s="148">
        <f>IFERROR(__xludf.DUMMYFUNCTION("""COMPUTED_VALUE"""),1.5119911E7)</f>
        <v>15119911</v>
      </c>
      <c r="H2069" s="148">
        <f>IFERROR(__xludf.DUMMYFUNCTION("""COMPUTED_VALUE"""),1.5112563E7)</f>
        <v>15112563</v>
      </c>
      <c r="I2069" s="148" t="str">
        <f>IFERROR(__xludf.DUMMYFUNCTION("""COMPUTED_VALUE"""),"{}")</f>
        <v>{}</v>
      </c>
      <c r="J2069" s="148" t="str">
        <f>IFERROR(__xludf.DUMMYFUNCTION("""COMPUTED_VALUE"""),"{""typ"":""lc"",""txt"":""LC_ITEM_mecha_skin_colour_name_17""}")</f>
        <v>{"typ":"lc","txt":"LC_ITEM_mecha_skin_colour_name_17"}</v>
      </c>
      <c r="K2069" s="148" t="str">
        <f>IFERROR(__xludf.DUMMYFUNCTION("""COMPUTED_VALUE"""),"{""typ"":""lc"",""txt"":""LC_ITEM_mecha_skin_colour_desc_17""}")</f>
        <v>{"typ":"lc","txt":"LC_ITEM_mecha_skin_colour_desc_17"}</v>
      </c>
      <c r="L2069" s="148" t="str">
        <f>IFERROR(__xludf.DUMMYFUNCTION("""COMPUTED_VALUE"""),"{""typ"":""lc"",""txt"":""LC_ITEM_mecha_skin_colour_use_tips_17""}")</f>
        <v>{"typ":"lc","txt":"LC_ITEM_mecha_skin_colour_use_tips_17"}</v>
      </c>
      <c r="M2069" s="148">
        <f>IFERROR(__xludf.DUMMYFUNCTION("""COMPUTED_VALUE"""),1000.0)</f>
        <v>1000</v>
      </c>
      <c r="N2069" s="148">
        <f>IFERROR(__xludf.DUMMYFUNCTION("""COMPUTED_VALUE"""),999999.0)</f>
        <v>999999</v>
      </c>
      <c r="O2069" s="148">
        <f>IFERROR(__xludf.DUMMYFUNCTION("""COMPUTED_VALUE"""),99999.0)</f>
        <v>99999</v>
      </c>
      <c r="P2069" s="148">
        <f>IFERROR(__xludf.DUMMYFUNCTION("""COMPUTED_VALUE"""),1.0)</f>
        <v>1</v>
      </c>
      <c r="Q2069" s="148" t="str">
        <f>IFERROR(__xludf.DUMMYFUNCTION("""COMPUTED_VALUE"""),"[""bag_other""]")</f>
        <v>["bag_other"]</v>
      </c>
      <c r="R2069" s="148" t="str">
        <f>IFERROR(__xludf.DUMMYFUNCTION("""COMPUTED_VALUE"""),"[""bag"",""40111006""]")</f>
        <v>["bag","40111006"]</v>
      </c>
      <c r="S2069" s="148" t="str">
        <f>IFERROR(__xludf.DUMMYFUNCTION("""COMPUTED_VALUE"""),"{""effect"":[{""typ"":""mecha_colour"",""id"":40111006,""val"":-1},{""typ"":""item"",""id"":11111034,""val"":10}]}")</f>
        <v>{"effect":[{"typ":"mecha_colour","id":40111006,"val":-1},{"typ":"item","id":11111034,"val":10}]}</v>
      </c>
      <c r="T2069" s="148">
        <f>IFERROR(__xludf.DUMMYFUNCTION("""COMPUTED_VALUE"""),-1.0)</f>
        <v>-1</v>
      </c>
      <c r="U2069" s="148">
        <f>IFERROR(__xludf.DUMMYFUNCTION("""COMPUTED_VALUE"""),0.0)</f>
        <v>0</v>
      </c>
      <c r="V2069" s="148" t="str">
        <f>IFERROR(__xludf.DUMMYFUNCTION("""COMPUTED_VALUE"""),"[]")</f>
        <v>[]</v>
      </c>
      <c r="W2069" s="148">
        <f>IFERROR(__xludf.DUMMYFUNCTION("""COMPUTED_VALUE"""),1.174E7)</f>
        <v>11740000</v>
      </c>
      <c r="X2069" s="148">
        <f>IFERROR(__xludf.DUMMYFUNCTION("""COMPUTED_VALUE"""),0.0)</f>
        <v>0</v>
      </c>
      <c r="Y2069" s="148">
        <f>IFERROR(__xludf.DUMMYFUNCTION("""COMPUTED_VALUE"""),0.0)</f>
        <v>0</v>
      </c>
      <c r="Z2069" s="148"/>
    </row>
    <row r="2070">
      <c r="A2070" s="148">
        <f>IFERROR(__xludf.DUMMYFUNCTION("""COMPUTED_VALUE"""),1.1118699E7)</f>
        <v>11118699</v>
      </c>
      <c r="B2070" s="148" t="str">
        <f>IFERROR(__xludf.DUMMYFUNCTION("""COMPUTED_VALUE"""),"巨犀紫色喷漆")</f>
        <v>巨犀紫色喷漆</v>
      </c>
      <c r="C2070" s="148"/>
      <c r="D2070" s="148" t="str">
        <f>IFERROR(__xludf.DUMMYFUNCTION("""COMPUTED_VALUE"""),"mecha_skin_colour")</f>
        <v>mecha_skin_colour</v>
      </c>
      <c r="E2070" s="148">
        <f>IFERROR(__xludf.DUMMYFUNCTION("""COMPUTED_VALUE"""),32.0)</f>
        <v>32</v>
      </c>
      <c r="F2070" s="148">
        <f>IFERROR(__xludf.DUMMYFUNCTION("""COMPUTED_VALUE"""),0.0)</f>
        <v>0</v>
      </c>
      <c r="G2070" s="148">
        <f>IFERROR(__xludf.DUMMYFUNCTION("""COMPUTED_VALUE"""),1.5119913E7)</f>
        <v>15119913</v>
      </c>
      <c r="H2070" s="148">
        <f>IFERROR(__xludf.DUMMYFUNCTION("""COMPUTED_VALUE"""),1.5112563E7)</f>
        <v>15112563</v>
      </c>
      <c r="I2070" s="148" t="str">
        <f>IFERROR(__xludf.DUMMYFUNCTION("""COMPUTED_VALUE"""),"{}")</f>
        <v>{}</v>
      </c>
      <c r="J2070" s="148" t="str">
        <f>IFERROR(__xludf.DUMMYFUNCTION("""COMPUTED_VALUE"""),"{""typ"":""lc"",""txt"":""LC_ITEM_mecha_skin_colour_name_18""}")</f>
        <v>{"typ":"lc","txt":"LC_ITEM_mecha_skin_colour_name_18"}</v>
      </c>
      <c r="K2070" s="148" t="str">
        <f>IFERROR(__xludf.DUMMYFUNCTION("""COMPUTED_VALUE"""),"{""typ"":""lc"",""txt"":""LC_ITEM_mecha_skin_colour_desc_18""}")</f>
        <v>{"typ":"lc","txt":"LC_ITEM_mecha_skin_colour_desc_18"}</v>
      </c>
      <c r="L2070" s="148" t="str">
        <f>IFERROR(__xludf.DUMMYFUNCTION("""COMPUTED_VALUE"""),"{""typ"":""lc"",""txt"":""LC_ITEM_mecha_skin_colour_use_tips_18""}")</f>
        <v>{"typ":"lc","txt":"LC_ITEM_mecha_skin_colour_use_tips_18"}</v>
      </c>
      <c r="M2070" s="148">
        <f>IFERROR(__xludf.DUMMYFUNCTION("""COMPUTED_VALUE"""),1000.0)</f>
        <v>1000</v>
      </c>
      <c r="N2070" s="148">
        <f>IFERROR(__xludf.DUMMYFUNCTION("""COMPUTED_VALUE"""),999999.0)</f>
        <v>999999</v>
      </c>
      <c r="O2070" s="148">
        <f>IFERROR(__xludf.DUMMYFUNCTION("""COMPUTED_VALUE"""),99999.0)</f>
        <v>99999</v>
      </c>
      <c r="P2070" s="148">
        <f>IFERROR(__xludf.DUMMYFUNCTION("""COMPUTED_VALUE"""),1.0)</f>
        <v>1</v>
      </c>
      <c r="Q2070" s="148" t="str">
        <f>IFERROR(__xludf.DUMMYFUNCTION("""COMPUTED_VALUE"""),"[""bag_other""]")</f>
        <v>["bag_other"]</v>
      </c>
      <c r="R2070" s="148" t="str">
        <f>IFERROR(__xludf.DUMMYFUNCTION("""COMPUTED_VALUE"""),"[""bag"",""40111007""]")</f>
        <v>["bag","40111007"]</v>
      </c>
      <c r="S2070" s="148" t="str">
        <f>IFERROR(__xludf.DUMMYFUNCTION("""COMPUTED_VALUE"""),"{""effect"":[{""typ"":""mecha_colour"",""id"":40111007,""val"":-1},{""typ"":""item"",""id"":11111034,""val"":10}]}")</f>
        <v>{"effect":[{"typ":"mecha_colour","id":40111007,"val":-1},{"typ":"item","id":11111034,"val":10}]}</v>
      </c>
      <c r="T2070" s="148">
        <f>IFERROR(__xludf.DUMMYFUNCTION("""COMPUTED_VALUE"""),-1.0)</f>
        <v>-1</v>
      </c>
      <c r="U2070" s="148">
        <f>IFERROR(__xludf.DUMMYFUNCTION("""COMPUTED_VALUE"""),0.0)</f>
        <v>0</v>
      </c>
      <c r="V2070" s="148" t="str">
        <f>IFERROR(__xludf.DUMMYFUNCTION("""COMPUTED_VALUE"""),"[]")</f>
        <v>[]</v>
      </c>
      <c r="W2070" s="148">
        <f>IFERROR(__xludf.DUMMYFUNCTION("""COMPUTED_VALUE"""),1.174E7)</f>
        <v>11740000</v>
      </c>
      <c r="X2070" s="148">
        <f>IFERROR(__xludf.DUMMYFUNCTION("""COMPUTED_VALUE"""),0.0)</f>
        <v>0</v>
      </c>
      <c r="Y2070" s="148">
        <f>IFERROR(__xludf.DUMMYFUNCTION("""COMPUTED_VALUE"""),0.0)</f>
        <v>0</v>
      </c>
      <c r="Z2070" s="148"/>
    </row>
    <row r="2071">
      <c r="A2071" s="148">
        <f>IFERROR(__xludf.DUMMYFUNCTION("""COMPUTED_VALUE"""),1.11187E7)</f>
        <v>11118700</v>
      </c>
      <c r="B2071" s="148" t="str">
        <f>IFERROR(__xludf.DUMMYFUNCTION("""COMPUTED_VALUE"""),"巨象红色喷漆")</f>
        <v>巨象红色喷漆</v>
      </c>
      <c r="C2071" s="148"/>
      <c r="D2071" s="148" t="str">
        <f>IFERROR(__xludf.DUMMYFUNCTION("""COMPUTED_VALUE"""),"mecha_skin_colour")</f>
        <v>mecha_skin_colour</v>
      </c>
      <c r="E2071" s="148">
        <f>IFERROR(__xludf.DUMMYFUNCTION("""COMPUTED_VALUE"""),32.0)</f>
        <v>32</v>
      </c>
      <c r="F2071" s="148">
        <f>IFERROR(__xludf.DUMMYFUNCTION("""COMPUTED_VALUE"""),0.0)</f>
        <v>0</v>
      </c>
      <c r="G2071" s="148">
        <f>IFERROR(__xludf.DUMMYFUNCTION("""COMPUTED_VALUE"""),1.5119942E7)</f>
        <v>15119942</v>
      </c>
      <c r="H2071" s="148">
        <f>IFERROR(__xludf.DUMMYFUNCTION("""COMPUTED_VALUE"""),1.5112563E7)</f>
        <v>15112563</v>
      </c>
      <c r="I2071" s="148" t="str">
        <f>IFERROR(__xludf.DUMMYFUNCTION("""COMPUTED_VALUE"""),"{}")</f>
        <v>{}</v>
      </c>
      <c r="J2071" s="148" t="str">
        <f>IFERROR(__xludf.DUMMYFUNCTION("""COMPUTED_VALUE"""),"{""typ"":""lc"",""txt"":""LC_ITEM_mecha_skin_colour_name_24""}")</f>
        <v>{"typ":"lc","txt":"LC_ITEM_mecha_skin_colour_name_24"}</v>
      </c>
      <c r="K2071" s="148" t="str">
        <f>IFERROR(__xludf.DUMMYFUNCTION("""COMPUTED_VALUE"""),"{""typ"":""lc"",""txt"":""LC_ITEM_mecha_skin_colour_desc_24""}")</f>
        <v>{"typ":"lc","txt":"LC_ITEM_mecha_skin_colour_desc_24"}</v>
      </c>
      <c r="L2071" s="148" t="str">
        <f>IFERROR(__xludf.DUMMYFUNCTION("""COMPUTED_VALUE"""),"{""typ"":""lc"",""txt"":""LC_ITEM_mecha_skin_colour_use_tips_24""}")</f>
        <v>{"typ":"lc","txt":"LC_ITEM_mecha_skin_colour_use_tips_24"}</v>
      </c>
      <c r="M2071" s="148">
        <f>IFERROR(__xludf.DUMMYFUNCTION("""COMPUTED_VALUE"""),2500.0)</f>
        <v>2500</v>
      </c>
      <c r="N2071" s="148">
        <f>IFERROR(__xludf.DUMMYFUNCTION("""COMPUTED_VALUE"""),999999.0)</f>
        <v>999999</v>
      </c>
      <c r="O2071" s="148">
        <f>IFERROR(__xludf.DUMMYFUNCTION("""COMPUTED_VALUE"""),99999.0)</f>
        <v>99999</v>
      </c>
      <c r="P2071" s="148">
        <f>IFERROR(__xludf.DUMMYFUNCTION("""COMPUTED_VALUE"""),1.0)</f>
        <v>1</v>
      </c>
      <c r="Q2071" s="148" t="str">
        <f>IFERROR(__xludf.DUMMYFUNCTION("""COMPUTED_VALUE"""),"[""bag_other""]")</f>
        <v>["bag_other"]</v>
      </c>
      <c r="R2071" s="148" t="str">
        <f>IFERROR(__xludf.DUMMYFUNCTION("""COMPUTED_VALUE"""),"[""bag"",""40116002""]")</f>
        <v>["bag","40116002"]</v>
      </c>
      <c r="S2071" s="148" t="str">
        <f>IFERROR(__xludf.DUMMYFUNCTION("""COMPUTED_VALUE"""),"{""effect"":[{""typ"":""mecha_colour"",""id"":40116002,""val"":-1},{""typ"":""item"",""id"":11111034,""val"":10}]}")</f>
        <v>{"effect":[{"typ":"mecha_colour","id":40116002,"val":-1},{"typ":"item","id":11111034,"val":10}]}</v>
      </c>
      <c r="T2071" s="148">
        <f>IFERROR(__xludf.DUMMYFUNCTION("""COMPUTED_VALUE"""),-1.0)</f>
        <v>-1</v>
      </c>
      <c r="U2071" s="148">
        <f>IFERROR(__xludf.DUMMYFUNCTION("""COMPUTED_VALUE"""),0.0)</f>
        <v>0</v>
      </c>
      <c r="V2071" s="148" t="str">
        <f>IFERROR(__xludf.DUMMYFUNCTION("""COMPUTED_VALUE"""),"[]")</f>
        <v>[]</v>
      </c>
      <c r="W2071" s="148">
        <f>IFERROR(__xludf.DUMMYFUNCTION("""COMPUTED_VALUE"""),1.174E7)</f>
        <v>11740000</v>
      </c>
      <c r="X2071" s="148">
        <f>IFERROR(__xludf.DUMMYFUNCTION("""COMPUTED_VALUE"""),0.0)</f>
        <v>0</v>
      </c>
      <c r="Y2071" s="148">
        <f>IFERROR(__xludf.DUMMYFUNCTION("""COMPUTED_VALUE"""),0.0)</f>
        <v>0</v>
      </c>
      <c r="Z2071" s="148"/>
    </row>
    <row r="2072">
      <c r="A2072" s="148">
        <f>IFERROR(__xludf.DUMMYFUNCTION("""COMPUTED_VALUE"""),1.1118701E7)</f>
        <v>11118701</v>
      </c>
      <c r="B2072" s="148" t="str">
        <f>IFERROR(__xludf.DUMMYFUNCTION("""COMPUTED_VALUE"""),"巨象绿色喷漆")</f>
        <v>巨象绿色喷漆</v>
      </c>
      <c r="C2072" s="148"/>
      <c r="D2072" s="148" t="str">
        <f>IFERROR(__xludf.DUMMYFUNCTION("""COMPUTED_VALUE"""),"mecha_skin_colour")</f>
        <v>mecha_skin_colour</v>
      </c>
      <c r="E2072" s="148">
        <f>IFERROR(__xludf.DUMMYFUNCTION("""COMPUTED_VALUE"""),32.0)</f>
        <v>32</v>
      </c>
      <c r="F2072" s="148">
        <f>IFERROR(__xludf.DUMMYFUNCTION("""COMPUTED_VALUE"""),0.0)</f>
        <v>0</v>
      </c>
      <c r="G2072" s="148">
        <f>IFERROR(__xludf.DUMMYFUNCTION("""COMPUTED_VALUE"""),1.5119938E7)</f>
        <v>15119938</v>
      </c>
      <c r="H2072" s="148">
        <f>IFERROR(__xludf.DUMMYFUNCTION("""COMPUTED_VALUE"""),1.5112563E7)</f>
        <v>15112563</v>
      </c>
      <c r="I2072" s="148" t="str">
        <f>IFERROR(__xludf.DUMMYFUNCTION("""COMPUTED_VALUE"""),"{}")</f>
        <v>{}</v>
      </c>
      <c r="J2072" s="148" t="str">
        <f>IFERROR(__xludf.DUMMYFUNCTION("""COMPUTED_VALUE"""),"{""typ"":""lc"",""txt"":""LC_ITEM_mecha_skin_colour_name_25""}")</f>
        <v>{"typ":"lc","txt":"LC_ITEM_mecha_skin_colour_name_25"}</v>
      </c>
      <c r="K2072" s="148" t="str">
        <f>IFERROR(__xludf.DUMMYFUNCTION("""COMPUTED_VALUE"""),"{""typ"":""lc"",""txt"":""LC_ITEM_mecha_skin_colour_desc_25""}")</f>
        <v>{"typ":"lc","txt":"LC_ITEM_mecha_skin_colour_desc_25"}</v>
      </c>
      <c r="L2072" s="148" t="str">
        <f>IFERROR(__xludf.DUMMYFUNCTION("""COMPUTED_VALUE"""),"{""typ"":""lc"",""txt"":""LC_ITEM_mecha_skin_colour_use_tips_25""}")</f>
        <v>{"typ":"lc","txt":"LC_ITEM_mecha_skin_colour_use_tips_25"}</v>
      </c>
      <c r="M2072" s="148">
        <f>IFERROR(__xludf.DUMMYFUNCTION("""COMPUTED_VALUE"""),2500.0)</f>
        <v>2500</v>
      </c>
      <c r="N2072" s="148">
        <f>IFERROR(__xludf.DUMMYFUNCTION("""COMPUTED_VALUE"""),999999.0)</f>
        <v>999999</v>
      </c>
      <c r="O2072" s="148">
        <f>IFERROR(__xludf.DUMMYFUNCTION("""COMPUTED_VALUE"""),99999.0)</f>
        <v>99999</v>
      </c>
      <c r="P2072" s="148">
        <f>IFERROR(__xludf.DUMMYFUNCTION("""COMPUTED_VALUE"""),1.0)</f>
        <v>1</v>
      </c>
      <c r="Q2072" s="148" t="str">
        <f>IFERROR(__xludf.DUMMYFUNCTION("""COMPUTED_VALUE"""),"[""bag_other""]")</f>
        <v>["bag_other"]</v>
      </c>
      <c r="R2072" s="148" t="str">
        <f>IFERROR(__xludf.DUMMYFUNCTION("""COMPUTED_VALUE"""),"[""bag"",""40116003""]")</f>
        <v>["bag","40116003"]</v>
      </c>
      <c r="S2072" s="148" t="str">
        <f>IFERROR(__xludf.DUMMYFUNCTION("""COMPUTED_VALUE"""),"{""effect"":[{""typ"":""mecha_colour"",""id"":40116003,""val"":-1},{""typ"":""item"",""id"":11111034,""val"":10}]}")</f>
        <v>{"effect":[{"typ":"mecha_colour","id":40116003,"val":-1},{"typ":"item","id":11111034,"val":10}]}</v>
      </c>
      <c r="T2072" s="148">
        <f>IFERROR(__xludf.DUMMYFUNCTION("""COMPUTED_VALUE"""),-1.0)</f>
        <v>-1</v>
      </c>
      <c r="U2072" s="148">
        <f>IFERROR(__xludf.DUMMYFUNCTION("""COMPUTED_VALUE"""),0.0)</f>
        <v>0</v>
      </c>
      <c r="V2072" s="148" t="str">
        <f>IFERROR(__xludf.DUMMYFUNCTION("""COMPUTED_VALUE"""),"[]")</f>
        <v>[]</v>
      </c>
      <c r="W2072" s="148">
        <f>IFERROR(__xludf.DUMMYFUNCTION("""COMPUTED_VALUE"""),1.174E7)</f>
        <v>11740000</v>
      </c>
      <c r="X2072" s="148">
        <f>IFERROR(__xludf.DUMMYFUNCTION("""COMPUTED_VALUE"""),0.0)</f>
        <v>0</v>
      </c>
      <c r="Y2072" s="148">
        <f>IFERROR(__xludf.DUMMYFUNCTION("""COMPUTED_VALUE"""),0.0)</f>
        <v>0</v>
      </c>
      <c r="Z2072" s="148"/>
    </row>
    <row r="2073">
      <c r="A2073" s="148">
        <f>IFERROR(__xludf.DUMMYFUNCTION("""COMPUTED_VALUE"""),1.1118702E7)</f>
        <v>11118702</v>
      </c>
      <c r="B2073" s="148" t="str">
        <f>IFERROR(__xludf.DUMMYFUNCTION("""COMPUTED_VALUE"""),"巨象青色喷漆")</f>
        <v>巨象青色喷漆</v>
      </c>
      <c r="C2073" s="148"/>
      <c r="D2073" s="148" t="str">
        <f>IFERROR(__xludf.DUMMYFUNCTION("""COMPUTED_VALUE"""),"mecha_skin_colour")</f>
        <v>mecha_skin_colour</v>
      </c>
      <c r="E2073" s="148">
        <f>IFERROR(__xludf.DUMMYFUNCTION("""COMPUTED_VALUE"""),32.0)</f>
        <v>32</v>
      </c>
      <c r="F2073" s="148">
        <f>IFERROR(__xludf.DUMMYFUNCTION("""COMPUTED_VALUE"""),0.0)</f>
        <v>0</v>
      </c>
      <c r="G2073" s="148">
        <f>IFERROR(__xludf.DUMMYFUNCTION("""COMPUTED_VALUE"""),1.5119937E7)</f>
        <v>15119937</v>
      </c>
      <c r="H2073" s="148">
        <f>IFERROR(__xludf.DUMMYFUNCTION("""COMPUTED_VALUE"""),1.5112563E7)</f>
        <v>15112563</v>
      </c>
      <c r="I2073" s="148" t="str">
        <f>IFERROR(__xludf.DUMMYFUNCTION("""COMPUTED_VALUE"""),"{}")</f>
        <v>{}</v>
      </c>
      <c r="J2073" s="148" t="str">
        <f>IFERROR(__xludf.DUMMYFUNCTION("""COMPUTED_VALUE"""),"{""typ"":""lc"",""txt"":""LC_ITEM_mecha_skin_colour_name_26""}")</f>
        <v>{"typ":"lc","txt":"LC_ITEM_mecha_skin_colour_name_26"}</v>
      </c>
      <c r="K2073" s="148" t="str">
        <f>IFERROR(__xludf.DUMMYFUNCTION("""COMPUTED_VALUE"""),"{""typ"":""lc"",""txt"":""LC_ITEM_mecha_skin_colour_desc_26""}")</f>
        <v>{"typ":"lc","txt":"LC_ITEM_mecha_skin_colour_desc_26"}</v>
      </c>
      <c r="L2073" s="148" t="str">
        <f>IFERROR(__xludf.DUMMYFUNCTION("""COMPUTED_VALUE"""),"{""typ"":""lc"",""txt"":""LC_ITEM_mecha_skin_colour_use_tips_26""}")</f>
        <v>{"typ":"lc","txt":"LC_ITEM_mecha_skin_colour_use_tips_26"}</v>
      </c>
      <c r="M2073" s="148">
        <f>IFERROR(__xludf.DUMMYFUNCTION("""COMPUTED_VALUE"""),2500.0)</f>
        <v>2500</v>
      </c>
      <c r="N2073" s="148">
        <f>IFERROR(__xludf.DUMMYFUNCTION("""COMPUTED_VALUE"""),999999.0)</f>
        <v>999999</v>
      </c>
      <c r="O2073" s="148">
        <f>IFERROR(__xludf.DUMMYFUNCTION("""COMPUTED_VALUE"""),99999.0)</f>
        <v>99999</v>
      </c>
      <c r="P2073" s="148">
        <f>IFERROR(__xludf.DUMMYFUNCTION("""COMPUTED_VALUE"""),1.0)</f>
        <v>1</v>
      </c>
      <c r="Q2073" s="148" t="str">
        <f>IFERROR(__xludf.DUMMYFUNCTION("""COMPUTED_VALUE"""),"[""bag_other""]")</f>
        <v>["bag_other"]</v>
      </c>
      <c r="R2073" s="148" t="str">
        <f>IFERROR(__xludf.DUMMYFUNCTION("""COMPUTED_VALUE"""),"[""bag"",""40116004""]")</f>
        <v>["bag","40116004"]</v>
      </c>
      <c r="S2073" s="148" t="str">
        <f>IFERROR(__xludf.DUMMYFUNCTION("""COMPUTED_VALUE"""),"{""effect"":[{""typ"":""mecha_colour"",""id"":40116004,""val"":-1},{""typ"":""item"",""id"":11111034,""val"":10}]}")</f>
        <v>{"effect":[{"typ":"mecha_colour","id":40116004,"val":-1},{"typ":"item","id":11111034,"val":10}]}</v>
      </c>
      <c r="T2073" s="148">
        <f>IFERROR(__xludf.DUMMYFUNCTION("""COMPUTED_VALUE"""),-1.0)</f>
        <v>-1</v>
      </c>
      <c r="U2073" s="148">
        <f>IFERROR(__xludf.DUMMYFUNCTION("""COMPUTED_VALUE"""),0.0)</f>
        <v>0</v>
      </c>
      <c r="V2073" s="148" t="str">
        <f>IFERROR(__xludf.DUMMYFUNCTION("""COMPUTED_VALUE"""),"[]")</f>
        <v>[]</v>
      </c>
      <c r="W2073" s="148">
        <f>IFERROR(__xludf.DUMMYFUNCTION("""COMPUTED_VALUE"""),1.174E7)</f>
        <v>11740000</v>
      </c>
      <c r="X2073" s="148">
        <f>IFERROR(__xludf.DUMMYFUNCTION("""COMPUTED_VALUE"""),0.0)</f>
        <v>0</v>
      </c>
      <c r="Y2073" s="148">
        <f>IFERROR(__xludf.DUMMYFUNCTION("""COMPUTED_VALUE"""),0.0)</f>
        <v>0</v>
      </c>
      <c r="Z2073" s="148"/>
    </row>
    <row r="2074">
      <c r="A2074" s="148">
        <f>IFERROR(__xludf.DUMMYFUNCTION("""COMPUTED_VALUE"""),1.1118703E7)</f>
        <v>11118703</v>
      </c>
      <c r="B2074" s="148" t="str">
        <f>IFERROR(__xludf.DUMMYFUNCTION("""COMPUTED_VALUE"""),"感恩节-装饰升级道具")</f>
        <v>感恩节-装饰升级道具</v>
      </c>
      <c r="C2074" s="148"/>
      <c r="D2074" s="148" t="str">
        <f>IFERROR(__xludf.DUMMYFUNCTION("""COMPUTED_VALUE"""),"event")</f>
        <v>event</v>
      </c>
      <c r="E2074" s="148">
        <f>IFERROR(__xludf.DUMMYFUNCTION("""COMPUTED_VALUE"""),0.0)</f>
        <v>0</v>
      </c>
      <c r="F2074" s="148">
        <f>IFERROR(__xludf.DUMMYFUNCTION("""COMPUTED_VALUE"""),405243.0)</f>
        <v>405243</v>
      </c>
      <c r="G2074" s="148">
        <f>IFERROR(__xludf.DUMMYFUNCTION("""COMPUTED_VALUE"""),1.5114421E7)</f>
        <v>15114421</v>
      </c>
      <c r="H2074" s="148">
        <f>IFERROR(__xludf.DUMMYFUNCTION("""COMPUTED_VALUE"""),1.5112564E7)</f>
        <v>15112564</v>
      </c>
      <c r="I2074" s="148" t="str">
        <f>IFERROR(__xludf.DUMMYFUNCTION("""COMPUTED_VALUE"""),"{}")</f>
        <v>{}</v>
      </c>
      <c r="J2074" s="148" t="str">
        <f>IFERROR(__xludf.DUMMYFUNCTION("""COMPUTED_VALUE"""),"{""typ"":""lc"",""txt"":""LC_ITEM_thanksgiving_2021_item_2""}")</f>
        <v>{"typ":"lc","txt":"LC_ITEM_thanksgiving_2021_item_2"}</v>
      </c>
      <c r="K2074" s="148" t="str">
        <f>IFERROR(__xludf.DUMMYFUNCTION("""COMPUTED_VALUE"""),"{""typ"":""lc"",""txt"":""LC_ITEM_thanksgiving_2021_item_2_desc""}")</f>
        <v>{"typ":"lc","txt":"LC_ITEM_thanksgiving_2021_item_2_desc"}</v>
      </c>
      <c r="L2074" s="148" t="str">
        <f>IFERROR(__xludf.DUMMYFUNCTION("""COMPUTED_VALUE"""),"{}")</f>
        <v>{}</v>
      </c>
      <c r="M2074" s="148">
        <f>IFERROR(__xludf.DUMMYFUNCTION("""COMPUTED_VALUE"""),1000.0)</f>
        <v>1000</v>
      </c>
      <c r="N2074" s="148">
        <f>IFERROR(__xludf.DUMMYFUNCTION("""COMPUTED_VALUE"""),9.99999999E8)</f>
        <v>999999999</v>
      </c>
      <c r="O2074" s="148">
        <f>IFERROR(__xludf.DUMMYFUNCTION("""COMPUTED_VALUE"""),9.99999999E8)</f>
        <v>999999999</v>
      </c>
      <c r="P2074" s="148">
        <f>IFERROR(__xludf.DUMMYFUNCTION("""COMPUTED_VALUE"""),9.99999999E8)</f>
        <v>999999999</v>
      </c>
      <c r="Q2074" s="148" t="str">
        <f>IFERROR(__xludf.DUMMYFUNCTION("""COMPUTED_VALUE"""),"[""bag_other""]")</f>
        <v>["bag_other"]</v>
      </c>
      <c r="R2074" s="148" t="str">
        <f>IFERROR(__xludf.DUMMYFUNCTION("""COMPUTED_VALUE"""),"[]")</f>
        <v>[]</v>
      </c>
      <c r="S2074" s="148" t="str">
        <f>IFERROR(__xludf.DUMMYFUNCTION("""COMPUTED_VALUE"""),"{}")</f>
        <v>{}</v>
      </c>
      <c r="T2074" s="148">
        <f>IFERROR(__xludf.DUMMYFUNCTION("""COMPUTED_VALUE"""),-1.0)</f>
        <v>-1</v>
      </c>
      <c r="U2074" s="148">
        <f>IFERROR(__xludf.DUMMYFUNCTION("""COMPUTED_VALUE"""),0.0)</f>
        <v>0</v>
      </c>
      <c r="V2074" s="148" t="str">
        <f>IFERROR(__xludf.DUMMYFUNCTION("""COMPUTED_VALUE"""),"[]")</f>
        <v>[]</v>
      </c>
      <c r="W2074" s="148">
        <f>IFERROR(__xludf.DUMMYFUNCTION("""COMPUTED_VALUE"""),1.174E7)</f>
        <v>11740000</v>
      </c>
      <c r="X2074" s="148">
        <f>IFERROR(__xludf.DUMMYFUNCTION("""COMPUTED_VALUE"""),0.0)</f>
        <v>0</v>
      </c>
      <c r="Y2074" s="148">
        <f>IFERROR(__xludf.DUMMYFUNCTION("""COMPUTED_VALUE"""),0.0)</f>
        <v>0</v>
      </c>
      <c r="Z2074" s="148"/>
    </row>
    <row r="2075">
      <c r="A2075" s="148">
        <f>IFERROR(__xludf.DUMMYFUNCTION("""COMPUTED_VALUE"""),1.1118704E7)</f>
        <v>11118704</v>
      </c>
      <c r="B2075" s="148" t="str">
        <f>IFERROR(__xludf.DUMMYFUNCTION("""COMPUTED_VALUE"""),"合服兑换活动道具-猩球碎片")</f>
        <v>合服兑换活动道具-猩球碎片</v>
      </c>
      <c r="C2075" s="148"/>
      <c r="D2075" s="148" t="str">
        <f>IFERROR(__xludf.DUMMYFUNCTION("""COMPUTED_VALUE"""),"event")</f>
        <v>event</v>
      </c>
      <c r="E2075" s="148">
        <f>IFERROR(__xludf.DUMMYFUNCTION("""COMPUTED_VALUE"""),0.0)</f>
        <v>0</v>
      </c>
      <c r="F2075" s="148">
        <f>IFERROR(__xludf.DUMMYFUNCTION("""COMPUTED_VALUE"""),405221.0)</f>
        <v>405221</v>
      </c>
      <c r="G2075" s="148">
        <f>IFERROR(__xludf.DUMMYFUNCTION("""COMPUTED_VALUE"""),1.5117413E7)</f>
        <v>15117413</v>
      </c>
      <c r="H2075" s="148">
        <f>IFERROR(__xludf.DUMMYFUNCTION("""COMPUTED_VALUE"""),1.5112563E7)</f>
        <v>15112563</v>
      </c>
      <c r="I2075" s="148" t="str">
        <f>IFERROR(__xludf.DUMMYFUNCTION("""COMPUTED_VALUE"""),"{}")</f>
        <v>{}</v>
      </c>
      <c r="J2075" s="148" t="str">
        <f>IFERROR(__xludf.DUMMYFUNCTION("""COMPUTED_VALUE"""),"{""typ"":""lc"",""txt"":""LC_ITEM_server_merger_exchange_coin""}")</f>
        <v>{"typ":"lc","txt":"LC_ITEM_server_merger_exchange_coin"}</v>
      </c>
      <c r="K2075" s="148" t="str">
        <f>IFERROR(__xludf.DUMMYFUNCTION("""COMPUTED_VALUE"""),"{""typ"":""lc"",""txt"":""LC_ITEM_server_merger_exchange_coin_desc""}")</f>
        <v>{"typ":"lc","txt":"LC_ITEM_server_merger_exchange_coin_desc"}</v>
      </c>
      <c r="L2075" s="148" t="str">
        <f>IFERROR(__xludf.DUMMYFUNCTION("""COMPUTED_VALUE"""),"{}")</f>
        <v>{}</v>
      </c>
      <c r="M2075" s="148">
        <f>IFERROR(__xludf.DUMMYFUNCTION("""COMPUTED_VALUE"""),100.0)</f>
        <v>100</v>
      </c>
      <c r="N2075" s="148">
        <f>IFERROR(__xludf.DUMMYFUNCTION("""COMPUTED_VALUE"""),9.99999999E8)</f>
        <v>999999999</v>
      </c>
      <c r="O2075" s="148">
        <f>IFERROR(__xludf.DUMMYFUNCTION("""COMPUTED_VALUE"""),9.99999999E8)</f>
        <v>999999999</v>
      </c>
      <c r="P2075" s="148">
        <f>IFERROR(__xludf.DUMMYFUNCTION("""COMPUTED_VALUE"""),9.99999999E8)</f>
        <v>999999999</v>
      </c>
      <c r="Q2075" s="148" t="str">
        <f>IFERROR(__xludf.DUMMYFUNCTION("""COMPUTED_VALUE"""),"[""bag_other""]")</f>
        <v>["bag_other"]</v>
      </c>
      <c r="R2075" s="148" t="str">
        <f>IFERROR(__xludf.DUMMYFUNCTION("""COMPUTED_VALUE"""),"[""bag""]")</f>
        <v>["bag"]</v>
      </c>
      <c r="S2075" s="148" t="str">
        <f>IFERROR(__xludf.DUMMYFUNCTION("""COMPUTED_VALUE"""),"{}")</f>
        <v>{}</v>
      </c>
      <c r="T2075" s="148">
        <f>IFERROR(__xludf.DUMMYFUNCTION("""COMPUTED_VALUE"""),-1.0)</f>
        <v>-1</v>
      </c>
      <c r="U2075" s="148">
        <f>IFERROR(__xludf.DUMMYFUNCTION("""COMPUTED_VALUE"""),0.0)</f>
        <v>0</v>
      </c>
      <c r="V2075" s="148" t="str">
        <f>IFERROR(__xludf.DUMMYFUNCTION("""COMPUTED_VALUE"""),"[]")</f>
        <v>[]</v>
      </c>
      <c r="W2075" s="148">
        <f>IFERROR(__xludf.DUMMYFUNCTION("""COMPUTED_VALUE"""),1.174E7)</f>
        <v>11740000</v>
      </c>
      <c r="X2075" s="148">
        <f>IFERROR(__xludf.DUMMYFUNCTION("""COMPUTED_VALUE"""),0.0)</f>
        <v>0</v>
      </c>
      <c r="Y2075" s="148">
        <f>IFERROR(__xludf.DUMMYFUNCTION("""COMPUTED_VALUE"""),0.0)</f>
        <v>0</v>
      </c>
      <c r="Z2075" s="148"/>
    </row>
    <row r="2076">
      <c r="A2076" s="148">
        <f>IFERROR(__xludf.DUMMYFUNCTION("""COMPUTED_VALUE"""),1.1118705E7)</f>
        <v>11118705</v>
      </c>
      <c r="B2076" s="148" t="str">
        <f>IFERROR(__xludf.DUMMYFUNCTION("""COMPUTED_VALUE"""),"幼猴节-7日活动宝箱")</f>
        <v>幼猴节-7日活动宝箱</v>
      </c>
      <c r="C2076" s="148"/>
      <c r="D2076" s="148" t="str">
        <f>IFERROR(__xludf.DUMMYFUNCTION("""COMPUTED_VALUE"""),"item_asset")</f>
        <v>item_asset</v>
      </c>
      <c r="E2076" s="148">
        <f>IFERROR(__xludf.DUMMYFUNCTION("""COMPUTED_VALUE"""),19.0)</f>
        <v>19</v>
      </c>
      <c r="F2076" s="148">
        <f>IFERROR(__xludf.DUMMYFUNCTION("""COMPUTED_VALUE"""),201101.0)</f>
        <v>201101</v>
      </c>
      <c r="G2076" s="148">
        <f>IFERROR(__xludf.DUMMYFUNCTION("""COMPUTED_VALUE"""),1.5117141E7)</f>
        <v>15117141</v>
      </c>
      <c r="H2076" s="148">
        <f>IFERROR(__xludf.DUMMYFUNCTION("""COMPUTED_VALUE"""),1.5112564E7)</f>
        <v>15112564</v>
      </c>
      <c r="I2076" s="148" t="str">
        <f>IFERROR(__xludf.DUMMYFUNCTION("""COMPUTED_VALUE"""),"{}")</f>
        <v>{}</v>
      </c>
      <c r="J2076" s="148" t="str">
        <f>IFERROR(__xludf.DUMMYFUNCTION("""COMPUTED_VALUE"""),"{""typ"":""lc"",""txt"":""LC_ITEM_seven_day_box_name""}")</f>
        <v>{"typ":"lc","txt":"LC_ITEM_seven_day_box_name"}</v>
      </c>
      <c r="K2076" s="148" t="str">
        <f>IFERROR(__xludf.DUMMYFUNCTION("""COMPUTED_VALUE"""),"{""typ"":""lc"",""txt"":""LC_ITEM_seven_day_box_desc""}")</f>
        <v>{"typ":"lc","txt":"LC_ITEM_seven_day_box_desc"}</v>
      </c>
      <c r="L2076" s="148" t="str">
        <f>IFERROR(__xludf.DUMMYFUNCTION("""COMPUTED_VALUE"""),"{""typ"":""lc"",""txt"":""LC_ITEM_horde_elite_box_usedtip""}")</f>
        <v>{"typ":"lc","txt":"LC_ITEM_horde_elite_box_usedtip"}</v>
      </c>
      <c r="M2076" s="148">
        <f>IFERROR(__xludf.DUMMYFUNCTION("""COMPUTED_VALUE"""),40.0)</f>
        <v>40</v>
      </c>
      <c r="N2076" s="148">
        <f>IFERROR(__xludf.DUMMYFUNCTION("""COMPUTED_VALUE"""),999999.0)</f>
        <v>999999</v>
      </c>
      <c r="O2076" s="148">
        <f>IFERROR(__xludf.DUMMYFUNCTION("""COMPUTED_VALUE"""),99999.0)</f>
        <v>99999</v>
      </c>
      <c r="P2076" s="148">
        <f>IFERROR(__xludf.DUMMYFUNCTION("""COMPUTED_VALUE"""),99999.0)</f>
        <v>99999</v>
      </c>
      <c r="Q2076" s="148" t="str">
        <f>IFERROR(__xludf.DUMMYFUNCTION("""COMPUTED_VALUE"""),"[]")</f>
        <v>[]</v>
      </c>
      <c r="R2076" s="148" t="str">
        <f>IFERROR(__xludf.DUMMYFUNCTION("""COMPUTED_VALUE"""),"[""bag""]")</f>
        <v>["bag"]</v>
      </c>
      <c r="S2076"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2076" s="148">
        <f>IFERROR(__xludf.DUMMYFUNCTION("""COMPUTED_VALUE"""),-1.0)</f>
        <v>-1</v>
      </c>
      <c r="U2076" s="148">
        <f>IFERROR(__xludf.DUMMYFUNCTION("""COMPUTED_VALUE"""),1.0)</f>
        <v>1</v>
      </c>
      <c r="V2076" s="148" t="str">
        <f>IFERROR(__xludf.DUMMYFUNCTION("""COMPUTED_VALUE"""),"[]")</f>
        <v>[]</v>
      </c>
      <c r="W2076" s="148">
        <f>IFERROR(__xludf.DUMMYFUNCTION("""COMPUTED_VALUE"""),1.174E7)</f>
        <v>11740000</v>
      </c>
      <c r="X2076" s="148">
        <f>IFERROR(__xludf.DUMMYFUNCTION("""COMPUTED_VALUE"""),0.0)</f>
        <v>0</v>
      </c>
      <c r="Y2076" s="148">
        <f>IFERROR(__xludf.DUMMYFUNCTION("""COMPUTED_VALUE"""),0.0)</f>
        <v>0</v>
      </c>
      <c r="Z2076" s="148"/>
    </row>
    <row r="2077">
      <c r="A2077" s="148">
        <f>IFERROR(__xludf.DUMMYFUNCTION("""COMPUTED_VALUE"""),1.1118706E7)</f>
        <v>11118706</v>
      </c>
      <c r="B2077" s="148" t="str">
        <f>IFERROR(__xludf.DUMMYFUNCTION("""COMPUTED_VALUE"""),"幼猴节-解锁宝箱礼包钥匙")</f>
        <v>幼猴节-解锁宝箱礼包钥匙</v>
      </c>
      <c r="C2077" s="148"/>
      <c r="D2077" s="148" t="str">
        <f>IFERROR(__xludf.DUMMYFUNCTION("""COMPUTED_VALUE"""),"event")</f>
        <v>event</v>
      </c>
      <c r="E2077" s="148">
        <f>IFERROR(__xludf.DUMMYFUNCTION("""COMPUTED_VALUE"""),0.0)</f>
        <v>0</v>
      </c>
      <c r="F2077" s="148">
        <f>IFERROR(__xludf.DUMMYFUNCTION("""COMPUTED_VALUE"""),0.0)</f>
        <v>0</v>
      </c>
      <c r="G2077" s="148">
        <f>IFERROR(__xludf.DUMMYFUNCTION("""COMPUTED_VALUE"""),1.5117142E7)</f>
        <v>15117142</v>
      </c>
      <c r="H2077" s="148">
        <f>IFERROR(__xludf.DUMMYFUNCTION("""COMPUTED_VALUE"""),1.5112564E7)</f>
        <v>15112564</v>
      </c>
      <c r="I2077" s="148" t="str">
        <f>IFERROR(__xludf.DUMMYFUNCTION("""COMPUTED_VALUE"""),"{}")</f>
        <v>{}</v>
      </c>
      <c r="J2077" s="148" t="str">
        <f>IFERROR(__xludf.DUMMYFUNCTION("""COMPUTED_VALUE"""),"{""typ"":""lc"",""txt"":""LC_ITEM_seven_day_box_key_name""}")</f>
        <v>{"typ":"lc","txt":"LC_ITEM_seven_day_box_key_name"}</v>
      </c>
      <c r="K2077" s="148" t="str">
        <f>IFERROR(__xludf.DUMMYFUNCTION("""COMPUTED_VALUE"""),"{""typ"":""lc"",""txt"":""LC_ITEM_seven_day_box_key_desc""}")</f>
        <v>{"typ":"lc","txt":"LC_ITEM_seven_day_box_key_desc"}</v>
      </c>
      <c r="L2077" s="148" t="str">
        <f>IFERROR(__xludf.DUMMYFUNCTION("""COMPUTED_VALUE"""),"{}")</f>
        <v>{}</v>
      </c>
      <c r="M2077" s="148">
        <f>IFERROR(__xludf.DUMMYFUNCTION("""COMPUTED_VALUE"""),10.0)</f>
        <v>10</v>
      </c>
      <c r="N2077" s="148">
        <f>IFERROR(__xludf.DUMMYFUNCTION("""COMPUTED_VALUE"""),999999.0)</f>
        <v>999999</v>
      </c>
      <c r="O2077" s="148">
        <f>IFERROR(__xludf.DUMMYFUNCTION("""COMPUTED_VALUE"""),99999.0)</f>
        <v>99999</v>
      </c>
      <c r="P2077" s="148">
        <f>IFERROR(__xludf.DUMMYFUNCTION("""COMPUTED_VALUE"""),9999.0)</f>
        <v>9999</v>
      </c>
      <c r="Q2077" s="148" t="str">
        <f>IFERROR(__xludf.DUMMYFUNCTION("""COMPUTED_VALUE"""),"[""bag_other""]")</f>
        <v>["bag_other"]</v>
      </c>
      <c r="R2077" s="148" t="str">
        <f>IFERROR(__xludf.DUMMYFUNCTION("""COMPUTED_VALUE"""),"[]")</f>
        <v>[]</v>
      </c>
      <c r="S2077" s="148" t="str">
        <f>IFERROR(__xludf.DUMMYFUNCTION("""COMPUTED_VALUE"""),"{}")</f>
        <v>{}</v>
      </c>
      <c r="T2077" s="148">
        <f>IFERROR(__xludf.DUMMYFUNCTION("""COMPUTED_VALUE"""),-1.0)</f>
        <v>-1</v>
      </c>
      <c r="U2077" s="148">
        <f>IFERROR(__xludf.DUMMYFUNCTION("""COMPUTED_VALUE"""),0.0)</f>
        <v>0</v>
      </c>
      <c r="V2077" s="148" t="str">
        <f>IFERROR(__xludf.DUMMYFUNCTION("""COMPUTED_VALUE"""),"[]")</f>
        <v>[]</v>
      </c>
      <c r="W2077" s="148">
        <f>IFERROR(__xludf.DUMMYFUNCTION("""COMPUTED_VALUE"""),1.174E7)</f>
        <v>11740000</v>
      </c>
      <c r="X2077" s="148">
        <f>IFERROR(__xludf.DUMMYFUNCTION("""COMPUTED_VALUE"""),0.0)</f>
        <v>0</v>
      </c>
      <c r="Y2077" s="148">
        <f>IFERROR(__xludf.DUMMYFUNCTION("""COMPUTED_VALUE"""),0.0)</f>
        <v>0</v>
      </c>
      <c r="Z2077" s="148"/>
    </row>
    <row r="2078">
      <c r="A2078" s="148">
        <f>IFERROR(__xludf.DUMMYFUNCTION("""COMPUTED_VALUE"""),1.1118707E7)</f>
        <v>11118707</v>
      </c>
      <c r="B2078" s="148" t="str">
        <f>IFERROR(__xludf.DUMMYFUNCTION("""COMPUTED_VALUE"""),"幼猴节-7日活动宝箱-显示用")</f>
        <v>幼猴节-7日活动宝箱-显示用</v>
      </c>
      <c r="C2078" s="148"/>
      <c r="D2078" s="148" t="str">
        <f>IFERROR(__xludf.DUMMYFUNCTION("""COMPUTED_VALUE"""),"event")</f>
        <v>event</v>
      </c>
      <c r="E2078" s="148">
        <f>IFERROR(__xludf.DUMMYFUNCTION("""COMPUTED_VALUE"""),0.0)</f>
        <v>0</v>
      </c>
      <c r="F2078" s="148">
        <f>IFERROR(__xludf.DUMMYFUNCTION("""COMPUTED_VALUE"""),0.0)</f>
        <v>0</v>
      </c>
      <c r="G2078" s="148">
        <f>IFERROR(__xludf.DUMMYFUNCTION("""COMPUTED_VALUE"""),1.5117141E7)</f>
        <v>15117141</v>
      </c>
      <c r="H2078" s="148">
        <f>IFERROR(__xludf.DUMMYFUNCTION("""COMPUTED_VALUE"""),1.5112564E7)</f>
        <v>15112564</v>
      </c>
      <c r="I2078" s="148" t="str">
        <f>IFERROR(__xludf.DUMMYFUNCTION("""COMPUTED_VALUE"""),"{}")</f>
        <v>{}</v>
      </c>
      <c r="J2078" s="148" t="str">
        <f>IFERROR(__xludf.DUMMYFUNCTION("""COMPUTED_VALUE"""),"{""typ"":""lc"",""txt"":""LC_ITEM_seven_day_box_name""}")</f>
        <v>{"typ":"lc","txt":"LC_ITEM_seven_day_box_name"}</v>
      </c>
      <c r="K2078" s="148" t="str">
        <f>IFERROR(__xludf.DUMMYFUNCTION("""COMPUTED_VALUE"""),"{""typ"":""lc"",""txt"":""LC_ITEM_seven_day_box_desc""}")</f>
        <v>{"typ":"lc","txt":"LC_ITEM_seven_day_box_desc"}</v>
      </c>
      <c r="L2078" s="148" t="str">
        <f>IFERROR(__xludf.DUMMYFUNCTION("""COMPUTED_VALUE"""),"{}")</f>
        <v>{}</v>
      </c>
      <c r="M2078" s="148">
        <f>IFERROR(__xludf.DUMMYFUNCTION("""COMPUTED_VALUE"""),1.0)</f>
        <v>1</v>
      </c>
      <c r="N2078" s="148">
        <f>IFERROR(__xludf.DUMMYFUNCTION("""COMPUTED_VALUE"""),999999.0)</f>
        <v>999999</v>
      </c>
      <c r="O2078" s="148">
        <f>IFERROR(__xludf.DUMMYFUNCTION("""COMPUTED_VALUE"""),99999.0)</f>
        <v>99999</v>
      </c>
      <c r="P2078" s="148">
        <f>IFERROR(__xludf.DUMMYFUNCTION("""COMPUTED_VALUE"""),9999.0)</f>
        <v>9999</v>
      </c>
      <c r="Q2078" s="148" t="str">
        <f>IFERROR(__xludf.DUMMYFUNCTION("""COMPUTED_VALUE"""),"[]")</f>
        <v>[]</v>
      </c>
      <c r="R2078" s="148" t="str">
        <f>IFERROR(__xludf.DUMMYFUNCTION("""COMPUTED_VALUE"""),"[]")</f>
        <v>[]</v>
      </c>
      <c r="S2078" s="148" t="str">
        <f>IFERROR(__xludf.DUMMYFUNCTION("""COMPUTED_VALUE"""),"{""effect"":[{""typ"":""miss_lost_reward""}]}")</f>
        <v>{"effect":[{"typ":"miss_lost_reward"}]}</v>
      </c>
      <c r="T2078" s="148">
        <f>IFERROR(__xludf.DUMMYFUNCTION("""COMPUTED_VALUE"""),-1.0)</f>
        <v>-1</v>
      </c>
      <c r="U2078" s="148">
        <f>IFERROR(__xludf.DUMMYFUNCTION("""COMPUTED_VALUE"""),1.0)</f>
        <v>1</v>
      </c>
      <c r="V2078" s="148" t="str">
        <f>IFERROR(__xludf.DUMMYFUNCTION("""COMPUTED_VALUE"""),"[]")</f>
        <v>[]</v>
      </c>
      <c r="W2078" s="148">
        <f>IFERROR(__xludf.DUMMYFUNCTION("""COMPUTED_VALUE"""),1.174E7)</f>
        <v>11740000</v>
      </c>
      <c r="X2078" s="148">
        <f>IFERROR(__xludf.DUMMYFUNCTION("""COMPUTED_VALUE"""),0.0)</f>
        <v>0</v>
      </c>
      <c r="Y2078" s="148">
        <f>IFERROR(__xludf.DUMMYFUNCTION("""COMPUTED_VALUE"""),0.0)</f>
        <v>0</v>
      </c>
      <c r="Z2078" s="148"/>
    </row>
    <row r="2079">
      <c r="A2079" s="148">
        <f>IFERROR(__xludf.DUMMYFUNCTION("""COMPUTED_VALUE"""),1.1118708E7)</f>
        <v>11118708</v>
      </c>
      <c r="B2079" s="148" t="str">
        <f>IFERROR(__xludf.DUMMYFUNCTION("""COMPUTED_VALUE"""),"幼猴节新七日活动-增加次数道具")</f>
        <v>幼猴节新七日活动-增加次数道具</v>
      </c>
      <c r="C2079" s="148"/>
      <c r="D2079" s="148" t="str">
        <f>IFERROR(__xludf.DUMMYFUNCTION("""COMPUTED_VALUE"""),"event_progress")</f>
        <v>event_progress</v>
      </c>
      <c r="E2079" s="148">
        <f>IFERROR(__xludf.DUMMYFUNCTION("""COMPUTED_VALUE"""),0.0)</f>
        <v>0</v>
      </c>
      <c r="F2079" s="148">
        <f>IFERROR(__xludf.DUMMYFUNCTION("""COMPUTED_VALUE"""),0.0)</f>
        <v>0</v>
      </c>
      <c r="G2079" s="148">
        <f>IFERROR(__xludf.DUMMYFUNCTION("""COMPUTED_VALUE"""),1.5113732E7)</f>
        <v>15113732</v>
      </c>
      <c r="H2079" s="148">
        <f>IFERROR(__xludf.DUMMYFUNCTION("""COMPUTED_VALUE"""),1.5112563E7)</f>
        <v>15112563</v>
      </c>
      <c r="I2079" s="148" t="str">
        <f>IFERROR(__xludf.DUMMYFUNCTION("""COMPUTED_VALUE"""),"{}")</f>
        <v>{}</v>
      </c>
      <c r="J2079" s="148" t="str">
        <f>IFERROR(__xludf.DUMMYFUNCTION("""COMPUTED_VALUE"""),"{}")</f>
        <v>{}</v>
      </c>
      <c r="K2079" s="148" t="str">
        <f>IFERROR(__xludf.DUMMYFUNCTION("""COMPUTED_VALUE"""),"{}")</f>
        <v>{}</v>
      </c>
      <c r="L2079" s="148" t="str">
        <f>IFERROR(__xludf.DUMMYFUNCTION("""COMPUTED_VALUE"""),"{}")</f>
        <v>{}</v>
      </c>
      <c r="M2079" s="148">
        <f>IFERROR(__xludf.DUMMYFUNCTION("""COMPUTED_VALUE"""),1.0)</f>
        <v>1</v>
      </c>
      <c r="N2079" s="148">
        <f>IFERROR(__xludf.DUMMYFUNCTION("""COMPUTED_VALUE"""),999999.0)</f>
        <v>999999</v>
      </c>
      <c r="O2079" s="148">
        <f>IFERROR(__xludf.DUMMYFUNCTION("""COMPUTED_VALUE"""),99999.0)</f>
        <v>99999</v>
      </c>
      <c r="P2079" s="148">
        <f>IFERROR(__xludf.DUMMYFUNCTION("""COMPUTED_VALUE"""),9999.0)</f>
        <v>9999</v>
      </c>
      <c r="Q2079" s="148" t="str">
        <f>IFERROR(__xludf.DUMMYFUNCTION("""COMPUTED_VALUE"""),"[]")</f>
        <v>[]</v>
      </c>
      <c r="R2079" s="148" t="str">
        <f>IFERROR(__xludf.DUMMYFUNCTION("""COMPUTED_VALUE"""),"[]")</f>
        <v>[]</v>
      </c>
      <c r="S2079" s="148" t="str">
        <f>IFERROR(__xludf.DUMMYFUNCTION("""COMPUTED_VALUE"""),"{""effect"":[{""typ"":""event"",""id"":21122067},{""typ"":""miss_lost_reward""}]}")</f>
        <v>{"effect":[{"typ":"event","id":21122067},{"typ":"miss_lost_reward"}]}</v>
      </c>
      <c r="T2079" s="148">
        <f>IFERROR(__xludf.DUMMYFUNCTION("""COMPUTED_VALUE"""),-1.0)</f>
        <v>-1</v>
      </c>
      <c r="U2079" s="148">
        <f>IFERROR(__xludf.DUMMYFUNCTION("""COMPUTED_VALUE"""),1.0)</f>
        <v>1</v>
      </c>
      <c r="V2079" s="148" t="str">
        <f>IFERROR(__xludf.DUMMYFUNCTION("""COMPUTED_VALUE"""),"[]")</f>
        <v>[]</v>
      </c>
      <c r="W2079" s="148">
        <f>IFERROR(__xludf.DUMMYFUNCTION("""COMPUTED_VALUE"""),1.174E7)</f>
        <v>11740000</v>
      </c>
      <c r="X2079" s="148">
        <f>IFERROR(__xludf.DUMMYFUNCTION("""COMPUTED_VALUE"""),0.0)</f>
        <v>0</v>
      </c>
      <c r="Y2079" s="148">
        <f>IFERROR(__xludf.DUMMYFUNCTION("""COMPUTED_VALUE"""),0.0)</f>
        <v>0</v>
      </c>
      <c r="Z2079" s="148"/>
    </row>
    <row r="2080">
      <c r="A2080" s="148">
        <f>IFERROR(__xludf.DUMMYFUNCTION("""COMPUTED_VALUE"""),1.1118709E7)</f>
        <v>11118709</v>
      </c>
      <c r="B2080" s="148" t="str">
        <f>IFERROR(__xludf.DUMMYFUNCTION("""COMPUTED_VALUE"""),"超凡-多成长线自选宝箱（价值$2)")</f>
        <v>超凡-多成长线自选宝箱（价值$2)</v>
      </c>
      <c r="C2080" s="148"/>
      <c r="D2080" s="148" t="str">
        <f>IFERROR(__xludf.DUMMYFUNCTION("""COMPUTED_VALUE"""),"item_select_box")</f>
        <v>item_select_box</v>
      </c>
      <c r="E2080" s="148">
        <f>IFERROR(__xludf.DUMMYFUNCTION("""COMPUTED_VALUE"""),19.0)</f>
        <v>19</v>
      </c>
      <c r="F2080" s="148">
        <f>IFERROR(__xludf.DUMMYFUNCTION("""COMPUTED_VALUE"""),99999.0)</f>
        <v>99999</v>
      </c>
      <c r="G2080" s="148">
        <f>IFERROR(__xludf.DUMMYFUNCTION("""COMPUTED_VALUE"""),1.5119093E7)</f>
        <v>15119093</v>
      </c>
      <c r="H2080" s="148">
        <f>IFERROR(__xludf.DUMMYFUNCTION("""COMPUTED_VALUE"""),1.5115983E7)</f>
        <v>15115983</v>
      </c>
      <c r="I2080" s="148" t="str">
        <f>IFERROR(__xludf.DUMMYFUNCTION("""COMPUTED_VALUE"""),"{}")</f>
        <v>{}</v>
      </c>
      <c r="J2080" s="148" t="str">
        <f>IFERROR(__xludf.DUMMYFUNCTION("""COMPUTED_VALUE"""),"{""typ"":""lc"",""txt"":""LC_ITEM_luxury_growth_line_select_box_name""}")</f>
        <v>{"typ":"lc","txt":"LC_ITEM_luxury_growth_line_select_box_name"}</v>
      </c>
      <c r="K2080" s="148" t="str">
        <f>IFERROR(__xludf.DUMMYFUNCTION("""COMPUTED_VALUE"""),"{""typ"":""lc"",""txt"":""LC_ITEM_luxury_growth_line_select_box_desc""}")</f>
        <v>{"typ":"lc","txt":"LC_ITEM_luxury_growth_line_select_box_desc"}</v>
      </c>
      <c r="L2080" s="148" t="str">
        <f>IFERROR(__xludf.DUMMYFUNCTION("""COMPUTED_VALUE"""),"{}")</f>
        <v>{}</v>
      </c>
      <c r="M2080" s="148">
        <f>IFERROR(__xludf.DUMMYFUNCTION("""COMPUTED_VALUE"""),2000.0)</f>
        <v>2000</v>
      </c>
      <c r="N2080" s="148">
        <f>IFERROR(__xludf.DUMMYFUNCTION("""COMPUTED_VALUE"""),999999.0)</f>
        <v>999999</v>
      </c>
      <c r="O2080" s="148">
        <f>IFERROR(__xludf.DUMMYFUNCTION("""COMPUTED_VALUE"""),999999.0)</f>
        <v>999999</v>
      </c>
      <c r="P2080" s="148">
        <f>IFERROR(__xludf.DUMMYFUNCTION("""COMPUTED_VALUE"""),999999.0)</f>
        <v>999999</v>
      </c>
      <c r="Q2080" s="148" t="str">
        <f>IFERROR(__xludf.DUMMYFUNCTION("""COMPUTED_VALUE"""),"[""bag_other""]")</f>
        <v>["bag_other"]</v>
      </c>
      <c r="R2080" s="148" t="str">
        <f>IFERROR(__xludf.DUMMYFUNCTION("""COMPUTED_VALUE"""),"[""bag""]")</f>
        <v>["bag"]</v>
      </c>
      <c r="S2080" s="148" t="str">
        <f>IFERROR(__xludf.DUMMYFUNCTION("""COMPUTED_VALUE"""),"{""select_box"":[{""typ"":""material"",""id"":19345012,""val"":1},{""typ"":""item"",""id"":11117511,""val"":1},{""typ"":""item"",""id"":11118681,""val"":2},{""typ"":""item"",""id"":11111042,""val"":3}]}")</f>
        <v>{"select_box":[{"typ":"material","id":19345012,"val":1},{"typ":"item","id":11117511,"val":1},{"typ":"item","id":11118681,"val":2},{"typ":"item","id":11111042,"val":3}]}</v>
      </c>
      <c r="T2080" s="148">
        <f>IFERROR(__xludf.DUMMYFUNCTION("""COMPUTED_VALUE"""),-1.0)</f>
        <v>-1</v>
      </c>
      <c r="U2080" s="148">
        <f>IFERROR(__xludf.DUMMYFUNCTION("""COMPUTED_VALUE"""),0.0)</f>
        <v>0</v>
      </c>
      <c r="V2080" s="148" t="str">
        <f>IFERROR(__xludf.DUMMYFUNCTION("""COMPUTED_VALUE"""),"[]")</f>
        <v>[]</v>
      </c>
      <c r="W2080" s="148">
        <f>IFERROR(__xludf.DUMMYFUNCTION("""COMPUTED_VALUE"""),1.174E7)</f>
        <v>11740000</v>
      </c>
      <c r="X2080" s="148">
        <f>IFERROR(__xludf.DUMMYFUNCTION("""COMPUTED_VALUE"""),0.0)</f>
        <v>0</v>
      </c>
      <c r="Y2080" s="148">
        <f>IFERROR(__xludf.DUMMYFUNCTION("""COMPUTED_VALUE"""),0.0)</f>
        <v>0</v>
      </c>
      <c r="Z2080" s="148"/>
    </row>
    <row r="2081">
      <c r="A2081" s="148">
        <f>IFERROR(__xludf.DUMMYFUNCTION("""COMPUTED_VALUE"""),1.111871E7)</f>
        <v>11118710</v>
      </c>
      <c r="B2081" s="148" t="str">
        <f>IFERROR(__xludf.DUMMYFUNCTION("""COMPUTED_VALUE"""),"前期装饰物-飞碟（本体）")</f>
        <v>前期装饰物-飞碟（本体）</v>
      </c>
      <c r="C2081" s="148"/>
      <c r="D2081" s="148" t="str">
        <f>IFERROR(__xludf.DUMMYFUNCTION("""COMPUTED_VALUE"""),"statue_decorate")</f>
        <v>statue_decorate</v>
      </c>
      <c r="E2081" s="148">
        <f>IFERROR(__xludf.DUMMYFUNCTION("""COMPUTED_VALUE"""),23.0)</f>
        <v>23</v>
      </c>
      <c r="F2081" s="148">
        <f>IFERROR(__xludf.DUMMYFUNCTION("""COMPUTED_VALUE"""),0.0)</f>
        <v>0</v>
      </c>
      <c r="G2081" s="148">
        <f>IFERROR(__xludf.DUMMYFUNCTION("""COMPUTED_VALUE"""),1.51101059E8)</f>
        <v>151101059</v>
      </c>
      <c r="H2081" s="148">
        <f>IFERROR(__xludf.DUMMYFUNCTION("""COMPUTED_VALUE"""),1.5112564E7)</f>
        <v>15112564</v>
      </c>
      <c r="I2081" s="148" t="str">
        <f>IFERROR(__xludf.DUMMYFUNCTION("""COMPUTED_VALUE"""),"{}")</f>
        <v>{}</v>
      </c>
      <c r="J2081" s="148" t="str">
        <f>IFERROR(__xludf.DUMMYFUNCTION("""COMPUTED_VALUE"""),"{""typ"":""lc"",""txt"":""LC_ITEM_deco_UFO_name""}")</f>
        <v>{"typ":"lc","txt":"LC_ITEM_deco_UFO_name"}</v>
      </c>
      <c r="K2081" s="148" t="str">
        <f>IFERROR(__xludf.DUMMYFUNCTION("""COMPUTED_VALUE"""),"{""typ"":""lc"",""txt"":""LC_ITEM_deco_UFO_desc""}")</f>
        <v>{"typ":"lc","txt":"LC_ITEM_deco_UFO_desc"}</v>
      </c>
      <c r="L2081" s="148" t="str">
        <f>IFERROR(__xludf.DUMMYFUNCTION("""COMPUTED_VALUE"""),"{}")</f>
        <v>{}</v>
      </c>
      <c r="M2081" s="148">
        <f>IFERROR(__xludf.DUMMYFUNCTION("""COMPUTED_VALUE"""),5000.0)</f>
        <v>5000</v>
      </c>
      <c r="N2081" s="148">
        <f>IFERROR(__xludf.DUMMYFUNCTION("""COMPUTED_VALUE"""),999.0)</f>
        <v>999</v>
      </c>
      <c r="O2081" s="148">
        <f>IFERROR(__xludf.DUMMYFUNCTION("""COMPUTED_VALUE"""),99999.0)</f>
        <v>99999</v>
      </c>
      <c r="P2081" s="148">
        <f>IFERROR(__xludf.DUMMYFUNCTION("""COMPUTED_VALUE"""),99999.0)</f>
        <v>99999</v>
      </c>
      <c r="Q2081" s="148" t="str">
        <f>IFERROR(__xludf.DUMMYFUNCTION("""COMPUTED_VALUE"""),"[]")</f>
        <v>[]</v>
      </c>
      <c r="R2081" s="148" t="str">
        <f>IFERROR(__xludf.DUMMYFUNCTION("""COMPUTED_VALUE"""),"[""bag""]")</f>
        <v>["bag"]</v>
      </c>
      <c r="S2081" s="148" t="str">
        <f>IFERROR(__xludf.DUMMYFUNCTION("""COMPUTED_VALUE"""),"{""effect"":[{""typ"":""holiday_statue"",""id"":21482601}]}")</f>
        <v>{"effect":[{"typ":"holiday_statue","id":21482601}]}</v>
      </c>
      <c r="T2081" s="148">
        <f>IFERROR(__xludf.DUMMYFUNCTION("""COMPUTED_VALUE"""),-1.0)</f>
        <v>-1</v>
      </c>
      <c r="U2081" s="148">
        <f>IFERROR(__xludf.DUMMYFUNCTION("""COMPUTED_VALUE"""),1.0)</f>
        <v>1</v>
      </c>
      <c r="V2081" s="148" t="str">
        <f>IFERROR(__xludf.DUMMYFUNCTION("""COMPUTED_VALUE"""),"[]")</f>
        <v>[]</v>
      </c>
      <c r="W2081" s="148">
        <f>IFERROR(__xludf.DUMMYFUNCTION("""COMPUTED_VALUE"""),1.174E7)</f>
        <v>11740000</v>
      </c>
      <c r="X2081" s="148">
        <f>IFERROR(__xludf.DUMMYFUNCTION("""COMPUTED_VALUE"""),0.0)</f>
        <v>0</v>
      </c>
      <c r="Y2081" s="148">
        <f>IFERROR(__xludf.DUMMYFUNCTION("""COMPUTED_VALUE"""),0.0)</f>
        <v>0</v>
      </c>
      <c r="Z2081" s="148"/>
    </row>
    <row r="2082">
      <c r="A2082" s="148">
        <f>IFERROR(__xludf.DUMMYFUNCTION("""COMPUTED_VALUE"""),1.1118711E7)</f>
        <v>11118711</v>
      </c>
      <c r="B2082" s="148" t="str">
        <f>IFERROR(__xludf.DUMMYFUNCTION("""COMPUTED_VALUE"""),"前期装饰物-飞碟（升级道具）")</f>
        <v>前期装饰物-飞碟（升级道具）</v>
      </c>
      <c r="C2082" s="148"/>
      <c r="D2082" s="148" t="str">
        <f>IFERROR(__xludf.DUMMYFUNCTION("""COMPUTED_VALUE"""),"event")</f>
        <v>event</v>
      </c>
      <c r="E2082" s="148">
        <f>IFERROR(__xludf.DUMMYFUNCTION("""COMPUTED_VALUE"""),0.0)</f>
        <v>0</v>
      </c>
      <c r="F2082" s="148">
        <f>IFERROR(__xludf.DUMMYFUNCTION("""COMPUTED_VALUE"""),405243.0)</f>
        <v>405243</v>
      </c>
      <c r="G2082" s="148">
        <f>IFERROR(__xludf.DUMMYFUNCTION("""COMPUTED_VALUE"""),1.51101059E8)</f>
        <v>151101059</v>
      </c>
      <c r="H2082" s="148">
        <f>IFERROR(__xludf.DUMMYFUNCTION("""COMPUTED_VALUE"""),1.5112564E7)</f>
        <v>15112564</v>
      </c>
      <c r="I2082" s="148" t="str">
        <f>IFERROR(__xludf.DUMMYFUNCTION("""COMPUTED_VALUE"""),"{}")</f>
        <v>{}</v>
      </c>
      <c r="J2082" s="148" t="str">
        <f>IFERROR(__xludf.DUMMYFUNCTION("""COMPUTED_VALUE"""),"{""typ"":""lc"",""txt"":""LC_ITEM_deco_UFO_name""}")</f>
        <v>{"typ":"lc","txt":"LC_ITEM_deco_UFO_name"}</v>
      </c>
      <c r="K2082" s="148" t="str">
        <f>IFERROR(__xludf.DUMMYFUNCTION("""COMPUTED_VALUE"""),"{""typ"":""lc"",""txt"":""LC_ITEM_deco_UFO_desc""}")</f>
        <v>{"typ":"lc","txt":"LC_ITEM_deco_UFO_desc"}</v>
      </c>
      <c r="L2082" s="148" t="str">
        <f>IFERROR(__xludf.DUMMYFUNCTION("""COMPUTED_VALUE"""),"{}")</f>
        <v>{}</v>
      </c>
      <c r="M2082" s="148">
        <f>IFERROR(__xludf.DUMMYFUNCTION("""COMPUTED_VALUE"""),1000.0)</f>
        <v>1000</v>
      </c>
      <c r="N2082" s="148">
        <f>IFERROR(__xludf.DUMMYFUNCTION("""COMPUTED_VALUE"""),9.99999999E8)</f>
        <v>999999999</v>
      </c>
      <c r="O2082" s="148">
        <f>IFERROR(__xludf.DUMMYFUNCTION("""COMPUTED_VALUE"""),9.99999999E8)</f>
        <v>999999999</v>
      </c>
      <c r="P2082" s="148">
        <f>IFERROR(__xludf.DUMMYFUNCTION("""COMPUTED_VALUE"""),9.99999999E8)</f>
        <v>999999999</v>
      </c>
      <c r="Q2082" s="148" t="str">
        <f>IFERROR(__xludf.DUMMYFUNCTION("""COMPUTED_VALUE"""),"[""bag_other""]")</f>
        <v>["bag_other"]</v>
      </c>
      <c r="R2082" s="148" t="str">
        <f>IFERROR(__xludf.DUMMYFUNCTION("""COMPUTED_VALUE"""),"[]")</f>
        <v>[]</v>
      </c>
      <c r="S2082" s="148" t="str">
        <f>IFERROR(__xludf.DUMMYFUNCTION("""COMPUTED_VALUE"""),"{}")</f>
        <v>{}</v>
      </c>
      <c r="T2082" s="148">
        <f>IFERROR(__xludf.DUMMYFUNCTION("""COMPUTED_VALUE"""),-1.0)</f>
        <v>-1</v>
      </c>
      <c r="U2082" s="148">
        <f>IFERROR(__xludf.DUMMYFUNCTION("""COMPUTED_VALUE"""),0.0)</f>
        <v>0</v>
      </c>
      <c r="V2082" s="148" t="str">
        <f>IFERROR(__xludf.DUMMYFUNCTION("""COMPUTED_VALUE"""),"[]")</f>
        <v>[]</v>
      </c>
      <c r="W2082" s="148">
        <f>IFERROR(__xludf.DUMMYFUNCTION("""COMPUTED_VALUE"""),1.174E7)</f>
        <v>11740000</v>
      </c>
      <c r="X2082" s="148">
        <f>IFERROR(__xludf.DUMMYFUNCTION("""COMPUTED_VALUE"""),0.0)</f>
        <v>0</v>
      </c>
      <c r="Y2082" s="148">
        <f>IFERROR(__xludf.DUMMYFUNCTION("""COMPUTED_VALUE"""),0.0)</f>
        <v>0</v>
      </c>
      <c r="Z2082" s="148"/>
    </row>
    <row r="2083">
      <c r="A2083" s="148">
        <f>IFERROR(__xludf.DUMMYFUNCTION("""COMPUTED_VALUE"""),1.11188E7)</f>
        <v>11118800</v>
      </c>
      <c r="B2083" s="148" t="str">
        <f>IFERROR(__xludf.DUMMYFUNCTION("""COMPUTED_VALUE"""),"地下世界-地底开采证")</f>
        <v>地下世界-地底开采证</v>
      </c>
      <c r="C2083" s="148"/>
      <c r="D2083" s="148" t="str">
        <f>IFERROR(__xludf.DUMMYFUNCTION("""COMPUTED_VALUE"""),"underworld_rss")</f>
        <v>underworld_rss</v>
      </c>
      <c r="E2083" s="148">
        <f>IFERROR(__xludf.DUMMYFUNCTION("""COMPUTED_VALUE"""),0.0)</f>
        <v>0</v>
      </c>
      <c r="F2083" s="148">
        <f>IFERROR(__xludf.DUMMYFUNCTION("""COMPUTED_VALUE"""),404300.0)</f>
        <v>404300</v>
      </c>
      <c r="G2083" s="148">
        <f>IFERROR(__xludf.DUMMYFUNCTION("""COMPUTED_VALUE"""),1.5117326E7)</f>
        <v>15117326</v>
      </c>
      <c r="H2083" s="148">
        <f>IFERROR(__xludf.DUMMYFUNCTION("""COMPUTED_VALUE"""),1.5112563E7)</f>
        <v>15112563</v>
      </c>
      <c r="I2083" s="148" t="str">
        <f>IFERROR(__xludf.DUMMYFUNCTION("""COMPUTED_VALUE"""),"{}")</f>
        <v>{}</v>
      </c>
      <c r="J2083" s="148" t="str">
        <f>IFERROR(__xludf.DUMMYFUNCTION("""COMPUTED_VALUE"""),"{""typ"":""lc"",""txt"":""LC_MAP_underworld_rss_name""}")</f>
        <v>{"typ":"lc","txt":"LC_MAP_underworld_rss_name"}</v>
      </c>
      <c r="K2083" s="148" t="str">
        <f>IFERROR(__xludf.DUMMYFUNCTION("""COMPUTED_VALUE"""),"{""typ"":""lc"",""txt"":""LC_MAP_underworld_rss_desc_1""}")</f>
        <v>{"typ":"lc","txt":"LC_MAP_underworld_rss_desc_1"}</v>
      </c>
      <c r="L2083" s="148" t="str">
        <f>IFERROR(__xludf.DUMMYFUNCTION("""COMPUTED_VALUE"""),"{}")</f>
        <v>{}</v>
      </c>
      <c r="M2083" s="148">
        <f>IFERROR(__xludf.DUMMYFUNCTION("""COMPUTED_VALUE"""),1.0)</f>
        <v>1</v>
      </c>
      <c r="N2083" s="148">
        <f>IFERROR(__xludf.DUMMYFUNCTION("""COMPUTED_VALUE"""),30.0)</f>
        <v>30</v>
      </c>
      <c r="O2083" s="148">
        <f>IFERROR(__xludf.DUMMYFUNCTION("""COMPUTED_VALUE"""),26.0)</f>
        <v>26</v>
      </c>
      <c r="P2083" s="148">
        <f>IFERROR(__xludf.DUMMYFUNCTION("""COMPUTED_VALUE"""),15.0)</f>
        <v>15</v>
      </c>
      <c r="Q2083" s="148" t="str">
        <f>IFERROR(__xludf.DUMMYFUNCTION("""COMPUTED_VALUE"""),"[""bag_other""]")</f>
        <v>["bag_other"]</v>
      </c>
      <c r="R2083" s="148" t="str">
        <f>IFERROR(__xludf.DUMMYFUNCTION("""COMPUTED_VALUE"""),"[]")</f>
        <v>[]</v>
      </c>
      <c r="S2083" s="148" t="str">
        <f>IFERROR(__xludf.DUMMYFUNCTION("""COMPUTED_VALUE"""),"{}")</f>
        <v>{}</v>
      </c>
      <c r="T2083" s="148">
        <f>IFERROR(__xludf.DUMMYFUNCTION("""COMPUTED_VALUE"""),1.0)</f>
        <v>1</v>
      </c>
      <c r="U2083" s="148">
        <f>IFERROR(__xludf.DUMMYFUNCTION("""COMPUTED_VALUE"""),0.0)</f>
        <v>0</v>
      </c>
      <c r="V2083" s="148" t="str">
        <f>IFERROR(__xludf.DUMMYFUNCTION("""COMPUTED_VALUE"""),"[]")</f>
        <v>[]</v>
      </c>
      <c r="W2083" s="148">
        <f>IFERROR(__xludf.DUMMYFUNCTION("""COMPUTED_VALUE"""),1.174E7)</f>
        <v>11740000</v>
      </c>
      <c r="X2083" s="148">
        <f>IFERROR(__xludf.DUMMYFUNCTION("""COMPUTED_VALUE"""),0.0)</f>
        <v>0</v>
      </c>
      <c r="Y2083" s="148">
        <f>IFERROR(__xludf.DUMMYFUNCTION("""COMPUTED_VALUE"""),0.0)</f>
        <v>0</v>
      </c>
      <c r="Z2083" s="148"/>
    </row>
    <row r="2084">
      <c r="A2084" s="148">
        <f>IFERROR(__xludf.DUMMYFUNCTION("""COMPUTED_VALUE"""),1.1118801E7)</f>
        <v>11118801</v>
      </c>
      <c r="B2084" s="148" t="str">
        <f>IFERROR(__xludf.DUMMYFUNCTION("""COMPUTED_VALUE"""),"地下世界-合成挖矿-研究药水（购买后变为rss）100")</f>
        <v>地下世界-合成挖矿-研究药水（购买后变为rss）100</v>
      </c>
      <c r="C2084" s="148"/>
      <c r="D2084" s="148" t="str">
        <f>IFERROR(__xludf.DUMMYFUNCTION("""COMPUTED_VALUE"""),"metro_minigame_rss_uw")</f>
        <v>metro_minigame_rss_uw</v>
      </c>
      <c r="E2084" s="148">
        <f>IFERROR(__xludf.DUMMYFUNCTION("""COMPUTED_VALUE"""),0.0)</f>
        <v>0</v>
      </c>
      <c r="F2084" s="148">
        <f>IFERROR(__xludf.DUMMYFUNCTION("""COMPUTED_VALUE"""),404301.0)</f>
        <v>404301</v>
      </c>
      <c r="G2084" s="148">
        <f>IFERROR(__xludf.DUMMYFUNCTION("""COMPUTED_VALUE"""),1.5117327E7)</f>
        <v>15117327</v>
      </c>
      <c r="H2084" s="148">
        <f>IFERROR(__xludf.DUMMYFUNCTION("""COMPUTED_VALUE"""),1.5112562E7)</f>
        <v>15112562</v>
      </c>
      <c r="I2084" s="148" t="str">
        <f>IFERROR(__xludf.DUMMYFUNCTION("""COMPUTED_VALUE"""),"{""typ"":""lc"",""txt"":""LC_ITEM_rss_upper_show"",""args"":[{""typ"":""int"",""val"":100}]}")</f>
        <v>{"typ":"lc","txt":"LC_ITEM_rss_upper_show","args":[{"typ":"int","val":100}]}</v>
      </c>
      <c r="J2084" s="148" t="str">
        <f>IFERROR(__xludf.DUMMYFUNCTION("""COMPUTED_VALUE"""),"{""typ"":""lc"",""txt"":""LC_METRO_uw_add_liquid_name"",""args"":[{""typ"":""int"",""val"":100}]}")</f>
        <v>{"typ":"lc","txt":"LC_METRO_uw_add_liquid_name","args":[{"typ":"int","val":100}]}</v>
      </c>
      <c r="K2084" s="148" t="str">
        <f>IFERROR(__xludf.DUMMYFUNCTION("""COMPUTED_VALUE"""),"{""typ"":""lc"",""txt"":""LC_METRO_uw_add_liquid_desc"",""args"":[{""typ"":""int"",""val"":100}]}")</f>
        <v>{"typ":"lc","txt":"LC_METRO_uw_add_liquid_desc","args":[{"typ":"int","val":100}]}</v>
      </c>
      <c r="L2084" s="148" t="str">
        <f>IFERROR(__xludf.DUMMYFUNCTION("""COMPUTED_VALUE"""),"{""typ"":""lc"",""txt"":""LC_METRO_uw_add_liquid_usedtip"",""args"":[{""typ"":""int"",""val"":100}]}")</f>
        <v>{"typ":"lc","txt":"LC_METRO_uw_add_liquid_usedtip","args":[{"typ":"int","val":100}]}</v>
      </c>
      <c r="M2084" s="148">
        <f>IFERROR(__xludf.DUMMYFUNCTION("""COMPUTED_VALUE"""),120.0)</f>
        <v>120</v>
      </c>
      <c r="N2084" s="148">
        <f>IFERROR(__xludf.DUMMYFUNCTION("""COMPUTED_VALUE"""),9.99999999E8)</f>
        <v>999999999</v>
      </c>
      <c r="O2084" s="148">
        <f>IFERROR(__xludf.DUMMYFUNCTION("""COMPUTED_VALUE"""),9.99999999E8)</f>
        <v>999999999</v>
      </c>
      <c r="P2084" s="148">
        <f>IFERROR(__xludf.DUMMYFUNCTION("""COMPUTED_VALUE"""),9.99999999E8)</f>
        <v>999999999</v>
      </c>
      <c r="Q2084" s="148" t="str">
        <f>IFERROR(__xludf.DUMMYFUNCTION("""COMPUTED_VALUE"""),"[]")</f>
        <v>[]</v>
      </c>
      <c r="R2084" s="148" t="str">
        <f>IFERROR(__xludf.DUMMYFUNCTION("""COMPUTED_VALUE"""),"[""rss_metro_liquid_uw""]")</f>
        <v>["rss_metro_liquid_uw"]</v>
      </c>
      <c r="S2084" s="148" t="str">
        <f>IFERROR(__xludf.DUMMYFUNCTION("""COMPUTED_VALUE"""),"{""effect"":[{""typ"":""rss"",""id"":11141015,""val"":100}]}")</f>
        <v>{"effect":[{"typ":"rss","id":11141015,"val":100}]}</v>
      </c>
      <c r="T2084" s="148">
        <f>IFERROR(__xludf.DUMMYFUNCTION("""COMPUTED_VALUE"""),-1.0)</f>
        <v>-1</v>
      </c>
      <c r="U2084" s="148">
        <f>IFERROR(__xludf.DUMMYFUNCTION("""COMPUTED_VALUE"""),1.0)</f>
        <v>1</v>
      </c>
      <c r="V2084" s="148" t="str">
        <f>IFERROR(__xludf.DUMMYFUNCTION("""COMPUTED_VALUE"""),"[]")</f>
        <v>[]</v>
      </c>
      <c r="W2084" s="148">
        <f>IFERROR(__xludf.DUMMYFUNCTION("""COMPUTED_VALUE"""),1.1740001E7)</f>
        <v>11740001</v>
      </c>
      <c r="X2084" s="148">
        <f>IFERROR(__xludf.DUMMYFUNCTION("""COMPUTED_VALUE"""),0.0)</f>
        <v>0</v>
      </c>
      <c r="Y2084" s="148">
        <f>IFERROR(__xludf.DUMMYFUNCTION("""COMPUTED_VALUE"""),0.0)</f>
        <v>0</v>
      </c>
      <c r="Z2084" s="148"/>
    </row>
    <row r="2085">
      <c r="A2085" s="148">
        <f>IFERROR(__xludf.DUMMYFUNCTION("""COMPUTED_VALUE"""),1.1118802E7)</f>
        <v>11118802</v>
      </c>
      <c r="B2085" s="148" t="str">
        <f>IFERROR(__xludf.DUMMYFUNCTION("""COMPUTED_VALUE"""),"地下世界-合成挖矿-研究药水（购买后变为rss）1000")</f>
        <v>地下世界-合成挖矿-研究药水（购买后变为rss）1000</v>
      </c>
      <c r="C2085" s="148"/>
      <c r="D2085" s="148" t="str">
        <f>IFERROR(__xludf.DUMMYFUNCTION("""COMPUTED_VALUE"""),"metro_minigame_rss_uw")</f>
        <v>metro_minigame_rss_uw</v>
      </c>
      <c r="E2085" s="148">
        <f>IFERROR(__xludf.DUMMYFUNCTION("""COMPUTED_VALUE"""),0.0)</f>
        <v>0</v>
      </c>
      <c r="F2085" s="148">
        <f>IFERROR(__xludf.DUMMYFUNCTION("""COMPUTED_VALUE"""),404302.0)</f>
        <v>404302</v>
      </c>
      <c r="G2085" s="148">
        <f>IFERROR(__xludf.DUMMYFUNCTION("""COMPUTED_VALUE"""),1.5117327E7)</f>
        <v>15117327</v>
      </c>
      <c r="H2085" s="148">
        <f>IFERROR(__xludf.DUMMYFUNCTION("""COMPUTED_VALUE"""),1.5112563E7)</f>
        <v>15112563</v>
      </c>
      <c r="I2085" s="148" t="str">
        <f>IFERROR(__xludf.DUMMYFUNCTION("""COMPUTED_VALUE"""),"{""typ"":""lc"",""txt"":""LC_ITEM_rss_upper_show"",""args"":[{""typ"":""int"",""val"":1000}]}")</f>
        <v>{"typ":"lc","txt":"LC_ITEM_rss_upper_show","args":[{"typ":"int","val":1000}]}</v>
      </c>
      <c r="J2085" s="148" t="str">
        <f>IFERROR(__xludf.DUMMYFUNCTION("""COMPUTED_VALUE"""),"{""typ"":""lc"",""txt"":""LC_METRO_uw_add_liquid_name"",""args"":[{""typ"":""int"",""val"":1000}]}")</f>
        <v>{"typ":"lc","txt":"LC_METRO_uw_add_liquid_name","args":[{"typ":"int","val":1000}]}</v>
      </c>
      <c r="K2085" s="148" t="str">
        <f>IFERROR(__xludf.DUMMYFUNCTION("""COMPUTED_VALUE"""),"{""typ"":""lc"",""txt"":""LC_METRO_uw_add_liquid_desc"",""args"":[{""typ"":""int"",""val"":1000}]}")</f>
        <v>{"typ":"lc","txt":"LC_METRO_uw_add_liquid_desc","args":[{"typ":"int","val":1000}]}</v>
      </c>
      <c r="L2085" s="148" t="str">
        <f>IFERROR(__xludf.DUMMYFUNCTION("""COMPUTED_VALUE"""),"{""typ"":""lc"",""txt"":""LC_METRO_uw_add_liquid_usedtip"",""args"":[{""typ"":""int"",""val"":1000}]}")</f>
        <v>{"typ":"lc","txt":"LC_METRO_uw_add_liquid_usedtip","args":[{"typ":"int","val":1000}]}</v>
      </c>
      <c r="M2085" s="148">
        <f>IFERROR(__xludf.DUMMYFUNCTION("""COMPUTED_VALUE"""),1000.0)</f>
        <v>1000</v>
      </c>
      <c r="N2085" s="148">
        <f>IFERROR(__xludf.DUMMYFUNCTION("""COMPUTED_VALUE"""),9.99999999E8)</f>
        <v>999999999</v>
      </c>
      <c r="O2085" s="148">
        <f>IFERROR(__xludf.DUMMYFUNCTION("""COMPUTED_VALUE"""),9.99999999E8)</f>
        <v>999999999</v>
      </c>
      <c r="P2085" s="148">
        <f>IFERROR(__xludf.DUMMYFUNCTION("""COMPUTED_VALUE"""),9.99999999E8)</f>
        <v>999999999</v>
      </c>
      <c r="Q2085" s="148" t="str">
        <f>IFERROR(__xludf.DUMMYFUNCTION("""COMPUTED_VALUE"""),"[]")</f>
        <v>[]</v>
      </c>
      <c r="R2085" s="148" t="str">
        <f>IFERROR(__xludf.DUMMYFUNCTION("""COMPUTED_VALUE"""),"[""rss_metro_liquid_uw""]")</f>
        <v>["rss_metro_liquid_uw"]</v>
      </c>
      <c r="S2085" s="148" t="str">
        <f>IFERROR(__xludf.DUMMYFUNCTION("""COMPUTED_VALUE"""),"{""effect"":[{""typ"":""rss"",""id"":11141015,""val"":1000}]}")</f>
        <v>{"effect":[{"typ":"rss","id":11141015,"val":1000}]}</v>
      </c>
      <c r="T2085" s="148">
        <f>IFERROR(__xludf.DUMMYFUNCTION("""COMPUTED_VALUE"""),-1.0)</f>
        <v>-1</v>
      </c>
      <c r="U2085" s="148">
        <f>IFERROR(__xludf.DUMMYFUNCTION("""COMPUTED_VALUE"""),1.0)</f>
        <v>1</v>
      </c>
      <c r="V2085" s="148" t="str">
        <f>IFERROR(__xludf.DUMMYFUNCTION("""COMPUTED_VALUE"""),"[]")</f>
        <v>[]</v>
      </c>
      <c r="W2085" s="148">
        <f>IFERROR(__xludf.DUMMYFUNCTION("""COMPUTED_VALUE"""),1.1740001E7)</f>
        <v>11740001</v>
      </c>
      <c r="X2085" s="148">
        <f>IFERROR(__xludf.DUMMYFUNCTION("""COMPUTED_VALUE"""),0.0)</f>
        <v>0</v>
      </c>
      <c r="Y2085" s="148">
        <f>IFERROR(__xludf.DUMMYFUNCTION("""COMPUTED_VALUE"""),0.0)</f>
        <v>0</v>
      </c>
      <c r="Z2085" s="148"/>
    </row>
    <row r="2086">
      <c r="A2086" s="148">
        <f>IFERROR(__xludf.DUMMYFUNCTION("""COMPUTED_VALUE"""),1.1118803E7)</f>
        <v>11118803</v>
      </c>
      <c r="B2086" s="148" t="str">
        <f>IFERROR(__xludf.DUMMYFUNCTION("""COMPUTED_VALUE"""),"地下世界-合成挖矿-研究药水（购买后变为rss）10000")</f>
        <v>地下世界-合成挖矿-研究药水（购买后变为rss）10000</v>
      </c>
      <c r="C2086" s="148"/>
      <c r="D2086" s="148" t="str">
        <f>IFERROR(__xludf.DUMMYFUNCTION("""COMPUTED_VALUE"""),"metro_minigame_rss_uw")</f>
        <v>metro_minigame_rss_uw</v>
      </c>
      <c r="E2086" s="148">
        <f>IFERROR(__xludf.DUMMYFUNCTION("""COMPUTED_VALUE"""),0.0)</f>
        <v>0</v>
      </c>
      <c r="F2086" s="148">
        <f>IFERROR(__xludf.DUMMYFUNCTION("""COMPUTED_VALUE"""),404303.0)</f>
        <v>404303</v>
      </c>
      <c r="G2086" s="148">
        <f>IFERROR(__xludf.DUMMYFUNCTION("""COMPUTED_VALUE"""),1.5117327E7)</f>
        <v>15117327</v>
      </c>
      <c r="H2086" s="148">
        <f>IFERROR(__xludf.DUMMYFUNCTION("""COMPUTED_VALUE"""),1.5112564E7)</f>
        <v>15112564</v>
      </c>
      <c r="I2086" s="148" t="str">
        <f>IFERROR(__xludf.DUMMYFUNCTION("""COMPUTED_VALUE"""),"{""typ"":""lc"",""txt"":""LC_ITEM_rss_upper_show"",""args"":[{""typ"":""int"",""val"":10000}]}")</f>
        <v>{"typ":"lc","txt":"LC_ITEM_rss_upper_show","args":[{"typ":"int","val":10000}]}</v>
      </c>
      <c r="J2086" s="148" t="str">
        <f>IFERROR(__xludf.DUMMYFUNCTION("""COMPUTED_VALUE"""),"{""typ"":""lc"",""txt"":""LC_METRO_uw_add_liquid_name"",""args"":[{""typ"":""int"",""val"":10000}]}")</f>
        <v>{"typ":"lc","txt":"LC_METRO_uw_add_liquid_name","args":[{"typ":"int","val":10000}]}</v>
      </c>
      <c r="K2086" s="148" t="str">
        <f>IFERROR(__xludf.DUMMYFUNCTION("""COMPUTED_VALUE"""),"{""typ"":""lc"",""txt"":""LC_METRO_uw_add_liquid_desc"",""args"":[{""typ"":""int"",""val"":10000}]}")</f>
        <v>{"typ":"lc","txt":"LC_METRO_uw_add_liquid_desc","args":[{"typ":"int","val":10000}]}</v>
      </c>
      <c r="L2086" s="148" t="str">
        <f>IFERROR(__xludf.DUMMYFUNCTION("""COMPUTED_VALUE"""),"{""typ"":""lc"",""txt"":""LC_METRO_uw_add_liquid_usedtip"",""args"":[{""typ"":""int"",""val"":10000}]}")</f>
        <v>{"typ":"lc","txt":"LC_METRO_uw_add_liquid_usedtip","args":[{"typ":"int","val":10000}]}</v>
      </c>
      <c r="M2086" s="148">
        <f>IFERROR(__xludf.DUMMYFUNCTION("""COMPUTED_VALUE"""),9000.0)</f>
        <v>9000</v>
      </c>
      <c r="N2086" s="148">
        <f>IFERROR(__xludf.DUMMYFUNCTION("""COMPUTED_VALUE"""),9.99999999E8)</f>
        <v>999999999</v>
      </c>
      <c r="O2086" s="148">
        <f>IFERROR(__xludf.DUMMYFUNCTION("""COMPUTED_VALUE"""),9.99999999E8)</f>
        <v>999999999</v>
      </c>
      <c r="P2086" s="148">
        <f>IFERROR(__xludf.DUMMYFUNCTION("""COMPUTED_VALUE"""),9.99999999E8)</f>
        <v>999999999</v>
      </c>
      <c r="Q2086" s="148" t="str">
        <f>IFERROR(__xludf.DUMMYFUNCTION("""COMPUTED_VALUE"""),"[]")</f>
        <v>[]</v>
      </c>
      <c r="R2086" s="148" t="str">
        <f>IFERROR(__xludf.DUMMYFUNCTION("""COMPUTED_VALUE"""),"[""rss_metro_liquid_uw""]")</f>
        <v>["rss_metro_liquid_uw"]</v>
      </c>
      <c r="S2086" s="148" t="str">
        <f>IFERROR(__xludf.DUMMYFUNCTION("""COMPUTED_VALUE"""),"{""effect"":[{""typ"":""rss"",""id"":11141015,""val"":10000}]}")</f>
        <v>{"effect":[{"typ":"rss","id":11141015,"val":10000}]}</v>
      </c>
      <c r="T2086" s="148">
        <f>IFERROR(__xludf.DUMMYFUNCTION("""COMPUTED_VALUE"""),-1.0)</f>
        <v>-1</v>
      </c>
      <c r="U2086" s="148">
        <f>IFERROR(__xludf.DUMMYFUNCTION("""COMPUTED_VALUE"""),1.0)</f>
        <v>1</v>
      </c>
      <c r="V2086" s="148" t="str">
        <f>IFERROR(__xludf.DUMMYFUNCTION("""COMPUTED_VALUE"""),"[]")</f>
        <v>[]</v>
      </c>
      <c r="W2086" s="148">
        <f>IFERROR(__xludf.DUMMYFUNCTION("""COMPUTED_VALUE"""),1.1740001E7)</f>
        <v>11740001</v>
      </c>
      <c r="X2086" s="148">
        <f>IFERROR(__xludf.DUMMYFUNCTION("""COMPUTED_VALUE"""),0.0)</f>
        <v>0</v>
      </c>
      <c r="Y2086" s="148">
        <f>IFERROR(__xludf.DUMMYFUNCTION("""COMPUTED_VALUE"""),0.0)</f>
        <v>0</v>
      </c>
      <c r="Z2086" s="148"/>
    </row>
    <row r="2087">
      <c r="A2087" s="148">
        <f>IFERROR(__xludf.DUMMYFUNCTION("""COMPUTED_VALUE"""),1.1118804E7)</f>
        <v>11118804</v>
      </c>
      <c r="B2087" s="148" t="str">
        <f>IFERROR(__xludf.DUMMYFUNCTION("""COMPUTED_VALUE"""),"酒馆登陆bp-自选-新人")</f>
        <v>酒馆登陆bp-自选-新人</v>
      </c>
      <c r="C2087" s="148"/>
      <c r="D2087" s="148" t="str">
        <f>IFERROR(__xludf.DUMMYFUNCTION("""COMPUTED_VALUE"""),"battle_pass_card")</f>
        <v>battle_pass_card</v>
      </c>
      <c r="E2087" s="148">
        <f>IFERROR(__xludf.DUMMYFUNCTION("""COMPUTED_VALUE"""),0.0)</f>
        <v>0</v>
      </c>
      <c r="F2087" s="148">
        <f>IFERROR(__xludf.DUMMYFUNCTION("""COMPUTED_VALUE"""),0.0)</f>
        <v>0</v>
      </c>
      <c r="G2087" s="148">
        <f>IFERROR(__xludf.DUMMYFUNCTION("""COMPUTED_VALUE"""),1.5119263E7)</f>
        <v>15119263</v>
      </c>
      <c r="H2087" s="148">
        <f>IFERROR(__xludf.DUMMYFUNCTION("""COMPUTED_VALUE"""),1.5112563E7)</f>
        <v>15112563</v>
      </c>
      <c r="I2087" s="148" t="str">
        <f>IFERROR(__xludf.DUMMYFUNCTION("""COMPUTED_VALUE"""),"{}")</f>
        <v>{}</v>
      </c>
      <c r="J2087" s="148" t="str">
        <f>IFERROR(__xludf.DUMMYFUNCTION("""COMPUTED_VALUE"""),"{""typ"":""lc"",""txt"":""LC_IAP_login_bp_advanced_pkg""}")</f>
        <v>{"typ":"lc","txt":"LC_IAP_login_bp_advanced_pkg"}</v>
      </c>
      <c r="K2087" s="148" t="str">
        <f>IFERROR(__xludf.DUMMYFUNCTION("""COMPUTED_VALUE"""),"{}")</f>
        <v>{}</v>
      </c>
      <c r="L2087" s="148" t="str">
        <f>IFERROR(__xludf.DUMMYFUNCTION("""COMPUTED_VALUE"""),"{}")</f>
        <v>{}</v>
      </c>
      <c r="M2087" s="148">
        <f>IFERROR(__xludf.DUMMYFUNCTION("""COMPUTED_VALUE"""),10.0)</f>
        <v>10</v>
      </c>
      <c r="N2087" s="148">
        <f>IFERROR(__xludf.DUMMYFUNCTION("""COMPUTED_VALUE"""),999999.0)</f>
        <v>999999</v>
      </c>
      <c r="O2087" s="148">
        <f>IFERROR(__xludf.DUMMYFUNCTION("""COMPUTED_VALUE"""),99999.0)</f>
        <v>99999</v>
      </c>
      <c r="P2087" s="148">
        <f>IFERROR(__xludf.DUMMYFUNCTION("""COMPUTED_VALUE"""),9999.0)</f>
        <v>9999</v>
      </c>
      <c r="Q2087" s="148" t="str">
        <f>IFERROR(__xludf.DUMMYFUNCTION("""COMPUTED_VALUE"""),"[]")</f>
        <v>[]</v>
      </c>
      <c r="R2087" s="148" t="str">
        <f>IFERROR(__xludf.DUMMYFUNCTION("""COMPUTED_VALUE"""),"[]")</f>
        <v>[]</v>
      </c>
      <c r="S2087" s="148" t="str">
        <f>IFERROR(__xludf.DUMMYFUNCTION("""COMPUTED_VALUE"""),"{}")</f>
        <v>{}</v>
      </c>
      <c r="T2087" s="148">
        <f>IFERROR(__xludf.DUMMYFUNCTION("""COMPUTED_VALUE"""),-1.0)</f>
        <v>-1</v>
      </c>
      <c r="U2087" s="148">
        <f>IFERROR(__xludf.DUMMYFUNCTION("""COMPUTED_VALUE"""),1.0)</f>
        <v>1</v>
      </c>
      <c r="V2087" s="148" t="str">
        <f>IFERROR(__xludf.DUMMYFUNCTION("""COMPUTED_VALUE"""),"[]")</f>
        <v>[]</v>
      </c>
      <c r="W2087" s="148">
        <f>IFERROR(__xludf.DUMMYFUNCTION("""COMPUTED_VALUE"""),1.174E7)</f>
        <v>11740000</v>
      </c>
      <c r="X2087" s="148">
        <f>IFERROR(__xludf.DUMMYFUNCTION("""COMPUTED_VALUE"""),0.0)</f>
        <v>0</v>
      </c>
      <c r="Y2087" s="148">
        <f>IFERROR(__xludf.DUMMYFUNCTION("""COMPUTED_VALUE"""),0.0)</f>
        <v>0</v>
      </c>
      <c r="Z2087" s="148"/>
    </row>
    <row r="2088">
      <c r="A2088" s="148">
        <f>IFERROR(__xludf.DUMMYFUNCTION("""COMPUTED_VALUE"""),1.1118805E7)</f>
        <v>11118805</v>
      </c>
      <c r="B2088" s="148" t="str">
        <f>IFERROR(__xludf.DUMMYFUNCTION("""COMPUTED_VALUE"""),"酒馆登陆bp-自选-收藏品")</f>
        <v>酒馆登陆bp-自选-收藏品</v>
      </c>
      <c r="C2088" s="148"/>
      <c r="D2088" s="148" t="str">
        <f>IFERROR(__xludf.DUMMYFUNCTION("""COMPUTED_VALUE"""),"battle_pass_card")</f>
        <v>battle_pass_card</v>
      </c>
      <c r="E2088" s="148">
        <f>IFERROR(__xludf.DUMMYFUNCTION("""COMPUTED_VALUE"""),0.0)</f>
        <v>0</v>
      </c>
      <c r="F2088" s="148">
        <f>IFERROR(__xludf.DUMMYFUNCTION("""COMPUTED_VALUE"""),0.0)</f>
        <v>0</v>
      </c>
      <c r="G2088" s="148">
        <f>IFERROR(__xludf.DUMMYFUNCTION("""COMPUTED_VALUE"""),1.5119263E7)</f>
        <v>15119263</v>
      </c>
      <c r="H2088" s="148">
        <f>IFERROR(__xludf.DUMMYFUNCTION("""COMPUTED_VALUE"""),1.5112563E7)</f>
        <v>15112563</v>
      </c>
      <c r="I2088" s="148" t="str">
        <f>IFERROR(__xludf.DUMMYFUNCTION("""COMPUTED_VALUE"""),"{}")</f>
        <v>{}</v>
      </c>
      <c r="J2088" s="148" t="str">
        <f>IFERROR(__xludf.DUMMYFUNCTION("""COMPUTED_VALUE"""),"{""typ"":""lc"",""txt"":""LC_IAP_login_bp_advanced_pkg""}")</f>
        <v>{"typ":"lc","txt":"LC_IAP_login_bp_advanced_pkg"}</v>
      </c>
      <c r="K2088" s="148" t="str">
        <f>IFERROR(__xludf.DUMMYFUNCTION("""COMPUTED_VALUE"""),"{}")</f>
        <v>{}</v>
      </c>
      <c r="L2088" s="148" t="str">
        <f>IFERROR(__xludf.DUMMYFUNCTION("""COMPUTED_VALUE"""),"{}")</f>
        <v>{}</v>
      </c>
      <c r="M2088" s="148">
        <f>IFERROR(__xludf.DUMMYFUNCTION("""COMPUTED_VALUE"""),10.0)</f>
        <v>10</v>
      </c>
      <c r="N2088" s="148">
        <f>IFERROR(__xludf.DUMMYFUNCTION("""COMPUTED_VALUE"""),999999.0)</f>
        <v>999999</v>
      </c>
      <c r="O2088" s="148">
        <f>IFERROR(__xludf.DUMMYFUNCTION("""COMPUTED_VALUE"""),99999.0)</f>
        <v>99999</v>
      </c>
      <c r="P2088" s="148">
        <f>IFERROR(__xludf.DUMMYFUNCTION("""COMPUTED_VALUE"""),9999.0)</f>
        <v>9999</v>
      </c>
      <c r="Q2088" s="148" t="str">
        <f>IFERROR(__xludf.DUMMYFUNCTION("""COMPUTED_VALUE"""),"[]")</f>
        <v>[]</v>
      </c>
      <c r="R2088" s="148" t="str">
        <f>IFERROR(__xludf.DUMMYFUNCTION("""COMPUTED_VALUE"""),"[]")</f>
        <v>[]</v>
      </c>
      <c r="S2088" s="148" t="str">
        <f>IFERROR(__xludf.DUMMYFUNCTION("""COMPUTED_VALUE"""),"{}")</f>
        <v>{}</v>
      </c>
      <c r="T2088" s="148">
        <f>IFERROR(__xludf.DUMMYFUNCTION("""COMPUTED_VALUE"""),-1.0)</f>
        <v>-1</v>
      </c>
      <c r="U2088" s="148">
        <f>IFERROR(__xludf.DUMMYFUNCTION("""COMPUTED_VALUE"""),1.0)</f>
        <v>1</v>
      </c>
      <c r="V2088" s="148" t="str">
        <f>IFERROR(__xludf.DUMMYFUNCTION("""COMPUTED_VALUE"""),"[]")</f>
        <v>[]</v>
      </c>
      <c r="W2088" s="148">
        <f>IFERROR(__xludf.DUMMYFUNCTION("""COMPUTED_VALUE"""),1.174E7)</f>
        <v>11740000</v>
      </c>
      <c r="X2088" s="148">
        <f>IFERROR(__xludf.DUMMYFUNCTION("""COMPUTED_VALUE"""),0.0)</f>
        <v>0</v>
      </c>
      <c r="Y2088" s="148">
        <f>IFERROR(__xludf.DUMMYFUNCTION("""COMPUTED_VALUE"""),0.0)</f>
        <v>0</v>
      </c>
      <c r="Z2088" s="148"/>
    </row>
    <row r="2089">
      <c r="A2089" s="148">
        <f>IFERROR(__xludf.DUMMYFUNCTION("""COMPUTED_VALUE"""),1.1118806E7)</f>
        <v>11118806</v>
      </c>
      <c r="B2089" s="148" t="str">
        <f>IFERROR(__xludf.DUMMYFUNCTION("""COMPUTED_VALUE"""),"酒馆登陆bp-自选-英雄")</f>
        <v>酒馆登陆bp-自选-英雄</v>
      </c>
      <c r="C2089" s="148"/>
      <c r="D2089" s="148" t="str">
        <f>IFERROR(__xludf.DUMMYFUNCTION("""COMPUTED_VALUE"""),"battle_pass_card")</f>
        <v>battle_pass_card</v>
      </c>
      <c r="E2089" s="148">
        <f>IFERROR(__xludf.DUMMYFUNCTION("""COMPUTED_VALUE"""),0.0)</f>
        <v>0</v>
      </c>
      <c r="F2089" s="148">
        <f>IFERROR(__xludf.DUMMYFUNCTION("""COMPUTED_VALUE"""),0.0)</f>
        <v>0</v>
      </c>
      <c r="G2089" s="148">
        <f>IFERROR(__xludf.DUMMYFUNCTION("""COMPUTED_VALUE"""),1.5119263E7)</f>
        <v>15119263</v>
      </c>
      <c r="H2089" s="148">
        <f>IFERROR(__xludf.DUMMYFUNCTION("""COMPUTED_VALUE"""),1.5112563E7)</f>
        <v>15112563</v>
      </c>
      <c r="I2089" s="148" t="str">
        <f>IFERROR(__xludf.DUMMYFUNCTION("""COMPUTED_VALUE"""),"{}")</f>
        <v>{}</v>
      </c>
      <c r="J2089" s="148" t="str">
        <f>IFERROR(__xludf.DUMMYFUNCTION("""COMPUTED_VALUE"""),"{""typ"":""lc"",""txt"":""LC_IAP_login_bp_advanced_pkg_hero""}")</f>
        <v>{"typ":"lc","txt":"LC_IAP_login_bp_advanced_pkg_hero"}</v>
      </c>
      <c r="K2089" s="148" t="str">
        <f>IFERROR(__xludf.DUMMYFUNCTION("""COMPUTED_VALUE"""),"{""typ"":""lc"",""txt"":""LC_IAP_login_bp_advanced_pkg_hero_desc""}")</f>
        <v>{"typ":"lc","txt":"LC_IAP_login_bp_advanced_pkg_hero_desc"}</v>
      </c>
      <c r="L2089" s="148" t="str">
        <f>IFERROR(__xludf.DUMMYFUNCTION("""COMPUTED_VALUE"""),"{}")</f>
        <v>{}</v>
      </c>
      <c r="M2089" s="148">
        <f>IFERROR(__xludf.DUMMYFUNCTION("""COMPUTED_VALUE"""),10.0)</f>
        <v>10</v>
      </c>
      <c r="N2089" s="148">
        <f>IFERROR(__xludf.DUMMYFUNCTION("""COMPUTED_VALUE"""),999999.0)</f>
        <v>999999</v>
      </c>
      <c r="O2089" s="148">
        <f>IFERROR(__xludf.DUMMYFUNCTION("""COMPUTED_VALUE"""),99999.0)</f>
        <v>99999</v>
      </c>
      <c r="P2089" s="148">
        <f>IFERROR(__xludf.DUMMYFUNCTION("""COMPUTED_VALUE"""),9999.0)</f>
        <v>9999</v>
      </c>
      <c r="Q2089" s="148" t="str">
        <f>IFERROR(__xludf.DUMMYFUNCTION("""COMPUTED_VALUE"""),"[]")</f>
        <v>[]</v>
      </c>
      <c r="R2089" s="148" t="str">
        <f>IFERROR(__xludf.DUMMYFUNCTION("""COMPUTED_VALUE"""),"[]")</f>
        <v>[]</v>
      </c>
      <c r="S2089" s="148" t="str">
        <f>IFERROR(__xludf.DUMMYFUNCTION("""COMPUTED_VALUE"""),"{}")</f>
        <v>{}</v>
      </c>
      <c r="T2089" s="148">
        <f>IFERROR(__xludf.DUMMYFUNCTION("""COMPUTED_VALUE"""),-1.0)</f>
        <v>-1</v>
      </c>
      <c r="U2089" s="148">
        <f>IFERROR(__xludf.DUMMYFUNCTION("""COMPUTED_VALUE"""),1.0)</f>
        <v>1</v>
      </c>
      <c r="V2089" s="148" t="str">
        <f>IFERROR(__xludf.DUMMYFUNCTION("""COMPUTED_VALUE"""),"[]")</f>
        <v>[]</v>
      </c>
      <c r="W2089" s="148">
        <f>IFERROR(__xludf.DUMMYFUNCTION("""COMPUTED_VALUE"""),1.174E7)</f>
        <v>11740000</v>
      </c>
      <c r="X2089" s="148">
        <f>IFERROR(__xludf.DUMMYFUNCTION("""COMPUTED_VALUE"""),0.0)</f>
        <v>0</v>
      </c>
      <c r="Y2089" s="148">
        <f>IFERROR(__xludf.DUMMYFUNCTION("""COMPUTED_VALUE"""),0.0)</f>
        <v>0</v>
      </c>
      <c r="Z2089" s="148"/>
    </row>
    <row r="2090">
      <c r="A2090" s="148">
        <f>IFERROR(__xludf.DUMMYFUNCTION("""COMPUTED_VALUE"""),1.1118807E7)</f>
        <v>11118807</v>
      </c>
      <c r="B2090" s="148" t="str">
        <f>IFERROR(__xludf.DUMMYFUNCTION("""COMPUTED_VALUE"""),"酒馆登陆bp-自选-军备")</f>
        <v>酒馆登陆bp-自选-军备</v>
      </c>
      <c r="C2090" s="148"/>
      <c r="D2090" s="148" t="str">
        <f>IFERROR(__xludf.DUMMYFUNCTION("""COMPUTED_VALUE"""),"battle_pass_card")</f>
        <v>battle_pass_card</v>
      </c>
      <c r="E2090" s="148">
        <f>IFERROR(__xludf.DUMMYFUNCTION("""COMPUTED_VALUE"""),0.0)</f>
        <v>0</v>
      </c>
      <c r="F2090" s="148">
        <f>IFERROR(__xludf.DUMMYFUNCTION("""COMPUTED_VALUE"""),0.0)</f>
        <v>0</v>
      </c>
      <c r="G2090" s="148">
        <f>IFERROR(__xludf.DUMMYFUNCTION("""COMPUTED_VALUE"""),1.5119263E7)</f>
        <v>15119263</v>
      </c>
      <c r="H2090" s="148">
        <f>IFERROR(__xludf.DUMMYFUNCTION("""COMPUTED_VALUE"""),1.5112563E7)</f>
        <v>15112563</v>
      </c>
      <c r="I2090" s="148" t="str">
        <f>IFERROR(__xludf.DUMMYFUNCTION("""COMPUTED_VALUE"""),"{}")</f>
        <v>{}</v>
      </c>
      <c r="J2090" s="148" t="str">
        <f>IFERROR(__xludf.DUMMYFUNCTION("""COMPUTED_VALUE"""),"{""typ"":""lc"",""txt"":""LC_IAP_login_bp_advanced_pkg""}")</f>
        <v>{"typ":"lc","txt":"LC_IAP_login_bp_advanced_pkg"}</v>
      </c>
      <c r="K2090" s="148" t="str">
        <f>IFERROR(__xludf.DUMMYFUNCTION("""COMPUTED_VALUE"""),"{}")</f>
        <v>{}</v>
      </c>
      <c r="L2090" s="148" t="str">
        <f>IFERROR(__xludf.DUMMYFUNCTION("""COMPUTED_VALUE"""),"{}")</f>
        <v>{}</v>
      </c>
      <c r="M2090" s="148">
        <f>IFERROR(__xludf.DUMMYFUNCTION("""COMPUTED_VALUE"""),10.0)</f>
        <v>10</v>
      </c>
      <c r="N2090" s="148">
        <f>IFERROR(__xludf.DUMMYFUNCTION("""COMPUTED_VALUE"""),999999.0)</f>
        <v>999999</v>
      </c>
      <c r="O2090" s="148">
        <f>IFERROR(__xludf.DUMMYFUNCTION("""COMPUTED_VALUE"""),99999.0)</f>
        <v>99999</v>
      </c>
      <c r="P2090" s="148">
        <f>IFERROR(__xludf.DUMMYFUNCTION("""COMPUTED_VALUE"""),9999.0)</f>
        <v>9999</v>
      </c>
      <c r="Q2090" s="148" t="str">
        <f>IFERROR(__xludf.DUMMYFUNCTION("""COMPUTED_VALUE"""),"[]")</f>
        <v>[]</v>
      </c>
      <c r="R2090" s="148" t="str">
        <f>IFERROR(__xludf.DUMMYFUNCTION("""COMPUTED_VALUE"""),"[]")</f>
        <v>[]</v>
      </c>
      <c r="S2090" s="148" t="str">
        <f>IFERROR(__xludf.DUMMYFUNCTION("""COMPUTED_VALUE"""),"{}")</f>
        <v>{}</v>
      </c>
      <c r="T2090" s="148">
        <f>IFERROR(__xludf.DUMMYFUNCTION("""COMPUTED_VALUE"""),-1.0)</f>
        <v>-1</v>
      </c>
      <c r="U2090" s="148">
        <f>IFERROR(__xludf.DUMMYFUNCTION("""COMPUTED_VALUE"""),1.0)</f>
        <v>1</v>
      </c>
      <c r="V2090" s="148" t="str">
        <f>IFERROR(__xludf.DUMMYFUNCTION("""COMPUTED_VALUE"""),"[]")</f>
        <v>[]</v>
      </c>
      <c r="W2090" s="148">
        <f>IFERROR(__xludf.DUMMYFUNCTION("""COMPUTED_VALUE"""),1.174E7)</f>
        <v>11740000</v>
      </c>
      <c r="X2090" s="148">
        <f>IFERROR(__xludf.DUMMYFUNCTION("""COMPUTED_VALUE"""),0.0)</f>
        <v>0</v>
      </c>
      <c r="Y2090" s="148">
        <f>IFERROR(__xludf.DUMMYFUNCTION("""COMPUTED_VALUE"""),0.0)</f>
        <v>0</v>
      </c>
      <c r="Z2090" s="148"/>
    </row>
    <row r="2091">
      <c r="A2091" s="148">
        <f>IFERROR(__xludf.DUMMYFUNCTION("""COMPUTED_VALUE"""),1.1118808E7)</f>
        <v>11118808</v>
      </c>
      <c r="B2091" s="148" t="str">
        <f>IFERROR(__xludf.DUMMYFUNCTION("""COMPUTED_VALUE"""),"酒馆登陆bp-自选-装备")</f>
        <v>酒馆登陆bp-自选-装备</v>
      </c>
      <c r="C2091" s="148"/>
      <c r="D2091" s="148" t="str">
        <f>IFERROR(__xludf.DUMMYFUNCTION("""COMPUTED_VALUE"""),"battle_pass_card")</f>
        <v>battle_pass_card</v>
      </c>
      <c r="E2091" s="148">
        <f>IFERROR(__xludf.DUMMYFUNCTION("""COMPUTED_VALUE"""),0.0)</f>
        <v>0</v>
      </c>
      <c r="F2091" s="148">
        <f>IFERROR(__xludf.DUMMYFUNCTION("""COMPUTED_VALUE"""),0.0)</f>
        <v>0</v>
      </c>
      <c r="G2091" s="148">
        <f>IFERROR(__xludf.DUMMYFUNCTION("""COMPUTED_VALUE"""),1.5119263E7)</f>
        <v>15119263</v>
      </c>
      <c r="H2091" s="148">
        <f>IFERROR(__xludf.DUMMYFUNCTION("""COMPUTED_VALUE"""),1.5112563E7)</f>
        <v>15112563</v>
      </c>
      <c r="I2091" s="148" t="str">
        <f>IFERROR(__xludf.DUMMYFUNCTION("""COMPUTED_VALUE"""),"{}")</f>
        <v>{}</v>
      </c>
      <c r="J2091" s="148" t="str">
        <f>IFERROR(__xludf.DUMMYFUNCTION("""COMPUTED_VALUE"""),"{""typ"":""lc"",""txt"":""LC_IAP_login_bp_advanced_pkg""}")</f>
        <v>{"typ":"lc","txt":"LC_IAP_login_bp_advanced_pkg"}</v>
      </c>
      <c r="K2091" s="148" t="str">
        <f>IFERROR(__xludf.DUMMYFUNCTION("""COMPUTED_VALUE"""),"{}")</f>
        <v>{}</v>
      </c>
      <c r="L2091" s="148" t="str">
        <f>IFERROR(__xludf.DUMMYFUNCTION("""COMPUTED_VALUE"""),"{}")</f>
        <v>{}</v>
      </c>
      <c r="M2091" s="148">
        <f>IFERROR(__xludf.DUMMYFUNCTION("""COMPUTED_VALUE"""),10.0)</f>
        <v>10</v>
      </c>
      <c r="N2091" s="148">
        <f>IFERROR(__xludf.DUMMYFUNCTION("""COMPUTED_VALUE"""),999999.0)</f>
        <v>999999</v>
      </c>
      <c r="O2091" s="148">
        <f>IFERROR(__xludf.DUMMYFUNCTION("""COMPUTED_VALUE"""),99999.0)</f>
        <v>99999</v>
      </c>
      <c r="P2091" s="148">
        <f>IFERROR(__xludf.DUMMYFUNCTION("""COMPUTED_VALUE"""),9999.0)</f>
        <v>9999</v>
      </c>
      <c r="Q2091" s="148" t="str">
        <f>IFERROR(__xludf.DUMMYFUNCTION("""COMPUTED_VALUE"""),"[]")</f>
        <v>[]</v>
      </c>
      <c r="R2091" s="148" t="str">
        <f>IFERROR(__xludf.DUMMYFUNCTION("""COMPUTED_VALUE"""),"[]")</f>
        <v>[]</v>
      </c>
      <c r="S2091" s="148" t="str">
        <f>IFERROR(__xludf.DUMMYFUNCTION("""COMPUTED_VALUE"""),"{}")</f>
        <v>{}</v>
      </c>
      <c r="T2091" s="148">
        <f>IFERROR(__xludf.DUMMYFUNCTION("""COMPUTED_VALUE"""),-1.0)</f>
        <v>-1</v>
      </c>
      <c r="U2091" s="148">
        <f>IFERROR(__xludf.DUMMYFUNCTION("""COMPUTED_VALUE"""),1.0)</f>
        <v>1</v>
      </c>
      <c r="V2091" s="148" t="str">
        <f>IFERROR(__xludf.DUMMYFUNCTION("""COMPUTED_VALUE"""),"[]")</f>
        <v>[]</v>
      </c>
      <c r="W2091" s="148">
        <f>IFERROR(__xludf.DUMMYFUNCTION("""COMPUTED_VALUE"""),1.174E7)</f>
        <v>11740000</v>
      </c>
      <c r="X2091" s="148">
        <f>IFERROR(__xludf.DUMMYFUNCTION("""COMPUTED_VALUE"""),0.0)</f>
        <v>0</v>
      </c>
      <c r="Y2091" s="148">
        <f>IFERROR(__xludf.DUMMYFUNCTION("""COMPUTED_VALUE"""),0.0)</f>
        <v>0</v>
      </c>
      <c r="Z2091" s="148"/>
    </row>
    <row r="2092">
      <c r="A2092" s="148">
        <f>IFERROR(__xludf.DUMMYFUNCTION("""COMPUTED_VALUE"""),1.1118809E7)</f>
        <v>11118809</v>
      </c>
      <c r="B2092" s="148" t="str">
        <f>IFERROR(__xludf.DUMMYFUNCTION("""COMPUTED_VALUE"""),"精英竞技场巅峰赛鲜花")</f>
        <v>精英竞技场巅峰赛鲜花</v>
      </c>
      <c r="C2092" s="148"/>
      <c r="D2092" s="148" t="str">
        <f>IFERROR(__xludf.DUMMYFUNCTION("""COMPUTED_VALUE"""),"elite_arena_competition_supportitem")</f>
        <v>elite_arena_competition_supportitem</v>
      </c>
      <c r="E2092" s="148">
        <f>IFERROR(__xludf.DUMMYFUNCTION("""COMPUTED_VALUE"""),0.0)</f>
        <v>0</v>
      </c>
      <c r="F2092" s="148">
        <f>IFERROR(__xludf.DUMMYFUNCTION("""COMPUTED_VALUE"""),201101.0)</f>
        <v>201101</v>
      </c>
      <c r="G2092" s="148">
        <f>IFERROR(__xludf.DUMMYFUNCTION("""COMPUTED_VALUE"""),1.5119735E7)</f>
        <v>15119735</v>
      </c>
      <c r="H2092" s="148">
        <f>IFERROR(__xludf.DUMMYFUNCTION("""COMPUTED_VALUE"""),1.5112562E7)</f>
        <v>15112562</v>
      </c>
      <c r="I2092" s="148" t="str">
        <f>IFERROR(__xludf.DUMMYFUNCTION("""COMPUTED_VALUE"""),"{}")</f>
        <v>{}</v>
      </c>
      <c r="J2092" s="148" t="str">
        <f>IFERROR(__xludf.DUMMYFUNCTION("""COMPUTED_VALUE"""),"{""typ"":""lc"",""txt"":""LC_ITEM_elite_arena_competition_supportitem_name""}")</f>
        <v>{"typ":"lc","txt":"LC_ITEM_elite_arena_competition_supportitem_name"}</v>
      </c>
      <c r="K2092" s="148" t="str">
        <f>IFERROR(__xludf.DUMMYFUNCTION("""COMPUTED_VALUE"""),"{""typ"":""lc"",""txt"":""LC_ITEM_elite_arena_competition_supportitem_desc""}")</f>
        <v>{"typ":"lc","txt":"LC_ITEM_elite_arena_competition_supportitem_desc"}</v>
      </c>
      <c r="L2092" s="148" t="str">
        <f>IFERROR(__xludf.DUMMYFUNCTION("""COMPUTED_VALUE"""),"{}")</f>
        <v>{}</v>
      </c>
      <c r="M2092" s="148">
        <f>IFERROR(__xludf.DUMMYFUNCTION("""COMPUTED_VALUE"""),1.0)</f>
        <v>1</v>
      </c>
      <c r="N2092" s="148">
        <f>IFERROR(__xludf.DUMMYFUNCTION("""COMPUTED_VALUE"""),999999.0)</f>
        <v>999999</v>
      </c>
      <c r="O2092" s="148">
        <f>IFERROR(__xludf.DUMMYFUNCTION("""COMPUTED_VALUE"""),99999.0)</f>
        <v>99999</v>
      </c>
      <c r="P2092" s="148">
        <f>IFERROR(__xludf.DUMMYFUNCTION("""COMPUTED_VALUE"""),99999.0)</f>
        <v>99999</v>
      </c>
      <c r="Q2092" s="148" t="str">
        <f>IFERROR(__xludf.DUMMYFUNCTION("""COMPUTED_VALUE"""),"[""bag_other""]")</f>
        <v>["bag_other"]</v>
      </c>
      <c r="R2092" s="148" t="str">
        <f>IFERROR(__xludf.DUMMYFUNCTION("""COMPUTED_VALUE"""),"[]")</f>
        <v>[]</v>
      </c>
      <c r="S2092" s="148" t="str">
        <f>IFERROR(__xludf.DUMMYFUNCTION("""COMPUTED_VALUE"""),"{""drop"":{""typ"":""single_random"",""num"":2,""args"":[{""typ"":""item"",""id"":11114328,""num"":3,""wgt"":7000},{""typ"":""item"",""id"":11114331,""num"":1,""wgt"":10000},{""typ"":""item"",""id"":11116002,""num"":1,""wgt"":5000},{""typ"":""item"",""id"&amp;""":11116003,""num"":1,""wgt"":2000},{""typ"":""item"",""id"":11117068,""num"":2,""wgt"":1000},{""typ"":""item"",""id"":11117422,""num"":2,""wgt"":1000},{""typ"":""item"",""id"":11116401,""num"":1,""wgt"":100}]}}")</f>
        <v>{"drop":{"typ":"single_random","num":2,"args":[{"typ":"item","id":11114328,"num":3,"wgt":7000},{"typ":"item","id":11114331,"num":1,"wgt":10000},{"typ":"item","id":11116002,"num":1,"wgt":5000},{"typ":"item","id":11116003,"num":1,"wgt":2000},{"typ":"item","id":11117068,"num":2,"wgt":1000},{"typ":"item","id":11117422,"num":2,"wgt":1000},{"typ":"item","id":11116401,"num":1,"wgt":100}]}}</v>
      </c>
      <c r="T2092" s="148">
        <f>IFERROR(__xludf.DUMMYFUNCTION("""COMPUTED_VALUE"""),-1.0)</f>
        <v>-1</v>
      </c>
      <c r="U2092" s="148">
        <f>IFERROR(__xludf.DUMMYFUNCTION("""COMPUTED_VALUE"""),0.0)</f>
        <v>0</v>
      </c>
      <c r="V2092" s="148" t="str">
        <f>IFERROR(__xludf.DUMMYFUNCTION("""COMPUTED_VALUE"""),"[]")</f>
        <v>[]</v>
      </c>
      <c r="W2092" s="148">
        <f>IFERROR(__xludf.DUMMYFUNCTION("""COMPUTED_VALUE"""),1.174E7)</f>
        <v>11740000</v>
      </c>
      <c r="X2092" s="148">
        <f>IFERROR(__xludf.DUMMYFUNCTION("""COMPUTED_VALUE"""),0.0)</f>
        <v>0</v>
      </c>
      <c r="Y2092" s="148">
        <f>IFERROR(__xludf.DUMMYFUNCTION("""COMPUTED_VALUE"""),0.0)</f>
        <v>0</v>
      </c>
      <c r="Z2092" s="148"/>
    </row>
    <row r="2093">
      <c r="A2093" s="148">
        <f>IFERROR(__xludf.DUMMYFUNCTION("""COMPUTED_VALUE"""),1.111881E7)</f>
        <v>11118810</v>
      </c>
      <c r="B2093" s="148" t="str">
        <f>IFERROR(__xludf.DUMMYFUNCTION("""COMPUTED_VALUE"""),"头像框：巅峰赛冠军")</f>
        <v>头像框：巅峰赛冠军</v>
      </c>
      <c r="C2093" s="148"/>
      <c r="D2093" s="148" t="str">
        <f>IFERROR(__xludf.DUMMYFUNCTION("""COMPUTED_VALUE"""),"avatar_frame")</f>
        <v>avatar_frame</v>
      </c>
      <c r="E2093" s="148">
        <f>IFERROR(__xludf.DUMMYFUNCTION("""COMPUTED_VALUE"""),20.0)</f>
        <v>20</v>
      </c>
      <c r="F2093" s="148">
        <f>IFERROR(__xludf.DUMMYFUNCTION("""COMPUTED_VALUE"""),0.0)</f>
        <v>0</v>
      </c>
      <c r="G2093" s="148">
        <f>IFERROR(__xludf.DUMMYFUNCTION("""COMPUTED_VALUE"""),1.5117709E7)</f>
        <v>15117709</v>
      </c>
      <c r="H2093" s="148">
        <f>IFERROR(__xludf.DUMMYFUNCTION("""COMPUTED_VALUE"""),1.5112564E7)</f>
        <v>15112564</v>
      </c>
      <c r="I2093" s="148" t="str">
        <f>IFERROR(__xludf.DUMMYFUNCTION("""COMPUTED_VALUE"""),"{""typ"":""lc"",""txt"":""LC_ITEM_time_day_upper_show"",""args"":[{""typ"":""int"",""val"":30}]}")</f>
        <v>{"typ":"lc","txt":"LC_ITEM_time_day_upper_show","args":[{"typ":"int","val":30}]}</v>
      </c>
      <c r="J2093" s="148" t="str">
        <f>IFERROR(__xludf.DUMMYFUNCTION("""COMPUTED_VALUE"""),"{""typ"":""lc"",""txt"":""LC_ASSET_avatar_frame_name_33""}")</f>
        <v>{"typ":"lc","txt":"LC_ASSET_avatar_frame_name_33"}</v>
      </c>
      <c r="K2093" s="148" t="str">
        <f>IFERROR(__xludf.DUMMYFUNCTION("""COMPUTED_VALUE"""),"{""typ"":""lc"",""txt"":""LC_ASSET_avatar_frame_desc_33""}")</f>
        <v>{"typ":"lc","txt":"LC_ASSET_avatar_frame_desc_33"}</v>
      </c>
      <c r="L2093" s="148" t="str">
        <f>IFERROR(__xludf.DUMMYFUNCTION("""COMPUTED_VALUE"""),"{}")</f>
        <v>{}</v>
      </c>
      <c r="M2093" s="148">
        <f>IFERROR(__xludf.DUMMYFUNCTION("""COMPUTED_VALUE"""),1000.0)</f>
        <v>1000</v>
      </c>
      <c r="N2093" s="148">
        <f>IFERROR(__xludf.DUMMYFUNCTION("""COMPUTED_VALUE"""),99.0)</f>
        <v>99</v>
      </c>
      <c r="O2093" s="148">
        <f>IFERROR(__xludf.DUMMYFUNCTION("""COMPUTED_VALUE"""),1.0)</f>
        <v>1</v>
      </c>
      <c r="P2093" s="148">
        <f>IFERROR(__xludf.DUMMYFUNCTION("""COMPUTED_VALUE"""),1.0)</f>
        <v>1</v>
      </c>
      <c r="Q2093" s="148" t="str">
        <f>IFERROR(__xludf.DUMMYFUNCTION("""COMPUTED_VALUE"""),"[]")</f>
        <v>[]</v>
      </c>
      <c r="R2093" s="148" t="str">
        <f>IFERROR(__xludf.DUMMYFUNCTION("""COMPUTED_VALUE"""),"[""11421033""]")</f>
        <v>["11421033"]</v>
      </c>
      <c r="S2093" s="148" t="str">
        <f>IFERROR(__xludf.DUMMYFUNCTION("""COMPUTED_VALUE"""),"{""effect"":[{""typ"":""avatar_frame"",""id"":11421033,""val"":2592000000}]}")</f>
        <v>{"effect":[{"typ":"avatar_frame","id":11421033,"val":2592000000}]}</v>
      </c>
      <c r="T2093" s="148">
        <f>IFERROR(__xludf.DUMMYFUNCTION("""COMPUTED_VALUE"""),-1.0)</f>
        <v>-1</v>
      </c>
      <c r="U2093" s="148">
        <f>IFERROR(__xludf.DUMMYFUNCTION("""COMPUTED_VALUE"""),1.0)</f>
        <v>1</v>
      </c>
      <c r="V2093" s="148" t="str">
        <f>IFERROR(__xludf.DUMMYFUNCTION("""COMPUTED_VALUE"""),"[]")</f>
        <v>[]</v>
      </c>
      <c r="W2093" s="148">
        <f>IFERROR(__xludf.DUMMYFUNCTION("""COMPUTED_VALUE"""),1.174E7)</f>
        <v>11740000</v>
      </c>
      <c r="X2093" s="148">
        <f>IFERROR(__xludf.DUMMYFUNCTION("""COMPUTED_VALUE"""),0.0)</f>
        <v>0</v>
      </c>
      <c r="Y2093" s="148">
        <f>IFERROR(__xludf.DUMMYFUNCTION("""COMPUTED_VALUE"""),0.0)</f>
        <v>0</v>
      </c>
      <c r="Z2093" s="148"/>
    </row>
    <row r="2094">
      <c r="A2094" s="148">
        <f>IFERROR(__xludf.DUMMYFUNCTION("""COMPUTED_VALUE"""),1.1118811E7)</f>
        <v>11118811</v>
      </c>
      <c r="B2094" s="148" t="str">
        <f>IFERROR(__xludf.DUMMYFUNCTION("""COMPUTED_VALUE"""),"头像框：巅峰赛四强")</f>
        <v>头像框：巅峰赛四强</v>
      </c>
      <c r="C2094" s="148"/>
      <c r="D2094" s="148" t="str">
        <f>IFERROR(__xludf.DUMMYFUNCTION("""COMPUTED_VALUE"""),"avatar_frame")</f>
        <v>avatar_frame</v>
      </c>
      <c r="E2094" s="148">
        <f>IFERROR(__xludf.DUMMYFUNCTION("""COMPUTED_VALUE"""),20.0)</f>
        <v>20</v>
      </c>
      <c r="F2094" s="148">
        <f>IFERROR(__xludf.DUMMYFUNCTION("""COMPUTED_VALUE"""),0.0)</f>
        <v>0</v>
      </c>
      <c r="G2094" s="148">
        <f>IFERROR(__xludf.DUMMYFUNCTION("""COMPUTED_VALUE"""),1.511771E7)</f>
        <v>15117710</v>
      </c>
      <c r="H2094" s="148">
        <f>IFERROR(__xludf.DUMMYFUNCTION("""COMPUTED_VALUE"""),1.5112563E7)</f>
        <v>15112563</v>
      </c>
      <c r="I2094" s="148" t="str">
        <f>IFERROR(__xludf.DUMMYFUNCTION("""COMPUTED_VALUE"""),"{""typ"":""lc"",""txt"":""LC_ITEM_time_day_upper_show"",""args"":[{""typ"":""int"",""val"":30}]}")</f>
        <v>{"typ":"lc","txt":"LC_ITEM_time_day_upper_show","args":[{"typ":"int","val":30}]}</v>
      </c>
      <c r="J2094" s="148" t="str">
        <f>IFERROR(__xludf.DUMMYFUNCTION("""COMPUTED_VALUE"""),"{""typ"":""lc"",""txt"":""LC_ASSET_avatar_frame_name_34""}")</f>
        <v>{"typ":"lc","txt":"LC_ASSET_avatar_frame_name_34"}</v>
      </c>
      <c r="K2094" s="148" t="str">
        <f>IFERROR(__xludf.DUMMYFUNCTION("""COMPUTED_VALUE"""),"{""typ"":""lc"",""txt"":""LC_ASSET_avatar_frame_desc_33""}")</f>
        <v>{"typ":"lc","txt":"LC_ASSET_avatar_frame_desc_33"}</v>
      </c>
      <c r="L2094" s="148" t="str">
        <f>IFERROR(__xludf.DUMMYFUNCTION("""COMPUTED_VALUE"""),"{}")</f>
        <v>{}</v>
      </c>
      <c r="M2094" s="148">
        <f>IFERROR(__xludf.DUMMYFUNCTION("""COMPUTED_VALUE"""),1000.0)</f>
        <v>1000</v>
      </c>
      <c r="N2094" s="148">
        <f>IFERROR(__xludf.DUMMYFUNCTION("""COMPUTED_VALUE"""),99.0)</f>
        <v>99</v>
      </c>
      <c r="O2094" s="148">
        <f>IFERROR(__xludf.DUMMYFUNCTION("""COMPUTED_VALUE"""),1.0)</f>
        <v>1</v>
      </c>
      <c r="P2094" s="148">
        <f>IFERROR(__xludf.DUMMYFUNCTION("""COMPUTED_VALUE"""),1.0)</f>
        <v>1</v>
      </c>
      <c r="Q2094" s="148" t="str">
        <f>IFERROR(__xludf.DUMMYFUNCTION("""COMPUTED_VALUE"""),"[]")</f>
        <v>[]</v>
      </c>
      <c r="R2094" s="148" t="str">
        <f>IFERROR(__xludf.DUMMYFUNCTION("""COMPUTED_VALUE"""),"[""11421034""]")</f>
        <v>["11421034"]</v>
      </c>
      <c r="S2094" s="148" t="str">
        <f>IFERROR(__xludf.DUMMYFUNCTION("""COMPUTED_VALUE"""),"{""effect"":[{""typ"":""avatar_frame"",""id"":11421034,""val"":2592000000}]}")</f>
        <v>{"effect":[{"typ":"avatar_frame","id":11421034,"val":2592000000}]}</v>
      </c>
      <c r="T2094" s="148">
        <f>IFERROR(__xludf.DUMMYFUNCTION("""COMPUTED_VALUE"""),-1.0)</f>
        <v>-1</v>
      </c>
      <c r="U2094" s="148">
        <f>IFERROR(__xludf.DUMMYFUNCTION("""COMPUTED_VALUE"""),1.0)</f>
        <v>1</v>
      </c>
      <c r="V2094" s="148" t="str">
        <f>IFERROR(__xludf.DUMMYFUNCTION("""COMPUTED_VALUE"""),"[]")</f>
        <v>[]</v>
      </c>
      <c r="W2094" s="148">
        <f>IFERROR(__xludf.DUMMYFUNCTION("""COMPUTED_VALUE"""),1.174E7)</f>
        <v>11740000</v>
      </c>
      <c r="X2094" s="148">
        <f>IFERROR(__xludf.DUMMYFUNCTION("""COMPUTED_VALUE"""),0.0)</f>
        <v>0</v>
      </c>
      <c r="Y2094" s="148">
        <f>IFERROR(__xludf.DUMMYFUNCTION("""COMPUTED_VALUE"""),0.0)</f>
        <v>0</v>
      </c>
      <c r="Z2094" s="148"/>
    </row>
    <row r="2095">
      <c r="A2095" s="148">
        <f>IFERROR(__xludf.DUMMYFUNCTION("""COMPUTED_VALUE"""),1.1118812E7)</f>
        <v>11118812</v>
      </c>
      <c r="B2095" s="148" t="str">
        <f>IFERROR(__xludf.DUMMYFUNCTION("""COMPUTED_VALUE"""),"头像框：巅峰赛参赛")</f>
        <v>头像框：巅峰赛参赛</v>
      </c>
      <c r="C2095" s="148"/>
      <c r="D2095" s="148" t="str">
        <f>IFERROR(__xludf.DUMMYFUNCTION("""COMPUTED_VALUE"""),"avatar_frame")</f>
        <v>avatar_frame</v>
      </c>
      <c r="E2095" s="148">
        <f>IFERROR(__xludf.DUMMYFUNCTION("""COMPUTED_VALUE"""),20.0)</f>
        <v>20</v>
      </c>
      <c r="F2095" s="148">
        <f>IFERROR(__xludf.DUMMYFUNCTION("""COMPUTED_VALUE"""),0.0)</f>
        <v>0</v>
      </c>
      <c r="G2095" s="148">
        <f>IFERROR(__xludf.DUMMYFUNCTION("""COMPUTED_VALUE"""),1.5117711E7)</f>
        <v>15117711</v>
      </c>
      <c r="H2095" s="148">
        <f>IFERROR(__xludf.DUMMYFUNCTION("""COMPUTED_VALUE"""),1.5112563E7)</f>
        <v>15112563</v>
      </c>
      <c r="I2095" s="148" t="str">
        <f>IFERROR(__xludf.DUMMYFUNCTION("""COMPUTED_VALUE"""),"{""typ"":""lc"",""txt"":""LC_ITEM_time_day_upper_show"",""args"":[{""typ"":""int"",""val"":30}]}")</f>
        <v>{"typ":"lc","txt":"LC_ITEM_time_day_upper_show","args":[{"typ":"int","val":30}]}</v>
      </c>
      <c r="J2095" s="148" t="str">
        <f>IFERROR(__xludf.DUMMYFUNCTION("""COMPUTED_VALUE"""),"{""typ"":""lc"",""txt"":""LC_ASSET_avatar_frame_name_35""}")</f>
        <v>{"typ":"lc","txt":"LC_ASSET_avatar_frame_name_35"}</v>
      </c>
      <c r="K2095" s="148" t="str">
        <f>IFERROR(__xludf.DUMMYFUNCTION("""COMPUTED_VALUE"""),"{""typ"":""lc"",""txt"":""LC_ASSET_avatar_frame_desc_33""}")</f>
        <v>{"typ":"lc","txt":"LC_ASSET_avatar_frame_desc_33"}</v>
      </c>
      <c r="L2095" s="148" t="str">
        <f>IFERROR(__xludf.DUMMYFUNCTION("""COMPUTED_VALUE"""),"{}")</f>
        <v>{}</v>
      </c>
      <c r="M2095" s="148">
        <f>IFERROR(__xludf.DUMMYFUNCTION("""COMPUTED_VALUE"""),1000.0)</f>
        <v>1000</v>
      </c>
      <c r="N2095" s="148">
        <f>IFERROR(__xludf.DUMMYFUNCTION("""COMPUTED_VALUE"""),99.0)</f>
        <v>99</v>
      </c>
      <c r="O2095" s="148">
        <f>IFERROR(__xludf.DUMMYFUNCTION("""COMPUTED_VALUE"""),1.0)</f>
        <v>1</v>
      </c>
      <c r="P2095" s="148">
        <f>IFERROR(__xludf.DUMMYFUNCTION("""COMPUTED_VALUE"""),1.0)</f>
        <v>1</v>
      </c>
      <c r="Q2095" s="148" t="str">
        <f>IFERROR(__xludf.DUMMYFUNCTION("""COMPUTED_VALUE"""),"[]")</f>
        <v>[]</v>
      </c>
      <c r="R2095" s="148" t="str">
        <f>IFERROR(__xludf.DUMMYFUNCTION("""COMPUTED_VALUE"""),"[""11421035""]")</f>
        <v>["11421035"]</v>
      </c>
      <c r="S2095" s="148" t="str">
        <f>IFERROR(__xludf.DUMMYFUNCTION("""COMPUTED_VALUE"""),"{""effect"":[{""typ"":""avatar_frame"",""id"":11421035,""val"":2592000000}]}")</f>
        <v>{"effect":[{"typ":"avatar_frame","id":11421035,"val":2592000000}]}</v>
      </c>
      <c r="T2095" s="148">
        <f>IFERROR(__xludf.DUMMYFUNCTION("""COMPUTED_VALUE"""),-1.0)</f>
        <v>-1</v>
      </c>
      <c r="U2095" s="148">
        <f>IFERROR(__xludf.DUMMYFUNCTION("""COMPUTED_VALUE"""),1.0)</f>
        <v>1</v>
      </c>
      <c r="V2095" s="148" t="str">
        <f>IFERROR(__xludf.DUMMYFUNCTION("""COMPUTED_VALUE"""),"[]")</f>
        <v>[]</v>
      </c>
      <c r="W2095" s="148">
        <f>IFERROR(__xludf.DUMMYFUNCTION("""COMPUTED_VALUE"""),1.174E7)</f>
        <v>11740000</v>
      </c>
      <c r="X2095" s="148">
        <f>IFERROR(__xludf.DUMMYFUNCTION("""COMPUTED_VALUE"""),0.0)</f>
        <v>0</v>
      </c>
      <c r="Y2095" s="148">
        <f>IFERROR(__xludf.DUMMYFUNCTION("""COMPUTED_VALUE"""),0.0)</f>
        <v>0</v>
      </c>
      <c r="Z2095" s="148"/>
    </row>
    <row r="2096">
      <c r="A2096" s="148">
        <f>IFERROR(__xludf.DUMMYFUNCTION("""COMPUTED_VALUE"""),1.1118813E7)</f>
        <v>11118813</v>
      </c>
      <c r="B2096" s="148" t="str">
        <f>IFERROR(__xludf.DUMMYFUNCTION("""COMPUTED_VALUE"""),"超星装备图纸箱")</f>
        <v>超星装备图纸箱</v>
      </c>
      <c r="C2096" s="148"/>
      <c r="D2096" s="148" t="str">
        <f>IFERROR(__xludf.DUMMYFUNCTION("""COMPUTED_VALUE"""),"heroarms_box")</f>
        <v>heroarms_box</v>
      </c>
      <c r="E2096" s="148">
        <f>IFERROR(__xludf.DUMMYFUNCTION("""COMPUTED_VALUE"""),19.0)</f>
        <v>19</v>
      </c>
      <c r="F2096" s="148">
        <f>IFERROR(__xludf.DUMMYFUNCTION("""COMPUTED_VALUE"""),403106.0)</f>
        <v>403106</v>
      </c>
      <c r="G2096" s="148">
        <f>IFERROR(__xludf.DUMMYFUNCTION("""COMPUTED_VALUE"""),1.5117673E7)</f>
        <v>15117673</v>
      </c>
      <c r="H2096" s="148">
        <f>IFERROR(__xludf.DUMMYFUNCTION("""COMPUTED_VALUE"""),1.5115983E7)</f>
        <v>15115983</v>
      </c>
      <c r="I2096" s="148" t="str">
        <f>IFERROR(__xludf.DUMMYFUNCTION("""COMPUTED_VALUE"""),"{}")</f>
        <v>{}</v>
      </c>
      <c r="J2096" s="148" t="str">
        <f>IFERROR(__xludf.DUMMYFUNCTION("""COMPUTED_VALUE"""),"{""typ"":""lc"",""txt"":""LC_HERO_equipment_blueprint_box14""}")</f>
        <v>{"typ":"lc","txt":"LC_HERO_equipment_blueprint_box14"}</v>
      </c>
      <c r="K2096" s="148" t="str">
        <f>IFERROR(__xludf.DUMMYFUNCTION("""COMPUTED_VALUE"""),"{""typ"":""lc"",""txt"":""LC_HERO_equipment_blueprint_box_desc14""}")</f>
        <v>{"typ":"lc","txt":"LC_HERO_equipment_blueprint_box_desc14"}</v>
      </c>
      <c r="L2096" s="148" t="str">
        <f>IFERROR(__xludf.DUMMYFUNCTION("""COMPUTED_VALUE"""),"{}")</f>
        <v>{}</v>
      </c>
      <c r="M2096" s="148">
        <f>IFERROR(__xludf.DUMMYFUNCTION("""COMPUTED_VALUE"""),500.0)</f>
        <v>500</v>
      </c>
      <c r="N2096" s="148">
        <f>IFERROR(__xludf.DUMMYFUNCTION("""COMPUTED_VALUE"""),9999999.0)</f>
        <v>9999999</v>
      </c>
      <c r="O2096" s="148">
        <f>IFERROR(__xludf.DUMMYFUNCTION("""COMPUTED_VALUE"""),99999.0)</f>
        <v>99999</v>
      </c>
      <c r="P2096" s="148">
        <f>IFERROR(__xludf.DUMMYFUNCTION("""COMPUTED_VALUE"""),99999.0)</f>
        <v>99999</v>
      </c>
      <c r="Q2096" s="148" t="str">
        <f>IFERROR(__xludf.DUMMYFUNCTION("""COMPUTED_VALUE"""),"[""bag_other""]")</f>
        <v>["bag_other"]</v>
      </c>
      <c r="R2096" s="148" t="str">
        <f>IFERROR(__xludf.DUMMYFUNCTION("""COMPUTED_VALUE"""),"[""bag""]")</f>
        <v>["bag"]</v>
      </c>
      <c r="S2096" s="148" t="str">
        <f>IFERROR(__xludf.DUMMYFUNCTION("""COMPUTED_VALUE"""),"{""drop"":{""typ"":""single_random"",""num"":1,""args"":[{""typ"":""blueprint"",""id"":19344029,""num"":1,""wgt"":100},{""typ"":""blueprint"",""id"":19344030,""num"":1,""wgt"":100},{""typ"":""blueprint"",""id"":19344031,""num"":1,""wgt"":100},{""typ"":""b"&amp;"lueprint"",""id"":19344032,""num"":1,""wgt"":100}]}}")</f>
        <v>{"drop":{"typ":"single_random","num":1,"args":[{"typ":"blueprint","id":19344029,"num":1,"wgt":100},{"typ":"blueprint","id":19344030,"num":1,"wgt":100},{"typ":"blueprint","id":19344031,"num":1,"wgt":100},{"typ":"blueprint","id":19344032,"num":1,"wgt":100}]}}</v>
      </c>
      <c r="T2096" s="148">
        <f>IFERROR(__xludf.DUMMYFUNCTION("""COMPUTED_VALUE"""),-1.0)</f>
        <v>-1</v>
      </c>
      <c r="U2096" s="148">
        <f>IFERROR(__xludf.DUMMYFUNCTION("""COMPUTED_VALUE"""),0.0)</f>
        <v>0</v>
      </c>
      <c r="V2096" s="148" t="str">
        <f>IFERROR(__xludf.DUMMYFUNCTION("""COMPUTED_VALUE"""),"[]")</f>
        <v>[]</v>
      </c>
      <c r="W2096" s="148">
        <f>IFERROR(__xludf.DUMMYFUNCTION("""COMPUTED_VALUE"""),1.1741004E7)</f>
        <v>11741004</v>
      </c>
      <c r="X2096" s="148">
        <f>IFERROR(__xludf.DUMMYFUNCTION("""COMPUTED_VALUE"""),0.0)</f>
        <v>0</v>
      </c>
      <c r="Y2096" s="148">
        <f>IFERROR(__xludf.DUMMYFUNCTION("""COMPUTED_VALUE"""),0.0)</f>
        <v>0</v>
      </c>
      <c r="Z2096" s="148"/>
    </row>
    <row r="2097">
      <c r="A2097" s="148">
        <f>IFERROR(__xludf.DUMMYFUNCTION("""COMPUTED_VALUE"""),1.1118814E7)</f>
        <v>11118814</v>
      </c>
      <c r="B2097" s="148" t="str">
        <f>IFERROR(__xludf.DUMMYFUNCTION("""COMPUTED_VALUE"""),"深空装备图纸箱")</f>
        <v>深空装备图纸箱</v>
      </c>
      <c r="C2097" s="148"/>
      <c r="D2097" s="148" t="str">
        <f>IFERROR(__xludf.DUMMYFUNCTION("""COMPUTED_VALUE"""),"heroarms_box")</f>
        <v>heroarms_box</v>
      </c>
      <c r="E2097" s="148">
        <f>IFERROR(__xludf.DUMMYFUNCTION("""COMPUTED_VALUE"""),19.0)</f>
        <v>19</v>
      </c>
      <c r="F2097" s="148">
        <f>IFERROR(__xludf.DUMMYFUNCTION("""COMPUTED_VALUE"""),403106.0)</f>
        <v>403106</v>
      </c>
      <c r="G2097" s="148">
        <f>IFERROR(__xludf.DUMMYFUNCTION("""COMPUTED_VALUE"""),1.5117674E7)</f>
        <v>15117674</v>
      </c>
      <c r="H2097" s="148">
        <f>IFERROR(__xludf.DUMMYFUNCTION("""COMPUTED_VALUE"""),1.5115983E7)</f>
        <v>15115983</v>
      </c>
      <c r="I2097" s="148" t="str">
        <f>IFERROR(__xludf.DUMMYFUNCTION("""COMPUTED_VALUE"""),"{}")</f>
        <v>{}</v>
      </c>
      <c r="J2097" s="148" t="str">
        <f>IFERROR(__xludf.DUMMYFUNCTION("""COMPUTED_VALUE"""),"{""typ"":""lc"",""txt"":""LC_HERO_equipment_blueprint_box15""}")</f>
        <v>{"typ":"lc","txt":"LC_HERO_equipment_blueprint_box15"}</v>
      </c>
      <c r="K2097" s="148" t="str">
        <f>IFERROR(__xludf.DUMMYFUNCTION("""COMPUTED_VALUE"""),"{""typ"":""lc"",""txt"":""LC_HERO_equipment_blueprint_box_desc15""}")</f>
        <v>{"typ":"lc","txt":"LC_HERO_equipment_blueprint_box_desc15"}</v>
      </c>
      <c r="L2097" s="148" t="str">
        <f>IFERROR(__xludf.DUMMYFUNCTION("""COMPUTED_VALUE"""),"{}")</f>
        <v>{}</v>
      </c>
      <c r="M2097" s="148">
        <f>IFERROR(__xludf.DUMMYFUNCTION("""COMPUTED_VALUE"""),500.0)</f>
        <v>500</v>
      </c>
      <c r="N2097" s="148">
        <f>IFERROR(__xludf.DUMMYFUNCTION("""COMPUTED_VALUE"""),9999999.0)</f>
        <v>9999999</v>
      </c>
      <c r="O2097" s="148">
        <f>IFERROR(__xludf.DUMMYFUNCTION("""COMPUTED_VALUE"""),99999.0)</f>
        <v>99999</v>
      </c>
      <c r="P2097" s="148">
        <f>IFERROR(__xludf.DUMMYFUNCTION("""COMPUTED_VALUE"""),99999.0)</f>
        <v>99999</v>
      </c>
      <c r="Q2097" s="148" t="str">
        <f>IFERROR(__xludf.DUMMYFUNCTION("""COMPUTED_VALUE"""),"[""bag_other""]")</f>
        <v>["bag_other"]</v>
      </c>
      <c r="R2097" s="148" t="str">
        <f>IFERROR(__xludf.DUMMYFUNCTION("""COMPUTED_VALUE"""),"[""bag""]")</f>
        <v>["bag"]</v>
      </c>
      <c r="S2097" s="148" t="str">
        <f>IFERROR(__xludf.DUMMYFUNCTION("""COMPUTED_VALUE"""),"{""drop"":{""typ"":""single_random"",""num"":1,""args"":[{""typ"":""blueprint"",""id"":19344033,""num"":1,""wgt"":100},{""typ"":""blueprint"",""id"":19344034,""num"":1,""wgt"":100},{""typ"":""blueprint"",""id"":19344035,""num"":1,""wgt"":100},{""typ"":""b"&amp;"lueprint"",""id"":19344036,""num"":1,""wgt"":100}]}}")</f>
        <v>{"drop":{"typ":"single_random","num":1,"args":[{"typ":"blueprint","id":19344033,"num":1,"wgt":100},{"typ":"blueprint","id":19344034,"num":1,"wgt":100},{"typ":"blueprint","id":19344035,"num":1,"wgt":100},{"typ":"blueprint","id":19344036,"num":1,"wgt":100}]}}</v>
      </c>
      <c r="T2097" s="148">
        <f>IFERROR(__xludf.DUMMYFUNCTION("""COMPUTED_VALUE"""),-1.0)</f>
        <v>-1</v>
      </c>
      <c r="U2097" s="148">
        <f>IFERROR(__xludf.DUMMYFUNCTION("""COMPUTED_VALUE"""),0.0)</f>
        <v>0</v>
      </c>
      <c r="V2097" s="148" t="str">
        <f>IFERROR(__xludf.DUMMYFUNCTION("""COMPUTED_VALUE"""),"[]")</f>
        <v>[]</v>
      </c>
      <c r="W2097" s="148">
        <f>IFERROR(__xludf.DUMMYFUNCTION("""COMPUTED_VALUE"""),1.1741004E7)</f>
        <v>11741004</v>
      </c>
      <c r="X2097" s="148">
        <f>IFERROR(__xludf.DUMMYFUNCTION("""COMPUTED_VALUE"""),0.0)</f>
        <v>0</v>
      </c>
      <c r="Y2097" s="148">
        <f>IFERROR(__xludf.DUMMYFUNCTION("""COMPUTED_VALUE"""),0.0)</f>
        <v>0</v>
      </c>
      <c r="Z2097" s="148"/>
    </row>
    <row r="2098">
      <c r="A2098" s="148">
        <f>IFERROR(__xludf.DUMMYFUNCTION("""COMPUTED_VALUE"""),1.1118815E7)</f>
        <v>11118815</v>
      </c>
      <c r="B2098" s="148" t="str">
        <f>IFERROR(__xludf.DUMMYFUNCTION("""COMPUTED_VALUE"""),"银河装备图纸箱")</f>
        <v>银河装备图纸箱</v>
      </c>
      <c r="C2098" s="148"/>
      <c r="D2098" s="148" t="str">
        <f>IFERROR(__xludf.DUMMYFUNCTION("""COMPUTED_VALUE"""),"heroarms_box")</f>
        <v>heroarms_box</v>
      </c>
      <c r="E2098" s="148">
        <f>IFERROR(__xludf.DUMMYFUNCTION("""COMPUTED_VALUE"""),19.0)</f>
        <v>19</v>
      </c>
      <c r="F2098" s="148">
        <f>IFERROR(__xludf.DUMMYFUNCTION("""COMPUTED_VALUE"""),403106.0)</f>
        <v>403106</v>
      </c>
      <c r="G2098" s="148">
        <f>IFERROR(__xludf.DUMMYFUNCTION("""COMPUTED_VALUE"""),1.5117675E7)</f>
        <v>15117675</v>
      </c>
      <c r="H2098" s="148">
        <f>IFERROR(__xludf.DUMMYFUNCTION("""COMPUTED_VALUE"""),1.5115983E7)</f>
        <v>15115983</v>
      </c>
      <c r="I2098" s="148" t="str">
        <f>IFERROR(__xludf.DUMMYFUNCTION("""COMPUTED_VALUE"""),"{}")</f>
        <v>{}</v>
      </c>
      <c r="J2098" s="148" t="str">
        <f>IFERROR(__xludf.DUMMYFUNCTION("""COMPUTED_VALUE"""),"{""typ"":""lc"",""txt"":""LC_HERO_equipment_blueprint_box16""}")</f>
        <v>{"typ":"lc","txt":"LC_HERO_equipment_blueprint_box16"}</v>
      </c>
      <c r="K2098" s="148" t="str">
        <f>IFERROR(__xludf.DUMMYFUNCTION("""COMPUTED_VALUE"""),"{""typ"":""lc"",""txt"":""LC_HERO_equipment_blueprint_box_desc16""}")</f>
        <v>{"typ":"lc","txt":"LC_HERO_equipment_blueprint_box_desc16"}</v>
      </c>
      <c r="L2098" s="148" t="str">
        <f>IFERROR(__xludf.DUMMYFUNCTION("""COMPUTED_VALUE"""),"{}")</f>
        <v>{}</v>
      </c>
      <c r="M2098" s="148">
        <f>IFERROR(__xludf.DUMMYFUNCTION("""COMPUTED_VALUE"""),500.0)</f>
        <v>500</v>
      </c>
      <c r="N2098" s="148">
        <f>IFERROR(__xludf.DUMMYFUNCTION("""COMPUTED_VALUE"""),9999999.0)</f>
        <v>9999999</v>
      </c>
      <c r="O2098" s="148">
        <f>IFERROR(__xludf.DUMMYFUNCTION("""COMPUTED_VALUE"""),99999.0)</f>
        <v>99999</v>
      </c>
      <c r="P2098" s="148">
        <f>IFERROR(__xludf.DUMMYFUNCTION("""COMPUTED_VALUE"""),99999.0)</f>
        <v>99999</v>
      </c>
      <c r="Q2098" s="148" t="str">
        <f>IFERROR(__xludf.DUMMYFUNCTION("""COMPUTED_VALUE"""),"[""bag_other""]")</f>
        <v>["bag_other"]</v>
      </c>
      <c r="R2098" s="148" t="str">
        <f>IFERROR(__xludf.DUMMYFUNCTION("""COMPUTED_VALUE"""),"[""bag""]")</f>
        <v>["bag"]</v>
      </c>
      <c r="S2098" s="148" t="str">
        <f>IFERROR(__xludf.DUMMYFUNCTION("""COMPUTED_VALUE"""),"{""drop"":{""typ"":""single_random"",""num"":1,""args"":[{""typ"":""blueprint"",""id"":19344037,""num"":1,""wgt"":100},{""typ"":""blueprint"",""id"":19344038,""num"":1,""wgt"":100},{""typ"":""blueprint"",""id"":19344039,""num"":1,""wgt"":100},{""typ"":""b"&amp;"lueprint"",""id"":19344040,""num"":1,""wgt"":100}]}}")</f>
        <v>{"drop":{"typ":"single_random","num":1,"args":[{"typ":"blueprint","id":19344037,"num":1,"wgt":100},{"typ":"blueprint","id":19344038,"num":1,"wgt":100},{"typ":"blueprint","id":19344039,"num":1,"wgt":100},{"typ":"blueprint","id":19344040,"num":1,"wgt":100}]}}</v>
      </c>
      <c r="T2098" s="148">
        <f>IFERROR(__xludf.DUMMYFUNCTION("""COMPUTED_VALUE"""),-1.0)</f>
        <v>-1</v>
      </c>
      <c r="U2098" s="148">
        <f>IFERROR(__xludf.DUMMYFUNCTION("""COMPUTED_VALUE"""),0.0)</f>
        <v>0</v>
      </c>
      <c r="V2098" s="148" t="str">
        <f>IFERROR(__xludf.DUMMYFUNCTION("""COMPUTED_VALUE"""),"[]")</f>
        <v>[]</v>
      </c>
      <c r="W2098" s="148">
        <f>IFERROR(__xludf.DUMMYFUNCTION("""COMPUTED_VALUE"""),1.1741004E7)</f>
        <v>11741004</v>
      </c>
      <c r="X2098" s="148">
        <f>IFERROR(__xludf.DUMMYFUNCTION("""COMPUTED_VALUE"""),0.0)</f>
        <v>0</v>
      </c>
      <c r="Y2098" s="148">
        <f>IFERROR(__xludf.DUMMYFUNCTION("""COMPUTED_VALUE"""),0.0)</f>
        <v>0</v>
      </c>
      <c r="Z2098" s="148"/>
    </row>
    <row r="2099">
      <c r="A2099" s="148">
        <f>IFERROR(__xludf.DUMMYFUNCTION("""COMPUTED_VALUE"""),1.1118816E7)</f>
        <v>11118816</v>
      </c>
      <c r="B2099" s="148" t="str">
        <f>IFERROR(__xludf.DUMMYFUNCTION("""COMPUTED_VALUE"""),"超星装备图纸碎片箱")</f>
        <v>超星装备图纸碎片箱</v>
      </c>
      <c r="C2099" s="148"/>
      <c r="D2099" s="148" t="str">
        <f>IFERROR(__xludf.DUMMYFUNCTION("""COMPUTED_VALUE"""),"heroarms_box")</f>
        <v>heroarms_box</v>
      </c>
      <c r="E2099" s="148">
        <f>IFERROR(__xludf.DUMMYFUNCTION("""COMPUTED_VALUE"""),19.0)</f>
        <v>19</v>
      </c>
      <c r="F2099" s="148">
        <f>IFERROR(__xludf.DUMMYFUNCTION("""COMPUTED_VALUE"""),403106.0)</f>
        <v>403106</v>
      </c>
      <c r="G2099" s="148">
        <f>IFERROR(__xludf.DUMMYFUNCTION("""COMPUTED_VALUE"""),1.5117669E7)</f>
        <v>15117669</v>
      </c>
      <c r="H2099" s="148">
        <f>IFERROR(__xludf.DUMMYFUNCTION("""COMPUTED_VALUE"""),1.5115983E7)</f>
        <v>15115983</v>
      </c>
      <c r="I2099" s="148" t="str">
        <f>IFERROR(__xludf.DUMMYFUNCTION("""COMPUTED_VALUE"""),"{}")</f>
        <v>{}</v>
      </c>
      <c r="J2099" s="148" t="str">
        <f>IFERROR(__xludf.DUMMYFUNCTION("""COMPUTED_VALUE"""),"{""typ"":""lc"",""txt"":""LC_HERO_equipment_puzzle_box14""}")</f>
        <v>{"typ":"lc","txt":"LC_HERO_equipment_puzzle_box14"}</v>
      </c>
      <c r="K2099" s="148" t="str">
        <f>IFERROR(__xludf.DUMMYFUNCTION("""COMPUTED_VALUE"""),"{""typ"":""lc"",""txt"":""LC_HERO_equipment_puzzle_box_desc14""}")</f>
        <v>{"typ":"lc","txt":"LC_HERO_equipment_puzzle_box_desc14"}</v>
      </c>
      <c r="L2099" s="148" t="str">
        <f>IFERROR(__xludf.DUMMYFUNCTION("""COMPUTED_VALUE"""),"{}")</f>
        <v>{}</v>
      </c>
      <c r="M2099" s="148">
        <f>IFERROR(__xludf.DUMMYFUNCTION("""COMPUTED_VALUE"""),50.0)</f>
        <v>50</v>
      </c>
      <c r="N2099" s="148">
        <f>IFERROR(__xludf.DUMMYFUNCTION("""COMPUTED_VALUE"""),9999999.0)</f>
        <v>9999999</v>
      </c>
      <c r="O2099" s="148">
        <f>IFERROR(__xludf.DUMMYFUNCTION("""COMPUTED_VALUE"""),99999.0)</f>
        <v>99999</v>
      </c>
      <c r="P2099" s="148">
        <f>IFERROR(__xludf.DUMMYFUNCTION("""COMPUTED_VALUE"""),99999.0)</f>
        <v>99999</v>
      </c>
      <c r="Q2099" s="148" t="str">
        <f>IFERROR(__xludf.DUMMYFUNCTION("""COMPUTED_VALUE"""),"[""bag_other""]")</f>
        <v>["bag_other"]</v>
      </c>
      <c r="R2099" s="148" t="str">
        <f>IFERROR(__xludf.DUMMYFUNCTION("""COMPUTED_VALUE"""),"[""bag""]")</f>
        <v>["bag"]</v>
      </c>
      <c r="S2099" s="148" t="str">
        <f>IFERROR(__xludf.DUMMYFUNCTION("""COMPUTED_VALUE"""),"{""drop"":{""typ"":""single_random"",""num"":1,""args"":[{""typ"":""puzzle"",""id"":19349029,""num"":1,""wgt"":100},{""typ"":""puzzle"",""id"":19349030,""num"":1,""wgt"":100},{""typ"":""puzzle"",""id"":19349031,""num"":1,""wgt"":100},{""typ"":""puzzle"","&amp;"""id"":19349032,""num"":1,""wgt"":100}]}}")</f>
        <v>{"drop":{"typ":"single_random","num":1,"args":[{"typ":"puzzle","id":19349029,"num":1,"wgt":100},{"typ":"puzzle","id":19349030,"num":1,"wgt":100},{"typ":"puzzle","id":19349031,"num":1,"wgt":100},{"typ":"puzzle","id":19349032,"num":1,"wgt":100}]}}</v>
      </c>
      <c r="T2099" s="148">
        <f>IFERROR(__xludf.DUMMYFUNCTION("""COMPUTED_VALUE"""),-1.0)</f>
        <v>-1</v>
      </c>
      <c r="U2099" s="148">
        <f>IFERROR(__xludf.DUMMYFUNCTION("""COMPUTED_VALUE"""),0.0)</f>
        <v>0</v>
      </c>
      <c r="V2099" s="148" t="str">
        <f>IFERROR(__xludf.DUMMYFUNCTION("""COMPUTED_VALUE"""),"[]")</f>
        <v>[]</v>
      </c>
      <c r="W2099" s="148">
        <f>IFERROR(__xludf.DUMMYFUNCTION("""COMPUTED_VALUE"""),1.1741004E7)</f>
        <v>11741004</v>
      </c>
      <c r="X2099" s="148">
        <f>IFERROR(__xludf.DUMMYFUNCTION("""COMPUTED_VALUE"""),0.0)</f>
        <v>0</v>
      </c>
      <c r="Y2099" s="148">
        <f>IFERROR(__xludf.DUMMYFUNCTION("""COMPUTED_VALUE"""),0.0)</f>
        <v>0</v>
      </c>
      <c r="Z2099" s="148"/>
    </row>
    <row r="2100">
      <c r="A2100" s="148">
        <f>IFERROR(__xludf.DUMMYFUNCTION("""COMPUTED_VALUE"""),1.1118817E7)</f>
        <v>11118817</v>
      </c>
      <c r="B2100" s="148" t="str">
        <f>IFERROR(__xludf.DUMMYFUNCTION("""COMPUTED_VALUE"""),"深空装备图纸碎片箱")</f>
        <v>深空装备图纸碎片箱</v>
      </c>
      <c r="C2100" s="148"/>
      <c r="D2100" s="148" t="str">
        <f>IFERROR(__xludf.DUMMYFUNCTION("""COMPUTED_VALUE"""),"heroarms_box")</f>
        <v>heroarms_box</v>
      </c>
      <c r="E2100" s="148">
        <f>IFERROR(__xludf.DUMMYFUNCTION("""COMPUTED_VALUE"""),19.0)</f>
        <v>19</v>
      </c>
      <c r="F2100" s="148">
        <f>IFERROR(__xludf.DUMMYFUNCTION("""COMPUTED_VALUE"""),403106.0)</f>
        <v>403106</v>
      </c>
      <c r="G2100" s="148">
        <f>IFERROR(__xludf.DUMMYFUNCTION("""COMPUTED_VALUE"""),1.511767E7)</f>
        <v>15117670</v>
      </c>
      <c r="H2100" s="148">
        <f>IFERROR(__xludf.DUMMYFUNCTION("""COMPUTED_VALUE"""),1.5115983E7)</f>
        <v>15115983</v>
      </c>
      <c r="I2100" s="148" t="str">
        <f>IFERROR(__xludf.DUMMYFUNCTION("""COMPUTED_VALUE"""),"{}")</f>
        <v>{}</v>
      </c>
      <c r="J2100" s="148" t="str">
        <f>IFERROR(__xludf.DUMMYFUNCTION("""COMPUTED_VALUE"""),"{""typ"":""lc"",""txt"":""LC_HERO_equipment_puzzle_box15""}")</f>
        <v>{"typ":"lc","txt":"LC_HERO_equipment_puzzle_box15"}</v>
      </c>
      <c r="K2100" s="148" t="str">
        <f>IFERROR(__xludf.DUMMYFUNCTION("""COMPUTED_VALUE"""),"{""typ"":""lc"",""txt"":""LC_HERO_equipment_puzzle_box_desc15""}")</f>
        <v>{"typ":"lc","txt":"LC_HERO_equipment_puzzle_box_desc15"}</v>
      </c>
      <c r="L2100" s="148" t="str">
        <f>IFERROR(__xludf.DUMMYFUNCTION("""COMPUTED_VALUE"""),"{}")</f>
        <v>{}</v>
      </c>
      <c r="M2100" s="148">
        <f>IFERROR(__xludf.DUMMYFUNCTION("""COMPUTED_VALUE"""),50.0)</f>
        <v>50</v>
      </c>
      <c r="N2100" s="148">
        <f>IFERROR(__xludf.DUMMYFUNCTION("""COMPUTED_VALUE"""),9999999.0)</f>
        <v>9999999</v>
      </c>
      <c r="O2100" s="148">
        <f>IFERROR(__xludf.DUMMYFUNCTION("""COMPUTED_VALUE"""),99999.0)</f>
        <v>99999</v>
      </c>
      <c r="P2100" s="148">
        <f>IFERROR(__xludf.DUMMYFUNCTION("""COMPUTED_VALUE"""),99999.0)</f>
        <v>99999</v>
      </c>
      <c r="Q2100" s="148" t="str">
        <f>IFERROR(__xludf.DUMMYFUNCTION("""COMPUTED_VALUE"""),"[""bag_other""]")</f>
        <v>["bag_other"]</v>
      </c>
      <c r="R2100" s="148" t="str">
        <f>IFERROR(__xludf.DUMMYFUNCTION("""COMPUTED_VALUE"""),"[""bag""]")</f>
        <v>["bag"]</v>
      </c>
      <c r="S2100" s="148" t="str">
        <f>IFERROR(__xludf.DUMMYFUNCTION("""COMPUTED_VALUE"""),"{""drop"":{""typ"":""single_random"",""num"":1,""args"":[{""typ"":""puzzle"",""id"":19349033,""num"":1,""wgt"":100},{""typ"":""puzzle"",""id"":19349034,""num"":1,""wgt"":100},{""typ"":""puzzle"",""id"":19349035,""num"":1,""wgt"":100},{""typ"":""puzzle"","&amp;"""id"":19349036,""num"":1,""wgt"":100}]}}")</f>
        <v>{"drop":{"typ":"single_random","num":1,"args":[{"typ":"puzzle","id":19349033,"num":1,"wgt":100},{"typ":"puzzle","id":19349034,"num":1,"wgt":100},{"typ":"puzzle","id":19349035,"num":1,"wgt":100},{"typ":"puzzle","id":19349036,"num":1,"wgt":100}]}}</v>
      </c>
      <c r="T2100" s="148">
        <f>IFERROR(__xludf.DUMMYFUNCTION("""COMPUTED_VALUE"""),-1.0)</f>
        <v>-1</v>
      </c>
      <c r="U2100" s="148">
        <f>IFERROR(__xludf.DUMMYFUNCTION("""COMPUTED_VALUE"""),0.0)</f>
        <v>0</v>
      </c>
      <c r="V2100" s="148" t="str">
        <f>IFERROR(__xludf.DUMMYFUNCTION("""COMPUTED_VALUE"""),"[]")</f>
        <v>[]</v>
      </c>
      <c r="W2100" s="148">
        <f>IFERROR(__xludf.DUMMYFUNCTION("""COMPUTED_VALUE"""),1.1741004E7)</f>
        <v>11741004</v>
      </c>
      <c r="X2100" s="148">
        <f>IFERROR(__xludf.DUMMYFUNCTION("""COMPUTED_VALUE"""),0.0)</f>
        <v>0</v>
      </c>
      <c r="Y2100" s="148">
        <f>IFERROR(__xludf.DUMMYFUNCTION("""COMPUTED_VALUE"""),0.0)</f>
        <v>0</v>
      </c>
      <c r="Z2100" s="148"/>
    </row>
    <row r="2101">
      <c r="A2101" s="148">
        <f>IFERROR(__xludf.DUMMYFUNCTION("""COMPUTED_VALUE"""),1.1118818E7)</f>
        <v>11118818</v>
      </c>
      <c r="B2101" s="148" t="str">
        <f>IFERROR(__xludf.DUMMYFUNCTION("""COMPUTED_VALUE"""),"银河装备图纸碎片箱")</f>
        <v>银河装备图纸碎片箱</v>
      </c>
      <c r="C2101" s="148"/>
      <c r="D2101" s="148" t="str">
        <f>IFERROR(__xludf.DUMMYFUNCTION("""COMPUTED_VALUE"""),"heroarms_box")</f>
        <v>heroarms_box</v>
      </c>
      <c r="E2101" s="148">
        <f>IFERROR(__xludf.DUMMYFUNCTION("""COMPUTED_VALUE"""),19.0)</f>
        <v>19</v>
      </c>
      <c r="F2101" s="148">
        <f>IFERROR(__xludf.DUMMYFUNCTION("""COMPUTED_VALUE"""),403106.0)</f>
        <v>403106</v>
      </c>
      <c r="G2101" s="148">
        <f>IFERROR(__xludf.DUMMYFUNCTION("""COMPUTED_VALUE"""),1.5117671E7)</f>
        <v>15117671</v>
      </c>
      <c r="H2101" s="148">
        <f>IFERROR(__xludf.DUMMYFUNCTION("""COMPUTED_VALUE"""),1.5115983E7)</f>
        <v>15115983</v>
      </c>
      <c r="I2101" s="148" t="str">
        <f>IFERROR(__xludf.DUMMYFUNCTION("""COMPUTED_VALUE"""),"{}")</f>
        <v>{}</v>
      </c>
      <c r="J2101" s="148" t="str">
        <f>IFERROR(__xludf.DUMMYFUNCTION("""COMPUTED_VALUE"""),"{""typ"":""lc"",""txt"":""LC_HERO_equipment_puzzle_box16""}")</f>
        <v>{"typ":"lc","txt":"LC_HERO_equipment_puzzle_box16"}</v>
      </c>
      <c r="K2101" s="148" t="str">
        <f>IFERROR(__xludf.DUMMYFUNCTION("""COMPUTED_VALUE"""),"{""typ"":""lc"",""txt"":""LC_HERO_equipment_puzzle_box_desc16""}")</f>
        <v>{"typ":"lc","txt":"LC_HERO_equipment_puzzle_box_desc16"}</v>
      </c>
      <c r="L2101" s="148" t="str">
        <f>IFERROR(__xludf.DUMMYFUNCTION("""COMPUTED_VALUE"""),"{}")</f>
        <v>{}</v>
      </c>
      <c r="M2101" s="148">
        <f>IFERROR(__xludf.DUMMYFUNCTION("""COMPUTED_VALUE"""),50.0)</f>
        <v>50</v>
      </c>
      <c r="N2101" s="148">
        <f>IFERROR(__xludf.DUMMYFUNCTION("""COMPUTED_VALUE"""),9999999.0)</f>
        <v>9999999</v>
      </c>
      <c r="O2101" s="148">
        <f>IFERROR(__xludf.DUMMYFUNCTION("""COMPUTED_VALUE"""),99999.0)</f>
        <v>99999</v>
      </c>
      <c r="P2101" s="148">
        <f>IFERROR(__xludf.DUMMYFUNCTION("""COMPUTED_VALUE"""),99999.0)</f>
        <v>99999</v>
      </c>
      <c r="Q2101" s="148" t="str">
        <f>IFERROR(__xludf.DUMMYFUNCTION("""COMPUTED_VALUE"""),"[""bag_other""]")</f>
        <v>["bag_other"]</v>
      </c>
      <c r="R2101" s="148" t="str">
        <f>IFERROR(__xludf.DUMMYFUNCTION("""COMPUTED_VALUE"""),"[""bag""]")</f>
        <v>["bag"]</v>
      </c>
      <c r="S2101" s="148" t="str">
        <f>IFERROR(__xludf.DUMMYFUNCTION("""COMPUTED_VALUE"""),"{""drop"":{""typ"":""single_random"",""num"":1,""args"":[{""typ"":""puzzle"",""id"":19349037,""num"":1,""wgt"":100},{""typ"":""puzzle"",""id"":19349038,""num"":1,""wgt"":100},{""typ"":""puzzle"",""id"":19349039,""num"":1,""wgt"":100},{""typ"":""puzzle"","&amp;"""id"":19349040,""num"":1,""wgt"":100}]}}")</f>
        <v>{"drop":{"typ":"single_random","num":1,"args":[{"typ":"puzzle","id":19349037,"num":1,"wgt":100},{"typ":"puzzle","id":19349038,"num":1,"wgt":100},{"typ":"puzzle","id":19349039,"num":1,"wgt":100},{"typ":"puzzle","id":19349040,"num":1,"wgt":100}]}}</v>
      </c>
      <c r="T2101" s="148">
        <f>IFERROR(__xludf.DUMMYFUNCTION("""COMPUTED_VALUE"""),-1.0)</f>
        <v>-1</v>
      </c>
      <c r="U2101" s="148">
        <f>IFERROR(__xludf.DUMMYFUNCTION("""COMPUTED_VALUE"""),0.0)</f>
        <v>0</v>
      </c>
      <c r="V2101" s="148" t="str">
        <f>IFERROR(__xludf.DUMMYFUNCTION("""COMPUTED_VALUE"""),"[]")</f>
        <v>[]</v>
      </c>
      <c r="W2101" s="148">
        <f>IFERROR(__xludf.DUMMYFUNCTION("""COMPUTED_VALUE"""),1.1741004E7)</f>
        <v>11741004</v>
      </c>
      <c r="X2101" s="148">
        <f>IFERROR(__xludf.DUMMYFUNCTION("""COMPUTED_VALUE"""),0.0)</f>
        <v>0</v>
      </c>
      <c r="Y2101" s="148">
        <f>IFERROR(__xludf.DUMMYFUNCTION("""COMPUTED_VALUE"""),0.0)</f>
        <v>0</v>
      </c>
      <c r="Z2101" s="148"/>
    </row>
    <row r="2102">
      <c r="A2102" s="148">
        <f>IFERROR(__xludf.DUMMYFUNCTION("""COMPUTED_VALUE"""),1.1118819E7)</f>
        <v>11118819</v>
      </c>
      <c r="B2102" s="148" t="str">
        <f>IFERROR(__xludf.DUMMYFUNCTION("""COMPUTED_VALUE"""),"超星装备图纸自选箱")</f>
        <v>超星装备图纸自选箱</v>
      </c>
      <c r="C2102" s="148"/>
      <c r="D2102" s="148" t="str">
        <f>IFERROR(__xludf.DUMMYFUNCTION("""COMPUTED_VALUE"""),"item_select_box")</f>
        <v>item_select_box</v>
      </c>
      <c r="E2102" s="148">
        <f>IFERROR(__xludf.DUMMYFUNCTION("""COMPUTED_VALUE"""),19.0)</f>
        <v>19</v>
      </c>
      <c r="F2102" s="148">
        <f>IFERROR(__xludf.DUMMYFUNCTION("""COMPUTED_VALUE"""),403308.0)</f>
        <v>403308</v>
      </c>
      <c r="G2102" s="148">
        <f>IFERROR(__xludf.DUMMYFUNCTION("""COMPUTED_VALUE"""),1.5117673E7)</f>
        <v>15117673</v>
      </c>
      <c r="H2102" s="148">
        <f>IFERROR(__xludf.DUMMYFUNCTION("""COMPUTED_VALUE"""),1.5115983E7)</f>
        <v>15115983</v>
      </c>
      <c r="I2102" s="148" t="str">
        <f>IFERROR(__xludf.DUMMYFUNCTION("""COMPUTED_VALUE"""),"{}")</f>
        <v>{}</v>
      </c>
      <c r="J2102" s="148" t="str">
        <f>IFERROR(__xludf.DUMMYFUNCTION("""COMPUTED_VALUE"""),"{""typ"":""lc"",""txt"":""LC_HERO_equipment_blueprint_select_box14""}")</f>
        <v>{"typ":"lc","txt":"LC_HERO_equipment_blueprint_select_box14"}</v>
      </c>
      <c r="K2102" s="148" t="str">
        <f>IFERROR(__xludf.DUMMYFUNCTION("""COMPUTED_VALUE"""),"{""typ"":""lc"",""txt"":""LC_HERO_equipment_puzzle_select_box_desc14""}")</f>
        <v>{"typ":"lc","txt":"LC_HERO_equipment_puzzle_select_box_desc14"}</v>
      </c>
      <c r="L2102" s="148" t="str">
        <f>IFERROR(__xludf.DUMMYFUNCTION("""COMPUTED_VALUE"""),"{}")</f>
        <v>{}</v>
      </c>
      <c r="M2102" s="148">
        <f>IFERROR(__xludf.DUMMYFUNCTION("""COMPUTED_VALUE"""),500.0)</f>
        <v>500</v>
      </c>
      <c r="N2102" s="148">
        <f>IFERROR(__xludf.DUMMYFUNCTION("""COMPUTED_VALUE"""),9999999.0)</f>
        <v>9999999</v>
      </c>
      <c r="O2102" s="148">
        <f>IFERROR(__xludf.DUMMYFUNCTION("""COMPUTED_VALUE"""),99999.0)</f>
        <v>99999</v>
      </c>
      <c r="P2102" s="148">
        <f>IFERROR(__xludf.DUMMYFUNCTION("""COMPUTED_VALUE"""),99999.0)</f>
        <v>99999</v>
      </c>
      <c r="Q2102" s="148" t="str">
        <f>IFERROR(__xludf.DUMMYFUNCTION("""COMPUTED_VALUE"""),"[""bag_other""]")</f>
        <v>["bag_other"]</v>
      </c>
      <c r="R2102" s="148" t="str">
        <f>IFERROR(__xludf.DUMMYFUNCTION("""COMPUTED_VALUE"""),"[""bag""]")</f>
        <v>["bag"]</v>
      </c>
      <c r="S2102" s="148" t="str">
        <f>IFERROR(__xludf.DUMMYFUNCTION("""COMPUTED_VALUE"""),"{""select_box"":[{""typ"":""blueprint"",""id"":19344029,""val"":1},{""typ"":""blueprint"",""id"":19344030,""val"":1},{""typ"":""blueprint"",""id"":19344031,""val"":1},{""typ"":""blueprint"",""id"":19344032,""val"":1}]}")</f>
        <v>{"select_box":[{"typ":"blueprint","id":19344029,"val":1},{"typ":"blueprint","id":19344030,"val":1},{"typ":"blueprint","id":19344031,"val":1},{"typ":"blueprint","id":19344032,"val":1}]}</v>
      </c>
      <c r="T2102" s="148">
        <f>IFERROR(__xludf.DUMMYFUNCTION("""COMPUTED_VALUE"""),-1.0)</f>
        <v>-1</v>
      </c>
      <c r="U2102" s="148">
        <f>IFERROR(__xludf.DUMMYFUNCTION("""COMPUTED_VALUE"""),0.0)</f>
        <v>0</v>
      </c>
      <c r="V2102" s="148" t="str">
        <f>IFERROR(__xludf.DUMMYFUNCTION("""COMPUTED_VALUE"""),"[]")</f>
        <v>[]</v>
      </c>
      <c r="W2102" s="148">
        <f>IFERROR(__xludf.DUMMYFUNCTION("""COMPUTED_VALUE"""),1.1741004E7)</f>
        <v>11741004</v>
      </c>
      <c r="X2102" s="148">
        <f>IFERROR(__xludf.DUMMYFUNCTION("""COMPUTED_VALUE"""),0.0)</f>
        <v>0</v>
      </c>
      <c r="Y2102" s="148">
        <f>IFERROR(__xludf.DUMMYFUNCTION("""COMPUTED_VALUE"""),0.0)</f>
        <v>0</v>
      </c>
      <c r="Z2102" s="148"/>
    </row>
    <row r="2103">
      <c r="A2103" s="148">
        <f>IFERROR(__xludf.DUMMYFUNCTION("""COMPUTED_VALUE"""),1.111882E7)</f>
        <v>11118820</v>
      </c>
      <c r="B2103" s="148" t="str">
        <f>IFERROR(__xludf.DUMMYFUNCTION("""COMPUTED_VALUE"""),"深空装备图纸自选箱")</f>
        <v>深空装备图纸自选箱</v>
      </c>
      <c r="C2103" s="148"/>
      <c r="D2103" s="148" t="str">
        <f>IFERROR(__xludf.DUMMYFUNCTION("""COMPUTED_VALUE"""),"item_select_box")</f>
        <v>item_select_box</v>
      </c>
      <c r="E2103" s="148">
        <f>IFERROR(__xludf.DUMMYFUNCTION("""COMPUTED_VALUE"""),19.0)</f>
        <v>19</v>
      </c>
      <c r="F2103" s="148">
        <f>IFERROR(__xludf.DUMMYFUNCTION("""COMPUTED_VALUE"""),403308.0)</f>
        <v>403308</v>
      </c>
      <c r="G2103" s="148">
        <f>IFERROR(__xludf.DUMMYFUNCTION("""COMPUTED_VALUE"""),1.5117674E7)</f>
        <v>15117674</v>
      </c>
      <c r="H2103" s="148">
        <f>IFERROR(__xludf.DUMMYFUNCTION("""COMPUTED_VALUE"""),1.5115983E7)</f>
        <v>15115983</v>
      </c>
      <c r="I2103" s="148" t="str">
        <f>IFERROR(__xludf.DUMMYFUNCTION("""COMPUTED_VALUE"""),"{}")</f>
        <v>{}</v>
      </c>
      <c r="J2103" s="148" t="str">
        <f>IFERROR(__xludf.DUMMYFUNCTION("""COMPUTED_VALUE"""),"{""typ"":""lc"",""txt"":""LC_HERO_equipment_blueprint_select_box15""}")</f>
        <v>{"typ":"lc","txt":"LC_HERO_equipment_blueprint_select_box15"}</v>
      </c>
      <c r="K2103" s="148" t="str">
        <f>IFERROR(__xludf.DUMMYFUNCTION("""COMPUTED_VALUE"""),"{""typ"":""lc"",""txt"":""LC_HERO_equipment_puzzle_select_box_desc15""}")</f>
        <v>{"typ":"lc","txt":"LC_HERO_equipment_puzzle_select_box_desc15"}</v>
      </c>
      <c r="L2103" s="148" t="str">
        <f>IFERROR(__xludf.DUMMYFUNCTION("""COMPUTED_VALUE"""),"{}")</f>
        <v>{}</v>
      </c>
      <c r="M2103" s="148">
        <f>IFERROR(__xludf.DUMMYFUNCTION("""COMPUTED_VALUE"""),500.0)</f>
        <v>500</v>
      </c>
      <c r="N2103" s="148">
        <f>IFERROR(__xludf.DUMMYFUNCTION("""COMPUTED_VALUE"""),9999999.0)</f>
        <v>9999999</v>
      </c>
      <c r="O2103" s="148">
        <f>IFERROR(__xludf.DUMMYFUNCTION("""COMPUTED_VALUE"""),99999.0)</f>
        <v>99999</v>
      </c>
      <c r="P2103" s="148">
        <f>IFERROR(__xludf.DUMMYFUNCTION("""COMPUTED_VALUE"""),99999.0)</f>
        <v>99999</v>
      </c>
      <c r="Q2103" s="148" t="str">
        <f>IFERROR(__xludf.DUMMYFUNCTION("""COMPUTED_VALUE"""),"[""bag_other""]")</f>
        <v>["bag_other"]</v>
      </c>
      <c r="R2103" s="148" t="str">
        <f>IFERROR(__xludf.DUMMYFUNCTION("""COMPUTED_VALUE"""),"[""bag""]")</f>
        <v>["bag"]</v>
      </c>
      <c r="S2103" s="148" t="str">
        <f>IFERROR(__xludf.DUMMYFUNCTION("""COMPUTED_VALUE"""),"{""select_box"":[{""typ"":""blueprint"",""id"":19344033,""val"":1},{""typ"":""blueprint"",""id"":19344034,""val"":1},{""typ"":""blueprint"",""id"":19344035,""val"":1},{""typ"":""blueprint"",""id"":19344036,""val"":1}]}")</f>
        <v>{"select_box":[{"typ":"blueprint","id":19344033,"val":1},{"typ":"blueprint","id":19344034,"val":1},{"typ":"blueprint","id":19344035,"val":1},{"typ":"blueprint","id":19344036,"val":1}]}</v>
      </c>
      <c r="T2103" s="148">
        <f>IFERROR(__xludf.DUMMYFUNCTION("""COMPUTED_VALUE"""),-1.0)</f>
        <v>-1</v>
      </c>
      <c r="U2103" s="148">
        <f>IFERROR(__xludf.DUMMYFUNCTION("""COMPUTED_VALUE"""),0.0)</f>
        <v>0</v>
      </c>
      <c r="V2103" s="148" t="str">
        <f>IFERROR(__xludf.DUMMYFUNCTION("""COMPUTED_VALUE"""),"[]")</f>
        <v>[]</v>
      </c>
      <c r="W2103" s="148">
        <f>IFERROR(__xludf.DUMMYFUNCTION("""COMPUTED_VALUE"""),1.1741004E7)</f>
        <v>11741004</v>
      </c>
      <c r="X2103" s="148">
        <f>IFERROR(__xludf.DUMMYFUNCTION("""COMPUTED_VALUE"""),0.0)</f>
        <v>0</v>
      </c>
      <c r="Y2103" s="148">
        <f>IFERROR(__xludf.DUMMYFUNCTION("""COMPUTED_VALUE"""),0.0)</f>
        <v>0</v>
      </c>
      <c r="Z2103" s="148"/>
    </row>
    <row r="2104">
      <c r="A2104" s="148">
        <f>IFERROR(__xludf.DUMMYFUNCTION("""COMPUTED_VALUE"""),1.1118821E7)</f>
        <v>11118821</v>
      </c>
      <c r="B2104" s="148" t="str">
        <f>IFERROR(__xludf.DUMMYFUNCTION("""COMPUTED_VALUE"""),"银河装备图纸自选箱")</f>
        <v>银河装备图纸自选箱</v>
      </c>
      <c r="C2104" s="148"/>
      <c r="D2104" s="148" t="str">
        <f>IFERROR(__xludf.DUMMYFUNCTION("""COMPUTED_VALUE"""),"item_select_box")</f>
        <v>item_select_box</v>
      </c>
      <c r="E2104" s="148">
        <f>IFERROR(__xludf.DUMMYFUNCTION("""COMPUTED_VALUE"""),19.0)</f>
        <v>19</v>
      </c>
      <c r="F2104" s="148">
        <f>IFERROR(__xludf.DUMMYFUNCTION("""COMPUTED_VALUE"""),403308.0)</f>
        <v>403308</v>
      </c>
      <c r="G2104" s="148">
        <f>IFERROR(__xludf.DUMMYFUNCTION("""COMPUTED_VALUE"""),1.5117675E7)</f>
        <v>15117675</v>
      </c>
      <c r="H2104" s="148">
        <f>IFERROR(__xludf.DUMMYFUNCTION("""COMPUTED_VALUE"""),1.5115983E7)</f>
        <v>15115983</v>
      </c>
      <c r="I2104" s="148" t="str">
        <f>IFERROR(__xludf.DUMMYFUNCTION("""COMPUTED_VALUE"""),"{}")</f>
        <v>{}</v>
      </c>
      <c r="J2104" s="148" t="str">
        <f>IFERROR(__xludf.DUMMYFUNCTION("""COMPUTED_VALUE"""),"{""typ"":""lc"",""txt"":""LC_HERO_equipment_blueprint_select_box16""}")</f>
        <v>{"typ":"lc","txt":"LC_HERO_equipment_blueprint_select_box16"}</v>
      </c>
      <c r="K2104" s="148" t="str">
        <f>IFERROR(__xludf.DUMMYFUNCTION("""COMPUTED_VALUE"""),"{""typ"":""lc"",""txt"":""LC_HERO_equipment_puzzle_select_box_desc16""}")</f>
        <v>{"typ":"lc","txt":"LC_HERO_equipment_puzzle_select_box_desc16"}</v>
      </c>
      <c r="L2104" s="148" t="str">
        <f>IFERROR(__xludf.DUMMYFUNCTION("""COMPUTED_VALUE"""),"{}")</f>
        <v>{}</v>
      </c>
      <c r="M2104" s="148">
        <f>IFERROR(__xludf.DUMMYFUNCTION("""COMPUTED_VALUE"""),500.0)</f>
        <v>500</v>
      </c>
      <c r="N2104" s="148">
        <f>IFERROR(__xludf.DUMMYFUNCTION("""COMPUTED_VALUE"""),9999999.0)</f>
        <v>9999999</v>
      </c>
      <c r="O2104" s="148">
        <f>IFERROR(__xludf.DUMMYFUNCTION("""COMPUTED_VALUE"""),99999.0)</f>
        <v>99999</v>
      </c>
      <c r="P2104" s="148">
        <f>IFERROR(__xludf.DUMMYFUNCTION("""COMPUTED_VALUE"""),99999.0)</f>
        <v>99999</v>
      </c>
      <c r="Q2104" s="148" t="str">
        <f>IFERROR(__xludf.DUMMYFUNCTION("""COMPUTED_VALUE"""),"[""bag_other""]")</f>
        <v>["bag_other"]</v>
      </c>
      <c r="R2104" s="148" t="str">
        <f>IFERROR(__xludf.DUMMYFUNCTION("""COMPUTED_VALUE"""),"[""bag""]")</f>
        <v>["bag"]</v>
      </c>
      <c r="S2104" s="148" t="str">
        <f>IFERROR(__xludf.DUMMYFUNCTION("""COMPUTED_VALUE"""),"{""select_box"":[{""typ"":""blueprint"",""id"":19344037,""val"":1},{""typ"":""blueprint"",""id"":19344038,""val"":1},{""typ"":""blueprint"",""id"":19344039,""val"":1},{""typ"":""blueprint"",""id"":19344040,""val"":1}]}")</f>
        <v>{"select_box":[{"typ":"blueprint","id":19344037,"val":1},{"typ":"blueprint","id":19344038,"val":1},{"typ":"blueprint","id":19344039,"val":1},{"typ":"blueprint","id":19344040,"val":1}]}</v>
      </c>
      <c r="T2104" s="148">
        <f>IFERROR(__xludf.DUMMYFUNCTION("""COMPUTED_VALUE"""),-1.0)</f>
        <v>-1</v>
      </c>
      <c r="U2104" s="148">
        <f>IFERROR(__xludf.DUMMYFUNCTION("""COMPUTED_VALUE"""),0.0)</f>
        <v>0</v>
      </c>
      <c r="V2104" s="148" t="str">
        <f>IFERROR(__xludf.DUMMYFUNCTION("""COMPUTED_VALUE"""),"[]")</f>
        <v>[]</v>
      </c>
      <c r="W2104" s="148">
        <f>IFERROR(__xludf.DUMMYFUNCTION("""COMPUTED_VALUE"""),1.1741004E7)</f>
        <v>11741004</v>
      </c>
      <c r="X2104" s="148">
        <f>IFERROR(__xludf.DUMMYFUNCTION("""COMPUTED_VALUE"""),0.0)</f>
        <v>0</v>
      </c>
      <c r="Y2104" s="148">
        <f>IFERROR(__xludf.DUMMYFUNCTION("""COMPUTED_VALUE"""),0.0)</f>
        <v>0</v>
      </c>
      <c r="Z2104" s="148"/>
    </row>
    <row r="2105">
      <c r="A2105" s="148">
        <f>IFERROR(__xludf.DUMMYFUNCTION("""COMPUTED_VALUE"""),1.1118822E7)</f>
        <v>11118822</v>
      </c>
      <c r="B2105" s="148" t="str">
        <f>IFERROR(__xludf.DUMMYFUNCTION("""COMPUTED_VALUE"""),"秘境装备自选箱3")</f>
        <v>秘境装备自选箱3</v>
      </c>
      <c r="C2105" s="148"/>
      <c r="D2105" s="148" t="str">
        <f>IFERROR(__xludf.DUMMYFUNCTION("""COMPUTED_VALUE"""),"item_select_box")</f>
        <v>item_select_box</v>
      </c>
      <c r="E2105" s="148">
        <f>IFERROR(__xludf.DUMMYFUNCTION("""COMPUTED_VALUE"""),19.0)</f>
        <v>19</v>
      </c>
      <c r="F2105" s="148">
        <f>IFERROR(__xludf.DUMMYFUNCTION("""COMPUTED_VALUE"""),403308.0)</f>
        <v>403308</v>
      </c>
      <c r="G2105" s="148">
        <f>IFERROR(__xludf.DUMMYFUNCTION("""COMPUTED_VALUE"""),1.5115914E7)</f>
        <v>15115914</v>
      </c>
      <c r="H2105" s="148">
        <f>IFERROR(__xludf.DUMMYFUNCTION("""COMPUTED_VALUE"""),1.5115983E7)</f>
        <v>15115983</v>
      </c>
      <c r="I2105" s="148" t="str">
        <f>IFERROR(__xludf.DUMMYFUNCTION("""COMPUTED_VALUE"""),"{}")</f>
        <v>{}</v>
      </c>
      <c r="J2105" s="148" t="str">
        <f>IFERROR(__xludf.DUMMYFUNCTION("""COMPUTED_VALUE"""),"{""typ"":""lc"",""txt"":""LC_ITEM_monopoly_equipment_blueprint_select_box_name_1""}")</f>
        <v>{"typ":"lc","txt":"LC_ITEM_monopoly_equipment_blueprint_select_box_name_1"}</v>
      </c>
      <c r="K2105" s="148" t="str">
        <f>IFERROR(__xludf.DUMMYFUNCTION("""COMPUTED_VALUE"""),"{""typ"":""lc"",""txt"":""LC_ITEM_monopoly_equipment_blueprint_select_box_desc_6""}")</f>
        <v>{"typ":"lc","txt":"LC_ITEM_monopoly_equipment_blueprint_select_box_desc_6"}</v>
      </c>
      <c r="L2105" s="148" t="str">
        <f>IFERROR(__xludf.DUMMYFUNCTION("""COMPUTED_VALUE"""),"{}")</f>
        <v>{}</v>
      </c>
      <c r="M2105" s="148">
        <f>IFERROR(__xludf.DUMMYFUNCTION("""COMPUTED_VALUE"""),500.0)</f>
        <v>500</v>
      </c>
      <c r="N2105" s="148">
        <f>IFERROR(__xludf.DUMMYFUNCTION("""COMPUTED_VALUE"""),9999999.0)</f>
        <v>9999999</v>
      </c>
      <c r="O2105" s="148">
        <f>IFERROR(__xludf.DUMMYFUNCTION("""COMPUTED_VALUE"""),99999.0)</f>
        <v>99999</v>
      </c>
      <c r="P2105" s="148">
        <f>IFERROR(__xludf.DUMMYFUNCTION("""COMPUTED_VALUE"""),99999.0)</f>
        <v>99999</v>
      </c>
      <c r="Q2105" s="148" t="str">
        <f>IFERROR(__xludf.DUMMYFUNCTION("""COMPUTED_VALUE"""),"[""bag_other""]")</f>
        <v>["bag_other"]</v>
      </c>
      <c r="R2105" s="148" t="str">
        <f>IFERROR(__xludf.DUMMYFUNCTION("""COMPUTED_VALUE"""),"[""bag""]")</f>
        <v>["bag"]</v>
      </c>
      <c r="S2105" s="148" t="str">
        <f>IFERROR(__xludf.DUMMYFUNCTION("""COMPUTED_VALUE"""),"{""select_box"":[{""typ"":""item"",""id"":11118819,""val"":1},{""typ"":""item"",""id"":11118820,""val"":1},{""typ"":""item"",""id"":11118821,""val"":1}]}")</f>
        <v>{"select_box":[{"typ":"item","id":11118819,"val":1},{"typ":"item","id":11118820,"val":1},{"typ":"item","id":11118821,"val":1}]}</v>
      </c>
      <c r="T2105" s="148">
        <f>IFERROR(__xludf.DUMMYFUNCTION("""COMPUTED_VALUE"""),-1.0)</f>
        <v>-1</v>
      </c>
      <c r="U2105" s="148">
        <f>IFERROR(__xludf.DUMMYFUNCTION("""COMPUTED_VALUE"""),0.0)</f>
        <v>0</v>
      </c>
      <c r="V2105" s="148" t="str">
        <f>IFERROR(__xludf.DUMMYFUNCTION("""COMPUTED_VALUE"""),"[]")</f>
        <v>[]</v>
      </c>
      <c r="W2105" s="148">
        <f>IFERROR(__xludf.DUMMYFUNCTION("""COMPUTED_VALUE"""),1.1741004E7)</f>
        <v>11741004</v>
      </c>
      <c r="X2105" s="148">
        <f>IFERROR(__xludf.DUMMYFUNCTION("""COMPUTED_VALUE"""),0.0)</f>
        <v>0</v>
      </c>
      <c r="Y2105" s="148">
        <f>IFERROR(__xludf.DUMMYFUNCTION("""COMPUTED_VALUE"""),0.0)</f>
        <v>0</v>
      </c>
      <c r="Z2105" s="148"/>
    </row>
    <row r="2106">
      <c r="A2106" s="148">
        <f>IFERROR(__xludf.DUMMYFUNCTION("""COMPUTED_VALUE"""),1.1118823E7)</f>
        <v>11118823</v>
      </c>
      <c r="B2106" s="148" t="str">
        <f>IFERROR(__xludf.DUMMYFUNCTION("""COMPUTED_VALUE"""),"一代战装自选-尖端驱动器")</f>
        <v>一代战装自选-尖端驱动器</v>
      </c>
      <c r="C2106" s="148"/>
      <c r="D2106" s="148" t="str">
        <f>IFERROR(__xludf.DUMMYFUNCTION("""COMPUTED_VALUE"""),"hero_equipment")</f>
        <v>hero_equipment</v>
      </c>
      <c r="E2106" s="148">
        <f>IFERROR(__xludf.DUMMYFUNCTION("""COMPUTED_VALUE"""),0.0)</f>
        <v>0</v>
      </c>
      <c r="F2106" s="148">
        <f>IFERROR(__xludf.DUMMYFUNCTION("""COMPUTED_VALUE"""),0.0)</f>
        <v>0</v>
      </c>
      <c r="G2106" s="148">
        <f>IFERROR(__xludf.DUMMYFUNCTION("""COMPUTED_VALUE"""),1.5117678E7)</f>
        <v>15117678</v>
      </c>
      <c r="H2106" s="148">
        <f>IFERROR(__xludf.DUMMYFUNCTION("""COMPUTED_VALUE"""),1.5112564E7)</f>
        <v>15112564</v>
      </c>
      <c r="I2106" s="148" t="str">
        <f>IFERROR(__xludf.DUMMYFUNCTION("""COMPUTED_VALUE"""),"{}")</f>
        <v>{}</v>
      </c>
      <c r="J2106" s="148" t="str">
        <f>IFERROR(__xludf.DUMMYFUNCTION("""COMPUTED_VALUE"""),"{""typ"":""lc"",""txt"":""LC_HERO_equipment_name17""}")</f>
        <v>{"typ":"lc","txt":"LC_HERO_equipment_name17"}</v>
      </c>
      <c r="K2106" s="148" t="str">
        <f>IFERROR(__xludf.DUMMYFUNCTION("""COMPUTED_VALUE"""),"{}")</f>
        <v>{}</v>
      </c>
      <c r="L2106" s="148" t="str">
        <f>IFERROR(__xludf.DUMMYFUNCTION("""COMPUTED_VALUE"""),"{}")</f>
        <v>{}</v>
      </c>
      <c r="M2106" s="148">
        <f>IFERROR(__xludf.DUMMYFUNCTION("""COMPUTED_VALUE"""),1.0)</f>
        <v>1</v>
      </c>
      <c r="N2106" s="148">
        <f>IFERROR(__xludf.DUMMYFUNCTION("""COMPUTED_VALUE"""),999.0)</f>
        <v>999</v>
      </c>
      <c r="O2106" s="148">
        <f>IFERROR(__xludf.DUMMYFUNCTION("""COMPUTED_VALUE"""),999.0)</f>
        <v>999</v>
      </c>
      <c r="P2106" s="148">
        <f>IFERROR(__xludf.DUMMYFUNCTION("""COMPUTED_VALUE"""),999.0)</f>
        <v>999</v>
      </c>
      <c r="Q2106" s="148" t="str">
        <f>IFERROR(__xludf.DUMMYFUNCTION("""COMPUTED_VALUE"""),"[]")</f>
        <v>[]</v>
      </c>
      <c r="R2106" s="148" t="str">
        <f>IFERROR(__xludf.DUMMYFUNCTION("""COMPUTED_VALUE"""),"[]")</f>
        <v>[]</v>
      </c>
      <c r="S2106" s="148" t="str">
        <f>IFERROR(__xludf.DUMMYFUNCTION("""COMPUTED_VALUE"""),"{""effect"":[{""typ"":""hero_equipment"",""id"":19356001,""val"":1}]}")</f>
        <v>{"effect":[{"typ":"hero_equipment","id":19356001,"val":1}]}</v>
      </c>
      <c r="T2106" s="148">
        <f>IFERROR(__xludf.DUMMYFUNCTION("""COMPUTED_VALUE"""),-1.0)</f>
        <v>-1</v>
      </c>
      <c r="U2106" s="148">
        <f>IFERROR(__xludf.DUMMYFUNCTION("""COMPUTED_VALUE"""),1.0)</f>
        <v>1</v>
      </c>
      <c r="V2106" s="148" t="str">
        <f>IFERROR(__xludf.DUMMYFUNCTION("""COMPUTED_VALUE"""),"[]")</f>
        <v>[]</v>
      </c>
      <c r="W2106" s="148">
        <f>IFERROR(__xludf.DUMMYFUNCTION("""COMPUTED_VALUE"""),1.174E7)</f>
        <v>11740000</v>
      </c>
      <c r="X2106" s="148">
        <f>IFERROR(__xludf.DUMMYFUNCTION("""COMPUTED_VALUE"""),0.0)</f>
        <v>0</v>
      </c>
      <c r="Y2106" s="148">
        <f>IFERROR(__xludf.DUMMYFUNCTION("""COMPUTED_VALUE"""),0.0)</f>
        <v>0</v>
      </c>
      <c r="Z2106" s="148"/>
    </row>
    <row r="2107">
      <c r="A2107" s="148">
        <f>IFERROR(__xludf.DUMMYFUNCTION("""COMPUTED_VALUE"""),1.1118824E7)</f>
        <v>11118824</v>
      </c>
      <c r="B2107" s="148" t="str">
        <f>IFERROR(__xludf.DUMMYFUNCTION("""COMPUTED_VALUE"""),"一代战装自选-尖端防护服")</f>
        <v>一代战装自选-尖端防护服</v>
      </c>
      <c r="C2107" s="148"/>
      <c r="D2107" s="148" t="str">
        <f>IFERROR(__xludf.DUMMYFUNCTION("""COMPUTED_VALUE"""),"hero_equipment")</f>
        <v>hero_equipment</v>
      </c>
      <c r="E2107" s="148">
        <f>IFERROR(__xludf.DUMMYFUNCTION("""COMPUTED_VALUE"""),0.0)</f>
        <v>0</v>
      </c>
      <c r="F2107" s="148">
        <f>IFERROR(__xludf.DUMMYFUNCTION("""COMPUTED_VALUE"""),0.0)</f>
        <v>0</v>
      </c>
      <c r="G2107" s="148">
        <f>IFERROR(__xludf.DUMMYFUNCTION("""COMPUTED_VALUE"""),1.5117679E7)</f>
        <v>15117679</v>
      </c>
      <c r="H2107" s="148">
        <f>IFERROR(__xludf.DUMMYFUNCTION("""COMPUTED_VALUE"""),1.5112564E7)</f>
        <v>15112564</v>
      </c>
      <c r="I2107" s="148" t="str">
        <f>IFERROR(__xludf.DUMMYFUNCTION("""COMPUTED_VALUE"""),"{}")</f>
        <v>{}</v>
      </c>
      <c r="J2107" s="148" t="str">
        <f>IFERROR(__xludf.DUMMYFUNCTION("""COMPUTED_VALUE"""),"{""typ"":""lc"",""txt"":""LC_HERO_equipment_name18""}")</f>
        <v>{"typ":"lc","txt":"LC_HERO_equipment_name18"}</v>
      </c>
      <c r="K2107" s="148" t="str">
        <f>IFERROR(__xludf.DUMMYFUNCTION("""COMPUTED_VALUE"""),"{}")</f>
        <v>{}</v>
      </c>
      <c r="L2107" s="148" t="str">
        <f>IFERROR(__xludf.DUMMYFUNCTION("""COMPUTED_VALUE"""),"{}")</f>
        <v>{}</v>
      </c>
      <c r="M2107" s="148">
        <f>IFERROR(__xludf.DUMMYFUNCTION("""COMPUTED_VALUE"""),1.0)</f>
        <v>1</v>
      </c>
      <c r="N2107" s="148">
        <f>IFERROR(__xludf.DUMMYFUNCTION("""COMPUTED_VALUE"""),999.0)</f>
        <v>999</v>
      </c>
      <c r="O2107" s="148">
        <f>IFERROR(__xludf.DUMMYFUNCTION("""COMPUTED_VALUE"""),999.0)</f>
        <v>999</v>
      </c>
      <c r="P2107" s="148">
        <f>IFERROR(__xludf.DUMMYFUNCTION("""COMPUTED_VALUE"""),999.0)</f>
        <v>999</v>
      </c>
      <c r="Q2107" s="148" t="str">
        <f>IFERROR(__xludf.DUMMYFUNCTION("""COMPUTED_VALUE"""),"[]")</f>
        <v>[]</v>
      </c>
      <c r="R2107" s="148" t="str">
        <f>IFERROR(__xludf.DUMMYFUNCTION("""COMPUTED_VALUE"""),"[]")</f>
        <v>[]</v>
      </c>
      <c r="S2107" s="148" t="str">
        <f>IFERROR(__xludf.DUMMYFUNCTION("""COMPUTED_VALUE"""),"{""effect"":[{""typ"":""hero_equipment"",""id"":19356002,""val"":1}]}")</f>
        <v>{"effect":[{"typ":"hero_equipment","id":19356002,"val":1}]}</v>
      </c>
      <c r="T2107" s="148">
        <f>IFERROR(__xludf.DUMMYFUNCTION("""COMPUTED_VALUE"""),-1.0)</f>
        <v>-1</v>
      </c>
      <c r="U2107" s="148">
        <f>IFERROR(__xludf.DUMMYFUNCTION("""COMPUTED_VALUE"""),1.0)</f>
        <v>1</v>
      </c>
      <c r="V2107" s="148" t="str">
        <f>IFERROR(__xludf.DUMMYFUNCTION("""COMPUTED_VALUE"""),"[]")</f>
        <v>[]</v>
      </c>
      <c r="W2107" s="148">
        <f>IFERROR(__xludf.DUMMYFUNCTION("""COMPUTED_VALUE"""),1.174E7)</f>
        <v>11740000</v>
      </c>
      <c r="X2107" s="148">
        <f>IFERROR(__xludf.DUMMYFUNCTION("""COMPUTED_VALUE"""),0.0)</f>
        <v>0</v>
      </c>
      <c r="Y2107" s="148">
        <f>IFERROR(__xludf.DUMMYFUNCTION("""COMPUTED_VALUE"""),0.0)</f>
        <v>0</v>
      </c>
      <c r="Z2107" s="148"/>
    </row>
    <row r="2108">
      <c r="A2108" s="148">
        <f>IFERROR(__xludf.DUMMYFUNCTION("""COMPUTED_VALUE"""),1.1118825E7)</f>
        <v>11118825</v>
      </c>
      <c r="B2108" s="148" t="str">
        <f>IFERROR(__xludf.DUMMYFUNCTION("""COMPUTED_VALUE"""),"一代战装自选-尖端探测仪")</f>
        <v>一代战装自选-尖端探测仪</v>
      </c>
      <c r="C2108" s="148"/>
      <c r="D2108" s="148" t="str">
        <f>IFERROR(__xludf.DUMMYFUNCTION("""COMPUTED_VALUE"""),"hero_equipment")</f>
        <v>hero_equipment</v>
      </c>
      <c r="E2108" s="148">
        <f>IFERROR(__xludf.DUMMYFUNCTION("""COMPUTED_VALUE"""),0.0)</f>
        <v>0</v>
      </c>
      <c r="F2108" s="148">
        <f>IFERROR(__xludf.DUMMYFUNCTION("""COMPUTED_VALUE"""),0.0)</f>
        <v>0</v>
      </c>
      <c r="G2108" s="148">
        <f>IFERROR(__xludf.DUMMYFUNCTION("""COMPUTED_VALUE"""),1.511768E7)</f>
        <v>15117680</v>
      </c>
      <c r="H2108" s="148">
        <f>IFERROR(__xludf.DUMMYFUNCTION("""COMPUTED_VALUE"""),1.5112564E7)</f>
        <v>15112564</v>
      </c>
      <c r="I2108" s="148" t="str">
        <f>IFERROR(__xludf.DUMMYFUNCTION("""COMPUTED_VALUE"""),"{}")</f>
        <v>{}</v>
      </c>
      <c r="J2108" s="148" t="str">
        <f>IFERROR(__xludf.DUMMYFUNCTION("""COMPUTED_VALUE"""),"{""typ"":""lc"",""txt"":""LC_HERO_equipment_name19""}")</f>
        <v>{"typ":"lc","txt":"LC_HERO_equipment_name19"}</v>
      </c>
      <c r="K2108" s="148" t="str">
        <f>IFERROR(__xludf.DUMMYFUNCTION("""COMPUTED_VALUE"""),"{}")</f>
        <v>{}</v>
      </c>
      <c r="L2108" s="148" t="str">
        <f>IFERROR(__xludf.DUMMYFUNCTION("""COMPUTED_VALUE"""),"{}")</f>
        <v>{}</v>
      </c>
      <c r="M2108" s="148">
        <f>IFERROR(__xludf.DUMMYFUNCTION("""COMPUTED_VALUE"""),1.0)</f>
        <v>1</v>
      </c>
      <c r="N2108" s="148">
        <f>IFERROR(__xludf.DUMMYFUNCTION("""COMPUTED_VALUE"""),999.0)</f>
        <v>999</v>
      </c>
      <c r="O2108" s="148">
        <f>IFERROR(__xludf.DUMMYFUNCTION("""COMPUTED_VALUE"""),999.0)</f>
        <v>999</v>
      </c>
      <c r="P2108" s="148">
        <f>IFERROR(__xludf.DUMMYFUNCTION("""COMPUTED_VALUE"""),999.0)</f>
        <v>999</v>
      </c>
      <c r="Q2108" s="148" t="str">
        <f>IFERROR(__xludf.DUMMYFUNCTION("""COMPUTED_VALUE"""),"[]")</f>
        <v>[]</v>
      </c>
      <c r="R2108" s="148" t="str">
        <f>IFERROR(__xludf.DUMMYFUNCTION("""COMPUTED_VALUE"""),"[]")</f>
        <v>[]</v>
      </c>
      <c r="S2108" s="148" t="str">
        <f>IFERROR(__xludf.DUMMYFUNCTION("""COMPUTED_VALUE"""),"{""effect"":[{""typ"":""hero_equipment"",""id"":19356003,""val"":1}]}")</f>
        <v>{"effect":[{"typ":"hero_equipment","id":19356003,"val":1}]}</v>
      </c>
      <c r="T2108" s="148">
        <f>IFERROR(__xludf.DUMMYFUNCTION("""COMPUTED_VALUE"""),-1.0)</f>
        <v>-1</v>
      </c>
      <c r="U2108" s="148">
        <f>IFERROR(__xludf.DUMMYFUNCTION("""COMPUTED_VALUE"""),1.0)</f>
        <v>1</v>
      </c>
      <c r="V2108" s="148" t="str">
        <f>IFERROR(__xludf.DUMMYFUNCTION("""COMPUTED_VALUE"""),"[]")</f>
        <v>[]</v>
      </c>
      <c r="W2108" s="148">
        <f>IFERROR(__xludf.DUMMYFUNCTION("""COMPUTED_VALUE"""),1.174E7)</f>
        <v>11740000</v>
      </c>
      <c r="X2108" s="148">
        <f>IFERROR(__xludf.DUMMYFUNCTION("""COMPUTED_VALUE"""),0.0)</f>
        <v>0</v>
      </c>
      <c r="Y2108" s="148">
        <f>IFERROR(__xludf.DUMMYFUNCTION("""COMPUTED_VALUE"""),0.0)</f>
        <v>0</v>
      </c>
      <c r="Z2108" s="148"/>
    </row>
    <row r="2109">
      <c r="A2109" s="148">
        <f>IFERROR(__xludf.DUMMYFUNCTION("""COMPUTED_VALUE"""),1.1118826E7)</f>
        <v>11118826</v>
      </c>
      <c r="B2109" s="148" t="str">
        <f>IFERROR(__xludf.DUMMYFUNCTION("""COMPUTED_VALUE"""),"一代战装自选-尖端应急包")</f>
        <v>一代战装自选-尖端应急包</v>
      </c>
      <c r="C2109" s="148"/>
      <c r="D2109" s="148" t="str">
        <f>IFERROR(__xludf.DUMMYFUNCTION("""COMPUTED_VALUE"""),"hero_equipment")</f>
        <v>hero_equipment</v>
      </c>
      <c r="E2109" s="148">
        <f>IFERROR(__xludf.DUMMYFUNCTION("""COMPUTED_VALUE"""),0.0)</f>
        <v>0</v>
      </c>
      <c r="F2109" s="148">
        <f>IFERROR(__xludf.DUMMYFUNCTION("""COMPUTED_VALUE"""),0.0)</f>
        <v>0</v>
      </c>
      <c r="G2109" s="148">
        <f>IFERROR(__xludf.DUMMYFUNCTION("""COMPUTED_VALUE"""),1.5117681E7)</f>
        <v>15117681</v>
      </c>
      <c r="H2109" s="148">
        <f>IFERROR(__xludf.DUMMYFUNCTION("""COMPUTED_VALUE"""),1.5112564E7)</f>
        <v>15112564</v>
      </c>
      <c r="I2109" s="148" t="str">
        <f>IFERROR(__xludf.DUMMYFUNCTION("""COMPUTED_VALUE"""),"{}")</f>
        <v>{}</v>
      </c>
      <c r="J2109" s="148" t="str">
        <f>IFERROR(__xludf.DUMMYFUNCTION("""COMPUTED_VALUE"""),"{""typ"":""lc"",""txt"":""LC_HERO_equipment_name20""}")</f>
        <v>{"typ":"lc","txt":"LC_HERO_equipment_name20"}</v>
      </c>
      <c r="K2109" s="148" t="str">
        <f>IFERROR(__xludf.DUMMYFUNCTION("""COMPUTED_VALUE"""),"{}")</f>
        <v>{}</v>
      </c>
      <c r="L2109" s="148" t="str">
        <f>IFERROR(__xludf.DUMMYFUNCTION("""COMPUTED_VALUE"""),"{}")</f>
        <v>{}</v>
      </c>
      <c r="M2109" s="148">
        <f>IFERROR(__xludf.DUMMYFUNCTION("""COMPUTED_VALUE"""),1.0)</f>
        <v>1</v>
      </c>
      <c r="N2109" s="148">
        <f>IFERROR(__xludf.DUMMYFUNCTION("""COMPUTED_VALUE"""),999.0)</f>
        <v>999</v>
      </c>
      <c r="O2109" s="148">
        <f>IFERROR(__xludf.DUMMYFUNCTION("""COMPUTED_VALUE"""),999.0)</f>
        <v>999</v>
      </c>
      <c r="P2109" s="148">
        <f>IFERROR(__xludf.DUMMYFUNCTION("""COMPUTED_VALUE"""),999.0)</f>
        <v>999</v>
      </c>
      <c r="Q2109" s="148" t="str">
        <f>IFERROR(__xludf.DUMMYFUNCTION("""COMPUTED_VALUE"""),"[]")</f>
        <v>[]</v>
      </c>
      <c r="R2109" s="148" t="str">
        <f>IFERROR(__xludf.DUMMYFUNCTION("""COMPUTED_VALUE"""),"[]")</f>
        <v>[]</v>
      </c>
      <c r="S2109" s="148" t="str">
        <f>IFERROR(__xludf.DUMMYFUNCTION("""COMPUTED_VALUE"""),"{""effect"":[{""typ"":""hero_equipment"",""id"":19356004,""val"":1}]}")</f>
        <v>{"effect":[{"typ":"hero_equipment","id":19356004,"val":1}]}</v>
      </c>
      <c r="T2109" s="148">
        <f>IFERROR(__xludf.DUMMYFUNCTION("""COMPUTED_VALUE"""),-1.0)</f>
        <v>-1</v>
      </c>
      <c r="U2109" s="148">
        <f>IFERROR(__xludf.DUMMYFUNCTION("""COMPUTED_VALUE"""),1.0)</f>
        <v>1</v>
      </c>
      <c r="V2109" s="148" t="str">
        <f>IFERROR(__xludf.DUMMYFUNCTION("""COMPUTED_VALUE"""),"[]")</f>
        <v>[]</v>
      </c>
      <c r="W2109" s="148">
        <f>IFERROR(__xludf.DUMMYFUNCTION("""COMPUTED_VALUE"""),1.174E7)</f>
        <v>11740000</v>
      </c>
      <c r="X2109" s="148">
        <f>IFERROR(__xludf.DUMMYFUNCTION("""COMPUTED_VALUE"""),0.0)</f>
        <v>0</v>
      </c>
      <c r="Y2109" s="148">
        <f>IFERROR(__xludf.DUMMYFUNCTION("""COMPUTED_VALUE"""),0.0)</f>
        <v>0</v>
      </c>
      <c r="Z2109" s="148"/>
    </row>
    <row r="2110">
      <c r="A2110" s="148">
        <f>IFERROR(__xludf.DUMMYFUNCTION("""COMPUTED_VALUE"""),1.1118827E7)</f>
        <v>11118827</v>
      </c>
      <c r="B2110" s="148" t="str">
        <f>IFERROR(__xludf.DUMMYFUNCTION("""COMPUTED_VALUE"""),"一代战装自选-征服者驱动器")</f>
        <v>一代战装自选-征服者驱动器</v>
      </c>
      <c r="C2110" s="148"/>
      <c r="D2110" s="148" t="str">
        <f>IFERROR(__xludf.DUMMYFUNCTION("""COMPUTED_VALUE"""),"hero_equipment")</f>
        <v>hero_equipment</v>
      </c>
      <c r="E2110" s="148">
        <f>IFERROR(__xludf.DUMMYFUNCTION("""COMPUTED_VALUE"""),0.0)</f>
        <v>0</v>
      </c>
      <c r="F2110" s="148">
        <f>IFERROR(__xludf.DUMMYFUNCTION("""COMPUTED_VALUE"""),0.0)</f>
        <v>0</v>
      </c>
      <c r="G2110" s="148">
        <f>IFERROR(__xludf.DUMMYFUNCTION("""COMPUTED_VALUE"""),1.5117682E7)</f>
        <v>15117682</v>
      </c>
      <c r="H2110" s="148">
        <f>IFERROR(__xludf.DUMMYFUNCTION("""COMPUTED_VALUE"""),1.5112564E7)</f>
        <v>15112564</v>
      </c>
      <c r="I2110" s="148" t="str">
        <f>IFERROR(__xludf.DUMMYFUNCTION("""COMPUTED_VALUE"""),"{}")</f>
        <v>{}</v>
      </c>
      <c r="J2110" s="148" t="str">
        <f>IFERROR(__xludf.DUMMYFUNCTION("""COMPUTED_VALUE"""),"{""typ"":""lc"",""txt"":""LC_HERO_equipment_name21""}")</f>
        <v>{"typ":"lc","txt":"LC_HERO_equipment_name21"}</v>
      </c>
      <c r="K2110" s="148" t="str">
        <f>IFERROR(__xludf.DUMMYFUNCTION("""COMPUTED_VALUE"""),"{}")</f>
        <v>{}</v>
      </c>
      <c r="L2110" s="148" t="str">
        <f>IFERROR(__xludf.DUMMYFUNCTION("""COMPUTED_VALUE"""),"{}")</f>
        <v>{}</v>
      </c>
      <c r="M2110" s="148">
        <f>IFERROR(__xludf.DUMMYFUNCTION("""COMPUTED_VALUE"""),1.0)</f>
        <v>1</v>
      </c>
      <c r="N2110" s="148">
        <f>IFERROR(__xludf.DUMMYFUNCTION("""COMPUTED_VALUE"""),999.0)</f>
        <v>999</v>
      </c>
      <c r="O2110" s="148">
        <f>IFERROR(__xludf.DUMMYFUNCTION("""COMPUTED_VALUE"""),999.0)</f>
        <v>999</v>
      </c>
      <c r="P2110" s="148">
        <f>IFERROR(__xludf.DUMMYFUNCTION("""COMPUTED_VALUE"""),999.0)</f>
        <v>999</v>
      </c>
      <c r="Q2110" s="148" t="str">
        <f>IFERROR(__xludf.DUMMYFUNCTION("""COMPUTED_VALUE"""),"[]")</f>
        <v>[]</v>
      </c>
      <c r="R2110" s="148" t="str">
        <f>IFERROR(__xludf.DUMMYFUNCTION("""COMPUTED_VALUE"""),"[]")</f>
        <v>[]</v>
      </c>
      <c r="S2110" s="148" t="str">
        <f>IFERROR(__xludf.DUMMYFUNCTION("""COMPUTED_VALUE"""),"{""effect"":[{""typ"":""hero_equipment"",""id"":19356005,""val"":1}]}")</f>
        <v>{"effect":[{"typ":"hero_equipment","id":19356005,"val":1}]}</v>
      </c>
      <c r="T2110" s="148">
        <f>IFERROR(__xludf.DUMMYFUNCTION("""COMPUTED_VALUE"""),-1.0)</f>
        <v>-1</v>
      </c>
      <c r="U2110" s="148">
        <f>IFERROR(__xludf.DUMMYFUNCTION("""COMPUTED_VALUE"""),1.0)</f>
        <v>1</v>
      </c>
      <c r="V2110" s="148" t="str">
        <f>IFERROR(__xludf.DUMMYFUNCTION("""COMPUTED_VALUE"""),"[]")</f>
        <v>[]</v>
      </c>
      <c r="W2110" s="148">
        <f>IFERROR(__xludf.DUMMYFUNCTION("""COMPUTED_VALUE"""),1.174E7)</f>
        <v>11740000</v>
      </c>
      <c r="X2110" s="148">
        <f>IFERROR(__xludf.DUMMYFUNCTION("""COMPUTED_VALUE"""),0.0)</f>
        <v>0</v>
      </c>
      <c r="Y2110" s="148">
        <f>IFERROR(__xludf.DUMMYFUNCTION("""COMPUTED_VALUE"""),0.0)</f>
        <v>0</v>
      </c>
      <c r="Z2110" s="148"/>
    </row>
    <row r="2111">
      <c r="A2111" s="148">
        <f>IFERROR(__xludf.DUMMYFUNCTION("""COMPUTED_VALUE"""),1.1118828E7)</f>
        <v>11118828</v>
      </c>
      <c r="B2111" s="148" t="str">
        <f>IFERROR(__xludf.DUMMYFUNCTION("""COMPUTED_VALUE"""),"一代战装自选-征服者防护服")</f>
        <v>一代战装自选-征服者防护服</v>
      </c>
      <c r="C2111" s="148"/>
      <c r="D2111" s="148" t="str">
        <f>IFERROR(__xludf.DUMMYFUNCTION("""COMPUTED_VALUE"""),"hero_equipment")</f>
        <v>hero_equipment</v>
      </c>
      <c r="E2111" s="148">
        <f>IFERROR(__xludf.DUMMYFUNCTION("""COMPUTED_VALUE"""),0.0)</f>
        <v>0</v>
      </c>
      <c r="F2111" s="148">
        <f>IFERROR(__xludf.DUMMYFUNCTION("""COMPUTED_VALUE"""),0.0)</f>
        <v>0</v>
      </c>
      <c r="G2111" s="148">
        <f>IFERROR(__xludf.DUMMYFUNCTION("""COMPUTED_VALUE"""),1.5117683E7)</f>
        <v>15117683</v>
      </c>
      <c r="H2111" s="148">
        <f>IFERROR(__xludf.DUMMYFUNCTION("""COMPUTED_VALUE"""),1.5112564E7)</f>
        <v>15112564</v>
      </c>
      <c r="I2111" s="148" t="str">
        <f>IFERROR(__xludf.DUMMYFUNCTION("""COMPUTED_VALUE"""),"{}")</f>
        <v>{}</v>
      </c>
      <c r="J2111" s="148" t="str">
        <f>IFERROR(__xludf.DUMMYFUNCTION("""COMPUTED_VALUE"""),"{""typ"":""lc"",""txt"":""LC_HERO_equipment_name22""}")</f>
        <v>{"typ":"lc","txt":"LC_HERO_equipment_name22"}</v>
      </c>
      <c r="K2111" s="148" t="str">
        <f>IFERROR(__xludf.DUMMYFUNCTION("""COMPUTED_VALUE"""),"{}")</f>
        <v>{}</v>
      </c>
      <c r="L2111" s="148" t="str">
        <f>IFERROR(__xludf.DUMMYFUNCTION("""COMPUTED_VALUE"""),"{}")</f>
        <v>{}</v>
      </c>
      <c r="M2111" s="148">
        <f>IFERROR(__xludf.DUMMYFUNCTION("""COMPUTED_VALUE"""),1.0)</f>
        <v>1</v>
      </c>
      <c r="N2111" s="148">
        <f>IFERROR(__xludf.DUMMYFUNCTION("""COMPUTED_VALUE"""),999.0)</f>
        <v>999</v>
      </c>
      <c r="O2111" s="148">
        <f>IFERROR(__xludf.DUMMYFUNCTION("""COMPUTED_VALUE"""),999.0)</f>
        <v>999</v>
      </c>
      <c r="P2111" s="148">
        <f>IFERROR(__xludf.DUMMYFUNCTION("""COMPUTED_VALUE"""),999.0)</f>
        <v>999</v>
      </c>
      <c r="Q2111" s="148" t="str">
        <f>IFERROR(__xludf.DUMMYFUNCTION("""COMPUTED_VALUE"""),"[]")</f>
        <v>[]</v>
      </c>
      <c r="R2111" s="148" t="str">
        <f>IFERROR(__xludf.DUMMYFUNCTION("""COMPUTED_VALUE"""),"[]")</f>
        <v>[]</v>
      </c>
      <c r="S2111" s="148" t="str">
        <f>IFERROR(__xludf.DUMMYFUNCTION("""COMPUTED_VALUE"""),"{""effect"":[{""typ"":""hero_equipment"",""id"":19356006,""val"":1}]}")</f>
        <v>{"effect":[{"typ":"hero_equipment","id":19356006,"val":1}]}</v>
      </c>
      <c r="T2111" s="148">
        <f>IFERROR(__xludf.DUMMYFUNCTION("""COMPUTED_VALUE"""),-1.0)</f>
        <v>-1</v>
      </c>
      <c r="U2111" s="148">
        <f>IFERROR(__xludf.DUMMYFUNCTION("""COMPUTED_VALUE"""),1.0)</f>
        <v>1</v>
      </c>
      <c r="V2111" s="148" t="str">
        <f>IFERROR(__xludf.DUMMYFUNCTION("""COMPUTED_VALUE"""),"[]")</f>
        <v>[]</v>
      </c>
      <c r="W2111" s="148">
        <f>IFERROR(__xludf.DUMMYFUNCTION("""COMPUTED_VALUE"""),1.174E7)</f>
        <v>11740000</v>
      </c>
      <c r="X2111" s="148">
        <f>IFERROR(__xludf.DUMMYFUNCTION("""COMPUTED_VALUE"""),0.0)</f>
        <v>0</v>
      </c>
      <c r="Y2111" s="148">
        <f>IFERROR(__xludf.DUMMYFUNCTION("""COMPUTED_VALUE"""),0.0)</f>
        <v>0</v>
      </c>
      <c r="Z2111" s="148"/>
    </row>
    <row r="2112">
      <c r="A2112" s="148">
        <f>IFERROR(__xludf.DUMMYFUNCTION("""COMPUTED_VALUE"""),1.1118829E7)</f>
        <v>11118829</v>
      </c>
      <c r="B2112" s="148" t="str">
        <f>IFERROR(__xludf.DUMMYFUNCTION("""COMPUTED_VALUE"""),"一代战装自选-征服者探测仪")</f>
        <v>一代战装自选-征服者探测仪</v>
      </c>
      <c r="C2112" s="148"/>
      <c r="D2112" s="148" t="str">
        <f>IFERROR(__xludf.DUMMYFUNCTION("""COMPUTED_VALUE"""),"hero_equipment")</f>
        <v>hero_equipment</v>
      </c>
      <c r="E2112" s="148">
        <f>IFERROR(__xludf.DUMMYFUNCTION("""COMPUTED_VALUE"""),0.0)</f>
        <v>0</v>
      </c>
      <c r="F2112" s="148">
        <f>IFERROR(__xludf.DUMMYFUNCTION("""COMPUTED_VALUE"""),0.0)</f>
        <v>0</v>
      </c>
      <c r="G2112" s="148">
        <f>IFERROR(__xludf.DUMMYFUNCTION("""COMPUTED_VALUE"""),1.5117684E7)</f>
        <v>15117684</v>
      </c>
      <c r="H2112" s="148">
        <f>IFERROR(__xludf.DUMMYFUNCTION("""COMPUTED_VALUE"""),1.5112564E7)</f>
        <v>15112564</v>
      </c>
      <c r="I2112" s="148" t="str">
        <f>IFERROR(__xludf.DUMMYFUNCTION("""COMPUTED_VALUE"""),"{}")</f>
        <v>{}</v>
      </c>
      <c r="J2112" s="148" t="str">
        <f>IFERROR(__xludf.DUMMYFUNCTION("""COMPUTED_VALUE"""),"{""typ"":""lc"",""txt"":""LC_HERO_equipment_name23""}")</f>
        <v>{"typ":"lc","txt":"LC_HERO_equipment_name23"}</v>
      </c>
      <c r="K2112" s="148" t="str">
        <f>IFERROR(__xludf.DUMMYFUNCTION("""COMPUTED_VALUE"""),"{}")</f>
        <v>{}</v>
      </c>
      <c r="L2112" s="148" t="str">
        <f>IFERROR(__xludf.DUMMYFUNCTION("""COMPUTED_VALUE"""),"{}")</f>
        <v>{}</v>
      </c>
      <c r="M2112" s="148">
        <f>IFERROR(__xludf.DUMMYFUNCTION("""COMPUTED_VALUE"""),1.0)</f>
        <v>1</v>
      </c>
      <c r="N2112" s="148">
        <f>IFERROR(__xludf.DUMMYFUNCTION("""COMPUTED_VALUE"""),999.0)</f>
        <v>999</v>
      </c>
      <c r="O2112" s="148">
        <f>IFERROR(__xludf.DUMMYFUNCTION("""COMPUTED_VALUE"""),999.0)</f>
        <v>999</v>
      </c>
      <c r="P2112" s="148">
        <f>IFERROR(__xludf.DUMMYFUNCTION("""COMPUTED_VALUE"""),999.0)</f>
        <v>999</v>
      </c>
      <c r="Q2112" s="148" t="str">
        <f>IFERROR(__xludf.DUMMYFUNCTION("""COMPUTED_VALUE"""),"[]")</f>
        <v>[]</v>
      </c>
      <c r="R2112" s="148" t="str">
        <f>IFERROR(__xludf.DUMMYFUNCTION("""COMPUTED_VALUE"""),"[]")</f>
        <v>[]</v>
      </c>
      <c r="S2112" s="148" t="str">
        <f>IFERROR(__xludf.DUMMYFUNCTION("""COMPUTED_VALUE"""),"{""effect"":[{""typ"":""hero_equipment"",""id"":19356007,""val"":1}]}")</f>
        <v>{"effect":[{"typ":"hero_equipment","id":19356007,"val":1}]}</v>
      </c>
      <c r="T2112" s="148">
        <f>IFERROR(__xludf.DUMMYFUNCTION("""COMPUTED_VALUE"""),-1.0)</f>
        <v>-1</v>
      </c>
      <c r="U2112" s="148">
        <f>IFERROR(__xludf.DUMMYFUNCTION("""COMPUTED_VALUE"""),1.0)</f>
        <v>1</v>
      </c>
      <c r="V2112" s="148" t="str">
        <f>IFERROR(__xludf.DUMMYFUNCTION("""COMPUTED_VALUE"""),"[]")</f>
        <v>[]</v>
      </c>
      <c r="W2112" s="148">
        <f>IFERROR(__xludf.DUMMYFUNCTION("""COMPUTED_VALUE"""),1.174E7)</f>
        <v>11740000</v>
      </c>
      <c r="X2112" s="148">
        <f>IFERROR(__xludf.DUMMYFUNCTION("""COMPUTED_VALUE"""),0.0)</f>
        <v>0</v>
      </c>
      <c r="Y2112" s="148">
        <f>IFERROR(__xludf.DUMMYFUNCTION("""COMPUTED_VALUE"""),0.0)</f>
        <v>0</v>
      </c>
      <c r="Z2112" s="148"/>
    </row>
    <row r="2113">
      <c r="A2113" s="148">
        <f>IFERROR(__xludf.DUMMYFUNCTION("""COMPUTED_VALUE"""),1.111883E7)</f>
        <v>11118830</v>
      </c>
      <c r="B2113" s="148" t="str">
        <f>IFERROR(__xludf.DUMMYFUNCTION("""COMPUTED_VALUE"""),"一代战装自选-征服者应急包")</f>
        <v>一代战装自选-征服者应急包</v>
      </c>
      <c r="C2113" s="148"/>
      <c r="D2113" s="148" t="str">
        <f>IFERROR(__xludf.DUMMYFUNCTION("""COMPUTED_VALUE"""),"hero_equipment")</f>
        <v>hero_equipment</v>
      </c>
      <c r="E2113" s="148">
        <f>IFERROR(__xludf.DUMMYFUNCTION("""COMPUTED_VALUE"""),0.0)</f>
        <v>0</v>
      </c>
      <c r="F2113" s="148">
        <f>IFERROR(__xludf.DUMMYFUNCTION("""COMPUTED_VALUE"""),0.0)</f>
        <v>0</v>
      </c>
      <c r="G2113" s="148">
        <f>IFERROR(__xludf.DUMMYFUNCTION("""COMPUTED_VALUE"""),1.5117685E7)</f>
        <v>15117685</v>
      </c>
      <c r="H2113" s="148">
        <f>IFERROR(__xludf.DUMMYFUNCTION("""COMPUTED_VALUE"""),1.5112564E7)</f>
        <v>15112564</v>
      </c>
      <c r="I2113" s="148" t="str">
        <f>IFERROR(__xludf.DUMMYFUNCTION("""COMPUTED_VALUE"""),"{}")</f>
        <v>{}</v>
      </c>
      <c r="J2113" s="148" t="str">
        <f>IFERROR(__xludf.DUMMYFUNCTION("""COMPUTED_VALUE"""),"{""typ"":""lc"",""txt"":""LC_HERO_equipment_name24""}")</f>
        <v>{"typ":"lc","txt":"LC_HERO_equipment_name24"}</v>
      </c>
      <c r="K2113" s="148" t="str">
        <f>IFERROR(__xludf.DUMMYFUNCTION("""COMPUTED_VALUE"""),"{}")</f>
        <v>{}</v>
      </c>
      <c r="L2113" s="148" t="str">
        <f>IFERROR(__xludf.DUMMYFUNCTION("""COMPUTED_VALUE"""),"{}")</f>
        <v>{}</v>
      </c>
      <c r="M2113" s="148">
        <f>IFERROR(__xludf.DUMMYFUNCTION("""COMPUTED_VALUE"""),1.0)</f>
        <v>1</v>
      </c>
      <c r="N2113" s="148">
        <f>IFERROR(__xludf.DUMMYFUNCTION("""COMPUTED_VALUE"""),999.0)</f>
        <v>999</v>
      </c>
      <c r="O2113" s="148">
        <f>IFERROR(__xludf.DUMMYFUNCTION("""COMPUTED_VALUE"""),999.0)</f>
        <v>999</v>
      </c>
      <c r="P2113" s="148">
        <f>IFERROR(__xludf.DUMMYFUNCTION("""COMPUTED_VALUE"""),999.0)</f>
        <v>999</v>
      </c>
      <c r="Q2113" s="148" t="str">
        <f>IFERROR(__xludf.DUMMYFUNCTION("""COMPUTED_VALUE"""),"[]")</f>
        <v>[]</v>
      </c>
      <c r="R2113" s="148" t="str">
        <f>IFERROR(__xludf.DUMMYFUNCTION("""COMPUTED_VALUE"""),"[]")</f>
        <v>[]</v>
      </c>
      <c r="S2113" s="148" t="str">
        <f>IFERROR(__xludf.DUMMYFUNCTION("""COMPUTED_VALUE"""),"{""effect"":[{""typ"":""hero_equipment"",""id"":19356008,""val"":1}]}")</f>
        <v>{"effect":[{"typ":"hero_equipment","id":19356008,"val":1}]}</v>
      </c>
      <c r="T2113" s="148">
        <f>IFERROR(__xludf.DUMMYFUNCTION("""COMPUTED_VALUE"""),-1.0)</f>
        <v>-1</v>
      </c>
      <c r="U2113" s="148">
        <f>IFERROR(__xludf.DUMMYFUNCTION("""COMPUTED_VALUE"""),1.0)</f>
        <v>1</v>
      </c>
      <c r="V2113" s="148" t="str">
        <f>IFERROR(__xludf.DUMMYFUNCTION("""COMPUTED_VALUE"""),"[]")</f>
        <v>[]</v>
      </c>
      <c r="W2113" s="148">
        <f>IFERROR(__xludf.DUMMYFUNCTION("""COMPUTED_VALUE"""),1.174E7)</f>
        <v>11740000</v>
      </c>
      <c r="X2113" s="148">
        <f>IFERROR(__xludf.DUMMYFUNCTION("""COMPUTED_VALUE"""),0.0)</f>
        <v>0</v>
      </c>
      <c r="Y2113" s="148">
        <f>IFERROR(__xludf.DUMMYFUNCTION("""COMPUTED_VALUE"""),0.0)</f>
        <v>0</v>
      </c>
      <c r="Z2113" s="148"/>
    </row>
    <row r="2114">
      <c r="A2114" s="148">
        <f>IFERROR(__xludf.DUMMYFUNCTION("""COMPUTED_VALUE"""),1.1118831E7)</f>
        <v>11118831</v>
      </c>
      <c r="B2114" s="148" t="str">
        <f>IFERROR(__xludf.DUMMYFUNCTION("""COMPUTED_VALUE"""),"一代战装自选-精密驱动器")</f>
        <v>一代战装自选-精密驱动器</v>
      </c>
      <c r="C2114" s="148"/>
      <c r="D2114" s="148" t="str">
        <f>IFERROR(__xludf.DUMMYFUNCTION("""COMPUTED_VALUE"""),"hero_equipment")</f>
        <v>hero_equipment</v>
      </c>
      <c r="E2114" s="148">
        <f>IFERROR(__xludf.DUMMYFUNCTION("""COMPUTED_VALUE"""),0.0)</f>
        <v>0</v>
      </c>
      <c r="F2114" s="148">
        <f>IFERROR(__xludf.DUMMYFUNCTION("""COMPUTED_VALUE"""),0.0)</f>
        <v>0</v>
      </c>
      <c r="G2114" s="148">
        <f>IFERROR(__xludf.DUMMYFUNCTION("""COMPUTED_VALUE"""),1.5117686E7)</f>
        <v>15117686</v>
      </c>
      <c r="H2114" s="148">
        <f>IFERROR(__xludf.DUMMYFUNCTION("""COMPUTED_VALUE"""),1.5112564E7)</f>
        <v>15112564</v>
      </c>
      <c r="I2114" s="148" t="str">
        <f>IFERROR(__xludf.DUMMYFUNCTION("""COMPUTED_VALUE"""),"{}")</f>
        <v>{}</v>
      </c>
      <c r="J2114" s="148" t="str">
        <f>IFERROR(__xludf.DUMMYFUNCTION("""COMPUTED_VALUE"""),"{""typ"":""lc"",""txt"":""LC_HERO_equipment_name33""}")</f>
        <v>{"typ":"lc","txt":"LC_HERO_equipment_name33"}</v>
      </c>
      <c r="K2114" s="148" t="str">
        <f>IFERROR(__xludf.DUMMYFUNCTION("""COMPUTED_VALUE"""),"{}")</f>
        <v>{}</v>
      </c>
      <c r="L2114" s="148" t="str">
        <f>IFERROR(__xludf.DUMMYFUNCTION("""COMPUTED_VALUE"""),"{}")</f>
        <v>{}</v>
      </c>
      <c r="M2114" s="148">
        <f>IFERROR(__xludf.DUMMYFUNCTION("""COMPUTED_VALUE"""),1.0)</f>
        <v>1</v>
      </c>
      <c r="N2114" s="148">
        <f>IFERROR(__xludf.DUMMYFUNCTION("""COMPUTED_VALUE"""),999.0)</f>
        <v>999</v>
      </c>
      <c r="O2114" s="148">
        <f>IFERROR(__xludf.DUMMYFUNCTION("""COMPUTED_VALUE"""),999.0)</f>
        <v>999</v>
      </c>
      <c r="P2114" s="148">
        <f>IFERROR(__xludf.DUMMYFUNCTION("""COMPUTED_VALUE"""),999.0)</f>
        <v>999</v>
      </c>
      <c r="Q2114" s="148" t="str">
        <f>IFERROR(__xludf.DUMMYFUNCTION("""COMPUTED_VALUE"""),"[]")</f>
        <v>[]</v>
      </c>
      <c r="R2114" s="148" t="str">
        <f>IFERROR(__xludf.DUMMYFUNCTION("""COMPUTED_VALUE"""),"[]")</f>
        <v>[]</v>
      </c>
      <c r="S2114" s="148" t="str">
        <f>IFERROR(__xludf.DUMMYFUNCTION("""COMPUTED_VALUE"""),"{""effect"":[{""typ"":""hero_equipment"",""id"":19356009,""val"":1}]}")</f>
        <v>{"effect":[{"typ":"hero_equipment","id":19356009,"val":1}]}</v>
      </c>
      <c r="T2114" s="148">
        <f>IFERROR(__xludf.DUMMYFUNCTION("""COMPUTED_VALUE"""),-1.0)</f>
        <v>-1</v>
      </c>
      <c r="U2114" s="148">
        <f>IFERROR(__xludf.DUMMYFUNCTION("""COMPUTED_VALUE"""),1.0)</f>
        <v>1</v>
      </c>
      <c r="V2114" s="148" t="str">
        <f>IFERROR(__xludf.DUMMYFUNCTION("""COMPUTED_VALUE"""),"[]")</f>
        <v>[]</v>
      </c>
      <c r="W2114" s="148">
        <f>IFERROR(__xludf.DUMMYFUNCTION("""COMPUTED_VALUE"""),1.174E7)</f>
        <v>11740000</v>
      </c>
      <c r="X2114" s="148">
        <f>IFERROR(__xludf.DUMMYFUNCTION("""COMPUTED_VALUE"""),0.0)</f>
        <v>0</v>
      </c>
      <c r="Y2114" s="148">
        <f>IFERROR(__xludf.DUMMYFUNCTION("""COMPUTED_VALUE"""),0.0)</f>
        <v>0</v>
      </c>
      <c r="Z2114" s="148"/>
    </row>
    <row r="2115">
      <c r="A2115" s="148">
        <f>IFERROR(__xludf.DUMMYFUNCTION("""COMPUTED_VALUE"""),1.1118832E7)</f>
        <v>11118832</v>
      </c>
      <c r="B2115" s="148" t="str">
        <f>IFERROR(__xludf.DUMMYFUNCTION("""COMPUTED_VALUE"""),"一代战装自选-精密防护服")</f>
        <v>一代战装自选-精密防护服</v>
      </c>
      <c r="C2115" s="148"/>
      <c r="D2115" s="148" t="str">
        <f>IFERROR(__xludf.DUMMYFUNCTION("""COMPUTED_VALUE"""),"hero_equipment")</f>
        <v>hero_equipment</v>
      </c>
      <c r="E2115" s="148">
        <f>IFERROR(__xludf.DUMMYFUNCTION("""COMPUTED_VALUE"""),0.0)</f>
        <v>0</v>
      </c>
      <c r="F2115" s="148">
        <f>IFERROR(__xludf.DUMMYFUNCTION("""COMPUTED_VALUE"""),0.0)</f>
        <v>0</v>
      </c>
      <c r="G2115" s="148">
        <f>IFERROR(__xludf.DUMMYFUNCTION("""COMPUTED_VALUE"""),1.5117687E7)</f>
        <v>15117687</v>
      </c>
      <c r="H2115" s="148">
        <f>IFERROR(__xludf.DUMMYFUNCTION("""COMPUTED_VALUE"""),1.5112564E7)</f>
        <v>15112564</v>
      </c>
      <c r="I2115" s="148" t="str">
        <f>IFERROR(__xludf.DUMMYFUNCTION("""COMPUTED_VALUE"""),"{}")</f>
        <v>{}</v>
      </c>
      <c r="J2115" s="148" t="str">
        <f>IFERROR(__xludf.DUMMYFUNCTION("""COMPUTED_VALUE"""),"{""typ"":""lc"",""txt"":""LC_HERO_equipment_name34""}")</f>
        <v>{"typ":"lc","txt":"LC_HERO_equipment_name34"}</v>
      </c>
      <c r="K2115" s="148" t="str">
        <f>IFERROR(__xludf.DUMMYFUNCTION("""COMPUTED_VALUE"""),"{}")</f>
        <v>{}</v>
      </c>
      <c r="L2115" s="148" t="str">
        <f>IFERROR(__xludf.DUMMYFUNCTION("""COMPUTED_VALUE"""),"{}")</f>
        <v>{}</v>
      </c>
      <c r="M2115" s="148">
        <f>IFERROR(__xludf.DUMMYFUNCTION("""COMPUTED_VALUE"""),1.0)</f>
        <v>1</v>
      </c>
      <c r="N2115" s="148">
        <f>IFERROR(__xludf.DUMMYFUNCTION("""COMPUTED_VALUE"""),999.0)</f>
        <v>999</v>
      </c>
      <c r="O2115" s="148">
        <f>IFERROR(__xludf.DUMMYFUNCTION("""COMPUTED_VALUE"""),999.0)</f>
        <v>999</v>
      </c>
      <c r="P2115" s="148">
        <f>IFERROR(__xludf.DUMMYFUNCTION("""COMPUTED_VALUE"""),999.0)</f>
        <v>999</v>
      </c>
      <c r="Q2115" s="148" t="str">
        <f>IFERROR(__xludf.DUMMYFUNCTION("""COMPUTED_VALUE"""),"[]")</f>
        <v>[]</v>
      </c>
      <c r="R2115" s="148" t="str">
        <f>IFERROR(__xludf.DUMMYFUNCTION("""COMPUTED_VALUE"""),"[]")</f>
        <v>[]</v>
      </c>
      <c r="S2115" s="148" t="str">
        <f>IFERROR(__xludf.DUMMYFUNCTION("""COMPUTED_VALUE"""),"{""effect"":[{""typ"":""hero_equipment"",""id"":19356010,""val"":1}]}")</f>
        <v>{"effect":[{"typ":"hero_equipment","id":19356010,"val":1}]}</v>
      </c>
      <c r="T2115" s="148">
        <f>IFERROR(__xludf.DUMMYFUNCTION("""COMPUTED_VALUE"""),-1.0)</f>
        <v>-1</v>
      </c>
      <c r="U2115" s="148">
        <f>IFERROR(__xludf.DUMMYFUNCTION("""COMPUTED_VALUE"""),1.0)</f>
        <v>1</v>
      </c>
      <c r="V2115" s="148" t="str">
        <f>IFERROR(__xludf.DUMMYFUNCTION("""COMPUTED_VALUE"""),"[]")</f>
        <v>[]</v>
      </c>
      <c r="W2115" s="148">
        <f>IFERROR(__xludf.DUMMYFUNCTION("""COMPUTED_VALUE"""),1.174E7)</f>
        <v>11740000</v>
      </c>
      <c r="X2115" s="148">
        <f>IFERROR(__xludf.DUMMYFUNCTION("""COMPUTED_VALUE"""),0.0)</f>
        <v>0</v>
      </c>
      <c r="Y2115" s="148">
        <f>IFERROR(__xludf.DUMMYFUNCTION("""COMPUTED_VALUE"""),0.0)</f>
        <v>0</v>
      </c>
      <c r="Z2115" s="148"/>
    </row>
    <row r="2116">
      <c r="A2116" s="148">
        <f>IFERROR(__xludf.DUMMYFUNCTION("""COMPUTED_VALUE"""),1.1118833E7)</f>
        <v>11118833</v>
      </c>
      <c r="B2116" s="148" t="str">
        <f>IFERROR(__xludf.DUMMYFUNCTION("""COMPUTED_VALUE"""),"一代战装自选-精密探测仪")</f>
        <v>一代战装自选-精密探测仪</v>
      </c>
      <c r="C2116" s="148"/>
      <c r="D2116" s="148" t="str">
        <f>IFERROR(__xludf.DUMMYFUNCTION("""COMPUTED_VALUE"""),"hero_equipment")</f>
        <v>hero_equipment</v>
      </c>
      <c r="E2116" s="148">
        <f>IFERROR(__xludf.DUMMYFUNCTION("""COMPUTED_VALUE"""),0.0)</f>
        <v>0</v>
      </c>
      <c r="F2116" s="148">
        <f>IFERROR(__xludf.DUMMYFUNCTION("""COMPUTED_VALUE"""),0.0)</f>
        <v>0</v>
      </c>
      <c r="G2116" s="148">
        <f>IFERROR(__xludf.DUMMYFUNCTION("""COMPUTED_VALUE"""),1.5117688E7)</f>
        <v>15117688</v>
      </c>
      <c r="H2116" s="148">
        <f>IFERROR(__xludf.DUMMYFUNCTION("""COMPUTED_VALUE"""),1.5112564E7)</f>
        <v>15112564</v>
      </c>
      <c r="I2116" s="148" t="str">
        <f>IFERROR(__xludf.DUMMYFUNCTION("""COMPUTED_VALUE"""),"{}")</f>
        <v>{}</v>
      </c>
      <c r="J2116" s="148" t="str">
        <f>IFERROR(__xludf.DUMMYFUNCTION("""COMPUTED_VALUE"""),"{""typ"":""lc"",""txt"":""LC_HERO_equipment_name35""}")</f>
        <v>{"typ":"lc","txt":"LC_HERO_equipment_name35"}</v>
      </c>
      <c r="K2116" s="148" t="str">
        <f>IFERROR(__xludf.DUMMYFUNCTION("""COMPUTED_VALUE"""),"{}")</f>
        <v>{}</v>
      </c>
      <c r="L2116" s="148" t="str">
        <f>IFERROR(__xludf.DUMMYFUNCTION("""COMPUTED_VALUE"""),"{}")</f>
        <v>{}</v>
      </c>
      <c r="M2116" s="148">
        <f>IFERROR(__xludf.DUMMYFUNCTION("""COMPUTED_VALUE"""),1.0)</f>
        <v>1</v>
      </c>
      <c r="N2116" s="148">
        <f>IFERROR(__xludf.DUMMYFUNCTION("""COMPUTED_VALUE"""),999.0)</f>
        <v>999</v>
      </c>
      <c r="O2116" s="148">
        <f>IFERROR(__xludf.DUMMYFUNCTION("""COMPUTED_VALUE"""),999.0)</f>
        <v>999</v>
      </c>
      <c r="P2116" s="148">
        <f>IFERROR(__xludf.DUMMYFUNCTION("""COMPUTED_VALUE"""),999.0)</f>
        <v>999</v>
      </c>
      <c r="Q2116" s="148" t="str">
        <f>IFERROR(__xludf.DUMMYFUNCTION("""COMPUTED_VALUE"""),"[]")</f>
        <v>[]</v>
      </c>
      <c r="R2116" s="148" t="str">
        <f>IFERROR(__xludf.DUMMYFUNCTION("""COMPUTED_VALUE"""),"[]")</f>
        <v>[]</v>
      </c>
      <c r="S2116" s="148" t="str">
        <f>IFERROR(__xludf.DUMMYFUNCTION("""COMPUTED_VALUE"""),"{""effect"":[{""typ"":""hero_equipment"",""id"":19356011,""val"":1}]}")</f>
        <v>{"effect":[{"typ":"hero_equipment","id":19356011,"val":1}]}</v>
      </c>
      <c r="T2116" s="148">
        <f>IFERROR(__xludf.DUMMYFUNCTION("""COMPUTED_VALUE"""),-1.0)</f>
        <v>-1</v>
      </c>
      <c r="U2116" s="148">
        <f>IFERROR(__xludf.DUMMYFUNCTION("""COMPUTED_VALUE"""),1.0)</f>
        <v>1</v>
      </c>
      <c r="V2116" s="148" t="str">
        <f>IFERROR(__xludf.DUMMYFUNCTION("""COMPUTED_VALUE"""),"[]")</f>
        <v>[]</v>
      </c>
      <c r="W2116" s="148">
        <f>IFERROR(__xludf.DUMMYFUNCTION("""COMPUTED_VALUE"""),1.174E7)</f>
        <v>11740000</v>
      </c>
      <c r="X2116" s="148">
        <f>IFERROR(__xludf.DUMMYFUNCTION("""COMPUTED_VALUE"""),0.0)</f>
        <v>0</v>
      </c>
      <c r="Y2116" s="148">
        <f>IFERROR(__xludf.DUMMYFUNCTION("""COMPUTED_VALUE"""),0.0)</f>
        <v>0</v>
      </c>
      <c r="Z2116" s="148"/>
    </row>
    <row r="2117">
      <c r="A2117" s="148">
        <f>IFERROR(__xludf.DUMMYFUNCTION("""COMPUTED_VALUE"""),1.1118834E7)</f>
        <v>11118834</v>
      </c>
      <c r="B2117" s="148" t="str">
        <f>IFERROR(__xludf.DUMMYFUNCTION("""COMPUTED_VALUE"""),"一代战装自选-精密应急包")</f>
        <v>一代战装自选-精密应急包</v>
      </c>
      <c r="C2117" s="148"/>
      <c r="D2117" s="148" t="str">
        <f>IFERROR(__xludf.DUMMYFUNCTION("""COMPUTED_VALUE"""),"hero_equipment")</f>
        <v>hero_equipment</v>
      </c>
      <c r="E2117" s="148">
        <f>IFERROR(__xludf.DUMMYFUNCTION("""COMPUTED_VALUE"""),0.0)</f>
        <v>0</v>
      </c>
      <c r="F2117" s="148">
        <f>IFERROR(__xludf.DUMMYFUNCTION("""COMPUTED_VALUE"""),0.0)</f>
        <v>0</v>
      </c>
      <c r="G2117" s="148">
        <f>IFERROR(__xludf.DUMMYFUNCTION("""COMPUTED_VALUE"""),1.5117689E7)</f>
        <v>15117689</v>
      </c>
      <c r="H2117" s="148">
        <f>IFERROR(__xludf.DUMMYFUNCTION("""COMPUTED_VALUE"""),1.5112564E7)</f>
        <v>15112564</v>
      </c>
      <c r="I2117" s="148" t="str">
        <f>IFERROR(__xludf.DUMMYFUNCTION("""COMPUTED_VALUE"""),"{}")</f>
        <v>{}</v>
      </c>
      <c r="J2117" s="148" t="str">
        <f>IFERROR(__xludf.DUMMYFUNCTION("""COMPUTED_VALUE"""),"{""typ"":""lc"",""txt"":""LC_HERO_equipment_name36""}")</f>
        <v>{"typ":"lc","txt":"LC_HERO_equipment_name36"}</v>
      </c>
      <c r="K2117" s="148" t="str">
        <f>IFERROR(__xludf.DUMMYFUNCTION("""COMPUTED_VALUE"""),"{}")</f>
        <v>{}</v>
      </c>
      <c r="L2117" s="148" t="str">
        <f>IFERROR(__xludf.DUMMYFUNCTION("""COMPUTED_VALUE"""),"{}")</f>
        <v>{}</v>
      </c>
      <c r="M2117" s="148">
        <f>IFERROR(__xludf.DUMMYFUNCTION("""COMPUTED_VALUE"""),1.0)</f>
        <v>1</v>
      </c>
      <c r="N2117" s="148">
        <f>IFERROR(__xludf.DUMMYFUNCTION("""COMPUTED_VALUE"""),999.0)</f>
        <v>999</v>
      </c>
      <c r="O2117" s="148">
        <f>IFERROR(__xludf.DUMMYFUNCTION("""COMPUTED_VALUE"""),999.0)</f>
        <v>999</v>
      </c>
      <c r="P2117" s="148">
        <f>IFERROR(__xludf.DUMMYFUNCTION("""COMPUTED_VALUE"""),999.0)</f>
        <v>999</v>
      </c>
      <c r="Q2117" s="148" t="str">
        <f>IFERROR(__xludf.DUMMYFUNCTION("""COMPUTED_VALUE"""),"[]")</f>
        <v>[]</v>
      </c>
      <c r="R2117" s="148" t="str">
        <f>IFERROR(__xludf.DUMMYFUNCTION("""COMPUTED_VALUE"""),"[]")</f>
        <v>[]</v>
      </c>
      <c r="S2117" s="148" t="str">
        <f>IFERROR(__xludf.DUMMYFUNCTION("""COMPUTED_VALUE"""),"{""effect"":[{""typ"":""hero_equipment"",""id"":19356012,""val"":1}]}")</f>
        <v>{"effect":[{"typ":"hero_equipment","id":19356012,"val":1}]}</v>
      </c>
      <c r="T2117" s="148">
        <f>IFERROR(__xludf.DUMMYFUNCTION("""COMPUTED_VALUE"""),-1.0)</f>
        <v>-1</v>
      </c>
      <c r="U2117" s="148">
        <f>IFERROR(__xludf.DUMMYFUNCTION("""COMPUTED_VALUE"""),1.0)</f>
        <v>1</v>
      </c>
      <c r="V2117" s="148" t="str">
        <f>IFERROR(__xludf.DUMMYFUNCTION("""COMPUTED_VALUE"""),"[]")</f>
        <v>[]</v>
      </c>
      <c r="W2117" s="148">
        <f>IFERROR(__xludf.DUMMYFUNCTION("""COMPUTED_VALUE"""),1.174E7)</f>
        <v>11740000</v>
      </c>
      <c r="X2117" s="148">
        <f>IFERROR(__xludf.DUMMYFUNCTION("""COMPUTED_VALUE"""),0.0)</f>
        <v>0</v>
      </c>
      <c r="Y2117" s="148">
        <f>IFERROR(__xludf.DUMMYFUNCTION("""COMPUTED_VALUE"""),0.0)</f>
        <v>0</v>
      </c>
      <c r="Z2117" s="148"/>
    </row>
    <row r="2118">
      <c r="A2118" s="148">
        <f>IFERROR(__xludf.DUMMYFUNCTION("""COMPUTED_VALUE"""),1.1118835E7)</f>
        <v>11118835</v>
      </c>
      <c r="B2118" s="148" t="str">
        <f>IFERROR(__xludf.DUMMYFUNCTION("""COMPUTED_VALUE"""),"二代战装自选-缔造者驱动器")</f>
        <v>二代战装自选-缔造者驱动器</v>
      </c>
      <c r="C2118" s="148"/>
      <c r="D2118" s="148" t="str">
        <f>IFERROR(__xludf.DUMMYFUNCTION("""COMPUTED_VALUE"""),"hero_equipment")</f>
        <v>hero_equipment</v>
      </c>
      <c r="E2118" s="148">
        <f>IFERROR(__xludf.DUMMYFUNCTION("""COMPUTED_VALUE"""),0.0)</f>
        <v>0</v>
      </c>
      <c r="F2118" s="148">
        <f>IFERROR(__xludf.DUMMYFUNCTION("""COMPUTED_VALUE"""),0.0)</f>
        <v>0</v>
      </c>
      <c r="G2118" s="148">
        <f>IFERROR(__xludf.DUMMYFUNCTION("""COMPUTED_VALUE"""),1.511769E7)</f>
        <v>15117690</v>
      </c>
      <c r="H2118" s="148">
        <f>IFERROR(__xludf.DUMMYFUNCTION("""COMPUTED_VALUE"""),1.5112564E7)</f>
        <v>15112564</v>
      </c>
      <c r="I2118" s="148" t="str">
        <f>IFERROR(__xludf.DUMMYFUNCTION("""COMPUTED_VALUE"""),"{}")</f>
        <v>{}</v>
      </c>
      <c r="J2118" s="148" t="str">
        <f>IFERROR(__xludf.DUMMYFUNCTION("""COMPUTED_VALUE"""),"{""typ"":""lc"",""txt"":""LC_HERO_equipment_name37""}")</f>
        <v>{"typ":"lc","txt":"LC_HERO_equipment_name37"}</v>
      </c>
      <c r="K2118" s="148" t="str">
        <f>IFERROR(__xludf.DUMMYFUNCTION("""COMPUTED_VALUE"""),"{}")</f>
        <v>{}</v>
      </c>
      <c r="L2118" s="148" t="str">
        <f>IFERROR(__xludf.DUMMYFUNCTION("""COMPUTED_VALUE"""),"{}")</f>
        <v>{}</v>
      </c>
      <c r="M2118" s="148">
        <f>IFERROR(__xludf.DUMMYFUNCTION("""COMPUTED_VALUE"""),1.0)</f>
        <v>1</v>
      </c>
      <c r="N2118" s="148">
        <f>IFERROR(__xludf.DUMMYFUNCTION("""COMPUTED_VALUE"""),999.0)</f>
        <v>999</v>
      </c>
      <c r="O2118" s="148">
        <f>IFERROR(__xludf.DUMMYFUNCTION("""COMPUTED_VALUE"""),999.0)</f>
        <v>999</v>
      </c>
      <c r="P2118" s="148">
        <f>IFERROR(__xludf.DUMMYFUNCTION("""COMPUTED_VALUE"""),999.0)</f>
        <v>999</v>
      </c>
      <c r="Q2118" s="148" t="str">
        <f>IFERROR(__xludf.DUMMYFUNCTION("""COMPUTED_VALUE"""),"[]")</f>
        <v>[]</v>
      </c>
      <c r="R2118" s="148" t="str">
        <f>IFERROR(__xludf.DUMMYFUNCTION("""COMPUTED_VALUE"""),"[]")</f>
        <v>[]</v>
      </c>
      <c r="S2118" s="148" t="str">
        <f>IFERROR(__xludf.DUMMYFUNCTION("""COMPUTED_VALUE"""),"{""effect"":[{""typ"":""hero_equipment"",""id"":19356013,""val"":1}]}")</f>
        <v>{"effect":[{"typ":"hero_equipment","id":19356013,"val":1}]}</v>
      </c>
      <c r="T2118" s="148">
        <f>IFERROR(__xludf.DUMMYFUNCTION("""COMPUTED_VALUE"""),-1.0)</f>
        <v>-1</v>
      </c>
      <c r="U2118" s="148">
        <f>IFERROR(__xludf.DUMMYFUNCTION("""COMPUTED_VALUE"""),1.0)</f>
        <v>1</v>
      </c>
      <c r="V2118" s="148" t="str">
        <f>IFERROR(__xludf.DUMMYFUNCTION("""COMPUTED_VALUE"""),"[]")</f>
        <v>[]</v>
      </c>
      <c r="W2118" s="148">
        <f>IFERROR(__xludf.DUMMYFUNCTION("""COMPUTED_VALUE"""),1.174E7)</f>
        <v>11740000</v>
      </c>
      <c r="X2118" s="148">
        <f>IFERROR(__xludf.DUMMYFUNCTION("""COMPUTED_VALUE"""),0.0)</f>
        <v>0</v>
      </c>
      <c r="Y2118" s="148">
        <f>IFERROR(__xludf.DUMMYFUNCTION("""COMPUTED_VALUE"""),0.0)</f>
        <v>0</v>
      </c>
      <c r="Z2118" s="148"/>
    </row>
    <row r="2119">
      <c r="A2119" s="148">
        <f>IFERROR(__xludf.DUMMYFUNCTION("""COMPUTED_VALUE"""),1.1118836E7)</f>
        <v>11118836</v>
      </c>
      <c r="B2119" s="148" t="str">
        <f>IFERROR(__xludf.DUMMYFUNCTION("""COMPUTED_VALUE"""),"二代战装自选-缔造者防护服")</f>
        <v>二代战装自选-缔造者防护服</v>
      </c>
      <c r="C2119" s="148"/>
      <c r="D2119" s="148" t="str">
        <f>IFERROR(__xludf.DUMMYFUNCTION("""COMPUTED_VALUE"""),"hero_equipment")</f>
        <v>hero_equipment</v>
      </c>
      <c r="E2119" s="148">
        <f>IFERROR(__xludf.DUMMYFUNCTION("""COMPUTED_VALUE"""),0.0)</f>
        <v>0</v>
      </c>
      <c r="F2119" s="148">
        <f>IFERROR(__xludf.DUMMYFUNCTION("""COMPUTED_VALUE"""),0.0)</f>
        <v>0</v>
      </c>
      <c r="G2119" s="148">
        <f>IFERROR(__xludf.DUMMYFUNCTION("""COMPUTED_VALUE"""),1.5117691E7)</f>
        <v>15117691</v>
      </c>
      <c r="H2119" s="148">
        <f>IFERROR(__xludf.DUMMYFUNCTION("""COMPUTED_VALUE"""),1.5112564E7)</f>
        <v>15112564</v>
      </c>
      <c r="I2119" s="148" t="str">
        <f>IFERROR(__xludf.DUMMYFUNCTION("""COMPUTED_VALUE"""),"{}")</f>
        <v>{}</v>
      </c>
      <c r="J2119" s="148" t="str">
        <f>IFERROR(__xludf.DUMMYFUNCTION("""COMPUTED_VALUE"""),"{""typ"":""lc"",""txt"":""LC_HERO_equipment_name38""}")</f>
        <v>{"typ":"lc","txt":"LC_HERO_equipment_name38"}</v>
      </c>
      <c r="K2119" s="148" t="str">
        <f>IFERROR(__xludf.DUMMYFUNCTION("""COMPUTED_VALUE"""),"{}")</f>
        <v>{}</v>
      </c>
      <c r="L2119" s="148" t="str">
        <f>IFERROR(__xludf.DUMMYFUNCTION("""COMPUTED_VALUE"""),"{}")</f>
        <v>{}</v>
      </c>
      <c r="M2119" s="148">
        <f>IFERROR(__xludf.DUMMYFUNCTION("""COMPUTED_VALUE"""),1.0)</f>
        <v>1</v>
      </c>
      <c r="N2119" s="148">
        <f>IFERROR(__xludf.DUMMYFUNCTION("""COMPUTED_VALUE"""),999.0)</f>
        <v>999</v>
      </c>
      <c r="O2119" s="148">
        <f>IFERROR(__xludf.DUMMYFUNCTION("""COMPUTED_VALUE"""),999.0)</f>
        <v>999</v>
      </c>
      <c r="P2119" s="148">
        <f>IFERROR(__xludf.DUMMYFUNCTION("""COMPUTED_VALUE"""),999.0)</f>
        <v>999</v>
      </c>
      <c r="Q2119" s="148" t="str">
        <f>IFERROR(__xludf.DUMMYFUNCTION("""COMPUTED_VALUE"""),"[]")</f>
        <v>[]</v>
      </c>
      <c r="R2119" s="148" t="str">
        <f>IFERROR(__xludf.DUMMYFUNCTION("""COMPUTED_VALUE"""),"[]")</f>
        <v>[]</v>
      </c>
      <c r="S2119" s="148" t="str">
        <f>IFERROR(__xludf.DUMMYFUNCTION("""COMPUTED_VALUE"""),"{""effect"":[{""typ"":""hero_equipment"",""id"":19356014,""val"":1}]}")</f>
        <v>{"effect":[{"typ":"hero_equipment","id":19356014,"val":1}]}</v>
      </c>
      <c r="T2119" s="148">
        <f>IFERROR(__xludf.DUMMYFUNCTION("""COMPUTED_VALUE"""),-1.0)</f>
        <v>-1</v>
      </c>
      <c r="U2119" s="148">
        <f>IFERROR(__xludf.DUMMYFUNCTION("""COMPUTED_VALUE"""),1.0)</f>
        <v>1</v>
      </c>
      <c r="V2119" s="148" t="str">
        <f>IFERROR(__xludf.DUMMYFUNCTION("""COMPUTED_VALUE"""),"[]")</f>
        <v>[]</v>
      </c>
      <c r="W2119" s="148">
        <f>IFERROR(__xludf.DUMMYFUNCTION("""COMPUTED_VALUE"""),1.174E7)</f>
        <v>11740000</v>
      </c>
      <c r="X2119" s="148">
        <f>IFERROR(__xludf.DUMMYFUNCTION("""COMPUTED_VALUE"""),0.0)</f>
        <v>0</v>
      </c>
      <c r="Y2119" s="148">
        <f>IFERROR(__xludf.DUMMYFUNCTION("""COMPUTED_VALUE"""),0.0)</f>
        <v>0</v>
      </c>
      <c r="Z2119" s="148"/>
    </row>
    <row r="2120">
      <c r="A2120" s="148">
        <f>IFERROR(__xludf.DUMMYFUNCTION("""COMPUTED_VALUE"""),1.1118837E7)</f>
        <v>11118837</v>
      </c>
      <c r="B2120" s="148" t="str">
        <f>IFERROR(__xludf.DUMMYFUNCTION("""COMPUTED_VALUE"""),"二代战装自选-缔造者探测仪")</f>
        <v>二代战装自选-缔造者探测仪</v>
      </c>
      <c r="C2120" s="148"/>
      <c r="D2120" s="148" t="str">
        <f>IFERROR(__xludf.DUMMYFUNCTION("""COMPUTED_VALUE"""),"hero_equipment")</f>
        <v>hero_equipment</v>
      </c>
      <c r="E2120" s="148">
        <f>IFERROR(__xludf.DUMMYFUNCTION("""COMPUTED_VALUE"""),0.0)</f>
        <v>0</v>
      </c>
      <c r="F2120" s="148">
        <f>IFERROR(__xludf.DUMMYFUNCTION("""COMPUTED_VALUE"""),0.0)</f>
        <v>0</v>
      </c>
      <c r="G2120" s="148">
        <f>IFERROR(__xludf.DUMMYFUNCTION("""COMPUTED_VALUE"""),1.5117692E7)</f>
        <v>15117692</v>
      </c>
      <c r="H2120" s="148">
        <f>IFERROR(__xludf.DUMMYFUNCTION("""COMPUTED_VALUE"""),1.5112564E7)</f>
        <v>15112564</v>
      </c>
      <c r="I2120" s="148" t="str">
        <f>IFERROR(__xludf.DUMMYFUNCTION("""COMPUTED_VALUE"""),"{}")</f>
        <v>{}</v>
      </c>
      <c r="J2120" s="148" t="str">
        <f>IFERROR(__xludf.DUMMYFUNCTION("""COMPUTED_VALUE"""),"{""typ"":""lc"",""txt"":""LC_HERO_equipment_name39""}")</f>
        <v>{"typ":"lc","txt":"LC_HERO_equipment_name39"}</v>
      </c>
      <c r="K2120" s="148" t="str">
        <f>IFERROR(__xludf.DUMMYFUNCTION("""COMPUTED_VALUE"""),"{}")</f>
        <v>{}</v>
      </c>
      <c r="L2120" s="148" t="str">
        <f>IFERROR(__xludf.DUMMYFUNCTION("""COMPUTED_VALUE"""),"{}")</f>
        <v>{}</v>
      </c>
      <c r="M2120" s="148">
        <f>IFERROR(__xludf.DUMMYFUNCTION("""COMPUTED_VALUE"""),1.0)</f>
        <v>1</v>
      </c>
      <c r="N2120" s="148">
        <f>IFERROR(__xludf.DUMMYFUNCTION("""COMPUTED_VALUE"""),999.0)</f>
        <v>999</v>
      </c>
      <c r="O2120" s="148">
        <f>IFERROR(__xludf.DUMMYFUNCTION("""COMPUTED_VALUE"""),999.0)</f>
        <v>999</v>
      </c>
      <c r="P2120" s="148">
        <f>IFERROR(__xludf.DUMMYFUNCTION("""COMPUTED_VALUE"""),999.0)</f>
        <v>999</v>
      </c>
      <c r="Q2120" s="148" t="str">
        <f>IFERROR(__xludf.DUMMYFUNCTION("""COMPUTED_VALUE"""),"[]")</f>
        <v>[]</v>
      </c>
      <c r="R2120" s="148" t="str">
        <f>IFERROR(__xludf.DUMMYFUNCTION("""COMPUTED_VALUE"""),"[]")</f>
        <v>[]</v>
      </c>
      <c r="S2120" s="148" t="str">
        <f>IFERROR(__xludf.DUMMYFUNCTION("""COMPUTED_VALUE"""),"{""effect"":[{""typ"":""hero_equipment"",""id"":19356015,""val"":1}]}")</f>
        <v>{"effect":[{"typ":"hero_equipment","id":19356015,"val":1}]}</v>
      </c>
      <c r="T2120" s="148">
        <f>IFERROR(__xludf.DUMMYFUNCTION("""COMPUTED_VALUE"""),-1.0)</f>
        <v>-1</v>
      </c>
      <c r="U2120" s="148">
        <f>IFERROR(__xludf.DUMMYFUNCTION("""COMPUTED_VALUE"""),1.0)</f>
        <v>1</v>
      </c>
      <c r="V2120" s="148" t="str">
        <f>IFERROR(__xludf.DUMMYFUNCTION("""COMPUTED_VALUE"""),"[]")</f>
        <v>[]</v>
      </c>
      <c r="W2120" s="148">
        <f>IFERROR(__xludf.DUMMYFUNCTION("""COMPUTED_VALUE"""),1.174E7)</f>
        <v>11740000</v>
      </c>
      <c r="X2120" s="148">
        <f>IFERROR(__xludf.DUMMYFUNCTION("""COMPUTED_VALUE"""),0.0)</f>
        <v>0</v>
      </c>
      <c r="Y2120" s="148">
        <f>IFERROR(__xludf.DUMMYFUNCTION("""COMPUTED_VALUE"""),0.0)</f>
        <v>0</v>
      </c>
      <c r="Z2120" s="148"/>
    </row>
    <row r="2121">
      <c r="A2121" s="148">
        <f>IFERROR(__xludf.DUMMYFUNCTION("""COMPUTED_VALUE"""),1.1118838E7)</f>
        <v>11118838</v>
      </c>
      <c r="B2121" s="148" t="str">
        <f>IFERROR(__xludf.DUMMYFUNCTION("""COMPUTED_VALUE"""),"二代战装自选-缔造者应急包")</f>
        <v>二代战装自选-缔造者应急包</v>
      </c>
      <c r="C2121" s="148"/>
      <c r="D2121" s="148" t="str">
        <f>IFERROR(__xludf.DUMMYFUNCTION("""COMPUTED_VALUE"""),"hero_equipment")</f>
        <v>hero_equipment</v>
      </c>
      <c r="E2121" s="148">
        <f>IFERROR(__xludf.DUMMYFUNCTION("""COMPUTED_VALUE"""),0.0)</f>
        <v>0</v>
      </c>
      <c r="F2121" s="148">
        <f>IFERROR(__xludf.DUMMYFUNCTION("""COMPUTED_VALUE"""),0.0)</f>
        <v>0</v>
      </c>
      <c r="G2121" s="148">
        <f>IFERROR(__xludf.DUMMYFUNCTION("""COMPUTED_VALUE"""),1.5117693E7)</f>
        <v>15117693</v>
      </c>
      <c r="H2121" s="148">
        <f>IFERROR(__xludf.DUMMYFUNCTION("""COMPUTED_VALUE"""),1.5112564E7)</f>
        <v>15112564</v>
      </c>
      <c r="I2121" s="148" t="str">
        <f>IFERROR(__xludf.DUMMYFUNCTION("""COMPUTED_VALUE"""),"{}")</f>
        <v>{}</v>
      </c>
      <c r="J2121" s="148" t="str">
        <f>IFERROR(__xludf.DUMMYFUNCTION("""COMPUTED_VALUE"""),"{""typ"":""lc"",""txt"":""LC_HERO_equipment_name40""}")</f>
        <v>{"typ":"lc","txt":"LC_HERO_equipment_name40"}</v>
      </c>
      <c r="K2121" s="148" t="str">
        <f>IFERROR(__xludf.DUMMYFUNCTION("""COMPUTED_VALUE"""),"{}")</f>
        <v>{}</v>
      </c>
      <c r="L2121" s="148" t="str">
        <f>IFERROR(__xludf.DUMMYFUNCTION("""COMPUTED_VALUE"""),"{}")</f>
        <v>{}</v>
      </c>
      <c r="M2121" s="148">
        <f>IFERROR(__xludf.DUMMYFUNCTION("""COMPUTED_VALUE"""),1.0)</f>
        <v>1</v>
      </c>
      <c r="N2121" s="148">
        <f>IFERROR(__xludf.DUMMYFUNCTION("""COMPUTED_VALUE"""),999.0)</f>
        <v>999</v>
      </c>
      <c r="O2121" s="148">
        <f>IFERROR(__xludf.DUMMYFUNCTION("""COMPUTED_VALUE"""),999.0)</f>
        <v>999</v>
      </c>
      <c r="P2121" s="148">
        <f>IFERROR(__xludf.DUMMYFUNCTION("""COMPUTED_VALUE"""),999.0)</f>
        <v>999</v>
      </c>
      <c r="Q2121" s="148" t="str">
        <f>IFERROR(__xludf.DUMMYFUNCTION("""COMPUTED_VALUE"""),"[]")</f>
        <v>[]</v>
      </c>
      <c r="R2121" s="148" t="str">
        <f>IFERROR(__xludf.DUMMYFUNCTION("""COMPUTED_VALUE"""),"[]")</f>
        <v>[]</v>
      </c>
      <c r="S2121" s="148" t="str">
        <f>IFERROR(__xludf.DUMMYFUNCTION("""COMPUTED_VALUE"""),"{""effect"":[{""typ"":""hero_equipment"",""id"":19356016,""val"":1}]}")</f>
        <v>{"effect":[{"typ":"hero_equipment","id":19356016,"val":1}]}</v>
      </c>
      <c r="T2121" s="148">
        <f>IFERROR(__xludf.DUMMYFUNCTION("""COMPUTED_VALUE"""),-1.0)</f>
        <v>-1</v>
      </c>
      <c r="U2121" s="148">
        <f>IFERROR(__xludf.DUMMYFUNCTION("""COMPUTED_VALUE"""),1.0)</f>
        <v>1</v>
      </c>
      <c r="V2121" s="148" t="str">
        <f>IFERROR(__xludf.DUMMYFUNCTION("""COMPUTED_VALUE"""),"[]")</f>
        <v>[]</v>
      </c>
      <c r="W2121" s="148">
        <f>IFERROR(__xludf.DUMMYFUNCTION("""COMPUTED_VALUE"""),1.174E7)</f>
        <v>11740000</v>
      </c>
      <c r="X2121" s="148">
        <f>IFERROR(__xludf.DUMMYFUNCTION("""COMPUTED_VALUE"""),0.0)</f>
        <v>0</v>
      </c>
      <c r="Y2121" s="148">
        <f>IFERROR(__xludf.DUMMYFUNCTION("""COMPUTED_VALUE"""),0.0)</f>
        <v>0</v>
      </c>
      <c r="Z2121" s="148"/>
    </row>
    <row r="2122">
      <c r="A2122" s="148">
        <f>IFERROR(__xludf.DUMMYFUNCTION("""COMPUTED_VALUE"""),1.1118839E7)</f>
        <v>11118839</v>
      </c>
      <c r="B2122" s="148" t="str">
        <f>IFERROR(__xludf.DUMMYFUNCTION("""COMPUTED_VALUE"""),"二代战装自选-霸者驱动器")</f>
        <v>二代战装自选-霸者驱动器</v>
      </c>
      <c r="C2122" s="148"/>
      <c r="D2122" s="148" t="str">
        <f>IFERROR(__xludf.DUMMYFUNCTION("""COMPUTED_VALUE"""),"hero_equipment")</f>
        <v>hero_equipment</v>
      </c>
      <c r="E2122" s="148">
        <f>IFERROR(__xludf.DUMMYFUNCTION("""COMPUTED_VALUE"""),0.0)</f>
        <v>0</v>
      </c>
      <c r="F2122" s="148">
        <f>IFERROR(__xludf.DUMMYFUNCTION("""COMPUTED_VALUE"""),0.0)</f>
        <v>0</v>
      </c>
      <c r="G2122" s="148">
        <f>IFERROR(__xludf.DUMMYFUNCTION("""COMPUTED_VALUE"""),1.5117694E7)</f>
        <v>15117694</v>
      </c>
      <c r="H2122" s="148">
        <f>IFERROR(__xludf.DUMMYFUNCTION("""COMPUTED_VALUE"""),1.5112564E7)</f>
        <v>15112564</v>
      </c>
      <c r="I2122" s="148" t="str">
        <f>IFERROR(__xludf.DUMMYFUNCTION("""COMPUTED_VALUE"""),"{}")</f>
        <v>{}</v>
      </c>
      <c r="J2122" s="148" t="str">
        <f>IFERROR(__xludf.DUMMYFUNCTION("""COMPUTED_VALUE"""),"{""typ"":""lc"",""txt"":""LC_HERO_equipment_name41""}")</f>
        <v>{"typ":"lc","txt":"LC_HERO_equipment_name41"}</v>
      </c>
      <c r="K2122" s="148" t="str">
        <f>IFERROR(__xludf.DUMMYFUNCTION("""COMPUTED_VALUE"""),"{}")</f>
        <v>{}</v>
      </c>
      <c r="L2122" s="148" t="str">
        <f>IFERROR(__xludf.DUMMYFUNCTION("""COMPUTED_VALUE"""),"{}")</f>
        <v>{}</v>
      </c>
      <c r="M2122" s="148">
        <f>IFERROR(__xludf.DUMMYFUNCTION("""COMPUTED_VALUE"""),1.0)</f>
        <v>1</v>
      </c>
      <c r="N2122" s="148">
        <f>IFERROR(__xludf.DUMMYFUNCTION("""COMPUTED_VALUE"""),999.0)</f>
        <v>999</v>
      </c>
      <c r="O2122" s="148">
        <f>IFERROR(__xludf.DUMMYFUNCTION("""COMPUTED_VALUE"""),999.0)</f>
        <v>999</v>
      </c>
      <c r="P2122" s="148">
        <f>IFERROR(__xludf.DUMMYFUNCTION("""COMPUTED_VALUE"""),999.0)</f>
        <v>999</v>
      </c>
      <c r="Q2122" s="148" t="str">
        <f>IFERROR(__xludf.DUMMYFUNCTION("""COMPUTED_VALUE"""),"[]")</f>
        <v>[]</v>
      </c>
      <c r="R2122" s="148" t="str">
        <f>IFERROR(__xludf.DUMMYFUNCTION("""COMPUTED_VALUE"""),"[]")</f>
        <v>[]</v>
      </c>
      <c r="S2122" s="148" t="str">
        <f>IFERROR(__xludf.DUMMYFUNCTION("""COMPUTED_VALUE"""),"{""effect"":[{""typ"":""hero_equipment"",""id"":19356017,""val"":1}]}")</f>
        <v>{"effect":[{"typ":"hero_equipment","id":19356017,"val":1}]}</v>
      </c>
      <c r="T2122" s="148">
        <f>IFERROR(__xludf.DUMMYFUNCTION("""COMPUTED_VALUE"""),-1.0)</f>
        <v>-1</v>
      </c>
      <c r="U2122" s="148">
        <f>IFERROR(__xludf.DUMMYFUNCTION("""COMPUTED_VALUE"""),1.0)</f>
        <v>1</v>
      </c>
      <c r="V2122" s="148" t="str">
        <f>IFERROR(__xludf.DUMMYFUNCTION("""COMPUTED_VALUE"""),"[]")</f>
        <v>[]</v>
      </c>
      <c r="W2122" s="148">
        <f>IFERROR(__xludf.DUMMYFUNCTION("""COMPUTED_VALUE"""),1.174E7)</f>
        <v>11740000</v>
      </c>
      <c r="X2122" s="148">
        <f>IFERROR(__xludf.DUMMYFUNCTION("""COMPUTED_VALUE"""),0.0)</f>
        <v>0</v>
      </c>
      <c r="Y2122" s="148">
        <f>IFERROR(__xludf.DUMMYFUNCTION("""COMPUTED_VALUE"""),0.0)</f>
        <v>0</v>
      </c>
      <c r="Z2122" s="148"/>
    </row>
    <row r="2123">
      <c r="A2123" s="148">
        <f>IFERROR(__xludf.DUMMYFUNCTION("""COMPUTED_VALUE"""),1.111884E7)</f>
        <v>11118840</v>
      </c>
      <c r="B2123" s="148" t="str">
        <f>IFERROR(__xludf.DUMMYFUNCTION("""COMPUTED_VALUE"""),"二代战装自选-霸者防护服")</f>
        <v>二代战装自选-霸者防护服</v>
      </c>
      <c r="C2123" s="148"/>
      <c r="D2123" s="148" t="str">
        <f>IFERROR(__xludf.DUMMYFUNCTION("""COMPUTED_VALUE"""),"hero_equipment")</f>
        <v>hero_equipment</v>
      </c>
      <c r="E2123" s="148">
        <f>IFERROR(__xludf.DUMMYFUNCTION("""COMPUTED_VALUE"""),0.0)</f>
        <v>0</v>
      </c>
      <c r="F2123" s="148">
        <f>IFERROR(__xludf.DUMMYFUNCTION("""COMPUTED_VALUE"""),0.0)</f>
        <v>0</v>
      </c>
      <c r="G2123" s="148">
        <f>IFERROR(__xludf.DUMMYFUNCTION("""COMPUTED_VALUE"""),1.5117695E7)</f>
        <v>15117695</v>
      </c>
      <c r="H2123" s="148">
        <f>IFERROR(__xludf.DUMMYFUNCTION("""COMPUTED_VALUE"""),1.5112564E7)</f>
        <v>15112564</v>
      </c>
      <c r="I2123" s="148" t="str">
        <f>IFERROR(__xludf.DUMMYFUNCTION("""COMPUTED_VALUE"""),"{}")</f>
        <v>{}</v>
      </c>
      <c r="J2123" s="148" t="str">
        <f>IFERROR(__xludf.DUMMYFUNCTION("""COMPUTED_VALUE"""),"{""typ"":""lc"",""txt"":""LC_HERO_equipment_name42""}")</f>
        <v>{"typ":"lc","txt":"LC_HERO_equipment_name42"}</v>
      </c>
      <c r="K2123" s="148" t="str">
        <f>IFERROR(__xludf.DUMMYFUNCTION("""COMPUTED_VALUE"""),"{}")</f>
        <v>{}</v>
      </c>
      <c r="L2123" s="148" t="str">
        <f>IFERROR(__xludf.DUMMYFUNCTION("""COMPUTED_VALUE"""),"{}")</f>
        <v>{}</v>
      </c>
      <c r="M2123" s="148">
        <f>IFERROR(__xludf.DUMMYFUNCTION("""COMPUTED_VALUE"""),1.0)</f>
        <v>1</v>
      </c>
      <c r="N2123" s="148">
        <f>IFERROR(__xludf.DUMMYFUNCTION("""COMPUTED_VALUE"""),999.0)</f>
        <v>999</v>
      </c>
      <c r="O2123" s="148">
        <f>IFERROR(__xludf.DUMMYFUNCTION("""COMPUTED_VALUE"""),999.0)</f>
        <v>999</v>
      </c>
      <c r="P2123" s="148">
        <f>IFERROR(__xludf.DUMMYFUNCTION("""COMPUTED_VALUE"""),999.0)</f>
        <v>999</v>
      </c>
      <c r="Q2123" s="148" t="str">
        <f>IFERROR(__xludf.DUMMYFUNCTION("""COMPUTED_VALUE"""),"[]")</f>
        <v>[]</v>
      </c>
      <c r="R2123" s="148" t="str">
        <f>IFERROR(__xludf.DUMMYFUNCTION("""COMPUTED_VALUE"""),"[]")</f>
        <v>[]</v>
      </c>
      <c r="S2123" s="148" t="str">
        <f>IFERROR(__xludf.DUMMYFUNCTION("""COMPUTED_VALUE"""),"{""effect"":[{""typ"":""hero_equipment"",""id"":19356018,""val"":1}]}")</f>
        <v>{"effect":[{"typ":"hero_equipment","id":19356018,"val":1}]}</v>
      </c>
      <c r="T2123" s="148">
        <f>IFERROR(__xludf.DUMMYFUNCTION("""COMPUTED_VALUE"""),-1.0)</f>
        <v>-1</v>
      </c>
      <c r="U2123" s="148">
        <f>IFERROR(__xludf.DUMMYFUNCTION("""COMPUTED_VALUE"""),1.0)</f>
        <v>1</v>
      </c>
      <c r="V2123" s="148" t="str">
        <f>IFERROR(__xludf.DUMMYFUNCTION("""COMPUTED_VALUE"""),"[]")</f>
        <v>[]</v>
      </c>
      <c r="W2123" s="148">
        <f>IFERROR(__xludf.DUMMYFUNCTION("""COMPUTED_VALUE"""),1.174E7)</f>
        <v>11740000</v>
      </c>
      <c r="X2123" s="148">
        <f>IFERROR(__xludf.DUMMYFUNCTION("""COMPUTED_VALUE"""),0.0)</f>
        <v>0</v>
      </c>
      <c r="Y2123" s="148">
        <f>IFERROR(__xludf.DUMMYFUNCTION("""COMPUTED_VALUE"""),0.0)</f>
        <v>0</v>
      </c>
      <c r="Z2123" s="148"/>
    </row>
    <row r="2124">
      <c r="A2124" s="148">
        <f>IFERROR(__xludf.DUMMYFUNCTION("""COMPUTED_VALUE"""),1.1118841E7)</f>
        <v>11118841</v>
      </c>
      <c r="B2124" s="148" t="str">
        <f>IFERROR(__xludf.DUMMYFUNCTION("""COMPUTED_VALUE"""),"二代战装自选-霸者探测仪")</f>
        <v>二代战装自选-霸者探测仪</v>
      </c>
      <c r="C2124" s="148"/>
      <c r="D2124" s="148" t="str">
        <f>IFERROR(__xludf.DUMMYFUNCTION("""COMPUTED_VALUE"""),"hero_equipment")</f>
        <v>hero_equipment</v>
      </c>
      <c r="E2124" s="148">
        <f>IFERROR(__xludf.DUMMYFUNCTION("""COMPUTED_VALUE"""),0.0)</f>
        <v>0</v>
      </c>
      <c r="F2124" s="148">
        <f>IFERROR(__xludf.DUMMYFUNCTION("""COMPUTED_VALUE"""),0.0)</f>
        <v>0</v>
      </c>
      <c r="G2124" s="148">
        <f>IFERROR(__xludf.DUMMYFUNCTION("""COMPUTED_VALUE"""),1.5117696E7)</f>
        <v>15117696</v>
      </c>
      <c r="H2124" s="148">
        <f>IFERROR(__xludf.DUMMYFUNCTION("""COMPUTED_VALUE"""),1.5112564E7)</f>
        <v>15112564</v>
      </c>
      <c r="I2124" s="148" t="str">
        <f>IFERROR(__xludf.DUMMYFUNCTION("""COMPUTED_VALUE"""),"{}")</f>
        <v>{}</v>
      </c>
      <c r="J2124" s="148" t="str">
        <f>IFERROR(__xludf.DUMMYFUNCTION("""COMPUTED_VALUE"""),"{""typ"":""lc"",""txt"":""LC_HERO_equipment_name43""}")</f>
        <v>{"typ":"lc","txt":"LC_HERO_equipment_name43"}</v>
      </c>
      <c r="K2124" s="148" t="str">
        <f>IFERROR(__xludf.DUMMYFUNCTION("""COMPUTED_VALUE"""),"{}")</f>
        <v>{}</v>
      </c>
      <c r="L2124" s="148" t="str">
        <f>IFERROR(__xludf.DUMMYFUNCTION("""COMPUTED_VALUE"""),"{}")</f>
        <v>{}</v>
      </c>
      <c r="M2124" s="148">
        <f>IFERROR(__xludf.DUMMYFUNCTION("""COMPUTED_VALUE"""),1.0)</f>
        <v>1</v>
      </c>
      <c r="N2124" s="148">
        <f>IFERROR(__xludf.DUMMYFUNCTION("""COMPUTED_VALUE"""),999.0)</f>
        <v>999</v>
      </c>
      <c r="O2124" s="148">
        <f>IFERROR(__xludf.DUMMYFUNCTION("""COMPUTED_VALUE"""),999.0)</f>
        <v>999</v>
      </c>
      <c r="P2124" s="148">
        <f>IFERROR(__xludf.DUMMYFUNCTION("""COMPUTED_VALUE"""),999.0)</f>
        <v>999</v>
      </c>
      <c r="Q2124" s="148" t="str">
        <f>IFERROR(__xludf.DUMMYFUNCTION("""COMPUTED_VALUE"""),"[]")</f>
        <v>[]</v>
      </c>
      <c r="R2124" s="148" t="str">
        <f>IFERROR(__xludf.DUMMYFUNCTION("""COMPUTED_VALUE"""),"[]")</f>
        <v>[]</v>
      </c>
      <c r="S2124" s="148" t="str">
        <f>IFERROR(__xludf.DUMMYFUNCTION("""COMPUTED_VALUE"""),"{""effect"":[{""typ"":""hero_equipment"",""id"":19356019,""val"":1}]}")</f>
        <v>{"effect":[{"typ":"hero_equipment","id":19356019,"val":1}]}</v>
      </c>
      <c r="T2124" s="148">
        <f>IFERROR(__xludf.DUMMYFUNCTION("""COMPUTED_VALUE"""),-1.0)</f>
        <v>-1</v>
      </c>
      <c r="U2124" s="148">
        <f>IFERROR(__xludf.DUMMYFUNCTION("""COMPUTED_VALUE"""),1.0)</f>
        <v>1</v>
      </c>
      <c r="V2124" s="148" t="str">
        <f>IFERROR(__xludf.DUMMYFUNCTION("""COMPUTED_VALUE"""),"[]")</f>
        <v>[]</v>
      </c>
      <c r="W2124" s="148">
        <f>IFERROR(__xludf.DUMMYFUNCTION("""COMPUTED_VALUE"""),1.174E7)</f>
        <v>11740000</v>
      </c>
      <c r="X2124" s="148">
        <f>IFERROR(__xludf.DUMMYFUNCTION("""COMPUTED_VALUE"""),0.0)</f>
        <v>0</v>
      </c>
      <c r="Y2124" s="148">
        <f>IFERROR(__xludf.DUMMYFUNCTION("""COMPUTED_VALUE"""),0.0)</f>
        <v>0</v>
      </c>
      <c r="Z2124" s="148"/>
    </row>
    <row r="2125">
      <c r="A2125" s="148">
        <f>IFERROR(__xludf.DUMMYFUNCTION("""COMPUTED_VALUE"""),1.1118842E7)</f>
        <v>11118842</v>
      </c>
      <c r="B2125" s="148" t="str">
        <f>IFERROR(__xludf.DUMMYFUNCTION("""COMPUTED_VALUE"""),"二代战装自选-霸者应急包")</f>
        <v>二代战装自选-霸者应急包</v>
      </c>
      <c r="C2125" s="148"/>
      <c r="D2125" s="148" t="str">
        <f>IFERROR(__xludf.DUMMYFUNCTION("""COMPUTED_VALUE"""),"hero_equipment")</f>
        <v>hero_equipment</v>
      </c>
      <c r="E2125" s="148">
        <f>IFERROR(__xludf.DUMMYFUNCTION("""COMPUTED_VALUE"""),0.0)</f>
        <v>0</v>
      </c>
      <c r="F2125" s="148">
        <f>IFERROR(__xludf.DUMMYFUNCTION("""COMPUTED_VALUE"""),0.0)</f>
        <v>0</v>
      </c>
      <c r="G2125" s="148">
        <f>IFERROR(__xludf.DUMMYFUNCTION("""COMPUTED_VALUE"""),1.5117697E7)</f>
        <v>15117697</v>
      </c>
      <c r="H2125" s="148">
        <f>IFERROR(__xludf.DUMMYFUNCTION("""COMPUTED_VALUE"""),1.5112564E7)</f>
        <v>15112564</v>
      </c>
      <c r="I2125" s="148" t="str">
        <f>IFERROR(__xludf.DUMMYFUNCTION("""COMPUTED_VALUE"""),"{}")</f>
        <v>{}</v>
      </c>
      <c r="J2125" s="148" t="str">
        <f>IFERROR(__xludf.DUMMYFUNCTION("""COMPUTED_VALUE"""),"{""typ"":""lc"",""txt"":""LC_HERO_equipment_name44""}")</f>
        <v>{"typ":"lc","txt":"LC_HERO_equipment_name44"}</v>
      </c>
      <c r="K2125" s="148" t="str">
        <f>IFERROR(__xludf.DUMMYFUNCTION("""COMPUTED_VALUE"""),"{}")</f>
        <v>{}</v>
      </c>
      <c r="L2125" s="148" t="str">
        <f>IFERROR(__xludf.DUMMYFUNCTION("""COMPUTED_VALUE"""),"{}")</f>
        <v>{}</v>
      </c>
      <c r="M2125" s="148">
        <f>IFERROR(__xludf.DUMMYFUNCTION("""COMPUTED_VALUE"""),1.0)</f>
        <v>1</v>
      </c>
      <c r="N2125" s="148">
        <f>IFERROR(__xludf.DUMMYFUNCTION("""COMPUTED_VALUE"""),999.0)</f>
        <v>999</v>
      </c>
      <c r="O2125" s="148">
        <f>IFERROR(__xludf.DUMMYFUNCTION("""COMPUTED_VALUE"""),999.0)</f>
        <v>999</v>
      </c>
      <c r="P2125" s="148">
        <f>IFERROR(__xludf.DUMMYFUNCTION("""COMPUTED_VALUE"""),999.0)</f>
        <v>999</v>
      </c>
      <c r="Q2125" s="148" t="str">
        <f>IFERROR(__xludf.DUMMYFUNCTION("""COMPUTED_VALUE"""),"[]")</f>
        <v>[]</v>
      </c>
      <c r="R2125" s="148" t="str">
        <f>IFERROR(__xludf.DUMMYFUNCTION("""COMPUTED_VALUE"""),"[]")</f>
        <v>[]</v>
      </c>
      <c r="S2125" s="148" t="str">
        <f>IFERROR(__xludf.DUMMYFUNCTION("""COMPUTED_VALUE"""),"{""effect"":[{""typ"":""hero_equipment"",""id"":19356020,""val"":1}]}")</f>
        <v>{"effect":[{"typ":"hero_equipment","id":19356020,"val":1}]}</v>
      </c>
      <c r="T2125" s="148">
        <f>IFERROR(__xludf.DUMMYFUNCTION("""COMPUTED_VALUE"""),-1.0)</f>
        <v>-1</v>
      </c>
      <c r="U2125" s="148">
        <f>IFERROR(__xludf.DUMMYFUNCTION("""COMPUTED_VALUE"""),1.0)</f>
        <v>1</v>
      </c>
      <c r="V2125" s="148" t="str">
        <f>IFERROR(__xludf.DUMMYFUNCTION("""COMPUTED_VALUE"""),"[]")</f>
        <v>[]</v>
      </c>
      <c r="W2125" s="148">
        <f>IFERROR(__xludf.DUMMYFUNCTION("""COMPUTED_VALUE"""),1.174E7)</f>
        <v>11740000</v>
      </c>
      <c r="X2125" s="148">
        <f>IFERROR(__xludf.DUMMYFUNCTION("""COMPUTED_VALUE"""),0.0)</f>
        <v>0</v>
      </c>
      <c r="Y2125" s="148">
        <f>IFERROR(__xludf.DUMMYFUNCTION("""COMPUTED_VALUE"""),0.0)</f>
        <v>0</v>
      </c>
      <c r="Z2125" s="148"/>
    </row>
    <row r="2126">
      <c r="A2126" s="148">
        <f>IFERROR(__xludf.DUMMYFUNCTION("""COMPUTED_VALUE"""),1.1118843E7)</f>
        <v>11118843</v>
      </c>
      <c r="B2126" s="148" t="str">
        <f>IFERROR(__xludf.DUMMYFUNCTION("""COMPUTED_VALUE"""),"二代战装自选-狩猎者驱动器")</f>
        <v>二代战装自选-狩猎者驱动器</v>
      </c>
      <c r="C2126" s="148"/>
      <c r="D2126" s="148" t="str">
        <f>IFERROR(__xludf.DUMMYFUNCTION("""COMPUTED_VALUE"""),"hero_equipment")</f>
        <v>hero_equipment</v>
      </c>
      <c r="E2126" s="148">
        <f>IFERROR(__xludf.DUMMYFUNCTION("""COMPUTED_VALUE"""),0.0)</f>
        <v>0</v>
      </c>
      <c r="F2126" s="148">
        <f>IFERROR(__xludf.DUMMYFUNCTION("""COMPUTED_VALUE"""),0.0)</f>
        <v>0</v>
      </c>
      <c r="G2126" s="148">
        <f>IFERROR(__xludf.DUMMYFUNCTION("""COMPUTED_VALUE"""),1.5117698E7)</f>
        <v>15117698</v>
      </c>
      <c r="H2126" s="148">
        <f>IFERROR(__xludf.DUMMYFUNCTION("""COMPUTED_VALUE"""),1.5112564E7)</f>
        <v>15112564</v>
      </c>
      <c r="I2126" s="148" t="str">
        <f>IFERROR(__xludf.DUMMYFUNCTION("""COMPUTED_VALUE"""),"{}")</f>
        <v>{}</v>
      </c>
      <c r="J2126" s="148" t="str">
        <f>IFERROR(__xludf.DUMMYFUNCTION("""COMPUTED_VALUE"""),"{""typ"":""lc"",""txt"":""LC_HERO_equipment_name45""}")</f>
        <v>{"typ":"lc","txt":"LC_HERO_equipment_name45"}</v>
      </c>
      <c r="K2126" s="148" t="str">
        <f>IFERROR(__xludf.DUMMYFUNCTION("""COMPUTED_VALUE"""),"{}")</f>
        <v>{}</v>
      </c>
      <c r="L2126" s="148" t="str">
        <f>IFERROR(__xludf.DUMMYFUNCTION("""COMPUTED_VALUE"""),"{}")</f>
        <v>{}</v>
      </c>
      <c r="M2126" s="148">
        <f>IFERROR(__xludf.DUMMYFUNCTION("""COMPUTED_VALUE"""),1.0)</f>
        <v>1</v>
      </c>
      <c r="N2126" s="148">
        <f>IFERROR(__xludf.DUMMYFUNCTION("""COMPUTED_VALUE"""),999.0)</f>
        <v>999</v>
      </c>
      <c r="O2126" s="148">
        <f>IFERROR(__xludf.DUMMYFUNCTION("""COMPUTED_VALUE"""),999.0)</f>
        <v>999</v>
      </c>
      <c r="P2126" s="148">
        <f>IFERROR(__xludf.DUMMYFUNCTION("""COMPUTED_VALUE"""),999.0)</f>
        <v>999</v>
      </c>
      <c r="Q2126" s="148" t="str">
        <f>IFERROR(__xludf.DUMMYFUNCTION("""COMPUTED_VALUE"""),"[]")</f>
        <v>[]</v>
      </c>
      <c r="R2126" s="148" t="str">
        <f>IFERROR(__xludf.DUMMYFUNCTION("""COMPUTED_VALUE"""),"[]")</f>
        <v>[]</v>
      </c>
      <c r="S2126" s="148" t="str">
        <f>IFERROR(__xludf.DUMMYFUNCTION("""COMPUTED_VALUE"""),"{""effect"":[{""typ"":""hero_equipment"",""id"":19356021,""val"":1}]}")</f>
        <v>{"effect":[{"typ":"hero_equipment","id":19356021,"val":1}]}</v>
      </c>
      <c r="T2126" s="148">
        <f>IFERROR(__xludf.DUMMYFUNCTION("""COMPUTED_VALUE"""),-1.0)</f>
        <v>-1</v>
      </c>
      <c r="U2126" s="148">
        <f>IFERROR(__xludf.DUMMYFUNCTION("""COMPUTED_VALUE"""),1.0)</f>
        <v>1</v>
      </c>
      <c r="V2126" s="148" t="str">
        <f>IFERROR(__xludf.DUMMYFUNCTION("""COMPUTED_VALUE"""),"[]")</f>
        <v>[]</v>
      </c>
      <c r="W2126" s="148">
        <f>IFERROR(__xludf.DUMMYFUNCTION("""COMPUTED_VALUE"""),1.174E7)</f>
        <v>11740000</v>
      </c>
      <c r="X2126" s="148">
        <f>IFERROR(__xludf.DUMMYFUNCTION("""COMPUTED_VALUE"""),0.0)</f>
        <v>0</v>
      </c>
      <c r="Y2126" s="148">
        <f>IFERROR(__xludf.DUMMYFUNCTION("""COMPUTED_VALUE"""),0.0)</f>
        <v>0</v>
      </c>
      <c r="Z2126" s="148"/>
    </row>
    <row r="2127">
      <c r="A2127" s="148">
        <f>IFERROR(__xludf.DUMMYFUNCTION("""COMPUTED_VALUE"""),1.1118844E7)</f>
        <v>11118844</v>
      </c>
      <c r="B2127" s="148" t="str">
        <f>IFERROR(__xludf.DUMMYFUNCTION("""COMPUTED_VALUE"""),"二代战装自选-狩猎者防护服")</f>
        <v>二代战装自选-狩猎者防护服</v>
      </c>
      <c r="C2127" s="148"/>
      <c r="D2127" s="148" t="str">
        <f>IFERROR(__xludf.DUMMYFUNCTION("""COMPUTED_VALUE"""),"hero_equipment")</f>
        <v>hero_equipment</v>
      </c>
      <c r="E2127" s="148">
        <f>IFERROR(__xludf.DUMMYFUNCTION("""COMPUTED_VALUE"""),0.0)</f>
        <v>0</v>
      </c>
      <c r="F2127" s="148">
        <f>IFERROR(__xludf.DUMMYFUNCTION("""COMPUTED_VALUE"""),0.0)</f>
        <v>0</v>
      </c>
      <c r="G2127" s="148">
        <f>IFERROR(__xludf.DUMMYFUNCTION("""COMPUTED_VALUE"""),1.5117699E7)</f>
        <v>15117699</v>
      </c>
      <c r="H2127" s="148">
        <f>IFERROR(__xludf.DUMMYFUNCTION("""COMPUTED_VALUE"""),1.5112564E7)</f>
        <v>15112564</v>
      </c>
      <c r="I2127" s="148" t="str">
        <f>IFERROR(__xludf.DUMMYFUNCTION("""COMPUTED_VALUE"""),"{}")</f>
        <v>{}</v>
      </c>
      <c r="J2127" s="148" t="str">
        <f>IFERROR(__xludf.DUMMYFUNCTION("""COMPUTED_VALUE"""),"{""typ"":""lc"",""txt"":""LC_HERO_equipment_name46""}")</f>
        <v>{"typ":"lc","txt":"LC_HERO_equipment_name46"}</v>
      </c>
      <c r="K2127" s="148" t="str">
        <f>IFERROR(__xludf.DUMMYFUNCTION("""COMPUTED_VALUE"""),"{}")</f>
        <v>{}</v>
      </c>
      <c r="L2127" s="148" t="str">
        <f>IFERROR(__xludf.DUMMYFUNCTION("""COMPUTED_VALUE"""),"{}")</f>
        <v>{}</v>
      </c>
      <c r="M2127" s="148">
        <f>IFERROR(__xludf.DUMMYFUNCTION("""COMPUTED_VALUE"""),1.0)</f>
        <v>1</v>
      </c>
      <c r="N2127" s="148">
        <f>IFERROR(__xludf.DUMMYFUNCTION("""COMPUTED_VALUE"""),999.0)</f>
        <v>999</v>
      </c>
      <c r="O2127" s="148">
        <f>IFERROR(__xludf.DUMMYFUNCTION("""COMPUTED_VALUE"""),999.0)</f>
        <v>999</v>
      </c>
      <c r="P2127" s="148">
        <f>IFERROR(__xludf.DUMMYFUNCTION("""COMPUTED_VALUE"""),999.0)</f>
        <v>999</v>
      </c>
      <c r="Q2127" s="148" t="str">
        <f>IFERROR(__xludf.DUMMYFUNCTION("""COMPUTED_VALUE"""),"[]")</f>
        <v>[]</v>
      </c>
      <c r="R2127" s="148" t="str">
        <f>IFERROR(__xludf.DUMMYFUNCTION("""COMPUTED_VALUE"""),"[]")</f>
        <v>[]</v>
      </c>
      <c r="S2127" s="148" t="str">
        <f>IFERROR(__xludf.DUMMYFUNCTION("""COMPUTED_VALUE"""),"{""effect"":[{""typ"":""hero_equipment"",""id"":19356022,""val"":1}]}")</f>
        <v>{"effect":[{"typ":"hero_equipment","id":19356022,"val":1}]}</v>
      </c>
      <c r="T2127" s="148">
        <f>IFERROR(__xludf.DUMMYFUNCTION("""COMPUTED_VALUE"""),-1.0)</f>
        <v>-1</v>
      </c>
      <c r="U2127" s="148">
        <f>IFERROR(__xludf.DUMMYFUNCTION("""COMPUTED_VALUE"""),1.0)</f>
        <v>1</v>
      </c>
      <c r="V2127" s="148" t="str">
        <f>IFERROR(__xludf.DUMMYFUNCTION("""COMPUTED_VALUE"""),"[]")</f>
        <v>[]</v>
      </c>
      <c r="W2127" s="148">
        <f>IFERROR(__xludf.DUMMYFUNCTION("""COMPUTED_VALUE"""),1.174E7)</f>
        <v>11740000</v>
      </c>
      <c r="X2127" s="148">
        <f>IFERROR(__xludf.DUMMYFUNCTION("""COMPUTED_VALUE"""),0.0)</f>
        <v>0</v>
      </c>
      <c r="Y2127" s="148">
        <f>IFERROR(__xludf.DUMMYFUNCTION("""COMPUTED_VALUE"""),0.0)</f>
        <v>0</v>
      </c>
      <c r="Z2127" s="148"/>
    </row>
    <row r="2128">
      <c r="A2128" s="148">
        <f>IFERROR(__xludf.DUMMYFUNCTION("""COMPUTED_VALUE"""),1.1118845E7)</f>
        <v>11118845</v>
      </c>
      <c r="B2128" s="148" t="str">
        <f>IFERROR(__xludf.DUMMYFUNCTION("""COMPUTED_VALUE"""),"二代战装自选-狩猎者探测仪")</f>
        <v>二代战装自选-狩猎者探测仪</v>
      </c>
      <c r="C2128" s="148"/>
      <c r="D2128" s="148" t="str">
        <f>IFERROR(__xludf.DUMMYFUNCTION("""COMPUTED_VALUE"""),"hero_equipment")</f>
        <v>hero_equipment</v>
      </c>
      <c r="E2128" s="148">
        <f>IFERROR(__xludf.DUMMYFUNCTION("""COMPUTED_VALUE"""),0.0)</f>
        <v>0</v>
      </c>
      <c r="F2128" s="148">
        <f>IFERROR(__xludf.DUMMYFUNCTION("""COMPUTED_VALUE"""),0.0)</f>
        <v>0</v>
      </c>
      <c r="G2128" s="148">
        <f>IFERROR(__xludf.DUMMYFUNCTION("""COMPUTED_VALUE"""),1.51177E7)</f>
        <v>15117700</v>
      </c>
      <c r="H2128" s="148">
        <f>IFERROR(__xludf.DUMMYFUNCTION("""COMPUTED_VALUE"""),1.5112564E7)</f>
        <v>15112564</v>
      </c>
      <c r="I2128" s="148" t="str">
        <f>IFERROR(__xludf.DUMMYFUNCTION("""COMPUTED_VALUE"""),"{}")</f>
        <v>{}</v>
      </c>
      <c r="J2128" s="148" t="str">
        <f>IFERROR(__xludf.DUMMYFUNCTION("""COMPUTED_VALUE"""),"{""typ"":""lc"",""txt"":""LC_HERO_equipment_name47""}")</f>
        <v>{"typ":"lc","txt":"LC_HERO_equipment_name47"}</v>
      </c>
      <c r="K2128" s="148" t="str">
        <f>IFERROR(__xludf.DUMMYFUNCTION("""COMPUTED_VALUE"""),"{}")</f>
        <v>{}</v>
      </c>
      <c r="L2128" s="148" t="str">
        <f>IFERROR(__xludf.DUMMYFUNCTION("""COMPUTED_VALUE"""),"{}")</f>
        <v>{}</v>
      </c>
      <c r="M2128" s="148">
        <f>IFERROR(__xludf.DUMMYFUNCTION("""COMPUTED_VALUE"""),1.0)</f>
        <v>1</v>
      </c>
      <c r="N2128" s="148">
        <f>IFERROR(__xludf.DUMMYFUNCTION("""COMPUTED_VALUE"""),999.0)</f>
        <v>999</v>
      </c>
      <c r="O2128" s="148">
        <f>IFERROR(__xludf.DUMMYFUNCTION("""COMPUTED_VALUE"""),999.0)</f>
        <v>999</v>
      </c>
      <c r="P2128" s="148">
        <f>IFERROR(__xludf.DUMMYFUNCTION("""COMPUTED_VALUE"""),999.0)</f>
        <v>999</v>
      </c>
      <c r="Q2128" s="148" t="str">
        <f>IFERROR(__xludf.DUMMYFUNCTION("""COMPUTED_VALUE"""),"[]")</f>
        <v>[]</v>
      </c>
      <c r="R2128" s="148" t="str">
        <f>IFERROR(__xludf.DUMMYFUNCTION("""COMPUTED_VALUE"""),"[]")</f>
        <v>[]</v>
      </c>
      <c r="S2128" s="148" t="str">
        <f>IFERROR(__xludf.DUMMYFUNCTION("""COMPUTED_VALUE"""),"{""effect"":[{""typ"":""hero_equipment"",""id"":19356023,""val"":1}]}")</f>
        <v>{"effect":[{"typ":"hero_equipment","id":19356023,"val":1}]}</v>
      </c>
      <c r="T2128" s="148">
        <f>IFERROR(__xludf.DUMMYFUNCTION("""COMPUTED_VALUE"""),-1.0)</f>
        <v>-1</v>
      </c>
      <c r="U2128" s="148">
        <f>IFERROR(__xludf.DUMMYFUNCTION("""COMPUTED_VALUE"""),1.0)</f>
        <v>1</v>
      </c>
      <c r="V2128" s="148" t="str">
        <f>IFERROR(__xludf.DUMMYFUNCTION("""COMPUTED_VALUE"""),"[]")</f>
        <v>[]</v>
      </c>
      <c r="W2128" s="148">
        <f>IFERROR(__xludf.DUMMYFUNCTION("""COMPUTED_VALUE"""),1.174E7)</f>
        <v>11740000</v>
      </c>
      <c r="X2128" s="148">
        <f>IFERROR(__xludf.DUMMYFUNCTION("""COMPUTED_VALUE"""),0.0)</f>
        <v>0</v>
      </c>
      <c r="Y2128" s="148">
        <f>IFERROR(__xludf.DUMMYFUNCTION("""COMPUTED_VALUE"""),0.0)</f>
        <v>0</v>
      </c>
      <c r="Z2128" s="148"/>
    </row>
    <row r="2129">
      <c r="A2129" s="148">
        <f>IFERROR(__xludf.DUMMYFUNCTION("""COMPUTED_VALUE"""),1.1118846E7)</f>
        <v>11118846</v>
      </c>
      <c r="B2129" s="148" t="str">
        <f>IFERROR(__xludf.DUMMYFUNCTION("""COMPUTED_VALUE"""),"二代战装自选-狩猎者应急包")</f>
        <v>二代战装自选-狩猎者应急包</v>
      </c>
      <c r="C2129" s="148"/>
      <c r="D2129" s="148" t="str">
        <f>IFERROR(__xludf.DUMMYFUNCTION("""COMPUTED_VALUE"""),"hero_equipment")</f>
        <v>hero_equipment</v>
      </c>
      <c r="E2129" s="148">
        <f>IFERROR(__xludf.DUMMYFUNCTION("""COMPUTED_VALUE"""),0.0)</f>
        <v>0</v>
      </c>
      <c r="F2129" s="148">
        <f>IFERROR(__xludf.DUMMYFUNCTION("""COMPUTED_VALUE"""),0.0)</f>
        <v>0</v>
      </c>
      <c r="G2129" s="148">
        <f>IFERROR(__xludf.DUMMYFUNCTION("""COMPUTED_VALUE"""),1.5117701E7)</f>
        <v>15117701</v>
      </c>
      <c r="H2129" s="148">
        <f>IFERROR(__xludf.DUMMYFUNCTION("""COMPUTED_VALUE"""),1.5112564E7)</f>
        <v>15112564</v>
      </c>
      <c r="I2129" s="148" t="str">
        <f>IFERROR(__xludf.DUMMYFUNCTION("""COMPUTED_VALUE"""),"{}")</f>
        <v>{}</v>
      </c>
      <c r="J2129" s="148" t="str">
        <f>IFERROR(__xludf.DUMMYFUNCTION("""COMPUTED_VALUE"""),"{""typ"":""lc"",""txt"":""LC_HERO_equipment_name48""}")</f>
        <v>{"typ":"lc","txt":"LC_HERO_equipment_name48"}</v>
      </c>
      <c r="K2129" s="148" t="str">
        <f>IFERROR(__xludf.DUMMYFUNCTION("""COMPUTED_VALUE"""),"{}")</f>
        <v>{}</v>
      </c>
      <c r="L2129" s="148" t="str">
        <f>IFERROR(__xludf.DUMMYFUNCTION("""COMPUTED_VALUE"""),"{}")</f>
        <v>{}</v>
      </c>
      <c r="M2129" s="148">
        <f>IFERROR(__xludf.DUMMYFUNCTION("""COMPUTED_VALUE"""),1.0)</f>
        <v>1</v>
      </c>
      <c r="N2129" s="148">
        <f>IFERROR(__xludf.DUMMYFUNCTION("""COMPUTED_VALUE"""),999.0)</f>
        <v>999</v>
      </c>
      <c r="O2129" s="148">
        <f>IFERROR(__xludf.DUMMYFUNCTION("""COMPUTED_VALUE"""),999.0)</f>
        <v>999</v>
      </c>
      <c r="P2129" s="148">
        <f>IFERROR(__xludf.DUMMYFUNCTION("""COMPUTED_VALUE"""),999.0)</f>
        <v>999</v>
      </c>
      <c r="Q2129" s="148" t="str">
        <f>IFERROR(__xludf.DUMMYFUNCTION("""COMPUTED_VALUE"""),"[]")</f>
        <v>[]</v>
      </c>
      <c r="R2129" s="148" t="str">
        <f>IFERROR(__xludf.DUMMYFUNCTION("""COMPUTED_VALUE"""),"[]")</f>
        <v>[]</v>
      </c>
      <c r="S2129" s="148" t="str">
        <f>IFERROR(__xludf.DUMMYFUNCTION("""COMPUTED_VALUE"""),"{""effect"":[{""typ"":""hero_equipment"",""id"":19356024,""val"":1}]}")</f>
        <v>{"effect":[{"typ":"hero_equipment","id":19356024,"val":1}]}</v>
      </c>
      <c r="T2129" s="148">
        <f>IFERROR(__xludf.DUMMYFUNCTION("""COMPUTED_VALUE"""),-1.0)</f>
        <v>-1</v>
      </c>
      <c r="U2129" s="148">
        <f>IFERROR(__xludf.DUMMYFUNCTION("""COMPUTED_VALUE"""),1.0)</f>
        <v>1</v>
      </c>
      <c r="V2129" s="148" t="str">
        <f>IFERROR(__xludf.DUMMYFUNCTION("""COMPUTED_VALUE"""),"[]")</f>
        <v>[]</v>
      </c>
      <c r="W2129" s="148">
        <f>IFERROR(__xludf.DUMMYFUNCTION("""COMPUTED_VALUE"""),1.174E7)</f>
        <v>11740000</v>
      </c>
      <c r="X2129" s="148">
        <f>IFERROR(__xludf.DUMMYFUNCTION("""COMPUTED_VALUE"""),0.0)</f>
        <v>0</v>
      </c>
      <c r="Y2129" s="148">
        <f>IFERROR(__xludf.DUMMYFUNCTION("""COMPUTED_VALUE"""),0.0)</f>
        <v>0</v>
      </c>
      <c r="Z2129" s="148"/>
    </row>
    <row r="2130">
      <c r="A2130" s="148">
        <f>IFERROR(__xludf.DUMMYFUNCTION("""COMPUTED_VALUE"""),1.1118847E7)</f>
        <v>11118847</v>
      </c>
      <c r="B2130" s="148" t="str">
        <f>IFERROR(__xludf.DUMMYFUNCTION("""COMPUTED_VALUE"""),"军备7日活动-解锁宝箱礼包钥匙")</f>
        <v>军备7日活动-解锁宝箱礼包钥匙</v>
      </c>
      <c r="C2130" s="148"/>
      <c r="D2130" s="148" t="str">
        <f>IFERROR(__xludf.DUMMYFUNCTION("""COMPUTED_VALUE"""),"event")</f>
        <v>event</v>
      </c>
      <c r="E2130" s="148">
        <f>IFERROR(__xludf.DUMMYFUNCTION("""COMPUTED_VALUE"""),0.0)</f>
        <v>0</v>
      </c>
      <c r="F2130" s="148">
        <f>IFERROR(__xludf.DUMMYFUNCTION("""COMPUTED_VALUE"""),0.0)</f>
        <v>0</v>
      </c>
      <c r="G2130" s="148">
        <f>IFERROR(__xludf.DUMMYFUNCTION("""COMPUTED_VALUE"""),1.51101544E8)</f>
        <v>151101544</v>
      </c>
      <c r="H2130" s="148">
        <f>IFERROR(__xludf.DUMMYFUNCTION("""COMPUTED_VALUE"""),1.5112564E7)</f>
        <v>15112564</v>
      </c>
      <c r="I2130" s="148" t="str">
        <f>IFERROR(__xludf.DUMMYFUNCTION("""COMPUTED_VALUE"""),"{}")</f>
        <v>{}</v>
      </c>
      <c r="J2130" s="148" t="str">
        <f>IFERROR(__xludf.DUMMYFUNCTION("""COMPUTED_VALUE"""),"{""typ"":""lc"",""txt"":""LC_ITEM_seven_day_box_key_name""}")</f>
        <v>{"typ":"lc","txt":"LC_ITEM_seven_day_box_key_name"}</v>
      </c>
      <c r="K2130" s="148" t="str">
        <f>IFERROR(__xludf.DUMMYFUNCTION("""COMPUTED_VALUE"""),"{""typ"":""lc"",""txt"":""LC_ITEM_seven_day_box_key_desc""}")</f>
        <v>{"typ":"lc","txt":"LC_ITEM_seven_day_box_key_desc"}</v>
      </c>
      <c r="L2130" s="148" t="str">
        <f>IFERROR(__xludf.DUMMYFUNCTION("""COMPUTED_VALUE"""),"{}")</f>
        <v>{}</v>
      </c>
      <c r="M2130" s="148">
        <f>IFERROR(__xludf.DUMMYFUNCTION("""COMPUTED_VALUE"""),10.0)</f>
        <v>10</v>
      </c>
      <c r="N2130" s="148">
        <f>IFERROR(__xludf.DUMMYFUNCTION("""COMPUTED_VALUE"""),999999.0)</f>
        <v>999999</v>
      </c>
      <c r="O2130" s="148">
        <f>IFERROR(__xludf.DUMMYFUNCTION("""COMPUTED_VALUE"""),99999.0)</f>
        <v>99999</v>
      </c>
      <c r="P2130" s="148">
        <f>IFERROR(__xludf.DUMMYFUNCTION("""COMPUTED_VALUE"""),9999.0)</f>
        <v>9999</v>
      </c>
      <c r="Q2130" s="148" t="str">
        <f>IFERROR(__xludf.DUMMYFUNCTION("""COMPUTED_VALUE"""),"[""bag_other""]")</f>
        <v>["bag_other"]</v>
      </c>
      <c r="R2130" s="148" t="str">
        <f>IFERROR(__xludf.DUMMYFUNCTION("""COMPUTED_VALUE"""),"[]")</f>
        <v>[]</v>
      </c>
      <c r="S2130" s="148" t="str">
        <f>IFERROR(__xludf.DUMMYFUNCTION("""COMPUTED_VALUE"""),"{}")</f>
        <v>{}</v>
      </c>
      <c r="T2130" s="148">
        <f>IFERROR(__xludf.DUMMYFUNCTION("""COMPUTED_VALUE"""),-1.0)</f>
        <v>-1</v>
      </c>
      <c r="U2130" s="148">
        <f>IFERROR(__xludf.DUMMYFUNCTION("""COMPUTED_VALUE"""),0.0)</f>
        <v>0</v>
      </c>
      <c r="V2130" s="148" t="str">
        <f>IFERROR(__xludf.DUMMYFUNCTION("""COMPUTED_VALUE"""),"[]")</f>
        <v>[]</v>
      </c>
      <c r="W2130" s="148">
        <f>IFERROR(__xludf.DUMMYFUNCTION("""COMPUTED_VALUE"""),1.174E7)</f>
        <v>11740000</v>
      </c>
      <c r="X2130" s="148">
        <f>IFERROR(__xludf.DUMMYFUNCTION("""COMPUTED_VALUE"""),0.0)</f>
        <v>0</v>
      </c>
      <c r="Y2130" s="148">
        <f>IFERROR(__xludf.DUMMYFUNCTION("""COMPUTED_VALUE"""),0.0)</f>
        <v>0</v>
      </c>
      <c r="Z2130" s="148"/>
    </row>
    <row r="2131">
      <c r="A2131" s="148">
        <f>IFERROR(__xludf.DUMMYFUNCTION("""COMPUTED_VALUE"""),1.1118848E7)</f>
        <v>11118848</v>
      </c>
      <c r="B2131" s="148" t="str">
        <f>IFERROR(__xludf.DUMMYFUNCTION("""COMPUTED_VALUE"""),"军备7日活动宝箱-显示用")</f>
        <v>军备7日活动宝箱-显示用</v>
      </c>
      <c r="C2131" s="148"/>
      <c r="D2131" s="148" t="str">
        <f>IFERROR(__xludf.DUMMYFUNCTION("""COMPUTED_VALUE"""),"event")</f>
        <v>event</v>
      </c>
      <c r="E2131" s="148">
        <f>IFERROR(__xludf.DUMMYFUNCTION("""COMPUTED_VALUE"""),0.0)</f>
        <v>0</v>
      </c>
      <c r="F2131" s="148">
        <f>IFERROR(__xludf.DUMMYFUNCTION("""COMPUTED_VALUE"""),0.0)</f>
        <v>0</v>
      </c>
      <c r="G2131" s="148">
        <f>IFERROR(__xludf.DUMMYFUNCTION("""COMPUTED_VALUE"""),1.5117141E7)</f>
        <v>15117141</v>
      </c>
      <c r="H2131" s="148">
        <f>IFERROR(__xludf.DUMMYFUNCTION("""COMPUTED_VALUE"""),1.5112564E7)</f>
        <v>15112564</v>
      </c>
      <c r="I2131" s="148" t="str">
        <f>IFERROR(__xludf.DUMMYFUNCTION("""COMPUTED_VALUE"""),"{}")</f>
        <v>{}</v>
      </c>
      <c r="J2131" s="148" t="str">
        <f>IFERROR(__xludf.DUMMYFUNCTION("""COMPUTED_VALUE"""),"{""typ"":""lc"",""txt"":""LC_ITEM_seven_day_box_name""}")</f>
        <v>{"typ":"lc","txt":"LC_ITEM_seven_day_box_name"}</v>
      </c>
      <c r="K2131" s="148" t="str">
        <f>IFERROR(__xludf.DUMMYFUNCTION("""COMPUTED_VALUE"""),"{""typ"":""lc"",""txt"":""LC_ITEM_seven_day_box_desc""}")</f>
        <v>{"typ":"lc","txt":"LC_ITEM_seven_day_box_desc"}</v>
      </c>
      <c r="L2131" s="148" t="str">
        <f>IFERROR(__xludf.DUMMYFUNCTION("""COMPUTED_VALUE"""),"{}")</f>
        <v>{}</v>
      </c>
      <c r="M2131" s="148">
        <f>IFERROR(__xludf.DUMMYFUNCTION("""COMPUTED_VALUE"""),1.0)</f>
        <v>1</v>
      </c>
      <c r="N2131" s="148">
        <f>IFERROR(__xludf.DUMMYFUNCTION("""COMPUTED_VALUE"""),999999.0)</f>
        <v>999999</v>
      </c>
      <c r="O2131" s="148">
        <f>IFERROR(__xludf.DUMMYFUNCTION("""COMPUTED_VALUE"""),99999.0)</f>
        <v>99999</v>
      </c>
      <c r="P2131" s="148">
        <f>IFERROR(__xludf.DUMMYFUNCTION("""COMPUTED_VALUE"""),9999.0)</f>
        <v>9999</v>
      </c>
      <c r="Q2131" s="148" t="str">
        <f>IFERROR(__xludf.DUMMYFUNCTION("""COMPUTED_VALUE"""),"[]")</f>
        <v>[]</v>
      </c>
      <c r="R2131" s="148" t="str">
        <f>IFERROR(__xludf.DUMMYFUNCTION("""COMPUTED_VALUE"""),"[]")</f>
        <v>[]</v>
      </c>
      <c r="S2131" s="148" t="str">
        <f>IFERROR(__xludf.DUMMYFUNCTION("""COMPUTED_VALUE"""),"{""effect"":[{""typ"":""miss_lost_reward""}]}")</f>
        <v>{"effect":[{"typ":"miss_lost_reward"}]}</v>
      </c>
      <c r="T2131" s="148">
        <f>IFERROR(__xludf.DUMMYFUNCTION("""COMPUTED_VALUE"""),-1.0)</f>
        <v>-1</v>
      </c>
      <c r="U2131" s="148">
        <f>IFERROR(__xludf.DUMMYFUNCTION("""COMPUTED_VALUE"""),1.0)</f>
        <v>1</v>
      </c>
      <c r="V2131" s="148" t="str">
        <f>IFERROR(__xludf.DUMMYFUNCTION("""COMPUTED_VALUE"""),"[]")</f>
        <v>[]</v>
      </c>
      <c r="W2131" s="148">
        <f>IFERROR(__xludf.DUMMYFUNCTION("""COMPUTED_VALUE"""),1.174E7)</f>
        <v>11740000</v>
      </c>
      <c r="X2131" s="148">
        <f>IFERROR(__xludf.DUMMYFUNCTION("""COMPUTED_VALUE"""),0.0)</f>
        <v>0</v>
      </c>
      <c r="Y2131" s="148">
        <f>IFERROR(__xludf.DUMMYFUNCTION("""COMPUTED_VALUE"""),0.0)</f>
        <v>0</v>
      </c>
      <c r="Z2131" s="148"/>
    </row>
    <row r="2132">
      <c r="A2132" s="148">
        <f>IFERROR(__xludf.DUMMYFUNCTION("""COMPUTED_VALUE"""),1.1118849E7)</f>
        <v>11118849</v>
      </c>
      <c r="B2132" s="148" t="str">
        <f>IFERROR(__xludf.DUMMYFUNCTION("""COMPUTED_VALUE"""),"军备7日活动宝箱")</f>
        <v>军备7日活动宝箱</v>
      </c>
      <c r="C2132" s="148"/>
      <c r="D2132" s="148" t="str">
        <f>IFERROR(__xludf.DUMMYFUNCTION("""COMPUTED_VALUE"""),"item_asset")</f>
        <v>item_asset</v>
      </c>
      <c r="E2132" s="148">
        <f>IFERROR(__xludf.DUMMYFUNCTION("""COMPUTED_VALUE"""),19.0)</f>
        <v>19</v>
      </c>
      <c r="F2132" s="148">
        <f>IFERROR(__xludf.DUMMYFUNCTION("""COMPUTED_VALUE"""),201101.0)</f>
        <v>201101</v>
      </c>
      <c r="G2132" s="148">
        <f>IFERROR(__xludf.DUMMYFUNCTION("""COMPUTED_VALUE"""),1.5117141E7)</f>
        <v>15117141</v>
      </c>
      <c r="H2132" s="148">
        <f>IFERROR(__xludf.DUMMYFUNCTION("""COMPUTED_VALUE"""),1.5112564E7)</f>
        <v>15112564</v>
      </c>
      <c r="I2132" s="148" t="str">
        <f>IFERROR(__xludf.DUMMYFUNCTION("""COMPUTED_VALUE"""),"{}")</f>
        <v>{}</v>
      </c>
      <c r="J2132" s="148" t="str">
        <f>IFERROR(__xludf.DUMMYFUNCTION("""COMPUTED_VALUE"""),"{""typ"":""lc"",""txt"":""LC_ITEM_seven_day_box_name""}")</f>
        <v>{"typ":"lc","txt":"LC_ITEM_seven_day_box_name"}</v>
      </c>
      <c r="K2132" s="148" t="str">
        <f>IFERROR(__xludf.DUMMYFUNCTION("""COMPUTED_VALUE"""),"{""typ"":""lc"",""txt"":""LC_ITEM_seven_day_box_desc""}")</f>
        <v>{"typ":"lc","txt":"LC_ITEM_seven_day_box_desc"}</v>
      </c>
      <c r="L2132" s="148" t="str">
        <f>IFERROR(__xludf.DUMMYFUNCTION("""COMPUTED_VALUE"""),"{""typ"":""lc"",""txt"":""LC_ITEM_horde_elite_box_usedtip""}")</f>
        <v>{"typ":"lc","txt":"LC_ITEM_horde_elite_box_usedtip"}</v>
      </c>
      <c r="M2132" s="148">
        <f>IFERROR(__xludf.DUMMYFUNCTION("""COMPUTED_VALUE"""),40.0)</f>
        <v>40</v>
      </c>
      <c r="N2132" s="148">
        <f>IFERROR(__xludf.DUMMYFUNCTION("""COMPUTED_VALUE"""),999999.0)</f>
        <v>999999</v>
      </c>
      <c r="O2132" s="148">
        <f>IFERROR(__xludf.DUMMYFUNCTION("""COMPUTED_VALUE"""),99999.0)</f>
        <v>99999</v>
      </c>
      <c r="P2132" s="148">
        <f>IFERROR(__xludf.DUMMYFUNCTION("""COMPUTED_VALUE"""),99999.0)</f>
        <v>99999</v>
      </c>
      <c r="Q2132" s="148" t="str">
        <f>IFERROR(__xludf.DUMMYFUNCTION("""COMPUTED_VALUE"""),"[]")</f>
        <v>[]</v>
      </c>
      <c r="R2132" s="148" t="str">
        <f>IFERROR(__xludf.DUMMYFUNCTION("""COMPUTED_VALUE"""),"[""bag""]")</f>
        <v>["bag"]</v>
      </c>
      <c r="S2132" s="148" t="str">
        <f>IFERROR(__xludf.DUMMYFUNCTION("""COMPUTED_VALUE"""),"{""drop"":{""typ"":""single_random"",""num"":1,""args"":[{""typ"":""item"",""id"":11116304,""num"":1,""wgt"":60},{""typ"":""item"",""id"":11117069,""num"":1,""wgt"":100},{""typ"":""item"",""id"":11114330,""num"":1,""wgt"":600},{""typ"":""item"",""id"":111"&amp;"16111,""num"":1,""wgt"":60},{""typ"":""item"",""id"":11116110,""num"":1,""wgt"":200},{""typ"":""item"",""id"":11117024,""num"":1,""wgt"":400},{""typ"":""item"",""id"":11118002,""num"":1,""wgt"":400},{""typ"":""item"",""id"":11117068,""num"":10,""wgt"":800"&amp;"},{""typ"":""item"",""id"":11111105,""num"":1,""wgt"":600},{""typ"":""item"",""id"":11111103,""num"":2,""wgt"":1200}]}}")</f>
        <v>{"drop":{"typ":"single_random","num":1,"args":[{"typ":"item","id":11116304,"num":1,"wgt":60},{"typ":"item","id":11117069,"num":1,"wgt":100},{"typ":"item","id":11114330,"num":1,"wgt":600},{"typ":"item","id":11116111,"num":1,"wgt":60},{"typ":"item","id":11116110,"num":1,"wgt":200},{"typ":"item","id":11117024,"num":1,"wgt":400},{"typ":"item","id":11118002,"num":1,"wgt":400},{"typ":"item","id":11117068,"num":10,"wgt":800},{"typ":"item","id":11111105,"num":1,"wgt":600},{"typ":"item","id":11111103,"num":2,"wgt":1200}]}}</v>
      </c>
      <c r="T2132" s="148">
        <f>IFERROR(__xludf.DUMMYFUNCTION("""COMPUTED_VALUE"""),-1.0)</f>
        <v>-1</v>
      </c>
      <c r="U2132" s="148">
        <f>IFERROR(__xludf.DUMMYFUNCTION("""COMPUTED_VALUE"""),1.0)</f>
        <v>1</v>
      </c>
      <c r="V2132" s="148" t="str">
        <f>IFERROR(__xludf.DUMMYFUNCTION("""COMPUTED_VALUE"""),"[]")</f>
        <v>[]</v>
      </c>
      <c r="W2132" s="148">
        <f>IFERROR(__xludf.DUMMYFUNCTION("""COMPUTED_VALUE"""),1.174E7)</f>
        <v>11740000</v>
      </c>
      <c r="X2132" s="148">
        <f>IFERROR(__xludf.DUMMYFUNCTION("""COMPUTED_VALUE"""),0.0)</f>
        <v>0</v>
      </c>
      <c r="Y2132" s="148">
        <f>IFERROR(__xludf.DUMMYFUNCTION("""COMPUTED_VALUE"""),0.0)</f>
        <v>0</v>
      </c>
      <c r="Z2132" s="148"/>
    </row>
    <row r="2133">
      <c r="A2133" s="148">
        <f>IFERROR(__xludf.DUMMYFUNCTION("""COMPUTED_VALUE"""),1.111885E7)</f>
        <v>11118850</v>
      </c>
      <c r="B2133" s="148" t="str">
        <f>IFERROR(__xludf.DUMMYFUNCTION("""COMPUTED_VALUE"""),"雄狮红色喷漆")</f>
        <v>雄狮红色喷漆</v>
      </c>
      <c r="C2133" s="148"/>
      <c r="D2133" s="148" t="str">
        <f>IFERROR(__xludf.DUMMYFUNCTION("""COMPUTED_VALUE"""),"mecha_skin_colour")</f>
        <v>mecha_skin_colour</v>
      </c>
      <c r="E2133" s="148">
        <f>IFERROR(__xludf.DUMMYFUNCTION("""COMPUTED_VALUE"""),32.0)</f>
        <v>32</v>
      </c>
      <c r="F2133" s="148">
        <f>IFERROR(__xludf.DUMMYFUNCTION("""COMPUTED_VALUE"""),0.0)</f>
        <v>0</v>
      </c>
      <c r="G2133" s="148">
        <f>IFERROR(__xludf.DUMMYFUNCTION("""COMPUTED_VALUE"""),1.5119956E7)</f>
        <v>15119956</v>
      </c>
      <c r="H2133" s="148">
        <f>IFERROR(__xludf.DUMMYFUNCTION("""COMPUTED_VALUE"""),1.5112563E7)</f>
        <v>15112563</v>
      </c>
      <c r="I2133" s="148" t="str">
        <f>IFERROR(__xludf.DUMMYFUNCTION("""COMPUTED_VALUE"""),"{}")</f>
        <v>{}</v>
      </c>
      <c r="J2133" s="148" t="str">
        <f>IFERROR(__xludf.DUMMYFUNCTION("""COMPUTED_VALUE"""),"{""typ"":""lc"",""txt"":""LC_ITEM_mecha_skin_colour_name_27""}")</f>
        <v>{"typ":"lc","txt":"LC_ITEM_mecha_skin_colour_name_27"}</v>
      </c>
      <c r="K2133" s="148" t="str">
        <f>IFERROR(__xludf.DUMMYFUNCTION("""COMPUTED_VALUE"""),"{""typ"":""lc"",""txt"":""LC_ITEM_mecha_skin_colour_desc_27""}")</f>
        <v>{"typ":"lc","txt":"LC_ITEM_mecha_skin_colour_desc_27"}</v>
      </c>
      <c r="L2133" s="148" t="str">
        <f>IFERROR(__xludf.DUMMYFUNCTION("""COMPUTED_VALUE"""),"{""typ"":""lc"",""txt"":""LC_ITEM_mecha_skin_colour_use_tips_27""}")</f>
        <v>{"typ":"lc","txt":"LC_ITEM_mecha_skin_colour_use_tips_27"}</v>
      </c>
      <c r="M2133" s="148">
        <f>IFERROR(__xludf.DUMMYFUNCTION("""COMPUTED_VALUE"""),2500.0)</f>
        <v>2500</v>
      </c>
      <c r="N2133" s="148">
        <f>IFERROR(__xludf.DUMMYFUNCTION("""COMPUTED_VALUE"""),999999.0)</f>
        <v>999999</v>
      </c>
      <c r="O2133" s="148">
        <f>IFERROR(__xludf.DUMMYFUNCTION("""COMPUTED_VALUE"""),99999.0)</f>
        <v>99999</v>
      </c>
      <c r="P2133" s="148">
        <f>IFERROR(__xludf.DUMMYFUNCTION("""COMPUTED_VALUE"""),1.0)</f>
        <v>1</v>
      </c>
      <c r="Q2133" s="148" t="str">
        <f>IFERROR(__xludf.DUMMYFUNCTION("""COMPUTED_VALUE"""),"[""bag_other""]")</f>
        <v>["bag_other"]</v>
      </c>
      <c r="R2133" s="148" t="str">
        <f>IFERROR(__xludf.DUMMYFUNCTION("""COMPUTED_VALUE"""),"[""bag"",""40117002""]")</f>
        <v>["bag","40117002"]</v>
      </c>
      <c r="S2133" s="148" t="str">
        <f>IFERROR(__xludf.DUMMYFUNCTION("""COMPUTED_VALUE"""),"{""effect"":[{""typ"":""mecha_colour"",""id"":40117002,""val"":-1},{""typ"":""item"",""id"":11111034,""val"":10}]}")</f>
        <v>{"effect":[{"typ":"mecha_colour","id":40117002,"val":-1},{"typ":"item","id":11111034,"val":10}]}</v>
      </c>
      <c r="T2133" s="148">
        <f>IFERROR(__xludf.DUMMYFUNCTION("""COMPUTED_VALUE"""),-1.0)</f>
        <v>-1</v>
      </c>
      <c r="U2133" s="148">
        <f>IFERROR(__xludf.DUMMYFUNCTION("""COMPUTED_VALUE"""),0.0)</f>
        <v>0</v>
      </c>
      <c r="V2133" s="148" t="str">
        <f>IFERROR(__xludf.DUMMYFUNCTION("""COMPUTED_VALUE"""),"[]")</f>
        <v>[]</v>
      </c>
      <c r="W2133" s="148">
        <f>IFERROR(__xludf.DUMMYFUNCTION("""COMPUTED_VALUE"""),1.174E7)</f>
        <v>11740000</v>
      </c>
      <c r="X2133" s="148">
        <f>IFERROR(__xludf.DUMMYFUNCTION("""COMPUTED_VALUE"""),0.0)</f>
        <v>0</v>
      </c>
      <c r="Y2133" s="148">
        <f>IFERROR(__xludf.DUMMYFUNCTION("""COMPUTED_VALUE"""),0.0)</f>
        <v>0</v>
      </c>
      <c r="Z2133" s="148"/>
    </row>
    <row r="2134">
      <c r="A2134" s="148">
        <f>IFERROR(__xludf.DUMMYFUNCTION("""COMPUTED_VALUE"""),1.1118851E7)</f>
        <v>11118851</v>
      </c>
      <c r="B2134" s="148" t="str">
        <f>IFERROR(__xludf.DUMMYFUNCTION("""COMPUTED_VALUE"""),"雄狮绿色喷漆")</f>
        <v>雄狮绿色喷漆</v>
      </c>
      <c r="C2134" s="148"/>
      <c r="D2134" s="148" t="str">
        <f>IFERROR(__xludf.DUMMYFUNCTION("""COMPUTED_VALUE"""),"mecha_skin_colour")</f>
        <v>mecha_skin_colour</v>
      </c>
      <c r="E2134" s="148">
        <f>IFERROR(__xludf.DUMMYFUNCTION("""COMPUTED_VALUE"""),32.0)</f>
        <v>32</v>
      </c>
      <c r="F2134" s="148">
        <f>IFERROR(__xludf.DUMMYFUNCTION("""COMPUTED_VALUE"""),0.0)</f>
        <v>0</v>
      </c>
      <c r="G2134" s="148">
        <f>IFERROR(__xludf.DUMMYFUNCTION("""COMPUTED_VALUE"""),1.5119952E7)</f>
        <v>15119952</v>
      </c>
      <c r="H2134" s="148">
        <f>IFERROR(__xludf.DUMMYFUNCTION("""COMPUTED_VALUE"""),1.5112563E7)</f>
        <v>15112563</v>
      </c>
      <c r="I2134" s="148" t="str">
        <f>IFERROR(__xludf.DUMMYFUNCTION("""COMPUTED_VALUE"""),"{}")</f>
        <v>{}</v>
      </c>
      <c r="J2134" s="148" t="str">
        <f>IFERROR(__xludf.DUMMYFUNCTION("""COMPUTED_VALUE"""),"{""typ"":""lc"",""txt"":""LC_ITEM_mecha_skin_colour_name_28""}")</f>
        <v>{"typ":"lc","txt":"LC_ITEM_mecha_skin_colour_name_28"}</v>
      </c>
      <c r="K2134" s="148" t="str">
        <f>IFERROR(__xludf.DUMMYFUNCTION("""COMPUTED_VALUE"""),"{""typ"":""lc"",""txt"":""LC_ITEM_mecha_skin_colour_desc_28""}")</f>
        <v>{"typ":"lc","txt":"LC_ITEM_mecha_skin_colour_desc_28"}</v>
      </c>
      <c r="L2134" s="148" t="str">
        <f>IFERROR(__xludf.DUMMYFUNCTION("""COMPUTED_VALUE"""),"{""typ"":""lc"",""txt"":""LC_ITEM_mecha_skin_colour_use_tips_28""}")</f>
        <v>{"typ":"lc","txt":"LC_ITEM_mecha_skin_colour_use_tips_28"}</v>
      </c>
      <c r="M2134" s="148">
        <f>IFERROR(__xludf.DUMMYFUNCTION("""COMPUTED_VALUE"""),2500.0)</f>
        <v>2500</v>
      </c>
      <c r="N2134" s="148">
        <f>IFERROR(__xludf.DUMMYFUNCTION("""COMPUTED_VALUE"""),999999.0)</f>
        <v>999999</v>
      </c>
      <c r="O2134" s="148">
        <f>IFERROR(__xludf.DUMMYFUNCTION("""COMPUTED_VALUE"""),99999.0)</f>
        <v>99999</v>
      </c>
      <c r="P2134" s="148">
        <f>IFERROR(__xludf.DUMMYFUNCTION("""COMPUTED_VALUE"""),1.0)</f>
        <v>1</v>
      </c>
      <c r="Q2134" s="148" t="str">
        <f>IFERROR(__xludf.DUMMYFUNCTION("""COMPUTED_VALUE"""),"[""bag_other""]")</f>
        <v>["bag_other"]</v>
      </c>
      <c r="R2134" s="148" t="str">
        <f>IFERROR(__xludf.DUMMYFUNCTION("""COMPUTED_VALUE"""),"[""bag"",""40117003""]")</f>
        <v>["bag","40117003"]</v>
      </c>
      <c r="S2134" s="148" t="str">
        <f>IFERROR(__xludf.DUMMYFUNCTION("""COMPUTED_VALUE"""),"{""effect"":[{""typ"":""mecha_colour"",""id"":40117003,""val"":-1},{""typ"":""item"",""id"":11111034,""val"":10}]}")</f>
        <v>{"effect":[{"typ":"mecha_colour","id":40117003,"val":-1},{"typ":"item","id":11111034,"val":10}]}</v>
      </c>
      <c r="T2134" s="148">
        <f>IFERROR(__xludf.DUMMYFUNCTION("""COMPUTED_VALUE"""),-1.0)</f>
        <v>-1</v>
      </c>
      <c r="U2134" s="148">
        <f>IFERROR(__xludf.DUMMYFUNCTION("""COMPUTED_VALUE"""),0.0)</f>
        <v>0</v>
      </c>
      <c r="V2134" s="148" t="str">
        <f>IFERROR(__xludf.DUMMYFUNCTION("""COMPUTED_VALUE"""),"[]")</f>
        <v>[]</v>
      </c>
      <c r="W2134" s="148">
        <f>IFERROR(__xludf.DUMMYFUNCTION("""COMPUTED_VALUE"""),1.174E7)</f>
        <v>11740000</v>
      </c>
      <c r="X2134" s="148">
        <f>IFERROR(__xludf.DUMMYFUNCTION("""COMPUTED_VALUE"""),0.0)</f>
        <v>0</v>
      </c>
      <c r="Y2134" s="148">
        <f>IFERROR(__xludf.DUMMYFUNCTION("""COMPUTED_VALUE"""),0.0)</f>
        <v>0</v>
      </c>
      <c r="Z2134" s="148"/>
    </row>
    <row r="2135">
      <c r="A2135" s="148">
        <f>IFERROR(__xludf.DUMMYFUNCTION("""COMPUTED_VALUE"""),1.1118852E7)</f>
        <v>11118852</v>
      </c>
      <c r="B2135" s="148" t="str">
        <f>IFERROR(__xludf.DUMMYFUNCTION("""COMPUTED_VALUE"""),"雄狮青色喷漆")</f>
        <v>雄狮青色喷漆</v>
      </c>
      <c r="C2135" s="148"/>
      <c r="D2135" s="148" t="str">
        <f>IFERROR(__xludf.DUMMYFUNCTION("""COMPUTED_VALUE"""),"mecha_skin_colour")</f>
        <v>mecha_skin_colour</v>
      </c>
      <c r="E2135" s="148">
        <f>IFERROR(__xludf.DUMMYFUNCTION("""COMPUTED_VALUE"""),32.0)</f>
        <v>32</v>
      </c>
      <c r="F2135" s="148">
        <f>IFERROR(__xludf.DUMMYFUNCTION("""COMPUTED_VALUE"""),0.0)</f>
        <v>0</v>
      </c>
      <c r="G2135" s="148">
        <f>IFERROR(__xludf.DUMMYFUNCTION("""COMPUTED_VALUE"""),1.5119951E7)</f>
        <v>15119951</v>
      </c>
      <c r="H2135" s="148">
        <f>IFERROR(__xludf.DUMMYFUNCTION("""COMPUTED_VALUE"""),1.5112563E7)</f>
        <v>15112563</v>
      </c>
      <c r="I2135" s="148" t="str">
        <f>IFERROR(__xludf.DUMMYFUNCTION("""COMPUTED_VALUE"""),"{}")</f>
        <v>{}</v>
      </c>
      <c r="J2135" s="148" t="str">
        <f>IFERROR(__xludf.DUMMYFUNCTION("""COMPUTED_VALUE"""),"{""typ"":""lc"",""txt"":""LC_ITEM_mecha_skin_colour_name_29""}")</f>
        <v>{"typ":"lc","txt":"LC_ITEM_mecha_skin_colour_name_29"}</v>
      </c>
      <c r="K2135" s="148" t="str">
        <f>IFERROR(__xludf.DUMMYFUNCTION("""COMPUTED_VALUE"""),"{""typ"":""lc"",""txt"":""LC_ITEM_mecha_skin_colour_desc_29""}")</f>
        <v>{"typ":"lc","txt":"LC_ITEM_mecha_skin_colour_desc_29"}</v>
      </c>
      <c r="L2135" s="148" t="str">
        <f>IFERROR(__xludf.DUMMYFUNCTION("""COMPUTED_VALUE"""),"{""typ"":""lc"",""txt"":""LC_ITEM_mecha_skin_colour_use_tips_29""}")</f>
        <v>{"typ":"lc","txt":"LC_ITEM_mecha_skin_colour_use_tips_29"}</v>
      </c>
      <c r="M2135" s="148">
        <f>IFERROR(__xludf.DUMMYFUNCTION("""COMPUTED_VALUE"""),2500.0)</f>
        <v>2500</v>
      </c>
      <c r="N2135" s="148">
        <f>IFERROR(__xludf.DUMMYFUNCTION("""COMPUTED_VALUE"""),999999.0)</f>
        <v>999999</v>
      </c>
      <c r="O2135" s="148">
        <f>IFERROR(__xludf.DUMMYFUNCTION("""COMPUTED_VALUE"""),99999.0)</f>
        <v>99999</v>
      </c>
      <c r="P2135" s="148">
        <f>IFERROR(__xludf.DUMMYFUNCTION("""COMPUTED_VALUE"""),1.0)</f>
        <v>1</v>
      </c>
      <c r="Q2135" s="148" t="str">
        <f>IFERROR(__xludf.DUMMYFUNCTION("""COMPUTED_VALUE"""),"[""bag_other""]")</f>
        <v>["bag_other"]</v>
      </c>
      <c r="R2135" s="148" t="str">
        <f>IFERROR(__xludf.DUMMYFUNCTION("""COMPUTED_VALUE"""),"[""bag"",""40117004""]")</f>
        <v>["bag","40117004"]</v>
      </c>
      <c r="S2135" s="148" t="str">
        <f>IFERROR(__xludf.DUMMYFUNCTION("""COMPUTED_VALUE"""),"{""effect"":[{""typ"":""mecha_colour"",""id"":40117004,""val"":-1},{""typ"":""item"",""id"":11111034,""val"":10}]}")</f>
        <v>{"effect":[{"typ":"mecha_colour","id":40117004,"val":-1},{"typ":"item","id":11111034,"val":10}]}</v>
      </c>
      <c r="T2135" s="148">
        <f>IFERROR(__xludf.DUMMYFUNCTION("""COMPUTED_VALUE"""),-1.0)</f>
        <v>-1</v>
      </c>
      <c r="U2135" s="148">
        <f>IFERROR(__xludf.DUMMYFUNCTION("""COMPUTED_VALUE"""),0.0)</f>
        <v>0</v>
      </c>
      <c r="V2135" s="148" t="str">
        <f>IFERROR(__xludf.DUMMYFUNCTION("""COMPUTED_VALUE"""),"[]")</f>
        <v>[]</v>
      </c>
      <c r="W2135" s="148">
        <f>IFERROR(__xludf.DUMMYFUNCTION("""COMPUTED_VALUE"""),1.174E7)</f>
        <v>11740000</v>
      </c>
      <c r="X2135" s="148">
        <f>IFERROR(__xludf.DUMMYFUNCTION("""COMPUTED_VALUE"""),0.0)</f>
        <v>0</v>
      </c>
      <c r="Y2135" s="148">
        <f>IFERROR(__xludf.DUMMYFUNCTION("""COMPUTED_VALUE"""),0.0)</f>
        <v>0</v>
      </c>
      <c r="Z2135" s="148"/>
    </row>
    <row r="2136">
      <c r="A2136" s="148">
        <f>IFERROR(__xludf.DUMMYFUNCTION("""COMPUTED_VALUE"""),1.1118853E7)</f>
        <v>11118853</v>
      </c>
      <c r="B2136" s="148" t="str">
        <f>IFERROR(__xludf.DUMMYFUNCTION("""COMPUTED_VALUE"""),"金刚粉色喷漆")</f>
        <v>金刚粉色喷漆</v>
      </c>
      <c r="C2136" s="148"/>
      <c r="D2136" s="148" t="str">
        <f>IFERROR(__xludf.DUMMYFUNCTION("""COMPUTED_VALUE"""),"mecha_skin_colour")</f>
        <v>mecha_skin_colour</v>
      </c>
      <c r="E2136" s="148">
        <f>IFERROR(__xludf.DUMMYFUNCTION("""COMPUTED_VALUE"""),32.0)</f>
        <v>32</v>
      </c>
      <c r="F2136" s="148">
        <f>IFERROR(__xludf.DUMMYFUNCTION("""COMPUTED_VALUE"""),0.0)</f>
        <v>0</v>
      </c>
      <c r="G2136" s="148">
        <f>IFERROR(__xludf.DUMMYFUNCTION("""COMPUTED_VALUE"""),1.5119919E7)</f>
        <v>15119919</v>
      </c>
      <c r="H2136" s="148">
        <f>IFERROR(__xludf.DUMMYFUNCTION("""COMPUTED_VALUE"""),1.5112563E7)</f>
        <v>15112563</v>
      </c>
      <c r="I2136" s="148" t="str">
        <f>IFERROR(__xludf.DUMMYFUNCTION("""COMPUTED_VALUE"""),"{}")</f>
        <v>{}</v>
      </c>
      <c r="J2136" s="148" t="str">
        <f>IFERROR(__xludf.DUMMYFUNCTION("""COMPUTED_VALUE"""),"{""typ"":""lc"",""txt"":""LC_ITEM_mecha_skin_colour_name_30""}")</f>
        <v>{"typ":"lc","txt":"LC_ITEM_mecha_skin_colour_name_30"}</v>
      </c>
      <c r="K2136" s="148" t="str">
        <f>IFERROR(__xludf.DUMMYFUNCTION("""COMPUTED_VALUE"""),"{""typ"":""lc"",""txt"":""LC_ITEM_mecha_skin_colour_desc_30""}")</f>
        <v>{"typ":"lc","txt":"LC_ITEM_mecha_skin_colour_desc_30"}</v>
      </c>
      <c r="L2136" s="148" t="str">
        <f>IFERROR(__xludf.DUMMYFUNCTION("""COMPUTED_VALUE"""),"{""typ"":""lc"",""txt"":""LC_ITEM_mecha_skin_colour_use_tips_30""}")</f>
        <v>{"typ":"lc","txt":"LC_ITEM_mecha_skin_colour_use_tips_30"}</v>
      </c>
      <c r="M2136" s="148">
        <f>IFERROR(__xludf.DUMMYFUNCTION("""COMPUTED_VALUE"""),2500.0)</f>
        <v>2500</v>
      </c>
      <c r="N2136" s="148">
        <f>IFERROR(__xludf.DUMMYFUNCTION("""COMPUTED_VALUE"""),999999.0)</f>
        <v>999999</v>
      </c>
      <c r="O2136" s="148">
        <f>IFERROR(__xludf.DUMMYFUNCTION("""COMPUTED_VALUE"""),99999.0)</f>
        <v>99999</v>
      </c>
      <c r="P2136" s="148">
        <f>IFERROR(__xludf.DUMMYFUNCTION("""COMPUTED_VALUE"""),1.0)</f>
        <v>1</v>
      </c>
      <c r="Q2136" s="148" t="str">
        <f>IFERROR(__xludf.DUMMYFUNCTION("""COMPUTED_VALUE"""),"[""bag_other""]")</f>
        <v>["bag_other"]</v>
      </c>
      <c r="R2136" s="148" t="str">
        <f>IFERROR(__xludf.DUMMYFUNCTION("""COMPUTED_VALUE"""),"[""bag"",""40112005""]")</f>
        <v>["bag","40112005"]</v>
      </c>
      <c r="S2136" s="148" t="str">
        <f>IFERROR(__xludf.DUMMYFUNCTION("""COMPUTED_VALUE"""),"{""effect"":[{""typ"":""mecha_colour"",""id"":40112005,""val"":-1},{""typ"":""item"",""id"":11111034,""val"":10}]}")</f>
        <v>{"effect":[{"typ":"mecha_colour","id":40112005,"val":-1},{"typ":"item","id":11111034,"val":10}]}</v>
      </c>
      <c r="T2136" s="148">
        <f>IFERROR(__xludf.DUMMYFUNCTION("""COMPUTED_VALUE"""),-1.0)</f>
        <v>-1</v>
      </c>
      <c r="U2136" s="148">
        <f>IFERROR(__xludf.DUMMYFUNCTION("""COMPUTED_VALUE"""),0.0)</f>
        <v>0</v>
      </c>
      <c r="V2136" s="148" t="str">
        <f>IFERROR(__xludf.DUMMYFUNCTION("""COMPUTED_VALUE"""),"[]")</f>
        <v>[]</v>
      </c>
      <c r="W2136" s="148">
        <f>IFERROR(__xludf.DUMMYFUNCTION("""COMPUTED_VALUE"""),1.174E7)</f>
        <v>11740000</v>
      </c>
      <c r="X2136" s="148">
        <f>IFERROR(__xludf.DUMMYFUNCTION("""COMPUTED_VALUE"""),0.0)</f>
        <v>0</v>
      </c>
      <c r="Y2136" s="148">
        <f>IFERROR(__xludf.DUMMYFUNCTION("""COMPUTED_VALUE"""),0.0)</f>
        <v>0</v>
      </c>
      <c r="Z2136" s="148"/>
    </row>
    <row r="2137">
      <c r="A2137" s="148">
        <f>IFERROR(__xludf.DUMMYFUNCTION("""COMPUTED_VALUE"""),1.1118854E7)</f>
        <v>11118854</v>
      </c>
      <c r="B2137" s="148" t="str">
        <f>IFERROR(__xludf.DUMMYFUNCTION("""COMPUTED_VALUE"""),"金刚橙色喷漆")</f>
        <v>金刚橙色喷漆</v>
      </c>
      <c r="C2137" s="148"/>
      <c r="D2137" s="148" t="str">
        <f>IFERROR(__xludf.DUMMYFUNCTION("""COMPUTED_VALUE"""),"mecha_skin_colour")</f>
        <v>mecha_skin_colour</v>
      </c>
      <c r="E2137" s="148">
        <f>IFERROR(__xludf.DUMMYFUNCTION("""COMPUTED_VALUE"""),32.0)</f>
        <v>32</v>
      </c>
      <c r="F2137" s="148">
        <f>IFERROR(__xludf.DUMMYFUNCTION("""COMPUTED_VALUE"""),0.0)</f>
        <v>0</v>
      </c>
      <c r="G2137" s="148">
        <f>IFERROR(__xludf.DUMMYFUNCTION("""COMPUTED_VALUE"""),1.5119918E7)</f>
        <v>15119918</v>
      </c>
      <c r="H2137" s="148">
        <f>IFERROR(__xludf.DUMMYFUNCTION("""COMPUTED_VALUE"""),1.5112563E7)</f>
        <v>15112563</v>
      </c>
      <c r="I2137" s="148" t="str">
        <f>IFERROR(__xludf.DUMMYFUNCTION("""COMPUTED_VALUE"""),"{}")</f>
        <v>{}</v>
      </c>
      <c r="J2137" s="148" t="str">
        <f>IFERROR(__xludf.DUMMYFUNCTION("""COMPUTED_VALUE"""),"{""typ"":""lc"",""txt"":""LC_ITEM_mecha_skin_colour_name_31""}")</f>
        <v>{"typ":"lc","txt":"LC_ITEM_mecha_skin_colour_name_31"}</v>
      </c>
      <c r="K2137" s="148" t="str">
        <f>IFERROR(__xludf.DUMMYFUNCTION("""COMPUTED_VALUE"""),"{""typ"":""lc"",""txt"":""LC_ITEM_mecha_skin_colour_desc_31""}")</f>
        <v>{"typ":"lc","txt":"LC_ITEM_mecha_skin_colour_desc_31"}</v>
      </c>
      <c r="L2137" s="148" t="str">
        <f>IFERROR(__xludf.DUMMYFUNCTION("""COMPUTED_VALUE"""),"{""typ"":""lc"",""txt"":""LC_ITEM_mecha_skin_colour_use_tips_31""}")</f>
        <v>{"typ":"lc","txt":"LC_ITEM_mecha_skin_colour_use_tips_31"}</v>
      </c>
      <c r="M2137" s="148">
        <f>IFERROR(__xludf.DUMMYFUNCTION("""COMPUTED_VALUE"""),2500.0)</f>
        <v>2500</v>
      </c>
      <c r="N2137" s="148">
        <f>IFERROR(__xludf.DUMMYFUNCTION("""COMPUTED_VALUE"""),999999.0)</f>
        <v>999999</v>
      </c>
      <c r="O2137" s="148">
        <f>IFERROR(__xludf.DUMMYFUNCTION("""COMPUTED_VALUE"""),99999.0)</f>
        <v>99999</v>
      </c>
      <c r="P2137" s="148">
        <f>IFERROR(__xludf.DUMMYFUNCTION("""COMPUTED_VALUE"""),1.0)</f>
        <v>1</v>
      </c>
      <c r="Q2137" s="148" t="str">
        <f>IFERROR(__xludf.DUMMYFUNCTION("""COMPUTED_VALUE"""),"[""bag_other""]")</f>
        <v>["bag_other"]</v>
      </c>
      <c r="R2137" s="148" t="str">
        <f>IFERROR(__xludf.DUMMYFUNCTION("""COMPUTED_VALUE"""),"[""bag"",""40112006""]")</f>
        <v>["bag","40112006"]</v>
      </c>
      <c r="S2137" s="148" t="str">
        <f>IFERROR(__xludf.DUMMYFUNCTION("""COMPUTED_VALUE"""),"{""effect"":[{""typ"":""mecha_colour"",""id"":40112006,""val"":-1},{""typ"":""item"",""id"":11111034,""val"":10}]}")</f>
        <v>{"effect":[{"typ":"mecha_colour","id":40112006,"val":-1},{"typ":"item","id":11111034,"val":10}]}</v>
      </c>
      <c r="T2137" s="148">
        <f>IFERROR(__xludf.DUMMYFUNCTION("""COMPUTED_VALUE"""),-1.0)</f>
        <v>-1</v>
      </c>
      <c r="U2137" s="148">
        <f>IFERROR(__xludf.DUMMYFUNCTION("""COMPUTED_VALUE"""),0.0)</f>
        <v>0</v>
      </c>
      <c r="V2137" s="148" t="str">
        <f>IFERROR(__xludf.DUMMYFUNCTION("""COMPUTED_VALUE"""),"[]")</f>
        <v>[]</v>
      </c>
      <c r="W2137" s="148">
        <f>IFERROR(__xludf.DUMMYFUNCTION("""COMPUTED_VALUE"""),1.174E7)</f>
        <v>11740000</v>
      </c>
      <c r="X2137" s="148">
        <f>IFERROR(__xludf.DUMMYFUNCTION("""COMPUTED_VALUE"""),0.0)</f>
        <v>0</v>
      </c>
      <c r="Y2137" s="148">
        <f>IFERROR(__xludf.DUMMYFUNCTION("""COMPUTED_VALUE"""),0.0)</f>
        <v>0</v>
      </c>
      <c r="Z2137" s="148"/>
    </row>
    <row r="2138">
      <c r="A2138" s="148">
        <f>IFERROR(__xludf.DUMMYFUNCTION("""COMPUTED_VALUE"""),1.1118855E7)</f>
        <v>11118855</v>
      </c>
      <c r="B2138" s="148" t="str">
        <f>IFERROR(__xludf.DUMMYFUNCTION("""COMPUTED_VALUE"""),"金刚紫色喷漆")</f>
        <v>金刚紫色喷漆</v>
      </c>
      <c r="C2138" s="148"/>
      <c r="D2138" s="148" t="str">
        <f>IFERROR(__xludf.DUMMYFUNCTION("""COMPUTED_VALUE"""),"mecha_skin_colour")</f>
        <v>mecha_skin_colour</v>
      </c>
      <c r="E2138" s="148">
        <f>IFERROR(__xludf.DUMMYFUNCTION("""COMPUTED_VALUE"""),32.0)</f>
        <v>32</v>
      </c>
      <c r="F2138" s="148">
        <f>IFERROR(__xludf.DUMMYFUNCTION("""COMPUTED_VALUE"""),0.0)</f>
        <v>0</v>
      </c>
      <c r="G2138" s="148">
        <f>IFERROR(__xludf.DUMMYFUNCTION("""COMPUTED_VALUE"""),1.511992E7)</f>
        <v>15119920</v>
      </c>
      <c r="H2138" s="148">
        <f>IFERROR(__xludf.DUMMYFUNCTION("""COMPUTED_VALUE"""),1.5112563E7)</f>
        <v>15112563</v>
      </c>
      <c r="I2138" s="148" t="str">
        <f>IFERROR(__xludf.DUMMYFUNCTION("""COMPUTED_VALUE"""),"{}")</f>
        <v>{}</v>
      </c>
      <c r="J2138" s="148" t="str">
        <f>IFERROR(__xludf.DUMMYFUNCTION("""COMPUTED_VALUE"""),"{""typ"":""lc"",""txt"":""LC_ITEM_mecha_skin_colour_name_32""}")</f>
        <v>{"typ":"lc","txt":"LC_ITEM_mecha_skin_colour_name_32"}</v>
      </c>
      <c r="K2138" s="148" t="str">
        <f>IFERROR(__xludf.DUMMYFUNCTION("""COMPUTED_VALUE"""),"{""typ"":""lc"",""txt"":""LC_ITEM_mecha_skin_colour_desc_32""}")</f>
        <v>{"typ":"lc","txt":"LC_ITEM_mecha_skin_colour_desc_32"}</v>
      </c>
      <c r="L2138" s="148" t="str">
        <f>IFERROR(__xludf.DUMMYFUNCTION("""COMPUTED_VALUE"""),"{""typ"":""lc"",""txt"":""LC_ITEM_mecha_skin_colour_use_tips_32""}")</f>
        <v>{"typ":"lc","txt":"LC_ITEM_mecha_skin_colour_use_tips_32"}</v>
      </c>
      <c r="M2138" s="148">
        <f>IFERROR(__xludf.DUMMYFUNCTION("""COMPUTED_VALUE"""),2500.0)</f>
        <v>2500</v>
      </c>
      <c r="N2138" s="148">
        <f>IFERROR(__xludf.DUMMYFUNCTION("""COMPUTED_VALUE"""),999999.0)</f>
        <v>999999</v>
      </c>
      <c r="O2138" s="148">
        <f>IFERROR(__xludf.DUMMYFUNCTION("""COMPUTED_VALUE"""),99999.0)</f>
        <v>99999</v>
      </c>
      <c r="P2138" s="148">
        <f>IFERROR(__xludf.DUMMYFUNCTION("""COMPUTED_VALUE"""),1.0)</f>
        <v>1</v>
      </c>
      <c r="Q2138" s="148" t="str">
        <f>IFERROR(__xludf.DUMMYFUNCTION("""COMPUTED_VALUE"""),"[""bag_other""]")</f>
        <v>["bag_other"]</v>
      </c>
      <c r="R2138" s="148" t="str">
        <f>IFERROR(__xludf.DUMMYFUNCTION("""COMPUTED_VALUE"""),"[""bag"",""40112007""]")</f>
        <v>["bag","40112007"]</v>
      </c>
      <c r="S2138" s="148" t="str">
        <f>IFERROR(__xludf.DUMMYFUNCTION("""COMPUTED_VALUE"""),"{""effect"":[{""typ"":""mecha_colour"",""id"":40112007,""val"":-1},{""typ"":""item"",""id"":11111034,""val"":10}]}")</f>
        <v>{"effect":[{"typ":"mecha_colour","id":40112007,"val":-1},{"typ":"item","id":11111034,"val":10}]}</v>
      </c>
      <c r="T2138" s="148">
        <f>IFERROR(__xludf.DUMMYFUNCTION("""COMPUTED_VALUE"""),-1.0)</f>
        <v>-1</v>
      </c>
      <c r="U2138" s="148">
        <f>IFERROR(__xludf.DUMMYFUNCTION("""COMPUTED_VALUE"""),0.0)</f>
        <v>0</v>
      </c>
      <c r="V2138" s="148" t="str">
        <f>IFERROR(__xludf.DUMMYFUNCTION("""COMPUTED_VALUE"""),"[]")</f>
        <v>[]</v>
      </c>
      <c r="W2138" s="148">
        <f>IFERROR(__xludf.DUMMYFUNCTION("""COMPUTED_VALUE"""),1.174E7)</f>
        <v>11740000</v>
      </c>
      <c r="X2138" s="148">
        <f>IFERROR(__xludf.DUMMYFUNCTION("""COMPUTED_VALUE"""),0.0)</f>
        <v>0</v>
      </c>
      <c r="Y2138" s="148">
        <f>IFERROR(__xludf.DUMMYFUNCTION("""COMPUTED_VALUE"""),0.0)</f>
        <v>0</v>
      </c>
      <c r="Z2138" s="148"/>
    </row>
    <row r="2139">
      <c r="A2139" s="148">
        <f>IFERROR(__xludf.DUMMYFUNCTION("""COMPUTED_VALUE"""),1.1118856E7)</f>
        <v>11118856</v>
      </c>
      <c r="B2139" s="148" t="str">
        <f>IFERROR(__xludf.DUMMYFUNCTION("""COMPUTED_VALUE"""),"猎豹粉色喷漆")</f>
        <v>猎豹粉色喷漆</v>
      </c>
      <c r="C2139" s="148"/>
      <c r="D2139" s="148" t="str">
        <f>IFERROR(__xludf.DUMMYFUNCTION("""COMPUTED_VALUE"""),"mecha_skin_colour")</f>
        <v>mecha_skin_colour</v>
      </c>
      <c r="E2139" s="148">
        <f>IFERROR(__xludf.DUMMYFUNCTION("""COMPUTED_VALUE"""),32.0)</f>
        <v>32</v>
      </c>
      <c r="F2139" s="148">
        <f>IFERROR(__xludf.DUMMYFUNCTION("""COMPUTED_VALUE"""),0.0)</f>
        <v>0</v>
      </c>
      <c r="G2139" s="148">
        <f>IFERROR(__xludf.DUMMYFUNCTION("""COMPUTED_VALUE"""),1.5119926E7)</f>
        <v>15119926</v>
      </c>
      <c r="H2139" s="148">
        <f>IFERROR(__xludf.DUMMYFUNCTION("""COMPUTED_VALUE"""),1.5112563E7)</f>
        <v>15112563</v>
      </c>
      <c r="I2139" s="148" t="str">
        <f>IFERROR(__xludf.DUMMYFUNCTION("""COMPUTED_VALUE"""),"{}")</f>
        <v>{}</v>
      </c>
      <c r="J2139" s="148" t="str">
        <f>IFERROR(__xludf.DUMMYFUNCTION("""COMPUTED_VALUE"""),"{""typ"":""lc"",""txt"":""LC_ITEM_mecha_skin_colour_name_33""}")</f>
        <v>{"typ":"lc","txt":"LC_ITEM_mecha_skin_colour_name_33"}</v>
      </c>
      <c r="K2139" s="148" t="str">
        <f>IFERROR(__xludf.DUMMYFUNCTION("""COMPUTED_VALUE"""),"{""typ"":""lc"",""txt"":""LC_ITEM_mecha_skin_colour_desc_33""}")</f>
        <v>{"typ":"lc","txt":"LC_ITEM_mecha_skin_colour_desc_33"}</v>
      </c>
      <c r="L2139" s="148" t="str">
        <f>IFERROR(__xludf.DUMMYFUNCTION("""COMPUTED_VALUE"""),"{""typ"":""lc"",""txt"":""LC_ITEM_mecha_skin_colour_use_tips_33""}")</f>
        <v>{"typ":"lc","txt":"LC_ITEM_mecha_skin_colour_use_tips_33"}</v>
      </c>
      <c r="M2139" s="148">
        <f>IFERROR(__xludf.DUMMYFUNCTION("""COMPUTED_VALUE"""),2500.0)</f>
        <v>2500</v>
      </c>
      <c r="N2139" s="148">
        <f>IFERROR(__xludf.DUMMYFUNCTION("""COMPUTED_VALUE"""),999999.0)</f>
        <v>999999</v>
      </c>
      <c r="O2139" s="148">
        <f>IFERROR(__xludf.DUMMYFUNCTION("""COMPUTED_VALUE"""),99999.0)</f>
        <v>99999</v>
      </c>
      <c r="P2139" s="148">
        <f>IFERROR(__xludf.DUMMYFUNCTION("""COMPUTED_VALUE"""),1.0)</f>
        <v>1</v>
      </c>
      <c r="Q2139" s="148" t="str">
        <f>IFERROR(__xludf.DUMMYFUNCTION("""COMPUTED_VALUE"""),"[""bag_other""]")</f>
        <v>["bag_other"]</v>
      </c>
      <c r="R2139" s="148" t="str">
        <f>IFERROR(__xludf.DUMMYFUNCTION("""COMPUTED_VALUE"""),"[""bag"",""40113005""]")</f>
        <v>["bag","40113005"]</v>
      </c>
      <c r="S2139" s="148" t="str">
        <f>IFERROR(__xludf.DUMMYFUNCTION("""COMPUTED_VALUE"""),"{""effect"":[{""typ"":""mecha_colour"",""id"":40113005,""val"":-1},{""typ"":""item"",""id"":11111034,""val"":10}]}")</f>
        <v>{"effect":[{"typ":"mecha_colour","id":40113005,"val":-1},{"typ":"item","id":11111034,"val":10}]}</v>
      </c>
      <c r="T2139" s="148">
        <f>IFERROR(__xludf.DUMMYFUNCTION("""COMPUTED_VALUE"""),-1.0)</f>
        <v>-1</v>
      </c>
      <c r="U2139" s="148">
        <f>IFERROR(__xludf.DUMMYFUNCTION("""COMPUTED_VALUE"""),0.0)</f>
        <v>0</v>
      </c>
      <c r="V2139" s="148" t="str">
        <f>IFERROR(__xludf.DUMMYFUNCTION("""COMPUTED_VALUE"""),"[]")</f>
        <v>[]</v>
      </c>
      <c r="W2139" s="148">
        <f>IFERROR(__xludf.DUMMYFUNCTION("""COMPUTED_VALUE"""),1.174E7)</f>
        <v>11740000</v>
      </c>
      <c r="X2139" s="148">
        <f>IFERROR(__xludf.DUMMYFUNCTION("""COMPUTED_VALUE"""),0.0)</f>
        <v>0</v>
      </c>
      <c r="Y2139" s="148">
        <f>IFERROR(__xludf.DUMMYFUNCTION("""COMPUTED_VALUE"""),0.0)</f>
        <v>0</v>
      </c>
      <c r="Z2139" s="148"/>
    </row>
    <row r="2140">
      <c r="A2140" s="148">
        <f>IFERROR(__xludf.DUMMYFUNCTION("""COMPUTED_VALUE"""),1.1118857E7)</f>
        <v>11118857</v>
      </c>
      <c r="B2140" s="148" t="str">
        <f>IFERROR(__xludf.DUMMYFUNCTION("""COMPUTED_VALUE"""),"猎豹橙色喷漆")</f>
        <v>猎豹橙色喷漆</v>
      </c>
      <c r="C2140" s="148"/>
      <c r="D2140" s="148" t="str">
        <f>IFERROR(__xludf.DUMMYFUNCTION("""COMPUTED_VALUE"""),"mecha_skin_colour")</f>
        <v>mecha_skin_colour</v>
      </c>
      <c r="E2140" s="148">
        <f>IFERROR(__xludf.DUMMYFUNCTION("""COMPUTED_VALUE"""),32.0)</f>
        <v>32</v>
      </c>
      <c r="F2140" s="148">
        <f>IFERROR(__xludf.DUMMYFUNCTION("""COMPUTED_VALUE"""),0.0)</f>
        <v>0</v>
      </c>
      <c r="G2140" s="148">
        <f>IFERROR(__xludf.DUMMYFUNCTION("""COMPUTED_VALUE"""),1.5119925E7)</f>
        <v>15119925</v>
      </c>
      <c r="H2140" s="148">
        <f>IFERROR(__xludf.DUMMYFUNCTION("""COMPUTED_VALUE"""),1.5112563E7)</f>
        <v>15112563</v>
      </c>
      <c r="I2140" s="148" t="str">
        <f>IFERROR(__xludf.DUMMYFUNCTION("""COMPUTED_VALUE"""),"{}")</f>
        <v>{}</v>
      </c>
      <c r="J2140" s="148" t="str">
        <f>IFERROR(__xludf.DUMMYFUNCTION("""COMPUTED_VALUE"""),"{""typ"":""lc"",""txt"":""LC_ITEM_mecha_skin_colour_name_34""}")</f>
        <v>{"typ":"lc","txt":"LC_ITEM_mecha_skin_colour_name_34"}</v>
      </c>
      <c r="K2140" s="148" t="str">
        <f>IFERROR(__xludf.DUMMYFUNCTION("""COMPUTED_VALUE"""),"{""typ"":""lc"",""txt"":""LC_ITEM_mecha_skin_colour_desc_34""}")</f>
        <v>{"typ":"lc","txt":"LC_ITEM_mecha_skin_colour_desc_34"}</v>
      </c>
      <c r="L2140" s="148" t="str">
        <f>IFERROR(__xludf.DUMMYFUNCTION("""COMPUTED_VALUE"""),"{""typ"":""lc"",""txt"":""LC_ITEM_mecha_skin_colour_use_tips_34""}")</f>
        <v>{"typ":"lc","txt":"LC_ITEM_mecha_skin_colour_use_tips_34"}</v>
      </c>
      <c r="M2140" s="148">
        <f>IFERROR(__xludf.DUMMYFUNCTION("""COMPUTED_VALUE"""),2500.0)</f>
        <v>2500</v>
      </c>
      <c r="N2140" s="148">
        <f>IFERROR(__xludf.DUMMYFUNCTION("""COMPUTED_VALUE"""),999999.0)</f>
        <v>999999</v>
      </c>
      <c r="O2140" s="148">
        <f>IFERROR(__xludf.DUMMYFUNCTION("""COMPUTED_VALUE"""),99999.0)</f>
        <v>99999</v>
      </c>
      <c r="P2140" s="148">
        <f>IFERROR(__xludf.DUMMYFUNCTION("""COMPUTED_VALUE"""),1.0)</f>
        <v>1</v>
      </c>
      <c r="Q2140" s="148" t="str">
        <f>IFERROR(__xludf.DUMMYFUNCTION("""COMPUTED_VALUE"""),"[""bag_other""]")</f>
        <v>["bag_other"]</v>
      </c>
      <c r="R2140" s="148" t="str">
        <f>IFERROR(__xludf.DUMMYFUNCTION("""COMPUTED_VALUE"""),"[""bag"",""40113006""]")</f>
        <v>["bag","40113006"]</v>
      </c>
      <c r="S2140" s="148" t="str">
        <f>IFERROR(__xludf.DUMMYFUNCTION("""COMPUTED_VALUE"""),"{""effect"":[{""typ"":""mecha_colour"",""id"":40113006,""val"":-1},{""typ"":""item"",""id"":11111034,""val"":10}]}")</f>
        <v>{"effect":[{"typ":"mecha_colour","id":40113006,"val":-1},{"typ":"item","id":11111034,"val":10}]}</v>
      </c>
      <c r="T2140" s="148">
        <f>IFERROR(__xludf.DUMMYFUNCTION("""COMPUTED_VALUE"""),-1.0)</f>
        <v>-1</v>
      </c>
      <c r="U2140" s="148">
        <f>IFERROR(__xludf.DUMMYFUNCTION("""COMPUTED_VALUE"""),0.0)</f>
        <v>0</v>
      </c>
      <c r="V2140" s="148" t="str">
        <f>IFERROR(__xludf.DUMMYFUNCTION("""COMPUTED_VALUE"""),"[]")</f>
        <v>[]</v>
      </c>
      <c r="W2140" s="148">
        <f>IFERROR(__xludf.DUMMYFUNCTION("""COMPUTED_VALUE"""),1.174E7)</f>
        <v>11740000</v>
      </c>
      <c r="X2140" s="148">
        <f>IFERROR(__xludf.DUMMYFUNCTION("""COMPUTED_VALUE"""),0.0)</f>
        <v>0</v>
      </c>
      <c r="Y2140" s="148">
        <f>IFERROR(__xludf.DUMMYFUNCTION("""COMPUTED_VALUE"""),0.0)</f>
        <v>0</v>
      </c>
      <c r="Z2140" s="148"/>
    </row>
    <row r="2141">
      <c r="A2141" s="148">
        <f>IFERROR(__xludf.DUMMYFUNCTION("""COMPUTED_VALUE"""),1.1118858E7)</f>
        <v>11118858</v>
      </c>
      <c r="B2141" s="148" t="str">
        <f>IFERROR(__xludf.DUMMYFUNCTION("""COMPUTED_VALUE"""),"猎豹紫色喷漆")</f>
        <v>猎豹紫色喷漆</v>
      </c>
      <c r="C2141" s="148"/>
      <c r="D2141" s="148" t="str">
        <f>IFERROR(__xludf.DUMMYFUNCTION("""COMPUTED_VALUE"""),"mecha_skin_colour")</f>
        <v>mecha_skin_colour</v>
      </c>
      <c r="E2141" s="148">
        <f>IFERROR(__xludf.DUMMYFUNCTION("""COMPUTED_VALUE"""),32.0)</f>
        <v>32</v>
      </c>
      <c r="F2141" s="148">
        <f>IFERROR(__xludf.DUMMYFUNCTION("""COMPUTED_VALUE"""),0.0)</f>
        <v>0</v>
      </c>
      <c r="G2141" s="148">
        <f>IFERROR(__xludf.DUMMYFUNCTION("""COMPUTED_VALUE"""),1.5119927E7)</f>
        <v>15119927</v>
      </c>
      <c r="H2141" s="148">
        <f>IFERROR(__xludf.DUMMYFUNCTION("""COMPUTED_VALUE"""),1.5112563E7)</f>
        <v>15112563</v>
      </c>
      <c r="I2141" s="148" t="str">
        <f>IFERROR(__xludf.DUMMYFUNCTION("""COMPUTED_VALUE"""),"{}")</f>
        <v>{}</v>
      </c>
      <c r="J2141" s="148" t="str">
        <f>IFERROR(__xludf.DUMMYFUNCTION("""COMPUTED_VALUE"""),"{""typ"":""lc"",""txt"":""LC_ITEM_mecha_skin_colour_name_35""}")</f>
        <v>{"typ":"lc","txt":"LC_ITEM_mecha_skin_colour_name_35"}</v>
      </c>
      <c r="K2141" s="148" t="str">
        <f>IFERROR(__xludf.DUMMYFUNCTION("""COMPUTED_VALUE"""),"{""typ"":""lc"",""txt"":""LC_ITEM_mecha_skin_colour_desc_35""}")</f>
        <v>{"typ":"lc","txt":"LC_ITEM_mecha_skin_colour_desc_35"}</v>
      </c>
      <c r="L2141" s="148" t="str">
        <f>IFERROR(__xludf.DUMMYFUNCTION("""COMPUTED_VALUE"""),"{""typ"":""lc"",""txt"":""LC_ITEM_mecha_skin_colour_use_tips_35""}")</f>
        <v>{"typ":"lc","txt":"LC_ITEM_mecha_skin_colour_use_tips_35"}</v>
      </c>
      <c r="M2141" s="148">
        <f>IFERROR(__xludf.DUMMYFUNCTION("""COMPUTED_VALUE"""),2500.0)</f>
        <v>2500</v>
      </c>
      <c r="N2141" s="148">
        <f>IFERROR(__xludf.DUMMYFUNCTION("""COMPUTED_VALUE"""),999999.0)</f>
        <v>999999</v>
      </c>
      <c r="O2141" s="148">
        <f>IFERROR(__xludf.DUMMYFUNCTION("""COMPUTED_VALUE"""),99999.0)</f>
        <v>99999</v>
      </c>
      <c r="P2141" s="148">
        <f>IFERROR(__xludf.DUMMYFUNCTION("""COMPUTED_VALUE"""),1.0)</f>
        <v>1</v>
      </c>
      <c r="Q2141" s="148" t="str">
        <f>IFERROR(__xludf.DUMMYFUNCTION("""COMPUTED_VALUE"""),"[""bag_other""]")</f>
        <v>["bag_other"]</v>
      </c>
      <c r="R2141" s="148" t="str">
        <f>IFERROR(__xludf.DUMMYFUNCTION("""COMPUTED_VALUE"""),"[""bag"",""40113007""]")</f>
        <v>["bag","40113007"]</v>
      </c>
      <c r="S2141" s="148" t="str">
        <f>IFERROR(__xludf.DUMMYFUNCTION("""COMPUTED_VALUE"""),"{""effect"":[{""typ"":""mecha_colour"",""id"":40113007,""val"":-1},{""typ"":""item"",""id"":11111034,""val"":10}]}")</f>
        <v>{"effect":[{"typ":"mecha_colour","id":40113007,"val":-1},{"typ":"item","id":11111034,"val":10}]}</v>
      </c>
      <c r="T2141" s="148">
        <f>IFERROR(__xludf.DUMMYFUNCTION("""COMPUTED_VALUE"""),-1.0)</f>
        <v>-1</v>
      </c>
      <c r="U2141" s="148">
        <f>IFERROR(__xludf.DUMMYFUNCTION("""COMPUTED_VALUE"""),0.0)</f>
        <v>0</v>
      </c>
      <c r="V2141" s="148" t="str">
        <f>IFERROR(__xludf.DUMMYFUNCTION("""COMPUTED_VALUE"""),"[]")</f>
        <v>[]</v>
      </c>
      <c r="W2141" s="148">
        <f>IFERROR(__xludf.DUMMYFUNCTION("""COMPUTED_VALUE"""),1.174E7)</f>
        <v>11740000</v>
      </c>
      <c r="X2141" s="148">
        <f>IFERROR(__xludf.DUMMYFUNCTION("""COMPUTED_VALUE"""),0.0)</f>
        <v>0</v>
      </c>
      <c r="Y2141" s="148">
        <f>IFERROR(__xludf.DUMMYFUNCTION("""COMPUTED_VALUE"""),0.0)</f>
        <v>0</v>
      </c>
      <c r="Z2141" s="148"/>
    </row>
    <row r="2142">
      <c r="A2142" s="148">
        <f>IFERROR(__xludf.DUMMYFUNCTION("""COMPUTED_VALUE"""),1.1118859E7)</f>
        <v>11118859</v>
      </c>
      <c r="B2142" s="148" t="str">
        <f>IFERROR(__xludf.DUMMYFUNCTION("""COMPUTED_VALUE"""),"毒蝎粉色喷漆")</f>
        <v>毒蝎粉色喷漆</v>
      </c>
      <c r="C2142" s="148"/>
      <c r="D2142" s="148" t="str">
        <f>IFERROR(__xludf.DUMMYFUNCTION("""COMPUTED_VALUE"""),"mecha_skin_colour")</f>
        <v>mecha_skin_colour</v>
      </c>
      <c r="E2142" s="148">
        <f>IFERROR(__xludf.DUMMYFUNCTION("""COMPUTED_VALUE"""),32.0)</f>
        <v>32</v>
      </c>
      <c r="F2142" s="148">
        <f>IFERROR(__xludf.DUMMYFUNCTION("""COMPUTED_VALUE"""),0.0)</f>
        <v>0</v>
      </c>
      <c r="G2142" s="148">
        <f>IFERROR(__xludf.DUMMYFUNCTION("""COMPUTED_VALUE"""),1.5119933E7)</f>
        <v>15119933</v>
      </c>
      <c r="H2142" s="148">
        <f>IFERROR(__xludf.DUMMYFUNCTION("""COMPUTED_VALUE"""),1.5112563E7)</f>
        <v>15112563</v>
      </c>
      <c r="I2142" s="148" t="str">
        <f>IFERROR(__xludf.DUMMYFUNCTION("""COMPUTED_VALUE"""),"{}")</f>
        <v>{}</v>
      </c>
      <c r="J2142" s="148" t="str">
        <f>IFERROR(__xludf.DUMMYFUNCTION("""COMPUTED_VALUE"""),"{""typ"":""lc"",""txt"":""LC_ITEM_mecha_skin_colour_name_47""}")</f>
        <v>{"typ":"lc","txt":"LC_ITEM_mecha_skin_colour_name_47"}</v>
      </c>
      <c r="K2142" s="148" t="str">
        <f>IFERROR(__xludf.DUMMYFUNCTION("""COMPUTED_VALUE"""),"{""typ"":""lc"",""txt"":""LC_ITEM_mecha_skin_colour_desc_47""}")</f>
        <v>{"typ":"lc","txt":"LC_ITEM_mecha_skin_colour_desc_47"}</v>
      </c>
      <c r="L2142" s="148" t="str">
        <f>IFERROR(__xludf.DUMMYFUNCTION("""COMPUTED_VALUE"""),"{""typ"":""lc"",""txt"":""LC_ITEM_mecha_skin_colour_use_tips_47""}")</f>
        <v>{"typ":"lc","txt":"LC_ITEM_mecha_skin_colour_use_tips_47"}</v>
      </c>
      <c r="M2142" s="148">
        <f>IFERROR(__xludf.DUMMYFUNCTION("""COMPUTED_VALUE"""),2500.0)</f>
        <v>2500</v>
      </c>
      <c r="N2142" s="148">
        <f>IFERROR(__xludf.DUMMYFUNCTION("""COMPUTED_VALUE"""),999999.0)</f>
        <v>999999</v>
      </c>
      <c r="O2142" s="148">
        <f>IFERROR(__xludf.DUMMYFUNCTION("""COMPUTED_VALUE"""),99999.0)</f>
        <v>99999</v>
      </c>
      <c r="P2142" s="148">
        <f>IFERROR(__xludf.DUMMYFUNCTION("""COMPUTED_VALUE"""),1.0)</f>
        <v>1</v>
      </c>
      <c r="Q2142" s="148" t="str">
        <f>IFERROR(__xludf.DUMMYFUNCTION("""COMPUTED_VALUE"""),"[""bag_other""]")</f>
        <v>["bag_other"]</v>
      </c>
      <c r="R2142" s="148" t="str">
        <f>IFERROR(__xludf.DUMMYFUNCTION("""COMPUTED_VALUE"""),"[""bag"",""40114005""]")</f>
        <v>["bag","40114005"]</v>
      </c>
      <c r="S2142" s="148" t="str">
        <f>IFERROR(__xludf.DUMMYFUNCTION("""COMPUTED_VALUE"""),"{""effect"":[{""typ"":""mecha_colour"",""id"":40114005,""val"":-1},{""typ"":""item"",""id"":11111034,""val"":10}]}")</f>
        <v>{"effect":[{"typ":"mecha_colour","id":40114005,"val":-1},{"typ":"item","id":11111034,"val":10}]}</v>
      </c>
      <c r="T2142" s="148">
        <f>IFERROR(__xludf.DUMMYFUNCTION("""COMPUTED_VALUE"""),-1.0)</f>
        <v>-1</v>
      </c>
      <c r="U2142" s="148">
        <f>IFERROR(__xludf.DUMMYFUNCTION("""COMPUTED_VALUE"""),0.0)</f>
        <v>0</v>
      </c>
      <c r="V2142" s="148" t="str">
        <f>IFERROR(__xludf.DUMMYFUNCTION("""COMPUTED_VALUE"""),"[]")</f>
        <v>[]</v>
      </c>
      <c r="W2142" s="148">
        <f>IFERROR(__xludf.DUMMYFUNCTION("""COMPUTED_VALUE"""),1.174E7)</f>
        <v>11740000</v>
      </c>
      <c r="X2142" s="148">
        <f>IFERROR(__xludf.DUMMYFUNCTION("""COMPUTED_VALUE"""),0.0)</f>
        <v>0</v>
      </c>
      <c r="Y2142" s="148">
        <f>IFERROR(__xludf.DUMMYFUNCTION("""COMPUTED_VALUE"""),0.0)</f>
        <v>0</v>
      </c>
      <c r="Z2142" s="148"/>
    </row>
    <row r="2143">
      <c r="A2143" s="148">
        <f>IFERROR(__xludf.DUMMYFUNCTION("""COMPUTED_VALUE"""),1.111886E7)</f>
        <v>11118860</v>
      </c>
      <c r="B2143" s="148" t="str">
        <f>IFERROR(__xludf.DUMMYFUNCTION("""COMPUTED_VALUE"""),"毒蝎橙色喷漆")</f>
        <v>毒蝎橙色喷漆</v>
      </c>
      <c r="C2143" s="148"/>
      <c r="D2143" s="148" t="str">
        <f>IFERROR(__xludf.DUMMYFUNCTION("""COMPUTED_VALUE"""),"mecha_skin_colour")</f>
        <v>mecha_skin_colour</v>
      </c>
      <c r="E2143" s="148">
        <f>IFERROR(__xludf.DUMMYFUNCTION("""COMPUTED_VALUE"""),32.0)</f>
        <v>32</v>
      </c>
      <c r="F2143" s="148">
        <f>IFERROR(__xludf.DUMMYFUNCTION("""COMPUTED_VALUE"""),0.0)</f>
        <v>0</v>
      </c>
      <c r="G2143" s="148">
        <f>IFERROR(__xludf.DUMMYFUNCTION("""COMPUTED_VALUE"""),1.5119932E7)</f>
        <v>15119932</v>
      </c>
      <c r="H2143" s="148">
        <f>IFERROR(__xludf.DUMMYFUNCTION("""COMPUTED_VALUE"""),1.5112563E7)</f>
        <v>15112563</v>
      </c>
      <c r="I2143" s="148" t="str">
        <f>IFERROR(__xludf.DUMMYFUNCTION("""COMPUTED_VALUE"""),"{}")</f>
        <v>{}</v>
      </c>
      <c r="J2143" s="148" t="str">
        <f>IFERROR(__xludf.DUMMYFUNCTION("""COMPUTED_VALUE"""),"{""typ"":""lc"",""txt"":""LC_ITEM_mecha_skin_colour_name_48""}")</f>
        <v>{"typ":"lc","txt":"LC_ITEM_mecha_skin_colour_name_48"}</v>
      </c>
      <c r="K2143" s="148" t="str">
        <f>IFERROR(__xludf.DUMMYFUNCTION("""COMPUTED_VALUE"""),"{""typ"":""lc"",""txt"":""LC_ITEM_mecha_skin_colour_desc_48""}")</f>
        <v>{"typ":"lc","txt":"LC_ITEM_mecha_skin_colour_desc_48"}</v>
      </c>
      <c r="L2143" s="148" t="str">
        <f>IFERROR(__xludf.DUMMYFUNCTION("""COMPUTED_VALUE"""),"{""typ"":""lc"",""txt"":""LC_ITEM_mecha_skin_colour_use_tips_48""}")</f>
        <v>{"typ":"lc","txt":"LC_ITEM_mecha_skin_colour_use_tips_48"}</v>
      </c>
      <c r="M2143" s="148">
        <f>IFERROR(__xludf.DUMMYFUNCTION("""COMPUTED_VALUE"""),2500.0)</f>
        <v>2500</v>
      </c>
      <c r="N2143" s="148">
        <f>IFERROR(__xludf.DUMMYFUNCTION("""COMPUTED_VALUE"""),999999.0)</f>
        <v>999999</v>
      </c>
      <c r="O2143" s="148">
        <f>IFERROR(__xludf.DUMMYFUNCTION("""COMPUTED_VALUE"""),99999.0)</f>
        <v>99999</v>
      </c>
      <c r="P2143" s="148">
        <f>IFERROR(__xludf.DUMMYFUNCTION("""COMPUTED_VALUE"""),1.0)</f>
        <v>1</v>
      </c>
      <c r="Q2143" s="148" t="str">
        <f>IFERROR(__xludf.DUMMYFUNCTION("""COMPUTED_VALUE"""),"[""bag_other""]")</f>
        <v>["bag_other"]</v>
      </c>
      <c r="R2143" s="148" t="str">
        <f>IFERROR(__xludf.DUMMYFUNCTION("""COMPUTED_VALUE"""),"[""bag"",""40114006""]")</f>
        <v>["bag","40114006"]</v>
      </c>
      <c r="S2143" s="148" t="str">
        <f>IFERROR(__xludf.DUMMYFUNCTION("""COMPUTED_VALUE"""),"{""effect"":[{""typ"":""mecha_colour"",""id"":40114006,""val"":-1},{""typ"":""item"",""id"":11111034,""val"":10}]}")</f>
        <v>{"effect":[{"typ":"mecha_colour","id":40114006,"val":-1},{"typ":"item","id":11111034,"val":10}]}</v>
      </c>
      <c r="T2143" s="148">
        <f>IFERROR(__xludf.DUMMYFUNCTION("""COMPUTED_VALUE"""),-1.0)</f>
        <v>-1</v>
      </c>
      <c r="U2143" s="148">
        <f>IFERROR(__xludf.DUMMYFUNCTION("""COMPUTED_VALUE"""),0.0)</f>
        <v>0</v>
      </c>
      <c r="V2143" s="148" t="str">
        <f>IFERROR(__xludf.DUMMYFUNCTION("""COMPUTED_VALUE"""),"[]")</f>
        <v>[]</v>
      </c>
      <c r="W2143" s="148">
        <f>IFERROR(__xludf.DUMMYFUNCTION("""COMPUTED_VALUE"""),1.174E7)</f>
        <v>11740000</v>
      </c>
      <c r="X2143" s="148">
        <f>IFERROR(__xludf.DUMMYFUNCTION("""COMPUTED_VALUE"""),0.0)</f>
        <v>0</v>
      </c>
      <c r="Y2143" s="148">
        <f>IFERROR(__xludf.DUMMYFUNCTION("""COMPUTED_VALUE"""),0.0)</f>
        <v>0</v>
      </c>
      <c r="Z2143" s="148"/>
    </row>
    <row r="2144">
      <c r="A2144" s="148">
        <f>IFERROR(__xludf.DUMMYFUNCTION("""COMPUTED_VALUE"""),1.1118861E7)</f>
        <v>11118861</v>
      </c>
      <c r="B2144" s="148" t="str">
        <f>IFERROR(__xludf.DUMMYFUNCTION("""COMPUTED_VALUE"""),"毒蝎紫色喷漆")</f>
        <v>毒蝎紫色喷漆</v>
      </c>
      <c r="C2144" s="148"/>
      <c r="D2144" s="148" t="str">
        <f>IFERROR(__xludf.DUMMYFUNCTION("""COMPUTED_VALUE"""),"mecha_skin_colour")</f>
        <v>mecha_skin_colour</v>
      </c>
      <c r="E2144" s="148">
        <f>IFERROR(__xludf.DUMMYFUNCTION("""COMPUTED_VALUE"""),32.0)</f>
        <v>32</v>
      </c>
      <c r="F2144" s="148">
        <f>IFERROR(__xludf.DUMMYFUNCTION("""COMPUTED_VALUE"""),0.0)</f>
        <v>0</v>
      </c>
      <c r="G2144" s="148">
        <f>IFERROR(__xludf.DUMMYFUNCTION("""COMPUTED_VALUE"""),1.5119934E7)</f>
        <v>15119934</v>
      </c>
      <c r="H2144" s="148">
        <f>IFERROR(__xludf.DUMMYFUNCTION("""COMPUTED_VALUE"""),1.5112563E7)</f>
        <v>15112563</v>
      </c>
      <c r="I2144" s="148" t="str">
        <f>IFERROR(__xludf.DUMMYFUNCTION("""COMPUTED_VALUE"""),"{}")</f>
        <v>{}</v>
      </c>
      <c r="J2144" s="148" t="str">
        <f>IFERROR(__xludf.DUMMYFUNCTION("""COMPUTED_VALUE"""),"{""typ"":""lc"",""txt"":""LC_ITEM_mecha_skin_colour_name_49""}")</f>
        <v>{"typ":"lc","txt":"LC_ITEM_mecha_skin_colour_name_49"}</v>
      </c>
      <c r="K2144" s="148" t="str">
        <f>IFERROR(__xludf.DUMMYFUNCTION("""COMPUTED_VALUE"""),"{""typ"":""lc"",""txt"":""LC_ITEM_mecha_skin_colour_desc_49""}")</f>
        <v>{"typ":"lc","txt":"LC_ITEM_mecha_skin_colour_desc_49"}</v>
      </c>
      <c r="L2144" s="148" t="str">
        <f>IFERROR(__xludf.DUMMYFUNCTION("""COMPUTED_VALUE"""),"{""typ"":""lc"",""txt"":""LC_ITEM_mecha_skin_colour_use_tips_49""}")</f>
        <v>{"typ":"lc","txt":"LC_ITEM_mecha_skin_colour_use_tips_49"}</v>
      </c>
      <c r="M2144" s="148">
        <f>IFERROR(__xludf.DUMMYFUNCTION("""COMPUTED_VALUE"""),2500.0)</f>
        <v>2500</v>
      </c>
      <c r="N2144" s="148">
        <f>IFERROR(__xludf.DUMMYFUNCTION("""COMPUTED_VALUE"""),999999.0)</f>
        <v>999999</v>
      </c>
      <c r="O2144" s="148">
        <f>IFERROR(__xludf.DUMMYFUNCTION("""COMPUTED_VALUE"""),99999.0)</f>
        <v>99999</v>
      </c>
      <c r="P2144" s="148">
        <f>IFERROR(__xludf.DUMMYFUNCTION("""COMPUTED_VALUE"""),1.0)</f>
        <v>1</v>
      </c>
      <c r="Q2144" s="148" t="str">
        <f>IFERROR(__xludf.DUMMYFUNCTION("""COMPUTED_VALUE"""),"[""bag_other""]")</f>
        <v>["bag_other"]</v>
      </c>
      <c r="R2144" s="148" t="str">
        <f>IFERROR(__xludf.DUMMYFUNCTION("""COMPUTED_VALUE"""),"[""bag"",""40114007""]")</f>
        <v>["bag","40114007"]</v>
      </c>
      <c r="S2144" s="148" t="str">
        <f>IFERROR(__xludf.DUMMYFUNCTION("""COMPUTED_VALUE"""),"{""effect"":[{""typ"":""mecha_colour"",""id"":40114007,""val"":-1},{""typ"":""item"",""id"":11111034,""val"":10}]}")</f>
        <v>{"effect":[{"typ":"mecha_colour","id":40114007,"val":-1},{"typ":"item","id":11111034,"val":10}]}</v>
      </c>
      <c r="T2144" s="148">
        <f>IFERROR(__xludf.DUMMYFUNCTION("""COMPUTED_VALUE"""),-1.0)</f>
        <v>-1</v>
      </c>
      <c r="U2144" s="148">
        <f>IFERROR(__xludf.DUMMYFUNCTION("""COMPUTED_VALUE"""),0.0)</f>
        <v>0</v>
      </c>
      <c r="V2144" s="148" t="str">
        <f>IFERROR(__xludf.DUMMYFUNCTION("""COMPUTED_VALUE"""),"[]")</f>
        <v>[]</v>
      </c>
      <c r="W2144" s="148">
        <f>IFERROR(__xludf.DUMMYFUNCTION("""COMPUTED_VALUE"""),1.174E7)</f>
        <v>11740000</v>
      </c>
      <c r="X2144" s="148">
        <f>IFERROR(__xludf.DUMMYFUNCTION("""COMPUTED_VALUE"""),0.0)</f>
        <v>0</v>
      </c>
      <c r="Y2144" s="148">
        <f>IFERROR(__xludf.DUMMYFUNCTION("""COMPUTED_VALUE"""),0.0)</f>
        <v>0</v>
      </c>
      <c r="Z2144" s="148"/>
    </row>
    <row r="2145">
      <c r="A2145" s="148">
        <f>IFERROR(__xludf.DUMMYFUNCTION("""COMPUTED_VALUE"""),1.1118862E7)</f>
        <v>11118862</v>
      </c>
      <c r="B2145" s="148" t="str">
        <f>IFERROR(__xludf.DUMMYFUNCTION("""COMPUTED_VALUE"""),"天鹰粉色喷漆")</f>
        <v>天鹰粉色喷漆</v>
      </c>
      <c r="C2145" s="148"/>
      <c r="D2145" s="148" t="str">
        <f>IFERROR(__xludf.DUMMYFUNCTION("""COMPUTED_VALUE"""),"mecha_skin_colour")</f>
        <v>mecha_skin_colour</v>
      </c>
      <c r="E2145" s="148">
        <f>IFERROR(__xludf.DUMMYFUNCTION("""COMPUTED_VALUE"""),32.0)</f>
        <v>32</v>
      </c>
      <c r="F2145" s="148">
        <f>IFERROR(__xludf.DUMMYFUNCTION("""COMPUTED_VALUE"""),0.0)</f>
        <v>0</v>
      </c>
      <c r="G2145" s="148">
        <f>IFERROR(__xludf.DUMMYFUNCTION("""COMPUTED_VALUE"""),1.5119947E7)</f>
        <v>15119947</v>
      </c>
      <c r="H2145" s="148">
        <f>IFERROR(__xludf.DUMMYFUNCTION("""COMPUTED_VALUE"""),1.5112563E7)</f>
        <v>15112563</v>
      </c>
      <c r="I2145" s="148" t="str">
        <f>IFERROR(__xludf.DUMMYFUNCTION("""COMPUTED_VALUE"""),"{}")</f>
        <v>{}</v>
      </c>
      <c r="J2145" s="148" t="str">
        <f>IFERROR(__xludf.DUMMYFUNCTION("""COMPUTED_VALUE"""),"{""typ"":""lc"",""txt"":""LC_ITEM_mecha_skin_colour_name_50""}")</f>
        <v>{"typ":"lc","txt":"LC_ITEM_mecha_skin_colour_name_50"}</v>
      </c>
      <c r="K2145" s="148" t="str">
        <f>IFERROR(__xludf.DUMMYFUNCTION("""COMPUTED_VALUE"""),"{""typ"":""lc"",""txt"":""LC_ITEM_mecha_skin_colour_desc_50""}")</f>
        <v>{"typ":"lc","txt":"LC_ITEM_mecha_skin_colour_desc_50"}</v>
      </c>
      <c r="L2145" s="148" t="str">
        <f>IFERROR(__xludf.DUMMYFUNCTION("""COMPUTED_VALUE"""),"{""typ"":""lc"",""txt"":""LC_ITEM_mecha_skin_colour_use_tips_50""}")</f>
        <v>{"typ":"lc","txt":"LC_ITEM_mecha_skin_colour_use_tips_50"}</v>
      </c>
      <c r="M2145" s="148">
        <f>IFERROR(__xludf.DUMMYFUNCTION("""COMPUTED_VALUE"""),2500.0)</f>
        <v>2500</v>
      </c>
      <c r="N2145" s="148">
        <f>IFERROR(__xludf.DUMMYFUNCTION("""COMPUTED_VALUE"""),999999.0)</f>
        <v>999999</v>
      </c>
      <c r="O2145" s="148">
        <f>IFERROR(__xludf.DUMMYFUNCTION("""COMPUTED_VALUE"""),99999.0)</f>
        <v>99999</v>
      </c>
      <c r="P2145" s="148">
        <f>IFERROR(__xludf.DUMMYFUNCTION("""COMPUTED_VALUE"""),1.0)</f>
        <v>1</v>
      </c>
      <c r="Q2145" s="148" t="str">
        <f>IFERROR(__xludf.DUMMYFUNCTION("""COMPUTED_VALUE"""),"[""bag_other""]")</f>
        <v>["bag_other"]</v>
      </c>
      <c r="R2145" s="148" t="str">
        <f>IFERROR(__xludf.DUMMYFUNCTION("""COMPUTED_VALUE"""),"[""bag"",""40115005""]")</f>
        <v>["bag","40115005"]</v>
      </c>
      <c r="S2145" s="148" t="str">
        <f>IFERROR(__xludf.DUMMYFUNCTION("""COMPUTED_VALUE"""),"{""effect"":[{""typ"":""mecha_colour"",""id"":40115005,""val"":-1},{""typ"":""item"",""id"":11111034,""val"":10}]}")</f>
        <v>{"effect":[{"typ":"mecha_colour","id":40115005,"val":-1},{"typ":"item","id":11111034,"val":10}]}</v>
      </c>
      <c r="T2145" s="148">
        <f>IFERROR(__xludf.DUMMYFUNCTION("""COMPUTED_VALUE"""),-1.0)</f>
        <v>-1</v>
      </c>
      <c r="U2145" s="148">
        <f>IFERROR(__xludf.DUMMYFUNCTION("""COMPUTED_VALUE"""),0.0)</f>
        <v>0</v>
      </c>
      <c r="V2145" s="148" t="str">
        <f>IFERROR(__xludf.DUMMYFUNCTION("""COMPUTED_VALUE"""),"[]")</f>
        <v>[]</v>
      </c>
      <c r="W2145" s="148">
        <f>IFERROR(__xludf.DUMMYFUNCTION("""COMPUTED_VALUE"""),1.174E7)</f>
        <v>11740000</v>
      </c>
      <c r="X2145" s="148">
        <f>IFERROR(__xludf.DUMMYFUNCTION("""COMPUTED_VALUE"""),0.0)</f>
        <v>0</v>
      </c>
      <c r="Y2145" s="148">
        <f>IFERROR(__xludf.DUMMYFUNCTION("""COMPUTED_VALUE"""),0.0)</f>
        <v>0</v>
      </c>
      <c r="Z2145" s="148"/>
    </row>
    <row r="2146">
      <c r="A2146" s="148">
        <f>IFERROR(__xludf.DUMMYFUNCTION("""COMPUTED_VALUE"""),1.1118863E7)</f>
        <v>11118863</v>
      </c>
      <c r="B2146" s="148" t="str">
        <f>IFERROR(__xludf.DUMMYFUNCTION("""COMPUTED_VALUE"""),"天鹰橙色喷漆")</f>
        <v>天鹰橙色喷漆</v>
      </c>
      <c r="C2146" s="148"/>
      <c r="D2146" s="148" t="str">
        <f>IFERROR(__xludf.DUMMYFUNCTION("""COMPUTED_VALUE"""),"mecha_skin_colour")</f>
        <v>mecha_skin_colour</v>
      </c>
      <c r="E2146" s="148">
        <f>IFERROR(__xludf.DUMMYFUNCTION("""COMPUTED_VALUE"""),32.0)</f>
        <v>32</v>
      </c>
      <c r="F2146" s="148">
        <f>IFERROR(__xludf.DUMMYFUNCTION("""COMPUTED_VALUE"""),0.0)</f>
        <v>0</v>
      </c>
      <c r="G2146" s="148">
        <f>IFERROR(__xludf.DUMMYFUNCTION("""COMPUTED_VALUE"""),1.5119946E7)</f>
        <v>15119946</v>
      </c>
      <c r="H2146" s="148">
        <f>IFERROR(__xludf.DUMMYFUNCTION("""COMPUTED_VALUE"""),1.5112563E7)</f>
        <v>15112563</v>
      </c>
      <c r="I2146" s="148" t="str">
        <f>IFERROR(__xludf.DUMMYFUNCTION("""COMPUTED_VALUE"""),"{}")</f>
        <v>{}</v>
      </c>
      <c r="J2146" s="148" t="str">
        <f>IFERROR(__xludf.DUMMYFUNCTION("""COMPUTED_VALUE"""),"{""typ"":""lc"",""txt"":""LC_ITEM_mecha_skin_colour_name_51""}")</f>
        <v>{"typ":"lc","txt":"LC_ITEM_mecha_skin_colour_name_51"}</v>
      </c>
      <c r="K2146" s="148" t="str">
        <f>IFERROR(__xludf.DUMMYFUNCTION("""COMPUTED_VALUE"""),"{""typ"":""lc"",""txt"":""LC_ITEM_mecha_skin_colour_desc_51""}")</f>
        <v>{"typ":"lc","txt":"LC_ITEM_mecha_skin_colour_desc_51"}</v>
      </c>
      <c r="L2146" s="148" t="str">
        <f>IFERROR(__xludf.DUMMYFUNCTION("""COMPUTED_VALUE"""),"{""typ"":""lc"",""txt"":""LC_ITEM_mecha_skin_colour_use_tips_51""}")</f>
        <v>{"typ":"lc","txt":"LC_ITEM_mecha_skin_colour_use_tips_51"}</v>
      </c>
      <c r="M2146" s="148">
        <f>IFERROR(__xludf.DUMMYFUNCTION("""COMPUTED_VALUE"""),2500.0)</f>
        <v>2500</v>
      </c>
      <c r="N2146" s="148">
        <f>IFERROR(__xludf.DUMMYFUNCTION("""COMPUTED_VALUE"""),999999.0)</f>
        <v>999999</v>
      </c>
      <c r="O2146" s="148">
        <f>IFERROR(__xludf.DUMMYFUNCTION("""COMPUTED_VALUE"""),99999.0)</f>
        <v>99999</v>
      </c>
      <c r="P2146" s="148">
        <f>IFERROR(__xludf.DUMMYFUNCTION("""COMPUTED_VALUE"""),1.0)</f>
        <v>1</v>
      </c>
      <c r="Q2146" s="148" t="str">
        <f>IFERROR(__xludf.DUMMYFUNCTION("""COMPUTED_VALUE"""),"[""bag_other""]")</f>
        <v>["bag_other"]</v>
      </c>
      <c r="R2146" s="148" t="str">
        <f>IFERROR(__xludf.DUMMYFUNCTION("""COMPUTED_VALUE"""),"[""bag"",""40115006""]")</f>
        <v>["bag","40115006"]</v>
      </c>
      <c r="S2146" s="148" t="str">
        <f>IFERROR(__xludf.DUMMYFUNCTION("""COMPUTED_VALUE"""),"{""effect"":[{""typ"":""mecha_colour"",""id"":40115006,""val"":-1},{""typ"":""item"",""id"":11111034,""val"":10}]}")</f>
        <v>{"effect":[{"typ":"mecha_colour","id":40115006,"val":-1},{"typ":"item","id":11111034,"val":10}]}</v>
      </c>
      <c r="T2146" s="148">
        <f>IFERROR(__xludf.DUMMYFUNCTION("""COMPUTED_VALUE"""),-1.0)</f>
        <v>-1</v>
      </c>
      <c r="U2146" s="148">
        <f>IFERROR(__xludf.DUMMYFUNCTION("""COMPUTED_VALUE"""),0.0)</f>
        <v>0</v>
      </c>
      <c r="V2146" s="148" t="str">
        <f>IFERROR(__xludf.DUMMYFUNCTION("""COMPUTED_VALUE"""),"[]")</f>
        <v>[]</v>
      </c>
      <c r="W2146" s="148">
        <f>IFERROR(__xludf.DUMMYFUNCTION("""COMPUTED_VALUE"""),1.174E7)</f>
        <v>11740000</v>
      </c>
      <c r="X2146" s="148">
        <f>IFERROR(__xludf.DUMMYFUNCTION("""COMPUTED_VALUE"""),0.0)</f>
        <v>0</v>
      </c>
      <c r="Y2146" s="148">
        <f>IFERROR(__xludf.DUMMYFUNCTION("""COMPUTED_VALUE"""),0.0)</f>
        <v>0</v>
      </c>
      <c r="Z2146" s="148"/>
    </row>
    <row r="2147">
      <c r="A2147" s="148">
        <f>IFERROR(__xludf.DUMMYFUNCTION("""COMPUTED_VALUE"""),1.1118864E7)</f>
        <v>11118864</v>
      </c>
      <c r="B2147" s="148" t="str">
        <f>IFERROR(__xludf.DUMMYFUNCTION("""COMPUTED_VALUE"""),"天鹰紫色喷漆")</f>
        <v>天鹰紫色喷漆</v>
      </c>
      <c r="C2147" s="148"/>
      <c r="D2147" s="148" t="str">
        <f>IFERROR(__xludf.DUMMYFUNCTION("""COMPUTED_VALUE"""),"mecha_skin_colour")</f>
        <v>mecha_skin_colour</v>
      </c>
      <c r="E2147" s="148">
        <f>IFERROR(__xludf.DUMMYFUNCTION("""COMPUTED_VALUE"""),32.0)</f>
        <v>32</v>
      </c>
      <c r="F2147" s="148">
        <f>IFERROR(__xludf.DUMMYFUNCTION("""COMPUTED_VALUE"""),0.0)</f>
        <v>0</v>
      </c>
      <c r="G2147" s="148">
        <f>IFERROR(__xludf.DUMMYFUNCTION("""COMPUTED_VALUE"""),1.5119948E7)</f>
        <v>15119948</v>
      </c>
      <c r="H2147" s="148">
        <f>IFERROR(__xludf.DUMMYFUNCTION("""COMPUTED_VALUE"""),1.5112563E7)</f>
        <v>15112563</v>
      </c>
      <c r="I2147" s="148" t="str">
        <f>IFERROR(__xludf.DUMMYFUNCTION("""COMPUTED_VALUE"""),"{}")</f>
        <v>{}</v>
      </c>
      <c r="J2147" s="148" t="str">
        <f>IFERROR(__xludf.DUMMYFUNCTION("""COMPUTED_VALUE"""),"{""typ"":""lc"",""txt"":""LC_ITEM_mecha_skin_colour_name_52""}")</f>
        <v>{"typ":"lc","txt":"LC_ITEM_mecha_skin_colour_name_52"}</v>
      </c>
      <c r="K2147" s="148" t="str">
        <f>IFERROR(__xludf.DUMMYFUNCTION("""COMPUTED_VALUE"""),"{""typ"":""lc"",""txt"":""LC_ITEM_mecha_skin_colour_desc_52""}")</f>
        <v>{"typ":"lc","txt":"LC_ITEM_mecha_skin_colour_desc_52"}</v>
      </c>
      <c r="L2147" s="148" t="str">
        <f>IFERROR(__xludf.DUMMYFUNCTION("""COMPUTED_VALUE"""),"{""typ"":""lc"",""txt"":""LC_ITEM_mecha_skin_colour_use_tips_52""}")</f>
        <v>{"typ":"lc","txt":"LC_ITEM_mecha_skin_colour_use_tips_52"}</v>
      </c>
      <c r="M2147" s="148">
        <f>IFERROR(__xludf.DUMMYFUNCTION("""COMPUTED_VALUE"""),2500.0)</f>
        <v>2500</v>
      </c>
      <c r="N2147" s="148">
        <f>IFERROR(__xludf.DUMMYFUNCTION("""COMPUTED_VALUE"""),999999.0)</f>
        <v>999999</v>
      </c>
      <c r="O2147" s="148">
        <f>IFERROR(__xludf.DUMMYFUNCTION("""COMPUTED_VALUE"""),99999.0)</f>
        <v>99999</v>
      </c>
      <c r="P2147" s="148">
        <f>IFERROR(__xludf.DUMMYFUNCTION("""COMPUTED_VALUE"""),1.0)</f>
        <v>1</v>
      </c>
      <c r="Q2147" s="148" t="str">
        <f>IFERROR(__xludf.DUMMYFUNCTION("""COMPUTED_VALUE"""),"[""bag_other""]")</f>
        <v>["bag_other"]</v>
      </c>
      <c r="R2147" s="148" t="str">
        <f>IFERROR(__xludf.DUMMYFUNCTION("""COMPUTED_VALUE"""),"[""bag"",""40115007""]")</f>
        <v>["bag","40115007"]</v>
      </c>
      <c r="S2147" s="148" t="str">
        <f>IFERROR(__xludf.DUMMYFUNCTION("""COMPUTED_VALUE"""),"{""effect"":[{""typ"":""mecha_colour"",""id"":40115007,""val"":-1},{""typ"":""item"",""id"":11111034,""val"":10}]}")</f>
        <v>{"effect":[{"typ":"mecha_colour","id":40115007,"val":-1},{"typ":"item","id":11111034,"val":10}]}</v>
      </c>
      <c r="T2147" s="148">
        <f>IFERROR(__xludf.DUMMYFUNCTION("""COMPUTED_VALUE"""),-1.0)</f>
        <v>-1</v>
      </c>
      <c r="U2147" s="148">
        <f>IFERROR(__xludf.DUMMYFUNCTION("""COMPUTED_VALUE"""),0.0)</f>
        <v>0</v>
      </c>
      <c r="V2147" s="148" t="str">
        <f>IFERROR(__xludf.DUMMYFUNCTION("""COMPUTED_VALUE"""),"[]")</f>
        <v>[]</v>
      </c>
      <c r="W2147" s="148">
        <f>IFERROR(__xludf.DUMMYFUNCTION("""COMPUTED_VALUE"""),1.174E7)</f>
        <v>11740000</v>
      </c>
      <c r="X2147" s="148">
        <f>IFERROR(__xludf.DUMMYFUNCTION("""COMPUTED_VALUE"""),0.0)</f>
        <v>0</v>
      </c>
      <c r="Y2147" s="148">
        <f>IFERROR(__xludf.DUMMYFUNCTION("""COMPUTED_VALUE"""),0.0)</f>
        <v>0</v>
      </c>
      <c r="Z2147" s="148"/>
    </row>
    <row r="2148">
      <c r="A2148" s="148">
        <f>IFERROR(__xludf.DUMMYFUNCTION("""COMPUTED_VALUE"""),1.1118865E7)</f>
        <v>11118865</v>
      </c>
      <c r="B2148" s="148" t="str">
        <f>IFERROR(__xludf.DUMMYFUNCTION("""COMPUTED_VALUE"""),"巨象粉色喷漆")</f>
        <v>巨象粉色喷漆</v>
      </c>
      <c r="C2148" s="148"/>
      <c r="D2148" s="148" t="str">
        <f>IFERROR(__xludf.DUMMYFUNCTION("""COMPUTED_VALUE"""),"mecha_skin_colour")</f>
        <v>mecha_skin_colour</v>
      </c>
      <c r="E2148" s="148">
        <f>IFERROR(__xludf.DUMMYFUNCTION("""COMPUTED_VALUE"""),32.0)</f>
        <v>32</v>
      </c>
      <c r="F2148" s="148">
        <f>IFERROR(__xludf.DUMMYFUNCTION("""COMPUTED_VALUE"""),0.0)</f>
        <v>0</v>
      </c>
      <c r="G2148" s="148">
        <f>IFERROR(__xludf.DUMMYFUNCTION("""COMPUTED_VALUE"""),1.511994E7)</f>
        <v>15119940</v>
      </c>
      <c r="H2148" s="148">
        <f>IFERROR(__xludf.DUMMYFUNCTION("""COMPUTED_VALUE"""),1.5112563E7)</f>
        <v>15112563</v>
      </c>
      <c r="I2148" s="148" t="str">
        <f>IFERROR(__xludf.DUMMYFUNCTION("""COMPUTED_VALUE"""),"{}")</f>
        <v>{}</v>
      </c>
      <c r="J2148" s="148" t="str">
        <f>IFERROR(__xludf.DUMMYFUNCTION("""COMPUTED_VALUE"""),"{""typ"":""lc"",""txt"":""LC_ITEM_mecha_skin_colour_name_53""}")</f>
        <v>{"typ":"lc","txt":"LC_ITEM_mecha_skin_colour_name_53"}</v>
      </c>
      <c r="K2148" s="148" t="str">
        <f>IFERROR(__xludf.DUMMYFUNCTION("""COMPUTED_VALUE"""),"{""typ"":""lc"",""txt"":""LC_ITEM_mecha_skin_colour_desc_53""}")</f>
        <v>{"typ":"lc","txt":"LC_ITEM_mecha_skin_colour_desc_53"}</v>
      </c>
      <c r="L2148" s="148" t="str">
        <f>IFERROR(__xludf.DUMMYFUNCTION("""COMPUTED_VALUE"""),"{""typ"":""lc"",""txt"":""LC_ITEM_mecha_skin_colour_use_tips_53""}")</f>
        <v>{"typ":"lc","txt":"LC_ITEM_mecha_skin_colour_use_tips_53"}</v>
      </c>
      <c r="M2148" s="148">
        <f>IFERROR(__xludf.DUMMYFUNCTION("""COMPUTED_VALUE"""),2500.0)</f>
        <v>2500</v>
      </c>
      <c r="N2148" s="148">
        <f>IFERROR(__xludf.DUMMYFUNCTION("""COMPUTED_VALUE"""),999999.0)</f>
        <v>999999</v>
      </c>
      <c r="O2148" s="148">
        <f>IFERROR(__xludf.DUMMYFUNCTION("""COMPUTED_VALUE"""),99999.0)</f>
        <v>99999</v>
      </c>
      <c r="P2148" s="148">
        <f>IFERROR(__xludf.DUMMYFUNCTION("""COMPUTED_VALUE"""),1.0)</f>
        <v>1</v>
      </c>
      <c r="Q2148" s="148" t="str">
        <f>IFERROR(__xludf.DUMMYFUNCTION("""COMPUTED_VALUE"""),"[""bag_other""]")</f>
        <v>["bag_other"]</v>
      </c>
      <c r="R2148" s="148" t="str">
        <f>IFERROR(__xludf.DUMMYFUNCTION("""COMPUTED_VALUE"""),"[""bag"",""40116005""]")</f>
        <v>["bag","40116005"]</v>
      </c>
      <c r="S2148" s="148" t="str">
        <f>IFERROR(__xludf.DUMMYFUNCTION("""COMPUTED_VALUE"""),"{""effect"":[{""typ"":""mecha_colour"",""id"":40116005,""val"":-1},{""typ"":""item"",""id"":11111034,""val"":10}]}")</f>
        <v>{"effect":[{"typ":"mecha_colour","id":40116005,"val":-1},{"typ":"item","id":11111034,"val":10}]}</v>
      </c>
      <c r="T2148" s="148">
        <f>IFERROR(__xludf.DUMMYFUNCTION("""COMPUTED_VALUE"""),-1.0)</f>
        <v>-1</v>
      </c>
      <c r="U2148" s="148">
        <f>IFERROR(__xludf.DUMMYFUNCTION("""COMPUTED_VALUE"""),0.0)</f>
        <v>0</v>
      </c>
      <c r="V2148" s="148" t="str">
        <f>IFERROR(__xludf.DUMMYFUNCTION("""COMPUTED_VALUE"""),"[]")</f>
        <v>[]</v>
      </c>
      <c r="W2148" s="148">
        <f>IFERROR(__xludf.DUMMYFUNCTION("""COMPUTED_VALUE"""),1.174E7)</f>
        <v>11740000</v>
      </c>
      <c r="X2148" s="148">
        <f>IFERROR(__xludf.DUMMYFUNCTION("""COMPUTED_VALUE"""),0.0)</f>
        <v>0</v>
      </c>
      <c r="Y2148" s="148">
        <f>IFERROR(__xludf.DUMMYFUNCTION("""COMPUTED_VALUE"""),0.0)</f>
        <v>0</v>
      </c>
      <c r="Z2148" s="148"/>
    </row>
    <row r="2149">
      <c r="A2149" s="148">
        <f>IFERROR(__xludf.DUMMYFUNCTION("""COMPUTED_VALUE"""),1.1118866E7)</f>
        <v>11118866</v>
      </c>
      <c r="B2149" s="148" t="str">
        <f>IFERROR(__xludf.DUMMYFUNCTION("""COMPUTED_VALUE"""),"巨象橙色喷漆")</f>
        <v>巨象橙色喷漆</v>
      </c>
      <c r="C2149" s="148"/>
      <c r="D2149" s="148" t="str">
        <f>IFERROR(__xludf.DUMMYFUNCTION("""COMPUTED_VALUE"""),"mecha_skin_colour")</f>
        <v>mecha_skin_colour</v>
      </c>
      <c r="E2149" s="148">
        <f>IFERROR(__xludf.DUMMYFUNCTION("""COMPUTED_VALUE"""),32.0)</f>
        <v>32</v>
      </c>
      <c r="F2149" s="148">
        <f>IFERROR(__xludf.DUMMYFUNCTION("""COMPUTED_VALUE"""),0.0)</f>
        <v>0</v>
      </c>
      <c r="G2149" s="148">
        <f>IFERROR(__xludf.DUMMYFUNCTION("""COMPUTED_VALUE"""),1.5119939E7)</f>
        <v>15119939</v>
      </c>
      <c r="H2149" s="148">
        <f>IFERROR(__xludf.DUMMYFUNCTION("""COMPUTED_VALUE"""),1.5112563E7)</f>
        <v>15112563</v>
      </c>
      <c r="I2149" s="148" t="str">
        <f>IFERROR(__xludf.DUMMYFUNCTION("""COMPUTED_VALUE"""),"{}")</f>
        <v>{}</v>
      </c>
      <c r="J2149" s="148" t="str">
        <f>IFERROR(__xludf.DUMMYFUNCTION("""COMPUTED_VALUE"""),"{""typ"":""lc"",""txt"":""LC_ITEM_mecha_skin_colour_name_54""}")</f>
        <v>{"typ":"lc","txt":"LC_ITEM_mecha_skin_colour_name_54"}</v>
      </c>
      <c r="K2149" s="148" t="str">
        <f>IFERROR(__xludf.DUMMYFUNCTION("""COMPUTED_VALUE"""),"{""typ"":""lc"",""txt"":""LC_ITEM_mecha_skin_colour_desc_54""}")</f>
        <v>{"typ":"lc","txt":"LC_ITEM_mecha_skin_colour_desc_54"}</v>
      </c>
      <c r="L2149" s="148" t="str">
        <f>IFERROR(__xludf.DUMMYFUNCTION("""COMPUTED_VALUE"""),"{""typ"":""lc"",""txt"":""LC_ITEM_mecha_skin_colour_use_tips_54""}")</f>
        <v>{"typ":"lc","txt":"LC_ITEM_mecha_skin_colour_use_tips_54"}</v>
      </c>
      <c r="M2149" s="148">
        <f>IFERROR(__xludf.DUMMYFUNCTION("""COMPUTED_VALUE"""),2500.0)</f>
        <v>2500</v>
      </c>
      <c r="N2149" s="148">
        <f>IFERROR(__xludf.DUMMYFUNCTION("""COMPUTED_VALUE"""),999999.0)</f>
        <v>999999</v>
      </c>
      <c r="O2149" s="148">
        <f>IFERROR(__xludf.DUMMYFUNCTION("""COMPUTED_VALUE"""),99999.0)</f>
        <v>99999</v>
      </c>
      <c r="P2149" s="148">
        <f>IFERROR(__xludf.DUMMYFUNCTION("""COMPUTED_VALUE"""),1.0)</f>
        <v>1</v>
      </c>
      <c r="Q2149" s="148" t="str">
        <f>IFERROR(__xludf.DUMMYFUNCTION("""COMPUTED_VALUE"""),"[""bag_other""]")</f>
        <v>["bag_other"]</v>
      </c>
      <c r="R2149" s="148" t="str">
        <f>IFERROR(__xludf.DUMMYFUNCTION("""COMPUTED_VALUE"""),"[""bag"",""40116006""]")</f>
        <v>["bag","40116006"]</v>
      </c>
      <c r="S2149" s="148" t="str">
        <f>IFERROR(__xludf.DUMMYFUNCTION("""COMPUTED_VALUE"""),"{""effect"":[{""typ"":""mecha_colour"",""id"":40116006,""val"":-1},{""typ"":""item"",""id"":11111034,""val"":10}]}")</f>
        <v>{"effect":[{"typ":"mecha_colour","id":40116006,"val":-1},{"typ":"item","id":11111034,"val":10}]}</v>
      </c>
      <c r="T2149" s="148">
        <f>IFERROR(__xludf.DUMMYFUNCTION("""COMPUTED_VALUE"""),-1.0)</f>
        <v>-1</v>
      </c>
      <c r="U2149" s="148">
        <f>IFERROR(__xludf.DUMMYFUNCTION("""COMPUTED_VALUE"""),0.0)</f>
        <v>0</v>
      </c>
      <c r="V2149" s="148" t="str">
        <f>IFERROR(__xludf.DUMMYFUNCTION("""COMPUTED_VALUE"""),"[]")</f>
        <v>[]</v>
      </c>
      <c r="W2149" s="148">
        <f>IFERROR(__xludf.DUMMYFUNCTION("""COMPUTED_VALUE"""),1.174E7)</f>
        <v>11740000</v>
      </c>
      <c r="X2149" s="148">
        <f>IFERROR(__xludf.DUMMYFUNCTION("""COMPUTED_VALUE"""),0.0)</f>
        <v>0</v>
      </c>
      <c r="Y2149" s="148">
        <f>IFERROR(__xludf.DUMMYFUNCTION("""COMPUTED_VALUE"""),0.0)</f>
        <v>0</v>
      </c>
      <c r="Z2149" s="148"/>
    </row>
    <row r="2150">
      <c r="A2150" s="148">
        <f>IFERROR(__xludf.DUMMYFUNCTION("""COMPUTED_VALUE"""),1.1118867E7)</f>
        <v>11118867</v>
      </c>
      <c r="B2150" s="148" t="str">
        <f>IFERROR(__xludf.DUMMYFUNCTION("""COMPUTED_VALUE"""),"巨象紫色喷漆")</f>
        <v>巨象紫色喷漆</v>
      </c>
      <c r="C2150" s="148"/>
      <c r="D2150" s="148" t="str">
        <f>IFERROR(__xludf.DUMMYFUNCTION("""COMPUTED_VALUE"""),"mecha_skin_colour")</f>
        <v>mecha_skin_colour</v>
      </c>
      <c r="E2150" s="148">
        <f>IFERROR(__xludf.DUMMYFUNCTION("""COMPUTED_VALUE"""),32.0)</f>
        <v>32</v>
      </c>
      <c r="F2150" s="148">
        <f>IFERROR(__xludf.DUMMYFUNCTION("""COMPUTED_VALUE"""),0.0)</f>
        <v>0</v>
      </c>
      <c r="G2150" s="148">
        <f>IFERROR(__xludf.DUMMYFUNCTION("""COMPUTED_VALUE"""),1.5119941E7)</f>
        <v>15119941</v>
      </c>
      <c r="H2150" s="148">
        <f>IFERROR(__xludf.DUMMYFUNCTION("""COMPUTED_VALUE"""),1.5112563E7)</f>
        <v>15112563</v>
      </c>
      <c r="I2150" s="148" t="str">
        <f>IFERROR(__xludf.DUMMYFUNCTION("""COMPUTED_VALUE"""),"{}")</f>
        <v>{}</v>
      </c>
      <c r="J2150" s="148" t="str">
        <f>IFERROR(__xludf.DUMMYFUNCTION("""COMPUTED_VALUE"""),"{""typ"":""lc"",""txt"":""LC_ITEM_mecha_skin_colour_name_55""}")</f>
        <v>{"typ":"lc","txt":"LC_ITEM_mecha_skin_colour_name_55"}</v>
      </c>
      <c r="K2150" s="148" t="str">
        <f>IFERROR(__xludf.DUMMYFUNCTION("""COMPUTED_VALUE"""),"{""typ"":""lc"",""txt"":""LC_ITEM_mecha_skin_colour_desc_55""}")</f>
        <v>{"typ":"lc","txt":"LC_ITEM_mecha_skin_colour_desc_55"}</v>
      </c>
      <c r="L2150" s="148" t="str">
        <f>IFERROR(__xludf.DUMMYFUNCTION("""COMPUTED_VALUE"""),"{""typ"":""lc"",""txt"":""LC_ITEM_mecha_skin_colour_use_tips_55""}")</f>
        <v>{"typ":"lc","txt":"LC_ITEM_mecha_skin_colour_use_tips_55"}</v>
      </c>
      <c r="M2150" s="148">
        <f>IFERROR(__xludf.DUMMYFUNCTION("""COMPUTED_VALUE"""),2500.0)</f>
        <v>2500</v>
      </c>
      <c r="N2150" s="148">
        <f>IFERROR(__xludf.DUMMYFUNCTION("""COMPUTED_VALUE"""),999999.0)</f>
        <v>999999</v>
      </c>
      <c r="O2150" s="148">
        <f>IFERROR(__xludf.DUMMYFUNCTION("""COMPUTED_VALUE"""),99999.0)</f>
        <v>99999</v>
      </c>
      <c r="P2150" s="148">
        <f>IFERROR(__xludf.DUMMYFUNCTION("""COMPUTED_VALUE"""),1.0)</f>
        <v>1</v>
      </c>
      <c r="Q2150" s="148" t="str">
        <f>IFERROR(__xludf.DUMMYFUNCTION("""COMPUTED_VALUE"""),"[""bag_other""]")</f>
        <v>["bag_other"]</v>
      </c>
      <c r="R2150" s="148" t="str">
        <f>IFERROR(__xludf.DUMMYFUNCTION("""COMPUTED_VALUE"""),"[""bag"",""40116007""]")</f>
        <v>["bag","40116007"]</v>
      </c>
      <c r="S2150" s="148" t="str">
        <f>IFERROR(__xludf.DUMMYFUNCTION("""COMPUTED_VALUE"""),"{""effect"":[{""typ"":""mecha_colour"",""id"":40116007,""val"":-1},{""typ"":""item"",""id"":11111034,""val"":10}]}")</f>
        <v>{"effect":[{"typ":"mecha_colour","id":40116007,"val":-1},{"typ":"item","id":11111034,"val":10}]}</v>
      </c>
      <c r="T2150" s="148">
        <f>IFERROR(__xludf.DUMMYFUNCTION("""COMPUTED_VALUE"""),-1.0)</f>
        <v>-1</v>
      </c>
      <c r="U2150" s="148">
        <f>IFERROR(__xludf.DUMMYFUNCTION("""COMPUTED_VALUE"""),0.0)</f>
        <v>0</v>
      </c>
      <c r="V2150" s="148" t="str">
        <f>IFERROR(__xludf.DUMMYFUNCTION("""COMPUTED_VALUE"""),"[]")</f>
        <v>[]</v>
      </c>
      <c r="W2150" s="148">
        <f>IFERROR(__xludf.DUMMYFUNCTION("""COMPUTED_VALUE"""),1.174E7)</f>
        <v>11740000</v>
      </c>
      <c r="X2150" s="148">
        <f>IFERROR(__xludf.DUMMYFUNCTION("""COMPUTED_VALUE"""),0.0)</f>
        <v>0</v>
      </c>
      <c r="Y2150" s="148">
        <f>IFERROR(__xludf.DUMMYFUNCTION("""COMPUTED_VALUE"""),0.0)</f>
        <v>0</v>
      </c>
      <c r="Z2150" s="148"/>
    </row>
    <row r="2151">
      <c r="A2151" s="148">
        <f>IFERROR(__xludf.DUMMYFUNCTION("""COMPUTED_VALUE"""),1.1118868E7)</f>
        <v>11118868</v>
      </c>
      <c r="B2151" s="148" t="str">
        <f>IFERROR(__xludf.DUMMYFUNCTION("""COMPUTED_VALUE"""),"雄狮粉色喷漆")</f>
        <v>雄狮粉色喷漆</v>
      </c>
      <c r="C2151" s="148"/>
      <c r="D2151" s="148" t="str">
        <f>IFERROR(__xludf.DUMMYFUNCTION("""COMPUTED_VALUE"""),"mecha_skin_colour")</f>
        <v>mecha_skin_colour</v>
      </c>
      <c r="E2151" s="148">
        <f>IFERROR(__xludf.DUMMYFUNCTION("""COMPUTED_VALUE"""),32.0)</f>
        <v>32</v>
      </c>
      <c r="F2151" s="148">
        <f>IFERROR(__xludf.DUMMYFUNCTION("""COMPUTED_VALUE"""),0.0)</f>
        <v>0</v>
      </c>
      <c r="G2151" s="148">
        <f>IFERROR(__xludf.DUMMYFUNCTION("""COMPUTED_VALUE"""),1.5119954E7)</f>
        <v>15119954</v>
      </c>
      <c r="H2151" s="148">
        <f>IFERROR(__xludf.DUMMYFUNCTION("""COMPUTED_VALUE"""),1.5112563E7)</f>
        <v>15112563</v>
      </c>
      <c r="I2151" s="148" t="str">
        <f>IFERROR(__xludf.DUMMYFUNCTION("""COMPUTED_VALUE"""),"{}")</f>
        <v>{}</v>
      </c>
      <c r="J2151" s="148" t="str">
        <f>IFERROR(__xludf.DUMMYFUNCTION("""COMPUTED_VALUE"""),"{""typ"":""lc"",""txt"":""LC_ITEM_mecha_skin_colour_name_56""}")</f>
        <v>{"typ":"lc","txt":"LC_ITEM_mecha_skin_colour_name_56"}</v>
      </c>
      <c r="K2151" s="148" t="str">
        <f>IFERROR(__xludf.DUMMYFUNCTION("""COMPUTED_VALUE"""),"{""typ"":""lc"",""txt"":""LC_ITEM_mecha_skin_colour_desc_56""}")</f>
        <v>{"typ":"lc","txt":"LC_ITEM_mecha_skin_colour_desc_56"}</v>
      </c>
      <c r="L2151" s="148" t="str">
        <f>IFERROR(__xludf.DUMMYFUNCTION("""COMPUTED_VALUE"""),"{""typ"":""lc"",""txt"":""LC_ITEM_mecha_skin_colour_use_tips_56""}")</f>
        <v>{"typ":"lc","txt":"LC_ITEM_mecha_skin_colour_use_tips_56"}</v>
      </c>
      <c r="M2151" s="148">
        <f>IFERROR(__xludf.DUMMYFUNCTION("""COMPUTED_VALUE"""),2500.0)</f>
        <v>2500</v>
      </c>
      <c r="N2151" s="148">
        <f>IFERROR(__xludf.DUMMYFUNCTION("""COMPUTED_VALUE"""),999999.0)</f>
        <v>999999</v>
      </c>
      <c r="O2151" s="148">
        <f>IFERROR(__xludf.DUMMYFUNCTION("""COMPUTED_VALUE"""),99999.0)</f>
        <v>99999</v>
      </c>
      <c r="P2151" s="148">
        <f>IFERROR(__xludf.DUMMYFUNCTION("""COMPUTED_VALUE"""),1.0)</f>
        <v>1</v>
      </c>
      <c r="Q2151" s="148" t="str">
        <f>IFERROR(__xludf.DUMMYFUNCTION("""COMPUTED_VALUE"""),"[""bag_other""]")</f>
        <v>["bag_other"]</v>
      </c>
      <c r="R2151" s="148" t="str">
        <f>IFERROR(__xludf.DUMMYFUNCTION("""COMPUTED_VALUE"""),"[""bag"",""40117005""]")</f>
        <v>["bag","40117005"]</v>
      </c>
      <c r="S2151" s="148" t="str">
        <f>IFERROR(__xludf.DUMMYFUNCTION("""COMPUTED_VALUE"""),"{""effect"":[{""typ"":""mecha_colour"",""id"":40117005,""val"":-1},{""typ"":""item"",""id"":11111034,""val"":10}]}")</f>
        <v>{"effect":[{"typ":"mecha_colour","id":40117005,"val":-1},{"typ":"item","id":11111034,"val":10}]}</v>
      </c>
      <c r="T2151" s="148">
        <f>IFERROR(__xludf.DUMMYFUNCTION("""COMPUTED_VALUE"""),-1.0)</f>
        <v>-1</v>
      </c>
      <c r="U2151" s="148">
        <f>IFERROR(__xludf.DUMMYFUNCTION("""COMPUTED_VALUE"""),0.0)</f>
        <v>0</v>
      </c>
      <c r="V2151" s="148" t="str">
        <f>IFERROR(__xludf.DUMMYFUNCTION("""COMPUTED_VALUE"""),"[]")</f>
        <v>[]</v>
      </c>
      <c r="W2151" s="148">
        <f>IFERROR(__xludf.DUMMYFUNCTION("""COMPUTED_VALUE"""),1.174E7)</f>
        <v>11740000</v>
      </c>
      <c r="X2151" s="148">
        <f>IFERROR(__xludf.DUMMYFUNCTION("""COMPUTED_VALUE"""),0.0)</f>
        <v>0</v>
      </c>
      <c r="Y2151" s="148">
        <f>IFERROR(__xludf.DUMMYFUNCTION("""COMPUTED_VALUE"""),0.0)</f>
        <v>0</v>
      </c>
      <c r="Z2151" s="148"/>
    </row>
    <row r="2152">
      <c r="A2152" s="148">
        <f>IFERROR(__xludf.DUMMYFUNCTION("""COMPUTED_VALUE"""),1.1118869E7)</f>
        <v>11118869</v>
      </c>
      <c r="B2152" s="148" t="str">
        <f>IFERROR(__xludf.DUMMYFUNCTION("""COMPUTED_VALUE"""),"雄狮橙色喷漆")</f>
        <v>雄狮橙色喷漆</v>
      </c>
      <c r="C2152" s="148"/>
      <c r="D2152" s="148" t="str">
        <f>IFERROR(__xludf.DUMMYFUNCTION("""COMPUTED_VALUE"""),"mecha_skin_colour")</f>
        <v>mecha_skin_colour</v>
      </c>
      <c r="E2152" s="148">
        <f>IFERROR(__xludf.DUMMYFUNCTION("""COMPUTED_VALUE"""),32.0)</f>
        <v>32</v>
      </c>
      <c r="F2152" s="148">
        <f>IFERROR(__xludf.DUMMYFUNCTION("""COMPUTED_VALUE"""),0.0)</f>
        <v>0</v>
      </c>
      <c r="G2152" s="148">
        <f>IFERROR(__xludf.DUMMYFUNCTION("""COMPUTED_VALUE"""),1.5119953E7)</f>
        <v>15119953</v>
      </c>
      <c r="H2152" s="148">
        <f>IFERROR(__xludf.DUMMYFUNCTION("""COMPUTED_VALUE"""),1.5112563E7)</f>
        <v>15112563</v>
      </c>
      <c r="I2152" s="148" t="str">
        <f>IFERROR(__xludf.DUMMYFUNCTION("""COMPUTED_VALUE"""),"{}")</f>
        <v>{}</v>
      </c>
      <c r="J2152" s="148" t="str">
        <f>IFERROR(__xludf.DUMMYFUNCTION("""COMPUTED_VALUE"""),"{""typ"":""lc"",""txt"":""LC_ITEM_mecha_skin_colour_name_57""}")</f>
        <v>{"typ":"lc","txt":"LC_ITEM_mecha_skin_colour_name_57"}</v>
      </c>
      <c r="K2152" s="148" t="str">
        <f>IFERROR(__xludf.DUMMYFUNCTION("""COMPUTED_VALUE"""),"{""typ"":""lc"",""txt"":""LC_ITEM_mecha_skin_colour_desc_57""}")</f>
        <v>{"typ":"lc","txt":"LC_ITEM_mecha_skin_colour_desc_57"}</v>
      </c>
      <c r="L2152" s="148" t="str">
        <f>IFERROR(__xludf.DUMMYFUNCTION("""COMPUTED_VALUE"""),"{""typ"":""lc"",""txt"":""LC_ITEM_mecha_skin_colour_use_tips_57""}")</f>
        <v>{"typ":"lc","txt":"LC_ITEM_mecha_skin_colour_use_tips_57"}</v>
      </c>
      <c r="M2152" s="148">
        <f>IFERROR(__xludf.DUMMYFUNCTION("""COMPUTED_VALUE"""),2500.0)</f>
        <v>2500</v>
      </c>
      <c r="N2152" s="148">
        <f>IFERROR(__xludf.DUMMYFUNCTION("""COMPUTED_VALUE"""),999999.0)</f>
        <v>999999</v>
      </c>
      <c r="O2152" s="148">
        <f>IFERROR(__xludf.DUMMYFUNCTION("""COMPUTED_VALUE"""),99999.0)</f>
        <v>99999</v>
      </c>
      <c r="P2152" s="148">
        <f>IFERROR(__xludf.DUMMYFUNCTION("""COMPUTED_VALUE"""),1.0)</f>
        <v>1</v>
      </c>
      <c r="Q2152" s="148" t="str">
        <f>IFERROR(__xludf.DUMMYFUNCTION("""COMPUTED_VALUE"""),"[""bag_other""]")</f>
        <v>["bag_other"]</v>
      </c>
      <c r="R2152" s="148" t="str">
        <f>IFERROR(__xludf.DUMMYFUNCTION("""COMPUTED_VALUE"""),"[""bag"",""40117006""]")</f>
        <v>["bag","40117006"]</v>
      </c>
      <c r="S2152" s="148" t="str">
        <f>IFERROR(__xludf.DUMMYFUNCTION("""COMPUTED_VALUE"""),"{""effect"":[{""typ"":""mecha_colour"",""id"":40117006,""val"":-1},{""typ"":""item"",""id"":11111034,""val"":10}]}")</f>
        <v>{"effect":[{"typ":"mecha_colour","id":40117006,"val":-1},{"typ":"item","id":11111034,"val":10}]}</v>
      </c>
      <c r="T2152" s="148">
        <f>IFERROR(__xludf.DUMMYFUNCTION("""COMPUTED_VALUE"""),-1.0)</f>
        <v>-1</v>
      </c>
      <c r="U2152" s="148">
        <f>IFERROR(__xludf.DUMMYFUNCTION("""COMPUTED_VALUE"""),0.0)</f>
        <v>0</v>
      </c>
      <c r="V2152" s="148" t="str">
        <f>IFERROR(__xludf.DUMMYFUNCTION("""COMPUTED_VALUE"""),"[]")</f>
        <v>[]</v>
      </c>
      <c r="W2152" s="148">
        <f>IFERROR(__xludf.DUMMYFUNCTION("""COMPUTED_VALUE"""),1.174E7)</f>
        <v>11740000</v>
      </c>
      <c r="X2152" s="148">
        <f>IFERROR(__xludf.DUMMYFUNCTION("""COMPUTED_VALUE"""),0.0)</f>
        <v>0</v>
      </c>
      <c r="Y2152" s="148">
        <f>IFERROR(__xludf.DUMMYFUNCTION("""COMPUTED_VALUE"""),0.0)</f>
        <v>0</v>
      </c>
      <c r="Z2152" s="148"/>
    </row>
    <row r="2153">
      <c r="A2153" s="148">
        <f>IFERROR(__xludf.DUMMYFUNCTION("""COMPUTED_VALUE"""),1.111887E7)</f>
        <v>11118870</v>
      </c>
      <c r="B2153" s="148" t="str">
        <f>IFERROR(__xludf.DUMMYFUNCTION("""COMPUTED_VALUE"""),"雄狮紫色喷漆")</f>
        <v>雄狮紫色喷漆</v>
      </c>
      <c r="C2153" s="148"/>
      <c r="D2153" s="148" t="str">
        <f>IFERROR(__xludf.DUMMYFUNCTION("""COMPUTED_VALUE"""),"mecha_skin_colour")</f>
        <v>mecha_skin_colour</v>
      </c>
      <c r="E2153" s="148">
        <f>IFERROR(__xludf.DUMMYFUNCTION("""COMPUTED_VALUE"""),32.0)</f>
        <v>32</v>
      </c>
      <c r="F2153" s="148">
        <f>IFERROR(__xludf.DUMMYFUNCTION("""COMPUTED_VALUE"""),0.0)</f>
        <v>0</v>
      </c>
      <c r="G2153" s="148">
        <f>IFERROR(__xludf.DUMMYFUNCTION("""COMPUTED_VALUE"""),1.5119955E7)</f>
        <v>15119955</v>
      </c>
      <c r="H2153" s="148">
        <f>IFERROR(__xludf.DUMMYFUNCTION("""COMPUTED_VALUE"""),1.5112563E7)</f>
        <v>15112563</v>
      </c>
      <c r="I2153" s="148" t="str">
        <f>IFERROR(__xludf.DUMMYFUNCTION("""COMPUTED_VALUE"""),"{}")</f>
        <v>{}</v>
      </c>
      <c r="J2153" s="148" t="str">
        <f>IFERROR(__xludf.DUMMYFUNCTION("""COMPUTED_VALUE"""),"{""typ"":""lc"",""txt"":""LC_ITEM_mecha_skin_colour_name_58""}")</f>
        <v>{"typ":"lc","txt":"LC_ITEM_mecha_skin_colour_name_58"}</v>
      </c>
      <c r="K2153" s="148" t="str">
        <f>IFERROR(__xludf.DUMMYFUNCTION("""COMPUTED_VALUE"""),"{""typ"":""lc"",""txt"":""LC_ITEM_mecha_skin_colour_desc_58""}")</f>
        <v>{"typ":"lc","txt":"LC_ITEM_mecha_skin_colour_desc_58"}</v>
      </c>
      <c r="L2153" s="148" t="str">
        <f>IFERROR(__xludf.DUMMYFUNCTION("""COMPUTED_VALUE"""),"{""typ"":""lc"",""txt"":""LC_ITEM_mecha_skin_colour_use_tips_58""}")</f>
        <v>{"typ":"lc","txt":"LC_ITEM_mecha_skin_colour_use_tips_58"}</v>
      </c>
      <c r="M2153" s="148">
        <f>IFERROR(__xludf.DUMMYFUNCTION("""COMPUTED_VALUE"""),2500.0)</f>
        <v>2500</v>
      </c>
      <c r="N2153" s="148">
        <f>IFERROR(__xludf.DUMMYFUNCTION("""COMPUTED_VALUE"""),999999.0)</f>
        <v>999999</v>
      </c>
      <c r="O2153" s="148">
        <f>IFERROR(__xludf.DUMMYFUNCTION("""COMPUTED_VALUE"""),99999.0)</f>
        <v>99999</v>
      </c>
      <c r="P2153" s="148">
        <f>IFERROR(__xludf.DUMMYFUNCTION("""COMPUTED_VALUE"""),1.0)</f>
        <v>1</v>
      </c>
      <c r="Q2153" s="148" t="str">
        <f>IFERROR(__xludf.DUMMYFUNCTION("""COMPUTED_VALUE"""),"[""bag_other""]")</f>
        <v>["bag_other"]</v>
      </c>
      <c r="R2153" s="148" t="str">
        <f>IFERROR(__xludf.DUMMYFUNCTION("""COMPUTED_VALUE"""),"[""bag"",""40117007""]")</f>
        <v>["bag","40117007"]</v>
      </c>
      <c r="S2153" s="148" t="str">
        <f>IFERROR(__xludf.DUMMYFUNCTION("""COMPUTED_VALUE"""),"{""effect"":[{""typ"":""mecha_colour"",""id"":40117007,""val"":-1},{""typ"":""item"",""id"":11111034,""val"":10}]}")</f>
        <v>{"effect":[{"typ":"mecha_colour","id":40117007,"val":-1},{"typ":"item","id":11111034,"val":10}]}</v>
      </c>
      <c r="T2153" s="148">
        <f>IFERROR(__xludf.DUMMYFUNCTION("""COMPUTED_VALUE"""),-1.0)</f>
        <v>-1</v>
      </c>
      <c r="U2153" s="148">
        <f>IFERROR(__xludf.DUMMYFUNCTION("""COMPUTED_VALUE"""),0.0)</f>
        <v>0</v>
      </c>
      <c r="V2153" s="148" t="str">
        <f>IFERROR(__xludf.DUMMYFUNCTION("""COMPUTED_VALUE"""),"[]")</f>
        <v>[]</v>
      </c>
      <c r="W2153" s="148">
        <f>IFERROR(__xludf.DUMMYFUNCTION("""COMPUTED_VALUE"""),1.174E7)</f>
        <v>11740000</v>
      </c>
      <c r="X2153" s="148">
        <f>IFERROR(__xludf.DUMMYFUNCTION("""COMPUTED_VALUE"""),0.0)</f>
        <v>0</v>
      </c>
      <c r="Y2153" s="148">
        <f>IFERROR(__xludf.DUMMYFUNCTION("""COMPUTED_VALUE"""),0.0)</f>
        <v>0</v>
      </c>
      <c r="Z2153" s="148"/>
    </row>
    <row r="2154">
      <c r="A2154" s="148">
        <f>IFERROR(__xludf.DUMMYFUNCTION("""COMPUTED_VALUE"""),1.1118871E7)</f>
        <v>11118871</v>
      </c>
      <c r="B2154" s="148" t="str">
        <f>IFERROR(__xludf.DUMMYFUNCTION("""COMPUTED_VALUE"""),"巨象祥和之象")</f>
        <v>巨象祥和之象</v>
      </c>
      <c r="C2154" s="148"/>
      <c r="D2154" s="148" t="str">
        <f>IFERROR(__xludf.DUMMYFUNCTION("""COMPUTED_VALUE"""),"mecha_skin")</f>
        <v>mecha_skin</v>
      </c>
      <c r="E2154" s="148">
        <f>IFERROR(__xludf.DUMMYFUNCTION("""COMPUTED_VALUE"""),31.0)</f>
        <v>31</v>
      </c>
      <c r="F2154" s="148">
        <f>IFERROR(__xludf.DUMMYFUNCTION("""COMPUTED_VALUE"""),0.0)</f>
        <v>0</v>
      </c>
      <c r="G2154" s="148">
        <f>IFERROR(__xludf.DUMMYFUNCTION("""COMPUTED_VALUE"""),1.51100353E8)</f>
        <v>151100353</v>
      </c>
      <c r="H2154" s="148">
        <f>IFERROR(__xludf.DUMMYFUNCTION("""COMPUTED_VALUE"""),1.5112564E7)</f>
        <v>15112564</v>
      </c>
      <c r="I2154" s="148" t="str">
        <f>IFERROR(__xludf.DUMMYFUNCTION("""COMPUTED_VALUE"""),"{}")</f>
        <v>{}</v>
      </c>
      <c r="J2154" s="148" t="str">
        <f>IFERROR(__xludf.DUMMYFUNCTION("""COMPUTED_VALUE"""),"{""typ"":""lc"",""txt"":""LC_HERO_mecha_name_xianghe_item""}")</f>
        <v>{"typ":"lc","txt":"LC_HERO_mecha_name_xianghe_item"}</v>
      </c>
      <c r="K2154" s="148" t="str">
        <f>IFERROR(__xludf.DUMMYFUNCTION("""COMPUTED_VALUE"""),"{""typ"":""lc"",""txt"":""LC_HERO_mecha_skin_src_xianghe_item""}")</f>
        <v>{"typ":"lc","txt":"LC_HERO_mecha_skin_src_xianghe_item"}</v>
      </c>
      <c r="L2154" s="148" t="str">
        <f>IFERROR(__xludf.DUMMYFUNCTION("""COMPUTED_VALUE"""),"{""typ"":""lc"",""txt"":""LC_HERO_mecha_skin_src_xianghe_tips""}")</f>
        <v>{"typ":"lc","txt":"LC_HERO_mecha_skin_src_xianghe_tips"}</v>
      </c>
      <c r="M2154" s="148">
        <f>IFERROR(__xludf.DUMMYFUNCTION("""COMPUTED_VALUE"""),500.0)</f>
        <v>500</v>
      </c>
      <c r="N2154" s="148">
        <f>IFERROR(__xludf.DUMMYFUNCTION("""COMPUTED_VALUE"""),5.0)</f>
        <v>5</v>
      </c>
      <c r="O2154" s="148">
        <f>IFERROR(__xludf.DUMMYFUNCTION("""COMPUTED_VALUE"""),1.0)</f>
        <v>1</v>
      </c>
      <c r="P2154" s="148">
        <f>IFERROR(__xludf.DUMMYFUNCTION("""COMPUTED_VALUE"""),1.0)</f>
        <v>1</v>
      </c>
      <c r="Q2154" s="148" t="str">
        <f>IFERROR(__xludf.DUMMYFUNCTION("""COMPUTED_VALUE"""),"[""bag_other""]")</f>
        <v>["bag_other"]</v>
      </c>
      <c r="R2154" s="148" t="str">
        <f>IFERROR(__xludf.DUMMYFUNCTION("""COMPUTED_VALUE"""),"[""bag"",""40106101""]")</f>
        <v>["bag","40106101"]</v>
      </c>
      <c r="S2154" s="148" t="str">
        <f>IFERROR(__xludf.DUMMYFUNCTION("""COMPUTED_VALUE"""),"{""effect"":[{""typ"":""mecha_skin"",""id"":40106101,""val"":-1},{""typ"":""item"",""id"":11111034,""val"":10}]}")</f>
        <v>{"effect":[{"typ":"mecha_skin","id":40106101,"val":-1},{"typ":"item","id":11111034,"val":10}]}</v>
      </c>
      <c r="T2154" s="148">
        <f>IFERROR(__xludf.DUMMYFUNCTION("""COMPUTED_VALUE"""),-1.0)</f>
        <v>-1</v>
      </c>
      <c r="U2154" s="148">
        <f>IFERROR(__xludf.DUMMYFUNCTION("""COMPUTED_VALUE"""),0.0)</f>
        <v>0</v>
      </c>
      <c r="V2154" s="148" t="str">
        <f>IFERROR(__xludf.DUMMYFUNCTION("""COMPUTED_VALUE"""),"[]")</f>
        <v>[]</v>
      </c>
      <c r="W2154" s="148">
        <f>IFERROR(__xludf.DUMMYFUNCTION("""COMPUTED_VALUE"""),1.174E7)</f>
        <v>11740000</v>
      </c>
      <c r="X2154" s="148">
        <f>IFERROR(__xludf.DUMMYFUNCTION("""COMPUTED_VALUE"""),0.0)</f>
        <v>0</v>
      </c>
      <c r="Y2154" s="148">
        <f>IFERROR(__xludf.DUMMYFUNCTION("""COMPUTED_VALUE"""),0.0)</f>
        <v>0</v>
      </c>
      <c r="Z2154" s="148"/>
    </row>
    <row r="2155">
      <c r="A2155" s="148">
        <f>IFERROR(__xludf.DUMMYFUNCTION("""COMPUTED_VALUE"""),1.1118872E7)</f>
        <v>11118872</v>
      </c>
      <c r="B2155" s="148" t="str">
        <f>IFERROR(__xludf.DUMMYFUNCTION("""COMPUTED_VALUE"""),"螳螂原始皮肤红色喷漆")</f>
        <v>螳螂原始皮肤红色喷漆</v>
      </c>
      <c r="C2155" s="148"/>
      <c r="D2155" s="148" t="str">
        <f>IFERROR(__xludf.DUMMYFUNCTION("""COMPUTED_VALUE"""),"mecha_skin_colour")</f>
        <v>mecha_skin_colour</v>
      </c>
      <c r="E2155" s="148">
        <f>IFERROR(__xludf.DUMMYFUNCTION("""COMPUTED_VALUE"""),32.0)</f>
        <v>32</v>
      </c>
      <c r="F2155" s="148">
        <f>IFERROR(__xludf.DUMMYFUNCTION("""COMPUTED_VALUE"""),0.0)</f>
        <v>0</v>
      </c>
      <c r="G2155" s="148">
        <f>IFERROR(__xludf.DUMMYFUNCTION("""COMPUTED_VALUE"""),1.511001E8)</f>
        <v>151100100</v>
      </c>
      <c r="H2155" s="148">
        <f>IFERROR(__xludf.DUMMYFUNCTION("""COMPUTED_VALUE"""),1.5112563E7)</f>
        <v>15112563</v>
      </c>
      <c r="I2155" s="148" t="str">
        <f>IFERROR(__xludf.DUMMYFUNCTION("""COMPUTED_VALUE"""),"{}")</f>
        <v>{}</v>
      </c>
      <c r="J2155" s="148" t="str">
        <f>IFERROR(__xludf.DUMMYFUNCTION("""COMPUTED_VALUE"""),"{""typ"":""lc"",""txt"":""LC_ITEM_mecha_skin_colour_name_41""}")</f>
        <v>{"typ":"lc","txt":"LC_ITEM_mecha_skin_colour_name_41"}</v>
      </c>
      <c r="K2155" s="148" t="str">
        <f>IFERROR(__xludf.DUMMYFUNCTION("""COMPUTED_VALUE"""),"{""typ"":""lc"",""txt"":""LC_ITEM_mecha_skin_colour_desc_41""}")</f>
        <v>{"typ":"lc","txt":"LC_ITEM_mecha_skin_colour_desc_41"}</v>
      </c>
      <c r="L2155" s="148" t="str">
        <f>IFERROR(__xludf.DUMMYFUNCTION("""COMPUTED_VALUE"""),"{""typ"":""lc"",""txt"":""LC_ITEM_mecha_skin_colour_use_tips_41""}")</f>
        <v>{"typ":"lc","txt":"LC_ITEM_mecha_skin_colour_use_tips_41"}</v>
      </c>
      <c r="M2155" s="148">
        <f>IFERROR(__xludf.DUMMYFUNCTION("""COMPUTED_VALUE"""),2500.0)</f>
        <v>2500</v>
      </c>
      <c r="N2155" s="148">
        <f>IFERROR(__xludf.DUMMYFUNCTION("""COMPUTED_VALUE"""),999999.0)</f>
        <v>999999</v>
      </c>
      <c r="O2155" s="148">
        <f>IFERROR(__xludf.DUMMYFUNCTION("""COMPUTED_VALUE"""),99999.0)</f>
        <v>99999</v>
      </c>
      <c r="P2155" s="148">
        <f>IFERROR(__xludf.DUMMYFUNCTION("""COMPUTED_VALUE"""),1.0)</f>
        <v>1</v>
      </c>
      <c r="Q2155" s="148" t="str">
        <f>IFERROR(__xludf.DUMMYFUNCTION("""COMPUTED_VALUE"""),"[""bag_other""]")</f>
        <v>["bag_other"]</v>
      </c>
      <c r="R2155" s="148" t="str">
        <f>IFERROR(__xludf.DUMMYFUNCTION("""COMPUTED_VALUE"""),"[""bag"",""40118002""]")</f>
        <v>["bag","40118002"]</v>
      </c>
      <c r="S2155" s="148" t="str">
        <f>IFERROR(__xludf.DUMMYFUNCTION("""COMPUTED_VALUE"""),"{""effect"":[{""typ"":""mecha_colour"",""id"":40118002,""val"":-1},{""typ"":""item"",""id"":11111034,""val"":10}]}")</f>
        <v>{"effect":[{"typ":"mecha_colour","id":40118002,"val":-1},{"typ":"item","id":11111034,"val":10}]}</v>
      </c>
      <c r="T2155" s="148">
        <f>IFERROR(__xludf.DUMMYFUNCTION("""COMPUTED_VALUE"""),-1.0)</f>
        <v>-1</v>
      </c>
      <c r="U2155" s="148">
        <f>IFERROR(__xludf.DUMMYFUNCTION("""COMPUTED_VALUE"""),0.0)</f>
        <v>0</v>
      </c>
      <c r="V2155" s="148" t="str">
        <f>IFERROR(__xludf.DUMMYFUNCTION("""COMPUTED_VALUE"""),"[]")</f>
        <v>[]</v>
      </c>
      <c r="W2155" s="148">
        <f>IFERROR(__xludf.DUMMYFUNCTION("""COMPUTED_VALUE"""),1.174E7)</f>
        <v>11740000</v>
      </c>
      <c r="X2155" s="148">
        <f>IFERROR(__xludf.DUMMYFUNCTION("""COMPUTED_VALUE"""),0.0)</f>
        <v>0</v>
      </c>
      <c r="Y2155" s="148">
        <f>IFERROR(__xludf.DUMMYFUNCTION("""COMPUTED_VALUE"""),0.0)</f>
        <v>0</v>
      </c>
      <c r="Z2155" s="148"/>
    </row>
    <row r="2156">
      <c r="A2156" s="148">
        <f>IFERROR(__xludf.DUMMYFUNCTION("""COMPUTED_VALUE"""),1.1118873E7)</f>
        <v>11118873</v>
      </c>
      <c r="B2156" s="148" t="str">
        <f>IFERROR(__xludf.DUMMYFUNCTION("""COMPUTED_VALUE"""),"螳螂原始皮肤黄色喷漆")</f>
        <v>螳螂原始皮肤黄色喷漆</v>
      </c>
      <c r="C2156" s="148"/>
      <c r="D2156" s="148" t="str">
        <f>IFERROR(__xludf.DUMMYFUNCTION("""COMPUTED_VALUE"""),"mecha_skin_colour")</f>
        <v>mecha_skin_colour</v>
      </c>
      <c r="E2156" s="148">
        <f>IFERROR(__xludf.DUMMYFUNCTION("""COMPUTED_VALUE"""),32.0)</f>
        <v>32</v>
      </c>
      <c r="F2156" s="148">
        <f>IFERROR(__xludf.DUMMYFUNCTION("""COMPUTED_VALUE"""),0.0)</f>
        <v>0</v>
      </c>
      <c r="G2156" s="148">
        <f>IFERROR(__xludf.DUMMYFUNCTION("""COMPUTED_VALUE"""),1.51100101E8)</f>
        <v>151100101</v>
      </c>
      <c r="H2156" s="148">
        <f>IFERROR(__xludf.DUMMYFUNCTION("""COMPUTED_VALUE"""),1.5112563E7)</f>
        <v>15112563</v>
      </c>
      <c r="I2156" s="148" t="str">
        <f>IFERROR(__xludf.DUMMYFUNCTION("""COMPUTED_VALUE"""),"{}")</f>
        <v>{}</v>
      </c>
      <c r="J2156" s="148" t="str">
        <f>IFERROR(__xludf.DUMMYFUNCTION("""COMPUTED_VALUE"""),"{""typ"":""lc"",""txt"":""LC_ITEM_mecha_skin_colour_name_42""}")</f>
        <v>{"typ":"lc","txt":"LC_ITEM_mecha_skin_colour_name_42"}</v>
      </c>
      <c r="K2156" s="148" t="str">
        <f>IFERROR(__xludf.DUMMYFUNCTION("""COMPUTED_VALUE"""),"{""typ"":""lc"",""txt"":""LC_ITEM_mecha_skin_colour_desc_42""}")</f>
        <v>{"typ":"lc","txt":"LC_ITEM_mecha_skin_colour_desc_42"}</v>
      </c>
      <c r="L2156" s="148" t="str">
        <f>IFERROR(__xludf.DUMMYFUNCTION("""COMPUTED_VALUE"""),"{""typ"":""lc"",""txt"":""LC_ITEM_mecha_skin_colour_use_tips_42""}")</f>
        <v>{"typ":"lc","txt":"LC_ITEM_mecha_skin_colour_use_tips_42"}</v>
      </c>
      <c r="M2156" s="148">
        <f>IFERROR(__xludf.DUMMYFUNCTION("""COMPUTED_VALUE"""),2500.0)</f>
        <v>2500</v>
      </c>
      <c r="N2156" s="148">
        <f>IFERROR(__xludf.DUMMYFUNCTION("""COMPUTED_VALUE"""),999999.0)</f>
        <v>999999</v>
      </c>
      <c r="O2156" s="148">
        <f>IFERROR(__xludf.DUMMYFUNCTION("""COMPUTED_VALUE"""),99999.0)</f>
        <v>99999</v>
      </c>
      <c r="P2156" s="148">
        <f>IFERROR(__xludf.DUMMYFUNCTION("""COMPUTED_VALUE"""),1.0)</f>
        <v>1</v>
      </c>
      <c r="Q2156" s="148" t="str">
        <f>IFERROR(__xludf.DUMMYFUNCTION("""COMPUTED_VALUE"""),"[""bag_other""]")</f>
        <v>["bag_other"]</v>
      </c>
      <c r="R2156" s="148" t="str">
        <f>IFERROR(__xludf.DUMMYFUNCTION("""COMPUTED_VALUE"""),"[""bag"",""40118003""]")</f>
        <v>["bag","40118003"]</v>
      </c>
      <c r="S2156" s="148" t="str">
        <f>IFERROR(__xludf.DUMMYFUNCTION("""COMPUTED_VALUE"""),"{""effect"":[{""typ"":""mecha_colour"",""id"":40118003,""val"":-1},{""typ"":""item"",""id"":11111034,""val"":10}]}")</f>
        <v>{"effect":[{"typ":"mecha_colour","id":40118003,"val":-1},{"typ":"item","id":11111034,"val":10}]}</v>
      </c>
      <c r="T2156" s="148">
        <f>IFERROR(__xludf.DUMMYFUNCTION("""COMPUTED_VALUE"""),-1.0)</f>
        <v>-1</v>
      </c>
      <c r="U2156" s="148">
        <f>IFERROR(__xludf.DUMMYFUNCTION("""COMPUTED_VALUE"""),0.0)</f>
        <v>0</v>
      </c>
      <c r="V2156" s="148" t="str">
        <f>IFERROR(__xludf.DUMMYFUNCTION("""COMPUTED_VALUE"""),"[]")</f>
        <v>[]</v>
      </c>
      <c r="W2156" s="148">
        <f>IFERROR(__xludf.DUMMYFUNCTION("""COMPUTED_VALUE"""),1.174E7)</f>
        <v>11740000</v>
      </c>
      <c r="X2156" s="148">
        <f>IFERROR(__xludf.DUMMYFUNCTION("""COMPUTED_VALUE"""),0.0)</f>
        <v>0</v>
      </c>
      <c r="Y2156" s="148">
        <f>IFERROR(__xludf.DUMMYFUNCTION("""COMPUTED_VALUE"""),0.0)</f>
        <v>0</v>
      </c>
      <c r="Z2156" s="148"/>
    </row>
    <row r="2157">
      <c r="A2157" s="148">
        <f>IFERROR(__xludf.DUMMYFUNCTION("""COMPUTED_VALUE"""),1.1118874E7)</f>
        <v>11118874</v>
      </c>
      <c r="B2157" s="148" t="str">
        <f>IFERROR(__xludf.DUMMYFUNCTION("""COMPUTED_VALUE"""),"螳螂原始皮肤青色喷漆")</f>
        <v>螳螂原始皮肤青色喷漆</v>
      </c>
      <c r="C2157" s="148"/>
      <c r="D2157" s="148" t="str">
        <f>IFERROR(__xludf.DUMMYFUNCTION("""COMPUTED_VALUE"""),"mecha_skin_colour")</f>
        <v>mecha_skin_colour</v>
      </c>
      <c r="E2157" s="148">
        <f>IFERROR(__xludf.DUMMYFUNCTION("""COMPUTED_VALUE"""),32.0)</f>
        <v>32</v>
      </c>
      <c r="F2157" s="148">
        <f>IFERROR(__xludf.DUMMYFUNCTION("""COMPUTED_VALUE"""),0.0)</f>
        <v>0</v>
      </c>
      <c r="G2157" s="148">
        <f>IFERROR(__xludf.DUMMYFUNCTION("""COMPUTED_VALUE"""),1.51100102E8)</f>
        <v>151100102</v>
      </c>
      <c r="H2157" s="148">
        <f>IFERROR(__xludf.DUMMYFUNCTION("""COMPUTED_VALUE"""),1.5112563E7)</f>
        <v>15112563</v>
      </c>
      <c r="I2157" s="148" t="str">
        <f>IFERROR(__xludf.DUMMYFUNCTION("""COMPUTED_VALUE"""),"{}")</f>
        <v>{}</v>
      </c>
      <c r="J2157" s="148" t="str">
        <f>IFERROR(__xludf.DUMMYFUNCTION("""COMPUTED_VALUE"""),"{""typ"":""lc"",""txt"":""LC_ITEM_mecha_skin_colour_name_43""}")</f>
        <v>{"typ":"lc","txt":"LC_ITEM_mecha_skin_colour_name_43"}</v>
      </c>
      <c r="K2157" s="148" t="str">
        <f>IFERROR(__xludf.DUMMYFUNCTION("""COMPUTED_VALUE"""),"{""typ"":""lc"",""txt"":""LC_ITEM_mecha_skin_colour_desc_43""}")</f>
        <v>{"typ":"lc","txt":"LC_ITEM_mecha_skin_colour_desc_43"}</v>
      </c>
      <c r="L2157" s="148" t="str">
        <f>IFERROR(__xludf.DUMMYFUNCTION("""COMPUTED_VALUE"""),"{""typ"":""lc"",""txt"":""LC_ITEM_mecha_skin_colour_use_tips_43""}")</f>
        <v>{"typ":"lc","txt":"LC_ITEM_mecha_skin_colour_use_tips_43"}</v>
      </c>
      <c r="M2157" s="148">
        <f>IFERROR(__xludf.DUMMYFUNCTION("""COMPUTED_VALUE"""),2500.0)</f>
        <v>2500</v>
      </c>
      <c r="N2157" s="148">
        <f>IFERROR(__xludf.DUMMYFUNCTION("""COMPUTED_VALUE"""),999999.0)</f>
        <v>999999</v>
      </c>
      <c r="O2157" s="148">
        <f>IFERROR(__xludf.DUMMYFUNCTION("""COMPUTED_VALUE"""),99999.0)</f>
        <v>99999</v>
      </c>
      <c r="P2157" s="148">
        <f>IFERROR(__xludf.DUMMYFUNCTION("""COMPUTED_VALUE"""),1.0)</f>
        <v>1</v>
      </c>
      <c r="Q2157" s="148" t="str">
        <f>IFERROR(__xludf.DUMMYFUNCTION("""COMPUTED_VALUE"""),"[""bag_other""]")</f>
        <v>["bag_other"]</v>
      </c>
      <c r="R2157" s="148" t="str">
        <f>IFERROR(__xludf.DUMMYFUNCTION("""COMPUTED_VALUE"""),"[""bag"",""40118004""]")</f>
        <v>["bag","40118004"]</v>
      </c>
      <c r="S2157" s="148" t="str">
        <f>IFERROR(__xludf.DUMMYFUNCTION("""COMPUTED_VALUE"""),"{""effect"":[{""typ"":""mecha_colour"",""id"":40118004,""val"":-1},{""typ"":""item"",""id"":11111034,""val"":10}]}")</f>
        <v>{"effect":[{"typ":"mecha_colour","id":40118004,"val":-1},{"typ":"item","id":11111034,"val":10}]}</v>
      </c>
      <c r="T2157" s="148">
        <f>IFERROR(__xludf.DUMMYFUNCTION("""COMPUTED_VALUE"""),-1.0)</f>
        <v>-1</v>
      </c>
      <c r="U2157" s="148">
        <f>IFERROR(__xludf.DUMMYFUNCTION("""COMPUTED_VALUE"""),0.0)</f>
        <v>0</v>
      </c>
      <c r="V2157" s="148" t="str">
        <f>IFERROR(__xludf.DUMMYFUNCTION("""COMPUTED_VALUE"""),"[]")</f>
        <v>[]</v>
      </c>
      <c r="W2157" s="148">
        <f>IFERROR(__xludf.DUMMYFUNCTION("""COMPUTED_VALUE"""),1.174E7)</f>
        <v>11740000</v>
      </c>
      <c r="X2157" s="148">
        <f>IFERROR(__xludf.DUMMYFUNCTION("""COMPUTED_VALUE"""),0.0)</f>
        <v>0</v>
      </c>
      <c r="Y2157" s="148">
        <f>IFERROR(__xludf.DUMMYFUNCTION("""COMPUTED_VALUE"""),0.0)</f>
        <v>0</v>
      </c>
      <c r="Z2157" s="148"/>
    </row>
    <row r="2158">
      <c r="A2158" s="148">
        <f>IFERROR(__xludf.DUMMYFUNCTION("""COMPUTED_VALUE"""),1.1118875E7)</f>
        <v>11118875</v>
      </c>
      <c r="B2158" s="148" t="str">
        <f>IFERROR(__xludf.DUMMYFUNCTION("""COMPUTED_VALUE"""),"螳螂原始皮肤粉色喷漆")</f>
        <v>螳螂原始皮肤粉色喷漆</v>
      </c>
      <c r="C2158" s="148"/>
      <c r="D2158" s="148" t="str">
        <f>IFERROR(__xludf.DUMMYFUNCTION("""COMPUTED_VALUE"""),"mecha_skin_colour")</f>
        <v>mecha_skin_colour</v>
      </c>
      <c r="E2158" s="148">
        <f>IFERROR(__xludf.DUMMYFUNCTION("""COMPUTED_VALUE"""),32.0)</f>
        <v>32</v>
      </c>
      <c r="F2158" s="148">
        <f>IFERROR(__xludf.DUMMYFUNCTION("""COMPUTED_VALUE"""),0.0)</f>
        <v>0</v>
      </c>
      <c r="G2158" s="148">
        <f>IFERROR(__xludf.DUMMYFUNCTION("""COMPUTED_VALUE"""),1.51100103E8)</f>
        <v>151100103</v>
      </c>
      <c r="H2158" s="148">
        <f>IFERROR(__xludf.DUMMYFUNCTION("""COMPUTED_VALUE"""),1.5112563E7)</f>
        <v>15112563</v>
      </c>
      <c r="I2158" s="148" t="str">
        <f>IFERROR(__xludf.DUMMYFUNCTION("""COMPUTED_VALUE"""),"{}")</f>
        <v>{}</v>
      </c>
      <c r="J2158" s="148" t="str">
        <f>IFERROR(__xludf.DUMMYFUNCTION("""COMPUTED_VALUE"""),"{""typ"":""lc"",""txt"":""LC_ITEM_mecha_skin_colour_name_44""}")</f>
        <v>{"typ":"lc","txt":"LC_ITEM_mecha_skin_colour_name_44"}</v>
      </c>
      <c r="K2158" s="148" t="str">
        <f>IFERROR(__xludf.DUMMYFUNCTION("""COMPUTED_VALUE"""),"{""typ"":""lc"",""txt"":""LC_ITEM_mecha_skin_colour_desc_44""}")</f>
        <v>{"typ":"lc","txt":"LC_ITEM_mecha_skin_colour_desc_44"}</v>
      </c>
      <c r="L2158" s="148" t="str">
        <f>IFERROR(__xludf.DUMMYFUNCTION("""COMPUTED_VALUE"""),"{""typ"":""lc"",""txt"":""LC_ITEM_mecha_skin_colour_use_tips_44""}")</f>
        <v>{"typ":"lc","txt":"LC_ITEM_mecha_skin_colour_use_tips_44"}</v>
      </c>
      <c r="M2158" s="148">
        <f>IFERROR(__xludf.DUMMYFUNCTION("""COMPUTED_VALUE"""),2500.0)</f>
        <v>2500</v>
      </c>
      <c r="N2158" s="148">
        <f>IFERROR(__xludf.DUMMYFUNCTION("""COMPUTED_VALUE"""),999999.0)</f>
        <v>999999</v>
      </c>
      <c r="O2158" s="148">
        <f>IFERROR(__xludf.DUMMYFUNCTION("""COMPUTED_VALUE"""),99999.0)</f>
        <v>99999</v>
      </c>
      <c r="P2158" s="148">
        <f>IFERROR(__xludf.DUMMYFUNCTION("""COMPUTED_VALUE"""),1.0)</f>
        <v>1</v>
      </c>
      <c r="Q2158" s="148" t="str">
        <f>IFERROR(__xludf.DUMMYFUNCTION("""COMPUTED_VALUE"""),"[""bag_other""]")</f>
        <v>["bag_other"]</v>
      </c>
      <c r="R2158" s="148" t="str">
        <f>IFERROR(__xludf.DUMMYFUNCTION("""COMPUTED_VALUE"""),"[""bag"",""40118005""]")</f>
        <v>["bag","40118005"]</v>
      </c>
      <c r="S2158" s="148" t="str">
        <f>IFERROR(__xludf.DUMMYFUNCTION("""COMPUTED_VALUE"""),"{""effect"":[{""typ"":""mecha_colour"",""id"":40118005,""val"":-1},{""typ"":""item"",""id"":11111034,""val"":10}]}")</f>
        <v>{"effect":[{"typ":"mecha_colour","id":40118005,"val":-1},{"typ":"item","id":11111034,"val":10}]}</v>
      </c>
      <c r="T2158" s="148">
        <f>IFERROR(__xludf.DUMMYFUNCTION("""COMPUTED_VALUE"""),-1.0)</f>
        <v>-1</v>
      </c>
      <c r="U2158" s="148">
        <f>IFERROR(__xludf.DUMMYFUNCTION("""COMPUTED_VALUE"""),0.0)</f>
        <v>0</v>
      </c>
      <c r="V2158" s="148" t="str">
        <f>IFERROR(__xludf.DUMMYFUNCTION("""COMPUTED_VALUE"""),"[]")</f>
        <v>[]</v>
      </c>
      <c r="W2158" s="148">
        <f>IFERROR(__xludf.DUMMYFUNCTION("""COMPUTED_VALUE"""),1.174E7)</f>
        <v>11740000</v>
      </c>
      <c r="X2158" s="148">
        <f>IFERROR(__xludf.DUMMYFUNCTION("""COMPUTED_VALUE"""),0.0)</f>
        <v>0</v>
      </c>
      <c r="Y2158" s="148">
        <f>IFERROR(__xludf.DUMMYFUNCTION("""COMPUTED_VALUE"""),0.0)</f>
        <v>0</v>
      </c>
      <c r="Z2158" s="148"/>
    </row>
    <row r="2159">
      <c r="A2159" s="148">
        <f>IFERROR(__xludf.DUMMYFUNCTION("""COMPUTED_VALUE"""),1.1118876E7)</f>
        <v>11118876</v>
      </c>
      <c r="B2159" s="148" t="str">
        <f>IFERROR(__xludf.DUMMYFUNCTION("""COMPUTED_VALUE"""),"螳螂原始皮肤橙色喷漆")</f>
        <v>螳螂原始皮肤橙色喷漆</v>
      </c>
      <c r="C2159" s="148"/>
      <c r="D2159" s="148" t="str">
        <f>IFERROR(__xludf.DUMMYFUNCTION("""COMPUTED_VALUE"""),"mecha_skin_colour")</f>
        <v>mecha_skin_colour</v>
      </c>
      <c r="E2159" s="148">
        <f>IFERROR(__xludf.DUMMYFUNCTION("""COMPUTED_VALUE"""),32.0)</f>
        <v>32</v>
      </c>
      <c r="F2159" s="148">
        <f>IFERROR(__xludf.DUMMYFUNCTION("""COMPUTED_VALUE"""),0.0)</f>
        <v>0</v>
      </c>
      <c r="G2159" s="148">
        <f>IFERROR(__xludf.DUMMYFUNCTION("""COMPUTED_VALUE"""),1.51100104E8)</f>
        <v>151100104</v>
      </c>
      <c r="H2159" s="148">
        <f>IFERROR(__xludf.DUMMYFUNCTION("""COMPUTED_VALUE"""),1.5112563E7)</f>
        <v>15112563</v>
      </c>
      <c r="I2159" s="148" t="str">
        <f>IFERROR(__xludf.DUMMYFUNCTION("""COMPUTED_VALUE"""),"{}")</f>
        <v>{}</v>
      </c>
      <c r="J2159" s="148" t="str">
        <f>IFERROR(__xludf.DUMMYFUNCTION("""COMPUTED_VALUE"""),"{""typ"":""lc"",""txt"":""LC_ITEM_mecha_skin_colour_name_45""}")</f>
        <v>{"typ":"lc","txt":"LC_ITEM_mecha_skin_colour_name_45"}</v>
      </c>
      <c r="K2159" s="148" t="str">
        <f>IFERROR(__xludf.DUMMYFUNCTION("""COMPUTED_VALUE"""),"{""typ"":""lc"",""txt"":""LC_ITEM_mecha_skin_colour_desc_45""}")</f>
        <v>{"typ":"lc","txt":"LC_ITEM_mecha_skin_colour_desc_45"}</v>
      </c>
      <c r="L2159" s="148" t="str">
        <f>IFERROR(__xludf.DUMMYFUNCTION("""COMPUTED_VALUE"""),"{""typ"":""lc"",""txt"":""LC_ITEM_mecha_skin_colour_use_tips_45""}")</f>
        <v>{"typ":"lc","txt":"LC_ITEM_mecha_skin_colour_use_tips_45"}</v>
      </c>
      <c r="M2159" s="148">
        <f>IFERROR(__xludf.DUMMYFUNCTION("""COMPUTED_VALUE"""),2500.0)</f>
        <v>2500</v>
      </c>
      <c r="N2159" s="148">
        <f>IFERROR(__xludf.DUMMYFUNCTION("""COMPUTED_VALUE"""),999999.0)</f>
        <v>999999</v>
      </c>
      <c r="O2159" s="148">
        <f>IFERROR(__xludf.DUMMYFUNCTION("""COMPUTED_VALUE"""),99999.0)</f>
        <v>99999</v>
      </c>
      <c r="P2159" s="148">
        <f>IFERROR(__xludf.DUMMYFUNCTION("""COMPUTED_VALUE"""),1.0)</f>
        <v>1</v>
      </c>
      <c r="Q2159" s="148" t="str">
        <f>IFERROR(__xludf.DUMMYFUNCTION("""COMPUTED_VALUE"""),"[""bag_other""]")</f>
        <v>["bag_other"]</v>
      </c>
      <c r="R2159" s="148" t="str">
        <f>IFERROR(__xludf.DUMMYFUNCTION("""COMPUTED_VALUE"""),"[""bag"",""40118006""]")</f>
        <v>["bag","40118006"]</v>
      </c>
      <c r="S2159" s="148" t="str">
        <f>IFERROR(__xludf.DUMMYFUNCTION("""COMPUTED_VALUE"""),"{""effect"":[{""typ"":""mecha_colour"",""id"":40118006,""val"":-1},{""typ"":""item"",""id"":11111034,""val"":10}]}")</f>
        <v>{"effect":[{"typ":"mecha_colour","id":40118006,"val":-1},{"typ":"item","id":11111034,"val":10}]}</v>
      </c>
      <c r="T2159" s="148">
        <f>IFERROR(__xludf.DUMMYFUNCTION("""COMPUTED_VALUE"""),-1.0)</f>
        <v>-1</v>
      </c>
      <c r="U2159" s="148">
        <f>IFERROR(__xludf.DUMMYFUNCTION("""COMPUTED_VALUE"""),0.0)</f>
        <v>0</v>
      </c>
      <c r="V2159" s="148" t="str">
        <f>IFERROR(__xludf.DUMMYFUNCTION("""COMPUTED_VALUE"""),"[]")</f>
        <v>[]</v>
      </c>
      <c r="W2159" s="148">
        <f>IFERROR(__xludf.DUMMYFUNCTION("""COMPUTED_VALUE"""),1.174E7)</f>
        <v>11740000</v>
      </c>
      <c r="X2159" s="148">
        <f>IFERROR(__xludf.DUMMYFUNCTION("""COMPUTED_VALUE"""),0.0)</f>
        <v>0</v>
      </c>
      <c r="Y2159" s="148">
        <f>IFERROR(__xludf.DUMMYFUNCTION("""COMPUTED_VALUE"""),0.0)</f>
        <v>0</v>
      </c>
      <c r="Z2159" s="148"/>
    </row>
    <row r="2160">
      <c r="A2160" s="148">
        <f>IFERROR(__xludf.DUMMYFUNCTION("""COMPUTED_VALUE"""),1.1118877E7)</f>
        <v>11118877</v>
      </c>
      <c r="B2160" s="148" t="str">
        <f>IFERROR(__xludf.DUMMYFUNCTION("""COMPUTED_VALUE"""),"螳螂原始皮肤紫色喷漆")</f>
        <v>螳螂原始皮肤紫色喷漆</v>
      </c>
      <c r="C2160" s="148"/>
      <c r="D2160" s="148" t="str">
        <f>IFERROR(__xludf.DUMMYFUNCTION("""COMPUTED_VALUE"""),"mecha_skin_colour")</f>
        <v>mecha_skin_colour</v>
      </c>
      <c r="E2160" s="148">
        <f>IFERROR(__xludf.DUMMYFUNCTION("""COMPUTED_VALUE"""),32.0)</f>
        <v>32</v>
      </c>
      <c r="F2160" s="148">
        <f>IFERROR(__xludf.DUMMYFUNCTION("""COMPUTED_VALUE"""),0.0)</f>
        <v>0</v>
      </c>
      <c r="G2160" s="148">
        <f>IFERROR(__xludf.DUMMYFUNCTION("""COMPUTED_VALUE"""),1.51100105E8)</f>
        <v>151100105</v>
      </c>
      <c r="H2160" s="148">
        <f>IFERROR(__xludf.DUMMYFUNCTION("""COMPUTED_VALUE"""),1.5112563E7)</f>
        <v>15112563</v>
      </c>
      <c r="I2160" s="148" t="str">
        <f>IFERROR(__xludf.DUMMYFUNCTION("""COMPUTED_VALUE"""),"{}")</f>
        <v>{}</v>
      </c>
      <c r="J2160" s="148" t="str">
        <f>IFERROR(__xludf.DUMMYFUNCTION("""COMPUTED_VALUE"""),"{""typ"":""lc"",""txt"":""LC_ITEM_mecha_skin_colour_name_46""}")</f>
        <v>{"typ":"lc","txt":"LC_ITEM_mecha_skin_colour_name_46"}</v>
      </c>
      <c r="K2160" s="148" t="str">
        <f>IFERROR(__xludf.DUMMYFUNCTION("""COMPUTED_VALUE"""),"{""typ"":""lc"",""txt"":""LC_ITEM_mecha_skin_colour_desc_46""}")</f>
        <v>{"typ":"lc","txt":"LC_ITEM_mecha_skin_colour_desc_46"}</v>
      </c>
      <c r="L2160" s="148" t="str">
        <f>IFERROR(__xludf.DUMMYFUNCTION("""COMPUTED_VALUE"""),"{""typ"":""lc"",""txt"":""LC_ITEM_mecha_skin_colour_use_tips_46""}")</f>
        <v>{"typ":"lc","txt":"LC_ITEM_mecha_skin_colour_use_tips_46"}</v>
      </c>
      <c r="M2160" s="148">
        <f>IFERROR(__xludf.DUMMYFUNCTION("""COMPUTED_VALUE"""),2500.0)</f>
        <v>2500</v>
      </c>
      <c r="N2160" s="148">
        <f>IFERROR(__xludf.DUMMYFUNCTION("""COMPUTED_VALUE"""),999999.0)</f>
        <v>999999</v>
      </c>
      <c r="O2160" s="148">
        <f>IFERROR(__xludf.DUMMYFUNCTION("""COMPUTED_VALUE"""),99999.0)</f>
        <v>99999</v>
      </c>
      <c r="P2160" s="148">
        <f>IFERROR(__xludf.DUMMYFUNCTION("""COMPUTED_VALUE"""),1.0)</f>
        <v>1</v>
      </c>
      <c r="Q2160" s="148" t="str">
        <f>IFERROR(__xludf.DUMMYFUNCTION("""COMPUTED_VALUE"""),"[""bag_other""]")</f>
        <v>["bag_other"]</v>
      </c>
      <c r="R2160" s="148" t="str">
        <f>IFERROR(__xludf.DUMMYFUNCTION("""COMPUTED_VALUE"""),"[""bag"",""40118007""]")</f>
        <v>["bag","40118007"]</v>
      </c>
      <c r="S2160" s="148" t="str">
        <f>IFERROR(__xludf.DUMMYFUNCTION("""COMPUTED_VALUE"""),"{""effect"":[{""typ"":""mecha_colour"",""id"":40118007,""val"":-1},{""typ"":""item"",""id"":11111034,""val"":10}]}")</f>
        <v>{"effect":[{"typ":"mecha_colour","id":40118007,"val":-1},{"typ":"item","id":11111034,"val":10}]}</v>
      </c>
      <c r="T2160" s="148">
        <f>IFERROR(__xludf.DUMMYFUNCTION("""COMPUTED_VALUE"""),-1.0)</f>
        <v>-1</v>
      </c>
      <c r="U2160" s="148">
        <f>IFERROR(__xludf.DUMMYFUNCTION("""COMPUTED_VALUE"""),0.0)</f>
        <v>0</v>
      </c>
      <c r="V2160" s="148" t="str">
        <f>IFERROR(__xludf.DUMMYFUNCTION("""COMPUTED_VALUE"""),"[]")</f>
        <v>[]</v>
      </c>
      <c r="W2160" s="148">
        <f>IFERROR(__xludf.DUMMYFUNCTION("""COMPUTED_VALUE"""),1.174E7)</f>
        <v>11740000</v>
      </c>
      <c r="X2160" s="148">
        <f>IFERROR(__xludf.DUMMYFUNCTION("""COMPUTED_VALUE"""),0.0)</f>
        <v>0</v>
      </c>
      <c r="Y2160" s="148">
        <f>IFERROR(__xludf.DUMMYFUNCTION("""COMPUTED_VALUE"""),0.0)</f>
        <v>0</v>
      </c>
      <c r="Z2160" s="148"/>
    </row>
    <row r="2161">
      <c r="A2161" s="148">
        <f>IFERROR(__xludf.DUMMYFUNCTION("""COMPUTED_VALUE"""),1.1118878E7)</f>
        <v>11118878</v>
      </c>
      <c r="B2161" s="148" t="str">
        <f>IFERROR(__xludf.DUMMYFUNCTION("""COMPUTED_VALUE"""),"毒蝎暗影传说")</f>
        <v>毒蝎暗影传说</v>
      </c>
      <c r="C2161" s="148"/>
      <c r="D2161" s="148" t="str">
        <f>IFERROR(__xludf.DUMMYFUNCTION("""COMPUTED_VALUE"""),"mecha_skin")</f>
        <v>mecha_skin</v>
      </c>
      <c r="E2161" s="148">
        <f>IFERROR(__xludf.DUMMYFUNCTION("""COMPUTED_VALUE"""),31.0)</f>
        <v>31</v>
      </c>
      <c r="F2161" s="148">
        <f>IFERROR(__xludf.DUMMYFUNCTION("""COMPUTED_VALUE"""),0.0)</f>
        <v>0</v>
      </c>
      <c r="G2161" s="148">
        <f>IFERROR(__xludf.DUMMYFUNCTION("""COMPUTED_VALUE"""),1.51100676E8)</f>
        <v>151100676</v>
      </c>
      <c r="H2161" s="148">
        <f>IFERROR(__xludf.DUMMYFUNCTION("""COMPUTED_VALUE"""),1.5112564E7)</f>
        <v>15112564</v>
      </c>
      <c r="I2161" s="148" t="str">
        <f>IFERROR(__xludf.DUMMYFUNCTION("""COMPUTED_VALUE"""),"{}")</f>
        <v>{}</v>
      </c>
      <c r="J2161" s="148" t="str">
        <f>IFERROR(__xludf.DUMMYFUNCTION("""COMPUTED_VALUE"""),"{""typ"":""lc"",""txt"":""LC_HERO_mecha_skin_name_duxieanying_item""}")</f>
        <v>{"typ":"lc","txt":"LC_HERO_mecha_skin_name_duxieanying_item"}</v>
      </c>
      <c r="K2161" s="148" t="str">
        <f>IFERROR(__xludf.DUMMYFUNCTION("""COMPUTED_VALUE"""),"{""typ"":""lc"",""txt"":""LC_HERO_mecha_skin_src_duxieanying_item""}")</f>
        <v>{"typ":"lc","txt":"LC_HERO_mecha_skin_src_duxieanying_item"}</v>
      </c>
      <c r="L2161" s="148" t="str">
        <f>IFERROR(__xludf.DUMMYFUNCTION("""COMPUTED_VALUE"""),"{""typ"":""lc"",""txt"":""LC_HERO_mecha_skin_src_duxieanying_item_tips""}")</f>
        <v>{"typ":"lc","txt":"LC_HERO_mecha_skin_src_duxieanying_item_tips"}</v>
      </c>
      <c r="M2161" s="148">
        <f>IFERROR(__xludf.DUMMYFUNCTION("""COMPUTED_VALUE"""),500.0)</f>
        <v>500</v>
      </c>
      <c r="N2161" s="148">
        <f>IFERROR(__xludf.DUMMYFUNCTION("""COMPUTED_VALUE"""),5.0)</f>
        <v>5</v>
      </c>
      <c r="O2161" s="148">
        <f>IFERROR(__xludf.DUMMYFUNCTION("""COMPUTED_VALUE"""),1.0)</f>
        <v>1</v>
      </c>
      <c r="P2161" s="148">
        <f>IFERROR(__xludf.DUMMYFUNCTION("""COMPUTED_VALUE"""),1.0)</f>
        <v>1</v>
      </c>
      <c r="Q2161" s="148" t="str">
        <f>IFERROR(__xludf.DUMMYFUNCTION("""COMPUTED_VALUE"""),"[""bag_other""]")</f>
        <v>["bag_other"]</v>
      </c>
      <c r="R2161" s="148" t="str">
        <f>IFERROR(__xludf.DUMMYFUNCTION("""COMPUTED_VALUE"""),"[""bag"",""40104101""]")</f>
        <v>["bag","40104101"]</v>
      </c>
      <c r="S2161" s="148" t="str">
        <f>IFERROR(__xludf.DUMMYFUNCTION("""COMPUTED_VALUE"""),"{""effect"":[{""typ"":""mecha_skin"",""id"":40104101,""val"":-1},{""typ"":""item"",""id"":11111034,""val"":10}]}")</f>
        <v>{"effect":[{"typ":"mecha_skin","id":40104101,"val":-1},{"typ":"item","id":11111034,"val":10}]}</v>
      </c>
      <c r="T2161" s="148">
        <f>IFERROR(__xludf.DUMMYFUNCTION("""COMPUTED_VALUE"""),-1.0)</f>
        <v>-1</v>
      </c>
      <c r="U2161" s="148">
        <f>IFERROR(__xludf.DUMMYFUNCTION("""COMPUTED_VALUE"""),0.0)</f>
        <v>0</v>
      </c>
      <c r="V2161" s="148" t="str">
        <f>IFERROR(__xludf.DUMMYFUNCTION("""COMPUTED_VALUE"""),"[]")</f>
        <v>[]</v>
      </c>
      <c r="W2161" s="148">
        <f>IFERROR(__xludf.DUMMYFUNCTION("""COMPUTED_VALUE"""),1.174E7)</f>
        <v>11740000</v>
      </c>
      <c r="X2161" s="148">
        <f>IFERROR(__xludf.DUMMYFUNCTION("""COMPUTED_VALUE"""),0.0)</f>
        <v>0</v>
      </c>
      <c r="Y2161" s="148">
        <f>IFERROR(__xludf.DUMMYFUNCTION("""COMPUTED_VALUE"""),0.0)</f>
        <v>0</v>
      </c>
      <c r="Z2161" s="148"/>
    </row>
    <row r="2162">
      <c r="A2162" s="148">
        <f>IFERROR(__xludf.DUMMYFUNCTION("""COMPUTED_VALUE"""),1.1118879E7)</f>
        <v>11118879</v>
      </c>
      <c r="B2162" s="148" t="str">
        <f>IFERROR(__xludf.DUMMYFUNCTION("""COMPUTED_VALUE"""),"战龟原始皮肤红色喷漆")</f>
        <v>战龟原始皮肤红色喷漆</v>
      </c>
      <c r="C2162" s="148"/>
      <c r="D2162" s="148" t="str">
        <f>IFERROR(__xludf.DUMMYFUNCTION("""COMPUTED_VALUE"""),"mecha_skin_colour")</f>
        <v>mecha_skin_colour</v>
      </c>
      <c r="E2162" s="148">
        <f>IFERROR(__xludf.DUMMYFUNCTION("""COMPUTED_VALUE"""),32.0)</f>
        <v>32</v>
      </c>
      <c r="F2162" s="148">
        <f>IFERROR(__xludf.DUMMYFUNCTION("""COMPUTED_VALUE"""),0.0)</f>
        <v>0</v>
      </c>
      <c r="G2162" s="148">
        <f>IFERROR(__xludf.DUMMYFUNCTION("""COMPUTED_VALUE"""),1.51100729E8)</f>
        <v>151100729</v>
      </c>
      <c r="H2162" s="148">
        <f>IFERROR(__xludf.DUMMYFUNCTION("""COMPUTED_VALUE"""),1.5112563E7)</f>
        <v>15112563</v>
      </c>
      <c r="I2162" s="148" t="str">
        <f>IFERROR(__xludf.DUMMYFUNCTION("""COMPUTED_VALUE"""),"{}")</f>
        <v>{}</v>
      </c>
      <c r="J2162" s="148" t="str">
        <f>IFERROR(__xludf.DUMMYFUNCTION("""COMPUTED_VALUE"""),"{""typ"":""lc"",""txt"":""LC_ITEM_mecha_skin_colour_name_59""}")</f>
        <v>{"typ":"lc","txt":"LC_ITEM_mecha_skin_colour_name_59"}</v>
      </c>
      <c r="K2162" s="148" t="str">
        <f>IFERROR(__xludf.DUMMYFUNCTION("""COMPUTED_VALUE"""),"{""typ"":""lc"",""txt"":""LC_ITEM_mecha_skin_colour_desc_59""}")</f>
        <v>{"typ":"lc","txt":"LC_ITEM_mecha_skin_colour_desc_59"}</v>
      </c>
      <c r="L2162" s="148" t="str">
        <f>IFERROR(__xludf.DUMMYFUNCTION("""COMPUTED_VALUE"""),"{""typ"":""lc"",""txt"":""LC_ITEM_mecha_skin_colour_use_tips_59""}")</f>
        <v>{"typ":"lc","txt":"LC_ITEM_mecha_skin_colour_use_tips_59"}</v>
      </c>
      <c r="M2162" s="148">
        <f>IFERROR(__xludf.DUMMYFUNCTION("""COMPUTED_VALUE"""),2500.0)</f>
        <v>2500</v>
      </c>
      <c r="N2162" s="148">
        <f>IFERROR(__xludf.DUMMYFUNCTION("""COMPUTED_VALUE"""),999999.0)</f>
        <v>999999</v>
      </c>
      <c r="O2162" s="148">
        <f>IFERROR(__xludf.DUMMYFUNCTION("""COMPUTED_VALUE"""),99999.0)</f>
        <v>99999</v>
      </c>
      <c r="P2162" s="148">
        <f>IFERROR(__xludf.DUMMYFUNCTION("""COMPUTED_VALUE"""),1.0)</f>
        <v>1</v>
      </c>
      <c r="Q2162" s="148" t="str">
        <f>IFERROR(__xludf.DUMMYFUNCTION("""COMPUTED_VALUE"""),"[""bag_other""]")</f>
        <v>["bag_other"]</v>
      </c>
      <c r="R2162" s="148" t="str">
        <f>IFERROR(__xludf.DUMMYFUNCTION("""COMPUTED_VALUE"""),"[""bag"",""40119002""]")</f>
        <v>["bag","40119002"]</v>
      </c>
      <c r="S2162" s="148" t="str">
        <f>IFERROR(__xludf.DUMMYFUNCTION("""COMPUTED_VALUE"""),"{""effect"":[{""typ"":""mecha_colour"",""id"":40119002,""val"":-1},{""typ"":""item"",""id"":11111034,""val"":10}]}")</f>
        <v>{"effect":[{"typ":"mecha_colour","id":40119002,"val":-1},{"typ":"item","id":11111034,"val":10}]}</v>
      </c>
      <c r="T2162" s="148">
        <f>IFERROR(__xludf.DUMMYFUNCTION("""COMPUTED_VALUE"""),-1.0)</f>
        <v>-1</v>
      </c>
      <c r="U2162" s="148">
        <f>IFERROR(__xludf.DUMMYFUNCTION("""COMPUTED_VALUE"""),0.0)</f>
        <v>0</v>
      </c>
      <c r="V2162" s="148" t="str">
        <f>IFERROR(__xludf.DUMMYFUNCTION("""COMPUTED_VALUE"""),"[]")</f>
        <v>[]</v>
      </c>
      <c r="W2162" s="148">
        <f>IFERROR(__xludf.DUMMYFUNCTION("""COMPUTED_VALUE"""),1.174E7)</f>
        <v>11740000</v>
      </c>
      <c r="X2162" s="148">
        <f>IFERROR(__xludf.DUMMYFUNCTION("""COMPUTED_VALUE"""),0.0)</f>
        <v>0</v>
      </c>
      <c r="Y2162" s="148">
        <f>IFERROR(__xludf.DUMMYFUNCTION("""COMPUTED_VALUE"""),0.0)</f>
        <v>0</v>
      </c>
      <c r="Z2162" s="148"/>
    </row>
    <row r="2163">
      <c r="A2163" s="148">
        <f>IFERROR(__xludf.DUMMYFUNCTION("""COMPUTED_VALUE"""),1.111888E7)</f>
        <v>11118880</v>
      </c>
      <c r="B2163" s="148" t="str">
        <f>IFERROR(__xludf.DUMMYFUNCTION("""COMPUTED_VALUE"""),"战龟原始皮肤黄色喷漆")</f>
        <v>战龟原始皮肤黄色喷漆</v>
      </c>
      <c r="C2163" s="148"/>
      <c r="D2163" s="148" t="str">
        <f>IFERROR(__xludf.DUMMYFUNCTION("""COMPUTED_VALUE"""),"mecha_skin_colour")</f>
        <v>mecha_skin_colour</v>
      </c>
      <c r="E2163" s="148">
        <f>IFERROR(__xludf.DUMMYFUNCTION("""COMPUTED_VALUE"""),32.0)</f>
        <v>32</v>
      </c>
      <c r="F2163" s="148">
        <f>IFERROR(__xludf.DUMMYFUNCTION("""COMPUTED_VALUE"""),0.0)</f>
        <v>0</v>
      </c>
      <c r="G2163" s="148">
        <f>IFERROR(__xludf.DUMMYFUNCTION("""COMPUTED_VALUE"""),1.5110073E8)</f>
        <v>151100730</v>
      </c>
      <c r="H2163" s="148">
        <f>IFERROR(__xludf.DUMMYFUNCTION("""COMPUTED_VALUE"""),1.5112563E7)</f>
        <v>15112563</v>
      </c>
      <c r="I2163" s="148" t="str">
        <f>IFERROR(__xludf.DUMMYFUNCTION("""COMPUTED_VALUE"""),"{}")</f>
        <v>{}</v>
      </c>
      <c r="J2163" s="148" t="str">
        <f>IFERROR(__xludf.DUMMYFUNCTION("""COMPUTED_VALUE"""),"{""typ"":""lc"",""txt"":""LC_ITEM_mecha_skin_colour_name_60""}")</f>
        <v>{"typ":"lc","txt":"LC_ITEM_mecha_skin_colour_name_60"}</v>
      </c>
      <c r="K2163" s="148" t="str">
        <f>IFERROR(__xludf.DUMMYFUNCTION("""COMPUTED_VALUE"""),"{""typ"":""lc"",""txt"":""LC_ITEM_mecha_skin_colour_desc_60""}")</f>
        <v>{"typ":"lc","txt":"LC_ITEM_mecha_skin_colour_desc_60"}</v>
      </c>
      <c r="L2163" s="148" t="str">
        <f>IFERROR(__xludf.DUMMYFUNCTION("""COMPUTED_VALUE"""),"{""typ"":""lc"",""txt"":""LC_ITEM_mecha_skin_colour_use_tips_60""}")</f>
        <v>{"typ":"lc","txt":"LC_ITEM_mecha_skin_colour_use_tips_60"}</v>
      </c>
      <c r="M2163" s="148">
        <f>IFERROR(__xludf.DUMMYFUNCTION("""COMPUTED_VALUE"""),2500.0)</f>
        <v>2500</v>
      </c>
      <c r="N2163" s="148">
        <f>IFERROR(__xludf.DUMMYFUNCTION("""COMPUTED_VALUE"""),999999.0)</f>
        <v>999999</v>
      </c>
      <c r="O2163" s="148">
        <f>IFERROR(__xludf.DUMMYFUNCTION("""COMPUTED_VALUE"""),99999.0)</f>
        <v>99999</v>
      </c>
      <c r="P2163" s="148">
        <f>IFERROR(__xludf.DUMMYFUNCTION("""COMPUTED_VALUE"""),1.0)</f>
        <v>1</v>
      </c>
      <c r="Q2163" s="148" t="str">
        <f>IFERROR(__xludf.DUMMYFUNCTION("""COMPUTED_VALUE"""),"[""bag_other""]")</f>
        <v>["bag_other"]</v>
      </c>
      <c r="R2163" s="148" t="str">
        <f>IFERROR(__xludf.DUMMYFUNCTION("""COMPUTED_VALUE"""),"[""bag"",""40119003""]")</f>
        <v>["bag","40119003"]</v>
      </c>
      <c r="S2163" s="148" t="str">
        <f>IFERROR(__xludf.DUMMYFUNCTION("""COMPUTED_VALUE"""),"{""effect"":[{""typ"":""mecha_colour"",""id"":40119003,""val"":-1},{""typ"":""item"",""id"":11111034,""val"":10}]}")</f>
        <v>{"effect":[{"typ":"mecha_colour","id":40119003,"val":-1},{"typ":"item","id":11111034,"val":10}]}</v>
      </c>
      <c r="T2163" s="148">
        <f>IFERROR(__xludf.DUMMYFUNCTION("""COMPUTED_VALUE"""),-1.0)</f>
        <v>-1</v>
      </c>
      <c r="U2163" s="148">
        <f>IFERROR(__xludf.DUMMYFUNCTION("""COMPUTED_VALUE"""),0.0)</f>
        <v>0</v>
      </c>
      <c r="V2163" s="148" t="str">
        <f>IFERROR(__xludf.DUMMYFUNCTION("""COMPUTED_VALUE"""),"[]")</f>
        <v>[]</v>
      </c>
      <c r="W2163" s="148">
        <f>IFERROR(__xludf.DUMMYFUNCTION("""COMPUTED_VALUE"""),1.174E7)</f>
        <v>11740000</v>
      </c>
      <c r="X2163" s="148">
        <f>IFERROR(__xludf.DUMMYFUNCTION("""COMPUTED_VALUE"""),0.0)</f>
        <v>0</v>
      </c>
      <c r="Y2163" s="148">
        <f>IFERROR(__xludf.DUMMYFUNCTION("""COMPUTED_VALUE"""),0.0)</f>
        <v>0</v>
      </c>
      <c r="Z2163" s="148"/>
    </row>
    <row r="2164">
      <c r="A2164" s="148">
        <f>IFERROR(__xludf.DUMMYFUNCTION("""COMPUTED_VALUE"""),1.1118881E7)</f>
        <v>11118881</v>
      </c>
      <c r="B2164" s="148" t="str">
        <f>IFERROR(__xludf.DUMMYFUNCTION("""COMPUTED_VALUE"""),"战龟原始皮肤青色喷漆")</f>
        <v>战龟原始皮肤青色喷漆</v>
      </c>
      <c r="C2164" s="148"/>
      <c r="D2164" s="148" t="str">
        <f>IFERROR(__xludf.DUMMYFUNCTION("""COMPUTED_VALUE"""),"mecha_skin_colour")</f>
        <v>mecha_skin_colour</v>
      </c>
      <c r="E2164" s="148">
        <f>IFERROR(__xludf.DUMMYFUNCTION("""COMPUTED_VALUE"""),32.0)</f>
        <v>32</v>
      </c>
      <c r="F2164" s="148">
        <f>IFERROR(__xludf.DUMMYFUNCTION("""COMPUTED_VALUE"""),0.0)</f>
        <v>0</v>
      </c>
      <c r="G2164" s="148">
        <f>IFERROR(__xludf.DUMMYFUNCTION("""COMPUTED_VALUE"""),1.51100731E8)</f>
        <v>151100731</v>
      </c>
      <c r="H2164" s="148">
        <f>IFERROR(__xludf.DUMMYFUNCTION("""COMPUTED_VALUE"""),1.5112563E7)</f>
        <v>15112563</v>
      </c>
      <c r="I2164" s="148" t="str">
        <f>IFERROR(__xludf.DUMMYFUNCTION("""COMPUTED_VALUE"""),"{}")</f>
        <v>{}</v>
      </c>
      <c r="J2164" s="148" t="str">
        <f>IFERROR(__xludf.DUMMYFUNCTION("""COMPUTED_VALUE"""),"{""typ"":""lc"",""txt"":""LC_ITEM_mecha_skin_colour_name_61""}")</f>
        <v>{"typ":"lc","txt":"LC_ITEM_mecha_skin_colour_name_61"}</v>
      </c>
      <c r="K2164" s="148" t="str">
        <f>IFERROR(__xludf.DUMMYFUNCTION("""COMPUTED_VALUE"""),"{""typ"":""lc"",""txt"":""LC_ITEM_mecha_skin_colour_desc_61""}")</f>
        <v>{"typ":"lc","txt":"LC_ITEM_mecha_skin_colour_desc_61"}</v>
      </c>
      <c r="L2164" s="148" t="str">
        <f>IFERROR(__xludf.DUMMYFUNCTION("""COMPUTED_VALUE"""),"{""typ"":""lc"",""txt"":""LC_ITEM_mecha_skin_colour_use_tips_61""}")</f>
        <v>{"typ":"lc","txt":"LC_ITEM_mecha_skin_colour_use_tips_61"}</v>
      </c>
      <c r="M2164" s="148">
        <f>IFERROR(__xludf.DUMMYFUNCTION("""COMPUTED_VALUE"""),2500.0)</f>
        <v>2500</v>
      </c>
      <c r="N2164" s="148">
        <f>IFERROR(__xludf.DUMMYFUNCTION("""COMPUTED_VALUE"""),999999.0)</f>
        <v>999999</v>
      </c>
      <c r="O2164" s="148">
        <f>IFERROR(__xludf.DUMMYFUNCTION("""COMPUTED_VALUE"""),99999.0)</f>
        <v>99999</v>
      </c>
      <c r="P2164" s="148">
        <f>IFERROR(__xludf.DUMMYFUNCTION("""COMPUTED_VALUE"""),1.0)</f>
        <v>1</v>
      </c>
      <c r="Q2164" s="148" t="str">
        <f>IFERROR(__xludf.DUMMYFUNCTION("""COMPUTED_VALUE"""),"[""bag_other""]")</f>
        <v>["bag_other"]</v>
      </c>
      <c r="R2164" s="148" t="str">
        <f>IFERROR(__xludf.DUMMYFUNCTION("""COMPUTED_VALUE"""),"[""bag"",""40119004""]")</f>
        <v>["bag","40119004"]</v>
      </c>
      <c r="S2164" s="148" t="str">
        <f>IFERROR(__xludf.DUMMYFUNCTION("""COMPUTED_VALUE"""),"{""effect"":[{""typ"":""mecha_colour"",""id"":40119004,""val"":-1},{""typ"":""item"",""id"":11111034,""val"":10}]}")</f>
        <v>{"effect":[{"typ":"mecha_colour","id":40119004,"val":-1},{"typ":"item","id":11111034,"val":10}]}</v>
      </c>
      <c r="T2164" s="148">
        <f>IFERROR(__xludf.DUMMYFUNCTION("""COMPUTED_VALUE"""),-1.0)</f>
        <v>-1</v>
      </c>
      <c r="U2164" s="148">
        <f>IFERROR(__xludf.DUMMYFUNCTION("""COMPUTED_VALUE"""),0.0)</f>
        <v>0</v>
      </c>
      <c r="V2164" s="148" t="str">
        <f>IFERROR(__xludf.DUMMYFUNCTION("""COMPUTED_VALUE"""),"[]")</f>
        <v>[]</v>
      </c>
      <c r="W2164" s="148">
        <f>IFERROR(__xludf.DUMMYFUNCTION("""COMPUTED_VALUE"""),1.174E7)</f>
        <v>11740000</v>
      </c>
      <c r="X2164" s="148">
        <f>IFERROR(__xludf.DUMMYFUNCTION("""COMPUTED_VALUE"""),0.0)</f>
        <v>0</v>
      </c>
      <c r="Y2164" s="148">
        <f>IFERROR(__xludf.DUMMYFUNCTION("""COMPUTED_VALUE"""),0.0)</f>
        <v>0</v>
      </c>
      <c r="Z2164" s="148"/>
    </row>
    <row r="2165">
      <c r="A2165" s="148">
        <f>IFERROR(__xludf.DUMMYFUNCTION("""COMPUTED_VALUE"""),1.1118882E7)</f>
        <v>11118882</v>
      </c>
      <c r="B2165" s="148" t="str">
        <f>IFERROR(__xludf.DUMMYFUNCTION("""COMPUTED_VALUE"""),"战龟原始皮肤粉色喷漆")</f>
        <v>战龟原始皮肤粉色喷漆</v>
      </c>
      <c r="C2165" s="148"/>
      <c r="D2165" s="148" t="str">
        <f>IFERROR(__xludf.DUMMYFUNCTION("""COMPUTED_VALUE"""),"mecha_skin_colour")</f>
        <v>mecha_skin_colour</v>
      </c>
      <c r="E2165" s="148">
        <f>IFERROR(__xludf.DUMMYFUNCTION("""COMPUTED_VALUE"""),32.0)</f>
        <v>32</v>
      </c>
      <c r="F2165" s="148">
        <f>IFERROR(__xludf.DUMMYFUNCTION("""COMPUTED_VALUE"""),0.0)</f>
        <v>0</v>
      </c>
      <c r="G2165" s="148">
        <f>IFERROR(__xludf.DUMMYFUNCTION("""COMPUTED_VALUE"""),1.51100732E8)</f>
        <v>151100732</v>
      </c>
      <c r="H2165" s="148">
        <f>IFERROR(__xludf.DUMMYFUNCTION("""COMPUTED_VALUE"""),1.5112563E7)</f>
        <v>15112563</v>
      </c>
      <c r="I2165" s="148" t="str">
        <f>IFERROR(__xludf.DUMMYFUNCTION("""COMPUTED_VALUE"""),"{}")</f>
        <v>{}</v>
      </c>
      <c r="J2165" s="148" t="str">
        <f>IFERROR(__xludf.DUMMYFUNCTION("""COMPUTED_VALUE"""),"{""typ"":""lc"",""txt"":""LC_ITEM_mecha_skin_colour_name_62""}")</f>
        <v>{"typ":"lc","txt":"LC_ITEM_mecha_skin_colour_name_62"}</v>
      </c>
      <c r="K2165" s="148" t="str">
        <f>IFERROR(__xludf.DUMMYFUNCTION("""COMPUTED_VALUE"""),"{""typ"":""lc"",""txt"":""LC_ITEM_mecha_skin_colour_desc_62""}")</f>
        <v>{"typ":"lc","txt":"LC_ITEM_mecha_skin_colour_desc_62"}</v>
      </c>
      <c r="L2165" s="148" t="str">
        <f>IFERROR(__xludf.DUMMYFUNCTION("""COMPUTED_VALUE"""),"{""typ"":""lc"",""txt"":""LC_ITEM_mecha_skin_colour_use_tips_62""}")</f>
        <v>{"typ":"lc","txt":"LC_ITEM_mecha_skin_colour_use_tips_62"}</v>
      </c>
      <c r="M2165" s="148">
        <f>IFERROR(__xludf.DUMMYFUNCTION("""COMPUTED_VALUE"""),2500.0)</f>
        <v>2500</v>
      </c>
      <c r="N2165" s="148">
        <f>IFERROR(__xludf.DUMMYFUNCTION("""COMPUTED_VALUE"""),999999.0)</f>
        <v>999999</v>
      </c>
      <c r="O2165" s="148">
        <f>IFERROR(__xludf.DUMMYFUNCTION("""COMPUTED_VALUE"""),99999.0)</f>
        <v>99999</v>
      </c>
      <c r="P2165" s="148">
        <f>IFERROR(__xludf.DUMMYFUNCTION("""COMPUTED_VALUE"""),1.0)</f>
        <v>1</v>
      </c>
      <c r="Q2165" s="148" t="str">
        <f>IFERROR(__xludf.DUMMYFUNCTION("""COMPUTED_VALUE"""),"[""bag_other""]")</f>
        <v>["bag_other"]</v>
      </c>
      <c r="R2165" s="148" t="str">
        <f>IFERROR(__xludf.DUMMYFUNCTION("""COMPUTED_VALUE"""),"[""bag"",""40119005""]")</f>
        <v>["bag","40119005"]</v>
      </c>
      <c r="S2165" s="148" t="str">
        <f>IFERROR(__xludf.DUMMYFUNCTION("""COMPUTED_VALUE"""),"{""effect"":[{""typ"":""mecha_colour"",""id"":40119005,""val"":-1},{""typ"":""item"",""id"":11111034,""val"":10}]}")</f>
        <v>{"effect":[{"typ":"mecha_colour","id":40119005,"val":-1},{"typ":"item","id":11111034,"val":10}]}</v>
      </c>
      <c r="T2165" s="148">
        <f>IFERROR(__xludf.DUMMYFUNCTION("""COMPUTED_VALUE"""),-1.0)</f>
        <v>-1</v>
      </c>
      <c r="U2165" s="148">
        <f>IFERROR(__xludf.DUMMYFUNCTION("""COMPUTED_VALUE"""),0.0)</f>
        <v>0</v>
      </c>
      <c r="V2165" s="148" t="str">
        <f>IFERROR(__xludf.DUMMYFUNCTION("""COMPUTED_VALUE"""),"[]")</f>
        <v>[]</v>
      </c>
      <c r="W2165" s="148">
        <f>IFERROR(__xludf.DUMMYFUNCTION("""COMPUTED_VALUE"""),1.174E7)</f>
        <v>11740000</v>
      </c>
      <c r="X2165" s="148">
        <f>IFERROR(__xludf.DUMMYFUNCTION("""COMPUTED_VALUE"""),0.0)</f>
        <v>0</v>
      </c>
      <c r="Y2165" s="148">
        <f>IFERROR(__xludf.DUMMYFUNCTION("""COMPUTED_VALUE"""),0.0)</f>
        <v>0</v>
      </c>
      <c r="Z2165" s="148"/>
    </row>
    <row r="2166">
      <c r="A2166" s="148">
        <f>IFERROR(__xludf.DUMMYFUNCTION("""COMPUTED_VALUE"""),1.1118883E7)</f>
        <v>11118883</v>
      </c>
      <c r="B2166" s="148" t="str">
        <f>IFERROR(__xludf.DUMMYFUNCTION("""COMPUTED_VALUE"""),"战龟原始皮肤橙色喷漆")</f>
        <v>战龟原始皮肤橙色喷漆</v>
      </c>
      <c r="C2166" s="148"/>
      <c r="D2166" s="148" t="str">
        <f>IFERROR(__xludf.DUMMYFUNCTION("""COMPUTED_VALUE"""),"mecha_skin_colour")</f>
        <v>mecha_skin_colour</v>
      </c>
      <c r="E2166" s="148">
        <f>IFERROR(__xludf.DUMMYFUNCTION("""COMPUTED_VALUE"""),32.0)</f>
        <v>32</v>
      </c>
      <c r="F2166" s="148">
        <f>IFERROR(__xludf.DUMMYFUNCTION("""COMPUTED_VALUE"""),0.0)</f>
        <v>0</v>
      </c>
      <c r="G2166" s="148">
        <f>IFERROR(__xludf.DUMMYFUNCTION("""COMPUTED_VALUE"""),1.51100733E8)</f>
        <v>151100733</v>
      </c>
      <c r="H2166" s="148">
        <f>IFERROR(__xludf.DUMMYFUNCTION("""COMPUTED_VALUE"""),1.5112563E7)</f>
        <v>15112563</v>
      </c>
      <c r="I2166" s="148" t="str">
        <f>IFERROR(__xludf.DUMMYFUNCTION("""COMPUTED_VALUE"""),"{}")</f>
        <v>{}</v>
      </c>
      <c r="J2166" s="148" t="str">
        <f>IFERROR(__xludf.DUMMYFUNCTION("""COMPUTED_VALUE"""),"{""typ"":""lc"",""txt"":""LC_ITEM_mecha_skin_colour_name_63""}")</f>
        <v>{"typ":"lc","txt":"LC_ITEM_mecha_skin_colour_name_63"}</v>
      </c>
      <c r="K2166" s="148" t="str">
        <f>IFERROR(__xludf.DUMMYFUNCTION("""COMPUTED_VALUE"""),"{""typ"":""lc"",""txt"":""LC_ITEM_mecha_skin_colour_desc_63""}")</f>
        <v>{"typ":"lc","txt":"LC_ITEM_mecha_skin_colour_desc_63"}</v>
      </c>
      <c r="L2166" s="148" t="str">
        <f>IFERROR(__xludf.DUMMYFUNCTION("""COMPUTED_VALUE"""),"{""typ"":""lc"",""txt"":""LC_ITEM_mecha_skin_colour_use_tips_63""}")</f>
        <v>{"typ":"lc","txt":"LC_ITEM_mecha_skin_colour_use_tips_63"}</v>
      </c>
      <c r="M2166" s="148">
        <f>IFERROR(__xludf.DUMMYFUNCTION("""COMPUTED_VALUE"""),2500.0)</f>
        <v>2500</v>
      </c>
      <c r="N2166" s="148">
        <f>IFERROR(__xludf.DUMMYFUNCTION("""COMPUTED_VALUE"""),999999.0)</f>
        <v>999999</v>
      </c>
      <c r="O2166" s="148">
        <f>IFERROR(__xludf.DUMMYFUNCTION("""COMPUTED_VALUE"""),99999.0)</f>
        <v>99999</v>
      </c>
      <c r="P2166" s="148">
        <f>IFERROR(__xludf.DUMMYFUNCTION("""COMPUTED_VALUE"""),1.0)</f>
        <v>1</v>
      </c>
      <c r="Q2166" s="148" t="str">
        <f>IFERROR(__xludf.DUMMYFUNCTION("""COMPUTED_VALUE"""),"[""bag_other""]")</f>
        <v>["bag_other"]</v>
      </c>
      <c r="R2166" s="148" t="str">
        <f>IFERROR(__xludf.DUMMYFUNCTION("""COMPUTED_VALUE"""),"[""bag"",""40119006""]")</f>
        <v>["bag","40119006"]</v>
      </c>
      <c r="S2166" s="148" t="str">
        <f>IFERROR(__xludf.DUMMYFUNCTION("""COMPUTED_VALUE"""),"{""effect"":[{""typ"":""mecha_colour"",""id"":40119006,""val"":-1},{""typ"":""item"",""id"":11111034,""val"":10}]}")</f>
        <v>{"effect":[{"typ":"mecha_colour","id":40119006,"val":-1},{"typ":"item","id":11111034,"val":10}]}</v>
      </c>
      <c r="T2166" s="148">
        <f>IFERROR(__xludf.DUMMYFUNCTION("""COMPUTED_VALUE"""),-1.0)</f>
        <v>-1</v>
      </c>
      <c r="U2166" s="148">
        <f>IFERROR(__xludf.DUMMYFUNCTION("""COMPUTED_VALUE"""),0.0)</f>
        <v>0</v>
      </c>
      <c r="V2166" s="148" t="str">
        <f>IFERROR(__xludf.DUMMYFUNCTION("""COMPUTED_VALUE"""),"[]")</f>
        <v>[]</v>
      </c>
      <c r="W2166" s="148">
        <f>IFERROR(__xludf.DUMMYFUNCTION("""COMPUTED_VALUE"""),1.174E7)</f>
        <v>11740000</v>
      </c>
      <c r="X2166" s="148">
        <f>IFERROR(__xludf.DUMMYFUNCTION("""COMPUTED_VALUE"""),0.0)</f>
        <v>0</v>
      </c>
      <c r="Y2166" s="148">
        <f>IFERROR(__xludf.DUMMYFUNCTION("""COMPUTED_VALUE"""),0.0)</f>
        <v>0</v>
      </c>
      <c r="Z2166" s="148"/>
    </row>
    <row r="2167">
      <c r="A2167" s="148">
        <f>IFERROR(__xludf.DUMMYFUNCTION("""COMPUTED_VALUE"""),1.1118884E7)</f>
        <v>11118884</v>
      </c>
      <c r="B2167" s="148" t="str">
        <f>IFERROR(__xludf.DUMMYFUNCTION("""COMPUTED_VALUE"""),"战龟原始皮肤紫色喷漆")</f>
        <v>战龟原始皮肤紫色喷漆</v>
      </c>
      <c r="C2167" s="148"/>
      <c r="D2167" s="148" t="str">
        <f>IFERROR(__xludf.DUMMYFUNCTION("""COMPUTED_VALUE"""),"mecha_skin_colour")</f>
        <v>mecha_skin_colour</v>
      </c>
      <c r="E2167" s="148">
        <f>IFERROR(__xludf.DUMMYFUNCTION("""COMPUTED_VALUE"""),32.0)</f>
        <v>32</v>
      </c>
      <c r="F2167" s="148">
        <f>IFERROR(__xludf.DUMMYFUNCTION("""COMPUTED_VALUE"""),0.0)</f>
        <v>0</v>
      </c>
      <c r="G2167" s="148">
        <f>IFERROR(__xludf.DUMMYFUNCTION("""COMPUTED_VALUE"""),1.51100734E8)</f>
        <v>151100734</v>
      </c>
      <c r="H2167" s="148">
        <f>IFERROR(__xludf.DUMMYFUNCTION("""COMPUTED_VALUE"""),1.5112563E7)</f>
        <v>15112563</v>
      </c>
      <c r="I2167" s="148" t="str">
        <f>IFERROR(__xludf.DUMMYFUNCTION("""COMPUTED_VALUE"""),"{}")</f>
        <v>{}</v>
      </c>
      <c r="J2167" s="148" t="str">
        <f>IFERROR(__xludf.DUMMYFUNCTION("""COMPUTED_VALUE"""),"{""typ"":""lc"",""txt"":""LC_ITEM_mecha_skin_colour_name_64""}")</f>
        <v>{"typ":"lc","txt":"LC_ITEM_mecha_skin_colour_name_64"}</v>
      </c>
      <c r="K2167" s="148" t="str">
        <f>IFERROR(__xludf.DUMMYFUNCTION("""COMPUTED_VALUE"""),"{""typ"":""lc"",""txt"":""LC_ITEM_mecha_skin_colour_desc_64""}")</f>
        <v>{"typ":"lc","txt":"LC_ITEM_mecha_skin_colour_desc_64"}</v>
      </c>
      <c r="L2167" s="148" t="str">
        <f>IFERROR(__xludf.DUMMYFUNCTION("""COMPUTED_VALUE"""),"{""typ"":""lc"",""txt"":""LC_ITEM_mecha_skin_colour_use_tips_64""}")</f>
        <v>{"typ":"lc","txt":"LC_ITEM_mecha_skin_colour_use_tips_64"}</v>
      </c>
      <c r="M2167" s="148">
        <f>IFERROR(__xludf.DUMMYFUNCTION("""COMPUTED_VALUE"""),2500.0)</f>
        <v>2500</v>
      </c>
      <c r="N2167" s="148">
        <f>IFERROR(__xludf.DUMMYFUNCTION("""COMPUTED_VALUE"""),999999.0)</f>
        <v>999999</v>
      </c>
      <c r="O2167" s="148">
        <f>IFERROR(__xludf.DUMMYFUNCTION("""COMPUTED_VALUE"""),99999.0)</f>
        <v>99999</v>
      </c>
      <c r="P2167" s="148">
        <f>IFERROR(__xludf.DUMMYFUNCTION("""COMPUTED_VALUE"""),1.0)</f>
        <v>1</v>
      </c>
      <c r="Q2167" s="148" t="str">
        <f>IFERROR(__xludf.DUMMYFUNCTION("""COMPUTED_VALUE"""),"[""bag_other""]")</f>
        <v>["bag_other"]</v>
      </c>
      <c r="R2167" s="148" t="str">
        <f>IFERROR(__xludf.DUMMYFUNCTION("""COMPUTED_VALUE"""),"[""bag"",""40119007""]")</f>
        <v>["bag","40119007"]</v>
      </c>
      <c r="S2167" s="148" t="str">
        <f>IFERROR(__xludf.DUMMYFUNCTION("""COMPUTED_VALUE"""),"{""effect"":[{""typ"":""mecha_colour"",""id"":40119007,""val"":-1},{""typ"":""item"",""id"":11111034,""val"":10}]}")</f>
        <v>{"effect":[{"typ":"mecha_colour","id":40119007,"val":-1},{"typ":"item","id":11111034,"val":10}]}</v>
      </c>
      <c r="T2167" s="148">
        <f>IFERROR(__xludf.DUMMYFUNCTION("""COMPUTED_VALUE"""),-1.0)</f>
        <v>-1</v>
      </c>
      <c r="U2167" s="148">
        <f>IFERROR(__xludf.DUMMYFUNCTION("""COMPUTED_VALUE"""),0.0)</f>
        <v>0</v>
      </c>
      <c r="V2167" s="148" t="str">
        <f>IFERROR(__xludf.DUMMYFUNCTION("""COMPUTED_VALUE"""),"[]")</f>
        <v>[]</v>
      </c>
      <c r="W2167" s="148">
        <f>IFERROR(__xludf.DUMMYFUNCTION("""COMPUTED_VALUE"""),1.174E7)</f>
        <v>11740000</v>
      </c>
      <c r="X2167" s="148">
        <f>IFERROR(__xludf.DUMMYFUNCTION("""COMPUTED_VALUE"""),0.0)</f>
        <v>0</v>
      </c>
      <c r="Y2167" s="148">
        <f>IFERROR(__xludf.DUMMYFUNCTION("""COMPUTED_VALUE"""),0.0)</f>
        <v>0</v>
      </c>
      <c r="Z2167" s="148"/>
    </row>
    <row r="2168">
      <c r="A2168" s="148">
        <f>IFERROR(__xludf.DUMMYFUNCTION("""COMPUTED_VALUE"""),1.1118885E7)</f>
        <v>11118885</v>
      </c>
      <c r="B2168" s="148" t="str">
        <f>IFERROR(__xludf.DUMMYFUNCTION("""COMPUTED_VALUE"""),"雄狮新春舞狮皮肤")</f>
        <v>雄狮新春舞狮皮肤</v>
      </c>
      <c r="C2168" s="148"/>
      <c r="D2168" s="148" t="str">
        <f>IFERROR(__xludf.DUMMYFUNCTION("""COMPUTED_VALUE"""),"mecha_skin")</f>
        <v>mecha_skin</v>
      </c>
      <c r="E2168" s="148">
        <f>IFERROR(__xludf.DUMMYFUNCTION("""COMPUTED_VALUE"""),31.0)</f>
        <v>31</v>
      </c>
      <c r="F2168" s="148">
        <f>IFERROR(__xludf.DUMMYFUNCTION("""COMPUTED_VALUE"""),0.0)</f>
        <v>0</v>
      </c>
      <c r="G2168" s="148">
        <f>IFERROR(__xludf.DUMMYFUNCTION("""COMPUTED_VALUE"""),1.51101306E8)</f>
        <v>151101306</v>
      </c>
      <c r="H2168" s="148">
        <f>IFERROR(__xludf.DUMMYFUNCTION("""COMPUTED_VALUE"""),1.5112564E7)</f>
        <v>15112564</v>
      </c>
      <c r="I2168" s="148" t="str">
        <f>IFERROR(__xludf.DUMMYFUNCTION("""COMPUTED_VALUE"""),"{}")</f>
        <v>{}</v>
      </c>
      <c r="J2168" s="148" t="str">
        <f>IFERROR(__xludf.DUMMYFUNCTION("""COMPUTED_VALUE"""),"{""typ"":""lc"",""txt"":""LC_HERO_mecha_name_wushi_item""}")</f>
        <v>{"typ":"lc","txt":"LC_HERO_mecha_name_wushi_item"}</v>
      </c>
      <c r="K2168" s="148" t="str">
        <f>IFERROR(__xludf.DUMMYFUNCTION("""COMPUTED_VALUE"""),"{""typ"":""lc"",""txt"":""LC_HERO_mecha_skin_src_wushi_item""}")</f>
        <v>{"typ":"lc","txt":"LC_HERO_mecha_skin_src_wushi_item"}</v>
      </c>
      <c r="L2168" s="148" t="str">
        <f>IFERROR(__xludf.DUMMYFUNCTION("""COMPUTED_VALUE"""),"{""typ"":""lc"",""txt"":""LC_HERO_mecha_skin_src_wushi_tips""}")</f>
        <v>{"typ":"lc","txt":"LC_HERO_mecha_skin_src_wushi_tips"}</v>
      </c>
      <c r="M2168" s="148">
        <f>IFERROR(__xludf.DUMMYFUNCTION("""COMPUTED_VALUE"""),500.0)</f>
        <v>500</v>
      </c>
      <c r="N2168" s="148">
        <f>IFERROR(__xludf.DUMMYFUNCTION("""COMPUTED_VALUE"""),5.0)</f>
        <v>5</v>
      </c>
      <c r="O2168" s="148">
        <f>IFERROR(__xludf.DUMMYFUNCTION("""COMPUTED_VALUE"""),1.0)</f>
        <v>1</v>
      </c>
      <c r="P2168" s="148">
        <f>IFERROR(__xludf.DUMMYFUNCTION("""COMPUTED_VALUE"""),1.0)</f>
        <v>1</v>
      </c>
      <c r="Q2168" s="148" t="str">
        <f>IFERROR(__xludf.DUMMYFUNCTION("""COMPUTED_VALUE"""),"[""bag_other""]")</f>
        <v>["bag_other"]</v>
      </c>
      <c r="R2168" s="148" t="str">
        <f>IFERROR(__xludf.DUMMYFUNCTION("""COMPUTED_VALUE"""),"[""bag"",""40107101""]")</f>
        <v>["bag","40107101"]</v>
      </c>
      <c r="S2168" s="148" t="str">
        <f>IFERROR(__xludf.DUMMYFUNCTION("""COMPUTED_VALUE"""),"{""effect"":[{""typ"":""mecha_skin"",""id"":40107101,""val"":-1},{""typ"":""item"",""id"":11111034,""val"":10}]}")</f>
        <v>{"effect":[{"typ":"mecha_skin","id":40107101,"val":-1},{"typ":"item","id":11111034,"val":10}]}</v>
      </c>
      <c r="T2168" s="148">
        <f>IFERROR(__xludf.DUMMYFUNCTION("""COMPUTED_VALUE"""),-1.0)</f>
        <v>-1</v>
      </c>
      <c r="U2168" s="148">
        <f>IFERROR(__xludf.DUMMYFUNCTION("""COMPUTED_VALUE"""),0.0)</f>
        <v>0</v>
      </c>
      <c r="V2168" s="148" t="str">
        <f>IFERROR(__xludf.DUMMYFUNCTION("""COMPUTED_VALUE"""),"[]")</f>
        <v>[]</v>
      </c>
      <c r="W2168" s="148">
        <f>IFERROR(__xludf.DUMMYFUNCTION("""COMPUTED_VALUE"""),1.174E7)</f>
        <v>11740000</v>
      </c>
      <c r="X2168" s="148">
        <f>IFERROR(__xludf.DUMMYFUNCTION("""COMPUTED_VALUE"""),0.0)</f>
        <v>0</v>
      </c>
      <c r="Y2168" s="148">
        <f>IFERROR(__xludf.DUMMYFUNCTION("""COMPUTED_VALUE"""),0.0)</f>
        <v>0</v>
      </c>
      <c r="Z2168" s="148"/>
    </row>
    <row r="2169">
      <c r="A2169" s="148">
        <f>IFERROR(__xludf.DUMMYFUNCTION("""COMPUTED_VALUE"""),1.1118886E7)</f>
        <v>11118886</v>
      </c>
      <c r="B2169" s="148" t="str">
        <f>IFERROR(__xludf.DUMMYFUNCTION("""COMPUTED_VALUE"""),"猎豹科技节喷漆")</f>
        <v>猎豹科技节喷漆</v>
      </c>
      <c r="C2169" s="148"/>
      <c r="D2169" s="148" t="str">
        <f>IFERROR(__xludf.DUMMYFUNCTION("""COMPUTED_VALUE"""),"mecha_skin_colour")</f>
        <v>mecha_skin_colour</v>
      </c>
      <c r="E2169" s="148">
        <f>IFERROR(__xludf.DUMMYFUNCTION("""COMPUTED_VALUE"""),32.0)</f>
        <v>32</v>
      </c>
      <c r="F2169" s="148">
        <f>IFERROR(__xludf.DUMMYFUNCTION("""COMPUTED_VALUE"""),0.0)</f>
        <v>0</v>
      </c>
      <c r="G2169" s="148">
        <f>IFERROR(__xludf.DUMMYFUNCTION("""COMPUTED_VALUE"""),1.51101539E8)</f>
        <v>151101539</v>
      </c>
      <c r="H2169" s="148">
        <f>IFERROR(__xludf.DUMMYFUNCTION("""COMPUTED_VALUE"""),1.5112563E7)</f>
        <v>15112563</v>
      </c>
      <c r="I2169" s="148" t="str">
        <f>IFERROR(__xludf.DUMMYFUNCTION("""COMPUTED_VALUE"""),"{}")</f>
        <v>{}</v>
      </c>
      <c r="J2169" s="148" t="str">
        <f>IFERROR(__xludf.DUMMYFUNCTION("""COMPUTED_VALUE"""),"{""typ"":""lc"",""txt"":""LC_HERO_mecha_skin_colour_item_name_65""}")</f>
        <v>{"typ":"lc","txt":"LC_HERO_mecha_skin_colour_item_name_65"}</v>
      </c>
      <c r="K2169" s="148" t="str">
        <f>IFERROR(__xludf.DUMMYFUNCTION("""COMPUTED_VALUE"""),"{""typ"":""lc"",""txt"":""LC_HERO_mecha_skin_colour_use_tips_65""}")</f>
        <v>{"typ":"lc","txt":"LC_HERO_mecha_skin_colour_use_tips_65"}</v>
      </c>
      <c r="L2169" s="148" t="str">
        <f>IFERROR(__xludf.DUMMYFUNCTION("""COMPUTED_VALUE"""),"{""typ"":""lc"",""txt"":""LC_HERO_mecha_skin_colour_item_tips_65""}")</f>
        <v>{"typ":"lc","txt":"LC_HERO_mecha_skin_colour_item_tips_65"}</v>
      </c>
      <c r="M2169" s="148">
        <f>IFERROR(__xludf.DUMMYFUNCTION("""COMPUTED_VALUE"""),2500.0)</f>
        <v>2500</v>
      </c>
      <c r="N2169" s="148">
        <f>IFERROR(__xludf.DUMMYFUNCTION("""COMPUTED_VALUE"""),999999.0)</f>
        <v>999999</v>
      </c>
      <c r="O2169" s="148">
        <f>IFERROR(__xludf.DUMMYFUNCTION("""COMPUTED_VALUE"""),99999.0)</f>
        <v>99999</v>
      </c>
      <c r="P2169" s="148">
        <f>IFERROR(__xludf.DUMMYFUNCTION("""COMPUTED_VALUE"""),1.0)</f>
        <v>1</v>
      </c>
      <c r="Q2169" s="148" t="str">
        <f>IFERROR(__xludf.DUMMYFUNCTION("""COMPUTED_VALUE"""),"[""bag_other""]")</f>
        <v>["bag_other"]</v>
      </c>
      <c r="R2169" s="148" t="str">
        <f>IFERROR(__xludf.DUMMYFUNCTION("""COMPUTED_VALUE"""),"[""bag"",""40113008""]")</f>
        <v>["bag","40113008"]</v>
      </c>
      <c r="S2169" s="148" t="str">
        <f>IFERROR(__xludf.DUMMYFUNCTION("""COMPUTED_VALUE"""),"{""effect"":[{""typ"":""mecha_colour"",""id"":40113008,""val"":-1},{""typ"":""item"",""id"":11111034,""val"":10}]}")</f>
        <v>{"effect":[{"typ":"mecha_colour","id":40113008,"val":-1},{"typ":"item","id":11111034,"val":10}]}</v>
      </c>
      <c r="T2169" s="148">
        <f>IFERROR(__xludf.DUMMYFUNCTION("""COMPUTED_VALUE"""),-1.0)</f>
        <v>-1</v>
      </c>
      <c r="U2169" s="148">
        <f>IFERROR(__xludf.DUMMYFUNCTION("""COMPUTED_VALUE"""),0.0)</f>
        <v>0</v>
      </c>
      <c r="V2169" s="148" t="str">
        <f>IFERROR(__xludf.DUMMYFUNCTION("""COMPUTED_VALUE"""),"[]")</f>
        <v>[]</v>
      </c>
      <c r="W2169" s="148">
        <f>IFERROR(__xludf.DUMMYFUNCTION("""COMPUTED_VALUE"""),1.174E7)</f>
        <v>11740000</v>
      </c>
      <c r="X2169" s="148">
        <f>IFERROR(__xludf.DUMMYFUNCTION("""COMPUTED_VALUE"""),0.0)</f>
        <v>0</v>
      </c>
      <c r="Y2169" s="148">
        <f>IFERROR(__xludf.DUMMYFUNCTION("""COMPUTED_VALUE"""),0.0)</f>
        <v>0</v>
      </c>
      <c r="Z2169" s="148"/>
    </row>
    <row r="2170">
      <c r="A2170" s="148">
        <f>IFERROR(__xludf.DUMMYFUNCTION("""COMPUTED_VALUE"""),1.1118887E7)</f>
        <v>11118887</v>
      </c>
      <c r="B2170" s="148" t="str">
        <f>IFERROR(__xludf.DUMMYFUNCTION("""COMPUTED_VALUE"""),"雄狮科技节喷漆")</f>
        <v>雄狮科技节喷漆</v>
      </c>
      <c r="C2170" s="148"/>
      <c r="D2170" s="148" t="str">
        <f>IFERROR(__xludf.DUMMYFUNCTION("""COMPUTED_VALUE"""),"mecha_skin_colour")</f>
        <v>mecha_skin_colour</v>
      </c>
      <c r="E2170" s="148">
        <f>IFERROR(__xludf.DUMMYFUNCTION("""COMPUTED_VALUE"""),32.0)</f>
        <v>32</v>
      </c>
      <c r="F2170" s="148">
        <f>IFERROR(__xludf.DUMMYFUNCTION("""COMPUTED_VALUE"""),0.0)</f>
        <v>0</v>
      </c>
      <c r="G2170" s="148">
        <f>IFERROR(__xludf.DUMMYFUNCTION("""COMPUTED_VALUE"""),1.51101542E8)</f>
        <v>151101542</v>
      </c>
      <c r="H2170" s="148">
        <f>IFERROR(__xludf.DUMMYFUNCTION("""COMPUTED_VALUE"""),1.5112563E7)</f>
        <v>15112563</v>
      </c>
      <c r="I2170" s="148" t="str">
        <f>IFERROR(__xludf.DUMMYFUNCTION("""COMPUTED_VALUE"""),"{}")</f>
        <v>{}</v>
      </c>
      <c r="J2170" s="148" t="str">
        <f>IFERROR(__xludf.DUMMYFUNCTION("""COMPUTED_VALUE"""),"{""typ"":""lc"",""txt"":""LC_HERO_mecha_skin_colour_item_name_66""}")</f>
        <v>{"typ":"lc","txt":"LC_HERO_mecha_skin_colour_item_name_66"}</v>
      </c>
      <c r="K2170" s="148" t="str">
        <f>IFERROR(__xludf.DUMMYFUNCTION("""COMPUTED_VALUE"""),"{""typ"":""lc"",""txt"":""LC_HERO_mecha_skin_colour_use_tips_66""}")</f>
        <v>{"typ":"lc","txt":"LC_HERO_mecha_skin_colour_use_tips_66"}</v>
      </c>
      <c r="L2170" s="148" t="str">
        <f>IFERROR(__xludf.DUMMYFUNCTION("""COMPUTED_VALUE"""),"{""typ"":""lc"",""txt"":""LC_HERO_mecha_skin_colour_item_tips_66""}")</f>
        <v>{"typ":"lc","txt":"LC_HERO_mecha_skin_colour_item_tips_66"}</v>
      </c>
      <c r="M2170" s="148">
        <f>IFERROR(__xludf.DUMMYFUNCTION("""COMPUTED_VALUE"""),2500.0)</f>
        <v>2500</v>
      </c>
      <c r="N2170" s="148">
        <f>IFERROR(__xludf.DUMMYFUNCTION("""COMPUTED_VALUE"""),999999.0)</f>
        <v>999999</v>
      </c>
      <c r="O2170" s="148">
        <f>IFERROR(__xludf.DUMMYFUNCTION("""COMPUTED_VALUE"""),99999.0)</f>
        <v>99999</v>
      </c>
      <c r="P2170" s="148">
        <f>IFERROR(__xludf.DUMMYFUNCTION("""COMPUTED_VALUE"""),1.0)</f>
        <v>1</v>
      </c>
      <c r="Q2170" s="148" t="str">
        <f>IFERROR(__xludf.DUMMYFUNCTION("""COMPUTED_VALUE"""),"[""bag_other""]")</f>
        <v>["bag_other"]</v>
      </c>
      <c r="R2170" s="148" t="str">
        <f>IFERROR(__xludf.DUMMYFUNCTION("""COMPUTED_VALUE"""),"[""bag"",""40117008""]")</f>
        <v>["bag","40117008"]</v>
      </c>
      <c r="S2170" s="148" t="str">
        <f>IFERROR(__xludf.DUMMYFUNCTION("""COMPUTED_VALUE"""),"{""effect"":[{""typ"":""mecha_colour"",""id"":40117008,""val"":-1},{""typ"":""item"",""id"":11111034,""val"":10}]}")</f>
        <v>{"effect":[{"typ":"mecha_colour","id":40117008,"val":-1},{"typ":"item","id":11111034,"val":10}]}</v>
      </c>
      <c r="T2170" s="148">
        <f>IFERROR(__xludf.DUMMYFUNCTION("""COMPUTED_VALUE"""),-1.0)</f>
        <v>-1</v>
      </c>
      <c r="U2170" s="148">
        <f>IFERROR(__xludf.DUMMYFUNCTION("""COMPUTED_VALUE"""),0.0)</f>
        <v>0</v>
      </c>
      <c r="V2170" s="148" t="str">
        <f>IFERROR(__xludf.DUMMYFUNCTION("""COMPUTED_VALUE"""),"[]")</f>
        <v>[]</v>
      </c>
      <c r="W2170" s="148">
        <f>IFERROR(__xludf.DUMMYFUNCTION("""COMPUTED_VALUE"""),1.174E7)</f>
        <v>11740000</v>
      </c>
      <c r="X2170" s="148">
        <f>IFERROR(__xludf.DUMMYFUNCTION("""COMPUTED_VALUE"""),0.0)</f>
        <v>0</v>
      </c>
      <c r="Y2170" s="148">
        <f>IFERROR(__xludf.DUMMYFUNCTION("""COMPUTED_VALUE"""),0.0)</f>
        <v>0</v>
      </c>
      <c r="Z2170" s="148"/>
    </row>
    <row r="2171">
      <c r="A2171" s="148">
        <f>IFERROR(__xludf.DUMMYFUNCTION("""COMPUTED_VALUE"""),1.1118888E7)</f>
        <v>11118888</v>
      </c>
      <c r="B2171" s="148" t="str">
        <f>IFERROR(__xludf.DUMMYFUNCTION("""COMPUTED_VALUE"""),"猎豹剑齿虎皮肤")</f>
        <v>猎豹剑齿虎皮肤</v>
      </c>
      <c r="C2171" s="148"/>
      <c r="D2171" s="148" t="str">
        <f>IFERROR(__xludf.DUMMYFUNCTION("""COMPUTED_VALUE"""),"mecha_skin")</f>
        <v>mecha_skin</v>
      </c>
      <c r="E2171" s="148">
        <f>IFERROR(__xludf.DUMMYFUNCTION("""COMPUTED_VALUE"""),31.0)</f>
        <v>31</v>
      </c>
      <c r="F2171" s="148">
        <f>IFERROR(__xludf.DUMMYFUNCTION("""COMPUTED_VALUE"""),0.0)</f>
        <v>0</v>
      </c>
      <c r="G2171" s="148">
        <f>IFERROR(__xludf.DUMMYFUNCTION("""COMPUTED_VALUE"""),1.51101676E8)</f>
        <v>151101676</v>
      </c>
      <c r="H2171" s="148">
        <f>IFERROR(__xludf.DUMMYFUNCTION("""COMPUTED_VALUE"""),1.5112564E7)</f>
        <v>15112564</v>
      </c>
      <c r="I2171" s="148" t="str">
        <f>IFERROR(__xludf.DUMMYFUNCTION("""COMPUTED_VALUE"""),"{}")</f>
        <v>{}</v>
      </c>
      <c r="J2171" s="148" t="str">
        <f>IFERROR(__xludf.DUMMYFUNCTION("""COMPUTED_VALUE"""),"{""typ"":""lc"",""txt"":""LC_HERO_mecha_name_jianchihu_item""}")</f>
        <v>{"typ":"lc","txt":"LC_HERO_mecha_name_jianchihu_item"}</v>
      </c>
      <c r="K2171" s="148" t="str">
        <f>IFERROR(__xludf.DUMMYFUNCTION("""COMPUTED_VALUE"""),"{""typ"":""lc"",""txt"":""LC_HERO_mecha_skin_src_jianchihu_item""}")</f>
        <v>{"typ":"lc","txt":"LC_HERO_mecha_skin_src_jianchihu_item"}</v>
      </c>
      <c r="L2171" s="148" t="str">
        <f>IFERROR(__xludf.DUMMYFUNCTION("""COMPUTED_VALUE"""),"{""typ"":""lc"",""txt"":""LC_HERO_mecha_skin_src_jianchihu_tips""}")</f>
        <v>{"typ":"lc","txt":"LC_HERO_mecha_skin_src_jianchihu_tips"}</v>
      </c>
      <c r="M2171" s="148">
        <f>IFERROR(__xludf.DUMMYFUNCTION("""COMPUTED_VALUE"""),500.0)</f>
        <v>500</v>
      </c>
      <c r="N2171" s="148">
        <f>IFERROR(__xludf.DUMMYFUNCTION("""COMPUTED_VALUE"""),5.0)</f>
        <v>5</v>
      </c>
      <c r="O2171" s="148">
        <f>IFERROR(__xludf.DUMMYFUNCTION("""COMPUTED_VALUE"""),1.0)</f>
        <v>1</v>
      </c>
      <c r="P2171" s="148">
        <f>IFERROR(__xludf.DUMMYFUNCTION("""COMPUTED_VALUE"""),1.0)</f>
        <v>1</v>
      </c>
      <c r="Q2171" s="148" t="str">
        <f>IFERROR(__xludf.DUMMYFUNCTION("""COMPUTED_VALUE"""),"[""bag_other""]")</f>
        <v>["bag_other"]</v>
      </c>
      <c r="R2171" s="148" t="str">
        <f>IFERROR(__xludf.DUMMYFUNCTION("""COMPUTED_VALUE"""),"[""bag"",""40113101""]")</f>
        <v>["bag","40113101"]</v>
      </c>
      <c r="S2171" s="148" t="str">
        <f>IFERROR(__xludf.DUMMYFUNCTION("""COMPUTED_VALUE"""),"{""effect"":[{""typ"":""mecha_skin"",""id"":40103101,""val"":-1},{""typ"":""item"",""id"":11111034,""val"":10}]}")</f>
        <v>{"effect":[{"typ":"mecha_skin","id":40103101,"val":-1},{"typ":"item","id":11111034,"val":10}]}</v>
      </c>
      <c r="T2171" s="148">
        <f>IFERROR(__xludf.DUMMYFUNCTION("""COMPUTED_VALUE"""),-1.0)</f>
        <v>-1</v>
      </c>
      <c r="U2171" s="148">
        <f>IFERROR(__xludf.DUMMYFUNCTION("""COMPUTED_VALUE"""),0.0)</f>
        <v>0</v>
      </c>
      <c r="V2171" s="148" t="str">
        <f>IFERROR(__xludf.DUMMYFUNCTION("""COMPUTED_VALUE"""),"[]")</f>
        <v>[]</v>
      </c>
      <c r="W2171" s="148">
        <f>IFERROR(__xludf.DUMMYFUNCTION("""COMPUTED_VALUE"""),1.174E7)</f>
        <v>11740000</v>
      </c>
      <c r="X2171" s="148">
        <f>IFERROR(__xludf.DUMMYFUNCTION("""COMPUTED_VALUE"""),0.0)</f>
        <v>0</v>
      </c>
      <c r="Y2171" s="148">
        <f>IFERROR(__xludf.DUMMYFUNCTION("""COMPUTED_VALUE"""),0.0)</f>
        <v>0</v>
      </c>
      <c r="Z2171" s="148"/>
    </row>
    <row r="2172">
      <c r="A2172" s="148">
        <f>IFERROR(__xludf.DUMMYFUNCTION("""COMPUTED_VALUE"""),1.1118889E7)</f>
        <v>11118889</v>
      </c>
      <c r="B2172" s="148" t="str">
        <f>IFERROR(__xludf.DUMMYFUNCTION("""COMPUTED_VALUE"""),"蜘蛛原始皮肤红色喷漆")</f>
        <v>蜘蛛原始皮肤红色喷漆</v>
      </c>
      <c r="C2172" s="148"/>
      <c r="D2172" s="148" t="str">
        <f>IFERROR(__xludf.DUMMYFUNCTION("""COMPUTED_VALUE"""),"mecha_skin_colour")</f>
        <v>mecha_skin_colour</v>
      </c>
      <c r="E2172" s="148">
        <f>IFERROR(__xludf.DUMMYFUNCTION("""COMPUTED_VALUE"""),32.0)</f>
        <v>32</v>
      </c>
      <c r="F2172" s="148">
        <f>IFERROR(__xludf.DUMMYFUNCTION("""COMPUTED_VALUE"""),0.0)</f>
        <v>0</v>
      </c>
      <c r="G2172" s="148">
        <f>IFERROR(__xludf.DUMMYFUNCTION("""COMPUTED_VALUE"""),1.51101803E8)</f>
        <v>151101803</v>
      </c>
      <c r="H2172" s="148">
        <f>IFERROR(__xludf.DUMMYFUNCTION("""COMPUTED_VALUE"""),1.5112563E7)</f>
        <v>15112563</v>
      </c>
      <c r="I2172" s="148" t="str">
        <f>IFERROR(__xludf.DUMMYFUNCTION("""COMPUTED_VALUE"""),"{}")</f>
        <v>{}</v>
      </c>
      <c r="J2172" s="148" t="str">
        <f>IFERROR(__xludf.DUMMYFUNCTION("""COMPUTED_VALUE"""),"{""typ"":""lc"",""txt"":""LC_HERO_mecha_skin_colour_name_67""}")</f>
        <v>{"typ":"lc","txt":"LC_HERO_mecha_skin_colour_name_67"}</v>
      </c>
      <c r="K2172" s="148" t="str">
        <f>IFERROR(__xludf.DUMMYFUNCTION("""COMPUTED_VALUE"""),"{""typ"":""lc"",""txt"":""LC_HERO_mecha_skin_colour_desc_67""}")</f>
        <v>{"typ":"lc","txt":"LC_HERO_mecha_skin_colour_desc_67"}</v>
      </c>
      <c r="L2172" s="148" t="str">
        <f>IFERROR(__xludf.DUMMYFUNCTION("""COMPUTED_VALUE"""),"{""typ"":""lc"",""txt"":""LC_HERO_mecha_skin_colour_use_tips_67""}")</f>
        <v>{"typ":"lc","txt":"LC_HERO_mecha_skin_colour_use_tips_67"}</v>
      </c>
      <c r="M2172" s="148">
        <f>IFERROR(__xludf.DUMMYFUNCTION("""COMPUTED_VALUE"""),2500.0)</f>
        <v>2500</v>
      </c>
      <c r="N2172" s="148">
        <f>IFERROR(__xludf.DUMMYFUNCTION("""COMPUTED_VALUE"""),999999.0)</f>
        <v>999999</v>
      </c>
      <c r="O2172" s="148">
        <f>IFERROR(__xludf.DUMMYFUNCTION("""COMPUTED_VALUE"""),99999.0)</f>
        <v>99999</v>
      </c>
      <c r="P2172" s="148">
        <f>IFERROR(__xludf.DUMMYFUNCTION("""COMPUTED_VALUE"""),1.0)</f>
        <v>1</v>
      </c>
      <c r="Q2172" s="148" t="str">
        <f>IFERROR(__xludf.DUMMYFUNCTION("""COMPUTED_VALUE"""),"[""bag_other""]")</f>
        <v>["bag_other"]</v>
      </c>
      <c r="R2172" s="148" t="str">
        <f>IFERROR(__xludf.DUMMYFUNCTION("""COMPUTED_VALUE"""),"[""bag"",""401111002""]")</f>
        <v>["bag","401111002"]</v>
      </c>
      <c r="S2172" s="148" t="str">
        <f>IFERROR(__xludf.DUMMYFUNCTION("""COMPUTED_VALUE"""),"{""effect"":[{""typ"":""mecha_colour"",""id"":401111002,""val"":-1},{""typ"":""item"",""id"":11111034,""val"":10}]}")</f>
        <v>{"effect":[{"typ":"mecha_colour","id":401111002,"val":-1},{"typ":"item","id":11111034,"val":10}]}</v>
      </c>
      <c r="T2172" s="148">
        <f>IFERROR(__xludf.DUMMYFUNCTION("""COMPUTED_VALUE"""),-1.0)</f>
        <v>-1</v>
      </c>
      <c r="U2172" s="148">
        <f>IFERROR(__xludf.DUMMYFUNCTION("""COMPUTED_VALUE"""),0.0)</f>
        <v>0</v>
      </c>
      <c r="V2172" s="148" t="str">
        <f>IFERROR(__xludf.DUMMYFUNCTION("""COMPUTED_VALUE"""),"[]")</f>
        <v>[]</v>
      </c>
      <c r="W2172" s="148">
        <f>IFERROR(__xludf.DUMMYFUNCTION("""COMPUTED_VALUE"""),1.174E7)</f>
        <v>11740000</v>
      </c>
      <c r="X2172" s="148">
        <f>IFERROR(__xludf.DUMMYFUNCTION("""COMPUTED_VALUE"""),0.0)</f>
        <v>0</v>
      </c>
      <c r="Y2172" s="148">
        <f>IFERROR(__xludf.DUMMYFUNCTION("""COMPUTED_VALUE"""),0.0)</f>
        <v>0</v>
      </c>
      <c r="Z2172" s="148"/>
    </row>
    <row r="2173">
      <c r="A2173" s="148">
        <f>IFERROR(__xludf.DUMMYFUNCTION("""COMPUTED_VALUE"""),1.111889E7)</f>
        <v>11118890</v>
      </c>
      <c r="B2173" s="148" t="str">
        <f>IFERROR(__xludf.DUMMYFUNCTION("""COMPUTED_VALUE"""),"蜘蛛原始皮肤绿色喷漆")</f>
        <v>蜘蛛原始皮肤绿色喷漆</v>
      </c>
      <c r="C2173" s="148"/>
      <c r="D2173" s="148" t="str">
        <f>IFERROR(__xludf.DUMMYFUNCTION("""COMPUTED_VALUE"""),"mecha_skin_colour")</f>
        <v>mecha_skin_colour</v>
      </c>
      <c r="E2173" s="148">
        <f>IFERROR(__xludf.DUMMYFUNCTION("""COMPUTED_VALUE"""),32.0)</f>
        <v>32</v>
      </c>
      <c r="F2173" s="148">
        <f>IFERROR(__xludf.DUMMYFUNCTION("""COMPUTED_VALUE"""),0.0)</f>
        <v>0</v>
      </c>
      <c r="G2173" s="148">
        <f>IFERROR(__xludf.DUMMYFUNCTION("""COMPUTED_VALUE"""),1.51101804E8)</f>
        <v>151101804</v>
      </c>
      <c r="H2173" s="148">
        <f>IFERROR(__xludf.DUMMYFUNCTION("""COMPUTED_VALUE"""),1.5112563E7)</f>
        <v>15112563</v>
      </c>
      <c r="I2173" s="148" t="str">
        <f>IFERROR(__xludf.DUMMYFUNCTION("""COMPUTED_VALUE"""),"{}")</f>
        <v>{}</v>
      </c>
      <c r="J2173" s="148" t="str">
        <f>IFERROR(__xludf.DUMMYFUNCTION("""COMPUTED_VALUE"""),"{""typ"":""lc"",""txt"":""LC_HERO_mecha_skin_colour_name_68""}")</f>
        <v>{"typ":"lc","txt":"LC_HERO_mecha_skin_colour_name_68"}</v>
      </c>
      <c r="K2173" s="148" t="str">
        <f>IFERROR(__xludf.DUMMYFUNCTION("""COMPUTED_VALUE"""),"{""typ"":""lc"",""txt"":""LC_HERO_mecha_skin_colour_desc_68""}")</f>
        <v>{"typ":"lc","txt":"LC_HERO_mecha_skin_colour_desc_68"}</v>
      </c>
      <c r="L2173" s="148" t="str">
        <f>IFERROR(__xludf.DUMMYFUNCTION("""COMPUTED_VALUE"""),"{""typ"":""lc"",""txt"":""LC_HERO_mecha_skin_colour_use_tips_68""}")</f>
        <v>{"typ":"lc","txt":"LC_HERO_mecha_skin_colour_use_tips_68"}</v>
      </c>
      <c r="M2173" s="148">
        <f>IFERROR(__xludf.DUMMYFUNCTION("""COMPUTED_VALUE"""),2500.0)</f>
        <v>2500</v>
      </c>
      <c r="N2173" s="148">
        <f>IFERROR(__xludf.DUMMYFUNCTION("""COMPUTED_VALUE"""),999999.0)</f>
        <v>999999</v>
      </c>
      <c r="O2173" s="148">
        <f>IFERROR(__xludf.DUMMYFUNCTION("""COMPUTED_VALUE"""),99999.0)</f>
        <v>99999</v>
      </c>
      <c r="P2173" s="148">
        <f>IFERROR(__xludf.DUMMYFUNCTION("""COMPUTED_VALUE"""),1.0)</f>
        <v>1</v>
      </c>
      <c r="Q2173" s="148" t="str">
        <f>IFERROR(__xludf.DUMMYFUNCTION("""COMPUTED_VALUE"""),"[""bag_other""]")</f>
        <v>["bag_other"]</v>
      </c>
      <c r="R2173" s="148" t="str">
        <f>IFERROR(__xludf.DUMMYFUNCTION("""COMPUTED_VALUE"""),"[""bag"",""401111003""]")</f>
        <v>["bag","401111003"]</v>
      </c>
      <c r="S2173" s="148" t="str">
        <f>IFERROR(__xludf.DUMMYFUNCTION("""COMPUTED_VALUE"""),"{""effect"":[{""typ"":""mecha_colour"",""id"":401111003,""val"":-1},{""typ"":""item"",""id"":11111034,""val"":10}]}")</f>
        <v>{"effect":[{"typ":"mecha_colour","id":401111003,"val":-1},{"typ":"item","id":11111034,"val":10}]}</v>
      </c>
      <c r="T2173" s="148">
        <f>IFERROR(__xludf.DUMMYFUNCTION("""COMPUTED_VALUE"""),-1.0)</f>
        <v>-1</v>
      </c>
      <c r="U2173" s="148">
        <f>IFERROR(__xludf.DUMMYFUNCTION("""COMPUTED_VALUE"""),0.0)</f>
        <v>0</v>
      </c>
      <c r="V2173" s="148" t="str">
        <f>IFERROR(__xludf.DUMMYFUNCTION("""COMPUTED_VALUE"""),"[]")</f>
        <v>[]</v>
      </c>
      <c r="W2173" s="148">
        <f>IFERROR(__xludf.DUMMYFUNCTION("""COMPUTED_VALUE"""),1.174E7)</f>
        <v>11740000</v>
      </c>
      <c r="X2173" s="148">
        <f>IFERROR(__xludf.DUMMYFUNCTION("""COMPUTED_VALUE"""),0.0)</f>
        <v>0</v>
      </c>
      <c r="Y2173" s="148">
        <f>IFERROR(__xludf.DUMMYFUNCTION("""COMPUTED_VALUE"""),0.0)</f>
        <v>0</v>
      </c>
      <c r="Z2173" s="148"/>
    </row>
    <row r="2174">
      <c r="A2174" s="148">
        <f>IFERROR(__xludf.DUMMYFUNCTION("""COMPUTED_VALUE"""),1.1118891E7)</f>
        <v>11118891</v>
      </c>
      <c r="B2174" s="148" t="str">
        <f>IFERROR(__xludf.DUMMYFUNCTION("""COMPUTED_VALUE"""),"蜘蛛原始皮肤青色喷漆")</f>
        <v>蜘蛛原始皮肤青色喷漆</v>
      </c>
      <c r="C2174" s="148"/>
      <c r="D2174" s="148" t="str">
        <f>IFERROR(__xludf.DUMMYFUNCTION("""COMPUTED_VALUE"""),"mecha_skin_colour")</f>
        <v>mecha_skin_colour</v>
      </c>
      <c r="E2174" s="148">
        <f>IFERROR(__xludf.DUMMYFUNCTION("""COMPUTED_VALUE"""),32.0)</f>
        <v>32</v>
      </c>
      <c r="F2174" s="148">
        <f>IFERROR(__xludf.DUMMYFUNCTION("""COMPUTED_VALUE"""),0.0)</f>
        <v>0</v>
      </c>
      <c r="G2174" s="148">
        <f>IFERROR(__xludf.DUMMYFUNCTION("""COMPUTED_VALUE"""),1.51101805E8)</f>
        <v>151101805</v>
      </c>
      <c r="H2174" s="148">
        <f>IFERROR(__xludf.DUMMYFUNCTION("""COMPUTED_VALUE"""),1.5112563E7)</f>
        <v>15112563</v>
      </c>
      <c r="I2174" s="148" t="str">
        <f>IFERROR(__xludf.DUMMYFUNCTION("""COMPUTED_VALUE"""),"{}")</f>
        <v>{}</v>
      </c>
      <c r="J2174" s="148" t="str">
        <f>IFERROR(__xludf.DUMMYFUNCTION("""COMPUTED_VALUE"""),"{""typ"":""lc"",""txt"":""LC_HERO_mecha_skin_colour_name_69""}")</f>
        <v>{"typ":"lc","txt":"LC_HERO_mecha_skin_colour_name_69"}</v>
      </c>
      <c r="K2174" s="148" t="str">
        <f>IFERROR(__xludf.DUMMYFUNCTION("""COMPUTED_VALUE"""),"{""typ"":""lc"",""txt"":""LC_HERO_mecha_skin_colour_desc_69""}")</f>
        <v>{"typ":"lc","txt":"LC_HERO_mecha_skin_colour_desc_69"}</v>
      </c>
      <c r="L2174" s="148" t="str">
        <f>IFERROR(__xludf.DUMMYFUNCTION("""COMPUTED_VALUE"""),"{""typ"":""lc"",""txt"":""LC_HERO_mecha_skin_colour_use_tips_69""}")</f>
        <v>{"typ":"lc","txt":"LC_HERO_mecha_skin_colour_use_tips_69"}</v>
      </c>
      <c r="M2174" s="148">
        <f>IFERROR(__xludf.DUMMYFUNCTION("""COMPUTED_VALUE"""),2500.0)</f>
        <v>2500</v>
      </c>
      <c r="N2174" s="148">
        <f>IFERROR(__xludf.DUMMYFUNCTION("""COMPUTED_VALUE"""),999999.0)</f>
        <v>999999</v>
      </c>
      <c r="O2174" s="148">
        <f>IFERROR(__xludf.DUMMYFUNCTION("""COMPUTED_VALUE"""),99999.0)</f>
        <v>99999</v>
      </c>
      <c r="P2174" s="148">
        <f>IFERROR(__xludf.DUMMYFUNCTION("""COMPUTED_VALUE"""),1.0)</f>
        <v>1</v>
      </c>
      <c r="Q2174" s="148" t="str">
        <f>IFERROR(__xludf.DUMMYFUNCTION("""COMPUTED_VALUE"""),"[""bag_other""]")</f>
        <v>["bag_other"]</v>
      </c>
      <c r="R2174" s="148" t="str">
        <f>IFERROR(__xludf.DUMMYFUNCTION("""COMPUTED_VALUE"""),"[""bag"",""401111004""]")</f>
        <v>["bag","401111004"]</v>
      </c>
      <c r="S2174" s="148" t="str">
        <f>IFERROR(__xludf.DUMMYFUNCTION("""COMPUTED_VALUE"""),"{""effect"":[{""typ"":""mecha_colour"",""id"":401111004,""val"":-1},{""typ"":""item"",""id"":11111034,""val"":10}]}")</f>
        <v>{"effect":[{"typ":"mecha_colour","id":401111004,"val":-1},{"typ":"item","id":11111034,"val":10}]}</v>
      </c>
      <c r="T2174" s="148">
        <f>IFERROR(__xludf.DUMMYFUNCTION("""COMPUTED_VALUE"""),-1.0)</f>
        <v>-1</v>
      </c>
      <c r="U2174" s="148">
        <f>IFERROR(__xludf.DUMMYFUNCTION("""COMPUTED_VALUE"""),0.0)</f>
        <v>0</v>
      </c>
      <c r="V2174" s="148" t="str">
        <f>IFERROR(__xludf.DUMMYFUNCTION("""COMPUTED_VALUE"""),"[]")</f>
        <v>[]</v>
      </c>
      <c r="W2174" s="148">
        <f>IFERROR(__xludf.DUMMYFUNCTION("""COMPUTED_VALUE"""),1.174E7)</f>
        <v>11740000</v>
      </c>
      <c r="X2174" s="148">
        <f>IFERROR(__xludf.DUMMYFUNCTION("""COMPUTED_VALUE"""),0.0)</f>
        <v>0</v>
      </c>
      <c r="Y2174" s="148">
        <f>IFERROR(__xludf.DUMMYFUNCTION("""COMPUTED_VALUE"""),0.0)</f>
        <v>0</v>
      </c>
      <c r="Z2174" s="148"/>
    </row>
    <row r="2175">
      <c r="A2175" s="148">
        <f>IFERROR(__xludf.DUMMYFUNCTION("""COMPUTED_VALUE"""),1.1118892E7)</f>
        <v>11118892</v>
      </c>
      <c r="B2175" s="148" t="str">
        <f>IFERROR(__xludf.DUMMYFUNCTION("""COMPUTED_VALUE"""),"蜘蛛原始皮肤粉色喷漆")</f>
        <v>蜘蛛原始皮肤粉色喷漆</v>
      </c>
      <c r="C2175" s="148"/>
      <c r="D2175" s="148" t="str">
        <f>IFERROR(__xludf.DUMMYFUNCTION("""COMPUTED_VALUE"""),"mecha_skin_colour")</f>
        <v>mecha_skin_colour</v>
      </c>
      <c r="E2175" s="148">
        <f>IFERROR(__xludf.DUMMYFUNCTION("""COMPUTED_VALUE"""),32.0)</f>
        <v>32</v>
      </c>
      <c r="F2175" s="148">
        <f>IFERROR(__xludf.DUMMYFUNCTION("""COMPUTED_VALUE"""),0.0)</f>
        <v>0</v>
      </c>
      <c r="G2175" s="148">
        <f>IFERROR(__xludf.DUMMYFUNCTION("""COMPUTED_VALUE"""),1.51101806E8)</f>
        <v>151101806</v>
      </c>
      <c r="H2175" s="148">
        <f>IFERROR(__xludf.DUMMYFUNCTION("""COMPUTED_VALUE"""),1.5112563E7)</f>
        <v>15112563</v>
      </c>
      <c r="I2175" s="148" t="str">
        <f>IFERROR(__xludf.DUMMYFUNCTION("""COMPUTED_VALUE"""),"{}")</f>
        <v>{}</v>
      </c>
      <c r="J2175" s="148" t="str">
        <f>IFERROR(__xludf.DUMMYFUNCTION("""COMPUTED_VALUE"""),"{""typ"":""lc"",""txt"":""LC_HERO_mecha_skin_colour_name_70""}")</f>
        <v>{"typ":"lc","txt":"LC_HERO_mecha_skin_colour_name_70"}</v>
      </c>
      <c r="K2175" s="148" t="str">
        <f>IFERROR(__xludf.DUMMYFUNCTION("""COMPUTED_VALUE"""),"{""typ"":""lc"",""txt"":""LC_HERO_mecha_skin_colour_desc_70""}")</f>
        <v>{"typ":"lc","txt":"LC_HERO_mecha_skin_colour_desc_70"}</v>
      </c>
      <c r="L2175" s="148" t="str">
        <f>IFERROR(__xludf.DUMMYFUNCTION("""COMPUTED_VALUE"""),"{""typ"":""lc"",""txt"":""LC_HERO_mecha_skin_colour_use_tips_70""}")</f>
        <v>{"typ":"lc","txt":"LC_HERO_mecha_skin_colour_use_tips_70"}</v>
      </c>
      <c r="M2175" s="148">
        <f>IFERROR(__xludf.DUMMYFUNCTION("""COMPUTED_VALUE"""),2500.0)</f>
        <v>2500</v>
      </c>
      <c r="N2175" s="148">
        <f>IFERROR(__xludf.DUMMYFUNCTION("""COMPUTED_VALUE"""),999999.0)</f>
        <v>999999</v>
      </c>
      <c r="O2175" s="148">
        <f>IFERROR(__xludf.DUMMYFUNCTION("""COMPUTED_VALUE"""),99999.0)</f>
        <v>99999</v>
      </c>
      <c r="P2175" s="148">
        <f>IFERROR(__xludf.DUMMYFUNCTION("""COMPUTED_VALUE"""),1.0)</f>
        <v>1</v>
      </c>
      <c r="Q2175" s="148" t="str">
        <f>IFERROR(__xludf.DUMMYFUNCTION("""COMPUTED_VALUE"""),"[""bag_other""]")</f>
        <v>["bag_other"]</v>
      </c>
      <c r="R2175" s="148" t="str">
        <f>IFERROR(__xludf.DUMMYFUNCTION("""COMPUTED_VALUE"""),"[""bag"",""401111005""]")</f>
        <v>["bag","401111005"]</v>
      </c>
      <c r="S2175" s="148" t="str">
        <f>IFERROR(__xludf.DUMMYFUNCTION("""COMPUTED_VALUE"""),"{""effect"":[{""typ"":""mecha_colour"",""id"":401111005,""val"":-1},{""typ"":""item"",""id"":11111034,""val"":10}]}")</f>
        <v>{"effect":[{"typ":"mecha_colour","id":401111005,"val":-1},{"typ":"item","id":11111034,"val":10}]}</v>
      </c>
      <c r="T2175" s="148">
        <f>IFERROR(__xludf.DUMMYFUNCTION("""COMPUTED_VALUE"""),-1.0)</f>
        <v>-1</v>
      </c>
      <c r="U2175" s="148">
        <f>IFERROR(__xludf.DUMMYFUNCTION("""COMPUTED_VALUE"""),0.0)</f>
        <v>0</v>
      </c>
      <c r="V2175" s="148" t="str">
        <f>IFERROR(__xludf.DUMMYFUNCTION("""COMPUTED_VALUE"""),"[]")</f>
        <v>[]</v>
      </c>
      <c r="W2175" s="148">
        <f>IFERROR(__xludf.DUMMYFUNCTION("""COMPUTED_VALUE"""),1.174E7)</f>
        <v>11740000</v>
      </c>
      <c r="X2175" s="148">
        <f>IFERROR(__xludf.DUMMYFUNCTION("""COMPUTED_VALUE"""),0.0)</f>
        <v>0</v>
      </c>
      <c r="Y2175" s="148">
        <f>IFERROR(__xludf.DUMMYFUNCTION("""COMPUTED_VALUE"""),0.0)</f>
        <v>0</v>
      </c>
      <c r="Z2175" s="148"/>
    </row>
    <row r="2176">
      <c r="A2176" s="148">
        <f>IFERROR(__xludf.DUMMYFUNCTION("""COMPUTED_VALUE"""),1.1118893E7)</f>
        <v>11118893</v>
      </c>
      <c r="B2176" s="148" t="str">
        <f>IFERROR(__xludf.DUMMYFUNCTION("""COMPUTED_VALUE"""),"蜘蛛原始皮肤蓝色喷漆")</f>
        <v>蜘蛛原始皮肤蓝色喷漆</v>
      </c>
      <c r="C2176" s="148"/>
      <c r="D2176" s="148" t="str">
        <f>IFERROR(__xludf.DUMMYFUNCTION("""COMPUTED_VALUE"""),"mecha_skin_colour")</f>
        <v>mecha_skin_colour</v>
      </c>
      <c r="E2176" s="148">
        <f>IFERROR(__xludf.DUMMYFUNCTION("""COMPUTED_VALUE"""),32.0)</f>
        <v>32</v>
      </c>
      <c r="F2176" s="148">
        <f>IFERROR(__xludf.DUMMYFUNCTION("""COMPUTED_VALUE"""),0.0)</f>
        <v>0</v>
      </c>
      <c r="G2176" s="148">
        <f>IFERROR(__xludf.DUMMYFUNCTION("""COMPUTED_VALUE"""),1.51101807E8)</f>
        <v>151101807</v>
      </c>
      <c r="H2176" s="148">
        <f>IFERROR(__xludf.DUMMYFUNCTION("""COMPUTED_VALUE"""),1.5112563E7)</f>
        <v>15112563</v>
      </c>
      <c r="I2176" s="148" t="str">
        <f>IFERROR(__xludf.DUMMYFUNCTION("""COMPUTED_VALUE"""),"{}")</f>
        <v>{}</v>
      </c>
      <c r="J2176" s="148" t="str">
        <f>IFERROR(__xludf.DUMMYFUNCTION("""COMPUTED_VALUE"""),"{""typ"":""lc"",""txt"":""LC_HERO_mecha_skin_colour_name_71""}")</f>
        <v>{"typ":"lc","txt":"LC_HERO_mecha_skin_colour_name_71"}</v>
      </c>
      <c r="K2176" s="148" t="str">
        <f>IFERROR(__xludf.DUMMYFUNCTION("""COMPUTED_VALUE"""),"{""typ"":""lc"",""txt"":""LC_HERO_mecha_skin_colour_desc_71""}")</f>
        <v>{"typ":"lc","txt":"LC_HERO_mecha_skin_colour_desc_71"}</v>
      </c>
      <c r="L2176" s="148" t="str">
        <f>IFERROR(__xludf.DUMMYFUNCTION("""COMPUTED_VALUE"""),"{""typ"":""lc"",""txt"":""LC_HERO_mecha_skin_colour_use_tips_71""}")</f>
        <v>{"typ":"lc","txt":"LC_HERO_mecha_skin_colour_use_tips_71"}</v>
      </c>
      <c r="M2176" s="148">
        <f>IFERROR(__xludf.DUMMYFUNCTION("""COMPUTED_VALUE"""),2500.0)</f>
        <v>2500</v>
      </c>
      <c r="N2176" s="148">
        <f>IFERROR(__xludf.DUMMYFUNCTION("""COMPUTED_VALUE"""),999999.0)</f>
        <v>999999</v>
      </c>
      <c r="O2176" s="148">
        <f>IFERROR(__xludf.DUMMYFUNCTION("""COMPUTED_VALUE"""),99999.0)</f>
        <v>99999</v>
      </c>
      <c r="P2176" s="148">
        <f>IFERROR(__xludf.DUMMYFUNCTION("""COMPUTED_VALUE"""),1.0)</f>
        <v>1</v>
      </c>
      <c r="Q2176" s="148" t="str">
        <f>IFERROR(__xludf.DUMMYFUNCTION("""COMPUTED_VALUE"""),"[""bag_other""]")</f>
        <v>["bag_other"]</v>
      </c>
      <c r="R2176" s="148" t="str">
        <f>IFERROR(__xludf.DUMMYFUNCTION("""COMPUTED_VALUE"""),"[""bag"",""401111006""]")</f>
        <v>["bag","401111006"]</v>
      </c>
      <c r="S2176" s="148" t="str">
        <f>IFERROR(__xludf.DUMMYFUNCTION("""COMPUTED_VALUE"""),"{""effect"":[{""typ"":""mecha_colour"",""id"":401111006,""val"":-1},{""typ"":""item"",""id"":11111034,""val"":10}]}")</f>
        <v>{"effect":[{"typ":"mecha_colour","id":401111006,"val":-1},{"typ":"item","id":11111034,"val":10}]}</v>
      </c>
      <c r="T2176" s="148">
        <f>IFERROR(__xludf.DUMMYFUNCTION("""COMPUTED_VALUE"""),-1.0)</f>
        <v>-1</v>
      </c>
      <c r="U2176" s="148">
        <f>IFERROR(__xludf.DUMMYFUNCTION("""COMPUTED_VALUE"""),0.0)</f>
        <v>0</v>
      </c>
      <c r="V2176" s="148" t="str">
        <f>IFERROR(__xludf.DUMMYFUNCTION("""COMPUTED_VALUE"""),"[]")</f>
        <v>[]</v>
      </c>
      <c r="W2176" s="148">
        <f>IFERROR(__xludf.DUMMYFUNCTION("""COMPUTED_VALUE"""),1.174E7)</f>
        <v>11740000</v>
      </c>
      <c r="X2176" s="148">
        <f>IFERROR(__xludf.DUMMYFUNCTION("""COMPUTED_VALUE"""),0.0)</f>
        <v>0</v>
      </c>
      <c r="Y2176" s="148">
        <f>IFERROR(__xludf.DUMMYFUNCTION("""COMPUTED_VALUE"""),0.0)</f>
        <v>0</v>
      </c>
      <c r="Z2176" s="148"/>
    </row>
    <row r="2177">
      <c r="A2177" s="148">
        <f>IFERROR(__xludf.DUMMYFUNCTION("""COMPUTED_VALUE"""),1.1118894E7)</f>
        <v>11118894</v>
      </c>
      <c r="B2177" s="148" t="str">
        <f>IFERROR(__xludf.DUMMYFUNCTION("""COMPUTED_VALUE"""),"蜘蛛原始皮肤黄色喷漆")</f>
        <v>蜘蛛原始皮肤黄色喷漆</v>
      </c>
      <c r="C2177" s="148"/>
      <c r="D2177" s="148" t="str">
        <f>IFERROR(__xludf.DUMMYFUNCTION("""COMPUTED_VALUE"""),"mecha_skin_colour")</f>
        <v>mecha_skin_colour</v>
      </c>
      <c r="E2177" s="148">
        <f>IFERROR(__xludf.DUMMYFUNCTION("""COMPUTED_VALUE"""),32.0)</f>
        <v>32</v>
      </c>
      <c r="F2177" s="148">
        <f>IFERROR(__xludf.DUMMYFUNCTION("""COMPUTED_VALUE"""),0.0)</f>
        <v>0</v>
      </c>
      <c r="G2177" s="148">
        <f>IFERROR(__xludf.DUMMYFUNCTION("""COMPUTED_VALUE"""),1.51101808E8)</f>
        <v>151101808</v>
      </c>
      <c r="H2177" s="148">
        <f>IFERROR(__xludf.DUMMYFUNCTION("""COMPUTED_VALUE"""),1.5112563E7)</f>
        <v>15112563</v>
      </c>
      <c r="I2177" s="148" t="str">
        <f>IFERROR(__xludf.DUMMYFUNCTION("""COMPUTED_VALUE"""),"{}")</f>
        <v>{}</v>
      </c>
      <c r="J2177" s="148" t="str">
        <f>IFERROR(__xludf.DUMMYFUNCTION("""COMPUTED_VALUE"""),"{""typ"":""lc"",""txt"":""LC_HERO_mecha_skin_colour_name_72""}")</f>
        <v>{"typ":"lc","txt":"LC_HERO_mecha_skin_colour_name_72"}</v>
      </c>
      <c r="K2177" s="148" t="str">
        <f>IFERROR(__xludf.DUMMYFUNCTION("""COMPUTED_VALUE"""),"{""typ"":""lc"",""txt"":""LC_HERO_mecha_skin_colour_desc_72""}")</f>
        <v>{"typ":"lc","txt":"LC_HERO_mecha_skin_colour_desc_72"}</v>
      </c>
      <c r="L2177" s="148" t="str">
        <f>IFERROR(__xludf.DUMMYFUNCTION("""COMPUTED_VALUE"""),"{""typ"":""lc"",""txt"":""LC_HERO_mecha_skin_colour_use_tips_72""}")</f>
        <v>{"typ":"lc","txt":"LC_HERO_mecha_skin_colour_use_tips_72"}</v>
      </c>
      <c r="M2177" s="148">
        <f>IFERROR(__xludf.DUMMYFUNCTION("""COMPUTED_VALUE"""),2500.0)</f>
        <v>2500</v>
      </c>
      <c r="N2177" s="148">
        <f>IFERROR(__xludf.DUMMYFUNCTION("""COMPUTED_VALUE"""),999999.0)</f>
        <v>999999</v>
      </c>
      <c r="O2177" s="148">
        <f>IFERROR(__xludf.DUMMYFUNCTION("""COMPUTED_VALUE"""),99999.0)</f>
        <v>99999</v>
      </c>
      <c r="P2177" s="148">
        <f>IFERROR(__xludf.DUMMYFUNCTION("""COMPUTED_VALUE"""),1.0)</f>
        <v>1</v>
      </c>
      <c r="Q2177" s="148" t="str">
        <f>IFERROR(__xludf.DUMMYFUNCTION("""COMPUTED_VALUE"""),"[""bag_other""]")</f>
        <v>["bag_other"]</v>
      </c>
      <c r="R2177" s="148" t="str">
        <f>IFERROR(__xludf.DUMMYFUNCTION("""COMPUTED_VALUE"""),"[""bag"",""401111007""]")</f>
        <v>["bag","401111007"]</v>
      </c>
      <c r="S2177" s="148" t="str">
        <f>IFERROR(__xludf.DUMMYFUNCTION("""COMPUTED_VALUE"""),"{""effect"":[{""typ"":""mecha_colour"",""id"":401111007,""val"":-1},{""typ"":""item"",""id"":11111034,""val"":10}]}")</f>
        <v>{"effect":[{"typ":"mecha_colour","id":401111007,"val":-1},{"typ":"item","id":11111034,"val":10}]}</v>
      </c>
      <c r="T2177" s="148">
        <f>IFERROR(__xludf.DUMMYFUNCTION("""COMPUTED_VALUE"""),-1.0)</f>
        <v>-1</v>
      </c>
      <c r="U2177" s="148">
        <f>IFERROR(__xludf.DUMMYFUNCTION("""COMPUTED_VALUE"""),0.0)</f>
        <v>0</v>
      </c>
      <c r="V2177" s="148" t="str">
        <f>IFERROR(__xludf.DUMMYFUNCTION("""COMPUTED_VALUE"""),"[]")</f>
        <v>[]</v>
      </c>
      <c r="W2177" s="148">
        <f>IFERROR(__xludf.DUMMYFUNCTION("""COMPUTED_VALUE"""),1.174E7)</f>
        <v>11740000</v>
      </c>
      <c r="X2177" s="148">
        <f>IFERROR(__xludf.DUMMYFUNCTION("""COMPUTED_VALUE"""),0.0)</f>
        <v>0</v>
      </c>
      <c r="Y2177" s="148">
        <f>IFERROR(__xludf.DUMMYFUNCTION("""COMPUTED_VALUE"""),0.0)</f>
        <v>0</v>
      </c>
      <c r="Z2177" s="148"/>
    </row>
    <row r="2178">
      <c r="A2178" s="148">
        <f>IFERROR(__xludf.DUMMYFUNCTION("""COMPUTED_VALUE"""),1.1118895E7)</f>
        <v>11118895</v>
      </c>
      <c r="B2178" s="148" t="str">
        <f>IFERROR(__xludf.DUMMYFUNCTION("""COMPUTED_VALUE"""),"螳螂幽镰船长皮肤")</f>
        <v>螳螂幽镰船长皮肤</v>
      </c>
      <c r="C2178" s="148"/>
      <c r="D2178" s="148" t="str">
        <f>IFERROR(__xludf.DUMMYFUNCTION("""COMPUTED_VALUE"""),"mecha_skin")</f>
        <v>mecha_skin</v>
      </c>
      <c r="E2178" s="148">
        <f>IFERROR(__xludf.DUMMYFUNCTION("""COMPUTED_VALUE"""),31.0)</f>
        <v>31</v>
      </c>
      <c r="F2178" s="148">
        <f>IFERROR(__xludf.DUMMYFUNCTION("""COMPUTED_VALUE"""),0.0)</f>
        <v>0</v>
      </c>
      <c r="G2178" s="148">
        <f>IFERROR(__xludf.DUMMYFUNCTION("""COMPUTED_VALUE"""),1.51102131E8)</f>
        <v>151102131</v>
      </c>
      <c r="H2178" s="148">
        <f>IFERROR(__xludf.DUMMYFUNCTION("""COMPUTED_VALUE"""),1.5112564E7)</f>
        <v>15112564</v>
      </c>
      <c r="I2178" s="148" t="str">
        <f>IFERROR(__xludf.DUMMYFUNCTION("""COMPUTED_VALUE"""),"{}")</f>
        <v>{}</v>
      </c>
      <c r="J2178" s="148" t="str">
        <f>IFERROR(__xludf.DUMMYFUNCTION("""COMPUTED_VALUE"""),"{""typ"":""lc"",""txt"":""LC_HERO_mecha_name_chuanzhang_item""}")</f>
        <v>{"typ":"lc","txt":"LC_HERO_mecha_name_chuanzhang_item"}</v>
      </c>
      <c r="K2178" s="148" t="str">
        <f>IFERROR(__xludf.DUMMYFUNCTION("""COMPUTED_VALUE"""),"{""typ"":""lc"",""txt"":""LC_HERO_mecha_skin_src_chuanzhang_item""}")</f>
        <v>{"typ":"lc","txt":"LC_HERO_mecha_skin_src_chuanzhang_item"}</v>
      </c>
      <c r="L2178" s="148" t="str">
        <f>IFERROR(__xludf.DUMMYFUNCTION("""COMPUTED_VALUE"""),"{""typ"":""lc"",""txt"":""LC_HERO_mecha_skin_src_chuanzhang_tips""}")</f>
        <v>{"typ":"lc","txt":"LC_HERO_mecha_skin_src_chuanzhang_tips"}</v>
      </c>
      <c r="M2178" s="148">
        <f>IFERROR(__xludf.DUMMYFUNCTION("""COMPUTED_VALUE"""),500.0)</f>
        <v>500</v>
      </c>
      <c r="N2178" s="148">
        <f>IFERROR(__xludf.DUMMYFUNCTION("""COMPUTED_VALUE"""),5.0)</f>
        <v>5</v>
      </c>
      <c r="O2178" s="148">
        <f>IFERROR(__xludf.DUMMYFUNCTION("""COMPUTED_VALUE"""),1.0)</f>
        <v>1</v>
      </c>
      <c r="P2178" s="148">
        <f>IFERROR(__xludf.DUMMYFUNCTION("""COMPUTED_VALUE"""),1.0)</f>
        <v>1</v>
      </c>
      <c r="Q2178" s="148" t="str">
        <f>IFERROR(__xludf.DUMMYFUNCTION("""COMPUTED_VALUE"""),"[""bag_other""]")</f>
        <v>["bag_other"]</v>
      </c>
      <c r="R2178" s="148" t="str">
        <f>IFERROR(__xludf.DUMMYFUNCTION("""COMPUTED_VALUE"""),"[""bag"",""40108101""]")</f>
        <v>["bag","40108101"]</v>
      </c>
      <c r="S2178" s="148" t="str">
        <f>IFERROR(__xludf.DUMMYFUNCTION("""COMPUTED_VALUE"""),"{""effect"":[{""typ"":""mecha_skin"",""id"":40108101,""val"":-1},{""typ"":""item"",""id"":11111034,""val"":10}]}")</f>
        <v>{"effect":[{"typ":"mecha_skin","id":40108101,"val":-1},{"typ":"item","id":11111034,"val":10}]}</v>
      </c>
      <c r="T2178" s="148">
        <f>IFERROR(__xludf.DUMMYFUNCTION("""COMPUTED_VALUE"""),-1.0)</f>
        <v>-1</v>
      </c>
      <c r="U2178" s="148">
        <f>IFERROR(__xludf.DUMMYFUNCTION("""COMPUTED_VALUE"""),0.0)</f>
        <v>0</v>
      </c>
      <c r="V2178" s="148" t="str">
        <f>IFERROR(__xludf.DUMMYFUNCTION("""COMPUTED_VALUE"""),"[]")</f>
        <v>[]</v>
      </c>
      <c r="W2178" s="148">
        <f>IFERROR(__xludf.DUMMYFUNCTION("""COMPUTED_VALUE"""),1.174E7)</f>
        <v>11740000</v>
      </c>
      <c r="X2178" s="148">
        <f>IFERROR(__xludf.DUMMYFUNCTION("""COMPUTED_VALUE"""),0.0)</f>
        <v>0</v>
      </c>
      <c r="Y2178" s="148">
        <f>IFERROR(__xludf.DUMMYFUNCTION("""COMPUTED_VALUE"""),0.0)</f>
        <v>0</v>
      </c>
      <c r="Z2178" s="148"/>
    </row>
    <row r="2179">
      <c r="A2179" s="148">
        <f>IFERROR(__xludf.DUMMYFUNCTION("""COMPUTED_VALUE"""),1.1118896E7)</f>
        <v>11118896</v>
      </c>
      <c r="B2179" s="148" t="str">
        <f>IFERROR(__xludf.DUMMYFUNCTION("""COMPUTED_VALUE"""),"金刚童趣卫士皮肤")</f>
        <v>金刚童趣卫士皮肤</v>
      </c>
      <c r="C2179" s="148"/>
      <c r="D2179" s="148" t="str">
        <f>IFERROR(__xludf.DUMMYFUNCTION("""COMPUTED_VALUE"""),"mecha_skin")</f>
        <v>mecha_skin</v>
      </c>
      <c r="E2179" s="148">
        <f>IFERROR(__xludf.DUMMYFUNCTION("""COMPUTED_VALUE"""),31.0)</f>
        <v>31</v>
      </c>
      <c r="F2179" s="148">
        <f>IFERROR(__xludf.DUMMYFUNCTION("""COMPUTED_VALUE"""),0.0)</f>
        <v>0</v>
      </c>
      <c r="G2179" s="148">
        <f>IFERROR(__xludf.DUMMYFUNCTION("""COMPUTED_VALUE"""),1.51102406E8)</f>
        <v>151102406</v>
      </c>
      <c r="H2179" s="148">
        <f>IFERROR(__xludf.DUMMYFUNCTION("""COMPUTED_VALUE"""),1.5112564E7)</f>
        <v>15112564</v>
      </c>
      <c r="I2179" s="148" t="str">
        <f>IFERROR(__xludf.DUMMYFUNCTION("""COMPUTED_VALUE"""),"{}")</f>
        <v>{}</v>
      </c>
      <c r="J2179" s="148" t="str">
        <f>IFERROR(__xludf.DUMMYFUNCTION("""COMPUTED_VALUE"""),"{""typ"":""lc"",""txt"":""LC_HERO_mecha_name_tongqu_item""}")</f>
        <v>{"typ":"lc","txt":"LC_HERO_mecha_name_tongqu_item"}</v>
      </c>
      <c r="K2179" s="148" t="str">
        <f>IFERROR(__xludf.DUMMYFUNCTION("""COMPUTED_VALUE"""),"{""typ"":""lc"",""txt"":""LC_HERO_mecha_skin_src_tongqu_item""}")</f>
        <v>{"typ":"lc","txt":"LC_HERO_mecha_skin_src_tongqu_item"}</v>
      </c>
      <c r="L2179" s="148" t="str">
        <f>IFERROR(__xludf.DUMMYFUNCTION("""COMPUTED_VALUE"""),"{""typ"":""lc"",""txt"":""LC_HERO_mecha_skin_src_tongqu_tips""}")</f>
        <v>{"typ":"lc","txt":"LC_HERO_mecha_skin_src_tongqu_tips"}</v>
      </c>
      <c r="M2179" s="148">
        <f>IFERROR(__xludf.DUMMYFUNCTION("""COMPUTED_VALUE"""),500.0)</f>
        <v>500</v>
      </c>
      <c r="N2179" s="148">
        <f>IFERROR(__xludf.DUMMYFUNCTION("""COMPUTED_VALUE"""),5.0)</f>
        <v>5</v>
      </c>
      <c r="O2179" s="148">
        <f>IFERROR(__xludf.DUMMYFUNCTION("""COMPUTED_VALUE"""),1.0)</f>
        <v>1</v>
      </c>
      <c r="P2179" s="148">
        <f>IFERROR(__xludf.DUMMYFUNCTION("""COMPUTED_VALUE"""),1.0)</f>
        <v>1</v>
      </c>
      <c r="Q2179" s="148" t="str">
        <f>IFERROR(__xludf.DUMMYFUNCTION("""COMPUTED_VALUE"""),"[""bag_other""]")</f>
        <v>["bag_other"]</v>
      </c>
      <c r="R2179" s="148" t="str">
        <f>IFERROR(__xludf.DUMMYFUNCTION("""COMPUTED_VALUE"""),"[""bag"",""40102301""]")</f>
        <v>["bag","40102301"]</v>
      </c>
      <c r="S2179" s="148" t="str">
        <f>IFERROR(__xludf.DUMMYFUNCTION("""COMPUTED_VALUE"""),"{""effect"":[{""typ"":""mecha_skin"",""id"":40102301,""val"":-1},{""typ"":""item"",""id"":11111034,""val"":10}]}")</f>
        <v>{"effect":[{"typ":"mecha_skin","id":40102301,"val":-1},{"typ":"item","id":11111034,"val":10}]}</v>
      </c>
      <c r="T2179" s="148">
        <f>IFERROR(__xludf.DUMMYFUNCTION("""COMPUTED_VALUE"""),-1.0)</f>
        <v>-1</v>
      </c>
      <c r="U2179" s="148">
        <f>IFERROR(__xludf.DUMMYFUNCTION("""COMPUTED_VALUE"""),0.0)</f>
        <v>0</v>
      </c>
      <c r="V2179" s="148" t="str">
        <f>IFERROR(__xludf.DUMMYFUNCTION("""COMPUTED_VALUE"""),"[]")</f>
        <v>[]</v>
      </c>
      <c r="W2179" s="148">
        <f>IFERROR(__xludf.DUMMYFUNCTION("""COMPUTED_VALUE"""),1.174E7)</f>
        <v>11740000</v>
      </c>
      <c r="X2179" s="148">
        <f>IFERROR(__xludf.DUMMYFUNCTION("""COMPUTED_VALUE"""),0.0)</f>
        <v>0</v>
      </c>
      <c r="Y2179" s="148">
        <f>IFERROR(__xludf.DUMMYFUNCTION("""COMPUTED_VALUE"""),0.0)</f>
        <v>0</v>
      </c>
      <c r="Z2179" s="148"/>
    </row>
    <row r="2180">
      <c r="A2180" s="148">
        <f>IFERROR(__xludf.DUMMYFUNCTION("""COMPUTED_VALUE"""),1.1118897E7)</f>
        <v>11118897</v>
      </c>
      <c r="B2180" s="148" t="str">
        <f>IFERROR(__xludf.DUMMYFUNCTION("""COMPUTED_VALUE"""),"犀牛周年庆喷漆")</f>
        <v>犀牛周年庆喷漆</v>
      </c>
      <c r="C2180" s="148"/>
      <c r="D2180" s="148" t="str">
        <f>IFERROR(__xludf.DUMMYFUNCTION("""COMPUTED_VALUE"""),"mecha_skin_colour")</f>
        <v>mecha_skin_colour</v>
      </c>
      <c r="E2180" s="148">
        <f>IFERROR(__xludf.DUMMYFUNCTION("""COMPUTED_VALUE"""),32.0)</f>
        <v>32</v>
      </c>
      <c r="F2180" s="148">
        <f>IFERROR(__xludf.DUMMYFUNCTION("""COMPUTED_VALUE"""),0.0)</f>
        <v>0</v>
      </c>
      <c r="G2180" s="148">
        <f>IFERROR(__xludf.DUMMYFUNCTION("""COMPUTED_VALUE"""),1.51102411E8)</f>
        <v>151102411</v>
      </c>
      <c r="H2180" s="148">
        <f>IFERROR(__xludf.DUMMYFUNCTION("""COMPUTED_VALUE"""),1.5112563E7)</f>
        <v>15112563</v>
      </c>
      <c r="I2180" s="148" t="str">
        <f>IFERROR(__xludf.DUMMYFUNCTION("""COMPUTED_VALUE"""),"{}")</f>
        <v>{}</v>
      </c>
      <c r="J2180" s="148" t="str">
        <f>IFERROR(__xludf.DUMMYFUNCTION("""COMPUTED_VALUE"""),"{""typ"":""lc"",""txt"":""LC_HERO_mecha_skin_colour_item_name_73""}")</f>
        <v>{"typ":"lc","txt":"LC_HERO_mecha_skin_colour_item_name_73"}</v>
      </c>
      <c r="K2180" s="148" t="str">
        <f>IFERROR(__xludf.DUMMYFUNCTION("""COMPUTED_VALUE"""),"{""typ"":""lc"",""txt"":""LC_HERO_mecha_skin_colour_use_tips_73""}")</f>
        <v>{"typ":"lc","txt":"LC_HERO_mecha_skin_colour_use_tips_73"}</v>
      </c>
      <c r="L2180" s="148" t="str">
        <f>IFERROR(__xludf.DUMMYFUNCTION("""COMPUTED_VALUE"""),"{""typ"":""lc"",""txt"":""LC_HERO_mecha_skin_colour_item_tips_73""}")</f>
        <v>{"typ":"lc","txt":"LC_HERO_mecha_skin_colour_item_tips_73"}</v>
      </c>
      <c r="M2180" s="148">
        <f>IFERROR(__xludf.DUMMYFUNCTION("""COMPUTED_VALUE"""),2500.0)</f>
        <v>2500</v>
      </c>
      <c r="N2180" s="148">
        <f>IFERROR(__xludf.DUMMYFUNCTION("""COMPUTED_VALUE"""),999999.0)</f>
        <v>999999</v>
      </c>
      <c r="O2180" s="148">
        <f>IFERROR(__xludf.DUMMYFUNCTION("""COMPUTED_VALUE"""),99999.0)</f>
        <v>99999</v>
      </c>
      <c r="P2180" s="148">
        <f>IFERROR(__xludf.DUMMYFUNCTION("""COMPUTED_VALUE"""),1.0)</f>
        <v>1</v>
      </c>
      <c r="Q2180" s="148" t="str">
        <f>IFERROR(__xludf.DUMMYFUNCTION("""COMPUTED_VALUE"""),"[""bag_other""]")</f>
        <v>["bag_other"]</v>
      </c>
      <c r="R2180" s="148" t="str">
        <f>IFERROR(__xludf.DUMMYFUNCTION("""COMPUTED_VALUE"""),"[""bag"",""40111009""]")</f>
        <v>["bag","40111009"]</v>
      </c>
      <c r="S2180" s="148" t="str">
        <f>IFERROR(__xludf.DUMMYFUNCTION("""COMPUTED_VALUE"""),"{""effect"":[{""typ"":""mecha_colour"",""id"":40111009,""val"":-1},{""typ"":""item"",""id"":11111034,""val"":10}]}")</f>
        <v>{"effect":[{"typ":"mecha_colour","id":40111009,"val":-1},{"typ":"item","id":11111034,"val":10}]}</v>
      </c>
      <c r="T2180" s="148">
        <f>IFERROR(__xludf.DUMMYFUNCTION("""COMPUTED_VALUE"""),-1.0)</f>
        <v>-1</v>
      </c>
      <c r="U2180" s="148">
        <f>IFERROR(__xludf.DUMMYFUNCTION("""COMPUTED_VALUE"""),0.0)</f>
        <v>0</v>
      </c>
      <c r="V2180" s="148" t="str">
        <f>IFERROR(__xludf.DUMMYFUNCTION("""COMPUTED_VALUE"""),"[]")</f>
        <v>[]</v>
      </c>
      <c r="W2180" s="148">
        <f>IFERROR(__xludf.DUMMYFUNCTION("""COMPUTED_VALUE"""),1.174E7)</f>
        <v>11740000</v>
      </c>
      <c r="X2180" s="148">
        <f>IFERROR(__xludf.DUMMYFUNCTION("""COMPUTED_VALUE"""),0.0)</f>
        <v>0</v>
      </c>
      <c r="Y2180" s="148">
        <f>IFERROR(__xludf.DUMMYFUNCTION("""COMPUTED_VALUE"""),0.0)</f>
        <v>0</v>
      </c>
      <c r="Z2180" s="148"/>
    </row>
    <row r="2181">
      <c r="A2181" s="148">
        <f>IFERROR(__xludf.DUMMYFUNCTION("""COMPUTED_VALUE"""),1.1118898E7)</f>
        <v>11118898</v>
      </c>
      <c r="B2181" s="148" t="str">
        <f>IFERROR(__xludf.DUMMYFUNCTION("""COMPUTED_VALUE"""),"蝎子周年庆喷漆")</f>
        <v>蝎子周年庆喷漆</v>
      </c>
      <c r="C2181" s="148"/>
      <c r="D2181" s="148" t="str">
        <f>IFERROR(__xludf.DUMMYFUNCTION("""COMPUTED_VALUE"""),"mecha_skin_colour")</f>
        <v>mecha_skin_colour</v>
      </c>
      <c r="E2181" s="148">
        <f>IFERROR(__xludf.DUMMYFUNCTION("""COMPUTED_VALUE"""),32.0)</f>
        <v>32</v>
      </c>
      <c r="F2181" s="148">
        <f>IFERROR(__xludf.DUMMYFUNCTION("""COMPUTED_VALUE"""),0.0)</f>
        <v>0</v>
      </c>
      <c r="G2181" s="148">
        <f>IFERROR(__xludf.DUMMYFUNCTION("""COMPUTED_VALUE"""),1.51102413E8)</f>
        <v>151102413</v>
      </c>
      <c r="H2181" s="148">
        <f>IFERROR(__xludf.DUMMYFUNCTION("""COMPUTED_VALUE"""),1.5112563E7)</f>
        <v>15112563</v>
      </c>
      <c r="I2181" s="148" t="str">
        <f>IFERROR(__xludf.DUMMYFUNCTION("""COMPUTED_VALUE"""),"{}")</f>
        <v>{}</v>
      </c>
      <c r="J2181" s="148" t="str">
        <f>IFERROR(__xludf.DUMMYFUNCTION("""COMPUTED_VALUE"""),"{""typ"":""lc"",""txt"":""LC_HERO_mecha_skin_colour_item_name_74""}")</f>
        <v>{"typ":"lc","txt":"LC_HERO_mecha_skin_colour_item_name_74"}</v>
      </c>
      <c r="K2181" s="148" t="str">
        <f>IFERROR(__xludf.DUMMYFUNCTION("""COMPUTED_VALUE"""),"{""typ"":""lc"",""txt"":""LC_HERO_mecha_skin_colour_use_tips_74""}")</f>
        <v>{"typ":"lc","txt":"LC_HERO_mecha_skin_colour_use_tips_74"}</v>
      </c>
      <c r="L2181" s="148" t="str">
        <f>IFERROR(__xludf.DUMMYFUNCTION("""COMPUTED_VALUE"""),"{""typ"":""lc"",""txt"":""LC_HERO_mecha_skin_colour_item_tips_74""}")</f>
        <v>{"typ":"lc","txt":"LC_HERO_mecha_skin_colour_item_tips_74"}</v>
      </c>
      <c r="M2181" s="148">
        <f>IFERROR(__xludf.DUMMYFUNCTION("""COMPUTED_VALUE"""),2500.0)</f>
        <v>2500</v>
      </c>
      <c r="N2181" s="148">
        <f>IFERROR(__xludf.DUMMYFUNCTION("""COMPUTED_VALUE"""),999999.0)</f>
        <v>999999</v>
      </c>
      <c r="O2181" s="148">
        <f>IFERROR(__xludf.DUMMYFUNCTION("""COMPUTED_VALUE"""),99999.0)</f>
        <v>99999</v>
      </c>
      <c r="P2181" s="148">
        <f>IFERROR(__xludf.DUMMYFUNCTION("""COMPUTED_VALUE"""),1.0)</f>
        <v>1</v>
      </c>
      <c r="Q2181" s="148" t="str">
        <f>IFERROR(__xludf.DUMMYFUNCTION("""COMPUTED_VALUE"""),"[""bag_other""]")</f>
        <v>["bag_other"]</v>
      </c>
      <c r="R2181" s="148" t="str">
        <f>IFERROR(__xludf.DUMMYFUNCTION("""COMPUTED_VALUE"""),"[""bag"",""40114008""]")</f>
        <v>["bag","40114008"]</v>
      </c>
      <c r="S2181" s="148" t="str">
        <f>IFERROR(__xludf.DUMMYFUNCTION("""COMPUTED_VALUE"""),"{""effect"":[{""typ"":""mecha_colour"",""id"":40114008,""val"":-1},{""typ"":""item"",""id"":11111034,""val"":10}]}")</f>
        <v>{"effect":[{"typ":"mecha_colour","id":40114008,"val":-1},{"typ":"item","id":11111034,"val":10}]}</v>
      </c>
      <c r="T2181" s="148">
        <f>IFERROR(__xludf.DUMMYFUNCTION("""COMPUTED_VALUE"""),-1.0)</f>
        <v>-1</v>
      </c>
      <c r="U2181" s="148">
        <f>IFERROR(__xludf.DUMMYFUNCTION("""COMPUTED_VALUE"""),0.0)</f>
        <v>0</v>
      </c>
      <c r="V2181" s="148" t="str">
        <f>IFERROR(__xludf.DUMMYFUNCTION("""COMPUTED_VALUE"""),"[]")</f>
        <v>[]</v>
      </c>
      <c r="W2181" s="148">
        <f>IFERROR(__xludf.DUMMYFUNCTION("""COMPUTED_VALUE"""),1.174E7)</f>
        <v>11740000</v>
      </c>
      <c r="X2181" s="148">
        <f>IFERROR(__xludf.DUMMYFUNCTION("""COMPUTED_VALUE"""),0.0)</f>
        <v>0</v>
      </c>
      <c r="Y2181" s="148">
        <f>IFERROR(__xludf.DUMMYFUNCTION("""COMPUTED_VALUE"""),0.0)</f>
        <v>0</v>
      </c>
      <c r="Z2181" s="148"/>
    </row>
    <row r="2182">
      <c r="A2182" s="148">
        <f>IFERROR(__xludf.DUMMYFUNCTION("""COMPUTED_VALUE"""),1.1118899E7)</f>
        <v>11118899</v>
      </c>
      <c r="B2182" s="148" t="str">
        <f>IFERROR(__xludf.DUMMYFUNCTION("""COMPUTED_VALUE"""),"酒馆登陆bp-自选-机甲")</f>
        <v>酒馆登陆bp-自选-机甲</v>
      </c>
      <c r="C2182" s="148"/>
      <c r="D2182" s="148" t="str">
        <f>IFERROR(__xludf.DUMMYFUNCTION("""COMPUTED_VALUE"""),"battle_pass_card")</f>
        <v>battle_pass_card</v>
      </c>
      <c r="E2182" s="148">
        <f>IFERROR(__xludf.DUMMYFUNCTION("""COMPUTED_VALUE"""),0.0)</f>
        <v>0</v>
      </c>
      <c r="F2182" s="148">
        <f>IFERROR(__xludf.DUMMYFUNCTION("""COMPUTED_VALUE"""),0.0)</f>
        <v>0</v>
      </c>
      <c r="G2182" s="148">
        <f>IFERROR(__xludf.DUMMYFUNCTION("""COMPUTED_VALUE"""),1.5119263E7)</f>
        <v>15119263</v>
      </c>
      <c r="H2182" s="148">
        <f>IFERROR(__xludf.DUMMYFUNCTION("""COMPUTED_VALUE"""),1.5112563E7)</f>
        <v>15112563</v>
      </c>
      <c r="I2182" s="148" t="str">
        <f>IFERROR(__xludf.DUMMYFUNCTION("""COMPUTED_VALUE"""),"{}")</f>
        <v>{}</v>
      </c>
      <c r="J2182" s="148" t="str">
        <f>IFERROR(__xludf.DUMMYFUNCTION("""COMPUTED_VALUE"""),"{""typ"":""lc"",""txt"":""LC_IAP_login_bp_advanced_pkg""}")</f>
        <v>{"typ":"lc","txt":"LC_IAP_login_bp_advanced_pkg"}</v>
      </c>
      <c r="K2182" s="148" t="str">
        <f>IFERROR(__xludf.DUMMYFUNCTION("""COMPUTED_VALUE"""),"{}")</f>
        <v>{}</v>
      </c>
      <c r="L2182" s="148" t="str">
        <f>IFERROR(__xludf.DUMMYFUNCTION("""COMPUTED_VALUE"""),"{}")</f>
        <v>{}</v>
      </c>
      <c r="M2182" s="148">
        <f>IFERROR(__xludf.DUMMYFUNCTION("""COMPUTED_VALUE"""),10.0)</f>
        <v>10</v>
      </c>
      <c r="N2182" s="148">
        <f>IFERROR(__xludf.DUMMYFUNCTION("""COMPUTED_VALUE"""),999999.0)</f>
        <v>999999</v>
      </c>
      <c r="O2182" s="148">
        <f>IFERROR(__xludf.DUMMYFUNCTION("""COMPUTED_VALUE"""),99999.0)</f>
        <v>99999</v>
      </c>
      <c r="P2182" s="148">
        <f>IFERROR(__xludf.DUMMYFUNCTION("""COMPUTED_VALUE"""),9999.0)</f>
        <v>9999</v>
      </c>
      <c r="Q2182" s="148" t="str">
        <f>IFERROR(__xludf.DUMMYFUNCTION("""COMPUTED_VALUE"""),"[]")</f>
        <v>[]</v>
      </c>
      <c r="R2182" s="148" t="str">
        <f>IFERROR(__xludf.DUMMYFUNCTION("""COMPUTED_VALUE"""),"[]")</f>
        <v>[]</v>
      </c>
      <c r="S2182" s="148" t="str">
        <f>IFERROR(__xludf.DUMMYFUNCTION("""COMPUTED_VALUE"""),"{}")</f>
        <v>{}</v>
      </c>
      <c r="T2182" s="148">
        <f>IFERROR(__xludf.DUMMYFUNCTION("""COMPUTED_VALUE"""),-1.0)</f>
        <v>-1</v>
      </c>
      <c r="U2182" s="148">
        <f>IFERROR(__xludf.DUMMYFUNCTION("""COMPUTED_VALUE"""),1.0)</f>
        <v>1</v>
      </c>
      <c r="V2182" s="148" t="str">
        <f>IFERROR(__xludf.DUMMYFUNCTION("""COMPUTED_VALUE"""),"[]")</f>
        <v>[]</v>
      </c>
      <c r="W2182" s="148">
        <f>IFERROR(__xludf.DUMMYFUNCTION("""COMPUTED_VALUE"""),1.174E7)</f>
        <v>11740000</v>
      </c>
      <c r="X2182" s="148">
        <f>IFERROR(__xludf.DUMMYFUNCTION("""COMPUTED_VALUE"""),0.0)</f>
        <v>0</v>
      </c>
      <c r="Y2182" s="148">
        <f>IFERROR(__xludf.DUMMYFUNCTION("""COMPUTED_VALUE"""),0.0)</f>
        <v>0</v>
      </c>
      <c r="Z2182" s="148"/>
    </row>
    <row r="2183">
      <c r="A2183" s="148">
        <f>IFERROR(__xludf.DUMMYFUNCTION("""COMPUTED_VALUE"""),1.11189E7)</f>
        <v>11118900</v>
      </c>
      <c r="B2183" s="148" t="str">
        <f>IFERROR(__xludf.DUMMYFUNCTION("""COMPUTED_VALUE"""),"大象mj8圣诞节喷漆")</f>
        <v>大象mj8圣诞节喷漆</v>
      </c>
      <c r="C2183" s="148"/>
      <c r="D2183" s="148" t="str">
        <f>IFERROR(__xludf.DUMMYFUNCTION("""COMPUTED_VALUE"""),"mecha_skin_colour")</f>
        <v>mecha_skin_colour</v>
      </c>
      <c r="E2183" s="148">
        <f>IFERROR(__xludf.DUMMYFUNCTION("""COMPUTED_VALUE"""),32.0)</f>
        <v>32</v>
      </c>
      <c r="F2183" s="148">
        <f>IFERROR(__xludf.DUMMYFUNCTION("""COMPUTED_VALUE"""),0.0)</f>
        <v>0</v>
      </c>
      <c r="G2183" s="148">
        <f>IFERROR(__xludf.DUMMYFUNCTION("""COMPUTED_VALUE"""),1.51103863E8)</f>
        <v>151103863</v>
      </c>
      <c r="H2183" s="148">
        <f>IFERROR(__xludf.DUMMYFUNCTION("""COMPUTED_VALUE"""),1.5112563E7)</f>
        <v>15112563</v>
      </c>
      <c r="I2183" s="148" t="str">
        <f>IFERROR(__xludf.DUMMYFUNCTION("""COMPUTED_VALUE"""),"{}")</f>
        <v>{}</v>
      </c>
      <c r="J2183" s="148" t="str">
        <f>IFERROR(__xludf.DUMMYFUNCTION("""COMPUTED_VALUE"""),"{""typ"":""lc"",""txt"":""LC_HERO_mecha_skin_colour_name_82""}")</f>
        <v>{"typ":"lc","txt":"LC_HERO_mecha_skin_colour_name_82"}</v>
      </c>
      <c r="K2183" s="148" t="str">
        <f>IFERROR(__xludf.DUMMYFUNCTION("""COMPUTED_VALUE"""),"{""typ"":""lc"",""txt"":""LC_HERO_mecha_skin_colour_desc_82""}")</f>
        <v>{"typ":"lc","txt":"LC_HERO_mecha_skin_colour_desc_82"}</v>
      </c>
      <c r="L2183" s="148" t="str">
        <f>IFERROR(__xludf.DUMMYFUNCTION("""COMPUTED_VALUE"""),"{""typ"":""lc"",""txt"":""LC_HERO_mecha_skin_colour_use_tips_82""}")</f>
        <v>{"typ":"lc","txt":"LC_HERO_mecha_skin_colour_use_tips_82"}</v>
      </c>
      <c r="M2183" s="148">
        <f>IFERROR(__xludf.DUMMYFUNCTION("""COMPUTED_VALUE"""),2500.0)</f>
        <v>2500</v>
      </c>
      <c r="N2183" s="148">
        <f>IFERROR(__xludf.DUMMYFUNCTION("""COMPUTED_VALUE"""),999999.0)</f>
        <v>999999</v>
      </c>
      <c r="O2183" s="148">
        <f>IFERROR(__xludf.DUMMYFUNCTION("""COMPUTED_VALUE"""),99999.0)</f>
        <v>99999</v>
      </c>
      <c r="P2183" s="148">
        <f>IFERROR(__xludf.DUMMYFUNCTION("""COMPUTED_VALUE"""),1.0)</f>
        <v>1</v>
      </c>
      <c r="Q2183" s="148" t="str">
        <f>IFERROR(__xludf.DUMMYFUNCTION("""COMPUTED_VALUE"""),"[""bag_other""]")</f>
        <v>["bag_other"]</v>
      </c>
      <c r="R2183" s="148" t="str">
        <f>IFERROR(__xludf.DUMMYFUNCTION("""COMPUTED_VALUE"""),"[""bag"",""40114008""]")</f>
        <v>["bag","40114008"]</v>
      </c>
      <c r="S2183" s="148" t="str">
        <f>IFERROR(__xludf.DUMMYFUNCTION("""COMPUTED_VALUE"""),"{""effect"":[{""typ"":""mecha_colour"",""id"":40116008,""val"":-1},{""typ"":""item"",""id"":11111034,""val"":10}]}")</f>
        <v>{"effect":[{"typ":"mecha_colour","id":40116008,"val":-1},{"typ":"item","id":11111034,"val":10}]}</v>
      </c>
      <c r="T2183" s="148">
        <f>IFERROR(__xludf.DUMMYFUNCTION("""COMPUTED_VALUE"""),-1.0)</f>
        <v>-1</v>
      </c>
      <c r="U2183" s="148">
        <f>IFERROR(__xludf.DUMMYFUNCTION("""COMPUTED_VALUE"""),0.0)</f>
        <v>0</v>
      </c>
      <c r="V2183" s="148" t="str">
        <f>IFERROR(__xludf.DUMMYFUNCTION("""COMPUTED_VALUE"""),"[]")</f>
        <v>[]</v>
      </c>
      <c r="W2183" s="148">
        <f>IFERROR(__xludf.DUMMYFUNCTION("""COMPUTED_VALUE"""),1.174E7)</f>
        <v>11740000</v>
      </c>
      <c r="X2183" s="148">
        <f>IFERROR(__xludf.DUMMYFUNCTION("""COMPUTED_VALUE"""),0.0)</f>
        <v>0</v>
      </c>
      <c r="Y2183" s="148">
        <f>IFERROR(__xludf.DUMMYFUNCTION("""COMPUTED_VALUE"""),0.0)</f>
        <v>0</v>
      </c>
      <c r="Z2183" s="148"/>
    </row>
    <row r="2184">
      <c r="A2184" s="148">
        <f>IFERROR(__xludf.DUMMYFUNCTION("""COMPUTED_VALUE"""),1.1118901E7)</f>
        <v>11118901</v>
      </c>
      <c r="B2184" s="148" t="str">
        <f>IFERROR(__xludf.DUMMYFUNCTION("""COMPUTED_VALUE"""),"巅峰领土-船票")</f>
        <v>巅峰领土-船票</v>
      </c>
      <c r="C2184" s="148"/>
      <c r="D2184" s="148" t="str">
        <f>IFERROR(__xludf.DUMMYFUNCTION("""COMPUTED_VALUE"""),"item_asset")</f>
        <v>item_asset</v>
      </c>
      <c r="E2184" s="148">
        <f>IFERROR(__xludf.DUMMYFUNCTION("""COMPUTED_VALUE"""),0.0)</f>
        <v>0</v>
      </c>
      <c r="F2184" s="148">
        <f>IFERROR(__xludf.DUMMYFUNCTION("""COMPUTED_VALUE"""),405219.0)</f>
        <v>405219</v>
      </c>
      <c r="G2184" s="148">
        <f>IFERROR(__xludf.DUMMYFUNCTION("""COMPUTED_VALUE"""),1.51138E7)</f>
        <v>15113800</v>
      </c>
      <c r="H2184" s="148">
        <f>IFERROR(__xludf.DUMMYFUNCTION("""COMPUTED_VALUE"""),1.5112563E7)</f>
        <v>15112563</v>
      </c>
      <c r="I2184" s="148" t="str">
        <f>IFERROR(__xludf.DUMMYFUNCTION("""COMPUTED_VALUE"""),"{}")</f>
        <v>{}</v>
      </c>
      <c r="J2184" s="148" t="str">
        <f>IFERROR(__xludf.DUMMYFUNCTION("""COMPUTED_VALUE"""),"{""typ"":""lc"",""txt"":""LC_ITEM_kvk_ticket_name""}")</f>
        <v>{"typ":"lc","txt":"LC_ITEM_kvk_ticket_name"}</v>
      </c>
      <c r="K2184" s="148" t="str">
        <f>IFERROR(__xludf.DUMMYFUNCTION("""COMPUTED_VALUE"""),"{""typ"":""lc"",""txt"":""LC_ITEM_kvk_ticket_desc""}")</f>
        <v>{"typ":"lc","txt":"LC_ITEM_kvk_ticket_desc"}</v>
      </c>
      <c r="L2184" s="148" t="str">
        <f>IFERROR(__xludf.DUMMYFUNCTION("""COMPUTED_VALUE"""),"{}")</f>
        <v>{}</v>
      </c>
      <c r="M2184" s="148">
        <f>IFERROR(__xludf.DUMMYFUNCTION("""COMPUTED_VALUE"""),1000.0)</f>
        <v>1000</v>
      </c>
      <c r="N2184" s="148">
        <f>IFERROR(__xludf.DUMMYFUNCTION("""COMPUTED_VALUE"""),999999.0)</f>
        <v>999999</v>
      </c>
      <c r="O2184" s="148">
        <f>IFERROR(__xludf.DUMMYFUNCTION("""COMPUTED_VALUE"""),99999.0)</f>
        <v>99999</v>
      </c>
      <c r="P2184" s="148">
        <f>IFERROR(__xludf.DUMMYFUNCTION("""COMPUTED_VALUE"""),9999.0)</f>
        <v>9999</v>
      </c>
      <c r="Q2184" s="148" t="str">
        <f>IFERROR(__xludf.DUMMYFUNCTION("""COMPUTED_VALUE"""),"[""bag_other""]")</f>
        <v>["bag_other"]</v>
      </c>
      <c r="R2184" s="148" t="str">
        <f>IFERROR(__xludf.DUMMYFUNCTION("""COMPUTED_VALUE"""),"[]")</f>
        <v>[]</v>
      </c>
      <c r="S2184" s="148" t="str">
        <f>IFERROR(__xludf.DUMMYFUNCTION("""COMPUTED_VALUE"""),"{}")</f>
        <v>{}</v>
      </c>
      <c r="T2184" s="148">
        <f>IFERROR(__xludf.DUMMYFUNCTION("""COMPUTED_VALUE"""),-1.0)</f>
        <v>-1</v>
      </c>
      <c r="U2184" s="148">
        <f>IFERROR(__xludf.DUMMYFUNCTION("""COMPUTED_VALUE"""),0.0)</f>
        <v>0</v>
      </c>
      <c r="V2184" s="148" t="str">
        <f>IFERROR(__xludf.DUMMYFUNCTION("""COMPUTED_VALUE"""),"[]")</f>
        <v>[]</v>
      </c>
      <c r="W2184" s="148">
        <f>IFERROR(__xludf.DUMMYFUNCTION("""COMPUTED_VALUE"""),1.174E7)</f>
        <v>11740000</v>
      </c>
      <c r="X2184" s="148">
        <f>IFERROR(__xludf.DUMMYFUNCTION("""COMPUTED_VALUE"""),0.0)</f>
        <v>0</v>
      </c>
      <c r="Y2184" s="148">
        <f>IFERROR(__xludf.DUMMYFUNCTION("""COMPUTED_VALUE"""),0.0)</f>
        <v>0</v>
      </c>
      <c r="Z2184" s="148"/>
    </row>
    <row r="2185">
      <c r="A2185" s="148">
        <f>IFERROR(__xludf.DUMMYFUNCTION("""COMPUTED_VALUE"""),1.1118902E7)</f>
        <v>11118902</v>
      </c>
      <c r="B2185" s="148" t="str">
        <f>IFERROR(__xludf.DUMMYFUNCTION("""COMPUTED_VALUE"""),"巅峰领土-传送道具")</f>
        <v>巅峰领土-传送道具</v>
      </c>
      <c r="C2185" s="148"/>
      <c r="D2185" s="148" t="str">
        <f>IFERROR(__xludf.DUMMYFUNCTION("""COMPUTED_VALUE"""),"item_asset")</f>
        <v>item_asset</v>
      </c>
      <c r="E2185" s="148">
        <f>IFERROR(__xludf.DUMMYFUNCTION("""COMPUTED_VALUE"""),0.0)</f>
        <v>0</v>
      </c>
      <c r="F2185" s="148">
        <f>IFERROR(__xludf.DUMMYFUNCTION("""COMPUTED_VALUE"""),407201.0)</f>
        <v>407201</v>
      </c>
      <c r="G2185" s="148">
        <f>IFERROR(__xludf.DUMMYFUNCTION("""COMPUTED_VALUE"""),1.5118027E7)</f>
        <v>15118027</v>
      </c>
      <c r="H2185" s="148">
        <f>IFERROR(__xludf.DUMMYFUNCTION("""COMPUTED_VALUE"""),1.5112563E7)</f>
        <v>15112563</v>
      </c>
      <c r="I2185" s="148" t="str">
        <f>IFERROR(__xludf.DUMMYFUNCTION("""COMPUTED_VALUE"""),"{}")</f>
        <v>{}</v>
      </c>
      <c r="J2185" s="148" t="str">
        <f>IFERROR(__xludf.DUMMYFUNCTION("""COMPUTED_VALUE"""),"{""typ"":""lc"",""txt"":""LC_MAP_teleport_energ_name""}")</f>
        <v>{"typ":"lc","txt":"LC_MAP_teleport_energ_name"}</v>
      </c>
      <c r="K2185" s="148" t="str">
        <f>IFERROR(__xludf.DUMMYFUNCTION("""COMPUTED_VALUE"""),"{""typ"":""lc"",""txt"":""LC_MAP_teleport_energ_desc""}")</f>
        <v>{"typ":"lc","txt":"LC_MAP_teleport_energ_desc"}</v>
      </c>
      <c r="L2185" s="148" t="str">
        <f>IFERROR(__xludf.DUMMYFUNCTION("""COMPUTED_VALUE"""),"{}")</f>
        <v>{}</v>
      </c>
      <c r="M2185" s="148">
        <f>IFERROR(__xludf.DUMMYFUNCTION("""COMPUTED_VALUE"""),1000.0)</f>
        <v>1000</v>
      </c>
      <c r="N2185" s="148">
        <f>IFERROR(__xludf.DUMMYFUNCTION("""COMPUTED_VALUE"""),999999.0)</f>
        <v>999999</v>
      </c>
      <c r="O2185" s="148">
        <f>IFERROR(__xludf.DUMMYFUNCTION("""COMPUTED_VALUE"""),99999.0)</f>
        <v>99999</v>
      </c>
      <c r="P2185" s="148">
        <f>IFERROR(__xludf.DUMMYFUNCTION("""COMPUTED_VALUE"""),9999.0)</f>
        <v>9999</v>
      </c>
      <c r="Q2185" s="148" t="str">
        <f>IFERROR(__xludf.DUMMYFUNCTION("""COMPUTED_VALUE"""),"[]")</f>
        <v>[]</v>
      </c>
      <c r="R2185" s="148" t="str">
        <f>IFERROR(__xludf.DUMMYFUNCTION("""COMPUTED_VALUE"""),"[]")</f>
        <v>[]</v>
      </c>
      <c r="S2185" s="148" t="str">
        <f>IFERROR(__xludf.DUMMYFUNCTION("""COMPUTED_VALUE"""),"{}")</f>
        <v>{}</v>
      </c>
      <c r="T2185" s="148">
        <f>IFERROR(__xludf.DUMMYFUNCTION("""COMPUTED_VALUE"""),-1.0)</f>
        <v>-1</v>
      </c>
      <c r="U2185" s="148">
        <f>IFERROR(__xludf.DUMMYFUNCTION("""COMPUTED_VALUE"""),0.0)</f>
        <v>0</v>
      </c>
      <c r="V2185" s="148" t="str">
        <f>IFERROR(__xludf.DUMMYFUNCTION("""COMPUTED_VALUE"""),"[]")</f>
        <v>[]</v>
      </c>
      <c r="W2185" s="148">
        <f>IFERROR(__xludf.DUMMYFUNCTION("""COMPUTED_VALUE"""),1.174E7)</f>
        <v>11740000</v>
      </c>
      <c r="X2185" s="148">
        <f>IFERROR(__xludf.DUMMYFUNCTION("""COMPUTED_VALUE"""),0.0)</f>
        <v>0</v>
      </c>
      <c r="Y2185" s="148">
        <f>IFERROR(__xludf.DUMMYFUNCTION("""COMPUTED_VALUE"""),0.0)</f>
        <v>0</v>
      </c>
      <c r="Z2185" s="148"/>
    </row>
    <row r="2186">
      <c r="A2186" s="148">
        <f>IFERROR(__xludf.DUMMYFUNCTION("""COMPUTED_VALUE"""),1.1118903E7)</f>
        <v>11118903</v>
      </c>
      <c r="B2186" s="148" t="str">
        <f>IFERROR(__xludf.DUMMYFUNCTION("""COMPUTED_VALUE"""),"巅峰领土-死兵返还排行榜比例提升-5%")</f>
        <v>巅峰领土-死兵返还排行榜比例提升-5%</v>
      </c>
      <c r="C2186" s="148"/>
      <c r="D2186" s="148" t="str">
        <f>IFERROR(__xludf.DUMMYFUNCTION("""COMPUTED_VALUE"""),"item_buff")</f>
        <v>item_buff</v>
      </c>
      <c r="E2186" s="148">
        <f>IFERROR(__xludf.DUMMYFUNCTION("""COMPUTED_VALUE"""),0.0)</f>
        <v>0</v>
      </c>
      <c r="F2186" s="148">
        <f>IFERROR(__xludf.DUMMYFUNCTION("""COMPUTED_VALUE"""),404102.0)</f>
        <v>404102</v>
      </c>
      <c r="G2186" s="148">
        <f>IFERROR(__xludf.DUMMYFUNCTION("""COMPUTED_VALUE"""),1.5113801E7)</f>
        <v>15113801</v>
      </c>
      <c r="H2186" s="148">
        <f>IFERROR(__xludf.DUMMYFUNCTION("""COMPUTED_VALUE"""),1.5112564E7)</f>
        <v>15112564</v>
      </c>
      <c r="I2186" s="148" t="str">
        <f>IFERROR(__xludf.DUMMYFUNCTION("""COMPUTED_VALUE"""),"{""typ"":""lc"",""txt"":""LC_ITEM_buff_val_upper_show"",""args"":[{""typ"":""int"",""val"":5}]}")</f>
        <v>{"typ":"lc","txt":"LC_ITEM_buff_val_upper_show","args":[{"typ":"int","val":5}]}</v>
      </c>
      <c r="J2186" s="148" t="str">
        <f>IFERROR(__xludf.DUMMYFUNCTION("""COMPUTED_VALUE"""),"{""typ"":""lc"",""txt"":""LC_ITEM_kvk_emergency_cabin_upgrade_name""}")</f>
        <v>{"typ":"lc","txt":"LC_ITEM_kvk_emergency_cabin_upgrade_name"}</v>
      </c>
      <c r="K2186" s="148" t="str">
        <f>IFERROR(__xludf.DUMMYFUNCTION("""COMPUTED_VALUE"""),"{""typ"":""lc"",""txt"":""LC_ITEM_kvk_emergency_cabin_upgrade_desc"",""args"":[{""typ"":""int"",""val"":5}]}")</f>
        <v>{"typ":"lc","txt":"LC_ITEM_kvk_emergency_cabin_upgrade_desc","args":[{"typ":"int","val":5}]}</v>
      </c>
      <c r="L2186" s="148" t="str">
        <f>IFERROR(__xludf.DUMMYFUNCTION("""COMPUTED_VALUE"""),"{""typ"":""lc"",""txt"":""LC_ITEM_kvk_emergency_cabin_upgrade_usetip""}")</f>
        <v>{"typ":"lc","txt":"LC_ITEM_kvk_emergency_cabin_upgrade_usetip"}</v>
      </c>
      <c r="M2186" s="148">
        <f>IFERROR(__xludf.DUMMYFUNCTION("""COMPUTED_VALUE"""),40500.0)</f>
        <v>40500</v>
      </c>
      <c r="N2186" s="148">
        <f>IFERROR(__xludf.DUMMYFUNCTION("""COMPUTED_VALUE"""),100.0)</f>
        <v>100</v>
      </c>
      <c r="O2186" s="148">
        <f>IFERROR(__xludf.DUMMYFUNCTION("""COMPUTED_VALUE"""),100.0)</f>
        <v>100</v>
      </c>
      <c r="P2186" s="148">
        <f>IFERROR(__xludf.DUMMYFUNCTION("""COMPUTED_VALUE"""),100.0)</f>
        <v>100</v>
      </c>
      <c r="Q2186" s="148" t="str">
        <f>IFERROR(__xludf.DUMMYFUNCTION("""COMPUTED_VALUE"""),"[""bag_other""]")</f>
        <v>["bag_other"]</v>
      </c>
      <c r="R2186" s="148" t="str">
        <f>IFERROR(__xludf.DUMMYFUNCTION("""COMPUTED_VALUE"""),"[]")</f>
        <v>[]</v>
      </c>
      <c r="S2186" s="148" t="str">
        <f>IFERROR(__xludf.DUMMYFUNCTION("""COMPUTED_VALUE"""),"{""effect"":[{""typ"":""buff"",""id"":121116034,""val"":-1,""arg1"":0.05}]}")</f>
        <v>{"effect":[{"typ":"buff","id":121116034,"val":-1,"arg1":0.05}]}</v>
      </c>
      <c r="T2186" s="148">
        <f>IFERROR(__xludf.DUMMYFUNCTION("""COMPUTED_VALUE"""),-1.0)</f>
        <v>-1</v>
      </c>
      <c r="U2186" s="148">
        <f>IFERROR(__xludf.DUMMYFUNCTION("""COMPUTED_VALUE"""),1.0)</f>
        <v>1</v>
      </c>
      <c r="V2186" s="148" t="str">
        <f>IFERROR(__xludf.DUMMYFUNCTION("""COMPUTED_VALUE"""),"[]")</f>
        <v>[]</v>
      </c>
      <c r="W2186" s="148">
        <f>IFERROR(__xludf.DUMMYFUNCTION("""COMPUTED_VALUE"""),1.174E7)</f>
        <v>11740000</v>
      </c>
      <c r="X2186" s="148">
        <f>IFERROR(__xludf.DUMMYFUNCTION("""COMPUTED_VALUE"""),0.0)</f>
        <v>0</v>
      </c>
      <c r="Y2186" s="148">
        <f>IFERROR(__xludf.DUMMYFUNCTION("""COMPUTED_VALUE"""),0.0)</f>
        <v>0</v>
      </c>
      <c r="Z2186" s="148"/>
    </row>
    <row r="2187">
      <c r="A2187" s="148">
        <f>IFERROR(__xludf.DUMMYFUNCTION("""COMPUTED_VALUE"""),1.1118904E7)</f>
        <v>11118904</v>
      </c>
      <c r="B2187" s="148" t="str">
        <f>IFERROR(__xludf.DUMMYFUNCTION("""COMPUTED_VALUE"""),"巅峰领土-获得自动使用获得建筑材料")</f>
        <v>巅峰领土-获得自动使用获得建筑材料</v>
      </c>
      <c r="C2187" s="148"/>
      <c r="D2187" s="148" t="str">
        <f>IFERROR(__xludf.DUMMYFUNCTION("""COMPUTED_VALUE"""),"horde_item")</f>
        <v>horde_item</v>
      </c>
      <c r="E2187" s="148">
        <f>IFERROR(__xludf.DUMMYFUNCTION("""COMPUTED_VALUE"""),0.0)</f>
        <v>0</v>
      </c>
      <c r="F2187" s="148">
        <f>IFERROR(__xludf.DUMMYFUNCTION("""COMPUTED_VALUE"""),404102.0)</f>
        <v>404102</v>
      </c>
      <c r="G2187" s="148">
        <f>IFERROR(__xludf.DUMMYFUNCTION("""COMPUTED_VALUE"""),1.5118025E7)</f>
        <v>15118025</v>
      </c>
      <c r="H2187" s="148">
        <f>IFERROR(__xludf.DUMMYFUNCTION("""COMPUTED_VALUE"""),1.5112564E7)</f>
        <v>15112564</v>
      </c>
      <c r="I2187" s="148" t="str">
        <f>IFERROR(__xludf.DUMMYFUNCTION("""COMPUTED_VALUE"""),"{}")</f>
        <v>{}</v>
      </c>
      <c r="J2187" s="148" t="str">
        <f>IFERROR(__xludf.DUMMYFUNCTION("""COMPUTED_VALUE"""),"{""typ"":""lc"",""txt"":""LC_MAP_miniwar_rss_name_1""}")</f>
        <v>{"typ":"lc","txt":"LC_MAP_miniwar_rss_name_1"}</v>
      </c>
      <c r="K2187" s="148" t="str">
        <f>IFERROR(__xludf.DUMMYFUNCTION("""COMPUTED_VALUE"""),"{""typ"":""lc"",""txt"":""LC_MAP_miniwar_rss_desc_1""}")</f>
        <v>{"typ":"lc","txt":"LC_MAP_miniwar_rss_desc_1"}</v>
      </c>
      <c r="L2187" s="148" t="str">
        <f>IFERROR(__xludf.DUMMYFUNCTION("""COMPUTED_VALUE"""),"{}")</f>
        <v>{}</v>
      </c>
      <c r="M2187" s="148">
        <f>IFERROR(__xludf.DUMMYFUNCTION("""COMPUTED_VALUE"""),1000.0)</f>
        <v>1000</v>
      </c>
      <c r="N2187" s="148">
        <f>IFERROR(__xludf.DUMMYFUNCTION("""COMPUTED_VALUE"""),999999.0)</f>
        <v>999999</v>
      </c>
      <c r="O2187" s="148">
        <f>IFERROR(__xludf.DUMMYFUNCTION("""COMPUTED_VALUE"""),99999.0)</f>
        <v>99999</v>
      </c>
      <c r="P2187" s="148">
        <f>IFERROR(__xludf.DUMMYFUNCTION("""COMPUTED_VALUE"""),9999.0)</f>
        <v>9999</v>
      </c>
      <c r="Q2187" s="148" t="str">
        <f>IFERROR(__xludf.DUMMYFUNCTION("""COMPUTED_VALUE"""),"[""non_bg""]")</f>
        <v>["non_bg"]</v>
      </c>
      <c r="R2187" s="148" t="str">
        <f>IFERROR(__xludf.DUMMYFUNCTION("""COMPUTED_VALUE"""),"[]")</f>
        <v>[]</v>
      </c>
      <c r="S2187" s="148" t="str">
        <f>IFERROR(__xludf.DUMMYFUNCTION("""COMPUTED_VALUE"""),"{""effect"":[{""typ"":""rss"",""id"":11142001,""val"":1}]}")</f>
        <v>{"effect":[{"typ":"rss","id":11142001,"val":1}]}</v>
      </c>
      <c r="T2187" s="148">
        <f>IFERROR(__xludf.DUMMYFUNCTION("""COMPUTED_VALUE"""),-1.0)</f>
        <v>-1</v>
      </c>
      <c r="U2187" s="148">
        <f>IFERROR(__xludf.DUMMYFUNCTION("""COMPUTED_VALUE"""),1.0)</f>
        <v>1</v>
      </c>
      <c r="V2187" s="148" t="str">
        <f>IFERROR(__xludf.DUMMYFUNCTION("""COMPUTED_VALUE"""),"[]")</f>
        <v>[]</v>
      </c>
      <c r="W2187" s="148">
        <f>IFERROR(__xludf.DUMMYFUNCTION("""COMPUTED_VALUE"""),1.174E7)</f>
        <v>11740000</v>
      </c>
      <c r="X2187" s="148">
        <f>IFERROR(__xludf.DUMMYFUNCTION("""COMPUTED_VALUE"""),0.0)</f>
        <v>0</v>
      </c>
      <c r="Y2187" s="148">
        <f>IFERROR(__xludf.DUMMYFUNCTION("""COMPUTED_VALUE"""),0.0)</f>
        <v>0</v>
      </c>
      <c r="Z2187" s="148"/>
    </row>
    <row r="2188">
      <c r="A2188" s="148">
        <f>IFERROR(__xludf.DUMMYFUNCTION("""COMPUTED_VALUE"""),1.1118905E7)</f>
        <v>11118905</v>
      </c>
      <c r="B2188" s="148" t="str">
        <f>IFERROR(__xludf.DUMMYFUNCTION("""COMPUTED_VALUE"""),"鳄鱼原始皮肤红色喷漆")</f>
        <v>鳄鱼原始皮肤红色喷漆</v>
      </c>
      <c r="C2188" s="148"/>
      <c r="D2188" s="148" t="str">
        <f>IFERROR(__xludf.DUMMYFUNCTION("""COMPUTED_VALUE"""),"mecha_skin_colour")</f>
        <v>mecha_skin_colour</v>
      </c>
      <c r="E2188" s="148">
        <f>IFERROR(__xludf.DUMMYFUNCTION("""COMPUTED_VALUE"""),32.0)</f>
        <v>32</v>
      </c>
      <c r="F2188" s="148">
        <f>IFERROR(__xludf.DUMMYFUNCTION("""COMPUTED_VALUE"""),0.0)</f>
        <v>0</v>
      </c>
      <c r="G2188" s="148">
        <f>IFERROR(__xludf.DUMMYFUNCTION("""COMPUTED_VALUE"""),1.51102962E8)</f>
        <v>151102962</v>
      </c>
      <c r="H2188" s="148">
        <f>IFERROR(__xludf.DUMMYFUNCTION("""COMPUTED_VALUE"""),1.5112563E7)</f>
        <v>15112563</v>
      </c>
      <c r="I2188" s="148" t="str">
        <f>IFERROR(__xludf.DUMMYFUNCTION("""COMPUTED_VALUE"""),"{}")</f>
        <v>{}</v>
      </c>
      <c r="J2188" s="148" t="str">
        <f>IFERROR(__xludf.DUMMYFUNCTION("""COMPUTED_VALUE"""),"{""typ"":""lc"",""txt"":""LC_HERO_mecha_skin_colour_name_75""}")</f>
        <v>{"typ":"lc","txt":"LC_HERO_mecha_skin_colour_name_75"}</v>
      </c>
      <c r="K2188" s="148" t="str">
        <f>IFERROR(__xludf.DUMMYFUNCTION("""COMPUTED_VALUE"""),"{""typ"":""lc"",""txt"":""LC_HERO_mecha_skin_colour_desc_75""}")</f>
        <v>{"typ":"lc","txt":"LC_HERO_mecha_skin_colour_desc_75"}</v>
      </c>
      <c r="L2188" s="148" t="str">
        <f>IFERROR(__xludf.DUMMYFUNCTION("""COMPUTED_VALUE"""),"{""typ"":""lc"",""txt"":""LC_HERO_mecha_skin_colour_use_tips_75""}")</f>
        <v>{"typ":"lc","txt":"LC_HERO_mecha_skin_colour_use_tips_75"}</v>
      </c>
      <c r="M2188" s="148">
        <f>IFERROR(__xludf.DUMMYFUNCTION("""COMPUTED_VALUE"""),2500.0)</f>
        <v>2500</v>
      </c>
      <c r="N2188" s="148">
        <f>IFERROR(__xludf.DUMMYFUNCTION("""COMPUTED_VALUE"""),999999.0)</f>
        <v>999999</v>
      </c>
      <c r="O2188" s="148">
        <f>IFERROR(__xludf.DUMMYFUNCTION("""COMPUTED_VALUE"""),99999.0)</f>
        <v>99999</v>
      </c>
      <c r="P2188" s="148">
        <f>IFERROR(__xludf.DUMMYFUNCTION("""COMPUTED_VALUE"""),1.0)</f>
        <v>1</v>
      </c>
      <c r="Q2188" s="148" t="str">
        <f>IFERROR(__xludf.DUMMYFUNCTION("""COMPUTED_VALUE"""),"[""bag_other""]")</f>
        <v>["bag_other"]</v>
      </c>
      <c r="R2188" s="148" t="str">
        <f>IFERROR(__xludf.DUMMYFUNCTION("""COMPUTED_VALUE"""),"[""bag"",""401112002""]")</f>
        <v>["bag","401112002"]</v>
      </c>
      <c r="S2188" s="148" t="str">
        <f>IFERROR(__xludf.DUMMYFUNCTION("""COMPUTED_VALUE"""),"{""effect"":[{""typ"":""mecha_colour"",""id"":401112002,""val"":-1},{""typ"":""item"",""id"":11111034,""val"":10}]}")</f>
        <v>{"effect":[{"typ":"mecha_colour","id":401112002,"val":-1},{"typ":"item","id":11111034,"val":10}]}</v>
      </c>
      <c r="T2188" s="148">
        <f>IFERROR(__xludf.DUMMYFUNCTION("""COMPUTED_VALUE"""),-1.0)</f>
        <v>-1</v>
      </c>
      <c r="U2188" s="148">
        <f>IFERROR(__xludf.DUMMYFUNCTION("""COMPUTED_VALUE"""),0.0)</f>
        <v>0</v>
      </c>
      <c r="V2188" s="148" t="str">
        <f>IFERROR(__xludf.DUMMYFUNCTION("""COMPUTED_VALUE"""),"[]")</f>
        <v>[]</v>
      </c>
      <c r="W2188" s="148">
        <f>IFERROR(__xludf.DUMMYFUNCTION("""COMPUTED_VALUE"""),1.174E7)</f>
        <v>11740000</v>
      </c>
      <c r="X2188" s="148">
        <f>IFERROR(__xludf.DUMMYFUNCTION("""COMPUTED_VALUE"""),0.0)</f>
        <v>0</v>
      </c>
      <c r="Y2188" s="148">
        <f>IFERROR(__xludf.DUMMYFUNCTION("""COMPUTED_VALUE"""),0.0)</f>
        <v>0</v>
      </c>
      <c r="Z2188" s="148"/>
    </row>
    <row r="2189">
      <c r="A2189" s="148">
        <f>IFERROR(__xludf.DUMMYFUNCTION("""COMPUTED_VALUE"""),1.1118906E7)</f>
        <v>11118906</v>
      </c>
      <c r="B2189" s="148" t="str">
        <f>IFERROR(__xludf.DUMMYFUNCTION("""COMPUTED_VALUE"""),"鳄鱼原始皮肤紫色喷漆")</f>
        <v>鳄鱼原始皮肤紫色喷漆</v>
      </c>
      <c r="C2189" s="148"/>
      <c r="D2189" s="148" t="str">
        <f>IFERROR(__xludf.DUMMYFUNCTION("""COMPUTED_VALUE"""),"mecha_skin_colour")</f>
        <v>mecha_skin_colour</v>
      </c>
      <c r="E2189" s="148">
        <f>IFERROR(__xludf.DUMMYFUNCTION("""COMPUTED_VALUE"""),32.0)</f>
        <v>32</v>
      </c>
      <c r="F2189" s="148">
        <f>IFERROR(__xludf.DUMMYFUNCTION("""COMPUTED_VALUE"""),0.0)</f>
        <v>0</v>
      </c>
      <c r="G2189" s="148">
        <f>IFERROR(__xludf.DUMMYFUNCTION("""COMPUTED_VALUE"""),1.51102963E8)</f>
        <v>151102963</v>
      </c>
      <c r="H2189" s="148">
        <f>IFERROR(__xludf.DUMMYFUNCTION("""COMPUTED_VALUE"""),1.5112563E7)</f>
        <v>15112563</v>
      </c>
      <c r="I2189" s="148" t="str">
        <f>IFERROR(__xludf.DUMMYFUNCTION("""COMPUTED_VALUE"""),"{}")</f>
        <v>{}</v>
      </c>
      <c r="J2189" s="148" t="str">
        <f>IFERROR(__xludf.DUMMYFUNCTION("""COMPUTED_VALUE"""),"{""typ"":""lc"",""txt"":""LC_HERO_mecha_skin_colour_name_76""}")</f>
        <v>{"typ":"lc","txt":"LC_HERO_mecha_skin_colour_name_76"}</v>
      </c>
      <c r="K2189" s="148" t="str">
        <f>IFERROR(__xludf.DUMMYFUNCTION("""COMPUTED_VALUE"""),"{""typ"":""lc"",""txt"":""LC_HERO_mecha_skin_colour_desc_76""}")</f>
        <v>{"typ":"lc","txt":"LC_HERO_mecha_skin_colour_desc_76"}</v>
      </c>
      <c r="L2189" s="148" t="str">
        <f>IFERROR(__xludf.DUMMYFUNCTION("""COMPUTED_VALUE"""),"{""typ"":""lc"",""txt"":""LC_HERO_mecha_skin_colour_use_tips_76""}")</f>
        <v>{"typ":"lc","txt":"LC_HERO_mecha_skin_colour_use_tips_76"}</v>
      </c>
      <c r="M2189" s="148">
        <f>IFERROR(__xludf.DUMMYFUNCTION("""COMPUTED_VALUE"""),2500.0)</f>
        <v>2500</v>
      </c>
      <c r="N2189" s="148">
        <f>IFERROR(__xludf.DUMMYFUNCTION("""COMPUTED_VALUE"""),999999.0)</f>
        <v>999999</v>
      </c>
      <c r="O2189" s="148">
        <f>IFERROR(__xludf.DUMMYFUNCTION("""COMPUTED_VALUE"""),99999.0)</f>
        <v>99999</v>
      </c>
      <c r="P2189" s="148">
        <f>IFERROR(__xludf.DUMMYFUNCTION("""COMPUTED_VALUE"""),1.0)</f>
        <v>1</v>
      </c>
      <c r="Q2189" s="148" t="str">
        <f>IFERROR(__xludf.DUMMYFUNCTION("""COMPUTED_VALUE"""),"[""bag_other""]")</f>
        <v>["bag_other"]</v>
      </c>
      <c r="R2189" s="148" t="str">
        <f>IFERROR(__xludf.DUMMYFUNCTION("""COMPUTED_VALUE"""),"[""bag"",""401112003""]")</f>
        <v>["bag","401112003"]</v>
      </c>
      <c r="S2189" s="148" t="str">
        <f>IFERROR(__xludf.DUMMYFUNCTION("""COMPUTED_VALUE"""),"{""effect"":[{""typ"":""mecha_colour"",""id"":401112003,""val"":-1},{""typ"":""item"",""id"":11111034,""val"":10}]}")</f>
        <v>{"effect":[{"typ":"mecha_colour","id":401112003,"val":-1},{"typ":"item","id":11111034,"val":10}]}</v>
      </c>
      <c r="T2189" s="148">
        <f>IFERROR(__xludf.DUMMYFUNCTION("""COMPUTED_VALUE"""),-1.0)</f>
        <v>-1</v>
      </c>
      <c r="U2189" s="148">
        <f>IFERROR(__xludf.DUMMYFUNCTION("""COMPUTED_VALUE"""),0.0)</f>
        <v>0</v>
      </c>
      <c r="V2189" s="148" t="str">
        <f>IFERROR(__xludf.DUMMYFUNCTION("""COMPUTED_VALUE"""),"[]")</f>
        <v>[]</v>
      </c>
      <c r="W2189" s="148">
        <f>IFERROR(__xludf.DUMMYFUNCTION("""COMPUTED_VALUE"""),1.174E7)</f>
        <v>11740000</v>
      </c>
      <c r="X2189" s="148">
        <f>IFERROR(__xludf.DUMMYFUNCTION("""COMPUTED_VALUE"""),0.0)</f>
        <v>0</v>
      </c>
      <c r="Y2189" s="148">
        <f>IFERROR(__xludf.DUMMYFUNCTION("""COMPUTED_VALUE"""),0.0)</f>
        <v>0</v>
      </c>
      <c r="Z2189" s="148"/>
    </row>
    <row r="2190">
      <c r="A2190" s="148">
        <f>IFERROR(__xludf.DUMMYFUNCTION("""COMPUTED_VALUE"""),1.1118907E7)</f>
        <v>11118907</v>
      </c>
      <c r="B2190" s="148" t="str">
        <f>IFERROR(__xludf.DUMMYFUNCTION("""COMPUTED_VALUE"""),"鳄鱼原始皮肤青色喷漆")</f>
        <v>鳄鱼原始皮肤青色喷漆</v>
      </c>
      <c r="C2190" s="148"/>
      <c r="D2190" s="148" t="str">
        <f>IFERROR(__xludf.DUMMYFUNCTION("""COMPUTED_VALUE"""),"mecha_skin_colour")</f>
        <v>mecha_skin_colour</v>
      </c>
      <c r="E2190" s="148">
        <f>IFERROR(__xludf.DUMMYFUNCTION("""COMPUTED_VALUE"""),32.0)</f>
        <v>32</v>
      </c>
      <c r="F2190" s="148">
        <f>IFERROR(__xludf.DUMMYFUNCTION("""COMPUTED_VALUE"""),0.0)</f>
        <v>0</v>
      </c>
      <c r="G2190" s="148">
        <f>IFERROR(__xludf.DUMMYFUNCTION("""COMPUTED_VALUE"""),1.51102964E8)</f>
        <v>151102964</v>
      </c>
      <c r="H2190" s="148">
        <f>IFERROR(__xludf.DUMMYFUNCTION("""COMPUTED_VALUE"""),1.5112563E7)</f>
        <v>15112563</v>
      </c>
      <c r="I2190" s="148" t="str">
        <f>IFERROR(__xludf.DUMMYFUNCTION("""COMPUTED_VALUE"""),"{}")</f>
        <v>{}</v>
      </c>
      <c r="J2190" s="148" t="str">
        <f>IFERROR(__xludf.DUMMYFUNCTION("""COMPUTED_VALUE"""),"{""typ"":""lc"",""txt"":""LC_HERO_mecha_skin_colour_name_77""}")</f>
        <v>{"typ":"lc","txt":"LC_HERO_mecha_skin_colour_name_77"}</v>
      </c>
      <c r="K2190" s="148" t="str">
        <f>IFERROR(__xludf.DUMMYFUNCTION("""COMPUTED_VALUE"""),"{""typ"":""lc"",""txt"":""LC_HERO_mecha_skin_colour_desc_77""}")</f>
        <v>{"typ":"lc","txt":"LC_HERO_mecha_skin_colour_desc_77"}</v>
      </c>
      <c r="L2190" s="148" t="str">
        <f>IFERROR(__xludf.DUMMYFUNCTION("""COMPUTED_VALUE"""),"{""typ"":""lc"",""txt"":""LC_HERO_mecha_skin_colour_use_tips_77""}")</f>
        <v>{"typ":"lc","txt":"LC_HERO_mecha_skin_colour_use_tips_77"}</v>
      </c>
      <c r="M2190" s="148">
        <f>IFERROR(__xludf.DUMMYFUNCTION("""COMPUTED_VALUE"""),2500.0)</f>
        <v>2500</v>
      </c>
      <c r="N2190" s="148">
        <f>IFERROR(__xludf.DUMMYFUNCTION("""COMPUTED_VALUE"""),999999.0)</f>
        <v>999999</v>
      </c>
      <c r="O2190" s="148">
        <f>IFERROR(__xludf.DUMMYFUNCTION("""COMPUTED_VALUE"""),99999.0)</f>
        <v>99999</v>
      </c>
      <c r="P2190" s="148">
        <f>IFERROR(__xludf.DUMMYFUNCTION("""COMPUTED_VALUE"""),1.0)</f>
        <v>1</v>
      </c>
      <c r="Q2190" s="148" t="str">
        <f>IFERROR(__xludf.DUMMYFUNCTION("""COMPUTED_VALUE"""),"[""bag_other""]")</f>
        <v>["bag_other"]</v>
      </c>
      <c r="R2190" s="148" t="str">
        <f>IFERROR(__xludf.DUMMYFUNCTION("""COMPUTED_VALUE"""),"[""bag"",""401112004""]")</f>
        <v>["bag","401112004"]</v>
      </c>
      <c r="S2190" s="148" t="str">
        <f>IFERROR(__xludf.DUMMYFUNCTION("""COMPUTED_VALUE"""),"{""effect"":[{""typ"":""mecha_colour"",""id"":401112004,""val"":-1},{""typ"":""item"",""id"":11111034,""val"":10}]}")</f>
        <v>{"effect":[{"typ":"mecha_colour","id":401112004,"val":-1},{"typ":"item","id":11111034,"val":10}]}</v>
      </c>
      <c r="T2190" s="148">
        <f>IFERROR(__xludf.DUMMYFUNCTION("""COMPUTED_VALUE"""),-1.0)</f>
        <v>-1</v>
      </c>
      <c r="U2190" s="148">
        <f>IFERROR(__xludf.DUMMYFUNCTION("""COMPUTED_VALUE"""),0.0)</f>
        <v>0</v>
      </c>
      <c r="V2190" s="148" t="str">
        <f>IFERROR(__xludf.DUMMYFUNCTION("""COMPUTED_VALUE"""),"[]")</f>
        <v>[]</v>
      </c>
      <c r="W2190" s="148">
        <f>IFERROR(__xludf.DUMMYFUNCTION("""COMPUTED_VALUE"""),1.174E7)</f>
        <v>11740000</v>
      </c>
      <c r="X2190" s="148">
        <f>IFERROR(__xludf.DUMMYFUNCTION("""COMPUTED_VALUE"""),0.0)</f>
        <v>0</v>
      </c>
      <c r="Y2190" s="148">
        <f>IFERROR(__xludf.DUMMYFUNCTION("""COMPUTED_VALUE"""),0.0)</f>
        <v>0</v>
      </c>
      <c r="Z2190" s="148"/>
    </row>
    <row r="2191">
      <c r="A2191" s="148">
        <f>IFERROR(__xludf.DUMMYFUNCTION("""COMPUTED_VALUE"""),1.1118908E7)</f>
        <v>11118908</v>
      </c>
      <c r="B2191" s="148" t="str">
        <f>IFERROR(__xludf.DUMMYFUNCTION("""COMPUTED_VALUE"""),"鳄鱼原始皮肤粉色喷漆")</f>
        <v>鳄鱼原始皮肤粉色喷漆</v>
      </c>
      <c r="C2191" s="148"/>
      <c r="D2191" s="148" t="str">
        <f>IFERROR(__xludf.DUMMYFUNCTION("""COMPUTED_VALUE"""),"mecha_skin_colour")</f>
        <v>mecha_skin_colour</v>
      </c>
      <c r="E2191" s="148">
        <f>IFERROR(__xludf.DUMMYFUNCTION("""COMPUTED_VALUE"""),32.0)</f>
        <v>32</v>
      </c>
      <c r="F2191" s="148">
        <f>IFERROR(__xludf.DUMMYFUNCTION("""COMPUTED_VALUE"""),0.0)</f>
        <v>0</v>
      </c>
      <c r="G2191" s="148">
        <f>IFERROR(__xludf.DUMMYFUNCTION("""COMPUTED_VALUE"""),1.51102965E8)</f>
        <v>151102965</v>
      </c>
      <c r="H2191" s="148">
        <f>IFERROR(__xludf.DUMMYFUNCTION("""COMPUTED_VALUE"""),1.5112563E7)</f>
        <v>15112563</v>
      </c>
      <c r="I2191" s="148" t="str">
        <f>IFERROR(__xludf.DUMMYFUNCTION("""COMPUTED_VALUE"""),"{}")</f>
        <v>{}</v>
      </c>
      <c r="J2191" s="148" t="str">
        <f>IFERROR(__xludf.DUMMYFUNCTION("""COMPUTED_VALUE"""),"{""typ"":""lc"",""txt"":""LC_HERO_mecha_skin_colour_name_78""}")</f>
        <v>{"typ":"lc","txt":"LC_HERO_mecha_skin_colour_name_78"}</v>
      </c>
      <c r="K2191" s="148" t="str">
        <f>IFERROR(__xludf.DUMMYFUNCTION("""COMPUTED_VALUE"""),"{""typ"":""lc"",""txt"":""LC_HERO_mecha_skin_colour_desc_78""}")</f>
        <v>{"typ":"lc","txt":"LC_HERO_mecha_skin_colour_desc_78"}</v>
      </c>
      <c r="L2191" s="148" t="str">
        <f>IFERROR(__xludf.DUMMYFUNCTION("""COMPUTED_VALUE"""),"{""typ"":""lc"",""txt"":""LC_HERO_mecha_skin_colour_use_tips_78""}")</f>
        <v>{"typ":"lc","txt":"LC_HERO_mecha_skin_colour_use_tips_78"}</v>
      </c>
      <c r="M2191" s="148">
        <f>IFERROR(__xludf.DUMMYFUNCTION("""COMPUTED_VALUE"""),2500.0)</f>
        <v>2500</v>
      </c>
      <c r="N2191" s="148">
        <f>IFERROR(__xludf.DUMMYFUNCTION("""COMPUTED_VALUE"""),999999.0)</f>
        <v>999999</v>
      </c>
      <c r="O2191" s="148">
        <f>IFERROR(__xludf.DUMMYFUNCTION("""COMPUTED_VALUE"""),99999.0)</f>
        <v>99999</v>
      </c>
      <c r="P2191" s="148">
        <f>IFERROR(__xludf.DUMMYFUNCTION("""COMPUTED_VALUE"""),1.0)</f>
        <v>1</v>
      </c>
      <c r="Q2191" s="148" t="str">
        <f>IFERROR(__xludf.DUMMYFUNCTION("""COMPUTED_VALUE"""),"[""bag_other""]")</f>
        <v>["bag_other"]</v>
      </c>
      <c r="R2191" s="148" t="str">
        <f>IFERROR(__xludf.DUMMYFUNCTION("""COMPUTED_VALUE"""),"[""bag"",""401112005""]")</f>
        <v>["bag","401112005"]</v>
      </c>
      <c r="S2191" s="148" t="str">
        <f>IFERROR(__xludf.DUMMYFUNCTION("""COMPUTED_VALUE"""),"{""effect"":[{""typ"":""mecha_colour"",""id"":401112005,""val"":-1},{""typ"":""item"",""id"":11111034,""val"":10}]}")</f>
        <v>{"effect":[{"typ":"mecha_colour","id":401112005,"val":-1},{"typ":"item","id":11111034,"val":10}]}</v>
      </c>
      <c r="T2191" s="148">
        <f>IFERROR(__xludf.DUMMYFUNCTION("""COMPUTED_VALUE"""),-1.0)</f>
        <v>-1</v>
      </c>
      <c r="U2191" s="148">
        <f>IFERROR(__xludf.DUMMYFUNCTION("""COMPUTED_VALUE"""),0.0)</f>
        <v>0</v>
      </c>
      <c r="V2191" s="148" t="str">
        <f>IFERROR(__xludf.DUMMYFUNCTION("""COMPUTED_VALUE"""),"[]")</f>
        <v>[]</v>
      </c>
      <c r="W2191" s="148">
        <f>IFERROR(__xludf.DUMMYFUNCTION("""COMPUTED_VALUE"""),1.174E7)</f>
        <v>11740000</v>
      </c>
      <c r="X2191" s="148">
        <f>IFERROR(__xludf.DUMMYFUNCTION("""COMPUTED_VALUE"""),0.0)</f>
        <v>0</v>
      </c>
      <c r="Y2191" s="148">
        <f>IFERROR(__xludf.DUMMYFUNCTION("""COMPUTED_VALUE"""),0.0)</f>
        <v>0</v>
      </c>
      <c r="Z2191" s="148"/>
    </row>
    <row r="2192">
      <c r="A2192" s="148">
        <f>IFERROR(__xludf.DUMMYFUNCTION("""COMPUTED_VALUE"""),1.1118909E7)</f>
        <v>11118909</v>
      </c>
      <c r="B2192" s="148" t="str">
        <f>IFERROR(__xludf.DUMMYFUNCTION("""COMPUTED_VALUE"""),"鳄鱼原始皮肤蓝色喷漆")</f>
        <v>鳄鱼原始皮肤蓝色喷漆</v>
      </c>
      <c r="C2192" s="148"/>
      <c r="D2192" s="148" t="str">
        <f>IFERROR(__xludf.DUMMYFUNCTION("""COMPUTED_VALUE"""),"mecha_skin_colour")</f>
        <v>mecha_skin_colour</v>
      </c>
      <c r="E2192" s="148">
        <f>IFERROR(__xludf.DUMMYFUNCTION("""COMPUTED_VALUE"""),32.0)</f>
        <v>32</v>
      </c>
      <c r="F2192" s="148">
        <f>IFERROR(__xludf.DUMMYFUNCTION("""COMPUTED_VALUE"""),0.0)</f>
        <v>0</v>
      </c>
      <c r="G2192" s="148">
        <f>IFERROR(__xludf.DUMMYFUNCTION("""COMPUTED_VALUE"""),1.51102966E8)</f>
        <v>151102966</v>
      </c>
      <c r="H2192" s="148">
        <f>IFERROR(__xludf.DUMMYFUNCTION("""COMPUTED_VALUE"""),1.5112563E7)</f>
        <v>15112563</v>
      </c>
      <c r="I2192" s="148" t="str">
        <f>IFERROR(__xludf.DUMMYFUNCTION("""COMPUTED_VALUE"""),"{}")</f>
        <v>{}</v>
      </c>
      <c r="J2192" s="148" t="str">
        <f>IFERROR(__xludf.DUMMYFUNCTION("""COMPUTED_VALUE"""),"{""typ"":""lc"",""txt"":""LC_HERO_mecha_skin_colour_name_79""}")</f>
        <v>{"typ":"lc","txt":"LC_HERO_mecha_skin_colour_name_79"}</v>
      </c>
      <c r="K2192" s="148" t="str">
        <f>IFERROR(__xludf.DUMMYFUNCTION("""COMPUTED_VALUE"""),"{""typ"":""lc"",""txt"":""LC_HERO_mecha_skin_colour_desc_79""}")</f>
        <v>{"typ":"lc","txt":"LC_HERO_mecha_skin_colour_desc_79"}</v>
      </c>
      <c r="L2192" s="148" t="str">
        <f>IFERROR(__xludf.DUMMYFUNCTION("""COMPUTED_VALUE"""),"{""typ"":""lc"",""txt"":""LC_HERO_mecha_skin_colour_use_tips_79""}")</f>
        <v>{"typ":"lc","txt":"LC_HERO_mecha_skin_colour_use_tips_79"}</v>
      </c>
      <c r="M2192" s="148">
        <f>IFERROR(__xludf.DUMMYFUNCTION("""COMPUTED_VALUE"""),2500.0)</f>
        <v>2500</v>
      </c>
      <c r="N2192" s="148">
        <f>IFERROR(__xludf.DUMMYFUNCTION("""COMPUTED_VALUE"""),999999.0)</f>
        <v>999999</v>
      </c>
      <c r="O2192" s="148">
        <f>IFERROR(__xludf.DUMMYFUNCTION("""COMPUTED_VALUE"""),99999.0)</f>
        <v>99999</v>
      </c>
      <c r="P2192" s="148">
        <f>IFERROR(__xludf.DUMMYFUNCTION("""COMPUTED_VALUE"""),1.0)</f>
        <v>1</v>
      </c>
      <c r="Q2192" s="148" t="str">
        <f>IFERROR(__xludf.DUMMYFUNCTION("""COMPUTED_VALUE"""),"[""bag_other""]")</f>
        <v>["bag_other"]</v>
      </c>
      <c r="R2192" s="148" t="str">
        <f>IFERROR(__xludf.DUMMYFUNCTION("""COMPUTED_VALUE"""),"[""bag"",""401112006""]")</f>
        <v>["bag","401112006"]</v>
      </c>
      <c r="S2192" s="148" t="str">
        <f>IFERROR(__xludf.DUMMYFUNCTION("""COMPUTED_VALUE"""),"{""effect"":[{""typ"":""mecha_colour"",""id"":401112006,""val"":-1},{""typ"":""item"",""id"":11111034,""val"":10}]}")</f>
        <v>{"effect":[{"typ":"mecha_colour","id":401112006,"val":-1},{"typ":"item","id":11111034,"val":10}]}</v>
      </c>
      <c r="T2192" s="148">
        <f>IFERROR(__xludf.DUMMYFUNCTION("""COMPUTED_VALUE"""),-1.0)</f>
        <v>-1</v>
      </c>
      <c r="U2192" s="148">
        <f>IFERROR(__xludf.DUMMYFUNCTION("""COMPUTED_VALUE"""),0.0)</f>
        <v>0</v>
      </c>
      <c r="V2192" s="148" t="str">
        <f>IFERROR(__xludf.DUMMYFUNCTION("""COMPUTED_VALUE"""),"[]")</f>
        <v>[]</v>
      </c>
      <c r="W2192" s="148">
        <f>IFERROR(__xludf.DUMMYFUNCTION("""COMPUTED_VALUE"""),1.174E7)</f>
        <v>11740000</v>
      </c>
      <c r="X2192" s="148">
        <f>IFERROR(__xludf.DUMMYFUNCTION("""COMPUTED_VALUE"""),0.0)</f>
        <v>0</v>
      </c>
      <c r="Y2192" s="148">
        <f>IFERROR(__xludf.DUMMYFUNCTION("""COMPUTED_VALUE"""),0.0)</f>
        <v>0</v>
      </c>
      <c r="Z2192" s="148"/>
    </row>
    <row r="2193">
      <c r="A2193" s="148">
        <f>IFERROR(__xludf.DUMMYFUNCTION("""COMPUTED_VALUE"""),1.111891E7)</f>
        <v>11118910</v>
      </c>
      <c r="B2193" s="148" t="str">
        <f>IFERROR(__xludf.DUMMYFUNCTION("""COMPUTED_VALUE"""),"鳄鱼原始皮肤黄色喷漆")</f>
        <v>鳄鱼原始皮肤黄色喷漆</v>
      </c>
      <c r="C2193" s="148"/>
      <c r="D2193" s="148" t="str">
        <f>IFERROR(__xludf.DUMMYFUNCTION("""COMPUTED_VALUE"""),"mecha_skin_colour")</f>
        <v>mecha_skin_colour</v>
      </c>
      <c r="E2193" s="148">
        <f>IFERROR(__xludf.DUMMYFUNCTION("""COMPUTED_VALUE"""),32.0)</f>
        <v>32</v>
      </c>
      <c r="F2193" s="148">
        <f>IFERROR(__xludf.DUMMYFUNCTION("""COMPUTED_VALUE"""),0.0)</f>
        <v>0</v>
      </c>
      <c r="G2193" s="148">
        <f>IFERROR(__xludf.DUMMYFUNCTION("""COMPUTED_VALUE"""),1.51102967E8)</f>
        <v>151102967</v>
      </c>
      <c r="H2193" s="148">
        <f>IFERROR(__xludf.DUMMYFUNCTION("""COMPUTED_VALUE"""),1.5112563E7)</f>
        <v>15112563</v>
      </c>
      <c r="I2193" s="148" t="str">
        <f>IFERROR(__xludf.DUMMYFUNCTION("""COMPUTED_VALUE"""),"{}")</f>
        <v>{}</v>
      </c>
      <c r="J2193" s="148" t="str">
        <f>IFERROR(__xludf.DUMMYFUNCTION("""COMPUTED_VALUE"""),"{""typ"":""lc"",""txt"":""LC_HERO_mecha_skin_colour_name_80""}")</f>
        <v>{"typ":"lc","txt":"LC_HERO_mecha_skin_colour_name_80"}</v>
      </c>
      <c r="K2193" s="148" t="str">
        <f>IFERROR(__xludf.DUMMYFUNCTION("""COMPUTED_VALUE"""),"{""typ"":""lc"",""txt"":""LC_HERO_mecha_skin_colour_desc_80""}")</f>
        <v>{"typ":"lc","txt":"LC_HERO_mecha_skin_colour_desc_80"}</v>
      </c>
      <c r="L2193" s="148" t="str">
        <f>IFERROR(__xludf.DUMMYFUNCTION("""COMPUTED_VALUE"""),"{""typ"":""lc"",""txt"":""LC_HERO_mecha_skin_colour_use_tips_80""}")</f>
        <v>{"typ":"lc","txt":"LC_HERO_mecha_skin_colour_use_tips_80"}</v>
      </c>
      <c r="M2193" s="148">
        <f>IFERROR(__xludf.DUMMYFUNCTION("""COMPUTED_VALUE"""),2500.0)</f>
        <v>2500</v>
      </c>
      <c r="N2193" s="148">
        <f>IFERROR(__xludf.DUMMYFUNCTION("""COMPUTED_VALUE"""),999999.0)</f>
        <v>999999</v>
      </c>
      <c r="O2193" s="148">
        <f>IFERROR(__xludf.DUMMYFUNCTION("""COMPUTED_VALUE"""),99999.0)</f>
        <v>99999</v>
      </c>
      <c r="P2193" s="148">
        <f>IFERROR(__xludf.DUMMYFUNCTION("""COMPUTED_VALUE"""),1.0)</f>
        <v>1</v>
      </c>
      <c r="Q2193" s="148" t="str">
        <f>IFERROR(__xludf.DUMMYFUNCTION("""COMPUTED_VALUE"""),"[""bag_other""]")</f>
        <v>["bag_other"]</v>
      </c>
      <c r="R2193" s="148" t="str">
        <f>IFERROR(__xludf.DUMMYFUNCTION("""COMPUTED_VALUE"""),"[""bag"",""401112007""]")</f>
        <v>["bag","401112007"]</v>
      </c>
      <c r="S2193" s="148" t="str">
        <f>IFERROR(__xludf.DUMMYFUNCTION("""COMPUTED_VALUE"""),"{""effect"":[{""typ"":""mecha_colour"",""id"":401112007,""val"":-1},{""typ"":""item"",""id"":11111034,""val"":10}]}")</f>
        <v>{"effect":[{"typ":"mecha_colour","id":401112007,"val":-1},{"typ":"item","id":11111034,"val":10}]}</v>
      </c>
      <c r="T2193" s="148">
        <f>IFERROR(__xludf.DUMMYFUNCTION("""COMPUTED_VALUE"""),-1.0)</f>
        <v>-1</v>
      </c>
      <c r="U2193" s="148">
        <f>IFERROR(__xludf.DUMMYFUNCTION("""COMPUTED_VALUE"""),0.0)</f>
        <v>0</v>
      </c>
      <c r="V2193" s="148" t="str">
        <f>IFERROR(__xludf.DUMMYFUNCTION("""COMPUTED_VALUE"""),"[]")</f>
        <v>[]</v>
      </c>
      <c r="W2193" s="148">
        <f>IFERROR(__xludf.DUMMYFUNCTION("""COMPUTED_VALUE"""),1.174E7)</f>
        <v>11740000</v>
      </c>
      <c r="X2193" s="148">
        <f>IFERROR(__xludf.DUMMYFUNCTION("""COMPUTED_VALUE"""),0.0)</f>
        <v>0</v>
      </c>
      <c r="Y2193" s="148">
        <f>IFERROR(__xludf.DUMMYFUNCTION("""COMPUTED_VALUE"""),0.0)</f>
        <v>0</v>
      </c>
      <c r="Z2193" s="148"/>
    </row>
    <row r="2194">
      <c r="A2194" s="148">
        <f>IFERROR(__xludf.DUMMYFUNCTION("""COMPUTED_VALUE"""),1.1118911E7)</f>
        <v>11118911</v>
      </c>
      <c r="B2194" s="148" t="str">
        <f>IFERROR(__xludf.DUMMYFUNCTION("""COMPUTED_VALUE"""),"猎豹黑金喷漆")</f>
        <v>猎豹黑金喷漆</v>
      </c>
      <c r="C2194" s="148"/>
      <c r="D2194" s="148" t="str">
        <f>IFERROR(__xludf.DUMMYFUNCTION("""COMPUTED_VALUE"""),"mecha_skin_colour")</f>
        <v>mecha_skin_colour</v>
      </c>
      <c r="E2194" s="148">
        <f>IFERROR(__xludf.DUMMYFUNCTION("""COMPUTED_VALUE"""),32.0)</f>
        <v>32</v>
      </c>
      <c r="F2194" s="148">
        <f>IFERROR(__xludf.DUMMYFUNCTION("""COMPUTED_VALUE"""),0.0)</f>
        <v>0</v>
      </c>
      <c r="G2194" s="148">
        <f>IFERROR(__xludf.DUMMYFUNCTION("""COMPUTED_VALUE"""),1.51103181E8)</f>
        <v>151103181</v>
      </c>
      <c r="H2194" s="148">
        <f>IFERROR(__xludf.DUMMYFUNCTION("""COMPUTED_VALUE"""),1.5112563E7)</f>
        <v>15112563</v>
      </c>
      <c r="I2194" s="148" t="str">
        <f>IFERROR(__xludf.DUMMYFUNCTION("""COMPUTED_VALUE"""),"{}")</f>
        <v>{}</v>
      </c>
      <c r="J2194" s="148" t="str">
        <f>IFERROR(__xludf.DUMMYFUNCTION("""COMPUTED_VALUE"""),"{""typ"":""lc"",""txt"":""LC_HERO_mecha_skin_colour_name_81""}")</f>
        <v>{"typ":"lc","txt":"LC_HERO_mecha_skin_colour_name_81"}</v>
      </c>
      <c r="K2194" s="148" t="str">
        <f>IFERROR(__xludf.DUMMYFUNCTION("""COMPUTED_VALUE"""),"{""typ"":""lc"",""txt"":""LC_HERO_mecha_skin_colour_desc_81""}")</f>
        <v>{"typ":"lc","txt":"LC_HERO_mecha_skin_colour_desc_81"}</v>
      </c>
      <c r="L2194" s="148" t="str">
        <f>IFERROR(__xludf.DUMMYFUNCTION("""COMPUTED_VALUE"""),"{""typ"":""lc"",""txt"":""LC_HERO_mecha_skin_colour_use_tips_81""}")</f>
        <v>{"typ":"lc","txt":"LC_HERO_mecha_skin_colour_use_tips_81"}</v>
      </c>
      <c r="M2194" s="148">
        <f>IFERROR(__xludf.DUMMYFUNCTION("""COMPUTED_VALUE"""),2500.0)</f>
        <v>2500</v>
      </c>
      <c r="N2194" s="148">
        <f>IFERROR(__xludf.DUMMYFUNCTION("""COMPUTED_VALUE"""),999999.0)</f>
        <v>999999</v>
      </c>
      <c r="O2194" s="148">
        <f>IFERROR(__xludf.DUMMYFUNCTION("""COMPUTED_VALUE"""),99999.0)</f>
        <v>99999</v>
      </c>
      <c r="P2194" s="148">
        <f>IFERROR(__xludf.DUMMYFUNCTION("""COMPUTED_VALUE"""),1.0)</f>
        <v>1</v>
      </c>
      <c r="Q2194" s="148" t="str">
        <f>IFERROR(__xludf.DUMMYFUNCTION("""COMPUTED_VALUE"""),"[""bag_other""]")</f>
        <v>["bag_other"]</v>
      </c>
      <c r="R2194" s="148" t="str">
        <f>IFERROR(__xludf.DUMMYFUNCTION("""COMPUTED_VALUE"""),"[""bag"",""40111009""]")</f>
        <v>["bag","40111009"]</v>
      </c>
      <c r="S2194" s="148" t="str">
        <f>IFERROR(__xludf.DUMMYFUNCTION("""COMPUTED_VALUE"""),"{""effect"":[{""typ"":""mecha_colour"",""id"":40113009,""val"":-1},{""typ"":""item"",""id"":11111034,""val"":10}]}")</f>
        <v>{"effect":[{"typ":"mecha_colour","id":40113009,"val":-1},{"typ":"item","id":11111034,"val":10}]}</v>
      </c>
      <c r="T2194" s="148">
        <f>IFERROR(__xludf.DUMMYFUNCTION("""COMPUTED_VALUE"""),-1.0)</f>
        <v>-1</v>
      </c>
      <c r="U2194" s="148">
        <f>IFERROR(__xludf.DUMMYFUNCTION("""COMPUTED_VALUE"""),0.0)</f>
        <v>0</v>
      </c>
      <c r="V2194" s="148" t="str">
        <f>IFERROR(__xludf.DUMMYFUNCTION("""COMPUTED_VALUE"""),"[]")</f>
        <v>[]</v>
      </c>
      <c r="W2194" s="148">
        <f>IFERROR(__xludf.DUMMYFUNCTION("""COMPUTED_VALUE"""),1.174E7)</f>
        <v>11740000</v>
      </c>
      <c r="X2194" s="148">
        <f>IFERROR(__xludf.DUMMYFUNCTION("""COMPUTED_VALUE"""),0.0)</f>
        <v>0</v>
      </c>
      <c r="Y2194" s="148">
        <f>IFERROR(__xludf.DUMMYFUNCTION("""COMPUTED_VALUE"""),0.0)</f>
        <v>0</v>
      </c>
      <c r="Z2194" s="148"/>
    </row>
    <row r="2195">
      <c r="A2195" s="148">
        <f>IFERROR(__xludf.DUMMYFUNCTION("""COMPUTED_VALUE"""),1.1118912E7)</f>
        <v>11118912</v>
      </c>
      <c r="B2195" s="148" t="str">
        <f>IFERROR(__xludf.DUMMYFUNCTION("""COMPUTED_VALUE"""),"斗士兼容皮肤永久卡尔")</f>
        <v>斗士兼容皮肤永久卡尔</v>
      </c>
      <c r="C2195" s="148"/>
      <c r="D2195" s="148" t="str">
        <f>IFERROR(__xludf.DUMMYFUNCTION("""COMPUTED_VALUE"""),"hero_skin")</f>
        <v>hero_skin</v>
      </c>
      <c r="E2195" s="148">
        <f>IFERROR(__xludf.DUMMYFUNCTION("""COMPUTED_VALUE"""),31.0)</f>
        <v>31</v>
      </c>
      <c r="F2195" s="148">
        <f>IFERROR(__xludf.DUMMYFUNCTION("""COMPUTED_VALUE"""),0.0)</f>
        <v>0</v>
      </c>
      <c r="G2195" s="148">
        <f>IFERROR(__xludf.DUMMYFUNCTION("""COMPUTED_VALUE"""),1.51103864E8)</f>
        <v>151103864</v>
      </c>
      <c r="H2195" s="148">
        <f>IFERROR(__xludf.DUMMYFUNCTION("""COMPUTED_VALUE"""),1.5112564E7)</f>
        <v>15112564</v>
      </c>
      <c r="I2195" s="148" t="str">
        <f>IFERROR(__xludf.DUMMYFUNCTION("""COMPUTED_VALUE"""),"{}")</f>
        <v>{}</v>
      </c>
      <c r="J2195" s="148" t="str">
        <f>IFERROR(__xludf.DUMMYFUNCTION("""COMPUTED_VALUE"""),"{""typ"":""lc"",""txt"":""LC_ITEM_karl_hero_skin_item_name_forever""}")</f>
        <v>{"typ":"lc","txt":"LC_ITEM_karl_hero_skin_item_name_forever"}</v>
      </c>
      <c r="K2195" s="148" t="str">
        <f>IFERROR(__xludf.DUMMYFUNCTION("""COMPUTED_VALUE"""),"{""typ"":""lc"",""txt"":""LC_ITEM_karl_hero_skin_item_desc_forever""}")</f>
        <v>{"typ":"lc","txt":"LC_ITEM_karl_hero_skin_item_desc_forever"}</v>
      </c>
      <c r="L2195" s="148" t="str">
        <f>IFERROR(__xludf.DUMMYFUNCTION("""COMPUTED_VALUE"""),"{""typ"":""lc"",""txt"":""LC_HERO_hero_karl_skin_tips""}")</f>
        <v>{"typ":"lc","txt":"LC_HERO_hero_karl_skin_tips"}</v>
      </c>
      <c r="M2195" s="148">
        <f>IFERROR(__xludf.DUMMYFUNCTION("""COMPUTED_VALUE"""),500.0)</f>
        <v>500</v>
      </c>
      <c r="N2195" s="148">
        <f>IFERROR(__xludf.DUMMYFUNCTION("""COMPUTED_VALUE"""),5.0)</f>
        <v>5</v>
      </c>
      <c r="O2195" s="148">
        <f>IFERROR(__xludf.DUMMYFUNCTION("""COMPUTED_VALUE"""),1.0)</f>
        <v>1</v>
      </c>
      <c r="P2195" s="148">
        <f>IFERROR(__xludf.DUMMYFUNCTION("""COMPUTED_VALUE"""),1.0)</f>
        <v>1</v>
      </c>
      <c r="Q2195" s="148" t="str">
        <f>IFERROR(__xludf.DUMMYFUNCTION("""COMPUTED_VALUE"""),"[""bag_other""]")</f>
        <v>["bag_other"]</v>
      </c>
      <c r="R2195" s="148" t="str">
        <f>IFERROR(__xludf.DUMMYFUNCTION("""COMPUTED_VALUE"""),"[""bag"",""19502001""]")</f>
        <v>["bag","19502001"]</v>
      </c>
      <c r="S2195" s="148" t="str">
        <f>IFERROR(__xludf.DUMMYFUNCTION("""COMPUTED_VALUE"""),"{""effect"":[{""typ"":""hero_skin"",""id"":19502001,""val"":-1},{""typ"":""item"",""id"":11112030,""val"":6000}]}")</f>
        <v>{"effect":[{"typ":"hero_skin","id":19502001,"val":-1},{"typ":"item","id":11112030,"val":6000}]}</v>
      </c>
      <c r="T2195" s="148">
        <f>IFERROR(__xludf.DUMMYFUNCTION("""COMPUTED_VALUE"""),-1.0)</f>
        <v>-1</v>
      </c>
      <c r="U2195" s="148">
        <f>IFERROR(__xludf.DUMMYFUNCTION("""COMPUTED_VALUE"""),0.0)</f>
        <v>0</v>
      </c>
      <c r="V2195" s="148" t="str">
        <f>IFERROR(__xludf.DUMMYFUNCTION("""COMPUTED_VALUE"""),"[]")</f>
        <v>[]</v>
      </c>
      <c r="W2195" s="148">
        <f>IFERROR(__xludf.DUMMYFUNCTION("""COMPUTED_VALUE"""),1.174E7)</f>
        <v>11740000</v>
      </c>
      <c r="X2195" s="148">
        <f>IFERROR(__xludf.DUMMYFUNCTION("""COMPUTED_VALUE"""),0.0)</f>
        <v>0</v>
      </c>
      <c r="Y2195" s="148">
        <f>IFERROR(__xludf.DUMMYFUNCTION("""COMPUTED_VALUE"""),0.0)</f>
        <v>0</v>
      </c>
      <c r="Z2195" s="148"/>
    </row>
    <row r="2196">
      <c r="A2196" s="148">
        <f>IFERROR(__xludf.DUMMYFUNCTION("""COMPUTED_VALUE"""),1.1118913E7)</f>
        <v>11118913</v>
      </c>
      <c r="B2196" s="148" t="str">
        <f>IFERROR(__xludf.DUMMYFUNCTION("""COMPUTED_VALUE"""),"斗士兼容皮肤7天卡尔")</f>
        <v>斗士兼容皮肤7天卡尔</v>
      </c>
      <c r="C2196" s="148"/>
      <c r="D2196" s="148" t="str">
        <f>IFERROR(__xludf.DUMMYFUNCTION("""COMPUTED_VALUE"""),"hero_skin")</f>
        <v>hero_skin</v>
      </c>
      <c r="E2196" s="148">
        <f>IFERROR(__xludf.DUMMYFUNCTION("""COMPUTED_VALUE"""),31.0)</f>
        <v>31</v>
      </c>
      <c r="F2196" s="148">
        <f>IFERROR(__xludf.DUMMYFUNCTION("""COMPUTED_VALUE"""),0.0)</f>
        <v>0</v>
      </c>
      <c r="G2196" s="148">
        <f>IFERROR(__xludf.DUMMYFUNCTION("""COMPUTED_VALUE"""),1.51103864E8)</f>
        <v>151103864</v>
      </c>
      <c r="H2196" s="148">
        <f>IFERROR(__xludf.DUMMYFUNCTION("""COMPUTED_VALUE"""),1.5112564E7)</f>
        <v>15112564</v>
      </c>
      <c r="I2196" s="148" t="str">
        <f>IFERROR(__xludf.DUMMYFUNCTION("""COMPUTED_VALUE"""),"{""typ"":""lc"",""txt"":""LC_ITEM_time_day_upper_show"",""args"":[{""typ"":""int"",""val"":7}]}")</f>
        <v>{"typ":"lc","txt":"LC_ITEM_time_day_upper_show","args":[{"typ":"int","val":7}]}</v>
      </c>
      <c r="J2196" s="148" t="str">
        <f>IFERROR(__xludf.DUMMYFUNCTION("""COMPUTED_VALUE"""),"{""typ"":""lc"",""txt"":""LC_ITEM_karl_hero_skin_item_name_7day""}")</f>
        <v>{"typ":"lc","txt":"LC_ITEM_karl_hero_skin_item_name_7day"}</v>
      </c>
      <c r="K2196" s="148" t="str">
        <f>IFERROR(__xludf.DUMMYFUNCTION("""COMPUTED_VALUE"""),"{""typ"":""lc"",""txt"":""LC_ITEM_karl_hero_skin_item_desc_7day""}")</f>
        <v>{"typ":"lc","txt":"LC_ITEM_karl_hero_skin_item_desc_7day"}</v>
      </c>
      <c r="L2196" s="148" t="str">
        <f>IFERROR(__xludf.DUMMYFUNCTION("""COMPUTED_VALUE"""),"{""typ"":""lc"",""txt"":""LC_HERO_hero_karl_skin_tips""}")</f>
        <v>{"typ":"lc","txt":"LC_HERO_hero_karl_skin_tips"}</v>
      </c>
      <c r="M2196" s="148">
        <f>IFERROR(__xludf.DUMMYFUNCTION("""COMPUTED_VALUE"""),5000.0)</f>
        <v>5000</v>
      </c>
      <c r="N2196" s="148">
        <f>IFERROR(__xludf.DUMMYFUNCTION("""COMPUTED_VALUE"""),5.0)</f>
        <v>5</v>
      </c>
      <c r="O2196" s="148">
        <f>IFERROR(__xludf.DUMMYFUNCTION("""COMPUTED_VALUE"""),1.0)</f>
        <v>1</v>
      </c>
      <c r="P2196" s="148">
        <f>IFERROR(__xludf.DUMMYFUNCTION("""COMPUTED_VALUE"""),1.0)</f>
        <v>1</v>
      </c>
      <c r="Q2196" s="148" t="str">
        <f>IFERROR(__xludf.DUMMYFUNCTION("""COMPUTED_VALUE"""),"[""bag_other""]")</f>
        <v>["bag_other"]</v>
      </c>
      <c r="R2196" s="148" t="str">
        <f>IFERROR(__xludf.DUMMYFUNCTION("""COMPUTED_VALUE"""),"[""bag"",""19502001""]")</f>
        <v>["bag","19502001"]</v>
      </c>
      <c r="S2196" s="148" t="str">
        <f>IFERROR(__xludf.DUMMYFUNCTION("""COMPUTED_VALUE"""),"{""effect"":[{""typ"":""hero_skin"",""id"":19502001,""val"":604800000},{""typ"":""item"",""id"":11111034,""val"":5}]}")</f>
        <v>{"effect":[{"typ":"hero_skin","id":19502001,"val":604800000},{"typ":"item","id":11111034,"val":5}]}</v>
      </c>
      <c r="T2196" s="148">
        <f>IFERROR(__xludf.DUMMYFUNCTION("""COMPUTED_VALUE"""),-1.0)</f>
        <v>-1</v>
      </c>
      <c r="U2196" s="148">
        <f>IFERROR(__xludf.DUMMYFUNCTION("""COMPUTED_VALUE"""),0.0)</f>
        <v>0</v>
      </c>
      <c r="V2196" s="148" t="str">
        <f>IFERROR(__xludf.DUMMYFUNCTION("""COMPUTED_VALUE"""),"[]")</f>
        <v>[]</v>
      </c>
      <c r="W2196" s="148">
        <f>IFERROR(__xludf.DUMMYFUNCTION("""COMPUTED_VALUE"""),1.174E7)</f>
        <v>11740000</v>
      </c>
      <c r="X2196" s="148">
        <f>IFERROR(__xludf.DUMMYFUNCTION("""COMPUTED_VALUE"""),0.0)</f>
        <v>0</v>
      </c>
      <c r="Y2196" s="148">
        <f>IFERROR(__xludf.DUMMYFUNCTION("""COMPUTED_VALUE"""),0.0)</f>
        <v>0</v>
      </c>
      <c r="Z2196" s="148"/>
    </row>
    <row r="2197">
      <c r="A2197" s="148">
        <f>IFERROR(__xludf.DUMMYFUNCTION("""COMPUTED_VALUE"""),1.1118914E7)</f>
        <v>11118914</v>
      </c>
      <c r="B2197" s="148" t="str">
        <f>IFERROR(__xludf.DUMMYFUNCTION("""COMPUTED_VALUE"""),"斗士兼容皮肤2天卡尔")</f>
        <v>斗士兼容皮肤2天卡尔</v>
      </c>
      <c r="C2197" s="148"/>
      <c r="D2197" s="148" t="str">
        <f>IFERROR(__xludf.DUMMYFUNCTION("""COMPUTED_VALUE"""),"hero_skin")</f>
        <v>hero_skin</v>
      </c>
      <c r="E2197" s="148">
        <f>IFERROR(__xludf.DUMMYFUNCTION("""COMPUTED_VALUE"""),31.0)</f>
        <v>31</v>
      </c>
      <c r="F2197" s="148">
        <f>IFERROR(__xludf.DUMMYFUNCTION("""COMPUTED_VALUE"""),0.0)</f>
        <v>0</v>
      </c>
      <c r="G2197" s="148">
        <f>IFERROR(__xludf.DUMMYFUNCTION("""COMPUTED_VALUE"""),1.51103864E8)</f>
        <v>151103864</v>
      </c>
      <c r="H2197" s="148">
        <f>IFERROR(__xludf.DUMMYFUNCTION("""COMPUTED_VALUE"""),1.5112564E7)</f>
        <v>15112564</v>
      </c>
      <c r="I2197" s="148" t="str">
        <f>IFERROR(__xludf.DUMMYFUNCTION("""COMPUTED_VALUE"""),"{""typ"":""lc"",""txt"":""LC_ITEM_time_day_upper_show"",""args"":[{""typ"":""int"",""val"":2}]}")</f>
        <v>{"typ":"lc","txt":"LC_ITEM_time_day_upper_show","args":[{"typ":"int","val":2}]}</v>
      </c>
      <c r="J2197" s="148" t="str">
        <f>IFERROR(__xludf.DUMMYFUNCTION("""COMPUTED_VALUE"""),"{""typ"":""lc"",""txt"":""LC_ITEM_karl_hero_skin_item_name_2day""}")</f>
        <v>{"typ":"lc","txt":"LC_ITEM_karl_hero_skin_item_name_2day"}</v>
      </c>
      <c r="K2197" s="148" t="str">
        <f>IFERROR(__xludf.DUMMYFUNCTION("""COMPUTED_VALUE"""),"{""typ"":""lc"",""txt"":""LC_ITEM_karl_hero_skin_item_desc_2day""}")</f>
        <v>{"typ":"lc","txt":"LC_ITEM_karl_hero_skin_item_desc_2day"}</v>
      </c>
      <c r="L2197" s="148" t="str">
        <f>IFERROR(__xludf.DUMMYFUNCTION("""COMPUTED_VALUE"""),"{""typ"":""lc"",""txt"":""LC_HERO_hero_karl_skin_tips""}")</f>
        <v>{"typ":"lc","txt":"LC_HERO_hero_karl_skin_tips"}</v>
      </c>
      <c r="M2197" s="148">
        <f>IFERROR(__xludf.DUMMYFUNCTION("""COMPUTED_VALUE"""),1000.0)</f>
        <v>1000</v>
      </c>
      <c r="N2197" s="148">
        <f>IFERROR(__xludf.DUMMYFUNCTION("""COMPUTED_VALUE"""),5.0)</f>
        <v>5</v>
      </c>
      <c r="O2197" s="148">
        <f>IFERROR(__xludf.DUMMYFUNCTION("""COMPUTED_VALUE"""),1.0)</f>
        <v>1</v>
      </c>
      <c r="P2197" s="148">
        <f>IFERROR(__xludf.DUMMYFUNCTION("""COMPUTED_VALUE"""),1.0)</f>
        <v>1</v>
      </c>
      <c r="Q2197" s="148" t="str">
        <f>IFERROR(__xludf.DUMMYFUNCTION("""COMPUTED_VALUE"""),"[""bag_other""]")</f>
        <v>["bag_other"]</v>
      </c>
      <c r="R2197" s="148" t="str">
        <f>IFERROR(__xludf.DUMMYFUNCTION("""COMPUTED_VALUE"""),"[""bag"",""19502001""]")</f>
        <v>["bag","19502001"]</v>
      </c>
      <c r="S2197" s="148" t="str">
        <f>IFERROR(__xludf.DUMMYFUNCTION("""COMPUTED_VALUE"""),"{""effect"":[{""typ"":""hero_skin"",""id"":19502001,""val"":172800000},{""typ"":""item"",""id"":11111034,""val"":1}]}")</f>
        <v>{"effect":[{"typ":"hero_skin","id":19502001,"val":172800000},{"typ":"item","id":11111034,"val":1}]}</v>
      </c>
      <c r="T2197" s="148">
        <f>IFERROR(__xludf.DUMMYFUNCTION("""COMPUTED_VALUE"""),-1.0)</f>
        <v>-1</v>
      </c>
      <c r="U2197" s="148">
        <f>IFERROR(__xludf.DUMMYFUNCTION("""COMPUTED_VALUE"""),0.0)</f>
        <v>0</v>
      </c>
      <c r="V2197" s="148" t="str">
        <f>IFERROR(__xludf.DUMMYFUNCTION("""COMPUTED_VALUE"""),"[]")</f>
        <v>[]</v>
      </c>
      <c r="W2197" s="148">
        <f>IFERROR(__xludf.DUMMYFUNCTION("""COMPUTED_VALUE"""),1.174E7)</f>
        <v>11740000</v>
      </c>
      <c r="X2197" s="148">
        <f>IFERROR(__xludf.DUMMYFUNCTION("""COMPUTED_VALUE"""),0.0)</f>
        <v>0</v>
      </c>
      <c r="Y2197" s="148">
        <f>IFERROR(__xludf.DUMMYFUNCTION("""COMPUTED_VALUE"""),0.0)</f>
        <v>0</v>
      </c>
      <c r="Z2197" s="148"/>
    </row>
    <row r="2198">
      <c r="A2198" s="148">
        <f>IFERROR(__xludf.DUMMYFUNCTION("""COMPUTED_VALUE"""),1.1118951E7)</f>
        <v>11118951</v>
      </c>
      <c r="B2198" s="148" t="str">
        <f>IFERROR(__xludf.DUMMYFUNCTION("""COMPUTED_VALUE"""),"紫色双天赋突破道具")</f>
        <v>紫色双天赋突破道具</v>
      </c>
      <c r="C2198" s="148"/>
      <c r="D2198" s="148" t="str">
        <f>IFERROR(__xludf.DUMMYFUNCTION("""COMPUTED_VALUE"""),"hero_unit")</f>
        <v>hero_unit</v>
      </c>
      <c r="E2198" s="148">
        <f>IFERROR(__xludf.DUMMYFUNCTION("""COMPUTED_VALUE"""),0.0)</f>
        <v>0</v>
      </c>
      <c r="F2198" s="148">
        <f>IFERROR(__xludf.DUMMYFUNCTION("""COMPUTED_VALUE"""),411100.0)</f>
        <v>411100</v>
      </c>
      <c r="G2198" s="148">
        <f>IFERROR(__xludf.DUMMYFUNCTION("""COMPUTED_VALUE"""),1.5117831E7)</f>
        <v>15117831</v>
      </c>
      <c r="H2198" s="148">
        <f>IFERROR(__xludf.DUMMYFUNCTION("""COMPUTED_VALUE"""),1.5112563E7)</f>
        <v>15112563</v>
      </c>
      <c r="I2198" s="148" t="str">
        <f>IFERROR(__xludf.DUMMYFUNCTION("""COMPUTED_VALUE"""),"{}")</f>
        <v>{}</v>
      </c>
      <c r="J2198" s="148" t="str">
        <f>IFERROR(__xludf.DUMMYFUNCTION("""COMPUTED_VALUE"""),"{""typ"":""lc"",""txt"":""LC_ITEM_purple_double_talent_item_name""}")</f>
        <v>{"typ":"lc","txt":"LC_ITEM_purple_double_talent_item_name"}</v>
      </c>
      <c r="K2198" s="148" t="str">
        <f>IFERROR(__xludf.DUMMYFUNCTION("""COMPUTED_VALUE"""),"{""typ"":""lc"",""txt"":""LC_ITEM_purple_double_talent_item_desc""}")</f>
        <v>{"typ":"lc","txt":"LC_ITEM_purple_double_talent_item_desc"}</v>
      </c>
      <c r="L2198" s="148" t="str">
        <f>IFERROR(__xludf.DUMMYFUNCTION("""COMPUTED_VALUE"""),"{}")</f>
        <v>{}</v>
      </c>
      <c r="M2198" s="148">
        <f>IFERROR(__xludf.DUMMYFUNCTION("""COMPUTED_VALUE"""),1000.0)</f>
        <v>1000</v>
      </c>
      <c r="N2198" s="148">
        <f>IFERROR(__xludf.DUMMYFUNCTION("""COMPUTED_VALUE"""),9999999.0)</f>
        <v>9999999</v>
      </c>
      <c r="O2198" s="148">
        <f>IFERROR(__xludf.DUMMYFUNCTION("""COMPUTED_VALUE"""),99999.0)</f>
        <v>99999</v>
      </c>
      <c r="P2198" s="148">
        <f>IFERROR(__xludf.DUMMYFUNCTION("""COMPUTED_VALUE"""),99999.0)</f>
        <v>99999</v>
      </c>
      <c r="Q2198" s="148" t="str">
        <f>IFERROR(__xludf.DUMMYFUNCTION("""COMPUTED_VALUE"""),"[""bag_other""]")</f>
        <v>["bag_other"]</v>
      </c>
      <c r="R2198" s="148" t="str">
        <f>IFERROR(__xludf.DUMMYFUNCTION("""COMPUTED_VALUE"""),"[]")</f>
        <v>[]</v>
      </c>
      <c r="S2198" s="148" t="str">
        <f>IFERROR(__xludf.DUMMYFUNCTION("""COMPUTED_VALUE"""),"{}")</f>
        <v>{}</v>
      </c>
      <c r="T2198" s="148">
        <f>IFERROR(__xludf.DUMMYFUNCTION("""COMPUTED_VALUE"""),-1.0)</f>
        <v>-1</v>
      </c>
      <c r="U2198" s="148">
        <f>IFERROR(__xludf.DUMMYFUNCTION("""COMPUTED_VALUE"""),0.0)</f>
        <v>0</v>
      </c>
      <c r="V2198" s="148" t="str">
        <f>IFERROR(__xludf.DUMMYFUNCTION("""COMPUTED_VALUE"""),"[]")</f>
        <v>[]</v>
      </c>
      <c r="W2198" s="148">
        <f>IFERROR(__xludf.DUMMYFUNCTION("""COMPUTED_VALUE"""),1.1741002E7)</f>
        <v>11741002</v>
      </c>
      <c r="X2198" s="148">
        <f>IFERROR(__xludf.DUMMYFUNCTION("""COMPUTED_VALUE"""),0.0)</f>
        <v>0</v>
      </c>
      <c r="Y2198" s="148">
        <f>IFERROR(__xludf.DUMMYFUNCTION("""COMPUTED_VALUE"""),0.0)</f>
        <v>0</v>
      </c>
      <c r="Z2198" s="148"/>
    </row>
    <row r="2199">
      <c r="A2199" s="148">
        <f>IFERROR(__xludf.DUMMYFUNCTION("""COMPUTED_VALUE"""),1.1118952E7)</f>
        <v>11118952</v>
      </c>
      <c r="B2199" s="148" t="str">
        <f>IFERROR(__xludf.DUMMYFUNCTION("""COMPUTED_VALUE"""),"香蕉树（历史战绩）解锁道具")</f>
        <v>香蕉树（历史战绩）解锁道具</v>
      </c>
      <c r="C2199" s="148"/>
      <c r="D2199" s="148" t="str">
        <f>IFERROR(__xludf.DUMMYFUNCTION("""COMPUTED_VALUE"""),"decorations")</f>
        <v>decorations</v>
      </c>
      <c r="E2199" s="148">
        <f>IFERROR(__xludf.DUMMYFUNCTION("""COMPUTED_VALUE"""),23.0)</f>
        <v>23</v>
      </c>
      <c r="F2199" s="148">
        <f>IFERROR(__xludf.DUMMYFUNCTION("""COMPUTED_VALUE"""),0.0)</f>
        <v>0</v>
      </c>
      <c r="G2199" s="148">
        <f>IFERROR(__xludf.DUMMYFUNCTION("""COMPUTED_VALUE"""),1.5119085E7)</f>
        <v>15119085</v>
      </c>
      <c r="H2199" s="148">
        <f>IFERROR(__xludf.DUMMYFUNCTION("""COMPUTED_VALUE"""),1.5112563E7)</f>
        <v>15112563</v>
      </c>
      <c r="I2199" s="148" t="str">
        <f>IFERROR(__xludf.DUMMYFUNCTION("""COMPUTED_VALUE"""),"{}")</f>
        <v>{}</v>
      </c>
      <c r="J2199" s="148" t="str">
        <f>IFERROR(__xludf.DUMMYFUNCTION("""COMPUTED_VALUE"""),"{""typ"":""lc"",""txt"":""LC_BUILDING_gene_banana_tree_name""}")</f>
        <v>{"typ":"lc","txt":"LC_BUILDING_gene_banana_tree_name"}</v>
      </c>
      <c r="K2199" s="148" t="str">
        <f>IFERROR(__xludf.DUMMYFUNCTION("""COMPUTED_VALUE"""),"{""typ"":""lc"",""txt"":""LC_BUILDING_gene_banana_tree_desc""}")</f>
        <v>{"typ":"lc","txt":"LC_BUILDING_gene_banana_tree_desc"}</v>
      </c>
      <c r="L2199" s="148" t="str">
        <f>IFERROR(__xludf.DUMMYFUNCTION("""COMPUTED_VALUE"""),"{}")</f>
        <v>{}</v>
      </c>
      <c r="M2199" s="148">
        <f>IFERROR(__xludf.DUMMYFUNCTION("""COMPUTED_VALUE"""),5000.0)</f>
        <v>5000</v>
      </c>
      <c r="N2199" s="148">
        <f>IFERROR(__xludf.DUMMYFUNCTION("""COMPUTED_VALUE"""),5.0)</f>
        <v>5</v>
      </c>
      <c r="O2199" s="148">
        <f>IFERROR(__xludf.DUMMYFUNCTION("""COMPUTED_VALUE"""),1.0)</f>
        <v>1</v>
      </c>
      <c r="P2199" s="148">
        <f>IFERROR(__xludf.DUMMYFUNCTION("""COMPUTED_VALUE"""),1.0)</f>
        <v>1</v>
      </c>
      <c r="Q2199" s="148" t="str">
        <f>IFERROR(__xludf.DUMMYFUNCTION("""COMPUTED_VALUE"""),"[]")</f>
        <v>[]</v>
      </c>
      <c r="R2199" s="148" t="str">
        <f>IFERROR(__xludf.DUMMYFUNCTION("""COMPUTED_VALUE"""),"[""bag""]")</f>
        <v>["bag"]</v>
      </c>
      <c r="S2199" s="148" t="str">
        <f>IFERROR(__xludf.DUMMYFUNCTION("""COMPUTED_VALUE"""),"{""effect"":[{""typ"":""decorations"",""id"":11118952,""val"":-1}]}")</f>
        <v>{"effect":[{"typ":"decorations","id":11118952,"val":-1}]}</v>
      </c>
      <c r="T2199" s="148">
        <f>IFERROR(__xludf.DUMMYFUNCTION("""COMPUTED_VALUE"""),-1.0)</f>
        <v>-1</v>
      </c>
      <c r="U2199" s="148">
        <f>IFERROR(__xludf.DUMMYFUNCTION("""COMPUTED_VALUE"""),1.0)</f>
        <v>1</v>
      </c>
      <c r="V2199" s="148" t="str">
        <f>IFERROR(__xludf.DUMMYFUNCTION("""COMPUTED_VALUE"""),"[]")</f>
        <v>[]</v>
      </c>
      <c r="W2199" s="148">
        <f>IFERROR(__xludf.DUMMYFUNCTION("""COMPUTED_VALUE"""),1.174E7)</f>
        <v>11740000</v>
      </c>
      <c r="X2199" s="148">
        <f>IFERROR(__xludf.DUMMYFUNCTION("""COMPUTED_VALUE"""),0.0)</f>
        <v>0</v>
      </c>
      <c r="Y2199" s="148">
        <f>IFERROR(__xludf.DUMMYFUNCTION("""COMPUTED_VALUE"""),0.0)</f>
        <v>0</v>
      </c>
      <c r="Z2199" s="148"/>
    </row>
    <row r="2200">
      <c r="A2200" s="148">
        <f>IFERROR(__xludf.DUMMYFUNCTION("""COMPUTED_VALUE"""),1.1118953E7)</f>
        <v>11118953</v>
      </c>
      <c r="B2200" s="148" t="str">
        <f>IFERROR(__xludf.DUMMYFUNCTION("""COMPUTED_VALUE"""),"KVK4边境召唤道具")</f>
        <v>KVK4边境召唤道具</v>
      </c>
      <c r="C2200" s="148"/>
      <c r="D2200" s="148" t="str">
        <f>IFERROR(__xludf.DUMMYFUNCTION("""COMPUTED_VALUE"""),"item_frontier")</f>
        <v>item_frontier</v>
      </c>
      <c r="E2200" s="148">
        <f>IFERROR(__xludf.DUMMYFUNCTION("""COMPUTED_VALUE"""),0.0)</f>
        <v>0</v>
      </c>
      <c r="F2200" s="148">
        <f>IFERROR(__xludf.DUMMYFUNCTION("""COMPUTED_VALUE"""),0.0)</f>
        <v>0</v>
      </c>
      <c r="G2200" s="148">
        <f>IFERROR(__xludf.DUMMYFUNCTION("""COMPUTED_VALUE"""),1.5118739E7)</f>
        <v>15118739</v>
      </c>
      <c r="H2200" s="148">
        <f>IFERROR(__xludf.DUMMYFUNCTION("""COMPUTED_VALUE"""),1.5112564E7)</f>
        <v>15112564</v>
      </c>
      <c r="I2200" s="148" t="str">
        <f>IFERROR(__xludf.DUMMYFUNCTION("""COMPUTED_VALUE"""),"{}")</f>
        <v>{}</v>
      </c>
      <c r="J2200" s="148" t="str">
        <f>IFERROR(__xludf.DUMMYFUNCTION("""COMPUTED_VALUE"""),"{""typ"":""lc"",""txt"":""LC_ITEM_kvk4_frontier_summon_name""}")</f>
        <v>{"typ":"lc","txt":"LC_ITEM_kvk4_frontier_summon_name"}</v>
      </c>
      <c r="K2200" s="148" t="str">
        <f>IFERROR(__xludf.DUMMYFUNCTION("""COMPUTED_VALUE"""),"{""typ"":""lc"",""txt"":""LC_ITEM_kvk4_frontier_summon_desc""}")</f>
        <v>{"typ":"lc","txt":"LC_ITEM_kvk4_frontier_summon_desc"}</v>
      </c>
      <c r="L2200" s="148" t="str">
        <f>IFERROR(__xludf.DUMMYFUNCTION("""COMPUTED_VALUE"""),"{}")</f>
        <v>{}</v>
      </c>
      <c r="M2200" s="148">
        <f>IFERROR(__xludf.DUMMYFUNCTION("""COMPUTED_VALUE"""),1000.0)</f>
        <v>1000</v>
      </c>
      <c r="N2200" s="148">
        <f>IFERROR(__xludf.DUMMYFUNCTION("""COMPUTED_VALUE"""),9999999.0)</f>
        <v>9999999</v>
      </c>
      <c r="O2200" s="148">
        <f>IFERROR(__xludf.DUMMYFUNCTION("""COMPUTED_VALUE"""),99999.0)</f>
        <v>99999</v>
      </c>
      <c r="P2200" s="148">
        <f>IFERROR(__xludf.DUMMYFUNCTION("""COMPUTED_VALUE"""),99999.0)</f>
        <v>99999</v>
      </c>
      <c r="Q2200" s="148" t="str">
        <f>IFERROR(__xludf.DUMMYFUNCTION("""COMPUTED_VALUE"""),"[""bag_other""]")</f>
        <v>["bag_other"]</v>
      </c>
      <c r="R2200" s="148" t="str">
        <f>IFERROR(__xludf.DUMMYFUNCTION("""COMPUTED_VALUE"""),"[""bag""]")</f>
        <v>["bag"]</v>
      </c>
      <c r="S2200" s="148" t="str">
        <f>IFERROR(__xludf.DUMMYFUNCTION("""COMPUTED_VALUE"""),"{}")</f>
        <v>{}</v>
      </c>
      <c r="T2200" s="148">
        <f>IFERROR(__xludf.DUMMYFUNCTION("""COMPUTED_VALUE"""),1.0)</f>
        <v>1</v>
      </c>
      <c r="U2200" s="148">
        <f>IFERROR(__xludf.DUMMYFUNCTION("""COMPUTED_VALUE"""),0.0)</f>
        <v>0</v>
      </c>
      <c r="V2200" s="148" t="str">
        <f>IFERROR(__xludf.DUMMYFUNCTION("""COMPUTED_VALUE"""),"[]")</f>
        <v>[]</v>
      </c>
      <c r="W2200" s="148">
        <f>IFERROR(__xludf.DUMMYFUNCTION("""COMPUTED_VALUE"""),1.174E7)</f>
        <v>11740000</v>
      </c>
      <c r="X2200" s="148">
        <f>IFERROR(__xludf.DUMMYFUNCTION("""COMPUTED_VALUE"""),0.0)</f>
        <v>0</v>
      </c>
      <c r="Y2200" s="148">
        <f>IFERROR(__xludf.DUMMYFUNCTION("""COMPUTED_VALUE"""),0.0)</f>
        <v>0</v>
      </c>
      <c r="Z2200" s="148"/>
    </row>
    <row r="2201">
      <c r="A2201" s="148">
        <f>IFERROR(__xludf.DUMMYFUNCTION("""COMPUTED_VALUE"""),1.1118954E7)</f>
        <v>11118954</v>
      </c>
      <c r="B2201" s="148" t="str">
        <f>IFERROR(__xludf.DUMMYFUNCTION("""COMPUTED_VALUE"""),"中型稀有资源自选宝箱_1")</f>
        <v>中型稀有资源自选宝箱_1</v>
      </c>
      <c r="C2201" s="148"/>
      <c r="D2201" s="148" t="str">
        <f>IFERROR(__xludf.DUMMYFUNCTION("""COMPUTED_VALUE"""),"item_select_box")</f>
        <v>item_select_box</v>
      </c>
      <c r="E2201" s="148">
        <f>IFERROR(__xludf.DUMMYFUNCTION("""COMPUTED_VALUE"""),19.0)</f>
        <v>19</v>
      </c>
      <c r="F2201" s="148">
        <f>IFERROR(__xludf.DUMMYFUNCTION("""COMPUTED_VALUE"""),102700.0)</f>
        <v>102700</v>
      </c>
      <c r="G2201" s="148">
        <f>IFERROR(__xludf.DUMMYFUNCTION("""COMPUTED_VALUE"""),1.5117178E7)</f>
        <v>15117178</v>
      </c>
      <c r="H2201" s="148">
        <f>IFERROR(__xludf.DUMMYFUNCTION("""COMPUTED_VALUE"""),1.5112563E7)</f>
        <v>15112563</v>
      </c>
      <c r="I2201" s="148" t="str">
        <f>IFERROR(__xludf.DUMMYFUNCTION("""COMPUTED_VALUE"""),"{}")</f>
        <v>{}</v>
      </c>
      <c r="J2201" s="148" t="str">
        <f>IFERROR(__xludf.DUMMYFUNCTION("""COMPUTED_VALUE"""),"{""typ"":""lc"",""txt"":""LC_ITEM_rare_rss_optional_box_name2""}")</f>
        <v>{"typ":"lc","txt":"LC_ITEM_rare_rss_optional_box_name2"}</v>
      </c>
      <c r="K2201" s="148" t="str">
        <f>IFERROR(__xludf.DUMMYFUNCTION("""COMPUTED_VALUE"""),"{""typ"":""lc"",""txt"":""LC_ITEM_rare_rss_optional_box_desc"",""args"":[{""typ"":""int"",""val"":50000},{""typ"":""int"",""val"":50000},{""typ"":""int"",""val"":5000}]}")</f>
        <v>{"typ":"lc","txt":"LC_ITEM_rare_rss_optional_box_desc","args":[{"typ":"int","val":50000},{"typ":"int","val":50000},{"typ":"int","val":5000}]}</v>
      </c>
      <c r="L2201" s="148" t="str">
        <f>IFERROR(__xludf.DUMMYFUNCTION("""COMPUTED_VALUE"""),"{""typ"":""lc"",""txt"":""LC_ITEM_chest_from_atk_npc_usedtip""}")</f>
        <v>{"typ":"lc","txt":"LC_ITEM_chest_from_atk_npc_usedtip"}</v>
      </c>
      <c r="M2201" s="148">
        <f>IFERROR(__xludf.DUMMYFUNCTION("""COMPUTED_VALUE"""),100.0)</f>
        <v>100</v>
      </c>
      <c r="N2201" s="148">
        <f>IFERROR(__xludf.DUMMYFUNCTION("""COMPUTED_VALUE"""),999999.0)</f>
        <v>999999</v>
      </c>
      <c r="O2201" s="148">
        <f>IFERROR(__xludf.DUMMYFUNCTION("""COMPUTED_VALUE"""),99999.0)</f>
        <v>99999</v>
      </c>
      <c r="P2201" s="148">
        <f>IFERROR(__xludf.DUMMYFUNCTION("""COMPUTED_VALUE"""),99999.0)</f>
        <v>99999</v>
      </c>
      <c r="Q2201" s="148" t="str">
        <f>IFERROR(__xludf.DUMMYFUNCTION("""COMPUTED_VALUE"""),"[""bag_asset"",""rss_food"",""rss_iron""]")</f>
        <v>["bag_asset","rss_food","rss_iron"]</v>
      </c>
      <c r="R2201" s="148" t="str">
        <f>IFERROR(__xludf.DUMMYFUNCTION("""COMPUTED_VALUE"""),"[""bag"",""rss_food"",""rss_iron"",""rss_capsule""]")</f>
        <v>["bag","rss_food","rss_iron","rss_capsule"]</v>
      </c>
      <c r="S2201" s="148" t="str">
        <f>IFERROR(__xludf.DUMMYFUNCTION("""COMPUTED_VALUE"""),"{""select_box"":[{""typ"":""rss"",""id"":11141001,""val"":50000},{""typ"":""rss"",""id"":11141003,""val"":50000},{""typ"":""rss"",""id"":11141041,""val"":5000}]}")</f>
        <v>{"select_box":[{"typ":"rss","id":11141001,"val":50000},{"typ":"rss","id":11141003,"val":50000},{"typ":"rss","id":11141041,"val":5000}]}</v>
      </c>
      <c r="T2201" s="148">
        <f>IFERROR(__xludf.DUMMYFUNCTION("""COMPUTED_VALUE"""),-1.0)</f>
        <v>-1</v>
      </c>
      <c r="U2201" s="148">
        <f>IFERROR(__xludf.DUMMYFUNCTION("""COMPUTED_VALUE"""),0.0)</f>
        <v>0</v>
      </c>
      <c r="V2201" s="148" t="str">
        <f>IFERROR(__xludf.DUMMYFUNCTION("""COMPUTED_VALUE"""),"[]")</f>
        <v>[]</v>
      </c>
      <c r="W2201" s="148">
        <f>IFERROR(__xludf.DUMMYFUNCTION("""COMPUTED_VALUE"""),1.1741001E7)</f>
        <v>11741001</v>
      </c>
      <c r="X2201" s="148">
        <f>IFERROR(__xludf.DUMMYFUNCTION("""COMPUTED_VALUE"""),0.0)</f>
        <v>0</v>
      </c>
      <c r="Y2201" s="148">
        <f>IFERROR(__xludf.DUMMYFUNCTION("""COMPUTED_VALUE"""),0.0)</f>
        <v>0</v>
      </c>
      <c r="Z2201" s="148"/>
    </row>
    <row r="2202">
      <c r="A2202" s="148">
        <f>IFERROR(__xludf.DUMMYFUNCTION("""COMPUTED_VALUE"""),1.1118955E7)</f>
        <v>11118955</v>
      </c>
      <c r="B2202" s="148" t="str">
        <f>IFERROR(__xludf.DUMMYFUNCTION("""COMPUTED_VALUE"""),"联盟礼物(触发)kvk4部落boss")</f>
        <v>联盟礼物(触发)kvk4部落boss</v>
      </c>
      <c r="C2202" s="148"/>
      <c r="D2202" s="148" t="str">
        <f>IFERROR(__xludf.DUMMYFUNCTION("""COMPUTED_VALUE"""),"item_union_gift")</f>
        <v>item_union_gift</v>
      </c>
      <c r="E2202" s="148">
        <f>IFERROR(__xludf.DUMMYFUNCTION("""COMPUTED_VALUE"""),15.0)</f>
        <v>15</v>
      </c>
      <c r="F2202" s="148">
        <f>IFERROR(__xludf.DUMMYFUNCTION("""COMPUTED_VALUE"""),0.0)</f>
        <v>0</v>
      </c>
      <c r="G2202" s="148">
        <f>IFERROR(__xludf.DUMMYFUNCTION("""COMPUTED_VALUE"""),1.5110348E7)</f>
        <v>15110348</v>
      </c>
      <c r="H2202" s="148">
        <f>IFERROR(__xludf.DUMMYFUNCTION("""COMPUTED_VALUE"""),1.5112563E7)</f>
        <v>15112563</v>
      </c>
      <c r="I2202" s="148" t="str">
        <f>IFERROR(__xludf.DUMMYFUNCTION("""COMPUTED_VALUE"""),"{}")</f>
        <v>{}</v>
      </c>
      <c r="J2202" s="148" t="str">
        <f>IFERROR(__xludf.DUMMYFUNCTION("""COMPUTED_VALUE"""),"{""typ"":""lc"",""txt"":""LC_ITEM_item_alliance_gift_kvk4_boss_name""}")</f>
        <v>{"typ":"lc","txt":"LC_ITEM_item_alliance_gift_kvk4_boss_name"}</v>
      </c>
      <c r="K2202" s="148" t="str">
        <f>IFERROR(__xludf.DUMMYFUNCTION("""COMPUTED_VALUE"""),"{""typ"":""lc"",""txt"":""LC_ITEM_item_alliance_gift_kvk4_boss_desc""}")</f>
        <v>{"typ":"lc","txt":"LC_ITEM_item_alliance_gift_kvk4_boss_desc"}</v>
      </c>
      <c r="L2202" s="148" t="str">
        <f>IFERROR(__xludf.DUMMYFUNCTION("""COMPUTED_VALUE"""),"{}")</f>
        <v>{}</v>
      </c>
      <c r="M2202" s="148">
        <f>IFERROR(__xludf.DUMMYFUNCTION("""COMPUTED_VALUE"""),66.0)</f>
        <v>66</v>
      </c>
      <c r="N2202" s="148">
        <f>IFERROR(__xludf.DUMMYFUNCTION("""COMPUTED_VALUE"""),999999.0)</f>
        <v>999999</v>
      </c>
      <c r="O2202" s="148">
        <f>IFERROR(__xludf.DUMMYFUNCTION("""COMPUTED_VALUE"""),99999.0)</f>
        <v>99999</v>
      </c>
      <c r="P2202" s="148">
        <f>IFERROR(__xludf.DUMMYFUNCTION("""COMPUTED_VALUE"""),1.0)</f>
        <v>1</v>
      </c>
      <c r="Q2202" s="148" t="str">
        <f>IFERROR(__xludf.DUMMYFUNCTION("""COMPUTED_VALUE"""),"[]")</f>
        <v>[]</v>
      </c>
      <c r="R2202" s="148" t="str">
        <f>IFERROR(__xludf.DUMMYFUNCTION("""COMPUTED_VALUE"""),"[]")</f>
        <v>[]</v>
      </c>
      <c r="S2202" s="148" t="str">
        <f>IFERROR(__xludf.DUMMYFUNCTION("""COMPUTED_VALUE"""),"{""effect"":[{""typ"":""union_gift_quality_drop"",""id"":22,""val"":1}]}")</f>
        <v>{"effect":[{"typ":"union_gift_quality_drop","id":22,"val":1}]}</v>
      </c>
      <c r="T2202" s="148">
        <f>IFERROR(__xludf.DUMMYFUNCTION("""COMPUTED_VALUE"""),-1.0)</f>
        <v>-1</v>
      </c>
      <c r="U2202" s="148">
        <f>IFERROR(__xludf.DUMMYFUNCTION("""COMPUTED_VALUE"""),1.0)</f>
        <v>1</v>
      </c>
      <c r="V2202" s="148" t="str">
        <f>IFERROR(__xludf.DUMMYFUNCTION("""COMPUTED_VALUE"""),"[]")</f>
        <v>[]</v>
      </c>
      <c r="W2202" s="148">
        <f>IFERROR(__xludf.DUMMYFUNCTION("""COMPUTED_VALUE"""),1.174E7)</f>
        <v>11740000</v>
      </c>
      <c r="X2202" s="148">
        <f>IFERROR(__xludf.DUMMYFUNCTION("""COMPUTED_VALUE"""),0.0)</f>
        <v>0</v>
      </c>
      <c r="Y2202" s="148">
        <f>IFERROR(__xludf.DUMMYFUNCTION("""COMPUTED_VALUE"""),0.0)</f>
        <v>0</v>
      </c>
      <c r="Z2202" s="148"/>
    </row>
    <row r="2203">
      <c r="A2203" s="148">
        <f>IFERROR(__xludf.DUMMYFUNCTION("""COMPUTED_VALUE"""),1.1118956E7)</f>
        <v>11118956</v>
      </c>
      <c r="B2203" s="148" t="str">
        <f>IFERROR(__xludf.DUMMYFUNCTION("""COMPUTED_VALUE"""),"香蕉树（历史战绩）皮肤火星1")</f>
        <v>香蕉树（历史战绩）皮肤火星1</v>
      </c>
      <c r="C2203" s="148"/>
      <c r="D2203" s="148" t="str">
        <f>IFERROR(__xludf.DUMMYFUNCTION("""COMPUTED_VALUE"""),"city_building_skin")</f>
        <v>city_building_skin</v>
      </c>
      <c r="E2203" s="148">
        <f>IFERROR(__xludf.DUMMYFUNCTION("""COMPUTED_VALUE"""),23.0)</f>
        <v>23</v>
      </c>
      <c r="F2203" s="148">
        <f>IFERROR(__xludf.DUMMYFUNCTION("""COMPUTED_VALUE"""),0.0)</f>
        <v>0</v>
      </c>
      <c r="G2203" s="148">
        <f>IFERROR(__xludf.DUMMYFUNCTION("""COMPUTED_VALUE"""),1.5119086E7)</f>
        <v>15119086</v>
      </c>
      <c r="H2203" s="148">
        <f>IFERROR(__xludf.DUMMYFUNCTION("""COMPUTED_VALUE"""),1.5112563E7)</f>
        <v>15112563</v>
      </c>
      <c r="I2203" s="148" t="str">
        <f>IFERROR(__xludf.DUMMYFUNCTION("""COMPUTED_VALUE"""),"{}")</f>
        <v>{}</v>
      </c>
      <c r="J2203" s="148" t="str">
        <f>IFERROR(__xludf.DUMMYFUNCTION("""COMPUTED_VALUE"""),"{""typ"":""lc"",""txt"":""LC_BUILDING_kvk_history_skin_kvk2_name""}")</f>
        <v>{"typ":"lc","txt":"LC_BUILDING_kvk_history_skin_kvk2_name"}</v>
      </c>
      <c r="K2203" s="148" t="str">
        <f>IFERROR(__xludf.DUMMYFUNCTION("""COMPUTED_VALUE"""),"{""typ"":""lc"",""txt"":""LC_BUILDING_gene_banana_tree_desc""}")</f>
        <v>{"typ":"lc","txt":"LC_BUILDING_gene_banana_tree_desc"}</v>
      </c>
      <c r="L2203" s="148" t="str">
        <f>IFERROR(__xludf.DUMMYFUNCTION("""COMPUTED_VALUE"""),"{}")</f>
        <v>{}</v>
      </c>
      <c r="M2203" s="148">
        <f>IFERROR(__xludf.DUMMYFUNCTION("""COMPUTED_VALUE"""),5000.0)</f>
        <v>5000</v>
      </c>
      <c r="N2203" s="148">
        <f>IFERROR(__xludf.DUMMYFUNCTION("""COMPUTED_VALUE"""),1.0)</f>
        <v>1</v>
      </c>
      <c r="O2203" s="148">
        <f>IFERROR(__xludf.DUMMYFUNCTION("""COMPUTED_VALUE"""),1.0)</f>
        <v>1</v>
      </c>
      <c r="P2203" s="148">
        <f>IFERROR(__xludf.DUMMYFUNCTION("""COMPUTED_VALUE"""),1.0)</f>
        <v>1</v>
      </c>
      <c r="Q2203" s="148" t="str">
        <f>IFERROR(__xludf.DUMMYFUNCTION("""COMPUTED_VALUE"""),"[""bag_other""]")</f>
        <v>["bag_other"]</v>
      </c>
      <c r="R2203" s="148" t="str">
        <f>IFERROR(__xludf.DUMMYFUNCTION("""COMPUTED_VALUE"""),"[""bag"",""11261002""]")</f>
        <v>["bag","11261002"]</v>
      </c>
      <c r="S2203" s="148" t="str">
        <f>IFERROR(__xludf.DUMMYFUNCTION("""COMPUTED_VALUE"""),"{""effect"":[{""typ"":""city_building_skin"",""id"":11261002,""val"":-1}]}")</f>
        <v>{"effect":[{"typ":"city_building_skin","id":11261002,"val":-1}]}</v>
      </c>
      <c r="T2203" s="148">
        <f>IFERROR(__xludf.DUMMYFUNCTION("""COMPUTED_VALUE"""),-1.0)</f>
        <v>-1</v>
      </c>
      <c r="U2203" s="148">
        <f>IFERROR(__xludf.DUMMYFUNCTION("""COMPUTED_VALUE"""),0.0)</f>
        <v>0</v>
      </c>
      <c r="V2203" s="148" t="str">
        <f>IFERROR(__xludf.DUMMYFUNCTION("""COMPUTED_VALUE"""),"[]")</f>
        <v>[]</v>
      </c>
      <c r="W2203" s="148">
        <f>IFERROR(__xludf.DUMMYFUNCTION("""COMPUTED_VALUE"""),1.174E7)</f>
        <v>11740000</v>
      </c>
      <c r="X2203" s="148">
        <f>IFERROR(__xludf.DUMMYFUNCTION("""COMPUTED_VALUE"""),0.0)</f>
        <v>0</v>
      </c>
      <c r="Y2203" s="148">
        <f>IFERROR(__xludf.DUMMYFUNCTION("""COMPUTED_VALUE"""),0.0)</f>
        <v>0</v>
      </c>
      <c r="Z2203" s="148"/>
    </row>
    <row r="2204">
      <c r="A2204" s="148">
        <f>IFERROR(__xludf.DUMMYFUNCTION("""COMPUTED_VALUE"""),1.1118957E7)</f>
        <v>11118957</v>
      </c>
      <c r="B2204" s="148" t="str">
        <f>IFERROR(__xludf.DUMMYFUNCTION("""COMPUTED_VALUE"""),"香蕉树（历史战绩）皮肤珊瑚1")</f>
        <v>香蕉树（历史战绩）皮肤珊瑚1</v>
      </c>
      <c r="C2204" s="148"/>
      <c r="D2204" s="148" t="str">
        <f>IFERROR(__xludf.DUMMYFUNCTION("""COMPUTED_VALUE"""),"city_building_skin")</f>
        <v>city_building_skin</v>
      </c>
      <c r="E2204" s="148">
        <f>IFERROR(__xludf.DUMMYFUNCTION("""COMPUTED_VALUE"""),23.0)</f>
        <v>23</v>
      </c>
      <c r="F2204" s="148">
        <f>IFERROR(__xludf.DUMMYFUNCTION("""COMPUTED_VALUE"""),0.0)</f>
        <v>0</v>
      </c>
      <c r="G2204" s="148">
        <f>IFERROR(__xludf.DUMMYFUNCTION("""COMPUTED_VALUE"""),1.5119087E7)</f>
        <v>15119087</v>
      </c>
      <c r="H2204" s="148">
        <f>IFERROR(__xludf.DUMMYFUNCTION("""COMPUTED_VALUE"""),1.5112563E7)</f>
        <v>15112563</v>
      </c>
      <c r="I2204" s="148" t="str">
        <f>IFERROR(__xludf.DUMMYFUNCTION("""COMPUTED_VALUE"""),"{}")</f>
        <v>{}</v>
      </c>
      <c r="J2204" s="148" t="str">
        <f>IFERROR(__xludf.DUMMYFUNCTION("""COMPUTED_VALUE"""),"{""typ"":""lc"",""txt"":""LC_BUILDING_kvk_history_skin_kvk3_name""}")</f>
        <v>{"typ":"lc","txt":"LC_BUILDING_kvk_history_skin_kvk3_name"}</v>
      </c>
      <c r="K2204" s="148" t="str">
        <f>IFERROR(__xludf.DUMMYFUNCTION("""COMPUTED_VALUE"""),"{""typ"":""lc"",""txt"":""LC_BUILDING_gene_banana_tree_desc""}")</f>
        <v>{"typ":"lc","txt":"LC_BUILDING_gene_banana_tree_desc"}</v>
      </c>
      <c r="L2204" s="148" t="str">
        <f>IFERROR(__xludf.DUMMYFUNCTION("""COMPUTED_VALUE"""),"{}")</f>
        <v>{}</v>
      </c>
      <c r="M2204" s="148">
        <f>IFERROR(__xludf.DUMMYFUNCTION("""COMPUTED_VALUE"""),5000.0)</f>
        <v>5000</v>
      </c>
      <c r="N2204" s="148">
        <f>IFERROR(__xludf.DUMMYFUNCTION("""COMPUTED_VALUE"""),1.0)</f>
        <v>1</v>
      </c>
      <c r="O2204" s="148">
        <f>IFERROR(__xludf.DUMMYFUNCTION("""COMPUTED_VALUE"""),1.0)</f>
        <v>1</v>
      </c>
      <c r="P2204" s="148">
        <f>IFERROR(__xludf.DUMMYFUNCTION("""COMPUTED_VALUE"""),1.0)</f>
        <v>1</v>
      </c>
      <c r="Q2204" s="148" t="str">
        <f>IFERROR(__xludf.DUMMYFUNCTION("""COMPUTED_VALUE"""),"[""bag_other""]")</f>
        <v>["bag_other"]</v>
      </c>
      <c r="R2204" s="148" t="str">
        <f>IFERROR(__xludf.DUMMYFUNCTION("""COMPUTED_VALUE"""),"[""bag"",""11261003""]")</f>
        <v>["bag","11261003"]</v>
      </c>
      <c r="S2204" s="148" t="str">
        <f>IFERROR(__xludf.DUMMYFUNCTION("""COMPUTED_VALUE"""),"{""effect"":[{""typ"":""city_building_skin"",""id"":11261003,""val"":-1}]}")</f>
        <v>{"effect":[{"typ":"city_building_skin","id":11261003,"val":-1}]}</v>
      </c>
      <c r="T2204" s="148">
        <f>IFERROR(__xludf.DUMMYFUNCTION("""COMPUTED_VALUE"""),-1.0)</f>
        <v>-1</v>
      </c>
      <c r="U2204" s="148">
        <f>IFERROR(__xludf.DUMMYFUNCTION("""COMPUTED_VALUE"""),0.0)</f>
        <v>0</v>
      </c>
      <c r="V2204" s="148" t="str">
        <f>IFERROR(__xludf.DUMMYFUNCTION("""COMPUTED_VALUE"""),"[]")</f>
        <v>[]</v>
      </c>
      <c r="W2204" s="148">
        <f>IFERROR(__xludf.DUMMYFUNCTION("""COMPUTED_VALUE"""),1.174E7)</f>
        <v>11740000</v>
      </c>
      <c r="X2204" s="148">
        <f>IFERROR(__xludf.DUMMYFUNCTION("""COMPUTED_VALUE"""),0.0)</f>
        <v>0</v>
      </c>
      <c r="Y2204" s="148">
        <f>IFERROR(__xludf.DUMMYFUNCTION("""COMPUTED_VALUE"""),0.0)</f>
        <v>0</v>
      </c>
      <c r="Z2204" s="148"/>
    </row>
    <row r="2205">
      <c r="A2205" s="148">
        <f>IFERROR(__xludf.DUMMYFUNCTION("""COMPUTED_VALUE"""),1.1118958E7)</f>
        <v>11118958</v>
      </c>
      <c r="B2205" s="148" t="str">
        <f>IFERROR(__xludf.DUMMYFUNCTION("""COMPUTED_VALUE"""),"香蕉树（历史战绩）皮肤寒冰1")</f>
        <v>香蕉树（历史战绩）皮肤寒冰1</v>
      </c>
      <c r="C2205" s="148"/>
      <c r="D2205" s="148" t="str">
        <f>IFERROR(__xludf.DUMMYFUNCTION("""COMPUTED_VALUE"""),"city_building_skin")</f>
        <v>city_building_skin</v>
      </c>
      <c r="E2205" s="148">
        <f>IFERROR(__xludf.DUMMYFUNCTION("""COMPUTED_VALUE"""),23.0)</f>
        <v>23</v>
      </c>
      <c r="F2205" s="148">
        <f>IFERROR(__xludf.DUMMYFUNCTION("""COMPUTED_VALUE"""),0.0)</f>
        <v>0</v>
      </c>
      <c r="G2205" s="148">
        <f>IFERROR(__xludf.DUMMYFUNCTION("""COMPUTED_VALUE"""),1.5119088E7)</f>
        <v>15119088</v>
      </c>
      <c r="H2205" s="148">
        <f>IFERROR(__xludf.DUMMYFUNCTION("""COMPUTED_VALUE"""),1.5112563E7)</f>
        <v>15112563</v>
      </c>
      <c r="I2205" s="148" t="str">
        <f>IFERROR(__xludf.DUMMYFUNCTION("""COMPUTED_VALUE"""),"{}")</f>
        <v>{}</v>
      </c>
      <c r="J2205" s="148" t="str">
        <f>IFERROR(__xludf.DUMMYFUNCTION("""COMPUTED_VALUE"""),"{""typ"":""lc"",""txt"":""LC_BUILDING_kvk_history_skin_kvk4_name""}")</f>
        <v>{"typ":"lc","txt":"LC_BUILDING_kvk_history_skin_kvk4_name"}</v>
      </c>
      <c r="K2205" s="148" t="str">
        <f>IFERROR(__xludf.DUMMYFUNCTION("""COMPUTED_VALUE"""),"{""typ"":""lc"",""txt"":""LC_BUILDING_gene_banana_tree_desc""}")</f>
        <v>{"typ":"lc","txt":"LC_BUILDING_gene_banana_tree_desc"}</v>
      </c>
      <c r="L2205" s="148" t="str">
        <f>IFERROR(__xludf.DUMMYFUNCTION("""COMPUTED_VALUE"""),"{}")</f>
        <v>{}</v>
      </c>
      <c r="M2205" s="148">
        <f>IFERROR(__xludf.DUMMYFUNCTION("""COMPUTED_VALUE"""),5000.0)</f>
        <v>5000</v>
      </c>
      <c r="N2205" s="148">
        <f>IFERROR(__xludf.DUMMYFUNCTION("""COMPUTED_VALUE"""),1.0)</f>
        <v>1</v>
      </c>
      <c r="O2205" s="148">
        <f>IFERROR(__xludf.DUMMYFUNCTION("""COMPUTED_VALUE"""),1.0)</f>
        <v>1</v>
      </c>
      <c r="P2205" s="148">
        <f>IFERROR(__xludf.DUMMYFUNCTION("""COMPUTED_VALUE"""),1.0)</f>
        <v>1</v>
      </c>
      <c r="Q2205" s="148" t="str">
        <f>IFERROR(__xludf.DUMMYFUNCTION("""COMPUTED_VALUE"""),"[""bag_other""]")</f>
        <v>["bag_other"]</v>
      </c>
      <c r="R2205" s="148" t="str">
        <f>IFERROR(__xludf.DUMMYFUNCTION("""COMPUTED_VALUE"""),"[""bag"",""11261004""]")</f>
        <v>["bag","11261004"]</v>
      </c>
      <c r="S2205" s="148" t="str">
        <f>IFERROR(__xludf.DUMMYFUNCTION("""COMPUTED_VALUE"""),"{""effect"":[{""typ"":""city_building_skin"",""id"":11261004,""val"":-1}]}")</f>
        <v>{"effect":[{"typ":"city_building_skin","id":11261004,"val":-1}]}</v>
      </c>
      <c r="T2205" s="148">
        <f>IFERROR(__xludf.DUMMYFUNCTION("""COMPUTED_VALUE"""),-1.0)</f>
        <v>-1</v>
      </c>
      <c r="U2205" s="148">
        <f>IFERROR(__xludf.DUMMYFUNCTION("""COMPUTED_VALUE"""),0.0)</f>
        <v>0</v>
      </c>
      <c r="V2205" s="148" t="str">
        <f>IFERROR(__xludf.DUMMYFUNCTION("""COMPUTED_VALUE"""),"[]")</f>
        <v>[]</v>
      </c>
      <c r="W2205" s="148">
        <f>IFERROR(__xludf.DUMMYFUNCTION("""COMPUTED_VALUE"""),1.174E7)</f>
        <v>11740000</v>
      </c>
      <c r="X2205" s="148">
        <f>IFERROR(__xludf.DUMMYFUNCTION("""COMPUTED_VALUE"""),0.0)</f>
        <v>0</v>
      </c>
      <c r="Y2205" s="148">
        <f>IFERROR(__xludf.DUMMYFUNCTION("""COMPUTED_VALUE"""),0.0)</f>
        <v>0</v>
      </c>
      <c r="Z2205" s="148"/>
    </row>
    <row r="2206">
      <c r="A2206" s="148">
        <f>IFERROR(__xludf.DUMMYFUNCTION("""COMPUTED_VALUE"""),1.1118959E7)</f>
        <v>11118959</v>
      </c>
      <c r="B2206" s="148" t="str">
        <f>IFERROR(__xludf.DUMMYFUNCTION("""COMPUTED_VALUE"""),"减负扫荡券道具-极速行动卡-活跃投放用（获得后自动使用）")</f>
        <v>减负扫荡券道具-极速行动卡-活跃投放用（获得后自动使用）</v>
      </c>
      <c r="C2206" s="148"/>
      <c r="D2206" s="148" t="str">
        <f>IFERROR(__xludf.DUMMYFUNCTION("""COMPUTED_VALUE"""),"item_exceed_replace")</f>
        <v>item_exceed_replace</v>
      </c>
      <c r="E2206" s="148">
        <f>IFERROR(__xludf.DUMMYFUNCTION("""COMPUTED_VALUE"""),0.0)</f>
        <v>0</v>
      </c>
      <c r="F2206" s="148">
        <f>IFERROR(__xludf.DUMMYFUNCTION("""COMPUTED_VALUE"""),0.0)</f>
        <v>0</v>
      </c>
      <c r="G2206" s="148">
        <f>IFERROR(__xludf.DUMMYFUNCTION("""COMPUTED_VALUE"""),1.5119796E7)</f>
        <v>15119796</v>
      </c>
      <c r="H2206" s="148">
        <f>IFERROR(__xludf.DUMMYFUNCTION("""COMPUTED_VALUE"""),1.5112563E7)</f>
        <v>15112563</v>
      </c>
      <c r="I2206" s="148" t="str">
        <f>IFERROR(__xludf.DUMMYFUNCTION("""COMPUTED_VALUE"""),"{}")</f>
        <v>{}</v>
      </c>
      <c r="J2206" s="148" t="str">
        <f>IFERROR(__xludf.DUMMYFUNCTION("""COMPUTED_VALUE"""),"{""typ"":""lc"",""txt"":""LC_ITEM_daily_to_do_item_name""}")</f>
        <v>{"typ":"lc","txt":"LC_ITEM_daily_to_do_item_name"}</v>
      </c>
      <c r="K2206" s="148" t="str">
        <f>IFERROR(__xludf.DUMMYFUNCTION("""COMPUTED_VALUE"""),"{""typ"":""lc"",""txt"":""LC_ITEM_daily_to_do_item_desc""}")</f>
        <v>{"typ":"lc","txt":"LC_ITEM_daily_to_do_item_desc"}</v>
      </c>
      <c r="L2206" s="148" t="str">
        <f>IFERROR(__xludf.DUMMYFUNCTION("""COMPUTED_VALUE"""),"{}")</f>
        <v>{}</v>
      </c>
      <c r="M2206" s="148">
        <f>IFERROR(__xludf.DUMMYFUNCTION("""COMPUTED_VALUE"""),50.0)</f>
        <v>50</v>
      </c>
      <c r="N2206" s="148">
        <f>IFERROR(__xludf.DUMMYFUNCTION("""COMPUTED_VALUE"""),999999.0)</f>
        <v>999999</v>
      </c>
      <c r="O2206" s="148">
        <f>IFERROR(__xludf.DUMMYFUNCTION("""COMPUTED_VALUE"""),999999.0)</f>
        <v>999999</v>
      </c>
      <c r="P2206" s="148">
        <f>IFERROR(__xludf.DUMMYFUNCTION("""COMPUTED_VALUE"""),999999.0)</f>
        <v>999999</v>
      </c>
      <c r="Q2206" s="148" t="str">
        <f>IFERROR(__xludf.DUMMYFUNCTION("""COMPUTED_VALUE"""),"[]")</f>
        <v>[]</v>
      </c>
      <c r="R2206" s="148" t="str">
        <f>IFERROR(__xludf.DUMMYFUNCTION("""COMPUTED_VALUE"""),"[""bag""]")</f>
        <v>["bag"]</v>
      </c>
      <c r="S2206" s="148" t="str">
        <f>IFERROR(__xludf.DUMMYFUNCTION("""COMPUTED_VALUE"""),"{""effect"":[{""typ"":""item"",""id"":11118960,""val"":1},{""typ"":""rss"",""id"":11141003,""val"":10000},{""val"":99}]}")</f>
        <v>{"effect":[{"typ":"item","id":11118960,"val":1},{"typ":"rss","id":11141003,"val":10000},{"val":99}]}</v>
      </c>
      <c r="T2206" s="148">
        <f>IFERROR(__xludf.DUMMYFUNCTION("""COMPUTED_VALUE"""),-1.0)</f>
        <v>-1</v>
      </c>
      <c r="U2206" s="148">
        <f>IFERROR(__xludf.DUMMYFUNCTION("""COMPUTED_VALUE"""),1.0)</f>
        <v>1</v>
      </c>
      <c r="V2206" s="148" t="str">
        <f>IFERROR(__xludf.DUMMYFUNCTION("""COMPUTED_VALUE"""),"[]")</f>
        <v>[]</v>
      </c>
      <c r="W2206" s="148">
        <f>IFERROR(__xludf.DUMMYFUNCTION("""COMPUTED_VALUE"""),1.174E7)</f>
        <v>11740000</v>
      </c>
      <c r="X2206" s="148">
        <f>IFERROR(__xludf.DUMMYFUNCTION("""COMPUTED_VALUE"""),0.0)</f>
        <v>0</v>
      </c>
      <c r="Y2206" s="148">
        <f>IFERROR(__xludf.DUMMYFUNCTION("""COMPUTED_VALUE"""),0.0)</f>
        <v>0</v>
      </c>
      <c r="Z2206" s="148"/>
    </row>
    <row r="2207">
      <c r="A2207" s="148">
        <f>IFERROR(__xludf.DUMMYFUNCTION("""COMPUTED_VALUE"""),1.111896E7)</f>
        <v>11118960</v>
      </c>
      <c r="B2207" s="148" t="str">
        <f>IFERROR(__xludf.DUMMYFUNCTION("""COMPUTED_VALUE"""),"减负扫荡券道具-极速行动卡-付费投放和消耗用")</f>
        <v>减负扫荡券道具-极速行动卡-付费投放和消耗用</v>
      </c>
      <c r="C2207" s="148"/>
      <c r="D2207" s="148" t="str">
        <f>IFERROR(__xludf.DUMMYFUNCTION("""COMPUTED_VALUE"""),"speed_raid_ticket")</f>
        <v>speed_raid_ticket</v>
      </c>
      <c r="E2207" s="148">
        <f>IFERROR(__xludf.DUMMYFUNCTION("""COMPUTED_VALUE"""),0.0)</f>
        <v>0</v>
      </c>
      <c r="F2207" s="148">
        <f>IFERROR(__xludf.DUMMYFUNCTION("""COMPUTED_VALUE"""),0.0)</f>
        <v>0</v>
      </c>
      <c r="G2207" s="148">
        <f>IFERROR(__xludf.DUMMYFUNCTION("""COMPUTED_VALUE"""),1.5119796E7)</f>
        <v>15119796</v>
      </c>
      <c r="H2207" s="148">
        <f>IFERROR(__xludf.DUMMYFUNCTION("""COMPUTED_VALUE"""),1.5112563E7)</f>
        <v>15112563</v>
      </c>
      <c r="I2207" s="148" t="str">
        <f>IFERROR(__xludf.DUMMYFUNCTION("""COMPUTED_VALUE"""),"{}")</f>
        <v>{}</v>
      </c>
      <c r="J2207" s="148" t="str">
        <f>IFERROR(__xludf.DUMMYFUNCTION("""COMPUTED_VALUE"""),"{""typ"":""lc"",""txt"":""LC_ITEM_daily_to_do_item_name""}")</f>
        <v>{"typ":"lc","txt":"LC_ITEM_daily_to_do_item_name"}</v>
      </c>
      <c r="K2207" s="148" t="str">
        <f>IFERROR(__xludf.DUMMYFUNCTION("""COMPUTED_VALUE"""),"{""typ"":""lc"",""txt"":""LC_ITEM_daily_to_do_item_desc""}")</f>
        <v>{"typ":"lc","txt":"LC_ITEM_daily_to_do_item_desc"}</v>
      </c>
      <c r="L2207" s="148" t="str">
        <f>IFERROR(__xludf.DUMMYFUNCTION("""COMPUTED_VALUE"""),"{}")</f>
        <v>{}</v>
      </c>
      <c r="M2207" s="148">
        <f>IFERROR(__xludf.DUMMYFUNCTION("""COMPUTED_VALUE"""),50.0)</f>
        <v>50</v>
      </c>
      <c r="N2207" s="148">
        <f>IFERROR(__xludf.DUMMYFUNCTION("""COMPUTED_VALUE"""),999999.0)</f>
        <v>999999</v>
      </c>
      <c r="O2207" s="148">
        <f>IFERROR(__xludf.DUMMYFUNCTION("""COMPUTED_VALUE"""),999999.0)</f>
        <v>999999</v>
      </c>
      <c r="P2207" s="148">
        <f>IFERROR(__xludf.DUMMYFUNCTION("""COMPUTED_VALUE"""),999999.0)</f>
        <v>999999</v>
      </c>
      <c r="Q2207" s="148" t="str">
        <f>IFERROR(__xludf.DUMMYFUNCTION("""COMPUTED_VALUE"""),"[""bag_other""]")</f>
        <v>["bag_other"]</v>
      </c>
      <c r="R2207" s="148" t="str">
        <f>IFERROR(__xludf.DUMMYFUNCTION("""COMPUTED_VALUE"""),"[""bag""]")</f>
        <v>["bag"]</v>
      </c>
      <c r="S2207" s="148" t="str">
        <f>IFERROR(__xludf.DUMMYFUNCTION("""COMPUTED_VALUE"""),"{}")</f>
        <v>{}</v>
      </c>
      <c r="T2207" s="148">
        <f>IFERROR(__xludf.DUMMYFUNCTION("""COMPUTED_VALUE"""),-1.0)</f>
        <v>-1</v>
      </c>
      <c r="U2207" s="148">
        <f>IFERROR(__xludf.DUMMYFUNCTION("""COMPUTED_VALUE"""),0.0)</f>
        <v>0</v>
      </c>
      <c r="V2207" s="148" t="str">
        <f>IFERROR(__xludf.DUMMYFUNCTION("""COMPUTED_VALUE"""),"[]")</f>
        <v>[]</v>
      </c>
      <c r="W2207" s="148">
        <f>IFERROR(__xludf.DUMMYFUNCTION("""COMPUTED_VALUE"""),1.174E7)</f>
        <v>11740000</v>
      </c>
      <c r="X2207" s="148">
        <f>IFERROR(__xludf.DUMMYFUNCTION("""COMPUTED_VALUE"""),0.0)</f>
        <v>0</v>
      </c>
      <c r="Y2207" s="148">
        <f>IFERROR(__xludf.DUMMYFUNCTION("""COMPUTED_VALUE"""),0.0)</f>
        <v>0</v>
      </c>
      <c r="Z2207" s="148"/>
    </row>
    <row r="2208">
      <c r="A2208" s="148">
        <f>IFERROR(__xludf.DUMMYFUNCTION("""COMPUTED_VALUE"""),1.1118961E7)</f>
        <v>11118961</v>
      </c>
      <c r="B2208" s="148" t="str">
        <f>IFERROR(__xludf.DUMMYFUNCTION("""COMPUTED_VALUE"""),"铭牌-VIP线下俱乐部2025铭牌")</f>
        <v>铭牌-VIP线下俱乐部2025铭牌</v>
      </c>
      <c r="C2208" s="148"/>
      <c r="D2208" s="148" t="str">
        <f>IFERROR(__xludf.DUMMYFUNCTION("""COMPUTED_VALUE"""),"chat_skin")</f>
        <v>chat_skin</v>
      </c>
      <c r="E2208" s="148">
        <f>IFERROR(__xludf.DUMMYFUNCTION("""COMPUTED_VALUE"""),30.0)</f>
        <v>30</v>
      </c>
      <c r="F2208" s="148">
        <f>IFERROR(__xludf.DUMMYFUNCTION("""COMPUTED_VALUE"""),401107.0)</f>
        <v>401107</v>
      </c>
      <c r="G2208" s="148">
        <f>IFERROR(__xludf.DUMMYFUNCTION("""COMPUTED_VALUE"""),1.51101296E8)</f>
        <v>151101296</v>
      </c>
      <c r="H2208" s="148">
        <f>IFERROR(__xludf.DUMMYFUNCTION("""COMPUTED_VALUE"""),1.5112564E7)</f>
        <v>15112564</v>
      </c>
      <c r="I2208" s="148" t="str">
        <f>IFERROR(__xludf.DUMMYFUNCTION("""COMPUTED_VALUE"""),"{}")</f>
        <v>{}</v>
      </c>
      <c r="J2208" s="148" t="str">
        <f>IFERROR(__xludf.DUMMYFUNCTION("""COMPUTED_VALUE"""),"{""typ"":""lc"",""txt"":""LC_ITEM_vipclub2025_nameplate_name""}")</f>
        <v>{"typ":"lc","txt":"LC_ITEM_vipclub2025_nameplate_name"}</v>
      </c>
      <c r="K2208" s="148" t="str">
        <f>IFERROR(__xludf.DUMMYFUNCTION("""COMPUTED_VALUE"""),"{""typ"":""lc"",""txt"":""LC_ITEM_vipclub2025_nameplate_name_desc_item""}")</f>
        <v>{"typ":"lc","txt":"LC_ITEM_vipclub2025_nameplate_name_desc_item"}</v>
      </c>
      <c r="L2208" s="148" t="str">
        <f>IFERROR(__xludf.DUMMYFUNCTION("""COMPUTED_VALUE"""),"{""typ"":""lc"",""txt"":""LC_ITEM_season_extra_reward_usedtip""}")</f>
        <v>{"typ":"lc","txt":"LC_ITEM_season_extra_reward_usedtip"}</v>
      </c>
      <c r="M2208" s="148">
        <f>IFERROR(__xludf.DUMMYFUNCTION("""COMPUTED_VALUE"""),2500.0)</f>
        <v>2500</v>
      </c>
      <c r="N2208" s="148">
        <f>IFERROR(__xludf.DUMMYFUNCTION("""COMPUTED_VALUE"""),9999999.0)</f>
        <v>9999999</v>
      </c>
      <c r="O2208" s="148">
        <f>IFERROR(__xludf.DUMMYFUNCTION("""COMPUTED_VALUE"""),1.0)</f>
        <v>1</v>
      </c>
      <c r="P2208" s="148">
        <f>IFERROR(__xludf.DUMMYFUNCTION("""COMPUTED_VALUE"""),1.0)</f>
        <v>1</v>
      </c>
      <c r="Q2208" s="148" t="str">
        <f>IFERROR(__xludf.DUMMYFUNCTION("""COMPUTED_VALUE"""),"[""bag_other""]")</f>
        <v>["bag_other"]</v>
      </c>
      <c r="R2208" s="148" t="str">
        <f>IFERROR(__xludf.DUMMYFUNCTION("""COMPUTED_VALUE"""),"[""11731032"",""bag""]")</f>
        <v>["11731032","bag"]</v>
      </c>
      <c r="S2208" s="148" t="str">
        <f>IFERROR(__xludf.DUMMYFUNCTION("""COMPUTED_VALUE"""),"{""effect"":[{""typ"":""nameplate"",""id"":11731032,""val"":-1}]}")</f>
        <v>{"effect":[{"typ":"nameplate","id":11731032,"val":-1}]}</v>
      </c>
      <c r="T2208" s="148">
        <f>IFERROR(__xludf.DUMMYFUNCTION("""COMPUTED_VALUE"""),-1.0)</f>
        <v>-1</v>
      </c>
      <c r="U2208" s="148">
        <f>IFERROR(__xludf.DUMMYFUNCTION("""COMPUTED_VALUE"""),0.0)</f>
        <v>0</v>
      </c>
      <c r="V2208" s="148" t="str">
        <f>IFERROR(__xludf.DUMMYFUNCTION("""COMPUTED_VALUE"""),"[]")</f>
        <v>[]</v>
      </c>
      <c r="W2208" s="148">
        <f>IFERROR(__xludf.DUMMYFUNCTION("""COMPUTED_VALUE"""),1.174E7)</f>
        <v>11740000</v>
      </c>
      <c r="X2208" s="148">
        <f>IFERROR(__xludf.DUMMYFUNCTION("""COMPUTED_VALUE"""),0.0)</f>
        <v>0</v>
      </c>
      <c r="Y2208" s="148">
        <f>IFERROR(__xludf.DUMMYFUNCTION("""COMPUTED_VALUE"""),0.0)</f>
        <v>0</v>
      </c>
      <c r="Z2208" s="148"/>
    </row>
    <row r="2209">
      <c r="A2209" s="148">
        <f>IFERROR(__xludf.DUMMYFUNCTION("""COMPUTED_VALUE"""),1.1118962E7)</f>
        <v>11118962</v>
      </c>
      <c r="B2209" s="148" t="str">
        <f>IFERROR(__xludf.DUMMYFUNCTION("""COMPUTED_VALUE"""),"VIP线下俱乐部2025头像框")</f>
        <v>VIP线下俱乐部2025头像框</v>
      </c>
      <c r="C2209" s="148"/>
      <c r="D2209" s="148" t="str">
        <f>IFERROR(__xludf.DUMMYFUNCTION("""COMPUTED_VALUE"""),"avatar_frame")</f>
        <v>avatar_frame</v>
      </c>
      <c r="E2209" s="148">
        <f>IFERROR(__xludf.DUMMYFUNCTION("""COMPUTED_VALUE"""),20.0)</f>
        <v>20</v>
      </c>
      <c r="F2209" s="148">
        <f>IFERROR(__xludf.DUMMYFUNCTION("""COMPUTED_VALUE"""),0.0)</f>
        <v>0</v>
      </c>
      <c r="G2209" s="148">
        <f>IFERROR(__xludf.DUMMYFUNCTION("""COMPUTED_VALUE"""),1.511013E8)</f>
        <v>151101300</v>
      </c>
      <c r="H2209" s="148">
        <f>IFERROR(__xludf.DUMMYFUNCTION("""COMPUTED_VALUE"""),1.5112564E7)</f>
        <v>15112564</v>
      </c>
      <c r="I2209" s="148" t="str">
        <f>IFERROR(__xludf.DUMMYFUNCTION("""COMPUTED_VALUE"""),"{}")</f>
        <v>{}</v>
      </c>
      <c r="J2209" s="148" t="str">
        <f>IFERROR(__xludf.DUMMYFUNCTION("""COMPUTED_VALUE"""),"{""typ"":""lc"",""txt"":""LC_ITEM_vipclub_title_2025""}")</f>
        <v>{"typ":"lc","txt":"LC_ITEM_vipclub_title_2025"}</v>
      </c>
      <c r="K2209" s="148" t="str">
        <f>IFERROR(__xludf.DUMMYFUNCTION("""COMPUTED_VALUE"""),"{""typ"":""lc"",""txt"":""LC_ITEM_vipclub_title_2025_desc""}")</f>
        <v>{"typ":"lc","txt":"LC_ITEM_vipclub_title_2025_desc"}</v>
      </c>
      <c r="L2209" s="148" t="str">
        <f>IFERROR(__xludf.DUMMYFUNCTION("""COMPUTED_VALUE"""),"{}")</f>
        <v>{}</v>
      </c>
      <c r="M2209" s="148">
        <f>IFERROR(__xludf.DUMMYFUNCTION("""COMPUTED_VALUE"""),1000.0)</f>
        <v>1000</v>
      </c>
      <c r="N2209" s="148">
        <f>IFERROR(__xludf.DUMMYFUNCTION("""COMPUTED_VALUE"""),99.0)</f>
        <v>99</v>
      </c>
      <c r="O2209" s="148">
        <f>IFERROR(__xludf.DUMMYFUNCTION("""COMPUTED_VALUE"""),1.0)</f>
        <v>1</v>
      </c>
      <c r="P2209" s="148">
        <f>IFERROR(__xludf.DUMMYFUNCTION("""COMPUTED_VALUE"""),1.0)</f>
        <v>1</v>
      </c>
      <c r="Q2209" s="148" t="str">
        <f>IFERROR(__xludf.DUMMYFUNCTION("""COMPUTED_VALUE"""),"[]")</f>
        <v>[]</v>
      </c>
      <c r="R2209" s="148" t="str">
        <f>IFERROR(__xludf.DUMMYFUNCTION("""COMPUTED_VALUE"""),"[""11421047""]")</f>
        <v>["11421047"]</v>
      </c>
      <c r="S2209" s="148" t="str">
        <f>IFERROR(__xludf.DUMMYFUNCTION("""COMPUTED_VALUE"""),"{""effect"":[{""typ"":""avatar_frame"",""id"":11421047,""val"":-1},{""typ"":""item"",""id"":11111031,""val"":1000}]}")</f>
        <v>{"effect":[{"typ":"avatar_frame","id":11421047,"val":-1},{"typ":"item","id":11111031,"val":1000}]}</v>
      </c>
      <c r="T2209" s="148">
        <f>IFERROR(__xludf.DUMMYFUNCTION("""COMPUTED_VALUE"""),-1.0)</f>
        <v>-1</v>
      </c>
      <c r="U2209" s="148">
        <f>IFERROR(__xludf.DUMMYFUNCTION("""COMPUTED_VALUE"""),1.0)</f>
        <v>1</v>
      </c>
      <c r="V2209" s="148" t="str">
        <f>IFERROR(__xludf.DUMMYFUNCTION("""COMPUTED_VALUE"""),"[]")</f>
        <v>[]</v>
      </c>
      <c r="W2209" s="148">
        <f>IFERROR(__xludf.DUMMYFUNCTION("""COMPUTED_VALUE"""),1.174E7)</f>
        <v>11740000</v>
      </c>
      <c r="X2209" s="148">
        <f>IFERROR(__xludf.DUMMYFUNCTION("""COMPUTED_VALUE"""),0.0)</f>
        <v>0</v>
      </c>
      <c r="Y2209" s="148">
        <f>IFERROR(__xludf.DUMMYFUNCTION("""COMPUTED_VALUE"""),0.0)</f>
        <v>0</v>
      </c>
      <c r="Z2209" s="148"/>
    </row>
    <row r="2210">
      <c r="A2210" s="148">
        <f>IFERROR(__xludf.DUMMYFUNCTION("""COMPUTED_VALUE"""),1.1118963E7)</f>
        <v>11118963</v>
      </c>
      <c r="B2210" s="148" t="str">
        <f>IFERROR(__xludf.DUMMYFUNCTION("""COMPUTED_VALUE"""),"天鹰皮肤夜枭")</f>
        <v>天鹰皮肤夜枭</v>
      </c>
      <c r="C2210" s="148"/>
      <c r="D2210" s="148" t="str">
        <f>IFERROR(__xludf.DUMMYFUNCTION("""COMPUTED_VALUE"""),"mecha_skin")</f>
        <v>mecha_skin</v>
      </c>
      <c r="E2210" s="148">
        <f>IFERROR(__xludf.DUMMYFUNCTION("""COMPUTED_VALUE"""),31.0)</f>
        <v>31</v>
      </c>
      <c r="F2210" s="148">
        <f>IFERROR(__xludf.DUMMYFUNCTION("""COMPUTED_VALUE"""),0.0)</f>
        <v>0</v>
      </c>
      <c r="G2210" s="148">
        <f>IFERROR(__xludf.DUMMYFUNCTION("""COMPUTED_VALUE"""),1.51104251E8)</f>
        <v>151104251</v>
      </c>
      <c r="H2210" s="148">
        <f>IFERROR(__xludf.DUMMYFUNCTION("""COMPUTED_VALUE"""),1.5112564E7)</f>
        <v>15112564</v>
      </c>
      <c r="I2210" s="148" t="str">
        <f>IFERROR(__xludf.DUMMYFUNCTION("""COMPUTED_VALUE"""),"{}")</f>
        <v>{}</v>
      </c>
      <c r="J2210" s="148" t="str">
        <f>IFERROR(__xludf.DUMMYFUNCTION("""COMPUTED_VALUE"""),"{""typ"":""lc"",""txt"":""LC_HERO_mecha_name_yexiao_item""}")</f>
        <v>{"typ":"lc","txt":"LC_HERO_mecha_name_yexiao_item"}</v>
      </c>
      <c r="K2210" s="148" t="str">
        <f>IFERROR(__xludf.DUMMYFUNCTION("""COMPUTED_VALUE"""),"{""typ"":""lc"",""txt"":""LC_HERO_mecha_skin_src_yexiao_item""}")</f>
        <v>{"typ":"lc","txt":"LC_HERO_mecha_skin_src_yexiao_item"}</v>
      </c>
      <c r="L2210" s="148" t="str">
        <f>IFERROR(__xludf.DUMMYFUNCTION("""COMPUTED_VALUE"""),"{""typ"":""lc"",""txt"":""LC_HERO_mecha_skin_src_yexiao_tips""}")</f>
        <v>{"typ":"lc","txt":"LC_HERO_mecha_skin_src_yexiao_tips"}</v>
      </c>
      <c r="M2210" s="148">
        <f>IFERROR(__xludf.DUMMYFUNCTION("""COMPUTED_VALUE"""),500.0)</f>
        <v>500</v>
      </c>
      <c r="N2210" s="148">
        <f>IFERROR(__xludf.DUMMYFUNCTION("""COMPUTED_VALUE"""),5.0)</f>
        <v>5</v>
      </c>
      <c r="O2210" s="148">
        <f>IFERROR(__xludf.DUMMYFUNCTION("""COMPUTED_VALUE"""),1.0)</f>
        <v>1</v>
      </c>
      <c r="P2210" s="148">
        <f>IFERROR(__xludf.DUMMYFUNCTION("""COMPUTED_VALUE"""),1.0)</f>
        <v>1</v>
      </c>
      <c r="Q2210" s="148" t="str">
        <f>IFERROR(__xludf.DUMMYFUNCTION("""COMPUTED_VALUE"""),"[""bag_other""]")</f>
        <v>["bag_other"]</v>
      </c>
      <c r="R2210" s="148" t="str">
        <f>IFERROR(__xludf.DUMMYFUNCTION("""COMPUTED_VALUE"""),"[""bag"",""40105201""]")</f>
        <v>["bag","40105201"]</v>
      </c>
      <c r="S2210" s="148" t="str">
        <f>IFERROR(__xludf.DUMMYFUNCTION("""COMPUTED_VALUE"""),"{""effect"":[{""typ"":""mecha_skin"",""id"":40105201,""val"":-1},{""typ"":""item"",""id"":11111034,""val"":10}]}")</f>
        <v>{"effect":[{"typ":"mecha_skin","id":40105201,"val":-1},{"typ":"item","id":11111034,"val":10}]}</v>
      </c>
      <c r="T2210" s="148">
        <f>IFERROR(__xludf.DUMMYFUNCTION("""COMPUTED_VALUE"""),-1.0)</f>
        <v>-1</v>
      </c>
      <c r="U2210" s="148">
        <f>IFERROR(__xludf.DUMMYFUNCTION("""COMPUTED_VALUE"""),0.0)</f>
        <v>0</v>
      </c>
      <c r="V2210" s="148" t="str">
        <f>IFERROR(__xludf.DUMMYFUNCTION("""COMPUTED_VALUE"""),"[]")</f>
        <v>[]</v>
      </c>
      <c r="W2210" s="148">
        <f>IFERROR(__xludf.DUMMYFUNCTION("""COMPUTED_VALUE"""),1.174E7)</f>
        <v>11740000</v>
      </c>
      <c r="X2210" s="148">
        <f>IFERROR(__xludf.DUMMYFUNCTION("""COMPUTED_VALUE"""),0.0)</f>
        <v>0</v>
      </c>
      <c r="Y2210" s="148">
        <f>IFERROR(__xludf.DUMMYFUNCTION("""COMPUTED_VALUE"""),0.0)</f>
        <v>0</v>
      </c>
      <c r="Z2210" s="148"/>
    </row>
    <row r="2211">
      <c r="A2211" s="148">
        <f>IFERROR(__xludf.DUMMYFUNCTION("""COMPUTED_VALUE"""),1.1119001E7)</f>
        <v>11119001</v>
      </c>
      <c r="B2211" s="148" t="str">
        <f>IFERROR(__xludf.DUMMYFUNCTION("""COMPUTED_VALUE"""),"KVK4_军团捐献道具_军团机甲")</f>
        <v>KVK4_军团捐献道具_军团机甲</v>
      </c>
      <c r="C2211" s="148"/>
      <c r="D2211" s="148" t="str">
        <f>IFERROR(__xludf.DUMMYFUNCTION("""COMPUTED_VALUE"""),"item_horde")</f>
        <v>item_horde</v>
      </c>
      <c r="E2211" s="148">
        <f>IFERROR(__xludf.DUMMYFUNCTION("""COMPUTED_VALUE"""),0.0)</f>
        <v>0</v>
      </c>
      <c r="F2211" s="148">
        <f>IFERROR(__xludf.DUMMYFUNCTION("""COMPUTED_VALUE"""),415205.0)</f>
        <v>415205</v>
      </c>
      <c r="G2211" s="148">
        <f>IFERROR(__xludf.DUMMYFUNCTION("""COMPUTED_VALUE"""),1.511784E7)</f>
        <v>15117840</v>
      </c>
      <c r="H2211" s="148">
        <f>IFERROR(__xludf.DUMMYFUNCTION("""COMPUTED_VALUE"""),1.5112563E7)</f>
        <v>15112563</v>
      </c>
      <c r="I2211" s="148" t="str">
        <f>IFERROR(__xludf.DUMMYFUNCTION("""COMPUTED_VALUE"""),"{}")</f>
        <v>{}</v>
      </c>
      <c r="J2211" s="148" t="str">
        <f>IFERROR(__xludf.DUMMYFUNCTION("""COMPUTED_VALUE"""),"{""typ"":""lc"",""txt"":""LC_KVK_kvk4_horde_donate_item_name""}")</f>
        <v>{"typ":"lc","txt":"LC_KVK_kvk4_horde_donate_item_name"}</v>
      </c>
      <c r="K2211" s="148" t="str">
        <f>IFERROR(__xludf.DUMMYFUNCTION("""COMPUTED_VALUE"""),"{""typ"":""lc"",""txt"":""LC_KVK_kvk4_horde_donate_item_desc""}")</f>
        <v>{"typ":"lc","txt":"LC_KVK_kvk4_horde_donate_item_desc"}</v>
      </c>
      <c r="L2211" s="148" t="str">
        <f>IFERROR(__xludf.DUMMYFUNCTION("""COMPUTED_VALUE"""),"{}")</f>
        <v>{}</v>
      </c>
      <c r="M2211" s="148">
        <f>IFERROR(__xludf.DUMMYFUNCTION("""COMPUTED_VALUE"""),50.0)</f>
        <v>50</v>
      </c>
      <c r="N2211" s="148">
        <f>IFERROR(__xludf.DUMMYFUNCTION("""COMPUTED_VALUE"""),9999999.0)</f>
        <v>9999999</v>
      </c>
      <c r="O2211" s="148">
        <f>IFERROR(__xludf.DUMMYFUNCTION("""COMPUTED_VALUE"""),99999.0)</f>
        <v>99999</v>
      </c>
      <c r="P2211" s="148">
        <f>IFERROR(__xludf.DUMMYFUNCTION("""COMPUTED_VALUE"""),99999.0)</f>
        <v>99999</v>
      </c>
      <c r="Q2211" s="148" t="str">
        <f>IFERROR(__xludf.DUMMYFUNCTION("""COMPUTED_VALUE"""),"[""bag_other""]")</f>
        <v>["bag_other"]</v>
      </c>
      <c r="R2211" s="148" t="str">
        <f>IFERROR(__xludf.DUMMYFUNCTION("""COMPUTED_VALUE"""),"[""horde_donate""]")</f>
        <v>["horde_donate"]</v>
      </c>
      <c r="S2211" s="148" t="str">
        <f>IFERROR(__xludf.DUMMYFUNCTION("""COMPUTED_VALUE"""),"{}")</f>
        <v>{}</v>
      </c>
      <c r="T2211" s="148">
        <f>IFERROR(__xludf.DUMMYFUNCTION("""COMPUTED_VALUE"""),-1.0)</f>
        <v>-1</v>
      </c>
      <c r="U2211" s="148">
        <f>IFERROR(__xludf.DUMMYFUNCTION("""COMPUTED_VALUE"""),0.0)</f>
        <v>0</v>
      </c>
      <c r="V2211" s="148" t="str">
        <f>IFERROR(__xludf.DUMMYFUNCTION("""COMPUTED_VALUE"""),"[]")</f>
        <v>[]</v>
      </c>
      <c r="W2211" s="148">
        <f>IFERROR(__xludf.DUMMYFUNCTION("""COMPUTED_VALUE"""),1.174E7)</f>
        <v>11740000</v>
      </c>
      <c r="X2211" s="148">
        <f>IFERROR(__xludf.DUMMYFUNCTION("""COMPUTED_VALUE"""),0.0)</f>
        <v>0</v>
      </c>
      <c r="Y2211" s="148">
        <f>IFERROR(__xludf.DUMMYFUNCTION("""COMPUTED_VALUE"""),0.0)</f>
        <v>0</v>
      </c>
      <c r="Z2211" s="148"/>
    </row>
    <row r="2212">
      <c r="A2212" s="148">
        <f>IFERROR(__xludf.DUMMYFUNCTION("""COMPUTED_VALUE"""),1.1119002E7)</f>
        <v>11119002</v>
      </c>
      <c r="B2212" s="148" t="str">
        <f>IFERROR(__xludf.DUMMYFUNCTION("""COMPUTED_VALUE"""),"KVK4_个人养成升级道具")</f>
        <v>KVK4_个人养成升级道具</v>
      </c>
      <c r="C2212" s="148"/>
      <c r="D2212" s="148" t="str">
        <f>IFERROR(__xludf.DUMMYFUNCTION("""COMPUTED_VALUE"""),"item_asset")</f>
        <v>item_asset</v>
      </c>
      <c r="E2212" s="148">
        <f>IFERROR(__xludf.DUMMYFUNCTION("""COMPUTED_VALUE"""),0.0)</f>
        <v>0</v>
      </c>
      <c r="F2212" s="148">
        <f>IFERROR(__xludf.DUMMYFUNCTION("""COMPUTED_VALUE"""),415205.0)</f>
        <v>415205</v>
      </c>
      <c r="G2212" s="148">
        <f>IFERROR(__xludf.DUMMYFUNCTION("""COMPUTED_VALUE"""),1.511881E7)</f>
        <v>15118810</v>
      </c>
      <c r="H2212" s="148">
        <f>IFERROR(__xludf.DUMMYFUNCTION("""COMPUTED_VALUE"""),1.5112563E7)</f>
        <v>15112563</v>
      </c>
      <c r="I2212" s="148" t="str">
        <f>IFERROR(__xludf.DUMMYFUNCTION("""COMPUTED_VALUE"""),"{}")</f>
        <v>{}</v>
      </c>
      <c r="J2212" s="148" t="str">
        <f>IFERROR(__xludf.DUMMYFUNCTION("""COMPUTED_VALUE"""),"{""typ"":""lc"",""txt"":""LC_ITEM_kvk4_individual_tech_rss_name""}")</f>
        <v>{"typ":"lc","txt":"LC_ITEM_kvk4_individual_tech_rss_name"}</v>
      </c>
      <c r="K2212" s="148" t="str">
        <f>IFERROR(__xludf.DUMMYFUNCTION("""COMPUTED_VALUE"""),"{""typ"":""lc"",""txt"":""LC_ITEM_kvk4_individual_tech_rss_desc""}")</f>
        <v>{"typ":"lc","txt":"LC_ITEM_kvk4_individual_tech_rss_desc"}</v>
      </c>
      <c r="L2212" s="148" t="str">
        <f>IFERROR(__xludf.DUMMYFUNCTION("""COMPUTED_VALUE"""),"{}")</f>
        <v>{}</v>
      </c>
      <c r="M2212" s="148">
        <f>IFERROR(__xludf.DUMMYFUNCTION("""COMPUTED_VALUE"""),50.0)</f>
        <v>50</v>
      </c>
      <c r="N2212" s="148">
        <f>IFERROR(__xludf.DUMMYFUNCTION("""COMPUTED_VALUE"""),9999999.0)</f>
        <v>9999999</v>
      </c>
      <c r="O2212" s="148">
        <f>IFERROR(__xludf.DUMMYFUNCTION("""COMPUTED_VALUE"""),99999.0)</f>
        <v>99999</v>
      </c>
      <c r="P2212" s="148">
        <f>IFERROR(__xludf.DUMMYFUNCTION("""COMPUTED_VALUE"""),99999.0)</f>
        <v>99999</v>
      </c>
      <c r="Q2212" s="148" t="str">
        <f>IFERROR(__xludf.DUMMYFUNCTION("""COMPUTED_VALUE"""),"[""bag_other""]")</f>
        <v>["bag_other"]</v>
      </c>
      <c r="R2212" s="148" t="str">
        <f>IFERROR(__xludf.DUMMYFUNCTION("""COMPUTED_VALUE"""),"[""kvk4_mecha_core_item""]")</f>
        <v>["kvk4_mecha_core_item"]</v>
      </c>
      <c r="S2212" s="148" t="str">
        <f>IFERROR(__xludf.DUMMYFUNCTION("""COMPUTED_VALUE"""),"{}")</f>
        <v>{}</v>
      </c>
      <c r="T2212" s="148">
        <f>IFERROR(__xludf.DUMMYFUNCTION("""COMPUTED_VALUE"""),-1.0)</f>
        <v>-1</v>
      </c>
      <c r="U2212" s="148">
        <f>IFERROR(__xludf.DUMMYFUNCTION("""COMPUTED_VALUE"""),0.0)</f>
        <v>0</v>
      </c>
      <c r="V2212" s="148" t="str">
        <f>IFERROR(__xludf.DUMMYFUNCTION("""COMPUTED_VALUE"""),"[]")</f>
        <v>[]</v>
      </c>
      <c r="W2212" s="148">
        <f>IFERROR(__xludf.DUMMYFUNCTION("""COMPUTED_VALUE"""),1.174E7)</f>
        <v>11740000</v>
      </c>
      <c r="X2212" s="148">
        <f>IFERROR(__xludf.DUMMYFUNCTION("""COMPUTED_VALUE"""),0.0)</f>
        <v>0</v>
      </c>
      <c r="Y2212" s="148">
        <f>IFERROR(__xludf.DUMMYFUNCTION("""COMPUTED_VALUE"""),0.0)</f>
        <v>0</v>
      </c>
      <c r="Z2212" s="148"/>
    </row>
    <row r="2213">
      <c r="A2213" s="148">
        <f>IFERROR(__xludf.DUMMYFUNCTION("""COMPUTED_VALUE"""),1.1119003E7)</f>
        <v>11119003</v>
      </c>
      <c r="B2213" s="148" t="str">
        <f>IFERROR(__xludf.DUMMYFUNCTION("""COMPUTED_VALUE"""),"kvk4旗帜展示道具")</f>
        <v>kvk4旗帜展示道具</v>
      </c>
      <c r="C2213" s="148"/>
      <c r="D2213" s="148" t="str">
        <f>IFERROR(__xludf.DUMMYFUNCTION("""COMPUTED_VALUE"""),"event")</f>
        <v>event</v>
      </c>
      <c r="E2213" s="148">
        <f>IFERROR(__xludf.DUMMYFUNCTION("""COMPUTED_VALUE"""),0.0)</f>
        <v>0</v>
      </c>
      <c r="F2213" s="148">
        <f>IFERROR(__xludf.DUMMYFUNCTION("""COMPUTED_VALUE"""),405243.0)</f>
        <v>405243</v>
      </c>
      <c r="G2213" s="148">
        <f>IFERROR(__xludf.DUMMYFUNCTION("""COMPUTED_VALUE"""),1.5118812E7)</f>
        <v>15118812</v>
      </c>
      <c r="H2213" s="148">
        <f>IFERROR(__xludf.DUMMYFUNCTION("""COMPUTED_VALUE"""),1.5112563E7)</f>
        <v>15112563</v>
      </c>
      <c r="I2213" s="148" t="str">
        <f>IFERROR(__xludf.DUMMYFUNCTION("""COMPUTED_VALUE"""),"{}")</f>
        <v>{}</v>
      </c>
      <c r="J2213" s="148" t="str">
        <f>IFERROR(__xludf.DUMMYFUNCTION("""COMPUTED_VALUE"""),"{""typ"":""lc"",""txt"":""LC_ITEM_kvk4_flag_skin_name""}")</f>
        <v>{"typ":"lc","txt":"LC_ITEM_kvk4_flag_skin_name"}</v>
      </c>
      <c r="K2213" s="148" t="str">
        <f>IFERROR(__xludf.DUMMYFUNCTION("""COMPUTED_VALUE"""),"{""typ"":""lc"",""txt"":""LC_ITEM_kvk4_flag_skin_desc""}")</f>
        <v>{"typ":"lc","txt":"LC_ITEM_kvk4_flag_skin_desc"}</v>
      </c>
      <c r="L2213" s="148" t="str">
        <f>IFERROR(__xludf.DUMMYFUNCTION("""COMPUTED_VALUE"""),"{}")</f>
        <v>{}</v>
      </c>
      <c r="M2213" s="148">
        <f>IFERROR(__xludf.DUMMYFUNCTION("""COMPUTED_VALUE"""),1000.0)</f>
        <v>1000</v>
      </c>
      <c r="N2213" s="148">
        <f>IFERROR(__xludf.DUMMYFUNCTION("""COMPUTED_VALUE"""),9.99999999E8)</f>
        <v>999999999</v>
      </c>
      <c r="O2213" s="148">
        <f>IFERROR(__xludf.DUMMYFUNCTION("""COMPUTED_VALUE"""),9.99999999E8)</f>
        <v>999999999</v>
      </c>
      <c r="P2213" s="148">
        <f>IFERROR(__xludf.DUMMYFUNCTION("""COMPUTED_VALUE"""),9.99999999E8)</f>
        <v>999999999</v>
      </c>
      <c r="Q2213" s="148" t="str">
        <f>IFERROR(__xludf.DUMMYFUNCTION("""COMPUTED_VALUE"""),"[""bag_other""]")</f>
        <v>["bag_other"]</v>
      </c>
      <c r="R2213" s="148" t="str">
        <f>IFERROR(__xludf.DUMMYFUNCTION("""COMPUTED_VALUE"""),"[]")</f>
        <v>[]</v>
      </c>
      <c r="S2213" s="148" t="str">
        <f>IFERROR(__xludf.DUMMYFUNCTION("""COMPUTED_VALUE"""),"{}")</f>
        <v>{}</v>
      </c>
      <c r="T2213" s="148">
        <f>IFERROR(__xludf.DUMMYFUNCTION("""COMPUTED_VALUE"""),-1.0)</f>
        <v>-1</v>
      </c>
      <c r="U2213" s="148">
        <f>IFERROR(__xludf.DUMMYFUNCTION("""COMPUTED_VALUE"""),1.0)</f>
        <v>1</v>
      </c>
      <c r="V2213" s="148" t="str">
        <f>IFERROR(__xludf.DUMMYFUNCTION("""COMPUTED_VALUE"""),"[]")</f>
        <v>[]</v>
      </c>
      <c r="W2213" s="148">
        <f>IFERROR(__xludf.DUMMYFUNCTION("""COMPUTED_VALUE"""),1.174E7)</f>
        <v>11740000</v>
      </c>
      <c r="X2213" s="148">
        <f>IFERROR(__xludf.DUMMYFUNCTION("""COMPUTED_VALUE"""),0.0)</f>
        <v>0</v>
      </c>
      <c r="Y2213" s="148">
        <f>IFERROR(__xludf.DUMMYFUNCTION("""COMPUTED_VALUE"""),0.0)</f>
        <v>0</v>
      </c>
      <c r="Z2213" s="148"/>
    </row>
    <row r="2214">
      <c r="A2214" s="148">
        <f>IFERROR(__xludf.DUMMYFUNCTION("""COMPUTED_VALUE"""),1.1119004E7)</f>
        <v>11119004</v>
      </c>
      <c r="B2214" s="148" t="str">
        <f>IFERROR(__xludf.DUMMYFUNCTION("""COMPUTED_VALUE"""),"机甲进阶重置道具")</f>
        <v>机甲进阶重置道具</v>
      </c>
      <c r="C2214" s="148"/>
      <c r="D2214" s="148" t="str">
        <f>IFERROR(__xludf.DUMMYFUNCTION("""COMPUTED_VALUE"""),"mech_skill_reset")</f>
        <v>mech_skill_reset</v>
      </c>
      <c r="E2214" s="148">
        <f>IFERROR(__xludf.DUMMYFUNCTION("""COMPUTED_VALUE"""),0.0)</f>
        <v>0</v>
      </c>
      <c r="F2214" s="148">
        <f>IFERROR(__xludf.DUMMYFUNCTION("""COMPUTED_VALUE"""),413004.0)</f>
        <v>413004</v>
      </c>
      <c r="G2214" s="148">
        <f>IFERROR(__xludf.DUMMYFUNCTION("""COMPUTED_VALUE"""),1.5117468E7)</f>
        <v>15117468</v>
      </c>
      <c r="H2214" s="148">
        <f>IFERROR(__xludf.DUMMYFUNCTION("""COMPUTED_VALUE"""),1.5112563E7)</f>
        <v>15112563</v>
      </c>
      <c r="I2214" s="148" t="str">
        <f>IFERROR(__xludf.DUMMYFUNCTION("""COMPUTED_VALUE"""),"{}")</f>
        <v>{}</v>
      </c>
      <c r="J2214" s="148" t="str">
        <f>IFERROR(__xludf.DUMMYFUNCTION("""COMPUTED_VALUE"""),"{""typ"":""lc"",""txt"":""LC_ITEM_mecha_rename""}")</f>
        <v>{"typ":"lc","txt":"LC_ITEM_mecha_rename"}</v>
      </c>
      <c r="K2214" s="148" t="str">
        <f>IFERROR(__xludf.DUMMYFUNCTION("""COMPUTED_VALUE"""),"{""typ"":""lc"",""txt"":""LC_ITEM_mecha_rename_desc""}")</f>
        <v>{"typ":"lc","txt":"LC_ITEM_mecha_rename_desc"}</v>
      </c>
      <c r="L2214" s="148" t="str">
        <f>IFERROR(__xludf.DUMMYFUNCTION("""COMPUTED_VALUE"""),"{}")</f>
        <v>{}</v>
      </c>
      <c r="M2214" s="148">
        <f>IFERROR(__xludf.DUMMYFUNCTION("""COMPUTED_VALUE"""),15.0)</f>
        <v>15</v>
      </c>
      <c r="N2214" s="148">
        <f>IFERROR(__xludf.DUMMYFUNCTION("""COMPUTED_VALUE"""),9999999.0)</f>
        <v>9999999</v>
      </c>
      <c r="O2214" s="148">
        <f>IFERROR(__xludf.DUMMYFUNCTION("""COMPUTED_VALUE"""),99999.0)</f>
        <v>99999</v>
      </c>
      <c r="P2214" s="148">
        <f>IFERROR(__xludf.DUMMYFUNCTION("""COMPUTED_VALUE"""),99999.0)</f>
        <v>99999</v>
      </c>
      <c r="Q2214" s="148" t="str">
        <f>IFERROR(__xludf.DUMMYFUNCTION("""COMPUTED_VALUE"""),"[""bag_other""]")</f>
        <v>["bag_other"]</v>
      </c>
      <c r="R2214" s="148" t="str">
        <f>IFERROR(__xludf.DUMMYFUNCTION("""COMPUTED_VALUE"""),"[]")</f>
        <v>[]</v>
      </c>
      <c r="S2214" s="148" t="str">
        <f>IFERROR(__xludf.DUMMYFUNCTION("""COMPUTED_VALUE"""),"{}")</f>
        <v>{}</v>
      </c>
      <c r="T2214" s="148">
        <f>IFERROR(__xludf.DUMMYFUNCTION("""COMPUTED_VALUE"""),-1.0)</f>
        <v>-1</v>
      </c>
      <c r="U2214" s="148">
        <f>IFERROR(__xludf.DUMMYFUNCTION("""COMPUTED_VALUE"""),0.0)</f>
        <v>0</v>
      </c>
      <c r="V2214" s="148" t="str">
        <f>IFERROR(__xludf.DUMMYFUNCTION("""COMPUTED_VALUE"""),"[]")</f>
        <v>[]</v>
      </c>
      <c r="W2214" s="148">
        <f>IFERROR(__xludf.DUMMYFUNCTION("""COMPUTED_VALUE"""),1.174E7)</f>
        <v>11740000</v>
      </c>
      <c r="X2214" s="148">
        <f>IFERROR(__xludf.DUMMYFUNCTION("""COMPUTED_VALUE"""),0.0)</f>
        <v>0</v>
      </c>
      <c r="Y2214" s="148">
        <f>IFERROR(__xludf.DUMMYFUNCTION("""COMPUTED_VALUE"""),0.0)</f>
        <v>0</v>
      </c>
      <c r="Z2214" s="148"/>
    </row>
    <row r="2215">
      <c r="A2215" s="148">
        <f>IFERROR(__xludf.DUMMYFUNCTION("""COMPUTED_VALUE"""),1.1119005E7)</f>
        <v>11119005</v>
      </c>
      <c r="B2215" s="148" t="str">
        <f>IFERROR(__xludf.DUMMYFUNCTION("""COMPUTED_VALUE"""),"头像框：kvk5")</f>
        <v>头像框：kvk5</v>
      </c>
      <c r="C2215" s="148"/>
      <c r="D2215" s="148" t="str">
        <f>IFERROR(__xludf.DUMMYFUNCTION("""COMPUTED_VALUE"""),"avatar_frame")</f>
        <v>avatar_frame</v>
      </c>
      <c r="E2215" s="148">
        <f>IFERROR(__xludf.DUMMYFUNCTION("""COMPUTED_VALUE"""),20.0)</f>
        <v>20</v>
      </c>
      <c r="F2215" s="148">
        <f>IFERROR(__xludf.DUMMYFUNCTION("""COMPUTED_VALUE"""),0.0)</f>
        <v>0</v>
      </c>
      <c r="G2215" s="148">
        <f>IFERROR(__xludf.DUMMYFUNCTION("""COMPUTED_VALUE"""),1.51101299E8)</f>
        <v>151101299</v>
      </c>
      <c r="H2215" s="148">
        <f>IFERROR(__xludf.DUMMYFUNCTION("""COMPUTED_VALUE"""),1.5112563E7)</f>
        <v>15112563</v>
      </c>
      <c r="I2215" s="148" t="str">
        <f>IFERROR(__xludf.DUMMYFUNCTION("""COMPUTED_VALUE"""),"{}")</f>
        <v>{}</v>
      </c>
      <c r="J2215" s="148" t="str">
        <f>IFERROR(__xludf.DUMMYFUNCTION("""COMPUTED_VALUE"""),"{""typ"":""lc"",""txt"":""LC_ASSET_avatar_frame_name_41""}")</f>
        <v>{"typ":"lc","txt":"LC_ASSET_avatar_frame_name_41"}</v>
      </c>
      <c r="K2215" s="148" t="str">
        <f>IFERROR(__xludf.DUMMYFUNCTION("""COMPUTED_VALUE"""),"{""typ"":""lc"",""txt"":""LC_MENU_forever""}")</f>
        <v>{"typ":"lc","txt":"LC_MENU_forever"}</v>
      </c>
      <c r="L2215" s="148" t="str">
        <f>IFERROR(__xludf.DUMMYFUNCTION("""COMPUTED_VALUE"""),"{}")</f>
        <v>{}</v>
      </c>
      <c r="M2215" s="148">
        <f>IFERROR(__xludf.DUMMYFUNCTION("""COMPUTED_VALUE"""),1000.0)</f>
        <v>1000</v>
      </c>
      <c r="N2215" s="148">
        <f>IFERROR(__xludf.DUMMYFUNCTION("""COMPUTED_VALUE"""),99.0)</f>
        <v>99</v>
      </c>
      <c r="O2215" s="148">
        <f>IFERROR(__xludf.DUMMYFUNCTION("""COMPUTED_VALUE"""),1.0)</f>
        <v>1</v>
      </c>
      <c r="P2215" s="148">
        <f>IFERROR(__xludf.DUMMYFUNCTION("""COMPUTED_VALUE"""),1.0)</f>
        <v>1</v>
      </c>
      <c r="Q2215" s="148" t="str">
        <f>IFERROR(__xludf.DUMMYFUNCTION("""COMPUTED_VALUE"""),"[]")</f>
        <v>[]</v>
      </c>
      <c r="R2215" s="148" t="str">
        <f>IFERROR(__xludf.DUMMYFUNCTION("""COMPUTED_VALUE"""),"[""11421046""]")</f>
        <v>["11421046"]</v>
      </c>
      <c r="S2215" s="148" t="str">
        <f>IFERROR(__xludf.DUMMYFUNCTION("""COMPUTED_VALUE"""),"{""effect"":[{""typ"":""avatar_frame"",""id"":11421046,""val"":-1},{""typ"":""item"",""id"":11111031,""val"":1000}]}")</f>
        <v>{"effect":[{"typ":"avatar_frame","id":11421046,"val":-1},{"typ":"item","id":11111031,"val":1000}]}</v>
      </c>
      <c r="T2215" s="148">
        <f>IFERROR(__xludf.DUMMYFUNCTION("""COMPUTED_VALUE"""),-1.0)</f>
        <v>-1</v>
      </c>
      <c r="U2215" s="148">
        <f>IFERROR(__xludf.DUMMYFUNCTION("""COMPUTED_VALUE"""),1.0)</f>
        <v>1</v>
      </c>
      <c r="V2215" s="148" t="str">
        <f>IFERROR(__xludf.DUMMYFUNCTION("""COMPUTED_VALUE"""),"[]")</f>
        <v>[]</v>
      </c>
      <c r="W2215" s="148">
        <f>IFERROR(__xludf.DUMMYFUNCTION("""COMPUTED_VALUE"""),1.174E7)</f>
        <v>11740000</v>
      </c>
      <c r="X2215" s="148">
        <f>IFERROR(__xludf.DUMMYFUNCTION("""COMPUTED_VALUE"""),0.0)</f>
        <v>0</v>
      </c>
      <c r="Y2215" s="148">
        <f>IFERROR(__xludf.DUMMYFUNCTION("""COMPUTED_VALUE"""),0.0)</f>
        <v>0</v>
      </c>
      <c r="Z2215" s="148"/>
    </row>
    <row r="2216">
      <c r="A2216" s="148">
        <f>IFERROR(__xludf.DUMMYFUNCTION("""COMPUTED_VALUE"""),1.1119006E7)</f>
        <v>11119006</v>
      </c>
      <c r="B2216" s="148" t="str">
        <f>IFERROR(__xludf.DUMMYFUNCTION("""COMPUTED_VALUE"""),"奥林形象")</f>
        <v>奥林形象</v>
      </c>
      <c r="C2216" s="148"/>
      <c r="D2216" s="148" t="str">
        <f>IFERROR(__xludf.DUMMYFUNCTION("""COMPUTED_VALUE"""),"item_asset")</f>
        <v>item_asset</v>
      </c>
      <c r="E2216" s="148">
        <f>IFERROR(__xludf.DUMMYFUNCTION("""COMPUTED_VALUE"""),19.0)</f>
        <v>19</v>
      </c>
      <c r="F2216" s="148">
        <f>IFERROR(__xludf.DUMMYFUNCTION("""COMPUTED_VALUE"""),401120.0)</f>
        <v>401120</v>
      </c>
      <c r="G2216" s="148">
        <f>IFERROR(__xludf.DUMMYFUNCTION("""COMPUTED_VALUE"""),1.51101298E8)</f>
        <v>151101298</v>
      </c>
      <c r="H2216" s="148">
        <f>IFERROR(__xludf.DUMMYFUNCTION("""COMPUTED_VALUE"""),1.5112564E7)</f>
        <v>15112564</v>
      </c>
      <c r="I2216" s="148" t="str">
        <f>IFERROR(__xludf.DUMMYFUNCTION("""COMPUTED_VALUE"""),"{}")</f>
        <v>{}</v>
      </c>
      <c r="J2216" s="148" t="str">
        <f>IFERROR(__xludf.DUMMYFUNCTION("""COMPUTED_VALUE"""),"{""typ"":""lc"",""txt"":""LC_HERO_hero_name_104""}")</f>
        <v>{"typ":"lc","txt":"LC_HERO_hero_name_104"}</v>
      </c>
      <c r="K2216" s="148" t="str">
        <f>IFERROR(__xludf.DUMMYFUNCTION("""COMPUTED_VALUE"""),"{""typ"":""lc"",""txt"":""LC_HERO_hero_desc_104""}")</f>
        <v>{"typ":"lc","txt":"LC_HERO_hero_desc_104"}</v>
      </c>
      <c r="L2216" s="148" t="str">
        <f>IFERROR(__xludf.DUMMYFUNCTION("""COMPUTED_VALUE"""),"{}")</f>
        <v>{}</v>
      </c>
      <c r="M2216" s="148">
        <f>IFERROR(__xludf.DUMMYFUNCTION("""COMPUTED_VALUE"""),15000.0)</f>
        <v>15000</v>
      </c>
      <c r="N2216" s="148">
        <f>IFERROR(__xludf.DUMMYFUNCTION("""COMPUTED_VALUE"""),999999.0)</f>
        <v>999999</v>
      </c>
      <c r="O2216" s="148">
        <f>IFERROR(__xludf.DUMMYFUNCTION("""COMPUTED_VALUE"""),99999.0)</f>
        <v>99999</v>
      </c>
      <c r="P2216" s="148">
        <f>IFERROR(__xludf.DUMMYFUNCTION("""COMPUTED_VALUE"""),9999.0)</f>
        <v>9999</v>
      </c>
      <c r="Q2216" s="148" t="str">
        <f>IFERROR(__xludf.DUMMYFUNCTION("""COMPUTED_VALUE"""),"[""bag_other""]")</f>
        <v>["bag_other"]</v>
      </c>
      <c r="R2216" s="148" t="str">
        <f>IFERROR(__xludf.DUMMYFUNCTION("""COMPUTED_VALUE"""),"[]")</f>
        <v>[]</v>
      </c>
      <c r="S2216" s="148" t="str">
        <f>IFERROR(__xludf.DUMMYFUNCTION("""COMPUTED_VALUE"""),"{""drop"":{""typ"":""single_all"",""num"":1,""args"":[{""typ"":""item"",""id"":11116264,""num"":10,""wgt"":30}]}}")</f>
        <v>{"drop":{"typ":"single_all","num":1,"args":[{"typ":"item","id":11116264,"num":10,"wgt":30}]}}</v>
      </c>
      <c r="T2216" s="148">
        <f>IFERROR(__xludf.DUMMYFUNCTION("""COMPUTED_VALUE"""),-1.0)</f>
        <v>-1</v>
      </c>
      <c r="U2216" s="148">
        <f>IFERROR(__xludf.DUMMYFUNCTION("""COMPUTED_VALUE"""),1.0)</f>
        <v>1</v>
      </c>
      <c r="V2216" s="148" t="str">
        <f>IFERROR(__xludf.DUMMYFUNCTION("""COMPUTED_VALUE"""),"[]")</f>
        <v>[]</v>
      </c>
      <c r="W2216" s="148">
        <f>IFERROR(__xludf.DUMMYFUNCTION("""COMPUTED_VALUE"""),1.174E7)</f>
        <v>11740000</v>
      </c>
      <c r="X2216" s="148">
        <f>IFERROR(__xludf.DUMMYFUNCTION("""COMPUTED_VALUE"""),0.0)</f>
        <v>0</v>
      </c>
      <c r="Y2216" s="148">
        <f>IFERROR(__xludf.DUMMYFUNCTION("""COMPUTED_VALUE"""),0.0)</f>
        <v>0</v>
      </c>
      <c r="Z2216" s="148"/>
    </row>
    <row r="2217">
      <c r="A2217" s="148">
        <f>IFERROR(__xludf.DUMMYFUNCTION("""COMPUTED_VALUE"""),1.1119053E7)</f>
        <v>11119053</v>
      </c>
      <c r="B2217" s="148" t="str">
        <f>IFERROR(__xludf.DUMMYFUNCTION("""COMPUTED_VALUE"""),"军备bp-7日-增加次数道具_v61")</f>
        <v>军备bp-7日-增加次数道具_v61</v>
      </c>
      <c r="C2217" s="148"/>
      <c r="D2217" s="148" t="str">
        <f>IFERROR(__xludf.DUMMYFUNCTION("""COMPUTED_VALUE"""),"event_progress")</f>
        <v>event_progress</v>
      </c>
      <c r="E2217" s="148">
        <f>IFERROR(__xludf.DUMMYFUNCTION("""COMPUTED_VALUE"""),0.0)</f>
        <v>0</v>
      </c>
      <c r="F2217" s="148">
        <f>IFERROR(__xludf.DUMMYFUNCTION("""COMPUTED_VALUE"""),0.0)</f>
        <v>0</v>
      </c>
      <c r="G2217" s="148">
        <f>IFERROR(__xludf.DUMMYFUNCTION("""COMPUTED_VALUE"""),1.5115115E7)</f>
        <v>15115115</v>
      </c>
      <c r="H2217" s="148">
        <f>IFERROR(__xludf.DUMMYFUNCTION("""COMPUTED_VALUE"""),1.5112563E7)</f>
        <v>15112563</v>
      </c>
      <c r="I2217" s="148" t="str">
        <f>IFERROR(__xludf.DUMMYFUNCTION("""COMPUTED_VALUE"""),"{}")</f>
        <v>{}</v>
      </c>
      <c r="J2217" s="148" t="str">
        <f>IFERROR(__xludf.DUMMYFUNCTION("""COMPUTED_VALUE"""),"{}")</f>
        <v>{}</v>
      </c>
      <c r="K2217" s="148" t="str">
        <f>IFERROR(__xludf.DUMMYFUNCTION("""COMPUTED_VALUE"""),"{}")</f>
        <v>{}</v>
      </c>
      <c r="L2217" s="148" t="str">
        <f>IFERROR(__xludf.DUMMYFUNCTION("""COMPUTED_VALUE"""),"{}")</f>
        <v>{}</v>
      </c>
      <c r="M2217" s="148">
        <f>IFERROR(__xludf.DUMMYFUNCTION("""COMPUTED_VALUE"""),1.0)</f>
        <v>1</v>
      </c>
      <c r="N2217" s="148">
        <f>IFERROR(__xludf.DUMMYFUNCTION("""COMPUTED_VALUE"""),999999.0)</f>
        <v>999999</v>
      </c>
      <c r="O2217" s="148">
        <f>IFERROR(__xludf.DUMMYFUNCTION("""COMPUTED_VALUE"""),99999.0)</f>
        <v>99999</v>
      </c>
      <c r="P2217" s="148">
        <f>IFERROR(__xludf.DUMMYFUNCTION("""COMPUTED_VALUE"""),9999.0)</f>
        <v>9999</v>
      </c>
      <c r="Q2217" s="148" t="str">
        <f>IFERROR(__xludf.DUMMYFUNCTION("""COMPUTED_VALUE"""),"[]")</f>
        <v>[]</v>
      </c>
      <c r="R2217" s="148" t="str">
        <f>IFERROR(__xludf.DUMMYFUNCTION("""COMPUTED_VALUE"""),"[]")</f>
        <v>[]</v>
      </c>
      <c r="S2217" s="148" t="str">
        <f>IFERROR(__xludf.DUMMYFUNCTION("""COMPUTED_VALUE"""),"{""effect"":[{""typ"":""event"",""id"":21122082},{""typ"":""miss_lost_reward""}]}")</f>
        <v>{"effect":[{"typ":"event","id":21122082},{"typ":"miss_lost_reward"}]}</v>
      </c>
      <c r="T2217" s="148">
        <f>IFERROR(__xludf.DUMMYFUNCTION("""COMPUTED_VALUE"""),-1.0)</f>
        <v>-1</v>
      </c>
      <c r="U2217" s="148">
        <f>IFERROR(__xludf.DUMMYFUNCTION("""COMPUTED_VALUE"""),1.0)</f>
        <v>1</v>
      </c>
      <c r="V2217" s="148" t="str">
        <f>IFERROR(__xludf.DUMMYFUNCTION("""COMPUTED_VALUE"""),"[]")</f>
        <v>[]</v>
      </c>
      <c r="W2217" s="148">
        <f>IFERROR(__xludf.DUMMYFUNCTION("""COMPUTED_VALUE"""),1.174E7)</f>
        <v>11740000</v>
      </c>
      <c r="X2217" s="148">
        <f>IFERROR(__xludf.DUMMYFUNCTION("""COMPUTED_VALUE"""),0.0)</f>
        <v>0</v>
      </c>
      <c r="Y2217" s="148">
        <f>IFERROR(__xludf.DUMMYFUNCTION("""COMPUTED_VALUE"""),0.0)</f>
        <v>0</v>
      </c>
      <c r="Z2217" s="148"/>
    </row>
    <row r="2218">
      <c r="A2218" s="148">
        <f>IFERROR(__xludf.DUMMYFUNCTION("""COMPUTED_VALUE"""),1.1119054E7)</f>
        <v>11119054</v>
      </c>
      <c r="B2218" s="148" t="str">
        <f>IFERROR(__xludf.DUMMYFUNCTION("""COMPUTED_VALUE"""),"zvz（空投救护站）-死兵返还比例提升-1%")</f>
        <v>zvz（空投救护站）-死兵返还比例提升-1%</v>
      </c>
      <c r="C2218" s="148"/>
      <c r="D2218" s="148" t="str">
        <f>IFERROR(__xludf.DUMMYFUNCTION("""COMPUTED_VALUE"""),"item_buff")</f>
        <v>item_buff</v>
      </c>
      <c r="E2218" s="148">
        <f>IFERROR(__xludf.DUMMYFUNCTION("""COMPUTED_VALUE"""),0.0)</f>
        <v>0</v>
      </c>
      <c r="F2218" s="148">
        <f>IFERROR(__xludf.DUMMYFUNCTION("""COMPUTED_VALUE"""),404102.0)</f>
        <v>404102</v>
      </c>
      <c r="G2218" s="148">
        <f>IFERROR(__xludf.DUMMYFUNCTION("""COMPUTED_VALUE"""),1.5114602E7)</f>
        <v>15114602</v>
      </c>
      <c r="H2218" s="148">
        <f>IFERROR(__xludf.DUMMYFUNCTION("""COMPUTED_VALUE"""),1.5112564E7)</f>
        <v>15112564</v>
      </c>
      <c r="I2218" s="148" t="str">
        <f>IFERROR(__xludf.DUMMYFUNCTION("""COMPUTED_VALUE"""),"{""typ"":""lc"",""txt"":""LC_ITEM_buff_val_upper_show"",""args"":[{""typ"":""int"",""val"":1}]}")</f>
        <v>{"typ":"lc","txt":"LC_ITEM_buff_val_upper_show","args":[{"typ":"int","val":1}]}</v>
      </c>
      <c r="J2218" s="148" t="str">
        <f>IFERROR(__xludf.DUMMYFUNCTION("""COMPUTED_VALUE"""),"{""typ"":""lc"",""txt"":""LC_ITEM_treat_station_upgrade_name""}")</f>
        <v>{"typ":"lc","txt":"LC_ITEM_treat_station_upgrade_name"}</v>
      </c>
      <c r="K2218" s="148" t="str">
        <f>IFERROR(__xludf.DUMMYFUNCTION("""COMPUTED_VALUE"""),"{""typ"":""lc"",""txt"":""LC_ITEM_treat_station_upgrade_desc"",""args"":[{""typ"":""int"",""val"":1}]}")</f>
        <v>{"typ":"lc","txt":"LC_ITEM_treat_station_upgrade_desc","args":[{"typ":"int","val":1}]}</v>
      </c>
      <c r="L2218" s="148" t="str">
        <f>IFERROR(__xludf.DUMMYFUNCTION("""COMPUTED_VALUE"""),"{""typ"":""lc"",""txt"":""LC_ITEM_treat_station_upgrade_usetip""}")</f>
        <v>{"typ":"lc","txt":"LC_ITEM_treat_station_upgrade_usetip"}</v>
      </c>
      <c r="M2218" s="148">
        <f>IFERROR(__xludf.DUMMYFUNCTION("""COMPUTED_VALUE"""),1350.0)</f>
        <v>1350</v>
      </c>
      <c r="N2218" s="148">
        <f>IFERROR(__xludf.DUMMYFUNCTION("""COMPUTED_VALUE"""),100.0)</f>
        <v>100</v>
      </c>
      <c r="O2218" s="148">
        <f>IFERROR(__xludf.DUMMYFUNCTION("""COMPUTED_VALUE"""),100.0)</f>
        <v>100</v>
      </c>
      <c r="P2218" s="148">
        <f>IFERROR(__xludf.DUMMYFUNCTION("""COMPUTED_VALUE"""),100.0)</f>
        <v>100</v>
      </c>
      <c r="Q2218" s="148" t="str">
        <f>IFERROR(__xludf.DUMMYFUNCTION("""COMPUTED_VALUE"""),"[""bag_other""]")</f>
        <v>["bag_other"]</v>
      </c>
      <c r="R2218" s="148" t="str">
        <f>IFERROR(__xludf.DUMMYFUNCTION("""COMPUTED_VALUE"""),"[]")</f>
        <v>[]</v>
      </c>
      <c r="S2218" s="148" t="str">
        <f>IFERROR(__xludf.DUMMYFUNCTION("""COMPUTED_VALUE"""),"{""effect"":[{""typ"":""buff"",""id"":121111019,""val"":-1,""arg1"":0.01}]}")</f>
        <v>{"effect":[{"typ":"buff","id":121111019,"val":-1,"arg1":0.01}]}</v>
      </c>
      <c r="T2218" s="148">
        <f>IFERROR(__xludf.DUMMYFUNCTION("""COMPUTED_VALUE"""),-1.0)</f>
        <v>-1</v>
      </c>
      <c r="U2218" s="148">
        <f>IFERROR(__xludf.DUMMYFUNCTION("""COMPUTED_VALUE"""),1.0)</f>
        <v>1</v>
      </c>
      <c r="V2218" s="148" t="str">
        <f>IFERROR(__xludf.DUMMYFUNCTION("""COMPUTED_VALUE"""),"[]")</f>
        <v>[]</v>
      </c>
      <c r="W2218" s="148">
        <f>IFERROR(__xludf.DUMMYFUNCTION("""COMPUTED_VALUE"""),1.174E7)</f>
        <v>11740000</v>
      </c>
      <c r="X2218" s="148">
        <f>IFERROR(__xludf.DUMMYFUNCTION("""COMPUTED_VALUE"""),0.0)</f>
        <v>0</v>
      </c>
      <c r="Y2218" s="148">
        <f>IFERROR(__xludf.DUMMYFUNCTION("""COMPUTED_VALUE"""),0.0)</f>
        <v>0</v>
      </c>
      <c r="Z2218" s="148"/>
    </row>
    <row r="2219">
      <c r="A2219" s="148">
        <f>IFERROR(__xludf.DUMMYFUNCTION("""COMPUTED_VALUE"""),1.1119055E7)</f>
        <v>11119055</v>
      </c>
      <c r="B2219" s="148" t="str">
        <f>IFERROR(__xludf.DUMMYFUNCTION("""COMPUTED_VALUE"""),"前期转盘折扣抽奖券")</f>
        <v>前期转盘折扣抽奖券</v>
      </c>
      <c r="C2219" s="148"/>
      <c r="D2219" s="148" t="str">
        <f>IFERROR(__xludf.DUMMYFUNCTION("""COMPUTED_VALUE"""),"event")</f>
        <v>event</v>
      </c>
      <c r="E2219" s="148">
        <f>IFERROR(__xludf.DUMMYFUNCTION("""COMPUTED_VALUE"""),0.0)</f>
        <v>0</v>
      </c>
      <c r="F2219" s="148">
        <f>IFERROR(__xludf.DUMMYFUNCTION("""COMPUTED_VALUE"""),405243.0)</f>
        <v>405243</v>
      </c>
      <c r="G2219" s="148">
        <f>IFERROR(__xludf.DUMMYFUNCTION("""COMPUTED_VALUE"""),1.5117404E7)</f>
        <v>15117404</v>
      </c>
      <c r="H2219" s="148">
        <f>IFERROR(__xludf.DUMMYFUNCTION("""COMPUTED_VALUE"""),1.5112564E7)</f>
        <v>15112564</v>
      </c>
      <c r="I2219" s="148" t="str">
        <f>IFERROR(__xludf.DUMMYFUNCTION("""COMPUTED_VALUE"""),"{}")</f>
        <v>{}</v>
      </c>
      <c r="J2219" s="148" t="str">
        <f>IFERROR(__xludf.DUMMYFUNCTION("""COMPUTED_VALUE"""),"{""typ"":""lc"",""txt"":""LC_ITEM_black_friday_item_name_newbie""}")</f>
        <v>{"typ":"lc","txt":"LC_ITEM_black_friday_item_name_newbie"}</v>
      </c>
      <c r="K2219" s="148" t="str">
        <f>IFERROR(__xludf.DUMMYFUNCTION("""COMPUTED_VALUE"""),"{""typ"":""lc"",""txt"":""LC_ITEM_black_friday_item_desc""}")</f>
        <v>{"typ":"lc","txt":"LC_ITEM_black_friday_item_desc"}</v>
      </c>
      <c r="L2219" s="148" t="str">
        <f>IFERROR(__xludf.DUMMYFUNCTION("""COMPUTED_VALUE"""),"{}")</f>
        <v>{}</v>
      </c>
      <c r="M2219" s="148">
        <f>IFERROR(__xludf.DUMMYFUNCTION("""COMPUTED_VALUE"""),500.0)</f>
        <v>500</v>
      </c>
      <c r="N2219" s="148">
        <f>IFERROR(__xludf.DUMMYFUNCTION("""COMPUTED_VALUE"""),9.99999999E8)</f>
        <v>999999999</v>
      </c>
      <c r="O2219" s="148">
        <f>IFERROR(__xludf.DUMMYFUNCTION("""COMPUTED_VALUE"""),9.99999999E8)</f>
        <v>999999999</v>
      </c>
      <c r="P2219" s="148">
        <f>IFERROR(__xludf.DUMMYFUNCTION("""COMPUTED_VALUE"""),9.99999999E8)</f>
        <v>999999999</v>
      </c>
      <c r="Q2219" s="148" t="str">
        <f>IFERROR(__xludf.DUMMYFUNCTION("""COMPUTED_VALUE"""),"[""bag_other""]")</f>
        <v>["bag_other"]</v>
      </c>
      <c r="R2219" s="148" t="str">
        <f>IFERROR(__xludf.DUMMYFUNCTION("""COMPUTED_VALUE"""),"[]")</f>
        <v>[]</v>
      </c>
      <c r="S2219" s="148" t="str">
        <f>IFERROR(__xludf.DUMMYFUNCTION("""COMPUTED_VALUE"""),"{}")</f>
        <v>{}</v>
      </c>
      <c r="T2219" s="148">
        <f>IFERROR(__xludf.DUMMYFUNCTION("""COMPUTED_VALUE"""),-1.0)</f>
        <v>-1</v>
      </c>
      <c r="U2219" s="148">
        <f>IFERROR(__xludf.DUMMYFUNCTION("""COMPUTED_VALUE"""),0.0)</f>
        <v>0</v>
      </c>
      <c r="V2219" s="148" t="str">
        <f>IFERROR(__xludf.DUMMYFUNCTION("""COMPUTED_VALUE"""),"[]")</f>
        <v>[]</v>
      </c>
      <c r="W2219" s="148">
        <f>IFERROR(__xludf.DUMMYFUNCTION("""COMPUTED_VALUE"""),1.174E7)</f>
        <v>11740000</v>
      </c>
      <c r="X2219" s="148">
        <f>IFERROR(__xludf.DUMMYFUNCTION("""COMPUTED_VALUE"""),0.0)</f>
        <v>0</v>
      </c>
      <c r="Y2219" s="148">
        <f>IFERROR(__xludf.DUMMYFUNCTION("""COMPUTED_VALUE"""),0.0)</f>
        <v>0</v>
      </c>
      <c r="Z2219" s="148"/>
    </row>
    <row r="2220">
      <c r="A2220" s="148">
        <f>IFERROR(__xludf.DUMMYFUNCTION("""COMPUTED_VALUE"""),1.1119056E7)</f>
        <v>11119056</v>
      </c>
      <c r="B2220" s="148" t="str">
        <f>IFERROR(__xludf.DUMMYFUNCTION("""COMPUTED_VALUE"""),"幻化道具-幻化刷")</f>
        <v>幻化道具-幻化刷</v>
      </c>
      <c r="C2220" s="148"/>
      <c r="D2220" s="148" t="str">
        <f>IFERROR(__xludf.DUMMYFUNCTION("""COMPUTED_VALUE"""),"event")</f>
        <v>event</v>
      </c>
      <c r="E2220" s="148">
        <f>IFERROR(__xludf.DUMMYFUNCTION("""COMPUTED_VALUE"""),0.0)</f>
        <v>0</v>
      </c>
      <c r="F2220" s="148">
        <f>IFERROR(__xludf.DUMMYFUNCTION("""COMPUTED_VALUE"""),405243.0)</f>
        <v>405243</v>
      </c>
      <c r="G2220" s="148">
        <f>IFERROR(__xludf.DUMMYFUNCTION("""COMPUTED_VALUE"""),1.5118835E7)</f>
        <v>15118835</v>
      </c>
      <c r="H2220" s="148">
        <f>IFERROR(__xludf.DUMMYFUNCTION("""COMPUTED_VALUE"""),1.5112564E7)</f>
        <v>15112564</v>
      </c>
      <c r="I2220" s="148" t="str">
        <f>IFERROR(__xludf.DUMMYFUNCTION("""COMPUTED_VALUE"""),"{}")</f>
        <v>{}</v>
      </c>
      <c r="J2220" s="148" t="str">
        <f>IFERROR(__xludf.DUMMYFUNCTION("""COMPUTED_VALUE"""),"{""typ"":""lc"",""txt"":""LC_ITEM_city_skin_transformation_item_name""}")</f>
        <v>{"typ":"lc","txt":"LC_ITEM_city_skin_transformation_item_name"}</v>
      </c>
      <c r="K2220" s="148" t="str">
        <f>IFERROR(__xludf.DUMMYFUNCTION("""COMPUTED_VALUE"""),"{""typ"":""lc"",""txt"":""LC_ITEM_city_skin_transformation_item_desc""}")</f>
        <v>{"typ":"lc","txt":"LC_ITEM_city_skin_transformation_item_desc"}</v>
      </c>
      <c r="L2220" s="148" t="str">
        <f>IFERROR(__xludf.DUMMYFUNCTION("""COMPUTED_VALUE"""),"{}")</f>
        <v>{}</v>
      </c>
      <c r="M2220" s="148">
        <f>IFERROR(__xludf.DUMMYFUNCTION("""COMPUTED_VALUE"""),1000.0)</f>
        <v>1000</v>
      </c>
      <c r="N2220" s="148">
        <f>IFERROR(__xludf.DUMMYFUNCTION("""COMPUTED_VALUE"""),9.99999999E8)</f>
        <v>999999999</v>
      </c>
      <c r="O2220" s="148">
        <f>IFERROR(__xludf.DUMMYFUNCTION("""COMPUTED_VALUE"""),9.99999999E8)</f>
        <v>999999999</v>
      </c>
      <c r="P2220" s="148">
        <f>IFERROR(__xludf.DUMMYFUNCTION("""COMPUTED_VALUE"""),9.99999999E8)</f>
        <v>999999999</v>
      </c>
      <c r="Q2220" s="148" t="str">
        <f>IFERROR(__xludf.DUMMYFUNCTION("""COMPUTED_VALUE"""),"[""bag_other""]")</f>
        <v>["bag_other"]</v>
      </c>
      <c r="R2220" s="148" t="str">
        <f>IFERROR(__xludf.DUMMYFUNCTION("""COMPUTED_VALUE"""),"[]")</f>
        <v>[]</v>
      </c>
      <c r="S2220" s="148" t="str">
        <f>IFERROR(__xludf.DUMMYFUNCTION("""COMPUTED_VALUE"""),"{}")</f>
        <v>{}</v>
      </c>
      <c r="T2220" s="148">
        <f>IFERROR(__xludf.DUMMYFUNCTION("""COMPUTED_VALUE"""),-1.0)</f>
        <v>-1</v>
      </c>
      <c r="U2220" s="148">
        <f>IFERROR(__xludf.DUMMYFUNCTION("""COMPUTED_VALUE"""),0.0)</f>
        <v>0</v>
      </c>
      <c r="V2220" s="148" t="str">
        <f>IFERROR(__xludf.DUMMYFUNCTION("""COMPUTED_VALUE"""),"[]")</f>
        <v>[]</v>
      </c>
      <c r="W2220" s="148">
        <f>IFERROR(__xludf.DUMMYFUNCTION("""COMPUTED_VALUE"""),1.174E7)</f>
        <v>11740000</v>
      </c>
      <c r="X2220" s="148">
        <f>IFERROR(__xludf.DUMMYFUNCTION("""COMPUTED_VALUE"""),0.0)</f>
        <v>0</v>
      </c>
      <c r="Y2220" s="148">
        <f>IFERROR(__xludf.DUMMYFUNCTION("""COMPUTED_VALUE"""),0.0)</f>
        <v>0</v>
      </c>
      <c r="Z2220" s="148"/>
    </row>
    <row r="2221">
      <c r="A2221" s="148">
        <f>IFERROR(__xludf.DUMMYFUNCTION("""COMPUTED_VALUE"""),1.1119057E7)</f>
        <v>11119057</v>
      </c>
      <c r="B2221" s="148" t="str">
        <f>IFERROR(__xludf.DUMMYFUNCTION("""COMPUTED_VALUE"""),"金刚皮肤-熊猫")</f>
        <v>金刚皮肤-熊猫</v>
      </c>
      <c r="C2221" s="148"/>
      <c r="D2221" s="148" t="str">
        <f>IFERROR(__xludf.DUMMYFUNCTION("""COMPUTED_VALUE"""),"mecha_skin")</f>
        <v>mecha_skin</v>
      </c>
      <c r="E2221" s="148">
        <f>IFERROR(__xludf.DUMMYFUNCTION("""COMPUTED_VALUE"""),31.0)</f>
        <v>31</v>
      </c>
      <c r="F2221" s="148">
        <f>IFERROR(__xludf.DUMMYFUNCTION("""COMPUTED_VALUE"""),0.0)</f>
        <v>0</v>
      </c>
      <c r="G2221" s="148">
        <f>IFERROR(__xludf.DUMMYFUNCTION("""COMPUTED_VALUE"""),1.5118885E7)</f>
        <v>15118885</v>
      </c>
      <c r="H2221" s="148">
        <f>IFERROR(__xludf.DUMMYFUNCTION("""COMPUTED_VALUE"""),1.5112564E7)</f>
        <v>15112564</v>
      </c>
      <c r="I2221" s="148" t="str">
        <f>IFERROR(__xludf.DUMMYFUNCTION("""COMPUTED_VALUE"""),"{}")</f>
        <v>{}</v>
      </c>
      <c r="J2221" s="148" t="str">
        <f>IFERROR(__xludf.DUMMYFUNCTION("""COMPUTED_VALUE"""),"{""typ"":""lc"",""txt"":""LC_HERO_mecha_skin_name_30""}")</f>
        <v>{"typ":"lc","txt":"LC_HERO_mecha_skin_name_30"}</v>
      </c>
      <c r="K2221" s="148" t="str">
        <f>IFERROR(__xludf.DUMMYFUNCTION("""COMPUTED_VALUE"""),"{""typ"":""lc"",""txt"":""LC_HERO_mecha_skin_src_desc_30""}")</f>
        <v>{"typ":"lc","txt":"LC_HERO_mecha_skin_src_desc_30"}</v>
      </c>
      <c r="L2221" s="148" t="str">
        <f>IFERROR(__xludf.DUMMYFUNCTION("""COMPUTED_VALUE"""),"{""typ"":""lc"",""txt"":""LC_HERO_mecha_skin_src_30_tips1""}")</f>
        <v>{"typ":"lc","txt":"LC_HERO_mecha_skin_src_30_tips1"}</v>
      </c>
      <c r="M2221" s="148">
        <f>IFERROR(__xludf.DUMMYFUNCTION("""COMPUTED_VALUE"""),500.0)</f>
        <v>500</v>
      </c>
      <c r="N2221" s="148">
        <f>IFERROR(__xludf.DUMMYFUNCTION("""COMPUTED_VALUE"""),5.0)</f>
        <v>5</v>
      </c>
      <c r="O2221" s="148">
        <f>IFERROR(__xludf.DUMMYFUNCTION("""COMPUTED_VALUE"""),1.0)</f>
        <v>1</v>
      </c>
      <c r="P2221" s="148">
        <f>IFERROR(__xludf.DUMMYFUNCTION("""COMPUTED_VALUE"""),1.0)</f>
        <v>1</v>
      </c>
      <c r="Q2221" s="148" t="str">
        <f>IFERROR(__xludf.DUMMYFUNCTION("""COMPUTED_VALUE"""),"[""bag_other""]")</f>
        <v>["bag_other"]</v>
      </c>
      <c r="R2221" s="148" t="str">
        <f>IFERROR(__xludf.DUMMYFUNCTION("""COMPUTED_VALUE"""),"[""bag"",""40102201""]")</f>
        <v>["bag","40102201"]</v>
      </c>
      <c r="S2221" s="148" t="str">
        <f>IFERROR(__xludf.DUMMYFUNCTION("""COMPUTED_VALUE"""),"{""effect"":[{""typ"":""mecha_skin"",""id"":40102201,""val"":-1},{""typ"":""item"",""id"":11111034,""val"":10}]}")</f>
        <v>{"effect":[{"typ":"mecha_skin","id":40102201,"val":-1},{"typ":"item","id":11111034,"val":10}]}</v>
      </c>
      <c r="T2221" s="148">
        <f>IFERROR(__xludf.DUMMYFUNCTION("""COMPUTED_VALUE"""),-1.0)</f>
        <v>-1</v>
      </c>
      <c r="U2221" s="148">
        <f>IFERROR(__xludf.DUMMYFUNCTION("""COMPUTED_VALUE"""),0.0)</f>
        <v>0</v>
      </c>
      <c r="V2221" s="148" t="str">
        <f>IFERROR(__xludf.DUMMYFUNCTION("""COMPUTED_VALUE"""),"[]")</f>
        <v>[]</v>
      </c>
      <c r="W2221" s="148">
        <f>IFERROR(__xludf.DUMMYFUNCTION("""COMPUTED_VALUE"""),1.174E7)</f>
        <v>11740000</v>
      </c>
      <c r="X2221" s="148">
        <f>IFERROR(__xludf.DUMMYFUNCTION("""COMPUTED_VALUE"""),0.0)</f>
        <v>0</v>
      </c>
      <c r="Y2221" s="148">
        <f>IFERROR(__xludf.DUMMYFUNCTION("""COMPUTED_VALUE"""),0.0)</f>
        <v>0</v>
      </c>
      <c r="Z2221" s="148"/>
    </row>
    <row r="2222">
      <c r="A2222" s="148">
        <f>IFERROR(__xludf.DUMMYFUNCTION("""COMPUTED_VALUE"""),1.1119058E7)</f>
        <v>11119058</v>
      </c>
      <c r="B2222" s="148" t="str">
        <f>IFERROR(__xludf.DUMMYFUNCTION("""COMPUTED_VALUE"""),"超凡军备箱-2倍")</f>
        <v>超凡军备箱-2倍</v>
      </c>
      <c r="C2222" s="148"/>
      <c r="D2222" s="148" t="str">
        <f>IFERROR(__xludf.DUMMYFUNCTION("""COMPUTED_VALUE"""),"event")</f>
        <v>event</v>
      </c>
      <c r="E2222" s="148">
        <f>IFERROR(__xludf.DUMMYFUNCTION("""COMPUTED_VALUE"""),0.0)</f>
        <v>0</v>
      </c>
      <c r="F2222" s="148">
        <f>IFERROR(__xludf.DUMMYFUNCTION("""COMPUTED_VALUE"""),0.0)</f>
        <v>0</v>
      </c>
      <c r="G2222" s="148">
        <f>IFERROR(__xludf.DUMMYFUNCTION("""COMPUTED_VALUE"""),1.5118907E7)</f>
        <v>15118907</v>
      </c>
      <c r="H2222" s="148">
        <f>IFERROR(__xludf.DUMMYFUNCTION("""COMPUTED_VALUE"""),1.5112564E7)</f>
        <v>15112564</v>
      </c>
      <c r="I2222" s="148" t="str">
        <f>IFERROR(__xludf.DUMMYFUNCTION("""COMPUTED_VALUE"""),"{}")</f>
        <v>{}</v>
      </c>
      <c r="J2222" s="148" t="str">
        <f>IFERROR(__xludf.DUMMYFUNCTION("""COMPUTED_VALUE"""),"{""typ"":""lc"",""txt"":""LC_ITEM_t6_arm_gacha_x2_name""}")</f>
        <v>{"typ":"lc","txt":"LC_ITEM_t6_arm_gacha_x2_name"}</v>
      </c>
      <c r="K2222" s="148" t="str">
        <f>IFERROR(__xludf.DUMMYFUNCTION("""COMPUTED_VALUE"""),"{""typ"":""lc"",""txt"":""LC_ITEM_t6_arm_gacha_token_x2_desc""}")</f>
        <v>{"typ":"lc","txt":"LC_ITEM_t6_arm_gacha_token_x2_desc"}</v>
      </c>
      <c r="L2222" s="148" t="str">
        <f>IFERROR(__xludf.DUMMYFUNCTION("""COMPUTED_VALUE"""),"{}")</f>
        <v>{}</v>
      </c>
      <c r="M2222" s="148">
        <f>IFERROR(__xludf.DUMMYFUNCTION("""COMPUTED_VALUE"""),125.0)</f>
        <v>125</v>
      </c>
      <c r="N2222" s="148">
        <f>IFERROR(__xludf.DUMMYFUNCTION("""COMPUTED_VALUE"""),1.0)</f>
        <v>1</v>
      </c>
      <c r="O2222" s="148">
        <f>IFERROR(__xludf.DUMMYFUNCTION("""COMPUTED_VALUE"""),1.0)</f>
        <v>1</v>
      </c>
      <c r="P2222" s="148">
        <f>IFERROR(__xludf.DUMMYFUNCTION("""COMPUTED_VALUE"""),1.0)</f>
        <v>1</v>
      </c>
      <c r="Q2222" s="148" t="str">
        <f>IFERROR(__xludf.DUMMYFUNCTION("""COMPUTED_VALUE"""),"[]")</f>
        <v>[]</v>
      </c>
      <c r="R2222" s="148" t="str">
        <f>IFERROR(__xludf.DUMMYFUNCTION("""COMPUTED_VALUE"""),"[]")</f>
        <v>[]</v>
      </c>
      <c r="S2222" s="148" t="str">
        <f>IFERROR(__xludf.DUMMYFUNCTION("""COMPUTED_VALUE"""),"{""effect"":[{""typ"":""event"",""id"":21122100,""val"":2}]}")</f>
        <v>{"effect":[{"typ":"event","id":21122100,"val":2}]}</v>
      </c>
      <c r="T2222" s="148">
        <f>IFERROR(__xludf.DUMMYFUNCTION("""COMPUTED_VALUE"""),-1.0)</f>
        <v>-1</v>
      </c>
      <c r="U2222" s="148">
        <f>IFERROR(__xludf.DUMMYFUNCTION("""COMPUTED_VALUE"""),1.0)</f>
        <v>1</v>
      </c>
      <c r="V2222" s="148" t="str">
        <f>IFERROR(__xludf.DUMMYFUNCTION("""COMPUTED_VALUE"""),"[]")</f>
        <v>[]</v>
      </c>
      <c r="W2222" s="148">
        <f>IFERROR(__xludf.DUMMYFUNCTION("""COMPUTED_VALUE"""),1.174E7)</f>
        <v>11740000</v>
      </c>
      <c r="X2222" s="148">
        <f>IFERROR(__xludf.DUMMYFUNCTION("""COMPUTED_VALUE"""),0.0)</f>
        <v>0</v>
      </c>
      <c r="Y2222" s="148">
        <f>IFERROR(__xludf.DUMMYFUNCTION("""COMPUTED_VALUE"""),0.0)</f>
        <v>0</v>
      </c>
      <c r="Z2222" s="148"/>
    </row>
    <row r="2223">
      <c r="A2223" s="148">
        <f>IFERROR(__xludf.DUMMYFUNCTION("""COMPUTED_VALUE"""),1.1119059E7)</f>
        <v>11119059</v>
      </c>
      <c r="B2223" s="148" t="str">
        <f>IFERROR(__xludf.DUMMYFUNCTION("""COMPUTED_VALUE"""),"超凡军备箱-3倍")</f>
        <v>超凡军备箱-3倍</v>
      </c>
      <c r="C2223" s="148"/>
      <c r="D2223" s="148" t="str">
        <f>IFERROR(__xludf.DUMMYFUNCTION("""COMPUTED_VALUE"""),"event")</f>
        <v>event</v>
      </c>
      <c r="E2223" s="148">
        <f>IFERROR(__xludf.DUMMYFUNCTION("""COMPUTED_VALUE"""),0.0)</f>
        <v>0</v>
      </c>
      <c r="F2223" s="148">
        <f>IFERROR(__xludf.DUMMYFUNCTION("""COMPUTED_VALUE"""),0.0)</f>
        <v>0</v>
      </c>
      <c r="G2223" s="148">
        <f>IFERROR(__xludf.DUMMYFUNCTION("""COMPUTED_VALUE"""),1.5118908E7)</f>
        <v>15118908</v>
      </c>
      <c r="H2223" s="148">
        <f>IFERROR(__xludf.DUMMYFUNCTION("""COMPUTED_VALUE"""),1.5112564E7)</f>
        <v>15112564</v>
      </c>
      <c r="I2223" s="148" t="str">
        <f>IFERROR(__xludf.DUMMYFUNCTION("""COMPUTED_VALUE"""),"{}")</f>
        <v>{}</v>
      </c>
      <c r="J2223" s="148" t="str">
        <f>IFERROR(__xludf.DUMMYFUNCTION("""COMPUTED_VALUE"""),"{""typ"":""lc"",""txt"":""LC_ITEM_t6_arm_gacha_x3_name""}")</f>
        <v>{"typ":"lc","txt":"LC_ITEM_t6_arm_gacha_x3_name"}</v>
      </c>
      <c r="K2223" s="148" t="str">
        <f>IFERROR(__xludf.DUMMYFUNCTION("""COMPUTED_VALUE"""),"{""typ"":""lc"",""txt"":""LC_ITEM_t6_arm_gacha_token_x3_desc""}")</f>
        <v>{"typ":"lc","txt":"LC_ITEM_t6_arm_gacha_token_x3_desc"}</v>
      </c>
      <c r="L2223" s="148" t="str">
        <f>IFERROR(__xludf.DUMMYFUNCTION("""COMPUTED_VALUE"""),"{}")</f>
        <v>{}</v>
      </c>
      <c r="M2223" s="148">
        <f>IFERROR(__xludf.DUMMYFUNCTION("""COMPUTED_VALUE"""),125.0)</f>
        <v>125</v>
      </c>
      <c r="N2223" s="148">
        <f>IFERROR(__xludf.DUMMYFUNCTION("""COMPUTED_VALUE"""),1.0)</f>
        <v>1</v>
      </c>
      <c r="O2223" s="148">
        <f>IFERROR(__xludf.DUMMYFUNCTION("""COMPUTED_VALUE"""),1.0)</f>
        <v>1</v>
      </c>
      <c r="P2223" s="148">
        <f>IFERROR(__xludf.DUMMYFUNCTION("""COMPUTED_VALUE"""),1.0)</f>
        <v>1</v>
      </c>
      <c r="Q2223" s="148" t="str">
        <f>IFERROR(__xludf.DUMMYFUNCTION("""COMPUTED_VALUE"""),"[]")</f>
        <v>[]</v>
      </c>
      <c r="R2223" s="148" t="str">
        <f>IFERROR(__xludf.DUMMYFUNCTION("""COMPUTED_VALUE"""),"[]")</f>
        <v>[]</v>
      </c>
      <c r="S2223" s="148" t="str">
        <f>IFERROR(__xludf.DUMMYFUNCTION("""COMPUTED_VALUE"""),"{""effect"":[{""typ"":""event"",""id"":21122100,""val"":3}]}")</f>
        <v>{"effect":[{"typ":"event","id":21122100,"val":3}]}</v>
      </c>
      <c r="T2223" s="148">
        <f>IFERROR(__xludf.DUMMYFUNCTION("""COMPUTED_VALUE"""),-1.0)</f>
        <v>-1</v>
      </c>
      <c r="U2223" s="148">
        <f>IFERROR(__xludf.DUMMYFUNCTION("""COMPUTED_VALUE"""),1.0)</f>
        <v>1</v>
      </c>
      <c r="V2223" s="148" t="str">
        <f>IFERROR(__xludf.DUMMYFUNCTION("""COMPUTED_VALUE"""),"[]")</f>
        <v>[]</v>
      </c>
      <c r="W2223" s="148">
        <f>IFERROR(__xludf.DUMMYFUNCTION("""COMPUTED_VALUE"""),1.174E7)</f>
        <v>11740000</v>
      </c>
      <c r="X2223" s="148">
        <f>IFERROR(__xludf.DUMMYFUNCTION("""COMPUTED_VALUE"""),0.0)</f>
        <v>0</v>
      </c>
      <c r="Y2223" s="148">
        <f>IFERROR(__xludf.DUMMYFUNCTION("""COMPUTED_VALUE"""),0.0)</f>
        <v>0</v>
      </c>
      <c r="Z2223" s="148"/>
    </row>
    <row r="2224">
      <c r="A2224" s="148">
        <f>IFERROR(__xludf.DUMMYFUNCTION("""COMPUTED_VALUE"""),1.111906E7)</f>
        <v>11119060</v>
      </c>
      <c r="B2224" s="148" t="str">
        <f>IFERROR(__xludf.DUMMYFUNCTION("""COMPUTED_VALUE"""),"超凡军备箱-抽奖代币")</f>
        <v>超凡军备箱-抽奖代币</v>
      </c>
      <c r="C2224" s="148"/>
      <c r="D2224" s="148" t="str">
        <f>IFERROR(__xludf.DUMMYFUNCTION("""COMPUTED_VALUE"""),"event")</f>
        <v>event</v>
      </c>
      <c r="E2224" s="148">
        <f>IFERROR(__xludf.DUMMYFUNCTION("""COMPUTED_VALUE"""),0.0)</f>
        <v>0</v>
      </c>
      <c r="F2224" s="148">
        <f>IFERROR(__xludf.DUMMYFUNCTION("""COMPUTED_VALUE"""),0.0)</f>
        <v>0</v>
      </c>
      <c r="G2224" s="148">
        <f>IFERROR(__xludf.DUMMYFUNCTION("""COMPUTED_VALUE"""),1.5118906E7)</f>
        <v>15118906</v>
      </c>
      <c r="H2224" s="148">
        <f>IFERROR(__xludf.DUMMYFUNCTION("""COMPUTED_VALUE"""),1.5112564E7)</f>
        <v>15112564</v>
      </c>
      <c r="I2224" s="148" t="str">
        <f>IFERROR(__xludf.DUMMYFUNCTION("""COMPUTED_VALUE"""),"{}")</f>
        <v>{}</v>
      </c>
      <c r="J2224" s="148" t="str">
        <f>IFERROR(__xludf.DUMMYFUNCTION("""COMPUTED_VALUE"""),"{""typ"":""lc"",""txt"":""LC_ITEM_t6_arm_gacha_token_title""}")</f>
        <v>{"typ":"lc","txt":"LC_ITEM_t6_arm_gacha_token_title"}</v>
      </c>
      <c r="K2224" s="148" t="str">
        <f>IFERROR(__xludf.DUMMYFUNCTION("""COMPUTED_VALUE"""),"{""typ"":""lc"",""txt"":""LC_ITEM_t6_arm_gacha_token_desc""}")</f>
        <v>{"typ":"lc","txt":"LC_ITEM_t6_arm_gacha_token_desc"}</v>
      </c>
      <c r="L2224" s="148" t="str">
        <f>IFERROR(__xludf.DUMMYFUNCTION("""COMPUTED_VALUE"""),"{}")</f>
        <v>{}</v>
      </c>
      <c r="M2224" s="148">
        <f>IFERROR(__xludf.DUMMYFUNCTION("""COMPUTED_VALUE"""),125.0)</f>
        <v>125</v>
      </c>
      <c r="N2224" s="148">
        <f>IFERROR(__xludf.DUMMYFUNCTION("""COMPUTED_VALUE"""),999999.0)</f>
        <v>999999</v>
      </c>
      <c r="O2224" s="148">
        <f>IFERROR(__xludf.DUMMYFUNCTION("""COMPUTED_VALUE"""),99999.0)</f>
        <v>99999</v>
      </c>
      <c r="P2224" s="148">
        <f>IFERROR(__xludf.DUMMYFUNCTION("""COMPUTED_VALUE"""),9999.0)</f>
        <v>9999</v>
      </c>
      <c r="Q2224" s="148" t="str">
        <f>IFERROR(__xludf.DUMMYFUNCTION("""COMPUTED_VALUE"""),"[""bag_other""]")</f>
        <v>["bag_other"]</v>
      </c>
      <c r="R2224" s="148" t="str">
        <f>IFERROR(__xludf.DUMMYFUNCTION("""COMPUTED_VALUE"""),"[]")</f>
        <v>[]</v>
      </c>
      <c r="S2224" s="148" t="str">
        <f>IFERROR(__xludf.DUMMYFUNCTION("""COMPUTED_VALUE"""),"{}")</f>
        <v>{}</v>
      </c>
      <c r="T2224" s="148">
        <f>IFERROR(__xludf.DUMMYFUNCTION("""COMPUTED_VALUE"""),-1.0)</f>
        <v>-1</v>
      </c>
      <c r="U2224" s="148">
        <f>IFERROR(__xludf.DUMMYFUNCTION("""COMPUTED_VALUE"""),0.0)</f>
        <v>0</v>
      </c>
      <c r="V2224" s="148" t="str">
        <f>IFERROR(__xludf.DUMMYFUNCTION("""COMPUTED_VALUE"""),"[]")</f>
        <v>[]</v>
      </c>
      <c r="W2224" s="148">
        <f>IFERROR(__xludf.DUMMYFUNCTION("""COMPUTED_VALUE"""),1.174E7)</f>
        <v>11740000</v>
      </c>
      <c r="X2224" s="148">
        <f>IFERROR(__xludf.DUMMYFUNCTION("""COMPUTED_VALUE"""),0.0)</f>
        <v>0</v>
      </c>
      <c r="Y2224" s="148">
        <f>IFERROR(__xludf.DUMMYFUNCTION("""COMPUTED_VALUE"""),0.0)</f>
        <v>0</v>
      </c>
      <c r="Z2224" s="148"/>
    </row>
    <row r="2225">
      <c r="A2225" s="148">
        <f>IFERROR(__xludf.DUMMYFUNCTION("""COMPUTED_VALUE"""),1.1119067E7)</f>
        <v>11119067</v>
      </c>
      <c r="B2225" s="148" t="str">
        <f>IFERROR(__xludf.DUMMYFUNCTION("""COMPUTED_VALUE"""),"zvz（空投救护站）-死兵返还比例提升-1%")</f>
        <v>zvz（空投救护站）-死兵返还比例提升-1%</v>
      </c>
      <c r="C2225" s="148"/>
      <c r="D2225" s="148" t="str">
        <f>IFERROR(__xludf.DUMMYFUNCTION("""COMPUTED_VALUE"""),"item_buff")</f>
        <v>item_buff</v>
      </c>
      <c r="E2225" s="148">
        <f>IFERROR(__xludf.DUMMYFUNCTION("""COMPUTED_VALUE"""),0.0)</f>
        <v>0</v>
      </c>
      <c r="F2225" s="148">
        <f>IFERROR(__xludf.DUMMYFUNCTION("""COMPUTED_VALUE"""),404102.0)</f>
        <v>404102</v>
      </c>
      <c r="G2225" s="148">
        <f>IFERROR(__xludf.DUMMYFUNCTION("""COMPUTED_VALUE"""),1.5114602E7)</f>
        <v>15114602</v>
      </c>
      <c r="H2225" s="148">
        <f>IFERROR(__xludf.DUMMYFUNCTION("""COMPUTED_VALUE"""),1.5112564E7)</f>
        <v>15112564</v>
      </c>
      <c r="I2225" s="148" t="str">
        <f>IFERROR(__xludf.DUMMYFUNCTION("""COMPUTED_VALUE"""),"{""typ"":""lc"",""txt"":""LC_ITEM_buff_val_upper_show"",""args"":[{""typ"":""int"",""val"":1}]}")</f>
        <v>{"typ":"lc","txt":"LC_ITEM_buff_val_upper_show","args":[{"typ":"int","val":1}]}</v>
      </c>
      <c r="J2225" s="148" t="str">
        <f>IFERROR(__xludf.DUMMYFUNCTION("""COMPUTED_VALUE"""),"{""typ"":""lc"",""txt"":""LC_ITEM_treat_station_upgrade_name""}")</f>
        <v>{"typ":"lc","txt":"LC_ITEM_treat_station_upgrade_name"}</v>
      </c>
      <c r="K2225" s="148" t="str">
        <f>IFERROR(__xludf.DUMMYFUNCTION("""COMPUTED_VALUE"""),"{""typ"":""lc"",""txt"":""LC_ITEM_treat_station_upgrade_desc"",""args"":[{""typ"":""int"",""val"":1}]}")</f>
        <v>{"typ":"lc","txt":"LC_ITEM_treat_station_upgrade_desc","args":[{"typ":"int","val":1}]}</v>
      </c>
      <c r="L2225" s="148" t="str">
        <f>IFERROR(__xludf.DUMMYFUNCTION("""COMPUTED_VALUE"""),"{""typ"":""lc"",""txt"":""LC_ITEM_treat_station_upgrade_usetip""}")</f>
        <v>{"typ":"lc","txt":"LC_ITEM_treat_station_upgrade_usetip"}</v>
      </c>
      <c r="M2225" s="148">
        <f>IFERROR(__xludf.DUMMYFUNCTION("""COMPUTED_VALUE"""),1350.0)</f>
        <v>1350</v>
      </c>
      <c r="N2225" s="148">
        <f>IFERROR(__xludf.DUMMYFUNCTION("""COMPUTED_VALUE"""),100.0)</f>
        <v>100</v>
      </c>
      <c r="O2225" s="148">
        <f>IFERROR(__xludf.DUMMYFUNCTION("""COMPUTED_VALUE"""),100.0)</f>
        <v>100</v>
      </c>
      <c r="P2225" s="148">
        <f>IFERROR(__xludf.DUMMYFUNCTION("""COMPUTED_VALUE"""),100.0)</f>
        <v>100</v>
      </c>
      <c r="Q2225" s="148" t="str">
        <f>IFERROR(__xludf.DUMMYFUNCTION("""COMPUTED_VALUE"""),"[""bag_other""]")</f>
        <v>["bag_other"]</v>
      </c>
      <c r="R2225" s="148" t="str">
        <f>IFERROR(__xludf.DUMMYFUNCTION("""COMPUTED_VALUE"""),"[]")</f>
        <v>[]</v>
      </c>
      <c r="S2225" s="148" t="str">
        <f>IFERROR(__xludf.DUMMYFUNCTION("""COMPUTED_VALUE"""),"{""effect"":[{""typ"":""buff"",""id"":121111019,""val"":-1,""arg1"":0.01}]}")</f>
        <v>{"effect":[{"typ":"buff","id":121111019,"val":-1,"arg1":0.01}]}</v>
      </c>
      <c r="T2225" s="148">
        <f>IFERROR(__xludf.DUMMYFUNCTION("""COMPUTED_VALUE"""),-1.0)</f>
        <v>-1</v>
      </c>
      <c r="U2225" s="148">
        <f>IFERROR(__xludf.DUMMYFUNCTION("""COMPUTED_VALUE"""),1.0)</f>
        <v>1</v>
      </c>
      <c r="V2225" s="148" t="str">
        <f>IFERROR(__xludf.DUMMYFUNCTION("""COMPUTED_VALUE"""),"[]")</f>
        <v>[]</v>
      </c>
      <c r="W2225" s="148">
        <f>IFERROR(__xludf.DUMMYFUNCTION("""COMPUTED_VALUE"""),1.174E7)</f>
        <v>11740000</v>
      </c>
      <c r="X2225" s="148">
        <f>IFERROR(__xludf.DUMMYFUNCTION("""COMPUTED_VALUE"""),0.0)</f>
        <v>0</v>
      </c>
      <c r="Y2225" s="148">
        <f>IFERROR(__xludf.DUMMYFUNCTION("""COMPUTED_VALUE"""),0.0)</f>
        <v>0</v>
      </c>
      <c r="Z2225" s="148"/>
    </row>
    <row r="2226">
      <c r="A2226" s="148">
        <f>IFERROR(__xludf.DUMMYFUNCTION("""COMPUTED_VALUE"""),1.1119068E7)</f>
        <v>11119068</v>
      </c>
      <c r="B2226" s="148" t="str">
        <f>IFERROR(__xludf.DUMMYFUNCTION("""COMPUTED_VALUE"""),"头像框：kvk4")</f>
        <v>头像框：kvk4</v>
      </c>
      <c r="C2226" s="148"/>
      <c r="D2226" s="148" t="str">
        <f>IFERROR(__xludf.DUMMYFUNCTION("""COMPUTED_VALUE"""),"avatar_frame")</f>
        <v>avatar_frame</v>
      </c>
      <c r="E2226" s="148">
        <f>IFERROR(__xludf.DUMMYFUNCTION("""COMPUTED_VALUE"""),20.0)</f>
        <v>20</v>
      </c>
      <c r="F2226" s="148">
        <f>IFERROR(__xludf.DUMMYFUNCTION("""COMPUTED_VALUE"""),0.0)</f>
        <v>0</v>
      </c>
      <c r="G2226" s="148">
        <f>IFERROR(__xludf.DUMMYFUNCTION("""COMPUTED_VALUE"""),1.5118764E7)</f>
        <v>15118764</v>
      </c>
      <c r="H2226" s="148">
        <f>IFERROR(__xludf.DUMMYFUNCTION("""COMPUTED_VALUE"""),1.5112563E7)</f>
        <v>15112563</v>
      </c>
      <c r="I2226" s="148" t="str">
        <f>IFERROR(__xludf.DUMMYFUNCTION("""COMPUTED_VALUE"""),"{}")</f>
        <v>{}</v>
      </c>
      <c r="J2226" s="148" t="str">
        <f>IFERROR(__xludf.DUMMYFUNCTION("""COMPUTED_VALUE"""),"{""typ"":""lc"",""txt"":""LC_ASSET_avatar_frame_name_36""}")</f>
        <v>{"typ":"lc","txt":"LC_ASSET_avatar_frame_name_36"}</v>
      </c>
      <c r="K2226" s="148" t="str">
        <f>IFERROR(__xludf.DUMMYFUNCTION("""COMPUTED_VALUE"""),"{""typ"":""lc"",""txt"":""LC_MENU_forever""}")</f>
        <v>{"typ":"lc","txt":"LC_MENU_forever"}</v>
      </c>
      <c r="L2226" s="148" t="str">
        <f>IFERROR(__xludf.DUMMYFUNCTION("""COMPUTED_VALUE"""),"{}")</f>
        <v>{}</v>
      </c>
      <c r="M2226" s="148">
        <f>IFERROR(__xludf.DUMMYFUNCTION("""COMPUTED_VALUE"""),1000.0)</f>
        <v>1000</v>
      </c>
      <c r="N2226" s="148">
        <f>IFERROR(__xludf.DUMMYFUNCTION("""COMPUTED_VALUE"""),99.0)</f>
        <v>99</v>
      </c>
      <c r="O2226" s="148">
        <f>IFERROR(__xludf.DUMMYFUNCTION("""COMPUTED_VALUE"""),1.0)</f>
        <v>1</v>
      </c>
      <c r="P2226" s="148">
        <f>IFERROR(__xludf.DUMMYFUNCTION("""COMPUTED_VALUE"""),1.0)</f>
        <v>1</v>
      </c>
      <c r="Q2226" s="148" t="str">
        <f>IFERROR(__xludf.DUMMYFUNCTION("""COMPUTED_VALUE"""),"[]")</f>
        <v>[]</v>
      </c>
      <c r="R2226" s="148" t="str">
        <f>IFERROR(__xludf.DUMMYFUNCTION("""COMPUTED_VALUE"""),"[""11421036""]")</f>
        <v>["11421036"]</v>
      </c>
      <c r="S2226" s="148" t="str">
        <f>IFERROR(__xludf.DUMMYFUNCTION("""COMPUTED_VALUE"""),"{""effect"":[{""typ"":""avatar_frame"",""id"":11421036,""val"":-1},{""typ"":""item"",""id"":11111031,""val"":1000}]}")</f>
        <v>{"effect":[{"typ":"avatar_frame","id":11421036,"val":-1},{"typ":"item","id":11111031,"val":1000}]}</v>
      </c>
      <c r="T2226" s="148">
        <f>IFERROR(__xludf.DUMMYFUNCTION("""COMPUTED_VALUE"""),-1.0)</f>
        <v>-1</v>
      </c>
      <c r="U2226" s="148">
        <f>IFERROR(__xludf.DUMMYFUNCTION("""COMPUTED_VALUE"""),1.0)</f>
        <v>1</v>
      </c>
      <c r="V2226" s="148" t="str">
        <f>IFERROR(__xludf.DUMMYFUNCTION("""COMPUTED_VALUE"""),"[]")</f>
        <v>[]</v>
      </c>
      <c r="W2226" s="148">
        <f>IFERROR(__xludf.DUMMYFUNCTION("""COMPUTED_VALUE"""),1.174E7)</f>
        <v>11740000</v>
      </c>
      <c r="X2226" s="148">
        <f>IFERROR(__xludf.DUMMYFUNCTION("""COMPUTED_VALUE"""),0.0)</f>
        <v>0</v>
      </c>
      <c r="Y2226" s="148">
        <f>IFERROR(__xludf.DUMMYFUNCTION("""COMPUTED_VALUE"""),0.0)</f>
        <v>0</v>
      </c>
      <c r="Z2226" s="148"/>
    </row>
    <row r="2227">
      <c r="A2227" s="148">
        <f>IFERROR(__xludf.DUMMYFUNCTION("""COMPUTED_VALUE"""),1.1119069E7)</f>
        <v>11119069</v>
      </c>
      <c r="B2227" s="148" t="str">
        <f>IFERROR(__xludf.DUMMYFUNCTION("""COMPUTED_VALUE"""),"犀牛皮肤-北极熊")</f>
        <v>犀牛皮肤-北极熊</v>
      </c>
      <c r="C2227" s="148"/>
      <c r="D2227" s="148" t="str">
        <f>IFERROR(__xludf.DUMMYFUNCTION("""COMPUTED_VALUE"""),"mecha_skin")</f>
        <v>mecha_skin</v>
      </c>
      <c r="E2227" s="148">
        <f>IFERROR(__xludf.DUMMYFUNCTION("""COMPUTED_VALUE"""),31.0)</f>
        <v>31</v>
      </c>
      <c r="F2227" s="148">
        <f>IFERROR(__xludf.DUMMYFUNCTION("""COMPUTED_VALUE"""),0.0)</f>
        <v>0</v>
      </c>
      <c r="G2227" s="148">
        <f>IFERROR(__xludf.DUMMYFUNCTION("""COMPUTED_VALUE"""),1.5118921E7)</f>
        <v>15118921</v>
      </c>
      <c r="H2227" s="148">
        <f>IFERROR(__xludf.DUMMYFUNCTION("""COMPUTED_VALUE"""),1.5112564E7)</f>
        <v>15112564</v>
      </c>
      <c r="I2227" s="148" t="str">
        <f>IFERROR(__xludf.DUMMYFUNCTION("""COMPUTED_VALUE"""),"{}")</f>
        <v>{}</v>
      </c>
      <c r="J2227" s="148" t="str">
        <f>IFERROR(__xludf.DUMMYFUNCTION("""COMPUTED_VALUE"""),"{""typ"":""lc"",""txt"":""LC_HERO_mecha_skin_name_31""}")</f>
        <v>{"typ":"lc","txt":"LC_HERO_mecha_skin_name_31"}</v>
      </c>
      <c r="K2227" s="148" t="str">
        <f>IFERROR(__xludf.DUMMYFUNCTION("""COMPUTED_VALUE"""),"{""typ"":""lc"",""txt"":""LC_HERO_mecha_skin_src_31""}")</f>
        <v>{"typ":"lc","txt":"LC_HERO_mecha_skin_src_31"}</v>
      </c>
      <c r="L2227" s="148" t="str">
        <f>IFERROR(__xludf.DUMMYFUNCTION("""COMPUTED_VALUE"""),"{""typ"":""lc"",""txt"":""LC_HERO_mecha_skin_src_tips_31""}")</f>
        <v>{"typ":"lc","txt":"LC_HERO_mecha_skin_src_tips_31"}</v>
      </c>
      <c r="M2227" s="148">
        <f>IFERROR(__xludf.DUMMYFUNCTION("""COMPUTED_VALUE"""),500.0)</f>
        <v>500</v>
      </c>
      <c r="N2227" s="148">
        <f>IFERROR(__xludf.DUMMYFUNCTION("""COMPUTED_VALUE"""),1.0)</f>
        <v>1</v>
      </c>
      <c r="O2227" s="148">
        <f>IFERROR(__xludf.DUMMYFUNCTION("""COMPUTED_VALUE"""),1.0)</f>
        <v>1</v>
      </c>
      <c r="P2227" s="148">
        <f>IFERROR(__xludf.DUMMYFUNCTION("""COMPUTED_VALUE"""),1.0)</f>
        <v>1</v>
      </c>
      <c r="Q2227" s="148" t="str">
        <f>IFERROR(__xludf.DUMMYFUNCTION("""COMPUTED_VALUE"""),"[""bag_other""]")</f>
        <v>["bag_other"]</v>
      </c>
      <c r="R2227" s="148" t="str">
        <f>IFERROR(__xludf.DUMMYFUNCTION("""COMPUTED_VALUE"""),"[""bag"",""40101002""]")</f>
        <v>["bag","40101002"]</v>
      </c>
      <c r="S2227" s="148" t="str">
        <f>IFERROR(__xludf.DUMMYFUNCTION("""COMPUTED_VALUE"""),"{""effect"":[{""typ"":""mecha_skin"",""id"":40101002,""val"":-1},{""typ"":""item"",""id"":11111034,""val"":10}]}")</f>
        <v>{"effect":[{"typ":"mecha_skin","id":40101002,"val":-1},{"typ":"item","id":11111034,"val":10}]}</v>
      </c>
      <c r="T2227" s="148">
        <f>IFERROR(__xludf.DUMMYFUNCTION("""COMPUTED_VALUE"""),-1.0)</f>
        <v>-1</v>
      </c>
      <c r="U2227" s="148">
        <f>IFERROR(__xludf.DUMMYFUNCTION("""COMPUTED_VALUE"""),0.0)</f>
        <v>0</v>
      </c>
      <c r="V2227" s="148" t="str">
        <f>IFERROR(__xludf.DUMMYFUNCTION("""COMPUTED_VALUE"""),"[]")</f>
        <v>[]</v>
      </c>
      <c r="W2227" s="148">
        <f>IFERROR(__xludf.DUMMYFUNCTION("""COMPUTED_VALUE"""),1.174E7)</f>
        <v>11740000</v>
      </c>
      <c r="X2227" s="148">
        <f>IFERROR(__xludf.DUMMYFUNCTION("""COMPUTED_VALUE"""),0.0)</f>
        <v>0</v>
      </c>
      <c r="Y2227" s="148">
        <f>IFERROR(__xludf.DUMMYFUNCTION("""COMPUTED_VALUE"""),0.0)</f>
        <v>0</v>
      </c>
      <c r="Z2227" s="148"/>
    </row>
    <row r="2228">
      <c r="A2228" s="148">
        <f>IFERROR(__xludf.DUMMYFUNCTION("""COMPUTED_VALUE"""),1.111907E7)</f>
        <v>11119070</v>
      </c>
      <c r="B2228" s="148" t="str">
        <f>IFERROR(__xludf.DUMMYFUNCTION("""COMPUTED_VALUE"""),"赫尔曼形象")</f>
        <v>赫尔曼形象</v>
      </c>
      <c r="C2228" s="148"/>
      <c r="D2228" s="148" t="str">
        <f>IFERROR(__xludf.DUMMYFUNCTION("""COMPUTED_VALUE"""),"item_asset")</f>
        <v>item_asset</v>
      </c>
      <c r="E2228" s="148">
        <f>IFERROR(__xludf.DUMMYFUNCTION("""COMPUTED_VALUE"""),19.0)</f>
        <v>19</v>
      </c>
      <c r="F2228" s="148">
        <f>IFERROR(__xludf.DUMMYFUNCTION("""COMPUTED_VALUE"""),401120.0)</f>
        <v>401120</v>
      </c>
      <c r="G2228" s="148">
        <f>IFERROR(__xludf.DUMMYFUNCTION("""COMPUTED_VALUE"""),1.5118933E7)</f>
        <v>15118933</v>
      </c>
      <c r="H2228" s="148">
        <f>IFERROR(__xludf.DUMMYFUNCTION("""COMPUTED_VALUE"""),1.5112564E7)</f>
        <v>15112564</v>
      </c>
      <c r="I2228" s="148" t="str">
        <f>IFERROR(__xludf.DUMMYFUNCTION("""COMPUTED_VALUE"""),"{}")</f>
        <v>{}</v>
      </c>
      <c r="J2228" s="148" t="str">
        <f>IFERROR(__xludf.DUMMYFUNCTION("""COMPUTED_VALUE"""),"{""typ"":""lc"",""txt"":""LC_HERO_hero_name_94""}")</f>
        <v>{"typ":"lc","txt":"LC_HERO_hero_name_94"}</v>
      </c>
      <c r="K2228" s="148" t="str">
        <f>IFERROR(__xludf.DUMMYFUNCTION("""COMPUTED_VALUE"""),"{""typ"":""lc"",""txt"":""LC_HERO_hero_desc_94""}")</f>
        <v>{"typ":"lc","txt":"LC_HERO_hero_desc_94"}</v>
      </c>
      <c r="L2228" s="148" t="str">
        <f>IFERROR(__xludf.DUMMYFUNCTION("""COMPUTED_VALUE"""),"{}")</f>
        <v>{}</v>
      </c>
      <c r="M2228" s="148">
        <f>IFERROR(__xludf.DUMMYFUNCTION("""COMPUTED_VALUE"""),15000.0)</f>
        <v>15000</v>
      </c>
      <c r="N2228" s="148">
        <f>IFERROR(__xludf.DUMMYFUNCTION("""COMPUTED_VALUE"""),999999.0)</f>
        <v>999999</v>
      </c>
      <c r="O2228" s="148">
        <f>IFERROR(__xludf.DUMMYFUNCTION("""COMPUTED_VALUE"""),99999.0)</f>
        <v>99999</v>
      </c>
      <c r="P2228" s="148">
        <f>IFERROR(__xludf.DUMMYFUNCTION("""COMPUTED_VALUE"""),9999.0)</f>
        <v>9999</v>
      </c>
      <c r="Q2228" s="148" t="str">
        <f>IFERROR(__xludf.DUMMYFUNCTION("""COMPUTED_VALUE"""),"[""bag_other""]")</f>
        <v>["bag_other"]</v>
      </c>
      <c r="R2228" s="148" t="str">
        <f>IFERROR(__xludf.DUMMYFUNCTION("""COMPUTED_VALUE"""),"[]")</f>
        <v>[]</v>
      </c>
      <c r="S2228" s="148" t="str">
        <f>IFERROR(__xludf.DUMMYFUNCTION("""COMPUTED_VALUE"""),"{""drop"":{""typ"":""single_all"",""num"":1,""args"":[{""typ"":""item"",""id"":11116254,""num"":10,""wgt"":30}]}}")</f>
        <v>{"drop":{"typ":"single_all","num":1,"args":[{"typ":"item","id":11116254,"num":10,"wgt":30}]}}</v>
      </c>
      <c r="T2228" s="148">
        <f>IFERROR(__xludf.DUMMYFUNCTION("""COMPUTED_VALUE"""),-1.0)</f>
        <v>-1</v>
      </c>
      <c r="U2228" s="148">
        <f>IFERROR(__xludf.DUMMYFUNCTION("""COMPUTED_VALUE"""),1.0)</f>
        <v>1</v>
      </c>
      <c r="V2228" s="148" t="str">
        <f>IFERROR(__xludf.DUMMYFUNCTION("""COMPUTED_VALUE"""),"[]")</f>
        <v>[]</v>
      </c>
      <c r="W2228" s="148">
        <f>IFERROR(__xludf.DUMMYFUNCTION("""COMPUTED_VALUE"""),1.174E7)</f>
        <v>11740000</v>
      </c>
      <c r="X2228" s="148">
        <f>IFERROR(__xludf.DUMMYFUNCTION("""COMPUTED_VALUE"""),0.0)</f>
        <v>0</v>
      </c>
      <c r="Y2228" s="148">
        <f>IFERROR(__xludf.DUMMYFUNCTION("""COMPUTED_VALUE"""),0.0)</f>
        <v>0</v>
      </c>
      <c r="Z2228" s="148"/>
    </row>
    <row r="2229">
      <c r="A2229" s="148">
        <f>IFERROR(__xludf.DUMMYFUNCTION("""COMPUTED_VALUE"""),1.1119071E7)</f>
        <v>11119071</v>
      </c>
      <c r="B2229" s="148" t="str">
        <f>IFERROR(__xludf.DUMMYFUNCTION("""COMPUTED_VALUE"""),"酒馆会员兑换商城道具-瓶盖")</f>
        <v>酒馆会员兑换商城道具-瓶盖</v>
      </c>
      <c r="C2229" s="148"/>
      <c r="D2229" s="148" t="str">
        <f>IFERROR(__xludf.DUMMYFUNCTION("""COMPUTED_VALUE"""),"item_asset")</f>
        <v>item_asset</v>
      </c>
      <c r="E2229" s="148">
        <f>IFERROR(__xludf.DUMMYFUNCTION("""COMPUTED_VALUE"""),0.0)</f>
        <v>0</v>
      </c>
      <c r="F2229" s="148">
        <f>IFERROR(__xludf.DUMMYFUNCTION("""COMPUTED_VALUE"""),0.0)</f>
        <v>0</v>
      </c>
      <c r="G2229" s="148">
        <f>IFERROR(__xludf.DUMMYFUNCTION("""COMPUTED_VALUE"""),1.5119212E7)</f>
        <v>15119212</v>
      </c>
      <c r="H2229" s="148">
        <f>IFERROR(__xludf.DUMMYFUNCTION("""COMPUTED_VALUE"""),1.5112563E7)</f>
        <v>15112563</v>
      </c>
      <c r="I2229" s="148" t="str">
        <f>IFERROR(__xludf.DUMMYFUNCTION("""COMPUTED_VALUE"""),"{}")</f>
        <v>{}</v>
      </c>
      <c r="J2229" s="148" t="str">
        <f>IFERROR(__xludf.DUMMYFUNCTION("""COMPUTED_VALUE"""),"{""typ"":""lc"",""txt"":""LC_ITEM_tavern_exchange_store_item""}")</f>
        <v>{"typ":"lc","txt":"LC_ITEM_tavern_exchange_store_item"}</v>
      </c>
      <c r="K2229" s="148" t="str">
        <f>IFERROR(__xludf.DUMMYFUNCTION("""COMPUTED_VALUE"""),"{""typ"":""lc"",""txt"":""LC_ITEM_tavern_exchange_store_item_desc""}")</f>
        <v>{"typ":"lc","txt":"LC_ITEM_tavern_exchange_store_item_desc"}</v>
      </c>
      <c r="L2229" s="148" t="str">
        <f>IFERROR(__xludf.DUMMYFUNCTION("""COMPUTED_VALUE"""),"{}")</f>
        <v>{}</v>
      </c>
      <c r="M2229" s="148">
        <f>IFERROR(__xludf.DUMMYFUNCTION("""COMPUTED_VALUE"""),10.0)</f>
        <v>10</v>
      </c>
      <c r="N2229" s="148">
        <f>IFERROR(__xludf.DUMMYFUNCTION("""COMPUTED_VALUE"""),999999.0)</f>
        <v>999999</v>
      </c>
      <c r="O2229" s="148">
        <f>IFERROR(__xludf.DUMMYFUNCTION("""COMPUTED_VALUE"""),99999.0)</f>
        <v>99999</v>
      </c>
      <c r="P2229" s="148">
        <f>IFERROR(__xludf.DUMMYFUNCTION("""COMPUTED_VALUE"""),9999.0)</f>
        <v>9999</v>
      </c>
      <c r="Q2229" s="148" t="str">
        <f>IFERROR(__xludf.DUMMYFUNCTION("""COMPUTED_VALUE"""),"[]")</f>
        <v>[]</v>
      </c>
      <c r="R2229" s="148" t="str">
        <f>IFERROR(__xludf.DUMMYFUNCTION("""COMPUTED_VALUE"""),"[]")</f>
        <v>[]</v>
      </c>
      <c r="S2229" s="148" t="str">
        <f>IFERROR(__xludf.DUMMYFUNCTION("""COMPUTED_VALUE"""),"{""effect"":[{""typ"":""xp"",""id"":11161009,""val"":1}]}")</f>
        <v>{"effect":[{"typ":"xp","id":11161009,"val":1}]}</v>
      </c>
      <c r="T2229" s="148">
        <f>IFERROR(__xludf.DUMMYFUNCTION("""COMPUTED_VALUE"""),-1.0)</f>
        <v>-1</v>
      </c>
      <c r="U2229" s="148">
        <f>IFERROR(__xludf.DUMMYFUNCTION("""COMPUTED_VALUE"""),1.0)</f>
        <v>1</v>
      </c>
      <c r="V2229" s="148" t="str">
        <f>IFERROR(__xludf.DUMMYFUNCTION("""COMPUTED_VALUE"""),"[]")</f>
        <v>[]</v>
      </c>
      <c r="W2229" s="148">
        <f>IFERROR(__xludf.DUMMYFUNCTION("""COMPUTED_VALUE"""),1.174E7)</f>
        <v>11740000</v>
      </c>
      <c r="X2229" s="148">
        <f>IFERROR(__xludf.DUMMYFUNCTION("""COMPUTED_VALUE"""),0.0)</f>
        <v>0</v>
      </c>
      <c r="Y2229" s="148">
        <f>IFERROR(__xludf.DUMMYFUNCTION("""COMPUTED_VALUE"""),0.0)</f>
        <v>0</v>
      </c>
      <c r="Z2229" s="148"/>
    </row>
    <row r="2230">
      <c r="A2230" s="148">
        <f>IFERROR(__xludf.DUMMYFUNCTION("""COMPUTED_VALUE"""),1.1119072E7)</f>
        <v>11119072</v>
      </c>
      <c r="B2230" s="148" t="str">
        <f>IFERROR(__xludf.DUMMYFUNCTION("""COMPUTED_VALUE"""),"重铸道具随机箱（一代橙颜色）")</f>
        <v>重铸道具随机箱（一代橙颜色）</v>
      </c>
      <c r="C2230" s="148"/>
      <c r="D2230" s="148" t="str">
        <f>IFERROR(__xludf.DUMMYFUNCTION("""COMPUTED_VALUE"""),"item_asset")</f>
        <v>item_asset</v>
      </c>
      <c r="E2230" s="148">
        <f>IFERROR(__xludf.DUMMYFUNCTION("""COMPUTED_VALUE"""),19.0)</f>
        <v>19</v>
      </c>
      <c r="F2230" s="148">
        <f>IFERROR(__xludf.DUMMYFUNCTION("""COMPUTED_VALUE"""),403308.0)</f>
        <v>403308</v>
      </c>
      <c r="G2230" s="148">
        <f>IFERROR(__xludf.DUMMYFUNCTION("""COMPUTED_VALUE"""),1.51167E7)</f>
        <v>15116700</v>
      </c>
      <c r="H2230" s="148">
        <f>IFERROR(__xludf.DUMMYFUNCTION("""COMPUTED_VALUE"""),1.5112564E7)</f>
        <v>15112564</v>
      </c>
      <c r="I2230" s="148" t="str">
        <f>IFERROR(__xludf.DUMMYFUNCTION("""COMPUTED_VALUE"""),"{}")</f>
        <v>{}</v>
      </c>
      <c r="J2230" s="148" t="str">
        <f>IFERROR(__xludf.DUMMYFUNCTION("""COMPUTED_VALUE"""),"{""typ"":""lc"",""txt"":""LC_ITEM_lockrune_random_box_name""}")</f>
        <v>{"typ":"lc","txt":"LC_ITEM_lockrune_random_box_name"}</v>
      </c>
      <c r="K2230" s="148" t="str">
        <f>IFERROR(__xludf.DUMMYFUNCTION("""COMPUTED_VALUE"""),"{""typ"":""lc"",""txt"":""LC_ITEM_lockrune_random_box_desc""}")</f>
        <v>{"typ":"lc","txt":"LC_ITEM_lockrune_random_box_desc"}</v>
      </c>
      <c r="L2230" s="148" t="str">
        <f>IFERROR(__xludf.DUMMYFUNCTION("""COMPUTED_VALUE"""),"{}")</f>
        <v>{}</v>
      </c>
      <c r="M2230" s="148">
        <f>IFERROR(__xludf.DUMMYFUNCTION("""COMPUTED_VALUE"""),240.0)</f>
        <v>240</v>
      </c>
      <c r="N2230" s="148">
        <f>IFERROR(__xludf.DUMMYFUNCTION("""COMPUTED_VALUE"""),999999.0)</f>
        <v>999999</v>
      </c>
      <c r="O2230" s="148">
        <f>IFERROR(__xludf.DUMMYFUNCTION("""COMPUTED_VALUE"""),99999.0)</f>
        <v>99999</v>
      </c>
      <c r="P2230" s="148">
        <f>IFERROR(__xludf.DUMMYFUNCTION("""COMPUTED_VALUE"""),9999.0)</f>
        <v>9999</v>
      </c>
      <c r="Q2230" s="148" t="str">
        <f>IFERROR(__xludf.DUMMYFUNCTION("""COMPUTED_VALUE"""),"[""bag_other""]")</f>
        <v>["bag_other"]</v>
      </c>
      <c r="R2230" s="148" t="str">
        <f>IFERROR(__xludf.DUMMYFUNCTION("""COMPUTED_VALUE"""),"[""bag""]")</f>
        <v>["bag"]</v>
      </c>
      <c r="S2230" s="148" t="str">
        <f>IFERROR(__xludf.DUMMYFUNCTION("""COMPUTED_VALUE"""),"{""drop"":{""typ"":""single_random"",""num"":1,""args"":[{""typ"":""material"",""id"":19345004,""num"":1,""wgt"":1800},{""typ"":""material"",""id"":19345004,""num"":2,""wgt"":100},{""typ"":""lockrune"",""id"":19345010,""num"":1,""wgt"":80},{""typ"":""lock"&amp;"rune"",""id"":19345011,""num"":1,""wgt"":20}]}}")</f>
        <v>{"drop":{"typ":"single_random","num":1,"args":[{"typ":"material","id":19345004,"num":1,"wgt":1800},{"typ":"material","id":19345004,"num":2,"wgt":100},{"typ":"lockrune","id":19345010,"num":1,"wgt":80},{"typ":"lockrune","id":19345011,"num":1,"wgt":20}]}}</v>
      </c>
      <c r="T2230" s="148">
        <f>IFERROR(__xludf.DUMMYFUNCTION("""COMPUTED_VALUE"""),-1.0)</f>
        <v>-1</v>
      </c>
      <c r="U2230" s="148">
        <f>IFERROR(__xludf.DUMMYFUNCTION("""COMPUTED_VALUE"""),0.0)</f>
        <v>0</v>
      </c>
      <c r="V2230" s="148" t="str">
        <f>IFERROR(__xludf.DUMMYFUNCTION("""COMPUTED_VALUE"""),"[]")</f>
        <v>[]</v>
      </c>
      <c r="W2230" s="148">
        <f>IFERROR(__xludf.DUMMYFUNCTION("""COMPUTED_VALUE"""),1.174E7)</f>
        <v>11740000</v>
      </c>
      <c r="X2230" s="148">
        <f>IFERROR(__xludf.DUMMYFUNCTION("""COMPUTED_VALUE"""),0.0)</f>
        <v>0</v>
      </c>
      <c r="Y2230" s="148">
        <f>IFERROR(__xludf.DUMMYFUNCTION("""COMPUTED_VALUE"""),0.0)</f>
        <v>0</v>
      </c>
      <c r="Z2230" s="148"/>
    </row>
    <row r="2231">
      <c r="A2231" s="148">
        <f>IFERROR(__xludf.DUMMYFUNCTION("""COMPUTED_VALUE"""),1.1119073E7)</f>
        <v>11119073</v>
      </c>
      <c r="B2231" s="148" t="str">
        <f>IFERROR(__xludf.DUMMYFUNCTION("""COMPUTED_VALUE"""),"重铸道具随机箱（二代橙颜色）")</f>
        <v>重铸道具随机箱（二代橙颜色）</v>
      </c>
      <c r="C2231" s="148"/>
      <c r="D2231" s="148" t="str">
        <f>IFERROR(__xludf.DUMMYFUNCTION("""COMPUTED_VALUE"""),"item_asset")</f>
        <v>item_asset</v>
      </c>
      <c r="E2231" s="148">
        <f>IFERROR(__xludf.DUMMYFUNCTION("""COMPUTED_VALUE"""),19.0)</f>
        <v>19</v>
      </c>
      <c r="F2231" s="148">
        <f>IFERROR(__xludf.DUMMYFUNCTION("""COMPUTED_VALUE"""),403308.0)</f>
        <v>403308</v>
      </c>
      <c r="G2231" s="148">
        <f>IFERROR(__xludf.DUMMYFUNCTION("""COMPUTED_VALUE"""),1.5115108E7)</f>
        <v>15115108</v>
      </c>
      <c r="H2231" s="148">
        <f>IFERROR(__xludf.DUMMYFUNCTION("""COMPUTED_VALUE"""),1.5112564E7)</f>
        <v>15112564</v>
      </c>
      <c r="I2231" s="148" t="str">
        <f>IFERROR(__xludf.DUMMYFUNCTION("""COMPUTED_VALUE"""),"{}")</f>
        <v>{}</v>
      </c>
      <c r="J2231" s="148" t="str">
        <f>IFERROR(__xludf.DUMMYFUNCTION("""COMPUTED_VALUE"""),"{""typ"":""lc"",""txt"":""LC_ITEM_lockrune_random_box_name""}")</f>
        <v>{"typ":"lc","txt":"LC_ITEM_lockrune_random_box_name"}</v>
      </c>
      <c r="K2231" s="148" t="str">
        <f>IFERROR(__xludf.DUMMYFUNCTION("""COMPUTED_VALUE"""),"{""typ"":""lc"",""txt"":""LC_ITEM_lockrune_random_box_desc""}")</f>
        <v>{"typ":"lc","txt":"LC_ITEM_lockrune_random_box_desc"}</v>
      </c>
      <c r="L2231" s="148" t="str">
        <f>IFERROR(__xludf.DUMMYFUNCTION("""COMPUTED_VALUE"""),"{}")</f>
        <v>{}</v>
      </c>
      <c r="M2231" s="148">
        <f>IFERROR(__xludf.DUMMYFUNCTION("""COMPUTED_VALUE"""),240.0)</f>
        <v>240</v>
      </c>
      <c r="N2231" s="148">
        <f>IFERROR(__xludf.DUMMYFUNCTION("""COMPUTED_VALUE"""),999999.0)</f>
        <v>999999</v>
      </c>
      <c r="O2231" s="148">
        <f>IFERROR(__xludf.DUMMYFUNCTION("""COMPUTED_VALUE"""),99999.0)</f>
        <v>99999</v>
      </c>
      <c r="P2231" s="148">
        <f>IFERROR(__xludf.DUMMYFUNCTION("""COMPUTED_VALUE"""),9999.0)</f>
        <v>9999</v>
      </c>
      <c r="Q2231" s="148" t="str">
        <f>IFERROR(__xludf.DUMMYFUNCTION("""COMPUTED_VALUE"""),"[""bag_other""]")</f>
        <v>["bag_other"]</v>
      </c>
      <c r="R2231" s="148" t="str">
        <f>IFERROR(__xludf.DUMMYFUNCTION("""COMPUTED_VALUE"""),"[""bag""]")</f>
        <v>["bag"]</v>
      </c>
      <c r="S2231" s="148" t="str">
        <f>IFERROR(__xludf.DUMMYFUNCTION("""COMPUTED_VALUE"""),"{""drop"":{""typ"":""single_random"",""num"":1,""args"":[{""typ"":""material"",""id"":19345004,""num"":1,""wgt"":1800},{""typ"":""material"",""id"":19345004,""num"":2,""wgt"":100},{""typ"":""lockrune"",""id"":19345010,""num"":1,""wgt"":80},{""typ"":""lock"&amp;"rune"",""id"":19345011,""num"":1,""wgt"":20}]}}")</f>
        <v>{"drop":{"typ":"single_random","num":1,"args":[{"typ":"material","id":19345004,"num":1,"wgt":1800},{"typ":"material","id":19345004,"num":2,"wgt":100},{"typ":"lockrune","id":19345010,"num":1,"wgt":80},{"typ":"lockrune","id":19345011,"num":1,"wgt":20}]}}</v>
      </c>
      <c r="T2231" s="148">
        <f>IFERROR(__xludf.DUMMYFUNCTION("""COMPUTED_VALUE"""),-1.0)</f>
        <v>-1</v>
      </c>
      <c r="U2231" s="148">
        <f>IFERROR(__xludf.DUMMYFUNCTION("""COMPUTED_VALUE"""),0.0)</f>
        <v>0</v>
      </c>
      <c r="V2231" s="148" t="str">
        <f>IFERROR(__xludf.DUMMYFUNCTION("""COMPUTED_VALUE"""),"[]")</f>
        <v>[]</v>
      </c>
      <c r="W2231" s="148">
        <f>IFERROR(__xludf.DUMMYFUNCTION("""COMPUTED_VALUE"""),1.174E7)</f>
        <v>11740000</v>
      </c>
      <c r="X2231" s="148">
        <f>IFERROR(__xludf.DUMMYFUNCTION("""COMPUTED_VALUE"""),0.0)</f>
        <v>0</v>
      </c>
      <c r="Y2231" s="148">
        <f>IFERROR(__xludf.DUMMYFUNCTION("""COMPUTED_VALUE"""),0.0)</f>
        <v>0</v>
      </c>
      <c r="Z2231" s="148"/>
    </row>
    <row r="2232">
      <c r="A2232" s="148">
        <f>IFERROR(__xludf.DUMMYFUNCTION("""COMPUTED_VALUE"""),1.1119074E7)</f>
        <v>11119074</v>
      </c>
      <c r="B2232" s="148" t="str">
        <f>IFERROR(__xludf.DUMMYFUNCTION("""COMPUTED_VALUE"""),"重铸道具随机箱（一代红颜色）")</f>
        <v>重铸道具随机箱（一代红颜色）</v>
      </c>
      <c r="C2232" s="148"/>
      <c r="D2232" s="148" t="str">
        <f>IFERROR(__xludf.DUMMYFUNCTION("""COMPUTED_VALUE"""),"item_asset")</f>
        <v>item_asset</v>
      </c>
      <c r="E2232" s="148">
        <f>IFERROR(__xludf.DUMMYFUNCTION("""COMPUTED_VALUE"""),19.0)</f>
        <v>19</v>
      </c>
      <c r="F2232" s="148">
        <f>IFERROR(__xludf.DUMMYFUNCTION("""COMPUTED_VALUE"""),403308.0)</f>
        <v>403308</v>
      </c>
      <c r="G2232" s="148">
        <f>IFERROR(__xludf.DUMMYFUNCTION("""COMPUTED_VALUE"""),1.5117668E7)</f>
        <v>15117668</v>
      </c>
      <c r="H2232" s="148">
        <f>IFERROR(__xludf.DUMMYFUNCTION("""COMPUTED_VALUE"""),1.5112564E7)</f>
        <v>15112564</v>
      </c>
      <c r="I2232" s="148" t="str">
        <f>IFERROR(__xludf.DUMMYFUNCTION("""COMPUTED_VALUE"""),"{}")</f>
        <v>{}</v>
      </c>
      <c r="J2232" s="148" t="str">
        <f>IFERROR(__xludf.DUMMYFUNCTION("""COMPUTED_VALUE"""),"{""typ"":""lc"",""txt"":""LC_ITEM_lockrune_random_box_name""}")</f>
        <v>{"typ":"lc","txt":"LC_ITEM_lockrune_random_box_name"}</v>
      </c>
      <c r="K2232" s="148" t="str">
        <f>IFERROR(__xludf.DUMMYFUNCTION("""COMPUTED_VALUE"""),"{""typ"":""lc"",""txt"":""LC_ITEM_lockrune_random_box_desc""}")</f>
        <v>{"typ":"lc","txt":"LC_ITEM_lockrune_random_box_desc"}</v>
      </c>
      <c r="L2232" s="148" t="str">
        <f>IFERROR(__xludf.DUMMYFUNCTION("""COMPUTED_VALUE"""),"{}")</f>
        <v>{}</v>
      </c>
      <c r="M2232" s="148">
        <f>IFERROR(__xludf.DUMMYFUNCTION("""COMPUTED_VALUE"""),240.0)</f>
        <v>240</v>
      </c>
      <c r="N2232" s="148">
        <f>IFERROR(__xludf.DUMMYFUNCTION("""COMPUTED_VALUE"""),999999.0)</f>
        <v>999999</v>
      </c>
      <c r="O2232" s="148">
        <f>IFERROR(__xludf.DUMMYFUNCTION("""COMPUTED_VALUE"""),99999.0)</f>
        <v>99999</v>
      </c>
      <c r="P2232" s="148">
        <f>IFERROR(__xludf.DUMMYFUNCTION("""COMPUTED_VALUE"""),9999.0)</f>
        <v>9999</v>
      </c>
      <c r="Q2232" s="148" t="str">
        <f>IFERROR(__xludf.DUMMYFUNCTION("""COMPUTED_VALUE"""),"[""bag_other""]")</f>
        <v>["bag_other"]</v>
      </c>
      <c r="R2232" s="148" t="str">
        <f>IFERROR(__xludf.DUMMYFUNCTION("""COMPUTED_VALUE"""),"[""bag""]")</f>
        <v>["bag"]</v>
      </c>
      <c r="S2232" s="148" t="str">
        <f>IFERROR(__xludf.DUMMYFUNCTION("""COMPUTED_VALUE"""),"{""drop"":{""typ"":""single_random"",""num"":1,""args"":[{""typ"":""material"",""id"":19345004,""num"":1,""wgt"":1800},{""typ"":""material"",""id"":19345004,""num"":2,""wgt"":100},{""typ"":""lockrune"",""id"":19345010,""num"":1,""wgt"":80},{""typ"":""lock"&amp;"rune"",""id"":19345011,""num"":1,""wgt"":20}]}}")</f>
        <v>{"drop":{"typ":"single_random","num":1,"args":[{"typ":"material","id":19345004,"num":1,"wgt":1800},{"typ":"material","id":19345004,"num":2,"wgt":100},{"typ":"lockrune","id":19345010,"num":1,"wgt":80},{"typ":"lockrune","id":19345011,"num":1,"wgt":20}]}}</v>
      </c>
      <c r="T2232" s="148">
        <f>IFERROR(__xludf.DUMMYFUNCTION("""COMPUTED_VALUE"""),-1.0)</f>
        <v>-1</v>
      </c>
      <c r="U2232" s="148">
        <f>IFERROR(__xludf.DUMMYFUNCTION("""COMPUTED_VALUE"""),0.0)</f>
        <v>0</v>
      </c>
      <c r="V2232" s="148" t="str">
        <f>IFERROR(__xludf.DUMMYFUNCTION("""COMPUTED_VALUE"""),"[]")</f>
        <v>[]</v>
      </c>
      <c r="W2232" s="148">
        <f>IFERROR(__xludf.DUMMYFUNCTION("""COMPUTED_VALUE"""),1.174E7)</f>
        <v>11740000</v>
      </c>
      <c r="X2232" s="148">
        <f>IFERROR(__xludf.DUMMYFUNCTION("""COMPUTED_VALUE"""),0.0)</f>
        <v>0</v>
      </c>
      <c r="Y2232" s="148">
        <f>IFERROR(__xludf.DUMMYFUNCTION("""COMPUTED_VALUE"""),0.0)</f>
        <v>0</v>
      </c>
      <c r="Z2232" s="148"/>
    </row>
    <row r="2233">
      <c r="A2233" s="148">
        <f>IFERROR(__xludf.DUMMYFUNCTION("""COMPUTED_VALUE"""),1.1119075E7)</f>
        <v>11119075</v>
      </c>
      <c r="B2233" s="148" t="str">
        <f>IFERROR(__xludf.DUMMYFUNCTION("""COMPUTED_VALUE"""),"战装材料自选箱")</f>
        <v>战装材料自选箱</v>
      </c>
      <c r="C2233" s="148"/>
      <c r="D2233" s="148" t="str">
        <f>IFERROR(__xludf.DUMMYFUNCTION("""COMPUTED_VALUE"""),"item_select_box")</f>
        <v>item_select_box</v>
      </c>
      <c r="E2233" s="148">
        <f>IFERROR(__xludf.DUMMYFUNCTION("""COMPUTED_VALUE"""),0.0)</f>
        <v>0</v>
      </c>
      <c r="F2233" s="148">
        <f>IFERROR(__xludf.DUMMYFUNCTION("""COMPUTED_VALUE"""),403308.0)</f>
        <v>403308</v>
      </c>
      <c r="G2233" s="148">
        <f>IFERROR(__xludf.DUMMYFUNCTION("""COMPUTED_VALUE"""),1.5119262E7)</f>
        <v>15119262</v>
      </c>
      <c r="H2233" s="148">
        <f>IFERROR(__xludf.DUMMYFUNCTION("""COMPUTED_VALUE"""),1.5112564E7)</f>
        <v>15112564</v>
      </c>
      <c r="I2233" s="148" t="str">
        <f>IFERROR(__xludf.DUMMYFUNCTION("""COMPUTED_VALUE"""),"{}")</f>
        <v>{}</v>
      </c>
      <c r="J2233" s="148" t="str">
        <f>IFERROR(__xludf.DUMMYFUNCTION("""COMPUTED_VALUE"""),"{""typ"":""lc"",""txt"":""LC_ITEM_monopoly_item_select_box_name""}")</f>
        <v>{"typ":"lc","txt":"LC_ITEM_monopoly_item_select_box_name"}</v>
      </c>
      <c r="K2233" s="148" t="str">
        <f>IFERROR(__xludf.DUMMYFUNCTION("""COMPUTED_VALUE"""),"{""typ"":""lc"",""txt"":""LC_ITEM_monopoly_item_select_box_desc""}")</f>
        <v>{"typ":"lc","txt":"LC_ITEM_monopoly_item_select_box_desc"}</v>
      </c>
      <c r="L2233" s="148" t="str">
        <f>IFERROR(__xludf.DUMMYFUNCTION("""COMPUTED_VALUE"""),"{}")</f>
        <v>{}</v>
      </c>
      <c r="M2233" s="148">
        <f>IFERROR(__xludf.DUMMYFUNCTION("""COMPUTED_VALUE"""),1000.0)</f>
        <v>1000</v>
      </c>
      <c r="N2233" s="148">
        <f>IFERROR(__xludf.DUMMYFUNCTION("""COMPUTED_VALUE"""),9999999.0)</f>
        <v>9999999</v>
      </c>
      <c r="O2233" s="148">
        <f>IFERROR(__xludf.DUMMYFUNCTION("""COMPUTED_VALUE"""),99999.0)</f>
        <v>99999</v>
      </c>
      <c r="P2233" s="148">
        <f>IFERROR(__xludf.DUMMYFUNCTION("""COMPUTED_VALUE"""),99999.0)</f>
        <v>99999</v>
      </c>
      <c r="Q2233" s="148" t="str">
        <f>IFERROR(__xludf.DUMMYFUNCTION("""COMPUTED_VALUE"""),"[""bag_other""]")</f>
        <v>["bag_other"]</v>
      </c>
      <c r="R2233" s="148" t="str">
        <f>IFERROR(__xludf.DUMMYFUNCTION("""COMPUTED_VALUE"""),"[""bag""]")</f>
        <v>["bag"]</v>
      </c>
      <c r="S2233" s="148" t="str">
        <f>IFERROR(__xludf.DUMMYFUNCTION("""COMPUTED_VALUE"""),"{""select_box"":[{""typ"":""lockrune"",""id"":19345010,""val"":2},{""typ"":""material"",""id"":19345012,""val"":1}]}")</f>
        <v>{"select_box":[{"typ":"lockrune","id":19345010,"val":2},{"typ":"material","id":19345012,"val":1}]}</v>
      </c>
      <c r="T2233" s="148">
        <f>IFERROR(__xludf.DUMMYFUNCTION("""COMPUTED_VALUE"""),-1.0)</f>
        <v>-1</v>
      </c>
      <c r="U2233" s="148">
        <f>IFERROR(__xludf.DUMMYFUNCTION("""COMPUTED_VALUE"""),0.0)</f>
        <v>0</v>
      </c>
      <c r="V2233" s="148" t="str">
        <f>IFERROR(__xludf.DUMMYFUNCTION("""COMPUTED_VALUE"""),"[]")</f>
        <v>[]</v>
      </c>
      <c r="W2233" s="148">
        <f>IFERROR(__xludf.DUMMYFUNCTION("""COMPUTED_VALUE"""),1.1741004E7)</f>
        <v>11741004</v>
      </c>
      <c r="X2233" s="148">
        <f>IFERROR(__xludf.DUMMYFUNCTION("""COMPUTED_VALUE"""),0.0)</f>
        <v>0</v>
      </c>
      <c r="Y2233" s="148">
        <f>IFERROR(__xludf.DUMMYFUNCTION("""COMPUTED_VALUE"""),0.0)</f>
        <v>0</v>
      </c>
      <c r="Z2233" s="148"/>
    </row>
    <row r="2234">
      <c r="A2234" s="148">
        <f>IFERROR(__xludf.DUMMYFUNCTION("""COMPUTED_VALUE"""),1.1119076E7)</f>
        <v>11119076</v>
      </c>
      <c r="B2234" s="148" t="str">
        <f>IFERROR(__xludf.DUMMYFUNCTION("""COMPUTED_VALUE"""),"高级战装材料自选箱")</f>
        <v>高级战装材料自选箱</v>
      </c>
      <c r="C2234" s="148"/>
      <c r="D2234" s="148" t="str">
        <f>IFERROR(__xludf.DUMMYFUNCTION("""COMPUTED_VALUE"""),"item_select_box")</f>
        <v>item_select_box</v>
      </c>
      <c r="E2234" s="148">
        <f>IFERROR(__xludf.DUMMYFUNCTION("""COMPUTED_VALUE"""),0.0)</f>
        <v>0</v>
      </c>
      <c r="F2234" s="148">
        <f>IFERROR(__xludf.DUMMYFUNCTION("""COMPUTED_VALUE"""),403308.0)</f>
        <v>403308</v>
      </c>
      <c r="G2234" s="148">
        <f>IFERROR(__xludf.DUMMYFUNCTION("""COMPUTED_VALUE"""),1.5119261E7)</f>
        <v>15119261</v>
      </c>
      <c r="H2234" s="148">
        <f>IFERROR(__xludf.DUMMYFUNCTION("""COMPUTED_VALUE"""),1.5115983E7)</f>
        <v>15115983</v>
      </c>
      <c r="I2234" s="148" t="str">
        <f>IFERROR(__xludf.DUMMYFUNCTION("""COMPUTED_VALUE"""),"{}")</f>
        <v>{}</v>
      </c>
      <c r="J2234" s="148" t="str">
        <f>IFERROR(__xludf.DUMMYFUNCTION("""COMPUTED_VALUE"""),"{""typ"":""lc"",""txt"":""LC_ITEM_monopoly_advanced_item_select_box_name""}")</f>
        <v>{"typ":"lc","txt":"LC_ITEM_monopoly_advanced_item_select_box_name"}</v>
      </c>
      <c r="K2234" s="148" t="str">
        <f>IFERROR(__xludf.DUMMYFUNCTION("""COMPUTED_VALUE"""),"{""typ"":""lc"",""txt"":""LC_ITEM_monopoly_advanced_item_select_box_desc""}")</f>
        <v>{"typ":"lc","txt":"LC_ITEM_monopoly_advanced_item_select_box_desc"}</v>
      </c>
      <c r="L2234" s="148" t="str">
        <f>IFERROR(__xludf.DUMMYFUNCTION("""COMPUTED_VALUE"""),"{}")</f>
        <v>{}</v>
      </c>
      <c r="M2234" s="148">
        <f>IFERROR(__xludf.DUMMYFUNCTION("""COMPUTED_VALUE"""),3000.0)</f>
        <v>3000</v>
      </c>
      <c r="N2234" s="148">
        <f>IFERROR(__xludf.DUMMYFUNCTION("""COMPUTED_VALUE"""),9999999.0)</f>
        <v>9999999</v>
      </c>
      <c r="O2234" s="148">
        <f>IFERROR(__xludf.DUMMYFUNCTION("""COMPUTED_VALUE"""),99999.0)</f>
        <v>99999</v>
      </c>
      <c r="P2234" s="148">
        <f>IFERROR(__xludf.DUMMYFUNCTION("""COMPUTED_VALUE"""),99999.0)</f>
        <v>99999</v>
      </c>
      <c r="Q2234" s="148" t="str">
        <f>IFERROR(__xludf.DUMMYFUNCTION("""COMPUTED_VALUE"""),"[""bag_other""]")</f>
        <v>["bag_other"]</v>
      </c>
      <c r="R2234" s="148" t="str">
        <f>IFERROR(__xludf.DUMMYFUNCTION("""COMPUTED_VALUE"""),"[""bag""]")</f>
        <v>["bag"]</v>
      </c>
      <c r="S2234" s="148" t="str">
        <f>IFERROR(__xludf.DUMMYFUNCTION("""COMPUTED_VALUE"""),"{""select_box"":[{""typ"":""lockrune"",""id"":19345011,""val"":2},{""typ"":""material"",""id"":19345012,""val"":5}]}")</f>
        <v>{"select_box":[{"typ":"lockrune","id":19345011,"val":2},{"typ":"material","id":19345012,"val":5}]}</v>
      </c>
      <c r="T2234" s="148">
        <f>IFERROR(__xludf.DUMMYFUNCTION("""COMPUTED_VALUE"""),-1.0)</f>
        <v>-1</v>
      </c>
      <c r="U2234" s="148">
        <f>IFERROR(__xludf.DUMMYFUNCTION("""COMPUTED_VALUE"""),0.0)</f>
        <v>0</v>
      </c>
      <c r="V2234" s="148" t="str">
        <f>IFERROR(__xludf.DUMMYFUNCTION("""COMPUTED_VALUE"""),"[]")</f>
        <v>[]</v>
      </c>
      <c r="W2234" s="148">
        <f>IFERROR(__xludf.DUMMYFUNCTION("""COMPUTED_VALUE"""),1.1741004E7)</f>
        <v>11741004</v>
      </c>
      <c r="X2234" s="148">
        <f>IFERROR(__xludf.DUMMYFUNCTION("""COMPUTED_VALUE"""),0.0)</f>
        <v>0</v>
      </c>
      <c r="Y2234" s="148">
        <f>IFERROR(__xludf.DUMMYFUNCTION("""COMPUTED_VALUE"""),0.0)</f>
        <v>0</v>
      </c>
      <c r="Z2234" s="148"/>
    </row>
    <row r="2235">
      <c r="A2235" s="148">
        <f>IFERROR(__xludf.DUMMYFUNCTION("""COMPUTED_VALUE"""),1.1119081E7)</f>
        <v>11119081</v>
      </c>
      <c r="B2235" s="148" t="str">
        <f>IFERROR(__xludf.DUMMYFUNCTION("""COMPUTED_VALUE"""),"战车升级道具")</f>
        <v>战车升级道具</v>
      </c>
      <c r="C2235" s="148"/>
      <c r="D2235" s="148" t="str">
        <f>IFERROR(__xludf.DUMMYFUNCTION("""COMPUTED_VALUE"""),"item_asset")</f>
        <v>item_asset</v>
      </c>
      <c r="E2235" s="148">
        <f>IFERROR(__xludf.DUMMYFUNCTION("""COMPUTED_VALUE"""),0.0)</f>
        <v>0</v>
      </c>
      <c r="F2235" s="148">
        <f>IFERROR(__xludf.DUMMYFUNCTION("""COMPUTED_VALUE"""),0.0)</f>
        <v>0</v>
      </c>
      <c r="G2235" s="148">
        <f>IFERROR(__xludf.DUMMYFUNCTION("""COMPUTED_VALUE"""),1.5119221E7)</f>
        <v>15119221</v>
      </c>
      <c r="H2235" s="148">
        <f>IFERROR(__xludf.DUMMYFUNCTION("""COMPUTED_VALUE"""),1.5112563E7)</f>
        <v>15112563</v>
      </c>
      <c r="I2235" s="148" t="str">
        <f>IFERROR(__xludf.DUMMYFUNCTION("""COMPUTED_VALUE"""),"{}")</f>
        <v>{}</v>
      </c>
      <c r="J2235" s="148" t="str">
        <f>IFERROR(__xludf.DUMMYFUNCTION("""COMPUTED_VALUE"""),"{""typ"":""lc"",""txt"":""LC_ITEM_tank_levelup_name_01""}")</f>
        <v>{"typ":"lc","txt":"LC_ITEM_tank_levelup_name_01"}</v>
      </c>
      <c r="K2235" s="148" t="str">
        <f>IFERROR(__xludf.DUMMYFUNCTION("""COMPUTED_VALUE"""),"{""typ"":""lc"",""txt"":""LC_ITEM_tank_levelup_desc_01""}")</f>
        <v>{"typ":"lc","txt":"LC_ITEM_tank_levelup_desc_01"}</v>
      </c>
      <c r="L2235" s="148" t="str">
        <f>IFERROR(__xludf.DUMMYFUNCTION("""COMPUTED_VALUE"""),"{}")</f>
        <v>{}</v>
      </c>
      <c r="M2235" s="148">
        <f>IFERROR(__xludf.DUMMYFUNCTION("""COMPUTED_VALUE"""),4000.0)</f>
        <v>4000</v>
      </c>
      <c r="N2235" s="148">
        <f>IFERROR(__xludf.DUMMYFUNCTION("""COMPUTED_VALUE"""),9999999.0)</f>
        <v>9999999</v>
      </c>
      <c r="O2235" s="148">
        <f>IFERROR(__xludf.DUMMYFUNCTION("""COMPUTED_VALUE"""),99999.0)</f>
        <v>99999</v>
      </c>
      <c r="P2235" s="148">
        <f>IFERROR(__xludf.DUMMYFUNCTION("""COMPUTED_VALUE"""),99999.0)</f>
        <v>99999</v>
      </c>
      <c r="Q2235" s="148" t="str">
        <f>IFERROR(__xludf.DUMMYFUNCTION("""COMPUTED_VALUE"""),"[""bag_other""]")</f>
        <v>["bag_other"]</v>
      </c>
      <c r="R2235" s="148" t="str">
        <f>IFERROR(__xludf.DUMMYFUNCTION("""COMPUTED_VALUE"""),"[]")</f>
        <v>[]</v>
      </c>
      <c r="S2235" s="148" t="str">
        <f>IFERROR(__xludf.DUMMYFUNCTION("""COMPUTED_VALUE"""),"{}")</f>
        <v>{}</v>
      </c>
      <c r="T2235" s="148">
        <f>IFERROR(__xludf.DUMMYFUNCTION("""COMPUTED_VALUE"""),-1.0)</f>
        <v>-1</v>
      </c>
      <c r="U2235" s="148">
        <f>IFERROR(__xludf.DUMMYFUNCTION("""COMPUTED_VALUE"""),0.0)</f>
        <v>0</v>
      </c>
      <c r="V2235" s="148" t="str">
        <f>IFERROR(__xludf.DUMMYFUNCTION("""COMPUTED_VALUE"""),"[]")</f>
        <v>[]</v>
      </c>
      <c r="W2235" s="148">
        <f>IFERROR(__xludf.DUMMYFUNCTION("""COMPUTED_VALUE"""),1.174E7)</f>
        <v>11740000</v>
      </c>
      <c r="X2235" s="148">
        <f>IFERROR(__xludf.DUMMYFUNCTION("""COMPUTED_VALUE"""),0.0)</f>
        <v>0</v>
      </c>
      <c r="Y2235" s="148">
        <f>IFERROR(__xludf.DUMMYFUNCTION("""COMPUTED_VALUE"""),0.0)</f>
        <v>0</v>
      </c>
      <c r="Z2235" s="148"/>
    </row>
    <row r="2236">
      <c r="A2236" s="148">
        <f>IFERROR(__xludf.DUMMYFUNCTION("""COMPUTED_VALUE"""),1.1119082E7)</f>
        <v>11119082</v>
      </c>
      <c r="B2236" s="148" t="str">
        <f>IFERROR(__xludf.DUMMYFUNCTION("""COMPUTED_VALUE"""),"战车突破道具")</f>
        <v>战车突破道具</v>
      </c>
      <c r="C2236" s="148"/>
      <c r="D2236" s="148" t="str">
        <f>IFERROR(__xludf.DUMMYFUNCTION("""COMPUTED_VALUE"""),"item_asset")</f>
        <v>item_asset</v>
      </c>
      <c r="E2236" s="148">
        <f>IFERROR(__xludf.DUMMYFUNCTION("""COMPUTED_VALUE"""),0.0)</f>
        <v>0</v>
      </c>
      <c r="F2236" s="148">
        <f>IFERROR(__xludf.DUMMYFUNCTION("""COMPUTED_VALUE"""),0.0)</f>
        <v>0</v>
      </c>
      <c r="G2236" s="148">
        <f>IFERROR(__xludf.DUMMYFUNCTION("""COMPUTED_VALUE"""),1.5119222E7)</f>
        <v>15119222</v>
      </c>
      <c r="H2236" s="148">
        <f>IFERROR(__xludf.DUMMYFUNCTION("""COMPUTED_VALUE"""),1.5112564E7)</f>
        <v>15112564</v>
      </c>
      <c r="I2236" s="148" t="str">
        <f>IFERROR(__xludf.DUMMYFUNCTION("""COMPUTED_VALUE"""),"{}")</f>
        <v>{}</v>
      </c>
      <c r="J2236" s="148" t="str">
        <f>IFERROR(__xludf.DUMMYFUNCTION("""COMPUTED_VALUE"""),"{""typ"":""lc"",""txt"":""LC_ITEM_tank_levelup_name_02""}")</f>
        <v>{"typ":"lc","txt":"LC_ITEM_tank_levelup_name_02"}</v>
      </c>
      <c r="K2236" s="148" t="str">
        <f>IFERROR(__xludf.DUMMYFUNCTION("""COMPUTED_VALUE"""),"{""typ"":""lc"",""txt"":""LC_ITEM_tank_levelup_desc_02""}")</f>
        <v>{"typ":"lc","txt":"LC_ITEM_tank_levelup_desc_02"}</v>
      </c>
      <c r="L2236" s="148" t="str">
        <f>IFERROR(__xludf.DUMMYFUNCTION("""COMPUTED_VALUE"""),"{}")</f>
        <v>{}</v>
      </c>
      <c r="M2236" s="148">
        <f>IFERROR(__xludf.DUMMYFUNCTION("""COMPUTED_VALUE"""),4000.0)</f>
        <v>4000</v>
      </c>
      <c r="N2236" s="148">
        <f>IFERROR(__xludf.DUMMYFUNCTION("""COMPUTED_VALUE"""),9999999.0)</f>
        <v>9999999</v>
      </c>
      <c r="O2236" s="148">
        <f>IFERROR(__xludf.DUMMYFUNCTION("""COMPUTED_VALUE"""),99999.0)</f>
        <v>99999</v>
      </c>
      <c r="P2236" s="148">
        <f>IFERROR(__xludf.DUMMYFUNCTION("""COMPUTED_VALUE"""),99999.0)</f>
        <v>99999</v>
      </c>
      <c r="Q2236" s="148" t="str">
        <f>IFERROR(__xludf.DUMMYFUNCTION("""COMPUTED_VALUE"""),"[""bag_other""]")</f>
        <v>["bag_other"]</v>
      </c>
      <c r="R2236" s="148" t="str">
        <f>IFERROR(__xludf.DUMMYFUNCTION("""COMPUTED_VALUE"""),"[]")</f>
        <v>[]</v>
      </c>
      <c r="S2236" s="148" t="str">
        <f>IFERROR(__xludf.DUMMYFUNCTION("""COMPUTED_VALUE"""),"{}")</f>
        <v>{}</v>
      </c>
      <c r="T2236" s="148">
        <f>IFERROR(__xludf.DUMMYFUNCTION("""COMPUTED_VALUE"""),-1.0)</f>
        <v>-1</v>
      </c>
      <c r="U2236" s="148">
        <f>IFERROR(__xludf.DUMMYFUNCTION("""COMPUTED_VALUE"""),0.0)</f>
        <v>0</v>
      </c>
      <c r="V2236" s="148" t="str">
        <f>IFERROR(__xludf.DUMMYFUNCTION("""COMPUTED_VALUE"""),"[]")</f>
        <v>[]</v>
      </c>
      <c r="W2236" s="148">
        <f>IFERROR(__xludf.DUMMYFUNCTION("""COMPUTED_VALUE"""),1.174E7)</f>
        <v>11740000</v>
      </c>
      <c r="X2236" s="148">
        <f>IFERROR(__xludf.DUMMYFUNCTION("""COMPUTED_VALUE"""),0.0)</f>
        <v>0</v>
      </c>
      <c r="Y2236" s="148">
        <f>IFERROR(__xludf.DUMMYFUNCTION("""COMPUTED_VALUE"""),0.0)</f>
        <v>0</v>
      </c>
      <c r="Z2236" s="148"/>
    </row>
    <row r="2237">
      <c r="A2237" s="148">
        <f>IFERROR(__xludf.DUMMYFUNCTION("""COMPUTED_VALUE"""),1.1119083E7)</f>
        <v>11119083</v>
      </c>
      <c r="B2237" s="148" t="str">
        <f>IFERROR(__xludf.DUMMYFUNCTION("""COMPUTED_VALUE"""),"1号战车本体头像-礼包表现用")</f>
        <v>1号战车本体头像-礼包表现用</v>
      </c>
      <c r="C2237" s="148"/>
      <c r="D2237" s="148" t="str">
        <f>IFERROR(__xludf.DUMMYFUNCTION("""COMPUTED_VALUE"""),"item_asset")</f>
        <v>item_asset</v>
      </c>
      <c r="E2237" s="148">
        <f>IFERROR(__xludf.DUMMYFUNCTION("""COMPUTED_VALUE"""),0.0)</f>
        <v>0</v>
      </c>
      <c r="F2237" s="148">
        <f>IFERROR(__xludf.DUMMYFUNCTION("""COMPUTED_VALUE"""),0.0)</f>
        <v>0</v>
      </c>
      <c r="G2237" s="148">
        <f>IFERROR(__xludf.DUMMYFUNCTION("""COMPUTED_VALUE"""),1.5119274E7)</f>
        <v>15119274</v>
      </c>
      <c r="H2237" s="148">
        <f>IFERROR(__xludf.DUMMYFUNCTION("""COMPUTED_VALUE"""),1.5112564E7)</f>
        <v>15112564</v>
      </c>
      <c r="I2237" s="148" t="str">
        <f>IFERROR(__xludf.DUMMYFUNCTION("""COMPUTED_VALUE"""),"{}")</f>
        <v>{}</v>
      </c>
      <c r="J2237" s="148" t="str">
        <f>IFERROR(__xludf.DUMMYFUNCTION("""COMPUTED_VALUE"""),"{""typ"":""lc"",""txt"":""LC_HERO_tank_name_01""}")</f>
        <v>{"typ":"lc","txt":"LC_HERO_tank_name_01"}</v>
      </c>
      <c r="K2237" s="148" t="str">
        <f>IFERROR(__xludf.DUMMYFUNCTION("""COMPUTED_VALUE"""),"{""typ"":""lc"",""txt"":""LC_HERO_tank_name_01_desc""}")</f>
        <v>{"typ":"lc","txt":"LC_HERO_tank_name_01_desc"}</v>
      </c>
      <c r="L2237" s="148" t="str">
        <f>IFERROR(__xludf.DUMMYFUNCTION("""COMPUTED_VALUE"""),"{}")</f>
        <v>{}</v>
      </c>
      <c r="M2237" s="148">
        <f>IFERROR(__xludf.DUMMYFUNCTION("""COMPUTED_VALUE"""),4000.0)</f>
        <v>4000</v>
      </c>
      <c r="N2237" s="148">
        <f>IFERROR(__xludf.DUMMYFUNCTION("""COMPUTED_VALUE"""),9999999.0)</f>
        <v>9999999</v>
      </c>
      <c r="O2237" s="148">
        <f>IFERROR(__xludf.DUMMYFUNCTION("""COMPUTED_VALUE"""),99999.0)</f>
        <v>99999</v>
      </c>
      <c r="P2237" s="148">
        <f>IFERROR(__xludf.DUMMYFUNCTION("""COMPUTED_VALUE"""),99999.0)</f>
        <v>99999</v>
      </c>
      <c r="Q2237" s="148" t="str">
        <f>IFERROR(__xludf.DUMMYFUNCTION("""COMPUTED_VALUE"""),"[]")</f>
        <v>[]</v>
      </c>
      <c r="R2237" s="148" t="str">
        <f>IFERROR(__xludf.DUMMYFUNCTION("""COMPUTED_VALUE"""),"[]")</f>
        <v>[]</v>
      </c>
      <c r="S2237" s="148" t="str">
        <f>IFERROR(__xludf.DUMMYFUNCTION("""COMPUTED_VALUE"""),"{}")</f>
        <v>{}</v>
      </c>
      <c r="T2237" s="148">
        <f>IFERROR(__xludf.DUMMYFUNCTION("""COMPUTED_VALUE"""),1.0)</f>
        <v>1</v>
      </c>
      <c r="U2237" s="148">
        <f>IFERROR(__xludf.DUMMYFUNCTION("""COMPUTED_VALUE"""),0.0)</f>
        <v>0</v>
      </c>
      <c r="V2237" s="148" t="str">
        <f>IFERROR(__xludf.DUMMYFUNCTION("""COMPUTED_VALUE"""),"[]")</f>
        <v>[]</v>
      </c>
      <c r="W2237" s="148">
        <f>IFERROR(__xludf.DUMMYFUNCTION("""COMPUTED_VALUE"""),1.174E7)</f>
        <v>11740000</v>
      </c>
      <c r="X2237" s="148">
        <f>IFERROR(__xludf.DUMMYFUNCTION("""COMPUTED_VALUE"""),0.0)</f>
        <v>0</v>
      </c>
      <c r="Y2237" s="148">
        <f>IFERROR(__xludf.DUMMYFUNCTION("""COMPUTED_VALUE"""),0.0)</f>
        <v>0</v>
      </c>
      <c r="Z2237" s="148"/>
    </row>
    <row r="2238">
      <c r="A2238" s="148">
        <f>IFERROR(__xludf.DUMMYFUNCTION("""COMPUTED_VALUE"""),1.1119084E7)</f>
        <v>11119084</v>
      </c>
      <c r="B2238" s="148" t="str">
        <f>IFERROR(__xludf.DUMMYFUNCTION("""COMPUTED_VALUE"""),"收藏品盲盒抽奖币-不放回-飙车族")</f>
        <v>收藏品盲盒抽奖币-不放回-飙车族</v>
      </c>
      <c r="C2238" s="148"/>
      <c r="D2238" s="148" t="str">
        <f>IFERROR(__xludf.DUMMYFUNCTION("""COMPUTED_VALUE"""),"event")</f>
        <v>event</v>
      </c>
      <c r="E2238" s="148">
        <f>IFERROR(__xludf.DUMMYFUNCTION("""COMPUTED_VALUE"""),0.0)</f>
        <v>0</v>
      </c>
      <c r="F2238" s="148">
        <f>IFERROR(__xludf.DUMMYFUNCTION("""COMPUTED_VALUE"""),405220.0)</f>
        <v>405220</v>
      </c>
      <c r="G2238" s="148">
        <f>IFERROR(__xludf.DUMMYFUNCTION("""COMPUTED_VALUE"""),1.5119214E7)</f>
        <v>15119214</v>
      </c>
      <c r="H2238" s="148">
        <f>IFERROR(__xludf.DUMMYFUNCTION("""COMPUTED_VALUE"""),1.5112564E7)</f>
        <v>15112564</v>
      </c>
      <c r="I2238" s="148" t="str">
        <f>IFERROR(__xludf.DUMMYFUNCTION("""COMPUTED_VALUE"""),"{}")</f>
        <v>{}</v>
      </c>
      <c r="J2238" s="148" t="str">
        <f>IFERROR(__xludf.DUMMYFUNCTION("""COMPUTED_VALUE"""),"{""typ"":""lc"",""txt"":""LC_ITEM_collection_blindbox_coin_pilot""}")</f>
        <v>{"typ":"lc","txt":"LC_ITEM_collection_blindbox_coin_pilot"}</v>
      </c>
      <c r="K2238" s="148" t="str">
        <f>IFERROR(__xludf.DUMMYFUNCTION("""COMPUTED_VALUE"""),"{""typ"":""lc"",""txt"":""LC_ITEM_collection_blindbox_coin_pilot_desc""}")</f>
        <v>{"typ":"lc","txt":"LC_ITEM_collection_blindbox_coin_pilot_desc"}</v>
      </c>
      <c r="L2238" s="148" t="str">
        <f>IFERROR(__xludf.DUMMYFUNCTION("""COMPUTED_VALUE"""),"{}")</f>
        <v>{}</v>
      </c>
      <c r="M2238" s="148">
        <f>IFERROR(__xludf.DUMMYFUNCTION("""COMPUTED_VALUE"""),700.0)</f>
        <v>700</v>
      </c>
      <c r="N2238" s="148">
        <f>IFERROR(__xludf.DUMMYFUNCTION("""COMPUTED_VALUE"""),9.99999999E8)</f>
        <v>999999999</v>
      </c>
      <c r="O2238" s="148">
        <f>IFERROR(__xludf.DUMMYFUNCTION("""COMPUTED_VALUE"""),9.99999999E8)</f>
        <v>999999999</v>
      </c>
      <c r="P2238" s="148">
        <f>IFERROR(__xludf.DUMMYFUNCTION("""COMPUTED_VALUE"""),9.99999999E8)</f>
        <v>999999999</v>
      </c>
      <c r="Q2238" s="148" t="str">
        <f>IFERROR(__xludf.DUMMYFUNCTION("""COMPUTED_VALUE"""),"[""bag_other""]")</f>
        <v>["bag_other"]</v>
      </c>
      <c r="R2238" s="148" t="str">
        <f>IFERROR(__xludf.DUMMYFUNCTION("""COMPUTED_VALUE"""),"[]")</f>
        <v>[]</v>
      </c>
      <c r="S2238" s="148" t="str">
        <f>IFERROR(__xludf.DUMMYFUNCTION("""COMPUTED_VALUE"""),"{}")</f>
        <v>{}</v>
      </c>
      <c r="T2238" s="148">
        <f>IFERROR(__xludf.DUMMYFUNCTION("""COMPUTED_VALUE"""),-1.0)</f>
        <v>-1</v>
      </c>
      <c r="U2238" s="148">
        <f>IFERROR(__xludf.DUMMYFUNCTION("""COMPUTED_VALUE"""),0.0)</f>
        <v>0</v>
      </c>
      <c r="V2238" s="148" t="str">
        <f>IFERROR(__xludf.DUMMYFUNCTION("""COMPUTED_VALUE"""),"[]")</f>
        <v>[]</v>
      </c>
      <c r="W2238" s="148">
        <f>IFERROR(__xludf.DUMMYFUNCTION("""COMPUTED_VALUE"""),1.174E7)</f>
        <v>11740000</v>
      </c>
      <c r="X2238" s="148">
        <f>IFERROR(__xludf.DUMMYFUNCTION("""COMPUTED_VALUE"""),0.0)</f>
        <v>0</v>
      </c>
      <c r="Y2238" s="148">
        <f>IFERROR(__xludf.DUMMYFUNCTION("""COMPUTED_VALUE"""),0.0)</f>
        <v>0</v>
      </c>
      <c r="Z2238" s="148"/>
    </row>
    <row r="2239">
      <c r="A2239" s="148">
        <f>IFERROR(__xludf.DUMMYFUNCTION("""COMPUTED_VALUE"""),1.1119085E7)</f>
        <v>11119085</v>
      </c>
      <c r="B2239" s="148" t="str">
        <f>IFERROR(__xludf.DUMMYFUNCTION("""COMPUTED_VALUE"""),"收藏品盲盒抽奖币-不放回-打击手")</f>
        <v>收藏品盲盒抽奖币-不放回-打击手</v>
      </c>
      <c r="C2239" s="148"/>
      <c r="D2239" s="148" t="str">
        <f>IFERROR(__xludf.DUMMYFUNCTION("""COMPUTED_VALUE"""),"event")</f>
        <v>event</v>
      </c>
      <c r="E2239" s="148">
        <f>IFERROR(__xludf.DUMMYFUNCTION("""COMPUTED_VALUE"""),0.0)</f>
        <v>0</v>
      </c>
      <c r="F2239" s="148">
        <f>IFERROR(__xludf.DUMMYFUNCTION("""COMPUTED_VALUE"""),405220.0)</f>
        <v>405220</v>
      </c>
      <c r="G2239" s="148">
        <f>IFERROR(__xludf.DUMMYFUNCTION("""COMPUTED_VALUE"""),1.5119215E7)</f>
        <v>15119215</v>
      </c>
      <c r="H2239" s="148">
        <f>IFERROR(__xludf.DUMMYFUNCTION("""COMPUTED_VALUE"""),1.5112564E7)</f>
        <v>15112564</v>
      </c>
      <c r="I2239" s="148" t="str">
        <f>IFERROR(__xludf.DUMMYFUNCTION("""COMPUTED_VALUE"""),"{}")</f>
        <v>{}</v>
      </c>
      <c r="J2239" s="148" t="str">
        <f>IFERROR(__xludf.DUMMYFUNCTION("""COMPUTED_VALUE"""),"{""typ"":""lc"",""txt"":""LC_ITEM_collection_blindbox_coin_hitter""}")</f>
        <v>{"typ":"lc","txt":"LC_ITEM_collection_blindbox_coin_hitter"}</v>
      </c>
      <c r="K2239" s="148" t="str">
        <f>IFERROR(__xludf.DUMMYFUNCTION("""COMPUTED_VALUE"""),"{""typ"":""lc"",""txt"":""LC_ITEM_collection_blindbox_coin_hitter_desc""}")</f>
        <v>{"typ":"lc","txt":"LC_ITEM_collection_blindbox_coin_hitter_desc"}</v>
      </c>
      <c r="L2239" s="148" t="str">
        <f>IFERROR(__xludf.DUMMYFUNCTION("""COMPUTED_VALUE"""),"{}")</f>
        <v>{}</v>
      </c>
      <c r="M2239" s="148">
        <f>IFERROR(__xludf.DUMMYFUNCTION("""COMPUTED_VALUE"""),700.0)</f>
        <v>700</v>
      </c>
      <c r="N2239" s="148">
        <f>IFERROR(__xludf.DUMMYFUNCTION("""COMPUTED_VALUE"""),9.99999999E8)</f>
        <v>999999999</v>
      </c>
      <c r="O2239" s="148">
        <f>IFERROR(__xludf.DUMMYFUNCTION("""COMPUTED_VALUE"""),9.99999999E8)</f>
        <v>999999999</v>
      </c>
      <c r="P2239" s="148">
        <f>IFERROR(__xludf.DUMMYFUNCTION("""COMPUTED_VALUE"""),9.99999999E8)</f>
        <v>999999999</v>
      </c>
      <c r="Q2239" s="148" t="str">
        <f>IFERROR(__xludf.DUMMYFUNCTION("""COMPUTED_VALUE"""),"[""bag_other""]")</f>
        <v>["bag_other"]</v>
      </c>
      <c r="R2239" s="148" t="str">
        <f>IFERROR(__xludf.DUMMYFUNCTION("""COMPUTED_VALUE"""),"[]")</f>
        <v>[]</v>
      </c>
      <c r="S2239" s="148" t="str">
        <f>IFERROR(__xludf.DUMMYFUNCTION("""COMPUTED_VALUE"""),"{}")</f>
        <v>{}</v>
      </c>
      <c r="T2239" s="148">
        <f>IFERROR(__xludf.DUMMYFUNCTION("""COMPUTED_VALUE"""),-1.0)</f>
        <v>-1</v>
      </c>
      <c r="U2239" s="148">
        <f>IFERROR(__xludf.DUMMYFUNCTION("""COMPUTED_VALUE"""),0.0)</f>
        <v>0</v>
      </c>
      <c r="V2239" s="148" t="str">
        <f>IFERROR(__xludf.DUMMYFUNCTION("""COMPUTED_VALUE"""),"[]")</f>
        <v>[]</v>
      </c>
      <c r="W2239" s="148">
        <f>IFERROR(__xludf.DUMMYFUNCTION("""COMPUTED_VALUE"""),1.174E7)</f>
        <v>11740000</v>
      </c>
      <c r="X2239" s="148">
        <f>IFERROR(__xludf.DUMMYFUNCTION("""COMPUTED_VALUE"""),0.0)</f>
        <v>0</v>
      </c>
      <c r="Y2239" s="148">
        <f>IFERROR(__xludf.DUMMYFUNCTION("""COMPUTED_VALUE"""),0.0)</f>
        <v>0</v>
      </c>
      <c r="Z2239" s="148"/>
    </row>
    <row r="2240">
      <c r="A2240" s="148">
        <f>IFERROR(__xludf.DUMMYFUNCTION("""COMPUTED_VALUE"""),1.1119086E7)</f>
        <v>11119086</v>
      </c>
      <c r="B2240" s="148" t="str">
        <f>IFERROR(__xludf.DUMMYFUNCTION("""COMPUTED_VALUE"""),"收藏品盲盒抽奖币-不放回-射击手")</f>
        <v>收藏品盲盒抽奖币-不放回-射击手</v>
      </c>
      <c r="C2240" s="148"/>
      <c r="D2240" s="148" t="str">
        <f>IFERROR(__xludf.DUMMYFUNCTION("""COMPUTED_VALUE"""),"event")</f>
        <v>event</v>
      </c>
      <c r="E2240" s="148">
        <f>IFERROR(__xludf.DUMMYFUNCTION("""COMPUTED_VALUE"""),0.0)</f>
        <v>0</v>
      </c>
      <c r="F2240" s="148">
        <f>IFERROR(__xludf.DUMMYFUNCTION("""COMPUTED_VALUE"""),405220.0)</f>
        <v>405220</v>
      </c>
      <c r="G2240" s="148">
        <f>IFERROR(__xludf.DUMMYFUNCTION("""COMPUTED_VALUE"""),1.5119216E7)</f>
        <v>15119216</v>
      </c>
      <c r="H2240" s="148">
        <f>IFERROR(__xludf.DUMMYFUNCTION("""COMPUTED_VALUE"""),1.5112564E7)</f>
        <v>15112564</v>
      </c>
      <c r="I2240" s="148" t="str">
        <f>IFERROR(__xludf.DUMMYFUNCTION("""COMPUTED_VALUE"""),"{}")</f>
        <v>{}</v>
      </c>
      <c r="J2240" s="148" t="str">
        <f>IFERROR(__xludf.DUMMYFUNCTION("""COMPUTED_VALUE"""),"{""typ"":""lc"",""txt"":""LC_ITEM_collection_blindbox_coin_shooter""}")</f>
        <v>{"typ":"lc","txt":"LC_ITEM_collection_blindbox_coin_shooter"}</v>
      </c>
      <c r="K2240" s="148" t="str">
        <f>IFERROR(__xludf.DUMMYFUNCTION("""COMPUTED_VALUE"""),"{""typ"":""lc"",""txt"":""LC_ITEM_collection_blindbox_coin_shooter_desc""}")</f>
        <v>{"typ":"lc","txt":"LC_ITEM_collection_blindbox_coin_shooter_desc"}</v>
      </c>
      <c r="L2240" s="148" t="str">
        <f>IFERROR(__xludf.DUMMYFUNCTION("""COMPUTED_VALUE"""),"{}")</f>
        <v>{}</v>
      </c>
      <c r="M2240" s="148">
        <f>IFERROR(__xludf.DUMMYFUNCTION("""COMPUTED_VALUE"""),700.0)</f>
        <v>700</v>
      </c>
      <c r="N2240" s="148">
        <f>IFERROR(__xludf.DUMMYFUNCTION("""COMPUTED_VALUE"""),9.99999999E8)</f>
        <v>999999999</v>
      </c>
      <c r="O2240" s="148">
        <f>IFERROR(__xludf.DUMMYFUNCTION("""COMPUTED_VALUE"""),9.99999999E8)</f>
        <v>999999999</v>
      </c>
      <c r="P2240" s="148">
        <f>IFERROR(__xludf.DUMMYFUNCTION("""COMPUTED_VALUE"""),9.99999999E8)</f>
        <v>999999999</v>
      </c>
      <c r="Q2240" s="148" t="str">
        <f>IFERROR(__xludf.DUMMYFUNCTION("""COMPUTED_VALUE"""),"[""bag_other""]")</f>
        <v>["bag_other"]</v>
      </c>
      <c r="R2240" s="148" t="str">
        <f>IFERROR(__xludf.DUMMYFUNCTION("""COMPUTED_VALUE"""),"[]")</f>
        <v>[]</v>
      </c>
      <c r="S2240" s="148" t="str">
        <f>IFERROR(__xludf.DUMMYFUNCTION("""COMPUTED_VALUE"""),"{}")</f>
        <v>{}</v>
      </c>
      <c r="T2240" s="148">
        <f>IFERROR(__xludf.DUMMYFUNCTION("""COMPUTED_VALUE"""),-1.0)</f>
        <v>-1</v>
      </c>
      <c r="U2240" s="148">
        <f>IFERROR(__xludf.DUMMYFUNCTION("""COMPUTED_VALUE"""),0.0)</f>
        <v>0</v>
      </c>
      <c r="V2240" s="148" t="str">
        <f>IFERROR(__xludf.DUMMYFUNCTION("""COMPUTED_VALUE"""),"[]")</f>
        <v>[]</v>
      </c>
      <c r="W2240" s="148">
        <f>IFERROR(__xludf.DUMMYFUNCTION("""COMPUTED_VALUE"""),1.174E7)</f>
        <v>11740000</v>
      </c>
      <c r="X2240" s="148">
        <f>IFERROR(__xludf.DUMMYFUNCTION("""COMPUTED_VALUE"""),0.0)</f>
        <v>0</v>
      </c>
      <c r="Y2240" s="148">
        <f>IFERROR(__xludf.DUMMYFUNCTION("""COMPUTED_VALUE"""),0.0)</f>
        <v>0</v>
      </c>
      <c r="Z2240" s="148"/>
    </row>
    <row r="2241">
      <c r="A2241" s="148">
        <f>IFERROR(__xludf.DUMMYFUNCTION("""COMPUTED_VALUE"""),1.1119087E7)</f>
        <v>11119087</v>
      </c>
      <c r="B2241" s="148" t="str">
        <f>IFERROR(__xludf.DUMMYFUNCTION("""COMPUTED_VALUE"""),"头像框：新人累冲")</f>
        <v>头像框：新人累冲</v>
      </c>
      <c r="C2241" s="148"/>
      <c r="D2241" s="148" t="str">
        <f>IFERROR(__xludf.DUMMYFUNCTION("""COMPUTED_VALUE"""),"avatar_frame")</f>
        <v>avatar_frame</v>
      </c>
      <c r="E2241" s="148">
        <f>IFERROR(__xludf.DUMMYFUNCTION("""COMPUTED_VALUE"""),20.0)</f>
        <v>20</v>
      </c>
      <c r="F2241" s="148">
        <f>IFERROR(__xludf.DUMMYFUNCTION("""COMPUTED_VALUE"""),0.0)</f>
        <v>0</v>
      </c>
      <c r="G2241" s="148">
        <f>IFERROR(__xludf.DUMMYFUNCTION("""COMPUTED_VALUE"""),1.5119245E7)</f>
        <v>15119245</v>
      </c>
      <c r="H2241" s="148">
        <f>IFERROR(__xludf.DUMMYFUNCTION("""COMPUTED_VALUE"""),1.5112563E7)</f>
        <v>15112563</v>
      </c>
      <c r="I2241" s="148" t="str">
        <f>IFERROR(__xludf.DUMMYFUNCTION("""COMPUTED_VALUE"""),"{}")</f>
        <v>{}</v>
      </c>
      <c r="J2241" s="148" t="str">
        <f>IFERROR(__xludf.DUMMYFUNCTION("""COMPUTED_VALUE"""),"{""typ"":""lc"",""txt"":""LC_ASSET_avatar_frame_name_37""}")</f>
        <v>{"typ":"lc","txt":"LC_ASSET_avatar_frame_name_37"}</v>
      </c>
      <c r="K2241" s="148" t="str">
        <f>IFERROR(__xludf.DUMMYFUNCTION("""COMPUTED_VALUE"""),"{""typ"":""lc"",""txt"":""LC_MENU_forever""}")</f>
        <v>{"typ":"lc","txt":"LC_MENU_forever"}</v>
      </c>
      <c r="L2241" s="148" t="str">
        <f>IFERROR(__xludf.DUMMYFUNCTION("""COMPUTED_VALUE"""),"{}")</f>
        <v>{}</v>
      </c>
      <c r="M2241" s="148">
        <f>IFERROR(__xludf.DUMMYFUNCTION("""COMPUTED_VALUE"""),1000.0)</f>
        <v>1000</v>
      </c>
      <c r="N2241" s="148">
        <f>IFERROR(__xludf.DUMMYFUNCTION("""COMPUTED_VALUE"""),99.0)</f>
        <v>99</v>
      </c>
      <c r="O2241" s="148">
        <f>IFERROR(__xludf.DUMMYFUNCTION("""COMPUTED_VALUE"""),1.0)</f>
        <v>1</v>
      </c>
      <c r="P2241" s="148">
        <f>IFERROR(__xludf.DUMMYFUNCTION("""COMPUTED_VALUE"""),1.0)</f>
        <v>1</v>
      </c>
      <c r="Q2241" s="148" t="str">
        <f>IFERROR(__xludf.DUMMYFUNCTION("""COMPUTED_VALUE"""),"[]")</f>
        <v>[]</v>
      </c>
      <c r="R2241" s="148" t="str">
        <f>IFERROR(__xludf.DUMMYFUNCTION("""COMPUTED_VALUE"""),"[""11421037""]")</f>
        <v>["11421037"]</v>
      </c>
      <c r="S2241" s="148" t="str">
        <f>IFERROR(__xludf.DUMMYFUNCTION("""COMPUTED_VALUE"""),"{""effect"":[{""typ"":""avatar_frame"",""id"":11421037,""val"":-1},{""typ"":""item"",""id"":11111031,""val"":1000}]}")</f>
        <v>{"effect":[{"typ":"avatar_frame","id":11421037,"val":-1},{"typ":"item","id":11111031,"val":1000}]}</v>
      </c>
      <c r="T2241" s="148">
        <f>IFERROR(__xludf.DUMMYFUNCTION("""COMPUTED_VALUE"""),-1.0)</f>
        <v>-1</v>
      </c>
      <c r="U2241" s="148">
        <f>IFERROR(__xludf.DUMMYFUNCTION("""COMPUTED_VALUE"""),1.0)</f>
        <v>1</v>
      </c>
      <c r="V2241" s="148" t="str">
        <f>IFERROR(__xludf.DUMMYFUNCTION("""COMPUTED_VALUE"""),"[]")</f>
        <v>[]</v>
      </c>
      <c r="W2241" s="148">
        <f>IFERROR(__xludf.DUMMYFUNCTION("""COMPUTED_VALUE"""),1.174E7)</f>
        <v>11740000</v>
      </c>
      <c r="X2241" s="148">
        <f>IFERROR(__xludf.DUMMYFUNCTION("""COMPUTED_VALUE"""),0.0)</f>
        <v>0</v>
      </c>
      <c r="Y2241" s="148">
        <f>IFERROR(__xludf.DUMMYFUNCTION("""COMPUTED_VALUE"""),0.0)</f>
        <v>0</v>
      </c>
      <c r="Z2241" s="148"/>
    </row>
    <row r="2242">
      <c r="A2242" s="148">
        <f>IFERROR(__xludf.DUMMYFUNCTION("""COMPUTED_VALUE"""),1.1119088E7)</f>
        <v>11119088</v>
      </c>
      <c r="B2242" s="148" t="str">
        <f>IFERROR(__xludf.DUMMYFUNCTION("""COMPUTED_VALUE"""),"铭牌-新人累冲")</f>
        <v>铭牌-新人累冲</v>
      </c>
      <c r="C2242" s="148"/>
      <c r="D2242" s="148" t="str">
        <f>IFERROR(__xludf.DUMMYFUNCTION("""COMPUTED_VALUE"""),"chat_skin")</f>
        <v>chat_skin</v>
      </c>
      <c r="E2242" s="148">
        <f>IFERROR(__xludf.DUMMYFUNCTION("""COMPUTED_VALUE"""),30.0)</f>
        <v>30</v>
      </c>
      <c r="F2242" s="148">
        <f>IFERROR(__xludf.DUMMYFUNCTION("""COMPUTED_VALUE"""),401107.0)</f>
        <v>401107</v>
      </c>
      <c r="G2242" s="148">
        <f>IFERROR(__xludf.DUMMYFUNCTION("""COMPUTED_VALUE"""),1.5119246E7)</f>
        <v>15119246</v>
      </c>
      <c r="H2242" s="148">
        <f>IFERROR(__xludf.DUMMYFUNCTION("""COMPUTED_VALUE"""),1.5112564E7)</f>
        <v>15112564</v>
      </c>
      <c r="I2242" s="148" t="str">
        <f>IFERROR(__xludf.DUMMYFUNCTION("""COMPUTED_VALUE"""),"{}")</f>
        <v>{}</v>
      </c>
      <c r="J2242" s="148" t="str">
        <f>IFERROR(__xludf.DUMMYFUNCTION("""COMPUTED_VALUE"""),"{""typ"":""lc"",""txt"":""LC_ITEM_iaprecharge_nameplate_name""}")</f>
        <v>{"typ":"lc","txt":"LC_ITEM_iaprecharge_nameplate_name"}</v>
      </c>
      <c r="K2242" s="148" t="str">
        <f>IFERROR(__xludf.DUMMYFUNCTION("""COMPUTED_VALUE"""),"{""typ"":""lc"",""txt"":""LC_ITEM_iaprecharge_nameplate_desc_item""}")</f>
        <v>{"typ":"lc","txt":"LC_ITEM_iaprecharge_nameplate_desc_item"}</v>
      </c>
      <c r="L2242" s="148" t="str">
        <f>IFERROR(__xludf.DUMMYFUNCTION("""COMPUTED_VALUE"""),"{""typ"":""lc"",""txt"":""LC_ITEM_season_extra_reward_usedtip""}")</f>
        <v>{"typ":"lc","txt":"LC_ITEM_season_extra_reward_usedtip"}</v>
      </c>
      <c r="M2242" s="148">
        <f>IFERROR(__xludf.DUMMYFUNCTION("""COMPUTED_VALUE"""),2500.0)</f>
        <v>2500</v>
      </c>
      <c r="N2242" s="148">
        <f>IFERROR(__xludf.DUMMYFUNCTION("""COMPUTED_VALUE"""),9999999.0)</f>
        <v>9999999</v>
      </c>
      <c r="O2242" s="148">
        <f>IFERROR(__xludf.DUMMYFUNCTION("""COMPUTED_VALUE"""),1.0)</f>
        <v>1</v>
      </c>
      <c r="P2242" s="148">
        <f>IFERROR(__xludf.DUMMYFUNCTION("""COMPUTED_VALUE"""),1.0)</f>
        <v>1</v>
      </c>
      <c r="Q2242" s="148" t="str">
        <f>IFERROR(__xludf.DUMMYFUNCTION("""COMPUTED_VALUE"""),"[""bag_other""]")</f>
        <v>["bag_other"]</v>
      </c>
      <c r="R2242" s="148" t="str">
        <f>IFERROR(__xludf.DUMMYFUNCTION("""COMPUTED_VALUE"""),"[""11731022"",""bag""]")</f>
        <v>["11731022","bag"]</v>
      </c>
      <c r="S2242" s="148" t="str">
        <f>IFERROR(__xludf.DUMMYFUNCTION("""COMPUTED_VALUE"""),"{""effect"":[{""typ"":""nameplate"",""id"":11731022,""val"":-1}]}")</f>
        <v>{"effect":[{"typ":"nameplate","id":11731022,"val":-1}]}</v>
      </c>
      <c r="T2242" s="148">
        <f>IFERROR(__xludf.DUMMYFUNCTION("""COMPUTED_VALUE"""),-1.0)</f>
        <v>-1</v>
      </c>
      <c r="U2242" s="148">
        <f>IFERROR(__xludf.DUMMYFUNCTION("""COMPUTED_VALUE"""),0.0)</f>
        <v>0</v>
      </c>
      <c r="V2242" s="148" t="str">
        <f>IFERROR(__xludf.DUMMYFUNCTION("""COMPUTED_VALUE"""),"[]")</f>
        <v>[]</v>
      </c>
      <c r="W2242" s="148">
        <f>IFERROR(__xludf.DUMMYFUNCTION("""COMPUTED_VALUE"""),1.174E7)</f>
        <v>11740000</v>
      </c>
      <c r="X2242" s="148">
        <f>IFERROR(__xludf.DUMMYFUNCTION("""COMPUTED_VALUE"""),0.0)</f>
        <v>0</v>
      </c>
      <c r="Y2242" s="148">
        <f>IFERROR(__xludf.DUMMYFUNCTION("""COMPUTED_VALUE"""),0.0)</f>
        <v>0</v>
      </c>
      <c r="Z2242" s="148"/>
    </row>
    <row r="2243">
      <c r="A2243" s="148">
        <f>IFERROR(__xludf.DUMMYFUNCTION("""COMPUTED_VALUE"""),1.1119089E7)</f>
        <v>11119089</v>
      </c>
      <c r="B2243" s="148" t="str">
        <f>IFERROR(__xludf.DUMMYFUNCTION("""COMPUTED_VALUE"""),"橙色随机收藏品宝箱-收藏品破冰连锁")</f>
        <v>橙色随机收藏品宝箱-收藏品破冰连锁</v>
      </c>
      <c r="C2243" s="148"/>
      <c r="D2243" s="148" t="str">
        <f>IFERROR(__xludf.DUMMYFUNCTION("""COMPUTED_VALUE"""),"item_asset")</f>
        <v>item_asset</v>
      </c>
      <c r="E2243" s="148">
        <f>IFERROR(__xludf.DUMMYFUNCTION("""COMPUTED_VALUE"""),19.0)</f>
        <v>19</v>
      </c>
      <c r="F2243" s="148">
        <f>IFERROR(__xludf.DUMMYFUNCTION("""COMPUTED_VALUE"""),403226.0)</f>
        <v>403226</v>
      </c>
      <c r="G2243" s="148">
        <f>IFERROR(__xludf.DUMMYFUNCTION("""COMPUTED_VALUE"""),1.5112492E7)</f>
        <v>15112492</v>
      </c>
      <c r="H2243" s="148">
        <f>IFERROR(__xludf.DUMMYFUNCTION("""COMPUTED_VALUE"""),1.5112564E7)</f>
        <v>15112564</v>
      </c>
      <c r="I2243" s="148" t="str">
        <f>IFERROR(__xludf.DUMMYFUNCTION("""COMPUTED_VALUE"""),"{}")</f>
        <v>{}</v>
      </c>
      <c r="J2243" s="148" t="str">
        <f>IFERROR(__xludf.DUMMYFUNCTION("""COMPUTED_VALUE"""),"{""typ"":""lc"",""txt"":""LC_ITEM_collection_chain_pkg_box""}")</f>
        <v>{"typ":"lc","txt":"LC_ITEM_collection_chain_pkg_box"}</v>
      </c>
      <c r="K2243" s="148" t="str">
        <f>IFERROR(__xludf.DUMMYFUNCTION("""COMPUTED_VALUE"""),"{""typ"":""lc"",""txt"":""LC_ITEM_collection_chain_pkg_box_desc""}")</f>
        <v>{"typ":"lc","txt":"LC_ITEM_collection_chain_pkg_box_desc"}</v>
      </c>
      <c r="L2243" s="148" t="str">
        <f>IFERROR(__xludf.DUMMYFUNCTION("""COMPUTED_VALUE"""),"{}")</f>
        <v>{}</v>
      </c>
      <c r="M2243" s="148">
        <f>IFERROR(__xludf.DUMMYFUNCTION("""COMPUTED_VALUE"""),2000.0)</f>
        <v>2000</v>
      </c>
      <c r="N2243" s="148">
        <f>IFERROR(__xludf.DUMMYFUNCTION("""COMPUTED_VALUE"""),999999.0)</f>
        <v>999999</v>
      </c>
      <c r="O2243" s="148">
        <f>IFERROR(__xludf.DUMMYFUNCTION("""COMPUTED_VALUE"""),99999.0)</f>
        <v>99999</v>
      </c>
      <c r="P2243" s="148">
        <f>IFERROR(__xludf.DUMMYFUNCTION("""COMPUTED_VALUE"""),99999.0)</f>
        <v>99999</v>
      </c>
      <c r="Q2243" s="148" t="str">
        <f>IFERROR(__xludf.DUMMYFUNCTION("""COMPUTED_VALUE"""),"[""bag_other""]")</f>
        <v>["bag_other"]</v>
      </c>
      <c r="R2243" s="148" t="str">
        <f>IFERROR(__xludf.DUMMYFUNCTION("""COMPUTED_VALUE"""),"[""bag""]")</f>
        <v>["bag"]</v>
      </c>
      <c r="S2243" s="148" t="str">
        <f>IFERROR(__xludf.DUMMYFUNCTION("""COMPUTED_VALUE"""),"{""drop"":{""typ"":""single_random"",""num"":1,""args"":[{""typ"":""collection"",""id"":11551031,""num"":1,""wgt"":100},{""typ"":""collection"",""id"":11551161,""num"":1,""wgt"":100},{""typ"":""collection"",""id"":11551141,""num"":1,""wgt"":100}]}}")</f>
        <v>{"drop":{"typ":"single_random","num":1,"args":[{"typ":"collection","id":11551031,"num":1,"wgt":100},{"typ":"collection","id":11551161,"num":1,"wgt":100},{"typ":"collection","id":11551141,"num":1,"wgt":100}]}}</v>
      </c>
      <c r="T2243" s="148">
        <f>IFERROR(__xludf.DUMMYFUNCTION("""COMPUTED_VALUE"""),1.0)</f>
        <v>1</v>
      </c>
      <c r="U2243" s="148">
        <f>IFERROR(__xludf.DUMMYFUNCTION("""COMPUTED_VALUE"""),1.0)</f>
        <v>1</v>
      </c>
      <c r="V2243" s="148" t="str">
        <f>IFERROR(__xludf.DUMMYFUNCTION("""COMPUTED_VALUE"""),"[]")</f>
        <v>[]</v>
      </c>
      <c r="W2243" s="148">
        <f>IFERROR(__xludf.DUMMYFUNCTION("""COMPUTED_VALUE"""),1.174E7)</f>
        <v>11740000</v>
      </c>
      <c r="X2243" s="148">
        <f>IFERROR(__xludf.DUMMYFUNCTION("""COMPUTED_VALUE"""),0.0)</f>
        <v>0</v>
      </c>
      <c r="Y2243" s="148">
        <f>IFERROR(__xludf.DUMMYFUNCTION("""COMPUTED_VALUE"""),0.0)</f>
        <v>0</v>
      </c>
      <c r="Z2243" s="148"/>
    </row>
    <row r="2244">
      <c r="A2244" s="148">
        <f>IFERROR(__xludf.DUMMYFUNCTION("""COMPUTED_VALUE"""),1.111909E7)</f>
        <v>11119090</v>
      </c>
      <c r="B2244" s="148" t="str">
        <f>IFERROR(__xludf.DUMMYFUNCTION("""COMPUTED_VALUE"""),"头像框-夏夜之梦")</f>
        <v>头像框-夏夜之梦</v>
      </c>
      <c r="C2244" s="148"/>
      <c r="D2244" s="148" t="str">
        <f>IFERROR(__xludf.DUMMYFUNCTION("""COMPUTED_VALUE"""),"avatar_frame")</f>
        <v>avatar_frame</v>
      </c>
      <c r="E2244" s="148">
        <f>IFERROR(__xludf.DUMMYFUNCTION("""COMPUTED_VALUE"""),20.0)</f>
        <v>20</v>
      </c>
      <c r="F2244" s="148">
        <f>IFERROR(__xludf.DUMMYFUNCTION("""COMPUTED_VALUE"""),0.0)</f>
        <v>0</v>
      </c>
      <c r="G2244" s="148">
        <f>IFERROR(__xludf.DUMMYFUNCTION("""COMPUTED_VALUE"""),1.511932E7)</f>
        <v>15119320</v>
      </c>
      <c r="H2244" s="148">
        <f>IFERROR(__xludf.DUMMYFUNCTION("""COMPUTED_VALUE"""),1.5112563E7)</f>
        <v>15112563</v>
      </c>
      <c r="I2244" s="148" t="str">
        <f>IFERROR(__xludf.DUMMYFUNCTION("""COMPUTED_VALUE"""),"{}")</f>
        <v>{}</v>
      </c>
      <c r="J2244" s="148" t="str">
        <f>IFERROR(__xludf.DUMMYFUNCTION("""COMPUTED_VALUE"""),"{""typ"":""lc"",""txt"":""LC_ASSET_avatar_frame_name_38""}")</f>
        <v>{"typ":"lc","txt":"LC_ASSET_avatar_frame_name_38"}</v>
      </c>
      <c r="K2244" s="148" t="str">
        <f>IFERROR(__xludf.DUMMYFUNCTION("""COMPUTED_VALUE"""),"{""typ"":""lc"",""txt"":""LC_MENU_forever""}")</f>
        <v>{"typ":"lc","txt":"LC_MENU_forever"}</v>
      </c>
      <c r="L2244" s="148" t="str">
        <f>IFERROR(__xludf.DUMMYFUNCTION("""COMPUTED_VALUE"""),"{}")</f>
        <v>{}</v>
      </c>
      <c r="M2244" s="148">
        <f>IFERROR(__xludf.DUMMYFUNCTION("""COMPUTED_VALUE"""),1000.0)</f>
        <v>1000</v>
      </c>
      <c r="N2244" s="148">
        <f>IFERROR(__xludf.DUMMYFUNCTION("""COMPUTED_VALUE"""),99.0)</f>
        <v>99</v>
      </c>
      <c r="O2244" s="148">
        <f>IFERROR(__xludf.DUMMYFUNCTION("""COMPUTED_VALUE"""),1.0)</f>
        <v>1</v>
      </c>
      <c r="P2244" s="148">
        <f>IFERROR(__xludf.DUMMYFUNCTION("""COMPUTED_VALUE"""),1.0)</f>
        <v>1</v>
      </c>
      <c r="Q2244" s="148" t="str">
        <f>IFERROR(__xludf.DUMMYFUNCTION("""COMPUTED_VALUE"""),"[]")</f>
        <v>[]</v>
      </c>
      <c r="R2244" s="148" t="str">
        <f>IFERROR(__xludf.DUMMYFUNCTION("""COMPUTED_VALUE"""),"[""11421038""]")</f>
        <v>["11421038"]</v>
      </c>
      <c r="S2244" s="148" t="str">
        <f>IFERROR(__xludf.DUMMYFUNCTION("""COMPUTED_VALUE"""),"{""effect"":[{""typ"":""avatar_frame"",""id"":11421038,""val"":-1},{""typ"":""item"",""id"":11111031,""val"":1000}]}")</f>
        <v>{"effect":[{"typ":"avatar_frame","id":11421038,"val":-1},{"typ":"item","id":11111031,"val":1000}]}</v>
      </c>
      <c r="T2244" s="148">
        <f>IFERROR(__xludf.DUMMYFUNCTION("""COMPUTED_VALUE"""),-1.0)</f>
        <v>-1</v>
      </c>
      <c r="U2244" s="148">
        <f>IFERROR(__xludf.DUMMYFUNCTION("""COMPUTED_VALUE"""),1.0)</f>
        <v>1</v>
      </c>
      <c r="V2244" s="148" t="str">
        <f>IFERROR(__xludf.DUMMYFUNCTION("""COMPUTED_VALUE"""),"[]")</f>
        <v>[]</v>
      </c>
      <c r="W2244" s="148">
        <f>IFERROR(__xludf.DUMMYFUNCTION("""COMPUTED_VALUE"""),1.174E7)</f>
        <v>11740000</v>
      </c>
      <c r="X2244" s="148">
        <f>IFERROR(__xludf.DUMMYFUNCTION("""COMPUTED_VALUE"""),0.0)</f>
        <v>0</v>
      </c>
      <c r="Y2244" s="148">
        <f>IFERROR(__xludf.DUMMYFUNCTION("""COMPUTED_VALUE"""),0.0)</f>
        <v>0</v>
      </c>
      <c r="Z2244" s="148"/>
    </row>
    <row r="2245">
      <c r="A2245" s="148">
        <f>IFERROR(__xludf.DUMMYFUNCTION("""COMPUTED_VALUE"""),1.1119091E7)</f>
        <v>11119091</v>
      </c>
      <c r="B2245" s="148" t="str">
        <f>IFERROR(__xludf.DUMMYFUNCTION("""COMPUTED_VALUE"""),"头像框-滑稽小丑")</f>
        <v>头像框-滑稽小丑</v>
      </c>
      <c r="C2245" s="148"/>
      <c r="D2245" s="148" t="str">
        <f>IFERROR(__xludf.DUMMYFUNCTION("""COMPUTED_VALUE"""),"avatar_frame")</f>
        <v>avatar_frame</v>
      </c>
      <c r="E2245" s="148">
        <f>IFERROR(__xludf.DUMMYFUNCTION("""COMPUTED_VALUE"""),20.0)</f>
        <v>20</v>
      </c>
      <c r="F2245" s="148">
        <f>IFERROR(__xludf.DUMMYFUNCTION("""COMPUTED_VALUE"""),0.0)</f>
        <v>0</v>
      </c>
      <c r="G2245" s="148">
        <f>IFERROR(__xludf.DUMMYFUNCTION("""COMPUTED_VALUE"""),1.5119321E7)</f>
        <v>15119321</v>
      </c>
      <c r="H2245" s="148">
        <f>IFERROR(__xludf.DUMMYFUNCTION("""COMPUTED_VALUE"""),1.5112563E7)</f>
        <v>15112563</v>
      </c>
      <c r="I2245" s="148" t="str">
        <f>IFERROR(__xludf.DUMMYFUNCTION("""COMPUTED_VALUE"""),"{}")</f>
        <v>{}</v>
      </c>
      <c r="J2245" s="148" t="str">
        <f>IFERROR(__xludf.DUMMYFUNCTION("""COMPUTED_VALUE"""),"{""typ"":""lc"",""txt"":""LC_ASSET_avatar_frame_name_39""}")</f>
        <v>{"typ":"lc","txt":"LC_ASSET_avatar_frame_name_39"}</v>
      </c>
      <c r="K2245" s="148" t="str">
        <f>IFERROR(__xludf.DUMMYFUNCTION("""COMPUTED_VALUE"""),"{""typ"":""lc"",""txt"":""LC_MENU_forever""}")</f>
        <v>{"typ":"lc","txt":"LC_MENU_forever"}</v>
      </c>
      <c r="L2245" s="148" t="str">
        <f>IFERROR(__xludf.DUMMYFUNCTION("""COMPUTED_VALUE"""),"{}")</f>
        <v>{}</v>
      </c>
      <c r="M2245" s="148">
        <f>IFERROR(__xludf.DUMMYFUNCTION("""COMPUTED_VALUE"""),1000.0)</f>
        <v>1000</v>
      </c>
      <c r="N2245" s="148">
        <f>IFERROR(__xludf.DUMMYFUNCTION("""COMPUTED_VALUE"""),99.0)</f>
        <v>99</v>
      </c>
      <c r="O2245" s="148">
        <f>IFERROR(__xludf.DUMMYFUNCTION("""COMPUTED_VALUE"""),1.0)</f>
        <v>1</v>
      </c>
      <c r="P2245" s="148">
        <f>IFERROR(__xludf.DUMMYFUNCTION("""COMPUTED_VALUE"""),1.0)</f>
        <v>1</v>
      </c>
      <c r="Q2245" s="148" t="str">
        <f>IFERROR(__xludf.DUMMYFUNCTION("""COMPUTED_VALUE"""),"[]")</f>
        <v>[]</v>
      </c>
      <c r="R2245" s="148" t="str">
        <f>IFERROR(__xludf.DUMMYFUNCTION("""COMPUTED_VALUE"""),"[""11421039""]")</f>
        <v>["11421039"]</v>
      </c>
      <c r="S2245" s="148" t="str">
        <f>IFERROR(__xludf.DUMMYFUNCTION("""COMPUTED_VALUE"""),"{""effect"":[{""typ"":""avatar_frame"",""id"":11421039,""val"":-1},{""typ"":""item"",""id"":11111031,""val"":1000}]}")</f>
        <v>{"effect":[{"typ":"avatar_frame","id":11421039,"val":-1},{"typ":"item","id":11111031,"val":1000}]}</v>
      </c>
      <c r="T2245" s="148">
        <f>IFERROR(__xludf.DUMMYFUNCTION("""COMPUTED_VALUE"""),-1.0)</f>
        <v>-1</v>
      </c>
      <c r="U2245" s="148">
        <f>IFERROR(__xludf.DUMMYFUNCTION("""COMPUTED_VALUE"""),1.0)</f>
        <v>1</v>
      </c>
      <c r="V2245" s="148" t="str">
        <f>IFERROR(__xludf.DUMMYFUNCTION("""COMPUTED_VALUE"""),"[]")</f>
        <v>[]</v>
      </c>
      <c r="W2245" s="148">
        <f>IFERROR(__xludf.DUMMYFUNCTION("""COMPUTED_VALUE"""),1.174E7)</f>
        <v>11740000</v>
      </c>
      <c r="X2245" s="148">
        <f>IFERROR(__xludf.DUMMYFUNCTION("""COMPUTED_VALUE"""),0.0)</f>
        <v>0</v>
      </c>
      <c r="Y2245" s="148">
        <f>IFERROR(__xludf.DUMMYFUNCTION("""COMPUTED_VALUE"""),0.0)</f>
        <v>0</v>
      </c>
      <c r="Z2245" s="148"/>
    </row>
    <row r="2246">
      <c r="A2246" s="148">
        <f>IFERROR(__xludf.DUMMYFUNCTION("""COMPUTED_VALUE"""),1.1119092E7)</f>
        <v>11119092</v>
      </c>
      <c r="B2246" s="148" t="str">
        <f>IFERROR(__xludf.DUMMYFUNCTION("""COMPUTED_VALUE"""),"头像框-摇滚巨猩")</f>
        <v>头像框-摇滚巨猩</v>
      </c>
      <c r="C2246" s="148"/>
      <c r="D2246" s="148" t="str">
        <f>IFERROR(__xludf.DUMMYFUNCTION("""COMPUTED_VALUE"""),"avatar_frame")</f>
        <v>avatar_frame</v>
      </c>
      <c r="E2246" s="148">
        <f>IFERROR(__xludf.DUMMYFUNCTION("""COMPUTED_VALUE"""),20.0)</f>
        <v>20</v>
      </c>
      <c r="F2246" s="148">
        <f>IFERROR(__xludf.DUMMYFUNCTION("""COMPUTED_VALUE"""),0.0)</f>
        <v>0</v>
      </c>
      <c r="G2246" s="148">
        <f>IFERROR(__xludf.DUMMYFUNCTION("""COMPUTED_VALUE"""),1.5119322E7)</f>
        <v>15119322</v>
      </c>
      <c r="H2246" s="148">
        <f>IFERROR(__xludf.DUMMYFUNCTION("""COMPUTED_VALUE"""),1.5112563E7)</f>
        <v>15112563</v>
      </c>
      <c r="I2246" s="148" t="str">
        <f>IFERROR(__xludf.DUMMYFUNCTION("""COMPUTED_VALUE"""),"{}")</f>
        <v>{}</v>
      </c>
      <c r="J2246" s="148" t="str">
        <f>IFERROR(__xludf.DUMMYFUNCTION("""COMPUTED_VALUE"""),"{""typ"":""lc"",""txt"":""LC_ASSET_avatar_frame_name_40""}")</f>
        <v>{"typ":"lc","txt":"LC_ASSET_avatar_frame_name_40"}</v>
      </c>
      <c r="K2246" s="148" t="str">
        <f>IFERROR(__xludf.DUMMYFUNCTION("""COMPUTED_VALUE"""),"{""typ"":""lc"",""txt"":""LC_MENU_forever""}")</f>
        <v>{"typ":"lc","txt":"LC_MENU_forever"}</v>
      </c>
      <c r="L2246" s="148" t="str">
        <f>IFERROR(__xludf.DUMMYFUNCTION("""COMPUTED_VALUE"""),"{}")</f>
        <v>{}</v>
      </c>
      <c r="M2246" s="148">
        <f>IFERROR(__xludf.DUMMYFUNCTION("""COMPUTED_VALUE"""),1000.0)</f>
        <v>1000</v>
      </c>
      <c r="N2246" s="148">
        <f>IFERROR(__xludf.DUMMYFUNCTION("""COMPUTED_VALUE"""),99.0)</f>
        <v>99</v>
      </c>
      <c r="O2246" s="148">
        <f>IFERROR(__xludf.DUMMYFUNCTION("""COMPUTED_VALUE"""),1.0)</f>
        <v>1</v>
      </c>
      <c r="P2246" s="148">
        <f>IFERROR(__xludf.DUMMYFUNCTION("""COMPUTED_VALUE"""),1.0)</f>
        <v>1</v>
      </c>
      <c r="Q2246" s="148" t="str">
        <f>IFERROR(__xludf.DUMMYFUNCTION("""COMPUTED_VALUE"""),"[]")</f>
        <v>[]</v>
      </c>
      <c r="R2246" s="148" t="str">
        <f>IFERROR(__xludf.DUMMYFUNCTION("""COMPUTED_VALUE"""),"[""11421040""]")</f>
        <v>["11421040"]</v>
      </c>
      <c r="S2246" s="148" t="str">
        <f>IFERROR(__xludf.DUMMYFUNCTION("""COMPUTED_VALUE"""),"{""effect"":[{""typ"":""avatar_frame"",""id"":11421040,""val"":-1},{""typ"":""item"",""id"":11111031,""val"":1000}]}")</f>
        <v>{"effect":[{"typ":"avatar_frame","id":11421040,"val":-1},{"typ":"item","id":11111031,"val":1000}]}</v>
      </c>
      <c r="T2246" s="148">
        <f>IFERROR(__xludf.DUMMYFUNCTION("""COMPUTED_VALUE"""),-1.0)</f>
        <v>-1</v>
      </c>
      <c r="U2246" s="148">
        <f>IFERROR(__xludf.DUMMYFUNCTION("""COMPUTED_VALUE"""),1.0)</f>
        <v>1</v>
      </c>
      <c r="V2246" s="148" t="str">
        <f>IFERROR(__xludf.DUMMYFUNCTION("""COMPUTED_VALUE"""),"[]")</f>
        <v>[]</v>
      </c>
      <c r="W2246" s="148">
        <f>IFERROR(__xludf.DUMMYFUNCTION("""COMPUTED_VALUE"""),1.174E7)</f>
        <v>11740000</v>
      </c>
      <c r="X2246" s="148">
        <f>IFERROR(__xludf.DUMMYFUNCTION("""COMPUTED_VALUE"""),0.0)</f>
        <v>0</v>
      </c>
      <c r="Y2246" s="148">
        <f>IFERROR(__xludf.DUMMYFUNCTION("""COMPUTED_VALUE"""),0.0)</f>
        <v>0</v>
      </c>
      <c r="Z2246" s="148"/>
    </row>
    <row r="2247">
      <c r="A2247" s="148">
        <f>IFERROR(__xludf.DUMMYFUNCTION("""COMPUTED_VALUE"""),1.1119093E7)</f>
        <v>11119093</v>
      </c>
      <c r="B2247" s="148" t="str">
        <f>IFERROR(__xludf.DUMMYFUNCTION("""COMPUTED_VALUE"""),"行军表情-静态-大笑")</f>
        <v>行军表情-静态-大笑</v>
      </c>
      <c r="C2247" s="148"/>
      <c r="D2247" s="148" t="str">
        <f>IFERROR(__xludf.DUMMYFUNCTION("""COMPUTED_VALUE"""),"map_emoji")</f>
        <v>map_emoji</v>
      </c>
      <c r="E2247" s="148">
        <f>IFERROR(__xludf.DUMMYFUNCTION("""COMPUTED_VALUE"""),20.0)</f>
        <v>20</v>
      </c>
      <c r="F2247" s="148">
        <f>IFERROR(__xludf.DUMMYFUNCTION("""COMPUTED_VALUE"""),0.0)</f>
        <v>0</v>
      </c>
      <c r="G2247" s="148">
        <f>IFERROR(__xludf.DUMMYFUNCTION("""COMPUTED_VALUE"""),1.5119338E7)</f>
        <v>15119338</v>
      </c>
      <c r="H2247" s="148">
        <f>IFERROR(__xludf.DUMMYFUNCTION("""COMPUTED_VALUE"""),1.5112563E7)</f>
        <v>15112563</v>
      </c>
      <c r="I2247" s="148" t="str">
        <f>IFERROR(__xludf.DUMMYFUNCTION("""COMPUTED_VALUE"""),"{}")</f>
        <v>{}</v>
      </c>
      <c r="J2247" s="148" t="str">
        <f>IFERROR(__xludf.DUMMYFUNCTION("""COMPUTED_VALUE"""),"{""typ"":""lc"",""txt"":""LC_ITEM_map_emoji_laugh""}")</f>
        <v>{"typ":"lc","txt":"LC_ITEM_map_emoji_laugh"}</v>
      </c>
      <c r="K2247" s="148" t="str">
        <f>IFERROR(__xludf.DUMMYFUNCTION("""COMPUTED_VALUE"""),"{""typ"":""lc"",""txt"":""LC_ITEM_map_emoji_laugh_desc""}")</f>
        <v>{"typ":"lc","txt":"LC_ITEM_map_emoji_laugh_desc"}</v>
      </c>
      <c r="L2247" s="148" t="str">
        <f>IFERROR(__xludf.DUMMYFUNCTION("""COMPUTED_VALUE"""),"{}")</f>
        <v>{}</v>
      </c>
      <c r="M2247" s="148">
        <f>IFERROR(__xludf.DUMMYFUNCTION("""COMPUTED_VALUE"""),1000.0)</f>
        <v>1000</v>
      </c>
      <c r="N2247" s="148">
        <f>IFERROR(__xludf.DUMMYFUNCTION("""COMPUTED_VALUE"""),99.0)</f>
        <v>99</v>
      </c>
      <c r="O2247" s="148">
        <f>IFERROR(__xludf.DUMMYFUNCTION("""COMPUTED_VALUE"""),1.0)</f>
        <v>1</v>
      </c>
      <c r="P2247" s="148">
        <f>IFERROR(__xludf.DUMMYFUNCTION("""COMPUTED_VALUE"""),1.0)</f>
        <v>1</v>
      </c>
      <c r="Q2247" s="148" t="str">
        <f>IFERROR(__xludf.DUMMYFUNCTION("""COMPUTED_VALUE"""),"[]")</f>
        <v>[]</v>
      </c>
      <c r="R2247" s="148" t="str">
        <f>IFERROR(__xludf.DUMMYFUNCTION("""COMPUTED_VALUE"""),"[]")</f>
        <v>[]</v>
      </c>
      <c r="S2247" s="148" t="str">
        <f>IFERROR(__xludf.DUMMYFUNCTION("""COMPUTED_VALUE"""),"{""effect"":[{""typ"":""map_emoji"",""id"":11800001,""val"":-1}]}")</f>
        <v>{"effect":[{"typ":"map_emoji","id":11800001,"val":-1}]}</v>
      </c>
      <c r="T2247" s="148">
        <f>IFERROR(__xludf.DUMMYFUNCTION("""COMPUTED_VALUE"""),-1.0)</f>
        <v>-1</v>
      </c>
      <c r="U2247" s="148">
        <f>IFERROR(__xludf.DUMMYFUNCTION("""COMPUTED_VALUE"""),1.0)</f>
        <v>1</v>
      </c>
      <c r="V2247" s="148" t="str">
        <f>IFERROR(__xludf.DUMMYFUNCTION("""COMPUTED_VALUE"""),"[]")</f>
        <v>[]</v>
      </c>
      <c r="W2247" s="148">
        <f>IFERROR(__xludf.DUMMYFUNCTION("""COMPUTED_VALUE"""),1.174E7)</f>
        <v>11740000</v>
      </c>
      <c r="X2247" s="148">
        <f>IFERROR(__xludf.DUMMYFUNCTION("""COMPUTED_VALUE"""),0.0)</f>
        <v>0</v>
      </c>
      <c r="Y2247" s="148">
        <f>IFERROR(__xludf.DUMMYFUNCTION("""COMPUTED_VALUE"""),0.0)</f>
        <v>0</v>
      </c>
      <c r="Z2247" s="148"/>
    </row>
    <row r="2248">
      <c r="A2248" s="148">
        <f>IFERROR(__xludf.DUMMYFUNCTION("""COMPUTED_VALUE"""),1.1119094E7)</f>
        <v>11119094</v>
      </c>
      <c r="B2248" s="148" t="str">
        <f>IFERROR(__xludf.DUMMYFUNCTION("""COMPUTED_VALUE"""),"行军表情-静态-打招呼")</f>
        <v>行军表情-静态-打招呼</v>
      </c>
      <c r="C2248" s="148"/>
      <c r="D2248" s="148" t="str">
        <f>IFERROR(__xludf.DUMMYFUNCTION("""COMPUTED_VALUE"""),"map_emoji")</f>
        <v>map_emoji</v>
      </c>
      <c r="E2248" s="148">
        <f>IFERROR(__xludf.DUMMYFUNCTION("""COMPUTED_VALUE"""),20.0)</f>
        <v>20</v>
      </c>
      <c r="F2248" s="148">
        <f>IFERROR(__xludf.DUMMYFUNCTION("""COMPUTED_VALUE"""),0.0)</f>
        <v>0</v>
      </c>
      <c r="G2248" s="148">
        <f>IFERROR(__xludf.DUMMYFUNCTION("""COMPUTED_VALUE"""),1.5119339E7)</f>
        <v>15119339</v>
      </c>
      <c r="H2248" s="148">
        <f>IFERROR(__xludf.DUMMYFUNCTION("""COMPUTED_VALUE"""),1.5112563E7)</f>
        <v>15112563</v>
      </c>
      <c r="I2248" s="148" t="str">
        <f>IFERROR(__xludf.DUMMYFUNCTION("""COMPUTED_VALUE"""),"{}")</f>
        <v>{}</v>
      </c>
      <c r="J2248" s="148" t="str">
        <f>IFERROR(__xludf.DUMMYFUNCTION("""COMPUTED_VALUE"""),"{""typ"":""lc"",""txt"":""LC_ITEM_map_emoji_hello""}")</f>
        <v>{"typ":"lc","txt":"LC_ITEM_map_emoji_hello"}</v>
      </c>
      <c r="K2248" s="148" t="str">
        <f>IFERROR(__xludf.DUMMYFUNCTION("""COMPUTED_VALUE"""),"{""typ"":""lc"",""txt"":""LC_ITEM_map_emoji_hello_desc""}")</f>
        <v>{"typ":"lc","txt":"LC_ITEM_map_emoji_hello_desc"}</v>
      </c>
      <c r="L2248" s="148" t="str">
        <f>IFERROR(__xludf.DUMMYFUNCTION("""COMPUTED_VALUE"""),"{}")</f>
        <v>{}</v>
      </c>
      <c r="M2248" s="148">
        <f>IFERROR(__xludf.DUMMYFUNCTION("""COMPUTED_VALUE"""),1000.0)</f>
        <v>1000</v>
      </c>
      <c r="N2248" s="148">
        <f>IFERROR(__xludf.DUMMYFUNCTION("""COMPUTED_VALUE"""),99.0)</f>
        <v>99</v>
      </c>
      <c r="O2248" s="148">
        <f>IFERROR(__xludf.DUMMYFUNCTION("""COMPUTED_VALUE"""),1.0)</f>
        <v>1</v>
      </c>
      <c r="P2248" s="148">
        <f>IFERROR(__xludf.DUMMYFUNCTION("""COMPUTED_VALUE"""),1.0)</f>
        <v>1</v>
      </c>
      <c r="Q2248" s="148" t="str">
        <f>IFERROR(__xludf.DUMMYFUNCTION("""COMPUTED_VALUE"""),"[]")</f>
        <v>[]</v>
      </c>
      <c r="R2248" s="148" t="str">
        <f>IFERROR(__xludf.DUMMYFUNCTION("""COMPUTED_VALUE"""),"[]")</f>
        <v>[]</v>
      </c>
      <c r="S2248" s="148" t="str">
        <f>IFERROR(__xludf.DUMMYFUNCTION("""COMPUTED_VALUE"""),"{""effect"":[{""typ"":""map_emoji"",""id"":11800002,""val"":-1}]}")</f>
        <v>{"effect":[{"typ":"map_emoji","id":11800002,"val":-1}]}</v>
      </c>
      <c r="T2248" s="148">
        <f>IFERROR(__xludf.DUMMYFUNCTION("""COMPUTED_VALUE"""),-1.0)</f>
        <v>-1</v>
      </c>
      <c r="U2248" s="148">
        <f>IFERROR(__xludf.DUMMYFUNCTION("""COMPUTED_VALUE"""),1.0)</f>
        <v>1</v>
      </c>
      <c r="V2248" s="148" t="str">
        <f>IFERROR(__xludf.DUMMYFUNCTION("""COMPUTED_VALUE"""),"[]")</f>
        <v>[]</v>
      </c>
      <c r="W2248" s="148">
        <f>IFERROR(__xludf.DUMMYFUNCTION("""COMPUTED_VALUE"""),1.174E7)</f>
        <v>11740000</v>
      </c>
      <c r="X2248" s="148">
        <f>IFERROR(__xludf.DUMMYFUNCTION("""COMPUTED_VALUE"""),0.0)</f>
        <v>0</v>
      </c>
      <c r="Y2248" s="148">
        <f>IFERROR(__xludf.DUMMYFUNCTION("""COMPUTED_VALUE"""),0.0)</f>
        <v>0</v>
      </c>
      <c r="Z2248" s="148"/>
    </row>
    <row r="2249">
      <c r="A2249" s="148">
        <f>IFERROR(__xludf.DUMMYFUNCTION("""COMPUTED_VALUE"""),1.1119095E7)</f>
        <v>11119095</v>
      </c>
      <c r="B2249" s="148" t="str">
        <f>IFERROR(__xludf.DUMMYFUNCTION("""COMPUTED_VALUE"""),"行军表情-动态-点赞")</f>
        <v>行军表情-动态-点赞</v>
      </c>
      <c r="C2249" s="148"/>
      <c r="D2249" s="148" t="str">
        <f>IFERROR(__xludf.DUMMYFUNCTION("""COMPUTED_VALUE"""),"map_emoji")</f>
        <v>map_emoji</v>
      </c>
      <c r="E2249" s="148">
        <f>IFERROR(__xludf.DUMMYFUNCTION("""COMPUTED_VALUE"""),20.0)</f>
        <v>20</v>
      </c>
      <c r="F2249" s="148">
        <f>IFERROR(__xludf.DUMMYFUNCTION("""COMPUTED_VALUE"""),0.0)</f>
        <v>0</v>
      </c>
      <c r="G2249" s="148">
        <f>IFERROR(__xludf.DUMMYFUNCTION("""COMPUTED_VALUE"""),1.511934E7)</f>
        <v>15119340</v>
      </c>
      <c r="H2249" s="148">
        <f>IFERROR(__xludf.DUMMYFUNCTION("""COMPUTED_VALUE"""),1.5112564E7)</f>
        <v>15112564</v>
      </c>
      <c r="I2249" s="148" t="str">
        <f>IFERROR(__xludf.DUMMYFUNCTION("""COMPUTED_VALUE"""),"{}")</f>
        <v>{}</v>
      </c>
      <c r="J2249" s="148" t="str">
        <f>IFERROR(__xludf.DUMMYFUNCTION("""COMPUTED_VALUE"""),"{""typ"":""lc"",""txt"":""LC_ITEM_map_emoji_like""}")</f>
        <v>{"typ":"lc","txt":"LC_ITEM_map_emoji_like"}</v>
      </c>
      <c r="K2249" s="148" t="str">
        <f>IFERROR(__xludf.DUMMYFUNCTION("""COMPUTED_VALUE"""),"{""typ"":""lc"",""txt"":""LC_ITEM_map_emoji_like_desc""}")</f>
        <v>{"typ":"lc","txt":"LC_ITEM_map_emoji_like_desc"}</v>
      </c>
      <c r="L2249" s="148" t="str">
        <f>IFERROR(__xludf.DUMMYFUNCTION("""COMPUTED_VALUE"""),"{}")</f>
        <v>{}</v>
      </c>
      <c r="M2249" s="148">
        <f>IFERROR(__xludf.DUMMYFUNCTION("""COMPUTED_VALUE"""),1000.0)</f>
        <v>1000</v>
      </c>
      <c r="N2249" s="148">
        <f>IFERROR(__xludf.DUMMYFUNCTION("""COMPUTED_VALUE"""),99.0)</f>
        <v>99</v>
      </c>
      <c r="O2249" s="148">
        <f>IFERROR(__xludf.DUMMYFUNCTION("""COMPUTED_VALUE"""),1.0)</f>
        <v>1</v>
      </c>
      <c r="P2249" s="148">
        <f>IFERROR(__xludf.DUMMYFUNCTION("""COMPUTED_VALUE"""),1.0)</f>
        <v>1</v>
      </c>
      <c r="Q2249" s="148" t="str">
        <f>IFERROR(__xludf.DUMMYFUNCTION("""COMPUTED_VALUE"""),"[]")</f>
        <v>[]</v>
      </c>
      <c r="R2249" s="148" t="str">
        <f>IFERROR(__xludf.DUMMYFUNCTION("""COMPUTED_VALUE"""),"[]")</f>
        <v>[]</v>
      </c>
      <c r="S2249" s="148" t="str">
        <f>IFERROR(__xludf.DUMMYFUNCTION("""COMPUTED_VALUE"""),"{""effect"":[{""typ"":""map_emoji"",""id"":11800003,""val"":-1}]}")</f>
        <v>{"effect":[{"typ":"map_emoji","id":11800003,"val":-1}]}</v>
      </c>
      <c r="T2249" s="148">
        <f>IFERROR(__xludf.DUMMYFUNCTION("""COMPUTED_VALUE"""),-1.0)</f>
        <v>-1</v>
      </c>
      <c r="U2249" s="148">
        <f>IFERROR(__xludf.DUMMYFUNCTION("""COMPUTED_VALUE"""),1.0)</f>
        <v>1</v>
      </c>
      <c r="V2249" s="148" t="str">
        <f>IFERROR(__xludf.DUMMYFUNCTION("""COMPUTED_VALUE"""),"[]")</f>
        <v>[]</v>
      </c>
      <c r="W2249" s="148">
        <f>IFERROR(__xludf.DUMMYFUNCTION("""COMPUTED_VALUE"""),1.174E7)</f>
        <v>11740000</v>
      </c>
      <c r="X2249" s="148">
        <f>IFERROR(__xludf.DUMMYFUNCTION("""COMPUTED_VALUE"""),0.0)</f>
        <v>0</v>
      </c>
      <c r="Y2249" s="148">
        <f>IFERROR(__xludf.DUMMYFUNCTION("""COMPUTED_VALUE"""),0.0)</f>
        <v>0</v>
      </c>
      <c r="Z2249" s="148"/>
    </row>
    <row r="2250">
      <c r="A2250" s="148">
        <f>IFERROR(__xludf.DUMMYFUNCTION("""COMPUTED_VALUE"""),1.1119096E7)</f>
        <v>11119096</v>
      </c>
      <c r="B2250" s="148" t="str">
        <f>IFERROR(__xludf.DUMMYFUNCTION("""COMPUTED_VALUE"""),"雷达购买次数道具")</f>
        <v>雷达购买次数道具</v>
      </c>
      <c r="C2250" s="148"/>
      <c r="D2250" s="148" t="str">
        <f>IFERROR(__xludf.DUMMYFUNCTION("""COMPUTED_VALUE"""),"radar")</f>
        <v>radar</v>
      </c>
      <c r="E2250" s="148">
        <f>IFERROR(__xludf.DUMMYFUNCTION("""COMPUTED_VALUE"""),0.0)</f>
        <v>0</v>
      </c>
      <c r="F2250" s="148">
        <f>IFERROR(__xludf.DUMMYFUNCTION("""COMPUTED_VALUE"""),403226.0)</f>
        <v>403226</v>
      </c>
      <c r="G2250" s="148">
        <f>IFERROR(__xludf.DUMMYFUNCTION("""COMPUTED_VALUE"""),1.5119318E7)</f>
        <v>15119318</v>
      </c>
      <c r="H2250" s="148">
        <f>IFERROR(__xludf.DUMMYFUNCTION("""COMPUTED_VALUE"""),1.5112564E7)</f>
        <v>15112564</v>
      </c>
      <c r="I2250" s="148" t="str">
        <f>IFERROR(__xludf.DUMMYFUNCTION("""COMPUTED_VALUE"""),"{}")</f>
        <v>{}</v>
      </c>
      <c r="J2250" s="148" t="str">
        <f>IFERROR(__xludf.DUMMYFUNCTION("""COMPUTED_VALUE"""),"{""typ"":""lc"",""txt"":""LC_EVENT_radar_task_times_pack""}")</f>
        <v>{"typ":"lc","txt":"LC_EVENT_radar_task_times_pack"}</v>
      </c>
      <c r="K2250" s="148" t="str">
        <f>IFERROR(__xludf.DUMMYFUNCTION("""COMPUTED_VALUE"""),"{""typ"":""lc"",""txt"":""LC_EVENT_radar_task_times_desc""}")</f>
        <v>{"typ":"lc","txt":"LC_EVENT_radar_task_times_desc"}</v>
      </c>
      <c r="L2250" s="148" t="str">
        <f>IFERROR(__xludf.DUMMYFUNCTION("""COMPUTED_VALUE"""),"{}")</f>
        <v>{}</v>
      </c>
      <c r="M2250" s="148">
        <f>IFERROR(__xludf.DUMMYFUNCTION("""COMPUTED_VALUE"""),63.0)</f>
        <v>63</v>
      </c>
      <c r="N2250" s="148">
        <f>IFERROR(__xludf.DUMMYFUNCTION("""COMPUTED_VALUE"""),20.0)</f>
        <v>20</v>
      </c>
      <c r="O2250" s="148">
        <f>IFERROR(__xludf.DUMMYFUNCTION("""COMPUTED_VALUE"""),20.0)</f>
        <v>20</v>
      </c>
      <c r="P2250" s="148">
        <f>IFERROR(__xludf.DUMMYFUNCTION("""COMPUTED_VALUE"""),20.0)</f>
        <v>20</v>
      </c>
      <c r="Q2250" s="148" t="str">
        <f>IFERROR(__xludf.DUMMYFUNCTION("""COMPUTED_VALUE"""),"[]")</f>
        <v>[]</v>
      </c>
      <c r="R2250" s="148" t="str">
        <f>IFERROR(__xludf.DUMMYFUNCTION("""COMPUTED_VALUE"""),"[]")</f>
        <v>[]</v>
      </c>
      <c r="S2250" s="148" t="str">
        <f>IFERROR(__xludf.DUMMYFUNCTION("""COMPUTED_VALUE"""),"{""effect"":[{""typ"":""radar_quest"",""id"":5,""val"":4},{""typ"":""radar_quest"",""id"":2,""val"":6},{""typ"":""radar_quest"",""id"":1,""val"":10}]}")</f>
        <v>{"effect":[{"typ":"radar_quest","id":5,"val":4},{"typ":"radar_quest","id":2,"val":6},{"typ":"radar_quest","id":1,"val":10}]}</v>
      </c>
      <c r="T2250" s="148">
        <f>IFERROR(__xludf.DUMMYFUNCTION("""COMPUTED_VALUE"""),-1.0)</f>
        <v>-1</v>
      </c>
      <c r="U2250" s="148">
        <f>IFERROR(__xludf.DUMMYFUNCTION("""COMPUTED_VALUE"""),1.0)</f>
        <v>1</v>
      </c>
      <c r="V2250" s="148" t="str">
        <f>IFERROR(__xludf.DUMMYFUNCTION("""COMPUTED_VALUE"""),"[]")</f>
        <v>[]</v>
      </c>
      <c r="W2250" s="148">
        <f>IFERROR(__xludf.DUMMYFUNCTION("""COMPUTED_VALUE"""),1.174E7)</f>
        <v>11740000</v>
      </c>
      <c r="X2250" s="148">
        <f>IFERROR(__xludf.DUMMYFUNCTION("""COMPUTED_VALUE"""),0.0)</f>
        <v>0</v>
      </c>
      <c r="Y2250" s="148">
        <f>IFERROR(__xludf.DUMMYFUNCTION("""COMPUTED_VALUE"""),0.0)</f>
        <v>0</v>
      </c>
      <c r="Z2250" s="148"/>
    </row>
    <row r="2251">
      <c r="A2251" s="148">
        <f>IFERROR(__xludf.DUMMYFUNCTION("""COMPUTED_VALUE"""),1.1119097E7)</f>
        <v>11119097</v>
      </c>
      <c r="B2251" s="148" t="str">
        <f>IFERROR(__xludf.DUMMYFUNCTION("""COMPUTED_VALUE"""),"2号战车本体头像-礼包表现用")</f>
        <v>2号战车本体头像-礼包表现用</v>
      </c>
      <c r="C2251" s="148"/>
      <c r="D2251" s="148" t="str">
        <f>IFERROR(__xludf.DUMMYFUNCTION("""COMPUTED_VALUE"""),"item_asset")</f>
        <v>item_asset</v>
      </c>
      <c r="E2251" s="148">
        <f>IFERROR(__xludf.DUMMYFUNCTION("""COMPUTED_VALUE"""),0.0)</f>
        <v>0</v>
      </c>
      <c r="F2251" s="148">
        <f>IFERROR(__xludf.DUMMYFUNCTION("""COMPUTED_VALUE"""),0.0)</f>
        <v>0</v>
      </c>
      <c r="G2251" s="148">
        <f>IFERROR(__xludf.DUMMYFUNCTION("""COMPUTED_VALUE"""),1.5119396E7)</f>
        <v>15119396</v>
      </c>
      <c r="H2251" s="148">
        <f>IFERROR(__xludf.DUMMYFUNCTION("""COMPUTED_VALUE"""),1.5112564E7)</f>
        <v>15112564</v>
      </c>
      <c r="I2251" s="148" t="str">
        <f>IFERROR(__xludf.DUMMYFUNCTION("""COMPUTED_VALUE"""),"{}")</f>
        <v>{}</v>
      </c>
      <c r="J2251" s="148" t="str">
        <f>IFERROR(__xludf.DUMMYFUNCTION("""COMPUTED_VALUE"""),"{""typ"":""lc"",""txt"":""LC_HERO_tank_name_02""}")</f>
        <v>{"typ":"lc","txt":"LC_HERO_tank_name_02"}</v>
      </c>
      <c r="K2251" s="148" t="str">
        <f>IFERROR(__xludf.DUMMYFUNCTION("""COMPUTED_VALUE"""),"{""typ"":""lc"",""txt"":""LC_HERO_tank_name_02_desc""}")</f>
        <v>{"typ":"lc","txt":"LC_HERO_tank_name_02_desc"}</v>
      </c>
      <c r="L2251" s="148" t="str">
        <f>IFERROR(__xludf.DUMMYFUNCTION("""COMPUTED_VALUE"""),"{}")</f>
        <v>{}</v>
      </c>
      <c r="M2251" s="148">
        <f>IFERROR(__xludf.DUMMYFUNCTION("""COMPUTED_VALUE"""),4000.0)</f>
        <v>4000</v>
      </c>
      <c r="N2251" s="148">
        <f>IFERROR(__xludf.DUMMYFUNCTION("""COMPUTED_VALUE"""),9999999.0)</f>
        <v>9999999</v>
      </c>
      <c r="O2251" s="148">
        <f>IFERROR(__xludf.DUMMYFUNCTION("""COMPUTED_VALUE"""),99999.0)</f>
        <v>99999</v>
      </c>
      <c r="P2251" s="148">
        <f>IFERROR(__xludf.DUMMYFUNCTION("""COMPUTED_VALUE"""),99999.0)</f>
        <v>99999</v>
      </c>
      <c r="Q2251" s="148" t="str">
        <f>IFERROR(__xludf.DUMMYFUNCTION("""COMPUTED_VALUE"""),"[]")</f>
        <v>[]</v>
      </c>
      <c r="R2251" s="148" t="str">
        <f>IFERROR(__xludf.DUMMYFUNCTION("""COMPUTED_VALUE"""),"[]")</f>
        <v>[]</v>
      </c>
      <c r="S2251" s="148" t="str">
        <f>IFERROR(__xludf.DUMMYFUNCTION("""COMPUTED_VALUE"""),"{}")</f>
        <v>{}</v>
      </c>
      <c r="T2251" s="148">
        <f>IFERROR(__xludf.DUMMYFUNCTION("""COMPUTED_VALUE"""),1.0)</f>
        <v>1</v>
      </c>
      <c r="U2251" s="148">
        <f>IFERROR(__xludf.DUMMYFUNCTION("""COMPUTED_VALUE"""),0.0)</f>
        <v>0</v>
      </c>
      <c r="V2251" s="148" t="str">
        <f>IFERROR(__xludf.DUMMYFUNCTION("""COMPUTED_VALUE"""),"[]")</f>
        <v>[]</v>
      </c>
      <c r="W2251" s="148">
        <f>IFERROR(__xludf.DUMMYFUNCTION("""COMPUTED_VALUE"""),1.174E7)</f>
        <v>11740000</v>
      </c>
      <c r="X2251" s="148">
        <f>IFERROR(__xludf.DUMMYFUNCTION("""COMPUTED_VALUE"""),0.0)</f>
        <v>0</v>
      </c>
      <c r="Y2251" s="148">
        <f>IFERROR(__xludf.DUMMYFUNCTION("""COMPUTED_VALUE"""),0.0)</f>
        <v>0</v>
      </c>
      <c r="Z2251" s="148"/>
    </row>
    <row r="2252">
      <c r="A2252" s="148">
        <f>IFERROR(__xludf.DUMMYFUNCTION("""COMPUTED_VALUE"""),1.1119098E7)</f>
        <v>11119098</v>
      </c>
      <c r="B2252" s="148" t="str">
        <f>IFERROR(__xludf.DUMMYFUNCTION("""COMPUTED_VALUE"""),"天鹰皮肤-中东鹰")</f>
        <v>天鹰皮肤-中东鹰</v>
      </c>
      <c r="C2252" s="148"/>
      <c r="D2252" s="148" t="str">
        <f>IFERROR(__xludf.DUMMYFUNCTION("""COMPUTED_VALUE"""),"mecha_skin")</f>
        <v>mecha_skin</v>
      </c>
      <c r="E2252" s="148">
        <f>IFERROR(__xludf.DUMMYFUNCTION("""COMPUTED_VALUE"""),31.0)</f>
        <v>31</v>
      </c>
      <c r="F2252" s="148">
        <f>IFERROR(__xludf.DUMMYFUNCTION("""COMPUTED_VALUE"""),0.0)</f>
        <v>0</v>
      </c>
      <c r="G2252" s="148">
        <f>IFERROR(__xludf.DUMMYFUNCTION("""COMPUTED_VALUE"""),1.5119764E7)</f>
        <v>15119764</v>
      </c>
      <c r="H2252" s="148">
        <f>IFERROR(__xludf.DUMMYFUNCTION("""COMPUTED_VALUE"""),1.5112564E7)</f>
        <v>15112564</v>
      </c>
      <c r="I2252" s="148" t="str">
        <f>IFERROR(__xludf.DUMMYFUNCTION("""COMPUTED_VALUE"""),"{}")</f>
        <v>{}</v>
      </c>
      <c r="J2252" s="148" t="str">
        <f>IFERROR(__xludf.DUMMYFUNCTION("""COMPUTED_VALUE"""),"{""typ"":""lc"",""txt"":""LC_ITEM_mecha_skin_colour_name_ying""}")</f>
        <v>{"typ":"lc","txt":"LC_ITEM_mecha_skin_colour_name_ying"}</v>
      </c>
      <c r="K2252" s="148" t="str">
        <f>IFERROR(__xludf.DUMMYFUNCTION("""COMPUTED_VALUE"""),"{""typ"":""lc"",""txt"":""LC_ITEM_mecha_skin_colour_desc_ying""}")</f>
        <v>{"typ":"lc","txt":"LC_ITEM_mecha_skin_colour_desc_ying"}</v>
      </c>
      <c r="L2252" s="148" t="str">
        <f>IFERROR(__xludf.DUMMYFUNCTION("""COMPUTED_VALUE"""),"{""typ"":""lc"",""txt"":""LC_ITEM_mecha_skin_colour_use_tips_ying""}")</f>
        <v>{"typ":"lc","txt":"LC_ITEM_mecha_skin_colour_use_tips_ying"}</v>
      </c>
      <c r="M2252" s="148">
        <f>IFERROR(__xludf.DUMMYFUNCTION("""COMPUTED_VALUE"""),500.0)</f>
        <v>500</v>
      </c>
      <c r="N2252" s="148">
        <f>IFERROR(__xludf.DUMMYFUNCTION("""COMPUTED_VALUE"""),5.0)</f>
        <v>5</v>
      </c>
      <c r="O2252" s="148">
        <f>IFERROR(__xludf.DUMMYFUNCTION("""COMPUTED_VALUE"""),1.0)</f>
        <v>1</v>
      </c>
      <c r="P2252" s="148">
        <f>IFERROR(__xludf.DUMMYFUNCTION("""COMPUTED_VALUE"""),1.0)</f>
        <v>1</v>
      </c>
      <c r="Q2252" s="148" t="str">
        <f>IFERROR(__xludf.DUMMYFUNCTION("""COMPUTED_VALUE"""),"[""bag_other""]")</f>
        <v>["bag_other"]</v>
      </c>
      <c r="R2252" s="148" t="str">
        <f>IFERROR(__xludf.DUMMYFUNCTION("""COMPUTED_VALUE"""),"[""bag"",""40105101""]")</f>
        <v>["bag","40105101"]</v>
      </c>
      <c r="S2252" s="148" t="str">
        <f>IFERROR(__xludf.DUMMYFUNCTION("""COMPUTED_VALUE"""),"{""effect"":[{""typ"":""mecha_skin"",""id"":40105101,""val"":-1},{""typ"":""item"",""id"":11111034,""val"":10}]}")</f>
        <v>{"effect":[{"typ":"mecha_skin","id":40105101,"val":-1},{"typ":"item","id":11111034,"val":10}]}</v>
      </c>
      <c r="T2252" s="148">
        <f>IFERROR(__xludf.DUMMYFUNCTION("""COMPUTED_VALUE"""),-1.0)</f>
        <v>-1</v>
      </c>
      <c r="U2252" s="148">
        <f>IFERROR(__xludf.DUMMYFUNCTION("""COMPUTED_VALUE"""),0.0)</f>
        <v>0</v>
      </c>
      <c r="V2252" s="148" t="str">
        <f>IFERROR(__xludf.DUMMYFUNCTION("""COMPUTED_VALUE"""),"[]")</f>
        <v>[]</v>
      </c>
      <c r="W2252" s="148">
        <f>IFERROR(__xludf.DUMMYFUNCTION("""COMPUTED_VALUE"""),1.174E7)</f>
        <v>11740000</v>
      </c>
      <c r="X2252" s="148">
        <f>IFERROR(__xludf.DUMMYFUNCTION("""COMPUTED_VALUE"""),0.0)</f>
        <v>0</v>
      </c>
      <c r="Y2252" s="148">
        <f>IFERROR(__xludf.DUMMYFUNCTION("""COMPUTED_VALUE"""),0.0)</f>
        <v>0</v>
      </c>
      <c r="Z2252" s="148"/>
    </row>
    <row r="2253">
      <c r="A2253" s="148">
        <f>IFERROR(__xludf.DUMMYFUNCTION("""COMPUTED_VALUE"""),1.1119099E7)</f>
        <v>11119099</v>
      </c>
      <c r="B2253" s="148" t="str">
        <f>IFERROR(__xludf.DUMMYFUNCTION("""COMPUTED_VALUE"""),"行军表情-动态-冲鸭")</f>
        <v>行军表情-动态-冲鸭</v>
      </c>
      <c r="C2253" s="148"/>
      <c r="D2253" s="148" t="str">
        <f>IFERROR(__xludf.DUMMYFUNCTION("""COMPUTED_VALUE"""),"map_emoji")</f>
        <v>map_emoji</v>
      </c>
      <c r="E2253" s="148">
        <f>IFERROR(__xludf.DUMMYFUNCTION("""COMPUTED_VALUE"""),20.0)</f>
        <v>20</v>
      </c>
      <c r="F2253" s="148">
        <f>IFERROR(__xludf.DUMMYFUNCTION("""COMPUTED_VALUE"""),0.0)</f>
        <v>0</v>
      </c>
      <c r="G2253" s="148">
        <f>IFERROR(__xludf.DUMMYFUNCTION("""COMPUTED_VALUE"""),1.511962E7)</f>
        <v>15119620</v>
      </c>
      <c r="H2253" s="148">
        <f>IFERROR(__xludf.DUMMYFUNCTION("""COMPUTED_VALUE"""),1.5112564E7)</f>
        <v>15112564</v>
      </c>
      <c r="I2253" s="148" t="str">
        <f>IFERROR(__xludf.DUMMYFUNCTION("""COMPUTED_VALUE"""),"{}")</f>
        <v>{}</v>
      </c>
      <c r="J2253" s="148" t="str">
        <f>IFERROR(__xludf.DUMMYFUNCTION("""COMPUTED_VALUE"""),"{""typ"":""lc"",""txt"":""LC_ITEM_map_emoji_go""}")</f>
        <v>{"typ":"lc","txt":"LC_ITEM_map_emoji_go"}</v>
      </c>
      <c r="K2253" s="148" t="str">
        <f>IFERROR(__xludf.DUMMYFUNCTION("""COMPUTED_VALUE"""),"{""typ"":""lc"",""txt"":""LC_ITEM_map_emoji_go_desc""}")</f>
        <v>{"typ":"lc","txt":"LC_ITEM_map_emoji_go_desc"}</v>
      </c>
      <c r="L2253" s="148" t="str">
        <f>IFERROR(__xludf.DUMMYFUNCTION("""COMPUTED_VALUE"""),"{}")</f>
        <v>{}</v>
      </c>
      <c r="M2253" s="148">
        <f>IFERROR(__xludf.DUMMYFUNCTION("""COMPUTED_VALUE"""),1000.0)</f>
        <v>1000</v>
      </c>
      <c r="N2253" s="148">
        <f>IFERROR(__xludf.DUMMYFUNCTION("""COMPUTED_VALUE"""),99.0)</f>
        <v>99</v>
      </c>
      <c r="O2253" s="148">
        <f>IFERROR(__xludf.DUMMYFUNCTION("""COMPUTED_VALUE"""),1.0)</f>
        <v>1</v>
      </c>
      <c r="P2253" s="148">
        <f>IFERROR(__xludf.DUMMYFUNCTION("""COMPUTED_VALUE"""),1.0)</f>
        <v>1</v>
      </c>
      <c r="Q2253" s="148" t="str">
        <f>IFERROR(__xludf.DUMMYFUNCTION("""COMPUTED_VALUE"""),"[]")</f>
        <v>[]</v>
      </c>
      <c r="R2253" s="148" t="str">
        <f>IFERROR(__xludf.DUMMYFUNCTION("""COMPUTED_VALUE"""),"[]")</f>
        <v>[]</v>
      </c>
      <c r="S2253" s="148" t="str">
        <f>IFERROR(__xludf.DUMMYFUNCTION("""COMPUTED_VALUE"""),"{""effect"":[{""typ"":""map_emoji"",""id"":11800004,""val"":-1}]}")</f>
        <v>{"effect":[{"typ":"map_emoji","id":11800004,"val":-1}]}</v>
      </c>
      <c r="T2253" s="148">
        <f>IFERROR(__xludf.DUMMYFUNCTION("""COMPUTED_VALUE"""),-1.0)</f>
        <v>-1</v>
      </c>
      <c r="U2253" s="148">
        <f>IFERROR(__xludf.DUMMYFUNCTION("""COMPUTED_VALUE"""),1.0)</f>
        <v>1</v>
      </c>
      <c r="V2253" s="148" t="str">
        <f>IFERROR(__xludf.DUMMYFUNCTION("""COMPUTED_VALUE"""),"[]")</f>
        <v>[]</v>
      </c>
      <c r="W2253" s="148">
        <f>IFERROR(__xludf.DUMMYFUNCTION("""COMPUTED_VALUE"""),1.174E7)</f>
        <v>11740000</v>
      </c>
      <c r="X2253" s="148">
        <f>IFERROR(__xludf.DUMMYFUNCTION("""COMPUTED_VALUE"""),0.0)</f>
        <v>0</v>
      </c>
      <c r="Y2253" s="148">
        <f>IFERROR(__xludf.DUMMYFUNCTION("""COMPUTED_VALUE"""),0.0)</f>
        <v>0</v>
      </c>
      <c r="Z2253" s="148"/>
    </row>
    <row r="2254">
      <c r="A2254" s="148">
        <f>IFERROR(__xludf.DUMMYFUNCTION("""COMPUTED_VALUE"""),1.11191E7)</f>
        <v>11119100</v>
      </c>
      <c r="B2254" s="148" t="str">
        <f>IFERROR(__xludf.DUMMYFUNCTION("""COMPUTED_VALUE"""),"传说机师自选箱")</f>
        <v>传说机师自选箱</v>
      </c>
      <c r="C2254" s="148"/>
      <c r="D2254" s="148" t="str">
        <f>IFERROR(__xludf.DUMMYFUNCTION("""COMPUTED_VALUE"""),"item_select_box")</f>
        <v>item_select_box</v>
      </c>
      <c r="E2254" s="148">
        <f>IFERROR(__xludf.DUMMYFUNCTION("""COMPUTED_VALUE"""),0.0)</f>
        <v>0</v>
      </c>
      <c r="F2254" s="148">
        <f>IFERROR(__xludf.DUMMYFUNCTION("""COMPUTED_VALUE"""),403308.0)</f>
        <v>403308</v>
      </c>
      <c r="G2254" s="148">
        <f>IFERROR(__xludf.DUMMYFUNCTION("""COMPUTED_VALUE"""),1.5119262E7)</f>
        <v>15119262</v>
      </c>
      <c r="H2254" s="148">
        <f>IFERROR(__xludf.DUMMYFUNCTION("""COMPUTED_VALUE"""),1.5112564E7)</f>
        <v>15112564</v>
      </c>
      <c r="I2254" s="148" t="str">
        <f>IFERROR(__xludf.DUMMYFUNCTION("""COMPUTED_VALUE"""),"{}")</f>
        <v>{}</v>
      </c>
      <c r="J2254" s="148" t="str">
        <f>IFERROR(__xludf.DUMMYFUNCTION("""COMPUTED_VALUE"""),"{""typ"":""lc"",""txt"":""LC_ITEM_mecha_driver_box_name""}")</f>
        <v>{"typ":"lc","txt":"LC_ITEM_mecha_driver_box_name"}</v>
      </c>
      <c r="K2254" s="148" t="str">
        <f>IFERROR(__xludf.DUMMYFUNCTION("""COMPUTED_VALUE"""),"{""typ"":""lc"",""txt"":""LC_ITEM_mecha_driver_box_desc""}")</f>
        <v>{"typ":"lc","txt":"LC_ITEM_mecha_driver_box_desc"}</v>
      </c>
      <c r="L2254" s="148" t="str">
        <f>IFERROR(__xludf.DUMMYFUNCTION("""COMPUTED_VALUE"""),"{}")</f>
        <v>{}</v>
      </c>
      <c r="M2254" s="148">
        <f>IFERROR(__xludf.DUMMYFUNCTION("""COMPUTED_VALUE"""),3000.0)</f>
        <v>3000</v>
      </c>
      <c r="N2254" s="148">
        <f>IFERROR(__xludf.DUMMYFUNCTION("""COMPUTED_VALUE"""),9999999.0)</f>
        <v>9999999</v>
      </c>
      <c r="O2254" s="148">
        <f>IFERROR(__xludf.DUMMYFUNCTION("""COMPUTED_VALUE"""),99999.0)</f>
        <v>99999</v>
      </c>
      <c r="P2254" s="148">
        <f>IFERROR(__xludf.DUMMYFUNCTION("""COMPUTED_VALUE"""),99999.0)</f>
        <v>99999</v>
      </c>
      <c r="Q2254" s="148" t="str">
        <f>IFERROR(__xludf.DUMMYFUNCTION("""COMPUTED_VALUE"""),"[""bag_other""]")</f>
        <v>["bag_other"]</v>
      </c>
      <c r="R2254" s="148" t="str">
        <f>IFERROR(__xludf.DUMMYFUNCTION("""COMPUTED_VALUE"""),"[""bag""]")</f>
        <v>["bag"]</v>
      </c>
      <c r="S2254" s="148" t="str">
        <f>IFERROR(__xludf.DUMMYFUNCTION("""COMPUTED_VALUE"""),"{""select_box"":[{""typ"":""item"",""id"":11117913,""val"":1},{""typ"":""item"",""id"":11117914,""val"":1},{""typ"":""item"",""id"":11117915,""val"":1},{""typ"":""item"",""id"":11117916,""val"":1},{""typ"":""item"",""id"":11117917,""val"":1}]}")</f>
        <v>{"select_box":[{"typ":"item","id":11117913,"val":1},{"typ":"item","id":11117914,"val":1},{"typ":"item","id":11117915,"val":1},{"typ":"item","id":11117916,"val":1},{"typ":"item","id":11117917,"val":1}]}</v>
      </c>
      <c r="T2254" s="148">
        <f>IFERROR(__xludf.DUMMYFUNCTION("""COMPUTED_VALUE"""),-1.0)</f>
        <v>-1</v>
      </c>
      <c r="U2254" s="148">
        <f>IFERROR(__xludf.DUMMYFUNCTION("""COMPUTED_VALUE"""),0.0)</f>
        <v>0</v>
      </c>
      <c r="V2254" s="148" t="str">
        <f>IFERROR(__xludf.DUMMYFUNCTION("""COMPUTED_VALUE"""),"[]")</f>
        <v>[]</v>
      </c>
      <c r="W2254" s="148">
        <f>IFERROR(__xludf.DUMMYFUNCTION("""COMPUTED_VALUE"""),1.1741004E7)</f>
        <v>11741004</v>
      </c>
      <c r="X2254" s="148">
        <f>IFERROR(__xludf.DUMMYFUNCTION("""COMPUTED_VALUE"""),0.0)</f>
        <v>0</v>
      </c>
      <c r="Y2254" s="148">
        <f>IFERROR(__xludf.DUMMYFUNCTION("""COMPUTED_VALUE"""),0.0)</f>
        <v>0</v>
      </c>
      <c r="Z2254" s="148"/>
    </row>
    <row r="2255">
      <c r="A2255" s="148">
        <f>IFERROR(__xludf.DUMMYFUNCTION("""COMPUTED_VALUE"""),1.1119101E7)</f>
        <v>11119101</v>
      </c>
      <c r="B2255" s="148" t="str">
        <f>IFERROR(__xludf.DUMMYFUNCTION("""COMPUTED_VALUE"""),"行军表情-动态-鼓掌")</f>
        <v>行军表情-动态-鼓掌</v>
      </c>
      <c r="C2255" s="148"/>
      <c r="D2255" s="148" t="str">
        <f>IFERROR(__xludf.DUMMYFUNCTION("""COMPUTED_VALUE"""),"map_emoji")</f>
        <v>map_emoji</v>
      </c>
      <c r="E2255" s="148">
        <f>IFERROR(__xludf.DUMMYFUNCTION("""COMPUTED_VALUE"""),20.0)</f>
        <v>20</v>
      </c>
      <c r="F2255" s="148">
        <f>IFERROR(__xludf.DUMMYFUNCTION("""COMPUTED_VALUE"""),0.0)</f>
        <v>0</v>
      </c>
      <c r="G2255" s="148">
        <f>IFERROR(__xludf.DUMMYFUNCTION("""COMPUTED_VALUE"""),1.5119959E7)</f>
        <v>15119959</v>
      </c>
      <c r="H2255" s="148">
        <f>IFERROR(__xludf.DUMMYFUNCTION("""COMPUTED_VALUE"""),1.5112564E7)</f>
        <v>15112564</v>
      </c>
      <c r="I2255" s="148" t="str">
        <f>IFERROR(__xludf.DUMMYFUNCTION("""COMPUTED_VALUE"""),"{}")</f>
        <v>{}</v>
      </c>
      <c r="J2255" s="148" t="str">
        <f>IFERROR(__xludf.DUMMYFUNCTION("""COMPUTED_VALUE"""),"{""typ"":""lc"",""txt"":""LC_ITEM_map_emoji_clap""}")</f>
        <v>{"typ":"lc","txt":"LC_ITEM_map_emoji_clap"}</v>
      </c>
      <c r="K2255" s="148" t="str">
        <f>IFERROR(__xludf.DUMMYFUNCTION("""COMPUTED_VALUE"""),"{""typ"":""lc"",""txt"":""LC_ITEM_map_emoji_clap_desc""}")</f>
        <v>{"typ":"lc","txt":"LC_ITEM_map_emoji_clap_desc"}</v>
      </c>
      <c r="L2255" s="148" t="str">
        <f>IFERROR(__xludf.DUMMYFUNCTION("""COMPUTED_VALUE"""),"{}")</f>
        <v>{}</v>
      </c>
      <c r="M2255" s="148">
        <f>IFERROR(__xludf.DUMMYFUNCTION("""COMPUTED_VALUE"""),1000.0)</f>
        <v>1000</v>
      </c>
      <c r="N2255" s="148">
        <f>IFERROR(__xludf.DUMMYFUNCTION("""COMPUTED_VALUE"""),99.0)</f>
        <v>99</v>
      </c>
      <c r="O2255" s="148">
        <f>IFERROR(__xludf.DUMMYFUNCTION("""COMPUTED_VALUE"""),1.0)</f>
        <v>1</v>
      </c>
      <c r="P2255" s="148">
        <f>IFERROR(__xludf.DUMMYFUNCTION("""COMPUTED_VALUE"""),1.0)</f>
        <v>1</v>
      </c>
      <c r="Q2255" s="148" t="str">
        <f>IFERROR(__xludf.DUMMYFUNCTION("""COMPUTED_VALUE"""),"[]")</f>
        <v>[]</v>
      </c>
      <c r="R2255" s="148" t="str">
        <f>IFERROR(__xludf.DUMMYFUNCTION("""COMPUTED_VALUE"""),"[]")</f>
        <v>[]</v>
      </c>
      <c r="S2255" s="148" t="str">
        <f>IFERROR(__xludf.DUMMYFUNCTION("""COMPUTED_VALUE"""),"{""effect"":[{""typ"":""map_emoji"",""id"":11800005,""val"":-1}]}")</f>
        <v>{"effect":[{"typ":"map_emoji","id":11800005,"val":-1}]}</v>
      </c>
      <c r="T2255" s="148">
        <f>IFERROR(__xludf.DUMMYFUNCTION("""COMPUTED_VALUE"""),-1.0)</f>
        <v>-1</v>
      </c>
      <c r="U2255" s="148">
        <f>IFERROR(__xludf.DUMMYFUNCTION("""COMPUTED_VALUE"""),1.0)</f>
        <v>1</v>
      </c>
      <c r="V2255" s="148" t="str">
        <f>IFERROR(__xludf.DUMMYFUNCTION("""COMPUTED_VALUE"""),"[]")</f>
        <v>[]</v>
      </c>
      <c r="W2255" s="148">
        <f>IFERROR(__xludf.DUMMYFUNCTION("""COMPUTED_VALUE"""),1.174E7)</f>
        <v>11740000</v>
      </c>
      <c r="X2255" s="148">
        <f>IFERROR(__xludf.DUMMYFUNCTION("""COMPUTED_VALUE"""),0.0)</f>
        <v>0</v>
      </c>
      <c r="Y2255" s="148">
        <f>IFERROR(__xludf.DUMMYFUNCTION("""COMPUTED_VALUE"""),0.0)</f>
        <v>0</v>
      </c>
      <c r="Z2255" s="148"/>
    </row>
    <row r="2256">
      <c r="A2256" s="148">
        <f>IFERROR(__xludf.DUMMYFUNCTION("""COMPUTED_VALUE"""),1.1119102E7)</f>
        <v>11119102</v>
      </c>
      <c r="B2256" s="148" t="str">
        <f>IFERROR(__xludf.DUMMYFUNCTION("""COMPUTED_VALUE"""),"行军表情-静态-收到")</f>
        <v>行军表情-静态-收到</v>
      </c>
      <c r="C2256" s="148"/>
      <c r="D2256" s="148" t="str">
        <f>IFERROR(__xludf.DUMMYFUNCTION("""COMPUTED_VALUE"""),"map_emoji")</f>
        <v>map_emoji</v>
      </c>
      <c r="E2256" s="148">
        <f>IFERROR(__xludf.DUMMYFUNCTION("""COMPUTED_VALUE"""),20.0)</f>
        <v>20</v>
      </c>
      <c r="F2256" s="148">
        <f>IFERROR(__xludf.DUMMYFUNCTION("""COMPUTED_VALUE"""),0.0)</f>
        <v>0</v>
      </c>
      <c r="G2256" s="148">
        <f>IFERROR(__xludf.DUMMYFUNCTION("""COMPUTED_VALUE"""),1.51100304E8)</f>
        <v>151100304</v>
      </c>
      <c r="H2256" s="148">
        <f>IFERROR(__xludf.DUMMYFUNCTION("""COMPUTED_VALUE"""),1.5112564E7)</f>
        <v>15112564</v>
      </c>
      <c r="I2256" s="148" t="str">
        <f>IFERROR(__xludf.DUMMYFUNCTION("""COMPUTED_VALUE"""),"{}")</f>
        <v>{}</v>
      </c>
      <c r="J2256" s="148" t="str">
        <f>IFERROR(__xludf.DUMMYFUNCTION("""COMPUTED_VALUE"""),"{""typ"":""lc"",""txt"":""LC_ITEM_map_emoji_okay""}")</f>
        <v>{"typ":"lc","txt":"LC_ITEM_map_emoji_okay"}</v>
      </c>
      <c r="K2256" s="148" t="str">
        <f>IFERROR(__xludf.DUMMYFUNCTION("""COMPUTED_VALUE"""),"{""typ"":""lc"",""txt"":""LC_ITEM_map_emoji_okay_desc""}")</f>
        <v>{"typ":"lc","txt":"LC_ITEM_map_emoji_okay_desc"}</v>
      </c>
      <c r="L2256" s="148" t="str">
        <f>IFERROR(__xludf.DUMMYFUNCTION("""COMPUTED_VALUE"""),"{}")</f>
        <v>{}</v>
      </c>
      <c r="M2256" s="148">
        <f>IFERROR(__xludf.DUMMYFUNCTION("""COMPUTED_VALUE"""),1000.0)</f>
        <v>1000</v>
      </c>
      <c r="N2256" s="148">
        <f>IFERROR(__xludf.DUMMYFUNCTION("""COMPUTED_VALUE"""),99.0)</f>
        <v>99</v>
      </c>
      <c r="O2256" s="148">
        <f>IFERROR(__xludf.DUMMYFUNCTION("""COMPUTED_VALUE"""),1.0)</f>
        <v>1</v>
      </c>
      <c r="P2256" s="148">
        <f>IFERROR(__xludf.DUMMYFUNCTION("""COMPUTED_VALUE"""),1.0)</f>
        <v>1</v>
      </c>
      <c r="Q2256" s="148" t="str">
        <f>IFERROR(__xludf.DUMMYFUNCTION("""COMPUTED_VALUE"""),"[]")</f>
        <v>[]</v>
      </c>
      <c r="R2256" s="148" t="str">
        <f>IFERROR(__xludf.DUMMYFUNCTION("""COMPUTED_VALUE"""),"[]")</f>
        <v>[]</v>
      </c>
      <c r="S2256" s="148" t="str">
        <f>IFERROR(__xludf.DUMMYFUNCTION("""COMPUTED_VALUE"""),"{""effect"":[{""typ"":""map_emoji"",""id"":11800006,""val"":-1}]}")</f>
        <v>{"effect":[{"typ":"map_emoji","id":11800006,"val":-1}]}</v>
      </c>
      <c r="T2256" s="148">
        <f>IFERROR(__xludf.DUMMYFUNCTION("""COMPUTED_VALUE"""),-1.0)</f>
        <v>-1</v>
      </c>
      <c r="U2256" s="148">
        <f>IFERROR(__xludf.DUMMYFUNCTION("""COMPUTED_VALUE"""),1.0)</f>
        <v>1</v>
      </c>
      <c r="V2256" s="148" t="str">
        <f>IFERROR(__xludf.DUMMYFUNCTION("""COMPUTED_VALUE"""),"[]")</f>
        <v>[]</v>
      </c>
      <c r="W2256" s="148">
        <f>IFERROR(__xludf.DUMMYFUNCTION("""COMPUTED_VALUE"""),1.174E7)</f>
        <v>11740000</v>
      </c>
      <c r="X2256" s="148">
        <f>IFERROR(__xludf.DUMMYFUNCTION("""COMPUTED_VALUE"""),0.0)</f>
        <v>0</v>
      </c>
      <c r="Y2256" s="148">
        <f>IFERROR(__xludf.DUMMYFUNCTION("""COMPUTED_VALUE"""),0.0)</f>
        <v>0</v>
      </c>
      <c r="Z2256" s="148"/>
    </row>
    <row r="2257">
      <c r="A2257" s="148">
        <f>IFERROR(__xludf.DUMMYFUNCTION("""COMPUTED_VALUE"""),1.1119103E7)</f>
        <v>11119103</v>
      </c>
      <c r="B2257" s="148" t="str">
        <f>IFERROR(__xludf.DUMMYFUNCTION("""COMPUTED_VALUE"""),"行军表情-动态-庆祝")</f>
        <v>行军表情-动态-庆祝</v>
      </c>
      <c r="C2257" s="148"/>
      <c r="D2257" s="148" t="str">
        <f>IFERROR(__xludf.DUMMYFUNCTION("""COMPUTED_VALUE"""),"map_emoji")</f>
        <v>map_emoji</v>
      </c>
      <c r="E2257" s="148">
        <f>IFERROR(__xludf.DUMMYFUNCTION("""COMPUTED_VALUE"""),20.0)</f>
        <v>20</v>
      </c>
      <c r="F2257" s="148">
        <f>IFERROR(__xludf.DUMMYFUNCTION("""COMPUTED_VALUE"""),0.0)</f>
        <v>0</v>
      </c>
      <c r="G2257" s="148">
        <f>IFERROR(__xludf.DUMMYFUNCTION("""COMPUTED_VALUE"""),1.51100305E8)</f>
        <v>151100305</v>
      </c>
      <c r="H2257" s="148">
        <f>IFERROR(__xludf.DUMMYFUNCTION("""COMPUTED_VALUE"""),1.5112564E7)</f>
        <v>15112564</v>
      </c>
      <c r="I2257" s="148" t="str">
        <f>IFERROR(__xludf.DUMMYFUNCTION("""COMPUTED_VALUE"""),"{}")</f>
        <v>{}</v>
      </c>
      <c r="J2257" s="148" t="str">
        <f>IFERROR(__xludf.DUMMYFUNCTION("""COMPUTED_VALUE"""),"{""typ"":""lc"",""txt"":""LC_ITEM_map_emoji_sing""}")</f>
        <v>{"typ":"lc","txt":"LC_ITEM_map_emoji_sing"}</v>
      </c>
      <c r="K2257" s="148" t="str">
        <f>IFERROR(__xludf.DUMMYFUNCTION("""COMPUTED_VALUE"""),"{""typ"":""lc"",""txt"":""LC_ITEM_map_emoji_sing_desc""}")</f>
        <v>{"typ":"lc","txt":"LC_ITEM_map_emoji_sing_desc"}</v>
      </c>
      <c r="L2257" s="148" t="str">
        <f>IFERROR(__xludf.DUMMYFUNCTION("""COMPUTED_VALUE"""),"{}")</f>
        <v>{}</v>
      </c>
      <c r="M2257" s="148">
        <f>IFERROR(__xludf.DUMMYFUNCTION("""COMPUTED_VALUE"""),1000.0)</f>
        <v>1000</v>
      </c>
      <c r="N2257" s="148">
        <f>IFERROR(__xludf.DUMMYFUNCTION("""COMPUTED_VALUE"""),99.0)</f>
        <v>99</v>
      </c>
      <c r="O2257" s="148">
        <f>IFERROR(__xludf.DUMMYFUNCTION("""COMPUTED_VALUE"""),1.0)</f>
        <v>1</v>
      </c>
      <c r="P2257" s="148">
        <f>IFERROR(__xludf.DUMMYFUNCTION("""COMPUTED_VALUE"""),1.0)</f>
        <v>1</v>
      </c>
      <c r="Q2257" s="148" t="str">
        <f>IFERROR(__xludf.DUMMYFUNCTION("""COMPUTED_VALUE"""),"[]")</f>
        <v>[]</v>
      </c>
      <c r="R2257" s="148" t="str">
        <f>IFERROR(__xludf.DUMMYFUNCTION("""COMPUTED_VALUE"""),"[]")</f>
        <v>[]</v>
      </c>
      <c r="S2257" s="148" t="str">
        <f>IFERROR(__xludf.DUMMYFUNCTION("""COMPUTED_VALUE"""),"{""effect"":[{""typ"":""map_emoji"",""id"":11800007,""val"":-1}]}")</f>
        <v>{"effect":[{"typ":"map_emoji","id":11800007,"val":-1}]}</v>
      </c>
      <c r="T2257" s="148">
        <f>IFERROR(__xludf.DUMMYFUNCTION("""COMPUTED_VALUE"""),-1.0)</f>
        <v>-1</v>
      </c>
      <c r="U2257" s="148">
        <f>IFERROR(__xludf.DUMMYFUNCTION("""COMPUTED_VALUE"""),1.0)</f>
        <v>1</v>
      </c>
      <c r="V2257" s="148" t="str">
        <f>IFERROR(__xludf.DUMMYFUNCTION("""COMPUTED_VALUE"""),"[]")</f>
        <v>[]</v>
      </c>
      <c r="W2257" s="148">
        <f>IFERROR(__xludf.DUMMYFUNCTION("""COMPUTED_VALUE"""),1.174E7)</f>
        <v>11740000</v>
      </c>
      <c r="X2257" s="148">
        <f>IFERROR(__xludf.DUMMYFUNCTION("""COMPUTED_VALUE"""),0.0)</f>
        <v>0</v>
      </c>
      <c r="Y2257" s="148">
        <f>IFERROR(__xludf.DUMMYFUNCTION("""COMPUTED_VALUE"""),0.0)</f>
        <v>0</v>
      </c>
      <c r="Z2257" s="148"/>
    </row>
    <row r="2258">
      <c r="A2258" s="148">
        <f>IFERROR(__xludf.DUMMYFUNCTION("""COMPUTED_VALUE"""),1.1119104E7)</f>
        <v>11119104</v>
      </c>
      <c r="B2258" s="148" t="str">
        <f>IFERROR(__xludf.DUMMYFUNCTION("""COMPUTED_VALUE"""),"4号战车本体头像-礼包表现用")</f>
        <v>4号战车本体头像-礼包表现用</v>
      </c>
      <c r="C2258" s="148"/>
      <c r="D2258" s="148" t="str">
        <f>IFERROR(__xludf.DUMMYFUNCTION("""COMPUTED_VALUE"""),"item_asset")</f>
        <v>item_asset</v>
      </c>
      <c r="E2258" s="148">
        <f>IFERROR(__xludf.DUMMYFUNCTION("""COMPUTED_VALUE"""),0.0)</f>
        <v>0</v>
      </c>
      <c r="F2258" s="148">
        <f>IFERROR(__xludf.DUMMYFUNCTION("""COMPUTED_VALUE"""),0.0)</f>
        <v>0</v>
      </c>
      <c r="G2258" s="148">
        <f>IFERROR(__xludf.DUMMYFUNCTION("""COMPUTED_VALUE"""),1.51100356E8)</f>
        <v>151100356</v>
      </c>
      <c r="H2258" s="148">
        <f>IFERROR(__xludf.DUMMYFUNCTION("""COMPUTED_VALUE"""),1.5112564E7)</f>
        <v>15112564</v>
      </c>
      <c r="I2258" s="148" t="str">
        <f>IFERROR(__xludf.DUMMYFUNCTION("""COMPUTED_VALUE"""),"{}")</f>
        <v>{}</v>
      </c>
      <c r="J2258" s="148" t="str">
        <f>IFERROR(__xludf.DUMMYFUNCTION("""COMPUTED_VALUE"""),"{""typ"":""lc"",""txt"":""LC_HERO_tank_name_04""}")</f>
        <v>{"typ":"lc","txt":"LC_HERO_tank_name_04"}</v>
      </c>
      <c r="K2258" s="148" t="str">
        <f>IFERROR(__xludf.DUMMYFUNCTION("""COMPUTED_VALUE"""),"{""typ"":""lc"",""txt"":""LC_HERO_tank_name_04_desc""}")</f>
        <v>{"typ":"lc","txt":"LC_HERO_tank_name_04_desc"}</v>
      </c>
      <c r="L2258" s="148" t="str">
        <f>IFERROR(__xludf.DUMMYFUNCTION("""COMPUTED_VALUE"""),"{}")</f>
        <v>{}</v>
      </c>
      <c r="M2258" s="148">
        <f>IFERROR(__xludf.DUMMYFUNCTION("""COMPUTED_VALUE"""),4000.0)</f>
        <v>4000</v>
      </c>
      <c r="N2258" s="148">
        <f>IFERROR(__xludf.DUMMYFUNCTION("""COMPUTED_VALUE"""),9999999.0)</f>
        <v>9999999</v>
      </c>
      <c r="O2258" s="148">
        <f>IFERROR(__xludf.DUMMYFUNCTION("""COMPUTED_VALUE"""),99999.0)</f>
        <v>99999</v>
      </c>
      <c r="P2258" s="148">
        <f>IFERROR(__xludf.DUMMYFUNCTION("""COMPUTED_VALUE"""),99999.0)</f>
        <v>99999</v>
      </c>
      <c r="Q2258" s="148" t="str">
        <f>IFERROR(__xludf.DUMMYFUNCTION("""COMPUTED_VALUE"""),"[]")</f>
        <v>[]</v>
      </c>
      <c r="R2258" s="148" t="str">
        <f>IFERROR(__xludf.DUMMYFUNCTION("""COMPUTED_VALUE"""),"[]")</f>
        <v>[]</v>
      </c>
      <c r="S2258" s="148" t="str">
        <f>IFERROR(__xludf.DUMMYFUNCTION("""COMPUTED_VALUE"""),"{}")</f>
        <v>{}</v>
      </c>
      <c r="T2258" s="148">
        <f>IFERROR(__xludf.DUMMYFUNCTION("""COMPUTED_VALUE"""),1.0)</f>
        <v>1</v>
      </c>
      <c r="U2258" s="148">
        <f>IFERROR(__xludf.DUMMYFUNCTION("""COMPUTED_VALUE"""),0.0)</f>
        <v>0</v>
      </c>
      <c r="V2258" s="148" t="str">
        <f>IFERROR(__xludf.DUMMYFUNCTION("""COMPUTED_VALUE"""),"[]")</f>
        <v>[]</v>
      </c>
      <c r="W2258" s="148">
        <f>IFERROR(__xludf.DUMMYFUNCTION("""COMPUTED_VALUE"""),1.174E7)</f>
        <v>11740000</v>
      </c>
      <c r="X2258" s="148">
        <f>IFERROR(__xludf.DUMMYFUNCTION("""COMPUTED_VALUE"""),0.0)</f>
        <v>0</v>
      </c>
      <c r="Y2258" s="148">
        <f>IFERROR(__xludf.DUMMYFUNCTION("""COMPUTED_VALUE"""),0.0)</f>
        <v>0</v>
      </c>
      <c r="Z2258" s="148"/>
    </row>
    <row r="2259">
      <c r="A2259" s="148">
        <f>IFERROR(__xludf.DUMMYFUNCTION("""COMPUTED_VALUE"""),1.1119105E7)</f>
        <v>11119105</v>
      </c>
      <c r="B2259" s="148" t="str">
        <f>IFERROR(__xludf.DUMMYFUNCTION("""COMPUTED_VALUE"""),"行军表情-动态-生气")</f>
        <v>行军表情-动态-生气</v>
      </c>
      <c r="C2259" s="148"/>
      <c r="D2259" s="148" t="str">
        <f>IFERROR(__xludf.DUMMYFUNCTION("""COMPUTED_VALUE"""),"map_emoji")</f>
        <v>map_emoji</v>
      </c>
      <c r="E2259" s="148">
        <f>IFERROR(__xludf.DUMMYFUNCTION("""COMPUTED_VALUE"""),20.0)</f>
        <v>20</v>
      </c>
      <c r="F2259" s="148">
        <f>IFERROR(__xludf.DUMMYFUNCTION("""COMPUTED_VALUE"""),0.0)</f>
        <v>0</v>
      </c>
      <c r="G2259" s="148">
        <f>IFERROR(__xludf.DUMMYFUNCTION("""COMPUTED_VALUE"""),1.51100454E8)</f>
        <v>151100454</v>
      </c>
      <c r="H2259" s="148">
        <f>IFERROR(__xludf.DUMMYFUNCTION("""COMPUTED_VALUE"""),1.5112564E7)</f>
        <v>15112564</v>
      </c>
      <c r="I2259" s="148" t="str">
        <f>IFERROR(__xludf.DUMMYFUNCTION("""COMPUTED_VALUE"""),"{}")</f>
        <v>{}</v>
      </c>
      <c r="J2259" s="148" t="str">
        <f>IFERROR(__xludf.DUMMYFUNCTION("""COMPUTED_VALUE"""),"{""typ"":""lc"",""txt"":""LC_ITEM_map_emoji_angry""}")</f>
        <v>{"typ":"lc","txt":"LC_ITEM_map_emoji_angry"}</v>
      </c>
      <c r="K2259" s="148" t="str">
        <f>IFERROR(__xludf.DUMMYFUNCTION("""COMPUTED_VALUE"""),"{""typ"":""lc"",""txt"":""LC_ITEM_map_emoji_angry_desc""}")</f>
        <v>{"typ":"lc","txt":"LC_ITEM_map_emoji_angry_desc"}</v>
      </c>
      <c r="L2259" s="148" t="str">
        <f>IFERROR(__xludf.DUMMYFUNCTION("""COMPUTED_VALUE"""),"{}")</f>
        <v>{}</v>
      </c>
      <c r="M2259" s="148">
        <f>IFERROR(__xludf.DUMMYFUNCTION("""COMPUTED_VALUE"""),1000.0)</f>
        <v>1000</v>
      </c>
      <c r="N2259" s="148">
        <f>IFERROR(__xludf.DUMMYFUNCTION("""COMPUTED_VALUE"""),99.0)</f>
        <v>99</v>
      </c>
      <c r="O2259" s="148">
        <f>IFERROR(__xludf.DUMMYFUNCTION("""COMPUTED_VALUE"""),1.0)</f>
        <v>1</v>
      </c>
      <c r="P2259" s="148">
        <f>IFERROR(__xludf.DUMMYFUNCTION("""COMPUTED_VALUE"""),1.0)</f>
        <v>1</v>
      </c>
      <c r="Q2259" s="148" t="str">
        <f>IFERROR(__xludf.DUMMYFUNCTION("""COMPUTED_VALUE"""),"[]")</f>
        <v>[]</v>
      </c>
      <c r="R2259" s="148" t="str">
        <f>IFERROR(__xludf.DUMMYFUNCTION("""COMPUTED_VALUE"""),"[]")</f>
        <v>[]</v>
      </c>
      <c r="S2259" s="148" t="str">
        <f>IFERROR(__xludf.DUMMYFUNCTION("""COMPUTED_VALUE"""),"{""effect"":[{""typ"":""map_emoji"",""id"":11800008,""val"":-1}]}")</f>
        <v>{"effect":[{"typ":"map_emoji","id":11800008,"val":-1}]}</v>
      </c>
      <c r="T2259" s="148">
        <f>IFERROR(__xludf.DUMMYFUNCTION("""COMPUTED_VALUE"""),-1.0)</f>
        <v>-1</v>
      </c>
      <c r="U2259" s="148">
        <f>IFERROR(__xludf.DUMMYFUNCTION("""COMPUTED_VALUE"""),1.0)</f>
        <v>1</v>
      </c>
      <c r="V2259" s="148" t="str">
        <f>IFERROR(__xludf.DUMMYFUNCTION("""COMPUTED_VALUE"""),"[]")</f>
        <v>[]</v>
      </c>
      <c r="W2259" s="148">
        <f>IFERROR(__xludf.DUMMYFUNCTION("""COMPUTED_VALUE"""),1.174E7)</f>
        <v>11740000</v>
      </c>
      <c r="X2259" s="148">
        <f>IFERROR(__xludf.DUMMYFUNCTION("""COMPUTED_VALUE"""),0.0)</f>
        <v>0</v>
      </c>
      <c r="Y2259" s="148">
        <f>IFERROR(__xludf.DUMMYFUNCTION("""COMPUTED_VALUE"""),0.0)</f>
        <v>0</v>
      </c>
      <c r="Z2259" s="148"/>
    </row>
    <row r="2260">
      <c r="A2260" s="148">
        <f>IFERROR(__xludf.DUMMYFUNCTION("""COMPUTED_VALUE"""),1.1119106E7)</f>
        <v>11119106</v>
      </c>
      <c r="B2260" s="148" t="str">
        <f>IFERROR(__xludf.DUMMYFUNCTION("""COMPUTED_VALUE"""),"行军表情-动态-惊吓")</f>
        <v>行军表情-动态-惊吓</v>
      </c>
      <c r="C2260" s="148"/>
      <c r="D2260" s="148" t="str">
        <f>IFERROR(__xludf.DUMMYFUNCTION("""COMPUTED_VALUE"""),"map_emoji")</f>
        <v>map_emoji</v>
      </c>
      <c r="E2260" s="148">
        <f>IFERROR(__xludf.DUMMYFUNCTION("""COMPUTED_VALUE"""),20.0)</f>
        <v>20</v>
      </c>
      <c r="F2260" s="148">
        <f>IFERROR(__xludf.DUMMYFUNCTION("""COMPUTED_VALUE"""),0.0)</f>
        <v>0</v>
      </c>
      <c r="G2260" s="148">
        <f>IFERROR(__xludf.DUMMYFUNCTION("""COMPUTED_VALUE"""),1.51100609E8)</f>
        <v>151100609</v>
      </c>
      <c r="H2260" s="148">
        <f>IFERROR(__xludf.DUMMYFUNCTION("""COMPUTED_VALUE"""),1.5112564E7)</f>
        <v>15112564</v>
      </c>
      <c r="I2260" s="148" t="str">
        <f>IFERROR(__xludf.DUMMYFUNCTION("""COMPUTED_VALUE"""),"{}")</f>
        <v>{}</v>
      </c>
      <c r="J2260" s="148" t="str">
        <f>IFERROR(__xludf.DUMMYFUNCTION("""COMPUTED_VALUE"""),"{""typ"":""lc"",""txt"":""LC_ITEM_map_emoji_scared""}")</f>
        <v>{"typ":"lc","txt":"LC_ITEM_map_emoji_scared"}</v>
      </c>
      <c r="K2260" s="148" t="str">
        <f>IFERROR(__xludf.DUMMYFUNCTION("""COMPUTED_VALUE"""),"{""typ"":""lc"",""txt"":""LC_ITEM_map_emoji_scared_desc""}")</f>
        <v>{"typ":"lc","txt":"LC_ITEM_map_emoji_scared_desc"}</v>
      </c>
      <c r="L2260" s="148" t="str">
        <f>IFERROR(__xludf.DUMMYFUNCTION("""COMPUTED_VALUE"""),"{}")</f>
        <v>{}</v>
      </c>
      <c r="M2260" s="148">
        <f>IFERROR(__xludf.DUMMYFUNCTION("""COMPUTED_VALUE"""),1000.0)</f>
        <v>1000</v>
      </c>
      <c r="N2260" s="148">
        <f>IFERROR(__xludf.DUMMYFUNCTION("""COMPUTED_VALUE"""),99.0)</f>
        <v>99</v>
      </c>
      <c r="O2260" s="148">
        <f>IFERROR(__xludf.DUMMYFUNCTION("""COMPUTED_VALUE"""),1.0)</f>
        <v>1</v>
      </c>
      <c r="P2260" s="148">
        <f>IFERROR(__xludf.DUMMYFUNCTION("""COMPUTED_VALUE"""),1.0)</f>
        <v>1</v>
      </c>
      <c r="Q2260" s="148" t="str">
        <f>IFERROR(__xludf.DUMMYFUNCTION("""COMPUTED_VALUE"""),"[]")</f>
        <v>[]</v>
      </c>
      <c r="R2260" s="148" t="str">
        <f>IFERROR(__xludf.DUMMYFUNCTION("""COMPUTED_VALUE"""),"[]")</f>
        <v>[]</v>
      </c>
      <c r="S2260" s="148" t="str">
        <f>IFERROR(__xludf.DUMMYFUNCTION("""COMPUTED_VALUE"""),"{""effect"":[{""typ"":""map_emoji"",""id"":11800009,""val"":-1}]}")</f>
        <v>{"effect":[{"typ":"map_emoji","id":11800009,"val":-1}]}</v>
      </c>
      <c r="T2260" s="148">
        <f>IFERROR(__xludf.DUMMYFUNCTION("""COMPUTED_VALUE"""),-1.0)</f>
        <v>-1</v>
      </c>
      <c r="U2260" s="148">
        <f>IFERROR(__xludf.DUMMYFUNCTION("""COMPUTED_VALUE"""),1.0)</f>
        <v>1</v>
      </c>
      <c r="V2260" s="148" t="str">
        <f>IFERROR(__xludf.DUMMYFUNCTION("""COMPUTED_VALUE"""),"[]")</f>
        <v>[]</v>
      </c>
      <c r="W2260" s="148">
        <f>IFERROR(__xludf.DUMMYFUNCTION("""COMPUTED_VALUE"""),1.174E7)</f>
        <v>11740000</v>
      </c>
      <c r="X2260" s="148">
        <f>IFERROR(__xludf.DUMMYFUNCTION("""COMPUTED_VALUE"""),0.0)</f>
        <v>0</v>
      </c>
      <c r="Y2260" s="148">
        <f>IFERROR(__xludf.DUMMYFUNCTION("""COMPUTED_VALUE"""),0.0)</f>
        <v>0</v>
      </c>
      <c r="Z2260" s="148"/>
    </row>
    <row r="2261">
      <c r="A2261" s="148">
        <f>IFERROR(__xludf.DUMMYFUNCTION("""COMPUTED_VALUE"""),1.1119107E7)</f>
        <v>11119107</v>
      </c>
      <c r="B2261" s="148" t="str">
        <f>IFERROR(__xludf.DUMMYFUNCTION("""COMPUTED_VALUE"""),"酒馆自选宝箱（无纳米和军备）")</f>
        <v>酒馆自选宝箱（无纳米和军备）</v>
      </c>
      <c r="C2261" s="148"/>
      <c r="D2261" s="148" t="str">
        <f>IFERROR(__xludf.DUMMYFUNCTION("""COMPUTED_VALUE"""),"item_select_box")</f>
        <v>item_select_box</v>
      </c>
      <c r="E2261" s="148">
        <f>IFERROR(__xludf.DUMMYFUNCTION("""COMPUTED_VALUE"""),19.0)</f>
        <v>19</v>
      </c>
      <c r="F2261" s="148">
        <f>IFERROR(__xludf.DUMMYFUNCTION("""COMPUTED_VALUE"""),100000.0)</f>
        <v>100000</v>
      </c>
      <c r="G2261" s="148">
        <f>IFERROR(__xludf.DUMMYFUNCTION("""COMPUTED_VALUE"""),1.5117285E7)</f>
        <v>15117285</v>
      </c>
      <c r="H2261" s="148">
        <f>IFERROR(__xludf.DUMMYFUNCTION("""COMPUTED_VALUE"""),1.5112564E7)</f>
        <v>15112564</v>
      </c>
      <c r="I2261" s="148" t="str">
        <f>IFERROR(__xludf.DUMMYFUNCTION("""COMPUTED_VALUE"""),"{}")</f>
        <v>{}</v>
      </c>
      <c r="J2261" s="148" t="str">
        <f>IFERROR(__xludf.DUMMYFUNCTION("""COMPUTED_VALUE"""),"{""typ"":""lc"",""txt"":""LC_ITEM_bar_select_box""}")</f>
        <v>{"typ":"lc","txt":"LC_ITEM_bar_select_box"}</v>
      </c>
      <c r="K2261" s="148" t="str">
        <f>IFERROR(__xludf.DUMMYFUNCTION("""COMPUTED_VALUE"""),"{""typ"":""lc"",""txt"":""LC_ITEM_bar_select_box_desc_1""}")</f>
        <v>{"typ":"lc","txt":"LC_ITEM_bar_select_box_desc_1"}</v>
      </c>
      <c r="L2261" s="148" t="str">
        <f>IFERROR(__xludf.DUMMYFUNCTION("""COMPUTED_VALUE"""),"{}")</f>
        <v>{}</v>
      </c>
      <c r="M2261" s="148">
        <f>IFERROR(__xludf.DUMMYFUNCTION("""COMPUTED_VALUE"""),2000.0)</f>
        <v>2000</v>
      </c>
      <c r="N2261" s="148">
        <f>IFERROR(__xludf.DUMMYFUNCTION("""COMPUTED_VALUE"""),999999.0)</f>
        <v>999999</v>
      </c>
      <c r="O2261" s="148">
        <f>IFERROR(__xludf.DUMMYFUNCTION("""COMPUTED_VALUE"""),999999.0)</f>
        <v>999999</v>
      </c>
      <c r="P2261" s="148">
        <f>IFERROR(__xludf.DUMMYFUNCTION("""COMPUTED_VALUE"""),999999.0)</f>
        <v>999999</v>
      </c>
      <c r="Q2261" s="148" t="str">
        <f>IFERROR(__xludf.DUMMYFUNCTION("""COMPUTED_VALUE"""),"[""bag_other""]")</f>
        <v>["bag_other"]</v>
      </c>
      <c r="R2261" s="148" t="str">
        <f>IFERROR(__xludf.DUMMYFUNCTION("""COMPUTED_VALUE"""),"[""bag""]")</f>
        <v>["bag"]</v>
      </c>
      <c r="S2261" s="148" t="str">
        <f>IFERROR(__xludf.DUMMYFUNCTION("""COMPUTED_VALUE"""),"{""select_box"":[{""typ"":""item"",""id"":11117069,""val"":2},{""typ"":""item"",""id"":11111105,""val"":6},{""typ"":""item"",""id"":11116604,""val"":4}]}")</f>
        <v>{"select_box":[{"typ":"item","id":11117069,"val":2},{"typ":"item","id":11111105,"val":6},{"typ":"item","id":11116604,"val":4}]}</v>
      </c>
      <c r="T2261" s="148">
        <f>IFERROR(__xludf.DUMMYFUNCTION("""COMPUTED_VALUE"""),-1.0)</f>
        <v>-1</v>
      </c>
      <c r="U2261" s="148">
        <f>IFERROR(__xludf.DUMMYFUNCTION("""COMPUTED_VALUE"""),0.0)</f>
        <v>0</v>
      </c>
      <c r="V2261" s="148" t="str">
        <f>IFERROR(__xludf.DUMMYFUNCTION("""COMPUTED_VALUE"""),"[]")</f>
        <v>[]</v>
      </c>
      <c r="W2261" s="148">
        <f>IFERROR(__xludf.DUMMYFUNCTION("""COMPUTED_VALUE"""),1.174E7)</f>
        <v>11740000</v>
      </c>
      <c r="X2261" s="148">
        <f>IFERROR(__xludf.DUMMYFUNCTION("""COMPUTED_VALUE"""),0.0)</f>
        <v>0</v>
      </c>
      <c r="Y2261" s="148">
        <f>IFERROR(__xludf.DUMMYFUNCTION("""COMPUTED_VALUE"""),0.0)</f>
        <v>0</v>
      </c>
      <c r="Z2261" s="148"/>
    </row>
    <row r="2262">
      <c r="A2262" s="148">
        <f>IFERROR(__xludf.DUMMYFUNCTION("""COMPUTED_VALUE"""),1.1119108E7)</f>
        <v>11119108</v>
      </c>
      <c r="B2262" s="148" t="str">
        <f>IFERROR(__xludf.DUMMYFUNCTION("""COMPUTED_VALUE"""),"酒馆自选宝箱（有纳米军备）")</f>
        <v>酒馆自选宝箱（有纳米军备）</v>
      </c>
      <c r="C2262" s="148"/>
      <c r="D2262" s="148" t="str">
        <f>IFERROR(__xludf.DUMMYFUNCTION("""COMPUTED_VALUE"""),"item_select_box")</f>
        <v>item_select_box</v>
      </c>
      <c r="E2262" s="148">
        <f>IFERROR(__xludf.DUMMYFUNCTION("""COMPUTED_VALUE"""),19.0)</f>
        <v>19</v>
      </c>
      <c r="F2262" s="148">
        <f>IFERROR(__xludf.DUMMYFUNCTION("""COMPUTED_VALUE"""),100000.0)</f>
        <v>100000</v>
      </c>
      <c r="G2262" s="148">
        <f>IFERROR(__xludf.DUMMYFUNCTION("""COMPUTED_VALUE"""),1.5117285E7)</f>
        <v>15117285</v>
      </c>
      <c r="H2262" s="148">
        <f>IFERROR(__xludf.DUMMYFUNCTION("""COMPUTED_VALUE"""),1.5112564E7)</f>
        <v>15112564</v>
      </c>
      <c r="I2262" s="148" t="str">
        <f>IFERROR(__xludf.DUMMYFUNCTION("""COMPUTED_VALUE"""),"{}")</f>
        <v>{}</v>
      </c>
      <c r="J2262" s="148" t="str">
        <f>IFERROR(__xludf.DUMMYFUNCTION("""COMPUTED_VALUE"""),"{""typ"":""lc"",""txt"":""LC_ITEM_bar_select_box""}")</f>
        <v>{"typ":"lc","txt":"LC_ITEM_bar_select_box"}</v>
      </c>
      <c r="K2262" s="148" t="str">
        <f>IFERROR(__xludf.DUMMYFUNCTION("""COMPUTED_VALUE"""),"{""typ"":""lc"",""txt"":""LC_ITEM_bar_select_box_desc_2""}")</f>
        <v>{"typ":"lc","txt":"LC_ITEM_bar_select_box_desc_2"}</v>
      </c>
      <c r="L2262" s="148" t="str">
        <f>IFERROR(__xludf.DUMMYFUNCTION("""COMPUTED_VALUE"""),"{}")</f>
        <v>{}</v>
      </c>
      <c r="M2262" s="148">
        <f>IFERROR(__xludf.DUMMYFUNCTION("""COMPUTED_VALUE"""),2000.0)</f>
        <v>2000</v>
      </c>
      <c r="N2262" s="148">
        <f>IFERROR(__xludf.DUMMYFUNCTION("""COMPUTED_VALUE"""),999999.0)</f>
        <v>999999</v>
      </c>
      <c r="O2262" s="148">
        <f>IFERROR(__xludf.DUMMYFUNCTION("""COMPUTED_VALUE"""),999999.0)</f>
        <v>999999</v>
      </c>
      <c r="P2262" s="148">
        <f>IFERROR(__xludf.DUMMYFUNCTION("""COMPUTED_VALUE"""),999999.0)</f>
        <v>999999</v>
      </c>
      <c r="Q2262" s="148" t="str">
        <f>IFERROR(__xludf.DUMMYFUNCTION("""COMPUTED_VALUE"""),"[""bag_other""]")</f>
        <v>["bag_other"]</v>
      </c>
      <c r="R2262" s="148" t="str">
        <f>IFERROR(__xludf.DUMMYFUNCTION("""COMPUTED_VALUE"""),"[""bag""]")</f>
        <v>["bag"]</v>
      </c>
      <c r="S2262" s="148" t="str">
        <f>IFERROR(__xludf.DUMMYFUNCTION("""COMPUTED_VALUE"""),"{""select_box"":[{""typ"":""material"",""id"":19345004,""val"":8},{""typ"":""item"",""id"":11117069,""val"":2},{""typ"":""item"",""id"":11118501,""val"":1},{""typ"":""item"",""id"":11116604,""val"":4},{""typ"":""item"",""id"":11111105,""val"":6}]}")</f>
        <v>{"select_box":[{"typ":"material","id":19345004,"val":8},{"typ":"item","id":11117069,"val":2},{"typ":"item","id":11118501,"val":1},{"typ":"item","id":11116604,"val":4},{"typ":"item","id":11111105,"val":6}]}</v>
      </c>
      <c r="T2262" s="148">
        <f>IFERROR(__xludf.DUMMYFUNCTION("""COMPUTED_VALUE"""),-1.0)</f>
        <v>-1</v>
      </c>
      <c r="U2262" s="148">
        <f>IFERROR(__xludf.DUMMYFUNCTION("""COMPUTED_VALUE"""),0.0)</f>
        <v>0</v>
      </c>
      <c r="V2262" s="148" t="str">
        <f>IFERROR(__xludf.DUMMYFUNCTION("""COMPUTED_VALUE"""),"[]")</f>
        <v>[]</v>
      </c>
      <c r="W2262" s="148">
        <f>IFERROR(__xludf.DUMMYFUNCTION("""COMPUTED_VALUE"""),1.174E7)</f>
        <v>11740000</v>
      </c>
      <c r="X2262" s="148">
        <f>IFERROR(__xludf.DUMMYFUNCTION("""COMPUTED_VALUE"""),0.0)</f>
        <v>0</v>
      </c>
      <c r="Y2262" s="148">
        <f>IFERROR(__xludf.DUMMYFUNCTION("""COMPUTED_VALUE"""),0.0)</f>
        <v>0</v>
      </c>
      <c r="Z2262" s="148"/>
    </row>
    <row r="2263">
      <c r="A2263" s="148">
        <f>IFERROR(__xludf.DUMMYFUNCTION("""COMPUTED_VALUE"""),1.1119109E7)</f>
        <v>11119109</v>
      </c>
      <c r="B2263" s="148" t="str">
        <f>IFERROR(__xludf.DUMMYFUNCTION("""COMPUTED_VALUE"""),"行军表情-动态-疑问")</f>
        <v>行军表情-动态-疑问</v>
      </c>
      <c r="C2263" s="148"/>
      <c r="D2263" s="148" t="str">
        <f>IFERROR(__xludf.DUMMYFUNCTION("""COMPUTED_VALUE"""),"map_emoji")</f>
        <v>map_emoji</v>
      </c>
      <c r="E2263" s="148">
        <f>IFERROR(__xludf.DUMMYFUNCTION("""COMPUTED_VALUE"""),20.0)</f>
        <v>20</v>
      </c>
      <c r="F2263" s="148">
        <f>IFERROR(__xludf.DUMMYFUNCTION("""COMPUTED_VALUE"""),0.0)</f>
        <v>0</v>
      </c>
      <c r="G2263" s="148">
        <f>IFERROR(__xludf.DUMMYFUNCTION("""COMPUTED_VALUE"""),1.51100794E8)</f>
        <v>151100794</v>
      </c>
      <c r="H2263" s="148">
        <f>IFERROR(__xludf.DUMMYFUNCTION("""COMPUTED_VALUE"""),1.5112564E7)</f>
        <v>15112564</v>
      </c>
      <c r="I2263" s="148" t="str">
        <f>IFERROR(__xludf.DUMMYFUNCTION("""COMPUTED_VALUE"""),"{}")</f>
        <v>{}</v>
      </c>
      <c r="J2263" s="148" t="str">
        <f>IFERROR(__xludf.DUMMYFUNCTION("""COMPUTED_VALUE"""),"{""typ"":""lc"",""txt"":""LC_ITEM_map_emoji_doubt""}")</f>
        <v>{"typ":"lc","txt":"LC_ITEM_map_emoji_doubt"}</v>
      </c>
      <c r="K2263" s="148" t="str">
        <f>IFERROR(__xludf.DUMMYFUNCTION("""COMPUTED_VALUE"""),"{""typ"":""lc"",""txt"":""LC_ITEM_map_emoji_doubt_desc""}")</f>
        <v>{"typ":"lc","txt":"LC_ITEM_map_emoji_doubt_desc"}</v>
      </c>
      <c r="L2263" s="148" t="str">
        <f>IFERROR(__xludf.DUMMYFUNCTION("""COMPUTED_VALUE"""),"{}")</f>
        <v>{}</v>
      </c>
      <c r="M2263" s="148">
        <f>IFERROR(__xludf.DUMMYFUNCTION("""COMPUTED_VALUE"""),1000.0)</f>
        <v>1000</v>
      </c>
      <c r="N2263" s="148">
        <f>IFERROR(__xludf.DUMMYFUNCTION("""COMPUTED_VALUE"""),99.0)</f>
        <v>99</v>
      </c>
      <c r="O2263" s="148">
        <f>IFERROR(__xludf.DUMMYFUNCTION("""COMPUTED_VALUE"""),1.0)</f>
        <v>1</v>
      </c>
      <c r="P2263" s="148">
        <f>IFERROR(__xludf.DUMMYFUNCTION("""COMPUTED_VALUE"""),1.0)</f>
        <v>1</v>
      </c>
      <c r="Q2263" s="148" t="str">
        <f>IFERROR(__xludf.DUMMYFUNCTION("""COMPUTED_VALUE"""),"[]")</f>
        <v>[]</v>
      </c>
      <c r="R2263" s="148" t="str">
        <f>IFERROR(__xludf.DUMMYFUNCTION("""COMPUTED_VALUE"""),"[]")</f>
        <v>[]</v>
      </c>
      <c r="S2263" s="148" t="str">
        <f>IFERROR(__xludf.DUMMYFUNCTION("""COMPUTED_VALUE"""),"{""effect"":[{""typ"":""map_emoji"",""id"":11800010,""val"":-1}]}")</f>
        <v>{"effect":[{"typ":"map_emoji","id":11800010,"val":-1}]}</v>
      </c>
      <c r="T2263" s="148">
        <f>IFERROR(__xludf.DUMMYFUNCTION("""COMPUTED_VALUE"""),-1.0)</f>
        <v>-1</v>
      </c>
      <c r="U2263" s="148">
        <f>IFERROR(__xludf.DUMMYFUNCTION("""COMPUTED_VALUE"""),1.0)</f>
        <v>1</v>
      </c>
      <c r="V2263" s="148" t="str">
        <f>IFERROR(__xludf.DUMMYFUNCTION("""COMPUTED_VALUE"""),"[]")</f>
        <v>[]</v>
      </c>
      <c r="W2263" s="148">
        <f>IFERROR(__xludf.DUMMYFUNCTION("""COMPUTED_VALUE"""),1.174E7)</f>
        <v>11740000</v>
      </c>
      <c r="X2263" s="148">
        <f>IFERROR(__xludf.DUMMYFUNCTION("""COMPUTED_VALUE"""),0.0)</f>
        <v>0</v>
      </c>
      <c r="Y2263" s="148">
        <f>IFERROR(__xludf.DUMMYFUNCTION("""COMPUTED_VALUE"""),0.0)</f>
        <v>0</v>
      </c>
      <c r="Z2263" s="148"/>
    </row>
    <row r="2264">
      <c r="A2264" s="148">
        <f>IFERROR(__xludf.DUMMYFUNCTION("""COMPUTED_VALUE"""),1.111911E7)</f>
        <v>11119110</v>
      </c>
      <c r="B2264" s="148" t="str">
        <f>IFERROR(__xludf.DUMMYFUNCTION("""COMPUTED_VALUE"""),"行军表情-动态-吐舌")</f>
        <v>行军表情-动态-吐舌</v>
      </c>
      <c r="C2264" s="148"/>
      <c r="D2264" s="148" t="str">
        <f>IFERROR(__xludf.DUMMYFUNCTION("""COMPUTED_VALUE"""),"map_emoji")</f>
        <v>map_emoji</v>
      </c>
      <c r="E2264" s="148">
        <f>IFERROR(__xludf.DUMMYFUNCTION("""COMPUTED_VALUE"""),20.0)</f>
        <v>20</v>
      </c>
      <c r="F2264" s="148">
        <f>IFERROR(__xludf.DUMMYFUNCTION("""COMPUTED_VALUE"""),0.0)</f>
        <v>0</v>
      </c>
      <c r="G2264" s="148">
        <f>IFERROR(__xludf.DUMMYFUNCTION("""COMPUTED_VALUE"""),1.51100994E8)</f>
        <v>151100994</v>
      </c>
      <c r="H2264" s="148">
        <f>IFERROR(__xludf.DUMMYFUNCTION("""COMPUTED_VALUE"""),1.5112564E7)</f>
        <v>15112564</v>
      </c>
      <c r="I2264" s="148" t="str">
        <f>IFERROR(__xludf.DUMMYFUNCTION("""COMPUTED_VALUE"""),"{}")</f>
        <v>{}</v>
      </c>
      <c r="J2264" s="148" t="str">
        <f>IFERROR(__xludf.DUMMYFUNCTION("""COMPUTED_VALUE"""),"{""typ"":""lc"",""txt"":""LC_ITEM_map_emoji_stick""}")</f>
        <v>{"typ":"lc","txt":"LC_ITEM_map_emoji_stick"}</v>
      </c>
      <c r="K2264" s="148" t="str">
        <f>IFERROR(__xludf.DUMMYFUNCTION("""COMPUTED_VALUE"""),"{""typ"":""lc"",""txt"":""LC_ITEM_map_emoji_stick_desc""}")</f>
        <v>{"typ":"lc","txt":"LC_ITEM_map_emoji_stick_desc"}</v>
      </c>
      <c r="L2264" s="148" t="str">
        <f>IFERROR(__xludf.DUMMYFUNCTION("""COMPUTED_VALUE"""),"{}")</f>
        <v>{}</v>
      </c>
      <c r="M2264" s="148">
        <f>IFERROR(__xludf.DUMMYFUNCTION("""COMPUTED_VALUE"""),1000.0)</f>
        <v>1000</v>
      </c>
      <c r="N2264" s="148">
        <f>IFERROR(__xludf.DUMMYFUNCTION("""COMPUTED_VALUE"""),99.0)</f>
        <v>99</v>
      </c>
      <c r="O2264" s="148">
        <f>IFERROR(__xludf.DUMMYFUNCTION("""COMPUTED_VALUE"""),1.0)</f>
        <v>1</v>
      </c>
      <c r="P2264" s="148">
        <f>IFERROR(__xludf.DUMMYFUNCTION("""COMPUTED_VALUE"""),1.0)</f>
        <v>1</v>
      </c>
      <c r="Q2264" s="148" t="str">
        <f>IFERROR(__xludf.DUMMYFUNCTION("""COMPUTED_VALUE"""),"[]")</f>
        <v>[]</v>
      </c>
      <c r="R2264" s="148" t="str">
        <f>IFERROR(__xludf.DUMMYFUNCTION("""COMPUTED_VALUE"""),"[]")</f>
        <v>[]</v>
      </c>
      <c r="S2264" s="148" t="str">
        <f>IFERROR(__xludf.DUMMYFUNCTION("""COMPUTED_VALUE"""),"{""effect"":[{""typ"":""map_emoji"",""id"":11800011,""val"":-1}]}")</f>
        <v>{"effect":[{"typ":"map_emoji","id":11800011,"val":-1}]}</v>
      </c>
      <c r="T2264" s="148">
        <f>IFERROR(__xludf.DUMMYFUNCTION("""COMPUTED_VALUE"""),-1.0)</f>
        <v>-1</v>
      </c>
      <c r="U2264" s="148">
        <f>IFERROR(__xludf.DUMMYFUNCTION("""COMPUTED_VALUE"""),1.0)</f>
        <v>1</v>
      </c>
      <c r="V2264" s="148" t="str">
        <f>IFERROR(__xludf.DUMMYFUNCTION("""COMPUTED_VALUE"""),"[]")</f>
        <v>[]</v>
      </c>
      <c r="W2264" s="148">
        <f>IFERROR(__xludf.DUMMYFUNCTION("""COMPUTED_VALUE"""),1.174E7)</f>
        <v>11740000</v>
      </c>
      <c r="X2264" s="148">
        <f>IFERROR(__xludf.DUMMYFUNCTION("""COMPUTED_VALUE"""),0.0)</f>
        <v>0</v>
      </c>
      <c r="Y2264" s="148">
        <f>IFERROR(__xludf.DUMMYFUNCTION("""COMPUTED_VALUE"""),0.0)</f>
        <v>0</v>
      </c>
      <c r="Z2264" s="148"/>
    </row>
    <row r="2265">
      <c r="A2265" s="148">
        <f>IFERROR(__xludf.DUMMYFUNCTION("""COMPUTED_VALUE"""),1.1119111E7)</f>
        <v>11119111</v>
      </c>
      <c r="B2265" s="148" t="str">
        <f>IFERROR(__xludf.DUMMYFUNCTION("""COMPUTED_VALUE"""),"行军表情-动态-大笑")</f>
        <v>行军表情-动态-大笑</v>
      </c>
      <c r="C2265" s="148"/>
      <c r="D2265" s="148" t="str">
        <f>IFERROR(__xludf.DUMMYFUNCTION("""COMPUTED_VALUE"""),"map_emoji")</f>
        <v>map_emoji</v>
      </c>
      <c r="E2265" s="148">
        <f>IFERROR(__xludf.DUMMYFUNCTION("""COMPUTED_VALUE"""),20.0)</f>
        <v>20</v>
      </c>
      <c r="F2265" s="148">
        <f>IFERROR(__xludf.DUMMYFUNCTION("""COMPUTED_VALUE"""),0.0)</f>
        <v>0</v>
      </c>
      <c r="G2265" s="148">
        <f>IFERROR(__xludf.DUMMYFUNCTION("""COMPUTED_VALUE"""),1.51101211E8)</f>
        <v>151101211</v>
      </c>
      <c r="H2265" s="148">
        <f>IFERROR(__xludf.DUMMYFUNCTION("""COMPUTED_VALUE"""),1.5112564E7)</f>
        <v>15112564</v>
      </c>
      <c r="I2265" s="148" t="str">
        <f>IFERROR(__xludf.DUMMYFUNCTION("""COMPUTED_VALUE"""),"{}")</f>
        <v>{}</v>
      </c>
      <c r="J2265" s="148" t="str">
        <f>IFERROR(__xludf.DUMMYFUNCTION("""COMPUTED_VALUE"""),"{""typ"":""lc"",""txt"":""LC_ITEM_map_emoji_laugh2""}")</f>
        <v>{"typ":"lc","txt":"LC_ITEM_map_emoji_laugh2"}</v>
      </c>
      <c r="K2265" s="148" t="str">
        <f>IFERROR(__xludf.DUMMYFUNCTION("""COMPUTED_VALUE"""),"{""typ"":""lc"",""txt"":""LC_ITEM_map_emoji_laugh2_desc""}")</f>
        <v>{"typ":"lc","txt":"LC_ITEM_map_emoji_laugh2_desc"}</v>
      </c>
      <c r="L2265" s="148" t="str">
        <f>IFERROR(__xludf.DUMMYFUNCTION("""COMPUTED_VALUE"""),"{}")</f>
        <v>{}</v>
      </c>
      <c r="M2265" s="148">
        <f>IFERROR(__xludf.DUMMYFUNCTION("""COMPUTED_VALUE"""),1000.0)</f>
        <v>1000</v>
      </c>
      <c r="N2265" s="148">
        <f>IFERROR(__xludf.DUMMYFUNCTION("""COMPUTED_VALUE"""),99.0)</f>
        <v>99</v>
      </c>
      <c r="O2265" s="148">
        <f>IFERROR(__xludf.DUMMYFUNCTION("""COMPUTED_VALUE"""),1.0)</f>
        <v>1</v>
      </c>
      <c r="P2265" s="148">
        <f>IFERROR(__xludf.DUMMYFUNCTION("""COMPUTED_VALUE"""),1.0)</f>
        <v>1</v>
      </c>
      <c r="Q2265" s="148" t="str">
        <f>IFERROR(__xludf.DUMMYFUNCTION("""COMPUTED_VALUE"""),"[]")</f>
        <v>[]</v>
      </c>
      <c r="R2265" s="148" t="str">
        <f>IFERROR(__xludf.DUMMYFUNCTION("""COMPUTED_VALUE"""),"[]")</f>
        <v>[]</v>
      </c>
      <c r="S2265" s="148" t="str">
        <f>IFERROR(__xludf.DUMMYFUNCTION("""COMPUTED_VALUE"""),"{""effect"":[{""typ"":""map_emoji"",""id"":11800012,""val"":-1}]}")</f>
        <v>{"effect":[{"typ":"map_emoji","id":11800012,"val":-1}]}</v>
      </c>
      <c r="T2265" s="148">
        <f>IFERROR(__xludf.DUMMYFUNCTION("""COMPUTED_VALUE"""),-1.0)</f>
        <v>-1</v>
      </c>
      <c r="U2265" s="148">
        <f>IFERROR(__xludf.DUMMYFUNCTION("""COMPUTED_VALUE"""),1.0)</f>
        <v>1</v>
      </c>
      <c r="V2265" s="148" t="str">
        <f>IFERROR(__xludf.DUMMYFUNCTION("""COMPUTED_VALUE"""),"[]")</f>
        <v>[]</v>
      </c>
      <c r="W2265" s="148">
        <f>IFERROR(__xludf.DUMMYFUNCTION("""COMPUTED_VALUE"""),1.174E7)</f>
        <v>11740000</v>
      </c>
      <c r="X2265" s="148">
        <f>IFERROR(__xludf.DUMMYFUNCTION("""COMPUTED_VALUE"""),0.0)</f>
        <v>0</v>
      </c>
      <c r="Y2265" s="148">
        <f>IFERROR(__xludf.DUMMYFUNCTION("""COMPUTED_VALUE"""),0.0)</f>
        <v>0</v>
      </c>
      <c r="Z2265" s="148"/>
    </row>
    <row r="2266">
      <c r="A2266" s="148">
        <f>IFERROR(__xludf.DUMMYFUNCTION("""COMPUTED_VALUE"""),1.1119112E7)</f>
        <v>11119112</v>
      </c>
      <c r="B2266" s="148" t="str">
        <f>IFERROR(__xludf.DUMMYFUNCTION("""COMPUTED_VALUE"""),"行军表情-动态-捧心")</f>
        <v>行军表情-动态-捧心</v>
      </c>
      <c r="C2266" s="148"/>
      <c r="D2266" s="148" t="str">
        <f>IFERROR(__xludf.DUMMYFUNCTION("""COMPUTED_VALUE"""),"map_emoji")</f>
        <v>map_emoji</v>
      </c>
      <c r="E2266" s="148">
        <f>IFERROR(__xludf.DUMMYFUNCTION("""COMPUTED_VALUE"""),20.0)</f>
        <v>20</v>
      </c>
      <c r="F2266" s="148">
        <f>IFERROR(__xludf.DUMMYFUNCTION("""COMPUTED_VALUE"""),0.0)</f>
        <v>0</v>
      </c>
      <c r="G2266" s="148">
        <f>IFERROR(__xludf.DUMMYFUNCTION("""COMPUTED_VALUE"""),1.51101212E8)</f>
        <v>151101212</v>
      </c>
      <c r="H2266" s="148">
        <f>IFERROR(__xludf.DUMMYFUNCTION("""COMPUTED_VALUE"""),1.5112564E7)</f>
        <v>15112564</v>
      </c>
      <c r="I2266" s="148" t="str">
        <f>IFERROR(__xludf.DUMMYFUNCTION("""COMPUTED_VALUE"""),"{}")</f>
        <v>{}</v>
      </c>
      <c r="J2266" s="148" t="str">
        <f>IFERROR(__xludf.DUMMYFUNCTION("""COMPUTED_VALUE"""),"{""typ"":""lc"",""txt"":""LC_ITEM_map_emoji_love""}")</f>
        <v>{"typ":"lc","txt":"LC_ITEM_map_emoji_love"}</v>
      </c>
      <c r="K2266" s="148" t="str">
        <f>IFERROR(__xludf.DUMMYFUNCTION("""COMPUTED_VALUE"""),"{""typ"":""lc"",""txt"":""LC_ITEM_map_emoji_love_desc""}")</f>
        <v>{"typ":"lc","txt":"LC_ITEM_map_emoji_love_desc"}</v>
      </c>
      <c r="L2266" s="148" t="str">
        <f>IFERROR(__xludf.DUMMYFUNCTION("""COMPUTED_VALUE"""),"{}")</f>
        <v>{}</v>
      </c>
      <c r="M2266" s="148">
        <f>IFERROR(__xludf.DUMMYFUNCTION("""COMPUTED_VALUE"""),1000.0)</f>
        <v>1000</v>
      </c>
      <c r="N2266" s="148">
        <f>IFERROR(__xludf.DUMMYFUNCTION("""COMPUTED_VALUE"""),99.0)</f>
        <v>99</v>
      </c>
      <c r="O2266" s="148">
        <f>IFERROR(__xludf.DUMMYFUNCTION("""COMPUTED_VALUE"""),1.0)</f>
        <v>1</v>
      </c>
      <c r="P2266" s="148">
        <f>IFERROR(__xludf.DUMMYFUNCTION("""COMPUTED_VALUE"""),1.0)</f>
        <v>1</v>
      </c>
      <c r="Q2266" s="148" t="str">
        <f>IFERROR(__xludf.DUMMYFUNCTION("""COMPUTED_VALUE"""),"[]")</f>
        <v>[]</v>
      </c>
      <c r="R2266" s="148" t="str">
        <f>IFERROR(__xludf.DUMMYFUNCTION("""COMPUTED_VALUE"""),"[]")</f>
        <v>[]</v>
      </c>
      <c r="S2266" s="148" t="str">
        <f>IFERROR(__xludf.DUMMYFUNCTION("""COMPUTED_VALUE"""),"{""effect"":[{""typ"":""map_emoji"",""id"":11800013,""val"":-1}]}")</f>
        <v>{"effect":[{"typ":"map_emoji","id":11800013,"val":-1}]}</v>
      </c>
      <c r="T2266" s="148">
        <f>IFERROR(__xludf.DUMMYFUNCTION("""COMPUTED_VALUE"""),-1.0)</f>
        <v>-1</v>
      </c>
      <c r="U2266" s="148">
        <f>IFERROR(__xludf.DUMMYFUNCTION("""COMPUTED_VALUE"""),1.0)</f>
        <v>1</v>
      </c>
      <c r="V2266" s="148" t="str">
        <f>IFERROR(__xludf.DUMMYFUNCTION("""COMPUTED_VALUE"""),"[]")</f>
        <v>[]</v>
      </c>
      <c r="W2266" s="148">
        <f>IFERROR(__xludf.DUMMYFUNCTION("""COMPUTED_VALUE"""),1.174E7)</f>
        <v>11740000</v>
      </c>
      <c r="X2266" s="148">
        <f>IFERROR(__xludf.DUMMYFUNCTION("""COMPUTED_VALUE"""),0.0)</f>
        <v>0</v>
      </c>
      <c r="Y2266" s="148">
        <f>IFERROR(__xludf.DUMMYFUNCTION("""COMPUTED_VALUE"""),0.0)</f>
        <v>0</v>
      </c>
      <c r="Z2266" s="148"/>
    </row>
    <row r="2267">
      <c r="A2267" s="148">
        <f>IFERROR(__xludf.DUMMYFUNCTION("""COMPUTED_VALUE"""),1.1119113E7)</f>
        <v>11119113</v>
      </c>
      <c r="B2267" s="148" t="str">
        <f>IFERROR(__xludf.DUMMYFUNCTION("""COMPUTED_VALUE"""),"行军表情-动态-思索")</f>
        <v>行军表情-动态-思索</v>
      </c>
      <c r="C2267" s="148"/>
      <c r="D2267" s="148" t="str">
        <f>IFERROR(__xludf.DUMMYFUNCTION("""COMPUTED_VALUE"""),"map_emoji")</f>
        <v>map_emoji</v>
      </c>
      <c r="E2267" s="148">
        <f>IFERROR(__xludf.DUMMYFUNCTION("""COMPUTED_VALUE"""),20.0)</f>
        <v>20</v>
      </c>
      <c r="F2267" s="148">
        <f>IFERROR(__xludf.DUMMYFUNCTION("""COMPUTED_VALUE"""),0.0)</f>
        <v>0</v>
      </c>
      <c r="G2267" s="148">
        <f>IFERROR(__xludf.DUMMYFUNCTION("""COMPUTED_VALUE"""),1.51101534E8)</f>
        <v>151101534</v>
      </c>
      <c r="H2267" s="148">
        <f>IFERROR(__xludf.DUMMYFUNCTION("""COMPUTED_VALUE"""),1.5112564E7)</f>
        <v>15112564</v>
      </c>
      <c r="I2267" s="148" t="str">
        <f>IFERROR(__xludf.DUMMYFUNCTION("""COMPUTED_VALUE"""),"{}")</f>
        <v>{}</v>
      </c>
      <c r="J2267" s="148" t="str">
        <f>IFERROR(__xludf.DUMMYFUNCTION("""COMPUTED_VALUE"""),"{""typ"":""lc"",""txt"":""LC_ITEM_map_emoji_sci2025""}")</f>
        <v>{"typ":"lc","txt":"LC_ITEM_map_emoji_sci2025"}</v>
      </c>
      <c r="K2267" s="148" t="str">
        <f>IFERROR(__xludf.DUMMYFUNCTION("""COMPUTED_VALUE"""),"{""typ"":""lc"",""txt"":""LC_ITEM_map_emoji_sci2025_desc""}")</f>
        <v>{"typ":"lc","txt":"LC_ITEM_map_emoji_sci2025_desc"}</v>
      </c>
      <c r="L2267" s="148" t="str">
        <f>IFERROR(__xludf.DUMMYFUNCTION("""COMPUTED_VALUE"""),"{}")</f>
        <v>{}</v>
      </c>
      <c r="M2267" s="148">
        <f>IFERROR(__xludf.DUMMYFUNCTION("""COMPUTED_VALUE"""),1000.0)</f>
        <v>1000</v>
      </c>
      <c r="N2267" s="148">
        <f>IFERROR(__xludf.DUMMYFUNCTION("""COMPUTED_VALUE"""),99.0)</f>
        <v>99</v>
      </c>
      <c r="O2267" s="148">
        <f>IFERROR(__xludf.DUMMYFUNCTION("""COMPUTED_VALUE"""),1.0)</f>
        <v>1</v>
      </c>
      <c r="P2267" s="148">
        <f>IFERROR(__xludf.DUMMYFUNCTION("""COMPUTED_VALUE"""),1.0)</f>
        <v>1</v>
      </c>
      <c r="Q2267" s="148" t="str">
        <f>IFERROR(__xludf.DUMMYFUNCTION("""COMPUTED_VALUE"""),"[]")</f>
        <v>[]</v>
      </c>
      <c r="R2267" s="148" t="str">
        <f>IFERROR(__xludf.DUMMYFUNCTION("""COMPUTED_VALUE"""),"[]")</f>
        <v>[]</v>
      </c>
      <c r="S2267" s="148" t="str">
        <f>IFERROR(__xludf.DUMMYFUNCTION("""COMPUTED_VALUE"""),"{""effect"":[{""typ"":""map_emoji"",""id"":11800014,""val"":-1}]}")</f>
        <v>{"effect":[{"typ":"map_emoji","id":11800014,"val":-1}]}</v>
      </c>
      <c r="T2267" s="148">
        <f>IFERROR(__xludf.DUMMYFUNCTION("""COMPUTED_VALUE"""),-1.0)</f>
        <v>-1</v>
      </c>
      <c r="U2267" s="148">
        <f>IFERROR(__xludf.DUMMYFUNCTION("""COMPUTED_VALUE"""),1.0)</f>
        <v>1</v>
      </c>
      <c r="V2267" s="148" t="str">
        <f>IFERROR(__xludf.DUMMYFUNCTION("""COMPUTED_VALUE"""),"[]")</f>
        <v>[]</v>
      </c>
      <c r="W2267" s="148">
        <f>IFERROR(__xludf.DUMMYFUNCTION("""COMPUTED_VALUE"""),1.174E7)</f>
        <v>11740000</v>
      </c>
      <c r="X2267" s="148">
        <f>IFERROR(__xludf.DUMMYFUNCTION("""COMPUTED_VALUE"""),0.0)</f>
        <v>0</v>
      </c>
      <c r="Y2267" s="148">
        <f>IFERROR(__xludf.DUMMYFUNCTION("""COMPUTED_VALUE"""),0.0)</f>
        <v>0</v>
      </c>
      <c r="Z2267" s="148"/>
    </row>
    <row r="2268">
      <c r="A2268" s="148">
        <f>IFERROR(__xludf.DUMMYFUNCTION("""COMPUTED_VALUE"""),1.1119114E7)</f>
        <v>11119114</v>
      </c>
      <c r="B2268" s="148" t="str">
        <f>IFERROR(__xludf.DUMMYFUNCTION("""COMPUTED_VALUE"""),"5号战车本体头像-礼包表现用")</f>
        <v>5号战车本体头像-礼包表现用</v>
      </c>
      <c r="C2268" s="148"/>
      <c r="D2268" s="148" t="str">
        <f>IFERROR(__xludf.DUMMYFUNCTION("""COMPUTED_VALUE"""),"item_asset")</f>
        <v>item_asset</v>
      </c>
      <c r="E2268" s="148">
        <f>IFERROR(__xludf.DUMMYFUNCTION("""COMPUTED_VALUE"""),0.0)</f>
        <v>0</v>
      </c>
      <c r="F2268" s="148">
        <f>IFERROR(__xludf.DUMMYFUNCTION("""COMPUTED_VALUE"""),0.0)</f>
        <v>0</v>
      </c>
      <c r="G2268" s="148">
        <f>IFERROR(__xludf.DUMMYFUNCTION("""COMPUTED_VALUE"""),1.51101407E8)</f>
        <v>151101407</v>
      </c>
      <c r="H2268" s="148">
        <f>IFERROR(__xludf.DUMMYFUNCTION("""COMPUTED_VALUE"""),1.5112564E7)</f>
        <v>15112564</v>
      </c>
      <c r="I2268" s="148" t="str">
        <f>IFERROR(__xludf.DUMMYFUNCTION("""COMPUTED_VALUE"""),"{}")</f>
        <v>{}</v>
      </c>
      <c r="J2268" s="148" t="str">
        <f>IFERROR(__xludf.DUMMYFUNCTION("""COMPUTED_VALUE"""),"{""typ"":""lc"",""txt"":""LC_HERO_tank_name_05_libao""}")</f>
        <v>{"typ":"lc","txt":"LC_HERO_tank_name_05_libao"}</v>
      </c>
      <c r="K2268" s="148" t="str">
        <f>IFERROR(__xludf.DUMMYFUNCTION("""COMPUTED_VALUE"""),"{""typ"":""lc"",""txt"":""LC_HERO_tank_name_05_desc""}")</f>
        <v>{"typ":"lc","txt":"LC_HERO_tank_name_05_desc"}</v>
      </c>
      <c r="L2268" s="148" t="str">
        <f>IFERROR(__xludf.DUMMYFUNCTION("""COMPUTED_VALUE"""),"{}")</f>
        <v>{}</v>
      </c>
      <c r="M2268" s="148">
        <f>IFERROR(__xludf.DUMMYFUNCTION("""COMPUTED_VALUE"""),4000.0)</f>
        <v>4000</v>
      </c>
      <c r="N2268" s="148">
        <f>IFERROR(__xludf.DUMMYFUNCTION("""COMPUTED_VALUE"""),9999999.0)</f>
        <v>9999999</v>
      </c>
      <c r="O2268" s="148">
        <f>IFERROR(__xludf.DUMMYFUNCTION("""COMPUTED_VALUE"""),99999.0)</f>
        <v>99999</v>
      </c>
      <c r="P2268" s="148">
        <f>IFERROR(__xludf.DUMMYFUNCTION("""COMPUTED_VALUE"""),99999.0)</f>
        <v>99999</v>
      </c>
      <c r="Q2268" s="148" t="str">
        <f>IFERROR(__xludf.DUMMYFUNCTION("""COMPUTED_VALUE"""),"[]")</f>
        <v>[]</v>
      </c>
      <c r="R2268" s="148" t="str">
        <f>IFERROR(__xludf.DUMMYFUNCTION("""COMPUTED_VALUE"""),"[]")</f>
        <v>[]</v>
      </c>
      <c r="S2268" s="148" t="str">
        <f>IFERROR(__xludf.DUMMYFUNCTION("""COMPUTED_VALUE"""),"{}")</f>
        <v>{}</v>
      </c>
      <c r="T2268" s="148">
        <f>IFERROR(__xludf.DUMMYFUNCTION("""COMPUTED_VALUE"""),1.0)</f>
        <v>1</v>
      </c>
      <c r="U2268" s="148">
        <f>IFERROR(__xludf.DUMMYFUNCTION("""COMPUTED_VALUE"""),0.0)</f>
        <v>0</v>
      </c>
      <c r="V2268" s="148" t="str">
        <f>IFERROR(__xludf.DUMMYFUNCTION("""COMPUTED_VALUE"""),"[]")</f>
        <v>[]</v>
      </c>
      <c r="W2268" s="148">
        <f>IFERROR(__xludf.DUMMYFUNCTION("""COMPUTED_VALUE"""),1.174E7)</f>
        <v>11740000</v>
      </c>
      <c r="X2268" s="148">
        <f>IFERROR(__xludf.DUMMYFUNCTION("""COMPUTED_VALUE"""),0.0)</f>
        <v>0</v>
      </c>
      <c r="Y2268" s="148">
        <f>IFERROR(__xludf.DUMMYFUNCTION("""COMPUTED_VALUE"""),0.0)</f>
        <v>0</v>
      </c>
      <c r="Z2268" s="148"/>
    </row>
    <row r="2269">
      <c r="A2269" s="148">
        <f>IFERROR(__xludf.DUMMYFUNCTION("""COMPUTED_VALUE"""),1.1119115E7)</f>
        <v>11119115</v>
      </c>
      <c r="B2269" s="148" t="str">
        <f>IFERROR(__xludf.DUMMYFUNCTION("""COMPUTED_VALUE"""),"行军表情-动态-比耶")</f>
        <v>行军表情-动态-比耶</v>
      </c>
      <c r="C2269" s="148"/>
      <c r="D2269" s="148" t="str">
        <f>IFERROR(__xludf.DUMMYFUNCTION("""COMPUTED_VALUE"""),"map_emoji")</f>
        <v>map_emoji</v>
      </c>
      <c r="E2269" s="148">
        <f>IFERROR(__xludf.DUMMYFUNCTION("""COMPUTED_VALUE"""),20.0)</f>
        <v>20</v>
      </c>
      <c r="F2269" s="148">
        <f>IFERROR(__xludf.DUMMYFUNCTION("""COMPUTED_VALUE"""),0.0)</f>
        <v>0</v>
      </c>
      <c r="G2269" s="148">
        <f>IFERROR(__xludf.DUMMYFUNCTION("""COMPUTED_VALUE"""),1.51101679E8)</f>
        <v>151101679</v>
      </c>
      <c r="H2269" s="148">
        <f>IFERROR(__xludf.DUMMYFUNCTION("""COMPUTED_VALUE"""),1.5112564E7)</f>
        <v>15112564</v>
      </c>
      <c r="I2269" s="148" t="str">
        <f>IFERROR(__xludf.DUMMYFUNCTION("""COMPUTED_VALUE"""),"{}")</f>
        <v>{}</v>
      </c>
      <c r="J2269" s="148" t="str">
        <f>IFERROR(__xludf.DUMMYFUNCTION("""COMPUTED_VALUE"""),"{""typ"":""lc"",""txt"":""LC_ITEM_map_emoji_easter2025""}")</f>
        <v>{"typ":"lc","txt":"LC_ITEM_map_emoji_easter2025"}</v>
      </c>
      <c r="K2269" s="148" t="str">
        <f>IFERROR(__xludf.DUMMYFUNCTION("""COMPUTED_VALUE"""),"{""typ"":""lc"",""txt"":""LC_ITEM_map_emoji_easter2025_desc""}")</f>
        <v>{"typ":"lc","txt":"LC_ITEM_map_emoji_easter2025_desc"}</v>
      </c>
      <c r="L2269" s="148" t="str">
        <f>IFERROR(__xludf.DUMMYFUNCTION("""COMPUTED_VALUE"""),"{}")</f>
        <v>{}</v>
      </c>
      <c r="M2269" s="148">
        <f>IFERROR(__xludf.DUMMYFUNCTION("""COMPUTED_VALUE"""),1000.0)</f>
        <v>1000</v>
      </c>
      <c r="N2269" s="148">
        <f>IFERROR(__xludf.DUMMYFUNCTION("""COMPUTED_VALUE"""),99.0)</f>
        <v>99</v>
      </c>
      <c r="O2269" s="148">
        <f>IFERROR(__xludf.DUMMYFUNCTION("""COMPUTED_VALUE"""),1.0)</f>
        <v>1</v>
      </c>
      <c r="P2269" s="148">
        <f>IFERROR(__xludf.DUMMYFUNCTION("""COMPUTED_VALUE"""),1.0)</f>
        <v>1</v>
      </c>
      <c r="Q2269" s="148" t="str">
        <f>IFERROR(__xludf.DUMMYFUNCTION("""COMPUTED_VALUE"""),"[]")</f>
        <v>[]</v>
      </c>
      <c r="R2269" s="148" t="str">
        <f>IFERROR(__xludf.DUMMYFUNCTION("""COMPUTED_VALUE"""),"[]")</f>
        <v>[]</v>
      </c>
      <c r="S2269" s="148" t="str">
        <f>IFERROR(__xludf.DUMMYFUNCTION("""COMPUTED_VALUE"""),"{""effect"":[{""typ"":""map_emoji"",""id"":11800015,""val"":-1}]}")</f>
        <v>{"effect":[{"typ":"map_emoji","id":11800015,"val":-1}]}</v>
      </c>
      <c r="T2269" s="148">
        <f>IFERROR(__xludf.DUMMYFUNCTION("""COMPUTED_VALUE"""),-1.0)</f>
        <v>-1</v>
      </c>
      <c r="U2269" s="148">
        <f>IFERROR(__xludf.DUMMYFUNCTION("""COMPUTED_VALUE"""),1.0)</f>
        <v>1</v>
      </c>
      <c r="V2269" s="148" t="str">
        <f>IFERROR(__xludf.DUMMYFUNCTION("""COMPUTED_VALUE"""),"[]")</f>
        <v>[]</v>
      </c>
      <c r="W2269" s="148">
        <f>IFERROR(__xludf.DUMMYFUNCTION("""COMPUTED_VALUE"""),1.174E7)</f>
        <v>11740000</v>
      </c>
      <c r="X2269" s="148">
        <f>IFERROR(__xludf.DUMMYFUNCTION("""COMPUTED_VALUE"""),0.0)</f>
        <v>0</v>
      </c>
      <c r="Y2269" s="148">
        <f>IFERROR(__xludf.DUMMYFUNCTION("""COMPUTED_VALUE"""),0.0)</f>
        <v>0</v>
      </c>
      <c r="Z2269" s="148"/>
    </row>
    <row r="2270">
      <c r="A2270" s="148">
        <f>IFERROR(__xludf.DUMMYFUNCTION("""COMPUTED_VALUE"""),1.1119116E7)</f>
        <v>11119116</v>
      </c>
      <c r="B2270" s="148" t="str">
        <f>IFERROR(__xludf.DUMMYFUNCTION("""COMPUTED_VALUE"""),"头像框-冰封王国")</f>
        <v>头像框-冰封王国</v>
      </c>
      <c r="C2270" s="148"/>
      <c r="D2270" s="148" t="str">
        <f>IFERROR(__xludf.DUMMYFUNCTION("""COMPUTED_VALUE"""),"avatar_frame")</f>
        <v>avatar_frame</v>
      </c>
      <c r="E2270" s="148">
        <f>IFERROR(__xludf.DUMMYFUNCTION("""COMPUTED_VALUE"""),20.0)</f>
        <v>20</v>
      </c>
      <c r="F2270" s="148">
        <f>IFERROR(__xludf.DUMMYFUNCTION("""COMPUTED_VALUE"""),0.0)</f>
        <v>0</v>
      </c>
      <c r="G2270" s="148">
        <f>IFERROR(__xludf.DUMMYFUNCTION("""COMPUTED_VALUE"""),1.51101649E8)</f>
        <v>151101649</v>
      </c>
      <c r="H2270" s="148">
        <f>IFERROR(__xludf.DUMMYFUNCTION("""COMPUTED_VALUE"""),1.5112563E7)</f>
        <v>15112563</v>
      </c>
      <c r="I2270" s="148" t="str">
        <f>IFERROR(__xludf.DUMMYFUNCTION("""COMPUTED_VALUE"""),"{}")</f>
        <v>{}</v>
      </c>
      <c r="J2270" s="148" t="str">
        <f>IFERROR(__xludf.DUMMYFUNCTION("""COMPUTED_VALUE"""),"{""typ"":""lc"",""txt"":""LC_ASSET_avatar_frame_name_42""}")</f>
        <v>{"typ":"lc","txt":"LC_ASSET_avatar_frame_name_42"}</v>
      </c>
      <c r="K2270" s="148" t="str">
        <f>IFERROR(__xludf.DUMMYFUNCTION("""COMPUTED_VALUE"""),"{""typ"":""lc"",""txt"":""LC_MENU_forever""}")</f>
        <v>{"typ":"lc","txt":"LC_MENU_forever"}</v>
      </c>
      <c r="L2270" s="148" t="str">
        <f>IFERROR(__xludf.DUMMYFUNCTION("""COMPUTED_VALUE"""),"{}")</f>
        <v>{}</v>
      </c>
      <c r="M2270" s="148">
        <f>IFERROR(__xludf.DUMMYFUNCTION("""COMPUTED_VALUE"""),1000.0)</f>
        <v>1000</v>
      </c>
      <c r="N2270" s="148">
        <f>IFERROR(__xludf.DUMMYFUNCTION("""COMPUTED_VALUE"""),99.0)</f>
        <v>99</v>
      </c>
      <c r="O2270" s="148">
        <f>IFERROR(__xludf.DUMMYFUNCTION("""COMPUTED_VALUE"""),1.0)</f>
        <v>1</v>
      </c>
      <c r="P2270" s="148">
        <f>IFERROR(__xludf.DUMMYFUNCTION("""COMPUTED_VALUE"""),1.0)</f>
        <v>1</v>
      </c>
      <c r="Q2270" s="148" t="str">
        <f>IFERROR(__xludf.DUMMYFUNCTION("""COMPUTED_VALUE"""),"[]")</f>
        <v>[]</v>
      </c>
      <c r="R2270" s="148" t="str">
        <f>IFERROR(__xludf.DUMMYFUNCTION("""COMPUTED_VALUE"""),"[""11421050""]")</f>
        <v>["11421050"]</v>
      </c>
      <c r="S2270" s="148" t="str">
        <f>IFERROR(__xludf.DUMMYFUNCTION("""COMPUTED_VALUE"""),"{""effect"":[{""typ"":""avatar_frame"",""id"":11421050,""val"":-1},{""typ"":""item"",""id"":11111031,""val"":1000}]}")</f>
        <v>{"effect":[{"typ":"avatar_frame","id":11421050,"val":-1},{"typ":"item","id":11111031,"val":1000}]}</v>
      </c>
      <c r="T2270" s="148">
        <f>IFERROR(__xludf.DUMMYFUNCTION("""COMPUTED_VALUE"""),-1.0)</f>
        <v>-1</v>
      </c>
      <c r="U2270" s="148">
        <f>IFERROR(__xludf.DUMMYFUNCTION("""COMPUTED_VALUE"""),1.0)</f>
        <v>1</v>
      </c>
      <c r="V2270" s="148" t="str">
        <f>IFERROR(__xludf.DUMMYFUNCTION("""COMPUTED_VALUE"""),"[]")</f>
        <v>[]</v>
      </c>
      <c r="W2270" s="148">
        <f>IFERROR(__xludf.DUMMYFUNCTION("""COMPUTED_VALUE"""),1.174E7)</f>
        <v>11740000</v>
      </c>
      <c r="X2270" s="148">
        <f>IFERROR(__xludf.DUMMYFUNCTION("""COMPUTED_VALUE"""),0.0)</f>
        <v>0</v>
      </c>
      <c r="Y2270" s="148">
        <f>IFERROR(__xludf.DUMMYFUNCTION("""COMPUTED_VALUE"""),0.0)</f>
        <v>0</v>
      </c>
      <c r="Z2270" s="148"/>
    </row>
    <row r="2271">
      <c r="A2271" s="148">
        <f>IFERROR(__xludf.DUMMYFUNCTION("""COMPUTED_VALUE"""),1.1119117E7)</f>
        <v>11119117</v>
      </c>
      <c r="B2271" s="148" t="str">
        <f>IFERROR(__xludf.DUMMYFUNCTION("""COMPUTED_VALUE"""),"头像框-古堡幽灵")</f>
        <v>头像框-古堡幽灵</v>
      </c>
      <c r="C2271" s="148"/>
      <c r="D2271" s="148" t="str">
        <f>IFERROR(__xludf.DUMMYFUNCTION("""COMPUTED_VALUE"""),"avatar_frame")</f>
        <v>avatar_frame</v>
      </c>
      <c r="E2271" s="148">
        <f>IFERROR(__xludf.DUMMYFUNCTION("""COMPUTED_VALUE"""),20.0)</f>
        <v>20</v>
      </c>
      <c r="F2271" s="148">
        <f>IFERROR(__xludf.DUMMYFUNCTION("""COMPUTED_VALUE"""),0.0)</f>
        <v>0</v>
      </c>
      <c r="G2271" s="148">
        <f>IFERROR(__xludf.DUMMYFUNCTION("""COMPUTED_VALUE"""),1.5110165E8)</f>
        <v>151101650</v>
      </c>
      <c r="H2271" s="148">
        <f>IFERROR(__xludf.DUMMYFUNCTION("""COMPUTED_VALUE"""),1.5112563E7)</f>
        <v>15112563</v>
      </c>
      <c r="I2271" s="148" t="str">
        <f>IFERROR(__xludf.DUMMYFUNCTION("""COMPUTED_VALUE"""),"{}")</f>
        <v>{}</v>
      </c>
      <c r="J2271" s="148" t="str">
        <f>IFERROR(__xludf.DUMMYFUNCTION("""COMPUTED_VALUE"""),"{""typ"":""lc"",""txt"":""LC_ASSET_avatar_frame_name_43""}")</f>
        <v>{"typ":"lc","txt":"LC_ASSET_avatar_frame_name_43"}</v>
      </c>
      <c r="K2271" s="148" t="str">
        <f>IFERROR(__xludf.DUMMYFUNCTION("""COMPUTED_VALUE"""),"{""typ"":""lc"",""txt"":""LC_MENU_forever""}")</f>
        <v>{"typ":"lc","txt":"LC_MENU_forever"}</v>
      </c>
      <c r="L2271" s="148" t="str">
        <f>IFERROR(__xludf.DUMMYFUNCTION("""COMPUTED_VALUE"""),"{}")</f>
        <v>{}</v>
      </c>
      <c r="M2271" s="148">
        <f>IFERROR(__xludf.DUMMYFUNCTION("""COMPUTED_VALUE"""),1000.0)</f>
        <v>1000</v>
      </c>
      <c r="N2271" s="148">
        <f>IFERROR(__xludf.DUMMYFUNCTION("""COMPUTED_VALUE"""),99.0)</f>
        <v>99</v>
      </c>
      <c r="O2271" s="148">
        <f>IFERROR(__xludf.DUMMYFUNCTION("""COMPUTED_VALUE"""),1.0)</f>
        <v>1</v>
      </c>
      <c r="P2271" s="148">
        <f>IFERROR(__xludf.DUMMYFUNCTION("""COMPUTED_VALUE"""),1.0)</f>
        <v>1</v>
      </c>
      <c r="Q2271" s="148" t="str">
        <f>IFERROR(__xludf.DUMMYFUNCTION("""COMPUTED_VALUE"""),"[]")</f>
        <v>[]</v>
      </c>
      <c r="R2271" s="148" t="str">
        <f>IFERROR(__xludf.DUMMYFUNCTION("""COMPUTED_VALUE"""),"[""11421051""]")</f>
        <v>["11421051"]</v>
      </c>
      <c r="S2271" s="148" t="str">
        <f>IFERROR(__xludf.DUMMYFUNCTION("""COMPUTED_VALUE"""),"{""effect"":[{""typ"":""avatar_frame"",""id"":11421051,""val"":-1},{""typ"":""item"",""id"":11111031,""val"":1000}]}")</f>
        <v>{"effect":[{"typ":"avatar_frame","id":11421051,"val":-1},{"typ":"item","id":11111031,"val":1000}]}</v>
      </c>
      <c r="T2271" s="148">
        <f>IFERROR(__xludf.DUMMYFUNCTION("""COMPUTED_VALUE"""),-1.0)</f>
        <v>-1</v>
      </c>
      <c r="U2271" s="148">
        <f>IFERROR(__xludf.DUMMYFUNCTION("""COMPUTED_VALUE"""),1.0)</f>
        <v>1</v>
      </c>
      <c r="V2271" s="148" t="str">
        <f>IFERROR(__xludf.DUMMYFUNCTION("""COMPUTED_VALUE"""),"[]")</f>
        <v>[]</v>
      </c>
      <c r="W2271" s="148">
        <f>IFERROR(__xludf.DUMMYFUNCTION("""COMPUTED_VALUE"""),1.174E7)</f>
        <v>11740000</v>
      </c>
      <c r="X2271" s="148">
        <f>IFERROR(__xludf.DUMMYFUNCTION("""COMPUTED_VALUE"""),0.0)</f>
        <v>0</v>
      </c>
      <c r="Y2271" s="148">
        <f>IFERROR(__xludf.DUMMYFUNCTION("""COMPUTED_VALUE"""),0.0)</f>
        <v>0</v>
      </c>
      <c r="Z2271" s="148"/>
    </row>
    <row r="2272">
      <c r="A2272" s="148">
        <f>IFERROR(__xludf.DUMMYFUNCTION("""COMPUTED_VALUE"""),1.1119118E7)</f>
        <v>11119118</v>
      </c>
      <c r="B2272" s="148" t="str">
        <f>IFERROR(__xludf.DUMMYFUNCTION("""COMPUTED_VALUE"""),"头像框-古代遗迹")</f>
        <v>头像框-古代遗迹</v>
      </c>
      <c r="C2272" s="148"/>
      <c r="D2272" s="148" t="str">
        <f>IFERROR(__xludf.DUMMYFUNCTION("""COMPUTED_VALUE"""),"avatar_frame")</f>
        <v>avatar_frame</v>
      </c>
      <c r="E2272" s="148">
        <f>IFERROR(__xludf.DUMMYFUNCTION("""COMPUTED_VALUE"""),20.0)</f>
        <v>20</v>
      </c>
      <c r="F2272" s="148">
        <f>IFERROR(__xludf.DUMMYFUNCTION("""COMPUTED_VALUE"""),0.0)</f>
        <v>0</v>
      </c>
      <c r="G2272" s="148">
        <f>IFERROR(__xludf.DUMMYFUNCTION("""COMPUTED_VALUE"""),1.51101651E8)</f>
        <v>151101651</v>
      </c>
      <c r="H2272" s="148">
        <f>IFERROR(__xludf.DUMMYFUNCTION("""COMPUTED_VALUE"""),1.5112563E7)</f>
        <v>15112563</v>
      </c>
      <c r="I2272" s="148" t="str">
        <f>IFERROR(__xludf.DUMMYFUNCTION("""COMPUTED_VALUE"""),"{}")</f>
        <v>{}</v>
      </c>
      <c r="J2272" s="148" t="str">
        <f>IFERROR(__xludf.DUMMYFUNCTION("""COMPUTED_VALUE"""),"{""typ"":""lc"",""txt"":""LC_ASSET_avatar_frame_name_44""}")</f>
        <v>{"typ":"lc","txt":"LC_ASSET_avatar_frame_name_44"}</v>
      </c>
      <c r="K2272" s="148" t="str">
        <f>IFERROR(__xludf.DUMMYFUNCTION("""COMPUTED_VALUE"""),"{""typ"":""lc"",""txt"":""LC_MENU_forever""}")</f>
        <v>{"typ":"lc","txt":"LC_MENU_forever"}</v>
      </c>
      <c r="L2272" s="148" t="str">
        <f>IFERROR(__xludf.DUMMYFUNCTION("""COMPUTED_VALUE"""),"{}")</f>
        <v>{}</v>
      </c>
      <c r="M2272" s="148">
        <f>IFERROR(__xludf.DUMMYFUNCTION("""COMPUTED_VALUE"""),1000.0)</f>
        <v>1000</v>
      </c>
      <c r="N2272" s="148">
        <f>IFERROR(__xludf.DUMMYFUNCTION("""COMPUTED_VALUE"""),99.0)</f>
        <v>99</v>
      </c>
      <c r="O2272" s="148">
        <f>IFERROR(__xludf.DUMMYFUNCTION("""COMPUTED_VALUE"""),1.0)</f>
        <v>1</v>
      </c>
      <c r="P2272" s="148">
        <f>IFERROR(__xludf.DUMMYFUNCTION("""COMPUTED_VALUE"""),1.0)</f>
        <v>1</v>
      </c>
      <c r="Q2272" s="148" t="str">
        <f>IFERROR(__xludf.DUMMYFUNCTION("""COMPUTED_VALUE"""),"[]")</f>
        <v>[]</v>
      </c>
      <c r="R2272" s="148" t="str">
        <f>IFERROR(__xludf.DUMMYFUNCTION("""COMPUTED_VALUE"""),"[""11421052""]")</f>
        <v>["11421052"]</v>
      </c>
      <c r="S2272" s="148" t="str">
        <f>IFERROR(__xludf.DUMMYFUNCTION("""COMPUTED_VALUE"""),"{""effect"":[{""typ"":""avatar_frame"",""id"":11421052,""val"":-1},{""typ"":""item"",""id"":11111031,""val"":1000}]}")</f>
        <v>{"effect":[{"typ":"avatar_frame","id":11421052,"val":-1},{"typ":"item","id":11111031,"val":1000}]}</v>
      </c>
      <c r="T2272" s="148">
        <f>IFERROR(__xludf.DUMMYFUNCTION("""COMPUTED_VALUE"""),-1.0)</f>
        <v>-1</v>
      </c>
      <c r="U2272" s="148">
        <f>IFERROR(__xludf.DUMMYFUNCTION("""COMPUTED_VALUE"""),1.0)</f>
        <v>1</v>
      </c>
      <c r="V2272" s="148" t="str">
        <f>IFERROR(__xludf.DUMMYFUNCTION("""COMPUTED_VALUE"""),"[]")</f>
        <v>[]</v>
      </c>
      <c r="W2272" s="148">
        <f>IFERROR(__xludf.DUMMYFUNCTION("""COMPUTED_VALUE"""),1.174E7)</f>
        <v>11740000</v>
      </c>
      <c r="X2272" s="148">
        <f>IFERROR(__xludf.DUMMYFUNCTION("""COMPUTED_VALUE"""),0.0)</f>
        <v>0</v>
      </c>
      <c r="Y2272" s="148">
        <f>IFERROR(__xludf.DUMMYFUNCTION("""COMPUTED_VALUE"""),0.0)</f>
        <v>0</v>
      </c>
      <c r="Z2272" s="148"/>
    </row>
    <row r="2273">
      <c r="A2273" s="148">
        <f>IFERROR(__xludf.DUMMYFUNCTION("""COMPUTED_VALUE"""),1.1119119E7)</f>
        <v>11119119</v>
      </c>
      <c r="B2273" s="148" t="str">
        <f>IFERROR(__xludf.DUMMYFUNCTION("""COMPUTED_VALUE"""),"头像框-机械时代")</f>
        <v>头像框-机械时代</v>
      </c>
      <c r="C2273" s="148"/>
      <c r="D2273" s="148" t="str">
        <f>IFERROR(__xludf.DUMMYFUNCTION("""COMPUTED_VALUE"""),"avatar_frame")</f>
        <v>avatar_frame</v>
      </c>
      <c r="E2273" s="148">
        <f>IFERROR(__xludf.DUMMYFUNCTION("""COMPUTED_VALUE"""),20.0)</f>
        <v>20</v>
      </c>
      <c r="F2273" s="148">
        <f>IFERROR(__xludf.DUMMYFUNCTION("""COMPUTED_VALUE"""),0.0)</f>
        <v>0</v>
      </c>
      <c r="G2273" s="148">
        <f>IFERROR(__xludf.DUMMYFUNCTION("""COMPUTED_VALUE"""),1.51101652E8)</f>
        <v>151101652</v>
      </c>
      <c r="H2273" s="148">
        <f>IFERROR(__xludf.DUMMYFUNCTION("""COMPUTED_VALUE"""),1.5112563E7)</f>
        <v>15112563</v>
      </c>
      <c r="I2273" s="148" t="str">
        <f>IFERROR(__xludf.DUMMYFUNCTION("""COMPUTED_VALUE"""),"{}")</f>
        <v>{}</v>
      </c>
      <c r="J2273" s="148" t="str">
        <f>IFERROR(__xludf.DUMMYFUNCTION("""COMPUTED_VALUE"""),"{""typ"":""lc"",""txt"":""LC_ASSET_avatar_frame_name_45""}")</f>
        <v>{"typ":"lc","txt":"LC_ASSET_avatar_frame_name_45"}</v>
      </c>
      <c r="K2273" s="148" t="str">
        <f>IFERROR(__xludf.DUMMYFUNCTION("""COMPUTED_VALUE"""),"{""typ"":""lc"",""txt"":""LC_MENU_forever""}")</f>
        <v>{"typ":"lc","txt":"LC_MENU_forever"}</v>
      </c>
      <c r="L2273" s="148" t="str">
        <f>IFERROR(__xludf.DUMMYFUNCTION("""COMPUTED_VALUE"""),"{}")</f>
        <v>{}</v>
      </c>
      <c r="M2273" s="148">
        <f>IFERROR(__xludf.DUMMYFUNCTION("""COMPUTED_VALUE"""),1000.0)</f>
        <v>1000</v>
      </c>
      <c r="N2273" s="148">
        <f>IFERROR(__xludf.DUMMYFUNCTION("""COMPUTED_VALUE"""),99.0)</f>
        <v>99</v>
      </c>
      <c r="O2273" s="148">
        <f>IFERROR(__xludf.DUMMYFUNCTION("""COMPUTED_VALUE"""),1.0)</f>
        <v>1</v>
      </c>
      <c r="P2273" s="148">
        <f>IFERROR(__xludf.DUMMYFUNCTION("""COMPUTED_VALUE"""),1.0)</f>
        <v>1</v>
      </c>
      <c r="Q2273" s="148" t="str">
        <f>IFERROR(__xludf.DUMMYFUNCTION("""COMPUTED_VALUE"""),"[]")</f>
        <v>[]</v>
      </c>
      <c r="R2273" s="148" t="str">
        <f>IFERROR(__xludf.DUMMYFUNCTION("""COMPUTED_VALUE"""),"[""11421053""]")</f>
        <v>["11421053"]</v>
      </c>
      <c r="S2273" s="148" t="str">
        <f>IFERROR(__xludf.DUMMYFUNCTION("""COMPUTED_VALUE"""),"{""effect"":[{""typ"":""avatar_frame"",""id"":11421053,""val"":-1},{""typ"":""item"",""id"":11111031,""val"":1000}]}")</f>
        <v>{"effect":[{"typ":"avatar_frame","id":11421053,"val":-1},{"typ":"item","id":11111031,"val":1000}]}</v>
      </c>
      <c r="T2273" s="148">
        <f>IFERROR(__xludf.DUMMYFUNCTION("""COMPUTED_VALUE"""),-1.0)</f>
        <v>-1</v>
      </c>
      <c r="U2273" s="148">
        <f>IFERROR(__xludf.DUMMYFUNCTION("""COMPUTED_VALUE"""),1.0)</f>
        <v>1</v>
      </c>
      <c r="V2273" s="148" t="str">
        <f>IFERROR(__xludf.DUMMYFUNCTION("""COMPUTED_VALUE"""),"[]")</f>
        <v>[]</v>
      </c>
      <c r="W2273" s="148">
        <f>IFERROR(__xludf.DUMMYFUNCTION("""COMPUTED_VALUE"""),1.174E7)</f>
        <v>11740000</v>
      </c>
      <c r="X2273" s="148">
        <f>IFERROR(__xludf.DUMMYFUNCTION("""COMPUTED_VALUE"""),0.0)</f>
        <v>0</v>
      </c>
      <c r="Y2273" s="148">
        <f>IFERROR(__xludf.DUMMYFUNCTION("""COMPUTED_VALUE"""),0.0)</f>
        <v>0</v>
      </c>
      <c r="Z2273" s="148"/>
    </row>
    <row r="2274">
      <c r="A2274" s="148">
        <f>IFERROR(__xludf.DUMMYFUNCTION("""COMPUTED_VALUE"""),1.111912E7)</f>
        <v>11119120</v>
      </c>
      <c r="B2274" s="148" t="str">
        <f>IFERROR(__xludf.DUMMYFUNCTION("""COMPUTED_VALUE"""),"头像框-梦幻花园")</f>
        <v>头像框-梦幻花园</v>
      </c>
      <c r="C2274" s="148"/>
      <c r="D2274" s="148" t="str">
        <f>IFERROR(__xludf.DUMMYFUNCTION("""COMPUTED_VALUE"""),"avatar_frame")</f>
        <v>avatar_frame</v>
      </c>
      <c r="E2274" s="148">
        <f>IFERROR(__xludf.DUMMYFUNCTION("""COMPUTED_VALUE"""),20.0)</f>
        <v>20</v>
      </c>
      <c r="F2274" s="148">
        <f>IFERROR(__xludf.DUMMYFUNCTION("""COMPUTED_VALUE"""),0.0)</f>
        <v>0</v>
      </c>
      <c r="G2274" s="148">
        <f>IFERROR(__xludf.DUMMYFUNCTION("""COMPUTED_VALUE"""),1.51101653E8)</f>
        <v>151101653</v>
      </c>
      <c r="H2274" s="148">
        <f>IFERROR(__xludf.DUMMYFUNCTION("""COMPUTED_VALUE"""),1.5112563E7)</f>
        <v>15112563</v>
      </c>
      <c r="I2274" s="148" t="str">
        <f>IFERROR(__xludf.DUMMYFUNCTION("""COMPUTED_VALUE"""),"{}")</f>
        <v>{}</v>
      </c>
      <c r="J2274" s="148" t="str">
        <f>IFERROR(__xludf.DUMMYFUNCTION("""COMPUTED_VALUE"""),"{""typ"":""lc"",""txt"":""LC_ASSET_avatar_frame_name_46""}")</f>
        <v>{"typ":"lc","txt":"LC_ASSET_avatar_frame_name_46"}</v>
      </c>
      <c r="K2274" s="148" t="str">
        <f>IFERROR(__xludf.DUMMYFUNCTION("""COMPUTED_VALUE"""),"{""typ"":""lc"",""txt"":""LC_MENU_forever""}")</f>
        <v>{"typ":"lc","txt":"LC_MENU_forever"}</v>
      </c>
      <c r="L2274" s="148" t="str">
        <f>IFERROR(__xludf.DUMMYFUNCTION("""COMPUTED_VALUE"""),"{}")</f>
        <v>{}</v>
      </c>
      <c r="M2274" s="148">
        <f>IFERROR(__xludf.DUMMYFUNCTION("""COMPUTED_VALUE"""),1000.0)</f>
        <v>1000</v>
      </c>
      <c r="N2274" s="148">
        <f>IFERROR(__xludf.DUMMYFUNCTION("""COMPUTED_VALUE"""),99.0)</f>
        <v>99</v>
      </c>
      <c r="O2274" s="148">
        <f>IFERROR(__xludf.DUMMYFUNCTION("""COMPUTED_VALUE"""),1.0)</f>
        <v>1</v>
      </c>
      <c r="P2274" s="148">
        <f>IFERROR(__xludf.DUMMYFUNCTION("""COMPUTED_VALUE"""),1.0)</f>
        <v>1</v>
      </c>
      <c r="Q2274" s="148" t="str">
        <f>IFERROR(__xludf.DUMMYFUNCTION("""COMPUTED_VALUE"""),"[]")</f>
        <v>[]</v>
      </c>
      <c r="R2274" s="148" t="str">
        <f>IFERROR(__xludf.DUMMYFUNCTION("""COMPUTED_VALUE"""),"[""11421054""]")</f>
        <v>["11421054"]</v>
      </c>
      <c r="S2274" s="148" t="str">
        <f>IFERROR(__xludf.DUMMYFUNCTION("""COMPUTED_VALUE"""),"{""effect"":[{""typ"":""avatar_frame"",""id"":11421054,""val"":-1},{""typ"":""item"",""id"":11111031,""val"":1000}]}")</f>
        <v>{"effect":[{"typ":"avatar_frame","id":11421054,"val":-1},{"typ":"item","id":11111031,"val":1000}]}</v>
      </c>
      <c r="T2274" s="148">
        <f>IFERROR(__xludf.DUMMYFUNCTION("""COMPUTED_VALUE"""),-1.0)</f>
        <v>-1</v>
      </c>
      <c r="U2274" s="148">
        <f>IFERROR(__xludf.DUMMYFUNCTION("""COMPUTED_VALUE"""),1.0)</f>
        <v>1</v>
      </c>
      <c r="V2274" s="148" t="str">
        <f>IFERROR(__xludf.DUMMYFUNCTION("""COMPUTED_VALUE"""),"[]")</f>
        <v>[]</v>
      </c>
      <c r="W2274" s="148">
        <f>IFERROR(__xludf.DUMMYFUNCTION("""COMPUTED_VALUE"""),1.174E7)</f>
        <v>11740000</v>
      </c>
      <c r="X2274" s="148">
        <f>IFERROR(__xludf.DUMMYFUNCTION("""COMPUTED_VALUE"""),0.0)</f>
        <v>0</v>
      </c>
      <c r="Y2274" s="148">
        <f>IFERROR(__xludf.DUMMYFUNCTION("""COMPUTED_VALUE"""),0.0)</f>
        <v>0</v>
      </c>
      <c r="Z2274" s="148"/>
    </row>
    <row r="2275">
      <c r="A2275" s="148">
        <f>IFERROR(__xludf.DUMMYFUNCTION("""COMPUTED_VALUE"""),1.1119121E7)</f>
        <v>11119121</v>
      </c>
      <c r="B2275" s="148" t="str">
        <f>IFERROR(__xludf.DUMMYFUNCTION("""COMPUTED_VALUE"""),"头像框-魔法学院")</f>
        <v>头像框-魔法学院</v>
      </c>
      <c r="C2275" s="148"/>
      <c r="D2275" s="148" t="str">
        <f>IFERROR(__xludf.DUMMYFUNCTION("""COMPUTED_VALUE"""),"avatar_frame")</f>
        <v>avatar_frame</v>
      </c>
      <c r="E2275" s="148">
        <f>IFERROR(__xludf.DUMMYFUNCTION("""COMPUTED_VALUE"""),20.0)</f>
        <v>20</v>
      </c>
      <c r="F2275" s="148">
        <f>IFERROR(__xludf.DUMMYFUNCTION("""COMPUTED_VALUE"""),0.0)</f>
        <v>0</v>
      </c>
      <c r="G2275" s="148">
        <f>IFERROR(__xludf.DUMMYFUNCTION("""COMPUTED_VALUE"""),1.51101654E8)</f>
        <v>151101654</v>
      </c>
      <c r="H2275" s="148">
        <f>IFERROR(__xludf.DUMMYFUNCTION("""COMPUTED_VALUE"""),1.5112563E7)</f>
        <v>15112563</v>
      </c>
      <c r="I2275" s="148" t="str">
        <f>IFERROR(__xludf.DUMMYFUNCTION("""COMPUTED_VALUE"""),"{}")</f>
        <v>{}</v>
      </c>
      <c r="J2275" s="148" t="str">
        <f>IFERROR(__xludf.DUMMYFUNCTION("""COMPUTED_VALUE"""),"{""typ"":""lc"",""txt"":""LC_ASSET_avatar_frame_name_47""}")</f>
        <v>{"typ":"lc","txt":"LC_ASSET_avatar_frame_name_47"}</v>
      </c>
      <c r="K2275" s="148" t="str">
        <f>IFERROR(__xludf.DUMMYFUNCTION("""COMPUTED_VALUE"""),"{""typ"":""lc"",""txt"":""LC_MENU_forever""}")</f>
        <v>{"typ":"lc","txt":"LC_MENU_forever"}</v>
      </c>
      <c r="L2275" s="148" t="str">
        <f>IFERROR(__xludf.DUMMYFUNCTION("""COMPUTED_VALUE"""),"{}")</f>
        <v>{}</v>
      </c>
      <c r="M2275" s="148">
        <f>IFERROR(__xludf.DUMMYFUNCTION("""COMPUTED_VALUE"""),1000.0)</f>
        <v>1000</v>
      </c>
      <c r="N2275" s="148">
        <f>IFERROR(__xludf.DUMMYFUNCTION("""COMPUTED_VALUE"""),99.0)</f>
        <v>99</v>
      </c>
      <c r="O2275" s="148">
        <f>IFERROR(__xludf.DUMMYFUNCTION("""COMPUTED_VALUE"""),1.0)</f>
        <v>1</v>
      </c>
      <c r="P2275" s="148">
        <f>IFERROR(__xludf.DUMMYFUNCTION("""COMPUTED_VALUE"""),1.0)</f>
        <v>1</v>
      </c>
      <c r="Q2275" s="148" t="str">
        <f>IFERROR(__xludf.DUMMYFUNCTION("""COMPUTED_VALUE"""),"[]")</f>
        <v>[]</v>
      </c>
      <c r="R2275" s="148" t="str">
        <f>IFERROR(__xludf.DUMMYFUNCTION("""COMPUTED_VALUE"""),"[""11421055""]")</f>
        <v>["11421055"]</v>
      </c>
      <c r="S2275" s="148" t="str">
        <f>IFERROR(__xludf.DUMMYFUNCTION("""COMPUTED_VALUE"""),"{""effect"":[{""typ"":""avatar_frame"",""id"":11421055,""val"":-1},{""typ"":""item"",""id"":11111031,""val"":1000}]}")</f>
        <v>{"effect":[{"typ":"avatar_frame","id":11421055,"val":-1},{"typ":"item","id":11111031,"val":1000}]}</v>
      </c>
      <c r="T2275" s="148">
        <f>IFERROR(__xludf.DUMMYFUNCTION("""COMPUTED_VALUE"""),-1.0)</f>
        <v>-1</v>
      </c>
      <c r="U2275" s="148">
        <f>IFERROR(__xludf.DUMMYFUNCTION("""COMPUTED_VALUE"""),1.0)</f>
        <v>1</v>
      </c>
      <c r="V2275" s="148" t="str">
        <f>IFERROR(__xludf.DUMMYFUNCTION("""COMPUTED_VALUE"""),"[]")</f>
        <v>[]</v>
      </c>
      <c r="W2275" s="148">
        <f>IFERROR(__xludf.DUMMYFUNCTION("""COMPUTED_VALUE"""),1.174E7)</f>
        <v>11740000</v>
      </c>
      <c r="X2275" s="148">
        <f>IFERROR(__xludf.DUMMYFUNCTION("""COMPUTED_VALUE"""),0.0)</f>
        <v>0</v>
      </c>
      <c r="Y2275" s="148">
        <f>IFERROR(__xludf.DUMMYFUNCTION("""COMPUTED_VALUE"""),0.0)</f>
        <v>0</v>
      </c>
      <c r="Z2275" s="148"/>
    </row>
    <row r="2276">
      <c r="A2276" s="148">
        <f>IFERROR(__xludf.DUMMYFUNCTION("""COMPUTED_VALUE"""),1.1119122E7)</f>
        <v>11119122</v>
      </c>
      <c r="B2276" s="148" t="str">
        <f>IFERROR(__xludf.DUMMYFUNCTION("""COMPUTED_VALUE"""),"头像框-光之交响曲")</f>
        <v>头像框-光之交响曲</v>
      </c>
      <c r="C2276" s="148"/>
      <c r="D2276" s="148" t="str">
        <f>IFERROR(__xludf.DUMMYFUNCTION("""COMPUTED_VALUE"""),"avatar_frame")</f>
        <v>avatar_frame</v>
      </c>
      <c r="E2276" s="148">
        <f>IFERROR(__xludf.DUMMYFUNCTION("""COMPUTED_VALUE"""),20.0)</f>
        <v>20</v>
      </c>
      <c r="F2276" s="148">
        <f>IFERROR(__xludf.DUMMYFUNCTION("""COMPUTED_VALUE"""),0.0)</f>
        <v>0</v>
      </c>
      <c r="G2276" s="148">
        <f>IFERROR(__xludf.DUMMYFUNCTION("""COMPUTED_VALUE"""),1.51101655E8)</f>
        <v>151101655</v>
      </c>
      <c r="H2276" s="148">
        <f>IFERROR(__xludf.DUMMYFUNCTION("""COMPUTED_VALUE"""),1.5112563E7)</f>
        <v>15112563</v>
      </c>
      <c r="I2276" s="148" t="str">
        <f>IFERROR(__xludf.DUMMYFUNCTION("""COMPUTED_VALUE"""),"{}")</f>
        <v>{}</v>
      </c>
      <c r="J2276" s="148" t="str">
        <f>IFERROR(__xludf.DUMMYFUNCTION("""COMPUTED_VALUE"""),"{""typ"":""lc"",""txt"":""LC_ASSET_avatar_frame_name_48""}")</f>
        <v>{"typ":"lc","txt":"LC_ASSET_avatar_frame_name_48"}</v>
      </c>
      <c r="K2276" s="148" t="str">
        <f>IFERROR(__xludf.DUMMYFUNCTION("""COMPUTED_VALUE"""),"{""typ"":""lc"",""txt"":""LC_MENU_forever""}")</f>
        <v>{"typ":"lc","txt":"LC_MENU_forever"}</v>
      </c>
      <c r="L2276" s="148" t="str">
        <f>IFERROR(__xludf.DUMMYFUNCTION("""COMPUTED_VALUE"""),"{}")</f>
        <v>{}</v>
      </c>
      <c r="M2276" s="148">
        <f>IFERROR(__xludf.DUMMYFUNCTION("""COMPUTED_VALUE"""),1000.0)</f>
        <v>1000</v>
      </c>
      <c r="N2276" s="148">
        <f>IFERROR(__xludf.DUMMYFUNCTION("""COMPUTED_VALUE"""),99.0)</f>
        <v>99</v>
      </c>
      <c r="O2276" s="148">
        <f>IFERROR(__xludf.DUMMYFUNCTION("""COMPUTED_VALUE"""),1.0)</f>
        <v>1</v>
      </c>
      <c r="P2276" s="148">
        <f>IFERROR(__xludf.DUMMYFUNCTION("""COMPUTED_VALUE"""),1.0)</f>
        <v>1</v>
      </c>
      <c r="Q2276" s="148" t="str">
        <f>IFERROR(__xludf.DUMMYFUNCTION("""COMPUTED_VALUE"""),"[]")</f>
        <v>[]</v>
      </c>
      <c r="R2276" s="148" t="str">
        <f>IFERROR(__xludf.DUMMYFUNCTION("""COMPUTED_VALUE"""),"[""11421056""]")</f>
        <v>["11421056"]</v>
      </c>
      <c r="S2276" s="148" t="str">
        <f>IFERROR(__xludf.DUMMYFUNCTION("""COMPUTED_VALUE"""),"{""effect"":[{""typ"":""avatar_frame"",""id"":11421056,""val"":-1},{""typ"":""item"",""id"":11111031,""val"":1000}]}")</f>
        <v>{"effect":[{"typ":"avatar_frame","id":11421056,"val":-1},{"typ":"item","id":11111031,"val":1000}]}</v>
      </c>
      <c r="T2276" s="148">
        <f>IFERROR(__xludf.DUMMYFUNCTION("""COMPUTED_VALUE"""),-1.0)</f>
        <v>-1</v>
      </c>
      <c r="U2276" s="148">
        <f>IFERROR(__xludf.DUMMYFUNCTION("""COMPUTED_VALUE"""),1.0)</f>
        <v>1</v>
      </c>
      <c r="V2276" s="148" t="str">
        <f>IFERROR(__xludf.DUMMYFUNCTION("""COMPUTED_VALUE"""),"[]")</f>
        <v>[]</v>
      </c>
      <c r="W2276" s="148">
        <f>IFERROR(__xludf.DUMMYFUNCTION("""COMPUTED_VALUE"""),1.174E7)</f>
        <v>11740000</v>
      </c>
      <c r="X2276" s="148">
        <f>IFERROR(__xludf.DUMMYFUNCTION("""COMPUTED_VALUE"""),0.0)</f>
        <v>0</v>
      </c>
      <c r="Y2276" s="148">
        <f>IFERROR(__xludf.DUMMYFUNCTION("""COMPUTED_VALUE"""),0.0)</f>
        <v>0</v>
      </c>
      <c r="Z2276" s="148"/>
    </row>
    <row r="2277">
      <c r="A2277" s="148">
        <f>IFERROR(__xludf.DUMMYFUNCTION("""COMPUTED_VALUE"""),1.1119123E7)</f>
        <v>11119123</v>
      </c>
      <c r="B2277" s="148" t="str">
        <f>IFERROR(__xludf.DUMMYFUNCTION("""COMPUTED_VALUE"""),"头像框-荒野求生")</f>
        <v>头像框-荒野求生</v>
      </c>
      <c r="C2277" s="148"/>
      <c r="D2277" s="148" t="str">
        <f>IFERROR(__xludf.DUMMYFUNCTION("""COMPUTED_VALUE"""),"avatar_frame")</f>
        <v>avatar_frame</v>
      </c>
      <c r="E2277" s="148">
        <f>IFERROR(__xludf.DUMMYFUNCTION("""COMPUTED_VALUE"""),20.0)</f>
        <v>20</v>
      </c>
      <c r="F2277" s="148">
        <f>IFERROR(__xludf.DUMMYFUNCTION("""COMPUTED_VALUE"""),0.0)</f>
        <v>0</v>
      </c>
      <c r="G2277" s="148">
        <f>IFERROR(__xludf.DUMMYFUNCTION("""COMPUTED_VALUE"""),1.51101656E8)</f>
        <v>151101656</v>
      </c>
      <c r="H2277" s="148">
        <f>IFERROR(__xludf.DUMMYFUNCTION("""COMPUTED_VALUE"""),1.5112563E7)</f>
        <v>15112563</v>
      </c>
      <c r="I2277" s="148" t="str">
        <f>IFERROR(__xludf.DUMMYFUNCTION("""COMPUTED_VALUE"""),"{}")</f>
        <v>{}</v>
      </c>
      <c r="J2277" s="148" t="str">
        <f>IFERROR(__xludf.DUMMYFUNCTION("""COMPUTED_VALUE"""),"{""typ"":""lc"",""txt"":""LC_ASSET_avatar_frame_name_49""}")</f>
        <v>{"typ":"lc","txt":"LC_ASSET_avatar_frame_name_49"}</v>
      </c>
      <c r="K2277" s="148" t="str">
        <f>IFERROR(__xludf.DUMMYFUNCTION("""COMPUTED_VALUE"""),"{""typ"":""lc"",""txt"":""LC_MENU_forever""}")</f>
        <v>{"typ":"lc","txt":"LC_MENU_forever"}</v>
      </c>
      <c r="L2277" s="148" t="str">
        <f>IFERROR(__xludf.DUMMYFUNCTION("""COMPUTED_VALUE"""),"{}")</f>
        <v>{}</v>
      </c>
      <c r="M2277" s="148">
        <f>IFERROR(__xludf.DUMMYFUNCTION("""COMPUTED_VALUE"""),1000.0)</f>
        <v>1000</v>
      </c>
      <c r="N2277" s="148">
        <f>IFERROR(__xludf.DUMMYFUNCTION("""COMPUTED_VALUE"""),99.0)</f>
        <v>99</v>
      </c>
      <c r="O2277" s="148">
        <f>IFERROR(__xludf.DUMMYFUNCTION("""COMPUTED_VALUE"""),1.0)</f>
        <v>1</v>
      </c>
      <c r="P2277" s="148">
        <f>IFERROR(__xludf.DUMMYFUNCTION("""COMPUTED_VALUE"""),1.0)</f>
        <v>1</v>
      </c>
      <c r="Q2277" s="148" t="str">
        <f>IFERROR(__xludf.DUMMYFUNCTION("""COMPUTED_VALUE"""),"[]")</f>
        <v>[]</v>
      </c>
      <c r="R2277" s="148" t="str">
        <f>IFERROR(__xludf.DUMMYFUNCTION("""COMPUTED_VALUE"""),"[""11421057""]")</f>
        <v>["11421057"]</v>
      </c>
      <c r="S2277" s="148" t="str">
        <f>IFERROR(__xludf.DUMMYFUNCTION("""COMPUTED_VALUE"""),"{""effect"":[{""typ"":""avatar_frame"",""id"":11421057,""val"":-1},{""typ"":""item"",""id"":11111031,""val"":1000}]}")</f>
        <v>{"effect":[{"typ":"avatar_frame","id":11421057,"val":-1},{"typ":"item","id":11111031,"val":1000}]}</v>
      </c>
      <c r="T2277" s="148">
        <f>IFERROR(__xludf.DUMMYFUNCTION("""COMPUTED_VALUE"""),-1.0)</f>
        <v>-1</v>
      </c>
      <c r="U2277" s="148">
        <f>IFERROR(__xludf.DUMMYFUNCTION("""COMPUTED_VALUE"""),1.0)</f>
        <v>1</v>
      </c>
      <c r="V2277" s="148" t="str">
        <f>IFERROR(__xludf.DUMMYFUNCTION("""COMPUTED_VALUE"""),"[]")</f>
        <v>[]</v>
      </c>
      <c r="W2277" s="148">
        <f>IFERROR(__xludf.DUMMYFUNCTION("""COMPUTED_VALUE"""),1.174E7)</f>
        <v>11740000</v>
      </c>
      <c r="X2277" s="148">
        <f>IFERROR(__xludf.DUMMYFUNCTION("""COMPUTED_VALUE"""),0.0)</f>
        <v>0</v>
      </c>
      <c r="Y2277" s="148">
        <f>IFERROR(__xludf.DUMMYFUNCTION("""COMPUTED_VALUE"""),0.0)</f>
        <v>0</v>
      </c>
      <c r="Z2277" s="148"/>
    </row>
    <row r="2278">
      <c r="A2278" s="148">
        <f>IFERROR(__xludf.DUMMYFUNCTION("""COMPUTED_VALUE"""),1.1119124E7)</f>
        <v>11119124</v>
      </c>
      <c r="B2278" s="148" t="str">
        <f>IFERROR(__xludf.DUMMYFUNCTION("""COMPUTED_VALUE"""),"头像框-记忆之树")</f>
        <v>头像框-记忆之树</v>
      </c>
      <c r="C2278" s="148"/>
      <c r="D2278" s="148" t="str">
        <f>IFERROR(__xludf.DUMMYFUNCTION("""COMPUTED_VALUE"""),"avatar_frame")</f>
        <v>avatar_frame</v>
      </c>
      <c r="E2278" s="148">
        <f>IFERROR(__xludf.DUMMYFUNCTION("""COMPUTED_VALUE"""),20.0)</f>
        <v>20</v>
      </c>
      <c r="F2278" s="148">
        <f>IFERROR(__xludf.DUMMYFUNCTION("""COMPUTED_VALUE"""),0.0)</f>
        <v>0</v>
      </c>
      <c r="G2278" s="148">
        <f>IFERROR(__xludf.DUMMYFUNCTION("""COMPUTED_VALUE"""),1.51101657E8)</f>
        <v>151101657</v>
      </c>
      <c r="H2278" s="148">
        <f>IFERROR(__xludf.DUMMYFUNCTION("""COMPUTED_VALUE"""),1.5112563E7)</f>
        <v>15112563</v>
      </c>
      <c r="I2278" s="148" t="str">
        <f>IFERROR(__xludf.DUMMYFUNCTION("""COMPUTED_VALUE"""),"{}")</f>
        <v>{}</v>
      </c>
      <c r="J2278" s="148" t="str">
        <f>IFERROR(__xludf.DUMMYFUNCTION("""COMPUTED_VALUE"""),"{""typ"":""lc"",""txt"":""LC_ASSET_avatar_frame_name_50""}")</f>
        <v>{"typ":"lc","txt":"LC_ASSET_avatar_frame_name_50"}</v>
      </c>
      <c r="K2278" s="148" t="str">
        <f>IFERROR(__xludf.DUMMYFUNCTION("""COMPUTED_VALUE"""),"{""typ"":""lc"",""txt"":""LC_MENU_forever""}")</f>
        <v>{"typ":"lc","txt":"LC_MENU_forever"}</v>
      </c>
      <c r="L2278" s="148" t="str">
        <f>IFERROR(__xludf.DUMMYFUNCTION("""COMPUTED_VALUE"""),"{}")</f>
        <v>{}</v>
      </c>
      <c r="M2278" s="148">
        <f>IFERROR(__xludf.DUMMYFUNCTION("""COMPUTED_VALUE"""),1000.0)</f>
        <v>1000</v>
      </c>
      <c r="N2278" s="148">
        <f>IFERROR(__xludf.DUMMYFUNCTION("""COMPUTED_VALUE"""),99.0)</f>
        <v>99</v>
      </c>
      <c r="O2278" s="148">
        <f>IFERROR(__xludf.DUMMYFUNCTION("""COMPUTED_VALUE"""),1.0)</f>
        <v>1</v>
      </c>
      <c r="P2278" s="148">
        <f>IFERROR(__xludf.DUMMYFUNCTION("""COMPUTED_VALUE"""),1.0)</f>
        <v>1</v>
      </c>
      <c r="Q2278" s="148" t="str">
        <f>IFERROR(__xludf.DUMMYFUNCTION("""COMPUTED_VALUE"""),"[]")</f>
        <v>[]</v>
      </c>
      <c r="R2278" s="148" t="str">
        <f>IFERROR(__xludf.DUMMYFUNCTION("""COMPUTED_VALUE"""),"[""11421058""]")</f>
        <v>["11421058"]</v>
      </c>
      <c r="S2278" s="148" t="str">
        <f>IFERROR(__xludf.DUMMYFUNCTION("""COMPUTED_VALUE"""),"{""effect"":[{""typ"":""avatar_frame"",""id"":11421058,""val"":-1},{""typ"":""item"",""id"":11111031,""val"":1000}]}")</f>
        <v>{"effect":[{"typ":"avatar_frame","id":11421058,"val":-1},{"typ":"item","id":11111031,"val":1000}]}</v>
      </c>
      <c r="T2278" s="148">
        <f>IFERROR(__xludf.DUMMYFUNCTION("""COMPUTED_VALUE"""),-1.0)</f>
        <v>-1</v>
      </c>
      <c r="U2278" s="148">
        <f>IFERROR(__xludf.DUMMYFUNCTION("""COMPUTED_VALUE"""),1.0)</f>
        <v>1</v>
      </c>
      <c r="V2278" s="148" t="str">
        <f>IFERROR(__xludf.DUMMYFUNCTION("""COMPUTED_VALUE"""),"[]")</f>
        <v>[]</v>
      </c>
      <c r="W2278" s="148">
        <f>IFERROR(__xludf.DUMMYFUNCTION("""COMPUTED_VALUE"""),1.174E7)</f>
        <v>11740000</v>
      </c>
      <c r="X2278" s="148">
        <f>IFERROR(__xludf.DUMMYFUNCTION("""COMPUTED_VALUE"""),0.0)</f>
        <v>0</v>
      </c>
      <c r="Y2278" s="148">
        <f>IFERROR(__xludf.DUMMYFUNCTION("""COMPUTED_VALUE"""),0.0)</f>
        <v>0</v>
      </c>
      <c r="Z2278" s="148"/>
    </row>
    <row r="2279">
      <c r="A2279" s="148">
        <f>IFERROR(__xludf.DUMMYFUNCTION("""COMPUTED_VALUE"""),1.1119125E7)</f>
        <v>11119125</v>
      </c>
      <c r="B2279" s="148" t="str">
        <f>IFERROR(__xludf.DUMMYFUNCTION("""COMPUTED_VALUE"""),"头像框-胶片电影")</f>
        <v>头像框-胶片电影</v>
      </c>
      <c r="C2279" s="148"/>
      <c r="D2279" s="148" t="str">
        <f>IFERROR(__xludf.DUMMYFUNCTION("""COMPUTED_VALUE"""),"avatar_frame")</f>
        <v>avatar_frame</v>
      </c>
      <c r="E2279" s="148">
        <f>IFERROR(__xludf.DUMMYFUNCTION("""COMPUTED_VALUE"""),20.0)</f>
        <v>20</v>
      </c>
      <c r="F2279" s="148">
        <f>IFERROR(__xludf.DUMMYFUNCTION("""COMPUTED_VALUE"""),0.0)</f>
        <v>0</v>
      </c>
      <c r="G2279" s="148">
        <f>IFERROR(__xludf.DUMMYFUNCTION("""COMPUTED_VALUE"""),1.51101658E8)</f>
        <v>151101658</v>
      </c>
      <c r="H2279" s="148">
        <f>IFERROR(__xludf.DUMMYFUNCTION("""COMPUTED_VALUE"""),1.5112563E7)</f>
        <v>15112563</v>
      </c>
      <c r="I2279" s="148" t="str">
        <f>IFERROR(__xludf.DUMMYFUNCTION("""COMPUTED_VALUE"""),"{}")</f>
        <v>{}</v>
      </c>
      <c r="J2279" s="148" t="str">
        <f>IFERROR(__xludf.DUMMYFUNCTION("""COMPUTED_VALUE"""),"{""typ"":""lc"",""txt"":""LC_ASSET_avatar_frame_name_51""}")</f>
        <v>{"typ":"lc","txt":"LC_ASSET_avatar_frame_name_51"}</v>
      </c>
      <c r="K2279" s="148" t="str">
        <f>IFERROR(__xludf.DUMMYFUNCTION("""COMPUTED_VALUE"""),"{""typ"":""lc"",""txt"":""LC_MENU_forever""}")</f>
        <v>{"typ":"lc","txt":"LC_MENU_forever"}</v>
      </c>
      <c r="L2279" s="148" t="str">
        <f>IFERROR(__xludf.DUMMYFUNCTION("""COMPUTED_VALUE"""),"{}")</f>
        <v>{}</v>
      </c>
      <c r="M2279" s="148">
        <f>IFERROR(__xludf.DUMMYFUNCTION("""COMPUTED_VALUE"""),1000.0)</f>
        <v>1000</v>
      </c>
      <c r="N2279" s="148">
        <f>IFERROR(__xludf.DUMMYFUNCTION("""COMPUTED_VALUE"""),99.0)</f>
        <v>99</v>
      </c>
      <c r="O2279" s="148">
        <f>IFERROR(__xludf.DUMMYFUNCTION("""COMPUTED_VALUE"""),1.0)</f>
        <v>1</v>
      </c>
      <c r="P2279" s="148">
        <f>IFERROR(__xludf.DUMMYFUNCTION("""COMPUTED_VALUE"""),1.0)</f>
        <v>1</v>
      </c>
      <c r="Q2279" s="148" t="str">
        <f>IFERROR(__xludf.DUMMYFUNCTION("""COMPUTED_VALUE"""),"[]")</f>
        <v>[]</v>
      </c>
      <c r="R2279" s="148" t="str">
        <f>IFERROR(__xludf.DUMMYFUNCTION("""COMPUTED_VALUE"""),"[""11421059""]")</f>
        <v>["11421059"]</v>
      </c>
      <c r="S2279" s="148" t="str">
        <f>IFERROR(__xludf.DUMMYFUNCTION("""COMPUTED_VALUE"""),"{""effect"":[{""typ"":""avatar_frame"",""id"":11421059,""val"":-1},{""typ"":""item"",""id"":11111031,""val"":1000}]}")</f>
        <v>{"effect":[{"typ":"avatar_frame","id":11421059,"val":-1},{"typ":"item","id":11111031,"val":1000}]}</v>
      </c>
      <c r="T2279" s="148">
        <f>IFERROR(__xludf.DUMMYFUNCTION("""COMPUTED_VALUE"""),-1.0)</f>
        <v>-1</v>
      </c>
      <c r="U2279" s="148">
        <f>IFERROR(__xludf.DUMMYFUNCTION("""COMPUTED_VALUE"""),1.0)</f>
        <v>1</v>
      </c>
      <c r="V2279" s="148" t="str">
        <f>IFERROR(__xludf.DUMMYFUNCTION("""COMPUTED_VALUE"""),"[]")</f>
        <v>[]</v>
      </c>
      <c r="W2279" s="148">
        <f>IFERROR(__xludf.DUMMYFUNCTION("""COMPUTED_VALUE"""),1.174E7)</f>
        <v>11740000</v>
      </c>
      <c r="X2279" s="148">
        <f>IFERROR(__xludf.DUMMYFUNCTION("""COMPUTED_VALUE"""),0.0)</f>
        <v>0</v>
      </c>
      <c r="Y2279" s="148">
        <f>IFERROR(__xludf.DUMMYFUNCTION("""COMPUTED_VALUE"""),0.0)</f>
        <v>0</v>
      </c>
      <c r="Z2279" s="148"/>
    </row>
    <row r="2280">
      <c r="A2280" s="148">
        <f>IFERROR(__xludf.DUMMYFUNCTION("""COMPUTED_VALUE"""),1.1119126E7)</f>
        <v>11119126</v>
      </c>
      <c r="B2280" s="148" t="str">
        <f>IFERROR(__xludf.DUMMYFUNCTION("""COMPUTED_VALUE"""),"头像框-沙之国")</f>
        <v>头像框-沙之国</v>
      </c>
      <c r="C2280" s="148"/>
      <c r="D2280" s="148" t="str">
        <f>IFERROR(__xludf.DUMMYFUNCTION("""COMPUTED_VALUE"""),"avatar_frame")</f>
        <v>avatar_frame</v>
      </c>
      <c r="E2280" s="148">
        <f>IFERROR(__xludf.DUMMYFUNCTION("""COMPUTED_VALUE"""),20.0)</f>
        <v>20</v>
      </c>
      <c r="F2280" s="148">
        <f>IFERROR(__xludf.DUMMYFUNCTION("""COMPUTED_VALUE"""),0.0)</f>
        <v>0</v>
      </c>
      <c r="G2280" s="148">
        <f>IFERROR(__xludf.DUMMYFUNCTION("""COMPUTED_VALUE"""),1.51101659E8)</f>
        <v>151101659</v>
      </c>
      <c r="H2280" s="148">
        <f>IFERROR(__xludf.DUMMYFUNCTION("""COMPUTED_VALUE"""),1.5112563E7)</f>
        <v>15112563</v>
      </c>
      <c r="I2280" s="148" t="str">
        <f>IFERROR(__xludf.DUMMYFUNCTION("""COMPUTED_VALUE"""),"{}")</f>
        <v>{}</v>
      </c>
      <c r="J2280" s="148" t="str">
        <f>IFERROR(__xludf.DUMMYFUNCTION("""COMPUTED_VALUE"""),"{""typ"":""lc"",""txt"":""LC_ASSET_avatar_frame_name_52""}")</f>
        <v>{"typ":"lc","txt":"LC_ASSET_avatar_frame_name_52"}</v>
      </c>
      <c r="K2280" s="148" t="str">
        <f>IFERROR(__xludf.DUMMYFUNCTION("""COMPUTED_VALUE"""),"{""typ"":""lc"",""txt"":""LC_MENU_forever""}")</f>
        <v>{"typ":"lc","txt":"LC_MENU_forever"}</v>
      </c>
      <c r="L2280" s="148" t="str">
        <f>IFERROR(__xludf.DUMMYFUNCTION("""COMPUTED_VALUE"""),"{}")</f>
        <v>{}</v>
      </c>
      <c r="M2280" s="148">
        <f>IFERROR(__xludf.DUMMYFUNCTION("""COMPUTED_VALUE"""),1000.0)</f>
        <v>1000</v>
      </c>
      <c r="N2280" s="148">
        <f>IFERROR(__xludf.DUMMYFUNCTION("""COMPUTED_VALUE"""),99.0)</f>
        <v>99</v>
      </c>
      <c r="O2280" s="148">
        <f>IFERROR(__xludf.DUMMYFUNCTION("""COMPUTED_VALUE"""),1.0)</f>
        <v>1</v>
      </c>
      <c r="P2280" s="148">
        <f>IFERROR(__xludf.DUMMYFUNCTION("""COMPUTED_VALUE"""),1.0)</f>
        <v>1</v>
      </c>
      <c r="Q2280" s="148" t="str">
        <f>IFERROR(__xludf.DUMMYFUNCTION("""COMPUTED_VALUE"""),"[]")</f>
        <v>[]</v>
      </c>
      <c r="R2280" s="148" t="str">
        <f>IFERROR(__xludf.DUMMYFUNCTION("""COMPUTED_VALUE"""),"[""11421060""]")</f>
        <v>["11421060"]</v>
      </c>
      <c r="S2280" s="148" t="str">
        <f>IFERROR(__xludf.DUMMYFUNCTION("""COMPUTED_VALUE"""),"{""effect"":[{""typ"":""avatar_frame"",""id"":11421060,""val"":-1},{""typ"":""item"",""id"":11111031,""val"":1000}]}")</f>
        <v>{"effect":[{"typ":"avatar_frame","id":11421060,"val":-1},{"typ":"item","id":11111031,"val":1000}]}</v>
      </c>
      <c r="T2280" s="148">
        <f>IFERROR(__xludf.DUMMYFUNCTION("""COMPUTED_VALUE"""),-1.0)</f>
        <v>-1</v>
      </c>
      <c r="U2280" s="148">
        <f>IFERROR(__xludf.DUMMYFUNCTION("""COMPUTED_VALUE"""),1.0)</f>
        <v>1</v>
      </c>
      <c r="V2280" s="148" t="str">
        <f>IFERROR(__xludf.DUMMYFUNCTION("""COMPUTED_VALUE"""),"[]")</f>
        <v>[]</v>
      </c>
      <c r="W2280" s="148">
        <f>IFERROR(__xludf.DUMMYFUNCTION("""COMPUTED_VALUE"""),1.174E7)</f>
        <v>11740000</v>
      </c>
      <c r="X2280" s="148">
        <f>IFERROR(__xludf.DUMMYFUNCTION("""COMPUTED_VALUE"""),0.0)</f>
        <v>0</v>
      </c>
      <c r="Y2280" s="148">
        <f>IFERROR(__xludf.DUMMYFUNCTION("""COMPUTED_VALUE"""),0.0)</f>
        <v>0</v>
      </c>
      <c r="Z2280" s="148"/>
    </row>
    <row r="2281">
      <c r="A2281" s="148">
        <f>IFERROR(__xludf.DUMMYFUNCTION("""COMPUTED_VALUE"""),1.1119127E7)</f>
        <v>11119127</v>
      </c>
      <c r="B2281" s="148" t="str">
        <f>IFERROR(__xludf.DUMMYFUNCTION("""COMPUTED_VALUE"""),"头像框-虚拟异界")</f>
        <v>头像框-虚拟异界</v>
      </c>
      <c r="C2281" s="148"/>
      <c r="D2281" s="148" t="str">
        <f>IFERROR(__xludf.DUMMYFUNCTION("""COMPUTED_VALUE"""),"avatar_frame")</f>
        <v>avatar_frame</v>
      </c>
      <c r="E2281" s="148">
        <f>IFERROR(__xludf.DUMMYFUNCTION("""COMPUTED_VALUE"""),20.0)</f>
        <v>20</v>
      </c>
      <c r="F2281" s="148">
        <f>IFERROR(__xludf.DUMMYFUNCTION("""COMPUTED_VALUE"""),0.0)</f>
        <v>0</v>
      </c>
      <c r="G2281" s="148">
        <f>IFERROR(__xludf.DUMMYFUNCTION("""COMPUTED_VALUE"""),1.5110166E8)</f>
        <v>151101660</v>
      </c>
      <c r="H2281" s="148">
        <f>IFERROR(__xludf.DUMMYFUNCTION("""COMPUTED_VALUE"""),1.5112563E7)</f>
        <v>15112563</v>
      </c>
      <c r="I2281" s="148" t="str">
        <f>IFERROR(__xludf.DUMMYFUNCTION("""COMPUTED_VALUE"""),"{}")</f>
        <v>{}</v>
      </c>
      <c r="J2281" s="148" t="str">
        <f>IFERROR(__xludf.DUMMYFUNCTION("""COMPUTED_VALUE"""),"{""typ"":""lc"",""txt"":""LC_ASSET_avatar_frame_name_53""}")</f>
        <v>{"typ":"lc","txt":"LC_ASSET_avatar_frame_name_53"}</v>
      </c>
      <c r="K2281" s="148" t="str">
        <f>IFERROR(__xludf.DUMMYFUNCTION("""COMPUTED_VALUE"""),"{""typ"":""lc"",""txt"":""LC_MENU_forever""}")</f>
        <v>{"typ":"lc","txt":"LC_MENU_forever"}</v>
      </c>
      <c r="L2281" s="148" t="str">
        <f>IFERROR(__xludf.DUMMYFUNCTION("""COMPUTED_VALUE"""),"{}")</f>
        <v>{}</v>
      </c>
      <c r="M2281" s="148">
        <f>IFERROR(__xludf.DUMMYFUNCTION("""COMPUTED_VALUE"""),1000.0)</f>
        <v>1000</v>
      </c>
      <c r="N2281" s="148">
        <f>IFERROR(__xludf.DUMMYFUNCTION("""COMPUTED_VALUE"""),99.0)</f>
        <v>99</v>
      </c>
      <c r="O2281" s="148">
        <f>IFERROR(__xludf.DUMMYFUNCTION("""COMPUTED_VALUE"""),1.0)</f>
        <v>1</v>
      </c>
      <c r="P2281" s="148">
        <f>IFERROR(__xludf.DUMMYFUNCTION("""COMPUTED_VALUE"""),1.0)</f>
        <v>1</v>
      </c>
      <c r="Q2281" s="148" t="str">
        <f>IFERROR(__xludf.DUMMYFUNCTION("""COMPUTED_VALUE"""),"[]")</f>
        <v>[]</v>
      </c>
      <c r="R2281" s="148" t="str">
        <f>IFERROR(__xludf.DUMMYFUNCTION("""COMPUTED_VALUE"""),"[""11421061""]")</f>
        <v>["11421061"]</v>
      </c>
      <c r="S2281" s="148" t="str">
        <f>IFERROR(__xludf.DUMMYFUNCTION("""COMPUTED_VALUE"""),"{""effect"":[{""typ"":""avatar_frame"",""id"":11421061,""val"":-1},{""typ"":""item"",""id"":11111031,""val"":1000}]}")</f>
        <v>{"effect":[{"typ":"avatar_frame","id":11421061,"val":-1},{"typ":"item","id":11111031,"val":1000}]}</v>
      </c>
      <c r="T2281" s="148">
        <f>IFERROR(__xludf.DUMMYFUNCTION("""COMPUTED_VALUE"""),-1.0)</f>
        <v>-1</v>
      </c>
      <c r="U2281" s="148">
        <f>IFERROR(__xludf.DUMMYFUNCTION("""COMPUTED_VALUE"""),1.0)</f>
        <v>1</v>
      </c>
      <c r="V2281" s="148" t="str">
        <f>IFERROR(__xludf.DUMMYFUNCTION("""COMPUTED_VALUE"""),"[]")</f>
        <v>[]</v>
      </c>
      <c r="W2281" s="148">
        <f>IFERROR(__xludf.DUMMYFUNCTION("""COMPUTED_VALUE"""),1.174E7)</f>
        <v>11740000</v>
      </c>
      <c r="X2281" s="148">
        <f>IFERROR(__xludf.DUMMYFUNCTION("""COMPUTED_VALUE"""),0.0)</f>
        <v>0</v>
      </c>
      <c r="Y2281" s="148">
        <f>IFERROR(__xludf.DUMMYFUNCTION("""COMPUTED_VALUE"""),0.0)</f>
        <v>0</v>
      </c>
      <c r="Z2281" s="148"/>
    </row>
    <row r="2282">
      <c r="A2282" s="148">
        <f>IFERROR(__xludf.DUMMYFUNCTION("""COMPUTED_VALUE"""),1.1119128E7)</f>
        <v>11119128</v>
      </c>
      <c r="B2282" s="148" t="str">
        <f>IFERROR(__xludf.DUMMYFUNCTION("""COMPUTED_VALUE"""),"行军表情-动态-劳累")</f>
        <v>行军表情-动态-劳累</v>
      </c>
      <c r="C2282" s="148"/>
      <c r="D2282" s="148" t="str">
        <f>IFERROR(__xludf.DUMMYFUNCTION("""COMPUTED_VALUE"""),"map_emoji")</f>
        <v>map_emoji</v>
      </c>
      <c r="E2282" s="148">
        <f>IFERROR(__xludf.DUMMYFUNCTION("""COMPUTED_VALUE"""),20.0)</f>
        <v>20</v>
      </c>
      <c r="F2282" s="148">
        <f>IFERROR(__xludf.DUMMYFUNCTION("""COMPUTED_VALUE"""),0.0)</f>
        <v>0</v>
      </c>
      <c r="G2282" s="148">
        <f>IFERROR(__xludf.DUMMYFUNCTION("""COMPUTED_VALUE"""),1.51101842E8)</f>
        <v>151101842</v>
      </c>
      <c r="H2282" s="148">
        <f>IFERROR(__xludf.DUMMYFUNCTION("""COMPUTED_VALUE"""),1.5112564E7)</f>
        <v>15112564</v>
      </c>
      <c r="I2282" s="148" t="str">
        <f>IFERROR(__xludf.DUMMYFUNCTION("""COMPUTED_VALUE"""),"{}")</f>
        <v>{}</v>
      </c>
      <c r="J2282" s="148" t="str">
        <f>IFERROR(__xludf.DUMMYFUNCTION("""COMPUTED_VALUE"""),"{""typ"":""lc"",""txt"":""LC_ITEM_map_emoji_labor2025""}")</f>
        <v>{"typ":"lc","txt":"LC_ITEM_map_emoji_labor2025"}</v>
      </c>
      <c r="K2282" s="148" t="str">
        <f>IFERROR(__xludf.DUMMYFUNCTION("""COMPUTED_VALUE"""),"{""typ"":""lc"",""txt"":""LC_ITEM_map_emoji_labor2025_desc""}")</f>
        <v>{"typ":"lc","txt":"LC_ITEM_map_emoji_labor2025_desc"}</v>
      </c>
      <c r="L2282" s="148" t="str">
        <f>IFERROR(__xludf.DUMMYFUNCTION("""COMPUTED_VALUE"""),"{}")</f>
        <v>{}</v>
      </c>
      <c r="M2282" s="148">
        <f>IFERROR(__xludf.DUMMYFUNCTION("""COMPUTED_VALUE"""),1000.0)</f>
        <v>1000</v>
      </c>
      <c r="N2282" s="148">
        <f>IFERROR(__xludf.DUMMYFUNCTION("""COMPUTED_VALUE"""),99.0)</f>
        <v>99</v>
      </c>
      <c r="O2282" s="148">
        <f>IFERROR(__xludf.DUMMYFUNCTION("""COMPUTED_VALUE"""),1.0)</f>
        <v>1</v>
      </c>
      <c r="P2282" s="148">
        <f>IFERROR(__xludf.DUMMYFUNCTION("""COMPUTED_VALUE"""),1.0)</f>
        <v>1</v>
      </c>
      <c r="Q2282" s="148" t="str">
        <f>IFERROR(__xludf.DUMMYFUNCTION("""COMPUTED_VALUE"""),"[]")</f>
        <v>[]</v>
      </c>
      <c r="R2282" s="148" t="str">
        <f>IFERROR(__xludf.DUMMYFUNCTION("""COMPUTED_VALUE"""),"[]")</f>
        <v>[]</v>
      </c>
      <c r="S2282" s="148" t="str">
        <f>IFERROR(__xludf.DUMMYFUNCTION("""COMPUTED_VALUE"""),"{""effect"":[{""typ"":""map_emoji"",""id"":11800016,""val"":-1}]}")</f>
        <v>{"effect":[{"typ":"map_emoji","id":11800016,"val":-1}]}</v>
      </c>
      <c r="T2282" s="148">
        <f>IFERROR(__xludf.DUMMYFUNCTION("""COMPUTED_VALUE"""),-1.0)</f>
        <v>-1</v>
      </c>
      <c r="U2282" s="148">
        <f>IFERROR(__xludf.DUMMYFUNCTION("""COMPUTED_VALUE"""),1.0)</f>
        <v>1</v>
      </c>
      <c r="V2282" s="148" t="str">
        <f>IFERROR(__xludf.DUMMYFUNCTION("""COMPUTED_VALUE"""),"[]")</f>
        <v>[]</v>
      </c>
      <c r="W2282" s="148">
        <f>IFERROR(__xludf.DUMMYFUNCTION("""COMPUTED_VALUE"""),1.174E7)</f>
        <v>11740000</v>
      </c>
      <c r="X2282" s="148">
        <f>IFERROR(__xludf.DUMMYFUNCTION("""COMPUTED_VALUE"""),0.0)</f>
        <v>0</v>
      </c>
      <c r="Y2282" s="148">
        <f>IFERROR(__xludf.DUMMYFUNCTION("""COMPUTED_VALUE"""),0.0)</f>
        <v>0</v>
      </c>
      <c r="Z2282" s="148"/>
    </row>
    <row r="2283">
      <c r="A2283" s="148">
        <f>IFERROR(__xludf.DUMMYFUNCTION("""COMPUTED_VALUE"""),1.1119129E7)</f>
        <v>11119129</v>
      </c>
      <c r="B2283" s="148" t="str">
        <f>IFERROR(__xludf.DUMMYFUNCTION("""COMPUTED_VALUE"""),"行军表情-动态-打水枪")</f>
        <v>行军表情-动态-打水枪</v>
      </c>
      <c r="C2283" s="148"/>
      <c r="D2283" s="148" t="str">
        <f>IFERROR(__xludf.DUMMYFUNCTION("""COMPUTED_VALUE"""),"map_emoji")</f>
        <v>map_emoji</v>
      </c>
      <c r="E2283" s="148">
        <f>IFERROR(__xludf.DUMMYFUNCTION("""COMPUTED_VALUE"""),20.0)</f>
        <v>20</v>
      </c>
      <c r="F2283" s="148">
        <f>IFERROR(__xludf.DUMMYFUNCTION("""COMPUTED_VALUE"""),0.0)</f>
        <v>0</v>
      </c>
      <c r="G2283" s="148">
        <f>IFERROR(__xludf.DUMMYFUNCTION("""COMPUTED_VALUE"""),1.5110219E8)</f>
        <v>151102190</v>
      </c>
      <c r="H2283" s="148">
        <f>IFERROR(__xludf.DUMMYFUNCTION("""COMPUTED_VALUE"""),1.5112564E7)</f>
        <v>15112564</v>
      </c>
      <c r="I2283" s="148" t="str">
        <f>IFERROR(__xludf.DUMMYFUNCTION("""COMPUTED_VALUE"""),"{}")</f>
        <v>{}</v>
      </c>
      <c r="J2283" s="148" t="str">
        <f>IFERROR(__xludf.DUMMYFUNCTION("""COMPUTED_VALUE"""),"{""typ"":""lc"",""txt"":""LC_ITEM_map_emoji_sea2025""}")</f>
        <v>{"typ":"lc","txt":"LC_ITEM_map_emoji_sea2025"}</v>
      </c>
      <c r="K2283" s="148" t="str">
        <f>IFERROR(__xludf.DUMMYFUNCTION("""COMPUTED_VALUE"""),"{""typ"":""lc"",""txt"":""LC_ITEM_map_emoji_sea2025_desc""}")</f>
        <v>{"typ":"lc","txt":"LC_ITEM_map_emoji_sea2025_desc"}</v>
      </c>
      <c r="L2283" s="148" t="str">
        <f>IFERROR(__xludf.DUMMYFUNCTION("""COMPUTED_VALUE"""),"{}")</f>
        <v>{}</v>
      </c>
      <c r="M2283" s="148">
        <f>IFERROR(__xludf.DUMMYFUNCTION("""COMPUTED_VALUE"""),1000.0)</f>
        <v>1000</v>
      </c>
      <c r="N2283" s="148">
        <f>IFERROR(__xludf.DUMMYFUNCTION("""COMPUTED_VALUE"""),99.0)</f>
        <v>99</v>
      </c>
      <c r="O2283" s="148">
        <f>IFERROR(__xludf.DUMMYFUNCTION("""COMPUTED_VALUE"""),1.0)</f>
        <v>1</v>
      </c>
      <c r="P2283" s="148">
        <f>IFERROR(__xludf.DUMMYFUNCTION("""COMPUTED_VALUE"""),1.0)</f>
        <v>1</v>
      </c>
      <c r="Q2283" s="148" t="str">
        <f>IFERROR(__xludf.DUMMYFUNCTION("""COMPUTED_VALUE"""),"[]")</f>
        <v>[]</v>
      </c>
      <c r="R2283" s="148" t="str">
        <f>IFERROR(__xludf.DUMMYFUNCTION("""COMPUTED_VALUE"""),"[]")</f>
        <v>[]</v>
      </c>
      <c r="S2283" s="148" t="str">
        <f>IFERROR(__xludf.DUMMYFUNCTION("""COMPUTED_VALUE"""),"{""effect"":[{""typ"":""map_emoji"",""id"":11800017,""val"":-1}]}")</f>
        <v>{"effect":[{"typ":"map_emoji","id":11800017,"val":-1}]}</v>
      </c>
      <c r="T2283" s="148">
        <f>IFERROR(__xludf.DUMMYFUNCTION("""COMPUTED_VALUE"""),-1.0)</f>
        <v>-1</v>
      </c>
      <c r="U2283" s="148">
        <f>IFERROR(__xludf.DUMMYFUNCTION("""COMPUTED_VALUE"""),1.0)</f>
        <v>1</v>
      </c>
      <c r="V2283" s="148" t="str">
        <f>IFERROR(__xludf.DUMMYFUNCTION("""COMPUTED_VALUE"""),"[]")</f>
        <v>[]</v>
      </c>
      <c r="W2283" s="148">
        <f>IFERROR(__xludf.DUMMYFUNCTION("""COMPUTED_VALUE"""),1.174E7)</f>
        <v>11740000</v>
      </c>
      <c r="X2283" s="148">
        <f>IFERROR(__xludf.DUMMYFUNCTION("""COMPUTED_VALUE"""),0.0)</f>
        <v>0</v>
      </c>
      <c r="Y2283" s="148">
        <f>IFERROR(__xludf.DUMMYFUNCTION("""COMPUTED_VALUE"""),0.0)</f>
        <v>0</v>
      </c>
      <c r="Z2283" s="148"/>
    </row>
    <row r="2284">
      <c r="A2284" s="148">
        <f>IFERROR(__xludf.DUMMYFUNCTION("""COMPUTED_VALUE"""),1.111913E7)</f>
        <v>11119130</v>
      </c>
      <c r="B2284" s="148" t="str">
        <f>IFERROR(__xludf.DUMMYFUNCTION("""COMPUTED_VALUE"""),"6号战车本体头像-礼包表现用")</f>
        <v>6号战车本体头像-礼包表现用</v>
      </c>
      <c r="C2284" s="148"/>
      <c r="D2284" s="148" t="str">
        <f>IFERROR(__xludf.DUMMYFUNCTION("""COMPUTED_VALUE"""),"item_asset")</f>
        <v>item_asset</v>
      </c>
      <c r="E2284" s="148">
        <f>IFERROR(__xludf.DUMMYFUNCTION("""COMPUTED_VALUE"""),0.0)</f>
        <v>0</v>
      </c>
      <c r="F2284" s="148">
        <f>IFERROR(__xludf.DUMMYFUNCTION("""COMPUTED_VALUE"""),0.0)</f>
        <v>0</v>
      </c>
      <c r="G2284" s="148">
        <f>IFERROR(__xludf.DUMMYFUNCTION("""COMPUTED_VALUE"""),1.51102321E8)</f>
        <v>151102321</v>
      </c>
      <c r="H2284" s="148">
        <f>IFERROR(__xludf.DUMMYFUNCTION("""COMPUTED_VALUE"""),1.5112564E7)</f>
        <v>15112564</v>
      </c>
      <c r="I2284" s="148" t="str">
        <f>IFERROR(__xludf.DUMMYFUNCTION("""COMPUTED_VALUE"""),"{}")</f>
        <v>{}</v>
      </c>
      <c r="J2284" s="148" t="str">
        <f>IFERROR(__xludf.DUMMYFUNCTION("""COMPUTED_VALUE"""),"{""typ"":""lc"",""txt"":""LC_HERO_tank_name_06""}")</f>
        <v>{"typ":"lc","txt":"LC_HERO_tank_name_06"}</v>
      </c>
      <c r="K2284" s="148" t="str">
        <f>IFERROR(__xludf.DUMMYFUNCTION("""COMPUTED_VALUE"""),"{""typ"":""lc"",""txt"":""LC_HERO_tank_name_06_desc""}")</f>
        <v>{"typ":"lc","txt":"LC_HERO_tank_name_06_desc"}</v>
      </c>
      <c r="L2284" s="148" t="str">
        <f>IFERROR(__xludf.DUMMYFUNCTION("""COMPUTED_VALUE"""),"{}")</f>
        <v>{}</v>
      </c>
      <c r="M2284" s="148">
        <f>IFERROR(__xludf.DUMMYFUNCTION("""COMPUTED_VALUE"""),4000.0)</f>
        <v>4000</v>
      </c>
      <c r="N2284" s="148">
        <f>IFERROR(__xludf.DUMMYFUNCTION("""COMPUTED_VALUE"""),9999999.0)</f>
        <v>9999999</v>
      </c>
      <c r="O2284" s="148">
        <f>IFERROR(__xludf.DUMMYFUNCTION("""COMPUTED_VALUE"""),99999.0)</f>
        <v>99999</v>
      </c>
      <c r="P2284" s="148">
        <f>IFERROR(__xludf.DUMMYFUNCTION("""COMPUTED_VALUE"""),99999.0)</f>
        <v>99999</v>
      </c>
      <c r="Q2284" s="148" t="str">
        <f>IFERROR(__xludf.DUMMYFUNCTION("""COMPUTED_VALUE"""),"[]")</f>
        <v>[]</v>
      </c>
      <c r="R2284" s="148" t="str">
        <f>IFERROR(__xludf.DUMMYFUNCTION("""COMPUTED_VALUE"""),"[]")</f>
        <v>[]</v>
      </c>
      <c r="S2284" s="148" t="str">
        <f>IFERROR(__xludf.DUMMYFUNCTION("""COMPUTED_VALUE"""),"{}")</f>
        <v>{}</v>
      </c>
      <c r="T2284" s="148">
        <f>IFERROR(__xludf.DUMMYFUNCTION("""COMPUTED_VALUE"""),1.0)</f>
        <v>1</v>
      </c>
      <c r="U2284" s="148">
        <f>IFERROR(__xludf.DUMMYFUNCTION("""COMPUTED_VALUE"""),0.0)</f>
        <v>0</v>
      </c>
      <c r="V2284" s="148" t="str">
        <f>IFERROR(__xludf.DUMMYFUNCTION("""COMPUTED_VALUE"""),"[]")</f>
        <v>[]</v>
      </c>
      <c r="W2284" s="148">
        <f>IFERROR(__xludf.DUMMYFUNCTION("""COMPUTED_VALUE"""),1.174E7)</f>
        <v>11740000</v>
      </c>
      <c r="X2284" s="148">
        <f>IFERROR(__xludf.DUMMYFUNCTION("""COMPUTED_VALUE"""),0.0)</f>
        <v>0</v>
      </c>
      <c r="Y2284" s="148">
        <f>IFERROR(__xludf.DUMMYFUNCTION("""COMPUTED_VALUE"""),0.0)</f>
        <v>0</v>
      </c>
      <c r="Z2284" s="148"/>
    </row>
    <row r="2285">
      <c r="A2285" s="148">
        <f>IFERROR(__xludf.DUMMYFUNCTION("""COMPUTED_VALUE"""),1.1119131E7)</f>
        <v>11119131</v>
      </c>
      <c r="B2285" s="148" t="str">
        <f>IFERROR(__xludf.DUMMYFUNCTION("""COMPUTED_VALUE"""),"行军表情-动态-闪亮登场")</f>
        <v>行军表情-动态-闪亮登场</v>
      </c>
      <c r="C2285" s="148"/>
      <c r="D2285" s="148" t="str">
        <f>IFERROR(__xludf.DUMMYFUNCTION("""COMPUTED_VALUE"""),"map_emoji")</f>
        <v>map_emoji</v>
      </c>
      <c r="E2285" s="148">
        <f>IFERROR(__xludf.DUMMYFUNCTION("""COMPUTED_VALUE"""),20.0)</f>
        <v>20</v>
      </c>
      <c r="F2285" s="148">
        <f>IFERROR(__xludf.DUMMYFUNCTION("""COMPUTED_VALUE"""),0.0)</f>
        <v>0</v>
      </c>
      <c r="G2285" s="148">
        <f>IFERROR(__xludf.DUMMYFUNCTION("""COMPUTED_VALUE"""),1.51102326E8)</f>
        <v>151102326</v>
      </c>
      <c r="H2285" s="148">
        <f>IFERROR(__xludf.DUMMYFUNCTION("""COMPUTED_VALUE"""),1.5112564E7)</f>
        <v>15112564</v>
      </c>
      <c r="I2285" s="148" t="str">
        <f>IFERROR(__xludf.DUMMYFUNCTION("""COMPUTED_VALUE"""),"{}")</f>
        <v>{}</v>
      </c>
      <c r="J2285" s="148" t="str">
        <f>IFERROR(__xludf.DUMMYFUNCTION("""COMPUTED_VALUE"""),"{""typ"":""lc"",""txt"":""LC_ITEM_map_emoji_moon2025""}")</f>
        <v>{"typ":"lc","txt":"LC_ITEM_map_emoji_moon2025"}</v>
      </c>
      <c r="K2285" s="148" t="str">
        <f>IFERROR(__xludf.DUMMYFUNCTION("""COMPUTED_VALUE"""),"{""typ"":""lc"",""txt"":""LC_ITEM_map_emoji_moon2025_desc""}")</f>
        <v>{"typ":"lc","txt":"LC_ITEM_map_emoji_moon2025_desc"}</v>
      </c>
      <c r="L2285" s="148" t="str">
        <f>IFERROR(__xludf.DUMMYFUNCTION("""COMPUTED_VALUE"""),"{}")</f>
        <v>{}</v>
      </c>
      <c r="M2285" s="148">
        <f>IFERROR(__xludf.DUMMYFUNCTION("""COMPUTED_VALUE"""),1000.0)</f>
        <v>1000</v>
      </c>
      <c r="N2285" s="148">
        <f>IFERROR(__xludf.DUMMYFUNCTION("""COMPUTED_VALUE"""),99.0)</f>
        <v>99</v>
      </c>
      <c r="O2285" s="148">
        <f>IFERROR(__xludf.DUMMYFUNCTION("""COMPUTED_VALUE"""),1.0)</f>
        <v>1</v>
      </c>
      <c r="P2285" s="148">
        <f>IFERROR(__xludf.DUMMYFUNCTION("""COMPUTED_VALUE"""),1.0)</f>
        <v>1</v>
      </c>
      <c r="Q2285" s="148" t="str">
        <f>IFERROR(__xludf.DUMMYFUNCTION("""COMPUTED_VALUE"""),"[]")</f>
        <v>[]</v>
      </c>
      <c r="R2285" s="148" t="str">
        <f>IFERROR(__xludf.DUMMYFUNCTION("""COMPUTED_VALUE"""),"[]")</f>
        <v>[]</v>
      </c>
      <c r="S2285" s="148" t="str">
        <f>IFERROR(__xludf.DUMMYFUNCTION("""COMPUTED_VALUE"""),"{""effect"":[{""typ"":""map_emoji"",""id"":11800018,""val"":-1}]}")</f>
        <v>{"effect":[{"typ":"map_emoji","id":11800018,"val":-1}]}</v>
      </c>
      <c r="T2285" s="148">
        <f>IFERROR(__xludf.DUMMYFUNCTION("""COMPUTED_VALUE"""),-1.0)</f>
        <v>-1</v>
      </c>
      <c r="U2285" s="148">
        <f>IFERROR(__xludf.DUMMYFUNCTION("""COMPUTED_VALUE"""),1.0)</f>
        <v>1</v>
      </c>
      <c r="V2285" s="148" t="str">
        <f>IFERROR(__xludf.DUMMYFUNCTION("""COMPUTED_VALUE"""),"[]")</f>
        <v>[]</v>
      </c>
      <c r="W2285" s="148">
        <f>IFERROR(__xludf.DUMMYFUNCTION("""COMPUTED_VALUE"""),1.174E7)</f>
        <v>11740000</v>
      </c>
      <c r="X2285" s="148">
        <f>IFERROR(__xludf.DUMMYFUNCTION("""COMPUTED_VALUE"""),0.0)</f>
        <v>0</v>
      </c>
      <c r="Y2285" s="148">
        <f>IFERROR(__xludf.DUMMYFUNCTION("""COMPUTED_VALUE"""),0.0)</f>
        <v>0</v>
      </c>
      <c r="Z2285" s="148"/>
    </row>
    <row r="2286">
      <c r="A2286" s="148">
        <f>IFERROR(__xludf.DUMMYFUNCTION("""COMPUTED_VALUE"""),1.1119132E7)</f>
        <v>11119132</v>
      </c>
      <c r="B2286" s="148" t="str">
        <f>IFERROR(__xludf.DUMMYFUNCTION("""COMPUTED_VALUE"""),"行军表情-动态-欢呼")</f>
        <v>行军表情-动态-欢呼</v>
      </c>
      <c r="C2286" s="148"/>
      <c r="D2286" s="148" t="str">
        <f>IFERROR(__xludf.DUMMYFUNCTION("""COMPUTED_VALUE"""),"map_emoji")</f>
        <v>map_emoji</v>
      </c>
      <c r="E2286" s="148">
        <f>IFERROR(__xludf.DUMMYFUNCTION("""COMPUTED_VALUE"""),20.0)</f>
        <v>20</v>
      </c>
      <c r="F2286" s="148">
        <f>IFERROR(__xludf.DUMMYFUNCTION("""COMPUTED_VALUE"""),0.0)</f>
        <v>0</v>
      </c>
      <c r="G2286" s="148">
        <f>IFERROR(__xludf.DUMMYFUNCTION("""COMPUTED_VALUE"""),1.51102461E8)</f>
        <v>151102461</v>
      </c>
      <c r="H2286" s="148">
        <f>IFERROR(__xludf.DUMMYFUNCTION("""COMPUTED_VALUE"""),1.5112564E7)</f>
        <v>15112564</v>
      </c>
      <c r="I2286" s="148" t="str">
        <f>IFERROR(__xludf.DUMMYFUNCTION("""COMPUTED_VALUE"""),"{}")</f>
        <v>{}</v>
      </c>
      <c r="J2286" s="148" t="str">
        <f>IFERROR(__xludf.DUMMYFUNCTION("""COMPUTED_VALUE"""),"{""typ"":""lc"",""txt"":""LC_IAP_map_emoji_anni2025""}")</f>
        <v>{"typ":"lc","txt":"LC_IAP_map_emoji_anni2025"}</v>
      </c>
      <c r="K2286" s="148" t="str">
        <f>IFERROR(__xludf.DUMMYFUNCTION("""COMPUTED_VALUE"""),"{""typ"":""lc"",""txt"":""LC_IAP_map_emoji_anni2025_desc""}")</f>
        <v>{"typ":"lc","txt":"LC_IAP_map_emoji_anni2025_desc"}</v>
      </c>
      <c r="L2286" s="148" t="str">
        <f>IFERROR(__xludf.DUMMYFUNCTION("""COMPUTED_VALUE"""),"{}")</f>
        <v>{}</v>
      </c>
      <c r="M2286" s="148">
        <f>IFERROR(__xludf.DUMMYFUNCTION("""COMPUTED_VALUE"""),1000.0)</f>
        <v>1000</v>
      </c>
      <c r="N2286" s="148">
        <f>IFERROR(__xludf.DUMMYFUNCTION("""COMPUTED_VALUE"""),99.0)</f>
        <v>99</v>
      </c>
      <c r="O2286" s="148">
        <f>IFERROR(__xludf.DUMMYFUNCTION("""COMPUTED_VALUE"""),1.0)</f>
        <v>1</v>
      </c>
      <c r="P2286" s="148">
        <f>IFERROR(__xludf.DUMMYFUNCTION("""COMPUTED_VALUE"""),1.0)</f>
        <v>1</v>
      </c>
      <c r="Q2286" s="148" t="str">
        <f>IFERROR(__xludf.DUMMYFUNCTION("""COMPUTED_VALUE"""),"[]")</f>
        <v>[]</v>
      </c>
      <c r="R2286" s="148" t="str">
        <f>IFERROR(__xludf.DUMMYFUNCTION("""COMPUTED_VALUE"""),"[]")</f>
        <v>[]</v>
      </c>
      <c r="S2286" s="148" t="str">
        <f>IFERROR(__xludf.DUMMYFUNCTION("""COMPUTED_VALUE"""),"{""effect"":[{""typ"":""map_emoji"",""id"":11800020,""val"":-1}]}")</f>
        <v>{"effect":[{"typ":"map_emoji","id":11800020,"val":-1}]}</v>
      </c>
      <c r="T2286" s="148">
        <f>IFERROR(__xludf.DUMMYFUNCTION("""COMPUTED_VALUE"""),-1.0)</f>
        <v>-1</v>
      </c>
      <c r="U2286" s="148">
        <f>IFERROR(__xludf.DUMMYFUNCTION("""COMPUTED_VALUE"""),1.0)</f>
        <v>1</v>
      </c>
      <c r="V2286" s="148" t="str">
        <f>IFERROR(__xludf.DUMMYFUNCTION("""COMPUTED_VALUE"""),"[]")</f>
        <v>[]</v>
      </c>
      <c r="W2286" s="148">
        <f>IFERROR(__xludf.DUMMYFUNCTION("""COMPUTED_VALUE"""),1.174E7)</f>
        <v>11740000</v>
      </c>
      <c r="X2286" s="148">
        <f>IFERROR(__xludf.DUMMYFUNCTION("""COMPUTED_VALUE"""),0.0)</f>
        <v>0</v>
      </c>
      <c r="Y2286" s="148">
        <f>IFERROR(__xludf.DUMMYFUNCTION("""COMPUTED_VALUE"""),0.0)</f>
        <v>0</v>
      </c>
      <c r="Z2286" s="148"/>
    </row>
    <row r="2287">
      <c r="A2287" s="148">
        <f>IFERROR(__xludf.DUMMYFUNCTION("""COMPUTED_VALUE"""),1.1119133E7)</f>
        <v>11119133</v>
      </c>
      <c r="B2287" s="148" t="str">
        <f>IFERROR(__xludf.DUMMYFUNCTION("""COMPUTED_VALUE"""),"行军表情-静态-加油")</f>
        <v>行军表情-静态-加油</v>
      </c>
      <c r="C2287" s="148"/>
      <c r="D2287" s="148" t="str">
        <f>IFERROR(__xludf.DUMMYFUNCTION("""COMPUTED_VALUE"""),"map_emoji")</f>
        <v>map_emoji</v>
      </c>
      <c r="E2287" s="148">
        <f>IFERROR(__xludf.DUMMYFUNCTION("""COMPUTED_VALUE"""),20.0)</f>
        <v>20</v>
      </c>
      <c r="F2287" s="148">
        <f>IFERROR(__xludf.DUMMYFUNCTION("""COMPUTED_VALUE"""),0.0)</f>
        <v>0</v>
      </c>
      <c r="G2287" s="148">
        <f>IFERROR(__xludf.DUMMYFUNCTION("""COMPUTED_VALUE"""),1.5110246E8)</f>
        <v>151102460</v>
      </c>
      <c r="H2287" s="148">
        <f>IFERROR(__xludf.DUMMYFUNCTION("""COMPUTED_VALUE"""),1.5112563E7)</f>
        <v>15112563</v>
      </c>
      <c r="I2287" s="148" t="str">
        <f>IFERROR(__xludf.DUMMYFUNCTION("""COMPUTED_VALUE"""),"{}")</f>
        <v>{}</v>
      </c>
      <c r="J2287" s="148" t="str">
        <f>IFERROR(__xludf.DUMMYFUNCTION("""COMPUTED_VALUE"""),"{""typ"":""lc"",""txt"":""LC_IAP_map_emoji_fighting""}")</f>
        <v>{"typ":"lc","txt":"LC_IAP_map_emoji_fighting"}</v>
      </c>
      <c r="K2287" s="148" t="str">
        <f>IFERROR(__xludf.DUMMYFUNCTION("""COMPUTED_VALUE"""),"{""typ"":""lc"",""txt"":""LC_IAP_map_emoji_fighting_desc""}")</f>
        <v>{"typ":"lc","txt":"LC_IAP_map_emoji_fighting_desc"}</v>
      </c>
      <c r="L2287" s="148" t="str">
        <f>IFERROR(__xludf.DUMMYFUNCTION("""COMPUTED_VALUE"""),"{}")</f>
        <v>{}</v>
      </c>
      <c r="M2287" s="148">
        <f>IFERROR(__xludf.DUMMYFUNCTION("""COMPUTED_VALUE"""),1000.0)</f>
        <v>1000</v>
      </c>
      <c r="N2287" s="148">
        <f>IFERROR(__xludf.DUMMYFUNCTION("""COMPUTED_VALUE"""),99.0)</f>
        <v>99</v>
      </c>
      <c r="O2287" s="148">
        <f>IFERROR(__xludf.DUMMYFUNCTION("""COMPUTED_VALUE"""),1.0)</f>
        <v>1</v>
      </c>
      <c r="P2287" s="148">
        <f>IFERROR(__xludf.DUMMYFUNCTION("""COMPUTED_VALUE"""),1.0)</f>
        <v>1</v>
      </c>
      <c r="Q2287" s="148" t="str">
        <f>IFERROR(__xludf.DUMMYFUNCTION("""COMPUTED_VALUE"""),"[]")</f>
        <v>[]</v>
      </c>
      <c r="R2287" s="148" t="str">
        <f>IFERROR(__xludf.DUMMYFUNCTION("""COMPUTED_VALUE"""),"[]")</f>
        <v>[]</v>
      </c>
      <c r="S2287" s="148" t="str">
        <f>IFERROR(__xludf.DUMMYFUNCTION("""COMPUTED_VALUE"""),"{""effect"":[{""typ"":""map_emoji"",""id"":11800019,""val"":-1}]}")</f>
        <v>{"effect":[{"typ":"map_emoji","id":11800019,"val":-1}]}</v>
      </c>
      <c r="T2287" s="148">
        <f>IFERROR(__xludf.DUMMYFUNCTION("""COMPUTED_VALUE"""),-1.0)</f>
        <v>-1</v>
      </c>
      <c r="U2287" s="148">
        <f>IFERROR(__xludf.DUMMYFUNCTION("""COMPUTED_VALUE"""),1.0)</f>
        <v>1</v>
      </c>
      <c r="V2287" s="148" t="str">
        <f>IFERROR(__xludf.DUMMYFUNCTION("""COMPUTED_VALUE"""),"[]")</f>
        <v>[]</v>
      </c>
      <c r="W2287" s="148">
        <f>IFERROR(__xludf.DUMMYFUNCTION("""COMPUTED_VALUE"""),1.174E7)</f>
        <v>11740000</v>
      </c>
      <c r="X2287" s="148">
        <f>IFERROR(__xludf.DUMMYFUNCTION("""COMPUTED_VALUE"""),0.0)</f>
        <v>0</v>
      </c>
      <c r="Y2287" s="148">
        <f>IFERROR(__xludf.DUMMYFUNCTION("""COMPUTED_VALUE"""),0.0)</f>
        <v>0</v>
      </c>
      <c r="Z2287" s="148"/>
    </row>
    <row r="2288">
      <c r="A2288" s="148">
        <f>IFERROR(__xludf.DUMMYFUNCTION("""COMPUTED_VALUE"""),1.1119134E7)</f>
        <v>11119134</v>
      </c>
      <c r="B2288" s="148" t="str">
        <f>IFERROR(__xludf.DUMMYFUNCTION("""COMPUTED_VALUE"""),"7号战车本体头像-礼包表现用")</f>
        <v>7号战车本体头像-礼包表现用</v>
      </c>
      <c r="C2288" s="148"/>
      <c r="D2288" s="148" t="str">
        <f>IFERROR(__xludf.DUMMYFUNCTION("""COMPUTED_VALUE"""),"item_asset")</f>
        <v>item_asset</v>
      </c>
      <c r="E2288" s="148">
        <f>IFERROR(__xludf.DUMMYFUNCTION("""COMPUTED_VALUE"""),0.0)</f>
        <v>0</v>
      </c>
      <c r="F2288" s="148">
        <f>IFERROR(__xludf.DUMMYFUNCTION("""COMPUTED_VALUE"""),0.0)</f>
        <v>0</v>
      </c>
      <c r="G2288" s="148">
        <f>IFERROR(__xludf.DUMMYFUNCTION("""COMPUTED_VALUE"""),1.51104162E8)</f>
        <v>151104162</v>
      </c>
      <c r="H2288" s="148">
        <f>IFERROR(__xludf.DUMMYFUNCTION("""COMPUTED_VALUE"""),1.5112564E7)</f>
        <v>15112564</v>
      </c>
      <c r="I2288" s="148" t="str">
        <f>IFERROR(__xludf.DUMMYFUNCTION("""COMPUTED_VALUE"""),"{}")</f>
        <v>{}</v>
      </c>
      <c r="J2288" s="148" t="str">
        <f>IFERROR(__xludf.DUMMYFUNCTION("""COMPUTED_VALUE"""),"{""typ"":""lc"",""txt"":""LC_HERO_tank_name_07""}")</f>
        <v>{"typ":"lc","txt":"LC_HERO_tank_name_07"}</v>
      </c>
      <c r="K2288" s="148" t="str">
        <f>IFERROR(__xludf.DUMMYFUNCTION("""COMPUTED_VALUE"""),"{""typ"":""lc"",""txt"":""LC_HERO_tank_name_07_desc""}")</f>
        <v>{"typ":"lc","txt":"LC_HERO_tank_name_07_desc"}</v>
      </c>
      <c r="L2288" s="148" t="str">
        <f>IFERROR(__xludf.DUMMYFUNCTION("""COMPUTED_VALUE"""),"{}")</f>
        <v>{}</v>
      </c>
      <c r="M2288" s="148">
        <f>IFERROR(__xludf.DUMMYFUNCTION("""COMPUTED_VALUE"""),4000.0)</f>
        <v>4000</v>
      </c>
      <c r="N2288" s="148">
        <f>IFERROR(__xludf.DUMMYFUNCTION("""COMPUTED_VALUE"""),9999999.0)</f>
        <v>9999999</v>
      </c>
      <c r="O2288" s="148">
        <f>IFERROR(__xludf.DUMMYFUNCTION("""COMPUTED_VALUE"""),99999.0)</f>
        <v>99999</v>
      </c>
      <c r="P2288" s="148">
        <f>IFERROR(__xludf.DUMMYFUNCTION("""COMPUTED_VALUE"""),99999.0)</f>
        <v>99999</v>
      </c>
      <c r="Q2288" s="148" t="str">
        <f>IFERROR(__xludf.DUMMYFUNCTION("""COMPUTED_VALUE"""),"[]")</f>
        <v>[]</v>
      </c>
      <c r="R2288" s="148" t="str">
        <f>IFERROR(__xludf.DUMMYFUNCTION("""COMPUTED_VALUE"""),"[]")</f>
        <v>[]</v>
      </c>
      <c r="S2288" s="148" t="str">
        <f>IFERROR(__xludf.DUMMYFUNCTION("""COMPUTED_VALUE"""),"{}")</f>
        <v>{}</v>
      </c>
      <c r="T2288" s="148">
        <f>IFERROR(__xludf.DUMMYFUNCTION("""COMPUTED_VALUE"""),1.0)</f>
        <v>1</v>
      </c>
      <c r="U2288" s="148">
        <f>IFERROR(__xludf.DUMMYFUNCTION("""COMPUTED_VALUE"""),0.0)</f>
        <v>0</v>
      </c>
      <c r="V2288" s="148" t="str">
        <f>IFERROR(__xludf.DUMMYFUNCTION("""COMPUTED_VALUE"""),"[]")</f>
        <v>[]</v>
      </c>
      <c r="W2288" s="148">
        <f>IFERROR(__xludf.DUMMYFUNCTION("""COMPUTED_VALUE"""),1.174E7)</f>
        <v>11740000</v>
      </c>
      <c r="X2288" s="148">
        <f>IFERROR(__xludf.DUMMYFUNCTION("""COMPUTED_VALUE"""),0.0)</f>
        <v>0</v>
      </c>
      <c r="Y2288" s="148">
        <f>IFERROR(__xludf.DUMMYFUNCTION("""COMPUTED_VALUE"""),0.0)</f>
        <v>0</v>
      </c>
      <c r="Z2288" s="148"/>
    </row>
    <row r="2289">
      <c r="A2289" s="148">
        <f>IFERROR(__xludf.DUMMYFUNCTION("""COMPUTED_VALUE"""),1.1119201E7)</f>
        <v>11119201</v>
      </c>
      <c r="B2289" s="148" t="str">
        <f>IFERROR(__xludf.DUMMYFUNCTION("""COMPUTED_VALUE"""),"流水线-工猴")</f>
        <v>流水线-工猴</v>
      </c>
      <c r="C2289" s="148"/>
      <c r="D2289" s="148" t="str">
        <f>IFERROR(__xludf.DUMMYFUNCTION("""COMPUTED_VALUE"""),"item_line_builder")</f>
        <v>item_line_builder</v>
      </c>
      <c r="E2289" s="148">
        <f>IFERROR(__xludf.DUMMYFUNCTION("""COMPUTED_VALUE"""),0.0)</f>
        <v>0</v>
      </c>
      <c r="F2289" s="148">
        <f>IFERROR(__xludf.DUMMYFUNCTION("""COMPUTED_VALUE"""),0.0)</f>
        <v>0</v>
      </c>
      <c r="G2289" s="148">
        <f>IFERROR(__xludf.DUMMYFUNCTION("""COMPUTED_VALUE"""),1.5119771E7)</f>
        <v>15119771</v>
      </c>
      <c r="H2289" s="148">
        <f>IFERROR(__xludf.DUMMYFUNCTION("""COMPUTED_VALUE"""),1.5112564E7)</f>
        <v>15112564</v>
      </c>
      <c r="I2289" s="148" t="str">
        <f>IFERROR(__xludf.DUMMYFUNCTION("""COMPUTED_VALUE"""),"{}")</f>
        <v>{}</v>
      </c>
      <c r="J2289" s="148" t="str">
        <f>IFERROR(__xludf.DUMMYFUNCTION("""COMPUTED_VALUE"""),"{""typ"":""lc"",""txt"":""LC_ITEM_line_builder_worker_name""}")</f>
        <v>{"typ":"lc","txt":"LC_ITEM_line_builder_worker_name"}</v>
      </c>
      <c r="K2289" s="148" t="str">
        <f>IFERROR(__xludf.DUMMYFUNCTION("""COMPUTED_VALUE"""),"{""typ"":""lc"",""txt"":""LC_ITEM_line_builder_worker_desc""}")</f>
        <v>{"typ":"lc","txt":"LC_ITEM_line_builder_worker_desc"}</v>
      </c>
      <c r="L2289" s="148" t="str">
        <f>IFERROR(__xludf.DUMMYFUNCTION("""COMPUTED_VALUE"""),"{}")</f>
        <v>{}</v>
      </c>
      <c r="M2289" s="148">
        <f>IFERROR(__xludf.DUMMYFUNCTION("""COMPUTED_VALUE"""),1.0)</f>
        <v>1</v>
      </c>
      <c r="N2289" s="148">
        <f>IFERROR(__xludf.DUMMYFUNCTION("""COMPUTED_VALUE"""),9999999.0)</f>
        <v>9999999</v>
      </c>
      <c r="O2289" s="148">
        <f>IFERROR(__xludf.DUMMYFUNCTION("""COMPUTED_VALUE"""),999999.0)</f>
        <v>999999</v>
      </c>
      <c r="P2289" s="148">
        <f>IFERROR(__xludf.DUMMYFUNCTION("""COMPUTED_VALUE"""),999999.0)</f>
        <v>999999</v>
      </c>
      <c r="Q2289" s="148" t="str">
        <f>IFERROR(__xludf.DUMMYFUNCTION("""COMPUTED_VALUE"""),"[]")</f>
        <v>[]</v>
      </c>
      <c r="R2289" s="148" t="str">
        <f>IFERROR(__xludf.DUMMYFUNCTION("""COMPUTED_VALUE"""),"[]")</f>
        <v>[]</v>
      </c>
      <c r="S2289" s="148" t="str">
        <f>IFERROR(__xludf.DUMMYFUNCTION("""COMPUTED_VALUE"""),"{}")</f>
        <v>{}</v>
      </c>
      <c r="T2289" s="148">
        <f>IFERROR(__xludf.DUMMYFUNCTION("""COMPUTED_VALUE"""),-1.0)</f>
        <v>-1</v>
      </c>
      <c r="U2289" s="148">
        <f>IFERROR(__xludf.DUMMYFUNCTION("""COMPUTED_VALUE"""),0.0)</f>
        <v>0</v>
      </c>
      <c r="V2289" s="148" t="str">
        <f>IFERROR(__xludf.DUMMYFUNCTION("""COMPUTED_VALUE"""),"[]")</f>
        <v>[]</v>
      </c>
      <c r="W2289" s="148">
        <f>IFERROR(__xludf.DUMMYFUNCTION("""COMPUTED_VALUE"""),1.174E7)</f>
        <v>11740000</v>
      </c>
      <c r="X2289" s="148">
        <f>IFERROR(__xludf.DUMMYFUNCTION("""COMPUTED_VALUE"""),0.0)</f>
        <v>0</v>
      </c>
      <c r="Y2289" s="148">
        <f>IFERROR(__xludf.DUMMYFUNCTION("""COMPUTED_VALUE"""),0.0)</f>
        <v>0</v>
      </c>
      <c r="Z2289" s="148"/>
    </row>
    <row r="2290">
      <c r="A2290" s="148">
        <f>IFERROR(__xludf.DUMMYFUNCTION("""COMPUTED_VALUE"""),1.1119202E7)</f>
        <v>11119202</v>
      </c>
      <c r="B2290" s="148" t="str">
        <f>IFERROR(__xludf.DUMMYFUNCTION("""COMPUTED_VALUE"""),"流水线-饼干")</f>
        <v>流水线-饼干</v>
      </c>
      <c r="C2290" s="148"/>
      <c r="D2290" s="148" t="str">
        <f>IFERROR(__xludf.DUMMYFUNCTION("""COMPUTED_VALUE"""),"item_line_builder")</f>
        <v>item_line_builder</v>
      </c>
      <c r="E2290" s="148">
        <f>IFERROR(__xludf.DUMMYFUNCTION("""COMPUTED_VALUE"""),0.0)</f>
        <v>0</v>
      </c>
      <c r="F2290" s="148">
        <f>IFERROR(__xludf.DUMMYFUNCTION("""COMPUTED_VALUE"""),0.0)</f>
        <v>0</v>
      </c>
      <c r="G2290" s="148">
        <f>IFERROR(__xludf.DUMMYFUNCTION("""COMPUTED_VALUE"""),1.5119744E7)</f>
        <v>15119744</v>
      </c>
      <c r="H2290" s="148">
        <f>IFERROR(__xludf.DUMMYFUNCTION("""COMPUTED_VALUE"""),1.5112564E7)</f>
        <v>15112564</v>
      </c>
      <c r="I2290" s="148" t="str">
        <f>IFERROR(__xludf.DUMMYFUNCTION("""COMPUTED_VALUE"""),"{}")</f>
        <v>{}</v>
      </c>
      <c r="J2290" s="148" t="str">
        <f>IFERROR(__xludf.DUMMYFUNCTION("""COMPUTED_VALUE"""),"{""typ"":""lc"",""txt"":""LC_ITEM_line_builder_worker_name_2""}")</f>
        <v>{"typ":"lc","txt":"LC_ITEM_line_builder_worker_name_2"}</v>
      </c>
      <c r="K2290" s="148" t="str">
        <f>IFERROR(__xludf.DUMMYFUNCTION("""COMPUTED_VALUE"""),"{""typ"":""lc"",""txt"":""LC_ITEM_line_builder_worker_desc_2""}")</f>
        <v>{"typ":"lc","txt":"LC_ITEM_line_builder_worker_desc_2"}</v>
      </c>
      <c r="L2290" s="148" t="str">
        <f>IFERROR(__xludf.DUMMYFUNCTION("""COMPUTED_VALUE"""),"{}")</f>
        <v>{}</v>
      </c>
      <c r="M2290" s="148">
        <f>IFERROR(__xludf.DUMMYFUNCTION("""COMPUTED_VALUE"""),1.0)</f>
        <v>1</v>
      </c>
      <c r="N2290" s="148">
        <f>IFERROR(__xludf.DUMMYFUNCTION("""COMPUTED_VALUE"""),9999999.0)</f>
        <v>9999999</v>
      </c>
      <c r="O2290" s="148">
        <f>IFERROR(__xludf.DUMMYFUNCTION("""COMPUTED_VALUE"""),999999.0)</f>
        <v>999999</v>
      </c>
      <c r="P2290" s="148">
        <f>IFERROR(__xludf.DUMMYFUNCTION("""COMPUTED_VALUE"""),999999.0)</f>
        <v>999999</v>
      </c>
      <c r="Q2290" s="148" t="str">
        <f>IFERROR(__xludf.DUMMYFUNCTION("""COMPUTED_VALUE"""),"[]")</f>
        <v>[]</v>
      </c>
      <c r="R2290" s="148" t="str">
        <f>IFERROR(__xludf.DUMMYFUNCTION("""COMPUTED_VALUE"""),"[]")</f>
        <v>[]</v>
      </c>
      <c r="S2290" s="148" t="str">
        <f>IFERROR(__xludf.DUMMYFUNCTION("""COMPUTED_VALUE"""),"{}")</f>
        <v>{}</v>
      </c>
      <c r="T2290" s="148">
        <f>IFERROR(__xludf.DUMMYFUNCTION("""COMPUTED_VALUE"""),-1.0)</f>
        <v>-1</v>
      </c>
      <c r="U2290" s="148">
        <f>IFERROR(__xludf.DUMMYFUNCTION("""COMPUTED_VALUE"""),0.0)</f>
        <v>0</v>
      </c>
      <c r="V2290" s="148" t="str">
        <f>IFERROR(__xludf.DUMMYFUNCTION("""COMPUTED_VALUE"""),"[]")</f>
        <v>[]</v>
      </c>
      <c r="W2290" s="148">
        <f>IFERROR(__xludf.DUMMYFUNCTION("""COMPUTED_VALUE"""),1.174E7)</f>
        <v>11740000</v>
      </c>
      <c r="X2290" s="148">
        <f>IFERROR(__xludf.DUMMYFUNCTION("""COMPUTED_VALUE"""),0.0)</f>
        <v>0</v>
      </c>
      <c r="Y2290" s="148">
        <f>IFERROR(__xludf.DUMMYFUNCTION("""COMPUTED_VALUE"""),0.0)</f>
        <v>0</v>
      </c>
      <c r="Z2290" s="148"/>
    </row>
    <row r="2291">
      <c r="A2291" s="148">
        <f>IFERROR(__xludf.DUMMYFUNCTION("""COMPUTED_VALUE"""),1.1119203E7)</f>
        <v>11119203</v>
      </c>
      <c r="B2291" s="148" t="str">
        <f>IFERROR(__xludf.DUMMYFUNCTION("""COMPUTED_VALUE"""),"vip勋章道具1")</f>
        <v>vip勋章道具1</v>
      </c>
      <c r="C2291" s="148"/>
      <c r="D2291" s="148" t="str">
        <f>IFERROR(__xludf.DUMMYFUNCTION("""COMPUTED_VALUE"""),"event")</f>
        <v>event</v>
      </c>
      <c r="E2291" s="148">
        <f>IFERROR(__xludf.DUMMYFUNCTION("""COMPUTED_VALUE"""),0.0)</f>
        <v>0</v>
      </c>
      <c r="F2291" s="148">
        <f>IFERROR(__xludf.DUMMYFUNCTION("""COMPUTED_VALUE"""),0.0)</f>
        <v>0</v>
      </c>
      <c r="G2291" s="148">
        <f>IFERROR(__xludf.DUMMYFUNCTION("""COMPUTED_VALUE"""),1.5119431E7)</f>
        <v>15119431</v>
      </c>
      <c r="H2291" s="148">
        <f>IFERROR(__xludf.DUMMYFUNCTION("""COMPUTED_VALUE"""),1.511256E7)</f>
        <v>15112560</v>
      </c>
      <c r="I2291" s="148" t="str">
        <f>IFERROR(__xludf.DUMMYFUNCTION("""COMPUTED_VALUE"""),"{}")</f>
        <v>{}</v>
      </c>
      <c r="J2291" s="148" t="str">
        <f>IFERROR(__xludf.DUMMYFUNCTION("""COMPUTED_VALUE"""),"{""typ"":""lc"",""txt"":""LC_QUEST_achievement_p_name_vip01""}")</f>
        <v>{"typ":"lc","txt":"LC_QUEST_achievement_p_name_vip01"}</v>
      </c>
      <c r="K2291" s="148" t="str">
        <f>IFERROR(__xludf.DUMMYFUNCTION("""COMPUTED_VALUE"""),"{""typ"":""lc"",""txt"":""LC_QUEST_achievement_p_desc_vip01""}")</f>
        <v>{"typ":"lc","txt":"LC_QUEST_achievement_p_desc_vip01"}</v>
      </c>
      <c r="L2291" s="148" t="str">
        <f>IFERROR(__xludf.DUMMYFUNCTION("""COMPUTED_VALUE"""),"{}")</f>
        <v>{}</v>
      </c>
      <c r="M2291" s="148">
        <f>IFERROR(__xludf.DUMMYFUNCTION("""COMPUTED_VALUE"""),1000.0)</f>
        <v>1000</v>
      </c>
      <c r="N2291" s="148">
        <f>IFERROR(__xludf.DUMMYFUNCTION("""COMPUTED_VALUE"""),1.0)</f>
        <v>1</v>
      </c>
      <c r="O2291" s="148">
        <f>IFERROR(__xludf.DUMMYFUNCTION("""COMPUTED_VALUE"""),1.0)</f>
        <v>1</v>
      </c>
      <c r="P2291" s="148">
        <f>IFERROR(__xludf.DUMMYFUNCTION("""COMPUTED_VALUE"""),1.0)</f>
        <v>1</v>
      </c>
      <c r="Q2291" s="148" t="str">
        <f>IFERROR(__xludf.DUMMYFUNCTION("""COMPUTED_VALUE"""),"[]")</f>
        <v>[]</v>
      </c>
      <c r="R2291" s="148" t="str">
        <f>IFERROR(__xludf.DUMMYFUNCTION("""COMPUTED_VALUE"""),"[]")</f>
        <v>[]</v>
      </c>
      <c r="S2291" s="148" t="str">
        <f>IFERROR(__xludf.DUMMYFUNCTION("""COMPUTED_VALUE"""),"{}")</f>
        <v>{}</v>
      </c>
      <c r="T2291" s="148">
        <f>IFERROR(__xludf.DUMMYFUNCTION("""COMPUTED_VALUE"""),-1.0)</f>
        <v>-1</v>
      </c>
      <c r="U2291" s="148">
        <f>IFERROR(__xludf.DUMMYFUNCTION("""COMPUTED_VALUE"""),0.0)</f>
        <v>0</v>
      </c>
      <c r="V2291" s="148" t="str">
        <f>IFERROR(__xludf.DUMMYFUNCTION("""COMPUTED_VALUE"""),"[]")</f>
        <v>[]</v>
      </c>
      <c r="W2291" s="148">
        <f>IFERROR(__xludf.DUMMYFUNCTION("""COMPUTED_VALUE"""),1.174E7)</f>
        <v>11740000</v>
      </c>
      <c r="X2291" s="148">
        <f>IFERROR(__xludf.DUMMYFUNCTION("""COMPUTED_VALUE"""),0.0)</f>
        <v>0</v>
      </c>
      <c r="Y2291" s="148">
        <f>IFERROR(__xludf.DUMMYFUNCTION("""COMPUTED_VALUE"""),0.0)</f>
        <v>0</v>
      </c>
      <c r="Z2291" s="148"/>
    </row>
    <row r="2292">
      <c r="A2292" s="148">
        <f>IFERROR(__xludf.DUMMYFUNCTION("""COMPUTED_VALUE"""),1.1119204E7)</f>
        <v>11119204</v>
      </c>
      <c r="B2292" s="148" t="str">
        <f>IFERROR(__xludf.DUMMYFUNCTION("""COMPUTED_VALUE"""),"vip勋章道具2")</f>
        <v>vip勋章道具2</v>
      </c>
      <c r="C2292" s="148"/>
      <c r="D2292" s="148" t="str">
        <f>IFERROR(__xludf.DUMMYFUNCTION("""COMPUTED_VALUE"""),"event")</f>
        <v>event</v>
      </c>
      <c r="E2292" s="148">
        <f>IFERROR(__xludf.DUMMYFUNCTION("""COMPUTED_VALUE"""),0.0)</f>
        <v>0</v>
      </c>
      <c r="F2292" s="148">
        <f>IFERROR(__xludf.DUMMYFUNCTION("""COMPUTED_VALUE"""),0.0)</f>
        <v>0</v>
      </c>
      <c r="G2292" s="148">
        <f>IFERROR(__xludf.DUMMYFUNCTION("""COMPUTED_VALUE"""),1.511943E7)</f>
        <v>15119430</v>
      </c>
      <c r="H2292" s="148">
        <f>IFERROR(__xludf.DUMMYFUNCTION("""COMPUTED_VALUE"""),1.5112561E7)</f>
        <v>15112561</v>
      </c>
      <c r="I2292" s="148" t="str">
        <f>IFERROR(__xludf.DUMMYFUNCTION("""COMPUTED_VALUE"""),"{}")</f>
        <v>{}</v>
      </c>
      <c r="J2292" s="148" t="str">
        <f>IFERROR(__xludf.DUMMYFUNCTION("""COMPUTED_VALUE"""),"{""typ"":""lc"",""txt"":""LC_QUEST_achievement_p_name_vip02""}")</f>
        <v>{"typ":"lc","txt":"LC_QUEST_achievement_p_name_vip02"}</v>
      </c>
      <c r="K2292" s="148" t="str">
        <f>IFERROR(__xludf.DUMMYFUNCTION("""COMPUTED_VALUE"""),"{""typ"":""lc"",""txt"":""LC_QUEST_achievement_p_desc_vip02""}")</f>
        <v>{"typ":"lc","txt":"LC_QUEST_achievement_p_desc_vip02"}</v>
      </c>
      <c r="L2292" s="148" t="str">
        <f>IFERROR(__xludf.DUMMYFUNCTION("""COMPUTED_VALUE"""),"{}")</f>
        <v>{}</v>
      </c>
      <c r="M2292" s="148">
        <f>IFERROR(__xludf.DUMMYFUNCTION("""COMPUTED_VALUE"""),1000.0)</f>
        <v>1000</v>
      </c>
      <c r="N2292" s="148">
        <f>IFERROR(__xludf.DUMMYFUNCTION("""COMPUTED_VALUE"""),1.0)</f>
        <v>1</v>
      </c>
      <c r="O2292" s="148">
        <f>IFERROR(__xludf.DUMMYFUNCTION("""COMPUTED_VALUE"""),1.0)</f>
        <v>1</v>
      </c>
      <c r="P2292" s="148">
        <f>IFERROR(__xludf.DUMMYFUNCTION("""COMPUTED_VALUE"""),1.0)</f>
        <v>1</v>
      </c>
      <c r="Q2292" s="148" t="str">
        <f>IFERROR(__xludf.DUMMYFUNCTION("""COMPUTED_VALUE"""),"[]")</f>
        <v>[]</v>
      </c>
      <c r="R2292" s="148" t="str">
        <f>IFERROR(__xludf.DUMMYFUNCTION("""COMPUTED_VALUE"""),"[]")</f>
        <v>[]</v>
      </c>
      <c r="S2292" s="148" t="str">
        <f>IFERROR(__xludf.DUMMYFUNCTION("""COMPUTED_VALUE"""),"{}")</f>
        <v>{}</v>
      </c>
      <c r="T2292" s="148">
        <f>IFERROR(__xludf.DUMMYFUNCTION("""COMPUTED_VALUE"""),-1.0)</f>
        <v>-1</v>
      </c>
      <c r="U2292" s="148">
        <f>IFERROR(__xludf.DUMMYFUNCTION("""COMPUTED_VALUE"""),0.0)</f>
        <v>0</v>
      </c>
      <c r="V2292" s="148" t="str">
        <f>IFERROR(__xludf.DUMMYFUNCTION("""COMPUTED_VALUE"""),"[]")</f>
        <v>[]</v>
      </c>
      <c r="W2292" s="148">
        <f>IFERROR(__xludf.DUMMYFUNCTION("""COMPUTED_VALUE"""),1.174E7)</f>
        <v>11740000</v>
      </c>
      <c r="X2292" s="148">
        <f>IFERROR(__xludf.DUMMYFUNCTION("""COMPUTED_VALUE"""),0.0)</f>
        <v>0</v>
      </c>
      <c r="Y2292" s="148">
        <f>IFERROR(__xludf.DUMMYFUNCTION("""COMPUTED_VALUE"""),0.0)</f>
        <v>0</v>
      </c>
      <c r="Z2292" s="148"/>
    </row>
    <row r="2293">
      <c r="A2293" s="148">
        <f>IFERROR(__xludf.DUMMYFUNCTION("""COMPUTED_VALUE"""),1.1119205E7)</f>
        <v>11119205</v>
      </c>
      <c r="B2293" s="148" t="str">
        <f>IFERROR(__xludf.DUMMYFUNCTION("""COMPUTED_VALUE"""),"vip勋章道具3")</f>
        <v>vip勋章道具3</v>
      </c>
      <c r="C2293" s="148"/>
      <c r="D2293" s="148" t="str">
        <f>IFERROR(__xludf.DUMMYFUNCTION("""COMPUTED_VALUE"""),"event")</f>
        <v>event</v>
      </c>
      <c r="E2293" s="148">
        <f>IFERROR(__xludf.DUMMYFUNCTION("""COMPUTED_VALUE"""),0.0)</f>
        <v>0</v>
      </c>
      <c r="F2293" s="148">
        <f>IFERROR(__xludf.DUMMYFUNCTION("""COMPUTED_VALUE"""),0.0)</f>
        <v>0</v>
      </c>
      <c r="G2293" s="148">
        <f>IFERROR(__xludf.DUMMYFUNCTION("""COMPUTED_VALUE"""),1.5119432E7)</f>
        <v>15119432</v>
      </c>
      <c r="H2293" s="148">
        <f>IFERROR(__xludf.DUMMYFUNCTION("""COMPUTED_VALUE"""),1.5112562E7)</f>
        <v>15112562</v>
      </c>
      <c r="I2293" s="148" t="str">
        <f>IFERROR(__xludf.DUMMYFUNCTION("""COMPUTED_VALUE"""),"{}")</f>
        <v>{}</v>
      </c>
      <c r="J2293" s="148" t="str">
        <f>IFERROR(__xludf.DUMMYFUNCTION("""COMPUTED_VALUE"""),"{""typ"":""lc"",""txt"":""LC_QUEST_achievement_p_name_vip03""}")</f>
        <v>{"typ":"lc","txt":"LC_QUEST_achievement_p_name_vip03"}</v>
      </c>
      <c r="K2293" s="148" t="str">
        <f>IFERROR(__xludf.DUMMYFUNCTION("""COMPUTED_VALUE"""),"{""typ"":""lc"",""txt"":""LC_QUEST_achievement_p_desc_vip03""}")</f>
        <v>{"typ":"lc","txt":"LC_QUEST_achievement_p_desc_vip03"}</v>
      </c>
      <c r="L2293" s="148" t="str">
        <f>IFERROR(__xludf.DUMMYFUNCTION("""COMPUTED_VALUE"""),"{}")</f>
        <v>{}</v>
      </c>
      <c r="M2293" s="148">
        <f>IFERROR(__xludf.DUMMYFUNCTION("""COMPUTED_VALUE"""),1000.0)</f>
        <v>1000</v>
      </c>
      <c r="N2293" s="148">
        <f>IFERROR(__xludf.DUMMYFUNCTION("""COMPUTED_VALUE"""),1.0)</f>
        <v>1</v>
      </c>
      <c r="O2293" s="148">
        <f>IFERROR(__xludf.DUMMYFUNCTION("""COMPUTED_VALUE"""),1.0)</f>
        <v>1</v>
      </c>
      <c r="P2293" s="148">
        <f>IFERROR(__xludf.DUMMYFUNCTION("""COMPUTED_VALUE"""),1.0)</f>
        <v>1</v>
      </c>
      <c r="Q2293" s="148" t="str">
        <f>IFERROR(__xludf.DUMMYFUNCTION("""COMPUTED_VALUE"""),"[]")</f>
        <v>[]</v>
      </c>
      <c r="R2293" s="148" t="str">
        <f>IFERROR(__xludf.DUMMYFUNCTION("""COMPUTED_VALUE"""),"[]")</f>
        <v>[]</v>
      </c>
      <c r="S2293" s="148" t="str">
        <f>IFERROR(__xludf.DUMMYFUNCTION("""COMPUTED_VALUE"""),"{}")</f>
        <v>{}</v>
      </c>
      <c r="T2293" s="148">
        <f>IFERROR(__xludf.DUMMYFUNCTION("""COMPUTED_VALUE"""),-1.0)</f>
        <v>-1</v>
      </c>
      <c r="U2293" s="148">
        <f>IFERROR(__xludf.DUMMYFUNCTION("""COMPUTED_VALUE"""),0.0)</f>
        <v>0</v>
      </c>
      <c r="V2293" s="148" t="str">
        <f>IFERROR(__xludf.DUMMYFUNCTION("""COMPUTED_VALUE"""),"[]")</f>
        <v>[]</v>
      </c>
      <c r="W2293" s="148">
        <f>IFERROR(__xludf.DUMMYFUNCTION("""COMPUTED_VALUE"""),1.174E7)</f>
        <v>11740000</v>
      </c>
      <c r="X2293" s="148">
        <f>IFERROR(__xludf.DUMMYFUNCTION("""COMPUTED_VALUE"""),0.0)</f>
        <v>0</v>
      </c>
      <c r="Y2293" s="148">
        <f>IFERROR(__xludf.DUMMYFUNCTION("""COMPUTED_VALUE"""),0.0)</f>
        <v>0</v>
      </c>
      <c r="Z2293" s="148"/>
    </row>
    <row r="2294">
      <c r="A2294" s="148">
        <f>IFERROR(__xludf.DUMMYFUNCTION("""COMPUTED_VALUE"""),1.1119206E7)</f>
        <v>11119206</v>
      </c>
      <c r="B2294" s="148" t="str">
        <f>IFERROR(__xludf.DUMMYFUNCTION("""COMPUTED_VALUE"""),"vip勋章道具4")</f>
        <v>vip勋章道具4</v>
      </c>
      <c r="C2294" s="148"/>
      <c r="D2294" s="148" t="str">
        <f>IFERROR(__xludf.DUMMYFUNCTION("""COMPUTED_VALUE"""),"event")</f>
        <v>event</v>
      </c>
      <c r="E2294" s="148">
        <f>IFERROR(__xludf.DUMMYFUNCTION("""COMPUTED_VALUE"""),0.0)</f>
        <v>0</v>
      </c>
      <c r="F2294" s="148">
        <f>IFERROR(__xludf.DUMMYFUNCTION("""COMPUTED_VALUE"""),0.0)</f>
        <v>0</v>
      </c>
      <c r="G2294" s="148">
        <f>IFERROR(__xludf.DUMMYFUNCTION("""COMPUTED_VALUE"""),1.5119433E7)</f>
        <v>15119433</v>
      </c>
      <c r="H2294" s="148">
        <f>IFERROR(__xludf.DUMMYFUNCTION("""COMPUTED_VALUE"""),1.5112563E7)</f>
        <v>15112563</v>
      </c>
      <c r="I2294" s="148" t="str">
        <f>IFERROR(__xludf.DUMMYFUNCTION("""COMPUTED_VALUE"""),"{}")</f>
        <v>{}</v>
      </c>
      <c r="J2294" s="148" t="str">
        <f>IFERROR(__xludf.DUMMYFUNCTION("""COMPUTED_VALUE"""),"{""typ"":""lc"",""txt"":""LC_QUEST_achievement_p_name_vip04""}")</f>
        <v>{"typ":"lc","txt":"LC_QUEST_achievement_p_name_vip04"}</v>
      </c>
      <c r="K2294" s="148" t="str">
        <f>IFERROR(__xludf.DUMMYFUNCTION("""COMPUTED_VALUE"""),"{""typ"":""lc"",""txt"":""LC_QUEST_achievement_p_desc_vip04""}")</f>
        <v>{"typ":"lc","txt":"LC_QUEST_achievement_p_desc_vip04"}</v>
      </c>
      <c r="L2294" s="148" t="str">
        <f>IFERROR(__xludf.DUMMYFUNCTION("""COMPUTED_VALUE"""),"{}")</f>
        <v>{}</v>
      </c>
      <c r="M2294" s="148">
        <f>IFERROR(__xludf.DUMMYFUNCTION("""COMPUTED_VALUE"""),1000.0)</f>
        <v>1000</v>
      </c>
      <c r="N2294" s="148">
        <f>IFERROR(__xludf.DUMMYFUNCTION("""COMPUTED_VALUE"""),1.0)</f>
        <v>1</v>
      </c>
      <c r="O2294" s="148">
        <f>IFERROR(__xludf.DUMMYFUNCTION("""COMPUTED_VALUE"""),1.0)</f>
        <v>1</v>
      </c>
      <c r="P2294" s="148">
        <f>IFERROR(__xludf.DUMMYFUNCTION("""COMPUTED_VALUE"""),1.0)</f>
        <v>1</v>
      </c>
      <c r="Q2294" s="148" t="str">
        <f>IFERROR(__xludf.DUMMYFUNCTION("""COMPUTED_VALUE"""),"[]")</f>
        <v>[]</v>
      </c>
      <c r="R2294" s="148" t="str">
        <f>IFERROR(__xludf.DUMMYFUNCTION("""COMPUTED_VALUE"""),"[]")</f>
        <v>[]</v>
      </c>
      <c r="S2294" s="148" t="str">
        <f>IFERROR(__xludf.DUMMYFUNCTION("""COMPUTED_VALUE"""),"{}")</f>
        <v>{}</v>
      </c>
      <c r="T2294" s="148">
        <f>IFERROR(__xludf.DUMMYFUNCTION("""COMPUTED_VALUE"""),-1.0)</f>
        <v>-1</v>
      </c>
      <c r="U2294" s="148">
        <f>IFERROR(__xludf.DUMMYFUNCTION("""COMPUTED_VALUE"""),0.0)</f>
        <v>0</v>
      </c>
      <c r="V2294" s="148" t="str">
        <f>IFERROR(__xludf.DUMMYFUNCTION("""COMPUTED_VALUE"""),"[]")</f>
        <v>[]</v>
      </c>
      <c r="W2294" s="148">
        <f>IFERROR(__xludf.DUMMYFUNCTION("""COMPUTED_VALUE"""),1.174E7)</f>
        <v>11740000</v>
      </c>
      <c r="X2294" s="148">
        <f>IFERROR(__xludf.DUMMYFUNCTION("""COMPUTED_VALUE"""),0.0)</f>
        <v>0</v>
      </c>
      <c r="Y2294" s="148">
        <f>IFERROR(__xludf.DUMMYFUNCTION("""COMPUTED_VALUE"""),0.0)</f>
        <v>0</v>
      </c>
      <c r="Z2294" s="148"/>
    </row>
    <row r="2295">
      <c r="A2295" s="148">
        <f>IFERROR(__xludf.DUMMYFUNCTION("""COMPUTED_VALUE"""),1.1119207E7)</f>
        <v>11119207</v>
      </c>
      <c r="B2295" s="148" t="str">
        <f>IFERROR(__xludf.DUMMYFUNCTION("""COMPUTED_VALUE"""),"vip勋章道具5")</f>
        <v>vip勋章道具5</v>
      </c>
      <c r="C2295" s="148"/>
      <c r="D2295" s="148" t="str">
        <f>IFERROR(__xludf.DUMMYFUNCTION("""COMPUTED_VALUE"""),"event")</f>
        <v>event</v>
      </c>
      <c r="E2295" s="148">
        <f>IFERROR(__xludf.DUMMYFUNCTION("""COMPUTED_VALUE"""),0.0)</f>
        <v>0</v>
      </c>
      <c r="F2295" s="148">
        <f>IFERROR(__xludf.DUMMYFUNCTION("""COMPUTED_VALUE"""),0.0)</f>
        <v>0</v>
      </c>
      <c r="G2295" s="148">
        <f>IFERROR(__xludf.DUMMYFUNCTION("""COMPUTED_VALUE"""),1.5119434E7)</f>
        <v>15119434</v>
      </c>
      <c r="H2295" s="148">
        <f>IFERROR(__xludf.DUMMYFUNCTION("""COMPUTED_VALUE"""),1.5112564E7)</f>
        <v>15112564</v>
      </c>
      <c r="I2295" s="148" t="str">
        <f>IFERROR(__xludf.DUMMYFUNCTION("""COMPUTED_VALUE"""),"{}")</f>
        <v>{}</v>
      </c>
      <c r="J2295" s="148" t="str">
        <f>IFERROR(__xludf.DUMMYFUNCTION("""COMPUTED_VALUE"""),"{""typ"":""lc"",""txt"":""LC_QUEST_achievement_p_name_vip05""}")</f>
        <v>{"typ":"lc","txt":"LC_QUEST_achievement_p_name_vip05"}</v>
      </c>
      <c r="K2295" s="148" t="str">
        <f>IFERROR(__xludf.DUMMYFUNCTION("""COMPUTED_VALUE"""),"{""typ"":""lc"",""txt"":""LC_QUEST_achievement_p_desc_vip05""}")</f>
        <v>{"typ":"lc","txt":"LC_QUEST_achievement_p_desc_vip05"}</v>
      </c>
      <c r="L2295" s="148" t="str">
        <f>IFERROR(__xludf.DUMMYFUNCTION("""COMPUTED_VALUE"""),"{}")</f>
        <v>{}</v>
      </c>
      <c r="M2295" s="148">
        <f>IFERROR(__xludf.DUMMYFUNCTION("""COMPUTED_VALUE"""),1000.0)</f>
        <v>1000</v>
      </c>
      <c r="N2295" s="148">
        <f>IFERROR(__xludf.DUMMYFUNCTION("""COMPUTED_VALUE"""),1.0)</f>
        <v>1</v>
      </c>
      <c r="O2295" s="148">
        <f>IFERROR(__xludf.DUMMYFUNCTION("""COMPUTED_VALUE"""),1.0)</f>
        <v>1</v>
      </c>
      <c r="P2295" s="148">
        <f>IFERROR(__xludf.DUMMYFUNCTION("""COMPUTED_VALUE"""),1.0)</f>
        <v>1</v>
      </c>
      <c r="Q2295" s="148" t="str">
        <f>IFERROR(__xludf.DUMMYFUNCTION("""COMPUTED_VALUE"""),"[]")</f>
        <v>[]</v>
      </c>
      <c r="R2295" s="148" t="str">
        <f>IFERROR(__xludf.DUMMYFUNCTION("""COMPUTED_VALUE"""),"[]")</f>
        <v>[]</v>
      </c>
      <c r="S2295" s="148" t="str">
        <f>IFERROR(__xludf.DUMMYFUNCTION("""COMPUTED_VALUE"""),"{}")</f>
        <v>{}</v>
      </c>
      <c r="T2295" s="148">
        <f>IFERROR(__xludf.DUMMYFUNCTION("""COMPUTED_VALUE"""),-1.0)</f>
        <v>-1</v>
      </c>
      <c r="U2295" s="148">
        <f>IFERROR(__xludf.DUMMYFUNCTION("""COMPUTED_VALUE"""),0.0)</f>
        <v>0</v>
      </c>
      <c r="V2295" s="148" t="str">
        <f>IFERROR(__xludf.DUMMYFUNCTION("""COMPUTED_VALUE"""),"[]")</f>
        <v>[]</v>
      </c>
      <c r="W2295" s="148">
        <f>IFERROR(__xludf.DUMMYFUNCTION("""COMPUTED_VALUE"""),1.174E7)</f>
        <v>11740000</v>
      </c>
      <c r="X2295" s="148">
        <f>IFERROR(__xludf.DUMMYFUNCTION("""COMPUTED_VALUE"""),0.0)</f>
        <v>0</v>
      </c>
      <c r="Y2295" s="148">
        <f>IFERROR(__xludf.DUMMYFUNCTION("""COMPUTED_VALUE"""),0.0)</f>
        <v>0</v>
      </c>
      <c r="Z2295" s="148"/>
    </row>
    <row r="2296">
      <c r="A2296" s="148">
        <f>IFERROR(__xludf.DUMMYFUNCTION("""COMPUTED_VALUE"""),1.1119208E7)</f>
        <v>11119208</v>
      </c>
      <c r="B2296" s="148" t="str">
        <f>IFERROR(__xludf.DUMMYFUNCTION("""COMPUTED_VALUE"""),"战车升级道具-紫色")</f>
        <v>战车升级道具-紫色</v>
      </c>
      <c r="C2296" s="148"/>
      <c r="D2296" s="148" t="str">
        <f>IFERROR(__xludf.DUMMYFUNCTION("""COMPUTED_VALUE"""),"item_asset")</f>
        <v>item_asset</v>
      </c>
      <c r="E2296" s="148">
        <f>IFERROR(__xludf.DUMMYFUNCTION("""COMPUTED_VALUE"""),0.0)</f>
        <v>0</v>
      </c>
      <c r="F2296" s="148">
        <f>IFERROR(__xludf.DUMMYFUNCTION("""COMPUTED_VALUE"""),0.0)</f>
        <v>0</v>
      </c>
      <c r="G2296" s="148">
        <f>IFERROR(__xludf.DUMMYFUNCTION("""COMPUTED_VALUE"""),1.5119786E7)</f>
        <v>15119786</v>
      </c>
      <c r="H2296" s="148">
        <f>IFERROR(__xludf.DUMMYFUNCTION("""COMPUTED_VALUE"""),1.5112562E7)</f>
        <v>15112562</v>
      </c>
      <c r="I2296" s="148" t="str">
        <f>IFERROR(__xludf.DUMMYFUNCTION("""COMPUTED_VALUE"""),"{}")</f>
        <v>{}</v>
      </c>
      <c r="J2296" s="148" t="str">
        <f>IFERROR(__xludf.DUMMYFUNCTION("""COMPUTED_VALUE"""),"{""typ"":""lc"",""txt"":""LC_ITEM_tank_levelup_name_03""}")</f>
        <v>{"typ":"lc","txt":"LC_ITEM_tank_levelup_name_03"}</v>
      </c>
      <c r="K2296" s="148" t="str">
        <f>IFERROR(__xludf.DUMMYFUNCTION("""COMPUTED_VALUE"""),"{""typ"":""lc"",""txt"":""LC_ITEM_tank_levelup_desc_03""}")</f>
        <v>{"typ":"lc","txt":"LC_ITEM_tank_levelup_desc_03"}</v>
      </c>
      <c r="L2296" s="148" t="str">
        <f>IFERROR(__xludf.DUMMYFUNCTION("""COMPUTED_VALUE"""),"{}")</f>
        <v>{}</v>
      </c>
      <c r="M2296" s="148">
        <f>IFERROR(__xludf.DUMMYFUNCTION("""COMPUTED_VALUE"""),80.0)</f>
        <v>80</v>
      </c>
      <c r="N2296" s="148">
        <f>IFERROR(__xludf.DUMMYFUNCTION("""COMPUTED_VALUE"""),9999999.0)</f>
        <v>9999999</v>
      </c>
      <c r="O2296" s="148">
        <f>IFERROR(__xludf.DUMMYFUNCTION("""COMPUTED_VALUE"""),99999.0)</f>
        <v>99999</v>
      </c>
      <c r="P2296" s="148">
        <f>IFERROR(__xludf.DUMMYFUNCTION("""COMPUTED_VALUE"""),99999.0)</f>
        <v>99999</v>
      </c>
      <c r="Q2296" s="148" t="str">
        <f>IFERROR(__xludf.DUMMYFUNCTION("""COMPUTED_VALUE"""),"[""bag_other""]")</f>
        <v>["bag_other"]</v>
      </c>
      <c r="R2296" s="148" t="str">
        <f>IFERROR(__xludf.DUMMYFUNCTION("""COMPUTED_VALUE"""),"[]")</f>
        <v>[]</v>
      </c>
      <c r="S2296" s="148" t="str">
        <f>IFERROR(__xludf.DUMMYFUNCTION("""COMPUTED_VALUE"""),"{}")</f>
        <v>{}</v>
      </c>
      <c r="T2296" s="148">
        <f>IFERROR(__xludf.DUMMYFUNCTION("""COMPUTED_VALUE"""),-1.0)</f>
        <v>-1</v>
      </c>
      <c r="U2296" s="148">
        <f>IFERROR(__xludf.DUMMYFUNCTION("""COMPUTED_VALUE"""),0.0)</f>
        <v>0</v>
      </c>
      <c r="V2296" s="148" t="str">
        <f>IFERROR(__xludf.DUMMYFUNCTION("""COMPUTED_VALUE"""),"[]")</f>
        <v>[]</v>
      </c>
      <c r="W2296" s="148">
        <f>IFERROR(__xludf.DUMMYFUNCTION("""COMPUTED_VALUE"""),1.174E7)</f>
        <v>11740000</v>
      </c>
      <c r="X2296" s="148">
        <f>IFERROR(__xludf.DUMMYFUNCTION("""COMPUTED_VALUE"""),0.0)</f>
        <v>0</v>
      </c>
      <c r="Y2296" s="148">
        <f>IFERROR(__xludf.DUMMYFUNCTION("""COMPUTED_VALUE"""),0.0)</f>
        <v>0</v>
      </c>
      <c r="Z2296" s="148"/>
    </row>
    <row r="2297">
      <c r="A2297" s="148">
        <f>IFERROR(__xludf.DUMMYFUNCTION("""COMPUTED_VALUE"""),1.1119209E7)</f>
        <v>11119209</v>
      </c>
      <c r="B2297" s="148" t="str">
        <f>IFERROR(__xludf.DUMMYFUNCTION("""COMPUTED_VALUE"""),"战车突破道具-紫色")</f>
        <v>战车突破道具-紫色</v>
      </c>
      <c r="C2297" s="148"/>
      <c r="D2297" s="148" t="str">
        <f>IFERROR(__xludf.DUMMYFUNCTION("""COMPUTED_VALUE"""),"item_asset")</f>
        <v>item_asset</v>
      </c>
      <c r="E2297" s="148">
        <f>IFERROR(__xludf.DUMMYFUNCTION("""COMPUTED_VALUE"""),0.0)</f>
        <v>0</v>
      </c>
      <c r="F2297" s="148">
        <f>IFERROR(__xludf.DUMMYFUNCTION("""COMPUTED_VALUE"""),0.0)</f>
        <v>0</v>
      </c>
      <c r="G2297" s="148">
        <f>IFERROR(__xludf.DUMMYFUNCTION("""COMPUTED_VALUE"""),1.5119787E7)</f>
        <v>15119787</v>
      </c>
      <c r="H2297" s="148">
        <f>IFERROR(__xludf.DUMMYFUNCTION("""COMPUTED_VALUE"""),1.5112563E7)</f>
        <v>15112563</v>
      </c>
      <c r="I2297" s="148" t="str">
        <f>IFERROR(__xludf.DUMMYFUNCTION("""COMPUTED_VALUE"""),"{}")</f>
        <v>{}</v>
      </c>
      <c r="J2297" s="148" t="str">
        <f>IFERROR(__xludf.DUMMYFUNCTION("""COMPUTED_VALUE"""),"{""typ"":""lc"",""txt"":""LC_ITEM_tank_levelup_name_04""}")</f>
        <v>{"typ":"lc","txt":"LC_ITEM_tank_levelup_name_04"}</v>
      </c>
      <c r="K2297" s="148" t="str">
        <f>IFERROR(__xludf.DUMMYFUNCTION("""COMPUTED_VALUE"""),"{""typ"":""lc"",""txt"":""LC_ITEM_tank_levelup_desc_04""}")</f>
        <v>{"typ":"lc","txt":"LC_ITEM_tank_levelup_desc_04"}</v>
      </c>
      <c r="L2297" s="148" t="str">
        <f>IFERROR(__xludf.DUMMYFUNCTION("""COMPUTED_VALUE"""),"{}")</f>
        <v>{}</v>
      </c>
      <c r="M2297" s="148">
        <f>IFERROR(__xludf.DUMMYFUNCTION("""COMPUTED_VALUE"""),200.0)</f>
        <v>200</v>
      </c>
      <c r="N2297" s="148">
        <f>IFERROR(__xludf.DUMMYFUNCTION("""COMPUTED_VALUE"""),9999999.0)</f>
        <v>9999999</v>
      </c>
      <c r="O2297" s="148">
        <f>IFERROR(__xludf.DUMMYFUNCTION("""COMPUTED_VALUE"""),99999.0)</f>
        <v>99999</v>
      </c>
      <c r="P2297" s="148">
        <f>IFERROR(__xludf.DUMMYFUNCTION("""COMPUTED_VALUE"""),99999.0)</f>
        <v>99999</v>
      </c>
      <c r="Q2297" s="148" t="str">
        <f>IFERROR(__xludf.DUMMYFUNCTION("""COMPUTED_VALUE"""),"[""bag_other""]")</f>
        <v>["bag_other"]</v>
      </c>
      <c r="R2297" s="148" t="str">
        <f>IFERROR(__xludf.DUMMYFUNCTION("""COMPUTED_VALUE"""),"[]")</f>
        <v>[]</v>
      </c>
      <c r="S2297" s="148" t="str">
        <f>IFERROR(__xludf.DUMMYFUNCTION("""COMPUTED_VALUE"""),"{}")</f>
        <v>{}</v>
      </c>
      <c r="T2297" s="148">
        <f>IFERROR(__xludf.DUMMYFUNCTION("""COMPUTED_VALUE"""),-1.0)</f>
        <v>-1</v>
      </c>
      <c r="U2297" s="148">
        <f>IFERROR(__xludf.DUMMYFUNCTION("""COMPUTED_VALUE"""),0.0)</f>
        <v>0</v>
      </c>
      <c r="V2297" s="148" t="str">
        <f>IFERROR(__xludf.DUMMYFUNCTION("""COMPUTED_VALUE"""),"[]")</f>
        <v>[]</v>
      </c>
      <c r="W2297" s="148">
        <f>IFERROR(__xludf.DUMMYFUNCTION("""COMPUTED_VALUE"""),1.174E7)</f>
        <v>11740000</v>
      </c>
      <c r="X2297" s="148">
        <f>IFERROR(__xludf.DUMMYFUNCTION("""COMPUTED_VALUE"""),0.0)</f>
        <v>0</v>
      </c>
      <c r="Y2297" s="148">
        <f>IFERROR(__xludf.DUMMYFUNCTION("""COMPUTED_VALUE"""),0.0)</f>
        <v>0</v>
      </c>
      <c r="Z2297" s="148"/>
    </row>
    <row r="2298">
      <c r="A2298" s="148">
        <f>IFERROR(__xludf.DUMMYFUNCTION("""COMPUTED_VALUE"""),1.111921E7)</f>
        <v>11119210</v>
      </c>
      <c r="B2298" s="148" t="str">
        <f>IFERROR(__xludf.DUMMYFUNCTION("""COMPUTED_VALUE"""),"3号紫色战车本体头像-礼包表现用")</f>
        <v>3号紫色战车本体头像-礼包表现用</v>
      </c>
      <c r="C2298" s="148"/>
      <c r="D2298" s="148" t="str">
        <f>IFERROR(__xludf.DUMMYFUNCTION("""COMPUTED_VALUE"""),"item_asset")</f>
        <v>item_asset</v>
      </c>
      <c r="E2298" s="148">
        <f>IFERROR(__xludf.DUMMYFUNCTION("""COMPUTED_VALUE"""),0.0)</f>
        <v>0</v>
      </c>
      <c r="F2298" s="148">
        <f>IFERROR(__xludf.DUMMYFUNCTION("""COMPUTED_VALUE"""),0.0)</f>
        <v>0</v>
      </c>
      <c r="G2298" s="148">
        <f>IFERROR(__xludf.DUMMYFUNCTION("""COMPUTED_VALUE"""),1.5119861E7)</f>
        <v>15119861</v>
      </c>
      <c r="H2298" s="148">
        <f>IFERROR(__xludf.DUMMYFUNCTION("""COMPUTED_VALUE"""),1.5112563E7)</f>
        <v>15112563</v>
      </c>
      <c r="I2298" s="148" t="str">
        <f>IFERROR(__xludf.DUMMYFUNCTION("""COMPUTED_VALUE"""),"{}")</f>
        <v>{}</v>
      </c>
      <c r="J2298" s="148" t="str">
        <f>IFERROR(__xludf.DUMMYFUNCTION("""COMPUTED_VALUE"""),"{""typ"":""lc"",""txt"":""LC_HERO_tank_name_03""}")</f>
        <v>{"typ":"lc","txt":"LC_HERO_tank_name_03"}</v>
      </c>
      <c r="K2298" s="148" t="str">
        <f>IFERROR(__xludf.DUMMYFUNCTION("""COMPUTED_VALUE"""),"{""typ"":""lc"",""txt"":""LC_HERO_tank_name_desc_03""}")</f>
        <v>{"typ":"lc","txt":"LC_HERO_tank_name_desc_03"}</v>
      </c>
      <c r="L2298" s="148" t="str">
        <f>IFERROR(__xludf.DUMMYFUNCTION("""COMPUTED_VALUE"""),"{}")</f>
        <v>{}</v>
      </c>
      <c r="M2298" s="148">
        <f>IFERROR(__xludf.DUMMYFUNCTION("""COMPUTED_VALUE"""),4000.0)</f>
        <v>4000</v>
      </c>
      <c r="N2298" s="148">
        <f>IFERROR(__xludf.DUMMYFUNCTION("""COMPUTED_VALUE"""),9999999.0)</f>
        <v>9999999</v>
      </c>
      <c r="O2298" s="148">
        <f>IFERROR(__xludf.DUMMYFUNCTION("""COMPUTED_VALUE"""),99999.0)</f>
        <v>99999</v>
      </c>
      <c r="P2298" s="148">
        <f>IFERROR(__xludf.DUMMYFUNCTION("""COMPUTED_VALUE"""),99999.0)</f>
        <v>99999</v>
      </c>
      <c r="Q2298" s="148" t="str">
        <f>IFERROR(__xludf.DUMMYFUNCTION("""COMPUTED_VALUE"""),"[]")</f>
        <v>[]</v>
      </c>
      <c r="R2298" s="148" t="str">
        <f>IFERROR(__xludf.DUMMYFUNCTION("""COMPUTED_VALUE"""),"[]")</f>
        <v>[]</v>
      </c>
      <c r="S2298" s="148" t="str">
        <f>IFERROR(__xludf.DUMMYFUNCTION("""COMPUTED_VALUE"""),"{}")</f>
        <v>{}</v>
      </c>
      <c r="T2298" s="148">
        <f>IFERROR(__xludf.DUMMYFUNCTION("""COMPUTED_VALUE"""),1.0)</f>
        <v>1</v>
      </c>
      <c r="U2298" s="148">
        <f>IFERROR(__xludf.DUMMYFUNCTION("""COMPUTED_VALUE"""),0.0)</f>
        <v>0</v>
      </c>
      <c r="V2298" s="148" t="str">
        <f>IFERROR(__xludf.DUMMYFUNCTION("""COMPUTED_VALUE"""),"[]")</f>
        <v>[]</v>
      </c>
      <c r="W2298" s="148">
        <f>IFERROR(__xludf.DUMMYFUNCTION("""COMPUTED_VALUE"""),1.174E7)</f>
        <v>11740000</v>
      </c>
      <c r="X2298" s="148">
        <f>IFERROR(__xludf.DUMMYFUNCTION("""COMPUTED_VALUE"""),0.0)</f>
        <v>0</v>
      </c>
      <c r="Y2298" s="148">
        <f>IFERROR(__xludf.DUMMYFUNCTION("""COMPUTED_VALUE"""),0.0)</f>
        <v>0</v>
      </c>
      <c r="Z2298" s="148"/>
    </row>
    <row r="2299">
      <c r="A2299" s="148">
        <f>IFERROR(__xludf.DUMMYFUNCTION("""COMPUTED_VALUE"""),1.1119211E7)</f>
        <v>11119211</v>
      </c>
      <c r="B2299" s="148" t="str">
        <f>IFERROR(__xludf.DUMMYFUNCTION("""COMPUTED_VALUE"""),"沙滩节强消耗扭蛋币")</f>
        <v>沙滩节强消耗扭蛋币</v>
      </c>
      <c r="C2299" s="148"/>
      <c r="D2299" s="148" t="str">
        <f>IFERROR(__xludf.DUMMYFUNCTION("""COMPUTED_VALUE"""),"event")</f>
        <v>event</v>
      </c>
      <c r="E2299" s="148">
        <f>IFERROR(__xludf.DUMMYFUNCTION("""COMPUTED_VALUE"""),0.0)</f>
        <v>0</v>
      </c>
      <c r="F2299" s="148">
        <f>IFERROR(__xludf.DUMMYFUNCTION("""COMPUTED_VALUE"""),0.0)</f>
        <v>0</v>
      </c>
      <c r="G2299" s="148">
        <f>IFERROR(__xludf.DUMMYFUNCTION("""COMPUTED_VALUE"""),1.5119837E7)</f>
        <v>15119837</v>
      </c>
      <c r="H2299" s="148">
        <f>IFERROR(__xludf.DUMMYFUNCTION("""COMPUTED_VALUE"""),1.5112564E7)</f>
        <v>15112564</v>
      </c>
      <c r="I2299" s="148" t="str">
        <f>IFERROR(__xludf.DUMMYFUNCTION("""COMPUTED_VALUE"""),"{}")</f>
        <v>{}</v>
      </c>
      <c r="J2299" s="148" t="str">
        <f>IFERROR(__xludf.DUMMYFUNCTION("""COMPUTED_VALUE"""),"{""typ"":""lc"",""txt"":""LC_ITEM_new_strong_consume_gacha_token1_name""}")</f>
        <v>{"typ":"lc","txt":"LC_ITEM_new_strong_consume_gacha_token1_name"}</v>
      </c>
      <c r="K2299" s="148" t="str">
        <f>IFERROR(__xludf.DUMMYFUNCTION("""COMPUTED_VALUE"""),"{""typ"":""lc"",""txt"":""LC_ITEM_new_strong_consume_gacha_token1_desc""}")</f>
        <v>{"typ":"lc","txt":"LC_ITEM_new_strong_consume_gacha_token1_desc"}</v>
      </c>
      <c r="L2299" s="148" t="str">
        <f>IFERROR(__xludf.DUMMYFUNCTION("""COMPUTED_VALUE"""),"{}")</f>
        <v>{}</v>
      </c>
      <c r="M2299" s="148">
        <f>IFERROR(__xludf.DUMMYFUNCTION("""COMPUTED_VALUE"""),500.0)</f>
        <v>500</v>
      </c>
      <c r="N2299" s="148">
        <f>IFERROR(__xludf.DUMMYFUNCTION("""COMPUTED_VALUE"""),999999.0)</f>
        <v>999999</v>
      </c>
      <c r="O2299" s="148">
        <f>IFERROR(__xludf.DUMMYFUNCTION("""COMPUTED_VALUE"""),99999.0)</f>
        <v>99999</v>
      </c>
      <c r="P2299" s="148">
        <f>IFERROR(__xludf.DUMMYFUNCTION("""COMPUTED_VALUE"""),9999.0)</f>
        <v>9999</v>
      </c>
      <c r="Q2299" s="148" t="str">
        <f>IFERROR(__xludf.DUMMYFUNCTION("""COMPUTED_VALUE"""),"[""bag_other""]")</f>
        <v>["bag_other"]</v>
      </c>
      <c r="R2299" s="148" t="str">
        <f>IFERROR(__xludf.DUMMYFUNCTION("""COMPUTED_VALUE"""),"[]")</f>
        <v>[]</v>
      </c>
      <c r="S2299" s="148" t="str">
        <f>IFERROR(__xludf.DUMMYFUNCTION("""COMPUTED_VALUE"""),"{}")</f>
        <v>{}</v>
      </c>
      <c r="T2299" s="148">
        <f>IFERROR(__xludf.DUMMYFUNCTION("""COMPUTED_VALUE"""),-1.0)</f>
        <v>-1</v>
      </c>
      <c r="U2299" s="148">
        <f>IFERROR(__xludf.DUMMYFUNCTION("""COMPUTED_VALUE"""),0.0)</f>
        <v>0</v>
      </c>
      <c r="V2299" s="148" t="str">
        <f>IFERROR(__xludf.DUMMYFUNCTION("""COMPUTED_VALUE"""),"[]")</f>
        <v>[]</v>
      </c>
      <c r="W2299" s="148">
        <f>IFERROR(__xludf.DUMMYFUNCTION("""COMPUTED_VALUE"""),1.174E7)</f>
        <v>11740000</v>
      </c>
      <c r="X2299" s="148">
        <f>IFERROR(__xludf.DUMMYFUNCTION("""COMPUTED_VALUE"""),0.0)</f>
        <v>0</v>
      </c>
      <c r="Y2299" s="148">
        <f>IFERROR(__xludf.DUMMYFUNCTION("""COMPUTED_VALUE"""),0.0)</f>
        <v>0</v>
      </c>
      <c r="Z2299" s="148"/>
    </row>
    <row r="2300">
      <c r="A2300" s="148">
        <f>IFERROR(__xludf.DUMMYFUNCTION("""COMPUTED_VALUE"""),1.1119212E7)</f>
        <v>11119212</v>
      </c>
      <c r="B2300" s="148" t="str">
        <f>IFERROR(__xludf.DUMMYFUNCTION("""COMPUTED_VALUE"""),"沙滩节强消耗抽奖券")</f>
        <v>沙滩节强消耗抽奖券</v>
      </c>
      <c r="C2300" s="148"/>
      <c r="D2300" s="148" t="str">
        <f>IFERROR(__xludf.DUMMYFUNCTION("""COMPUTED_VALUE"""),"event")</f>
        <v>event</v>
      </c>
      <c r="E2300" s="148">
        <f>IFERROR(__xludf.DUMMYFUNCTION("""COMPUTED_VALUE"""),0.0)</f>
        <v>0</v>
      </c>
      <c r="F2300" s="148">
        <f>IFERROR(__xludf.DUMMYFUNCTION("""COMPUTED_VALUE"""),0.0)</f>
        <v>0</v>
      </c>
      <c r="G2300" s="148">
        <f>IFERROR(__xludf.DUMMYFUNCTION("""COMPUTED_VALUE"""),1.5119836E7)</f>
        <v>15119836</v>
      </c>
      <c r="H2300" s="148">
        <f>IFERROR(__xludf.DUMMYFUNCTION("""COMPUTED_VALUE"""),1.5112564E7)</f>
        <v>15112564</v>
      </c>
      <c r="I2300" s="148" t="str">
        <f>IFERROR(__xludf.DUMMYFUNCTION("""COMPUTED_VALUE"""),"{}")</f>
        <v>{}</v>
      </c>
      <c r="J2300" s="148" t="str">
        <f>IFERROR(__xludf.DUMMYFUNCTION("""COMPUTED_VALUE"""),"{""typ"":""lc"",""txt"":""LC_ITEM_new_strong_consume_gacha_token2_name""}")</f>
        <v>{"typ":"lc","txt":"LC_ITEM_new_strong_consume_gacha_token2_name"}</v>
      </c>
      <c r="K2300" s="148" t="str">
        <f>IFERROR(__xludf.DUMMYFUNCTION("""COMPUTED_VALUE"""),"{""typ"":""lc"",""txt"":""LC_ITEM_new_strong_consume_gacha_token2_desc""}")</f>
        <v>{"typ":"lc","txt":"LC_ITEM_new_strong_consume_gacha_token2_desc"}</v>
      </c>
      <c r="L2300" s="148" t="str">
        <f>IFERROR(__xludf.DUMMYFUNCTION("""COMPUTED_VALUE"""),"{}")</f>
        <v>{}</v>
      </c>
      <c r="M2300" s="148">
        <f>IFERROR(__xludf.DUMMYFUNCTION("""COMPUTED_VALUE"""),125.0)</f>
        <v>125</v>
      </c>
      <c r="N2300" s="148">
        <f>IFERROR(__xludf.DUMMYFUNCTION("""COMPUTED_VALUE"""),999999.0)</f>
        <v>999999</v>
      </c>
      <c r="O2300" s="148">
        <f>IFERROR(__xludf.DUMMYFUNCTION("""COMPUTED_VALUE"""),99999.0)</f>
        <v>99999</v>
      </c>
      <c r="P2300" s="148">
        <f>IFERROR(__xludf.DUMMYFUNCTION("""COMPUTED_VALUE"""),9999.0)</f>
        <v>9999</v>
      </c>
      <c r="Q2300" s="148" t="str">
        <f>IFERROR(__xludf.DUMMYFUNCTION("""COMPUTED_VALUE"""),"[""bag_other""]")</f>
        <v>["bag_other"]</v>
      </c>
      <c r="R2300" s="148" t="str">
        <f>IFERROR(__xludf.DUMMYFUNCTION("""COMPUTED_VALUE"""),"[]")</f>
        <v>[]</v>
      </c>
      <c r="S2300" s="148" t="str">
        <f>IFERROR(__xludf.DUMMYFUNCTION("""COMPUTED_VALUE"""),"{}")</f>
        <v>{}</v>
      </c>
      <c r="T2300" s="148">
        <f>IFERROR(__xludf.DUMMYFUNCTION("""COMPUTED_VALUE"""),-1.0)</f>
        <v>-1</v>
      </c>
      <c r="U2300" s="148">
        <f>IFERROR(__xludf.DUMMYFUNCTION("""COMPUTED_VALUE"""),0.0)</f>
        <v>0</v>
      </c>
      <c r="V2300" s="148" t="str">
        <f>IFERROR(__xludf.DUMMYFUNCTION("""COMPUTED_VALUE"""),"[]")</f>
        <v>[]</v>
      </c>
      <c r="W2300" s="148">
        <f>IFERROR(__xludf.DUMMYFUNCTION("""COMPUTED_VALUE"""),1.174E7)</f>
        <v>11740000</v>
      </c>
      <c r="X2300" s="148">
        <f>IFERROR(__xludf.DUMMYFUNCTION("""COMPUTED_VALUE"""),0.0)</f>
        <v>0</v>
      </c>
      <c r="Y2300" s="148">
        <f>IFERROR(__xludf.DUMMYFUNCTION("""COMPUTED_VALUE"""),0.0)</f>
        <v>0</v>
      </c>
      <c r="Z2300" s="148"/>
    </row>
    <row r="2301">
      <c r="A2301" s="148">
        <f>IFERROR(__xludf.DUMMYFUNCTION("""COMPUTED_VALUE"""),1.1119213E7)</f>
        <v>11119213</v>
      </c>
      <c r="B2301" s="148" t="str">
        <f>IFERROR(__xludf.DUMMYFUNCTION("""COMPUTED_VALUE"""),"暴风装备图纸箱")</f>
        <v>暴风装备图纸箱</v>
      </c>
      <c r="C2301" s="148"/>
      <c r="D2301" s="148" t="str">
        <f>IFERROR(__xludf.DUMMYFUNCTION("""COMPUTED_VALUE"""),"heroarms_box")</f>
        <v>heroarms_box</v>
      </c>
      <c r="E2301" s="148">
        <f>IFERROR(__xludf.DUMMYFUNCTION("""COMPUTED_VALUE"""),19.0)</f>
        <v>19</v>
      </c>
      <c r="F2301" s="148">
        <f>IFERROR(__xludf.DUMMYFUNCTION("""COMPUTED_VALUE"""),403106.0)</f>
        <v>403106</v>
      </c>
      <c r="G2301" s="148">
        <f>IFERROR(__xludf.DUMMYFUNCTION("""COMPUTED_VALUE"""),1.51100085E8)</f>
        <v>151100085</v>
      </c>
      <c r="H2301" s="148">
        <f>IFERROR(__xludf.DUMMYFUNCTION("""COMPUTED_VALUE"""),1.5115983E7)</f>
        <v>15115983</v>
      </c>
      <c r="I2301" s="148" t="str">
        <f>IFERROR(__xludf.DUMMYFUNCTION("""COMPUTED_VALUE"""),"{}")</f>
        <v>{}</v>
      </c>
      <c r="J2301" s="148" t="str">
        <f>IFERROR(__xludf.DUMMYFUNCTION("""COMPUTED_VALUE"""),"{""typ"":""lc"",""txt"":""LC_HERO_equipment_blueprint_box17""}")</f>
        <v>{"typ":"lc","txt":"LC_HERO_equipment_blueprint_box17"}</v>
      </c>
      <c r="K2301" s="148" t="str">
        <f>IFERROR(__xludf.DUMMYFUNCTION("""COMPUTED_VALUE"""),"{""typ"":""lc"",""txt"":""LC_HERO_equipment_blueprint_box_desc17""}")</f>
        <v>{"typ":"lc","txt":"LC_HERO_equipment_blueprint_box_desc17"}</v>
      </c>
      <c r="L2301" s="148" t="str">
        <f>IFERROR(__xludf.DUMMYFUNCTION("""COMPUTED_VALUE"""),"{}")</f>
        <v>{}</v>
      </c>
      <c r="M2301" s="148">
        <f>IFERROR(__xludf.DUMMYFUNCTION("""COMPUTED_VALUE"""),500.0)</f>
        <v>500</v>
      </c>
      <c r="N2301" s="148">
        <f>IFERROR(__xludf.DUMMYFUNCTION("""COMPUTED_VALUE"""),9999999.0)</f>
        <v>9999999</v>
      </c>
      <c r="O2301" s="148">
        <f>IFERROR(__xludf.DUMMYFUNCTION("""COMPUTED_VALUE"""),99999.0)</f>
        <v>99999</v>
      </c>
      <c r="P2301" s="148">
        <f>IFERROR(__xludf.DUMMYFUNCTION("""COMPUTED_VALUE"""),99999.0)</f>
        <v>99999</v>
      </c>
      <c r="Q2301" s="148" t="str">
        <f>IFERROR(__xludf.DUMMYFUNCTION("""COMPUTED_VALUE"""),"[""bag_other""]")</f>
        <v>["bag_other"]</v>
      </c>
      <c r="R2301" s="148" t="str">
        <f>IFERROR(__xludf.DUMMYFUNCTION("""COMPUTED_VALUE"""),"[""bag""]")</f>
        <v>["bag"]</v>
      </c>
      <c r="S2301" s="148" t="str">
        <f>IFERROR(__xludf.DUMMYFUNCTION("""COMPUTED_VALUE"""),"{""drop"":{""typ"":""single_random"",""num"":1,""args"":[{""typ"":""blueprint"",""id"":19344129,""num"":1,""wgt"":100},{""typ"":""blueprint"",""id"":19344130,""num"":1,""wgt"":100},{""typ"":""blueprint"",""id"":19344131,""num"":1,""wgt"":100},{""typ"":""b"&amp;"lueprint"",""id"":19344132,""num"":1,""wgt"":100}]}}")</f>
        <v>{"drop":{"typ":"single_random","num":1,"args":[{"typ":"blueprint","id":19344129,"num":1,"wgt":100},{"typ":"blueprint","id":19344130,"num":1,"wgt":100},{"typ":"blueprint","id":19344131,"num":1,"wgt":100},{"typ":"blueprint","id":19344132,"num":1,"wgt":100}]}}</v>
      </c>
      <c r="T2301" s="148">
        <f>IFERROR(__xludf.DUMMYFUNCTION("""COMPUTED_VALUE"""),-1.0)</f>
        <v>-1</v>
      </c>
      <c r="U2301" s="148">
        <f>IFERROR(__xludf.DUMMYFUNCTION("""COMPUTED_VALUE"""),0.0)</f>
        <v>0</v>
      </c>
      <c r="V2301" s="148" t="str">
        <f>IFERROR(__xludf.DUMMYFUNCTION("""COMPUTED_VALUE"""),"[]")</f>
        <v>[]</v>
      </c>
      <c r="W2301" s="148">
        <f>IFERROR(__xludf.DUMMYFUNCTION("""COMPUTED_VALUE"""),1.1741004E7)</f>
        <v>11741004</v>
      </c>
      <c r="X2301" s="148">
        <f>IFERROR(__xludf.DUMMYFUNCTION("""COMPUTED_VALUE"""),0.0)</f>
        <v>0</v>
      </c>
      <c r="Y2301" s="148">
        <f>IFERROR(__xludf.DUMMYFUNCTION("""COMPUTED_VALUE"""),0.0)</f>
        <v>0</v>
      </c>
      <c r="Z2301" s="148"/>
    </row>
    <row r="2302">
      <c r="A2302" s="148">
        <f>IFERROR(__xludf.DUMMYFUNCTION("""COMPUTED_VALUE"""),1.1119214E7)</f>
        <v>11119214</v>
      </c>
      <c r="B2302" s="148" t="str">
        <f>IFERROR(__xludf.DUMMYFUNCTION("""COMPUTED_VALUE"""),"天选者装备图纸箱")</f>
        <v>天选者装备图纸箱</v>
      </c>
      <c r="C2302" s="148"/>
      <c r="D2302" s="148" t="str">
        <f>IFERROR(__xludf.DUMMYFUNCTION("""COMPUTED_VALUE"""),"heroarms_box")</f>
        <v>heroarms_box</v>
      </c>
      <c r="E2302" s="148">
        <f>IFERROR(__xludf.DUMMYFUNCTION("""COMPUTED_VALUE"""),19.0)</f>
        <v>19</v>
      </c>
      <c r="F2302" s="148">
        <f>IFERROR(__xludf.DUMMYFUNCTION("""COMPUTED_VALUE"""),403106.0)</f>
        <v>403106</v>
      </c>
      <c r="G2302" s="148">
        <f>IFERROR(__xludf.DUMMYFUNCTION("""COMPUTED_VALUE"""),1.51100086E8)</f>
        <v>151100086</v>
      </c>
      <c r="H2302" s="148">
        <f>IFERROR(__xludf.DUMMYFUNCTION("""COMPUTED_VALUE"""),1.5115983E7)</f>
        <v>15115983</v>
      </c>
      <c r="I2302" s="148" t="str">
        <f>IFERROR(__xludf.DUMMYFUNCTION("""COMPUTED_VALUE"""),"{}")</f>
        <v>{}</v>
      </c>
      <c r="J2302" s="148" t="str">
        <f>IFERROR(__xludf.DUMMYFUNCTION("""COMPUTED_VALUE"""),"{""typ"":""lc"",""txt"":""LC_HERO_equipment_blueprint_box18""}")</f>
        <v>{"typ":"lc","txt":"LC_HERO_equipment_blueprint_box18"}</v>
      </c>
      <c r="K2302" s="148" t="str">
        <f>IFERROR(__xludf.DUMMYFUNCTION("""COMPUTED_VALUE"""),"{""typ"":""lc"",""txt"":""LC_HERO_equipment_blueprint_box_desc18""}")</f>
        <v>{"typ":"lc","txt":"LC_HERO_equipment_blueprint_box_desc18"}</v>
      </c>
      <c r="L2302" s="148" t="str">
        <f>IFERROR(__xludf.DUMMYFUNCTION("""COMPUTED_VALUE"""),"{}")</f>
        <v>{}</v>
      </c>
      <c r="M2302" s="148">
        <f>IFERROR(__xludf.DUMMYFUNCTION("""COMPUTED_VALUE"""),500.0)</f>
        <v>500</v>
      </c>
      <c r="N2302" s="148">
        <f>IFERROR(__xludf.DUMMYFUNCTION("""COMPUTED_VALUE"""),9999999.0)</f>
        <v>9999999</v>
      </c>
      <c r="O2302" s="148">
        <f>IFERROR(__xludf.DUMMYFUNCTION("""COMPUTED_VALUE"""),99999.0)</f>
        <v>99999</v>
      </c>
      <c r="P2302" s="148">
        <f>IFERROR(__xludf.DUMMYFUNCTION("""COMPUTED_VALUE"""),99999.0)</f>
        <v>99999</v>
      </c>
      <c r="Q2302" s="148" t="str">
        <f>IFERROR(__xludf.DUMMYFUNCTION("""COMPUTED_VALUE"""),"[""bag_other""]")</f>
        <v>["bag_other"]</v>
      </c>
      <c r="R2302" s="148" t="str">
        <f>IFERROR(__xludf.DUMMYFUNCTION("""COMPUTED_VALUE"""),"[""bag""]")</f>
        <v>["bag"]</v>
      </c>
      <c r="S2302" s="148" t="str">
        <f>IFERROR(__xludf.DUMMYFUNCTION("""COMPUTED_VALUE"""),"{""drop"":{""typ"":""single_random"",""num"":1,""args"":[{""typ"":""blueprint"",""id"":19344133,""num"":1,""wgt"":100},{""typ"":""blueprint"",""id"":19344134,""num"":1,""wgt"":100},{""typ"":""blueprint"",""id"":19344135,""num"":1,""wgt"":100},{""typ"":""b"&amp;"lueprint"",""id"":19344136,""num"":1,""wgt"":100}]}}")</f>
        <v>{"drop":{"typ":"single_random","num":1,"args":[{"typ":"blueprint","id":19344133,"num":1,"wgt":100},{"typ":"blueprint","id":19344134,"num":1,"wgt":100},{"typ":"blueprint","id":19344135,"num":1,"wgt":100},{"typ":"blueprint","id":19344136,"num":1,"wgt":100}]}}</v>
      </c>
      <c r="T2302" s="148">
        <f>IFERROR(__xludf.DUMMYFUNCTION("""COMPUTED_VALUE"""),-1.0)</f>
        <v>-1</v>
      </c>
      <c r="U2302" s="148">
        <f>IFERROR(__xludf.DUMMYFUNCTION("""COMPUTED_VALUE"""),0.0)</f>
        <v>0</v>
      </c>
      <c r="V2302" s="148" t="str">
        <f>IFERROR(__xludf.DUMMYFUNCTION("""COMPUTED_VALUE"""),"[]")</f>
        <v>[]</v>
      </c>
      <c r="W2302" s="148">
        <f>IFERROR(__xludf.DUMMYFUNCTION("""COMPUTED_VALUE"""),1.1741004E7)</f>
        <v>11741004</v>
      </c>
      <c r="X2302" s="148">
        <f>IFERROR(__xludf.DUMMYFUNCTION("""COMPUTED_VALUE"""),0.0)</f>
        <v>0</v>
      </c>
      <c r="Y2302" s="148">
        <f>IFERROR(__xludf.DUMMYFUNCTION("""COMPUTED_VALUE"""),0.0)</f>
        <v>0</v>
      </c>
      <c r="Z2302" s="148"/>
    </row>
    <row r="2303">
      <c r="A2303" s="148">
        <f>IFERROR(__xludf.DUMMYFUNCTION("""COMPUTED_VALUE"""),1.1119215E7)</f>
        <v>11119215</v>
      </c>
      <c r="B2303" s="148" t="str">
        <f>IFERROR(__xludf.DUMMYFUNCTION("""COMPUTED_VALUE"""),"猎鹰装备图纸箱")</f>
        <v>猎鹰装备图纸箱</v>
      </c>
      <c r="C2303" s="148"/>
      <c r="D2303" s="148" t="str">
        <f>IFERROR(__xludf.DUMMYFUNCTION("""COMPUTED_VALUE"""),"heroarms_box")</f>
        <v>heroarms_box</v>
      </c>
      <c r="E2303" s="148">
        <f>IFERROR(__xludf.DUMMYFUNCTION("""COMPUTED_VALUE"""),19.0)</f>
        <v>19</v>
      </c>
      <c r="F2303" s="148">
        <f>IFERROR(__xludf.DUMMYFUNCTION("""COMPUTED_VALUE"""),403106.0)</f>
        <v>403106</v>
      </c>
      <c r="G2303" s="148">
        <f>IFERROR(__xludf.DUMMYFUNCTION("""COMPUTED_VALUE"""),1.51100087E8)</f>
        <v>151100087</v>
      </c>
      <c r="H2303" s="148">
        <f>IFERROR(__xludf.DUMMYFUNCTION("""COMPUTED_VALUE"""),1.5115983E7)</f>
        <v>15115983</v>
      </c>
      <c r="I2303" s="148" t="str">
        <f>IFERROR(__xludf.DUMMYFUNCTION("""COMPUTED_VALUE"""),"{}")</f>
        <v>{}</v>
      </c>
      <c r="J2303" s="148" t="str">
        <f>IFERROR(__xludf.DUMMYFUNCTION("""COMPUTED_VALUE"""),"{""typ"":""lc"",""txt"":""LC_HERO_equipment_blueprint_box19""}")</f>
        <v>{"typ":"lc","txt":"LC_HERO_equipment_blueprint_box19"}</v>
      </c>
      <c r="K2303" s="148" t="str">
        <f>IFERROR(__xludf.DUMMYFUNCTION("""COMPUTED_VALUE"""),"{""typ"":""lc"",""txt"":""LC_HERO_equipment_blueprint_box_desc19""}")</f>
        <v>{"typ":"lc","txt":"LC_HERO_equipment_blueprint_box_desc19"}</v>
      </c>
      <c r="L2303" s="148" t="str">
        <f>IFERROR(__xludf.DUMMYFUNCTION("""COMPUTED_VALUE"""),"{}")</f>
        <v>{}</v>
      </c>
      <c r="M2303" s="148">
        <f>IFERROR(__xludf.DUMMYFUNCTION("""COMPUTED_VALUE"""),500.0)</f>
        <v>500</v>
      </c>
      <c r="N2303" s="148">
        <f>IFERROR(__xludf.DUMMYFUNCTION("""COMPUTED_VALUE"""),9999999.0)</f>
        <v>9999999</v>
      </c>
      <c r="O2303" s="148">
        <f>IFERROR(__xludf.DUMMYFUNCTION("""COMPUTED_VALUE"""),99999.0)</f>
        <v>99999</v>
      </c>
      <c r="P2303" s="148">
        <f>IFERROR(__xludf.DUMMYFUNCTION("""COMPUTED_VALUE"""),99999.0)</f>
        <v>99999</v>
      </c>
      <c r="Q2303" s="148" t="str">
        <f>IFERROR(__xludf.DUMMYFUNCTION("""COMPUTED_VALUE"""),"[""bag_other""]")</f>
        <v>["bag_other"]</v>
      </c>
      <c r="R2303" s="148" t="str">
        <f>IFERROR(__xludf.DUMMYFUNCTION("""COMPUTED_VALUE"""),"[""bag""]")</f>
        <v>["bag"]</v>
      </c>
      <c r="S2303" s="148" t="str">
        <f>IFERROR(__xludf.DUMMYFUNCTION("""COMPUTED_VALUE"""),"{""drop"":{""typ"":""single_random"",""num"":1,""args"":[{""typ"":""blueprint"",""id"":19344137,""num"":1,""wgt"":100},{""typ"":""blueprint"",""id"":19344138,""num"":1,""wgt"":100},{""typ"":""blueprint"",""id"":19344139,""num"":1,""wgt"":100},{""typ"":""b"&amp;"lueprint"",""id"":19344140,""num"":1,""wgt"":100}]}}")</f>
        <v>{"drop":{"typ":"single_random","num":1,"args":[{"typ":"blueprint","id":19344137,"num":1,"wgt":100},{"typ":"blueprint","id":19344138,"num":1,"wgt":100},{"typ":"blueprint","id":19344139,"num":1,"wgt":100},{"typ":"blueprint","id":19344140,"num":1,"wgt":100}]}}</v>
      </c>
      <c r="T2303" s="148">
        <f>IFERROR(__xludf.DUMMYFUNCTION("""COMPUTED_VALUE"""),-1.0)</f>
        <v>-1</v>
      </c>
      <c r="U2303" s="148">
        <f>IFERROR(__xludf.DUMMYFUNCTION("""COMPUTED_VALUE"""),0.0)</f>
        <v>0</v>
      </c>
      <c r="V2303" s="148" t="str">
        <f>IFERROR(__xludf.DUMMYFUNCTION("""COMPUTED_VALUE"""),"[]")</f>
        <v>[]</v>
      </c>
      <c r="W2303" s="148">
        <f>IFERROR(__xludf.DUMMYFUNCTION("""COMPUTED_VALUE"""),1.1741004E7)</f>
        <v>11741004</v>
      </c>
      <c r="X2303" s="148">
        <f>IFERROR(__xludf.DUMMYFUNCTION("""COMPUTED_VALUE"""),0.0)</f>
        <v>0</v>
      </c>
      <c r="Y2303" s="148">
        <f>IFERROR(__xludf.DUMMYFUNCTION("""COMPUTED_VALUE"""),0.0)</f>
        <v>0</v>
      </c>
      <c r="Z2303" s="148"/>
    </row>
    <row r="2304">
      <c r="A2304" s="148">
        <f>IFERROR(__xludf.DUMMYFUNCTION("""COMPUTED_VALUE"""),1.1119216E7)</f>
        <v>11119216</v>
      </c>
      <c r="B2304" s="148" t="str">
        <f>IFERROR(__xludf.DUMMYFUNCTION("""COMPUTED_VALUE"""),"雷霆装备图纸箱")</f>
        <v>雷霆装备图纸箱</v>
      </c>
      <c r="C2304" s="148"/>
      <c r="D2304" s="148" t="str">
        <f>IFERROR(__xludf.DUMMYFUNCTION("""COMPUTED_VALUE"""),"heroarms_box")</f>
        <v>heroarms_box</v>
      </c>
      <c r="E2304" s="148">
        <f>IFERROR(__xludf.DUMMYFUNCTION("""COMPUTED_VALUE"""),19.0)</f>
        <v>19</v>
      </c>
      <c r="F2304" s="148">
        <f>IFERROR(__xludf.DUMMYFUNCTION("""COMPUTED_VALUE"""),403106.0)</f>
        <v>403106</v>
      </c>
      <c r="G2304" s="148">
        <f>IFERROR(__xludf.DUMMYFUNCTION("""COMPUTED_VALUE"""),1.51100088E8)</f>
        <v>151100088</v>
      </c>
      <c r="H2304" s="148">
        <f>IFERROR(__xludf.DUMMYFUNCTION("""COMPUTED_VALUE"""),1.5115983E7)</f>
        <v>15115983</v>
      </c>
      <c r="I2304" s="148" t="str">
        <f>IFERROR(__xludf.DUMMYFUNCTION("""COMPUTED_VALUE"""),"{}")</f>
        <v>{}</v>
      </c>
      <c r="J2304" s="148" t="str">
        <f>IFERROR(__xludf.DUMMYFUNCTION("""COMPUTED_VALUE"""),"{""typ"":""lc"",""txt"":""LC_HERO_equipment_blueprint_box20""}")</f>
        <v>{"typ":"lc","txt":"LC_HERO_equipment_blueprint_box20"}</v>
      </c>
      <c r="K2304" s="148" t="str">
        <f>IFERROR(__xludf.DUMMYFUNCTION("""COMPUTED_VALUE"""),"{""typ"":""lc"",""txt"":""LC_HERO_equipment_blueprint_box_desc20""}")</f>
        <v>{"typ":"lc","txt":"LC_HERO_equipment_blueprint_box_desc20"}</v>
      </c>
      <c r="L2304" s="148" t="str">
        <f>IFERROR(__xludf.DUMMYFUNCTION("""COMPUTED_VALUE"""),"{}")</f>
        <v>{}</v>
      </c>
      <c r="M2304" s="148">
        <f>IFERROR(__xludf.DUMMYFUNCTION("""COMPUTED_VALUE"""),500.0)</f>
        <v>500</v>
      </c>
      <c r="N2304" s="148">
        <f>IFERROR(__xludf.DUMMYFUNCTION("""COMPUTED_VALUE"""),9999999.0)</f>
        <v>9999999</v>
      </c>
      <c r="O2304" s="148">
        <f>IFERROR(__xludf.DUMMYFUNCTION("""COMPUTED_VALUE"""),99999.0)</f>
        <v>99999</v>
      </c>
      <c r="P2304" s="148">
        <f>IFERROR(__xludf.DUMMYFUNCTION("""COMPUTED_VALUE"""),99999.0)</f>
        <v>99999</v>
      </c>
      <c r="Q2304" s="148" t="str">
        <f>IFERROR(__xludf.DUMMYFUNCTION("""COMPUTED_VALUE"""),"[""bag_other""]")</f>
        <v>["bag_other"]</v>
      </c>
      <c r="R2304" s="148" t="str">
        <f>IFERROR(__xludf.DUMMYFUNCTION("""COMPUTED_VALUE"""),"[""bag""]")</f>
        <v>["bag"]</v>
      </c>
      <c r="S2304" s="148" t="str">
        <f>IFERROR(__xludf.DUMMYFUNCTION("""COMPUTED_VALUE"""),"{""drop"":{""typ"":""single_random"",""num"":1,""args"":[{""typ"":""blueprint"",""id"":19344141,""num"":1,""wgt"":100},{""typ"":""blueprint"",""id"":19344142,""num"":1,""wgt"":100},{""typ"":""blueprint"",""id"":19344143,""num"":1,""wgt"":100},{""typ"":""b"&amp;"lueprint"",""id"":19344144,""num"":1,""wgt"":100}]}}")</f>
        <v>{"drop":{"typ":"single_random","num":1,"args":[{"typ":"blueprint","id":19344141,"num":1,"wgt":100},{"typ":"blueprint","id":19344142,"num":1,"wgt":100},{"typ":"blueprint","id":19344143,"num":1,"wgt":100},{"typ":"blueprint","id":19344144,"num":1,"wgt":100}]}}</v>
      </c>
      <c r="T2304" s="148">
        <f>IFERROR(__xludf.DUMMYFUNCTION("""COMPUTED_VALUE"""),-1.0)</f>
        <v>-1</v>
      </c>
      <c r="U2304" s="148">
        <f>IFERROR(__xludf.DUMMYFUNCTION("""COMPUTED_VALUE"""),0.0)</f>
        <v>0</v>
      </c>
      <c r="V2304" s="148" t="str">
        <f>IFERROR(__xludf.DUMMYFUNCTION("""COMPUTED_VALUE"""),"[]")</f>
        <v>[]</v>
      </c>
      <c r="W2304" s="148">
        <f>IFERROR(__xludf.DUMMYFUNCTION("""COMPUTED_VALUE"""),1.1741004E7)</f>
        <v>11741004</v>
      </c>
      <c r="X2304" s="148">
        <f>IFERROR(__xludf.DUMMYFUNCTION("""COMPUTED_VALUE"""),0.0)</f>
        <v>0</v>
      </c>
      <c r="Y2304" s="148">
        <f>IFERROR(__xludf.DUMMYFUNCTION("""COMPUTED_VALUE"""),0.0)</f>
        <v>0</v>
      </c>
      <c r="Z2304" s="148"/>
    </row>
    <row r="2305">
      <c r="A2305" s="148">
        <f>IFERROR(__xludf.DUMMYFUNCTION("""COMPUTED_VALUE"""),1.1119217E7)</f>
        <v>11119217</v>
      </c>
      <c r="B2305" s="148" t="str">
        <f>IFERROR(__xludf.DUMMYFUNCTION("""COMPUTED_VALUE"""),"暴风装备图纸碎片箱")</f>
        <v>暴风装备图纸碎片箱</v>
      </c>
      <c r="C2305" s="148"/>
      <c r="D2305" s="148" t="str">
        <f>IFERROR(__xludf.DUMMYFUNCTION("""COMPUTED_VALUE"""),"heroarms_box")</f>
        <v>heroarms_box</v>
      </c>
      <c r="E2305" s="148">
        <f>IFERROR(__xludf.DUMMYFUNCTION("""COMPUTED_VALUE"""),19.0)</f>
        <v>19</v>
      </c>
      <c r="F2305" s="148">
        <f>IFERROR(__xludf.DUMMYFUNCTION("""COMPUTED_VALUE"""),403106.0)</f>
        <v>403106</v>
      </c>
      <c r="G2305" s="148">
        <f>IFERROR(__xludf.DUMMYFUNCTION("""COMPUTED_VALUE"""),1.5110008E8)</f>
        <v>151100080</v>
      </c>
      <c r="H2305" s="148">
        <f>IFERROR(__xludf.DUMMYFUNCTION("""COMPUTED_VALUE"""),1.5115983E7)</f>
        <v>15115983</v>
      </c>
      <c r="I2305" s="148" t="str">
        <f>IFERROR(__xludf.DUMMYFUNCTION("""COMPUTED_VALUE"""),"{}")</f>
        <v>{}</v>
      </c>
      <c r="J2305" s="148" t="str">
        <f>IFERROR(__xludf.DUMMYFUNCTION("""COMPUTED_VALUE"""),"{""typ"":""lc"",""txt"":""LC_HERO_equipment_puzzle_box17""}")</f>
        <v>{"typ":"lc","txt":"LC_HERO_equipment_puzzle_box17"}</v>
      </c>
      <c r="K2305" s="148" t="str">
        <f>IFERROR(__xludf.DUMMYFUNCTION("""COMPUTED_VALUE"""),"{""typ"":""lc"",""txt"":""LC_HERO_equipment_puzzle_box_desc17""}")</f>
        <v>{"typ":"lc","txt":"LC_HERO_equipment_puzzle_box_desc17"}</v>
      </c>
      <c r="L2305" s="148" t="str">
        <f>IFERROR(__xludf.DUMMYFUNCTION("""COMPUTED_VALUE"""),"{}")</f>
        <v>{}</v>
      </c>
      <c r="M2305" s="148">
        <f>IFERROR(__xludf.DUMMYFUNCTION("""COMPUTED_VALUE"""),50.0)</f>
        <v>50</v>
      </c>
      <c r="N2305" s="148">
        <f>IFERROR(__xludf.DUMMYFUNCTION("""COMPUTED_VALUE"""),9999999.0)</f>
        <v>9999999</v>
      </c>
      <c r="O2305" s="148">
        <f>IFERROR(__xludf.DUMMYFUNCTION("""COMPUTED_VALUE"""),99999.0)</f>
        <v>99999</v>
      </c>
      <c r="P2305" s="148">
        <f>IFERROR(__xludf.DUMMYFUNCTION("""COMPUTED_VALUE"""),99999.0)</f>
        <v>99999</v>
      </c>
      <c r="Q2305" s="148" t="str">
        <f>IFERROR(__xludf.DUMMYFUNCTION("""COMPUTED_VALUE"""),"[""bag_other""]")</f>
        <v>["bag_other"]</v>
      </c>
      <c r="R2305" s="148" t="str">
        <f>IFERROR(__xludf.DUMMYFUNCTION("""COMPUTED_VALUE"""),"[""bag""]")</f>
        <v>["bag"]</v>
      </c>
      <c r="S2305" s="148" t="str">
        <f>IFERROR(__xludf.DUMMYFUNCTION("""COMPUTED_VALUE"""),"{""drop"":{""typ"":""single_random"",""num"":1,""args"":[{""typ"":""puzzle"",""id"":19349041,""num"":1,""wgt"":100},{""typ"":""puzzle"",""id"":19349042,""num"":1,""wgt"":100},{""typ"":""puzzle"",""id"":19349043,""num"":1,""wgt"":100},{""typ"":""puzzle"","&amp;"""id"":19349044,""num"":1,""wgt"":100}]}}")</f>
        <v>{"drop":{"typ":"single_random","num":1,"args":[{"typ":"puzzle","id":19349041,"num":1,"wgt":100},{"typ":"puzzle","id":19349042,"num":1,"wgt":100},{"typ":"puzzle","id":19349043,"num":1,"wgt":100},{"typ":"puzzle","id":19349044,"num":1,"wgt":100}]}}</v>
      </c>
      <c r="T2305" s="148">
        <f>IFERROR(__xludf.DUMMYFUNCTION("""COMPUTED_VALUE"""),-1.0)</f>
        <v>-1</v>
      </c>
      <c r="U2305" s="148">
        <f>IFERROR(__xludf.DUMMYFUNCTION("""COMPUTED_VALUE"""),0.0)</f>
        <v>0</v>
      </c>
      <c r="V2305" s="148" t="str">
        <f>IFERROR(__xludf.DUMMYFUNCTION("""COMPUTED_VALUE"""),"[]")</f>
        <v>[]</v>
      </c>
      <c r="W2305" s="148">
        <f>IFERROR(__xludf.DUMMYFUNCTION("""COMPUTED_VALUE"""),1.1741004E7)</f>
        <v>11741004</v>
      </c>
      <c r="X2305" s="148">
        <f>IFERROR(__xludf.DUMMYFUNCTION("""COMPUTED_VALUE"""),0.0)</f>
        <v>0</v>
      </c>
      <c r="Y2305" s="148">
        <f>IFERROR(__xludf.DUMMYFUNCTION("""COMPUTED_VALUE"""),0.0)</f>
        <v>0</v>
      </c>
      <c r="Z2305" s="148"/>
    </row>
    <row r="2306">
      <c r="A2306" s="148">
        <f>IFERROR(__xludf.DUMMYFUNCTION("""COMPUTED_VALUE"""),1.1119218E7)</f>
        <v>11119218</v>
      </c>
      <c r="B2306" s="148" t="str">
        <f>IFERROR(__xludf.DUMMYFUNCTION("""COMPUTED_VALUE"""),"天选者装备图纸碎片箱")</f>
        <v>天选者装备图纸碎片箱</v>
      </c>
      <c r="C2306" s="148"/>
      <c r="D2306" s="148" t="str">
        <f>IFERROR(__xludf.DUMMYFUNCTION("""COMPUTED_VALUE"""),"heroarms_box")</f>
        <v>heroarms_box</v>
      </c>
      <c r="E2306" s="148">
        <f>IFERROR(__xludf.DUMMYFUNCTION("""COMPUTED_VALUE"""),19.0)</f>
        <v>19</v>
      </c>
      <c r="F2306" s="148">
        <f>IFERROR(__xludf.DUMMYFUNCTION("""COMPUTED_VALUE"""),403106.0)</f>
        <v>403106</v>
      </c>
      <c r="G2306" s="148">
        <f>IFERROR(__xludf.DUMMYFUNCTION("""COMPUTED_VALUE"""),1.51100081E8)</f>
        <v>151100081</v>
      </c>
      <c r="H2306" s="148">
        <f>IFERROR(__xludf.DUMMYFUNCTION("""COMPUTED_VALUE"""),1.5115983E7)</f>
        <v>15115983</v>
      </c>
      <c r="I2306" s="148" t="str">
        <f>IFERROR(__xludf.DUMMYFUNCTION("""COMPUTED_VALUE"""),"{}")</f>
        <v>{}</v>
      </c>
      <c r="J2306" s="148" t="str">
        <f>IFERROR(__xludf.DUMMYFUNCTION("""COMPUTED_VALUE"""),"{""typ"":""lc"",""txt"":""LC_HERO_equipment_puzzle_box18""}")</f>
        <v>{"typ":"lc","txt":"LC_HERO_equipment_puzzle_box18"}</v>
      </c>
      <c r="K2306" s="148" t="str">
        <f>IFERROR(__xludf.DUMMYFUNCTION("""COMPUTED_VALUE"""),"{""typ"":""lc"",""txt"":""LC_HERO_equipment_puzzle_box_desc18""}")</f>
        <v>{"typ":"lc","txt":"LC_HERO_equipment_puzzle_box_desc18"}</v>
      </c>
      <c r="L2306" s="148" t="str">
        <f>IFERROR(__xludf.DUMMYFUNCTION("""COMPUTED_VALUE"""),"{}")</f>
        <v>{}</v>
      </c>
      <c r="M2306" s="148">
        <f>IFERROR(__xludf.DUMMYFUNCTION("""COMPUTED_VALUE"""),50.0)</f>
        <v>50</v>
      </c>
      <c r="N2306" s="148">
        <f>IFERROR(__xludf.DUMMYFUNCTION("""COMPUTED_VALUE"""),9999999.0)</f>
        <v>9999999</v>
      </c>
      <c r="O2306" s="148">
        <f>IFERROR(__xludf.DUMMYFUNCTION("""COMPUTED_VALUE"""),99999.0)</f>
        <v>99999</v>
      </c>
      <c r="P2306" s="148">
        <f>IFERROR(__xludf.DUMMYFUNCTION("""COMPUTED_VALUE"""),99999.0)</f>
        <v>99999</v>
      </c>
      <c r="Q2306" s="148" t="str">
        <f>IFERROR(__xludf.DUMMYFUNCTION("""COMPUTED_VALUE"""),"[""bag_other""]")</f>
        <v>["bag_other"]</v>
      </c>
      <c r="R2306" s="148" t="str">
        <f>IFERROR(__xludf.DUMMYFUNCTION("""COMPUTED_VALUE"""),"[""bag""]")</f>
        <v>["bag"]</v>
      </c>
      <c r="S2306" s="148" t="str">
        <f>IFERROR(__xludf.DUMMYFUNCTION("""COMPUTED_VALUE"""),"{""drop"":{""typ"":""single_random"",""num"":1,""args"":[{""typ"":""puzzle"",""id"":19349045,""num"":1,""wgt"":100},{""typ"":""puzzle"",""id"":19349046,""num"":1,""wgt"":100},{""typ"":""puzzle"",""id"":19349047,""num"":1,""wgt"":100},{""typ"":""puzzle"","&amp;"""id"":19349048,""num"":1,""wgt"":100}]}}")</f>
        <v>{"drop":{"typ":"single_random","num":1,"args":[{"typ":"puzzle","id":19349045,"num":1,"wgt":100},{"typ":"puzzle","id":19349046,"num":1,"wgt":100},{"typ":"puzzle","id":19349047,"num":1,"wgt":100},{"typ":"puzzle","id":19349048,"num":1,"wgt":100}]}}</v>
      </c>
      <c r="T2306" s="148">
        <f>IFERROR(__xludf.DUMMYFUNCTION("""COMPUTED_VALUE"""),-1.0)</f>
        <v>-1</v>
      </c>
      <c r="U2306" s="148">
        <f>IFERROR(__xludf.DUMMYFUNCTION("""COMPUTED_VALUE"""),0.0)</f>
        <v>0</v>
      </c>
      <c r="V2306" s="148" t="str">
        <f>IFERROR(__xludf.DUMMYFUNCTION("""COMPUTED_VALUE"""),"[]")</f>
        <v>[]</v>
      </c>
      <c r="W2306" s="148">
        <f>IFERROR(__xludf.DUMMYFUNCTION("""COMPUTED_VALUE"""),1.1741004E7)</f>
        <v>11741004</v>
      </c>
      <c r="X2306" s="148">
        <f>IFERROR(__xludf.DUMMYFUNCTION("""COMPUTED_VALUE"""),0.0)</f>
        <v>0</v>
      </c>
      <c r="Y2306" s="148">
        <f>IFERROR(__xludf.DUMMYFUNCTION("""COMPUTED_VALUE"""),0.0)</f>
        <v>0</v>
      </c>
      <c r="Z2306" s="148"/>
    </row>
    <row r="2307">
      <c r="A2307" s="148">
        <f>IFERROR(__xludf.DUMMYFUNCTION("""COMPUTED_VALUE"""),1.1119219E7)</f>
        <v>11119219</v>
      </c>
      <c r="B2307" s="148" t="str">
        <f>IFERROR(__xludf.DUMMYFUNCTION("""COMPUTED_VALUE"""),"猎鹰装备图纸碎片箱")</f>
        <v>猎鹰装备图纸碎片箱</v>
      </c>
      <c r="C2307" s="148"/>
      <c r="D2307" s="148" t="str">
        <f>IFERROR(__xludf.DUMMYFUNCTION("""COMPUTED_VALUE"""),"heroarms_box")</f>
        <v>heroarms_box</v>
      </c>
      <c r="E2307" s="148">
        <f>IFERROR(__xludf.DUMMYFUNCTION("""COMPUTED_VALUE"""),19.0)</f>
        <v>19</v>
      </c>
      <c r="F2307" s="148">
        <f>IFERROR(__xludf.DUMMYFUNCTION("""COMPUTED_VALUE"""),403106.0)</f>
        <v>403106</v>
      </c>
      <c r="G2307" s="148">
        <f>IFERROR(__xludf.DUMMYFUNCTION("""COMPUTED_VALUE"""),1.51100082E8)</f>
        <v>151100082</v>
      </c>
      <c r="H2307" s="148">
        <f>IFERROR(__xludf.DUMMYFUNCTION("""COMPUTED_VALUE"""),1.5115983E7)</f>
        <v>15115983</v>
      </c>
      <c r="I2307" s="148" t="str">
        <f>IFERROR(__xludf.DUMMYFUNCTION("""COMPUTED_VALUE"""),"{}")</f>
        <v>{}</v>
      </c>
      <c r="J2307" s="148" t="str">
        <f>IFERROR(__xludf.DUMMYFUNCTION("""COMPUTED_VALUE"""),"{""typ"":""lc"",""txt"":""LC_HERO_equipment_puzzle_box19""}")</f>
        <v>{"typ":"lc","txt":"LC_HERO_equipment_puzzle_box19"}</v>
      </c>
      <c r="K2307" s="148" t="str">
        <f>IFERROR(__xludf.DUMMYFUNCTION("""COMPUTED_VALUE"""),"{""typ"":""lc"",""txt"":""LC_HERO_equipment_puzzle_box_desc19""}")</f>
        <v>{"typ":"lc","txt":"LC_HERO_equipment_puzzle_box_desc19"}</v>
      </c>
      <c r="L2307" s="148" t="str">
        <f>IFERROR(__xludf.DUMMYFUNCTION("""COMPUTED_VALUE"""),"{}")</f>
        <v>{}</v>
      </c>
      <c r="M2307" s="148">
        <f>IFERROR(__xludf.DUMMYFUNCTION("""COMPUTED_VALUE"""),50.0)</f>
        <v>50</v>
      </c>
      <c r="N2307" s="148">
        <f>IFERROR(__xludf.DUMMYFUNCTION("""COMPUTED_VALUE"""),9999999.0)</f>
        <v>9999999</v>
      </c>
      <c r="O2307" s="148">
        <f>IFERROR(__xludf.DUMMYFUNCTION("""COMPUTED_VALUE"""),99999.0)</f>
        <v>99999</v>
      </c>
      <c r="P2307" s="148">
        <f>IFERROR(__xludf.DUMMYFUNCTION("""COMPUTED_VALUE"""),99999.0)</f>
        <v>99999</v>
      </c>
      <c r="Q2307" s="148" t="str">
        <f>IFERROR(__xludf.DUMMYFUNCTION("""COMPUTED_VALUE"""),"[""bag_other""]")</f>
        <v>["bag_other"]</v>
      </c>
      <c r="R2307" s="148" t="str">
        <f>IFERROR(__xludf.DUMMYFUNCTION("""COMPUTED_VALUE"""),"[""bag""]")</f>
        <v>["bag"]</v>
      </c>
      <c r="S2307" s="148" t="str">
        <f>IFERROR(__xludf.DUMMYFUNCTION("""COMPUTED_VALUE"""),"{""drop"":{""typ"":""single_random"",""num"":1,""args"":[{""typ"":""puzzle"",""id"":19349049,""num"":1,""wgt"":100},{""typ"":""puzzle"",""id"":19349050,""num"":1,""wgt"":100},{""typ"":""puzzle"",""id"":19349051,""num"":1,""wgt"":100},{""typ"":""puzzle"","&amp;"""id"":19349052,""num"":1,""wgt"":100}]}}")</f>
        <v>{"drop":{"typ":"single_random","num":1,"args":[{"typ":"puzzle","id":19349049,"num":1,"wgt":100},{"typ":"puzzle","id":19349050,"num":1,"wgt":100},{"typ":"puzzle","id":19349051,"num":1,"wgt":100},{"typ":"puzzle","id":19349052,"num":1,"wgt":100}]}}</v>
      </c>
      <c r="T2307" s="148">
        <f>IFERROR(__xludf.DUMMYFUNCTION("""COMPUTED_VALUE"""),-1.0)</f>
        <v>-1</v>
      </c>
      <c r="U2307" s="148">
        <f>IFERROR(__xludf.DUMMYFUNCTION("""COMPUTED_VALUE"""),0.0)</f>
        <v>0</v>
      </c>
      <c r="V2307" s="148" t="str">
        <f>IFERROR(__xludf.DUMMYFUNCTION("""COMPUTED_VALUE"""),"[]")</f>
        <v>[]</v>
      </c>
      <c r="W2307" s="148">
        <f>IFERROR(__xludf.DUMMYFUNCTION("""COMPUTED_VALUE"""),1.1741004E7)</f>
        <v>11741004</v>
      </c>
      <c r="X2307" s="148">
        <f>IFERROR(__xludf.DUMMYFUNCTION("""COMPUTED_VALUE"""),0.0)</f>
        <v>0</v>
      </c>
      <c r="Y2307" s="148">
        <f>IFERROR(__xludf.DUMMYFUNCTION("""COMPUTED_VALUE"""),0.0)</f>
        <v>0</v>
      </c>
      <c r="Z2307" s="148"/>
    </row>
    <row r="2308">
      <c r="A2308" s="148">
        <f>IFERROR(__xludf.DUMMYFUNCTION("""COMPUTED_VALUE"""),1.111922E7)</f>
        <v>11119220</v>
      </c>
      <c r="B2308" s="148" t="str">
        <f>IFERROR(__xludf.DUMMYFUNCTION("""COMPUTED_VALUE"""),"雷霆装备图纸碎片箱")</f>
        <v>雷霆装备图纸碎片箱</v>
      </c>
      <c r="C2308" s="148"/>
      <c r="D2308" s="148" t="str">
        <f>IFERROR(__xludf.DUMMYFUNCTION("""COMPUTED_VALUE"""),"heroarms_box")</f>
        <v>heroarms_box</v>
      </c>
      <c r="E2308" s="148">
        <f>IFERROR(__xludf.DUMMYFUNCTION("""COMPUTED_VALUE"""),19.0)</f>
        <v>19</v>
      </c>
      <c r="F2308" s="148">
        <f>IFERROR(__xludf.DUMMYFUNCTION("""COMPUTED_VALUE"""),403106.0)</f>
        <v>403106</v>
      </c>
      <c r="G2308" s="148">
        <f>IFERROR(__xludf.DUMMYFUNCTION("""COMPUTED_VALUE"""),1.51100083E8)</f>
        <v>151100083</v>
      </c>
      <c r="H2308" s="148">
        <f>IFERROR(__xludf.DUMMYFUNCTION("""COMPUTED_VALUE"""),1.5115983E7)</f>
        <v>15115983</v>
      </c>
      <c r="I2308" s="148" t="str">
        <f>IFERROR(__xludf.DUMMYFUNCTION("""COMPUTED_VALUE"""),"{}")</f>
        <v>{}</v>
      </c>
      <c r="J2308" s="148" t="str">
        <f>IFERROR(__xludf.DUMMYFUNCTION("""COMPUTED_VALUE"""),"{""typ"":""lc"",""txt"":""LC_HERO_equipment_puzzle_box20""}")</f>
        <v>{"typ":"lc","txt":"LC_HERO_equipment_puzzle_box20"}</v>
      </c>
      <c r="K2308" s="148" t="str">
        <f>IFERROR(__xludf.DUMMYFUNCTION("""COMPUTED_VALUE"""),"{""typ"":""lc"",""txt"":""LC_HERO_equipment_puzzle_box_desc20""}")</f>
        <v>{"typ":"lc","txt":"LC_HERO_equipment_puzzle_box_desc20"}</v>
      </c>
      <c r="L2308" s="148" t="str">
        <f>IFERROR(__xludf.DUMMYFUNCTION("""COMPUTED_VALUE"""),"{}")</f>
        <v>{}</v>
      </c>
      <c r="M2308" s="148">
        <f>IFERROR(__xludf.DUMMYFUNCTION("""COMPUTED_VALUE"""),50.0)</f>
        <v>50</v>
      </c>
      <c r="N2308" s="148">
        <f>IFERROR(__xludf.DUMMYFUNCTION("""COMPUTED_VALUE"""),9999999.0)</f>
        <v>9999999</v>
      </c>
      <c r="O2308" s="148">
        <f>IFERROR(__xludf.DUMMYFUNCTION("""COMPUTED_VALUE"""),99999.0)</f>
        <v>99999</v>
      </c>
      <c r="P2308" s="148">
        <f>IFERROR(__xludf.DUMMYFUNCTION("""COMPUTED_VALUE"""),99999.0)</f>
        <v>99999</v>
      </c>
      <c r="Q2308" s="148" t="str">
        <f>IFERROR(__xludf.DUMMYFUNCTION("""COMPUTED_VALUE"""),"[""bag_other""]")</f>
        <v>["bag_other"]</v>
      </c>
      <c r="R2308" s="148" t="str">
        <f>IFERROR(__xludf.DUMMYFUNCTION("""COMPUTED_VALUE"""),"[""bag""]")</f>
        <v>["bag"]</v>
      </c>
      <c r="S2308" s="148" t="str">
        <f>IFERROR(__xludf.DUMMYFUNCTION("""COMPUTED_VALUE"""),"{""drop"":{""typ"":""single_random"",""num"":1,""args"":[{""typ"":""puzzle"",""id"":19349053,""num"":1,""wgt"":100},{""typ"":""puzzle"",""id"":19349054,""num"":1,""wgt"":100},{""typ"":""puzzle"",""id"":19349055,""num"":1,""wgt"":100},{""typ"":""puzzle"","&amp;"""id"":19349056,""num"":1,""wgt"":100}]}}")</f>
        <v>{"drop":{"typ":"single_random","num":1,"args":[{"typ":"puzzle","id":19349053,"num":1,"wgt":100},{"typ":"puzzle","id":19349054,"num":1,"wgt":100},{"typ":"puzzle","id":19349055,"num":1,"wgt":100},{"typ":"puzzle","id":19349056,"num":1,"wgt":100}]}}</v>
      </c>
      <c r="T2308" s="148">
        <f>IFERROR(__xludf.DUMMYFUNCTION("""COMPUTED_VALUE"""),-1.0)</f>
        <v>-1</v>
      </c>
      <c r="U2308" s="148">
        <f>IFERROR(__xludf.DUMMYFUNCTION("""COMPUTED_VALUE"""),0.0)</f>
        <v>0</v>
      </c>
      <c r="V2308" s="148" t="str">
        <f>IFERROR(__xludf.DUMMYFUNCTION("""COMPUTED_VALUE"""),"[]")</f>
        <v>[]</v>
      </c>
      <c r="W2308" s="148">
        <f>IFERROR(__xludf.DUMMYFUNCTION("""COMPUTED_VALUE"""),1.1741004E7)</f>
        <v>11741004</v>
      </c>
      <c r="X2308" s="148">
        <f>IFERROR(__xludf.DUMMYFUNCTION("""COMPUTED_VALUE"""),0.0)</f>
        <v>0</v>
      </c>
      <c r="Y2308" s="148">
        <f>IFERROR(__xludf.DUMMYFUNCTION("""COMPUTED_VALUE"""),0.0)</f>
        <v>0</v>
      </c>
      <c r="Z2308" s="148"/>
    </row>
    <row r="2309">
      <c r="A2309" s="148">
        <f>IFERROR(__xludf.DUMMYFUNCTION("""COMPUTED_VALUE"""),1.1119221E7)</f>
        <v>11119221</v>
      </c>
      <c r="B2309" s="148" t="str">
        <f>IFERROR(__xludf.DUMMYFUNCTION("""COMPUTED_VALUE"""),"暴风装备图纸自选箱")</f>
        <v>暴风装备图纸自选箱</v>
      </c>
      <c r="C2309" s="148"/>
      <c r="D2309" s="148" t="str">
        <f>IFERROR(__xludf.DUMMYFUNCTION("""COMPUTED_VALUE"""),"item_select_box")</f>
        <v>item_select_box</v>
      </c>
      <c r="E2309" s="148">
        <f>IFERROR(__xludf.DUMMYFUNCTION("""COMPUTED_VALUE"""),19.0)</f>
        <v>19</v>
      </c>
      <c r="F2309" s="148">
        <f>IFERROR(__xludf.DUMMYFUNCTION("""COMPUTED_VALUE"""),403308.0)</f>
        <v>403308</v>
      </c>
      <c r="G2309" s="148">
        <f>IFERROR(__xludf.DUMMYFUNCTION("""COMPUTED_VALUE"""),1.51100085E8)</f>
        <v>151100085</v>
      </c>
      <c r="H2309" s="148">
        <f>IFERROR(__xludf.DUMMYFUNCTION("""COMPUTED_VALUE"""),1.5115983E7)</f>
        <v>15115983</v>
      </c>
      <c r="I2309" s="148" t="str">
        <f>IFERROR(__xludf.DUMMYFUNCTION("""COMPUTED_VALUE"""),"{}")</f>
        <v>{}</v>
      </c>
      <c r="J2309" s="148" t="str">
        <f>IFERROR(__xludf.DUMMYFUNCTION("""COMPUTED_VALUE"""),"{""typ"":""lc"",""txt"":""LC_HERO_equipment_blueprint_select_box17""}")</f>
        <v>{"typ":"lc","txt":"LC_HERO_equipment_blueprint_select_box17"}</v>
      </c>
      <c r="K2309" s="148" t="str">
        <f>IFERROR(__xludf.DUMMYFUNCTION("""COMPUTED_VALUE"""),"{""typ"":""lc"",""txt"":""LC_HERO_equipment_puzzle_select_box_desc17""}")</f>
        <v>{"typ":"lc","txt":"LC_HERO_equipment_puzzle_select_box_desc17"}</v>
      </c>
      <c r="L2309" s="148" t="str">
        <f>IFERROR(__xludf.DUMMYFUNCTION("""COMPUTED_VALUE"""),"{}")</f>
        <v>{}</v>
      </c>
      <c r="M2309" s="148">
        <f>IFERROR(__xludf.DUMMYFUNCTION("""COMPUTED_VALUE"""),500.0)</f>
        <v>500</v>
      </c>
      <c r="N2309" s="148">
        <f>IFERROR(__xludf.DUMMYFUNCTION("""COMPUTED_VALUE"""),9999999.0)</f>
        <v>9999999</v>
      </c>
      <c r="O2309" s="148">
        <f>IFERROR(__xludf.DUMMYFUNCTION("""COMPUTED_VALUE"""),99999.0)</f>
        <v>99999</v>
      </c>
      <c r="P2309" s="148">
        <f>IFERROR(__xludf.DUMMYFUNCTION("""COMPUTED_VALUE"""),99999.0)</f>
        <v>99999</v>
      </c>
      <c r="Q2309" s="148" t="str">
        <f>IFERROR(__xludf.DUMMYFUNCTION("""COMPUTED_VALUE"""),"[""bag_other""]")</f>
        <v>["bag_other"]</v>
      </c>
      <c r="R2309" s="148" t="str">
        <f>IFERROR(__xludf.DUMMYFUNCTION("""COMPUTED_VALUE"""),"[""bag""]")</f>
        <v>["bag"]</v>
      </c>
      <c r="S2309" s="148" t="str">
        <f>IFERROR(__xludf.DUMMYFUNCTION("""COMPUTED_VALUE"""),"{""select_box"":[{""typ"":""blueprint"",""id"":19344129,""val"":1},{""typ"":""blueprint"",""id"":19344130,""val"":1},{""typ"":""blueprint"",""id"":19344131,""val"":1},{""typ"":""blueprint"",""id"":19344132,""val"":1}]}")</f>
        <v>{"select_box":[{"typ":"blueprint","id":19344129,"val":1},{"typ":"blueprint","id":19344130,"val":1},{"typ":"blueprint","id":19344131,"val":1},{"typ":"blueprint","id":19344132,"val":1}]}</v>
      </c>
      <c r="T2309" s="148">
        <f>IFERROR(__xludf.DUMMYFUNCTION("""COMPUTED_VALUE"""),-1.0)</f>
        <v>-1</v>
      </c>
      <c r="U2309" s="148">
        <f>IFERROR(__xludf.DUMMYFUNCTION("""COMPUTED_VALUE"""),0.0)</f>
        <v>0</v>
      </c>
      <c r="V2309" s="148" t="str">
        <f>IFERROR(__xludf.DUMMYFUNCTION("""COMPUTED_VALUE"""),"[]")</f>
        <v>[]</v>
      </c>
      <c r="W2309" s="148">
        <f>IFERROR(__xludf.DUMMYFUNCTION("""COMPUTED_VALUE"""),1.1741004E7)</f>
        <v>11741004</v>
      </c>
      <c r="X2309" s="148">
        <f>IFERROR(__xludf.DUMMYFUNCTION("""COMPUTED_VALUE"""),0.0)</f>
        <v>0</v>
      </c>
      <c r="Y2309" s="148">
        <f>IFERROR(__xludf.DUMMYFUNCTION("""COMPUTED_VALUE"""),0.0)</f>
        <v>0</v>
      </c>
      <c r="Z2309" s="148"/>
    </row>
    <row r="2310">
      <c r="A2310" s="148">
        <f>IFERROR(__xludf.DUMMYFUNCTION("""COMPUTED_VALUE"""),1.1119222E7)</f>
        <v>11119222</v>
      </c>
      <c r="B2310" s="148" t="str">
        <f>IFERROR(__xludf.DUMMYFUNCTION("""COMPUTED_VALUE"""),"天选者装备图纸自选箱")</f>
        <v>天选者装备图纸自选箱</v>
      </c>
      <c r="C2310" s="148"/>
      <c r="D2310" s="148" t="str">
        <f>IFERROR(__xludf.DUMMYFUNCTION("""COMPUTED_VALUE"""),"item_select_box")</f>
        <v>item_select_box</v>
      </c>
      <c r="E2310" s="148">
        <f>IFERROR(__xludf.DUMMYFUNCTION("""COMPUTED_VALUE"""),19.0)</f>
        <v>19</v>
      </c>
      <c r="F2310" s="148">
        <f>IFERROR(__xludf.DUMMYFUNCTION("""COMPUTED_VALUE"""),403308.0)</f>
        <v>403308</v>
      </c>
      <c r="G2310" s="148">
        <f>IFERROR(__xludf.DUMMYFUNCTION("""COMPUTED_VALUE"""),1.51100086E8)</f>
        <v>151100086</v>
      </c>
      <c r="H2310" s="148">
        <f>IFERROR(__xludf.DUMMYFUNCTION("""COMPUTED_VALUE"""),1.5115983E7)</f>
        <v>15115983</v>
      </c>
      <c r="I2310" s="148" t="str">
        <f>IFERROR(__xludf.DUMMYFUNCTION("""COMPUTED_VALUE"""),"{}")</f>
        <v>{}</v>
      </c>
      <c r="J2310" s="148" t="str">
        <f>IFERROR(__xludf.DUMMYFUNCTION("""COMPUTED_VALUE"""),"{""typ"":""lc"",""txt"":""LC_HERO_equipment_blueprint_select_box18""}")</f>
        <v>{"typ":"lc","txt":"LC_HERO_equipment_blueprint_select_box18"}</v>
      </c>
      <c r="K2310" s="148" t="str">
        <f>IFERROR(__xludf.DUMMYFUNCTION("""COMPUTED_VALUE"""),"{""typ"":""lc"",""txt"":""LC_HERO_equipment_puzzle_select_box_desc18""}")</f>
        <v>{"typ":"lc","txt":"LC_HERO_equipment_puzzle_select_box_desc18"}</v>
      </c>
      <c r="L2310" s="148" t="str">
        <f>IFERROR(__xludf.DUMMYFUNCTION("""COMPUTED_VALUE"""),"{}")</f>
        <v>{}</v>
      </c>
      <c r="M2310" s="148">
        <f>IFERROR(__xludf.DUMMYFUNCTION("""COMPUTED_VALUE"""),500.0)</f>
        <v>500</v>
      </c>
      <c r="N2310" s="148">
        <f>IFERROR(__xludf.DUMMYFUNCTION("""COMPUTED_VALUE"""),9999999.0)</f>
        <v>9999999</v>
      </c>
      <c r="O2310" s="148">
        <f>IFERROR(__xludf.DUMMYFUNCTION("""COMPUTED_VALUE"""),99999.0)</f>
        <v>99999</v>
      </c>
      <c r="P2310" s="148">
        <f>IFERROR(__xludf.DUMMYFUNCTION("""COMPUTED_VALUE"""),99999.0)</f>
        <v>99999</v>
      </c>
      <c r="Q2310" s="148" t="str">
        <f>IFERROR(__xludf.DUMMYFUNCTION("""COMPUTED_VALUE"""),"[""bag_other""]")</f>
        <v>["bag_other"]</v>
      </c>
      <c r="R2310" s="148" t="str">
        <f>IFERROR(__xludf.DUMMYFUNCTION("""COMPUTED_VALUE"""),"[""bag""]")</f>
        <v>["bag"]</v>
      </c>
      <c r="S2310" s="148" t="str">
        <f>IFERROR(__xludf.DUMMYFUNCTION("""COMPUTED_VALUE"""),"{""select_box"":[{""typ"":""blueprint"",""id"":19344133,""val"":1},{""typ"":""blueprint"",""id"":19344134,""val"":1},{""typ"":""blueprint"",""id"":19344135,""val"":1},{""typ"":""blueprint"",""id"":19344136,""val"":1}]}")</f>
        <v>{"select_box":[{"typ":"blueprint","id":19344133,"val":1},{"typ":"blueprint","id":19344134,"val":1},{"typ":"blueprint","id":19344135,"val":1},{"typ":"blueprint","id":19344136,"val":1}]}</v>
      </c>
      <c r="T2310" s="148">
        <f>IFERROR(__xludf.DUMMYFUNCTION("""COMPUTED_VALUE"""),-1.0)</f>
        <v>-1</v>
      </c>
      <c r="U2310" s="148">
        <f>IFERROR(__xludf.DUMMYFUNCTION("""COMPUTED_VALUE"""),0.0)</f>
        <v>0</v>
      </c>
      <c r="V2310" s="148" t="str">
        <f>IFERROR(__xludf.DUMMYFUNCTION("""COMPUTED_VALUE"""),"[]")</f>
        <v>[]</v>
      </c>
      <c r="W2310" s="148">
        <f>IFERROR(__xludf.DUMMYFUNCTION("""COMPUTED_VALUE"""),1.1741004E7)</f>
        <v>11741004</v>
      </c>
      <c r="X2310" s="148">
        <f>IFERROR(__xludf.DUMMYFUNCTION("""COMPUTED_VALUE"""),0.0)</f>
        <v>0</v>
      </c>
      <c r="Y2310" s="148">
        <f>IFERROR(__xludf.DUMMYFUNCTION("""COMPUTED_VALUE"""),0.0)</f>
        <v>0</v>
      </c>
      <c r="Z2310" s="148"/>
    </row>
    <row r="2311">
      <c r="A2311" s="148">
        <f>IFERROR(__xludf.DUMMYFUNCTION("""COMPUTED_VALUE"""),1.1119223E7)</f>
        <v>11119223</v>
      </c>
      <c r="B2311" s="148" t="str">
        <f>IFERROR(__xludf.DUMMYFUNCTION("""COMPUTED_VALUE"""),"猎鹰装备图纸自选箱")</f>
        <v>猎鹰装备图纸自选箱</v>
      </c>
      <c r="C2311" s="148"/>
      <c r="D2311" s="148" t="str">
        <f>IFERROR(__xludf.DUMMYFUNCTION("""COMPUTED_VALUE"""),"item_select_box")</f>
        <v>item_select_box</v>
      </c>
      <c r="E2311" s="148">
        <f>IFERROR(__xludf.DUMMYFUNCTION("""COMPUTED_VALUE"""),19.0)</f>
        <v>19</v>
      </c>
      <c r="F2311" s="148">
        <f>IFERROR(__xludf.DUMMYFUNCTION("""COMPUTED_VALUE"""),403308.0)</f>
        <v>403308</v>
      </c>
      <c r="G2311" s="148">
        <f>IFERROR(__xludf.DUMMYFUNCTION("""COMPUTED_VALUE"""),1.51100087E8)</f>
        <v>151100087</v>
      </c>
      <c r="H2311" s="148">
        <f>IFERROR(__xludf.DUMMYFUNCTION("""COMPUTED_VALUE"""),1.5115983E7)</f>
        <v>15115983</v>
      </c>
      <c r="I2311" s="148" t="str">
        <f>IFERROR(__xludf.DUMMYFUNCTION("""COMPUTED_VALUE"""),"{}")</f>
        <v>{}</v>
      </c>
      <c r="J2311" s="148" t="str">
        <f>IFERROR(__xludf.DUMMYFUNCTION("""COMPUTED_VALUE"""),"{""typ"":""lc"",""txt"":""LC_HERO_equipment_blueprint_select_box19""}")</f>
        <v>{"typ":"lc","txt":"LC_HERO_equipment_blueprint_select_box19"}</v>
      </c>
      <c r="K2311" s="148" t="str">
        <f>IFERROR(__xludf.DUMMYFUNCTION("""COMPUTED_VALUE"""),"{""typ"":""lc"",""txt"":""LC_HERO_equipment_puzzle_select_box_desc19""}")</f>
        <v>{"typ":"lc","txt":"LC_HERO_equipment_puzzle_select_box_desc19"}</v>
      </c>
      <c r="L2311" s="148" t="str">
        <f>IFERROR(__xludf.DUMMYFUNCTION("""COMPUTED_VALUE"""),"{}")</f>
        <v>{}</v>
      </c>
      <c r="M2311" s="148">
        <f>IFERROR(__xludf.DUMMYFUNCTION("""COMPUTED_VALUE"""),500.0)</f>
        <v>500</v>
      </c>
      <c r="N2311" s="148">
        <f>IFERROR(__xludf.DUMMYFUNCTION("""COMPUTED_VALUE"""),9999999.0)</f>
        <v>9999999</v>
      </c>
      <c r="O2311" s="148">
        <f>IFERROR(__xludf.DUMMYFUNCTION("""COMPUTED_VALUE"""),99999.0)</f>
        <v>99999</v>
      </c>
      <c r="P2311" s="148">
        <f>IFERROR(__xludf.DUMMYFUNCTION("""COMPUTED_VALUE"""),99999.0)</f>
        <v>99999</v>
      </c>
      <c r="Q2311" s="148" t="str">
        <f>IFERROR(__xludf.DUMMYFUNCTION("""COMPUTED_VALUE"""),"[""bag_other""]")</f>
        <v>["bag_other"]</v>
      </c>
      <c r="R2311" s="148" t="str">
        <f>IFERROR(__xludf.DUMMYFUNCTION("""COMPUTED_VALUE"""),"[""bag""]")</f>
        <v>["bag"]</v>
      </c>
      <c r="S2311" s="148" t="str">
        <f>IFERROR(__xludf.DUMMYFUNCTION("""COMPUTED_VALUE"""),"{""select_box"":[{""typ"":""blueprint"",""id"":19344137,""val"":1},{""typ"":""blueprint"",""id"":19344138,""val"":1},{""typ"":""blueprint"",""id"":19344139,""val"":1},{""typ"":""blueprint"",""id"":19344140,""val"":1}]}")</f>
        <v>{"select_box":[{"typ":"blueprint","id":19344137,"val":1},{"typ":"blueprint","id":19344138,"val":1},{"typ":"blueprint","id":19344139,"val":1},{"typ":"blueprint","id":19344140,"val":1}]}</v>
      </c>
      <c r="T2311" s="148">
        <f>IFERROR(__xludf.DUMMYFUNCTION("""COMPUTED_VALUE"""),-1.0)</f>
        <v>-1</v>
      </c>
      <c r="U2311" s="148">
        <f>IFERROR(__xludf.DUMMYFUNCTION("""COMPUTED_VALUE"""),0.0)</f>
        <v>0</v>
      </c>
      <c r="V2311" s="148" t="str">
        <f>IFERROR(__xludf.DUMMYFUNCTION("""COMPUTED_VALUE"""),"[]")</f>
        <v>[]</v>
      </c>
      <c r="W2311" s="148">
        <f>IFERROR(__xludf.DUMMYFUNCTION("""COMPUTED_VALUE"""),1.1741004E7)</f>
        <v>11741004</v>
      </c>
      <c r="X2311" s="148">
        <f>IFERROR(__xludf.DUMMYFUNCTION("""COMPUTED_VALUE"""),0.0)</f>
        <v>0</v>
      </c>
      <c r="Y2311" s="148">
        <f>IFERROR(__xludf.DUMMYFUNCTION("""COMPUTED_VALUE"""),0.0)</f>
        <v>0</v>
      </c>
      <c r="Z2311" s="148"/>
    </row>
    <row r="2312">
      <c r="A2312" s="148">
        <f>IFERROR(__xludf.DUMMYFUNCTION("""COMPUTED_VALUE"""),1.1119224E7)</f>
        <v>11119224</v>
      </c>
      <c r="B2312" s="148" t="str">
        <f>IFERROR(__xludf.DUMMYFUNCTION("""COMPUTED_VALUE"""),"雷霆装备图纸自选箱")</f>
        <v>雷霆装备图纸自选箱</v>
      </c>
      <c r="C2312" s="148"/>
      <c r="D2312" s="148" t="str">
        <f>IFERROR(__xludf.DUMMYFUNCTION("""COMPUTED_VALUE"""),"item_select_box")</f>
        <v>item_select_box</v>
      </c>
      <c r="E2312" s="148">
        <f>IFERROR(__xludf.DUMMYFUNCTION("""COMPUTED_VALUE"""),19.0)</f>
        <v>19</v>
      </c>
      <c r="F2312" s="148">
        <f>IFERROR(__xludf.DUMMYFUNCTION("""COMPUTED_VALUE"""),403308.0)</f>
        <v>403308</v>
      </c>
      <c r="G2312" s="148">
        <f>IFERROR(__xludf.DUMMYFUNCTION("""COMPUTED_VALUE"""),1.51100088E8)</f>
        <v>151100088</v>
      </c>
      <c r="H2312" s="148">
        <f>IFERROR(__xludf.DUMMYFUNCTION("""COMPUTED_VALUE"""),1.5115983E7)</f>
        <v>15115983</v>
      </c>
      <c r="I2312" s="148" t="str">
        <f>IFERROR(__xludf.DUMMYFUNCTION("""COMPUTED_VALUE"""),"{}")</f>
        <v>{}</v>
      </c>
      <c r="J2312" s="148" t="str">
        <f>IFERROR(__xludf.DUMMYFUNCTION("""COMPUTED_VALUE"""),"{""typ"":""lc"",""txt"":""LC_HERO_equipment_blueprint_select_box20""}")</f>
        <v>{"typ":"lc","txt":"LC_HERO_equipment_blueprint_select_box20"}</v>
      </c>
      <c r="K2312" s="148" t="str">
        <f>IFERROR(__xludf.DUMMYFUNCTION("""COMPUTED_VALUE"""),"{""typ"":""lc"",""txt"":""LC_HERO_equipment_puzzle_select_box_desc20""}")</f>
        <v>{"typ":"lc","txt":"LC_HERO_equipment_puzzle_select_box_desc20"}</v>
      </c>
      <c r="L2312" s="148" t="str">
        <f>IFERROR(__xludf.DUMMYFUNCTION("""COMPUTED_VALUE"""),"{}")</f>
        <v>{}</v>
      </c>
      <c r="M2312" s="148">
        <f>IFERROR(__xludf.DUMMYFUNCTION("""COMPUTED_VALUE"""),500.0)</f>
        <v>500</v>
      </c>
      <c r="N2312" s="148">
        <f>IFERROR(__xludf.DUMMYFUNCTION("""COMPUTED_VALUE"""),9999999.0)</f>
        <v>9999999</v>
      </c>
      <c r="O2312" s="148">
        <f>IFERROR(__xludf.DUMMYFUNCTION("""COMPUTED_VALUE"""),99999.0)</f>
        <v>99999</v>
      </c>
      <c r="P2312" s="148">
        <f>IFERROR(__xludf.DUMMYFUNCTION("""COMPUTED_VALUE"""),99999.0)</f>
        <v>99999</v>
      </c>
      <c r="Q2312" s="148" t="str">
        <f>IFERROR(__xludf.DUMMYFUNCTION("""COMPUTED_VALUE"""),"[""bag_other""]")</f>
        <v>["bag_other"]</v>
      </c>
      <c r="R2312" s="148" t="str">
        <f>IFERROR(__xludf.DUMMYFUNCTION("""COMPUTED_VALUE"""),"[""bag""]")</f>
        <v>["bag"]</v>
      </c>
      <c r="S2312" s="148" t="str">
        <f>IFERROR(__xludf.DUMMYFUNCTION("""COMPUTED_VALUE"""),"{""select_box"":[{""typ"":""blueprint"",""id"":19344141,""val"":1},{""typ"":""blueprint"",""id"":19344142,""val"":1},{""typ"":""blueprint"",""id"":19344143,""val"":1},{""typ"":""blueprint"",""id"":19344144,""val"":1}]}")</f>
        <v>{"select_box":[{"typ":"blueprint","id":19344141,"val":1},{"typ":"blueprint","id":19344142,"val":1},{"typ":"blueprint","id":19344143,"val":1},{"typ":"blueprint","id":19344144,"val":1}]}</v>
      </c>
      <c r="T2312" s="148">
        <f>IFERROR(__xludf.DUMMYFUNCTION("""COMPUTED_VALUE"""),-1.0)</f>
        <v>-1</v>
      </c>
      <c r="U2312" s="148">
        <f>IFERROR(__xludf.DUMMYFUNCTION("""COMPUTED_VALUE"""),0.0)</f>
        <v>0</v>
      </c>
      <c r="V2312" s="148" t="str">
        <f>IFERROR(__xludf.DUMMYFUNCTION("""COMPUTED_VALUE"""),"[]")</f>
        <v>[]</v>
      </c>
      <c r="W2312" s="148">
        <f>IFERROR(__xludf.DUMMYFUNCTION("""COMPUTED_VALUE"""),1.1741004E7)</f>
        <v>11741004</v>
      </c>
      <c r="X2312" s="148">
        <f>IFERROR(__xludf.DUMMYFUNCTION("""COMPUTED_VALUE"""),0.0)</f>
        <v>0</v>
      </c>
      <c r="Y2312" s="148">
        <f>IFERROR(__xludf.DUMMYFUNCTION("""COMPUTED_VALUE"""),0.0)</f>
        <v>0</v>
      </c>
      <c r="Z2312" s="148"/>
    </row>
    <row r="2313">
      <c r="A2313" s="148">
        <f>IFERROR(__xludf.DUMMYFUNCTION("""COMPUTED_VALUE"""),1.1119225E7)</f>
        <v>11119225</v>
      </c>
      <c r="B2313" s="148" t="str">
        <f>IFERROR(__xludf.DUMMYFUNCTION("""COMPUTED_VALUE"""),"秘境装备自选箱4")</f>
        <v>秘境装备自选箱4</v>
      </c>
      <c r="C2313" s="148"/>
      <c r="D2313" s="148" t="str">
        <f>IFERROR(__xludf.DUMMYFUNCTION("""COMPUTED_VALUE"""),"item_select_box")</f>
        <v>item_select_box</v>
      </c>
      <c r="E2313" s="148">
        <f>IFERROR(__xludf.DUMMYFUNCTION("""COMPUTED_VALUE"""),19.0)</f>
        <v>19</v>
      </c>
      <c r="F2313" s="148">
        <f>IFERROR(__xludf.DUMMYFUNCTION("""COMPUTED_VALUE"""),403308.0)</f>
        <v>403308</v>
      </c>
      <c r="G2313" s="148">
        <f>IFERROR(__xludf.DUMMYFUNCTION("""COMPUTED_VALUE"""),1.5115914E7)</f>
        <v>15115914</v>
      </c>
      <c r="H2313" s="148">
        <f>IFERROR(__xludf.DUMMYFUNCTION("""COMPUTED_VALUE"""),1.5115983E7)</f>
        <v>15115983</v>
      </c>
      <c r="I2313" s="148" t="str">
        <f>IFERROR(__xludf.DUMMYFUNCTION("""COMPUTED_VALUE"""),"{}")</f>
        <v>{}</v>
      </c>
      <c r="J2313" s="148" t="str">
        <f>IFERROR(__xludf.DUMMYFUNCTION("""COMPUTED_VALUE"""),"{""typ"":""lc"",""txt"":""LC_ITEM_monopoly_equipment_blueprint_select_box_name_1""}")</f>
        <v>{"typ":"lc","txt":"LC_ITEM_monopoly_equipment_blueprint_select_box_name_1"}</v>
      </c>
      <c r="K2313" s="148" t="str">
        <f>IFERROR(__xludf.DUMMYFUNCTION("""COMPUTED_VALUE"""),"{""typ"":""lc"",""txt"":""LC_ITEM_monopoly_equipment_blueprint_select_box_desc_7""}")</f>
        <v>{"typ":"lc","txt":"LC_ITEM_monopoly_equipment_blueprint_select_box_desc_7"}</v>
      </c>
      <c r="L2313" s="148" t="str">
        <f>IFERROR(__xludf.DUMMYFUNCTION("""COMPUTED_VALUE"""),"{}")</f>
        <v>{}</v>
      </c>
      <c r="M2313" s="148">
        <f>IFERROR(__xludf.DUMMYFUNCTION("""COMPUTED_VALUE"""),500.0)</f>
        <v>500</v>
      </c>
      <c r="N2313" s="148">
        <f>IFERROR(__xludf.DUMMYFUNCTION("""COMPUTED_VALUE"""),9999999.0)</f>
        <v>9999999</v>
      </c>
      <c r="O2313" s="148">
        <f>IFERROR(__xludf.DUMMYFUNCTION("""COMPUTED_VALUE"""),99999.0)</f>
        <v>99999</v>
      </c>
      <c r="P2313" s="148">
        <f>IFERROR(__xludf.DUMMYFUNCTION("""COMPUTED_VALUE"""),99999.0)</f>
        <v>99999</v>
      </c>
      <c r="Q2313" s="148" t="str">
        <f>IFERROR(__xludf.DUMMYFUNCTION("""COMPUTED_VALUE"""),"[""bag_other""]")</f>
        <v>["bag_other"]</v>
      </c>
      <c r="R2313" s="148" t="str">
        <f>IFERROR(__xludf.DUMMYFUNCTION("""COMPUTED_VALUE"""),"[""bag""]")</f>
        <v>["bag"]</v>
      </c>
      <c r="S2313" s="148" t="str">
        <f>IFERROR(__xludf.DUMMYFUNCTION("""COMPUTED_VALUE"""),"{""select_box"":[{""typ"":""item"",""id"":11119221,""val"":1},{""typ"":""item"",""id"":11119222,""val"":1},{""typ"":""item"",""id"":11119223,""val"":1},{""typ"":""item"",""id"":11119224,""val"":1}]}")</f>
        <v>{"select_box":[{"typ":"item","id":11119221,"val":1},{"typ":"item","id":11119222,"val":1},{"typ":"item","id":11119223,"val":1},{"typ":"item","id":11119224,"val":1}]}</v>
      </c>
      <c r="T2313" s="148">
        <f>IFERROR(__xludf.DUMMYFUNCTION("""COMPUTED_VALUE"""),-1.0)</f>
        <v>-1</v>
      </c>
      <c r="U2313" s="148">
        <f>IFERROR(__xludf.DUMMYFUNCTION("""COMPUTED_VALUE"""),0.0)</f>
        <v>0</v>
      </c>
      <c r="V2313" s="148" t="str">
        <f>IFERROR(__xludf.DUMMYFUNCTION("""COMPUTED_VALUE"""),"[]")</f>
        <v>[]</v>
      </c>
      <c r="W2313" s="148">
        <f>IFERROR(__xludf.DUMMYFUNCTION("""COMPUTED_VALUE"""),1.1741004E7)</f>
        <v>11741004</v>
      </c>
      <c r="X2313" s="148">
        <f>IFERROR(__xludf.DUMMYFUNCTION("""COMPUTED_VALUE"""),0.0)</f>
        <v>0</v>
      </c>
      <c r="Y2313" s="148">
        <f>IFERROR(__xludf.DUMMYFUNCTION("""COMPUTED_VALUE"""),0.0)</f>
        <v>0</v>
      </c>
      <c r="Z2313" s="148"/>
    </row>
    <row r="2314">
      <c r="A2314" s="148">
        <f>IFERROR(__xludf.DUMMYFUNCTION("""COMPUTED_VALUE"""),1.1119226E7)</f>
        <v>11119226</v>
      </c>
      <c r="B2314" s="148" t="str">
        <f>IFERROR(__xludf.DUMMYFUNCTION("""COMPUTED_VALUE"""),"重铸道具随机箱（二代红颜色）")</f>
        <v>重铸道具随机箱（二代红颜色）</v>
      </c>
      <c r="C2314" s="148"/>
      <c r="D2314" s="148" t="str">
        <f>IFERROR(__xludf.DUMMYFUNCTION("""COMPUTED_VALUE"""),"item_asset")</f>
        <v>item_asset</v>
      </c>
      <c r="E2314" s="148">
        <f>IFERROR(__xludf.DUMMYFUNCTION("""COMPUTED_VALUE"""),19.0)</f>
        <v>19</v>
      </c>
      <c r="F2314" s="148">
        <f>IFERROR(__xludf.DUMMYFUNCTION("""COMPUTED_VALUE"""),403308.0)</f>
        <v>403308</v>
      </c>
      <c r="G2314" s="148">
        <f>IFERROR(__xludf.DUMMYFUNCTION("""COMPUTED_VALUE"""),1.51100079E8)</f>
        <v>151100079</v>
      </c>
      <c r="H2314" s="148">
        <f>IFERROR(__xludf.DUMMYFUNCTION("""COMPUTED_VALUE"""),1.5112564E7)</f>
        <v>15112564</v>
      </c>
      <c r="I2314" s="148" t="str">
        <f>IFERROR(__xludf.DUMMYFUNCTION("""COMPUTED_VALUE"""),"{}")</f>
        <v>{}</v>
      </c>
      <c r="J2314" s="148" t="str">
        <f>IFERROR(__xludf.DUMMYFUNCTION("""COMPUTED_VALUE"""),"{""typ"":""lc"",""txt"":""LC_ITEM_lockrune_random_box_name""}")</f>
        <v>{"typ":"lc","txt":"LC_ITEM_lockrune_random_box_name"}</v>
      </c>
      <c r="K2314" s="148" t="str">
        <f>IFERROR(__xludf.DUMMYFUNCTION("""COMPUTED_VALUE"""),"{""typ"":""lc"",""txt"":""LC_ITEM_lockrune_random_box_desc""}")</f>
        <v>{"typ":"lc","txt":"LC_ITEM_lockrune_random_box_desc"}</v>
      </c>
      <c r="L2314" s="148" t="str">
        <f>IFERROR(__xludf.DUMMYFUNCTION("""COMPUTED_VALUE"""),"{}")</f>
        <v>{}</v>
      </c>
      <c r="M2314" s="148">
        <f>IFERROR(__xludf.DUMMYFUNCTION("""COMPUTED_VALUE"""),240.0)</f>
        <v>240</v>
      </c>
      <c r="N2314" s="148">
        <f>IFERROR(__xludf.DUMMYFUNCTION("""COMPUTED_VALUE"""),999999.0)</f>
        <v>999999</v>
      </c>
      <c r="O2314" s="148">
        <f>IFERROR(__xludf.DUMMYFUNCTION("""COMPUTED_VALUE"""),99999.0)</f>
        <v>99999</v>
      </c>
      <c r="P2314" s="148">
        <f>IFERROR(__xludf.DUMMYFUNCTION("""COMPUTED_VALUE"""),9999.0)</f>
        <v>9999</v>
      </c>
      <c r="Q2314" s="148" t="str">
        <f>IFERROR(__xludf.DUMMYFUNCTION("""COMPUTED_VALUE"""),"[""bag_other""]")</f>
        <v>["bag_other"]</v>
      </c>
      <c r="R2314" s="148" t="str">
        <f>IFERROR(__xludf.DUMMYFUNCTION("""COMPUTED_VALUE"""),"[""bag""]")</f>
        <v>["bag"]</v>
      </c>
      <c r="S2314" s="148" t="str">
        <f>IFERROR(__xludf.DUMMYFUNCTION("""COMPUTED_VALUE"""),"{""drop"":{""typ"":""single_random"",""num"":1,""args"":[{""typ"":""material"",""id"":19345004,""num"":1,""wgt"":1800},{""typ"":""material"",""id"":19345004,""num"":2,""wgt"":100},{""typ"":""lockrune"",""id"":19345010,""num"":1,""wgt"":80},{""typ"":""lock"&amp;"rune"",""id"":19345011,""num"":1,""wgt"":20}]}}")</f>
        <v>{"drop":{"typ":"single_random","num":1,"args":[{"typ":"material","id":19345004,"num":1,"wgt":1800},{"typ":"material","id":19345004,"num":2,"wgt":100},{"typ":"lockrune","id":19345010,"num":1,"wgt":80},{"typ":"lockrune","id":19345011,"num":1,"wgt":20}]}}</v>
      </c>
      <c r="T2314" s="148">
        <f>IFERROR(__xludf.DUMMYFUNCTION("""COMPUTED_VALUE"""),-1.0)</f>
        <v>-1</v>
      </c>
      <c r="U2314" s="148">
        <f>IFERROR(__xludf.DUMMYFUNCTION("""COMPUTED_VALUE"""),0.0)</f>
        <v>0</v>
      </c>
      <c r="V2314" s="148" t="str">
        <f>IFERROR(__xludf.DUMMYFUNCTION("""COMPUTED_VALUE"""),"[]")</f>
        <v>[]</v>
      </c>
      <c r="W2314" s="148">
        <f>IFERROR(__xludf.DUMMYFUNCTION("""COMPUTED_VALUE"""),1.174E7)</f>
        <v>11740000</v>
      </c>
      <c r="X2314" s="148">
        <f>IFERROR(__xludf.DUMMYFUNCTION("""COMPUTED_VALUE"""),0.0)</f>
        <v>0</v>
      </c>
      <c r="Y2314" s="148">
        <f>IFERROR(__xludf.DUMMYFUNCTION("""COMPUTED_VALUE"""),0.0)</f>
        <v>0</v>
      </c>
      <c r="Z2314" s="148"/>
    </row>
    <row r="2315">
      <c r="A2315" s="148">
        <f>IFERROR(__xludf.DUMMYFUNCTION("""COMPUTED_VALUE"""),1.1119227E7)</f>
        <v>11119227</v>
      </c>
      <c r="B2315" s="148" t="str">
        <f>IFERROR(__xludf.DUMMYFUNCTION("""COMPUTED_VALUE"""),"周年庆强消耗扭蛋币")</f>
        <v>周年庆强消耗扭蛋币</v>
      </c>
      <c r="C2315" s="148"/>
      <c r="D2315" s="148" t="str">
        <f>IFERROR(__xludf.DUMMYFUNCTION("""COMPUTED_VALUE"""),"event")</f>
        <v>event</v>
      </c>
      <c r="E2315" s="148">
        <f>IFERROR(__xludf.DUMMYFUNCTION("""COMPUTED_VALUE"""),0.0)</f>
        <v>0</v>
      </c>
      <c r="F2315" s="148">
        <f>IFERROR(__xludf.DUMMYFUNCTION("""COMPUTED_VALUE"""),0.0)</f>
        <v>0</v>
      </c>
      <c r="G2315" s="148">
        <f>IFERROR(__xludf.DUMMYFUNCTION("""COMPUTED_VALUE"""),1.5119837E7)</f>
        <v>15119837</v>
      </c>
      <c r="H2315" s="148">
        <f>IFERROR(__xludf.DUMMYFUNCTION("""COMPUTED_VALUE"""),1.5112564E7)</f>
        <v>15112564</v>
      </c>
      <c r="I2315" s="148" t="str">
        <f>IFERROR(__xludf.DUMMYFUNCTION("""COMPUTED_VALUE"""),"{}")</f>
        <v>{}</v>
      </c>
      <c r="J2315" s="148" t="str">
        <f>IFERROR(__xludf.DUMMYFUNCTION("""COMPUTED_VALUE"""),"{""typ"":""lc"",""txt"":""LC_ITEM_new_strong_consume_gacha_token1_name_anni_2024""}")</f>
        <v>{"typ":"lc","txt":"LC_ITEM_new_strong_consume_gacha_token1_name_anni_2024"}</v>
      </c>
      <c r="K2315" s="148" t="str">
        <f>IFERROR(__xludf.DUMMYFUNCTION("""COMPUTED_VALUE"""),"{""typ"":""lc"",""txt"":""LC_ITEM_new_strong_consume_gacha_token1_desc_anni_2024""}")</f>
        <v>{"typ":"lc","txt":"LC_ITEM_new_strong_consume_gacha_token1_desc_anni_2024"}</v>
      </c>
      <c r="L2315" s="148" t="str">
        <f>IFERROR(__xludf.DUMMYFUNCTION("""COMPUTED_VALUE"""),"{}")</f>
        <v>{}</v>
      </c>
      <c r="M2315" s="148">
        <f>IFERROR(__xludf.DUMMYFUNCTION("""COMPUTED_VALUE"""),250.0)</f>
        <v>250</v>
      </c>
      <c r="N2315" s="148">
        <f>IFERROR(__xludf.DUMMYFUNCTION("""COMPUTED_VALUE"""),999999.0)</f>
        <v>999999</v>
      </c>
      <c r="O2315" s="148">
        <f>IFERROR(__xludf.DUMMYFUNCTION("""COMPUTED_VALUE"""),99999.0)</f>
        <v>99999</v>
      </c>
      <c r="P2315" s="148">
        <f>IFERROR(__xludf.DUMMYFUNCTION("""COMPUTED_VALUE"""),9999.0)</f>
        <v>9999</v>
      </c>
      <c r="Q2315" s="148" t="str">
        <f>IFERROR(__xludf.DUMMYFUNCTION("""COMPUTED_VALUE"""),"[""bag_other""]")</f>
        <v>["bag_other"]</v>
      </c>
      <c r="R2315" s="148" t="str">
        <f>IFERROR(__xludf.DUMMYFUNCTION("""COMPUTED_VALUE"""),"[]")</f>
        <v>[]</v>
      </c>
      <c r="S2315" s="148" t="str">
        <f>IFERROR(__xludf.DUMMYFUNCTION("""COMPUTED_VALUE"""),"{}")</f>
        <v>{}</v>
      </c>
      <c r="T2315" s="148">
        <f>IFERROR(__xludf.DUMMYFUNCTION("""COMPUTED_VALUE"""),-1.0)</f>
        <v>-1</v>
      </c>
      <c r="U2315" s="148">
        <f>IFERROR(__xludf.DUMMYFUNCTION("""COMPUTED_VALUE"""),0.0)</f>
        <v>0</v>
      </c>
      <c r="V2315" s="148" t="str">
        <f>IFERROR(__xludf.DUMMYFUNCTION("""COMPUTED_VALUE"""),"[]")</f>
        <v>[]</v>
      </c>
      <c r="W2315" s="148">
        <f>IFERROR(__xludf.DUMMYFUNCTION("""COMPUTED_VALUE"""),1.174E7)</f>
        <v>11740000</v>
      </c>
      <c r="X2315" s="148">
        <f>IFERROR(__xludf.DUMMYFUNCTION("""COMPUTED_VALUE"""),0.0)</f>
        <v>0</v>
      </c>
      <c r="Y2315" s="148">
        <f>IFERROR(__xludf.DUMMYFUNCTION("""COMPUTED_VALUE"""),0.0)</f>
        <v>0</v>
      </c>
      <c r="Z2315" s="148"/>
    </row>
    <row r="2316">
      <c r="A2316" s="148">
        <f>IFERROR(__xludf.DUMMYFUNCTION("""COMPUTED_VALUE"""),1.1119228E7)</f>
        <v>11119228</v>
      </c>
      <c r="B2316" s="148" t="str">
        <f>IFERROR(__xludf.DUMMYFUNCTION("""COMPUTED_VALUE"""),"周年庆强消耗抽奖券")</f>
        <v>周年庆强消耗抽奖券</v>
      </c>
      <c r="C2316" s="148"/>
      <c r="D2316" s="148" t="str">
        <f>IFERROR(__xludf.DUMMYFUNCTION("""COMPUTED_VALUE"""),"event")</f>
        <v>event</v>
      </c>
      <c r="E2316" s="148">
        <f>IFERROR(__xludf.DUMMYFUNCTION("""COMPUTED_VALUE"""),0.0)</f>
        <v>0</v>
      </c>
      <c r="F2316" s="148">
        <f>IFERROR(__xludf.DUMMYFUNCTION("""COMPUTED_VALUE"""),0.0)</f>
        <v>0</v>
      </c>
      <c r="G2316" s="148">
        <f>IFERROR(__xludf.DUMMYFUNCTION("""COMPUTED_VALUE"""),1.5119836E7)</f>
        <v>15119836</v>
      </c>
      <c r="H2316" s="148">
        <f>IFERROR(__xludf.DUMMYFUNCTION("""COMPUTED_VALUE"""),1.5112564E7)</f>
        <v>15112564</v>
      </c>
      <c r="I2316" s="148" t="str">
        <f>IFERROR(__xludf.DUMMYFUNCTION("""COMPUTED_VALUE"""),"{}")</f>
        <v>{}</v>
      </c>
      <c r="J2316" s="148" t="str">
        <f>IFERROR(__xludf.DUMMYFUNCTION("""COMPUTED_VALUE"""),"{""typ"":""lc"",""txt"":""LC_ITEM_new_strong_consume_gacha_token2_name""}")</f>
        <v>{"typ":"lc","txt":"LC_ITEM_new_strong_consume_gacha_token2_name"}</v>
      </c>
      <c r="K2316" s="148" t="str">
        <f>IFERROR(__xludf.DUMMYFUNCTION("""COMPUTED_VALUE"""),"{""typ"":""lc"",""txt"":""LC_ITEM_new_strong_consume_gacha_token2_desc_anni_2024""}")</f>
        <v>{"typ":"lc","txt":"LC_ITEM_new_strong_consume_gacha_token2_desc_anni_2024"}</v>
      </c>
      <c r="L2316" s="148" t="str">
        <f>IFERROR(__xludf.DUMMYFUNCTION("""COMPUTED_VALUE"""),"{}")</f>
        <v>{}</v>
      </c>
      <c r="M2316" s="148">
        <f>IFERROR(__xludf.DUMMYFUNCTION("""COMPUTED_VALUE"""),125.0)</f>
        <v>125</v>
      </c>
      <c r="N2316" s="148">
        <f>IFERROR(__xludf.DUMMYFUNCTION("""COMPUTED_VALUE"""),999999.0)</f>
        <v>999999</v>
      </c>
      <c r="O2316" s="148">
        <f>IFERROR(__xludf.DUMMYFUNCTION("""COMPUTED_VALUE"""),99999.0)</f>
        <v>99999</v>
      </c>
      <c r="P2316" s="148">
        <f>IFERROR(__xludf.DUMMYFUNCTION("""COMPUTED_VALUE"""),9999.0)</f>
        <v>9999</v>
      </c>
      <c r="Q2316" s="148" t="str">
        <f>IFERROR(__xludf.DUMMYFUNCTION("""COMPUTED_VALUE"""),"[""bag_other""]")</f>
        <v>["bag_other"]</v>
      </c>
      <c r="R2316" s="148" t="str">
        <f>IFERROR(__xludf.DUMMYFUNCTION("""COMPUTED_VALUE"""),"[]")</f>
        <v>[]</v>
      </c>
      <c r="S2316" s="148" t="str">
        <f>IFERROR(__xludf.DUMMYFUNCTION("""COMPUTED_VALUE"""),"{}")</f>
        <v>{}</v>
      </c>
      <c r="T2316" s="148">
        <f>IFERROR(__xludf.DUMMYFUNCTION("""COMPUTED_VALUE"""),-1.0)</f>
        <v>-1</v>
      </c>
      <c r="U2316" s="148">
        <f>IFERROR(__xludf.DUMMYFUNCTION("""COMPUTED_VALUE"""),0.0)</f>
        <v>0</v>
      </c>
      <c r="V2316" s="148" t="str">
        <f>IFERROR(__xludf.DUMMYFUNCTION("""COMPUTED_VALUE"""),"[]")</f>
        <v>[]</v>
      </c>
      <c r="W2316" s="148">
        <f>IFERROR(__xludf.DUMMYFUNCTION("""COMPUTED_VALUE"""),1.174E7)</f>
        <v>11740000</v>
      </c>
      <c r="X2316" s="148">
        <f>IFERROR(__xludf.DUMMYFUNCTION("""COMPUTED_VALUE"""),0.0)</f>
        <v>0</v>
      </c>
      <c r="Y2316" s="148">
        <f>IFERROR(__xludf.DUMMYFUNCTION("""COMPUTED_VALUE"""),0.0)</f>
        <v>0</v>
      </c>
      <c r="Z2316" s="148"/>
    </row>
    <row r="2317">
      <c r="A2317" s="148">
        <f>IFERROR(__xludf.DUMMYFUNCTION("""COMPUTED_VALUE"""),1.1119229E7)</f>
        <v>11119229</v>
      </c>
      <c r="B2317" s="148" t="str">
        <f>IFERROR(__xludf.DUMMYFUNCTION("""COMPUTED_VALUE"""),"传说机师自选箱2（一代&amp;二代）")</f>
        <v>传说机师自选箱2（一代&amp;二代）</v>
      </c>
      <c r="C2317" s="148"/>
      <c r="D2317" s="148" t="str">
        <f>IFERROR(__xludf.DUMMYFUNCTION("""COMPUTED_VALUE"""),"item_select_box")</f>
        <v>item_select_box</v>
      </c>
      <c r="E2317" s="148">
        <f>IFERROR(__xludf.DUMMYFUNCTION("""COMPUTED_VALUE"""),0.0)</f>
        <v>0</v>
      </c>
      <c r="F2317" s="148">
        <f>IFERROR(__xludf.DUMMYFUNCTION("""COMPUTED_VALUE"""),403308.0)</f>
        <v>403308</v>
      </c>
      <c r="G2317" s="148">
        <f>IFERROR(__xludf.DUMMYFUNCTION("""COMPUTED_VALUE"""),1.5119262E7)</f>
        <v>15119262</v>
      </c>
      <c r="H2317" s="148">
        <f>IFERROR(__xludf.DUMMYFUNCTION("""COMPUTED_VALUE"""),1.5112564E7)</f>
        <v>15112564</v>
      </c>
      <c r="I2317" s="148" t="str">
        <f>IFERROR(__xludf.DUMMYFUNCTION("""COMPUTED_VALUE"""),"{}")</f>
        <v>{}</v>
      </c>
      <c r="J2317" s="148" t="str">
        <f>IFERROR(__xludf.DUMMYFUNCTION("""COMPUTED_VALUE"""),"{""typ"":""lc"",""txt"":""LC_ITEM_mecha_driver_box_name""}")</f>
        <v>{"typ":"lc","txt":"LC_ITEM_mecha_driver_box_name"}</v>
      </c>
      <c r="K2317" s="148" t="str">
        <f>IFERROR(__xludf.DUMMYFUNCTION("""COMPUTED_VALUE"""),"{""typ"":""lc"",""txt"":""LC_ITEM_mecha_driver_box_desc2""}")</f>
        <v>{"typ":"lc","txt":"LC_ITEM_mecha_driver_box_desc2"}</v>
      </c>
      <c r="L2317" s="148" t="str">
        <f>IFERROR(__xludf.DUMMYFUNCTION("""COMPUTED_VALUE"""),"{}")</f>
        <v>{}</v>
      </c>
      <c r="M2317" s="148">
        <f>IFERROR(__xludf.DUMMYFUNCTION("""COMPUTED_VALUE"""),3000.0)</f>
        <v>3000</v>
      </c>
      <c r="N2317" s="148">
        <f>IFERROR(__xludf.DUMMYFUNCTION("""COMPUTED_VALUE"""),9999999.0)</f>
        <v>9999999</v>
      </c>
      <c r="O2317" s="148">
        <f>IFERROR(__xludf.DUMMYFUNCTION("""COMPUTED_VALUE"""),99999.0)</f>
        <v>99999</v>
      </c>
      <c r="P2317" s="148">
        <f>IFERROR(__xludf.DUMMYFUNCTION("""COMPUTED_VALUE"""),99999.0)</f>
        <v>99999</v>
      </c>
      <c r="Q2317" s="148" t="str">
        <f>IFERROR(__xludf.DUMMYFUNCTION("""COMPUTED_VALUE"""),"[""bag_other""]")</f>
        <v>["bag_other"]</v>
      </c>
      <c r="R2317" s="148" t="str">
        <f>IFERROR(__xludf.DUMMYFUNCTION("""COMPUTED_VALUE"""),"[""bag""]")</f>
        <v>["bag"]</v>
      </c>
      <c r="S2317" s="148" t="str">
        <f>IFERROR(__xludf.DUMMYFUNCTION("""COMPUTED_VALUE"""),"{""select_box"":[{""typ"":""item"",""id"":11117913,""val"":1},{""typ"":""item"",""id"":11117914,""val"":1},{""typ"":""item"",""id"":11117915,""val"":1},{""typ"":""item"",""id"":11117916,""val"":1},{""typ"":""item"",""id"":11117917,""val"":1},{""typ"":""it"&amp;"em"",""id"":11117918,""val"":1}]}")</f>
        <v>{"select_box":[{"typ":"item","id":11117913,"val":1},{"typ":"item","id":11117914,"val":1},{"typ":"item","id":11117915,"val":1},{"typ":"item","id":11117916,"val":1},{"typ":"item","id":11117917,"val":1},{"typ":"item","id":11117918,"val":1}]}</v>
      </c>
      <c r="T2317" s="148">
        <f>IFERROR(__xludf.DUMMYFUNCTION("""COMPUTED_VALUE"""),-1.0)</f>
        <v>-1</v>
      </c>
      <c r="U2317" s="148">
        <f>IFERROR(__xludf.DUMMYFUNCTION("""COMPUTED_VALUE"""),0.0)</f>
        <v>0</v>
      </c>
      <c r="V2317" s="148" t="str">
        <f>IFERROR(__xludf.DUMMYFUNCTION("""COMPUTED_VALUE"""),"[]")</f>
        <v>[]</v>
      </c>
      <c r="W2317" s="148">
        <f>IFERROR(__xludf.DUMMYFUNCTION("""COMPUTED_VALUE"""),1.1741004E7)</f>
        <v>11741004</v>
      </c>
      <c r="X2317" s="148">
        <f>IFERROR(__xludf.DUMMYFUNCTION("""COMPUTED_VALUE"""),0.0)</f>
        <v>0</v>
      </c>
      <c r="Y2317" s="148">
        <f>IFERROR(__xludf.DUMMYFUNCTION("""COMPUTED_VALUE"""),0.0)</f>
        <v>0</v>
      </c>
      <c r="Z2317" s="148"/>
    </row>
    <row r="2318">
      <c r="A2318" s="148">
        <f>IFERROR(__xludf.DUMMYFUNCTION("""COMPUTED_VALUE"""),1.111923E7)</f>
        <v>11119230</v>
      </c>
      <c r="B2318" s="148" t="str">
        <f>IFERROR(__xludf.DUMMYFUNCTION("""COMPUTED_VALUE"""),"购物凭证（兑换道具）")</f>
        <v>购物凭证（兑换道具）</v>
      </c>
      <c r="C2318" s="148"/>
      <c r="D2318" s="148" t="str">
        <f>IFERROR(__xludf.DUMMYFUNCTION("""COMPUTED_VALUE"""),"event")</f>
        <v>event</v>
      </c>
      <c r="E2318" s="148">
        <f>IFERROR(__xludf.DUMMYFUNCTION("""COMPUTED_VALUE"""),0.0)</f>
        <v>0</v>
      </c>
      <c r="F2318" s="148">
        <f>IFERROR(__xludf.DUMMYFUNCTION("""COMPUTED_VALUE"""),405221.0)</f>
        <v>405221</v>
      </c>
      <c r="G2318" s="148">
        <f>IFERROR(__xludf.DUMMYFUNCTION("""COMPUTED_VALUE"""),1.51100453E8)</f>
        <v>151100453</v>
      </c>
      <c r="H2318" s="148">
        <f>IFERROR(__xludf.DUMMYFUNCTION("""COMPUTED_VALUE"""),1.5112564E7)</f>
        <v>15112564</v>
      </c>
      <c r="I2318" s="148" t="str">
        <f>IFERROR(__xludf.DUMMYFUNCTION("""COMPUTED_VALUE"""),"{}")</f>
        <v>{}</v>
      </c>
      <c r="J2318" s="148" t="str">
        <f>IFERROR(__xludf.DUMMYFUNCTION("""COMPUTED_VALUE"""),"{""typ"":""lc"",""txt"":""LC_ITEM_chain_pkg_exp_name""}")</f>
        <v>{"typ":"lc","txt":"LC_ITEM_chain_pkg_exp_name"}</v>
      </c>
      <c r="K2318" s="148" t="str">
        <f>IFERROR(__xludf.DUMMYFUNCTION("""COMPUTED_VALUE"""),"{""typ"":""lc"",""txt"":""LC_ITEM_chain_pkg_exp_desc""}")</f>
        <v>{"typ":"lc","txt":"LC_ITEM_chain_pkg_exp_desc"}</v>
      </c>
      <c r="L2318" s="148" t="str">
        <f>IFERROR(__xludf.DUMMYFUNCTION("""COMPUTED_VALUE"""),"{}")</f>
        <v>{}</v>
      </c>
      <c r="M2318" s="148">
        <f>IFERROR(__xludf.DUMMYFUNCTION("""COMPUTED_VALUE"""),1.0)</f>
        <v>1</v>
      </c>
      <c r="N2318" s="148">
        <f>IFERROR(__xludf.DUMMYFUNCTION("""COMPUTED_VALUE"""),9.99999999E8)</f>
        <v>999999999</v>
      </c>
      <c r="O2318" s="148">
        <f>IFERROR(__xludf.DUMMYFUNCTION("""COMPUTED_VALUE"""),9.99999999E8)</f>
        <v>999999999</v>
      </c>
      <c r="P2318" s="148">
        <f>IFERROR(__xludf.DUMMYFUNCTION("""COMPUTED_VALUE"""),9.99999999E8)</f>
        <v>999999999</v>
      </c>
      <c r="Q2318" s="148" t="str">
        <f>IFERROR(__xludf.DUMMYFUNCTION("""COMPUTED_VALUE"""),"[""bag_other""]")</f>
        <v>["bag_other"]</v>
      </c>
      <c r="R2318" s="148" t="str">
        <f>IFERROR(__xludf.DUMMYFUNCTION("""COMPUTED_VALUE"""),"[""bag""]")</f>
        <v>["bag"]</v>
      </c>
      <c r="S2318" s="148" t="str">
        <f>IFERROR(__xludf.DUMMYFUNCTION("""COMPUTED_VALUE"""),"{}")</f>
        <v>{}</v>
      </c>
      <c r="T2318" s="148">
        <f>IFERROR(__xludf.DUMMYFUNCTION("""COMPUTED_VALUE"""),-1.0)</f>
        <v>-1</v>
      </c>
      <c r="U2318" s="148">
        <f>IFERROR(__xludf.DUMMYFUNCTION("""COMPUTED_VALUE"""),1.0)</f>
        <v>1</v>
      </c>
      <c r="V2318" s="148" t="str">
        <f>IFERROR(__xludf.DUMMYFUNCTION("""COMPUTED_VALUE"""),"[]")</f>
        <v>[]</v>
      </c>
      <c r="W2318" s="148">
        <f>IFERROR(__xludf.DUMMYFUNCTION("""COMPUTED_VALUE"""),1.174E7)</f>
        <v>11740000</v>
      </c>
      <c r="X2318" s="148">
        <f>IFERROR(__xludf.DUMMYFUNCTION("""COMPUTED_VALUE"""),0.0)</f>
        <v>0</v>
      </c>
      <c r="Y2318" s="148">
        <f>IFERROR(__xludf.DUMMYFUNCTION("""COMPUTED_VALUE"""),0.0)</f>
        <v>0</v>
      </c>
      <c r="Z2318" s="148"/>
    </row>
    <row r="2319">
      <c r="A2319" s="148">
        <f>IFERROR(__xludf.DUMMYFUNCTION("""COMPUTED_VALUE"""),1.1119231E7)</f>
        <v>11119231</v>
      </c>
      <c r="B2319" s="148" t="str">
        <f>IFERROR(__xludf.DUMMYFUNCTION("""COMPUTED_VALUE"""),"SLG连锁礼包-阶段奖励1")</f>
        <v>SLG连锁礼包-阶段奖励1</v>
      </c>
      <c r="C2319" s="148"/>
      <c r="D2319" s="148" t="str">
        <f>IFERROR(__xludf.DUMMYFUNCTION("""COMPUTED_VALUE"""),"item_asset")</f>
        <v>item_asset</v>
      </c>
      <c r="E2319" s="148">
        <f>IFERROR(__xludf.DUMMYFUNCTION("""COMPUTED_VALUE"""),19.0)</f>
        <v>19</v>
      </c>
      <c r="F2319" s="148">
        <f>IFERROR(__xludf.DUMMYFUNCTION("""COMPUTED_VALUE"""),403308.0)</f>
        <v>403308</v>
      </c>
      <c r="G2319" s="148">
        <f>IFERROR(__xludf.DUMMYFUNCTION("""COMPUTED_VALUE"""),1.5113195E7)</f>
        <v>15113195</v>
      </c>
      <c r="H2319" s="148">
        <f>IFERROR(__xludf.DUMMYFUNCTION("""COMPUTED_VALUE"""),1.5112564E7)</f>
        <v>15112564</v>
      </c>
      <c r="I2319" s="148" t="str">
        <f>IFERROR(__xludf.DUMMYFUNCTION("""COMPUTED_VALUE"""),"{}")</f>
        <v>{}</v>
      </c>
      <c r="J2319" s="148" t="str">
        <f>IFERROR(__xludf.DUMMYFUNCTION("""COMPUTED_VALUE"""),"{""typ"":""lc"",""txt"":""LC_EVENT_chain_pkg_milestone_box_name""}")</f>
        <v>{"typ":"lc","txt":"LC_EVENT_chain_pkg_milestone_box_name"}</v>
      </c>
      <c r="K2319" s="148" t="str">
        <f>IFERROR(__xludf.DUMMYFUNCTION("""COMPUTED_VALUE"""),"{""typ"":""lc"",""txt"":""LC_ITEM_chain_pkg_milestone_box_desc1""}")</f>
        <v>{"typ":"lc","txt":"LC_ITEM_chain_pkg_milestone_box_desc1"}</v>
      </c>
      <c r="L2319" s="148" t="str">
        <f>IFERROR(__xludf.DUMMYFUNCTION("""COMPUTED_VALUE"""),"{}")</f>
        <v>{}</v>
      </c>
      <c r="M2319" s="148">
        <f>IFERROR(__xludf.DUMMYFUNCTION("""COMPUTED_VALUE"""),500.0)</f>
        <v>500</v>
      </c>
      <c r="N2319" s="148">
        <f>IFERROR(__xludf.DUMMYFUNCTION("""COMPUTED_VALUE"""),999999.0)</f>
        <v>999999</v>
      </c>
      <c r="O2319" s="148">
        <f>IFERROR(__xludf.DUMMYFUNCTION("""COMPUTED_VALUE"""),99999.0)</f>
        <v>99999</v>
      </c>
      <c r="P2319" s="148">
        <f>IFERROR(__xludf.DUMMYFUNCTION("""COMPUTED_VALUE"""),9999.0)</f>
        <v>9999</v>
      </c>
      <c r="Q2319" s="148" t="str">
        <f>IFERROR(__xludf.DUMMYFUNCTION("""COMPUTED_VALUE"""),"[""bag_other""]")</f>
        <v>["bag_other"]</v>
      </c>
      <c r="R2319" s="148" t="str">
        <f>IFERROR(__xludf.DUMMYFUNCTION("""COMPUTED_VALUE"""),"[""bag""]")</f>
        <v>["bag"]</v>
      </c>
      <c r="S2319" s="148" t="str">
        <f>IFERROR(__xludf.DUMMYFUNCTION("""COMPUTED_VALUE"""),"{""drop"":{""typ"":""single_random"",""num"":1,""args"":[{""typ"":""item"",""id"":11111105,""num"":2,""wgt"":10},{""typ"":""item"",""id"":11111105,""num"":3,""wgt"":20},{""typ"":""item"",""id"":11111105,""num"":4,""wgt"":50},{""typ"":""item"",""id"":11111"&amp;"105,""num"":5,""wgt"":30},{""typ"":""item"",""id"":11116304,""num"":1,""wgt"":5}]}}")</f>
        <v>{"drop":{"typ":"single_random","num":1,"args":[{"typ":"item","id":11111105,"num":2,"wgt":10},{"typ":"item","id":11111105,"num":3,"wgt":20},{"typ":"item","id":11111105,"num":4,"wgt":50},{"typ":"item","id":11111105,"num":5,"wgt":30},{"typ":"item","id":11116304,"num":1,"wgt":5}]}}</v>
      </c>
      <c r="T2319" s="148">
        <f>IFERROR(__xludf.DUMMYFUNCTION("""COMPUTED_VALUE"""),-1.0)</f>
        <v>-1</v>
      </c>
      <c r="U2319" s="148">
        <f>IFERROR(__xludf.DUMMYFUNCTION("""COMPUTED_VALUE"""),0.0)</f>
        <v>0</v>
      </c>
      <c r="V2319" s="148" t="str">
        <f>IFERROR(__xludf.DUMMYFUNCTION("""COMPUTED_VALUE"""),"[]")</f>
        <v>[]</v>
      </c>
      <c r="W2319" s="148">
        <f>IFERROR(__xludf.DUMMYFUNCTION("""COMPUTED_VALUE"""),1.174E7)</f>
        <v>11740000</v>
      </c>
      <c r="X2319" s="148">
        <f>IFERROR(__xludf.DUMMYFUNCTION("""COMPUTED_VALUE"""),0.0)</f>
        <v>0</v>
      </c>
      <c r="Y2319" s="148">
        <f>IFERROR(__xludf.DUMMYFUNCTION("""COMPUTED_VALUE"""),0.0)</f>
        <v>0</v>
      </c>
      <c r="Z2319" s="148"/>
    </row>
    <row r="2320">
      <c r="A2320" s="148">
        <f>IFERROR(__xludf.DUMMYFUNCTION("""COMPUTED_VALUE"""),1.1119232E7)</f>
        <v>11119232</v>
      </c>
      <c r="B2320" s="148" t="str">
        <f>IFERROR(__xludf.DUMMYFUNCTION("""COMPUTED_VALUE"""),"SLG连锁礼包-阶段奖励2")</f>
        <v>SLG连锁礼包-阶段奖励2</v>
      </c>
      <c r="C2320" s="148"/>
      <c r="D2320" s="148" t="str">
        <f>IFERROR(__xludf.DUMMYFUNCTION("""COMPUTED_VALUE"""),"item_asset")</f>
        <v>item_asset</v>
      </c>
      <c r="E2320" s="148">
        <f>IFERROR(__xludf.DUMMYFUNCTION("""COMPUTED_VALUE"""),19.0)</f>
        <v>19</v>
      </c>
      <c r="F2320" s="148">
        <f>IFERROR(__xludf.DUMMYFUNCTION("""COMPUTED_VALUE"""),403308.0)</f>
        <v>403308</v>
      </c>
      <c r="G2320" s="148">
        <f>IFERROR(__xludf.DUMMYFUNCTION("""COMPUTED_VALUE"""),1.5113196E7)</f>
        <v>15113196</v>
      </c>
      <c r="H2320" s="148">
        <f>IFERROR(__xludf.DUMMYFUNCTION("""COMPUTED_VALUE"""),1.5112564E7)</f>
        <v>15112564</v>
      </c>
      <c r="I2320" s="148" t="str">
        <f>IFERROR(__xludf.DUMMYFUNCTION("""COMPUTED_VALUE"""),"{}")</f>
        <v>{}</v>
      </c>
      <c r="J2320" s="148" t="str">
        <f>IFERROR(__xludf.DUMMYFUNCTION("""COMPUTED_VALUE"""),"{""typ"":""lc"",""txt"":""LC_EVENT_chain_pkg_milestone_box_name""}")</f>
        <v>{"typ":"lc","txt":"LC_EVENT_chain_pkg_milestone_box_name"}</v>
      </c>
      <c r="K2320" s="148" t="str">
        <f>IFERROR(__xludf.DUMMYFUNCTION("""COMPUTED_VALUE"""),"{""typ"":""lc"",""txt"":""LC_ITEM_chain_pkg_milestone_box_desc1""}")</f>
        <v>{"typ":"lc","txt":"LC_ITEM_chain_pkg_milestone_box_desc1"}</v>
      </c>
      <c r="L2320" s="148" t="str">
        <f>IFERROR(__xludf.DUMMYFUNCTION("""COMPUTED_VALUE"""),"{}")</f>
        <v>{}</v>
      </c>
      <c r="M2320" s="148">
        <f>IFERROR(__xludf.DUMMYFUNCTION("""COMPUTED_VALUE"""),600.0)</f>
        <v>600</v>
      </c>
      <c r="N2320" s="148">
        <f>IFERROR(__xludf.DUMMYFUNCTION("""COMPUTED_VALUE"""),999999.0)</f>
        <v>999999</v>
      </c>
      <c r="O2320" s="148">
        <f>IFERROR(__xludf.DUMMYFUNCTION("""COMPUTED_VALUE"""),99999.0)</f>
        <v>99999</v>
      </c>
      <c r="P2320" s="148">
        <f>IFERROR(__xludf.DUMMYFUNCTION("""COMPUTED_VALUE"""),9999.0)</f>
        <v>9999</v>
      </c>
      <c r="Q2320" s="148" t="str">
        <f>IFERROR(__xludf.DUMMYFUNCTION("""COMPUTED_VALUE"""),"[""bag_other""]")</f>
        <v>["bag_other"]</v>
      </c>
      <c r="R2320" s="148" t="str">
        <f>IFERROR(__xludf.DUMMYFUNCTION("""COMPUTED_VALUE"""),"[""bag""]")</f>
        <v>["bag"]</v>
      </c>
      <c r="S2320" s="148" t="str">
        <f>IFERROR(__xludf.DUMMYFUNCTION("""COMPUTED_VALUE"""),"{""drop"":{""typ"":""single_random"",""num"":1,""args"":[{""typ"":""item"",""id"":11111105,""num"":3,""wgt"":10},{""typ"":""item"",""id"":11111105,""num"":4,""wgt"":20},{""typ"":""item"",""id"":11111105,""num"":5,""wgt"":50},{""typ"":""item"",""id"":11111"&amp;"105,""num"":6,""wgt"":30},{""typ"":""item"",""id"":11116304,""num"":2,""wgt"":5}]}}")</f>
        <v>{"drop":{"typ":"single_random","num":1,"args":[{"typ":"item","id":11111105,"num":3,"wgt":10},{"typ":"item","id":11111105,"num":4,"wgt":20},{"typ":"item","id":11111105,"num":5,"wgt":50},{"typ":"item","id":11111105,"num":6,"wgt":30},{"typ":"item","id":11116304,"num":2,"wgt":5}]}}</v>
      </c>
      <c r="T2320" s="148">
        <f>IFERROR(__xludf.DUMMYFUNCTION("""COMPUTED_VALUE"""),-1.0)</f>
        <v>-1</v>
      </c>
      <c r="U2320" s="148">
        <f>IFERROR(__xludf.DUMMYFUNCTION("""COMPUTED_VALUE"""),0.0)</f>
        <v>0</v>
      </c>
      <c r="V2320" s="148" t="str">
        <f>IFERROR(__xludf.DUMMYFUNCTION("""COMPUTED_VALUE"""),"[]")</f>
        <v>[]</v>
      </c>
      <c r="W2320" s="148">
        <f>IFERROR(__xludf.DUMMYFUNCTION("""COMPUTED_VALUE"""),1.174E7)</f>
        <v>11740000</v>
      </c>
      <c r="X2320" s="148">
        <f>IFERROR(__xludf.DUMMYFUNCTION("""COMPUTED_VALUE"""),0.0)</f>
        <v>0</v>
      </c>
      <c r="Y2320" s="148">
        <f>IFERROR(__xludf.DUMMYFUNCTION("""COMPUTED_VALUE"""),0.0)</f>
        <v>0</v>
      </c>
      <c r="Z2320" s="148"/>
    </row>
    <row r="2321">
      <c r="A2321" s="148">
        <f>IFERROR(__xludf.DUMMYFUNCTION("""COMPUTED_VALUE"""),1.1119233E7)</f>
        <v>11119233</v>
      </c>
      <c r="B2321" s="148" t="str">
        <f>IFERROR(__xludf.DUMMYFUNCTION("""COMPUTED_VALUE"""),"SLG连锁礼包-阶段奖励3")</f>
        <v>SLG连锁礼包-阶段奖励3</v>
      </c>
      <c r="C2321" s="148"/>
      <c r="D2321" s="148" t="str">
        <f>IFERROR(__xludf.DUMMYFUNCTION("""COMPUTED_VALUE"""),"item_asset")</f>
        <v>item_asset</v>
      </c>
      <c r="E2321" s="148">
        <f>IFERROR(__xludf.DUMMYFUNCTION("""COMPUTED_VALUE"""),19.0)</f>
        <v>19</v>
      </c>
      <c r="F2321" s="148">
        <f>IFERROR(__xludf.DUMMYFUNCTION("""COMPUTED_VALUE"""),403308.0)</f>
        <v>403308</v>
      </c>
      <c r="G2321" s="148">
        <f>IFERROR(__xludf.DUMMYFUNCTION("""COMPUTED_VALUE"""),1.5113197E7)</f>
        <v>15113197</v>
      </c>
      <c r="H2321" s="148">
        <f>IFERROR(__xludf.DUMMYFUNCTION("""COMPUTED_VALUE"""),1.5112564E7)</f>
        <v>15112564</v>
      </c>
      <c r="I2321" s="148" t="str">
        <f>IFERROR(__xludf.DUMMYFUNCTION("""COMPUTED_VALUE"""),"{}")</f>
        <v>{}</v>
      </c>
      <c r="J2321" s="148" t="str">
        <f>IFERROR(__xludf.DUMMYFUNCTION("""COMPUTED_VALUE"""),"{""typ"":""lc"",""txt"":""LC_EVENT_chain_pkg_milestone_box_name""}")</f>
        <v>{"typ":"lc","txt":"LC_EVENT_chain_pkg_milestone_box_name"}</v>
      </c>
      <c r="K2321" s="148" t="str">
        <f>IFERROR(__xludf.DUMMYFUNCTION("""COMPUTED_VALUE"""),"{""typ"":""lc"",""txt"":""LC_ITEM_chain_pkg_milestone_box_desc1""}")</f>
        <v>{"typ":"lc","txt":"LC_ITEM_chain_pkg_milestone_box_desc1"}</v>
      </c>
      <c r="L2321" s="148" t="str">
        <f>IFERROR(__xludf.DUMMYFUNCTION("""COMPUTED_VALUE"""),"{}")</f>
        <v>{}</v>
      </c>
      <c r="M2321" s="148">
        <f>IFERROR(__xludf.DUMMYFUNCTION("""COMPUTED_VALUE"""),1200.0)</f>
        <v>1200</v>
      </c>
      <c r="N2321" s="148">
        <f>IFERROR(__xludf.DUMMYFUNCTION("""COMPUTED_VALUE"""),999999.0)</f>
        <v>999999</v>
      </c>
      <c r="O2321" s="148">
        <f>IFERROR(__xludf.DUMMYFUNCTION("""COMPUTED_VALUE"""),99999.0)</f>
        <v>99999</v>
      </c>
      <c r="P2321" s="148">
        <f>IFERROR(__xludf.DUMMYFUNCTION("""COMPUTED_VALUE"""),9999.0)</f>
        <v>9999</v>
      </c>
      <c r="Q2321" s="148" t="str">
        <f>IFERROR(__xludf.DUMMYFUNCTION("""COMPUTED_VALUE"""),"[""bag_other""]")</f>
        <v>["bag_other"]</v>
      </c>
      <c r="R2321" s="148" t="str">
        <f>IFERROR(__xludf.DUMMYFUNCTION("""COMPUTED_VALUE"""),"[""bag""]")</f>
        <v>["bag"]</v>
      </c>
      <c r="S2321" s="148" t="str">
        <f>IFERROR(__xludf.DUMMYFUNCTION("""COMPUTED_VALUE"""),"{""drop"":{""typ"":""single_random"",""num"":1,""args"":[{""typ"":""item"",""id"":11111105,""num"":6,""wgt"":10},{""typ"":""item"",""id"":11111105,""num"":8,""wgt"":20},{""typ"":""item"",""id"":11111105,""num"":10,""wgt"":50},{""typ"":""item"",""id"":1111"&amp;"1105,""num"":12,""wgt"":30},{""typ"":""item"",""id"":11116304,""num"":5,""wgt"":3}]}}")</f>
        <v>{"drop":{"typ":"single_random","num":1,"args":[{"typ":"item","id":11111105,"num":6,"wgt":10},{"typ":"item","id":11111105,"num":8,"wgt":20},{"typ":"item","id":11111105,"num":10,"wgt":50},{"typ":"item","id":11111105,"num":12,"wgt":30},{"typ":"item","id":11116304,"num":5,"wgt":3}]}}</v>
      </c>
      <c r="T2321" s="148">
        <f>IFERROR(__xludf.DUMMYFUNCTION("""COMPUTED_VALUE"""),-1.0)</f>
        <v>-1</v>
      </c>
      <c r="U2321" s="148">
        <f>IFERROR(__xludf.DUMMYFUNCTION("""COMPUTED_VALUE"""),0.0)</f>
        <v>0</v>
      </c>
      <c r="V2321" s="148" t="str">
        <f>IFERROR(__xludf.DUMMYFUNCTION("""COMPUTED_VALUE"""),"[]")</f>
        <v>[]</v>
      </c>
      <c r="W2321" s="148">
        <f>IFERROR(__xludf.DUMMYFUNCTION("""COMPUTED_VALUE"""),1.174E7)</f>
        <v>11740000</v>
      </c>
      <c r="X2321" s="148">
        <f>IFERROR(__xludf.DUMMYFUNCTION("""COMPUTED_VALUE"""),0.0)</f>
        <v>0</v>
      </c>
      <c r="Y2321" s="148">
        <f>IFERROR(__xludf.DUMMYFUNCTION("""COMPUTED_VALUE"""),0.0)</f>
        <v>0</v>
      </c>
      <c r="Z2321" s="148"/>
    </row>
    <row r="2322">
      <c r="A2322" s="148">
        <f>IFERROR(__xludf.DUMMYFUNCTION("""COMPUTED_VALUE"""),1.1119234E7)</f>
        <v>11119234</v>
      </c>
      <c r="B2322" s="148" t="str">
        <f>IFERROR(__xludf.DUMMYFUNCTION("""COMPUTED_VALUE"""),"SLG连锁礼包-阶段奖励4")</f>
        <v>SLG连锁礼包-阶段奖励4</v>
      </c>
      <c r="C2322" s="148"/>
      <c r="D2322" s="148" t="str">
        <f>IFERROR(__xludf.DUMMYFUNCTION("""COMPUTED_VALUE"""),"item_asset")</f>
        <v>item_asset</v>
      </c>
      <c r="E2322" s="148">
        <f>IFERROR(__xludf.DUMMYFUNCTION("""COMPUTED_VALUE"""),19.0)</f>
        <v>19</v>
      </c>
      <c r="F2322" s="148">
        <f>IFERROR(__xludf.DUMMYFUNCTION("""COMPUTED_VALUE"""),403308.0)</f>
        <v>403308</v>
      </c>
      <c r="G2322" s="148">
        <f>IFERROR(__xludf.DUMMYFUNCTION("""COMPUTED_VALUE"""),1.5113198E7)</f>
        <v>15113198</v>
      </c>
      <c r="H2322" s="148">
        <f>IFERROR(__xludf.DUMMYFUNCTION("""COMPUTED_VALUE"""),1.5112564E7)</f>
        <v>15112564</v>
      </c>
      <c r="I2322" s="148" t="str">
        <f>IFERROR(__xludf.DUMMYFUNCTION("""COMPUTED_VALUE"""),"{}")</f>
        <v>{}</v>
      </c>
      <c r="J2322" s="148" t="str">
        <f>IFERROR(__xludf.DUMMYFUNCTION("""COMPUTED_VALUE"""),"{""typ"":""lc"",""txt"":""LC_EVENT_chain_pkg_milestone_box_name""}")</f>
        <v>{"typ":"lc","txt":"LC_EVENT_chain_pkg_milestone_box_name"}</v>
      </c>
      <c r="K2322" s="148" t="str">
        <f>IFERROR(__xludf.DUMMYFUNCTION("""COMPUTED_VALUE"""),"{""typ"":""lc"",""txt"":""LC_ITEM_chain_pkg_milestone_box_desc1""}")</f>
        <v>{"typ":"lc","txt":"LC_ITEM_chain_pkg_milestone_box_desc1"}</v>
      </c>
      <c r="L2322" s="148" t="str">
        <f>IFERROR(__xludf.DUMMYFUNCTION("""COMPUTED_VALUE"""),"{}")</f>
        <v>{}</v>
      </c>
      <c r="M2322" s="148">
        <f>IFERROR(__xludf.DUMMYFUNCTION("""COMPUTED_VALUE"""),2400.0)</f>
        <v>2400</v>
      </c>
      <c r="N2322" s="148">
        <f>IFERROR(__xludf.DUMMYFUNCTION("""COMPUTED_VALUE"""),999999.0)</f>
        <v>999999</v>
      </c>
      <c r="O2322" s="148">
        <f>IFERROR(__xludf.DUMMYFUNCTION("""COMPUTED_VALUE"""),99999.0)</f>
        <v>99999</v>
      </c>
      <c r="P2322" s="148">
        <f>IFERROR(__xludf.DUMMYFUNCTION("""COMPUTED_VALUE"""),9999.0)</f>
        <v>9999</v>
      </c>
      <c r="Q2322" s="148" t="str">
        <f>IFERROR(__xludf.DUMMYFUNCTION("""COMPUTED_VALUE"""),"[""bag_other""]")</f>
        <v>["bag_other"]</v>
      </c>
      <c r="R2322" s="148" t="str">
        <f>IFERROR(__xludf.DUMMYFUNCTION("""COMPUTED_VALUE"""),"[""bag""]")</f>
        <v>["bag"]</v>
      </c>
      <c r="S2322" s="148" t="str">
        <f>IFERROR(__xludf.DUMMYFUNCTION("""COMPUTED_VALUE"""),"{""drop"":{""typ"":""single_random"",""num"":1,""args"":[{""typ"":""item"",""id"":11111105,""num"":12,""wgt"":10},{""typ"":""item"",""id"":11111105,""num"":16,""wgt"":20},{""typ"":""item"",""id"":11111105,""num"":20,""wgt"":50},{""typ"":""item"",""id"":11"&amp;"111105,""num"":24,""wgt"":30},{""typ"":""item"",""id"":11116304,""num"":10,""wgt"":3}]}}")</f>
        <v>{"drop":{"typ":"single_random","num":1,"args":[{"typ":"item","id":11111105,"num":12,"wgt":10},{"typ":"item","id":11111105,"num":16,"wgt":20},{"typ":"item","id":11111105,"num":20,"wgt":50},{"typ":"item","id":11111105,"num":24,"wgt":30},{"typ":"item","id":11116304,"num":10,"wgt":3}]}}</v>
      </c>
      <c r="T2322" s="148">
        <f>IFERROR(__xludf.DUMMYFUNCTION("""COMPUTED_VALUE"""),-1.0)</f>
        <v>-1</v>
      </c>
      <c r="U2322" s="148">
        <f>IFERROR(__xludf.DUMMYFUNCTION("""COMPUTED_VALUE"""),0.0)</f>
        <v>0</v>
      </c>
      <c r="V2322" s="148" t="str">
        <f>IFERROR(__xludf.DUMMYFUNCTION("""COMPUTED_VALUE"""),"[]")</f>
        <v>[]</v>
      </c>
      <c r="W2322" s="148">
        <f>IFERROR(__xludf.DUMMYFUNCTION("""COMPUTED_VALUE"""),1.174E7)</f>
        <v>11740000</v>
      </c>
      <c r="X2322" s="148">
        <f>IFERROR(__xludf.DUMMYFUNCTION("""COMPUTED_VALUE"""),0.0)</f>
        <v>0</v>
      </c>
      <c r="Y2322" s="148">
        <f>IFERROR(__xludf.DUMMYFUNCTION("""COMPUTED_VALUE"""),0.0)</f>
        <v>0</v>
      </c>
      <c r="Z2322" s="148"/>
    </row>
    <row r="2323">
      <c r="A2323" s="148">
        <f>IFERROR(__xludf.DUMMYFUNCTION("""COMPUTED_VALUE"""),1.1119235E7)</f>
        <v>11119235</v>
      </c>
      <c r="B2323" s="148" t="str">
        <f>IFERROR(__xludf.DUMMYFUNCTION("""COMPUTED_VALUE"""),"SLG连锁礼包-阶段奖励5")</f>
        <v>SLG连锁礼包-阶段奖励5</v>
      </c>
      <c r="C2323" s="148"/>
      <c r="D2323" s="148" t="str">
        <f>IFERROR(__xludf.DUMMYFUNCTION("""COMPUTED_VALUE"""),"item_asset")</f>
        <v>item_asset</v>
      </c>
      <c r="E2323" s="148">
        <f>IFERROR(__xludf.DUMMYFUNCTION("""COMPUTED_VALUE"""),19.0)</f>
        <v>19</v>
      </c>
      <c r="F2323" s="148">
        <f>IFERROR(__xludf.DUMMYFUNCTION("""COMPUTED_VALUE"""),403308.0)</f>
        <v>403308</v>
      </c>
      <c r="G2323" s="148">
        <f>IFERROR(__xludf.DUMMYFUNCTION("""COMPUTED_VALUE"""),1.5113199E7)</f>
        <v>15113199</v>
      </c>
      <c r="H2323" s="148">
        <f>IFERROR(__xludf.DUMMYFUNCTION("""COMPUTED_VALUE"""),1.5112564E7)</f>
        <v>15112564</v>
      </c>
      <c r="I2323" s="148" t="str">
        <f>IFERROR(__xludf.DUMMYFUNCTION("""COMPUTED_VALUE"""),"{}")</f>
        <v>{}</v>
      </c>
      <c r="J2323" s="148" t="str">
        <f>IFERROR(__xludf.DUMMYFUNCTION("""COMPUTED_VALUE"""),"{""typ"":""lc"",""txt"":""LC_EVENT_chain_pkg_milestone_box_name""}")</f>
        <v>{"typ":"lc","txt":"LC_EVENT_chain_pkg_milestone_box_name"}</v>
      </c>
      <c r="K2323" s="148" t="str">
        <f>IFERROR(__xludf.DUMMYFUNCTION("""COMPUTED_VALUE"""),"{""typ"":""lc"",""txt"":""LC_ITEM_chain_pkg_milestone_box_desc1""}")</f>
        <v>{"typ":"lc","txt":"LC_ITEM_chain_pkg_milestone_box_desc1"}</v>
      </c>
      <c r="L2323" s="148" t="str">
        <f>IFERROR(__xludf.DUMMYFUNCTION("""COMPUTED_VALUE"""),"{}")</f>
        <v>{}</v>
      </c>
      <c r="M2323" s="148">
        <f>IFERROR(__xludf.DUMMYFUNCTION("""COMPUTED_VALUE"""),4800.0)</f>
        <v>4800</v>
      </c>
      <c r="N2323" s="148">
        <f>IFERROR(__xludf.DUMMYFUNCTION("""COMPUTED_VALUE"""),999999.0)</f>
        <v>999999</v>
      </c>
      <c r="O2323" s="148">
        <f>IFERROR(__xludf.DUMMYFUNCTION("""COMPUTED_VALUE"""),99999.0)</f>
        <v>99999</v>
      </c>
      <c r="P2323" s="148">
        <f>IFERROR(__xludf.DUMMYFUNCTION("""COMPUTED_VALUE"""),9999.0)</f>
        <v>9999</v>
      </c>
      <c r="Q2323" s="148" t="str">
        <f>IFERROR(__xludf.DUMMYFUNCTION("""COMPUTED_VALUE"""),"[""bag_other""]")</f>
        <v>["bag_other"]</v>
      </c>
      <c r="R2323" s="148" t="str">
        <f>IFERROR(__xludf.DUMMYFUNCTION("""COMPUTED_VALUE"""),"[""bag""]")</f>
        <v>["bag"]</v>
      </c>
      <c r="S2323" s="148" t="str">
        <f>IFERROR(__xludf.DUMMYFUNCTION("""COMPUTED_VALUE"""),"{""drop"":{""typ"":""single_random"",""num"":1,""args"":[{""typ"":""item"",""id"":11111105,""num"":24,""wgt"":10},{""typ"":""item"",""id"":11111105,""num"":32,""wgt"":20},{""typ"":""item"",""id"":11111105,""num"":40,""wgt"":50},{""typ"":""item"",""id"":11"&amp;"111105,""num"":48,""wgt"":30},{""typ"":""item"",""id"":11116304,""num"":20,""wgt"":3}]}}")</f>
        <v>{"drop":{"typ":"single_random","num":1,"args":[{"typ":"item","id":11111105,"num":24,"wgt":10},{"typ":"item","id":11111105,"num":32,"wgt":20},{"typ":"item","id":11111105,"num":40,"wgt":50},{"typ":"item","id":11111105,"num":48,"wgt":30},{"typ":"item","id":11116304,"num":20,"wgt":3}]}}</v>
      </c>
      <c r="T2323" s="148">
        <f>IFERROR(__xludf.DUMMYFUNCTION("""COMPUTED_VALUE"""),-1.0)</f>
        <v>-1</v>
      </c>
      <c r="U2323" s="148">
        <f>IFERROR(__xludf.DUMMYFUNCTION("""COMPUTED_VALUE"""),0.0)</f>
        <v>0</v>
      </c>
      <c r="V2323" s="148" t="str">
        <f>IFERROR(__xludf.DUMMYFUNCTION("""COMPUTED_VALUE"""),"[]")</f>
        <v>[]</v>
      </c>
      <c r="W2323" s="148">
        <f>IFERROR(__xludf.DUMMYFUNCTION("""COMPUTED_VALUE"""),1.174E7)</f>
        <v>11740000</v>
      </c>
      <c r="X2323" s="148">
        <f>IFERROR(__xludf.DUMMYFUNCTION("""COMPUTED_VALUE"""),0.0)</f>
        <v>0</v>
      </c>
      <c r="Y2323" s="148">
        <f>IFERROR(__xludf.DUMMYFUNCTION("""COMPUTED_VALUE"""),0.0)</f>
        <v>0</v>
      </c>
      <c r="Z2323" s="148"/>
    </row>
    <row r="2324">
      <c r="A2324" s="148">
        <f>IFERROR(__xludf.DUMMYFUNCTION("""COMPUTED_VALUE"""),1.1119236E7)</f>
        <v>11119236</v>
      </c>
      <c r="B2324" s="148" t="str">
        <f>IFERROR(__xludf.DUMMYFUNCTION("""COMPUTED_VALUE"""),"登月节强消耗扭蛋币")</f>
        <v>登月节强消耗扭蛋币</v>
      </c>
      <c r="C2324" s="148"/>
      <c r="D2324" s="148" t="str">
        <f>IFERROR(__xludf.DUMMYFUNCTION("""COMPUTED_VALUE"""),"event")</f>
        <v>event</v>
      </c>
      <c r="E2324" s="148">
        <f>IFERROR(__xludf.DUMMYFUNCTION("""COMPUTED_VALUE"""),0.0)</f>
        <v>0</v>
      </c>
      <c r="F2324" s="148">
        <f>IFERROR(__xludf.DUMMYFUNCTION("""COMPUTED_VALUE"""),0.0)</f>
        <v>0</v>
      </c>
      <c r="G2324" s="148">
        <f>IFERROR(__xludf.DUMMYFUNCTION("""COMPUTED_VALUE"""),1.5119837E7)</f>
        <v>15119837</v>
      </c>
      <c r="H2324" s="148">
        <f>IFERROR(__xludf.DUMMYFUNCTION("""COMPUTED_VALUE"""),1.5112564E7)</f>
        <v>15112564</v>
      </c>
      <c r="I2324" s="148" t="str">
        <f>IFERROR(__xludf.DUMMYFUNCTION("""COMPUTED_VALUE"""),"{}")</f>
        <v>{}</v>
      </c>
      <c r="J2324" s="148" t="str">
        <f>IFERROR(__xludf.DUMMYFUNCTION("""COMPUTED_VALUE"""),"{""typ"":""lc"",""txt"":""LC_ITEM_new_strong_consume_gacha_token1_name_moon_2024""}")</f>
        <v>{"typ":"lc","txt":"LC_ITEM_new_strong_consume_gacha_token1_name_moon_2024"}</v>
      </c>
      <c r="K2324" s="148" t="str">
        <f>IFERROR(__xludf.DUMMYFUNCTION("""COMPUTED_VALUE"""),"{""typ"":""lc"",""txt"":""LC_ITEM_new_strong_consume_gacha_token1_desc_moon_2024""}")</f>
        <v>{"typ":"lc","txt":"LC_ITEM_new_strong_consume_gacha_token1_desc_moon_2024"}</v>
      </c>
      <c r="L2324" s="148" t="str">
        <f>IFERROR(__xludf.DUMMYFUNCTION("""COMPUTED_VALUE"""),"{}")</f>
        <v>{}</v>
      </c>
      <c r="M2324" s="148">
        <f>IFERROR(__xludf.DUMMYFUNCTION("""COMPUTED_VALUE"""),250.0)</f>
        <v>250</v>
      </c>
      <c r="N2324" s="148">
        <f>IFERROR(__xludf.DUMMYFUNCTION("""COMPUTED_VALUE"""),999999.0)</f>
        <v>999999</v>
      </c>
      <c r="O2324" s="148">
        <f>IFERROR(__xludf.DUMMYFUNCTION("""COMPUTED_VALUE"""),99999.0)</f>
        <v>99999</v>
      </c>
      <c r="P2324" s="148">
        <f>IFERROR(__xludf.DUMMYFUNCTION("""COMPUTED_VALUE"""),9999.0)</f>
        <v>9999</v>
      </c>
      <c r="Q2324" s="148" t="str">
        <f>IFERROR(__xludf.DUMMYFUNCTION("""COMPUTED_VALUE"""),"[""bag_other""]")</f>
        <v>["bag_other"]</v>
      </c>
      <c r="R2324" s="148" t="str">
        <f>IFERROR(__xludf.DUMMYFUNCTION("""COMPUTED_VALUE"""),"[]")</f>
        <v>[]</v>
      </c>
      <c r="S2324" s="148" t="str">
        <f>IFERROR(__xludf.DUMMYFUNCTION("""COMPUTED_VALUE"""),"{}")</f>
        <v>{}</v>
      </c>
      <c r="T2324" s="148">
        <f>IFERROR(__xludf.DUMMYFUNCTION("""COMPUTED_VALUE"""),-1.0)</f>
        <v>-1</v>
      </c>
      <c r="U2324" s="148">
        <f>IFERROR(__xludf.DUMMYFUNCTION("""COMPUTED_VALUE"""),0.0)</f>
        <v>0</v>
      </c>
      <c r="V2324" s="148" t="str">
        <f>IFERROR(__xludf.DUMMYFUNCTION("""COMPUTED_VALUE"""),"[]")</f>
        <v>[]</v>
      </c>
      <c r="W2324" s="148">
        <f>IFERROR(__xludf.DUMMYFUNCTION("""COMPUTED_VALUE"""),1.174E7)</f>
        <v>11740000</v>
      </c>
      <c r="X2324" s="148">
        <f>IFERROR(__xludf.DUMMYFUNCTION("""COMPUTED_VALUE"""),0.0)</f>
        <v>0</v>
      </c>
      <c r="Y2324" s="148">
        <f>IFERROR(__xludf.DUMMYFUNCTION("""COMPUTED_VALUE"""),0.0)</f>
        <v>0</v>
      </c>
      <c r="Z2324" s="148"/>
    </row>
    <row r="2325">
      <c r="A2325" s="148">
        <f>IFERROR(__xludf.DUMMYFUNCTION("""COMPUTED_VALUE"""),1.1119237E7)</f>
        <v>11119237</v>
      </c>
      <c r="B2325" s="148" t="str">
        <f>IFERROR(__xludf.DUMMYFUNCTION("""COMPUTED_VALUE"""),"登月节强消耗抽奖券")</f>
        <v>登月节强消耗抽奖券</v>
      </c>
      <c r="C2325" s="148"/>
      <c r="D2325" s="148" t="str">
        <f>IFERROR(__xludf.DUMMYFUNCTION("""COMPUTED_VALUE"""),"event")</f>
        <v>event</v>
      </c>
      <c r="E2325" s="148">
        <f>IFERROR(__xludf.DUMMYFUNCTION("""COMPUTED_VALUE"""),0.0)</f>
        <v>0</v>
      </c>
      <c r="F2325" s="148">
        <f>IFERROR(__xludf.DUMMYFUNCTION("""COMPUTED_VALUE"""),0.0)</f>
        <v>0</v>
      </c>
      <c r="G2325" s="148">
        <f>IFERROR(__xludf.DUMMYFUNCTION("""COMPUTED_VALUE"""),1.5119836E7)</f>
        <v>15119836</v>
      </c>
      <c r="H2325" s="148">
        <f>IFERROR(__xludf.DUMMYFUNCTION("""COMPUTED_VALUE"""),1.5112564E7)</f>
        <v>15112564</v>
      </c>
      <c r="I2325" s="148" t="str">
        <f>IFERROR(__xludf.DUMMYFUNCTION("""COMPUTED_VALUE"""),"{}")</f>
        <v>{}</v>
      </c>
      <c r="J2325" s="148" t="str">
        <f>IFERROR(__xludf.DUMMYFUNCTION("""COMPUTED_VALUE"""),"{""typ"":""lc"",""txt"":""LC_ITEM_new_strong_consume_gacha_token2_name""}")</f>
        <v>{"typ":"lc","txt":"LC_ITEM_new_strong_consume_gacha_token2_name"}</v>
      </c>
      <c r="K2325" s="148" t="str">
        <f>IFERROR(__xludf.DUMMYFUNCTION("""COMPUTED_VALUE"""),"{""typ"":""lc"",""txt"":""LC_ITEM_new_strong_consume_gacha_token2_desc_moon_2024""}")</f>
        <v>{"typ":"lc","txt":"LC_ITEM_new_strong_consume_gacha_token2_desc_moon_2024"}</v>
      </c>
      <c r="L2325" s="148" t="str">
        <f>IFERROR(__xludf.DUMMYFUNCTION("""COMPUTED_VALUE"""),"{}")</f>
        <v>{}</v>
      </c>
      <c r="M2325" s="148">
        <f>IFERROR(__xludf.DUMMYFUNCTION("""COMPUTED_VALUE"""),125.0)</f>
        <v>125</v>
      </c>
      <c r="N2325" s="148">
        <f>IFERROR(__xludf.DUMMYFUNCTION("""COMPUTED_VALUE"""),999999.0)</f>
        <v>999999</v>
      </c>
      <c r="O2325" s="148">
        <f>IFERROR(__xludf.DUMMYFUNCTION("""COMPUTED_VALUE"""),99999.0)</f>
        <v>99999</v>
      </c>
      <c r="P2325" s="148">
        <f>IFERROR(__xludf.DUMMYFUNCTION("""COMPUTED_VALUE"""),9999.0)</f>
        <v>9999</v>
      </c>
      <c r="Q2325" s="148" t="str">
        <f>IFERROR(__xludf.DUMMYFUNCTION("""COMPUTED_VALUE"""),"[""bag_other""]")</f>
        <v>["bag_other"]</v>
      </c>
      <c r="R2325" s="148" t="str">
        <f>IFERROR(__xludf.DUMMYFUNCTION("""COMPUTED_VALUE"""),"[]")</f>
        <v>[]</v>
      </c>
      <c r="S2325" s="148" t="str">
        <f>IFERROR(__xludf.DUMMYFUNCTION("""COMPUTED_VALUE"""),"{}")</f>
        <v>{}</v>
      </c>
      <c r="T2325" s="148">
        <f>IFERROR(__xludf.DUMMYFUNCTION("""COMPUTED_VALUE"""),-1.0)</f>
        <v>-1</v>
      </c>
      <c r="U2325" s="148">
        <f>IFERROR(__xludf.DUMMYFUNCTION("""COMPUTED_VALUE"""),0.0)</f>
        <v>0</v>
      </c>
      <c r="V2325" s="148" t="str">
        <f>IFERROR(__xludf.DUMMYFUNCTION("""COMPUTED_VALUE"""),"[]")</f>
        <v>[]</v>
      </c>
      <c r="W2325" s="148">
        <f>IFERROR(__xludf.DUMMYFUNCTION("""COMPUTED_VALUE"""),1.174E7)</f>
        <v>11740000</v>
      </c>
      <c r="X2325" s="148">
        <f>IFERROR(__xludf.DUMMYFUNCTION("""COMPUTED_VALUE"""),0.0)</f>
        <v>0</v>
      </c>
      <c r="Y2325" s="148">
        <f>IFERROR(__xludf.DUMMYFUNCTION("""COMPUTED_VALUE"""),0.0)</f>
        <v>0</v>
      </c>
      <c r="Z2325" s="148"/>
    </row>
    <row r="2326">
      <c r="A2326" s="148">
        <f>IFERROR(__xludf.DUMMYFUNCTION("""COMPUTED_VALUE"""),1.1119238E7)</f>
        <v>11119238</v>
      </c>
      <c r="B2326" s="148" t="str">
        <f>IFERROR(__xludf.DUMMYFUNCTION("""COMPUTED_VALUE"""),"秘境核心（战装大富翁兑换道具）")</f>
        <v>秘境核心（战装大富翁兑换道具）</v>
      </c>
      <c r="C2326" s="148"/>
      <c r="D2326" s="148" t="str">
        <f>IFERROR(__xludf.DUMMYFUNCTION("""COMPUTED_VALUE"""),"event")</f>
        <v>event</v>
      </c>
      <c r="E2326" s="148">
        <f>IFERROR(__xludf.DUMMYFUNCTION("""COMPUTED_VALUE"""),0.0)</f>
        <v>0</v>
      </c>
      <c r="F2326" s="148">
        <f>IFERROR(__xludf.DUMMYFUNCTION("""COMPUTED_VALUE"""),405221.0)</f>
        <v>405221</v>
      </c>
      <c r="G2326" s="148">
        <f>IFERROR(__xludf.DUMMYFUNCTION("""COMPUTED_VALUE"""),1.51100435E8)</f>
        <v>151100435</v>
      </c>
      <c r="H2326" s="148">
        <f>IFERROR(__xludf.DUMMYFUNCTION("""COMPUTED_VALUE"""),1.5112564E7)</f>
        <v>15112564</v>
      </c>
      <c r="I2326" s="148" t="str">
        <f>IFERROR(__xludf.DUMMYFUNCTION("""COMPUTED_VALUE"""),"{}")</f>
        <v>{}</v>
      </c>
      <c r="J2326" s="148" t="str">
        <f>IFERROR(__xludf.DUMMYFUNCTION("""COMPUTED_VALUE"""),"{""typ"":""lc"",""txt"":""LC_ITEM_equip_monopoly_gacha_exchange_name""}")</f>
        <v>{"typ":"lc","txt":"LC_ITEM_equip_monopoly_gacha_exchange_name"}</v>
      </c>
      <c r="K2326" s="148" t="str">
        <f>IFERROR(__xludf.DUMMYFUNCTION("""COMPUTED_VALUE"""),"{""typ"":""lc"",""txt"":""LC_ITEM_equip_monopoly_gacha_exchange_desc""}")</f>
        <v>{"typ":"lc","txt":"LC_ITEM_equip_monopoly_gacha_exchange_desc"}</v>
      </c>
      <c r="L2326" s="148" t="str">
        <f>IFERROR(__xludf.DUMMYFUNCTION("""COMPUTED_VALUE"""),"{}")</f>
        <v>{}</v>
      </c>
      <c r="M2326" s="148">
        <f>IFERROR(__xludf.DUMMYFUNCTION("""COMPUTED_VALUE"""),100.0)</f>
        <v>100</v>
      </c>
      <c r="N2326" s="148">
        <f>IFERROR(__xludf.DUMMYFUNCTION("""COMPUTED_VALUE"""),9.99999999E8)</f>
        <v>999999999</v>
      </c>
      <c r="O2326" s="148">
        <f>IFERROR(__xludf.DUMMYFUNCTION("""COMPUTED_VALUE"""),9.99999999E8)</f>
        <v>999999999</v>
      </c>
      <c r="P2326" s="148">
        <f>IFERROR(__xludf.DUMMYFUNCTION("""COMPUTED_VALUE"""),9.99999999E8)</f>
        <v>999999999</v>
      </c>
      <c r="Q2326" s="148" t="str">
        <f>IFERROR(__xludf.DUMMYFUNCTION("""COMPUTED_VALUE"""),"[""bag_other""]")</f>
        <v>["bag_other"]</v>
      </c>
      <c r="R2326" s="148" t="str">
        <f>IFERROR(__xludf.DUMMYFUNCTION("""COMPUTED_VALUE"""),"[]")</f>
        <v>[]</v>
      </c>
      <c r="S2326" s="148" t="str">
        <f>IFERROR(__xludf.DUMMYFUNCTION("""COMPUTED_VALUE"""),"{}")</f>
        <v>{}</v>
      </c>
      <c r="T2326" s="148">
        <f>IFERROR(__xludf.DUMMYFUNCTION("""COMPUTED_VALUE"""),-1.0)</f>
        <v>-1</v>
      </c>
      <c r="U2326" s="148">
        <f>IFERROR(__xludf.DUMMYFUNCTION("""COMPUTED_VALUE"""),0.0)</f>
        <v>0</v>
      </c>
      <c r="V2326" s="148" t="str">
        <f>IFERROR(__xludf.DUMMYFUNCTION("""COMPUTED_VALUE"""),"[]")</f>
        <v>[]</v>
      </c>
      <c r="W2326" s="148">
        <f>IFERROR(__xludf.DUMMYFUNCTION("""COMPUTED_VALUE"""),1.174E7)</f>
        <v>11740000</v>
      </c>
      <c r="X2326" s="148">
        <f>IFERROR(__xludf.DUMMYFUNCTION("""COMPUTED_VALUE"""),0.0)</f>
        <v>0</v>
      </c>
      <c r="Y2326" s="148">
        <f>IFERROR(__xludf.DUMMYFUNCTION("""COMPUTED_VALUE"""),0.0)</f>
        <v>0</v>
      </c>
      <c r="Z2326" s="148"/>
    </row>
    <row r="2327">
      <c r="A2327" s="148">
        <f>IFERROR(__xludf.DUMMYFUNCTION("""COMPUTED_VALUE"""),1.1119239E7)</f>
        <v>11119239</v>
      </c>
      <c r="B2327" s="148" t="str">
        <f>IFERROR(__xludf.DUMMYFUNCTION("""COMPUTED_VALUE"""),"SLG连锁礼包-阶段奖励0")</f>
        <v>SLG连锁礼包-阶段奖励0</v>
      </c>
      <c r="C2327" s="148"/>
      <c r="D2327" s="148" t="str">
        <f>IFERROR(__xludf.DUMMYFUNCTION("""COMPUTED_VALUE"""),"item_asset")</f>
        <v>item_asset</v>
      </c>
      <c r="E2327" s="148">
        <f>IFERROR(__xludf.DUMMYFUNCTION("""COMPUTED_VALUE"""),19.0)</f>
        <v>19</v>
      </c>
      <c r="F2327" s="148">
        <f>IFERROR(__xludf.DUMMYFUNCTION("""COMPUTED_VALUE"""),403308.0)</f>
        <v>403308</v>
      </c>
      <c r="G2327" s="148">
        <f>IFERROR(__xludf.DUMMYFUNCTION("""COMPUTED_VALUE"""),1.5113194E7)</f>
        <v>15113194</v>
      </c>
      <c r="H2327" s="148">
        <f>IFERROR(__xludf.DUMMYFUNCTION("""COMPUTED_VALUE"""),1.5112564E7)</f>
        <v>15112564</v>
      </c>
      <c r="I2327" s="148" t="str">
        <f>IFERROR(__xludf.DUMMYFUNCTION("""COMPUTED_VALUE"""),"{}")</f>
        <v>{}</v>
      </c>
      <c r="J2327" s="148" t="str">
        <f>IFERROR(__xludf.DUMMYFUNCTION("""COMPUTED_VALUE"""),"{""typ"":""lc"",""txt"":""LC_EVENT_chain_pkg_milestone_box_name""}")</f>
        <v>{"typ":"lc","txt":"LC_EVENT_chain_pkg_milestone_box_name"}</v>
      </c>
      <c r="K2327" s="148" t="str">
        <f>IFERROR(__xludf.DUMMYFUNCTION("""COMPUTED_VALUE"""),"{""typ"":""lc"",""txt"":""LC_ITEM_chain_pkg_milestone_box_desc1""}")</f>
        <v>{"typ":"lc","txt":"LC_ITEM_chain_pkg_milestone_box_desc1"}</v>
      </c>
      <c r="L2327" s="148" t="str">
        <f>IFERROR(__xludf.DUMMYFUNCTION("""COMPUTED_VALUE"""),"{}")</f>
        <v>{}</v>
      </c>
      <c r="M2327" s="148">
        <f>IFERROR(__xludf.DUMMYFUNCTION("""COMPUTED_VALUE"""),200.0)</f>
        <v>200</v>
      </c>
      <c r="N2327" s="148">
        <f>IFERROR(__xludf.DUMMYFUNCTION("""COMPUTED_VALUE"""),999999.0)</f>
        <v>999999</v>
      </c>
      <c r="O2327" s="148">
        <f>IFERROR(__xludf.DUMMYFUNCTION("""COMPUTED_VALUE"""),99999.0)</f>
        <v>99999</v>
      </c>
      <c r="P2327" s="148">
        <f>IFERROR(__xludf.DUMMYFUNCTION("""COMPUTED_VALUE"""),9999.0)</f>
        <v>9999</v>
      </c>
      <c r="Q2327" s="148" t="str">
        <f>IFERROR(__xludf.DUMMYFUNCTION("""COMPUTED_VALUE"""),"[""bag_other""]")</f>
        <v>["bag_other"]</v>
      </c>
      <c r="R2327" s="148" t="str">
        <f>IFERROR(__xludf.DUMMYFUNCTION("""COMPUTED_VALUE"""),"[""bag""]")</f>
        <v>["bag"]</v>
      </c>
      <c r="S2327" s="148" t="str">
        <f>IFERROR(__xludf.DUMMYFUNCTION("""COMPUTED_VALUE"""),"{""drop"":{""typ"":""single_random"",""num"":1,""args"":[{""typ"":""item"",""id"":11111104,""num"":2,""wgt"":10},{""typ"":""item"",""id"":11111105,""num"":1,""wgt"":40},{""typ"":""item"",""id"":11111105,""num"":2,""wgt"":40},{""typ"":""item"",""id"":11111"&amp;"105,""num"":3,""wgt"":20},{""typ"":""item"",""id"":11116304,""num"":1,""wgt"":0}]}}")</f>
        <v>{"drop":{"typ":"single_random","num":1,"args":[{"typ":"item","id":11111104,"num":2,"wgt":10},{"typ":"item","id":11111105,"num":1,"wgt":40},{"typ":"item","id":11111105,"num":2,"wgt":40},{"typ":"item","id":11111105,"num":3,"wgt":20},{"typ":"item","id":11116304,"num":1,"wgt":0}]}}</v>
      </c>
      <c r="T2327" s="148">
        <f>IFERROR(__xludf.DUMMYFUNCTION("""COMPUTED_VALUE"""),-1.0)</f>
        <v>-1</v>
      </c>
      <c r="U2327" s="148">
        <f>IFERROR(__xludf.DUMMYFUNCTION("""COMPUTED_VALUE"""),0.0)</f>
        <v>0</v>
      </c>
      <c r="V2327" s="148" t="str">
        <f>IFERROR(__xludf.DUMMYFUNCTION("""COMPUTED_VALUE"""),"[]")</f>
        <v>[]</v>
      </c>
      <c r="W2327" s="148">
        <f>IFERROR(__xludf.DUMMYFUNCTION("""COMPUTED_VALUE"""),1.174E7)</f>
        <v>11740000</v>
      </c>
      <c r="X2327" s="148">
        <f>IFERROR(__xludf.DUMMYFUNCTION("""COMPUTED_VALUE"""),0.0)</f>
        <v>0</v>
      </c>
      <c r="Y2327" s="148">
        <f>IFERROR(__xludf.DUMMYFUNCTION("""COMPUTED_VALUE"""),0.0)</f>
        <v>0</v>
      </c>
      <c r="Z2327" s="148"/>
    </row>
    <row r="2328">
      <c r="A2328" s="148">
        <f>IFERROR(__xludf.DUMMYFUNCTION("""COMPUTED_VALUE"""),1.111924E7)</f>
        <v>11119240</v>
      </c>
      <c r="B2328" s="148" t="str">
        <f>IFERROR(__xludf.DUMMYFUNCTION("""COMPUTED_VALUE"""),"万圣节强消耗扭蛋币")</f>
        <v>万圣节强消耗扭蛋币</v>
      </c>
      <c r="C2328" s="148"/>
      <c r="D2328" s="148" t="str">
        <f>IFERROR(__xludf.DUMMYFUNCTION("""COMPUTED_VALUE"""),"event")</f>
        <v>event</v>
      </c>
      <c r="E2328" s="148">
        <f>IFERROR(__xludf.DUMMYFUNCTION("""COMPUTED_VALUE"""),0.0)</f>
        <v>0</v>
      </c>
      <c r="F2328" s="148">
        <f>IFERROR(__xludf.DUMMYFUNCTION("""COMPUTED_VALUE"""),0.0)</f>
        <v>0</v>
      </c>
      <c r="G2328" s="148">
        <f>IFERROR(__xludf.DUMMYFUNCTION("""COMPUTED_VALUE"""),1.5119837E7)</f>
        <v>15119837</v>
      </c>
      <c r="H2328" s="148">
        <f>IFERROR(__xludf.DUMMYFUNCTION("""COMPUTED_VALUE"""),1.5112564E7)</f>
        <v>15112564</v>
      </c>
      <c r="I2328" s="148" t="str">
        <f>IFERROR(__xludf.DUMMYFUNCTION("""COMPUTED_VALUE"""),"{}")</f>
        <v>{}</v>
      </c>
      <c r="J2328" s="148" t="str">
        <f>IFERROR(__xludf.DUMMYFUNCTION("""COMPUTED_VALUE"""),"{""typ"":""lc"",""txt"":""LC_ITEM_new_strong_consume_gacha_token1_name_hallo_2024""}")</f>
        <v>{"typ":"lc","txt":"LC_ITEM_new_strong_consume_gacha_token1_name_hallo_2024"}</v>
      </c>
      <c r="K2328" s="148" t="str">
        <f>IFERROR(__xludf.DUMMYFUNCTION("""COMPUTED_VALUE"""),"{""typ"":""lc"",""txt"":""LC_ITEM_new_strong_consume_gacha_token1_desc_hallo_2024""}")</f>
        <v>{"typ":"lc","txt":"LC_ITEM_new_strong_consume_gacha_token1_desc_hallo_2024"}</v>
      </c>
      <c r="L2328" s="148" t="str">
        <f>IFERROR(__xludf.DUMMYFUNCTION("""COMPUTED_VALUE"""),"{}")</f>
        <v>{}</v>
      </c>
      <c r="M2328" s="148">
        <f>IFERROR(__xludf.DUMMYFUNCTION("""COMPUTED_VALUE"""),250.0)</f>
        <v>250</v>
      </c>
      <c r="N2328" s="148">
        <f>IFERROR(__xludf.DUMMYFUNCTION("""COMPUTED_VALUE"""),999999.0)</f>
        <v>999999</v>
      </c>
      <c r="O2328" s="148">
        <f>IFERROR(__xludf.DUMMYFUNCTION("""COMPUTED_VALUE"""),99999.0)</f>
        <v>99999</v>
      </c>
      <c r="P2328" s="148">
        <f>IFERROR(__xludf.DUMMYFUNCTION("""COMPUTED_VALUE"""),9999.0)</f>
        <v>9999</v>
      </c>
      <c r="Q2328" s="148" t="str">
        <f>IFERROR(__xludf.DUMMYFUNCTION("""COMPUTED_VALUE"""),"[""bag_other""]")</f>
        <v>["bag_other"]</v>
      </c>
      <c r="R2328" s="148" t="str">
        <f>IFERROR(__xludf.DUMMYFUNCTION("""COMPUTED_VALUE"""),"[]")</f>
        <v>[]</v>
      </c>
      <c r="S2328" s="148" t="str">
        <f>IFERROR(__xludf.DUMMYFUNCTION("""COMPUTED_VALUE"""),"{}")</f>
        <v>{}</v>
      </c>
      <c r="T2328" s="148">
        <f>IFERROR(__xludf.DUMMYFUNCTION("""COMPUTED_VALUE"""),-1.0)</f>
        <v>-1</v>
      </c>
      <c r="U2328" s="148">
        <f>IFERROR(__xludf.DUMMYFUNCTION("""COMPUTED_VALUE"""),0.0)</f>
        <v>0</v>
      </c>
      <c r="V2328" s="148" t="str">
        <f>IFERROR(__xludf.DUMMYFUNCTION("""COMPUTED_VALUE"""),"[]")</f>
        <v>[]</v>
      </c>
      <c r="W2328" s="148">
        <f>IFERROR(__xludf.DUMMYFUNCTION("""COMPUTED_VALUE"""),1.174E7)</f>
        <v>11740000</v>
      </c>
      <c r="X2328" s="148">
        <f>IFERROR(__xludf.DUMMYFUNCTION("""COMPUTED_VALUE"""),0.0)</f>
        <v>0</v>
      </c>
      <c r="Y2328" s="148">
        <f>IFERROR(__xludf.DUMMYFUNCTION("""COMPUTED_VALUE"""),0.0)</f>
        <v>0</v>
      </c>
      <c r="Z2328" s="148"/>
    </row>
    <row r="2329">
      <c r="A2329" s="148">
        <f>IFERROR(__xludf.DUMMYFUNCTION("""COMPUTED_VALUE"""),1.1119241E7)</f>
        <v>11119241</v>
      </c>
      <c r="B2329" s="148" t="str">
        <f>IFERROR(__xludf.DUMMYFUNCTION("""COMPUTED_VALUE"""),"万圣节强消耗抽奖券")</f>
        <v>万圣节强消耗抽奖券</v>
      </c>
      <c r="C2329" s="148"/>
      <c r="D2329" s="148" t="str">
        <f>IFERROR(__xludf.DUMMYFUNCTION("""COMPUTED_VALUE"""),"event")</f>
        <v>event</v>
      </c>
      <c r="E2329" s="148">
        <f>IFERROR(__xludf.DUMMYFUNCTION("""COMPUTED_VALUE"""),0.0)</f>
        <v>0</v>
      </c>
      <c r="F2329" s="148">
        <f>IFERROR(__xludf.DUMMYFUNCTION("""COMPUTED_VALUE"""),0.0)</f>
        <v>0</v>
      </c>
      <c r="G2329" s="148">
        <f>IFERROR(__xludf.DUMMYFUNCTION("""COMPUTED_VALUE"""),1.5119836E7)</f>
        <v>15119836</v>
      </c>
      <c r="H2329" s="148">
        <f>IFERROR(__xludf.DUMMYFUNCTION("""COMPUTED_VALUE"""),1.5112564E7)</f>
        <v>15112564</v>
      </c>
      <c r="I2329" s="148" t="str">
        <f>IFERROR(__xludf.DUMMYFUNCTION("""COMPUTED_VALUE"""),"{}")</f>
        <v>{}</v>
      </c>
      <c r="J2329" s="148" t="str">
        <f>IFERROR(__xludf.DUMMYFUNCTION("""COMPUTED_VALUE"""),"{""typ"":""lc"",""txt"":""LC_ITEM_new_strong_consume_gacha_token2_name""}")</f>
        <v>{"typ":"lc","txt":"LC_ITEM_new_strong_consume_gacha_token2_name"}</v>
      </c>
      <c r="K2329" s="148" t="str">
        <f>IFERROR(__xludf.DUMMYFUNCTION("""COMPUTED_VALUE"""),"{""typ"":""lc"",""txt"":""LC_ITEM_new_strong_consume_gacha_token2_desc""}")</f>
        <v>{"typ":"lc","txt":"LC_ITEM_new_strong_consume_gacha_token2_desc"}</v>
      </c>
      <c r="L2329" s="148" t="str">
        <f>IFERROR(__xludf.DUMMYFUNCTION("""COMPUTED_VALUE"""),"{}")</f>
        <v>{}</v>
      </c>
      <c r="M2329" s="148">
        <f>IFERROR(__xludf.DUMMYFUNCTION("""COMPUTED_VALUE"""),125.0)</f>
        <v>125</v>
      </c>
      <c r="N2329" s="148">
        <f>IFERROR(__xludf.DUMMYFUNCTION("""COMPUTED_VALUE"""),999999.0)</f>
        <v>999999</v>
      </c>
      <c r="O2329" s="148">
        <f>IFERROR(__xludf.DUMMYFUNCTION("""COMPUTED_VALUE"""),99999.0)</f>
        <v>99999</v>
      </c>
      <c r="P2329" s="148">
        <f>IFERROR(__xludf.DUMMYFUNCTION("""COMPUTED_VALUE"""),9999.0)</f>
        <v>9999</v>
      </c>
      <c r="Q2329" s="148" t="str">
        <f>IFERROR(__xludf.DUMMYFUNCTION("""COMPUTED_VALUE"""),"[""bag_other""]")</f>
        <v>["bag_other"]</v>
      </c>
      <c r="R2329" s="148" t="str">
        <f>IFERROR(__xludf.DUMMYFUNCTION("""COMPUTED_VALUE"""),"[]")</f>
        <v>[]</v>
      </c>
      <c r="S2329" s="148" t="str">
        <f>IFERROR(__xludf.DUMMYFUNCTION("""COMPUTED_VALUE"""),"{}")</f>
        <v>{}</v>
      </c>
      <c r="T2329" s="148">
        <f>IFERROR(__xludf.DUMMYFUNCTION("""COMPUTED_VALUE"""),-1.0)</f>
        <v>-1</v>
      </c>
      <c r="U2329" s="148">
        <f>IFERROR(__xludf.DUMMYFUNCTION("""COMPUTED_VALUE"""),0.0)</f>
        <v>0</v>
      </c>
      <c r="V2329" s="148" t="str">
        <f>IFERROR(__xludf.DUMMYFUNCTION("""COMPUTED_VALUE"""),"[]")</f>
        <v>[]</v>
      </c>
      <c r="W2329" s="148">
        <f>IFERROR(__xludf.DUMMYFUNCTION("""COMPUTED_VALUE"""),1.174E7)</f>
        <v>11740000</v>
      </c>
      <c r="X2329" s="148">
        <f>IFERROR(__xludf.DUMMYFUNCTION("""COMPUTED_VALUE"""),0.0)</f>
        <v>0</v>
      </c>
      <c r="Y2329" s="148">
        <f>IFERROR(__xludf.DUMMYFUNCTION("""COMPUTED_VALUE"""),0.0)</f>
        <v>0</v>
      </c>
      <c r="Z2329" s="148"/>
    </row>
    <row r="2330">
      <c r="A2330" s="148">
        <f>IFERROR(__xludf.DUMMYFUNCTION("""COMPUTED_VALUE"""),1.1119242E7)</f>
        <v>11119242</v>
      </c>
      <c r="B2330" s="148" t="str">
        <f>IFERROR(__xludf.DUMMYFUNCTION("""COMPUTED_VALUE"""),"登月转盘-抽奖道具")</f>
        <v>登月转盘-抽奖道具</v>
      </c>
      <c r="C2330" s="148"/>
      <c r="D2330" s="148" t="str">
        <f>IFERROR(__xludf.DUMMYFUNCTION("""COMPUTED_VALUE"""),"event")</f>
        <v>event</v>
      </c>
      <c r="E2330" s="148">
        <f>IFERROR(__xludf.DUMMYFUNCTION("""COMPUTED_VALUE"""),0.0)</f>
        <v>0</v>
      </c>
      <c r="F2330" s="148">
        <f>IFERROR(__xludf.DUMMYFUNCTION("""COMPUTED_VALUE"""),0.0)</f>
        <v>0</v>
      </c>
      <c r="G2330" s="148">
        <f>IFERROR(__xludf.DUMMYFUNCTION("""COMPUTED_VALUE"""),1.51100677E8)</f>
        <v>151100677</v>
      </c>
      <c r="H2330" s="148">
        <f>IFERROR(__xludf.DUMMYFUNCTION("""COMPUTED_VALUE"""),1.5112564E7)</f>
        <v>15112564</v>
      </c>
      <c r="I2330" s="148" t="str">
        <f>IFERROR(__xludf.DUMMYFUNCTION("""COMPUTED_VALUE"""),"{}")</f>
        <v>{}</v>
      </c>
      <c r="J2330" s="148" t="str">
        <f>IFERROR(__xludf.DUMMYFUNCTION("""COMPUTED_VALUE"""),"{""typ"":""lc"",""txt"":""LC_ITEM_gacha_skin_newbee_token_name""}")</f>
        <v>{"typ":"lc","txt":"LC_ITEM_gacha_skin_newbee_token_name"}</v>
      </c>
      <c r="K2330" s="148" t="str">
        <f>IFERROR(__xludf.DUMMYFUNCTION("""COMPUTED_VALUE"""),"{""typ"":""lc"",""txt"":""LC_ITEM_gacha_skin_newbee_token_desc""}")</f>
        <v>{"typ":"lc","txt":"LC_ITEM_gacha_skin_newbee_token_desc"}</v>
      </c>
      <c r="L2330" s="148" t="str">
        <f>IFERROR(__xludf.DUMMYFUNCTION("""COMPUTED_VALUE"""),"{}")</f>
        <v>{}</v>
      </c>
      <c r="M2330" s="148">
        <f>IFERROR(__xludf.DUMMYFUNCTION("""COMPUTED_VALUE"""),125.0)</f>
        <v>125</v>
      </c>
      <c r="N2330" s="148">
        <f>IFERROR(__xludf.DUMMYFUNCTION("""COMPUTED_VALUE"""),999999.0)</f>
        <v>999999</v>
      </c>
      <c r="O2330" s="148">
        <f>IFERROR(__xludf.DUMMYFUNCTION("""COMPUTED_VALUE"""),99999.0)</f>
        <v>99999</v>
      </c>
      <c r="P2330" s="148">
        <f>IFERROR(__xludf.DUMMYFUNCTION("""COMPUTED_VALUE"""),9999.0)</f>
        <v>9999</v>
      </c>
      <c r="Q2330" s="148" t="str">
        <f>IFERROR(__xludf.DUMMYFUNCTION("""COMPUTED_VALUE"""),"[""bag_other""]")</f>
        <v>["bag_other"]</v>
      </c>
      <c r="R2330" s="148" t="str">
        <f>IFERROR(__xludf.DUMMYFUNCTION("""COMPUTED_VALUE"""),"[]")</f>
        <v>[]</v>
      </c>
      <c r="S2330" s="148" t="str">
        <f>IFERROR(__xludf.DUMMYFUNCTION("""COMPUTED_VALUE"""),"{}")</f>
        <v>{}</v>
      </c>
      <c r="T2330" s="148">
        <f>IFERROR(__xludf.DUMMYFUNCTION("""COMPUTED_VALUE"""),-1.0)</f>
        <v>-1</v>
      </c>
      <c r="U2330" s="148">
        <f>IFERROR(__xludf.DUMMYFUNCTION("""COMPUTED_VALUE"""),0.0)</f>
        <v>0</v>
      </c>
      <c r="V2330" s="148" t="str">
        <f>IFERROR(__xludf.DUMMYFUNCTION("""COMPUTED_VALUE"""),"[]")</f>
        <v>[]</v>
      </c>
      <c r="W2330" s="148">
        <f>IFERROR(__xludf.DUMMYFUNCTION("""COMPUTED_VALUE"""),1.174E7)</f>
        <v>11740000</v>
      </c>
      <c r="X2330" s="148">
        <f>IFERROR(__xludf.DUMMYFUNCTION("""COMPUTED_VALUE"""),0.0)</f>
        <v>0</v>
      </c>
      <c r="Y2330" s="148">
        <f>IFERROR(__xludf.DUMMYFUNCTION("""COMPUTED_VALUE"""),0.0)</f>
        <v>0</v>
      </c>
      <c r="Z2330" s="148"/>
    </row>
    <row r="2331">
      <c r="A2331" s="148">
        <f>IFERROR(__xludf.DUMMYFUNCTION("""COMPUTED_VALUE"""),1.1119243E7)</f>
        <v>11119243</v>
      </c>
      <c r="B2331" s="148" t="str">
        <f>IFERROR(__xludf.DUMMYFUNCTION("""COMPUTED_VALUE"""),"万圣节2024连锁任务宝箱-1")</f>
        <v>万圣节2024连锁任务宝箱-1</v>
      </c>
      <c r="C2331" s="148"/>
      <c r="D2331" s="148" t="str">
        <f>IFERROR(__xludf.DUMMYFUNCTION("""COMPUTED_VALUE"""),"item_asset")</f>
        <v>item_asset</v>
      </c>
      <c r="E2331" s="148">
        <f>IFERROR(__xludf.DUMMYFUNCTION("""COMPUTED_VALUE"""),19.0)</f>
        <v>19</v>
      </c>
      <c r="F2331" s="148">
        <f>IFERROR(__xludf.DUMMYFUNCTION("""COMPUTED_VALUE"""),403308.0)</f>
        <v>403308</v>
      </c>
      <c r="G2331" s="148">
        <f>IFERROR(__xludf.DUMMYFUNCTION("""COMPUTED_VALUE"""),1.51100669E8)</f>
        <v>151100669</v>
      </c>
      <c r="H2331" s="148">
        <f>IFERROR(__xludf.DUMMYFUNCTION("""COMPUTED_VALUE"""),1.5112564E7)</f>
        <v>15112564</v>
      </c>
      <c r="I2331" s="148" t="str">
        <f>IFERROR(__xludf.DUMMYFUNCTION("""COMPUTED_VALUE"""),"{}")</f>
        <v>{}</v>
      </c>
      <c r="J2331" s="148" t="str">
        <f>IFERROR(__xludf.DUMMYFUNCTION("""COMPUTED_VALUE"""),"{""typ"":""lc"",""txt"":""LC_ITEM_hallo_chain_task_2024_box_name""}")</f>
        <v>{"typ":"lc","txt":"LC_ITEM_hallo_chain_task_2024_box_name"}</v>
      </c>
      <c r="K2331" s="148" t="str">
        <f>IFERROR(__xludf.DUMMYFUNCTION("""COMPUTED_VALUE"""),"{""typ"":""lc"",""txt"":""LC_ITEM_hallo_chain_task_2024_box_desc""}")</f>
        <v>{"typ":"lc","txt":"LC_ITEM_hallo_chain_task_2024_box_desc"}</v>
      </c>
      <c r="L2331" s="148" t="str">
        <f>IFERROR(__xludf.DUMMYFUNCTION("""COMPUTED_VALUE"""),"{}")</f>
        <v>{}</v>
      </c>
      <c r="M2331" s="148">
        <f>IFERROR(__xludf.DUMMYFUNCTION("""COMPUTED_VALUE"""),135.0)</f>
        <v>135</v>
      </c>
      <c r="N2331" s="148">
        <f>IFERROR(__xludf.DUMMYFUNCTION("""COMPUTED_VALUE"""),999999.0)</f>
        <v>999999</v>
      </c>
      <c r="O2331" s="148">
        <f>IFERROR(__xludf.DUMMYFUNCTION("""COMPUTED_VALUE"""),99999.0)</f>
        <v>99999</v>
      </c>
      <c r="P2331" s="148">
        <f>IFERROR(__xludf.DUMMYFUNCTION("""COMPUTED_VALUE"""),9999.0)</f>
        <v>9999</v>
      </c>
      <c r="Q2331" s="148" t="str">
        <f>IFERROR(__xludf.DUMMYFUNCTION("""COMPUTED_VALUE"""),"[""bag_other""]")</f>
        <v>["bag_other"]</v>
      </c>
      <c r="R2331" s="148" t="str">
        <f>IFERROR(__xludf.DUMMYFUNCTION("""COMPUTED_VALUE"""),"[""bag""]")</f>
        <v>["bag"]</v>
      </c>
      <c r="S2331" s="148" t="str">
        <f>IFERROR(__xludf.DUMMYFUNCTION("""COMPUTED_VALUE"""),"{""drop"":{""typ"":""single_random"",""num"":1,""args"":[{""typ"":""item"",""id"":11112319,""num"":2,""wgt"":20},{""typ"":""item"",""id"":11112306,""num"":2,""wgt"":20},{""typ"":""item"",""id"":11119241,""num"":2,""wgt"":20},{""typ"":""item"",""id"":11116"&amp;"304,""num"":1,""wgt"":5},{""typ"":""item"",""id"":11116110,""num"":1,""wgt"":20},{""typ"":""item"",""id"":11114330,""num"":1,""wgt"":100},{""typ"":""item"",""id"":11111155,""num"":2,""wgt"":100},{""typ"":""item"",""id"":11111105,""num"":1,""wgt"":50}]}}")</f>
        <v>{"drop":{"typ":"single_random","num":1,"args":[{"typ":"item","id":11112319,"num":2,"wgt":20},{"typ":"item","id":11112306,"num":2,"wgt":20},{"typ":"item","id":11119241,"num":2,"wgt":20},{"typ":"item","id":11116304,"num":1,"wgt":5},{"typ":"item","id":11116110,"num":1,"wgt":20},{"typ":"item","id":11114330,"num":1,"wgt":100},{"typ":"item","id":11111155,"num":2,"wgt":100},{"typ":"item","id":11111105,"num":1,"wgt":50}]}}</v>
      </c>
      <c r="T2331" s="148">
        <f>IFERROR(__xludf.DUMMYFUNCTION("""COMPUTED_VALUE"""),-1.0)</f>
        <v>-1</v>
      </c>
      <c r="U2331" s="148">
        <f>IFERROR(__xludf.DUMMYFUNCTION("""COMPUTED_VALUE"""),0.0)</f>
        <v>0</v>
      </c>
      <c r="V2331" s="148" t="str">
        <f>IFERROR(__xludf.DUMMYFUNCTION("""COMPUTED_VALUE"""),"[]")</f>
        <v>[]</v>
      </c>
      <c r="W2331" s="148">
        <f>IFERROR(__xludf.DUMMYFUNCTION("""COMPUTED_VALUE"""),1.174E7)</f>
        <v>11740000</v>
      </c>
      <c r="X2331" s="148">
        <f>IFERROR(__xludf.DUMMYFUNCTION("""COMPUTED_VALUE"""),0.0)</f>
        <v>0</v>
      </c>
      <c r="Y2331" s="148">
        <f>IFERROR(__xludf.DUMMYFUNCTION("""COMPUTED_VALUE"""),0.0)</f>
        <v>0</v>
      </c>
      <c r="Z2331" s="148"/>
    </row>
    <row r="2332">
      <c r="A2332" s="148">
        <f>IFERROR(__xludf.DUMMYFUNCTION("""COMPUTED_VALUE"""),1.1119244E7)</f>
        <v>11119244</v>
      </c>
      <c r="B2332" s="148" t="str">
        <f>IFERROR(__xludf.DUMMYFUNCTION("""COMPUTED_VALUE"""),"万圣节2024连锁任务-增加次数道具")</f>
        <v>万圣节2024连锁任务-增加次数道具</v>
      </c>
      <c r="C2332" s="148"/>
      <c r="D2332" s="148" t="str">
        <f>IFERROR(__xludf.DUMMYFUNCTION("""COMPUTED_VALUE"""),"event_progress")</f>
        <v>event_progress</v>
      </c>
      <c r="E2332" s="148">
        <f>IFERROR(__xludf.DUMMYFUNCTION("""COMPUTED_VALUE"""),0.0)</f>
        <v>0</v>
      </c>
      <c r="F2332" s="148">
        <f>IFERROR(__xludf.DUMMYFUNCTION("""COMPUTED_VALUE"""),0.0)</f>
        <v>0</v>
      </c>
      <c r="G2332" s="148">
        <f>IFERROR(__xludf.DUMMYFUNCTION("""COMPUTED_VALUE"""),1.51100674E8)</f>
        <v>151100674</v>
      </c>
      <c r="H2332" s="148">
        <f>IFERROR(__xludf.DUMMYFUNCTION("""COMPUTED_VALUE"""),1.5112563E7)</f>
        <v>15112563</v>
      </c>
      <c r="I2332" s="148" t="str">
        <f>IFERROR(__xludf.DUMMYFUNCTION("""COMPUTED_VALUE"""),"{}")</f>
        <v>{}</v>
      </c>
      <c r="J2332" s="148" t="str">
        <f>IFERROR(__xludf.DUMMYFUNCTION("""COMPUTED_VALUE"""),"{""typ"":""lc"",""txt"":""LC_ITEM_hallo_chain_task_2024_progress_item_name""}")</f>
        <v>{"typ":"lc","txt":"LC_ITEM_hallo_chain_task_2024_progress_item_name"}</v>
      </c>
      <c r="K2332" s="148" t="str">
        <f>IFERROR(__xludf.DUMMYFUNCTION("""COMPUTED_VALUE"""),"{""typ"":""lc"",""txt"":""LC_ITEM_hallo_chain_task_2024_progress_item_name""}")</f>
        <v>{"typ":"lc","txt":"LC_ITEM_hallo_chain_task_2024_progress_item_name"}</v>
      </c>
      <c r="L2332" s="148" t="str">
        <f>IFERROR(__xludf.DUMMYFUNCTION("""COMPUTED_VALUE"""),"{}")</f>
        <v>{}</v>
      </c>
      <c r="M2332" s="148">
        <f>IFERROR(__xludf.DUMMYFUNCTION("""COMPUTED_VALUE"""),1.0)</f>
        <v>1</v>
      </c>
      <c r="N2332" s="148">
        <f>IFERROR(__xludf.DUMMYFUNCTION("""COMPUTED_VALUE"""),999999.0)</f>
        <v>999999</v>
      </c>
      <c r="O2332" s="148">
        <f>IFERROR(__xludf.DUMMYFUNCTION("""COMPUTED_VALUE"""),99999.0)</f>
        <v>99999</v>
      </c>
      <c r="P2332" s="148">
        <f>IFERROR(__xludf.DUMMYFUNCTION("""COMPUTED_VALUE"""),9999.0)</f>
        <v>9999</v>
      </c>
      <c r="Q2332" s="148" t="str">
        <f>IFERROR(__xludf.DUMMYFUNCTION("""COMPUTED_VALUE"""),"[]")</f>
        <v>[]</v>
      </c>
      <c r="R2332" s="148" t="str">
        <f>IFERROR(__xludf.DUMMYFUNCTION("""COMPUTED_VALUE"""),"[]")</f>
        <v>[]</v>
      </c>
      <c r="S2332" s="148" t="str">
        <f>IFERROR(__xludf.DUMMYFUNCTION("""COMPUTED_VALUE"""),"{""effect"":[{""typ"":""event"",""id"":21127220},{""typ"":""miss_lost_reward""}]}")</f>
        <v>{"effect":[{"typ":"event","id":21127220},{"typ":"miss_lost_reward"}]}</v>
      </c>
      <c r="T2332" s="148">
        <f>IFERROR(__xludf.DUMMYFUNCTION("""COMPUTED_VALUE"""),-1.0)</f>
        <v>-1</v>
      </c>
      <c r="U2332" s="148">
        <f>IFERROR(__xludf.DUMMYFUNCTION("""COMPUTED_VALUE"""),1.0)</f>
        <v>1</v>
      </c>
      <c r="V2332" s="148" t="str">
        <f>IFERROR(__xludf.DUMMYFUNCTION("""COMPUTED_VALUE"""),"[]")</f>
        <v>[]</v>
      </c>
      <c r="W2332" s="148">
        <f>IFERROR(__xludf.DUMMYFUNCTION("""COMPUTED_VALUE"""),1.174E7)</f>
        <v>11740000</v>
      </c>
      <c r="X2332" s="148">
        <f>IFERROR(__xludf.DUMMYFUNCTION("""COMPUTED_VALUE"""),0.0)</f>
        <v>0</v>
      </c>
      <c r="Y2332" s="148">
        <f>IFERROR(__xludf.DUMMYFUNCTION("""COMPUTED_VALUE"""),0.0)</f>
        <v>0</v>
      </c>
      <c r="Z2332" s="148"/>
    </row>
    <row r="2333">
      <c r="A2333" s="148">
        <f>IFERROR(__xludf.DUMMYFUNCTION("""COMPUTED_VALUE"""),1.1119245E7)</f>
        <v>11119245</v>
      </c>
      <c r="B2333" s="148" t="str">
        <f>IFERROR(__xludf.DUMMYFUNCTION("""COMPUTED_VALUE"""),"感恩节强消耗扭蛋币")</f>
        <v>感恩节强消耗扭蛋币</v>
      </c>
      <c r="C2333" s="148"/>
      <c r="D2333" s="148" t="str">
        <f>IFERROR(__xludf.DUMMYFUNCTION("""COMPUTED_VALUE"""),"event")</f>
        <v>event</v>
      </c>
      <c r="E2333" s="148">
        <f>IFERROR(__xludf.DUMMYFUNCTION("""COMPUTED_VALUE"""),0.0)</f>
        <v>0</v>
      </c>
      <c r="F2333" s="148">
        <f>IFERROR(__xludf.DUMMYFUNCTION("""COMPUTED_VALUE"""),0.0)</f>
        <v>0</v>
      </c>
      <c r="G2333" s="148">
        <f>IFERROR(__xludf.DUMMYFUNCTION("""COMPUTED_VALUE"""),1.5119837E7)</f>
        <v>15119837</v>
      </c>
      <c r="H2333" s="148">
        <f>IFERROR(__xludf.DUMMYFUNCTION("""COMPUTED_VALUE"""),1.5112564E7)</f>
        <v>15112564</v>
      </c>
      <c r="I2333" s="148" t="str">
        <f>IFERROR(__xludf.DUMMYFUNCTION("""COMPUTED_VALUE"""),"{}")</f>
        <v>{}</v>
      </c>
      <c r="J2333" s="148" t="str">
        <f>IFERROR(__xludf.DUMMYFUNCTION("""COMPUTED_VALUE"""),"{""typ"":""lc"",""txt"":""LC_ITEM_new_strong_consume_gacha_token1_name_hallo_2024""}")</f>
        <v>{"typ":"lc","txt":"LC_ITEM_new_strong_consume_gacha_token1_name_hallo_2024"}</v>
      </c>
      <c r="K2333" s="148" t="str">
        <f>IFERROR(__xludf.DUMMYFUNCTION("""COMPUTED_VALUE"""),"{""typ"":""lc"",""txt"":""LC_ITEM_new_strong_consume_gacha_token1_desc_hallo_2024""}")</f>
        <v>{"typ":"lc","txt":"LC_ITEM_new_strong_consume_gacha_token1_desc_hallo_2024"}</v>
      </c>
      <c r="L2333" s="148" t="str">
        <f>IFERROR(__xludf.DUMMYFUNCTION("""COMPUTED_VALUE"""),"{}")</f>
        <v>{}</v>
      </c>
      <c r="M2333" s="148">
        <f>IFERROR(__xludf.DUMMYFUNCTION("""COMPUTED_VALUE"""),250.0)</f>
        <v>250</v>
      </c>
      <c r="N2333" s="148">
        <f>IFERROR(__xludf.DUMMYFUNCTION("""COMPUTED_VALUE"""),999999.0)</f>
        <v>999999</v>
      </c>
      <c r="O2333" s="148">
        <f>IFERROR(__xludf.DUMMYFUNCTION("""COMPUTED_VALUE"""),99999.0)</f>
        <v>99999</v>
      </c>
      <c r="P2333" s="148">
        <f>IFERROR(__xludf.DUMMYFUNCTION("""COMPUTED_VALUE"""),9999.0)</f>
        <v>9999</v>
      </c>
      <c r="Q2333" s="148" t="str">
        <f>IFERROR(__xludf.DUMMYFUNCTION("""COMPUTED_VALUE"""),"[""bag_other""]")</f>
        <v>["bag_other"]</v>
      </c>
      <c r="R2333" s="148" t="str">
        <f>IFERROR(__xludf.DUMMYFUNCTION("""COMPUTED_VALUE"""),"[]")</f>
        <v>[]</v>
      </c>
      <c r="S2333" s="148" t="str">
        <f>IFERROR(__xludf.DUMMYFUNCTION("""COMPUTED_VALUE"""),"{}")</f>
        <v>{}</v>
      </c>
      <c r="T2333" s="148">
        <f>IFERROR(__xludf.DUMMYFUNCTION("""COMPUTED_VALUE"""),-1.0)</f>
        <v>-1</v>
      </c>
      <c r="U2333" s="148">
        <f>IFERROR(__xludf.DUMMYFUNCTION("""COMPUTED_VALUE"""),0.0)</f>
        <v>0</v>
      </c>
      <c r="V2333" s="148" t="str">
        <f>IFERROR(__xludf.DUMMYFUNCTION("""COMPUTED_VALUE"""),"[]")</f>
        <v>[]</v>
      </c>
      <c r="W2333" s="148">
        <f>IFERROR(__xludf.DUMMYFUNCTION("""COMPUTED_VALUE"""),1.174E7)</f>
        <v>11740000</v>
      </c>
      <c r="X2333" s="148">
        <f>IFERROR(__xludf.DUMMYFUNCTION("""COMPUTED_VALUE"""),0.0)</f>
        <v>0</v>
      </c>
      <c r="Y2333" s="148">
        <f>IFERROR(__xludf.DUMMYFUNCTION("""COMPUTED_VALUE"""),0.0)</f>
        <v>0</v>
      </c>
      <c r="Z2333" s="148"/>
    </row>
    <row r="2334">
      <c r="A2334" s="148">
        <f>IFERROR(__xludf.DUMMYFUNCTION("""COMPUTED_VALUE"""),1.1119246E7)</f>
        <v>11119246</v>
      </c>
      <c r="B2334" s="148" t="str">
        <f>IFERROR(__xludf.DUMMYFUNCTION("""COMPUTED_VALUE"""),"感恩节强消耗抽奖券")</f>
        <v>感恩节强消耗抽奖券</v>
      </c>
      <c r="C2334" s="148"/>
      <c r="D2334" s="148" t="str">
        <f>IFERROR(__xludf.DUMMYFUNCTION("""COMPUTED_VALUE"""),"event")</f>
        <v>event</v>
      </c>
      <c r="E2334" s="148">
        <f>IFERROR(__xludf.DUMMYFUNCTION("""COMPUTED_VALUE"""),0.0)</f>
        <v>0</v>
      </c>
      <c r="F2334" s="148">
        <f>IFERROR(__xludf.DUMMYFUNCTION("""COMPUTED_VALUE"""),0.0)</f>
        <v>0</v>
      </c>
      <c r="G2334" s="148">
        <f>IFERROR(__xludf.DUMMYFUNCTION("""COMPUTED_VALUE"""),1.5119836E7)</f>
        <v>15119836</v>
      </c>
      <c r="H2334" s="148">
        <f>IFERROR(__xludf.DUMMYFUNCTION("""COMPUTED_VALUE"""),1.5112564E7)</f>
        <v>15112564</v>
      </c>
      <c r="I2334" s="148" t="str">
        <f>IFERROR(__xludf.DUMMYFUNCTION("""COMPUTED_VALUE"""),"{}")</f>
        <v>{}</v>
      </c>
      <c r="J2334" s="148" t="str">
        <f>IFERROR(__xludf.DUMMYFUNCTION("""COMPUTED_VALUE"""),"{""typ"":""lc"",""txt"":""LC_ITEM_new_strong_consume_gacha_token2_name""}")</f>
        <v>{"typ":"lc","txt":"LC_ITEM_new_strong_consume_gacha_token2_name"}</v>
      </c>
      <c r="K2334" s="148" t="str">
        <f>IFERROR(__xludf.DUMMYFUNCTION("""COMPUTED_VALUE"""),"{""typ"":""lc"",""txt"":""LC_ITEM_new_strong_consume_gacha_token2_desc""}")</f>
        <v>{"typ":"lc","txt":"LC_ITEM_new_strong_consume_gacha_token2_desc"}</v>
      </c>
      <c r="L2334" s="148" t="str">
        <f>IFERROR(__xludf.DUMMYFUNCTION("""COMPUTED_VALUE"""),"{}")</f>
        <v>{}</v>
      </c>
      <c r="M2334" s="148">
        <f>IFERROR(__xludf.DUMMYFUNCTION("""COMPUTED_VALUE"""),125.0)</f>
        <v>125</v>
      </c>
      <c r="N2334" s="148">
        <f>IFERROR(__xludf.DUMMYFUNCTION("""COMPUTED_VALUE"""),999999.0)</f>
        <v>999999</v>
      </c>
      <c r="O2334" s="148">
        <f>IFERROR(__xludf.DUMMYFUNCTION("""COMPUTED_VALUE"""),99999.0)</f>
        <v>99999</v>
      </c>
      <c r="P2334" s="148">
        <f>IFERROR(__xludf.DUMMYFUNCTION("""COMPUTED_VALUE"""),9999.0)</f>
        <v>9999</v>
      </c>
      <c r="Q2334" s="148" t="str">
        <f>IFERROR(__xludf.DUMMYFUNCTION("""COMPUTED_VALUE"""),"[""bag_other""]")</f>
        <v>["bag_other"]</v>
      </c>
      <c r="R2334" s="148" t="str">
        <f>IFERROR(__xludf.DUMMYFUNCTION("""COMPUTED_VALUE"""),"[]")</f>
        <v>[]</v>
      </c>
      <c r="S2334" s="148" t="str">
        <f>IFERROR(__xludf.DUMMYFUNCTION("""COMPUTED_VALUE"""),"{}")</f>
        <v>{}</v>
      </c>
      <c r="T2334" s="148">
        <f>IFERROR(__xludf.DUMMYFUNCTION("""COMPUTED_VALUE"""),-1.0)</f>
        <v>-1</v>
      </c>
      <c r="U2334" s="148">
        <f>IFERROR(__xludf.DUMMYFUNCTION("""COMPUTED_VALUE"""),0.0)</f>
        <v>0</v>
      </c>
      <c r="V2334" s="148" t="str">
        <f>IFERROR(__xludf.DUMMYFUNCTION("""COMPUTED_VALUE"""),"[]")</f>
        <v>[]</v>
      </c>
      <c r="W2334" s="148">
        <f>IFERROR(__xludf.DUMMYFUNCTION("""COMPUTED_VALUE"""),1.174E7)</f>
        <v>11740000</v>
      </c>
      <c r="X2334" s="148">
        <f>IFERROR(__xludf.DUMMYFUNCTION("""COMPUTED_VALUE"""),0.0)</f>
        <v>0</v>
      </c>
      <c r="Y2334" s="148">
        <f>IFERROR(__xludf.DUMMYFUNCTION("""COMPUTED_VALUE"""),0.0)</f>
        <v>0</v>
      </c>
      <c r="Z2334" s="148"/>
    </row>
    <row r="2335">
      <c r="A2335" s="148">
        <f>IFERROR(__xludf.DUMMYFUNCTION("""COMPUTED_VALUE"""),1.1119247E7)</f>
        <v>11119247</v>
      </c>
      <c r="B2335" s="148" t="str">
        <f>IFERROR(__xludf.DUMMYFUNCTION("""COMPUTED_VALUE"""),"火车BP解锁高级奖励")</f>
        <v>火车BP解锁高级奖励</v>
      </c>
      <c r="C2335" s="148"/>
      <c r="D2335" s="148" t="str">
        <f>IFERROR(__xludf.DUMMYFUNCTION("""COMPUTED_VALUE"""),"event")</f>
        <v>event</v>
      </c>
      <c r="E2335" s="148">
        <f>IFERROR(__xludf.DUMMYFUNCTION("""COMPUTED_VALUE"""),0.0)</f>
        <v>0</v>
      </c>
      <c r="F2335" s="148">
        <f>IFERROR(__xludf.DUMMYFUNCTION("""COMPUTED_VALUE"""),405221.0)</f>
        <v>405221</v>
      </c>
      <c r="G2335" s="148">
        <f>IFERROR(__xludf.DUMMYFUNCTION("""COMPUTED_VALUE"""),1.5117142E7)</f>
        <v>15117142</v>
      </c>
      <c r="H2335" s="148">
        <f>IFERROR(__xludf.DUMMYFUNCTION("""COMPUTED_VALUE"""),1.5112564E7)</f>
        <v>15112564</v>
      </c>
      <c r="I2335" s="148" t="str">
        <f>IFERROR(__xludf.DUMMYFUNCTION("""COMPUTED_VALUE"""),"{}")</f>
        <v>{}</v>
      </c>
      <c r="J2335" s="148" t="str">
        <f>IFERROR(__xludf.DUMMYFUNCTION("""COMPUTED_VALUE"""),"{""typ"":""lc"",""txt"":""LC_EVENT_train_gvg_win_pkg_title""}")</f>
        <v>{"typ":"lc","txt":"LC_EVENT_train_gvg_win_pkg_title"}</v>
      </c>
      <c r="K2335" s="148" t="str">
        <f>IFERROR(__xludf.DUMMYFUNCTION("""COMPUTED_VALUE"""),"{""typ"":""lc"",""txt"":""LC_ITEM_train_gvg_win_pkg_desc""}")</f>
        <v>{"typ":"lc","txt":"LC_ITEM_train_gvg_win_pkg_desc"}</v>
      </c>
      <c r="L2335" s="148" t="str">
        <f>IFERROR(__xludf.DUMMYFUNCTION("""COMPUTED_VALUE"""),"{}")</f>
        <v>{}</v>
      </c>
      <c r="M2335" s="148">
        <f>IFERROR(__xludf.DUMMYFUNCTION("""COMPUTED_VALUE"""),100.0)</f>
        <v>100</v>
      </c>
      <c r="N2335" s="148">
        <f>IFERROR(__xludf.DUMMYFUNCTION("""COMPUTED_VALUE"""),9.99999999E8)</f>
        <v>999999999</v>
      </c>
      <c r="O2335" s="148">
        <f>IFERROR(__xludf.DUMMYFUNCTION("""COMPUTED_VALUE"""),9.99999999E8)</f>
        <v>999999999</v>
      </c>
      <c r="P2335" s="148">
        <f>IFERROR(__xludf.DUMMYFUNCTION("""COMPUTED_VALUE"""),9.99999999E8)</f>
        <v>999999999</v>
      </c>
      <c r="Q2335" s="148" t="str">
        <f>IFERROR(__xludf.DUMMYFUNCTION("""COMPUTED_VALUE"""),"[""bag_other""]")</f>
        <v>["bag_other"]</v>
      </c>
      <c r="R2335" s="148" t="str">
        <f>IFERROR(__xludf.DUMMYFUNCTION("""COMPUTED_VALUE"""),"[]")</f>
        <v>[]</v>
      </c>
      <c r="S2335" s="148" t="str">
        <f>IFERROR(__xludf.DUMMYFUNCTION("""COMPUTED_VALUE"""),"{}")</f>
        <v>{}</v>
      </c>
      <c r="T2335" s="148">
        <f>IFERROR(__xludf.DUMMYFUNCTION("""COMPUTED_VALUE"""),-1.0)</f>
        <v>-1</v>
      </c>
      <c r="U2335" s="148">
        <f>IFERROR(__xludf.DUMMYFUNCTION("""COMPUTED_VALUE"""),0.0)</f>
        <v>0</v>
      </c>
      <c r="V2335" s="148" t="str">
        <f>IFERROR(__xludf.DUMMYFUNCTION("""COMPUTED_VALUE"""),"[]")</f>
        <v>[]</v>
      </c>
      <c r="W2335" s="148">
        <f>IFERROR(__xludf.DUMMYFUNCTION("""COMPUTED_VALUE"""),1.174E7)</f>
        <v>11740000</v>
      </c>
      <c r="X2335" s="148">
        <f>IFERROR(__xludf.DUMMYFUNCTION("""COMPUTED_VALUE"""),0.0)</f>
        <v>0</v>
      </c>
      <c r="Y2335" s="148">
        <f>IFERROR(__xludf.DUMMYFUNCTION("""COMPUTED_VALUE"""),0.0)</f>
        <v>0</v>
      </c>
      <c r="Z2335" s="148"/>
    </row>
    <row r="2336">
      <c r="A2336" s="148">
        <f>IFERROR(__xludf.DUMMYFUNCTION("""COMPUTED_VALUE"""),1.1119248E7)</f>
        <v>11119248</v>
      </c>
      <c r="B2336" s="148" t="str">
        <f>IFERROR(__xludf.DUMMYFUNCTION("""COMPUTED_VALUE"""),"火车胜利保护卡")</f>
        <v>火车胜利保护卡</v>
      </c>
      <c r="C2336" s="148"/>
      <c r="D2336" s="148" t="str">
        <f>IFERROR(__xludf.DUMMYFUNCTION("""COMPUTED_VALUE"""),"item_recover_win_streak")</f>
        <v>item_recover_win_streak</v>
      </c>
      <c r="E2336" s="148">
        <f>IFERROR(__xludf.DUMMYFUNCTION("""COMPUTED_VALUE"""),0.0)</f>
        <v>0</v>
      </c>
      <c r="F2336" s="148">
        <f>IFERROR(__xludf.DUMMYFUNCTION("""COMPUTED_VALUE"""),405221.0)</f>
        <v>405221</v>
      </c>
      <c r="G2336" s="148">
        <f>IFERROR(__xludf.DUMMYFUNCTION("""COMPUTED_VALUE"""),1.51100793E8)</f>
        <v>151100793</v>
      </c>
      <c r="H2336" s="148">
        <f>IFERROR(__xludf.DUMMYFUNCTION("""COMPUTED_VALUE"""),1.5112564E7)</f>
        <v>15112564</v>
      </c>
      <c r="I2336" s="148" t="str">
        <f>IFERROR(__xludf.DUMMYFUNCTION("""COMPUTED_VALUE"""),"{}")</f>
        <v>{}</v>
      </c>
      <c r="J2336" s="148" t="str">
        <f>IFERROR(__xludf.DUMMYFUNCTION("""COMPUTED_VALUE"""),"{""typ"":""lc"",""txt"":""LC_ITEM_train_gvg_win_card_name""}")</f>
        <v>{"typ":"lc","txt":"LC_ITEM_train_gvg_win_card_name"}</v>
      </c>
      <c r="K2336" s="148" t="str">
        <f>IFERROR(__xludf.DUMMYFUNCTION("""COMPUTED_VALUE"""),"{""typ"":""lc"",""txt"":""LC_ITEM_train_gvg_win_card_desc""}")</f>
        <v>{"typ":"lc","txt":"LC_ITEM_train_gvg_win_card_desc"}</v>
      </c>
      <c r="L2336" s="148" t="str">
        <f>IFERROR(__xludf.DUMMYFUNCTION("""COMPUTED_VALUE"""),"{}")</f>
        <v>{}</v>
      </c>
      <c r="M2336" s="148">
        <f>IFERROR(__xludf.DUMMYFUNCTION("""COMPUTED_VALUE"""),100.0)</f>
        <v>100</v>
      </c>
      <c r="N2336" s="148">
        <f>IFERROR(__xludf.DUMMYFUNCTION("""COMPUTED_VALUE"""),9.99999999E8)</f>
        <v>999999999</v>
      </c>
      <c r="O2336" s="148">
        <f>IFERROR(__xludf.DUMMYFUNCTION("""COMPUTED_VALUE"""),9.99999999E8)</f>
        <v>999999999</v>
      </c>
      <c r="P2336" s="148">
        <f>IFERROR(__xludf.DUMMYFUNCTION("""COMPUTED_VALUE"""),9.99999999E8)</f>
        <v>999999999</v>
      </c>
      <c r="Q2336" s="148" t="str">
        <f>IFERROR(__xludf.DUMMYFUNCTION("""COMPUTED_VALUE"""),"[""bag_other""]")</f>
        <v>["bag_other"]</v>
      </c>
      <c r="R2336" s="148" t="str">
        <f>IFERROR(__xludf.DUMMYFUNCTION("""COMPUTED_VALUE"""),"[]")</f>
        <v>[]</v>
      </c>
      <c r="S2336" s="148" t="str">
        <f>IFERROR(__xludf.DUMMYFUNCTION("""COMPUTED_VALUE"""),"{""effect"":[{""typ"":""train_rush_win_card"", ""val"": 1}]}")</f>
        <v>{"effect":[{"typ":"train_rush_win_card", "val": 1}]}</v>
      </c>
      <c r="T2336" s="148">
        <f>IFERROR(__xludf.DUMMYFUNCTION("""COMPUTED_VALUE"""),-1.0)</f>
        <v>-1</v>
      </c>
      <c r="U2336" s="148">
        <f>IFERROR(__xludf.DUMMYFUNCTION("""COMPUTED_VALUE"""),0.0)</f>
        <v>0</v>
      </c>
      <c r="V2336" s="148" t="str">
        <f>IFERROR(__xludf.DUMMYFUNCTION("""COMPUTED_VALUE"""),"[]")</f>
        <v>[]</v>
      </c>
      <c r="W2336" s="148">
        <f>IFERROR(__xludf.DUMMYFUNCTION("""COMPUTED_VALUE"""),1.174E7)</f>
        <v>11740000</v>
      </c>
      <c r="X2336" s="148">
        <f>IFERROR(__xludf.DUMMYFUNCTION("""COMPUTED_VALUE"""),0.0)</f>
        <v>0</v>
      </c>
      <c r="Y2336" s="148">
        <f>IFERROR(__xludf.DUMMYFUNCTION("""COMPUTED_VALUE"""),0.0)</f>
        <v>0</v>
      </c>
      <c r="Z2336" s="148"/>
    </row>
    <row r="2337">
      <c r="A2337" s="148">
        <f>IFERROR(__xludf.DUMMYFUNCTION("""COMPUTED_VALUE"""),1.1119249E7)</f>
        <v>11119249</v>
      </c>
      <c r="B2337" s="148" t="str">
        <f>IFERROR(__xludf.DUMMYFUNCTION("""COMPUTED_VALUE"""),"连锁礼包自选-阶段奖励1")</f>
        <v>连锁礼包自选-阶段奖励1</v>
      </c>
      <c r="C2337" s="148"/>
      <c r="D2337" s="148" t="str">
        <f>IFERROR(__xludf.DUMMYFUNCTION("""COMPUTED_VALUE"""),"item_asset")</f>
        <v>item_asset</v>
      </c>
      <c r="E2337" s="148">
        <f>IFERROR(__xludf.DUMMYFUNCTION("""COMPUTED_VALUE"""),19.0)</f>
        <v>19</v>
      </c>
      <c r="F2337" s="148">
        <f>IFERROR(__xludf.DUMMYFUNCTION("""COMPUTED_VALUE"""),403308.0)</f>
        <v>403308</v>
      </c>
      <c r="G2337" s="148">
        <f>IFERROR(__xludf.DUMMYFUNCTION("""COMPUTED_VALUE"""),1.5113195E7)</f>
        <v>15113195</v>
      </c>
      <c r="H2337" s="148">
        <f>IFERROR(__xludf.DUMMYFUNCTION("""COMPUTED_VALUE"""),1.5112564E7)</f>
        <v>15112564</v>
      </c>
      <c r="I2337" s="148" t="str">
        <f>IFERROR(__xludf.DUMMYFUNCTION("""COMPUTED_VALUE"""),"{}")</f>
        <v>{}</v>
      </c>
      <c r="J2337" s="148" t="str">
        <f>IFERROR(__xludf.DUMMYFUNCTION("""COMPUTED_VALUE"""),"{""typ"":""lc"",""txt"":""LC_EVENT_chain_pkg_milestone_box_name""}")</f>
        <v>{"typ":"lc","txt":"LC_EVENT_chain_pkg_milestone_box_name"}</v>
      </c>
      <c r="K2337" s="148" t="str">
        <f>IFERROR(__xludf.DUMMYFUNCTION("""COMPUTED_VALUE"""),"{""typ"":""lc"",""txt"":""LC_ITEM_chain_pkg_milestone_box_desc1""}")</f>
        <v>{"typ":"lc","txt":"LC_ITEM_chain_pkg_milestone_box_desc1"}</v>
      </c>
      <c r="L2337" s="148" t="str">
        <f>IFERROR(__xludf.DUMMYFUNCTION("""COMPUTED_VALUE"""),"{}")</f>
        <v>{}</v>
      </c>
      <c r="M2337" s="148">
        <f>IFERROR(__xludf.DUMMYFUNCTION("""COMPUTED_VALUE"""),500.0)</f>
        <v>500</v>
      </c>
      <c r="N2337" s="148">
        <f>IFERROR(__xludf.DUMMYFUNCTION("""COMPUTED_VALUE"""),999999.0)</f>
        <v>999999</v>
      </c>
      <c r="O2337" s="148">
        <f>IFERROR(__xludf.DUMMYFUNCTION("""COMPUTED_VALUE"""),99999.0)</f>
        <v>99999</v>
      </c>
      <c r="P2337" s="148">
        <f>IFERROR(__xludf.DUMMYFUNCTION("""COMPUTED_VALUE"""),9999.0)</f>
        <v>9999</v>
      </c>
      <c r="Q2337" s="148" t="str">
        <f>IFERROR(__xludf.DUMMYFUNCTION("""COMPUTED_VALUE"""),"[""bag_other""]")</f>
        <v>["bag_other"]</v>
      </c>
      <c r="R2337" s="148" t="str">
        <f>IFERROR(__xludf.DUMMYFUNCTION("""COMPUTED_VALUE"""),"[""bag""]")</f>
        <v>["bag"]</v>
      </c>
      <c r="S2337" s="148" t="str">
        <f>IFERROR(__xludf.DUMMYFUNCTION("""COMPUTED_VALUE"""),"{""drop"":{""typ"":""single_random"",""num"":1,""args"":[{""typ"":""item"",""id"":11111105,""num"":2,""wgt"":30},{""typ"":""item"",""id"":11118001,""num"":10,""wgt"":30},{""typ"":""item"",""id"":11116006,""num"":5,""wgt"":30},{""typ"":""item"",""id"":1111"&amp;"6604,""num"":1,""wgt"":30},{""typ"":""item"",""id"":11116304,""num"":1,""wgt"":10}]}}")</f>
        <v>{"drop":{"typ":"single_random","num":1,"args":[{"typ":"item","id":11111105,"num":2,"wgt":30},{"typ":"item","id":11118001,"num":10,"wgt":30},{"typ":"item","id":11116006,"num":5,"wgt":30},{"typ":"item","id":11116604,"num":1,"wgt":30},{"typ":"item","id":11116304,"num":1,"wgt":10}]}}</v>
      </c>
      <c r="T2337" s="148">
        <f>IFERROR(__xludf.DUMMYFUNCTION("""COMPUTED_VALUE"""),-1.0)</f>
        <v>-1</v>
      </c>
      <c r="U2337" s="148">
        <f>IFERROR(__xludf.DUMMYFUNCTION("""COMPUTED_VALUE"""),0.0)</f>
        <v>0</v>
      </c>
      <c r="V2337" s="148" t="str">
        <f>IFERROR(__xludf.DUMMYFUNCTION("""COMPUTED_VALUE"""),"[]")</f>
        <v>[]</v>
      </c>
      <c r="W2337" s="148">
        <f>IFERROR(__xludf.DUMMYFUNCTION("""COMPUTED_VALUE"""),1.174E7)</f>
        <v>11740000</v>
      </c>
      <c r="X2337" s="148">
        <f>IFERROR(__xludf.DUMMYFUNCTION("""COMPUTED_VALUE"""),0.0)</f>
        <v>0</v>
      </c>
      <c r="Y2337" s="148">
        <f>IFERROR(__xludf.DUMMYFUNCTION("""COMPUTED_VALUE"""),0.0)</f>
        <v>0</v>
      </c>
      <c r="Z2337" s="148"/>
    </row>
    <row r="2338">
      <c r="A2338" s="148">
        <f>IFERROR(__xludf.DUMMYFUNCTION("""COMPUTED_VALUE"""),1.111925E7)</f>
        <v>11119250</v>
      </c>
      <c r="B2338" s="148" t="str">
        <f>IFERROR(__xludf.DUMMYFUNCTION("""COMPUTED_VALUE"""),"连锁礼包自选-阶段奖励2")</f>
        <v>连锁礼包自选-阶段奖励2</v>
      </c>
      <c r="C2338" s="148"/>
      <c r="D2338" s="148" t="str">
        <f>IFERROR(__xludf.DUMMYFUNCTION("""COMPUTED_VALUE"""),"item_asset")</f>
        <v>item_asset</v>
      </c>
      <c r="E2338" s="148">
        <f>IFERROR(__xludf.DUMMYFUNCTION("""COMPUTED_VALUE"""),19.0)</f>
        <v>19</v>
      </c>
      <c r="F2338" s="148">
        <f>IFERROR(__xludf.DUMMYFUNCTION("""COMPUTED_VALUE"""),403308.0)</f>
        <v>403308</v>
      </c>
      <c r="G2338" s="148">
        <f>IFERROR(__xludf.DUMMYFUNCTION("""COMPUTED_VALUE"""),1.5113196E7)</f>
        <v>15113196</v>
      </c>
      <c r="H2338" s="148">
        <f>IFERROR(__xludf.DUMMYFUNCTION("""COMPUTED_VALUE"""),1.5112564E7)</f>
        <v>15112564</v>
      </c>
      <c r="I2338" s="148" t="str">
        <f>IFERROR(__xludf.DUMMYFUNCTION("""COMPUTED_VALUE"""),"{}")</f>
        <v>{}</v>
      </c>
      <c r="J2338" s="148" t="str">
        <f>IFERROR(__xludf.DUMMYFUNCTION("""COMPUTED_VALUE"""),"{""typ"":""lc"",""txt"":""LC_EVENT_chain_pkg_milestone_box_name""}")</f>
        <v>{"typ":"lc","txt":"LC_EVENT_chain_pkg_milestone_box_name"}</v>
      </c>
      <c r="K2338" s="148" t="str">
        <f>IFERROR(__xludf.DUMMYFUNCTION("""COMPUTED_VALUE"""),"{""typ"":""lc"",""txt"":""LC_ITEM_chain_pkg_milestone_box_desc1""}")</f>
        <v>{"typ":"lc","txt":"LC_ITEM_chain_pkg_milestone_box_desc1"}</v>
      </c>
      <c r="L2338" s="148" t="str">
        <f>IFERROR(__xludf.DUMMYFUNCTION("""COMPUTED_VALUE"""),"{}")</f>
        <v>{}</v>
      </c>
      <c r="M2338" s="148">
        <f>IFERROR(__xludf.DUMMYFUNCTION("""COMPUTED_VALUE"""),600.0)</f>
        <v>600</v>
      </c>
      <c r="N2338" s="148">
        <f>IFERROR(__xludf.DUMMYFUNCTION("""COMPUTED_VALUE"""),999999.0)</f>
        <v>999999</v>
      </c>
      <c r="O2338" s="148">
        <f>IFERROR(__xludf.DUMMYFUNCTION("""COMPUTED_VALUE"""),99999.0)</f>
        <v>99999</v>
      </c>
      <c r="P2338" s="148">
        <f>IFERROR(__xludf.DUMMYFUNCTION("""COMPUTED_VALUE"""),9999.0)</f>
        <v>9999</v>
      </c>
      <c r="Q2338" s="148" t="str">
        <f>IFERROR(__xludf.DUMMYFUNCTION("""COMPUTED_VALUE"""),"[""bag_other""]")</f>
        <v>["bag_other"]</v>
      </c>
      <c r="R2338" s="148" t="str">
        <f>IFERROR(__xludf.DUMMYFUNCTION("""COMPUTED_VALUE"""),"[""bag""]")</f>
        <v>["bag"]</v>
      </c>
      <c r="S2338" s="148" t="str">
        <f>IFERROR(__xludf.DUMMYFUNCTION("""COMPUTED_VALUE"""),"{""drop"":{""typ"":""single_random"",""num"":1,""args"":[{""typ"":""item"",""id"":11111105,""num"":6,""wgt"":30},{""typ"":""item"",""id"":11118102,""num"":2,""wgt"":30},{""typ"":""item"",""id"":11116006,""num"":10,""wgt"":30},{""typ"":""item"",""id"":1111"&amp;"6604,""num"":5,""wgt"":30},{""typ"":""item"",""id"":11116304,""num"":2,""wgt"":10}]}}")</f>
        <v>{"drop":{"typ":"single_random","num":1,"args":[{"typ":"item","id":11111105,"num":6,"wgt":30},{"typ":"item","id":11118102,"num":2,"wgt":30},{"typ":"item","id":11116006,"num":10,"wgt":30},{"typ":"item","id":11116604,"num":5,"wgt":30},{"typ":"item","id":11116304,"num":2,"wgt":10}]}}</v>
      </c>
      <c r="T2338" s="148">
        <f>IFERROR(__xludf.DUMMYFUNCTION("""COMPUTED_VALUE"""),-1.0)</f>
        <v>-1</v>
      </c>
      <c r="U2338" s="148">
        <f>IFERROR(__xludf.DUMMYFUNCTION("""COMPUTED_VALUE"""),0.0)</f>
        <v>0</v>
      </c>
      <c r="V2338" s="148" t="str">
        <f>IFERROR(__xludf.DUMMYFUNCTION("""COMPUTED_VALUE"""),"[]")</f>
        <v>[]</v>
      </c>
      <c r="W2338" s="148">
        <f>IFERROR(__xludf.DUMMYFUNCTION("""COMPUTED_VALUE"""),1.174E7)</f>
        <v>11740000</v>
      </c>
      <c r="X2338" s="148">
        <f>IFERROR(__xludf.DUMMYFUNCTION("""COMPUTED_VALUE"""),0.0)</f>
        <v>0</v>
      </c>
      <c r="Y2338" s="148">
        <f>IFERROR(__xludf.DUMMYFUNCTION("""COMPUTED_VALUE"""),0.0)</f>
        <v>0</v>
      </c>
      <c r="Z2338" s="148"/>
    </row>
    <row r="2339">
      <c r="A2339" s="148">
        <f>IFERROR(__xludf.DUMMYFUNCTION("""COMPUTED_VALUE"""),1.1119251E7)</f>
        <v>11119251</v>
      </c>
      <c r="B2339" s="148" t="str">
        <f>IFERROR(__xludf.DUMMYFUNCTION("""COMPUTED_VALUE"""),"连锁礼包自选-阶段奖励3")</f>
        <v>连锁礼包自选-阶段奖励3</v>
      </c>
      <c r="C2339" s="148"/>
      <c r="D2339" s="148" t="str">
        <f>IFERROR(__xludf.DUMMYFUNCTION("""COMPUTED_VALUE"""),"item_asset")</f>
        <v>item_asset</v>
      </c>
      <c r="E2339" s="148">
        <f>IFERROR(__xludf.DUMMYFUNCTION("""COMPUTED_VALUE"""),19.0)</f>
        <v>19</v>
      </c>
      <c r="F2339" s="148">
        <f>IFERROR(__xludf.DUMMYFUNCTION("""COMPUTED_VALUE"""),403308.0)</f>
        <v>403308</v>
      </c>
      <c r="G2339" s="148">
        <f>IFERROR(__xludf.DUMMYFUNCTION("""COMPUTED_VALUE"""),1.5113197E7)</f>
        <v>15113197</v>
      </c>
      <c r="H2339" s="148">
        <f>IFERROR(__xludf.DUMMYFUNCTION("""COMPUTED_VALUE"""),1.5112564E7)</f>
        <v>15112564</v>
      </c>
      <c r="I2339" s="148" t="str">
        <f>IFERROR(__xludf.DUMMYFUNCTION("""COMPUTED_VALUE"""),"{}")</f>
        <v>{}</v>
      </c>
      <c r="J2339" s="148" t="str">
        <f>IFERROR(__xludf.DUMMYFUNCTION("""COMPUTED_VALUE"""),"{""typ"":""lc"",""txt"":""LC_EVENT_chain_pkg_milestone_box_name""}")</f>
        <v>{"typ":"lc","txt":"LC_EVENT_chain_pkg_milestone_box_name"}</v>
      </c>
      <c r="K2339" s="148" t="str">
        <f>IFERROR(__xludf.DUMMYFUNCTION("""COMPUTED_VALUE"""),"{""typ"":""lc"",""txt"":""LC_ITEM_chain_pkg_milestone_box_desc1""}")</f>
        <v>{"typ":"lc","txt":"LC_ITEM_chain_pkg_milestone_box_desc1"}</v>
      </c>
      <c r="L2339" s="148" t="str">
        <f>IFERROR(__xludf.DUMMYFUNCTION("""COMPUTED_VALUE"""),"{}")</f>
        <v>{}</v>
      </c>
      <c r="M2339" s="148">
        <f>IFERROR(__xludf.DUMMYFUNCTION("""COMPUTED_VALUE"""),1200.0)</f>
        <v>1200</v>
      </c>
      <c r="N2339" s="148">
        <f>IFERROR(__xludf.DUMMYFUNCTION("""COMPUTED_VALUE"""),999999.0)</f>
        <v>999999</v>
      </c>
      <c r="O2339" s="148">
        <f>IFERROR(__xludf.DUMMYFUNCTION("""COMPUTED_VALUE"""),99999.0)</f>
        <v>99999</v>
      </c>
      <c r="P2339" s="148">
        <f>IFERROR(__xludf.DUMMYFUNCTION("""COMPUTED_VALUE"""),9999.0)</f>
        <v>9999</v>
      </c>
      <c r="Q2339" s="148" t="str">
        <f>IFERROR(__xludf.DUMMYFUNCTION("""COMPUTED_VALUE"""),"[""bag_other""]")</f>
        <v>["bag_other"]</v>
      </c>
      <c r="R2339" s="148" t="str">
        <f>IFERROR(__xludf.DUMMYFUNCTION("""COMPUTED_VALUE"""),"[""bag""]")</f>
        <v>["bag"]</v>
      </c>
      <c r="S2339" s="148" t="str">
        <f>IFERROR(__xludf.DUMMYFUNCTION("""COMPUTED_VALUE"""),"{""drop"":{""typ"":""single_random"",""num"":1,""args"":[{""typ"":""item"",""id"":11111105,""num"":10,""wgt"":30},{""typ"":""item"",""id"":11118102,""num"":4,""wgt"":30},{""typ"":""item"",""id"":11116006,""num"":20,""wgt"":30},{""typ"":""item"",""id"":111"&amp;"16604,""num"":10,""wgt"":30},{""typ"":""item"",""id"":11116304,""num"":4,""wgt"":10}]}}")</f>
        <v>{"drop":{"typ":"single_random","num":1,"args":[{"typ":"item","id":11111105,"num":10,"wgt":30},{"typ":"item","id":11118102,"num":4,"wgt":30},{"typ":"item","id":11116006,"num":20,"wgt":30},{"typ":"item","id":11116604,"num":10,"wgt":30},{"typ":"item","id":11116304,"num":4,"wgt":10}]}}</v>
      </c>
      <c r="T2339" s="148">
        <f>IFERROR(__xludf.DUMMYFUNCTION("""COMPUTED_VALUE"""),-1.0)</f>
        <v>-1</v>
      </c>
      <c r="U2339" s="148">
        <f>IFERROR(__xludf.DUMMYFUNCTION("""COMPUTED_VALUE"""),0.0)</f>
        <v>0</v>
      </c>
      <c r="V2339" s="148" t="str">
        <f>IFERROR(__xludf.DUMMYFUNCTION("""COMPUTED_VALUE"""),"[]")</f>
        <v>[]</v>
      </c>
      <c r="W2339" s="148">
        <f>IFERROR(__xludf.DUMMYFUNCTION("""COMPUTED_VALUE"""),1.174E7)</f>
        <v>11740000</v>
      </c>
      <c r="X2339" s="148">
        <f>IFERROR(__xludf.DUMMYFUNCTION("""COMPUTED_VALUE"""),0.0)</f>
        <v>0</v>
      </c>
      <c r="Y2339" s="148">
        <f>IFERROR(__xludf.DUMMYFUNCTION("""COMPUTED_VALUE"""),0.0)</f>
        <v>0</v>
      </c>
      <c r="Z2339" s="148"/>
    </row>
    <row r="2340">
      <c r="A2340" s="148">
        <f>IFERROR(__xludf.DUMMYFUNCTION("""COMPUTED_VALUE"""),1.1119252E7)</f>
        <v>11119252</v>
      </c>
      <c r="B2340" s="148" t="str">
        <f>IFERROR(__xludf.DUMMYFUNCTION("""COMPUTED_VALUE"""),"连锁礼包自选-阶段奖励4")</f>
        <v>连锁礼包自选-阶段奖励4</v>
      </c>
      <c r="C2340" s="148"/>
      <c r="D2340" s="148" t="str">
        <f>IFERROR(__xludf.DUMMYFUNCTION("""COMPUTED_VALUE"""),"item_asset")</f>
        <v>item_asset</v>
      </c>
      <c r="E2340" s="148">
        <f>IFERROR(__xludf.DUMMYFUNCTION("""COMPUTED_VALUE"""),19.0)</f>
        <v>19</v>
      </c>
      <c r="F2340" s="148">
        <f>IFERROR(__xludf.DUMMYFUNCTION("""COMPUTED_VALUE"""),403308.0)</f>
        <v>403308</v>
      </c>
      <c r="G2340" s="148">
        <f>IFERROR(__xludf.DUMMYFUNCTION("""COMPUTED_VALUE"""),1.5113198E7)</f>
        <v>15113198</v>
      </c>
      <c r="H2340" s="148">
        <f>IFERROR(__xludf.DUMMYFUNCTION("""COMPUTED_VALUE"""),1.5112564E7)</f>
        <v>15112564</v>
      </c>
      <c r="I2340" s="148" t="str">
        <f>IFERROR(__xludf.DUMMYFUNCTION("""COMPUTED_VALUE"""),"{}")</f>
        <v>{}</v>
      </c>
      <c r="J2340" s="148" t="str">
        <f>IFERROR(__xludf.DUMMYFUNCTION("""COMPUTED_VALUE"""),"{""typ"":""lc"",""txt"":""LC_EVENT_chain_pkg_milestone_box_name""}")</f>
        <v>{"typ":"lc","txt":"LC_EVENT_chain_pkg_milestone_box_name"}</v>
      </c>
      <c r="K2340" s="148" t="str">
        <f>IFERROR(__xludf.DUMMYFUNCTION("""COMPUTED_VALUE"""),"{""typ"":""lc"",""txt"":""LC_ITEM_chain_pkg_milestone_box_desc1""}")</f>
        <v>{"typ":"lc","txt":"LC_ITEM_chain_pkg_milestone_box_desc1"}</v>
      </c>
      <c r="L2340" s="148" t="str">
        <f>IFERROR(__xludf.DUMMYFUNCTION("""COMPUTED_VALUE"""),"{}")</f>
        <v>{}</v>
      </c>
      <c r="M2340" s="148">
        <f>IFERROR(__xludf.DUMMYFUNCTION("""COMPUTED_VALUE"""),2400.0)</f>
        <v>2400</v>
      </c>
      <c r="N2340" s="148">
        <f>IFERROR(__xludf.DUMMYFUNCTION("""COMPUTED_VALUE"""),999999.0)</f>
        <v>999999</v>
      </c>
      <c r="O2340" s="148">
        <f>IFERROR(__xludf.DUMMYFUNCTION("""COMPUTED_VALUE"""),99999.0)</f>
        <v>99999</v>
      </c>
      <c r="P2340" s="148">
        <f>IFERROR(__xludf.DUMMYFUNCTION("""COMPUTED_VALUE"""),9999.0)</f>
        <v>9999</v>
      </c>
      <c r="Q2340" s="148" t="str">
        <f>IFERROR(__xludf.DUMMYFUNCTION("""COMPUTED_VALUE"""),"[""bag_other""]")</f>
        <v>["bag_other"]</v>
      </c>
      <c r="R2340" s="148" t="str">
        <f>IFERROR(__xludf.DUMMYFUNCTION("""COMPUTED_VALUE"""),"[""bag""]")</f>
        <v>["bag"]</v>
      </c>
      <c r="S2340" s="148" t="str">
        <f>IFERROR(__xludf.DUMMYFUNCTION("""COMPUTED_VALUE"""),"{""drop"":{""typ"":""single_random"",""num"":1,""args"":[{""typ"":""item"",""id"":11111105,""num"":20,""wgt"":30},{""typ"":""item"",""id"":11118102,""num"":8,""wgt"":30},{""typ"":""item"",""id"":11116006,""num"":30,""wgt"":30},{""typ"":""item"",""id"":111"&amp;"16604,""num"":20,""wgt"":30},{""typ"":""item"",""id"":11116304,""num"":8,""wgt"":10}]}}")</f>
        <v>{"drop":{"typ":"single_random","num":1,"args":[{"typ":"item","id":11111105,"num":20,"wgt":30},{"typ":"item","id":11118102,"num":8,"wgt":30},{"typ":"item","id":11116006,"num":30,"wgt":30},{"typ":"item","id":11116604,"num":20,"wgt":30},{"typ":"item","id":11116304,"num":8,"wgt":10}]}}</v>
      </c>
      <c r="T2340" s="148">
        <f>IFERROR(__xludf.DUMMYFUNCTION("""COMPUTED_VALUE"""),-1.0)</f>
        <v>-1</v>
      </c>
      <c r="U2340" s="148">
        <f>IFERROR(__xludf.DUMMYFUNCTION("""COMPUTED_VALUE"""),0.0)</f>
        <v>0</v>
      </c>
      <c r="V2340" s="148" t="str">
        <f>IFERROR(__xludf.DUMMYFUNCTION("""COMPUTED_VALUE"""),"[]")</f>
        <v>[]</v>
      </c>
      <c r="W2340" s="148">
        <f>IFERROR(__xludf.DUMMYFUNCTION("""COMPUTED_VALUE"""),1.174E7)</f>
        <v>11740000</v>
      </c>
      <c r="X2340" s="148">
        <f>IFERROR(__xludf.DUMMYFUNCTION("""COMPUTED_VALUE"""),0.0)</f>
        <v>0</v>
      </c>
      <c r="Y2340" s="148">
        <f>IFERROR(__xludf.DUMMYFUNCTION("""COMPUTED_VALUE"""),0.0)</f>
        <v>0</v>
      </c>
      <c r="Z2340" s="148"/>
    </row>
    <row r="2341">
      <c r="A2341" s="148">
        <f>IFERROR(__xludf.DUMMYFUNCTION("""COMPUTED_VALUE"""),1.1119253E7)</f>
        <v>11119253</v>
      </c>
      <c r="B2341" s="148" t="str">
        <f>IFERROR(__xludf.DUMMYFUNCTION("""COMPUTED_VALUE"""),"连锁礼包自选-阶段奖励5")</f>
        <v>连锁礼包自选-阶段奖励5</v>
      </c>
      <c r="C2341" s="148"/>
      <c r="D2341" s="148" t="str">
        <f>IFERROR(__xludf.DUMMYFUNCTION("""COMPUTED_VALUE"""),"item_asset")</f>
        <v>item_asset</v>
      </c>
      <c r="E2341" s="148">
        <f>IFERROR(__xludf.DUMMYFUNCTION("""COMPUTED_VALUE"""),19.0)</f>
        <v>19</v>
      </c>
      <c r="F2341" s="148">
        <f>IFERROR(__xludf.DUMMYFUNCTION("""COMPUTED_VALUE"""),403308.0)</f>
        <v>403308</v>
      </c>
      <c r="G2341" s="148">
        <f>IFERROR(__xludf.DUMMYFUNCTION("""COMPUTED_VALUE"""),1.5113199E7)</f>
        <v>15113199</v>
      </c>
      <c r="H2341" s="148">
        <f>IFERROR(__xludf.DUMMYFUNCTION("""COMPUTED_VALUE"""),1.5112564E7)</f>
        <v>15112564</v>
      </c>
      <c r="I2341" s="148" t="str">
        <f>IFERROR(__xludf.DUMMYFUNCTION("""COMPUTED_VALUE"""),"{}")</f>
        <v>{}</v>
      </c>
      <c r="J2341" s="148" t="str">
        <f>IFERROR(__xludf.DUMMYFUNCTION("""COMPUTED_VALUE"""),"{""typ"":""lc"",""txt"":""LC_EVENT_chain_pkg_milestone_box_name""}")</f>
        <v>{"typ":"lc","txt":"LC_EVENT_chain_pkg_milestone_box_name"}</v>
      </c>
      <c r="K2341" s="148" t="str">
        <f>IFERROR(__xludf.DUMMYFUNCTION("""COMPUTED_VALUE"""),"{""typ"":""lc"",""txt"":""LC_ITEM_chain_pkg_milestone_box_desc1""}")</f>
        <v>{"typ":"lc","txt":"LC_ITEM_chain_pkg_milestone_box_desc1"}</v>
      </c>
      <c r="L2341" s="148" t="str">
        <f>IFERROR(__xludf.DUMMYFUNCTION("""COMPUTED_VALUE"""),"{}")</f>
        <v>{}</v>
      </c>
      <c r="M2341" s="148">
        <f>IFERROR(__xludf.DUMMYFUNCTION("""COMPUTED_VALUE"""),4800.0)</f>
        <v>4800</v>
      </c>
      <c r="N2341" s="148">
        <f>IFERROR(__xludf.DUMMYFUNCTION("""COMPUTED_VALUE"""),999999.0)</f>
        <v>999999</v>
      </c>
      <c r="O2341" s="148">
        <f>IFERROR(__xludf.DUMMYFUNCTION("""COMPUTED_VALUE"""),99999.0)</f>
        <v>99999</v>
      </c>
      <c r="P2341" s="148">
        <f>IFERROR(__xludf.DUMMYFUNCTION("""COMPUTED_VALUE"""),9999.0)</f>
        <v>9999</v>
      </c>
      <c r="Q2341" s="148" t="str">
        <f>IFERROR(__xludf.DUMMYFUNCTION("""COMPUTED_VALUE"""),"[""bag_other""]")</f>
        <v>["bag_other"]</v>
      </c>
      <c r="R2341" s="148" t="str">
        <f>IFERROR(__xludf.DUMMYFUNCTION("""COMPUTED_VALUE"""),"[""bag""]")</f>
        <v>["bag"]</v>
      </c>
      <c r="S2341" s="148" t="str">
        <f>IFERROR(__xludf.DUMMYFUNCTION("""COMPUTED_VALUE"""),"{""drop"":{""typ"":""single_random"",""num"":1,""args"":[{""typ"":""item"",""id"":11111105,""num"":40,""wgt"":30},{""typ"":""item"",""id"":11118102,""num"":16,""wgt"":30},{""typ"":""item"",""id"":11116006,""num"":50,""wgt"":30},{""typ"":""item"",""id"":11"&amp;"116604,""num"":40,""wgt"":30},{""typ"":""item"",""id"":11116304,""num"":16,""wgt"":10}]}}")</f>
        <v>{"drop":{"typ":"single_random","num":1,"args":[{"typ":"item","id":11111105,"num":40,"wgt":30},{"typ":"item","id":11118102,"num":16,"wgt":30},{"typ":"item","id":11116006,"num":50,"wgt":30},{"typ":"item","id":11116604,"num":40,"wgt":30},{"typ":"item","id":11116304,"num":16,"wgt":10}]}}</v>
      </c>
      <c r="T2341" s="148">
        <f>IFERROR(__xludf.DUMMYFUNCTION("""COMPUTED_VALUE"""),-1.0)</f>
        <v>-1</v>
      </c>
      <c r="U2341" s="148">
        <f>IFERROR(__xludf.DUMMYFUNCTION("""COMPUTED_VALUE"""),0.0)</f>
        <v>0</v>
      </c>
      <c r="V2341" s="148" t="str">
        <f>IFERROR(__xludf.DUMMYFUNCTION("""COMPUTED_VALUE"""),"[]")</f>
        <v>[]</v>
      </c>
      <c r="W2341" s="148">
        <f>IFERROR(__xludf.DUMMYFUNCTION("""COMPUTED_VALUE"""),1.174E7)</f>
        <v>11740000</v>
      </c>
      <c r="X2341" s="148">
        <f>IFERROR(__xludf.DUMMYFUNCTION("""COMPUTED_VALUE"""),0.0)</f>
        <v>0</v>
      </c>
      <c r="Y2341" s="148">
        <f>IFERROR(__xludf.DUMMYFUNCTION("""COMPUTED_VALUE"""),0.0)</f>
        <v>0</v>
      </c>
      <c r="Z2341" s="148"/>
    </row>
    <row r="2342">
      <c r="A2342" s="148">
        <f>IFERROR(__xludf.DUMMYFUNCTION("""COMPUTED_VALUE"""),1.1119254E7)</f>
        <v>11119254</v>
      </c>
      <c r="B2342" s="148" t="str">
        <f>IFERROR(__xludf.DUMMYFUNCTION("""COMPUTED_VALUE"""),"黑五折扣-高级打折券")</f>
        <v>黑五折扣-高级打折券</v>
      </c>
      <c r="C2342" s="148"/>
      <c r="D2342" s="148" t="str">
        <f>IFERROR(__xludf.DUMMYFUNCTION("""COMPUTED_VALUE"""),"event")</f>
        <v>event</v>
      </c>
      <c r="E2342" s="148">
        <f>IFERROR(__xludf.DUMMYFUNCTION("""COMPUTED_VALUE"""),0.0)</f>
        <v>0</v>
      </c>
      <c r="F2342" s="148">
        <f>IFERROR(__xludf.DUMMYFUNCTION("""COMPUTED_VALUE"""),405221.0)</f>
        <v>405221</v>
      </c>
      <c r="G2342" s="148">
        <f>IFERROR(__xludf.DUMMYFUNCTION("""COMPUTED_VALUE"""),1.5117404E7)</f>
        <v>15117404</v>
      </c>
      <c r="H2342" s="148">
        <f>IFERROR(__xludf.DUMMYFUNCTION("""COMPUTED_VALUE"""),1.5112564E7)</f>
        <v>15112564</v>
      </c>
      <c r="I2342" s="148" t="str">
        <f>IFERROR(__xludf.DUMMYFUNCTION("""COMPUTED_VALUE"""),"{}")</f>
        <v>{}</v>
      </c>
      <c r="J2342" s="148" t="str">
        <f>IFERROR(__xludf.DUMMYFUNCTION("""COMPUTED_VALUE"""),"{""typ"":""lc"",""txt"":""LC_ITEM_black_friday_discount_name_1""}")</f>
        <v>{"typ":"lc","txt":"LC_ITEM_black_friday_discount_name_1"}</v>
      </c>
      <c r="K2342" s="148" t="str">
        <f>IFERROR(__xludf.DUMMYFUNCTION("""COMPUTED_VALUE"""),"{""typ"":""lc"",""txt"":""LC_ITEM_black_friday_discount_desc_1""}")</f>
        <v>{"typ":"lc","txt":"LC_ITEM_black_friday_discount_desc_1"}</v>
      </c>
      <c r="L2342" s="148" t="str">
        <f>IFERROR(__xludf.DUMMYFUNCTION("""COMPUTED_VALUE"""),"{}")</f>
        <v>{}</v>
      </c>
      <c r="M2342" s="148">
        <f>IFERROR(__xludf.DUMMYFUNCTION("""COMPUTED_VALUE"""),100.0)</f>
        <v>100</v>
      </c>
      <c r="N2342" s="148">
        <f>IFERROR(__xludf.DUMMYFUNCTION("""COMPUTED_VALUE"""),9.99999999E8)</f>
        <v>999999999</v>
      </c>
      <c r="O2342" s="148">
        <f>IFERROR(__xludf.DUMMYFUNCTION("""COMPUTED_VALUE"""),9.99999999E8)</f>
        <v>999999999</v>
      </c>
      <c r="P2342" s="148">
        <f>IFERROR(__xludf.DUMMYFUNCTION("""COMPUTED_VALUE"""),9.99999999E8)</f>
        <v>999999999</v>
      </c>
      <c r="Q2342" s="148" t="str">
        <f>IFERROR(__xludf.DUMMYFUNCTION("""COMPUTED_VALUE"""),"[""bag_other""]")</f>
        <v>["bag_other"]</v>
      </c>
      <c r="R2342" s="148" t="str">
        <f>IFERROR(__xludf.DUMMYFUNCTION("""COMPUTED_VALUE"""),"[]")</f>
        <v>[]</v>
      </c>
      <c r="S2342" s="148" t="str">
        <f>IFERROR(__xludf.DUMMYFUNCTION("""COMPUTED_VALUE"""),"{""effect"":[{""typ"":""iap_scene_discount"",""key"":""fes_actv"",""id"":21127244}]}")</f>
        <v>{"effect":[{"typ":"iap_scene_discount","key":"fes_actv","id":21127244}]}</v>
      </c>
      <c r="T2342" s="148">
        <f>IFERROR(__xludf.DUMMYFUNCTION("""COMPUTED_VALUE"""),-1.0)</f>
        <v>-1</v>
      </c>
      <c r="U2342" s="148">
        <f>IFERROR(__xludf.DUMMYFUNCTION("""COMPUTED_VALUE"""),0.0)</f>
        <v>0</v>
      </c>
      <c r="V2342" s="148" t="str">
        <f>IFERROR(__xludf.DUMMYFUNCTION("""COMPUTED_VALUE"""),"[]")</f>
        <v>[]</v>
      </c>
      <c r="W2342" s="148">
        <f>IFERROR(__xludf.DUMMYFUNCTION("""COMPUTED_VALUE"""),1.174E7)</f>
        <v>11740000</v>
      </c>
      <c r="X2342" s="148">
        <f>IFERROR(__xludf.DUMMYFUNCTION("""COMPUTED_VALUE"""),0.0)</f>
        <v>0</v>
      </c>
      <c r="Y2342" s="148">
        <f>IFERROR(__xludf.DUMMYFUNCTION("""COMPUTED_VALUE"""),0.0)</f>
        <v>0</v>
      </c>
      <c r="Z2342" s="148"/>
    </row>
    <row r="2343">
      <c r="A2343" s="148">
        <f>IFERROR(__xludf.DUMMYFUNCTION("""COMPUTED_VALUE"""),1.1119255E7)</f>
        <v>11119255</v>
      </c>
      <c r="B2343" s="148" t="str">
        <f>IFERROR(__xludf.DUMMYFUNCTION("""COMPUTED_VALUE"""),"黑五折扣-中级打折券")</f>
        <v>黑五折扣-中级打折券</v>
      </c>
      <c r="C2343" s="148"/>
      <c r="D2343" s="148" t="str">
        <f>IFERROR(__xludf.DUMMYFUNCTION("""COMPUTED_VALUE"""),"event")</f>
        <v>event</v>
      </c>
      <c r="E2343" s="148">
        <f>IFERROR(__xludf.DUMMYFUNCTION("""COMPUTED_VALUE"""),0.0)</f>
        <v>0</v>
      </c>
      <c r="F2343" s="148">
        <f>IFERROR(__xludf.DUMMYFUNCTION("""COMPUTED_VALUE"""),405221.0)</f>
        <v>405221</v>
      </c>
      <c r="G2343" s="148">
        <f>IFERROR(__xludf.DUMMYFUNCTION("""COMPUTED_VALUE"""),1.51100845E8)</f>
        <v>151100845</v>
      </c>
      <c r="H2343" s="148">
        <f>IFERROR(__xludf.DUMMYFUNCTION("""COMPUTED_VALUE"""),1.5112563E7)</f>
        <v>15112563</v>
      </c>
      <c r="I2343" s="148" t="str">
        <f>IFERROR(__xludf.DUMMYFUNCTION("""COMPUTED_VALUE"""),"{}")</f>
        <v>{}</v>
      </c>
      <c r="J2343" s="148" t="str">
        <f>IFERROR(__xludf.DUMMYFUNCTION("""COMPUTED_VALUE"""),"{""typ"":""lc"",""txt"":""LC_ITEM_black_friday_discount_name_2""}")</f>
        <v>{"typ":"lc","txt":"LC_ITEM_black_friday_discount_name_2"}</v>
      </c>
      <c r="K2343" s="148" t="str">
        <f>IFERROR(__xludf.DUMMYFUNCTION("""COMPUTED_VALUE"""),"{""typ"":""lc"",""txt"":""LC_ITEM_black_friday_discount_desc_2""}")</f>
        <v>{"typ":"lc","txt":"LC_ITEM_black_friday_discount_desc_2"}</v>
      </c>
      <c r="L2343" s="148" t="str">
        <f>IFERROR(__xludf.DUMMYFUNCTION("""COMPUTED_VALUE"""),"{}")</f>
        <v>{}</v>
      </c>
      <c r="M2343" s="148">
        <f>IFERROR(__xludf.DUMMYFUNCTION("""COMPUTED_VALUE"""),100.0)</f>
        <v>100</v>
      </c>
      <c r="N2343" s="148">
        <f>IFERROR(__xludf.DUMMYFUNCTION("""COMPUTED_VALUE"""),9.99999999E8)</f>
        <v>999999999</v>
      </c>
      <c r="O2343" s="148">
        <f>IFERROR(__xludf.DUMMYFUNCTION("""COMPUTED_VALUE"""),9.99999999E8)</f>
        <v>999999999</v>
      </c>
      <c r="P2343" s="148">
        <f>IFERROR(__xludf.DUMMYFUNCTION("""COMPUTED_VALUE"""),9.99999999E8)</f>
        <v>999999999</v>
      </c>
      <c r="Q2343" s="148" t="str">
        <f>IFERROR(__xludf.DUMMYFUNCTION("""COMPUTED_VALUE"""),"[""bag_other""]")</f>
        <v>["bag_other"]</v>
      </c>
      <c r="R2343" s="148" t="str">
        <f>IFERROR(__xludf.DUMMYFUNCTION("""COMPUTED_VALUE"""),"[]")</f>
        <v>[]</v>
      </c>
      <c r="S2343" s="148" t="str">
        <f>IFERROR(__xludf.DUMMYFUNCTION("""COMPUTED_VALUE"""),"{""effect"":[{""typ"":""iap_scene_discount"",""key"":""fes_actv"",""id"":21127244}]}")</f>
        <v>{"effect":[{"typ":"iap_scene_discount","key":"fes_actv","id":21127244}]}</v>
      </c>
      <c r="T2343" s="148">
        <f>IFERROR(__xludf.DUMMYFUNCTION("""COMPUTED_VALUE"""),-1.0)</f>
        <v>-1</v>
      </c>
      <c r="U2343" s="148">
        <f>IFERROR(__xludf.DUMMYFUNCTION("""COMPUTED_VALUE"""),0.0)</f>
        <v>0</v>
      </c>
      <c r="V2343" s="148" t="str">
        <f>IFERROR(__xludf.DUMMYFUNCTION("""COMPUTED_VALUE"""),"[]")</f>
        <v>[]</v>
      </c>
      <c r="W2343" s="148">
        <f>IFERROR(__xludf.DUMMYFUNCTION("""COMPUTED_VALUE"""),1.174E7)</f>
        <v>11740000</v>
      </c>
      <c r="X2343" s="148">
        <f>IFERROR(__xludf.DUMMYFUNCTION("""COMPUTED_VALUE"""),0.0)</f>
        <v>0</v>
      </c>
      <c r="Y2343" s="148">
        <f>IFERROR(__xludf.DUMMYFUNCTION("""COMPUTED_VALUE"""),0.0)</f>
        <v>0</v>
      </c>
      <c r="Z2343" s="148"/>
    </row>
    <row r="2344">
      <c r="A2344" s="148">
        <f>IFERROR(__xludf.DUMMYFUNCTION("""COMPUTED_VALUE"""),1.1119256E7)</f>
        <v>11119256</v>
      </c>
      <c r="B2344" s="148" t="str">
        <f>IFERROR(__xludf.DUMMYFUNCTION("""COMPUTED_VALUE"""),"黑五折扣-低级打折券")</f>
        <v>黑五折扣-低级打折券</v>
      </c>
      <c r="C2344" s="148"/>
      <c r="D2344" s="148" t="str">
        <f>IFERROR(__xludf.DUMMYFUNCTION("""COMPUTED_VALUE"""),"event")</f>
        <v>event</v>
      </c>
      <c r="E2344" s="148">
        <f>IFERROR(__xludf.DUMMYFUNCTION("""COMPUTED_VALUE"""),0.0)</f>
        <v>0</v>
      </c>
      <c r="F2344" s="148">
        <f>IFERROR(__xludf.DUMMYFUNCTION("""COMPUTED_VALUE"""),405221.0)</f>
        <v>405221</v>
      </c>
      <c r="G2344" s="148">
        <f>IFERROR(__xludf.DUMMYFUNCTION("""COMPUTED_VALUE"""),1.51100846E8)</f>
        <v>151100846</v>
      </c>
      <c r="H2344" s="148">
        <f>IFERROR(__xludf.DUMMYFUNCTION("""COMPUTED_VALUE"""),1.5112562E7)</f>
        <v>15112562</v>
      </c>
      <c r="I2344" s="148" t="str">
        <f>IFERROR(__xludf.DUMMYFUNCTION("""COMPUTED_VALUE"""),"{}")</f>
        <v>{}</v>
      </c>
      <c r="J2344" s="148" t="str">
        <f>IFERROR(__xludf.DUMMYFUNCTION("""COMPUTED_VALUE"""),"{""typ"":""lc"",""txt"":""LC_ITEM_black_friday_discount_name_3""}")</f>
        <v>{"typ":"lc","txt":"LC_ITEM_black_friday_discount_name_3"}</v>
      </c>
      <c r="K2344" s="148" t="str">
        <f>IFERROR(__xludf.DUMMYFUNCTION("""COMPUTED_VALUE"""),"{""typ"":""lc"",""txt"":""LC_ITEM_black_friday_discount_desc_3""}")</f>
        <v>{"typ":"lc","txt":"LC_ITEM_black_friday_discount_desc_3"}</v>
      </c>
      <c r="L2344" s="148" t="str">
        <f>IFERROR(__xludf.DUMMYFUNCTION("""COMPUTED_VALUE"""),"{}")</f>
        <v>{}</v>
      </c>
      <c r="M2344" s="148">
        <f>IFERROR(__xludf.DUMMYFUNCTION("""COMPUTED_VALUE"""),100.0)</f>
        <v>100</v>
      </c>
      <c r="N2344" s="148">
        <f>IFERROR(__xludf.DUMMYFUNCTION("""COMPUTED_VALUE"""),9.99999999E8)</f>
        <v>999999999</v>
      </c>
      <c r="O2344" s="148">
        <f>IFERROR(__xludf.DUMMYFUNCTION("""COMPUTED_VALUE"""),9.99999999E8)</f>
        <v>999999999</v>
      </c>
      <c r="P2344" s="148">
        <f>IFERROR(__xludf.DUMMYFUNCTION("""COMPUTED_VALUE"""),9.99999999E8)</f>
        <v>999999999</v>
      </c>
      <c r="Q2344" s="148" t="str">
        <f>IFERROR(__xludf.DUMMYFUNCTION("""COMPUTED_VALUE"""),"[""bag_other""]")</f>
        <v>["bag_other"]</v>
      </c>
      <c r="R2344" s="148" t="str">
        <f>IFERROR(__xludf.DUMMYFUNCTION("""COMPUTED_VALUE"""),"[]")</f>
        <v>[]</v>
      </c>
      <c r="S2344" s="148" t="str">
        <f>IFERROR(__xludf.DUMMYFUNCTION("""COMPUTED_VALUE"""),"{""effect"":[{""typ"":""iap_scene_discount"",""key"":""fes_actv"",""id"":21127244}]}")</f>
        <v>{"effect":[{"typ":"iap_scene_discount","key":"fes_actv","id":21127244}]}</v>
      </c>
      <c r="T2344" s="148">
        <f>IFERROR(__xludf.DUMMYFUNCTION("""COMPUTED_VALUE"""),-1.0)</f>
        <v>-1</v>
      </c>
      <c r="U2344" s="148">
        <f>IFERROR(__xludf.DUMMYFUNCTION("""COMPUTED_VALUE"""),0.0)</f>
        <v>0</v>
      </c>
      <c r="V2344" s="148" t="str">
        <f>IFERROR(__xludf.DUMMYFUNCTION("""COMPUTED_VALUE"""),"[]")</f>
        <v>[]</v>
      </c>
      <c r="W2344" s="148">
        <f>IFERROR(__xludf.DUMMYFUNCTION("""COMPUTED_VALUE"""),1.174E7)</f>
        <v>11740000</v>
      </c>
      <c r="X2344" s="148">
        <f>IFERROR(__xludf.DUMMYFUNCTION("""COMPUTED_VALUE"""),0.0)</f>
        <v>0</v>
      </c>
      <c r="Y2344" s="148">
        <f>IFERROR(__xludf.DUMMYFUNCTION("""COMPUTED_VALUE"""),0.0)</f>
        <v>0</v>
      </c>
      <c r="Z2344" s="148"/>
    </row>
    <row r="2345">
      <c r="A2345" s="148">
        <f>IFERROR(__xludf.DUMMYFUNCTION("""COMPUTED_VALUE"""),1.1119257E7)</f>
        <v>11119257</v>
      </c>
      <c r="B2345" s="148" t="str">
        <f>IFERROR(__xludf.DUMMYFUNCTION("""COMPUTED_VALUE"""),"春节强消耗扭蛋币")</f>
        <v>春节强消耗扭蛋币</v>
      </c>
      <c r="C2345" s="148"/>
      <c r="D2345" s="148" t="str">
        <f>IFERROR(__xludf.DUMMYFUNCTION("""COMPUTED_VALUE"""),"event")</f>
        <v>event</v>
      </c>
      <c r="E2345" s="148">
        <f>IFERROR(__xludf.DUMMYFUNCTION("""COMPUTED_VALUE"""),0.0)</f>
        <v>0</v>
      </c>
      <c r="F2345" s="148">
        <f>IFERROR(__xludf.DUMMYFUNCTION("""COMPUTED_VALUE"""),0.0)</f>
        <v>0</v>
      </c>
      <c r="G2345" s="148">
        <f>IFERROR(__xludf.DUMMYFUNCTION("""COMPUTED_VALUE"""),1.5119837E7)</f>
        <v>15119837</v>
      </c>
      <c r="H2345" s="148">
        <f>IFERROR(__xludf.DUMMYFUNCTION("""COMPUTED_VALUE"""),1.5112564E7)</f>
        <v>15112564</v>
      </c>
      <c r="I2345" s="148" t="str">
        <f>IFERROR(__xludf.DUMMYFUNCTION("""COMPUTED_VALUE"""),"{}")</f>
        <v>{}</v>
      </c>
      <c r="J2345" s="148" t="str">
        <f>IFERROR(__xludf.DUMMYFUNCTION("""COMPUTED_VALUE"""),"{""typ"":""lc"",""txt"":""LC_ITEM_new_strong_consume_gacha_token1_name_hallo_2024""}")</f>
        <v>{"typ":"lc","txt":"LC_ITEM_new_strong_consume_gacha_token1_name_hallo_2024"}</v>
      </c>
      <c r="K2345" s="148" t="str">
        <f>IFERROR(__xludf.DUMMYFUNCTION("""COMPUTED_VALUE"""),"{""typ"":""lc"",""txt"":""LC_ITEM_new_strong_consume_gacha_token1_desc_hallo_2024""}")</f>
        <v>{"typ":"lc","txt":"LC_ITEM_new_strong_consume_gacha_token1_desc_hallo_2024"}</v>
      </c>
      <c r="L2345" s="148" t="str">
        <f>IFERROR(__xludf.DUMMYFUNCTION("""COMPUTED_VALUE"""),"{}")</f>
        <v>{}</v>
      </c>
      <c r="M2345" s="148">
        <f>IFERROR(__xludf.DUMMYFUNCTION("""COMPUTED_VALUE"""),250.0)</f>
        <v>250</v>
      </c>
      <c r="N2345" s="148">
        <f>IFERROR(__xludf.DUMMYFUNCTION("""COMPUTED_VALUE"""),999999.0)</f>
        <v>999999</v>
      </c>
      <c r="O2345" s="148">
        <f>IFERROR(__xludf.DUMMYFUNCTION("""COMPUTED_VALUE"""),99999.0)</f>
        <v>99999</v>
      </c>
      <c r="P2345" s="148">
        <f>IFERROR(__xludf.DUMMYFUNCTION("""COMPUTED_VALUE"""),9999.0)</f>
        <v>9999</v>
      </c>
      <c r="Q2345" s="148" t="str">
        <f>IFERROR(__xludf.DUMMYFUNCTION("""COMPUTED_VALUE"""),"[""bag_other""]")</f>
        <v>["bag_other"]</v>
      </c>
      <c r="R2345" s="148" t="str">
        <f>IFERROR(__xludf.DUMMYFUNCTION("""COMPUTED_VALUE"""),"[]")</f>
        <v>[]</v>
      </c>
      <c r="S2345" s="148" t="str">
        <f>IFERROR(__xludf.DUMMYFUNCTION("""COMPUTED_VALUE"""),"{}")</f>
        <v>{}</v>
      </c>
      <c r="T2345" s="148">
        <f>IFERROR(__xludf.DUMMYFUNCTION("""COMPUTED_VALUE"""),-1.0)</f>
        <v>-1</v>
      </c>
      <c r="U2345" s="148">
        <f>IFERROR(__xludf.DUMMYFUNCTION("""COMPUTED_VALUE"""),0.0)</f>
        <v>0</v>
      </c>
      <c r="V2345" s="148" t="str">
        <f>IFERROR(__xludf.DUMMYFUNCTION("""COMPUTED_VALUE"""),"[]")</f>
        <v>[]</v>
      </c>
      <c r="W2345" s="148">
        <f>IFERROR(__xludf.DUMMYFUNCTION("""COMPUTED_VALUE"""),1.174E7)</f>
        <v>11740000</v>
      </c>
      <c r="X2345" s="148">
        <f>IFERROR(__xludf.DUMMYFUNCTION("""COMPUTED_VALUE"""),0.0)</f>
        <v>0</v>
      </c>
      <c r="Y2345" s="148">
        <f>IFERROR(__xludf.DUMMYFUNCTION("""COMPUTED_VALUE"""),0.0)</f>
        <v>0</v>
      </c>
      <c r="Z2345" s="148"/>
    </row>
    <row r="2346">
      <c r="A2346" s="148">
        <f>IFERROR(__xludf.DUMMYFUNCTION("""COMPUTED_VALUE"""),1.1119258E7)</f>
        <v>11119258</v>
      </c>
      <c r="B2346" s="148" t="str">
        <f>IFERROR(__xludf.DUMMYFUNCTION("""COMPUTED_VALUE"""),"春节强消耗抽奖券")</f>
        <v>春节强消耗抽奖券</v>
      </c>
      <c r="C2346" s="148"/>
      <c r="D2346" s="148" t="str">
        <f>IFERROR(__xludf.DUMMYFUNCTION("""COMPUTED_VALUE"""),"event")</f>
        <v>event</v>
      </c>
      <c r="E2346" s="148">
        <f>IFERROR(__xludf.DUMMYFUNCTION("""COMPUTED_VALUE"""),0.0)</f>
        <v>0</v>
      </c>
      <c r="F2346" s="148">
        <f>IFERROR(__xludf.DUMMYFUNCTION("""COMPUTED_VALUE"""),0.0)</f>
        <v>0</v>
      </c>
      <c r="G2346" s="148">
        <f>IFERROR(__xludf.DUMMYFUNCTION("""COMPUTED_VALUE"""),1.5119836E7)</f>
        <v>15119836</v>
      </c>
      <c r="H2346" s="148">
        <f>IFERROR(__xludf.DUMMYFUNCTION("""COMPUTED_VALUE"""),1.5112564E7)</f>
        <v>15112564</v>
      </c>
      <c r="I2346" s="148" t="str">
        <f>IFERROR(__xludf.DUMMYFUNCTION("""COMPUTED_VALUE"""),"{}")</f>
        <v>{}</v>
      </c>
      <c r="J2346" s="148" t="str">
        <f>IFERROR(__xludf.DUMMYFUNCTION("""COMPUTED_VALUE"""),"{""typ"":""lc"",""txt"":""LC_ITEM_new_strong_consume_gacha_token2_name""}")</f>
        <v>{"typ":"lc","txt":"LC_ITEM_new_strong_consume_gacha_token2_name"}</v>
      </c>
      <c r="K2346" s="148" t="str">
        <f>IFERROR(__xludf.DUMMYFUNCTION("""COMPUTED_VALUE"""),"{""typ"":""lc"",""txt"":""LC_ITEM_new_strong_consume_gacha_token2_desc""}")</f>
        <v>{"typ":"lc","txt":"LC_ITEM_new_strong_consume_gacha_token2_desc"}</v>
      </c>
      <c r="L2346" s="148" t="str">
        <f>IFERROR(__xludf.DUMMYFUNCTION("""COMPUTED_VALUE"""),"{}")</f>
        <v>{}</v>
      </c>
      <c r="M2346" s="148">
        <f>IFERROR(__xludf.DUMMYFUNCTION("""COMPUTED_VALUE"""),125.0)</f>
        <v>125</v>
      </c>
      <c r="N2346" s="148">
        <f>IFERROR(__xludf.DUMMYFUNCTION("""COMPUTED_VALUE"""),999999.0)</f>
        <v>999999</v>
      </c>
      <c r="O2346" s="148">
        <f>IFERROR(__xludf.DUMMYFUNCTION("""COMPUTED_VALUE"""),99999.0)</f>
        <v>99999</v>
      </c>
      <c r="P2346" s="148">
        <f>IFERROR(__xludf.DUMMYFUNCTION("""COMPUTED_VALUE"""),9999.0)</f>
        <v>9999</v>
      </c>
      <c r="Q2346" s="148" t="str">
        <f>IFERROR(__xludf.DUMMYFUNCTION("""COMPUTED_VALUE"""),"[""bag_other""]")</f>
        <v>["bag_other"]</v>
      </c>
      <c r="R2346" s="148" t="str">
        <f>IFERROR(__xludf.DUMMYFUNCTION("""COMPUTED_VALUE"""),"[]")</f>
        <v>[]</v>
      </c>
      <c r="S2346" s="148" t="str">
        <f>IFERROR(__xludf.DUMMYFUNCTION("""COMPUTED_VALUE"""),"{}")</f>
        <v>{}</v>
      </c>
      <c r="T2346" s="148">
        <f>IFERROR(__xludf.DUMMYFUNCTION("""COMPUTED_VALUE"""),-1.0)</f>
        <v>-1</v>
      </c>
      <c r="U2346" s="148">
        <f>IFERROR(__xludf.DUMMYFUNCTION("""COMPUTED_VALUE"""),0.0)</f>
        <v>0</v>
      </c>
      <c r="V2346" s="148" t="str">
        <f>IFERROR(__xludf.DUMMYFUNCTION("""COMPUTED_VALUE"""),"[]")</f>
        <v>[]</v>
      </c>
      <c r="W2346" s="148">
        <f>IFERROR(__xludf.DUMMYFUNCTION("""COMPUTED_VALUE"""),1.174E7)</f>
        <v>11740000</v>
      </c>
      <c r="X2346" s="148">
        <f>IFERROR(__xludf.DUMMYFUNCTION("""COMPUTED_VALUE"""),0.0)</f>
        <v>0</v>
      </c>
      <c r="Y2346" s="148">
        <f>IFERROR(__xludf.DUMMYFUNCTION("""COMPUTED_VALUE"""),0.0)</f>
        <v>0</v>
      </c>
      <c r="Z2346" s="148"/>
    </row>
    <row r="2347">
      <c r="A2347" s="148">
        <f>IFERROR(__xludf.DUMMYFUNCTION("""COMPUTED_VALUE"""),1.1119259E7)</f>
        <v>11119259</v>
      </c>
      <c r="B2347" s="148" t="str">
        <f>IFERROR(__xludf.DUMMYFUNCTION("""COMPUTED_VALUE"""),"情人节强消耗扭蛋币")</f>
        <v>情人节强消耗扭蛋币</v>
      </c>
      <c r="C2347" s="148"/>
      <c r="D2347" s="148" t="str">
        <f>IFERROR(__xludf.DUMMYFUNCTION("""COMPUTED_VALUE"""),"event")</f>
        <v>event</v>
      </c>
      <c r="E2347" s="148">
        <f>IFERROR(__xludf.DUMMYFUNCTION("""COMPUTED_VALUE"""),0.0)</f>
        <v>0</v>
      </c>
      <c r="F2347" s="148">
        <f>IFERROR(__xludf.DUMMYFUNCTION("""COMPUTED_VALUE"""),0.0)</f>
        <v>0</v>
      </c>
      <c r="G2347" s="148">
        <f>IFERROR(__xludf.DUMMYFUNCTION("""COMPUTED_VALUE"""),1.5119837E7)</f>
        <v>15119837</v>
      </c>
      <c r="H2347" s="148">
        <f>IFERROR(__xludf.DUMMYFUNCTION("""COMPUTED_VALUE"""),1.5112564E7)</f>
        <v>15112564</v>
      </c>
      <c r="I2347" s="148" t="str">
        <f>IFERROR(__xludf.DUMMYFUNCTION("""COMPUTED_VALUE"""),"{}")</f>
        <v>{}</v>
      </c>
      <c r="J2347" s="148" t="str">
        <f>IFERROR(__xludf.DUMMYFUNCTION("""COMPUTED_VALUE"""),"{""typ"":""lc"",""txt"":""LC_ITEM_new_strong_consume_gacha_token1_name_hallo_2024""}")</f>
        <v>{"typ":"lc","txt":"LC_ITEM_new_strong_consume_gacha_token1_name_hallo_2024"}</v>
      </c>
      <c r="K2347" s="148" t="str">
        <f>IFERROR(__xludf.DUMMYFUNCTION("""COMPUTED_VALUE"""),"{""typ"":""lc"",""txt"":""LC_ITEM_new_strong_consume_gacha_token1_desc_hallo_2024""}")</f>
        <v>{"typ":"lc","txt":"LC_ITEM_new_strong_consume_gacha_token1_desc_hallo_2024"}</v>
      </c>
      <c r="L2347" s="148" t="str">
        <f>IFERROR(__xludf.DUMMYFUNCTION("""COMPUTED_VALUE"""),"{}")</f>
        <v>{}</v>
      </c>
      <c r="M2347" s="148">
        <f>IFERROR(__xludf.DUMMYFUNCTION("""COMPUTED_VALUE"""),250.0)</f>
        <v>250</v>
      </c>
      <c r="N2347" s="148">
        <f>IFERROR(__xludf.DUMMYFUNCTION("""COMPUTED_VALUE"""),999999.0)</f>
        <v>999999</v>
      </c>
      <c r="O2347" s="148">
        <f>IFERROR(__xludf.DUMMYFUNCTION("""COMPUTED_VALUE"""),99999.0)</f>
        <v>99999</v>
      </c>
      <c r="P2347" s="148">
        <f>IFERROR(__xludf.DUMMYFUNCTION("""COMPUTED_VALUE"""),9999.0)</f>
        <v>9999</v>
      </c>
      <c r="Q2347" s="148" t="str">
        <f>IFERROR(__xludf.DUMMYFUNCTION("""COMPUTED_VALUE"""),"[""bag_other""]")</f>
        <v>["bag_other"]</v>
      </c>
      <c r="R2347" s="148" t="str">
        <f>IFERROR(__xludf.DUMMYFUNCTION("""COMPUTED_VALUE"""),"[]")</f>
        <v>[]</v>
      </c>
      <c r="S2347" s="148" t="str">
        <f>IFERROR(__xludf.DUMMYFUNCTION("""COMPUTED_VALUE"""),"{}")</f>
        <v>{}</v>
      </c>
      <c r="T2347" s="148">
        <f>IFERROR(__xludf.DUMMYFUNCTION("""COMPUTED_VALUE"""),-1.0)</f>
        <v>-1</v>
      </c>
      <c r="U2347" s="148">
        <f>IFERROR(__xludf.DUMMYFUNCTION("""COMPUTED_VALUE"""),0.0)</f>
        <v>0</v>
      </c>
      <c r="V2347" s="148" t="str">
        <f>IFERROR(__xludf.DUMMYFUNCTION("""COMPUTED_VALUE"""),"[]")</f>
        <v>[]</v>
      </c>
      <c r="W2347" s="148">
        <f>IFERROR(__xludf.DUMMYFUNCTION("""COMPUTED_VALUE"""),1.174E7)</f>
        <v>11740000</v>
      </c>
      <c r="X2347" s="148">
        <f>IFERROR(__xludf.DUMMYFUNCTION("""COMPUTED_VALUE"""),0.0)</f>
        <v>0</v>
      </c>
      <c r="Y2347" s="148">
        <f>IFERROR(__xludf.DUMMYFUNCTION("""COMPUTED_VALUE"""),0.0)</f>
        <v>0</v>
      </c>
      <c r="Z2347" s="148"/>
    </row>
    <row r="2348">
      <c r="A2348" s="148">
        <f>IFERROR(__xludf.DUMMYFUNCTION("""COMPUTED_VALUE"""),1.111926E7)</f>
        <v>11119260</v>
      </c>
      <c r="B2348" s="148" t="str">
        <f>IFERROR(__xludf.DUMMYFUNCTION("""COMPUTED_VALUE"""),"情人节强消耗抽奖券")</f>
        <v>情人节强消耗抽奖券</v>
      </c>
      <c r="C2348" s="148"/>
      <c r="D2348" s="148" t="str">
        <f>IFERROR(__xludf.DUMMYFUNCTION("""COMPUTED_VALUE"""),"event")</f>
        <v>event</v>
      </c>
      <c r="E2348" s="148">
        <f>IFERROR(__xludf.DUMMYFUNCTION("""COMPUTED_VALUE"""),0.0)</f>
        <v>0</v>
      </c>
      <c r="F2348" s="148">
        <f>IFERROR(__xludf.DUMMYFUNCTION("""COMPUTED_VALUE"""),0.0)</f>
        <v>0</v>
      </c>
      <c r="G2348" s="148">
        <f>IFERROR(__xludf.DUMMYFUNCTION("""COMPUTED_VALUE"""),1.5119836E7)</f>
        <v>15119836</v>
      </c>
      <c r="H2348" s="148">
        <f>IFERROR(__xludf.DUMMYFUNCTION("""COMPUTED_VALUE"""),1.5112564E7)</f>
        <v>15112564</v>
      </c>
      <c r="I2348" s="148" t="str">
        <f>IFERROR(__xludf.DUMMYFUNCTION("""COMPUTED_VALUE"""),"{}")</f>
        <v>{}</v>
      </c>
      <c r="J2348" s="148" t="str">
        <f>IFERROR(__xludf.DUMMYFUNCTION("""COMPUTED_VALUE"""),"{""typ"":""lc"",""txt"":""LC_ITEM_new_strong_consume_gacha_token2_name""}")</f>
        <v>{"typ":"lc","txt":"LC_ITEM_new_strong_consume_gacha_token2_name"}</v>
      </c>
      <c r="K2348" s="148" t="str">
        <f>IFERROR(__xludf.DUMMYFUNCTION("""COMPUTED_VALUE"""),"{""typ"":""lc"",""txt"":""LC_ITEM_new_strong_consume_gacha_token2_desc""}")</f>
        <v>{"typ":"lc","txt":"LC_ITEM_new_strong_consume_gacha_token2_desc"}</v>
      </c>
      <c r="L2348" s="148" t="str">
        <f>IFERROR(__xludf.DUMMYFUNCTION("""COMPUTED_VALUE"""),"{}")</f>
        <v>{}</v>
      </c>
      <c r="M2348" s="148">
        <f>IFERROR(__xludf.DUMMYFUNCTION("""COMPUTED_VALUE"""),125.0)</f>
        <v>125</v>
      </c>
      <c r="N2348" s="148">
        <f>IFERROR(__xludf.DUMMYFUNCTION("""COMPUTED_VALUE"""),999999.0)</f>
        <v>999999</v>
      </c>
      <c r="O2348" s="148">
        <f>IFERROR(__xludf.DUMMYFUNCTION("""COMPUTED_VALUE"""),99999.0)</f>
        <v>99999</v>
      </c>
      <c r="P2348" s="148">
        <f>IFERROR(__xludf.DUMMYFUNCTION("""COMPUTED_VALUE"""),9999.0)</f>
        <v>9999</v>
      </c>
      <c r="Q2348" s="148" t="str">
        <f>IFERROR(__xludf.DUMMYFUNCTION("""COMPUTED_VALUE"""),"[""bag_other""]")</f>
        <v>["bag_other"]</v>
      </c>
      <c r="R2348" s="148" t="str">
        <f>IFERROR(__xludf.DUMMYFUNCTION("""COMPUTED_VALUE"""),"[]")</f>
        <v>[]</v>
      </c>
      <c r="S2348" s="148" t="str">
        <f>IFERROR(__xludf.DUMMYFUNCTION("""COMPUTED_VALUE"""),"{""effect"":[{""typ"":""actv_open"",""arg2"":[21127314,21127315]}]}")</f>
        <v>{"effect":[{"typ":"actv_open","arg2":[21127314,21127315]}]}</v>
      </c>
      <c r="T2348" s="148">
        <f>IFERROR(__xludf.DUMMYFUNCTION("""COMPUTED_VALUE"""),-1.0)</f>
        <v>-1</v>
      </c>
      <c r="U2348" s="148">
        <f>IFERROR(__xludf.DUMMYFUNCTION("""COMPUTED_VALUE"""),0.0)</f>
        <v>0</v>
      </c>
      <c r="V2348" s="148" t="str">
        <f>IFERROR(__xludf.DUMMYFUNCTION("""COMPUTED_VALUE"""),"[]")</f>
        <v>[]</v>
      </c>
      <c r="W2348" s="148">
        <f>IFERROR(__xludf.DUMMYFUNCTION("""COMPUTED_VALUE"""),1.174E7)</f>
        <v>11740000</v>
      </c>
      <c r="X2348" s="148">
        <f>IFERROR(__xludf.DUMMYFUNCTION("""COMPUTED_VALUE"""),0.0)</f>
        <v>0</v>
      </c>
      <c r="Y2348" s="148">
        <f>IFERROR(__xludf.DUMMYFUNCTION("""COMPUTED_VALUE"""),0.0)</f>
        <v>0</v>
      </c>
      <c r="Z2348" s="148"/>
    </row>
    <row r="2349">
      <c r="A2349" s="148">
        <f>IFERROR(__xludf.DUMMYFUNCTION("""COMPUTED_VALUE"""),1.1119261E7)</f>
        <v>11119261</v>
      </c>
      <c r="B2349" s="148" t="str">
        <f>IFERROR(__xludf.DUMMYFUNCTION("""COMPUTED_VALUE"""),"情人节2025连锁任务宝箱")</f>
        <v>情人节2025连锁任务宝箱</v>
      </c>
      <c r="C2349" s="148"/>
      <c r="D2349" s="148" t="str">
        <f>IFERROR(__xludf.DUMMYFUNCTION("""COMPUTED_VALUE"""),"item_asset")</f>
        <v>item_asset</v>
      </c>
      <c r="E2349" s="148">
        <f>IFERROR(__xludf.DUMMYFUNCTION("""COMPUTED_VALUE"""),19.0)</f>
        <v>19</v>
      </c>
      <c r="F2349" s="148">
        <f>IFERROR(__xludf.DUMMYFUNCTION("""COMPUTED_VALUE"""),403308.0)</f>
        <v>403308</v>
      </c>
      <c r="G2349" s="148">
        <f>IFERROR(__xludf.DUMMYFUNCTION("""COMPUTED_VALUE"""),1.5113556E7)</f>
        <v>15113556</v>
      </c>
      <c r="H2349" s="148">
        <f>IFERROR(__xludf.DUMMYFUNCTION("""COMPUTED_VALUE"""),1.5112564E7)</f>
        <v>15112564</v>
      </c>
      <c r="I2349" s="148" t="str">
        <f>IFERROR(__xludf.DUMMYFUNCTION("""COMPUTED_VALUE"""),"{}")</f>
        <v>{}</v>
      </c>
      <c r="J2349" s="148" t="str">
        <f>IFERROR(__xludf.DUMMYFUNCTION("""COMPUTED_VALUE"""),"{""typ"":""lc"",""txt"":""LC_ITEM_valentine_chain_task_2025_box_name""}")</f>
        <v>{"typ":"lc","txt":"LC_ITEM_valentine_chain_task_2025_box_name"}</v>
      </c>
      <c r="K2349" s="148" t="str">
        <f>IFERROR(__xludf.DUMMYFUNCTION("""COMPUTED_VALUE"""),"{""typ"":""lc"",""txt"":""LC_ITEM_valentine_chain_task_2025_box_desc""}")</f>
        <v>{"typ":"lc","txt":"LC_ITEM_valentine_chain_task_2025_box_desc"}</v>
      </c>
      <c r="L2349" s="148" t="str">
        <f>IFERROR(__xludf.DUMMYFUNCTION("""COMPUTED_VALUE"""),"{}")</f>
        <v>{}</v>
      </c>
      <c r="M2349" s="148">
        <f>IFERROR(__xludf.DUMMYFUNCTION("""COMPUTED_VALUE"""),140.0)</f>
        <v>140</v>
      </c>
      <c r="N2349" s="148">
        <f>IFERROR(__xludf.DUMMYFUNCTION("""COMPUTED_VALUE"""),999999.0)</f>
        <v>999999</v>
      </c>
      <c r="O2349" s="148">
        <f>IFERROR(__xludf.DUMMYFUNCTION("""COMPUTED_VALUE"""),99999.0)</f>
        <v>99999</v>
      </c>
      <c r="P2349" s="148">
        <f>IFERROR(__xludf.DUMMYFUNCTION("""COMPUTED_VALUE"""),9999.0)</f>
        <v>9999</v>
      </c>
      <c r="Q2349" s="148" t="str">
        <f>IFERROR(__xludf.DUMMYFUNCTION("""COMPUTED_VALUE"""),"[""bag_other""]")</f>
        <v>["bag_other"]</v>
      </c>
      <c r="R2349" s="148" t="str">
        <f>IFERROR(__xludf.DUMMYFUNCTION("""COMPUTED_VALUE"""),"[""bag""]")</f>
        <v>["bag"]</v>
      </c>
      <c r="S2349" s="148" t="str">
        <f>IFERROR(__xludf.DUMMYFUNCTION("""COMPUTED_VALUE"""),"{""drop"":{""typ"":""single_random"",""num"":1,""args"":[{""typ"":""item"",""id"":11112900,""num"":2,""wgt"":20},{""typ"":""item"",""id"":11112408,""num"":2,""wgt"":20},{""typ"":""item"",""id"":11119260,""num"":2,""wgt"":20},{""typ"":""item"",""id"":11116"&amp;"304,""num"":1,""wgt"":5},{""typ"":""item"",""id"":11116110,""num"":1,""wgt"":20},{""typ"":""item"",""id"":11114330,""num"":1,""wgt"":100},{""typ"":""item"",""id"":11111155,""num"":2,""wgt"":100},{""typ"":""item"",""id"":11111105,""num"":1,""wgt"":50}]}}")</f>
        <v>{"drop":{"typ":"single_random","num":1,"args":[{"typ":"item","id":11112900,"num":2,"wgt":20},{"typ":"item","id":11112408,"num":2,"wgt":20},{"typ":"item","id":11119260,"num":2,"wgt":20},{"typ":"item","id":11116304,"num":1,"wgt":5},{"typ":"item","id":11116110,"num":1,"wgt":20},{"typ":"item","id":11114330,"num":1,"wgt":100},{"typ":"item","id":11111155,"num":2,"wgt":100},{"typ":"item","id":11111105,"num":1,"wgt":50}]}}</v>
      </c>
      <c r="T2349" s="148">
        <f>IFERROR(__xludf.DUMMYFUNCTION("""COMPUTED_VALUE"""),-1.0)</f>
        <v>-1</v>
      </c>
      <c r="U2349" s="148">
        <f>IFERROR(__xludf.DUMMYFUNCTION("""COMPUTED_VALUE"""),0.0)</f>
        <v>0</v>
      </c>
      <c r="V2349" s="148" t="str">
        <f>IFERROR(__xludf.DUMMYFUNCTION("""COMPUTED_VALUE"""),"[]")</f>
        <v>[]</v>
      </c>
      <c r="W2349" s="148">
        <f>IFERROR(__xludf.DUMMYFUNCTION("""COMPUTED_VALUE"""),1.174E7)</f>
        <v>11740000</v>
      </c>
      <c r="X2349" s="148">
        <f>IFERROR(__xludf.DUMMYFUNCTION("""COMPUTED_VALUE"""),0.0)</f>
        <v>0</v>
      </c>
      <c r="Y2349" s="148">
        <f>IFERROR(__xludf.DUMMYFUNCTION("""COMPUTED_VALUE"""),0.0)</f>
        <v>0</v>
      </c>
      <c r="Z2349" s="148"/>
    </row>
    <row r="2350">
      <c r="A2350" s="148">
        <f>IFERROR(__xludf.DUMMYFUNCTION("""COMPUTED_VALUE"""),1.1119262E7)</f>
        <v>11119262</v>
      </c>
      <c r="B2350" s="148" t="str">
        <f>IFERROR(__xludf.DUMMYFUNCTION("""COMPUTED_VALUE"""),"连锁任务通用-增加次数道具")</f>
        <v>连锁任务通用-增加次数道具</v>
      </c>
      <c r="C2350" s="148"/>
      <c r="D2350" s="148" t="str">
        <f>IFERROR(__xludf.DUMMYFUNCTION("""COMPUTED_VALUE"""),"event_progress")</f>
        <v>event_progress</v>
      </c>
      <c r="E2350" s="148">
        <f>IFERROR(__xludf.DUMMYFUNCTION("""COMPUTED_VALUE"""),0.0)</f>
        <v>0</v>
      </c>
      <c r="F2350" s="148">
        <f>IFERROR(__xludf.DUMMYFUNCTION("""COMPUTED_VALUE"""),0.0)</f>
        <v>0</v>
      </c>
      <c r="G2350" s="148">
        <f>IFERROR(__xludf.DUMMYFUNCTION("""COMPUTED_VALUE"""),1.51101847E8)</f>
        <v>151101847</v>
      </c>
      <c r="H2350" s="148">
        <f>IFERROR(__xludf.DUMMYFUNCTION("""COMPUTED_VALUE"""),1.5112563E7)</f>
        <v>15112563</v>
      </c>
      <c r="I2350" s="148" t="str">
        <f>IFERROR(__xludf.DUMMYFUNCTION("""COMPUTED_VALUE"""),"{}")</f>
        <v>{}</v>
      </c>
      <c r="J2350" s="148" t="str">
        <f>IFERROR(__xludf.DUMMYFUNCTION("""COMPUTED_VALUE"""),"{""typ"":""lc"",""txt"":""LC_ITEM_labor_chain_task_2025_progress_item_name""}")</f>
        <v>{"typ":"lc","txt":"LC_ITEM_labor_chain_task_2025_progress_item_name"}</v>
      </c>
      <c r="K2350" s="148" t="str">
        <f>IFERROR(__xludf.DUMMYFUNCTION("""COMPUTED_VALUE"""),"{""typ"":""lc"",""txt"":""LC_ITEM_labor_chain_task_2025_progress_item_name""}")</f>
        <v>{"typ":"lc","txt":"LC_ITEM_labor_chain_task_2025_progress_item_name"}</v>
      </c>
      <c r="L2350" s="148" t="str">
        <f>IFERROR(__xludf.DUMMYFUNCTION("""COMPUTED_VALUE"""),"{}")</f>
        <v>{}</v>
      </c>
      <c r="M2350" s="148">
        <f>IFERROR(__xludf.DUMMYFUNCTION("""COMPUTED_VALUE"""),1.0)</f>
        <v>1</v>
      </c>
      <c r="N2350" s="148">
        <f>IFERROR(__xludf.DUMMYFUNCTION("""COMPUTED_VALUE"""),999999.0)</f>
        <v>999999</v>
      </c>
      <c r="O2350" s="148">
        <f>IFERROR(__xludf.DUMMYFUNCTION("""COMPUTED_VALUE"""),99999.0)</f>
        <v>99999</v>
      </c>
      <c r="P2350" s="148">
        <f>IFERROR(__xludf.DUMMYFUNCTION("""COMPUTED_VALUE"""),9999.0)</f>
        <v>9999</v>
      </c>
      <c r="Q2350" s="148" t="str">
        <f>IFERROR(__xludf.DUMMYFUNCTION("""COMPUTED_VALUE"""),"[]")</f>
        <v>[]</v>
      </c>
      <c r="R2350" s="148" t="str">
        <f>IFERROR(__xludf.DUMMYFUNCTION("""COMPUTED_VALUE"""),"[]")</f>
        <v>[]</v>
      </c>
      <c r="S2350" s="148" t="str">
        <f>IFERROR(__xludf.DUMMYFUNCTION("""COMPUTED_VALUE"""),"{""effect"":[{""typ"":""event"",""id"":21127468}]}")</f>
        <v>{"effect":[{"typ":"event","id":21127468}]}</v>
      </c>
      <c r="T2350" s="148">
        <f>IFERROR(__xludf.DUMMYFUNCTION("""COMPUTED_VALUE"""),-1.0)</f>
        <v>-1</v>
      </c>
      <c r="U2350" s="148">
        <f>IFERROR(__xludf.DUMMYFUNCTION("""COMPUTED_VALUE"""),1.0)</f>
        <v>1</v>
      </c>
      <c r="V2350" s="148" t="str">
        <f>IFERROR(__xludf.DUMMYFUNCTION("""COMPUTED_VALUE"""),"[]")</f>
        <v>[]</v>
      </c>
      <c r="W2350" s="148">
        <f>IFERROR(__xludf.DUMMYFUNCTION("""COMPUTED_VALUE"""),1.174E7)</f>
        <v>11740000</v>
      </c>
      <c r="X2350" s="148">
        <f>IFERROR(__xludf.DUMMYFUNCTION("""COMPUTED_VALUE"""),0.0)</f>
        <v>0</v>
      </c>
      <c r="Y2350" s="148">
        <f>IFERROR(__xludf.DUMMYFUNCTION("""COMPUTED_VALUE"""),0.0)</f>
        <v>0</v>
      </c>
      <c r="Z2350" s="148"/>
    </row>
    <row r="2351">
      <c r="A2351" s="148">
        <f>IFERROR(__xludf.DUMMYFUNCTION("""COMPUTED_VALUE"""),1.1119263E7)</f>
        <v>11119263</v>
      </c>
      <c r="B2351" s="148" t="str">
        <f>IFERROR(__xludf.DUMMYFUNCTION("""COMPUTED_VALUE"""),"超星驱动器-红一代战装自选")</f>
        <v>超星驱动器-红一代战装自选</v>
      </c>
      <c r="C2351" s="148"/>
      <c r="D2351" s="148" t="str">
        <f>IFERROR(__xludf.DUMMYFUNCTION("""COMPUTED_VALUE"""),"hero_equipment")</f>
        <v>hero_equipment</v>
      </c>
      <c r="E2351" s="148">
        <f>IFERROR(__xludf.DUMMYFUNCTION("""COMPUTED_VALUE"""),0.0)</f>
        <v>0</v>
      </c>
      <c r="F2351" s="148">
        <f>IFERROR(__xludf.DUMMYFUNCTION("""COMPUTED_VALUE"""),0.0)</f>
        <v>0</v>
      </c>
      <c r="G2351" s="148">
        <f>IFERROR(__xludf.DUMMYFUNCTION("""COMPUTED_VALUE"""),1.5117544E7)</f>
        <v>15117544</v>
      </c>
      <c r="H2351" s="148">
        <f>IFERROR(__xludf.DUMMYFUNCTION("""COMPUTED_VALUE"""),1.5115983E7)</f>
        <v>15115983</v>
      </c>
      <c r="I2351" s="148" t="str">
        <f>IFERROR(__xludf.DUMMYFUNCTION("""COMPUTED_VALUE"""),"{}")</f>
        <v>{}</v>
      </c>
      <c r="J2351" s="148" t="str">
        <f>IFERROR(__xludf.DUMMYFUNCTION("""COMPUTED_VALUE"""),"{""typ"":""lc"",""txt"":""LC_HERO_equipment_name49""}")</f>
        <v>{"typ":"lc","txt":"LC_HERO_equipment_name49"}</v>
      </c>
      <c r="K2351" s="148" t="str">
        <f>IFERROR(__xludf.DUMMYFUNCTION("""COMPUTED_VALUE"""),"{}")</f>
        <v>{}</v>
      </c>
      <c r="L2351" s="148" t="str">
        <f>IFERROR(__xludf.DUMMYFUNCTION("""COMPUTED_VALUE"""),"{}")</f>
        <v>{}</v>
      </c>
      <c r="M2351" s="148">
        <f>IFERROR(__xludf.DUMMYFUNCTION("""COMPUTED_VALUE"""),1.0)</f>
        <v>1</v>
      </c>
      <c r="N2351" s="148">
        <f>IFERROR(__xludf.DUMMYFUNCTION("""COMPUTED_VALUE"""),999.0)</f>
        <v>999</v>
      </c>
      <c r="O2351" s="148">
        <f>IFERROR(__xludf.DUMMYFUNCTION("""COMPUTED_VALUE"""),999.0)</f>
        <v>999</v>
      </c>
      <c r="P2351" s="148">
        <f>IFERROR(__xludf.DUMMYFUNCTION("""COMPUTED_VALUE"""),999.0)</f>
        <v>999</v>
      </c>
      <c r="Q2351" s="148" t="str">
        <f>IFERROR(__xludf.DUMMYFUNCTION("""COMPUTED_VALUE"""),"[]")</f>
        <v>[]</v>
      </c>
      <c r="R2351" s="148" t="str">
        <f>IFERROR(__xludf.DUMMYFUNCTION("""COMPUTED_VALUE"""),"[]")</f>
        <v>[]</v>
      </c>
      <c r="S2351" s="148" t="str">
        <f>IFERROR(__xludf.DUMMYFUNCTION("""COMPUTED_VALUE"""),"{""effect"":[{""typ"":""hero_equipment"",""id"":19356025,""val"":1}]}")</f>
        <v>{"effect":[{"typ":"hero_equipment","id":19356025,"val":1}]}</v>
      </c>
      <c r="T2351" s="148">
        <f>IFERROR(__xludf.DUMMYFUNCTION("""COMPUTED_VALUE"""),-1.0)</f>
        <v>-1</v>
      </c>
      <c r="U2351" s="148">
        <f>IFERROR(__xludf.DUMMYFUNCTION("""COMPUTED_VALUE"""),1.0)</f>
        <v>1</v>
      </c>
      <c r="V2351" s="148" t="str">
        <f>IFERROR(__xludf.DUMMYFUNCTION("""COMPUTED_VALUE"""),"[]")</f>
        <v>[]</v>
      </c>
      <c r="W2351" s="148">
        <f>IFERROR(__xludf.DUMMYFUNCTION("""COMPUTED_VALUE"""),1.174E7)</f>
        <v>11740000</v>
      </c>
      <c r="X2351" s="148">
        <f>IFERROR(__xludf.DUMMYFUNCTION("""COMPUTED_VALUE"""),0.0)</f>
        <v>0</v>
      </c>
      <c r="Y2351" s="148">
        <f>IFERROR(__xludf.DUMMYFUNCTION("""COMPUTED_VALUE"""),0.0)</f>
        <v>0</v>
      </c>
      <c r="Z2351" s="148"/>
    </row>
    <row r="2352">
      <c r="A2352" s="148">
        <f>IFERROR(__xludf.DUMMYFUNCTION("""COMPUTED_VALUE"""),1.1119264E7)</f>
        <v>11119264</v>
      </c>
      <c r="B2352" s="148" t="str">
        <f>IFERROR(__xludf.DUMMYFUNCTION("""COMPUTED_VALUE"""),"超星防护服-红一代战装自选")</f>
        <v>超星防护服-红一代战装自选</v>
      </c>
      <c r="C2352" s="148"/>
      <c r="D2352" s="148" t="str">
        <f>IFERROR(__xludf.DUMMYFUNCTION("""COMPUTED_VALUE"""),"hero_equipment")</f>
        <v>hero_equipment</v>
      </c>
      <c r="E2352" s="148">
        <f>IFERROR(__xludf.DUMMYFUNCTION("""COMPUTED_VALUE"""),0.0)</f>
        <v>0</v>
      </c>
      <c r="F2352" s="148">
        <f>IFERROR(__xludf.DUMMYFUNCTION("""COMPUTED_VALUE"""),0.0)</f>
        <v>0</v>
      </c>
      <c r="G2352" s="148">
        <f>IFERROR(__xludf.DUMMYFUNCTION("""COMPUTED_VALUE"""),1.5117545E7)</f>
        <v>15117545</v>
      </c>
      <c r="H2352" s="148">
        <f>IFERROR(__xludf.DUMMYFUNCTION("""COMPUTED_VALUE"""),1.5115983E7)</f>
        <v>15115983</v>
      </c>
      <c r="I2352" s="148" t="str">
        <f>IFERROR(__xludf.DUMMYFUNCTION("""COMPUTED_VALUE"""),"{}")</f>
        <v>{}</v>
      </c>
      <c r="J2352" s="148" t="str">
        <f>IFERROR(__xludf.DUMMYFUNCTION("""COMPUTED_VALUE"""),"{""typ"":""lc"",""txt"":""LC_HERO_equipment_name50""}")</f>
        <v>{"typ":"lc","txt":"LC_HERO_equipment_name50"}</v>
      </c>
      <c r="K2352" s="148" t="str">
        <f>IFERROR(__xludf.DUMMYFUNCTION("""COMPUTED_VALUE"""),"{}")</f>
        <v>{}</v>
      </c>
      <c r="L2352" s="148" t="str">
        <f>IFERROR(__xludf.DUMMYFUNCTION("""COMPUTED_VALUE"""),"{}")</f>
        <v>{}</v>
      </c>
      <c r="M2352" s="148">
        <f>IFERROR(__xludf.DUMMYFUNCTION("""COMPUTED_VALUE"""),1.0)</f>
        <v>1</v>
      </c>
      <c r="N2352" s="148">
        <f>IFERROR(__xludf.DUMMYFUNCTION("""COMPUTED_VALUE"""),999.0)</f>
        <v>999</v>
      </c>
      <c r="O2352" s="148">
        <f>IFERROR(__xludf.DUMMYFUNCTION("""COMPUTED_VALUE"""),999.0)</f>
        <v>999</v>
      </c>
      <c r="P2352" s="148">
        <f>IFERROR(__xludf.DUMMYFUNCTION("""COMPUTED_VALUE"""),999.0)</f>
        <v>999</v>
      </c>
      <c r="Q2352" s="148" t="str">
        <f>IFERROR(__xludf.DUMMYFUNCTION("""COMPUTED_VALUE"""),"[]")</f>
        <v>[]</v>
      </c>
      <c r="R2352" s="148" t="str">
        <f>IFERROR(__xludf.DUMMYFUNCTION("""COMPUTED_VALUE"""),"[]")</f>
        <v>[]</v>
      </c>
      <c r="S2352" s="148" t="str">
        <f>IFERROR(__xludf.DUMMYFUNCTION("""COMPUTED_VALUE"""),"{""effect"":[{""typ"":""hero_equipment"",""id"":19356026,""val"":1}]}")</f>
        <v>{"effect":[{"typ":"hero_equipment","id":19356026,"val":1}]}</v>
      </c>
      <c r="T2352" s="148">
        <f>IFERROR(__xludf.DUMMYFUNCTION("""COMPUTED_VALUE"""),-1.0)</f>
        <v>-1</v>
      </c>
      <c r="U2352" s="148">
        <f>IFERROR(__xludf.DUMMYFUNCTION("""COMPUTED_VALUE"""),1.0)</f>
        <v>1</v>
      </c>
      <c r="V2352" s="148" t="str">
        <f>IFERROR(__xludf.DUMMYFUNCTION("""COMPUTED_VALUE"""),"[]")</f>
        <v>[]</v>
      </c>
      <c r="W2352" s="148">
        <f>IFERROR(__xludf.DUMMYFUNCTION("""COMPUTED_VALUE"""),1.174E7)</f>
        <v>11740000</v>
      </c>
      <c r="X2352" s="148">
        <f>IFERROR(__xludf.DUMMYFUNCTION("""COMPUTED_VALUE"""),0.0)</f>
        <v>0</v>
      </c>
      <c r="Y2352" s="148">
        <f>IFERROR(__xludf.DUMMYFUNCTION("""COMPUTED_VALUE"""),0.0)</f>
        <v>0</v>
      </c>
      <c r="Z2352" s="148"/>
    </row>
    <row r="2353">
      <c r="A2353" s="148">
        <f>IFERROR(__xludf.DUMMYFUNCTION("""COMPUTED_VALUE"""),1.1119265E7)</f>
        <v>11119265</v>
      </c>
      <c r="B2353" s="148" t="str">
        <f>IFERROR(__xludf.DUMMYFUNCTION("""COMPUTED_VALUE"""),"超星探测仪-红一代战装自选")</f>
        <v>超星探测仪-红一代战装自选</v>
      </c>
      <c r="C2353" s="148"/>
      <c r="D2353" s="148" t="str">
        <f>IFERROR(__xludf.DUMMYFUNCTION("""COMPUTED_VALUE"""),"hero_equipment")</f>
        <v>hero_equipment</v>
      </c>
      <c r="E2353" s="148">
        <f>IFERROR(__xludf.DUMMYFUNCTION("""COMPUTED_VALUE"""),0.0)</f>
        <v>0</v>
      </c>
      <c r="F2353" s="148">
        <f>IFERROR(__xludf.DUMMYFUNCTION("""COMPUTED_VALUE"""),0.0)</f>
        <v>0</v>
      </c>
      <c r="G2353" s="148">
        <f>IFERROR(__xludf.DUMMYFUNCTION("""COMPUTED_VALUE"""),1.5117546E7)</f>
        <v>15117546</v>
      </c>
      <c r="H2353" s="148">
        <f>IFERROR(__xludf.DUMMYFUNCTION("""COMPUTED_VALUE"""),1.5115983E7)</f>
        <v>15115983</v>
      </c>
      <c r="I2353" s="148" t="str">
        <f>IFERROR(__xludf.DUMMYFUNCTION("""COMPUTED_VALUE"""),"{}")</f>
        <v>{}</v>
      </c>
      <c r="J2353" s="148" t="str">
        <f>IFERROR(__xludf.DUMMYFUNCTION("""COMPUTED_VALUE"""),"{""typ"":""lc"",""txt"":""LC_HERO_equipment_name51""}")</f>
        <v>{"typ":"lc","txt":"LC_HERO_equipment_name51"}</v>
      </c>
      <c r="K2353" s="148" t="str">
        <f>IFERROR(__xludf.DUMMYFUNCTION("""COMPUTED_VALUE"""),"{}")</f>
        <v>{}</v>
      </c>
      <c r="L2353" s="148" t="str">
        <f>IFERROR(__xludf.DUMMYFUNCTION("""COMPUTED_VALUE"""),"{}")</f>
        <v>{}</v>
      </c>
      <c r="M2353" s="148">
        <f>IFERROR(__xludf.DUMMYFUNCTION("""COMPUTED_VALUE"""),1.0)</f>
        <v>1</v>
      </c>
      <c r="N2353" s="148">
        <f>IFERROR(__xludf.DUMMYFUNCTION("""COMPUTED_VALUE"""),999.0)</f>
        <v>999</v>
      </c>
      <c r="O2353" s="148">
        <f>IFERROR(__xludf.DUMMYFUNCTION("""COMPUTED_VALUE"""),999.0)</f>
        <v>999</v>
      </c>
      <c r="P2353" s="148">
        <f>IFERROR(__xludf.DUMMYFUNCTION("""COMPUTED_VALUE"""),999.0)</f>
        <v>999</v>
      </c>
      <c r="Q2353" s="148" t="str">
        <f>IFERROR(__xludf.DUMMYFUNCTION("""COMPUTED_VALUE"""),"[]")</f>
        <v>[]</v>
      </c>
      <c r="R2353" s="148" t="str">
        <f>IFERROR(__xludf.DUMMYFUNCTION("""COMPUTED_VALUE"""),"[]")</f>
        <v>[]</v>
      </c>
      <c r="S2353" s="148" t="str">
        <f>IFERROR(__xludf.DUMMYFUNCTION("""COMPUTED_VALUE"""),"{""effect"":[{""typ"":""hero_equipment"",""id"":19356027,""val"":1}]}")</f>
        <v>{"effect":[{"typ":"hero_equipment","id":19356027,"val":1}]}</v>
      </c>
      <c r="T2353" s="148">
        <f>IFERROR(__xludf.DUMMYFUNCTION("""COMPUTED_VALUE"""),-1.0)</f>
        <v>-1</v>
      </c>
      <c r="U2353" s="148">
        <f>IFERROR(__xludf.DUMMYFUNCTION("""COMPUTED_VALUE"""),1.0)</f>
        <v>1</v>
      </c>
      <c r="V2353" s="148" t="str">
        <f>IFERROR(__xludf.DUMMYFUNCTION("""COMPUTED_VALUE"""),"[]")</f>
        <v>[]</v>
      </c>
      <c r="W2353" s="148">
        <f>IFERROR(__xludf.DUMMYFUNCTION("""COMPUTED_VALUE"""),1.174E7)</f>
        <v>11740000</v>
      </c>
      <c r="X2353" s="148">
        <f>IFERROR(__xludf.DUMMYFUNCTION("""COMPUTED_VALUE"""),0.0)</f>
        <v>0</v>
      </c>
      <c r="Y2353" s="148">
        <f>IFERROR(__xludf.DUMMYFUNCTION("""COMPUTED_VALUE"""),0.0)</f>
        <v>0</v>
      </c>
      <c r="Z2353" s="148"/>
    </row>
    <row r="2354">
      <c r="A2354" s="148">
        <f>IFERROR(__xludf.DUMMYFUNCTION("""COMPUTED_VALUE"""),1.1119266E7)</f>
        <v>11119266</v>
      </c>
      <c r="B2354" s="148" t="str">
        <f>IFERROR(__xludf.DUMMYFUNCTION("""COMPUTED_VALUE"""),"超星应急包-红一代战装自选")</f>
        <v>超星应急包-红一代战装自选</v>
      </c>
      <c r="C2354" s="148"/>
      <c r="D2354" s="148" t="str">
        <f>IFERROR(__xludf.DUMMYFUNCTION("""COMPUTED_VALUE"""),"hero_equipment")</f>
        <v>hero_equipment</v>
      </c>
      <c r="E2354" s="148">
        <f>IFERROR(__xludf.DUMMYFUNCTION("""COMPUTED_VALUE"""),0.0)</f>
        <v>0</v>
      </c>
      <c r="F2354" s="148">
        <f>IFERROR(__xludf.DUMMYFUNCTION("""COMPUTED_VALUE"""),0.0)</f>
        <v>0</v>
      </c>
      <c r="G2354" s="148">
        <f>IFERROR(__xludf.DUMMYFUNCTION("""COMPUTED_VALUE"""),1.5117547E7)</f>
        <v>15117547</v>
      </c>
      <c r="H2354" s="148">
        <f>IFERROR(__xludf.DUMMYFUNCTION("""COMPUTED_VALUE"""),1.5115983E7)</f>
        <v>15115983</v>
      </c>
      <c r="I2354" s="148" t="str">
        <f>IFERROR(__xludf.DUMMYFUNCTION("""COMPUTED_VALUE"""),"{}")</f>
        <v>{}</v>
      </c>
      <c r="J2354" s="148" t="str">
        <f>IFERROR(__xludf.DUMMYFUNCTION("""COMPUTED_VALUE"""),"{""typ"":""lc"",""txt"":""LC_HERO_equipment_name52""}")</f>
        <v>{"typ":"lc","txt":"LC_HERO_equipment_name52"}</v>
      </c>
      <c r="K2354" s="148" t="str">
        <f>IFERROR(__xludf.DUMMYFUNCTION("""COMPUTED_VALUE"""),"{}")</f>
        <v>{}</v>
      </c>
      <c r="L2354" s="148" t="str">
        <f>IFERROR(__xludf.DUMMYFUNCTION("""COMPUTED_VALUE"""),"{}")</f>
        <v>{}</v>
      </c>
      <c r="M2354" s="148">
        <f>IFERROR(__xludf.DUMMYFUNCTION("""COMPUTED_VALUE"""),1.0)</f>
        <v>1</v>
      </c>
      <c r="N2354" s="148">
        <f>IFERROR(__xludf.DUMMYFUNCTION("""COMPUTED_VALUE"""),999.0)</f>
        <v>999</v>
      </c>
      <c r="O2354" s="148">
        <f>IFERROR(__xludf.DUMMYFUNCTION("""COMPUTED_VALUE"""),999.0)</f>
        <v>999</v>
      </c>
      <c r="P2354" s="148">
        <f>IFERROR(__xludf.DUMMYFUNCTION("""COMPUTED_VALUE"""),999.0)</f>
        <v>999</v>
      </c>
      <c r="Q2354" s="148" t="str">
        <f>IFERROR(__xludf.DUMMYFUNCTION("""COMPUTED_VALUE"""),"[]")</f>
        <v>[]</v>
      </c>
      <c r="R2354" s="148" t="str">
        <f>IFERROR(__xludf.DUMMYFUNCTION("""COMPUTED_VALUE"""),"[]")</f>
        <v>[]</v>
      </c>
      <c r="S2354" s="148" t="str">
        <f>IFERROR(__xludf.DUMMYFUNCTION("""COMPUTED_VALUE"""),"{""effect"":[{""typ"":""hero_equipment"",""id"":19356028,""val"":1}]}")</f>
        <v>{"effect":[{"typ":"hero_equipment","id":19356028,"val":1}]}</v>
      </c>
      <c r="T2354" s="148">
        <f>IFERROR(__xludf.DUMMYFUNCTION("""COMPUTED_VALUE"""),-1.0)</f>
        <v>-1</v>
      </c>
      <c r="U2354" s="148">
        <f>IFERROR(__xludf.DUMMYFUNCTION("""COMPUTED_VALUE"""),1.0)</f>
        <v>1</v>
      </c>
      <c r="V2354" s="148" t="str">
        <f>IFERROR(__xludf.DUMMYFUNCTION("""COMPUTED_VALUE"""),"[]")</f>
        <v>[]</v>
      </c>
      <c r="W2354" s="148">
        <f>IFERROR(__xludf.DUMMYFUNCTION("""COMPUTED_VALUE"""),1.174E7)</f>
        <v>11740000</v>
      </c>
      <c r="X2354" s="148">
        <f>IFERROR(__xludf.DUMMYFUNCTION("""COMPUTED_VALUE"""),0.0)</f>
        <v>0</v>
      </c>
      <c r="Y2354" s="148">
        <f>IFERROR(__xludf.DUMMYFUNCTION("""COMPUTED_VALUE"""),0.0)</f>
        <v>0</v>
      </c>
      <c r="Z2354" s="148"/>
    </row>
    <row r="2355">
      <c r="A2355" s="148">
        <f>IFERROR(__xludf.DUMMYFUNCTION("""COMPUTED_VALUE"""),1.1119267E7)</f>
        <v>11119267</v>
      </c>
      <c r="B2355" s="148" t="str">
        <f>IFERROR(__xludf.DUMMYFUNCTION("""COMPUTED_VALUE"""),"深空驱动器-红一代战装自选")</f>
        <v>深空驱动器-红一代战装自选</v>
      </c>
      <c r="C2355" s="148"/>
      <c r="D2355" s="148" t="str">
        <f>IFERROR(__xludf.DUMMYFUNCTION("""COMPUTED_VALUE"""),"hero_equipment")</f>
        <v>hero_equipment</v>
      </c>
      <c r="E2355" s="148">
        <f>IFERROR(__xludf.DUMMYFUNCTION("""COMPUTED_VALUE"""),0.0)</f>
        <v>0</v>
      </c>
      <c r="F2355" s="148">
        <f>IFERROR(__xludf.DUMMYFUNCTION("""COMPUTED_VALUE"""),0.0)</f>
        <v>0</v>
      </c>
      <c r="G2355" s="148">
        <f>IFERROR(__xludf.DUMMYFUNCTION("""COMPUTED_VALUE"""),1.5117548E7)</f>
        <v>15117548</v>
      </c>
      <c r="H2355" s="148">
        <f>IFERROR(__xludf.DUMMYFUNCTION("""COMPUTED_VALUE"""),1.5115983E7)</f>
        <v>15115983</v>
      </c>
      <c r="I2355" s="148" t="str">
        <f>IFERROR(__xludf.DUMMYFUNCTION("""COMPUTED_VALUE"""),"{}")</f>
        <v>{}</v>
      </c>
      <c r="J2355" s="148" t="str">
        <f>IFERROR(__xludf.DUMMYFUNCTION("""COMPUTED_VALUE"""),"{""typ"":""lc"",""txt"":""LC_HERO_equipment_name53""}")</f>
        <v>{"typ":"lc","txt":"LC_HERO_equipment_name53"}</v>
      </c>
      <c r="K2355" s="148" t="str">
        <f>IFERROR(__xludf.DUMMYFUNCTION("""COMPUTED_VALUE"""),"{}")</f>
        <v>{}</v>
      </c>
      <c r="L2355" s="148" t="str">
        <f>IFERROR(__xludf.DUMMYFUNCTION("""COMPUTED_VALUE"""),"{}")</f>
        <v>{}</v>
      </c>
      <c r="M2355" s="148">
        <f>IFERROR(__xludf.DUMMYFUNCTION("""COMPUTED_VALUE"""),1.0)</f>
        <v>1</v>
      </c>
      <c r="N2355" s="148">
        <f>IFERROR(__xludf.DUMMYFUNCTION("""COMPUTED_VALUE"""),999.0)</f>
        <v>999</v>
      </c>
      <c r="O2355" s="148">
        <f>IFERROR(__xludf.DUMMYFUNCTION("""COMPUTED_VALUE"""),999.0)</f>
        <v>999</v>
      </c>
      <c r="P2355" s="148">
        <f>IFERROR(__xludf.DUMMYFUNCTION("""COMPUTED_VALUE"""),999.0)</f>
        <v>999</v>
      </c>
      <c r="Q2355" s="148" t="str">
        <f>IFERROR(__xludf.DUMMYFUNCTION("""COMPUTED_VALUE"""),"[]")</f>
        <v>[]</v>
      </c>
      <c r="R2355" s="148" t="str">
        <f>IFERROR(__xludf.DUMMYFUNCTION("""COMPUTED_VALUE"""),"[]")</f>
        <v>[]</v>
      </c>
      <c r="S2355" s="148" t="str">
        <f>IFERROR(__xludf.DUMMYFUNCTION("""COMPUTED_VALUE"""),"{""effect"":[{""typ"":""hero_equipment"",""id"":19356029,""val"":1}]}")</f>
        <v>{"effect":[{"typ":"hero_equipment","id":19356029,"val":1}]}</v>
      </c>
      <c r="T2355" s="148">
        <f>IFERROR(__xludf.DUMMYFUNCTION("""COMPUTED_VALUE"""),-1.0)</f>
        <v>-1</v>
      </c>
      <c r="U2355" s="148">
        <f>IFERROR(__xludf.DUMMYFUNCTION("""COMPUTED_VALUE"""),1.0)</f>
        <v>1</v>
      </c>
      <c r="V2355" s="148" t="str">
        <f>IFERROR(__xludf.DUMMYFUNCTION("""COMPUTED_VALUE"""),"[]")</f>
        <v>[]</v>
      </c>
      <c r="W2355" s="148">
        <f>IFERROR(__xludf.DUMMYFUNCTION("""COMPUTED_VALUE"""),1.174E7)</f>
        <v>11740000</v>
      </c>
      <c r="X2355" s="148">
        <f>IFERROR(__xludf.DUMMYFUNCTION("""COMPUTED_VALUE"""),0.0)</f>
        <v>0</v>
      </c>
      <c r="Y2355" s="148">
        <f>IFERROR(__xludf.DUMMYFUNCTION("""COMPUTED_VALUE"""),0.0)</f>
        <v>0</v>
      </c>
      <c r="Z2355" s="148"/>
    </row>
    <row r="2356">
      <c r="A2356" s="148">
        <f>IFERROR(__xludf.DUMMYFUNCTION("""COMPUTED_VALUE"""),1.1119268E7)</f>
        <v>11119268</v>
      </c>
      <c r="B2356" s="148" t="str">
        <f>IFERROR(__xludf.DUMMYFUNCTION("""COMPUTED_VALUE"""),"深空防护服-红一代战装自选")</f>
        <v>深空防护服-红一代战装自选</v>
      </c>
      <c r="C2356" s="148"/>
      <c r="D2356" s="148" t="str">
        <f>IFERROR(__xludf.DUMMYFUNCTION("""COMPUTED_VALUE"""),"hero_equipment")</f>
        <v>hero_equipment</v>
      </c>
      <c r="E2356" s="148">
        <f>IFERROR(__xludf.DUMMYFUNCTION("""COMPUTED_VALUE"""),0.0)</f>
        <v>0</v>
      </c>
      <c r="F2356" s="148">
        <f>IFERROR(__xludf.DUMMYFUNCTION("""COMPUTED_VALUE"""),0.0)</f>
        <v>0</v>
      </c>
      <c r="G2356" s="148">
        <f>IFERROR(__xludf.DUMMYFUNCTION("""COMPUTED_VALUE"""),1.5117549E7)</f>
        <v>15117549</v>
      </c>
      <c r="H2356" s="148">
        <f>IFERROR(__xludf.DUMMYFUNCTION("""COMPUTED_VALUE"""),1.5115983E7)</f>
        <v>15115983</v>
      </c>
      <c r="I2356" s="148" t="str">
        <f>IFERROR(__xludf.DUMMYFUNCTION("""COMPUTED_VALUE"""),"{}")</f>
        <v>{}</v>
      </c>
      <c r="J2356" s="148" t="str">
        <f>IFERROR(__xludf.DUMMYFUNCTION("""COMPUTED_VALUE"""),"{""typ"":""lc"",""txt"":""LC_HERO_equipment_name54""}")</f>
        <v>{"typ":"lc","txt":"LC_HERO_equipment_name54"}</v>
      </c>
      <c r="K2356" s="148" t="str">
        <f>IFERROR(__xludf.DUMMYFUNCTION("""COMPUTED_VALUE"""),"{}")</f>
        <v>{}</v>
      </c>
      <c r="L2356" s="148" t="str">
        <f>IFERROR(__xludf.DUMMYFUNCTION("""COMPUTED_VALUE"""),"{}")</f>
        <v>{}</v>
      </c>
      <c r="M2356" s="148">
        <f>IFERROR(__xludf.DUMMYFUNCTION("""COMPUTED_VALUE"""),1.0)</f>
        <v>1</v>
      </c>
      <c r="N2356" s="148">
        <f>IFERROR(__xludf.DUMMYFUNCTION("""COMPUTED_VALUE"""),999.0)</f>
        <v>999</v>
      </c>
      <c r="O2356" s="148">
        <f>IFERROR(__xludf.DUMMYFUNCTION("""COMPUTED_VALUE"""),999.0)</f>
        <v>999</v>
      </c>
      <c r="P2356" s="148">
        <f>IFERROR(__xludf.DUMMYFUNCTION("""COMPUTED_VALUE"""),999.0)</f>
        <v>999</v>
      </c>
      <c r="Q2356" s="148" t="str">
        <f>IFERROR(__xludf.DUMMYFUNCTION("""COMPUTED_VALUE"""),"[]")</f>
        <v>[]</v>
      </c>
      <c r="R2356" s="148" t="str">
        <f>IFERROR(__xludf.DUMMYFUNCTION("""COMPUTED_VALUE"""),"[]")</f>
        <v>[]</v>
      </c>
      <c r="S2356" s="148" t="str">
        <f>IFERROR(__xludf.DUMMYFUNCTION("""COMPUTED_VALUE"""),"{""effect"":[{""typ"":""hero_equipment"",""id"":19356030,""val"":1}]}")</f>
        <v>{"effect":[{"typ":"hero_equipment","id":19356030,"val":1}]}</v>
      </c>
      <c r="T2356" s="148">
        <f>IFERROR(__xludf.DUMMYFUNCTION("""COMPUTED_VALUE"""),-1.0)</f>
        <v>-1</v>
      </c>
      <c r="U2356" s="148">
        <f>IFERROR(__xludf.DUMMYFUNCTION("""COMPUTED_VALUE"""),1.0)</f>
        <v>1</v>
      </c>
      <c r="V2356" s="148" t="str">
        <f>IFERROR(__xludf.DUMMYFUNCTION("""COMPUTED_VALUE"""),"[]")</f>
        <v>[]</v>
      </c>
      <c r="W2356" s="148">
        <f>IFERROR(__xludf.DUMMYFUNCTION("""COMPUTED_VALUE"""),1.174E7)</f>
        <v>11740000</v>
      </c>
      <c r="X2356" s="148">
        <f>IFERROR(__xludf.DUMMYFUNCTION("""COMPUTED_VALUE"""),0.0)</f>
        <v>0</v>
      </c>
      <c r="Y2356" s="148">
        <f>IFERROR(__xludf.DUMMYFUNCTION("""COMPUTED_VALUE"""),0.0)</f>
        <v>0</v>
      </c>
      <c r="Z2356" s="148"/>
    </row>
    <row r="2357">
      <c r="A2357" s="148">
        <f>IFERROR(__xludf.DUMMYFUNCTION("""COMPUTED_VALUE"""),1.1119269E7)</f>
        <v>11119269</v>
      </c>
      <c r="B2357" s="148" t="str">
        <f>IFERROR(__xludf.DUMMYFUNCTION("""COMPUTED_VALUE"""),"深空探测仪-红一代战装自选")</f>
        <v>深空探测仪-红一代战装自选</v>
      </c>
      <c r="C2357" s="148"/>
      <c r="D2357" s="148" t="str">
        <f>IFERROR(__xludf.DUMMYFUNCTION("""COMPUTED_VALUE"""),"hero_equipment")</f>
        <v>hero_equipment</v>
      </c>
      <c r="E2357" s="148">
        <f>IFERROR(__xludf.DUMMYFUNCTION("""COMPUTED_VALUE"""),0.0)</f>
        <v>0</v>
      </c>
      <c r="F2357" s="148">
        <f>IFERROR(__xludf.DUMMYFUNCTION("""COMPUTED_VALUE"""),0.0)</f>
        <v>0</v>
      </c>
      <c r="G2357" s="148">
        <f>IFERROR(__xludf.DUMMYFUNCTION("""COMPUTED_VALUE"""),1.511755E7)</f>
        <v>15117550</v>
      </c>
      <c r="H2357" s="148">
        <f>IFERROR(__xludf.DUMMYFUNCTION("""COMPUTED_VALUE"""),1.5115983E7)</f>
        <v>15115983</v>
      </c>
      <c r="I2357" s="148" t="str">
        <f>IFERROR(__xludf.DUMMYFUNCTION("""COMPUTED_VALUE"""),"{}")</f>
        <v>{}</v>
      </c>
      <c r="J2357" s="148" t="str">
        <f>IFERROR(__xludf.DUMMYFUNCTION("""COMPUTED_VALUE"""),"{""typ"":""lc"",""txt"":""LC_HERO_equipment_name55""}")</f>
        <v>{"typ":"lc","txt":"LC_HERO_equipment_name55"}</v>
      </c>
      <c r="K2357" s="148" t="str">
        <f>IFERROR(__xludf.DUMMYFUNCTION("""COMPUTED_VALUE"""),"{}")</f>
        <v>{}</v>
      </c>
      <c r="L2357" s="148" t="str">
        <f>IFERROR(__xludf.DUMMYFUNCTION("""COMPUTED_VALUE"""),"{}")</f>
        <v>{}</v>
      </c>
      <c r="M2357" s="148">
        <f>IFERROR(__xludf.DUMMYFUNCTION("""COMPUTED_VALUE"""),1.0)</f>
        <v>1</v>
      </c>
      <c r="N2357" s="148">
        <f>IFERROR(__xludf.DUMMYFUNCTION("""COMPUTED_VALUE"""),999.0)</f>
        <v>999</v>
      </c>
      <c r="O2357" s="148">
        <f>IFERROR(__xludf.DUMMYFUNCTION("""COMPUTED_VALUE"""),999.0)</f>
        <v>999</v>
      </c>
      <c r="P2357" s="148">
        <f>IFERROR(__xludf.DUMMYFUNCTION("""COMPUTED_VALUE"""),999.0)</f>
        <v>999</v>
      </c>
      <c r="Q2357" s="148" t="str">
        <f>IFERROR(__xludf.DUMMYFUNCTION("""COMPUTED_VALUE"""),"[]")</f>
        <v>[]</v>
      </c>
      <c r="R2357" s="148" t="str">
        <f>IFERROR(__xludf.DUMMYFUNCTION("""COMPUTED_VALUE"""),"[]")</f>
        <v>[]</v>
      </c>
      <c r="S2357" s="148" t="str">
        <f>IFERROR(__xludf.DUMMYFUNCTION("""COMPUTED_VALUE"""),"{""effect"":[{""typ"":""hero_equipment"",""id"":19356031,""val"":1}]}")</f>
        <v>{"effect":[{"typ":"hero_equipment","id":19356031,"val":1}]}</v>
      </c>
      <c r="T2357" s="148">
        <f>IFERROR(__xludf.DUMMYFUNCTION("""COMPUTED_VALUE"""),-1.0)</f>
        <v>-1</v>
      </c>
      <c r="U2357" s="148">
        <f>IFERROR(__xludf.DUMMYFUNCTION("""COMPUTED_VALUE"""),1.0)</f>
        <v>1</v>
      </c>
      <c r="V2357" s="148" t="str">
        <f>IFERROR(__xludf.DUMMYFUNCTION("""COMPUTED_VALUE"""),"[]")</f>
        <v>[]</v>
      </c>
      <c r="W2357" s="148">
        <f>IFERROR(__xludf.DUMMYFUNCTION("""COMPUTED_VALUE"""),1.174E7)</f>
        <v>11740000</v>
      </c>
      <c r="X2357" s="148">
        <f>IFERROR(__xludf.DUMMYFUNCTION("""COMPUTED_VALUE"""),0.0)</f>
        <v>0</v>
      </c>
      <c r="Y2357" s="148">
        <f>IFERROR(__xludf.DUMMYFUNCTION("""COMPUTED_VALUE"""),0.0)</f>
        <v>0</v>
      </c>
      <c r="Z2357" s="148"/>
    </row>
    <row r="2358">
      <c r="A2358" s="148">
        <f>IFERROR(__xludf.DUMMYFUNCTION("""COMPUTED_VALUE"""),1.111927E7)</f>
        <v>11119270</v>
      </c>
      <c r="B2358" s="148" t="str">
        <f>IFERROR(__xludf.DUMMYFUNCTION("""COMPUTED_VALUE"""),"深空应急包-红一代战装自选")</f>
        <v>深空应急包-红一代战装自选</v>
      </c>
      <c r="C2358" s="148"/>
      <c r="D2358" s="148" t="str">
        <f>IFERROR(__xludf.DUMMYFUNCTION("""COMPUTED_VALUE"""),"hero_equipment")</f>
        <v>hero_equipment</v>
      </c>
      <c r="E2358" s="148">
        <f>IFERROR(__xludf.DUMMYFUNCTION("""COMPUTED_VALUE"""),0.0)</f>
        <v>0</v>
      </c>
      <c r="F2358" s="148">
        <f>IFERROR(__xludf.DUMMYFUNCTION("""COMPUTED_VALUE"""),0.0)</f>
        <v>0</v>
      </c>
      <c r="G2358" s="148">
        <f>IFERROR(__xludf.DUMMYFUNCTION("""COMPUTED_VALUE"""),1.5117551E7)</f>
        <v>15117551</v>
      </c>
      <c r="H2358" s="148">
        <f>IFERROR(__xludf.DUMMYFUNCTION("""COMPUTED_VALUE"""),1.5115983E7)</f>
        <v>15115983</v>
      </c>
      <c r="I2358" s="148" t="str">
        <f>IFERROR(__xludf.DUMMYFUNCTION("""COMPUTED_VALUE"""),"{}")</f>
        <v>{}</v>
      </c>
      <c r="J2358" s="148" t="str">
        <f>IFERROR(__xludf.DUMMYFUNCTION("""COMPUTED_VALUE"""),"{""typ"":""lc"",""txt"":""LC_HERO_equipment_name56""}")</f>
        <v>{"typ":"lc","txt":"LC_HERO_equipment_name56"}</v>
      </c>
      <c r="K2358" s="148" t="str">
        <f>IFERROR(__xludf.DUMMYFUNCTION("""COMPUTED_VALUE"""),"{}")</f>
        <v>{}</v>
      </c>
      <c r="L2358" s="148" t="str">
        <f>IFERROR(__xludf.DUMMYFUNCTION("""COMPUTED_VALUE"""),"{}")</f>
        <v>{}</v>
      </c>
      <c r="M2358" s="148">
        <f>IFERROR(__xludf.DUMMYFUNCTION("""COMPUTED_VALUE"""),1.0)</f>
        <v>1</v>
      </c>
      <c r="N2358" s="148">
        <f>IFERROR(__xludf.DUMMYFUNCTION("""COMPUTED_VALUE"""),999.0)</f>
        <v>999</v>
      </c>
      <c r="O2358" s="148">
        <f>IFERROR(__xludf.DUMMYFUNCTION("""COMPUTED_VALUE"""),999.0)</f>
        <v>999</v>
      </c>
      <c r="P2358" s="148">
        <f>IFERROR(__xludf.DUMMYFUNCTION("""COMPUTED_VALUE"""),999.0)</f>
        <v>999</v>
      </c>
      <c r="Q2358" s="148" t="str">
        <f>IFERROR(__xludf.DUMMYFUNCTION("""COMPUTED_VALUE"""),"[]")</f>
        <v>[]</v>
      </c>
      <c r="R2358" s="148" t="str">
        <f>IFERROR(__xludf.DUMMYFUNCTION("""COMPUTED_VALUE"""),"[]")</f>
        <v>[]</v>
      </c>
      <c r="S2358" s="148" t="str">
        <f>IFERROR(__xludf.DUMMYFUNCTION("""COMPUTED_VALUE"""),"{""effect"":[{""typ"":""hero_equipment"",""id"":19356032,""val"":1}]}")</f>
        <v>{"effect":[{"typ":"hero_equipment","id":19356032,"val":1}]}</v>
      </c>
      <c r="T2358" s="148">
        <f>IFERROR(__xludf.DUMMYFUNCTION("""COMPUTED_VALUE"""),-1.0)</f>
        <v>-1</v>
      </c>
      <c r="U2358" s="148">
        <f>IFERROR(__xludf.DUMMYFUNCTION("""COMPUTED_VALUE"""),1.0)</f>
        <v>1</v>
      </c>
      <c r="V2358" s="148" t="str">
        <f>IFERROR(__xludf.DUMMYFUNCTION("""COMPUTED_VALUE"""),"[]")</f>
        <v>[]</v>
      </c>
      <c r="W2358" s="148">
        <f>IFERROR(__xludf.DUMMYFUNCTION("""COMPUTED_VALUE"""),1.174E7)</f>
        <v>11740000</v>
      </c>
      <c r="X2358" s="148">
        <f>IFERROR(__xludf.DUMMYFUNCTION("""COMPUTED_VALUE"""),0.0)</f>
        <v>0</v>
      </c>
      <c r="Y2358" s="148">
        <f>IFERROR(__xludf.DUMMYFUNCTION("""COMPUTED_VALUE"""),0.0)</f>
        <v>0</v>
      </c>
      <c r="Z2358" s="148"/>
    </row>
    <row r="2359">
      <c r="A2359" s="148">
        <f>IFERROR(__xludf.DUMMYFUNCTION("""COMPUTED_VALUE"""),1.1119271E7)</f>
        <v>11119271</v>
      </c>
      <c r="B2359" s="148" t="str">
        <f>IFERROR(__xludf.DUMMYFUNCTION("""COMPUTED_VALUE"""),"银河驱动器-红一代战装自选")</f>
        <v>银河驱动器-红一代战装自选</v>
      </c>
      <c r="C2359" s="148"/>
      <c r="D2359" s="148" t="str">
        <f>IFERROR(__xludf.DUMMYFUNCTION("""COMPUTED_VALUE"""),"hero_equipment")</f>
        <v>hero_equipment</v>
      </c>
      <c r="E2359" s="148">
        <f>IFERROR(__xludf.DUMMYFUNCTION("""COMPUTED_VALUE"""),0.0)</f>
        <v>0</v>
      </c>
      <c r="F2359" s="148">
        <f>IFERROR(__xludf.DUMMYFUNCTION("""COMPUTED_VALUE"""),0.0)</f>
        <v>0</v>
      </c>
      <c r="G2359" s="148">
        <f>IFERROR(__xludf.DUMMYFUNCTION("""COMPUTED_VALUE"""),1.5117552E7)</f>
        <v>15117552</v>
      </c>
      <c r="H2359" s="148">
        <f>IFERROR(__xludf.DUMMYFUNCTION("""COMPUTED_VALUE"""),1.5115983E7)</f>
        <v>15115983</v>
      </c>
      <c r="I2359" s="148" t="str">
        <f>IFERROR(__xludf.DUMMYFUNCTION("""COMPUTED_VALUE"""),"{}")</f>
        <v>{}</v>
      </c>
      <c r="J2359" s="148" t="str">
        <f>IFERROR(__xludf.DUMMYFUNCTION("""COMPUTED_VALUE"""),"{""typ"":""lc"",""txt"":""LC_HERO_equipment_name57""}")</f>
        <v>{"typ":"lc","txt":"LC_HERO_equipment_name57"}</v>
      </c>
      <c r="K2359" s="148" t="str">
        <f>IFERROR(__xludf.DUMMYFUNCTION("""COMPUTED_VALUE"""),"{}")</f>
        <v>{}</v>
      </c>
      <c r="L2359" s="148" t="str">
        <f>IFERROR(__xludf.DUMMYFUNCTION("""COMPUTED_VALUE"""),"{}")</f>
        <v>{}</v>
      </c>
      <c r="M2359" s="148">
        <f>IFERROR(__xludf.DUMMYFUNCTION("""COMPUTED_VALUE"""),1.0)</f>
        <v>1</v>
      </c>
      <c r="N2359" s="148">
        <f>IFERROR(__xludf.DUMMYFUNCTION("""COMPUTED_VALUE"""),999.0)</f>
        <v>999</v>
      </c>
      <c r="O2359" s="148">
        <f>IFERROR(__xludf.DUMMYFUNCTION("""COMPUTED_VALUE"""),999.0)</f>
        <v>999</v>
      </c>
      <c r="P2359" s="148">
        <f>IFERROR(__xludf.DUMMYFUNCTION("""COMPUTED_VALUE"""),999.0)</f>
        <v>999</v>
      </c>
      <c r="Q2359" s="148" t="str">
        <f>IFERROR(__xludf.DUMMYFUNCTION("""COMPUTED_VALUE"""),"[]")</f>
        <v>[]</v>
      </c>
      <c r="R2359" s="148" t="str">
        <f>IFERROR(__xludf.DUMMYFUNCTION("""COMPUTED_VALUE"""),"[]")</f>
        <v>[]</v>
      </c>
      <c r="S2359" s="148" t="str">
        <f>IFERROR(__xludf.DUMMYFUNCTION("""COMPUTED_VALUE"""),"{""effect"":[{""typ"":""hero_equipment"",""id"":19356033,""val"":1}]}")</f>
        <v>{"effect":[{"typ":"hero_equipment","id":19356033,"val":1}]}</v>
      </c>
      <c r="T2359" s="148">
        <f>IFERROR(__xludf.DUMMYFUNCTION("""COMPUTED_VALUE"""),-1.0)</f>
        <v>-1</v>
      </c>
      <c r="U2359" s="148">
        <f>IFERROR(__xludf.DUMMYFUNCTION("""COMPUTED_VALUE"""),1.0)</f>
        <v>1</v>
      </c>
      <c r="V2359" s="148" t="str">
        <f>IFERROR(__xludf.DUMMYFUNCTION("""COMPUTED_VALUE"""),"[]")</f>
        <v>[]</v>
      </c>
      <c r="W2359" s="148">
        <f>IFERROR(__xludf.DUMMYFUNCTION("""COMPUTED_VALUE"""),1.174E7)</f>
        <v>11740000</v>
      </c>
      <c r="X2359" s="148">
        <f>IFERROR(__xludf.DUMMYFUNCTION("""COMPUTED_VALUE"""),0.0)</f>
        <v>0</v>
      </c>
      <c r="Y2359" s="148">
        <f>IFERROR(__xludf.DUMMYFUNCTION("""COMPUTED_VALUE"""),0.0)</f>
        <v>0</v>
      </c>
      <c r="Z2359" s="148"/>
    </row>
    <row r="2360">
      <c r="A2360" s="148">
        <f>IFERROR(__xludf.DUMMYFUNCTION("""COMPUTED_VALUE"""),1.1119272E7)</f>
        <v>11119272</v>
      </c>
      <c r="B2360" s="148" t="str">
        <f>IFERROR(__xludf.DUMMYFUNCTION("""COMPUTED_VALUE"""),"银河防护服-红一代战装自选")</f>
        <v>银河防护服-红一代战装自选</v>
      </c>
      <c r="C2360" s="148"/>
      <c r="D2360" s="148" t="str">
        <f>IFERROR(__xludf.DUMMYFUNCTION("""COMPUTED_VALUE"""),"hero_equipment")</f>
        <v>hero_equipment</v>
      </c>
      <c r="E2360" s="148">
        <f>IFERROR(__xludf.DUMMYFUNCTION("""COMPUTED_VALUE"""),0.0)</f>
        <v>0</v>
      </c>
      <c r="F2360" s="148">
        <f>IFERROR(__xludf.DUMMYFUNCTION("""COMPUTED_VALUE"""),0.0)</f>
        <v>0</v>
      </c>
      <c r="G2360" s="148">
        <f>IFERROR(__xludf.DUMMYFUNCTION("""COMPUTED_VALUE"""),1.5117553E7)</f>
        <v>15117553</v>
      </c>
      <c r="H2360" s="148">
        <f>IFERROR(__xludf.DUMMYFUNCTION("""COMPUTED_VALUE"""),1.5115983E7)</f>
        <v>15115983</v>
      </c>
      <c r="I2360" s="148" t="str">
        <f>IFERROR(__xludf.DUMMYFUNCTION("""COMPUTED_VALUE"""),"{}")</f>
        <v>{}</v>
      </c>
      <c r="J2360" s="148" t="str">
        <f>IFERROR(__xludf.DUMMYFUNCTION("""COMPUTED_VALUE"""),"{""typ"":""lc"",""txt"":""LC_HERO_equipment_name58""}")</f>
        <v>{"typ":"lc","txt":"LC_HERO_equipment_name58"}</v>
      </c>
      <c r="K2360" s="148" t="str">
        <f>IFERROR(__xludf.DUMMYFUNCTION("""COMPUTED_VALUE"""),"{}")</f>
        <v>{}</v>
      </c>
      <c r="L2360" s="148" t="str">
        <f>IFERROR(__xludf.DUMMYFUNCTION("""COMPUTED_VALUE"""),"{}")</f>
        <v>{}</v>
      </c>
      <c r="M2360" s="148">
        <f>IFERROR(__xludf.DUMMYFUNCTION("""COMPUTED_VALUE"""),1.0)</f>
        <v>1</v>
      </c>
      <c r="N2360" s="148">
        <f>IFERROR(__xludf.DUMMYFUNCTION("""COMPUTED_VALUE"""),999.0)</f>
        <v>999</v>
      </c>
      <c r="O2360" s="148">
        <f>IFERROR(__xludf.DUMMYFUNCTION("""COMPUTED_VALUE"""),999.0)</f>
        <v>999</v>
      </c>
      <c r="P2360" s="148">
        <f>IFERROR(__xludf.DUMMYFUNCTION("""COMPUTED_VALUE"""),999.0)</f>
        <v>999</v>
      </c>
      <c r="Q2360" s="148" t="str">
        <f>IFERROR(__xludf.DUMMYFUNCTION("""COMPUTED_VALUE"""),"[]")</f>
        <v>[]</v>
      </c>
      <c r="R2360" s="148" t="str">
        <f>IFERROR(__xludf.DUMMYFUNCTION("""COMPUTED_VALUE"""),"[]")</f>
        <v>[]</v>
      </c>
      <c r="S2360" s="148" t="str">
        <f>IFERROR(__xludf.DUMMYFUNCTION("""COMPUTED_VALUE"""),"{""effect"":[{""typ"":""hero_equipment"",""id"":19356034,""val"":1}]}")</f>
        <v>{"effect":[{"typ":"hero_equipment","id":19356034,"val":1}]}</v>
      </c>
      <c r="T2360" s="148">
        <f>IFERROR(__xludf.DUMMYFUNCTION("""COMPUTED_VALUE"""),-1.0)</f>
        <v>-1</v>
      </c>
      <c r="U2360" s="148">
        <f>IFERROR(__xludf.DUMMYFUNCTION("""COMPUTED_VALUE"""),1.0)</f>
        <v>1</v>
      </c>
      <c r="V2360" s="148" t="str">
        <f>IFERROR(__xludf.DUMMYFUNCTION("""COMPUTED_VALUE"""),"[]")</f>
        <v>[]</v>
      </c>
      <c r="W2360" s="148">
        <f>IFERROR(__xludf.DUMMYFUNCTION("""COMPUTED_VALUE"""),1.174E7)</f>
        <v>11740000</v>
      </c>
      <c r="X2360" s="148">
        <f>IFERROR(__xludf.DUMMYFUNCTION("""COMPUTED_VALUE"""),0.0)</f>
        <v>0</v>
      </c>
      <c r="Y2360" s="148">
        <f>IFERROR(__xludf.DUMMYFUNCTION("""COMPUTED_VALUE"""),0.0)</f>
        <v>0</v>
      </c>
      <c r="Z2360" s="148"/>
    </row>
    <row r="2361">
      <c r="A2361" s="148">
        <f>IFERROR(__xludf.DUMMYFUNCTION("""COMPUTED_VALUE"""),1.1119273E7)</f>
        <v>11119273</v>
      </c>
      <c r="B2361" s="148" t="str">
        <f>IFERROR(__xludf.DUMMYFUNCTION("""COMPUTED_VALUE"""),"银河探测仪-红一代战装自选")</f>
        <v>银河探测仪-红一代战装自选</v>
      </c>
      <c r="C2361" s="148"/>
      <c r="D2361" s="148" t="str">
        <f>IFERROR(__xludf.DUMMYFUNCTION("""COMPUTED_VALUE"""),"hero_equipment")</f>
        <v>hero_equipment</v>
      </c>
      <c r="E2361" s="148">
        <f>IFERROR(__xludf.DUMMYFUNCTION("""COMPUTED_VALUE"""),0.0)</f>
        <v>0</v>
      </c>
      <c r="F2361" s="148">
        <f>IFERROR(__xludf.DUMMYFUNCTION("""COMPUTED_VALUE"""),0.0)</f>
        <v>0</v>
      </c>
      <c r="G2361" s="148">
        <f>IFERROR(__xludf.DUMMYFUNCTION("""COMPUTED_VALUE"""),1.5117554E7)</f>
        <v>15117554</v>
      </c>
      <c r="H2361" s="148">
        <f>IFERROR(__xludf.DUMMYFUNCTION("""COMPUTED_VALUE"""),1.5115983E7)</f>
        <v>15115983</v>
      </c>
      <c r="I2361" s="148" t="str">
        <f>IFERROR(__xludf.DUMMYFUNCTION("""COMPUTED_VALUE"""),"{}")</f>
        <v>{}</v>
      </c>
      <c r="J2361" s="148" t="str">
        <f>IFERROR(__xludf.DUMMYFUNCTION("""COMPUTED_VALUE"""),"{""typ"":""lc"",""txt"":""LC_HERO_equipment_name59""}")</f>
        <v>{"typ":"lc","txt":"LC_HERO_equipment_name59"}</v>
      </c>
      <c r="K2361" s="148" t="str">
        <f>IFERROR(__xludf.DUMMYFUNCTION("""COMPUTED_VALUE"""),"{}")</f>
        <v>{}</v>
      </c>
      <c r="L2361" s="148" t="str">
        <f>IFERROR(__xludf.DUMMYFUNCTION("""COMPUTED_VALUE"""),"{}")</f>
        <v>{}</v>
      </c>
      <c r="M2361" s="148">
        <f>IFERROR(__xludf.DUMMYFUNCTION("""COMPUTED_VALUE"""),1.0)</f>
        <v>1</v>
      </c>
      <c r="N2361" s="148">
        <f>IFERROR(__xludf.DUMMYFUNCTION("""COMPUTED_VALUE"""),999.0)</f>
        <v>999</v>
      </c>
      <c r="O2361" s="148">
        <f>IFERROR(__xludf.DUMMYFUNCTION("""COMPUTED_VALUE"""),999.0)</f>
        <v>999</v>
      </c>
      <c r="P2361" s="148">
        <f>IFERROR(__xludf.DUMMYFUNCTION("""COMPUTED_VALUE"""),999.0)</f>
        <v>999</v>
      </c>
      <c r="Q2361" s="148" t="str">
        <f>IFERROR(__xludf.DUMMYFUNCTION("""COMPUTED_VALUE"""),"[]")</f>
        <v>[]</v>
      </c>
      <c r="R2361" s="148" t="str">
        <f>IFERROR(__xludf.DUMMYFUNCTION("""COMPUTED_VALUE"""),"[]")</f>
        <v>[]</v>
      </c>
      <c r="S2361" s="148" t="str">
        <f>IFERROR(__xludf.DUMMYFUNCTION("""COMPUTED_VALUE"""),"{""effect"":[{""typ"":""hero_equipment"",""id"":19356035,""val"":1}]}")</f>
        <v>{"effect":[{"typ":"hero_equipment","id":19356035,"val":1}]}</v>
      </c>
      <c r="T2361" s="148">
        <f>IFERROR(__xludf.DUMMYFUNCTION("""COMPUTED_VALUE"""),-1.0)</f>
        <v>-1</v>
      </c>
      <c r="U2361" s="148">
        <f>IFERROR(__xludf.DUMMYFUNCTION("""COMPUTED_VALUE"""),1.0)</f>
        <v>1</v>
      </c>
      <c r="V2361" s="148" t="str">
        <f>IFERROR(__xludf.DUMMYFUNCTION("""COMPUTED_VALUE"""),"[]")</f>
        <v>[]</v>
      </c>
      <c r="W2361" s="148">
        <f>IFERROR(__xludf.DUMMYFUNCTION("""COMPUTED_VALUE"""),1.174E7)</f>
        <v>11740000</v>
      </c>
      <c r="X2361" s="148">
        <f>IFERROR(__xludf.DUMMYFUNCTION("""COMPUTED_VALUE"""),0.0)</f>
        <v>0</v>
      </c>
      <c r="Y2361" s="148">
        <f>IFERROR(__xludf.DUMMYFUNCTION("""COMPUTED_VALUE"""),0.0)</f>
        <v>0</v>
      </c>
      <c r="Z2361" s="148"/>
    </row>
    <row r="2362">
      <c r="A2362" s="148">
        <f>IFERROR(__xludf.DUMMYFUNCTION("""COMPUTED_VALUE"""),1.1119274E7)</f>
        <v>11119274</v>
      </c>
      <c r="B2362" s="148" t="str">
        <f>IFERROR(__xludf.DUMMYFUNCTION("""COMPUTED_VALUE"""),"银河应急包-红一代战装自选")</f>
        <v>银河应急包-红一代战装自选</v>
      </c>
      <c r="C2362" s="148"/>
      <c r="D2362" s="148" t="str">
        <f>IFERROR(__xludf.DUMMYFUNCTION("""COMPUTED_VALUE"""),"hero_equipment")</f>
        <v>hero_equipment</v>
      </c>
      <c r="E2362" s="148">
        <f>IFERROR(__xludf.DUMMYFUNCTION("""COMPUTED_VALUE"""),0.0)</f>
        <v>0</v>
      </c>
      <c r="F2362" s="148">
        <f>IFERROR(__xludf.DUMMYFUNCTION("""COMPUTED_VALUE"""),0.0)</f>
        <v>0</v>
      </c>
      <c r="G2362" s="148">
        <f>IFERROR(__xludf.DUMMYFUNCTION("""COMPUTED_VALUE"""),1.5117555E7)</f>
        <v>15117555</v>
      </c>
      <c r="H2362" s="148">
        <f>IFERROR(__xludf.DUMMYFUNCTION("""COMPUTED_VALUE"""),1.5115983E7)</f>
        <v>15115983</v>
      </c>
      <c r="I2362" s="148" t="str">
        <f>IFERROR(__xludf.DUMMYFUNCTION("""COMPUTED_VALUE"""),"{}")</f>
        <v>{}</v>
      </c>
      <c r="J2362" s="148" t="str">
        <f>IFERROR(__xludf.DUMMYFUNCTION("""COMPUTED_VALUE"""),"{""typ"":""lc"",""txt"":""LC_HERO_equipment_name60""}")</f>
        <v>{"typ":"lc","txt":"LC_HERO_equipment_name60"}</v>
      </c>
      <c r="K2362" s="148" t="str">
        <f>IFERROR(__xludf.DUMMYFUNCTION("""COMPUTED_VALUE"""),"{}")</f>
        <v>{}</v>
      </c>
      <c r="L2362" s="148" t="str">
        <f>IFERROR(__xludf.DUMMYFUNCTION("""COMPUTED_VALUE"""),"{}")</f>
        <v>{}</v>
      </c>
      <c r="M2362" s="148">
        <f>IFERROR(__xludf.DUMMYFUNCTION("""COMPUTED_VALUE"""),1.0)</f>
        <v>1</v>
      </c>
      <c r="N2362" s="148">
        <f>IFERROR(__xludf.DUMMYFUNCTION("""COMPUTED_VALUE"""),999.0)</f>
        <v>999</v>
      </c>
      <c r="O2362" s="148">
        <f>IFERROR(__xludf.DUMMYFUNCTION("""COMPUTED_VALUE"""),999.0)</f>
        <v>999</v>
      </c>
      <c r="P2362" s="148">
        <f>IFERROR(__xludf.DUMMYFUNCTION("""COMPUTED_VALUE"""),999.0)</f>
        <v>999</v>
      </c>
      <c r="Q2362" s="148" t="str">
        <f>IFERROR(__xludf.DUMMYFUNCTION("""COMPUTED_VALUE"""),"[]")</f>
        <v>[]</v>
      </c>
      <c r="R2362" s="148" t="str">
        <f>IFERROR(__xludf.DUMMYFUNCTION("""COMPUTED_VALUE"""),"[]")</f>
        <v>[]</v>
      </c>
      <c r="S2362" s="148" t="str">
        <f>IFERROR(__xludf.DUMMYFUNCTION("""COMPUTED_VALUE"""),"{""effect"":[{""typ"":""hero_equipment"",""id"":19356036,""val"":1}]}")</f>
        <v>{"effect":[{"typ":"hero_equipment","id":19356036,"val":1}]}</v>
      </c>
      <c r="T2362" s="148">
        <f>IFERROR(__xludf.DUMMYFUNCTION("""COMPUTED_VALUE"""),-1.0)</f>
        <v>-1</v>
      </c>
      <c r="U2362" s="148">
        <f>IFERROR(__xludf.DUMMYFUNCTION("""COMPUTED_VALUE"""),1.0)</f>
        <v>1</v>
      </c>
      <c r="V2362" s="148" t="str">
        <f>IFERROR(__xludf.DUMMYFUNCTION("""COMPUTED_VALUE"""),"[]")</f>
        <v>[]</v>
      </c>
      <c r="W2362" s="148">
        <f>IFERROR(__xludf.DUMMYFUNCTION("""COMPUTED_VALUE"""),1.174E7)</f>
        <v>11740000</v>
      </c>
      <c r="X2362" s="148">
        <f>IFERROR(__xludf.DUMMYFUNCTION("""COMPUTED_VALUE"""),0.0)</f>
        <v>0</v>
      </c>
      <c r="Y2362" s="148">
        <f>IFERROR(__xludf.DUMMYFUNCTION("""COMPUTED_VALUE"""),0.0)</f>
        <v>0</v>
      </c>
      <c r="Z2362" s="148"/>
    </row>
    <row r="2363">
      <c r="A2363" s="148">
        <f>IFERROR(__xludf.DUMMYFUNCTION("""COMPUTED_VALUE"""),1.1119275E7)</f>
        <v>11119275</v>
      </c>
      <c r="B2363" s="148" t="str">
        <f>IFERROR(__xludf.DUMMYFUNCTION("""COMPUTED_VALUE"""),"通用强消耗扭蛋币（25周年庆）")</f>
        <v>通用强消耗扭蛋币（25周年庆）</v>
      </c>
      <c r="C2363" s="148"/>
      <c r="D2363" s="148" t="str">
        <f>IFERROR(__xludf.DUMMYFUNCTION("""COMPUTED_VALUE"""),"event")</f>
        <v>event</v>
      </c>
      <c r="E2363" s="148">
        <f>IFERROR(__xludf.DUMMYFUNCTION("""COMPUTED_VALUE"""),0.0)</f>
        <v>0</v>
      </c>
      <c r="F2363" s="148">
        <f>IFERROR(__xludf.DUMMYFUNCTION("""COMPUTED_VALUE"""),0.0)</f>
        <v>0</v>
      </c>
      <c r="G2363" s="148">
        <f>IFERROR(__xludf.DUMMYFUNCTION("""COMPUTED_VALUE"""),1.5119837E7)</f>
        <v>15119837</v>
      </c>
      <c r="H2363" s="148">
        <f>IFERROR(__xludf.DUMMYFUNCTION("""COMPUTED_VALUE"""),1.5112564E7)</f>
        <v>15112564</v>
      </c>
      <c r="I2363" s="148" t="str">
        <f>IFERROR(__xludf.DUMMYFUNCTION("""COMPUTED_VALUE"""),"{}")</f>
        <v>{}</v>
      </c>
      <c r="J2363" s="148" t="str">
        <f>IFERROR(__xludf.DUMMYFUNCTION("""COMPUTED_VALUE"""),"{""typ"":""lc"",""txt"":""LC_ITEM_new_strong_consume_gacha_token1_name_hallo_2024""}")</f>
        <v>{"typ":"lc","txt":"LC_ITEM_new_strong_consume_gacha_token1_name_hallo_2024"}</v>
      </c>
      <c r="K2363" s="148" t="str">
        <f>IFERROR(__xludf.DUMMYFUNCTION("""COMPUTED_VALUE"""),"{""typ"":""lc"",""txt"":""LC_ITEM_new_strong_consume_gacha_token1_desc_hallo_2024""}")</f>
        <v>{"typ":"lc","txt":"LC_ITEM_new_strong_consume_gacha_token1_desc_hallo_2024"}</v>
      </c>
      <c r="L2363" s="148" t="str">
        <f>IFERROR(__xludf.DUMMYFUNCTION("""COMPUTED_VALUE"""),"{}")</f>
        <v>{}</v>
      </c>
      <c r="M2363" s="148">
        <f>IFERROR(__xludf.DUMMYFUNCTION("""COMPUTED_VALUE"""),250.0)</f>
        <v>250</v>
      </c>
      <c r="N2363" s="148">
        <f>IFERROR(__xludf.DUMMYFUNCTION("""COMPUTED_VALUE"""),999999.0)</f>
        <v>999999</v>
      </c>
      <c r="O2363" s="148">
        <f>IFERROR(__xludf.DUMMYFUNCTION("""COMPUTED_VALUE"""),99999.0)</f>
        <v>99999</v>
      </c>
      <c r="P2363" s="148">
        <f>IFERROR(__xludf.DUMMYFUNCTION("""COMPUTED_VALUE"""),9999.0)</f>
        <v>9999</v>
      </c>
      <c r="Q2363" s="148" t="str">
        <f>IFERROR(__xludf.DUMMYFUNCTION("""COMPUTED_VALUE"""),"[""bag_other""]")</f>
        <v>["bag_other"]</v>
      </c>
      <c r="R2363" s="148" t="str">
        <f>IFERROR(__xludf.DUMMYFUNCTION("""COMPUTED_VALUE"""),"[]")</f>
        <v>[]</v>
      </c>
      <c r="S2363" s="148" t="str">
        <f>IFERROR(__xludf.DUMMYFUNCTION("""COMPUTED_VALUE"""),"{}")</f>
        <v>{}</v>
      </c>
      <c r="T2363" s="148">
        <f>IFERROR(__xludf.DUMMYFUNCTION("""COMPUTED_VALUE"""),-1.0)</f>
        <v>-1</v>
      </c>
      <c r="U2363" s="148">
        <f>IFERROR(__xludf.DUMMYFUNCTION("""COMPUTED_VALUE"""),0.0)</f>
        <v>0</v>
      </c>
      <c r="V2363" s="148" t="str">
        <f>IFERROR(__xludf.DUMMYFUNCTION("""COMPUTED_VALUE"""),"[]")</f>
        <v>[]</v>
      </c>
      <c r="W2363" s="148">
        <f>IFERROR(__xludf.DUMMYFUNCTION("""COMPUTED_VALUE"""),1.174E7)</f>
        <v>11740000</v>
      </c>
      <c r="X2363" s="148">
        <f>IFERROR(__xludf.DUMMYFUNCTION("""COMPUTED_VALUE"""),0.0)</f>
        <v>0</v>
      </c>
      <c r="Y2363" s="148">
        <f>IFERROR(__xludf.DUMMYFUNCTION("""COMPUTED_VALUE"""),0.0)</f>
        <v>0</v>
      </c>
      <c r="Z2363" s="148"/>
    </row>
    <row r="2364">
      <c r="A2364" s="148">
        <f>IFERROR(__xludf.DUMMYFUNCTION("""COMPUTED_VALUE"""),1.1119276E7)</f>
        <v>11119276</v>
      </c>
      <c r="B2364" s="148" t="str">
        <f>IFERROR(__xludf.DUMMYFUNCTION("""COMPUTED_VALUE"""),"通用强消耗抽奖券（25周年庆）")</f>
        <v>通用强消耗抽奖券（25周年庆）</v>
      </c>
      <c r="C2364" s="148"/>
      <c r="D2364" s="148" t="str">
        <f>IFERROR(__xludf.DUMMYFUNCTION("""COMPUTED_VALUE"""),"event")</f>
        <v>event</v>
      </c>
      <c r="E2364" s="148">
        <f>IFERROR(__xludf.DUMMYFUNCTION("""COMPUTED_VALUE"""),0.0)</f>
        <v>0</v>
      </c>
      <c r="F2364" s="148">
        <f>IFERROR(__xludf.DUMMYFUNCTION("""COMPUTED_VALUE"""),0.0)</f>
        <v>0</v>
      </c>
      <c r="G2364" s="148">
        <f>IFERROR(__xludf.DUMMYFUNCTION("""COMPUTED_VALUE"""),1.5119836E7)</f>
        <v>15119836</v>
      </c>
      <c r="H2364" s="148">
        <f>IFERROR(__xludf.DUMMYFUNCTION("""COMPUTED_VALUE"""),1.5112564E7)</f>
        <v>15112564</v>
      </c>
      <c r="I2364" s="148" t="str">
        <f>IFERROR(__xludf.DUMMYFUNCTION("""COMPUTED_VALUE"""),"{}")</f>
        <v>{}</v>
      </c>
      <c r="J2364" s="148" t="str">
        <f>IFERROR(__xludf.DUMMYFUNCTION("""COMPUTED_VALUE"""),"{""typ"":""lc"",""txt"":""LC_ITEM_new_strong_consume_gacha_token2_name""}")</f>
        <v>{"typ":"lc","txt":"LC_ITEM_new_strong_consume_gacha_token2_name"}</v>
      </c>
      <c r="K2364" s="148" t="str">
        <f>IFERROR(__xludf.DUMMYFUNCTION("""COMPUTED_VALUE"""),"{""typ"":""lc"",""txt"":""LC_ITEM_new_strong_consume_gacha_token2_desc""}")</f>
        <v>{"typ":"lc","txt":"LC_ITEM_new_strong_consume_gacha_token2_desc"}</v>
      </c>
      <c r="L2364" s="148" t="str">
        <f>IFERROR(__xludf.DUMMYFUNCTION("""COMPUTED_VALUE"""),"{}")</f>
        <v>{}</v>
      </c>
      <c r="M2364" s="148">
        <f>IFERROR(__xludf.DUMMYFUNCTION("""COMPUTED_VALUE"""),125.0)</f>
        <v>125</v>
      </c>
      <c r="N2364" s="148">
        <f>IFERROR(__xludf.DUMMYFUNCTION("""COMPUTED_VALUE"""),999999.0)</f>
        <v>999999</v>
      </c>
      <c r="O2364" s="148">
        <f>IFERROR(__xludf.DUMMYFUNCTION("""COMPUTED_VALUE"""),99999.0)</f>
        <v>99999</v>
      </c>
      <c r="P2364" s="148">
        <f>IFERROR(__xludf.DUMMYFUNCTION("""COMPUTED_VALUE"""),9999.0)</f>
        <v>9999</v>
      </c>
      <c r="Q2364" s="148" t="str">
        <f>IFERROR(__xludf.DUMMYFUNCTION("""COMPUTED_VALUE"""),"[""bag_other""]")</f>
        <v>["bag_other"]</v>
      </c>
      <c r="R2364" s="148" t="str">
        <f>IFERROR(__xludf.DUMMYFUNCTION("""COMPUTED_VALUE"""),"[]")</f>
        <v>[]</v>
      </c>
      <c r="S2364" s="148" t="str">
        <f>IFERROR(__xludf.DUMMYFUNCTION("""COMPUTED_VALUE"""),"{}")</f>
        <v>{}</v>
      </c>
      <c r="T2364" s="148">
        <f>IFERROR(__xludf.DUMMYFUNCTION("""COMPUTED_VALUE"""),-1.0)</f>
        <v>-1</v>
      </c>
      <c r="U2364" s="148">
        <f>IFERROR(__xludf.DUMMYFUNCTION("""COMPUTED_VALUE"""),0.0)</f>
        <v>0</v>
      </c>
      <c r="V2364" s="148" t="str">
        <f>IFERROR(__xludf.DUMMYFUNCTION("""COMPUTED_VALUE"""),"[]")</f>
        <v>[]</v>
      </c>
      <c r="W2364" s="148">
        <f>IFERROR(__xludf.DUMMYFUNCTION("""COMPUTED_VALUE"""),1.174E7)</f>
        <v>11740000</v>
      </c>
      <c r="X2364" s="148">
        <f>IFERROR(__xludf.DUMMYFUNCTION("""COMPUTED_VALUE"""),0.0)</f>
        <v>0</v>
      </c>
      <c r="Y2364" s="148">
        <f>IFERROR(__xludf.DUMMYFUNCTION("""COMPUTED_VALUE"""),0.0)</f>
        <v>0</v>
      </c>
      <c r="Z2364" s="148"/>
    </row>
    <row r="2365">
      <c r="A2365" s="148">
        <f>IFERROR(__xludf.DUMMYFUNCTION("""COMPUTED_VALUE"""),1.1119277E7)</f>
        <v>11119277</v>
      </c>
      <c r="B2365" s="148" t="str">
        <f>IFERROR(__xludf.DUMMYFUNCTION("""COMPUTED_VALUE"""),"2025科技节bp随机宝箱")</f>
        <v>2025科技节bp随机宝箱</v>
      </c>
      <c r="C2365" s="148"/>
      <c r="D2365" s="148" t="str">
        <f>IFERROR(__xludf.DUMMYFUNCTION("""COMPUTED_VALUE"""),"item_asset")</f>
        <v>item_asset</v>
      </c>
      <c r="E2365" s="148">
        <f>IFERROR(__xludf.DUMMYFUNCTION("""COMPUTED_VALUE"""),19.0)</f>
        <v>19</v>
      </c>
      <c r="F2365" s="148">
        <f>IFERROR(__xludf.DUMMYFUNCTION("""COMPUTED_VALUE"""),403308.0)</f>
        <v>403308</v>
      </c>
      <c r="G2365" s="148">
        <f>IFERROR(__xludf.DUMMYFUNCTION("""COMPUTED_VALUE"""),1.51101545E8)</f>
        <v>151101545</v>
      </c>
      <c r="H2365" s="148">
        <f>IFERROR(__xludf.DUMMYFUNCTION("""COMPUTED_VALUE"""),1.5112564E7)</f>
        <v>15112564</v>
      </c>
      <c r="I2365" s="148" t="str">
        <f>IFERROR(__xludf.DUMMYFUNCTION("""COMPUTED_VALUE"""),"{}")</f>
        <v>{}</v>
      </c>
      <c r="J2365" s="148" t="str">
        <f>IFERROR(__xludf.DUMMYFUNCTION("""COMPUTED_VALUE"""),"{""typ"":""lc"",""txt"":""LC_ITEM_fes_bp_box_name""}")</f>
        <v>{"typ":"lc","txt":"LC_ITEM_fes_bp_box_name"}</v>
      </c>
      <c r="K2365" s="148" t="str">
        <f>IFERROR(__xludf.DUMMYFUNCTION("""COMPUTED_VALUE"""),"{""typ"":""lc"",""txt"":""LC_ITEM_fes_bp_box_desc""}")</f>
        <v>{"typ":"lc","txt":"LC_ITEM_fes_bp_box_desc"}</v>
      </c>
      <c r="L2365" s="148" t="str">
        <f>IFERROR(__xludf.DUMMYFUNCTION("""COMPUTED_VALUE"""),"{}")</f>
        <v>{}</v>
      </c>
      <c r="M2365" s="148">
        <f>IFERROR(__xludf.DUMMYFUNCTION("""COMPUTED_VALUE"""),135.0)</f>
        <v>135</v>
      </c>
      <c r="N2365" s="148">
        <f>IFERROR(__xludf.DUMMYFUNCTION("""COMPUTED_VALUE"""),999999.0)</f>
        <v>999999</v>
      </c>
      <c r="O2365" s="148">
        <f>IFERROR(__xludf.DUMMYFUNCTION("""COMPUTED_VALUE"""),99999.0)</f>
        <v>99999</v>
      </c>
      <c r="P2365" s="148">
        <f>IFERROR(__xludf.DUMMYFUNCTION("""COMPUTED_VALUE"""),9999.0)</f>
        <v>9999</v>
      </c>
      <c r="Q2365" s="148" t="str">
        <f>IFERROR(__xludf.DUMMYFUNCTION("""COMPUTED_VALUE"""),"[""bag_other""]")</f>
        <v>["bag_other"]</v>
      </c>
      <c r="R2365" s="148" t="str">
        <f>IFERROR(__xludf.DUMMYFUNCTION("""COMPUTED_VALUE"""),"[""bag""]")</f>
        <v>["bag"]</v>
      </c>
      <c r="S2365" s="148" t="str">
        <f>IFERROR(__xludf.DUMMYFUNCTION("""COMPUTED_VALUE"""),"{""drop"":{""typ"":""single_random"",""num"":1,""args"":[{""typ"":""item"",""id"":11112462,""num"":1,""wgt"":1},{""typ"":""item"",""id"":11112127,""num"":10,""wgt"":30},{""typ"":""item"",""id"":11116304,""num"":1,""wgt"":5},{""typ"":""item"",""id"":111186"&amp;"63,""num"":2,""wgt"":30},{""typ"":""item"",""id"":11116110,""num"":2,""wgt"":30},{""typ"":""item"",""id"":11114330,""num"":1,""wgt"":200},{""typ"":""item"",""id"":11111155,""num"":2,""wgt"":200},{""typ"":""item"",""id"":11111105,""num"":2,""wgt"":50}]}}")</f>
        <v>{"drop":{"typ":"single_random","num":1,"args":[{"typ":"item","id":11112462,"num":1,"wgt":1},{"typ":"item","id":11112127,"num":10,"wgt":30},{"typ":"item","id":11116304,"num":1,"wgt":5},{"typ":"item","id":11118663,"num":2,"wgt":30},{"typ":"item","id":11116110,"num":2,"wgt":30},{"typ":"item","id":11114330,"num":1,"wgt":200},{"typ":"item","id":11111155,"num":2,"wgt":200},{"typ":"item","id":11111105,"num":2,"wgt":50}]}}</v>
      </c>
      <c r="T2365" s="148">
        <f>IFERROR(__xludf.DUMMYFUNCTION("""COMPUTED_VALUE"""),-1.0)</f>
        <v>-1</v>
      </c>
      <c r="U2365" s="148">
        <f>IFERROR(__xludf.DUMMYFUNCTION("""COMPUTED_VALUE"""),0.0)</f>
        <v>0</v>
      </c>
      <c r="V2365" s="148" t="str">
        <f>IFERROR(__xludf.DUMMYFUNCTION("""COMPUTED_VALUE"""),"[]")</f>
        <v>[]</v>
      </c>
      <c r="W2365" s="148">
        <f>IFERROR(__xludf.DUMMYFUNCTION("""COMPUTED_VALUE"""),1.174E7)</f>
        <v>11740000</v>
      </c>
      <c r="X2365" s="148">
        <f>IFERROR(__xludf.DUMMYFUNCTION("""COMPUTED_VALUE"""),0.0)</f>
        <v>0</v>
      </c>
      <c r="Y2365" s="148">
        <f>IFERROR(__xludf.DUMMYFUNCTION("""COMPUTED_VALUE"""),0.0)</f>
        <v>0</v>
      </c>
      <c r="Z2365" s="148"/>
    </row>
    <row r="2366">
      <c r="A2366" s="148">
        <f>IFERROR(__xludf.DUMMYFUNCTION("""COMPUTED_VALUE"""),1.1119278E7)</f>
        <v>11119278</v>
      </c>
      <c r="B2366" s="148" t="str">
        <f>IFERROR(__xludf.DUMMYFUNCTION("""COMPUTED_VALUE"""),"复活节强消耗扭蛋币")</f>
        <v>复活节强消耗扭蛋币</v>
      </c>
      <c r="C2366" s="148"/>
      <c r="D2366" s="148" t="str">
        <f>IFERROR(__xludf.DUMMYFUNCTION("""COMPUTED_VALUE"""),"event")</f>
        <v>event</v>
      </c>
      <c r="E2366" s="148">
        <f>IFERROR(__xludf.DUMMYFUNCTION("""COMPUTED_VALUE"""),0.0)</f>
        <v>0</v>
      </c>
      <c r="F2366" s="148">
        <f>IFERROR(__xludf.DUMMYFUNCTION("""COMPUTED_VALUE"""),0.0)</f>
        <v>0</v>
      </c>
      <c r="G2366" s="148">
        <f>IFERROR(__xludf.DUMMYFUNCTION("""COMPUTED_VALUE"""),1.5119837E7)</f>
        <v>15119837</v>
      </c>
      <c r="H2366" s="148">
        <f>IFERROR(__xludf.DUMMYFUNCTION("""COMPUTED_VALUE"""),1.5112564E7)</f>
        <v>15112564</v>
      </c>
      <c r="I2366" s="148" t="str">
        <f>IFERROR(__xludf.DUMMYFUNCTION("""COMPUTED_VALUE"""),"{}")</f>
        <v>{}</v>
      </c>
      <c r="J2366" s="148" t="str">
        <f>IFERROR(__xludf.DUMMYFUNCTION("""COMPUTED_VALUE"""),"{""typ"":""lc"",""txt"":""LC_ITEM_new_strong_consume_gacha_token1_name_hallo_2024""}")</f>
        <v>{"typ":"lc","txt":"LC_ITEM_new_strong_consume_gacha_token1_name_hallo_2024"}</v>
      </c>
      <c r="K2366" s="148" t="str">
        <f>IFERROR(__xludf.DUMMYFUNCTION("""COMPUTED_VALUE"""),"{""typ"":""lc"",""txt"":""LC_ITEM_new_strong_consume_gacha_token1_desc_hallo_2024""}")</f>
        <v>{"typ":"lc","txt":"LC_ITEM_new_strong_consume_gacha_token1_desc_hallo_2024"}</v>
      </c>
      <c r="L2366" s="148" t="str">
        <f>IFERROR(__xludf.DUMMYFUNCTION("""COMPUTED_VALUE"""),"{}")</f>
        <v>{}</v>
      </c>
      <c r="M2366" s="148">
        <f>IFERROR(__xludf.DUMMYFUNCTION("""COMPUTED_VALUE"""),250.0)</f>
        <v>250</v>
      </c>
      <c r="N2366" s="148">
        <f>IFERROR(__xludf.DUMMYFUNCTION("""COMPUTED_VALUE"""),999999.0)</f>
        <v>999999</v>
      </c>
      <c r="O2366" s="148">
        <f>IFERROR(__xludf.DUMMYFUNCTION("""COMPUTED_VALUE"""),99999.0)</f>
        <v>99999</v>
      </c>
      <c r="P2366" s="148">
        <f>IFERROR(__xludf.DUMMYFUNCTION("""COMPUTED_VALUE"""),9999.0)</f>
        <v>9999</v>
      </c>
      <c r="Q2366" s="148" t="str">
        <f>IFERROR(__xludf.DUMMYFUNCTION("""COMPUTED_VALUE"""),"[""bag_other""]")</f>
        <v>["bag_other"]</v>
      </c>
      <c r="R2366" s="148" t="str">
        <f>IFERROR(__xludf.DUMMYFUNCTION("""COMPUTED_VALUE"""),"[]")</f>
        <v>[]</v>
      </c>
      <c r="S2366" s="148" t="str">
        <f>IFERROR(__xludf.DUMMYFUNCTION("""COMPUTED_VALUE"""),"{}")</f>
        <v>{}</v>
      </c>
      <c r="T2366" s="148">
        <f>IFERROR(__xludf.DUMMYFUNCTION("""COMPUTED_VALUE"""),-1.0)</f>
        <v>-1</v>
      </c>
      <c r="U2366" s="148">
        <f>IFERROR(__xludf.DUMMYFUNCTION("""COMPUTED_VALUE"""),0.0)</f>
        <v>0</v>
      </c>
      <c r="V2366" s="148" t="str">
        <f>IFERROR(__xludf.DUMMYFUNCTION("""COMPUTED_VALUE"""),"[]")</f>
        <v>[]</v>
      </c>
      <c r="W2366" s="148">
        <f>IFERROR(__xludf.DUMMYFUNCTION("""COMPUTED_VALUE"""),1.174E7)</f>
        <v>11740000</v>
      </c>
      <c r="X2366" s="148">
        <f>IFERROR(__xludf.DUMMYFUNCTION("""COMPUTED_VALUE"""),0.0)</f>
        <v>0</v>
      </c>
      <c r="Y2366" s="148">
        <f>IFERROR(__xludf.DUMMYFUNCTION("""COMPUTED_VALUE"""),0.0)</f>
        <v>0</v>
      </c>
      <c r="Z2366" s="148"/>
    </row>
    <row r="2367">
      <c r="A2367" s="148">
        <f>IFERROR(__xludf.DUMMYFUNCTION("""COMPUTED_VALUE"""),1.1119279E7)</f>
        <v>11119279</v>
      </c>
      <c r="B2367" s="148" t="str">
        <f>IFERROR(__xludf.DUMMYFUNCTION("""COMPUTED_VALUE"""),"复活节强消耗抽奖券")</f>
        <v>复活节强消耗抽奖券</v>
      </c>
      <c r="C2367" s="148"/>
      <c r="D2367" s="148" t="str">
        <f>IFERROR(__xludf.DUMMYFUNCTION("""COMPUTED_VALUE"""),"event")</f>
        <v>event</v>
      </c>
      <c r="E2367" s="148">
        <f>IFERROR(__xludf.DUMMYFUNCTION("""COMPUTED_VALUE"""),0.0)</f>
        <v>0</v>
      </c>
      <c r="F2367" s="148">
        <f>IFERROR(__xludf.DUMMYFUNCTION("""COMPUTED_VALUE"""),0.0)</f>
        <v>0</v>
      </c>
      <c r="G2367" s="148">
        <f>IFERROR(__xludf.DUMMYFUNCTION("""COMPUTED_VALUE"""),1.5119836E7)</f>
        <v>15119836</v>
      </c>
      <c r="H2367" s="148">
        <f>IFERROR(__xludf.DUMMYFUNCTION("""COMPUTED_VALUE"""),1.5112564E7)</f>
        <v>15112564</v>
      </c>
      <c r="I2367" s="148" t="str">
        <f>IFERROR(__xludf.DUMMYFUNCTION("""COMPUTED_VALUE"""),"{}")</f>
        <v>{}</v>
      </c>
      <c r="J2367" s="148" t="str">
        <f>IFERROR(__xludf.DUMMYFUNCTION("""COMPUTED_VALUE"""),"{""typ"":""lc"",""txt"":""LC_ITEM_new_strong_consume_gacha_token2_name""}")</f>
        <v>{"typ":"lc","txt":"LC_ITEM_new_strong_consume_gacha_token2_name"}</v>
      </c>
      <c r="K2367" s="148" t="str">
        <f>IFERROR(__xludf.DUMMYFUNCTION("""COMPUTED_VALUE"""),"{""typ"":""lc"",""txt"":""LC_ITEM_new_strong_consume_gacha_token2_desc""}")</f>
        <v>{"typ":"lc","txt":"LC_ITEM_new_strong_consume_gacha_token2_desc"}</v>
      </c>
      <c r="L2367" s="148" t="str">
        <f>IFERROR(__xludf.DUMMYFUNCTION("""COMPUTED_VALUE"""),"{}")</f>
        <v>{}</v>
      </c>
      <c r="M2367" s="148">
        <f>IFERROR(__xludf.DUMMYFUNCTION("""COMPUTED_VALUE"""),125.0)</f>
        <v>125</v>
      </c>
      <c r="N2367" s="148">
        <f>IFERROR(__xludf.DUMMYFUNCTION("""COMPUTED_VALUE"""),999999.0)</f>
        <v>999999</v>
      </c>
      <c r="O2367" s="148">
        <f>IFERROR(__xludf.DUMMYFUNCTION("""COMPUTED_VALUE"""),99999.0)</f>
        <v>99999</v>
      </c>
      <c r="P2367" s="148">
        <f>IFERROR(__xludf.DUMMYFUNCTION("""COMPUTED_VALUE"""),9999.0)</f>
        <v>9999</v>
      </c>
      <c r="Q2367" s="148" t="str">
        <f>IFERROR(__xludf.DUMMYFUNCTION("""COMPUTED_VALUE"""),"[""bag_other""]")</f>
        <v>["bag_other"]</v>
      </c>
      <c r="R2367" s="148" t="str">
        <f>IFERROR(__xludf.DUMMYFUNCTION("""COMPUTED_VALUE"""),"[]")</f>
        <v>[]</v>
      </c>
      <c r="S2367" s="148" t="str">
        <f>IFERROR(__xludf.DUMMYFUNCTION("""COMPUTED_VALUE"""),"{}")</f>
        <v>{}</v>
      </c>
      <c r="T2367" s="148">
        <f>IFERROR(__xludf.DUMMYFUNCTION("""COMPUTED_VALUE"""),-1.0)</f>
        <v>-1</v>
      </c>
      <c r="U2367" s="148">
        <f>IFERROR(__xludf.DUMMYFUNCTION("""COMPUTED_VALUE"""),0.0)</f>
        <v>0</v>
      </c>
      <c r="V2367" s="148" t="str">
        <f>IFERROR(__xludf.DUMMYFUNCTION("""COMPUTED_VALUE"""),"[]")</f>
        <v>[]</v>
      </c>
      <c r="W2367" s="148">
        <f>IFERROR(__xludf.DUMMYFUNCTION("""COMPUTED_VALUE"""),1.174E7)</f>
        <v>11740000</v>
      </c>
      <c r="X2367" s="148">
        <f>IFERROR(__xludf.DUMMYFUNCTION("""COMPUTED_VALUE"""),0.0)</f>
        <v>0</v>
      </c>
      <c r="Y2367" s="148">
        <f>IFERROR(__xludf.DUMMYFUNCTION("""COMPUTED_VALUE"""),0.0)</f>
        <v>0</v>
      </c>
      <c r="Z2367" s="148"/>
    </row>
    <row r="2368">
      <c r="A2368" s="148">
        <f>IFERROR(__xludf.DUMMYFUNCTION("""COMPUTED_VALUE"""),1.111928E7)</f>
        <v>11119280</v>
      </c>
      <c r="B2368" s="148" t="str">
        <f>IFERROR(__xludf.DUMMYFUNCTION("""COMPUTED_VALUE"""),"拓荒节2025连锁任务宝箱")</f>
        <v>拓荒节2025连锁任务宝箱</v>
      </c>
      <c r="C2368" s="148"/>
      <c r="D2368" s="148" t="str">
        <f>IFERROR(__xludf.DUMMYFUNCTION("""COMPUTED_VALUE"""),"item_asset")</f>
        <v>item_asset</v>
      </c>
      <c r="E2368" s="148">
        <f>IFERROR(__xludf.DUMMYFUNCTION("""COMPUTED_VALUE"""),19.0)</f>
        <v>19</v>
      </c>
      <c r="F2368" s="148">
        <f>IFERROR(__xludf.DUMMYFUNCTION("""COMPUTED_VALUE"""),403308.0)</f>
        <v>403308</v>
      </c>
      <c r="G2368" s="148">
        <f>IFERROR(__xludf.DUMMYFUNCTION("""COMPUTED_VALUE"""),1.51101854E8)</f>
        <v>151101854</v>
      </c>
      <c r="H2368" s="148">
        <f>IFERROR(__xludf.DUMMYFUNCTION("""COMPUTED_VALUE"""),1.5112564E7)</f>
        <v>15112564</v>
      </c>
      <c r="I2368" s="148" t="str">
        <f>IFERROR(__xludf.DUMMYFUNCTION("""COMPUTED_VALUE"""),"{}")</f>
        <v>{}</v>
      </c>
      <c r="J2368" s="148" t="str">
        <f>IFERROR(__xludf.DUMMYFUNCTION("""COMPUTED_VALUE"""),"{""typ"":""lc"",""txt"":""LC_ITEM_labor_chain_task_2025_box_name""}")</f>
        <v>{"typ":"lc","txt":"LC_ITEM_labor_chain_task_2025_box_name"}</v>
      </c>
      <c r="K2368" s="148" t="str">
        <f>IFERROR(__xludf.DUMMYFUNCTION("""COMPUTED_VALUE"""),"{""typ"":""lc"",""txt"":""LC_ITEM_labor_chain_task_2025_box_desc""}")</f>
        <v>{"typ":"lc","txt":"LC_ITEM_labor_chain_task_2025_box_desc"}</v>
      </c>
      <c r="L2368" s="148" t="str">
        <f>IFERROR(__xludf.DUMMYFUNCTION("""COMPUTED_VALUE"""),"{}")</f>
        <v>{}</v>
      </c>
      <c r="M2368" s="148">
        <f>IFERROR(__xludf.DUMMYFUNCTION("""COMPUTED_VALUE"""),140.0)</f>
        <v>140</v>
      </c>
      <c r="N2368" s="148">
        <f>IFERROR(__xludf.DUMMYFUNCTION("""COMPUTED_VALUE"""),999999.0)</f>
        <v>999999</v>
      </c>
      <c r="O2368" s="148">
        <f>IFERROR(__xludf.DUMMYFUNCTION("""COMPUTED_VALUE"""),99999.0)</f>
        <v>99999</v>
      </c>
      <c r="P2368" s="148">
        <f>IFERROR(__xludf.DUMMYFUNCTION("""COMPUTED_VALUE"""),9999.0)</f>
        <v>9999</v>
      </c>
      <c r="Q2368" s="148" t="str">
        <f>IFERROR(__xludf.DUMMYFUNCTION("""COMPUTED_VALUE"""),"[""bag_other""]")</f>
        <v>["bag_other"]</v>
      </c>
      <c r="R2368" s="148" t="str">
        <f>IFERROR(__xludf.DUMMYFUNCTION("""COMPUTED_VALUE"""),"[""bag""]")</f>
        <v>["bag"]</v>
      </c>
      <c r="S2368" s="148" t="str">
        <f>IFERROR(__xludf.DUMMYFUNCTION("""COMPUTED_VALUE"""),"{""drop"":{""typ"":""single_random"",""num"":1,""args"":[{""typ"":""item"",""id"":11112164,""num"":2,""wgt"":20},{""typ"":""item"",""id"":11112150,""num"":2,""wgt"":20},{""typ"":""item"",""id"":11116304,""num"":1,""wgt"":5},{""typ"":""item"",""id"":111161"&amp;"10,""num"":1,""wgt"":20},{""typ"":""item"",""id"":11114330,""num"":1,""wgt"":100},{""typ"":""item"",""id"":11111155,""num"":2,""wgt"":100},{""typ"":""item"",""id"":11111105,""num"":1,""wgt"":50}]}}")</f>
        <v>{"drop":{"typ":"single_random","num":1,"args":[{"typ":"item","id":11112164,"num":2,"wgt":20},{"typ":"item","id":11112150,"num":2,"wgt":20},{"typ":"item","id":11116304,"num":1,"wgt":5},{"typ":"item","id":11116110,"num":1,"wgt":20},{"typ":"item","id":11114330,"num":1,"wgt":100},{"typ":"item","id":11111155,"num":2,"wgt":100},{"typ":"item","id":11111105,"num":1,"wgt":50}]}}</v>
      </c>
      <c r="T2368" s="148">
        <f>IFERROR(__xludf.DUMMYFUNCTION("""COMPUTED_VALUE"""),-1.0)</f>
        <v>-1</v>
      </c>
      <c r="U2368" s="148">
        <f>IFERROR(__xludf.DUMMYFUNCTION("""COMPUTED_VALUE"""),0.0)</f>
        <v>0</v>
      </c>
      <c r="V2368" s="148" t="str">
        <f>IFERROR(__xludf.DUMMYFUNCTION("""COMPUTED_VALUE"""),"[]")</f>
        <v>[]</v>
      </c>
      <c r="W2368" s="148">
        <f>IFERROR(__xludf.DUMMYFUNCTION("""COMPUTED_VALUE"""),1.174E7)</f>
        <v>11740000</v>
      </c>
      <c r="X2368" s="148">
        <f>IFERROR(__xludf.DUMMYFUNCTION("""COMPUTED_VALUE"""),0.0)</f>
        <v>0</v>
      </c>
      <c r="Y2368" s="148">
        <f>IFERROR(__xludf.DUMMYFUNCTION("""COMPUTED_VALUE"""),0.0)</f>
        <v>0</v>
      </c>
      <c r="Z2368" s="148"/>
    </row>
    <row r="2369">
      <c r="A2369" s="148">
        <f>IFERROR(__xludf.DUMMYFUNCTION("""COMPUTED_VALUE"""),1.1119281E7)</f>
        <v>11119281</v>
      </c>
      <c r="B2369" s="148" t="str">
        <f>IFERROR(__xludf.DUMMYFUNCTION("""COMPUTED_VALUE"""),"节日押镖-刷新券")</f>
        <v>节日押镖-刷新券</v>
      </c>
      <c r="C2369" s="148" t="str">
        <f>IFERROR(__xludf.DUMMYFUNCTION("""COMPUTED_VALUE"""),"actv_convoy_reset")</f>
        <v>actv_convoy_reset</v>
      </c>
      <c r="D2369" s="148" t="str">
        <f>IFERROR(__xludf.DUMMYFUNCTION("""COMPUTED_VALUE"""),"event")</f>
        <v>event</v>
      </c>
      <c r="E2369" s="148">
        <f>IFERROR(__xludf.DUMMYFUNCTION("""COMPUTED_VALUE"""),0.0)</f>
        <v>0</v>
      </c>
      <c r="F2369" s="148">
        <f>IFERROR(__xludf.DUMMYFUNCTION("""COMPUTED_VALUE"""),0.0)</f>
        <v>0</v>
      </c>
      <c r="G2369" s="148">
        <f>IFERROR(__xludf.DUMMYFUNCTION("""COMPUTED_VALUE"""),1.51102313E8)</f>
        <v>151102313</v>
      </c>
      <c r="H2369" s="148">
        <f>IFERROR(__xludf.DUMMYFUNCTION("""COMPUTED_VALUE"""),1.5112564E7)</f>
        <v>15112564</v>
      </c>
      <c r="I2369" s="148" t="str">
        <f>IFERROR(__xludf.DUMMYFUNCTION("""COMPUTED_VALUE"""),"{}")</f>
        <v>{}</v>
      </c>
      <c r="J2369" s="148" t="str">
        <f>IFERROR(__xludf.DUMMYFUNCTION("""COMPUTED_VALUE"""),"{""typ"":""lc"",""txt"":""LC_ITEM_actv_convoy_reset_name""}")</f>
        <v>{"typ":"lc","txt":"LC_ITEM_actv_convoy_reset_name"}</v>
      </c>
      <c r="K2369" s="148" t="str">
        <f>IFERROR(__xludf.DUMMYFUNCTION("""COMPUTED_VALUE"""),"{""typ"":""lc"",""txt"":""LC_ITEM_actv_convoy_reset_desc""}")</f>
        <v>{"typ":"lc","txt":"LC_ITEM_actv_convoy_reset_desc"}</v>
      </c>
      <c r="L2369" s="148" t="str">
        <f>IFERROR(__xludf.DUMMYFUNCTION("""COMPUTED_VALUE"""),"{}")</f>
        <v>{}</v>
      </c>
      <c r="M2369" s="148">
        <f>IFERROR(__xludf.DUMMYFUNCTION("""COMPUTED_VALUE"""),125.0)</f>
        <v>125</v>
      </c>
      <c r="N2369" s="148">
        <f>IFERROR(__xludf.DUMMYFUNCTION("""COMPUTED_VALUE"""),999999.0)</f>
        <v>999999</v>
      </c>
      <c r="O2369" s="148">
        <f>IFERROR(__xludf.DUMMYFUNCTION("""COMPUTED_VALUE"""),99999.0)</f>
        <v>99999</v>
      </c>
      <c r="P2369" s="148">
        <f>IFERROR(__xludf.DUMMYFUNCTION("""COMPUTED_VALUE"""),9999.0)</f>
        <v>9999</v>
      </c>
      <c r="Q2369" s="148" t="str">
        <f>IFERROR(__xludf.DUMMYFUNCTION("""COMPUTED_VALUE"""),"[""bag_other""]")</f>
        <v>["bag_other"]</v>
      </c>
      <c r="R2369" s="148" t="str">
        <f>IFERROR(__xludf.DUMMYFUNCTION("""COMPUTED_VALUE"""),"[]")</f>
        <v>[]</v>
      </c>
      <c r="S2369" s="148" t="str">
        <f>IFERROR(__xludf.DUMMYFUNCTION("""COMPUTED_VALUE"""),"{}")</f>
        <v>{}</v>
      </c>
      <c r="T2369" s="148">
        <f>IFERROR(__xludf.DUMMYFUNCTION("""COMPUTED_VALUE"""),-1.0)</f>
        <v>-1</v>
      </c>
      <c r="U2369" s="148">
        <f>IFERROR(__xludf.DUMMYFUNCTION("""COMPUTED_VALUE"""),0.0)</f>
        <v>0</v>
      </c>
      <c r="V2369" s="148" t="str">
        <f>IFERROR(__xludf.DUMMYFUNCTION("""COMPUTED_VALUE"""),"[]")</f>
        <v>[]</v>
      </c>
      <c r="W2369" s="148">
        <f>IFERROR(__xludf.DUMMYFUNCTION("""COMPUTED_VALUE"""),1.174E7)</f>
        <v>11740000</v>
      </c>
      <c r="X2369" s="148">
        <f>IFERROR(__xludf.DUMMYFUNCTION("""COMPUTED_VALUE"""),0.0)</f>
        <v>0</v>
      </c>
      <c r="Y2369" s="148">
        <f>IFERROR(__xludf.DUMMYFUNCTION("""COMPUTED_VALUE"""),0.0)</f>
        <v>0</v>
      </c>
      <c r="Z2369" s="148"/>
    </row>
    <row r="2370">
      <c r="A2370" s="148">
        <f>IFERROR(__xludf.DUMMYFUNCTION("""COMPUTED_VALUE"""),1.1119282E7)</f>
        <v>11119282</v>
      </c>
      <c r="B2370" s="148" t="str">
        <f>IFERROR(__xludf.DUMMYFUNCTION("""COMPUTED_VALUE"""),"节日押镖-品质升级券")</f>
        <v>节日押镖-品质升级券</v>
      </c>
      <c r="C2370" s="148"/>
      <c r="D2370" s="148" t="str">
        <f>IFERROR(__xludf.DUMMYFUNCTION("""COMPUTED_VALUE"""),"event")</f>
        <v>event</v>
      </c>
      <c r="E2370" s="148">
        <f>IFERROR(__xludf.DUMMYFUNCTION("""COMPUTED_VALUE"""),0.0)</f>
        <v>0</v>
      </c>
      <c r="F2370" s="148">
        <f>IFERROR(__xludf.DUMMYFUNCTION("""COMPUTED_VALUE"""),0.0)</f>
        <v>0</v>
      </c>
      <c r="G2370" s="148">
        <f>IFERROR(__xludf.DUMMYFUNCTION("""COMPUTED_VALUE"""),1.51102314E8)</f>
        <v>151102314</v>
      </c>
      <c r="H2370" s="148">
        <f>IFERROR(__xludf.DUMMYFUNCTION("""COMPUTED_VALUE"""),1.5112564E7)</f>
        <v>15112564</v>
      </c>
      <c r="I2370" s="148" t="str">
        <f>IFERROR(__xludf.DUMMYFUNCTION("""COMPUTED_VALUE"""),"{}")</f>
        <v>{}</v>
      </c>
      <c r="J2370" s="148" t="str">
        <f>IFERROR(__xludf.DUMMYFUNCTION("""COMPUTED_VALUE"""),"{""typ"":""lc"",""txt"":""LC_ITEM_actv_convoy_quality_up_name""}")</f>
        <v>{"typ":"lc","txt":"LC_ITEM_actv_convoy_quality_up_name"}</v>
      </c>
      <c r="K2370" s="148" t="str">
        <f>IFERROR(__xludf.DUMMYFUNCTION("""COMPUTED_VALUE"""),"{""typ"":""lc"",""txt"":""LC_ITEM_actv_convoy_quality_up_desc""}")</f>
        <v>{"typ":"lc","txt":"LC_ITEM_actv_convoy_quality_up_desc"}</v>
      </c>
      <c r="L2370" s="148" t="str">
        <f>IFERROR(__xludf.DUMMYFUNCTION("""COMPUTED_VALUE"""),"{}")</f>
        <v>{}</v>
      </c>
      <c r="M2370" s="148">
        <f>IFERROR(__xludf.DUMMYFUNCTION("""COMPUTED_VALUE"""),125.0)</f>
        <v>125</v>
      </c>
      <c r="N2370" s="148">
        <f>IFERROR(__xludf.DUMMYFUNCTION("""COMPUTED_VALUE"""),999999.0)</f>
        <v>999999</v>
      </c>
      <c r="O2370" s="148">
        <f>IFERROR(__xludf.DUMMYFUNCTION("""COMPUTED_VALUE"""),99999.0)</f>
        <v>99999</v>
      </c>
      <c r="P2370" s="148">
        <f>IFERROR(__xludf.DUMMYFUNCTION("""COMPUTED_VALUE"""),9999.0)</f>
        <v>9999</v>
      </c>
      <c r="Q2370" s="148" t="str">
        <f>IFERROR(__xludf.DUMMYFUNCTION("""COMPUTED_VALUE"""),"[""bag_other""]")</f>
        <v>["bag_other"]</v>
      </c>
      <c r="R2370" s="148" t="str">
        <f>IFERROR(__xludf.DUMMYFUNCTION("""COMPUTED_VALUE"""),"[]")</f>
        <v>[]</v>
      </c>
      <c r="S2370" s="148" t="str">
        <f>IFERROR(__xludf.DUMMYFUNCTION("""COMPUTED_VALUE"""),"{}")</f>
        <v>{}</v>
      </c>
      <c r="T2370" s="148">
        <f>IFERROR(__xludf.DUMMYFUNCTION("""COMPUTED_VALUE"""),-1.0)</f>
        <v>-1</v>
      </c>
      <c r="U2370" s="148">
        <f>IFERROR(__xludf.DUMMYFUNCTION("""COMPUTED_VALUE"""),1.0)</f>
        <v>1</v>
      </c>
      <c r="V2370" s="148" t="str">
        <f>IFERROR(__xludf.DUMMYFUNCTION("""COMPUTED_VALUE"""),"[]")</f>
        <v>[]</v>
      </c>
      <c r="W2370" s="148">
        <f>IFERROR(__xludf.DUMMYFUNCTION("""COMPUTED_VALUE"""),1.174E7)</f>
        <v>11740000</v>
      </c>
      <c r="X2370" s="148">
        <f>IFERROR(__xludf.DUMMYFUNCTION("""COMPUTED_VALUE"""),0.0)</f>
        <v>0</v>
      </c>
      <c r="Y2370" s="148">
        <f>IFERROR(__xludf.DUMMYFUNCTION("""COMPUTED_VALUE"""),0.0)</f>
        <v>0</v>
      </c>
      <c r="Z2370" s="148"/>
    </row>
    <row r="2371">
      <c r="A2371" s="148">
        <f>IFERROR(__xludf.DUMMYFUNCTION("""COMPUTED_VALUE"""),1.1119283E7)</f>
        <v>11119283</v>
      </c>
      <c r="B2371" s="148" t="str">
        <f>IFERROR(__xludf.DUMMYFUNCTION("""COMPUTED_VALUE"""),"节日押镖-增加次数券")</f>
        <v>节日押镖-增加次数券</v>
      </c>
      <c r="C2371" s="148"/>
      <c r="D2371" s="148" t="str">
        <f>IFERROR(__xludf.DUMMYFUNCTION("""COMPUTED_VALUE"""),"event")</f>
        <v>event</v>
      </c>
      <c r="E2371" s="148">
        <f>IFERROR(__xludf.DUMMYFUNCTION("""COMPUTED_VALUE"""),0.0)</f>
        <v>0</v>
      </c>
      <c r="F2371" s="148">
        <f>IFERROR(__xludf.DUMMYFUNCTION("""COMPUTED_VALUE"""),0.0)</f>
        <v>0</v>
      </c>
      <c r="G2371" s="148">
        <f>IFERROR(__xludf.DUMMYFUNCTION("""COMPUTED_VALUE"""),1.51102315E8)</f>
        <v>151102315</v>
      </c>
      <c r="H2371" s="148">
        <f>IFERROR(__xludf.DUMMYFUNCTION("""COMPUTED_VALUE"""),1.5112564E7)</f>
        <v>15112564</v>
      </c>
      <c r="I2371" s="148" t="str">
        <f>IFERROR(__xludf.DUMMYFUNCTION("""COMPUTED_VALUE"""),"{}")</f>
        <v>{}</v>
      </c>
      <c r="J2371" s="148" t="str">
        <f>IFERROR(__xludf.DUMMYFUNCTION("""COMPUTED_VALUE"""),"{""typ"":""lc"",""txt"":""LC_ITEM_actv_convoy_num_add_name""}")</f>
        <v>{"typ":"lc","txt":"LC_ITEM_actv_convoy_num_add_name"}</v>
      </c>
      <c r="K2371" s="148" t="str">
        <f>IFERROR(__xludf.DUMMYFUNCTION("""COMPUTED_VALUE"""),"{""typ"":""lc"",""txt"":""LC_ITEM_actv_convoy_num_add_desc""}")</f>
        <v>{"typ":"lc","txt":"LC_ITEM_actv_convoy_num_add_desc"}</v>
      </c>
      <c r="L2371" s="148" t="str">
        <f>IFERROR(__xludf.DUMMYFUNCTION("""COMPUTED_VALUE"""),"{}")</f>
        <v>{}</v>
      </c>
      <c r="M2371" s="148">
        <f>IFERROR(__xludf.DUMMYFUNCTION("""COMPUTED_VALUE"""),125.0)</f>
        <v>125</v>
      </c>
      <c r="N2371" s="148">
        <f>IFERROR(__xludf.DUMMYFUNCTION("""COMPUTED_VALUE"""),999999.0)</f>
        <v>999999</v>
      </c>
      <c r="O2371" s="148">
        <f>IFERROR(__xludf.DUMMYFUNCTION("""COMPUTED_VALUE"""),99999.0)</f>
        <v>99999</v>
      </c>
      <c r="P2371" s="148">
        <f>IFERROR(__xludf.DUMMYFUNCTION("""COMPUTED_VALUE"""),9999.0)</f>
        <v>9999</v>
      </c>
      <c r="Q2371" s="148" t="str">
        <f>IFERROR(__xludf.DUMMYFUNCTION("""COMPUTED_VALUE"""),"[""bag_other""]")</f>
        <v>["bag_other"]</v>
      </c>
      <c r="R2371" s="148" t="str">
        <f>IFERROR(__xludf.DUMMYFUNCTION("""COMPUTED_VALUE"""),"[]")</f>
        <v>[]</v>
      </c>
      <c r="S2371" s="148" t="str">
        <f>IFERROR(__xludf.DUMMYFUNCTION("""COMPUTED_VALUE"""),"{}")</f>
        <v>{}</v>
      </c>
      <c r="T2371" s="148">
        <f>IFERROR(__xludf.DUMMYFUNCTION("""COMPUTED_VALUE"""),-1.0)</f>
        <v>-1</v>
      </c>
      <c r="U2371" s="148">
        <f>IFERROR(__xludf.DUMMYFUNCTION("""COMPUTED_VALUE"""),1.0)</f>
        <v>1</v>
      </c>
      <c r="V2371" s="148" t="str">
        <f>IFERROR(__xludf.DUMMYFUNCTION("""COMPUTED_VALUE"""),"[]")</f>
        <v>[]</v>
      </c>
      <c r="W2371" s="148">
        <f>IFERROR(__xludf.DUMMYFUNCTION("""COMPUTED_VALUE"""),1.174E7)</f>
        <v>11740000</v>
      </c>
      <c r="X2371" s="148">
        <f>IFERROR(__xludf.DUMMYFUNCTION("""COMPUTED_VALUE"""),0.0)</f>
        <v>0</v>
      </c>
      <c r="Y2371" s="148">
        <f>IFERROR(__xludf.DUMMYFUNCTION("""COMPUTED_VALUE"""),0.0)</f>
        <v>0</v>
      </c>
      <c r="Z2371" s="148"/>
    </row>
    <row r="2372">
      <c r="A2372" s="148">
        <f>IFERROR(__xludf.DUMMYFUNCTION("""COMPUTED_VALUE"""),1.1119284E7)</f>
        <v>11119284</v>
      </c>
      <c r="B2372" s="148" t="str">
        <f>IFERROR(__xludf.DUMMYFUNCTION("""COMPUTED_VALUE"""),"登月节自选宝箱")</f>
        <v>登月节自选宝箱</v>
      </c>
      <c r="C2372" s="148"/>
      <c r="D2372" s="148" t="str">
        <f>IFERROR(__xludf.DUMMYFUNCTION("""COMPUTED_VALUE"""),"item_select_box")</f>
        <v>item_select_box</v>
      </c>
      <c r="E2372" s="148">
        <f>IFERROR(__xludf.DUMMYFUNCTION("""COMPUTED_VALUE"""),19.0)</f>
        <v>19</v>
      </c>
      <c r="F2372" s="148">
        <f>IFERROR(__xludf.DUMMYFUNCTION("""COMPUTED_VALUE"""),0.0)</f>
        <v>0</v>
      </c>
      <c r="G2372" s="148">
        <f>IFERROR(__xludf.DUMMYFUNCTION("""COMPUTED_VALUE"""),1.51102316E8)</f>
        <v>151102316</v>
      </c>
      <c r="H2372" s="148">
        <f>IFERROR(__xludf.DUMMYFUNCTION("""COMPUTED_VALUE"""),1.5112564E7)</f>
        <v>15112564</v>
      </c>
      <c r="I2372" s="148" t="str">
        <f>IFERROR(__xludf.DUMMYFUNCTION("""COMPUTED_VALUE"""),"{}")</f>
        <v>{}</v>
      </c>
      <c r="J2372" s="148" t="str">
        <f>IFERROR(__xludf.DUMMYFUNCTION("""COMPUTED_VALUE"""),"{""typ"":""lc"",""txt"":""LC_ITEM_actv_moon_cbox_name""}")</f>
        <v>{"typ":"lc","txt":"LC_ITEM_actv_moon_cbox_name"}</v>
      </c>
      <c r="K2372" s="148" t="str">
        <f>IFERROR(__xludf.DUMMYFUNCTION("""COMPUTED_VALUE"""),"{""typ"":""lc"",""txt"":""LC_ITEM_actv_moon_cbox_desc""}")</f>
        <v>{"typ":"lc","txt":"LC_ITEM_actv_moon_cbox_desc"}</v>
      </c>
      <c r="L2372" s="148" t="str">
        <f>IFERROR(__xludf.DUMMYFUNCTION("""COMPUTED_VALUE"""),"{}")</f>
        <v>{}</v>
      </c>
      <c r="M2372" s="148">
        <f>IFERROR(__xludf.DUMMYFUNCTION("""COMPUTED_VALUE"""),125.0)</f>
        <v>125</v>
      </c>
      <c r="N2372" s="148">
        <f>IFERROR(__xludf.DUMMYFUNCTION("""COMPUTED_VALUE"""),999999.0)</f>
        <v>999999</v>
      </c>
      <c r="O2372" s="148">
        <f>IFERROR(__xludf.DUMMYFUNCTION("""COMPUTED_VALUE"""),99999.0)</f>
        <v>99999</v>
      </c>
      <c r="P2372" s="148">
        <f>IFERROR(__xludf.DUMMYFUNCTION("""COMPUTED_VALUE"""),9999.0)</f>
        <v>9999</v>
      </c>
      <c r="Q2372" s="148" t="str">
        <f>IFERROR(__xludf.DUMMYFUNCTION("""COMPUTED_VALUE"""),"[""bag_other""]")</f>
        <v>["bag_other"]</v>
      </c>
      <c r="R2372" s="148" t="str">
        <f>IFERROR(__xludf.DUMMYFUNCTION("""COMPUTED_VALUE"""),"[""bag""]")</f>
        <v>["bag"]</v>
      </c>
      <c r="S2372" s="148" t="str">
        <f>IFERROR(__xludf.DUMMYFUNCTION("""COMPUTED_VALUE"""),"{""select_box"":[{""typ"":""item"",""id"":11112293,""val"":3},{""typ"":""item"",""id"":11112583,""val"":1}]}")</f>
        <v>{"select_box":[{"typ":"item","id":11112293,"val":3},{"typ":"item","id":11112583,"val":1}]}</v>
      </c>
      <c r="T2372" s="148">
        <f>IFERROR(__xludf.DUMMYFUNCTION("""COMPUTED_VALUE"""),-1.0)</f>
        <v>-1</v>
      </c>
      <c r="U2372" s="148">
        <f>IFERROR(__xludf.DUMMYFUNCTION("""COMPUTED_VALUE"""),0.0)</f>
        <v>0</v>
      </c>
      <c r="V2372" s="148" t="str">
        <f>IFERROR(__xludf.DUMMYFUNCTION("""COMPUTED_VALUE"""),"[]")</f>
        <v>[]</v>
      </c>
      <c r="W2372" s="148">
        <f>IFERROR(__xludf.DUMMYFUNCTION("""COMPUTED_VALUE"""),1.174E7)</f>
        <v>11740000</v>
      </c>
      <c r="X2372" s="148">
        <f>IFERROR(__xludf.DUMMYFUNCTION("""COMPUTED_VALUE"""),0.0)</f>
        <v>0</v>
      </c>
      <c r="Y2372" s="148">
        <f>IFERROR(__xludf.DUMMYFUNCTION("""COMPUTED_VALUE"""),0.0)</f>
        <v>0</v>
      </c>
      <c r="Z2372" s="148"/>
    </row>
    <row r="2373">
      <c r="A2373" s="148">
        <f>IFERROR(__xludf.DUMMYFUNCTION("""COMPUTED_VALUE"""),1.1119285E7)</f>
        <v>11119285</v>
      </c>
      <c r="B2373" s="148" t="str">
        <f>IFERROR(__xludf.DUMMYFUNCTION("""COMPUTED_VALUE"""),"登月节随机宝箱")</f>
        <v>登月节随机宝箱</v>
      </c>
      <c r="C2373" s="148"/>
      <c r="D2373" s="148" t="str">
        <f>IFERROR(__xludf.DUMMYFUNCTION("""COMPUTED_VALUE"""),"item_asset")</f>
        <v>item_asset</v>
      </c>
      <c r="E2373" s="148">
        <f>IFERROR(__xludf.DUMMYFUNCTION("""COMPUTED_VALUE"""),19.0)</f>
        <v>19</v>
      </c>
      <c r="F2373" s="148">
        <f>IFERROR(__xludf.DUMMYFUNCTION("""COMPUTED_VALUE"""),0.0)</f>
        <v>0</v>
      </c>
      <c r="G2373" s="148">
        <f>IFERROR(__xludf.DUMMYFUNCTION("""COMPUTED_VALUE"""),1.51102317E8)</f>
        <v>151102317</v>
      </c>
      <c r="H2373" s="148">
        <f>IFERROR(__xludf.DUMMYFUNCTION("""COMPUTED_VALUE"""),1.5112564E7)</f>
        <v>15112564</v>
      </c>
      <c r="I2373" s="148" t="str">
        <f>IFERROR(__xludf.DUMMYFUNCTION("""COMPUTED_VALUE"""),"{}")</f>
        <v>{}</v>
      </c>
      <c r="J2373" s="148" t="str">
        <f>IFERROR(__xludf.DUMMYFUNCTION("""COMPUTED_VALUE"""),"{""typ"":""lc"",""txt"":""LC_ITEM_actv_moon_rbox_name""}")</f>
        <v>{"typ":"lc","txt":"LC_ITEM_actv_moon_rbox_name"}</v>
      </c>
      <c r="K2373" s="148" t="str">
        <f>IFERROR(__xludf.DUMMYFUNCTION("""COMPUTED_VALUE"""),"{""typ"":""lc"",""txt"":""LC_ITEM_actv_moon_rbox_desc""}")</f>
        <v>{"typ":"lc","txt":"LC_ITEM_actv_moon_rbox_desc"}</v>
      </c>
      <c r="L2373" s="148" t="str">
        <f>IFERROR(__xludf.DUMMYFUNCTION("""COMPUTED_VALUE"""),"{}")</f>
        <v>{}</v>
      </c>
      <c r="M2373" s="148">
        <f>IFERROR(__xludf.DUMMYFUNCTION("""COMPUTED_VALUE"""),125.0)</f>
        <v>125</v>
      </c>
      <c r="N2373" s="148">
        <f>IFERROR(__xludf.DUMMYFUNCTION("""COMPUTED_VALUE"""),999999.0)</f>
        <v>999999</v>
      </c>
      <c r="O2373" s="148">
        <f>IFERROR(__xludf.DUMMYFUNCTION("""COMPUTED_VALUE"""),99999.0)</f>
        <v>99999</v>
      </c>
      <c r="P2373" s="148">
        <f>IFERROR(__xludf.DUMMYFUNCTION("""COMPUTED_VALUE"""),9999.0)</f>
        <v>9999</v>
      </c>
      <c r="Q2373" s="148" t="str">
        <f>IFERROR(__xludf.DUMMYFUNCTION("""COMPUTED_VALUE"""),"[""bag_other""]")</f>
        <v>["bag_other"]</v>
      </c>
      <c r="R2373" s="148" t="str">
        <f>IFERROR(__xludf.DUMMYFUNCTION("""COMPUTED_VALUE"""),"[""bag""]")</f>
        <v>["bag"]</v>
      </c>
      <c r="S2373" s="148" t="str">
        <f>IFERROR(__xludf.DUMMYFUNCTION("""COMPUTED_VALUE"""),"{""drop"":{""typ"":""single_random"",""num"":1,""args"":[{""typ"":""item"",""id"":11112583,""num"":2,""wgt"":20},{""typ"":""item"",""id"":11112293,""num"":2,""wgt"":20},{""typ"":""item"",""id"":11116304,""num"":1,""wgt"":5},{""typ"":""item"",""id"":111161"&amp;"10,""num"":1,""wgt"":20},{""typ"":""item"",""id"":11114330,""num"":1,""wgt"":100},{""typ"":""item"",""id"":11111155,""num"":2,""wgt"":100},{""typ"":""item"",""id"":11111105,""num"":1,""wgt"":50}]}}")</f>
        <v>{"drop":{"typ":"single_random","num":1,"args":[{"typ":"item","id":11112583,"num":2,"wgt":20},{"typ":"item","id":11112293,"num":2,"wgt":20},{"typ":"item","id":11116304,"num":1,"wgt":5},{"typ":"item","id":11116110,"num":1,"wgt":20},{"typ":"item","id":11114330,"num":1,"wgt":100},{"typ":"item","id":11111155,"num":2,"wgt":100},{"typ":"item","id":11111105,"num":1,"wgt":50}]}}</v>
      </c>
      <c r="T2373" s="148">
        <f>IFERROR(__xludf.DUMMYFUNCTION("""COMPUTED_VALUE"""),-1.0)</f>
        <v>-1</v>
      </c>
      <c r="U2373" s="148">
        <f>IFERROR(__xludf.DUMMYFUNCTION("""COMPUTED_VALUE"""),0.0)</f>
        <v>0</v>
      </c>
      <c r="V2373" s="148" t="str">
        <f>IFERROR(__xludf.DUMMYFUNCTION("""COMPUTED_VALUE"""),"[]")</f>
        <v>[]</v>
      </c>
      <c r="W2373" s="148">
        <f>IFERROR(__xludf.DUMMYFUNCTION("""COMPUTED_VALUE"""),1.174E7)</f>
        <v>11740000</v>
      </c>
      <c r="X2373" s="148">
        <f>IFERROR(__xludf.DUMMYFUNCTION("""COMPUTED_VALUE"""),0.0)</f>
        <v>0</v>
      </c>
      <c r="Y2373" s="148">
        <f>IFERROR(__xludf.DUMMYFUNCTION("""COMPUTED_VALUE"""),0.0)</f>
        <v>0</v>
      </c>
      <c r="Z2373" s="148"/>
    </row>
    <row r="2374">
      <c r="A2374" s="148">
        <f>IFERROR(__xludf.DUMMYFUNCTION("""COMPUTED_VALUE"""),1.1119286E7)</f>
        <v>11119286</v>
      </c>
      <c r="B2374" s="148" t="str">
        <f>IFERROR(__xludf.DUMMYFUNCTION("""COMPUTED_VALUE"""),"登月节BP随机宝箱（有行军特效）")</f>
        <v>登月节BP随机宝箱（有行军特效）</v>
      </c>
      <c r="C2374" s="148"/>
      <c r="D2374" s="148" t="str">
        <f>IFERROR(__xludf.DUMMYFUNCTION("""COMPUTED_VALUE"""),"item_asset")</f>
        <v>item_asset</v>
      </c>
      <c r="E2374" s="148">
        <f>IFERROR(__xludf.DUMMYFUNCTION("""COMPUTED_VALUE"""),19.0)</f>
        <v>19</v>
      </c>
      <c r="F2374" s="148">
        <f>IFERROR(__xludf.DUMMYFUNCTION("""COMPUTED_VALUE"""),0.0)</f>
        <v>0</v>
      </c>
      <c r="G2374" s="148">
        <f>IFERROR(__xludf.DUMMYFUNCTION("""COMPUTED_VALUE"""),1.51101545E8)</f>
        <v>151101545</v>
      </c>
      <c r="H2374" s="148">
        <f>IFERROR(__xludf.DUMMYFUNCTION("""COMPUTED_VALUE"""),1.5112564E7)</f>
        <v>15112564</v>
      </c>
      <c r="I2374" s="148" t="str">
        <f>IFERROR(__xludf.DUMMYFUNCTION("""COMPUTED_VALUE"""),"{}")</f>
        <v>{}</v>
      </c>
      <c r="J2374" s="148" t="str">
        <f>IFERROR(__xludf.DUMMYFUNCTION("""COMPUTED_VALUE"""),"{""typ"":""lc"",""txt"":""LC_ITEM_actv_moon_bp_rbox_name""}")</f>
        <v>{"typ":"lc","txt":"LC_ITEM_actv_moon_bp_rbox_name"}</v>
      </c>
      <c r="K2374" s="148" t="str">
        <f>IFERROR(__xludf.DUMMYFUNCTION("""COMPUTED_VALUE"""),"{""typ"":""lc"",""txt"":""LC_ITEM_actv_moon_bp_rbox_desc""}")</f>
        <v>{"typ":"lc","txt":"LC_ITEM_actv_moon_bp_rbox_desc"}</v>
      </c>
      <c r="L2374" s="148" t="str">
        <f>IFERROR(__xludf.DUMMYFUNCTION("""COMPUTED_VALUE"""),"{}")</f>
        <v>{}</v>
      </c>
      <c r="M2374" s="148">
        <f>IFERROR(__xludf.DUMMYFUNCTION("""COMPUTED_VALUE"""),125.0)</f>
        <v>125</v>
      </c>
      <c r="N2374" s="148">
        <f>IFERROR(__xludf.DUMMYFUNCTION("""COMPUTED_VALUE"""),999999.0)</f>
        <v>999999</v>
      </c>
      <c r="O2374" s="148">
        <f>IFERROR(__xludf.DUMMYFUNCTION("""COMPUTED_VALUE"""),99999.0)</f>
        <v>99999</v>
      </c>
      <c r="P2374" s="148">
        <f>IFERROR(__xludf.DUMMYFUNCTION("""COMPUTED_VALUE"""),9999.0)</f>
        <v>9999</v>
      </c>
      <c r="Q2374" s="148" t="str">
        <f>IFERROR(__xludf.DUMMYFUNCTION("""COMPUTED_VALUE"""),"[""bag_other""]")</f>
        <v>["bag_other"]</v>
      </c>
      <c r="R2374" s="148" t="str">
        <f>IFERROR(__xludf.DUMMYFUNCTION("""COMPUTED_VALUE"""),"[""bag""]")</f>
        <v>["bag"]</v>
      </c>
      <c r="S2374" s="148" t="str">
        <f>IFERROR(__xludf.DUMMYFUNCTION("""COMPUTED_VALUE"""),"{""drop"":{""typ"":""single_random"",""num"":1,""args"":[{""typ"":""item"",""id"":11112614,""num"":1,""wgt"":1},{""typ"":""item"",""id"":11112293,""num"":10,""wgt"":30},{""typ"":""item"",""id"":11116304,""num"":1,""wgt"":5},{""typ"":""item"",""id"":111186"&amp;"63,""num"":2,""wgt"":30},{""typ"":""item"",""id"":11116110,""num"":2,""wgt"":30},{""typ"":""item"",""id"":11114330,""num"":1,""wgt"":200},{""typ"":""item"",""id"":11111155,""num"":2,""wgt"":200},{""typ"":""item"",""id"":11111105,""num"":2,""wgt"":50}]}}")</f>
        <v>{"drop":{"typ":"single_random","num":1,"args":[{"typ":"item","id":11112614,"num":1,"wgt":1},{"typ":"item","id":11112293,"num":10,"wgt":30},{"typ":"item","id":11116304,"num":1,"wgt":5},{"typ":"item","id":11118663,"num":2,"wgt":30},{"typ":"item","id":11116110,"num":2,"wgt":30},{"typ":"item","id":11114330,"num":1,"wgt":200},{"typ":"item","id":11111155,"num":2,"wgt":200},{"typ":"item","id":11111105,"num":2,"wgt":50}]}}</v>
      </c>
      <c r="T2374" s="148">
        <f>IFERROR(__xludf.DUMMYFUNCTION("""COMPUTED_VALUE"""),-1.0)</f>
        <v>-1</v>
      </c>
      <c r="U2374" s="148">
        <f>IFERROR(__xludf.DUMMYFUNCTION("""COMPUTED_VALUE"""),0.0)</f>
        <v>0</v>
      </c>
      <c r="V2374" s="148" t="str">
        <f>IFERROR(__xludf.DUMMYFUNCTION("""COMPUTED_VALUE"""),"[]")</f>
        <v>[]</v>
      </c>
      <c r="W2374" s="148">
        <f>IFERROR(__xludf.DUMMYFUNCTION("""COMPUTED_VALUE"""),1.174E7)</f>
        <v>11740000</v>
      </c>
      <c r="X2374" s="148">
        <f>IFERROR(__xludf.DUMMYFUNCTION("""COMPUTED_VALUE"""),0.0)</f>
        <v>0</v>
      </c>
      <c r="Y2374" s="148">
        <f>IFERROR(__xludf.DUMMYFUNCTION("""COMPUTED_VALUE"""),0.0)</f>
        <v>0</v>
      </c>
      <c r="Z2374" s="148"/>
    </row>
    <row r="2375">
      <c r="A2375" s="148">
        <f>IFERROR(__xludf.DUMMYFUNCTION("""COMPUTED_VALUE"""),1.1119287E7)</f>
        <v>11119287</v>
      </c>
      <c r="B2375" s="148" t="str">
        <f>IFERROR(__xludf.DUMMYFUNCTION("""COMPUTED_VALUE"""),"2025周年庆自选宝箱")</f>
        <v>2025周年庆自选宝箱</v>
      </c>
      <c r="C2375" s="148"/>
      <c r="D2375" s="148" t="str">
        <f>IFERROR(__xludf.DUMMYFUNCTION("""COMPUTED_VALUE"""),"item_select_box")</f>
        <v>item_select_box</v>
      </c>
      <c r="E2375" s="148">
        <f>IFERROR(__xludf.DUMMYFUNCTION("""COMPUTED_VALUE"""),19.0)</f>
        <v>19</v>
      </c>
      <c r="F2375" s="148">
        <f>IFERROR(__xludf.DUMMYFUNCTION("""COMPUTED_VALUE"""),0.0)</f>
        <v>0</v>
      </c>
      <c r="G2375" s="148">
        <f>IFERROR(__xludf.DUMMYFUNCTION("""COMPUTED_VALUE"""),1.51102477E8)</f>
        <v>151102477</v>
      </c>
      <c r="H2375" s="148">
        <f>IFERROR(__xludf.DUMMYFUNCTION("""COMPUTED_VALUE"""),1.5112564E7)</f>
        <v>15112564</v>
      </c>
      <c r="I2375" s="148" t="str">
        <f>IFERROR(__xludf.DUMMYFUNCTION("""COMPUTED_VALUE"""),"{}")</f>
        <v>{}</v>
      </c>
      <c r="J2375" s="148" t="str">
        <f>IFERROR(__xludf.DUMMYFUNCTION("""COMPUTED_VALUE"""),"{""typ"":""lc"",""txt"":""LC_ITEM_anni3_cbox_name""}")</f>
        <v>{"typ":"lc","txt":"LC_ITEM_anni3_cbox_name"}</v>
      </c>
      <c r="K2375" s="148" t="str">
        <f>IFERROR(__xludf.DUMMYFUNCTION("""COMPUTED_VALUE"""),"{""typ"":""lc"",""txt"":""LC_ITEM_anni3_cbox_desc""}")</f>
        <v>{"typ":"lc","txt":"LC_ITEM_anni3_cbox_desc"}</v>
      </c>
      <c r="L2375" s="148" t="str">
        <f>IFERROR(__xludf.DUMMYFUNCTION("""COMPUTED_VALUE"""),"{}")</f>
        <v>{}</v>
      </c>
      <c r="M2375" s="148">
        <f>IFERROR(__xludf.DUMMYFUNCTION("""COMPUTED_VALUE"""),125.0)</f>
        <v>125</v>
      </c>
      <c r="N2375" s="148">
        <f>IFERROR(__xludf.DUMMYFUNCTION("""COMPUTED_VALUE"""),999999.0)</f>
        <v>999999</v>
      </c>
      <c r="O2375" s="148">
        <f>IFERROR(__xludf.DUMMYFUNCTION("""COMPUTED_VALUE"""),99999.0)</f>
        <v>99999</v>
      </c>
      <c r="P2375" s="148">
        <f>IFERROR(__xludf.DUMMYFUNCTION("""COMPUTED_VALUE"""),9999.0)</f>
        <v>9999</v>
      </c>
      <c r="Q2375" s="148" t="str">
        <f>IFERROR(__xludf.DUMMYFUNCTION("""COMPUTED_VALUE"""),"[""bag_other""]")</f>
        <v>["bag_other"]</v>
      </c>
      <c r="R2375" s="148" t="str">
        <f>IFERROR(__xludf.DUMMYFUNCTION("""COMPUTED_VALUE"""),"[""bag""]")</f>
        <v>["bag"]</v>
      </c>
      <c r="S2375" s="148" t="str">
        <f>IFERROR(__xludf.DUMMYFUNCTION("""COMPUTED_VALUE"""),"{""select_box"":[{""typ"":""item"",""id"":11112649,""val"":1},{""typ"":""item"",""id"":11112652,""val"":2},{""typ"":""item"",""id"":11119677,""val"":4},{""typ"":""item"",""id"":11119678,""val"":4}]}")</f>
        <v>{"select_box":[{"typ":"item","id":11112649,"val":1},{"typ":"item","id":11112652,"val":2},{"typ":"item","id":11119677,"val":4},{"typ":"item","id":11119678,"val":4}]}</v>
      </c>
      <c r="T2375" s="148">
        <f>IFERROR(__xludf.DUMMYFUNCTION("""COMPUTED_VALUE"""),-1.0)</f>
        <v>-1</v>
      </c>
      <c r="U2375" s="148">
        <f>IFERROR(__xludf.DUMMYFUNCTION("""COMPUTED_VALUE"""),0.0)</f>
        <v>0</v>
      </c>
      <c r="V2375" s="148" t="str">
        <f>IFERROR(__xludf.DUMMYFUNCTION("""COMPUTED_VALUE"""),"[]")</f>
        <v>[]</v>
      </c>
      <c r="W2375" s="148">
        <f>IFERROR(__xludf.DUMMYFUNCTION("""COMPUTED_VALUE"""),1.174E7)</f>
        <v>11740000</v>
      </c>
      <c r="X2375" s="148">
        <f>IFERROR(__xludf.DUMMYFUNCTION("""COMPUTED_VALUE"""),0.0)</f>
        <v>0</v>
      </c>
      <c r="Y2375" s="148">
        <f>IFERROR(__xludf.DUMMYFUNCTION("""COMPUTED_VALUE"""),0.0)</f>
        <v>0</v>
      </c>
      <c r="Z2375" s="148"/>
    </row>
    <row r="2376">
      <c r="A2376" s="148">
        <f>IFERROR(__xludf.DUMMYFUNCTION("""COMPUTED_VALUE"""),1.1119288E7)</f>
        <v>11119288</v>
      </c>
      <c r="B2376" s="148" t="str">
        <f>IFERROR(__xludf.DUMMYFUNCTION("""COMPUTED_VALUE"""),"2025周年庆随机宝箱（暂时没用到）")</f>
        <v>2025周年庆随机宝箱（暂时没用到）</v>
      </c>
      <c r="C2376" s="148"/>
      <c r="D2376" s="148" t="str">
        <f>IFERROR(__xludf.DUMMYFUNCTION("""COMPUTED_VALUE"""),"item_asset")</f>
        <v>item_asset</v>
      </c>
      <c r="E2376" s="148">
        <f>IFERROR(__xludf.DUMMYFUNCTION("""COMPUTED_VALUE"""),19.0)</f>
        <v>19</v>
      </c>
      <c r="F2376" s="148">
        <f>IFERROR(__xludf.DUMMYFUNCTION("""COMPUTED_VALUE"""),0.0)</f>
        <v>0</v>
      </c>
      <c r="G2376" s="148">
        <f>IFERROR(__xludf.DUMMYFUNCTION("""COMPUTED_VALUE"""),1.51102317E8)</f>
        <v>151102317</v>
      </c>
      <c r="H2376" s="148">
        <f>IFERROR(__xludf.DUMMYFUNCTION("""COMPUTED_VALUE"""),1.5112564E7)</f>
        <v>15112564</v>
      </c>
      <c r="I2376" s="148" t="str">
        <f>IFERROR(__xludf.DUMMYFUNCTION("""COMPUTED_VALUE"""),"{}")</f>
        <v>{}</v>
      </c>
      <c r="J2376" s="148" t="str">
        <f>IFERROR(__xludf.DUMMYFUNCTION("""COMPUTED_VALUE"""),"{""typ"":""lc"",""txt"":""LC_ITEM_actv_moon_rbox_name""}")</f>
        <v>{"typ":"lc","txt":"LC_ITEM_actv_moon_rbox_name"}</v>
      </c>
      <c r="K2376" s="148" t="str">
        <f>IFERROR(__xludf.DUMMYFUNCTION("""COMPUTED_VALUE"""),"{""typ"":""lc"",""txt"":""LC_ITEM_actv_moon_rbox_desc""}")</f>
        <v>{"typ":"lc","txt":"LC_ITEM_actv_moon_rbox_desc"}</v>
      </c>
      <c r="L2376" s="148" t="str">
        <f>IFERROR(__xludf.DUMMYFUNCTION("""COMPUTED_VALUE"""),"{}")</f>
        <v>{}</v>
      </c>
      <c r="M2376" s="148">
        <f>IFERROR(__xludf.DUMMYFUNCTION("""COMPUTED_VALUE"""),125.0)</f>
        <v>125</v>
      </c>
      <c r="N2376" s="148">
        <f>IFERROR(__xludf.DUMMYFUNCTION("""COMPUTED_VALUE"""),999999.0)</f>
        <v>999999</v>
      </c>
      <c r="O2376" s="148">
        <f>IFERROR(__xludf.DUMMYFUNCTION("""COMPUTED_VALUE"""),99999.0)</f>
        <v>99999</v>
      </c>
      <c r="P2376" s="148">
        <f>IFERROR(__xludf.DUMMYFUNCTION("""COMPUTED_VALUE"""),9999.0)</f>
        <v>9999</v>
      </c>
      <c r="Q2376" s="148" t="str">
        <f>IFERROR(__xludf.DUMMYFUNCTION("""COMPUTED_VALUE"""),"[""bag_other""]")</f>
        <v>["bag_other"]</v>
      </c>
      <c r="R2376" s="148" t="str">
        <f>IFERROR(__xludf.DUMMYFUNCTION("""COMPUTED_VALUE"""),"[""bag""]")</f>
        <v>["bag"]</v>
      </c>
      <c r="S2376" s="148" t="str">
        <f>IFERROR(__xludf.DUMMYFUNCTION("""COMPUTED_VALUE"""),"{""drop"":{""typ"":""single_random"",""num"":1,""args"":[{""typ"":""item"",""id"":11112583,""num"":2,""wgt"":20},{""typ"":""item"",""id"":11112293,""num"":2,""wgt"":20},{""typ"":""item"",""id"":11116304,""num"":1,""wgt"":5},{""typ"":""item"",""id"":111161"&amp;"10,""num"":1,""wgt"":20},{""typ"":""item"",""id"":11114330,""num"":1,""wgt"":100},{""typ"":""item"",""id"":11111155,""num"":2,""wgt"":100},{""typ"":""item"",""id"":11111105,""num"":1,""wgt"":50}]}}")</f>
        <v>{"drop":{"typ":"single_random","num":1,"args":[{"typ":"item","id":11112583,"num":2,"wgt":20},{"typ":"item","id":11112293,"num":2,"wgt":20},{"typ":"item","id":11116304,"num":1,"wgt":5},{"typ":"item","id":11116110,"num":1,"wgt":20},{"typ":"item","id":11114330,"num":1,"wgt":100},{"typ":"item","id":11111155,"num":2,"wgt":100},{"typ":"item","id":11111105,"num":1,"wgt":50}]}}</v>
      </c>
      <c r="T2376" s="148">
        <f>IFERROR(__xludf.DUMMYFUNCTION("""COMPUTED_VALUE"""),-1.0)</f>
        <v>-1</v>
      </c>
      <c r="U2376" s="148">
        <f>IFERROR(__xludf.DUMMYFUNCTION("""COMPUTED_VALUE"""),0.0)</f>
        <v>0</v>
      </c>
      <c r="V2376" s="148" t="str">
        <f>IFERROR(__xludf.DUMMYFUNCTION("""COMPUTED_VALUE"""),"[]")</f>
        <v>[]</v>
      </c>
      <c r="W2376" s="148">
        <f>IFERROR(__xludf.DUMMYFUNCTION("""COMPUTED_VALUE"""),1.174E7)</f>
        <v>11740000</v>
      </c>
      <c r="X2376" s="148">
        <f>IFERROR(__xludf.DUMMYFUNCTION("""COMPUTED_VALUE"""),0.0)</f>
        <v>0</v>
      </c>
      <c r="Y2376" s="148">
        <f>IFERROR(__xludf.DUMMYFUNCTION("""COMPUTED_VALUE"""),0.0)</f>
        <v>0</v>
      </c>
      <c r="Z2376" s="148"/>
    </row>
    <row r="2377">
      <c r="A2377" s="148">
        <f>IFERROR(__xludf.DUMMYFUNCTION("""COMPUTED_VALUE"""),1.1119289E7)</f>
        <v>11119289</v>
      </c>
      <c r="B2377" s="148" t="str">
        <f>IFERROR(__xludf.DUMMYFUNCTION("""COMPUTED_VALUE"""),"2025周年庆BP随机宝箱1（有行军特效）")</f>
        <v>2025周年庆BP随机宝箱1（有行军特效）</v>
      </c>
      <c r="C2377" s="148"/>
      <c r="D2377" s="148" t="str">
        <f>IFERROR(__xludf.DUMMYFUNCTION("""COMPUTED_VALUE"""),"item_asset")</f>
        <v>item_asset</v>
      </c>
      <c r="E2377" s="148">
        <f>IFERROR(__xludf.DUMMYFUNCTION("""COMPUTED_VALUE"""),19.0)</f>
        <v>19</v>
      </c>
      <c r="F2377" s="148">
        <f>IFERROR(__xludf.DUMMYFUNCTION("""COMPUTED_VALUE"""),0.0)</f>
        <v>0</v>
      </c>
      <c r="G2377" s="148">
        <f>IFERROR(__xludf.DUMMYFUNCTION("""COMPUTED_VALUE"""),1.51101545E8)</f>
        <v>151101545</v>
      </c>
      <c r="H2377" s="148">
        <f>IFERROR(__xludf.DUMMYFUNCTION("""COMPUTED_VALUE"""),1.5112564E7)</f>
        <v>15112564</v>
      </c>
      <c r="I2377" s="148" t="str">
        <f>IFERROR(__xludf.DUMMYFUNCTION("""COMPUTED_VALUE"""),"{}")</f>
        <v>{}</v>
      </c>
      <c r="J2377" s="148" t="str">
        <f>IFERROR(__xludf.DUMMYFUNCTION("""COMPUTED_VALUE"""),"{""typ"":""lc"",""txt"":""LC_ITEM_actv_3rd_bp_rbox_name_1""}")</f>
        <v>{"typ":"lc","txt":"LC_ITEM_actv_3rd_bp_rbox_name_1"}</v>
      </c>
      <c r="K2377" s="148" t="str">
        <f>IFERROR(__xludf.DUMMYFUNCTION("""COMPUTED_VALUE"""),"{""typ"":""lc"",""txt"":""LC_ITEM_actv_3rd_bp_rbox_desc_1""}")</f>
        <v>{"typ":"lc","txt":"LC_ITEM_actv_3rd_bp_rbox_desc_1"}</v>
      </c>
      <c r="L2377" s="148" t="str">
        <f>IFERROR(__xludf.DUMMYFUNCTION("""COMPUTED_VALUE"""),"{}")</f>
        <v>{}</v>
      </c>
      <c r="M2377" s="148">
        <f>IFERROR(__xludf.DUMMYFUNCTION("""COMPUTED_VALUE"""),125.0)</f>
        <v>125</v>
      </c>
      <c r="N2377" s="148">
        <f>IFERROR(__xludf.DUMMYFUNCTION("""COMPUTED_VALUE"""),999999.0)</f>
        <v>999999</v>
      </c>
      <c r="O2377" s="148">
        <f>IFERROR(__xludf.DUMMYFUNCTION("""COMPUTED_VALUE"""),99999.0)</f>
        <v>99999</v>
      </c>
      <c r="P2377" s="148">
        <f>IFERROR(__xludf.DUMMYFUNCTION("""COMPUTED_VALUE"""),9999.0)</f>
        <v>9999</v>
      </c>
      <c r="Q2377" s="148" t="str">
        <f>IFERROR(__xludf.DUMMYFUNCTION("""COMPUTED_VALUE"""),"[""bag_other""]")</f>
        <v>["bag_other"]</v>
      </c>
      <c r="R2377" s="148" t="str">
        <f>IFERROR(__xludf.DUMMYFUNCTION("""COMPUTED_VALUE"""),"[""bag""]")</f>
        <v>["bag"]</v>
      </c>
      <c r="S2377" s="148" t="str">
        <f>IFERROR(__xludf.DUMMYFUNCTION("""COMPUTED_VALUE"""),"{""drop"":{""typ"":""single_random"",""num"":1,""args"":[{""typ"":""item"",""id"":11119676,""num"":1,""wgt"":1},{""typ"":""item"",""id"":11119677,""num"":10,""wgt"":30},{""typ"":""item"",""id"":11116304,""num"":1,""wgt"":5},{""typ"":""item"",""id"":111186"&amp;"63,""num"":2,""wgt"":30},{""typ"":""item"",""id"":11116110,""num"":2,""wgt"":30},{""typ"":""item"",""id"":11114330,""num"":1,""wgt"":200},{""typ"":""item"",""id"":11111155,""num"":2,""wgt"":200},{""typ"":""item"",""id"":11111105,""num"":2,""wgt"":50}]}}")</f>
        <v>{"drop":{"typ":"single_random","num":1,"args":[{"typ":"item","id":11119676,"num":1,"wgt":1},{"typ":"item","id":11119677,"num":10,"wgt":30},{"typ":"item","id":11116304,"num":1,"wgt":5},{"typ":"item","id":11118663,"num":2,"wgt":30},{"typ":"item","id":11116110,"num":2,"wgt":30},{"typ":"item","id":11114330,"num":1,"wgt":200},{"typ":"item","id":11111155,"num":2,"wgt":200},{"typ":"item","id":11111105,"num":2,"wgt":50}]}}</v>
      </c>
      <c r="T2377" s="148">
        <f>IFERROR(__xludf.DUMMYFUNCTION("""COMPUTED_VALUE"""),-1.0)</f>
        <v>-1</v>
      </c>
      <c r="U2377" s="148">
        <f>IFERROR(__xludf.DUMMYFUNCTION("""COMPUTED_VALUE"""),0.0)</f>
        <v>0</v>
      </c>
      <c r="V2377" s="148" t="str">
        <f>IFERROR(__xludf.DUMMYFUNCTION("""COMPUTED_VALUE"""),"[]")</f>
        <v>[]</v>
      </c>
      <c r="W2377" s="148">
        <f>IFERROR(__xludf.DUMMYFUNCTION("""COMPUTED_VALUE"""),1.174E7)</f>
        <v>11740000</v>
      </c>
      <c r="X2377" s="148">
        <f>IFERROR(__xludf.DUMMYFUNCTION("""COMPUTED_VALUE"""),0.0)</f>
        <v>0</v>
      </c>
      <c r="Y2377" s="148">
        <f>IFERROR(__xludf.DUMMYFUNCTION("""COMPUTED_VALUE"""),0.0)</f>
        <v>0</v>
      </c>
      <c r="Z2377" s="148"/>
    </row>
    <row r="2378">
      <c r="A2378" s="148">
        <f>IFERROR(__xludf.DUMMYFUNCTION("""COMPUTED_VALUE"""),1.111929E7)</f>
        <v>11119290</v>
      </c>
      <c r="B2378" s="148" t="str">
        <f>IFERROR(__xludf.DUMMYFUNCTION("""COMPUTED_VALUE"""),"2025周年庆BP随机宝箱2（有行军特效）")</f>
        <v>2025周年庆BP随机宝箱2（有行军特效）</v>
      </c>
      <c r="C2378" s="148"/>
      <c r="D2378" s="148" t="str">
        <f>IFERROR(__xludf.DUMMYFUNCTION("""COMPUTED_VALUE"""),"item_asset")</f>
        <v>item_asset</v>
      </c>
      <c r="E2378" s="148">
        <f>IFERROR(__xludf.DUMMYFUNCTION("""COMPUTED_VALUE"""),19.0)</f>
        <v>19</v>
      </c>
      <c r="F2378" s="148">
        <f>IFERROR(__xludf.DUMMYFUNCTION("""COMPUTED_VALUE"""),0.0)</f>
        <v>0</v>
      </c>
      <c r="G2378" s="148">
        <f>IFERROR(__xludf.DUMMYFUNCTION("""COMPUTED_VALUE"""),1.51101545E8)</f>
        <v>151101545</v>
      </c>
      <c r="H2378" s="148">
        <f>IFERROR(__xludf.DUMMYFUNCTION("""COMPUTED_VALUE"""),1.5112564E7)</f>
        <v>15112564</v>
      </c>
      <c r="I2378" s="148" t="str">
        <f>IFERROR(__xludf.DUMMYFUNCTION("""COMPUTED_VALUE"""),"{}")</f>
        <v>{}</v>
      </c>
      <c r="J2378" s="148" t="str">
        <f>IFERROR(__xludf.DUMMYFUNCTION("""COMPUTED_VALUE"""),"{""typ"":""lc"",""txt"":""LC_ITEM_actv_3rd_bp_rbox_name_2""}")</f>
        <v>{"typ":"lc","txt":"LC_ITEM_actv_3rd_bp_rbox_name_2"}</v>
      </c>
      <c r="K2378" s="148" t="str">
        <f>IFERROR(__xludf.DUMMYFUNCTION("""COMPUTED_VALUE"""),"{""typ"":""lc"",""txt"":""LC_ITEM_actv_3rd_bp_rbox_desc_2""}")</f>
        <v>{"typ":"lc","txt":"LC_ITEM_actv_3rd_bp_rbox_desc_2"}</v>
      </c>
      <c r="L2378" s="148" t="str">
        <f>IFERROR(__xludf.DUMMYFUNCTION("""COMPUTED_VALUE"""),"{}")</f>
        <v>{}</v>
      </c>
      <c r="M2378" s="148">
        <f>IFERROR(__xludf.DUMMYFUNCTION("""COMPUTED_VALUE"""),125.0)</f>
        <v>125</v>
      </c>
      <c r="N2378" s="148">
        <f>IFERROR(__xludf.DUMMYFUNCTION("""COMPUTED_VALUE"""),999999.0)</f>
        <v>999999</v>
      </c>
      <c r="O2378" s="148">
        <f>IFERROR(__xludf.DUMMYFUNCTION("""COMPUTED_VALUE"""),99999.0)</f>
        <v>99999</v>
      </c>
      <c r="P2378" s="148">
        <f>IFERROR(__xludf.DUMMYFUNCTION("""COMPUTED_VALUE"""),9999.0)</f>
        <v>9999</v>
      </c>
      <c r="Q2378" s="148" t="str">
        <f>IFERROR(__xludf.DUMMYFUNCTION("""COMPUTED_VALUE"""),"[""bag_other""]")</f>
        <v>["bag_other"]</v>
      </c>
      <c r="R2378" s="148" t="str">
        <f>IFERROR(__xludf.DUMMYFUNCTION("""COMPUTED_VALUE"""),"[""bag""]")</f>
        <v>["bag"]</v>
      </c>
      <c r="S2378" s="148" t="str">
        <f>IFERROR(__xludf.DUMMYFUNCTION("""COMPUTED_VALUE"""),"{""drop"":{""typ"":""single_random"",""num"":1,""args"":[{""typ"":""item"",""id"":11119676,""num"":1,""wgt"":1},{""typ"":""item"",""id"":11119678,""num"":10,""wgt"":30},{""typ"":""item"",""id"":11116304,""num"":1,""wgt"":5},{""typ"":""item"",""id"":111186"&amp;"63,""num"":2,""wgt"":30},{""typ"":""item"",""id"":11116110,""num"":2,""wgt"":30},{""typ"":""item"",""id"":11114330,""num"":1,""wgt"":200},{""typ"":""item"",""id"":11111155,""num"":2,""wgt"":200},{""typ"":""item"",""id"":11111105,""num"":2,""wgt"":50}]}}")</f>
        <v>{"drop":{"typ":"single_random","num":1,"args":[{"typ":"item","id":11119676,"num":1,"wgt":1},{"typ":"item","id":11119678,"num":10,"wgt":30},{"typ":"item","id":11116304,"num":1,"wgt":5},{"typ":"item","id":11118663,"num":2,"wgt":30},{"typ":"item","id":11116110,"num":2,"wgt":30},{"typ":"item","id":11114330,"num":1,"wgt":200},{"typ":"item","id":11111155,"num":2,"wgt":200},{"typ":"item","id":11111105,"num":2,"wgt":50}]}}</v>
      </c>
      <c r="T2378" s="148">
        <f>IFERROR(__xludf.DUMMYFUNCTION("""COMPUTED_VALUE"""),-1.0)</f>
        <v>-1</v>
      </c>
      <c r="U2378" s="148">
        <f>IFERROR(__xludf.DUMMYFUNCTION("""COMPUTED_VALUE"""),0.0)</f>
        <v>0</v>
      </c>
      <c r="V2378" s="148" t="str">
        <f>IFERROR(__xludf.DUMMYFUNCTION("""COMPUTED_VALUE"""),"[]")</f>
        <v>[]</v>
      </c>
      <c r="W2378" s="148">
        <f>IFERROR(__xludf.DUMMYFUNCTION("""COMPUTED_VALUE"""),1.174E7)</f>
        <v>11740000</v>
      </c>
      <c r="X2378" s="148">
        <f>IFERROR(__xludf.DUMMYFUNCTION("""COMPUTED_VALUE"""),0.0)</f>
        <v>0</v>
      </c>
      <c r="Y2378" s="148">
        <f>IFERROR(__xludf.DUMMYFUNCTION("""COMPUTED_VALUE"""),0.0)</f>
        <v>0</v>
      </c>
      <c r="Z2378" s="148"/>
    </row>
    <row r="2379">
      <c r="A2379" s="148">
        <f>IFERROR(__xludf.DUMMYFUNCTION("""COMPUTED_VALUE"""),1.1119291E7)</f>
        <v>11119291</v>
      </c>
      <c r="B2379" s="148" t="str">
        <f>IFERROR(__xludf.DUMMYFUNCTION("""COMPUTED_VALUE"""),"2025周年庆铭牌-欢乐心愿")</f>
        <v>2025周年庆铭牌-欢乐心愿</v>
      </c>
      <c r="C2379" s="148"/>
      <c r="D2379" s="148" t="str">
        <f>IFERROR(__xludf.DUMMYFUNCTION("""COMPUTED_VALUE"""),"chat_skin")</f>
        <v>chat_skin</v>
      </c>
      <c r="E2379" s="148">
        <f>IFERROR(__xludf.DUMMYFUNCTION("""COMPUTED_VALUE"""),30.0)</f>
        <v>30</v>
      </c>
      <c r="F2379" s="148">
        <f>IFERROR(__xludf.DUMMYFUNCTION("""COMPUTED_VALUE"""),401107.0)</f>
        <v>401107</v>
      </c>
      <c r="G2379" s="148">
        <f>IFERROR(__xludf.DUMMYFUNCTION("""COMPUTED_VALUE"""),1.51102468E8)</f>
        <v>151102468</v>
      </c>
      <c r="H2379" s="148">
        <f>IFERROR(__xludf.DUMMYFUNCTION("""COMPUTED_VALUE"""),1.5112564E7)</f>
        <v>15112564</v>
      </c>
      <c r="I2379" s="148" t="str">
        <f>IFERROR(__xludf.DUMMYFUNCTION("""COMPUTED_VALUE"""),"{}")</f>
        <v>{}</v>
      </c>
      <c r="J2379" s="148" t="str">
        <f>IFERROR(__xludf.DUMMYFUNCTION("""COMPUTED_VALUE"""),"{""typ"":""lc"",""txt"":""LC_ITEM_3rd_nameplate_2025""}")</f>
        <v>{"typ":"lc","txt":"LC_ITEM_3rd_nameplate_2025"}</v>
      </c>
      <c r="K2379" s="148" t="str">
        <f>IFERROR(__xludf.DUMMYFUNCTION("""COMPUTED_VALUE"""),"{""typ"":""lc"",""txt"":""LC_ITEM_3rd_nameplate_2025_desc""}")</f>
        <v>{"typ":"lc","txt":"LC_ITEM_3rd_nameplate_2025_desc"}</v>
      </c>
      <c r="L2379" s="148" t="str">
        <f>IFERROR(__xludf.DUMMYFUNCTION("""COMPUTED_VALUE"""),"{""typ"":""lc"",""txt"":""LC_ITEM_season_extra_reward_usedtip""}")</f>
        <v>{"typ":"lc","txt":"LC_ITEM_season_extra_reward_usedtip"}</v>
      </c>
      <c r="M2379" s="148">
        <f>IFERROR(__xludf.DUMMYFUNCTION("""COMPUTED_VALUE"""),2500.0)</f>
        <v>2500</v>
      </c>
      <c r="N2379" s="148">
        <f>IFERROR(__xludf.DUMMYFUNCTION("""COMPUTED_VALUE"""),9999999.0)</f>
        <v>9999999</v>
      </c>
      <c r="O2379" s="148">
        <f>IFERROR(__xludf.DUMMYFUNCTION("""COMPUTED_VALUE"""),1.0)</f>
        <v>1</v>
      </c>
      <c r="P2379" s="148">
        <f>IFERROR(__xludf.DUMMYFUNCTION("""COMPUTED_VALUE"""),1.0)</f>
        <v>1</v>
      </c>
      <c r="Q2379" s="148" t="str">
        <f>IFERROR(__xludf.DUMMYFUNCTION("""COMPUTED_VALUE"""),"[""bag_other""]")</f>
        <v>["bag_other"]</v>
      </c>
      <c r="R2379" s="148" t="str">
        <f>IFERROR(__xludf.DUMMYFUNCTION("""COMPUTED_VALUE"""),"[""11731040"",""bag""]")</f>
        <v>["11731040","bag"]</v>
      </c>
      <c r="S2379" s="148" t="str">
        <f>IFERROR(__xludf.DUMMYFUNCTION("""COMPUTED_VALUE"""),"{""effect"":[{""typ"":""nameplate"",""id"":11731040,""val"":-1}]}")</f>
        <v>{"effect":[{"typ":"nameplate","id":11731040,"val":-1}]}</v>
      </c>
      <c r="T2379" s="148">
        <f>IFERROR(__xludf.DUMMYFUNCTION("""COMPUTED_VALUE"""),-1.0)</f>
        <v>-1</v>
      </c>
      <c r="U2379" s="148">
        <f>IFERROR(__xludf.DUMMYFUNCTION("""COMPUTED_VALUE"""),0.0)</f>
        <v>0</v>
      </c>
      <c r="V2379" s="148" t="str">
        <f>IFERROR(__xludf.DUMMYFUNCTION("""COMPUTED_VALUE"""),"[]")</f>
        <v>[]</v>
      </c>
      <c r="W2379" s="148">
        <f>IFERROR(__xludf.DUMMYFUNCTION("""COMPUTED_VALUE"""),1.174E7)</f>
        <v>11740000</v>
      </c>
      <c r="X2379" s="148">
        <f>IFERROR(__xludf.DUMMYFUNCTION("""COMPUTED_VALUE"""),0.0)</f>
        <v>0</v>
      </c>
      <c r="Y2379" s="148">
        <f>IFERROR(__xludf.DUMMYFUNCTION("""COMPUTED_VALUE"""),0.0)</f>
        <v>0</v>
      </c>
      <c r="Z2379" s="148"/>
    </row>
    <row r="2380">
      <c r="A2380" s="148">
        <f>IFERROR(__xludf.DUMMYFUNCTION("""COMPUTED_VALUE"""),1.1119292E7)</f>
        <v>11119292</v>
      </c>
      <c r="B2380" s="148" t="str">
        <f>IFERROR(__xludf.DUMMYFUNCTION("""COMPUTED_VALUE"""),"2025周年庆动态头像框-天命神猿")</f>
        <v>2025周年庆动态头像框-天命神猿</v>
      </c>
      <c r="C2380" s="148"/>
      <c r="D2380" s="148" t="str">
        <f>IFERROR(__xludf.DUMMYFUNCTION("""COMPUTED_VALUE"""),"avatar_frame")</f>
        <v>avatar_frame</v>
      </c>
      <c r="E2380" s="148">
        <f>IFERROR(__xludf.DUMMYFUNCTION("""COMPUTED_VALUE"""),20.0)</f>
        <v>20</v>
      </c>
      <c r="F2380" s="148">
        <f>IFERROR(__xludf.DUMMYFUNCTION("""COMPUTED_VALUE"""),0.0)</f>
        <v>0</v>
      </c>
      <c r="G2380" s="148">
        <f>IFERROR(__xludf.DUMMYFUNCTION("""COMPUTED_VALUE"""),1.51102471E8)</f>
        <v>151102471</v>
      </c>
      <c r="H2380" s="148">
        <f>IFERROR(__xludf.DUMMYFUNCTION("""COMPUTED_VALUE"""),1.5112564E7)</f>
        <v>15112564</v>
      </c>
      <c r="I2380" s="148" t="str">
        <f>IFERROR(__xludf.DUMMYFUNCTION("""COMPUTED_VALUE"""),"{}")</f>
        <v>{}</v>
      </c>
      <c r="J2380" s="148" t="str">
        <f>IFERROR(__xludf.DUMMYFUNCTION("""COMPUTED_VALUE"""),"{""typ"":""lc"",""txt"":""LC_ITEM_3rd_avatar_name_2025_2""}")</f>
        <v>{"typ":"lc","txt":"LC_ITEM_3rd_avatar_name_2025_2"}</v>
      </c>
      <c r="K2380" s="148" t="str">
        <f>IFERROR(__xludf.DUMMYFUNCTION("""COMPUTED_VALUE"""),"{""typ"":""lc"",""txt"":""LC_ITEM_3rd_avatar_desc_2025_2""}")</f>
        <v>{"typ":"lc","txt":"LC_ITEM_3rd_avatar_desc_2025_2"}</v>
      </c>
      <c r="L2380" s="148" t="str">
        <f>IFERROR(__xludf.DUMMYFUNCTION("""COMPUTED_VALUE"""),"{}")</f>
        <v>{}</v>
      </c>
      <c r="M2380" s="148">
        <f>IFERROR(__xludf.DUMMYFUNCTION("""COMPUTED_VALUE"""),1000.0)</f>
        <v>1000</v>
      </c>
      <c r="N2380" s="148">
        <f>IFERROR(__xludf.DUMMYFUNCTION("""COMPUTED_VALUE"""),99.0)</f>
        <v>99</v>
      </c>
      <c r="O2380" s="148">
        <f>IFERROR(__xludf.DUMMYFUNCTION("""COMPUTED_VALUE"""),1.0)</f>
        <v>1</v>
      </c>
      <c r="P2380" s="148">
        <f>IFERROR(__xludf.DUMMYFUNCTION("""COMPUTED_VALUE"""),1.0)</f>
        <v>1</v>
      </c>
      <c r="Q2380" s="148" t="str">
        <f>IFERROR(__xludf.DUMMYFUNCTION("""COMPUTED_VALUE"""),"[]")</f>
        <v>[]</v>
      </c>
      <c r="R2380" s="148" t="str">
        <f>IFERROR(__xludf.DUMMYFUNCTION("""COMPUTED_VALUE"""),"[""11421068""]")</f>
        <v>["11421068"]</v>
      </c>
      <c r="S2380" s="148" t="str">
        <f>IFERROR(__xludf.DUMMYFUNCTION("""COMPUTED_VALUE"""),"{""effect"":[{""typ"":""avatar_frame"",""id"":11421068,""val"":-1},{""typ"":""item"",""id"":11111031,""val"":1000}]}")</f>
        <v>{"effect":[{"typ":"avatar_frame","id":11421068,"val":-1},{"typ":"item","id":11111031,"val":1000}]}</v>
      </c>
      <c r="T2380" s="148">
        <f>IFERROR(__xludf.DUMMYFUNCTION("""COMPUTED_VALUE"""),-1.0)</f>
        <v>-1</v>
      </c>
      <c r="U2380" s="148">
        <f>IFERROR(__xludf.DUMMYFUNCTION("""COMPUTED_VALUE"""),1.0)</f>
        <v>1</v>
      </c>
      <c r="V2380" s="148" t="str">
        <f>IFERROR(__xludf.DUMMYFUNCTION("""COMPUTED_VALUE"""),"[]")</f>
        <v>[]</v>
      </c>
      <c r="W2380" s="148">
        <f>IFERROR(__xludf.DUMMYFUNCTION("""COMPUTED_VALUE"""),1.174E7)</f>
        <v>11740000</v>
      </c>
      <c r="X2380" s="148">
        <f>IFERROR(__xludf.DUMMYFUNCTION("""COMPUTED_VALUE"""),0.0)</f>
        <v>0</v>
      </c>
      <c r="Y2380" s="148">
        <f>IFERROR(__xludf.DUMMYFUNCTION("""COMPUTED_VALUE"""),0.0)</f>
        <v>0</v>
      </c>
      <c r="Z2380" s="148"/>
    </row>
    <row r="2381">
      <c r="A2381" s="148">
        <f>IFERROR(__xludf.DUMMYFUNCTION("""COMPUTED_VALUE"""),1.1119293E7)</f>
        <v>11119293</v>
      </c>
      <c r="B2381" s="148" t="str">
        <f>IFERROR(__xludf.DUMMYFUNCTION("""COMPUTED_VALUE"""),"2025周年庆静态头像框-庆典之星")</f>
        <v>2025周年庆静态头像框-庆典之星</v>
      </c>
      <c r="C2381" s="148"/>
      <c r="D2381" s="148" t="str">
        <f>IFERROR(__xludf.DUMMYFUNCTION("""COMPUTED_VALUE"""),"avatar_frame")</f>
        <v>avatar_frame</v>
      </c>
      <c r="E2381" s="148">
        <f>IFERROR(__xludf.DUMMYFUNCTION("""COMPUTED_VALUE"""),20.0)</f>
        <v>20</v>
      </c>
      <c r="F2381" s="148">
        <f>IFERROR(__xludf.DUMMYFUNCTION("""COMPUTED_VALUE"""),0.0)</f>
        <v>0</v>
      </c>
      <c r="G2381" s="148">
        <f>IFERROR(__xludf.DUMMYFUNCTION("""COMPUTED_VALUE"""),1.5110247E8)</f>
        <v>151102470</v>
      </c>
      <c r="H2381" s="148">
        <f>IFERROR(__xludf.DUMMYFUNCTION("""COMPUTED_VALUE"""),1.5112563E7)</f>
        <v>15112563</v>
      </c>
      <c r="I2381" s="148" t="str">
        <f>IFERROR(__xludf.DUMMYFUNCTION("""COMPUTED_VALUE"""),"{}")</f>
        <v>{}</v>
      </c>
      <c r="J2381" s="148" t="str">
        <f>IFERROR(__xludf.DUMMYFUNCTION("""COMPUTED_VALUE"""),"{""typ"":""lc"",""txt"":""LC_ITEM_3rd_avatar_name_2025_1""}")</f>
        <v>{"typ":"lc","txt":"LC_ITEM_3rd_avatar_name_2025_1"}</v>
      </c>
      <c r="K2381" s="148" t="str">
        <f>IFERROR(__xludf.DUMMYFUNCTION("""COMPUTED_VALUE"""),"{""typ"":""lc"",""txt"":""LC_ITEM_3rd_avatar_desc_2025_1""}")</f>
        <v>{"typ":"lc","txt":"LC_ITEM_3rd_avatar_desc_2025_1"}</v>
      </c>
      <c r="L2381" s="148" t="str">
        <f>IFERROR(__xludf.DUMMYFUNCTION("""COMPUTED_VALUE"""),"{}")</f>
        <v>{}</v>
      </c>
      <c r="M2381" s="148">
        <f>IFERROR(__xludf.DUMMYFUNCTION("""COMPUTED_VALUE"""),1000.0)</f>
        <v>1000</v>
      </c>
      <c r="N2381" s="148">
        <f>IFERROR(__xludf.DUMMYFUNCTION("""COMPUTED_VALUE"""),99.0)</f>
        <v>99</v>
      </c>
      <c r="O2381" s="148">
        <f>IFERROR(__xludf.DUMMYFUNCTION("""COMPUTED_VALUE"""),1.0)</f>
        <v>1</v>
      </c>
      <c r="P2381" s="148">
        <f>IFERROR(__xludf.DUMMYFUNCTION("""COMPUTED_VALUE"""),1.0)</f>
        <v>1</v>
      </c>
      <c r="Q2381" s="148" t="str">
        <f>IFERROR(__xludf.DUMMYFUNCTION("""COMPUTED_VALUE"""),"[]")</f>
        <v>[]</v>
      </c>
      <c r="R2381" s="148" t="str">
        <f>IFERROR(__xludf.DUMMYFUNCTION("""COMPUTED_VALUE"""),"[""11421067""]")</f>
        <v>["11421067"]</v>
      </c>
      <c r="S2381" s="148" t="str">
        <f>IFERROR(__xludf.DUMMYFUNCTION("""COMPUTED_VALUE"""),"{""effect"":[{""typ"":""avatar_frame"",""id"":11421067,""val"":-1},{""typ"":""item"",""id"":11111031,""val"":1000}]}")</f>
        <v>{"effect":[{"typ":"avatar_frame","id":11421067,"val":-1},{"typ":"item","id":11111031,"val":1000}]}</v>
      </c>
      <c r="T2381" s="148">
        <f>IFERROR(__xludf.DUMMYFUNCTION("""COMPUTED_VALUE"""),-1.0)</f>
        <v>-1</v>
      </c>
      <c r="U2381" s="148">
        <f>IFERROR(__xludf.DUMMYFUNCTION("""COMPUTED_VALUE"""),1.0)</f>
        <v>1</v>
      </c>
      <c r="V2381" s="148" t="str">
        <f>IFERROR(__xludf.DUMMYFUNCTION("""COMPUTED_VALUE"""),"[]")</f>
        <v>[]</v>
      </c>
      <c r="W2381" s="148">
        <f>IFERROR(__xludf.DUMMYFUNCTION("""COMPUTED_VALUE"""),1.174E7)</f>
        <v>11740000</v>
      </c>
      <c r="X2381" s="148">
        <f>IFERROR(__xludf.DUMMYFUNCTION("""COMPUTED_VALUE"""),0.0)</f>
        <v>0</v>
      </c>
      <c r="Y2381" s="148">
        <f>IFERROR(__xludf.DUMMYFUNCTION("""COMPUTED_VALUE"""),0.0)</f>
        <v>0</v>
      </c>
      <c r="Z2381" s="148"/>
    </row>
    <row r="2382">
      <c r="A2382" s="148">
        <f>IFERROR(__xludf.DUMMYFUNCTION("""COMPUTED_VALUE"""),1.1119294E7)</f>
        <v>11119294</v>
      </c>
      <c r="B2382" s="148" t="str">
        <f>IFERROR(__xludf.DUMMYFUNCTION("""COMPUTED_VALUE"""),"行军特效-跃动时光-永久")</f>
        <v>行军特效-跃动时光-永久</v>
      </c>
      <c r="C2382" s="148"/>
      <c r="D2382" s="148" t="str">
        <f>IFERROR(__xludf.DUMMYFUNCTION("""COMPUTED_VALUE"""),"marching_effect")</f>
        <v>marching_effect</v>
      </c>
      <c r="E2382" s="148">
        <f>IFERROR(__xludf.DUMMYFUNCTION("""COMPUTED_VALUE"""),0.0)</f>
        <v>0</v>
      </c>
      <c r="F2382" s="148">
        <f>IFERROR(__xludf.DUMMYFUNCTION("""COMPUTED_VALUE"""),408195.0)</f>
        <v>408195</v>
      </c>
      <c r="G2382" s="148">
        <f>IFERROR(__xludf.DUMMYFUNCTION("""COMPUTED_VALUE"""),1.51102462E8)</f>
        <v>151102462</v>
      </c>
      <c r="H2382" s="148">
        <f>IFERROR(__xludf.DUMMYFUNCTION("""COMPUTED_VALUE"""),1.5112564E7)</f>
        <v>15112564</v>
      </c>
      <c r="I2382" s="148" t="str">
        <f>IFERROR(__xludf.DUMMYFUNCTION("""COMPUTED_VALUE"""),"{}")</f>
        <v>{}</v>
      </c>
      <c r="J2382" s="148" t="str">
        <f>IFERROR(__xludf.DUMMYFUNCTION("""COMPUTED_VALUE"""),"{""typ"":""lc"",""txt"":""LC_ITEM_3rd_marcheffect_medium_2025""}")</f>
        <v>{"typ":"lc","txt":"LC_ITEM_3rd_marcheffect_medium_2025"}</v>
      </c>
      <c r="K2382" s="148" t="str">
        <f>IFERROR(__xludf.DUMMYFUNCTION("""COMPUTED_VALUE"""),"{""typ"":""lc"",""txt"":""LC_ITEM_3rd_marcheffect_medium_2025_desc""}")</f>
        <v>{"typ":"lc","txt":"LC_ITEM_3rd_marcheffect_medium_2025_desc"}</v>
      </c>
      <c r="L2382" s="148" t="str">
        <f>IFERROR(__xludf.DUMMYFUNCTION("""COMPUTED_VALUE"""),"{""typ"":""lc"",""txt"":""LC_ITEM_march_effect_use_tip_all""}")</f>
        <v>{"typ":"lc","txt":"LC_ITEM_march_effect_use_tip_all"}</v>
      </c>
      <c r="M2382" s="148">
        <f>IFERROR(__xludf.DUMMYFUNCTION("""COMPUTED_VALUE"""),5000.0)</f>
        <v>5000</v>
      </c>
      <c r="N2382" s="148">
        <f>IFERROR(__xludf.DUMMYFUNCTION("""COMPUTED_VALUE"""),999999.0)</f>
        <v>999999</v>
      </c>
      <c r="O2382" s="148">
        <f>IFERROR(__xludf.DUMMYFUNCTION("""COMPUTED_VALUE"""),99999.0)</f>
        <v>99999</v>
      </c>
      <c r="P2382" s="148">
        <f>IFERROR(__xludf.DUMMYFUNCTION("""COMPUTED_VALUE"""),1.0)</f>
        <v>1</v>
      </c>
      <c r="Q2382" s="148" t="str">
        <f>IFERROR(__xludf.DUMMYFUNCTION("""COMPUTED_VALUE"""),"[""bag_other""]")</f>
        <v>["bag_other"]</v>
      </c>
      <c r="R2382" s="148" t="str">
        <f>IFERROR(__xludf.DUMMYFUNCTION("""COMPUTED_VALUE"""),"[""bag"",""13650141""]")</f>
        <v>["bag","13650141"]</v>
      </c>
      <c r="S2382" s="148" t="str">
        <f>IFERROR(__xludf.DUMMYFUNCTION("""COMPUTED_VALUE"""),"{""effect"":[{""typ"":""marching_effect"",""id"":13650141,""val"":-1},{""typ"":""vm"",""id"":11151001,""val"":2500}]}")</f>
        <v>{"effect":[{"typ":"marching_effect","id":13650141,"val":-1},{"typ":"vm","id":11151001,"val":2500}]}</v>
      </c>
      <c r="T2382" s="148">
        <f>IFERROR(__xludf.DUMMYFUNCTION("""COMPUTED_VALUE"""),-1.0)</f>
        <v>-1</v>
      </c>
      <c r="U2382" s="148">
        <f>IFERROR(__xludf.DUMMYFUNCTION("""COMPUTED_VALUE"""),0.0)</f>
        <v>0</v>
      </c>
      <c r="V2382" s="148" t="str">
        <f>IFERROR(__xludf.DUMMYFUNCTION("""COMPUTED_VALUE"""),"[]")</f>
        <v>[]</v>
      </c>
      <c r="W2382" s="148">
        <f>IFERROR(__xludf.DUMMYFUNCTION("""COMPUTED_VALUE"""),1.174E7)</f>
        <v>11740000</v>
      </c>
      <c r="X2382" s="148">
        <f>IFERROR(__xludf.DUMMYFUNCTION("""COMPUTED_VALUE"""),0.0)</f>
        <v>0</v>
      </c>
      <c r="Y2382" s="148">
        <f>IFERROR(__xludf.DUMMYFUNCTION("""COMPUTED_VALUE"""),0.0)</f>
        <v>0</v>
      </c>
      <c r="Z2382" s="148"/>
    </row>
    <row r="2383">
      <c r="A2383" s="148">
        <f>IFERROR(__xludf.DUMMYFUNCTION("""COMPUTED_VALUE"""),1.1119295E7)</f>
        <v>11119295</v>
      </c>
      <c r="B2383" s="148" t="str">
        <f>IFERROR(__xludf.DUMMYFUNCTION("""COMPUTED_VALUE"""),"2025周年庆节BattlePass-初级通行证1")</f>
        <v>2025周年庆节BattlePass-初级通行证1</v>
      </c>
      <c r="C2383" s="148"/>
      <c r="D2383" s="148" t="str">
        <f>IFERROR(__xludf.DUMMYFUNCTION("""COMPUTED_VALUE"""),"battle_pass_card")</f>
        <v>battle_pass_card</v>
      </c>
      <c r="E2383" s="148">
        <f>IFERROR(__xludf.DUMMYFUNCTION("""COMPUTED_VALUE"""),0.0)</f>
        <v>0</v>
      </c>
      <c r="F2383" s="148">
        <f>IFERROR(__xludf.DUMMYFUNCTION("""COMPUTED_VALUE"""),0.0)</f>
        <v>0</v>
      </c>
      <c r="G2383" s="148">
        <f>IFERROR(__xludf.DUMMYFUNCTION("""COMPUTED_VALUE"""),1.51102472E8)</f>
        <v>151102472</v>
      </c>
      <c r="H2383" s="148">
        <f>IFERROR(__xludf.DUMMYFUNCTION("""COMPUTED_VALUE"""),1.5112563E7)</f>
        <v>15112563</v>
      </c>
      <c r="I2383" s="148" t="str">
        <f>IFERROR(__xludf.DUMMYFUNCTION("""COMPUTED_VALUE"""),"{}")</f>
        <v>{}</v>
      </c>
      <c r="J2383" s="148" t="str">
        <f>IFERROR(__xludf.DUMMYFUNCTION("""COMPUTED_VALUE"""),"{""typ"":""lc"",""txt"":""LC_IAP_anniversary2023_normal_bp""}")</f>
        <v>{"typ":"lc","txt":"LC_IAP_anniversary2023_normal_bp"}</v>
      </c>
      <c r="K2383" s="148" t="str">
        <f>IFERROR(__xludf.DUMMYFUNCTION("""COMPUTED_VALUE"""),"{""typ"":""lc"",""txt"":""LC_IAP_anniversary2023_normal_bp""}")</f>
        <v>{"typ":"lc","txt":"LC_IAP_anniversary2023_normal_bp"}</v>
      </c>
      <c r="L2383" s="148" t="str">
        <f>IFERROR(__xludf.DUMMYFUNCTION("""COMPUTED_VALUE"""),"{}")</f>
        <v>{}</v>
      </c>
      <c r="M2383" s="148">
        <f>IFERROR(__xludf.DUMMYFUNCTION("""COMPUTED_VALUE"""),10.0)</f>
        <v>10</v>
      </c>
      <c r="N2383" s="148">
        <f>IFERROR(__xludf.DUMMYFUNCTION("""COMPUTED_VALUE"""),999999.0)</f>
        <v>999999</v>
      </c>
      <c r="O2383" s="148">
        <f>IFERROR(__xludf.DUMMYFUNCTION("""COMPUTED_VALUE"""),99999.0)</f>
        <v>99999</v>
      </c>
      <c r="P2383" s="148">
        <f>IFERROR(__xludf.DUMMYFUNCTION("""COMPUTED_VALUE"""),9999.0)</f>
        <v>9999</v>
      </c>
      <c r="Q2383" s="148" t="str">
        <f>IFERROR(__xludf.DUMMYFUNCTION("""COMPUTED_VALUE"""),"[]")</f>
        <v>[]</v>
      </c>
      <c r="R2383" s="148" t="str">
        <f>IFERROR(__xludf.DUMMYFUNCTION("""COMPUTED_VALUE"""),"[]")</f>
        <v>[]</v>
      </c>
      <c r="S2383" s="148" t="str">
        <f>IFERROR(__xludf.DUMMYFUNCTION("""COMPUTED_VALUE"""),"{}")</f>
        <v>{}</v>
      </c>
      <c r="T2383" s="148">
        <f>IFERROR(__xludf.DUMMYFUNCTION("""COMPUTED_VALUE"""),-1.0)</f>
        <v>-1</v>
      </c>
      <c r="U2383" s="148">
        <f>IFERROR(__xludf.DUMMYFUNCTION("""COMPUTED_VALUE"""),1.0)</f>
        <v>1</v>
      </c>
      <c r="V2383" s="148" t="str">
        <f>IFERROR(__xludf.DUMMYFUNCTION("""COMPUTED_VALUE"""),"[]")</f>
        <v>[]</v>
      </c>
      <c r="W2383" s="148">
        <f>IFERROR(__xludf.DUMMYFUNCTION("""COMPUTED_VALUE"""),1.174E7)</f>
        <v>11740000</v>
      </c>
      <c r="X2383" s="148">
        <f>IFERROR(__xludf.DUMMYFUNCTION("""COMPUTED_VALUE"""),0.0)</f>
        <v>0</v>
      </c>
      <c r="Y2383" s="148">
        <f>IFERROR(__xludf.DUMMYFUNCTION("""COMPUTED_VALUE"""),0.0)</f>
        <v>0</v>
      </c>
      <c r="Z2383" s="148"/>
    </row>
    <row r="2384">
      <c r="A2384" s="148">
        <f>IFERROR(__xludf.DUMMYFUNCTION("""COMPUTED_VALUE"""),1.1119296E7)</f>
        <v>11119296</v>
      </c>
      <c r="B2384" s="148" t="str">
        <f>IFERROR(__xludf.DUMMYFUNCTION("""COMPUTED_VALUE"""),"2025周年庆BattlePass-高级通行证1")</f>
        <v>2025周年庆BattlePass-高级通行证1</v>
      </c>
      <c r="C2384" s="148"/>
      <c r="D2384" s="148" t="str">
        <f>IFERROR(__xludf.DUMMYFUNCTION("""COMPUTED_VALUE"""),"battle_pass_card")</f>
        <v>battle_pass_card</v>
      </c>
      <c r="E2384" s="148">
        <f>IFERROR(__xludf.DUMMYFUNCTION("""COMPUTED_VALUE"""),0.0)</f>
        <v>0</v>
      </c>
      <c r="F2384" s="148">
        <f>IFERROR(__xludf.DUMMYFUNCTION("""COMPUTED_VALUE"""),0.0)</f>
        <v>0</v>
      </c>
      <c r="G2384" s="148">
        <f>IFERROR(__xludf.DUMMYFUNCTION("""COMPUTED_VALUE"""),1.51102472E8)</f>
        <v>151102472</v>
      </c>
      <c r="H2384" s="148">
        <f>IFERROR(__xludf.DUMMYFUNCTION("""COMPUTED_VALUE"""),1.5112564E7)</f>
        <v>15112564</v>
      </c>
      <c r="I2384" s="148" t="str">
        <f>IFERROR(__xludf.DUMMYFUNCTION("""COMPUTED_VALUE"""),"{}")</f>
        <v>{}</v>
      </c>
      <c r="J2384" s="148" t="str">
        <f>IFERROR(__xludf.DUMMYFUNCTION("""COMPUTED_VALUE"""),"{""typ"":""lc"",""txt"":""LC_IAP_anniversary2023_senior_bp""}")</f>
        <v>{"typ":"lc","txt":"LC_IAP_anniversary2023_senior_bp"}</v>
      </c>
      <c r="K2384" s="148" t="str">
        <f>IFERROR(__xludf.DUMMYFUNCTION("""COMPUTED_VALUE"""),"{""typ"":""lc"",""txt"":""LC_IAP_anniversary2023_senior_bp""}")</f>
        <v>{"typ":"lc","txt":"LC_IAP_anniversary2023_senior_bp"}</v>
      </c>
      <c r="L2384" s="148" t="str">
        <f>IFERROR(__xludf.DUMMYFUNCTION("""COMPUTED_VALUE"""),"{}")</f>
        <v>{}</v>
      </c>
      <c r="M2384" s="148">
        <f>IFERROR(__xludf.DUMMYFUNCTION("""COMPUTED_VALUE"""),10.0)</f>
        <v>10</v>
      </c>
      <c r="N2384" s="148">
        <f>IFERROR(__xludf.DUMMYFUNCTION("""COMPUTED_VALUE"""),999999.0)</f>
        <v>999999</v>
      </c>
      <c r="O2384" s="148">
        <f>IFERROR(__xludf.DUMMYFUNCTION("""COMPUTED_VALUE"""),99999.0)</f>
        <v>99999</v>
      </c>
      <c r="P2384" s="148">
        <f>IFERROR(__xludf.DUMMYFUNCTION("""COMPUTED_VALUE"""),9999.0)</f>
        <v>9999</v>
      </c>
      <c r="Q2384" s="148" t="str">
        <f>IFERROR(__xludf.DUMMYFUNCTION("""COMPUTED_VALUE"""),"[]")</f>
        <v>[]</v>
      </c>
      <c r="R2384" s="148" t="str">
        <f>IFERROR(__xludf.DUMMYFUNCTION("""COMPUTED_VALUE"""),"[]")</f>
        <v>[]</v>
      </c>
      <c r="S2384" s="148" t="str">
        <f>IFERROR(__xludf.DUMMYFUNCTION("""COMPUTED_VALUE"""),"{}")</f>
        <v>{}</v>
      </c>
      <c r="T2384" s="148">
        <f>IFERROR(__xludf.DUMMYFUNCTION("""COMPUTED_VALUE"""),-1.0)</f>
        <v>-1</v>
      </c>
      <c r="U2384" s="148">
        <f>IFERROR(__xludf.DUMMYFUNCTION("""COMPUTED_VALUE"""),1.0)</f>
        <v>1</v>
      </c>
      <c r="V2384" s="148" t="str">
        <f>IFERROR(__xludf.DUMMYFUNCTION("""COMPUTED_VALUE"""),"[]")</f>
        <v>[]</v>
      </c>
      <c r="W2384" s="148">
        <f>IFERROR(__xludf.DUMMYFUNCTION("""COMPUTED_VALUE"""),1.174E7)</f>
        <v>11740000</v>
      </c>
      <c r="X2384" s="148">
        <f>IFERROR(__xludf.DUMMYFUNCTION("""COMPUTED_VALUE"""),0.0)</f>
        <v>0</v>
      </c>
      <c r="Y2384" s="148">
        <f>IFERROR(__xludf.DUMMYFUNCTION("""COMPUTED_VALUE"""),0.0)</f>
        <v>0</v>
      </c>
      <c r="Z2384" s="148"/>
    </row>
    <row r="2385">
      <c r="A2385" s="148">
        <f>IFERROR(__xludf.DUMMYFUNCTION("""COMPUTED_VALUE"""),1.1119297E7)</f>
        <v>11119297</v>
      </c>
      <c r="B2385" s="148" t="str">
        <f>IFERROR(__xludf.DUMMYFUNCTION("""COMPUTED_VALUE"""),"2025周年庆节BattlePass-初级通行证2")</f>
        <v>2025周年庆节BattlePass-初级通行证2</v>
      </c>
      <c r="C2385" s="148"/>
      <c r="D2385" s="148" t="str">
        <f>IFERROR(__xludf.DUMMYFUNCTION("""COMPUTED_VALUE"""),"battle_pass_card")</f>
        <v>battle_pass_card</v>
      </c>
      <c r="E2385" s="148">
        <f>IFERROR(__xludf.DUMMYFUNCTION("""COMPUTED_VALUE"""),0.0)</f>
        <v>0</v>
      </c>
      <c r="F2385" s="148">
        <f>IFERROR(__xludf.DUMMYFUNCTION("""COMPUTED_VALUE"""),0.0)</f>
        <v>0</v>
      </c>
      <c r="G2385" s="148">
        <f>IFERROR(__xludf.DUMMYFUNCTION("""COMPUTED_VALUE"""),1.51102473E8)</f>
        <v>151102473</v>
      </c>
      <c r="H2385" s="148">
        <f>IFERROR(__xludf.DUMMYFUNCTION("""COMPUTED_VALUE"""),1.5112563E7)</f>
        <v>15112563</v>
      </c>
      <c r="I2385" s="148" t="str">
        <f>IFERROR(__xludf.DUMMYFUNCTION("""COMPUTED_VALUE"""),"{}")</f>
        <v>{}</v>
      </c>
      <c r="J2385" s="148" t="str">
        <f>IFERROR(__xludf.DUMMYFUNCTION("""COMPUTED_VALUE"""),"{""typ"":""lc"",""txt"":""LC_IAP_anniversary2023_normal_bp""}")</f>
        <v>{"typ":"lc","txt":"LC_IAP_anniversary2023_normal_bp"}</v>
      </c>
      <c r="K2385" s="148" t="str">
        <f>IFERROR(__xludf.DUMMYFUNCTION("""COMPUTED_VALUE"""),"{""typ"":""lc"",""txt"":""LC_IAP_anniversary2023_normal_bp""}")</f>
        <v>{"typ":"lc","txt":"LC_IAP_anniversary2023_normal_bp"}</v>
      </c>
      <c r="L2385" s="148" t="str">
        <f>IFERROR(__xludf.DUMMYFUNCTION("""COMPUTED_VALUE"""),"{}")</f>
        <v>{}</v>
      </c>
      <c r="M2385" s="148">
        <f>IFERROR(__xludf.DUMMYFUNCTION("""COMPUTED_VALUE"""),10.0)</f>
        <v>10</v>
      </c>
      <c r="N2385" s="148">
        <f>IFERROR(__xludf.DUMMYFUNCTION("""COMPUTED_VALUE"""),999999.0)</f>
        <v>999999</v>
      </c>
      <c r="O2385" s="148">
        <f>IFERROR(__xludf.DUMMYFUNCTION("""COMPUTED_VALUE"""),99999.0)</f>
        <v>99999</v>
      </c>
      <c r="P2385" s="148">
        <f>IFERROR(__xludf.DUMMYFUNCTION("""COMPUTED_VALUE"""),9999.0)</f>
        <v>9999</v>
      </c>
      <c r="Q2385" s="148" t="str">
        <f>IFERROR(__xludf.DUMMYFUNCTION("""COMPUTED_VALUE"""),"[]")</f>
        <v>[]</v>
      </c>
      <c r="R2385" s="148" t="str">
        <f>IFERROR(__xludf.DUMMYFUNCTION("""COMPUTED_VALUE"""),"[]")</f>
        <v>[]</v>
      </c>
      <c r="S2385" s="148" t="str">
        <f>IFERROR(__xludf.DUMMYFUNCTION("""COMPUTED_VALUE"""),"{}")</f>
        <v>{}</v>
      </c>
      <c r="T2385" s="148">
        <f>IFERROR(__xludf.DUMMYFUNCTION("""COMPUTED_VALUE"""),-1.0)</f>
        <v>-1</v>
      </c>
      <c r="U2385" s="148">
        <f>IFERROR(__xludf.DUMMYFUNCTION("""COMPUTED_VALUE"""),1.0)</f>
        <v>1</v>
      </c>
      <c r="V2385" s="148" t="str">
        <f>IFERROR(__xludf.DUMMYFUNCTION("""COMPUTED_VALUE"""),"[]")</f>
        <v>[]</v>
      </c>
      <c r="W2385" s="148">
        <f>IFERROR(__xludf.DUMMYFUNCTION("""COMPUTED_VALUE"""),1.174E7)</f>
        <v>11740000</v>
      </c>
      <c r="X2385" s="148">
        <f>IFERROR(__xludf.DUMMYFUNCTION("""COMPUTED_VALUE"""),0.0)</f>
        <v>0</v>
      </c>
      <c r="Y2385" s="148">
        <f>IFERROR(__xludf.DUMMYFUNCTION("""COMPUTED_VALUE"""),0.0)</f>
        <v>0</v>
      </c>
      <c r="Z2385" s="148"/>
    </row>
    <row r="2386">
      <c r="A2386" s="148">
        <f>IFERROR(__xludf.DUMMYFUNCTION("""COMPUTED_VALUE"""),1.1119298E7)</f>
        <v>11119298</v>
      </c>
      <c r="B2386" s="148" t="str">
        <f>IFERROR(__xludf.DUMMYFUNCTION("""COMPUTED_VALUE"""),"2025周年庆BattlePass-高级通行证2")</f>
        <v>2025周年庆BattlePass-高级通行证2</v>
      </c>
      <c r="C2386" s="148"/>
      <c r="D2386" s="148" t="str">
        <f>IFERROR(__xludf.DUMMYFUNCTION("""COMPUTED_VALUE"""),"battle_pass_card")</f>
        <v>battle_pass_card</v>
      </c>
      <c r="E2386" s="148">
        <f>IFERROR(__xludf.DUMMYFUNCTION("""COMPUTED_VALUE"""),0.0)</f>
        <v>0</v>
      </c>
      <c r="F2386" s="148">
        <f>IFERROR(__xludf.DUMMYFUNCTION("""COMPUTED_VALUE"""),0.0)</f>
        <v>0</v>
      </c>
      <c r="G2386" s="148">
        <f>IFERROR(__xludf.DUMMYFUNCTION("""COMPUTED_VALUE"""),1.51102473E8)</f>
        <v>151102473</v>
      </c>
      <c r="H2386" s="148">
        <f>IFERROR(__xludf.DUMMYFUNCTION("""COMPUTED_VALUE"""),1.5112564E7)</f>
        <v>15112564</v>
      </c>
      <c r="I2386" s="148" t="str">
        <f>IFERROR(__xludf.DUMMYFUNCTION("""COMPUTED_VALUE"""),"{}")</f>
        <v>{}</v>
      </c>
      <c r="J2386" s="148" t="str">
        <f>IFERROR(__xludf.DUMMYFUNCTION("""COMPUTED_VALUE"""),"{""typ"":""lc"",""txt"":""LC_IAP_anniversary2023_senior_bp""}")</f>
        <v>{"typ":"lc","txt":"LC_IAP_anniversary2023_senior_bp"}</v>
      </c>
      <c r="K2386" s="148" t="str">
        <f>IFERROR(__xludf.DUMMYFUNCTION("""COMPUTED_VALUE"""),"{""typ"":""lc"",""txt"":""LC_IAP_anniversary2023_senior_bp""}")</f>
        <v>{"typ":"lc","txt":"LC_IAP_anniversary2023_senior_bp"}</v>
      </c>
      <c r="L2386" s="148" t="str">
        <f>IFERROR(__xludf.DUMMYFUNCTION("""COMPUTED_VALUE"""),"{}")</f>
        <v>{}</v>
      </c>
      <c r="M2386" s="148">
        <f>IFERROR(__xludf.DUMMYFUNCTION("""COMPUTED_VALUE"""),10.0)</f>
        <v>10</v>
      </c>
      <c r="N2386" s="148">
        <f>IFERROR(__xludf.DUMMYFUNCTION("""COMPUTED_VALUE"""),999999.0)</f>
        <v>999999</v>
      </c>
      <c r="O2386" s="148">
        <f>IFERROR(__xludf.DUMMYFUNCTION("""COMPUTED_VALUE"""),99999.0)</f>
        <v>99999</v>
      </c>
      <c r="P2386" s="148">
        <f>IFERROR(__xludf.DUMMYFUNCTION("""COMPUTED_VALUE"""),9999.0)</f>
        <v>9999</v>
      </c>
      <c r="Q2386" s="148" t="str">
        <f>IFERROR(__xludf.DUMMYFUNCTION("""COMPUTED_VALUE"""),"[]")</f>
        <v>[]</v>
      </c>
      <c r="R2386" s="148" t="str">
        <f>IFERROR(__xludf.DUMMYFUNCTION("""COMPUTED_VALUE"""),"[]")</f>
        <v>[]</v>
      </c>
      <c r="S2386" s="148" t="str">
        <f>IFERROR(__xludf.DUMMYFUNCTION("""COMPUTED_VALUE"""),"{}")</f>
        <v>{}</v>
      </c>
      <c r="T2386" s="148">
        <f>IFERROR(__xludf.DUMMYFUNCTION("""COMPUTED_VALUE"""),-1.0)</f>
        <v>-1</v>
      </c>
      <c r="U2386" s="148">
        <f>IFERROR(__xludf.DUMMYFUNCTION("""COMPUTED_VALUE"""),1.0)</f>
        <v>1</v>
      </c>
      <c r="V2386" s="148" t="str">
        <f>IFERROR(__xludf.DUMMYFUNCTION("""COMPUTED_VALUE"""),"[]")</f>
        <v>[]</v>
      </c>
      <c r="W2386" s="148">
        <f>IFERROR(__xludf.DUMMYFUNCTION("""COMPUTED_VALUE"""),1.174E7)</f>
        <v>11740000</v>
      </c>
      <c r="X2386" s="148">
        <f>IFERROR(__xludf.DUMMYFUNCTION("""COMPUTED_VALUE"""),0.0)</f>
        <v>0</v>
      </c>
      <c r="Y2386" s="148">
        <f>IFERROR(__xludf.DUMMYFUNCTION("""COMPUTED_VALUE"""),0.0)</f>
        <v>0</v>
      </c>
      <c r="Z2386" s="148"/>
    </row>
    <row r="2387">
      <c r="A2387" s="148">
        <f>IFERROR(__xludf.DUMMYFUNCTION("""COMPUTED_VALUE"""),1.1119299E7)</f>
        <v>11119299</v>
      </c>
      <c r="B2387" s="148" t="str">
        <f>IFERROR(__xludf.DUMMYFUNCTION("""COMPUTED_VALUE"""),"漫游纪念票（节日大富翁兑换道具）")</f>
        <v>漫游纪念票（节日大富翁兑换道具）</v>
      </c>
      <c r="C2387" s="148"/>
      <c r="D2387" s="148" t="str">
        <f>IFERROR(__xludf.DUMMYFUNCTION("""COMPUTED_VALUE"""),"event")</f>
        <v>event</v>
      </c>
      <c r="E2387" s="148">
        <f>IFERROR(__xludf.DUMMYFUNCTION("""COMPUTED_VALUE"""),0.0)</f>
        <v>0</v>
      </c>
      <c r="F2387" s="148">
        <f>IFERROR(__xludf.DUMMYFUNCTION("""COMPUTED_VALUE"""),405221.0)</f>
        <v>405221</v>
      </c>
      <c r="G2387" s="148">
        <f>IFERROR(__xludf.DUMMYFUNCTION("""COMPUTED_VALUE"""),1.51102476E8)</f>
        <v>151102476</v>
      </c>
      <c r="H2387" s="148">
        <f>IFERROR(__xludf.DUMMYFUNCTION("""COMPUTED_VALUE"""),1.5112564E7)</f>
        <v>15112564</v>
      </c>
      <c r="I2387" s="148" t="str">
        <f>IFERROR(__xludf.DUMMYFUNCTION("""COMPUTED_VALUE"""),"{}")</f>
        <v>{}</v>
      </c>
      <c r="J2387" s="148" t="str">
        <f>IFERROR(__xludf.DUMMYFUNCTION("""COMPUTED_VALUE"""),"{""typ"":""lc"",""txt"":""LC_ITEM_fes_monopoly_gacha_exchange_name""}")</f>
        <v>{"typ":"lc","txt":"LC_ITEM_fes_monopoly_gacha_exchange_name"}</v>
      </c>
      <c r="K2387" s="148" t="str">
        <f>IFERROR(__xludf.DUMMYFUNCTION("""COMPUTED_VALUE"""),"{""typ"":""lc"",""txt"":""LC_ITEM_fes_monopoly_gacha_exchange_desc""}")</f>
        <v>{"typ":"lc","txt":"LC_ITEM_fes_monopoly_gacha_exchange_desc"}</v>
      </c>
      <c r="L2387" s="148" t="str">
        <f>IFERROR(__xludf.DUMMYFUNCTION("""COMPUTED_VALUE"""),"{}")</f>
        <v>{}</v>
      </c>
      <c r="M2387" s="148">
        <f>IFERROR(__xludf.DUMMYFUNCTION("""COMPUTED_VALUE"""),100.0)</f>
        <v>100</v>
      </c>
      <c r="N2387" s="148">
        <f>IFERROR(__xludf.DUMMYFUNCTION("""COMPUTED_VALUE"""),9.99999999E8)</f>
        <v>999999999</v>
      </c>
      <c r="O2387" s="148">
        <f>IFERROR(__xludf.DUMMYFUNCTION("""COMPUTED_VALUE"""),9.99999999E8)</f>
        <v>999999999</v>
      </c>
      <c r="P2387" s="148">
        <f>IFERROR(__xludf.DUMMYFUNCTION("""COMPUTED_VALUE"""),9.99999999E8)</f>
        <v>999999999</v>
      </c>
      <c r="Q2387" s="148" t="str">
        <f>IFERROR(__xludf.DUMMYFUNCTION("""COMPUTED_VALUE"""),"[""bag_other""]")</f>
        <v>["bag_other"]</v>
      </c>
      <c r="R2387" s="148" t="str">
        <f>IFERROR(__xludf.DUMMYFUNCTION("""COMPUTED_VALUE"""),"[""bag""]")</f>
        <v>["bag"]</v>
      </c>
      <c r="S2387" s="148" t="str">
        <f>IFERROR(__xludf.DUMMYFUNCTION("""COMPUTED_VALUE"""),"{}")</f>
        <v>{}</v>
      </c>
      <c r="T2387" s="148">
        <f>IFERROR(__xludf.DUMMYFUNCTION("""COMPUTED_VALUE"""),-1.0)</f>
        <v>-1</v>
      </c>
      <c r="U2387" s="148">
        <f>IFERROR(__xludf.DUMMYFUNCTION("""COMPUTED_VALUE"""),0.0)</f>
        <v>0</v>
      </c>
      <c r="V2387" s="148" t="str">
        <f>IFERROR(__xludf.DUMMYFUNCTION("""COMPUTED_VALUE"""),"[]")</f>
        <v>[]</v>
      </c>
      <c r="W2387" s="148">
        <f>IFERROR(__xludf.DUMMYFUNCTION("""COMPUTED_VALUE"""),1.174E7)</f>
        <v>11740000</v>
      </c>
      <c r="X2387" s="148">
        <f>IFERROR(__xludf.DUMMYFUNCTION("""COMPUTED_VALUE"""),0.0)</f>
        <v>0</v>
      </c>
      <c r="Y2387" s="148">
        <f>IFERROR(__xludf.DUMMYFUNCTION("""COMPUTED_VALUE"""),0.0)</f>
        <v>0</v>
      </c>
      <c r="Z2387" s="148"/>
    </row>
    <row r="2388">
      <c r="A2388" s="148">
        <f>IFERROR(__xludf.DUMMYFUNCTION("""COMPUTED_VALUE"""),1.11193E7)</f>
        <v>11119300</v>
      </c>
      <c r="B2388" s="148" t="str">
        <f>IFERROR(__xludf.DUMMYFUNCTION("""COMPUTED_VALUE"""),"kvk预热动态头像框-枪火枭雄")</f>
        <v>kvk预热动态头像框-枪火枭雄</v>
      </c>
      <c r="C2388" s="148"/>
      <c r="D2388" s="148" t="str">
        <f>IFERROR(__xludf.DUMMYFUNCTION("""COMPUTED_VALUE"""),"avatar_frame")</f>
        <v>avatar_frame</v>
      </c>
      <c r="E2388" s="148">
        <f>IFERROR(__xludf.DUMMYFUNCTION("""COMPUTED_VALUE"""),20.0)</f>
        <v>20</v>
      </c>
      <c r="F2388" s="148">
        <f>IFERROR(__xludf.DUMMYFUNCTION("""COMPUTED_VALUE"""),0.0)</f>
        <v>0</v>
      </c>
      <c r="G2388" s="148">
        <f>IFERROR(__xludf.DUMMYFUNCTION("""COMPUTED_VALUE"""),1.51102841E8)</f>
        <v>151102841</v>
      </c>
      <c r="H2388" s="148">
        <f>IFERROR(__xludf.DUMMYFUNCTION("""COMPUTED_VALUE"""),1.5112564E7)</f>
        <v>15112564</v>
      </c>
      <c r="I2388" s="148" t="str">
        <f>IFERROR(__xludf.DUMMYFUNCTION("""COMPUTED_VALUE"""),"{""typ"":""lc"",""txt"":""LC_ITEM_time_day_upper_show"",""args"":[{""typ"":""int"",""val"":30}]}")</f>
        <v>{"typ":"lc","txt":"LC_ITEM_time_day_upper_show","args":[{"typ":"int","val":30}]}</v>
      </c>
      <c r="J2388" s="148" t="str">
        <f>IFERROR(__xludf.DUMMYFUNCTION("""COMPUTED_VALUE"""),"{""typ"":""lc"",""txt"":""LC_ITEM_kvk_pre_frame_name""}")</f>
        <v>{"typ":"lc","txt":"LC_ITEM_kvk_pre_frame_name"}</v>
      </c>
      <c r="K2388" s="148" t="str">
        <f>IFERROR(__xludf.DUMMYFUNCTION("""COMPUTED_VALUE"""),"{""typ"":""lc"",""txt"":""LC_ITEM_kvk_pre_frame_desc""}")</f>
        <v>{"typ":"lc","txt":"LC_ITEM_kvk_pre_frame_desc"}</v>
      </c>
      <c r="L2388" s="148" t="str">
        <f>IFERROR(__xludf.DUMMYFUNCTION("""COMPUTED_VALUE"""),"{}")</f>
        <v>{}</v>
      </c>
      <c r="M2388" s="148">
        <f>IFERROR(__xludf.DUMMYFUNCTION("""COMPUTED_VALUE"""),1000.0)</f>
        <v>1000</v>
      </c>
      <c r="N2388" s="148">
        <f>IFERROR(__xludf.DUMMYFUNCTION("""COMPUTED_VALUE"""),999.0)</f>
        <v>999</v>
      </c>
      <c r="O2388" s="148">
        <f>IFERROR(__xludf.DUMMYFUNCTION("""COMPUTED_VALUE"""),1.0)</f>
        <v>1</v>
      </c>
      <c r="P2388" s="148">
        <f>IFERROR(__xludf.DUMMYFUNCTION("""COMPUTED_VALUE"""),1.0)</f>
        <v>1</v>
      </c>
      <c r="Q2388" s="148" t="str">
        <f>IFERROR(__xludf.DUMMYFUNCTION("""COMPUTED_VALUE"""),"[]")</f>
        <v>[]</v>
      </c>
      <c r="R2388" s="148" t="str">
        <f>IFERROR(__xludf.DUMMYFUNCTION("""COMPUTED_VALUE"""),"[""11421069""]")</f>
        <v>["11421069"]</v>
      </c>
      <c r="S2388" s="148" t="str">
        <f>IFERROR(__xludf.DUMMYFUNCTION("""COMPUTED_VALUE"""),"{""effect"":[{""typ"":""avatar_frame"",""id"":11421069,""val"":2592000000},{""typ"":""item"",""id"":11111031,""val"":100}]}")</f>
        <v>{"effect":[{"typ":"avatar_frame","id":11421069,"val":2592000000},{"typ":"item","id":11111031,"val":100}]}</v>
      </c>
      <c r="T2388" s="148">
        <f>IFERROR(__xludf.DUMMYFUNCTION("""COMPUTED_VALUE"""),-1.0)</f>
        <v>-1</v>
      </c>
      <c r="U2388" s="148">
        <f>IFERROR(__xludf.DUMMYFUNCTION("""COMPUTED_VALUE"""),1.0)</f>
        <v>1</v>
      </c>
      <c r="V2388" s="148" t="str">
        <f>IFERROR(__xludf.DUMMYFUNCTION("""COMPUTED_VALUE"""),"[]")</f>
        <v>[]</v>
      </c>
      <c r="W2388" s="148">
        <f>IFERROR(__xludf.DUMMYFUNCTION("""COMPUTED_VALUE"""),1.174E7)</f>
        <v>11740000</v>
      </c>
      <c r="X2388" s="148">
        <f>IFERROR(__xludf.DUMMYFUNCTION("""COMPUTED_VALUE"""),0.0)</f>
        <v>0</v>
      </c>
      <c r="Y2388" s="148">
        <f>IFERROR(__xludf.DUMMYFUNCTION("""COMPUTED_VALUE"""),0.0)</f>
        <v>0</v>
      </c>
      <c r="Z2388" s="148"/>
    </row>
    <row r="2389">
      <c r="A2389" s="148">
        <f>IFERROR(__xludf.DUMMYFUNCTION("""COMPUTED_VALUE"""),1.1119301E7)</f>
        <v>11119301</v>
      </c>
      <c r="B2389" s="148" t="str">
        <f>IFERROR(__xludf.DUMMYFUNCTION("""COMPUTED_VALUE"""),"巅峰战场帮派配送站-显示用")</f>
        <v>巅峰战场帮派配送站-显示用</v>
      </c>
      <c r="C2389" s="148"/>
      <c r="D2389" s="148" t="str">
        <f>IFERROR(__xludf.DUMMYFUNCTION("""COMPUTED_VALUE"""),"item_asset")</f>
        <v>item_asset</v>
      </c>
      <c r="E2389" s="148">
        <f>IFERROR(__xludf.DUMMYFUNCTION("""COMPUTED_VALUE"""),0.0)</f>
        <v>0</v>
      </c>
      <c r="F2389" s="148">
        <f>IFERROR(__xludf.DUMMYFUNCTION("""COMPUTED_VALUE"""),0.0)</f>
        <v>0</v>
      </c>
      <c r="G2389" s="148">
        <f>IFERROR(__xludf.DUMMYFUNCTION("""COMPUTED_VALUE"""),1.5119985E7)</f>
        <v>15119985</v>
      </c>
      <c r="H2389" s="148">
        <f>IFERROR(__xludf.DUMMYFUNCTION("""COMPUTED_VALUE"""),1.5112564E7)</f>
        <v>15112564</v>
      </c>
      <c r="I2389" s="148" t="str">
        <f>IFERROR(__xludf.DUMMYFUNCTION("""COMPUTED_VALUE"""),"{}")</f>
        <v>{}</v>
      </c>
      <c r="J2389" s="148" t="str">
        <f>IFERROR(__xludf.DUMMYFUNCTION("""COMPUTED_VALUE"""),"{""typ"":""lc"",""txt"":""LC_ITEM_miniwar_flag_skin_name""}")</f>
        <v>{"typ":"lc","txt":"LC_ITEM_miniwar_flag_skin_name"}</v>
      </c>
      <c r="K2389" s="148" t="str">
        <f>IFERROR(__xludf.DUMMYFUNCTION("""COMPUTED_VALUE"""),"{""typ"":""lc"",""txt"":""LC_ITEM_miniwar_flag_skin_desc_1""}")</f>
        <v>{"typ":"lc","txt":"LC_ITEM_miniwar_flag_skin_desc_1"}</v>
      </c>
      <c r="L2389" s="148" t="str">
        <f>IFERROR(__xludf.DUMMYFUNCTION("""COMPUTED_VALUE"""),"{}")</f>
        <v>{}</v>
      </c>
      <c r="M2389" s="148">
        <f>IFERROR(__xludf.DUMMYFUNCTION("""COMPUTED_VALUE"""),1000.0)</f>
        <v>1000</v>
      </c>
      <c r="N2389" s="148">
        <f>IFERROR(__xludf.DUMMYFUNCTION("""COMPUTED_VALUE"""),1.0)</f>
        <v>1</v>
      </c>
      <c r="O2389" s="148">
        <f>IFERROR(__xludf.DUMMYFUNCTION("""COMPUTED_VALUE"""),1.0)</f>
        <v>1</v>
      </c>
      <c r="P2389" s="148">
        <f>IFERROR(__xludf.DUMMYFUNCTION("""COMPUTED_VALUE"""),1.0)</f>
        <v>1</v>
      </c>
      <c r="Q2389" s="148" t="str">
        <f>IFERROR(__xludf.DUMMYFUNCTION("""COMPUTED_VALUE"""),"[]")</f>
        <v>[]</v>
      </c>
      <c r="R2389" s="148" t="str">
        <f>IFERROR(__xludf.DUMMYFUNCTION("""COMPUTED_VALUE"""),"[]")</f>
        <v>[]</v>
      </c>
      <c r="S2389" s="148" t="str">
        <f>IFERROR(__xludf.DUMMYFUNCTION("""COMPUTED_VALUE"""),"{}")</f>
        <v>{}</v>
      </c>
      <c r="T2389" s="148">
        <f>IFERROR(__xludf.DUMMYFUNCTION("""COMPUTED_VALUE"""),-1.0)</f>
        <v>-1</v>
      </c>
      <c r="U2389" s="148">
        <f>IFERROR(__xludf.DUMMYFUNCTION("""COMPUTED_VALUE"""),1.0)</f>
        <v>1</v>
      </c>
      <c r="V2389" s="148" t="str">
        <f>IFERROR(__xludf.DUMMYFUNCTION("""COMPUTED_VALUE"""),"[]")</f>
        <v>[]</v>
      </c>
      <c r="W2389" s="148">
        <f>IFERROR(__xludf.DUMMYFUNCTION("""COMPUTED_VALUE"""),1.174E7)</f>
        <v>11740000</v>
      </c>
      <c r="X2389" s="148">
        <f>IFERROR(__xludf.DUMMYFUNCTION("""COMPUTED_VALUE"""),0.0)</f>
        <v>0</v>
      </c>
      <c r="Y2389" s="148">
        <f>IFERROR(__xludf.DUMMYFUNCTION("""COMPUTED_VALUE"""),0.0)</f>
        <v>0</v>
      </c>
      <c r="Z2389" s="148"/>
    </row>
    <row r="2390">
      <c r="A2390" s="148">
        <f>IFERROR(__xludf.DUMMYFUNCTION("""COMPUTED_VALUE"""),1.1119302E7)</f>
        <v>11119302</v>
      </c>
      <c r="B2390" s="148" t="str">
        <f>IFERROR(__xludf.DUMMYFUNCTION("""COMPUTED_VALUE"""),"ac联赛帮派配送站-显示用")</f>
        <v>ac联赛帮派配送站-显示用</v>
      </c>
      <c r="C2390" s="148"/>
      <c r="D2390" s="148" t="str">
        <f>IFERROR(__xludf.DUMMYFUNCTION("""COMPUTED_VALUE"""),"item_asset")</f>
        <v>item_asset</v>
      </c>
      <c r="E2390" s="148">
        <f>IFERROR(__xludf.DUMMYFUNCTION("""COMPUTED_VALUE"""),0.0)</f>
        <v>0</v>
      </c>
      <c r="F2390" s="148">
        <f>IFERROR(__xludf.DUMMYFUNCTION("""COMPUTED_VALUE"""),0.0)</f>
        <v>0</v>
      </c>
      <c r="G2390" s="148">
        <f>IFERROR(__xludf.DUMMYFUNCTION("""COMPUTED_VALUE"""),1.5119855E7)</f>
        <v>15119855</v>
      </c>
      <c r="H2390" s="148">
        <f>IFERROR(__xludf.DUMMYFUNCTION("""COMPUTED_VALUE"""),1.5112564E7)</f>
        <v>15112564</v>
      </c>
      <c r="I2390" s="148" t="str">
        <f>IFERROR(__xludf.DUMMYFUNCTION("""COMPUTED_VALUE"""),"{""typ"":""lc"",""txt"":""LC_ITEM_time_day_upper_show"",""args"":[{""typ"":""int"",""val"":90}]}")</f>
        <v>{"typ":"lc","txt":"LC_ITEM_time_day_upper_show","args":[{"typ":"int","val":90}]}</v>
      </c>
      <c r="J2390" s="148" t="str">
        <f>IFERROR(__xludf.DUMMYFUNCTION("""COMPUTED_VALUE"""),"{""typ"":""lc"",""txt"":""LC_ITEM_acleague_flag_skin_name""}")</f>
        <v>{"typ":"lc","txt":"LC_ITEM_acleague_flag_skin_name"}</v>
      </c>
      <c r="K2390" s="148" t="str">
        <f>IFERROR(__xludf.DUMMYFUNCTION("""COMPUTED_VALUE"""),"{""typ"":""lc"",""txt"":""LC_ITEM_acleague_flag_skin_desc""}")</f>
        <v>{"typ":"lc","txt":"LC_ITEM_acleague_flag_skin_desc"}</v>
      </c>
      <c r="L2390" s="148" t="str">
        <f>IFERROR(__xludf.DUMMYFUNCTION("""COMPUTED_VALUE"""),"{}")</f>
        <v>{}</v>
      </c>
      <c r="M2390" s="148">
        <f>IFERROR(__xludf.DUMMYFUNCTION("""COMPUTED_VALUE"""),1000.0)</f>
        <v>1000</v>
      </c>
      <c r="N2390" s="148">
        <f>IFERROR(__xludf.DUMMYFUNCTION("""COMPUTED_VALUE"""),1.0)</f>
        <v>1</v>
      </c>
      <c r="O2390" s="148">
        <f>IFERROR(__xludf.DUMMYFUNCTION("""COMPUTED_VALUE"""),1.0)</f>
        <v>1</v>
      </c>
      <c r="P2390" s="148">
        <f>IFERROR(__xludf.DUMMYFUNCTION("""COMPUTED_VALUE"""),1.0)</f>
        <v>1</v>
      </c>
      <c r="Q2390" s="148" t="str">
        <f>IFERROR(__xludf.DUMMYFUNCTION("""COMPUTED_VALUE"""),"[]")</f>
        <v>[]</v>
      </c>
      <c r="R2390" s="148" t="str">
        <f>IFERROR(__xludf.DUMMYFUNCTION("""COMPUTED_VALUE"""),"[]")</f>
        <v>[]</v>
      </c>
      <c r="S2390" s="148" t="str">
        <f>IFERROR(__xludf.DUMMYFUNCTION("""COMPUTED_VALUE"""),"{}")</f>
        <v>{}</v>
      </c>
      <c r="T2390" s="148">
        <f>IFERROR(__xludf.DUMMYFUNCTION("""COMPUTED_VALUE"""),-1.0)</f>
        <v>-1</v>
      </c>
      <c r="U2390" s="148">
        <f>IFERROR(__xludf.DUMMYFUNCTION("""COMPUTED_VALUE"""),1.0)</f>
        <v>1</v>
      </c>
      <c r="V2390" s="148" t="str">
        <f>IFERROR(__xludf.DUMMYFUNCTION("""COMPUTED_VALUE"""),"[]")</f>
        <v>[]</v>
      </c>
      <c r="W2390" s="148">
        <f>IFERROR(__xludf.DUMMYFUNCTION("""COMPUTED_VALUE"""),1.174E7)</f>
        <v>11740000</v>
      </c>
      <c r="X2390" s="148">
        <f>IFERROR(__xludf.DUMMYFUNCTION("""COMPUTED_VALUE"""),0.0)</f>
        <v>0</v>
      </c>
      <c r="Y2390" s="148">
        <f>IFERROR(__xludf.DUMMYFUNCTION("""COMPUTED_VALUE"""),0.0)</f>
        <v>0</v>
      </c>
      <c r="Z2390" s="148"/>
    </row>
    <row r="2391">
      <c r="A2391" s="148">
        <f>IFERROR(__xludf.DUMMYFUNCTION("""COMPUTED_VALUE"""),1.1119303E7)</f>
        <v>11119303</v>
      </c>
      <c r="B2391" s="148" t="str">
        <f>IFERROR(__xludf.DUMMYFUNCTION("""COMPUTED_VALUE"""),"ac联赛头像框：勇士")</f>
        <v>ac联赛头像框：勇士</v>
      </c>
      <c r="C2391" s="148"/>
      <c r="D2391" s="148" t="str">
        <f>IFERROR(__xludf.DUMMYFUNCTION("""COMPUTED_VALUE"""),"avatar_frame")</f>
        <v>avatar_frame</v>
      </c>
      <c r="E2391" s="148">
        <f>IFERROR(__xludf.DUMMYFUNCTION("""COMPUTED_VALUE"""),20.0)</f>
        <v>20</v>
      </c>
      <c r="F2391" s="148">
        <f>IFERROR(__xludf.DUMMYFUNCTION("""COMPUTED_VALUE"""),0.0)</f>
        <v>0</v>
      </c>
      <c r="G2391" s="148">
        <f>IFERROR(__xludf.DUMMYFUNCTION("""COMPUTED_VALUE"""),1.51100052E8)</f>
        <v>151100052</v>
      </c>
      <c r="H2391" s="148">
        <f>IFERROR(__xludf.DUMMYFUNCTION("""COMPUTED_VALUE"""),1.5112563E7)</f>
        <v>15112563</v>
      </c>
      <c r="I2391" s="148" t="str">
        <f>IFERROR(__xludf.DUMMYFUNCTION("""COMPUTED_VALUE"""),"{""typ"":""lc"",""txt"":""LC_ITEM_time_day_upper_show"",""args"":[{""typ"":""int"",""val"":90}]}")</f>
        <v>{"typ":"lc","txt":"LC_ITEM_time_day_upper_show","args":[{"typ":"int","val":90}]}</v>
      </c>
      <c r="J2391" s="148" t="str">
        <f>IFERROR(__xludf.DUMMYFUNCTION("""COMPUTED_VALUE"""),"{""typ"":""lc"",""txt"":""LC_ASSET_avatar_frame_name_acleague1""}")</f>
        <v>{"typ":"lc","txt":"LC_ASSET_avatar_frame_name_acleague1"}</v>
      </c>
      <c r="K2391" s="148" t="str">
        <f>IFERROR(__xludf.DUMMYFUNCTION("""COMPUTED_VALUE"""),"{""typ"":""lc"",""txt"":""LC_ASSET_avatar_frame_desc_acleague""}")</f>
        <v>{"typ":"lc","txt":"LC_ASSET_avatar_frame_desc_acleague"}</v>
      </c>
      <c r="L2391" s="148" t="str">
        <f>IFERROR(__xludf.DUMMYFUNCTION("""COMPUTED_VALUE"""),"{}")</f>
        <v>{}</v>
      </c>
      <c r="M2391" s="148">
        <f>IFERROR(__xludf.DUMMYFUNCTION("""COMPUTED_VALUE"""),1000.0)</f>
        <v>1000</v>
      </c>
      <c r="N2391" s="148">
        <f>IFERROR(__xludf.DUMMYFUNCTION("""COMPUTED_VALUE"""),99.0)</f>
        <v>99</v>
      </c>
      <c r="O2391" s="148">
        <f>IFERROR(__xludf.DUMMYFUNCTION("""COMPUTED_VALUE"""),1.0)</f>
        <v>1</v>
      </c>
      <c r="P2391" s="148">
        <f>IFERROR(__xludf.DUMMYFUNCTION("""COMPUTED_VALUE"""),1.0)</f>
        <v>1</v>
      </c>
      <c r="Q2391" s="148" t="str">
        <f>IFERROR(__xludf.DUMMYFUNCTION("""COMPUTED_VALUE"""),"[]")</f>
        <v>[]</v>
      </c>
      <c r="R2391" s="148" t="str">
        <f>IFERROR(__xludf.DUMMYFUNCTION("""COMPUTED_VALUE"""),"[""11421041""]")</f>
        <v>["11421041"]</v>
      </c>
      <c r="S2391" s="148" t="str">
        <f>IFERROR(__xludf.DUMMYFUNCTION("""COMPUTED_VALUE"""),"{""effect"":[{""typ"":""avatar_frame"",""id"":11421041,""val"":7776000000}]}")</f>
        <v>{"effect":[{"typ":"avatar_frame","id":11421041,"val":7776000000}]}</v>
      </c>
      <c r="T2391" s="148">
        <f>IFERROR(__xludf.DUMMYFUNCTION("""COMPUTED_VALUE"""),-1.0)</f>
        <v>-1</v>
      </c>
      <c r="U2391" s="148">
        <f>IFERROR(__xludf.DUMMYFUNCTION("""COMPUTED_VALUE"""),1.0)</f>
        <v>1</v>
      </c>
      <c r="V2391" s="148" t="str">
        <f>IFERROR(__xludf.DUMMYFUNCTION("""COMPUTED_VALUE"""),"[]")</f>
        <v>[]</v>
      </c>
      <c r="W2391" s="148">
        <f>IFERROR(__xludf.DUMMYFUNCTION("""COMPUTED_VALUE"""),1.174E7)</f>
        <v>11740000</v>
      </c>
      <c r="X2391" s="148">
        <f>IFERROR(__xludf.DUMMYFUNCTION("""COMPUTED_VALUE"""),0.0)</f>
        <v>0</v>
      </c>
      <c r="Y2391" s="148">
        <f>IFERROR(__xludf.DUMMYFUNCTION("""COMPUTED_VALUE"""),0.0)</f>
        <v>0</v>
      </c>
      <c r="Z2391" s="148"/>
    </row>
    <row r="2392">
      <c r="A2392" s="148">
        <f>IFERROR(__xludf.DUMMYFUNCTION("""COMPUTED_VALUE"""),1.1119304E7)</f>
        <v>11119304</v>
      </c>
      <c r="B2392" s="148" t="str">
        <f>IFERROR(__xludf.DUMMYFUNCTION("""COMPUTED_VALUE"""),"ac联赛头像框：精英")</f>
        <v>ac联赛头像框：精英</v>
      </c>
      <c r="C2392" s="148"/>
      <c r="D2392" s="148" t="str">
        <f>IFERROR(__xludf.DUMMYFUNCTION("""COMPUTED_VALUE"""),"avatar_frame")</f>
        <v>avatar_frame</v>
      </c>
      <c r="E2392" s="148">
        <f>IFERROR(__xludf.DUMMYFUNCTION("""COMPUTED_VALUE"""),20.0)</f>
        <v>20</v>
      </c>
      <c r="F2392" s="148">
        <f>IFERROR(__xludf.DUMMYFUNCTION("""COMPUTED_VALUE"""),0.0)</f>
        <v>0</v>
      </c>
      <c r="G2392" s="148">
        <f>IFERROR(__xludf.DUMMYFUNCTION("""COMPUTED_VALUE"""),1.51100053E8)</f>
        <v>151100053</v>
      </c>
      <c r="H2392" s="148">
        <f>IFERROR(__xludf.DUMMYFUNCTION("""COMPUTED_VALUE"""),1.5112563E7)</f>
        <v>15112563</v>
      </c>
      <c r="I2392" s="148" t="str">
        <f>IFERROR(__xludf.DUMMYFUNCTION("""COMPUTED_VALUE"""),"{""typ"":""lc"",""txt"":""LC_ITEM_time_day_upper_show"",""args"":[{""typ"":""int"",""val"":90}]}")</f>
        <v>{"typ":"lc","txt":"LC_ITEM_time_day_upper_show","args":[{"typ":"int","val":90}]}</v>
      </c>
      <c r="J2392" s="148" t="str">
        <f>IFERROR(__xludf.DUMMYFUNCTION("""COMPUTED_VALUE"""),"{""typ"":""lc"",""txt"":""LC_ASSET_avatar_frame_name_acleague2""}")</f>
        <v>{"typ":"lc","txt":"LC_ASSET_avatar_frame_name_acleague2"}</v>
      </c>
      <c r="K2392" s="148" t="str">
        <f>IFERROR(__xludf.DUMMYFUNCTION("""COMPUTED_VALUE"""),"{""typ"":""lc"",""txt"":""LC_ASSET_avatar_frame_desc_acleague""}")</f>
        <v>{"typ":"lc","txt":"LC_ASSET_avatar_frame_desc_acleague"}</v>
      </c>
      <c r="L2392" s="148" t="str">
        <f>IFERROR(__xludf.DUMMYFUNCTION("""COMPUTED_VALUE"""),"{}")</f>
        <v>{}</v>
      </c>
      <c r="M2392" s="148">
        <f>IFERROR(__xludf.DUMMYFUNCTION("""COMPUTED_VALUE"""),1000.0)</f>
        <v>1000</v>
      </c>
      <c r="N2392" s="148">
        <f>IFERROR(__xludf.DUMMYFUNCTION("""COMPUTED_VALUE"""),99.0)</f>
        <v>99</v>
      </c>
      <c r="O2392" s="148">
        <f>IFERROR(__xludf.DUMMYFUNCTION("""COMPUTED_VALUE"""),1.0)</f>
        <v>1</v>
      </c>
      <c r="P2392" s="148">
        <f>IFERROR(__xludf.DUMMYFUNCTION("""COMPUTED_VALUE"""),1.0)</f>
        <v>1</v>
      </c>
      <c r="Q2392" s="148" t="str">
        <f>IFERROR(__xludf.DUMMYFUNCTION("""COMPUTED_VALUE"""),"[]")</f>
        <v>[]</v>
      </c>
      <c r="R2392" s="148" t="str">
        <f>IFERROR(__xludf.DUMMYFUNCTION("""COMPUTED_VALUE"""),"[""11421042""]")</f>
        <v>["11421042"]</v>
      </c>
      <c r="S2392" s="148" t="str">
        <f>IFERROR(__xludf.DUMMYFUNCTION("""COMPUTED_VALUE"""),"{""effect"":[{""typ"":""avatar_frame"",""id"":11421042,""val"":7776000000}]}")</f>
        <v>{"effect":[{"typ":"avatar_frame","id":11421042,"val":7776000000}]}</v>
      </c>
      <c r="T2392" s="148">
        <f>IFERROR(__xludf.DUMMYFUNCTION("""COMPUTED_VALUE"""),-1.0)</f>
        <v>-1</v>
      </c>
      <c r="U2392" s="148">
        <f>IFERROR(__xludf.DUMMYFUNCTION("""COMPUTED_VALUE"""),1.0)</f>
        <v>1</v>
      </c>
      <c r="V2392" s="148" t="str">
        <f>IFERROR(__xludf.DUMMYFUNCTION("""COMPUTED_VALUE"""),"[]")</f>
        <v>[]</v>
      </c>
      <c r="W2392" s="148">
        <f>IFERROR(__xludf.DUMMYFUNCTION("""COMPUTED_VALUE"""),1.174E7)</f>
        <v>11740000</v>
      </c>
      <c r="X2392" s="148">
        <f>IFERROR(__xludf.DUMMYFUNCTION("""COMPUTED_VALUE"""),0.0)</f>
        <v>0</v>
      </c>
      <c r="Y2392" s="148">
        <f>IFERROR(__xludf.DUMMYFUNCTION("""COMPUTED_VALUE"""),0.0)</f>
        <v>0</v>
      </c>
      <c r="Z2392" s="148"/>
    </row>
    <row r="2393">
      <c r="A2393" s="148">
        <f>IFERROR(__xludf.DUMMYFUNCTION("""COMPUTED_VALUE"""),1.1119305E7)</f>
        <v>11119305</v>
      </c>
      <c r="B2393" s="148" t="str">
        <f>IFERROR(__xludf.DUMMYFUNCTION("""COMPUTED_VALUE"""),"ac联赛头像框：大师")</f>
        <v>ac联赛头像框：大师</v>
      </c>
      <c r="C2393" s="148"/>
      <c r="D2393" s="148" t="str">
        <f>IFERROR(__xludf.DUMMYFUNCTION("""COMPUTED_VALUE"""),"avatar_frame")</f>
        <v>avatar_frame</v>
      </c>
      <c r="E2393" s="148">
        <f>IFERROR(__xludf.DUMMYFUNCTION("""COMPUTED_VALUE"""),20.0)</f>
        <v>20</v>
      </c>
      <c r="F2393" s="148">
        <f>IFERROR(__xludf.DUMMYFUNCTION("""COMPUTED_VALUE"""),0.0)</f>
        <v>0</v>
      </c>
      <c r="G2393" s="148">
        <f>IFERROR(__xludf.DUMMYFUNCTION("""COMPUTED_VALUE"""),1.51100054E8)</f>
        <v>151100054</v>
      </c>
      <c r="H2393" s="148">
        <f>IFERROR(__xludf.DUMMYFUNCTION("""COMPUTED_VALUE"""),1.5112563E7)</f>
        <v>15112563</v>
      </c>
      <c r="I2393" s="148" t="str">
        <f>IFERROR(__xludf.DUMMYFUNCTION("""COMPUTED_VALUE"""),"{""typ"":""lc"",""txt"":""LC_ITEM_time_day_upper_show"",""args"":[{""typ"":""int"",""val"":90}]}")</f>
        <v>{"typ":"lc","txt":"LC_ITEM_time_day_upper_show","args":[{"typ":"int","val":90}]}</v>
      </c>
      <c r="J2393" s="148" t="str">
        <f>IFERROR(__xludf.DUMMYFUNCTION("""COMPUTED_VALUE"""),"{""typ"":""lc"",""txt"":""LC_ASSET_avatar_frame_name_acleague3""}")</f>
        <v>{"typ":"lc","txt":"LC_ASSET_avatar_frame_name_acleague3"}</v>
      </c>
      <c r="K2393" s="148" t="str">
        <f>IFERROR(__xludf.DUMMYFUNCTION("""COMPUTED_VALUE"""),"{""typ"":""lc"",""txt"":""LC_ASSET_avatar_frame_desc_acleague""}")</f>
        <v>{"typ":"lc","txt":"LC_ASSET_avatar_frame_desc_acleague"}</v>
      </c>
      <c r="L2393" s="148" t="str">
        <f>IFERROR(__xludf.DUMMYFUNCTION("""COMPUTED_VALUE"""),"{}")</f>
        <v>{}</v>
      </c>
      <c r="M2393" s="148">
        <f>IFERROR(__xludf.DUMMYFUNCTION("""COMPUTED_VALUE"""),1000.0)</f>
        <v>1000</v>
      </c>
      <c r="N2393" s="148">
        <f>IFERROR(__xludf.DUMMYFUNCTION("""COMPUTED_VALUE"""),99.0)</f>
        <v>99</v>
      </c>
      <c r="O2393" s="148">
        <f>IFERROR(__xludf.DUMMYFUNCTION("""COMPUTED_VALUE"""),1.0)</f>
        <v>1</v>
      </c>
      <c r="P2393" s="148">
        <f>IFERROR(__xludf.DUMMYFUNCTION("""COMPUTED_VALUE"""),1.0)</f>
        <v>1</v>
      </c>
      <c r="Q2393" s="148" t="str">
        <f>IFERROR(__xludf.DUMMYFUNCTION("""COMPUTED_VALUE"""),"[]")</f>
        <v>[]</v>
      </c>
      <c r="R2393" s="148" t="str">
        <f>IFERROR(__xludf.DUMMYFUNCTION("""COMPUTED_VALUE"""),"[""11421043""]")</f>
        <v>["11421043"]</v>
      </c>
      <c r="S2393" s="148" t="str">
        <f>IFERROR(__xludf.DUMMYFUNCTION("""COMPUTED_VALUE"""),"{""effect"":[{""typ"":""avatar_frame"",""id"":11421043,""val"":7776000000}]}")</f>
        <v>{"effect":[{"typ":"avatar_frame","id":11421043,"val":7776000000}]}</v>
      </c>
      <c r="T2393" s="148">
        <f>IFERROR(__xludf.DUMMYFUNCTION("""COMPUTED_VALUE"""),-1.0)</f>
        <v>-1</v>
      </c>
      <c r="U2393" s="148">
        <f>IFERROR(__xludf.DUMMYFUNCTION("""COMPUTED_VALUE"""),1.0)</f>
        <v>1</v>
      </c>
      <c r="V2393" s="148" t="str">
        <f>IFERROR(__xludf.DUMMYFUNCTION("""COMPUTED_VALUE"""),"[]")</f>
        <v>[]</v>
      </c>
      <c r="W2393" s="148">
        <f>IFERROR(__xludf.DUMMYFUNCTION("""COMPUTED_VALUE"""),1.174E7)</f>
        <v>11740000</v>
      </c>
      <c r="X2393" s="148">
        <f>IFERROR(__xludf.DUMMYFUNCTION("""COMPUTED_VALUE"""),0.0)</f>
        <v>0</v>
      </c>
      <c r="Y2393" s="148">
        <f>IFERROR(__xludf.DUMMYFUNCTION("""COMPUTED_VALUE"""),0.0)</f>
        <v>0</v>
      </c>
      <c r="Z2393" s="148"/>
    </row>
    <row r="2394">
      <c r="A2394" s="148">
        <f>IFERROR(__xludf.DUMMYFUNCTION("""COMPUTED_VALUE"""),1.1119306E7)</f>
        <v>11119306</v>
      </c>
      <c r="B2394" s="148" t="str">
        <f>IFERROR(__xludf.DUMMYFUNCTION("""COMPUTED_VALUE"""),"24沙滩节补偿宝箱")</f>
        <v>24沙滩节补偿宝箱</v>
      </c>
      <c r="C2394" s="148"/>
      <c r="D2394" s="148" t="str">
        <f>IFERROR(__xludf.DUMMYFUNCTION("""COMPUTED_VALUE"""),"item_asset")</f>
        <v>item_asset</v>
      </c>
      <c r="E2394" s="148">
        <f>IFERROR(__xludf.DUMMYFUNCTION("""COMPUTED_VALUE"""),19.0)</f>
        <v>19</v>
      </c>
      <c r="F2394" s="148">
        <f>IFERROR(__xludf.DUMMYFUNCTION("""COMPUTED_VALUE"""),201101.0)</f>
        <v>201101</v>
      </c>
      <c r="G2394" s="148">
        <f>IFERROR(__xludf.DUMMYFUNCTION("""COMPUTED_VALUE"""),1.5112492E7)</f>
        <v>15112492</v>
      </c>
      <c r="H2394" s="148">
        <f>IFERROR(__xludf.DUMMYFUNCTION("""COMPUTED_VALUE"""),1.5112564E7)</f>
        <v>15112564</v>
      </c>
      <c r="I2394" s="148" t="str">
        <f>IFERROR(__xludf.DUMMYFUNCTION("""COMPUTED_VALUE"""),"{}")</f>
        <v>{}</v>
      </c>
      <c r="J2394" s="148" t="str">
        <f>IFERROR(__xludf.DUMMYFUNCTION("""COMPUTED_VALUE"""),"{""typ"":""lc"",""txt"":""LC_ITEM_explore_space_box_name""}")</f>
        <v>{"typ":"lc","txt":"LC_ITEM_explore_space_box_name"}</v>
      </c>
      <c r="K2394" s="148" t="str">
        <f>IFERROR(__xludf.DUMMYFUNCTION("""COMPUTED_VALUE"""),"{""typ"":""lc"",""txt"":""LC_ITEM_explore_space_box_desc""}")</f>
        <v>{"typ":"lc","txt":"LC_ITEM_explore_space_box_desc"}</v>
      </c>
      <c r="L2394" s="148" t="str">
        <f>IFERROR(__xludf.DUMMYFUNCTION("""COMPUTED_VALUE"""),"{}")</f>
        <v>{}</v>
      </c>
      <c r="M2394" s="148">
        <f>IFERROR(__xludf.DUMMYFUNCTION("""COMPUTED_VALUE"""),500.0)</f>
        <v>500</v>
      </c>
      <c r="N2394" s="148">
        <f>IFERROR(__xludf.DUMMYFUNCTION("""COMPUTED_VALUE"""),999999.0)</f>
        <v>999999</v>
      </c>
      <c r="O2394" s="148">
        <f>IFERROR(__xludf.DUMMYFUNCTION("""COMPUTED_VALUE"""),99999.0)</f>
        <v>99999</v>
      </c>
      <c r="P2394" s="148">
        <f>IFERROR(__xludf.DUMMYFUNCTION("""COMPUTED_VALUE"""),99999.0)</f>
        <v>99999</v>
      </c>
      <c r="Q2394" s="148" t="str">
        <f>IFERROR(__xludf.DUMMYFUNCTION("""COMPUTED_VALUE"""),"[""bag_other""]")</f>
        <v>["bag_other"]</v>
      </c>
      <c r="R2394" s="148" t="str">
        <f>IFERROR(__xludf.DUMMYFUNCTION("""COMPUTED_VALUE"""),"[""bag""]")</f>
        <v>["bag"]</v>
      </c>
      <c r="S2394" s="148" t="str">
        <f>IFERROR(__xludf.DUMMYFUNCTION("""COMPUTED_VALUE"""),"{""drop"":{""typ"":""single_random"",""num"":1,""args"":[{""typ"":""item"",""id"":11112201,""num"":3,""wgt"":70},{""typ"":""item"",""id"":11112214,""num"":1,""wgt"":80},{""typ"":""item"",""id"":11111155,""num"":8,""wgt"":100},{""typ"":""item"",""id"":1111"&amp;"1125,""num"":8,""wgt"":50},{""typ"":""item"",""id"":11111135,""num"":8,""wgt"":50},{""typ"":""item"",""id"":11111105,""num"":8,""wgt"":20},{""typ"":""item"",""id"":11111002,""num"":10,""wgt"":50},{""typ"":""item"",""id"":11111006,""num"":10,""wgt"":50}]}}")</f>
        <v>{"drop":{"typ":"single_random","num":1,"args":[{"typ":"item","id":11112201,"num":3,"wgt":70},{"typ":"item","id":11112214,"num":1,"wgt":80},{"typ":"item","id":11111155,"num":8,"wgt":100},{"typ":"item","id":11111125,"num":8,"wgt":50},{"typ":"item","id":11111135,"num":8,"wgt":50},{"typ":"item","id":11111105,"num":8,"wgt":20},{"typ":"item","id":11111002,"num":10,"wgt":50},{"typ":"item","id":11111006,"num":10,"wgt":50}]}}</v>
      </c>
      <c r="T2394" s="148">
        <f>IFERROR(__xludf.DUMMYFUNCTION("""COMPUTED_VALUE"""),-1.0)</f>
        <v>-1</v>
      </c>
      <c r="U2394" s="148">
        <f>IFERROR(__xludf.DUMMYFUNCTION("""COMPUTED_VALUE"""),0.0)</f>
        <v>0</v>
      </c>
      <c r="V2394" s="148" t="str">
        <f>IFERROR(__xludf.DUMMYFUNCTION("""COMPUTED_VALUE"""),"[]")</f>
        <v>[]</v>
      </c>
      <c r="W2394" s="148">
        <f>IFERROR(__xludf.DUMMYFUNCTION("""COMPUTED_VALUE"""),1.174E7)</f>
        <v>11740000</v>
      </c>
      <c r="X2394" s="148">
        <f>IFERROR(__xludf.DUMMYFUNCTION("""COMPUTED_VALUE"""),0.0)</f>
        <v>0</v>
      </c>
      <c r="Y2394" s="148">
        <f>IFERROR(__xludf.DUMMYFUNCTION("""COMPUTED_VALUE"""),0.0)</f>
        <v>0</v>
      </c>
      <c r="Z2394" s="148"/>
    </row>
    <row r="2395">
      <c r="A2395" s="148">
        <f>IFERROR(__xludf.DUMMYFUNCTION("""COMPUTED_VALUE"""),1.1119307E7)</f>
        <v>11119307</v>
      </c>
      <c r="B2395" s="148" t="str">
        <f>IFERROR(__xludf.DUMMYFUNCTION("""COMPUTED_VALUE"""),"VIP19头像框—光辉之环")</f>
        <v>VIP19头像框—光辉之环</v>
      </c>
      <c r="C2395" s="148"/>
      <c r="D2395" s="148" t="str">
        <f>IFERROR(__xludf.DUMMYFUNCTION("""COMPUTED_VALUE"""),"avatar_frame")</f>
        <v>avatar_frame</v>
      </c>
      <c r="E2395" s="148">
        <f>IFERROR(__xludf.DUMMYFUNCTION("""COMPUTED_VALUE"""),20.0)</f>
        <v>20</v>
      </c>
      <c r="F2395" s="148">
        <f>IFERROR(__xludf.DUMMYFUNCTION("""COMPUTED_VALUE"""),0.0)</f>
        <v>0</v>
      </c>
      <c r="G2395" s="148">
        <f>IFERROR(__xludf.DUMMYFUNCTION("""COMPUTED_VALUE"""),1.51100364E8)</f>
        <v>151100364</v>
      </c>
      <c r="H2395" s="148">
        <f>IFERROR(__xludf.DUMMYFUNCTION("""COMPUTED_VALUE"""),1.5112564E7)</f>
        <v>15112564</v>
      </c>
      <c r="I2395" s="148" t="str">
        <f>IFERROR(__xludf.DUMMYFUNCTION("""COMPUTED_VALUE"""),"{}")</f>
        <v>{}</v>
      </c>
      <c r="J2395" s="148" t="str">
        <f>IFERROR(__xludf.DUMMYFUNCTION("""COMPUTED_VALUE"""),"{""typ"":""lc"",""txt"":""LC_ASSET_avatar_frame_name_v19""}")</f>
        <v>{"typ":"lc","txt":"LC_ASSET_avatar_frame_name_v19"}</v>
      </c>
      <c r="K2395" s="148" t="str">
        <f>IFERROR(__xludf.DUMMYFUNCTION("""COMPUTED_VALUE"""),"{""typ"":""lc"",""txt"":""LC_MENU_forever""}")</f>
        <v>{"typ":"lc","txt":"LC_MENU_forever"}</v>
      </c>
      <c r="L2395" s="148" t="str">
        <f>IFERROR(__xludf.DUMMYFUNCTION("""COMPUTED_VALUE"""),"{}")</f>
        <v>{}</v>
      </c>
      <c r="M2395" s="148">
        <f>IFERROR(__xludf.DUMMYFUNCTION("""COMPUTED_VALUE"""),1000.0)</f>
        <v>1000</v>
      </c>
      <c r="N2395" s="148">
        <f>IFERROR(__xludf.DUMMYFUNCTION("""COMPUTED_VALUE"""),1.0)</f>
        <v>1</v>
      </c>
      <c r="O2395" s="148">
        <f>IFERROR(__xludf.DUMMYFUNCTION("""COMPUTED_VALUE"""),1.0)</f>
        <v>1</v>
      </c>
      <c r="P2395" s="148">
        <f>IFERROR(__xludf.DUMMYFUNCTION("""COMPUTED_VALUE"""),1.0)</f>
        <v>1</v>
      </c>
      <c r="Q2395" s="148" t="str">
        <f>IFERROR(__xludf.DUMMYFUNCTION("""COMPUTED_VALUE"""),"[]")</f>
        <v>[]</v>
      </c>
      <c r="R2395" s="148" t="str">
        <f>IFERROR(__xludf.DUMMYFUNCTION("""COMPUTED_VALUE"""),"[""11421045""]")</f>
        <v>["11421045"]</v>
      </c>
      <c r="S2395" s="148" t="str">
        <f>IFERROR(__xludf.DUMMYFUNCTION("""COMPUTED_VALUE"""),"{""effect"":[{""typ"":""avatar_frame"",""id"":11421045,""val"":-1}]}")</f>
        <v>{"effect":[{"typ":"avatar_frame","id":11421045,"val":-1}]}</v>
      </c>
      <c r="T2395" s="148">
        <f>IFERROR(__xludf.DUMMYFUNCTION("""COMPUTED_VALUE"""),-1.0)</f>
        <v>-1</v>
      </c>
      <c r="U2395" s="148">
        <f>IFERROR(__xludf.DUMMYFUNCTION("""COMPUTED_VALUE"""),1.0)</f>
        <v>1</v>
      </c>
      <c r="V2395" s="148" t="str">
        <f>IFERROR(__xludf.DUMMYFUNCTION("""COMPUTED_VALUE"""),"[]")</f>
        <v>[]</v>
      </c>
      <c r="W2395" s="148">
        <f>IFERROR(__xludf.DUMMYFUNCTION("""COMPUTED_VALUE"""),1.174E7)</f>
        <v>11740000</v>
      </c>
      <c r="X2395" s="148">
        <f>IFERROR(__xludf.DUMMYFUNCTION("""COMPUTED_VALUE"""),0.0)</f>
        <v>0</v>
      </c>
      <c r="Y2395" s="148">
        <f>IFERROR(__xludf.DUMMYFUNCTION("""COMPUTED_VALUE"""),0.0)</f>
        <v>0</v>
      </c>
      <c r="Z2395" s="148"/>
    </row>
    <row r="2396">
      <c r="A2396" s="148">
        <f>IFERROR(__xludf.DUMMYFUNCTION("""COMPUTED_VALUE"""),1.1119308E7)</f>
        <v>11119308</v>
      </c>
      <c r="B2396" s="148" t="str">
        <f>IFERROR(__xludf.DUMMYFUNCTION("""COMPUTED_VALUE"""),"登月节2024活动专用-增加次数道具")</f>
        <v>登月节2024活动专用-增加次数道具</v>
      </c>
      <c r="C2396" s="148"/>
      <c r="D2396" s="148" t="str">
        <f>IFERROR(__xludf.DUMMYFUNCTION("""COMPUTED_VALUE"""),"event_progress")</f>
        <v>event_progress</v>
      </c>
      <c r="E2396" s="148">
        <f>IFERROR(__xludf.DUMMYFUNCTION("""COMPUTED_VALUE"""),0.0)</f>
        <v>0</v>
      </c>
      <c r="F2396" s="148">
        <f>IFERROR(__xludf.DUMMYFUNCTION("""COMPUTED_VALUE"""),0.0)</f>
        <v>0</v>
      </c>
      <c r="G2396" s="148">
        <f>IFERROR(__xludf.DUMMYFUNCTION("""COMPUTED_VALUE"""),1.5112493E7)</f>
        <v>15112493</v>
      </c>
      <c r="H2396" s="148">
        <f>IFERROR(__xludf.DUMMYFUNCTION("""COMPUTED_VALUE"""),1.5112563E7)</f>
        <v>15112563</v>
      </c>
      <c r="I2396" s="148" t="str">
        <f>IFERROR(__xludf.DUMMYFUNCTION("""COMPUTED_VALUE"""),"{}")</f>
        <v>{}</v>
      </c>
      <c r="J2396" s="148" t="str">
        <f>IFERROR(__xludf.DUMMYFUNCTION("""COMPUTED_VALUE"""),"{""typ"":""lc"",""txt"":""LC_ITEM_starrelics_name""}")</f>
        <v>{"typ":"lc","txt":"LC_ITEM_starrelics_name"}</v>
      </c>
      <c r="K2396" s="148" t="str">
        <f>IFERROR(__xludf.DUMMYFUNCTION("""COMPUTED_VALUE"""),"{""typ"":""lc"",""txt"":""LC_ITEM_starrelics_desc""}")</f>
        <v>{"typ":"lc","txt":"LC_ITEM_starrelics_desc"}</v>
      </c>
      <c r="L2396" s="148" t="str">
        <f>IFERROR(__xludf.DUMMYFUNCTION("""COMPUTED_VALUE"""),"{}")</f>
        <v>{}</v>
      </c>
      <c r="M2396" s="148">
        <f>IFERROR(__xludf.DUMMYFUNCTION("""COMPUTED_VALUE"""),1.0)</f>
        <v>1</v>
      </c>
      <c r="N2396" s="148">
        <f>IFERROR(__xludf.DUMMYFUNCTION("""COMPUTED_VALUE"""),999999.0)</f>
        <v>999999</v>
      </c>
      <c r="O2396" s="148">
        <f>IFERROR(__xludf.DUMMYFUNCTION("""COMPUTED_VALUE"""),99999.0)</f>
        <v>99999</v>
      </c>
      <c r="P2396" s="148">
        <f>IFERROR(__xludf.DUMMYFUNCTION("""COMPUTED_VALUE"""),9999.0)</f>
        <v>9999</v>
      </c>
      <c r="Q2396" s="148" t="str">
        <f>IFERROR(__xludf.DUMMYFUNCTION("""COMPUTED_VALUE"""),"[]")</f>
        <v>[]</v>
      </c>
      <c r="R2396" s="148" t="str">
        <f>IFERROR(__xludf.DUMMYFUNCTION("""COMPUTED_VALUE"""),"[]")</f>
        <v>[]</v>
      </c>
      <c r="S2396" s="148" t="str">
        <f>IFERROR(__xludf.DUMMYFUNCTION("""COMPUTED_VALUE"""),"{""effect"":[{""typ"":""event"",""id"":21127195},{""typ"":""miss_lost_reward""}]}")</f>
        <v>{"effect":[{"typ":"event","id":21127195},{"typ":"miss_lost_reward"}]}</v>
      </c>
      <c r="T2396" s="148">
        <f>IFERROR(__xludf.DUMMYFUNCTION("""COMPUTED_VALUE"""),-1.0)</f>
        <v>-1</v>
      </c>
      <c r="U2396" s="148">
        <f>IFERROR(__xludf.DUMMYFUNCTION("""COMPUTED_VALUE"""),1.0)</f>
        <v>1</v>
      </c>
      <c r="V2396" s="148" t="str">
        <f>IFERROR(__xludf.DUMMYFUNCTION("""COMPUTED_VALUE"""),"[]")</f>
        <v>[]</v>
      </c>
      <c r="W2396" s="148">
        <f>IFERROR(__xludf.DUMMYFUNCTION("""COMPUTED_VALUE"""),1.174E7)</f>
        <v>11740000</v>
      </c>
      <c r="X2396" s="148">
        <f>IFERROR(__xludf.DUMMYFUNCTION("""COMPUTED_VALUE"""),0.0)</f>
        <v>0</v>
      </c>
      <c r="Y2396" s="148">
        <f>IFERROR(__xludf.DUMMYFUNCTION("""COMPUTED_VALUE"""),0.0)</f>
        <v>0</v>
      </c>
      <c r="Z2396" s="148"/>
    </row>
    <row r="2397">
      <c r="A2397" s="148">
        <f>IFERROR(__xludf.DUMMYFUNCTION("""COMPUTED_VALUE"""),1.1119309E7)</f>
        <v>11119309</v>
      </c>
      <c r="B2397" s="148" t="str">
        <f>IFERROR(__xludf.DUMMYFUNCTION("""COMPUTED_VALUE"""),"感恩节2024活动专用-增加次数道具")</f>
        <v>感恩节2024活动专用-增加次数道具</v>
      </c>
      <c r="C2397" s="148"/>
      <c r="D2397" s="148" t="str">
        <f>IFERROR(__xludf.DUMMYFUNCTION("""COMPUTED_VALUE"""),"event_progress")</f>
        <v>event_progress</v>
      </c>
      <c r="E2397" s="148">
        <f>IFERROR(__xludf.DUMMYFUNCTION("""COMPUTED_VALUE"""),0.0)</f>
        <v>0</v>
      </c>
      <c r="F2397" s="148">
        <f>IFERROR(__xludf.DUMMYFUNCTION("""COMPUTED_VALUE"""),0.0)</f>
        <v>0</v>
      </c>
      <c r="G2397" s="148">
        <f>IFERROR(__xludf.DUMMYFUNCTION("""COMPUTED_VALUE"""),1.5112493E7)</f>
        <v>15112493</v>
      </c>
      <c r="H2397" s="148">
        <f>IFERROR(__xludf.DUMMYFUNCTION("""COMPUTED_VALUE"""),1.5112563E7)</f>
        <v>15112563</v>
      </c>
      <c r="I2397" s="148" t="str">
        <f>IFERROR(__xludf.DUMMYFUNCTION("""COMPUTED_VALUE"""),"{}")</f>
        <v>{}</v>
      </c>
      <c r="J2397" s="148" t="str">
        <f>IFERROR(__xludf.DUMMYFUNCTION("""COMPUTED_VALUE"""),"{""typ"":""lc"",""txt"":""LC_ITEM_starrelics_name""}")</f>
        <v>{"typ":"lc","txt":"LC_ITEM_starrelics_name"}</v>
      </c>
      <c r="K2397" s="148" t="str">
        <f>IFERROR(__xludf.DUMMYFUNCTION("""COMPUTED_VALUE"""),"{""typ"":""lc"",""txt"":""LC_ITEM_starrelics_desc""}")</f>
        <v>{"typ":"lc","txt":"LC_ITEM_starrelics_desc"}</v>
      </c>
      <c r="L2397" s="148" t="str">
        <f>IFERROR(__xludf.DUMMYFUNCTION("""COMPUTED_VALUE"""),"{}")</f>
        <v>{}</v>
      </c>
      <c r="M2397" s="148">
        <f>IFERROR(__xludf.DUMMYFUNCTION("""COMPUTED_VALUE"""),1.0)</f>
        <v>1</v>
      </c>
      <c r="N2397" s="148">
        <f>IFERROR(__xludf.DUMMYFUNCTION("""COMPUTED_VALUE"""),999999.0)</f>
        <v>999999</v>
      </c>
      <c r="O2397" s="148">
        <f>IFERROR(__xludf.DUMMYFUNCTION("""COMPUTED_VALUE"""),99999.0)</f>
        <v>99999</v>
      </c>
      <c r="P2397" s="148">
        <f>IFERROR(__xludf.DUMMYFUNCTION("""COMPUTED_VALUE"""),9999.0)</f>
        <v>9999</v>
      </c>
      <c r="Q2397" s="148" t="str">
        <f>IFERROR(__xludf.DUMMYFUNCTION("""COMPUTED_VALUE"""),"[]")</f>
        <v>[]</v>
      </c>
      <c r="R2397" s="148" t="str">
        <f>IFERROR(__xludf.DUMMYFUNCTION("""COMPUTED_VALUE"""),"[]")</f>
        <v>[]</v>
      </c>
      <c r="S2397" s="148" t="str">
        <f>IFERROR(__xludf.DUMMYFUNCTION("""COMPUTED_VALUE"""),"{""effect"":[{""typ"":""event"",""id"":21127240},{""typ"":""miss_lost_reward""}]}")</f>
        <v>{"effect":[{"typ":"event","id":21127240},{"typ":"miss_lost_reward"}]}</v>
      </c>
      <c r="T2397" s="148">
        <f>IFERROR(__xludf.DUMMYFUNCTION("""COMPUTED_VALUE"""),-1.0)</f>
        <v>-1</v>
      </c>
      <c r="U2397" s="148">
        <f>IFERROR(__xludf.DUMMYFUNCTION("""COMPUTED_VALUE"""),1.0)</f>
        <v>1</v>
      </c>
      <c r="V2397" s="148" t="str">
        <f>IFERROR(__xludf.DUMMYFUNCTION("""COMPUTED_VALUE"""),"[]")</f>
        <v>[]</v>
      </c>
      <c r="W2397" s="148">
        <f>IFERROR(__xludf.DUMMYFUNCTION("""COMPUTED_VALUE"""),1.174E7)</f>
        <v>11740000</v>
      </c>
      <c r="X2397" s="148">
        <f>IFERROR(__xludf.DUMMYFUNCTION("""COMPUTED_VALUE"""),0.0)</f>
        <v>0</v>
      </c>
      <c r="Y2397" s="148">
        <f>IFERROR(__xludf.DUMMYFUNCTION("""COMPUTED_VALUE"""),0.0)</f>
        <v>0</v>
      </c>
      <c r="Z2397" s="148"/>
    </row>
    <row r="2398">
      <c r="A2398" s="148">
        <f>IFERROR(__xludf.DUMMYFUNCTION("""COMPUTED_VALUE"""),1.111931E7)</f>
        <v>11119310</v>
      </c>
      <c r="B2398" s="148" t="str">
        <f>IFERROR(__xludf.DUMMYFUNCTION("""COMPUTED_VALUE"""),"2024圣诞节-行军特效宝箱")</f>
        <v>2024圣诞节-行军特效宝箱</v>
      </c>
      <c r="C2398" s="148"/>
      <c r="D2398" s="148" t="str">
        <f>IFERROR(__xludf.DUMMYFUNCTION("""COMPUTED_VALUE"""),"item_asset")</f>
        <v>item_asset</v>
      </c>
      <c r="E2398" s="148">
        <f>IFERROR(__xludf.DUMMYFUNCTION("""COMPUTED_VALUE"""),19.0)</f>
        <v>19</v>
      </c>
      <c r="F2398" s="148">
        <f>IFERROR(__xludf.DUMMYFUNCTION("""COMPUTED_VALUE"""),201101.0)</f>
        <v>201101</v>
      </c>
      <c r="G2398" s="148">
        <f>IFERROR(__xludf.DUMMYFUNCTION("""COMPUTED_VALUE"""),1.51100962E8)</f>
        <v>151100962</v>
      </c>
      <c r="H2398" s="148">
        <f>IFERROR(__xludf.DUMMYFUNCTION("""COMPUTED_VALUE"""),1.5112564E7)</f>
        <v>15112564</v>
      </c>
      <c r="I2398" s="148" t="str">
        <f>IFERROR(__xludf.DUMMYFUNCTION("""COMPUTED_VALUE"""),"{}")</f>
        <v>{}</v>
      </c>
      <c r="J2398" s="148" t="str">
        <f>IFERROR(__xludf.DUMMYFUNCTION("""COMPUTED_VALUE"""),"{""typ"":""lc"",""txt"":""LC_ITEM_march_effect_pkg_box_name_2024_xmas""}")</f>
        <v>{"typ":"lc","txt":"LC_ITEM_march_effect_pkg_box_name_2024_xmas"}</v>
      </c>
      <c r="K2398" s="148" t="str">
        <f>IFERROR(__xludf.DUMMYFUNCTION("""COMPUTED_VALUE"""),"{""typ"":""lc"",""txt"":""LC_ITEM_march_effect_pkg_box_desc_2024_xmas""}")</f>
        <v>{"typ":"lc","txt":"LC_ITEM_march_effect_pkg_box_desc_2024_xmas"}</v>
      </c>
      <c r="L2398" s="148" t="str">
        <f>IFERROR(__xludf.DUMMYFUNCTION("""COMPUTED_VALUE"""),"{""typ"":""lc"",""txt"":""LC_ITEM_horde_elite_box_usedtip""}")</f>
        <v>{"typ":"lc","txt":"LC_ITEM_horde_elite_box_usedtip"}</v>
      </c>
      <c r="M2398" s="148">
        <f>IFERROR(__xludf.DUMMYFUNCTION("""COMPUTED_VALUE"""),1000.0)</f>
        <v>1000</v>
      </c>
      <c r="N2398" s="148">
        <f>IFERROR(__xludf.DUMMYFUNCTION("""COMPUTED_VALUE"""),999999.0)</f>
        <v>999999</v>
      </c>
      <c r="O2398" s="148">
        <f>IFERROR(__xludf.DUMMYFUNCTION("""COMPUTED_VALUE"""),99999.0)</f>
        <v>99999</v>
      </c>
      <c r="P2398" s="148">
        <f>IFERROR(__xludf.DUMMYFUNCTION("""COMPUTED_VALUE"""),99999.0)</f>
        <v>99999</v>
      </c>
      <c r="Q2398" s="148" t="str">
        <f>IFERROR(__xludf.DUMMYFUNCTION("""COMPUTED_VALUE"""),"[""bag_other""]")</f>
        <v>["bag_other"]</v>
      </c>
      <c r="R2398" s="148" t="str">
        <f>IFERROR(__xludf.DUMMYFUNCTION("""COMPUTED_VALUE"""),"[""bag""]")</f>
        <v>["bag"]</v>
      </c>
      <c r="S2398" s="148" t="str">
        <f>IFERROR(__xludf.DUMMYFUNCTION("""COMPUTED_VALUE"""),"{""drop"":{""typ"":""single_random"",""num"":1,""drop_rule"":{""typ"":""noget"",""id"":11117275,""num"":99,""args"":[{""typ"":""item"",""id"":11117275,""num"":1,""wgt"":1}]},""args"":[{""typ"":""item"",""id"":11117275,""num"":1,""wgt"":1},{""typ"":""item"&amp;""",""id"":11117273,""num"":1,""wgt"":20},{""typ"":""item"",""id"":11112030,""num"":50,""wgt"":20},{""typ"":""item"",""id"":11112388,""num"":20,""wgt"":50},{""typ"":""item"",""id"":11111106,""num"":2,""wgt"":50},{""typ"":""item"",""id"":11111157,""num"":2,"&amp;"""wgt"":100},{""typ"":""item"",""id"":11111006,""num"":40,""wgt"":100},{""typ"":""item"",""id"":11111002,""num"":40,""wgt"":100}]}}")</f>
        <v>{"drop":{"typ":"single_random","num":1,"drop_rule":{"typ":"noget","id":11117275,"num":99,"args":[{"typ":"item","id":11117275,"num":1,"wgt":1}]},"args":[{"typ":"item","id":11117275,"num":1,"wgt":1},{"typ":"item","id":11117273,"num":1,"wgt":20},{"typ":"item","id":11112030,"num":50,"wgt":20},{"typ":"item","id":11112388,"num":20,"wgt":50},{"typ":"item","id":11111106,"num":2,"wgt":50},{"typ":"item","id":11111157,"num":2,"wgt":100},{"typ":"item","id":11111006,"num":40,"wgt":100},{"typ":"item","id":11111002,"num":40,"wgt":100}]}}</v>
      </c>
      <c r="T2398" s="148">
        <f>IFERROR(__xludf.DUMMYFUNCTION("""COMPUTED_VALUE"""),-1.0)</f>
        <v>-1</v>
      </c>
      <c r="U2398" s="148">
        <f>IFERROR(__xludf.DUMMYFUNCTION("""COMPUTED_VALUE"""),0.0)</f>
        <v>0</v>
      </c>
      <c r="V2398" s="148" t="str">
        <f>IFERROR(__xludf.DUMMYFUNCTION("""COMPUTED_VALUE"""),"[]")</f>
        <v>[]</v>
      </c>
      <c r="W2398" s="148">
        <f>IFERROR(__xludf.DUMMYFUNCTION("""COMPUTED_VALUE"""),1.174E7)</f>
        <v>11740000</v>
      </c>
      <c r="X2398" s="148">
        <f>IFERROR(__xludf.DUMMYFUNCTION("""COMPUTED_VALUE"""),0.0)</f>
        <v>0</v>
      </c>
      <c r="Y2398" s="148">
        <f>IFERROR(__xludf.DUMMYFUNCTION("""COMPUTED_VALUE"""),0.0)</f>
        <v>0</v>
      </c>
      <c r="Z2398" s="148"/>
    </row>
    <row r="2399">
      <c r="A2399" s="148">
        <f>IFERROR(__xludf.DUMMYFUNCTION("""COMPUTED_VALUE"""),1.1119311E7)</f>
        <v>11119311</v>
      </c>
      <c r="B2399" s="148" t="str">
        <f>IFERROR(__xludf.DUMMYFUNCTION("""COMPUTED_VALUE"""),"圣诞节2024活动专用-增加次数道具")</f>
        <v>圣诞节2024活动专用-增加次数道具</v>
      </c>
      <c r="C2399" s="148"/>
      <c r="D2399" s="148" t="str">
        <f>IFERROR(__xludf.DUMMYFUNCTION("""COMPUTED_VALUE"""),"event_progress")</f>
        <v>event_progress</v>
      </c>
      <c r="E2399" s="148">
        <f>IFERROR(__xludf.DUMMYFUNCTION("""COMPUTED_VALUE"""),0.0)</f>
        <v>0</v>
      </c>
      <c r="F2399" s="148">
        <f>IFERROR(__xludf.DUMMYFUNCTION("""COMPUTED_VALUE"""),0.0)</f>
        <v>0</v>
      </c>
      <c r="G2399" s="148">
        <f>IFERROR(__xludf.DUMMYFUNCTION("""COMPUTED_VALUE"""),1.5112493E7)</f>
        <v>15112493</v>
      </c>
      <c r="H2399" s="148">
        <f>IFERROR(__xludf.DUMMYFUNCTION("""COMPUTED_VALUE"""),1.5112563E7)</f>
        <v>15112563</v>
      </c>
      <c r="I2399" s="148" t="str">
        <f>IFERROR(__xludf.DUMMYFUNCTION("""COMPUTED_VALUE"""),"{}")</f>
        <v>{}</v>
      </c>
      <c r="J2399" s="148" t="str">
        <f>IFERROR(__xludf.DUMMYFUNCTION("""COMPUTED_VALUE"""),"{""typ"":""lc"",""txt"":""LC_ITEM_starrelics_name""}")</f>
        <v>{"typ":"lc","txt":"LC_ITEM_starrelics_name"}</v>
      </c>
      <c r="K2399" s="148" t="str">
        <f>IFERROR(__xludf.DUMMYFUNCTION("""COMPUTED_VALUE"""),"{""typ"":""lc"",""txt"":""LC_ITEM_starrelics_desc""}")</f>
        <v>{"typ":"lc","txt":"LC_ITEM_starrelics_desc"}</v>
      </c>
      <c r="L2399" s="148" t="str">
        <f>IFERROR(__xludf.DUMMYFUNCTION("""COMPUTED_VALUE"""),"{}")</f>
        <v>{}</v>
      </c>
      <c r="M2399" s="148">
        <f>IFERROR(__xludf.DUMMYFUNCTION("""COMPUTED_VALUE"""),1.0)</f>
        <v>1</v>
      </c>
      <c r="N2399" s="148">
        <f>IFERROR(__xludf.DUMMYFUNCTION("""COMPUTED_VALUE"""),999999.0)</f>
        <v>999999</v>
      </c>
      <c r="O2399" s="148">
        <f>IFERROR(__xludf.DUMMYFUNCTION("""COMPUTED_VALUE"""),99999.0)</f>
        <v>99999</v>
      </c>
      <c r="P2399" s="148">
        <f>IFERROR(__xludf.DUMMYFUNCTION("""COMPUTED_VALUE"""),9999.0)</f>
        <v>9999</v>
      </c>
      <c r="Q2399" s="148" t="str">
        <f>IFERROR(__xludf.DUMMYFUNCTION("""COMPUTED_VALUE"""),"[]")</f>
        <v>[]</v>
      </c>
      <c r="R2399" s="148" t="str">
        <f>IFERROR(__xludf.DUMMYFUNCTION("""COMPUTED_VALUE"""),"[]")</f>
        <v>[]</v>
      </c>
      <c r="S2399" s="148" t="str">
        <f>IFERROR(__xludf.DUMMYFUNCTION("""COMPUTED_VALUE"""),"{""effect"":[{""typ"":""event"",""id"":21127271},{""typ"":""miss_lost_reward""}]}")</f>
        <v>{"effect":[{"typ":"event","id":21127271},{"typ":"miss_lost_reward"}]}</v>
      </c>
      <c r="T2399" s="148">
        <f>IFERROR(__xludf.DUMMYFUNCTION("""COMPUTED_VALUE"""),-1.0)</f>
        <v>-1</v>
      </c>
      <c r="U2399" s="148">
        <f>IFERROR(__xludf.DUMMYFUNCTION("""COMPUTED_VALUE"""),1.0)</f>
        <v>1</v>
      </c>
      <c r="V2399" s="148" t="str">
        <f>IFERROR(__xludf.DUMMYFUNCTION("""COMPUTED_VALUE"""),"[]")</f>
        <v>[]</v>
      </c>
      <c r="W2399" s="148">
        <f>IFERROR(__xludf.DUMMYFUNCTION("""COMPUTED_VALUE"""),1.174E7)</f>
        <v>11740000</v>
      </c>
      <c r="X2399" s="148">
        <f>IFERROR(__xludf.DUMMYFUNCTION("""COMPUTED_VALUE"""),0.0)</f>
        <v>0</v>
      </c>
      <c r="Y2399" s="148">
        <f>IFERROR(__xludf.DUMMYFUNCTION("""COMPUTED_VALUE"""),0.0)</f>
        <v>0</v>
      </c>
      <c r="Z2399" s="148"/>
    </row>
    <row r="2400">
      <c r="A2400" s="148">
        <f>IFERROR(__xludf.DUMMYFUNCTION("""COMPUTED_VALUE"""),1.1119312E7)</f>
        <v>11119312</v>
      </c>
      <c r="B2400" s="148" t="str">
        <f>IFERROR(__xludf.DUMMYFUNCTION("""COMPUTED_VALUE"""),"春节2025活动专用-增加次数道具")</f>
        <v>春节2025活动专用-增加次数道具</v>
      </c>
      <c r="C2400" s="148"/>
      <c r="D2400" s="148" t="str">
        <f>IFERROR(__xludf.DUMMYFUNCTION("""COMPUTED_VALUE"""),"event_progress")</f>
        <v>event_progress</v>
      </c>
      <c r="E2400" s="148">
        <f>IFERROR(__xludf.DUMMYFUNCTION("""COMPUTED_VALUE"""),0.0)</f>
        <v>0</v>
      </c>
      <c r="F2400" s="148">
        <f>IFERROR(__xludf.DUMMYFUNCTION("""COMPUTED_VALUE"""),0.0)</f>
        <v>0</v>
      </c>
      <c r="G2400" s="148">
        <f>IFERROR(__xludf.DUMMYFUNCTION("""COMPUTED_VALUE"""),1.5112493E7)</f>
        <v>15112493</v>
      </c>
      <c r="H2400" s="148">
        <f>IFERROR(__xludf.DUMMYFUNCTION("""COMPUTED_VALUE"""),1.5112563E7)</f>
        <v>15112563</v>
      </c>
      <c r="I2400" s="148" t="str">
        <f>IFERROR(__xludf.DUMMYFUNCTION("""COMPUTED_VALUE"""),"{}")</f>
        <v>{}</v>
      </c>
      <c r="J2400" s="148" t="str">
        <f>IFERROR(__xludf.DUMMYFUNCTION("""COMPUTED_VALUE"""),"{""typ"":""lc"",""txt"":""LC_ITEM_starrelics_name""}")</f>
        <v>{"typ":"lc","txt":"LC_ITEM_starrelics_name"}</v>
      </c>
      <c r="K2400" s="148" t="str">
        <f>IFERROR(__xludf.DUMMYFUNCTION("""COMPUTED_VALUE"""),"{""typ"":""lc"",""txt"":""LC_ITEM_starrelics_desc""}")</f>
        <v>{"typ":"lc","txt":"LC_ITEM_starrelics_desc"}</v>
      </c>
      <c r="L2400" s="148" t="str">
        <f>IFERROR(__xludf.DUMMYFUNCTION("""COMPUTED_VALUE"""),"{}")</f>
        <v>{}</v>
      </c>
      <c r="M2400" s="148">
        <f>IFERROR(__xludf.DUMMYFUNCTION("""COMPUTED_VALUE"""),1.0)</f>
        <v>1</v>
      </c>
      <c r="N2400" s="148">
        <f>IFERROR(__xludf.DUMMYFUNCTION("""COMPUTED_VALUE"""),999999.0)</f>
        <v>999999</v>
      </c>
      <c r="O2400" s="148">
        <f>IFERROR(__xludf.DUMMYFUNCTION("""COMPUTED_VALUE"""),99999.0)</f>
        <v>99999</v>
      </c>
      <c r="P2400" s="148">
        <f>IFERROR(__xludf.DUMMYFUNCTION("""COMPUTED_VALUE"""),9999.0)</f>
        <v>9999</v>
      </c>
      <c r="Q2400" s="148" t="str">
        <f>IFERROR(__xludf.DUMMYFUNCTION("""COMPUTED_VALUE"""),"[]")</f>
        <v>[]</v>
      </c>
      <c r="R2400" s="148" t="str">
        <f>IFERROR(__xludf.DUMMYFUNCTION("""COMPUTED_VALUE"""),"[]")</f>
        <v>[]</v>
      </c>
      <c r="S2400" s="148" t="str">
        <f>IFERROR(__xludf.DUMMYFUNCTION("""COMPUTED_VALUE"""),"{""effect"":[{""typ"":""event"",""id"":21127275},{""typ"":""miss_lost_reward""}]}")</f>
        <v>{"effect":[{"typ":"event","id":21127275},{"typ":"miss_lost_reward"}]}</v>
      </c>
      <c r="T2400" s="148">
        <f>IFERROR(__xludf.DUMMYFUNCTION("""COMPUTED_VALUE"""),-1.0)</f>
        <v>-1</v>
      </c>
      <c r="U2400" s="148">
        <f>IFERROR(__xludf.DUMMYFUNCTION("""COMPUTED_VALUE"""),1.0)</f>
        <v>1</v>
      </c>
      <c r="V2400" s="148" t="str">
        <f>IFERROR(__xludf.DUMMYFUNCTION("""COMPUTED_VALUE"""),"[]")</f>
        <v>[]</v>
      </c>
      <c r="W2400" s="148">
        <f>IFERROR(__xludf.DUMMYFUNCTION("""COMPUTED_VALUE"""),1.174E7)</f>
        <v>11740000</v>
      </c>
      <c r="X2400" s="148">
        <f>IFERROR(__xludf.DUMMYFUNCTION("""COMPUTED_VALUE"""),0.0)</f>
        <v>0</v>
      </c>
      <c r="Y2400" s="148">
        <f>IFERROR(__xludf.DUMMYFUNCTION("""COMPUTED_VALUE"""),0.0)</f>
        <v>0</v>
      </c>
      <c r="Z2400" s="148"/>
    </row>
    <row r="2401">
      <c r="A2401" s="148">
        <f>IFERROR(__xludf.DUMMYFUNCTION("""COMPUTED_VALUE"""),1.1119313E7)</f>
        <v>11119313</v>
      </c>
      <c r="B2401" s="148" t="str">
        <f>IFERROR(__xludf.DUMMYFUNCTION("""COMPUTED_VALUE"""),"情人节2025活动专用-增加次数道具")</f>
        <v>情人节2025活动专用-增加次数道具</v>
      </c>
      <c r="C2401" s="148"/>
      <c r="D2401" s="148" t="str">
        <f>IFERROR(__xludf.DUMMYFUNCTION("""COMPUTED_VALUE"""),"event_progress")</f>
        <v>event_progress</v>
      </c>
      <c r="E2401" s="148">
        <f>IFERROR(__xludf.DUMMYFUNCTION("""COMPUTED_VALUE"""),0.0)</f>
        <v>0</v>
      </c>
      <c r="F2401" s="148">
        <f>IFERROR(__xludf.DUMMYFUNCTION("""COMPUTED_VALUE"""),0.0)</f>
        <v>0</v>
      </c>
      <c r="G2401" s="148">
        <f>IFERROR(__xludf.DUMMYFUNCTION("""COMPUTED_VALUE"""),1.5112493E7)</f>
        <v>15112493</v>
      </c>
      <c r="H2401" s="148">
        <f>IFERROR(__xludf.DUMMYFUNCTION("""COMPUTED_VALUE"""),1.5112563E7)</f>
        <v>15112563</v>
      </c>
      <c r="I2401" s="148" t="str">
        <f>IFERROR(__xludf.DUMMYFUNCTION("""COMPUTED_VALUE"""),"{}")</f>
        <v>{}</v>
      </c>
      <c r="J2401" s="148" t="str">
        <f>IFERROR(__xludf.DUMMYFUNCTION("""COMPUTED_VALUE"""),"{""typ"":""lc"",""txt"":""LC_ITEM_starrelics_name""}")</f>
        <v>{"typ":"lc","txt":"LC_ITEM_starrelics_name"}</v>
      </c>
      <c r="K2401" s="148" t="str">
        <f>IFERROR(__xludf.DUMMYFUNCTION("""COMPUTED_VALUE"""),"{""typ"":""lc"",""txt"":""LC_ITEM_starrelics_desc""}")</f>
        <v>{"typ":"lc","txt":"LC_ITEM_starrelics_desc"}</v>
      </c>
      <c r="L2401" s="148" t="str">
        <f>IFERROR(__xludf.DUMMYFUNCTION("""COMPUTED_VALUE"""),"{}")</f>
        <v>{}</v>
      </c>
      <c r="M2401" s="148">
        <f>IFERROR(__xludf.DUMMYFUNCTION("""COMPUTED_VALUE"""),1.0)</f>
        <v>1</v>
      </c>
      <c r="N2401" s="148">
        <f>IFERROR(__xludf.DUMMYFUNCTION("""COMPUTED_VALUE"""),999999.0)</f>
        <v>999999</v>
      </c>
      <c r="O2401" s="148">
        <f>IFERROR(__xludf.DUMMYFUNCTION("""COMPUTED_VALUE"""),99999.0)</f>
        <v>99999</v>
      </c>
      <c r="P2401" s="148">
        <f>IFERROR(__xludf.DUMMYFUNCTION("""COMPUTED_VALUE"""),9999.0)</f>
        <v>9999</v>
      </c>
      <c r="Q2401" s="148" t="str">
        <f>IFERROR(__xludf.DUMMYFUNCTION("""COMPUTED_VALUE"""),"[]")</f>
        <v>[]</v>
      </c>
      <c r="R2401" s="148" t="str">
        <f>IFERROR(__xludf.DUMMYFUNCTION("""COMPUTED_VALUE"""),"[]")</f>
        <v>[]</v>
      </c>
      <c r="S2401" s="148" t="str">
        <f>IFERROR(__xludf.DUMMYFUNCTION("""COMPUTED_VALUE"""),"{""effect"":[{""typ"":""event"",""id"":21127303},{""typ"":""miss_lost_reward""}]}")</f>
        <v>{"effect":[{"typ":"event","id":21127303},{"typ":"miss_lost_reward"}]}</v>
      </c>
      <c r="T2401" s="148">
        <f>IFERROR(__xludf.DUMMYFUNCTION("""COMPUTED_VALUE"""),-1.0)</f>
        <v>-1</v>
      </c>
      <c r="U2401" s="148">
        <f>IFERROR(__xludf.DUMMYFUNCTION("""COMPUTED_VALUE"""),1.0)</f>
        <v>1</v>
      </c>
      <c r="V2401" s="148" t="str">
        <f>IFERROR(__xludf.DUMMYFUNCTION("""COMPUTED_VALUE"""),"[]")</f>
        <v>[]</v>
      </c>
      <c r="W2401" s="148">
        <f>IFERROR(__xludf.DUMMYFUNCTION("""COMPUTED_VALUE"""),1.174E7)</f>
        <v>11740000</v>
      </c>
      <c r="X2401" s="148">
        <f>IFERROR(__xludf.DUMMYFUNCTION("""COMPUTED_VALUE"""),0.0)</f>
        <v>0</v>
      </c>
      <c r="Y2401" s="148">
        <f>IFERROR(__xludf.DUMMYFUNCTION("""COMPUTED_VALUE"""),0.0)</f>
        <v>0</v>
      </c>
      <c r="Z2401" s="148"/>
    </row>
    <row r="2402">
      <c r="A2402" s="148">
        <f>IFERROR(__xludf.DUMMYFUNCTION("""COMPUTED_VALUE"""),1.1119314E7)</f>
        <v>11119314</v>
      </c>
      <c r="B2402" s="148" t="str">
        <f>IFERROR(__xludf.DUMMYFUNCTION("""COMPUTED_VALUE"""),"2025情人节组队bp头像框-比翼连心")</f>
        <v>2025情人节组队bp头像框-比翼连心</v>
      </c>
      <c r="C2402" s="148"/>
      <c r="D2402" s="148" t="str">
        <f>IFERROR(__xludf.DUMMYFUNCTION("""COMPUTED_VALUE"""),"avatar_frame")</f>
        <v>avatar_frame</v>
      </c>
      <c r="E2402" s="148">
        <f>IFERROR(__xludf.DUMMYFUNCTION("""COMPUTED_VALUE"""),20.0)</f>
        <v>20</v>
      </c>
      <c r="F2402" s="148">
        <f>IFERROR(__xludf.DUMMYFUNCTION("""COMPUTED_VALUE"""),0.0)</f>
        <v>0</v>
      </c>
      <c r="G2402" s="148">
        <f>IFERROR(__xludf.DUMMYFUNCTION("""COMPUTED_VALUE"""),1.51101316E8)</f>
        <v>151101316</v>
      </c>
      <c r="H2402" s="148">
        <f>IFERROR(__xludf.DUMMYFUNCTION("""COMPUTED_VALUE"""),1.5112564E7)</f>
        <v>15112564</v>
      </c>
      <c r="I2402" s="148" t="str">
        <f>IFERROR(__xludf.DUMMYFUNCTION("""COMPUTED_VALUE"""),"{}")</f>
        <v>{}</v>
      </c>
      <c r="J2402" s="148" t="str">
        <f>IFERROR(__xludf.DUMMYFUNCTION("""COMPUTED_VALUE"""),"{""typ"":""lc"",""txt"":""LC_ASSET_avatar_frame1_name_valentine_2025""}")</f>
        <v>{"typ":"lc","txt":"LC_ASSET_avatar_frame1_name_valentine_2025"}</v>
      </c>
      <c r="K2402" s="148" t="str">
        <f>IFERROR(__xludf.DUMMYFUNCTION("""COMPUTED_VALUE"""),"{""typ"":""lc"",""txt"":""LC_MENU_forever""}")</f>
        <v>{"typ":"lc","txt":"LC_MENU_forever"}</v>
      </c>
      <c r="L2402" s="148" t="str">
        <f>IFERROR(__xludf.DUMMYFUNCTION("""COMPUTED_VALUE"""),"{}")</f>
        <v>{}</v>
      </c>
      <c r="M2402" s="148">
        <f>IFERROR(__xludf.DUMMYFUNCTION("""COMPUTED_VALUE"""),1000.0)</f>
        <v>1000</v>
      </c>
      <c r="N2402" s="148">
        <f>IFERROR(__xludf.DUMMYFUNCTION("""COMPUTED_VALUE"""),99.0)</f>
        <v>99</v>
      </c>
      <c r="O2402" s="148">
        <f>IFERROR(__xludf.DUMMYFUNCTION("""COMPUTED_VALUE"""),1.0)</f>
        <v>1</v>
      </c>
      <c r="P2402" s="148">
        <f>IFERROR(__xludf.DUMMYFUNCTION("""COMPUTED_VALUE"""),1.0)</f>
        <v>1</v>
      </c>
      <c r="Q2402" s="148" t="str">
        <f>IFERROR(__xludf.DUMMYFUNCTION("""COMPUTED_VALUE"""),"[]")</f>
        <v>[]</v>
      </c>
      <c r="R2402" s="148" t="str">
        <f>IFERROR(__xludf.DUMMYFUNCTION("""COMPUTED_VALUE"""),"[""11421048""]")</f>
        <v>["11421048"]</v>
      </c>
      <c r="S2402" s="148" t="str">
        <f>IFERROR(__xludf.DUMMYFUNCTION("""COMPUTED_VALUE"""),"{""effect"":[{""typ"":""avatar_frame"",""id"":11421048,""val"":-1},{""typ"":""item"",""id"":11111031,""val"":1000}]}")</f>
        <v>{"effect":[{"typ":"avatar_frame","id":11421048,"val":-1},{"typ":"item","id":11111031,"val":1000}]}</v>
      </c>
      <c r="T2402" s="148">
        <f>IFERROR(__xludf.DUMMYFUNCTION("""COMPUTED_VALUE"""),-1.0)</f>
        <v>-1</v>
      </c>
      <c r="U2402" s="148">
        <f>IFERROR(__xludf.DUMMYFUNCTION("""COMPUTED_VALUE"""),1.0)</f>
        <v>1</v>
      </c>
      <c r="V2402" s="148" t="str">
        <f>IFERROR(__xludf.DUMMYFUNCTION("""COMPUTED_VALUE"""),"[]")</f>
        <v>[]</v>
      </c>
      <c r="W2402" s="148">
        <f>IFERROR(__xludf.DUMMYFUNCTION("""COMPUTED_VALUE"""),1.174E7)</f>
        <v>11740000</v>
      </c>
      <c r="X2402" s="148">
        <f>IFERROR(__xludf.DUMMYFUNCTION("""COMPUTED_VALUE"""),0.0)</f>
        <v>0</v>
      </c>
      <c r="Y2402" s="148">
        <f>IFERROR(__xludf.DUMMYFUNCTION("""COMPUTED_VALUE"""),0.0)</f>
        <v>0</v>
      </c>
      <c r="Z2402" s="148"/>
    </row>
    <row r="2403">
      <c r="A2403" s="148">
        <f>IFERROR(__xludf.DUMMYFUNCTION("""COMPUTED_VALUE"""),1.1119315E7)</f>
        <v>11119315</v>
      </c>
      <c r="B2403" s="148" t="str">
        <f>IFERROR(__xludf.DUMMYFUNCTION("""COMPUTED_VALUE"""),"2025情人节组队bp头像框-永结同心")</f>
        <v>2025情人节组队bp头像框-永结同心</v>
      </c>
      <c r="C2403" s="148"/>
      <c r="D2403" s="148" t="str">
        <f>IFERROR(__xludf.DUMMYFUNCTION("""COMPUTED_VALUE"""),"avatar_frame")</f>
        <v>avatar_frame</v>
      </c>
      <c r="E2403" s="148">
        <f>IFERROR(__xludf.DUMMYFUNCTION("""COMPUTED_VALUE"""),20.0)</f>
        <v>20</v>
      </c>
      <c r="F2403" s="148">
        <f>IFERROR(__xludf.DUMMYFUNCTION("""COMPUTED_VALUE"""),0.0)</f>
        <v>0</v>
      </c>
      <c r="G2403" s="148">
        <f>IFERROR(__xludf.DUMMYFUNCTION("""COMPUTED_VALUE"""),1.51101317E8)</f>
        <v>151101317</v>
      </c>
      <c r="H2403" s="148">
        <f>IFERROR(__xludf.DUMMYFUNCTION("""COMPUTED_VALUE"""),1.5112564E7)</f>
        <v>15112564</v>
      </c>
      <c r="I2403" s="148" t="str">
        <f>IFERROR(__xludf.DUMMYFUNCTION("""COMPUTED_VALUE"""),"{}")</f>
        <v>{}</v>
      </c>
      <c r="J2403" s="148" t="str">
        <f>IFERROR(__xludf.DUMMYFUNCTION("""COMPUTED_VALUE"""),"{""typ"":""lc"",""txt"":""LC_ASSET_avatar_frame2_name_valentine_2025""}")</f>
        <v>{"typ":"lc","txt":"LC_ASSET_avatar_frame2_name_valentine_2025"}</v>
      </c>
      <c r="K2403" s="148" t="str">
        <f>IFERROR(__xludf.DUMMYFUNCTION("""COMPUTED_VALUE"""),"{""typ"":""lc"",""txt"":""LC_MENU_forever""}")</f>
        <v>{"typ":"lc","txt":"LC_MENU_forever"}</v>
      </c>
      <c r="L2403" s="148" t="str">
        <f>IFERROR(__xludf.DUMMYFUNCTION("""COMPUTED_VALUE"""),"{}")</f>
        <v>{}</v>
      </c>
      <c r="M2403" s="148">
        <f>IFERROR(__xludf.DUMMYFUNCTION("""COMPUTED_VALUE"""),1000.0)</f>
        <v>1000</v>
      </c>
      <c r="N2403" s="148">
        <f>IFERROR(__xludf.DUMMYFUNCTION("""COMPUTED_VALUE"""),99.0)</f>
        <v>99</v>
      </c>
      <c r="O2403" s="148">
        <f>IFERROR(__xludf.DUMMYFUNCTION("""COMPUTED_VALUE"""),1.0)</f>
        <v>1</v>
      </c>
      <c r="P2403" s="148">
        <f>IFERROR(__xludf.DUMMYFUNCTION("""COMPUTED_VALUE"""),1.0)</f>
        <v>1</v>
      </c>
      <c r="Q2403" s="148" t="str">
        <f>IFERROR(__xludf.DUMMYFUNCTION("""COMPUTED_VALUE"""),"[]")</f>
        <v>[]</v>
      </c>
      <c r="R2403" s="148" t="str">
        <f>IFERROR(__xludf.DUMMYFUNCTION("""COMPUTED_VALUE"""),"[""11421049""]")</f>
        <v>["11421049"]</v>
      </c>
      <c r="S2403" s="148" t="str">
        <f>IFERROR(__xludf.DUMMYFUNCTION("""COMPUTED_VALUE"""),"{""effect"":[{""typ"":""avatar_frame"",""id"":11421049,""val"":-1},{""typ"":""item"",""id"":11111031,""val"":1000}]}")</f>
        <v>{"effect":[{"typ":"avatar_frame","id":11421049,"val":-1},{"typ":"item","id":11111031,"val":1000}]}</v>
      </c>
      <c r="T2403" s="148">
        <f>IFERROR(__xludf.DUMMYFUNCTION("""COMPUTED_VALUE"""),-1.0)</f>
        <v>-1</v>
      </c>
      <c r="U2403" s="148">
        <f>IFERROR(__xludf.DUMMYFUNCTION("""COMPUTED_VALUE"""),1.0)</f>
        <v>1</v>
      </c>
      <c r="V2403" s="148" t="str">
        <f>IFERROR(__xludf.DUMMYFUNCTION("""COMPUTED_VALUE"""),"[]")</f>
        <v>[]</v>
      </c>
      <c r="W2403" s="148">
        <f>IFERROR(__xludf.DUMMYFUNCTION("""COMPUTED_VALUE"""),1.174E7)</f>
        <v>11740000</v>
      </c>
      <c r="X2403" s="148">
        <f>IFERROR(__xludf.DUMMYFUNCTION("""COMPUTED_VALUE"""),0.0)</f>
        <v>0</v>
      </c>
      <c r="Y2403" s="148">
        <f>IFERROR(__xludf.DUMMYFUNCTION("""COMPUTED_VALUE"""),0.0)</f>
        <v>0</v>
      </c>
      <c r="Z2403" s="148"/>
    </row>
    <row r="2404">
      <c r="A2404" s="148">
        <f>IFERROR(__xludf.DUMMYFUNCTION("""COMPUTED_VALUE"""),1.1119316E7)</f>
        <v>11119316</v>
      </c>
      <c r="B2404" s="148" t="str">
        <f>IFERROR(__xludf.DUMMYFUNCTION("""COMPUTED_VALUE"""),"酒馆自选宝箱（T6）")</f>
        <v>酒馆自选宝箱（T6）</v>
      </c>
      <c r="C2404" s="148"/>
      <c r="D2404" s="148" t="str">
        <f>IFERROR(__xludf.DUMMYFUNCTION("""COMPUTED_VALUE"""),"item_select_box")</f>
        <v>item_select_box</v>
      </c>
      <c r="E2404" s="148">
        <f>IFERROR(__xludf.DUMMYFUNCTION("""COMPUTED_VALUE"""),19.0)</f>
        <v>19</v>
      </c>
      <c r="F2404" s="148">
        <f>IFERROR(__xludf.DUMMYFUNCTION("""COMPUTED_VALUE"""),100000.0)</f>
        <v>100000</v>
      </c>
      <c r="G2404" s="148">
        <f>IFERROR(__xludf.DUMMYFUNCTION("""COMPUTED_VALUE"""),1.5119093E7)</f>
        <v>15119093</v>
      </c>
      <c r="H2404" s="148">
        <f>IFERROR(__xludf.DUMMYFUNCTION("""COMPUTED_VALUE"""),1.5115983E7)</f>
        <v>15115983</v>
      </c>
      <c r="I2404" s="148" t="str">
        <f>IFERROR(__xludf.DUMMYFUNCTION("""COMPUTED_VALUE"""),"{}")</f>
        <v>{}</v>
      </c>
      <c r="J2404" s="148" t="str">
        <f>IFERROR(__xludf.DUMMYFUNCTION("""COMPUTED_VALUE"""),"{""typ"":""lc"",""txt"":""LC_ITEM_bar_select_box""}")</f>
        <v>{"typ":"lc","txt":"LC_ITEM_bar_select_box"}</v>
      </c>
      <c r="K2404" s="148" t="str">
        <f>IFERROR(__xludf.DUMMYFUNCTION("""COMPUTED_VALUE"""),"{""typ"":""lc"",""txt"":""LC_ITEM_luxury_growth_line_select_box_desc""}")</f>
        <v>{"typ":"lc","txt":"LC_ITEM_luxury_growth_line_select_box_desc"}</v>
      </c>
      <c r="L2404" s="148" t="str">
        <f>IFERROR(__xludf.DUMMYFUNCTION("""COMPUTED_VALUE"""),"{}")</f>
        <v>{}</v>
      </c>
      <c r="M2404" s="148">
        <f>IFERROR(__xludf.DUMMYFUNCTION("""COMPUTED_VALUE"""),2000.0)</f>
        <v>2000</v>
      </c>
      <c r="N2404" s="148">
        <f>IFERROR(__xludf.DUMMYFUNCTION("""COMPUTED_VALUE"""),999999.0)</f>
        <v>999999</v>
      </c>
      <c r="O2404" s="148">
        <f>IFERROR(__xludf.DUMMYFUNCTION("""COMPUTED_VALUE"""),999999.0)</f>
        <v>999999</v>
      </c>
      <c r="P2404" s="148">
        <f>IFERROR(__xludf.DUMMYFUNCTION("""COMPUTED_VALUE"""),999999.0)</f>
        <v>999999</v>
      </c>
      <c r="Q2404" s="148" t="str">
        <f>IFERROR(__xludf.DUMMYFUNCTION("""COMPUTED_VALUE"""),"[""bag_other""]")</f>
        <v>["bag_other"]</v>
      </c>
      <c r="R2404" s="148" t="str">
        <f>IFERROR(__xludf.DUMMYFUNCTION("""COMPUTED_VALUE"""),"[""bag""]")</f>
        <v>["bag"]</v>
      </c>
      <c r="S2404" s="148" t="str">
        <f>IFERROR(__xludf.DUMMYFUNCTION("""COMPUTED_VALUE"""),"{""select_box"":[{""typ"":""material"",""id"":19345012,""val"":1},{""typ"":""item"",""id"":11117511,""val"":1},{""typ"":""item"",""id"":11118681,""val"":2},{""typ"":""item"",""id"":11111042,""val"":3}]}")</f>
        <v>{"select_box":[{"typ":"material","id":19345012,"val":1},{"typ":"item","id":11117511,"val":1},{"typ":"item","id":11118681,"val":2},{"typ":"item","id":11111042,"val":3}]}</v>
      </c>
      <c r="T2404" s="148">
        <f>IFERROR(__xludf.DUMMYFUNCTION("""COMPUTED_VALUE"""),-1.0)</f>
        <v>-1</v>
      </c>
      <c r="U2404" s="148">
        <f>IFERROR(__xludf.DUMMYFUNCTION("""COMPUTED_VALUE"""),0.0)</f>
        <v>0</v>
      </c>
      <c r="V2404" s="148" t="str">
        <f>IFERROR(__xludf.DUMMYFUNCTION("""COMPUTED_VALUE"""),"[]")</f>
        <v>[]</v>
      </c>
      <c r="W2404" s="148">
        <f>IFERROR(__xludf.DUMMYFUNCTION("""COMPUTED_VALUE"""),1.174E7)</f>
        <v>11740000</v>
      </c>
      <c r="X2404" s="148">
        <f>IFERROR(__xludf.DUMMYFUNCTION("""COMPUTED_VALUE"""),0.0)</f>
        <v>0</v>
      </c>
      <c r="Y2404" s="148">
        <f>IFERROR(__xludf.DUMMYFUNCTION("""COMPUTED_VALUE"""),0.0)</f>
        <v>0</v>
      </c>
      <c r="Z2404" s="148"/>
    </row>
    <row r="2405">
      <c r="A2405" s="148">
        <f>IFERROR(__xludf.DUMMYFUNCTION("""COMPUTED_VALUE"""),1.1119317E7)</f>
        <v>11119317</v>
      </c>
      <c r="B2405" s="148" t="str">
        <f>IFERROR(__xludf.DUMMYFUNCTION("""COMPUTED_VALUE"""),"感恩节自选周卡解锁schema3-5-1")</f>
        <v>感恩节自选周卡解锁schema3-5-1</v>
      </c>
      <c r="C2405" s="148"/>
      <c r="D2405" s="148" t="str">
        <f>IFERROR(__xludf.DUMMYFUNCTION("""COMPUTED_VALUE"""),"item_subscription")</f>
        <v>item_subscription</v>
      </c>
      <c r="E2405" s="148">
        <f>IFERROR(__xludf.DUMMYFUNCTION("""COMPUTED_VALUE"""),0.0)</f>
        <v>0</v>
      </c>
      <c r="F2405" s="148">
        <f>IFERROR(__xludf.DUMMYFUNCTION("""COMPUTED_VALUE"""),404200.0)</f>
        <v>404200</v>
      </c>
      <c r="G2405" s="148">
        <f>IFERROR(__xludf.DUMMYFUNCTION("""COMPUTED_VALUE"""),1.51101543E8)</f>
        <v>151101543</v>
      </c>
      <c r="H2405" s="148">
        <f>IFERROR(__xludf.DUMMYFUNCTION("""COMPUTED_VALUE"""),1.5112564E7)</f>
        <v>15112564</v>
      </c>
      <c r="I2405" s="148" t="str">
        <f>IFERROR(__xludf.DUMMYFUNCTION("""COMPUTED_VALUE"""),"{}")</f>
        <v>{}</v>
      </c>
      <c r="J2405" s="148" t="str">
        <f>IFERROR(__xludf.DUMMYFUNCTION("""COMPUTED_VALUE"""),"{""typ"":""lc"",""txt"":""LC_EVENT_sci_time_card_title_2025_1""}")</f>
        <v>{"typ":"lc","txt":"LC_EVENT_sci_time_card_title_2025_1"}</v>
      </c>
      <c r="K2405" s="148" t="str">
        <f>IFERROR(__xludf.DUMMYFUNCTION("""COMPUTED_VALUE"""),"{}")</f>
        <v>{}</v>
      </c>
      <c r="L2405" s="148" t="str">
        <f>IFERROR(__xludf.DUMMYFUNCTION("""COMPUTED_VALUE"""),"{}")</f>
        <v>{}</v>
      </c>
      <c r="M2405" s="148">
        <f>IFERROR(__xludf.DUMMYFUNCTION("""COMPUTED_VALUE"""),1000.0)</f>
        <v>1000</v>
      </c>
      <c r="N2405" s="148">
        <f>IFERROR(__xludf.DUMMYFUNCTION("""COMPUTED_VALUE"""),9.99999999E8)</f>
        <v>999999999</v>
      </c>
      <c r="O2405" s="148">
        <f>IFERROR(__xludf.DUMMYFUNCTION("""COMPUTED_VALUE"""),9.99999999E8)</f>
        <v>999999999</v>
      </c>
      <c r="P2405" s="148">
        <f>IFERROR(__xludf.DUMMYFUNCTION("""COMPUTED_VALUE"""),9.99999999E8)</f>
        <v>999999999</v>
      </c>
      <c r="Q2405" s="148" t="str">
        <f>IFERROR(__xludf.DUMMYFUNCTION("""COMPUTED_VALUE"""),"[""bag_other""]")</f>
        <v>["bag_other"]</v>
      </c>
      <c r="R2405" s="148" t="str">
        <f>IFERROR(__xludf.DUMMYFUNCTION("""COMPUTED_VALUE"""),"[]")</f>
        <v>[]</v>
      </c>
      <c r="S2405" s="148" t="str">
        <f>IFERROR(__xludf.DUMMYFUNCTION("""COMPUTED_VALUE"""),"{""effect"":[{""typ"":""item_subscription"",""id"":2013400125}]}")</f>
        <v>{"effect":[{"typ":"item_subscription","id":2013400125}]}</v>
      </c>
      <c r="T2405" s="148">
        <f>IFERROR(__xludf.DUMMYFUNCTION("""COMPUTED_VALUE"""),-1.0)</f>
        <v>-1</v>
      </c>
      <c r="U2405" s="148">
        <f>IFERROR(__xludf.DUMMYFUNCTION("""COMPUTED_VALUE"""),1.0)</f>
        <v>1</v>
      </c>
      <c r="V2405" s="148" t="str">
        <f>IFERROR(__xludf.DUMMYFUNCTION("""COMPUTED_VALUE"""),"[]")</f>
        <v>[]</v>
      </c>
      <c r="W2405" s="148">
        <f>IFERROR(__xludf.DUMMYFUNCTION("""COMPUTED_VALUE"""),1.174E7)</f>
        <v>11740000</v>
      </c>
      <c r="X2405" s="148">
        <f>IFERROR(__xludf.DUMMYFUNCTION("""COMPUTED_VALUE"""),0.0)</f>
        <v>0</v>
      </c>
      <c r="Y2405" s="148">
        <f>IFERROR(__xludf.DUMMYFUNCTION("""COMPUTED_VALUE"""),0.0)</f>
        <v>0</v>
      </c>
      <c r="Z2405" s="148"/>
    </row>
    <row r="2406">
      <c r="A2406" s="148">
        <f>IFERROR(__xludf.DUMMYFUNCTION("""COMPUTED_VALUE"""),1.1119318E7)</f>
        <v>11119318</v>
      </c>
      <c r="B2406" s="148" t="str">
        <f>IFERROR(__xludf.DUMMYFUNCTION("""COMPUTED_VALUE"""),"感恩节自选周卡解锁schema3-5-2")</f>
        <v>感恩节自选周卡解锁schema3-5-2</v>
      </c>
      <c r="C2406" s="148"/>
      <c r="D2406" s="148" t="str">
        <f>IFERROR(__xludf.DUMMYFUNCTION("""COMPUTED_VALUE"""),"item_subscription")</f>
        <v>item_subscription</v>
      </c>
      <c r="E2406" s="148">
        <f>IFERROR(__xludf.DUMMYFUNCTION("""COMPUTED_VALUE"""),0.0)</f>
        <v>0</v>
      </c>
      <c r="F2406" s="148">
        <f>IFERROR(__xludf.DUMMYFUNCTION("""COMPUTED_VALUE"""),404200.0)</f>
        <v>404200</v>
      </c>
      <c r="G2406" s="148">
        <f>IFERROR(__xludf.DUMMYFUNCTION("""COMPUTED_VALUE"""),1.51101543E8)</f>
        <v>151101543</v>
      </c>
      <c r="H2406" s="148">
        <f>IFERROR(__xludf.DUMMYFUNCTION("""COMPUTED_VALUE"""),1.5112563E7)</f>
        <v>15112563</v>
      </c>
      <c r="I2406" s="148" t="str">
        <f>IFERROR(__xludf.DUMMYFUNCTION("""COMPUTED_VALUE"""),"{}")</f>
        <v>{}</v>
      </c>
      <c r="J2406" s="148" t="str">
        <f>IFERROR(__xludf.DUMMYFUNCTION("""COMPUTED_VALUE"""),"{""typ"":""lc"",""txt"":""LC_EVENT_sci_time_card_title_2025_2""}")</f>
        <v>{"typ":"lc","txt":"LC_EVENT_sci_time_card_title_2025_2"}</v>
      </c>
      <c r="K2406" s="148" t="str">
        <f>IFERROR(__xludf.DUMMYFUNCTION("""COMPUTED_VALUE"""),"{}")</f>
        <v>{}</v>
      </c>
      <c r="L2406" s="148" t="str">
        <f>IFERROR(__xludf.DUMMYFUNCTION("""COMPUTED_VALUE"""),"{}")</f>
        <v>{}</v>
      </c>
      <c r="M2406" s="148">
        <f>IFERROR(__xludf.DUMMYFUNCTION("""COMPUTED_VALUE"""),1000.0)</f>
        <v>1000</v>
      </c>
      <c r="N2406" s="148">
        <f>IFERROR(__xludf.DUMMYFUNCTION("""COMPUTED_VALUE"""),9.99999999E8)</f>
        <v>999999999</v>
      </c>
      <c r="O2406" s="148">
        <f>IFERROR(__xludf.DUMMYFUNCTION("""COMPUTED_VALUE"""),9.99999999E8)</f>
        <v>999999999</v>
      </c>
      <c r="P2406" s="148">
        <f>IFERROR(__xludf.DUMMYFUNCTION("""COMPUTED_VALUE"""),9.99999999E8)</f>
        <v>999999999</v>
      </c>
      <c r="Q2406" s="148" t="str">
        <f>IFERROR(__xludf.DUMMYFUNCTION("""COMPUTED_VALUE"""),"[""bag_other""]")</f>
        <v>["bag_other"]</v>
      </c>
      <c r="R2406" s="148" t="str">
        <f>IFERROR(__xludf.DUMMYFUNCTION("""COMPUTED_VALUE"""),"[]")</f>
        <v>[]</v>
      </c>
      <c r="S2406" s="148" t="str">
        <f>IFERROR(__xludf.DUMMYFUNCTION("""COMPUTED_VALUE"""),"{""effect"":[{""typ"":""item_subscription"",""id"":2013400126}]}")</f>
        <v>{"effect":[{"typ":"item_subscription","id":2013400126}]}</v>
      </c>
      <c r="T2406" s="148">
        <f>IFERROR(__xludf.DUMMYFUNCTION("""COMPUTED_VALUE"""),-1.0)</f>
        <v>-1</v>
      </c>
      <c r="U2406" s="148">
        <f>IFERROR(__xludf.DUMMYFUNCTION("""COMPUTED_VALUE"""),1.0)</f>
        <v>1</v>
      </c>
      <c r="V2406" s="148" t="str">
        <f>IFERROR(__xludf.DUMMYFUNCTION("""COMPUTED_VALUE"""),"[]")</f>
        <v>[]</v>
      </c>
      <c r="W2406" s="148">
        <f>IFERROR(__xludf.DUMMYFUNCTION("""COMPUTED_VALUE"""),1.174E7)</f>
        <v>11740000</v>
      </c>
      <c r="X2406" s="148">
        <f>IFERROR(__xludf.DUMMYFUNCTION("""COMPUTED_VALUE"""),0.0)</f>
        <v>0</v>
      </c>
      <c r="Y2406" s="148">
        <f>IFERROR(__xludf.DUMMYFUNCTION("""COMPUTED_VALUE"""),0.0)</f>
        <v>0</v>
      </c>
      <c r="Z2406" s="148"/>
    </row>
    <row r="2407">
      <c r="A2407" s="148">
        <f>IFERROR(__xludf.DUMMYFUNCTION("""COMPUTED_VALUE"""),1.1119319E7)</f>
        <v>11119319</v>
      </c>
      <c r="B2407" s="148" t="str">
        <f>IFERROR(__xludf.DUMMYFUNCTION("""COMPUTED_VALUE"""),"感恩节自选周卡解锁schema3-5-3")</f>
        <v>感恩节自选周卡解锁schema3-5-3</v>
      </c>
      <c r="C2407" s="148"/>
      <c r="D2407" s="148" t="str">
        <f>IFERROR(__xludf.DUMMYFUNCTION("""COMPUTED_VALUE"""),"item_subscription")</f>
        <v>item_subscription</v>
      </c>
      <c r="E2407" s="148">
        <f>IFERROR(__xludf.DUMMYFUNCTION("""COMPUTED_VALUE"""),0.0)</f>
        <v>0</v>
      </c>
      <c r="F2407" s="148">
        <f>IFERROR(__xludf.DUMMYFUNCTION("""COMPUTED_VALUE"""),404200.0)</f>
        <v>404200</v>
      </c>
      <c r="G2407" s="148">
        <f>IFERROR(__xludf.DUMMYFUNCTION("""COMPUTED_VALUE"""),1.51101543E8)</f>
        <v>151101543</v>
      </c>
      <c r="H2407" s="148">
        <f>IFERROR(__xludf.DUMMYFUNCTION("""COMPUTED_VALUE"""),1.5112562E7)</f>
        <v>15112562</v>
      </c>
      <c r="I2407" s="148" t="str">
        <f>IFERROR(__xludf.DUMMYFUNCTION("""COMPUTED_VALUE"""),"{}")</f>
        <v>{}</v>
      </c>
      <c r="J2407" s="148" t="str">
        <f>IFERROR(__xludf.DUMMYFUNCTION("""COMPUTED_VALUE"""),"{""typ"":""lc"",""txt"":""LC_EVENT_sci_time_card_title_2025_3""}")</f>
        <v>{"typ":"lc","txt":"LC_EVENT_sci_time_card_title_2025_3"}</v>
      </c>
      <c r="K2407" s="148" t="str">
        <f>IFERROR(__xludf.DUMMYFUNCTION("""COMPUTED_VALUE"""),"{}")</f>
        <v>{}</v>
      </c>
      <c r="L2407" s="148" t="str">
        <f>IFERROR(__xludf.DUMMYFUNCTION("""COMPUTED_VALUE"""),"{}")</f>
        <v>{}</v>
      </c>
      <c r="M2407" s="148">
        <f>IFERROR(__xludf.DUMMYFUNCTION("""COMPUTED_VALUE"""),1000.0)</f>
        <v>1000</v>
      </c>
      <c r="N2407" s="148">
        <f>IFERROR(__xludf.DUMMYFUNCTION("""COMPUTED_VALUE"""),9.99999999E8)</f>
        <v>999999999</v>
      </c>
      <c r="O2407" s="148">
        <f>IFERROR(__xludf.DUMMYFUNCTION("""COMPUTED_VALUE"""),9.99999999E8)</f>
        <v>999999999</v>
      </c>
      <c r="P2407" s="148">
        <f>IFERROR(__xludf.DUMMYFUNCTION("""COMPUTED_VALUE"""),9.99999999E8)</f>
        <v>999999999</v>
      </c>
      <c r="Q2407" s="148" t="str">
        <f>IFERROR(__xludf.DUMMYFUNCTION("""COMPUTED_VALUE"""),"[""bag_other""]")</f>
        <v>["bag_other"]</v>
      </c>
      <c r="R2407" s="148" t="str">
        <f>IFERROR(__xludf.DUMMYFUNCTION("""COMPUTED_VALUE"""),"[]")</f>
        <v>[]</v>
      </c>
      <c r="S2407" s="148" t="str">
        <f>IFERROR(__xludf.DUMMYFUNCTION("""COMPUTED_VALUE"""),"{""effect"":[{""typ"":""item_subscription"",""id"":2013400127}]}")</f>
        <v>{"effect":[{"typ":"item_subscription","id":2013400127}]}</v>
      </c>
      <c r="T2407" s="148">
        <f>IFERROR(__xludf.DUMMYFUNCTION("""COMPUTED_VALUE"""),-1.0)</f>
        <v>-1</v>
      </c>
      <c r="U2407" s="148">
        <f>IFERROR(__xludf.DUMMYFUNCTION("""COMPUTED_VALUE"""),1.0)</f>
        <v>1</v>
      </c>
      <c r="V2407" s="148" t="str">
        <f>IFERROR(__xludf.DUMMYFUNCTION("""COMPUTED_VALUE"""),"[]")</f>
        <v>[]</v>
      </c>
      <c r="W2407" s="148">
        <f>IFERROR(__xludf.DUMMYFUNCTION("""COMPUTED_VALUE"""),1.174E7)</f>
        <v>11740000</v>
      </c>
      <c r="X2407" s="148">
        <f>IFERROR(__xludf.DUMMYFUNCTION("""COMPUTED_VALUE"""),0.0)</f>
        <v>0</v>
      </c>
      <c r="Y2407" s="148">
        <f>IFERROR(__xludf.DUMMYFUNCTION("""COMPUTED_VALUE"""),0.0)</f>
        <v>0</v>
      </c>
      <c r="Z2407" s="148"/>
    </row>
    <row r="2408">
      <c r="A2408" s="148">
        <f>IFERROR(__xludf.DUMMYFUNCTION("""COMPUTED_VALUE"""),1.111932E7)</f>
        <v>11119320</v>
      </c>
      <c r="B2408" s="148" t="str">
        <f>IFERROR(__xludf.DUMMYFUNCTION("""COMPUTED_VALUE"""),"感恩节自选周卡解锁schema6-1")</f>
        <v>感恩节自选周卡解锁schema6-1</v>
      </c>
      <c r="C2408" s="148"/>
      <c r="D2408" s="148" t="str">
        <f>IFERROR(__xludf.DUMMYFUNCTION("""COMPUTED_VALUE"""),"item_subscription")</f>
        <v>item_subscription</v>
      </c>
      <c r="E2408" s="148">
        <f>IFERROR(__xludf.DUMMYFUNCTION("""COMPUTED_VALUE"""),0.0)</f>
        <v>0</v>
      </c>
      <c r="F2408" s="148">
        <f>IFERROR(__xludf.DUMMYFUNCTION("""COMPUTED_VALUE"""),404200.0)</f>
        <v>404200</v>
      </c>
      <c r="G2408" s="148">
        <f>IFERROR(__xludf.DUMMYFUNCTION("""COMPUTED_VALUE"""),1.51101543E8)</f>
        <v>151101543</v>
      </c>
      <c r="H2408" s="148">
        <f>IFERROR(__xludf.DUMMYFUNCTION("""COMPUTED_VALUE"""),1.5112564E7)</f>
        <v>15112564</v>
      </c>
      <c r="I2408" s="148" t="str">
        <f>IFERROR(__xludf.DUMMYFUNCTION("""COMPUTED_VALUE"""),"{}")</f>
        <v>{}</v>
      </c>
      <c r="J2408" s="148" t="str">
        <f>IFERROR(__xludf.DUMMYFUNCTION("""COMPUTED_VALUE"""),"{""typ"":""lc"",""txt"":""LC_EVENT_sci_time_card_title_2025_1""}")</f>
        <v>{"typ":"lc","txt":"LC_EVENT_sci_time_card_title_2025_1"}</v>
      </c>
      <c r="K2408" s="148" t="str">
        <f>IFERROR(__xludf.DUMMYFUNCTION("""COMPUTED_VALUE"""),"{}")</f>
        <v>{}</v>
      </c>
      <c r="L2408" s="148" t="str">
        <f>IFERROR(__xludf.DUMMYFUNCTION("""COMPUTED_VALUE"""),"{}")</f>
        <v>{}</v>
      </c>
      <c r="M2408" s="148">
        <f>IFERROR(__xludf.DUMMYFUNCTION("""COMPUTED_VALUE"""),1000.0)</f>
        <v>1000</v>
      </c>
      <c r="N2408" s="148">
        <f>IFERROR(__xludf.DUMMYFUNCTION("""COMPUTED_VALUE"""),9.99999999E8)</f>
        <v>999999999</v>
      </c>
      <c r="O2408" s="148">
        <f>IFERROR(__xludf.DUMMYFUNCTION("""COMPUTED_VALUE"""),9.99999999E8)</f>
        <v>999999999</v>
      </c>
      <c r="P2408" s="148">
        <f>IFERROR(__xludf.DUMMYFUNCTION("""COMPUTED_VALUE"""),9.99999999E8)</f>
        <v>999999999</v>
      </c>
      <c r="Q2408" s="148" t="str">
        <f>IFERROR(__xludf.DUMMYFUNCTION("""COMPUTED_VALUE"""),"[""bag_other""]")</f>
        <v>["bag_other"]</v>
      </c>
      <c r="R2408" s="148" t="str">
        <f>IFERROR(__xludf.DUMMYFUNCTION("""COMPUTED_VALUE"""),"[]")</f>
        <v>[]</v>
      </c>
      <c r="S2408" s="148" t="str">
        <f>IFERROR(__xludf.DUMMYFUNCTION("""COMPUTED_VALUE"""),"{""effect"":[{""typ"":""item_subscription"",""id"":2013400129}]}")</f>
        <v>{"effect":[{"typ":"item_subscription","id":2013400129}]}</v>
      </c>
      <c r="T2408" s="148">
        <f>IFERROR(__xludf.DUMMYFUNCTION("""COMPUTED_VALUE"""),-1.0)</f>
        <v>-1</v>
      </c>
      <c r="U2408" s="148">
        <f>IFERROR(__xludf.DUMMYFUNCTION("""COMPUTED_VALUE"""),1.0)</f>
        <v>1</v>
      </c>
      <c r="V2408" s="148" t="str">
        <f>IFERROR(__xludf.DUMMYFUNCTION("""COMPUTED_VALUE"""),"[]")</f>
        <v>[]</v>
      </c>
      <c r="W2408" s="148">
        <f>IFERROR(__xludf.DUMMYFUNCTION("""COMPUTED_VALUE"""),1.174E7)</f>
        <v>11740000</v>
      </c>
      <c r="X2408" s="148">
        <f>IFERROR(__xludf.DUMMYFUNCTION("""COMPUTED_VALUE"""),0.0)</f>
        <v>0</v>
      </c>
      <c r="Y2408" s="148">
        <f>IFERROR(__xludf.DUMMYFUNCTION("""COMPUTED_VALUE"""),0.0)</f>
        <v>0</v>
      </c>
      <c r="Z2408" s="148"/>
    </row>
    <row r="2409">
      <c r="A2409" s="148">
        <f>IFERROR(__xludf.DUMMYFUNCTION("""COMPUTED_VALUE"""),1.1119321E7)</f>
        <v>11119321</v>
      </c>
      <c r="B2409" s="148" t="str">
        <f>IFERROR(__xludf.DUMMYFUNCTION("""COMPUTED_VALUE"""),"感恩节自选周卡解锁schema6-2")</f>
        <v>感恩节自选周卡解锁schema6-2</v>
      </c>
      <c r="C2409" s="148"/>
      <c r="D2409" s="148" t="str">
        <f>IFERROR(__xludf.DUMMYFUNCTION("""COMPUTED_VALUE"""),"item_subscription")</f>
        <v>item_subscription</v>
      </c>
      <c r="E2409" s="148">
        <f>IFERROR(__xludf.DUMMYFUNCTION("""COMPUTED_VALUE"""),0.0)</f>
        <v>0</v>
      </c>
      <c r="F2409" s="148">
        <f>IFERROR(__xludf.DUMMYFUNCTION("""COMPUTED_VALUE"""),404200.0)</f>
        <v>404200</v>
      </c>
      <c r="G2409" s="148">
        <f>IFERROR(__xludf.DUMMYFUNCTION("""COMPUTED_VALUE"""),1.51101543E8)</f>
        <v>151101543</v>
      </c>
      <c r="H2409" s="148">
        <f>IFERROR(__xludf.DUMMYFUNCTION("""COMPUTED_VALUE"""),1.5112563E7)</f>
        <v>15112563</v>
      </c>
      <c r="I2409" s="148" t="str">
        <f>IFERROR(__xludf.DUMMYFUNCTION("""COMPUTED_VALUE"""),"{}")</f>
        <v>{}</v>
      </c>
      <c r="J2409" s="148" t="str">
        <f>IFERROR(__xludf.DUMMYFUNCTION("""COMPUTED_VALUE"""),"{""typ"":""lc"",""txt"":""LC_EVENT_sci_time_card_title_2025_2""}")</f>
        <v>{"typ":"lc","txt":"LC_EVENT_sci_time_card_title_2025_2"}</v>
      </c>
      <c r="K2409" s="148" t="str">
        <f>IFERROR(__xludf.DUMMYFUNCTION("""COMPUTED_VALUE"""),"{}")</f>
        <v>{}</v>
      </c>
      <c r="L2409" s="148" t="str">
        <f>IFERROR(__xludf.DUMMYFUNCTION("""COMPUTED_VALUE"""),"{}")</f>
        <v>{}</v>
      </c>
      <c r="M2409" s="148">
        <f>IFERROR(__xludf.DUMMYFUNCTION("""COMPUTED_VALUE"""),1000.0)</f>
        <v>1000</v>
      </c>
      <c r="N2409" s="148">
        <f>IFERROR(__xludf.DUMMYFUNCTION("""COMPUTED_VALUE"""),9.99999999E8)</f>
        <v>999999999</v>
      </c>
      <c r="O2409" s="148">
        <f>IFERROR(__xludf.DUMMYFUNCTION("""COMPUTED_VALUE"""),9.99999999E8)</f>
        <v>999999999</v>
      </c>
      <c r="P2409" s="148">
        <f>IFERROR(__xludf.DUMMYFUNCTION("""COMPUTED_VALUE"""),9.99999999E8)</f>
        <v>999999999</v>
      </c>
      <c r="Q2409" s="148" t="str">
        <f>IFERROR(__xludf.DUMMYFUNCTION("""COMPUTED_VALUE"""),"[""bag_other""]")</f>
        <v>["bag_other"]</v>
      </c>
      <c r="R2409" s="148" t="str">
        <f>IFERROR(__xludf.DUMMYFUNCTION("""COMPUTED_VALUE"""),"[]")</f>
        <v>[]</v>
      </c>
      <c r="S2409" s="148" t="str">
        <f>IFERROR(__xludf.DUMMYFUNCTION("""COMPUTED_VALUE"""),"{""effect"":[{""typ"":""item_subscription"",""id"":2013400130}]}")</f>
        <v>{"effect":[{"typ":"item_subscription","id":2013400130}]}</v>
      </c>
      <c r="T2409" s="148">
        <f>IFERROR(__xludf.DUMMYFUNCTION("""COMPUTED_VALUE"""),-1.0)</f>
        <v>-1</v>
      </c>
      <c r="U2409" s="148">
        <f>IFERROR(__xludf.DUMMYFUNCTION("""COMPUTED_VALUE"""),1.0)</f>
        <v>1</v>
      </c>
      <c r="V2409" s="148" t="str">
        <f>IFERROR(__xludf.DUMMYFUNCTION("""COMPUTED_VALUE"""),"[]")</f>
        <v>[]</v>
      </c>
      <c r="W2409" s="148">
        <f>IFERROR(__xludf.DUMMYFUNCTION("""COMPUTED_VALUE"""),1.174E7)</f>
        <v>11740000</v>
      </c>
      <c r="X2409" s="148">
        <f>IFERROR(__xludf.DUMMYFUNCTION("""COMPUTED_VALUE"""),0.0)</f>
        <v>0</v>
      </c>
      <c r="Y2409" s="148">
        <f>IFERROR(__xludf.DUMMYFUNCTION("""COMPUTED_VALUE"""),0.0)</f>
        <v>0</v>
      </c>
      <c r="Z2409" s="148"/>
    </row>
    <row r="2410">
      <c r="A2410" s="148">
        <f>IFERROR(__xludf.DUMMYFUNCTION("""COMPUTED_VALUE"""),1.1119322E7)</f>
        <v>11119322</v>
      </c>
      <c r="B2410" s="148" t="str">
        <f>IFERROR(__xludf.DUMMYFUNCTION("""COMPUTED_VALUE"""),"科技节2025活动专用-增加次数道具")</f>
        <v>科技节2025活动专用-增加次数道具</v>
      </c>
      <c r="C2410" s="148"/>
      <c r="D2410" s="148" t="str">
        <f>IFERROR(__xludf.DUMMYFUNCTION("""COMPUTED_VALUE"""),"event_progress")</f>
        <v>event_progress</v>
      </c>
      <c r="E2410" s="148">
        <f>IFERROR(__xludf.DUMMYFUNCTION("""COMPUTED_VALUE"""),0.0)</f>
        <v>0</v>
      </c>
      <c r="F2410" s="148">
        <f>IFERROR(__xludf.DUMMYFUNCTION("""COMPUTED_VALUE"""),0.0)</f>
        <v>0</v>
      </c>
      <c r="G2410" s="148">
        <f>IFERROR(__xludf.DUMMYFUNCTION("""COMPUTED_VALUE"""),1.5112493E7)</f>
        <v>15112493</v>
      </c>
      <c r="H2410" s="148">
        <f>IFERROR(__xludf.DUMMYFUNCTION("""COMPUTED_VALUE"""),1.5112563E7)</f>
        <v>15112563</v>
      </c>
      <c r="I2410" s="148" t="str">
        <f>IFERROR(__xludf.DUMMYFUNCTION("""COMPUTED_VALUE"""),"{}")</f>
        <v>{}</v>
      </c>
      <c r="J2410" s="148" t="str">
        <f>IFERROR(__xludf.DUMMYFUNCTION("""COMPUTED_VALUE"""),"{""typ"":""lc"",""txt"":""LC_ITEM_starrelics_name""}")</f>
        <v>{"typ":"lc","txt":"LC_ITEM_starrelics_name"}</v>
      </c>
      <c r="K2410" s="148" t="str">
        <f>IFERROR(__xludf.DUMMYFUNCTION("""COMPUTED_VALUE"""),"{""typ"":""lc"",""txt"":""LC_ITEM_starrelics_desc""}")</f>
        <v>{"typ":"lc","txt":"LC_ITEM_starrelics_desc"}</v>
      </c>
      <c r="L2410" s="148" t="str">
        <f>IFERROR(__xludf.DUMMYFUNCTION("""COMPUTED_VALUE"""),"{}")</f>
        <v>{}</v>
      </c>
      <c r="M2410" s="148">
        <f>IFERROR(__xludf.DUMMYFUNCTION("""COMPUTED_VALUE"""),1.0)</f>
        <v>1</v>
      </c>
      <c r="N2410" s="148">
        <f>IFERROR(__xludf.DUMMYFUNCTION("""COMPUTED_VALUE"""),999999.0)</f>
        <v>999999</v>
      </c>
      <c r="O2410" s="148">
        <f>IFERROR(__xludf.DUMMYFUNCTION("""COMPUTED_VALUE"""),99999.0)</f>
        <v>99999</v>
      </c>
      <c r="P2410" s="148">
        <f>IFERROR(__xludf.DUMMYFUNCTION("""COMPUTED_VALUE"""),9999.0)</f>
        <v>9999</v>
      </c>
      <c r="Q2410" s="148" t="str">
        <f>IFERROR(__xludf.DUMMYFUNCTION("""COMPUTED_VALUE"""),"[]")</f>
        <v>[]</v>
      </c>
      <c r="R2410" s="148" t="str">
        <f>IFERROR(__xludf.DUMMYFUNCTION("""COMPUTED_VALUE"""),"[]")</f>
        <v>[]</v>
      </c>
      <c r="S2410" s="148" t="str">
        <f>IFERROR(__xludf.DUMMYFUNCTION("""COMPUTED_VALUE"""),"{""effect"":[{""typ"":""event"",""id"":21127343},{""typ"":""miss_lost_reward""}]}")</f>
        <v>{"effect":[{"typ":"event","id":21127343},{"typ":"miss_lost_reward"}]}</v>
      </c>
      <c r="T2410" s="148">
        <f>IFERROR(__xludf.DUMMYFUNCTION("""COMPUTED_VALUE"""),-1.0)</f>
        <v>-1</v>
      </c>
      <c r="U2410" s="148">
        <f>IFERROR(__xludf.DUMMYFUNCTION("""COMPUTED_VALUE"""),1.0)</f>
        <v>1</v>
      </c>
      <c r="V2410" s="148" t="str">
        <f>IFERROR(__xludf.DUMMYFUNCTION("""COMPUTED_VALUE"""),"[]")</f>
        <v>[]</v>
      </c>
      <c r="W2410" s="148">
        <f>IFERROR(__xludf.DUMMYFUNCTION("""COMPUTED_VALUE"""),1.174E7)</f>
        <v>11740000</v>
      </c>
      <c r="X2410" s="148">
        <f>IFERROR(__xludf.DUMMYFUNCTION("""COMPUTED_VALUE"""),0.0)</f>
        <v>0</v>
      </c>
      <c r="Y2410" s="148">
        <f>IFERROR(__xludf.DUMMYFUNCTION("""COMPUTED_VALUE"""),0.0)</f>
        <v>0</v>
      </c>
      <c r="Z2410" s="148"/>
    </row>
    <row r="2411">
      <c r="A2411" s="148">
        <f>IFERROR(__xludf.DUMMYFUNCTION("""COMPUTED_VALUE"""),1.1119323E7)</f>
        <v>11119323</v>
      </c>
      <c r="B2411" s="148" t="str">
        <f>IFERROR(__xludf.DUMMYFUNCTION("""COMPUTED_VALUE"""),"感恩节自选周卡解锁schema6-3")</f>
        <v>感恩节自选周卡解锁schema6-3</v>
      </c>
      <c r="C2411" s="148"/>
      <c r="D2411" s="148" t="str">
        <f>IFERROR(__xludf.DUMMYFUNCTION("""COMPUTED_VALUE"""),"item_subscription")</f>
        <v>item_subscription</v>
      </c>
      <c r="E2411" s="148">
        <f>IFERROR(__xludf.DUMMYFUNCTION("""COMPUTED_VALUE"""),0.0)</f>
        <v>0</v>
      </c>
      <c r="F2411" s="148">
        <f>IFERROR(__xludf.DUMMYFUNCTION("""COMPUTED_VALUE"""),404200.0)</f>
        <v>404200</v>
      </c>
      <c r="G2411" s="148">
        <f>IFERROR(__xludf.DUMMYFUNCTION("""COMPUTED_VALUE"""),1.51101543E8)</f>
        <v>151101543</v>
      </c>
      <c r="H2411" s="148">
        <f>IFERROR(__xludf.DUMMYFUNCTION("""COMPUTED_VALUE"""),1.5112562E7)</f>
        <v>15112562</v>
      </c>
      <c r="I2411" s="148" t="str">
        <f>IFERROR(__xludf.DUMMYFUNCTION("""COMPUTED_VALUE"""),"{}")</f>
        <v>{}</v>
      </c>
      <c r="J2411" s="148" t="str">
        <f>IFERROR(__xludf.DUMMYFUNCTION("""COMPUTED_VALUE"""),"{""typ"":""lc"",""txt"":""LC_EVENT_sci_time_card_title_2025_3""}")</f>
        <v>{"typ":"lc","txt":"LC_EVENT_sci_time_card_title_2025_3"}</v>
      </c>
      <c r="K2411" s="148" t="str">
        <f>IFERROR(__xludf.DUMMYFUNCTION("""COMPUTED_VALUE"""),"{}")</f>
        <v>{}</v>
      </c>
      <c r="L2411" s="148" t="str">
        <f>IFERROR(__xludf.DUMMYFUNCTION("""COMPUTED_VALUE"""),"{}")</f>
        <v>{}</v>
      </c>
      <c r="M2411" s="148">
        <f>IFERROR(__xludf.DUMMYFUNCTION("""COMPUTED_VALUE"""),1000.0)</f>
        <v>1000</v>
      </c>
      <c r="N2411" s="148">
        <f>IFERROR(__xludf.DUMMYFUNCTION("""COMPUTED_VALUE"""),9.99999999E8)</f>
        <v>999999999</v>
      </c>
      <c r="O2411" s="148">
        <f>IFERROR(__xludf.DUMMYFUNCTION("""COMPUTED_VALUE"""),9.99999999E8)</f>
        <v>999999999</v>
      </c>
      <c r="P2411" s="148">
        <f>IFERROR(__xludf.DUMMYFUNCTION("""COMPUTED_VALUE"""),9.99999999E8)</f>
        <v>999999999</v>
      </c>
      <c r="Q2411" s="148" t="str">
        <f>IFERROR(__xludf.DUMMYFUNCTION("""COMPUTED_VALUE"""),"[""bag_other""]")</f>
        <v>["bag_other"]</v>
      </c>
      <c r="R2411" s="148" t="str">
        <f>IFERROR(__xludf.DUMMYFUNCTION("""COMPUTED_VALUE"""),"[]")</f>
        <v>[]</v>
      </c>
      <c r="S2411" s="148" t="str">
        <f>IFERROR(__xludf.DUMMYFUNCTION("""COMPUTED_VALUE"""),"{""effect"":[{""typ"":""item_subscription"",""id"":2013400131}]}")</f>
        <v>{"effect":[{"typ":"item_subscription","id":2013400131}]}</v>
      </c>
      <c r="T2411" s="148">
        <f>IFERROR(__xludf.DUMMYFUNCTION("""COMPUTED_VALUE"""),-1.0)</f>
        <v>-1</v>
      </c>
      <c r="U2411" s="148">
        <f>IFERROR(__xludf.DUMMYFUNCTION("""COMPUTED_VALUE"""),1.0)</f>
        <v>1</v>
      </c>
      <c r="V2411" s="148" t="str">
        <f>IFERROR(__xludf.DUMMYFUNCTION("""COMPUTED_VALUE"""),"[]")</f>
        <v>[]</v>
      </c>
      <c r="W2411" s="148">
        <f>IFERROR(__xludf.DUMMYFUNCTION("""COMPUTED_VALUE"""),1.174E7)</f>
        <v>11740000</v>
      </c>
      <c r="X2411" s="148">
        <f>IFERROR(__xludf.DUMMYFUNCTION("""COMPUTED_VALUE"""),0.0)</f>
        <v>0</v>
      </c>
      <c r="Y2411" s="148">
        <f>IFERROR(__xludf.DUMMYFUNCTION("""COMPUTED_VALUE"""),0.0)</f>
        <v>0</v>
      </c>
      <c r="Z2411" s="148"/>
    </row>
    <row r="2412">
      <c r="A2412" s="148">
        <f>IFERROR(__xludf.DUMMYFUNCTION("""COMPUTED_VALUE"""),1.1119324E7)</f>
        <v>11119324</v>
      </c>
      <c r="B2412" s="148" t="str">
        <f>IFERROR(__xludf.DUMMYFUNCTION("""COMPUTED_VALUE"""),"复活节2025活动专用-增加次数道具")</f>
        <v>复活节2025活动专用-增加次数道具</v>
      </c>
      <c r="C2412" s="148"/>
      <c r="D2412" s="148" t="str">
        <f>IFERROR(__xludf.DUMMYFUNCTION("""COMPUTED_VALUE"""),"event_progress")</f>
        <v>event_progress</v>
      </c>
      <c r="E2412" s="148">
        <f>IFERROR(__xludf.DUMMYFUNCTION("""COMPUTED_VALUE"""),0.0)</f>
        <v>0</v>
      </c>
      <c r="F2412" s="148">
        <f>IFERROR(__xludf.DUMMYFUNCTION("""COMPUTED_VALUE"""),0.0)</f>
        <v>0</v>
      </c>
      <c r="G2412" s="148">
        <f>IFERROR(__xludf.DUMMYFUNCTION("""COMPUTED_VALUE"""),1.5112493E7)</f>
        <v>15112493</v>
      </c>
      <c r="H2412" s="148">
        <f>IFERROR(__xludf.DUMMYFUNCTION("""COMPUTED_VALUE"""),1.5112563E7)</f>
        <v>15112563</v>
      </c>
      <c r="I2412" s="148" t="str">
        <f>IFERROR(__xludf.DUMMYFUNCTION("""COMPUTED_VALUE"""),"{}")</f>
        <v>{}</v>
      </c>
      <c r="J2412" s="148" t="str">
        <f>IFERROR(__xludf.DUMMYFUNCTION("""COMPUTED_VALUE"""),"{""typ"":""lc"",""txt"":""LC_ITEM_starrelics_name""}")</f>
        <v>{"typ":"lc","txt":"LC_ITEM_starrelics_name"}</v>
      </c>
      <c r="K2412" s="148" t="str">
        <f>IFERROR(__xludf.DUMMYFUNCTION("""COMPUTED_VALUE"""),"{""typ"":""lc"",""txt"":""LC_ITEM_starrelics_desc""}")</f>
        <v>{"typ":"lc","txt":"LC_ITEM_starrelics_desc"}</v>
      </c>
      <c r="L2412" s="148" t="str">
        <f>IFERROR(__xludf.DUMMYFUNCTION("""COMPUTED_VALUE"""),"{}")</f>
        <v>{}</v>
      </c>
      <c r="M2412" s="148">
        <f>IFERROR(__xludf.DUMMYFUNCTION("""COMPUTED_VALUE"""),1.0)</f>
        <v>1</v>
      </c>
      <c r="N2412" s="148">
        <f>IFERROR(__xludf.DUMMYFUNCTION("""COMPUTED_VALUE"""),999999.0)</f>
        <v>999999</v>
      </c>
      <c r="O2412" s="148">
        <f>IFERROR(__xludf.DUMMYFUNCTION("""COMPUTED_VALUE"""),99999.0)</f>
        <v>99999</v>
      </c>
      <c r="P2412" s="148">
        <f>IFERROR(__xludf.DUMMYFUNCTION("""COMPUTED_VALUE"""),9999.0)</f>
        <v>9999</v>
      </c>
      <c r="Q2412" s="148" t="str">
        <f>IFERROR(__xludf.DUMMYFUNCTION("""COMPUTED_VALUE"""),"[]")</f>
        <v>[]</v>
      </c>
      <c r="R2412" s="148" t="str">
        <f>IFERROR(__xludf.DUMMYFUNCTION("""COMPUTED_VALUE"""),"[]")</f>
        <v>[]</v>
      </c>
      <c r="S2412" s="148" t="str">
        <f>IFERROR(__xludf.DUMMYFUNCTION("""COMPUTED_VALUE"""),"{""effect"":[{""typ"":""event"",""id"":21127356},{""typ"":""miss_lost_reward""}]}")</f>
        <v>{"effect":[{"typ":"event","id":21127356},{"typ":"miss_lost_reward"}]}</v>
      </c>
      <c r="T2412" s="148">
        <f>IFERROR(__xludf.DUMMYFUNCTION("""COMPUTED_VALUE"""),-1.0)</f>
        <v>-1</v>
      </c>
      <c r="U2412" s="148">
        <f>IFERROR(__xludf.DUMMYFUNCTION("""COMPUTED_VALUE"""),1.0)</f>
        <v>1</v>
      </c>
      <c r="V2412" s="148" t="str">
        <f>IFERROR(__xludf.DUMMYFUNCTION("""COMPUTED_VALUE"""),"[]")</f>
        <v>[]</v>
      </c>
      <c r="W2412" s="148">
        <f>IFERROR(__xludf.DUMMYFUNCTION("""COMPUTED_VALUE"""),1.174E7)</f>
        <v>11740000</v>
      </c>
      <c r="X2412" s="148">
        <f>IFERROR(__xludf.DUMMYFUNCTION("""COMPUTED_VALUE"""),0.0)</f>
        <v>0</v>
      </c>
      <c r="Y2412" s="148">
        <f>IFERROR(__xludf.DUMMYFUNCTION("""COMPUTED_VALUE"""),0.0)</f>
        <v>0</v>
      </c>
      <c r="Z2412" s="148"/>
    </row>
    <row r="2413">
      <c r="A2413" s="148">
        <f>IFERROR(__xludf.DUMMYFUNCTION("""COMPUTED_VALUE"""),1.1119325E7)</f>
        <v>11119325</v>
      </c>
      <c r="B2413" s="148" t="str">
        <f>IFERROR(__xludf.DUMMYFUNCTION("""COMPUTED_VALUE"""),"深海节自选周卡解锁schema3-5-1")</f>
        <v>深海节自选周卡解锁schema3-5-1</v>
      </c>
      <c r="C2413" s="148"/>
      <c r="D2413" s="148" t="str">
        <f>IFERROR(__xludf.DUMMYFUNCTION("""COMPUTED_VALUE"""),"item_subscription")</f>
        <v>item_subscription</v>
      </c>
      <c r="E2413" s="148">
        <f>IFERROR(__xludf.DUMMYFUNCTION("""COMPUTED_VALUE"""),0.0)</f>
        <v>0</v>
      </c>
      <c r="F2413" s="148">
        <f>IFERROR(__xludf.DUMMYFUNCTION("""COMPUTED_VALUE"""),404200.0)</f>
        <v>404200</v>
      </c>
      <c r="G2413" s="148">
        <f>IFERROR(__xludf.DUMMYFUNCTION("""COMPUTED_VALUE"""),1.51101543E8)</f>
        <v>151101543</v>
      </c>
      <c r="H2413" s="148">
        <f>IFERROR(__xludf.DUMMYFUNCTION("""COMPUTED_VALUE"""),1.5112564E7)</f>
        <v>15112564</v>
      </c>
      <c r="I2413" s="148" t="str">
        <f>IFERROR(__xludf.DUMMYFUNCTION("""COMPUTED_VALUE"""),"{}")</f>
        <v>{}</v>
      </c>
      <c r="J2413" s="148" t="str">
        <f>IFERROR(__xludf.DUMMYFUNCTION("""COMPUTED_VALUE"""),"{""typ"":""lc"",""txt"":""LC_EVENT_sci_time_card_title_2025_1""}")</f>
        <v>{"typ":"lc","txt":"LC_EVENT_sci_time_card_title_2025_1"}</v>
      </c>
      <c r="K2413" s="148" t="str">
        <f>IFERROR(__xludf.DUMMYFUNCTION("""COMPUTED_VALUE"""),"{}")</f>
        <v>{}</v>
      </c>
      <c r="L2413" s="148" t="str">
        <f>IFERROR(__xludf.DUMMYFUNCTION("""COMPUTED_VALUE"""),"{}")</f>
        <v>{}</v>
      </c>
      <c r="M2413" s="148">
        <f>IFERROR(__xludf.DUMMYFUNCTION("""COMPUTED_VALUE"""),1000.0)</f>
        <v>1000</v>
      </c>
      <c r="N2413" s="148">
        <f>IFERROR(__xludf.DUMMYFUNCTION("""COMPUTED_VALUE"""),9.99999999E8)</f>
        <v>999999999</v>
      </c>
      <c r="O2413" s="148">
        <f>IFERROR(__xludf.DUMMYFUNCTION("""COMPUTED_VALUE"""),9.99999999E8)</f>
        <v>999999999</v>
      </c>
      <c r="P2413" s="148">
        <f>IFERROR(__xludf.DUMMYFUNCTION("""COMPUTED_VALUE"""),9.99999999E8)</f>
        <v>999999999</v>
      </c>
      <c r="Q2413" s="148" t="str">
        <f>IFERROR(__xludf.DUMMYFUNCTION("""COMPUTED_VALUE"""),"[""bag_other""]")</f>
        <v>["bag_other"]</v>
      </c>
      <c r="R2413" s="148" t="str">
        <f>IFERROR(__xludf.DUMMYFUNCTION("""COMPUTED_VALUE"""),"[]")</f>
        <v>[]</v>
      </c>
      <c r="S2413" s="148" t="str">
        <f>IFERROR(__xludf.DUMMYFUNCTION("""COMPUTED_VALUE"""),"{""effect"":[{""typ"":""item_subscription"",""id"":2013400085}]}")</f>
        <v>{"effect":[{"typ":"item_subscription","id":2013400085}]}</v>
      </c>
      <c r="T2413" s="148">
        <f>IFERROR(__xludf.DUMMYFUNCTION("""COMPUTED_VALUE"""),-1.0)</f>
        <v>-1</v>
      </c>
      <c r="U2413" s="148">
        <f>IFERROR(__xludf.DUMMYFUNCTION("""COMPUTED_VALUE"""),1.0)</f>
        <v>1</v>
      </c>
      <c r="V2413" s="148" t="str">
        <f>IFERROR(__xludf.DUMMYFUNCTION("""COMPUTED_VALUE"""),"[]")</f>
        <v>[]</v>
      </c>
      <c r="W2413" s="148">
        <f>IFERROR(__xludf.DUMMYFUNCTION("""COMPUTED_VALUE"""),1.174E7)</f>
        <v>11740000</v>
      </c>
      <c r="X2413" s="148">
        <f>IFERROR(__xludf.DUMMYFUNCTION("""COMPUTED_VALUE"""),0.0)</f>
        <v>0</v>
      </c>
      <c r="Y2413" s="148">
        <f>IFERROR(__xludf.DUMMYFUNCTION("""COMPUTED_VALUE"""),0.0)</f>
        <v>0</v>
      </c>
      <c r="Z2413" s="148"/>
    </row>
    <row r="2414">
      <c r="A2414" s="148">
        <f>IFERROR(__xludf.DUMMYFUNCTION("""COMPUTED_VALUE"""),1.1119326E7)</f>
        <v>11119326</v>
      </c>
      <c r="B2414" s="148" t="str">
        <f>IFERROR(__xludf.DUMMYFUNCTION("""COMPUTED_VALUE"""),"深海节自选周卡解锁schema3-5-2")</f>
        <v>深海节自选周卡解锁schema3-5-2</v>
      </c>
      <c r="C2414" s="148"/>
      <c r="D2414" s="148" t="str">
        <f>IFERROR(__xludf.DUMMYFUNCTION("""COMPUTED_VALUE"""),"item_subscription")</f>
        <v>item_subscription</v>
      </c>
      <c r="E2414" s="148">
        <f>IFERROR(__xludf.DUMMYFUNCTION("""COMPUTED_VALUE"""),0.0)</f>
        <v>0</v>
      </c>
      <c r="F2414" s="148">
        <f>IFERROR(__xludf.DUMMYFUNCTION("""COMPUTED_VALUE"""),404200.0)</f>
        <v>404200</v>
      </c>
      <c r="G2414" s="148">
        <f>IFERROR(__xludf.DUMMYFUNCTION("""COMPUTED_VALUE"""),1.51101543E8)</f>
        <v>151101543</v>
      </c>
      <c r="H2414" s="148">
        <f>IFERROR(__xludf.DUMMYFUNCTION("""COMPUTED_VALUE"""),1.5112563E7)</f>
        <v>15112563</v>
      </c>
      <c r="I2414" s="148" t="str">
        <f>IFERROR(__xludf.DUMMYFUNCTION("""COMPUTED_VALUE"""),"{}")</f>
        <v>{}</v>
      </c>
      <c r="J2414" s="148" t="str">
        <f>IFERROR(__xludf.DUMMYFUNCTION("""COMPUTED_VALUE"""),"{""typ"":""lc"",""txt"":""LC_EVENT_sci_time_card_title_2025_2""}")</f>
        <v>{"typ":"lc","txt":"LC_EVENT_sci_time_card_title_2025_2"}</v>
      </c>
      <c r="K2414" s="148" t="str">
        <f>IFERROR(__xludf.DUMMYFUNCTION("""COMPUTED_VALUE"""),"{}")</f>
        <v>{}</v>
      </c>
      <c r="L2414" s="148" t="str">
        <f>IFERROR(__xludf.DUMMYFUNCTION("""COMPUTED_VALUE"""),"{}")</f>
        <v>{}</v>
      </c>
      <c r="M2414" s="148">
        <f>IFERROR(__xludf.DUMMYFUNCTION("""COMPUTED_VALUE"""),1000.0)</f>
        <v>1000</v>
      </c>
      <c r="N2414" s="148">
        <f>IFERROR(__xludf.DUMMYFUNCTION("""COMPUTED_VALUE"""),9.99999999E8)</f>
        <v>999999999</v>
      </c>
      <c r="O2414" s="148">
        <f>IFERROR(__xludf.DUMMYFUNCTION("""COMPUTED_VALUE"""),9.99999999E8)</f>
        <v>999999999</v>
      </c>
      <c r="P2414" s="148">
        <f>IFERROR(__xludf.DUMMYFUNCTION("""COMPUTED_VALUE"""),9.99999999E8)</f>
        <v>999999999</v>
      </c>
      <c r="Q2414" s="148" t="str">
        <f>IFERROR(__xludf.DUMMYFUNCTION("""COMPUTED_VALUE"""),"[""bag_other""]")</f>
        <v>["bag_other"]</v>
      </c>
      <c r="R2414" s="148" t="str">
        <f>IFERROR(__xludf.DUMMYFUNCTION("""COMPUTED_VALUE"""),"[]")</f>
        <v>[]</v>
      </c>
      <c r="S2414" s="148" t="str">
        <f>IFERROR(__xludf.DUMMYFUNCTION("""COMPUTED_VALUE"""),"{""effect"":[{""typ"":""item_subscription"",""id"":2013400086}]}")</f>
        <v>{"effect":[{"typ":"item_subscription","id":2013400086}]}</v>
      </c>
      <c r="T2414" s="148">
        <f>IFERROR(__xludf.DUMMYFUNCTION("""COMPUTED_VALUE"""),-1.0)</f>
        <v>-1</v>
      </c>
      <c r="U2414" s="148">
        <f>IFERROR(__xludf.DUMMYFUNCTION("""COMPUTED_VALUE"""),1.0)</f>
        <v>1</v>
      </c>
      <c r="V2414" s="148" t="str">
        <f>IFERROR(__xludf.DUMMYFUNCTION("""COMPUTED_VALUE"""),"[]")</f>
        <v>[]</v>
      </c>
      <c r="W2414" s="148">
        <f>IFERROR(__xludf.DUMMYFUNCTION("""COMPUTED_VALUE"""),1.174E7)</f>
        <v>11740000</v>
      </c>
      <c r="X2414" s="148">
        <f>IFERROR(__xludf.DUMMYFUNCTION("""COMPUTED_VALUE"""),0.0)</f>
        <v>0</v>
      </c>
      <c r="Y2414" s="148">
        <f>IFERROR(__xludf.DUMMYFUNCTION("""COMPUTED_VALUE"""),0.0)</f>
        <v>0</v>
      </c>
      <c r="Z2414" s="148"/>
    </row>
    <row r="2415">
      <c r="A2415" s="148">
        <f>IFERROR(__xludf.DUMMYFUNCTION("""COMPUTED_VALUE"""),1.1119327E7)</f>
        <v>11119327</v>
      </c>
      <c r="B2415" s="148" t="str">
        <f>IFERROR(__xludf.DUMMYFUNCTION("""COMPUTED_VALUE"""),"深海节自选周卡解锁schema3-5-3")</f>
        <v>深海节自选周卡解锁schema3-5-3</v>
      </c>
      <c r="C2415" s="148"/>
      <c r="D2415" s="148" t="str">
        <f>IFERROR(__xludf.DUMMYFUNCTION("""COMPUTED_VALUE"""),"item_subscription")</f>
        <v>item_subscription</v>
      </c>
      <c r="E2415" s="148">
        <f>IFERROR(__xludf.DUMMYFUNCTION("""COMPUTED_VALUE"""),0.0)</f>
        <v>0</v>
      </c>
      <c r="F2415" s="148">
        <f>IFERROR(__xludf.DUMMYFUNCTION("""COMPUTED_VALUE"""),404200.0)</f>
        <v>404200</v>
      </c>
      <c r="G2415" s="148">
        <f>IFERROR(__xludf.DUMMYFUNCTION("""COMPUTED_VALUE"""),1.51101543E8)</f>
        <v>151101543</v>
      </c>
      <c r="H2415" s="148">
        <f>IFERROR(__xludf.DUMMYFUNCTION("""COMPUTED_VALUE"""),1.5112562E7)</f>
        <v>15112562</v>
      </c>
      <c r="I2415" s="148" t="str">
        <f>IFERROR(__xludf.DUMMYFUNCTION("""COMPUTED_VALUE"""),"{}")</f>
        <v>{}</v>
      </c>
      <c r="J2415" s="148" t="str">
        <f>IFERROR(__xludf.DUMMYFUNCTION("""COMPUTED_VALUE"""),"{""typ"":""lc"",""txt"":""LC_EVENT_sci_time_card_title_2025_3""}")</f>
        <v>{"typ":"lc","txt":"LC_EVENT_sci_time_card_title_2025_3"}</v>
      </c>
      <c r="K2415" s="148" t="str">
        <f>IFERROR(__xludf.DUMMYFUNCTION("""COMPUTED_VALUE"""),"{}")</f>
        <v>{}</v>
      </c>
      <c r="L2415" s="148" t="str">
        <f>IFERROR(__xludf.DUMMYFUNCTION("""COMPUTED_VALUE"""),"{}")</f>
        <v>{}</v>
      </c>
      <c r="M2415" s="148">
        <f>IFERROR(__xludf.DUMMYFUNCTION("""COMPUTED_VALUE"""),1000.0)</f>
        <v>1000</v>
      </c>
      <c r="N2415" s="148">
        <f>IFERROR(__xludf.DUMMYFUNCTION("""COMPUTED_VALUE"""),9.99999999E8)</f>
        <v>999999999</v>
      </c>
      <c r="O2415" s="148">
        <f>IFERROR(__xludf.DUMMYFUNCTION("""COMPUTED_VALUE"""),9.99999999E8)</f>
        <v>999999999</v>
      </c>
      <c r="P2415" s="148">
        <f>IFERROR(__xludf.DUMMYFUNCTION("""COMPUTED_VALUE"""),9.99999999E8)</f>
        <v>999999999</v>
      </c>
      <c r="Q2415" s="148" t="str">
        <f>IFERROR(__xludf.DUMMYFUNCTION("""COMPUTED_VALUE"""),"[""bag_other""]")</f>
        <v>["bag_other"]</v>
      </c>
      <c r="R2415" s="148" t="str">
        <f>IFERROR(__xludf.DUMMYFUNCTION("""COMPUTED_VALUE"""),"[]")</f>
        <v>[]</v>
      </c>
      <c r="S2415" s="148" t="str">
        <f>IFERROR(__xludf.DUMMYFUNCTION("""COMPUTED_VALUE"""),"{""effect"":[{""typ"":""item_subscription"",""id"":2013400087}]}")</f>
        <v>{"effect":[{"typ":"item_subscription","id":2013400087}]}</v>
      </c>
      <c r="T2415" s="148">
        <f>IFERROR(__xludf.DUMMYFUNCTION("""COMPUTED_VALUE"""),-1.0)</f>
        <v>-1</v>
      </c>
      <c r="U2415" s="148">
        <f>IFERROR(__xludf.DUMMYFUNCTION("""COMPUTED_VALUE"""),1.0)</f>
        <v>1</v>
      </c>
      <c r="V2415" s="148" t="str">
        <f>IFERROR(__xludf.DUMMYFUNCTION("""COMPUTED_VALUE"""),"[]")</f>
        <v>[]</v>
      </c>
      <c r="W2415" s="148">
        <f>IFERROR(__xludf.DUMMYFUNCTION("""COMPUTED_VALUE"""),1.174E7)</f>
        <v>11740000</v>
      </c>
      <c r="X2415" s="148">
        <f>IFERROR(__xludf.DUMMYFUNCTION("""COMPUTED_VALUE"""),0.0)</f>
        <v>0</v>
      </c>
      <c r="Y2415" s="148">
        <f>IFERROR(__xludf.DUMMYFUNCTION("""COMPUTED_VALUE"""),0.0)</f>
        <v>0</v>
      </c>
      <c r="Z2415" s="148"/>
    </row>
    <row r="2416">
      <c r="A2416" s="148">
        <f>IFERROR(__xludf.DUMMYFUNCTION("""COMPUTED_VALUE"""),1.1119328E7)</f>
        <v>11119328</v>
      </c>
      <c r="B2416" s="148" t="str">
        <f>IFERROR(__xludf.DUMMYFUNCTION("""COMPUTED_VALUE"""),"深海节自选周卡解锁schema6-1")</f>
        <v>深海节自选周卡解锁schema6-1</v>
      </c>
      <c r="C2416" s="148"/>
      <c r="D2416" s="148" t="str">
        <f>IFERROR(__xludf.DUMMYFUNCTION("""COMPUTED_VALUE"""),"item_subscription")</f>
        <v>item_subscription</v>
      </c>
      <c r="E2416" s="148">
        <f>IFERROR(__xludf.DUMMYFUNCTION("""COMPUTED_VALUE"""),0.0)</f>
        <v>0</v>
      </c>
      <c r="F2416" s="148">
        <f>IFERROR(__xludf.DUMMYFUNCTION("""COMPUTED_VALUE"""),404200.0)</f>
        <v>404200</v>
      </c>
      <c r="G2416" s="148">
        <f>IFERROR(__xludf.DUMMYFUNCTION("""COMPUTED_VALUE"""),1.51101543E8)</f>
        <v>151101543</v>
      </c>
      <c r="H2416" s="148">
        <f>IFERROR(__xludf.DUMMYFUNCTION("""COMPUTED_VALUE"""),1.5112564E7)</f>
        <v>15112564</v>
      </c>
      <c r="I2416" s="148" t="str">
        <f>IFERROR(__xludf.DUMMYFUNCTION("""COMPUTED_VALUE"""),"{}")</f>
        <v>{}</v>
      </c>
      <c r="J2416" s="148" t="str">
        <f>IFERROR(__xludf.DUMMYFUNCTION("""COMPUTED_VALUE"""),"{""typ"":""lc"",""txt"":""LC_EVENT_sci_time_card_title_2025_1""}")</f>
        <v>{"typ":"lc","txt":"LC_EVENT_sci_time_card_title_2025_1"}</v>
      </c>
      <c r="K2416" s="148" t="str">
        <f>IFERROR(__xludf.DUMMYFUNCTION("""COMPUTED_VALUE"""),"{}")</f>
        <v>{}</v>
      </c>
      <c r="L2416" s="148" t="str">
        <f>IFERROR(__xludf.DUMMYFUNCTION("""COMPUTED_VALUE"""),"{}")</f>
        <v>{}</v>
      </c>
      <c r="M2416" s="148">
        <f>IFERROR(__xludf.DUMMYFUNCTION("""COMPUTED_VALUE"""),1000.0)</f>
        <v>1000</v>
      </c>
      <c r="N2416" s="148">
        <f>IFERROR(__xludf.DUMMYFUNCTION("""COMPUTED_VALUE"""),9.99999999E8)</f>
        <v>999999999</v>
      </c>
      <c r="O2416" s="148">
        <f>IFERROR(__xludf.DUMMYFUNCTION("""COMPUTED_VALUE"""),9.99999999E8)</f>
        <v>999999999</v>
      </c>
      <c r="P2416" s="148">
        <f>IFERROR(__xludf.DUMMYFUNCTION("""COMPUTED_VALUE"""),9.99999999E8)</f>
        <v>999999999</v>
      </c>
      <c r="Q2416" s="148" t="str">
        <f>IFERROR(__xludf.DUMMYFUNCTION("""COMPUTED_VALUE"""),"[""bag_other""]")</f>
        <v>["bag_other"]</v>
      </c>
      <c r="R2416" s="148" t="str">
        <f>IFERROR(__xludf.DUMMYFUNCTION("""COMPUTED_VALUE"""),"[]")</f>
        <v>[]</v>
      </c>
      <c r="S2416" s="148" t="str">
        <f>IFERROR(__xludf.DUMMYFUNCTION("""COMPUTED_VALUE"""),"{""effect"":[{""typ"":""item_subscription"",""id"":2013400089}]}")</f>
        <v>{"effect":[{"typ":"item_subscription","id":2013400089}]}</v>
      </c>
      <c r="T2416" s="148">
        <f>IFERROR(__xludf.DUMMYFUNCTION("""COMPUTED_VALUE"""),-1.0)</f>
        <v>-1</v>
      </c>
      <c r="U2416" s="148">
        <f>IFERROR(__xludf.DUMMYFUNCTION("""COMPUTED_VALUE"""),1.0)</f>
        <v>1</v>
      </c>
      <c r="V2416" s="148" t="str">
        <f>IFERROR(__xludf.DUMMYFUNCTION("""COMPUTED_VALUE"""),"[]")</f>
        <v>[]</v>
      </c>
      <c r="W2416" s="148">
        <f>IFERROR(__xludf.DUMMYFUNCTION("""COMPUTED_VALUE"""),1.174E7)</f>
        <v>11740000</v>
      </c>
      <c r="X2416" s="148">
        <f>IFERROR(__xludf.DUMMYFUNCTION("""COMPUTED_VALUE"""),0.0)</f>
        <v>0</v>
      </c>
      <c r="Y2416" s="148">
        <f>IFERROR(__xludf.DUMMYFUNCTION("""COMPUTED_VALUE"""),0.0)</f>
        <v>0</v>
      </c>
      <c r="Z2416" s="148"/>
    </row>
    <row r="2417">
      <c r="A2417" s="148">
        <f>IFERROR(__xludf.DUMMYFUNCTION("""COMPUTED_VALUE"""),1.1119329E7)</f>
        <v>11119329</v>
      </c>
      <c r="B2417" s="148" t="str">
        <f>IFERROR(__xludf.DUMMYFUNCTION("""COMPUTED_VALUE"""),"深海节自选周卡解锁schema6-2")</f>
        <v>深海节自选周卡解锁schema6-2</v>
      </c>
      <c r="C2417" s="148"/>
      <c r="D2417" s="148" t="str">
        <f>IFERROR(__xludf.DUMMYFUNCTION("""COMPUTED_VALUE"""),"item_subscription")</f>
        <v>item_subscription</v>
      </c>
      <c r="E2417" s="148">
        <f>IFERROR(__xludf.DUMMYFUNCTION("""COMPUTED_VALUE"""),0.0)</f>
        <v>0</v>
      </c>
      <c r="F2417" s="148">
        <f>IFERROR(__xludf.DUMMYFUNCTION("""COMPUTED_VALUE"""),404200.0)</f>
        <v>404200</v>
      </c>
      <c r="G2417" s="148">
        <f>IFERROR(__xludf.DUMMYFUNCTION("""COMPUTED_VALUE"""),1.51101543E8)</f>
        <v>151101543</v>
      </c>
      <c r="H2417" s="148">
        <f>IFERROR(__xludf.DUMMYFUNCTION("""COMPUTED_VALUE"""),1.5112563E7)</f>
        <v>15112563</v>
      </c>
      <c r="I2417" s="148" t="str">
        <f>IFERROR(__xludf.DUMMYFUNCTION("""COMPUTED_VALUE"""),"{}")</f>
        <v>{}</v>
      </c>
      <c r="J2417" s="148" t="str">
        <f>IFERROR(__xludf.DUMMYFUNCTION("""COMPUTED_VALUE"""),"{""typ"":""lc"",""txt"":""LC_EVENT_sci_time_card_title_2025_2""}")</f>
        <v>{"typ":"lc","txt":"LC_EVENT_sci_time_card_title_2025_2"}</v>
      </c>
      <c r="K2417" s="148" t="str">
        <f>IFERROR(__xludf.DUMMYFUNCTION("""COMPUTED_VALUE"""),"{}")</f>
        <v>{}</v>
      </c>
      <c r="L2417" s="148" t="str">
        <f>IFERROR(__xludf.DUMMYFUNCTION("""COMPUTED_VALUE"""),"{}")</f>
        <v>{}</v>
      </c>
      <c r="M2417" s="148">
        <f>IFERROR(__xludf.DUMMYFUNCTION("""COMPUTED_VALUE"""),1000.0)</f>
        <v>1000</v>
      </c>
      <c r="N2417" s="148">
        <f>IFERROR(__xludf.DUMMYFUNCTION("""COMPUTED_VALUE"""),9.99999999E8)</f>
        <v>999999999</v>
      </c>
      <c r="O2417" s="148">
        <f>IFERROR(__xludf.DUMMYFUNCTION("""COMPUTED_VALUE"""),9.99999999E8)</f>
        <v>999999999</v>
      </c>
      <c r="P2417" s="148">
        <f>IFERROR(__xludf.DUMMYFUNCTION("""COMPUTED_VALUE"""),9.99999999E8)</f>
        <v>999999999</v>
      </c>
      <c r="Q2417" s="148" t="str">
        <f>IFERROR(__xludf.DUMMYFUNCTION("""COMPUTED_VALUE"""),"[""bag_other""]")</f>
        <v>["bag_other"]</v>
      </c>
      <c r="R2417" s="148" t="str">
        <f>IFERROR(__xludf.DUMMYFUNCTION("""COMPUTED_VALUE"""),"[]")</f>
        <v>[]</v>
      </c>
      <c r="S2417" s="148" t="str">
        <f>IFERROR(__xludf.DUMMYFUNCTION("""COMPUTED_VALUE"""),"{""effect"":[{""typ"":""item_subscription"",""id"":2013400090}]}")</f>
        <v>{"effect":[{"typ":"item_subscription","id":2013400090}]}</v>
      </c>
      <c r="T2417" s="148">
        <f>IFERROR(__xludf.DUMMYFUNCTION("""COMPUTED_VALUE"""),-1.0)</f>
        <v>-1</v>
      </c>
      <c r="U2417" s="148">
        <f>IFERROR(__xludf.DUMMYFUNCTION("""COMPUTED_VALUE"""),1.0)</f>
        <v>1</v>
      </c>
      <c r="V2417" s="148" t="str">
        <f>IFERROR(__xludf.DUMMYFUNCTION("""COMPUTED_VALUE"""),"[]")</f>
        <v>[]</v>
      </c>
      <c r="W2417" s="148">
        <f>IFERROR(__xludf.DUMMYFUNCTION("""COMPUTED_VALUE"""),1.174E7)</f>
        <v>11740000</v>
      </c>
      <c r="X2417" s="148">
        <f>IFERROR(__xludf.DUMMYFUNCTION("""COMPUTED_VALUE"""),0.0)</f>
        <v>0</v>
      </c>
      <c r="Y2417" s="148">
        <f>IFERROR(__xludf.DUMMYFUNCTION("""COMPUTED_VALUE"""),0.0)</f>
        <v>0</v>
      </c>
      <c r="Z2417" s="148"/>
    </row>
    <row r="2418">
      <c r="A2418" s="148">
        <f>IFERROR(__xludf.DUMMYFUNCTION("""COMPUTED_VALUE"""),1.111933E7)</f>
        <v>11119330</v>
      </c>
      <c r="B2418" s="148" t="str">
        <f>IFERROR(__xludf.DUMMYFUNCTION("""COMPUTED_VALUE"""),"深海节自选周卡解锁schema6-3")</f>
        <v>深海节自选周卡解锁schema6-3</v>
      </c>
      <c r="C2418" s="148"/>
      <c r="D2418" s="148" t="str">
        <f>IFERROR(__xludf.DUMMYFUNCTION("""COMPUTED_VALUE"""),"item_subscription")</f>
        <v>item_subscription</v>
      </c>
      <c r="E2418" s="148">
        <f>IFERROR(__xludf.DUMMYFUNCTION("""COMPUTED_VALUE"""),0.0)</f>
        <v>0</v>
      </c>
      <c r="F2418" s="148">
        <f>IFERROR(__xludf.DUMMYFUNCTION("""COMPUTED_VALUE"""),404200.0)</f>
        <v>404200</v>
      </c>
      <c r="G2418" s="148">
        <f>IFERROR(__xludf.DUMMYFUNCTION("""COMPUTED_VALUE"""),1.51101543E8)</f>
        <v>151101543</v>
      </c>
      <c r="H2418" s="148">
        <f>IFERROR(__xludf.DUMMYFUNCTION("""COMPUTED_VALUE"""),1.5112562E7)</f>
        <v>15112562</v>
      </c>
      <c r="I2418" s="148" t="str">
        <f>IFERROR(__xludf.DUMMYFUNCTION("""COMPUTED_VALUE"""),"{}")</f>
        <v>{}</v>
      </c>
      <c r="J2418" s="148" t="str">
        <f>IFERROR(__xludf.DUMMYFUNCTION("""COMPUTED_VALUE"""),"{""typ"":""lc"",""txt"":""LC_EVENT_sci_time_card_title_2025_3""}")</f>
        <v>{"typ":"lc","txt":"LC_EVENT_sci_time_card_title_2025_3"}</v>
      </c>
      <c r="K2418" s="148" t="str">
        <f>IFERROR(__xludf.DUMMYFUNCTION("""COMPUTED_VALUE"""),"{}")</f>
        <v>{}</v>
      </c>
      <c r="L2418" s="148" t="str">
        <f>IFERROR(__xludf.DUMMYFUNCTION("""COMPUTED_VALUE"""),"{}")</f>
        <v>{}</v>
      </c>
      <c r="M2418" s="148">
        <f>IFERROR(__xludf.DUMMYFUNCTION("""COMPUTED_VALUE"""),1000.0)</f>
        <v>1000</v>
      </c>
      <c r="N2418" s="148">
        <f>IFERROR(__xludf.DUMMYFUNCTION("""COMPUTED_VALUE"""),9.99999999E8)</f>
        <v>999999999</v>
      </c>
      <c r="O2418" s="148">
        <f>IFERROR(__xludf.DUMMYFUNCTION("""COMPUTED_VALUE"""),9.99999999E8)</f>
        <v>999999999</v>
      </c>
      <c r="P2418" s="148">
        <f>IFERROR(__xludf.DUMMYFUNCTION("""COMPUTED_VALUE"""),9.99999999E8)</f>
        <v>999999999</v>
      </c>
      <c r="Q2418" s="148" t="str">
        <f>IFERROR(__xludf.DUMMYFUNCTION("""COMPUTED_VALUE"""),"[""bag_other""]")</f>
        <v>["bag_other"]</v>
      </c>
      <c r="R2418" s="148" t="str">
        <f>IFERROR(__xludf.DUMMYFUNCTION("""COMPUTED_VALUE"""),"[]")</f>
        <v>[]</v>
      </c>
      <c r="S2418" s="148" t="str">
        <f>IFERROR(__xludf.DUMMYFUNCTION("""COMPUTED_VALUE"""),"{""effect"":[{""typ"":""item_subscription"",""id"":2013400091}]}")</f>
        <v>{"effect":[{"typ":"item_subscription","id":2013400091}]}</v>
      </c>
      <c r="T2418" s="148">
        <f>IFERROR(__xludf.DUMMYFUNCTION("""COMPUTED_VALUE"""),-1.0)</f>
        <v>-1</v>
      </c>
      <c r="U2418" s="148">
        <f>IFERROR(__xludf.DUMMYFUNCTION("""COMPUTED_VALUE"""),1.0)</f>
        <v>1</v>
      </c>
      <c r="V2418" s="148" t="str">
        <f>IFERROR(__xludf.DUMMYFUNCTION("""COMPUTED_VALUE"""),"[]")</f>
        <v>[]</v>
      </c>
      <c r="W2418" s="148">
        <f>IFERROR(__xludf.DUMMYFUNCTION("""COMPUTED_VALUE"""),1.174E7)</f>
        <v>11740000</v>
      </c>
      <c r="X2418" s="148">
        <f>IFERROR(__xludf.DUMMYFUNCTION("""COMPUTED_VALUE"""),0.0)</f>
        <v>0</v>
      </c>
      <c r="Y2418" s="148">
        <f>IFERROR(__xludf.DUMMYFUNCTION("""COMPUTED_VALUE"""),0.0)</f>
        <v>0</v>
      </c>
      <c r="Z2418" s="148"/>
    </row>
    <row r="2419">
      <c r="A2419" s="148">
        <f>IFERROR(__xludf.DUMMYFUNCTION("""COMPUTED_VALUE"""),1.1119331E7)</f>
        <v>11119331</v>
      </c>
      <c r="B2419" s="148" t="str">
        <f>IFERROR(__xludf.DUMMYFUNCTION("""COMPUTED_VALUE"""),"节日通用2025活动专用-增加次数道具")</f>
        <v>节日通用2025活动专用-增加次数道具</v>
      </c>
      <c r="C2419" s="148"/>
      <c r="D2419" s="148" t="str">
        <f>IFERROR(__xludf.DUMMYFUNCTION("""COMPUTED_VALUE"""),"event_progress")</f>
        <v>event_progress</v>
      </c>
      <c r="E2419" s="148">
        <f>IFERROR(__xludf.DUMMYFUNCTION("""COMPUTED_VALUE"""),0.0)</f>
        <v>0</v>
      </c>
      <c r="F2419" s="148">
        <f>IFERROR(__xludf.DUMMYFUNCTION("""COMPUTED_VALUE"""),0.0)</f>
        <v>0</v>
      </c>
      <c r="G2419" s="148">
        <f>IFERROR(__xludf.DUMMYFUNCTION("""COMPUTED_VALUE"""),1.5112493E7)</f>
        <v>15112493</v>
      </c>
      <c r="H2419" s="148">
        <f>IFERROR(__xludf.DUMMYFUNCTION("""COMPUTED_VALUE"""),1.5112563E7)</f>
        <v>15112563</v>
      </c>
      <c r="I2419" s="148" t="str">
        <f>IFERROR(__xludf.DUMMYFUNCTION("""COMPUTED_VALUE"""),"{}")</f>
        <v>{}</v>
      </c>
      <c r="J2419" s="148" t="str">
        <f>IFERROR(__xludf.DUMMYFUNCTION("""COMPUTED_VALUE"""),"{""typ"":""lc"",""txt"":""LC_ITEM_starrelics_name""}")</f>
        <v>{"typ":"lc","txt":"LC_ITEM_starrelics_name"}</v>
      </c>
      <c r="K2419" s="148" t="str">
        <f>IFERROR(__xludf.DUMMYFUNCTION("""COMPUTED_VALUE"""),"{""typ"":""lc"",""txt"":""LC_ITEM_starrelics_desc""}")</f>
        <v>{"typ":"lc","txt":"LC_ITEM_starrelics_desc"}</v>
      </c>
      <c r="L2419" s="148" t="str">
        <f>IFERROR(__xludf.DUMMYFUNCTION("""COMPUTED_VALUE"""),"{}")</f>
        <v>{}</v>
      </c>
      <c r="M2419" s="148">
        <f>IFERROR(__xludf.DUMMYFUNCTION("""COMPUTED_VALUE"""),1.0)</f>
        <v>1</v>
      </c>
      <c r="N2419" s="148">
        <f>IFERROR(__xludf.DUMMYFUNCTION("""COMPUTED_VALUE"""),999999.0)</f>
        <v>999999</v>
      </c>
      <c r="O2419" s="148">
        <f>IFERROR(__xludf.DUMMYFUNCTION("""COMPUTED_VALUE"""),99999.0)</f>
        <v>99999</v>
      </c>
      <c r="P2419" s="148">
        <f>IFERROR(__xludf.DUMMYFUNCTION("""COMPUTED_VALUE"""),9999.0)</f>
        <v>9999</v>
      </c>
      <c r="Q2419" s="148" t="str">
        <f>IFERROR(__xludf.DUMMYFUNCTION("""COMPUTED_VALUE"""),"[]")</f>
        <v>[]</v>
      </c>
      <c r="R2419" s="148" t="str">
        <f>IFERROR(__xludf.DUMMYFUNCTION("""COMPUTED_VALUE"""),"[]")</f>
        <v>[]</v>
      </c>
      <c r="S2419" s="148" t="str">
        <f>IFERROR(__xludf.DUMMYFUNCTION("""COMPUTED_VALUE"""),"{""effect"":[{""typ"":""event"",""id"":21127376},{""typ"":""miss_lost_reward""}]}")</f>
        <v>{"effect":[{"typ":"event","id":21127376},{"typ":"miss_lost_reward"}]}</v>
      </c>
      <c r="T2419" s="148">
        <f>IFERROR(__xludf.DUMMYFUNCTION("""COMPUTED_VALUE"""),-1.0)</f>
        <v>-1</v>
      </c>
      <c r="U2419" s="148">
        <f>IFERROR(__xludf.DUMMYFUNCTION("""COMPUTED_VALUE"""),1.0)</f>
        <v>1</v>
      </c>
      <c r="V2419" s="148" t="str">
        <f>IFERROR(__xludf.DUMMYFUNCTION("""COMPUTED_VALUE"""),"[]")</f>
        <v>[]</v>
      </c>
      <c r="W2419" s="148">
        <f>IFERROR(__xludf.DUMMYFUNCTION("""COMPUTED_VALUE"""),1.174E7)</f>
        <v>11740000</v>
      </c>
      <c r="X2419" s="148">
        <f>IFERROR(__xludf.DUMMYFUNCTION("""COMPUTED_VALUE"""),0.0)</f>
        <v>0</v>
      </c>
      <c r="Y2419" s="148">
        <f>IFERROR(__xludf.DUMMYFUNCTION("""COMPUTED_VALUE"""),0.0)</f>
        <v>0</v>
      </c>
      <c r="Z2419" s="148"/>
    </row>
    <row r="2420">
      <c r="A2420" s="148">
        <f>IFERROR(__xludf.DUMMYFUNCTION("""COMPUTED_VALUE"""),1.1119332E7)</f>
        <v>11119332</v>
      </c>
      <c r="B2420" s="148" t="str">
        <f>IFERROR(__xludf.DUMMYFUNCTION("""COMPUTED_VALUE"""),"复活节2025行军特效贬值钥匙")</f>
        <v>复活节2025行军特效贬值钥匙</v>
      </c>
      <c r="C2420" s="148"/>
      <c r="D2420" s="148" t="str">
        <f>IFERROR(__xludf.DUMMYFUNCTION("""COMPUTED_VALUE"""),"item_asset")</f>
        <v>item_asset</v>
      </c>
      <c r="E2420" s="148">
        <f>IFERROR(__xludf.DUMMYFUNCTION("""COMPUTED_VALUE"""),0.0)</f>
        <v>0</v>
      </c>
      <c r="F2420" s="148">
        <f>IFERROR(__xludf.DUMMYFUNCTION("""COMPUTED_VALUE"""),404200.0)</f>
        <v>404200</v>
      </c>
      <c r="G2420" s="148">
        <f>IFERROR(__xludf.DUMMYFUNCTION("""COMPUTED_VALUE"""),1.5117142E7)</f>
        <v>15117142</v>
      </c>
      <c r="H2420" s="148">
        <f>IFERROR(__xludf.DUMMYFUNCTION("""COMPUTED_VALUE"""),1.5112564E7)</f>
        <v>15112564</v>
      </c>
      <c r="I2420" s="148" t="str">
        <f>IFERROR(__xludf.DUMMYFUNCTION("""COMPUTED_VALUE"""),"{}")</f>
        <v>{}</v>
      </c>
      <c r="J2420" s="148" t="str">
        <f>IFERROR(__xludf.DUMMYFUNCTION("""COMPUTED_VALUE"""),"{""typ"":""lc"",""txt"":""LC_ITEM_easter_march_effect_item_name""}")</f>
        <v>{"typ":"lc","txt":"LC_ITEM_easter_march_effect_item_name"}</v>
      </c>
      <c r="K2420" s="148" t="str">
        <f>IFERROR(__xludf.DUMMYFUNCTION("""COMPUTED_VALUE"""),"{""typ"":""lc"",""txt"":""LC_ITEM_easter_march_effect_item_desc""}")</f>
        <v>{"typ":"lc","txt":"LC_ITEM_easter_march_effect_item_desc"}</v>
      </c>
      <c r="L2420" s="148" t="str">
        <f>IFERROR(__xludf.DUMMYFUNCTION("""COMPUTED_VALUE"""),"{}")</f>
        <v>{}</v>
      </c>
      <c r="M2420" s="148">
        <f>IFERROR(__xludf.DUMMYFUNCTION("""COMPUTED_VALUE"""),1.0)</f>
        <v>1</v>
      </c>
      <c r="N2420" s="148">
        <f>IFERROR(__xludf.DUMMYFUNCTION("""COMPUTED_VALUE"""),999999.0)</f>
        <v>999999</v>
      </c>
      <c r="O2420" s="148">
        <f>IFERROR(__xludf.DUMMYFUNCTION("""COMPUTED_VALUE"""),99999.0)</f>
        <v>99999</v>
      </c>
      <c r="P2420" s="148">
        <f>IFERROR(__xludf.DUMMYFUNCTION("""COMPUTED_VALUE"""),9999.0)</f>
        <v>9999</v>
      </c>
      <c r="Q2420" s="148" t="str">
        <f>IFERROR(__xludf.DUMMYFUNCTION("""COMPUTED_VALUE"""),"[""bag_other""]")</f>
        <v>["bag_other"]</v>
      </c>
      <c r="R2420" s="148" t="str">
        <f>IFERROR(__xludf.DUMMYFUNCTION("""COMPUTED_VALUE"""),"[""bag""]")</f>
        <v>["bag"]</v>
      </c>
      <c r="S2420" s="148" t="str">
        <f>IFERROR(__xludf.DUMMYFUNCTION("""COMPUTED_VALUE"""),"{""drop"":{""typ"":""single_random"",""num"":1,""drop_rule"":{""typ"":""noget"",""id"":11117396,""num"":99,""args"":[{""typ"":""item"",""id"":11117396,""num"":1,""wgt"":1}]},""args"":[{""typ"":""item"",""id"":11117396,""num"":1,""wgt"":1},{""typ"":""item"&amp;""",""id"":11117393,""num"":1,""wgt"":20},{""typ"":""item"",""id"":11112030,""num"":50,""wgt"":20},{""typ"":""item"",""id"":11112091,""num"":20,""wgt"":50},{""typ"":""item"",""id"":11111106,""num"":2,""wgt"":50},{""typ"":""item"",""id"":11111157,""num"":2,"&amp;"""wgt"":100},{""typ"":""item"",""id"":11111006,""num"":40,""wgt"":100},{""typ"":""item"",""id"":11111002,""num"":40,""wgt"":100}]}}")</f>
        <v>{"drop":{"typ":"single_random","num":1,"drop_rule":{"typ":"noget","id":11117396,"num":99,"args":[{"typ":"item","id":11117396,"num":1,"wgt":1}]},"args":[{"typ":"item","id":11117396,"num":1,"wgt":1},{"typ":"item","id":11117393,"num":1,"wgt":20},{"typ":"item","id":11112030,"num":50,"wgt":20},{"typ":"item","id":11112091,"num":20,"wgt":50},{"typ":"item","id":11111106,"num":2,"wgt":50},{"typ":"item","id":11111157,"num":2,"wgt":100},{"typ":"item","id":11111006,"num":40,"wgt":100},{"typ":"item","id":11111002,"num":40,"wgt":100}]}}</v>
      </c>
      <c r="T2420" s="148">
        <f>IFERROR(__xludf.DUMMYFUNCTION("""COMPUTED_VALUE"""),-1.0)</f>
        <v>-1</v>
      </c>
      <c r="U2420" s="148">
        <f>IFERROR(__xludf.DUMMYFUNCTION("""COMPUTED_VALUE"""),0.0)</f>
        <v>0</v>
      </c>
      <c r="V2420" s="148" t="str">
        <f>IFERROR(__xludf.DUMMYFUNCTION("""COMPUTED_VALUE"""),"[]")</f>
        <v>[]</v>
      </c>
      <c r="W2420" s="148">
        <f>IFERROR(__xludf.DUMMYFUNCTION("""COMPUTED_VALUE"""),1.174E7)</f>
        <v>11740000</v>
      </c>
      <c r="X2420" s="148">
        <f>IFERROR(__xludf.DUMMYFUNCTION("""COMPUTED_VALUE"""),0.0)</f>
        <v>0</v>
      </c>
      <c r="Y2420" s="148">
        <f>IFERROR(__xludf.DUMMYFUNCTION("""COMPUTED_VALUE"""),0.0)</f>
        <v>0</v>
      </c>
      <c r="Z2420" s="148"/>
    </row>
    <row r="2421">
      <c r="A2421" s="148">
        <f>IFERROR(__xludf.DUMMYFUNCTION("""COMPUTED_VALUE"""),1.1119333E7)</f>
        <v>11119333</v>
      </c>
      <c r="B2421" s="148" t="str">
        <f>IFERROR(__xludf.DUMMYFUNCTION("""COMPUTED_VALUE"""),"掉落转付费-积分假道具")</f>
        <v>掉落转付费-积分假道具</v>
      </c>
      <c r="C2421" s="148"/>
      <c r="D2421" s="148" t="str">
        <f>IFERROR(__xludf.DUMMYFUNCTION("""COMPUTED_VALUE"""),"event_progress")</f>
        <v>event_progress</v>
      </c>
      <c r="E2421" s="148">
        <f>IFERROR(__xludf.DUMMYFUNCTION("""COMPUTED_VALUE"""),0.0)</f>
        <v>0</v>
      </c>
      <c r="F2421" s="148">
        <f>IFERROR(__xludf.DUMMYFUNCTION("""COMPUTED_VALUE"""),0.0)</f>
        <v>0</v>
      </c>
      <c r="G2421" s="148">
        <f>IFERROR(__xludf.DUMMYFUNCTION("""COMPUTED_VALUE"""),1.5112493E7)</f>
        <v>15112493</v>
      </c>
      <c r="H2421" s="148">
        <f>IFERROR(__xludf.DUMMYFUNCTION("""COMPUTED_VALUE"""),1.5112563E7)</f>
        <v>15112563</v>
      </c>
      <c r="I2421" s="148" t="str">
        <f>IFERROR(__xludf.DUMMYFUNCTION("""COMPUTED_VALUE"""),"{}")</f>
        <v>{}</v>
      </c>
      <c r="J2421" s="148" t="str">
        <f>IFERROR(__xludf.DUMMYFUNCTION("""COMPUTED_VALUE"""),"{}")</f>
        <v>{}</v>
      </c>
      <c r="K2421" s="148" t="str">
        <f>IFERROR(__xludf.DUMMYFUNCTION("""COMPUTED_VALUE"""),"{}")</f>
        <v>{}</v>
      </c>
      <c r="L2421" s="148" t="str">
        <f>IFERROR(__xludf.DUMMYFUNCTION("""COMPUTED_VALUE"""),"{}")</f>
        <v>{}</v>
      </c>
      <c r="M2421" s="148">
        <f>IFERROR(__xludf.DUMMYFUNCTION("""COMPUTED_VALUE"""),1.0)</f>
        <v>1</v>
      </c>
      <c r="N2421" s="148">
        <f>IFERROR(__xludf.DUMMYFUNCTION("""COMPUTED_VALUE"""),999999.0)</f>
        <v>999999</v>
      </c>
      <c r="O2421" s="148">
        <f>IFERROR(__xludf.DUMMYFUNCTION("""COMPUTED_VALUE"""),99999.0)</f>
        <v>99999</v>
      </c>
      <c r="P2421" s="148">
        <f>IFERROR(__xludf.DUMMYFUNCTION("""COMPUTED_VALUE"""),9999.0)</f>
        <v>9999</v>
      </c>
      <c r="Q2421" s="148" t="str">
        <f>IFERROR(__xludf.DUMMYFUNCTION("""COMPUTED_VALUE"""),"[]")</f>
        <v>[]</v>
      </c>
      <c r="R2421" s="148" t="str">
        <f>IFERROR(__xludf.DUMMYFUNCTION("""COMPUTED_VALUE"""),"[]")</f>
        <v>[]</v>
      </c>
      <c r="S2421" s="148" t="str">
        <f>IFERROR(__xludf.DUMMYFUNCTION("""COMPUTED_VALUE"""),"{""effect"":[{""typ"":""event"",""id"":21127382},{""typ"":""event"",""id"":21127422},{""typ"":""miss_lost_reward""}]}")</f>
        <v>{"effect":[{"typ":"event","id":21127382},{"typ":"event","id":21127422},{"typ":"miss_lost_reward"}]}</v>
      </c>
      <c r="T2421" s="148">
        <f>IFERROR(__xludf.DUMMYFUNCTION("""COMPUTED_VALUE"""),-1.0)</f>
        <v>-1</v>
      </c>
      <c r="U2421" s="148">
        <f>IFERROR(__xludf.DUMMYFUNCTION("""COMPUTED_VALUE"""),1.0)</f>
        <v>1</v>
      </c>
      <c r="V2421" s="148" t="str">
        <f>IFERROR(__xludf.DUMMYFUNCTION("""COMPUTED_VALUE"""),"[]")</f>
        <v>[]</v>
      </c>
      <c r="W2421" s="148">
        <f>IFERROR(__xludf.DUMMYFUNCTION("""COMPUTED_VALUE"""),1.174E7)</f>
        <v>11740000</v>
      </c>
      <c r="X2421" s="148">
        <f>IFERROR(__xludf.DUMMYFUNCTION("""COMPUTED_VALUE"""),0.0)</f>
        <v>0</v>
      </c>
      <c r="Y2421" s="148">
        <f>IFERROR(__xludf.DUMMYFUNCTION("""COMPUTED_VALUE"""),0.0)</f>
        <v>0</v>
      </c>
      <c r="Z2421" s="148"/>
    </row>
    <row r="2422">
      <c r="A2422" s="148">
        <f>IFERROR(__xludf.DUMMYFUNCTION("""COMPUTED_VALUE"""),1.1119334E7)</f>
        <v>11119334</v>
      </c>
      <c r="B2422" s="148" t="str">
        <f>IFERROR(__xludf.DUMMYFUNCTION("""COMPUTED_VALUE"""),"掉落转付费-铁镐")</f>
        <v>掉落转付费-铁镐</v>
      </c>
      <c r="C2422" s="148"/>
      <c r="D2422" s="148" t="str">
        <f>IFERROR(__xludf.DUMMYFUNCTION("""COMPUTED_VALUE"""),"event")</f>
        <v>event</v>
      </c>
      <c r="E2422" s="148">
        <f>IFERROR(__xludf.DUMMYFUNCTION("""COMPUTED_VALUE"""),0.0)</f>
        <v>0</v>
      </c>
      <c r="F2422" s="148">
        <f>IFERROR(__xludf.DUMMYFUNCTION("""COMPUTED_VALUE"""),0.0)</f>
        <v>0</v>
      </c>
      <c r="G2422" s="148">
        <f>IFERROR(__xludf.DUMMYFUNCTION("""COMPUTED_VALUE"""),1.5110176E8)</f>
        <v>151101760</v>
      </c>
      <c r="H2422" s="148">
        <f>IFERROR(__xludf.DUMMYFUNCTION("""COMPUTED_VALUE"""),1.5112563E7)</f>
        <v>15112563</v>
      </c>
      <c r="I2422" s="148" t="str">
        <f>IFERROR(__xludf.DUMMYFUNCTION("""COMPUTED_VALUE"""),"{}")</f>
        <v>{}</v>
      </c>
      <c r="J2422" s="148" t="str">
        <f>IFERROR(__xludf.DUMMYFUNCTION("""COMPUTED_VALUE"""),"{""typ"":""lc"",""txt"":""LC_EVENT_droptopay_tuohuang_item1""}")</f>
        <v>{"typ":"lc","txt":"LC_EVENT_droptopay_tuohuang_item1"}</v>
      </c>
      <c r="K2422" s="148" t="str">
        <f>IFERROR(__xludf.DUMMYFUNCTION("""COMPUTED_VALUE"""),"{""typ"":""lc"",""txt"":""LC_EVENT_droptopay_tuohuang_item1_desc""}")</f>
        <v>{"typ":"lc","txt":"LC_EVENT_droptopay_tuohuang_item1_desc"}</v>
      </c>
      <c r="L2422" s="148" t="str">
        <f>IFERROR(__xludf.DUMMYFUNCTION("""COMPUTED_VALUE"""),"{}")</f>
        <v>{}</v>
      </c>
      <c r="M2422" s="148">
        <f>IFERROR(__xludf.DUMMYFUNCTION("""COMPUTED_VALUE"""),25.0)</f>
        <v>25</v>
      </c>
      <c r="N2422" s="148">
        <f>IFERROR(__xludf.DUMMYFUNCTION("""COMPUTED_VALUE"""),999999.0)</f>
        <v>999999</v>
      </c>
      <c r="O2422" s="148">
        <f>IFERROR(__xludf.DUMMYFUNCTION("""COMPUTED_VALUE"""),99999.0)</f>
        <v>99999</v>
      </c>
      <c r="P2422" s="148">
        <f>IFERROR(__xludf.DUMMYFUNCTION("""COMPUTED_VALUE"""),9999.0)</f>
        <v>9999</v>
      </c>
      <c r="Q2422" s="148" t="str">
        <f>IFERROR(__xludf.DUMMYFUNCTION("""COMPUTED_VALUE"""),"[""bag_other""]")</f>
        <v>["bag_other"]</v>
      </c>
      <c r="R2422" s="148" t="str">
        <f>IFERROR(__xludf.DUMMYFUNCTION("""COMPUTED_VALUE"""),"[]")</f>
        <v>[]</v>
      </c>
      <c r="S2422" s="148" t="str">
        <f>IFERROR(__xludf.DUMMYFUNCTION("""COMPUTED_VALUE"""),"{}")</f>
        <v>{}</v>
      </c>
      <c r="T2422" s="148">
        <f>IFERROR(__xludf.DUMMYFUNCTION("""COMPUTED_VALUE"""),-1.0)</f>
        <v>-1</v>
      </c>
      <c r="U2422" s="148">
        <f>IFERROR(__xludf.DUMMYFUNCTION("""COMPUTED_VALUE"""),0.0)</f>
        <v>0</v>
      </c>
      <c r="V2422" s="148" t="str">
        <f>IFERROR(__xludf.DUMMYFUNCTION("""COMPUTED_VALUE"""),"[]")</f>
        <v>[]</v>
      </c>
      <c r="W2422" s="148">
        <f>IFERROR(__xludf.DUMMYFUNCTION("""COMPUTED_VALUE"""),1.174E7)</f>
        <v>11740000</v>
      </c>
      <c r="X2422" s="148">
        <f>IFERROR(__xludf.DUMMYFUNCTION("""COMPUTED_VALUE"""),0.0)</f>
        <v>0</v>
      </c>
      <c r="Y2422" s="148">
        <f>IFERROR(__xludf.DUMMYFUNCTION("""COMPUTED_VALUE"""),0.0)</f>
        <v>0</v>
      </c>
      <c r="Z2422" s="148"/>
    </row>
    <row r="2423">
      <c r="A2423" s="148">
        <f>IFERROR(__xludf.DUMMYFUNCTION("""COMPUTED_VALUE"""),1.1119335E7)</f>
        <v>11119335</v>
      </c>
      <c r="B2423" s="148" t="str">
        <f>IFERROR(__xludf.DUMMYFUNCTION("""COMPUTED_VALUE"""),"掉落转付费-粗糙晶岩")</f>
        <v>掉落转付费-粗糙晶岩</v>
      </c>
      <c r="C2423" s="148"/>
      <c r="D2423" s="148" t="str">
        <f>IFERROR(__xludf.DUMMYFUNCTION("""COMPUTED_VALUE"""),"event")</f>
        <v>event</v>
      </c>
      <c r="E2423" s="148">
        <f>IFERROR(__xludf.DUMMYFUNCTION("""COMPUTED_VALUE"""),0.0)</f>
        <v>0</v>
      </c>
      <c r="F2423" s="148">
        <f>IFERROR(__xludf.DUMMYFUNCTION("""COMPUTED_VALUE"""),0.0)</f>
        <v>0</v>
      </c>
      <c r="G2423" s="148">
        <f>IFERROR(__xludf.DUMMYFUNCTION("""COMPUTED_VALUE"""),1.51101753E8)</f>
        <v>151101753</v>
      </c>
      <c r="H2423" s="148">
        <f>IFERROR(__xludf.DUMMYFUNCTION("""COMPUTED_VALUE"""),1.5112564E7)</f>
        <v>15112564</v>
      </c>
      <c r="I2423" s="148" t="str">
        <f>IFERROR(__xludf.DUMMYFUNCTION("""COMPUTED_VALUE"""),"{}")</f>
        <v>{}</v>
      </c>
      <c r="J2423" s="148" t="str">
        <f>IFERROR(__xludf.DUMMYFUNCTION("""COMPUTED_VALUE"""),"{""typ"":""lc"",""txt"":""LC_EVENT_droptopay_tuohuang_item3""}")</f>
        <v>{"typ":"lc","txt":"LC_EVENT_droptopay_tuohuang_item3"}</v>
      </c>
      <c r="K2423" s="148" t="str">
        <f>IFERROR(__xludf.DUMMYFUNCTION("""COMPUTED_VALUE"""),"{""typ"":""lc"",""txt"":""LC_EVENT_droptopay_tuohuang_item3_desc""}")</f>
        <v>{"typ":"lc","txt":"LC_EVENT_droptopay_tuohuang_item3_desc"}</v>
      </c>
      <c r="L2423" s="148" t="str">
        <f>IFERROR(__xludf.DUMMYFUNCTION("""COMPUTED_VALUE"""),"{}")</f>
        <v>{}</v>
      </c>
      <c r="M2423" s="148">
        <f>IFERROR(__xludf.DUMMYFUNCTION("""COMPUTED_VALUE"""),25.0)</f>
        <v>25</v>
      </c>
      <c r="N2423" s="148">
        <f>IFERROR(__xludf.DUMMYFUNCTION("""COMPUTED_VALUE"""),999999.0)</f>
        <v>999999</v>
      </c>
      <c r="O2423" s="148">
        <f>IFERROR(__xludf.DUMMYFUNCTION("""COMPUTED_VALUE"""),99999.0)</f>
        <v>99999</v>
      </c>
      <c r="P2423" s="148">
        <f>IFERROR(__xludf.DUMMYFUNCTION("""COMPUTED_VALUE"""),9999.0)</f>
        <v>9999</v>
      </c>
      <c r="Q2423" s="148" t="str">
        <f>IFERROR(__xludf.DUMMYFUNCTION("""COMPUTED_VALUE"""),"[""bag_other""]")</f>
        <v>["bag_other"]</v>
      </c>
      <c r="R2423" s="148" t="str">
        <f>IFERROR(__xludf.DUMMYFUNCTION("""COMPUTED_VALUE"""),"[]")</f>
        <v>[]</v>
      </c>
      <c r="S2423" s="148" t="str">
        <f>IFERROR(__xludf.DUMMYFUNCTION("""COMPUTED_VALUE"""),"{}")</f>
        <v>{}</v>
      </c>
      <c r="T2423" s="148">
        <f>IFERROR(__xludf.DUMMYFUNCTION("""COMPUTED_VALUE"""),-1.0)</f>
        <v>-1</v>
      </c>
      <c r="U2423" s="148">
        <f>IFERROR(__xludf.DUMMYFUNCTION("""COMPUTED_VALUE"""),0.0)</f>
        <v>0</v>
      </c>
      <c r="V2423" s="148" t="str">
        <f>IFERROR(__xludf.DUMMYFUNCTION("""COMPUTED_VALUE"""),"[]")</f>
        <v>[]</v>
      </c>
      <c r="W2423" s="148">
        <f>IFERROR(__xludf.DUMMYFUNCTION("""COMPUTED_VALUE"""),1.174E7)</f>
        <v>11740000</v>
      </c>
      <c r="X2423" s="148">
        <f>IFERROR(__xludf.DUMMYFUNCTION("""COMPUTED_VALUE"""),0.0)</f>
        <v>0</v>
      </c>
      <c r="Y2423" s="148">
        <f>IFERROR(__xludf.DUMMYFUNCTION("""COMPUTED_VALUE"""),0.0)</f>
        <v>0</v>
      </c>
      <c r="Z2423" s="148"/>
    </row>
    <row r="2424">
      <c r="A2424" s="148">
        <f>IFERROR(__xludf.DUMMYFUNCTION("""COMPUTED_VALUE"""),1.1119336E7)</f>
        <v>11119336</v>
      </c>
      <c r="B2424" s="148" t="str">
        <f>IFERROR(__xludf.DUMMYFUNCTION("""COMPUTED_VALUE"""),"掉落转付费-纯净水晶")</f>
        <v>掉落转付费-纯净水晶</v>
      </c>
      <c r="C2424" s="148"/>
      <c r="D2424" s="148" t="str">
        <f>IFERROR(__xludf.DUMMYFUNCTION("""COMPUTED_VALUE"""),"event")</f>
        <v>event</v>
      </c>
      <c r="E2424" s="148">
        <f>IFERROR(__xludf.DUMMYFUNCTION("""COMPUTED_VALUE"""),0.0)</f>
        <v>0</v>
      </c>
      <c r="F2424" s="148">
        <f>IFERROR(__xludf.DUMMYFUNCTION("""COMPUTED_VALUE"""),0.0)</f>
        <v>0</v>
      </c>
      <c r="G2424" s="148">
        <f>IFERROR(__xludf.DUMMYFUNCTION("""COMPUTED_VALUE"""),1.51101752E8)</f>
        <v>151101752</v>
      </c>
      <c r="H2424" s="148">
        <f>IFERROR(__xludf.DUMMYFUNCTION("""COMPUTED_VALUE"""),1.5112564E7)</f>
        <v>15112564</v>
      </c>
      <c r="I2424" s="148" t="str">
        <f>IFERROR(__xludf.DUMMYFUNCTION("""COMPUTED_VALUE"""),"{}")</f>
        <v>{}</v>
      </c>
      <c r="J2424" s="148" t="str">
        <f>IFERROR(__xludf.DUMMYFUNCTION("""COMPUTED_VALUE"""),"{""typ"":""lc"",""txt"":""LC_EVENT_droptopay_tuohuang_item2""}")</f>
        <v>{"typ":"lc","txt":"LC_EVENT_droptopay_tuohuang_item2"}</v>
      </c>
      <c r="K2424" s="148" t="str">
        <f>IFERROR(__xludf.DUMMYFUNCTION("""COMPUTED_VALUE"""),"{""typ"":""lc"",""txt"":""LC_EVENT_droptopay_tuohuang_item2_desc""}")</f>
        <v>{"typ":"lc","txt":"LC_EVENT_droptopay_tuohuang_item2_desc"}</v>
      </c>
      <c r="L2424" s="148" t="str">
        <f>IFERROR(__xludf.DUMMYFUNCTION("""COMPUTED_VALUE"""),"{}")</f>
        <v>{}</v>
      </c>
      <c r="M2424" s="148">
        <f>IFERROR(__xludf.DUMMYFUNCTION("""COMPUTED_VALUE"""),50.0)</f>
        <v>50</v>
      </c>
      <c r="N2424" s="148">
        <f>IFERROR(__xludf.DUMMYFUNCTION("""COMPUTED_VALUE"""),999999.0)</f>
        <v>999999</v>
      </c>
      <c r="O2424" s="148">
        <f>IFERROR(__xludf.DUMMYFUNCTION("""COMPUTED_VALUE"""),99999.0)</f>
        <v>99999</v>
      </c>
      <c r="P2424" s="148">
        <f>IFERROR(__xludf.DUMMYFUNCTION("""COMPUTED_VALUE"""),9999.0)</f>
        <v>9999</v>
      </c>
      <c r="Q2424" s="148" t="str">
        <f>IFERROR(__xludf.DUMMYFUNCTION("""COMPUTED_VALUE"""),"[""bag_other""]")</f>
        <v>["bag_other"]</v>
      </c>
      <c r="R2424" s="148" t="str">
        <f>IFERROR(__xludf.DUMMYFUNCTION("""COMPUTED_VALUE"""),"[]")</f>
        <v>[]</v>
      </c>
      <c r="S2424" s="148" t="str">
        <f>IFERROR(__xludf.DUMMYFUNCTION("""COMPUTED_VALUE"""),"{}")</f>
        <v>{}</v>
      </c>
      <c r="T2424" s="148">
        <f>IFERROR(__xludf.DUMMYFUNCTION("""COMPUTED_VALUE"""),-1.0)</f>
        <v>-1</v>
      </c>
      <c r="U2424" s="148">
        <f>IFERROR(__xludf.DUMMYFUNCTION("""COMPUTED_VALUE"""),0.0)</f>
        <v>0</v>
      </c>
      <c r="V2424" s="148" t="str">
        <f>IFERROR(__xludf.DUMMYFUNCTION("""COMPUTED_VALUE"""),"[]")</f>
        <v>[]</v>
      </c>
      <c r="W2424" s="148">
        <f>IFERROR(__xludf.DUMMYFUNCTION("""COMPUTED_VALUE"""),1.174E7)</f>
        <v>11740000</v>
      </c>
      <c r="X2424" s="148">
        <f>IFERROR(__xludf.DUMMYFUNCTION("""COMPUTED_VALUE"""),0.0)</f>
        <v>0</v>
      </c>
      <c r="Y2424" s="148">
        <f>IFERROR(__xludf.DUMMYFUNCTION("""COMPUTED_VALUE"""),0.0)</f>
        <v>0</v>
      </c>
      <c r="Z2424" s="148"/>
    </row>
    <row r="2425">
      <c r="A2425" s="148">
        <f>IFERROR(__xludf.DUMMYFUNCTION("""COMPUTED_VALUE"""),1.1119337E7)</f>
        <v>11119337</v>
      </c>
      <c r="B2425" s="148" t="str">
        <f>IFERROR(__xludf.DUMMYFUNCTION("""COMPUTED_VALUE"""),"拓荒节2025活动专用-增加次数道具")</f>
        <v>拓荒节2025活动专用-增加次数道具</v>
      </c>
      <c r="C2425" s="148"/>
      <c r="D2425" s="148" t="str">
        <f>IFERROR(__xludf.DUMMYFUNCTION("""COMPUTED_VALUE"""),"event_progress")</f>
        <v>event_progress</v>
      </c>
      <c r="E2425" s="148">
        <f>IFERROR(__xludf.DUMMYFUNCTION("""COMPUTED_VALUE"""),0.0)</f>
        <v>0</v>
      </c>
      <c r="F2425" s="148">
        <f>IFERROR(__xludf.DUMMYFUNCTION("""COMPUTED_VALUE"""),0.0)</f>
        <v>0</v>
      </c>
      <c r="G2425" s="148">
        <f>IFERROR(__xludf.DUMMYFUNCTION("""COMPUTED_VALUE"""),1.5112493E7)</f>
        <v>15112493</v>
      </c>
      <c r="H2425" s="148">
        <f>IFERROR(__xludf.DUMMYFUNCTION("""COMPUTED_VALUE"""),1.5112563E7)</f>
        <v>15112563</v>
      </c>
      <c r="I2425" s="148" t="str">
        <f>IFERROR(__xludf.DUMMYFUNCTION("""COMPUTED_VALUE"""),"{}")</f>
        <v>{}</v>
      </c>
      <c r="J2425" s="148" t="str">
        <f>IFERROR(__xludf.DUMMYFUNCTION("""COMPUTED_VALUE"""),"{""typ"":""lc"",""txt"":""LC_ITEM_starrelics_name""}")</f>
        <v>{"typ":"lc","txt":"LC_ITEM_starrelics_name"}</v>
      </c>
      <c r="K2425" s="148" t="str">
        <f>IFERROR(__xludf.DUMMYFUNCTION("""COMPUTED_VALUE"""),"{""typ"":""lc"",""txt"":""LC_ITEM_starrelics_desc""}")</f>
        <v>{"typ":"lc","txt":"LC_ITEM_starrelics_desc"}</v>
      </c>
      <c r="L2425" s="148" t="str">
        <f>IFERROR(__xludf.DUMMYFUNCTION("""COMPUTED_VALUE"""),"{}")</f>
        <v>{}</v>
      </c>
      <c r="M2425" s="148">
        <f>IFERROR(__xludf.DUMMYFUNCTION("""COMPUTED_VALUE"""),1.0)</f>
        <v>1</v>
      </c>
      <c r="N2425" s="148">
        <f>IFERROR(__xludf.DUMMYFUNCTION("""COMPUTED_VALUE"""),999999.0)</f>
        <v>999999</v>
      </c>
      <c r="O2425" s="148">
        <f>IFERROR(__xludf.DUMMYFUNCTION("""COMPUTED_VALUE"""),99999.0)</f>
        <v>99999</v>
      </c>
      <c r="P2425" s="148">
        <f>IFERROR(__xludf.DUMMYFUNCTION("""COMPUTED_VALUE"""),9999.0)</f>
        <v>9999</v>
      </c>
      <c r="Q2425" s="148" t="str">
        <f>IFERROR(__xludf.DUMMYFUNCTION("""COMPUTED_VALUE"""),"[]")</f>
        <v>[]</v>
      </c>
      <c r="R2425" s="148" t="str">
        <f>IFERROR(__xludf.DUMMYFUNCTION("""COMPUTED_VALUE"""),"[]")</f>
        <v>[]</v>
      </c>
      <c r="S2425" s="148" t="str">
        <f>IFERROR(__xludf.DUMMYFUNCTION("""COMPUTED_VALUE"""),"{""effect"":[{""typ"":""event"",""id"":21127404},{""typ"":""miss_lost_reward""}]}")</f>
        <v>{"effect":[{"typ":"event","id":21127404},{"typ":"miss_lost_reward"}]}</v>
      </c>
      <c r="T2425" s="148">
        <f>IFERROR(__xludf.DUMMYFUNCTION("""COMPUTED_VALUE"""),-1.0)</f>
        <v>-1</v>
      </c>
      <c r="U2425" s="148">
        <f>IFERROR(__xludf.DUMMYFUNCTION("""COMPUTED_VALUE"""),1.0)</f>
        <v>1</v>
      </c>
      <c r="V2425" s="148" t="str">
        <f>IFERROR(__xludf.DUMMYFUNCTION("""COMPUTED_VALUE"""),"[]")</f>
        <v>[]</v>
      </c>
      <c r="W2425" s="148">
        <f>IFERROR(__xludf.DUMMYFUNCTION("""COMPUTED_VALUE"""),1.174E7)</f>
        <v>11740000</v>
      </c>
      <c r="X2425" s="148">
        <f>IFERROR(__xludf.DUMMYFUNCTION("""COMPUTED_VALUE"""),0.0)</f>
        <v>0</v>
      </c>
      <c r="Y2425" s="148">
        <f>IFERROR(__xludf.DUMMYFUNCTION("""COMPUTED_VALUE"""),0.0)</f>
        <v>0</v>
      </c>
      <c r="Z2425" s="148"/>
    </row>
    <row r="2426">
      <c r="A2426" s="148">
        <f>IFERROR(__xludf.DUMMYFUNCTION("""COMPUTED_VALUE"""),1.1119338E7)</f>
        <v>11119338</v>
      </c>
      <c r="B2426" s="148" t="str">
        <f>IFERROR(__xludf.DUMMYFUNCTION("""COMPUTED_VALUE"""),"掉落转付费-阶段奖励")</f>
        <v>掉落转付费-阶段奖励</v>
      </c>
      <c r="C2426" s="148"/>
      <c r="D2426" s="148" t="str">
        <f>IFERROR(__xludf.DUMMYFUNCTION("""COMPUTED_VALUE"""),"item_asset")</f>
        <v>item_asset</v>
      </c>
      <c r="E2426" s="148">
        <f>IFERROR(__xludf.DUMMYFUNCTION("""COMPUTED_VALUE"""),19.0)</f>
        <v>19</v>
      </c>
      <c r="F2426" s="148">
        <f>IFERROR(__xludf.DUMMYFUNCTION("""COMPUTED_VALUE"""),0.0)</f>
        <v>0</v>
      </c>
      <c r="G2426" s="148">
        <f>IFERROR(__xludf.DUMMYFUNCTION("""COMPUTED_VALUE"""),1.5110352E7)</f>
        <v>15110352</v>
      </c>
      <c r="H2426" s="148">
        <f>IFERROR(__xludf.DUMMYFUNCTION("""COMPUTED_VALUE"""),1.5112564E7)</f>
        <v>15112564</v>
      </c>
      <c r="I2426" s="148" t="str">
        <f>IFERROR(__xludf.DUMMYFUNCTION("""COMPUTED_VALUE"""),"{}")</f>
        <v>{}</v>
      </c>
      <c r="J2426" s="148" t="str">
        <f>IFERROR(__xludf.DUMMYFUNCTION("""COMPUTED_VALUE"""),"{""typ"":""lc"",""txt"":""LC_EVENT_droptopay_tuohuang_box_name""}")</f>
        <v>{"typ":"lc","txt":"LC_EVENT_droptopay_tuohuang_box_name"}</v>
      </c>
      <c r="K2426" s="148" t="str">
        <f>IFERROR(__xludf.DUMMYFUNCTION("""COMPUTED_VALUE"""),"{""typ"":""lc"",""txt"":""LC_EVENT_droptopay_tuohuang_box_desc""}")</f>
        <v>{"typ":"lc","txt":"LC_EVENT_droptopay_tuohuang_box_desc"}</v>
      </c>
      <c r="L2426" s="148" t="str">
        <f>IFERROR(__xludf.DUMMYFUNCTION("""COMPUTED_VALUE"""),"{}")</f>
        <v>{}</v>
      </c>
      <c r="M2426" s="148">
        <f>IFERROR(__xludf.DUMMYFUNCTION("""COMPUTED_VALUE"""),1000.0)</f>
        <v>1000</v>
      </c>
      <c r="N2426" s="148">
        <f>IFERROR(__xludf.DUMMYFUNCTION("""COMPUTED_VALUE"""),999999.0)</f>
        <v>999999</v>
      </c>
      <c r="O2426" s="148">
        <f>IFERROR(__xludf.DUMMYFUNCTION("""COMPUTED_VALUE"""),99999.0)</f>
        <v>99999</v>
      </c>
      <c r="P2426" s="148">
        <f>IFERROR(__xludf.DUMMYFUNCTION("""COMPUTED_VALUE"""),9999.0)</f>
        <v>9999</v>
      </c>
      <c r="Q2426" s="148" t="str">
        <f>IFERROR(__xludf.DUMMYFUNCTION("""COMPUTED_VALUE"""),"[""bag_other""]")</f>
        <v>["bag_other"]</v>
      </c>
      <c r="R2426" s="148" t="str">
        <f>IFERROR(__xludf.DUMMYFUNCTION("""COMPUTED_VALUE"""),"[""bag""]")</f>
        <v>["bag"]</v>
      </c>
      <c r="S2426" s="148" t="str">
        <f>IFERROR(__xludf.DUMMYFUNCTION("""COMPUTED_VALUE"""),"{""drop"":{""typ"":""single_random"",""num"":1,""args"":[{""typ"":""item"",""id"":11116304,""num"":1,""wgt"":300},{""typ"":""item"",""id"":11119339,""num"":60,""wgt"":100},{""typ"":""item"",""id"":11117069,""num"":3,""wgt"":600},{""typ"":""item"",""id"":1"&amp;"1117024,""num"":1,""wgt"":1000},{""typ"":""item"",""id"":11116110,""num"":1,""wgt"":1000},{""typ"":""item"",""id"":11119339,""num"":6,""wgt"":1000},{""typ"":""item"",""id"":11111106,""num"":1,""wgt"":2000},{""typ"":""item"",""id"":11111156,""num"":1,""wgt"&amp;""":2500},{""typ"":""item"",""id"":11119339,""num"":3,""wgt"":1500}]}}")</f>
        <v>{"drop":{"typ":"single_random","num":1,"args":[{"typ":"item","id":11116304,"num":1,"wgt":300},{"typ":"item","id":11119339,"num":60,"wgt":100},{"typ":"item","id":11117069,"num":3,"wgt":600},{"typ":"item","id":11117024,"num":1,"wgt":1000},{"typ":"item","id":11116110,"num":1,"wgt":1000},{"typ":"item","id":11119339,"num":6,"wgt":1000},{"typ":"item","id":11111106,"num":1,"wgt":2000},{"typ":"item","id":11111156,"num":1,"wgt":2500},{"typ":"item","id":11119339,"num":3,"wgt":1500}]}}</v>
      </c>
      <c r="T2426" s="148">
        <f>IFERROR(__xludf.DUMMYFUNCTION("""COMPUTED_VALUE"""),-1.0)</f>
        <v>-1</v>
      </c>
      <c r="U2426" s="148">
        <f>IFERROR(__xludf.DUMMYFUNCTION("""COMPUTED_VALUE"""),1.0)</f>
        <v>1</v>
      </c>
      <c r="V2426" s="148" t="str">
        <f>IFERROR(__xludf.DUMMYFUNCTION("""COMPUTED_VALUE"""),"[]")</f>
        <v>[]</v>
      </c>
      <c r="W2426" s="148">
        <f>IFERROR(__xludf.DUMMYFUNCTION("""COMPUTED_VALUE"""),1.174E7)</f>
        <v>11740000</v>
      </c>
      <c r="X2426" s="148">
        <f>IFERROR(__xludf.DUMMYFUNCTION("""COMPUTED_VALUE"""),0.0)</f>
        <v>0</v>
      </c>
      <c r="Y2426" s="148">
        <f>IFERROR(__xludf.DUMMYFUNCTION("""COMPUTED_VALUE"""),0.0)</f>
        <v>0</v>
      </c>
      <c r="Z2426" s="148"/>
    </row>
    <row r="2427">
      <c r="A2427" s="148">
        <f>IFERROR(__xludf.DUMMYFUNCTION("""COMPUTED_VALUE"""),1.1119339E7)</f>
        <v>11119339</v>
      </c>
      <c r="B2427" s="148" t="str">
        <f>IFERROR(__xludf.DUMMYFUNCTION("""COMPUTED_VALUE"""),"掉落转付费-黄金稿")</f>
        <v>掉落转付费-黄金稿</v>
      </c>
      <c r="C2427" s="148"/>
      <c r="D2427" s="148" t="str">
        <f>IFERROR(__xludf.DUMMYFUNCTION("""COMPUTED_VALUE"""),"event")</f>
        <v>event</v>
      </c>
      <c r="E2427" s="148">
        <f>IFERROR(__xludf.DUMMYFUNCTION("""COMPUTED_VALUE"""),0.0)</f>
        <v>0</v>
      </c>
      <c r="F2427" s="148">
        <f>IFERROR(__xludf.DUMMYFUNCTION("""COMPUTED_VALUE"""),0.0)</f>
        <v>0</v>
      </c>
      <c r="G2427" s="148">
        <f>IFERROR(__xludf.DUMMYFUNCTION("""COMPUTED_VALUE"""),1.511019E8)</f>
        <v>151101900</v>
      </c>
      <c r="H2427" s="148">
        <f>IFERROR(__xludf.DUMMYFUNCTION("""COMPUTED_VALUE"""),1.5112564E7)</f>
        <v>15112564</v>
      </c>
      <c r="I2427" s="148" t="str">
        <f>IFERROR(__xludf.DUMMYFUNCTION("""COMPUTED_VALUE"""),"{}")</f>
        <v>{}</v>
      </c>
      <c r="J2427" s="148" t="str">
        <f>IFERROR(__xludf.DUMMYFUNCTION("""COMPUTED_VALUE"""),"{""typ"":""lc"",""txt"":""LC_EVENT_droptopay_tuohuang_item4""}")</f>
        <v>{"typ":"lc","txt":"LC_EVENT_droptopay_tuohuang_item4"}</v>
      </c>
      <c r="K2427" s="148" t="str">
        <f>IFERROR(__xludf.DUMMYFUNCTION("""COMPUTED_VALUE"""),"{""typ"":""lc"",""txt"":""LC_EVENT_droptopay_tuohuang_item4_desc""}")</f>
        <v>{"typ":"lc","txt":"LC_EVENT_droptopay_tuohuang_item4_desc"}</v>
      </c>
      <c r="L2427" s="148" t="str">
        <f>IFERROR(__xludf.DUMMYFUNCTION("""COMPUTED_VALUE"""),"{}")</f>
        <v>{}</v>
      </c>
      <c r="M2427" s="148">
        <f>IFERROR(__xludf.DUMMYFUNCTION("""COMPUTED_VALUE"""),25.0)</f>
        <v>25</v>
      </c>
      <c r="N2427" s="148">
        <f>IFERROR(__xludf.DUMMYFUNCTION("""COMPUTED_VALUE"""),999999.0)</f>
        <v>999999</v>
      </c>
      <c r="O2427" s="148">
        <f>IFERROR(__xludf.DUMMYFUNCTION("""COMPUTED_VALUE"""),99999.0)</f>
        <v>99999</v>
      </c>
      <c r="P2427" s="148">
        <f>IFERROR(__xludf.DUMMYFUNCTION("""COMPUTED_VALUE"""),9999.0)</f>
        <v>9999</v>
      </c>
      <c r="Q2427" s="148" t="str">
        <f>IFERROR(__xludf.DUMMYFUNCTION("""COMPUTED_VALUE"""),"[""bag_other""]")</f>
        <v>["bag_other"]</v>
      </c>
      <c r="R2427" s="148" t="str">
        <f>IFERROR(__xludf.DUMMYFUNCTION("""COMPUTED_VALUE"""),"[]")</f>
        <v>[]</v>
      </c>
      <c r="S2427" s="148" t="str">
        <f>IFERROR(__xludf.DUMMYFUNCTION("""COMPUTED_VALUE"""),"{}")</f>
        <v>{}</v>
      </c>
      <c r="T2427" s="148">
        <f>IFERROR(__xludf.DUMMYFUNCTION("""COMPUTED_VALUE"""),-1.0)</f>
        <v>-1</v>
      </c>
      <c r="U2427" s="148">
        <f>IFERROR(__xludf.DUMMYFUNCTION("""COMPUTED_VALUE"""),0.0)</f>
        <v>0</v>
      </c>
      <c r="V2427" s="148" t="str">
        <f>IFERROR(__xludf.DUMMYFUNCTION("""COMPUTED_VALUE"""),"[]")</f>
        <v>[]</v>
      </c>
      <c r="W2427" s="148">
        <f>IFERROR(__xludf.DUMMYFUNCTION("""COMPUTED_VALUE"""),1.174E7)</f>
        <v>11740000</v>
      </c>
      <c r="X2427" s="148">
        <f>IFERROR(__xludf.DUMMYFUNCTION("""COMPUTED_VALUE"""),0.0)</f>
        <v>0</v>
      </c>
      <c r="Y2427" s="148">
        <f>IFERROR(__xludf.DUMMYFUNCTION("""COMPUTED_VALUE"""),0.0)</f>
        <v>0</v>
      </c>
      <c r="Z2427" s="148"/>
    </row>
    <row r="2428">
      <c r="A2428" s="148">
        <f>IFERROR(__xludf.DUMMYFUNCTION("""COMPUTED_VALUE"""),1.111934E7)</f>
        <v>11119340</v>
      </c>
      <c r="B2428" s="148" t="str">
        <f>IFERROR(__xludf.DUMMYFUNCTION("""COMPUTED_VALUE"""),"三周年纪念勋章")</f>
        <v>三周年纪念勋章</v>
      </c>
      <c r="C2428" s="148"/>
      <c r="D2428" s="148" t="str">
        <f>IFERROR(__xludf.DUMMYFUNCTION("""COMPUTED_VALUE"""),"event")</f>
        <v>event</v>
      </c>
      <c r="E2428" s="148">
        <f>IFERROR(__xludf.DUMMYFUNCTION("""COMPUTED_VALUE"""),0.0)</f>
        <v>0</v>
      </c>
      <c r="F2428" s="148">
        <f>IFERROR(__xludf.DUMMYFUNCTION("""COMPUTED_VALUE"""),0.0)</f>
        <v>0</v>
      </c>
      <c r="G2428" s="148">
        <f>IFERROR(__xludf.DUMMYFUNCTION("""COMPUTED_VALUE"""),1.51102407E8)</f>
        <v>151102407</v>
      </c>
      <c r="H2428" s="148">
        <f>IFERROR(__xludf.DUMMYFUNCTION("""COMPUTED_VALUE"""),1.5112564E7)</f>
        <v>15112564</v>
      </c>
      <c r="I2428" s="148" t="str">
        <f>IFERROR(__xludf.DUMMYFUNCTION("""COMPUTED_VALUE"""),"{}")</f>
        <v>{}</v>
      </c>
      <c r="J2428" s="148" t="str">
        <f>IFERROR(__xludf.DUMMYFUNCTION("""COMPUTED_VALUE"""),"{""typ"":""lc"",""txt"":""LC_ITEM_anni_badge_2025""}")</f>
        <v>{"typ":"lc","txt":"LC_ITEM_anni_badge_2025"}</v>
      </c>
      <c r="K2428" s="148" t="str">
        <f>IFERROR(__xludf.DUMMYFUNCTION("""COMPUTED_VALUE"""),"{""typ"":""lc"",""txt"":""LC_ITEM_anni_badge_2025_desc""}")</f>
        <v>{"typ":"lc","txt":"LC_ITEM_anni_badge_2025_desc"}</v>
      </c>
      <c r="L2428" s="148" t="str">
        <f>IFERROR(__xludf.DUMMYFUNCTION("""COMPUTED_VALUE"""),"{}")</f>
        <v>{}</v>
      </c>
      <c r="M2428" s="148">
        <f>IFERROR(__xludf.DUMMYFUNCTION("""COMPUTED_VALUE"""),1000.0)</f>
        <v>1000</v>
      </c>
      <c r="N2428" s="148">
        <f>IFERROR(__xludf.DUMMYFUNCTION("""COMPUTED_VALUE"""),1.0)</f>
        <v>1</v>
      </c>
      <c r="O2428" s="148">
        <f>IFERROR(__xludf.DUMMYFUNCTION("""COMPUTED_VALUE"""),1.0)</f>
        <v>1</v>
      </c>
      <c r="P2428" s="148">
        <f>IFERROR(__xludf.DUMMYFUNCTION("""COMPUTED_VALUE"""),1.0)</f>
        <v>1</v>
      </c>
      <c r="Q2428" s="148" t="str">
        <f>IFERROR(__xludf.DUMMYFUNCTION("""COMPUTED_VALUE"""),"[]")</f>
        <v>[]</v>
      </c>
      <c r="R2428" s="148" t="str">
        <f>IFERROR(__xludf.DUMMYFUNCTION("""COMPUTED_VALUE"""),"[]")</f>
        <v>[]</v>
      </c>
      <c r="S2428" s="148" t="str">
        <f>IFERROR(__xludf.DUMMYFUNCTION("""COMPUTED_VALUE"""),"{}")</f>
        <v>{}</v>
      </c>
      <c r="T2428" s="148">
        <f>IFERROR(__xludf.DUMMYFUNCTION("""COMPUTED_VALUE"""),-1.0)</f>
        <v>-1</v>
      </c>
      <c r="U2428" s="148">
        <f>IFERROR(__xludf.DUMMYFUNCTION("""COMPUTED_VALUE"""),0.0)</f>
        <v>0</v>
      </c>
      <c r="V2428" s="148" t="str">
        <f>IFERROR(__xludf.DUMMYFUNCTION("""COMPUTED_VALUE"""),"[]")</f>
        <v>[]</v>
      </c>
      <c r="W2428" s="148">
        <f>IFERROR(__xludf.DUMMYFUNCTION("""COMPUTED_VALUE"""),1.174E7)</f>
        <v>11740000</v>
      </c>
      <c r="X2428" s="148">
        <f>IFERROR(__xludf.DUMMYFUNCTION("""COMPUTED_VALUE"""),0.0)</f>
        <v>0</v>
      </c>
      <c r="Y2428" s="148">
        <f>IFERROR(__xludf.DUMMYFUNCTION("""COMPUTED_VALUE"""),0.0)</f>
        <v>0</v>
      </c>
      <c r="Z2428" s="148"/>
    </row>
    <row r="2429">
      <c r="A2429" s="148">
        <f>IFERROR(__xludf.DUMMYFUNCTION("""COMPUTED_VALUE"""),1.1119341E7)</f>
        <v>11119341</v>
      </c>
      <c r="B2429" s="148" t="str">
        <f>IFERROR(__xludf.DUMMYFUNCTION("""COMPUTED_VALUE"""),"春节自选周卡解锁schema3-5-1")</f>
        <v>春节自选周卡解锁schema3-5-1</v>
      </c>
      <c r="C2429" s="148"/>
      <c r="D2429" s="148" t="str">
        <f>IFERROR(__xludf.DUMMYFUNCTION("""COMPUTED_VALUE"""),"item_subscription")</f>
        <v>item_subscription</v>
      </c>
      <c r="E2429" s="148">
        <f>IFERROR(__xludf.DUMMYFUNCTION("""COMPUTED_VALUE"""),0.0)</f>
        <v>0</v>
      </c>
      <c r="F2429" s="148">
        <f>IFERROR(__xludf.DUMMYFUNCTION("""COMPUTED_VALUE"""),404200.0)</f>
        <v>404200</v>
      </c>
      <c r="G2429" s="148">
        <f>IFERROR(__xludf.DUMMYFUNCTION("""COMPUTED_VALUE"""),1.51101543E8)</f>
        <v>151101543</v>
      </c>
      <c r="H2429" s="148">
        <f>IFERROR(__xludf.DUMMYFUNCTION("""COMPUTED_VALUE"""),1.5112564E7)</f>
        <v>15112564</v>
      </c>
      <c r="I2429" s="148" t="str">
        <f>IFERROR(__xludf.DUMMYFUNCTION("""COMPUTED_VALUE"""),"{}")</f>
        <v>{}</v>
      </c>
      <c r="J2429" s="148" t="str">
        <f>IFERROR(__xludf.DUMMYFUNCTION("""COMPUTED_VALUE"""),"{""typ"":""lc"",""txt"":""LC_EVENT_sci_time_card_title_2025_1""}")</f>
        <v>{"typ":"lc","txt":"LC_EVENT_sci_time_card_title_2025_1"}</v>
      </c>
      <c r="K2429" s="148" t="str">
        <f>IFERROR(__xludf.DUMMYFUNCTION("""COMPUTED_VALUE"""),"{}")</f>
        <v>{}</v>
      </c>
      <c r="L2429" s="148" t="str">
        <f>IFERROR(__xludf.DUMMYFUNCTION("""COMPUTED_VALUE"""),"{}")</f>
        <v>{}</v>
      </c>
      <c r="M2429" s="148">
        <f>IFERROR(__xludf.DUMMYFUNCTION("""COMPUTED_VALUE"""),1000.0)</f>
        <v>1000</v>
      </c>
      <c r="N2429" s="148">
        <f>IFERROR(__xludf.DUMMYFUNCTION("""COMPUTED_VALUE"""),9.99999999E8)</f>
        <v>999999999</v>
      </c>
      <c r="O2429" s="148">
        <f>IFERROR(__xludf.DUMMYFUNCTION("""COMPUTED_VALUE"""),9.99999999E8)</f>
        <v>999999999</v>
      </c>
      <c r="P2429" s="148">
        <f>IFERROR(__xludf.DUMMYFUNCTION("""COMPUTED_VALUE"""),9.99999999E8)</f>
        <v>999999999</v>
      </c>
      <c r="Q2429" s="148" t="str">
        <f>IFERROR(__xludf.DUMMYFUNCTION("""COMPUTED_VALUE"""),"[""bag_other""]")</f>
        <v>["bag_other"]</v>
      </c>
      <c r="R2429" s="148" t="str">
        <f>IFERROR(__xludf.DUMMYFUNCTION("""COMPUTED_VALUE"""),"[]")</f>
        <v>[]</v>
      </c>
      <c r="S2429" s="148" t="str">
        <f>IFERROR(__xludf.DUMMYFUNCTION("""COMPUTED_VALUE"""),"{""effect"":[{""typ"":""item_subscription"",""id"":2013400149}]}")</f>
        <v>{"effect":[{"typ":"item_subscription","id":2013400149}]}</v>
      </c>
      <c r="T2429" s="148">
        <f>IFERROR(__xludf.DUMMYFUNCTION("""COMPUTED_VALUE"""),-1.0)</f>
        <v>-1</v>
      </c>
      <c r="U2429" s="148">
        <f>IFERROR(__xludf.DUMMYFUNCTION("""COMPUTED_VALUE"""),1.0)</f>
        <v>1</v>
      </c>
      <c r="V2429" s="148" t="str">
        <f>IFERROR(__xludf.DUMMYFUNCTION("""COMPUTED_VALUE"""),"[]")</f>
        <v>[]</v>
      </c>
      <c r="W2429" s="148">
        <f>IFERROR(__xludf.DUMMYFUNCTION("""COMPUTED_VALUE"""),1.174E7)</f>
        <v>11740000</v>
      </c>
      <c r="X2429" s="148">
        <f>IFERROR(__xludf.DUMMYFUNCTION("""COMPUTED_VALUE"""),0.0)</f>
        <v>0</v>
      </c>
      <c r="Y2429" s="148">
        <f>IFERROR(__xludf.DUMMYFUNCTION("""COMPUTED_VALUE"""),0.0)</f>
        <v>0</v>
      </c>
      <c r="Z2429" s="148"/>
    </row>
    <row r="2430">
      <c r="A2430" s="148">
        <f>IFERROR(__xludf.DUMMYFUNCTION("""COMPUTED_VALUE"""),1.1119342E7)</f>
        <v>11119342</v>
      </c>
      <c r="B2430" s="148" t="str">
        <f>IFERROR(__xludf.DUMMYFUNCTION("""COMPUTED_VALUE"""),"春节自选周卡解锁schema3-5-2")</f>
        <v>春节自选周卡解锁schema3-5-2</v>
      </c>
      <c r="C2430" s="148"/>
      <c r="D2430" s="148" t="str">
        <f>IFERROR(__xludf.DUMMYFUNCTION("""COMPUTED_VALUE"""),"item_subscription")</f>
        <v>item_subscription</v>
      </c>
      <c r="E2430" s="148">
        <f>IFERROR(__xludf.DUMMYFUNCTION("""COMPUTED_VALUE"""),0.0)</f>
        <v>0</v>
      </c>
      <c r="F2430" s="148">
        <f>IFERROR(__xludf.DUMMYFUNCTION("""COMPUTED_VALUE"""),404200.0)</f>
        <v>404200</v>
      </c>
      <c r="G2430" s="148">
        <f>IFERROR(__xludf.DUMMYFUNCTION("""COMPUTED_VALUE"""),1.51101543E8)</f>
        <v>151101543</v>
      </c>
      <c r="H2430" s="148">
        <f>IFERROR(__xludf.DUMMYFUNCTION("""COMPUTED_VALUE"""),1.5112563E7)</f>
        <v>15112563</v>
      </c>
      <c r="I2430" s="148" t="str">
        <f>IFERROR(__xludf.DUMMYFUNCTION("""COMPUTED_VALUE"""),"{}")</f>
        <v>{}</v>
      </c>
      <c r="J2430" s="148" t="str">
        <f>IFERROR(__xludf.DUMMYFUNCTION("""COMPUTED_VALUE"""),"{""typ"":""lc"",""txt"":""LC_EVENT_sci_time_card_title_2025_2""}")</f>
        <v>{"typ":"lc","txt":"LC_EVENT_sci_time_card_title_2025_2"}</v>
      </c>
      <c r="K2430" s="148" t="str">
        <f>IFERROR(__xludf.DUMMYFUNCTION("""COMPUTED_VALUE"""),"{}")</f>
        <v>{}</v>
      </c>
      <c r="L2430" s="148" t="str">
        <f>IFERROR(__xludf.DUMMYFUNCTION("""COMPUTED_VALUE"""),"{}")</f>
        <v>{}</v>
      </c>
      <c r="M2430" s="148">
        <f>IFERROR(__xludf.DUMMYFUNCTION("""COMPUTED_VALUE"""),1000.0)</f>
        <v>1000</v>
      </c>
      <c r="N2430" s="148">
        <f>IFERROR(__xludf.DUMMYFUNCTION("""COMPUTED_VALUE"""),9.99999999E8)</f>
        <v>999999999</v>
      </c>
      <c r="O2430" s="148">
        <f>IFERROR(__xludf.DUMMYFUNCTION("""COMPUTED_VALUE"""),9.99999999E8)</f>
        <v>999999999</v>
      </c>
      <c r="P2430" s="148">
        <f>IFERROR(__xludf.DUMMYFUNCTION("""COMPUTED_VALUE"""),9.99999999E8)</f>
        <v>999999999</v>
      </c>
      <c r="Q2430" s="148" t="str">
        <f>IFERROR(__xludf.DUMMYFUNCTION("""COMPUTED_VALUE"""),"[""bag_other""]")</f>
        <v>["bag_other"]</v>
      </c>
      <c r="R2430" s="148" t="str">
        <f>IFERROR(__xludf.DUMMYFUNCTION("""COMPUTED_VALUE"""),"[]")</f>
        <v>[]</v>
      </c>
      <c r="S2430" s="148" t="str">
        <f>IFERROR(__xludf.DUMMYFUNCTION("""COMPUTED_VALUE"""),"{""effect"":[{""typ"":""item_subscription"",""id"":2013400150}]}")</f>
        <v>{"effect":[{"typ":"item_subscription","id":2013400150}]}</v>
      </c>
      <c r="T2430" s="148">
        <f>IFERROR(__xludf.DUMMYFUNCTION("""COMPUTED_VALUE"""),-1.0)</f>
        <v>-1</v>
      </c>
      <c r="U2430" s="148">
        <f>IFERROR(__xludf.DUMMYFUNCTION("""COMPUTED_VALUE"""),1.0)</f>
        <v>1</v>
      </c>
      <c r="V2430" s="148" t="str">
        <f>IFERROR(__xludf.DUMMYFUNCTION("""COMPUTED_VALUE"""),"[]")</f>
        <v>[]</v>
      </c>
      <c r="W2430" s="148">
        <f>IFERROR(__xludf.DUMMYFUNCTION("""COMPUTED_VALUE"""),1.174E7)</f>
        <v>11740000</v>
      </c>
      <c r="X2430" s="148">
        <f>IFERROR(__xludf.DUMMYFUNCTION("""COMPUTED_VALUE"""),0.0)</f>
        <v>0</v>
      </c>
      <c r="Y2430" s="148">
        <f>IFERROR(__xludf.DUMMYFUNCTION("""COMPUTED_VALUE"""),0.0)</f>
        <v>0</v>
      </c>
      <c r="Z2430" s="148"/>
    </row>
    <row r="2431">
      <c r="A2431" s="148">
        <f>IFERROR(__xludf.DUMMYFUNCTION("""COMPUTED_VALUE"""),1.1119343E7)</f>
        <v>11119343</v>
      </c>
      <c r="B2431" s="148" t="str">
        <f>IFERROR(__xludf.DUMMYFUNCTION("""COMPUTED_VALUE"""),"春节自选周卡解锁schema3-5-3")</f>
        <v>春节自选周卡解锁schema3-5-3</v>
      </c>
      <c r="C2431" s="148"/>
      <c r="D2431" s="148" t="str">
        <f>IFERROR(__xludf.DUMMYFUNCTION("""COMPUTED_VALUE"""),"item_subscription")</f>
        <v>item_subscription</v>
      </c>
      <c r="E2431" s="148">
        <f>IFERROR(__xludf.DUMMYFUNCTION("""COMPUTED_VALUE"""),0.0)</f>
        <v>0</v>
      </c>
      <c r="F2431" s="148">
        <f>IFERROR(__xludf.DUMMYFUNCTION("""COMPUTED_VALUE"""),404200.0)</f>
        <v>404200</v>
      </c>
      <c r="G2431" s="148">
        <f>IFERROR(__xludf.DUMMYFUNCTION("""COMPUTED_VALUE"""),1.51101543E8)</f>
        <v>151101543</v>
      </c>
      <c r="H2431" s="148">
        <f>IFERROR(__xludf.DUMMYFUNCTION("""COMPUTED_VALUE"""),1.5112562E7)</f>
        <v>15112562</v>
      </c>
      <c r="I2431" s="148" t="str">
        <f>IFERROR(__xludf.DUMMYFUNCTION("""COMPUTED_VALUE"""),"{}")</f>
        <v>{}</v>
      </c>
      <c r="J2431" s="148" t="str">
        <f>IFERROR(__xludf.DUMMYFUNCTION("""COMPUTED_VALUE"""),"{""typ"":""lc"",""txt"":""LC_EVENT_sci_time_card_title_2025_3""}")</f>
        <v>{"typ":"lc","txt":"LC_EVENT_sci_time_card_title_2025_3"}</v>
      </c>
      <c r="K2431" s="148" t="str">
        <f>IFERROR(__xludf.DUMMYFUNCTION("""COMPUTED_VALUE"""),"{}")</f>
        <v>{}</v>
      </c>
      <c r="L2431" s="148" t="str">
        <f>IFERROR(__xludf.DUMMYFUNCTION("""COMPUTED_VALUE"""),"{}")</f>
        <v>{}</v>
      </c>
      <c r="M2431" s="148">
        <f>IFERROR(__xludf.DUMMYFUNCTION("""COMPUTED_VALUE"""),1000.0)</f>
        <v>1000</v>
      </c>
      <c r="N2431" s="148">
        <f>IFERROR(__xludf.DUMMYFUNCTION("""COMPUTED_VALUE"""),9.99999999E8)</f>
        <v>999999999</v>
      </c>
      <c r="O2431" s="148">
        <f>IFERROR(__xludf.DUMMYFUNCTION("""COMPUTED_VALUE"""),9.99999999E8)</f>
        <v>999999999</v>
      </c>
      <c r="P2431" s="148">
        <f>IFERROR(__xludf.DUMMYFUNCTION("""COMPUTED_VALUE"""),9.99999999E8)</f>
        <v>999999999</v>
      </c>
      <c r="Q2431" s="148" t="str">
        <f>IFERROR(__xludf.DUMMYFUNCTION("""COMPUTED_VALUE"""),"[""bag_other""]")</f>
        <v>["bag_other"]</v>
      </c>
      <c r="R2431" s="148" t="str">
        <f>IFERROR(__xludf.DUMMYFUNCTION("""COMPUTED_VALUE"""),"[]")</f>
        <v>[]</v>
      </c>
      <c r="S2431" s="148" t="str">
        <f>IFERROR(__xludf.DUMMYFUNCTION("""COMPUTED_VALUE"""),"{""effect"":[{""typ"":""item_subscription"",""id"":2013400151}]}")</f>
        <v>{"effect":[{"typ":"item_subscription","id":2013400151}]}</v>
      </c>
      <c r="T2431" s="148">
        <f>IFERROR(__xludf.DUMMYFUNCTION("""COMPUTED_VALUE"""),-1.0)</f>
        <v>-1</v>
      </c>
      <c r="U2431" s="148">
        <f>IFERROR(__xludf.DUMMYFUNCTION("""COMPUTED_VALUE"""),1.0)</f>
        <v>1</v>
      </c>
      <c r="V2431" s="148" t="str">
        <f>IFERROR(__xludf.DUMMYFUNCTION("""COMPUTED_VALUE"""),"[]")</f>
        <v>[]</v>
      </c>
      <c r="W2431" s="148">
        <f>IFERROR(__xludf.DUMMYFUNCTION("""COMPUTED_VALUE"""),1.174E7)</f>
        <v>11740000</v>
      </c>
      <c r="X2431" s="148">
        <f>IFERROR(__xludf.DUMMYFUNCTION("""COMPUTED_VALUE"""),0.0)</f>
        <v>0</v>
      </c>
      <c r="Y2431" s="148">
        <f>IFERROR(__xludf.DUMMYFUNCTION("""COMPUTED_VALUE"""),0.0)</f>
        <v>0</v>
      </c>
      <c r="Z2431" s="148"/>
    </row>
    <row r="2432">
      <c r="A2432" s="148">
        <f>IFERROR(__xludf.DUMMYFUNCTION("""COMPUTED_VALUE"""),1.1119344E7)</f>
        <v>11119344</v>
      </c>
      <c r="B2432" s="148" t="str">
        <f>IFERROR(__xludf.DUMMYFUNCTION("""COMPUTED_VALUE"""),"春节自选周卡解锁schema6-1")</f>
        <v>春节自选周卡解锁schema6-1</v>
      </c>
      <c r="C2432" s="148"/>
      <c r="D2432" s="148" t="str">
        <f>IFERROR(__xludf.DUMMYFUNCTION("""COMPUTED_VALUE"""),"item_subscription")</f>
        <v>item_subscription</v>
      </c>
      <c r="E2432" s="148">
        <f>IFERROR(__xludf.DUMMYFUNCTION("""COMPUTED_VALUE"""),0.0)</f>
        <v>0</v>
      </c>
      <c r="F2432" s="148">
        <f>IFERROR(__xludf.DUMMYFUNCTION("""COMPUTED_VALUE"""),404200.0)</f>
        <v>404200</v>
      </c>
      <c r="G2432" s="148">
        <f>IFERROR(__xludf.DUMMYFUNCTION("""COMPUTED_VALUE"""),1.51101543E8)</f>
        <v>151101543</v>
      </c>
      <c r="H2432" s="148">
        <f>IFERROR(__xludf.DUMMYFUNCTION("""COMPUTED_VALUE"""),1.5112564E7)</f>
        <v>15112564</v>
      </c>
      <c r="I2432" s="148" t="str">
        <f>IFERROR(__xludf.DUMMYFUNCTION("""COMPUTED_VALUE"""),"{}")</f>
        <v>{}</v>
      </c>
      <c r="J2432" s="148" t="str">
        <f>IFERROR(__xludf.DUMMYFUNCTION("""COMPUTED_VALUE"""),"{""typ"":""lc"",""txt"":""LC_EVENT_sci_time_card_title_2025_1""}")</f>
        <v>{"typ":"lc","txt":"LC_EVENT_sci_time_card_title_2025_1"}</v>
      </c>
      <c r="K2432" s="148" t="str">
        <f>IFERROR(__xludf.DUMMYFUNCTION("""COMPUTED_VALUE"""),"{}")</f>
        <v>{}</v>
      </c>
      <c r="L2432" s="148" t="str">
        <f>IFERROR(__xludf.DUMMYFUNCTION("""COMPUTED_VALUE"""),"{}")</f>
        <v>{}</v>
      </c>
      <c r="M2432" s="148">
        <f>IFERROR(__xludf.DUMMYFUNCTION("""COMPUTED_VALUE"""),1000.0)</f>
        <v>1000</v>
      </c>
      <c r="N2432" s="148">
        <f>IFERROR(__xludf.DUMMYFUNCTION("""COMPUTED_VALUE"""),9.99999999E8)</f>
        <v>999999999</v>
      </c>
      <c r="O2432" s="148">
        <f>IFERROR(__xludf.DUMMYFUNCTION("""COMPUTED_VALUE"""),9.99999999E8)</f>
        <v>999999999</v>
      </c>
      <c r="P2432" s="148">
        <f>IFERROR(__xludf.DUMMYFUNCTION("""COMPUTED_VALUE"""),9.99999999E8)</f>
        <v>999999999</v>
      </c>
      <c r="Q2432" s="148" t="str">
        <f>IFERROR(__xludf.DUMMYFUNCTION("""COMPUTED_VALUE"""),"[""bag_other""]")</f>
        <v>["bag_other"]</v>
      </c>
      <c r="R2432" s="148" t="str">
        <f>IFERROR(__xludf.DUMMYFUNCTION("""COMPUTED_VALUE"""),"[]")</f>
        <v>[]</v>
      </c>
      <c r="S2432" s="148" t="str">
        <f>IFERROR(__xludf.DUMMYFUNCTION("""COMPUTED_VALUE"""),"{""effect"":[{""typ"":""item_subscription"",""id"":2013400153}]}")</f>
        <v>{"effect":[{"typ":"item_subscription","id":2013400153}]}</v>
      </c>
      <c r="T2432" s="148">
        <f>IFERROR(__xludf.DUMMYFUNCTION("""COMPUTED_VALUE"""),-1.0)</f>
        <v>-1</v>
      </c>
      <c r="U2432" s="148">
        <f>IFERROR(__xludf.DUMMYFUNCTION("""COMPUTED_VALUE"""),1.0)</f>
        <v>1</v>
      </c>
      <c r="V2432" s="148" t="str">
        <f>IFERROR(__xludf.DUMMYFUNCTION("""COMPUTED_VALUE"""),"[]")</f>
        <v>[]</v>
      </c>
      <c r="W2432" s="148">
        <f>IFERROR(__xludf.DUMMYFUNCTION("""COMPUTED_VALUE"""),1.174E7)</f>
        <v>11740000</v>
      </c>
      <c r="X2432" s="148">
        <f>IFERROR(__xludf.DUMMYFUNCTION("""COMPUTED_VALUE"""),0.0)</f>
        <v>0</v>
      </c>
      <c r="Y2432" s="148">
        <f>IFERROR(__xludf.DUMMYFUNCTION("""COMPUTED_VALUE"""),0.0)</f>
        <v>0</v>
      </c>
      <c r="Z2432" s="148"/>
    </row>
    <row r="2433">
      <c r="A2433" s="148">
        <f>IFERROR(__xludf.DUMMYFUNCTION("""COMPUTED_VALUE"""),1.1119345E7)</f>
        <v>11119345</v>
      </c>
      <c r="B2433" s="148" t="str">
        <f>IFERROR(__xludf.DUMMYFUNCTION("""COMPUTED_VALUE"""),"春节自选周卡解锁schema6-2")</f>
        <v>春节自选周卡解锁schema6-2</v>
      </c>
      <c r="C2433" s="148"/>
      <c r="D2433" s="148" t="str">
        <f>IFERROR(__xludf.DUMMYFUNCTION("""COMPUTED_VALUE"""),"item_subscription")</f>
        <v>item_subscription</v>
      </c>
      <c r="E2433" s="148">
        <f>IFERROR(__xludf.DUMMYFUNCTION("""COMPUTED_VALUE"""),0.0)</f>
        <v>0</v>
      </c>
      <c r="F2433" s="148">
        <f>IFERROR(__xludf.DUMMYFUNCTION("""COMPUTED_VALUE"""),404200.0)</f>
        <v>404200</v>
      </c>
      <c r="G2433" s="148">
        <f>IFERROR(__xludf.DUMMYFUNCTION("""COMPUTED_VALUE"""),1.51101543E8)</f>
        <v>151101543</v>
      </c>
      <c r="H2433" s="148">
        <f>IFERROR(__xludf.DUMMYFUNCTION("""COMPUTED_VALUE"""),1.5112563E7)</f>
        <v>15112563</v>
      </c>
      <c r="I2433" s="148" t="str">
        <f>IFERROR(__xludf.DUMMYFUNCTION("""COMPUTED_VALUE"""),"{}")</f>
        <v>{}</v>
      </c>
      <c r="J2433" s="148" t="str">
        <f>IFERROR(__xludf.DUMMYFUNCTION("""COMPUTED_VALUE"""),"{""typ"":""lc"",""txt"":""LC_EVENT_sci_time_card_title_2025_2""}")</f>
        <v>{"typ":"lc","txt":"LC_EVENT_sci_time_card_title_2025_2"}</v>
      </c>
      <c r="K2433" s="148" t="str">
        <f>IFERROR(__xludf.DUMMYFUNCTION("""COMPUTED_VALUE"""),"{}")</f>
        <v>{}</v>
      </c>
      <c r="L2433" s="148" t="str">
        <f>IFERROR(__xludf.DUMMYFUNCTION("""COMPUTED_VALUE"""),"{}")</f>
        <v>{}</v>
      </c>
      <c r="M2433" s="148">
        <f>IFERROR(__xludf.DUMMYFUNCTION("""COMPUTED_VALUE"""),1000.0)</f>
        <v>1000</v>
      </c>
      <c r="N2433" s="148">
        <f>IFERROR(__xludf.DUMMYFUNCTION("""COMPUTED_VALUE"""),9.99999999E8)</f>
        <v>999999999</v>
      </c>
      <c r="O2433" s="148">
        <f>IFERROR(__xludf.DUMMYFUNCTION("""COMPUTED_VALUE"""),9.99999999E8)</f>
        <v>999999999</v>
      </c>
      <c r="P2433" s="148">
        <f>IFERROR(__xludf.DUMMYFUNCTION("""COMPUTED_VALUE"""),9.99999999E8)</f>
        <v>999999999</v>
      </c>
      <c r="Q2433" s="148" t="str">
        <f>IFERROR(__xludf.DUMMYFUNCTION("""COMPUTED_VALUE"""),"[""bag_other""]")</f>
        <v>["bag_other"]</v>
      </c>
      <c r="R2433" s="148" t="str">
        <f>IFERROR(__xludf.DUMMYFUNCTION("""COMPUTED_VALUE"""),"[]")</f>
        <v>[]</v>
      </c>
      <c r="S2433" s="148" t="str">
        <f>IFERROR(__xludf.DUMMYFUNCTION("""COMPUTED_VALUE"""),"{""effect"":[{""typ"":""item_subscription"",""id"":2013400154}]}")</f>
        <v>{"effect":[{"typ":"item_subscription","id":2013400154}]}</v>
      </c>
      <c r="T2433" s="148">
        <f>IFERROR(__xludf.DUMMYFUNCTION("""COMPUTED_VALUE"""),-1.0)</f>
        <v>-1</v>
      </c>
      <c r="U2433" s="148">
        <f>IFERROR(__xludf.DUMMYFUNCTION("""COMPUTED_VALUE"""),1.0)</f>
        <v>1</v>
      </c>
      <c r="V2433" s="148" t="str">
        <f>IFERROR(__xludf.DUMMYFUNCTION("""COMPUTED_VALUE"""),"[]")</f>
        <v>[]</v>
      </c>
      <c r="W2433" s="148">
        <f>IFERROR(__xludf.DUMMYFUNCTION("""COMPUTED_VALUE"""),1.174E7)</f>
        <v>11740000</v>
      </c>
      <c r="X2433" s="148">
        <f>IFERROR(__xludf.DUMMYFUNCTION("""COMPUTED_VALUE"""),0.0)</f>
        <v>0</v>
      </c>
      <c r="Y2433" s="148">
        <f>IFERROR(__xludf.DUMMYFUNCTION("""COMPUTED_VALUE"""),0.0)</f>
        <v>0</v>
      </c>
      <c r="Z2433" s="148"/>
    </row>
    <row r="2434">
      <c r="A2434" s="148">
        <f>IFERROR(__xludf.DUMMYFUNCTION("""COMPUTED_VALUE"""),1.1119346E7)</f>
        <v>11119346</v>
      </c>
      <c r="B2434" s="148" t="str">
        <f>IFERROR(__xludf.DUMMYFUNCTION("""COMPUTED_VALUE"""),"春节自选周卡解锁schema6-3")</f>
        <v>春节自选周卡解锁schema6-3</v>
      </c>
      <c r="C2434" s="148"/>
      <c r="D2434" s="148" t="str">
        <f>IFERROR(__xludf.DUMMYFUNCTION("""COMPUTED_VALUE"""),"item_subscription")</f>
        <v>item_subscription</v>
      </c>
      <c r="E2434" s="148">
        <f>IFERROR(__xludf.DUMMYFUNCTION("""COMPUTED_VALUE"""),0.0)</f>
        <v>0</v>
      </c>
      <c r="F2434" s="148">
        <f>IFERROR(__xludf.DUMMYFUNCTION("""COMPUTED_VALUE"""),404200.0)</f>
        <v>404200</v>
      </c>
      <c r="G2434" s="148">
        <f>IFERROR(__xludf.DUMMYFUNCTION("""COMPUTED_VALUE"""),1.51101543E8)</f>
        <v>151101543</v>
      </c>
      <c r="H2434" s="148">
        <f>IFERROR(__xludf.DUMMYFUNCTION("""COMPUTED_VALUE"""),1.5112562E7)</f>
        <v>15112562</v>
      </c>
      <c r="I2434" s="148" t="str">
        <f>IFERROR(__xludf.DUMMYFUNCTION("""COMPUTED_VALUE"""),"{}")</f>
        <v>{}</v>
      </c>
      <c r="J2434" s="148" t="str">
        <f>IFERROR(__xludf.DUMMYFUNCTION("""COMPUTED_VALUE"""),"{""typ"":""lc"",""txt"":""LC_EVENT_sci_time_card_title_2025_3""}")</f>
        <v>{"typ":"lc","txt":"LC_EVENT_sci_time_card_title_2025_3"}</v>
      </c>
      <c r="K2434" s="148" t="str">
        <f>IFERROR(__xludf.DUMMYFUNCTION("""COMPUTED_VALUE"""),"{}")</f>
        <v>{}</v>
      </c>
      <c r="L2434" s="148" t="str">
        <f>IFERROR(__xludf.DUMMYFUNCTION("""COMPUTED_VALUE"""),"{}")</f>
        <v>{}</v>
      </c>
      <c r="M2434" s="148">
        <f>IFERROR(__xludf.DUMMYFUNCTION("""COMPUTED_VALUE"""),1000.0)</f>
        <v>1000</v>
      </c>
      <c r="N2434" s="148">
        <f>IFERROR(__xludf.DUMMYFUNCTION("""COMPUTED_VALUE"""),9.99999999E8)</f>
        <v>999999999</v>
      </c>
      <c r="O2434" s="148">
        <f>IFERROR(__xludf.DUMMYFUNCTION("""COMPUTED_VALUE"""),9.99999999E8)</f>
        <v>999999999</v>
      </c>
      <c r="P2434" s="148">
        <f>IFERROR(__xludf.DUMMYFUNCTION("""COMPUTED_VALUE"""),9.99999999E8)</f>
        <v>999999999</v>
      </c>
      <c r="Q2434" s="148" t="str">
        <f>IFERROR(__xludf.DUMMYFUNCTION("""COMPUTED_VALUE"""),"[""bag_other""]")</f>
        <v>["bag_other"]</v>
      </c>
      <c r="R2434" s="148" t="str">
        <f>IFERROR(__xludf.DUMMYFUNCTION("""COMPUTED_VALUE"""),"[]")</f>
        <v>[]</v>
      </c>
      <c r="S2434" s="148" t="str">
        <f>IFERROR(__xludf.DUMMYFUNCTION("""COMPUTED_VALUE"""),"{""effect"":[{""typ"":""item_subscription"",""id"":2013400155}]}")</f>
        <v>{"effect":[{"typ":"item_subscription","id":2013400155}]}</v>
      </c>
      <c r="T2434" s="148">
        <f>IFERROR(__xludf.DUMMYFUNCTION("""COMPUTED_VALUE"""),-1.0)</f>
        <v>-1</v>
      </c>
      <c r="U2434" s="148">
        <f>IFERROR(__xludf.DUMMYFUNCTION("""COMPUTED_VALUE"""),1.0)</f>
        <v>1</v>
      </c>
      <c r="V2434" s="148" t="str">
        <f>IFERROR(__xludf.DUMMYFUNCTION("""COMPUTED_VALUE"""),"[]")</f>
        <v>[]</v>
      </c>
      <c r="W2434" s="148">
        <f>IFERROR(__xludf.DUMMYFUNCTION("""COMPUTED_VALUE"""),1.174E7)</f>
        <v>11740000</v>
      </c>
      <c r="X2434" s="148">
        <f>IFERROR(__xludf.DUMMYFUNCTION("""COMPUTED_VALUE"""),0.0)</f>
        <v>0</v>
      </c>
      <c r="Y2434" s="148">
        <f>IFERROR(__xludf.DUMMYFUNCTION("""COMPUTED_VALUE"""),0.0)</f>
        <v>0</v>
      </c>
      <c r="Z2434" s="148"/>
    </row>
    <row r="2435">
      <c r="A2435" s="148">
        <f>IFERROR(__xludf.DUMMYFUNCTION("""COMPUTED_VALUE"""),1.1119347E7)</f>
        <v>11119347</v>
      </c>
      <c r="B2435" s="148" t="str">
        <f>IFERROR(__xludf.DUMMYFUNCTION("""COMPUTED_VALUE"""),"黑五皮肤随机宝箱-schema3-5($3.24)")</f>
        <v>黑五皮肤随机宝箱-schema3-5($3.24)</v>
      </c>
      <c r="C2435" s="148"/>
      <c r="D2435" s="148" t="str">
        <f>IFERROR(__xludf.DUMMYFUNCTION("""COMPUTED_VALUE"""),"item_asset")</f>
        <v>item_asset</v>
      </c>
      <c r="E2435" s="148">
        <f>IFERROR(__xludf.DUMMYFUNCTION("""COMPUTED_VALUE"""),19.0)</f>
        <v>19</v>
      </c>
      <c r="F2435" s="148">
        <f>IFERROR(__xludf.DUMMYFUNCTION("""COMPUTED_VALUE"""),403308.0)</f>
        <v>403308</v>
      </c>
      <c r="G2435" s="148">
        <f>IFERROR(__xludf.DUMMYFUNCTION("""COMPUTED_VALUE"""),1.51103213E8)</f>
        <v>151103213</v>
      </c>
      <c r="H2435" s="148">
        <f>IFERROR(__xludf.DUMMYFUNCTION("""COMPUTED_VALUE"""),1.5112564E7)</f>
        <v>15112564</v>
      </c>
      <c r="I2435" s="148" t="str">
        <f>IFERROR(__xludf.DUMMYFUNCTION("""COMPUTED_VALUE"""),"{}")</f>
        <v>{}</v>
      </c>
      <c r="J2435" s="148" t="str">
        <f>IFERROR(__xludf.DUMMYFUNCTION("""COMPUTED_VALUE"""),"{""typ"":""lc"",""txt"":""LC_ITEM_black_friday_skin_gacha2025_tittle1""}")</f>
        <v>{"typ":"lc","txt":"LC_ITEM_black_friday_skin_gacha2025_tittle1"}</v>
      </c>
      <c r="K2435" s="148" t="str">
        <f>IFERROR(__xludf.DUMMYFUNCTION("""COMPUTED_VALUE"""),"{""typ"":""lc"",""txt"":""LC_ITEM_black_friday_skin_gacha2025_desc""}")</f>
        <v>{"typ":"lc","txt":"LC_ITEM_black_friday_skin_gacha2025_desc"}</v>
      </c>
      <c r="L2435" s="148" t="str">
        <f>IFERROR(__xludf.DUMMYFUNCTION("""COMPUTED_VALUE"""),"{}")</f>
        <v>{}</v>
      </c>
      <c r="M2435" s="148">
        <f>IFERROR(__xludf.DUMMYFUNCTION("""COMPUTED_VALUE"""),135.0)</f>
        <v>135</v>
      </c>
      <c r="N2435" s="148">
        <f>IFERROR(__xludf.DUMMYFUNCTION("""COMPUTED_VALUE"""),999999.0)</f>
        <v>999999</v>
      </c>
      <c r="O2435" s="148">
        <f>IFERROR(__xludf.DUMMYFUNCTION("""COMPUTED_VALUE"""),99999.0)</f>
        <v>99999</v>
      </c>
      <c r="P2435" s="148">
        <f>IFERROR(__xludf.DUMMYFUNCTION("""COMPUTED_VALUE"""),9999.0)</f>
        <v>9999</v>
      </c>
      <c r="Q2435" s="148" t="str">
        <f>IFERROR(__xludf.DUMMYFUNCTION("""COMPUTED_VALUE"""),"[""bag_other""]")</f>
        <v>["bag_other"]</v>
      </c>
      <c r="R2435" s="148" t="str">
        <f>IFERROR(__xludf.DUMMYFUNCTION("""COMPUTED_VALUE"""),"[""bag""]")</f>
        <v>["bag"]</v>
      </c>
      <c r="S2435" s="148" t="str">
        <f>IFERROR(__xludf.DUMMYFUNCTION("""COMPUTED_VALUE"""),"{""drop"":{""typ"":""single_random"",""num"":1,""args"":[{""typ"":""item"",""id"":11118663,""num"":1,""wgt"":1000},{""typ"":""item"",""id"":11118203,""num"":1,""wgt"":1000},{""typ"":""item"",""id"":11116304,""num"":1,""wgt"":1000},{""typ"":""item"",""id"""&amp;":11111106,""num"":3,""wgt"":1000},{""typ"":""item"",""id"":11119349,""num"":1,""wgt"":20}]}}")</f>
        <v>{"drop":{"typ":"single_random","num":1,"args":[{"typ":"item","id":11118663,"num":1,"wgt":1000},{"typ":"item","id":11118203,"num":1,"wgt":1000},{"typ":"item","id":11116304,"num":1,"wgt":1000},{"typ":"item","id":11111106,"num":3,"wgt":1000},{"typ":"item","id":11119349,"num":1,"wgt":20}]}}</v>
      </c>
      <c r="T2435" s="148">
        <f>IFERROR(__xludf.DUMMYFUNCTION("""COMPUTED_VALUE"""),-1.0)</f>
        <v>-1</v>
      </c>
      <c r="U2435" s="148">
        <f>IFERROR(__xludf.DUMMYFUNCTION("""COMPUTED_VALUE"""),0.0)</f>
        <v>0</v>
      </c>
      <c r="V2435" s="148" t="str">
        <f>IFERROR(__xludf.DUMMYFUNCTION("""COMPUTED_VALUE"""),"[]")</f>
        <v>[]</v>
      </c>
      <c r="W2435" s="148">
        <f>IFERROR(__xludf.DUMMYFUNCTION("""COMPUTED_VALUE"""),1.174E7)</f>
        <v>11740000</v>
      </c>
      <c r="X2435" s="148">
        <f>IFERROR(__xludf.DUMMYFUNCTION("""COMPUTED_VALUE"""),0.0)</f>
        <v>0</v>
      </c>
      <c r="Y2435" s="148">
        <f>IFERROR(__xludf.DUMMYFUNCTION("""COMPUTED_VALUE"""),0.0)</f>
        <v>0</v>
      </c>
      <c r="Z2435" s="148"/>
    </row>
    <row r="2436">
      <c r="A2436" s="148">
        <f>IFERROR(__xludf.DUMMYFUNCTION("""COMPUTED_VALUE"""),1.1119348E7)</f>
        <v>11119348</v>
      </c>
      <c r="B2436" s="148" t="str">
        <f>IFERROR(__xludf.DUMMYFUNCTION("""COMPUTED_VALUE"""),"黑五皮肤随机宝箱-schema6($3.24)")</f>
        <v>黑五皮肤随机宝箱-schema6($3.24)</v>
      </c>
      <c r="C2436" s="148"/>
      <c r="D2436" s="148" t="str">
        <f>IFERROR(__xludf.DUMMYFUNCTION("""COMPUTED_VALUE"""),"item_asset")</f>
        <v>item_asset</v>
      </c>
      <c r="E2436" s="148">
        <f>IFERROR(__xludf.DUMMYFUNCTION("""COMPUTED_VALUE"""),19.0)</f>
        <v>19</v>
      </c>
      <c r="F2436" s="148">
        <f>IFERROR(__xludf.DUMMYFUNCTION("""COMPUTED_VALUE"""),403308.0)</f>
        <v>403308</v>
      </c>
      <c r="G2436" s="148">
        <f>IFERROR(__xludf.DUMMYFUNCTION("""COMPUTED_VALUE"""),1.51103214E8)</f>
        <v>151103214</v>
      </c>
      <c r="H2436" s="148">
        <f>IFERROR(__xludf.DUMMYFUNCTION("""COMPUTED_VALUE"""),1.5112564E7)</f>
        <v>15112564</v>
      </c>
      <c r="I2436" s="148" t="str">
        <f>IFERROR(__xludf.DUMMYFUNCTION("""COMPUTED_VALUE"""),"{}")</f>
        <v>{}</v>
      </c>
      <c r="J2436" s="148" t="str">
        <f>IFERROR(__xludf.DUMMYFUNCTION("""COMPUTED_VALUE"""),"{""typ"":""lc"",""txt"":""LC_ITEM_black_friday_skin_gacha2025_tittle2""}")</f>
        <v>{"typ":"lc","txt":"LC_ITEM_black_friday_skin_gacha2025_tittle2"}</v>
      </c>
      <c r="K2436" s="148" t="str">
        <f>IFERROR(__xludf.DUMMYFUNCTION("""COMPUTED_VALUE"""),"{""typ"":""lc"",""txt"":""LC_ITEM_black_friday_skin_gacha2025_desc""}")</f>
        <v>{"typ":"lc","txt":"LC_ITEM_black_friday_skin_gacha2025_desc"}</v>
      </c>
      <c r="L2436" s="148" t="str">
        <f>IFERROR(__xludf.DUMMYFUNCTION("""COMPUTED_VALUE"""),"{}")</f>
        <v>{}</v>
      </c>
      <c r="M2436" s="148">
        <f>IFERROR(__xludf.DUMMYFUNCTION("""COMPUTED_VALUE"""),135.0)</f>
        <v>135</v>
      </c>
      <c r="N2436" s="148">
        <f>IFERROR(__xludf.DUMMYFUNCTION("""COMPUTED_VALUE"""),999999.0)</f>
        <v>999999</v>
      </c>
      <c r="O2436" s="148">
        <f>IFERROR(__xludf.DUMMYFUNCTION("""COMPUTED_VALUE"""),99999.0)</f>
        <v>99999</v>
      </c>
      <c r="P2436" s="148">
        <f>IFERROR(__xludf.DUMMYFUNCTION("""COMPUTED_VALUE"""),9999.0)</f>
        <v>9999</v>
      </c>
      <c r="Q2436" s="148" t="str">
        <f>IFERROR(__xludf.DUMMYFUNCTION("""COMPUTED_VALUE"""),"[""bag_other""]")</f>
        <v>["bag_other"]</v>
      </c>
      <c r="R2436" s="148" t="str">
        <f>IFERROR(__xludf.DUMMYFUNCTION("""COMPUTED_VALUE"""),"[""bag""]")</f>
        <v>["bag"]</v>
      </c>
      <c r="S2436" s="148" t="str">
        <f>IFERROR(__xludf.DUMMYFUNCTION("""COMPUTED_VALUE"""),"{""drop"":{""typ"":""single_random"",""num"":1,""args"":[{""typ"":""item"",""id"":11118709,""num"":1,""wgt"":1000},{""typ"":""item"",""id"":11118203,""num"":1,""wgt"":1000},{""typ"":""item"",""id"":11116304,""num"":1,""wgt"":1000},{""typ"":""item"",""id"""&amp;":11111106,""num"":3,""wgt"":1000},{""typ"":""item"",""id"":11119349,""num"":1,""wgt"":20}]}}")</f>
        <v>{"drop":{"typ":"single_random","num":1,"args":[{"typ":"item","id":11118709,"num":1,"wgt":1000},{"typ":"item","id":11118203,"num":1,"wgt":1000},{"typ":"item","id":11116304,"num":1,"wgt":1000},{"typ":"item","id":11111106,"num":3,"wgt":1000},{"typ":"item","id":11119349,"num":1,"wgt":20}]}}</v>
      </c>
      <c r="T2436" s="148">
        <f>IFERROR(__xludf.DUMMYFUNCTION("""COMPUTED_VALUE"""),-1.0)</f>
        <v>-1</v>
      </c>
      <c r="U2436" s="148">
        <f>IFERROR(__xludf.DUMMYFUNCTION("""COMPUTED_VALUE"""),0.0)</f>
        <v>0</v>
      </c>
      <c r="V2436" s="148" t="str">
        <f>IFERROR(__xludf.DUMMYFUNCTION("""COMPUTED_VALUE"""),"[]")</f>
        <v>[]</v>
      </c>
      <c r="W2436" s="148">
        <f>IFERROR(__xludf.DUMMYFUNCTION("""COMPUTED_VALUE"""),1.174E7)</f>
        <v>11740000</v>
      </c>
      <c r="X2436" s="148">
        <f>IFERROR(__xludf.DUMMYFUNCTION("""COMPUTED_VALUE"""),0.0)</f>
        <v>0</v>
      </c>
      <c r="Y2436" s="148">
        <f>IFERROR(__xludf.DUMMYFUNCTION("""COMPUTED_VALUE"""),0.0)</f>
        <v>0</v>
      </c>
      <c r="Z2436" s="148"/>
    </row>
    <row r="2437">
      <c r="A2437" s="148">
        <f>IFERROR(__xludf.DUMMYFUNCTION("""COMPUTED_VALUE"""),1.1119349E7)</f>
        <v>11119349</v>
      </c>
      <c r="B2437" s="148" t="str">
        <f>IFERROR(__xludf.DUMMYFUNCTION("""COMPUTED_VALUE"""),"黑五皮肤自选宝箱")</f>
        <v>黑五皮肤自选宝箱</v>
      </c>
      <c r="C2437" s="148"/>
      <c r="D2437" s="148" t="str">
        <f>IFERROR(__xludf.DUMMYFUNCTION("""COMPUTED_VALUE"""),"item_select_box")</f>
        <v>item_select_box</v>
      </c>
      <c r="E2437" s="148">
        <f>IFERROR(__xludf.DUMMYFUNCTION("""COMPUTED_VALUE"""),19.0)</f>
        <v>19</v>
      </c>
      <c r="F2437" s="148">
        <f>IFERROR(__xludf.DUMMYFUNCTION("""COMPUTED_VALUE"""),408195.0)</f>
        <v>408195</v>
      </c>
      <c r="G2437" s="148">
        <f>IFERROR(__xludf.DUMMYFUNCTION("""COMPUTED_VALUE"""),1.51103215E8)</f>
        <v>151103215</v>
      </c>
      <c r="H2437" s="148">
        <f>IFERROR(__xludf.DUMMYFUNCTION("""COMPUTED_VALUE"""),1.5112564E7)</f>
        <v>15112564</v>
      </c>
      <c r="I2437" s="148" t="str">
        <f>IFERROR(__xludf.DUMMYFUNCTION("""COMPUTED_VALUE"""),"{}")</f>
        <v>{}</v>
      </c>
      <c r="J2437" s="148" t="str">
        <f>IFERROR(__xludf.DUMMYFUNCTION("""COMPUTED_VALUE"""),"{""typ"":""lc"",""txt"":""LC_ITEM_black_friday_skin_choose2025_tittle""}")</f>
        <v>{"typ":"lc","txt":"LC_ITEM_black_friday_skin_choose2025_tittle"}</v>
      </c>
      <c r="K2437" s="148" t="str">
        <f>IFERROR(__xludf.DUMMYFUNCTION("""COMPUTED_VALUE"""),"{""typ"":""lc"",""txt"":""LC_ITEM_black_friday_skin_choose2025_desc1""}")</f>
        <v>{"typ":"lc","txt":"LC_ITEM_black_friday_skin_choose2025_desc1"}</v>
      </c>
      <c r="L2437" s="148" t="str">
        <f>IFERROR(__xludf.DUMMYFUNCTION("""COMPUTED_VALUE"""),"{}")</f>
        <v>{}</v>
      </c>
      <c r="M2437" s="148">
        <f>IFERROR(__xludf.DUMMYFUNCTION("""COMPUTED_VALUE"""),1000.0)</f>
        <v>1000</v>
      </c>
      <c r="N2437" s="148">
        <f>IFERROR(__xludf.DUMMYFUNCTION("""COMPUTED_VALUE"""),9999999.0)</f>
        <v>9999999</v>
      </c>
      <c r="O2437" s="148">
        <f>IFERROR(__xludf.DUMMYFUNCTION("""COMPUTED_VALUE"""),99999.0)</f>
        <v>99999</v>
      </c>
      <c r="P2437" s="148">
        <f>IFERROR(__xludf.DUMMYFUNCTION("""COMPUTED_VALUE"""),99999.0)</f>
        <v>99999</v>
      </c>
      <c r="Q2437" s="148" t="str">
        <f>IFERROR(__xludf.DUMMYFUNCTION("""COMPUTED_VALUE"""),"[""bag_other""]")</f>
        <v>["bag_other"]</v>
      </c>
      <c r="R2437" s="148" t="str">
        <f>IFERROR(__xludf.DUMMYFUNCTION("""COMPUTED_VALUE"""),"[""bag""]")</f>
        <v>["bag"]</v>
      </c>
      <c r="S2437" s="148" t="str">
        <f>IFERROR(__xludf.DUMMYFUNCTION("""COMPUTED_VALUE"""),"{""select_box"":[{""typ"":""item"",""id"":11111341,""val"":1},{""typ"":""item"",""id"":11111337,""val"":1},{""typ"":""item"",""id"":11112439,""val"":1},{""typ"":""item"",""id"":11112310,""val"":1},{""typ"":""item"",""id"":11117497,""val"":1},{""typ"":""it"&amp;"em"",""id"":11111344,""val"":1},{""typ"":""item"",""id"":11117330,""val"":1},{""typ"":""item"",""id"":11117246,""val"":1},{""typ"":""item"",""id"":11111334,""val"":1},{""typ"":""item"",""id"":11111331,""val"":1},{""typ"":""item"",""id"":11117085,""val"":1"&amp;"}]}")</f>
        <v>{"select_box":[{"typ":"item","id":11111341,"val":1},{"typ":"item","id":11111337,"val":1},{"typ":"item","id":11112439,"val":1},{"typ":"item","id":11112310,"val":1},{"typ":"item","id":11117497,"val":1},{"typ":"item","id":11111344,"val":1},{"typ":"item","id":11117330,"val":1},{"typ":"item","id":11117246,"val":1},{"typ":"item","id":11111334,"val":1},{"typ":"item","id":11111331,"val":1},{"typ":"item","id":11117085,"val":1}]}</v>
      </c>
      <c r="T2437" s="148">
        <f>IFERROR(__xludf.DUMMYFUNCTION("""COMPUTED_VALUE"""),-1.0)</f>
        <v>-1</v>
      </c>
      <c r="U2437" s="148">
        <f>IFERROR(__xludf.DUMMYFUNCTION("""COMPUTED_VALUE"""),0.0)</f>
        <v>0</v>
      </c>
      <c r="V2437" s="148" t="str">
        <f>IFERROR(__xludf.DUMMYFUNCTION("""COMPUTED_VALUE"""),"[]")</f>
        <v>[]</v>
      </c>
      <c r="W2437" s="148">
        <f>IFERROR(__xludf.DUMMYFUNCTION("""COMPUTED_VALUE"""),1.1741002E7)</f>
        <v>11741002</v>
      </c>
      <c r="X2437" s="148">
        <f>IFERROR(__xludf.DUMMYFUNCTION("""COMPUTED_VALUE"""),0.0)</f>
        <v>0</v>
      </c>
      <c r="Y2437" s="148">
        <f>IFERROR(__xludf.DUMMYFUNCTION("""COMPUTED_VALUE"""),0.0)</f>
        <v>0</v>
      </c>
      <c r="Z2437" s="148"/>
    </row>
    <row r="2438">
      <c r="A2438" s="148">
        <f>IFERROR(__xludf.DUMMYFUNCTION("""COMPUTED_VALUE"""),1.111935E7)</f>
        <v>11119350</v>
      </c>
      <c r="B2438" s="148" t="str">
        <f>IFERROR(__xludf.DUMMYFUNCTION("""COMPUTED_VALUE"""),"黑五成长线随机箱schema3-5($2)")</f>
        <v>黑五成长线随机箱schema3-5($2)</v>
      </c>
      <c r="C2438" s="148"/>
      <c r="D2438" s="148" t="str">
        <f>IFERROR(__xludf.DUMMYFUNCTION("""COMPUTED_VALUE"""),"item_asset")</f>
        <v>item_asset</v>
      </c>
      <c r="E2438" s="148">
        <f>IFERROR(__xludf.DUMMYFUNCTION("""COMPUTED_VALUE"""),19.0)</f>
        <v>19</v>
      </c>
      <c r="F2438" s="148">
        <f>IFERROR(__xludf.DUMMYFUNCTION("""COMPUTED_VALUE"""),403308.0)</f>
        <v>403308</v>
      </c>
      <c r="G2438" s="148">
        <f>IFERROR(__xludf.DUMMYFUNCTION("""COMPUTED_VALUE"""),1.51103216E8)</f>
        <v>151103216</v>
      </c>
      <c r="H2438" s="148">
        <f>IFERROR(__xludf.DUMMYFUNCTION("""COMPUTED_VALUE"""),1.5112564E7)</f>
        <v>15112564</v>
      </c>
      <c r="I2438" s="148" t="str">
        <f>IFERROR(__xludf.DUMMYFUNCTION("""COMPUTED_VALUE"""),"{}")</f>
        <v>{}</v>
      </c>
      <c r="J2438" s="148" t="str">
        <f>IFERROR(__xludf.DUMMYFUNCTION("""COMPUTED_VALUE"""),"{""typ"":""lc"",""txt"":""LC_ITEM_black_friday_grown_gacha2025_tittle1""}")</f>
        <v>{"typ":"lc","txt":"LC_ITEM_black_friday_grown_gacha2025_tittle1"}</v>
      </c>
      <c r="K2438" s="148" t="str">
        <f>IFERROR(__xludf.DUMMYFUNCTION("""COMPUTED_VALUE"""),"{""typ"":""lc"",""txt"":""LC_ITEM_black_friday_skin_gacha2025_desc""}")</f>
        <v>{"typ":"lc","txt":"LC_ITEM_black_friday_skin_gacha2025_desc"}</v>
      </c>
      <c r="L2438" s="148" t="str">
        <f>IFERROR(__xludf.DUMMYFUNCTION("""COMPUTED_VALUE"""),"{}")</f>
        <v>{}</v>
      </c>
      <c r="M2438" s="148">
        <f>IFERROR(__xludf.DUMMYFUNCTION("""COMPUTED_VALUE"""),135.0)</f>
        <v>135</v>
      </c>
      <c r="N2438" s="148">
        <f>IFERROR(__xludf.DUMMYFUNCTION("""COMPUTED_VALUE"""),999999.0)</f>
        <v>999999</v>
      </c>
      <c r="O2438" s="148">
        <f>IFERROR(__xludf.DUMMYFUNCTION("""COMPUTED_VALUE"""),99999.0)</f>
        <v>99999</v>
      </c>
      <c r="P2438" s="148">
        <f>IFERROR(__xludf.DUMMYFUNCTION("""COMPUTED_VALUE"""),9999.0)</f>
        <v>9999</v>
      </c>
      <c r="Q2438" s="148" t="str">
        <f>IFERROR(__xludf.DUMMYFUNCTION("""COMPUTED_VALUE"""),"[""bag_other""]")</f>
        <v>["bag_other"]</v>
      </c>
      <c r="R2438" s="148" t="str">
        <f>IFERROR(__xludf.DUMMYFUNCTION("""COMPUTED_VALUE"""),"[""bag""]")</f>
        <v>["bag"]</v>
      </c>
      <c r="S2438" s="148" t="str">
        <f>IFERROR(__xludf.DUMMYFUNCTION("""COMPUTED_VALUE"""),"{""drop"":{""typ"":""single_random"",""num"":1,""args"":[{""typ"":""item"",""id"":11117069,""num"":3,""wgt"":1000},{""typ"":""item"",""id"":11118501,""num"":2,""wgt"":1000},{""typ"":""item"",""id"":11116604,""num"":4,""wgt"":1000},{""typ"":""material"","""&amp;"id"":19345004,""num"":8,""wgt"":1000},{""typ"":""item"",""id"":11116304,""num"":1,""wgt"":1000}]}}")</f>
        <v>{"drop":{"typ":"single_random","num":1,"args":[{"typ":"item","id":11117069,"num":3,"wgt":1000},{"typ":"item","id":11118501,"num":2,"wgt":1000},{"typ":"item","id":11116604,"num":4,"wgt":1000},{"typ":"material","id":19345004,"num":8,"wgt":1000},{"typ":"item","id":11116304,"num":1,"wgt":1000}]}}</v>
      </c>
      <c r="T2438" s="148">
        <f>IFERROR(__xludf.DUMMYFUNCTION("""COMPUTED_VALUE"""),-1.0)</f>
        <v>-1</v>
      </c>
      <c r="U2438" s="148">
        <f>IFERROR(__xludf.DUMMYFUNCTION("""COMPUTED_VALUE"""),0.0)</f>
        <v>0</v>
      </c>
      <c r="V2438" s="148" t="str">
        <f>IFERROR(__xludf.DUMMYFUNCTION("""COMPUTED_VALUE"""),"[]")</f>
        <v>[]</v>
      </c>
      <c r="W2438" s="148">
        <f>IFERROR(__xludf.DUMMYFUNCTION("""COMPUTED_VALUE"""),1.174E7)</f>
        <v>11740000</v>
      </c>
      <c r="X2438" s="148">
        <f>IFERROR(__xludf.DUMMYFUNCTION("""COMPUTED_VALUE"""),0.0)</f>
        <v>0</v>
      </c>
      <c r="Y2438" s="148">
        <f>IFERROR(__xludf.DUMMYFUNCTION("""COMPUTED_VALUE"""),0.0)</f>
        <v>0</v>
      </c>
      <c r="Z2438" s="148"/>
    </row>
    <row r="2439">
      <c r="A2439" s="148">
        <f>IFERROR(__xludf.DUMMYFUNCTION("""COMPUTED_VALUE"""),1.1119351E7)</f>
        <v>11119351</v>
      </c>
      <c r="B2439" s="148" t="str">
        <f>IFERROR(__xludf.DUMMYFUNCTION("""COMPUTED_VALUE"""),"黑五成长线随机箱schema6($2)")</f>
        <v>黑五成长线随机箱schema6($2)</v>
      </c>
      <c r="C2439" s="148"/>
      <c r="D2439" s="148" t="str">
        <f>IFERROR(__xludf.DUMMYFUNCTION("""COMPUTED_VALUE"""),"item_asset")</f>
        <v>item_asset</v>
      </c>
      <c r="E2439" s="148">
        <f>IFERROR(__xludf.DUMMYFUNCTION("""COMPUTED_VALUE"""),19.0)</f>
        <v>19</v>
      </c>
      <c r="F2439" s="148">
        <f>IFERROR(__xludf.DUMMYFUNCTION("""COMPUTED_VALUE"""),403308.0)</f>
        <v>403308</v>
      </c>
      <c r="G2439" s="148">
        <f>IFERROR(__xludf.DUMMYFUNCTION("""COMPUTED_VALUE"""),1.51103217E8)</f>
        <v>151103217</v>
      </c>
      <c r="H2439" s="148">
        <f>IFERROR(__xludf.DUMMYFUNCTION("""COMPUTED_VALUE"""),1.5112564E7)</f>
        <v>15112564</v>
      </c>
      <c r="I2439" s="148" t="str">
        <f>IFERROR(__xludf.DUMMYFUNCTION("""COMPUTED_VALUE"""),"{}")</f>
        <v>{}</v>
      </c>
      <c r="J2439" s="148" t="str">
        <f>IFERROR(__xludf.DUMMYFUNCTION("""COMPUTED_VALUE"""),"{""typ"":""lc"",""txt"":""LC_ITEM_black_friday_grown_gacha2025_tittle2""}")</f>
        <v>{"typ":"lc","txt":"LC_ITEM_black_friday_grown_gacha2025_tittle2"}</v>
      </c>
      <c r="K2439" s="148" t="str">
        <f>IFERROR(__xludf.DUMMYFUNCTION("""COMPUTED_VALUE"""),"{""typ"":""lc"",""txt"":""LC_ITEM_black_friday_skin_gacha2025_desc""}")</f>
        <v>{"typ":"lc","txt":"LC_ITEM_black_friday_skin_gacha2025_desc"}</v>
      </c>
      <c r="L2439" s="148" t="str">
        <f>IFERROR(__xludf.DUMMYFUNCTION("""COMPUTED_VALUE"""),"{}")</f>
        <v>{}</v>
      </c>
      <c r="M2439" s="148">
        <f>IFERROR(__xludf.DUMMYFUNCTION("""COMPUTED_VALUE"""),135.0)</f>
        <v>135</v>
      </c>
      <c r="N2439" s="148">
        <f>IFERROR(__xludf.DUMMYFUNCTION("""COMPUTED_VALUE"""),999999.0)</f>
        <v>999999</v>
      </c>
      <c r="O2439" s="148">
        <f>IFERROR(__xludf.DUMMYFUNCTION("""COMPUTED_VALUE"""),99999.0)</f>
        <v>99999</v>
      </c>
      <c r="P2439" s="148">
        <f>IFERROR(__xludf.DUMMYFUNCTION("""COMPUTED_VALUE"""),9999.0)</f>
        <v>9999</v>
      </c>
      <c r="Q2439" s="148" t="str">
        <f>IFERROR(__xludf.DUMMYFUNCTION("""COMPUTED_VALUE"""),"[""bag_other""]")</f>
        <v>["bag_other"]</v>
      </c>
      <c r="R2439" s="148" t="str">
        <f>IFERROR(__xludf.DUMMYFUNCTION("""COMPUTED_VALUE"""),"[""bag""]")</f>
        <v>["bag"]</v>
      </c>
      <c r="S2439" s="148" t="str">
        <f>IFERROR(__xludf.DUMMYFUNCTION("""COMPUTED_VALUE"""),"{""drop"":{""typ"":""single_random"",""num"":1,""args"":[{""typ"":""item"",""id"":11117511,""num"":1,""wgt"":1000},{""typ"":""item"",""id"":11118501,""num"":2,""wgt"":1000},{""typ"":""item"",""id"":11118681,""num"":3,""wgt"":1000},{""typ"":""item"",""id"""&amp;":11111042,""num"":3,""wgt"":1000},{""typ"":""item"",""id"":11116304,""num"":1,""wgt"":1000}]}}")</f>
        <v>{"drop":{"typ":"single_random","num":1,"args":[{"typ":"item","id":11117511,"num":1,"wgt":1000},{"typ":"item","id":11118501,"num":2,"wgt":1000},{"typ":"item","id":11118681,"num":3,"wgt":1000},{"typ":"item","id":11111042,"num":3,"wgt":1000},{"typ":"item","id":11116304,"num":1,"wgt":1000}]}}</v>
      </c>
      <c r="T2439" s="148">
        <f>IFERROR(__xludf.DUMMYFUNCTION("""COMPUTED_VALUE"""),-1.0)</f>
        <v>-1</v>
      </c>
      <c r="U2439" s="148">
        <f>IFERROR(__xludf.DUMMYFUNCTION("""COMPUTED_VALUE"""),0.0)</f>
        <v>0</v>
      </c>
      <c r="V2439" s="148" t="str">
        <f>IFERROR(__xludf.DUMMYFUNCTION("""COMPUTED_VALUE"""),"[]")</f>
        <v>[]</v>
      </c>
      <c r="W2439" s="148">
        <f>IFERROR(__xludf.DUMMYFUNCTION("""COMPUTED_VALUE"""),1.174E7)</f>
        <v>11740000</v>
      </c>
      <c r="X2439" s="148">
        <f>IFERROR(__xludf.DUMMYFUNCTION("""COMPUTED_VALUE"""),0.0)</f>
        <v>0</v>
      </c>
      <c r="Y2439" s="148">
        <f>IFERROR(__xludf.DUMMYFUNCTION("""COMPUTED_VALUE"""),0.0)</f>
        <v>0</v>
      </c>
      <c r="Z2439" s="148"/>
    </row>
    <row r="2440">
      <c r="A2440" s="148">
        <f>IFERROR(__xludf.DUMMYFUNCTION("""COMPUTED_VALUE"""),1.1119352E7)</f>
        <v>11119352</v>
      </c>
      <c r="B2440" s="148" t="str">
        <f>IFERROR(__xludf.DUMMYFUNCTION("""COMPUTED_VALUE"""),"黑五机甲芯片随机箱($1.35)")</f>
        <v>黑五机甲芯片随机箱($1.35)</v>
      </c>
      <c r="C2440" s="148"/>
      <c r="D2440" s="148" t="str">
        <f>IFERROR(__xludf.DUMMYFUNCTION("""COMPUTED_VALUE"""),"item_asset")</f>
        <v>item_asset</v>
      </c>
      <c r="E2440" s="148">
        <f>IFERROR(__xludf.DUMMYFUNCTION("""COMPUTED_VALUE"""),19.0)</f>
        <v>19</v>
      </c>
      <c r="F2440" s="148">
        <f>IFERROR(__xludf.DUMMYFUNCTION("""COMPUTED_VALUE"""),403308.0)</f>
        <v>403308</v>
      </c>
      <c r="G2440" s="148">
        <f>IFERROR(__xludf.DUMMYFUNCTION("""COMPUTED_VALUE"""),1.51103218E8)</f>
        <v>151103218</v>
      </c>
      <c r="H2440" s="148">
        <f>IFERROR(__xludf.DUMMYFUNCTION("""COMPUTED_VALUE"""),1.5112564E7)</f>
        <v>15112564</v>
      </c>
      <c r="I2440" s="148" t="str">
        <f>IFERROR(__xludf.DUMMYFUNCTION("""COMPUTED_VALUE"""),"{}")</f>
        <v>{}</v>
      </c>
      <c r="J2440" s="148" t="str">
        <f>IFERROR(__xludf.DUMMYFUNCTION("""COMPUTED_VALUE"""),"{""typ"":""lc"",""txt"":""LC_ITEM_black_friday_mecha_gacha2025_tittle""}")</f>
        <v>{"typ":"lc","txt":"LC_ITEM_black_friday_mecha_gacha2025_tittle"}</v>
      </c>
      <c r="K2440" s="148" t="str">
        <f>IFERROR(__xludf.DUMMYFUNCTION("""COMPUTED_VALUE"""),"{""typ"":""lc"",""txt"":""LC_ITEM_black_friday_skin_gacha2025_desc""}")</f>
        <v>{"typ":"lc","txt":"LC_ITEM_black_friday_skin_gacha2025_desc"}</v>
      </c>
      <c r="L2440" s="148" t="str">
        <f>IFERROR(__xludf.DUMMYFUNCTION("""COMPUTED_VALUE"""),"{}")</f>
        <v>{}</v>
      </c>
      <c r="M2440" s="148">
        <f>IFERROR(__xludf.DUMMYFUNCTION("""COMPUTED_VALUE"""),135.0)</f>
        <v>135</v>
      </c>
      <c r="N2440" s="148">
        <f>IFERROR(__xludf.DUMMYFUNCTION("""COMPUTED_VALUE"""),999999.0)</f>
        <v>999999</v>
      </c>
      <c r="O2440" s="148">
        <f>IFERROR(__xludf.DUMMYFUNCTION("""COMPUTED_VALUE"""),99999.0)</f>
        <v>99999</v>
      </c>
      <c r="P2440" s="148">
        <f>IFERROR(__xludf.DUMMYFUNCTION("""COMPUTED_VALUE"""),9999.0)</f>
        <v>9999</v>
      </c>
      <c r="Q2440" s="148" t="str">
        <f>IFERROR(__xludf.DUMMYFUNCTION("""COMPUTED_VALUE"""),"[""bag_other""]")</f>
        <v>["bag_other"]</v>
      </c>
      <c r="R2440" s="148" t="str">
        <f>IFERROR(__xludf.DUMMYFUNCTION("""COMPUTED_VALUE"""),"[""bag""]")</f>
        <v>["bag"]</v>
      </c>
      <c r="S2440" s="148" t="str">
        <f>IFERROR(__xludf.DUMMYFUNCTION("""COMPUTED_VALUE"""),"{""drop"":{""typ"":""single_random"",""num"":1,""args"":[{""typ"":""item"",""id"":11118203,""num"":1,""wgt"":1200},{""typ"":""item"",""id"":11118203,""num"":2,""wgt"":300},{""typ"":""item"",""id"":11118203,""num"":3,""wgt"":20},{""typ"":""item"",""id"":11"&amp;"118203,""num"":5,""wgt"":3},{""typ"":""item"",""id"":11118203,""num"":10,""wgt"":1}]}}")</f>
        <v>{"drop":{"typ":"single_random","num":1,"args":[{"typ":"item","id":11118203,"num":1,"wgt":1200},{"typ":"item","id":11118203,"num":2,"wgt":300},{"typ":"item","id":11118203,"num":3,"wgt":20},{"typ":"item","id":11118203,"num":5,"wgt":3},{"typ":"item","id":11118203,"num":10,"wgt":1}]}}</v>
      </c>
      <c r="T2440" s="148">
        <f>IFERROR(__xludf.DUMMYFUNCTION("""COMPUTED_VALUE"""),-1.0)</f>
        <v>-1</v>
      </c>
      <c r="U2440" s="148">
        <f>IFERROR(__xludf.DUMMYFUNCTION("""COMPUTED_VALUE"""),0.0)</f>
        <v>0</v>
      </c>
      <c r="V2440" s="148" t="str">
        <f>IFERROR(__xludf.DUMMYFUNCTION("""COMPUTED_VALUE"""),"[]")</f>
        <v>[]</v>
      </c>
      <c r="W2440" s="148">
        <f>IFERROR(__xludf.DUMMYFUNCTION("""COMPUTED_VALUE"""),1.174E7)</f>
        <v>11740000</v>
      </c>
      <c r="X2440" s="148">
        <f>IFERROR(__xludf.DUMMYFUNCTION("""COMPUTED_VALUE"""),0.0)</f>
        <v>0</v>
      </c>
      <c r="Y2440" s="148">
        <f>IFERROR(__xludf.DUMMYFUNCTION("""COMPUTED_VALUE"""),0.0)</f>
        <v>0</v>
      </c>
      <c r="Z2440" s="148"/>
    </row>
    <row r="2441">
      <c r="A2441" s="148">
        <f>IFERROR(__xludf.DUMMYFUNCTION("""COMPUTED_VALUE"""),1.111936E7)</f>
        <v>11119360</v>
      </c>
      <c r="B2441" s="148" t="str">
        <f>IFERROR(__xludf.DUMMYFUNCTION("""COMPUTED_VALUE"""),"图鉴1-商店--卡包1")</f>
        <v>图鉴1-商店--卡包1</v>
      </c>
      <c r="C2441" s="148"/>
      <c r="D2441" s="148" t="str">
        <f>IFERROR(__xludf.DUMMYFUNCTION("""COMPUTED_VALUE"""),"item_card_asset")</f>
        <v>item_card_asset</v>
      </c>
      <c r="E2441" s="148">
        <f>IFERROR(__xludf.DUMMYFUNCTION("""COMPUTED_VALUE"""),19.0)</f>
        <v>19</v>
      </c>
      <c r="F2441" s="148">
        <f>IFERROR(__xludf.DUMMYFUNCTION("""COMPUTED_VALUE"""),403308.0)</f>
        <v>403308</v>
      </c>
      <c r="G2441" s="148">
        <f>IFERROR(__xludf.DUMMYFUNCTION("""COMPUTED_VALUE"""),1.51103637E8)</f>
        <v>151103637</v>
      </c>
      <c r="H2441" s="148">
        <f>IFERROR(__xludf.DUMMYFUNCTION("""COMPUTED_VALUE"""),1.5112562E7)</f>
        <v>15112562</v>
      </c>
      <c r="I2441" s="148" t="str">
        <f>IFERROR(__xludf.DUMMYFUNCTION("""COMPUTED_VALUE"""),"{}")</f>
        <v>{}</v>
      </c>
      <c r="J2441" s="148" t="str">
        <f>IFERROR(__xludf.DUMMYFUNCTION("""COMPUTED_VALUE"""),"{""typ"":""lc"",""txt"":""LC_ASSET_card_gallary_book_1_group_box""}")</f>
        <v>{"typ":"lc","txt":"LC_ASSET_card_gallary_book_1_group_box"}</v>
      </c>
      <c r="K2441" s="148" t="str">
        <f>IFERROR(__xludf.DUMMYFUNCTION("""COMPUTED_VALUE"""),"{""typ"":""lc"",""txt"":""LC_ASSET_card_gallary_book_1_group_box_desc""}")</f>
        <v>{"typ":"lc","txt":"LC_ASSET_card_gallary_book_1_group_box_desc"}</v>
      </c>
      <c r="L2441" s="148" t="str">
        <f>IFERROR(__xludf.DUMMYFUNCTION("""COMPUTED_VALUE"""),"{}")</f>
        <v>{}</v>
      </c>
      <c r="M2441" s="148">
        <f>IFERROR(__xludf.DUMMYFUNCTION("""COMPUTED_VALUE"""),135.0)</f>
        <v>135</v>
      </c>
      <c r="N2441" s="148">
        <f>IFERROR(__xludf.DUMMYFUNCTION("""COMPUTED_VALUE"""),999999.0)</f>
        <v>999999</v>
      </c>
      <c r="O2441" s="148">
        <f>IFERROR(__xludf.DUMMYFUNCTION("""COMPUTED_VALUE"""),99999.0)</f>
        <v>99999</v>
      </c>
      <c r="P2441" s="148">
        <f>IFERROR(__xludf.DUMMYFUNCTION("""COMPUTED_VALUE"""),5.0)</f>
        <v>5</v>
      </c>
      <c r="Q2441" s="148" t="str">
        <f>IFERROR(__xludf.DUMMYFUNCTION("""COMPUTED_VALUE"""),"[""bag_other""]")</f>
        <v>["bag_other"]</v>
      </c>
      <c r="R2441" s="148" t="str">
        <f>IFERROR(__xludf.DUMMYFUNCTION("""COMPUTED_VALUE"""),"[""card"",""bag""]")</f>
        <v>["card","bag"]</v>
      </c>
      <c r="S2441" s="148" t="str">
        <f>IFERROR(__xludf.DUMMYFUNCTION("""COMPUTED_VALUE"""),"{""drop"":{""typ"":""single_random"",""num"":1,""args"":[{""typ"":""card_group"",""num"":1,""args"":[{""id"":60011001},{""id"":60021001}],""wgt"":10000}]}}")</f>
        <v>{"drop":{"typ":"single_random","num":1,"args":[{"typ":"card_group","num":1,"args":[{"id":60011001},{"id":60021001}],"wgt":10000}]}}</v>
      </c>
      <c r="T2441" s="148">
        <f>IFERROR(__xludf.DUMMYFUNCTION("""COMPUTED_VALUE"""),-1.0)</f>
        <v>-1</v>
      </c>
      <c r="U2441" s="148">
        <f>IFERROR(__xludf.DUMMYFUNCTION("""COMPUTED_VALUE"""),0.0)</f>
        <v>0</v>
      </c>
      <c r="V2441" s="148" t="str">
        <f>IFERROR(__xludf.DUMMYFUNCTION("""COMPUTED_VALUE"""),"[]")</f>
        <v>[]</v>
      </c>
      <c r="W2441" s="148">
        <f>IFERROR(__xludf.DUMMYFUNCTION("""COMPUTED_VALUE"""),1.174E7)</f>
        <v>11740000</v>
      </c>
      <c r="X2441" s="148">
        <f>IFERROR(__xludf.DUMMYFUNCTION("""COMPUTED_VALUE"""),0.0)</f>
        <v>0</v>
      </c>
      <c r="Y2441" s="148">
        <f>IFERROR(__xludf.DUMMYFUNCTION("""COMPUTED_VALUE"""),0.0)</f>
        <v>0</v>
      </c>
      <c r="Z2441" s="148"/>
    </row>
    <row r="2442">
      <c r="A2442" s="148">
        <f>IFERROR(__xludf.DUMMYFUNCTION("""COMPUTED_VALUE"""),1.1119361E7)</f>
        <v>11119361</v>
      </c>
      <c r="B2442" s="148" t="str">
        <f>IFERROR(__xludf.DUMMYFUNCTION("""COMPUTED_VALUE"""),"图鉴1-商店--卡包1-2星")</f>
        <v>图鉴1-商店--卡包1-2星</v>
      </c>
      <c r="C2442" s="148"/>
      <c r="D2442" s="148" t="str">
        <f>IFERROR(__xludf.DUMMYFUNCTION("""COMPUTED_VALUE"""),"item_card_asset")</f>
        <v>item_card_asset</v>
      </c>
      <c r="E2442" s="148">
        <f>IFERROR(__xludf.DUMMYFUNCTION("""COMPUTED_VALUE"""),19.0)</f>
        <v>19</v>
      </c>
      <c r="F2442" s="148">
        <f>IFERROR(__xludf.DUMMYFUNCTION("""COMPUTED_VALUE"""),403309.0)</f>
        <v>403309</v>
      </c>
      <c r="G2442" s="148">
        <f>IFERROR(__xludf.DUMMYFUNCTION("""COMPUTED_VALUE"""),1.51103638E8)</f>
        <v>151103638</v>
      </c>
      <c r="H2442" s="148">
        <f>IFERROR(__xludf.DUMMYFUNCTION("""COMPUTED_VALUE"""),1.5112563E7)</f>
        <v>15112563</v>
      </c>
      <c r="I2442" s="148" t="str">
        <f>IFERROR(__xludf.DUMMYFUNCTION("""COMPUTED_VALUE"""),"{}")</f>
        <v>{}</v>
      </c>
      <c r="J2442" s="148" t="str">
        <f>IFERROR(__xludf.DUMMYFUNCTION("""COMPUTED_VALUE"""),"{""typ"":""lc"",""txt"":""LC_ASSET_card_gallary_book_1_purple_box""}")</f>
        <v>{"typ":"lc","txt":"LC_ASSET_card_gallary_book_1_purple_box"}</v>
      </c>
      <c r="K2442" s="148" t="str">
        <f>IFERROR(__xludf.DUMMYFUNCTION("""COMPUTED_VALUE"""),"{""typ"":""lc"",""txt"":""LC_ASSET_card_gallary_book_purple_box_desc""}")</f>
        <v>{"typ":"lc","txt":"LC_ASSET_card_gallary_book_purple_box_desc"}</v>
      </c>
      <c r="L2442" s="148" t="str">
        <f>IFERROR(__xludf.DUMMYFUNCTION("""COMPUTED_VALUE"""),"{}")</f>
        <v>{}</v>
      </c>
      <c r="M2442" s="148">
        <f>IFERROR(__xludf.DUMMYFUNCTION("""COMPUTED_VALUE"""),135.0)</f>
        <v>135</v>
      </c>
      <c r="N2442" s="148">
        <f>IFERROR(__xludf.DUMMYFUNCTION("""COMPUTED_VALUE"""),999999.0)</f>
        <v>999999</v>
      </c>
      <c r="O2442" s="148">
        <f>IFERROR(__xludf.DUMMYFUNCTION("""COMPUTED_VALUE"""),99999.0)</f>
        <v>99999</v>
      </c>
      <c r="P2442" s="148">
        <f>IFERROR(__xludf.DUMMYFUNCTION("""COMPUTED_VALUE"""),5.0)</f>
        <v>5</v>
      </c>
      <c r="Q2442" s="148" t="str">
        <f>IFERROR(__xludf.DUMMYFUNCTION("""COMPUTED_VALUE"""),"[""bag_other""]")</f>
        <v>["bag_other"]</v>
      </c>
      <c r="R2442" s="148" t="str">
        <f>IFERROR(__xludf.DUMMYFUNCTION("""COMPUTED_VALUE"""),"[""card"",""bag""]")</f>
        <v>["card","bag"]</v>
      </c>
      <c r="S2442" s="148" t="str">
        <f>IFERROR(__xludf.DUMMYFUNCTION("""COMPUTED_VALUE"""),"{""drop"":{""typ"":""single_random"",""num"":1,""args"":[{""typ"":""card_star"",""id"":3,""num"":1,""args"":[{""id"":60011001}],""wgt"":9000},{""typ"":""card_star"",""id"":4,""num"":1,""args"":[{""id"":60011001}],""wgt"":1000}]}}")</f>
        <v>{"drop":{"typ":"single_random","num":1,"args":[{"typ":"card_star","id":3,"num":1,"args":[{"id":60011001}],"wgt":9000},{"typ":"card_star","id":4,"num":1,"args":[{"id":60011001}],"wgt":1000}]}}</v>
      </c>
      <c r="T2442" s="148">
        <f>IFERROR(__xludf.DUMMYFUNCTION("""COMPUTED_VALUE"""),-1.0)</f>
        <v>-1</v>
      </c>
      <c r="U2442" s="148">
        <f>IFERROR(__xludf.DUMMYFUNCTION("""COMPUTED_VALUE"""),0.0)</f>
        <v>0</v>
      </c>
      <c r="V2442" s="148" t="str">
        <f>IFERROR(__xludf.DUMMYFUNCTION("""COMPUTED_VALUE"""),"[]")</f>
        <v>[]</v>
      </c>
      <c r="W2442" s="148">
        <f>IFERROR(__xludf.DUMMYFUNCTION("""COMPUTED_VALUE"""),1.174E7)</f>
        <v>11740000</v>
      </c>
      <c r="X2442" s="148">
        <f>IFERROR(__xludf.DUMMYFUNCTION("""COMPUTED_VALUE"""),0.0)</f>
        <v>0</v>
      </c>
      <c r="Y2442" s="148">
        <f>IFERROR(__xludf.DUMMYFUNCTION("""COMPUTED_VALUE"""),0.0)</f>
        <v>0</v>
      </c>
      <c r="Z2442" s="148"/>
    </row>
    <row r="2443">
      <c r="A2443" s="148">
        <f>IFERROR(__xludf.DUMMYFUNCTION("""COMPUTED_VALUE"""),1.1119362E7)</f>
        <v>11119362</v>
      </c>
      <c r="B2443" s="148" t="str">
        <f>IFERROR(__xludf.DUMMYFUNCTION("""COMPUTED_VALUE"""),"图鉴1-商店--卡包1-3星")</f>
        <v>图鉴1-商店--卡包1-3星</v>
      </c>
      <c r="C2443" s="148"/>
      <c r="D2443" s="148" t="str">
        <f>IFERROR(__xludf.DUMMYFUNCTION("""COMPUTED_VALUE"""),"item_card_asset")</f>
        <v>item_card_asset</v>
      </c>
      <c r="E2443" s="148">
        <f>IFERROR(__xludf.DUMMYFUNCTION("""COMPUTED_VALUE"""),19.0)</f>
        <v>19</v>
      </c>
      <c r="F2443" s="148">
        <f>IFERROR(__xludf.DUMMYFUNCTION("""COMPUTED_VALUE"""),403310.0)</f>
        <v>403310</v>
      </c>
      <c r="G2443" s="148">
        <f>IFERROR(__xludf.DUMMYFUNCTION("""COMPUTED_VALUE"""),1.51103639E8)</f>
        <v>151103639</v>
      </c>
      <c r="H2443" s="148">
        <f>IFERROR(__xludf.DUMMYFUNCTION("""COMPUTED_VALUE"""),1.5112564E7)</f>
        <v>15112564</v>
      </c>
      <c r="I2443" s="148" t="str">
        <f>IFERROR(__xludf.DUMMYFUNCTION("""COMPUTED_VALUE"""),"{}")</f>
        <v>{}</v>
      </c>
      <c r="J2443" s="148" t="str">
        <f>IFERROR(__xludf.DUMMYFUNCTION("""COMPUTED_VALUE"""),"{""typ"":""lc"",""txt"":""LC_ASSET_card_gallary_book_1_orange_box""}")</f>
        <v>{"typ":"lc","txt":"LC_ASSET_card_gallary_book_1_orange_box"}</v>
      </c>
      <c r="K2443" s="148" t="str">
        <f>IFERROR(__xludf.DUMMYFUNCTION("""COMPUTED_VALUE"""),"{""typ"":""lc"",""txt"":""LC_ASSET_card_gallary_book_orange_box_desc""}")</f>
        <v>{"typ":"lc","txt":"LC_ASSET_card_gallary_book_orange_box_desc"}</v>
      </c>
      <c r="L2443" s="148" t="str">
        <f>IFERROR(__xludf.DUMMYFUNCTION("""COMPUTED_VALUE"""),"{}")</f>
        <v>{}</v>
      </c>
      <c r="M2443" s="148">
        <f>IFERROR(__xludf.DUMMYFUNCTION("""COMPUTED_VALUE"""),135.0)</f>
        <v>135</v>
      </c>
      <c r="N2443" s="148">
        <f>IFERROR(__xludf.DUMMYFUNCTION("""COMPUTED_VALUE"""),999999.0)</f>
        <v>999999</v>
      </c>
      <c r="O2443" s="148">
        <f>IFERROR(__xludf.DUMMYFUNCTION("""COMPUTED_VALUE"""),99999.0)</f>
        <v>99999</v>
      </c>
      <c r="P2443" s="148">
        <f>IFERROR(__xludf.DUMMYFUNCTION("""COMPUTED_VALUE"""),5.0)</f>
        <v>5</v>
      </c>
      <c r="Q2443" s="148" t="str">
        <f>IFERROR(__xludf.DUMMYFUNCTION("""COMPUTED_VALUE"""),"[""bag_other""]")</f>
        <v>["bag_other"]</v>
      </c>
      <c r="R2443" s="148" t="str">
        <f>IFERROR(__xludf.DUMMYFUNCTION("""COMPUTED_VALUE"""),"[""card"",""bag""]")</f>
        <v>["card","bag"]</v>
      </c>
      <c r="S2443" s="148" t="str">
        <f>IFERROR(__xludf.DUMMYFUNCTION("""COMPUTED_VALUE"""),"{""drop"":{""typ"":""single_random"",""num"":1,""args"":[{""typ"":""card_star"",""id"":3,""num"":1,""args"":[{""id"":60011001}],""wgt"":8000},{""typ"":""card_star"",""id"":4,""num"":1,""args"":[{""id"":60011001}],""wgt"":1800},{""typ"":""card_star"",""id"&amp;""":5,""num"":1,""args"":[{""id"":60011001}],""wgt"":200}]}}")</f>
        <v>{"drop":{"typ":"single_random","num":1,"args":[{"typ":"card_star","id":3,"num":1,"args":[{"id":60011001}],"wgt":8000},{"typ":"card_star","id":4,"num":1,"args":[{"id":60011001}],"wgt":1800},{"typ":"card_star","id":5,"num":1,"args":[{"id":60011001}],"wgt":200}]}}</v>
      </c>
      <c r="T2443" s="148">
        <f>IFERROR(__xludf.DUMMYFUNCTION("""COMPUTED_VALUE"""),-1.0)</f>
        <v>-1</v>
      </c>
      <c r="U2443" s="148">
        <f>IFERROR(__xludf.DUMMYFUNCTION("""COMPUTED_VALUE"""),0.0)</f>
        <v>0</v>
      </c>
      <c r="V2443" s="148" t="str">
        <f>IFERROR(__xludf.DUMMYFUNCTION("""COMPUTED_VALUE"""),"[]")</f>
        <v>[]</v>
      </c>
      <c r="W2443" s="148">
        <f>IFERROR(__xludf.DUMMYFUNCTION("""COMPUTED_VALUE"""),1.174E7)</f>
        <v>11740000</v>
      </c>
      <c r="X2443" s="148">
        <f>IFERROR(__xludf.DUMMYFUNCTION("""COMPUTED_VALUE"""),0.0)</f>
        <v>0</v>
      </c>
      <c r="Y2443" s="148">
        <f>IFERROR(__xludf.DUMMYFUNCTION("""COMPUTED_VALUE"""),0.0)</f>
        <v>0</v>
      </c>
      <c r="Z2443" s="148"/>
    </row>
    <row r="2444">
      <c r="A2444" s="148">
        <f>IFERROR(__xludf.DUMMYFUNCTION("""COMPUTED_VALUE"""),1.1119363E7)</f>
        <v>11119363</v>
      </c>
      <c r="B2444" s="148" t="str">
        <f>IFERROR(__xludf.DUMMYFUNCTION("""COMPUTED_VALUE"""),"图鉴1-商店--过期1星自选")</f>
        <v>图鉴1-商店--过期1星自选</v>
      </c>
      <c r="C2444" s="148"/>
      <c r="D2444" s="148" t="str">
        <f>IFERROR(__xludf.DUMMYFUNCTION("""COMPUTED_VALUE"""),"card_select_box")</f>
        <v>card_select_box</v>
      </c>
      <c r="E2444" s="148">
        <f>IFERROR(__xludf.DUMMYFUNCTION("""COMPUTED_VALUE"""),19.0)</f>
        <v>19</v>
      </c>
      <c r="F2444" s="148">
        <f>IFERROR(__xludf.DUMMYFUNCTION("""COMPUTED_VALUE"""),403311.0)</f>
        <v>403311</v>
      </c>
      <c r="G2444" s="148">
        <f>IFERROR(__xludf.DUMMYFUNCTION("""COMPUTED_VALUE"""),1.5110364E8)</f>
        <v>151103640</v>
      </c>
      <c r="H2444" s="148">
        <f>IFERROR(__xludf.DUMMYFUNCTION("""COMPUTED_VALUE"""),1.5112562E7)</f>
        <v>15112562</v>
      </c>
      <c r="I2444" s="148" t="str">
        <f>IFERROR(__xludf.DUMMYFUNCTION("""COMPUTED_VALUE"""),"{}")</f>
        <v>{}</v>
      </c>
      <c r="J2444" s="148" t="str">
        <f>IFERROR(__xludf.DUMMYFUNCTION("""COMPUTED_VALUE"""),"{""typ"":""lc"",""txt"":""LC_ASSET_card_gallary_book_1_select_blue_box""}")</f>
        <v>{"typ":"lc","txt":"LC_ASSET_card_gallary_book_1_select_blue_box"}</v>
      </c>
      <c r="K2444" s="148" t="str">
        <f>IFERROR(__xludf.DUMMYFUNCTION("""COMPUTED_VALUE"""),"{""typ"":""lc"",""txt"":""LC_ASSET_card_gallary_book_select_blue_box_desc""}")</f>
        <v>{"typ":"lc","txt":"LC_ASSET_card_gallary_book_select_blue_box_desc"}</v>
      </c>
      <c r="L2444" s="148" t="str">
        <f>IFERROR(__xludf.DUMMYFUNCTION("""COMPUTED_VALUE"""),"{}")</f>
        <v>{}</v>
      </c>
      <c r="M2444" s="148">
        <f>IFERROR(__xludf.DUMMYFUNCTION("""COMPUTED_VALUE"""),135.0)</f>
        <v>135</v>
      </c>
      <c r="N2444" s="148">
        <f>IFERROR(__xludf.DUMMYFUNCTION("""COMPUTED_VALUE"""),999999.0)</f>
        <v>999999</v>
      </c>
      <c r="O2444" s="148">
        <f>IFERROR(__xludf.DUMMYFUNCTION("""COMPUTED_VALUE"""),99999.0)</f>
        <v>99999</v>
      </c>
      <c r="P2444" s="148">
        <f>IFERROR(__xludf.DUMMYFUNCTION("""COMPUTED_VALUE"""),5.0)</f>
        <v>5</v>
      </c>
      <c r="Q2444" s="148" t="str">
        <f>IFERROR(__xludf.DUMMYFUNCTION("""COMPUTED_VALUE"""),"[""bag_other""]")</f>
        <v>["bag_other"]</v>
      </c>
      <c r="R2444" s="148" t="str">
        <f>IFERROR(__xludf.DUMMYFUNCTION("""COMPUTED_VALUE"""),"[""card"",""bag""]")</f>
        <v>["card","bag"]</v>
      </c>
      <c r="S2444" s="148" t="str">
        <f>IFERROR(__xludf.DUMMYFUNCTION("""COMPUTED_VALUE"""),"{""select_box"":[{""typ"":""card_star"",""id"":3,""val"":1},{""id"":60011001}]}")</f>
        <v>{"select_box":[{"typ":"card_star","id":3,"val":1},{"id":60011001}]}</v>
      </c>
      <c r="T2444" s="148">
        <f>IFERROR(__xludf.DUMMYFUNCTION("""COMPUTED_VALUE"""),1.0)</f>
        <v>1</v>
      </c>
      <c r="U2444" s="148">
        <f>IFERROR(__xludf.DUMMYFUNCTION("""COMPUTED_VALUE"""),0.0)</f>
        <v>0</v>
      </c>
      <c r="V2444" s="148" t="str">
        <f>IFERROR(__xludf.DUMMYFUNCTION("""COMPUTED_VALUE"""),"[]")</f>
        <v>[]</v>
      </c>
      <c r="W2444" s="148">
        <f>IFERROR(__xludf.DUMMYFUNCTION("""COMPUTED_VALUE"""),1.174E7)</f>
        <v>11740000</v>
      </c>
      <c r="X2444" s="148">
        <f>IFERROR(__xludf.DUMMYFUNCTION("""COMPUTED_VALUE"""),0.0)</f>
        <v>0</v>
      </c>
      <c r="Y2444" s="148">
        <f>IFERROR(__xludf.DUMMYFUNCTION("""COMPUTED_VALUE"""),0.0)</f>
        <v>0</v>
      </c>
      <c r="Z2444" s="148"/>
    </row>
    <row r="2445">
      <c r="A2445" s="148">
        <f>IFERROR(__xludf.DUMMYFUNCTION("""COMPUTED_VALUE"""),1.1119364E7)</f>
        <v>11119364</v>
      </c>
      <c r="B2445" s="148" t="str">
        <f>IFERROR(__xludf.DUMMYFUNCTION("""COMPUTED_VALUE"""),"图鉴1-商店--过期2星自选")</f>
        <v>图鉴1-商店--过期2星自选</v>
      </c>
      <c r="C2445" s="148"/>
      <c r="D2445" s="148" t="str">
        <f>IFERROR(__xludf.DUMMYFUNCTION("""COMPUTED_VALUE"""),"card_select_box")</f>
        <v>card_select_box</v>
      </c>
      <c r="E2445" s="148">
        <f>IFERROR(__xludf.DUMMYFUNCTION("""COMPUTED_VALUE"""),19.0)</f>
        <v>19</v>
      </c>
      <c r="F2445" s="148">
        <f>IFERROR(__xludf.DUMMYFUNCTION("""COMPUTED_VALUE"""),403312.0)</f>
        <v>403312</v>
      </c>
      <c r="G2445" s="148">
        <f>IFERROR(__xludf.DUMMYFUNCTION("""COMPUTED_VALUE"""),1.51103641E8)</f>
        <v>151103641</v>
      </c>
      <c r="H2445" s="148">
        <f>IFERROR(__xludf.DUMMYFUNCTION("""COMPUTED_VALUE"""),1.5112563E7)</f>
        <v>15112563</v>
      </c>
      <c r="I2445" s="148" t="str">
        <f>IFERROR(__xludf.DUMMYFUNCTION("""COMPUTED_VALUE"""),"{}")</f>
        <v>{}</v>
      </c>
      <c r="J2445" s="148" t="str">
        <f>IFERROR(__xludf.DUMMYFUNCTION("""COMPUTED_VALUE"""),"{""typ"":""lc"",""txt"":""LC_ASSET_card_gallary_book_1_select_purple_box""}")</f>
        <v>{"typ":"lc","txt":"LC_ASSET_card_gallary_book_1_select_purple_box"}</v>
      </c>
      <c r="K2445" s="148" t="str">
        <f>IFERROR(__xludf.DUMMYFUNCTION("""COMPUTED_VALUE"""),"{""typ"":""lc"",""txt"":""LC_ASSET_card_gallary_book_select_purple_box_desc""}")</f>
        <v>{"typ":"lc","txt":"LC_ASSET_card_gallary_book_select_purple_box_desc"}</v>
      </c>
      <c r="L2445" s="148" t="str">
        <f>IFERROR(__xludf.DUMMYFUNCTION("""COMPUTED_VALUE"""),"{}")</f>
        <v>{}</v>
      </c>
      <c r="M2445" s="148">
        <f>IFERROR(__xludf.DUMMYFUNCTION("""COMPUTED_VALUE"""),135.0)</f>
        <v>135</v>
      </c>
      <c r="N2445" s="148">
        <f>IFERROR(__xludf.DUMMYFUNCTION("""COMPUTED_VALUE"""),999999.0)</f>
        <v>999999</v>
      </c>
      <c r="O2445" s="148">
        <f>IFERROR(__xludf.DUMMYFUNCTION("""COMPUTED_VALUE"""),99999.0)</f>
        <v>99999</v>
      </c>
      <c r="P2445" s="148">
        <f>IFERROR(__xludf.DUMMYFUNCTION("""COMPUTED_VALUE"""),5.0)</f>
        <v>5</v>
      </c>
      <c r="Q2445" s="148" t="str">
        <f>IFERROR(__xludf.DUMMYFUNCTION("""COMPUTED_VALUE"""),"[""bag_other""]")</f>
        <v>["bag_other"]</v>
      </c>
      <c r="R2445" s="148" t="str">
        <f>IFERROR(__xludf.DUMMYFUNCTION("""COMPUTED_VALUE"""),"[""card"",""bag""]")</f>
        <v>["card","bag"]</v>
      </c>
      <c r="S2445" s="148" t="str">
        <f>IFERROR(__xludf.DUMMYFUNCTION("""COMPUTED_VALUE"""),"{""select_box"":[{""typ"":""card_star"",""id"":4,""val"":1},{""id"":60011001}]}")</f>
        <v>{"select_box":[{"typ":"card_star","id":4,"val":1},{"id":60011001}]}</v>
      </c>
      <c r="T2445" s="148">
        <f>IFERROR(__xludf.DUMMYFUNCTION("""COMPUTED_VALUE"""),1.0)</f>
        <v>1</v>
      </c>
      <c r="U2445" s="148">
        <f>IFERROR(__xludf.DUMMYFUNCTION("""COMPUTED_VALUE"""),0.0)</f>
        <v>0</v>
      </c>
      <c r="V2445" s="148" t="str">
        <f>IFERROR(__xludf.DUMMYFUNCTION("""COMPUTED_VALUE"""),"[]")</f>
        <v>[]</v>
      </c>
      <c r="W2445" s="148">
        <f>IFERROR(__xludf.DUMMYFUNCTION("""COMPUTED_VALUE"""),1.174E7)</f>
        <v>11740000</v>
      </c>
      <c r="X2445" s="148">
        <f>IFERROR(__xludf.DUMMYFUNCTION("""COMPUTED_VALUE"""),0.0)</f>
        <v>0</v>
      </c>
      <c r="Y2445" s="148">
        <f>IFERROR(__xludf.DUMMYFUNCTION("""COMPUTED_VALUE"""),0.0)</f>
        <v>0</v>
      </c>
      <c r="Z2445" s="148"/>
    </row>
    <row r="2446">
      <c r="A2446" s="148">
        <f>IFERROR(__xludf.DUMMYFUNCTION("""COMPUTED_VALUE"""),1.1119365E7)</f>
        <v>11119365</v>
      </c>
      <c r="B2446" s="148" t="str">
        <f>IFERROR(__xludf.DUMMYFUNCTION("""COMPUTED_VALUE"""),"图鉴1-商店--过期3星自选")</f>
        <v>图鉴1-商店--过期3星自选</v>
      </c>
      <c r="C2446" s="148"/>
      <c r="D2446" s="148" t="str">
        <f>IFERROR(__xludf.DUMMYFUNCTION("""COMPUTED_VALUE"""),"card_select_box")</f>
        <v>card_select_box</v>
      </c>
      <c r="E2446" s="148">
        <f>IFERROR(__xludf.DUMMYFUNCTION("""COMPUTED_VALUE"""),19.0)</f>
        <v>19</v>
      </c>
      <c r="F2446" s="148">
        <f>IFERROR(__xludf.DUMMYFUNCTION("""COMPUTED_VALUE"""),403313.0)</f>
        <v>403313</v>
      </c>
      <c r="G2446" s="148">
        <f>IFERROR(__xludf.DUMMYFUNCTION("""COMPUTED_VALUE"""),1.51103642E8)</f>
        <v>151103642</v>
      </c>
      <c r="H2446" s="148">
        <f>IFERROR(__xludf.DUMMYFUNCTION("""COMPUTED_VALUE"""),1.5112564E7)</f>
        <v>15112564</v>
      </c>
      <c r="I2446" s="148" t="str">
        <f>IFERROR(__xludf.DUMMYFUNCTION("""COMPUTED_VALUE"""),"{}")</f>
        <v>{}</v>
      </c>
      <c r="J2446" s="148" t="str">
        <f>IFERROR(__xludf.DUMMYFUNCTION("""COMPUTED_VALUE"""),"{""typ"":""lc"",""txt"":""LC_ASSET_card_gallary_book_1_select_orange_box""}")</f>
        <v>{"typ":"lc","txt":"LC_ASSET_card_gallary_book_1_select_orange_box"}</v>
      </c>
      <c r="K2446" s="148" t="str">
        <f>IFERROR(__xludf.DUMMYFUNCTION("""COMPUTED_VALUE"""),"{""typ"":""lc"",""txt"":""LC_ASSET_card_gallary_book_select_orange_box_desc""}")</f>
        <v>{"typ":"lc","txt":"LC_ASSET_card_gallary_book_select_orange_box_desc"}</v>
      </c>
      <c r="L2446" s="148" t="str">
        <f>IFERROR(__xludf.DUMMYFUNCTION("""COMPUTED_VALUE"""),"{}")</f>
        <v>{}</v>
      </c>
      <c r="M2446" s="148">
        <f>IFERROR(__xludf.DUMMYFUNCTION("""COMPUTED_VALUE"""),135.0)</f>
        <v>135</v>
      </c>
      <c r="N2446" s="148">
        <f>IFERROR(__xludf.DUMMYFUNCTION("""COMPUTED_VALUE"""),999999.0)</f>
        <v>999999</v>
      </c>
      <c r="O2446" s="148">
        <f>IFERROR(__xludf.DUMMYFUNCTION("""COMPUTED_VALUE"""),99999.0)</f>
        <v>99999</v>
      </c>
      <c r="P2446" s="148">
        <f>IFERROR(__xludf.DUMMYFUNCTION("""COMPUTED_VALUE"""),5.0)</f>
        <v>5</v>
      </c>
      <c r="Q2446" s="148" t="str">
        <f>IFERROR(__xludf.DUMMYFUNCTION("""COMPUTED_VALUE"""),"[""bag_other""]")</f>
        <v>["bag_other"]</v>
      </c>
      <c r="R2446" s="148" t="str">
        <f>IFERROR(__xludf.DUMMYFUNCTION("""COMPUTED_VALUE"""),"[""card"",""bag""]")</f>
        <v>["card","bag"]</v>
      </c>
      <c r="S2446" s="148" t="str">
        <f>IFERROR(__xludf.DUMMYFUNCTION("""COMPUTED_VALUE"""),"{""select_box"":[{""typ"":""card_star"",""id"":5,""val"":1},{""id"":60011001}]}")</f>
        <v>{"select_box":[{"typ":"card_star","id":5,"val":1},{"id":60011001}]}</v>
      </c>
      <c r="T2446" s="148">
        <f>IFERROR(__xludf.DUMMYFUNCTION("""COMPUTED_VALUE"""),1.0)</f>
        <v>1</v>
      </c>
      <c r="U2446" s="148">
        <f>IFERROR(__xludf.DUMMYFUNCTION("""COMPUTED_VALUE"""),0.0)</f>
        <v>0</v>
      </c>
      <c r="V2446" s="148" t="str">
        <f>IFERROR(__xludf.DUMMYFUNCTION("""COMPUTED_VALUE"""),"[]")</f>
        <v>[]</v>
      </c>
      <c r="W2446" s="148">
        <f>IFERROR(__xludf.DUMMYFUNCTION("""COMPUTED_VALUE"""),1.174E7)</f>
        <v>11740000</v>
      </c>
      <c r="X2446" s="148">
        <f>IFERROR(__xludf.DUMMYFUNCTION("""COMPUTED_VALUE"""),0.0)</f>
        <v>0</v>
      </c>
      <c r="Y2446" s="148">
        <f>IFERROR(__xludf.DUMMYFUNCTION("""COMPUTED_VALUE"""),0.0)</f>
        <v>0</v>
      </c>
      <c r="Z2446" s="148"/>
    </row>
    <row r="2447">
      <c r="A2447" s="148">
        <f>IFERROR(__xludf.DUMMYFUNCTION("""COMPUTED_VALUE"""),1.1119366E7)</f>
        <v>11119366</v>
      </c>
      <c r="B2447" s="148" t="str">
        <f>IFERROR(__xludf.DUMMYFUNCTION("""COMPUTED_VALUE"""),"图鉴2-商店--卡包1-2星")</f>
        <v>图鉴2-商店--卡包1-2星</v>
      </c>
      <c r="C2447" s="148"/>
      <c r="D2447" s="148" t="str">
        <f>IFERROR(__xludf.DUMMYFUNCTION("""COMPUTED_VALUE"""),"item_card_asset")</f>
        <v>item_card_asset</v>
      </c>
      <c r="E2447" s="148">
        <f>IFERROR(__xludf.DUMMYFUNCTION("""COMPUTED_VALUE"""),19.0)</f>
        <v>19</v>
      </c>
      <c r="F2447" s="148">
        <f>IFERROR(__xludf.DUMMYFUNCTION("""COMPUTED_VALUE"""),403314.0)</f>
        <v>403314</v>
      </c>
      <c r="G2447" s="148">
        <f>IFERROR(__xludf.DUMMYFUNCTION("""COMPUTED_VALUE"""),1.51103643E8)</f>
        <v>151103643</v>
      </c>
      <c r="H2447" s="148">
        <f>IFERROR(__xludf.DUMMYFUNCTION("""COMPUTED_VALUE"""),1.5112563E7)</f>
        <v>15112563</v>
      </c>
      <c r="I2447" s="148" t="str">
        <f>IFERROR(__xludf.DUMMYFUNCTION("""COMPUTED_VALUE"""),"{}")</f>
        <v>{}</v>
      </c>
      <c r="J2447" s="148" t="str">
        <f>IFERROR(__xludf.DUMMYFUNCTION("""COMPUTED_VALUE"""),"{""typ"":""lc"",""txt"":""LC_ASSET_card_gallary_book_2_purple_box""}")</f>
        <v>{"typ":"lc","txt":"LC_ASSET_card_gallary_book_2_purple_box"}</v>
      </c>
      <c r="K2447" s="148" t="str">
        <f>IFERROR(__xludf.DUMMYFUNCTION("""COMPUTED_VALUE"""),"{""typ"":""lc"",""txt"":""LC_ASSET_card_gallary_book_purple_box_desc""}")</f>
        <v>{"typ":"lc","txt":"LC_ASSET_card_gallary_book_purple_box_desc"}</v>
      </c>
      <c r="L2447" s="148" t="str">
        <f>IFERROR(__xludf.DUMMYFUNCTION("""COMPUTED_VALUE"""),"{}")</f>
        <v>{}</v>
      </c>
      <c r="M2447" s="148">
        <f>IFERROR(__xludf.DUMMYFUNCTION("""COMPUTED_VALUE"""),135.0)</f>
        <v>135</v>
      </c>
      <c r="N2447" s="148">
        <f>IFERROR(__xludf.DUMMYFUNCTION("""COMPUTED_VALUE"""),999999.0)</f>
        <v>999999</v>
      </c>
      <c r="O2447" s="148">
        <f>IFERROR(__xludf.DUMMYFUNCTION("""COMPUTED_VALUE"""),99999.0)</f>
        <v>99999</v>
      </c>
      <c r="P2447" s="148">
        <f>IFERROR(__xludf.DUMMYFUNCTION("""COMPUTED_VALUE"""),5.0)</f>
        <v>5</v>
      </c>
      <c r="Q2447" s="148" t="str">
        <f>IFERROR(__xludf.DUMMYFUNCTION("""COMPUTED_VALUE"""),"[""bag_other""]")</f>
        <v>["bag_other"]</v>
      </c>
      <c r="R2447" s="148" t="str">
        <f>IFERROR(__xludf.DUMMYFUNCTION("""COMPUTED_VALUE"""),"[""card"",""bag""]")</f>
        <v>["card","bag"]</v>
      </c>
      <c r="S2447" s="148" t="str">
        <f>IFERROR(__xludf.DUMMYFUNCTION("""COMPUTED_VALUE"""),"{""drop"":{""typ"":""single_random"",""num"":1,""args"":[{""typ"":""card_star"",""id"":3,""num"":1,""args"":[{""id"":60011002}],""wgt"":9000},{""typ"":""card_star"",""id"":4,""num"":1,""args"":[{""id"":60011002}],""wgt"":1000}]}}")</f>
        <v>{"drop":{"typ":"single_random","num":1,"args":[{"typ":"card_star","id":3,"num":1,"args":[{"id":60011002}],"wgt":9000},{"typ":"card_star","id":4,"num":1,"args":[{"id":60011002}],"wgt":1000}]}}</v>
      </c>
      <c r="T2447" s="148">
        <f>IFERROR(__xludf.DUMMYFUNCTION("""COMPUTED_VALUE"""),-1.0)</f>
        <v>-1</v>
      </c>
      <c r="U2447" s="148">
        <f>IFERROR(__xludf.DUMMYFUNCTION("""COMPUTED_VALUE"""),0.0)</f>
        <v>0</v>
      </c>
      <c r="V2447" s="148" t="str">
        <f>IFERROR(__xludf.DUMMYFUNCTION("""COMPUTED_VALUE"""),"[]")</f>
        <v>[]</v>
      </c>
      <c r="W2447" s="148">
        <f>IFERROR(__xludf.DUMMYFUNCTION("""COMPUTED_VALUE"""),1.174E7)</f>
        <v>11740000</v>
      </c>
      <c r="X2447" s="148">
        <f>IFERROR(__xludf.DUMMYFUNCTION("""COMPUTED_VALUE"""),0.0)</f>
        <v>0</v>
      </c>
      <c r="Y2447" s="148">
        <f>IFERROR(__xludf.DUMMYFUNCTION("""COMPUTED_VALUE"""),0.0)</f>
        <v>0</v>
      </c>
      <c r="Z2447" s="148"/>
    </row>
    <row r="2448">
      <c r="A2448" s="148">
        <f>IFERROR(__xludf.DUMMYFUNCTION("""COMPUTED_VALUE"""),1.1119367E7)</f>
        <v>11119367</v>
      </c>
      <c r="B2448" s="148" t="str">
        <f>IFERROR(__xludf.DUMMYFUNCTION("""COMPUTED_VALUE"""),"图鉴2-商店--卡包1-3星")</f>
        <v>图鉴2-商店--卡包1-3星</v>
      </c>
      <c r="C2448" s="148"/>
      <c r="D2448" s="148" t="str">
        <f>IFERROR(__xludf.DUMMYFUNCTION("""COMPUTED_VALUE"""),"item_card_asset")</f>
        <v>item_card_asset</v>
      </c>
      <c r="E2448" s="148">
        <f>IFERROR(__xludf.DUMMYFUNCTION("""COMPUTED_VALUE"""),19.0)</f>
        <v>19</v>
      </c>
      <c r="F2448" s="148">
        <f>IFERROR(__xludf.DUMMYFUNCTION("""COMPUTED_VALUE"""),403315.0)</f>
        <v>403315</v>
      </c>
      <c r="G2448" s="148">
        <f>IFERROR(__xludf.DUMMYFUNCTION("""COMPUTED_VALUE"""),1.51103644E8)</f>
        <v>151103644</v>
      </c>
      <c r="H2448" s="148">
        <f>IFERROR(__xludf.DUMMYFUNCTION("""COMPUTED_VALUE"""),1.5112564E7)</f>
        <v>15112564</v>
      </c>
      <c r="I2448" s="148" t="str">
        <f>IFERROR(__xludf.DUMMYFUNCTION("""COMPUTED_VALUE"""),"{}")</f>
        <v>{}</v>
      </c>
      <c r="J2448" s="148" t="str">
        <f>IFERROR(__xludf.DUMMYFUNCTION("""COMPUTED_VALUE"""),"{""typ"":""lc"",""txt"":""LC_ASSET_card_gallary_book_2_orange_box""}")</f>
        <v>{"typ":"lc","txt":"LC_ASSET_card_gallary_book_2_orange_box"}</v>
      </c>
      <c r="K2448" s="148" t="str">
        <f>IFERROR(__xludf.DUMMYFUNCTION("""COMPUTED_VALUE"""),"{""typ"":""lc"",""txt"":""LC_ASSET_card_gallary_book_orange_box_desc""}")</f>
        <v>{"typ":"lc","txt":"LC_ASSET_card_gallary_book_orange_box_desc"}</v>
      </c>
      <c r="L2448" s="148" t="str">
        <f>IFERROR(__xludf.DUMMYFUNCTION("""COMPUTED_VALUE"""),"{}")</f>
        <v>{}</v>
      </c>
      <c r="M2448" s="148">
        <f>IFERROR(__xludf.DUMMYFUNCTION("""COMPUTED_VALUE"""),135.0)</f>
        <v>135</v>
      </c>
      <c r="N2448" s="148">
        <f>IFERROR(__xludf.DUMMYFUNCTION("""COMPUTED_VALUE"""),999999.0)</f>
        <v>999999</v>
      </c>
      <c r="O2448" s="148">
        <f>IFERROR(__xludf.DUMMYFUNCTION("""COMPUTED_VALUE"""),99999.0)</f>
        <v>99999</v>
      </c>
      <c r="P2448" s="148">
        <f>IFERROR(__xludf.DUMMYFUNCTION("""COMPUTED_VALUE"""),5.0)</f>
        <v>5</v>
      </c>
      <c r="Q2448" s="148" t="str">
        <f>IFERROR(__xludf.DUMMYFUNCTION("""COMPUTED_VALUE"""),"[""bag_other""]")</f>
        <v>["bag_other"]</v>
      </c>
      <c r="R2448" s="148" t="str">
        <f>IFERROR(__xludf.DUMMYFUNCTION("""COMPUTED_VALUE"""),"[""card"",""bag""]")</f>
        <v>["card","bag"]</v>
      </c>
      <c r="S2448" s="148" t="str">
        <f>IFERROR(__xludf.DUMMYFUNCTION("""COMPUTED_VALUE"""),"{""drop"":{""typ"":""single_random"",""num"":1,""args"":[{""typ"":""card_star"",""id"":3,""num"":1,""args"":[{""id"":60011002}],""wgt"":8000},{""typ"":""card_star"",""id"":4,""num"":1,""args"":[{""id"":60011002}],""wgt"":1800},{""typ"":""card_star"",""id"&amp;""":5,""num"":1,""args"":[{""id"":60011002}],""wgt"":200}]}}")</f>
        <v>{"drop":{"typ":"single_random","num":1,"args":[{"typ":"card_star","id":3,"num":1,"args":[{"id":60011002}],"wgt":8000},{"typ":"card_star","id":4,"num":1,"args":[{"id":60011002}],"wgt":1800},{"typ":"card_star","id":5,"num":1,"args":[{"id":60011002}],"wgt":200}]}}</v>
      </c>
      <c r="T2448" s="148">
        <f>IFERROR(__xludf.DUMMYFUNCTION("""COMPUTED_VALUE"""),-1.0)</f>
        <v>-1</v>
      </c>
      <c r="U2448" s="148">
        <f>IFERROR(__xludf.DUMMYFUNCTION("""COMPUTED_VALUE"""),0.0)</f>
        <v>0</v>
      </c>
      <c r="V2448" s="148" t="str">
        <f>IFERROR(__xludf.DUMMYFUNCTION("""COMPUTED_VALUE"""),"[]")</f>
        <v>[]</v>
      </c>
      <c r="W2448" s="148">
        <f>IFERROR(__xludf.DUMMYFUNCTION("""COMPUTED_VALUE"""),1.174E7)</f>
        <v>11740000</v>
      </c>
      <c r="X2448" s="148">
        <f>IFERROR(__xludf.DUMMYFUNCTION("""COMPUTED_VALUE"""),0.0)</f>
        <v>0</v>
      </c>
      <c r="Y2448" s="148">
        <f>IFERROR(__xludf.DUMMYFUNCTION("""COMPUTED_VALUE"""),0.0)</f>
        <v>0</v>
      </c>
      <c r="Z2448" s="148"/>
    </row>
    <row r="2449">
      <c r="A2449" s="148">
        <f>IFERROR(__xludf.DUMMYFUNCTION("""COMPUTED_VALUE"""),1.1119368E7)</f>
        <v>11119368</v>
      </c>
      <c r="B2449" s="148" t="str">
        <f>IFERROR(__xludf.DUMMYFUNCTION("""COMPUTED_VALUE"""),"图鉴2-商店--过期1星自选")</f>
        <v>图鉴2-商店--过期1星自选</v>
      </c>
      <c r="C2449" s="148"/>
      <c r="D2449" s="148" t="str">
        <f>IFERROR(__xludf.DUMMYFUNCTION("""COMPUTED_VALUE"""),"card_select_box")</f>
        <v>card_select_box</v>
      </c>
      <c r="E2449" s="148">
        <f>IFERROR(__xludf.DUMMYFUNCTION("""COMPUTED_VALUE"""),19.0)</f>
        <v>19</v>
      </c>
      <c r="F2449" s="148">
        <f>IFERROR(__xludf.DUMMYFUNCTION("""COMPUTED_VALUE"""),403316.0)</f>
        <v>403316</v>
      </c>
      <c r="G2449" s="148">
        <f>IFERROR(__xludf.DUMMYFUNCTION("""COMPUTED_VALUE"""),1.51103645E8)</f>
        <v>151103645</v>
      </c>
      <c r="H2449" s="148">
        <f>IFERROR(__xludf.DUMMYFUNCTION("""COMPUTED_VALUE"""),1.5112562E7)</f>
        <v>15112562</v>
      </c>
      <c r="I2449" s="148" t="str">
        <f>IFERROR(__xludf.DUMMYFUNCTION("""COMPUTED_VALUE"""),"{}")</f>
        <v>{}</v>
      </c>
      <c r="J2449" s="148" t="str">
        <f>IFERROR(__xludf.DUMMYFUNCTION("""COMPUTED_VALUE"""),"{""typ"":""lc"",""txt"":""LC_ASSET_card_gallary_book_2_select_blue_box""}")</f>
        <v>{"typ":"lc","txt":"LC_ASSET_card_gallary_book_2_select_blue_box"}</v>
      </c>
      <c r="K2449" s="148" t="str">
        <f>IFERROR(__xludf.DUMMYFUNCTION("""COMPUTED_VALUE"""),"{""typ"":""lc"",""txt"":""LC_ASSET_card_gallary_book_select_blue_box_desc""}")</f>
        <v>{"typ":"lc","txt":"LC_ASSET_card_gallary_book_select_blue_box_desc"}</v>
      </c>
      <c r="L2449" s="148" t="str">
        <f>IFERROR(__xludf.DUMMYFUNCTION("""COMPUTED_VALUE"""),"{}")</f>
        <v>{}</v>
      </c>
      <c r="M2449" s="148">
        <f>IFERROR(__xludf.DUMMYFUNCTION("""COMPUTED_VALUE"""),135.0)</f>
        <v>135</v>
      </c>
      <c r="N2449" s="148">
        <f>IFERROR(__xludf.DUMMYFUNCTION("""COMPUTED_VALUE"""),999999.0)</f>
        <v>999999</v>
      </c>
      <c r="O2449" s="148">
        <f>IFERROR(__xludf.DUMMYFUNCTION("""COMPUTED_VALUE"""),99999.0)</f>
        <v>99999</v>
      </c>
      <c r="P2449" s="148">
        <f>IFERROR(__xludf.DUMMYFUNCTION("""COMPUTED_VALUE"""),5.0)</f>
        <v>5</v>
      </c>
      <c r="Q2449" s="148" t="str">
        <f>IFERROR(__xludf.DUMMYFUNCTION("""COMPUTED_VALUE"""),"[""bag_other""]")</f>
        <v>["bag_other"]</v>
      </c>
      <c r="R2449" s="148" t="str">
        <f>IFERROR(__xludf.DUMMYFUNCTION("""COMPUTED_VALUE"""),"[""card"",""bag""]")</f>
        <v>["card","bag"]</v>
      </c>
      <c r="S2449" s="148" t="str">
        <f>IFERROR(__xludf.DUMMYFUNCTION("""COMPUTED_VALUE"""),"{""select_box"":[{""typ"":""card_star"",""id"":3,""val"":1},{""id"":60011002}]}")</f>
        <v>{"select_box":[{"typ":"card_star","id":3,"val":1},{"id":60011002}]}</v>
      </c>
      <c r="T2449" s="148">
        <f>IFERROR(__xludf.DUMMYFUNCTION("""COMPUTED_VALUE"""),1.0)</f>
        <v>1</v>
      </c>
      <c r="U2449" s="148">
        <f>IFERROR(__xludf.DUMMYFUNCTION("""COMPUTED_VALUE"""),0.0)</f>
        <v>0</v>
      </c>
      <c r="V2449" s="148" t="str">
        <f>IFERROR(__xludf.DUMMYFUNCTION("""COMPUTED_VALUE"""),"[]")</f>
        <v>[]</v>
      </c>
      <c r="W2449" s="148">
        <f>IFERROR(__xludf.DUMMYFUNCTION("""COMPUTED_VALUE"""),1.174E7)</f>
        <v>11740000</v>
      </c>
      <c r="X2449" s="148">
        <f>IFERROR(__xludf.DUMMYFUNCTION("""COMPUTED_VALUE"""),0.0)</f>
        <v>0</v>
      </c>
      <c r="Y2449" s="148">
        <f>IFERROR(__xludf.DUMMYFUNCTION("""COMPUTED_VALUE"""),0.0)</f>
        <v>0</v>
      </c>
      <c r="Z2449" s="148"/>
    </row>
    <row r="2450">
      <c r="A2450" s="148">
        <f>IFERROR(__xludf.DUMMYFUNCTION("""COMPUTED_VALUE"""),1.1119369E7)</f>
        <v>11119369</v>
      </c>
      <c r="B2450" s="148" t="str">
        <f>IFERROR(__xludf.DUMMYFUNCTION("""COMPUTED_VALUE"""),"图鉴2-商店--过期2星自选")</f>
        <v>图鉴2-商店--过期2星自选</v>
      </c>
      <c r="C2450" s="148"/>
      <c r="D2450" s="148" t="str">
        <f>IFERROR(__xludf.DUMMYFUNCTION("""COMPUTED_VALUE"""),"card_select_box")</f>
        <v>card_select_box</v>
      </c>
      <c r="E2450" s="148">
        <f>IFERROR(__xludf.DUMMYFUNCTION("""COMPUTED_VALUE"""),19.0)</f>
        <v>19</v>
      </c>
      <c r="F2450" s="148">
        <f>IFERROR(__xludf.DUMMYFUNCTION("""COMPUTED_VALUE"""),403317.0)</f>
        <v>403317</v>
      </c>
      <c r="G2450" s="148">
        <f>IFERROR(__xludf.DUMMYFUNCTION("""COMPUTED_VALUE"""),1.51103646E8)</f>
        <v>151103646</v>
      </c>
      <c r="H2450" s="148">
        <f>IFERROR(__xludf.DUMMYFUNCTION("""COMPUTED_VALUE"""),1.5112563E7)</f>
        <v>15112563</v>
      </c>
      <c r="I2450" s="148" t="str">
        <f>IFERROR(__xludf.DUMMYFUNCTION("""COMPUTED_VALUE"""),"{}")</f>
        <v>{}</v>
      </c>
      <c r="J2450" s="148" t="str">
        <f>IFERROR(__xludf.DUMMYFUNCTION("""COMPUTED_VALUE"""),"{""typ"":""lc"",""txt"":""LC_ASSET_card_gallary_book_2_select_purple_box""}")</f>
        <v>{"typ":"lc","txt":"LC_ASSET_card_gallary_book_2_select_purple_box"}</v>
      </c>
      <c r="K2450" s="148" t="str">
        <f>IFERROR(__xludf.DUMMYFUNCTION("""COMPUTED_VALUE"""),"{""typ"":""lc"",""txt"":""LC_ASSET_card_gallary_book_select_purple_box_desc""}")</f>
        <v>{"typ":"lc","txt":"LC_ASSET_card_gallary_book_select_purple_box_desc"}</v>
      </c>
      <c r="L2450" s="148" t="str">
        <f>IFERROR(__xludf.DUMMYFUNCTION("""COMPUTED_VALUE"""),"{}")</f>
        <v>{}</v>
      </c>
      <c r="M2450" s="148">
        <f>IFERROR(__xludf.DUMMYFUNCTION("""COMPUTED_VALUE"""),135.0)</f>
        <v>135</v>
      </c>
      <c r="N2450" s="148">
        <f>IFERROR(__xludf.DUMMYFUNCTION("""COMPUTED_VALUE"""),999999.0)</f>
        <v>999999</v>
      </c>
      <c r="O2450" s="148">
        <f>IFERROR(__xludf.DUMMYFUNCTION("""COMPUTED_VALUE"""),99999.0)</f>
        <v>99999</v>
      </c>
      <c r="P2450" s="148">
        <f>IFERROR(__xludf.DUMMYFUNCTION("""COMPUTED_VALUE"""),5.0)</f>
        <v>5</v>
      </c>
      <c r="Q2450" s="148" t="str">
        <f>IFERROR(__xludf.DUMMYFUNCTION("""COMPUTED_VALUE"""),"[""bag_other""]")</f>
        <v>["bag_other"]</v>
      </c>
      <c r="R2450" s="148" t="str">
        <f>IFERROR(__xludf.DUMMYFUNCTION("""COMPUTED_VALUE"""),"[""card"",""bag""]")</f>
        <v>["card","bag"]</v>
      </c>
      <c r="S2450" s="148" t="str">
        <f>IFERROR(__xludf.DUMMYFUNCTION("""COMPUTED_VALUE"""),"{""select_box"":[{""typ"":""card_star"",""id"":4,""val"":1},{""id"":60011002}]}")</f>
        <v>{"select_box":[{"typ":"card_star","id":4,"val":1},{"id":60011002}]}</v>
      </c>
      <c r="T2450" s="148">
        <f>IFERROR(__xludf.DUMMYFUNCTION("""COMPUTED_VALUE"""),1.0)</f>
        <v>1</v>
      </c>
      <c r="U2450" s="148">
        <f>IFERROR(__xludf.DUMMYFUNCTION("""COMPUTED_VALUE"""),0.0)</f>
        <v>0</v>
      </c>
      <c r="V2450" s="148" t="str">
        <f>IFERROR(__xludf.DUMMYFUNCTION("""COMPUTED_VALUE"""),"[]")</f>
        <v>[]</v>
      </c>
      <c r="W2450" s="148">
        <f>IFERROR(__xludf.DUMMYFUNCTION("""COMPUTED_VALUE"""),1.174E7)</f>
        <v>11740000</v>
      </c>
      <c r="X2450" s="148">
        <f>IFERROR(__xludf.DUMMYFUNCTION("""COMPUTED_VALUE"""),0.0)</f>
        <v>0</v>
      </c>
      <c r="Y2450" s="148">
        <f>IFERROR(__xludf.DUMMYFUNCTION("""COMPUTED_VALUE"""),0.0)</f>
        <v>0</v>
      </c>
      <c r="Z2450" s="148"/>
    </row>
    <row r="2451">
      <c r="A2451" s="148">
        <f>IFERROR(__xludf.DUMMYFUNCTION("""COMPUTED_VALUE"""),1.111937E7)</f>
        <v>11119370</v>
      </c>
      <c r="B2451" s="148" t="str">
        <f>IFERROR(__xludf.DUMMYFUNCTION("""COMPUTED_VALUE"""),"图鉴2-商店--过期3星自选")</f>
        <v>图鉴2-商店--过期3星自选</v>
      </c>
      <c r="C2451" s="148"/>
      <c r="D2451" s="148" t="str">
        <f>IFERROR(__xludf.DUMMYFUNCTION("""COMPUTED_VALUE"""),"card_select_box")</f>
        <v>card_select_box</v>
      </c>
      <c r="E2451" s="148">
        <f>IFERROR(__xludf.DUMMYFUNCTION("""COMPUTED_VALUE"""),19.0)</f>
        <v>19</v>
      </c>
      <c r="F2451" s="148">
        <f>IFERROR(__xludf.DUMMYFUNCTION("""COMPUTED_VALUE"""),403318.0)</f>
        <v>403318</v>
      </c>
      <c r="G2451" s="148">
        <f>IFERROR(__xludf.DUMMYFUNCTION("""COMPUTED_VALUE"""),1.51103647E8)</f>
        <v>151103647</v>
      </c>
      <c r="H2451" s="148">
        <f>IFERROR(__xludf.DUMMYFUNCTION("""COMPUTED_VALUE"""),1.5112564E7)</f>
        <v>15112564</v>
      </c>
      <c r="I2451" s="148" t="str">
        <f>IFERROR(__xludf.DUMMYFUNCTION("""COMPUTED_VALUE"""),"{}")</f>
        <v>{}</v>
      </c>
      <c r="J2451" s="148" t="str">
        <f>IFERROR(__xludf.DUMMYFUNCTION("""COMPUTED_VALUE"""),"{""typ"":""lc"",""txt"":""LC_ASSET_card_gallary_book_2_select_orange_box""}")</f>
        <v>{"typ":"lc","txt":"LC_ASSET_card_gallary_book_2_select_orange_box"}</v>
      </c>
      <c r="K2451" s="148" t="str">
        <f>IFERROR(__xludf.DUMMYFUNCTION("""COMPUTED_VALUE"""),"{""typ"":""lc"",""txt"":""LC_ASSET_card_gallary_book_select_orange_box_desc""}")</f>
        <v>{"typ":"lc","txt":"LC_ASSET_card_gallary_book_select_orange_box_desc"}</v>
      </c>
      <c r="L2451" s="148" t="str">
        <f>IFERROR(__xludf.DUMMYFUNCTION("""COMPUTED_VALUE"""),"{}")</f>
        <v>{}</v>
      </c>
      <c r="M2451" s="148">
        <f>IFERROR(__xludf.DUMMYFUNCTION("""COMPUTED_VALUE"""),135.0)</f>
        <v>135</v>
      </c>
      <c r="N2451" s="148">
        <f>IFERROR(__xludf.DUMMYFUNCTION("""COMPUTED_VALUE"""),999999.0)</f>
        <v>999999</v>
      </c>
      <c r="O2451" s="148">
        <f>IFERROR(__xludf.DUMMYFUNCTION("""COMPUTED_VALUE"""),99999.0)</f>
        <v>99999</v>
      </c>
      <c r="P2451" s="148">
        <f>IFERROR(__xludf.DUMMYFUNCTION("""COMPUTED_VALUE"""),5.0)</f>
        <v>5</v>
      </c>
      <c r="Q2451" s="148" t="str">
        <f>IFERROR(__xludf.DUMMYFUNCTION("""COMPUTED_VALUE"""),"[""bag_other""]")</f>
        <v>["bag_other"]</v>
      </c>
      <c r="R2451" s="148" t="str">
        <f>IFERROR(__xludf.DUMMYFUNCTION("""COMPUTED_VALUE"""),"[""card"",""bag""]")</f>
        <v>["card","bag"]</v>
      </c>
      <c r="S2451" s="148" t="str">
        <f>IFERROR(__xludf.DUMMYFUNCTION("""COMPUTED_VALUE"""),"{""select_box"":[{""typ"":""card_star"",""id"":5,""val"":1},{""id"":60011002}]}")</f>
        <v>{"select_box":[{"typ":"card_star","id":5,"val":1},{"id":60011002}]}</v>
      </c>
      <c r="T2451" s="148">
        <f>IFERROR(__xludf.DUMMYFUNCTION("""COMPUTED_VALUE"""),1.0)</f>
        <v>1</v>
      </c>
      <c r="U2451" s="148">
        <f>IFERROR(__xludf.DUMMYFUNCTION("""COMPUTED_VALUE"""),0.0)</f>
        <v>0</v>
      </c>
      <c r="V2451" s="148" t="str">
        <f>IFERROR(__xludf.DUMMYFUNCTION("""COMPUTED_VALUE"""),"[]")</f>
        <v>[]</v>
      </c>
      <c r="W2451" s="148">
        <f>IFERROR(__xludf.DUMMYFUNCTION("""COMPUTED_VALUE"""),1.174E7)</f>
        <v>11740000</v>
      </c>
      <c r="X2451" s="148">
        <f>IFERROR(__xludf.DUMMYFUNCTION("""COMPUTED_VALUE"""),0.0)</f>
        <v>0</v>
      </c>
      <c r="Y2451" s="148">
        <f>IFERROR(__xludf.DUMMYFUNCTION("""COMPUTED_VALUE"""),0.0)</f>
        <v>0</v>
      </c>
      <c r="Z2451" s="148"/>
    </row>
    <row r="2452">
      <c r="A2452" s="148">
        <f>IFERROR(__xludf.DUMMYFUNCTION("""COMPUTED_VALUE"""),1.1119371E7)</f>
        <v>11119371</v>
      </c>
      <c r="B2452" s="148" t="str">
        <f>IFERROR(__xludf.DUMMYFUNCTION("""COMPUTED_VALUE"""),"图鉴3-商店--卡包1-2星")</f>
        <v>图鉴3-商店--卡包1-2星</v>
      </c>
      <c r="C2452" s="148"/>
      <c r="D2452" s="148" t="str">
        <f>IFERROR(__xludf.DUMMYFUNCTION("""COMPUTED_VALUE"""),"item_card_asset")</f>
        <v>item_card_asset</v>
      </c>
      <c r="E2452" s="148">
        <f>IFERROR(__xludf.DUMMYFUNCTION("""COMPUTED_VALUE"""),19.0)</f>
        <v>19</v>
      </c>
      <c r="F2452" s="148">
        <f>IFERROR(__xludf.DUMMYFUNCTION("""COMPUTED_VALUE"""),403319.0)</f>
        <v>403319</v>
      </c>
      <c r="G2452" s="148">
        <f>IFERROR(__xludf.DUMMYFUNCTION("""COMPUTED_VALUE"""),1.51103648E8)</f>
        <v>151103648</v>
      </c>
      <c r="H2452" s="148">
        <f>IFERROR(__xludf.DUMMYFUNCTION("""COMPUTED_VALUE"""),1.5112563E7)</f>
        <v>15112563</v>
      </c>
      <c r="I2452" s="148" t="str">
        <f>IFERROR(__xludf.DUMMYFUNCTION("""COMPUTED_VALUE"""),"{}")</f>
        <v>{}</v>
      </c>
      <c r="J2452" s="148" t="str">
        <f>IFERROR(__xludf.DUMMYFUNCTION("""COMPUTED_VALUE"""),"{""typ"":""lc"",""txt"":""LC_ASSET_card_gallary_book_3_purple_box""}")</f>
        <v>{"typ":"lc","txt":"LC_ASSET_card_gallary_book_3_purple_box"}</v>
      </c>
      <c r="K2452" s="148" t="str">
        <f>IFERROR(__xludf.DUMMYFUNCTION("""COMPUTED_VALUE"""),"{""typ"":""lc"",""txt"":""LC_ASSET_card_gallary_book_purple_box_desc""}")</f>
        <v>{"typ":"lc","txt":"LC_ASSET_card_gallary_book_purple_box_desc"}</v>
      </c>
      <c r="L2452" s="148" t="str">
        <f>IFERROR(__xludf.DUMMYFUNCTION("""COMPUTED_VALUE"""),"{}")</f>
        <v>{}</v>
      </c>
      <c r="M2452" s="148">
        <f>IFERROR(__xludf.DUMMYFUNCTION("""COMPUTED_VALUE"""),135.0)</f>
        <v>135</v>
      </c>
      <c r="N2452" s="148">
        <f>IFERROR(__xludf.DUMMYFUNCTION("""COMPUTED_VALUE"""),999999.0)</f>
        <v>999999</v>
      </c>
      <c r="O2452" s="148">
        <f>IFERROR(__xludf.DUMMYFUNCTION("""COMPUTED_VALUE"""),99999.0)</f>
        <v>99999</v>
      </c>
      <c r="P2452" s="148">
        <f>IFERROR(__xludf.DUMMYFUNCTION("""COMPUTED_VALUE"""),5.0)</f>
        <v>5</v>
      </c>
      <c r="Q2452" s="148" t="str">
        <f>IFERROR(__xludf.DUMMYFUNCTION("""COMPUTED_VALUE"""),"[""bag_other""]")</f>
        <v>["bag_other"]</v>
      </c>
      <c r="R2452" s="148" t="str">
        <f>IFERROR(__xludf.DUMMYFUNCTION("""COMPUTED_VALUE"""),"[""card"",""bag""]")</f>
        <v>["card","bag"]</v>
      </c>
      <c r="S2452" s="148" t="str">
        <f>IFERROR(__xludf.DUMMYFUNCTION("""COMPUTED_VALUE"""),"{""drop"":{""typ"":""single_random"",""num"":1,""args"":[{""typ"":""card_star"",""id"":3,""num"":1,""args"":[{""id"":60011003}],""wgt"":9000},{""typ"":""card_star"",""id"":4,""num"":1,""args"":[{""id"":60011003}],""wgt"":1000}]}}")</f>
        <v>{"drop":{"typ":"single_random","num":1,"args":[{"typ":"card_star","id":3,"num":1,"args":[{"id":60011003}],"wgt":9000},{"typ":"card_star","id":4,"num":1,"args":[{"id":60011003}],"wgt":1000}]}}</v>
      </c>
      <c r="T2452" s="148">
        <f>IFERROR(__xludf.DUMMYFUNCTION("""COMPUTED_VALUE"""),-1.0)</f>
        <v>-1</v>
      </c>
      <c r="U2452" s="148">
        <f>IFERROR(__xludf.DUMMYFUNCTION("""COMPUTED_VALUE"""),0.0)</f>
        <v>0</v>
      </c>
      <c r="V2452" s="148" t="str">
        <f>IFERROR(__xludf.DUMMYFUNCTION("""COMPUTED_VALUE"""),"[]")</f>
        <v>[]</v>
      </c>
      <c r="W2452" s="148">
        <f>IFERROR(__xludf.DUMMYFUNCTION("""COMPUTED_VALUE"""),1.174E7)</f>
        <v>11740000</v>
      </c>
      <c r="X2452" s="148">
        <f>IFERROR(__xludf.DUMMYFUNCTION("""COMPUTED_VALUE"""),0.0)</f>
        <v>0</v>
      </c>
      <c r="Y2452" s="148">
        <f>IFERROR(__xludf.DUMMYFUNCTION("""COMPUTED_VALUE"""),0.0)</f>
        <v>0</v>
      </c>
      <c r="Z2452" s="148"/>
    </row>
    <row r="2453">
      <c r="A2453" s="148">
        <f>IFERROR(__xludf.DUMMYFUNCTION("""COMPUTED_VALUE"""),1.1119372E7)</f>
        <v>11119372</v>
      </c>
      <c r="B2453" s="148" t="str">
        <f>IFERROR(__xludf.DUMMYFUNCTION("""COMPUTED_VALUE"""),"图鉴3-商店--卡包1-3星")</f>
        <v>图鉴3-商店--卡包1-3星</v>
      </c>
      <c r="C2453" s="148"/>
      <c r="D2453" s="148" t="str">
        <f>IFERROR(__xludf.DUMMYFUNCTION("""COMPUTED_VALUE"""),"item_card_asset")</f>
        <v>item_card_asset</v>
      </c>
      <c r="E2453" s="148">
        <f>IFERROR(__xludf.DUMMYFUNCTION("""COMPUTED_VALUE"""),19.0)</f>
        <v>19</v>
      </c>
      <c r="F2453" s="148">
        <f>IFERROR(__xludf.DUMMYFUNCTION("""COMPUTED_VALUE"""),403320.0)</f>
        <v>403320</v>
      </c>
      <c r="G2453" s="148">
        <f>IFERROR(__xludf.DUMMYFUNCTION("""COMPUTED_VALUE"""),1.51103649E8)</f>
        <v>151103649</v>
      </c>
      <c r="H2453" s="148">
        <f>IFERROR(__xludf.DUMMYFUNCTION("""COMPUTED_VALUE"""),1.5112564E7)</f>
        <v>15112564</v>
      </c>
      <c r="I2453" s="148" t="str">
        <f>IFERROR(__xludf.DUMMYFUNCTION("""COMPUTED_VALUE"""),"{}")</f>
        <v>{}</v>
      </c>
      <c r="J2453" s="148" t="str">
        <f>IFERROR(__xludf.DUMMYFUNCTION("""COMPUTED_VALUE"""),"{""typ"":""lc"",""txt"":""LC_ASSET_card_gallary_book_3_orange_box""}")</f>
        <v>{"typ":"lc","txt":"LC_ASSET_card_gallary_book_3_orange_box"}</v>
      </c>
      <c r="K2453" s="148" t="str">
        <f>IFERROR(__xludf.DUMMYFUNCTION("""COMPUTED_VALUE"""),"{""typ"":""lc"",""txt"":""LC_ASSET_card_gallary_book_orange_box_desc""}")</f>
        <v>{"typ":"lc","txt":"LC_ASSET_card_gallary_book_orange_box_desc"}</v>
      </c>
      <c r="L2453" s="148" t="str">
        <f>IFERROR(__xludf.DUMMYFUNCTION("""COMPUTED_VALUE"""),"{}")</f>
        <v>{}</v>
      </c>
      <c r="M2453" s="148">
        <f>IFERROR(__xludf.DUMMYFUNCTION("""COMPUTED_VALUE"""),135.0)</f>
        <v>135</v>
      </c>
      <c r="N2453" s="148">
        <f>IFERROR(__xludf.DUMMYFUNCTION("""COMPUTED_VALUE"""),999999.0)</f>
        <v>999999</v>
      </c>
      <c r="O2453" s="148">
        <f>IFERROR(__xludf.DUMMYFUNCTION("""COMPUTED_VALUE"""),99999.0)</f>
        <v>99999</v>
      </c>
      <c r="P2453" s="148">
        <f>IFERROR(__xludf.DUMMYFUNCTION("""COMPUTED_VALUE"""),5.0)</f>
        <v>5</v>
      </c>
      <c r="Q2453" s="148" t="str">
        <f>IFERROR(__xludf.DUMMYFUNCTION("""COMPUTED_VALUE"""),"[""bag_other""]")</f>
        <v>["bag_other"]</v>
      </c>
      <c r="R2453" s="148" t="str">
        <f>IFERROR(__xludf.DUMMYFUNCTION("""COMPUTED_VALUE"""),"[""card"",""bag""]")</f>
        <v>["card","bag"]</v>
      </c>
      <c r="S2453" s="148" t="str">
        <f>IFERROR(__xludf.DUMMYFUNCTION("""COMPUTED_VALUE"""),"{""drop"":{""typ"":""single_random"",""num"":1,""args"":[{""typ"":""card_star"",""id"":3,""num"":1,""args"":[{""id"":60011003}],""wgt"":8000},{""typ"":""card_star"",""id"":4,""num"":1,""args"":[{""id"":60011003}],""wgt"":1800},{""typ"":""card_star"",""id"&amp;""":5,""num"":1,""args"":[{""id"":60011003}],""wgt"":200}]}}")</f>
        <v>{"drop":{"typ":"single_random","num":1,"args":[{"typ":"card_star","id":3,"num":1,"args":[{"id":60011003}],"wgt":8000},{"typ":"card_star","id":4,"num":1,"args":[{"id":60011003}],"wgt":1800},{"typ":"card_star","id":5,"num":1,"args":[{"id":60011003}],"wgt":200}]}}</v>
      </c>
      <c r="T2453" s="148">
        <f>IFERROR(__xludf.DUMMYFUNCTION("""COMPUTED_VALUE"""),-1.0)</f>
        <v>-1</v>
      </c>
      <c r="U2453" s="148">
        <f>IFERROR(__xludf.DUMMYFUNCTION("""COMPUTED_VALUE"""),0.0)</f>
        <v>0</v>
      </c>
      <c r="V2453" s="148" t="str">
        <f>IFERROR(__xludf.DUMMYFUNCTION("""COMPUTED_VALUE"""),"[]")</f>
        <v>[]</v>
      </c>
      <c r="W2453" s="148">
        <f>IFERROR(__xludf.DUMMYFUNCTION("""COMPUTED_VALUE"""),1.174E7)</f>
        <v>11740000</v>
      </c>
      <c r="X2453" s="148">
        <f>IFERROR(__xludf.DUMMYFUNCTION("""COMPUTED_VALUE"""),0.0)</f>
        <v>0</v>
      </c>
      <c r="Y2453" s="148">
        <f>IFERROR(__xludf.DUMMYFUNCTION("""COMPUTED_VALUE"""),0.0)</f>
        <v>0</v>
      </c>
      <c r="Z2453" s="148"/>
    </row>
    <row r="2454">
      <c r="A2454" s="148">
        <f>IFERROR(__xludf.DUMMYFUNCTION("""COMPUTED_VALUE"""),1.1119373E7)</f>
        <v>11119373</v>
      </c>
      <c r="B2454" s="148" t="str">
        <f>IFERROR(__xludf.DUMMYFUNCTION("""COMPUTED_VALUE"""),"图鉴3-商店--过期1星自选")</f>
        <v>图鉴3-商店--过期1星自选</v>
      </c>
      <c r="C2454" s="148"/>
      <c r="D2454" s="148" t="str">
        <f>IFERROR(__xludf.DUMMYFUNCTION("""COMPUTED_VALUE"""),"card_select_box")</f>
        <v>card_select_box</v>
      </c>
      <c r="E2454" s="148">
        <f>IFERROR(__xludf.DUMMYFUNCTION("""COMPUTED_VALUE"""),19.0)</f>
        <v>19</v>
      </c>
      <c r="F2454" s="148">
        <f>IFERROR(__xludf.DUMMYFUNCTION("""COMPUTED_VALUE"""),403321.0)</f>
        <v>403321</v>
      </c>
      <c r="G2454" s="148">
        <f>IFERROR(__xludf.DUMMYFUNCTION("""COMPUTED_VALUE"""),1.5110365E8)</f>
        <v>151103650</v>
      </c>
      <c r="H2454" s="148">
        <f>IFERROR(__xludf.DUMMYFUNCTION("""COMPUTED_VALUE"""),1.5112562E7)</f>
        <v>15112562</v>
      </c>
      <c r="I2454" s="148" t="str">
        <f>IFERROR(__xludf.DUMMYFUNCTION("""COMPUTED_VALUE"""),"{}")</f>
        <v>{}</v>
      </c>
      <c r="J2454" s="148" t="str">
        <f>IFERROR(__xludf.DUMMYFUNCTION("""COMPUTED_VALUE"""),"{""typ"":""lc"",""txt"":""LC_ASSET_card_gallary_book_3_select_blue_box""}")</f>
        <v>{"typ":"lc","txt":"LC_ASSET_card_gallary_book_3_select_blue_box"}</v>
      </c>
      <c r="K2454" s="148" t="str">
        <f>IFERROR(__xludf.DUMMYFUNCTION("""COMPUTED_VALUE"""),"{""typ"":""lc"",""txt"":""LC_ASSET_card_gallary_book_select_blue_box_desc""}")</f>
        <v>{"typ":"lc","txt":"LC_ASSET_card_gallary_book_select_blue_box_desc"}</v>
      </c>
      <c r="L2454" s="148" t="str">
        <f>IFERROR(__xludf.DUMMYFUNCTION("""COMPUTED_VALUE"""),"{}")</f>
        <v>{}</v>
      </c>
      <c r="M2454" s="148">
        <f>IFERROR(__xludf.DUMMYFUNCTION("""COMPUTED_VALUE"""),135.0)</f>
        <v>135</v>
      </c>
      <c r="N2454" s="148">
        <f>IFERROR(__xludf.DUMMYFUNCTION("""COMPUTED_VALUE"""),999999.0)</f>
        <v>999999</v>
      </c>
      <c r="O2454" s="148">
        <f>IFERROR(__xludf.DUMMYFUNCTION("""COMPUTED_VALUE"""),99999.0)</f>
        <v>99999</v>
      </c>
      <c r="P2454" s="148">
        <f>IFERROR(__xludf.DUMMYFUNCTION("""COMPUTED_VALUE"""),5.0)</f>
        <v>5</v>
      </c>
      <c r="Q2454" s="148" t="str">
        <f>IFERROR(__xludf.DUMMYFUNCTION("""COMPUTED_VALUE"""),"[""bag_other""]")</f>
        <v>["bag_other"]</v>
      </c>
      <c r="R2454" s="148" t="str">
        <f>IFERROR(__xludf.DUMMYFUNCTION("""COMPUTED_VALUE"""),"[""card"",""bag""]")</f>
        <v>["card","bag"]</v>
      </c>
      <c r="S2454" s="148" t="str">
        <f>IFERROR(__xludf.DUMMYFUNCTION("""COMPUTED_VALUE"""),"{""select_box"":[{""typ"":""card_star"",""id"":3,""val"":1},{""id"":60011003}]}")</f>
        <v>{"select_box":[{"typ":"card_star","id":3,"val":1},{"id":60011003}]}</v>
      </c>
      <c r="T2454" s="148">
        <f>IFERROR(__xludf.DUMMYFUNCTION("""COMPUTED_VALUE"""),1.0)</f>
        <v>1</v>
      </c>
      <c r="U2454" s="148">
        <f>IFERROR(__xludf.DUMMYFUNCTION("""COMPUTED_VALUE"""),0.0)</f>
        <v>0</v>
      </c>
      <c r="V2454" s="148" t="str">
        <f>IFERROR(__xludf.DUMMYFUNCTION("""COMPUTED_VALUE"""),"[]")</f>
        <v>[]</v>
      </c>
      <c r="W2454" s="148">
        <f>IFERROR(__xludf.DUMMYFUNCTION("""COMPUTED_VALUE"""),1.174E7)</f>
        <v>11740000</v>
      </c>
      <c r="X2454" s="148">
        <f>IFERROR(__xludf.DUMMYFUNCTION("""COMPUTED_VALUE"""),0.0)</f>
        <v>0</v>
      </c>
      <c r="Y2454" s="148">
        <f>IFERROR(__xludf.DUMMYFUNCTION("""COMPUTED_VALUE"""),0.0)</f>
        <v>0</v>
      </c>
      <c r="Z2454" s="148"/>
    </row>
    <row r="2455">
      <c r="A2455" s="148">
        <f>IFERROR(__xludf.DUMMYFUNCTION("""COMPUTED_VALUE"""),1.1119374E7)</f>
        <v>11119374</v>
      </c>
      <c r="B2455" s="148" t="str">
        <f>IFERROR(__xludf.DUMMYFUNCTION("""COMPUTED_VALUE"""),"图鉴3-商店--过期2星自选")</f>
        <v>图鉴3-商店--过期2星自选</v>
      </c>
      <c r="C2455" s="148"/>
      <c r="D2455" s="148" t="str">
        <f>IFERROR(__xludf.DUMMYFUNCTION("""COMPUTED_VALUE"""),"card_select_box")</f>
        <v>card_select_box</v>
      </c>
      <c r="E2455" s="148">
        <f>IFERROR(__xludf.DUMMYFUNCTION("""COMPUTED_VALUE"""),19.0)</f>
        <v>19</v>
      </c>
      <c r="F2455" s="148">
        <f>IFERROR(__xludf.DUMMYFUNCTION("""COMPUTED_VALUE"""),403322.0)</f>
        <v>403322</v>
      </c>
      <c r="G2455" s="148">
        <f>IFERROR(__xludf.DUMMYFUNCTION("""COMPUTED_VALUE"""),1.51103651E8)</f>
        <v>151103651</v>
      </c>
      <c r="H2455" s="148">
        <f>IFERROR(__xludf.DUMMYFUNCTION("""COMPUTED_VALUE"""),1.5112563E7)</f>
        <v>15112563</v>
      </c>
      <c r="I2455" s="148" t="str">
        <f>IFERROR(__xludf.DUMMYFUNCTION("""COMPUTED_VALUE"""),"{}")</f>
        <v>{}</v>
      </c>
      <c r="J2455" s="148" t="str">
        <f>IFERROR(__xludf.DUMMYFUNCTION("""COMPUTED_VALUE"""),"{""typ"":""lc"",""txt"":""LC_ASSET_card_gallary_book_3_select_purple_box""}")</f>
        <v>{"typ":"lc","txt":"LC_ASSET_card_gallary_book_3_select_purple_box"}</v>
      </c>
      <c r="K2455" s="148" t="str">
        <f>IFERROR(__xludf.DUMMYFUNCTION("""COMPUTED_VALUE"""),"{""typ"":""lc"",""txt"":""LC_ASSET_card_gallary_book_select_purple_box_desc""}")</f>
        <v>{"typ":"lc","txt":"LC_ASSET_card_gallary_book_select_purple_box_desc"}</v>
      </c>
      <c r="L2455" s="148" t="str">
        <f>IFERROR(__xludf.DUMMYFUNCTION("""COMPUTED_VALUE"""),"{}")</f>
        <v>{}</v>
      </c>
      <c r="M2455" s="148">
        <f>IFERROR(__xludf.DUMMYFUNCTION("""COMPUTED_VALUE"""),135.0)</f>
        <v>135</v>
      </c>
      <c r="N2455" s="148">
        <f>IFERROR(__xludf.DUMMYFUNCTION("""COMPUTED_VALUE"""),999999.0)</f>
        <v>999999</v>
      </c>
      <c r="O2455" s="148">
        <f>IFERROR(__xludf.DUMMYFUNCTION("""COMPUTED_VALUE"""),99999.0)</f>
        <v>99999</v>
      </c>
      <c r="P2455" s="148">
        <f>IFERROR(__xludf.DUMMYFUNCTION("""COMPUTED_VALUE"""),5.0)</f>
        <v>5</v>
      </c>
      <c r="Q2455" s="148" t="str">
        <f>IFERROR(__xludf.DUMMYFUNCTION("""COMPUTED_VALUE"""),"[""bag_other""]")</f>
        <v>["bag_other"]</v>
      </c>
      <c r="R2455" s="148" t="str">
        <f>IFERROR(__xludf.DUMMYFUNCTION("""COMPUTED_VALUE"""),"[""card"",""bag""]")</f>
        <v>["card","bag"]</v>
      </c>
      <c r="S2455" s="148" t="str">
        <f>IFERROR(__xludf.DUMMYFUNCTION("""COMPUTED_VALUE"""),"{""select_box"":[{""typ"":""card_star"",""id"":4,""val"":1},{""id"":60011003}]}")</f>
        <v>{"select_box":[{"typ":"card_star","id":4,"val":1},{"id":60011003}]}</v>
      </c>
      <c r="T2455" s="148">
        <f>IFERROR(__xludf.DUMMYFUNCTION("""COMPUTED_VALUE"""),1.0)</f>
        <v>1</v>
      </c>
      <c r="U2455" s="148">
        <f>IFERROR(__xludf.DUMMYFUNCTION("""COMPUTED_VALUE"""),0.0)</f>
        <v>0</v>
      </c>
      <c r="V2455" s="148" t="str">
        <f>IFERROR(__xludf.DUMMYFUNCTION("""COMPUTED_VALUE"""),"[]")</f>
        <v>[]</v>
      </c>
      <c r="W2455" s="148">
        <f>IFERROR(__xludf.DUMMYFUNCTION("""COMPUTED_VALUE"""),1.174E7)</f>
        <v>11740000</v>
      </c>
      <c r="X2455" s="148">
        <f>IFERROR(__xludf.DUMMYFUNCTION("""COMPUTED_VALUE"""),0.0)</f>
        <v>0</v>
      </c>
      <c r="Y2455" s="148">
        <f>IFERROR(__xludf.DUMMYFUNCTION("""COMPUTED_VALUE"""),0.0)</f>
        <v>0</v>
      </c>
      <c r="Z2455" s="148"/>
    </row>
    <row r="2456">
      <c r="A2456" s="148">
        <f>IFERROR(__xludf.DUMMYFUNCTION("""COMPUTED_VALUE"""),1.1119375E7)</f>
        <v>11119375</v>
      </c>
      <c r="B2456" s="148" t="str">
        <f>IFERROR(__xludf.DUMMYFUNCTION("""COMPUTED_VALUE"""),"图鉴3-商店--过期3星自选")</f>
        <v>图鉴3-商店--过期3星自选</v>
      </c>
      <c r="C2456" s="148"/>
      <c r="D2456" s="148" t="str">
        <f>IFERROR(__xludf.DUMMYFUNCTION("""COMPUTED_VALUE"""),"card_select_box")</f>
        <v>card_select_box</v>
      </c>
      <c r="E2456" s="148">
        <f>IFERROR(__xludf.DUMMYFUNCTION("""COMPUTED_VALUE"""),19.0)</f>
        <v>19</v>
      </c>
      <c r="F2456" s="148">
        <f>IFERROR(__xludf.DUMMYFUNCTION("""COMPUTED_VALUE"""),403323.0)</f>
        <v>403323</v>
      </c>
      <c r="G2456" s="148">
        <f>IFERROR(__xludf.DUMMYFUNCTION("""COMPUTED_VALUE"""),1.51103652E8)</f>
        <v>151103652</v>
      </c>
      <c r="H2456" s="148">
        <f>IFERROR(__xludf.DUMMYFUNCTION("""COMPUTED_VALUE"""),1.5112564E7)</f>
        <v>15112564</v>
      </c>
      <c r="I2456" s="148" t="str">
        <f>IFERROR(__xludf.DUMMYFUNCTION("""COMPUTED_VALUE"""),"{}")</f>
        <v>{}</v>
      </c>
      <c r="J2456" s="148" t="str">
        <f>IFERROR(__xludf.DUMMYFUNCTION("""COMPUTED_VALUE"""),"{""typ"":""lc"",""txt"":""LC_ASSET_card_gallary_book_3_select_orange_box""}")</f>
        <v>{"typ":"lc","txt":"LC_ASSET_card_gallary_book_3_select_orange_box"}</v>
      </c>
      <c r="K2456" s="148" t="str">
        <f>IFERROR(__xludf.DUMMYFUNCTION("""COMPUTED_VALUE"""),"{""typ"":""lc"",""txt"":""LC_ASSET_card_gallary_book_select_orange_box_desc""}")</f>
        <v>{"typ":"lc","txt":"LC_ASSET_card_gallary_book_select_orange_box_desc"}</v>
      </c>
      <c r="L2456" s="148" t="str">
        <f>IFERROR(__xludf.DUMMYFUNCTION("""COMPUTED_VALUE"""),"{}")</f>
        <v>{}</v>
      </c>
      <c r="M2456" s="148">
        <f>IFERROR(__xludf.DUMMYFUNCTION("""COMPUTED_VALUE"""),135.0)</f>
        <v>135</v>
      </c>
      <c r="N2456" s="148">
        <f>IFERROR(__xludf.DUMMYFUNCTION("""COMPUTED_VALUE"""),999999.0)</f>
        <v>999999</v>
      </c>
      <c r="O2456" s="148">
        <f>IFERROR(__xludf.DUMMYFUNCTION("""COMPUTED_VALUE"""),99999.0)</f>
        <v>99999</v>
      </c>
      <c r="P2456" s="148">
        <f>IFERROR(__xludf.DUMMYFUNCTION("""COMPUTED_VALUE"""),5.0)</f>
        <v>5</v>
      </c>
      <c r="Q2456" s="148" t="str">
        <f>IFERROR(__xludf.DUMMYFUNCTION("""COMPUTED_VALUE"""),"[""bag_other""]")</f>
        <v>["bag_other"]</v>
      </c>
      <c r="R2456" s="148" t="str">
        <f>IFERROR(__xludf.DUMMYFUNCTION("""COMPUTED_VALUE"""),"[""card"",""bag""]")</f>
        <v>["card","bag"]</v>
      </c>
      <c r="S2456" s="148" t="str">
        <f>IFERROR(__xludf.DUMMYFUNCTION("""COMPUTED_VALUE"""),"{""select_box"":[{""typ"":""card_star"",""id"":5,""val"":1},{""id"":60011003}]}")</f>
        <v>{"select_box":[{"typ":"card_star","id":5,"val":1},{"id":60011003}]}</v>
      </c>
      <c r="T2456" s="148">
        <f>IFERROR(__xludf.DUMMYFUNCTION("""COMPUTED_VALUE"""),1.0)</f>
        <v>1</v>
      </c>
      <c r="U2456" s="148">
        <f>IFERROR(__xludf.DUMMYFUNCTION("""COMPUTED_VALUE"""),0.0)</f>
        <v>0</v>
      </c>
      <c r="V2456" s="148" t="str">
        <f>IFERROR(__xludf.DUMMYFUNCTION("""COMPUTED_VALUE"""),"[]")</f>
        <v>[]</v>
      </c>
      <c r="W2456" s="148">
        <f>IFERROR(__xludf.DUMMYFUNCTION("""COMPUTED_VALUE"""),1.174E7)</f>
        <v>11740000</v>
      </c>
      <c r="X2456" s="148">
        <f>IFERROR(__xludf.DUMMYFUNCTION("""COMPUTED_VALUE"""),0.0)</f>
        <v>0</v>
      </c>
      <c r="Y2456" s="148">
        <f>IFERROR(__xludf.DUMMYFUNCTION("""COMPUTED_VALUE"""),0.0)</f>
        <v>0</v>
      </c>
      <c r="Z2456" s="148"/>
    </row>
    <row r="2457">
      <c r="A2457" s="148">
        <f>IFERROR(__xludf.DUMMYFUNCTION("""COMPUTED_VALUE"""),1.1119376E7)</f>
        <v>11119376</v>
      </c>
      <c r="B2457" s="148" t="str">
        <f>IFERROR(__xludf.DUMMYFUNCTION("""COMPUTED_VALUE"""),"图鉴1-获得随机未获得的3星卡-运营用")</f>
        <v>图鉴1-获得随机未获得的3星卡-运营用</v>
      </c>
      <c r="C2457" s="148"/>
      <c r="D2457" s="148" t="str">
        <f>IFERROR(__xludf.DUMMYFUNCTION("""COMPUTED_VALUE"""),"item_card_asset")</f>
        <v>item_card_asset</v>
      </c>
      <c r="E2457" s="148">
        <f>IFERROR(__xludf.DUMMYFUNCTION("""COMPUTED_VALUE"""),19.0)</f>
        <v>19</v>
      </c>
      <c r="F2457" s="148">
        <f>IFERROR(__xludf.DUMMYFUNCTION("""COMPUTED_VALUE"""),403301.0)</f>
        <v>403301</v>
      </c>
      <c r="G2457" s="148">
        <f>IFERROR(__xludf.DUMMYFUNCTION("""COMPUTED_VALUE"""),1.51103653E8)</f>
        <v>151103653</v>
      </c>
      <c r="H2457" s="148">
        <f>IFERROR(__xludf.DUMMYFUNCTION("""COMPUTED_VALUE"""),1.5112564E7)</f>
        <v>15112564</v>
      </c>
      <c r="I2457" s="148" t="str">
        <f>IFERROR(__xludf.DUMMYFUNCTION("""COMPUTED_VALUE"""),"{}")</f>
        <v>{}</v>
      </c>
      <c r="J2457" s="148" t="str">
        <f>IFERROR(__xludf.DUMMYFUNCTION("""COMPUTED_VALUE"""),"{""typ"":""lc"",""txt"":""LC_ASSET_card1_gacha_pack_cheng_item""}")</f>
        <v>{"typ":"lc","txt":"LC_ASSET_card1_gacha_pack_cheng_item"}</v>
      </c>
      <c r="K2457" s="148" t="str">
        <f>IFERROR(__xludf.DUMMYFUNCTION("""COMPUTED_VALUE"""),"{""typ"":""lc"",""txt"":""LC_ASSET_card1_gacha_pack_cheng_item_desc""}")</f>
        <v>{"typ":"lc","txt":"LC_ASSET_card1_gacha_pack_cheng_item_desc"}</v>
      </c>
      <c r="L2457" s="148" t="str">
        <f>IFERROR(__xludf.DUMMYFUNCTION("""COMPUTED_VALUE"""),"{}")</f>
        <v>{}</v>
      </c>
      <c r="M2457" s="148">
        <f>IFERROR(__xludf.DUMMYFUNCTION("""COMPUTED_VALUE"""),135.0)</f>
        <v>135</v>
      </c>
      <c r="N2457" s="148">
        <f>IFERROR(__xludf.DUMMYFUNCTION("""COMPUTED_VALUE"""),999999.0)</f>
        <v>999999</v>
      </c>
      <c r="O2457" s="148">
        <f>IFERROR(__xludf.DUMMYFUNCTION("""COMPUTED_VALUE"""),99999.0)</f>
        <v>99999</v>
      </c>
      <c r="P2457" s="148">
        <f>IFERROR(__xludf.DUMMYFUNCTION("""COMPUTED_VALUE"""),5.0)</f>
        <v>5</v>
      </c>
      <c r="Q2457" s="148" t="str">
        <f>IFERROR(__xludf.DUMMYFUNCTION("""COMPUTED_VALUE"""),"[""bag_other""]")</f>
        <v>["bag_other"]</v>
      </c>
      <c r="R2457" s="148" t="str">
        <f>IFERROR(__xludf.DUMMYFUNCTION("""COMPUTED_VALUE"""),"[""card"",""bag""]")</f>
        <v>["card","bag"]</v>
      </c>
      <c r="S2457" s="148" t="str">
        <f>IFERROR(__xludf.DUMMYFUNCTION("""COMPUTED_VALUE"""),"{""drop"":{""typ"":""single_random"",""num"":1,""args"":[{""typ"":""card_star_missing"",""id"": 5, ""num"":1,""args"":[{""id"":60011001}],""wgt"":10000}]}}")</f>
        <v>{"drop":{"typ":"single_random","num":1,"args":[{"typ":"card_star_missing","id": 5, "num":1,"args":[{"id":60011001}],"wgt":10000}]}}</v>
      </c>
      <c r="T2457" s="148">
        <f>IFERROR(__xludf.DUMMYFUNCTION("""COMPUTED_VALUE"""),-1.0)</f>
        <v>-1</v>
      </c>
      <c r="U2457" s="148">
        <f>IFERROR(__xludf.DUMMYFUNCTION("""COMPUTED_VALUE"""),1.0)</f>
        <v>1</v>
      </c>
      <c r="V2457" s="148" t="str">
        <f>IFERROR(__xludf.DUMMYFUNCTION("""COMPUTED_VALUE"""),"[]")</f>
        <v>[]</v>
      </c>
      <c r="W2457" s="148">
        <f>IFERROR(__xludf.DUMMYFUNCTION("""COMPUTED_VALUE"""),1.174E7)</f>
        <v>11740000</v>
      </c>
      <c r="X2457" s="148">
        <f>IFERROR(__xludf.DUMMYFUNCTION("""COMPUTED_VALUE"""),0.0)</f>
        <v>0</v>
      </c>
      <c r="Y2457" s="148">
        <f>IFERROR(__xludf.DUMMYFUNCTION("""COMPUTED_VALUE"""),0.0)</f>
        <v>0</v>
      </c>
      <c r="Z2457" s="148"/>
    </row>
    <row r="2458">
      <c r="A2458" s="148">
        <f>IFERROR(__xludf.DUMMYFUNCTION("""COMPUTED_VALUE"""),1.1119377E7)</f>
        <v>11119377</v>
      </c>
      <c r="B2458" s="148" t="str">
        <f>IFERROR(__xludf.DUMMYFUNCTION("""COMPUTED_VALUE"""),"图鉴2-获得随机未获得的3星卡-运营用")</f>
        <v>图鉴2-获得随机未获得的3星卡-运营用</v>
      </c>
      <c r="C2458" s="148"/>
      <c r="D2458" s="148" t="str">
        <f>IFERROR(__xludf.DUMMYFUNCTION("""COMPUTED_VALUE"""),"item_card_asset")</f>
        <v>item_card_asset</v>
      </c>
      <c r="E2458" s="148">
        <f>IFERROR(__xludf.DUMMYFUNCTION("""COMPUTED_VALUE"""),19.0)</f>
        <v>19</v>
      </c>
      <c r="F2458" s="148">
        <f>IFERROR(__xludf.DUMMYFUNCTION("""COMPUTED_VALUE"""),403302.0)</f>
        <v>403302</v>
      </c>
      <c r="G2458" s="148">
        <f>IFERROR(__xludf.DUMMYFUNCTION("""COMPUTED_VALUE"""),1.51103654E8)</f>
        <v>151103654</v>
      </c>
      <c r="H2458" s="148">
        <f>IFERROR(__xludf.DUMMYFUNCTION("""COMPUTED_VALUE"""),1.5112564E7)</f>
        <v>15112564</v>
      </c>
      <c r="I2458" s="148" t="str">
        <f>IFERROR(__xludf.DUMMYFUNCTION("""COMPUTED_VALUE"""),"{}")</f>
        <v>{}</v>
      </c>
      <c r="J2458" s="148" t="str">
        <f>IFERROR(__xludf.DUMMYFUNCTION("""COMPUTED_VALUE"""),"{""typ"":""lc"",""txt"":""LC_ASSET_card2_gacha_pack_cheng_item""}")</f>
        <v>{"typ":"lc","txt":"LC_ASSET_card2_gacha_pack_cheng_item"}</v>
      </c>
      <c r="K2458" s="148" t="str">
        <f>IFERROR(__xludf.DUMMYFUNCTION("""COMPUTED_VALUE"""),"{""typ"":""lc"",""txt"":""LC_ASSET_card2_gacha_pack_cheng_item_desc""}")</f>
        <v>{"typ":"lc","txt":"LC_ASSET_card2_gacha_pack_cheng_item_desc"}</v>
      </c>
      <c r="L2458" s="148" t="str">
        <f>IFERROR(__xludf.DUMMYFUNCTION("""COMPUTED_VALUE"""),"{}")</f>
        <v>{}</v>
      </c>
      <c r="M2458" s="148">
        <f>IFERROR(__xludf.DUMMYFUNCTION("""COMPUTED_VALUE"""),135.0)</f>
        <v>135</v>
      </c>
      <c r="N2458" s="148">
        <f>IFERROR(__xludf.DUMMYFUNCTION("""COMPUTED_VALUE"""),999999.0)</f>
        <v>999999</v>
      </c>
      <c r="O2458" s="148">
        <f>IFERROR(__xludf.DUMMYFUNCTION("""COMPUTED_VALUE"""),99999.0)</f>
        <v>99999</v>
      </c>
      <c r="P2458" s="148">
        <f>IFERROR(__xludf.DUMMYFUNCTION("""COMPUTED_VALUE"""),5.0)</f>
        <v>5</v>
      </c>
      <c r="Q2458" s="148" t="str">
        <f>IFERROR(__xludf.DUMMYFUNCTION("""COMPUTED_VALUE"""),"[""bag_other""]")</f>
        <v>["bag_other"]</v>
      </c>
      <c r="R2458" s="148" t="str">
        <f>IFERROR(__xludf.DUMMYFUNCTION("""COMPUTED_VALUE"""),"[""card"",""bag""]")</f>
        <v>["card","bag"]</v>
      </c>
      <c r="S2458" s="148" t="str">
        <f>IFERROR(__xludf.DUMMYFUNCTION("""COMPUTED_VALUE"""),"{""drop"":{""typ"":""single_random"",""num"":1,""args"":[{""typ"":""card_star_missing"",""id"": 5, ""num"":1,""args"":[{""id"":60011002}],""wgt"":10000}]}}")</f>
        <v>{"drop":{"typ":"single_random","num":1,"args":[{"typ":"card_star_missing","id": 5, "num":1,"args":[{"id":60011002}],"wgt":10000}]}}</v>
      </c>
      <c r="T2458" s="148">
        <f>IFERROR(__xludf.DUMMYFUNCTION("""COMPUTED_VALUE"""),-1.0)</f>
        <v>-1</v>
      </c>
      <c r="U2458" s="148">
        <f>IFERROR(__xludf.DUMMYFUNCTION("""COMPUTED_VALUE"""),1.0)</f>
        <v>1</v>
      </c>
      <c r="V2458" s="148" t="str">
        <f>IFERROR(__xludf.DUMMYFUNCTION("""COMPUTED_VALUE"""),"[]")</f>
        <v>[]</v>
      </c>
      <c r="W2458" s="148">
        <f>IFERROR(__xludf.DUMMYFUNCTION("""COMPUTED_VALUE"""),1.174E7)</f>
        <v>11740000</v>
      </c>
      <c r="X2458" s="148">
        <f>IFERROR(__xludf.DUMMYFUNCTION("""COMPUTED_VALUE"""),0.0)</f>
        <v>0</v>
      </c>
      <c r="Y2458" s="148">
        <f>IFERROR(__xludf.DUMMYFUNCTION("""COMPUTED_VALUE"""),0.0)</f>
        <v>0</v>
      </c>
      <c r="Z2458" s="148"/>
    </row>
    <row r="2459">
      <c r="A2459" s="148">
        <f>IFERROR(__xludf.DUMMYFUNCTION("""COMPUTED_VALUE"""),1.1119378E7)</f>
        <v>11119378</v>
      </c>
      <c r="B2459" s="148" t="str">
        <f>IFERROR(__xludf.DUMMYFUNCTION("""COMPUTED_VALUE"""),"图鉴3-获得随机未获得的3星卡-运营用")</f>
        <v>图鉴3-获得随机未获得的3星卡-运营用</v>
      </c>
      <c r="C2459" s="148"/>
      <c r="D2459" s="148" t="str">
        <f>IFERROR(__xludf.DUMMYFUNCTION("""COMPUTED_VALUE"""),"item_card_asset")</f>
        <v>item_card_asset</v>
      </c>
      <c r="E2459" s="148">
        <f>IFERROR(__xludf.DUMMYFUNCTION("""COMPUTED_VALUE"""),19.0)</f>
        <v>19</v>
      </c>
      <c r="F2459" s="148">
        <f>IFERROR(__xludf.DUMMYFUNCTION("""COMPUTED_VALUE"""),403303.0)</f>
        <v>403303</v>
      </c>
      <c r="G2459" s="148">
        <f>IFERROR(__xludf.DUMMYFUNCTION("""COMPUTED_VALUE"""),1.51103655E8)</f>
        <v>151103655</v>
      </c>
      <c r="H2459" s="148">
        <f>IFERROR(__xludf.DUMMYFUNCTION("""COMPUTED_VALUE"""),1.5112564E7)</f>
        <v>15112564</v>
      </c>
      <c r="I2459" s="148" t="str">
        <f>IFERROR(__xludf.DUMMYFUNCTION("""COMPUTED_VALUE"""),"{}")</f>
        <v>{}</v>
      </c>
      <c r="J2459" s="148" t="str">
        <f>IFERROR(__xludf.DUMMYFUNCTION("""COMPUTED_VALUE"""),"{""typ"":""lc"",""txt"":""LC_ASSET_card3_gacha_pack_cheng_item""}")</f>
        <v>{"typ":"lc","txt":"LC_ASSET_card3_gacha_pack_cheng_item"}</v>
      </c>
      <c r="K2459" s="148" t="str">
        <f>IFERROR(__xludf.DUMMYFUNCTION("""COMPUTED_VALUE"""),"{""typ"":""lc"",""txt"":""LC_ASSET_card3_gacha_pack_cheng_item_desc""}")</f>
        <v>{"typ":"lc","txt":"LC_ASSET_card3_gacha_pack_cheng_item_desc"}</v>
      </c>
      <c r="L2459" s="148" t="str">
        <f>IFERROR(__xludf.DUMMYFUNCTION("""COMPUTED_VALUE"""),"{}")</f>
        <v>{}</v>
      </c>
      <c r="M2459" s="148">
        <f>IFERROR(__xludf.DUMMYFUNCTION("""COMPUTED_VALUE"""),135.0)</f>
        <v>135</v>
      </c>
      <c r="N2459" s="148">
        <f>IFERROR(__xludf.DUMMYFUNCTION("""COMPUTED_VALUE"""),999999.0)</f>
        <v>999999</v>
      </c>
      <c r="O2459" s="148">
        <f>IFERROR(__xludf.DUMMYFUNCTION("""COMPUTED_VALUE"""),99999.0)</f>
        <v>99999</v>
      </c>
      <c r="P2459" s="148">
        <f>IFERROR(__xludf.DUMMYFUNCTION("""COMPUTED_VALUE"""),5.0)</f>
        <v>5</v>
      </c>
      <c r="Q2459" s="148" t="str">
        <f>IFERROR(__xludf.DUMMYFUNCTION("""COMPUTED_VALUE"""),"[""bag_other""]")</f>
        <v>["bag_other"]</v>
      </c>
      <c r="R2459" s="148" t="str">
        <f>IFERROR(__xludf.DUMMYFUNCTION("""COMPUTED_VALUE"""),"[""card"",""bag""]")</f>
        <v>["card","bag"]</v>
      </c>
      <c r="S2459" s="148" t="str">
        <f>IFERROR(__xludf.DUMMYFUNCTION("""COMPUTED_VALUE"""),"{""drop"":{""typ"":""single_random"",""num"":1,""args"":[{""typ"":""card_star_missing"",""id"": 5, ""num"":1,""args"":[{""id"":60011003}],""wgt"":10000}]}}")</f>
        <v>{"drop":{"typ":"single_random","num":1,"args":[{"typ":"card_star_missing","id": 5, "num":1,"args":[{"id":60011003}],"wgt":10000}]}}</v>
      </c>
      <c r="T2459" s="148">
        <f>IFERROR(__xludf.DUMMYFUNCTION("""COMPUTED_VALUE"""),-1.0)</f>
        <v>-1</v>
      </c>
      <c r="U2459" s="148">
        <f>IFERROR(__xludf.DUMMYFUNCTION("""COMPUTED_VALUE"""),1.0)</f>
        <v>1</v>
      </c>
      <c r="V2459" s="148" t="str">
        <f>IFERROR(__xludf.DUMMYFUNCTION("""COMPUTED_VALUE"""),"[]")</f>
        <v>[]</v>
      </c>
      <c r="W2459" s="148">
        <f>IFERROR(__xludf.DUMMYFUNCTION("""COMPUTED_VALUE"""),1.174E7)</f>
        <v>11740000</v>
      </c>
      <c r="X2459" s="148">
        <f>IFERROR(__xludf.DUMMYFUNCTION("""COMPUTED_VALUE"""),0.0)</f>
        <v>0</v>
      </c>
      <c r="Y2459" s="148">
        <f>IFERROR(__xludf.DUMMYFUNCTION("""COMPUTED_VALUE"""),0.0)</f>
        <v>0</v>
      </c>
      <c r="Z2459" s="148"/>
    </row>
    <row r="2460">
      <c r="A2460" s="148">
        <f>IFERROR(__xludf.DUMMYFUNCTION("""COMPUTED_VALUE"""),1.1119379E7)</f>
        <v>11119379</v>
      </c>
      <c r="B2460" s="148" t="str">
        <f>IFERROR(__xludf.DUMMYFUNCTION("""COMPUTED_VALUE"""),"图鉴1-卡包2-3星随机-运营用")</f>
        <v>图鉴1-卡包2-3星随机-运营用</v>
      </c>
      <c r="C2460" s="148"/>
      <c r="D2460" s="148" t="str">
        <f>IFERROR(__xludf.DUMMYFUNCTION("""COMPUTED_VALUE"""),"item_card_asset")</f>
        <v>item_card_asset</v>
      </c>
      <c r="E2460" s="148">
        <f>IFERROR(__xludf.DUMMYFUNCTION("""COMPUTED_VALUE"""),19.0)</f>
        <v>19</v>
      </c>
      <c r="F2460" s="148">
        <f>IFERROR(__xludf.DUMMYFUNCTION("""COMPUTED_VALUE"""),403304.0)</f>
        <v>403304</v>
      </c>
      <c r="G2460" s="148">
        <f>IFERROR(__xludf.DUMMYFUNCTION("""COMPUTED_VALUE"""),1.51103657E8)</f>
        <v>151103657</v>
      </c>
      <c r="H2460" s="148">
        <f>IFERROR(__xludf.DUMMYFUNCTION("""COMPUTED_VALUE"""),1.5112564E7)</f>
        <v>15112564</v>
      </c>
      <c r="I2460" s="148" t="str">
        <f>IFERROR(__xludf.DUMMYFUNCTION("""COMPUTED_VALUE"""),"{}")</f>
        <v>{}</v>
      </c>
      <c r="J2460" s="148" t="str">
        <f>IFERROR(__xludf.DUMMYFUNCTION("""COMPUTED_VALUE"""),"{""typ"":""lc"",""txt"":""LC_ASSET_card1_gacha_pack_item""}")</f>
        <v>{"typ":"lc","txt":"LC_ASSET_card1_gacha_pack_item"}</v>
      </c>
      <c r="K2460" s="148" t="str">
        <f>IFERROR(__xludf.DUMMYFUNCTION("""COMPUTED_VALUE"""),"{""typ"":""lc"",""txt"":""LC_ASSET_card1_gacha_pack_item_desc""}")</f>
        <v>{"typ":"lc","txt":"LC_ASSET_card1_gacha_pack_item_desc"}</v>
      </c>
      <c r="L2460" s="148" t="str">
        <f>IFERROR(__xludf.DUMMYFUNCTION("""COMPUTED_VALUE"""),"{}")</f>
        <v>{}</v>
      </c>
      <c r="M2460" s="148">
        <f>IFERROR(__xludf.DUMMYFUNCTION("""COMPUTED_VALUE"""),135.0)</f>
        <v>135</v>
      </c>
      <c r="N2460" s="148">
        <f>IFERROR(__xludf.DUMMYFUNCTION("""COMPUTED_VALUE"""),999999.0)</f>
        <v>999999</v>
      </c>
      <c r="O2460" s="148">
        <f>IFERROR(__xludf.DUMMYFUNCTION("""COMPUTED_VALUE"""),99999.0)</f>
        <v>99999</v>
      </c>
      <c r="P2460" s="148">
        <f>IFERROR(__xludf.DUMMYFUNCTION("""COMPUTED_VALUE"""),5.0)</f>
        <v>5</v>
      </c>
      <c r="Q2460" s="148" t="str">
        <f>IFERROR(__xludf.DUMMYFUNCTION("""COMPUTED_VALUE"""),"[""bag_other""]")</f>
        <v>["bag_other"]</v>
      </c>
      <c r="R2460" s="148" t="str">
        <f>IFERROR(__xludf.DUMMYFUNCTION("""COMPUTED_VALUE"""),"[""card"",""bag""]")</f>
        <v>["card","bag"]</v>
      </c>
      <c r="S2460" s="148" t="str">
        <f>IFERROR(__xludf.DUMMYFUNCTION("""COMPUTED_VALUE"""),"{""drop"":{""typ"":""single_random"",""num"":1,""args"":[{""typ"":""card_star"",""id"":4,""num"":1,""args"":[{""id"":60011001}],""wgt"":9000},{""typ"":""card_star"",""id"":5,""num"":1,""args"":[{""id"":60011001}],""wgt"":1000}]}}")</f>
        <v>{"drop":{"typ":"single_random","num":1,"args":[{"typ":"card_star","id":4,"num":1,"args":[{"id":60011001}],"wgt":9000},{"typ":"card_star","id":5,"num":1,"args":[{"id":60011001}],"wgt":1000}]}}</v>
      </c>
      <c r="T2460" s="148">
        <f>IFERROR(__xludf.DUMMYFUNCTION("""COMPUTED_VALUE"""),-1.0)</f>
        <v>-1</v>
      </c>
      <c r="U2460" s="148">
        <f>IFERROR(__xludf.DUMMYFUNCTION("""COMPUTED_VALUE"""),0.0)</f>
        <v>0</v>
      </c>
      <c r="V2460" s="148" t="str">
        <f>IFERROR(__xludf.DUMMYFUNCTION("""COMPUTED_VALUE"""),"[]")</f>
        <v>[]</v>
      </c>
      <c r="W2460" s="148">
        <f>IFERROR(__xludf.DUMMYFUNCTION("""COMPUTED_VALUE"""),1.174E7)</f>
        <v>11740000</v>
      </c>
      <c r="X2460" s="148">
        <f>IFERROR(__xludf.DUMMYFUNCTION("""COMPUTED_VALUE"""),0.0)</f>
        <v>0</v>
      </c>
      <c r="Y2460" s="148">
        <f>IFERROR(__xludf.DUMMYFUNCTION("""COMPUTED_VALUE"""),0.0)</f>
        <v>0</v>
      </c>
      <c r="Z2460" s="148"/>
    </row>
    <row r="2461">
      <c r="A2461" s="148">
        <f>IFERROR(__xludf.DUMMYFUNCTION("""COMPUTED_VALUE"""),1.111938E7)</f>
        <v>11119380</v>
      </c>
      <c r="B2461" s="148" t="str">
        <f>IFERROR(__xludf.DUMMYFUNCTION("""COMPUTED_VALUE"""),"图鉴2-卡包2-3星随机-运营用")</f>
        <v>图鉴2-卡包2-3星随机-运营用</v>
      </c>
      <c r="C2461" s="148"/>
      <c r="D2461" s="148" t="str">
        <f>IFERROR(__xludf.DUMMYFUNCTION("""COMPUTED_VALUE"""),"item_card_asset")</f>
        <v>item_card_asset</v>
      </c>
      <c r="E2461" s="148">
        <f>IFERROR(__xludf.DUMMYFUNCTION("""COMPUTED_VALUE"""),19.0)</f>
        <v>19</v>
      </c>
      <c r="F2461" s="148">
        <f>IFERROR(__xludf.DUMMYFUNCTION("""COMPUTED_VALUE"""),403305.0)</f>
        <v>403305</v>
      </c>
      <c r="G2461" s="148">
        <f>IFERROR(__xludf.DUMMYFUNCTION("""COMPUTED_VALUE"""),1.51103658E8)</f>
        <v>151103658</v>
      </c>
      <c r="H2461" s="148">
        <f>IFERROR(__xludf.DUMMYFUNCTION("""COMPUTED_VALUE"""),1.5112564E7)</f>
        <v>15112564</v>
      </c>
      <c r="I2461" s="148" t="str">
        <f>IFERROR(__xludf.DUMMYFUNCTION("""COMPUTED_VALUE"""),"{}")</f>
        <v>{}</v>
      </c>
      <c r="J2461" s="148" t="str">
        <f>IFERROR(__xludf.DUMMYFUNCTION("""COMPUTED_VALUE"""),"{""typ"":""lc"",""txt"":""LC_ASSET_card2_gacha_pack_item""}")</f>
        <v>{"typ":"lc","txt":"LC_ASSET_card2_gacha_pack_item"}</v>
      </c>
      <c r="K2461" s="148" t="str">
        <f>IFERROR(__xludf.DUMMYFUNCTION("""COMPUTED_VALUE"""),"{""typ"":""lc"",""txt"":""LC_ASSET_card2_gacha_pack_item_desc""}")</f>
        <v>{"typ":"lc","txt":"LC_ASSET_card2_gacha_pack_item_desc"}</v>
      </c>
      <c r="L2461" s="148" t="str">
        <f>IFERROR(__xludf.DUMMYFUNCTION("""COMPUTED_VALUE"""),"{}")</f>
        <v>{}</v>
      </c>
      <c r="M2461" s="148">
        <f>IFERROR(__xludf.DUMMYFUNCTION("""COMPUTED_VALUE"""),135.0)</f>
        <v>135</v>
      </c>
      <c r="N2461" s="148">
        <f>IFERROR(__xludf.DUMMYFUNCTION("""COMPUTED_VALUE"""),999999.0)</f>
        <v>999999</v>
      </c>
      <c r="O2461" s="148">
        <f>IFERROR(__xludf.DUMMYFUNCTION("""COMPUTED_VALUE"""),99999.0)</f>
        <v>99999</v>
      </c>
      <c r="P2461" s="148">
        <f>IFERROR(__xludf.DUMMYFUNCTION("""COMPUTED_VALUE"""),5.0)</f>
        <v>5</v>
      </c>
      <c r="Q2461" s="148" t="str">
        <f>IFERROR(__xludf.DUMMYFUNCTION("""COMPUTED_VALUE"""),"[""bag_other""]")</f>
        <v>["bag_other"]</v>
      </c>
      <c r="R2461" s="148" t="str">
        <f>IFERROR(__xludf.DUMMYFUNCTION("""COMPUTED_VALUE"""),"[""card"",""bag""]")</f>
        <v>["card","bag"]</v>
      </c>
      <c r="S2461" s="148" t="str">
        <f>IFERROR(__xludf.DUMMYFUNCTION("""COMPUTED_VALUE"""),"{""drop"":{""typ"":""single_random"",""num"":1,""args"":[{""typ"":""card_star"",""id"":4,""num"":1,""args"":[{""id"":60011002}],""wgt"":9000},{""typ"":""card_star"",""id"":5,""num"":1,""args"":[{""id"":60011001}],""wgt"":1000}]}}")</f>
        <v>{"drop":{"typ":"single_random","num":1,"args":[{"typ":"card_star","id":4,"num":1,"args":[{"id":60011002}],"wgt":9000},{"typ":"card_star","id":5,"num":1,"args":[{"id":60011001}],"wgt":1000}]}}</v>
      </c>
      <c r="T2461" s="148">
        <f>IFERROR(__xludf.DUMMYFUNCTION("""COMPUTED_VALUE"""),-1.0)</f>
        <v>-1</v>
      </c>
      <c r="U2461" s="148">
        <f>IFERROR(__xludf.DUMMYFUNCTION("""COMPUTED_VALUE"""),0.0)</f>
        <v>0</v>
      </c>
      <c r="V2461" s="148" t="str">
        <f>IFERROR(__xludf.DUMMYFUNCTION("""COMPUTED_VALUE"""),"[]")</f>
        <v>[]</v>
      </c>
      <c r="W2461" s="148">
        <f>IFERROR(__xludf.DUMMYFUNCTION("""COMPUTED_VALUE"""),1.174E7)</f>
        <v>11740000</v>
      </c>
      <c r="X2461" s="148">
        <f>IFERROR(__xludf.DUMMYFUNCTION("""COMPUTED_VALUE"""),0.0)</f>
        <v>0</v>
      </c>
      <c r="Y2461" s="148">
        <f>IFERROR(__xludf.DUMMYFUNCTION("""COMPUTED_VALUE"""),0.0)</f>
        <v>0</v>
      </c>
      <c r="Z2461" s="148"/>
    </row>
    <row r="2462">
      <c r="A2462" s="148">
        <f>IFERROR(__xludf.DUMMYFUNCTION("""COMPUTED_VALUE"""),1.1119381E7)</f>
        <v>11119381</v>
      </c>
      <c r="B2462" s="148" t="str">
        <f>IFERROR(__xludf.DUMMYFUNCTION("""COMPUTED_VALUE"""),"图鉴3-卡包2-3星随机-运营用")</f>
        <v>图鉴3-卡包2-3星随机-运营用</v>
      </c>
      <c r="C2462" s="148"/>
      <c r="D2462" s="148" t="str">
        <f>IFERROR(__xludf.DUMMYFUNCTION("""COMPUTED_VALUE"""),"item_card_asset")</f>
        <v>item_card_asset</v>
      </c>
      <c r="E2462" s="148">
        <f>IFERROR(__xludf.DUMMYFUNCTION("""COMPUTED_VALUE"""),19.0)</f>
        <v>19</v>
      </c>
      <c r="F2462" s="148">
        <f>IFERROR(__xludf.DUMMYFUNCTION("""COMPUTED_VALUE"""),403306.0)</f>
        <v>403306</v>
      </c>
      <c r="G2462" s="148">
        <f>IFERROR(__xludf.DUMMYFUNCTION("""COMPUTED_VALUE"""),1.51103659E8)</f>
        <v>151103659</v>
      </c>
      <c r="H2462" s="148">
        <f>IFERROR(__xludf.DUMMYFUNCTION("""COMPUTED_VALUE"""),1.5112564E7)</f>
        <v>15112564</v>
      </c>
      <c r="I2462" s="148" t="str">
        <f>IFERROR(__xludf.DUMMYFUNCTION("""COMPUTED_VALUE"""),"{}")</f>
        <v>{}</v>
      </c>
      <c r="J2462" s="148" t="str">
        <f>IFERROR(__xludf.DUMMYFUNCTION("""COMPUTED_VALUE"""),"{""typ"":""lc"",""txt"":""LC_ASSET_card3_gacha_pack_item""}")</f>
        <v>{"typ":"lc","txt":"LC_ASSET_card3_gacha_pack_item"}</v>
      </c>
      <c r="K2462" s="148" t="str">
        <f>IFERROR(__xludf.DUMMYFUNCTION("""COMPUTED_VALUE"""),"{""typ"":""lc"",""txt"":""LC_ASSET_card3_gacha_pack_item_desc""}")</f>
        <v>{"typ":"lc","txt":"LC_ASSET_card3_gacha_pack_item_desc"}</v>
      </c>
      <c r="L2462" s="148" t="str">
        <f>IFERROR(__xludf.DUMMYFUNCTION("""COMPUTED_VALUE"""),"{}")</f>
        <v>{}</v>
      </c>
      <c r="M2462" s="148">
        <f>IFERROR(__xludf.DUMMYFUNCTION("""COMPUTED_VALUE"""),135.0)</f>
        <v>135</v>
      </c>
      <c r="N2462" s="148">
        <f>IFERROR(__xludf.DUMMYFUNCTION("""COMPUTED_VALUE"""),999999.0)</f>
        <v>999999</v>
      </c>
      <c r="O2462" s="148">
        <f>IFERROR(__xludf.DUMMYFUNCTION("""COMPUTED_VALUE"""),99999.0)</f>
        <v>99999</v>
      </c>
      <c r="P2462" s="148">
        <f>IFERROR(__xludf.DUMMYFUNCTION("""COMPUTED_VALUE"""),5.0)</f>
        <v>5</v>
      </c>
      <c r="Q2462" s="148" t="str">
        <f>IFERROR(__xludf.DUMMYFUNCTION("""COMPUTED_VALUE"""),"[""bag_other""]")</f>
        <v>["bag_other"]</v>
      </c>
      <c r="R2462" s="148" t="str">
        <f>IFERROR(__xludf.DUMMYFUNCTION("""COMPUTED_VALUE"""),"[""card"",""bag""]")</f>
        <v>["card","bag"]</v>
      </c>
      <c r="S2462" s="148" t="str">
        <f>IFERROR(__xludf.DUMMYFUNCTION("""COMPUTED_VALUE"""),"{""drop"":{""typ"":""single_random"",""num"":1,""args"":[{""typ"":""card_star"",""id"":4,""num"":1,""args"":[{""id"":60011003}],""wgt"":9000},{""typ"":""card_star"",""id"":5,""num"":1,""args"":[{""id"":60011003}],""wgt"":1000}]}}")</f>
        <v>{"drop":{"typ":"single_random","num":1,"args":[{"typ":"card_star","id":4,"num":1,"args":[{"id":60011003}],"wgt":9000},{"typ":"card_star","id":5,"num":1,"args":[{"id":60011003}],"wgt":1000}]}}</v>
      </c>
      <c r="T2462" s="148">
        <f>IFERROR(__xludf.DUMMYFUNCTION("""COMPUTED_VALUE"""),-1.0)</f>
        <v>-1</v>
      </c>
      <c r="U2462" s="148">
        <f>IFERROR(__xludf.DUMMYFUNCTION("""COMPUTED_VALUE"""),0.0)</f>
        <v>0</v>
      </c>
      <c r="V2462" s="148" t="str">
        <f>IFERROR(__xludf.DUMMYFUNCTION("""COMPUTED_VALUE"""),"[]")</f>
        <v>[]</v>
      </c>
      <c r="W2462" s="148">
        <f>IFERROR(__xludf.DUMMYFUNCTION("""COMPUTED_VALUE"""),1.174E7)</f>
        <v>11740000</v>
      </c>
      <c r="X2462" s="148">
        <f>IFERROR(__xludf.DUMMYFUNCTION("""COMPUTED_VALUE"""),0.0)</f>
        <v>0</v>
      </c>
      <c r="Y2462" s="148">
        <f>IFERROR(__xludf.DUMMYFUNCTION("""COMPUTED_VALUE"""),0.0)</f>
        <v>0</v>
      </c>
      <c r="Z2462" s="148"/>
    </row>
    <row r="2463">
      <c r="A2463" s="148">
        <f>IFERROR(__xludf.DUMMYFUNCTION("""COMPUTED_VALUE"""),1.1119382E7)</f>
        <v>11119382</v>
      </c>
      <c r="B2463" s="148" t="str">
        <f>IFERROR(__xludf.DUMMYFUNCTION("""COMPUTED_VALUE"""),"图鉴1-商店--自选-运营用")</f>
        <v>图鉴1-商店--自选-运营用</v>
      </c>
      <c r="C2463" s="148"/>
      <c r="D2463" s="148" t="str">
        <f>IFERROR(__xludf.DUMMYFUNCTION("""COMPUTED_VALUE"""),"card_select_box")</f>
        <v>card_select_box</v>
      </c>
      <c r="E2463" s="148">
        <f>IFERROR(__xludf.DUMMYFUNCTION("""COMPUTED_VALUE"""),19.0)</f>
        <v>19</v>
      </c>
      <c r="F2463" s="148">
        <f>IFERROR(__xludf.DUMMYFUNCTION("""COMPUTED_VALUE"""),403313.0)</f>
        <v>403313</v>
      </c>
      <c r="G2463" s="148">
        <f>IFERROR(__xludf.DUMMYFUNCTION("""COMPUTED_VALUE"""),1.51104059E8)</f>
        <v>151104059</v>
      </c>
      <c r="H2463" s="148">
        <f>IFERROR(__xludf.DUMMYFUNCTION("""COMPUTED_VALUE"""),1.5112564E7)</f>
        <v>15112564</v>
      </c>
      <c r="I2463" s="148" t="str">
        <f>IFERROR(__xludf.DUMMYFUNCTION("""COMPUTED_VALUE"""),"{}")</f>
        <v>{}</v>
      </c>
      <c r="J2463" s="148" t="str">
        <f>IFERROR(__xludf.DUMMYFUNCTION("""COMPUTED_VALUE"""),"{""typ"":""lc"",""txt"":""LC_ASSET_card1_choose_pack_tittle""}")</f>
        <v>{"typ":"lc","txt":"LC_ASSET_card1_choose_pack_tittle"}</v>
      </c>
      <c r="K2463" s="148" t="str">
        <f>IFERROR(__xludf.DUMMYFUNCTION("""COMPUTED_VALUE"""),"{""typ"":""lc"",""txt"":""LC_ASSET_card1_choose_pack_desc""}")</f>
        <v>{"typ":"lc","txt":"LC_ASSET_card1_choose_pack_desc"}</v>
      </c>
      <c r="L2463" s="148" t="str">
        <f>IFERROR(__xludf.DUMMYFUNCTION("""COMPUTED_VALUE"""),"{}")</f>
        <v>{}</v>
      </c>
      <c r="M2463" s="148">
        <f>IFERROR(__xludf.DUMMYFUNCTION("""COMPUTED_VALUE"""),135.0)</f>
        <v>135</v>
      </c>
      <c r="N2463" s="148">
        <f>IFERROR(__xludf.DUMMYFUNCTION("""COMPUTED_VALUE"""),999999.0)</f>
        <v>999999</v>
      </c>
      <c r="O2463" s="148">
        <f>IFERROR(__xludf.DUMMYFUNCTION("""COMPUTED_VALUE"""),99999.0)</f>
        <v>99999</v>
      </c>
      <c r="P2463" s="148">
        <f>IFERROR(__xludf.DUMMYFUNCTION("""COMPUTED_VALUE"""),5.0)</f>
        <v>5</v>
      </c>
      <c r="Q2463" s="148" t="str">
        <f>IFERROR(__xludf.DUMMYFUNCTION("""COMPUTED_VALUE"""),"[""bag_other""]")</f>
        <v>["bag_other"]</v>
      </c>
      <c r="R2463" s="148" t="str">
        <f>IFERROR(__xludf.DUMMYFUNCTION("""COMPUTED_VALUE"""),"[""card_timelimit"",""bag""]")</f>
        <v>["card_timelimit","bag"]</v>
      </c>
      <c r="S2463" s="148" t="str">
        <f>IFERROR(__xludf.DUMMYFUNCTION("""COMPUTED_VALUE"""),"{""select_box"":[{""typ"":""card_group"",""val"":1},{""id"":60011001}], ""effect"":[{""typ"": ""life_duration"", ""val"": 86400000}, {""typ"": ""retake"", ""key"": ""rss"", ""id"": 11143008, ""val"": 50}]}")</f>
        <v>{"select_box":[{"typ":"card_group","val":1},{"id":60011001}], "effect":[{"typ": "life_duration", "val": 86400000}, {"typ": "retake", "key": "rss", "id": 11143008, "val": 50}]}</v>
      </c>
      <c r="T2463" s="148">
        <f>IFERROR(__xludf.DUMMYFUNCTION("""COMPUTED_VALUE"""),1.0)</f>
        <v>1</v>
      </c>
      <c r="U2463" s="148">
        <f>IFERROR(__xludf.DUMMYFUNCTION("""COMPUTED_VALUE"""),0.0)</f>
        <v>0</v>
      </c>
      <c r="V2463" s="148" t="str">
        <f>IFERROR(__xludf.DUMMYFUNCTION("""COMPUTED_VALUE"""),"[]")</f>
        <v>[]</v>
      </c>
      <c r="W2463" s="148">
        <f>IFERROR(__xludf.DUMMYFUNCTION("""COMPUTED_VALUE"""),1.174E7)</f>
        <v>11740000</v>
      </c>
      <c r="X2463" s="148">
        <f>IFERROR(__xludf.DUMMYFUNCTION("""COMPUTED_VALUE"""),0.0)</f>
        <v>0</v>
      </c>
      <c r="Y2463" s="148">
        <f>IFERROR(__xludf.DUMMYFUNCTION("""COMPUTED_VALUE"""),0.0)</f>
        <v>0</v>
      </c>
      <c r="Z2463" s="148"/>
    </row>
    <row r="2464">
      <c r="A2464" s="148">
        <f>IFERROR(__xludf.DUMMYFUNCTION("""COMPUTED_VALUE"""),1.1119383E7)</f>
        <v>11119383</v>
      </c>
      <c r="B2464" s="148" t="str">
        <f>IFERROR(__xludf.DUMMYFUNCTION("""COMPUTED_VALUE"""),"图鉴2-商店--自选-运营用")</f>
        <v>图鉴2-商店--自选-运营用</v>
      </c>
      <c r="C2464" s="148"/>
      <c r="D2464" s="148" t="str">
        <f>IFERROR(__xludf.DUMMYFUNCTION("""COMPUTED_VALUE"""),"card_select_box")</f>
        <v>card_select_box</v>
      </c>
      <c r="E2464" s="148">
        <f>IFERROR(__xludf.DUMMYFUNCTION("""COMPUTED_VALUE"""),19.0)</f>
        <v>19</v>
      </c>
      <c r="F2464" s="148">
        <f>IFERROR(__xludf.DUMMYFUNCTION("""COMPUTED_VALUE"""),403318.0)</f>
        <v>403318</v>
      </c>
      <c r="G2464" s="148">
        <f>IFERROR(__xludf.DUMMYFUNCTION("""COMPUTED_VALUE"""),1.5110406E8)</f>
        <v>151104060</v>
      </c>
      <c r="H2464" s="148">
        <f>IFERROR(__xludf.DUMMYFUNCTION("""COMPUTED_VALUE"""),1.5112564E7)</f>
        <v>15112564</v>
      </c>
      <c r="I2464" s="148" t="str">
        <f>IFERROR(__xludf.DUMMYFUNCTION("""COMPUTED_VALUE"""),"{}")</f>
        <v>{}</v>
      </c>
      <c r="J2464" s="148" t="str">
        <f>IFERROR(__xludf.DUMMYFUNCTION("""COMPUTED_VALUE"""),"{""typ"":""lc"",""txt"":""LC_ASSET_card2_choose_pack_tittle""}")</f>
        <v>{"typ":"lc","txt":"LC_ASSET_card2_choose_pack_tittle"}</v>
      </c>
      <c r="K2464" s="148" t="str">
        <f>IFERROR(__xludf.DUMMYFUNCTION("""COMPUTED_VALUE"""),"{""typ"":""lc"",""txt"":""LC_ASSET_card2_choose_pack_desc""}")</f>
        <v>{"typ":"lc","txt":"LC_ASSET_card2_choose_pack_desc"}</v>
      </c>
      <c r="L2464" s="148" t="str">
        <f>IFERROR(__xludf.DUMMYFUNCTION("""COMPUTED_VALUE"""),"{}")</f>
        <v>{}</v>
      </c>
      <c r="M2464" s="148">
        <f>IFERROR(__xludf.DUMMYFUNCTION("""COMPUTED_VALUE"""),135.0)</f>
        <v>135</v>
      </c>
      <c r="N2464" s="148">
        <f>IFERROR(__xludf.DUMMYFUNCTION("""COMPUTED_VALUE"""),999999.0)</f>
        <v>999999</v>
      </c>
      <c r="O2464" s="148">
        <f>IFERROR(__xludf.DUMMYFUNCTION("""COMPUTED_VALUE"""),99999.0)</f>
        <v>99999</v>
      </c>
      <c r="P2464" s="148">
        <f>IFERROR(__xludf.DUMMYFUNCTION("""COMPUTED_VALUE"""),5.0)</f>
        <v>5</v>
      </c>
      <c r="Q2464" s="148" t="str">
        <f>IFERROR(__xludf.DUMMYFUNCTION("""COMPUTED_VALUE"""),"[""bag_other""]")</f>
        <v>["bag_other"]</v>
      </c>
      <c r="R2464" s="148" t="str">
        <f>IFERROR(__xludf.DUMMYFUNCTION("""COMPUTED_VALUE"""),"[""card_timelimit"",""bag""]")</f>
        <v>["card_timelimit","bag"]</v>
      </c>
      <c r="S2464" s="148" t="str">
        <f>IFERROR(__xludf.DUMMYFUNCTION("""COMPUTED_VALUE"""),"{""select_box"":[{""typ"":""card_group"",""val"":1},{""id"":60011002}], ""effect"":[{""typ"": ""life_duration"", ""val"": 86400000}, {""typ"": ""retake"", ""key"": ""rss"", ""id"": 11143008, ""val"": 75}]}")</f>
        <v>{"select_box":[{"typ":"card_group","val":1},{"id":60011002}], "effect":[{"typ": "life_duration", "val": 86400000}, {"typ": "retake", "key": "rss", "id": 11143008, "val": 75}]}</v>
      </c>
      <c r="T2464" s="148">
        <f>IFERROR(__xludf.DUMMYFUNCTION("""COMPUTED_VALUE"""),1.0)</f>
        <v>1</v>
      </c>
      <c r="U2464" s="148">
        <f>IFERROR(__xludf.DUMMYFUNCTION("""COMPUTED_VALUE"""),0.0)</f>
        <v>0</v>
      </c>
      <c r="V2464" s="148" t="str">
        <f>IFERROR(__xludf.DUMMYFUNCTION("""COMPUTED_VALUE"""),"[]")</f>
        <v>[]</v>
      </c>
      <c r="W2464" s="148">
        <f>IFERROR(__xludf.DUMMYFUNCTION("""COMPUTED_VALUE"""),1.174E7)</f>
        <v>11740000</v>
      </c>
      <c r="X2464" s="148">
        <f>IFERROR(__xludf.DUMMYFUNCTION("""COMPUTED_VALUE"""),0.0)</f>
        <v>0</v>
      </c>
      <c r="Y2464" s="148">
        <f>IFERROR(__xludf.DUMMYFUNCTION("""COMPUTED_VALUE"""),0.0)</f>
        <v>0</v>
      </c>
      <c r="Z2464" s="148"/>
    </row>
    <row r="2465">
      <c r="A2465" s="148">
        <f>IFERROR(__xludf.DUMMYFUNCTION("""COMPUTED_VALUE"""),1.1119384E7)</f>
        <v>11119384</v>
      </c>
      <c r="B2465" s="148" t="str">
        <f>IFERROR(__xludf.DUMMYFUNCTION("""COMPUTED_VALUE"""),"图鉴3-商店--自选-运营用")</f>
        <v>图鉴3-商店--自选-运营用</v>
      </c>
      <c r="C2465" s="148"/>
      <c r="D2465" s="148" t="str">
        <f>IFERROR(__xludf.DUMMYFUNCTION("""COMPUTED_VALUE"""),"card_select_box")</f>
        <v>card_select_box</v>
      </c>
      <c r="E2465" s="148">
        <f>IFERROR(__xludf.DUMMYFUNCTION("""COMPUTED_VALUE"""),19.0)</f>
        <v>19</v>
      </c>
      <c r="F2465" s="148">
        <f>IFERROR(__xludf.DUMMYFUNCTION("""COMPUTED_VALUE"""),403323.0)</f>
        <v>403323</v>
      </c>
      <c r="G2465" s="148">
        <f>IFERROR(__xludf.DUMMYFUNCTION("""COMPUTED_VALUE"""),1.51104061E8)</f>
        <v>151104061</v>
      </c>
      <c r="H2465" s="148">
        <f>IFERROR(__xludf.DUMMYFUNCTION("""COMPUTED_VALUE"""),1.5112564E7)</f>
        <v>15112564</v>
      </c>
      <c r="I2465" s="148" t="str">
        <f>IFERROR(__xludf.DUMMYFUNCTION("""COMPUTED_VALUE"""),"{}")</f>
        <v>{}</v>
      </c>
      <c r="J2465" s="148" t="str">
        <f>IFERROR(__xludf.DUMMYFUNCTION("""COMPUTED_VALUE"""),"{""typ"":""lc"",""txt"":""LC_ASSET_card3_choose_pack_tittle""}")</f>
        <v>{"typ":"lc","txt":"LC_ASSET_card3_choose_pack_tittle"}</v>
      </c>
      <c r="K2465" s="148" t="str">
        <f>IFERROR(__xludf.DUMMYFUNCTION("""COMPUTED_VALUE"""),"{""typ"":""lc"",""txt"":""LC_ASSET_card3_choose_pack_desc""}")</f>
        <v>{"typ":"lc","txt":"LC_ASSET_card3_choose_pack_desc"}</v>
      </c>
      <c r="L2465" s="148" t="str">
        <f>IFERROR(__xludf.DUMMYFUNCTION("""COMPUTED_VALUE"""),"{}")</f>
        <v>{}</v>
      </c>
      <c r="M2465" s="148">
        <f>IFERROR(__xludf.DUMMYFUNCTION("""COMPUTED_VALUE"""),135.0)</f>
        <v>135</v>
      </c>
      <c r="N2465" s="148">
        <f>IFERROR(__xludf.DUMMYFUNCTION("""COMPUTED_VALUE"""),999999.0)</f>
        <v>999999</v>
      </c>
      <c r="O2465" s="148">
        <f>IFERROR(__xludf.DUMMYFUNCTION("""COMPUTED_VALUE"""),99999.0)</f>
        <v>99999</v>
      </c>
      <c r="P2465" s="148">
        <f>IFERROR(__xludf.DUMMYFUNCTION("""COMPUTED_VALUE"""),5.0)</f>
        <v>5</v>
      </c>
      <c r="Q2465" s="148" t="str">
        <f>IFERROR(__xludf.DUMMYFUNCTION("""COMPUTED_VALUE"""),"[""bag_other""]")</f>
        <v>["bag_other"]</v>
      </c>
      <c r="R2465" s="148" t="str">
        <f>IFERROR(__xludf.DUMMYFUNCTION("""COMPUTED_VALUE"""),"[""card_timelimit"",""bag""]")</f>
        <v>["card_timelimit","bag"]</v>
      </c>
      <c r="S2465" s="148" t="str">
        <f>IFERROR(__xludf.DUMMYFUNCTION("""COMPUTED_VALUE"""),"{""select_box"":[{""typ"":""card_group"",""val"":1},{""id"":60011003}], ""effect"":[{""typ"": ""life_duration"", ""val"": 86400000}, {""typ"": ""retake"", ""key"": ""rss"", ""id"": 11143008, ""val"": 75}]}")</f>
        <v>{"select_box":[{"typ":"card_group","val":1},{"id":60011003}], "effect":[{"typ": "life_duration", "val": 86400000}, {"typ": "retake", "key": "rss", "id": 11143008, "val": 75}]}</v>
      </c>
      <c r="T2465" s="148">
        <f>IFERROR(__xludf.DUMMYFUNCTION("""COMPUTED_VALUE"""),1.0)</f>
        <v>1</v>
      </c>
      <c r="U2465" s="148">
        <f>IFERROR(__xludf.DUMMYFUNCTION("""COMPUTED_VALUE"""),0.0)</f>
        <v>0</v>
      </c>
      <c r="V2465" s="148" t="str">
        <f>IFERROR(__xludf.DUMMYFUNCTION("""COMPUTED_VALUE"""),"[]")</f>
        <v>[]</v>
      </c>
      <c r="W2465" s="148">
        <f>IFERROR(__xludf.DUMMYFUNCTION("""COMPUTED_VALUE"""),1.174E7)</f>
        <v>11740000</v>
      </c>
      <c r="X2465" s="148">
        <f>IFERROR(__xludf.DUMMYFUNCTION("""COMPUTED_VALUE"""),0.0)</f>
        <v>0</v>
      </c>
      <c r="Y2465" s="148">
        <f>IFERROR(__xludf.DUMMYFUNCTION("""COMPUTED_VALUE"""),0.0)</f>
        <v>0</v>
      </c>
      <c r="Z2465" s="148"/>
    </row>
    <row r="2466">
      <c r="A2466" s="148">
        <f>IFERROR(__xludf.DUMMYFUNCTION("""COMPUTED_VALUE"""),1.1119401E7)</f>
        <v>11119401</v>
      </c>
      <c r="B2466" s="148" t="str">
        <f>IFERROR(__xludf.DUMMYFUNCTION("""COMPUTED_VALUE"""),"史诗机械师随机宝箱")</f>
        <v>史诗机械师随机宝箱</v>
      </c>
      <c r="C2466" s="148"/>
      <c r="D2466" s="148" t="str">
        <f>IFERROR(__xludf.DUMMYFUNCTION("""COMPUTED_VALUE"""),"item_asset")</f>
        <v>item_asset</v>
      </c>
      <c r="E2466" s="148">
        <f>IFERROR(__xludf.DUMMYFUNCTION("""COMPUTED_VALUE"""),19.0)</f>
        <v>19</v>
      </c>
      <c r="F2466" s="148">
        <f>IFERROR(__xludf.DUMMYFUNCTION("""COMPUTED_VALUE"""),403212.0)</f>
        <v>403212</v>
      </c>
      <c r="G2466" s="148">
        <f>IFERROR(__xludf.DUMMYFUNCTION("""COMPUTED_VALUE"""),1.5112492E7)</f>
        <v>15112492</v>
      </c>
      <c r="H2466" s="148">
        <f>IFERROR(__xludf.DUMMYFUNCTION("""COMPUTED_VALUE"""),1.5112563E7)</f>
        <v>15112563</v>
      </c>
      <c r="I2466" s="148" t="str">
        <f>IFERROR(__xludf.DUMMYFUNCTION("""COMPUTED_VALUE"""),"{}")</f>
        <v>{}</v>
      </c>
      <c r="J2466" s="148" t="str">
        <f>IFERROR(__xludf.DUMMYFUNCTION("""COMPUTED_VALUE"""),"{""typ"":""lc"",""txt"":""LC_ITEM_mecha_driver_random_box_name""}")</f>
        <v>{"typ":"lc","txt":"LC_ITEM_mecha_driver_random_box_name"}</v>
      </c>
      <c r="K2466" s="148" t="str">
        <f>IFERROR(__xludf.DUMMYFUNCTION("""COMPUTED_VALUE"""),"{""typ"":""lc"",""txt"":""LC_ITEM_mecha_driver_random_box_desc""}")</f>
        <v>{"typ":"lc","txt":"LC_ITEM_mecha_driver_random_box_desc"}</v>
      </c>
      <c r="L2466" s="148" t="str">
        <f>IFERROR(__xludf.DUMMYFUNCTION("""COMPUTED_VALUE"""),"{""typ"":""lc"",""txt"":""LC_ITEM_chest_from_atk_npc_usedtip""}")</f>
        <v>{"typ":"lc","txt":"LC_ITEM_chest_from_atk_npc_usedtip"}</v>
      </c>
      <c r="M2466" s="148">
        <f>IFERROR(__xludf.DUMMYFUNCTION("""COMPUTED_VALUE"""),300.0)</f>
        <v>300</v>
      </c>
      <c r="N2466" s="148">
        <f>IFERROR(__xludf.DUMMYFUNCTION("""COMPUTED_VALUE"""),999999.0)</f>
        <v>999999</v>
      </c>
      <c r="O2466" s="148">
        <f>IFERROR(__xludf.DUMMYFUNCTION("""COMPUTED_VALUE"""),99999.0)</f>
        <v>99999</v>
      </c>
      <c r="P2466" s="148">
        <f>IFERROR(__xludf.DUMMYFUNCTION("""COMPUTED_VALUE"""),99999.0)</f>
        <v>99999</v>
      </c>
      <c r="Q2466" s="148" t="str">
        <f>IFERROR(__xludf.DUMMYFUNCTION("""COMPUTED_VALUE"""),"[""bag_other""]")</f>
        <v>["bag_other"]</v>
      </c>
      <c r="R2466" s="148" t="str">
        <f>IFERROR(__xludf.DUMMYFUNCTION("""COMPUTED_VALUE"""),"[""bag""]")</f>
        <v>["bag"]</v>
      </c>
      <c r="S2466" s="148" t="str">
        <f>IFERROR(__xludf.DUMMYFUNCTION("""COMPUTED_VALUE"""),"{""drop"":{""typ"":""single_random"",""num"":1,""args"":[{""typ"":""item"",""id"":11117910,""num"":1,""wgt"":1000},{""typ"":""item"",""id"":11117911,""num"":1,""wgt"":1000},{""typ"":""item"",""id"":11117912,""num"":1,""wgt"":1000}]}}")</f>
        <v>{"drop":{"typ":"single_random","num":1,"args":[{"typ":"item","id":11117910,"num":1,"wgt":1000},{"typ":"item","id":11117911,"num":1,"wgt":1000},{"typ":"item","id":11117912,"num":1,"wgt":1000}]}}</v>
      </c>
      <c r="T2466" s="148">
        <f>IFERROR(__xludf.DUMMYFUNCTION("""COMPUTED_VALUE"""),-1.0)</f>
        <v>-1</v>
      </c>
      <c r="U2466" s="148">
        <f>IFERROR(__xludf.DUMMYFUNCTION("""COMPUTED_VALUE"""),0.0)</f>
        <v>0</v>
      </c>
      <c r="V2466" s="148" t="str">
        <f>IFERROR(__xludf.DUMMYFUNCTION("""COMPUTED_VALUE"""),"[]")</f>
        <v>[]</v>
      </c>
      <c r="W2466" s="148">
        <f>IFERROR(__xludf.DUMMYFUNCTION("""COMPUTED_VALUE"""),1.174E7)</f>
        <v>11740000</v>
      </c>
      <c r="X2466" s="148">
        <f>IFERROR(__xludf.DUMMYFUNCTION("""COMPUTED_VALUE"""),0.0)</f>
        <v>0</v>
      </c>
      <c r="Y2466" s="148">
        <f>IFERROR(__xludf.DUMMYFUNCTION("""COMPUTED_VALUE"""),0.0)</f>
        <v>0</v>
      </c>
      <c r="Z2466" s="148"/>
    </row>
    <row r="2467">
      <c r="A2467" s="148">
        <f>IFERROR(__xludf.DUMMYFUNCTION("""COMPUTED_VALUE"""),1.1119402E7)</f>
        <v>11119402</v>
      </c>
      <c r="B2467" s="148" t="str">
        <f>IFERROR(__xludf.DUMMYFUNCTION("""COMPUTED_VALUE"""),"原服-地下世界-地底开采证")</f>
        <v>原服-地下世界-地底开采证</v>
      </c>
      <c r="C2467" s="148"/>
      <c r="D2467" s="148" t="str">
        <f>IFERROR(__xludf.DUMMYFUNCTION("""COMPUTED_VALUE"""),"underworld_rss")</f>
        <v>underworld_rss</v>
      </c>
      <c r="E2467" s="148">
        <f>IFERROR(__xludf.DUMMYFUNCTION("""COMPUTED_VALUE"""),0.0)</f>
        <v>0</v>
      </c>
      <c r="F2467" s="148">
        <f>IFERROR(__xludf.DUMMYFUNCTION("""COMPUTED_VALUE"""),404300.0)</f>
        <v>404300</v>
      </c>
      <c r="G2467" s="148">
        <f>IFERROR(__xludf.DUMMYFUNCTION("""COMPUTED_VALUE"""),1.51100355E8)</f>
        <v>151100355</v>
      </c>
      <c r="H2467" s="148">
        <f>IFERROR(__xludf.DUMMYFUNCTION("""COMPUTED_VALUE"""),1.5112563E7)</f>
        <v>15112563</v>
      </c>
      <c r="I2467" s="148" t="str">
        <f>IFERROR(__xludf.DUMMYFUNCTION("""COMPUTED_VALUE"""),"{}")</f>
        <v>{}</v>
      </c>
      <c r="J2467" s="148" t="str">
        <f>IFERROR(__xludf.DUMMYFUNCTION("""COMPUTED_VALUE"""),"{""typ"":""lc"",""txt"":""LC_MAP_underworld_rss_name""}")</f>
        <v>{"typ":"lc","txt":"LC_MAP_underworld_rss_name"}</v>
      </c>
      <c r="K2467" s="148" t="str">
        <f>IFERROR(__xludf.DUMMYFUNCTION("""COMPUTED_VALUE"""),"{""typ"":""lc"",""txt"":""LC_MAP_underworld_rss_desc_1""}")</f>
        <v>{"typ":"lc","txt":"LC_MAP_underworld_rss_desc_1"}</v>
      </c>
      <c r="L2467" s="148" t="str">
        <f>IFERROR(__xludf.DUMMYFUNCTION("""COMPUTED_VALUE"""),"{}")</f>
        <v>{}</v>
      </c>
      <c r="M2467" s="148">
        <f>IFERROR(__xludf.DUMMYFUNCTION("""COMPUTED_VALUE"""),1.0)</f>
        <v>1</v>
      </c>
      <c r="N2467" s="148">
        <f>IFERROR(__xludf.DUMMYFUNCTION("""COMPUTED_VALUE"""),30.0)</f>
        <v>30</v>
      </c>
      <c r="O2467" s="148">
        <f>IFERROR(__xludf.DUMMYFUNCTION("""COMPUTED_VALUE"""),20.0)</f>
        <v>20</v>
      </c>
      <c r="P2467" s="148">
        <f>IFERROR(__xludf.DUMMYFUNCTION("""COMPUTED_VALUE"""),30.0)</f>
        <v>30</v>
      </c>
      <c r="Q2467" s="148" t="str">
        <f>IFERROR(__xludf.DUMMYFUNCTION("""COMPUTED_VALUE"""),"[""bag_other""]")</f>
        <v>["bag_other"]</v>
      </c>
      <c r="R2467" s="148" t="str">
        <f>IFERROR(__xludf.DUMMYFUNCTION("""COMPUTED_VALUE"""),"[]")</f>
        <v>[]</v>
      </c>
      <c r="S2467" s="148" t="str">
        <f>IFERROR(__xludf.DUMMYFUNCTION("""COMPUTED_VALUE"""),"{}")</f>
        <v>{}</v>
      </c>
      <c r="T2467" s="148">
        <f>IFERROR(__xludf.DUMMYFUNCTION("""COMPUTED_VALUE"""),1.0)</f>
        <v>1</v>
      </c>
      <c r="U2467" s="148">
        <f>IFERROR(__xludf.DUMMYFUNCTION("""COMPUTED_VALUE"""),0.0)</f>
        <v>0</v>
      </c>
      <c r="V2467" s="148" t="str">
        <f>IFERROR(__xludf.DUMMYFUNCTION("""COMPUTED_VALUE"""),"[]")</f>
        <v>[]</v>
      </c>
      <c r="W2467" s="148">
        <f>IFERROR(__xludf.DUMMYFUNCTION("""COMPUTED_VALUE"""),1.174E7)</f>
        <v>11740000</v>
      </c>
      <c r="X2467" s="148">
        <f>IFERROR(__xludf.DUMMYFUNCTION("""COMPUTED_VALUE"""),0.0)</f>
        <v>0</v>
      </c>
      <c r="Y2467" s="148">
        <f>IFERROR(__xludf.DUMMYFUNCTION("""COMPUTED_VALUE"""),0.0)</f>
        <v>0</v>
      </c>
      <c r="Z2467" s="148"/>
    </row>
    <row r="2468">
      <c r="A2468" s="148">
        <f>IFERROR(__xludf.DUMMYFUNCTION("""COMPUTED_VALUE"""),1.1119403E7)</f>
        <v>11119403</v>
      </c>
      <c r="B2468" s="148" t="str">
        <f>IFERROR(__xludf.DUMMYFUNCTION("""COMPUTED_VALUE"""),"原服-地下世界-合成挖矿-研究药水（购买后变为rss）100")</f>
        <v>原服-地下世界-合成挖矿-研究药水（购买后变为rss）100</v>
      </c>
      <c r="C2468" s="148"/>
      <c r="D2468" s="148" t="str">
        <f>IFERROR(__xludf.DUMMYFUNCTION("""COMPUTED_VALUE"""),"metro_minigame_rss_uw")</f>
        <v>metro_minigame_rss_uw</v>
      </c>
      <c r="E2468" s="148">
        <f>IFERROR(__xludf.DUMMYFUNCTION("""COMPUTED_VALUE"""),0.0)</f>
        <v>0</v>
      </c>
      <c r="F2468" s="148">
        <f>IFERROR(__xludf.DUMMYFUNCTION("""COMPUTED_VALUE"""),404301.0)</f>
        <v>404301</v>
      </c>
      <c r="G2468" s="148">
        <f>IFERROR(__xludf.DUMMYFUNCTION("""COMPUTED_VALUE"""),1.51100352E8)</f>
        <v>151100352</v>
      </c>
      <c r="H2468" s="148">
        <f>IFERROR(__xludf.DUMMYFUNCTION("""COMPUTED_VALUE"""),1.5112562E7)</f>
        <v>15112562</v>
      </c>
      <c r="I2468" s="148" t="str">
        <f>IFERROR(__xludf.DUMMYFUNCTION("""COMPUTED_VALUE"""),"{""typ"":""lc"",""txt"":""LC_ITEM_rss_upper_show"",""args"":[{""typ"":""int"",""val"":100}]}")</f>
        <v>{"typ":"lc","txt":"LC_ITEM_rss_upper_show","args":[{"typ":"int","val":100}]}</v>
      </c>
      <c r="J2468" s="148" t="str">
        <f>IFERROR(__xludf.DUMMYFUNCTION("""COMPUTED_VALUE"""),"{""typ"":""lc"",""txt"":""LC_METRO_uw_add_liquid_name"",""args"":[{""typ"":""int"",""val"":100}]}")</f>
        <v>{"typ":"lc","txt":"LC_METRO_uw_add_liquid_name","args":[{"typ":"int","val":100}]}</v>
      </c>
      <c r="K2468" s="148" t="str">
        <f>IFERROR(__xludf.DUMMYFUNCTION("""COMPUTED_VALUE"""),"{""typ"":""lc"",""txt"":""LC_METRO_uw_add_liquid_desc"",""args"":[{""typ"":""int"",""val"":100}]}")</f>
        <v>{"typ":"lc","txt":"LC_METRO_uw_add_liquid_desc","args":[{"typ":"int","val":100}]}</v>
      </c>
      <c r="L2468" s="148" t="str">
        <f>IFERROR(__xludf.DUMMYFUNCTION("""COMPUTED_VALUE"""),"{""typ"":""lc"",""txt"":""LC_METRO_uw_add_liquid_usedtip"",""args"":[{""typ"":""int"",""val"":100}]}")</f>
        <v>{"typ":"lc","txt":"LC_METRO_uw_add_liquid_usedtip","args":[{"typ":"int","val":100}]}</v>
      </c>
      <c r="M2468" s="148">
        <f>IFERROR(__xludf.DUMMYFUNCTION("""COMPUTED_VALUE"""),120.0)</f>
        <v>120</v>
      </c>
      <c r="N2468" s="148">
        <f>IFERROR(__xludf.DUMMYFUNCTION("""COMPUTED_VALUE"""),9.99999999E8)</f>
        <v>999999999</v>
      </c>
      <c r="O2468" s="148">
        <f>IFERROR(__xludf.DUMMYFUNCTION("""COMPUTED_VALUE"""),9.99999999E8)</f>
        <v>999999999</v>
      </c>
      <c r="P2468" s="148">
        <f>IFERROR(__xludf.DUMMYFUNCTION("""COMPUTED_VALUE"""),9.99999999E8)</f>
        <v>999999999</v>
      </c>
      <c r="Q2468" s="148" t="str">
        <f>IFERROR(__xludf.DUMMYFUNCTION("""COMPUTED_VALUE"""),"[]")</f>
        <v>[]</v>
      </c>
      <c r="R2468" s="148" t="str">
        <f>IFERROR(__xludf.DUMMYFUNCTION("""COMPUTED_VALUE"""),"[""rss_metro_liquid_uw""]")</f>
        <v>["rss_metro_liquid_uw"]</v>
      </c>
      <c r="S2468" s="148" t="str">
        <f>IFERROR(__xludf.DUMMYFUNCTION("""COMPUTED_VALUE"""),"{""effect"":[{""typ"":""rss"",""id"":11141016,""val"":100}]}")</f>
        <v>{"effect":[{"typ":"rss","id":11141016,"val":100}]}</v>
      </c>
      <c r="T2468" s="148">
        <f>IFERROR(__xludf.DUMMYFUNCTION("""COMPUTED_VALUE"""),-1.0)</f>
        <v>-1</v>
      </c>
      <c r="U2468" s="148">
        <f>IFERROR(__xludf.DUMMYFUNCTION("""COMPUTED_VALUE"""),1.0)</f>
        <v>1</v>
      </c>
      <c r="V2468" s="148" t="str">
        <f>IFERROR(__xludf.DUMMYFUNCTION("""COMPUTED_VALUE"""),"[]")</f>
        <v>[]</v>
      </c>
      <c r="W2468" s="148">
        <f>IFERROR(__xludf.DUMMYFUNCTION("""COMPUTED_VALUE"""),1.1740001E7)</f>
        <v>11740001</v>
      </c>
      <c r="X2468" s="148">
        <f>IFERROR(__xludf.DUMMYFUNCTION("""COMPUTED_VALUE"""),0.0)</f>
        <v>0</v>
      </c>
      <c r="Y2468" s="148">
        <f>IFERROR(__xludf.DUMMYFUNCTION("""COMPUTED_VALUE"""),0.0)</f>
        <v>0</v>
      </c>
      <c r="Z2468" s="148"/>
    </row>
    <row r="2469">
      <c r="A2469" s="148">
        <f>IFERROR(__xludf.DUMMYFUNCTION("""COMPUTED_VALUE"""),1.1119404E7)</f>
        <v>11119404</v>
      </c>
      <c r="B2469" s="148" t="str">
        <f>IFERROR(__xludf.DUMMYFUNCTION("""COMPUTED_VALUE"""),"原服-地下世界-合成挖矿-研究药水（购买后变为rss）1000")</f>
        <v>原服-地下世界-合成挖矿-研究药水（购买后变为rss）1000</v>
      </c>
      <c r="C2469" s="148"/>
      <c r="D2469" s="148" t="str">
        <f>IFERROR(__xludf.DUMMYFUNCTION("""COMPUTED_VALUE"""),"metro_minigame_rss_uw")</f>
        <v>metro_minigame_rss_uw</v>
      </c>
      <c r="E2469" s="148">
        <f>IFERROR(__xludf.DUMMYFUNCTION("""COMPUTED_VALUE"""),0.0)</f>
        <v>0</v>
      </c>
      <c r="F2469" s="148">
        <f>IFERROR(__xludf.DUMMYFUNCTION("""COMPUTED_VALUE"""),404302.0)</f>
        <v>404302</v>
      </c>
      <c r="G2469" s="148">
        <f>IFERROR(__xludf.DUMMYFUNCTION("""COMPUTED_VALUE"""),1.51100352E8)</f>
        <v>151100352</v>
      </c>
      <c r="H2469" s="148">
        <f>IFERROR(__xludf.DUMMYFUNCTION("""COMPUTED_VALUE"""),1.5112563E7)</f>
        <v>15112563</v>
      </c>
      <c r="I2469" s="148" t="str">
        <f>IFERROR(__xludf.DUMMYFUNCTION("""COMPUTED_VALUE"""),"{""typ"":""lc"",""txt"":""LC_ITEM_rss_upper_show"",""args"":[{""typ"":""int"",""val"":1000}]}")</f>
        <v>{"typ":"lc","txt":"LC_ITEM_rss_upper_show","args":[{"typ":"int","val":1000}]}</v>
      </c>
      <c r="J2469" s="148" t="str">
        <f>IFERROR(__xludf.DUMMYFUNCTION("""COMPUTED_VALUE"""),"{""typ"":""lc"",""txt"":""LC_METRO_uw_add_liquid_name"",""args"":[{""typ"":""int"",""val"":1000}]}")</f>
        <v>{"typ":"lc","txt":"LC_METRO_uw_add_liquid_name","args":[{"typ":"int","val":1000}]}</v>
      </c>
      <c r="K2469" s="148" t="str">
        <f>IFERROR(__xludf.DUMMYFUNCTION("""COMPUTED_VALUE"""),"{""typ"":""lc"",""txt"":""LC_METRO_uw_add_liquid_desc"",""args"":[{""typ"":""int"",""val"":1000}]}")</f>
        <v>{"typ":"lc","txt":"LC_METRO_uw_add_liquid_desc","args":[{"typ":"int","val":1000}]}</v>
      </c>
      <c r="L2469" s="148" t="str">
        <f>IFERROR(__xludf.DUMMYFUNCTION("""COMPUTED_VALUE"""),"{""typ"":""lc"",""txt"":""LC_METRO_uw_add_liquid_usedtip"",""args"":[{""typ"":""int"",""val"":1000}]}")</f>
        <v>{"typ":"lc","txt":"LC_METRO_uw_add_liquid_usedtip","args":[{"typ":"int","val":1000}]}</v>
      </c>
      <c r="M2469" s="148">
        <f>IFERROR(__xludf.DUMMYFUNCTION("""COMPUTED_VALUE"""),1000.0)</f>
        <v>1000</v>
      </c>
      <c r="N2469" s="148">
        <f>IFERROR(__xludf.DUMMYFUNCTION("""COMPUTED_VALUE"""),9.99999999E8)</f>
        <v>999999999</v>
      </c>
      <c r="O2469" s="148">
        <f>IFERROR(__xludf.DUMMYFUNCTION("""COMPUTED_VALUE"""),9.99999999E8)</f>
        <v>999999999</v>
      </c>
      <c r="P2469" s="148">
        <f>IFERROR(__xludf.DUMMYFUNCTION("""COMPUTED_VALUE"""),9.99999999E8)</f>
        <v>999999999</v>
      </c>
      <c r="Q2469" s="148" t="str">
        <f>IFERROR(__xludf.DUMMYFUNCTION("""COMPUTED_VALUE"""),"[]")</f>
        <v>[]</v>
      </c>
      <c r="R2469" s="148" t="str">
        <f>IFERROR(__xludf.DUMMYFUNCTION("""COMPUTED_VALUE"""),"[""rss_metro_liquid_uw""]")</f>
        <v>["rss_metro_liquid_uw"]</v>
      </c>
      <c r="S2469" s="148" t="str">
        <f>IFERROR(__xludf.DUMMYFUNCTION("""COMPUTED_VALUE"""),"{""effect"":[{""typ"":""rss"",""id"":11141016,""val"":1000}]}")</f>
        <v>{"effect":[{"typ":"rss","id":11141016,"val":1000}]}</v>
      </c>
      <c r="T2469" s="148">
        <f>IFERROR(__xludf.DUMMYFUNCTION("""COMPUTED_VALUE"""),-1.0)</f>
        <v>-1</v>
      </c>
      <c r="U2469" s="148">
        <f>IFERROR(__xludf.DUMMYFUNCTION("""COMPUTED_VALUE"""),1.0)</f>
        <v>1</v>
      </c>
      <c r="V2469" s="148" t="str">
        <f>IFERROR(__xludf.DUMMYFUNCTION("""COMPUTED_VALUE"""),"[]")</f>
        <v>[]</v>
      </c>
      <c r="W2469" s="148">
        <f>IFERROR(__xludf.DUMMYFUNCTION("""COMPUTED_VALUE"""),1.1740001E7)</f>
        <v>11740001</v>
      </c>
      <c r="X2469" s="148">
        <f>IFERROR(__xludf.DUMMYFUNCTION("""COMPUTED_VALUE"""),0.0)</f>
        <v>0</v>
      </c>
      <c r="Y2469" s="148">
        <f>IFERROR(__xludf.DUMMYFUNCTION("""COMPUTED_VALUE"""),0.0)</f>
        <v>0</v>
      </c>
      <c r="Z2469" s="148"/>
    </row>
    <row r="2470">
      <c r="A2470" s="148">
        <f>IFERROR(__xludf.DUMMYFUNCTION("""COMPUTED_VALUE"""),1.1119405E7)</f>
        <v>11119405</v>
      </c>
      <c r="B2470" s="148" t="str">
        <f>IFERROR(__xludf.DUMMYFUNCTION("""COMPUTED_VALUE"""),"原服-地下世界-合成挖矿-研究药水（购买后变为rss）10000")</f>
        <v>原服-地下世界-合成挖矿-研究药水（购买后变为rss）10000</v>
      </c>
      <c r="C2470" s="148"/>
      <c r="D2470" s="148" t="str">
        <f>IFERROR(__xludf.DUMMYFUNCTION("""COMPUTED_VALUE"""),"metro_minigame_rss_uw")</f>
        <v>metro_minigame_rss_uw</v>
      </c>
      <c r="E2470" s="148">
        <f>IFERROR(__xludf.DUMMYFUNCTION("""COMPUTED_VALUE"""),0.0)</f>
        <v>0</v>
      </c>
      <c r="F2470" s="148">
        <f>IFERROR(__xludf.DUMMYFUNCTION("""COMPUTED_VALUE"""),404303.0)</f>
        <v>404303</v>
      </c>
      <c r="G2470" s="148">
        <f>IFERROR(__xludf.DUMMYFUNCTION("""COMPUTED_VALUE"""),1.51100352E8)</f>
        <v>151100352</v>
      </c>
      <c r="H2470" s="148">
        <f>IFERROR(__xludf.DUMMYFUNCTION("""COMPUTED_VALUE"""),1.5112564E7)</f>
        <v>15112564</v>
      </c>
      <c r="I2470" s="148" t="str">
        <f>IFERROR(__xludf.DUMMYFUNCTION("""COMPUTED_VALUE"""),"{""typ"":""lc"",""txt"":""LC_ITEM_rss_upper_show"",""args"":[{""typ"":""int"",""val"":10000}]}")</f>
        <v>{"typ":"lc","txt":"LC_ITEM_rss_upper_show","args":[{"typ":"int","val":10000}]}</v>
      </c>
      <c r="J2470" s="148" t="str">
        <f>IFERROR(__xludf.DUMMYFUNCTION("""COMPUTED_VALUE"""),"{""typ"":""lc"",""txt"":""LC_METRO_uw_add_liquid_name"",""args"":[{""typ"":""int"",""val"":10000}]}")</f>
        <v>{"typ":"lc","txt":"LC_METRO_uw_add_liquid_name","args":[{"typ":"int","val":10000}]}</v>
      </c>
      <c r="K2470" s="148" t="str">
        <f>IFERROR(__xludf.DUMMYFUNCTION("""COMPUTED_VALUE"""),"{""typ"":""lc"",""txt"":""LC_METRO_uw_add_liquid_desc"",""args"":[{""typ"":""int"",""val"":10000}]}")</f>
        <v>{"typ":"lc","txt":"LC_METRO_uw_add_liquid_desc","args":[{"typ":"int","val":10000}]}</v>
      </c>
      <c r="L2470" s="148" t="str">
        <f>IFERROR(__xludf.DUMMYFUNCTION("""COMPUTED_VALUE"""),"{""typ"":""lc"",""txt"":""LC_METRO_uw_add_liquid_usedtip"",""args"":[{""typ"":""int"",""val"":10000}]}")</f>
        <v>{"typ":"lc","txt":"LC_METRO_uw_add_liquid_usedtip","args":[{"typ":"int","val":10000}]}</v>
      </c>
      <c r="M2470" s="148">
        <f>IFERROR(__xludf.DUMMYFUNCTION("""COMPUTED_VALUE"""),9000.0)</f>
        <v>9000</v>
      </c>
      <c r="N2470" s="148">
        <f>IFERROR(__xludf.DUMMYFUNCTION("""COMPUTED_VALUE"""),9.99999999E8)</f>
        <v>999999999</v>
      </c>
      <c r="O2470" s="148">
        <f>IFERROR(__xludf.DUMMYFUNCTION("""COMPUTED_VALUE"""),9.99999999E8)</f>
        <v>999999999</v>
      </c>
      <c r="P2470" s="148">
        <f>IFERROR(__xludf.DUMMYFUNCTION("""COMPUTED_VALUE"""),9.99999999E8)</f>
        <v>999999999</v>
      </c>
      <c r="Q2470" s="148" t="str">
        <f>IFERROR(__xludf.DUMMYFUNCTION("""COMPUTED_VALUE"""),"[]")</f>
        <v>[]</v>
      </c>
      <c r="R2470" s="148" t="str">
        <f>IFERROR(__xludf.DUMMYFUNCTION("""COMPUTED_VALUE"""),"[""rss_metro_liquid_uw""]")</f>
        <v>["rss_metro_liquid_uw"]</v>
      </c>
      <c r="S2470" s="148" t="str">
        <f>IFERROR(__xludf.DUMMYFUNCTION("""COMPUTED_VALUE"""),"{""effect"":[{""typ"":""rss"",""id"":11141016,""val"":10000}]}")</f>
        <v>{"effect":[{"typ":"rss","id":11141016,"val":10000}]}</v>
      </c>
      <c r="T2470" s="148">
        <f>IFERROR(__xludf.DUMMYFUNCTION("""COMPUTED_VALUE"""),-1.0)</f>
        <v>-1</v>
      </c>
      <c r="U2470" s="148">
        <f>IFERROR(__xludf.DUMMYFUNCTION("""COMPUTED_VALUE"""),1.0)</f>
        <v>1</v>
      </c>
      <c r="V2470" s="148" t="str">
        <f>IFERROR(__xludf.DUMMYFUNCTION("""COMPUTED_VALUE"""),"[]")</f>
        <v>[]</v>
      </c>
      <c r="W2470" s="148">
        <f>IFERROR(__xludf.DUMMYFUNCTION("""COMPUTED_VALUE"""),1.1740001E7)</f>
        <v>11740001</v>
      </c>
      <c r="X2470" s="148">
        <f>IFERROR(__xludf.DUMMYFUNCTION("""COMPUTED_VALUE"""),0.0)</f>
        <v>0</v>
      </c>
      <c r="Y2470" s="148">
        <f>IFERROR(__xludf.DUMMYFUNCTION("""COMPUTED_VALUE"""),0.0)</f>
        <v>0</v>
      </c>
      <c r="Z2470" s="148"/>
    </row>
    <row r="2471">
      <c r="A2471" s="148">
        <f>IFERROR(__xludf.DUMMYFUNCTION("""COMPUTED_VALUE"""),1.1119406E7)</f>
        <v>11119406</v>
      </c>
      <c r="B2471" s="148" t="str">
        <f>IFERROR(__xludf.DUMMYFUNCTION("""COMPUTED_VALUE"""),"雷达bp-高级通行证")</f>
        <v>雷达bp-高级通行证</v>
      </c>
      <c r="C2471" s="148"/>
      <c r="D2471" s="148" t="str">
        <f>IFERROR(__xludf.DUMMYFUNCTION("""COMPUTED_VALUE"""),"battle_pass_card")</f>
        <v>battle_pass_card</v>
      </c>
      <c r="E2471" s="148">
        <f>IFERROR(__xludf.DUMMYFUNCTION("""COMPUTED_VALUE"""),0.0)</f>
        <v>0</v>
      </c>
      <c r="F2471" s="148">
        <f>IFERROR(__xludf.DUMMYFUNCTION("""COMPUTED_VALUE"""),0.0)</f>
        <v>0</v>
      </c>
      <c r="G2471" s="148">
        <f>IFERROR(__xludf.DUMMYFUNCTION("""COMPUTED_VALUE"""),1.51100485E8)</f>
        <v>151100485</v>
      </c>
      <c r="H2471" s="148">
        <f>IFERROR(__xludf.DUMMYFUNCTION("""COMPUTED_VALUE"""),1.5112564E7)</f>
        <v>15112564</v>
      </c>
      <c r="I2471" s="148" t="str">
        <f>IFERROR(__xludf.DUMMYFUNCTION("""COMPUTED_VALUE"""),"{}")</f>
        <v>{}</v>
      </c>
      <c r="J2471" s="148" t="str">
        <f>IFERROR(__xludf.DUMMYFUNCTION("""COMPUTED_VALUE"""),"{""typ"":""lc"",""txt"":""LC_EVENT_radar_task_times_pack""}")</f>
        <v>{"typ":"lc","txt":"LC_EVENT_radar_task_times_pack"}</v>
      </c>
      <c r="K2471" s="148" t="str">
        <f>IFERROR(__xludf.DUMMYFUNCTION("""COMPUTED_VALUE"""),"{}")</f>
        <v>{}</v>
      </c>
      <c r="L2471" s="148" t="str">
        <f>IFERROR(__xludf.DUMMYFUNCTION("""COMPUTED_VALUE"""),"{}")</f>
        <v>{}</v>
      </c>
      <c r="M2471" s="148">
        <f>IFERROR(__xludf.DUMMYFUNCTION("""COMPUTED_VALUE"""),10.0)</f>
        <v>10</v>
      </c>
      <c r="N2471" s="148">
        <f>IFERROR(__xludf.DUMMYFUNCTION("""COMPUTED_VALUE"""),999999.0)</f>
        <v>999999</v>
      </c>
      <c r="O2471" s="148">
        <f>IFERROR(__xludf.DUMMYFUNCTION("""COMPUTED_VALUE"""),99999.0)</f>
        <v>99999</v>
      </c>
      <c r="P2471" s="148">
        <f>IFERROR(__xludf.DUMMYFUNCTION("""COMPUTED_VALUE"""),9999.0)</f>
        <v>9999</v>
      </c>
      <c r="Q2471" s="148" t="str">
        <f>IFERROR(__xludf.DUMMYFUNCTION("""COMPUTED_VALUE"""),"[]")</f>
        <v>[]</v>
      </c>
      <c r="R2471" s="148" t="str">
        <f>IFERROR(__xludf.DUMMYFUNCTION("""COMPUTED_VALUE"""),"[]")</f>
        <v>[]</v>
      </c>
      <c r="S2471" s="148" t="str">
        <f>IFERROR(__xludf.DUMMYFUNCTION("""COMPUTED_VALUE"""),"{}")</f>
        <v>{}</v>
      </c>
      <c r="T2471" s="148">
        <f>IFERROR(__xludf.DUMMYFUNCTION("""COMPUTED_VALUE"""),-1.0)</f>
        <v>-1</v>
      </c>
      <c r="U2471" s="148">
        <f>IFERROR(__xludf.DUMMYFUNCTION("""COMPUTED_VALUE"""),1.0)</f>
        <v>1</v>
      </c>
      <c r="V2471" s="148" t="str">
        <f>IFERROR(__xludf.DUMMYFUNCTION("""COMPUTED_VALUE"""),"[]")</f>
        <v>[]</v>
      </c>
      <c r="W2471" s="148">
        <f>IFERROR(__xludf.DUMMYFUNCTION("""COMPUTED_VALUE"""),1.174E7)</f>
        <v>11740000</v>
      </c>
      <c r="X2471" s="148">
        <f>IFERROR(__xludf.DUMMYFUNCTION("""COMPUTED_VALUE"""),0.0)</f>
        <v>0</v>
      </c>
      <c r="Y2471" s="148">
        <f>IFERROR(__xludf.DUMMYFUNCTION("""COMPUTED_VALUE"""),0.0)</f>
        <v>0</v>
      </c>
      <c r="Z2471" s="148"/>
    </row>
    <row r="2472">
      <c r="A2472" s="148">
        <f>IFERROR(__xludf.DUMMYFUNCTION("""COMPUTED_VALUE"""),1.1119407E7)</f>
        <v>11119407</v>
      </c>
      <c r="B2472" s="148" t="str">
        <f>IFERROR(__xludf.DUMMYFUNCTION("""COMPUTED_VALUE"""),"雷达BP道具")</f>
        <v>雷达BP道具</v>
      </c>
      <c r="C2472" s="148"/>
      <c r="D2472" s="148" t="str">
        <f>IFERROR(__xludf.DUMMYFUNCTION("""COMPUTED_VALUE"""),"battle_pass_exp")</f>
        <v>battle_pass_exp</v>
      </c>
      <c r="E2472" s="148">
        <f>IFERROR(__xludf.DUMMYFUNCTION("""COMPUTED_VALUE"""),0.0)</f>
        <v>0</v>
      </c>
      <c r="F2472" s="148">
        <f>IFERROR(__xludf.DUMMYFUNCTION("""COMPUTED_VALUE"""),405217.0)</f>
        <v>405217</v>
      </c>
      <c r="G2472" s="148">
        <f>IFERROR(__xludf.DUMMYFUNCTION("""COMPUTED_VALUE"""),1.51100485E8)</f>
        <v>151100485</v>
      </c>
      <c r="H2472" s="148">
        <f>IFERROR(__xludf.DUMMYFUNCTION("""COMPUTED_VALUE"""),1.5112563E7)</f>
        <v>15112563</v>
      </c>
      <c r="I2472" s="148" t="str">
        <f>IFERROR(__xludf.DUMMYFUNCTION("""COMPUTED_VALUE"""),"{}")</f>
        <v>{}</v>
      </c>
      <c r="J2472" s="148" t="str">
        <f>IFERROR(__xludf.DUMMYFUNCTION("""COMPUTED_VALUE"""),"{""typ"":""lc"",""txt"":""LC_EVENT_radar_task_times_pack""}")</f>
        <v>{"typ":"lc","txt":"LC_EVENT_radar_task_times_pack"}</v>
      </c>
      <c r="K2472" s="148" t="str">
        <f>IFERROR(__xludf.DUMMYFUNCTION("""COMPUTED_VALUE"""),"{""typ"":""lc"",""txt"":""LC_EVENT_radar_bp_score_item""}")</f>
        <v>{"typ":"lc","txt":"LC_EVENT_radar_bp_score_item"}</v>
      </c>
      <c r="L2472" s="148" t="str">
        <f>IFERROR(__xludf.DUMMYFUNCTION("""COMPUTED_VALUE"""),"{}")</f>
        <v>{}</v>
      </c>
      <c r="M2472" s="148">
        <f>IFERROR(__xludf.DUMMYFUNCTION("""COMPUTED_VALUE"""),35.0)</f>
        <v>35</v>
      </c>
      <c r="N2472" s="148">
        <f>IFERROR(__xludf.DUMMYFUNCTION("""COMPUTED_VALUE"""),999999.0)</f>
        <v>999999</v>
      </c>
      <c r="O2472" s="148">
        <f>IFERROR(__xludf.DUMMYFUNCTION("""COMPUTED_VALUE"""),99999.0)</f>
        <v>99999</v>
      </c>
      <c r="P2472" s="148">
        <f>IFERROR(__xludf.DUMMYFUNCTION("""COMPUTED_VALUE"""),99999.0)</f>
        <v>99999</v>
      </c>
      <c r="Q2472" s="148" t="str">
        <f>IFERROR(__xludf.DUMMYFUNCTION("""COMPUTED_VALUE"""),"[""bag_other""]")</f>
        <v>["bag_other"]</v>
      </c>
      <c r="R2472" s="148" t="str">
        <f>IFERROR(__xludf.DUMMYFUNCTION("""COMPUTED_VALUE"""),"[""bag""]")</f>
        <v>["bag"]</v>
      </c>
      <c r="S2472" s="148" t="str">
        <f>IFERROR(__xludf.DUMMYFUNCTION("""COMPUTED_VALUE"""),"{}")</f>
        <v>{}</v>
      </c>
      <c r="T2472" s="148">
        <f>IFERROR(__xludf.DUMMYFUNCTION("""COMPUTED_VALUE"""),-1.0)</f>
        <v>-1</v>
      </c>
      <c r="U2472" s="148">
        <f>IFERROR(__xludf.DUMMYFUNCTION("""COMPUTED_VALUE"""),1.0)</f>
        <v>1</v>
      </c>
      <c r="V2472" s="148" t="str">
        <f>IFERROR(__xludf.DUMMYFUNCTION("""COMPUTED_VALUE"""),"[]")</f>
        <v>[]</v>
      </c>
      <c r="W2472" s="148">
        <f>IFERROR(__xludf.DUMMYFUNCTION("""COMPUTED_VALUE"""),1.174E7)</f>
        <v>11740000</v>
      </c>
      <c r="X2472" s="148">
        <f>IFERROR(__xludf.DUMMYFUNCTION("""COMPUTED_VALUE"""),0.0)</f>
        <v>0</v>
      </c>
      <c r="Y2472" s="148">
        <f>IFERROR(__xludf.DUMMYFUNCTION("""COMPUTED_VALUE"""),0.0)</f>
        <v>0</v>
      </c>
      <c r="Z2472" s="148"/>
    </row>
    <row r="2473">
      <c r="A2473" s="148">
        <f>IFERROR(__xludf.DUMMYFUNCTION("""COMPUTED_VALUE"""),1.1119408E7)</f>
        <v>11119408</v>
      </c>
      <c r="B2473" s="148" t="str">
        <f>IFERROR(__xludf.DUMMYFUNCTION("""COMPUTED_VALUE"""),"地下世界-修改器使用道具")</f>
        <v>地下世界-修改器使用道具</v>
      </c>
      <c r="C2473" s="148"/>
      <c r="D2473" s="148" t="str">
        <f>IFERROR(__xludf.DUMMYFUNCTION("""COMPUTED_VALUE"""),"underworld_modifier")</f>
        <v>underworld_modifier</v>
      </c>
      <c r="E2473" s="148">
        <f>IFERROR(__xludf.DUMMYFUNCTION("""COMPUTED_VALUE"""),0.0)</f>
        <v>0</v>
      </c>
      <c r="F2473" s="148">
        <f>IFERROR(__xludf.DUMMYFUNCTION("""COMPUTED_VALUE"""),404300.0)</f>
        <v>404300</v>
      </c>
      <c r="G2473" s="148">
        <f>IFERROR(__xludf.DUMMYFUNCTION("""COMPUTED_VALUE"""),1.51100504E8)</f>
        <v>151100504</v>
      </c>
      <c r="H2473" s="148">
        <f>IFERROR(__xludf.DUMMYFUNCTION("""COMPUTED_VALUE"""),1.5112563E7)</f>
        <v>15112563</v>
      </c>
      <c r="I2473" s="148" t="str">
        <f>IFERROR(__xludf.DUMMYFUNCTION("""COMPUTED_VALUE"""),"{}")</f>
        <v>{}</v>
      </c>
      <c r="J2473" s="148" t="str">
        <f>IFERROR(__xludf.DUMMYFUNCTION("""COMPUTED_VALUE"""),"{""typ"":""lc"",""txt"":""LC_BUILDING_uw_tips_014""}")</f>
        <v>{"typ":"lc","txt":"LC_BUILDING_uw_tips_014"}</v>
      </c>
      <c r="K2473" s="148" t="str">
        <f>IFERROR(__xludf.DUMMYFUNCTION("""COMPUTED_VALUE"""),"{""typ"":""lc"",""txt"":""LC_BUILDING_uw_tips_015""}")</f>
        <v>{"typ":"lc","txt":"LC_BUILDING_uw_tips_015"}</v>
      </c>
      <c r="L2473" s="148" t="str">
        <f>IFERROR(__xludf.DUMMYFUNCTION("""COMPUTED_VALUE"""),"{}")</f>
        <v>{}</v>
      </c>
      <c r="M2473" s="148">
        <f>IFERROR(__xludf.DUMMYFUNCTION("""COMPUTED_VALUE"""),1.0)</f>
        <v>1</v>
      </c>
      <c r="N2473" s="148">
        <f>IFERROR(__xludf.DUMMYFUNCTION("""COMPUTED_VALUE"""),10.0)</f>
        <v>10</v>
      </c>
      <c r="O2473" s="148">
        <f>IFERROR(__xludf.DUMMYFUNCTION("""COMPUTED_VALUE"""),20.0)</f>
        <v>20</v>
      </c>
      <c r="P2473" s="148">
        <f>IFERROR(__xludf.DUMMYFUNCTION("""COMPUTED_VALUE"""),15.0)</f>
        <v>15</v>
      </c>
      <c r="Q2473" s="148" t="str">
        <f>IFERROR(__xludf.DUMMYFUNCTION("""COMPUTED_VALUE"""),"[]")</f>
        <v>[]</v>
      </c>
      <c r="R2473" s="148" t="str">
        <f>IFERROR(__xludf.DUMMYFUNCTION("""COMPUTED_VALUE"""),"[]")</f>
        <v>[]</v>
      </c>
      <c r="S2473" s="148" t="str">
        <f>IFERROR(__xludf.DUMMYFUNCTION("""COMPUTED_VALUE"""),"{}")</f>
        <v>{}</v>
      </c>
      <c r="T2473" s="148">
        <f>IFERROR(__xludf.DUMMYFUNCTION("""COMPUTED_VALUE"""),1.0)</f>
        <v>1</v>
      </c>
      <c r="U2473" s="148">
        <f>IFERROR(__xludf.DUMMYFUNCTION("""COMPUTED_VALUE"""),0.0)</f>
        <v>0</v>
      </c>
      <c r="V2473" s="148" t="str">
        <f>IFERROR(__xludf.DUMMYFUNCTION("""COMPUTED_VALUE"""),"[]")</f>
        <v>[]</v>
      </c>
      <c r="W2473" s="148">
        <f>IFERROR(__xludf.DUMMYFUNCTION("""COMPUTED_VALUE"""),1.174E7)</f>
        <v>11740000</v>
      </c>
      <c r="X2473" s="148">
        <f>IFERROR(__xludf.DUMMYFUNCTION("""COMPUTED_VALUE"""),0.0)</f>
        <v>0</v>
      </c>
      <c r="Y2473" s="148">
        <f>IFERROR(__xludf.DUMMYFUNCTION("""COMPUTED_VALUE"""),0.0)</f>
        <v>0</v>
      </c>
      <c r="Z2473" s="148"/>
    </row>
    <row r="2474">
      <c r="A2474" s="148">
        <f>IFERROR(__xludf.DUMMYFUNCTION("""COMPUTED_VALUE"""),1.1119409E7)</f>
        <v>11119409</v>
      </c>
      <c r="B2474" s="148" t="str">
        <f>IFERROR(__xludf.DUMMYFUNCTION("""COMPUTED_VALUE"""),"原服-地下世界-修改器使用道具")</f>
        <v>原服-地下世界-修改器使用道具</v>
      </c>
      <c r="C2474" s="148"/>
      <c r="D2474" s="148" t="str">
        <f>IFERROR(__xludf.DUMMYFUNCTION("""COMPUTED_VALUE"""),"underworld_modifier")</f>
        <v>underworld_modifier</v>
      </c>
      <c r="E2474" s="148">
        <f>IFERROR(__xludf.DUMMYFUNCTION("""COMPUTED_VALUE"""),0.0)</f>
        <v>0</v>
      </c>
      <c r="F2474" s="148">
        <f>IFERROR(__xludf.DUMMYFUNCTION("""COMPUTED_VALUE"""),404300.0)</f>
        <v>404300</v>
      </c>
      <c r="G2474" s="148">
        <f>IFERROR(__xludf.DUMMYFUNCTION("""COMPUTED_VALUE"""),1.51100504E8)</f>
        <v>151100504</v>
      </c>
      <c r="H2474" s="148">
        <f>IFERROR(__xludf.DUMMYFUNCTION("""COMPUTED_VALUE"""),1.5112563E7)</f>
        <v>15112563</v>
      </c>
      <c r="I2474" s="148" t="str">
        <f>IFERROR(__xludf.DUMMYFUNCTION("""COMPUTED_VALUE"""),"{}")</f>
        <v>{}</v>
      </c>
      <c r="J2474" s="148" t="str">
        <f>IFERROR(__xludf.DUMMYFUNCTION("""COMPUTED_VALUE"""),"{""typ"":""lc"",""txt"":""LC_BUILDING_uw_tips_014""}")</f>
        <v>{"typ":"lc","txt":"LC_BUILDING_uw_tips_014"}</v>
      </c>
      <c r="K2474" s="148" t="str">
        <f>IFERROR(__xludf.DUMMYFUNCTION("""COMPUTED_VALUE"""),"{""typ"":""lc"",""txt"":""LC_BUILDING_uw_tips_015""}")</f>
        <v>{"typ":"lc","txt":"LC_BUILDING_uw_tips_015"}</v>
      </c>
      <c r="L2474" s="148" t="str">
        <f>IFERROR(__xludf.DUMMYFUNCTION("""COMPUTED_VALUE"""),"{}")</f>
        <v>{}</v>
      </c>
      <c r="M2474" s="148">
        <f>IFERROR(__xludf.DUMMYFUNCTION("""COMPUTED_VALUE"""),1.0)</f>
        <v>1</v>
      </c>
      <c r="N2474" s="148">
        <f>IFERROR(__xludf.DUMMYFUNCTION("""COMPUTED_VALUE"""),10.0)</f>
        <v>10</v>
      </c>
      <c r="O2474" s="148">
        <f>IFERROR(__xludf.DUMMYFUNCTION("""COMPUTED_VALUE"""),20.0)</f>
        <v>20</v>
      </c>
      <c r="P2474" s="148">
        <f>IFERROR(__xludf.DUMMYFUNCTION("""COMPUTED_VALUE"""),30.0)</f>
        <v>30</v>
      </c>
      <c r="Q2474" s="148" t="str">
        <f>IFERROR(__xludf.DUMMYFUNCTION("""COMPUTED_VALUE"""),"[]")</f>
        <v>[]</v>
      </c>
      <c r="R2474" s="148" t="str">
        <f>IFERROR(__xludf.DUMMYFUNCTION("""COMPUTED_VALUE"""),"[]")</f>
        <v>[]</v>
      </c>
      <c r="S2474" s="148" t="str">
        <f>IFERROR(__xludf.DUMMYFUNCTION("""COMPUTED_VALUE"""),"{}")</f>
        <v>{}</v>
      </c>
      <c r="T2474" s="148">
        <f>IFERROR(__xludf.DUMMYFUNCTION("""COMPUTED_VALUE"""),1.0)</f>
        <v>1</v>
      </c>
      <c r="U2474" s="148">
        <f>IFERROR(__xludf.DUMMYFUNCTION("""COMPUTED_VALUE"""),0.0)</f>
        <v>0</v>
      </c>
      <c r="V2474" s="148" t="str">
        <f>IFERROR(__xludf.DUMMYFUNCTION("""COMPUTED_VALUE"""),"[]")</f>
        <v>[]</v>
      </c>
      <c r="W2474" s="148">
        <f>IFERROR(__xludf.DUMMYFUNCTION("""COMPUTED_VALUE"""),1.174E7)</f>
        <v>11740000</v>
      </c>
      <c r="X2474" s="148">
        <f>IFERROR(__xludf.DUMMYFUNCTION("""COMPUTED_VALUE"""),0.0)</f>
        <v>0</v>
      </c>
      <c r="Y2474" s="148">
        <f>IFERROR(__xludf.DUMMYFUNCTION("""COMPUTED_VALUE"""),0.0)</f>
        <v>0</v>
      </c>
      <c r="Z2474" s="148"/>
    </row>
    <row r="2475">
      <c r="A2475" s="148">
        <f>IFERROR(__xludf.DUMMYFUNCTION("""COMPUTED_VALUE"""),1.111941E7)</f>
        <v>11119410</v>
      </c>
      <c r="B2475" s="148" t="str">
        <f>IFERROR(__xludf.DUMMYFUNCTION("""COMPUTED_VALUE"""),"地下世界-符文随机箱蓝-kvk1/5")</f>
        <v>地下世界-符文随机箱蓝-kvk1/5</v>
      </c>
      <c r="C2475" s="148"/>
      <c r="D2475" s="148" t="str">
        <f>IFERROR(__xludf.DUMMYFUNCTION("""COMPUTED_VALUE"""),"item_asset")</f>
        <v>item_asset</v>
      </c>
      <c r="E2475" s="148">
        <f>IFERROR(__xludf.DUMMYFUNCTION("""COMPUTED_VALUE"""),19.0)</f>
        <v>19</v>
      </c>
      <c r="F2475" s="148">
        <f>IFERROR(__xludf.DUMMYFUNCTION("""COMPUTED_VALUE"""),0.0)</f>
        <v>0</v>
      </c>
      <c r="G2475" s="148">
        <f>IFERROR(__xludf.DUMMYFUNCTION("""COMPUTED_VALUE"""),1.51100505E8)</f>
        <v>151100505</v>
      </c>
      <c r="H2475" s="148">
        <f>IFERROR(__xludf.DUMMYFUNCTION("""COMPUTED_VALUE"""),1.5112562E7)</f>
        <v>15112562</v>
      </c>
      <c r="I2475" s="148" t="str">
        <f>IFERROR(__xludf.DUMMYFUNCTION("""COMPUTED_VALUE"""),"{}")</f>
        <v>{}</v>
      </c>
      <c r="J2475" s="148" t="str">
        <f>IFERROR(__xludf.DUMMYFUNCTION("""COMPUTED_VALUE"""),"{""typ"":""lc"",""txt"":""LC_ITEM_uw_randrune_name_1""}")</f>
        <v>{"typ":"lc","txt":"LC_ITEM_uw_randrune_name_1"}</v>
      </c>
      <c r="K2475" s="148" t="str">
        <f>IFERROR(__xludf.DUMMYFUNCTION("""COMPUTED_VALUE"""),"{""typ"":""lc"",""txt"":""LC_ITEM_uw_randrune_desc_1""}")</f>
        <v>{"typ":"lc","txt":"LC_ITEM_uw_randrune_desc_1"}</v>
      </c>
      <c r="L2475" s="148" t="str">
        <f>IFERROR(__xludf.DUMMYFUNCTION("""COMPUTED_VALUE"""),"{}")</f>
        <v>{}</v>
      </c>
      <c r="M2475" s="148">
        <f>IFERROR(__xludf.DUMMYFUNCTION("""COMPUTED_VALUE"""),240.0)</f>
        <v>240</v>
      </c>
      <c r="N2475" s="148">
        <f>IFERROR(__xludf.DUMMYFUNCTION("""COMPUTED_VALUE"""),999999.0)</f>
        <v>999999</v>
      </c>
      <c r="O2475" s="148">
        <f>IFERROR(__xludf.DUMMYFUNCTION("""COMPUTED_VALUE"""),99999.0)</f>
        <v>99999</v>
      </c>
      <c r="P2475" s="148">
        <f>IFERROR(__xludf.DUMMYFUNCTION("""COMPUTED_VALUE"""),9999.0)</f>
        <v>9999</v>
      </c>
      <c r="Q2475" s="148" t="str">
        <f>IFERROR(__xludf.DUMMYFUNCTION("""COMPUTED_VALUE"""),"[]")</f>
        <v>[]</v>
      </c>
      <c r="R2475" s="148" t="str">
        <f>IFERROR(__xludf.DUMMYFUNCTION("""COMPUTED_VALUE"""),"[]")</f>
        <v>[]</v>
      </c>
      <c r="S2475" s="148" t="str">
        <f>IFERROR(__xludf.DUMMYFUNCTION("""COMPUTED_VALUE"""),"{""drop"":{""typ"":""single_random"",""num"":1,""args"":[{""typ"":""ug_rune"",""id"":25760101,""num"":1,""wgt"":100},{""typ"":""ug_rune"",""id"":25760201,""num"":1,""wgt"":100},{""typ"":""ug_rune"",""id"":25760301,""num"":1,""wgt"":100},{""typ"":""ug_rune"&amp;""",""id"":25760401,""num"":1,""wgt"":100},{""typ"":""ug_rune"",""id"":25760501,""num"":1,""wgt"":100},{""typ"":""ug_rune"",""id"":25760601,""num"":1,""wgt"":100},{""typ"":""ug_rune"",""id"":25761001,""num"":1,""wgt"":100},{""typ"":""ug_rune"",""id"":25761"&amp;"101,""num"":1,""wgt"":100},{""typ"":""ug_rune"",""id"":25761201,""num"":1,""wgt"":100}]}}")</f>
        <v>{"drop":{"typ":"single_random","num":1,"args":[{"typ":"ug_rune","id":25760101,"num":1,"wgt":100},{"typ":"ug_rune","id":25760201,"num":1,"wgt":100},{"typ":"ug_rune","id":25760301,"num":1,"wgt":100},{"typ":"ug_rune","id":25760401,"num":1,"wgt":100},{"typ":"ug_rune","id":25760501,"num":1,"wgt":100},{"typ":"ug_rune","id":25760601,"num":1,"wgt":100},{"typ":"ug_rune","id":25761001,"num":1,"wgt":100},{"typ":"ug_rune","id":25761101,"num":1,"wgt":100},{"typ":"ug_rune","id":25761201,"num":1,"wgt":100}]}}</v>
      </c>
      <c r="T2475" s="148">
        <f>IFERROR(__xludf.DUMMYFUNCTION("""COMPUTED_VALUE"""),-1.0)</f>
        <v>-1</v>
      </c>
      <c r="U2475" s="148">
        <f>IFERROR(__xludf.DUMMYFUNCTION("""COMPUTED_VALUE"""),1.0)</f>
        <v>1</v>
      </c>
      <c r="V2475" s="148" t="str">
        <f>IFERROR(__xludf.DUMMYFUNCTION("""COMPUTED_VALUE"""),"[]")</f>
        <v>[]</v>
      </c>
      <c r="W2475" s="148">
        <f>IFERROR(__xludf.DUMMYFUNCTION("""COMPUTED_VALUE"""),1.174E7)</f>
        <v>11740000</v>
      </c>
      <c r="X2475" s="148">
        <f>IFERROR(__xludf.DUMMYFUNCTION("""COMPUTED_VALUE"""),0.0)</f>
        <v>0</v>
      </c>
      <c r="Y2475" s="148">
        <f>IFERROR(__xludf.DUMMYFUNCTION("""COMPUTED_VALUE"""),0.0)</f>
        <v>0</v>
      </c>
      <c r="Z2475" s="148"/>
    </row>
    <row r="2476">
      <c r="A2476" s="148">
        <f>IFERROR(__xludf.DUMMYFUNCTION("""COMPUTED_VALUE"""),1.1119411E7)</f>
        <v>11119411</v>
      </c>
      <c r="B2476" s="148" t="str">
        <f>IFERROR(__xludf.DUMMYFUNCTION("""COMPUTED_VALUE"""),"地下世界-符文随机箱紫-kvk1/5")</f>
        <v>地下世界-符文随机箱紫-kvk1/5</v>
      </c>
      <c r="C2476" s="148"/>
      <c r="D2476" s="148" t="str">
        <f>IFERROR(__xludf.DUMMYFUNCTION("""COMPUTED_VALUE"""),"item_asset")</f>
        <v>item_asset</v>
      </c>
      <c r="E2476" s="148">
        <f>IFERROR(__xludf.DUMMYFUNCTION("""COMPUTED_VALUE"""),19.0)</f>
        <v>19</v>
      </c>
      <c r="F2476" s="148">
        <f>IFERROR(__xludf.DUMMYFUNCTION("""COMPUTED_VALUE"""),0.0)</f>
        <v>0</v>
      </c>
      <c r="G2476" s="148">
        <f>IFERROR(__xludf.DUMMYFUNCTION("""COMPUTED_VALUE"""),1.51100506E8)</f>
        <v>151100506</v>
      </c>
      <c r="H2476" s="148">
        <f>IFERROR(__xludf.DUMMYFUNCTION("""COMPUTED_VALUE"""),1.5112563E7)</f>
        <v>15112563</v>
      </c>
      <c r="I2476" s="148" t="str">
        <f>IFERROR(__xludf.DUMMYFUNCTION("""COMPUTED_VALUE"""),"{}")</f>
        <v>{}</v>
      </c>
      <c r="J2476" s="148" t="str">
        <f>IFERROR(__xludf.DUMMYFUNCTION("""COMPUTED_VALUE"""),"{""typ"":""lc"",""txt"":""LC_ITEM_uw_randrune_name_2""}")</f>
        <v>{"typ":"lc","txt":"LC_ITEM_uw_randrune_name_2"}</v>
      </c>
      <c r="K2476" s="148" t="str">
        <f>IFERROR(__xludf.DUMMYFUNCTION("""COMPUTED_VALUE"""),"{""typ"":""lc"",""txt"":""LC_ITEM_uw_randrune_desc_2""}")</f>
        <v>{"typ":"lc","txt":"LC_ITEM_uw_randrune_desc_2"}</v>
      </c>
      <c r="L2476" s="148" t="str">
        <f>IFERROR(__xludf.DUMMYFUNCTION("""COMPUTED_VALUE"""),"{}")</f>
        <v>{}</v>
      </c>
      <c r="M2476" s="148">
        <f>IFERROR(__xludf.DUMMYFUNCTION("""COMPUTED_VALUE"""),240.0)</f>
        <v>240</v>
      </c>
      <c r="N2476" s="148">
        <f>IFERROR(__xludf.DUMMYFUNCTION("""COMPUTED_VALUE"""),999999.0)</f>
        <v>999999</v>
      </c>
      <c r="O2476" s="148">
        <f>IFERROR(__xludf.DUMMYFUNCTION("""COMPUTED_VALUE"""),99999.0)</f>
        <v>99999</v>
      </c>
      <c r="P2476" s="148">
        <f>IFERROR(__xludf.DUMMYFUNCTION("""COMPUTED_VALUE"""),9999.0)</f>
        <v>9999</v>
      </c>
      <c r="Q2476" s="148" t="str">
        <f>IFERROR(__xludf.DUMMYFUNCTION("""COMPUTED_VALUE"""),"[]")</f>
        <v>[]</v>
      </c>
      <c r="R2476" s="148" t="str">
        <f>IFERROR(__xludf.DUMMYFUNCTION("""COMPUTED_VALUE"""),"[]")</f>
        <v>[]</v>
      </c>
      <c r="S2476" s="148" t="str">
        <f>IFERROR(__xludf.DUMMYFUNCTION("""COMPUTED_VALUE"""),"{""drop"":{""typ"":""single_random"",""num"":1,""args"":[{""typ"":""ug_rune"",""id"":25760102,""num"":1,""wgt"":100},{""typ"":""ug_rune"",""id"":25760202,""num"":1,""wgt"":100},{""typ"":""ug_rune"",""id"":25760302,""num"":1,""wgt"":100},{""typ"":""ug_rune"&amp;""",""id"":25760402,""num"":1,""wgt"":100},{""typ"":""ug_rune"",""id"":25760602,""num"":1,""wgt"":100},{""typ"":""ug_rune"",""id"":25760702,""num"":1,""wgt"":100},{""typ"":""ug_rune"",""id"":25760802,""num"":1,""wgt"":100},{""typ"":""ug_rune"",""id"":25760"&amp;"902,""num"":1,""wgt"":100},{""typ"":""ug_rune"",""id"":25761002,""num"":1,""wgt"":100},{""typ"":""ug_rune"",""id"":25761102,""num"":1,""wgt"":100},{""typ"":""ug_rune"",""id"":25761202,""num"":1,""wgt"":100}]}}")</f>
        <v>{"drop":{"typ":"single_random","num":1,"args":[{"typ":"ug_rune","id":25760102,"num":1,"wgt":100},{"typ":"ug_rune","id":25760202,"num":1,"wgt":100},{"typ":"ug_rune","id":25760302,"num":1,"wgt":100},{"typ":"ug_rune","id":25760402,"num":1,"wgt":100},{"typ":"ug_rune","id":25760602,"num":1,"wgt":100},{"typ":"ug_rune","id":25760702,"num":1,"wgt":100},{"typ":"ug_rune","id":25760802,"num":1,"wgt":100},{"typ":"ug_rune","id":25760902,"num":1,"wgt":100},{"typ":"ug_rune","id":25761002,"num":1,"wgt":100},{"typ":"ug_rune","id":25761102,"num":1,"wgt":100},{"typ":"ug_rune","id":25761202,"num":1,"wgt":100}]}}</v>
      </c>
      <c r="T2476" s="148">
        <f>IFERROR(__xludf.DUMMYFUNCTION("""COMPUTED_VALUE"""),-1.0)</f>
        <v>-1</v>
      </c>
      <c r="U2476" s="148">
        <f>IFERROR(__xludf.DUMMYFUNCTION("""COMPUTED_VALUE"""),1.0)</f>
        <v>1</v>
      </c>
      <c r="V2476" s="148" t="str">
        <f>IFERROR(__xludf.DUMMYFUNCTION("""COMPUTED_VALUE"""),"[]")</f>
        <v>[]</v>
      </c>
      <c r="W2476" s="148">
        <f>IFERROR(__xludf.DUMMYFUNCTION("""COMPUTED_VALUE"""),1.174E7)</f>
        <v>11740000</v>
      </c>
      <c r="X2476" s="148">
        <f>IFERROR(__xludf.DUMMYFUNCTION("""COMPUTED_VALUE"""),0.0)</f>
        <v>0</v>
      </c>
      <c r="Y2476" s="148">
        <f>IFERROR(__xludf.DUMMYFUNCTION("""COMPUTED_VALUE"""),0.0)</f>
        <v>0</v>
      </c>
      <c r="Z2476" s="148"/>
    </row>
    <row r="2477">
      <c r="A2477" s="148">
        <f>IFERROR(__xludf.DUMMYFUNCTION("""COMPUTED_VALUE"""),1.1119412E7)</f>
        <v>11119412</v>
      </c>
      <c r="B2477" s="148" t="str">
        <f>IFERROR(__xludf.DUMMYFUNCTION("""COMPUTED_VALUE"""),"地下世界-符文随机箱橙-kvk1/5")</f>
        <v>地下世界-符文随机箱橙-kvk1/5</v>
      </c>
      <c r="C2477" s="148"/>
      <c r="D2477" s="148" t="str">
        <f>IFERROR(__xludf.DUMMYFUNCTION("""COMPUTED_VALUE"""),"item_asset")</f>
        <v>item_asset</v>
      </c>
      <c r="E2477" s="148">
        <f>IFERROR(__xludf.DUMMYFUNCTION("""COMPUTED_VALUE"""),19.0)</f>
        <v>19</v>
      </c>
      <c r="F2477" s="148">
        <f>IFERROR(__xludf.DUMMYFUNCTION("""COMPUTED_VALUE"""),0.0)</f>
        <v>0</v>
      </c>
      <c r="G2477" s="148">
        <f>IFERROR(__xludf.DUMMYFUNCTION("""COMPUTED_VALUE"""),1.51100507E8)</f>
        <v>151100507</v>
      </c>
      <c r="H2477" s="148">
        <f>IFERROR(__xludf.DUMMYFUNCTION("""COMPUTED_VALUE"""),1.5112564E7)</f>
        <v>15112564</v>
      </c>
      <c r="I2477" s="148" t="str">
        <f>IFERROR(__xludf.DUMMYFUNCTION("""COMPUTED_VALUE"""),"{}")</f>
        <v>{}</v>
      </c>
      <c r="J2477" s="148" t="str">
        <f>IFERROR(__xludf.DUMMYFUNCTION("""COMPUTED_VALUE"""),"{""typ"":""lc"",""txt"":""LC_ITEM_uw_randrune_name_3""}")</f>
        <v>{"typ":"lc","txt":"LC_ITEM_uw_randrune_name_3"}</v>
      </c>
      <c r="K2477" s="148" t="str">
        <f>IFERROR(__xludf.DUMMYFUNCTION("""COMPUTED_VALUE"""),"{""typ"":""lc"",""txt"":""LC_ITEM_uw_randrune_desc_3""}")</f>
        <v>{"typ":"lc","txt":"LC_ITEM_uw_randrune_desc_3"}</v>
      </c>
      <c r="L2477" s="148" t="str">
        <f>IFERROR(__xludf.DUMMYFUNCTION("""COMPUTED_VALUE"""),"{}")</f>
        <v>{}</v>
      </c>
      <c r="M2477" s="148">
        <f>IFERROR(__xludf.DUMMYFUNCTION("""COMPUTED_VALUE"""),240.0)</f>
        <v>240</v>
      </c>
      <c r="N2477" s="148">
        <f>IFERROR(__xludf.DUMMYFUNCTION("""COMPUTED_VALUE"""),999999.0)</f>
        <v>999999</v>
      </c>
      <c r="O2477" s="148">
        <f>IFERROR(__xludf.DUMMYFUNCTION("""COMPUTED_VALUE"""),99999.0)</f>
        <v>99999</v>
      </c>
      <c r="P2477" s="148">
        <f>IFERROR(__xludf.DUMMYFUNCTION("""COMPUTED_VALUE"""),9999.0)</f>
        <v>9999</v>
      </c>
      <c r="Q2477" s="148" t="str">
        <f>IFERROR(__xludf.DUMMYFUNCTION("""COMPUTED_VALUE"""),"[]")</f>
        <v>[]</v>
      </c>
      <c r="R2477" s="148" t="str">
        <f>IFERROR(__xludf.DUMMYFUNCTION("""COMPUTED_VALUE"""),"[]")</f>
        <v>[]</v>
      </c>
      <c r="S2477" s="148" t="str">
        <f>IFERROR(__xludf.DUMMYFUNCTION("""COMPUTED_VALUE"""),"{""drop"":{""typ"":""single_random"",""num"":1,""args"":[{""typ"":""ug_rune"",""id"":25760103,""num"":1,""wgt"":100},{""typ"":""ug_rune"",""id"":25760203,""num"":1,""wgt"":100},{""typ"":""ug_rune"",""id"":25760303,""num"":1,""wgt"":100},{""typ"":""ug_rune"&amp;""",""id"":25760403,""num"":1,""wgt"":100},{""typ"":""ug_rune"",""id"":25760603,""num"":1,""wgt"":100},{""typ"":""ug_rune"",""id"":25760703,""num"":1,""wgt"":100},{""typ"":""ug_rune"",""id"":25760803,""num"":1,""wgt"":100},{""typ"":""ug_rune"",""id"":25760"&amp;"903,""num"":1,""wgt"":100},{""typ"":""ug_rune"",""id"":25761003,""num"":1,""wgt"":100},{""typ"":""ug_rune"",""id"":25761103,""num"":1,""wgt"":100},{""typ"":""ug_rune"",""id"":25761203,""num"":1,""wgt"":100}]}}")</f>
        <v>{"drop":{"typ":"single_random","num":1,"args":[{"typ":"ug_rune","id":25760103,"num":1,"wgt":100},{"typ":"ug_rune","id":25760203,"num":1,"wgt":100},{"typ":"ug_rune","id":25760303,"num":1,"wgt":100},{"typ":"ug_rune","id":25760403,"num":1,"wgt":100},{"typ":"ug_rune","id":25760603,"num":1,"wgt":100},{"typ":"ug_rune","id":25760703,"num":1,"wgt":100},{"typ":"ug_rune","id":25760803,"num":1,"wgt":100},{"typ":"ug_rune","id":25760903,"num":1,"wgt":100},{"typ":"ug_rune","id":25761003,"num":1,"wgt":100},{"typ":"ug_rune","id":25761103,"num":1,"wgt":100},{"typ":"ug_rune","id":25761203,"num":1,"wgt":100}]}}</v>
      </c>
      <c r="T2477" s="148">
        <f>IFERROR(__xludf.DUMMYFUNCTION("""COMPUTED_VALUE"""),-1.0)</f>
        <v>-1</v>
      </c>
      <c r="U2477" s="148">
        <f>IFERROR(__xludf.DUMMYFUNCTION("""COMPUTED_VALUE"""),1.0)</f>
        <v>1</v>
      </c>
      <c r="V2477" s="148" t="str">
        <f>IFERROR(__xludf.DUMMYFUNCTION("""COMPUTED_VALUE"""),"[]")</f>
        <v>[]</v>
      </c>
      <c r="W2477" s="148">
        <f>IFERROR(__xludf.DUMMYFUNCTION("""COMPUTED_VALUE"""),1.174E7)</f>
        <v>11740000</v>
      </c>
      <c r="X2477" s="148">
        <f>IFERROR(__xludf.DUMMYFUNCTION("""COMPUTED_VALUE"""),0.0)</f>
        <v>0</v>
      </c>
      <c r="Y2477" s="148">
        <f>IFERROR(__xludf.DUMMYFUNCTION("""COMPUTED_VALUE"""),0.0)</f>
        <v>0</v>
      </c>
      <c r="Z2477" s="148"/>
    </row>
    <row r="2478">
      <c r="A2478" s="148">
        <f>IFERROR(__xludf.DUMMYFUNCTION("""COMPUTED_VALUE"""),1.1119413E7)</f>
        <v>11119413</v>
      </c>
      <c r="B2478" s="148" t="str">
        <f>IFERROR(__xludf.DUMMYFUNCTION("""COMPUTED_VALUE"""),"地下世界-1级奇遇符文奖励-kvk1/5")</f>
        <v>地下世界-1级奇遇符文奖励-kvk1/5</v>
      </c>
      <c r="C2478" s="148"/>
      <c r="D2478" s="148" t="str">
        <f>IFERROR(__xludf.DUMMYFUNCTION("""COMPUTED_VALUE"""),"item_asset")</f>
        <v>item_asset</v>
      </c>
      <c r="E2478" s="148">
        <f>IFERROR(__xludf.DUMMYFUNCTION("""COMPUTED_VALUE"""),19.0)</f>
        <v>19</v>
      </c>
      <c r="F2478" s="148">
        <f>IFERROR(__xludf.DUMMYFUNCTION("""COMPUTED_VALUE"""),0.0)</f>
        <v>0</v>
      </c>
      <c r="G2478" s="148">
        <f>IFERROR(__xludf.DUMMYFUNCTION("""COMPUTED_VALUE"""),1.51100532E8)</f>
        <v>151100532</v>
      </c>
      <c r="H2478" s="148">
        <f>IFERROR(__xludf.DUMMYFUNCTION("""COMPUTED_VALUE"""),0.0)</f>
        <v>0</v>
      </c>
      <c r="I2478" s="148" t="str">
        <f>IFERROR(__xludf.DUMMYFUNCTION("""COMPUTED_VALUE"""),"{}")</f>
        <v>{}</v>
      </c>
      <c r="J2478" s="148" t="str">
        <f>IFERROR(__xludf.DUMMYFUNCTION("""COMPUTED_VALUE"""),"{""typ"":""lc"",""txt"":""LC_ITEM_uw_randrune_name_4""}")</f>
        <v>{"typ":"lc","txt":"LC_ITEM_uw_randrune_name_4"}</v>
      </c>
      <c r="K2478" s="148" t="str">
        <f>IFERROR(__xludf.DUMMYFUNCTION("""COMPUTED_VALUE"""),"{""typ"":""lc"",""txt"":""LC_ITEM_uw_randrune_desc_4""}")</f>
        <v>{"typ":"lc","txt":"LC_ITEM_uw_randrune_desc_4"}</v>
      </c>
      <c r="L2478" s="148" t="str">
        <f>IFERROR(__xludf.DUMMYFUNCTION("""COMPUTED_VALUE"""),"{}")</f>
        <v>{}</v>
      </c>
      <c r="M2478" s="148">
        <f>IFERROR(__xludf.DUMMYFUNCTION("""COMPUTED_VALUE"""),240.0)</f>
        <v>240</v>
      </c>
      <c r="N2478" s="148">
        <f>IFERROR(__xludf.DUMMYFUNCTION("""COMPUTED_VALUE"""),999999.0)</f>
        <v>999999</v>
      </c>
      <c r="O2478" s="148">
        <f>IFERROR(__xludf.DUMMYFUNCTION("""COMPUTED_VALUE"""),99999.0)</f>
        <v>99999</v>
      </c>
      <c r="P2478" s="148">
        <f>IFERROR(__xludf.DUMMYFUNCTION("""COMPUTED_VALUE"""),9999.0)</f>
        <v>9999</v>
      </c>
      <c r="Q2478" s="148" t="str">
        <f>IFERROR(__xludf.DUMMYFUNCTION("""COMPUTED_VALUE"""),"[]")</f>
        <v>[]</v>
      </c>
      <c r="R2478" s="148" t="str">
        <f>IFERROR(__xludf.DUMMYFUNCTION("""COMPUTED_VALUE"""),"[]")</f>
        <v>[]</v>
      </c>
      <c r="S2478" s="148" t="str">
        <f>IFERROR(__xludf.DUMMYFUNCTION("""COMPUTED_VALUE"""),"{""drop"":{""typ"":""single_random"",""num"":1,""args"":[{""typ"":""ug_rune"",""id"":25760101,""num"":1,""wgt"":60},{""typ"":""ug_rune"",""id"":25760201,""num"":1,""wgt"":60},{""typ"":""ug_rune"",""id"":25760301,""num"":1,""wgt"":60},{""typ"":""ug_rune"","&amp;"""id"":25760401,""num"":1,""wgt"":60},{""typ"":""ug_rune"",""id"":25760501,""num"":1,""wgt"":60},{""typ"":""ug_rune"",""id"":25760601,""num"":1,""wgt"":60},{""typ"":""ug_rune"",""id"":25761001,""num"":1,""wgt"":60},{""typ"":""ug_rune"",""id"":25761101,""n"&amp;"um"":1,""wgt"":60},{""typ"":""ug_rune"",""id"":25761201,""num"":1,""wgt"":60},{""typ"":""ug_rune"",""id"":25760102,""num"":1,""wgt"":40},{""typ"":""ug_rune"",""id"":25760202,""num"":1,""wgt"":40},{""typ"":""ug_rune"",""id"":25760302,""num"":1,""wgt"":40},"&amp;"{""typ"":""ug_rune"",""id"":25760402,""num"":1,""wgt"":40},{""typ"":""ug_rune"",""id"":25760602,""num"":1,""wgt"":40},{""typ"":""ug_rune"",""id"":25760702,""num"":1,""wgt"":40},{""typ"":""ug_rune"",""id"":25760802,""num"":1,""wgt"":40},{""typ"":""ug_rune"&amp;""",""id"":25760902,""num"":1,""wgt"":40},{""typ"":""ug_rune"",""id"":25761002,""num"":1,""wgt"":40},{""typ"":""ug_rune"",""id"":25761102,""num"":1,""wgt"":40},{""typ"":""ug_rune"",""id"":25761202,""num"":1,""wgt"":40}]}}")</f>
        <v>{"drop":{"typ":"single_random","num":1,"args":[{"typ":"ug_rune","id":25760101,"num":1,"wgt":60},{"typ":"ug_rune","id":25760201,"num":1,"wgt":60},{"typ":"ug_rune","id":25760301,"num":1,"wgt":60},{"typ":"ug_rune","id":25760401,"num":1,"wgt":60},{"typ":"ug_rune","id":25760501,"num":1,"wgt":60},{"typ":"ug_rune","id":25760601,"num":1,"wgt":60},{"typ":"ug_rune","id":25761001,"num":1,"wgt":60},{"typ":"ug_rune","id":25761101,"num":1,"wgt":60},{"typ":"ug_rune","id":25761201,"num":1,"wgt":60},{"typ":"ug_rune","id":25760102,"num":1,"wgt":40},{"typ":"ug_rune","id":25760202,"num":1,"wgt":40},{"typ":"ug_rune","id":25760302,"num":1,"wgt":40},{"typ":"ug_rune","id":25760402,"num":1,"wgt":40},{"typ":"ug_rune","id":25760602,"num":1,"wgt":40},{"typ":"ug_rune","id":25760702,"num":1,"wgt":40},{"typ":"ug_rune","id":25760802,"num":1,"wgt":40},{"typ":"ug_rune","id":25760902,"num":1,"wgt":40},{"typ":"ug_rune","id":25761002,"num":1,"wgt":40},{"typ":"ug_rune","id":25761102,"num":1,"wgt":40},{"typ":"ug_rune","id":25761202,"num":1,"wgt":40}]}}</v>
      </c>
      <c r="T2478" s="148">
        <f>IFERROR(__xludf.DUMMYFUNCTION("""COMPUTED_VALUE"""),-1.0)</f>
        <v>-1</v>
      </c>
      <c r="U2478" s="148">
        <f>IFERROR(__xludf.DUMMYFUNCTION("""COMPUTED_VALUE"""),1.0)</f>
        <v>1</v>
      </c>
      <c r="V2478" s="148" t="str">
        <f>IFERROR(__xludf.DUMMYFUNCTION("""COMPUTED_VALUE"""),"[]")</f>
        <v>[]</v>
      </c>
      <c r="W2478" s="148">
        <f>IFERROR(__xludf.DUMMYFUNCTION("""COMPUTED_VALUE"""),1.174E7)</f>
        <v>11740000</v>
      </c>
      <c r="X2478" s="148">
        <f>IFERROR(__xludf.DUMMYFUNCTION("""COMPUTED_VALUE"""),0.0)</f>
        <v>0</v>
      </c>
      <c r="Y2478" s="148">
        <f>IFERROR(__xludf.DUMMYFUNCTION("""COMPUTED_VALUE"""),0.0)</f>
        <v>0</v>
      </c>
      <c r="Z2478" s="148"/>
    </row>
    <row r="2479">
      <c r="A2479" s="148">
        <f>IFERROR(__xludf.DUMMYFUNCTION("""COMPUTED_VALUE"""),1.1119414E7)</f>
        <v>11119414</v>
      </c>
      <c r="B2479" s="148" t="str">
        <f>IFERROR(__xludf.DUMMYFUNCTION("""COMPUTED_VALUE"""),"地下世界-2级奇遇符文奖励-kvk1/5")</f>
        <v>地下世界-2级奇遇符文奖励-kvk1/5</v>
      </c>
      <c r="C2479" s="148"/>
      <c r="D2479" s="148" t="str">
        <f>IFERROR(__xludf.DUMMYFUNCTION("""COMPUTED_VALUE"""),"item_asset")</f>
        <v>item_asset</v>
      </c>
      <c r="E2479" s="148">
        <f>IFERROR(__xludf.DUMMYFUNCTION("""COMPUTED_VALUE"""),19.0)</f>
        <v>19</v>
      </c>
      <c r="F2479" s="148">
        <f>IFERROR(__xludf.DUMMYFUNCTION("""COMPUTED_VALUE"""),0.0)</f>
        <v>0</v>
      </c>
      <c r="G2479" s="148">
        <f>IFERROR(__xludf.DUMMYFUNCTION("""COMPUTED_VALUE"""),1.51100533E8)</f>
        <v>151100533</v>
      </c>
      <c r="H2479" s="148">
        <f>IFERROR(__xludf.DUMMYFUNCTION("""COMPUTED_VALUE"""),0.0)</f>
        <v>0</v>
      </c>
      <c r="I2479" s="148" t="str">
        <f>IFERROR(__xludf.DUMMYFUNCTION("""COMPUTED_VALUE"""),"{}")</f>
        <v>{}</v>
      </c>
      <c r="J2479" s="148" t="str">
        <f>IFERROR(__xludf.DUMMYFUNCTION("""COMPUTED_VALUE"""),"{""typ"":""lc"",""txt"":""LC_ITEM_uw_randrune_name_5""}")</f>
        <v>{"typ":"lc","txt":"LC_ITEM_uw_randrune_name_5"}</v>
      </c>
      <c r="K2479" s="148" t="str">
        <f>IFERROR(__xludf.DUMMYFUNCTION("""COMPUTED_VALUE"""),"{""typ"":""lc"",""txt"":""LC_ITEM_uw_randrune_desc_5""}")</f>
        <v>{"typ":"lc","txt":"LC_ITEM_uw_randrune_desc_5"}</v>
      </c>
      <c r="L2479" s="148" t="str">
        <f>IFERROR(__xludf.DUMMYFUNCTION("""COMPUTED_VALUE"""),"{}")</f>
        <v>{}</v>
      </c>
      <c r="M2479" s="148">
        <f>IFERROR(__xludf.DUMMYFUNCTION("""COMPUTED_VALUE"""),240.0)</f>
        <v>240</v>
      </c>
      <c r="N2479" s="148">
        <f>IFERROR(__xludf.DUMMYFUNCTION("""COMPUTED_VALUE"""),999999.0)</f>
        <v>999999</v>
      </c>
      <c r="O2479" s="148">
        <f>IFERROR(__xludf.DUMMYFUNCTION("""COMPUTED_VALUE"""),99999.0)</f>
        <v>99999</v>
      </c>
      <c r="P2479" s="148">
        <f>IFERROR(__xludf.DUMMYFUNCTION("""COMPUTED_VALUE"""),9999.0)</f>
        <v>9999</v>
      </c>
      <c r="Q2479" s="148" t="str">
        <f>IFERROR(__xludf.DUMMYFUNCTION("""COMPUTED_VALUE"""),"[]")</f>
        <v>[]</v>
      </c>
      <c r="R2479" s="148" t="str">
        <f>IFERROR(__xludf.DUMMYFUNCTION("""COMPUTED_VALUE"""),"[]")</f>
        <v>[]</v>
      </c>
      <c r="S2479" s="148" t="str">
        <f>IFERROR(__xludf.DUMMYFUNCTION("""COMPUTED_VALUE"""),"{""drop"":{""typ"":""single_random"",""num"":1,""args"":[{""typ"":""ug_rune"",""id"":25760101,""num"":1,""wgt"":20},{""typ"":""ug_rune"",""id"":25760201,""num"":1,""wgt"":20},{""typ"":""ug_rune"",""id"":25760301,""num"":1,""wgt"":20},{""typ"":""ug_rune"","&amp;"""id"":25760401,""num"":1,""wgt"":20},{""typ"":""ug_rune"",""id"":25760501,""num"":1,""wgt"":20},{""typ"":""ug_rune"",""id"":25760601,""num"":1,""wgt"":20},{""typ"":""ug_rune"",""id"":25761001,""num"":1,""wgt"":20},{""typ"":""ug_rune"",""id"":25761101,""n"&amp;"um"":1,""wgt"":20},{""typ"":""ug_rune"",""id"":25761201,""num"":1,""wgt"":20},{""typ"":""ug_rune"",""id"":25760102,""num"":1,""wgt"":60},{""typ"":""ug_rune"",""id"":25760202,""num"":1,""wgt"":60},{""typ"":""ug_rune"",""id"":25760302,""num"":1,""wgt"":60},"&amp;"{""typ"":""ug_rune"",""id"":25760402,""num"":1,""wgt"":60},{""typ"":""ug_rune"",""id"":25760602,""num"":1,""wgt"":60},{""typ"":""ug_rune"",""id"":25760702,""num"":1,""wgt"":60},{""typ"":""ug_rune"",""id"":25760802,""num"":1,""wgt"":60},{""typ"":""ug_rune"&amp;""",""id"":25760902,""num"":1,""wgt"":60},{""typ"":""ug_rune"",""id"":25761002,""num"":1,""wgt"":60},{""typ"":""ug_rune"",""id"":25761102,""num"":1,""wgt"":60},{""typ"":""ug_rune"",""id"":25761202,""num"":1,""wgt"":60},{""typ"":""ug_rune"",""id"":25760103,"&amp;"""num"":1,""wgt"":20},{""typ"":""ug_rune"",""id"":25760203,""num"":1,""wgt"":20},{""typ"":""ug_rune"",""id"":25760303,""num"":1,""wgt"":20},{""typ"":""ug_rune"",""id"":25760403,""num"":1,""wgt"":20},{""typ"":""ug_rune"",""id"":25760603,""num"":1,""wgt"":2"&amp;"0},{""typ"":""ug_rune"",""id"":25760703,""num"":1,""wgt"":20},{""typ"":""ug_rune"",""id"":25760803,""num"":1,""wgt"":20},{""typ"":""ug_rune"",""id"":25760903,""num"":1,""wgt"":20},{""typ"":""ug_rune"",""id"":25761003,""num"":1,""wgt"":20},{""typ"":""ug_ru"&amp;"ne"",""id"":25761103,""num"":1,""wgt"":20},{""typ"":""ug_rune"",""id"":25761203,""num"":1,""wgt"":20}]}}")</f>
        <v>{"drop":{"typ":"single_random","num":1,"args":[{"typ":"ug_rune","id":25760101,"num":1,"wgt":20},{"typ":"ug_rune","id":25760201,"num":1,"wgt":20},{"typ":"ug_rune","id":25760301,"num":1,"wgt":20},{"typ":"ug_rune","id":25760401,"num":1,"wgt":20},{"typ":"ug_rune","id":25760501,"num":1,"wgt":20},{"typ":"ug_rune","id":25760601,"num":1,"wgt":20},{"typ":"ug_rune","id":25761001,"num":1,"wgt":20},{"typ":"ug_rune","id":25761101,"num":1,"wgt":20},{"typ":"ug_rune","id":25761201,"num":1,"wgt":20},{"typ":"ug_rune","id":25760102,"num":1,"wgt":60},{"typ":"ug_rune","id":25760202,"num":1,"wgt":60},{"typ":"ug_rune","id":25760302,"num":1,"wgt":60},{"typ":"ug_rune","id":25760402,"num":1,"wgt":60},{"typ":"ug_rune","id":25760602,"num":1,"wgt":60},{"typ":"ug_rune","id":25760702,"num":1,"wgt":60},{"typ":"ug_rune","id":25760802,"num":1,"wgt":60},{"typ":"ug_rune","id":25760902,"num":1,"wgt":60},{"typ":"ug_rune","id":25761002,"num":1,"wgt":60},{"typ":"ug_rune","id":25761102,"num":1,"wgt":60},{"typ":"ug_rune","id":25761202,"num":1,"wgt":60},{"typ":"ug_rune","id":25760103,"num":1,"wgt":20},{"typ":"ug_rune","id":25760203,"num":1,"wgt":20},{"typ":"ug_rune","id":25760303,"num":1,"wgt":20},{"typ":"ug_rune","id":25760403,"num":1,"wgt":20},{"typ":"ug_rune","id":25760603,"num":1,"wgt":20},{"typ":"ug_rune","id":25760703,"num":1,"wgt":20},{"typ":"ug_rune","id":25760803,"num":1,"wgt":20},{"typ":"ug_rune","id":25760903,"num":1,"wgt":20},{"typ":"ug_rune","id":25761003,"num":1,"wgt":20},{"typ":"ug_rune","id":25761103,"num":1,"wgt":20},{"typ":"ug_rune","id":25761203,"num":1,"wgt":20}]}}</v>
      </c>
      <c r="T2479" s="148">
        <f>IFERROR(__xludf.DUMMYFUNCTION("""COMPUTED_VALUE"""),-1.0)</f>
        <v>-1</v>
      </c>
      <c r="U2479" s="148">
        <f>IFERROR(__xludf.DUMMYFUNCTION("""COMPUTED_VALUE"""),1.0)</f>
        <v>1</v>
      </c>
      <c r="V2479" s="148" t="str">
        <f>IFERROR(__xludf.DUMMYFUNCTION("""COMPUTED_VALUE"""),"[]")</f>
        <v>[]</v>
      </c>
      <c r="W2479" s="148">
        <f>IFERROR(__xludf.DUMMYFUNCTION("""COMPUTED_VALUE"""),1.174E7)</f>
        <v>11740000</v>
      </c>
      <c r="X2479" s="148">
        <f>IFERROR(__xludf.DUMMYFUNCTION("""COMPUTED_VALUE"""),0.0)</f>
        <v>0</v>
      </c>
      <c r="Y2479" s="148">
        <f>IFERROR(__xludf.DUMMYFUNCTION("""COMPUTED_VALUE"""),0.0)</f>
        <v>0</v>
      </c>
      <c r="Z2479" s="148"/>
    </row>
    <row r="2480">
      <c r="A2480" s="148">
        <f>IFERROR(__xludf.DUMMYFUNCTION("""COMPUTED_VALUE"""),1.1119415E7)</f>
        <v>11119415</v>
      </c>
      <c r="B2480" s="148" t="str">
        <f>IFERROR(__xludf.DUMMYFUNCTION("""COMPUTED_VALUE"""),"地下世界-3级奇遇符文奖励-kvk1/5")</f>
        <v>地下世界-3级奇遇符文奖励-kvk1/5</v>
      </c>
      <c r="C2480" s="148"/>
      <c r="D2480" s="148" t="str">
        <f>IFERROR(__xludf.DUMMYFUNCTION("""COMPUTED_VALUE"""),"item_asset")</f>
        <v>item_asset</v>
      </c>
      <c r="E2480" s="148">
        <f>IFERROR(__xludf.DUMMYFUNCTION("""COMPUTED_VALUE"""),19.0)</f>
        <v>19</v>
      </c>
      <c r="F2480" s="148">
        <f>IFERROR(__xludf.DUMMYFUNCTION("""COMPUTED_VALUE"""),0.0)</f>
        <v>0</v>
      </c>
      <c r="G2480" s="148">
        <f>IFERROR(__xludf.DUMMYFUNCTION("""COMPUTED_VALUE"""),1.51100534E8)</f>
        <v>151100534</v>
      </c>
      <c r="H2480" s="148">
        <f>IFERROR(__xludf.DUMMYFUNCTION("""COMPUTED_VALUE"""),0.0)</f>
        <v>0</v>
      </c>
      <c r="I2480" s="148" t="str">
        <f>IFERROR(__xludf.DUMMYFUNCTION("""COMPUTED_VALUE"""),"{}")</f>
        <v>{}</v>
      </c>
      <c r="J2480" s="148" t="str">
        <f>IFERROR(__xludf.DUMMYFUNCTION("""COMPUTED_VALUE"""),"{""typ"":""lc"",""txt"":""LC_ITEM_uw_randrune_name_6""}")</f>
        <v>{"typ":"lc","txt":"LC_ITEM_uw_randrune_name_6"}</v>
      </c>
      <c r="K2480" s="148" t="str">
        <f>IFERROR(__xludf.DUMMYFUNCTION("""COMPUTED_VALUE"""),"{""typ"":""lc"",""txt"":""LC_ITEM_uw_randrune_desc_6""}")</f>
        <v>{"typ":"lc","txt":"LC_ITEM_uw_randrune_desc_6"}</v>
      </c>
      <c r="L2480" s="148" t="str">
        <f>IFERROR(__xludf.DUMMYFUNCTION("""COMPUTED_VALUE"""),"{}")</f>
        <v>{}</v>
      </c>
      <c r="M2480" s="148">
        <f>IFERROR(__xludf.DUMMYFUNCTION("""COMPUTED_VALUE"""),240.0)</f>
        <v>240</v>
      </c>
      <c r="N2480" s="148">
        <f>IFERROR(__xludf.DUMMYFUNCTION("""COMPUTED_VALUE"""),999999.0)</f>
        <v>999999</v>
      </c>
      <c r="O2480" s="148">
        <f>IFERROR(__xludf.DUMMYFUNCTION("""COMPUTED_VALUE"""),99999.0)</f>
        <v>99999</v>
      </c>
      <c r="P2480" s="148">
        <f>IFERROR(__xludf.DUMMYFUNCTION("""COMPUTED_VALUE"""),9999.0)</f>
        <v>9999</v>
      </c>
      <c r="Q2480" s="148" t="str">
        <f>IFERROR(__xludf.DUMMYFUNCTION("""COMPUTED_VALUE"""),"[]")</f>
        <v>[]</v>
      </c>
      <c r="R2480" s="148" t="str">
        <f>IFERROR(__xludf.DUMMYFUNCTION("""COMPUTED_VALUE"""),"[]")</f>
        <v>[]</v>
      </c>
      <c r="S2480" s="148" t="str">
        <f>IFERROR(__xludf.DUMMYFUNCTION("""COMPUTED_VALUE"""),"{""drop"":{""typ"":""single_random"",""num"":1,""args"":[{""typ"":""ug_rune"",""id"":25760102,""num"":1,""wgt"":50},{""typ"":""ug_rune"",""id"":25760202,""num"":1,""wgt"":50},{""typ"":""ug_rune"",""id"":25760302,""num"":1,""wgt"":50},{""typ"":""ug_rune"","&amp;"""id"":25760402,""num"":1,""wgt"":50},{""typ"":""ug_rune"",""id"":25760602,""num"":1,""wgt"":50},{""typ"":""ug_rune"",""id"":25760702,""num"":1,""wgt"":50},{""typ"":""ug_rune"",""id"":25760802,""num"":1,""wgt"":50},{""typ"":""ug_rune"",""id"":25760902,""n"&amp;"um"":1,""wgt"":50},{""typ"":""ug_rune"",""id"":25761002,""num"":1,""wgt"":50},{""typ"":""ug_rune"",""id"":25761102,""num"":1,""wgt"":50},{""typ"":""ug_rune"",""id"":25761202,""num"":1,""wgt"":50},{""typ"":""ug_rune"",""id"":25760103,""num"":1,""wgt"":50},"&amp;"{""typ"":""ug_rune"",""id"":25760203,""num"":1,""wgt"":50},{""typ"":""ug_rune"",""id"":25760303,""num"":1,""wgt"":50},{""typ"":""ug_rune"",""id"":25760403,""num"":1,""wgt"":50},{""typ"":""ug_rune"",""id"":25760603,""num"":1,""wgt"":50},{""typ"":""ug_rune"&amp;""",""id"":25760703,""num"":1,""wgt"":50},{""typ"":""ug_rune"",""id"":25760803,""num"":1,""wgt"":50},{""typ"":""ug_rune"",""id"":25760903,""num"":1,""wgt"":50},{""typ"":""ug_rune"",""id"":25761003,""num"":1,""wgt"":50},{""typ"":""ug_rune"",""id"":25761103,"&amp;"""num"":1,""wgt"":50},{""typ"":""ug_rune"",""id"":25761203,""num"":1,""wgt"":50}]}}")</f>
        <v>{"drop":{"typ":"single_random","num":1,"args":[{"typ":"ug_rune","id":25760102,"num":1,"wgt":50},{"typ":"ug_rune","id":25760202,"num":1,"wgt":50},{"typ":"ug_rune","id":25760302,"num":1,"wgt":50},{"typ":"ug_rune","id":25760402,"num":1,"wgt":50},{"typ":"ug_rune","id":25760602,"num":1,"wgt":50},{"typ":"ug_rune","id":25760702,"num":1,"wgt":50},{"typ":"ug_rune","id":25760802,"num":1,"wgt":50},{"typ":"ug_rune","id":25760902,"num":1,"wgt":50},{"typ":"ug_rune","id":25761002,"num":1,"wgt":50},{"typ":"ug_rune","id":25761102,"num":1,"wgt":50},{"typ":"ug_rune","id":25761202,"num":1,"wgt":50},{"typ":"ug_rune","id":25760103,"num":1,"wgt":50},{"typ":"ug_rune","id":25760203,"num":1,"wgt":50},{"typ":"ug_rune","id":25760303,"num":1,"wgt":50},{"typ":"ug_rune","id":25760403,"num":1,"wgt":50},{"typ":"ug_rune","id":25760603,"num":1,"wgt":50},{"typ":"ug_rune","id":25760703,"num":1,"wgt":50},{"typ":"ug_rune","id":25760803,"num":1,"wgt":50},{"typ":"ug_rune","id":25760903,"num":1,"wgt":50},{"typ":"ug_rune","id":25761003,"num":1,"wgt":50},{"typ":"ug_rune","id":25761103,"num":1,"wgt":50},{"typ":"ug_rune","id":25761203,"num":1,"wgt":50}]}}</v>
      </c>
      <c r="T2480" s="148">
        <f>IFERROR(__xludf.DUMMYFUNCTION("""COMPUTED_VALUE"""),-1.0)</f>
        <v>-1</v>
      </c>
      <c r="U2480" s="148">
        <f>IFERROR(__xludf.DUMMYFUNCTION("""COMPUTED_VALUE"""),1.0)</f>
        <v>1</v>
      </c>
      <c r="V2480" s="148" t="str">
        <f>IFERROR(__xludf.DUMMYFUNCTION("""COMPUTED_VALUE"""),"[]")</f>
        <v>[]</v>
      </c>
      <c r="W2480" s="148">
        <f>IFERROR(__xludf.DUMMYFUNCTION("""COMPUTED_VALUE"""),1.174E7)</f>
        <v>11740000</v>
      </c>
      <c r="X2480" s="148">
        <f>IFERROR(__xludf.DUMMYFUNCTION("""COMPUTED_VALUE"""),0.0)</f>
        <v>0</v>
      </c>
      <c r="Y2480" s="148">
        <f>IFERROR(__xludf.DUMMYFUNCTION("""COMPUTED_VALUE"""),0.0)</f>
        <v>0</v>
      </c>
      <c r="Z2480" s="148"/>
    </row>
    <row r="2481">
      <c r="A2481" s="148">
        <f>IFERROR(__xludf.DUMMYFUNCTION("""COMPUTED_VALUE"""),1.1119416E7)</f>
        <v>11119416</v>
      </c>
      <c r="B2481" s="148" t="str">
        <f>IFERROR(__xludf.DUMMYFUNCTION("""COMPUTED_VALUE"""),"地下世界-4级奇遇符文奖励-kvk1/5")</f>
        <v>地下世界-4级奇遇符文奖励-kvk1/5</v>
      </c>
      <c r="C2481" s="148"/>
      <c r="D2481" s="148" t="str">
        <f>IFERROR(__xludf.DUMMYFUNCTION("""COMPUTED_VALUE"""),"item_asset")</f>
        <v>item_asset</v>
      </c>
      <c r="E2481" s="148">
        <f>IFERROR(__xludf.DUMMYFUNCTION("""COMPUTED_VALUE"""),19.0)</f>
        <v>19</v>
      </c>
      <c r="F2481" s="148">
        <f>IFERROR(__xludf.DUMMYFUNCTION("""COMPUTED_VALUE"""),0.0)</f>
        <v>0</v>
      </c>
      <c r="G2481" s="148">
        <f>IFERROR(__xludf.DUMMYFUNCTION("""COMPUTED_VALUE"""),1.51100535E8)</f>
        <v>151100535</v>
      </c>
      <c r="H2481" s="148">
        <f>IFERROR(__xludf.DUMMYFUNCTION("""COMPUTED_VALUE"""),0.0)</f>
        <v>0</v>
      </c>
      <c r="I2481" s="148" t="str">
        <f>IFERROR(__xludf.DUMMYFUNCTION("""COMPUTED_VALUE"""),"{}")</f>
        <v>{}</v>
      </c>
      <c r="J2481" s="148" t="str">
        <f>IFERROR(__xludf.DUMMYFUNCTION("""COMPUTED_VALUE"""),"{""typ"":""lc"",""txt"":""LC_ITEM_uw_randrune_name_7""}")</f>
        <v>{"typ":"lc","txt":"LC_ITEM_uw_randrune_name_7"}</v>
      </c>
      <c r="K2481" s="148" t="str">
        <f>IFERROR(__xludf.DUMMYFUNCTION("""COMPUTED_VALUE"""),"{""typ"":""lc"",""txt"":""LC_ITEM_uw_randrune_desc_7""}")</f>
        <v>{"typ":"lc","txt":"LC_ITEM_uw_randrune_desc_7"}</v>
      </c>
      <c r="L2481" s="148" t="str">
        <f>IFERROR(__xludf.DUMMYFUNCTION("""COMPUTED_VALUE"""),"{}")</f>
        <v>{}</v>
      </c>
      <c r="M2481" s="148">
        <f>IFERROR(__xludf.DUMMYFUNCTION("""COMPUTED_VALUE"""),240.0)</f>
        <v>240</v>
      </c>
      <c r="N2481" s="148">
        <f>IFERROR(__xludf.DUMMYFUNCTION("""COMPUTED_VALUE"""),999999.0)</f>
        <v>999999</v>
      </c>
      <c r="O2481" s="148">
        <f>IFERROR(__xludf.DUMMYFUNCTION("""COMPUTED_VALUE"""),99999.0)</f>
        <v>99999</v>
      </c>
      <c r="P2481" s="148">
        <f>IFERROR(__xludf.DUMMYFUNCTION("""COMPUTED_VALUE"""),9999.0)</f>
        <v>9999</v>
      </c>
      <c r="Q2481" s="148" t="str">
        <f>IFERROR(__xludf.DUMMYFUNCTION("""COMPUTED_VALUE"""),"[]")</f>
        <v>[]</v>
      </c>
      <c r="R2481" s="148" t="str">
        <f>IFERROR(__xludf.DUMMYFUNCTION("""COMPUTED_VALUE"""),"[]")</f>
        <v>[]</v>
      </c>
      <c r="S2481" s="148" t="str">
        <f>IFERROR(__xludf.DUMMYFUNCTION("""COMPUTED_VALUE"""),"{""drop"":{""typ"":""single_random"",""num"":1,""args"":[{""typ"":""ug_rune"",""id"":25760103,""num"":1,""wgt"":100},{""typ"":""ug_rune"",""id"":25760203,""num"":1,""wgt"":100},{""typ"":""ug_rune"",""id"":25760303,""num"":1,""wgt"":100},{""typ"":""ug_rune"&amp;""",""id"":25760403,""num"":1,""wgt"":100},{""typ"":""ug_rune"",""id"":25760603,""num"":1,""wgt"":100},{""typ"":""ug_rune"",""id"":25760703,""num"":1,""wgt"":100},{""typ"":""ug_rune"",""id"":25760803,""num"":1,""wgt"":100},{""typ"":""ug_rune"",""id"":25760"&amp;"903,""num"":1,""wgt"":100},{""typ"":""ug_rune"",""id"":25761003,""num"":1,""wgt"":100},{""typ"":""ug_rune"",""id"":25761103,""num"":1,""wgt"":100},{""typ"":""ug_rune"",""id"":25761203,""num"":1,""wgt"":100}]}}")</f>
        <v>{"drop":{"typ":"single_random","num":1,"args":[{"typ":"ug_rune","id":25760103,"num":1,"wgt":100},{"typ":"ug_rune","id":25760203,"num":1,"wgt":100},{"typ":"ug_rune","id":25760303,"num":1,"wgt":100},{"typ":"ug_rune","id":25760403,"num":1,"wgt":100},{"typ":"ug_rune","id":25760603,"num":1,"wgt":100},{"typ":"ug_rune","id":25760703,"num":1,"wgt":100},{"typ":"ug_rune","id":25760803,"num":1,"wgt":100},{"typ":"ug_rune","id":25760903,"num":1,"wgt":100},{"typ":"ug_rune","id":25761003,"num":1,"wgt":100},{"typ":"ug_rune","id":25761103,"num":1,"wgt":100},{"typ":"ug_rune","id":25761203,"num":1,"wgt":100}]}}</v>
      </c>
      <c r="T2481" s="148">
        <f>IFERROR(__xludf.DUMMYFUNCTION("""COMPUTED_VALUE"""),-1.0)</f>
        <v>-1</v>
      </c>
      <c r="U2481" s="148">
        <f>IFERROR(__xludf.DUMMYFUNCTION("""COMPUTED_VALUE"""),1.0)</f>
        <v>1</v>
      </c>
      <c r="V2481" s="148" t="str">
        <f>IFERROR(__xludf.DUMMYFUNCTION("""COMPUTED_VALUE"""),"[]")</f>
        <v>[]</v>
      </c>
      <c r="W2481" s="148">
        <f>IFERROR(__xludf.DUMMYFUNCTION("""COMPUTED_VALUE"""),1.174E7)</f>
        <v>11740000</v>
      </c>
      <c r="X2481" s="148">
        <f>IFERROR(__xludf.DUMMYFUNCTION("""COMPUTED_VALUE"""),0.0)</f>
        <v>0</v>
      </c>
      <c r="Y2481" s="148">
        <f>IFERROR(__xludf.DUMMYFUNCTION("""COMPUTED_VALUE"""),0.0)</f>
        <v>0</v>
      </c>
      <c r="Z2481" s="148"/>
    </row>
    <row r="2482">
      <c r="A2482" s="148">
        <f>IFERROR(__xludf.DUMMYFUNCTION("""COMPUTED_VALUE"""),1.1119417E7)</f>
        <v>11119417</v>
      </c>
      <c r="B2482" s="148" t="str">
        <f>IFERROR(__xludf.DUMMYFUNCTION("""COMPUTED_VALUE"""),"战车改名道具")</f>
        <v>战车改名道具</v>
      </c>
      <c r="C2482" s="148"/>
      <c r="D2482" s="148" t="str">
        <f>IFERROR(__xludf.DUMMYFUNCTION("""COMPUTED_VALUE"""),"tank_rename")</f>
        <v>tank_rename</v>
      </c>
      <c r="E2482" s="148">
        <f>IFERROR(__xludf.DUMMYFUNCTION("""COMPUTED_VALUE"""),0.0)</f>
        <v>0</v>
      </c>
      <c r="F2482" s="148">
        <f>IFERROR(__xludf.DUMMYFUNCTION("""COMPUTED_VALUE"""),413004.0)</f>
        <v>413004</v>
      </c>
      <c r="G2482" s="148">
        <f>IFERROR(__xludf.DUMMYFUNCTION("""COMPUTED_VALUE"""),1.51100673E8)</f>
        <v>151100673</v>
      </c>
      <c r="H2482" s="148">
        <f>IFERROR(__xludf.DUMMYFUNCTION("""COMPUTED_VALUE"""),1.5112563E7)</f>
        <v>15112563</v>
      </c>
      <c r="I2482" s="148" t="str">
        <f>IFERROR(__xludf.DUMMYFUNCTION("""COMPUTED_VALUE"""),"{}")</f>
        <v>{}</v>
      </c>
      <c r="J2482" s="148" t="str">
        <f>IFERROR(__xludf.DUMMYFUNCTION("""COMPUTED_VALUE"""),"{""typ"":""lc"",""txt"":""LC_ITEM_tank_rename""}")</f>
        <v>{"typ":"lc","txt":"LC_ITEM_tank_rename"}</v>
      </c>
      <c r="K2482" s="148" t="str">
        <f>IFERROR(__xludf.DUMMYFUNCTION("""COMPUTED_VALUE"""),"{""typ"":""lc"",""txt"":""LC_ITEM_tank_rename_desc""}")</f>
        <v>{"typ":"lc","txt":"LC_ITEM_tank_rename_desc"}</v>
      </c>
      <c r="L2482" s="148" t="str">
        <f>IFERROR(__xludf.DUMMYFUNCTION("""COMPUTED_VALUE"""),"{}")</f>
        <v>{}</v>
      </c>
      <c r="M2482" s="148">
        <f>IFERROR(__xludf.DUMMYFUNCTION("""COMPUTED_VALUE"""),15.0)</f>
        <v>15</v>
      </c>
      <c r="N2482" s="148">
        <f>IFERROR(__xludf.DUMMYFUNCTION("""COMPUTED_VALUE"""),9999999.0)</f>
        <v>9999999</v>
      </c>
      <c r="O2482" s="148">
        <f>IFERROR(__xludf.DUMMYFUNCTION("""COMPUTED_VALUE"""),99999.0)</f>
        <v>99999</v>
      </c>
      <c r="P2482" s="148">
        <f>IFERROR(__xludf.DUMMYFUNCTION("""COMPUTED_VALUE"""),99999.0)</f>
        <v>99999</v>
      </c>
      <c r="Q2482" s="148" t="str">
        <f>IFERROR(__xludf.DUMMYFUNCTION("""COMPUTED_VALUE"""),"[""bag_other""]")</f>
        <v>["bag_other"]</v>
      </c>
      <c r="R2482" s="148" t="str">
        <f>IFERROR(__xludf.DUMMYFUNCTION("""COMPUTED_VALUE"""),"[]")</f>
        <v>[]</v>
      </c>
      <c r="S2482" s="148" t="str">
        <f>IFERROR(__xludf.DUMMYFUNCTION("""COMPUTED_VALUE"""),"{}")</f>
        <v>{}</v>
      </c>
      <c r="T2482" s="148">
        <f>IFERROR(__xludf.DUMMYFUNCTION("""COMPUTED_VALUE"""),-1.0)</f>
        <v>-1</v>
      </c>
      <c r="U2482" s="148">
        <f>IFERROR(__xludf.DUMMYFUNCTION("""COMPUTED_VALUE"""),0.0)</f>
        <v>0</v>
      </c>
      <c r="V2482" s="148" t="str">
        <f>IFERROR(__xludf.DUMMYFUNCTION("""COMPUTED_VALUE"""),"[]")</f>
        <v>[]</v>
      </c>
      <c r="W2482" s="148">
        <f>IFERROR(__xludf.DUMMYFUNCTION("""COMPUTED_VALUE"""),1.174E7)</f>
        <v>11740000</v>
      </c>
      <c r="X2482" s="148">
        <f>IFERROR(__xludf.DUMMYFUNCTION("""COMPUTED_VALUE"""),0.0)</f>
        <v>0</v>
      </c>
      <c r="Y2482" s="148">
        <f>IFERROR(__xludf.DUMMYFUNCTION("""COMPUTED_VALUE"""),0.0)</f>
        <v>0</v>
      </c>
      <c r="Z2482" s="148"/>
    </row>
    <row r="2483">
      <c r="A2483" s="148">
        <f>IFERROR(__xludf.DUMMYFUNCTION("""COMPUTED_VALUE"""),1.1119418E7)</f>
        <v>11119418</v>
      </c>
      <c r="B2483" s="148" t="str">
        <f>IFERROR(__xludf.DUMMYFUNCTION("""COMPUTED_VALUE"""),"S300任务+赠礼系统（生命周期）-兑换代币")</f>
        <v>S300任务+赠礼系统（生命周期）-兑换代币</v>
      </c>
      <c r="C2483" s="148"/>
      <c r="D2483" s="148" t="str">
        <f>IFERROR(__xludf.DUMMYFUNCTION("""COMPUTED_VALUE"""),"event")</f>
        <v>event</v>
      </c>
      <c r="E2483" s="148">
        <f>IFERROR(__xludf.DUMMYFUNCTION("""COMPUTED_VALUE"""),0.0)</f>
        <v>0</v>
      </c>
      <c r="F2483" s="148">
        <f>IFERROR(__xludf.DUMMYFUNCTION("""COMPUTED_VALUE"""),413004.0)</f>
        <v>413004</v>
      </c>
      <c r="G2483" s="148">
        <f>IFERROR(__xludf.DUMMYFUNCTION("""COMPUTED_VALUE"""),1.51101087E8)</f>
        <v>151101087</v>
      </c>
      <c r="H2483" s="148">
        <f>IFERROR(__xludf.DUMMYFUNCTION("""COMPUTED_VALUE"""),1.5112563E7)</f>
        <v>15112563</v>
      </c>
      <c r="I2483" s="148" t="str">
        <f>IFERROR(__xludf.DUMMYFUNCTION("""COMPUTED_VALUE"""),"{}")</f>
        <v>{}</v>
      </c>
      <c r="J2483" s="148" t="str">
        <f>IFERROR(__xludf.DUMMYFUNCTION("""COMPUTED_VALUE"""),"{""typ"":""lc"",""txt"":""LC_ITEM_s300_gift_exchange_coupon_name""}")</f>
        <v>{"typ":"lc","txt":"LC_ITEM_s300_gift_exchange_coupon_name"}</v>
      </c>
      <c r="K2483" s="148" t="str">
        <f>IFERROR(__xludf.DUMMYFUNCTION("""COMPUTED_VALUE"""),"{""typ"":""lc"",""txt"":""LC_ITEM_s300_gift_exchange_coupon_desc""}")</f>
        <v>{"typ":"lc","txt":"LC_ITEM_s300_gift_exchange_coupon_desc"}</v>
      </c>
      <c r="L2483" s="148" t="str">
        <f>IFERROR(__xludf.DUMMYFUNCTION("""COMPUTED_VALUE"""),"{}")</f>
        <v>{}</v>
      </c>
      <c r="M2483" s="148">
        <f>IFERROR(__xludf.DUMMYFUNCTION("""COMPUTED_VALUE"""),15.0)</f>
        <v>15</v>
      </c>
      <c r="N2483" s="148">
        <f>IFERROR(__xludf.DUMMYFUNCTION("""COMPUTED_VALUE"""),9999999.0)</f>
        <v>9999999</v>
      </c>
      <c r="O2483" s="148">
        <f>IFERROR(__xludf.DUMMYFUNCTION("""COMPUTED_VALUE"""),99999.0)</f>
        <v>99999</v>
      </c>
      <c r="P2483" s="148">
        <f>IFERROR(__xludf.DUMMYFUNCTION("""COMPUTED_VALUE"""),99999.0)</f>
        <v>99999</v>
      </c>
      <c r="Q2483" s="148" t="str">
        <f>IFERROR(__xludf.DUMMYFUNCTION("""COMPUTED_VALUE"""),"[""bag_other""]")</f>
        <v>["bag_other"]</v>
      </c>
      <c r="R2483" s="148" t="str">
        <f>IFERROR(__xludf.DUMMYFUNCTION("""COMPUTED_VALUE"""),"[]")</f>
        <v>[]</v>
      </c>
      <c r="S2483" s="148" t="str">
        <f>IFERROR(__xludf.DUMMYFUNCTION("""COMPUTED_VALUE"""),"{}")</f>
        <v>{}</v>
      </c>
      <c r="T2483" s="148">
        <f>IFERROR(__xludf.DUMMYFUNCTION("""COMPUTED_VALUE"""),-1.0)</f>
        <v>-1</v>
      </c>
      <c r="U2483" s="148">
        <f>IFERROR(__xludf.DUMMYFUNCTION("""COMPUTED_VALUE"""),0.0)</f>
        <v>0</v>
      </c>
      <c r="V2483" s="148" t="str">
        <f>IFERROR(__xludf.DUMMYFUNCTION("""COMPUTED_VALUE"""),"[]")</f>
        <v>[]</v>
      </c>
      <c r="W2483" s="148">
        <f>IFERROR(__xludf.DUMMYFUNCTION("""COMPUTED_VALUE"""),1.174E7)</f>
        <v>11740000</v>
      </c>
      <c r="X2483" s="148">
        <f>IFERROR(__xludf.DUMMYFUNCTION("""COMPUTED_VALUE"""),0.0)</f>
        <v>0</v>
      </c>
      <c r="Y2483" s="148">
        <f>IFERROR(__xludf.DUMMYFUNCTION("""COMPUTED_VALUE"""),0.0)</f>
        <v>0</v>
      </c>
      <c r="Z2483" s="148"/>
    </row>
    <row r="2484">
      <c r="A2484" s="148">
        <f>IFERROR(__xludf.DUMMYFUNCTION("""COMPUTED_VALUE"""),1.1119419E7)</f>
        <v>11119419</v>
      </c>
      <c r="B2484" s="148" t="str">
        <f>IFERROR(__xludf.DUMMYFUNCTION("""COMPUTED_VALUE"""),"S300一次性周卡2升级道具")</f>
        <v>S300一次性周卡2升级道具</v>
      </c>
      <c r="C2484" s="148"/>
      <c r="D2484" s="148" t="str">
        <f>IFERROR(__xludf.DUMMYFUNCTION("""COMPUTED_VALUE"""),"battle_pass_exp")</f>
        <v>battle_pass_exp</v>
      </c>
      <c r="E2484" s="148">
        <f>IFERROR(__xludf.DUMMYFUNCTION("""COMPUTED_VALUE"""),0.0)</f>
        <v>0</v>
      </c>
      <c r="F2484" s="148">
        <f>IFERROR(__xludf.DUMMYFUNCTION("""COMPUTED_VALUE"""),405225.0)</f>
        <v>405225</v>
      </c>
      <c r="G2484" s="148">
        <f>IFERROR(__xludf.DUMMYFUNCTION("""COMPUTED_VALUE"""),1.5110096E8)</f>
        <v>151100960</v>
      </c>
      <c r="H2484" s="148">
        <f>IFERROR(__xludf.DUMMYFUNCTION("""COMPUTED_VALUE"""),1.5112563E7)</f>
        <v>15112563</v>
      </c>
      <c r="I2484" s="148" t="str">
        <f>IFERROR(__xludf.DUMMYFUNCTION("""COMPUTED_VALUE"""),"{}")</f>
        <v>{}</v>
      </c>
      <c r="J2484" s="148" t="str">
        <f>IFERROR(__xludf.DUMMYFUNCTION("""COMPUTED_VALUE"""),"{""typ"":""lc"",""txt"":""LC_ITEM_s300_weekly_card_lvlup_name""}")</f>
        <v>{"typ":"lc","txt":"LC_ITEM_s300_weekly_card_lvlup_name"}</v>
      </c>
      <c r="K2484" s="148" t="str">
        <f>IFERROR(__xludf.DUMMYFUNCTION("""COMPUTED_VALUE"""),"{""typ"":""lc"",""txt"":""LC_ITEM_s300_weekly_card_lvlup_desc""}")</f>
        <v>{"typ":"lc","txt":"LC_ITEM_s300_weekly_card_lvlup_desc"}</v>
      </c>
      <c r="L2484" s="148" t="str">
        <f>IFERROR(__xludf.DUMMYFUNCTION("""COMPUTED_VALUE"""),"{}")</f>
        <v>{}</v>
      </c>
      <c r="M2484" s="148">
        <f>IFERROR(__xludf.DUMMYFUNCTION("""COMPUTED_VALUE"""),35.0)</f>
        <v>35</v>
      </c>
      <c r="N2484" s="148">
        <f>IFERROR(__xludf.DUMMYFUNCTION("""COMPUTED_VALUE"""),999999.0)</f>
        <v>999999</v>
      </c>
      <c r="O2484" s="148">
        <f>IFERROR(__xludf.DUMMYFUNCTION("""COMPUTED_VALUE"""),99999.0)</f>
        <v>99999</v>
      </c>
      <c r="P2484" s="148">
        <f>IFERROR(__xludf.DUMMYFUNCTION("""COMPUTED_VALUE"""),99999.0)</f>
        <v>99999</v>
      </c>
      <c r="Q2484" s="148" t="str">
        <f>IFERROR(__xludf.DUMMYFUNCTION("""COMPUTED_VALUE"""),"[""bag_other""]")</f>
        <v>["bag_other"]</v>
      </c>
      <c r="R2484" s="148" t="str">
        <f>IFERROR(__xludf.DUMMYFUNCTION("""COMPUTED_VALUE"""),"[""bag""]")</f>
        <v>["bag"]</v>
      </c>
      <c r="S2484" s="148" t="str">
        <f>IFERROR(__xludf.DUMMYFUNCTION("""COMPUTED_VALUE"""),"{}")</f>
        <v>{}</v>
      </c>
      <c r="T2484" s="148">
        <f>IFERROR(__xludf.DUMMYFUNCTION("""COMPUTED_VALUE"""),-1.0)</f>
        <v>-1</v>
      </c>
      <c r="U2484" s="148">
        <f>IFERROR(__xludf.DUMMYFUNCTION("""COMPUTED_VALUE"""),1.0)</f>
        <v>1</v>
      </c>
      <c r="V2484" s="148" t="str">
        <f>IFERROR(__xludf.DUMMYFUNCTION("""COMPUTED_VALUE"""),"[]")</f>
        <v>[]</v>
      </c>
      <c r="W2484" s="148">
        <f>IFERROR(__xludf.DUMMYFUNCTION("""COMPUTED_VALUE"""),1.174E7)</f>
        <v>11740000</v>
      </c>
      <c r="X2484" s="148">
        <f>IFERROR(__xludf.DUMMYFUNCTION("""COMPUTED_VALUE"""),0.0)</f>
        <v>0</v>
      </c>
      <c r="Y2484" s="148">
        <f>IFERROR(__xludf.DUMMYFUNCTION("""COMPUTED_VALUE"""),0.0)</f>
        <v>0</v>
      </c>
      <c r="Z2484" s="148"/>
    </row>
    <row r="2485">
      <c r="A2485" s="148">
        <f>IFERROR(__xludf.DUMMYFUNCTION("""COMPUTED_VALUE"""),1.111942E7)</f>
        <v>11119420</v>
      </c>
      <c r="B2485" s="148" t="str">
        <f>IFERROR(__xludf.DUMMYFUNCTION("""COMPUTED_VALUE"""),"S300一次性周卡3升级道具")</f>
        <v>S300一次性周卡3升级道具</v>
      </c>
      <c r="C2485" s="148"/>
      <c r="D2485" s="148" t="str">
        <f>IFERROR(__xludf.DUMMYFUNCTION("""COMPUTED_VALUE"""),"battle_pass_exp")</f>
        <v>battle_pass_exp</v>
      </c>
      <c r="E2485" s="148">
        <f>IFERROR(__xludf.DUMMYFUNCTION("""COMPUTED_VALUE"""),0.0)</f>
        <v>0</v>
      </c>
      <c r="F2485" s="148">
        <f>IFERROR(__xludf.DUMMYFUNCTION("""COMPUTED_VALUE"""),405225.0)</f>
        <v>405225</v>
      </c>
      <c r="G2485" s="148">
        <f>IFERROR(__xludf.DUMMYFUNCTION("""COMPUTED_VALUE"""),1.51100961E8)</f>
        <v>151100961</v>
      </c>
      <c r="H2485" s="148">
        <f>IFERROR(__xludf.DUMMYFUNCTION("""COMPUTED_VALUE"""),1.5112563E7)</f>
        <v>15112563</v>
      </c>
      <c r="I2485" s="148" t="str">
        <f>IFERROR(__xludf.DUMMYFUNCTION("""COMPUTED_VALUE"""),"{}")</f>
        <v>{}</v>
      </c>
      <c r="J2485" s="148" t="str">
        <f>IFERROR(__xludf.DUMMYFUNCTION("""COMPUTED_VALUE"""),"{""typ"":""lc"",""txt"":""LC_ITEM_s300_weekly_card_lvlup_name""}")</f>
        <v>{"typ":"lc","txt":"LC_ITEM_s300_weekly_card_lvlup_name"}</v>
      </c>
      <c r="K2485" s="148" t="str">
        <f>IFERROR(__xludf.DUMMYFUNCTION("""COMPUTED_VALUE"""),"{""typ"":""lc"",""txt"":""LC_ITEM_s300_weekly_card_lvlup_desc""}")</f>
        <v>{"typ":"lc","txt":"LC_ITEM_s300_weekly_card_lvlup_desc"}</v>
      </c>
      <c r="L2485" s="148" t="str">
        <f>IFERROR(__xludf.DUMMYFUNCTION("""COMPUTED_VALUE"""),"{}")</f>
        <v>{}</v>
      </c>
      <c r="M2485" s="148">
        <f>IFERROR(__xludf.DUMMYFUNCTION("""COMPUTED_VALUE"""),35.0)</f>
        <v>35</v>
      </c>
      <c r="N2485" s="148">
        <f>IFERROR(__xludf.DUMMYFUNCTION("""COMPUTED_VALUE"""),999999.0)</f>
        <v>999999</v>
      </c>
      <c r="O2485" s="148">
        <f>IFERROR(__xludf.DUMMYFUNCTION("""COMPUTED_VALUE"""),99999.0)</f>
        <v>99999</v>
      </c>
      <c r="P2485" s="148">
        <f>IFERROR(__xludf.DUMMYFUNCTION("""COMPUTED_VALUE"""),99999.0)</f>
        <v>99999</v>
      </c>
      <c r="Q2485" s="148" t="str">
        <f>IFERROR(__xludf.DUMMYFUNCTION("""COMPUTED_VALUE"""),"[""bag_other""]")</f>
        <v>["bag_other"]</v>
      </c>
      <c r="R2485" s="148" t="str">
        <f>IFERROR(__xludf.DUMMYFUNCTION("""COMPUTED_VALUE"""),"[""bag""]")</f>
        <v>["bag"]</v>
      </c>
      <c r="S2485" s="148" t="str">
        <f>IFERROR(__xludf.DUMMYFUNCTION("""COMPUTED_VALUE"""),"{}")</f>
        <v>{}</v>
      </c>
      <c r="T2485" s="148">
        <f>IFERROR(__xludf.DUMMYFUNCTION("""COMPUTED_VALUE"""),-1.0)</f>
        <v>-1</v>
      </c>
      <c r="U2485" s="148">
        <f>IFERROR(__xludf.DUMMYFUNCTION("""COMPUTED_VALUE"""),1.0)</f>
        <v>1</v>
      </c>
      <c r="V2485" s="148" t="str">
        <f>IFERROR(__xludf.DUMMYFUNCTION("""COMPUTED_VALUE"""),"[]")</f>
        <v>[]</v>
      </c>
      <c r="W2485" s="148">
        <f>IFERROR(__xludf.DUMMYFUNCTION("""COMPUTED_VALUE"""),1.174E7)</f>
        <v>11740000</v>
      </c>
      <c r="X2485" s="148">
        <f>IFERROR(__xludf.DUMMYFUNCTION("""COMPUTED_VALUE"""),0.0)</f>
        <v>0</v>
      </c>
      <c r="Y2485" s="148">
        <f>IFERROR(__xludf.DUMMYFUNCTION("""COMPUTED_VALUE"""),0.0)</f>
        <v>0</v>
      </c>
      <c r="Z2485" s="148"/>
    </row>
    <row r="2486">
      <c r="A2486" s="148">
        <f>IFERROR(__xludf.DUMMYFUNCTION("""COMPUTED_VALUE"""),1.1119421E7)</f>
        <v>11119421</v>
      </c>
      <c r="B2486" s="148" t="str">
        <f>IFERROR(__xludf.DUMMYFUNCTION("""COMPUTED_VALUE"""),"S300任务+赠礼系统（生命周期）-双倍buff")</f>
        <v>S300任务+赠礼系统（生命周期）-双倍buff</v>
      </c>
      <c r="C2486" s="148"/>
      <c r="D2486" s="148" t="str">
        <f>IFERROR(__xludf.DUMMYFUNCTION("""COMPUTED_VALUE"""),"item_buff")</f>
        <v>item_buff</v>
      </c>
      <c r="E2486" s="148">
        <f>IFERROR(__xludf.DUMMYFUNCTION("""COMPUTED_VALUE"""),14.0)</f>
        <v>14</v>
      </c>
      <c r="F2486" s="148">
        <f>IFERROR(__xludf.DUMMYFUNCTION("""COMPUTED_VALUE"""),300501.0)</f>
        <v>300501</v>
      </c>
      <c r="G2486" s="148">
        <f>IFERROR(__xludf.DUMMYFUNCTION("""COMPUTED_VALUE"""),1.51101017E8)</f>
        <v>151101017</v>
      </c>
      <c r="H2486" s="148">
        <f>IFERROR(__xludf.DUMMYFUNCTION("""COMPUTED_VALUE"""),1.5112564E7)</f>
        <v>15112564</v>
      </c>
      <c r="I2486" s="148" t="str">
        <f>IFERROR(__xludf.DUMMYFUNCTION("""COMPUTED_VALUE"""),"{}")</f>
        <v>{}</v>
      </c>
      <c r="J2486" s="148" t="str">
        <f>IFERROR(__xludf.DUMMYFUNCTION("""COMPUTED_VALUE"""),"{""typ"":""lc"",""txt"":""LC_ITEM_s300_gift_exchange_double_bonus_item_name""}")</f>
        <v>{"typ":"lc","txt":"LC_ITEM_s300_gift_exchange_double_bonus_item_name"}</v>
      </c>
      <c r="K2486" s="148" t="str">
        <f>IFERROR(__xludf.DUMMYFUNCTION("""COMPUTED_VALUE"""),"{""typ"":""lc"",""txt"":""LC_ITEM_s300_gift_exchange_double_bonus_item_desc""}")</f>
        <v>{"typ":"lc","txt":"LC_ITEM_s300_gift_exchange_double_bonus_item_desc"}</v>
      </c>
      <c r="L2486" s="148" t="str">
        <f>IFERROR(__xludf.DUMMYFUNCTION("""COMPUTED_VALUE"""),"{}")</f>
        <v>{}</v>
      </c>
      <c r="M2486" s="148">
        <f>IFERROR(__xludf.DUMMYFUNCTION("""COMPUTED_VALUE"""),50000.0)</f>
        <v>50000</v>
      </c>
      <c r="N2486" s="148">
        <f>IFERROR(__xludf.DUMMYFUNCTION("""COMPUTED_VALUE"""),999999.0)</f>
        <v>999999</v>
      </c>
      <c r="O2486" s="148">
        <f>IFERROR(__xludf.DUMMYFUNCTION("""COMPUTED_VALUE"""),99999.0)</f>
        <v>99999</v>
      </c>
      <c r="P2486" s="148">
        <f>IFERROR(__xludf.DUMMYFUNCTION("""COMPUTED_VALUE"""),1.0)</f>
        <v>1</v>
      </c>
      <c r="Q2486" s="148" t="str">
        <f>IFERROR(__xludf.DUMMYFUNCTION("""COMPUTED_VALUE"""),"[]")</f>
        <v>[]</v>
      </c>
      <c r="R2486" s="148" t="str">
        <f>IFERROR(__xludf.DUMMYFUNCTION("""COMPUTED_VALUE"""),"[]")</f>
        <v>[]</v>
      </c>
      <c r="S2486" s="148" t="str">
        <f>IFERROR(__xludf.DUMMYFUNCTION("""COMPUTED_VALUE"""),"{""effect"":[{""typ"":""buff"",""id"":121140844,""val"":604800000,""arg1"":1}]}")</f>
        <v>{"effect":[{"typ":"buff","id":121140844,"val":604800000,"arg1":1}]}</v>
      </c>
      <c r="T2486" s="148">
        <f>IFERROR(__xludf.DUMMYFUNCTION("""COMPUTED_VALUE"""),-1.0)</f>
        <v>-1</v>
      </c>
      <c r="U2486" s="148">
        <f>IFERROR(__xludf.DUMMYFUNCTION("""COMPUTED_VALUE"""),1.0)</f>
        <v>1</v>
      </c>
      <c r="V2486" s="148" t="str">
        <f>IFERROR(__xludf.DUMMYFUNCTION("""COMPUTED_VALUE"""),"[]")</f>
        <v>[]</v>
      </c>
      <c r="W2486" s="148">
        <f>IFERROR(__xludf.DUMMYFUNCTION("""COMPUTED_VALUE"""),1.174E7)</f>
        <v>11740000</v>
      </c>
      <c r="X2486" s="148">
        <f>IFERROR(__xludf.DUMMYFUNCTION("""COMPUTED_VALUE"""),0.0)</f>
        <v>0</v>
      </c>
      <c r="Y2486" s="148">
        <f>IFERROR(__xludf.DUMMYFUNCTION("""COMPUTED_VALUE"""),0.0)</f>
        <v>0</v>
      </c>
      <c r="Z2486" s="148"/>
    </row>
    <row r="2487">
      <c r="A2487" s="148">
        <f>IFERROR(__xludf.DUMMYFUNCTION("""COMPUTED_VALUE"""),1.1119422E7)</f>
        <v>11119422</v>
      </c>
      <c r="B2487" s="148" t="str">
        <f>IFERROR(__xludf.DUMMYFUNCTION("""COMPUTED_VALUE"""),"S300一次性周卡1解锁道具")</f>
        <v>S300一次性周卡1解锁道具</v>
      </c>
      <c r="C2487" s="148"/>
      <c r="D2487" s="148" t="str">
        <f>IFERROR(__xludf.DUMMYFUNCTION("""COMPUTED_VALUE"""),"battle_pass_card")</f>
        <v>battle_pass_card</v>
      </c>
      <c r="E2487" s="148">
        <f>IFERROR(__xludf.DUMMYFUNCTION("""COMPUTED_VALUE"""),0.0)</f>
        <v>0</v>
      </c>
      <c r="F2487" s="148">
        <f>IFERROR(__xludf.DUMMYFUNCTION("""COMPUTED_VALUE"""),0.0)</f>
        <v>0</v>
      </c>
      <c r="G2487" s="148">
        <f>IFERROR(__xludf.DUMMYFUNCTION("""COMPUTED_VALUE"""),1.51101017E8)</f>
        <v>151101017</v>
      </c>
      <c r="H2487" s="148">
        <f>IFERROR(__xludf.DUMMYFUNCTION("""COMPUTED_VALUE"""),1.5112564E7)</f>
        <v>15112564</v>
      </c>
      <c r="I2487" s="148" t="str">
        <f>IFERROR(__xludf.DUMMYFUNCTION("""COMPUTED_VALUE"""),"{}")</f>
        <v>{}</v>
      </c>
      <c r="J2487" s="148" t="str">
        <f>IFERROR(__xludf.DUMMYFUNCTION("""COMPUTED_VALUE"""),"{""typ"":""lc"",""txt"":""LC_EVENT_d128_equip_weekly_card_name""}")</f>
        <v>{"typ":"lc","txt":"LC_EVENT_d128_equip_weekly_card_name"}</v>
      </c>
      <c r="K2487" s="148" t="str">
        <f>IFERROR(__xludf.DUMMYFUNCTION("""COMPUTED_VALUE"""),"{}")</f>
        <v>{}</v>
      </c>
      <c r="L2487" s="148" t="str">
        <f>IFERROR(__xludf.DUMMYFUNCTION("""COMPUTED_VALUE"""),"{}")</f>
        <v>{}</v>
      </c>
      <c r="M2487" s="148">
        <f>IFERROR(__xludf.DUMMYFUNCTION("""COMPUTED_VALUE"""),10.0)</f>
        <v>10</v>
      </c>
      <c r="N2487" s="148">
        <f>IFERROR(__xludf.DUMMYFUNCTION("""COMPUTED_VALUE"""),999999.0)</f>
        <v>999999</v>
      </c>
      <c r="O2487" s="148">
        <f>IFERROR(__xludf.DUMMYFUNCTION("""COMPUTED_VALUE"""),99999.0)</f>
        <v>99999</v>
      </c>
      <c r="P2487" s="148">
        <f>IFERROR(__xludf.DUMMYFUNCTION("""COMPUTED_VALUE"""),9999.0)</f>
        <v>9999</v>
      </c>
      <c r="Q2487" s="148" t="str">
        <f>IFERROR(__xludf.DUMMYFUNCTION("""COMPUTED_VALUE"""),"[]")</f>
        <v>[]</v>
      </c>
      <c r="R2487" s="148" t="str">
        <f>IFERROR(__xludf.DUMMYFUNCTION("""COMPUTED_VALUE"""),"[]")</f>
        <v>[]</v>
      </c>
      <c r="S2487" s="148" t="str">
        <f>IFERROR(__xludf.DUMMYFUNCTION("""COMPUTED_VALUE"""),"{}")</f>
        <v>{}</v>
      </c>
      <c r="T2487" s="148">
        <f>IFERROR(__xludf.DUMMYFUNCTION("""COMPUTED_VALUE"""),-1.0)</f>
        <v>-1</v>
      </c>
      <c r="U2487" s="148">
        <f>IFERROR(__xludf.DUMMYFUNCTION("""COMPUTED_VALUE"""),1.0)</f>
        <v>1</v>
      </c>
      <c r="V2487" s="148" t="str">
        <f>IFERROR(__xludf.DUMMYFUNCTION("""COMPUTED_VALUE"""),"[]")</f>
        <v>[]</v>
      </c>
      <c r="W2487" s="148">
        <f>IFERROR(__xludf.DUMMYFUNCTION("""COMPUTED_VALUE"""),1.174E7)</f>
        <v>11740000</v>
      </c>
      <c r="X2487" s="148">
        <f>IFERROR(__xludf.DUMMYFUNCTION("""COMPUTED_VALUE"""),0.0)</f>
        <v>0</v>
      </c>
      <c r="Y2487" s="148">
        <f>IFERROR(__xludf.DUMMYFUNCTION("""COMPUTED_VALUE"""),0.0)</f>
        <v>0</v>
      </c>
      <c r="Z2487" s="148"/>
    </row>
    <row r="2488">
      <c r="A2488" s="148">
        <f>IFERROR(__xludf.DUMMYFUNCTION("""COMPUTED_VALUE"""),1.1119423E7)</f>
        <v>11119423</v>
      </c>
      <c r="B2488" s="148" t="str">
        <f>IFERROR(__xludf.DUMMYFUNCTION("""COMPUTED_VALUE"""),"S300一次性周卡2解锁道具")</f>
        <v>S300一次性周卡2解锁道具</v>
      </c>
      <c r="C2488" s="148"/>
      <c r="D2488" s="148" t="str">
        <f>IFERROR(__xludf.DUMMYFUNCTION("""COMPUTED_VALUE"""),"battle_pass_card")</f>
        <v>battle_pass_card</v>
      </c>
      <c r="E2488" s="148">
        <f>IFERROR(__xludf.DUMMYFUNCTION("""COMPUTED_VALUE"""),0.0)</f>
        <v>0</v>
      </c>
      <c r="F2488" s="148">
        <f>IFERROR(__xludf.DUMMYFUNCTION("""COMPUTED_VALUE"""),0.0)</f>
        <v>0</v>
      </c>
      <c r="G2488" s="148">
        <f>IFERROR(__xludf.DUMMYFUNCTION("""COMPUTED_VALUE"""),1.51101017E8)</f>
        <v>151101017</v>
      </c>
      <c r="H2488" s="148">
        <f>IFERROR(__xludf.DUMMYFUNCTION("""COMPUTED_VALUE"""),1.5112564E7)</f>
        <v>15112564</v>
      </c>
      <c r="I2488" s="148" t="str">
        <f>IFERROR(__xludf.DUMMYFUNCTION("""COMPUTED_VALUE"""),"{}")</f>
        <v>{}</v>
      </c>
      <c r="J2488" s="148" t="str">
        <f>IFERROR(__xludf.DUMMYFUNCTION("""COMPUTED_VALUE"""),"{""typ"":""lc"",""txt"":""LC_EVENT_d128_equip_weekly_card_name""}")</f>
        <v>{"typ":"lc","txt":"LC_EVENT_d128_equip_weekly_card_name"}</v>
      </c>
      <c r="K2488" s="148" t="str">
        <f>IFERROR(__xludf.DUMMYFUNCTION("""COMPUTED_VALUE"""),"{}")</f>
        <v>{}</v>
      </c>
      <c r="L2488" s="148" t="str">
        <f>IFERROR(__xludf.DUMMYFUNCTION("""COMPUTED_VALUE"""),"{}")</f>
        <v>{}</v>
      </c>
      <c r="M2488" s="148">
        <f>IFERROR(__xludf.DUMMYFUNCTION("""COMPUTED_VALUE"""),10.0)</f>
        <v>10</v>
      </c>
      <c r="N2488" s="148">
        <f>IFERROR(__xludf.DUMMYFUNCTION("""COMPUTED_VALUE"""),999999.0)</f>
        <v>999999</v>
      </c>
      <c r="O2488" s="148">
        <f>IFERROR(__xludf.DUMMYFUNCTION("""COMPUTED_VALUE"""),99999.0)</f>
        <v>99999</v>
      </c>
      <c r="P2488" s="148">
        <f>IFERROR(__xludf.DUMMYFUNCTION("""COMPUTED_VALUE"""),9999.0)</f>
        <v>9999</v>
      </c>
      <c r="Q2488" s="148" t="str">
        <f>IFERROR(__xludf.DUMMYFUNCTION("""COMPUTED_VALUE"""),"[]")</f>
        <v>[]</v>
      </c>
      <c r="R2488" s="148" t="str">
        <f>IFERROR(__xludf.DUMMYFUNCTION("""COMPUTED_VALUE"""),"[]")</f>
        <v>[]</v>
      </c>
      <c r="S2488" s="148" t="str">
        <f>IFERROR(__xludf.DUMMYFUNCTION("""COMPUTED_VALUE"""),"{}")</f>
        <v>{}</v>
      </c>
      <c r="T2488" s="148">
        <f>IFERROR(__xludf.DUMMYFUNCTION("""COMPUTED_VALUE"""),-1.0)</f>
        <v>-1</v>
      </c>
      <c r="U2488" s="148">
        <f>IFERROR(__xludf.DUMMYFUNCTION("""COMPUTED_VALUE"""),1.0)</f>
        <v>1</v>
      </c>
      <c r="V2488" s="148" t="str">
        <f>IFERROR(__xludf.DUMMYFUNCTION("""COMPUTED_VALUE"""),"[]")</f>
        <v>[]</v>
      </c>
      <c r="W2488" s="148">
        <f>IFERROR(__xludf.DUMMYFUNCTION("""COMPUTED_VALUE"""),1.174E7)</f>
        <v>11740000</v>
      </c>
      <c r="X2488" s="148">
        <f>IFERROR(__xludf.DUMMYFUNCTION("""COMPUTED_VALUE"""),0.0)</f>
        <v>0</v>
      </c>
      <c r="Y2488" s="148">
        <f>IFERROR(__xludf.DUMMYFUNCTION("""COMPUTED_VALUE"""),0.0)</f>
        <v>0</v>
      </c>
      <c r="Z2488" s="148"/>
    </row>
    <row r="2489">
      <c r="A2489" s="148">
        <f>IFERROR(__xludf.DUMMYFUNCTION("""COMPUTED_VALUE"""),1.1119424E7)</f>
        <v>11119424</v>
      </c>
      <c r="B2489" s="148" t="str">
        <f>IFERROR(__xludf.DUMMYFUNCTION("""COMPUTED_VALUE"""),"S300一次性周卡3解锁道具")</f>
        <v>S300一次性周卡3解锁道具</v>
      </c>
      <c r="C2489" s="148"/>
      <c r="D2489" s="148" t="str">
        <f>IFERROR(__xludf.DUMMYFUNCTION("""COMPUTED_VALUE"""),"battle_pass_card")</f>
        <v>battle_pass_card</v>
      </c>
      <c r="E2489" s="148">
        <f>IFERROR(__xludf.DUMMYFUNCTION("""COMPUTED_VALUE"""),0.0)</f>
        <v>0</v>
      </c>
      <c r="F2489" s="148">
        <f>IFERROR(__xludf.DUMMYFUNCTION("""COMPUTED_VALUE"""),0.0)</f>
        <v>0</v>
      </c>
      <c r="G2489" s="148">
        <f>IFERROR(__xludf.DUMMYFUNCTION("""COMPUTED_VALUE"""),1.51101017E8)</f>
        <v>151101017</v>
      </c>
      <c r="H2489" s="148">
        <f>IFERROR(__xludf.DUMMYFUNCTION("""COMPUTED_VALUE"""),1.5112564E7)</f>
        <v>15112564</v>
      </c>
      <c r="I2489" s="148" t="str">
        <f>IFERROR(__xludf.DUMMYFUNCTION("""COMPUTED_VALUE"""),"{}")</f>
        <v>{}</v>
      </c>
      <c r="J2489" s="148" t="str">
        <f>IFERROR(__xludf.DUMMYFUNCTION("""COMPUTED_VALUE"""),"{""typ"":""lc"",""txt"":""LC_EVENT_d128_equip_weekly_card_name""}")</f>
        <v>{"typ":"lc","txt":"LC_EVENT_d128_equip_weekly_card_name"}</v>
      </c>
      <c r="K2489" s="148" t="str">
        <f>IFERROR(__xludf.DUMMYFUNCTION("""COMPUTED_VALUE"""),"{}")</f>
        <v>{}</v>
      </c>
      <c r="L2489" s="148" t="str">
        <f>IFERROR(__xludf.DUMMYFUNCTION("""COMPUTED_VALUE"""),"{}")</f>
        <v>{}</v>
      </c>
      <c r="M2489" s="148">
        <f>IFERROR(__xludf.DUMMYFUNCTION("""COMPUTED_VALUE"""),10.0)</f>
        <v>10</v>
      </c>
      <c r="N2489" s="148">
        <f>IFERROR(__xludf.DUMMYFUNCTION("""COMPUTED_VALUE"""),999999.0)</f>
        <v>999999</v>
      </c>
      <c r="O2489" s="148">
        <f>IFERROR(__xludf.DUMMYFUNCTION("""COMPUTED_VALUE"""),99999.0)</f>
        <v>99999</v>
      </c>
      <c r="P2489" s="148">
        <f>IFERROR(__xludf.DUMMYFUNCTION("""COMPUTED_VALUE"""),9999.0)</f>
        <v>9999</v>
      </c>
      <c r="Q2489" s="148" t="str">
        <f>IFERROR(__xludf.DUMMYFUNCTION("""COMPUTED_VALUE"""),"[]")</f>
        <v>[]</v>
      </c>
      <c r="R2489" s="148" t="str">
        <f>IFERROR(__xludf.DUMMYFUNCTION("""COMPUTED_VALUE"""),"[]")</f>
        <v>[]</v>
      </c>
      <c r="S2489" s="148" t="str">
        <f>IFERROR(__xludf.DUMMYFUNCTION("""COMPUTED_VALUE"""),"{}")</f>
        <v>{}</v>
      </c>
      <c r="T2489" s="148">
        <f>IFERROR(__xludf.DUMMYFUNCTION("""COMPUTED_VALUE"""),-1.0)</f>
        <v>-1</v>
      </c>
      <c r="U2489" s="148">
        <f>IFERROR(__xludf.DUMMYFUNCTION("""COMPUTED_VALUE"""),1.0)</f>
        <v>1</v>
      </c>
      <c r="V2489" s="148" t="str">
        <f>IFERROR(__xludf.DUMMYFUNCTION("""COMPUTED_VALUE"""),"[]")</f>
        <v>[]</v>
      </c>
      <c r="W2489" s="148">
        <f>IFERROR(__xludf.DUMMYFUNCTION("""COMPUTED_VALUE"""),1.174E7)</f>
        <v>11740000</v>
      </c>
      <c r="X2489" s="148">
        <f>IFERROR(__xludf.DUMMYFUNCTION("""COMPUTED_VALUE"""),0.0)</f>
        <v>0</v>
      </c>
      <c r="Y2489" s="148">
        <f>IFERROR(__xludf.DUMMYFUNCTION("""COMPUTED_VALUE"""),0.0)</f>
        <v>0</v>
      </c>
      <c r="Z2489" s="148"/>
    </row>
    <row r="2490">
      <c r="A2490" s="148">
        <f>IFERROR(__xludf.DUMMYFUNCTION("""COMPUTED_VALUE"""),1.1119425E7)</f>
        <v>11119425</v>
      </c>
      <c r="B2490" s="148" t="str">
        <f>IFERROR(__xludf.DUMMYFUNCTION("""COMPUTED_VALUE"""),"S300赛车-赛车升级")</f>
        <v>S300赛车-赛车升级</v>
      </c>
      <c r="C2490" s="148"/>
      <c r="D2490" s="148" t="str">
        <f>IFERROR(__xludf.DUMMYFUNCTION("""COMPUTED_VALUE"""),"event")</f>
        <v>event</v>
      </c>
      <c r="E2490" s="148">
        <f>IFERROR(__xludf.DUMMYFUNCTION("""COMPUTED_VALUE"""),0.0)</f>
        <v>0</v>
      </c>
      <c r="F2490" s="148">
        <f>IFERROR(__xludf.DUMMYFUNCTION("""COMPUTED_VALUE"""),405221.0)</f>
        <v>405221</v>
      </c>
      <c r="G2490" s="148">
        <f>IFERROR(__xludf.DUMMYFUNCTION("""COMPUTED_VALUE"""),1.51101095E8)</f>
        <v>151101095</v>
      </c>
      <c r="H2490" s="148">
        <f>IFERROR(__xludf.DUMMYFUNCTION("""COMPUTED_VALUE"""),1.5112562E7)</f>
        <v>15112562</v>
      </c>
      <c r="I2490" s="148" t="str">
        <f>IFERROR(__xludf.DUMMYFUNCTION("""COMPUTED_VALUE"""),"{}")</f>
        <v>{}</v>
      </c>
      <c r="J2490" s="148" t="str">
        <f>IFERROR(__xludf.DUMMYFUNCTION("""COMPUTED_VALUE"""),"{""typ"":""lc"",""txt"":""LC_ITEM_race_car_game_upgrade_name""}")</f>
        <v>{"typ":"lc","txt":"LC_ITEM_race_car_game_upgrade_name"}</v>
      </c>
      <c r="K2490" s="148" t="str">
        <f>IFERROR(__xludf.DUMMYFUNCTION("""COMPUTED_VALUE"""),"{""typ"":""lc"",""txt"":""LC_ITEM_race_car_game_upgrade_desc""}")</f>
        <v>{"typ":"lc","txt":"LC_ITEM_race_car_game_upgrade_desc"}</v>
      </c>
      <c r="L2490" s="148" t="str">
        <f>IFERROR(__xludf.DUMMYFUNCTION("""COMPUTED_VALUE"""),"{}")</f>
        <v>{}</v>
      </c>
      <c r="M2490" s="148">
        <f>IFERROR(__xludf.DUMMYFUNCTION("""COMPUTED_VALUE"""),100.0)</f>
        <v>100</v>
      </c>
      <c r="N2490" s="148">
        <f>IFERROR(__xludf.DUMMYFUNCTION("""COMPUTED_VALUE"""),9.99999999E8)</f>
        <v>999999999</v>
      </c>
      <c r="O2490" s="148">
        <f>IFERROR(__xludf.DUMMYFUNCTION("""COMPUTED_VALUE"""),9.99999999E8)</f>
        <v>999999999</v>
      </c>
      <c r="P2490" s="148">
        <f>IFERROR(__xludf.DUMMYFUNCTION("""COMPUTED_VALUE"""),9.99999999E8)</f>
        <v>999999999</v>
      </c>
      <c r="Q2490" s="148" t="str">
        <f>IFERROR(__xludf.DUMMYFUNCTION("""COMPUTED_VALUE"""),"[""bag_other""]")</f>
        <v>["bag_other"]</v>
      </c>
      <c r="R2490" s="148" t="str">
        <f>IFERROR(__xludf.DUMMYFUNCTION("""COMPUTED_VALUE"""),"[]")</f>
        <v>[]</v>
      </c>
      <c r="S2490" s="148" t="str">
        <f>IFERROR(__xludf.DUMMYFUNCTION("""COMPUTED_VALUE"""),"{}")</f>
        <v>{}</v>
      </c>
      <c r="T2490" s="148">
        <f>IFERROR(__xludf.DUMMYFUNCTION("""COMPUTED_VALUE"""),-1.0)</f>
        <v>-1</v>
      </c>
      <c r="U2490" s="148">
        <f>IFERROR(__xludf.DUMMYFUNCTION("""COMPUTED_VALUE"""),0.0)</f>
        <v>0</v>
      </c>
      <c r="V2490" s="148" t="str">
        <f>IFERROR(__xludf.DUMMYFUNCTION("""COMPUTED_VALUE"""),"[]")</f>
        <v>[]</v>
      </c>
      <c r="W2490" s="148">
        <f>IFERROR(__xludf.DUMMYFUNCTION("""COMPUTED_VALUE"""),1.174E7)</f>
        <v>11740000</v>
      </c>
      <c r="X2490" s="148">
        <f>IFERROR(__xludf.DUMMYFUNCTION("""COMPUTED_VALUE"""),0.0)</f>
        <v>0</v>
      </c>
      <c r="Y2490" s="148">
        <f>IFERROR(__xludf.DUMMYFUNCTION("""COMPUTED_VALUE"""),0.0)</f>
        <v>0</v>
      </c>
      <c r="Z2490" s="148"/>
    </row>
    <row r="2491">
      <c r="A2491" s="148">
        <f>IFERROR(__xludf.DUMMYFUNCTION("""COMPUTED_VALUE"""),1.1119426E7)</f>
        <v>11119426</v>
      </c>
      <c r="B2491" s="148" t="str">
        <f>IFERROR(__xludf.DUMMYFUNCTION("""COMPUTED_VALUE"""),"S300赛车-赛车抽奖券低")</f>
        <v>S300赛车-赛车抽奖券低</v>
      </c>
      <c r="C2491" s="148"/>
      <c r="D2491" s="148" t="str">
        <f>IFERROR(__xludf.DUMMYFUNCTION("""COMPUTED_VALUE"""),"event")</f>
        <v>event</v>
      </c>
      <c r="E2491" s="148">
        <f>IFERROR(__xludf.DUMMYFUNCTION("""COMPUTED_VALUE"""),0.0)</f>
        <v>0</v>
      </c>
      <c r="F2491" s="148">
        <f>IFERROR(__xludf.DUMMYFUNCTION("""COMPUTED_VALUE"""),405221.0)</f>
        <v>405221</v>
      </c>
      <c r="G2491" s="148">
        <f>IFERROR(__xludf.DUMMYFUNCTION("""COMPUTED_VALUE"""),1.51101096E8)</f>
        <v>151101096</v>
      </c>
      <c r="H2491" s="148">
        <f>IFERROR(__xludf.DUMMYFUNCTION("""COMPUTED_VALUE"""),1.5112562E7)</f>
        <v>15112562</v>
      </c>
      <c r="I2491" s="148" t="str">
        <f>IFERROR(__xludf.DUMMYFUNCTION("""COMPUTED_VALUE"""),"{}")</f>
        <v>{}</v>
      </c>
      <c r="J2491" s="148" t="str">
        <f>IFERROR(__xludf.DUMMYFUNCTION("""COMPUTED_VALUE"""),"{""typ"":""lc"",""txt"":""LC_ITEM_race_car_game_gacha_1_name""}")</f>
        <v>{"typ":"lc","txt":"LC_ITEM_race_car_game_gacha_1_name"}</v>
      </c>
      <c r="K2491" s="148" t="str">
        <f>IFERROR(__xludf.DUMMYFUNCTION("""COMPUTED_VALUE"""),"{""typ"":""lc"",""txt"":""LC_ITEM_race_car_game_gacha_1_desc""}")</f>
        <v>{"typ":"lc","txt":"LC_ITEM_race_car_game_gacha_1_desc"}</v>
      </c>
      <c r="L2491" s="148" t="str">
        <f>IFERROR(__xludf.DUMMYFUNCTION("""COMPUTED_VALUE"""),"{}")</f>
        <v>{}</v>
      </c>
      <c r="M2491" s="148">
        <f>IFERROR(__xludf.DUMMYFUNCTION("""COMPUTED_VALUE"""),100.0)</f>
        <v>100</v>
      </c>
      <c r="N2491" s="148">
        <f>IFERROR(__xludf.DUMMYFUNCTION("""COMPUTED_VALUE"""),9.99999999E8)</f>
        <v>999999999</v>
      </c>
      <c r="O2491" s="148">
        <f>IFERROR(__xludf.DUMMYFUNCTION("""COMPUTED_VALUE"""),9.99999999E8)</f>
        <v>999999999</v>
      </c>
      <c r="P2491" s="148">
        <f>IFERROR(__xludf.DUMMYFUNCTION("""COMPUTED_VALUE"""),9.99999999E8)</f>
        <v>999999999</v>
      </c>
      <c r="Q2491" s="148" t="str">
        <f>IFERROR(__xludf.DUMMYFUNCTION("""COMPUTED_VALUE"""),"[""bag_other""]")</f>
        <v>["bag_other"]</v>
      </c>
      <c r="R2491" s="148" t="str">
        <f>IFERROR(__xludf.DUMMYFUNCTION("""COMPUTED_VALUE"""),"[]")</f>
        <v>[]</v>
      </c>
      <c r="S2491" s="148" t="str">
        <f>IFERROR(__xludf.DUMMYFUNCTION("""COMPUTED_VALUE"""),"{}")</f>
        <v>{}</v>
      </c>
      <c r="T2491" s="148">
        <f>IFERROR(__xludf.DUMMYFUNCTION("""COMPUTED_VALUE"""),-1.0)</f>
        <v>-1</v>
      </c>
      <c r="U2491" s="148">
        <f>IFERROR(__xludf.DUMMYFUNCTION("""COMPUTED_VALUE"""),0.0)</f>
        <v>0</v>
      </c>
      <c r="V2491" s="148" t="str">
        <f>IFERROR(__xludf.DUMMYFUNCTION("""COMPUTED_VALUE"""),"[]")</f>
        <v>[]</v>
      </c>
      <c r="W2491" s="148">
        <f>IFERROR(__xludf.DUMMYFUNCTION("""COMPUTED_VALUE"""),1.174E7)</f>
        <v>11740000</v>
      </c>
      <c r="X2491" s="148">
        <f>IFERROR(__xludf.DUMMYFUNCTION("""COMPUTED_VALUE"""),0.0)</f>
        <v>0</v>
      </c>
      <c r="Y2491" s="148">
        <f>IFERROR(__xludf.DUMMYFUNCTION("""COMPUTED_VALUE"""),0.0)</f>
        <v>0</v>
      </c>
      <c r="Z2491" s="148"/>
    </row>
    <row r="2492">
      <c r="A2492" s="148">
        <f>IFERROR(__xludf.DUMMYFUNCTION("""COMPUTED_VALUE"""),1.1119427E7)</f>
        <v>11119427</v>
      </c>
      <c r="B2492" s="148" t="str">
        <f>IFERROR(__xludf.DUMMYFUNCTION("""COMPUTED_VALUE"""),"S300赛车-赛车抽奖券高")</f>
        <v>S300赛车-赛车抽奖券高</v>
      </c>
      <c r="C2492" s="148"/>
      <c r="D2492" s="148" t="str">
        <f>IFERROR(__xludf.DUMMYFUNCTION("""COMPUTED_VALUE"""),"event")</f>
        <v>event</v>
      </c>
      <c r="E2492" s="148">
        <f>IFERROR(__xludf.DUMMYFUNCTION("""COMPUTED_VALUE"""),0.0)</f>
        <v>0</v>
      </c>
      <c r="F2492" s="148">
        <f>IFERROR(__xludf.DUMMYFUNCTION("""COMPUTED_VALUE"""),405221.0)</f>
        <v>405221</v>
      </c>
      <c r="G2492" s="148">
        <f>IFERROR(__xludf.DUMMYFUNCTION("""COMPUTED_VALUE"""),1.51101097E8)</f>
        <v>151101097</v>
      </c>
      <c r="H2492" s="148">
        <f>IFERROR(__xludf.DUMMYFUNCTION("""COMPUTED_VALUE"""),1.5112564E7)</f>
        <v>15112564</v>
      </c>
      <c r="I2492" s="148" t="str">
        <f>IFERROR(__xludf.DUMMYFUNCTION("""COMPUTED_VALUE"""),"{}")</f>
        <v>{}</v>
      </c>
      <c r="J2492" s="148" t="str">
        <f>IFERROR(__xludf.DUMMYFUNCTION("""COMPUTED_VALUE"""),"{""typ"":""lc"",""txt"":""LC_ITEM_race_car_game_gacha_2_name""}")</f>
        <v>{"typ":"lc","txt":"LC_ITEM_race_car_game_gacha_2_name"}</v>
      </c>
      <c r="K2492" s="148" t="str">
        <f>IFERROR(__xludf.DUMMYFUNCTION("""COMPUTED_VALUE"""),"{""typ"":""lc"",""txt"":""LC_ITEM_race_car_game_gacha_2_desc""}")</f>
        <v>{"typ":"lc","txt":"LC_ITEM_race_car_game_gacha_2_desc"}</v>
      </c>
      <c r="L2492" s="148" t="str">
        <f>IFERROR(__xludf.DUMMYFUNCTION("""COMPUTED_VALUE"""),"{}")</f>
        <v>{}</v>
      </c>
      <c r="M2492" s="148">
        <f>IFERROR(__xludf.DUMMYFUNCTION("""COMPUTED_VALUE"""),100.0)</f>
        <v>100</v>
      </c>
      <c r="N2492" s="148">
        <f>IFERROR(__xludf.DUMMYFUNCTION("""COMPUTED_VALUE"""),9.99999999E8)</f>
        <v>999999999</v>
      </c>
      <c r="O2492" s="148">
        <f>IFERROR(__xludf.DUMMYFUNCTION("""COMPUTED_VALUE"""),9.99999999E8)</f>
        <v>999999999</v>
      </c>
      <c r="P2492" s="148">
        <f>IFERROR(__xludf.DUMMYFUNCTION("""COMPUTED_VALUE"""),9.99999999E8)</f>
        <v>999999999</v>
      </c>
      <c r="Q2492" s="148" t="str">
        <f>IFERROR(__xludf.DUMMYFUNCTION("""COMPUTED_VALUE"""),"[""bag_other""]")</f>
        <v>["bag_other"]</v>
      </c>
      <c r="R2492" s="148" t="str">
        <f>IFERROR(__xludf.DUMMYFUNCTION("""COMPUTED_VALUE"""),"[]")</f>
        <v>[]</v>
      </c>
      <c r="S2492" s="148" t="str">
        <f>IFERROR(__xludf.DUMMYFUNCTION("""COMPUTED_VALUE"""),"{}")</f>
        <v>{}</v>
      </c>
      <c r="T2492" s="148">
        <f>IFERROR(__xludf.DUMMYFUNCTION("""COMPUTED_VALUE"""),-1.0)</f>
        <v>-1</v>
      </c>
      <c r="U2492" s="148">
        <f>IFERROR(__xludf.DUMMYFUNCTION("""COMPUTED_VALUE"""),0.0)</f>
        <v>0</v>
      </c>
      <c r="V2492" s="148" t="str">
        <f>IFERROR(__xludf.DUMMYFUNCTION("""COMPUTED_VALUE"""),"[]")</f>
        <v>[]</v>
      </c>
      <c r="W2492" s="148">
        <f>IFERROR(__xludf.DUMMYFUNCTION("""COMPUTED_VALUE"""),1.174E7)</f>
        <v>11740000</v>
      </c>
      <c r="X2492" s="148">
        <f>IFERROR(__xludf.DUMMYFUNCTION("""COMPUTED_VALUE"""),0.0)</f>
        <v>0</v>
      </c>
      <c r="Y2492" s="148">
        <f>IFERROR(__xludf.DUMMYFUNCTION("""COMPUTED_VALUE"""),0.0)</f>
        <v>0</v>
      </c>
      <c r="Z2492" s="148"/>
    </row>
    <row r="2493">
      <c r="A2493" s="148">
        <f>IFERROR(__xludf.DUMMYFUNCTION("""COMPUTED_VALUE"""),1.1119428E7)</f>
        <v>11119428</v>
      </c>
      <c r="B2493" s="148" t="str">
        <f>IFERROR(__xludf.DUMMYFUNCTION("""COMPUTED_VALUE"""),"S300赛车-赛车特权解锁道具")</f>
        <v>S300赛车-赛车特权解锁道具</v>
      </c>
      <c r="C2493" s="148"/>
      <c r="D2493" s="148" t="str">
        <f>IFERROR(__xludf.DUMMYFUNCTION("""COMPUTED_VALUE"""),"event")</f>
        <v>event</v>
      </c>
      <c r="E2493" s="148">
        <f>IFERROR(__xludf.DUMMYFUNCTION("""COMPUTED_VALUE"""),0.0)</f>
        <v>0</v>
      </c>
      <c r="F2493" s="148">
        <f>IFERROR(__xludf.DUMMYFUNCTION("""COMPUTED_VALUE"""),405221.0)</f>
        <v>405221</v>
      </c>
      <c r="G2493" s="148">
        <f>IFERROR(__xludf.DUMMYFUNCTION("""COMPUTED_VALUE"""),1.51101098E8)</f>
        <v>151101098</v>
      </c>
      <c r="H2493" s="148">
        <f>IFERROR(__xludf.DUMMYFUNCTION("""COMPUTED_VALUE"""),1.5112565E7)</f>
        <v>15112565</v>
      </c>
      <c r="I2493" s="148" t="str">
        <f>IFERROR(__xludf.DUMMYFUNCTION("""COMPUTED_VALUE"""),"{}")</f>
        <v>{}</v>
      </c>
      <c r="J2493" s="148" t="str">
        <f>IFERROR(__xludf.DUMMYFUNCTION("""COMPUTED_VALUE"""),"{""typ"":""lc"",""txt"":""LC_ITEM_race_car_game_pri_unlock_name""}")</f>
        <v>{"typ":"lc","txt":"LC_ITEM_race_car_game_pri_unlock_name"}</v>
      </c>
      <c r="K2493" s="148" t="str">
        <f>IFERROR(__xludf.DUMMYFUNCTION("""COMPUTED_VALUE"""),"{""typ"":""lc"",""txt"":""LC_ITEM_race_car_game_pri_unlock_desc""}")</f>
        <v>{"typ":"lc","txt":"LC_ITEM_race_car_game_pri_unlock_desc"}</v>
      </c>
      <c r="L2493" s="148" t="str">
        <f>IFERROR(__xludf.DUMMYFUNCTION("""COMPUTED_VALUE"""),"{}")</f>
        <v>{}</v>
      </c>
      <c r="M2493" s="148">
        <f>IFERROR(__xludf.DUMMYFUNCTION("""COMPUTED_VALUE"""),100.0)</f>
        <v>100</v>
      </c>
      <c r="N2493" s="148">
        <f>IFERROR(__xludf.DUMMYFUNCTION("""COMPUTED_VALUE"""),9.99999999E8)</f>
        <v>999999999</v>
      </c>
      <c r="O2493" s="148">
        <f>IFERROR(__xludf.DUMMYFUNCTION("""COMPUTED_VALUE"""),9.99999999E8)</f>
        <v>999999999</v>
      </c>
      <c r="P2493" s="148">
        <f>IFERROR(__xludf.DUMMYFUNCTION("""COMPUTED_VALUE"""),9.99999999E8)</f>
        <v>999999999</v>
      </c>
      <c r="Q2493" s="148" t="str">
        <f>IFERROR(__xludf.DUMMYFUNCTION("""COMPUTED_VALUE"""),"[""bag_other""]")</f>
        <v>["bag_other"]</v>
      </c>
      <c r="R2493" s="148" t="str">
        <f>IFERROR(__xludf.DUMMYFUNCTION("""COMPUTED_VALUE"""),"[]")</f>
        <v>[]</v>
      </c>
      <c r="S2493" s="148" t="str">
        <f>IFERROR(__xludf.DUMMYFUNCTION("""COMPUTED_VALUE"""),"{""effect"":[{""typ"":""buff"",""id"":121140852,""val"":-1,""arg1"":1}]}")</f>
        <v>{"effect":[{"typ":"buff","id":121140852,"val":-1,"arg1":1}]}</v>
      </c>
      <c r="T2493" s="148">
        <f>IFERROR(__xludf.DUMMYFUNCTION("""COMPUTED_VALUE"""),-1.0)</f>
        <v>-1</v>
      </c>
      <c r="U2493" s="148">
        <f>IFERROR(__xludf.DUMMYFUNCTION("""COMPUTED_VALUE"""),1.0)</f>
        <v>1</v>
      </c>
      <c r="V2493" s="148" t="str">
        <f>IFERROR(__xludf.DUMMYFUNCTION("""COMPUTED_VALUE"""),"[]")</f>
        <v>[]</v>
      </c>
      <c r="W2493" s="148">
        <f>IFERROR(__xludf.DUMMYFUNCTION("""COMPUTED_VALUE"""),1.174E7)</f>
        <v>11740000</v>
      </c>
      <c r="X2493" s="148">
        <f>IFERROR(__xludf.DUMMYFUNCTION("""COMPUTED_VALUE"""),0.0)</f>
        <v>0</v>
      </c>
      <c r="Y2493" s="148">
        <f>IFERROR(__xludf.DUMMYFUNCTION("""COMPUTED_VALUE"""),0.0)</f>
        <v>0</v>
      </c>
      <c r="Z2493" s="148"/>
    </row>
    <row r="2494">
      <c r="A2494" s="148">
        <f>IFERROR(__xludf.DUMMYFUNCTION("""COMPUTED_VALUE"""),1.1119429E7)</f>
        <v>11119429</v>
      </c>
      <c r="B2494" s="148" t="str">
        <f>IFERROR(__xludf.DUMMYFUNCTION("""COMPUTED_VALUE"""),"S300赛车-赛车次数券")</f>
        <v>S300赛车-赛车次数券</v>
      </c>
      <c r="C2494" s="148"/>
      <c r="D2494" s="148" t="str">
        <f>IFERROR(__xludf.DUMMYFUNCTION("""COMPUTED_VALUE"""),"event")</f>
        <v>event</v>
      </c>
      <c r="E2494" s="148">
        <f>IFERROR(__xludf.DUMMYFUNCTION("""COMPUTED_VALUE"""),0.0)</f>
        <v>0</v>
      </c>
      <c r="F2494" s="148">
        <f>IFERROR(__xludf.DUMMYFUNCTION("""COMPUTED_VALUE"""),405221.0)</f>
        <v>405221</v>
      </c>
      <c r="G2494" s="148">
        <f>IFERROR(__xludf.DUMMYFUNCTION("""COMPUTED_VALUE"""),1.51101099E8)</f>
        <v>151101099</v>
      </c>
      <c r="H2494" s="148">
        <f>IFERROR(__xludf.DUMMYFUNCTION("""COMPUTED_VALUE"""),1.5112564E7)</f>
        <v>15112564</v>
      </c>
      <c r="I2494" s="148" t="str">
        <f>IFERROR(__xludf.DUMMYFUNCTION("""COMPUTED_VALUE"""),"{}")</f>
        <v>{}</v>
      </c>
      <c r="J2494" s="148" t="str">
        <f>IFERROR(__xludf.DUMMYFUNCTION("""COMPUTED_VALUE"""),"{""typ"":""lc"",""txt"":""LC_ITEM_race_car_game_times_name""}")</f>
        <v>{"typ":"lc","txt":"LC_ITEM_race_car_game_times_name"}</v>
      </c>
      <c r="K2494" s="148" t="str">
        <f>IFERROR(__xludf.DUMMYFUNCTION("""COMPUTED_VALUE"""),"{""typ"":""lc"",""txt"":""LC_ITEM_race_car_game_times_desc""}")</f>
        <v>{"typ":"lc","txt":"LC_ITEM_race_car_game_times_desc"}</v>
      </c>
      <c r="L2494" s="148" t="str">
        <f>IFERROR(__xludf.DUMMYFUNCTION("""COMPUTED_VALUE"""),"{}")</f>
        <v>{}</v>
      </c>
      <c r="M2494" s="148">
        <f>IFERROR(__xludf.DUMMYFUNCTION("""COMPUTED_VALUE"""),100.0)</f>
        <v>100</v>
      </c>
      <c r="N2494" s="148">
        <f>IFERROR(__xludf.DUMMYFUNCTION("""COMPUTED_VALUE"""),9.99999999E8)</f>
        <v>999999999</v>
      </c>
      <c r="O2494" s="148">
        <f>IFERROR(__xludf.DUMMYFUNCTION("""COMPUTED_VALUE"""),9.99999999E8)</f>
        <v>999999999</v>
      </c>
      <c r="P2494" s="148">
        <f>IFERROR(__xludf.DUMMYFUNCTION("""COMPUTED_VALUE"""),9.99999999E8)</f>
        <v>999999999</v>
      </c>
      <c r="Q2494" s="148" t="str">
        <f>IFERROR(__xludf.DUMMYFUNCTION("""COMPUTED_VALUE"""),"[""bag_other""]")</f>
        <v>["bag_other"]</v>
      </c>
      <c r="R2494" s="148" t="str">
        <f>IFERROR(__xludf.DUMMYFUNCTION("""COMPUTED_VALUE"""),"[]")</f>
        <v>[]</v>
      </c>
      <c r="S2494" s="148" t="str">
        <f>IFERROR(__xludf.DUMMYFUNCTION("""COMPUTED_VALUE"""),"{}")</f>
        <v>{}</v>
      </c>
      <c r="T2494" s="148">
        <f>IFERROR(__xludf.DUMMYFUNCTION("""COMPUTED_VALUE"""),-1.0)</f>
        <v>-1</v>
      </c>
      <c r="U2494" s="148">
        <f>IFERROR(__xludf.DUMMYFUNCTION("""COMPUTED_VALUE"""),0.0)</f>
        <v>0</v>
      </c>
      <c r="V2494" s="148" t="str">
        <f>IFERROR(__xludf.DUMMYFUNCTION("""COMPUTED_VALUE"""),"[]")</f>
        <v>[]</v>
      </c>
      <c r="W2494" s="148">
        <f>IFERROR(__xludf.DUMMYFUNCTION("""COMPUTED_VALUE"""),1.174E7)</f>
        <v>11740000</v>
      </c>
      <c r="X2494" s="148">
        <f>IFERROR(__xludf.DUMMYFUNCTION("""COMPUTED_VALUE"""),0.0)</f>
        <v>0</v>
      </c>
      <c r="Y2494" s="148">
        <f>IFERROR(__xludf.DUMMYFUNCTION("""COMPUTED_VALUE"""),0.0)</f>
        <v>0</v>
      </c>
      <c r="Z2494" s="148"/>
    </row>
    <row r="2495">
      <c r="A2495" s="148">
        <f>IFERROR(__xludf.DUMMYFUNCTION("""COMPUTED_VALUE"""),1.111943E7)</f>
        <v>11119430</v>
      </c>
      <c r="B2495" s="148" t="str">
        <f>IFERROR(__xludf.DUMMYFUNCTION("""COMPUTED_VALUE"""),"S300赛车-赛车D")</f>
        <v>S300赛车-赛车D</v>
      </c>
      <c r="C2495" s="148"/>
      <c r="D2495" s="148" t="str">
        <f>IFERROR(__xludf.DUMMYFUNCTION("""COMPUTED_VALUE"""),"race_car")</f>
        <v>race_car</v>
      </c>
      <c r="E2495" s="148">
        <f>IFERROR(__xludf.DUMMYFUNCTION("""COMPUTED_VALUE"""),0.0)</f>
        <v>0</v>
      </c>
      <c r="F2495" s="148">
        <f>IFERROR(__xludf.DUMMYFUNCTION("""COMPUTED_VALUE"""),405221.0)</f>
        <v>405221</v>
      </c>
      <c r="G2495" s="148">
        <f>IFERROR(__xludf.DUMMYFUNCTION("""COMPUTED_VALUE"""),1.51101135E8)</f>
        <v>151101135</v>
      </c>
      <c r="H2495" s="148">
        <f>IFERROR(__xludf.DUMMYFUNCTION("""COMPUTED_VALUE"""),1.511256E7)</f>
        <v>15112560</v>
      </c>
      <c r="I2495" s="148" t="str">
        <f>IFERROR(__xludf.DUMMYFUNCTION("""COMPUTED_VALUE"""),"{}")</f>
        <v>{}</v>
      </c>
      <c r="J2495" s="148" t="str">
        <f>IFERROR(__xludf.DUMMYFUNCTION("""COMPUTED_VALUE"""),"{""typ"":""lc"",""txt"":""LC_ITEM_race_car_game_car_1_name""}")</f>
        <v>{"typ":"lc","txt":"LC_ITEM_race_car_game_car_1_name"}</v>
      </c>
      <c r="K2495" s="148" t="str">
        <f>IFERROR(__xludf.DUMMYFUNCTION("""COMPUTED_VALUE"""),"{""typ"":""lc"",""txt"":""LC_ITEM_race_car_game_car_1_desc""}")</f>
        <v>{"typ":"lc","txt":"LC_ITEM_race_car_game_car_1_desc"}</v>
      </c>
      <c r="L2495" s="148" t="str">
        <f>IFERROR(__xludf.DUMMYFUNCTION("""COMPUTED_VALUE"""),"{}")</f>
        <v>{}</v>
      </c>
      <c r="M2495" s="148">
        <f>IFERROR(__xludf.DUMMYFUNCTION("""COMPUTED_VALUE"""),100.0)</f>
        <v>100</v>
      </c>
      <c r="N2495" s="148">
        <f>IFERROR(__xludf.DUMMYFUNCTION("""COMPUTED_VALUE"""),9.99999999E8)</f>
        <v>999999999</v>
      </c>
      <c r="O2495" s="148">
        <f>IFERROR(__xludf.DUMMYFUNCTION("""COMPUTED_VALUE"""),9.99999999E8)</f>
        <v>999999999</v>
      </c>
      <c r="P2495" s="148">
        <f>IFERROR(__xludf.DUMMYFUNCTION("""COMPUTED_VALUE"""),9.99999999E8)</f>
        <v>999999999</v>
      </c>
      <c r="Q2495" s="148" t="str">
        <f>IFERROR(__xludf.DUMMYFUNCTION("""COMPUTED_VALUE"""),"[""bag_other""]")</f>
        <v>["bag_other"]</v>
      </c>
      <c r="R2495" s="148" t="str">
        <f>IFERROR(__xludf.DUMMYFUNCTION("""COMPUTED_VALUE"""),"[]")</f>
        <v>[]</v>
      </c>
      <c r="S2495" s="148" t="str">
        <f>IFERROR(__xludf.DUMMYFUNCTION("""COMPUTED_VALUE"""),"{""effect"":[{""typ"":""race_car"",""id"":43181001,""val"":1}]}")</f>
        <v>{"effect":[{"typ":"race_car","id":43181001,"val":1}]}</v>
      </c>
      <c r="T2495" s="148">
        <f>IFERROR(__xludf.DUMMYFUNCTION("""COMPUTED_VALUE"""),-1.0)</f>
        <v>-1</v>
      </c>
      <c r="U2495" s="148">
        <f>IFERROR(__xludf.DUMMYFUNCTION("""COMPUTED_VALUE"""),1.0)</f>
        <v>1</v>
      </c>
      <c r="V2495" s="148" t="str">
        <f>IFERROR(__xludf.DUMMYFUNCTION("""COMPUTED_VALUE"""),"[]")</f>
        <v>[]</v>
      </c>
      <c r="W2495" s="148">
        <f>IFERROR(__xludf.DUMMYFUNCTION("""COMPUTED_VALUE"""),1.174E7)</f>
        <v>11740000</v>
      </c>
      <c r="X2495" s="148">
        <f>IFERROR(__xludf.DUMMYFUNCTION("""COMPUTED_VALUE"""),0.0)</f>
        <v>0</v>
      </c>
      <c r="Y2495" s="148">
        <f>IFERROR(__xludf.DUMMYFUNCTION("""COMPUTED_VALUE"""),0.0)</f>
        <v>0</v>
      </c>
      <c r="Z2495" s="148"/>
    </row>
    <row r="2496">
      <c r="A2496" s="148">
        <f>IFERROR(__xludf.DUMMYFUNCTION("""COMPUTED_VALUE"""),1.1119431E7)</f>
        <v>11119431</v>
      </c>
      <c r="B2496" s="148" t="str">
        <f>IFERROR(__xludf.DUMMYFUNCTION("""COMPUTED_VALUE"""),"S300赛车-赛车C")</f>
        <v>S300赛车-赛车C</v>
      </c>
      <c r="C2496" s="148"/>
      <c r="D2496" s="148" t="str">
        <f>IFERROR(__xludf.DUMMYFUNCTION("""COMPUTED_VALUE"""),"race_car")</f>
        <v>race_car</v>
      </c>
      <c r="E2496" s="148">
        <f>IFERROR(__xludf.DUMMYFUNCTION("""COMPUTED_VALUE"""),0.0)</f>
        <v>0</v>
      </c>
      <c r="F2496" s="148">
        <f>IFERROR(__xludf.DUMMYFUNCTION("""COMPUTED_VALUE"""),405221.0)</f>
        <v>405221</v>
      </c>
      <c r="G2496" s="148">
        <f>IFERROR(__xludf.DUMMYFUNCTION("""COMPUTED_VALUE"""),1.51101136E8)</f>
        <v>151101136</v>
      </c>
      <c r="H2496" s="148">
        <f>IFERROR(__xludf.DUMMYFUNCTION("""COMPUTED_VALUE"""),1.5112561E7)</f>
        <v>15112561</v>
      </c>
      <c r="I2496" s="148" t="str">
        <f>IFERROR(__xludf.DUMMYFUNCTION("""COMPUTED_VALUE"""),"{}")</f>
        <v>{}</v>
      </c>
      <c r="J2496" s="148" t="str">
        <f>IFERROR(__xludf.DUMMYFUNCTION("""COMPUTED_VALUE"""),"{""typ"":""lc"",""txt"":""LC_ITEM_race_car_game_car_2_name""}")</f>
        <v>{"typ":"lc","txt":"LC_ITEM_race_car_game_car_2_name"}</v>
      </c>
      <c r="K2496" s="148" t="str">
        <f>IFERROR(__xludf.DUMMYFUNCTION("""COMPUTED_VALUE"""),"{""typ"":""lc"",""txt"":""LC_ITEM_race_car_game_car_2_desc""}")</f>
        <v>{"typ":"lc","txt":"LC_ITEM_race_car_game_car_2_desc"}</v>
      </c>
      <c r="L2496" s="148" t="str">
        <f>IFERROR(__xludf.DUMMYFUNCTION("""COMPUTED_VALUE"""),"{}")</f>
        <v>{}</v>
      </c>
      <c r="M2496" s="148">
        <f>IFERROR(__xludf.DUMMYFUNCTION("""COMPUTED_VALUE"""),100.0)</f>
        <v>100</v>
      </c>
      <c r="N2496" s="148">
        <f>IFERROR(__xludf.DUMMYFUNCTION("""COMPUTED_VALUE"""),9.99999999E8)</f>
        <v>999999999</v>
      </c>
      <c r="O2496" s="148">
        <f>IFERROR(__xludf.DUMMYFUNCTION("""COMPUTED_VALUE"""),9.99999999E8)</f>
        <v>999999999</v>
      </c>
      <c r="P2496" s="148">
        <f>IFERROR(__xludf.DUMMYFUNCTION("""COMPUTED_VALUE"""),9.99999999E8)</f>
        <v>999999999</v>
      </c>
      <c r="Q2496" s="148" t="str">
        <f>IFERROR(__xludf.DUMMYFUNCTION("""COMPUTED_VALUE"""),"[""bag_other""]")</f>
        <v>["bag_other"]</v>
      </c>
      <c r="R2496" s="148" t="str">
        <f>IFERROR(__xludf.DUMMYFUNCTION("""COMPUTED_VALUE"""),"[]")</f>
        <v>[]</v>
      </c>
      <c r="S2496" s="148" t="str">
        <f>IFERROR(__xludf.DUMMYFUNCTION("""COMPUTED_VALUE"""),"{""effect"":[{""typ"":""race_car"",""id"":43181002,""val"":1}]}")</f>
        <v>{"effect":[{"typ":"race_car","id":43181002,"val":1}]}</v>
      </c>
      <c r="T2496" s="148">
        <f>IFERROR(__xludf.DUMMYFUNCTION("""COMPUTED_VALUE"""),-1.0)</f>
        <v>-1</v>
      </c>
      <c r="U2496" s="148">
        <f>IFERROR(__xludf.DUMMYFUNCTION("""COMPUTED_VALUE"""),1.0)</f>
        <v>1</v>
      </c>
      <c r="V2496" s="148" t="str">
        <f>IFERROR(__xludf.DUMMYFUNCTION("""COMPUTED_VALUE"""),"[]")</f>
        <v>[]</v>
      </c>
      <c r="W2496" s="148">
        <f>IFERROR(__xludf.DUMMYFUNCTION("""COMPUTED_VALUE"""),1.174E7)</f>
        <v>11740000</v>
      </c>
      <c r="X2496" s="148">
        <f>IFERROR(__xludf.DUMMYFUNCTION("""COMPUTED_VALUE"""),0.0)</f>
        <v>0</v>
      </c>
      <c r="Y2496" s="148">
        <f>IFERROR(__xludf.DUMMYFUNCTION("""COMPUTED_VALUE"""),0.0)</f>
        <v>0</v>
      </c>
      <c r="Z2496" s="148"/>
    </row>
    <row r="2497">
      <c r="A2497" s="148">
        <f>IFERROR(__xludf.DUMMYFUNCTION("""COMPUTED_VALUE"""),1.1119432E7)</f>
        <v>11119432</v>
      </c>
      <c r="B2497" s="148" t="str">
        <f>IFERROR(__xludf.DUMMYFUNCTION("""COMPUTED_VALUE"""),"S300赛车-赛车B")</f>
        <v>S300赛车-赛车B</v>
      </c>
      <c r="C2497" s="148"/>
      <c r="D2497" s="148" t="str">
        <f>IFERROR(__xludf.DUMMYFUNCTION("""COMPUTED_VALUE"""),"race_car")</f>
        <v>race_car</v>
      </c>
      <c r="E2497" s="148">
        <f>IFERROR(__xludf.DUMMYFUNCTION("""COMPUTED_VALUE"""),0.0)</f>
        <v>0</v>
      </c>
      <c r="F2497" s="148">
        <f>IFERROR(__xludf.DUMMYFUNCTION("""COMPUTED_VALUE"""),405221.0)</f>
        <v>405221</v>
      </c>
      <c r="G2497" s="148">
        <f>IFERROR(__xludf.DUMMYFUNCTION("""COMPUTED_VALUE"""),1.51101137E8)</f>
        <v>151101137</v>
      </c>
      <c r="H2497" s="148">
        <f>IFERROR(__xludf.DUMMYFUNCTION("""COMPUTED_VALUE"""),1.5112562E7)</f>
        <v>15112562</v>
      </c>
      <c r="I2497" s="148" t="str">
        <f>IFERROR(__xludf.DUMMYFUNCTION("""COMPUTED_VALUE"""),"{}")</f>
        <v>{}</v>
      </c>
      <c r="J2497" s="148" t="str">
        <f>IFERROR(__xludf.DUMMYFUNCTION("""COMPUTED_VALUE"""),"{""typ"":""lc"",""txt"":""LC_ITEM_race_car_game_car_3_name""}")</f>
        <v>{"typ":"lc","txt":"LC_ITEM_race_car_game_car_3_name"}</v>
      </c>
      <c r="K2497" s="148" t="str">
        <f>IFERROR(__xludf.DUMMYFUNCTION("""COMPUTED_VALUE"""),"{""typ"":""lc"",""txt"":""LC_ITEM_race_car_game_car_3_desc""}")</f>
        <v>{"typ":"lc","txt":"LC_ITEM_race_car_game_car_3_desc"}</v>
      </c>
      <c r="L2497" s="148" t="str">
        <f>IFERROR(__xludf.DUMMYFUNCTION("""COMPUTED_VALUE"""),"{}")</f>
        <v>{}</v>
      </c>
      <c r="M2497" s="148">
        <f>IFERROR(__xludf.DUMMYFUNCTION("""COMPUTED_VALUE"""),100.0)</f>
        <v>100</v>
      </c>
      <c r="N2497" s="148">
        <f>IFERROR(__xludf.DUMMYFUNCTION("""COMPUTED_VALUE"""),9.99999999E8)</f>
        <v>999999999</v>
      </c>
      <c r="O2497" s="148">
        <f>IFERROR(__xludf.DUMMYFUNCTION("""COMPUTED_VALUE"""),9.99999999E8)</f>
        <v>999999999</v>
      </c>
      <c r="P2497" s="148">
        <f>IFERROR(__xludf.DUMMYFUNCTION("""COMPUTED_VALUE"""),9.99999999E8)</f>
        <v>999999999</v>
      </c>
      <c r="Q2497" s="148" t="str">
        <f>IFERROR(__xludf.DUMMYFUNCTION("""COMPUTED_VALUE"""),"[""bag_other""]")</f>
        <v>["bag_other"]</v>
      </c>
      <c r="R2497" s="148" t="str">
        <f>IFERROR(__xludf.DUMMYFUNCTION("""COMPUTED_VALUE"""),"[]")</f>
        <v>[]</v>
      </c>
      <c r="S2497" s="148" t="str">
        <f>IFERROR(__xludf.DUMMYFUNCTION("""COMPUTED_VALUE"""),"{""effect"":[{""typ"":""race_car"",""id"":43181003,""val"":1}]}")</f>
        <v>{"effect":[{"typ":"race_car","id":43181003,"val":1}]}</v>
      </c>
      <c r="T2497" s="148">
        <f>IFERROR(__xludf.DUMMYFUNCTION("""COMPUTED_VALUE"""),-1.0)</f>
        <v>-1</v>
      </c>
      <c r="U2497" s="148">
        <f>IFERROR(__xludf.DUMMYFUNCTION("""COMPUTED_VALUE"""),1.0)</f>
        <v>1</v>
      </c>
      <c r="V2497" s="148" t="str">
        <f>IFERROR(__xludf.DUMMYFUNCTION("""COMPUTED_VALUE"""),"[]")</f>
        <v>[]</v>
      </c>
      <c r="W2497" s="148">
        <f>IFERROR(__xludf.DUMMYFUNCTION("""COMPUTED_VALUE"""),1.174E7)</f>
        <v>11740000</v>
      </c>
      <c r="X2497" s="148">
        <f>IFERROR(__xludf.DUMMYFUNCTION("""COMPUTED_VALUE"""),0.0)</f>
        <v>0</v>
      </c>
      <c r="Y2497" s="148">
        <f>IFERROR(__xludf.DUMMYFUNCTION("""COMPUTED_VALUE"""),0.0)</f>
        <v>0</v>
      </c>
      <c r="Z2497" s="148"/>
    </row>
    <row r="2498">
      <c r="A2498" s="148">
        <f>IFERROR(__xludf.DUMMYFUNCTION("""COMPUTED_VALUE"""),1.1119433E7)</f>
        <v>11119433</v>
      </c>
      <c r="B2498" s="148" t="str">
        <f>IFERROR(__xludf.DUMMYFUNCTION("""COMPUTED_VALUE"""),"S300赛车-赛车A")</f>
        <v>S300赛车-赛车A</v>
      </c>
      <c r="C2498" s="148"/>
      <c r="D2498" s="148" t="str">
        <f>IFERROR(__xludf.DUMMYFUNCTION("""COMPUTED_VALUE"""),"race_car")</f>
        <v>race_car</v>
      </c>
      <c r="E2498" s="148">
        <f>IFERROR(__xludf.DUMMYFUNCTION("""COMPUTED_VALUE"""),0.0)</f>
        <v>0</v>
      </c>
      <c r="F2498" s="148">
        <f>IFERROR(__xludf.DUMMYFUNCTION("""COMPUTED_VALUE"""),405221.0)</f>
        <v>405221</v>
      </c>
      <c r="G2498" s="148">
        <f>IFERROR(__xludf.DUMMYFUNCTION("""COMPUTED_VALUE"""),1.51101138E8)</f>
        <v>151101138</v>
      </c>
      <c r="H2498" s="148">
        <f>IFERROR(__xludf.DUMMYFUNCTION("""COMPUTED_VALUE"""),1.5112563E7)</f>
        <v>15112563</v>
      </c>
      <c r="I2498" s="148" t="str">
        <f>IFERROR(__xludf.DUMMYFUNCTION("""COMPUTED_VALUE"""),"{}")</f>
        <v>{}</v>
      </c>
      <c r="J2498" s="148" t="str">
        <f>IFERROR(__xludf.DUMMYFUNCTION("""COMPUTED_VALUE"""),"{""typ"":""lc"",""txt"":""LC_ITEM_race_car_game_car_4_name""}")</f>
        <v>{"typ":"lc","txt":"LC_ITEM_race_car_game_car_4_name"}</v>
      </c>
      <c r="K2498" s="148" t="str">
        <f>IFERROR(__xludf.DUMMYFUNCTION("""COMPUTED_VALUE"""),"{""typ"":""lc"",""txt"":""LC_ITEM_race_car_game_car_4_desc""}")</f>
        <v>{"typ":"lc","txt":"LC_ITEM_race_car_game_car_4_desc"}</v>
      </c>
      <c r="L2498" s="148" t="str">
        <f>IFERROR(__xludf.DUMMYFUNCTION("""COMPUTED_VALUE"""),"{}")</f>
        <v>{}</v>
      </c>
      <c r="M2498" s="148">
        <f>IFERROR(__xludf.DUMMYFUNCTION("""COMPUTED_VALUE"""),100.0)</f>
        <v>100</v>
      </c>
      <c r="N2498" s="148">
        <f>IFERROR(__xludf.DUMMYFUNCTION("""COMPUTED_VALUE"""),9.99999999E8)</f>
        <v>999999999</v>
      </c>
      <c r="O2498" s="148">
        <f>IFERROR(__xludf.DUMMYFUNCTION("""COMPUTED_VALUE"""),9.99999999E8)</f>
        <v>999999999</v>
      </c>
      <c r="P2498" s="148">
        <f>IFERROR(__xludf.DUMMYFUNCTION("""COMPUTED_VALUE"""),9.99999999E8)</f>
        <v>999999999</v>
      </c>
      <c r="Q2498" s="148" t="str">
        <f>IFERROR(__xludf.DUMMYFUNCTION("""COMPUTED_VALUE"""),"[""bag_other""]")</f>
        <v>["bag_other"]</v>
      </c>
      <c r="R2498" s="148" t="str">
        <f>IFERROR(__xludf.DUMMYFUNCTION("""COMPUTED_VALUE"""),"[]")</f>
        <v>[]</v>
      </c>
      <c r="S2498" s="148" t="str">
        <f>IFERROR(__xludf.DUMMYFUNCTION("""COMPUTED_VALUE"""),"{""effect"":[{""typ"":""race_car"",""id"":43181004,""val"":1}]}")</f>
        <v>{"effect":[{"typ":"race_car","id":43181004,"val":1}]}</v>
      </c>
      <c r="T2498" s="148">
        <f>IFERROR(__xludf.DUMMYFUNCTION("""COMPUTED_VALUE"""),-1.0)</f>
        <v>-1</v>
      </c>
      <c r="U2498" s="148">
        <f>IFERROR(__xludf.DUMMYFUNCTION("""COMPUTED_VALUE"""),1.0)</f>
        <v>1</v>
      </c>
      <c r="V2498" s="148" t="str">
        <f>IFERROR(__xludf.DUMMYFUNCTION("""COMPUTED_VALUE"""),"[]")</f>
        <v>[]</v>
      </c>
      <c r="W2498" s="148">
        <f>IFERROR(__xludf.DUMMYFUNCTION("""COMPUTED_VALUE"""),1.174E7)</f>
        <v>11740000</v>
      </c>
      <c r="X2498" s="148">
        <f>IFERROR(__xludf.DUMMYFUNCTION("""COMPUTED_VALUE"""),0.0)</f>
        <v>0</v>
      </c>
      <c r="Y2498" s="148">
        <f>IFERROR(__xludf.DUMMYFUNCTION("""COMPUTED_VALUE"""),0.0)</f>
        <v>0</v>
      </c>
      <c r="Z2498" s="148"/>
    </row>
    <row r="2499">
      <c r="A2499" s="148">
        <f>IFERROR(__xludf.DUMMYFUNCTION("""COMPUTED_VALUE"""),1.1119434E7)</f>
        <v>11119434</v>
      </c>
      <c r="B2499" s="148" t="str">
        <f>IFERROR(__xludf.DUMMYFUNCTION("""COMPUTED_VALUE"""),"S300赛车-赛车S")</f>
        <v>S300赛车-赛车S</v>
      </c>
      <c r="C2499" s="148"/>
      <c r="D2499" s="148" t="str">
        <f>IFERROR(__xludf.DUMMYFUNCTION("""COMPUTED_VALUE"""),"race_car")</f>
        <v>race_car</v>
      </c>
      <c r="E2499" s="148">
        <f>IFERROR(__xludf.DUMMYFUNCTION("""COMPUTED_VALUE"""),0.0)</f>
        <v>0</v>
      </c>
      <c r="F2499" s="148">
        <f>IFERROR(__xludf.DUMMYFUNCTION("""COMPUTED_VALUE"""),405221.0)</f>
        <v>405221</v>
      </c>
      <c r="G2499" s="148">
        <f>IFERROR(__xludf.DUMMYFUNCTION("""COMPUTED_VALUE"""),1.51101139E8)</f>
        <v>151101139</v>
      </c>
      <c r="H2499" s="148">
        <f>IFERROR(__xludf.DUMMYFUNCTION("""COMPUTED_VALUE"""),1.5112564E7)</f>
        <v>15112564</v>
      </c>
      <c r="I2499" s="148" t="str">
        <f>IFERROR(__xludf.DUMMYFUNCTION("""COMPUTED_VALUE"""),"{}")</f>
        <v>{}</v>
      </c>
      <c r="J2499" s="148" t="str">
        <f>IFERROR(__xludf.DUMMYFUNCTION("""COMPUTED_VALUE"""),"{""typ"":""lc"",""txt"":""LC_ITEM_race_car_game_car_5_name""}")</f>
        <v>{"typ":"lc","txt":"LC_ITEM_race_car_game_car_5_name"}</v>
      </c>
      <c r="K2499" s="148" t="str">
        <f>IFERROR(__xludf.DUMMYFUNCTION("""COMPUTED_VALUE"""),"{""typ"":""lc"",""txt"":""LC_ITEM_race_car_game_car_5_desc""}")</f>
        <v>{"typ":"lc","txt":"LC_ITEM_race_car_game_car_5_desc"}</v>
      </c>
      <c r="L2499" s="148" t="str">
        <f>IFERROR(__xludf.DUMMYFUNCTION("""COMPUTED_VALUE"""),"{}")</f>
        <v>{}</v>
      </c>
      <c r="M2499" s="148">
        <f>IFERROR(__xludf.DUMMYFUNCTION("""COMPUTED_VALUE"""),100.0)</f>
        <v>100</v>
      </c>
      <c r="N2499" s="148">
        <f>IFERROR(__xludf.DUMMYFUNCTION("""COMPUTED_VALUE"""),9.99999999E8)</f>
        <v>999999999</v>
      </c>
      <c r="O2499" s="148">
        <f>IFERROR(__xludf.DUMMYFUNCTION("""COMPUTED_VALUE"""),9.99999999E8)</f>
        <v>999999999</v>
      </c>
      <c r="P2499" s="148">
        <f>IFERROR(__xludf.DUMMYFUNCTION("""COMPUTED_VALUE"""),9.99999999E8)</f>
        <v>999999999</v>
      </c>
      <c r="Q2499" s="148" t="str">
        <f>IFERROR(__xludf.DUMMYFUNCTION("""COMPUTED_VALUE"""),"[""bag_other""]")</f>
        <v>["bag_other"]</v>
      </c>
      <c r="R2499" s="148" t="str">
        <f>IFERROR(__xludf.DUMMYFUNCTION("""COMPUTED_VALUE"""),"[]")</f>
        <v>[]</v>
      </c>
      <c r="S2499" s="148" t="str">
        <f>IFERROR(__xludf.DUMMYFUNCTION("""COMPUTED_VALUE"""),"{""effect"":[{""typ"":""race_car"",""id"":43181005,""val"":1}]}")</f>
        <v>{"effect":[{"typ":"race_car","id":43181005,"val":1}]}</v>
      </c>
      <c r="T2499" s="148">
        <f>IFERROR(__xludf.DUMMYFUNCTION("""COMPUTED_VALUE"""),-1.0)</f>
        <v>-1</v>
      </c>
      <c r="U2499" s="148">
        <f>IFERROR(__xludf.DUMMYFUNCTION("""COMPUTED_VALUE"""),1.0)</f>
        <v>1</v>
      </c>
      <c r="V2499" s="148" t="str">
        <f>IFERROR(__xludf.DUMMYFUNCTION("""COMPUTED_VALUE"""),"[]")</f>
        <v>[]</v>
      </c>
      <c r="W2499" s="148">
        <f>IFERROR(__xludf.DUMMYFUNCTION("""COMPUTED_VALUE"""),1.174E7)</f>
        <v>11740000</v>
      </c>
      <c r="X2499" s="148">
        <f>IFERROR(__xludf.DUMMYFUNCTION("""COMPUTED_VALUE"""),0.0)</f>
        <v>0</v>
      </c>
      <c r="Y2499" s="148">
        <f>IFERROR(__xludf.DUMMYFUNCTION("""COMPUTED_VALUE"""),0.0)</f>
        <v>0</v>
      </c>
      <c r="Z2499" s="148"/>
    </row>
    <row r="2500">
      <c r="A2500" s="148">
        <f>IFERROR(__xludf.DUMMYFUNCTION("""COMPUTED_VALUE"""),1.1119435E7)</f>
        <v>11119435</v>
      </c>
      <c r="B2500" s="148" t="str">
        <f>IFERROR(__xludf.DUMMYFUNCTION("""COMPUTED_VALUE"""),"S300赛车-新增自选道具-收藏品自选")</f>
        <v>S300赛车-新增自选道具-收藏品自选</v>
      </c>
      <c r="C2500" s="148"/>
      <c r="D2500" s="148" t="str">
        <f>IFERROR(__xludf.DUMMYFUNCTION("""COMPUTED_VALUE"""),"item_select_box")</f>
        <v>item_select_box</v>
      </c>
      <c r="E2500" s="148">
        <f>IFERROR(__xludf.DUMMYFUNCTION("""COMPUTED_VALUE"""),19.0)</f>
        <v>19</v>
      </c>
      <c r="F2500" s="148">
        <f>IFERROR(__xludf.DUMMYFUNCTION("""COMPUTED_VALUE"""),305221.0)</f>
        <v>305221</v>
      </c>
      <c r="G2500" s="148">
        <f>IFERROR(__xludf.DUMMYFUNCTION("""COMPUTED_VALUE"""),1.51100504E8)</f>
        <v>151100504</v>
      </c>
      <c r="H2500" s="148">
        <f>IFERROR(__xludf.DUMMYFUNCTION("""COMPUTED_VALUE"""),1.5112564E7)</f>
        <v>15112564</v>
      </c>
      <c r="I2500" s="148" t="str">
        <f>IFERROR(__xludf.DUMMYFUNCTION("""COMPUTED_VALUE"""),"{}")</f>
        <v>{}</v>
      </c>
      <c r="J2500" s="148" t="str">
        <f>IFERROR(__xludf.DUMMYFUNCTION("""COMPUTED_VALUE"""),"{""typ"":""lc"",""txt"":""LC_ITEM_race_car_game_choosen_box_collection_name""}")</f>
        <v>{"typ":"lc","txt":"LC_ITEM_race_car_game_choosen_box_collection_name"}</v>
      </c>
      <c r="K2500" s="148" t="str">
        <f>IFERROR(__xludf.DUMMYFUNCTION("""COMPUTED_VALUE"""),"{""typ"":""lc"",""txt"":""LC_ITEM_race_car_game_choosen_box_collection_desc""}")</f>
        <v>{"typ":"lc","txt":"LC_ITEM_race_car_game_choosen_box_collection_desc"}</v>
      </c>
      <c r="L2500" s="148" t="str">
        <f>IFERROR(__xludf.DUMMYFUNCTION("""COMPUTED_VALUE"""),"{}")</f>
        <v>{}</v>
      </c>
      <c r="M2500" s="148">
        <f>IFERROR(__xludf.DUMMYFUNCTION("""COMPUTED_VALUE"""),100.0)</f>
        <v>100</v>
      </c>
      <c r="N2500" s="148">
        <f>IFERROR(__xludf.DUMMYFUNCTION("""COMPUTED_VALUE"""),9.99999999E8)</f>
        <v>999999999</v>
      </c>
      <c r="O2500" s="148">
        <f>IFERROR(__xludf.DUMMYFUNCTION("""COMPUTED_VALUE"""),9.99999999E8)</f>
        <v>999999999</v>
      </c>
      <c r="P2500" s="148">
        <f>IFERROR(__xludf.DUMMYFUNCTION("""COMPUTED_VALUE"""),9.99999999E8)</f>
        <v>999999999</v>
      </c>
      <c r="Q2500" s="148" t="str">
        <f>IFERROR(__xludf.DUMMYFUNCTION("""COMPUTED_VALUE"""),"[""bag_other""]")</f>
        <v>["bag_other"]</v>
      </c>
      <c r="R2500" s="148" t="str">
        <f>IFERROR(__xludf.DUMMYFUNCTION("""COMPUTED_VALUE"""),"[""bag""]")</f>
        <v>["bag"]</v>
      </c>
      <c r="S2500" s="148" t="str">
        <f>IFERROR(__xludf.DUMMYFUNCTION("""COMPUTED_VALUE"""),"{""select_box"":[{""typ"":""collection"",""id"":11551771,""val"":1},{""typ"":""collection"",""id"":11551781,""val"":1},{""typ"":""collection"",""id"":11551791,""val"":1},{""typ"":""collection"",""id"":11551801,""val"":1},{""typ"":""collection"",""id"":115"&amp;"51811,""val"":1},{""typ"":""collection"",""id"":11551821,""val"":1},{""typ"":""collection"",""id"":11551831,""val"":1},{""typ"":""collection"",""id"":11551841,""val"":1},{""typ"":""collection"",""id"":11551851,""val"":1},{""typ"":""item"",""id"":11116604,"&amp;"""val"":32},{""typ"":""item"",""id"":11118681,""val"":19}]}")</f>
        <v>{"select_box":[{"typ":"collection","id":11551771,"val":1},{"typ":"collection","id":11551781,"val":1},{"typ":"collection","id":11551791,"val":1},{"typ":"collection","id":11551801,"val":1},{"typ":"collection","id":11551811,"val":1},{"typ":"collection","id":11551821,"val":1},{"typ":"collection","id":11551831,"val":1},{"typ":"collection","id":11551841,"val":1},{"typ":"collection","id":11551851,"val":1},{"typ":"item","id":11116604,"val":32},{"typ":"item","id":11118681,"val":19}]}</v>
      </c>
      <c r="T2500" s="148">
        <f>IFERROR(__xludf.DUMMYFUNCTION("""COMPUTED_VALUE"""),-1.0)</f>
        <v>-1</v>
      </c>
      <c r="U2500" s="148">
        <f>IFERROR(__xludf.DUMMYFUNCTION("""COMPUTED_VALUE"""),0.0)</f>
        <v>0</v>
      </c>
      <c r="V2500" s="148" t="str">
        <f>IFERROR(__xludf.DUMMYFUNCTION("""COMPUTED_VALUE"""),"[]")</f>
        <v>[]</v>
      </c>
      <c r="W2500" s="148">
        <f>IFERROR(__xludf.DUMMYFUNCTION("""COMPUTED_VALUE"""),1.1741004E7)</f>
        <v>11741004</v>
      </c>
      <c r="X2500" s="148">
        <f>IFERROR(__xludf.DUMMYFUNCTION("""COMPUTED_VALUE"""),0.0)</f>
        <v>0</v>
      </c>
      <c r="Y2500" s="148">
        <f>IFERROR(__xludf.DUMMYFUNCTION("""COMPUTED_VALUE"""),0.0)</f>
        <v>0</v>
      </c>
      <c r="Z2500" s="148"/>
    </row>
    <row r="2501">
      <c r="A2501" s="148">
        <f>IFERROR(__xludf.DUMMYFUNCTION("""COMPUTED_VALUE"""),1.1119436E7)</f>
        <v>11119436</v>
      </c>
      <c r="B2501" s="148" t="str">
        <f>IFERROR(__xludf.DUMMYFUNCTION("""COMPUTED_VALUE"""),"S300赛车-新增自选道具-战装自选1")</f>
        <v>S300赛车-新增自选道具-战装自选1</v>
      </c>
      <c r="C2501" s="148"/>
      <c r="D2501" s="148" t="str">
        <f>IFERROR(__xludf.DUMMYFUNCTION("""COMPUTED_VALUE"""),"item_select_box")</f>
        <v>item_select_box</v>
      </c>
      <c r="E2501" s="148">
        <f>IFERROR(__xludf.DUMMYFUNCTION("""COMPUTED_VALUE"""),19.0)</f>
        <v>19</v>
      </c>
      <c r="F2501" s="148">
        <f>IFERROR(__xludf.DUMMYFUNCTION("""COMPUTED_VALUE"""),305221.0)</f>
        <v>305221</v>
      </c>
      <c r="G2501" s="148">
        <f>IFERROR(__xludf.DUMMYFUNCTION("""COMPUTED_VALUE"""),1.51100505E8)</f>
        <v>151100505</v>
      </c>
      <c r="H2501" s="148">
        <f>IFERROR(__xludf.DUMMYFUNCTION("""COMPUTED_VALUE"""),1.5112564E7)</f>
        <v>15112564</v>
      </c>
      <c r="I2501" s="148" t="str">
        <f>IFERROR(__xludf.DUMMYFUNCTION("""COMPUTED_VALUE"""),"{}")</f>
        <v>{}</v>
      </c>
      <c r="J2501" s="148" t="str">
        <f>IFERROR(__xludf.DUMMYFUNCTION("""COMPUTED_VALUE"""),"{""typ"":""lc"",""txt"":""LC_ITEM_race_car_game_choosen_box_equip_1_name""}")</f>
        <v>{"typ":"lc","txt":"LC_ITEM_race_car_game_choosen_box_equip_1_name"}</v>
      </c>
      <c r="K2501" s="148" t="str">
        <f>IFERROR(__xludf.DUMMYFUNCTION("""COMPUTED_VALUE"""),"{""typ"":""lc"",""txt"":""LC_ITEM_race_car_game_choosen_box_equip_1_desc""}")</f>
        <v>{"typ":"lc","txt":"LC_ITEM_race_car_game_choosen_box_equip_1_desc"}</v>
      </c>
      <c r="L2501" s="148" t="str">
        <f>IFERROR(__xludf.DUMMYFUNCTION("""COMPUTED_VALUE"""),"{}")</f>
        <v>{}</v>
      </c>
      <c r="M2501" s="148">
        <f>IFERROR(__xludf.DUMMYFUNCTION("""COMPUTED_VALUE"""),100.0)</f>
        <v>100</v>
      </c>
      <c r="N2501" s="148">
        <f>IFERROR(__xludf.DUMMYFUNCTION("""COMPUTED_VALUE"""),9.99999999E8)</f>
        <v>999999999</v>
      </c>
      <c r="O2501" s="148">
        <f>IFERROR(__xludf.DUMMYFUNCTION("""COMPUTED_VALUE"""),9.99999999E8)</f>
        <v>999999999</v>
      </c>
      <c r="P2501" s="148">
        <f>IFERROR(__xludf.DUMMYFUNCTION("""COMPUTED_VALUE"""),9.99999999E8)</f>
        <v>999999999</v>
      </c>
      <c r="Q2501" s="148" t="str">
        <f>IFERROR(__xludf.DUMMYFUNCTION("""COMPUTED_VALUE"""),"[""bag_other""]")</f>
        <v>["bag_other"]</v>
      </c>
      <c r="R2501" s="148" t="str">
        <f>IFERROR(__xludf.DUMMYFUNCTION("""COMPUTED_VALUE"""),"[""bag""]")</f>
        <v>["bag"]</v>
      </c>
      <c r="S2501" s="148" t="str">
        <f>IFERROR(__xludf.DUMMYFUNCTION("""COMPUTED_VALUE"""),"{""select_box"":[{""typ"":""item"",""id"":11118823,""val"":1},{""typ"":""item"",""id"":11118824,""val"":1},{""typ"":""item"",""id"":11118825,""val"":1},{""typ"":""item"",""id"":11118826,""val"":1},{""typ"":""item"",""id"":11118827,""val"":1},{""typ"":""it"&amp;"em"",""id"":11118828,""val"":1},{""typ"":""item"",""id"":11118829,""val"":1},{""typ"":""item"",""id"":11118830,""val"":1},{""typ"":""item"",""id"":11118831,""val"":1},{""typ"":""item"",""id"":11118832,""val"":1},{""typ"":""item"",""id"":11118833,""val"":1"&amp;"},{""typ"":""item"",""id"":11118834,""val"":1},{""typ"":""material"",""id"":19345003,""val"":250},{""typ"":""material"",""id"":19345004,""val"":20}]}")</f>
        <v>{"select_box":[{"typ":"item","id":11118823,"val":1},{"typ":"item","id":11118824,"val":1},{"typ":"item","id":11118825,"val":1},{"typ":"item","id":11118826,"val":1},{"typ":"item","id":11118827,"val":1},{"typ":"item","id":11118828,"val":1},{"typ":"item","id":11118829,"val":1},{"typ":"item","id":11118830,"val":1},{"typ":"item","id":11118831,"val":1},{"typ":"item","id":11118832,"val":1},{"typ":"item","id":11118833,"val":1},{"typ":"item","id":11118834,"val":1},{"typ":"material","id":19345003,"val":250},{"typ":"material","id":19345004,"val":20}]}</v>
      </c>
      <c r="T2501" s="148">
        <f>IFERROR(__xludf.DUMMYFUNCTION("""COMPUTED_VALUE"""),-1.0)</f>
        <v>-1</v>
      </c>
      <c r="U2501" s="148">
        <f>IFERROR(__xludf.DUMMYFUNCTION("""COMPUTED_VALUE"""),0.0)</f>
        <v>0</v>
      </c>
      <c r="V2501" s="148" t="str">
        <f>IFERROR(__xludf.DUMMYFUNCTION("""COMPUTED_VALUE"""),"[]")</f>
        <v>[]</v>
      </c>
      <c r="W2501" s="148">
        <f>IFERROR(__xludf.DUMMYFUNCTION("""COMPUTED_VALUE"""),1.1741004E7)</f>
        <v>11741004</v>
      </c>
      <c r="X2501" s="148">
        <f>IFERROR(__xludf.DUMMYFUNCTION("""COMPUTED_VALUE"""),0.0)</f>
        <v>0</v>
      </c>
      <c r="Y2501" s="148">
        <f>IFERROR(__xludf.DUMMYFUNCTION("""COMPUTED_VALUE"""),0.0)</f>
        <v>0</v>
      </c>
      <c r="Z2501" s="148"/>
    </row>
    <row r="2502">
      <c r="A2502" s="148">
        <f>IFERROR(__xludf.DUMMYFUNCTION("""COMPUTED_VALUE"""),1.1119437E7)</f>
        <v>11119437</v>
      </c>
      <c r="B2502" s="148" t="str">
        <f>IFERROR(__xludf.DUMMYFUNCTION("""COMPUTED_VALUE"""),"S300赛车-新增自选道具-战装自选2")</f>
        <v>S300赛车-新增自选道具-战装自选2</v>
      </c>
      <c r="C2502" s="148"/>
      <c r="D2502" s="148" t="str">
        <f>IFERROR(__xludf.DUMMYFUNCTION("""COMPUTED_VALUE"""),"item_select_box")</f>
        <v>item_select_box</v>
      </c>
      <c r="E2502" s="148">
        <f>IFERROR(__xludf.DUMMYFUNCTION("""COMPUTED_VALUE"""),19.0)</f>
        <v>19</v>
      </c>
      <c r="F2502" s="148">
        <f>IFERROR(__xludf.DUMMYFUNCTION("""COMPUTED_VALUE"""),305221.0)</f>
        <v>305221</v>
      </c>
      <c r="G2502" s="148">
        <f>IFERROR(__xludf.DUMMYFUNCTION("""COMPUTED_VALUE"""),1.51100506E8)</f>
        <v>151100506</v>
      </c>
      <c r="H2502" s="148">
        <f>IFERROR(__xludf.DUMMYFUNCTION("""COMPUTED_VALUE"""),1.5112564E7)</f>
        <v>15112564</v>
      </c>
      <c r="I2502" s="148" t="str">
        <f>IFERROR(__xludf.DUMMYFUNCTION("""COMPUTED_VALUE"""),"{}")</f>
        <v>{}</v>
      </c>
      <c r="J2502" s="148" t="str">
        <f>IFERROR(__xludf.DUMMYFUNCTION("""COMPUTED_VALUE"""),"{""typ"":""lc"",""txt"":""LC_ITEM_race_car_game_choosen_box_equip_2_name""}")</f>
        <v>{"typ":"lc","txt":"LC_ITEM_race_car_game_choosen_box_equip_2_name"}</v>
      </c>
      <c r="K2502" s="148" t="str">
        <f>IFERROR(__xludf.DUMMYFUNCTION("""COMPUTED_VALUE"""),"{""typ"":""lc"",""txt"":""LC_ITEM_race_car_game_choosen_box_equip_2_desc""}")</f>
        <v>{"typ":"lc","txt":"LC_ITEM_race_car_game_choosen_box_equip_2_desc"}</v>
      </c>
      <c r="L2502" s="148" t="str">
        <f>IFERROR(__xludf.DUMMYFUNCTION("""COMPUTED_VALUE"""),"{}")</f>
        <v>{}</v>
      </c>
      <c r="M2502" s="148">
        <f>IFERROR(__xludf.DUMMYFUNCTION("""COMPUTED_VALUE"""),100.0)</f>
        <v>100</v>
      </c>
      <c r="N2502" s="148">
        <f>IFERROR(__xludf.DUMMYFUNCTION("""COMPUTED_VALUE"""),9.99999999E8)</f>
        <v>999999999</v>
      </c>
      <c r="O2502" s="148">
        <f>IFERROR(__xludf.DUMMYFUNCTION("""COMPUTED_VALUE"""),9.99999999E8)</f>
        <v>999999999</v>
      </c>
      <c r="P2502" s="148">
        <f>IFERROR(__xludf.DUMMYFUNCTION("""COMPUTED_VALUE"""),9.99999999E8)</f>
        <v>999999999</v>
      </c>
      <c r="Q2502" s="148" t="str">
        <f>IFERROR(__xludf.DUMMYFUNCTION("""COMPUTED_VALUE"""),"[""bag_other""]")</f>
        <v>["bag_other"]</v>
      </c>
      <c r="R2502" s="148" t="str">
        <f>IFERROR(__xludf.DUMMYFUNCTION("""COMPUTED_VALUE"""),"[""bag""]")</f>
        <v>["bag"]</v>
      </c>
      <c r="S2502" s="148" t="str">
        <f>IFERROR(__xludf.DUMMYFUNCTION("""COMPUTED_VALUE"""),"{""select_box"":[{""typ"":""item"",""id"":11118835,""val"":1},{""typ"":""item"",""id"":11118836,""val"":1},{""typ"":""item"",""id"":11118837,""val"":1},{""typ"":""item"",""id"":11118838,""val"":1},{""typ"":""item"",""id"":11118839,""val"":1},{""typ"":""it"&amp;"em"",""id"":11118840,""val"":1},{""typ"":""item"",""id"":11118841,""val"":1},{""typ"":""item"",""id"":11118842,""val"":1},{""typ"":""item"",""id"":11118843,""val"":1},{""typ"":""item"",""id"":11118844,""val"":1},{""typ"":""item"",""id"":11118845,""val"":1"&amp;"},{""typ"":""item"",""id"":11118846,""val"":1},{""typ"":""lockrune"",""id"":19345010,""val"":10},{""typ"":""material"",""id"":19345012,""val"":5}]}")</f>
        <v>{"select_box":[{"typ":"item","id":11118835,"val":1},{"typ":"item","id":11118836,"val":1},{"typ":"item","id":11118837,"val":1},{"typ":"item","id":11118838,"val":1},{"typ":"item","id":11118839,"val":1},{"typ":"item","id":11118840,"val":1},{"typ":"item","id":11118841,"val":1},{"typ":"item","id":11118842,"val":1},{"typ":"item","id":11118843,"val":1},{"typ":"item","id":11118844,"val":1},{"typ":"item","id":11118845,"val":1},{"typ":"item","id":11118846,"val":1},{"typ":"lockrune","id":19345010,"val":10},{"typ":"material","id":19345012,"val":5}]}</v>
      </c>
      <c r="T2502" s="148">
        <f>IFERROR(__xludf.DUMMYFUNCTION("""COMPUTED_VALUE"""),-1.0)</f>
        <v>-1</v>
      </c>
      <c r="U2502" s="148">
        <f>IFERROR(__xludf.DUMMYFUNCTION("""COMPUTED_VALUE"""),0.0)</f>
        <v>0</v>
      </c>
      <c r="V2502" s="148" t="str">
        <f>IFERROR(__xludf.DUMMYFUNCTION("""COMPUTED_VALUE"""),"[]")</f>
        <v>[]</v>
      </c>
      <c r="W2502" s="148">
        <f>IFERROR(__xludf.DUMMYFUNCTION("""COMPUTED_VALUE"""),1.1741004E7)</f>
        <v>11741004</v>
      </c>
      <c r="X2502" s="148">
        <f>IFERROR(__xludf.DUMMYFUNCTION("""COMPUTED_VALUE"""),0.0)</f>
        <v>0</v>
      </c>
      <c r="Y2502" s="148">
        <f>IFERROR(__xludf.DUMMYFUNCTION("""COMPUTED_VALUE"""),0.0)</f>
        <v>0</v>
      </c>
      <c r="Z2502" s="148"/>
    </row>
    <row r="2503">
      <c r="A2503" s="148">
        <f>IFERROR(__xludf.DUMMYFUNCTION("""COMPUTED_VALUE"""),1.1119438E7)</f>
        <v>11119438</v>
      </c>
      <c r="B2503" s="148" t="str">
        <f>IFERROR(__xludf.DUMMYFUNCTION("""COMPUTED_VALUE"""),"S300赛车-新增自选道具-机甲自选1")</f>
        <v>S300赛车-新增自选道具-机甲自选1</v>
      </c>
      <c r="C2503" s="148"/>
      <c r="D2503" s="148" t="str">
        <f>IFERROR(__xludf.DUMMYFUNCTION("""COMPUTED_VALUE"""),"item_select_box")</f>
        <v>item_select_box</v>
      </c>
      <c r="E2503" s="148">
        <f>IFERROR(__xludf.DUMMYFUNCTION("""COMPUTED_VALUE"""),19.0)</f>
        <v>19</v>
      </c>
      <c r="F2503" s="148">
        <f>IFERROR(__xludf.DUMMYFUNCTION("""COMPUTED_VALUE"""),305221.0)</f>
        <v>305221</v>
      </c>
      <c r="G2503" s="148">
        <f>IFERROR(__xludf.DUMMYFUNCTION("""COMPUTED_VALUE"""),1.51100507E8)</f>
        <v>151100507</v>
      </c>
      <c r="H2503" s="148">
        <f>IFERROR(__xludf.DUMMYFUNCTION("""COMPUTED_VALUE"""),1.5112564E7)</f>
        <v>15112564</v>
      </c>
      <c r="I2503" s="148" t="str">
        <f>IFERROR(__xludf.DUMMYFUNCTION("""COMPUTED_VALUE"""),"{}")</f>
        <v>{}</v>
      </c>
      <c r="J2503" s="148" t="str">
        <f>IFERROR(__xludf.DUMMYFUNCTION("""COMPUTED_VALUE"""),"{""typ"":""lc"",""txt"":""LC_ITEM_race_car_game_choosen_box_mecha_1_name""}")</f>
        <v>{"typ":"lc","txt":"LC_ITEM_race_car_game_choosen_box_mecha_1_name"}</v>
      </c>
      <c r="K2503" s="148" t="str">
        <f>IFERROR(__xludf.DUMMYFUNCTION("""COMPUTED_VALUE"""),"{""typ"":""lc"",""txt"":""LC_ITEM_race_car_game_choosen_box_mecha_1_desc""}")</f>
        <v>{"typ":"lc","txt":"LC_ITEM_race_car_game_choosen_box_mecha_1_desc"}</v>
      </c>
      <c r="L2503" s="148" t="str">
        <f>IFERROR(__xludf.DUMMYFUNCTION("""COMPUTED_VALUE"""),"{}")</f>
        <v>{}</v>
      </c>
      <c r="M2503" s="148">
        <f>IFERROR(__xludf.DUMMYFUNCTION("""COMPUTED_VALUE"""),100.0)</f>
        <v>100</v>
      </c>
      <c r="N2503" s="148">
        <f>IFERROR(__xludf.DUMMYFUNCTION("""COMPUTED_VALUE"""),9.99999999E8)</f>
        <v>999999999</v>
      </c>
      <c r="O2503" s="148">
        <f>IFERROR(__xludf.DUMMYFUNCTION("""COMPUTED_VALUE"""),9.99999999E8)</f>
        <v>999999999</v>
      </c>
      <c r="P2503" s="148">
        <f>IFERROR(__xludf.DUMMYFUNCTION("""COMPUTED_VALUE"""),9.99999999E8)</f>
        <v>999999999</v>
      </c>
      <c r="Q2503" s="148" t="str">
        <f>IFERROR(__xludf.DUMMYFUNCTION("""COMPUTED_VALUE"""),"[""bag_other""]")</f>
        <v>["bag_other"]</v>
      </c>
      <c r="R2503" s="148" t="str">
        <f>IFERROR(__xludf.DUMMYFUNCTION("""COMPUTED_VALUE"""),"[""bag""]")</f>
        <v>["bag"]</v>
      </c>
      <c r="S2503" s="148" t="str">
        <f>IFERROR(__xludf.DUMMYFUNCTION("""COMPUTED_VALUE"""),"{""select_box"":[{""typ"":""item"",""id"":11117913,""val"":1},{""typ"":""item"",""id"":11117914,""val"":1},{""typ"":""item"",""id"":11117915,""val"":1},{""typ"":""item"",""id"":11117916,""val"":1},{""typ"":""item"",""id"":11117917,""val"":1},{""typ"":""it"&amp;"em"",""id"":11117918,""val"":1},{""typ"":""item"",""id"":11117903,""val"":60},{""typ"":""item"",""id"":11117909,""val"":10}]}")</f>
        <v>{"select_box":[{"typ":"item","id":11117913,"val":1},{"typ":"item","id":11117914,"val":1},{"typ":"item","id":11117915,"val":1},{"typ":"item","id":11117916,"val":1},{"typ":"item","id":11117917,"val":1},{"typ":"item","id":11117918,"val":1},{"typ":"item","id":11117903,"val":60},{"typ":"item","id":11117909,"val":10}]}</v>
      </c>
      <c r="T2503" s="148">
        <f>IFERROR(__xludf.DUMMYFUNCTION("""COMPUTED_VALUE"""),-1.0)</f>
        <v>-1</v>
      </c>
      <c r="U2503" s="148">
        <f>IFERROR(__xludf.DUMMYFUNCTION("""COMPUTED_VALUE"""),0.0)</f>
        <v>0</v>
      </c>
      <c r="V2503" s="148" t="str">
        <f>IFERROR(__xludf.DUMMYFUNCTION("""COMPUTED_VALUE"""),"[]")</f>
        <v>[]</v>
      </c>
      <c r="W2503" s="148">
        <f>IFERROR(__xludf.DUMMYFUNCTION("""COMPUTED_VALUE"""),1.1741004E7)</f>
        <v>11741004</v>
      </c>
      <c r="X2503" s="148">
        <f>IFERROR(__xludf.DUMMYFUNCTION("""COMPUTED_VALUE"""),0.0)</f>
        <v>0</v>
      </c>
      <c r="Y2503" s="148">
        <f>IFERROR(__xludf.DUMMYFUNCTION("""COMPUTED_VALUE"""),0.0)</f>
        <v>0</v>
      </c>
      <c r="Z2503" s="148"/>
    </row>
    <row r="2504">
      <c r="A2504" s="148">
        <f>IFERROR(__xludf.DUMMYFUNCTION("""COMPUTED_VALUE"""),1.1119439E7)</f>
        <v>11119439</v>
      </c>
      <c r="B2504" s="148" t="str">
        <f>IFERROR(__xludf.DUMMYFUNCTION("""COMPUTED_VALUE"""),"S300拉力赛BP+开箱解锁道具1")</f>
        <v>S300拉力赛BP+开箱解锁道具1</v>
      </c>
      <c r="C2504" s="148"/>
      <c r="D2504" s="148" t="str">
        <f>IFERROR(__xludf.DUMMYFUNCTION("""COMPUTED_VALUE"""),"battle_pass_card")</f>
        <v>battle_pass_card</v>
      </c>
      <c r="E2504" s="148">
        <f>IFERROR(__xludf.DUMMYFUNCTION("""COMPUTED_VALUE"""),0.0)</f>
        <v>0</v>
      </c>
      <c r="F2504" s="148">
        <f>IFERROR(__xludf.DUMMYFUNCTION("""COMPUTED_VALUE"""),0.0)</f>
        <v>0</v>
      </c>
      <c r="G2504" s="148">
        <f>IFERROR(__xludf.DUMMYFUNCTION("""COMPUTED_VALUE"""),1.51101403E8)</f>
        <v>151101403</v>
      </c>
      <c r="H2504" s="148">
        <f>IFERROR(__xludf.DUMMYFUNCTION("""COMPUTED_VALUE"""),1.5112564E7)</f>
        <v>15112564</v>
      </c>
      <c r="I2504" s="148" t="str">
        <f>IFERROR(__xludf.DUMMYFUNCTION("""COMPUTED_VALUE"""),"{}")</f>
        <v>{}</v>
      </c>
      <c r="J2504" s="148" t="str">
        <f>IFERROR(__xludf.DUMMYFUNCTION("""COMPUTED_VALUE"""),"{""typ"":""lc"",""txt"":""LC_ITEM_s300_battlepass_unlock_1_name""}")</f>
        <v>{"typ":"lc","txt":"LC_ITEM_s300_battlepass_unlock_1_name"}</v>
      </c>
      <c r="K2504" s="148" t="str">
        <f>IFERROR(__xludf.DUMMYFUNCTION("""COMPUTED_VALUE"""),"{}")</f>
        <v>{}</v>
      </c>
      <c r="L2504" s="148" t="str">
        <f>IFERROR(__xludf.DUMMYFUNCTION("""COMPUTED_VALUE"""),"{}")</f>
        <v>{}</v>
      </c>
      <c r="M2504" s="148">
        <f>IFERROR(__xludf.DUMMYFUNCTION("""COMPUTED_VALUE"""),10.0)</f>
        <v>10</v>
      </c>
      <c r="N2504" s="148">
        <f>IFERROR(__xludf.DUMMYFUNCTION("""COMPUTED_VALUE"""),999999.0)</f>
        <v>999999</v>
      </c>
      <c r="O2504" s="148">
        <f>IFERROR(__xludf.DUMMYFUNCTION("""COMPUTED_VALUE"""),99999.0)</f>
        <v>99999</v>
      </c>
      <c r="P2504" s="148">
        <f>IFERROR(__xludf.DUMMYFUNCTION("""COMPUTED_VALUE"""),9999.0)</f>
        <v>9999</v>
      </c>
      <c r="Q2504" s="148" t="str">
        <f>IFERROR(__xludf.DUMMYFUNCTION("""COMPUTED_VALUE"""),"[]")</f>
        <v>[]</v>
      </c>
      <c r="R2504" s="148" t="str">
        <f>IFERROR(__xludf.DUMMYFUNCTION("""COMPUTED_VALUE"""),"[]")</f>
        <v>[]</v>
      </c>
      <c r="S2504" s="148" t="str">
        <f>IFERROR(__xludf.DUMMYFUNCTION("""COMPUTED_VALUE"""),"{}")</f>
        <v>{}</v>
      </c>
      <c r="T2504" s="148">
        <f>IFERROR(__xludf.DUMMYFUNCTION("""COMPUTED_VALUE"""),-1.0)</f>
        <v>-1</v>
      </c>
      <c r="U2504" s="148">
        <f>IFERROR(__xludf.DUMMYFUNCTION("""COMPUTED_VALUE"""),1.0)</f>
        <v>1</v>
      </c>
      <c r="V2504" s="148" t="str">
        <f>IFERROR(__xludf.DUMMYFUNCTION("""COMPUTED_VALUE"""),"[]")</f>
        <v>[]</v>
      </c>
      <c r="W2504" s="148">
        <f>IFERROR(__xludf.DUMMYFUNCTION("""COMPUTED_VALUE"""),1.174E7)</f>
        <v>11740000</v>
      </c>
      <c r="X2504" s="148">
        <f>IFERROR(__xludf.DUMMYFUNCTION("""COMPUTED_VALUE"""),0.0)</f>
        <v>0</v>
      </c>
      <c r="Y2504" s="148">
        <f>IFERROR(__xludf.DUMMYFUNCTION("""COMPUTED_VALUE"""),0.0)</f>
        <v>0</v>
      </c>
      <c r="Z2504" s="148"/>
    </row>
    <row r="2505">
      <c r="A2505" s="148">
        <f>IFERROR(__xludf.DUMMYFUNCTION("""COMPUTED_VALUE"""),1.111944E7)</f>
        <v>11119440</v>
      </c>
      <c r="B2505" s="148" t="str">
        <f>IFERROR(__xludf.DUMMYFUNCTION("""COMPUTED_VALUE"""),"S300拉力赛BP+开箱解锁道具2")</f>
        <v>S300拉力赛BP+开箱解锁道具2</v>
      </c>
      <c r="C2505" s="148"/>
      <c r="D2505" s="148" t="str">
        <f>IFERROR(__xludf.DUMMYFUNCTION("""COMPUTED_VALUE"""),"battle_pass_card")</f>
        <v>battle_pass_card</v>
      </c>
      <c r="E2505" s="148">
        <f>IFERROR(__xludf.DUMMYFUNCTION("""COMPUTED_VALUE"""),0.0)</f>
        <v>0</v>
      </c>
      <c r="F2505" s="148">
        <f>IFERROR(__xludf.DUMMYFUNCTION("""COMPUTED_VALUE"""),0.0)</f>
        <v>0</v>
      </c>
      <c r="G2505" s="148">
        <f>IFERROR(__xludf.DUMMYFUNCTION("""COMPUTED_VALUE"""),1.51101404E8)</f>
        <v>151101404</v>
      </c>
      <c r="H2505" s="148">
        <f>IFERROR(__xludf.DUMMYFUNCTION("""COMPUTED_VALUE"""),1.5112564E7)</f>
        <v>15112564</v>
      </c>
      <c r="I2505" s="148" t="str">
        <f>IFERROR(__xludf.DUMMYFUNCTION("""COMPUTED_VALUE"""),"{}")</f>
        <v>{}</v>
      </c>
      <c r="J2505" s="148" t="str">
        <f>IFERROR(__xludf.DUMMYFUNCTION("""COMPUTED_VALUE"""),"{""typ"":""lc"",""txt"":""LC_ITEM_s300_battlepass_unlock_2_name""}")</f>
        <v>{"typ":"lc","txt":"LC_ITEM_s300_battlepass_unlock_2_name"}</v>
      </c>
      <c r="K2505" s="148" t="str">
        <f>IFERROR(__xludf.DUMMYFUNCTION("""COMPUTED_VALUE"""),"{}")</f>
        <v>{}</v>
      </c>
      <c r="L2505" s="148" t="str">
        <f>IFERROR(__xludf.DUMMYFUNCTION("""COMPUTED_VALUE"""),"{}")</f>
        <v>{}</v>
      </c>
      <c r="M2505" s="148">
        <f>IFERROR(__xludf.DUMMYFUNCTION("""COMPUTED_VALUE"""),10.0)</f>
        <v>10</v>
      </c>
      <c r="N2505" s="148">
        <f>IFERROR(__xludf.DUMMYFUNCTION("""COMPUTED_VALUE"""),999999.0)</f>
        <v>999999</v>
      </c>
      <c r="O2505" s="148">
        <f>IFERROR(__xludf.DUMMYFUNCTION("""COMPUTED_VALUE"""),99999.0)</f>
        <v>99999</v>
      </c>
      <c r="P2505" s="148">
        <f>IFERROR(__xludf.DUMMYFUNCTION("""COMPUTED_VALUE"""),9999.0)</f>
        <v>9999</v>
      </c>
      <c r="Q2505" s="148" t="str">
        <f>IFERROR(__xludf.DUMMYFUNCTION("""COMPUTED_VALUE"""),"[]")</f>
        <v>[]</v>
      </c>
      <c r="R2505" s="148" t="str">
        <f>IFERROR(__xludf.DUMMYFUNCTION("""COMPUTED_VALUE"""),"[]")</f>
        <v>[]</v>
      </c>
      <c r="S2505" s="148" t="str">
        <f>IFERROR(__xludf.DUMMYFUNCTION("""COMPUTED_VALUE"""),"{}")</f>
        <v>{}</v>
      </c>
      <c r="T2505" s="148">
        <f>IFERROR(__xludf.DUMMYFUNCTION("""COMPUTED_VALUE"""),-1.0)</f>
        <v>-1</v>
      </c>
      <c r="U2505" s="148">
        <f>IFERROR(__xludf.DUMMYFUNCTION("""COMPUTED_VALUE"""),1.0)</f>
        <v>1</v>
      </c>
      <c r="V2505" s="148" t="str">
        <f>IFERROR(__xludf.DUMMYFUNCTION("""COMPUTED_VALUE"""),"[]")</f>
        <v>[]</v>
      </c>
      <c r="W2505" s="148">
        <f>IFERROR(__xludf.DUMMYFUNCTION("""COMPUTED_VALUE"""),1.174E7)</f>
        <v>11740000</v>
      </c>
      <c r="X2505" s="148">
        <f>IFERROR(__xludf.DUMMYFUNCTION("""COMPUTED_VALUE"""),0.0)</f>
        <v>0</v>
      </c>
      <c r="Y2505" s="148">
        <f>IFERROR(__xludf.DUMMYFUNCTION("""COMPUTED_VALUE"""),0.0)</f>
        <v>0</v>
      </c>
      <c r="Z2505" s="148"/>
    </row>
    <row r="2506">
      <c r="A2506" s="148">
        <f>IFERROR(__xludf.DUMMYFUNCTION("""COMPUTED_VALUE"""),1.1119441E7)</f>
        <v>11119441</v>
      </c>
      <c r="B2506" s="148" t="str">
        <f>IFERROR(__xludf.DUMMYFUNCTION("""COMPUTED_VALUE"""),"S300拉力赛BP+开箱积分道具")</f>
        <v>S300拉力赛BP+开箱积分道具</v>
      </c>
      <c r="C2506" s="148"/>
      <c r="D2506" s="148" t="str">
        <f>IFERROR(__xludf.DUMMYFUNCTION("""COMPUTED_VALUE"""),"battle_pass_exp")</f>
        <v>battle_pass_exp</v>
      </c>
      <c r="E2506" s="148">
        <f>IFERROR(__xludf.DUMMYFUNCTION("""COMPUTED_VALUE"""),0.0)</f>
        <v>0</v>
      </c>
      <c r="F2506" s="148">
        <f>IFERROR(__xludf.DUMMYFUNCTION("""COMPUTED_VALUE"""),405225.0)</f>
        <v>405225</v>
      </c>
      <c r="G2506" s="148">
        <f>IFERROR(__xludf.DUMMYFUNCTION("""COMPUTED_VALUE"""),1.51101402E8)</f>
        <v>151101402</v>
      </c>
      <c r="H2506" s="148">
        <f>IFERROR(__xludf.DUMMYFUNCTION("""COMPUTED_VALUE"""),1.5112563E7)</f>
        <v>15112563</v>
      </c>
      <c r="I2506" s="148" t="str">
        <f>IFERROR(__xludf.DUMMYFUNCTION("""COMPUTED_VALUE"""),"{}")</f>
        <v>{}</v>
      </c>
      <c r="J2506" s="148" t="str">
        <f>IFERROR(__xludf.DUMMYFUNCTION("""COMPUTED_VALUE"""),"{""typ"":""lc"",""txt"":""LC_ITEM_s300_battlepass_lvlup_name""}")</f>
        <v>{"typ":"lc","txt":"LC_ITEM_s300_battlepass_lvlup_name"}</v>
      </c>
      <c r="K2506" s="148" t="str">
        <f>IFERROR(__xludf.DUMMYFUNCTION("""COMPUTED_VALUE"""),"{}")</f>
        <v>{}</v>
      </c>
      <c r="L2506" s="148" t="str">
        <f>IFERROR(__xludf.DUMMYFUNCTION("""COMPUTED_VALUE"""),"{}")</f>
        <v>{}</v>
      </c>
      <c r="M2506" s="148">
        <f>IFERROR(__xludf.DUMMYFUNCTION("""COMPUTED_VALUE"""),35.0)</f>
        <v>35</v>
      </c>
      <c r="N2506" s="148">
        <f>IFERROR(__xludf.DUMMYFUNCTION("""COMPUTED_VALUE"""),999999.0)</f>
        <v>999999</v>
      </c>
      <c r="O2506" s="148">
        <f>IFERROR(__xludf.DUMMYFUNCTION("""COMPUTED_VALUE"""),99999.0)</f>
        <v>99999</v>
      </c>
      <c r="P2506" s="148">
        <f>IFERROR(__xludf.DUMMYFUNCTION("""COMPUTED_VALUE"""),99999.0)</f>
        <v>99999</v>
      </c>
      <c r="Q2506" s="148" t="str">
        <f>IFERROR(__xludf.DUMMYFUNCTION("""COMPUTED_VALUE"""),"[""bag_other""]")</f>
        <v>["bag_other"]</v>
      </c>
      <c r="R2506" s="148" t="str">
        <f>IFERROR(__xludf.DUMMYFUNCTION("""COMPUTED_VALUE"""),"[""bag""]")</f>
        <v>["bag"]</v>
      </c>
      <c r="S2506" s="148" t="str">
        <f>IFERROR(__xludf.DUMMYFUNCTION("""COMPUTED_VALUE"""),"{}")</f>
        <v>{}</v>
      </c>
      <c r="T2506" s="148">
        <f>IFERROR(__xludf.DUMMYFUNCTION("""COMPUTED_VALUE"""),-1.0)</f>
        <v>-1</v>
      </c>
      <c r="U2506" s="148">
        <f>IFERROR(__xludf.DUMMYFUNCTION("""COMPUTED_VALUE"""),1.0)</f>
        <v>1</v>
      </c>
      <c r="V2506" s="148" t="str">
        <f>IFERROR(__xludf.DUMMYFUNCTION("""COMPUTED_VALUE"""),"[]")</f>
        <v>[]</v>
      </c>
      <c r="W2506" s="148">
        <f>IFERROR(__xludf.DUMMYFUNCTION("""COMPUTED_VALUE"""),1.174E7)</f>
        <v>11740000</v>
      </c>
      <c r="X2506" s="148">
        <f>IFERROR(__xludf.DUMMYFUNCTION("""COMPUTED_VALUE"""),0.0)</f>
        <v>0</v>
      </c>
      <c r="Y2506" s="148">
        <f>IFERROR(__xludf.DUMMYFUNCTION("""COMPUTED_VALUE"""),0.0)</f>
        <v>0</v>
      </c>
      <c r="Z2506" s="148"/>
    </row>
    <row r="2507">
      <c r="A2507" s="148">
        <f>IFERROR(__xludf.DUMMYFUNCTION("""COMPUTED_VALUE"""),1.1119442E7)</f>
        <v>11119442</v>
      </c>
      <c r="B2507" s="148" t="str">
        <f>IFERROR(__xludf.DUMMYFUNCTION("""COMPUTED_VALUE"""),"S300拉力赛BP+开箱-gacha道具")</f>
        <v>S300拉力赛BP+开箱-gacha道具</v>
      </c>
      <c r="C2507" s="148"/>
      <c r="D2507" s="148" t="str">
        <f>IFERROR(__xludf.DUMMYFUNCTION("""COMPUTED_VALUE"""),"event")</f>
        <v>event</v>
      </c>
      <c r="E2507" s="148">
        <f>IFERROR(__xludf.DUMMYFUNCTION("""COMPUTED_VALUE"""),0.0)</f>
        <v>0</v>
      </c>
      <c r="F2507" s="148">
        <f>IFERROR(__xludf.DUMMYFUNCTION("""COMPUTED_VALUE"""),0.0)</f>
        <v>0</v>
      </c>
      <c r="G2507" s="148">
        <f>IFERROR(__xludf.DUMMYFUNCTION("""COMPUTED_VALUE"""),1.51101401E8)</f>
        <v>151101401</v>
      </c>
      <c r="H2507" s="148">
        <f>IFERROR(__xludf.DUMMYFUNCTION("""COMPUTED_VALUE"""),1.5112563E7)</f>
        <v>15112563</v>
      </c>
      <c r="I2507" s="148" t="str">
        <f>IFERROR(__xludf.DUMMYFUNCTION("""COMPUTED_VALUE"""),"{}")</f>
        <v>{}</v>
      </c>
      <c r="J2507" s="148" t="str">
        <f>IFERROR(__xludf.DUMMYFUNCTION("""COMPUTED_VALUE"""),"{""typ"":""lc"",""txt"":""LC_ITEM_s300_battlepass_gacha_key_name""}")</f>
        <v>{"typ":"lc","txt":"LC_ITEM_s300_battlepass_gacha_key_name"}</v>
      </c>
      <c r="K2507" s="148" t="str">
        <f>IFERROR(__xludf.DUMMYFUNCTION("""COMPUTED_VALUE"""),"{""typ"":""lc"",""txt"":""LC_ITEM_s300_battlepass_gacha_desc""}")</f>
        <v>{"typ":"lc","txt":"LC_ITEM_s300_battlepass_gacha_desc"}</v>
      </c>
      <c r="L2507" s="148" t="str">
        <f>IFERROR(__xludf.DUMMYFUNCTION("""COMPUTED_VALUE"""),"{}")</f>
        <v>{}</v>
      </c>
      <c r="M2507" s="148">
        <f>IFERROR(__xludf.DUMMYFUNCTION("""COMPUTED_VALUE"""),700.0)</f>
        <v>700</v>
      </c>
      <c r="N2507" s="148">
        <f>IFERROR(__xludf.DUMMYFUNCTION("""COMPUTED_VALUE"""),9.99999999E8)</f>
        <v>999999999</v>
      </c>
      <c r="O2507" s="148">
        <f>IFERROR(__xludf.DUMMYFUNCTION("""COMPUTED_VALUE"""),9.99999999E8)</f>
        <v>999999999</v>
      </c>
      <c r="P2507" s="148">
        <f>IFERROR(__xludf.DUMMYFUNCTION("""COMPUTED_VALUE"""),9.99999999E8)</f>
        <v>999999999</v>
      </c>
      <c r="Q2507" s="148" t="str">
        <f>IFERROR(__xludf.DUMMYFUNCTION("""COMPUTED_VALUE"""),"[""bag_other""]")</f>
        <v>["bag_other"]</v>
      </c>
      <c r="R2507" s="148" t="str">
        <f>IFERROR(__xludf.DUMMYFUNCTION("""COMPUTED_VALUE"""),"[""bag""]")</f>
        <v>["bag"]</v>
      </c>
      <c r="S2507" s="148" t="str">
        <f>IFERROR(__xludf.DUMMYFUNCTION("""COMPUTED_VALUE"""),"{""effect"":[{""typ"":""event"",""id"":21122190}]}")</f>
        <v>{"effect":[{"typ":"event","id":21122190}]}</v>
      </c>
      <c r="T2507" s="148">
        <f>IFERROR(__xludf.DUMMYFUNCTION("""COMPUTED_VALUE"""),1.0)</f>
        <v>1</v>
      </c>
      <c r="U2507" s="148">
        <f>IFERROR(__xludf.DUMMYFUNCTION("""COMPUTED_VALUE"""),0.0)</f>
        <v>0</v>
      </c>
      <c r="V2507" s="148" t="str">
        <f>IFERROR(__xludf.DUMMYFUNCTION("""COMPUTED_VALUE"""),"[]")</f>
        <v>[]</v>
      </c>
      <c r="W2507" s="148">
        <f>IFERROR(__xludf.DUMMYFUNCTION("""COMPUTED_VALUE"""),1.174E7)</f>
        <v>11740000</v>
      </c>
      <c r="X2507" s="148">
        <f>IFERROR(__xludf.DUMMYFUNCTION("""COMPUTED_VALUE"""),0.0)</f>
        <v>0</v>
      </c>
      <c r="Y2507" s="148">
        <f>IFERROR(__xludf.DUMMYFUNCTION("""COMPUTED_VALUE"""),0.0)</f>
        <v>0</v>
      </c>
      <c r="Z2507" s="148"/>
    </row>
    <row r="2508">
      <c r="A2508" s="148">
        <f>IFERROR(__xludf.DUMMYFUNCTION("""COMPUTED_VALUE"""),1.1119443E7)</f>
        <v>11119443</v>
      </c>
      <c r="B2508" s="148" t="str">
        <f>IFERROR(__xludf.DUMMYFUNCTION("""COMPUTED_VALUE"""),"S300拉力赛BP+开箱-宝箱道具")</f>
        <v>S300拉力赛BP+开箱-宝箱道具</v>
      </c>
      <c r="C2508" s="148"/>
      <c r="D2508" s="148" t="str">
        <f>IFERROR(__xludf.DUMMYFUNCTION("""COMPUTED_VALUE"""),"event")</f>
        <v>event</v>
      </c>
      <c r="E2508" s="148">
        <f>IFERROR(__xludf.DUMMYFUNCTION("""COMPUTED_VALUE"""),0.0)</f>
        <v>0</v>
      </c>
      <c r="F2508" s="148">
        <f>IFERROR(__xludf.DUMMYFUNCTION("""COMPUTED_VALUE"""),0.0)</f>
        <v>0</v>
      </c>
      <c r="G2508" s="148">
        <f>IFERROR(__xludf.DUMMYFUNCTION("""COMPUTED_VALUE"""),1.51101398E8)</f>
        <v>151101398</v>
      </c>
      <c r="H2508" s="148">
        <f>IFERROR(__xludf.DUMMYFUNCTION("""COMPUTED_VALUE"""),1.5112563E7)</f>
        <v>15112563</v>
      </c>
      <c r="I2508" s="148" t="str">
        <f>IFERROR(__xludf.DUMMYFUNCTION("""COMPUTED_VALUE"""),"{}")</f>
        <v>{}</v>
      </c>
      <c r="J2508" s="148" t="str">
        <f>IFERROR(__xludf.DUMMYFUNCTION("""COMPUTED_VALUE"""),"{""typ"":""lc"",""txt"":""LC_ITEM_s300_battlepass_gacha_box_name""}")</f>
        <v>{"typ":"lc","txt":"LC_ITEM_s300_battlepass_gacha_box_name"}</v>
      </c>
      <c r="K2508" s="148" t="str">
        <f>IFERROR(__xludf.DUMMYFUNCTION("""COMPUTED_VALUE"""),"{""typ"":""lc"",""txt"":""LC_ITEM_s300_battlepass_gacha_box_desc""}")</f>
        <v>{"typ":"lc","txt":"LC_ITEM_s300_battlepass_gacha_box_desc"}</v>
      </c>
      <c r="L2508" s="148" t="str">
        <f>IFERROR(__xludf.DUMMYFUNCTION("""COMPUTED_VALUE"""),"{}")</f>
        <v>{}</v>
      </c>
      <c r="M2508" s="148">
        <f>IFERROR(__xludf.DUMMYFUNCTION("""COMPUTED_VALUE"""),700.0)</f>
        <v>700</v>
      </c>
      <c r="N2508" s="148">
        <f>IFERROR(__xludf.DUMMYFUNCTION("""COMPUTED_VALUE"""),9.99999999E8)</f>
        <v>999999999</v>
      </c>
      <c r="O2508" s="148">
        <f>IFERROR(__xludf.DUMMYFUNCTION("""COMPUTED_VALUE"""),9.99999999E8)</f>
        <v>999999999</v>
      </c>
      <c r="P2508" s="148">
        <f>IFERROR(__xludf.DUMMYFUNCTION("""COMPUTED_VALUE"""),9.99999999E8)</f>
        <v>999999999</v>
      </c>
      <c r="Q2508" s="148" t="str">
        <f>IFERROR(__xludf.DUMMYFUNCTION("""COMPUTED_VALUE"""),"[""bag_other""]")</f>
        <v>["bag_other"]</v>
      </c>
      <c r="R2508" s="148" t="str">
        <f>IFERROR(__xludf.DUMMYFUNCTION("""COMPUTED_VALUE"""),"[""bag""]")</f>
        <v>["bag"]</v>
      </c>
      <c r="S2508" s="148" t="str">
        <f>IFERROR(__xludf.DUMMYFUNCTION("""COMPUTED_VALUE"""),"{""effect"":[{""typ"":""event"",""id"":21122190}]}")</f>
        <v>{"effect":[{"typ":"event","id":21122190}]}</v>
      </c>
      <c r="T2508" s="148">
        <f>IFERROR(__xludf.DUMMYFUNCTION("""COMPUTED_VALUE"""),1.0)</f>
        <v>1</v>
      </c>
      <c r="U2508" s="148">
        <f>IFERROR(__xludf.DUMMYFUNCTION("""COMPUTED_VALUE"""),0.0)</f>
        <v>0</v>
      </c>
      <c r="V2508" s="148" t="str">
        <f>IFERROR(__xludf.DUMMYFUNCTION("""COMPUTED_VALUE"""),"[]")</f>
        <v>[]</v>
      </c>
      <c r="W2508" s="148">
        <f>IFERROR(__xludf.DUMMYFUNCTION("""COMPUTED_VALUE"""),1.174E7)</f>
        <v>11740000</v>
      </c>
      <c r="X2508" s="148">
        <f>IFERROR(__xludf.DUMMYFUNCTION("""COMPUTED_VALUE"""),0.0)</f>
        <v>0</v>
      </c>
      <c r="Y2508" s="148">
        <f>IFERROR(__xludf.DUMMYFUNCTION("""COMPUTED_VALUE"""),0.0)</f>
        <v>0</v>
      </c>
      <c r="Z2508" s="148"/>
    </row>
    <row r="2509">
      <c r="A2509" s="148">
        <f>IFERROR(__xludf.DUMMYFUNCTION("""COMPUTED_VALUE"""),1.1119444E7)</f>
        <v>11119444</v>
      </c>
      <c r="B2509" s="148" t="str">
        <f>IFERROR(__xludf.DUMMYFUNCTION("""COMPUTED_VALUE"""),"科技节2025-累充抽奖道具")</f>
        <v>科技节2025-累充抽奖道具</v>
      </c>
      <c r="C2509" s="148"/>
      <c r="D2509" s="148" t="str">
        <f>IFERROR(__xludf.DUMMYFUNCTION("""COMPUTED_VALUE"""),"event")</f>
        <v>event</v>
      </c>
      <c r="E2509" s="148">
        <f>IFERROR(__xludf.DUMMYFUNCTION("""COMPUTED_VALUE"""),0.0)</f>
        <v>0</v>
      </c>
      <c r="F2509" s="148">
        <f>IFERROR(__xludf.DUMMYFUNCTION("""COMPUTED_VALUE"""),0.0)</f>
        <v>0</v>
      </c>
      <c r="G2509" s="148">
        <f>IFERROR(__xludf.DUMMYFUNCTION("""COMPUTED_VALUE"""),1.51101361E8)</f>
        <v>151101361</v>
      </c>
      <c r="H2509" s="148">
        <f>IFERROR(__xludf.DUMMYFUNCTION("""COMPUTED_VALUE"""),1.5112563E7)</f>
        <v>15112563</v>
      </c>
      <c r="I2509" s="148" t="str">
        <f>IFERROR(__xludf.DUMMYFUNCTION("""COMPUTED_VALUE"""),"{}")</f>
        <v>{}</v>
      </c>
      <c r="J2509" s="148" t="str">
        <f>IFERROR(__xludf.DUMMYFUNCTION("""COMPUTED_VALUE"""),"{""typ"":""lc"",""txt"":""LC_ITEM_tech_super_lotto_name""}")</f>
        <v>{"typ":"lc","txt":"LC_ITEM_tech_super_lotto_name"}</v>
      </c>
      <c r="K2509" s="148" t="str">
        <f>IFERROR(__xludf.DUMMYFUNCTION("""COMPUTED_VALUE"""),"{""typ"":""lc"",""txt"":""LC_ITEM_tech_super_lotto_desc""}")</f>
        <v>{"typ":"lc","txt":"LC_ITEM_tech_super_lotto_desc"}</v>
      </c>
      <c r="L2509" s="148" t="str">
        <f>IFERROR(__xludf.DUMMYFUNCTION("""COMPUTED_VALUE"""),"{}")</f>
        <v>{}</v>
      </c>
      <c r="M2509" s="148">
        <f>IFERROR(__xludf.DUMMYFUNCTION("""COMPUTED_VALUE"""),700.0)</f>
        <v>700</v>
      </c>
      <c r="N2509" s="148">
        <f>IFERROR(__xludf.DUMMYFUNCTION("""COMPUTED_VALUE"""),9.99999999E8)</f>
        <v>999999999</v>
      </c>
      <c r="O2509" s="148">
        <f>IFERROR(__xludf.DUMMYFUNCTION("""COMPUTED_VALUE"""),9.99999999E8)</f>
        <v>999999999</v>
      </c>
      <c r="P2509" s="148">
        <f>IFERROR(__xludf.DUMMYFUNCTION("""COMPUTED_VALUE"""),9.99999999E8)</f>
        <v>999999999</v>
      </c>
      <c r="Q2509" s="148" t="str">
        <f>IFERROR(__xludf.DUMMYFUNCTION("""COMPUTED_VALUE"""),"[""bag_other""]")</f>
        <v>["bag_other"]</v>
      </c>
      <c r="R2509" s="148" t="str">
        <f>IFERROR(__xludf.DUMMYFUNCTION("""COMPUTED_VALUE"""),"[""bag""]")</f>
        <v>["bag"]</v>
      </c>
      <c r="S2509" s="148" t="str">
        <f>IFERROR(__xludf.DUMMYFUNCTION("""COMPUTED_VALUE"""),"{""effect"":[{""typ"":""event"",""id"":21127335}]}")</f>
        <v>{"effect":[{"typ":"event","id":21127335}]}</v>
      </c>
      <c r="T2509" s="148">
        <f>IFERROR(__xludf.DUMMYFUNCTION("""COMPUTED_VALUE"""),1.0)</f>
        <v>1</v>
      </c>
      <c r="U2509" s="148">
        <f>IFERROR(__xludf.DUMMYFUNCTION("""COMPUTED_VALUE"""),0.0)</f>
        <v>0</v>
      </c>
      <c r="V2509" s="148" t="str">
        <f>IFERROR(__xludf.DUMMYFUNCTION("""COMPUTED_VALUE"""),"[]")</f>
        <v>[]</v>
      </c>
      <c r="W2509" s="148">
        <f>IFERROR(__xludf.DUMMYFUNCTION("""COMPUTED_VALUE"""),1.174E7)</f>
        <v>11740000</v>
      </c>
      <c r="X2509" s="148">
        <f>IFERROR(__xludf.DUMMYFUNCTION("""COMPUTED_VALUE"""),0.0)</f>
        <v>0</v>
      </c>
      <c r="Y2509" s="148">
        <f>IFERROR(__xludf.DUMMYFUNCTION("""COMPUTED_VALUE"""),0.0)</f>
        <v>0</v>
      </c>
      <c r="Z2509" s="148"/>
    </row>
    <row r="2510">
      <c r="A2510" s="148">
        <f>IFERROR(__xludf.DUMMYFUNCTION("""COMPUTED_VALUE"""),1.1119445E7)</f>
        <v>11119445</v>
      </c>
      <c r="B2510" s="148" t="str">
        <f>IFERROR(__xludf.DUMMYFUNCTION("""COMPUTED_VALUE"""),"S300商店-兑换代币")</f>
        <v>S300商店-兑换代币</v>
      </c>
      <c r="C2510" s="148"/>
      <c r="D2510" s="148" t="str">
        <f>IFERROR(__xludf.DUMMYFUNCTION("""COMPUTED_VALUE"""),"event")</f>
        <v>event</v>
      </c>
      <c r="E2510" s="148">
        <f>IFERROR(__xludf.DUMMYFUNCTION("""COMPUTED_VALUE"""),0.0)</f>
        <v>0</v>
      </c>
      <c r="F2510" s="148">
        <f>IFERROR(__xludf.DUMMYFUNCTION("""COMPUTED_VALUE"""),0.0)</f>
        <v>0</v>
      </c>
      <c r="G2510" s="148">
        <f>IFERROR(__xludf.DUMMYFUNCTION("""COMPUTED_VALUE"""),1.51101388E8)</f>
        <v>151101388</v>
      </c>
      <c r="H2510" s="148">
        <f>IFERROR(__xludf.DUMMYFUNCTION("""COMPUTED_VALUE"""),1.5112563E7)</f>
        <v>15112563</v>
      </c>
      <c r="I2510" s="148" t="str">
        <f>IFERROR(__xludf.DUMMYFUNCTION("""COMPUTED_VALUE"""),"{}")</f>
        <v>{}</v>
      </c>
      <c r="J2510" s="148" t="str">
        <f>IFERROR(__xludf.DUMMYFUNCTION("""COMPUTED_VALUE"""),"{""typ"":""lc"",""txt"":""LC_ITEM_event_s300_exchange_item""}")</f>
        <v>{"typ":"lc","txt":"LC_ITEM_event_s300_exchange_item"}</v>
      </c>
      <c r="K2510" s="148" t="str">
        <f>IFERROR(__xludf.DUMMYFUNCTION("""COMPUTED_VALUE"""),"{""typ"":""lc"",""txt"":""LC_ITEM_event_s300_exchange_desc""}")</f>
        <v>{"typ":"lc","txt":"LC_ITEM_event_s300_exchange_desc"}</v>
      </c>
      <c r="L2510" s="148" t="str">
        <f>IFERROR(__xludf.DUMMYFUNCTION("""COMPUTED_VALUE"""),"{}")</f>
        <v>{}</v>
      </c>
      <c r="M2510" s="148">
        <f>IFERROR(__xludf.DUMMYFUNCTION("""COMPUTED_VALUE"""),700.0)</f>
        <v>700</v>
      </c>
      <c r="N2510" s="148">
        <f>IFERROR(__xludf.DUMMYFUNCTION("""COMPUTED_VALUE"""),9.99999999E8)</f>
        <v>999999999</v>
      </c>
      <c r="O2510" s="148">
        <f>IFERROR(__xludf.DUMMYFUNCTION("""COMPUTED_VALUE"""),9.99999999E8)</f>
        <v>999999999</v>
      </c>
      <c r="P2510" s="148">
        <f>IFERROR(__xludf.DUMMYFUNCTION("""COMPUTED_VALUE"""),9.99999999E8)</f>
        <v>999999999</v>
      </c>
      <c r="Q2510" s="148" t="str">
        <f>IFERROR(__xludf.DUMMYFUNCTION("""COMPUTED_VALUE"""),"[""bag_other""]")</f>
        <v>["bag_other"]</v>
      </c>
      <c r="R2510" s="148" t="str">
        <f>IFERROR(__xludf.DUMMYFUNCTION("""COMPUTED_VALUE"""),"[""bag""]")</f>
        <v>["bag"]</v>
      </c>
      <c r="S2510" s="148" t="str">
        <f>IFERROR(__xludf.DUMMYFUNCTION("""COMPUTED_VALUE"""),"{}")</f>
        <v>{}</v>
      </c>
      <c r="T2510" s="148">
        <f>IFERROR(__xludf.DUMMYFUNCTION("""COMPUTED_VALUE"""),1.0)</f>
        <v>1</v>
      </c>
      <c r="U2510" s="148">
        <f>IFERROR(__xludf.DUMMYFUNCTION("""COMPUTED_VALUE"""),0.0)</f>
        <v>0</v>
      </c>
      <c r="V2510" s="148" t="str">
        <f>IFERROR(__xludf.DUMMYFUNCTION("""COMPUTED_VALUE"""),"[]")</f>
        <v>[]</v>
      </c>
      <c r="W2510" s="148">
        <f>IFERROR(__xludf.DUMMYFUNCTION("""COMPUTED_VALUE"""),1.174E7)</f>
        <v>11740000</v>
      </c>
      <c r="X2510" s="148">
        <f>IFERROR(__xludf.DUMMYFUNCTION("""COMPUTED_VALUE"""),0.0)</f>
        <v>0</v>
      </c>
      <c r="Y2510" s="148">
        <f>IFERROR(__xludf.DUMMYFUNCTION("""COMPUTED_VALUE"""),0.0)</f>
        <v>0</v>
      </c>
      <c r="Z2510" s="148"/>
    </row>
    <row r="2511">
      <c r="A2511" s="148">
        <f>IFERROR(__xludf.DUMMYFUNCTION("""COMPUTED_VALUE"""),1.1119446E7)</f>
        <v>11119446</v>
      </c>
      <c r="B2511" s="148" t="str">
        <f>IFERROR(__xludf.DUMMYFUNCTION("""COMPUTED_VALUE"""),"S300商店-解锁道具-英雄档位2")</f>
        <v>S300商店-解锁道具-英雄档位2</v>
      </c>
      <c r="C2511" s="148"/>
      <c r="D2511" s="148" t="str">
        <f>IFERROR(__xludf.DUMMYFUNCTION("""COMPUTED_VALUE"""),"event")</f>
        <v>event</v>
      </c>
      <c r="E2511" s="148">
        <f>IFERROR(__xludf.DUMMYFUNCTION("""COMPUTED_VALUE"""),0.0)</f>
        <v>0</v>
      </c>
      <c r="F2511" s="148">
        <f>IFERROR(__xludf.DUMMYFUNCTION("""COMPUTED_VALUE"""),0.0)</f>
        <v>0</v>
      </c>
      <c r="G2511" s="148">
        <f>IFERROR(__xludf.DUMMYFUNCTION("""COMPUTED_VALUE"""),1.51101389E8)</f>
        <v>151101389</v>
      </c>
      <c r="H2511" s="148">
        <f>IFERROR(__xludf.DUMMYFUNCTION("""COMPUTED_VALUE"""),1.5112562E7)</f>
        <v>15112562</v>
      </c>
      <c r="I2511" s="148" t="str">
        <f>IFERROR(__xludf.DUMMYFUNCTION("""COMPUTED_VALUE"""),"{}")</f>
        <v>{}</v>
      </c>
      <c r="J2511" s="148" t="str">
        <f>IFERROR(__xludf.DUMMYFUNCTION("""COMPUTED_VALUE"""),"{""typ"":""lc"",""txt"":""LC_ITEM_event_s300_exchange_unlock_hero_2_name""}")</f>
        <v>{"typ":"lc","txt":"LC_ITEM_event_s300_exchange_unlock_hero_2_name"}</v>
      </c>
      <c r="K2511" s="148" t="str">
        <f>IFERROR(__xludf.DUMMYFUNCTION("""COMPUTED_VALUE"""),"{""typ"":""lc"",""txt"":""LC_ITEM_event_s300_exchange_unlock_hero_2_desc""}")</f>
        <v>{"typ":"lc","txt":"LC_ITEM_event_s300_exchange_unlock_hero_2_desc"}</v>
      </c>
      <c r="L2511" s="148" t="str">
        <f>IFERROR(__xludf.DUMMYFUNCTION("""COMPUTED_VALUE"""),"{}")</f>
        <v>{}</v>
      </c>
      <c r="M2511" s="148">
        <f>IFERROR(__xludf.DUMMYFUNCTION("""COMPUTED_VALUE"""),700.0)</f>
        <v>700</v>
      </c>
      <c r="N2511" s="148">
        <f>IFERROR(__xludf.DUMMYFUNCTION("""COMPUTED_VALUE"""),9.99999999E8)</f>
        <v>999999999</v>
      </c>
      <c r="O2511" s="148">
        <f>IFERROR(__xludf.DUMMYFUNCTION("""COMPUTED_VALUE"""),9.99999999E8)</f>
        <v>999999999</v>
      </c>
      <c r="P2511" s="148">
        <f>IFERROR(__xludf.DUMMYFUNCTION("""COMPUTED_VALUE"""),9.99999999E8)</f>
        <v>999999999</v>
      </c>
      <c r="Q2511" s="148" t="str">
        <f>IFERROR(__xludf.DUMMYFUNCTION("""COMPUTED_VALUE"""),"[]")</f>
        <v>[]</v>
      </c>
      <c r="R2511" s="148" t="str">
        <f>IFERROR(__xludf.DUMMYFUNCTION("""COMPUTED_VALUE"""),"[""bag""]")</f>
        <v>["bag"]</v>
      </c>
      <c r="S2511" s="148" t="str">
        <f>IFERROR(__xludf.DUMMYFUNCTION("""COMPUTED_VALUE"""),"{}")</f>
        <v>{}</v>
      </c>
      <c r="T2511" s="148">
        <f>IFERROR(__xludf.DUMMYFUNCTION("""COMPUTED_VALUE"""),1.0)</f>
        <v>1</v>
      </c>
      <c r="U2511" s="148">
        <f>IFERROR(__xludf.DUMMYFUNCTION("""COMPUTED_VALUE"""),0.0)</f>
        <v>0</v>
      </c>
      <c r="V2511" s="148" t="str">
        <f>IFERROR(__xludf.DUMMYFUNCTION("""COMPUTED_VALUE"""),"[]")</f>
        <v>[]</v>
      </c>
      <c r="W2511" s="148">
        <f>IFERROR(__xludf.DUMMYFUNCTION("""COMPUTED_VALUE"""),1.174E7)</f>
        <v>11740000</v>
      </c>
      <c r="X2511" s="148">
        <f>IFERROR(__xludf.DUMMYFUNCTION("""COMPUTED_VALUE"""),0.0)</f>
        <v>0</v>
      </c>
      <c r="Y2511" s="148">
        <f>IFERROR(__xludf.DUMMYFUNCTION("""COMPUTED_VALUE"""),0.0)</f>
        <v>0</v>
      </c>
      <c r="Z2511" s="148"/>
    </row>
    <row r="2512">
      <c r="A2512" s="148">
        <f>IFERROR(__xludf.DUMMYFUNCTION("""COMPUTED_VALUE"""),1.1119447E7)</f>
        <v>11119447</v>
      </c>
      <c r="B2512" s="148" t="str">
        <f>IFERROR(__xludf.DUMMYFUNCTION("""COMPUTED_VALUE"""),"S300商店-解锁道具-英雄档位3")</f>
        <v>S300商店-解锁道具-英雄档位3</v>
      </c>
      <c r="C2512" s="148"/>
      <c r="D2512" s="148" t="str">
        <f>IFERROR(__xludf.DUMMYFUNCTION("""COMPUTED_VALUE"""),"event")</f>
        <v>event</v>
      </c>
      <c r="E2512" s="148">
        <f>IFERROR(__xludf.DUMMYFUNCTION("""COMPUTED_VALUE"""),0.0)</f>
        <v>0</v>
      </c>
      <c r="F2512" s="148">
        <f>IFERROR(__xludf.DUMMYFUNCTION("""COMPUTED_VALUE"""),0.0)</f>
        <v>0</v>
      </c>
      <c r="G2512" s="148">
        <f>IFERROR(__xludf.DUMMYFUNCTION("""COMPUTED_VALUE"""),1.51101389E8)</f>
        <v>151101389</v>
      </c>
      <c r="H2512" s="148">
        <f>IFERROR(__xludf.DUMMYFUNCTION("""COMPUTED_VALUE"""),1.5112563E7)</f>
        <v>15112563</v>
      </c>
      <c r="I2512" s="148" t="str">
        <f>IFERROR(__xludf.DUMMYFUNCTION("""COMPUTED_VALUE"""),"{}")</f>
        <v>{}</v>
      </c>
      <c r="J2512" s="148" t="str">
        <f>IFERROR(__xludf.DUMMYFUNCTION("""COMPUTED_VALUE"""),"{""typ"":""lc"",""txt"":""LC_ITEM_event_s300_exchange_unlock_hero_3_name""}")</f>
        <v>{"typ":"lc","txt":"LC_ITEM_event_s300_exchange_unlock_hero_3_name"}</v>
      </c>
      <c r="K2512" s="148" t="str">
        <f>IFERROR(__xludf.DUMMYFUNCTION("""COMPUTED_VALUE"""),"{""typ"":""lc"",""txt"":""LC_ITEM_event_s300_exchange_unlock_hero_2_desc""}")</f>
        <v>{"typ":"lc","txt":"LC_ITEM_event_s300_exchange_unlock_hero_2_desc"}</v>
      </c>
      <c r="L2512" s="148" t="str">
        <f>IFERROR(__xludf.DUMMYFUNCTION("""COMPUTED_VALUE"""),"{}")</f>
        <v>{}</v>
      </c>
      <c r="M2512" s="148">
        <f>IFERROR(__xludf.DUMMYFUNCTION("""COMPUTED_VALUE"""),700.0)</f>
        <v>700</v>
      </c>
      <c r="N2512" s="148">
        <f>IFERROR(__xludf.DUMMYFUNCTION("""COMPUTED_VALUE"""),9.99999999E8)</f>
        <v>999999999</v>
      </c>
      <c r="O2512" s="148">
        <f>IFERROR(__xludf.DUMMYFUNCTION("""COMPUTED_VALUE"""),9.99999999E8)</f>
        <v>999999999</v>
      </c>
      <c r="P2512" s="148">
        <f>IFERROR(__xludf.DUMMYFUNCTION("""COMPUTED_VALUE"""),9.99999999E8)</f>
        <v>999999999</v>
      </c>
      <c r="Q2512" s="148" t="str">
        <f>IFERROR(__xludf.DUMMYFUNCTION("""COMPUTED_VALUE"""),"[]")</f>
        <v>[]</v>
      </c>
      <c r="R2512" s="148" t="str">
        <f>IFERROR(__xludf.DUMMYFUNCTION("""COMPUTED_VALUE"""),"[""bag""]")</f>
        <v>["bag"]</v>
      </c>
      <c r="S2512" s="148" t="str">
        <f>IFERROR(__xludf.DUMMYFUNCTION("""COMPUTED_VALUE"""),"{}")</f>
        <v>{}</v>
      </c>
      <c r="T2512" s="148">
        <f>IFERROR(__xludf.DUMMYFUNCTION("""COMPUTED_VALUE"""),1.0)</f>
        <v>1</v>
      </c>
      <c r="U2512" s="148">
        <f>IFERROR(__xludf.DUMMYFUNCTION("""COMPUTED_VALUE"""),0.0)</f>
        <v>0</v>
      </c>
      <c r="V2512" s="148" t="str">
        <f>IFERROR(__xludf.DUMMYFUNCTION("""COMPUTED_VALUE"""),"[]")</f>
        <v>[]</v>
      </c>
      <c r="W2512" s="148">
        <f>IFERROR(__xludf.DUMMYFUNCTION("""COMPUTED_VALUE"""),1.174E7)</f>
        <v>11740000</v>
      </c>
      <c r="X2512" s="148">
        <f>IFERROR(__xludf.DUMMYFUNCTION("""COMPUTED_VALUE"""),0.0)</f>
        <v>0</v>
      </c>
      <c r="Y2512" s="148">
        <f>IFERROR(__xludf.DUMMYFUNCTION("""COMPUTED_VALUE"""),0.0)</f>
        <v>0</v>
      </c>
      <c r="Z2512" s="148"/>
    </row>
    <row r="2513">
      <c r="A2513" s="148">
        <f>IFERROR(__xludf.DUMMYFUNCTION("""COMPUTED_VALUE"""),1.1119448E7)</f>
        <v>11119448</v>
      </c>
      <c r="B2513" s="148" t="str">
        <f>IFERROR(__xludf.DUMMYFUNCTION("""COMPUTED_VALUE"""),"S300商店-解锁道具-英雄档位4")</f>
        <v>S300商店-解锁道具-英雄档位4</v>
      </c>
      <c r="C2513" s="148"/>
      <c r="D2513" s="148" t="str">
        <f>IFERROR(__xludf.DUMMYFUNCTION("""COMPUTED_VALUE"""),"event")</f>
        <v>event</v>
      </c>
      <c r="E2513" s="148">
        <f>IFERROR(__xludf.DUMMYFUNCTION("""COMPUTED_VALUE"""),0.0)</f>
        <v>0</v>
      </c>
      <c r="F2513" s="148">
        <f>IFERROR(__xludf.DUMMYFUNCTION("""COMPUTED_VALUE"""),0.0)</f>
        <v>0</v>
      </c>
      <c r="G2513" s="148">
        <f>IFERROR(__xludf.DUMMYFUNCTION("""COMPUTED_VALUE"""),1.51101389E8)</f>
        <v>151101389</v>
      </c>
      <c r="H2513" s="148">
        <f>IFERROR(__xludf.DUMMYFUNCTION("""COMPUTED_VALUE"""),1.5112564E7)</f>
        <v>15112564</v>
      </c>
      <c r="I2513" s="148" t="str">
        <f>IFERROR(__xludf.DUMMYFUNCTION("""COMPUTED_VALUE"""),"{}")</f>
        <v>{}</v>
      </c>
      <c r="J2513" s="148" t="str">
        <f>IFERROR(__xludf.DUMMYFUNCTION("""COMPUTED_VALUE"""),"{""typ"":""lc"",""txt"":""LC_ITEM_event_s300_exchange_unlock_hero_4_name""}")</f>
        <v>{"typ":"lc","txt":"LC_ITEM_event_s300_exchange_unlock_hero_4_name"}</v>
      </c>
      <c r="K2513" s="148" t="str">
        <f>IFERROR(__xludf.DUMMYFUNCTION("""COMPUTED_VALUE"""),"{""typ"":""lc"",""txt"":""LC_ITEM_event_s300_exchange_unlock_hero_2_desc""}")</f>
        <v>{"typ":"lc","txt":"LC_ITEM_event_s300_exchange_unlock_hero_2_desc"}</v>
      </c>
      <c r="L2513" s="148" t="str">
        <f>IFERROR(__xludf.DUMMYFUNCTION("""COMPUTED_VALUE"""),"{}")</f>
        <v>{}</v>
      </c>
      <c r="M2513" s="148">
        <f>IFERROR(__xludf.DUMMYFUNCTION("""COMPUTED_VALUE"""),700.0)</f>
        <v>700</v>
      </c>
      <c r="N2513" s="148">
        <f>IFERROR(__xludf.DUMMYFUNCTION("""COMPUTED_VALUE"""),9.99999999E8)</f>
        <v>999999999</v>
      </c>
      <c r="O2513" s="148">
        <f>IFERROR(__xludf.DUMMYFUNCTION("""COMPUTED_VALUE"""),9.99999999E8)</f>
        <v>999999999</v>
      </c>
      <c r="P2513" s="148">
        <f>IFERROR(__xludf.DUMMYFUNCTION("""COMPUTED_VALUE"""),9.99999999E8)</f>
        <v>999999999</v>
      </c>
      <c r="Q2513" s="148" t="str">
        <f>IFERROR(__xludf.DUMMYFUNCTION("""COMPUTED_VALUE"""),"[]")</f>
        <v>[]</v>
      </c>
      <c r="R2513" s="148" t="str">
        <f>IFERROR(__xludf.DUMMYFUNCTION("""COMPUTED_VALUE"""),"[""bag""]")</f>
        <v>["bag"]</v>
      </c>
      <c r="S2513" s="148" t="str">
        <f>IFERROR(__xludf.DUMMYFUNCTION("""COMPUTED_VALUE"""),"{}")</f>
        <v>{}</v>
      </c>
      <c r="T2513" s="148">
        <f>IFERROR(__xludf.DUMMYFUNCTION("""COMPUTED_VALUE"""),1.0)</f>
        <v>1</v>
      </c>
      <c r="U2513" s="148">
        <f>IFERROR(__xludf.DUMMYFUNCTION("""COMPUTED_VALUE"""),0.0)</f>
        <v>0</v>
      </c>
      <c r="V2513" s="148" t="str">
        <f>IFERROR(__xludf.DUMMYFUNCTION("""COMPUTED_VALUE"""),"[]")</f>
        <v>[]</v>
      </c>
      <c r="W2513" s="148">
        <f>IFERROR(__xludf.DUMMYFUNCTION("""COMPUTED_VALUE"""),1.174E7)</f>
        <v>11740000</v>
      </c>
      <c r="X2513" s="148">
        <f>IFERROR(__xludf.DUMMYFUNCTION("""COMPUTED_VALUE"""),0.0)</f>
        <v>0</v>
      </c>
      <c r="Y2513" s="148">
        <f>IFERROR(__xludf.DUMMYFUNCTION("""COMPUTED_VALUE"""),0.0)</f>
        <v>0</v>
      </c>
      <c r="Z2513" s="148"/>
    </row>
    <row r="2514">
      <c r="A2514" s="148">
        <f>IFERROR(__xludf.DUMMYFUNCTION("""COMPUTED_VALUE"""),1.1119449E7)</f>
        <v>11119449</v>
      </c>
      <c r="B2514" s="148" t="str">
        <f>IFERROR(__xludf.DUMMYFUNCTION("""COMPUTED_VALUE"""),"S300商店-解锁道具-机甲档位2")</f>
        <v>S300商店-解锁道具-机甲档位2</v>
      </c>
      <c r="C2514" s="148"/>
      <c r="D2514" s="148" t="str">
        <f>IFERROR(__xludf.DUMMYFUNCTION("""COMPUTED_VALUE"""),"event")</f>
        <v>event</v>
      </c>
      <c r="E2514" s="148">
        <f>IFERROR(__xludf.DUMMYFUNCTION("""COMPUTED_VALUE"""),0.0)</f>
        <v>0</v>
      </c>
      <c r="F2514" s="148">
        <f>IFERROR(__xludf.DUMMYFUNCTION("""COMPUTED_VALUE"""),0.0)</f>
        <v>0</v>
      </c>
      <c r="G2514" s="148">
        <f>IFERROR(__xludf.DUMMYFUNCTION("""COMPUTED_VALUE"""),1.5110139E8)</f>
        <v>151101390</v>
      </c>
      <c r="H2514" s="148">
        <f>IFERROR(__xludf.DUMMYFUNCTION("""COMPUTED_VALUE"""),1.5112562E7)</f>
        <v>15112562</v>
      </c>
      <c r="I2514" s="148" t="str">
        <f>IFERROR(__xludf.DUMMYFUNCTION("""COMPUTED_VALUE"""),"{}")</f>
        <v>{}</v>
      </c>
      <c r="J2514" s="148" t="str">
        <f>IFERROR(__xludf.DUMMYFUNCTION("""COMPUTED_VALUE"""),"{""typ"":""lc"",""txt"":""LC_ITEM_event_s300_exchange_unlock_hero_2_name""}")</f>
        <v>{"typ":"lc","txt":"LC_ITEM_event_s300_exchange_unlock_hero_2_name"}</v>
      </c>
      <c r="K2514" s="148" t="str">
        <f>IFERROR(__xludf.DUMMYFUNCTION("""COMPUTED_VALUE"""),"{""typ"":""lc"",""txt"":""LC_ITEM_event_s300_exchange_unlock_hero_2_desc""}")</f>
        <v>{"typ":"lc","txt":"LC_ITEM_event_s300_exchange_unlock_hero_2_desc"}</v>
      </c>
      <c r="L2514" s="148" t="str">
        <f>IFERROR(__xludf.DUMMYFUNCTION("""COMPUTED_VALUE"""),"{}")</f>
        <v>{}</v>
      </c>
      <c r="M2514" s="148">
        <f>IFERROR(__xludf.DUMMYFUNCTION("""COMPUTED_VALUE"""),700.0)</f>
        <v>700</v>
      </c>
      <c r="N2514" s="148">
        <f>IFERROR(__xludf.DUMMYFUNCTION("""COMPUTED_VALUE"""),9.99999999E8)</f>
        <v>999999999</v>
      </c>
      <c r="O2514" s="148">
        <f>IFERROR(__xludf.DUMMYFUNCTION("""COMPUTED_VALUE"""),9.99999999E8)</f>
        <v>999999999</v>
      </c>
      <c r="P2514" s="148">
        <f>IFERROR(__xludf.DUMMYFUNCTION("""COMPUTED_VALUE"""),9.99999999E8)</f>
        <v>999999999</v>
      </c>
      <c r="Q2514" s="148" t="str">
        <f>IFERROR(__xludf.DUMMYFUNCTION("""COMPUTED_VALUE"""),"[]")</f>
        <v>[]</v>
      </c>
      <c r="R2514" s="148" t="str">
        <f>IFERROR(__xludf.DUMMYFUNCTION("""COMPUTED_VALUE"""),"[""bag""]")</f>
        <v>["bag"]</v>
      </c>
      <c r="S2514" s="148" t="str">
        <f>IFERROR(__xludf.DUMMYFUNCTION("""COMPUTED_VALUE"""),"{}")</f>
        <v>{}</v>
      </c>
      <c r="T2514" s="148">
        <f>IFERROR(__xludf.DUMMYFUNCTION("""COMPUTED_VALUE"""),1.0)</f>
        <v>1</v>
      </c>
      <c r="U2514" s="148">
        <f>IFERROR(__xludf.DUMMYFUNCTION("""COMPUTED_VALUE"""),0.0)</f>
        <v>0</v>
      </c>
      <c r="V2514" s="148" t="str">
        <f>IFERROR(__xludf.DUMMYFUNCTION("""COMPUTED_VALUE"""),"[]")</f>
        <v>[]</v>
      </c>
      <c r="W2514" s="148">
        <f>IFERROR(__xludf.DUMMYFUNCTION("""COMPUTED_VALUE"""),1.174E7)</f>
        <v>11740000</v>
      </c>
      <c r="X2514" s="148">
        <f>IFERROR(__xludf.DUMMYFUNCTION("""COMPUTED_VALUE"""),0.0)</f>
        <v>0</v>
      </c>
      <c r="Y2514" s="148">
        <f>IFERROR(__xludf.DUMMYFUNCTION("""COMPUTED_VALUE"""),0.0)</f>
        <v>0</v>
      </c>
      <c r="Z2514" s="148"/>
    </row>
    <row r="2515">
      <c r="A2515" s="148">
        <f>IFERROR(__xludf.DUMMYFUNCTION("""COMPUTED_VALUE"""),1.111945E7)</f>
        <v>11119450</v>
      </c>
      <c r="B2515" s="148" t="str">
        <f>IFERROR(__xludf.DUMMYFUNCTION("""COMPUTED_VALUE"""),"S300商店-解锁道具-机甲档位3")</f>
        <v>S300商店-解锁道具-机甲档位3</v>
      </c>
      <c r="C2515" s="148"/>
      <c r="D2515" s="148" t="str">
        <f>IFERROR(__xludf.DUMMYFUNCTION("""COMPUTED_VALUE"""),"event")</f>
        <v>event</v>
      </c>
      <c r="E2515" s="148">
        <f>IFERROR(__xludf.DUMMYFUNCTION("""COMPUTED_VALUE"""),0.0)</f>
        <v>0</v>
      </c>
      <c r="F2515" s="148">
        <f>IFERROR(__xludf.DUMMYFUNCTION("""COMPUTED_VALUE"""),0.0)</f>
        <v>0</v>
      </c>
      <c r="G2515" s="148">
        <f>IFERROR(__xludf.DUMMYFUNCTION("""COMPUTED_VALUE"""),1.5110139E8)</f>
        <v>151101390</v>
      </c>
      <c r="H2515" s="148">
        <f>IFERROR(__xludf.DUMMYFUNCTION("""COMPUTED_VALUE"""),1.5112563E7)</f>
        <v>15112563</v>
      </c>
      <c r="I2515" s="148" t="str">
        <f>IFERROR(__xludf.DUMMYFUNCTION("""COMPUTED_VALUE"""),"{}")</f>
        <v>{}</v>
      </c>
      <c r="J2515" s="148" t="str">
        <f>IFERROR(__xludf.DUMMYFUNCTION("""COMPUTED_VALUE"""),"{""typ"":""lc"",""txt"":""LC_ITEM_event_s300_exchange_unlock_hero_3_name""}")</f>
        <v>{"typ":"lc","txt":"LC_ITEM_event_s300_exchange_unlock_hero_3_name"}</v>
      </c>
      <c r="K2515" s="148" t="str">
        <f>IFERROR(__xludf.DUMMYFUNCTION("""COMPUTED_VALUE"""),"{""typ"":""lc"",""txt"":""LC_ITEM_event_s300_exchange_unlock_hero_2_desc""}")</f>
        <v>{"typ":"lc","txt":"LC_ITEM_event_s300_exchange_unlock_hero_2_desc"}</v>
      </c>
      <c r="L2515" s="148" t="str">
        <f>IFERROR(__xludf.DUMMYFUNCTION("""COMPUTED_VALUE"""),"{}")</f>
        <v>{}</v>
      </c>
      <c r="M2515" s="148">
        <f>IFERROR(__xludf.DUMMYFUNCTION("""COMPUTED_VALUE"""),700.0)</f>
        <v>700</v>
      </c>
      <c r="N2515" s="148">
        <f>IFERROR(__xludf.DUMMYFUNCTION("""COMPUTED_VALUE"""),9.99999999E8)</f>
        <v>999999999</v>
      </c>
      <c r="O2515" s="148">
        <f>IFERROR(__xludf.DUMMYFUNCTION("""COMPUTED_VALUE"""),9.99999999E8)</f>
        <v>999999999</v>
      </c>
      <c r="P2515" s="148">
        <f>IFERROR(__xludf.DUMMYFUNCTION("""COMPUTED_VALUE"""),9.99999999E8)</f>
        <v>999999999</v>
      </c>
      <c r="Q2515" s="148" t="str">
        <f>IFERROR(__xludf.DUMMYFUNCTION("""COMPUTED_VALUE"""),"[]")</f>
        <v>[]</v>
      </c>
      <c r="R2515" s="148" t="str">
        <f>IFERROR(__xludf.DUMMYFUNCTION("""COMPUTED_VALUE"""),"[""bag""]")</f>
        <v>["bag"]</v>
      </c>
      <c r="S2515" s="148" t="str">
        <f>IFERROR(__xludf.DUMMYFUNCTION("""COMPUTED_VALUE"""),"{}")</f>
        <v>{}</v>
      </c>
      <c r="T2515" s="148">
        <f>IFERROR(__xludf.DUMMYFUNCTION("""COMPUTED_VALUE"""),1.0)</f>
        <v>1</v>
      </c>
      <c r="U2515" s="148">
        <f>IFERROR(__xludf.DUMMYFUNCTION("""COMPUTED_VALUE"""),0.0)</f>
        <v>0</v>
      </c>
      <c r="V2515" s="148" t="str">
        <f>IFERROR(__xludf.DUMMYFUNCTION("""COMPUTED_VALUE"""),"[]")</f>
        <v>[]</v>
      </c>
      <c r="W2515" s="148">
        <f>IFERROR(__xludf.DUMMYFUNCTION("""COMPUTED_VALUE"""),1.174E7)</f>
        <v>11740000</v>
      </c>
      <c r="X2515" s="148">
        <f>IFERROR(__xludf.DUMMYFUNCTION("""COMPUTED_VALUE"""),0.0)</f>
        <v>0</v>
      </c>
      <c r="Y2515" s="148">
        <f>IFERROR(__xludf.DUMMYFUNCTION("""COMPUTED_VALUE"""),0.0)</f>
        <v>0</v>
      </c>
      <c r="Z2515" s="148"/>
    </row>
    <row r="2516">
      <c r="A2516" s="148">
        <f>IFERROR(__xludf.DUMMYFUNCTION("""COMPUTED_VALUE"""),1.1119451E7)</f>
        <v>11119451</v>
      </c>
      <c r="B2516" s="148" t="str">
        <f>IFERROR(__xludf.DUMMYFUNCTION("""COMPUTED_VALUE"""),"S300商店-解锁道具-机甲档位4")</f>
        <v>S300商店-解锁道具-机甲档位4</v>
      </c>
      <c r="C2516" s="148"/>
      <c r="D2516" s="148" t="str">
        <f>IFERROR(__xludf.DUMMYFUNCTION("""COMPUTED_VALUE"""),"event")</f>
        <v>event</v>
      </c>
      <c r="E2516" s="148">
        <f>IFERROR(__xludf.DUMMYFUNCTION("""COMPUTED_VALUE"""),0.0)</f>
        <v>0</v>
      </c>
      <c r="F2516" s="148">
        <f>IFERROR(__xludf.DUMMYFUNCTION("""COMPUTED_VALUE"""),0.0)</f>
        <v>0</v>
      </c>
      <c r="G2516" s="148">
        <f>IFERROR(__xludf.DUMMYFUNCTION("""COMPUTED_VALUE"""),1.5110139E8)</f>
        <v>151101390</v>
      </c>
      <c r="H2516" s="148">
        <f>IFERROR(__xludf.DUMMYFUNCTION("""COMPUTED_VALUE"""),1.5112564E7)</f>
        <v>15112564</v>
      </c>
      <c r="I2516" s="148" t="str">
        <f>IFERROR(__xludf.DUMMYFUNCTION("""COMPUTED_VALUE"""),"{}")</f>
        <v>{}</v>
      </c>
      <c r="J2516" s="148" t="str">
        <f>IFERROR(__xludf.DUMMYFUNCTION("""COMPUTED_VALUE"""),"{""typ"":""lc"",""txt"":""LC_ITEM_event_s300_exchange_unlock_hero_4_name""}")</f>
        <v>{"typ":"lc","txt":"LC_ITEM_event_s300_exchange_unlock_hero_4_name"}</v>
      </c>
      <c r="K2516" s="148" t="str">
        <f>IFERROR(__xludf.DUMMYFUNCTION("""COMPUTED_VALUE"""),"{""typ"":""lc"",""txt"":""LC_ITEM_event_s300_exchange_unlock_hero_2_desc""}")</f>
        <v>{"typ":"lc","txt":"LC_ITEM_event_s300_exchange_unlock_hero_2_desc"}</v>
      </c>
      <c r="L2516" s="148" t="str">
        <f>IFERROR(__xludf.DUMMYFUNCTION("""COMPUTED_VALUE"""),"{}")</f>
        <v>{}</v>
      </c>
      <c r="M2516" s="148">
        <f>IFERROR(__xludf.DUMMYFUNCTION("""COMPUTED_VALUE"""),700.0)</f>
        <v>700</v>
      </c>
      <c r="N2516" s="148">
        <f>IFERROR(__xludf.DUMMYFUNCTION("""COMPUTED_VALUE"""),9.99999999E8)</f>
        <v>999999999</v>
      </c>
      <c r="O2516" s="148">
        <f>IFERROR(__xludf.DUMMYFUNCTION("""COMPUTED_VALUE"""),9.99999999E8)</f>
        <v>999999999</v>
      </c>
      <c r="P2516" s="148">
        <f>IFERROR(__xludf.DUMMYFUNCTION("""COMPUTED_VALUE"""),9.99999999E8)</f>
        <v>999999999</v>
      </c>
      <c r="Q2516" s="148" t="str">
        <f>IFERROR(__xludf.DUMMYFUNCTION("""COMPUTED_VALUE"""),"[]")</f>
        <v>[]</v>
      </c>
      <c r="R2516" s="148" t="str">
        <f>IFERROR(__xludf.DUMMYFUNCTION("""COMPUTED_VALUE"""),"[""bag""]")</f>
        <v>["bag"]</v>
      </c>
      <c r="S2516" s="148" t="str">
        <f>IFERROR(__xludf.DUMMYFUNCTION("""COMPUTED_VALUE"""),"{}")</f>
        <v>{}</v>
      </c>
      <c r="T2516" s="148">
        <f>IFERROR(__xludf.DUMMYFUNCTION("""COMPUTED_VALUE"""),1.0)</f>
        <v>1</v>
      </c>
      <c r="U2516" s="148">
        <f>IFERROR(__xludf.DUMMYFUNCTION("""COMPUTED_VALUE"""),0.0)</f>
        <v>0</v>
      </c>
      <c r="V2516" s="148" t="str">
        <f>IFERROR(__xludf.DUMMYFUNCTION("""COMPUTED_VALUE"""),"[]")</f>
        <v>[]</v>
      </c>
      <c r="W2516" s="148">
        <f>IFERROR(__xludf.DUMMYFUNCTION("""COMPUTED_VALUE"""),1.174E7)</f>
        <v>11740000</v>
      </c>
      <c r="X2516" s="148">
        <f>IFERROR(__xludf.DUMMYFUNCTION("""COMPUTED_VALUE"""),0.0)</f>
        <v>0</v>
      </c>
      <c r="Y2516" s="148">
        <f>IFERROR(__xludf.DUMMYFUNCTION("""COMPUTED_VALUE"""),0.0)</f>
        <v>0</v>
      </c>
      <c r="Z2516" s="148"/>
    </row>
    <row r="2517">
      <c r="A2517" s="148">
        <f>IFERROR(__xludf.DUMMYFUNCTION("""COMPUTED_VALUE"""),1.1119452E7)</f>
        <v>11119452</v>
      </c>
      <c r="B2517" s="148" t="str">
        <f>IFERROR(__xludf.DUMMYFUNCTION("""COMPUTED_VALUE"""),"S300商店-解锁道具-战车档位2")</f>
        <v>S300商店-解锁道具-战车档位2</v>
      </c>
      <c r="C2517" s="148"/>
      <c r="D2517" s="148" t="str">
        <f>IFERROR(__xludf.DUMMYFUNCTION("""COMPUTED_VALUE"""),"event")</f>
        <v>event</v>
      </c>
      <c r="E2517" s="148">
        <f>IFERROR(__xludf.DUMMYFUNCTION("""COMPUTED_VALUE"""),0.0)</f>
        <v>0</v>
      </c>
      <c r="F2517" s="148">
        <f>IFERROR(__xludf.DUMMYFUNCTION("""COMPUTED_VALUE"""),0.0)</f>
        <v>0</v>
      </c>
      <c r="G2517" s="148">
        <f>IFERROR(__xludf.DUMMYFUNCTION("""COMPUTED_VALUE"""),1.51101391E8)</f>
        <v>151101391</v>
      </c>
      <c r="H2517" s="148">
        <f>IFERROR(__xludf.DUMMYFUNCTION("""COMPUTED_VALUE"""),1.5112562E7)</f>
        <v>15112562</v>
      </c>
      <c r="I2517" s="148" t="str">
        <f>IFERROR(__xludf.DUMMYFUNCTION("""COMPUTED_VALUE"""),"{}")</f>
        <v>{}</v>
      </c>
      <c r="J2517" s="148" t="str">
        <f>IFERROR(__xludf.DUMMYFUNCTION("""COMPUTED_VALUE"""),"{""typ"":""lc"",""txt"":""LC_ITEM_event_s300_exchange_unlock_hero_2_name""}")</f>
        <v>{"typ":"lc","txt":"LC_ITEM_event_s300_exchange_unlock_hero_2_name"}</v>
      </c>
      <c r="K2517" s="148" t="str">
        <f>IFERROR(__xludf.DUMMYFUNCTION("""COMPUTED_VALUE"""),"{""typ"":""lc"",""txt"":""LC_ITEM_event_s300_exchange_unlock_hero_2_desc""}")</f>
        <v>{"typ":"lc","txt":"LC_ITEM_event_s300_exchange_unlock_hero_2_desc"}</v>
      </c>
      <c r="L2517" s="148" t="str">
        <f>IFERROR(__xludf.DUMMYFUNCTION("""COMPUTED_VALUE"""),"{}")</f>
        <v>{}</v>
      </c>
      <c r="M2517" s="148">
        <f>IFERROR(__xludf.DUMMYFUNCTION("""COMPUTED_VALUE"""),700.0)</f>
        <v>700</v>
      </c>
      <c r="N2517" s="148">
        <f>IFERROR(__xludf.DUMMYFUNCTION("""COMPUTED_VALUE"""),9.99999999E8)</f>
        <v>999999999</v>
      </c>
      <c r="O2517" s="148">
        <f>IFERROR(__xludf.DUMMYFUNCTION("""COMPUTED_VALUE"""),9.99999999E8)</f>
        <v>999999999</v>
      </c>
      <c r="P2517" s="148">
        <f>IFERROR(__xludf.DUMMYFUNCTION("""COMPUTED_VALUE"""),9.99999999E8)</f>
        <v>999999999</v>
      </c>
      <c r="Q2517" s="148" t="str">
        <f>IFERROR(__xludf.DUMMYFUNCTION("""COMPUTED_VALUE"""),"[]")</f>
        <v>[]</v>
      </c>
      <c r="R2517" s="148" t="str">
        <f>IFERROR(__xludf.DUMMYFUNCTION("""COMPUTED_VALUE"""),"[""bag""]")</f>
        <v>["bag"]</v>
      </c>
      <c r="S2517" s="148" t="str">
        <f>IFERROR(__xludf.DUMMYFUNCTION("""COMPUTED_VALUE"""),"{}")</f>
        <v>{}</v>
      </c>
      <c r="T2517" s="148">
        <f>IFERROR(__xludf.DUMMYFUNCTION("""COMPUTED_VALUE"""),1.0)</f>
        <v>1</v>
      </c>
      <c r="U2517" s="148">
        <f>IFERROR(__xludf.DUMMYFUNCTION("""COMPUTED_VALUE"""),0.0)</f>
        <v>0</v>
      </c>
      <c r="V2517" s="148" t="str">
        <f>IFERROR(__xludf.DUMMYFUNCTION("""COMPUTED_VALUE"""),"[]")</f>
        <v>[]</v>
      </c>
      <c r="W2517" s="148">
        <f>IFERROR(__xludf.DUMMYFUNCTION("""COMPUTED_VALUE"""),1.174E7)</f>
        <v>11740000</v>
      </c>
      <c r="X2517" s="148">
        <f>IFERROR(__xludf.DUMMYFUNCTION("""COMPUTED_VALUE"""),0.0)</f>
        <v>0</v>
      </c>
      <c r="Y2517" s="148">
        <f>IFERROR(__xludf.DUMMYFUNCTION("""COMPUTED_VALUE"""),0.0)</f>
        <v>0</v>
      </c>
      <c r="Z2517" s="148"/>
    </row>
    <row r="2518">
      <c r="A2518" s="148">
        <f>IFERROR(__xludf.DUMMYFUNCTION("""COMPUTED_VALUE"""),1.1119453E7)</f>
        <v>11119453</v>
      </c>
      <c r="B2518" s="148" t="str">
        <f>IFERROR(__xludf.DUMMYFUNCTION("""COMPUTED_VALUE"""),"S300商店-解锁道具-战车档位3")</f>
        <v>S300商店-解锁道具-战车档位3</v>
      </c>
      <c r="C2518" s="148"/>
      <c r="D2518" s="148" t="str">
        <f>IFERROR(__xludf.DUMMYFUNCTION("""COMPUTED_VALUE"""),"event")</f>
        <v>event</v>
      </c>
      <c r="E2518" s="148">
        <f>IFERROR(__xludf.DUMMYFUNCTION("""COMPUTED_VALUE"""),0.0)</f>
        <v>0</v>
      </c>
      <c r="F2518" s="148">
        <f>IFERROR(__xludf.DUMMYFUNCTION("""COMPUTED_VALUE"""),0.0)</f>
        <v>0</v>
      </c>
      <c r="G2518" s="148">
        <f>IFERROR(__xludf.DUMMYFUNCTION("""COMPUTED_VALUE"""),1.51101391E8)</f>
        <v>151101391</v>
      </c>
      <c r="H2518" s="148">
        <f>IFERROR(__xludf.DUMMYFUNCTION("""COMPUTED_VALUE"""),1.5112563E7)</f>
        <v>15112563</v>
      </c>
      <c r="I2518" s="148" t="str">
        <f>IFERROR(__xludf.DUMMYFUNCTION("""COMPUTED_VALUE"""),"{}")</f>
        <v>{}</v>
      </c>
      <c r="J2518" s="148" t="str">
        <f>IFERROR(__xludf.DUMMYFUNCTION("""COMPUTED_VALUE"""),"{""typ"":""lc"",""txt"":""LC_ITEM_event_s300_exchange_unlock_hero_3_name""}")</f>
        <v>{"typ":"lc","txt":"LC_ITEM_event_s300_exchange_unlock_hero_3_name"}</v>
      </c>
      <c r="K2518" s="148" t="str">
        <f>IFERROR(__xludf.DUMMYFUNCTION("""COMPUTED_VALUE"""),"{""typ"":""lc"",""txt"":""LC_ITEM_event_s300_exchange_unlock_hero_2_desc""}")</f>
        <v>{"typ":"lc","txt":"LC_ITEM_event_s300_exchange_unlock_hero_2_desc"}</v>
      </c>
      <c r="L2518" s="148" t="str">
        <f>IFERROR(__xludf.DUMMYFUNCTION("""COMPUTED_VALUE"""),"{}")</f>
        <v>{}</v>
      </c>
      <c r="M2518" s="148">
        <f>IFERROR(__xludf.DUMMYFUNCTION("""COMPUTED_VALUE"""),700.0)</f>
        <v>700</v>
      </c>
      <c r="N2518" s="148">
        <f>IFERROR(__xludf.DUMMYFUNCTION("""COMPUTED_VALUE"""),9.99999999E8)</f>
        <v>999999999</v>
      </c>
      <c r="O2518" s="148">
        <f>IFERROR(__xludf.DUMMYFUNCTION("""COMPUTED_VALUE"""),9.99999999E8)</f>
        <v>999999999</v>
      </c>
      <c r="P2518" s="148">
        <f>IFERROR(__xludf.DUMMYFUNCTION("""COMPUTED_VALUE"""),9.99999999E8)</f>
        <v>999999999</v>
      </c>
      <c r="Q2518" s="148" t="str">
        <f>IFERROR(__xludf.DUMMYFUNCTION("""COMPUTED_VALUE"""),"[]")</f>
        <v>[]</v>
      </c>
      <c r="R2518" s="148" t="str">
        <f>IFERROR(__xludf.DUMMYFUNCTION("""COMPUTED_VALUE"""),"[""bag""]")</f>
        <v>["bag"]</v>
      </c>
      <c r="S2518" s="148" t="str">
        <f>IFERROR(__xludf.DUMMYFUNCTION("""COMPUTED_VALUE"""),"{}")</f>
        <v>{}</v>
      </c>
      <c r="T2518" s="148">
        <f>IFERROR(__xludf.DUMMYFUNCTION("""COMPUTED_VALUE"""),1.0)</f>
        <v>1</v>
      </c>
      <c r="U2518" s="148">
        <f>IFERROR(__xludf.DUMMYFUNCTION("""COMPUTED_VALUE"""),0.0)</f>
        <v>0</v>
      </c>
      <c r="V2518" s="148" t="str">
        <f>IFERROR(__xludf.DUMMYFUNCTION("""COMPUTED_VALUE"""),"[]")</f>
        <v>[]</v>
      </c>
      <c r="W2518" s="148">
        <f>IFERROR(__xludf.DUMMYFUNCTION("""COMPUTED_VALUE"""),1.174E7)</f>
        <v>11740000</v>
      </c>
      <c r="X2518" s="148">
        <f>IFERROR(__xludf.DUMMYFUNCTION("""COMPUTED_VALUE"""),0.0)</f>
        <v>0</v>
      </c>
      <c r="Y2518" s="148">
        <f>IFERROR(__xludf.DUMMYFUNCTION("""COMPUTED_VALUE"""),0.0)</f>
        <v>0</v>
      </c>
      <c r="Z2518" s="148"/>
    </row>
    <row r="2519">
      <c r="A2519" s="148">
        <f>IFERROR(__xludf.DUMMYFUNCTION("""COMPUTED_VALUE"""),1.1119454E7)</f>
        <v>11119454</v>
      </c>
      <c r="B2519" s="148" t="str">
        <f>IFERROR(__xludf.DUMMYFUNCTION("""COMPUTED_VALUE"""),"S300商店-解锁道具-战车档位4")</f>
        <v>S300商店-解锁道具-战车档位4</v>
      </c>
      <c r="C2519" s="148"/>
      <c r="D2519" s="148" t="str">
        <f>IFERROR(__xludf.DUMMYFUNCTION("""COMPUTED_VALUE"""),"event")</f>
        <v>event</v>
      </c>
      <c r="E2519" s="148">
        <f>IFERROR(__xludf.DUMMYFUNCTION("""COMPUTED_VALUE"""),0.0)</f>
        <v>0</v>
      </c>
      <c r="F2519" s="148">
        <f>IFERROR(__xludf.DUMMYFUNCTION("""COMPUTED_VALUE"""),0.0)</f>
        <v>0</v>
      </c>
      <c r="G2519" s="148">
        <f>IFERROR(__xludf.DUMMYFUNCTION("""COMPUTED_VALUE"""),1.51101391E8)</f>
        <v>151101391</v>
      </c>
      <c r="H2519" s="148">
        <f>IFERROR(__xludf.DUMMYFUNCTION("""COMPUTED_VALUE"""),1.5112564E7)</f>
        <v>15112564</v>
      </c>
      <c r="I2519" s="148" t="str">
        <f>IFERROR(__xludf.DUMMYFUNCTION("""COMPUTED_VALUE"""),"{}")</f>
        <v>{}</v>
      </c>
      <c r="J2519" s="148" t="str">
        <f>IFERROR(__xludf.DUMMYFUNCTION("""COMPUTED_VALUE"""),"{""typ"":""lc"",""txt"":""LC_ITEM_event_s300_exchange_unlock_hero_4_name""}")</f>
        <v>{"typ":"lc","txt":"LC_ITEM_event_s300_exchange_unlock_hero_4_name"}</v>
      </c>
      <c r="K2519" s="148" t="str">
        <f>IFERROR(__xludf.DUMMYFUNCTION("""COMPUTED_VALUE"""),"{""typ"":""lc"",""txt"":""LC_ITEM_event_s300_exchange_unlock_hero_2_desc""}")</f>
        <v>{"typ":"lc","txt":"LC_ITEM_event_s300_exchange_unlock_hero_2_desc"}</v>
      </c>
      <c r="L2519" s="148" t="str">
        <f>IFERROR(__xludf.DUMMYFUNCTION("""COMPUTED_VALUE"""),"{}")</f>
        <v>{}</v>
      </c>
      <c r="M2519" s="148">
        <f>IFERROR(__xludf.DUMMYFUNCTION("""COMPUTED_VALUE"""),700.0)</f>
        <v>700</v>
      </c>
      <c r="N2519" s="148">
        <f>IFERROR(__xludf.DUMMYFUNCTION("""COMPUTED_VALUE"""),9.99999999E8)</f>
        <v>999999999</v>
      </c>
      <c r="O2519" s="148">
        <f>IFERROR(__xludf.DUMMYFUNCTION("""COMPUTED_VALUE"""),9.99999999E8)</f>
        <v>999999999</v>
      </c>
      <c r="P2519" s="148">
        <f>IFERROR(__xludf.DUMMYFUNCTION("""COMPUTED_VALUE"""),9.99999999E8)</f>
        <v>999999999</v>
      </c>
      <c r="Q2519" s="148" t="str">
        <f>IFERROR(__xludf.DUMMYFUNCTION("""COMPUTED_VALUE"""),"[]")</f>
        <v>[]</v>
      </c>
      <c r="R2519" s="148" t="str">
        <f>IFERROR(__xludf.DUMMYFUNCTION("""COMPUTED_VALUE"""),"[""bag""]")</f>
        <v>["bag"]</v>
      </c>
      <c r="S2519" s="148" t="str">
        <f>IFERROR(__xludf.DUMMYFUNCTION("""COMPUTED_VALUE"""),"{}")</f>
        <v>{}</v>
      </c>
      <c r="T2519" s="148">
        <f>IFERROR(__xludf.DUMMYFUNCTION("""COMPUTED_VALUE"""),1.0)</f>
        <v>1</v>
      </c>
      <c r="U2519" s="148">
        <f>IFERROR(__xludf.DUMMYFUNCTION("""COMPUTED_VALUE"""),0.0)</f>
        <v>0</v>
      </c>
      <c r="V2519" s="148" t="str">
        <f>IFERROR(__xludf.DUMMYFUNCTION("""COMPUTED_VALUE"""),"[]")</f>
        <v>[]</v>
      </c>
      <c r="W2519" s="148">
        <f>IFERROR(__xludf.DUMMYFUNCTION("""COMPUTED_VALUE"""),1.174E7)</f>
        <v>11740000</v>
      </c>
      <c r="X2519" s="148">
        <f>IFERROR(__xludf.DUMMYFUNCTION("""COMPUTED_VALUE"""),0.0)</f>
        <v>0</v>
      </c>
      <c r="Y2519" s="148">
        <f>IFERROR(__xludf.DUMMYFUNCTION("""COMPUTED_VALUE"""),0.0)</f>
        <v>0</v>
      </c>
      <c r="Z2519" s="148"/>
    </row>
    <row r="2520">
      <c r="A2520" s="148">
        <f>IFERROR(__xludf.DUMMYFUNCTION("""COMPUTED_VALUE"""),1.1119455E7)</f>
        <v>11119455</v>
      </c>
      <c r="B2520" s="148" t="str">
        <f>IFERROR(__xludf.DUMMYFUNCTION("""COMPUTED_VALUE"""),"S300商店-解锁道具-收藏品档位2")</f>
        <v>S300商店-解锁道具-收藏品档位2</v>
      </c>
      <c r="C2520" s="148"/>
      <c r="D2520" s="148" t="str">
        <f>IFERROR(__xludf.DUMMYFUNCTION("""COMPUTED_VALUE"""),"event")</f>
        <v>event</v>
      </c>
      <c r="E2520" s="148">
        <f>IFERROR(__xludf.DUMMYFUNCTION("""COMPUTED_VALUE"""),0.0)</f>
        <v>0</v>
      </c>
      <c r="F2520" s="148">
        <f>IFERROR(__xludf.DUMMYFUNCTION("""COMPUTED_VALUE"""),0.0)</f>
        <v>0</v>
      </c>
      <c r="G2520" s="148">
        <f>IFERROR(__xludf.DUMMYFUNCTION("""COMPUTED_VALUE"""),1.51101392E8)</f>
        <v>151101392</v>
      </c>
      <c r="H2520" s="148">
        <f>IFERROR(__xludf.DUMMYFUNCTION("""COMPUTED_VALUE"""),1.5112562E7)</f>
        <v>15112562</v>
      </c>
      <c r="I2520" s="148" t="str">
        <f>IFERROR(__xludf.DUMMYFUNCTION("""COMPUTED_VALUE"""),"{}")</f>
        <v>{}</v>
      </c>
      <c r="J2520" s="148" t="str">
        <f>IFERROR(__xludf.DUMMYFUNCTION("""COMPUTED_VALUE"""),"{""typ"":""lc"",""txt"":""LC_ITEM_event_s300_exchange_unlock_hero_2_name""}")</f>
        <v>{"typ":"lc","txt":"LC_ITEM_event_s300_exchange_unlock_hero_2_name"}</v>
      </c>
      <c r="K2520" s="148" t="str">
        <f>IFERROR(__xludf.DUMMYFUNCTION("""COMPUTED_VALUE"""),"{""typ"":""lc"",""txt"":""LC_ITEM_event_s300_exchange_unlock_hero_2_desc""}")</f>
        <v>{"typ":"lc","txt":"LC_ITEM_event_s300_exchange_unlock_hero_2_desc"}</v>
      </c>
      <c r="L2520" s="148" t="str">
        <f>IFERROR(__xludf.DUMMYFUNCTION("""COMPUTED_VALUE"""),"{}")</f>
        <v>{}</v>
      </c>
      <c r="M2520" s="148">
        <f>IFERROR(__xludf.DUMMYFUNCTION("""COMPUTED_VALUE"""),700.0)</f>
        <v>700</v>
      </c>
      <c r="N2520" s="148">
        <f>IFERROR(__xludf.DUMMYFUNCTION("""COMPUTED_VALUE"""),9.99999999E8)</f>
        <v>999999999</v>
      </c>
      <c r="O2520" s="148">
        <f>IFERROR(__xludf.DUMMYFUNCTION("""COMPUTED_VALUE"""),9.99999999E8)</f>
        <v>999999999</v>
      </c>
      <c r="P2520" s="148">
        <f>IFERROR(__xludf.DUMMYFUNCTION("""COMPUTED_VALUE"""),9.99999999E8)</f>
        <v>999999999</v>
      </c>
      <c r="Q2520" s="148" t="str">
        <f>IFERROR(__xludf.DUMMYFUNCTION("""COMPUTED_VALUE"""),"[]")</f>
        <v>[]</v>
      </c>
      <c r="R2520" s="148" t="str">
        <f>IFERROR(__xludf.DUMMYFUNCTION("""COMPUTED_VALUE"""),"[""bag""]")</f>
        <v>["bag"]</v>
      </c>
      <c r="S2520" s="148" t="str">
        <f>IFERROR(__xludf.DUMMYFUNCTION("""COMPUTED_VALUE"""),"{}")</f>
        <v>{}</v>
      </c>
      <c r="T2520" s="148">
        <f>IFERROR(__xludf.DUMMYFUNCTION("""COMPUTED_VALUE"""),1.0)</f>
        <v>1</v>
      </c>
      <c r="U2520" s="148">
        <f>IFERROR(__xludf.DUMMYFUNCTION("""COMPUTED_VALUE"""),0.0)</f>
        <v>0</v>
      </c>
      <c r="V2520" s="148" t="str">
        <f>IFERROR(__xludf.DUMMYFUNCTION("""COMPUTED_VALUE"""),"[]")</f>
        <v>[]</v>
      </c>
      <c r="W2520" s="148">
        <f>IFERROR(__xludf.DUMMYFUNCTION("""COMPUTED_VALUE"""),1.174E7)</f>
        <v>11740000</v>
      </c>
      <c r="X2520" s="148">
        <f>IFERROR(__xludf.DUMMYFUNCTION("""COMPUTED_VALUE"""),0.0)</f>
        <v>0</v>
      </c>
      <c r="Y2520" s="148">
        <f>IFERROR(__xludf.DUMMYFUNCTION("""COMPUTED_VALUE"""),0.0)</f>
        <v>0</v>
      </c>
      <c r="Z2520" s="148"/>
    </row>
    <row r="2521">
      <c r="A2521" s="148">
        <f>IFERROR(__xludf.DUMMYFUNCTION("""COMPUTED_VALUE"""),1.1119456E7)</f>
        <v>11119456</v>
      </c>
      <c r="B2521" s="148" t="str">
        <f>IFERROR(__xludf.DUMMYFUNCTION("""COMPUTED_VALUE"""),"S300商店-解锁道具-收藏品档位3")</f>
        <v>S300商店-解锁道具-收藏品档位3</v>
      </c>
      <c r="C2521" s="148"/>
      <c r="D2521" s="148" t="str">
        <f>IFERROR(__xludf.DUMMYFUNCTION("""COMPUTED_VALUE"""),"event")</f>
        <v>event</v>
      </c>
      <c r="E2521" s="148">
        <f>IFERROR(__xludf.DUMMYFUNCTION("""COMPUTED_VALUE"""),0.0)</f>
        <v>0</v>
      </c>
      <c r="F2521" s="148">
        <f>IFERROR(__xludf.DUMMYFUNCTION("""COMPUTED_VALUE"""),0.0)</f>
        <v>0</v>
      </c>
      <c r="G2521" s="148">
        <f>IFERROR(__xludf.DUMMYFUNCTION("""COMPUTED_VALUE"""),1.51101392E8)</f>
        <v>151101392</v>
      </c>
      <c r="H2521" s="148">
        <f>IFERROR(__xludf.DUMMYFUNCTION("""COMPUTED_VALUE"""),1.5112563E7)</f>
        <v>15112563</v>
      </c>
      <c r="I2521" s="148" t="str">
        <f>IFERROR(__xludf.DUMMYFUNCTION("""COMPUTED_VALUE"""),"{}")</f>
        <v>{}</v>
      </c>
      <c r="J2521" s="148" t="str">
        <f>IFERROR(__xludf.DUMMYFUNCTION("""COMPUTED_VALUE"""),"{""typ"":""lc"",""txt"":""LC_ITEM_event_s300_exchange_unlock_hero_3_name""}")</f>
        <v>{"typ":"lc","txt":"LC_ITEM_event_s300_exchange_unlock_hero_3_name"}</v>
      </c>
      <c r="K2521" s="148" t="str">
        <f>IFERROR(__xludf.DUMMYFUNCTION("""COMPUTED_VALUE"""),"{""typ"":""lc"",""txt"":""LC_ITEM_event_s300_exchange_unlock_hero_2_desc""}")</f>
        <v>{"typ":"lc","txt":"LC_ITEM_event_s300_exchange_unlock_hero_2_desc"}</v>
      </c>
      <c r="L2521" s="148" t="str">
        <f>IFERROR(__xludf.DUMMYFUNCTION("""COMPUTED_VALUE"""),"{}")</f>
        <v>{}</v>
      </c>
      <c r="M2521" s="148">
        <f>IFERROR(__xludf.DUMMYFUNCTION("""COMPUTED_VALUE"""),700.0)</f>
        <v>700</v>
      </c>
      <c r="N2521" s="148">
        <f>IFERROR(__xludf.DUMMYFUNCTION("""COMPUTED_VALUE"""),9.99999999E8)</f>
        <v>999999999</v>
      </c>
      <c r="O2521" s="148">
        <f>IFERROR(__xludf.DUMMYFUNCTION("""COMPUTED_VALUE"""),9.99999999E8)</f>
        <v>999999999</v>
      </c>
      <c r="P2521" s="148">
        <f>IFERROR(__xludf.DUMMYFUNCTION("""COMPUTED_VALUE"""),9.99999999E8)</f>
        <v>999999999</v>
      </c>
      <c r="Q2521" s="148" t="str">
        <f>IFERROR(__xludf.DUMMYFUNCTION("""COMPUTED_VALUE"""),"[]")</f>
        <v>[]</v>
      </c>
      <c r="R2521" s="148" t="str">
        <f>IFERROR(__xludf.DUMMYFUNCTION("""COMPUTED_VALUE"""),"[""bag""]")</f>
        <v>["bag"]</v>
      </c>
      <c r="S2521" s="148" t="str">
        <f>IFERROR(__xludf.DUMMYFUNCTION("""COMPUTED_VALUE"""),"{}")</f>
        <v>{}</v>
      </c>
      <c r="T2521" s="148">
        <f>IFERROR(__xludf.DUMMYFUNCTION("""COMPUTED_VALUE"""),1.0)</f>
        <v>1</v>
      </c>
      <c r="U2521" s="148">
        <f>IFERROR(__xludf.DUMMYFUNCTION("""COMPUTED_VALUE"""),0.0)</f>
        <v>0</v>
      </c>
      <c r="V2521" s="148" t="str">
        <f>IFERROR(__xludf.DUMMYFUNCTION("""COMPUTED_VALUE"""),"[]")</f>
        <v>[]</v>
      </c>
      <c r="W2521" s="148">
        <f>IFERROR(__xludf.DUMMYFUNCTION("""COMPUTED_VALUE"""),1.174E7)</f>
        <v>11740000</v>
      </c>
      <c r="X2521" s="148">
        <f>IFERROR(__xludf.DUMMYFUNCTION("""COMPUTED_VALUE"""),0.0)</f>
        <v>0</v>
      </c>
      <c r="Y2521" s="148">
        <f>IFERROR(__xludf.DUMMYFUNCTION("""COMPUTED_VALUE"""),0.0)</f>
        <v>0</v>
      </c>
      <c r="Z2521" s="148"/>
    </row>
    <row r="2522">
      <c r="A2522" s="148">
        <f>IFERROR(__xludf.DUMMYFUNCTION("""COMPUTED_VALUE"""),1.1119457E7)</f>
        <v>11119457</v>
      </c>
      <c r="B2522" s="148" t="str">
        <f>IFERROR(__xludf.DUMMYFUNCTION("""COMPUTED_VALUE"""),"S300商店-解锁道具-收藏品档位4")</f>
        <v>S300商店-解锁道具-收藏品档位4</v>
      </c>
      <c r="C2522" s="148"/>
      <c r="D2522" s="148" t="str">
        <f>IFERROR(__xludf.DUMMYFUNCTION("""COMPUTED_VALUE"""),"event")</f>
        <v>event</v>
      </c>
      <c r="E2522" s="148">
        <f>IFERROR(__xludf.DUMMYFUNCTION("""COMPUTED_VALUE"""),0.0)</f>
        <v>0</v>
      </c>
      <c r="F2522" s="148">
        <f>IFERROR(__xludf.DUMMYFUNCTION("""COMPUTED_VALUE"""),0.0)</f>
        <v>0</v>
      </c>
      <c r="G2522" s="148">
        <f>IFERROR(__xludf.DUMMYFUNCTION("""COMPUTED_VALUE"""),1.51101392E8)</f>
        <v>151101392</v>
      </c>
      <c r="H2522" s="148">
        <f>IFERROR(__xludf.DUMMYFUNCTION("""COMPUTED_VALUE"""),1.5112564E7)</f>
        <v>15112564</v>
      </c>
      <c r="I2522" s="148" t="str">
        <f>IFERROR(__xludf.DUMMYFUNCTION("""COMPUTED_VALUE"""),"{}")</f>
        <v>{}</v>
      </c>
      <c r="J2522" s="148" t="str">
        <f>IFERROR(__xludf.DUMMYFUNCTION("""COMPUTED_VALUE"""),"{""typ"":""lc"",""txt"":""LC_ITEM_event_s300_exchange_unlock_hero_4_name""}")</f>
        <v>{"typ":"lc","txt":"LC_ITEM_event_s300_exchange_unlock_hero_4_name"}</v>
      </c>
      <c r="K2522" s="148" t="str">
        <f>IFERROR(__xludf.DUMMYFUNCTION("""COMPUTED_VALUE"""),"{""typ"":""lc"",""txt"":""LC_ITEM_event_s300_exchange_unlock_hero_2_desc""}")</f>
        <v>{"typ":"lc","txt":"LC_ITEM_event_s300_exchange_unlock_hero_2_desc"}</v>
      </c>
      <c r="L2522" s="148" t="str">
        <f>IFERROR(__xludf.DUMMYFUNCTION("""COMPUTED_VALUE"""),"{}")</f>
        <v>{}</v>
      </c>
      <c r="M2522" s="148">
        <f>IFERROR(__xludf.DUMMYFUNCTION("""COMPUTED_VALUE"""),700.0)</f>
        <v>700</v>
      </c>
      <c r="N2522" s="148">
        <f>IFERROR(__xludf.DUMMYFUNCTION("""COMPUTED_VALUE"""),9.99999999E8)</f>
        <v>999999999</v>
      </c>
      <c r="O2522" s="148">
        <f>IFERROR(__xludf.DUMMYFUNCTION("""COMPUTED_VALUE"""),9.99999999E8)</f>
        <v>999999999</v>
      </c>
      <c r="P2522" s="148">
        <f>IFERROR(__xludf.DUMMYFUNCTION("""COMPUTED_VALUE"""),9.99999999E8)</f>
        <v>999999999</v>
      </c>
      <c r="Q2522" s="148" t="str">
        <f>IFERROR(__xludf.DUMMYFUNCTION("""COMPUTED_VALUE"""),"[]")</f>
        <v>[]</v>
      </c>
      <c r="R2522" s="148" t="str">
        <f>IFERROR(__xludf.DUMMYFUNCTION("""COMPUTED_VALUE"""),"[""bag""]")</f>
        <v>["bag"]</v>
      </c>
      <c r="S2522" s="148" t="str">
        <f>IFERROR(__xludf.DUMMYFUNCTION("""COMPUTED_VALUE"""),"{}")</f>
        <v>{}</v>
      </c>
      <c r="T2522" s="148">
        <f>IFERROR(__xludf.DUMMYFUNCTION("""COMPUTED_VALUE"""),1.0)</f>
        <v>1</v>
      </c>
      <c r="U2522" s="148">
        <f>IFERROR(__xludf.DUMMYFUNCTION("""COMPUTED_VALUE"""),0.0)</f>
        <v>0</v>
      </c>
      <c r="V2522" s="148" t="str">
        <f>IFERROR(__xludf.DUMMYFUNCTION("""COMPUTED_VALUE"""),"[]")</f>
        <v>[]</v>
      </c>
      <c r="W2522" s="148">
        <f>IFERROR(__xludf.DUMMYFUNCTION("""COMPUTED_VALUE"""),1.174E7)</f>
        <v>11740000</v>
      </c>
      <c r="X2522" s="148">
        <f>IFERROR(__xludf.DUMMYFUNCTION("""COMPUTED_VALUE"""),0.0)</f>
        <v>0</v>
      </c>
      <c r="Y2522" s="148">
        <f>IFERROR(__xludf.DUMMYFUNCTION("""COMPUTED_VALUE"""),0.0)</f>
        <v>0</v>
      </c>
      <c r="Z2522" s="148"/>
    </row>
    <row r="2523">
      <c r="A2523" s="148">
        <f>IFERROR(__xludf.DUMMYFUNCTION("""COMPUTED_VALUE"""),1.1119458E7)</f>
        <v>11119458</v>
      </c>
      <c r="B2523" s="148" t="str">
        <f>IFERROR(__xludf.DUMMYFUNCTION("""COMPUTED_VALUE"""),"S300商店-解锁道具-装备档位2")</f>
        <v>S300商店-解锁道具-装备档位2</v>
      </c>
      <c r="C2523" s="148"/>
      <c r="D2523" s="148" t="str">
        <f>IFERROR(__xludf.DUMMYFUNCTION("""COMPUTED_VALUE"""),"event")</f>
        <v>event</v>
      </c>
      <c r="E2523" s="148">
        <f>IFERROR(__xludf.DUMMYFUNCTION("""COMPUTED_VALUE"""),0.0)</f>
        <v>0</v>
      </c>
      <c r="F2523" s="148">
        <f>IFERROR(__xludf.DUMMYFUNCTION("""COMPUTED_VALUE"""),0.0)</f>
        <v>0</v>
      </c>
      <c r="G2523" s="148">
        <f>IFERROR(__xludf.DUMMYFUNCTION("""COMPUTED_VALUE"""),1.51101393E8)</f>
        <v>151101393</v>
      </c>
      <c r="H2523" s="148">
        <f>IFERROR(__xludf.DUMMYFUNCTION("""COMPUTED_VALUE"""),1.5112562E7)</f>
        <v>15112562</v>
      </c>
      <c r="I2523" s="148" t="str">
        <f>IFERROR(__xludf.DUMMYFUNCTION("""COMPUTED_VALUE"""),"{}")</f>
        <v>{}</v>
      </c>
      <c r="J2523" s="148" t="str">
        <f>IFERROR(__xludf.DUMMYFUNCTION("""COMPUTED_VALUE"""),"{""typ"":""lc"",""txt"":""LC_ITEM_event_s300_exchange_unlock_hero_2_name""}")</f>
        <v>{"typ":"lc","txt":"LC_ITEM_event_s300_exchange_unlock_hero_2_name"}</v>
      </c>
      <c r="K2523" s="148" t="str">
        <f>IFERROR(__xludf.DUMMYFUNCTION("""COMPUTED_VALUE"""),"{""typ"":""lc"",""txt"":""LC_ITEM_event_s300_exchange_unlock_hero_2_desc""}")</f>
        <v>{"typ":"lc","txt":"LC_ITEM_event_s300_exchange_unlock_hero_2_desc"}</v>
      </c>
      <c r="L2523" s="148" t="str">
        <f>IFERROR(__xludf.DUMMYFUNCTION("""COMPUTED_VALUE"""),"{}")</f>
        <v>{}</v>
      </c>
      <c r="M2523" s="148">
        <f>IFERROR(__xludf.DUMMYFUNCTION("""COMPUTED_VALUE"""),700.0)</f>
        <v>700</v>
      </c>
      <c r="N2523" s="148">
        <f>IFERROR(__xludf.DUMMYFUNCTION("""COMPUTED_VALUE"""),9.99999999E8)</f>
        <v>999999999</v>
      </c>
      <c r="O2523" s="148">
        <f>IFERROR(__xludf.DUMMYFUNCTION("""COMPUTED_VALUE"""),9.99999999E8)</f>
        <v>999999999</v>
      </c>
      <c r="P2523" s="148">
        <f>IFERROR(__xludf.DUMMYFUNCTION("""COMPUTED_VALUE"""),9.99999999E8)</f>
        <v>999999999</v>
      </c>
      <c r="Q2523" s="148" t="str">
        <f>IFERROR(__xludf.DUMMYFUNCTION("""COMPUTED_VALUE"""),"[]")</f>
        <v>[]</v>
      </c>
      <c r="R2523" s="148" t="str">
        <f>IFERROR(__xludf.DUMMYFUNCTION("""COMPUTED_VALUE"""),"[""bag""]")</f>
        <v>["bag"]</v>
      </c>
      <c r="S2523" s="148" t="str">
        <f>IFERROR(__xludf.DUMMYFUNCTION("""COMPUTED_VALUE"""),"{}")</f>
        <v>{}</v>
      </c>
      <c r="T2523" s="148">
        <f>IFERROR(__xludf.DUMMYFUNCTION("""COMPUTED_VALUE"""),1.0)</f>
        <v>1</v>
      </c>
      <c r="U2523" s="148">
        <f>IFERROR(__xludf.DUMMYFUNCTION("""COMPUTED_VALUE"""),0.0)</f>
        <v>0</v>
      </c>
      <c r="V2523" s="148" t="str">
        <f>IFERROR(__xludf.DUMMYFUNCTION("""COMPUTED_VALUE"""),"[]")</f>
        <v>[]</v>
      </c>
      <c r="W2523" s="148">
        <f>IFERROR(__xludf.DUMMYFUNCTION("""COMPUTED_VALUE"""),1.174E7)</f>
        <v>11740000</v>
      </c>
      <c r="X2523" s="148">
        <f>IFERROR(__xludf.DUMMYFUNCTION("""COMPUTED_VALUE"""),0.0)</f>
        <v>0</v>
      </c>
      <c r="Y2523" s="148">
        <f>IFERROR(__xludf.DUMMYFUNCTION("""COMPUTED_VALUE"""),0.0)</f>
        <v>0</v>
      </c>
      <c r="Z2523" s="148"/>
    </row>
    <row r="2524">
      <c r="A2524" s="148">
        <f>IFERROR(__xludf.DUMMYFUNCTION("""COMPUTED_VALUE"""),1.1119459E7)</f>
        <v>11119459</v>
      </c>
      <c r="B2524" s="148" t="str">
        <f>IFERROR(__xludf.DUMMYFUNCTION("""COMPUTED_VALUE"""),"S300商店-解锁道具-装备档位3")</f>
        <v>S300商店-解锁道具-装备档位3</v>
      </c>
      <c r="C2524" s="148"/>
      <c r="D2524" s="148" t="str">
        <f>IFERROR(__xludf.DUMMYFUNCTION("""COMPUTED_VALUE"""),"event")</f>
        <v>event</v>
      </c>
      <c r="E2524" s="148">
        <f>IFERROR(__xludf.DUMMYFUNCTION("""COMPUTED_VALUE"""),0.0)</f>
        <v>0</v>
      </c>
      <c r="F2524" s="148">
        <f>IFERROR(__xludf.DUMMYFUNCTION("""COMPUTED_VALUE"""),0.0)</f>
        <v>0</v>
      </c>
      <c r="G2524" s="148">
        <f>IFERROR(__xludf.DUMMYFUNCTION("""COMPUTED_VALUE"""),1.51101393E8)</f>
        <v>151101393</v>
      </c>
      <c r="H2524" s="148">
        <f>IFERROR(__xludf.DUMMYFUNCTION("""COMPUTED_VALUE"""),1.5112563E7)</f>
        <v>15112563</v>
      </c>
      <c r="I2524" s="148" t="str">
        <f>IFERROR(__xludf.DUMMYFUNCTION("""COMPUTED_VALUE"""),"{}")</f>
        <v>{}</v>
      </c>
      <c r="J2524" s="148" t="str">
        <f>IFERROR(__xludf.DUMMYFUNCTION("""COMPUTED_VALUE"""),"{""typ"":""lc"",""txt"":""LC_ITEM_event_s300_exchange_unlock_hero_3_name""}")</f>
        <v>{"typ":"lc","txt":"LC_ITEM_event_s300_exchange_unlock_hero_3_name"}</v>
      </c>
      <c r="K2524" s="148" t="str">
        <f>IFERROR(__xludf.DUMMYFUNCTION("""COMPUTED_VALUE"""),"{""typ"":""lc"",""txt"":""LC_ITEM_event_s300_exchange_unlock_hero_2_desc""}")</f>
        <v>{"typ":"lc","txt":"LC_ITEM_event_s300_exchange_unlock_hero_2_desc"}</v>
      </c>
      <c r="L2524" s="148" t="str">
        <f>IFERROR(__xludf.DUMMYFUNCTION("""COMPUTED_VALUE"""),"{}")</f>
        <v>{}</v>
      </c>
      <c r="M2524" s="148">
        <f>IFERROR(__xludf.DUMMYFUNCTION("""COMPUTED_VALUE"""),700.0)</f>
        <v>700</v>
      </c>
      <c r="N2524" s="148">
        <f>IFERROR(__xludf.DUMMYFUNCTION("""COMPUTED_VALUE"""),9.99999999E8)</f>
        <v>999999999</v>
      </c>
      <c r="O2524" s="148">
        <f>IFERROR(__xludf.DUMMYFUNCTION("""COMPUTED_VALUE"""),9.99999999E8)</f>
        <v>999999999</v>
      </c>
      <c r="P2524" s="148">
        <f>IFERROR(__xludf.DUMMYFUNCTION("""COMPUTED_VALUE"""),9.99999999E8)</f>
        <v>999999999</v>
      </c>
      <c r="Q2524" s="148" t="str">
        <f>IFERROR(__xludf.DUMMYFUNCTION("""COMPUTED_VALUE"""),"[]")</f>
        <v>[]</v>
      </c>
      <c r="R2524" s="148" t="str">
        <f>IFERROR(__xludf.DUMMYFUNCTION("""COMPUTED_VALUE"""),"[""bag""]")</f>
        <v>["bag"]</v>
      </c>
      <c r="S2524" s="148" t="str">
        <f>IFERROR(__xludf.DUMMYFUNCTION("""COMPUTED_VALUE"""),"{}")</f>
        <v>{}</v>
      </c>
      <c r="T2524" s="148">
        <f>IFERROR(__xludf.DUMMYFUNCTION("""COMPUTED_VALUE"""),1.0)</f>
        <v>1</v>
      </c>
      <c r="U2524" s="148">
        <f>IFERROR(__xludf.DUMMYFUNCTION("""COMPUTED_VALUE"""),0.0)</f>
        <v>0</v>
      </c>
      <c r="V2524" s="148" t="str">
        <f>IFERROR(__xludf.DUMMYFUNCTION("""COMPUTED_VALUE"""),"[]")</f>
        <v>[]</v>
      </c>
      <c r="W2524" s="148">
        <f>IFERROR(__xludf.DUMMYFUNCTION("""COMPUTED_VALUE"""),1.174E7)</f>
        <v>11740000</v>
      </c>
      <c r="X2524" s="148">
        <f>IFERROR(__xludf.DUMMYFUNCTION("""COMPUTED_VALUE"""),0.0)</f>
        <v>0</v>
      </c>
      <c r="Y2524" s="148">
        <f>IFERROR(__xludf.DUMMYFUNCTION("""COMPUTED_VALUE"""),0.0)</f>
        <v>0</v>
      </c>
      <c r="Z2524" s="148"/>
    </row>
    <row r="2525">
      <c r="A2525" s="148">
        <f>IFERROR(__xludf.DUMMYFUNCTION("""COMPUTED_VALUE"""),1.111946E7)</f>
        <v>11119460</v>
      </c>
      <c r="B2525" s="148" t="str">
        <f>IFERROR(__xludf.DUMMYFUNCTION("""COMPUTED_VALUE"""),"S300商店-解锁道具-装备档位4")</f>
        <v>S300商店-解锁道具-装备档位4</v>
      </c>
      <c r="C2525" s="148"/>
      <c r="D2525" s="148" t="str">
        <f>IFERROR(__xludf.DUMMYFUNCTION("""COMPUTED_VALUE"""),"event")</f>
        <v>event</v>
      </c>
      <c r="E2525" s="148">
        <f>IFERROR(__xludf.DUMMYFUNCTION("""COMPUTED_VALUE"""),0.0)</f>
        <v>0</v>
      </c>
      <c r="F2525" s="148">
        <f>IFERROR(__xludf.DUMMYFUNCTION("""COMPUTED_VALUE"""),0.0)</f>
        <v>0</v>
      </c>
      <c r="G2525" s="148">
        <f>IFERROR(__xludf.DUMMYFUNCTION("""COMPUTED_VALUE"""),1.51101393E8)</f>
        <v>151101393</v>
      </c>
      <c r="H2525" s="148">
        <f>IFERROR(__xludf.DUMMYFUNCTION("""COMPUTED_VALUE"""),1.5112564E7)</f>
        <v>15112564</v>
      </c>
      <c r="I2525" s="148" t="str">
        <f>IFERROR(__xludf.DUMMYFUNCTION("""COMPUTED_VALUE"""),"{}")</f>
        <v>{}</v>
      </c>
      <c r="J2525" s="148" t="str">
        <f>IFERROR(__xludf.DUMMYFUNCTION("""COMPUTED_VALUE"""),"{""typ"":""lc"",""txt"":""LC_ITEM_event_s300_exchange_unlock_hero_4_name""}")</f>
        <v>{"typ":"lc","txt":"LC_ITEM_event_s300_exchange_unlock_hero_4_name"}</v>
      </c>
      <c r="K2525" s="148" t="str">
        <f>IFERROR(__xludf.DUMMYFUNCTION("""COMPUTED_VALUE"""),"{""typ"":""lc"",""txt"":""LC_ITEM_event_s300_exchange_unlock_hero_2_desc""}")</f>
        <v>{"typ":"lc","txt":"LC_ITEM_event_s300_exchange_unlock_hero_2_desc"}</v>
      </c>
      <c r="L2525" s="148" t="str">
        <f>IFERROR(__xludf.DUMMYFUNCTION("""COMPUTED_VALUE"""),"{}")</f>
        <v>{}</v>
      </c>
      <c r="M2525" s="148">
        <f>IFERROR(__xludf.DUMMYFUNCTION("""COMPUTED_VALUE"""),700.0)</f>
        <v>700</v>
      </c>
      <c r="N2525" s="148">
        <f>IFERROR(__xludf.DUMMYFUNCTION("""COMPUTED_VALUE"""),9.99999999E8)</f>
        <v>999999999</v>
      </c>
      <c r="O2525" s="148">
        <f>IFERROR(__xludf.DUMMYFUNCTION("""COMPUTED_VALUE"""),9.99999999E8)</f>
        <v>999999999</v>
      </c>
      <c r="P2525" s="148">
        <f>IFERROR(__xludf.DUMMYFUNCTION("""COMPUTED_VALUE"""),9.99999999E8)</f>
        <v>999999999</v>
      </c>
      <c r="Q2525" s="148" t="str">
        <f>IFERROR(__xludf.DUMMYFUNCTION("""COMPUTED_VALUE"""),"[]")</f>
        <v>[]</v>
      </c>
      <c r="R2525" s="148" t="str">
        <f>IFERROR(__xludf.DUMMYFUNCTION("""COMPUTED_VALUE"""),"[""bag""]")</f>
        <v>["bag"]</v>
      </c>
      <c r="S2525" s="148" t="str">
        <f>IFERROR(__xludf.DUMMYFUNCTION("""COMPUTED_VALUE"""),"{}")</f>
        <v>{}</v>
      </c>
      <c r="T2525" s="148">
        <f>IFERROR(__xludf.DUMMYFUNCTION("""COMPUTED_VALUE"""),1.0)</f>
        <v>1</v>
      </c>
      <c r="U2525" s="148">
        <f>IFERROR(__xludf.DUMMYFUNCTION("""COMPUTED_VALUE"""),0.0)</f>
        <v>0</v>
      </c>
      <c r="V2525" s="148" t="str">
        <f>IFERROR(__xludf.DUMMYFUNCTION("""COMPUTED_VALUE"""),"[]")</f>
        <v>[]</v>
      </c>
      <c r="W2525" s="148">
        <f>IFERROR(__xludf.DUMMYFUNCTION("""COMPUTED_VALUE"""),1.174E7)</f>
        <v>11740000</v>
      </c>
      <c r="X2525" s="148">
        <f>IFERROR(__xludf.DUMMYFUNCTION("""COMPUTED_VALUE"""),0.0)</f>
        <v>0</v>
      </c>
      <c r="Y2525" s="148">
        <f>IFERROR(__xludf.DUMMYFUNCTION("""COMPUTED_VALUE"""),0.0)</f>
        <v>0</v>
      </c>
      <c r="Z2525" s="148"/>
    </row>
    <row r="2526">
      <c r="A2526" s="148">
        <f>IFERROR(__xludf.DUMMYFUNCTION("""COMPUTED_VALUE"""),1.1119461E7)</f>
        <v>11119461</v>
      </c>
      <c r="B2526" s="148" t="str">
        <f>IFERROR(__xludf.DUMMYFUNCTION("""COMPUTED_VALUE"""),"S300商店-解锁道具-军备档位2")</f>
        <v>S300商店-解锁道具-军备档位2</v>
      </c>
      <c r="C2526" s="148"/>
      <c r="D2526" s="148" t="str">
        <f>IFERROR(__xludf.DUMMYFUNCTION("""COMPUTED_VALUE"""),"event")</f>
        <v>event</v>
      </c>
      <c r="E2526" s="148">
        <f>IFERROR(__xludf.DUMMYFUNCTION("""COMPUTED_VALUE"""),0.0)</f>
        <v>0</v>
      </c>
      <c r="F2526" s="148">
        <f>IFERROR(__xludf.DUMMYFUNCTION("""COMPUTED_VALUE"""),0.0)</f>
        <v>0</v>
      </c>
      <c r="G2526" s="148">
        <f>IFERROR(__xludf.DUMMYFUNCTION("""COMPUTED_VALUE"""),1.51101394E8)</f>
        <v>151101394</v>
      </c>
      <c r="H2526" s="148">
        <f>IFERROR(__xludf.DUMMYFUNCTION("""COMPUTED_VALUE"""),1.5112562E7)</f>
        <v>15112562</v>
      </c>
      <c r="I2526" s="148" t="str">
        <f>IFERROR(__xludf.DUMMYFUNCTION("""COMPUTED_VALUE"""),"{}")</f>
        <v>{}</v>
      </c>
      <c r="J2526" s="148" t="str">
        <f>IFERROR(__xludf.DUMMYFUNCTION("""COMPUTED_VALUE"""),"{""typ"":""lc"",""txt"":""LC_ITEM_event_s300_exchange_unlock_hero_2_name""}")</f>
        <v>{"typ":"lc","txt":"LC_ITEM_event_s300_exchange_unlock_hero_2_name"}</v>
      </c>
      <c r="K2526" s="148" t="str">
        <f>IFERROR(__xludf.DUMMYFUNCTION("""COMPUTED_VALUE"""),"{""typ"":""lc"",""txt"":""LC_ITEM_event_s300_exchange_unlock_hero_2_desc""}")</f>
        <v>{"typ":"lc","txt":"LC_ITEM_event_s300_exchange_unlock_hero_2_desc"}</v>
      </c>
      <c r="L2526" s="148" t="str">
        <f>IFERROR(__xludf.DUMMYFUNCTION("""COMPUTED_VALUE"""),"{}")</f>
        <v>{}</v>
      </c>
      <c r="M2526" s="148">
        <f>IFERROR(__xludf.DUMMYFUNCTION("""COMPUTED_VALUE"""),700.0)</f>
        <v>700</v>
      </c>
      <c r="N2526" s="148">
        <f>IFERROR(__xludf.DUMMYFUNCTION("""COMPUTED_VALUE"""),9.99999999E8)</f>
        <v>999999999</v>
      </c>
      <c r="O2526" s="148">
        <f>IFERROR(__xludf.DUMMYFUNCTION("""COMPUTED_VALUE"""),9.99999999E8)</f>
        <v>999999999</v>
      </c>
      <c r="P2526" s="148">
        <f>IFERROR(__xludf.DUMMYFUNCTION("""COMPUTED_VALUE"""),9.99999999E8)</f>
        <v>999999999</v>
      </c>
      <c r="Q2526" s="148" t="str">
        <f>IFERROR(__xludf.DUMMYFUNCTION("""COMPUTED_VALUE"""),"[]")</f>
        <v>[]</v>
      </c>
      <c r="R2526" s="148" t="str">
        <f>IFERROR(__xludf.DUMMYFUNCTION("""COMPUTED_VALUE"""),"[""bag""]")</f>
        <v>["bag"]</v>
      </c>
      <c r="S2526" s="148" t="str">
        <f>IFERROR(__xludf.DUMMYFUNCTION("""COMPUTED_VALUE"""),"{}")</f>
        <v>{}</v>
      </c>
      <c r="T2526" s="148">
        <f>IFERROR(__xludf.DUMMYFUNCTION("""COMPUTED_VALUE"""),1.0)</f>
        <v>1</v>
      </c>
      <c r="U2526" s="148">
        <f>IFERROR(__xludf.DUMMYFUNCTION("""COMPUTED_VALUE"""),0.0)</f>
        <v>0</v>
      </c>
      <c r="V2526" s="148" t="str">
        <f>IFERROR(__xludf.DUMMYFUNCTION("""COMPUTED_VALUE"""),"[]")</f>
        <v>[]</v>
      </c>
      <c r="W2526" s="148">
        <f>IFERROR(__xludf.DUMMYFUNCTION("""COMPUTED_VALUE"""),1.174E7)</f>
        <v>11740000</v>
      </c>
      <c r="X2526" s="148">
        <f>IFERROR(__xludf.DUMMYFUNCTION("""COMPUTED_VALUE"""),0.0)</f>
        <v>0</v>
      </c>
      <c r="Y2526" s="148">
        <f>IFERROR(__xludf.DUMMYFUNCTION("""COMPUTED_VALUE"""),0.0)</f>
        <v>0</v>
      </c>
      <c r="Z2526" s="148"/>
    </row>
    <row r="2527">
      <c r="A2527" s="148">
        <f>IFERROR(__xludf.DUMMYFUNCTION("""COMPUTED_VALUE"""),1.1119462E7)</f>
        <v>11119462</v>
      </c>
      <c r="B2527" s="148" t="str">
        <f>IFERROR(__xludf.DUMMYFUNCTION("""COMPUTED_VALUE"""),"S300商店-解锁道具-军备档位3")</f>
        <v>S300商店-解锁道具-军备档位3</v>
      </c>
      <c r="C2527" s="148"/>
      <c r="D2527" s="148" t="str">
        <f>IFERROR(__xludf.DUMMYFUNCTION("""COMPUTED_VALUE"""),"event")</f>
        <v>event</v>
      </c>
      <c r="E2527" s="148">
        <f>IFERROR(__xludf.DUMMYFUNCTION("""COMPUTED_VALUE"""),0.0)</f>
        <v>0</v>
      </c>
      <c r="F2527" s="148">
        <f>IFERROR(__xludf.DUMMYFUNCTION("""COMPUTED_VALUE"""),0.0)</f>
        <v>0</v>
      </c>
      <c r="G2527" s="148">
        <f>IFERROR(__xludf.DUMMYFUNCTION("""COMPUTED_VALUE"""),1.51101394E8)</f>
        <v>151101394</v>
      </c>
      <c r="H2527" s="148">
        <f>IFERROR(__xludf.DUMMYFUNCTION("""COMPUTED_VALUE"""),1.5112563E7)</f>
        <v>15112563</v>
      </c>
      <c r="I2527" s="148" t="str">
        <f>IFERROR(__xludf.DUMMYFUNCTION("""COMPUTED_VALUE"""),"{}")</f>
        <v>{}</v>
      </c>
      <c r="J2527" s="148" t="str">
        <f>IFERROR(__xludf.DUMMYFUNCTION("""COMPUTED_VALUE"""),"{""typ"":""lc"",""txt"":""LC_ITEM_event_s300_exchange_unlock_hero_3_name""}")</f>
        <v>{"typ":"lc","txt":"LC_ITEM_event_s300_exchange_unlock_hero_3_name"}</v>
      </c>
      <c r="K2527" s="148" t="str">
        <f>IFERROR(__xludf.DUMMYFUNCTION("""COMPUTED_VALUE"""),"{""typ"":""lc"",""txt"":""LC_ITEM_event_s300_exchange_unlock_hero_2_desc""}")</f>
        <v>{"typ":"lc","txt":"LC_ITEM_event_s300_exchange_unlock_hero_2_desc"}</v>
      </c>
      <c r="L2527" s="148" t="str">
        <f>IFERROR(__xludf.DUMMYFUNCTION("""COMPUTED_VALUE"""),"{}")</f>
        <v>{}</v>
      </c>
      <c r="M2527" s="148">
        <f>IFERROR(__xludf.DUMMYFUNCTION("""COMPUTED_VALUE"""),700.0)</f>
        <v>700</v>
      </c>
      <c r="N2527" s="148">
        <f>IFERROR(__xludf.DUMMYFUNCTION("""COMPUTED_VALUE"""),9.99999999E8)</f>
        <v>999999999</v>
      </c>
      <c r="O2527" s="148">
        <f>IFERROR(__xludf.DUMMYFUNCTION("""COMPUTED_VALUE"""),9.99999999E8)</f>
        <v>999999999</v>
      </c>
      <c r="P2527" s="148">
        <f>IFERROR(__xludf.DUMMYFUNCTION("""COMPUTED_VALUE"""),9.99999999E8)</f>
        <v>999999999</v>
      </c>
      <c r="Q2527" s="148" t="str">
        <f>IFERROR(__xludf.DUMMYFUNCTION("""COMPUTED_VALUE"""),"[]")</f>
        <v>[]</v>
      </c>
      <c r="R2527" s="148" t="str">
        <f>IFERROR(__xludf.DUMMYFUNCTION("""COMPUTED_VALUE"""),"[""bag""]")</f>
        <v>["bag"]</v>
      </c>
      <c r="S2527" s="148" t="str">
        <f>IFERROR(__xludf.DUMMYFUNCTION("""COMPUTED_VALUE"""),"{}")</f>
        <v>{}</v>
      </c>
      <c r="T2527" s="148">
        <f>IFERROR(__xludf.DUMMYFUNCTION("""COMPUTED_VALUE"""),1.0)</f>
        <v>1</v>
      </c>
      <c r="U2527" s="148">
        <f>IFERROR(__xludf.DUMMYFUNCTION("""COMPUTED_VALUE"""),0.0)</f>
        <v>0</v>
      </c>
      <c r="V2527" s="148" t="str">
        <f>IFERROR(__xludf.DUMMYFUNCTION("""COMPUTED_VALUE"""),"[]")</f>
        <v>[]</v>
      </c>
      <c r="W2527" s="148">
        <f>IFERROR(__xludf.DUMMYFUNCTION("""COMPUTED_VALUE"""),1.174E7)</f>
        <v>11740000</v>
      </c>
      <c r="X2527" s="148">
        <f>IFERROR(__xludf.DUMMYFUNCTION("""COMPUTED_VALUE"""),0.0)</f>
        <v>0</v>
      </c>
      <c r="Y2527" s="148">
        <f>IFERROR(__xludf.DUMMYFUNCTION("""COMPUTED_VALUE"""),0.0)</f>
        <v>0</v>
      </c>
      <c r="Z2527" s="148"/>
    </row>
    <row r="2528">
      <c r="A2528" s="148">
        <f>IFERROR(__xludf.DUMMYFUNCTION("""COMPUTED_VALUE"""),1.1119463E7)</f>
        <v>11119463</v>
      </c>
      <c r="B2528" s="148" t="str">
        <f>IFERROR(__xludf.DUMMYFUNCTION("""COMPUTED_VALUE"""),"S300商店-解锁道具-军备档位4")</f>
        <v>S300商店-解锁道具-军备档位4</v>
      </c>
      <c r="C2528" s="148"/>
      <c r="D2528" s="148" t="str">
        <f>IFERROR(__xludf.DUMMYFUNCTION("""COMPUTED_VALUE"""),"event")</f>
        <v>event</v>
      </c>
      <c r="E2528" s="148">
        <f>IFERROR(__xludf.DUMMYFUNCTION("""COMPUTED_VALUE"""),0.0)</f>
        <v>0</v>
      </c>
      <c r="F2528" s="148">
        <f>IFERROR(__xludf.DUMMYFUNCTION("""COMPUTED_VALUE"""),0.0)</f>
        <v>0</v>
      </c>
      <c r="G2528" s="148">
        <f>IFERROR(__xludf.DUMMYFUNCTION("""COMPUTED_VALUE"""),1.51101394E8)</f>
        <v>151101394</v>
      </c>
      <c r="H2528" s="148">
        <f>IFERROR(__xludf.DUMMYFUNCTION("""COMPUTED_VALUE"""),1.5112564E7)</f>
        <v>15112564</v>
      </c>
      <c r="I2528" s="148" t="str">
        <f>IFERROR(__xludf.DUMMYFUNCTION("""COMPUTED_VALUE"""),"{}")</f>
        <v>{}</v>
      </c>
      <c r="J2528" s="148" t="str">
        <f>IFERROR(__xludf.DUMMYFUNCTION("""COMPUTED_VALUE"""),"{""typ"":""lc"",""txt"":""LC_ITEM_event_s300_exchange_unlock_hero_4_name""}")</f>
        <v>{"typ":"lc","txt":"LC_ITEM_event_s300_exchange_unlock_hero_4_name"}</v>
      </c>
      <c r="K2528" s="148" t="str">
        <f>IFERROR(__xludf.DUMMYFUNCTION("""COMPUTED_VALUE"""),"{""typ"":""lc"",""txt"":""LC_ITEM_event_s300_exchange_unlock_hero_2_desc""}")</f>
        <v>{"typ":"lc","txt":"LC_ITEM_event_s300_exchange_unlock_hero_2_desc"}</v>
      </c>
      <c r="L2528" s="148" t="str">
        <f>IFERROR(__xludf.DUMMYFUNCTION("""COMPUTED_VALUE"""),"{}")</f>
        <v>{}</v>
      </c>
      <c r="M2528" s="148">
        <f>IFERROR(__xludf.DUMMYFUNCTION("""COMPUTED_VALUE"""),700.0)</f>
        <v>700</v>
      </c>
      <c r="N2528" s="148">
        <f>IFERROR(__xludf.DUMMYFUNCTION("""COMPUTED_VALUE"""),9.99999999E8)</f>
        <v>999999999</v>
      </c>
      <c r="O2528" s="148">
        <f>IFERROR(__xludf.DUMMYFUNCTION("""COMPUTED_VALUE"""),9.99999999E8)</f>
        <v>999999999</v>
      </c>
      <c r="P2528" s="148">
        <f>IFERROR(__xludf.DUMMYFUNCTION("""COMPUTED_VALUE"""),9.99999999E8)</f>
        <v>999999999</v>
      </c>
      <c r="Q2528" s="148" t="str">
        <f>IFERROR(__xludf.DUMMYFUNCTION("""COMPUTED_VALUE"""),"[]")</f>
        <v>[]</v>
      </c>
      <c r="R2528" s="148" t="str">
        <f>IFERROR(__xludf.DUMMYFUNCTION("""COMPUTED_VALUE"""),"[""bag""]")</f>
        <v>["bag"]</v>
      </c>
      <c r="S2528" s="148" t="str">
        <f>IFERROR(__xludf.DUMMYFUNCTION("""COMPUTED_VALUE"""),"{}")</f>
        <v>{}</v>
      </c>
      <c r="T2528" s="148">
        <f>IFERROR(__xludf.DUMMYFUNCTION("""COMPUTED_VALUE"""),1.0)</f>
        <v>1</v>
      </c>
      <c r="U2528" s="148">
        <f>IFERROR(__xludf.DUMMYFUNCTION("""COMPUTED_VALUE"""),0.0)</f>
        <v>0</v>
      </c>
      <c r="V2528" s="148" t="str">
        <f>IFERROR(__xludf.DUMMYFUNCTION("""COMPUTED_VALUE"""),"[]")</f>
        <v>[]</v>
      </c>
      <c r="W2528" s="148">
        <f>IFERROR(__xludf.DUMMYFUNCTION("""COMPUTED_VALUE"""),1.174E7)</f>
        <v>11740000</v>
      </c>
      <c r="X2528" s="148">
        <f>IFERROR(__xludf.DUMMYFUNCTION("""COMPUTED_VALUE"""),0.0)</f>
        <v>0</v>
      </c>
      <c r="Y2528" s="148">
        <f>IFERROR(__xludf.DUMMYFUNCTION("""COMPUTED_VALUE"""),0.0)</f>
        <v>0</v>
      </c>
      <c r="Z2528" s="148"/>
    </row>
    <row r="2529">
      <c r="A2529" s="148">
        <f>IFERROR(__xludf.DUMMYFUNCTION("""COMPUTED_VALUE"""),1.1119464E7)</f>
        <v>11119464</v>
      </c>
      <c r="B2529" s="148" t="str">
        <f>IFERROR(__xludf.DUMMYFUNCTION("""COMPUTED_VALUE"""),"S300商店-解锁道具-SLG档位2")</f>
        <v>S300商店-解锁道具-SLG档位2</v>
      </c>
      <c r="C2529" s="148"/>
      <c r="D2529" s="148" t="str">
        <f>IFERROR(__xludf.DUMMYFUNCTION("""COMPUTED_VALUE"""),"event")</f>
        <v>event</v>
      </c>
      <c r="E2529" s="148">
        <f>IFERROR(__xludf.DUMMYFUNCTION("""COMPUTED_VALUE"""),0.0)</f>
        <v>0</v>
      </c>
      <c r="F2529" s="148">
        <f>IFERROR(__xludf.DUMMYFUNCTION("""COMPUTED_VALUE"""),0.0)</f>
        <v>0</v>
      </c>
      <c r="G2529" s="148">
        <f>IFERROR(__xludf.DUMMYFUNCTION("""COMPUTED_VALUE"""),1.51101395E8)</f>
        <v>151101395</v>
      </c>
      <c r="H2529" s="148">
        <f>IFERROR(__xludf.DUMMYFUNCTION("""COMPUTED_VALUE"""),1.5112562E7)</f>
        <v>15112562</v>
      </c>
      <c r="I2529" s="148" t="str">
        <f>IFERROR(__xludf.DUMMYFUNCTION("""COMPUTED_VALUE"""),"{}")</f>
        <v>{}</v>
      </c>
      <c r="J2529" s="148" t="str">
        <f>IFERROR(__xludf.DUMMYFUNCTION("""COMPUTED_VALUE"""),"{""typ"":""lc"",""txt"":""LC_ITEM_event_s300_exchange_unlock_hero_2_name""}")</f>
        <v>{"typ":"lc","txt":"LC_ITEM_event_s300_exchange_unlock_hero_2_name"}</v>
      </c>
      <c r="K2529" s="148" t="str">
        <f>IFERROR(__xludf.DUMMYFUNCTION("""COMPUTED_VALUE"""),"{""typ"":""lc"",""txt"":""LC_ITEM_event_s300_exchange_unlock_hero_2_desc""}")</f>
        <v>{"typ":"lc","txt":"LC_ITEM_event_s300_exchange_unlock_hero_2_desc"}</v>
      </c>
      <c r="L2529" s="148" t="str">
        <f>IFERROR(__xludf.DUMMYFUNCTION("""COMPUTED_VALUE"""),"{}")</f>
        <v>{}</v>
      </c>
      <c r="M2529" s="148">
        <f>IFERROR(__xludf.DUMMYFUNCTION("""COMPUTED_VALUE"""),700.0)</f>
        <v>700</v>
      </c>
      <c r="N2529" s="148">
        <f>IFERROR(__xludf.DUMMYFUNCTION("""COMPUTED_VALUE"""),9.99999999E8)</f>
        <v>999999999</v>
      </c>
      <c r="O2529" s="148">
        <f>IFERROR(__xludf.DUMMYFUNCTION("""COMPUTED_VALUE"""),9.99999999E8)</f>
        <v>999999999</v>
      </c>
      <c r="P2529" s="148">
        <f>IFERROR(__xludf.DUMMYFUNCTION("""COMPUTED_VALUE"""),9.99999999E8)</f>
        <v>999999999</v>
      </c>
      <c r="Q2529" s="148" t="str">
        <f>IFERROR(__xludf.DUMMYFUNCTION("""COMPUTED_VALUE"""),"[]")</f>
        <v>[]</v>
      </c>
      <c r="R2529" s="148" t="str">
        <f>IFERROR(__xludf.DUMMYFUNCTION("""COMPUTED_VALUE"""),"[""bag""]")</f>
        <v>["bag"]</v>
      </c>
      <c r="S2529" s="148" t="str">
        <f>IFERROR(__xludf.DUMMYFUNCTION("""COMPUTED_VALUE"""),"{}")</f>
        <v>{}</v>
      </c>
      <c r="T2529" s="148">
        <f>IFERROR(__xludf.DUMMYFUNCTION("""COMPUTED_VALUE"""),1.0)</f>
        <v>1</v>
      </c>
      <c r="U2529" s="148">
        <f>IFERROR(__xludf.DUMMYFUNCTION("""COMPUTED_VALUE"""),0.0)</f>
        <v>0</v>
      </c>
      <c r="V2529" s="148" t="str">
        <f>IFERROR(__xludf.DUMMYFUNCTION("""COMPUTED_VALUE"""),"[]")</f>
        <v>[]</v>
      </c>
      <c r="W2529" s="148">
        <f>IFERROR(__xludf.DUMMYFUNCTION("""COMPUTED_VALUE"""),1.174E7)</f>
        <v>11740000</v>
      </c>
      <c r="X2529" s="148">
        <f>IFERROR(__xludf.DUMMYFUNCTION("""COMPUTED_VALUE"""),0.0)</f>
        <v>0</v>
      </c>
      <c r="Y2529" s="148">
        <f>IFERROR(__xludf.DUMMYFUNCTION("""COMPUTED_VALUE"""),0.0)</f>
        <v>0</v>
      </c>
      <c r="Z2529" s="148"/>
    </row>
    <row r="2530">
      <c r="A2530" s="148">
        <f>IFERROR(__xludf.DUMMYFUNCTION("""COMPUTED_VALUE"""),1.1119465E7)</f>
        <v>11119465</v>
      </c>
      <c r="B2530" s="148" t="str">
        <f>IFERROR(__xludf.DUMMYFUNCTION("""COMPUTED_VALUE"""),"S300商店-解锁道具-SLG档位3")</f>
        <v>S300商店-解锁道具-SLG档位3</v>
      </c>
      <c r="C2530" s="148"/>
      <c r="D2530" s="148" t="str">
        <f>IFERROR(__xludf.DUMMYFUNCTION("""COMPUTED_VALUE"""),"event")</f>
        <v>event</v>
      </c>
      <c r="E2530" s="148">
        <f>IFERROR(__xludf.DUMMYFUNCTION("""COMPUTED_VALUE"""),0.0)</f>
        <v>0</v>
      </c>
      <c r="F2530" s="148">
        <f>IFERROR(__xludf.DUMMYFUNCTION("""COMPUTED_VALUE"""),0.0)</f>
        <v>0</v>
      </c>
      <c r="G2530" s="148">
        <f>IFERROR(__xludf.DUMMYFUNCTION("""COMPUTED_VALUE"""),1.51101395E8)</f>
        <v>151101395</v>
      </c>
      <c r="H2530" s="148">
        <f>IFERROR(__xludf.DUMMYFUNCTION("""COMPUTED_VALUE"""),1.5112563E7)</f>
        <v>15112563</v>
      </c>
      <c r="I2530" s="148" t="str">
        <f>IFERROR(__xludf.DUMMYFUNCTION("""COMPUTED_VALUE"""),"{}")</f>
        <v>{}</v>
      </c>
      <c r="J2530" s="148" t="str">
        <f>IFERROR(__xludf.DUMMYFUNCTION("""COMPUTED_VALUE"""),"{""typ"":""lc"",""txt"":""LC_ITEM_event_s300_exchange_unlock_hero_3_name""}")</f>
        <v>{"typ":"lc","txt":"LC_ITEM_event_s300_exchange_unlock_hero_3_name"}</v>
      </c>
      <c r="K2530" s="148" t="str">
        <f>IFERROR(__xludf.DUMMYFUNCTION("""COMPUTED_VALUE"""),"{""typ"":""lc"",""txt"":""LC_ITEM_event_s300_exchange_unlock_hero_2_desc""}")</f>
        <v>{"typ":"lc","txt":"LC_ITEM_event_s300_exchange_unlock_hero_2_desc"}</v>
      </c>
      <c r="L2530" s="148" t="str">
        <f>IFERROR(__xludf.DUMMYFUNCTION("""COMPUTED_VALUE"""),"{}")</f>
        <v>{}</v>
      </c>
      <c r="M2530" s="148">
        <f>IFERROR(__xludf.DUMMYFUNCTION("""COMPUTED_VALUE"""),700.0)</f>
        <v>700</v>
      </c>
      <c r="N2530" s="148">
        <f>IFERROR(__xludf.DUMMYFUNCTION("""COMPUTED_VALUE"""),9.99999999E8)</f>
        <v>999999999</v>
      </c>
      <c r="O2530" s="148">
        <f>IFERROR(__xludf.DUMMYFUNCTION("""COMPUTED_VALUE"""),9.99999999E8)</f>
        <v>999999999</v>
      </c>
      <c r="P2530" s="148">
        <f>IFERROR(__xludf.DUMMYFUNCTION("""COMPUTED_VALUE"""),9.99999999E8)</f>
        <v>999999999</v>
      </c>
      <c r="Q2530" s="148" t="str">
        <f>IFERROR(__xludf.DUMMYFUNCTION("""COMPUTED_VALUE"""),"[]")</f>
        <v>[]</v>
      </c>
      <c r="R2530" s="148" t="str">
        <f>IFERROR(__xludf.DUMMYFUNCTION("""COMPUTED_VALUE"""),"[""bag""]")</f>
        <v>["bag"]</v>
      </c>
      <c r="S2530" s="148" t="str">
        <f>IFERROR(__xludf.DUMMYFUNCTION("""COMPUTED_VALUE"""),"{}")</f>
        <v>{}</v>
      </c>
      <c r="T2530" s="148">
        <f>IFERROR(__xludf.DUMMYFUNCTION("""COMPUTED_VALUE"""),1.0)</f>
        <v>1</v>
      </c>
      <c r="U2530" s="148">
        <f>IFERROR(__xludf.DUMMYFUNCTION("""COMPUTED_VALUE"""),0.0)</f>
        <v>0</v>
      </c>
      <c r="V2530" s="148" t="str">
        <f>IFERROR(__xludf.DUMMYFUNCTION("""COMPUTED_VALUE"""),"[]")</f>
        <v>[]</v>
      </c>
      <c r="W2530" s="148">
        <f>IFERROR(__xludf.DUMMYFUNCTION("""COMPUTED_VALUE"""),1.174E7)</f>
        <v>11740000</v>
      </c>
      <c r="X2530" s="148">
        <f>IFERROR(__xludf.DUMMYFUNCTION("""COMPUTED_VALUE"""),0.0)</f>
        <v>0</v>
      </c>
      <c r="Y2530" s="148">
        <f>IFERROR(__xludf.DUMMYFUNCTION("""COMPUTED_VALUE"""),0.0)</f>
        <v>0</v>
      </c>
      <c r="Z2530" s="148"/>
    </row>
    <row r="2531">
      <c r="A2531" s="148">
        <f>IFERROR(__xludf.DUMMYFUNCTION("""COMPUTED_VALUE"""),1.1119466E7)</f>
        <v>11119466</v>
      </c>
      <c r="B2531" s="148" t="str">
        <f>IFERROR(__xludf.DUMMYFUNCTION("""COMPUTED_VALUE"""),"S300商店-解锁道具-SLG档位4")</f>
        <v>S300商店-解锁道具-SLG档位4</v>
      </c>
      <c r="C2531" s="148"/>
      <c r="D2531" s="148" t="str">
        <f>IFERROR(__xludf.DUMMYFUNCTION("""COMPUTED_VALUE"""),"event")</f>
        <v>event</v>
      </c>
      <c r="E2531" s="148">
        <f>IFERROR(__xludf.DUMMYFUNCTION("""COMPUTED_VALUE"""),0.0)</f>
        <v>0</v>
      </c>
      <c r="F2531" s="148">
        <f>IFERROR(__xludf.DUMMYFUNCTION("""COMPUTED_VALUE"""),0.0)</f>
        <v>0</v>
      </c>
      <c r="G2531" s="148">
        <f>IFERROR(__xludf.DUMMYFUNCTION("""COMPUTED_VALUE"""),1.51101395E8)</f>
        <v>151101395</v>
      </c>
      <c r="H2531" s="148">
        <f>IFERROR(__xludf.DUMMYFUNCTION("""COMPUTED_VALUE"""),1.5112564E7)</f>
        <v>15112564</v>
      </c>
      <c r="I2531" s="148" t="str">
        <f>IFERROR(__xludf.DUMMYFUNCTION("""COMPUTED_VALUE"""),"{}")</f>
        <v>{}</v>
      </c>
      <c r="J2531" s="148" t="str">
        <f>IFERROR(__xludf.DUMMYFUNCTION("""COMPUTED_VALUE"""),"{""typ"":""lc"",""txt"":""LC_ITEM_event_s300_exchange_unlock_hero_4_name""}")</f>
        <v>{"typ":"lc","txt":"LC_ITEM_event_s300_exchange_unlock_hero_4_name"}</v>
      </c>
      <c r="K2531" s="148" t="str">
        <f>IFERROR(__xludf.DUMMYFUNCTION("""COMPUTED_VALUE"""),"{""typ"":""lc"",""txt"":""LC_ITEM_event_s300_exchange_unlock_hero_2_desc""}")</f>
        <v>{"typ":"lc","txt":"LC_ITEM_event_s300_exchange_unlock_hero_2_desc"}</v>
      </c>
      <c r="L2531" s="148" t="str">
        <f>IFERROR(__xludf.DUMMYFUNCTION("""COMPUTED_VALUE"""),"{}")</f>
        <v>{}</v>
      </c>
      <c r="M2531" s="148">
        <f>IFERROR(__xludf.DUMMYFUNCTION("""COMPUTED_VALUE"""),700.0)</f>
        <v>700</v>
      </c>
      <c r="N2531" s="148">
        <f>IFERROR(__xludf.DUMMYFUNCTION("""COMPUTED_VALUE"""),9.99999999E8)</f>
        <v>999999999</v>
      </c>
      <c r="O2531" s="148">
        <f>IFERROR(__xludf.DUMMYFUNCTION("""COMPUTED_VALUE"""),9.99999999E8)</f>
        <v>999999999</v>
      </c>
      <c r="P2531" s="148">
        <f>IFERROR(__xludf.DUMMYFUNCTION("""COMPUTED_VALUE"""),9.99999999E8)</f>
        <v>999999999</v>
      </c>
      <c r="Q2531" s="148" t="str">
        <f>IFERROR(__xludf.DUMMYFUNCTION("""COMPUTED_VALUE"""),"[]")</f>
        <v>[]</v>
      </c>
      <c r="R2531" s="148" t="str">
        <f>IFERROR(__xludf.DUMMYFUNCTION("""COMPUTED_VALUE"""),"[""bag""]")</f>
        <v>["bag"]</v>
      </c>
      <c r="S2531" s="148" t="str">
        <f>IFERROR(__xludf.DUMMYFUNCTION("""COMPUTED_VALUE"""),"{}")</f>
        <v>{}</v>
      </c>
      <c r="T2531" s="148">
        <f>IFERROR(__xludf.DUMMYFUNCTION("""COMPUTED_VALUE"""),1.0)</f>
        <v>1</v>
      </c>
      <c r="U2531" s="148">
        <f>IFERROR(__xludf.DUMMYFUNCTION("""COMPUTED_VALUE"""),0.0)</f>
        <v>0</v>
      </c>
      <c r="V2531" s="148" t="str">
        <f>IFERROR(__xludf.DUMMYFUNCTION("""COMPUTED_VALUE"""),"[]")</f>
        <v>[]</v>
      </c>
      <c r="W2531" s="148">
        <f>IFERROR(__xludf.DUMMYFUNCTION("""COMPUTED_VALUE"""),1.174E7)</f>
        <v>11740000</v>
      </c>
      <c r="X2531" s="148">
        <f>IFERROR(__xludf.DUMMYFUNCTION("""COMPUTED_VALUE"""),0.0)</f>
        <v>0</v>
      </c>
      <c r="Y2531" s="148">
        <f>IFERROR(__xludf.DUMMYFUNCTION("""COMPUTED_VALUE"""),0.0)</f>
        <v>0</v>
      </c>
      <c r="Z2531" s="148"/>
    </row>
    <row r="2532">
      <c r="A2532" s="148">
        <f>IFERROR(__xludf.DUMMYFUNCTION("""COMPUTED_VALUE"""),1.1119467E7)</f>
        <v>11119467</v>
      </c>
      <c r="B2532" s="148" t="str">
        <f>IFERROR(__xludf.DUMMYFUNCTION("""COMPUTED_VALUE"""),"2025科技节-主城翅膀")</f>
        <v>2025科技节-主城翅膀</v>
      </c>
      <c r="C2532" s="148"/>
      <c r="D2532" s="148" t="str">
        <f>IFERROR(__xludf.DUMMYFUNCTION("""COMPUTED_VALUE"""),"city_suit_decoration")</f>
        <v>city_suit_decoration</v>
      </c>
      <c r="E2532" s="148">
        <f>IFERROR(__xludf.DUMMYFUNCTION("""COMPUTED_VALUE"""),0.0)</f>
        <v>0</v>
      </c>
      <c r="F2532" s="148">
        <f>IFERROR(__xludf.DUMMYFUNCTION("""COMPUTED_VALUE"""),499997.0)</f>
        <v>499997</v>
      </c>
      <c r="G2532" s="148">
        <f>IFERROR(__xludf.DUMMYFUNCTION("""COMPUTED_VALUE"""),1.51101412E8)</f>
        <v>151101412</v>
      </c>
      <c r="H2532" s="148">
        <f>IFERROR(__xludf.DUMMYFUNCTION("""COMPUTED_VALUE"""),1.5115983E7)</f>
        <v>15115983</v>
      </c>
      <c r="I2532" s="148" t="str">
        <f>IFERROR(__xludf.DUMMYFUNCTION("""COMPUTED_VALUE"""),"{}")</f>
        <v>{}</v>
      </c>
      <c r="J2532" s="148" t="str">
        <f>IFERROR(__xludf.DUMMYFUNCTION("""COMPUTED_VALUE"""),"{""typ"":""lc"",""txt"":""LC_ITEM_tech_2025_city_wing_name""}")</f>
        <v>{"typ":"lc","txt":"LC_ITEM_tech_2025_city_wing_name"}</v>
      </c>
      <c r="K2532" s="148" t="str">
        <f>IFERROR(__xludf.DUMMYFUNCTION("""COMPUTED_VALUE"""),"{""typ"":""lc"",""txt"":""LC_ITEM_tech_2025_city_wing_desc""}")</f>
        <v>{"typ":"lc","txt":"LC_ITEM_tech_2025_city_wing_desc"}</v>
      </c>
      <c r="L2532" s="148" t="str">
        <f>IFERROR(__xludf.DUMMYFUNCTION("""COMPUTED_VALUE"""),"{""typ"":""lc"",""txt"":""LC_ASSET_suit_actived_tips_1""}")</f>
        <v>{"typ":"lc","txt":"LC_ASSET_suit_actived_tips_1"}</v>
      </c>
      <c r="M2532" s="148">
        <f>IFERROR(__xludf.DUMMYFUNCTION("""COMPUTED_VALUE"""),10000.0)</f>
        <v>10000</v>
      </c>
      <c r="N2532" s="148">
        <f>IFERROR(__xludf.DUMMYFUNCTION("""COMPUTED_VALUE"""),999999.0)</f>
        <v>999999</v>
      </c>
      <c r="O2532" s="148">
        <f>IFERROR(__xludf.DUMMYFUNCTION("""COMPUTED_VALUE"""),99999.0)</f>
        <v>99999</v>
      </c>
      <c r="P2532" s="148">
        <f>IFERROR(__xludf.DUMMYFUNCTION("""COMPUTED_VALUE"""),1.0)</f>
        <v>1</v>
      </c>
      <c r="Q2532" s="148" t="str">
        <f>IFERROR(__xludf.DUMMYFUNCTION("""COMPUTED_VALUE"""),"[""bag_other""]")</f>
        <v>["bag_other"]</v>
      </c>
      <c r="R2532" s="148" t="str">
        <f>IFERROR(__xludf.DUMMYFUNCTION("""COMPUTED_VALUE"""),"[""bag"",""13881001""]")</f>
        <v>["bag","13881001"]</v>
      </c>
      <c r="S2532" s="148" t="str">
        <f>IFERROR(__xludf.DUMMYFUNCTION("""COMPUTED_VALUE"""),"{""effect"":[{""typ"":""city_suit_decoration"",""id"":13881001,""val"":-1},{""typ"":""item"",""id"":11111034,""val"":10}]}")</f>
        <v>{"effect":[{"typ":"city_suit_decoration","id":13881001,"val":-1},{"typ":"item","id":11111034,"val":10}]}</v>
      </c>
      <c r="T2532" s="148">
        <f>IFERROR(__xludf.DUMMYFUNCTION("""COMPUTED_VALUE"""),-1.0)</f>
        <v>-1</v>
      </c>
      <c r="U2532" s="148">
        <f>IFERROR(__xludf.DUMMYFUNCTION("""COMPUTED_VALUE"""),0.0)</f>
        <v>0</v>
      </c>
      <c r="V2532" s="148" t="str">
        <f>IFERROR(__xludf.DUMMYFUNCTION("""COMPUTED_VALUE"""),"[]")</f>
        <v>[]</v>
      </c>
      <c r="W2532" s="148">
        <f>IFERROR(__xludf.DUMMYFUNCTION("""COMPUTED_VALUE"""),1.174E7)</f>
        <v>11740000</v>
      </c>
      <c r="X2532" s="148">
        <f>IFERROR(__xludf.DUMMYFUNCTION("""COMPUTED_VALUE"""),0.0)</f>
        <v>0</v>
      </c>
      <c r="Y2532" s="148">
        <f>IFERROR(__xludf.DUMMYFUNCTION("""COMPUTED_VALUE"""),0.0)</f>
        <v>0</v>
      </c>
      <c r="Z2532" s="148"/>
    </row>
    <row r="2533">
      <c r="A2533" s="148">
        <f>IFERROR(__xludf.DUMMYFUNCTION("""COMPUTED_VALUE"""),1.1119468E7)</f>
        <v>11119468</v>
      </c>
      <c r="B2533" s="148" t="str">
        <f>IFERROR(__xludf.DUMMYFUNCTION("""COMPUTED_VALUE"""),"2025科技节-主城炮弹")</f>
        <v>2025科技节-主城炮弹</v>
      </c>
      <c r="C2533" s="148"/>
      <c r="D2533" s="148" t="str">
        <f>IFERROR(__xludf.DUMMYFUNCTION("""COMPUTED_VALUE"""),"city_suit_decoration")</f>
        <v>city_suit_decoration</v>
      </c>
      <c r="E2533" s="148">
        <f>IFERROR(__xludf.DUMMYFUNCTION("""COMPUTED_VALUE"""),0.0)</f>
        <v>0</v>
      </c>
      <c r="F2533" s="148">
        <f>IFERROR(__xludf.DUMMYFUNCTION("""COMPUTED_VALUE"""),499998.0)</f>
        <v>499998</v>
      </c>
      <c r="G2533" s="148">
        <f>IFERROR(__xludf.DUMMYFUNCTION("""COMPUTED_VALUE"""),1.51101413E8)</f>
        <v>151101413</v>
      </c>
      <c r="H2533" s="148">
        <f>IFERROR(__xludf.DUMMYFUNCTION("""COMPUTED_VALUE"""),1.5115983E7)</f>
        <v>15115983</v>
      </c>
      <c r="I2533" s="148" t="str">
        <f>IFERROR(__xludf.DUMMYFUNCTION("""COMPUTED_VALUE"""),"{}")</f>
        <v>{}</v>
      </c>
      <c r="J2533" s="148" t="str">
        <f>IFERROR(__xludf.DUMMYFUNCTION("""COMPUTED_VALUE"""),"{""typ"":""lc"",""txt"":""LC_ITEM_tech_2025_city_cannon_name""}")</f>
        <v>{"typ":"lc","txt":"LC_ITEM_tech_2025_city_cannon_name"}</v>
      </c>
      <c r="K2533" s="148" t="str">
        <f>IFERROR(__xludf.DUMMYFUNCTION("""COMPUTED_VALUE"""),"{""typ"":""lc"",""txt"":""LC_ITEM_tech_2025_city_cannon_desc""}")</f>
        <v>{"typ":"lc","txt":"LC_ITEM_tech_2025_city_cannon_desc"}</v>
      </c>
      <c r="L2533" s="148" t="str">
        <f>IFERROR(__xludf.DUMMYFUNCTION("""COMPUTED_VALUE"""),"{""typ"":""lc"",""txt"":""LC_ASSET_suit_actived_tips_1""}")</f>
        <v>{"typ":"lc","txt":"LC_ASSET_suit_actived_tips_1"}</v>
      </c>
      <c r="M2533" s="148">
        <f>IFERROR(__xludf.DUMMYFUNCTION("""COMPUTED_VALUE"""),10000.0)</f>
        <v>10000</v>
      </c>
      <c r="N2533" s="148">
        <f>IFERROR(__xludf.DUMMYFUNCTION("""COMPUTED_VALUE"""),999999.0)</f>
        <v>999999</v>
      </c>
      <c r="O2533" s="148">
        <f>IFERROR(__xludf.DUMMYFUNCTION("""COMPUTED_VALUE"""),99999.0)</f>
        <v>99999</v>
      </c>
      <c r="P2533" s="148">
        <f>IFERROR(__xludf.DUMMYFUNCTION("""COMPUTED_VALUE"""),1.0)</f>
        <v>1</v>
      </c>
      <c r="Q2533" s="148" t="str">
        <f>IFERROR(__xludf.DUMMYFUNCTION("""COMPUTED_VALUE"""),"[""bag_other""]")</f>
        <v>["bag_other"]</v>
      </c>
      <c r="R2533" s="148" t="str">
        <f>IFERROR(__xludf.DUMMYFUNCTION("""COMPUTED_VALUE"""),"[""bag"",""13881002""]")</f>
        <v>["bag","13881002"]</v>
      </c>
      <c r="S2533" s="148" t="str">
        <f>IFERROR(__xludf.DUMMYFUNCTION("""COMPUTED_VALUE"""),"{""effect"":[{""typ"":""city_suit_decoration"",""id"":13881002,""val"":-1},{""typ"":""item"",""id"":11111034,""val"":10}]}")</f>
        <v>{"effect":[{"typ":"city_suit_decoration","id":13881002,"val":-1},{"typ":"item","id":11111034,"val":10}]}</v>
      </c>
      <c r="T2533" s="148">
        <f>IFERROR(__xludf.DUMMYFUNCTION("""COMPUTED_VALUE"""),-1.0)</f>
        <v>-1</v>
      </c>
      <c r="U2533" s="148">
        <f>IFERROR(__xludf.DUMMYFUNCTION("""COMPUTED_VALUE"""),0.0)</f>
        <v>0</v>
      </c>
      <c r="V2533" s="148" t="str">
        <f>IFERROR(__xludf.DUMMYFUNCTION("""COMPUTED_VALUE"""),"[]")</f>
        <v>[]</v>
      </c>
      <c r="W2533" s="148">
        <f>IFERROR(__xludf.DUMMYFUNCTION("""COMPUTED_VALUE"""),1.174E7)</f>
        <v>11740000</v>
      </c>
      <c r="X2533" s="148">
        <f>IFERROR(__xludf.DUMMYFUNCTION("""COMPUTED_VALUE"""),0.0)</f>
        <v>0</v>
      </c>
      <c r="Y2533" s="148">
        <f>IFERROR(__xludf.DUMMYFUNCTION("""COMPUTED_VALUE"""),0.0)</f>
        <v>0</v>
      </c>
      <c r="Z2533" s="148"/>
    </row>
    <row r="2534">
      <c r="A2534" s="148">
        <f>IFERROR(__xludf.DUMMYFUNCTION("""COMPUTED_VALUE"""),1.1119469E7)</f>
        <v>11119469</v>
      </c>
      <c r="B2534" s="148" t="str">
        <f>IFERROR(__xludf.DUMMYFUNCTION("""COMPUTED_VALUE"""),"2025科技节-主城特效")</f>
        <v>2025科技节-主城特效</v>
      </c>
      <c r="C2534" s="148"/>
      <c r="D2534" s="148" t="str">
        <f>IFERROR(__xludf.DUMMYFUNCTION("""COMPUTED_VALUE"""),"city_suit_decoration")</f>
        <v>city_suit_decoration</v>
      </c>
      <c r="E2534" s="148">
        <f>IFERROR(__xludf.DUMMYFUNCTION("""COMPUTED_VALUE"""),0.0)</f>
        <v>0</v>
      </c>
      <c r="F2534" s="148">
        <f>IFERROR(__xludf.DUMMYFUNCTION("""COMPUTED_VALUE"""),499999.0)</f>
        <v>499999</v>
      </c>
      <c r="G2534" s="148">
        <f>IFERROR(__xludf.DUMMYFUNCTION("""COMPUTED_VALUE"""),1.51101587E8)</f>
        <v>151101587</v>
      </c>
      <c r="H2534" s="148">
        <f>IFERROR(__xludf.DUMMYFUNCTION("""COMPUTED_VALUE"""),1.51101093E8)</f>
        <v>151101093</v>
      </c>
      <c r="I2534" s="148" t="str">
        <f>IFERROR(__xludf.DUMMYFUNCTION("""COMPUTED_VALUE"""),"{}")</f>
        <v>{}</v>
      </c>
      <c r="J2534" s="148" t="str">
        <f>IFERROR(__xludf.DUMMYFUNCTION("""COMPUTED_VALUE"""),"{""typ"":""lc"",""txt"":""LC_ITEM_tech_2025_city_effect_name""}")</f>
        <v>{"typ":"lc","txt":"LC_ITEM_tech_2025_city_effect_name"}</v>
      </c>
      <c r="K2534" s="148" t="str">
        <f>IFERROR(__xludf.DUMMYFUNCTION("""COMPUTED_VALUE"""),"{""typ"":""lc"",""txt"":""LC_ITEM_tech_2025_city_effect_desc""}")</f>
        <v>{"typ":"lc","txt":"LC_ITEM_tech_2025_city_effect_desc"}</v>
      </c>
      <c r="L2534" s="148" t="str">
        <f>IFERROR(__xludf.DUMMYFUNCTION("""COMPUTED_VALUE"""),"{""typ"":""lc"",""txt"":""LC_ASSET_suit_actived_tips_1""}")</f>
        <v>{"typ":"lc","txt":"LC_ASSET_suit_actived_tips_1"}</v>
      </c>
      <c r="M2534" s="148">
        <f>IFERROR(__xludf.DUMMYFUNCTION("""COMPUTED_VALUE"""),10000.0)</f>
        <v>10000</v>
      </c>
      <c r="N2534" s="148">
        <f>IFERROR(__xludf.DUMMYFUNCTION("""COMPUTED_VALUE"""),999999.0)</f>
        <v>999999</v>
      </c>
      <c r="O2534" s="148">
        <f>IFERROR(__xludf.DUMMYFUNCTION("""COMPUTED_VALUE"""),99999.0)</f>
        <v>99999</v>
      </c>
      <c r="P2534" s="148">
        <f>IFERROR(__xludf.DUMMYFUNCTION("""COMPUTED_VALUE"""),1.0)</f>
        <v>1</v>
      </c>
      <c r="Q2534" s="148" t="str">
        <f>IFERROR(__xludf.DUMMYFUNCTION("""COMPUTED_VALUE"""),"[""bag_other""]")</f>
        <v>["bag_other"]</v>
      </c>
      <c r="R2534" s="148" t="str">
        <f>IFERROR(__xludf.DUMMYFUNCTION("""COMPUTED_VALUE"""),"[""bag"",""13881003""]")</f>
        <v>["bag","13881003"]</v>
      </c>
      <c r="S2534" s="148" t="str">
        <f>IFERROR(__xludf.DUMMYFUNCTION("""COMPUTED_VALUE"""),"{""effect"":[{""typ"":""city_suit_decoration"",""id"":13881003,""val"":-1},{""typ"":""item"",""id"":11111034,""val"":10}]}")</f>
        <v>{"effect":[{"typ":"city_suit_decoration","id":13881003,"val":-1},{"typ":"item","id":11111034,"val":10}]}</v>
      </c>
      <c r="T2534" s="148">
        <f>IFERROR(__xludf.DUMMYFUNCTION("""COMPUTED_VALUE"""),-1.0)</f>
        <v>-1</v>
      </c>
      <c r="U2534" s="148">
        <f>IFERROR(__xludf.DUMMYFUNCTION("""COMPUTED_VALUE"""),0.0)</f>
        <v>0</v>
      </c>
      <c r="V2534" s="148" t="str">
        <f>IFERROR(__xludf.DUMMYFUNCTION("""COMPUTED_VALUE"""),"[]")</f>
        <v>[]</v>
      </c>
      <c r="W2534" s="148">
        <f>IFERROR(__xludf.DUMMYFUNCTION("""COMPUTED_VALUE"""),1.174E7)</f>
        <v>11740000</v>
      </c>
      <c r="X2534" s="148">
        <f>IFERROR(__xludf.DUMMYFUNCTION("""COMPUTED_VALUE"""),0.0)</f>
        <v>0</v>
      </c>
      <c r="Y2534" s="148">
        <f>IFERROR(__xludf.DUMMYFUNCTION("""COMPUTED_VALUE"""),0.0)</f>
        <v>0</v>
      </c>
      <c r="Z2534" s="148"/>
    </row>
    <row r="2535">
      <c r="A2535" s="148">
        <f>IFERROR(__xludf.DUMMYFUNCTION("""COMPUTED_VALUE"""),1.111947E7)</f>
        <v>11119470</v>
      </c>
      <c r="B2535" s="148" t="str">
        <f>IFERROR(__xludf.DUMMYFUNCTION("""COMPUTED_VALUE"""),"主城皮肤-科技节高级皮肤2025-14天")</f>
        <v>主城皮肤-科技节高级皮肤2025-14天</v>
      </c>
      <c r="C2535" s="148"/>
      <c r="D2535" s="148" t="str">
        <f>IFERROR(__xludf.DUMMYFUNCTION("""COMPUTED_VALUE"""),"city_skin")</f>
        <v>city_skin</v>
      </c>
      <c r="E2535" s="148">
        <f>IFERROR(__xludf.DUMMYFUNCTION("""COMPUTED_VALUE"""),21.0)</f>
        <v>21</v>
      </c>
      <c r="F2535" s="148">
        <f>IFERROR(__xludf.DUMMYFUNCTION("""COMPUTED_VALUE"""),499994.0)</f>
        <v>499994</v>
      </c>
      <c r="G2535" s="148">
        <f>IFERROR(__xludf.DUMMYFUNCTION("""COMPUTED_VALUE"""),1.51101416E8)</f>
        <v>151101416</v>
      </c>
      <c r="H2535" s="148">
        <f>IFERROR(__xludf.DUMMYFUNCTION("""COMPUTED_VALUE"""),1.5112564E7)</f>
        <v>15112564</v>
      </c>
      <c r="I2535" s="148" t="str">
        <f>IFERROR(__xludf.DUMMYFUNCTION("""COMPUTED_VALUE"""),"{""typ"":""lc"",""txt"":""LC_ITEM_time_day_upper_show"",""args"":[{""typ"":""int"",""val"":14}]}")</f>
        <v>{"typ":"lc","txt":"LC_ITEM_time_day_upper_show","args":[{"typ":"int","val":14}]}</v>
      </c>
      <c r="J2535" s="148" t="str">
        <f>IFERROR(__xludf.DUMMYFUNCTION("""COMPUTED_VALUE"""),"{""typ"":""lc"",""txt"":""LC_ITEM_tech_2025_city_2_name_14day""}")</f>
        <v>{"typ":"lc","txt":"LC_ITEM_tech_2025_city_2_name_14day"}</v>
      </c>
      <c r="K2535" s="148" t="str">
        <f>IFERROR(__xludf.DUMMYFUNCTION("""COMPUTED_VALUE"""),"{""typ"":""lc"",""txt"":""LC_ITEM_tech_2025_city_2_desc_14day""}")</f>
        <v>{"typ":"lc","txt":"LC_ITEM_tech_2025_city_2_desc_14day"}</v>
      </c>
      <c r="L2535" s="148" t="str">
        <f>IFERROR(__xludf.DUMMYFUNCTION("""COMPUTED_VALUE"""),"{""typ"":""lc"",""txt"":""LC_ASSET_suit_actived_tips_1""}")</f>
        <v>{"typ":"lc","txt":"LC_ASSET_suit_actived_tips_1"}</v>
      </c>
      <c r="M2535" s="148">
        <f>IFERROR(__xludf.DUMMYFUNCTION("""COMPUTED_VALUE"""),10000.0)</f>
        <v>10000</v>
      </c>
      <c r="N2535" s="148">
        <f>IFERROR(__xludf.DUMMYFUNCTION("""COMPUTED_VALUE"""),999.0)</f>
        <v>999</v>
      </c>
      <c r="O2535" s="148">
        <f>IFERROR(__xludf.DUMMYFUNCTION("""COMPUTED_VALUE"""),1.0)</f>
        <v>1</v>
      </c>
      <c r="P2535" s="148">
        <f>IFERROR(__xludf.DUMMYFUNCTION("""COMPUTED_VALUE"""),1.0)</f>
        <v>1</v>
      </c>
      <c r="Q2535" s="148" t="str">
        <f>IFERROR(__xludf.DUMMYFUNCTION("""COMPUTED_VALUE"""),"[""bag_other""]")</f>
        <v>["bag_other"]</v>
      </c>
      <c r="R2535" s="148" t="str">
        <f>IFERROR(__xludf.DUMMYFUNCTION("""COMPUTED_VALUE"""),"[""bag"",""13121064""]")</f>
        <v>["bag","13121064"]</v>
      </c>
      <c r="S2535" s="148" t="str">
        <f>IFERROR(__xludf.DUMMYFUNCTION("""COMPUTED_VALUE"""),"{""effect"":[{""typ"":""city_skin"",""id"":13121064,""val"":1209600000},{""typ"":""item"",""id"":11111021,""val"":7}]}")</f>
        <v>{"effect":[{"typ":"city_skin","id":13121064,"val":1209600000},{"typ":"item","id":11111021,"val":7}]}</v>
      </c>
      <c r="T2535" s="148">
        <f>IFERROR(__xludf.DUMMYFUNCTION("""COMPUTED_VALUE"""),-1.0)</f>
        <v>-1</v>
      </c>
      <c r="U2535" s="148">
        <f>IFERROR(__xludf.DUMMYFUNCTION("""COMPUTED_VALUE"""),0.0)</f>
        <v>0</v>
      </c>
      <c r="V2535" s="148" t="str">
        <f>IFERROR(__xludf.DUMMYFUNCTION("""COMPUTED_VALUE"""),"[]")</f>
        <v>[]</v>
      </c>
      <c r="W2535" s="148">
        <f>IFERROR(__xludf.DUMMYFUNCTION("""COMPUTED_VALUE"""),1.174E7)</f>
        <v>11740000</v>
      </c>
      <c r="X2535" s="148">
        <f>IFERROR(__xludf.DUMMYFUNCTION("""COMPUTED_VALUE"""),0.0)</f>
        <v>0</v>
      </c>
      <c r="Y2535" s="148">
        <f>IFERROR(__xludf.DUMMYFUNCTION("""COMPUTED_VALUE"""),0.0)</f>
        <v>0</v>
      </c>
      <c r="Z2535" s="148"/>
    </row>
    <row r="2536">
      <c r="A2536" s="148">
        <f>IFERROR(__xludf.DUMMYFUNCTION("""COMPUTED_VALUE"""),1.1119471E7)</f>
        <v>11119471</v>
      </c>
      <c r="B2536" s="148" t="str">
        <f>IFERROR(__xludf.DUMMYFUNCTION("""COMPUTED_VALUE"""),"主城皮肤-科技节高级皮肤2025-7天")</f>
        <v>主城皮肤-科技节高级皮肤2025-7天</v>
      </c>
      <c r="C2536" s="148"/>
      <c r="D2536" s="148" t="str">
        <f>IFERROR(__xludf.DUMMYFUNCTION("""COMPUTED_VALUE"""),"city_skin")</f>
        <v>city_skin</v>
      </c>
      <c r="E2536" s="148">
        <f>IFERROR(__xludf.DUMMYFUNCTION("""COMPUTED_VALUE"""),21.0)</f>
        <v>21</v>
      </c>
      <c r="F2536" s="148">
        <f>IFERROR(__xludf.DUMMYFUNCTION("""COMPUTED_VALUE"""),499993.0)</f>
        <v>499993</v>
      </c>
      <c r="G2536" s="148">
        <f>IFERROR(__xludf.DUMMYFUNCTION("""COMPUTED_VALUE"""),1.51101416E8)</f>
        <v>151101416</v>
      </c>
      <c r="H2536" s="148">
        <f>IFERROR(__xludf.DUMMYFUNCTION("""COMPUTED_VALUE"""),1.5112564E7)</f>
        <v>15112564</v>
      </c>
      <c r="I2536" s="148" t="str">
        <f>IFERROR(__xludf.DUMMYFUNCTION("""COMPUTED_VALUE"""),"{""typ"":""lc"",""txt"":""LC_ITEM_time_day_upper_show"",""args"":[{""typ"":""int"",""val"":7}]}")</f>
        <v>{"typ":"lc","txt":"LC_ITEM_time_day_upper_show","args":[{"typ":"int","val":7}]}</v>
      </c>
      <c r="J2536" s="148" t="str">
        <f>IFERROR(__xludf.DUMMYFUNCTION("""COMPUTED_VALUE"""),"{""typ"":""lc"",""txt"":""LC_ITEM_tech_2025_city_2_name_7day""}")</f>
        <v>{"typ":"lc","txt":"LC_ITEM_tech_2025_city_2_name_7day"}</v>
      </c>
      <c r="K2536" s="148" t="str">
        <f>IFERROR(__xludf.DUMMYFUNCTION("""COMPUTED_VALUE"""),"{""typ"":""lc"",""txt"":""LC_ITEM_tech_2025_city_2_desc_7day""}")</f>
        <v>{"typ":"lc","txt":"LC_ITEM_tech_2025_city_2_desc_7day"}</v>
      </c>
      <c r="L2536" s="148" t="str">
        <f>IFERROR(__xludf.DUMMYFUNCTION("""COMPUTED_VALUE"""),"{""typ"":""lc"",""txt"":""LC_ASSET_suit_actived_tips_1""}")</f>
        <v>{"typ":"lc","txt":"LC_ASSET_suit_actived_tips_1"}</v>
      </c>
      <c r="M2536" s="148">
        <f>IFERROR(__xludf.DUMMYFUNCTION("""COMPUTED_VALUE"""),10000.0)</f>
        <v>10000</v>
      </c>
      <c r="N2536" s="148">
        <f>IFERROR(__xludf.DUMMYFUNCTION("""COMPUTED_VALUE"""),999.0)</f>
        <v>999</v>
      </c>
      <c r="O2536" s="148">
        <f>IFERROR(__xludf.DUMMYFUNCTION("""COMPUTED_VALUE"""),1.0)</f>
        <v>1</v>
      </c>
      <c r="P2536" s="148">
        <f>IFERROR(__xludf.DUMMYFUNCTION("""COMPUTED_VALUE"""),1.0)</f>
        <v>1</v>
      </c>
      <c r="Q2536" s="148" t="str">
        <f>IFERROR(__xludf.DUMMYFUNCTION("""COMPUTED_VALUE"""),"[""bag_other""]")</f>
        <v>["bag_other"]</v>
      </c>
      <c r="R2536" s="148" t="str">
        <f>IFERROR(__xludf.DUMMYFUNCTION("""COMPUTED_VALUE"""),"[""bag"",""13121064""]")</f>
        <v>["bag","13121064"]</v>
      </c>
      <c r="S2536" s="148" t="str">
        <f>IFERROR(__xludf.DUMMYFUNCTION("""COMPUTED_VALUE"""),"{""effect"":[{""typ"":""city_skin"",""id"":13121064,""val"":604800000},{""typ"":""item"",""id"":11111021,""val"":3}]}")</f>
        <v>{"effect":[{"typ":"city_skin","id":13121064,"val":604800000},{"typ":"item","id":11111021,"val":3}]}</v>
      </c>
      <c r="T2536" s="148">
        <f>IFERROR(__xludf.DUMMYFUNCTION("""COMPUTED_VALUE"""),-1.0)</f>
        <v>-1</v>
      </c>
      <c r="U2536" s="148">
        <f>IFERROR(__xludf.DUMMYFUNCTION("""COMPUTED_VALUE"""),0.0)</f>
        <v>0</v>
      </c>
      <c r="V2536" s="148" t="str">
        <f>IFERROR(__xludf.DUMMYFUNCTION("""COMPUTED_VALUE"""),"[]")</f>
        <v>[]</v>
      </c>
      <c r="W2536" s="148">
        <f>IFERROR(__xludf.DUMMYFUNCTION("""COMPUTED_VALUE"""),1.174E7)</f>
        <v>11740000</v>
      </c>
      <c r="X2536" s="148">
        <f>IFERROR(__xludf.DUMMYFUNCTION("""COMPUTED_VALUE"""),0.0)</f>
        <v>0</v>
      </c>
      <c r="Y2536" s="148">
        <f>IFERROR(__xludf.DUMMYFUNCTION("""COMPUTED_VALUE"""),0.0)</f>
        <v>0</v>
      </c>
      <c r="Z2536" s="148"/>
    </row>
    <row r="2537">
      <c r="A2537" s="148">
        <f>IFERROR(__xludf.DUMMYFUNCTION("""COMPUTED_VALUE"""),1.1119472E7)</f>
        <v>11119472</v>
      </c>
      <c r="B2537" s="148" t="str">
        <f>IFERROR(__xludf.DUMMYFUNCTION("""COMPUTED_VALUE"""),"主城皮肤-科技节高级皮肤2025")</f>
        <v>主城皮肤-科技节高级皮肤2025</v>
      </c>
      <c r="C2537" s="148"/>
      <c r="D2537" s="148" t="str">
        <f>IFERROR(__xludf.DUMMYFUNCTION("""COMPUTED_VALUE"""),"city_skin")</f>
        <v>city_skin</v>
      </c>
      <c r="E2537" s="148">
        <f>IFERROR(__xludf.DUMMYFUNCTION("""COMPUTED_VALUE"""),21.0)</f>
        <v>21</v>
      </c>
      <c r="F2537" s="148">
        <f>IFERROR(__xludf.DUMMYFUNCTION("""COMPUTED_VALUE"""),500000.0)</f>
        <v>500000</v>
      </c>
      <c r="G2537" s="148">
        <f>IFERROR(__xludf.DUMMYFUNCTION("""COMPUTED_VALUE"""),1.51101416E8)</f>
        <v>151101416</v>
      </c>
      <c r="H2537" s="148">
        <f>IFERROR(__xludf.DUMMYFUNCTION("""COMPUTED_VALUE"""),1.51101093E8)</f>
        <v>151101093</v>
      </c>
      <c r="I2537" s="148" t="str">
        <f>IFERROR(__xludf.DUMMYFUNCTION("""COMPUTED_VALUE"""),"{}")</f>
        <v>{}</v>
      </c>
      <c r="J2537" s="148" t="str">
        <f>IFERROR(__xludf.DUMMYFUNCTION("""COMPUTED_VALUE"""),"{""typ"":""lc"",""txt"":""LC_ITEM_tech_2025_city_2_name""}")</f>
        <v>{"typ":"lc","txt":"LC_ITEM_tech_2025_city_2_name"}</v>
      </c>
      <c r="K2537" s="148" t="str">
        <f>IFERROR(__xludf.DUMMYFUNCTION("""COMPUTED_VALUE"""),"{""typ"":""lc"",""txt"":""LC_ITEM_tech_2025_city_2_desc""}")</f>
        <v>{"typ":"lc","txt":"LC_ITEM_tech_2025_city_2_desc"}</v>
      </c>
      <c r="L2537" s="148" t="str">
        <f>IFERROR(__xludf.DUMMYFUNCTION("""COMPUTED_VALUE"""),"{""typ"":""lc"",""txt"":""LC_ASSET_suit_actived_tips_1""}")</f>
        <v>{"typ":"lc","txt":"LC_ASSET_suit_actived_tips_1"}</v>
      </c>
      <c r="M2537" s="148">
        <f>IFERROR(__xludf.DUMMYFUNCTION("""COMPUTED_VALUE"""),10000.0)</f>
        <v>10000</v>
      </c>
      <c r="N2537" s="148">
        <f>IFERROR(__xludf.DUMMYFUNCTION("""COMPUTED_VALUE"""),999.0)</f>
        <v>999</v>
      </c>
      <c r="O2537" s="148">
        <f>IFERROR(__xludf.DUMMYFUNCTION("""COMPUTED_VALUE"""),1.0)</f>
        <v>1</v>
      </c>
      <c r="P2537" s="148">
        <f>IFERROR(__xludf.DUMMYFUNCTION("""COMPUTED_VALUE"""),1.0)</f>
        <v>1</v>
      </c>
      <c r="Q2537" s="148" t="str">
        <f>IFERROR(__xludf.DUMMYFUNCTION("""COMPUTED_VALUE"""),"[""bag_other""]")</f>
        <v>["bag_other"]</v>
      </c>
      <c r="R2537" s="148" t="str">
        <f>IFERROR(__xludf.DUMMYFUNCTION("""COMPUTED_VALUE"""),"[""bag"",""13121064""]")</f>
        <v>["bag","13121064"]</v>
      </c>
      <c r="S2537" s="148" t="str">
        <f>IFERROR(__xludf.DUMMYFUNCTION("""COMPUTED_VALUE"""),"{""effect"":[{""typ"":""city_skin"",""id"":13121064,""val"":-1},{""typ"":""item"",""id"":11112030,""val"":10000}]}")</f>
        <v>{"effect":[{"typ":"city_skin","id":13121064,"val":-1},{"typ":"item","id":11112030,"val":10000}]}</v>
      </c>
      <c r="T2537" s="148">
        <f>IFERROR(__xludf.DUMMYFUNCTION("""COMPUTED_VALUE"""),-1.0)</f>
        <v>-1</v>
      </c>
      <c r="U2537" s="148">
        <f>IFERROR(__xludf.DUMMYFUNCTION("""COMPUTED_VALUE"""),0.0)</f>
        <v>0</v>
      </c>
      <c r="V2537" s="148" t="str">
        <f>IFERROR(__xludf.DUMMYFUNCTION("""COMPUTED_VALUE"""),"[]")</f>
        <v>[]</v>
      </c>
      <c r="W2537" s="148">
        <f>IFERROR(__xludf.DUMMYFUNCTION("""COMPUTED_VALUE"""),1.174E7)</f>
        <v>11740000</v>
      </c>
      <c r="X2537" s="148">
        <f>IFERROR(__xludf.DUMMYFUNCTION("""COMPUTED_VALUE"""),0.0)</f>
        <v>0</v>
      </c>
      <c r="Y2537" s="148">
        <f>IFERROR(__xludf.DUMMYFUNCTION("""COMPUTED_VALUE"""),0.0)</f>
        <v>0</v>
      </c>
      <c r="Z2537" s="148"/>
    </row>
    <row r="2538">
      <c r="A2538" s="148">
        <f>IFERROR(__xludf.DUMMYFUNCTION("""COMPUTED_VALUE"""),1.1119473E7)</f>
        <v>11119473</v>
      </c>
      <c r="B2538" s="148" t="str">
        <f>IFERROR(__xludf.DUMMYFUNCTION("""COMPUTED_VALUE"""),"主城皮肤-科技节2025")</f>
        <v>主城皮肤-科技节2025</v>
      </c>
      <c r="C2538" s="148"/>
      <c r="D2538" s="148" t="str">
        <f>IFERROR(__xludf.DUMMYFUNCTION("""COMPUTED_VALUE"""),"city_skin")</f>
        <v>city_skin</v>
      </c>
      <c r="E2538" s="148">
        <f>IFERROR(__xludf.DUMMYFUNCTION("""COMPUTED_VALUE"""),21.0)</f>
        <v>21</v>
      </c>
      <c r="F2538" s="148">
        <f>IFERROR(__xludf.DUMMYFUNCTION("""COMPUTED_VALUE"""),499996.0)</f>
        <v>499996</v>
      </c>
      <c r="G2538" s="148">
        <f>IFERROR(__xludf.DUMMYFUNCTION("""COMPUTED_VALUE"""),1.51101415E8)</f>
        <v>151101415</v>
      </c>
      <c r="H2538" s="148">
        <f>IFERROR(__xludf.DUMMYFUNCTION("""COMPUTED_VALUE"""),1.5112564E7)</f>
        <v>15112564</v>
      </c>
      <c r="I2538" s="148" t="str">
        <f>IFERROR(__xludf.DUMMYFUNCTION("""COMPUTED_VALUE"""),"{}")</f>
        <v>{}</v>
      </c>
      <c r="J2538" s="148" t="str">
        <f>IFERROR(__xludf.DUMMYFUNCTION("""COMPUTED_VALUE"""),"{""typ"":""lc"",""txt"":""LC_ITEM_tech_2025_city_1_name""}")</f>
        <v>{"typ":"lc","txt":"LC_ITEM_tech_2025_city_1_name"}</v>
      </c>
      <c r="K2538" s="148" t="str">
        <f>IFERROR(__xludf.DUMMYFUNCTION("""COMPUTED_VALUE"""),"{""typ"":""lc"",""txt"":""LC_ITEM_tech_2025_city_1_desc""}")</f>
        <v>{"typ":"lc","txt":"LC_ITEM_tech_2025_city_1_desc"}</v>
      </c>
      <c r="L2538" s="148" t="str">
        <f>IFERROR(__xludf.DUMMYFUNCTION("""COMPUTED_VALUE"""),"{""typ"":""lc"",""txt"":""LC_ASSET_suit_actived_tips_1""}")</f>
        <v>{"typ":"lc","txt":"LC_ASSET_suit_actived_tips_1"}</v>
      </c>
      <c r="M2538" s="148">
        <f>IFERROR(__xludf.DUMMYFUNCTION("""COMPUTED_VALUE"""),10000.0)</f>
        <v>10000</v>
      </c>
      <c r="N2538" s="148">
        <f>IFERROR(__xludf.DUMMYFUNCTION("""COMPUTED_VALUE"""),999.0)</f>
        <v>999</v>
      </c>
      <c r="O2538" s="148">
        <f>IFERROR(__xludf.DUMMYFUNCTION("""COMPUTED_VALUE"""),1.0)</f>
        <v>1</v>
      </c>
      <c r="P2538" s="148">
        <f>IFERROR(__xludf.DUMMYFUNCTION("""COMPUTED_VALUE"""),1.0)</f>
        <v>1</v>
      </c>
      <c r="Q2538" s="148" t="str">
        <f>IFERROR(__xludf.DUMMYFUNCTION("""COMPUTED_VALUE"""),"[""bag_other""]")</f>
        <v>["bag_other"]</v>
      </c>
      <c r="R2538" s="148" t="str">
        <f>IFERROR(__xludf.DUMMYFUNCTION("""COMPUTED_VALUE"""),"[""bag"",""13121063""]")</f>
        <v>["bag","13121063"]</v>
      </c>
      <c r="S2538" s="148" t="str">
        <f>IFERROR(__xludf.DUMMYFUNCTION("""COMPUTED_VALUE"""),"{""effect"":[{""typ"":""city_skin"",""id"":13121063,""val"":-1},{""typ"":""item"",""id"":11112030,""val"":2000}]}")</f>
        <v>{"effect":[{"typ":"city_skin","id":13121063,"val":-1},{"typ":"item","id":11112030,"val":2000}]}</v>
      </c>
      <c r="T2538" s="148">
        <f>IFERROR(__xludf.DUMMYFUNCTION("""COMPUTED_VALUE"""),-1.0)</f>
        <v>-1</v>
      </c>
      <c r="U2538" s="148">
        <f>IFERROR(__xludf.DUMMYFUNCTION("""COMPUTED_VALUE"""),0.0)</f>
        <v>0</v>
      </c>
      <c r="V2538" s="148" t="str">
        <f>IFERROR(__xludf.DUMMYFUNCTION("""COMPUTED_VALUE"""),"[]")</f>
        <v>[]</v>
      </c>
      <c r="W2538" s="148">
        <f>IFERROR(__xludf.DUMMYFUNCTION("""COMPUTED_VALUE"""),1.174E7)</f>
        <v>11740000</v>
      </c>
      <c r="X2538" s="148">
        <f>IFERROR(__xludf.DUMMYFUNCTION("""COMPUTED_VALUE"""),0.0)</f>
        <v>0</v>
      </c>
      <c r="Y2538" s="148">
        <f>IFERROR(__xludf.DUMMYFUNCTION("""COMPUTED_VALUE"""),0.0)</f>
        <v>0</v>
      </c>
      <c r="Z2538" s="148"/>
    </row>
    <row r="2539">
      <c r="A2539" s="148">
        <f>IFERROR(__xludf.DUMMYFUNCTION("""COMPUTED_VALUE"""),1.1119474E7)</f>
        <v>11119474</v>
      </c>
      <c r="B2539" s="148" t="str">
        <f>IFERROR(__xludf.DUMMYFUNCTION("""COMPUTED_VALUE"""),"主城皮肤-科技节2025-2天")</f>
        <v>主城皮肤-科技节2025-2天</v>
      </c>
      <c r="C2539" s="148"/>
      <c r="D2539" s="148" t="str">
        <f>IFERROR(__xludf.DUMMYFUNCTION("""COMPUTED_VALUE"""),"city_skin")</f>
        <v>city_skin</v>
      </c>
      <c r="E2539" s="148">
        <f>IFERROR(__xludf.DUMMYFUNCTION("""COMPUTED_VALUE"""),21.0)</f>
        <v>21</v>
      </c>
      <c r="F2539" s="148">
        <f>IFERROR(__xludf.DUMMYFUNCTION("""COMPUTED_VALUE"""),499941.0)</f>
        <v>499941</v>
      </c>
      <c r="G2539" s="148">
        <f>IFERROR(__xludf.DUMMYFUNCTION("""COMPUTED_VALUE"""),1.51101415E8)</f>
        <v>151101415</v>
      </c>
      <c r="H2539" s="148">
        <f>IFERROR(__xludf.DUMMYFUNCTION("""COMPUTED_VALUE"""),1.5112563E7)</f>
        <v>15112563</v>
      </c>
      <c r="I2539" s="148" t="str">
        <f>IFERROR(__xludf.DUMMYFUNCTION("""COMPUTED_VALUE"""),"{""typ"":""lc"",""txt"":""LC_ITEM_time_day_upper_show"",""args"":[{""typ"":""int"",""val"":2}]}")</f>
        <v>{"typ":"lc","txt":"LC_ITEM_time_day_upper_show","args":[{"typ":"int","val":2}]}</v>
      </c>
      <c r="J2539" s="148" t="str">
        <f>IFERROR(__xludf.DUMMYFUNCTION("""COMPUTED_VALUE"""),"{""typ"":""lc"",""txt"":""LC_ITEM_tech_2025_city_1_name_2day""}")</f>
        <v>{"typ":"lc","txt":"LC_ITEM_tech_2025_city_1_name_2day"}</v>
      </c>
      <c r="K2539" s="148" t="str">
        <f>IFERROR(__xludf.DUMMYFUNCTION("""COMPUTED_VALUE"""),"{""typ"":""lc"",""txt"":""LC_ITEM_tech_2025_city_1_desc_2day""}")</f>
        <v>{"typ":"lc","txt":"LC_ITEM_tech_2025_city_1_desc_2day"}</v>
      </c>
      <c r="L2539" s="148" t="str">
        <f>IFERROR(__xludf.DUMMYFUNCTION("""COMPUTED_VALUE"""),"{""typ"":""lc"",""txt"":""LC_ASSET_suit_actived_tips_1""}")</f>
        <v>{"typ":"lc","txt":"LC_ASSET_suit_actived_tips_1"}</v>
      </c>
      <c r="M2539" s="148">
        <f>IFERROR(__xludf.DUMMYFUNCTION("""COMPUTED_VALUE"""),500.0)</f>
        <v>500</v>
      </c>
      <c r="N2539" s="148">
        <f>IFERROR(__xludf.DUMMYFUNCTION("""COMPUTED_VALUE"""),999.0)</f>
        <v>999</v>
      </c>
      <c r="O2539" s="148">
        <f>IFERROR(__xludf.DUMMYFUNCTION("""COMPUTED_VALUE"""),1.0)</f>
        <v>1</v>
      </c>
      <c r="P2539" s="148">
        <f>IFERROR(__xludf.DUMMYFUNCTION("""COMPUTED_VALUE"""),1.0)</f>
        <v>1</v>
      </c>
      <c r="Q2539" s="148" t="str">
        <f>IFERROR(__xludf.DUMMYFUNCTION("""COMPUTED_VALUE"""),"[""bag_other""]")</f>
        <v>["bag_other"]</v>
      </c>
      <c r="R2539" s="148" t="str">
        <f>IFERROR(__xludf.DUMMYFUNCTION("""COMPUTED_VALUE"""),"[""bag"",""13121063""]")</f>
        <v>["bag","13121063"]</v>
      </c>
      <c r="S2539" s="148" t="str">
        <f>IFERROR(__xludf.DUMMYFUNCTION("""COMPUTED_VALUE"""),"{""effect"":[{""typ"":""city_skin"",""id"":13121063,""val"":172800000},{""typ"":""item"",""id"":11111021,""val"":1}]}")</f>
        <v>{"effect":[{"typ":"city_skin","id":13121063,"val":172800000},{"typ":"item","id":11111021,"val":1}]}</v>
      </c>
      <c r="T2539" s="148">
        <f>IFERROR(__xludf.DUMMYFUNCTION("""COMPUTED_VALUE"""),-1.0)</f>
        <v>-1</v>
      </c>
      <c r="U2539" s="148">
        <f>IFERROR(__xludf.DUMMYFUNCTION("""COMPUTED_VALUE"""),0.0)</f>
        <v>0</v>
      </c>
      <c r="V2539" s="148" t="str">
        <f>IFERROR(__xludf.DUMMYFUNCTION("""COMPUTED_VALUE"""),"[]")</f>
        <v>[]</v>
      </c>
      <c r="W2539" s="148">
        <f>IFERROR(__xludf.DUMMYFUNCTION("""COMPUTED_VALUE"""),1.174E7)</f>
        <v>11740000</v>
      </c>
      <c r="X2539" s="148">
        <f>IFERROR(__xludf.DUMMYFUNCTION("""COMPUTED_VALUE"""),0.0)</f>
        <v>0</v>
      </c>
      <c r="Y2539" s="148">
        <f>IFERROR(__xludf.DUMMYFUNCTION("""COMPUTED_VALUE"""),0.0)</f>
        <v>0</v>
      </c>
      <c r="Z2539" s="148"/>
    </row>
    <row r="2540">
      <c r="A2540" s="148">
        <f>IFERROR(__xludf.DUMMYFUNCTION("""COMPUTED_VALUE"""),1.1119475E7)</f>
        <v>11119475</v>
      </c>
      <c r="B2540" s="148" t="str">
        <f>IFERROR(__xludf.DUMMYFUNCTION("""COMPUTED_VALUE"""),"主城皮肤-科技节2025-7天")</f>
        <v>主城皮肤-科技节2025-7天</v>
      </c>
      <c r="C2540" s="148"/>
      <c r="D2540" s="148" t="str">
        <f>IFERROR(__xludf.DUMMYFUNCTION("""COMPUTED_VALUE"""),"city_skin")</f>
        <v>city_skin</v>
      </c>
      <c r="E2540" s="148">
        <f>IFERROR(__xludf.DUMMYFUNCTION("""COMPUTED_VALUE"""),21.0)</f>
        <v>21</v>
      </c>
      <c r="F2540" s="148">
        <f>IFERROR(__xludf.DUMMYFUNCTION("""COMPUTED_VALUE"""),499951.0)</f>
        <v>499951</v>
      </c>
      <c r="G2540" s="148">
        <f>IFERROR(__xludf.DUMMYFUNCTION("""COMPUTED_VALUE"""),1.51101415E8)</f>
        <v>151101415</v>
      </c>
      <c r="H2540" s="148">
        <f>IFERROR(__xludf.DUMMYFUNCTION("""COMPUTED_VALUE"""),1.5112564E7)</f>
        <v>15112564</v>
      </c>
      <c r="I2540" s="148" t="str">
        <f>IFERROR(__xludf.DUMMYFUNCTION("""COMPUTED_VALUE"""),"{""typ"":""lc"",""txt"":""LC_ITEM_time_day_upper_show"",""args"":[{""typ"":""int"",""val"":7}]}")</f>
        <v>{"typ":"lc","txt":"LC_ITEM_time_day_upper_show","args":[{"typ":"int","val":7}]}</v>
      </c>
      <c r="J2540" s="148" t="str">
        <f>IFERROR(__xludf.DUMMYFUNCTION("""COMPUTED_VALUE"""),"{""typ"":""lc"",""txt"":""LC_ITEM_tech_2025_city_1_name_7day""}")</f>
        <v>{"typ":"lc","txt":"LC_ITEM_tech_2025_city_1_name_7day"}</v>
      </c>
      <c r="K2540" s="148" t="str">
        <f>IFERROR(__xludf.DUMMYFUNCTION("""COMPUTED_VALUE"""),"{""typ"":""lc"",""txt"":""LC_ITEM_tech_2025_city_1_desc_7day""}")</f>
        <v>{"typ":"lc","txt":"LC_ITEM_tech_2025_city_1_desc_7day"}</v>
      </c>
      <c r="L2540" s="148" t="str">
        <f>IFERROR(__xludf.DUMMYFUNCTION("""COMPUTED_VALUE"""),"{""typ"":""lc"",""txt"":""LC_ASSET_suit_actived_tips_1""}")</f>
        <v>{"typ":"lc","txt":"LC_ASSET_suit_actived_tips_1"}</v>
      </c>
      <c r="M2540" s="148">
        <f>IFERROR(__xludf.DUMMYFUNCTION("""COMPUTED_VALUE"""),10000.0)</f>
        <v>10000</v>
      </c>
      <c r="N2540" s="148">
        <f>IFERROR(__xludf.DUMMYFUNCTION("""COMPUTED_VALUE"""),999.0)</f>
        <v>999</v>
      </c>
      <c r="O2540" s="148">
        <f>IFERROR(__xludf.DUMMYFUNCTION("""COMPUTED_VALUE"""),1.0)</f>
        <v>1</v>
      </c>
      <c r="P2540" s="148">
        <f>IFERROR(__xludf.DUMMYFUNCTION("""COMPUTED_VALUE"""),1.0)</f>
        <v>1</v>
      </c>
      <c r="Q2540" s="148" t="str">
        <f>IFERROR(__xludf.DUMMYFUNCTION("""COMPUTED_VALUE"""),"[""bag_other""]")</f>
        <v>["bag_other"]</v>
      </c>
      <c r="R2540" s="148" t="str">
        <f>IFERROR(__xludf.DUMMYFUNCTION("""COMPUTED_VALUE"""),"[""bag"",""13121063""]")</f>
        <v>["bag","13121063"]</v>
      </c>
      <c r="S2540" s="148" t="str">
        <f>IFERROR(__xludf.DUMMYFUNCTION("""COMPUTED_VALUE"""),"{""effect"":[{""typ"":""city_skin"",""id"":13121063,""val"":604800000},{""typ"":""item"",""id"":11111021,""val"":3}]}")</f>
        <v>{"effect":[{"typ":"city_skin","id":13121063,"val":604800000},{"typ":"item","id":11111021,"val":3}]}</v>
      </c>
      <c r="T2540" s="148">
        <f>IFERROR(__xludf.DUMMYFUNCTION("""COMPUTED_VALUE"""),-1.0)</f>
        <v>-1</v>
      </c>
      <c r="U2540" s="148">
        <f>IFERROR(__xludf.DUMMYFUNCTION("""COMPUTED_VALUE"""),0.0)</f>
        <v>0</v>
      </c>
      <c r="V2540" s="148" t="str">
        <f>IFERROR(__xludf.DUMMYFUNCTION("""COMPUTED_VALUE"""),"[]")</f>
        <v>[]</v>
      </c>
      <c r="W2540" s="148">
        <f>IFERROR(__xludf.DUMMYFUNCTION("""COMPUTED_VALUE"""),1.174E7)</f>
        <v>11740000</v>
      </c>
      <c r="X2540" s="148">
        <f>IFERROR(__xludf.DUMMYFUNCTION("""COMPUTED_VALUE"""),0.0)</f>
        <v>0</v>
      </c>
      <c r="Y2540" s="148">
        <f>IFERROR(__xludf.DUMMYFUNCTION("""COMPUTED_VALUE"""),0.0)</f>
        <v>0</v>
      </c>
      <c r="Z2540" s="148"/>
    </row>
    <row r="2541">
      <c r="A2541" s="148">
        <f>IFERROR(__xludf.DUMMYFUNCTION("""COMPUTED_VALUE"""),1.1119476E7)</f>
        <v>11119476</v>
      </c>
      <c r="B2541" s="148" t="str">
        <f>IFERROR(__xludf.DUMMYFUNCTION("""COMPUTED_VALUE"""),"主城皮肤-科技节2025-14天")</f>
        <v>主城皮肤-科技节2025-14天</v>
      </c>
      <c r="C2541" s="148"/>
      <c r="D2541" s="148" t="str">
        <f>IFERROR(__xludf.DUMMYFUNCTION("""COMPUTED_VALUE"""),"city_skin")</f>
        <v>city_skin</v>
      </c>
      <c r="E2541" s="148">
        <f>IFERROR(__xludf.DUMMYFUNCTION("""COMPUTED_VALUE"""),21.0)</f>
        <v>21</v>
      </c>
      <c r="F2541" s="148">
        <f>IFERROR(__xludf.DUMMYFUNCTION("""COMPUTED_VALUE"""),499961.0)</f>
        <v>499961</v>
      </c>
      <c r="G2541" s="148">
        <f>IFERROR(__xludf.DUMMYFUNCTION("""COMPUTED_VALUE"""),1.51101415E8)</f>
        <v>151101415</v>
      </c>
      <c r="H2541" s="148">
        <f>IFERROR(__xludf.DUMMYFUNCTION("""COMPUTED_VALUE"""),1.5112564E7)</f>
        <v>15112564</v>
      </c>
      <c r="I2541" s="148" t="str">
        <f>IFERROR(__xludf.DUMMYFUNCTION("""COMPUTED_VALUE"""),"{""typ"":""lc"",""txt"":""LC_ITEM_time_day_upper_show"",""args"":[{""typ"":""int"",""val"":14}]}")</f>
        <v>{"typ":"lc","txt":"LC_ITEM_time_day_upper_show","args":[{"typ":"int","val":14}]}</v>
      </c>
      <c r="J2541" s="148" t="str">
        <f>IFERROR(__xludf.DUMMYFUNCTION("""COMPUTED_VALUE"""),"{""typ"":""lc"",""txt"":""LC_ITEM_tech_2025_city_1_name_14day""}")</f>
        <v>{"typ":"lc","txt":"LC_ITEM_tech_2025_city_1_name_14day"}</v>
      </c>
      <c r="K2541" s="148" t="str">
        <f>IFERROR(__xludf.DUMMYFUNCTION("""COMPUTED_VALUE"""),"{""typ"":""lc"",""txt"":""LC_ITEM_tech_2025_city_1_desc_14day""}")</f>
        <v>{"typ":"lc","txt":"LC_ITEM_tech_2025_city_1_desc_14day"}</v>
      </c>
      <c r="L2541" s="148" t="str">
        <f>IFERROR(__xludf.DUMMYFUNCTION("""COMPUTED_VALUE"""),"{""typ"":""lc"",""txt"":""LC_ASSET_suit_actived_tips_1""}")</f>
        <v>{"typ":"lc","txt":"LC_ASSET_suit_actived_tips_1"}</v>
      </c>
      <c r="M2541" s="148">
        <f>IFERROR(__xludf.DUMMYFUNCTION("""COMPUTED_VALUE"""),10000.0)</f>
        <v>10000</v>
      </c>
      <c r="N2541" s="148">
        <f>IFERROR(__xludf.DUMMYFUNCTION("""COMPUTED_VALUE"""),999.0)</f>
        <v>999</v>
      </c>
      <c r="O2541" s="148">
        <f>IFERROR(__xludf.DUMMYFUNCTION("""COMPUTED_VALUE"""),1.0)</f>
        <v>1</v>
      </c>
      <c r="P2541" s="148">
        <f>IFERROR(__xludf.DUMMYFUNCTION("""COMPUTED_VALUE"""),1.0)</f>
        <v>1</v>
      </c>
      <c r="Q2541" s="148" t="str">
        <f>IFERROR(__xludf.DUMMYFUNCTION("""COMPUTED_VALUE"""),"[""bag_other""]")</f>
        <v>["bag_other"]</v>
      </c>
      <c r="R2541" s="148" t="str">
        <f>IFERROR(__xludf.DUMMYFUNCTION("""COMPUTED_VALUE"""),"[""bag"",""13121063""]")</f>
        <v>["bag","13121063"]</v>
      </c>
      <c r="S2541" s="148" t="str">
        <f>IFERROR(__xludf.DUMMYFUNCTION("""COMPUTED_VALUE"""),"{""effect"":[{""typ"":""city_skin"",""id"":13121063,""val"":1209600000},{""typ"":""item"",""id"":11111021,""val"":7}]}")</f>
        <v>{"effect":[{"typ":"city_skin","id":13121063,"val":1209600000},{"typ":"item","id":11111021,"val":7}]}</v>
      </c>
      <c r="T2541" s="148">
        <f>IFERROR(__xludf.DUMMYFUNCTION("""COMPUTED_VALUE"""),-1.0)</f>
        <v>-1</v>
      </c>
      <c r="U2541" s="148">
        <f>IFERROR(__xludf.DUMMYFUNCTION("""COMPUTED_VALUE"""),0.0)</f>
        <v>0</v>
      </c>
      <c r="V2541" s="148" t="str">
        <f>IFERROR(__xludf.DUMMYFUNCTION("""COMPUTED_VALUE"""),"[]")</f>
        <v>[]</v>
      </c>
      <c r="W2541" s="148">
        <f>IFERROR(__xludf.DUMMYFUNCTION("""COMPUTED_VALUE"""),1.174E7)</f>
        <v>11740000</v>
      </c>
      <c r="X2541" s="148">
        <f>IFERROR(__xludf.DUMMYFUNCTION("""COMPUTED_VALUE"""),0.0)</f>
        <v>0</v>
      </c>
      <c r="Y2541" s="148">
        <f>IFERROR(__xludf.DUMMYFUNCTION("""COMPUTED_VALUE"""),0.0)</f>
        <v>0</v>
      </c>
      <c r="Z2541" s="148"/>
    </row>
    <row r="2542">
      <c r="A2542" s="148">
        <f>IFERROR(__xludf.DUMMYFUNCTION("""COMPUTED_VALUE"""),1.1119477E7)</f>
        <v>11119477</v>
      </c>
      <c r="B2542" s="148" t="str">
        <f>IFERROR(__xludf.DUMMYFUNCTION("""COMPUTED_VALUE"""),"碎片-三代传说斗士奖牌-D300专用")</f>
        <v>碎片-三代传说斗士奖牌-D300专用</v>
      </c>
      <c r="C2542" s="148"/>
      <c r="D2542" s="148" t="str">
        <f>IFERROR(__xludf.DUMMYFUNCTION("""COMPUTED_VALUE"""),"item_select_box")</f>
        <v>item_select_box</v>
      </c>
      <c r="E2542" s="148">
        <f>IFERROR(__xludf.DUMMYFUNCTION("""COMPUTED_VALUE"""),19.0)</f>
        <v>19</v>
      </c>
      <c r="F2542" s="148">
        <f>IFERROR(__xludf.DUMMYFUNCTION("""COMPUTED_VALUE"""),408195.0)</f>
        <v>408195</v>
      </c>
      <c r="G2542" s="148">
        <f>IFERROR(__xludf.DUMMYFUNCTION("""COMPUTED_VALUE"""),1.5116784E7)</f>
        <v>15116784</v>
      </c>
      <c r="H2542" s="148">
        <f>IFERROR(__xludf.DUMMYFUNCTION("""COMPUTED_VALUE"""),1.5112564E7)</f>
        <v>15112564</v>
      </c>
      <c r="I2542" s="148" t="str">
        <f>IFERROR(__xludf.DUMMYFUNCTION("""COMPUTED_VALUE"""),"{}")</f>
        <v>{}</v>
      </c>
      <c r="J2542" s="148" t="str">
        <f>IFERROR(__xludf.DUMMYFUNCTION("""COMPUTED_VALUE"""),"{""typ"":""lc"",""txt"":""LC_ITEM_hero_custom_fragment_chest_tier3""}")</f>
        <v>{"typ":"lc","txt":"LC_ITEM_hero_custom_fragment_chest_tier3"}</v>
      </c>
      <c r="K2542" s="148" t="str">
        <f>IFERROR(__xludf.DUMMYFUNCTION("""COMPUTED_VALUE"""),"{""typ"":""lc"",""txt"":""LC_ITEM_hero_custom_fragment_chest_tier3_desc_new""}")</f>
        <v>{"typ":"lc","txt":"LC_ITEM_hero_custom_fragment_chest_tier3_desc_new"}</v>
      </c>
      <c r="L2542" s="148" t="str">
        <f>IFERROR(__xludf.DUMMYFUNCTION("""COMPUTED_VALUE"""),"{}")</f>
        <v>{}</v>
      </c>
      <c r="M2542" s="148">
        <f>IFERROR(__xludf.DUMMYFUNCTION("""COMPUTED_VALUE"""),4000.0)</f>
        <v>4000</v>
      </c>
      <c r="N2542" s="148">
        <f>IFERROR(__xludf.DUMMYFUNCTION("""COMPUTED_VALUE"""),9999999.0)</f>
        <v>9999999</v>
      </c>
      <c r="O2542" s="148">
        <f>IFERROR(__xludf.DUMMYFUNCTION("""COMPUTED_VALUE"""),99999.0)</f>
        <v>99999</v>
      </c>
      <c r="P2542" s="148">
        <f>IFERROR(__xludf.DUMMYFUNCTION("""COMPUTED_VALUE"""),99999.0)</f>
        <v>99999</v>
      </c>
      <c r="Q2542" s="148" t="str">
        <f>IFERROR(__xludf.DUMMYFUNCTION("""COMPUTED_VALUE"""),"[""bag_other""]")</f>
        <v>["bag_other"]</v>
      </c>
      <c r="R2542" s="148" t="str">
        <f>IFERROR(__xludf.DUMMYFUNCTION("""COMPUTED_VALUE"""),"[""bag""]")</f>
        <v>["bag"]</v>
      </c>
      <c r="S2542" s="148" t="str">
        <f>IFERROR(__xludf.DUMMYFUNCTION("""COMPUTED_VALUE"""),"{""select_box"":[{""typ"":""item"",""id"":11116217,""val"":2},{""typ"":""item"",""id"":11116222,""val"":2},{""typ"":""item"",""id"":11116235,""val"":2},{""typ"":""item"",""id"":11116304,""val"":1}]}")</f>
        <v>{"select_box":[{"typ":"item","id":11116217,"val":2},{"typ":"item","id":11116222,"val":2},{"typ":"item","id":11116235,"val":2},{"typ":"item","id":11116304,"val":1}]}</v>
      </c>
      <c r="T2542" s="148">
        <f>IFERROR(__xludf.DUMMYFUNCTION("""COMPUTED_VALUE"""),-1.0)</f>
        <v>-1</v>
      </c>
      <c r="U2542" s="148">
        <f>IFERROR(__xludf.DUMMYFUNCTION("""COMPUTED_VALUE"""),0.0)</f>
        <v>0</v>
      </c>
      <c r="V2542" s="148" t="str">
        <f>IFERROR(__xludf.DUMMYFUNCTION("""COMPUTED_VALUE"""),"[]")</f>
        <v>[]</v>
      </c>
      <c r="W2542" s="148">
        <f>IFERROR(__xludf.DUMMYFUNCTION("""COMPUTED_VALUE"""),1.1741002E7)</f>
        <v>11741002</v>
      </c>
      <c r="X2542" s="148">
        <f>IFERROR(__xludf.DUMMYFUNCTION("""COMPUTED_VALUE"""),0.0)</f>
        <v>0</v>
      </c>
      <c r="Y2542" s="148">
        <f>IFERROR(__xludf.DUMMYFUNCTION("""COMPUTED_VALUE"""),0.0)</f>
        <v>0</v>
      </c>
      <c r="Z2542" s="148"/>
    </row>
    <row r="2543">
      <c r="A2543" s="148">
        <f>IFERROR(__xludf.DUMMYFUNCTION("""COMPUTED_VALUE"""),1.1119478E7)</f>
        <v>11119478</v>
      </c>
      <c r="B2543" s="148" t="str">
        <f>IFERROR(__xludf.DUMMYFUNCTION("""COMPUTED_VALUE"""),"碎片-四代传说斗士奖牌-D300专用")</f>
        <v>碎片-四代传说斗士奖牌-D300专用</v>
      </c>
      <c r="C2543" s="148"/>
      <c r="D2543" s="148" t="str">
        <f>IFERROR(__xludf.DUMMYFUNCTION("""COMPUTED_VALUE"""),"item_select_box")</f>
        <v>item_select_box</v>
      </c>
      <c r="E2543" s="148">
        <f>IFERROR(__xludf.DUMMYFUNCTION("""COMPUTED_VALUE"""),19.0)</f>
        <v>19</v>
      </c>
      <c r="F2543" s="148">
        <f>IFERROR(__xludf.DUMMYFUNCTION("""COMPUTED_VALUE"""),408195.0)</f>
        <v>408195</v>
      </c>
      <c r="G2543" s="148">
        <f>IFERROR(__xludf.DUMMYFUNCTION("""COMPUTED_VALUE"""),1.5117676E7)</f>
        <v>15117676</v>
      </c>
      <c r="H2543" s="148">
        <f>IFERROR(__xludf.DUMMYFUNCTION("""COMPUTED_VALUE"""),1.5112564E7)</f>
        <v>15112564</v>
      </c>
      <c r="I2543" s="148" t="str">
        <f>IFERROR(__xludf.DUMMYFUNCTION("""COMPUTED_VALUE"""),"{}")</f>
        <v>{}</v>
      </c>
      <c r="J2543" s="148" t="str">
        <f>IFERROR(__xludf.DUMMYFUNCTION("""COMPUTED_VALUE"""),"{""typ"":""lc"",""txt"":""LC_ITEM_hero_custom_fragment_chest_tier4""}")</f>
        <v>{"typ":"lc","txt":"LC_ITEM_hero_custom_fragment_chest_tier4"}</v>
      </c>
      <c r="K2543" s="148" t="str">
        <f>IFERROR(__xludf.DUMMYFUNCTION("""COMPUTED_VALUE"""),"{""typ"":""lc"",""txt"":""LC_ITEM_hero_custom_fragment_chest_tier4_desc_new""}")</f>
        <v>{"typ":"lc","txt":"LC_ITEM_hero_custom_fragment_chest_tier4_desc_new"}</v>
      </c>
      <c r="L2543" s="148" t="str">
        <f>IFERROR(__xludf.DUMMYFUNCTION("""COMPUTED_VALUE"""),"{}")</f>
        <v>{}</v>
      </c>
      <c r="M2543" s="148">
        <f>IFERROR(__xludf.DUMMYFUNCTION("""COMPUTED_VALUE"""),4000.0)</f>
        <v>4000</v>
      </c>
      <c r="N2543" s="148">
        <f>IFERROR(__xludf.DUMMYFUNCTION("""COMPUTED_VALUE"""),9999999.0)</f>
        <v>9999999</v>
      </c>
      <c r="O2543" s="148">
        <f>IFERROR(__xludf.DUMMYFUNCTION("""COMPUTED_VALUE"""),99999.0)</f>
        <v>99999</v>
      </c>
      <c r="P2543" s="148">
        <f>IFERROR(__xludf.DUMMYFUNCTION("""COMPUTED_VALUE"""),99999.0)</f>
        <v>99999</v>
      </c>
      <c r="Q2543" s="148" t="str">
        <f>IFERROR(__xludf.DUMMYFUNCTION("""COMPUTED_VALUE"""),"[""bag_other""]")</f>
        <v>["bag_other"]</v>
      </c>
      <c r="R2543" s="148" t="str">
        <f>IFERROR(__xludf.DUMMYFUNCTION("""COMPUTED_VALUE"""),"[""bag""]")</f>
        <v>["bag"]</v>
      </c>
      <c r="S2543" s="148" t="str">
        <f>IFERROR(__xludf.DUMMYFUNCTION("""COMPUTED_VALUE"""),"{""select_box"":[{""typ"":""item"",""id"":11116239,""val"":2},{""typ"":""item"",""id"":11116240,""val"":2},{""typ"":""item"",""id"":11116241,""val"":2},{""typ"":""item"",""id"":11116304,""val"":1}]}")</f>
        <v>{"select_box":[{"typ":"item","id":11116239,"val":2},{"typ":"item","id":11116240,"val":2},{"typ":"item","id":11116241,"val":2},{"typ":"item","id":11116304,"val":1}]}</v>
      </c>
      <c r="T2543" s="148">
        <f>IFERROR(__xludf.DUMMYFUNCTION("""COMPUTED_VALUE"""),-1.0)</f>
        <v>-1</v>
      </c>
      <c r="U2543" s="148">
        <f>IFERROR(__xludf.DUMMYFUNCTION("""COMPUTED_VALUE"""),0.0)</f>
        <v>0</v>
      </c>
      <c r="V2543" s="148" t="str">
        <f>IFERROR(__xludf.DUMMYFUNCTION("""COMPUTED_VALUE"""),"[]")</f>
        <v>[]</v>
      </c>
      <c r="W2543" s="148">
        <f>IFERROR(__xludf.DUMMYFUNCTION("""COMPUTED_VALUE"""),1.1741002E7)</f>
        <v>11741002</v>
      </c>
      <c r="X2543" s="148">
        <f>IFERROR(__xludf.DUMMYFUNCTION("""COMPUTED_VALUE"""),0.0)</f>
        <v>0</v>
      </c>
      <c r="Y2543" s="148">
        <f>IFERROR(__xludf.DUMMYFUNCTION("""COMPUTED_VALUE"""),0.0)</f>
        <v>0</v>
      </c>
      <c r="Z2543" s="148"/>
    </row>
    <row r="2544">
      <c r="A2544" s="148">
        <f>IFERROR(__xludf.DUMMYFUNCTION("""COMPUTED_VALUE"""),1.1119479E7)</f>
        <v>11119479</v>
      </c>
      <c r="B2544" s="148" t="str">
        <f>IFERROR(__xludf.DUMMYFUNCTION("""COMPUTED_VALUE"""),"S300赛车-新增自选道具-军备自选")</f>
        <v>S300赛车-新增自选道具-军备自选</v>
      </c>
      <c r="C2544" s="148"/>
      <c r="D2544" s="148" t="str">
        <f>IFERROR(__xludf.DUMMYFUNCTION("""COMPUTED_VALUE"""),"item_select_box")</f>
        <v>item_select_box</v>
      </c>
      <c r="E2544" s="148">
        <f>IFERROR(__xludf.DUMMYFUNCTION("""COMPUTED_VALUE"""),19.0)</f>
        <v>19</v>
      </c>
      <c r="F2544" s="148">
        <f>IFERROR(__xludf.DUMMYFUNCTION("""COMPUTED_VALUE"""),305221.0)</f>
        <v>305221</v>
      </c>
      <c r="G2544" s="148">
        <f>IFERROR(__xludf.DUMMYFUNCTION("""COMPUTED_VALUE"""),1.51100506E8)</f>
        <v>151100506</v>
      </c>
      <c r="H2544" s="148">
        <f>IFERROR(__xludf.DUMMYFUNCTION("""COMPUTED_VALUE"""),1.5112563E7)</f>
        <v>15112563</v>
      </c>
      <c r="I2544" s="148" t="str">
        <f>IFERROR(__xludf.DUMMYFUNCTION("""COMPUTED_VALUE"""),"{}")</f>
        <v>{}</v>
      </c>
      <c r="J2544" s="148" t="str">
        <f>IFERROR(__xludf.DUMMYFUNCTION("""COMPUTED_VALUE"""),"{""typ"":""lc"",""txt"":""LC_ITEM_race_car_game_choosen_box_troops_name""}")</f>
        <v>{"typ":"lc","txt":"LC_ITEM_race_car_game_choosen_box_troops_name"}</v>
      </c>
      <c r="K2544" s="148" t="str">
        <f>IFERROR(__xludf.DUMMYFUNCTION("""COMPUTED_VALUE"""),"{""typ"":""lc"",""txt"":""LC_ITEM_race_car_game_choosen_box_troops_desc""}")</f>
        <v>{"typ":"lc","txt":"LC_ITEM_race_car_game_choosen_box_troops_desc"}</v>
      </c>
      <c r="L2544" s="148" t="str">
        <f>IFERROR(__xludf.DUMMYFUNCTION("""COMPUTED_VALUE"""),"{}")</f>
        <v>{}</v>
      </c>
      <c r="M2544" s="148">
        <f>IFERROR(__xludf.DUMMYFUNCTION("""COMPUTED_VALUE"""),100.0)</f>
        <v>100</v>
      </c>
      <c r="N2544" s="148">
        <f>IFERROR(__xludf.DUMMYFUNCTION("""COMPUTED_VALUE"""),9.99999999E8)</f>
        <v>999999999</v>
      </c>
      <c r="O2544" s="148">
        <f>IFERROR(__xludf.DUMMYFUNCTION("""COMPUTED_VALUE"""),9.99999999E8)</f>
        <v>999999999</v>
      </c>
      <c r="P2544" s="148">
        <f>IFERROR(__xludf.DUMMYFUNCTION("""COMPUTED_VALUE"""),9.99999999E8)</f>
        <v>999999999</v>
      </c>
      <c r="Q2544" s="148" t="str">
        <f>IFERROR(__xludf.DUMMYFUNCTION("""COMPUTED_VALUE"""),"[""bag_other""]")</f>
        <v>["bag_other"]</v>
      </c>
      <c r="R2544" s="148" t="str">
        <f>IFERROR(__xludf.DUMMYFUNCTION("""COMPUTED_VALUE"""),"[""bag""]")</f>
        <v>["bag"]</v>
      </c>
      <c r="S2544" s="148" t="str">
        <f>IFERROR(__xludf.DUMMYFUNCTION("""COMPUTED_VALUE"""),"{""select_box"":[{""typ"":""item"",""id"":11117511,""val"":1},{""typ"":""item"",""id"":11117069,""val"":3},{""typ"":""item"",""id"":11117068,""val"":75}]}")</f>
        <v>{"select_box":[{"typ":"item","id":11117511,"val":1},{"typ":"item","id":11117069,"val":3},{"typ":"item","id":11117068,"val":75}]}</v>
      </c>
      <c r="T2544" s="148">
        <f>IFERROR(__xludf.DUMMYFUNCTION("""COMPUTED_VALUE"""),-1.0)</f>
        <v>-1</v>
      </c>
      <c r="U2544" s="148">
        <f>IFERROR(__xludf.DUMMYFUNCTION("""COMPUTED_VALUE"""),0.0)</f>
        <v>0</v>
      </c>
      <c r="V2544" s="148" t="str">
        <f>IFERROR(__xludf.DUMMYFUNCTION("""COMPUTED_VALUE"""),"[]")</f>
        <v>[]</v>
      </c>
      <c r="W2544" s="148">
        <f>IFERROR(__xludf.DUMMYFUNCTION("""COMPUTED_VALUE"""),1.1741004E7)</f>
        <v>11741004</v>
      </c>
      <c r="X2544" s="148">
        <f>IFERROR(__xludf.DUMMYFUNCTION("""COMPUTED_VALUE"""),0.0)</f>
        <v>0</v>
      </c>
      <c r="Y2544" s="148">
        <f>IFERROR(__xludf.DUMMYFUNCTION("""COMPUTED_VALUE"""),0.0)</f>
        <v>0</v>
      </c>
      <c r="Z2544" s="148"/>
    </row>
    <row r="2545">
      <c r="A2545" s="148">
        <f>IFERROR(__xludf.DUMMYFUNCTION("""COMPUTED_VALUE"""),1.111948E7)</f>
        <v>11119480</v>
      </c>
      <c r="B2545" s="148" t="str">
        <f>IFERROR(__xludf.DUMMYFUNCTION("""COMPUTED_VALUE"""),"S300赛车-新增自选道具-高级军备自选")</f>
        <v>S300赛车-新增自选道具-高级军备自选</v>
      </c>
      <c r="C2545" s="148"/>
      <c r="D2545" s="148" t="str">
        <f>IFERROR(__xludf.DUMMYFUNCTION("""COMPUTED_VALUE"""),"item_select_box")</f>
        <v>item_select_box</v>
      </c>
      <c r="E2545" s="148">
        <f>IFERROR(__xludf.DUMMYFUNCTION("""COMPUTED_VALUE"""),19.0)</f>
        <v>19</v>
      </c>
      <c r="F2545" s="148">
        <f>IFERROR(__xludf.DUMMYFUNCTION("""COMPUTED_VALUE"""),305221.0)</f>
        <v>305221</v>
      </c>
      <c r="G2545" s="148">
        <f>IFERROR(__xludf.DUMMYFUNCTION("""COMPUTED_VALUE"""),1.51100506E8)</f>
        <v>151100506</v>
      </c>
      <c r="H2545" s="148">
        <f>IFERROR(__xludf.DUMMYFUNCTION("""COMPUTED_VALUE"""),1.5112564E7)</f>
        <v>15112564</v>
      </c>
      <c r="I2545" s="148" t="str">
        <f>IFERROR(__xludf.DUMMYFUNCTION("""COMPUTED_VALUE"""),"{}")</f>
        <v>{}</v>
      </c>
      <c r="J2545" s="148" t="str">
        <f>IFERROR(__xludf.DUMMYFUNCTION("""COMPUTED_VALUE"""),"{""typ"":""lc"",""txt"":""LC_ITEM_race_car_game_choosen_box_troops_2_name""}")</f>
        <v>{"typ":"lc","txt":"LC_ITEM_race_car_game_choosen_box_troops_2_name"}</v>
      </c>
      <c r="K2545" s="148" t="str">
        <f>IFERROR(__xludf.DUMMYFUNCTION("""COMPUTED_VALUE"""),"{""typ"":""lc"",""txt"":""LC_ITEM_race_car_game_choosen_box_troops_2_desc""}")</f>
        <v>{"typ":"lc","txt":"LC_ITEM_race_car_game_choosen_box_troops_2_desc"}</v>
      </c>
      <c r="L2545" s="148" t="str">
        <f>IFERROR(__xludf.DUMMYFUNCTION("""COMPUTED_VALUE"""),"{}")</f>
        <v>{}</v>
      </c>
      <c r="M2545" s="148">
        <f>IFERROR(__xludf.DUMMYFUNCTION("""COMPUTED_VALUE"""),100.0)</f>
        <v>100</v>
      </c>
      <c r="N2545" s="148">
        <f>IFERROR(__xludf.DUMMYFUNCTION("""COMPUTED_VALUE"""),9.99999999E8)</f>
        <v>999999999</v>
      </c>
      <c r="O2545" s="148">
        <f>IFERROR(__xludf.DUMMYFUNCTION("""COMPUTED_VALUE"""),9.99999999E8)</f>
        <v>999999999</v>
      </c>
      <c r="P2545" s="148">
        <f>IFERROR(__xludf.DUMMYFUNCTION("""COMPUTED_VALUE"""),9.99999999E8)</f>
        <v>999999999</v>
      </c>
      <c r="Q2545" s="148" t="str">
        <f>IFERROR(__xludf.DUMMYFUNCTION("""COMPUTED_VALUE"""),"[""bag_other""]")</f>
        <v>["bag_other"]</v>
      </c>
      <c r="R2545" s="148" t="str">
        <f>IFERROR(__xludf.DUMMYFUNCTION("""COMPUTED_VALUE"""),"[""bag""]")</f>
        <v>["bag"]</v>
      </c>
      <c r="S2545" s="148" t="str">
        <f>IFERROR(__xludf.DUMMYFUNCTION("""COMPUTED_VALUE"""),"{""select_box"":[{""typ"":""item"",""id"":11117510,""val"":1},{""typ"":""item"",""id"":11117229,""val"":20},{""typ"":""item"",""id"":11117230,""val"":2},{""typ"":""item"",""id"":11117069,""val"":4}]}")</f>
        <v>{"select_box":[{"typ":"item","id":11117510,"val":1},{"typ":"item","id":11117229,"val":20},{"typ":"item","id":11117230,"val":2},{"typ":"item","id":11117069,"val":4}]}</v>
      </c>
      <c r="T2545" s="148">
        <f>IFERROR(__xludf.DUMMYFUNCTION("""COMPUTED_VALUE"""),-1.0)</f>
        <v>-1</v>
      </c>
      <c r="U2545" s="148">
        <f>IFERROR(__xludf.DUMMYFUNCTION("""COMPUTED_VALUE"""),0.0)</f>
        <v>0</v>
      </c>
      <c r="V2545" s="148" t="str">
        <f>IFERROR(__xludf.DUMMYFUNCTION("""COMPUTED_VALUE"""),"[]")</f>
        <v>[]</v>
      </c>
      <c r="W2545" s="148">
        <f>IFERROR(__xludf.DUMMYFUNCTION("""COMPUTED_VALUE"""),1.1741004E7)</f>
        <v>11741004</v>
      </c>
      <c r="X2545" s="148">
        <f>IFERROR(__xludf.DUMMYFUNCTION("""COMPUTED_VALUE"""),0.0)</f>
        <v>0</v>
      </c>
      <c r="Y2545" s="148">
        <f>IFERROR(__xludf.DUMMYFUNCTION("""COMPUTED_VALUE"""),0.0)</f>
        <v>0</v>
      </c>
      <c r="Z2545" s="148"/>
    </row>
    <row r="2546">
      <c r="A2546" s="148">
        <f>IFERROR(__xludf.DUMMYFUNCTION("""COMPUTED_VALUE"""),1.1119481E7)</f>
        <v>11119481</v>
      </c>
      <c r="B2546" s="148" t="str">
        <f>IFERROR(__xludf.DUMMYFUNCTION("""COMPUTED_VALUE"""),"主城翅膀-科技节2025-2天")</f>
        <v>主城翅膀-科技节2025-2天</v>
      </c>
      <c r="C2546" s="148"/>
      <c r="D2546" s="148" t="str">
        <f>IFERROR(__xludf.DUMMYFUNCTION("""COMPUTED_VALUE"""),"city_suit_decoration")</f>
        <v>city_suit_decoration</v>
      </c>
      <c r="E2546" s="148">
        <f>IFERROR(__xludf.DUMMYFUNCTION("""COMPUTED_VALUE"""),21.0)</f>
        <v>21</v>
      </c>
      <c r="F2546" s="148">
        <f>IFERROR(__xludf.DUMMYFUNCTION("""COMPUTED_VALUE"""),499971.0)</f>
        <v>499971</v>
      </c>
      <c r="G2546" s="148">
        <f>IFERROR(__xludf.DUMMYFUNCTION("""COMPUTED_VALUE"""),1.51101412E8)</f>
        <v>151101412</v>
      </c>
      <c r="H2546" s="148">
        <f>IFERROR(__xludf.DUMMYFUNCTION("""COMPUTED_VALUE"""),1.5112563E7)</f>
        <v>15112563</v>
      </c>
      <c r="I2546" s="148" t="str">
        <f>IFERROR(__xludf.DUMMYFUNCTION("""COMPUTED_VALUE"""),"{""typ"":""lc"",""txt"":""LC_ITEM_time_day_upper_show"",""args"":[{""typ"":""int"",""val"":2}]}")</f>
        <v>{"typ":"lc","txt":"LC_ITEM_time_day_upper_show","args":[{"typ":"int","val":2}]}</v>
      </c>
      <c r="J2546" s="148" t="str">
        <f>IFERROR(__xludf.DUMMYFUNCTION("""COMPUTED_VALUE"""),"{""typ"":""lc"",""txt"":""LC_ITEM_tech_2025_city_wing_name_2day""}")</f>
        <v>{"typ":"lc","txt":"LC_ITEM_tech_2025_city_wing_name_2day"}</v>
      </c>
      <c r="K2546" s="148" t="str">
        <f>IFERROR(__xludf.DUMMYFUNCTION("""COMPUTED_VALUE"""),"{""typ"":""lc"",""txt"":""LC_ITEM_tech_2025_city_wing_desc_2day""}")</f>
        <v>{"typ":"lc","txt":"LC_ITEM_tech_2025_city_wing_desc_2day"}</v>
      </c>
      <c r="L2546" s="148" t="str">
        <f>IFERROR(__xludf.DUMMYFUNCTION("""COMPUTED_VALUE"""),"{""typ"":""lc"",""txt"":""LC_ASSET_suit_actived_tips_1""}")</f>
        <v>{"typ":"lc","txt":"LC_ASSET_suit_actived_tips_1"}</v>
      </c>
      <c r="M2546" s="148">
        <f>IFERROR(__xludf.DUMMYFUNCTION("""COMPUTED_VALUE"""),500.0)</f>
        <v>500</v>
      </c>
      <c r="N2546" s="148">
        <f>IFERROR(__xludf.DUMMYFUNCTION("""COMPUTED_VALUE"""),999.0)</f>
        <v>999</v>
      </c>
      <c r="O2546" s="148">
        <f>IFERROR(__xludf.DUMMYFUNCTION("""COMPUTED_VALUE"""),1.0)</f>
        <v>1</v>
      </c>
      <c r="P2546" s="148">
        <f>IFERROR(__xludf.DUMMYFUNCTION("""COMPUTED_VALUE"""),1.0)</f>
        <v>1</v>
      </c>
      <c r="Q2546" s="148" t="str">
        <f>IFERROR(__xludf.DUMMYFUNCTION("""COMPUTED_VALUE"""),"[""bag_other""]")</f>
        <v>["bag_other"]</v>
      </c>
      <c r="R2546" s="148" t="str">
        <f>IFERROR(__xludf.DUMMYFUNCTION("""COMPUTED_VALUE"""),"[""bag"",""13881001""]")</f>
        <v>["bag","13881001"]</v>
      </c>
      <c r="S2546" s="148" t="str">
        <f>IFERROR(__xludf.DUMMYFUNCTION("""COMPUTED_VALUE"""),"{""effect"":[{""typ"":""city_suit_decoration"",""id"":13881001,""val"":172800000},{""typ"":""item"",""id"":11111021,""val"":1}]}")</f>
        <v>{"effect":[{"typ":"city_suit_decoration","id":13881001,"val":172800000},{"typ":"item","id":11111021,"val":1}]}</v>
      </c>
      <c r="T2546" s="148">
        <f>IFERROR(__xludf.DUMMYFUNCTION("""COMPUTED_VALUE"""),-1.0)</f>
        <v>-1</v>
      </c>
      <c r="U2546" s="148">
        <f>IFERROR(__xludf.DUMMYFUNCTION("""COMPUTED_VALUE"""),0.0)</f>
        <v>0</v>
      </c>
      <c r="V2546" s="148" t="str">
        <f>IFERROR(__xludf.DUMMYFUNCTION("""COMPUTED_VALUE"""),"[]")</f>
        <v>[]</v>
      </c>
      <c r="W2546" s="148">
        <f>IFERROR(__xludf.DUMMYFUNCTION("""COMPUTED_VALUE"""),1.174E7)</f>
        <v>11740000</v>
      </c>
      <c r="X2546" s="148">
        <f>IFERROR(__xludf.DUMMYFUNCTION("""COMPUTED_VALUE"""),0.0)</f>
        <v>0</v>
      </c>
      <c r="Y2546" s="148">
        <f>IFERROR(__xludf.DUMMYFUNCTION("""COMPUTED_VALUE"""),0.0)</f>
        <v>0</v>
      </c>
      <c r="Z2546" s="148"/>
    </row>
    <row r="2547">
      <c r="A2547" s="148">
        <f>IFERROR(__xludf.DUMMYFUNCTION("""COMPUTED_VALUE"""),1.1119482E7)</f>
        <v>11119482</v>
      </c>
      <c r="B2547" s="148" t="str">
        <f>IFERROR(__xludf.DUMMYFUNCTION("""COMPUTED_VALUE"""),"主城翅膀-科技节2025-7天")</f>
        <v>主城翅膀-科技节2025-7天</v>
      </c>
      <c r="C2547" s="148"/>
      <c r="D2547" s="148" t="str">
        <f>IFERROR(__xludf.DUMMYFUNCTION("""COMPUTED_VALUE"""),"city_suit_decoration")</f>
        <v>city_suit_decoration</v>
      </c>
      <c r="E2547" s="148">
        <f>IFERROR(__xludf.DUMMYFUNCTION("""COMPUTED_VALUE"""),21.0)</f>
        <v>21</v>
      </c>
      <c r="F2547" s="148">
        <f>IFERROR(__xludf.DUMMYFUNCTION("""COMPUTED_VALUE"""),499981.0)</f>
        <v>499981</v>
      </c>
      <c r="G2547" s="148">
        <f>IFERROR(__xludf.DUMMYFUNCTION("""COMPUTED_VALUE"""),1.51101412E8)</f>
        <v>151101412</v>
      </c>
      <c r="H2547" s="148">
        <f>IFERROR(__xludf.DUMMYFUNCTION("""COMPUTED_VALUE"""),1.5112564E7)</f>
        <v>15112564</v>
      </c>
      <c r="I2547" s="148" t="str">
        <f>IFERROR(__xludf.DUMMYFUNCTION("""COMPUTED_VALUE"""),"{""typ"":""lc"",""txt"":""LC_ITEM_time_day_upper_show"",""args"":[{""typ"":""int"",""val"":7}]}")</f>
        <v>{"typ":"lc","txt":"LC_ITEM_time_day_upper_show","args":[{"typ":"int","val":7}]}</v>
      </c>
      <c r="J2547" s="148" t="str">
        <f>IFERROR(__xludf.DUMMYFUNCTION("""COMPUTED_VALUE"""),"{""typ"":""lc"",""txt"":""LC_ITEM_tech_2025_city_wing_name_7day""}")</f>
        <v>{"typ":"lc","txt":"LC_ITEM_tech_2025_city_wing_name_7day"}</v>
      </c>
      <c r="K2547" s="148" t="str">
        <f>IFERROR(__xludf.DUMMYFUNCTION("""COMPUTED_VALUE"""),"{""typ"":""lc"",""txt"":""LC_ITEM_tech_2025_city_wing_desc_7day""}")</f>
        <v>{"typ":"lc","txt":"LC_ITEM_tech_2025_city_wing_desc_7day"}</v>
      </c>
      <c r="L2547" s="148" t="str">
        <f>IFERROR(__xludf.DUMMYFUNCTION("""COMPUTED_VALUE"""),"{""typ"":""lc"",""txt"":""LC_ASSET_suit_actived_tips_1""}")</f>
        <v>{"typ":"lc","txt":"LC_ASSET_suit_actived_tips_1"}</v>
      </c>
      <c r="M2547" s="148">
        <f>IFERROR(__xludf.DUMMYFUNCTION("""COMPUTED_VALUE"""),10000.0)</f>
        <v>10000</v>
      </c>
      <c r="N2547" s="148">
        <f>IFERROR(__xludf.DUMMYFUNCTION("""COMPUTED_VALUE"""),999.0)</f>
        <v>999</v>
      </c>
      <c r="O2547" s="148">
        <f>IFERROR(__xludf.DUMMYFUNCTION("""COMPUTED_VALUE"""),1.0)</f>
        <v>1</v>
      </c>
      <c r="P2547" s="148">
        <f>IFERROR(__xludf.DUMMYFUNCTION("""COMPUTED_VALUE"""),1.0)</f>
        <v>1</v>
      </c>
      <c r="Q2547" s="148" t="str">
        <f>IFERROR(__xludf.DUMMYFUNCTION("""COMPUTED_VALUE"""),"[""bag_other""]")</f>
        <v>["bag_other"]</v>
      </c>
      <c r="R2547" s="148" t="str">
        <f>IFERROR(__xludf.DUMMYFUNCTION("""COMPUTED_VALUE"""),"[""bag"",""13881001""]")</f>
        <v>["bag","13881001"]</v>
      </c>
      <c r="S2547" s="148" t="str">
        <f>IFERROR(__xludf.DUMMYFUNCTION("""COMPUTED_VALUE"""),"{""effect"":[{""typ"":""city_suit_decoration"",""id"":13881001,""val"":604800000},{""typ"":""item"",""id"":11111021,""val"":3}]}")</f>
        <v>{"effect":[{"typ":"city_suit_decoration","id":13881001,"val":604800000},{"typ":"item","id":11111021,"val":3}]}</v>
      </c>
      <c r="T2547" s="148">
        <f>IFERROR(__xludf.DUMMYFUNCTION("""COMPUTED_VALUE"""),-1.0)</f>
        <v>-1</v>
      </c>
      <c r="U2547" s="148">
        <f>IFERROR(__xludf.DUMMYFUNCTION("""COMPUTED_VALUE"""),0.0)</f>
        <v>0</v>
      </c>
      <c r="V2547" s="148" t="str">
        <f>IFERROR(__xludf.DUMMYFUNCTION("""COMPUTED_VALUE"""),"[]")</f>
        <v>[]</v>
      </c>
      <c r="W2547" s="148">
        <f>IFERROR(__xludf.DUMMYFUNCTION("""COMPUTED_VALUE"""),1.174E7)</f>
        <v>11740000</v>
      </c>
      <c r="X2547" s="148">
        <f>IFERROR(__xludf.DUMMYFUNCTION("""COMPUTED_VALUE"""),0.0)</f>
        <v>0</v>
      </c>
      <c r="Y2547" s="148">
        <f>IFERROR(__xludf.DUMMYFUNCTION("""COMPUTED_VALUE"""),0.0)</f>
        <v>0</v>
      </c>
      <c r="Z2547" s="148"/>
    </row>
    <row r="2548">
      <c r="A2548" s="148">
        <f>IFERROR(__xludf.DUMMYFUNCTION("""COMPUTED_VALUE"""),1.1119483E7)</f>
        <v>11119483</v>
      </c>
      <c r="B2548" s="148" t="str">
        <f>IFERROR(__xludf.DUMMYFUNCTION("""COMPUTED_VALUE"""),"主城翅膀-科技节2025-14天")</f>
        <v>主城翅膀-科技节2025-14天</v>
      </c>
      <c r="C2548" s="148"/>
      <c r="D2548" s="148" t="str">
        <f>IFERROR(__xludf.DUMMYFUNCTION("""COMPUTED_VALUE"""),"city_suit_decoration")</f>
        <v>city_suit_decoration</v>
      </c>
      <c r="E2548" s="148">
        <f>IFERROR(__xludf.DUMMYFUNCTION("""COMPUTED_VALUE"""),21.0)</f>
        <v>21</v>
      </c>
      <c r="F2548" s="148">
        <f>IFERROR(__xludf.DUMMYFUNCTION("""COMPUTED_VALUE"""),499991.0)</f>
        <v>499991</v>
      </c>
      <c r="G2548" s="148">
        <f>IFERROR(__xludf.DUMMYFUNCTION("""COMPUTED_VALUE"""),1.51101412E8)</f>
        <v>151101412</v>
      </c>
      <c r="H2548" s="148">
        <f>IFERROR(__xludf.DUMMYFUNCTION("""COMPUTED_VALUE"""),1.5112564E7)</f>
        <v>15112564</v>
      </c>
      <c r="I2548" s="148" t="str">
        <f>IFERROR(__xludf.DUMMYFUNCTION("""COMPUTED_VALUE"""),"{""typ"":""lc"",""txt"":""LC_ITEM_time_day_upper_show"",""args"":[{""typ"":""int"",""val"":14}]}")</f>
        <v>{"typ":"lc","txt":"LC_ITEM_time_day_upper_show","args":[{"typ":"int","val":14}]}</v>
      </c>
      <c r="J2548" s="148" t="str">
        <f>IFERROR(__xludf.DUMMYFUNCTION("""COMPUTED_VALUE"""),"{""typ"":""lc"",""txt"":""LC_ITEM_tech_2025_city_wing_name_14day""}")</f>
        <v>{"typ":"lc","txt":"LC_ITEM_tech_2025_city_wing_name_14day"}</v>
      </c>
      <c r="K2548" s="148" t="str">
        <f>IFERROR(__xludf.DUMMYFUNCTION("""COMPUTED_VALUE"""),"{""typ"":""lc"",""txt"":""LC_ITEM_tech_2025_city_wing_desc_14day""}")</f>
        <v>{"typ":"lc","txt":"LC_ITEM_tech_2025_city_wing_desc_14day"}</v>
      </c>
      <c r="L2548" s="148" t="str">
        <f>IFERROR(__xludf.DUMMYFUNCTION("""COMPUTED_VALUE"""),"{""typ"":""lc"",""txt"":""LC_ASSET_suit_actived_tips_1""}")</f>
        <v>{"typ":"lc","txt":"LC_ASSET_suit_actived_tips_1"}</v>
      </c>
      <c r="M2548" s="148">
        <f>IFERROR(__xludf.DUMMYFUNCTION("""COMPUTED_VALUE"""),10000.0)</f>
        <v>10000</v>
      </c>
      <c r="N2548" s="148">
        <f>IFERROR(__xludf.DUMMYFUNCTION("""COMPUTED_VALUE"""),999.0)</f>
        <v>999</v>
      </c>
      <c r="O2548" s="148">
        <f>IFERROR(__xludf.DUMMYFUNCTION("""COMPUTED_VALUE"""),1.0)</f>
        <v>1</v>
      </c>
      <c r="P2548" s="148">
        <f>IFERROR(__xludf.DUMMYFUNCTION("""COMPUTED_VALUE"""),1.0)</f>
        <v>1</v>
      </c>
      <c r="Q2548" s="148" t="str">
        <f>IFERROR(__xludf.DUMMYFUNCTION("""COMPUTED_VALUE"""),"[""bag_other""]")</f>
        <v>["bag_other"]</v>
      </c>
      <c r="R2548" s="148" t="str">
        <f>IFERROR(__xludf.DUMMYFUNCTION("""COMPUTED_VALUE"""),"[""bag"",""13881001""]")</f>
        <v>["bag","13881001"]</v>
      </c>
      <c r="S2548" s="148" t="str">
        <f>IFERROR(__xludf.DUMMYFUNCTION("""COMPUTED_VALUE"""),"{""effect"":[{""typ"":""city_suit_decoration"",""id"":13881001,""val"":1209600000},{""typ"":""item"",""id"":11111021,""val"":7}]}")</f>
        <v>{"effect":[{"typ":"city_suit_decoration","id":13881001,"val":1209600000},{"typ":"item","id":11111021,"val":7}]}</v>
      </c>
      <c r="T2548" s="148">
        <f>IFERROR(__xludf.DUMMYFUNCTION("""COMPUTED_VALUE"""),-1.0)</f>
        <v>-1</v>
      </c>
      <c r="U2548" s="148">
        <f>IFERROR(__xludf.DUMMYFUNCTION("""COMPUTED_VALUE"""),0.0)</f>
        <v>0</v>
      </c>
      <c r="V2548" s="148" t="str">
        <f>IFERROR(__xludf.DUMMYFUNCTION("""COMPUTED_VALUE"""),"[]")</f>
        <v>[]</v>
      </c>
      <c r="W2548" s="148">
        <f>IFERROR(__xludf.DUMMYFUNCTION("""COMPUTED_VALUE"""),1.174E7)</f>
        <v>11740000</v>
      </c>
      <c r="X2548" s="148">
        <f>IFERROR(__xludf.DUMMYFUNCTION("""COMPUTED_VALUE"""),0.0)</f>
        <v>0</v>
      </c>
      <c r="Y2548" s="148">
        <f>IFERROR(__xludf.DUMMYFUNCTION("""COMPUTED_VALUE"""),0.0)</f>
        <v>0</v>
      </c>
      <c r="Z2548" s="148"/>
    </row>
    <row r="2549">
      <c r="A2549" s="148">
        <f>IFERROR(__xludf.DUMMYFUNCTION("""COMPUTED_VALUE"""),1.1119484E7)</f>
        <v>11119484</v>
      </c>
      <c r="B2549" s="148" t="str">
        <f>IFERROR(__xludf.DUMMYFUNCTION("""COMPUTED_VALUE"""),"主城炮弹-科技节2025-2天")</f>
        <v>主城炮弹-科技节2025-2天</v>
      </c>
      <c r="C2549" s="148"/>
      <c r="D2549" s="148" t="str">
        <f>IFERROR(__xludf.DUMMYFUNCTION("""COMPUTED_VALUE"""),"city_suit_decoration")</f>
        <v>city_suit_decoration</v>
      </c>
      <c r="E2549" s="148">
        <f>IFERROR(__xludf.DUMMYFUNCTION("""COMPUTED_VALUE"""),21.0)</f>
        <v>21</v>
      </c>
      <c r="F2549" s="148">
        <f>IFERROR(__xludf.DUMMYFUNCTION("""COMPUTED_VALUE"""),499990.0)</f>
        <v>499990</v>
      </c>
      <c r="G2549" s="148">
        <f>IFERROR(__xludf.DUMMYFUNCTION("""COMPUTED_VALUE"""),1.51101413E8)</f>
        <v>151101413</v>
      </c>
      <c r="H2549" s="148">
        <f>IFERROR(__xludf.DUMMYFUNCTION("""COMPUTED_VALUE"""),1.5112563E7)</f>
        <v>15112563</v>
      </c>
      <c r="I2549" s="148" t="str">
        <f>IFERROR(__xludf.DUMMYFUNCTION("""COMPUTED_VALUE"""),"{""typ"":""lc"",""txt"":""LC_ITEM_time_day_upper_show"",""args"":[{""typ"":""int"",""val"":2}]}")</f>
        <v>{"typ":"lc","txt":"LC_ITEM_time_day_upper_show","args":[{"typ":"int","val":2}]}</v>
      </c>
      <c r="J2549" s="148" t="str">
        <f>IFERROR(__xludf.DUMMYFUNCTION("""COMPUTED_VALUE"""),"{""typ"":""lc"",""txt"":""LC_ITEM_tech_2025_city_cannon_name_2day""}")</f>
        <v>{"typ":"lc","txt":"LC_ITEM_tech_2025_city_cannon_name_2day"}</v>
      </c>
      <c r="K2549" s="148" t="str">
        <f>IFERROR(__xludf.DUMMYFUNCTION("""COMPUTED_VALUE"""),"{""typ"":""lc"",""txt"":""LC_ITEM_tech_2025_city_cannon_desc_2day""}")</f>
        <v>{"typ":"lc","txt":"LC_ITEM_tech_2025_city_cannon_desc_2day"}</v>
      </c>
      <c r="L2549" s="148" t="str">
        <f>IFERROR(__xludf.DUMMYFUNCTION("""COMPUTED_VALUE"""),"{""typ"":""lc"",""txt"":""LC_ASSET_suit_actived_tips_1""}")</f>
        <v>{"typ":"lc","txt":"LC_ASSET_suit_actived_tips_1"}</v>
      </c>
      <c r="M2549" s="148">
        <f>IFERROR(__xludf.DUMMYFUNCTION("""COMPUTED_VALUE"""),500.0)</f>
        <v>500</v>
      </c>
      <c r="N2549" s="148">
        <f>IFERROR(__xludf.DUMMYFUNCTION("""COMPUTED_VALUE"""),999.0)</f>
        <v>999</v>
      </c>
      <c r="O2549" s="148">
        <f>IFERROR(__xludf.DUMMYFUNCTION("""COMPUTED_VALUE"""),1.0)</f>
        <v>1</v>
      </c>
      <c r="P2549" s="148">
        <f>IFERROR(__xludf.DUMMYFUNCTION("""COMPUTED_VALUE"""),1.0)</f>
        <v>1</v>
      </c>
      <c r="Q2549" s="148" t="str">
        <f>IFERROR(__xludf.DUMMYFUNCTION("""COMPUTED_VALUE"""),"[""bag_other""]")</f>
        <v>["bag_other"]</v>
      </c>
      <c r="R2549" s="148" t="str">
        <f>IFERROR(__xludf.DUMMYFUNCTION("""COMPUTED_VALUE"""),"[""bag"",""13881002""]")</f>
        <v>["bag","13881002"]</v>
      </c>
      <c r="S2549" s="148" t="str">
        <f>IFERROR(__xludf.DUMMYFUNCTION("""COMPUTED_VALUE"""),"{""effect"":[{""typ"":""city_suit_decoration"",""id"":13881002,""val"":172800000},{""typ"":""item"",""id"":11111021,""val"":1}]}")</f>
        <v>{"effect":[{"typ":"city_suit_decoration","id":13881002,"val":172800000},{"typ":"item","id":11111021,"val":1}]}</v>
      </c>
      <c r="T2549" s="148">
        <f>IFERROR(__xludf.DUMMYFUNCTION("""COMPUTED_VALUE"""),-1.0)</f>
        <v>-1</v>
      </c>
      <c r="U2549" s="148">
        <f>IFERROR(__xludf.DUMMYFUNCTION("""COMPUTED_VALUE"""),0.0)</f>
        <v>0</v>
      </c>
      <c r="V2549" s="148" t="str">
        <f>IFERROR(__xludf.DUMMYFUNCTION("""COMPUTED_VALUE"""),"[]")</f>
        <v>[]</v>
      </c>
      <c r="W2549" s="148">
        <f>IFERROR(__xludf.DUMMYFUNCTION("""COMPUTED_VALUE"""),1.174E7)</f>
        <v>11740000</v>
      </c>
      <c r="X2549" s="148">
        <f>IFERROR(__xludf.DUMMYFUNCTION("""COMPUTED_VALUE"""),0.0)</f>
        <v>0</v>
      </c>
      <c r="Y2549" s="148">
        <f>IFERROR(__xludf.DUMMYFUNCTION("""COMPUTED_VALUE"""),0.0)</f>
        <v>0</v>
      </c>
      <c r="Z2549" s="148"/>
    </row>
    <row r="2550">
      <c r="A2550" s="148">
        <f>IFERROR(__xludf.DUMMYFUNCTION("""COMPUTED_VALUE"""),1.1119485E7)</f>
        <v>11119485</v>
      </c>
      <c r="B2550" s="148" t="str">
        <f>IFERROR(__xludf.DUMMYFUNCTION("""COMPUTED_VALUE"""),"主城炮弹-科技节2025-7天")</f>
        <v>主城炮弹-科技节2025-7天</v>
      </c>
      <c r="C2550" s="148"/>
      <c r="D2550" s="148" t="str">
        <f>IFERROR(__xludf.DUMMYFUNCTION("""COMPUTED_VALUE"""),"city_suit_decoration")</f>
        <v>city_suit_decoration</v>
      </c>
      <c r="E2550" s="148">
        <f>IFERROR(__xludf.DUMMYFUNCTION("""COMPUTED_VALUE"""),21.0)</f>
        <v>21</v>
      </c>
      <c r="F2550" s="148">
        <f>IFERROR(__xludf.DUMMYFUNCTION("""COMPUTED_VALUE"""),499991.0)</f>
        <v>499991</v>
      </c>
      <c r="G2550" s="148">
        <f>IFERROR(__xludf.DUMMYFUNCTION("""COMPUTED_VALUE"""),1.51101413E8)</f>
        <v>151101413</v>
      </c>
      <c r="H2550" s="148">
        <f>IFERROR(__xludf.DUMMYFUNCTION("""COMPUTED_VALUE"""),1.5112564E7)</f>
        <v>15112564</v>
      </c>
      <c r="I2550" s="148" t="str">
        <f>IFERROR(__xludf.DUMMYFUNCTION("""COMPUTED_VALUE"""),"{""typ"":""lc"",""txt"":""LC_ITEM_time_day_upper_show"",""args"":[{""typ"":""int"",""val"":7}]}")</f>
        <v>{"typ":"lc","txt":"LC_ITEM_time_day_upper_show","args":[{"typ":"int","val":7}]}</v>
      </c>
      <c r="J2550" s="148" t="str">
        <f>IFERROR(__xludf.DUMMYFUNCTION("""COMPUTED_VALUE"""),"{""typ"":""lc"",""txt"":""LC_ITEM_tech_2025_city_cannon_name_7day""}")</f>
        <v>{"typ":"lc","txt":"LC_ITEM_tech_2025_city_cannon_name_7day"}</v>
      </c>
      <c r="K2550" s="148" t="str">
        <f>IFERROR(__xludf.DUMMYFUNCTION("""COMPUTED_VALUE"""),"{""typ"":""lc"",""txt"":""LC_ITEM_tech_2025_city_cannon_desc_7day""}")</f>
        <v>{"typ":"lc","txt":"LC_ITEM_tech_2025_city_cannon_desc_7day"}</v>
      </c>
      <c r="L2550" s="148" t="str">
        <f>IFERROR(__xludf.DUMMYFUNCTION("""COMPUTED_VALUE"""),"{""typ"":""lc"",""txt"":""LC_ASSET_suit_actived_tips_1""}")</f>
        <v>{"typ":"lc","txt":"LC_ASSET_suit_actived_tips_1"}</v>
      </c>
      <c r="M2550" s="148">
        <f>IFERROR(__xludf.DUMMYFUNCTION("""COMPUTED_VALUE"""),10000.0)</f>
        <v>10000</v>
      </c>
      <c r="N2550" s="148">
        <f>IFERROR(__xludf.DUMMYFUNCTION("""COMPUTED_VALUE"""),999.0)</f>
        <v>999</v>
      </c>
      <c r="O2550" s="148">
        <f>IFERROR(__xludf.DUMMYFUNCTION("""COMPUTED_VALUE"""),1.0)</f>
        <v>1</v>
      </c>
      <c r="P2550" s="148">
        <f>IFERROR(__xludf.DUMMYFUNCTION("""COMPUTED_VALUE"""),1.0)</f>
        <v>1</v>
      </c>
      <c r="Q2550" s="148" t="str">
        <f>IFERROR(__xludf.DUMMYFUNCTION("""COMPUTED_VALUE"""),"[""bag_other""]")</f>
        <v>["bag_other"]</v>
      </c>
      <c r="R2550" s="148" t="str">
        <f>IFERROR(__xludf.DUMMYFUNCTION("""COMPUTED_VALUE"""),"[""bag"",""13881002""]")</f>
        <v>["bag","13881002"]</v>
      </c>
      <c r="S2550" s="148" t="str">
        <f>IFERROR(__xludf.DUMMYFUNCTION("""COMPUTED_VALUE"""),"{""effect"":[{""typ"":""city_suit_decoration"",""id"":13881002,""val"":604800000},{""typ"":""item"",""id"":11111021,""val"":3}]}")</f>
        <v>{"effect":[{"typ":"city_suit_decoration","id":13881002,"val":604800000},{"typ":"item","id":11111021,"val":3}]}</v>
      </c>
      <c r="T2550" s="148">
        <f>IFERROR(__xludf.DUMMYFUNCTION("""COMPUTED_VALUE"""),-1.0)</f>
        <v>-1</v>
      </c>
      <c r="U2550" s="148">
        <f>IFERROR(__xludf.DUMMYFUNCTION("""COMPUTED_VALUE"""),0.0)</f>
        <v>0</v>
      </c>
      <c r="V2550" s="148" t="str">
        <f>IFERROR(__xludf.DUMMYFUNCTION("""COMPUTED_VALUE"""),"[]")</f>
        <v>[]</v>
      </c>
      <c r="W2550" s="148">
        <f>IFERROR(__xludf.DUMMYFUNCTION("""COMPUTED_VALUE"""),1.174E7)</f>
        <v>11740000</v>
      </c>
      <c r="X2550" s="148">
        <f>IFERROR(__xludf.DUMMYFUNCTION("""COMPUTED_VALUE"""),0.0)</f>
        <v>0</v>
      </c>
      <c r="Y2550" s="148">
        <f>IFERROR(__xludf.DUMMYFUNCTION("""COMPUTED_VALUE"""),0.0)</f>
        <v>0</v>
      </c>
      <c r="Z2550" s="148"/>
    </row>
    <row r="2551">
      <c r="A2551" s="148">
        <f>IFERROR(__xludf.DUMMYFUNCTION("""COMPUTED_VALUE"""),1.1119486E7)</f>
        <v>11119486</v>
      </c>
      <c r="B2551" s="148" t="str">
        <f>IFERROR(__xludf.DUMMYFUNCTION("""COMPUTED_VALUE"""),"主城炮弹-科技节2025-14天")</f>
        <v>主城炮弹-科技节2025-14天</v>
      </c>
      <c r="C2551" s="148"/>
      <c r="D2551" s="148" t="str">
        <f>IFERROR(__xludf.DUMMYFUNCTION("""COMPUTED_VALUE"""),"city_suit_decoration")</f>
        <v>city_suit_decoration</v>
      </c>
      <c r="E2551" s="148">
        <f>IFERROR(__xludf.DUMMYFUNCTION("""COMPUTED_VALUE"""),21.0)</f>
        <v>21</v>
      </c>
      <c r="F2551" s="148">
        <f>IFERROR(__xludf.DUMMYFUNCTION("""COMPUTED_VALUE"""),499992.0)</f>
        <v>499992</v>
      </c>
      <c r="G2551" s="148">
        <f>IFERROR(__xludf.DUMMYFUNCTION("""COMPUTED_VALUE"""),1.51101413E8)</f>
        <v>151101413</v>
      </c>
      <c r="H2551" s="148">
        <f>IFERROR(__xludf.DUMMYFUNCTION("""COMPUTED_VALUE"""),1.5112564E7)</f>
        <v>15112564</v>
      </c>
      <c r="I2551" s="148" t="str">
        <f>IFERROR(__xludf.DUMMYFUNCTION("""COMPUTED_VALUE"""),"{""typ"":""lc"",""txt"":""LC_ITEM_time_day_upper_show"",""args"":[{""typ"":""int"",""val"":14}]}")</f>
        <v>{"typ":"lc","txt":"LC_ITEM_time_day_upper_show","args":[{"typ":"int","val":14}]}</v>
      </c>
      <c r="J2551" s="148" t="str">
        <f>IFERROR(__xludf.DUMMYFUNCTION("""COMPUTED_VALUE"""),"{""typ"":""lc"",""txt"":""LC_ITEM_tech_2025_city_cannon_name_14day""}")</f>
        <v>{"typ":"lc","txt":"LC_ITEM_tech_2025_city_cannon_name_14day"}</v>
      </c>
      <c r="K2551" s="148" t="str">
        <f>IFERROR(__xludf.DUMMYFUNCTION("""COMPUTED_VALUE"""),"{""typ"":""lc"",""txt"":""LC_ITEM_tech_2025_city_cannon_desc_14day""}")</f>
        <v>{"typ":"lc","txt":"LC_ITEM_tech_2025_city_cannon_desc_14day"}</v>
      </c>
      <c r="L2551" s="148" t="str">
        <f>IFERROR(__xludf.DUMMYFUNCTION("""COMPUTED_VALUE"""),"{""typ"":""lc"",""txt"":""LC_ASSET_suit_actived_tips_1""}")</f>
        <v>{"typ":"lc","txt":"LC_ASSET_suit_actived_tips_1"}</v>
      </c>
      <c r="M2551" s="148">
        <f>IFERROR(__xludf.DUMMYFUNCTION("""COMPUTED_VALUE"""),10000.0)</f>
        <v>10000</v>
      </c>
      <c r="N2551" s="148">
        <f>IFERROR(__xludf.DUMMYFUNCTION("""COMPUTED_VALUE"""),999.0)</f>
        <v>999</v>
      </c>
      <c r="O2551" s="148">
        <f>IFERROR(__xludf.DUMMYFUNCTION("""COMPUTED_VALUE"""),1.0)</f>
        <v>1</v>
      </c>
      <c r="P2551" s="148">
        <f>IFERROR(__xludf.DUMMYFUNCTION("""COMPUTED_VALUE"""),1.0)</f>
        <v>1</v>
      </c>
      <c r="Q2551" s="148" t="str">
        <f>IFERROR(__xludf.DUMMYFUNCTION("""COMPUTED_VALUE"""),"[""bag_other""]")</f>
        <v>["bag_other"]</v>
      </c>
      <c r="R2551" s="148" t="str">
        <f>IFERROR(__xludf.DUMMYFUNCTION("""COMPUTED_VALUE"""),"[""bag"",""13881002""]")</f>
        <v>["bag","13881002"]</v>
      </c>
      <c r="S2551" s="148" t="str">
        <f>IFERROR(__xludf.DUMMYFUNCTION("""COMPUTED_VALUE"""),"{""effect"":[{""typ"":""city_suit_decoration"",""id"":13881002,""val"":1209600000},{""typ"":""item"",""id"":11111021,""val"":7}]}")</f>
        <v>{"effect":[{"typ":"city_suit_decoration","id":13881002,"val":1209600000},{"typ":"item","id":11111021,"val":7}]}</v>
      </c>
      <c r="T2551" s="148">
        <f>IFERROR(__xludf.DUMMYFUNCTION("""COMPUTED_VALUE"""),-1.0)</f>
        <v>-1</v>
      </c>
      <c r="U2551" s="148">
        <f>IFERROR(__xludf.DUMMYFUNCTION("""COMPUTED_VALUE"""),0.0)</f>
        <v>0</v>
      </c>
      <c r="V2551" s="148" t="str">
        <f>IFERROR(__xludf.DUMMYFUNCTION("""COMPUTED_VALUE"""),"[]")</f>
        <v>[]</v>
      </c>
      <c r="W2551" s="148">
        <f>IFERROR(__xludf.DUMMYFUNCTION("""COMPUTED_VALUE"""),1.174E7)</f>
        <v>11740000</v>
      </c>
      <c r="X2551" s="148">
        <f>IFERROR(__xludf.DUMMYFUNCTION("""COMPUTED_VALUE"""),0.0)</f>
        <v>0</v>
      </c>
      <c r="Y2551" s="148">
        <f>IFERROR(__xludf.DUMMYFUNCTION("""COMPUTED_VALUE"""),0.0)</f>
        <v>0</v>
      </c>
      <c r="Z2551" s="148"/>
    </row>
    <row r="2552">
      <c r="A2552" s="148">
        <f>IFERROR(__xludf.DUMMYFUNCTION("""COMPUTED_VALUE"""),1.1119487E7)</f>
        <v>11119487</v>
      </c>
      <c r="B2552" s="148" t="str">
        <f>IFERROR(__xludf.DUMMYFUNCTION("""COMPUTED_VALUE"""),"主城特效-科技节2025-2天")</f>
        <v>主城特效-科技节2025-2天</v>
      </c>
      <c r="C2552" s="148"/>
      <c r="D2552" s="148" t="str">
        <f>IFERROR(__xludf.DUMMYFUNCTION("""COMPUTED_VALUE"""),"city_suit_decoration")</f>
        <v>city_suit_decoration</v>
      </c>
      <c r="E2552" s="148">
        <f>IFERROR(__xludf.DUMMYFUNCTION("""COMPUTED_VALUE"""),21.0)</f>
        <v>21</v>
      </c>
      <c r="F2552" s="148">
        <f>IFERROR(__xludf.DUMMYFUNCTION("""COMPUTED_VALUE"""),499988.0)</f>
        <v>499988</v>
      </c>
      <c r="G2552" s="148">
        <f>IFERROR(__xludf.DUMMYFUNCTION("""COMPUTED_VALUE"""),1.51101587E8)</f>
        <v>151101587</v>
      </c>
      <c r="H2552" s="148">
        <f>IFERROR(__xludf.DUMMYFUNCTION("""COMPUTED_VALUE"""),1.5112563E7)</f>
        <v>15112563</v>
      </c>
      <c r="I2552" s="148" t="str">
        <f>IFERROR(__xludf.DUMMYFUNCTION("""COMPUTED_VALUE"""),"{""typ"":""lc"",""txt"":""LC_ITEM_time_day_upper_show"",""args"":[{""typ"":""int"",""val"":2}]}")</f>
        <v>{"typ":"lc","txt":"LC_ITEM_time_day_upper_show","args":[{"typ":"int","val":2}]}</v>
      </c>
      <c r="J2552" s="148" t="str">
        <f>IFERROR(__xludf.DUMMYFUNCTION("""COMPUTED_VALUE"""),"{""typ"":""lc"",""txt"":""LC_ITEM_tech_2025_city_effect_name_2day""}")</f>
        <v>{"typ":"lc","txt":"LC_ITEM_tech_2025_city_effect_name_2day"}</v>
      </c>
      <c r="K2552" s="148" t="str">
        <f>IFERROR(__xludf.DUMMYFUNCTION("""COMPUTED_VALUE"""),"{""typ"":""lc"",""txt"":""LC_ITEM_tech_2025_city_cannon_desc_2day""}")</f>
        <v>{"typ":"lc","txt":"LC_ITEM_tech_2025_city_cannon_desc_2day"}</v>
      </c>
      <c r="L2552" s="148" t="str">
        <f>IFERROR(__xludf.DUMMYFUNCTION("""COMPUTED_VALUE"""),"{""typ"":""lc"",""txt"":""LC_ASSET_suit_actived_tips_1""}")</f>
        <v>{"typ":"lc","txt":"LC_ASSET_suit_actived_tips_1"}</v>
      </c>
      <c r="M2552" s="148">
        <f>IFERROR(__xludf.DUMMYFUNCTION("""COMPUTED_VALUE"""),500.0)</f>
        <v>500</v>
      </c>
      <c r="N2552" s="148">
        <f>IFERROR(__xludf.DUMMYFUNCTION("""COMPUTED_VALUE"""),999.0)</f>
        <v>999</v>
      </c>
      <c r="O2552" s="148">
        <f>IFERROR(__xludf.DUMMYFUNCTION("""COMPUTED_VALUE"""),1.0)</f>
        <v>1</v>
      </c>
      <c r="P2552" s="148">
        <f>IFERROR(__xludf.DUMMYFUNCTION("""COMPUTED_VALUE"""),1.0)</f>
        <v>1</v>
      </c>
      <c r="Q2552" s="148" t="str">
        <f>IFERROR(__xludf.DUMMYFUNCTION("""COMPUTED_VALUE"""),"[""bag_other""]")</f>
        <v>["bag_other"]</v>
      </c>
      <c r="R2552" s="148" t="str">
        <f>IFERROR(__xludf.DUMMYFUNCTION("""COMPUTED_VALUE"""),"[""bag"",""13881003""]")</f>
        <v>["bag","13881003"]</v>
      </c>
      <c r="S2552" s="148" t="str">
        <f>IFERROR(__xludf.DUMMYFUNCTION("""COMPUTED_VALUE"""),"{""effect"":[{""typ"":""city_suit_decoration"",""id"":13881003,""val"":172800000},{""typ"":""item"",""id"":11111021,""val"":1}]}")</f>
        <v>{"effect":[{"typ":"city_suit_decoration","id":13881003,"val":172800000},{"typ":"item","id":11111021,"val":1}]}</v>
      </c>
      <c r="T2552" s="148">
        <f>IFERROR(__xludf.DUMMYFUNCTION("""COMPUTED_VALUE"""),-1.0)</f>
        <v>-1</v>
      </c>
      <c r="U2552" s="148">
        <f>IFERROR(__xludf.DUMMYFUNCTION("""COMPUTED_VALUE"""),0.0)</f>
        <v>0</v>
      </c>
      <c r="V2552" s="148" t="str">
        <f>IFERROR(__xludf.DUMMYFUNCTION("""COMPUTED_VALUE"""),"[]")</f>
        <v>[]</v>
      </c>
      <c r="W2552" s="148">
        <f>IFERROR(__xludf.DUMMYFUNCTION("""COMPUTED_VALUE"""),1.174E7)</f>
        <v>11740000</v>
      </c>
      <c r="X2552" s="148">
        <f>IFERROR(__xludf.DUMMYFUNCTION("""COMPUTED_VALUE"""),0.0)</f>
        <v>0</v>
      </c>
      <c r="Y2552" s="148">
        <f>IFERROR(__xludf.DUMMYFUNCTION("""COMPUTED_VALUE"""),0.0)</f>
        <v>0</v>
      </c>
      <c r="Z2552" s="148"/>
    </row>
    <row r="2553">
      <c r="A2553" s="148">
        <f>IFERROR(__xludf.DUMMYFUNCTION("""COMPUTED_VALUE"""),1.1119488E7)</f>
        <v>11119488</v>
      </c>
      <c r="B2553" s="148" t="str">
        <f>IFERROR(__xludf.DUMMYFUNCTION("""COMPUTED_VALUE"""),"主城特效-科技节2025-7天")</f>
        <v>主城特效-科技节2025-7天</v>
      </c>
      <c r="C2553" s="148"/>
      <c r="D2553" s="148" t="str">
        <f>IFERROR(__xludf.DUMMYFUNCTION("""COMPUTED_VALUE"""),"city_suit_decoration")</f>
        <v>city_suit_decoration</v>
      </c>
      <c r="E2553" s="148">
        <f>IFERROR(__xludf.DUMMYFUNCTION("""COMPUTED_VALUE"""),21.0)</f>
        <v>21</v>
      </c>
      <c r="F2553" s="148">
        <f>IFERROR(__xludf.DUMMYFUNCTION("""COMPUTED_VALUE"""),499989.0)</f>
        <v>499989</v>
      </c>
      <c r="G2553" s="148">
        <f>IFERROR(__xludf.DUMMYFUNCTION("""COMPUTED_VALUE"""),1.51101587E8)</f>
        <v>151101587</v>
      </c>
      <c r="H2553" s="148">
        <f>IFERROR(__xludf.DUMMYFUNCTION("""COMPUTED_VALUE"""),1.5112564E7)</f>
        <v>15112564</v>
      </c>
      <c r="I2553" s="148" t="str">
        <f>IFERROR(__xludf.DUMMYFUNCTION("""COMPUTED_VALUE"""),"{""typ"":""lc"",""txt"":""LC_ITEM_time_day_upper_show"",""args"":[{""typ"":""int"",""val"":7}]}")</f>
        <v>{"typ":"lc","txt":"LC_ITEM_time_day_upper_show","args":[{"typ":"int","val":7}]}</v>
      </c>
      <c r="J2553" s="148" t="str">
        <f>IFERROR(__xludf.DUMMYFUNCTION("""COMPUTED_VALUE"""),"{""typ"":""lc"",""txt"":""LC_ITEM_tech_2025_city_effect_name_7day""}")</f>
        <v>{"typ":"lc","txt":"LC_ITEM_tech_2025_city_effect_name_7day"}</v>
      </c>
      <c r="K2553" s="148" t="str">
        <f>IFERROR(__xludf.DUMMYFUNCTION("""COMPUTED_VALUE"""),"{""typ"":""lc"",""txt"":""LC_ITEM_tech_2025_city_cannon_desc_7day""}")</f>
        <v>{"typ":"lc","txt":"LC_ITEM_tech_2025_city_cannon_desc_7day"}</v>
      </c>
      <c r="L2553" s="148" t="str">
        <f>IFERROR(__xludf.DUMMYFUNCTION("""COMPUTED_VALUE"""),"{""typ"":""lc"",""txt"":""LC_ASSET_suit_actived_tips_1""}")</f>
        <v>{"typ":"lc","txt":"LC_ASSET_suit_actived_tips_1"}</v>
      </c>
      <c r="M2553" s="148">
        <f>IFERROR(__xludf.DUMMYFUNCTION("""COMPUTED_VALUE"""),10000.0)</f>
        <v>10000</v>
      </c>
      <c r="N2553" s="148">
        <f>IFERROR(__xludf.DUMMYFUNCTION("""COMPUTED_VALUE"""),999.0)</f>
        <v>999</v>
      </c>
      <c r="O2553" s="148">
        <f>IFERROR(__xludf.DUMMYFUNCTION("""COMPUTED_VALUE"""),1.0)</f>
        <v>1</v>
      </c>
      <c r="P2553" s="148">
        <f>IFERROR(__xludf.DUMMYFUNCTION("""COMPUTED_VALUE"""),1.0)</f>
        <v>1</v>
      </c>
      <c r="Q2553" s="148" t="str">
        <f>IFERROR(__xludf.DUMMYFUNCTION("""COMPUTED_VALUE"""),"[""bag_other""]")</f>
        <v>["bag_other"]</v>
      </c>
      <c r="R2553" s="148" t="str">
        <f>IFERROR(__xludf.DUMMYFUNCTION("""COMPUTED_VALUE"""),"[""bag"",""13881003""]")</f>
        <v>["bag","13881003"]</v>
      </c>
      <c r="S2553" s="148" t="str">
        <f>IFERROR(__xludf.DUMMYFUNCTION("""COMPUTED_VALUE"""),"{""effect"":[{""typ"":""city_suit_decoration"",""id"":13881003,""val"":604800000},{""typ"":""item"",""id"":11111021,""val"":3}]}")</f>
        <v>{"effect":[{"typ":"city_suit_decoration","id":13881003,"val":604800000},{"typ":"item","id":11111021,"val":3}]}</v>
      </c>
      <c r="T2553" s="148">
        <f>IFERROR(__xludf.DUMMYFUNCTION("""COMPUTED_VALUE"""),-1.0)</f>
        <v>-1</v>
      </c>
      <c r="U2553" s="148">
        <f>IFERROR(__xludf.DUMMYFUNCTION("""COMPUTED_VALUE"""),0.0)</f>
        <v>0</v>
      </c>
      <c r="V2553" s="148" t="str">
        <f>IFERROR(__xludf.DUMMYFUNCTION("""COMPUTED_VALUE"""),"[]")</f>
        <v>[]</v>
      </c>
      <c r="W2553" s="148">
        <f>IFERROR(__xludf.DUMMYFUNCTION("""COMPUTED_VALUE"""),1.174E7)</f>
        <v>11740000</v>
      </c>
      <c r="X2553" s="148">
        <f>IFERROR(__xludf.DUMMYFUNCTION("""COMPUTED_VALUE"""),0.0)</f>
        <v>0</v>
      </c>
      <c r="Y2553" s="148">
        <f>IFERROR(__xludf.DUMMYFUNCTION("""COMPUTED_VALUE"""),0.0)</f>
        <v>0</v>
      </c>
      <c r="Z2553" s="148"/>
    </row>
    <row r="2554">
      <c r="A2554" s="148">
        <f>IFERROR(__xludf.DUMMYFUNCTION("""COMPUTED_VALUE"""),1.1119489E7)</f>
        <v>11119489</v>
      </c>
      <c r="B2554" s="148" t="str">
        <f>IFERROR(__xludf.DUMMYFUNCTION("""COMPUTED_VALUE"""),"主城特效-科技节2025-14天")</f>
        <v>主城特效-科技节2025-14天</v>
      </c>
      <c r="C2554" s="148"/>
      <c r="D2554" s="148" t="str">
        <f>IFERROR(__xludf.DUMMYFUNCTION("""COMPUTED_VALUE"""),"city_suit_decoration")</f>
        <v>city_suit_decoration</v>
      </c>
      <c r="E2554" s="148">
        <f>IFERROR(__xludf.DUMMYFUNCTION("""COMPUTED_VALUE"""),21.0)</f>
        <v>21</v>
      </c>
      <c r="F2554" s="148">
        <f>IFERROR(__xludf.DUMMYFUNCTION("""COMPUTED_VALUE"""),499990.0)</f>
        <v>499990</v>
      </c>
      <c r="G2554" s="148">
        <f>IFERROR(__xludf.DUMMYFUNCTION("""COMPUTED_VALUE"""),1.51101587E8)</f>
        <v>151101587</v>
      </c>
      <c r="H2554" s="148">
        <f>IFERROR(__xludf.DUMMYFUNCTION("""COMPUTED_VALUE"""),1.5112564E7)</f>
        <v>15112564</v>
      </c>
      <c r="I2554" s="148" t="str">
        <f>IFERROR(__xludf.DUMMYFUNCTION("""COMPUTED_VALUE"""),"{""typ"":""lc"",""txt"":""LC_ITEM_time_day_upper_show"",""args"":[{""typ"":""int"",""val"":14}]}")</f>
        <v>{"typ":"lc","txt":"LC_ITEM_time_day_upper_show","args":[{"typ":"int","val":14}]}</v>
      </c>
      <c r="J2554" s="148" t="str">
        <f>IFERROR(__xludf.DUMMYFUNCTION("""COMPUTED_VALUE"""),"{""typ"":""lc"",""txt"":""LC_ITEM_tech_2025_city_effect_name_14day""}")</f>
        <v>{"typ":"lc","txt":"LC_ITEM_tech_2025_city_effect_name_14day"}</v>
      </c>
      <c r="K2554" s="148" t="str">
        <f>IFERROR(__xludf.DUMMYFUNCTION("""COMPUTED_VALUE"""),"{""typ"":""lc"",""txt"":""LC_ITEM_tech_2025_city_cannon_desc_14day""}")</f>
        <v>{"typ":"lc","txt":"LC_ITEM_tech_2025_city_cannon_desc_14day"}</v>
      </c>
      <c r="L2554" s="148" t="str">
        <f>IFERROR(__xludf.DUMMYFUNCTION("""COMPUTED_VALUE"""),"{""typ"":""lc"",""txt"":""LC_ASSET_suit_actived_tips_1""}")</f>
        <v>{"typ":"lc","txt":"LC_ASSET_suit_actived_tips_1"}</v>
      </c>
      <c r="M2554" s="148">
        <f>IFERROR(__xludf.DUMMYFUNCTION("""COMPUTED_VALUE"""),10000.0)</f>
        <v>10000</v>
      </c>
      <c r="N2554" s="148">
        <f>IFERROR(__xludf.DUMMYFUNCTION("""COMPUTED_VALUE"""),999.0)</f>
        <v>999</v>
      </c>
      <c r="O2554" s="148">
        <f>IFERROR(__xludf.DUMMYFUNCTION("""COMPUTED_VALUE"""),1.0)</f>
        <v>1</v>
      </c>
      <c r="P2554" s="148">
        <f>IFERROR(__xludf.DUMMYFUNCTION("""COMPUTED_VALUE"""),1.0)</f>
        <v>1</v>
      </c>
      <c r="Q2554" s="148" t="str">
        <f>IFERROR(__xludf.DUMMYFUNCTION("""COMPUTED_VALUE"""),"[""bag_other""]")</f>
        <v>["bag_other"]</v>
      </c>
      <c r="R2554" s="148" t="str">
        <f>IFERROR(__xludf.DUMMYFUNCTION("""COMPUTED_VALUE"""),"[""bag"",""13881003""]")</f>
        <v>["bag","13881003"]</v>
      </c>
      <c r="S2554" s="148" t="str">
        <f>IFERROR(__xludf.DUMMYFUNCTION("""COMPUTED_VALUE"""),"{""effect"":[{""typ"":""city_suit_decoration"",""id"":13881003,""val"":1209600000},{""typ"":""item"",""id"":11111021,""val"":7}]}")</f>
        <v>{"effect":[{"typ":"city_suit_decoration","id":13881003,"val":1209600000},{"typ":"item","id":11111021,"val":7}]}</v>
      </c>
      <c r="T2554" s="148">
        <f>IFERROR(__xludf.DUMMYFUNCTION("""COMPUTED_VALUE"""),-1.0)</f>
        <v>-1</v>
      </c>
      <c r="U2554" s="148">
        <f>IFERROR(__xludf.DUMMYFUNCTION("""COMPUTED_VALUE"""),0.0)</f>
        <v>0</v>
      </c>
      <c r="V2554" s="148" t="str">
        <f>IFERROR(__xludf.DUMMYFUNCTION("""COMPUTED_VALUE"""),"[]")</f>
        <v>[]</v>
      </c>
      <c r="W2554" s="148">
        <f>IFERROR(__xludf.DUMMYFUNCTION("""COMPUTED_VALUE"""),1.174E7)</f>
        <v>11740000</v>
      </c>
      <c r="X2554" s="148">
        <f>IFERROR(__xludf.DUMMYFUNCTION("""COMPUTED_VALUE"""),0.0)</f>
        <v>0</v>
      </c>
      <c r="Y2554" s="148">
        <f>IFERROR(__xludf.DUMMYFUNCTION("""COMPUTED_VALUE"""),0.0)</f>
        <v>0</v>
      </c>
      <c r="Z2554" s="148"/>
    </row>
    <row r="2555">
      <c r="A2555" s="148">
        <f>IFERROR(__xludf.DUMMYFUNCTION("""COMPUTED_VALUE"""),1.111949E7)</f>
        <v>11119490</v>
      </c>
      <c r="B2555" s="148" t="str">
        <f>IFERROR(__xludf.DUMMYFUNCTION("""COMPUTED_VALUE"""),"主城皮肤-科技节高级皮肤2025-28天")</f>
        <v>主城皮肤-科技节高级皮肤2025-28天</v>
      </c>
      <c r="C2555" s="148"/>
      <c r="D2555" s="148" t="str">
        <f>IFERROR(__xludf.DUMMYFUNCTION("""COMPUTED_VALUE"""),"city_skin")</f>
        <v>city_skin</v>
      </c>
      <c r="E2555" s="148">
        <f>IFERROR(__xludf.DUMMYFUNCTION("""COMPUTED_VALUE"""),21.0)</f>
        <v>21</v>
      </c>
      <c r="F2555" s="148">
        <f>IFERROR(__xludf.DUMMYFUNCTION("""COMPUTED_VALUE"""),499995.0)</f>
        <v>499995</v>
      </c>
      <c r="G2555" s="148">
        <f>IFERROR(__xludf.DUMMYFUNCTION("""COMPUTED_VALUE"""),1.51101416E8)</f>
        <v>151101416</v>
      </c>
      <c r="H2555" s="148">
        <f>IFERROR(__xludf.DUMMYFUNCTION("""COMPUTED_VALUE"""),1.5112564E7)</f>
        <v>15112564</v>
      </c>
      <c r="I2555" s="148" t="str">
        <f>IFERROR(__xludf.DUMMYFUNCTION("""COMPUTED_VALUE"""),"{""typ"":""lc"",""txt"":""LC_ITEM_time_day_upper_show"",""args"":[{""typ"":""int"",""val"":28}]}")</f>
        <v>{"typ":"lc","txt":"LC_ITEM_time_day_upper_show","args":[{"typ":"int","val":28}]}</v>
      </c>
      <c r="J2555" s="148" t="str">
        <f>IFERROR(__xludf.DUMMYFUNCTION("""COMPUTED_VALUE"""),"{""typ"":""lc"",""txt"":""LC_ITEM_tech_2025_city_2_name_28day""}")</f>
        <v>{"typ":"lc","txt":"LC_ITEM_tech_2025_city_2_name_28day"}</v>
      </c>
      <c r="K2555" s="148" t="str">
        <f>IFERROR(__xludf.DUMMYFUNCTION("""COMPUTED_VALUE"""),"{""typ"":""lc"",""txt"":""LC_ITEM_tech_2025_city_2_desc_28day""}")</f>
        <v>{"typ":"lc","txt":"LC_ITEM_tech_2025_city_2_desc_28day"}</v>
      </c>
      <c r="L2555" s="148" t="str">
        <f>IFERROR(__xludf.DUMMYFUNCTION("""COMPUTED_VALUE"""),"{""typ"":""lc"",""txt"":""LC_ASSET_suit_actived_tips_1""}")</f>
        <v>{"typ":"lc","txt":"LC_ASSET_suit_actived_tips_1"}</v>
      </c>
      <c r="M2555" s="148">
        <f>IFERROR(__xludf.DUMMYFUNCTION("""COMPUTED_VALUE"""),10000.0)</f>
        <v>10000</v>
      </c>
      <c r="N2555" s="148">
        <f>IFERROR(__xludf.DUMMYFUNCTION("""COMPUTED_VALUE"""),999.0)</f>
        <v>999</v>
      </c>
      <c r="O2555" s="148">
        <f>IFERROR(__xludf.DUMMYFUNCTION("""COMPUTED_VALUE"""),1.0)</f>
        <v>1</v>
      </c>
      <c r="P2555" s="148">
        <f>IFERROR(__xludf.DUMMYFUNCTION("""COMPUTED_VALUE"""),1.0)</f>
        <v>1</v>
      </c>
      <c r="Q2555" s="148" t="str">
        <f>IFERROR(__xludf.DUMMYFUNCTION("""COMPUTED_VALUE"""),"[""bag_other""]")</f>
        <v>["bag_other"]</v>
      </c>
      <c r="R2555" s="148" t="str">
        <f>IFERROR(__xludf.DUMMYFUNCTION("""COMPUTED_VALUE"""),"[""bag"",""13121064""]")</f>
        <v>["bag","13121064"]</v>
      </c>
      <c r="S2555" s="148" t="str">
        <f>IFERROR(__xludf.DUMMYFUNCTION("""COMPUTED_VALUE"""),"{""effect"":[{""typ"":""city_skin"",""id"":13121064,""val"":2419200000},{""typ"":""item"",""id"":11111021,""val"":15}]}")</f>
        <v>{"effect":[{"typ":"city_skin","id":13121064,"val":2419200000},{"typ":"item","id":11111021,"val":15}]}</v>
      </c>
      <c r="T2555" s="148">
        <f>IFERROR(__xludf.DUMMYFUNCTION("""COMPUTED_VALUE"""),-1.0)</f>
        <v>-1</v>
      </c>
      <c r="U2555" s="148">
        <f>IFERROR(__xludf.DUMMYFUNCTION("""COMPUTED_VALUE"""),0.0)</f>
        <v>0</v>
      </c>
      <c r="V2555" s="148" t="str">
        <f>IFERROR(__xludf.DUMMYFUNCTION("""COMPUTED_VALUE"""),"[]")</f>
        <v>[]</v>
      </c>
      <c r="W2555" s="148">
        <f>IFERROR(__xludf.DUMMYFUNCTION("""COMPUTED_VALUE"""),1.174E7)</f>
        <v>11740000</v>
      </c>
      <c r="X2555" s="148">
        <f>IFERROR(__xludf.DUMMYFUNCTION("""COMPUTED_VALUE"""),0.0)</f>
        <v>0</v>
      </c>
      <c r="Y2555" s="148">
        <f>IFERROR(__xludf.DUMMYFUNCTION("""COMPUTED_VALUE"""),0.0)</f>
        <v>0</v>
      </c>
      <c r="Z2555" s="148"/>
    </row>
    <row r="2556">
      <c r="A2556" s="148">
        <f>IFERROR(__xludf.DUMMYFUNCTION("""COMPUTED_VALUE"""),1.1119501E7)</f>
        <v>11119501</v>
      </c>
      <c r="B2556" s="148" t="str">
        <f>IFERROR(__xludf.DUMMYFUNCTION("""COMPUTED_VALUE"""),"新前期-领主等级提升道具")</f>
        <v>新前期-领主等级提升道具</v>
      </c>
      <c r="C2556" s="148"/>
      <c r="D2556" s="148" t="str">
        <f>IFERROR(__xludf.DUMMYFUNCTION("""COMPUTED_VALUE"""),"item_asset")</f>
        <v>item_asset</v>
      </c>
      <c r="E2556" s="148">
        <f>IFERROR(__xludf.DUMMYFUNCTION("""COMPUTED_VALUE"""),0.0)</f>
        <v>0</v>
      </c>
      <c r="F2556" s="148">
        <f>IFERROR(__xludf.DUMMYFUNCTION("""COMPUTED_VALUE"""),0.0)</f>
        <v>0</v>
      </c>
      <c r="G2556" s="148">
        <f>IFERROR(__xludf.DUMMYFUNCTION("""COMPUTED_VALUE"""),1.51100954E8)</f>
        <v>151100954</v>
      </c>
      <c r="H2556" s="148">
        <f>IFERROR(__xludf.DUMMYFUNCTION("""COMPUTED_VALUE"""),1.5112564E7)</f>
        <v>15112564</v>
      </c>
      <c r="I2556" s="148" t="str">
        <f>IFERROR(__xludf.DUMMYFUNCTION("""COMPUTED_VALUE"""),"{}")</f>
        <v>{}</v>
      </c>
      <c r="J2556" s="148" t="str">
        <f>IFERROR(__xludf.DUMMYFUNCTION("""COMPUTED_VALUE"""),"{""typ"":""lc"",""txt"":""LC_STORY_city_territory_function_2""}")</f>
        <v>{"typ":"lc","txt":"LC_STORY_city_territory_function_2"}</v>
      </c>
      <c r="K2556" s="148" t="str">
        <f>IFERROR(__xludf.DUMMYFUNCTION("""COMPUTED_VALUE"""),"{""typ"":""lc"",""txt"":""LC_STORY_ct_lord_level_tip4""}")</f>
        <v>{"typ":"lc","txt":"LC_STORY_ct_lord_level_tip4"}</v>
      </c>
      <c r="L2556" s="148" t="str">
        <f>IFERROR(__xludf.DUMMYFUNCTION("""COMPUTED_VALUE"""),"{}")</f>
        <v>{}</v>
      </c>
      <c r="M2556" s="148">
        <f>IFERROR(__xludf.DUMMYFUNCTION("""COMPUTED_VALUE"""),1.0)</f>
        <v>1</v>
      </c>
      <c r="N2556" s="148">
        <f>IFERROR(__xludf.DUMMYFUNCTION("""COMPUTED_VALUE"""),999999.0)</f>
        <v>999999</v>
      </c>
      <c r="O2556" s="148">
        <f>IFERROR(__xludf.DUMMYFUNCTION("""COMPUTED_VALUE"""),99999.0)</f>
        <v>99999</v>
      </c>
      <c r="P2556" s="148">
        <f>IFERROR(__xludf.DUMMYFUNCTION("""COMPUTED_VALUE"""),99999.0)</f>
        <v>99999</v>
      </c>
      <c r="Q2556" s="148" t="str">
        <f>IFERROR(__xludf.DUMMYFUNCTION("""COMPUTED_VALUE"""),"[""bag_other""]")</f>
        <v>["bag_other"]</v>
      </c>
      <c r="R2556" s="148" t="str">
        <f>IFERROR(__xludf.DUMMYFUNCTION("""COMPUTED_VALUE"""),"[]")</f>
        <v>[]</v>
      </c>
      <c r="S2556" s="148" t="str">
        <f>IFERROR(__xludf.DUMMYFUNCTION("""COMPUTED_VALUE"""),"{}")</f>
        <v>{}</v>
      </c>
      <c r="T2556" s="148">
        <f>IFERROR(__xludf.DUMMYFUNCTION("""COMPUTED_VALUE"""),-1.0)</f>
        <v>-1</v>
      </c>
      <c r="U2556" s="148">
        <f>IFERROR(__xludf.DUMMYFUNCTION("""COMPUTED_VALUE"""),0.0)</f>
        <v>0</v>
      </c>
      <c r="V2556" s="148" t="str">
        <f>IFERROR(__xludf.DUMMYFUNCTION("""COMPUTED_VALUE"""),"[]")</f>
        <v>[]</v>
      </c>
      <c r="W2556" s="148">
        <f>IFERROR(__xludf.DUMMYFUNCTION("""COMPUTED_VALUE"""),1.174E7)</f>
        <v>11740000</v>
      </c>
      <c r="X2556" s="148">
        <f>IFERROR(__xludf.DUMMYFUNCTION("""COMPUTED_VALUE"""),0.0)</f>
        <v>0</v>
      </c>
      <c r="Y2556" s="148">
        <f>IFERROR(__xludf.DUMMYFUNCTION("""COMPUTED_VALUE"""),0.0)</f>
        <v>0</v>
      </c>
      <c r="Z2556" s="148"/>
    </row>
    <row r="2557">
      <c r="A2557" s="148">
        <f>IFERROR(__xludf.DUMMYFUNCTION("""COMPUTED_VALUE"""),1.1119502E7)</f>
        <v>11119502</v>
      </c>
      <c r="B2557" s="148" t="str">
        <f>IFERROR(__xludf.DUMMYFUNCTION("""COMPUTED_VALUE"""),"KVK5-个人图腾升星道具")</f>
        <v>KVK5-个人图腾升星道具</v>
      </c>
      <c r="C2557" s="148"/>
      <c r="D2557" s="148" t="str">
        <f>IFERROR(__xludf.DUMMYFUNCTION("""COMPUTED_VALUE"""),"collection_unit_universal")</f>
        <v>collection_unit_universal</v>
      </c>
      <c r="E2557" s="148">
        <f>IFERROR(__xludf.DUMMYFUNCTION("""COMPUTED_VALUE"""),0.0)</f>
        <v>0</v>
      </c>
      <c r="F2557" s="148">
        <f>IFERROR(__xludf.DUMMYFUNCTION("""COMPUTED_VALUE"""),414101.0)</f>
        <v>414101</v>
      </c>
      <c r="G2557" s="148">
        <f>IFERROR(__xludf.DUMMYFUNCTION("""COMPUTED_VALUE"""),1.51100916E8)</f>
        <v>151100916</v>
      </c>
      <c r="H2557" s="148">
        <f>IFERROR(__xludf.DUMMYFUNCTION("""COMPUTED_VALUE"""),1.5112564E7)</f>
        <v>15112564</v>
      </c>
      <c r="I2557" s="148" t="str">
        <f>IFERROR(__xludf.DUMMYFUNCTION("""COMPUTED_VALUE"""),"{}")</f>
        <v>{}</v>
      </c>
      <c r="J2557" s="148" t="str">
        <f>IFERROR(__xludf.DUMMYFUNCTION("""COMPUTED_VALUE"""),"{""typ"":""lc"",""txt"":""LC_KVK_kvk5_ancollection_update_item_name""}")</f>
        <v>{"typ":"lc","txt":"LC_KVK_kvk5_ancollection_update_item_name"}</v>
      </c>
      <c r="K2557" s="148" t="str">
        <f>IFERROR(__xludf.DUMMYFUNCTION("""COMPUTED_VALUE"""),"{""typ"":""lc"",""txt"":""LC_KVK_kvk5_ancollection_update_item_desc""}")</f>
        <v>{"typ":"lc","txt":"LC_KVK_kvk5_ancollection_update_item_desc"}</v>
      </c>
      <c r="L2557" s="148" t="str">
        <f>IFERROR(__xludf.DUMMYFUNCTION("""COMPUTED_VALUE"""),"{}")</f>
        <v>{}</v>
      </c>
      <c r="M2557" s="148">
        <f>IFERROR(__xludf.DUMMYFUNCTION("""COMPUTED_VALUE"""),250.0)</f>
        <v>250</v>
      </c>
      <c r="N2557" s="148">
        <f>IFERROR(__xludf.DUMMYFUNCTION("""COMPUTED_VALUE"""),9999999.0)</f>
        <v>9999999</v>
      </c>
      <c r="O2557" s="148">
        <f>IFERROR(__xludf.DUMMYFUNCTION("""COMPUTED_VALUE"""),99999.0)</f>
        <v>99999</v>
      </c>
      <c r="P2557" s="148">
        <f>IFERROR(__xludf.DUMMYFUNCTION("""COMPUTED_VALUE"""),99999.0)</f>
        <v>99999</v>
      </c>
      <c r="Q2557" s="148" t="str">
        <f>IFERROR(__xludf.DUMMYFUNCTION("""COMPUTED_VALUE"""),"[""bag_other""]")</f>
        <v>["bag_other"]</v>
      </c>
      <c r="R2557" s="148" t="str">
        <f>IFERROR(__xludf.DUMMYFUNCTION("""COMPUTED_VALUE"""),"[]")</f>
        <v>[]</v>
      </c>
      <c r="S2557" s="148" t="str">
        <f>IFERROR(__xludf.DUMMYFUNCTION("""COMPUTED_VALUE"""),"{}")</f>
        <v>{}</v>
      </c>
      <c r="T2557" s="148">
        <f>IFERROR(__xludf.DUMMYFUNCTION("""COMPUTED_VALUE"""),-1.0)</f>
        <v>-1</v>
      </c>
      <c r="U2557" s="148">
        <f>IFERROR(__xludf.DUMMYFUNCTION("""COMPUTED_VALUE"""),0.0)</f>
        <v>0</v>
      </c>
      <c r="V2557" s="148" t="str">
        <f>IFERROR(__xludf.DUMMYFUNCTION("""COMPUTED_VALUE"""),"[]")</f>
        <v>[]</v>
      </c>
      <c r="W2557" s="148">
        <f>IFERROR(__xludf.DUMMYFUNCTION("""COMPUTED_VALUE"""),1.1741002E7)</f>
        <v>11741002</v>
      </c>
      <c r="X2557" s="148">
        <f>IFERROR(__xludf.DUMMYFUNCTION("""COMPUTED_VALUE"""),1.1684501E7)</f>
        <v>11684501</v>
      </c>
      <c r="Y2557" s="148">
        <f>IFERROR(__xludf.DUMMYFUNCTION("""COMPUTED_VALUE"""),0.0)</f>
        <v>0</v>
      </c>
      <c r="Z2557" s="148"/>
    </row>
    <row r="2558">
      <c r="A2558" s="148">
        <f>IFERROR(__xludf.DUMMYFUNCTION("""COMPUTED_VALUE"""),1.1119503E7)</f>
        <v>11119503</v>
      </c>
      <c r="B2558" s="148" t="str">
        <f>IFERROR(__xludf.DUMMYFUNCTION("""COMPUTED_VALUE"""),"KVK5_军团捐献道具_军团巨像")</f>
        <v>KVK5_军团捐献道具_军团巨像</v>
      </c>
      <c r="C2558" s="148"/>
      <c r="D2558" s="148" t="str">
        <f>IFERROR(__xludf.DUMMYFUNCTION("""COMPUTED_VALUE"""),"item_horde")</f>
        <v>item_horde</v>
      </c>
      <c r="E2558" s="148">
        <f>IFERROR(__xludf.DUMMYFUNCTION("""COMPUTED_VALUE"""),0.0)</f>
        <v>0</v>
      </c>
      <c r="F2558" s="148">
        <f>IFERROR(__xludf.DUMMYFUNCTION("""COMPUTED_VALUE"""),415205.0)</f>
        <v>415205</v>
      </c>
      <c r="G2558" s="148">
        <f>IFERROR(__xludf.DUMMYFUNCTION("""COMPUTED_VALUE"""),1.51101019E8)</f>
        <v>151101019</v>
      </c>
      <c r="H2558" s="148">
        <f>IFERROR(__xludf.DUMMYFUNCTION("""COMPUTED_VALUE"""),1.5112563E7)</f>
        <v>15112563</v>
      </c>
      <c r="I2558" s="148" t="str">
        <f>IFERROR(__xludf.DUMMYFUNCTION("""COMPUTED_VALUE"""),"{}")</f>
        <v>{}</v>
      </c>
      <c r="J2558" s="148" t="str">
        <f>IFERROR(__xludf.DUMMYFUNCTION("""COMPUTED_VALUE"""),"{""typ"":""lc"",""txt"":""LC_KVK_kvk5_colossus_ui_tips45""}")</f>
        <v>{"typ":"lc","txt":"LC_KVK_kvk5_colossus_ui_tips45"}</v>
      </c>
      <c r="K2558" s="148" t="str">
        <f>IFERROR(__xludf.DUMMYFUNCTION("""COMPUTED_VALUE"""),"{""typ"":""lc"",""txt"":""LC_KVK_kvk5_colossus_ui_tips46""}")</f>
        <v>{"typ":"lc","txt":"LC_KVK_kvk5_colossus_ui_tips46"}</v>
      </c>
      <c r="L2558" s="148" t="str">
        <f>IFERROR(__xludf.DUMMYFUNCTION("""COMPUTED_VALUE"""),"{}")</f>
        <v>{}</v>
      </c>
      <c r="M2558" s="148">
        <f>IFERROR(__xludf.DUMMYFUNCTION("""COMPUTED_VALUE"""),50.0)</f>
        <v>50</v>
      </c>
      <c r="N2558" s="148">
        <f>IFERROR(__xludf.DUMMYFUNCTION("""COMPUTED_VALUE"""),9999999.0)</f>
        <v>9999999</v>
      </c>
      <c r="O2558" s="148">
        <f>IFERROR(__xludf.DUMMYFUNCTION("""COMPUTED_VALUE"""),99999.0)</f>
        <v>99999</v>
      </c>
      <c r="P2558" s="148">
        <f>IFERROR(__xludf.DUMMYFUNCTION("""COMPUTED_VALUE"""),99999.0)</f>
        <v>99999</v>
      </c>
      <c r="Q2558" s="148" t="str">
        <f>IFERROR(__xludf.DUMMYFUNCTION("""COMPUTED_VALUE"""),"[""bag_other""]")</f>
        <v>["bag_other"]</v>
      </c>
      <c r="R2558" s="148" t="str">
        <f>IFERROR(__xludf.DUMMYFUNCTION("""COMPUTED_VALUE"""),"[""horde_donate""]")</f>
        <v>["horde_donate"]</v>
      </c>
      <c r="S2558" s="148" t="str">
        <f>IFERROR(__xludf.DUMMYFUNCTION("""COMPUTED_VALUE"""),"{}")</f>
        <v>{}</v>
      </c>
      <c r="T2558" s="148">
        <f>IFERROR(__xludf.DUMMYFUNCTION("""COMPUTED_VALUE"""),-1.0)</f>
        <v>-1</v>
      </c>
      <c r="U2558" s="148">
        <f>IFERROR(__xludf.DUMMYFUNCTION("""COMPUTED_VALUE"""),0.0)</f>
        <v>0</v>
      </c>
      <c r="V2558" s="148" t="str">
        <f>IFERROR(__xludf.DUMMYFUNCTION("""COMPUTED_VALUE"""),"[]")</f>
        <v>[]</v>
      </c>
      <c r="W2558" s="148">
        <f>IFERROR(__xludf.DUMMYFUNCTION("""COMPUTED_VALUE"""),1.174E7)</f>
        <v>11740000</v>
      </c>
      <c r="X2558" s="148">
        <f>IFERROR(__xludf.DUMMYFUNCTION("""COMPUTED_VALUE"""),0.0)</f>
        <v>0</v>
      </c>
      <c r="Y2558" s="148">
        <f>IFERROR(__xludf.DUMMYFUNCTION("""COMPUTED_VALUE"""),0.0)</f>
        <v>0</v>
      </c>
      <c r="Z2558" s="148"/>
    </row>
    <row r="2559">
      <c r="A2559" s="148">
        <f>IFERROR(__xludf.DUMMYFUNCTION("""COMPUTED_VALUE"""),1.1119504E7)</f>
        <v>11119504</v>
      </c>
      <c r="B2559" s="148" t="str">
        <f>IFERROR(__xludf.DUMMYFUNCTION("""COMPUTED_VALUE"""),"主城皮肤-kvk5")</f>
        <v>主城皮肤-kvk5</v>
      </c>
      <c r="C2559" s="148"/>
      <c r="D2559" s="148" t="str">
        <f>IFERROR(__xludf.DUMMYFUNCTION("""COMPUTED_VALUE"""),"city_skin")</f>
        <v>city_skin</v>
      </c>
      <c r="E2559" s="148">
        <f>IFERROR(__xludf.DUMMYFUNCTION("""COMPUTED_VALUE"""),21.0)</f>
        <v>21</v>
      </c>
      <c r="F2559" s="148">
        <f>IFERROR(__xludf.DUMMYFUNCTION("""COMPUTED_VALUE"""),400105.0)</f>
        <v>400105</v>
      </c>
      <c r="G2559" s="148">
        <f>IFERROR(__xludf.DUMMYFUNCTION("""COMPUTED_VALUE"""),1.51101284E8)</f>
        <v>151101284</v>
      </c>
      <c r="H2559" s="148">
        <f>IFERROR(__xludf.DUMMYFUNCTION("""COMPUTED_VALUE"""),1.5112564E7)</f>
        <v>15112564</v>
      </c>
      <c r="I2559" s="148" t="str">
        <f>IFERROR(__xludf.DUMMYFUNCTION("""COMPUTED_VALUE"""),"{}")</f>
        <v>{}</v>
      </c>
      <c r="J2559" s="148" t="str">
        <f>IFERROR(__xludf.DUMMYFUNCTION("""COMPUTED_VALUE"""),"{""typ"":""lc"",""txt"":""LC_KVK_kvk5_cityskin_name""}")</f>
        <v>{"typ":"lc","txt":"LC_KVK_kvk5_cityskin_name"}</v>
      </c>
      <c r="K2559" s="148" t="str">
        <f>IFERROR(__xludf.DUMMYFUNCTION("""COMPUTED_VALUE"""),"{""typ"":""lc"",""txt"":""LC_KVK_kvk5_cityskin_desc""}")</f>
        <v>{"typ":"lc","txt":"LC_KVK_kvk5_cityskin_desc"}</v>
      </c>
      <c r="L2559" s="148" t="str">
        <f>IFERROR(__xludf.DUMMYFUNCTION("""COMPUTED_VALUE"""),"{""typ"":""lc"",""txt"":""LC_ITEM_city_skin_rocket_use_tips""}")</f>
        <v>{"typ":"lc","txt":"LC_ITEM_city_skin_rocket_use_tips"}</v>
      </c>
      <c r="M2559" s="148">
        <f>IFERROR(__xludf.DUMMYFUNCTION("""COMPUTED_VALUE"""),10000.0)</f>
        <v>10000</v>
      </c>
      <c r="N2559" s="148">
        <f>IFERROR(__xludf.DUMMYFUNCTION("""COMPUTED_VALUE"""),999.0)</f>
        <v>999</v>
      </c>
      <c r="O2559" s="148">
        <f>IFERROR(__xludf.DUMMYFUNCTION("""COMPUTED_VALUE"""),1.0)</f>
        <v>1</v>
      </c>
      <c r="P2559" s="148">
        <f>IFERROR(__xludf.DUMMYFUNCTION("""COMPUTED_VALUE"""),1.0)</f>
        <v>1</v>
      </c>
      <c r="Q2559" s="148" t="str">
        <f>IFERROR(__xludf.DUMMYFUNCTION("""COMPUTED_VALUE"""),"[""bag_other""]")</f>
        <v>["bag_other"]</v>
      </c>
      <c r="R2559" s="148" t="str">
        <f>IFERROR(__xludf.DUMMYFUNCTION("""COMPUTED_VALUE"""),"[""bag"",""13121070""]")</f>
        <v>["bag","13121070"]</v>
      </c>
      <c r="S2559" s="148" t="str">
        <f>IFERROR(__xludf.DUMMYFUNCTION("""COMPUTED_VALUE"""),"{""effect"":[{""typ"":""city_skin"",""id"":13121070,""val"":-1},{""typ"":""item"",""id"":11111034,""val"":10}]}")</f>
        <v>{"effect":[{"typ":"city_skin","id":13121070,"val":-1},{"typ":"item","id":11111034,"val":10}]}</v>
      </c>
      <c r="T2559" s="148">
        <f>IFERROR(__xludf.DUMMYFUNCTION("""COMPUTED_VALUE"""),-1.0)</f>
        <v>-1</v>
      </c>
      <c r="U2559" s="148">
        <f>IFERROR(__xludf.DUMMYFUNCTION("""COMPUTED_VALUE"""),0.0)</f>
        <v>0</v>
      </c>
      <c r="V2559" s="148" t="str">
        <f>IFERROR(__xludf.DUMMYFUNCTION("""COMPUTED_VALUE"""),"[]")</f>
        <v>[]</v>
      </c>
      <c r="W2559" s="148">
        <f>IFERROR(__xludf.DUMMYFUNCTION("""COMPUTED_VALUE"""),1.174E7)</f>
        <v>11740000</v>
      </c>
      <c r="X2559" s="148">
        <f>IFERROR(__xludf.DUMMYFUNCTION("""COMPUTED_VALUE"""),0.0)</f>
        <v>0</v>
      </c>
      <c r="Y2559" s="148">
        <f>IFERROR(__xludf.DUMMYFUNCTION("""COMPUTED_VALUE"""),0.0)</f>
        <v>0</v>
      </c>
      <c r="Z2559" s="148"/>
    </row>
    <row r="2560">
      <c r="A2560" s="148">
        <f>IFERROR(__xludf.DUMMYFUNCTION("""COMPUTED_VALUE"""),1.1119505E7)</f>
        <v>11119505</v>
      </c>
      <c r="B2560" s="148" t="str">
        <f>IFERROR(__xludf.DUMMYFUNCTION("""COMPUTED_VALUE"""),"kvk5旗帜展示道具")</f>
        <v>kvk5旗帜展示道具</v>
      </c>
      <c r="C2560" s="148"/>
      <c r="D2560" s="148" t="str">
        <f>IFERROR(__xludf.DUMMYFUNCTION("""COMPUTED_VALUE"""),"event")</f>
        <v>event</v>
      </c>
      <c r="E2560" s="148">
        <f>IFERROR(__xludf.DUMMYFUNCTION("""COMPUTED_VALUE"""),0.0)</f>
        <v>0</v>
      </c>
      <c r="F2560" s="148">
        <f>IFERROR(__xludf.DUMMYFUNCTION("""COMPUTED_VALUE"""),405243.0)</f>
        <v>405243</v>
      </c>
      <c r="G2560" s="148">
        <f>IFERROR(__xludf.DUMMYFUNCTION("""COMPUTED_VALUE"""),1.51101281E8)</f>
        <v>151101281</v>
      </c>
      <c r="H2560" s="148">
        <f>IFERROR(__xludf.DUMMYFUNCTION("""COMPUTED_VALUE"""),1.5112564E7)</f>
        <v>15112564</v>
      </c>
      <c r="I2560" s="148" t="str">
        <f>IFERROR(__xludf.DUMMYFUNCTION("""COMPUTED_VALUE"""),"{}")</f>
        <v>{}</v>
      </c>
      <c r="J2560" s="148" t="str">
        <f>IFERROR(__xludf.DUMMYFUNCTION("""COMPUTED_VALUE"""),"{""typ"":""lc"",""txt"":""LC_KVK_kvk5_flag_skin_name""}")</f>
        <v>{"typ":"lc","txt":"LC_KVK_kvk5_flag_skin_name"}</v>
      </c>
      <c r="K2560" s="148" t="str">
        <f>IFERROR(__xludf.DUMMYFUNCTION("""COMPUTED_VALUE"""),"{""typ"":""lc"",""txt"":""LC_KVK_kvk5_flag_skin_desc""}")</f>
        <v>{"typ":"lc","txt":"LC_KVK_kvk5_flag_skin_desc"}</v>
      </c>
      <c r="L2560" s="148" t="str">
        <f>IFERROR(__xludf.DUMMYFUNCTION("""COMPUTED_VALUE"""),"{}")</f>
        <v>{}</v>
      </c>
      <c r="M2560" s="148">
        <f>IFERROR(__xludf.DUMMYFUNCTION("""COMPUTED_VALUE"""),1000.0)</f>
        <v>1000</v>
      </c>
      <c r="N2560" s="148">
        <f>IFERROR(__xludf.DUMMYFUNCTION("""COMPUTED_VALUE"""),9.99999999E8)</f>
        <v>999999999</v>
      </c>
      <c r="O2560" s="148">
        <f>IFERROR(__xludf.DUMMYFUNCTION("""COMPUTED_VALUE"""),9.99999999E8)</f>
        <v>999999999</v>
      </c>
      <c r="P2560" s="148">
        <f>IFERROR(__xludf.DUMMYFUNCTION("""COMPUTED_VALUE"""),9.99999999E8)</f>
        <v>999999999</v>
      </c>
      <c r="Q2560" s="148" t="str">
        <f>IFERROR(__xludf.DUMMYFUNCTION("""COMPUTED_VALUE"""),"[""bag_other""]")</f>
        <v>["bag_other"]</v>
      </c>
      <c r="R2560" s="148" t="str">
        <f>IFERROR(__xludf.DUMMYFUNCTION("""COMPUTED_VALUE"""),"[]")</f>
        <v>[]</v>
      </c>
      <c r="S2560" s="148" t="str">
        <f>IFERROR(__xludf.DUMMYFUNCTION("""COMPUTED_VALUE"""),"{}")</f>
        <v>{}</v>
      </c>
      <c r="T2560" s="148">
        <f>IFERROR(__xludf.DUMMYFUNCTION("""COMPUTED_VALUE"""),-1.0)</f>
        <v>-1</v>
      </c>
      <c r="U2560" s="148">
        <f>IFERROR(__xludf.DUMMYFUNCTION("""COMPUTED_VALUE"""),1.0)</f>
        <v>1</v>
      </c>
      <c r="V2560" s="148" t="str">
        <f>IFERROR(__xludf.DUMMYFUNCTION("""COMPUTED_VALUE"""),"[]")</f>
        <v>[]</v>
      </c>
      <c r="W2560" s="148">
        <f>IFERROR(__xludf.DUMMYFUNCTION("""COMPUTED_VALUE"""),1.174E7)</f>
        <v>11740000</v>
      </c>
      <c r="X2560" s="148">
        <f>IFERROR(__xludf.DUMMYFUNCTION("""COMPUTED_VALUE"""),0.0)</f>
        <v>0</v>
      </c>
      <c r="Y2560" s="148">
        <f>IFERROR(__xludf.DUMMYFUNCTION("""COMPUTED_VALUE"""),0.0)</f>
        <v>0</v>
      </c>
      <c r="Z2560" s="148"/>
    </row>
    <row r="2561">
      <c r="A2561" s="148">
        <f>IFERROR(__xludf.DUMMYFUNCTION("""COMPUTED_VALUE"""),1.1119506E7)</f>
        <v>11119506</v>
      </c>
      <c r="B2561" s="148" t="str">
        <f>IFERROR(__xludf.DUMMYFUNCTION("""COMPUTED_VALUE"""),"香蕉树（历史战绩）皮肤远古星1")</f>
        <v>香蕉树（历史战绩）皮肤远古星1</v>
      </c>
      <c r="C2561" s="148"/>
      <c r="D2561" s="148" t="str">
        <f>IFERROR(__xludf.DUMMYFUNCTION("""COMPUTED_VALUE"""),"city_building_skin")</f>
        <v>city_building_skin</v>
      </c>
      <c r="E2561" s="148">
        <f>IFERROR(__xludf.DUMMYFUNCTION("""COMPUTED_VALUE"""),23.0)</f>
        <v>23</v>
      </c>
      <c r="F2561" s="148">
        <f>IFERROR(__xludf.DUMMYFUNCTION("""COMPUTED_VALUE"""),0.0)</f>
        <v>0</v>
      </c>
      <c r="G2561" s="148">
        <f>IFERROR(__xludf.DUMMYFUNCTION("""COMPUTED_VALUE"""),1.51101442E8)</f>
        <v>151101442</v>
      </c>
      <c r="H2561" s="148">
        <f>IFERROR(__xludf.DUMMYFUNCTION("""COMPUTED_VALUE"""),1.5112563E7)</f>
        <v>15112563</v>
      </c>
      <c r="I2561" s="148" t="str">
        <f>IFERROR(__xludf.DUMMYFUNCTION("""COMPUTED_VALUE"""),"{}")</f>
        <v>{}</v>
      </c>
      <c r="J2561" s="148" t="str">
        <f>IFERROR(__xludf.DUMMYFUNCTION("""COMPUTED_VALUE"""),"{""typ"":""lc"",""txt"":""LC_KVK_gene_banana_tree_5_name""}")</f>
        <v>{"typ":"lc","txt":"LC_KVK_gene_banana_tree_5_name"}</v>
      </c>
      <c r="K2561" s="148" t="str">
        <f>IFERROR(__xludf.DUMMYFUNCTION("""COMPUTED_VALUE"""),"{""typ"":""lc"",""txt"":""LC_KVK_gene_banana_tree_desc_details_5""}")</f>
        <v>{"typ":"lc","txt":"LC_KVK_gene_banana_tree_desc_details_5"}</v>
      </c>
      <c r="L2561" s="148" t="str">
        <f>IFERROR(__xludf.DUMMYFUNCTION("""COMPUTED_VALUE"""),"{}")</f>
        <v>{}</v>
      </c>
      <c r="M2561" s="148">
        <f>IFERROR(__xludf.DUMMYFUNCTION("""COMPUTED_VALUE"""),5000.0)</f>
        <v>5000</v>
      </c>
      <c r="N2561" s="148">
        <f>IFERROR(__xludf.DUMMYFUNCTION("""COMPUTED_VALUE"""),1.0)</f>
        <v>1</v>
      </c>
      <c r="O2561" s="148">
        <f>IFERROR(__xludf.DUMMYFUNCTION("""COMPUTED_VALUE"""),1.0)</f>
        <v>1</v>
      </c>
      <c r="P2561" s="148">
        <f>IFERROR(__xludf.DUMMYFUNCTION("""COMPUTED_VALUE"""),1.0)</f>
        <v>1</v>
      </c>
      <c r="Q2561" s="148" t="str">
        <f>IFERROR(__xludf.DUMMYFUNCTION("""COMPUTED_VALUE"""),"[""bag_other""]")</f>
        <v>["bag_other"]</v>
      </c>
      <c r="R2561" s="148" t="str">
        <f>IFERROR(__xludf.DUMMYFUNCTION("""COMPUTED_VALUE"""),"[""bag"",""11261005""]")</f>
        <v>["bag","11261005"]</v>
      </c>
      <c r="S2561" s="148" t="str">
        <f>IFERROR(__xludf.DUMMYFUNCTION("""COMPUTED_VALUE"""),"{""effect"":[{""typ"":""city_building_skin"",""id"":11261005,""val"":-1}]}")</f>
        <v>{"effect":[{"typ":"city_building_skin","id":11261005,"val":-1}]}</v>
      </c>
      <c r="T2561" s="148">
        <f>IFERROR(__xludf.DUMMYFUNCTION("""COMPUTED_VALUE"""),-1.0)</f>
        <v>-1</v>
      </c>
      <c r="U2561" s="148">
        <f>IFERROR(__xludf.DUMMYFUNCTION("""COMPUTED_VALUE"""),0.0)</f>
        <v>0</v>
      </c>
      <c r="V2561" s="148" t="str">
        <f>IFERROR(__xludf.DUMMYFUNCTION("""COMPUTED_VALUE"""),"[]")</f>
        <v>[]</v>
      </c>
      <c r="W2561" s="148">
        <f>IFERROR(__xludf.DUMMYFUNCTION("""COMPUTED_VALUE"""),1.174E7)</f>
        <v>11740000</v>
      </c>
      <c r="X2561" s="148">
        <f>IFERROR(__xludf.DUMMYFUNCTION("""COMPUTED_VALUE"""),0.0)</f>
        <v>0</v>
      </c>
      <c r="Y2561" s="148">
        <f>IFERROR(__xludf.DUMMYFUNCTION("""COMPUTED_VALUE"""),0.0)</f>
        <v>0</v>
      </c>
      <c r="Z2561" s="148"/>
    </row>
    <row r="2562">
      <c r="A2562" s="148">
        <f>IFERROR(__xludf.DUMMYFUNCTION("""COMPUTED_VALUE"""),1.1119507E7)</f>
        <v>11119507</v>
      </c>
      <c r="B2562" s="148" t="str">
        <f>IFERROR(__xludf.DUMMYFUNCTION("""COMPUTED_VALUE"""),"联盟宴会-联盟红包")</f>
        <v>联盟宴会-联盟红包</v>
      </c>
      <c r="C2562" s="148" t="str">
        <f>IFERROR(__xludf.DUMMYFUNCTION("""COMPUTED_VALUE"""),"union_feast_red_pack")</f>
        <v>union_feast_red_pack</v>
      </c>
      <c r="D2562" s="148" t="str">
        <f>IFERROR(__xludf.DUMMYFUNCTION("""COMPUTED_VALUE"""),"red_package")</f>
        <v>red_package</v>
      </c>
      <c r="E2562" s="148">
        <f>IFERROR(__xludf.DUMMYFUNCTION("""COMPUTED_VALUE"""),0.0)</f>
        <v>0</v>
      </c>
      <c r="F2562" s="148">
        <f>IFERROR(__xludf.DUMMYFUNCTION("""COMPUTED_VALUE"""),101101.0)</f>
        <v>101101</v>
      </c>
      <c r="G2562" s="148">
        <f>IFERROR(__xludf.DUMMYFUNCTION("""COMPUTED_VALUE"""),1.51101572E8)</f>
        <v>151101572</v>
      </c>
      <c r="H2562" s="148">
        <f>IFERROR(__xludf.DUMMYFUNCTION("""COMPUTED_VALUE"""),1.5112564E7)</f>
        <v>15112564</v>
      </c>
      <c r="I2562" s="148" t="str">
        <f>IFERROR(__xludf.DUMMYFUNCTION("""COMPUTED_VALUE"""),"{}")</f>
        <v>{}</v>
      </c>
      <c r="J2562" s="148" t="str">
        <f>IFERROR(__xludf.DUMMYFUNCTION("""COMPUTED_VALUE"""),"{""typ"":""lc"",""txt"":""LC_ITEM_union_feast_red_pack_name""}")</f>
        <v>{"typ":"lc","txt":"LC_ITEM_union_feast_red_pack_name"}</v>
      </c>
      <c r="K2562" s="148" t="str">
        <f>IFERROR(__xludf.DUMMYFUNCTION("""COMPUTED_VALUE"""),"{""typ"":""lc"",""txt"":""LC_ITEM_union_feast_red_pack_desc"",""args"":[{""typ"":""int"",""val"":150}]}")</f>
        <v>{"typ":"lc","txt":"LC_ITEM_union_feast_red_pack_desc","args":[{"typ":"int","val":150}]}</v>
      </c>
      <c r="L2562" s="148" t="str">
        <f>IFERROR(__xludf.DUMMYFUNCTION("""COMPUTED_VALUE"""),"{}")</f>
        <v>{}</v>
      </c>
      <c r="M2562" s="148">
        <f>IFERROR(__xludf.DUMMYFUNCTION("""COMPUTED_VALUE"""),1000.0)</f>
        <v>1000</v>
      </c>
      <c r="N2562" s="148">
        <f>IFERROR(__xludf.DUMMYFUNCTION("""COMPUTED_VALUE"""),999999.0)</f>
        <v>999999</v>
      </c>
      <c r="O2562" s="148">
        <f>IFERROR(__xludf.DUMMYFUNCTION("""COMPUTED_VALUE"""),99999.0)</f>
        <v>99999</v>
      </c>
      <c r="P2562" s="148">
        <f>IFERROR(__xludf.DUMMYFUNCTION("""COMPUTED_VALUE"""),1.0)</f>
        <v>1</v>
      </c>
      <c r="Q2562" s="148" t="str">
        <f>IFERROR(__xludf.DUMMYFUNCTION("""COMPUTED_VALUE"""),"[""bag_other""]")</f>
        <v>["bag_other"]</v>
      </c>
      <c r="R2562" s="148" t="str">
        <f>IFERROR(__xludf.DUMMYFUNCTION("""COMPUTED_VALUE"""),"[""bag""]")</f>
        <v>["bag"]</v>
      </c>
      <c r="S2562" s="148" t="str">
        <f>IFERROR(__xludf.DUMMYFUNCTION("""COMPUTED_VALUE"""),"{""effect"":[{""typ"":""red_pack"",""id"":20290017}]}")</f>
        <v>{"effect":[{"typ":"red_pack","id":20290017}]}</v>
      </c>
      <c r="T2562" s="148">
        <f>IFERROR(__xludf.DUMMYFUNCTION("""COMPUTED_VALUE"""),1.0)</f>
        <v>1</v>
      </c>
      <c r="U2562" s="148">
        <f>IFERROR(__xludf.DUMMYFUNCTION("""COMPUTED_VALUE"""),0.0)</f>
        <v>0</v>
      </c>
      <c r="V2562" s="148" t="str">
        <f>IFERROR(__xludf.DUMMYFUNCTION("""COMPUTED_VALUE"""),"[]")</f>
        <v>[]</v>
      </c>
      <c r="W2562" s="148">
        <f>IFERROR(__xludf.DUMMYFUNCTION("""COMPUTED_VALUE"""),1.174E7)</f>
        <v>11740000</v>
      </c>
      <c r="X2562" s="148">
        <f>IFERROR(__xludf.DUMMYFUNCTION("""COMPUTED_VALUE"""),0.0)</f>
        <v>0</v>
      </c>
      <c r="Y2562" s="148">
        <f>IFERROR(__xludf.DUMMYFUNCTION("""COMPUTED_VALUE"""),0.0)</f>
        <v>0</v>
      </c>
      <c r="Z2562" s="148"/>
    </row>
    <row r="2563">
      <c r="A2563" s="148">
        <f>IFERROR(__xludf.DUMMYFUNCTION("""COMPUTED_VALUE"""),1.1119508E7)</f>
        <v>11119508</v>
      </c>
      <c r="B2563" s="148" t="str">
        <f>IFERROR(__xludf.DUMMYFUNCTION("""COMPUTED_VALUE"""),"联盟宴会-随机食材包")</f>
        <v>联盟宴会-随机食材包</v>
      </c>
      <c r="C2563" s="148"/>
      <c r="D2563" s="148" t="str">
        <f>IFERROR(__xludf.DUMMYFUNCTION("""COMPUTED_VALUE"""),"item_asset")</f>
        <v>item_asset</v>
      </c>
      <c r="E2563" s="148">
        <f>IFERROR(__xludf.DUMMYFUNCTION("""COMPUTED_VALUE"""),19.0)</f>
        <v>19</v>
      </c>
      <c r="F2563" s="148">
        <f>IFERROR(__xludf.DUMMYFUNCTION("""COMPUTED_VALUE"""),403212.0)</f>
        <v>403212</v>
      </c>
      <c r="G2563" s="148">
        <f>IFERROR(__xludf.DUMMYFUNCTION("""COMPUTED_VALUE"""),1.51101573E8)</f>
        <v>151101573</v>
      </c>
      <c r="H2563" s="148">
        <f>IFERROR(__xludf.DUMMYFUNCTION("""COMPUTED_VALUE"""),1.5112563E7)</f>
        <v>15112563</v>
      </c>
      <c r="I2563" s="148" t="str">
        <f>IFERROR(__xludf.DUMMYFUNCTION("""COMPUTED_VALUE"""),"{}")</f>
        <v>{}</v>
      </c>
      <c r="J2563" s="148" t="str">
        <f>IFERROR(__xludf.DUMMYFUNCTION("""COMPUTED_VALUE"""),"{""typ"":""lc"",""txt"":""LC_ITEM_union_feast_random_box_name""}")</f>
        <v>{"typ":"lc","txt":"LC_ITEM_union_feast_random_box_name"}</v>
      </c>
      <c r="K2563" s="148" t="str">
        <f>IFERROR(__xludf.DUMMYFUNCTION("""COMPUTED_VALUE"""),"{""typ"":""lc"",""txt"":""LC_ITEM_union_feast_random_box_desc""}")</f>
        <v>{"typ":"lc","txt":"LC_ITEM_union_feast_random_box_desc"}</v>
      </c>
      <c r="L2563" s="148" t="str">
        <f>IFERROR(__xludf.DUMMYFUNCTION("""COMPUTED_VALUE"""),"{""typ"":""lc"",""txt"":""LC_ITEM_chest_from_feast_usedtip""}")</f>
        <v>{"typ":"lc","txt":"LC_ITEM_chest_from_feast_usedtip"}</v>
      </c>
      <c r="M2563" s="148">
        <f>IFERROR(__xludf.DUMMYFUNCTION("""COMPUTED_VALUE"""),300.0)</f>
        <v>300</v>
      </c>
      <c r="N2563" s="148">
        <f>IFERROR(__xludf.DUMMYFUNCTION("""COMPUTED_VALUE"""),999999.0)</f>
        <v>999999</v>
      </c>
      <c r="O2563" s="148">
        <f>IFERROR(__xludf.DUMMYFUNCTION("""COMPUTED_VALUE"""),99999.0)</f>
        <v>99999</v>
      </c>
      <c r="P2563" s="148">
        <f>IFERROR(__xludf.DUMMYFUNCTION("""COMPUTED_VALUE"""),99999.0)</f>
        <v>99999</v>
      </c>
      <c r="Q2563" s="148" t="str">
        <f>IFERROR(__xludf.DUMMYFUNCTION("""COMPUTED_VALUE"""),"[""bag_other""]")</f>
        <v>["bag_other"]</v>
      </c>
      <c r="R2563" s="148" t="str">
        <f>IFERROR(__xludf.DUMMYFUNCTION("""COMPUTED_VALUE"""),"[""bag""]")</f>
        <v>["bag"]</v>
      </c>
      <c r="S2563" s="148" t="str">
        <f>IFERROR(__xludf.DUMMYFUNCTION("""COMPUTED_VALUE"""),"{""drop"":{""typ"":""single_random"",""num"":1,""args"":[{""typ"":""item"",""id"":11119515,""num"":1,""wgt"":1000},{""typ"":""item"",""id"":11119516,""num"":1,""wgt"":1000},{""typ"":""item"",""id"":11119517,""num"":1,""wgt"":1000},{""typ"":""item"",""id"""&amp;":11119518,""num"":1,""wgt"":1000},{""typ"":""item"",""id"":11119519,""num"":1,""wgt"":1000},{""typ"":""item"",""id"":11119520,""num"":1,""wgt"":1000}]}}")</f>
        <v>{"drop":{"typ":"single_random","num":1,"args":[{"typ":"item","id":11119515,"num":1,"wgt":1000},{"typ":"item","id":11119516,"num":1,"wgt":1000},{"typ":"item","id":11119517,"num":1,"wgt":1000},{"typ":"item","id":11119518,"num":1,"wgt":1000},{"typ":"item","id":11119519,"num":1,"wgt":1000},{"typ":"item","id":11119520,"num":1,"wgt":1000}]}}</v>
      </c>
      <c r="T2563" s="148">
        <f>IFERROR(__xludf.DUMMYFUNCTION("""COMPUTED_VALUE"""),-1.0)</f>
        <v>-1</v>
      </c>
      <c r="U2563" s="148">
        <f>IFERROR(__xludf.DUMMYFUNCTION("""COMPUTED_VALUE"""),0.0)</f>
        <v>0</v>
      </c>
      <c r="V2563" s="148" t="str">
        <f>IFERROR(__xludf.DUMMYFUNCTION("""COMPUTED_VALUE"""),"[]")</f>
        <v>[]</v>
      </c>
      <c r="W2563" s="148">
        <f>IFERROR(__xludf.DUMMYFUNCTION("""COMPUTED_VALUE"""),1.174E7)</f>
        <v>11740000</v>
      </c>
      <c r="X2563" s="148">
        <f>IFERROR(__xludf.DUMMYFUNCTION("""COMPUTED_VALUE"""),0.0)</f>
        <v>0</v>
      </c>
      <c r="Y2563" s="148">
        <f>IFERROR(__xludf.DUMMYFUNCTION("""COMPUTED_VALUE"""),0.0)</f>
        <v>0</v>
      </c>
      <c r="Z2563" s="148"/>
    </row>
    <row r="2564">
      <c r="A2564" s="148">
        <f>IFERROR(__xludf.DUMMYFUNCTION("""COMPUTED_VALUE"""),1.1119509E7)</f>
        <v>11119509</v>
      </c>
      <c r="B2564" s="148" t="str">
        <f>IFERROR(__xludf.DUMMYFUNCTION("""COMPUTED_VALUE"""),"联盟宴会-菜品-海苔脆薯角")</f>
        <v>联盟宴会-菜品-海苔脆薯角</v>
      </c>
      <c r="C2564" s="148"/>
      <c r="D2564" s="148" t="str">
        <f>IFERROR(__xludf.DUMMYFUNCTION("""COMPUTED_VALUE"""),"event")</f>
        <v>event</v>
      </c>
      <c r="E2564" s="148">
        <f>IFERROR(__xludf.DUMMYFUNCTION("""COMPUTED_VALUE"""),0.0)</f>
        <v>0</v>
      </c>
      <c r="F2564" s="148">
        <f>IFERROR(__xludf.DUMMYFUNCTION("""COMPUTED_VALUE"""),0.0)</f>
        <v>0</v>
      </c>
      <c r="G2564" s="148">
        <f>IFERROR(__xludf.DUMMYFUNCTION("""COMPUTED_VALUE"""),1.5110156E8)</f>
        <v>151101560</v>
      </c>
      <c r="H2564" s="148">
        <f>IFERROR(__xludf.DUMMYFUNCTION("""COMPUTED_VALUE"""),1.5112564E7)</f>
        <v>15112564</v>
      </c>
      <c r="I2564" s="148" t="str">
        <f>IFERROR(__xludf.DUMMYFUNCTION("""COMPUTED_VALUE"""),"{}")</f>
        <v>{}</v>
      </c>
      <c r="J2564" s="148" t="str">
        <f>IFERROR(__xludf.DUMMYFUNCTION("""COMPUTED_VALUE"""),"{""typ"":""lc"",""txt"":""LC_ITEM_union_feast_dish_1_name""}")</f>
        <v>{"typ":"lc","txt":"LC_ITEM_union_feast_dish_1_name"}</v>
      </c>
      <c r="K2564" s="148" t="str">
        <f>IFERROR(__xludf.DUMMYFUNCTION("""COMPUTED_VALUE"""),"{""typ"":""lc"",""txt"":""LC_ITEM_union_feast_dish_1_desc""}")</f>
        <v>{"typ":"lc","txt":"LC_ITEM_union_feast_dish_1_desc"}</v>
      </c>
      <c r="L2564" s="148" t="str">
        <f>IFERROR(__xludf.DUMMYFUNCTION("""COMPUTED_VALUE"""),"{}")</f>
        <v>{}</v>
      </c>
      <c r="M2564" s="148">
        <f>IFERROR(__xludf.DUMMYFUNCTION("""COMPUTED_VALUE"""),700.0)</f>
        <v>700</v>
      </c>
      <c r="N2564" s="148">
        <f>IFERROR(__xludf.DUMMYFUNCTION("""COMPUTED_VALUE"""),9.99999999E8)</f>
        <v>999999999</v>
      </c>
      <c r="O2564" s="148">
        <f>IFERROR(__xludf.DUMMYFUNCTION("""COMPUTED_VALUE"""),9.99999999E8)</f>
        <v>999999999</v>
      </c>
      <c r="P2564" s="148">
        <f>IFERROR(__xludf.DUMMYFUNCTION("""COMPUTED_VALUE"""),9.99999999E8)</f>
        <v>999999999</v>
      </c>
      <c r="Q2564" s="148" t="str">
        <f>IFERROR(__xludf.DUMMYFUNCTION("""COMPUTED_VALUE"""),"[]")</f>
        <v>[]</v>
      </c>
      <c r="R2564" s="148" t="str">
        <f>IFERROR(__xludf.DUMMYFUNCTION("""COMPUTED_VALUE"""),"[""bag""]")</f>
        <v>["bag"]</v>
      </c>
      <c r="S2564" s="148" t="str">
        <f>IFERROR(__xludf.DUMMYFUNCTION("""COMPUTED_VALUE"""),"{}")</f>
        <v>{}</v>
      </c>
      <c r="T2564" s="148">
        <f>IFERROR(__xludf.DUMMYFUNCTION("""COMPUTED_VALUE"""),1.0)</f>
        <v>1</v>
      </c>
      <c r="U2564" s="148">
        <f>IFERROR(__xludf.DUMMYFUNCTION("""COMPUTED_VALUE"""),0.0)</f>
        <v>0</v>
      </c>
      <c r="V2564" s="148" t="str">
        <f>IFERROR(__xludf.DUMMYFUNCTION("""COMPUTED_VALUE"""),"[]")</f>
        <v>[]</v>
      </c>
      <c r="W2564" s="148">
        <f>IFERROR(__xludf.DUMMYFUNCTION("""COMPUTED_VALUE"""),1.174E7)</f>
        <v>11740000</v>
      </c>
      <c r="X2564" s="148">
        <f>IFERROR(__xludf.DUMMYFUNCTION("""COMPUTED_VALUE"""),0.0)</f>
        <v>0</v>
      </c>
      <c r="Y2564" s="148">
        <f>IFERROR(__xludf.DUMMYFUNCTION("""COMPUTED_VALUE"""),0.0)</f>
        <v>0</v>
      </c>
      <c r="Z2564" s="148"/>
    </row>
    <row r="2565">
      <c r="A2565" s="148">
        <f>IFERROR(__xludf.DUMMYFUNCTION("""COMPUTED_VALUE"""),1.111951E7)</f>
        <v>11119510</v>
      </c>
      <c r="B2565" s="148" t="str">
        <f>IFERROR(__xludf.DUMMYFUNCTION("""COMPUTED_VALUE"""),"联盟宴会-菜品-蘑菇浓汤")</f>
        <v>联盟宴会-菜品-蘑菇浓汤</v>
      </c>
      <c r="C2565" s="148"/>
      <c r="D2565" s="148" t="str">
        <f>IFERROR(__xludf.DUMMYFUNCTION("""COMPUTED_VALUE"""),"event")</f>
        <v>event</v>
      </c>
      <c r="E2565" s="148">
        <f>IFERROR(__xludf.DUMMYFUNCTION("""COMPUTED_VALUE"""),0.0)</f>
        <v>0</v>
      </c>
      <c r="F2565" s="148">
        <f>IFERROR(__xludf.DUMMYFUNCTION("""COMPUTED_VALUE"""),0.0)</f>
        <v>0</v>
      </c>
      <c r="G2565" s="148">
        <f>IFERROR(__xludf.DUMMYFUNCTION("""COMPUTED_VALUE"""),1.51101561E8)</f>
        <v>151101561</v>
      </c>
      <c r="H2565" s="148">
        <f>IFERROR(__xludf.DUMMYFUNCTION("""COMPUTED_VALUE"""),1.5112564E7)</f>
        <v>15112564</v>
      </c>
      <c r="I2565" s="148" t="str">
        <f>IFERROR(__xludf.DUMMYFUNCTION("""COMPUTED_VALUE"""),"{}")</f>
        <v>{}</v>
      </c>
      <c r="J2565" s="148" t="str">
        <f>IFERROR(__xludf.DUMMYFUNCTION("""COMPUTED_VALUE"""),"{""typ"":""lc"",""txt"":""LC_ITEM_union_feast_dish_2_name""}")</f>
        <v>{"typ":"lc","txt":"LC_ITEM_union_feast_dish_2_name"}</v>
      </c>
      <c r="K2565" s="148" t="str">
        <f>IFERROR(__xludf.DUMMYFUNCTION("""COMPUTED_VALUE"""),"{""typ"":""lc"",""txt"":""LC_ITEM_union_feast_dish_2_desc""}")</f>
        <v>{"typ":"lc","txt":"LC_ITEM_union_feast_dish_2_desc"}</v>
      </c>
      <c r="L2565" s="148" t="str">
        <f>IFERROR(__xludf.DUMMYFUNCTION("""COMPUTED_VALUE"""),"{}")</f>
        <v>{}</v>
      </c>
      <c r="M2565" s="148">
        <f>IFERROR(__xludf.DUMMYFUNCTION("""COMPUTED_VALUE"""),700.0)</f>
        <v>700</v>
      </c>
      <c r="N2565" s="148">
        <f>IFERROR(__xludf.DUMMYFUNCTION("""COMPUTED_VALUE"""),9.99999999E8)</f>
        <v>999999999</v>
      </c>
      <c r="O2565" s="148">
        <f>IFERROR(__xludf.DUMMYFUNCTION("""COMPUTED_VALUE"""),9.99999999E8)</f>
        <v>999999999</v>
      </c>
      <c r="P2565" s="148">
        <f>IFERROR(__xludf.DUMMYFUNCTION("""COMPUTED_VALUE"""),9.99999999E8)</f>
        <v>999999999</v>
      </c>
      <c r="Q2565" s="148" t="str">
        <f>IFERROR(__xludf.DUMMYFUNCTION("""COMPUTED_VALUE"""),"[]")</f>
        <v>[]</v>
      </c>
      <c r="R2565" s="148" t="str">
        <f>IFERROR(__xludf.DUMMYFUNCTION("""COMPUTED_VALUE"""),"[""bag""]")</f>
        <v>["bag"]</v>
      </c>
      <c r="S2565" s="148" t="str">
        <f>IFERROR(__xludf.DUMMYFUNCTION("""COMPUTED_VALUE"""),"{}")</f>
        <v>{}</v>
      </c>
      <c r="T2565" s="148">
        <f>IFERROR(__xludf.DUMMYFUNCTION("""COMPUTED_VALUE"""),1.0)</f>
        <v>1</v>
      </c>
      <c r="U2565" s="148">
        <f>IFERROR(__xludf.DUMMYFUNCTION("""COMPUTED_VALUE"""),0.0)</f>
        <v>0</v>
      </c>
      <c r="V2565" s="148" t="str">
        <f>IFERROR(__xludf.DUMMYFUNCTION("""COMPUTED_VALUE"""),"[]")</f>
        <v>[]</v>
      </c>
      <c r="W2565" s="148">
        <f>IFERROR(__xludf.DUMMYFUNCTION("""COMPUTED_VALUE"""),1.174E7)</f>
        <v>11740000</v>
      </c>
      <c r="X2565" s="148">
        <f>IFERROR(__xludf.DUMMYFUNCTION("""COMPUTED_VALUE"""),0.0)</f>
        <v>0</v>
      </c>
      <c r="Y2565" s="148">
        <f>IFERROR(__xludf.DUMMYFUNCTION("""COMPUTED_VALUE"""),0.0)</f>
        <v>0</v>
      </c>
      <c r="Z2565" s="148"/>
    </row>
    <row r="2566">
      <c r="A2566" s="148">
        <f>IFERROR(__xludf.DUMMYFUNCTION("""COMPUTED_VALUE"""),1.1119511E7)</f>
        <v>11119511</v>
      </c>
      <c r="B2566" s="148" t="str">
        <f>IFERROR(__xludf.DUMMYFUNCTION("""COMPUTED_VALUE"""),"联盟宴会-菜品-黄金塔可饼")</f>
        <v>联盟宴会-菜品-黄金塔可饼</v>
      </c>
      <c r="C2566" s="148"/>
      <c r="D2566" s="148" t="str">
        <f>IFERROR(__xludf.DUMMYFUNCTION("""COMPUTED_VALUE"""),"event")</f>
        <v>event</v>
      </c>
      <c r="E2566" s="148">
        <f>IFERROR(__xludf.DUMMYFUNCTION("""COMPUTED_VALUE"""),0.0)</f>
        <v>0</v>
      </c>
      <c r="F2566" s="148">
        <f>IFERROR(__xludf.DUMMYFUNCTION("""COMPUTED_VALUE"""),0.0)</f>
        <v>0</v>
      </c>
      <c r="G2566" s="148">
        <f>IFERROR(__xludf.DUMMYFUNCTION("""COMPUTED_VALUE"""),1.51101562E8)</f>
        <v>151101562</v>
      </c>
      <c r="H2566" s="148">
        <f>IFERROR(__xludf.DUMMYFUNCTION("""COMPUTED_VALUE"""),1.5112564E7)</f>
        <v>15112564</v>
      </c>
      <c r="I2566" s="148" t="str">
        <f>IFERROR(__xludf.DUMMYFUNCTION("""COMPUTED_VALUE"""),"{}")</f>
        <v>{}</v>
      </c>
      <c r="J2566" s="148" t="str">
        <f>IFERROR(__xludf.DUMMYFUNCTION("""COMPUTED_VALUE"""),"{""typ"":""lc"",""txt"":""LC_ITEM_union_feast_dish_3_name""}")</f>
        <v>{"typ":"lc","txt":"LC_ITEM_union_feast_dish_3_name"}</v>
      </c>
      <c r="K2566" s="148" t="str">
        <f>IFERROR(__xludf.DUMMYFUNCTION("""COMPUTED_VALUE"""),"{""typ"":""lc"",""txt"":""LC_ITEM_union_feast_dish_3_desc""}")</f>
        <v>{"typ":"lc","txt":"LC_ITEM_union_feast_dish_3_desc"}</v>
      </c>
      <c r="L2566" s="148" t="str">
        <f>IFERROR(__xludf.DUMMYFUNCTION("""COMPUTED_VALUE"""),"{}")</f>
        <v>{}</v>
      </c>
      <c r="M2566" s="148">
        <f>IFERROR(__xludf.DUMMYFUNCTION("""COMPUTED_VALUE"""),700.0)</f>
        <v>700</v>
      </c>
      <c r="N2566" s="148">
        <f>IFERROR(__xludf.DUMMYFUNCTION("""COMPUTED_VALUE"""),9.99999999E8)</f>
        <v>999999999</v>
      </c>
      <c r="O2566" s="148">
        <f>IFERROR(__xludf.DUMMYFUNCTION("""COMPUTED_VALUE"""),9.99999999E8)</f>
        <v>999999999</v>
      </c>
      <c r="P2566" s="148">
        <f>IFERROR(__xludf.DUMMYFUNCTION("""COMPUTED_VALUE"""),9.99999999E8)</f>
        <v>999999999</v>
      </c>
      <c r="Q2566" s="148" t="str">
        <f>IFERROR(__xludf.DUMMYFUNCTION("""COMPUTED_VALUE"""),"[]")</f>
        <v>[]</v>
      </c>
      <c r="R2566" s="148" t="str">
        <f>IFERROR(__xludf.DUMMYFUNCTION("""COMPUTED_VALUE"""),"[""bag""]")</f>
        <v>["bag"]</v>
      </c>
      <c r="S2566" s="148" t="str">
        <f>IFERROR(__xludf.DUMMYFUNCTION("""COMPUTED_VALUE"""),"{}")</f>
        <v>{}</v>
      </c>
      <c r="T2566" s="148">
        <f>IFERROR(__xludf.DUMMYFUNCTION("""COMPUTED_VALUE"""),1.0)</f>
        <v>1</v>
      </c>
      <c r="U2566" s="148">
        <f>IFERROR(__xludf.DUMMYFUNCTION("""COMPUTED_VALUE"""),0.0)</f>
        <v>0</v>
      </c>
      <c r="V2566" s="148" t="str">
        <f>IFERROR(__xludf.DUMMYFUNCTION("""COMPUTED_VALUE"""),"[]")</f>
        <v>[]</v>
      </c>
      <c r="W2566" s="148">
        <f>IFERROR(__xludf.DUMMYFUNCTION("""COMPUTED_VALUE"""),1.174E7)</f>
        <v>11740000</v>
      </c>
      <c r="X2566" s="148">
        <f>IFERROR(__xludf.DUMMYFUNCTION("""COMPUTED_VALUE"""),0.0)</f>
        <v>0</v>
      </c>
      <c r="Y2566" s="148">
        <f>IFERROR(__xludf.DUMMYFUNCTION("""COMPUTED_VALUE"""),0.0)</f>
        <v>0</v>
      </c>
      <c r="Z2566" s="148"/>
    </row>
    <row r="2567">
      <c r="A2567" s="148">
        <f>IFERROR(__xludf.DUMMYFUNCTION("""COMPUTED_VALUE"""),1.1119512E7)</f>
        <v>11119512</v>
      </c>
      <c r="B2567" s="148" t="str">
        <f>IFERROR(__xludf.DUMMYFUNCTION("""COMPUTED_VALUE"""),"联盟宴会-菜品-浇汁土豆泥")</f>
        <v>联盟宴会-菜品-浇汁土豆泥</v>
      </c>
      <c r="C2567" s="148"/>
      <c r="D2567" s="148" t="str">
        <f>IFERROR(__xludf.DUMMYFUNCTION("""COMPUTED_VALUE"""),"event")</f>
        <v>event</v>
      </c>
      <c r="E2567" s="148">
        <f>IFERROR(__xludf.DUMMYFUNCTION("""COMPUTED_VALUE"""),0.0)</f>
        <v>0</v>
      </c>
      <c r="F2567" s="148">
        <f>IFERROR(__xludf.DUMMYFUNCTION("""COMPUTED_VALUE"""),0.0)</f>
        <v>0</v>
      </c>
      <c r="G2567" s="148">
        <f>IFERROR(__xludf.DUMMYFUNCTION("""COMPUTED_VALUE"""),1.51101563E8)</f>
        <v>151101563</v>
      </c>
      <c r="H2567" s="148">
        <f>IFERROR(__xludf.DUMMYFUNCTION("""COMPUTED_VALUE"""),1.5112564E7)</f>
        <v>15112564</v>
      </c>
      <c r="I2567" s="148" t="str">
        <f>IFERROR(__xludf.DUMMYFUNCTION("""COMPUTED_VALUE"""),"{}")</f>
        <v>{}</v>
      </c>
      <c r="J2567" s="148" t="str">
        <f>IFERROR(__xludf.DUMMYFUNCTION("""COMPUTED_VALUE"""),"{""typ"":""lc"",""txt"":""LC_ITEM_union_feast_dish_4_name""}")</f>
        <v>{"typ":"lc","txt":"LC_ITEM_union_feast_dish_4_name"}</v>
      </c>
      <c r="K2567" s="148" t="str">
        <f>IFERROR(__xludf.DUMMYFUNCTION("""COMPUTED_VALUE"""),"{""typ"":""lc"",""txt"":""LC_ITEM_union_feast_dish_4_desc""}")</f>
        <v>{"typ":"lc","txt":"LC_ITEM_union_feast_dish_4_desc"}</v>
      </c>
      <c r="L2567" s="148" t="str">
        <f>IFERROR(__xludf.DUMMYFUNCTION("""COMPUTED_VALUE"""),"{}")</f>
        <v>{}</v>
      </c>
      <c r="M2567" s="148">
        <f>IFERROR(__xludf.DUMMYFUNCTION("""COMPUTED_VALUE"""),700.0)</f>
        <v>700</v>
      </c>
      <c r="N2567" s="148">
        <f>IFERROR(__xludf.DUMMYFUNCTION("""COMPUTED_VALUE"""),9.99999999E8)</f>
        <v>999999999</v>
      </c>
      <c r="O2567" s="148">
        <f>IFERROR(__xludf.DUMMYFUNCTION("""COMPUTED_VALUE"""),9.99999999E8)</f>
        <v>999999999</v>
      </c>
      <c r="P2567" s="148">
        <f>IFERROR(__xludf.DUMMYFUNCTION("""COMPUTED_VALUE"""),9.99999999E8)</f>
        <v>999999999</v>
      </c>
      <c r="Q2567" s="148" t="str">
        <f>IFERROR(__xludf.DUMMYFUNCTION("""COMPUTED_VALUE"""),"[]")</f>
        <v>[]</v>
      </c>
      <c r="R2567" s="148" t="str">
        <f>IFERROR(__xludf.DUMMYFUNCTION("""COMPUTED_VALUE"""),"[""bag""]")</f>
        <v>["bag"]</v>
      </c>
      <c r="S2567" s="148" t="str">
        <f>IFERROR(__xludf.DUMMYFUNCTION("""COMPUTED_VALUE"""),"{}")</f>
        <v>{}</v>
      </c>
      <c r="T2567" s="148">
        <f>IFERROR(__xludf.DUMMYFUNCTION("""COMPUTED_VALUE"""),1.0)</f>
        <v>1</v>
      </c>
      <c r="U2567" s="148">
        <f>IFERROR(__xludf.DUMMYFUNCTION("""COMPUTED_VALUE"""),0.0)</f>
        <v>0</v>
      </c>
      <c r="V2567" s="148" t="str">
        <f>IFERROR(__xludf.DUMMYFUNCTION("""COMPUTED_VALUE"""),"[]")</f>
        <v>[]</v>
      </c>
      <c r="W2567" s="148">
        <f>IFERROR(__xludf.DUMMYFUNCTION("""COMPUTED_VALUE"""),1.174E7)</f>
        <v>11740000</v>
      </c>
      <c r="X2567" s="148">
        <f>IFERROR(__xludf.DUMMYFUNCTION("""COMPUTED_VALUE"""),0.0)</f>
        <v>0</v>
      </c>
      <c r="Y2567" s="148">
        <f>IFERROR(__xludf.DUMMYFUNCTION("""COMPUTED_VALUE"""),0.0)</f>
        <v>0</v>
      </c>
      <c r="Z2567" s="148"/>
    </row>
    <row r="2568">
      <c r="A2568" s="148">
        <f>IFERROR(__xludf.DUMMYFUNCTION("""COMPUTED_VALUE"""),1.1119513E7)</f>
        <v>11119513</v>
      </c>
      <c r="B2568" s="148" t="str">
        <f>IFERROR(__xludf.DUMMYFUNCTION("""COMPUTED_VALUE"""),"联盟宴会-菜品-蘑菇炖肉煲")</f>
        <v>联盟宴会-菜品-蘑菇炖肉煲</v>
      </c>
      <c r="C2568" s="148"/>
      <c r="D2568" s="148" t="str">
        <f>IFERROR(__xludf.DUMMYFUNCTION("""COMPUTED_VALUE"""),"event")</f>
        <v>event</v>
      </c>
      <c r="E2568" s="148">
        <f>IFERROR(__xludf.DUMMYFUNCTION("""COMPUTED_VALUE"""),0.0)</f>
        <v>0</v>
      </c>
      <c r="F2568" s="148">
        <f>IFERROR(__xludf.DUMMYFUNCTION("""COMPUTED_VALUE"""),0.0)</f>
        <v>0</v>
      </c>
      <c r="G2568" s="148">
        <f>IFERROR(__xludf.DUMMYFUNCTION("""COMPUTED_VALUE"""),1.51101564E8)</f>
        <v>151101564</v>
      </c>
      <c r="H2568" s="148">
        <f>IFERROR(__xludf.DUMMYFUNCTION("""COMPUTED_VALUE"""),1.5112564E7)</f>
        <v>15112564</v>
      </c>
      <c r="I2568" s="148" t="str">
        <f>IFERROR(__xludf.DUMMYFUNCTION("""COMPUTED_VALUE"""),"{}")</f>
        <v>{}</v>
      </c>
      <c r="J2568" s="148" t="str">
        <f>IFERROR(__xludf.DUMMYFUNCTION("""COMPUTED_VALUE"""),"{""typ"":""lc"",""txt"":""LC_ITEM_union_feast_dish_5_name""}")</f>
        <v>{"typ":"lc","txt":"LC_ITEM_union_feast_dish_5_name"}</v>
      </c>
      <c r="K2568" s="148" t="str">
        <f>IFERROR(__xludf.DUMMYFUNCTION("""COMPUTED_VALUE"""),"{""typ"":""lc"",""txt"":""LC_ITEM_union_feast_dish_5_desc""}")</f>
        <v>{"typ":"lc","txt":"LC_ITEM_union_feast_dish_5_desc"}</v>
      </c>
      <c r="L2568" s="148" t="str">
        <f>IFERROR(__xludf.DUMMYFUNCTION("""COMPUTED_VALUE"""),"{}")</f>
        <v>{}</v>
      </c>
      <c r="M2568" s="148">
        <f>IFERROR(__xludf.DUMMYFUNCTION("""COMPUTED_VALUE"""),700.0)</f>
        <v>700</v>
      </c>
      <c r="N2568" s="148">
        <f>IFERROR(__xludf.DUMMYFUNCTION("""COMPUTED_VALUE"""),9.99999999E8)</f>
        <v>999999999</v>
      </c>
      <c r="O2568" s="148">
        <f>IFERROR(__xludf.DUMMYFUNCTION("""COMPUTED_VALUE"""),9.99999999E8)</f>
        <v>999999999</v>
      </c>
      <c r="P2568" s="148">
        <f>IFERROR(__xludf.DUMMYFUNCTION("""COMPUTED_VALUE"""),9.99999999E8)</f>
        <v>999999999</v>
      </c>
      <c r="Q2568" s="148" t="str">
        <f>IFERROR(__xludf.DUMMYFUNCTION("""COMPUTED_VALUE"""),"[]")</f>
        <v>[]</v>
      </c>
      <c r="R2568" s="148" t="str">
        <f>IFERROR(__xludf.DUMMYFUNCTION("""COMPUTED_VALUE"""),"[""bag""]")</f>
        <v>["bag"]</v>
      </c>
      <c r="S2568" s="148" t="str">
        <f>IFERROR(__xludf.DUMMYFUNCTION("""COMPUTED_VALUE"""),"{}")</f>
        <v>{}</v>
      </c>
      <c r="T2568" s="148">
        <f>IFERROR(__xludf.DUMMYFUNCTION("""COMPUTED_VALUE"""),1.0)</f>
        <v>1</v>
      </c>
      <c r="U2568" s="148">
        <f>IFERROR(__xludf.DUMMYFUNCTION("""COMPUTED_VALUE"""),0.0)</f>
        <v>0</v>
      </c>
      <c r="V2568" s="148" t="str">
        <f>IFERROR(__xludf.DUMMYFUNCTION("""COMPUTED_VALUE"""),"[]")</f>
        <v>[]</v>
      </c>
      <c r="W2568" s="148">
        <f>IFERROR(__xludf.DUMMYFUNCTION("""COMPUTED_VALUE"""),1.174E7)</f>
        <v>11740000</v>
      </c>
      <c r="X2568" s="148">
        <f>IFERROR(__xludf.DUMMYFUNCTION("""COMPUTED_VALUE"""),0.0)</f>
        <v>0</v>
      </c>
      <c r="Y2568" s="148">
        <f>IFERROR(__xludf.DUMMYFUNCTION("""COMPUTED_VALUE"""),0.0)</f>
        <v>0</v>
      </c>
      <c r="Z2568" s="148"/>
    </row>
    <row r="2569">
      <c r="A2569" s="148">
        <f>IFERROR(__xludf.DUMMYFUNCTION("""COMPUTED_VALUE"""),1.1119514E7)</f>
        <v>11119514</v>
      </c>
      <c r="B2569" s="148" t="str">
        <f>IFERROR(__xludf.DUMMYFUNCTION("""COMPUTED_VALUE"""),"联盟宴会-菜品-玉米烤肉拼盘")</f>
        <v>联盟宴会-菜品-玉米烤肉拼盘</v>
      </c>
      <c r="C2569" s="148"/>
      <c r="D2569" s="148" t="str">
        <f>IFERROR(__xludf.DUMMYFUNCTION("""COMPUTED_VALUE"""),"event")</f>
        <v>event</v>
      </c>
      <c r="E2569" s="148">
        <f>IFERROR(__xludf.DUMMYFUNCTION("""COMPUTED_VALUE"""),0.0)</f>
        <v>0</v>
      </c>
      <c r="F2569" s="148">
        <f>IFERROR(__xludf.DUMMYFUNCTION("""COMPUTED_VALUE"""),0.0)</f>
        <v>0</v>
      </c>
      <c r="G2569" s="148">
        <f>IFERROR(__xludf.DUMMYFUNCTION("""COMPUTED_VALUE"""),1.51101565E8)</f>
        <v>151101565</v>
      </c>
      <c r="H2569" s="148">
        <f>IFERROR(__xludf.DUMMYFUNCTION("""COMPUTED_VALUE"""),1.5112564E7)</f>
        <v>15112564</v>
      </c>
      <c r="I2569" s="148" t="str">
        <f>IFERROR(__xludf.DUMMYFUNCTION("""COMPUTED_VALUE"""),"{}")</f>
        <v>{}</v>
      </c>
      <c r="J2569" s="148" t="str">
        <f>IFERROR(__xludf.DUMMYFUNCTION("""COMPUTED_VALUE"""),"{""typ"":""lc"",""txt"":""LC_ITEM_union_feast_dish_6_name""}")</f>
        <v>{"typ":"lc","txt":"LC_ITEM_union_feast_dish_6_name"}</v>
      </c>
      <c r="K2569" s="148" t="str">
        <f>IFERROR(__xludf.DUMMYFUNCTION("""COMPUTED_VALUE"""),"{""typ"":""lc"",""txt"":""LC_ITEM_union_feast_dish_6_desc""}")</f>
        <v>{"typ":"lc","txt":"LC_ITEM_union_feast_dish_6_desc"}</v>
      </c>
      <c r="L2569" s="148" t="str">
        <f>IFERROR(__xludf.DUMMYFUNCTION("""COMPUTED_VALUE"""),"{}")</f>
        <v>{}</v>
      </c>
      <c r="M2569" s="148">
        <f>IFERROR(__xludf.DUMMYFUNCTION("""COMPUTED_VALUE"""),700.0)</f>
        <v>700</v>
      </c>
      <c r="N2569" s="148">
        <f>IFERROR(__xludf.DUMMYFUNCTION("""COMPUTED_VALUE"""),9.99999999E8)</f>
        <v>999999999</v>
      </c>
      <c r="O2569" s="148">
        <f>IFERROR(__xludf.DUMMYFUNCTION("""COMPUTED_VALUE"""),9.99999999E8)</f>
        <v>999999999</v>
      </c>
      <c r="P2569" s="148">
        <f>IFERROR(__xludf.DUMMYFUNCTION("""COMPUTED_VALUE"""),9.99999999E8)</f>
        <v>999999999</v>
      </c>
      <c r="Q2569" s="148" t="str">
        <f>IFERROR(__xludf.DUMMYFUNCTION("""COMPUTED_VALUE"""),"[]")</f>
        <v>[]</v>
      </c>
      <c r="R2569" s="148" t="str">
        <f>IFERROR(__xludf.DUMMYFUNCTION("""COMPUTED_VALUE"""),"[""bag""]")</f>
        <v>["bag"]</v>
      </c>
      <c r="S2569" s="148" t="str">
        <f>IFERROR(__xludf.DUMMYFUNCTION("""COMPUTED_VALUE"""),"{}")</f>
        <v>{}</v>
      </c>
      <c r="T2569" s="148">
        <f>IFERROR(__xludf.DUMMYFUNCTION("""COMPUTED_VALUE"""),1.0)</f>
        <v>1</v>
      </c>
      <c r="U2569" s="148">
        <f>IFERROR(__xludf.DUMMYFUNCTION("""COMPUTED_VALUE"""),0.0)</f>
        <v>0</v>
      </c>
      <c r="V2569" s="148" t="str">
        <f>IFERROR(__xludf.DUMMYFUNCTION("""COMPUTED_VALUE"""),"[]")</f>
        <v>[]</v>
      </c>
      <c r="W2569" s="148">
        <f>IFERROR(__xludf.DUMMYFUNCTION("""COMPUTED_VALUE"""),1.174E7)</f>
        <v>11740000</v>
      </c>
      <c r="X2569" s="148">
        <f>IFERROR(__xludf.DUMMYFUNCTION("""COMPUTED_VALUE"""),0.0)</f>
        <v>0</v>
      </c>
      <c r="Y2569" s="148">
        <f>IFERROR(__xludf.DUMMYFUNCTION("""COMPUTED_VALUE"""),0.0)</f>
        <v>0</v>
      </c>
      <c r="Z2569" s="148"/>
    </row>
    <row r="2570">
      <c r="A2570" s="148">
        <f>IFERROR(__xludf.DUMMYFUNCTION("""COMPUTED_VALUE"""),1.1119515E7)</f>
        <v>11119515</v>
      </c>
      <c r="B2570" s="148" t="str">
        <f>IFERROR(__xludf.DUMMYFUNCTION("""COMPUTED_VALUE"""),"联盟宴会-食材-海草")</f>
        <v>联盟宴会-食材-海草</v>
      </c>
      <c r="C2570" s="148"/>
      <c r="D2570" s="148" t="str">
        <f>IFERROR(__xludf.DUMMYFUNCTION("""COMPUTED_VALUE"""),"event")</f>
        <v>event</v>
      </c>
      <c r="E2570" s="148">
        <f>IFERROR(__xludf.DUMMYFUNCTION("""COMPUTED_VALUE"""),0.0)</f>
        <v>0</v>
      </c>
      <c r="F2570" s="148">
        <f>IFERROR(__xludf.DUMMYFUNCTION("""COMPUTED_VALUE"""),0.0)</f>
        <v>0</v>
      </c>
      <c r="G2570" s="148">
        <f>IFERROR(__xludf.DUMMYFUNCTION("""COMPUTED_VALUE"""),1.51101566E8)</f>
        <v>151101566</v>
      </c>
      <c r="H2570" s="148">
        <f>IFERROR(__xludf.DUMMYFUNCTION("""COMPUTED_VALUE"""),1.5112563E7)</f>
        <v>15112563</v>
      </c>
      <c r="I2570" s="148" t="str">
        <f>IFERROR(__xludf.DUMMYFUNCTION("""COMPUTED_VALUE"""),"{}")</f>
        <v>{}</v>
      </c>
      <c r="J2570" s="148" t="str">
        <f>IFERROR(__xludf.DUMMYFUNCTION("""COMPUTED_VALUE"""),"{""typ"":""lc"",""txt"":""LC_ITEM_union_feast_material_1_name""}")</f>
        <v>{"typ":"lc","txt":"LC_ITEM_union_feast_material_1_name"}</v>
      </c>
      <c r="K2570" s="148" t="str">
        <f>IFERROR(__xludf.DUMMYFUNCTION("""COMPUTED_VALUE"""),"{""typ"":""lc"",""txt"":""LC_ITEM_union_feast_material_1_desc""}")</f>
        <v>{"typ":"lc","txt":"LC_ITEM_union_feast_material_1_desc"}</v>
      </c>
      <c r="L2570" s="148" t="str">
        <f>IFERROR(__xludf.DUMMYFUNCTION("""COMPUTED_VALUE"""),"{}")</f>
        <v>{}</v>
      </c>
      <c r="M2570" s="148">
        <f>IFERROR(__xludf.DUMMYFUNCTION("""COMPUTED_VALUE"""),700.0)</f>
        <v>700</v>
      </c>
      <c r="N2570" s="148">
        <f>IFERROR(__xludf.DUMMYFUNCTION("""COMPUTED_VALUE"""),9.99999999E8)</f>
        <v>999999999</v>
      </c>
      <c r="O2570" s="148">
        <f>IFERROR(__xludf.DUMMYFUNCTION("""COMPUTED_VALUE"""),9.99999999E8)</f>
        <v>999999999</v>
      </c>
      <c r="P2570" s="148">
        <f>IFERROR(__xludf.DUMMYFUNCTION("""COMPUTED_VALUE"""),9.99999999E8)</f>
        <v>999999999</v>
      </c>
      <c r="Q2570" s="148" t="str">
        <f>IFERROR(__xludf.DUMMYFUNCTION("""COMPUTED_VALUE"""),"[]")</f>
        <v>[]</v>
      </c>
      <c r="R2570" s="148" t="str">
        <f>IFERROR(__xludf.DUMMYFUNCTION("""COMPUTED_VALUE"""),"[""bag""]")</f>
        <v>["bag"]</v>
      </c>
      <c r="S2570" s="148" t="str">
        <f>IFERROR(__xludf.DUMMYFUNCTION("""COMPUTED_VALUE"""),"{}")</f>
        <v>{}</v>
      </c>
      <c r="T2570" s="148">
        <f>IFERROR(__xludf.DUMMYFUNCTION("""COMPUTED_VALUE"""),1.0)</f>
        <v>1</v>
      </c>
      <c r="U2570" s="148">
        <f>IFERROR(__xludf.DUMMYFUNCTION("""COMPUTED_VALUE"""),0.0)</f>
        <v>0</v>
      </c>
      <c r="V2570" s="148" t="str">
        <f>IFERROR(__xludf.DUMMYFUNCTION("""COMPUTED_VALUE"""),"[]")</f>
        <v>[]</v>
      </c>
      <c r="W2570" s="148">
        <f>IFERROR(__xludf.DUMMYFUNCTION("""COMPUTED_VALUE"""),1.174E7)</f>
        <v>11740000</v>
      </c>
      <c r="X2570" s="148">
        <f>IFERROR(__xludf.DUMMYFUNCTION("""COMPUTED_VALUE"""),0.0)</f>
        <v>0</v>
      </c>
      <c r="Y2570" s="148">
        <f>IFERROR(__xludf.DUMMYFUNCTION("""COMPUTED_VALUE"""),0.0)</f>
        <v>0</v>
      </c>
      <c r="Z2570" s="148"/>
    </row>
    <row r="2571">
      <c r="A2571" s="148">
        <f>IFERROR(__xludf.DUMMYFUNCTION("""COMPUTED_VALUE"""),1.1119516E7)</f>
        <v>11119516</v>
      </c>
      <c r="B2571" s="148" t="str">
        <f>IFERROR(__xludf.DUMMYFUNCTION("""COMPUTED_VALUE"""),"联盟宴会-食材-坚果")</f>
        <v>联盟宴会-食材-坚果</v>
      </c>
      <c r="C2571" s="148"/>
      <c r="D2571" s="148" t="str">
        <f>IFERROR(__xludf.DUMMYFUNCTION("""COMPUTED_VALUE"""),"event")</f>
        <v>event</v>
      </c>
      <c r="E2571" s="148">
        <f>IFERROR(__xludf.DUMMYFUNCTION("""COMPUTED_VALUE"""),0.0)</f>
        <v>0</v>
      </c>
      <c r="F2571" s="148">
        <f>IFERROR(__xludf.DUMMYFUNCTION("""COMPUTED_VALUE"""),0.0)</f>
        <v>0</v>
      </c>
      <c r="G2571" s="148">
        <f>IFERROR(__xludf.DUMMYFUNCTION("""COMPUTED_VALUE"""),1.51101567E8)</f>
        <v>151101567</v>
      </c>
      <c r="H2571" s="148">
        <f>IFERROR(__xludf.DUMMYFUNCTION("""COMPUTED_VALUE"""),1.5112563E7)</f>
        <v>15112563</v>
      </c>
      <c r="I2571" s="148" t="str">
        <f>IFERROR(__xludf.DUMMYFUNCTION("""COMPUTED_VALUE"""),"{}")</f>
        <v>{}</v>
      </c>
      <c r="J2571" s="148" t="str">
        <f>IFERROR(__xludf.DUMMYFUNCTION("""COMPUTED_VALUE"""),"{""typ"":""lc"",""txt"":""LC_ITEM_union_feast_material_2_name""}")</f>
        <v>{"typ":"lc","txt":"LC_ITEM_union_feast_material_2_name"}</v>
      </c>
      <c r="K2571" s="148" t="str">
        <f>IFERROR(__xludf.DUMMYFUNCTION("""COMPUTED_VALUE"""),"{""typ"":""lc"",""txt"":""LC_ITEM_union_feast_material_2_desc""}")</f>
        <v>{"typ":"lc","txt":"LC_ITEM_union_feast_material_2_desc"}</v>
      </c>
      <c r="L2571" s="148" t="str">
        <f>IFERROR(__xludf.DUMMYFUNCTION("""COMPUTED_VALUE"""),"{}")</f>
        <v>{}</v>
      </c>
      <c r="M2571" s="148">
        <f>IFERROR(__xludf.DUMMYFUNCTION("""COMPUTED_VALUE"""),700.0)</f>
        <v>700</v>
      </c>
      <c r="N2571" s="148">
        <f>IFERROR(__xludf.DUMMYFUNCTION("""COMPUTED_VALUE"""),9.99999999E8)</f>
        <v>999999999</v>
      </c>
      <c r="O2571" s="148">
        <f>IFERROR(__xludf.DUMMYFUNCTION("""COMPUTED_VALUE"""),9.99999999E8)</f>
        <v>999999999</v>
      </c>
      <c r="P2571" s="148">
        <f>IFERROR(__xludf.DUMMYFUNCTION("""COMPUTED_VALUE"""),9.99999999E8)</f>
        <v>999999999</v>
      </c>
      <c r="Q2571" s="148" t="str">
        <f>IFERROR(__xludf.DUMMYFUNCTION("""COMPUTED_VALUE"""),"[]")</f>
        <v>[]</v>
      </c>
      <c r="R2571" s="148" t="str">
        <f>IFERROR(__xludf.DUMMYFUNCTION("""COMPUTED_VALUE"""),"[""bag""]")</f>
        <v>["bag"]</v>
      </c>
      <c r="S2571" s="148" t="str">
        <f>IFERROR(__xludf.DUMMYFUNCTION("""COMPUTED_VALUE"""),"{}")</f>
        <v>{}</v>
      </c>
      <c r="T2571" s="148">
        <f>IFERROR(__xludf.DUMMYFUNCTION("""COMPUTED_VALUE"""),1.0)</f>
        <v>1</v>
      </c>
      <c r="U2571" s="148">
        <f>IFERROR(__xludf.DUMMYFUNCTION("""COMPUTED_VALUE"""),0.0)</f>
        <v>0</v>
      </c>
      <c r="V2571" s="148" t="str">
        <f>IFERROR(__xludf.DUMMYFUNCTION("""COMPUTED_VALUE"""),"[]")</f>
        <v>[]</v>
      </c>
      <c r="W2571" s="148">
        <f>IFERROR(__xludf.DUMMYFUNCTION("""COMPUTED_VALUE"""),1.174E7)</f>
        <v>11740000</v>
      </c>
      <c r="X2571" s="148">
        <f>IFERROR(__xludf.DUMMYFUNCTION("""COMPUTED_VALUE"""),0.0)</f>
        <v>0</v>
      </c>
      <c r="Y2571" s="148">
        <f>IFERROR(__xludf.DUMMYFUNCTION("""COMPUTED_VALUE"""),0.0)</f>
        <v>0</v>
      </c>
      <c r="Z2571" s="148"/>
    </row>
    <row r="2572">
      <c r="A2572" s="148">
        <f>IFERROR(__xludf.DUMMYFUNCTION("""COMPUTED_VALUE"""),1.1119517E7)</f>
        <v>11119517</v>
      </c>
      <c r="B2572" s="148" t="str">
        <f>IFERROR(__xludf.DUMMYFUNCTION("""COMPUTED_VALUE"""),"联盟宴会-食材-蘑菇")</f>
        <v>联盟宴会-食材-蘑菇</v>
      </c>
      <c r="C2572" s="148"/>
      <c r="D2572" s="148" t="str">
        <f>IFERROR(__xludf.DUMMYFUNCTION("""COMPUTED_VALUE"""),"event")</f>
        <v>event</v>
      </c>
      <c r="E2572" s="148">
        <f>IFERROR(__xludf.DUMMYFUNCTION("""COMPUTED_VALUE"""),0.0)</f>
        <v>0</v>
      </c>
      <c r="F2572" s="148">
        <f>IFERROR(__xludf.DUMMYFUNCTION("""COMPUTED_VALUE"""),0.0)</f>
        <v>0</v>
      </c>
      <c r="G2572" s="148">
        <f>IFERROR(__xludf.DUMMYFUNCTION("""COMPUTED_VALUE"""),1.51101568E8)</f>
        <v>151101568</v>
      </c>
      <c r="H2572" s="148">
        <f>IFERROR(__xludf.DUMMYFUNCTION("""COMPUTED_VALUE"""),1.5112563E7)</f>
        <v>15112563</v>
      </c>
      <c r="I2572" s="148" t="str">
        <f>IFERROR(__xludf.DUMMYFUNCTION("""COMPUTED_VALUE"""),"{}")</f>
        <v>{}</v>
      </c>
      <c r="J2572" s="148" t="str">
        <f>IFERROR(__xludf.DUMMYFUNCTION("""COMPUTED_VALUE"""),"{""typ"":""lc"",""txt"":""LC_ITEM_union_feast_material_3_name""}")</f>
        <v>{"typ":"lc","txt":"LC_ITEM_union_feast_material_3_name"}</v>
      </c>
      <c r="K2572" s="148" t="str">
        <f>IFERROR(__xludf.DUMMYFUNCTION("""COMPUTED_VALUE"""),"{""typ"":""lc"",""txt"":""LC_ITEM_union_feast_material_3_desc""}")</f>
        <v>{"typ":"lc","txt":"LC_ITEM_union_feast_material_3_desc"}</v>
      </c>
      <c r="L2572" s="148" t="str">
        <f>IFERROR(__xludf.DUMMYFUNCTION("""COMPUTED_VALUE"""),"{}")</f>
        <v>{}</v>
      </c>
      <c r="M2572" s="148">
        <f>IFERROR(__xludf.DUMMYFUNCTION("""COMPUTED_VALUE"""),700.0)</f>
        <v>700</v>
      </c>
      <c r="N2572" s="148">
        <f>IFERROR(__xludf.DUMMYFUNCTION("""COMPUTED_VALUE"""),9.99999999E8)</f>
        <v>999999999</v>
      </c>
      <c r="O2572" s="148">
        <f>IFERROR(__xludf.DUMMYFUNCTION("""COMPUTED_VALUE"""),9.99999999E8)</f>
        <v>999999999</v>
      </c>
      <c r="P2572" s="148">
        <f>IFERROR(__xludf.DUMMYFUNCTION("""COMPUTED_VALUE"""),9.99999999E8)</f>
        <v>999999999</v>
      </c>
      <c r="Q2572" s="148" t="str">
        <f>IFERROR(__xludf.DUMMYFUNCTION("""COMPUTED_VALUE"""),"[]")</f>
        <v>[]</v>
      </c>
      <c r="R2572" s="148" t="str">
        <f>IFERROR(__xludf.DUMMYFUNCTION("""COMPUTED_VALUE"""),"[""bag""]")</f>
        <v>["bag"]</v>
      </c>
      <c r="S2572" s="148" t="str">
        <f>IFERROR(__xludf.DUMMYFUNCTION("""COMPUTED_VALUE"""),"{}")</f>
        <v>{}</v>
      </c>
      <c r="T2572" s="148">
        <f>IFERROR(__xludf.DUMMYFUNCTION("""COMPUTED_VALUE"""),1.0)</f>
        <v>1</v>
      </c>
      <c r="U2572" s="148">
        <f>IFERROR(__xludf.DUMMYFUNCTION("""COMPUTED_VALUE"""),0.0)</f>
        <v>0</v>
      </c>
      <c r="V2572" s="148" t="str">
        <f>IFERROR(__xludf.DUMMYFUNCTION("""COMPUTED_VALUE"""),"[]")</f>
        <v>[]</v>
      </c>
      <c r="W2572" s="148">
        <f>IFERROR(__xludf.DUMMYFUNCTION("""COMPUTED_VALUE"""),1.174E7)</f>
        <v>11740000</v>
      </c>
      <c r="X2572" s="148">
        <f>IFERROR(__xludf.DUMMYFUNCTION("""COMPUTED_VALUE"""),0.0)</f>
        <v>0</v>
      </c>
      <c r="Y2572" s="148">
        <f>IFERROR(__xludf.DUMMYFUNCTION("""COMPUTED_VALUE"""),0.0)</f>
        <v>0</v>
      </c>
      <c r="Z2572" s="148"/>
    </row>
    <row r="2573">
      <c r="A2573" s="148">
        <f>IFERROR(__xludf.DUMMYFUNCTION("""COMPUTED_VALUE"""),1.1119518E7)</f>
        <v>11119518</v>
      </c>
      <c r="B2573" s="148" t="str">
        <f>IFERROR(__xludf.DUMMYFUNCTION("""COMPUTED_VALUE"""),"联盟宴会-食材-肉罐头")</f>
        <v>联盟宴会-食材-肉罐头</v>
      </c>
      <c r="C2573" s="148"/>
      <c r="D2573" s="148" t="str">
        <f>IFERROR(__xludf.DUMMYFUNCTION("""COMPUTED_VALUE"""),"event")</f>
        <v>event</v>
      </c>
      <c r="E2573" s="148">
        <f>IFERROR(__xludf.DUMMYFUNCTION("""COMPUTED_VALUE"""),0.0)</f>
        <v>0</v>
      </c>
      <c r="F2573" s="148">
        <f>IFERROR(__xludf.DUMMYFUNCTION("""COMPUTED_VALUE"""),0.0)</f>
        <v>0</v>
      </c>
      <c r="G2573" s="148">
        <f>IFERROR(__xludf.DUMMYFUNCTION("""COMPUTED_VALUE"""),1.51101569E8)</f>
        <v>151101569</v>
      </c>
      <c r="H2573" s="148">
        <f>IFERROR(__xludf.DUMMYFUNCTION("""COMPUTED_VALUE"""),1.5112563E7)</f>
        <v>15112563</v>
      </c>
      <c r="I2573" s="148" t="str">
        <f>IFERROR(__xludf.DUMMYFUNCTION("""COMPUTED_VALUE"""),"{}")</f>
        <v>{}</v>
      </c>
      <c r="J2573" s="148" t="str">
        <f>IFERROR(__xludf.DUMMYFUNCTION("""COMPUTED_VALUE"""),"{""typ"":""lc"",""txt"":""LC_ITEM_union_feast_material_4_name""}")</f>
        <v>{"typ":"lc","txt":"LC_ITEM_union_feast_material_4_name"}</v>
      </c>
      <c r="K2573" s="148" t="str">
        <f>IFERROR(__xludf.DUMMYFUNCTION("""COMPUTED_VALUE"""),"{""typ"":""lc"",""txt"":""LC_ITEM_union_feast_material_4_desc""}")</f>
        <v>{"typ":"lc","txt":"LC_ITEM_union_feast_material_4_desc"}</v>
      </c>
      <c r="L2573" s="148" t="str">
        <f>IFERROR(__xludf.DUMMYFUNCTION("""COMPUTED_VALUE"""),"{}")</f>
        <v>{}</v>
      </c>
      <c r="M2573" s="148">
        <f>IFERROR(__xludf.DUMMYFUNCTION("""COMPUTED_VALUE"""),700.0)</f>
        <v>700</v>
      </c>
      <c r="N2573" s="148">
        <f>IFERROR(__xludf.DUMMYFUNCTION("""COMPUTED_VALUE"""),9.99999999E8)</f>
        <v>999999999</v>
      </c>
      <c r="O2573" s="148">
        <f>IFERROR(__xludf.DUMMYFUNCTION("""COMPUTED_VALUE"""),9.99999999E8)</f>
        <v>999999999</v>
      </c>
      <c r="P2573" s="148">
        <f>IFERROR(__xludf.DUMMYFUNCTION("""COMPUTED_VALUE"""),9.99999999E8)</f>
        <v>999999999</v>
      </c>
      <c r="Q2573" s="148" t="str">
        <f>IFERROR(__xludf.DUMMYFUNCTION("""COMPUTED_VALUE"""),"[]")</f>
        <v>[]</v>
      </c>
      <c r="R2573" s="148" t="str">
        <f>IFERROR(__xludf.DUMMYFUNCTION("""COMPUTED_VALUE"""),"[""bag""]")</f>
        <v>["bag"]</v>
      </c>
      <c r="S2573" s="148" t="str">
        <f>IFERROR(__xludf.DUMMYFUNCTION("""COMPUTED_VALUE"""),"{}")</f>
        <v>{}</v>
      </c>
      <c r="T2573" s="148">
        <f>IFERROR(__xludf.DUMMYFUNCTION("""COMPUTED_VALUE"""),1.0)</f>
        <v>1</v>
      </c>
      <c r="U2573" s="148">
        <f>IFERROR(__xludf.DUMMYFUNCTION("""COMPUTED_VALUE"""),0.0)</f>
        <v>0</v>
      </c>
      <c r="V2573" s="148" t="str">
        <f>IFERROR(__xludf.DUMMYFUNCTION("""COMPUTED_VALUE"""),"[]")</f>
        <v>[]</v>
      </c>
      <c r="W2573" s="148">
        <f>IFERROR(__xludf.DUMMYFUNCTION("""COMPUTED_VALUE"""),1.174E7)</f>
        <v>11740000</v>
      </c>
      <c r="X2573" s="148">
        <f>IFERROR(__xludf.DUMMYFUNCTION("""COMPUTED_VALUE"""),0.0)</f>
        <v>0</v>
      </c>
      <c r="Y2573" s="148">
        <f>IFERROR(__xludf.DUMMYFUNCTION("""COMPUTED_VALUE"""),0.0)</f>
        <v>0</v>
      </c>
      <c r="Z2573" s="148"/>
    </row>
    <row r="2574">
      <c r="A2574" s="148">
        <f>IFERROR(__xludf.DUMMYFUNCTION("""COMPUTED_VALUE"""),1.1119519E7)</f>
        <v>11119519</v>
      </c>
      <c r="B2574" s="148" t="str">
        <f>IFERROR(__xludf.DUMMYFUNCTION("""COMPUTED_VALUE"""),"联盟宴会-食材-土豆")</f>
        <v>联盟宴会-食材-土豆</v>
      </c>
      <c r="C2574" s="148"/>
      <c r="D2574" s="148" t="str">
        <f>IFERROR(__xludf.DUMMYFUNCTION("""COMPUTED_VALUE"""),"event")</f>
        <v>event</v>
      </c>
      <c r="E2574" s="148">
        <f>IFERROR(__xludf.DUMMYFUNCTION("""COMPUTED_VALUE"""),0.0)</f>
        <v>0</v>
      </c>
      <c r="F2574" s="148">
        <f>IFERROR(__xludf.DUMMYFUNCTION("""COMPUTED_VALUE"""),0.0)</f>
        <v>0</v>
      </c>
      <c r="G2574" s="148">
        <f>IFERROR(__xludf.DUMMYFUNCTION("""COMPUTED_VALUE"""),1.5110157E8)</f>
        <v>151101570</v>
      </c>
      <c r="H2574" s="148">
        <f>IFERROR(__xludf.DUMMYFUNCTION("""COMPUTED_VALUE"""),1.5112563E7)</f>
        <v>15112563</v>
      </c>
      <c r="I2574" s="148" t="str">
        <f>IFERROR(__xludf.DUMMYFUNCTION("""COMPUTED_VALUE"""),"{}")</f>
        <v>{}</v>
      </c>
      <c r="J2574" s="148" t="str">
        <f>IFERROR(__xludf.DUMMYFUNCTION("""COMPUTED_VALUE"""),"{""typ"":""lc"",""txt"":""LC_ITEM_union_feast_material_5_name""}")</f>
        <v>{"typ":"lc","txt":"LC_ITEM_union_feast_material_5_name"}</v>
      </c>
      <c r="K2574" s="148" t="str">
        <f>IFERROR(__xludf.DUMMYFUNCTION("""COMPUTED_VALUE"""),"{""typ"":""lc"",""txt"":""LC_ITEM_union_feast_material_5_desc""}")</f>
        <v>{"typ":"lc","txt":"LC_ITEM_union_feast_material_5_desc"}</v>
      </c>
      <c r="L2574" s="148" t="str">
        <f>IFERROR(__xludf.DUMMYFUNCTION("""COMPUTED_VALUE"""),"{}")</f>
        <v>{}</v>
      </c>
      <c r="M2574" s="148">
        <f>IFERROR(__xludf.DUMMYFUNCTION("""COMPUTED_VALUE"""),700.0)</f>
        <v>700</v>
      </c>
      <c r="N2574" s="148">
        <f>IFERROR(__xludf.DUMMYFUNCTION("""COMPUTED_VALUE"""),9.99999999E8)</f>
        <v>999999999</v>
      </c>
      <c r="O2574" s="148">
        <f>IFERROR(__xludf.DUMMYFUNCTION("""COMPUTED_VALUE"""),9.99999999E8)</f>
        <v>999999999</v>
      </c>
      <c r="P2574" s="148">
        <f>IFERROR(__xludf.DUMMYFUNCTION("""COMPUTED_VALUE"""),9.99999999E8)</f>
        <v>999999999</v>
      </c>
      <c r="Q2574" s="148" t="str">
        <f>IFERROR(__xludf.DUMMYFUNCTION("""COMPUTED_VALUE"""),"[]")</f>
        <v>[]</v>
      </c>
      <c r="R2574" s="148" t="str">
        <f>IFERROR(__xludf.DUMMYFUNCTION("""COMPUTED_VALUE"""),"[""bag""]")</f>
        <v>["bag"]</v>
      </c>
      <c r="S2574" s="148" t="str">
        <f>IFERROR(__xludf.DUMMYFUNCTION("""COMPUTED_VALUE"""),"{}")</f>
        <v>{}</v>
      </c>
      <c r="T2574" s="148">
        <f>IFERROR(__xludf.DUMMYFUNCTION("""COMPUTED_VALUE"""),1.0)</f>
        <v>1</v>
      </c>
      <c r="U2574" s="148">
        <f>IFERROR(__xludf.DUMMYFUNCTION("""COMPUTED_VALUE"""),0.0)</f>
        <v>0</v>
      </c>
      <c r="V2574" s="148" t="str">
        <f>IFERROR(__xludf.DUMMYFUNCTION("""COMPUTED_VALUE"""),"[]")</f>
        <v>[]</v>
      </c>
      <c r="W2574" s="148">
        <f>IFERROR(__xludf.DUMMYFUNCTION("""COMPUTED_VALUE"""),1.174E7)</f>
        <v>11740000</v>
      </c>
      <c r="X2574" s="148">
        <f>IFERROR(__xludf.DUMMYFUNCTION("""COMPUTED_VALUE"""),0.0)</f>
        <v>0</v>
      </c>
      <c r="Y2574" s="148">
        <f>IFERROR(__xludf.DUMMYFUNCTION("""COMPUTED_VALUE"""),0.0)</f>
        <v>0</v>
      </c>
      <c r="Z2574" s="148"/>
    </row>
    <row r="2575">
      <c r="A2575" s="148">
        <f>IFERROR(__xludf.DUMMYFUNCTION("""COMPUTED_VALUE"""),1.111952E7)</f>
        <v>11119520</v>
      </c>
      <c r="B2575" s="148" t="str">
        <f>IFERROR(__xludf.DUMMYFUNCTION("""COMPUTED_VALUE"""),"联盟宴会-食材-玉米")</f>
        <v>联盟宴会-食材-玉米</v>
      </c>
      <c r="C2575" s="148"/>
      <c r="D2575" s="148" t="str">
        <f>IFERROR(__xludf.DUMMYFUNCTION("""COMPUTED_VALUE"""),"event")</f>
        <v>event</v>
      </c>
      <c r="E2575" s="148">
        <f>IFERROR(__xludf.DUMMYFUNCTION("""COMPUTED_VALUE"""),0.0)</f>
        <v>0</v>
      </c>
      <c r="F2575" s="148">
        <f>IFERROR(__xludf.DUMMYFUNCTION("""COMPUTED_VALUE"""),0.0)</f>
        <v>0</v>
      </c>
      <c r="G2575" s="148">
        <f>IFERROR(__xludf.DUMMYFUNCTION("""COMPUTED_VALUE"""),1.51101571E8)</f>
        <v>151101571</v>
      </c>
      <c r="H2575" s="148">
        <f>IFERROR(__xludf.DUMMYFUNCTION("""COMPUTED_VALUE"""),1.5112563E7)</f>
        <v>15112563</v>
      </c>
      <c r="I2575" s="148" t="str">
        <f>IFERROR(__xludf.DUMMYFUNCTION("""COMPUTED_VALUE"""),"{}")</f>
        <v>{}</v>
      </c>
      <c r="J2575" s="148" t="str">
        <f>IFERROR(__xludf.DUMMYFUNCTION("""COMPUTED_VALUE"""),"{""typ"":""lc"",""txt"":""LC_ITEM_union_feast_material_6_name""}")</f>
        <v>{"typ":"lc","txt":"LC_ITEM_union_feast_material_6_name"}</v>
      </c>
      <c r="K2575" s="148" t="str">
        <f>IFERROR(__xludf.DUMMYFUNCTION("""COMPUTED_VALUE"""),"{""typ"":""lc"",""txt"":""LC_ITEM_union_feast_material_6_desc""}")</f>
        <v>{"typ":"lc","txt":"LC_ITEM_union_feast_material_6_desc"}</v>
      </c>
      <c r="L2575" s="148" t="str">
        <f>IFERROR(__xludf.DUMMYFUNCTION("""COMPUTED_VALUE"""),"{}")</f>
        <v>{}</v>
      </c>
      <c r="M2575" s="148">
        <f>IFERROR(__xludf.DUMMYFUNCTION("""COMPUTED_VALUE"""),700.0)</f>
        <v>700</v>
      </c>
      <c r="N2575" s="148">
        <f>IFERROR(__xludf.DUMMYFUNCTION("""COMPUTED_VALUE"""),9.99999999E8)</f>
        <v>999999999</v>
      </c>
      <c r="O2575" s="148">
        <f>IFERROR(__xludf.DUMMYFUNCTION("""COMPUTED_VALUE"""),9.99999999E8)</f>
        <v>999999999</v>
      </c>
      <c r="P2575" s="148">
        <f>IFERROR(__xludf.DUMMYFUNCTION("""COMPUTED_VALUE"""),9.99999999E8)</f>
        <v>999999999</v>
      </c>
      <c r="Q2575" s="148" t="str">
        <f>IFERROR(__xludf.DUMMYFUNCTION("""COMPUTED_VALUE"""),"[]")</f>
        <v>[]</v>
      </c>
      <c r="R2575" s="148" t="str">
        <f>IFERROR(__xludf.DUMMYFUNCTION("""COMPUTED_VALUE"""),"[""bag""]")</f>
        <v>["bag"]</v>
      </c>
      <c r="S2575" s="148" t="str">
        <f>IFERROR(__xludf.DUMMYFUNCTION("""COMPUTED_VALUE"""),"{}")</f>
        <v>{}</v>
      </c>
      <c r="T2575" s="148">
        <f>IFERROR(__xludf.DUMMYFUNCTION("""COMPUTED_VALUE"""),1.0)</f>
        <v>1</v>
      </c>
      <c r="U2575" s="148">
        <f>IFERROR(__xludf.DUMMYFUNCTION("""COMPUTED_VALUE"""),0.0)</f>
        <v>0</v>
      </c>
      <c r="V2575" s="148" t="str">
        <f>IFERROR(__xludf.DUMMYFUNCTION("""COMPUTED_VALUE"""),"[]")</f>
        <v>[]</v>
      </c>
      <c r="W2575" s="148">
        <f>IFERROR(__xludf.DUMMYFUNCTION("""COMPUTED_VALUE"""),1.174E7)</f>
        <v>11740000</v>
      </c>
      <c r="X2575" s="148">
        <f>IFERROR(__xludf.DUMMYFUNCTION("""COMPUTED_VALUE"""),0.0)</f>
        <v>0</v>
      </c>
      <c r="Y2575" s="148">
        <f>IFERROR(__xludf.DUMMYFUNCTION("""COMPUTED_VALUE"""),0.0)</f>
        <v>0</v>
      </c>
      <c r="Z2575" s="148"/>
    </row>
    <row r="2576">
      <c r="A2576" s="148">
        <f>IFERROR(__xludf.DUMMYFUNCTION("""COMPUTED_VALUE"""),1.1119521E7)</f>
        <v>11119521</v>
      </c>
      <c r="B2576" s="148" t="str">
        <f>IFERROR(__xludf.DUMMYFUNCTION("""COMPUTED_VALUE"""),"联盟宴会-餐桌-低")</f>
        <v>联盟宴会-餐桌-低</v>
      </c>
      <c r="C2576" s="148"/>
      <c r="D2576" s="148" t="str">
        <f>IFERROR(__xludf.DUMMYFUNCTION("""COMPUTED_VALUE"""),"event")</f>
        <v>event</v>
      </c>
      <c r="E2576" s="148">
        <f>IFERROR(__xludf.DUMMYFUNCTION("""COMPUTED_VALUE"""),0.0)</f>
        <v>0</v>
      </c>
      <c r="F2576" s="148">
        <f>IFERROR(__xludf.DUMMYFUNCTION("""COMPUTED_VALUE"""),0.0)</f>
        <v>0</v>
      </c>
      <c r="G2576" s="148">
        <f>IFERROR(__xludf.DUMMYFUNCTION("""COMPUTED_VALUE"""),1.51101582E8)</f>
        <v>151101582</v>
      </c>
      <c r="H2576" s="148">
        <f>IFERROR(__xludf.DUMMYFUNCTION("""COMPUTED_VALUE"""),1.5112562E7)</f>
        <v>15112562</v>
      </c>
      <c r="I2576" s="148" t="str">
        <f>IFERROR(__xludf.DUMMYFUNCTION("""COMPUTED_VALUE"""),"{}")</f>
        <v>{}</v>
      </c>
      <c r="J2576" s="148" t="str">
        <f>IFERROR(__xludf.DUMMYFUNCTION("""COMPUTED_VALUE"""),"{""typ"":""lc"",""txt"":""LC_ITEM_union_feast_table_name_1""}")</f>
        <v>{"typ":"lc","txt":"LC_ITEM_union_feast_table_name_1"}</v>
      </c>
      <c r="K2576" s="148" t="str">
        <f>IFERROR(__xludf.DUMMYFUNCTION("""COMPUTED_VALUE"""),"{""typ"":""lc"",""txt"":""LC_ITEM_union_feast_table_desc_1""}")</f>
        <v>{"typ":"lc","txt":"LC_ITEM_union_feast_table_desc_1"}</v>
      </c>
      <c r="L2576" s="148" t="str">
        <f>IFERROR(__xludf.DUMMYFUNCTION("""COMPUTED_VALUE"""),"{}")</f>
        <v>{}</v>
      </c>
      <c r="M2576" s="148">
        <f>IFERROR(__xludf.DUMMYFUNCTION("""COMPUTED_VALUE"""),700.0)</f>
        <v>700</v>
      </c>
      <c r="N2576" s="148">
        <f>IFERROR(__xludf.DUMMYFUNCTION("""COMPUTED_VALUE"""),9.99999999E8)</f>
        <v>999999999</v>
      </c>
      <c r="O2576" s="148">
        <f>IFERROR(__xludf.DUMMYFUNCTION("""COMPUTED_VALUE"""),9.99999999E8)</f>
        <v>999999999</v>
      </c>
      <c r="P2576" s="148">
        <f>IFERROR(__xludf.DUMMYFUNCTION("""COMPUTED_VALUE"""),9.99999999E8)</f>
        <v>999999999</v>
      </c>
      <c r="Q2576" s="148" t="str">
        <f>IFERROR(__xludf.DUMMYFUNCTION("""COMPUTED_VALUE"""),"[]")</f>
        <v>[]</v>
      </c>
      <c r="R2576" s="148" t="str">
        <f>IFERROR(__xludf.DUMMYFUNCTION("""COMPUTED_VALUE"""),"[""bag""]")</f>
        <v>["bag"]</v>
      </c>
      <c r="S2576" s="148" t="str">
        <f>IFERROR(__xludf.DUMMYFUNCTION("""COMPUTED_VALUE"""),"{""effect"":[{""typ"":""join_limit"",""val"":20}],""drop"":{""typ"":""single_random"",""num"":1,""args"":[{""typ"":""item"",""id"":11114330,""num"":20,""wgt"":100},{""typ"":""item"",""id"":11116107,""num"":7,""wgt"":100},{""typ"":""item"",""id"":11111019,"&amp;"""num"":25,""wgt"":100},{""typ"":""item"",""id"":11111103,""num"":16,""wgt"":100},{""typ"":""item"",""id"":11116004,""num"":25,""wgt"":100}]}}")</f>
        <v>{"effect":[{"typ":"join_limit","val":20}],"drop":{"typ":"single_random","num":1,"args":[{"typ":"item","id":11114330,"num":20,"wgt":100},{"typ":"item","id":11116107,"num":7,"wgt":100},{"typ":"item","id":11111019,"num":25,"wgt":100},{"typ":"item","id":11111103,"num":16,"wgt":100},{"typ":"item","id":11116004,"num":25,"wgt":100}]}}</v>
      </c>
      <c r="T2576" s="148">
        <f>IFERROR(__xludf.DUMMYFUNCTION("""COMPUTED_VALUE"""),1.0)</f>
        <v>1</v>
      </c>
      <c r="U2576" s="148">
        <f>IFERROR(__xludf.DUMMYFUNCTION("""COMPUTED_VALUE"""),0.0)</f>
        <v>0</v>
      </c>
      <c r="V2576" s="148" t="str">
        <f>IFERROR(__xludf.DUMMYFUNCTION("""COMPUTED_VALUE"""),"[]")</f>
        <v>[]</v>
      </c>
      <c r="W2576" s="148">
        <f>IFERROR(__xludf.DUMMYFUNCTION("""COMPUTED_VALUE"""),1.174E7)</f>
        <v>11740000</v>
      </c>
      <c r="X2576" s="148">
        <f>IFERROR(__xludf.DUMMYFUNCTION("""COMPUTED_VALUE"""),0.0)</f>
        <v>0</v>
      </c>
      <c r="Y2576" s="148">
        <f>IFERROR(__xludf.DUMMYFUNCTION("""COMPUTED_VALUE"""),0.0)</f>
        <v>0</v>
      </c>
      <c r="Z2576" s="148"/>
    </row>
    <row r="2577">
      <c r="A2577" s="148">
        <f>IFERROR(__xludf.DUMMYFUNCTION("""COMPUTED_VALUE"""),1.1119522E7)</f>
        <v>11119522</v>
      </c>
      <c r="B2577" s="148" t="str">
        <f>IFERROR(__xludf.DUMMYFUNCTION("""COMPUTED_VALUE"""),"联盟宴会-餐桌-中")</f>
        <v>联盟宴会-餐桌-中</v>
      </c>
      <c r="C2577" s="148"/>
      <c r="D2577" s="148" t="str">
        <f>IFERROR(__xludf.DUMMYFUNCTION("""COMPUTED_VALUE"""),"event")</f>
        <v>event</v>
      </c>
      <c r="E2577" s="148">
        <f>IFERROR(__xludf.DUMMYFUNCTION("""COMPUTED_VALUE"""),0.0)</f>
        <v>0</v>
      </c>
      <c r="F2577" s="148">
        <f>IFERROR(__xludf.DUMMYFUNCTION("""COMPUTED_VALUE"""),0.0)</f>
        <v>0</v>
      </c>
      <c r="G2577" s="148">
        <f>IFERROR(__xludf.DUMMYFUNCTION("""COMPUTED_VALUE"""),1.51101583E8)</f>
        <v>151101583</v>
      </c>
      <c r="H2577" s="148">
        <f>IFERROR(__xludf.DUMMYFUNCTION("""COMPUTED_VALUE"""),1.5112563E7)</f>
        <v>15112563</v>
      </c>
      <c r="I2577" s="148" t="str">
        <f>IFERROR(__xludf.DUMMYFUNCTION("""COMPUTED_VALUE"""),"{}")</f>
        <v>{}</v>
      </c>
      <c r="J2577" s="148" t="str">
        <f>IFERROR(__xludf.DUMMYFUNCTION("""COMPUTED_VALUE"""),"{""typ"":""lc"",""txt"":""LC_ITEM_union_feast_table_name_2""}")</f>
        <v>{"typ":"lc","txt":"LC_ITEM_union_feast_table_name_2"}</v>
      </c>
      <c r="K2577" s="148" t="str">
        <f>IFERROR(__xludf.DUMMYFUNCTION("""COMPUTED_VALUE"""),"{""typ"":""lc"",""txt"":""LC_ITEM_union_feast_table_desc_2""}")</f>
        <v>{"typ":"lc","txt":"LC_ITEM_union_feast_table_desc_2"}</v>
      </c>
      <c r="L2577" s="148" t="str">
        <f>IFERROR(__xludf.DUMMYFUNCTION("""COMPUTED_VALUE"""),"{}")</f>
        <v>{}</v>
      </c>
      <c r="M2577" s="148">
        <f>IFERROR(__xludf.DUMMYFUNCTION("""COMPUTED_VALUE"""),700.0)</f>
        <v>700</v>
      </c>
      <c r="N2577" s="148">
        <f>IFERROR(__xludf.DUMMYFUNCTION("""COMPUTED_VALUE"""),9.99999999E8)</f>
        <v>999999999</v>
      </c>
      <c r="O2577" s="148">
        <f>IFERROR(__xludf.DUMMYFUNCTION("""COMPUTED_VALUE"""),9.99999999E8)</f>
        <v>999999999</v>
      </c>
      <c r="P2577" s="148">
        <f>IFERROR(__xludf.DUMMYFUNCTION("""COMPUTED_VALUE"""),9.99999999E8)</f>
        <v>999999999</v>
      </c>
      <c r="Q2577" s="148" t="str">
        <f>IFERROR(__xludf.DUMMYFUNCTION("""COMPUTED_VALUE"""),"[]")</f>
        <v>[]</v>
      </c>
      <c r="R2577" s="148" t="str">
        <f>IFERROR(__xludf.DUMMYFUNCTION("""COMPUTED_VALUE"""),"[""bag""]")</f>
        <v>["bag"]</v>
      </c>
      <c r="S2577" s="148" t="str">
        <f>IFERROR(__xludf.DUMMYFUNCTION("""COMPUTED_VALUE"""),"{""effect"":[{""typ"":""join_limit"",""val"":20}],""drop"":{""typ"":""single_random"",""num"":1,""args"":[{""typ"":""item"",""id"":11111156,""num"":7,""wgt"":100},{""typ"":""item"",""id"":11116110,""num"":2,""wgt"":100},{""typ"":""item"",""id"":11111032,"&amp;"""num"":6,""wgt"":100},{""typ"":""item"",""id"":11111105,""num"":7,""wgt"":100},{""typ"":""item"",""id"":11116004,""num"":60,""wgt"":100}]}}")</f>
        <v>{"effect":[{"typ":"join_limit","val":20}],"drop":{"typ":"single_random","num":1,"args":[{"typ":"item","id":11111156,"num":7,"wgt":100},{"typ":"item","id":11116110,"num":2,"wgt":100},{"typ":"item","id":11111032,"num":6,"wgt":100},{"typ":"item","id":11111105,"num":7,"wgt":100},{"typ":"item","id":11116004,"num":60,"wgt":100}]}}</v>
      </c>
      <c r="T2577" s="148">
        <f>IFERROR(__xludf.DUMMYFUNCTION("""COMPUTED_VALUE"""),1.0)</f>
        <v>1</v>
      </c>
      <c r="U2577" s="148">
        <f>IFERROR(__xludf.DUMMYFUNCTION("""COMPUTED_VALUE"""),0.0)</f>
        <v>0</v>
      </c>
      <c r="V2577" s="148" t="str">
        <f>IFERROR(__xludf.DUMMYFUNCTION("""COMPUTED_VALUE"""),"[]")</f>
        <v>[]</v>
      </c>
      <c r="W2577" s="148">
        <f>IFERROR(__xludf.DUMMYFUNCTION("""COMPUTED_VALUE"""),1.174E7)</f>
        <v>11740000</v>
      </c>
      <c r="X2577" s="148">
        <f>IFERROR(__xludf.DUMMYFUNCTION("""COMPUTED_VALUE"""),0.0)</f>
        <v>0</v>
      </c>
      <c r="Y2577" s="148">
        <f>IFERROR(__xludf.DUMMYFUNCTION("""COMPUTED_VALUE"""),0.0)</f>
        <v>0</v>
      </c>
      <c r="Z2577" s="148"/>
    </row>
    <row r="2578">
      <c r="A2578" s="148">
        <f>IFERROR(__xludf.DUMMYFUNCTION("""COMPUTED_VALUE"""),1.1119523E7)</f>
        <v>11119523</v>
      </c>
      <c r="B2578" s="148" t="str">
        <f>IFERROR(__xludf.DUMMYFUNCTION("""COMPUTED_VALUE"""),"联盟宴会-餐桌-高")</f>
        <v>联盟宴会-餐桌-高</v>
      </c>
      <c r="C2578" s="148"/>
      <c r="D2578" s="148" t="str">
        <f>IFERROR(__xludf.DUMMYFUNCTION("""COMPUTED_VALUE"""),"event")</f>
        <v>event</v>
      </c>
      <c r="E2578" s="148">
        <f>IFERROR(__xludf.DUMMYFUNCTION("""COMPUTED_VALUE"""),0.0)</f>
        <v>0</v>
      </c>
      <c r="F2578" s="148">
        <f>IFERROR(__xludf.DUMMYFUNCTION("""COMPUTED_VALUE"""),0.0)</f>
        <v>0</v>
      </c>
      <c r="G2578" s="148">
        <f>IFERROR(__xludf.DUMMYFUNCTION("""COMPUTED_VALUE"""),1.51101584E8)</f>
        <v>151101584</v>
      </c>
      <c r="H2578" s="148">
        <f>IFERROR(__xludf.DUMMYFUNCTION("""COMPUTED_VALUE"""),1.5112564E7)</f>
        <v>15112564</v>
      </c>
      <c r="I2578" s="148" t="str">
        <f>IFERROR(__xludf.DUMMYFUNCTION("""COMPUTED_VALUE"""),"{}")</f>
        <v>{}</v>
      </c>
      <c r="J2578" s="148" t="str">
        <f>IFERROR(__xludf.DUMMYFUNCTION("""COMPUTED_VALUE"""),"{""typ"":""lc"",""txt"":""LC_ITEM_union_feast_table_name_3""}")</f>
        <v>{"typ":"lc","txt":"LC_ITEM_union_feast_table_name_3"}</v>
      </c>
      <c r="K2578" s="148" t="str">
        <f>IFERROR(__xludf.DUMMYFUNCTION("""COMPUTED_VALUE"""),"{""typ"":""lc"",""txt"":""LC_ITEM_union_feast_table_desc_3""}")</f>
        <v>{"typ":"lc","txt":"LC_ITEM_union_feast_table_desc_3"}</v>
      </c>
      <c r="L2578" s="148" t="str">
        <f>IFERROR(__xludf.DUMMYFUNCTION("""COMPUTED_VALUE"""),"{}")</f>
        <v>{}</v>
      </c>
      <c r="M2578" s="148">
        <f>IFERROR(__xludf.DUMMYFUNCTION("""COMPUTED_VALUE"""),700.0)</f>
        <v>700</v>
      </c>
      <c r="N2578" s="148">
        <f>IFERROR(__xludf.DUMMYFUNCTION("""COMPUTED_VALUE"""),9.99999999E8)</f>
        <v>999999999</v>
      </c>
      <c r="O2578" s="148">
        <f>IFERROR(__xludf.DUMMYFUNCTION("""COMPUTED_VALUE"""),9.99999999E8)</f>
        <v>999999999</v>
      </c>
      <c r="P2578" s="148">
        <f>IFERROR(__xludf.DUMMYFUNCTION("""COMPUTED_VALUE"""),9.99999999E8)</f>
        <v>999999999</v>
      </c>
      <c r="Q2578" s="148" t="str">
        <f>IFERROR(__xludf.DUMMYFUNCTION("""COMPUTED_VALUE"""),"[]")</f>
        <v>[]</v>
      </c>
      <c r="R2578" s="148" t="str">
        <f>IFERROR(__xludf.DUMMYFUNCTION("""COMPUTED_VALUE"""),"[""bag""]")</f>
        <v>["bag"]</v>
      </c>
      <c r="S2578" s="148" t="str">
        <f>IFERROR(__xludf.DUMMYFUNCTION("""COMPUTED_VALUE"""),"{""effect"":[{""typ"":""join_limit"",""val"":20}],""drop"":{""typ"":""single_random"",""num"":1,""args"":[{""typ"":""item"",""id"":11111156,""num"":15,""wgt"":100},{""typ"":""item"",""id"":11116110,""num"":5,""wgt"":100},{""typ"":""item"",""id"":11111032,"&amp;"""num"":13,""wgt"":100},{""typ"":""item"",""id"":11111105,""num"":14,""wgt"":100},{""typ"":""item"",""id"":11116402,""num"":5,""wgt"":100}]}}")</f>
        <v>{"effect":[{"typ":"join_limit","val":20}],"drop":{"typ":"single_random","num":1,"args":[{"typ":"item","id":11111156,"num":15,"wgt":100},{"typ":"item","id":11116110,"num":5,"wgt":100},{"typ":"item","id":11111032,"num":13,"wgt":100},{"typ":"item","id":11111105,"num":14,"wgt":100},{"typ":"item","id":11116402,"num":5,"wgt":100}]}}</v>
      </c>
      <c r="T2578" s="148">
        <f>IFERROR(__xludf.DUMMYFUNCTION("""COMPUTED_VALUE"""),1.0)</f>
        <v>1</v>
      </c>
      <c r="U2578" s="148">
        <f>IFERROR(__xludf.DUMMYFUNCTION("""COMPUTED_VALUE"""),0.0)</f>
        <v>0</v>
      </c>
      <c r="V2578" s="148" t="str">
        <f>IFERROR(__xludf.DUMMYFUNCTION("""COMPUTED_VALUE"""),"[]")</f>
        <v>[]</v>
      </c>
      <c r="W2578" s="148">
        <f>IFERROR(__xludf.DUMMYFUNCTION("""COMPUTED_VALUE"""),1.174E7)</f>
        <v>11740000</v>
      </c>
      <c r="X2578" s="148">
        <f>IFERROR(__xludf.DUMMYFUNCTION("""COMPUTED_VALUE"""),0.0)</f>
        <v>0</v>
      </c>
      <c r="Y2578" s="148">
        <f>IFERROR(__xludf.DUMMYFUNCTION("""COMPUTED_VALUE"""),0.0)</f>
        <v>0</v>
      </c>
      <c r="Z2578" s="148"/>
    </row>
    <row r="2579">
      <c r="A2579" s="148">
        <f>IFERROR(__xludf.DUMMYFUNCTION("""COMPUTED_VALUE"""),1.1119524E7)</f>
        <v>11119524</v>
      </c>
      <c r="B2579" s="148" t="str">
        <f>IFERROR(__xludf.DUMMYFUNCTION("""COMPUTED_VALUE"""),"原料生产队列+4槽位永久")</f>
        <v>原料生产队列+4槽位永久</v>
      </c>
      <c r="C2579" s="148"/>
      <c r="D2579" s="148" t="str">
        <f>IFERROR(__xludf.DUMMYFUNCTION("""COMPUTED_VALUE"""),"item_temporary_queue")</f>
        <v>item_temporary_queue</v>
      </c>
      <c r="E2579" s="148">
        <f>IFERROR(__xludf.DUMMYFUNCTION("""COMPUTED_VALUE"""),14.0)</f>
        <v>14</v>
      </c>
      <c r="F2579" s="148">
        <f>IFERROR(__xludf.DUMMYFUNCTION("""COMPUTED_VALUE"""),300501.0)</f>
        <v>300501</v>
      </c>
      <c r="G2579" s="148">
        <f>IFERROR(__xludf.DUMMYFUNCTION("""COMPUTED_VALUE"""),1.51101635E8)</f>
        <v>151101635</v>
      </c>
      <c r="H2579" s="148">
        <f>IFERROR(__xludf.DUMMYFUNCTION("""COMPUTED_VALUE"""),1.5112564E7)</f>
        <v>15112564</v>
      </c>
      <c r="I2579" s="148" t="str">
        <f>IFERROR(__xludf.DUMMYFUNCTION("""COMPUTED_VALUE"""),"{}")</f>
        <v>{}</v>
      </c>
      <c r="J2579" s="148" t="str">
        <f>IFERROR(__xludf.DUMMYFUNCTION("""COMPUTED_VALUE"""),"{""typ"":""lc"",""txt"":""LC_IAP_equip_queue_pkg""}")</f>
        <v>{"typ":"lc","txt":"LC_IAP_equip_queue_pkg"}</v>
      </c>
      <c r="K2579" s="148" t="str">
        <f>IFERROR(__xludf.DUMMYFUNCTION("""COMPUTED_VALUE"""),"{""typ"":""lc"",""txt"":""LC_IAP_second_equip_queue_desc1""}")</f>
        <v>{"typ":"lc","txt":"LC_IAP_second_equip_queue_desc1"}</v>
      </c>
      <c r="L2579" s="148" t="str">
        <f>IFERROR(__xludf.DUMMYFUNCTION("""COMPUTED_VALUE"""),"{}")</f>
        <v>{}</v>
      </c>
      <c r="M2579" s="148">
        <f>IFERROR(__xludf.DUMMYFUNCTION("""COMPUTED_VALUE"""),50000.0)</f>
        <v>50000</v>
      </c>
      <c r="N2579" s="148">
        <f>IFERROR(__xludf.DUMMYFUNCTION("""COMPUTED_VALUE"""),999999.0)</f>
        <v>999999</v>
      </c>
      <c r="O2579" s="148">
        <f>IFERROR(__xludf.DUMMYFUNCTION("""COMPUTED_VALUE"""),99999.0)</f>
        <v>99999</v>
      </c>
      <c r="P2579" s="148">
        <f>IFERROR(__xludf.DUMMYFUNCTION("""COMPUTED_VALUE"""),1.0)</f>
        <v>1</v>
      </c>
      <c r="Q2579" s="148" t="str">
        <f>IFERROR(__xludf.DUMMYFUNCTION("""COMPUTED_VALUE"""),"[]")</f>
        <v>[]</v>
      </c>
      <c r="R2579" s="148" t="str">
        <f>IFERROR(__xludf.DUMMYFUNCTION("""COMPUTED_VALUE"""),"[]")</f>
        <v>[]</v>
      </c>
      <c r="S2579" s="148" t="str">
        <f>IFERROR(__xludf.DUMMYFUNCTION("""COMPUTED_VALUE"""),"{""effect"":[{""typ"":""item_temporary_queue"",""val"":-1,""arg1"":9,""arg2"":[4]}]}")</f>
        <v>{"effect":[{"typ":"item_temporary_queue","val":-1,"arg1":9,"arg2":[4]}]}</v>
      </c>
      <c r="T2579" s="148">
        <f>IFERROR(__xludf.DUMMYFUNCTION("""COMPUTED_VALUE"""),-1.0)</f>
        <v>-1</v>
      </c>
      <c r="U2579" s="148">
        <f>IFERROR(__xludf.DUMMYFUNCTION("""COMPUTED_VALUE"""),1.0)</f>
        <v>1</v>
      </c>
      <c r="V2579" s="148" t="str">
        <f>IFERROR(__xludf.DUMMYFUNCTION("""COMPUTED_VALUE"""),"[]")</f>
        <v>[]</v>
      </c>
      <c r="W2579" s="148">
        <f>IFERROR(__xludf.DUMMYFUNCTION("""COMPUTED_VALUE"""),1.174E7)</f>
        <v>11740000</v>
      </c>
      <c r="X2579" s="148">
        <f>IFERROR(__xludf.DUMMYFUNCTION("""COMPUTED_VALUE"""),0.0)</f>
        <v>0</v>
      </c>
      <c r="Y2579" s="148">
        <f>IFERROR(__xludf.DUMMYFUNCTION("""COMPUTED_VALUE"""),0.0)</f>
        <v>0</v>
      </c>
      <c r="Z2579" s="148"/>
    </row>
    <row r="2580">
      <c r="A2580" s="148">
        <f>IFERROR(__xludf.DUMMYFUNCTION("""COMPUTED_VALUE"""),1.1119525E7)</f>
        <v>11119525</v>
      </c>
      <c r="B2580" s="148" t="str">
        <f>IFERROR(__xludf.DUMMYFUNCTION("""COMPUTED_VALUE"""),"碎片-五代传说斗士奖牌")</f>
        <v>碎片-五代传说斗士奖牌</v>
      </c>
      <c r="C2580" s="148"/>
      <c r="D2580" s="148" t="str">
        <f>IFERROR(__xludf.DUMMYFUNCTION("""COMPUTED_VALUE"""),"item_select_box")</f>
        <v>item_select_box</v>
      </c>
      <c r="E2580" s="148">
        <f>IFERROR(__xludf.DUMMYFUNCTION("""COMPUTED_VALUE"""),19.0)</f>
        <v>19</v>
      </c>
      <c r="F2580" s="148">
        <f>IFERROR(__xludf.DUMMYFUNCTION("""COMPUTED_VALUE"""),408195.0)</f>
        <v>408195</v>
      </c>
      <c r="G2580" s="148">
        <f>IFERROR(__xludf.DUMMYFUNCTION("""COMPUTED_VALUE"""),1.51101734E8)</f>
        <v>151101734</v>
      </c>
      <c r="H2580" s="148">
        <f>IFERROR(__xludf.DUMMYFUNCTION("""COMPUTED_VALUE"""),1.5112564E7)</f>
        <v>15112564</v>
      </c>
      <c r="I2580" s="148" t="str">
        <f>IFERROR(__xludf.DUMMYFUNCTION("""COMPUTED_VALUE"""),"{}")</f>
        <v>{}</v>
      </c>
      <c r="J2580" s="148" t="str">
        <f>IFERROR(__xludf.DUMMYFUNCTION("""COMPUTED_VALUE"""),"{""typ"":""lc"",""txt"":""LC_ITEM_hero_custom_fragment_chest_tier5""}")</f>
        <v>{"typ":"lc","txt":"LC_ITEM_hero_custom_fragment_chest_tier5"}</v>
      </c>
      <c r="K2580" s="148" t="str">
        <f>IFERROR(__xludf.DUMMYFUNCTION("""COMPUTED_VALUE"""),"{""typ"":""lc"",""txt"":""LC_ITEM_hero_custom_fragment_chest_tier5_desc_new""}")</f>
        <v>{"typ":"lc","txt":"LC_ITEM_hero_custom_fragment_chest_tier5_desc_new"}</v>
      </c>
      <c r="L2580" s="148" t="str">
        <f>IFERROR(__xludf.DUMMYFUNCTION("""COMPUTED_VALUE"""),"{}")</f>
        <v>{}</v>
      </c>
      <c r="M2580" s="148">
        <f>IFERROR(__xludf.DUMMYFUNCTION("""COMPUTED_VALUE"""),4000.0)</f>
        <v>4000</v>
      </c>
      <c r="N2580" s="148">
        <f>IFERROR(__xludf.DUMMYFUNCTION("""COMPUTED_VALUE"""),9999999.0)</f>
        <v>9999999</v>
      </c>
      <c r="O2580" s="148">
        <f>IFERROR(__xludf.DUMMYFUNCTION("""COMPUTED_VALUE"""),99999.0)</f>
        <v>99999</v>
      </c>
      <c r="P2580" s="148">
        <f>IFERROR(__xludf.DUMMYFUNCTION("""COMPUTED_VALUE"""),99999.0)</f>
        <v>99999</v>
      </c>
      <c r="Q2580" s="148" t="str">
        <f>IFERROR(__xludf.DUMMYFUNCTION("""COMPUTED_VALUE"""),"[""bag_other""]")</f>
        <v>["bag_other"]</v>
      </c>
      <c r="R2580" s="148" t="str">
        <f>IFERROR(__xludf.DUMMYFUNCTION("""COMPUTED_VALUE"""),"[""bag""]")</f>
        <v>["bag"]</v>
      </c>
      <c r="S2580" s="148" t="str">
        <f>IFERROR(__xludf.DUMMYFUNCTION("""COMPUTED_VALUE"""),"{""select_box"":[{""typ"":""item"",""id"":11116243,""val"":1},{""typ"":""item"",""id"":11116244,""val"":1},{""typ"":""item"",""id"":11116245,""val"":1}]}")</f>
        <v>{"select_box":[{"typ":"item","id":11116243,"val":1},{"typ":"item","id":11116244,"val":1},{"typ":"item","id":11116245,"val":1}]}</v>
      </c>
      <c r="T2580" s="148">
        <f>IFERROR(__xludf.DUMMYFUNCTION("""COMPUTED_VALUE"""),-1.0)</f>
        <v>-1</v>
      </c>
      <c r="U2580" s="148">
        <f>IFERROR(__xludf.DUMMYFUNCTION("""COMPUTED_VALUE"""),0.0)</f>
        <v>0</v>
      </c>
      <c r="V2580" s="148" t="str">
        <f>IFERROR(__xludf.DUMMYFUNCTION("""COMPUTED_VALUE"""),"[]")</f>
        <v>[]</v>
      </c>
      <c r="W2580" s="148">
        <f>IFERROR(__xludf.DUMMYFUNCTION("""COMPUTED_VALUE"""),1.1741002E7)</f>
        <v>11741002</v>
      </c>
      <c r="X2580" s="148">
        <f>IFERROR(__xludf.DUMMYFUNCTION("""COMPUTED_VALUE"""),0.0)</f>
        <v>0</v>
      </c>
      <c r="Y2580" s="148">
        <f>IFERROR(__xludf.DUMMYFUNCTION("""COMPUTED_VALUE"""),0.0)</f>
        <v>0</v>
      </c>
      <c r="Z2580" s="148"/>
    </row>
    <row r="2581">
      <c r="A2581" s="148">
        <f>IFERROR(__xludf.DUMMYFUNCTION("""COMPUTED_VALUE"""),1.1119526E7)</f>
        <v>11119526</v>
      </c>
      <c r="B2581" s="148" t="str">
        <f>IFERROR(__xludf.DUMMYFUNCTION("""COMPUTED_VALUE"""),"碎片-六代传说斗士奖牌")</f>
        <v>碎片-六代传说斗士奖牌</v>
      </c>
      <c r="C2581" s="148"/>
      <c r="D2581" s="148" t="str">
        <f>IFERROR(__xludf.DUMMYFUNCTION("""COMPUTED_VALUE"""),"item_select_box")</f>
        <v>item_select_box</v>
      </c>
      <c r="E2581" s="148">
        <f>IFERROR(__xludf.DUMMYFUNCTION("""COMPUTED_VALUE"""),19.0)</f>
        <v>19</v>
      </c>
      <c r="F2581" s="148">
        <f>IFERROR(__xludf.DUMMYFUNCTION("""COMPUTED_VALUE"""),408195.0)</f>
        <v>408195</v>
      </c>
      <c r="G2581" s="148">
        <f>IFERROR(__xludf.DUMMYFUNCTION("""COMPUTED_VALUE"""),1.51101733E8)</f>
        <v>151101733</v>
      </c>
      <c r="H2581" s="148">
        <f>IFERROR(__xludf.DUMMYFUNCTION("""COMPUTED_VALUE"""),1.5112564E7)</f>
        <v>15112564</v>
      </c>
      <c r="I2581" s="148" t="str">
        <f>IFERROR(__xludf.DUMMYFUNCTION("""COMPUTED_VALUE"""),"{}")</f>
        <v>{}</v>
      </c>
      <c r="J2581" s="148" t="str">
        <f>IFERROR(__xludf.DUMMYFUNCTION("""COMPUTED_VALUE"""),"{""typ"":""lc"",""txt"":""LC_ITEM_hero_custom_fragment_chest_tier6""}")</f>
        <v>{"typ":"lc","txt":"LC_ITEM_hero_custom_fragment_chest_tier6"}</v>
      </c>
      <c r="K2581" s="148" t="str">
        <f>IFERROR(__xludf.DUMMYFUNCTION("""COMPUTED_VALUE"""),"{""typ"":""lc"",""txt"":""LC_ITEM_hero_custom_fragment_chest_tier6_desc_new""}")</f>
        <v>{"typ":"lc","txt":"LC_ITEM_hero_custom_fragment_chest_tier6_desc_new"}</v>
      </c>
      <c r="L2581" s="148" t="str">
        <f>IFERROR(__xludf.DUMMYFUNCTION("""COMPUTED_VALUE"""),"{}")</f>
        <v>{}</v>
      </c>
      <c r="M2581" s="148">
        <f>IFERROR(__xludf.DUMMYFUNCTION("""COMPUTED_VALUE"""),4000.0)</f>
        <v>4000</v>
      </c>
      <c r="N2581" s="148">
        <f>IFERROR(__xludf.DUMMYFUNCTION("""COMPUTED_VALUE"""),9999999.0)</f>
        <v>9999999</v>
      </c>
      <c r="O2581" s="148">
        <f>IFERROR(__xludf.DUMMYFUNCTION("""COMPUTED_VALUE"""),99999.0)</f>
        <v>99999</v>
      </c>
      <c r="P2581" s="148">
        <f>IFERROR(__xludf.DUMMYFUNCTION("""COMPUTED_VALUE"""),99999.0)</f>
        <v>99999</v>
      </c>
      <c r="Q2581" s="148" t="str">
        <f>IFERROR(__xludf.DUMMYFUNCTION("""COMPUTED_VALUE"""),"[""bag_other""]")</f>
        <v>["bag_other"]</v>
      </c>
      <c r="R2581" s="148" t="str">
        <f>IFERROR(__xludf.DUMMYFUNCTION("""COMPUTED_VALUE"""),"[""bag""]")</f>
        <v>["bag"]</v>
      </c>
      <c r="S2581" s="148" t="str">
        <f>IFERROR(__xludf.DUMMYFUNCTION("""COMPUTED_VALUE"""),"{""select_box"":[{""typ"":""item"",""id"":11116247,""val"":1},{""typ"":""item"",""id"":11116248,""val"":1},{""typ"":""item"",""id"":11116250,""val"":1}]}")</f>
        <v>{"select_box":[{"typ":"item","id":11116247,"val":1},{"typ":"item","id":11116248,"val":1},{"typ":"item","id":11116250,"val":1}]}</v>
      </c>
      <c r="T2581" s="148">
        <f>IFERROR(__xludf.DUMMYFUNCTION("""COMPUTED_VALUE"""),-1.0)</f>
        <v>-1</v>
      </c>
      <c r="U2581" s="148">
        <f>IFERROR(__xludf.DUMMYFUNCTION("""COMPUTED_VALUE"""),0.0)</f>
        <v>0</v>
      </c>
      <c r="V2581" s="148" t="str">
        <f>IFERROR(__xludf.DUMMYFUNCTION("""COMPUTED_VALUE"""),"[]")</f>
        <v>[]</v>
      </c>
      <c r="W2581" s="148">
        <f>IFERROR(__xludf.DUMMYFUNCTION("""COMPUTED_VALUE"""),1.1741002E7)</f>
        <v>11741002</v>
      </c>
      <c r="X2581" s="148">
        <f>IFERROR(__xludf.DUMMYFUNCTION("""COMPUTED_VALUE"""),0.0)</f>
        <v>0</v>
      </c>
      <c r="Y2581" s="148">
        <f>IFERROR(__xludf.DUMMYFUNCTION("""COMPUTED_VALUE"""),0.0)</f>
        <v>0</v>
      </c>
      <c r="Z2581" s="148"/>
    </row>
    <row r="2582">
      <c r="A2582" s="148">
        <f>IFERROR(__xludf.DUMMYFUNCTION("""COMPUTED_VALUE"""),1.1119527E7)</f>
        <v>11119527</v>
      </c>
      <c r="B2582" s="148" t="str">
        <f>IFERROR(__xludf.DUMMYFUNCTION("""COMPUTED_VALUE"""),"帮派运动会BP-升级道具-旧")</f>
        <v>帮派运动会BP-升级道具-旧</v>
      </c>
      <c r="C2582" s="148"/>
      <c r="D2582" s="148" t="str">
        <f>IFERROR(__xludf.DUMMYFUNCTION("""COMPUTED_VALUE"""),"battle_pass_exp")</f>
        <v>battle_pass_exp</v>
      </c>
      <c r="E2582" s="148">
        <f>IFERROR(__xludf.DUMMYFUNCTION("""COMPUTED_VALUE"""),0.0)</f>
        <v>0</v>
      </c>
      <c r="F2582" s="148">
        <f>IFERROR(__xludf.DUMMYFUNCTION("""COMPUTED_VALUE"""),405225.0)</f>
        <v>405225</v>
      </c>
      <c r="G2582" s="148">
        <f>IFERROR(__xludf.DUMMYFUNCTION("""COMPUTED_VALUE"""),1.51100961E8)</f>
        <v>151100961</v>
      </c>
      <c r="H2582" s="148">
        <f>IFERROR(__xludf.DUMMYFUNCTION("""COMPUTED_VALUE"""),1.5112563E7)</f>
        <v>15112563</v>
      </c>
      <c r="I2582" s="148" t="str">
        <f>IFERROR(__xludf.DUMMYFUNCTION("""COMPUTED_VALUE"""),"{}")</f>
        <v>{}</v>
      </c>
      <c r="J2582" s="148" t="str">
        <f>IFERROR(__xludf.DUMMYFUNCTION("""COMPUTED_VALUE"""),"{""typ"":""lc"",""txt"":""LC_ITEM_s300_weekly_card_lvlup_name""}")</f>
        <v>{"typ":"lc","txt":"LC_ITEM_s300_weekly_card_lvlup_name"}</v>
      </c>
      <c r="K2582" s="148" t="str">
        <f>IFERROR(__xludf.DUMMYFUNCTION("""COMPUTED_VALUE"""),"{""typ"":""lc"",""txt"":""LC_ITEM_s300_weekly_card_lvlup_desc""}")</f>
        <v>{"typ":"lc","txt":"LC_ITEM_s300_weekly_card_lvlup_desc"}</v>
      </c>
      <c r="L2582" s="148" t="str">
        <f>IFERROR(__xludf.DUMMYFUNCTION("""COMPUTED_VALUE"""),"{}")</f>
        <v>{}</v>
      </c>
      <c r="M2582" s="148">
        <f>IFERROR(__xludf.DUMMYFUNCTION("""COMPUTED_VALUE"""),35.0)</f>
        <v>35</v>
      </c>
      <c r="N2582" s="148">
        <f>IFERROR(__xludf.DUMMYFUNCTION("""COMPUTED_VALUE"""),999999.0)</f>
        <v>999999</v>
      </c>
      <c r="O2582" s="148">
        <f>IFERROR(__xludf.DUMMYFUNCTION("""COMPUTED_VALUE"""),99999.0)</f>
        <v>99999</v>
      </c>
      <c r="P2582" s="148">
        <f>IFERROR(__xludf.DUMMYFUNCTION("""COMPUTED_VALUE"""),99999.0)</f>
        <v>99999</v>
      </c>
      <c r="Q2582" s="148" t="str">
        <f>IFERROR(__xludf.DUMMYFUNCTION("""COMPUTED_VALUE"""),"[]")</f>
        <v>[]</v>
      </c>
      <c r="R2582" s="148" t="str">
        <f>IFERROR(__xludf.DUMMYFUNCTION("""COMPUTED_VALUE"""),"[""bag""]")</f>
        <v>["bag"]</v>
      </c>
      <c r="S2582" s="148" t="str">
        <f>IFERROR(__xludf.DUMMYFUNCTION("""COMPUTED_VALUE"""),"{}")</f>
        <v>{}</v>
      </c>
      <c r="T2582" s="148">
        <f>IFERROR(__xludf.DUMMYFUNCTION("""COMPUTED_VALUE"""),-1.0)</f>
        <v>-1</v>
      </c>
      <c r="U2582" s="148">
        <f>IFERROR(__xludf.DUMMYFUNCTION("""COMPUTED_VALUE"""),1.0)</f>
        <v>1</v>
      </c>
      <c r="V2582" s="148" t="str">
        <f>IFERROR(__xludf.DUMMYFUNCTION("""COMPUTED_VALUE"""),"[]")</f>
        <v>[]</v>
      </c>
      <c r="W2582" s="148">
        <f>IFERROR(__xludf.DUMMYFUNCTION("""COMPUTED_VALUE"""),1.174E7)</f>
        <v>11740000</v>
      </c>
      <c r="X2582" s="148">
        <f>IFERROR(__xludf.DUMMYFUNCTION("""COMPUTED_VALUE"""),0.0)</f>
        <v>0</v>
      </c>
      <c r="Y2582" s="148">
        <f>IFERROR(__xludf.DUMMYFUNCTION("""COMPUTED_VALUE"""),0.0)</f>
        <v>0</v>
      </c>
      <c r="Z2582" s="148"/>
    </row>
    <row r="2583">
      <c r="A2583" s="148">
        <f>IFERROR(__xludf.DUMMYFUNCTION("""COMPUTED_VALUE"""),1.1119528E7)</f>
        <v>11119528</v>
      </c>
      <c r="B2583" s="148" t="str">
        <f>IFERROR(__xludf.DUMMYFUNCTION("""COMPUTED_VALUE"""),"帮派运动会BP-解锁道具")</f>
        <v>帮派运动会BP-解锁道具</v>
      </c>
      <c r="C2583" s="148"/>
      <c r="D2583" s="148" t="str">
        <f>IFERROR(__xludf.DUMMYFUNCTION("""COMPUTED_VALUE"""),"battle_pass_card")</f>
        <v>battle_pass_card</v>
      </c>
      <c r="E2583" s="148">
        <f>IFERROR(__xludf.DUMMYFUNCTION("""COMPUTED_VALUE"""),0.0)</f>
        <v>0</v>
      </c>
      <c r="F2583" s="148">
        <f>IFERROR(__xludf.DUMMYFUNCTION("""COMPUTED_VALUE"""),0.0)</f>
        <v>0</v>
      </c>
      <c r="G2583" s="148">
        <f>IFERROR(__xludf.DUMMYFUNCTION("""COMPUTED_VALUE"""),1.51100959E8)</f>
        <v>151100959</v>
      </c>
      <c r="H2583" s="148">
        <f>IFERROR(__xludf.DUMMYFUNCTION("""COMPUTED_VALUE"""),1.5112564E7)</f>
        <v>15112564</v>
      </c>
      <c r="I2583" s="148" t="str">
        <f>IFERROR(__xludf.DUMMYFUNCTION("""COMPUTED_VALUE"""),"{}")</f>
        <v>{}</v>
      </c>
      <c r="J2583" s="148" t="str">
        <f>IFERROR(__xludf.DUMMYFUNCTION("""COMPUTED_VALUE"""),"{""typ"":""lc"",""txt"":""LC_EVENT_gang_battle_pass_luxury_supply_name""}")</f>
        <v>{"typ":"lc","txt":"LC_EVENT_gang_battle_pass_luxury_supply_name"}</v>
      </c>
      <c r="K2583" s="148" t="str">
        <f>IFERROR(__xludf.DUMMYFUNCTION("""COMPUTED_VALUE"""),"{""typ"":""lc"",""txt"":""LC_EVENT_gang_battle_pass_luxury_supply_name""}")</f>
        <v>{"typ":"lc","txt":"LC_EVENT_gang_battle_pass_luxury_supply_name"}</v>
      </c>
      <c r="L2583" s="148" t="str">
        <f>IFERROR(__xludf.DUMMYFUNCTION("""COMPUTED_VALUE"""),"{}")</f>
        <v>{}</v>
      </c>
      <c r="M2583" s="148">
        <f>IFERROR(__xludf.DUMMYFUNCTION("""COMPUTED_VALUE"""),10.0)</f>
        <v>10</v>
      </c>
      <c r="N2583" s="148">
        <f>IFERROR(__xludf.DUMMYFUNCTION("""COMPUTED_VALUE"""),999999.0)</f>
        <v>999999</v>
      </c>
      <c r="O2583" s="148">
        <f>IFERROR(__xludf.DUMMYFUNCTION("""COMPUTED_VALUE"""),99999.0)</f>
        <v>99999</v>
      </c>
      <c r="P2583" s="148">
        <f>IFERROR(__xludf.DUMMYFUNCTION("""COMPUTED_VALUE"""),9999.0)</f>
        <v>9999</v>
      </c>
      <c r="Q2583" s="148" t="str">
        <f>IFERROR(__xludf.DUMMYFUNCTION("""COMPUTED_VALUE"""),"[]")</f>
        <v>[]</v>
      </c>
      <c r="R2583" s="148" t="str">
        <f>IFERROR(__xludf.DUMMYFUNCTION("""COMPUTED_VALUE"""),"[]")</f>
        <v>[]</v>
      </c>
      <c r="S2583" s="148" t="str">
        <f>IFERROR(__xludf.DUMMYFUNCTION("""COMPUTED_VALUE"""),"{}")</f>
        <v>{}</v>
      </c>
      <c r="T2583" s="148">
        <f>IFERROR(__xludf.DUMMYFUNCTION("""COMPUTED_VALUE"""),-1.0)</f>
        <v>-1</v>
      </c>
      <c r="U2583" s="148">
        <f>IFERROR(__xludf.DUMMYFUNCTION("""COMPUTED_VALUE"""),1.0)</f>
        <v>1</v>
      </c>
      <c r="V2583" s="148" t="str">
        <f>IFERROR(__xludf.DUMMYFUNCTION("""COMPUTED_VALUE"""),"[]")</f>
        <v>[]</v>
      </c>
      <c r="W2583" s="148">
        <f>IFERROR(__xludf.DUMMYFUNCTION("""COMPUTED_VALUE"""),1.174E7)</f>
        <v>11740000</v>
      </c>
      <c r="X2583" s="148">
        <f>IFERROR(__xludf.DUMMYFUNCTION("""COMPUTED_VALUE"""),0.0)</f>
        <v>0</v>
      </c>
      <c r="Y2583" s="148">
        <f>IFERROR(__xludf.DUMMYFUNCTION("""COMPUTED_VALUE"""),0.0)</f>
        <v>0</v>
      </c>
      <c r="Z2583" s="148"/>
    </row>
    <row r="2584">
      <c r="A2584" s="148">
        <f>IFERROR(__xludf.DUMMYFUNCTION("""COMPUTED_VALUE"""),1.1119529E7)</f>
        <v>11119529</v>
      </c>
      <c r="B2584" s="148" t="str">
        <f>IFERROR(__xludf.DUMMYFUNCTION("""COMPUTED_VALUE"""),"挖矿BP升级道具")</f>
        <v>挖矿BP升级道具</v>
      </c>
      <c r="C2584" s="148"/>
      <c r="D2584" s="148" t="str">
        <f>IFERROR(__xludf.DUMMYFUNCTION("""COMPUTED_VALUE"""),"battle_pass_exp")</f>
        <v>battle_pass_exp</v>
      </c>
      <c r="E2584" s="148">
        <f>IFERROR(__xludf.DUMMYFUNCTION("""COMPUTED_VALUE"""),0.0)</f>
        <v>0</v>
      </c>
      <c r="F2584" s="148">
        <f>IFERROR(__xludf.DUMMYFUNCTION("""COMPUTED_VALUE"""),405225.0)</f>
        <v>405225</v>
      </c>
      <c r="G2584" s="148">
        <f>IFERROR(__xludf.DUMMYFUNCTION("""COMPUTED_VALUE"""),1.51101749E8)</f>
        <v>151101749</v>
      </c>
      <c r="H2584" s="148">
        <f>IFERROR(__xludf.DUMMYFUNCTION("""COMPUTED_VALUE"""),1.5112563E7)</f>
        <v>15112563</v>
      </c>
      <c r="I2584" s="148" t="str">
        <f>IFERROR(__xludf.DUMMYFUNCTION("""COMPUTED_VALUE"""),"{}")</f>
        <v>{}</v>
      </c>
      <c r="J2584" s="148" t="str">
        <f>IFERROR(__xludf.DUMMYFUNCTION("""COMPUTED_VALUE"""),"{""typ"":""lc"",""txt"":""LC_ITEM_minigame_bp_lvlup_item_name""}")</f>
        <v>{"typ":"lc","txt":"LC_ITEM_minigame_bp_lvlup_item_name"}</v>
      </c>
      <c r="K2584" s="148" t="str">
        <f>IFERROR(__xludf.DUMMYFUNCTION("""COMPUTED_VALUE"""),"{""typ"":""lc"",""txt"":""LC_ITEM_minigame_bp_lvlup_item_desc""}")</f>
        <v>{"typ":"lc","txt":"LC_ITEM_minigame_bp_lvlup_item_desc"}</v>
      </c>
      <c r="L2584" s="148" t="str">
        <f>IFERROR(__xludf.DUMMYFUNCTION("""COMPUTED_VALUE"""),"{}")</f>
        <v>{}</v>
      </c>
      <c r="M2584" s="148">
        <f>IFERROR(__xludf.DUMMYFUNCTION("""COMPUTED_VALUE"""),35.0)</f>
        <v>35</v>
      </c>
      <c r="N2584" s="148">
        <f>IFERROR(__xludf.DUMMYFUNCTION("""COMPUTED_VALUE"""),999999.0)</f>
        <v>999999</v>
      </c>
      <c r="O2584" s="148">
        <f>IFERROR(__xludf.DUMMYFUNCTION("""COMPUTED_VALUE"""),99999.0)</f>
        <v>99999</v>
      </c>
      <c r="P2584" s="148">
        <f>IFERROR(__xludf.DUMMYFUNCTION("""COMPUTED_VALUE"""),99999.0)</f>
        <v>99999</v>
      </c>
      <c r="Q2584" s="148" t="str">
        <f>IFERROR(__xludf.DUMMYFUNCTION("""COMPUTED_VALUE"""),"[""bag_other""]")</f>
        <v>["bag_other"]</v>
      </c>
      <c r="R2584" s="148" t="str">
        <f>IFERROR(__xludf.DUMMYFUNCTION("""COMPUTED_VALUE"""),"[""bag""]")</f>
        <v>["bag"]</v>
      </c>
      <c r="S2584" s="148" t="str">
        <f>IFERROR(__xludf.DUMMYFUNCTION("""COMPUTED_VALUE"""),"{}")</f>
        <v>{}</v>
      </c>
      <c r="T2584" s="148">
        <f>IFERROR(__xludf.DUMMYFUNCTION("""COMPUTED_VALUE"""),-1.0)</f>
        <v>-1</v>
      </c>
      <c r="U2584" s="148">
        <f>IFERROR(__xludf.DUMMYFUNCTION("""COMPUTED_VALUE"""),1.0)</f>
        <v>1</v>
      </c>
      <c r="V2584" s="148" t="str">
        <f>IFERROR(__xludf.DUMMYFUNCTION("""COMPUTED_VALUE"""),"[]")</f>
        <v>[]</v>
      </c>
      <c r="W2584" s="148">
        <f>IFERROR(__xludf.DUMMYFUNCTION("""COMPUTED_VALUE"""),1.174E7)</f>
        <v>11740000</v>
      </c>
      <c r="X2584" s="148">
        <f>IFERROR(__xludf.DUMMYFUNCTION("""COMPUTED_VALUE"""),0.0)</f>
        <v>0</v>
      </c>
      <c r="Y2584" s="148">
        <f>IFERROR(__xludf.DUMMYFUNCTION("""COMPUTED_VALUE"""),0.0)</f>
        <v>0</v>
      </c>
      <c r="Z2584" s="148"/>
    </row>
    <row r="2585">
      <c r="A2585" s="148">
        <f>IFERROR(__xludf.DUMMYFUNCTION("""COMPUTED_VALUE"""),1.111953E7)</f>
        <v>11119530</v>
      </c>
      <c r="B2585" s="148" t="str">
        <f>IFERROR(__xludf.DUMMYFUNCTION("""COMPUTED_VALUE"""),"挖矿BP解锁道具")</f>
        <v>挖矿BP解锁道具</v>
      </c>
      <c r="C2585" s="148"/>
      <c r="D2585" s="148" t="str">
        <f>IFERROR(__xludf.DUMMYFUNCTION("""COMPUTED_VALUE"""),"battle_pass_card")</f>
        <v>battle_pass_card</v>
      </c>
      <c r="E2585" s="148">
        <f>IFERROR(__xludf.DUMMYFUNCTION("""COMPUTED_VALUE"""),0.0)</f>
        <v>0</v>
      </c>
      <c r="F2585" s="148">
        <f>IFERROR(__xludf.DUMMYFUNCTION("""COMPUTED_VALUE"""),0.0)</f>
        <v>0</v>
      </c>
      <c r="G2585" s="148">
        <f>IFERROR(__xludf.DUMMYFUNCTION("""COMPUTED_VALUE"""),1.5110175E8)</f>
        <v>151101750</v>
      </c>
      <c r="H2585" s="148">
        <f>IFERROR(__xludf.DUMMYFUNCTION("""COMPUTED_VALUE"""),1.5112564E7)</f>
        <v>15112564</v>
      </c>
      <c r="I2585" s="148" t="str">
        <f>IFERROR(__xludf.DUMMYFUNCTION("""COMPUTED_VALUE"""),"{}")</f>
        <v>{}</v>
      </c>
      <c r="J2585" s="148" t="str">
        <f>IFERROR(__xludf.DUMMYFUNCTION("""COMPUTED_VALUE"""),"{""typ"":""lc"",""txt"":""LC_ITEM_minigame_bp_unlock_item_name""}")</f>
        <v>{"typ":"lc","txt":"LC_ITEM_minigame_bp_unlock_item_name"}</v>
      </c>
      <c r="K2585" s="148" t="str">
        <f>IFERROR(__xludf.DUMMYFUNCTION("""COMPUTED_VALUE"""),"{""typ"":""lc"",""txt"":""LC_ITEM_minigame_bp_unlock_item_desc""}")</f>
        <v>{"typ":"lc","txt":"LC_ITEM_minigame_bp_unlock_item_desc"}</v>
      </c>
      <c r="L2585" s="148" t="str">
        <f>IFERROR(__xludf.DUMMYFUNCTION("""COMPUTED_VALUE"""),"{}")</f>
        <v>{}</v>
      </c>
      <c r="M2585" s="148">
        <f>IFERROR(__xludf.DUMMYFUNCTION("""COMPUTED_VALUE"""),10.0)</f>
        <v>10</v>
      </c>
      <c r="N2585" s="148">
        <f>IFERROR(__xludf.DUMMYFUNCTION("""COMPUTED_VALUE"""),999999.0)</f>
        <v>999999</v>
      </c>
      <c r="O2585" s="148">
        <f>IFERROR(__xludf.DUMMYFUNCTION("""COMPUTED_VALUE"""),99999.0)</f>
        <v>99999</v>
      </c>
      <c r="P2585" s="148">
        <f>IFERROR(__xludf.DUMMYFUNCTION("""COMPUTED_VALUE"""),9999.0)</f>
        <v>9999</v>
      </c>
      <c r="Q2585" s="148" t="str">
        <f>IFERROR(__xludf.DUMMYFUNCTION("""COMPUTED_VALUE"""),"[]")</f>
        <v>[]</v>
      </c>
      <c r="R2585" s="148" t="str">
        <f>IFERROR(__xludf.DUMMYFUNCTION("""COMPUTED_VALUE"""),"[]")</f>
        <v>[]</v>
      </c>
      <c r="S2585" s="148" t="str">
        <f>IFERROR(__xludf.DUMMYFUNCTION("""COMPUTED_VALUE"""),"{}")</f>
        <v>{}</v>
      </c>
      <c r="T2585" s="148">
        <f>IFERROR(__xludf.DUMMYFUNCTION("""COMPUTED_VALUE"""),-1.0)</f>
        <v>-1</v>
      </c>
      <c r="U2585" s="148">
        <f>IFERROR(__xludf.DUMMYFUNCTION("""COMPUTED_VALUE"""),1.0)</f>
        <v>1</v>
      </c>
      <c r="V2585" s="148" t="str">
        <f>IFERROR(__xludf.DUMMYFUNCTION("""COMPUTED_VALUE"""),"[]")</f>
        <v>[]</v>
      </c>
      <c r="W2585" s="148">
        <f>IFERROR(__xludf.DUMMYFUNCTION("""COMPUTED_VALUE"""),1.174E7)</f>
        <v>11740000</v>
      </c>
      <c r="X2585" s="148">
        <f>IFERROR(__xludf.DUMMYFUNCTION("""COMPUTED_VALUE"""),0.0)</f>
        <v>0</v>
      </c>
      <c r="Y2585" s="148">
        <f>IFERROR(__xludf.DUMMYFUNCTION("""COMPUTED_VALUE"""),0.0)</f>
        <v>0</v>
      </c>
      <c r="Z2585" s="148"/>
    </row>
    <row r="2586">
      <c r="A2586" s="148">
        <f>IFERROR(__xludf.DUMMYFUNCTION("""COMPUTED_VALUE"""),1.1119531E7)</f>
        <v>11119531</v>
      </c>
      <c r="B2586" s="148" t="str">
        <f>IFERROR(__xludf.DUMMYFUNCTION("""COMPUTED_VALUE"""),"挖矿BP-初级宝箱")</f>
        <v>挖矿BP-初级宝箱</v>
      </c>
      <c r="C2586" s="148"/>
      <c r="D2586" s="148" t="str">
        <f>IFERROR(__xludf.DUMMYFUNCTION("""COMPUTED_VALUE"""),"item_asset")</f>
        <v>item_asset</v>
      </c>
      <c r="E2586" s="148">
        <f>IFERROR(__xludf.DUMMYFUNCTION("""COMPUTED_VALUE"""),19.0)</f>
        <v>19</v>
      </c>
      <c r="F2586" s="148">
        <f>IFERROR(__xludf.DUMMYFUNCTION("""COMPUTED_VALUE"""),0.0)</f>
        <v>0</v>
      </c>
      <c r="G2586" s="148">
        <f>IFERROR(__xludf.DUMMYFUNCTION("""COMPUTED_VALUE"""),1.5110347E7)</f>
        <v>15110347</v>
      </c>
      <c r="H2586" s="148">
        <f>IFERROR(__xludf.DUMMYFUNCTION("""COMPUTED_VALUE"""),1.5112562E7)</f>
        <v>15112562</v>
      </c>
      <c r="I2586" s="148" t="str">
        <f>IFERROR(__xludf.DUMMYFUNCTION("""COMPUTED_VALUE"""),"{}")</f>
        <v>{}</v>
      </c>
      <c r="J2586" s="148" t="str">
        <f>IFERROR(__xludf.DUMMYFUNCTION("""COMPUTED_VALUE"""),"{""typ"":""lc"",""txt"":""LC_ITEM_minigame_bp_box_1_item_name""}")</f>
        <v>{"typ":"lc","txt":"LC_ITEM_minigame_bp_box_1_item_name"}</v>
      </c>
      <c r="K2586" s="148" t="str">
        <f>IFERROR(__xludf.DUMMYFUNCTION("""COMPUTED_VALUE"""),"{""typ"":""lc"",""txt"":""LC_ITEM_minigame_bp_box_1_item_desc""}")</f>
        <v>{"typ":"lc","txt":"LC_ITEM_minigame_bp_box_1_item_desc"}</v>
      </c>
      <c r="L2586" s="148" t="str">
        <f>IFERROR(__xludf.DUMMYFUNCTION("""COMPUTED_VALUE"""),"{}")</f>
        <v>{}</v>
      </c>
      <c r="M2586" s="148">
        <f>IFERROR(__xludf.DUMMYFUNCTION("""COMPUTED_VALUE"""),240.0)</f>
        <v>240</v>
      </c>
      <c r="N2586" s="148">
        <f>IFERROR(__xludf.DUMMYFUNCTION("""COMPUTED_VALUE"""),999999.0)</f>
        <v>999999</v>
      </c>
      <c r="O2586" s="148">
        <f>IFERROR(__xludf.DUMMYFUNCTION("""COMPUTED_VALUE"""),99999.0)</f>
        <v>99999</v>
      </c>
      <c r="P2586" s="148">
        <f>IFERROR(__xludf.DUMMYFUNCTION("""COMPUTED_VALUE"""),9999.0)</f>
        <v>9999</v>
      </c>
      <c r="Q2586" s="148" t="str">
        <f>IFERROR(__xludf.DUMMYFUNCTION("""COMPUTED_VALUE"""),"[""bag_other""]")</f>
        <v>["bag_other"]</v>
      </c>
      <c r="R2586" s="148" t="str">
        <f>IFERROR(__xludf.DUMMYFUNCTION("""COMPUTED_VALUE"""),"[""bag""]")</f>
        <v>["bag"]</v>
      </c>
      <c r="S2586" s="148" t="str">
        <f>IFERROR(__xludf.DUMMYFUNCTION("""COMPUTED_VALUE"""),"{""drop"":{""typ"":""single_all"",""num"":1,""args"":[{""typ"":""single_random"",""num"":1,""args"":[{""typ"":""item"",""id"":11117297,""num"":1,""wgt"":100},{""typ"":""item"",""id"":11117297,""num"":2,""wgt"":200},{""typ"":""item"",""id"":11117297,""num"&amp;""":3,""wgt"":300}]},{""typ"":""single_random"",""num"":1,""args"":[{""typ"":""item"",""id"":11116304,""num"":1,""wgt"":10},{""typ"":""item"",""id"":11116303,""num"":1,""wgt"":200},{""typ"":""item"",""id"":11116302,""num"":1,""wgt"":600}]}]}}")</f>
        <v>{"drop":{"typ":"single_all","num":1,"args":[{"typ":"single_random","num":1,"args":[{"typ":"item","id":11117297,"num":1,"wgt":100},{"typ":"item","id":11117297,"num":2,"wgt":200},{"typ":"item","id":11117297,"num":3,"wgt":300}]},{"typ":"single_random","num":1,"args":[{"typ":"item","id":11116304,"num":1,"wgt":10},{"typ":"item","id":11116303,"num":1,"wgt":200},{"typ":"item","id":11116302,"num":1,"wgt":600}]}]}}</v>
      </c>
      <c r="T2586" s="148">
        <f>IFERROR(__xludf.DUMMYFUNCTION("""COMPUTED_VALUE"""),-1.0)</f>
        <v>-1</v>
      </c>
      <c r="U2586" s="148">
        <f>IFERROR(__xludf.DUMMYFUNCTION("""COMPUTED_VALUE"""),0.0)</f>
        <v>0</v>
      </c>
      <c r="V2586" s="148" t="str">
        <f>IFERROR(__xludf.DUMMYFUNCTION("""COMPUTED_VALUE"""),"[]")</f>
        <v>[]</v>
      </c>
      <c r="W2586" s="148">
        <f>IFERROR(__xludf.DUMMYFUNCTION("""COMPUTED_VALUE"""),1.174E7)</f>
        <v>11740000</v>
      </c>
      <c r="X2586" s="148">
        <f>IFERROR(__xludf.DUMMYFUNCTION("""COMPUTED_VALUE"""),0.0)</f>
        <v>0</v>
      </c>
      <c r="Y2586" s="148">
        <f>IFERROR(__xludf.DUMMYFUNCTION("""COMPUTED_VALUE"""),0.0)</f>
        <v>0</v>
      </c>
      <c r="Z2586" s="148"/>
    </row>
    <row r="2587">
      <c r="A2587" s="148">
        <f>IFERROR(__xludf.DUMMYFUNCTION("""COMPUTED_VALUE"""),1.1119532E7)</f>
        <v>11119532</v>
      </c>
      <c r="B2587" s="148" t="str">
        <f>IFERROR(__xludf.DUMMYFUNCTION("""COMPUTED_VALUE"""),"挖矿BP-中级宝箱")</f>
        <v>挖矿BP-中级宝箱</v>
      </c>
      <c r="C2587" s="148"/>
      <c r="D2587" s="148" t="str">
        <f>IFERROR(__xludf.DUMMYFUNCTION("""COMPUTED_VALUE"""),"item_asset")</f>
        <v>item_asset</v>
      </c>
      <c r="E2587" s="148">
        <f>IFERROR(__xludf.DUMMYFUNCTION("""COMPUTED_VALUE"""),19.0)</f>
        <v>19</v>
      </c>
      <c r="F2587" s="148">
        <f>IFERROR(__xludf.DUMMYFUNCTION("""COMPUTED_VALUE"""),0.0)</f>
        <v>0</v>
      </c>
      <c r="G2587" s="148">
        <f>IFERROR(__xludf.DUMMYFUNCTION("""COMPUTED_VALUE"""),1.5110349E7)</f>
        <v>15110349</v>
      </c>
      <c r="H2587" s="148">
        <f>IFERROR(__xludf.DUMMYFUNCTION("""COMPUTED_VALUE"""),1.5112563E7)</f>
        <v>15112563</v>
      </c>
      <c r="I2587" s="148" t="str">
        <f>IFERROR(__xludf.DUMMYFUNCTION("""COMPUTED_VALUE"""),"{}")</f>
        <v>{}</v>
      </c>
      <c r="J2587" s="148" t="str">
        <f>IFERROR(__xludf.DUMMYFUNCTION("""COMPUTED_VALUE"""),"{""typ"":""lc"",""txt"":""LC_ITEM_minigame_bp_box_2_item_name""}")</f>
        <v>{"typ":"lc","txt":"LC_ITEM_minigame_bp_box_2_item_name"}</v>
      </c>
      <c r="K2587" s="148" t="str">
        <f>IFERROR(__xludf.DUMMYFUNCTION("""COMPUTED_VALUE"""),"{""typ"":""lc"",""txt"":""LC_ITEM_minigame_bp_box_2_item_desc""}")</f>
        <v>{"typ":"lc","txt":"LC_ITEM_minigame_bp_box_2_item_desc"}</v>
      </c>
      <c r="L2587" s="148" t="str">
        <f>IFERROR(__xludf.DUMMYFUNCTION("""COMPUTED_VALUE"""),"{}")</f>
        <v>{}</v>
      </c>
      <c r="M2587" s="148">
        <f>IFERROR(__xludf.DUMMYFUNCTION("""COMPUTED_VALUE"""),480.0)</f>
        <v>480</v>
      </c>
      <c r="N2587" s="148">
        <f>IFERROR(__xludf.DUMMYFUNCTION("""COMPUTED_VALUE"""),999999.0)</f>
        <v>999999</v>
      </c>
      <c r="O2587" s="148">
        <f>IFERROR(__xludf.DUMMYFUNCTION("""COMPUTED_VALUE"""),99999.0)</f>
        <v>99999</v>
      </c>
      <c r="P2587" s="148">
        <f>IFERROR(__xludf.DUMMYFUNCTION("""COMPUTED_VALUE"""),9999.0)</f>
        <v>9999</v>
      </c>
      <c r="Q2587" s="148" t="str">
        <f>IFERROR(__xludf.DUMMYFUNCTION("""COMPUTED_VALUE"""),"[""bag_other""]")</f>
        <v>["bag_other"]</v>
      </c>
      <c r="R2587" s="148" t="str">
        <f>IFERROR(__xludf.DUMMYFUNCTION("""COMPUTED_VALUE"""),"[""bag""]")</f>
        <v>["bag"]</v>
      </c>
      <c r="S2587" s="148" t="str">
        <f>IFERROR(__xludf.DUMMYFUNCTION("""COMPUTED_VALUE"""),"{""drop"":{""typ"":""single_all"",""num"":1,""args"":[{""typ"":""single_random"",""num"":1,""args"":[{""typ"":""item"",""id"":11117297,""num"":3,""wgt"":100},{""typ"":""item"",""id"":11117297,""num"":5,""wgt"":200},{""typ"":""item"",""id"":11117297,""num"&amp;""":8,""wgt"":300}]},{""typ"":""single_random"",""num"":1,""args"":[{""typ"":""item"",""id"":11116304,""num"":1,""wgt"":50},{""typ"":""item"",""id"":11116303,""num"":1,""wgt"":200},{""typ"":""item"",""id"":11116302,""num"":1,""wgt"":600}]}]}}")</f>
        <v>{"drop":{"typ":"single_all","num":1,"args":[{"typ":"single_random","num":1,"args":[{"typ":"item","id":11117297,"num":3,"wgt":100},{"typ":"item","id":11117297,"num":5,"wgt":200},{"typ":"item","id":11117297,"num":8,"wgt":300}]},{"typ":"single_random","num":1,"args":[{"typ":"item","id":11116304,"num":1,"wgt":50},{"typ":"item","id":11116303,"num":1,"wgt":200},{"typ":"item","id":11116302,"num":1,"wgt":600}]}]}}</v>
      </c>
      <c r="T2587" s="148">
        <f>IFERROR(__xludf.DUMMYFUNCTION("""COMPUTED_VALUE"""),-1.0)</f>
        <v>-1</v>
      </c>
      <c r="U2587" s="148">
        <f>IFERROR(__xludf.DUMMYFUNCTION("""COMPUTED_VALUE"""),0.0)</f>
        <v>0</v>
      </c>
      <c r="V2587" s="148" t="str">
        <f>IFERROR(__xludf.DUMMYFUNCTION("""COMPUTED_VALUE"""),"[]")</f>
        <v>[]</v>
      </c>
      <c r="W2587" s="148">
        <f>IFERROR(__xludf.DUMMYFUNCTION("""COMPUTED_VALUE"""),1.174E7)</f>
        <v>11740000</v>
      </c>
      <c r="X2587" s="148">
        <f>IFERROR(__xludf.DUMMYFUNCTION("""COMPUTED_VALUE"""),0.0)</f>
        <v>0</v>
      </c>
      <c r="Y2587" s="148">
        <f>IFERROR(__xludf.DUMMYFUNCTION("""COMPUTED_VALUE"""),0.0)</f>
        <v>0</v>
      </c>
      <c r="Z2587" s="148"/>
    </row>
    <row r="2588">
      <c r="A2588" s="148">
        <f>IFERROR(__xludf.DUMMYFUNCTION("""COMPUTED_VALUE"""),1.1119533E7)</f>
        <v>11119533</v>
      </c>
      <c r="B2588" s="148" t="str">
        <f>IFERROR(__xludf.DUMMYFUNCTION("""COMPUTED_VALUE"""),"挖矿BP-高级宝箱")</f>
        <v>挖矿BP-高级宝箱</v>
      </c>
      <c r="C2588" s="148"/>
      <c r="D2588" s="148" t="str">
        <f>IFERROR(__xludf.DUMMYFUNCTION("""COMPUTED_VALUE"""),"item_asset")</f>
        <v>item_asset</v>
      </c>
      <c r="E2588" s="148">
        <f>IFERROR(__xludf.DUMMYFUNCTION("""COMPUTED_VALUE"""),19.0)</f>
        <v>19</v>
      </c>
      <c r="F2588" s="148">
        <f>IFERROR(__xludf.DUMMYFUNCTION("""COMPUTED_VALUE"""),0.0)</f>
        <v>0</v>
      </c>
      <c r="G2588" s="148">
        <f>IFERROR(__xludf.DUMMYFUNCTION("""COMPUTED_VALUE"""),1.5110352E7)</f>
        <v>15110352</v>
      </c>
      <c r="H2588" s="148">
        <f>IFERROR(__xludf.DUMMYFUNCTION("""COMPUTED_VALUE"""),1.5112564E7)</f>
        <v>15112564</v>
      </c>
      <c r="I2588" s="148" t="str">
        <f>IFERROR(__xludf.DUMMYFUNCTION("""COMPUTED_VALUE"""),"{}")</f>
        <v>{}</v>
      </c>
      <c r="J2588" s="148" t="str">
        <f>IFERROR(__xludf.DUMMYFUNCTION("""COMPUTED_VALUE"""),"{""typ"":""lc"",""txt"":""LC_ITEM_minigame_bp_box_3_item_name""}")</f>
        <v>{"typ":"lc","txt":"LC_ITEM_minigame_bp_box_3_item_name"}</v>
      </c>
      <c r="K2588" s="148" t="str">
        <f>IFERROR(__xludf.DUMMYFUNCTION("""COMPUTED_VALUE"""),"{""typ"":""lc"",""txt"":""LC_ITEM_minigame_bp_box_3_item_desc""}")</f>
        <v>{"typ":"lc","txt":"LC_ITEM_minigame_bp_box_3_item_desc"}</v>
      </c>
      <c r="L2588" s="148" t="str">
        <f>IFERROR(__xludf.DUMMYFUNCTION("""COMPUTED_VALUE"""),"{}")</f>
        <v>{}</v>
      </c>
      <c r="M2588" s="148">
        <f>IFERROR(__xludf.DUMMYFUNCTION("""COMPUTED_VALUE"""),1000.0)</f>
        <v>1000</v>
      </c>
      <c r="N2588" s="148">
        <f>IFERROR(__xludf.DUMMYFUNCTION("""COMPUTED_VALUE"""),999999.0)</f>
        <v>999999</v>
      </c>
      <c r="O2588" s="148">
        <f>IFERROR(__xludf.DUMMYFUNCTION("""COMPUTED_VALUE"""),99999.0)</f>
        <v>99999</v>
      </c>
      <c r="P2588" s="148">
        <f>IFERROR(__xludf.DUMMYFUNCTION("""COMPUTED_VALUE"""),9999.0)</f>
        <v>9999</v>
      </c>
      <c r="Q2588" s="148" t="str">
        <f>IFERROR(__xludf.DUMMYFUNCTION("""COMPUTED_VALUE"""),"[""bag_other""]")</f>
        <v>["bag_other"]</v>
      </c>
      <c r="R2588" s="148" t="str">
        <f>IFERROR(__xludf.DUMMYFUNCTION("""COMPUTED_VALUE"""),"[""bag""]")</f>
        <v>["bag"]</v>
      </c>
      <c r="S2588" s="148" t="str">
        <f>IFERROR(__xludf.DUMMYFUNCTION("""COMPUTED_VALUE"""),"{""drop"":{""typ"":""single_all"",""num"":1,""args"":[{""typ"":""single_random"",""num"":1,""args"":[{""typ"":""item"",""id"":11117298,""num"":1,""wgt"":100},{""typ"":""item"",""id"":11117298,""num"":3,""wgt"":200},{""typ"":""item"",""id"":11117298,""num"&amp;""":5,""wgt"":300}]},{""typ"":""single_random"",""num"":1,""args"":[{""typ"":""item"",""id"":11116304,""num"":1,""wgt"":200},{""typ"":""item"",""id"":11116303,""num"":1,""wgt"":20}]}]}}")</f>
        <v>{"drop":{"typ":"single_all","num":1,"args":[{"typ":"single_random","num":1,"args":[{"typ":"item","id":11117298,"num":1,"wgt":100},{"typ":"item","id":11117298,"num":3,"wgt":200},{"typ":"item","id":11117298,"num":5,"wgt":300}]},{"typ":"single_random","num":1,"args":[{"typ":"item","id":11116304,"num":1,"wgt":200},{"typ":"item","id":11116303,"num":1,"wgt":20}]}]}}</v>
      </c>
      <c r="T2588" s="148">
        <f>IFERROR(__xludf.DUMMYFUNCTION("""COMPUTED_VALUE"""),-1.0)</f>
        <v>-1</v>
      </c>
      <c r="U2588" s="148">
        <f>IFERROR(__xludf.DUMMYFUNCTION("""COMPUTED_VALUE"""),0.0)</f>
        <v>0</v>
      </c>
      <c r="V2588" s="148" t="str">
        <f>IFERROR(__xludf.DUMMYFUNCTION("""COMPUTED_VALUE"""),"[]")</f>
        <v>[]</v>
      </c>
      <c r="W2588" s="148">
        <f>IFERROR(__xludf.DUMMYFUNCTION("""COMPUTED_VALUE"""),1.174E7)</f>
        <v>11740000</v>
      </c>
      <c r="X2588" s="148">
        <f>IFERROR(__xludf.DUMMYFUNCTION("""COMPUTED_VALUE"""),0.0)</f>
        <v>0</v>
      </c>
      <c r="Y2588" s="148">
        <f>IFERROR(__xludf.DUMMYFUNCTION("""COMPUTED_VALUE"""),0.0)</f>
        <v>0</v>
      </c>
      <c r="Z2588" s="148"/>
    </row>
    <row r="2589">
      <c r="A2589" s="148">
        <f>IFERROR(__xludf.DUMMYFUNCTION("""COMPUTED_VALUE"""),1.1119534E7)</f>
        <v>11119534</v>
      </c>
      <c r="B2589" s="148" t="str">
        <f>IFERROR(__xludf.DUMMYFUNCTION("""COMPUTED_VALUE"""),"战车3皮肤-冰淇淋贩售车")</f>
        <v>战车3皮肤-冰淇淋贩售车</v>
      </c>
      <c r="C2589" s="148"/>
      <c r="D2589" s="148" t="str">
        <f>IFERROR(__xludf.DUMMYFUNCTION("""COMPUTED_VALUE"""),"tank_skin")</f>
        <v>tank_skin</v>
      </c>
      <c r="E2589" s="148">
        <f>IFERROR(__xludf.DUMMYFUNCTION("""COMPUTED_VALUE"""),0.0)</f>
        <v>0</v>
      </c>
      <c r="F2589" s="148">
        <f>IFERROR(__xludf.DUMMYFUNCTION("""COMPUTED_VALUE"""),0.0)</f>
        <v>0</v>
      </c>
      <c r="G2589" s="148">
        <f>IFERROR(__xludf.DUMMYFUNCTION("""COMPUTED_VALUE"""),1.51101839E8)</f>
        <v>151101839</v>
      </c>
      <c r="H2589" s="148">
        <f>IFERROR(__xludf.DUMMYFUNCTION("""COMPUTED_VALUE"""),1.5112564E7)</f>
        <v>15112564</v>
      </c>
      <c r="I2589" s="148" t="str">
        <f>IFERROR(__xludf.DUMMYFUNCTION("""COMPUTED_VALUE"""),"{}")</f>
        <v>{}</v>
      </c>
      <c r="J2589" s="148" t="str">
        <f>IFERROR(__xludf.DUMMYFUNCTION("""COMPUTED_VALUE"""),"{""typ"":""lc"",""txt"":""LC_HERO_tank_name_03_02""}")</f>
        <v>{"typ":"lc","txt":"LC_HERO_tank_name_03_02"}</v>
      </c>
      <c r="K2589" s="148" t="str">
        <f>IFERROR(__xludf.DUMMYFUNCTION("""COMPUTED_VALUE"""),"{""typ"":""lc"",""txt"":""LC_HERO_tank_desc_03_02""}")</f>
        <v>{"typ":"lc","txt":"LC_HERO_tank_desc_03_02"}</v>
      </c>
      <c r="L2589" s="148" t="str">
        <f>IFERROR(__xludf.DUMMYFUNCTION("""COMPUTED_VALUE"""),"{""typ"":""lc"",""txt"":""LC_HERO_tank_skin_src_tips_01""}")</f>
        <v>{"typ":"lc","txt":"LC_HERO_tank_skin_src_tips_01"}</v>
      </c>
      <c r="M2589" s="148">
        <f>IFERROR(__xludf.DUMMYFUNCTION("""COMPUTED_VALUE"""),500.0)</f>
        <v>500</v>
      </c>
      <c r="N2589" s="148">
        <f>IFERROR(__xludf.DUMMYFUNCTION("""COMPUTED_VALUE"""),5.0)</f>
        <v>5</v>
      </c>
      <c r="O2589" s="148">
        <f>IFERROR(__xludf.DUMMYFUNCTION("""COMPUTED_VALUE"""),1.0)</f>
        <v>1</v>
      </c>
      <c r="P2589" s="148">
        <f>IFERROR(__xludf.DUMMYFUNCTION("""COMPUTED_VALUE"""),1.0)</f>
        <v>1</v>
      </c>
      <c r="Q2589" s="148" t="str">
        <f>IFERROR(__xludf.DUMMYFUNCTION("""COMPUTED_VALUE"""),"[""bag_other""]")</f>
        <v>["bag_other"]</v>
      </c>
      <c r="R2589" s="148" t="str">
        <f>IFERROR(__xludf.DUMMYFUNCTION("""COMPUTED_VALUE"""),"[""bag"",""470703002""]")</f>
        <v>["bag","470703002"]</v>
      </c>
      <c r="S2589" s="148" t="str">
        <f>IFERROR(__xludf.DUMMYFUNCTION("""COMPUTED_VALUE"""),"{""effect"":[{""typ"":""tank_skin"",""id"":470703002,""val"":-1},{""typ"":""item"",""id"":11111034,""val"":10}]}")</f>
        <v>{"effect":[{"typ":"tank_skin","id":470703002,"val":-1},{"typ":"item","id":11111034,"val":10}]}</v>
      </c>
      <c r="T2589" s="148">
        <f>IFERROR(__xludf.DUMMYFUNCTION("""COMPUTED_VALUE"""),-1.0)</f>
        <v>-1</v>
      </c>
      <c r="U2589" s="148">
        <f>IFERROR(__xludf.DUMMYFUNCTION("""COMPUTED_VALUE"""),0.0)</f>
        <v>0</v>
      </c>
      <c r="V2589" s="148" t="str">
        <f>IFERROR(__xludf.DUMMYFUNCTION("""COMPUTED_VALUE"""),"[]")</f>
        <v>[]</v>
      </c>
      <c r="W2589" s="148">
        <f>IFERROR(__xludf.DUMMYFUNCTION("""COMPUTED_VALUE"""),1.174E7)</f>
        <v>11740000</v>
      </c>
      <c r="X2589" s="148">
        <f>IFERROR(__xludf.DUMMYFUNCTION("""COMPUTED_VALUE"""),0.0)</f>
        <v>0</v>
      </c>
      <c r="Y2589" s="148">
        <f>IFERROR(__xludf.DUMMYFUNCTION("""COMPUTED_VALUE"""),0.0)</f>
        <v>0</v>
      </c>
      <c r="Z2589" s="148"/>
    </row>
    <row r="2590">
      <c r="A2590" s="148">
        <f>IFERROR(__xludf.DUMMYFUNCTION("""COMPUTED_VALUE"""),1.1119535E7)</f>
        <v>11119535</v>
      </c>
      <c r="B2590" s="148" t="str">
        <f>IFERROR(__xludf.DUMMYFUNCTION("""COMPUTED_VALUE"""),"战车皮肤自选假道具-活动限定")</f>
        <v>战车皮肤自选假道具-活动限定</v>
      </c>
      <c r="C2590" s="148"/>
      <c r="D2590" s="148" t="str">
        <f>IFERROR(__xludf.DUMMYFUNCTION("""COMPUTED_VALUE"""),"tank_skin_select")</f>
        <v>tank_skin_select</v>
      </c>
      <c r="E2590" s="148">
        <f>IFERROR(__xludf.DUMMYFUNCTION("""COMPUTED_VALUE"""),19.0)</f>
        <v>19</v>
      </c>
      <c r="F2590" s="148">
        <f>IFERROR(__xludf.DUMMYFUNCTION("""COMPUTED_VALUE"""),201101.0)</f>
        <v>201101</v>
      </c>
      <c r="G2590" s="148">
        <f>IFERROR(__xludf.DUMMYFUNCTION("""COMPUTED_VALUE"""),1.5112492E7)</f>
        <v>15112492</v>
      </c>
      <c r="H2590" s="148">
        <f>IFERROR(__xludf.DUMMYFUNCTION("""COMPUTED_VALUE"""),1.5112564E7)</f>
        <v>15112564</v>
      </c>
      <c r="I2590" s="148" t="str">
        <f>IFERROR(__xludf.DUMMYFUNCTION("""COMPUTED_VALUE"""),"{}")</f>
        <v>{}</v>
      </c>
      <c r="J2590" s="148" t="str">
        <f>IFERROR(__xludf.DUMMYFUNCTION("""COMPUTED_VALUE"""),"{}")</f>
        <v>{}</v>
      </c>
      <c r="K2590" s="148" t="str">
        <f>IFERROR(__xludf.DUMMYFUNCTION("""COMPUTED_VALUE"""),"{}")</f>
        <v>{}</v>
      </c>
      <c r="L2590" s="148" t="str">
        <f>IFERROR(__xludf.DUMMYFUNCTION("""COMPUTED_VALUE"""),"{}")</f>
        <v>{}</v>
      </c>
      <c r="M2590" s="148">
        <f>IFERROR(__xludf.DUMMYFUNCTION("""COMPUTED_VALUE"""),100.0)</f>
        <v>100</v>
      </c>
      <c r="N2590" s="148">
        <f>IFERROR(__xludf.DUMMYFUNCTION("""COMPUTED_VALUE"""),999999.0)</f>
        <v>999999</v>
      </c>
      <c r="O2590" s="148">
        <f>IFERROR(__xludf.DUMMYFUNCTION("""COMPUTED_VALUE"""),99999.0)</f>
        <v>99999</v>
      </c>
      <c r="P2590" s="148">
        <f>IFERROR(__xludf.DUMMYFUNCTION("""COMPUTED_VALUE"""),99999.0)</f>
        <v>99999</v>
      </c>
      <c r="Q2590" s="148" t="str">
        <f>IFERROR(__xludf.DUMMYFUNCTION("""COMPUTED_VALUE"""),"[]")</f>
        <v>[]</v>
      </c>
      <c r="R2590" s="148" t="str">
        <f>IFERROR(__xludf.DUMMYFUNCTION("""COMPUTED_VALUE"""),"[]")</f>
        <v>[]</v>
      </c>
      <c r="S2590" s="148" t="str">
        <f>IFERROR(__xludf.DUMMYFUNCTION("""COMPUTED_VALUE"""),"{}")</f>
        <v>{}</v>
      </c>
      <c r="T2590" s="148">
        <f>IFERROR(__xludf.DUMMYFUNCTION("""COMPUTED_VALUE"""),-1.0)</f>
        <v>-1</v>
      </c>
      <c r="U2590" s="148">
        <f>IFERROR(__xludf.DUMMYFUNCTION("""COMPUTED_VALUE"""),1.0)</f>
        <v>1</v>
      </c>
      <c r="V2590" s="148" t="str">
        <f>IFERROR(__xludf.DUMMYFUNCTION("""COMPUTED_VALUE"""),"[]")</f>
        <v>[]</v>
      </c>
      <c r="W2590" s="148">
        <f>IFERROR(__xludf.DUMMYFUNCTION("""COMPUTED_VALUE"""),1.174E7)</f>
        <v>11740000</v>
      </c>
      <c r="X2590" s="148">
        <f>IFERROR(__xludf.DUMMYFUNCTION("""COMPUTED_VALUE"""),0.0)</f>
        <v>0</v>
      </c>
      <c r="Y2590" s="148">
        <f>IFERROR(__xludf.DUMMYFUNCTION("""COMPUTED_VALUE"""),0.0)</f>
        <v>0</v>
      </c>
      <c r="Z2590" s="148"/>
    </row>
    <row r="2591">
      <c r="A2591" s="148">
        <f>IFERROR(__xludf.DUMMYFUNCTION("""COMPUTED_VALUE"""),1.1119536E7)</f>
        <v>11119536</v>
      </c>
      <c r="B2591" s="148" t="str">
        <f>IFERROR(__xludf.DUMMYFUNCTION("""COMPUTED_VALUE"""),"战车GACHA道具")</f>
        <v>战车GACHA道具</v>
      </c>
      <c r="C2591" s="148"/>
      <c r="D2591" s="148" t="str">
        <f>IFERROR(__xludf.DUMMYFUNCTION("""COMPUTED_VALUE"""),"event")</f>
        <v>event</v>
      </c>
      <c r="E2591" s="148">
        <f>IFERROR(__xludf.DUMMYFUNCTION("""COMPUTED_VALUE"""),0.0)</f>
        <v>0</v>
      </c>
      <c r="F2591" s="148">
        <f>IFERROR(__xludf.DUMMYFUNCTION("""COMPUTED_VALUE"""),405243.0)</f>
        <v>405243</v>
      </c>
      <c r="G2591" s="148">
        <f>IFERROR(__xludf.DUMMYFUNCTION("""COMPUTED_VALUE"""),1.51101904E8)</f>
        <v>151101904</v>
      </c>
      <c r="H2591" s="148">
        <f>IFERROR(__xludf.DUMMYFUNCTION("""COMPUTED_VALUE"""),1.5112564E7)</f>
        <v>15112564</v>
      </c>
      <c r="I2591" s="148" t="str">
        <f>IFERROR(__xludf.DUMMYFUNCTION("""COMPUTED_VALUE"""),"{}")</f>
        <v>{}</v>
      </c>
      <c r="J2591" s="148" t="str">
        <f>IFERROR(__xludf.DUMMYFUNCTION("""COMPUTED_VALUE"""),"{""typ"":""lc"",""txt"":""LC_ITEM_tank_gacha_item""}")</f>
        <v>{"typ":"lc","txt":"LC_ITEM_tank_gacha_item"}</v>
      </c>
      <c r="K2591" s="148" t="str">
        <f>IFERROR(__xludf.DUMMYFUNCTION("""COMPUTED_VALUE"""),"{""typ"":""lc"",""txt"":""LC_ITEM_tank_gacha_desc""}")</f>
        <v>{"typ":"lc","txt":"LC_ITEM_tank_gacha_desc"}</v>
      </c>
      <c r="L2591" s="148" t="str">
        <f>IFERROR(__xludf.DUMMYFUNCTION("""COMPUTED_VALUE"""),"{}")</f>
        <v>{}</v>
      </c>
      <c r="M2591" s="148">
        <f>IFERROR(__xludf.DUMMYFUNCTION("""COMPUTED_VALUE"""),700.0)</f>
        <v>700</v>
      </c>
      <c r="N2591" s="148">
        <f>IFERROR(__xludf.DUMMYFUNCTION("""COMPUTED_VALUE"""),9.99999999E8)</f>
        <v>999999999</v>
      </c>
      <c r="O2591" s="148">
        <f>IFERROR(__xludf.DUMMYFUNCTION("""COMPUTED_VALUE"""),9.99999999E8)</f>
        <v>999999999</v>
      </c>
      <c r="P2591" s="148">
        <f>IFERROR(__xludf.DUMMYFUNCTION("""COMPUTED_VALUE"""),9.99999999E8)</f>
        <v>999999999</v>
      </c>
      <c r="Q2591" s="148" t="str">
        <f>IFERROR(__xludf.DUMMYFUNCTION("""COMPUTED_VALUE"""),"[""bag_other""]")</f>
        <v>["bag_other"]</v>
      </c>
      <c r="R2591" s="148" t="str">
        <f>IFERROR(__xludf.DUMMYFUNCTION("""COMPUTED_VALUE"""),"[]")</f>
        <v>[]</v>
      </c>
      <c r="S2591" s="148" t="str">
        <f>IFERROR(__xludf.DUMMYFUNCTION("""COMPUTED_VALUE"""),"{}")</f>
        <v>{}</v>
      </c>
      <c r="T2591" s="148">
        <f>IFERROR(__xludf.DUMMYFUNCTION("""COMPUTED_VALUE"""),1.0)</f>
        <v>1</v>
      </c>
      <c r="U2591" s="148">
        <f>IFERROR(__xludf.DUMMYFUNCTION("""COMPUTED_VALUE"""),0.0)</f>
        <v>0</v>
      </c>
      <c r="V2591" s="148" t="str">
        <f>IFERROR(__xludf.DUMMYFUNCTION("""COMPUTED_VALUE"""),"[]")</f>
        <v>[]</v>
      </c>
      <c r="W2591" s="148">
        <f>IFERROR(__xludf.DUMMYFUNCTION("""COMPUTED_VALUE"""),1.174E7)</f>
        <v>11740000</v>
      </c>
      <c r="X2591" s="148">
        <f>IFERROR(__xludf.DUMMYFUNCTION("""COMPUTED_VALUE"""),0.0)</f>
        <v>0</v>
      </c>
      <c r="Y2591" s="148">
        <f>IFERROR(__xludf.DUMMYFUNCTION("""COMPUTED_VALUE"""),0.0)</f>
        <v>0</v>
      </c>
      <c r="Z2591" s="148"/>
    </row>
    <row r="2592">
      <c r="A2592" s="148">
        <f>IFERROR(__xludf.DUMMYFUNCTION("""COMPUTED_VALUE"""),1.1119537E7)</f>
        <v>11119537</v>
      </c>
      <c r="B2592" s="148" t="str">
        <f>IFERROR(__xludf.DUMMYFUNCTION("""COMPUTED_VALUE"""),"限时抢购-抽奖道具")</f>
        <v>限时抢购-抽奖道具</v>
      </c>
      <c r="C2592" s="148"/>
      <c r="D2592" s="148" t="str">
        <f>IFERROR(__xludf.DUMMYFUNCTION("""COMPUTED_VALUE"""),"event")</f>
        <v>event</v>
      </c>
      <c r="E2592" s="148">
        <f>IFERROR(__xludf.DUMMYFUNCTION("""COMPUTED_VALUE"""),0.0)</f>
        <v>0</v>
      </c>
      <c r="F2592" s="148">
        <f>IFERROR(__xludf.DUMMYFUNCTION("""COMPUTED_VALUE"""),0.0)</f>
        <v>0</v>
      </c>
      <c r="G2592" s="148">
        <f>IFERROR(__xludf.DUMMYFUNCTION("""COMPUTED_VALUE"""),1.51101778E8)</f>
        <v>151101778</v>
      </c>
      <c r="H2592" s="148">
        <f>IFERROR(__xludf.DUMMYFUNCTION("""COMPUTED_VALUE"""),1.5112564E7)</f>
        <v>15112564</v>
      </c>
      <c r="I2592" s="148" t="str">
        <f>IFERROR(__xludf.DUMMYFUNCTION("""COMPUTED_VALUE"""),"{}")</f>
        <v>{}</v>
      </c>
      <c r="J2592" s="148" t="str">
        <f>IFERROR(__xludf.DUMMYFUNCTION("""COMPUTED_VALUE"""),"{""typ"":""lc"",""txt"":""LC_ITEM_flash_sale_gacha_name_1""}")</f>
        <v>{"typ":"lc","txt":"LC_ITEM_flash_sale_gacha_name_1"}</v>
      </c>
      <c r="K2592" s="148" t="str">
        <f>IFERROR(__xludf.DUMMYFUNCTION("""COMPUTED_VALUE"""),"{""typ"":""lc"",""txt"":""LC_ITEM_flash_sale_gacha_name_2""}")</f>
        <v>{"typ":"lc","txt":"LC_ITEM_flash_sale_gacha_name_2"}</v>
      </c>
      <c r="L2592" s="148" t="str">
        <f>IFERROR(__xludf.DUMMYFUNCTION("""COMPUTED_VALUE"""),"{}")</f>
        <v>{}</v>
      </c>
      <c r="M2592" s="148">
        <f>IFERROR(__xludf.DUMMYFUNCTION("""COMPUTED_VALUE"""),700.0)</f>
        <v>700</v>
      </c>
      <c r="N2592" s="148">
        <f>IFERROR(__xludf.DUMMYFUNCTION("""COMPUTED_VALUE"""),9.99999999E8)</f>
        <v>999999999</v>
      </c>
      <c r="O2592" s="148">
        <f>IFERROR(__xludf.DUMMYFUNCTION("""COMPUTED_VALUE"""),9.99999999E8)</f>
        <v>999999999</v>
      </c>
      <c r="P2592" s="148">
        <f>IFERROR(__xludf.DUMMYFUNCTION("""COMPUTED_VALUE"""),9.99999999E8)</f>
        <v>999999999</v>
      </c>
      <c r="Q2592" s="148" t="str">
        <f>IFERROR(__xludf.DUMMYFUNCTION("""COMPUTED_VALUE"""),"[]")</f>
        <v>[]</v>
      </c>
      <c r="R2592" s="148" t="str">
        <f>IFERROR(__xludf.DUMMYFUNCTION("""COMPUTED_VALUE"""),"[]")</f>
        <v>[]</v>
      </c>
      <c r="S2592" s="148" t="str">
        <f>IFERROR(__xludf.DUMMYFUNCTION("""COMPUTED_VALUE"""),"{}")</f>
        <v>{}</v>
      </c>
      <c r="T2592" s="148">
        <f>IFERROR(__xludf.DUMMYFUNCTION("""COMPUTED_VALUE"""),1.0)</f>
        <v>1</v>
      </c>
      <c r="U2592" s="148">
        <f>IFERROR(__xludf.DUMMYFUNCTION("""COMPUTED_VALUE"""),0.0)</f>
        <v>0</v>
      </c>
      <c r="V2592" s="148" t="str">
        <f>IFERROR(__xludf.DUMMYFUNCTION("""COMPUTED_VALUE"""),"[]")</f>
        <v>[]</v>
      </c>
      <c r="W2592" s="148">
        <f>IFERROR(__xludf.DUMMYFUNCTION("""COMPUTED_VALUE"""),1.174E7)</f>
        <v>11740000</v>
      </c>
      <c r="X2592" s="148">
        <f>IFERROR(__xludf.DUMMYFUNCTION("""COMPUTED_VALUE"""),0.0)</f>
        <v>0</v>
      </c>
      <c r="Y2592" s="148">
        <f>IFERROR(__xludf.DUMMYFUNCTION("""COMPUTED_VALUE"""),0.0)</f>
        <v>0</v>
      </c>
      <c r="Z2592" s="148"/>
    </row>
    <row r="2593">
      <c r="A2593" s="148">
        <f>IFERROR(__xludf.DUMMYFUNCTION("""COMPUTED_VALUE"""),1.1119538E7)</f>
        <v>11119538</v>
      </c>
      <c r="B2593" s="148" t="str">
        <f>IFERROR(__xludf.DUMMYFUNCTION("""COMPUTED_VALUE"""),"ac联赛-竞猜币")</f>
        <v>ac联赛-竞猜币</v>
      </c>
      <c r="C2593" s="148"/>
      <c r="D2593" s="148" t="str">
        <f>IFERROR(__xludf.DUMMYFUNCTION("""COMPUTED_VALUE"""),"event")</f>
        <v>event</v>
      </c>
      <c r="E2593" s="148">
        <f>IFERROR(__xludf.DUMMYFUNCTION("""COMPUTED_VALUE"""),0.0)</f>
        <v>0</v>
      </c>
      <c r="F2593" s="148">
        <f>IFERROR(__xludf.DUMMYFUNCTION("""COMPUTED_VALUE"""),0.0)</f>
        <v>0</v>
      </c>
      <c r="G2593" s="148">
        <f>IFERROR(__xludf.DUMMYFUNCTION("""COMPUTED_VALUE"""),1.51101746E8)</f>
        <v>151101746</v>
      </c>
      <c r="H2593" s="148">
        <f>IFERROR(__xludf.DUMMYFUNCTION("""COMPUTED_VALUE"""),1.5112561E7)</f>
        <v>15112561</v>
      </c>
      <c r="I2593" s="148" t="str">
        <f>IFERROR(__xludf.DUMMYFUNCTION("""COMPUTED_VALUE"""),"{}")</f>
        <v>{}</v>
      </c>
      <c r="J2593" s="148" t="str">
        <f>IFERROR(__xludf.DUMMYFUNCTION("""COMPUTED_VALUE"""),"{""typ"":""lc"",""txt"":""LC_SATELLITE_acleague_ui_tips87""}")</f>
        <v>{"typ":"lc","txt":"LC_SATELLITE_acleague_ui_tips87"}</v>
      </c>
      <c r="K2593" s="148" t="str">
        <f>IFERROR(__xludf.DUMMYFUNCTION("""COMPUTED_VALUE"""),"{""typ"":""lc"",""txt"":""LC_SATELLITE_acleague_ui_tips88""}")</f>
        <v>{"typ":"lc","txt":"LC_SATELLITE_acleague_ui_tips88"}</v>
      </c>
      <c r="L2593" s="148" t="str">
        <f>IFERROR(__xludf.DUMMYFUNCTION("""COMPUTED_VALUE"""),"{}")</f>
        <v>{}</v>
      </c>
      <c r="M2593" s="148">
        <f>IFERROR(__xludf.DUMMYFUNCTION("""COMPUTED_VALUE"""),1.0)</f>
        <v>1</v>
      </c>
      <c r="N2593" s="148">
        <f>IFERROR(__xludf.DUMMYFUNCTION("""COMPUTED_VALUE"""),9.99999999E8)</f>
        <v>999999999</v>
      </c>
      <c r="O2593" s="148">
        <f>IFERROR(__xludf.DUMMYFUNCTION("""COMPUTED_VALUE"""),9.99999999E8)</f>
        <v>999999999</v>
      </c>
      <c r="P2593" s="148">
        <f>IFERROR(__xludf.DUMMYFUNCTION("""COMPUTED_VALUE"""),9.99999999E8)</f>
        <v>999999999</v>
      </c>
      <c r="Q2593" s="148" t="str">
        <f>IFERROR(__xludf.DUMMYFUNCTION("""COMPUTED_VALUE"""),"[]")</f>
        <v>[]</v>
      </c>
      <c r="R2593" s="148" t="str">
        <f>IFERROR(__xludf.DUMMYFUNCTION("""COMPUTED_VALUE"""),"[]")</f>
        <v>[]</v>
      </c>
      <c r="S2593" s="148" t="str">
        <f>IFERROR(__xludf.DUMMYFUNCTION("""COMPUTED_VALUE"""),"{}")</f>
        <v>{}</v>
      </c>
      <c r="T2593" s="148">
        <f>IFERROR(__xludf.DUMMYFUNCTION("""COMPUTED_VALUE"""),-1.0)</f>
        <v>-1</v>
      </c>
      <c r="U2593" s="148">
        <f>IFERROR(__xludf.DUMMYFUNCTION("""COMPUTED_VALUE"""),0.0)</f>
        <v>0</v>
      </c>
      <c r="V2593" s="148" t="str">
        <f>IFERROR(__xludf.DUMMYFUNCTION("""COMPUTED_VALUE"""),"[]")</f>
        <v>[]</v>
      </c>
      <c r="W2593" s="148">
        <f>IFERROR(__xludf.DUMMYFUNCTION("""COMPUTED_VALUE"""),1.174E7)</f>
        <v>11740000</v>
      </c>
      <c r="X2593" s="148">
        <f>IFERROR(__xludf.DUMMYFUNCTION("""COMPUTED_VALUE"""),1.168453E7)</f>
        <v>11684530</v>
      </c>
      <c r="Y2593" s="148">
        <f>IFERROR(__xludf.DUMMYFUNCTION("""COMPUTED_VALUE"""),0.0)</f>
        <v>0</v>
      </c>
      <c r="Z2593" s="148"/>
    </row>
    <row r="2594">
      <c r="A2594" s="148">
        <f>IFERROR(__xludf.DUMMYFUNCTION("""COMPUTED_VALUE"""),1.1119539E7)</f>
        <v>11119539</v>
      </c>
      <c r="B2594" s="148" t="str">
        <f>IFERROR(__xludf.DUMMYFUNCTION("""COMPUTED_VALUE"""),"ac联赛-兑换币")</f>
        <v>ac联赛-兑换币</v>
      </c>
      <c r="C2594" s="148"/>
      <c r="D2594" s="148" t="str">
        <f>IFERROR(__xludf.DUMMYFUNCTION("""COMPUTED_VALUE"""),"event")</f>
        <v>event</v>
      </c>
      <c r="E2594" s="148">
        <f>IFERROR(__xludf.DUMMYFUNCTION("""COMPUTED_VALUE"""),0.0)</f>
        <v>0</v>
      </c>
      <c r="F2594" s="148">
        <f>IFERROR(__xludf.DUMMYFUNCTION("""COMPUTED_VALUE"""),0.0)</f>
        <v>0</v>
      </c>
      <c r="G2594" s="148">
        <f>IFERROR(__xludf.DUMMYFUNCTION("""COMPUTED_VALUE"""),1.51101747E8)</f>
        <v>151101747</v>
      </c>
      <c r="H2594" s="148">
        <f>IFERROR(__xludf.DUMMYFUNCTION("""COMPUTED_VALUE"""),1.5112561E7)</f>
        <v>15112561</v>
      </c>
      <c r="I2594" s="148" t="str">
        <f>IFERROR(__xludf.DUMMYFUNCTION("""COMPUTED_VALUE"""),"{}")</f>
        <v>{}</v>
      </c>
      <c r="J2594" s="148" t="str">
        <f>IFERROR(__xludf.DUMMYFUNCTION("""COMPUTED_VALUE"""),"{""typ"":""lc"",""txt"":""LC_SATELLITE_acleague_ui_tips89""}")</f>
        <v>{"typ":"lc","txt":"LC_SATELLITE_acleague_ui_tips89"}</v>
      </c>
      <c r="K2594" s="148" t="str">
        <f>IFERROR(__xludf.DUMMYFUNCTION("""COMPUTED_VALUE"""),"{""typ"":""lc"",""txt"":""LC_SATELLITE_acleague_ui_tips90""}")</f>
        <v>{"typ":"lc","txt":"LC_SATELLITE_acleague_ui_tips90"}</v>
      </c>
      <c r="L2594" s="148" t="str">
        <f>IFERROR(__xludf.DUMMYFUNCTION("""COMPUTED_VALUE"""),"{}")</f>
        <v>{}</v>
      </c>
      <c r="M2594" s="148">
        <f>IFERROR(__xludf.DUMMYFUNCTION("""COMPUTED_VALUE"""),1.0)</f>
        <v>1</v>
      </c>
      <c r="N2594" s="148">
        <f>IFERROR(__xludf.DUMMYFUNCTION("""COMPUTED_VALUE"""),9.99999999E8)</f>
        <v>999999999</v>
      </c>
      <c r="O2594" s="148">
        <f>IFERROR(__xludf.DUMMYFUNCTION("""COMPUTED_VALUE"""),9.99999999E8)</f>
        <v>999999999</v>
      </c>
      <c r="P2594" s="148">
        <f>IFERROR(__xludf.DUMMYFUNCTION("""COMPUTED_VALUE"""),9.99999999E8)</f>
        <v>999999999</v>
      </c>
      <c r="Q2594" s="148" t="str">
        <f>IFERROR(__xludf.DUMMYFUNCTION("""COMPUTED_VALUE"""),"[]")</f>
        <v>[]</v>
      </c>
      <c r="R2594" s="148" t="str">
        <f>IFERROR(__xludf.DUMMYFUNCTION("""COMPUTED_VALUE"""),"[]")</f>
        <v>[]</v>
      </c>
      <c r="S2594" s="148" t="str">
        <f>IFERROR(__xludf.DUMMYFUNCTION("""COMPUTED_VALUE"""),"{}")</f>
        <v>{}</v>
      </c>
      <c r="T2594" s="148">
        <f>IFERROR(__xludf.DUMMYFUNCTION("""COMPUTED_VALUE"""),-1.0)</f>
        <v>-1</v>
      </c>
      <c r="U2594" s="148">
        <f>IFERROR(__xludf.DUMMYFUNCTION("""COMPUTED_VALUE"""),0.0)</f>
        <v>0</v>
      </c>
      <c r="V2594" s="148" t="str">
        <f>IFERROR(__xludf.DUMMYFUNCTION("""COMPUTED_VALUE"""),"[]")</f>
        <v>[]</v>
      </c>
      <c r="W2594" s="148">
        <f>IFERROR(__xludf.DUMMYFUNCTION("""COMPUTED_VALUE"""),1.174E7)</f>
        <v>11740000</v>
      </c>
      <c r="X2594" s="148">
        <f>IFERROR(__xludf.DUMMYFUNCTION("""COMPUTED_VALUE"""),1.1684531E7)</f>
        <v>11684531</v>
      </c>
      <c r="Y2594" s="148">
        <f>IFERROR(__xludf.DUMMYFUNCTION("""COMPUTED_VALUE"""),0.0)</f>
        <v>0</v>
      </c>
      <c r="Z2594" s="148"/>
    </row>
    <row r="2595">
      <c r="A2595" s="148">
        <f>IFERROR(__xludf.DUMMYFUNCTION("""COMPUTED_VALUE"""),1.111954E7)</f>
        <v>11119540</v>
      </c>
      <c r="B2595" s="148" t="str">
        <f>IFERROR(__xludf.DUMMYFUNCTION("""COMPUTED_VALUE"""),"帮派运动会BP-升级道具-新")</f>
        <v>帮派运动会BP-升级道具-新</v>
      </c>
      <c r="C2595" s="148"/>
      <c r="D2595" s="148" t="str">
        <f>IFERROR(__xludf.DUMMYFUNCTION("""COMPUTED_VALUE"""),"battle_pass_exp")</f>
        <v>battle_pass_exp</v>
      </c>
      <c r="E2595" s="148">
        <f>IFERROR(__xludf.DUMMYFUNCTION("""COMPUTED_VALUE"""),0.0)</f>
        <v>0</v>
      </c>
      <c r="F2595" s="148">
        <f>IFERROR(__xludf.DUMMYFUNCTION("""COMPUTED_VALUE"""),405225.0)</f>
        <v>405225</v>
      </c>
      <c r="G2595" s="148">
        <f>IFERROR(__xludf.DUMMYFUNCTION("""COMPUTED_VALUE"""),1.51100961E8)</f>
        <v>151100961</v>
      </c>
      <c r="H2595" s="148">
        <f>IFERROR(__xludf.DUMMYFUNCTION("""COMPUTED_VALUE"""),1.5112563E7)</f>
        <v>15112563</v>
      </c>
      <c r="I2595" s="148" t="str">
        <f>IFERROR(__xludf.DUMMYFUNCTION("""COMPUTED_VALUE"""),"{}")</f>
        <v>{}</v>
      </c>
      <c r="J2595" s="148" t="str">
        <f>IFERROR(__xludf.DUMMYFUNCTION("""COMPUTED_VALUE"""),"{""typ"":""lc"",""txt"":""LC_ITEM_s300_weekly_card_lvlup_name""}")</f>
        <v>{"typ":"lc","txt":"LC_ITEM_s300_weekly_card_lvlup_name"}</v>
      </c>
      <c r="K2595" s="148" t="str">
        <f>IFERROR(__xludf.DUMMYFUNCTION("""COMPUTED_VALUE"""),"{""typ"":""lc"",""txt"":""LC_ITEM_s300_weekly_card_lvlup_desc""}")</f>
        <v>{"typ":"lc","txt":"LC_ITEM_s300_weekly_card_lvlup_desc"}</v>
      </c>
      <c r="L2595" s="148" t="str">
        <f>IFERROR(__xludf.DUMMYFUNCTION("""COMPUTED_VALUE"""),"{}")</f>
        <v>{}</v>
      </c>
      <c r="M2595" s="148">
        <f>IFERROR(__xludf.DUMMYFUNCTION("""COMPUTED_VALUE"""),35.0)</f>
        <v>35</v>
      </c>
      <c r="N2595" s="148">
        <f>IFERROR(__xludf.DUMMYFUNCTION("""COMPUTED_VALUE"""),999999.0)</f>
        <v>999999</v>
      </c>
      <c r="O2595" s="148">
        <f>IFERROR(__xludf.DUMMYFUNCTION("""COMPUTED_VALUE"""),99999.0)</f>
        <v>99999</v>
      </c>
      <c r="P2595" s="148">
        <f>IFERROR(__xludf.DUMMYFUNCTION("""COMPUTED_VALUE"""),99999.0)</f>
        <v>99999</v>
      </c>
      <c r="Q2595" s="148" t="str">
        <f>IFERROR(__xludf.DUMMYFUNCTION("""COMPUTED_VALUE"""),"[]")</f>
        <v>[]</v>
      </c>
      <c r="R2595" s="148" t="str">
        <f>IFERROR(__xludf.DUMMYFUNCTION("""COMPUTED_VALUE"""),"[""bag""]")</f>
        <v>["bag"]</v>
      </c>
      <c r="S2595" s="148" t="str">
        <f>IFERROR(__xludf.DUMMYFUNCTION("""COMPUTED_VALUE"""),"{}")</f>
        <v>{}</v>
      </c>
      <c r="T2595" s="148">
        <f>IFERROR(__xludf.DUMMYFUNCTION("""COMPUTED_VALUE"""),-1.0)</f>
        <v>-1</v>
      </c>
      <c r="U2595" s="148">
        <f>IFERROR(__xludf.DUMMYFUNCTION("""COMPUTED_VALUE"""),1.0)</f>
        <v>1</v>
      </c>
      <c r="V2595" s="148" t="str">
        <f>IFERROR(__xludf.DUMMYFUNCTION("""COMPUTED_VALUE"""),"[]")</f>
        <v>[]</v>
      </c>
      <c r="W2595" s="148">
        <f>IFERROR(__xludf.DUMMYFUNCTION("""COMPUTED_VALUE"""),1.174E7)</f>
        <v>11740000</v>
      </c>
      <c r="X2595" s="148">
        <f>IFERROR(__xludf.DUMMYFUNCTION("""COMPUTED_VALUE"""),0.0)</f>
        <v>0</v>
      </c>
      <c r="Y2595" s="148">
        <f>IFERROR(__xludf.DUMMYFUNCTION("""COMPUTED_VALUE"""),0.0)</f>
        <v>0</v>
      </c>
      <c r="Z2595" s="148"/>
    </row>
    <row r="2596">
      <c r="A2596" s="148">
        <f>IFERROR(__xludf.DUMMYFUNCTION("""COMPUTED_VALUE"""),1.1119541E7)</f>
        <v>11119541</v>
      </c>
      <c r="B2596" s="148" t="str">
        <f>IFERROR(__xludf.DUMMYFUNCTION("""COMPUTED_VALUE"""),"科技节套装S2自选周卡解锁schema2-1")</f>
        <v>科技节套装S2自选周卡解锁schema2-1</v>
      </c>
      <c r="C2596" s="148"/>
      <c r="D2596" s="148" t="str">
        <f>IFERROR(__xludf.DUMMYFUNCTION("""COMPUTED_VALUE"""),"item_subscription")</f>
        <v>item_subscription</v>
      </c>
      <c r="E2596" s="148">
        <f>IFERROR(__xludf.DUMMYFUNCTION("""COMPUTED_VALUE"""),0.0)</f>
        <v>0</v>
      </c>
      <c r="F2596" s="148">
        <f>IFERROR(__xludf.DUMMYFUNCTION("""COMPUTED_VALUE"""),404200.0)</f>
        <v>404200</v>
      </c>
      <c r="G2596" s="148">
        <f>IFERROR(__xludf.DUMMYFUNCTION("""COMPUTED_VALUE"""),1.51101543E8)</f>
        <v>151101543</v>
      </c>
      <c r="H2596" s="148">
        <f>IFERROR(__xludf.DUMMYFUNCTION("""COMPUTED_VALUE"""),1.5112564E7)</f>
        <v>15112564</v>
      </c>
      <c r="I2596" s="148" t="str">
        <f>IFERROR(__xludf.DUMMYFUNCTION("""COMPUTED_VALUE"""),"{}")</f>
        <v>{}</v>
      </c>
      <c r="J2596" s="148" t="str">
        <f>IFERROR(__xludf.DUMMYFUNCTION("""COMPUTED_VALUE"""),"{""typ"":""lc"",""txt"":""LC_EVENT_sci_time_card_title_2025_1""}")</f>
        <v>{"typ":"lc","txt":"LC_EVENT_sci_time_card_title_2025_1"}</v>
      </c>
      <c r="K2596" s="148" t="str">
        <f>IFERROR(__xludf.DUMMYFUNCTION("""COMPUTED_VALUE"""),"{}")</f>
        <v>{}</v>
      </c>
      <c r="L2596" s="148" t="str">
        <f>IFERROR(__xludf.DUMMYFUNCTION("""COMPUTED_VALUE"""),"{}")</f>
        <v>{}</v>
      </c>
      <c r="M2596" s="148">
        <f>IFERROR(__xludf.DUMMYFUNCTION("""COMPUTED_VALUE"""),1000.0)</f>
        <v>1000</v>
      </c>
      <c r="N2596" s="148">
        <f>IFERROR(__xludf.DUMMYFUNCTION("""COMPUTED_VALUE"""),9.99999999E8)</f>
        <v>999999999</v>
      </c>
      <c r="O2596" s="148">
        <f>IFERROR(__xludf.DUMMYFUNCTION("""COMPUTED_VALUE"""),9.99999999E8)</f>
        <v>999999999</v>
      </c>
      <c r="P2596" s="148">
        <f>IFERROR(__xludf.DUMMYFUNCTION("""COMPUTED_VALUE"""),9.99999999E8)</f>
        <v>999999999</v>
      </c>
      <c r="Q2596" s="148" t="str">
        <f>IFERROR(__xludf.DUMMYFUNCTION("""COMPUTED_VALUE"""),"[""bag_other""]")</f>
        <v>["bag_other"]</v>
      </c>
      <c r="R2596" s="148" t="str">
        <f>IFERROR(__xludf.DUMMYFUNCTION("""COMPUTED_VALUE"""),"[]")</f>
        <v>[]</v>
      </c>
      <c r="S2596" s="148" t="str">
        <f>IFERROR(__xludf.DUMMYFUNCTION("""COMPUTED_VALUE"""),"{""effect"":[{""typ"":""item_subscription"",""id"":2013500432}]}")</f>
        <v>{"effect":[{"typ":"item_subscription","id":2013500432}]}</v>
      </c>
      <c r="T2596" s="148">
        <f>IFERROR(__xludf.DUMMYFUNCTION("""COMPUTED_VALUE"""),-1.0)</f>
        <v>-1</v>
      </c>
      <c r="U2596" s="148">
        <f>IFERROR(__xludf.DUMMYFUNCTION("""COMPUTED_VALUE"""),1.0)</f>
        <v>1</v>
      </c>
      <c r="V2596" s="148" t="str">
        <f>IFERROR(__xludf.DUMMYFUNCTION("""COMPUTED_VALUE"""),"[]")</f>
        <v>[]</v>
      </c>
      <c r="W2596" s="148">
        <f>IFERROR(__xludf.DUMMYFUNCTION("""COMPUTED_VALUE"""),1.174E7)</f>
        <v>11740000</v>
      </c>
      <c r="X2596" s="148">
        <f>IFERROR(__xludf.DUMMYFUNCTION("""COMPUTED_VALUE"""),0.0)</f>
        <v>0</v>
      </c>
      <c r="Y2596" s="148">
        <f>IFERROR(__xludf.DUMMYFUNCTION("""COMPUTED_VALUE"""),0.0)</f>
        <v>0</v>
      </c>
      <c r="Z2596" s="148"/>
    </row>
    <row r="2597">
      <c r="A2597" s="148">
        <f>IFERROR(__xludf.DUMMYFUNCTION("""COMPUTED_VALUE"""),1.1119542E7)</f>
        <v>11119542</v>
      </c>
      <c r="B2597" s="148" t="str">
        <f>IFERROR(__xludf.DUMMYFUNCTION("""COMPUTED_VALUE"""),"科技节套装S2自选周卡解锁schema2-2")</f>
        <v>科技节套装S2自选周卡解锁schema2-2</v>
      </c>
      <c r="C2597" s="148"/>
      <c r="D2597" s="148" t="str">
        <f>IFERROR(__xludf.DUMMYFUNCTION("""COMPUTED_VALUE"""),"item_subscription")</f>
        <v>item_subscription</v>
      </c>
      <c r="E2597" s="148">
        <f>IFERROR(__xludf.DUMMYFUNCTION("""COMPUTED_VALUE"""),0.0)</f>
        <v>0</v>
      </c>
      <c r="F2597" s="148">
        <f>IFERROR(__xludf.DUMMYFUNCTION("""COMPUTED_VALUE"""),404200.0)</f>
        <v>404200</v>
      </c>
      <c r="G2597" s="148">
        <f>IFERROR(__xludf.DUMMYFUNCTION("""COMPUTED_VALUE"""),1.51101543E8)</f>
        <v>151101543</v>
      </c>
      <c r="H2597" s="148">
        <f>IFERROR(__xludf.DUMMYFUNCTION("""COMPUTED_VALUE"""),1.5112563E7)</f>
        <v>15112563</v>
      </c>
      <c r="I2597" s="148" t="str">
        <f>IFERROR(__xludf.DUMMYFUNCTION("""COMPUTED_VALUE"""),"{}")</f>
        <v>{}</v>
      </c>
      <c r="J2597" s="148" t="str">
        <f>IFERROR(__xludf.DUMMYFUNCTION("""COMPUTED_VALUE"""),"{""typ"":""lc"",""txt"":""LC_EVENT_sci_time_card_title_2025_2""}")</f>
        <v>{"typ":"lc","txt":"LC_EVENT_sci_time_card_title_2025_2"}</v>
      </c>
      <c r="K2597" s="148" t="str">
        <f>IFERROR(__xludf.DUMMYFUNCTION("""COMPUTED_VALUE"""),"{}")</f>
        <v>{}</v>
      </c>
      <c r="L2597" s="148" t="str">
        <f>IFERROR(__xludf.DUMMYFUNCTION("""COMPUTED_VALUE"""),"{}")</f>
        <v>{}</v>
      </c>
      <c r="M2597" s="148">
        <f>IFERROR(__xludf.DUMMYFUNCTION("""COMPUTED_VALUE"""),1000.0)</f>
        <v>1000</v>
      </c>
      <c r="N2597" s="148">
        <f>IFERROR(__xludf.DUMMYFUNCTION("""COMPUTED_VALUE"""),9.99999999E8)</f>
        <v>999999999</v>
      </c>
      <c r="O2597" s="148">
        <f>IFERROR(__xludf.DUMMYFUNCTION("""COMPUTED_VALUE"""),9.99999999E8)</f>
        <v>999999999</v>
      </c>
      <c r="P2597" s="148">
        <f>IFERROR(__xludf.DUMMYFUNCTION("""COMPUTED_VALUE"""),9.99999999E8)</f>
        <v>999999999</v>
      </c>
      <c r="Q2597" s="148" t="str">
        <f>IFERROR(__xludf.DUMMYFUNCTION("""COMPUTED_VALUE"""),"[""bag_other""]")</f>
        <v>["bag_other"]</v>
      </c>
      <c r="R2597" s="148" t="str">
        <f>IFERROR(__xludf.DUMMYFUNCTION("""COMPUTED_VALUE"""),"[]")</f>
        <v>[]</v>
      </c>
      <c r="S2597" s="148" t="str">
        <f>IFERROR(__xludf.DUMMYFUNCTION("""COMPUTED_VALUE"""),"{""effect"":[{""typ"":""item_subscription"",""id"":2013500433}]}")</f>
        <v>{"effect":[{"typ":"item_subscription","id":2013500433}]}</v>
      </c>
      <c r="T2597" s="148">
        <f>IFERROR(__xludf.DUMMYFUNCTION("""COMPUTED_VALUE"""),-1.0)</f>
        <v>-1</v>
      </c>
      <c r="U2597" s="148">
        <f>IFERROR(__xludf.DUMMYFUNCTION("""COMPUTED_VALUE"""),1.0)</f>
        <v>1</v>
      </c>
      <c r="V2597" s="148" t="str">
        <f>IFERROR(__xludf.DUMMYFUNCTION("""COMPUTED_VALUE"""),"[]")</f>
        <v>[]</v>
      </c>
      <c r="W2597" s="148">
        <f>IFERROR(__xludf.DUMMYFUNCTION("""COMPUTED_VALUE"""),1.174E7)</f>
        <v>11740000</v>
      </c>
      <c r="X2597" s="148">
        <f>IFERROR(__xludf.DUMMYFUNCTION("""COMPUTED_VALUE"""),0.0)</f>
        <v>0</v>
      </c>
      <c r="Y2597" s="148">
        <f>IFERROR(__xludf.DUMMYFUNCTION("""COMPUTED_VALUE"""),0.0)</f>
        <v>0</v>
      </c>
      <c r="Z2597" s="148"/>
    </row>
    <row r="2598">
      <c r="A2598" s="148">
        <f>IFERROR(__xludf.DUMMYFUNCTION("""COMPUTED_VALUE"""),1.1119543E7)</f>
        <v>11119543</v>
      </c>
      <c r="B2598" s="148" t="str">
        <f>IFERROR(__xludf.DUMMYFUNCTION("""COMPUTED_VALUE"""),"科技节套装S2自选周卡解锁schema2-3")</f>
        <v>科技节套装S2自选周卡解锁schema2-3</v>
      </c>
      <c r="C2598" s="148"/>
      <c r="D2598" s="148" t="str">
        <f>IFERROR(__xludf.DUMMYFUNCTION("""COMPUTED_VALUE"""),"item_subscription")</f>
        <v>item_subscription</v>
      </c>
      <c r="E2598" s="148">
        <f>IFERROR(__xludf.DUMMYFUNCTION("""COMPUTED_VALUE"""),0.0)</f>
        <v>0</v>
      </c>
      <c r="F2598" s="148">
        <f>IFERROR(__xludf.DUMMYFUNCTION("""COMPUTED_VALUE"""),404200.0)</f>
        <v>404200</v>
      </c>
      <c r="G2598" s="148">
        <f>IFERROR(__xludf.DUMMYFUNCTION("""COMPUTED_VALUE"""),1.51101543E8)</f>
        <v>151101543</v>
      </c>
      <c r="H2598" s="148">
        <f>IFERROR(__xludf.DUMMYFUNCTION("""COMPUTED_VALUE"""),1.5112562E7)</f>
        <v>15112562</v>
      </c>
      <c r="I2598" s="148" t="str">
        <f>IFERROR(__xludf.DUMMYFUNCTION("""COMPUTED_VALUE"""),"{}")</f>
        <v>{}</v>
      </c>
      <c r="J2598" s="148" t="str">
        <f>IFERROR(__xludf.DUMMYFUNCTION("""COMPUTED_VALUE"""),"{""typ"":""lc"",""txt"":""LC_EVENT_sci_time_card_title_2025_3""}")</f>
        <v>{"typ":"lc","txt":"LC_EVENT_sci_time_card_title_2025_3"}</v>
      </c>
      <c r="K2598" s="148" t="str">
        <f>IFERROR(__xludf.DUMMYFUNCTION("""COMPUTED_VALUE"""),"{}")</f>
        <v>{}</v>
      </c>
      <c r="L2598" s="148" t="str">
        <f>IFERROR(__xludf.DUMMYFUNCTION("""COMPUTED_VALUE"""),"{}")</f>
        <v>{}</v>
      </c>
      <c r="M2598" s="148">
        <f>IFERROR(__xludf.DUMMYFUNCTION("""COMPUTED_VALUE"""),1000.0)</f>
        <v>1000</v>
      </c>
      <c r="N2598" s="148">
        <f>IFERROR(__xludf.DUMMYFUNCTION("""COMPUTED_VALUE"""),9.99999999E8)</f>
        <v>999999999</v>
      </c>
      <c r="O2598" s="148">
        <f>IFERROR(__xludf.DUMMYFUNCTION("""COMPUTED_VALUE"""),9.99999999E8)</f>
        <v>999999999</v>
      </c>
      <c r="P2598" s="148">
        <f>IFERROR(__xludf.DUMMYFUNCTION("""COMPUTED_VALUE"""),9.99999999E8)</f>
        <v>999999999</v>
      </c>
      <c r="Q2598" s="148" t="str">
        <f>IFERROR(__xludf.DUMMYFUNCTION("""COMPUTED_VALUE"""),"[""bag_other""]")</f>
        <v>["bag_other"]</v>
      </c>
      <c r="R2598" s="148" t="str">
        <f>IFERROR(__xludf.DUMMYFUNCTION("""COMPUTED_VALUE"""),"[]")</f>
        <v>[]</v>
      </c>
      <c r="S2598" s="148" t="str">
        <f>IFERROR(__xludf.DUMMYFUNCTION("""COMPUTED_VALUE"""),"{""effect"":[{""typ"":""item_subscription"",""id"":2013500434}]}")</f>
        <v>{"effect":[{"typ":"item_subscription","id":2013500434}]}</v>
      </c>
      <c r="T2598" s="148">
        <f>IFERROR(__xludf.DUMMYFUNCTION("""COMPUTED_VALUE"""),-1.0)</f>
        <v>-1</v>
      </c>
      <c r="U2598" s="148">
        <f>IFERROR(__xludf.DUMMYFUNCTION("""COMPUTED_VALUE"""),1.0)</f>
        <v>1</v>
      </c>
      <c r="V2598" s="148" t="str">
        <f>IFERROR(__xludf.DUMMYFUNCTION("""COMPUTED_VALUE"""),"[]")</f>
        <v>[]</v>
      </c>
      <c r="W2598" s="148">
        <f>IFERROR(__xludf.DUMMYFUNCTION("""COMPUTED_VALUE"""),1.174E7)</f>
        <v>11740000</v>
      </c>
      <c r="X2598" s="148">
        <f>IFERROR(__xludf.DUMMYFUNCTION("""COMPUTED_VALUE"""),0.0)</f>
        <v>0</v>
      </c>
      <c r="Y2598" s="148">
        <f>IFERROR(__xludf.DUMMYFUNCTION("""COMPUTED_VALUE"""),0.0)</f>
        <v>0</v>
      </c>
      <c r="Z2598" s="148"/>
    </row>
    <row r="2599">
      <c r="A2599" s="148">
        <f>IFERROR(__xludf.DUMMYFUNCTION("""COMPUTED_VALUE"""),1.1119544E7)</f>
        <v>11119544</v>
      </c>
      <c r="B2599" s="148" t="str">
        <f>IFERROR(__xludf.DUMMYFUNCTION("""COMPUTED_VALUE"""),"kvk预热红包")</f>
        <v>kvk预热红包</v>
      </c>
      <c r="C2599" s="148"/>
      <c r="D2599" s="148" t="str">
        <f>IFERROR(__xludf.DUMMYFUNCTION("""COMPUTED_VALUE"""),"red_package")</f>
        <v>red_package</v>
      </c>
      <c r="E2599" s="148">
        <f>IFERROR(__xludf.DUMMYFUNCTION("""COMPUTED_VALUE"""),0.0)</f>
        <v>0</v>
      </c>
      <c r="F2599" s="148">
        <f>IFERROR(__xludf.DUMMYFUNCTION("""COMPUTED_VALUE"""),101101.0)</f>
        <v>101101</v>
      </c>
      <c r="G2599" s="148">
        <f>IFERROR(__xludf.DUMMYFUNCTION("""COMPUTED_VALUE"""),1.5115804E7)</f>
        <v>15115804</v>
      </c>
      <c r="H2599" s="148">
        <f>IFERROR(__xludf.DUMMYFUNCTION("""COMPUTED_VALUE"""),1.5112564E7)</f>
        <v>15112564</v>
      </c>
      <c r="I2599" s="148" t="str">
        <f>IFERROR(__xludf.DUMMYFUNCTION("""COMPUTED_VALUE"""),"{}")</f>
        <v>{}</v>
      </c>
      <c r="J2599" s="148" t="str">
        <f>IFERROR(__xludf.DUMMYFUNCTION("""COMPUTED_VALUE"""),"{""typ"":""lc"",""txt"":""LC_ITEM_kvk_pre_red_packages_name""}")</f>
        <v>{"typ":"lc","txt":"LC_ITEM_kvk_pre_red_packages_name"}</v>
      </c>
      <c r="K2599" s="148" t="str">
        <f>IFERROR(__xludf.DUMMYFUNCTION("""COMPUTED_VALUE"""),"{""typ"":""lc"",""txt"":""LC_ITEM_kvk_pre_red_packages_desc"",""args"":[{""typ"":""int"",""val"":1000}]}")</f>
        <v>{"typ":"lc","txt":"LC_ITEM_kvk_pre_red_packages_desc","args":[{"typ":"int","val":1000}]}</v>
      </c>
      <c r="L2599" s="148" t="str">
        <f>IFERROR(__xludf.DUMMYFUNCTION("""COMPUTED_VALUE"""),"{}")</f>
        <v>{}</v>
      </c>
      <c r="M2599" s="148">
        <f>IFERROR(__xludf.DUMMYFUNCTION("""COMPUTED_VALUE"""),1000.0)</f>
        <v>1000</v>
      </c>
      <c r="N2599" s="148">
        <f>IFERROR(__xludf.DUMMYFUNCTION("""COMPUTED_VALUE"""),999999.0)</f>
        <v>999999</v>
      </c>
      <c r="O2599" s="148">
        <f>IFERROR(__xludf.DUMMYFUNCTION("""COMPUTED_VALUE"""),99999.0)</f>
        <v>99999</v>
      </c>
      <c r="P2599" s="148">
        <f>IFERROR(__xludf.DUMMYFUNCTION("""COMPUTED_VALUE"""),1.0)</f>
        <v>1</v>
      </c>
      <c r="Q2599" s="148" t="str">
        <f>IFERROR(__xludf.DUMMYFUNCTION("""COMPUTED_VALUE"""),"[""bag_other""]")</f>
        <v>["bag_other"]</v>
      </c>
      <c r="R2599" s="148" t="str">
        <f>IFERROR(__xludf.DUMMYFUNCTION("""COMPUTED_VALUE"""),"[""bag""]")</f>
        <v>["bag"]</v>
      </c>
      <c r="S2599" s="148" t="str">
        <f>IFERROR(__xludf.DUMMYFUNCTION("""COMPUTED_VALUE"""),"{""effect"":[{""typ"":""red_pack"",""id"":20290019}]}")</f>
        <v>{"effect":[{"typ":"red_pack","id":20290019}]}</v>
      </c>
      <c r="T2599" s="148">
        <f>IFERROR(__xludf.DUMMYFUNCTION("""COMPUTED_VALUE"""),1.0)</f>
        <v>1</v>
      </c>
      <c r="U2599" s="148">
        <f>IFERROR(__xludf.DUMMYFUNCTION("""COMPUTED_VALUE"""),0.0)</f>
        <v>0</v>
      </c>
      <c r="V2599" s="148" t="str">
        <f>IFERROR(__xludf.DUMMYFUNCTION("""COMPUTED_VALUE"""),"[]")</f>
        <v>[]</v>
      </c>
      <c r="W2599" s="148">
        <f>IFERROR(__xludf.DUMMYFUNCTION("""COMPUTED_VALUE"""),1.174E7)</f>
        <v>11740000</v>
      </c>
      <c r="X2599" s="148">
        <f>IFERROR(__xludf.DUMMYFUNCTION("""COMPUTED_VALUE"""),0.0)</f>
        <v>0</v>
      </c>
      <c r="Y2599" s="148">
        <f>IFERROR(__xludf.DUMMYFUNCTION("""COMPUTED_VALUE"""),0.0)</f>
        <v>0</v>
      </c>
      <c r="Z2599" s="148"/>
    </row>
    <row r="2600">
      <c r="A2600" s="148">
        <f>IFERROR(__xludf.DUMMYFUNCTION("""COMPUTED_VALUE"""),1.1119545E7)</f>
        <v>11119545</v>
      </c>
      <c r="B2600" s="148" t="str">
        <f>IFERROR(__xludf.DUMMYFUNCTION("""COMPUTED_VALUE"""),"kvk预热bp-豪华通行证")</f>
        <v>kvk预热bp-豪华通行证</v>
      </c>
      <c r="C2600" s="148"/>
      <c r="D2600" s="148" t="str">
        <f>IFERROR(__xludf.DUMMYFUNCTION("""COMPUTED_VALUE"""),"battle_pass_card")</f>
        <v>battle_pass_card</v>
      </c>
      <c r="E2600" s="148">
        <f>IFERROR(__xludf.DUMMYFUNCTION("""COMPUTED_VALUE"""),0.0)</f>
        <v>0</v>
      </c>
      <c r="F2600" s="148">
        <f>IFERROR(__xludf.DUMMYFUNCTION("""COMPUTED_VALUE"""),0.0)</f>
        <v>0</v>
      </c>
      <c r="G2600" s="148">
        <f>IFERROR(__xludf.DUMMYFUNCTION("""COMPUTED_VALUE"""),1.5119217E7)</f>
        <v>15119217</v>
      </c>
      <c r="H2600" s="148">
        <f>IFERROR(__xludf.DUMMYFUNCTION("""COMPUTED_VALUE"""),1.5112564E7)</f>
        <v>15112564</v>
      </c>
      <c r="I2600" s="148" t="str">
        <f>IFERROR(__xludf.DUMMYFUNCTION("""COMPUTED_VALUE"""),"{}")</f>
        <v>{}</v>
      </c>
      <c r="J2600" s="148" t="str">
        <f>IFERROR(__xludf.DUMMYFUNCTION("""COMPUTED_VALUE"""),"{""typ"":""lc"",""txt"":""LC_EVENT_Bargain_bp_pay1_reward""}")</f>
        <v>{"typ":"lc","txt":"LC_EVENT_Bargain_bp_pay1_reward"}</v>
      </c>
      <c r="K2600" s="148" t="str">
        <f>IFERROR(__xludf.DUMMYFUNCTION("""COMPUTED_VALUE"""),"{}")</f>
        <v>{}</v>
      </c>
      <c r="L2600" s="148" t="str">
        <f>IFERROR(__xludf.DUMMYFUNCTION("""COMPUTED_VALUE"""),"{}")</f>
        <v>{}</v>
      </c>
      <c r="M2600" s="148">
        <f>IFERROR(__xludf.DUMMYFUNCTION("""COMPUTED_VALUE"""),10.0)</f>
        <v>10</v>
      </c>
      <c r="N2600" s="148">
        <f>IFERROR(__xludf.DUMMYFUNCTION("""COMPUTED_VALUE"""),999999.0)</f>
        <v>999999</v>
      </c>
      <c r="O2600" s="148">
        <f>IFERROR(__xludf.DUMMYFUNCTION("""COMPUTED_VALUE"""),99999.0)</f>
        <v>99999</v>
      </c>
      <c r="P2600" s="148">
        <f>IFERROR(__xludf.DUMMYFUNCTION("""COMPUTED_VALUE"""),9999.0)</f>
        <v>9999</v>
      </c>
      <c r="Q2600" s="148" t="str">
        <f>IFERROR(__xludf.DUMMYFUNCTION("""COMPUTED_VALUE"""),"[]")</f>
        <v>[]</v>
      </c>
      <c r="R2600" s="148" t="str">
        <f>IFERROR(__xludf.DUMMYFUNCTION("""COMPUTED_VALUE"""),"[]")</f>
        <v>[]</v>
      </c>
      <c r="S2600" s="148" t="str">
        <f>IFERROR(__xludf.DUMMYFUNCTION("""COMPUTED_VALUE"""),"{}")</f>
        <v>{}</v>
      </c>
      <c r="T2600" s="148">
        <f>IFERROR(__xludf.DUMMYFUNCTION("""COMPUTED_VALUE"""),-1.0)</f>
        <v>-1</v>
      </c>
      <c r="U2600" s="148">
        <f>IFERROR(__xludf.DUMMYFUNCTION("""COMPUTED_VALUE"""),1.0)</f>
        <v>1</v>
      </c>
      <c r="V2600" s="148" t="str">
        <f>IFERROR(__xludf.DUMMYFUNCTION("""COMPUTED_VALUE"""),"[]")</f>
        <v>[]</v>
      </c>
      <c r="W2600" s="148">
        <f>IFERROR(__xludf.DUMMYFUNCTION("""COMPUTED_VALUE"""),1.174E7)</f>
        <v>11740000</v>
      </c>
      <c r="X2600" s="148">
        <f>IFERROR(__xludf.DUMMYFUNCTION("""COMPUTED_VALUE"""),0.0)</f>
        <v>0</v>
      </c>
      <c r="Y2600" s="148">
        <f>IFERROR(__xludf.DUMMYFUNCTION("""COMPUTED_VALUE"""),0.0)</f>
        <v>0</v>
      </c>
      <c r="Z2600" s="148"/>
    </row>
    <row r="2601">
      <c r="A2601" s="148">
        <f>IFERROR(__xludf.DUMMYFUNCTION("""COMPUTED_VALUE"""),1.1119546E7)</f>
        <v>11119546</v>
      </c>
      <c r="B2601" s="148" t="str">
        <f>IFERROR(__xludf.DUMMYFUNCTION("""COMPUTED_VALUE"""),"kvk预热bp-典藏通行证")</f>
        <v>kvk预热bp-典藏通行证</v>
      </c>
      <c r="C2601" s="148"/>
      <c r="D2601" s="148" t="str">
        <f>IFERROR(__xludf.DUMMYFUNCTION("""COMPUTED_VALUE"""),"battle_pass_card")</f>
        <v>battle_pass_card</v>
      </c>
      <c r="E2601" s="148">
        <f>IFERROR(__xludf.DUMMYFUNCTION("""COMPUTED_VALUE"""),0.0)</f>
        <v>0</v>
      </c>
      <c r="F2601" s="148">
        <f>IFERROR(__xludf.DUMMYFUNCTION("""COMPUTED_VALUE"""),0.0)</f>
        <v>0</v>
      </c>
      <c r="G2601" s="148">
        <f>IFERROR(__xludf.DUMMYFUNCTION("""COMPUTED_VALUE"""),1.5119217E7)</f>
        <v>15119217</v>
      </c>
      <c r="H2601" s="148">
        <f>IFERROR(__xludf.DUMMYFUNCTION("""COMPUTED_VALUE"""),1.5112564E7)</f>
        <v>15112564</v>
      </c>
      <c r="I2601" s="148" t="str">
        <f>IFERROR(__xludf.DUMMYFUNCTION("""COMPUTED_VALUE"""),"{}")</f>
        <v>{}</v>
      </c>
      <c r="J2601" s="148" t="str">
        <f>IFERROR(__xludf.DUMMYFUNCTION("""COMPUTED_VALUE"""),"{""typ"":""lc"",""txt"":""LC_EVENT_Bargain_bp_pay2_reward""}")</f>
        <v>{"typ":"lc","txt":"LC_EVENT_Bargain_bp_pay2_reward"}</v>
      </c>
      <c r="K2601" s="148" t="str">
        <f>IFERROR(__xludf.DUMMYFUNCTION("""COMPUTED_VALUE"""),"{}")</f>
        <v>{}</v>
      </c>
      <c r="L2601" s="148" t="str">
        <f>IFERROR(__xludf.DUMMYFUNCTION("""COMPUTED_VALUE"""),"{}")</f>
        <v>{}</v>
      </c>
      <c r="M2601" s="148">
        <f>IFERROR(__xludf.DUMMYFUNCTION("""COMPUTED_VALUE"""),10.0)</f>
        <v>10</v>
      </c>
      <c r="N2601" s="148">
        <f>IFERROR(__xludf.DUMMYFUNCTION("""COMPUTED_VALUE"""),999999.0)</f>
        <v>999999</v>
      </c>
      <c r="O2601" s="148">
        <f>IFERROR(__xludf.DUMMYFUNCTION("""COMPUTED_VALUE"""),99999.0)</f>
        <v>99999</v>
      </c>
      <c r="P2601" s="148">
        <f>IFERROR(__xludf.DUMMYFUNCTION("""COMPUTED_VALUE"""),9999.0)</f>
        <v>9999</v>
      </c>
      <c r="Q2601" s="148" t="str">
        <f>IFERROR(__xludf.DUMMYFUNCTION("""COMPUTED_VALUE"""),"[]")</f>
        <v>[]</v>
      </c>
      <c r="R2601" s="148" t="str">
        <f>IFERROR(__xludf.DUMMYFUNCTION("""COMPUTED_VALUE"""),"[]")</f>
        <v>[]</v>
      </c>
      <c r="S2601" s="148" t="str">
        <f>IFERROR(__xludf.DUMMYFUNCTION("""COMPUTED_VALUE"""),"{}")</f>
        <v>{}</v>
      </c>
      <c r="T2601" s="148">
        <f>IFERROR(__xludf.DUMMYFUNCTION("""COMPUTED_VALUE"""),-1.0)</f>
        <v>-1</v>
      </c>
      <c r="U2601" s="148">
        <f>IFERROR(__xludf.DUMMYFUNCTION("""COMPUTED_VALUE"""),1.0)</f>
        <v>1</v>
      </c>
      <c r="V2601" s="148" t="str">
        <f>IFERROR(__xludf.DUMMYFUNCTION("""COMPUTED_VALUE"""),"[]")</f>
        <v>[]</v>
      </c>
      <c r="W2601" s="148">
        <f>IFERROR(__xludf.DUMMYFUNCTION("""COMPUTED_VALUE"""),1.174E7)</f>
        <v>11740000</v>
      </c>
      <c r="X2601" s="148">
        <f>IFERROR(__xludf.DUMMYFUNCTION("""COMPUTED_VALUE"""),0.0)</f>
        <v>0</v>
      </c>
      <c r="Y2601" s="148">
        <f>IFERROR(__xludf.DUMMYFUNCTION("""COMPUTED_VALUE"""),0.0)</f>
        <v>0</v>
      </c>
      <c r="Z2601" s="148"/>
    </row>
    <row r="2602">
      <c r="A2602" s="148">
        <f>IFERROR(__xludf.DUMMYFUNCTION("""COMPUTED_VALUE"""),1.1119547E7)</f>
        <v>11119547</v>
      </c>
      <c r="B2602" s="148" t="str">
        <f>IFERROR(__xludf.DUMMYFUNCTION("""COMPUTED_VALUE"""),"kvk预热bp-升级道具1")</f>
        <v>kvk预热bp-升级道具1</v>
      </c>
      <c r="C2602" s="148"/>
      <c r="D2602" s="148" t="str">
        <f>IFERROR(__xludf.DUMMYFUNCTION("""COMPUTED_VALUE"""),"battle_pass_exp")</f>
        <v>battle_pass_exp</v>
      </c>
      <c r="E2602" s="148">
        <f>IFERROR(__xludf.DUMMYFUNCTION("""COMPUTED_VALUE"""),0.0)</f>
        <v>0</v>
      </c>
      <c r="F2602" s="148">
        <f>IFERROR(__xludf.DUMMYFUNCTION("""COMPUTED_VALUE"""),405218.0)</f>
        <v>405218</v>
      </c>
      <c r="G2602" s="148">
        <f>IFERROR(__xludf.DUMMYFUNCTION("""COMPUTED_VALUE"""),1.51100894E8)</f>
        <v>151100894</v>
      </c>
      <c r="H2602" s="148">
        <f>IFERROR(__xludf.DUMMYFUNCTION("""COMPUTED_VALUE"""),1.5112563E7)</f>
        <v>15112563</v>
      </c>
      <c r="I2602" s="148" t="str">
        <f>IFERROR(__xludf.DUMMYFUNCTION("""COMPUTED_VALUE"""),"{}")</f>
        <v>{}</v>
      </c>
      <c r="J2602" s="148" t="str">
        <f>IFERROR(__xludf.DUMMYFUNCTION("""COMPUTED_VALUE"""),"{""typ"":""lc"",""txt"":""LC_ITEM_kvk_pre_exp_name""}")</f>
        <v>{"typ":"lc","txt":"LC_ITEM_kvk_pre_exp_name"}</v>
      </c>
      <c r="K2602" s="148" t="str">
        <f>IFERROR(__xludf.DUMMYFUNCTION("""COMPUTED_VALUE"""),"{""typ"":""lc"",""txt"":""LC_ITEM_kvk_pre_exp_desc""}")</f>
        <v>{"typ":"lc","txt":"LC_ITEM_kvk_pre_exp_desc"}</v>
      </c>
      <c r="L2602" s="148" t="str">
        <f>IFERROR(__xludf.DUMMYFUNCTION("""COMPUTED_VALUE"""),"{}")</f>
        <v>{}</v>
      </c>
      <c r="M2602" s="148">
        <f>IFERROR(__xludf.DUMMYFUNCTION("""COMPUTED_VALUE"""),6.0)</f>
        <v>6</v>
      </c>
      <c r="N2602" s="148">
        <f>IFERROR(__xludf.DUMMYFUNCTION("""COMPUTED_VALUE"""),999999.0)</f>
        <v>999999</v>
      </c>
      <c r="O2602" s="148">
        <f>IFERROR(__xludf.DUMMYFUNCTION("""COMPUTED_VALUE"""),99999.0)</f>
        <v>99999</v>
      </c>
      <c r="P2602" s="148">
        <f>IFERROR(__xludf.DUMMYFUNCTION("""COMPUTED_VALUE"""),99999.0)</f>
        <v>99999</v>
      </c>
      <c r="Q2602" s="148" t="str">
        <f>IFERROR(__xludf.DUMMYFUNCTION("""COMPUTED_VALUE"""),"[""bag_other""]")</f>
        <v>["bag_other"]</v>
      </c>
      <c r="R2602" s="148" t="str">
        <f>IFERROR(__xludf.DUMMYFUNCTION("""COMPUTED_VALUE"""),"[]")</f>
        <v>[]</v>
      </c>
      <c r="S2602" s="148" t="str">
        <f>IFERROR(__xludf.DUMMYFUNCTION("""COMPUTED_VALUE"""),"{""effect"":[{""typ"":""event"",""id"":21128084},{""typ"":""miss_lost_reward""}]}")</f>
        <v>{"effect":[{"typ":"event","id":21128084},{"typ":"miss_lost_reward"}]}</v>
      </c>
      <c r="T2602" s="148">
        <f>IFERROR(__xludf.DUMMYFUNCTION("""COMPUTED_VALUE"""),-1.0)</f>
        <v>-1</v>
      </c>
      <c r="U2602" s="148">
        <f>IFERROR(__xludf.DUMMYFUNCTION("""COMPUTED_VALUE"""),1.0)</f>
        <v>1</v>
      </c>
      <c r="V2602" s="148" t="str">
        <f>IFERROR(__xludf.DUMMYFUNCTION("""COMPUTED_VALUE"""),"[]")</f>
        <v>[]</v>
      </c>
      <c r="W2602" s="148">
        <f>IFERROR(__xludf.DUMMYFUNCTION("""COMPUTED_VALUE"""),1.174E7)</f>
        <v>11740000</v>
      </c>
      <c r="X2602" s="148">
        <f>IFERROR(__xludf.DUMMYFUNCTION("""COMPUTED_VALUE"""),0.0)</f>
        <v>0</v>
      </c>
      <c r="Y2602" s="148">
        <f>IFERROR(__xludf.DUMMYFUNCTION("""COMPUTED_VALUE"""),0.0)</f>
        <v>0</v>
      </c>
      <c r="Z2602" s="148"/>
    </row>
    <row r="2603">
      <c r="A2603" s="148">
        <f>IFERROR(__xludf.DUMMYFUNCTION("""COMPUTED_VALUE"""),1.1119548E7)</f>
        <v>11119548</v>
      </c>
      <c r="B2603" s="148" t="str">
        <f>IFERROR(__xludf.DUMMYFUNCTION("""COMPUTED_VALUE"""),"kvk预热bp随机宝箱")</f>
        <v>kvk预热bp随机宝箱</v>
      </c>
      <c r="C2603" s="148"/>
      <c r="D2603" s="148" t="str">
        <f>IFERROR(__xludf.DUMMYFUNCTION("""COMPUTED_VALUE"""),"item_asset")</f>
        <v>item_asset</v>
      </c>
      <c r="E2603" s="148">
        <f>IFERROR(__xludf.DUMMYFUNCTION("""COMPUTED_VALUE"""),19.0)</f>
        <v>19</v>
      </c>
      <c r="F2603" s="148">
        <f>IFERROR(__xludf.DUMMYFUNCTION("""COMPUTED_VALUE"""),403308.0)</f>
        <v>403308</v>
      </c>
      <c r="G2603" s="148">
        <f>IFERROR(__xludf.DUMMYFUNCTION("""COMPUTED_VALUE"""),1.51101854E8)</f>
        <v>151101854</v>
      </c>
      <c r="H2603" s="148">
        <f>IFERROR(__xludf.DUMMYFUNCTION("""COMPUTED_VALUE"""),1.5112564E7)</f>
        <v>15112564</v>
      </c>
      <c r="I2603" s="148" t="str">
        <f>IFERROR(__xludf.DUMMYFUNCTION("""COMPUTED_VALUE"""),"{}")</f>
        <v>{}</v>
      </c>
      <c r="J2603" s="148" t="str">
        <f>IFERROR(__xludf.DUMMYFUNCTION("""COMPUTED_VALUE"""),"{""typ"":""lc"",""txt"":""LC_ITEM_kvk_pre_bp_box_name""}")</f>
        <v>{"typ":"lc","txt":"LC_ITEM_kvk_pre_bp_box_name"}</v>
      </c>
      <c r="K2603" s="148" t="str">
        <f>IFERROR(__xludf.DUMMYFUNCTION("""COMPUTED_VALUE"""),"{""typ"":""lc"",""txt"":""LC_ITEM_kvk_pre_bp_box_desc""}")</f>
        <v>{"typ":"lc","txt":"LC_ITEM_kvk_pre_bp_box_desc"}</v>
      </c>
      <c r="L2603" s="148" t="str">
        <f>IFERROR(__xludf.DUMMYFUNCTION("""COMPUTED_VALUE"""),"{}")</f>
        <v>{}</v>
      </c>
      <c r="M2603" s="148">
        <f>IFERROR(__xludf.DUMMYFUNCTION("""COMPUTED_VALUE"""),250.0)</f>
        <v>250</v>
      </c>
      <c r="N2603" s="148">
        <f>IFERROR(__xludf.DUMMYFUNCTION("""COMPUTED_VALUE"""),999999.0)</f>
        <v>999999</v>
      </c>
      <c r="O2603" s="148">
        <f>IFERROR(__xludf.DUMMYFUNCTION("""COMPUTED_VALUE"""),99999.0)</f>
        <v>99999</v>
      </c>
      <c r="P2603" s="148">
        <f>IFERROR(__xludf.DUMMYFUNCTION("""COMPUTED_VALUE"""),9999.0)</f>
        <v>9999</v>
      </c>
      <c r="Q2603" s="148" t="str">
        <f>IFERROR(__xludf.DUMMYFUNCTION("""COMPUTED_VALUE"""),"[""bag_other""]")</f>
        <v>["bag_other"]</v>
      </c>
      <c r="R2603" s="148" t="str">
        <f>IFERROR(__xludf.DUMMYFUNCTION("""COMPUTED_VALUE"""),"[""bag""]")</f>
        <v>["bag"]</v>
      </c>
      <c r="S2603" s="148" t="str">
        <f>IFERROR(__xludf.DUMMYFUNCTION("""COMPUTED_VALUE"""),"{""drop"":{""typ"":""single_random"",""num"":1,""args"":[{""typ"":""material"",""id"":19345004,""num"":4,""wgt"":10},{""typ"":""item"",""id"":11117069,""num"":1,""wgt"":10},{""typ"":""item"",""id"":11118501,""num"":1,""wgt"":10},{""typ"":""item"",""id"":1"&amp;"1116604,""num"":2,""wgt"":10},{""typ"":""item"",""id"":11111105,""num"":2,""wgt"":30}]}}")</f>
        <v>{"drop":{"typ":"single_random","num":1,"args":[{"typ":"material","id":19345004,"num":4,"wgt":10},{"typ":"item","id":11117069,"num":1,"wgt":10},{"typ":"item","id":11118501,"num":1,"wgt":10},{"typ":"item","id":11116604,"num":2,"wgt":10},{"typ":"item","id":11111105,"num":2,"wgt":30}]}}</v>
      </c>
      <c r="T2603" s="148">
        <f>IFERROR(__xludf.DUMMYFUNCTION("""COMPUTED_VALUE"""),-1.0)</f>
        <v>-1</v>
      </c>
      <c r="U2603" s="148">
        <f>IFERROR(__xludf.DUMMYFUNCTION("""COMPUTED_VALUE"""),0.0)</f>
        <v>0</v>
      </c>
      <c r="V2603" s="148" t="str">
        <f>IFERROR(__xludf.DUMMYFUNCTION("""COMPUTED_VALUE"""),"[]")</f>
        <v>[]</v>
      </c>
      <c r="W2603" s="148">
        <f>IFERROR(__xludf.DUMMYFUNCTION("""COMPUTED_VALUE"""),1.174E7)</f>
        <v>11740000</v>
      </c>
      <c r="X2603" s="148">
        <f>IFERROR(__xludf.DUMMYFUNCTION("""COMPUTED_VALUE"""),0.0)</f>
        <v>0</v>
      </c>
      <c r="Y2603" s="148">
        <f>IFERROR(__xludf.DUMMYFUNCTION("""COMPUTED_VALUE"""),0.0)</f>
        <v>0</v>
      </c>
      <c r="Z2603" s="148"/>
    </row>
    <row r="2604">
      <c r="A2604" s="148">
        <f>IFERROR(__xludf.DUMMYFUNCTION("""COMPUTED_VALUE"""),1.111955E7)</f>
        <v>11119550</v>
      </c>
      <c r="B2604" s="148" t="str">
        <f>IFERROR(__xludf.DUMMYFUNCTION("""COMPUTED_VALUE"""),"涂饰-军功投放-军功丰碑-本体")</f>
        <v>涂饰-军功投放-军功丰碑-本体</v>
      </c>
      <c r="C2604" s="148"/>
      <c r="D2604" s="148" t="str">
        <f>IFERROR(__xludf.DUMMYFUNCTION("""COMPUTED_VALUE"""),"statue_decorate")</f>
        <v>statue_decorate</v>
      </c>
      <c r="E2604" s="148">
        <f>IFERROR(__xludf.DUMMYFUNCTION("""COMPUTED_VALUE"""),23.0)</f>
        <v>23</v>
      </c>
      <c r="F2604" s="148">
        <f>IFERROR(__xludf.DUMMYFUNCTION("""COMPUTED_VALUE"""),0.0)</f>
        <v>0</v>
      </c>
      <c r="G2604" s="148">
        <f>IFERROR(__xludf.DUMMYFUNCTION("""COMPUTED_VALUE"""),1.51102112E8)</f>
        <v>151102112</v>
      </c>
      <c r="H2604" s="148">
        <f>IFERROR(__xludf.DUMMYFUNCTION("""COMPUTED_VALUE"""),1.5112564E7)</f>
        <v>15112564</v>
      </c>
      <c r="I2604" s="148" t="str">
        <f>IFERROR(__xludf.DUMMYFUNCTION("""COMPUTED_VALUE"""),"{}")</f>
        <v>{}</v>
      </c>
      <c r="J2604" s="148" t="str">
        <f>IFERROR(__xludf.DUMMYFUNCTION("""COMPUTED_VALUE"""),"{""typ"":""lc"",""txt"":""LC_ITEM_new_paint_decoration_military_name""}")</f>
        <v>{"typ":"lc","txt":"LC_ITEM_new_paint_decoration_military_name"}</v>
      </c>
      <c r="K2604" s="148" t="str">
        <f>IFERROR(__xludf.DUMMYFUNCTION("""COMPUTED_VALUE"""),"{""typ"":""lc"",""txt"":""LC_ITEM_new_paint_decoration_military_item_desc""}")</f>
        <v>{"typ":"lc","txt":"LC_ITEM_new_paint_decoration_military_item_desc"}</v>
      </c>
      <c r="L2604" s="148" t="str">
        <f>IFERROR(__xludf.DUMMYFUNCTION("""COMPUTED_VALUE"""),"{}")</f>
        <v>{}</v>
      </c>
      <c r="M2604" s="148">
        <f>IFERROR(__xludf.DUMMYFUNCTION("""COMPUTED_VALUE"""),5000.0)</f>
        <v>5000</v>
      </c>
      <c r="N2604" s="148">
        <f>IFERROR(__xludf.DUMMYFUNCTION("""COMPUTED_VALUE"""),999.0)</f>
        <v>999</v>
      </c>
      <c r="O2604" s="148">
        <f>IFERROR(__xludf.DUMMYFUNCTION("""COMPUTED_VALUE"""),99999.0)</f>
        <v>99999</v>
      </c>
      <c r="P2604" s="148">
        <f>IFERROR(__xludf.DUMMYFUNCTION("""COMPUTED_VALUE"""),99999.0)</f>
        <v>99999</v>
      </c>
      <c r="Q2604" s="148" t="str">
        <f>IFERROR(__xludf.DUMMYFUNCTION("""COMPUTED_VALUE"""),"[]")</f>
        <v>[]</v>
      </c>
      <c r="R2604" s="148" t="str">
        <f>IFERROR(__xludf.DUMMYFUNCTION("""COMPUTED_VALUE"""),"[""bag""]")</f>
        <v>["bag"]</v>
      </c>
      <c r="S2604" s="148" t="str">
        <f>IFERROR(__xludf.DUMMYFUNCTION("""COMPUTED_VALUE"""),"{""effect"":[{""typ"":""holiday_statue"",""id"":21482901,""val"":-1}]}")</f>
        <v>{"effect":[{"typ":"holiday_statue","id":21482901,"val":-1}]}</v>
      </c>
      <c r="T2604" s="148">
        <f>IFERROR(__xludf.DUMMYFUNCTION("""COMPUTED_VALUE"""),-1.0)</f>
        <v>-1</v>
      </c>
      <c r="U2604" s="148">
        <f>IFERROR(__xludf.DUMMYFUNCTION("""COMPUTED_VALUE"""),1.0)</f>
        <v>1</v>
      </c>
      <c r="V2604" s="148" t="str">
        <f>IFERROR(__xludf.DUMMYFUNCTION("""COMPUTED_VALUE"""),"[]")</f>
        <v>[]</v>
      </c>
      <c r="W2604" s="148">
        <f>IFERROR(__xludf.DUMMYFUNCTION("""COMPUTED_VALUE"""),1.174E7)</f>
        <v>11740000</v>
      </c>
      <c r="X2604" s="148">
        <f>IFERROR(__xludf.DUMMYFUNCTION("""COMPUTED_VALUE"""),1.168455E7)</f>
        <v>11684550</v>
      </c>
      <c r="Y2604" s="148">
        <f>IFERROR(__xludf.DUMMYFUNCTION("""COMPUTED_VALUE"""),0.0)</f>
        <v>0</v>
      </c>
      <c r="Z2604" s="148"/>
    </row>
    <row r="2605">
      <c r="A2605" s="148">
        <f>IFERROR(__xludf.DUMMYFUNCTION("""COMPUTED_VALUE"""),1.1119551E7)</f>
        <v>11119551</v>
      </c>
      <c r="B2605" s="148" t="str">
        <f>IFERROR(__xludf.DUMMYFUNCTION("""COMPUTED_VALUE"""),"涂饰-军功投放-军功丰碑-升级道具")</f>
        <v>涂饰-军功投放-军功丰碑-升级道具</v>
      </c>
      <c r="C2605" s="148"/>
      <c r="D2605" s="148" t="str">
        <f>IFERROR(__xludf.DUMMYFUNCTION("""COMPUTED_VALUE"""),"event")</f>
        <v>event</v>
      </c>
      <c r="E2605" s="148">
        <f>IFERROR(__xludf.DUMMYFUNCTION("""COMPUTED_VALUE"""),0.0)</f>
        <v>0</v>
      </c>
      <c r="F2605" s="148">
        <f>IFERROR(__xludf.DUMMYFUNCTION("""COMPUTED_VALUE"""),0.0)</f>
        <v>0</v>
      </c>
      <c r="G2605" s="148">
        <f>IFERROR(__xludf.DUMMYFUNCTION("""COMPUTED_VALUE"""),1.51102112E8)</f>
        <v>151102112</v>
      </c>
      <c r="H2605" s="148">
        <f>IFERROR(__xludf.DUMMYFUNCTION("""COMPUTED_VALUE"""),1.5112563E7)</f>
        <v>15112563</v>
      </c>
      <c r="I2605" s="148" t="str">
        <f>IFERROR(__xludf.DUMMYFUNCTION("""COMPUTED_VALUE"""),"{}")</f>
        <v>{}</v>
      </c>
      <c r="J2605" s="148" t="str">
        <f>IFERROR(__xludf.DUMMYFUNCTION("""COMPUTED_VALUE"""),"{""typ"":""lc"",""txt"":""LC_ITEM_new_paint_decoration_military_up_name""}")</f>
        <v>{"typ":"lc","txt":"LC_ITEM_new_paint_decoration_military_up_name"}</v>
      </c>
      <c r="K2605" s="148" t="str">
        <f>IFERROR(__xludf.DUMMYFUNCTION("""COMPUTED_VALUE"""),"{""typ"":""lc"",""txt"":""LC_ITEM_new_paint_decoration_military_up_desc""}")</f>
        <v>{"typ":"lc","txt":"LC_ITEM_new_paint_decoration_military_up_desc"}</v>
      </c>
      <c r="L2605" s="148" t="str">
        <f>IFERROR(__xludf.DUMMYFUNCTION("""COMPUTED_VALUE"""),"{}")</f>
        <v>{}</v>
      </c>
      <c r="M2605" s="148">
        <f>IFERROR(__xludf.DUMMYFUNCTION("""COMPUTED_VALUE"""),1000.0)</f>
        <v>1000</v>
      </c>
      <c r="N2605" s="148">
        <f>IFERROR(__xludf.DUMMYFUNCTION("""COMPUTED_VALUE"""),9.99999999E8)</f>
        <v>999999999</v>
      </c>
      <c r="O2605" s="148">
        <f>IFERROR(__xludf.DUMMYFUNCTION("""COMPUTED_VALUE"""),9.99999999E8)</f>
        <v>999999999</v>
      </c>
      <c r="P2605" s="148">
        <f>IFERROR(__xludf.DUMMYFUNCTION("""COMPUTED_VALUE"""),9.99999999E8)</f>
        <v>999999999</v>
      </c>
      <c r="Q2605" s="148" t="str">
        <f>IFERROR(__xludf.DUMMYFUNCTION("""COMPUTED_VALUE"""),"[""bag_other""]")</f>
        <v>["bag_other"]</v>
      </c>
      <c r="R2605" s="148" t="str">
        <f>IFERROR(__xludf.DUMMYFUNCTION("""COMPUTED_VALUE"""),"[]")</f>
        <v>[]</v>
      </c>
      <c r="S2605" s="148" t="str">
        <f>IFERROR(__xludf.DUMMYFUNCTION("""COMPUTED_VALUE"""),"{}")</f>
        <v>{}</v>
      </c>
      <c r="T2605" s="148">
        <f>IFERROR(__xludf.DUMMYFUNCTION("""COMPUTED_VALUE"""),-1.0)</f>
        <v>-1</v>
      </c>
      <c r="U2605" s="148">
        <f>IFERROR(__xludf.DUMMYFUNCTION("""COMPUTED_VALUE"""),0.0)</f>
        <v>0</v>
      </c>
      <c r="V2605" s="148" t="str">
        <f>IFERROR(__xludf.DUMMYFUNCTION("""COMPUTED_VALUE"""),"[]")</f>
        <v>[]</v>
      </c>
      <c r="W2605" s="148">
        <f>IFERROR(__xludf.DUMMYFUNCTION("""COMPUTED_VALUE"""),1.174E7)</f>
        <v>11740000</v>
      </c>
      <c r="X2605" s="148">
        <f>IFERROR(__xludf.DUMMYFUNCTION("""COMPUTED_VALUE"""),1.168455E7)</f>
        <v>11684550</v>
      </c>
      <c r="Y2605" s="148">
        <f>IFERROR(__xludf.DUMMYFUNCTION("""COMPUTED_VALUE"""),0.0)</f>
        <v>0</v>
      </c>
      <c r="Z2605" s="148"/>
    </row>
    <row r="2606">
      <c r="A2606" s="148">
        <f>IFERROR(__xludf.DUMMYFUNCTION("""COMPUTED_VALUE"""),1.1119552E7)</f>
        <v>11119552</v>
      </c>
      <c r="B2606" s="148" t="str">
        <f>IFERROR(__xludf.DUMMYFUNCTION("""COMPUTED_VALUE"""),"涂饰-军功投放-军功丰碑-涂饰道具-一天")</f>
        <v>涂饰-军功投放-军功丰碑-涂饰道具-一天</v>
      </c>
      <c r="C2606" s="148"/>
      <c r="D2606" s="148" t="str">
        <f>IFERROR(__xludf.DUMMYFUNCTION("""COMPUTED_VALUE"""),"decorate_paint")</f>
        <v>decorate_paint</v>
      </c>
      <c r="E2606" s="148">
        <f>IFERROR(__xludf.DUMMYFUNCTION("""COMPUTED_VALUE"""),0.0)</f>
        <v>0</v>
      </c>
      <c r="F2606" s="148">
        <f>IFERROR(__xludf.DUMMYFUNCTION("""COMPUTED_VALUE"""),0.0)</f>
        <v>0</v>
      </c>
      <c r="G2606" s="148">
        <f>IFERROR(__xludf.DUMMYFUNCTION("""COMPUTED_VALUE"""),1.51102114E8)</f>
        <v>151102114</v>
      </c>
      <c r="H2606" s="148">
        <f>IFERROR(__xludf.DUMMYFUNCTION("""COMPUTED_VALUE"""),1.5112564E7)</f>
        <v>15112564</v>
      </c>
      <c r="I2606" s="148" t="str">
        <f>IFERROR(__xludf.DUMMYFUNCTION("""COMPUTED_VALUE"""),"{}")</f>
        <v>{}</v>
      </c>
      <c r="J2606" s="148" t="str">
        <f>IFERROR(__xludf.DUMMYFUNCTION("""COMPUTED_VALUE"""),"{""typ"":""lc"",""txt"":""LC_ITEM_new_paint_decoration_military_paint_name""}")</f>
        <v>{"typ":"lc","txt":"LC_ITEM_new_paint_decoration_military_paint_name"}</v>
      </c>
      <c r="K2606" s="148" t="str">
        <f>IFERROR(__xludf.DUMMYFUNCTION("""COMPUTED_VALUE"""),"{""typ"":""lc"",""txt"":""LC_ITEM_new_paint_decoration_military_paint_desc""}")</f>
        <v>{"typ":"lc","txt":"LC_ITEM_new_paint_decoration_military_paint_desc"}</v>
      </c>
      <c r="L2606" s="148" t="str">
        <f>IFERROR(__xludf.DUMMYFUNCTION("""COMPUTED_VALUE"""),"{""typ"":""lc"",""txt"":""LC_TIP_use_success""}")</f>
        <v>{"typ":"lc","txt":"LC_TIP_use_success"}</v>
      </c>
      <c r="M2606" s="148">
        <f>IFERROR(__xludf.DUMMYFUNCTION("""COMPUTED_VALUE"""),1000.0)</f>
        <v>1000</v>
      </c>
      <c r="N2606" s="148">
        <f>IFERROR(__xludf.DUMMYFUNCTION("""COMPUTED_VALUE"""),9.99999999E8)</f>
        <v>999999999</v>
      </c>
      <c r="O2606" s="148">
        <f>IFERROR(__xludf.DUMMYFUNCTION("""COMPUTED_VALUE"""),9.99999999E8)</f>
        <v>999999999</v>
      </c>
      <c r="P2606" s="148">
        <f>IFERROR(__xludf.DUMMYFUNCTION("""COMPUTED_VALUE"""),1.0)</f>
        <v>1</v>
      </c>
      <c r="Q2606" s="148" t="str">
        <f>IFERROR(__xludf.DUMMYFUNCTION("""COMPUTED_VALUE"""),"[""bag_other""]")</f>
        <v>["bag_other"]</v>
      </c>
      <c r="R2606" s="148" t="str">
        <f>IFERROR(__xludf.DUMMYFUNCTION("""COMPUTED_VALUE"""),"[""bag"",""214829""]")</f>
        <v>["bag","214829"]</v>
      </c>
      <c r="S2606" s="148" t="str">
        <f>IFERROR(__xludf.DUMMYFUNCTION("""COMPUTED_VALUE"""),"{""effect"":[{""typ"":""decorate_paint"",""id"":214829,""val"":86400000},{""typ"":""item"",""id"":11119552,""val"":1}]}")</f>
        <v>{"effect":[{"typ":"decorate_paint","id":214829,"val":86400000},{"typ":"item","id":11119552,"val":1}]}</v>
      </c>
      <c r="T2606" s="148">
        <f>IFERROR(__xludf.DUMMYFUNCTION("""COMPUTED_VALUE"""),-1.0)</f>
        <v>-1</v>
      </c>
      <c r="U2606" s="148">
        <f>IFERROR(__xludf.DUMMYFUNCTION("""COMPUTED_VALUE"""),0.0)</f>
        <v>0</v>
      </c>
      <c r="V2606" s="148" t="str">
        <f>IFERROR(__xludf.DUMMYFUNCTION("""COMPUTED_VALUE"""),"[]")</f>
        <v>[]</v>
      </c>
      <c r="W2606" s="148">
        <f>IFERROR(__xludf.DUMMYFUNCTION("""COMPUTED_VALUE"""),1.174E7)</f>
        <v>11740000</v>
      </c>
      <c r="X2606" s="148">
        <f>IFERROR(__xludf.DUMMYFUNCTION("""COMPUTED_VALUE"""),1.1684559E7)</f>
        <v>11684559</v>
      </c>
      <c r="Y2606" s="148">
        <f>IFERROR(__xludf.DUMMYFUNCTION("""COMPUTED_VALUE"""),0.0)</f>
        <v>0</v>
      </c>
      <c r="Z2606" s="148"/>
    </row>
    <row r="2607">
      <c r="A2607" s="148">
        <f>IFERROR(__xludf.DUMMYFUNCTION("""COMPUTED_VALUE"""),1.1119553E7)</f>
        <v>11119553</v>
      </c>
      <c r="B2607" s="148" t="str">
        <f>IFERROR(__xludf.DUMMYFUNCTION("""COMPUTED_VALUE"""),"涂饰-竞技场巅峰赛投放-竞技之王-本体")</f>
        <v>涂饰-竞技场巅峰赛投放-竞技之王-本体</v>
      </c>
      <c r="C2607" s="148"/>
      <c r="D2607" s="148" t="str">
        <f>IFERROR(__xludf.DUMMYFUNCTION("""COMPUTED_VALUE"""),"statue_decorate")</f>
        <v>statue_decorate</v>
      </c>
      <c r="E2607" s="148">
        <f>IFERROR(__xludf.DUMMYFUNCTION("""COMPUTED_VALUE"""),23.0)</f>
        <v>23</v>
      </c>
      <c r="F2607" s="148">
        <f>IFERROR(__xludf.DUMMYFUNCTION("""COMPUTED_VALUE"""),0.0)</f>
        <v>0</v>
      </c>
      <c r="G2607" s="148">
        <f>IFERROR(__xludf.DUMMYFUNCTION("""COMPUTED_VALUE"""),1.51102113E8)</f>
        <v>151102113</v>
      </c>
      <c r="H2607" s="148">
        <f>IFERROR(__xludf.DUMMYFUNCTION("""COMPUTED_VALUE"""),1.5112564E7)</f>
        <v>15112564</v>
      </c>
      <c r="I2607" s="148" t="str">
        <f>IFERROR(__xludf.DUMMYFUNCTION("""COMPUTED_VALUE"""),"{}")</f>
        <v>{}</v>
      </c>
      <c r="J2607" s="148" t="str">
        <f>IFERROR(__xludf.DUMMYFUNCTION("""COMPUTED_VALUE"""),"{""typ"":""lc"",""txt"":""LC_ITEM_new_paint_decoration_arena_name""}")</f>
        <v>{"typ":"lc","txt":"LC_ITEM_new_paint_decoration_arena_name"}</v>
      </c>
      <c r="K2607" s="148" t="str">
        <f>IFERROR(__xludf.DUMMYFUNCTION("""COMPUTED_VALUE"""),"{""typ"":""lc"",""txt"":""LC_ITEM_new_paint_decoration_arena_item_desc""}")</f>
        <v>{"typ":"lc","txt":"LC_ITEM_new_paint_decoration_arena_item_desc"}</v>
      </c>
      <c r="L2607" s="148" t="str">
        <f>IFERROR(__xludf.DUMMYFUNCTION("""COMPUTED_VALUE"""),"{}")</f>
        <v>{}</v>
      </c>
      <c r="M2607" s="148">
        <f>IFERROR(__xludf.DUMMYFUNCTION("""COMPUTED_VALUE"""),5000.0)</f>
        <v>5000</v>
      </c>
      <c r="N2607" s="148">
        <f>IFERROR(__xludf.DUMMYFUNCTION("""COMPUTED_VALUE"""),999.0)</f>
        <v>999</v>
      </c>
      <c r="O2607" s="148">
        <f>IFERROR(__xludf.DUMMYFUNCTION("""COMPUTED_VALUE"""),99999.0)</f>
        <v>99999</v>
      </c>
      <c r="P2607" s="148">
        <f>IFERROR(__xludf.DUMMYFUNCTION("""COMPUTED_VALUE"""),99999.0)</f>
        <v>99999</v>
      </c>
      <c r="Q2607" s="148" t="str">
        <f>IFERROR(__xludf.DUMMYFUNCTION("""COMPUTED_VALUE"""),"[]")</f>
        <v>[]</v>
      </c>
      <c r="R2607" s="148" t="str">
        <f>IFERROR(__xludf.DUMMYFUNCTION("""COMPUTED_VALUE"""),"[""bag""]")</f>
        <v>["bag"]</v>
      </c>
      <c r="S2607" s="148" t="str">
        <f>IFERROR(__xludf.DUMMYFUNCTION("""COMPUTED_VALUE"""),"{""effect"":[{""typ"":""holiday_statue"",""id"":21483001,""val"":-1}]}")</f>
        <v>{"effect":[{"typ":"holiday_statue","id":21483001,"val":-1}]}</v>
      </c>
      <c r="T2607" s="148">
        <f>IFERROR(__xludf.DUMMYFUNCTION("""COMPUTED_VALUE"""),-1.0)</f>
        <v>-1</v>
      </c>
      <c r="U2607" s="148">
        <f>IFERROR(__xludf.DUMMYFUNCTION("""COMPUTED_VALUE"""),1.0)</f>
        <v>1</v>
      </c>
      <c r="V2607" s="148" t="str">
        <f>IFERROR(__xludf.DUMMYFUNCTION("""COMPUTED_VALUE"""),"[]")</f>
        <v>[]</v>
      </c>
      <c r="W2607" s="148">
        <f>IFERROR(__xludf.DUMMYFUNCTION("""COMPUTED_VALUE"""),1.174E7)</f>
        <v>11740000</v>
      </c>
      <c r="X2607" s="148">
        <f>IFERROR(__xludf.DUMMYFUNCTION("""COMPUTED_VALUE"""),1.1684553E7)</f>
        <v>11684553</v>
      </c>
      <c r="Y2607" s="148">
        <f>IFERROR(__xludf.DUMMYFUNCTION("""COMPUTED_VALUE"""),0.0)</f>
        <v>0</v>
      </c>
      <c r="Z2607" s="148"/>
    </row>
    <row r="2608">
      <c r="A2608" s="148">
        <f>IFERROR(__xludf.DUMMYFUNCTION("""COMPUTED_VALUE"""),1.1119554E7)</f>
        <v>11119554</v>
      </c>
      <c r="B2608" s="148" t="str">
        <f>IFERROR(__xludf.DUMMYFUNCTION("""COMPUTED_VALUE"""),"涂饰-竞技场巅峰赛投放-竞技之王-升级道具")</f>
        <v>涂饰-竞技场巅峰赛投放-竞技之王-升级道具</v>
      </c>
      <c r="C2608" s="148"/>
      <c r="D2608" s="148" t="str">
        <f>IFERROR(__xludf.DUMMYFUNCTION("""COMPUTED_VALUE"""),"event")</f>
        <v>event</v>
      </c>
      <c r="E2608" s="148">
        <f>IFERROR(__xludf.DUMMYFUNCTION("""COMPUTED_VALUE"""),0.0)</f>
        <v>0</v>
      </c>
      <c r="F2608" s="148">
        <f>IFERROR(__xludf.DUMMYFUNCTION("""COMPUTED_VALUE"""),0.0)</f>
        <v>0</v>
      </c>
      <c r="G2608" s="148">
        <f>IFERROR(__xludf.DUMMYFUNCTION("""COMPUTED_VALUE"""),1.51102113E8)</f>
        <v>151102113</v>
      </c>
      <c r="H2608" s="148">
        <f>IFERROR(__xludf.DUMMYFUNCTION("""COMPUTED_VALUE"""),1.5112563E7)</f>
        <v>15112563</v>
      </c>
      <c r="I2608" s="148" t="str">
        <f>IFERROR(__xludf.DUMMYFUNCTION("""COMPUTED_VALUE"""),"{}")</f>
        <v>{}</v>
      </c>
      <c r="J2608" s="148" t="str">
        <f>IFERROR(__xludf.DUMMYFUNCTION("""COMPUTED_VALUE"""),"{""typ"":""lc"",""txt"":""LC_ITEM_new_paint_decoration_arena_up_name""}")</f>
        <v>{"typ":"lc","txt":"LC_ITEM_new_paint_decoration_arena_up_name"}</v>
      </c>
      <c r="K2608" s="148" t="str">
        <f>IFERROR(__xludf.DUMMYFUNCTION("""COMPUTED_VALUE"""),"{""typ"":""lc"",""txt"":""LC_ITEM_new_paint_decoration_arena_up_desc""}")</f>
        <v>{"typ":"lc","txt":"LC_ITEM_new_paint_decoration_arena_up_desc"}</v>
      </c>
      <c r="L2608" s="148" t="str">
        <f>IFERROR(__xludf.DUMMYFUNCTION("""COMPUTED_VALUE"""),"{}")</f>
        <v>{}</v>
      </c>
      <c r="M2608" s="148">
        <f>IFERROR(__xludf.DUMMYFUNCTION("""COMPUTED_VALUE"""),1000.0)</f>
        <v>1000</v>
      </c>
      <c r="N2608" s="148">
        <f>IFERROR(__xludf.DUMMYFUNCTION("""COMPUTED_VALUE"""),9.99999999E8)</f>
        <v>999999999</v>
      </c>
      <c r="O2608" s="148">
        <f>IFERROR(__xludf.DUMMYFUNCTION("""COMPUTED_VALUE"""),9.99999999E8)</f>
        <v>999999999</v>
      </c>
      <c r="P2608" s="148">
        <f>IFERROR(__xludf.DUMMYFUNCTION("""COMPUTED_VALUE"""),9.99999999E8)</f>
        <v>999999999</v>
      </c>
      <c r="Q2608" s="148" t="str">
        <f>IFERROR(__xludf.DUMMYFUNCTION("""COMPUTED_VALUE"""),"[""bag_other""]")</f>
        <v>["bag_other"]</v>
      </c>
      <c r="R2608" s="148" t="str">
        <f>IFERROR(__xludf.DUMMYFUNCTION("""COMPUTED_VALUE"""),"[]")</f>
        <v>[]</v>
      </c>
      <c r="S2608" s="148" t="str">
        <f>IFERROR(__xludf.DUMMYFUNCTION("""COMPUTED_VALUE"""),"{}")</f>
        <v>{}</v>
      </c>
      <c r="T2608" s="148">
        <f>IFERROR(__xludf.DUMMYFUNCTION("""COMPUTED_VALUE"""),-1.0)</f>
        <v>-1</v>
      </c>
      <c r="U2608" s="148">
        <f>IFERROR(__xludf.DUMMYFUNCTION("""COMPUTED_VALUE"""),0.0)</f>
        <v>0</v>
      </c>
      <c r="V2608" s="148" t="str">
        <f>IFERROR(__xludf.DUMMYFUNCTION("""COMPUTED_VALUE"""),"[]")</f>
        <v>[]</v>
      </c>
      <c r="W2608" s="148">
        <f>IFERROR(__xludf.DUMMYFUNCTION("""COMPUTED_VALUE"""),1.174E7)</f>
        <v>11740000</v>
      </c>
      <c r="X2608" s="148">
        <f>IFERROR(__xludf.DUMMYFUNCTION("""COMPUTED_VALUE"""),1.1684553E7)</f>
        <v>11684553</v>
      </c>
      <c r="Y2608" s="148">
        <f>IFERROR(__xludf.DUMMYFUNCTION("""COMPUTED_VALUE"""),0.0)</f>
        <v>0</v>
      </c>
      <c r="Z2608" s="148"/>
    </row>
    <row r="2609">
      <c r="A2609" s="148">
        <f>IFERROR(__xludf.DUMMYFUNCTION("""COMPUTED_VALUE"""),1.1119555E7)</f>
        <v>11119555</v>
      </c>
      <c r="B2609" s="148" t="str">
        <f>IFERROR(__xludf.DUMMYFUNCTION("""COMPUTED_VALUE"""),"涂饰-竞技场巅峰赛投放-竞技之王-涂饰道具-一天")</f>
        <v>涂饰-竞技场巅峰赛投放-竞技之王-涂饰道具-一天</v>
      </c>
      <c r="C2609" s="148"/>
      <c r="D2609" s="148" t="str">
        <f>IFERROR(__xludf.DUMMYFUNCTION("""COMPUTED_VALUE"""),"decorate_paint")</f>
        <v>decorate_paint</v>
      </c>
      <c r="E2609" s="148">
        <f>IFERROR(__xludf.DUMMYFUNCTION("""COMPUTED_VALUE"""),0.0)</f>
        <v>0</v>
      </c>
      <c r="F2609" s="148">
        <f>IFERROR(__xludf.DUMMYFUNCTION("""COMPUTED_VALUE"""),0.0)</f>
        <v>0</v>
      </c>
      <c r="G2609" s="148">
        <f>IFERROR(__xludf.DUMMYFUNCTION("""COMPUTED_VALUE"""),1.51102115E8)</f>
        <v>151102115</v>
      </c>
      <c r="H2609" s="148">
        <f>IFERROR(__xludf.DUMMYFUNCTION("""COMPUTED_VALUE"""),1.5112564E7)</f>
        <v>15112564</v>
      </c>
      <c r="I2609" s="148" t="str">
        <f>IFERROR(__xludf.DUMMYFUNCTION("""COMPUTED_VALUE"""),"{}")</f>
        <v>{}</v>
      </c>
      <c r="J2609" s="148" t="str">
        <f>IFERROR(__xludf.DUMMYFUNCTION("""COMPUTED_VALUE"""),"{""typ"":""lc"",""txt"":""LC_ITEM_new_paint_decoration_arena_paint_name""}")</f>
        <v>{"typ":"lc","txt":"LC_ITEM_new_paint_decoration_arena_paint_name"}</v>
      </c>
      <c r="K2609" s="148" t="str">
        <f>IFERROR(__xludf.DUMMYFUNCTION("""COMPUTED_VALUE"""),"{""typ"":""lc"",""txt"":""LC_ITEM_new_paint_decoration_arena_paint_desc""}")</f>
        <v>{"typ":"lc","txt":"LC_ITEM_new_paint_decoration_arena_paint_desc"}</v>
      </c>
      <c r="L2609" s="148" t="str">
        <f>IFERROR(__xludf.DUMMYFUNCTION("""COMPUTED_VALUE"""),"{""typ"":""lc"",""txt"":""LC_TIP_use_success""}")</f>
        <v>{"typ":"lc","txt":"LC_TIP_use_success"}</v>
      </c>
      <c r="M2609" s="148">
        <f>IFERROR(__xludf.DUMMYFUNCTION("""COMPUTED_VALUE"""),1000.0)</f>
        <v>1000</v>
      </c>
      <c r="N2609" s="148">
        <f>IFERROR(__xludf.DUMMYFUNCTION("""COMPUTED_VALUE"""),9.99999999E8)</f>
        <v>999999999</v>
      </c>
      <c r="O2609" s="148">
        <f>IFERROR(__xludf.DUMMYFUNCTION("""COMPUTED_VALUE"""),9.99999999E8)</f>
        <v>999999999</v>
      </c>
      <c r="P2609" s="148">
        <f>IFERROR(__xludf.DUMMYFUNCTION("""COMPUTED_VALUE"""),1.0)</f>
        <v>1</v>
      </c>
      <c r="Q2609" s="148" t="str">
        <f>IFERROR(__xludf.DUMMYFUNCTION("""COMPUTED_VALUE"""),"[""bag_other""]")</f>
        <v>["bag_other"]</v>
      </c>
      <c r="R2609" s="148" t="str">
        <f>IFERROR(__xludf.DUMMYFUNCTION("""COMPUTED_VALUE"""),"[""bag"",""214830""]")</f>
        <v>["bag","214830"]</v>
      </c>
      <c r="S2609" s="148" t="str">
        <f>IFERROR(__xludf.DUMMYFUNCTION("""COMPUTED_VALUE"""),"{""effect"":[{""typ"":""decorate_paint"",""id"":214830,""val"":86400000},{""typ"":""item"",""id"":11119555,""val"":1}]}")</f>
        <v>{"effect":[{"typ":"decorate_paint","id":214830,"val":86400000},{"typ":"item","id":11119555,"val":1}]}</v>
      </c>
      <c r="T2609" s="148">
        <f>IFERROR(__xludf.DUMMYFUNCTION("""COMPUTED_VALUE"""),-1.0)</f>
        <v>-1</v>
      </c>
      <c r="U2609" s="148">
        <f>IFERROR(__xludf.DUMMYFUNCTION("""COMPUTED_VALUE"""),0.0)</f>
        <v>0</v>
      </c>
      <c r="V2609" s="148" t="str">
        <f>IFERROR(__xludf.DUMMYFUNCTION("""COMPUTED_VALUE"""),"[]")</f>
        <v>[]</v>
      </c>
      <c r="W2609" s="148">
        <f>IFERROR(__xludf.DUMMYFUNCTION("""COMPUTED_VALUE"""),1.174E7)</f>
        <v>11740000</v>
      </c>
      <c r="X2609" s="148">
        <f>IFERROR(__xludf.DUMMYFUNCTION("""COMPUTED_VALUE"""),1.168456E7)</f>
        <v>11684560</v>
      </c>
      <c r="Y2609" s="148">
        <f>IFERROR(__xludf.DUMMYFUNCTION("""COMPUTED_VALUE"""),0.0)</f>
        <v>0</v>
      </c>
      <c r="Z2609" s="148"/>
    </row>
    <row r="2610">
      <c r="A2610" s="148">
        <f>IFERROR(__xludf.DUMMYFUNCTION("""COMPUTED_VALUE"""),1.1119556E7)</f>
        <v>11119556</v>
      </c>
      <c r="B2610" s="148" t="str">
        <f>IFERROR(__xludf.DUMMYFUNCTION("""COMPUTED_VALUE"""),"D135BINGO-最终大奖-展示用")</f>
        <v>D135BINGO-最终大奖-展示用</v>
      </c>
      <c r="C2610" s="148"/>
      <c r="D2610" s="148" t="str">
        <f>IFERROR(__xludf.DUMMYFUNCTION("""COMPUTED_VALUE"""),"item_asset")</f>
        <v>item_asset</v>
      </c>
      <c r="E2610" s="148">
        <f>IFERROR(__xludf.DUMMYFUNCTION("""COMPUTED_VALUE"""),0.0)</f>
        <v>0</v>
      </c>
      <c r="F2610" s="148">
        <f>IFERROR(__xludf.DUMMYFUNCTION("""COMPUTED_VALUE"""),0.0)</f>
        <v>0</v>
      </c>
      <c r="G2610" s="148">
        <f>IFERROR(__xludf.DUMMYFUNCTION("""COMPUTED_VALUE"""),1.51102105E8)</f>
        <v>151102105</v>
      </c>
      <c r="H2610" s="148">
        <f>IFERROR(__xludf.DUMMYFUNCTION("""COMPUTED_VALUE"""),1.5112564E7)</f>
        <v>15112564</v>
      </c>
      <c r="I2610" s="148" t="str">
        <f>IFERROR(__xludf.DUMMYFUNCTION("""COMPUTED_VALUE"""),"{}")</f>
        <v>{}</v>
      </c>
      <c r="J2610" s="148" t="str">
        <f>IFERROR(__xludf.DUMMYFUNCTION("""COMPUTED_VALUE"""),"{""typ"":""lc"",""txt"":""LC_ITEM_d135_bingo_box_name""}")</f>
        <v>{"typ":"lc","txt":"LC_ITEM_d135_bingo_box_name"}</v>
      </c>
      <c r="K2610" s="148" t="str">
        <f>IFERROR(__xludf.DUMMYFUNCTION("""COMPUTED_VALUE"""),"{""typ"":""lc"",""txt"":""LC_ITEM_d135_bingo_box_desc""}")</f>
        <v>{"typ":"lc","txt":"LC_ITEM_d135_bingo_box_desc"}</v>
      </c>
      <c r="L2610" s="148" t="str">
        <f>IFERROR(__xludf.DUMMYFUNCTION("""COMPUTED_VALUE"""),"{""typ"":""lc"",""txt"":""LC_ITEM_horde_elite_box_usedtip""}")</f>
        <v>{"typ":"lc","txt":"LC_ITEM_horde_elite_box_usedtip"}</v>
      </c>
      <c r="M2610" s="148">
        <f>IFERROR(__xludf.DUMMYFUNCTION("""COMPUTED_VALUE"""),5000.0)</f>
        <v>5000</v>
      </c>
      <c r="N2610" s="148">
        <f>IFERROR(__xludf.DUMMYFUNCTION("""COMPUTED_VALUE"""),999.0)</f>
        <v>999</v>
      </c>
      <c r="O2610" s="148">
        <f>IFERROR(__xludf.DUMMYFUNCTION("""COMPUTED_VALUE"""),99999.0)</f>
        <v>99999</v>
      </c>
      <c r="P2610" s="148">
        <f>IFERROR(__xludf.DUMMYFUNCTION("""COMPUTED_VALUE"""),99999.0)</f>
        <v>99999</v>
      </c>
      <c r="Q2610" s="148" t="str">
        <f>IFERROR(__xludf.DUMMYFUNCTION("""COMPUTED_VALUE"""),"[""bag_other""]")</f>
        <v>["bag_other"]</v>
      </c>
      <c r="R2610" s="148" t="str">
        <f>IFERROR(__xludf.DUMMYFUNCTION("""COMPUTED_VALUE"""),"[""bag""]")</f>
        <v>["bag"]</v>
      </c>
      <c r="S2610" s="148" t="str">
        <f>IFERROR(__xludf.DUMMYFUNCTION("""COMPUTED_VALUE"""),"{""drop"":{""typ"":""single_random"",""num"":1,""args"":[{""typ"":""item"",""id"":11119425,""num"":500,""wgt"":300},{""typ"":""item"",""id"":11119426,""num"":5,""wgt"":300},{""typ"":""item"",""id"":11119426,""num"":1,""wgt"":300}]}}")</f>
        <v>{"drop":{"typ":"single_random","num":1,"args":[{"typ":"item","id":11119425,"num":500,"wgt":300},{"typ":"item","id":11119426,"num":5,"wgt":300},{"typ":"item","id":11119426,"num":1,"wgt":300}]}}</v>
      </c>
      <c r="T2610" s="148">
        <f>IFERROR(__xludf.DUMMYFUNCTION("""COMPUTED_VALUE"""),-1.0)</f>
        <v>-1</v>
      </c>
      <c r="U2610" s="148">
        <f>IFERROR(__xludf.DUMMYFUNCTION("""COMPUTED_VALUE"""),1.0)</f>
        <v>1</v>
      </c>
      <c r="V2610" s="148" t="str">
        <f>IFERROR(__xludf.DUMMYFUNCTION("""COMPUTED_VALUE"""),"[]")</f>
        <v>[]</v>
      </c>
      <c r="W2610" s="148">
        <f>IFERROR(__xludf.DUMMYFUNCTION("""COMPUTED_VALUE"""),1.174E7)</f>
        <v>11740000</v>
      </c>
      <c r="X2610" s="148">
        <f>IFERROR(__xludf.DUMMYFUNCTION("""COMPUTED_VALUE"""),0.0)</f>
        <v>0</v>
      </c>
      <c r="Y2610" s="148">
        <f>IFERROR(__xludf.DUMMYFUNCTION("""COMPUTED_VALUE"""),0.0)</f>
        <v>0</v>
      </c>
      <c r="Z2610" s="148"/>
    </row>
    <row r="2611">
      <c r="A2611" s="148">
        <f>IFERROR(__xludf.DUMMYFUNCTION("""COMPUTED_VALUE"""),1.1119557E7)</f>
        <v>11119557</v>
      </c>
      <c r="B2611" s="148" t="str">
        <f>IFERROR(__xludf.DUMMYFUNCTION("""COMPUTED_VALUE"""),"D135BINGO-7日活动宝箱-显示用")</f>
        <v>D135BINGO-7日活动宝箱-显示用</v>
      </c>
      <c r="C2611" s="148"/>
      <c r="D2611" s="148" t="str">
        <f>IFERROR(__xludf.DUMMYFUNCTION("""COMPUTED_VALUE"""),"event")</f>
        <v>event</v>
      </c>
      <c r="E2611" s="148">
        <f>IFERROR(__xludf.DUMMYFUNCTION("""COMPUTED_VALUE"""),0.0)</f>
        <v>0</v>
      </c>
      <c r="F2611" s="148">
        <f>IFERROR(__xludf.DUMMYFUNCTION("""COMPUTED_VALUE"""),0.0)</f>
        <v>0</v>
      </c>
      <c r="G2611" s="148">
        <f>IFERROR(__xludf.DUMMYFUNCTION("""COMPUTED_VALUE"""),1.5117141E7)</f>
        <v>15117141</v>
      </c>
      <c r="H2611" s="148">
        <f>IFERROR(__xludf.DUMMYFUNCTION("""COMPUTED_VALUE"""),1.5112564E7)</f>
        <v>15112564</v>
      </c>
      <c r="I2611" s="148" t="str">
        <f>IFERROR(__xludf.DUMMYFUNCTION("""COMPUTED_VALUE"""),"{}")</f>
        <v>{}</v>
      </c>
      <c r="J2611" s="148" t="str">
        <f>IFERROR(__xludf.DUMMYFUNCTION("""COMPUTED_VALUE"""),"{""typ"":""lc"",""txt"":""LC_ITEM_seven_day_box_name""}")</f>
        <v>{"typ":"lc","txt":"LC_ITEM_seven_day_box_name"}</v>
      </c>
      <c r="K2611" s="148" t="str">
        <f>IFERROR(__xludf.DUMMYFUNCTION("""COMPUTED_VALUE"""),"{""typ"":""lc"",""txt"":""LC_ITEM_seven_day_box_desc""}")</f>
        <v>{"typ":"lc","txt":"LC_ITEM_seven_day_box_desc"}</v>
      </c>
      <c r="L2611" s="148" t="str">
        <f>IFERROR(__xludf.DUMMYFUNCTION("""COMPUTED_VALUE"""),"{}")</f>
        <v>{}</v>
      </c>
      <c r="M2611" s="148">
        <f>IFERROR(__xludf.DUMMYFUNCTION("""COMPUTED_VALUE"""),1.0)</f>
        <v>1</v>
      </c>
      <c r="N2611" s="148">
        <f>IFERROR(__xludf.DUMMYFUNCTION("""COMPUTED_VALUE"""),999999.0)</f>
        <v>999999</v>
      </c>
      <c r="O2611" s="148">
        <f>IFERROR(__xludf.DUMMYFUNCTION("""COMPUTED_VALUE"""),99999.0)</f>
        <v>99999</v>
      </c>
      <c r="P2611" s="148">
        <f>IFERROR(__xludf.DUMMYFUNCTION("""COMPUTED_VALUE"""),9999.0)</f>
        <v>9999</v>
      </c>
      <c r="Q2611" s="148" t="str">
        <f>IFERROR(__xludf.DUMMYFUNCTION("""COMPUTED_VALUE"""),"[]")</f>
        <v>[]</v>
      </c>
      <c r="R2611" s="148" t="str">
        <f>IFERROR(__xludf.DUMMYFUNCTION("""COMPUTED_VALUE"""),"[]")</f>
        <v>[]</v>
      </c>
      <c r="S2611" s="148" t="str">
        <f>IFERROR(__xludf.DUMMYFUNCTION("""COMPUTED_VALUE"""),"{""drop"":{""typ"":""single_random"",""num"":1,""args"":[{""typ"":""item"",""id"":11119425,""num"":500,""wgt"":300},{""typ"":""item"",""id"":11119426,""num"":5,""wgt"":300},{""typ"":""item"",""id"":11119426,""num"":1,""wgt"":300}]}}")</f>
        <v>{"drop":{"typ":"single_random","num":1,"args":[{"typ":"item","id":11119425,"num":500,"wgt":300},{"typ":"item","id":11119426,"num":5,"wgt":300},{"typ":"item","id":11119426,"num":1,"wgt":300}]}}</v>
      </c>
      <c r="T2611" s="148">
        <f>IFERROR(__xludf.DUMMYFUNCTION("""COMPUTED_VALUE"""),-1.0)</f>
        <v>-1</v>
      </c>
      <c r="U2611" s="148">
        <f>IFERROR(__xludf.DUMMYFUNCTION("""COMPUTED_VALUE"""),1.0)</f>
        <v>1</v>
      </c>
      <c r="V2611" s="148" t="str">
        <f>IFERROR(__xludf.DUMMYFUNCTION("""COMPUTED_VALUE"""),"[]")</f>
        <v>[]</v>
      </c>
      <c r="W2611" s="148">
        <f>IFERROR(__xludf.DUMMYFUNCTION("""COMPUTED_VALUE"""),1.174E7)</f>
        <v>11740000</v>
      </c>
      <c r="X2611" s="148">
        <f>IFERROR(__xludf.DUMMYFUNCTION("""COMPUTED_VALUE"""),0.0)</f>
        <v>0</v>
      </c>
      <c r="Y2611" s="148">
        <f>IFERROR(__xludf.DUMMYFUNCTION("""COMPUTED_VALUE"""),0.0)</f>
        <v>0</v>
      </c>
      <c r="Z2611" s="148"/>
    </row>
    <row r="2612">
      <c r="A2612" s="148">
        <f>IFERROR(__xludf.DUMMYFUNCTION("""COMPUTED_VALUE"""),1.1119558E7)</f>
        <v>11119558</v>
      </c>
      <c r="B2612" s="148" t="str">
        <f>IFERROR(__xludf.DUMMYFUNCTION("""COMPUTED_VALUE"""),"D135BINGO-解锁宝箱礼包钥匙")</f>
        <v>D135BINGO-解锁宝箱礼包钥匙</v>
      </c>
      <c r="C2612" s="148"/>
      <c r="D2612" s="148" t="str">
        <f>IFERROR(__xludf.DUMMYFUNCTION("""COMPUTED_VALUE"""),"event")</f>
        <v>event</v>
      </c>
      <c r="E2612" s="148">
        <f>IFERROR(__xludf.DUMMYFUNCTION("""COMPUTED_VALUE"""),0.0)</f>
        <v>0</v>
      </c>
      <c r="F2612" s="148">
        <f>IFERROR(__xludf.DUMMYFUNCTION("""COMPUTED_VALUE"""),0.0)</f>
        <v>0</v>
      </c>
      <c r="G2612" s="148">
        <f>IFERROR(__xludf.DUMMYFUNCTION("""COMPUTED_VALUE"""),1.5117142E7)</f>
        <v>15117142</v>
      </c>
      <c r="H2612" s="148">
        <f>IFERROR(__xludf.DUMMYFUNCTION("""COMPUTED_VALUE"""),1.5112564E7)</f>
        <v>15112564</v>
      </c>
      <c r="I2612" s="148" t="str">
        <f>IFERROR(__xludf.DUMMYFUNCTION("""COMPUTED_VALUE"""),"{}")</f>
        <v>{}</v>
      </c>
      <c r="J2612" s="148" t="str">
        <f>IFERROR(__xludf.DUMMYFUNCTION("""COMPUTED_VALUE"""),"{""typ"":""lc"",""txt"":""LC_ITEM_seven_day_box_key_name""}")</f>
        <v>{"typ":"lc","txt":"LC_ITEM_seven_day_box_key_name"}</v>
      </c>
      <c r="K2612" s="148" t="str">
        <f>IFERROR(__xludf.DUMMYFUNCTION("""COMPUTED_VALUE"""),"{""typ"":""lc"",""txt"":""LC_ITEM_seven_day_box_key_desc""}")</f>
        <v>{"typ":"lc","txt":"LC_ITEM_seven_day_box_key_desc"}</v>
      </c>
      <c r="L2612" s="148" t="str">
        <f>IFERROR(__xludf.DUMMYFUNCTION("""COMPUTED_VALUE"""),"{}")</f>
        <v>{}</v>
      </c>
      <c r="M2612" s="148">
        <f>IFERROR(__xludf.DUMMYFUNCTION("""COMPUTED_VALUE"""),10.0)</f>
        <v>10</v>
      </c>
      <c r="N2612" s="148">
        <f>IFERROR(__xludf.DUMMYFUNCTION("""COMPUTED_VALUE"""),999999.0)</f>
        <v>999999</v>
      </c>
      <c r="O2612" s="148">
        <f>IFERROR(__xludf.DUMMYFUNCTION("""COMPUTED_VALUE"""),99999.0)</f>
        <v>99999</v>
      </c>
      <c r="P2612" s="148">
        <f>IFERROR(__xludf.DUMMYFUNCTION("""COMPUTED_VALUE"""),9999.0)</f>
        <v>9999</v>
      </c>
      <c r="Q2612" s="148" t="str">
        <f>IFERROR(__xludf.DUMMYFUNCTION("""COMPUTED_VALUE"""),"[""bag_other""]")</f>
        <v>["bag_other"]</v>
      </c>
      <c r="R2612" s="148" t="str">
        <f>IFERROR(__xludf.DUMMYFUNCTION("""COMPUTED_VALUE"""),"[]")</f>
        <v>[]</v>
      </c>
      <c r="S2612" s="148" t="str">
        <f>IFERROR(__xludf.DUMMYFUNCTION("""COMPUTED_VALUE"""),"{}")</f>
        <v>{}</v>
      </c>
      <c r="T2612" s="148">
        <f>IFERROR(__xludf.DUMMYFUNCTION("""COMPUTED_VALUE"""),-1.0)</f>
        <v>-1</v>
      </c>
      <c r="U2612" s="148">
        <f>IFERROR(__xludf.DUMMYFUNCTION("""COMPUTED_VALUE"""),0.0)</f>
        <v>0</v>
      </c>
      <c r="V2612" s="148" t="str">
        <f>IFERROR(__xludf.DUMMYFUNCTION("""COMPUTED_VALUE"""),"[]")</f>
        <v>[]</v>
      </c>
      <c r="W2612" s="148">
        <f>IFERROR(__xludf.DUMMYFUNCTION("""COMPUTED_VALUE"""),1.174E7)</f>
        <v>11740000</v>
      </c>
      <c r="X2612" s="148">
        <f>IFERROR(__xludf.DUMMYFUNCTION("""COMPUTED_VALUE"""),0.0)</f>
        <v>0</v>
      </c>
      <c r="Y2612" s="148">
        <f>IFERROR(__xludf.DUMMYFUNCTION("""COMPUTED_VALUE"""),0.0)</f>
        <v>0</v>
      </c>
      <c r="Z2612" s="148"/>
    </row>
    <row r="2613">
      <c r="A2613" s="148">
        <f>IFERROR(__xludf.DUMMYFUNCTION("""COMPUTED_VALUE"""),1.1119559E7)</f>
        <v>11119559</v>
      </c>
      <c r="B2613" s="148" t="str">
        <f>IFERROR(__xludf.DUMMYFUNCTION("""COMPUTED_VALUE"""),"D135BINGO-7日箱子奖励")</f>
        <v>D135BINGO-7日箱子奖励</v>
      </c>
      <c r="C2613" s="148"/>
      <c r="D2613" s="148" t="str">
        <f>IFERROR(__xludf.DUMMYFUNCTION("""COMPUTED_VALUE"""),"item_asset")</f>
        <v>item_asset</v>
      </c>
      <c r="E2613" s="148">
        <f>IFERROR(__xludf.DUMMYFUNCTION("""COMPUTED_VALUE"""),19.0)</f>
        <v>19</v>
      </c>
      <c r="F2613" s="148">
        <f>IFERROR(__xludf.DUMMYFUNCTION("""COMPUTED_VALUE"""),201101.0)</f>
        <v>201101</v>
      </c>
      <c r="G2613" s="148">
        <f>IFERROR(__xludf.DUMMYFUNCTION("""COMPUTED_VALUE"""),1.5117141E7)</f>
        <v>15117141</v>
      </c>
      <c r="H2613" s="148">
        <f>IFERROR(__xludf.DUMMYFUNCTION("""COMPUTED_VALUE"""),1.5112564E7)</f>
        <v>15112564</v>
      </c>
      <c r="I2613" s="148" t="str">
        <f>IFERROR(__xludf.DUMMYFUNCTION("""COMPUTED_VALUE"""),"{}")</f>
        <v>{}</v>
      </c>
      <c r="J2613" s="148" t="str">
        <f>IFERROR(__xludf.DUMMYFUNCTION("""COMPUTED_VALUE"""),"{""typ"":""lc"",""txt"":""LC_ITEM_seven_day_box_name""}")</f>
        <v>{"typ":"lc","txt":"LC_ITEM_seven_day_box_name"}</v>
      </c>
      <c r="K2613" s="148" t="str">
        <f>IFERROR(__xludf.DUMMYFUNCTION("""COMPUTED_VALUE"""),"{""typ"":""lc"",""txt"":""LC_ITEM_seven_day_box_desc""}")</f>
        <v>{"typ":"lc","txt":"LC_ITEM_seven_day_box_desc"}</v>
      </c>
      <c r="L2613" s="148" t="str">
        <f>IFERROR(__xludf.DUMMYFUNCTION("""COMPUTED_VALUE"""),"{""typ"":""lc"",""txt"":""LC_ITEM_horde_elite_box_usedtip""}")</f>
        <v>{"typ":"lc","txt":"LC_ITEM_horde_elite_box_usedtip"}</v>
      </c>
      <c r="M2613" s="148">
        <f>IFERROR(__xludf.DUMMYFUNCTION("""COMPUTED_VALUE"""),40.0)</f>
        <v>40</v>
      </c>
      <c r="N2613" s="148">
        <f>IFERROR(__xludf.DUMMYFUNCTION("""COMPUTED_VALUE"""),999999.0)</f>
        <v>999999</v>
      </c>
      <c r="O2613" s="148">
        <f>IFERROR(__xludf.DUMMYFUNCTION("""COMPUTED_VALUE"""),99999.0)</f>
        <v>99999</v>
      </c>
      <c r="P2613" s="148">
        <f>IFERROR(__xludf.DUMMYFUNCTION("""COMPUTED_VALUE"""),99999.0)</f>
        <v>99999</v>
      </c>
      <c r="Q2613" s="148" t="str">
        <f>IFERROR(__xludf.DUMMYFUNCTION("""COMPUTED_VALUE"""),"[""bag_other""]")</f>
        <v>["bag_other"]</v>
      </c>
      <c r="R2613" s="148" t="str">
        <f>IFERROR(__xludf.DUMMYFUNCTION("""COMPUTED_VALUE"""),"[""bag""]")</f>
        <v>["bag"]</v>
      </c>
      <c r="S2613" s="148" t="str">
        <f>IFERROR(__xludf.DUMMYFUNCTION("""COMPUTED_VALUE"""),"{""drop"":{""typ"":""single_random"",""num"":1,""args"":[{""typ"":""item"",""id"":11116304,""num"":1,""wgt"":60},{""typ"":""item"",""id"":11118004,""num"":1,""wgt"":150},{""typ"":""item"",""id"":11118002,""num"":1,""wgt"":300},{""typ"":""item"",""id"":111"&amp;"17068,""num"":10,""wgt"":600},{""typ"":""item"",""id"":11117024,""num"":1,""wgt"":160},{""typ"":""item"",""id"":11116110,""num"":1,""wgt"":100},{""typ"":""item"",""id"":11116007,""num"":1,""wgt"":200},{""typ"":""item"",""id"":11116005,""num"":1,""wgt"":70"&amp;"0},{""typ"":""item"",""id"":11111105,""num"":1,""wgt"":400},{""typ"":""item"",""id"":11111103,""num"":2,""wgt"":800}]}}")</f>
        <v>{"drop":{"typ":"single_random","num":1,"args":[{"typ":"item","id":11116304,"num":1,"wgt":60},{"typ":"item","id":11118004,"num":1,"wgt":150},{"typ":"item","id":11118002,"num":1,"wgt":300},{"typ":"item","id":11117068,"num":10,"wgt":600},{"typ":"item","id":11117024,"num":1,"wgt":160},{"typ":"item","id":11116110,"num":1,"wgt":100},{"typ":"item","id":11116007,"num":1,"wgt":200},{"typ":"item","id":11116005,"num":1,"wgt":700},{"typ":"item","id":11111105,"num":1,"wgt":400},{"typ":"item","id":11111103,"num":2,"wgt":800}]}}</v>
      </c>
      <c r="T2613" s="148">
        <f>IFERROR(__xludf.DUMMYFUNCTION("""COMPUTED_VALUE"""),-1.0)</f>
        <v>-1</v>
      </c>
      <c r="U2613" s="148">
        <f>IFERROR(__xludf.DUMMYFUNCTION("""COMPUTED_VALUE"""),0.0)</f>
        <v>0</v>
      </c>
      <c r="V2613" s="148" t="str">
        <f>IFERROR(__xludf.DUMMYFUNCTION("""COMPUTED_VALUE"""),"[]")</f>
        <v>[]</v>
      </c>
      <c r="W2613" s="148">
        <f>IFERROR(__xludf.DUMMYFUNCTION("""COMPUTED_VALUE"""),1.174E7)</f>
        <v>11740000</v>
      </c>
      <c r="X2613" s="148">
        <f>IFERROR(__xludf.DUMMYFUNCTION("""COMPUTED_VALUE"""),0.0)</f>
        <v>0</v>
      </c>
      <c r="Y2613" s="148">
        <f>IFERROR(__xludf.DUMMYFUNCTION("""COMPUTED_VALUE"""),0.0)</f>
        <v>0</v>
      </c>
      <c r="Z2613" s="148"/>
    </row>
    <row r="2614">
      <c r="A2614" s="148">
        <f>IFERROR(__xludf.DUMMYFUNCTION("""COMPUTED_VALUE"""),1.111956E7)</f>
        <v>11119560</v>
      </c>
      <c r="B2614" s="148" t="str">
        <f>IFERROR(__xludf.DUMMYFUNCTION("""COMPUTED_VALUE"""),"D135BINGO-7日活动宝箱-增加次数道具")</f>
        <v>D135BINGO-7日活动宝箱-增加次数道具</v>
      </c>
      <c r="C2614" s="148"/>
      <c r="D2614" s="148" t="str">
        <f>IFERROR(__xludf.DUMMYFUNCTION("""COMPUTED_VALUE"""),"event_progress")</f>
        <v>event_progress</v>
      </c>
      <c r="E2614" s="148">
        <f>IFERROR(__xludf.DUMMYFUNCTION("""COMPUTED_VALUE"""),0.0)</f>
        <v>0</v>
      </c>
      <c r="F2614" s="148">
        <f>IFERROR(__xludf.DUMMYFUNCTION("""COMPUTED_VALUE"""),0.0)</f>
        <v>0</v>
      </c>
      <c r="G2614" s="148">
        <f>IFERROR(__xludf.DUMMYFUNCTION("""COMPUTED_VALUE"""),1.5113732E7)</f>
        <v>15113732</v>
      </c>
      <c r="H2614" s="148">
        <f>IFERROR(__xludf.DUMMYFUNCTION("""COMPUTED_VALUE"""),1.5112563E7)</f>
        <v>15112563</v>
      </c>
      <c r="I2614" s="148" t="str">
        <f>IFERROR(__xludf.DUMMYFUNCTION("""COMPUTED_VALUE"""),"{}")</f>
        <v>{}</v>
      </c>
      <c r="J2614" s="148" t="str">
        <f>IFERROR(__xludf.DUMMYFUNCTION("""COMPUTED_VALUE"""),"{}")</f>
        <v>{}</v>
      </c>
      <c r="K2614" s="148" t="str">
        <f>IFERROR(__xludf.DUMMYFUNCTION("""COMPUTED_VALUE"""),"{}")</f>
        <v>{}</v>
      </c>
      <c r="L2614" s="148" t="str">
        <f>IFERROR(__xludf.DUMMYFUNCTION("""COMPUTED_VALUE"""),"{}")</f>
        <v>{}</v>
      </c>
      <c r="M2614" s="148">
        <f>IFERROR(__xludf.DUMMYFUNCTION("""COMPUTED_VALUE"""),1.0)</f>
        <v>1</v>
      </c>
      <c r="N2614" s="148">
        <f>IFERROR(__xludf.DUMMYFUNCTION("""COMPUTED_VALUE"""),999999.0)</f>
        <v>999999</v>
      </c>
      <c r="O2614" s="148">
        <f>IFERROR(__xludf.DUMMYFUNCTION("""COMPUTED_VALUE"""),99999.0)</f>
        <v>99999</v>
      </c>
      <c r="P2614" s="148">
        <f>IFERROR(__xludf.DUMMYFUNCTION("""COMPUTED_VALUE"""),9999.0)</f>
        <v>9999</v>
      </c>
      <c r="Q2614" s="148" t="str">
        <f>IFERROR(__xludf.DUMMYFUNCTION("""COMPUTED_VALUE"""),"[]")</f>
        <v>[]</v>
      </c>
      <c r="R2614" s="148" t="str">
        <f>IFERROR(__xludf.DUMMYFUNCTION("""COMPUTED_VALUE"""),"[]")</f>
        <v>[]</v>
      </c>
      <c r="S2614" s="148" t="str">
        <f>IFERROR(__xludf.DUMMYFUNCTION("""COMPUTED_VALUE"""),"{""effect"":[{""typ"":""event"",""id"":21123037},{""typ"":""miss_lost_reward""}]}")</f>
        <v>{"effect":[{"typ":"event","id":21123037},{"typ":"miss_lost_reward"}]}</v>
      </c>
      <c r="T2614" s="148">
        <f>IFERROR(__xludf.DUMMYFUNCTION("""COMPUTED_VALUE"""),-1.0)</f>
        <v>-1</v>
      </c>
      <c r="U2614" s="148">
        <f>IFERROR(__xludf.DUMMYFUNCTION("""COMPUTED_VALUE"""),1.0)</f>
        <v>1</v>
      </c>
      <c r="V2614" s="148" t="str">
        <f>IFERROR(__xludf.DUMMYFUNCTION("""COMPUTED_VALUE"""),"[]")</f>
        <v>[]</v>
      </c>
      <c r="W2614" s="148">
        <f>IFERROR(__xludf.DUMMYFUNCTION("""COMPUTED_VALUE"""),1.174E7)</f>
        <v>11740000</v>
      </c>
      <c r="X2614" s="148">
        <f>IFERROR(__xludf.DUMMYFUNCTION("""COMPUTED_VALUE"""),0.0)</f>
        <v>0</v>
      </c>
      <c r="Y2614" s="148">
        <f>IFERROR(__xludf.DUMMYFUNCTION("""COMPUTED_VALUE"""),0.0)</f>
        <v>0</v>
      </c>
      <c r="Z2614" s="148"/>
    </row>
    <row r="2615">
      <c r="A2615" s="148">
        <f>IFERROR(__xludf.DUMMYFUNCTION("""COMPUTED_VALUE"""),1.1119566E7)</f>
        <v>11119566</v>
      </c>
      <c r="B2615" s="148" t="str">
        <f>IFERROR(__xludf.DUMMYFUNCTION("""COMPUTED_VALUE"""),"地下世界-符文随机箱蓝-kvk2")</f>
        <v>地下世界-符文随机箱蓝-kvk2</v>
      </c>
      <c r="C2615" s="148"/>
      <c r="D2615" s="148" t="str">
        <f>IFERROR(__xludf.DUMMYFUNCTION("""COMPUTED_VALUE"""),"item_asset")</f>
        <v>item_asset</v>
      </c>
      <c r="E2615" s="148">
        <f>IFERROR(__xludf.DUMMYFUNCTION("""COMPUTED_VALUE"""),19.0)</f>
        <v>19</v>
      </c>
      <c r="F2615" s="148">
        <f>IFERROR(__xludf.DUMMYFUNCTION("""COMPUTED_VALUE"""),0.0)</f>
        <v>0</v>
      </c>
      <c r="G2615" s="148">
        <f>IFERROR(__xludf.DUMMYFUNCTION("""COMPUTED_VALUE"""),1.51100505E8)</f>
        <v>151100505</v>
      </c>
      <c r="H2615" s="148">
        <f>IFERROR(__xludf.DUMMYFUNCTION("""COMPUTED_VALUE"""),1.5112562E7)</f>
        <v>15112562</v>
      </c>
      <c r="I2615" s="148" t="str">
        <f>IFERROR(__xludf.DUMMYFUNCTION("""COMPUTED_VALUE"""),"{}")</f>
        <v>{}</v>
      </c>
      <c r="J2615" s="148" t="str">
        <f>IFERROR(__xludf.DUMMYFUNCTION("""COMPUTED_VALUE"""),"{""typ"":""lc"",""txt"":""LC_ITEM_uw_randrune_name_1""}")</f>
        <v>{"typ":"lc","txt":"LC_ITEM_uw_randrune_name_1"}</v>
      </c>
      <c r="K2615" s="148" t="str">
        <f>IFERROR(__xludf.DUMMYFUNCTION("""COMPUTED_VALUE"""),"{""typ"":""lc"",""txt"":""LC_ITEM_uw_randrune_desc_1""}")</f>
        <v>{"typ":"lc","txt":"LC_ITEM_uw_randrune_desc_1"}</v>
      </c>
      <c r="L2615" s="148" t="str">
        <f>IFERROR(__xludf.DUMMYFUNCTION("""COMPUTED_VALUE"""),"{}")</f>
        <v>{}</v>
      </c>
      <c r="M2615" s="148">
        <f>IFERROR(__xludf.DUMMYFUNCTION("""COMPUTED_VALUE"""),240.0)</f>
        <v>240</v>
      </c>
      <c r="N2615" s="148">
        <f>IFERROR(__xludf.DUMMYFUNCTION("""COMPUTED_VALUE"""),999999.0)</f>
        <v>999999</v>
      </c>
      <c r="O2615" s="148">
        <f>IFERROR(__xludf.DUMMYFUNCTION("""COMPUTED_VALUE"""),99999.0)</f>
        <v>99999</v>
      </c>
      <c r="P2615" s="148">
        <f>IFERROR(__xludf.DUMMYFUNCTION("""COMPUTED_VALUE"""),9999.0)</f>
        <v>9999</v>
      </c>
      <c r="Q2615" s="148" t="str">
        <f>IFERROR(__xludf.DUMMYFUNCTION("""COMPUTED_VALUE"""),"[]")</f>
        <v>[]</v>
      </c>
      <c r="R2615" s="148" t="str">
        <f>IFERROR(__xludf.DUMMYFUNCTION("""COMPUTED_VALUE"""),"[]")</f>
        <v>[]</v>
      </c>
      <c r="S2615" s="148" t="str">
        <f>IFERROR(__xludf.DUMMYFUNCTION("""COMPUTED_VALUE"""),"{""drop"":{""typ"":""single_random"",""num"":1,""args"":[{""typ"":""ug_rune"",""id"":25760211,""num"":1,""wgt"":100},{""typ"":""ug_rune"",""id"":25760411,""num"":1,""wgt"":100},{""typ"":""ug_rune"",""id"":25760511,""num"":1,""wgt"":100},{""typ"":""ug_rune"&amp;""",""id"":25760611,""num"":1,""wgt"":100},{""typ"":""ug_rune"",""id"":25761011,""num"":1,""wgt"":100},{""typ"":""ug_rune"",""id"":25761111,""num"":1,""wgt"":100},{""typ"":""ug_rune"",""id"":25761211,""num"":1,""wgt"":100},{""typ"":""ug_rune"",""id"":25761"&amp;"311,""num"":1,""wgt"":100},{""typ"":""ug_rune"",""id"":25761611,""num"":1,""wgt"":100},{""typ"":""ug_rune"",""id"":25761711,""num"":1,""wgt"":100}]}}")</f>
        <v>{"drop":{"typ":"single_random","num":1,"args":[{"typ":"ug_rune","id":25760211,"num":1,"wgt":100},{"typ":"ug_rune","id":25760411,"num":1,"wgt":100},{"typ":"ug_rune","id":25760511,"num":1,"wgt":100},{"typ":"ug_rune","id":25760611,"num":1,"wgt":100},{"typ":"ug_rune","id":25761011,"num":1,"wgt":100},{"typ":"ug_rune","id":25761111,"num":1,"wgt":100},{"typ":"ug_rune","id":25761211,"num":1,"wgt":100},{"typ":"ug_rune","id":25761311,"num":1,"wgt":100},{"typ":"ug_rune","id":25761611,"num":1,"wgt":100},{"typ":"ug_rune","id":25761711,"num":1,"wgt":100}]}}</v>
      </c>
      <c r="T2615" s="148">
        <f>IFERROR(__xludf.DUMMYFUNCTION("""COMPUTED_VALUE"""),-1.0)</f>
        <v>-1</v>
      </c>
      <c r="U2615" s="148">
        <f>IFERROR(__xludf.DUMMYFUNCTION("""COMPUTED_VALUE"""),1.0)</f>
        <v>1</v>
      </c>
      <c r="V2615" s="148" t="str">
        <f>IFERROR(__xludf.DUMMYFUNCTION("""COMPUTED_VALUE"""),"[]")</f>
        <v>[]</v>
      </c>
      <c r="W2615" s="148">
        <f>IFERROR(__xludf.DUMMYFUNCTION("""COMPUTED_VALUE"""),1.174E7)</f>
        <v>11740000</v>
      </c>
      <c r="X2615" s="148">
        <f>IFERROR(__xludf.DUMMYFUNCTION("""COMPUTED_VALUE"""),0.0)</f>
        <v>0</v>
      </c>
      <c r="Y2615" s="148">
        <f>IFERROR(__xludf.DUMMYFUNCTION("""COMPUTED_VALUE"""),0.0)</f>
        <v>0</v>
      </c>
      <c r="Z2615" s="148"/>
    </row>
    <row r="2616">
      <c r="A2616" s="148">
        <f>IFERROR(__xludf.DUMMYFUNCTION("""COMPUTED_VALUE"""),1.1119567E7)</f>
        <v>11119567</v>
      </c>
      <c r="B2616" s="148" t="str">
        <f>IFERROR(__xludf.DUMMYFUNCTION("""COMPUTED_VALUE"""),"地下世界-符文随机箱紫-kvk2")</f>
        <v>地下世界-符文随机箱紫-kvk2</v>
      </c>
      <c r="C2616" s="148"/>
      <c r="D2616" s="148" t="str">
        <f>IFERROR(__xludf.DUMMYFUNCTION("""COMPUTED_VALUE"""),"item_asset")</f>
        <v>item_asset</v>
      </c>
      <c r="E2616" s="148">
        <f>IFERROR(__xludf.DUMMYFUNCTION("""COMPUTED_VALUE"""),19.0)</f>
        <v>19</v>
      </c>
      <c r="F2616" s="148">
        <f>IFERROR(__xludf.DUMMYFUNCTION("""COMPUTED_VALUE"""),0.0)</f>
        <v>0</v>
      </c>
      <c r="G2616" s="148">
        <f>IFERROR(__xludf.DUMMYFUNCTION("""COMPUTED_VALUE"""),1.51100506E8)</f>
        <v>151100506</v>
      </c>
      <c r="H2616" s="148">
        <f>IFERROR(__xludf.DUMMYFUNCTION("""COMPUTED_VALUE"""),1.5112563E7)</f>
        <v>15112563</v>
      </c>
      <c r="I2616" s="148" t="str">
        <f>IFERROR(__xludf.DUMMYFUNCTION("""COMPUTED_VALUE"""),"{}")</f>
        <v>{}</v>
      </c>
      <c r="J2616" s="148" t="str">
        <f>IFERROR(__xludf.DUMMYFUNCTION("""COMPUTED_VALUE"""),"{""typ"":""lc"",""txt"":""LC_ITEM_uw_randrune_name_2""}")</f>
        <v>{"typ":"lc","txt":"LC_ITEM_uw_randrune_name_2"}</v>
      </c>
      <c r="K2616" s="148" t="str">
        <f>IFERROR(__xludf.DUMMYFUNCTION("""COMPUTED_VALUE"""),"{""typ"":""lc"",""txt"":""LC_ITEM_uw_randrune_desc_2""}")</f>
        <v>{"typ":"lc","txt":"LC_ITEM_uw_randrune_desc_2"}</v>
      </c>
      <c r="L2616" s="148" t="str">
        <f>IFERROR(__xludf.DUMMYFUNCTION("""COMPUTED_VALUE"""),"{}")</f>
        <v>{}</v>
      </c>
      <c r="M2616" s="148">
        <f>IFERROR(__xludf.DUMMYFUNCTION("""COMPUTED_VALUE"""),240.0)</f>
        <v>240</v>
      </c>
      <c r="N2616" s="148">
        <f>IFERROR(__xludf.DUMMYFUNCTION("""COMPUTED_VALUE"""),999999.0)</f>
        <v>999999</v>
      </c>
      <c r="O2616" s="148">
        <f>IFERROR(__xludf.DUMMYFUNCTION("""COMPUTED_VALUE"""),99999.0)</f>
        <v>99999</v>
      </c>
      <c r="P2616" s="148">
        <f>IFERROR(__xludf.DUMMYFUNCTION("""COMPUTED_VALUE"""),9999.0)</f>
        <v>9999</v>
      </c>
      <c r="Q2616" s="148" t="str">
        <f>IFERROR(__xludf.DUMMYFUNCTION("""COMPUTED_VALUE"""),"[]")</f>
        <v>[]</v>
      </c>
      <c r="R2616" s="148" t="str">
        <f>IFERROR(__xludf.DUMMYFUNCTION("""COMPUTED_VALUE"""),"[]")</f>
        <v>[]</v>
      </c>
      <c r="S2616" s="148" t="str">
        <f>IFERROR(__xludf.DUMMYFUNCTION("""COMPUTED_VALUE"""),"{""drop"":{""typ"":""single_random"",""num"":1,""args"":[{""typ"":""ug_rune"",""id"":25760212,""num"":1,""wgt"":100},{""typ"":""ug_rune"",""id"":25760412,""num"":1,""wgt"":100},{""typ"":""ug_rune"",""id"":25760612,""num"":1,""wgt"":100},{""typ"":""ug_rune"&amp;""",""id"":25760712,""num"":1,""wgt"":100},{""typ"":""ug_rune"",""id"":25760812,""num"":1,""wgt"":100},{""typ"":""ug_rune"",""id"":25760912,""num"":1,""wgt"":100},{""typ"":""ug_rune"",""id"":25761012,""num"":1,""wgt"":100},{""typ"":""ug_rune"",""id"":25761"&amp;"112,""num"":1,""wgt"":100},{""typ"":""ug_rune"",""id"":25761212,""num"":1,""wgt"":100},{""typ"":""ug_rune"",""id"":25761312,""num"":1,""wgt"":100},{""typ"":""ug_rune"",""id"":25761612,""num"":1,""wgt"":100},{""typ"":""ug_rune"",""id"":25761712,""num"":1,"&amp;"""wgt"":100}]}}")</f>
        <v>{"drop":{"typ":"single_random","num":1,"args":[{"typ":"ug_rune","id":25760212,"num":1,"wgt":100},{"typ":"ug_rune","id":25760412,"num":1,"wgt":100},{"typ":"ug_rune","id":25760612,"num":1,"wgt":100},{"typ":"ug_rune","id":25760712,"num":1,"wgt":100},{"typ":"ug_rune","id":25760812,"num":1,"wgt":100},{"typ":"ug_rune","id":25760912,"num":1,"wgt":100},{"typ":"ug_rune","id":25761012,"num":1,"wgt":100},{"typ":"ug_rune","id":25761112,"num":1,"wgt":100},{"typ":"ug_rune","id":25761212,"num":1,"wgt":100},{"typ":"ug_rune","id":25761312,"num":1,"wgt":100},{"typ":"ug_rune","id":25761612,"num":1,"wgt":100},{"typ":"ug_rune","id":25761712,"num":1,"wgt":100}]}}</v>
      </c>
      <c r="T2616" s="148">
        <f>IFERROR(__xludf.DUMMYFUNCTION("""COMPUTED_VALUE"""),-1.0)</f>
        <v>-1</v>
      </c>
      <c r="U2616" s="148">
        <f>IFERROR(__xludf.DUMMYFUNCTION("""COMPUTED_VALUE"""),1.0)</f>
        <v>1</v>
      </c>
      <c r="V2616" s="148" t="str">
        <f>IFERROR(__xludf.DUMMYFUNCTION("""COMPUTED_VALUE"""),"[]")</f>
        <v>[]</v>
      </c>
      <c r="W2616" s="148">
        <f>IFERROR(__xludf.DUMMYFUNCTION("""COMPUTED_VALUE"""),1.174E7)</f>
        <v>11740000</v>
      </c>
      <c r="X2616" s="148">
        <f>IFERROR(__xludf.DUMMYFUNCTION("""COMPUTED_VALUE"""),0.0)</f>
        <v>0</v>
      </c>
      <c r="Y2616" s="148">
        <f>IFERROR(__xludf.DUMMYFUNCTION("""COMPUTED_VALUE"""),0.0)</f>
        <v>0</v>
      </c>
      <c r="Z2616" s="148"/>
    </row>
    <row r="2617">
      <c r="A2617" s="148">
        <f>IFERROR(__xludf.DUMMYFUNCTION("""COMPUTED_VALUE"""),1.1119568E7)</f>
        <v>11119568</v>
      </c>
      <c r="B2617" s="148" t="str">
        <f>IFERROR(__xludf.DUMMYFUNCTION("""COMPUTED_VALUE"""),"地下世界-符文随机箱橙-kvk2")</f>
        <v>地下世界-符文随机箱橙-kvk2</v>
      </c>
      <c r="C2617" s="148"/>
      <c r="D2617" s="148" t="str">
        <f>IFERROR(__xludf.DUMMYFUNCTION("""COMPUTED_VALUE"""),"item_asset")</f>
        <v>item_asset</v>
      </c>
      <c r="E2617" s="148">
        <f>IFERROR(__xludf.DUMMYFUNCTION("""COMPUTED_VALUE"""),19.0)</f>
        <v>19</v>
      </c>
      <c r="F2617" s="148">
        <f>IFERROR(__xludf.DUMMYFUNCTION("""COMPUTED_VALUE"""),0.0)</f>
        <v>0</v>
      </c>
      <c r="G2617" s="148">
        <f>IFERROR(__xludf.DUMMYFUNCTION("""COMPUTED_VALUE"""),1.51100507E8)</f>
        <v>151100507</v>
      </c>
      <c r="H2617" s="148">
        <f>IFERROR(__xludf.DUMMYFUNCTION("""COMPUTED_VALUE"""),1.5112564E7)</f>
        <v>15112564</v>
      </c>
      <c r="I2617" s="148" t="str">
        <f>IFERROR(__xludf.DUMMYFUNCTION("""COMPUTED_VALUE"""),"{}")</f>
        <v>{}</v>
      </c>
      <c r="J2617" s="148" t="str">
        <f>IFERROR(__xludf.DUMMYFUNCTION("""COMPUTED_VALUE"""),"{""typ"":""lc"",""txt"":""LC_ITEM_uw_randrune_name_3""}")</f>
        <v>{"typ":"lc","txt":"LC_ITEM_uw_randrune_name_3"}</v>
      </c>
      <c r="K2617" s="148" t="str">
        <f>IFERROR(__xludf.DUMMYFUNCTION("""COMPUTED_VALUE"""),"{""typ"":""lc"",""txt"":""LC_ITEM_uw_randrune_desc_3""}")</f>
        <v>{"typ":"lc","txt":"LC_ITEM_uw_randrune_desc_3"}</v>
      </c>
      <c r="L2617" s="148" t="str">
        <f>IFERROR(__xludf.DUMMYFUNCTION("""COMPUTED_VALUE"""),"{}")</f>
        <v>{}</v>
      </c>
      <c r="M2617" s="148">
        <f>IFERROR(__xludf.DUMMYFUNCTION("""COMPUTED_VALUE"""),240.0)</f>
        <v>240</v>
      </c>
      <c r="N2617" s="148">
        <f>IFERROR(__xludf.DUMMYFUNCTION("""COMPUTED_VALUE"""),999999.0)</f>
        <v>999999</v>
      </c>
      <c r="O2617" s="148">
        <f>IFERROR(__xludf.DUMMYFUNCTION("""COMPUTED_VALUE"""),99999.0)</f>
        <v>99999</v>
      </c>
      <c r="P2617" s="148">
        <f>IFERROR(__xludf.DUMMYFUNCTION("""COMPUTED_VALUE"""),9999.0)</f>
        <v>9999</v>
      </c>
      <c r="Q2617" s="148" t="str">
        <f>IFERROR(__xludf.DUMMYFUNCTION("""COMPUTED_VALUE"""),"[]")</f>
        <v>[]</v>
      </c>
      <c r="R2617" s="148" t="str">
        <f>IFERROR(__xludf.DUMMYFUNCTION("""COMPUTED_VALUE"""),"[]")</f>
        <v>[]</v>
      </c>
      <c r="S2617" s="148" t="str">
        <f>IFERROR(__xludf.DUMMYFUNCTION("""COMPUTED_VALUE"""),"{""drop"":{""typ"":""single_random"",""num"":1,""args"":[{""typ"":""ug_rune"",""id"":25760213,""num"":1,""wgt"":100},{""typ"":""ug_rune"",""id"":25760413,""num"":1,""wgt"":100},{""typ"":""ug_rune"",""id"":25760613,""num"":1,""wgt"":100},{""typ"":""ug_rune"&amp;""",""id"":25760713,""num"":1,""wgt"":100},{""typ"":""ug_rune"",""id"":25760813,""num"":1,""wgt"":100},{""typ"":""ug_rune"",""id"":25760913,""num"":1,""wgt"":100},{""typ"":""ug_rune"",""id"":25761013,""num"":1,""wgt"":100},{""typ"":""ug_rune"",""id"":25761"&amp;"113,""num"":1,""wgt"":100},{""typ"":""ug_rune"",""id"":25761213,""num"":1,""wgt"":100},{""typ"":""ug_rune"",""id"":25761313,""num"":1,""wgt"":100},{""typ"":""ug_rune"",""id"":25761613,""num"":1,""wgt"":100},{""typ"":""ug_rune"",""id"":25761713,""num"":1,"&amp;"""wgt"":100}]}}")</f>
        <v>{"drop":{"typ":"single_random","num":1,"args":[{"typ":"ug_rune","id":25760213,"num":1,"wgt":100},{"typ":"ug_rune","id":25760413,"num":1,"wgt":100},{"typ":"ug_rune","id":25760613,"num":1,"wgt":100},{"typ":"ug_rune","id":25760713,"num":1,"wgt":100},{"typ":"ug_rune","id":25760813,"num":1,"wgt":100},{"typ":"ug_rune","id":25760913,"num":1,"wgt":100},{"typ":"ug_rune","id":25761013,"num":1,"wgt":100},{"typ":"ug_rune","id":25761113,"num":1,"wgt":100},{"typ":"ug_rune","id":25761213,"num":1,"wgt":100},{"typ":"ug_rune","id":25761313,"num":1,"wgt":100},{"typ":"ug_rune","id":25761613,"num":1,"wgt":100},{"typ":"ug_rune","id":25761713,"num":1,"wgt":100}]}}</v>
      </c>
      <c r="T2617" s="148">
        <f>IFERROR(__xludf.DUMMYFUNCTION("""COMPUTED_VALUE"""),-1.0)</f>
        <v>-1</v>
      </c>
      <c r="U2617" s="148">
        <f>IFERROR(__xludf.DUMMYFUNCTION("""COMPUTED_VALUE"""),1.0)</f>
        <v>1</v>
      </c>
      <c r="V2617" s="148" t="str">
        <f>IFERROR(__xludf.DUMMYFUNCTION("""COMPUTED_VALUE"""),"[]")</f>
        <v>[]</v>
      </c>
      <c r="W2617" s="148">
        <f>IFERROR(__xludf.DUMMYFUNCTION("""COMPUTED_VALUE"""),1.174E7)</f>
        <v>11740000</v>
      </c>
      <c r="X2617" s="148">
        <f>IFERROR(__xludf.DUMMYFUNCTION("""COMPUTED_VALUE"""),0.0)</f>
        <v>0</v>
      </c>
      <c r="Y2617" s="148">
        <f>IFERROR(__xludf.DUMMYFUNCTION("""COMPUTED_VALUE"""),0.0)</f>
        <v>0</v>
      </c>
      <c r="Z2617" s="148"/>
    </row>
    <row r="2618">
      <c r="A2618" s="148">
        <f>IFERROR(__xludf.DUMMYFUNCTION("""COMPUTED_VALUE"""),1.1119569E7)</f>
        <v>11119569</v>
      </c>
      <c r="B2618" s="148" t="str">
        <f>IFERROR(__xludf.DUMMYFUNCTION("""COMPUTED_VALUE"""),"地下世界-1级奇遇符文奖励-kvk2")</f>
        <v>地下世界-1级奇遇符文奖励-kvk2</v>
      </c>
      <c r="C2618" s="148"/>
      <c r="D2618" s="148" t="str">
        <f>IFERROR(__xludf.DUMMYFUNCTION("""COMPUTED_VALUE"""),"item_asset")</f>
        <v>item_asset</v>
      </c>
      <c r="E2618" s="148">
        <f>IFERROR(__xludf.DUMMYFUNCTION("""COMPUTED_VALUE"""),19.0)</f>
        <v>19</v>
      </c>
      <c r="F2618" s="148">
        <f>IFERROR(__xludf.DUMMYFUNCTION("""COMPUTED_VALUE"""),0.0)</f>
        <v>0</v>
      </c>
      <c r="G2618" s="148">
        <f>IFERROR(__xludf.DUMMYFUNCTION("""COMPUTED_VALUE"""),1.51100532E8)</f>
        <v>151100532</v>
      </c>
      <c r="H2618" s="148">
        <f>IFERROR(__xludf.DUMMYFUNCTION("""COMPUTED_VALUE"""),0.0)</f>
        <v>0</v>
      </c>
      <c r="I2618" s="148" t="str">
        <f>IFERROR(__xludf.DUMMYFUNCTION("""COMPUTED_VALUE"""),"{}")</f>
        <v>{}</v>
      </c>
      <c r="J2618" s="148" t="str">
        <f>IFERROR(__xludf.DUMMYFUNCTION("""COMPUTED_VALUE"""),"{""typ"":""lc"",""txt"":""LC_ITEM_uw_randrune_name_4""}")</f>
        <v>{"typ":"lc","txt":"LC_ITEM_uw_randrune_name_4"}</v>
      </c>
      <c r="K2618" s="148" t="str">
        <f>IFERROR(__xludf.DUMMYFUNCTION("""COMPUTED_VALUE"""),"{""typ"":""lc"",""txt"":""LC_ITEM_uw_randrune_desc_4""}")</f>
        <v>{"typ":"lc","txt":"LC_ITEM_uw_randrune_desc_4"}</v>
      </c>
      <c r="L2618" s="148" t="str">
        <f>IFERROR(__xludf.DUMMYFUNCTION("""COMPUTED_VALUE"""),"{}")</f>
        <v>{}</v>
      </c>
      <c r="M2618" s="148">
        <f>IFERROR(__xludf.DUMMYFUNCTION("""COMPUTED_VALUE"""),240.0)</f>
        <v>240</v>
      </c>
      <c r="N2618" s="148">
        <f>IFERROR(__xludf.DUMMYFUNCTION("""COMPUTED_VALUE"""),999999.0)</f>
        <v>999999</v>
      </c>
      <c r="O2618" s="148">
        <f>IFERROR(__xludf.DUMMYFUNCTION("""COMPUTED_VALUE"""),99999.0)</f>
        <v>99999</v>
      </c>
      <c r="P2618" s="148">
        <f>IFERROR(__xludf.DUMMYFUNCTION("""COMPUTED_VALUE"""),9999.0)</f>
        <v>9999</v>
      </c>
      <c r="Q2618" s="148" t="str">
        <f>IFERROR(__xludf.DUMMYFUNCTION("""COMPUTED_VALUE"""),"[]")</f>
        <v>[]</v>
      </c>
      <c r="R2618" s="148" t="str">
        <f>IFERROR(__xludf.DUMMYFUNCTION("""COMPUTED_VALUE"""),"[]")</f>
        <v>[]</v>
      </c>
      <c r="S2618" s="148" t="str">
        <f>IFERROR(__xludf.DUMMYFUNCTION("""COMPUTED_VALUE"""),"{""drop"":{""typ"":""single_random"",""num"":1,""args"":[{""typ"":""ug_rune"",""id"":25760211,""num"":1,""wgt"":300},{""typ"":""ug_rune"",""id"":25760411,""num"":1,""wgt"":300},{""typ"":""ug_rune"",""id"":25760511,""num"":1,""wgt"":300},{""typ"":""ug_rune"&amp;""",""id"":25760611,""num"":1,""wgt"":300},{""typ"":""ug_rune"",""id"":25761011,""num"":1,""wgt"":300},{""typ"":""ug_rune"",""id"":25761111,""num"":1,""wgt"":300},{""typ"":""ug_rune"",""id"":25761211,""num"":1,""wgt"":300},{""typ"":""ug_rune"",""id"":25761"&amp;"311,""num"":1,""wgt"":300},{""typ"":""ug_rune"",""id"":25761611,""num"":1,""wgt"":300},{""typ"":""ug_rune"",""id"":25761711,""num"":1,""wgt"":300},{""typ"":""ug_rune"",""id"":25760212,""num"":1,""wgt"":200},{""typ"":""ug_rune"",""id"":25760412,""num"":1,"&amp;"""wgt"":200},{""typ"":""ug_rune"",""id"":25760612,""num"":1,""wgt"":200},{""typ"":""ug_rune"",""id"":25760712,""num"":1,""wgt"":200},{""typ"":""ug_rune"",""id"":25760812,""num"":1,""wgt"":200},{""typ"":""ug_rune"",""id"":25760912,""num"":1,""wgt"":200},{"&amp;"""typ"":""ug_rune"",""id"":25761012,""num"":1,""wgt"":200},{""typ"":""ug_rune"",""id"":25761112,""num"":1,""wgt"":200},{""typ"":""ug_rune"",""id"":25761212,""num"":1,""wgt"":200},{""typ"":""ug_rune"",""id"":25761312,""num"":1,""wgt"":200},{""typ"":""ug_ru"&amp;"ne"",""id"":25761612,""num"":1,""wgt"":200},{""typ"":""ug_rune"",""id"":25761712,""num"":1,""wgt"":200}]}}")</f>
        <v>{"drop":{"typ":"single_random","num":1,"args":[{"typ":"ug_rune","id":25760211,"num":1,"wgt":300},{"typ":"ug_rune","id":25760411,"num":1,"wgt":300},{"typ":"ug_rune","id":25760511,"num":1,"wgt":300},{"typ":"ug_rune","id":25760611,"num":1,"wgt":300},{"typ":"ug_rune","id":25761011,"num":1,"wgt":300},{"typ":"ug_rune","id":25761111,"num":1,"wgt":300},{"typ":"ug_rune","id":25761211,"num":1,"wgt":300},{"typ":"ug_rune","id":25761311,"num":1,"wgt":300},{"typ":"ug_rune","id":25761611,"num":1,"wgt":300},{"typ":"ug_rune","id":25761711,"num":1,"wgt":300},{"typ":"ug_rune","id":25760212,"num":1,"wgt":200},{"typ":"ug_rune","id":25760412,"num":1,"wgt":200},{"typ":"ug_rune","id":25760612,"num":1,"wgt":200},{"typ":"ug_rune","id":25760712,"num":1,"wgt":200},{"typ":"ug_rune","id":25760812,"num":1,"wgt":200},{"typ":"ug_rune","id":25760912,"num":1,"wgt":200},{"typ":"ug_rune","id":25761012,"num":1,"wgt":200},{"typ":"ug_rune","id":25761112,"num":1,"wgt":200},{"typ":"ug_rune","id":25761212,"num":1,"wgt":200},{"typ":"ug_rune","id":25761312,"num":1,"wgt":200},{"typ":"ug_rune","id":25761612,"num":1,"wgt":200},{"typ":"ug_rune","id":25761712,"num":1,"wgt":200}]}}</v>
      </c>
      <c r="T2618" s="148">
        <f>IFERROR(__xludf.DUMMYFUNCTION("""COMPUTED_VALUE"""),-1.0)</f>
        <v>-1</v>
      </c>
      <c r="U2618" s="148">
        <f>IFERROR(__xludf.DUMMYFUNCTION("""COMPUTED_VALUE"""),1.0)</f>
        <v>1</v>
      </c>
      <c r="V2618" s="148" t="str">
        <f>IFERROR(__xludf.DUMMYFUNCTION("""COMPUTED_VALUE"""),"[]")</f>
        <v>[]</v>
      </c>
      <c r="W2618" s="148">
        <f>IFERROR(__xludf.DUMMYFUNCTION("""COMPUTED_VALUE"""),1.174E7)</f>
        <v>11740000</v>
      </c>
      <c r="X2618" s="148">
        <f>IFERROR(__xludf.DUMMYFUNCTION("""COMPUTED_VALUE"""),0.0)</f>
        <v>0</v>
      </c>
      <c r="Y2618" s="148">
        <f>IFERROR(__xludf.DUMMYFUNCTION("""COMPUTED_VALUE"""),0.0)</f>
        <v>0</v>
      </c>
      <c r="Z2618" s="148"/>
    </row>
    <row r="2619">
      <c r="A2619" s="148">
        <f>IFERROR(__xludf.DUMMYFUNCTION("""COMPUTED_VALUE"""),1.111957E7)</f>
        <v>11119570</v>
      </c>
      <c r="B2619" s="148" t="str">
        <f>IFERROR(__xludf.DUMMYFUNCTION("""COMPUTED_VALUE"""),"地下世界-2级奇遇符文奖励-kvk2")</f>
        <v>地下世界-2级奇遇符文奖励-kvk2</v>
      </c>
      <c r="C2619" s="148"/>
      <c r="D2619" s="148" t="str">
        <f>IFERROR(__xludf.DUMMYFUNCTION("""COMPUTED_VALUE"""),"item_asset")</f>
        <v>item_asset</v>
      </c>
      <c r="E2619" s="148">
        <f>IFERROR(__xludf.DUMMYFUNCTION("""COMPUTED_VALUE"""),19.0)</f>
        <v>19</v>
      </c>
      <c r="F2619" s="148">
        <f>IFERROR(__xludf.DUMMYFUNCTION("""COMPUTED_VALUE"""),0.0)</f>
        <v>0</v>
      </c>
      <c r="G2619" s="148">
        <f>IFERROR(__xludf.DUMMYFUNCTION("""COMPUTED_VALUE"""),1.51100533E8)</f>
        <v>151100533</v>
      </c>
      <c r="H2619" s="148">
        <f>IFERROR(__xludf.DUMMYFUNCTION("""COMPUTED_VALUE"""),0.0)</f>
        <v>0</v>
      </c>
      <c r="I2619" s="148" t="str">
        <f>IFERROR(__xludf.DUMMYFUNCTION("""COMPUTED_VALUE"""),"{}")</f>
        <v>{}</v>
      </c>
      <c r="J2619" s="148" t="str">
        <f>IFERROR(__xludf.DUMMYFUNCTION("""COMPUTED_VALUE"""),"{""typ"":""lc"",""txt"":""LC_ITEM_uw_randrune_name_5""}")</f>
        <v>{"typ":"lc","txt":"LC_ITEM_uw_randrune_name_5"}</v>
      </c>
      <c r="K2619" s="148" t="str">
        <f>IFERROR(__xludf.DUMMYFUNCTION("""COMPUTED_VALUE"""),"{""typ"":""lc"",""txt"":""LC_ITEM_uw_randrune_desc_5""}")</f>
        <v>{"typ":"lc","txt":"LC_ITEM_uw_randrune_desc_5"}</v>
      </c>
      <c r="L2619" s="148" t="str">
        <f>IFERROR(__xludf.DUMMYFUNCTION("""COMPUTED_VALUE"""),"{}")</f>
        <v>{}</v>
      </c>
      <c r="M2619" s="148">
        <f>IFERROR(__xludf.DUMMYFUNCTION("""COMPUTED_VALUE"""),240.0)</f>
        <v>240</v>
      </c>
      <c r="N2619" s="148">
        <f>IFERROR(__xludf.DUMMYFUNCTION("""COMPUTED_VALUE"""),999999.0)</f>
        <v>999999</v>
      </c>
      <c r="O2619" s="148">
        <f>IFERROR(__xludf.DUMMYFUNCTION("""COMPUTED_VALUE"""),99999.0)</f>
        <v>99999</v>
      </c>
      <c r="P2619" s="148">
        <f>IFERROR(__xludf.DUMMYFUNCTION("""COMPUTED_VALUE"""),9999.0)</f>
        <v>9999</v>
      </c>
      <c r="Q2619" s="148" t="str">
        <f>IFERROR(__xludf.DUMMYFUNCTION("""COMPUTED_VALUE"""),"[]")</f>
        <v>[]</v>
      </c>
      <c r="R2619" s="148" t="str">
        <f>IFERROR(__xludf.DUMMYFUNCTION("""COMPUTED_VALUE"""),"[]")</f>
        <v>[]</v>
      </c>
      <c r="S2619" s="148" t="str">
        <f>IFERROR(__xludf.DUMMYFUNCTION("""COMPUTED_VALUE"""),"{""drop"":{""typ"":""single_random"",""num"":1,""args"":[{""typ"":""ug_rune"",""id"":25760211,""num"":1,""wgt"":100},{""typ"":""ug_rune"",""id"":25760411,""num"":1,""wgt"":100},{""typ"":""ug_rune"",""id"":25760511,""num"":1,""wgt"":100},{""typ"":""ug_rune"&amp;""",""id"":25760611,""num"":1,""wgt"":100},{""typ"":""ug_rune"",""id"":25761011,""num"":1,""wgt"":100},{""typ"":""ug_rune"",""id"":25761111,""num"":1,""wgt"":100},{""typ"":""ug_rune"",""id"":25761211,""num"":1,""wgt"":100},{""typ"":""ug_rune"",""id"":25761"&amp;"311,""num"":1,""wgt"":100},{""typ"":""ug_rune"",""id"":25761611,""num"":1,""wgt"":100},{""typ"":""ug_rune"",""id"":25761711,""num"":1,""wgt"":100},{""typ"":""ug_rune"",""id"":25760212,""num"":1,""wgt"":300},{""typ"":""ug_rune"",""id"":25760412,""num"":1,"&amp;"""wgt"":300},{""typ"":""ug_rune"",""id"":25760612,""num"":1,""wgt"":300},{""typ"":""ug_rune"",""id"":25760712,""num"":1,""wgt"":300},{""typ"":""ug_rune"",""id"":25760812,""num"":1,""wgt"":300},{""typ"":""ug_rune"",""id"":25760912,""num"":1,""wgt"":300},{"&amp;"""typ"":""ug_rune"",""id"":25761012,""num"":1,""wgt"":300},{""typ"":""ug_rune"",""id"":25761112,""num"":1,""wgt"":300},{""typ"":""ug_rune"",""id"":25761212,""num"":1,""wgt"":300},{""typ"":""ug_rune"",""id"":25761312,""num"":1,""wgt"":300},{""typ"":""ug_ru"&amp;"ne"",""id"":25761612,""num"":1,""wgt"":300},{""typ"":""ug_rune"",""id"":25761712,""num"":1,""wgt"":300},{""typ"":""ug_rune"",""id"":25760213,""num"":1,""wgt"":100},{""typ"":""ug_rune"",""id"":25760413,""num"":1,""wgt"":100},{""typ"":""ug_rune"",""id"":257"&amp;"60613,""num"":1,""wgt"":100},{""typ"":""ug_rune"",""id"":25760713,""num"":1,""wgt"":100},{""typ"":""ug_rune"",""id"":25760813,""num"":1,""wgt"":100},{""typ"":""ug_rune"",""id"":25760913,""num"":1,""wgt"":100},{""typ"":""ug_rune"",""id"":25761013,""num"":1"&amp;",""wgt"":100},{""typ"":""ug_rune"",""id"":25761113,""num"":1,""wgt"":100},{""typ"":""ug_rune"",""id"":25761213,""num"":1,""wgt"":100},{""typ"":""ug_rune"",""id"":25761313,""num"":1,""wgt"":100},{""typ"":""ug_rune"",""id"":25761613,""num"":1,""wgt"":100},{"&amp;"""typ"":""ug_rune"",""id"":25761713,""num"":1,""wgt"":100}]}}")</f>
        <v>{"drop":{"typ":"single_random","num":1,"args":[{"typ":"ug_rune","id":25760211,"num":1,"wgt":100},{"typ":"ug_rune","id":25760411,"num":1,"wgt":100},{"typ":"ug_rune","id":25760511,"num":1,"wgt":100},{"typ":"ug_rune","id":25760611,"num":1,"wgt":100},{"typ":"ug_rune","id":25761011,"num":1,"wgt":100},{"typ":"ug_rune","id":25761111,"num":1,"wgt":100},{"typ":"ug_rune","id":25761211,"num":1,"wgt":100},{"typ":"ug_rune","id":25761311,"num":1,"wgt":100},{"typ":"ug_rune","id":25761611,"num":1,"wgt":100},{"typ":"ug_rune","id":25761711,"num":1,"wgt":100},{"typ":"ug_rune","id":25760212,"num":1,"wgt":300},{"typ":"ug_rune","id":25760412,"num":1,"wgt":300},{"typ":"ug_rune","id":25760612,"num":1,"wgt":300},{"typ":"ug_rune","id":25760712,"num":1,"wgt":300},{"typ":"ug_rune","id":25760812,"num":1,"wgt":300},{"typ":"ug_rune","id":25760912,"num":1,"wgt":300},{"typ":"ug_rune","id":25761012,"num":1,"wgt":300},{"typ":"ug_rune","id":25761112,"num":1,"wgt":300},{"typ":"ug_rune","id":25761212,"num":1,"wgt":300},{"typ":"ug_rune","id":25761312,"num":1,"wgt":300},{"typ":"ug_rune","id":25761612,"num":1,"wgt":300},{"typ":"ug_rune","id":25761712,"num":1,"wgt":300},{"typ":"ug_rune","id":25760213,"num":1,"wgt":100},{"typ":"ug_rune","id":25760413,"num":1,"wgt":100},{"typ":"ug_rune","id":25760613,"num":1,"wgt":100},{"typ":"ug_rune","id":25760713,"num":1,"wgt":100},{"typ":"ug_rune","id":25760813,"num":1,"wgt":100},{"typ":"ug_rune","id":25760913,"num":1,"wgt":100},{"typ":"ug_rune","id":25761013,"num":1,"wgt":100},{"typ":"ug_rune","id":25761113,"num":1,"wgt":100},{"typ":"ug_rune","id":25761213,"num":1,"wgt":100},{"typ":"ug_rune","id":25761313,"num":1,"wgt":100},{"typ":"ug_rune","id":25761613,"num":1,"wgt":100},{"typ":"ug_rune","id":25761713,"num":1,"wgt":100}]}}</v>
      </c>
      <c r="T2619" s="148">
        <f>IFERROR(__xludf.DUMMYFUNCTION("""COMPUTED_VALUE"""),-1.0)</f>
        <v>-1</v>
      </c>
      <c r="U2619" s="148">
        <f>IFERROR(__xludf.DUMMYFUNCTION("""COMPUTED_VALUE"""),1.0)</f>
        <v>1</v>
      </c>
      <c r="V2619" s="148" t="str">
        <f>IFERROR(__xludf.DUMMYFUNCTION("""COMPUTED_VALUE"""),"[]")</f>
        <v>[]</v>
      </c>
      <c r="W2619" s="148">
        <f>IFERROR(__xludf.DUMMYFUNCTION("""COMPUTED_VALUE"""),1.174E7)</f>
        <v>11740000</v>
      </c>
      <c r="X2619" s="148">
        <f>IFERROR(__xludf.DUMMYFUNCTION("""COMPUTED_VALUE"""),0.0)</f>
        <v>0</v>
      </c>
      <c r="Y2619" s="148">
        <f>IFERROR(__xludf.DUMMYFUNCTION("""COMPUTED_VALUE"""),0.0)</f>
        <v>0</v>
      </c>
      <c r="Z2619" s="148"/>
    </row>
    <row r="2620">
      <c r="A2620" s="148">
        <f>IFERROR(__xludf.DUMMYFUNCTION("""COMPUTED_VALUE"""),1.1119571E7)</f>
        <v>11119571</v>
      </c>
      <c r="B2620" s="148" t="str">
        <f>IFERROR(__xludf.DUMMYFUNCTION("""COMPUTED_VALUE"""),"地下世界-3级奇遇符文奖励-kvk2")</f>
        <v>地下世界-3级奇遇符文奖励-kvk2</v>
      </c>
      <c r="C2620" s="148"/>
      <c r="D2620" s="148" t="str">
        <f>IFERROR(__xludf.DUMMYFUNCTION("""COMPUTED_VALUE"""),"item_asset")</f>
        <v>item_asset</v>
      </c>
      <c r="E2620" s="148">
        <f>IFERROR(__xludf.DUMMYFUNCTION("""COMPUTED_VALUE"""),19.0)</f>
        <v>19</v>
      </c>
      <c r="F2620" s="148">
        <f>IFERROR(__xludf.DUMMYFUNCTION("""COMPUTED_VALUE"""),0.0)</f>
        <v>0</v>
      </c>
      <c r="G2620" s="148">
        <f>IFERROR(__xludf.DUMMYFUNCTION("""COMPUTED_VALUE"""),1.51100534E8)</f>
        <v>151100534</v>
      </c>
      <c r="H2620" s="148">
        <f>IFERROR(__xludf.DUMMYFUNCTION("""COMPUTED_VALUE"""),0.0)</f>
        <v>0</v>
      </c>
      <c r="I2620" s="148" t="str">
        <f>IFERROR(__xludf.DUMMYFUNCTION("""COMPUTED_VALUE"""),"{}")</f>
        <v>{}</v>
      </c>
      <c r="J2620" s="148" t="str">
        <f>IFERROR(__xludf.DUMMYFUNCTION("""COMPUTED_VALUE"""),"{""typ"":""lc"",""txt"":""LC_ITEM_uw_randrune_name_6""}")</f>
        <v>{"typ":"lc","txt":"LC_ITEM_uw_randrune_name_6"}</v>
      </c>
      <c r="K2620" s="148" t="str">
        <f>IFERROR(__xludf.DUMMYFUNCTION("""COMPUTED_VALUE"""),"{""typ"":""lc"",""txt"":""LC_ITEM_uw_randrune_desc_6""}")</f>
        <v>{"typ":"lc","txt":"LC_ITEM_uw_randrune_desc_6"}</v>
      </c>
      <c r="L2620" s="148" t="str">
        <f>IFERROR(__xludf.DUMMYFUNCTION("""COMPUTED_VALUE"""),"{}")</f>
        <v>{}</v>
      </c>
      <c r="M2620" s="148">
        <f>IFERROR(__xludf.DUMMYFUNCTION("""COMPUTED_VALUE"""),240.0)</f>
        <v>240</v>
      </c>
      <c r="N2620" s="148">
        <f>IFERROR(__xludf.DUMMYFUNCTION("""COMPUTED_VALUE"""),999999.0)</f>
        <v>999999</v>
      </c>
      <c r="O2620" s="148">
        <f>IFERROR(__xludf.DUMMYFUNCTION("""COMPUTED_VALUE"""),99999.0)</f>
        <v>99999</v>
      </c>
      <c r="P2620" s="148">
        <f>IFERROR(__xludf.DUMMYFUNCTION("""COMPUTED_VALUE"""),9999.0)</f>
        <v>9999</v>
      </c>
      <c r="Q2620" s="148" t="str">
        <f>IFERROR(__xludf.DUMMYFUNCTION("""COMPUTED_VALUE"""),"[]")</f>
        <v>[]</v>
      </c>
      <c r="R2620" s="148" t="str">
        <f>IFERROR(__xludf.DUMMYFUNCTION("""COMPUTED_VALUE"""),"[]")</f>
        <v>[]</v>
      </c>
      <c r="S2620" s="148" t="str">
        <f>IFERROR(__xludf.DUMMYFUNCTION("""COMPUTED_VALUE"""),"{""drop"":{""typ"":""single_random"",""num"":1,""args"":[{""typ"":""ug_rune"",""id"":25760212,""num"":1,""wgt"":100},{""typ"":""ug_rune"",""id"":25760412,""num"":1,""wgt"":100},{""typ"":""ug_rune"",""id"":25760612,""num"":1,""wgt"":100},{""typ"":""ug_rune"&amp;""",""id"":25760712,""num"":1,""wgt"":100},{""typ"":""ug_rune"",""id"":25760812,""num"":1,""wgt"":100},{""typ"":""ug_rune"",""id"":25760912,""num"":1,""wgt"":100},{""typ"":""ug_rune"",""id"":25761012,""num"":1,""wgt"":100},{""typ"":""ug_rune"",""id"":25761"&amp;"112,""num"":1,""wgt"":100},{""typ"":""ug_rune"",""id"":25761212,""num"":1,""wgt"":100},{""typ"":""ug_rune"",""id"":25761312,""num"":1,""wgt"":100},{""typ"":""ug_rune"",""id"":25761612,""num"":1,""wgt"":100},{""typ"":""ug_rune"",""id"":25761712,""num"":1,"&amp;"""wgt"":100},{""typ"":""ug_rune"",""id"":25760213,""num"":1,""wgt"":100},{""typ"":""ug_rune"",""id"":25760413,""num"":1,""wgt"":100},{""typ"":""ug_rune"",""id"":25760613,""num"":1,""wgt"":100},{""typ"":""ug_rune"",""id"":25760713,""num"":1,""wgt"":100},{"&amp;"""typ"":""ug_rune"",""id"":25760813,""num"":1,""wgt"":100},{""typ"":""ug_rune"",""id"":25760913,""num"":1,""wgt"":100},{""typ"":""ug_rune"",""id"":25761013,""num"":1,""wgt"":100},{""typ"":""ug_rune"",""id"":25761113,""num"":1,""wgt"":100},{""typ"":""ug_ru"&amp;"ne"",""id"":25761213,""num"":1,""wgt"":100},{""typ"":""ug_rune"",""id"":25761313,""num"":1,""wgt"":100},{""typ"":""ug_rune"",""id"":25761613,""num"":1,""wgt"":100},{""typ"":""ug_rune"",""id"":25761713,""num"":1,""wgt"":100}]}}")</f>
        <v>{"drop":{"typ":"single_random","num":1,"args":[{"typ":"ug_rune","id":25760212,"num":1,"wgt":100},{"typ":"ug_rune","id":25760412,"num":1,"wgt":100},{"typ":"ug_rune","id":25760612,"num":1,"wgt":100},{"typ":"ug_rune","id":25760712,"num":1,"wgt":100},{"typ":"ug_rune","id":25760812,"num":1,"wgt":100},{"typ":"ug_rune","id":25760912,"num":1,"wgt":100},{"typ":"ug_rune","id":25761012,"num":1,"wgt":100},{"typ":"ug_rune","id":25761112,"num":1,"wgt":100},{"typ":"ug_rune","id":25761212,"num":1,"wgt":100},{"typ":"ug_rune","id":25761312,"num":1,"wgt":100},{"typ":"ug_rune","id":25761612,"num":1,"wgt":100},{"typ":"ug_rune","id":25761712,"num":1,"wgt":100},{"typ":"ug_rune","id":25760213,"num":1,"wgt":100},{"typ":"ug_rune","id":25760413,"num":1,"wgt":100},{"typ":"ug_rune","id":25760613,"num":1,"wgt":100},{"typ":"ug_rune","id":25760713,"num":1,"wgt":100},{"typ":"ug_rune","id":25760813,"num":1,"wgt":100},{"typ":"ug_rune","id":25760913,"num":1,"wgt":100},{"typ":"ug_rune","id":25761013,"num":1,"wgt":100},{"typ":"ug_rune","id":25761113,"num":1,"wgt":100},{"typ":"ug_rune","id":25761213,"num":1,"wgt":100},{"typ":"ug_rune","id":25761313,"num":1,"wgt":100},{"typ":"ug_rune","id":25761613,"num":1,"wgt":100},{"typ":"ug_rune","id":25761713,"num":1,"wgt":100}]}}</v>
      </c>
      <c r="T2620" s="148">
        <f>IFERROR(__xludf.DUMMYFUNCTION("""COMPUTED_VALUE"""),-1.0)</f>
        <v>-1</v>
      </c>
      <c r="U2620" s="148">
        <f>IFERROR(__xludf.DUMMYFUNCTION("""COMPUTED_VALUE"""),1.0)</f>
        <v>1</v>
      </c>
      <c r="V2620" s="148" t="str">
        <f>IFERROR(__xludf.DUMMYFUNCTION("""COMPUTED_VALUE"""),"[]")</f>
        <v>[]</v>
      </c>
      <c r="W2620" s="148">
        <f>IFERROR(__xludf.DUMMYFUNCTION("""COMPUTED_VALUE"""),1.174E7)</f>
        <v>11740000</v>
      </c>
      <c r="X2620" s="148">
        <f>IFERROR(__xludf.DUMMYFUNCTION("""COMPUTED_VALUE"""),0.0)</f>
        <v>0</v>
      </c>
      <c r="Y2620" s="148">
        <f>IFERROR(__xludf.DUMMYFUNCTION("""COMPUTED_VALUE"""),0.0)</f>
        <v>0</v>
      </c>
      <c r="Z2620" s="148"/>
    </row>
    <row r="2621">
      <c r="A2621" s="148">
        <f>IFERROR(__xludf.DUMMYFUNCTION("""COMPUTED_VALUE"""),1.1119572E7)</f>
        <v>11119572</v>
      </c>
      <c r="B2621" s="148" t="str">
        <f>IFERROR(__xludf.DUMMYFUNCTION("""COMPUTED_VALUE"""),"地下世界-4级奇遇符文奖励-kvk2")</f>
        <v>地下世界-4级奇遇符文奖励-kvk2</v>
      </c>
      <c r="C2621" s="148"/>
      <c r="D2621" s="148" t="str">
        <f>IFERROR(__xludf.DUMMYFUNCTION("""COMPUTED_VALUE"""),"item_asset")</f>
        <v>item_asset</v>
      </c>
      <c r="E2621" s="148">
        <f>IFERROR(__xludf.DUMMYFUNCTION("""COMPUTED_VALUE"""),19.0)</f>
        <v>19</v>
      </c>
      <c r="F2621" s="148">
        <f>IFERROR(__xludf.DUMMYFUNCTION("""COMPUTED_VALUE"""),0.0)</f>
        <v>0</v>
      </c>
      <c r="G2621" s="148">
        <f>IFERROR(__xludf.DUMMYFUNCTION("""COMPUTED_VALUE"""),1.51100535E8)</f>
        <v>151100535</v>
      </c>
      <c r="H2621" s="148">
        <f>IFERROR(__xludf.DUMMYFUNCTION("""COMPUTED_VALUE"""),0.0)</f>
        <v>0</v>
      </c>
      <c r="I2621" s="148" t="str">
        <f>IFERROR(__xludf.DUMMYFUNCTION("""COMPUTED_VALUE"""),"{}")</f>
        <v>{}</v>
      </c>
      <c r="J2621" s="148" t="str">
        <f>IFERROR(__xludf.DUMMYFUNCTION("""COMPUTED_VALUE"""),"{""typ"":""lc"",""txt"":""LC_ITEM_uw_randrune_name_7""}")</f>
        <v>{"typ":"lc","txt":"LC_ITEM_uw_randrune_name_7"}</v>
      </c>
      <c r="K2621" s="148" t="str">
        <f>IFERROR(__xludf.DUMMYFUNCTION("""COMPUTED_VALUE"""),"{""typ"":""lc"",""txt"":""LC_ITEM_uw_randrune_desc_7""}")</f>
        <v>{"typ":"lc","txt":"LC_ITEM_uw_randrune_desc_7"}</v>
      </c>
      <c r="L2621" s="148" t="str">
        <f>IFERROR(__xludf.DUMMYFUNCTION("""COMPUTED_VALUE"""),"{}")</f>
        <v>{}</v>
      </c>
      <c r="M2621" s="148">
        <f>IFERROR(__xludf.DUMMYFUNCTION("""COMPUTED_VALUE"""),240.0)</f>
        <v>240</v>
      </c>
      <c r="N2621" s="148">
        <f>IFERROR(__xludf.DUMMYFUNCTION("""COMPUTED_VALUE"""),999999.0)</f>
        <v>999999</v>
      </c>
      <c r="O2621" s="148">
        <f>IFERROR(__xludf.DUMMYFUNCTION("""COMPUTED_VALUE"""),99999.0)</f>
        <v>99999</v>
      </c>
      <c r="P2621" s="148">
        <f>IFERROR(__xludf.DUMMYFUNCTION("""COMPUTED_VALUE"""),9999.0)</f>
        <v>9999</v>
      </c>
      <c r="Q2621" s="148" t="str">
        <f>IFERROR(__xludf.DUMMYFUNCTION("""COMPUTED_VALUE"""),"[]")</f>
        <v>[]</v>
      </c>
      <c r="R2621" s="148" t="str">
        <f>IFERROR(__xludf.DUMMYFUNCTION("""COMPUTED_VALUE"""),"[]")</f>
        <v>[]</v>
      </c>
      <c r="S2621" s="148" t="str">
        <f>IFERROR(__xludf.DUMMYFUNCTION("""COMPUTED_VALUE"""),"{""drop"":{""typ"":""single_random"",""num"":1,""args"":[{""typ"":""ug_rune"",""id"":25760213,""num"":1,""wgt"":100},{""typ"":""ug_rune"",""id"":25760413,""num"":1,""wgt"":100},{""typ"":""ug_rune"",""id"":25760613,""num"":1,""wgt"":100},{""typ"":""ug_rune"&amp;""",""id"":25760713,""num"":1,""wgt"":100},{""typ"":""ug_rune"",""id"":25760813,""num"":1,""wgt"":100},{""typ"":""ug_rune"",""id"":25760913,""num"":1,""wgt"":100},{""typ"":""ug_rune"",""id"":25761013,""num"":1,""wgt"":100},{""typ"":""ug_rune"",""id"":25761"&amp;"113,""num"":1,""wgt"":100},{""typ"":""ug_rune"",""id"":25761213,""num"":1,""wgt"":100},{""typ"":""ug_rune"",""id"":25761313,""num"":1,""wgt"":100},{""typ"":""ug_rune"",""id"":25761613,""num"":1,""wgt"":100},{""typ"":""ug_rune"",""id"":25761713,""num"":1,"&amp;"""wgt"":100}]}}")</f>
        <v>{"drop":{"typ":"single_random","num":1,"args":[{"typ":"ug_rune","id":25760213,"num":1,"wgt":100},{"typ":"ug_rune","id":25760413,"num":1,"wgt":100},{"typ":"ug_rune","id":25760613,"num":1,"wgt":100},{"typ":"ug_rune","id":25760713,"num":1,"wgt":100},{"typ":"ug_rune","id":25760813,"num":1,"wgt":100},{"typ":"ug_rune","id":25760913,"num":1,"wgt":100},{"typ":"ug_rune","id":25761013,"num":1,"wgt":100},{"typ":"ug_rune","id":25761113,"num":1,"wgt":100},{"typ":"ug_rune","id":25761213,"num":1,"wgt":100},{"typ":"ug_rune","id":25761313,"num":1,"wgt":100},{"typ":"ug_rune","id":25761613,"num":1,"wgt":100},{"typ":"ug_rune","id":25761713,"num":1,"wgt":100}]}}</v>
      </c>
      <c r="T2621" s="148">
        <f>IFERROR(__xludf.DUMMYFUNCTION("""COMPUTED_VALUE"""),-1.0)</f>
        <v>-1</v>
      </c>
      <c r="U2621" s="148">
        <f>IFERROR(__xludf.DUMMYFUNCTION("""COMPUTED_VALUE"""),1.0)</f>
        <v>1</v>
      </c>
      <c r="V2621" s="148" t="str">
        <f>IFERROR(__xludf.DUMMYFUNCTION("""COMPUTED_VALUE"""),"[]")</f>
        <v>[]</v>
      </c>
      <c r="W2621" s="148">
        <f>IFERROR(__xludf.DUMMYFUNCTION("""COMPUTED_VALUE"""),1.174E7)</f>
        <v>11740000</v>
      </c>
      <c r="X2621" s="148">
        <f>IFERROR(__xludf.DUMMYFUNCTION("""COMPUTED_VALUE"""),0.0)</f>
        <v>0</v>
      </c>
      <c r="Y2621" s="148">
        <f>IFERROR(__xludf.DUMMYFUNCTION("""COMPUTED_VALUE"""),0.0)</f>
        <v>0</v>
      </c>
      <c r="Z2621" s="148"/>
    </row>
    <row r="2622">
      <c r="A2622" s="148">
        <f>IFERROR(__xludf.DUMMYFUNCTION("""COMPUTED_VALUE"""),1.1119573E7)</f>
        <v>11119573</v>
      </c>
      <c r="B2622" s="148" t="str">
        <f>IFERROR(__xludf.DUMMYFUNCTION("""COMPUTED_VALUE"""),"地下世界-符文随机箱蓝-kvk3")</f>
        <v>地下世界-符文随机箱蓝-kvk3</v>
      </c>
      <c r="C2622" s="148"/>
      <c r="D2622" s="148" t="str">
        <f>IFERROR(__xludf.DUMMYFUNCTION("""COMPUTED_VALUE"""),"item_asset")</f>
        <v>item_asset</v>
      </c>
      <c r="E2622" s="148">
        <f>IFERROR(__xludf.DUMMYFUNCTION("""COMPUTED_VALUE"""),19.0)</f>
        <v>19</v>
      </c>
      <c r="F2622" s="148">
        <f>IFERROR(__xludf.DUMMYFUNCTION("""COMPUTED_VALUE"""),0.0)</f>
        <v>0</v>
      </c>
      <c r="G2622" s="148">
        <f>IFERROR(__xludf.DUMMYFUNCTION("""COMPUTED_VALUE"""),1.51100505E8)</f>
        <v>151100505</v>
      </c>
      <c r="H2622" s="148">
        <f>IFERROR(__xludf.DUMMYFUNCTION("""COMPUTED_VALUE"""),1.5112562E7)</f>
        <v>15112562</v>
      </c>
      <c r="I2622" s="148" t="str">
        <f>IFERROR(__xludf.DUMMYFUNCTION("""COMPUTED_VALUE"""),"{}")</f>
        <v>{}</v>
      </c>
      <c r="J2622" s="148" t="str">
        <f>IFERROR(__xludf.DUMMYFUNCTION("""COMPUTED_VALUE"""),"{""typ"":""lc"",""txt"":""LC_ITEM_uw_randrune_name_1""}")</f>
        <v>{"typ":"lc","txt":"LC_ITEM_uw_randrune_name_1"}</v>
      </c>
      <c r="K2622" s="148" t="str">
        <f>IFERROR(__xludf.DUMMYFUNCTION("""COMPUTED_VALUE"""),"{""typ"":""lc"",""txt"":""LC_ITEM_uw_randrune_desc_1""}")</f>
        <v>{"typ":"lc","txt":"LC_ITEM_uw_randrune_desc_1"}</v>
      </c>
      <c r="L2622" s="148" t="str">
        <f>IFERROR(__xludf.DUMMYFUNCTION("""COMPUTED_VALUE"""),"{}")</f>
        <v>{}</v>
      </c>
      <c r="M2622" s="148">
        <f>IFERROR(__xludf.DUMMYFUNCTION("""COMPUTED_VALUE"""),240.0)</f>
        <v>240</v>
      </c>
      <c r="N2622" s="148">
        <f>IFERROR(__xludf.DUMMYFUNCTION("""COMPUTED_VALUE"""),999999.0)</f>
        <v>999999</v>
      </c>
      <c r="O2622" s="148">
        <f>IFERROR(__xludf.DUMMYFUNCTION("""COMPUTED_VALUE"""),99999.0)</f>
        <v>99999</v>
      </c>
      <c r="P2622" s="148">
        <f>IFERROR(__xludf.DUMMYFUNCTION("""COMPUTED_VALUE"""),9999.0)</f>
        <v>9999</v>
      </c>
      <c r="Q2622" s="148" t="str">
        <f>IFERROR(__xludf.DUMMYFUNCTION("""COMPUTED_VALUE"""),"[]")</f>
        <v>[]</v>
      </c>
      <c r="R2622" s="148" t="str">
        <f>IFERROR(__xludf.DUMMYFUNCTION("""COMPUTED_VALUE"""),"[]")</f>
        <v>[]</v>
      </c>
      <c r="S2622" s="148" t="str">
        <f>IFERROR(__xludf.DUMMYFUNCTION("""COMPUTED_VALUE"""),"{""drop"":{""typ"":""single_random"",""num"":1,""args"":[{""typ"":""ug_rune"",""id"":25760121,""num"":1,""wgt"":100},{""typ"":""ug_rune"",""id"":25760321,""num"":1,""wgt"":100},{""typ"":""ug_rune"",""id"":25760621,""num"":1,""wgt"":100},{""typ"":""ug_rune"&amp;""",""id"":25761021,""num"":1,""wgt"":100},{""typ"":""ug_rune"",""id"":25761121,""num"":1,""wgt"":100},{""typ"":""ug_rune"",""id"":25761221,""num"":1,""wgt"":100},{""typ"":""ug_rune"",""id"":25761421,""num"":1,""wgt"":100},{""typ"":""ug_rune"",""id"":25761"&amp;"521,""num"":1,""wgt"":100},{""typ"":""ug_rune"",""id"":25761621,""num"":1,""wgt"":100},{""typ"":""ug_rune"",""id"":25761821,""num"":1,""wgt"":100}]}}")</f>
        <v>{"drop":{"typ":"single_random","num":1,"args":[{"typ":"ug_rune","id":25760121,"num":1,"wgt":100},{"typ":"ug_rune","id":25760321,"num":1,"wgt":100},{"typ":"ug_rune","id":25760621,"num":1,"wgt":100},{"typ":"ug_rune","id":25761021,"num":1,"wgt":100},{"typ":"ug_rune","id":25761121,"num":1,"wgt":100},{"typ":"ug_rune","id":25761221,"num":1,"wgt":100},{"typ":"ug_rune","id":25761421,"num":1,"wgt":100},{"typ":"ug_rune","id":25761521,"num":1,"wgt":100},{"typ":"ug_rune","id":25761621,"num":1,"wgt":100},{"typ":"ug_rune","id":25761821,"num":1,"wgt":100}]}}</v>
      </c>
      <c r="T2622" s="148">
        <f>IFERROR(__xludf.DUMMYFUNCTION("""COMPUTED_VALUE"""),-1.0)</f>
        <v>-1</v>
      </c>
      <c r="U2622" s="148">
        <f>IFERROR(__xludf.DUMMYFUNCTION("""COMPUTED_VALUE"""),1.0)</f>
        <v>1</v>
      </c>
      <c r="V2622" s="148" t="str">
        <f>IFERROR(__xludf.DUMMYFUNCTION("""COMPUTED_VALUE"""),"[]")</f>
        <v>[]</v>
      </c>
      <c r="W2622" s="148">
        <f>IFERROR(__xludf.DUMMYFUNCTION("""COMPUTED_VALUE"""),1.174E7)</f>
        <v>11740000</v>
      </c>
      <c r="X2622" s="148">
        <f>IFERROR(__xludf.DUMMYFUNCTION("""COMPUTED_VALUE"""),0.0)</f>
        <v>0</v>
      </c>
      <c r="Y2622" s="148">
        <f>IFERROR(__xludf.DUMMYFUNCTION("""COMPUTED_VALUE"""),0.0)</f>
        <v>0</v>
      </c>
      <c r="Z2622" s="148"/>
    </row>
    <row r="2623">
      <c r="A2623" s="148">
        <f>IFERROR(__xludf.DUMMYFUNCTION("""COMPUTED_VALUE"""),1.1119574E7)</f>
        <v>11119574</v>
      </c>
      <c r="B2623" s="148" t="str">
        <f>IFERROR(__xludf.DUMMYFUNCTION("""COMPUTED_VALUE"""),"地下世界-符文随机箱紫-kvk3")</f>
        <v>地下世界-符文随机箱紫-kvk3</v>
      </c>
      <c r="C2623" s="148"/>
      <c r="D2623" s="148" t="str">
        <f>IFERROR(__xludf.DUMMYFUNCTION("""COMPUTED_VALUE"""),"item_asset")</f>
        <v>item_asset</v>
      </c>
      <c r="E2623" s="148">
        <f>IFERROR(__xludf.DUMMYFUNCTION("""COMPUTED_VALUE"""),19.0)</f>
        <v>19</v>
      </c>
      <c r="F2623" s="148">
        <f>IFERROR(__xludf.DUMMYFUNCTION("""COMPUTED_VALUE"""),0.0)</f>
        <v>0</v>
      </c>
      <c r="G2623" s="148">
        <f>IFERROR(__xludf.DUMMYFUNCTION("""COMPUTED_VALUE"""),1.51100506E8)</f>
        <v>151100506</v>
      </c>
      <c r="H2623" s="148">
        <f>IFERROR(__xludf.DUMMYFUNCTION("""COMPUTED_VALUE"""),1.5112563E7)</f>
        <v>15112563</v>
      </c>
      <c r="I2623" s="148" t="str">
        <f>IFERROR(__xludf.DUMMYFUNCTION("""COMPUTED_VALUE"""),"{}")</f>
        <v>{}</v>
      </c>
      <c r="J2623" s="148" t="str">
        <f>IFERROR(__xludf.DUMMYFUNCTION("""COMPUTED_VALUE"""),"{""typ"":""lc"",""txt"":""LC_ITEM_uw_randrune_name_2""}")</f>
        <v>{"typ":"lc","txt":"LC_ITEM_uw_randrune_name_2"}</v>
      </c>
      <c r="K2623" s="148" t="str">
        <f>IFERROR(__xludf.DUMMYFUNCTION("""COMPUTED_VALUE"""),"{""typ"":""lc"",""txt"":""LC_ITEM_uw_randrune_desc_2""}")</f>
        <v>{"typ":"lc","txt":"LC_ITEM_uw_randrune_desc_2"}</v>
      </c>
      <c r="L2623" s="148" t="str">
        <f>IFERROR(__xludf.DUMMYFUNCTION("""COMPUTED_VALUE"""),"{}")</f>
        <v>{}</v>
      </c>
      <c r="M2623" s="148">
        <f>IFERROR(__xludf.DUMMYFUNCTION("""COMPUTED_VALUE"""),240.0)</f>
        <v>240</v>
      </c>
      <c r="N2623" s="148">
        <f>IFERROR(__xludf.DUMMYFUNCTION("""COMPUTED_VALUE"""),999999.0)</f>
        <v>999999</v>
      </c>
      <c r="O2623" s="148">
        <f>IFERROR(__xludf.DUMMYFUNCTION("""COMPUTED_VALUE"""),99999.0)</f>
        <v>99999</v>
      </c>
      <c r="P2623" s="148">
        <f>IFERROR(__xludf.DUMMYFUNCTION("""COMPUTED_VALUE"""),9999.0)</f>
        <v>9999</v>
      </c>
      <c r="Q2623" s="148" t="str">
        <f>IFERROR(__xludf.DUMMYFUNCTION("""COMPUTED_VALUE"""),"[]")</f>
        <v>[]</v>
      </c>
      <c r="R2623" s="148" t="str">
        <f>IFERROR(__xludf.DUMMYFUNCTION("""COMPUTED_VALUE"""),"[]")</f>
        <v>[]</v>
      </c>
      <c r="S2623" s="148" t="str">
        <f>IFERROR(__xludf.DUMMYFUNCTION("""COMPUTED_VALUE"""),"{""drop"":{""typ"":""single_random"",""num"":1,""args"":[{""typ"":""ug_rune"",""id"":25760122,""num"":1,""wgt"":100},{""typ"":""ug_rune"",""id"":25760322,""num"":1,""wgt"":100},{""typ"":""ug_rune"",""id"":25760622,""num"":1,""wgt"":100},{""typ"":""ug_rune"&amp;""",""id"":25760722,""num"":1,""wgt"":100},{""typ"":""ug_rune"",""id"":25760822,""num"":1,""wgt"":100},{""typ"":""ug_rune"",""id"":25761022,""num"":1,""wgt"":100},{""typ"":""ug_rune"",""id"":25761122,""num"":1,""wgt"":100},{""typ"":""ug_rune"",""id"":25761"&amp;"222,""num"":1,""wgt"":100},{""typ"":""ug_rune"",""id"":25761422,""num"":1,""wgt"":100},{""typ"":""ug_rune"",""id"":25761522,""num"":1,""wgt"":100},{""typ"":""ug_rune"",""id"":25761622,""num"":1,""wgt"":100},{""typ"":""ug_rune"",""id"":25761822,""num"":1,"&amp;"""wgt"":100}]}}")</f>
        <v>{"drop":{"typ":"single_random","num":1,"args":[{"typ":"ug_rune","id":25760122,"num":1,"wgt":100},{"typ":"ug_rune","id":25760322,"num":1,"wgt":100},{"typ":"ug_rune","id":25760622,"num":1,"wgt":100},{"typ":"ug_rune","id":25760722,"num":1,"wgt":100},{"typ":"ug_rune","id":25760822,"num":1,"wgt":100},{"typ":"ug_rune","id":25761022,"num":1,"wgt":100},{"typ":"ug_rune","id":25761122,"num":1,"wgt":100},{"typ":"ug_rune","id":25761222,"num":1,"wgt":100},{"typ":"ug_rune","id":25761422,"num":1,"wgt":100},{"typ":"ug_rune","id":25761522,"num":1,"wgt":100},{"typ":"ug_rune","id":25761622,"num":1,"wgt":100},{"typ":"ug_rune","id":25761822,"num":1,"wgt":100}]}}</v>
      </c>
      <c r="T2623" s="148">
        <f>IFERROR(__xludf.DUMMYFUNCTION("""COMPUTED_VALUE"""),-1.0)</f>
        <v>-1</v>
      </c>
      <c r="U2623" s="148">
        <f>IFERROR(__xludf.DUMMYFUNCTION("""COMPUTED_VALUE"""),1.0)</f>
        <v>1</v>
      </c>
      <c r="V2623" s="148" t="str">
        <f>IFERROR(__xludf.DUMMYFUNCTION("""COMPUTED_VALUE"""),"[]")</f>
        <v>[]</v>
      </c>
      <c r="W2623" s="148">
        <f>IFERROR(__xludf.DUMMYFUNCTION("""COMPUTED_VALUE"""),1.174E7)</f>
        <v>11740000</v>
      </c>
      <c r="X2623" s="148">
        <f>IFERROR(__xludf.DUMMYFUNCTION("""COMPUTED_VALUE"""),0.0)</f>
        <v>0</v>
      </c>
      <c r="Y2623" s="148">
        <f>IFERROR(__xludf.DUMMYFUNCTION("""COMPUTED_VALUE"""),0.0)</f>
        <v>0</v>
      </c>
      <c r="Z2623" s="148"/>
    </row>
    <row r="2624">
      <c r="A2624" s="148">
        <f>IFERROR(__xludf.DUMMYFUNCTION("""COMPUTED_VALUE"""),1.1119575E7)</f>
        <v>11119575</v>
      </c>
      <c r="B2624" s="148" t="str">
        <f>IFERROR(__xludf.DUMMYFUNCTION("""COMPUTED_VALUE"""),"地下世界-符文随机箱橙-kvk3")</f>
        <v>地下世界-符文随机箱橙-kvk3</v>
      </c>
      <c r="C2624" s="148"/>
      <c r="D2624" s="148" t="str">
        <f>IFERROR(__xludf.DUMMYFUNCTION("""COMPUTED_VALUE"""),"item_asset")</f>
        <v>item_asset</v>
      </c>
      <c r="E2624" s="148">
        <f>IFERROR(__xludf.DUMMYFUNCTION("""COMPUTED_VALUE"""),19.0)</f>
        <v>19</v>
      </c>
      <c r="F2624" s="148">
        <f>IFERROR(__xludf.DUMMYFUNCTION("""COMPUTED_VALUE"""),0.0)</f>
        <v>0</v>
      </c>
      <c r="G2624" s="148">
        <f>IFERROR(__xludf.DUMMYFUNCTION("""COMPUTED_VALUE"""),1.51100507E8)</f>
        <v>151100507</v>
      </c>
      <c r="H2624" s="148">
        <f>IFERROR(__xludf.DUMMYFUNCTION("""COMPUTED_VALUE"""),1.5112564E7)</f>
        <v>15112564</v>
      </c>
      <c r="I2624" s="148" t="str">
        <f>IFERROR(__xludf.DUMMYFUNCTION("""COMPUTED_VALUE"""),"{}")</f>
        <v>{}</v>
      </c>
      <c r="J2624" s="148" t="str">
        <f>IFERROR(__xludf.DUMMYFUNCTION("""COMPUTED_VALUE"""),"{""typ"":""lc"",""txt"":""LC_ITEM_uw_randrune_name_3""}")</f>
        <v>{"typ":"lc","txt":"LC_ITEM_uw_randrune_name_3"}</v>
      </c>
      <c r="K2624" s="148" t="str">
        <f>IFERROR(__xludf.DUMMYFUNCTION("""COMPUTED_VALUE"""),"{""typ"":""lc"",""txt"":""LC_ITEM_uw_randrune_desc_3""}")</f>
        <v>{"typ":"lc","txt":"LC_ITEM_uw_randrune_desc_3"}</v>
      </c>
      <c r="L2624" s="148" t="str">
        <f>IFERROR(__xludf.DUMMYFUNCTION("""COMPUTED_VALUE"""),"{}")</f>
        <v>{}</v>
      </c>
      <c r="M2624" s="148">
        <f>IFERROR(__xludf.DUMMYFUNCTION("""COMPUTED_VALUE"""),240.0)</f>
        <v>240</v>
      </c>
      <c r="N2624" s="148">
        <f>IFERROR(__xludf.DUMMYFUNCTION("""COMPUTED_VALUE"""),999999.0)</f>
        <v>999999</v>
      </c>
      <c r="O2624" s="148">
        <f>IFERROR(__xludf.DUMMYFUNCTION("""COMPUTED_VALUE"""),99999.0)</f>
        <v>99999</v>
      </c>
      <c r="P2624" s="148">
        <f>IFERROR(__xludf.DUMMYFUNCTION("""COMPUTED_VALUE"""),9999.0)</f>
        <v>9999</v>
      </c>
      <c r="Q2624" s="148" t="str">
        <f>IFERROR(__xludf.DUMMYFUNCTION("""COMPUTED_VALUE"""),"[]")</f>
        <v>[]</v>
      </c>
      <c r="R2624" s="148" t="str">
        <f>IFERROR(__xludf.DUMMYFUNCTION("""COMPUTED_VALUE"""),"[]")</f>
        <v>[]</v>
      </c>
      <c r="S2624" s="148" t="str">
        <f>IFERROR(__xludf.DUMMYFUNCTION("""COMPUTED_VALUE"""),"{""drop"":{""typ"":""single_random"",""num"":1,""args"":[{""typ"":""ug_rune"",""id"":25760123,""num"":1,""wgt"":100},{""typ"":""ug_rune"",""id"":25760323,""num"":1,""wgt"":100},{""typ"":""ug_rune"",""id"":25760623,""num"":1,""wgt"":100},{""typ"":""ug_rune"&amp;""",""id"":25760723,""num"":1,""wgt"":100},{""typ"":""ug_rune"",""id"":25760823,""num"":1,""wgt"":100},{""typ"":""ug_rune"",""id"":25761023,""num"":1,""wgt"":100},{""typ"":""ug_rune"",""id"":25761123,""num"":1,""wgt"":100},{""typ"":""ug_rune"",""id"":25761"&amp;"223,""num"":1,""wgt"":100},{""typ"":""ug_rune"",""id"":25761423,""num"":1,""wgt"":100},{""typ"":""ug_rune"",""id"":25761523,""num"":1,""wgt"":100},{""typ"":""ug_rune"",""id"":25761623,""num"":1,""wgt"":100},{""typ"":""ug_rune"",""id"":25761823,""num"":1,"&amp;"""wgt"":100}]}}")</f>
        <v>{"drop":{"typ":"single_random","num":1,"args":[{"typ":"ug_rune","id":25760123,"num":1,"wgt":100},{"typ":"ug_rune","id":25760323,"num":1,"wgt":100},{"typ":"ug_rune","id":25760623,"num":1,"wgt":100},{"typ":"ug_rune","id":25760723,"num":1,"wgt":100},{"typ":"ug_rune","id":25760823,"num":1,"wgt":100},{"typ":"ug_rune","id":25761023,"num":1,"wgt":100},{"typ":"ug_rune","id":25761123,"num":1,"wgt":100},{"typ":"ug_rune","id":25761223,"num":1,"wgt":100},{"typ":"ug_rune","id":25761423,"num":1,"wgt":100},{"typ":"ug_rune","id":25761523,"num":1,"wgt":100},{"typ":"ug_rune","id":25761623,"num":1,"wgt":100},{"typ":"ug_rune","id":25761823,"num":1,"wgt":100}]}}</v>
      </c>
      <c r="T2624" s="148">
        <f>IFERROR(__xludf.DUMMYFUNCTION("""COMPUTED_VALUE"""),-1.0)</f>
        <v>-1</v>
      </c>
      <c r="U2624" s="148">
        <f>IFERROR(__xludf.DUMMYFUNCTION("""COMPUTED_VALUE"""),1.0)</f>
        <v>1</v>
      </c>
      <c r="V2624" s="148" t="str">
        <f>IFERROR(__xludf.DUMMYFUNCTION("""COMPUTED_VALUE"""),"[]")</f>
        <v>[]</v>
      </c>
      <c r="W2624" s="148">
        <f>IFERROR(__xludf.DUMMYFUNCTION("""COMPUTED_VALUE"""),1.174E7)</f>
        <v>11740000</v>
      </c>
      <c r="X2624" s="148">
        <f>IFERROR(__xludf.DUMMYFUNCTION("""COMPUTED_VALUE"""),0.0)</f>
        <v>0</v>
      </c>
      <c r="Y2624" s="148">
        <f>IFERROR(__xludf.DUMMYFUNCTION("""COMPUTED_VALUE"""),0.0)</f>
        <v>0</v>
      </c>
      <c r="Z2624" s="148"/>
    </row>
    <row r="2625">
      <c r="A2625" s="148">
        <f>IFERROR(__xludf.DUMMYFUNCTION("""COMPUTED_VALUE"""),1.1119576E7)</f>
        <v>11119576</v>
      </c>
      <c r="B2625" s="148" t="str">
        <f>IFERROR(__xludf.DUMMYFUNCTION("""COMPUTED_VALUE"""),"地下世界-1级奇遇符文奖励-kvk3")</f>
        <v>地下世界-1级奇遇符文奖励-kvk3</v>
      </c>
      <c r="C2625" s="148"/>
      <c r="D2625" s="148" t="str">
        <f>IFERROR(__xludf.DUMMYFUNCTION("""COMPUTED_VALUE"""),"item_asset")</f>
        <v>item_asset</v>
      </c>
      <c r="E2625" s="148">
        <f>IFERROR(__xludf.DUMMYFUNCTION("""COMPUTED_VALUE"""),19.0)</f>
        <v>19</v>
      </c>
      <c r="F2625" s="148">
        <f>IFERROR(__xludf.DUMMYFUNCTION("""COMPUTED_VALUE"""),0.0)</f>
        <v>0</v>
      </c>
      <c r="G2625" s="148">
        <f>IFERROR(__xludf.DUMMYFUNCTION("""COMPUTED_VALUE"""),1.51100532E8)</f>
        <v>151100532</v>
      </c>
      <c r="H2625" s="148">
        <f>IFERROR(__xludf.DUMMYFUNCTION("""COMPUTED_VALUE"""),0.0)</f>
        <v>0</v>
      </c>
      <c r="I2625" s="148" t="str">
        <f>IFERROR(__xludf.DUMMYFUNCTION("""COMPUTED_VALUE"""),"{}")</f>
        <v>{}</v>
      </c>
      <c r="J2625" s="148" t="str">
        <f>IFERROR(__xludf.DUMMYFUNCTION("""COMPUTED_VALUE"""),"{""typ"":""lc"",""txt"":""LC_ITEM_uw_randrune_name_4""}")</f>
        <v>{"typ":"lc","txt":"LC_ITEM_uw_randrune_name_4"}</v>
      </c>
      <c r="K2625" s="148" t="str">
        <f>IFERROR(__xludf.DUMMYFUNCTION("""COMPUTED_VALUE"""),"{""typ"":""lc"",""txt"":""LC_ITEM_uw_randrune_desc_4""}")</f>
        <v>{"typ":"lc","txt":"LC_ITEM_uw_randrune_desc_4"}</v>
      </c>
      <c r="L2625" s="148" t="str">
        <f>IFERROR(__xludf.DUMMYFUNCTION("""COMPUTED_VALUE"""),"{}")</f>
        <v>{}</v>
      </c>
      <c r="M2625" s="148">
        <f>IFERROR(__xludf.DUMMYFUNCTION("""COMPUTED_VALUE"""),240.0)</f>
        <v>240</v>
      </c>
      <c r="N2625" s="148">
        <f>IFERROR(__xludf.DUMMYFUNCTION("""COMPUTED_VALUE"""),999999.0)</f>
        <v>999999</v>
      </c>
      <c r="O2625" s="148">
        <f>IFERROR(__xludf.DUMMYFUNCTION("""COMPUTED_VALUE"""),99999.0)</f>
        <v>99999</v>
      </c>
      <c r="P2625" s="148">
        <f>IFERROR(__xludf.DUMMYFUNCTION("""COMPUTED_VALUE"""),9999.0)</f>
        <v>9999</v>
      </c>
      <c r="Q2625" s="148" t="str">
        <f>IFERROR(__xludf.DUMMYFUNCTION("""COMPUTED_VALUE"""),"[]")</f>
        <v>[]</v>
      </c>
      <c r="R2625" s="148" t="str">
        <f>IFERROR(__xludf.DUMMYFUNCTION("""COMPUTED_VALUE"""),"[]")</f>
        <v>[]</v>
      </c>
      <c r="S2625" s="148" t="str">
        <f>IFERROR(__xludf.DUMMYFUNCTION("""COMPUTED_VALUE"""),"{""drop"":{""typ"":""single_random"",""num"":1,""args"":[{""typ"":""ug_rune"",""id"":25760121,""num"":1,""wgt"":300},{""typ"":""ug_rune"",""id"":25760321,""num"":1,""wgt"":300},{""typ"":""ug_rune"",""id"":25760621,""num"":1,""wgt"":300},{""typ"":""ug_rune"&amp;""",""id"":25761021,""num"":1,""wgt"":300},{""typ"":""ug_rune"",""id"":25761121,""num"":1,""wgt"":300},{""typ"":""ug_rune"",""id"":25761221,""num"":1,""wgt"":300},{""typ"":""ug_rune"",""id"":25761421,""num"":1,""wgt"":300},{""typ"":""ug_rune"",""id"":25761"&amp;"521,""num"":1,""wgt"":300},{""typ"":""ug_rune"",""id"":25761621,""num"":1,""wgt"":300},{""typ"":""ug_rune"",""id"":25761821,""num"":1,""wgt"":300},{""typ"":""ug_rune"",""id"":25760122,""num"":1,""wgt"":200},{""typ"":""ug_rune"",""id"":25760322,""num"":1,"&amp;"""wgt"":200},{""typ"":""ug_rune"",""id"":25760622,""num"":1,""wgt"":200},{""typ"":""ug_rune"",""id"":25760722,""num"":1,""wgt"":200},{""typ"":""ug_rune"",""id"":25760822,""num"":1,""wgt"":200},{""typ"":""ug_rune"",""id"":25761022,""num"":1,""wgt"":200},{"&amp;"""typ"":""ug_rune"",""id"":25761122,""num"":1,""wgt"":200},{""typ"":""ug_rune"",""id"":25761222,""num"":1,""wgt"":200},{""typ"":""ug_rune"",""id"":25761422,""num"":1,""wgt"":200},{""typ"":""ug_rune"",""id"":25761522,""num"":1,""wgt"":200},{""typ"":""ug_ru"&amp;"ne"",""id"":25761622,""num"":1,""wgt"":200},{""typ"":""ug_rune"",""id"":25761822,""num"":1,""wgt"":200}]}}")</f>
        <v>{"drop":{"typ":"single_random","num":1,"args":[{"typ":"ug_rune","id":25760121,"num":1,"wgt":300},{"typ":"ug_rune","id":25760321,"num":1,"wgt":300},{"typ":"ug_rune","id":25760621,"num":1,"wgt":300},{"typ":"ug_rune","id":25761021,"num":1,"wgt":300},{"typ":"ug_rune","id":25761121,"num":1,"wgt":300},{"typ":"ug_rune","id":25761221,"num":1,"wgt":300},{"typ":"ug_rune","id":25761421,"num":1,"wgt":300},{"typ":"ug_rune","id":25761521,"num":1,"wgt":300},{"typ":"ug_rune","id":25761621,"num":1,"wgt":300},{"typ":"ug_rune","id":25761821,"num":1,"wgt":300},{"typ":"ug_rune","id":25760122,"num":1,"wgt":200},{"typ":"ug_rune","id":25760322,"num":1,"wgt":200},{"typ":"ug_rune","id":25760622,"num":1,"wgt":200},{"typ":"ug_rune","id":25760722,"num":1,"wgt":200},{"typ":"ug_rune","id":25760822,"num":1,"wgt":200},{"typ":"ug_rune","id":25761022,"num":1,"wgt":200},{"typ":"ug_rune","id":25761122,"num":1,"wgt":200},{"typ":"ug_rune","id":25761222,"num":1,"wgt":200},{"typ":"ug_rune","id":25761422,"num":1,"wgt":200},{"typ":"ug_rune","id":25761522,"num":1,"wgt":200},{"typ":"ug_rune","id":25761622,"num":1,"wgt":200},{"typ":"ug_rune","id":25761822,"num":1,"wgt":200}]}}</v>
      </c>
      <c r="T2625" s="148">
        <f>IFERROR(__xludf.DUMMYFUNCTION("""COMPUTED_VALUE"""),-1.0)</f>
        <v>-1</v>
      </c>
      <c r="U2625" s="148">
        <f>IFERROR(__xludf.DUMMYFUNCTION("""COMPUTED_VALUE"""),1.0)</f>
        <v>1</v>
      </c>
      <c r="V2625" s="148" t="str">
        <f>IFERROR(__xludf.DUMMYFUNCTION("""COMPUTED_VALUE"""),"[]")</f>
        <v>[]</v>
      </c>
      <c r="W2625" s="148">
        <f>IFERROR(__xludf.DUMMYFUNCTION("""COMPUTED_VALUE"""),1.174E7)</f>
        <v>11740000</v>
      </c>
      <c r="X2625" s="148">
        <f>IFERROR(__xludf.DUMMYFUNCTION("""COMPUTED_VALUE"""),0.0)</f>
        <v>0</v>
      </c>
      <c r="Y2625" s="148">
        <f>IFERROR(__xludf.DUMMYFUNCTION("""COMPUTED_VALUE"""),0.0)</f>
        <v>0</v>
      </c>
      <c r="Z2625" s="148"/>
    </row>
    <row r="2626">
      <c r="A2626" s="148">
        <f>IFERROR(__xludf.DUMMYFUNCTION("""COMPUTED_VALUE"""),1.1119577E7)</f>
        <v>11119577</v>
      </c>
      <c r="B2626" s="148" t="str">
        <f>IFERROR(__xludf.DUMMYFUNCTION("""COMPUTED_VALUE"""),"地下世界-2级奇遇符文奖励-kvk3")</f>
        <v>地下世界-2级奇遇符文奖励-kvk3</v>
      </c>
      <c r="C2626" s="148"/>
      <c r="D2626" s="148" t="str">
        <f>IFERROR(__xludf.DUMMYFUNCTION("""COMPUTED_VALUE"""),"item_asset")</f>
        <v>item_asset</v>
      </c>
      <c r="E2626" s="148">
        <f>IFERROR(__xludf.DUMMYFUNCTION("""COMPUTED_VALUE"""),19.0)</f>
        <v>19</v>
      </c>
      <c r="F2626" s="148">
        <f>IFERROR(__xludf.DUMMYFUNCTION("""COMPUTED_VALUE"""),0.0)</f>
        <v>0</v>
      </c>
      <c r="G2626" s="148">
        <f>IFERROR(__xludf.DUMMYFUNCTION("""COMPUTED_VALUE"""),1.51100533E8)</f>
        <v>151100533</v>
      </c>
      <c r="H2626" s="148">
        <f>IFERROR(__xludf.DUMMYFUNCTION("""COMPUTED_VALUE"""),0.0)</f>
        <v>0</v>
      </c>
      <c r="I2626" s="148" t="str">
        <f>IFERROR(__xludf.DUMMYFUNCTION("""COMPUTED_VALUE"""),"{}")</f>
        <v>{}</v>
      </c>
      <c r="J2626" s="148" t="str">
        <f>IFERROR(__xludf.DUMMYFUNCTION("""COMPUTED_VALUE"""),"{""typ"":""lc"",""txt"":""LC_ITEM_uw_randrune_name_5""}")</f>
        <v>{"typ":"lc","txt":"LC_ITEM_uw_randrune_name_5"}</v>
      </c>
      <c r="K2626" s="148" t="str">
        <f>IFERROR(__xludf.DUMMYFUNCTION("""COMPUTED_VALUE"""),"{""typ"":""lc"",""txt"":""LC_ITEM_uw_randrune_desc_5""}")</f>
        <v>{"typ":"lc","txt":"LC_ITEM_uw_randrune_desc_5"}</v>
      </c>
      <c r="L2626" s="148" t="str">
        <f>IFERROR(__xludf.DUMMYFUNCTION("""COMPUTED_VALUE"""),"{}")</f>
        <v>{}</v>
      </c>
      <c r="M2626" s="148">
        <f>IFERROR(__xludf.DUMMYFUNCTION("""COMPUTED_VALUE"""),240.0)</f>
        <v>240</v>
      </c>
      <c r="N2626" s="148">
        <f>IFERROR(__xludf.DUMMYFUNCTION("""COMPUTED_VALUE"""),999999.0)</f>
        <v>999999</v>
      </c>
      <c r="O2626" s="148">
        <f>IFERROR(__xludf.DUMMYFUNCTION("""COMPUTED_VALUE"""),99999.0)</f>
        <v>99999</v>
      </c>
      <c r="P2626" s="148">
        <f>IFERROR(__xludf.DUMMYFUNCTION("""COMPUTED_VALUE"""),9999.0)</f>
        <v>9999</v>
      </c>
      <c r="Q2626" s="148" t="str">
        <f>IFERROR(__xludf.DUMMYFUNCTION("""COMPUTED_VALUE"""),"[]")</f>
        <v>[]</v>
      </c>
      <c r="R2626" s="148" t="str">
        <f>IFERROR(__xludf.DUMMYFUNCTION("""COMPUTED_VALUE"""),"[]")</f>
        <v>[]</v>
      </c>
      <c r="S2626" s="148" t="str">
        <f>IFERROR(__xludf.DUMMYFUNCTION("""COMPUTED_VALUE"""),"{""drop"":{""typ"":""single_random"",""num"":1,""args"":[{""typ"":""ug_rune"",""id"":25760121,""num"":1,""wgt"":100},{""typ"":""ug_rune"",""id"":25760321,""num"":1,""wgt"":100},{""typ"":""ug_rune"",""id"":25760621,""num"":1,""wgt"":100},{""typ"":""ug_rune"&amp;""",""id"":25761021,""num"":1,""wgt"":100},{""typ"":""ug_rune"",""id"":25761121,""num"":1,""wgt"":100},{""typ"":""ug_rune"",""id"":25761221,""num"":1,""wgt"":100},{""typ"":""ug_rune"",""id"":25761421,""num"":1,""wgt"":100},{""typ"":""ug_rune"",""id"":25761"&amp;"521,""num"":1,""wgt"":100},{""typ"":""ug_rune"",""id"":25761621,""num"":1,""wgt"":100},{""typ"":""ug_rune"",""id"":25761821,""num"":1,""wgt"":100},{""typ"":""ug_rune"",""id"":25760122,""num"":1,""wgt"":300},{""typ"":""ug_rune"",""id"":25760322,""num"":1,"&amp;"""wgt"":300},{""typ"":""ug_rune"",""id"":25760622,""num"":1,""wgt"":300},{""typ"":""ug_rune"",""id"":25760722,""num"":1,""wgt"":300},{""typ"":""ug_rune"",""id"":25760822,""num"":1,""wgt"":300},{""typ"":""ug_rune"",""id"":25761022,""num"":1,""wgt"":300},{"&amp;"""typ"":""ug_rune"",""id"":25761122,""num"":1,""wgt"":300},{""typ"":""ug_rune"",""id"":25761222,""num"":1,""wgt"":300},{""typ"":""ug_rune"",""id"":25761422,""num"":1,""wgt"":300},{""typ"":""ug_rune"",""id"":25761522,""num"":1,""wgt"":300},{""typ"":""ug_ru"&amp;"ne"",""id"":25761622,""num"":1,""wgt"":300},{""typ"":""ug_rune"",""id"":25761822,""num"":1,""wgt"":300},{""typ"":""ug_rune"",""id"":25760123,""num"":1,""wgt"":100},{""typ"":""ug_rune"",""id"":25760323,""num"":1,""wgt"":100},{""typ"":""ug_rune"",""id"":257"&amp;"60623,""num"":1,""wgt"":100},{""typ"":""ug_rune"",""id"":25760723,""num"":1,""wgt"":100},{""typ"":""ug_rune"",""id"":25760823,""num"":1,""wgt"":100},{""typ"":""ug_rune"",""id"":25761023,""num"":1,""wgt"":100},{""typ"":""ug_rune"",""id"":25761123,""num"":1"&amp;",""wgt"":100},{""typ"":""ug_rune"",""id"":25761223,""num"":1,""wgt"":100},{""typ"":""ug_rune"",""id"":25761423,""num"":1,""wgt"":100},{""typ"":""ug_rune"",""id"":25761523,""num"":1,""wgt"":100},{""typ"":""ug_rune"",""id"":25761623,""num"":1,""wgt"":100},{"&amp;"""typ"":""ug_rune"",""id"":25761823,""num"":1,""wgt"":100}]}}")</f>
        <v>{"drop":{"typ":"single_random","num":1,"args":[{"typ":"ug_rune","id":25760121,"num":1,"wgt":100},{"typ":"ug_rune","id":25760321,"num":1,"wgt":100},{"typ":"ug_rune","id":25760621,"num":1,"wgt":100},{"typ":"ug_rune","id":25761021,"num":1,"wgt":100},{"typ":"ug_rune","id":25761121,"num":1,"wgt":100},{"typ":"ug_rune","id":25761221,"num":1,"wgt":100},{"typ":"ug_rune","id":25761421,"num":1,"wgt":100},{"typ":"ug_rune","id":25761521,"num":1,"wgt":100},{"typ":"ug_rune","id":25761621,"num":1,"wgt":100},{"typ":"ug_rune","id":25761821,"num":1,"wgt":100},{"typ":"ug_rune","id":25760122,"num":1,"wgt":300},{"typ":"ug_rune","id":25760322,"num":1,"wgt":300},{"typ":"ug_rune","id":25760622,"num":1,"wgt":300},{"typ":"ug_rune","id":25760722,"num":1,"wgt":300},{"typ":"ug_rune","id":25760822,"num":1,"wgt":300},{"typ":"ug_rune","id":25761022,"num":1,"wgt":300},{"typ":"ug_rune","id":25761122,"num":1,"wgt":300},{"typ":"ug_rune","id":25761222,"num":1,"wgt":300},{"typ":"ug_rune","id":25761422,"num":1,"wgt":300},{"typ":"ug_rune","id":25761522,"num":1,"wgt":300},{"typ":"ug_rune","id":25761622,"num":1,"wgt":300},{"typ":"ug_rune","id":25761822,"num":1,"wgt":300},{"typ":"ug_rune","id":25760123,"num":1,"wgt":100},{"typ":"ug_rune","id":25760323,"num":1,"wgt":100},{"typ":"ug_rune","id":25760623,"num":1,"wgt":100},{"typ":"ug_rune","id":25760723,"num":1,"wgt":100},{"typ":"ug_rune","id":25760823,"num":1,"wgt":100},{"typ":"ug_rune","id":25761023,"num":1,"wgt":100},{"typ":"ug_rune","id":25761123,"num":1,"wgt":100},{"typ":"ug_rune","id":25761223,"num":1,"wgt":100},{"typ":"ug_rune","id":25761423,"num":1,"wgt":100},{"typ":"ug_rune","id":25761523,"num":1,"wgt":100},{"typ":"ug_rune","id":25761623,"num":1,"wgt":100},{"typ":"ug_rune","id":25761823,"num":1,"wgt":100}]}}</v>
      </c>
      <c r="T2626" s="148">
        <f>IFERROR(__xludf.DUMMYFUNCTION("""COMPUTED_VALUE"""),-1.0)</f>
        <v>-1</v>
      </c>
      <c r="U2626" s="148">
        <f>IFERROR(__xludf.DUMMYFUNCTION("""COMPUTED_VALUE"""),1.0)</f>
        <v>1</v>
      </c>
      <c r="V2626" s="148" t="str">
        <f>IFERROR(__xludf.DUMMYFUNCTION("""COMPUTED_VALUE"""),"[]")</f>
        <v>[]</v>
      </c>
      <c r="W2626" s="148">
        <f>IFERROR(__xludf.DUMMYFUNCTION("""COMPUTED_VALUE"""),1.174E7)</f>
        <v>11740000</v>
      </c>
      <c r="X2626" s="148">
        <f>IFERROR(__xludf.DUMMYFUNCTION("""COMPUTED_VALUE"""),0.0)</f>
        <v>0</v>
      </c>
      <c r="Y2626" s="148">
        <f>IFERROR(__xludf.DUMMYFUNCTION("""COMPUTED_VALUE"""),0.0)</f>
        <v>0</v>
      </c>
      <c r="Z2626" s="148"/>
    </row>
    <row r="2627">
      <c r="A2627" s="148">
        <f>IFERROR(__xludf.DUMMYFUNCTION("""COMPUTED_VALUE"""),1.1119578E7)</f>
        <v>11119578</v>
      </c>
      <c r="B2627" s="148" t="str">
        <f>IFERROR(__xludf.DUMMYFUNCTION("""COMPUTED_VALUE"""),"地下世界-3级奇遇符文奖励-kvk3")</f>
        <v>地下世界-3级奇遇符文奖励-kvk3</v>
      </c>
      <c r="C2627" s="148"/>
      <c r="D2627" s="148" t="str">
        <f>IFERROR(__xludf.DUMMYFUNCTION("""COMPUTED_VALUE"""),"item_asset")</f>
        <v>item_asset</v>
      </c>
      <c r="E2627" s="148">
        <f>IFERROR(__xludf.DUMMYFUNCTION("""COMPUTED_VALUE"""),19.0)</f>
        <v>19</v>
      </c>
      <c r="F2627" s="148">
        <f>IFERROR(__xludf.DUMMYFUNCTION("""COMPUTED_VALUE"""),0.0)</f>
        <v>0</v>
      </c>
      <c r="G2627" s="148">
        <f>IFERROR(__xludf.DUMMYFUNCTION("""COMPUTED_VALUE"""),1.51100534E8)</f>
        <v>151100534</v>
      </c>
      <c r="H2627" s="148">
        <f>IFERROR(__xludf.DUMMYFUNCTION("""COMPUTED_VALUE"""),0.0)</f>
        <v>0</v>
      </c>
      <c r="I2627" s="148" t="str">
        <f>IFERROR(__xludf.DUMMYFUNCTION("""COMPUTED_VALUE"""),"{}")</f>
        <v>{}</v>
      </c>
      <c r="J2627" s="148" t="str">
        <f>IFERROR(__xludf.DUMMYFUNCTION("""COMPUTED_VALUE"""),"{""typ"":""lc"",""txt"":""LC_ITEM_uw_randrune_name_6""}")</f>
        <v>{"typ":"lc","txt":"LC_ITEM_uw_randrune_name_6"}</v>
      </c>
      <c r="K2627" s="148" t="str">
        <f>IFERROR(__xludf.DUMMYFUNCTION("""COMPUTED_VALUE"""),"{""typ"":""lc"",""txt"":""LC_ITEM_uw_randrune_desc_6""}")</f>
        <v>{"typ":"lc","txt":"LC_ITEM_uw_randrune_desc_6"}</v>
      </c>
      <c r="L2627" s="148" t="str">
        <f>IFERROR(__xludf.DUMMYFUNCTION("""COMPUTED_VALUE"""),"{}")</f>
        <v>{}</v>
      </c>
      <c r="M2627" s="148">
        <f>IFERROR(__xludf.DUMMYFUNCTION("""COMPUTED_VALUE"""),240.0)</f>
        <v>240</v>
      </c>
      <c r="N2627" s="148">
        <f>IFERROR(__xludf.DUMMYFUNCTION("""COMPUTED_VALUE"""),999999.0)</f>
        <v>999999</v>
      </c>
      <c r="O2627" s="148">
        <f>IFERROR(__xludf.DUMMYFUNCTION("""COMPUTED_VALUE"""),99999.0)</f>
        <v>99999</v>
      </c>
      <c r="P2627" s="148">
        <f>IFERROR(__xludf.DUMMYFUNCTION("""COMPUTED_VALUE"""),9999.0)</f>
        <v>9999</v>
      </c>
      <c r="Q2627" s="148" t="str">
        <f>IFERROR(__xludf.DUMMYFUNCTION("""COMPUTED_VALUE"""),"[]")</f>
        <v>[]</v>
      </c>
      <c r="R2627" s="148" t="str">
        <f>IFERROR(__xludf.DUMMYFUNCTION("""COMPUTED_VALUE"""),"[]")</f>
        <v>[]</v>
      </c>
      <c r="S2627" s="148" t="str">
        <f>IFERROR(__xludf.DUMMYFUNCTION("""COMPUTED_VALUE"""),"{""drop"":{""typ"":""single_random"",""num"":1,""args"":[{""typ"":""ug_rune"",""id"":25760122,""num"":1,""wgt"":100},{""typ"":""ug_rune"",""id"":25760322,""num"":1,""wgt"":100},{""typ"":""ug_rune"",""id"":25760622,""num"":1,""wgt"":100},{""typ"":""ug_rune"&amp;""",""id"":25760722,""num"":1,""wgt"":100},{""typ"":""ug_rune"",""id"":25760822,""num"":1,""wgt"":100},{""typ"":""ug_rune"",""id"":25761022,""num"":1,""wgt"":100},{""typ"":""ug_rune"",""id"":25761122,""num"":1,""wgt"":100},{""typ"":""ug_rune"",""id"":25761"&amp;"222,""num"":1,""wgt"":100},{""typ"":""ug_rune"",""id"":25761422,""num"":1,""wgt"":100},{""typ"":""ug_rune"",""id"":25761522,""num"":1,""wgt"":100},{""typ"":""ug_rune"",""id"":25761622,""num"":1,""wgt"":100},{""typ"":""ug_rune"",""id"":25761822,""num"":1,"&amp;"""wgt"":100},{""typ"":""ug_rune"",""id"":25760123,""num"":1,""wgt"":100},{""typ"":""ug_rune"",""id"":25760323,""num"":1,""wgt"":100},{""typ"":""ug_rune"",""id"":25760623,""num"":1,""wgt"":100},{""typ"":""ug_rune"",""id"":25760723,""num"":1,""wgt"":100},{"&amp;"""typ"":""ug_rune"",""id"":25760823,""num"":1,""wgt"":100},{""typ"":""ug_rune"",""id"":25761023,""num"":1,""wgt"":100},{""typ"":""ug_rune"",""id"":25761123,""num"":1,""wgt"":100},{""typ"":""ug_rune"",""id"":25761223,""num"":1,""wgt"":100},{""typ"":""ug_ru"&amp;"ne"",""id"":25761423,""num"":1,""wgt"":100},{""typ"":""ug_rune"",""id"":25761523,""num"":1,""wgt"":100},{""typ"":""ug_rune"",""id"":25761623,""num"":1,""wgt"":100},{""typ"":""ug_rune"",""id"":25761823,""num"":1,""wgt"":100}]}}")</f>
        <v>{"drop":{"typ":"single_random","num":1,"args":[{"typ":"ug_rune","id":25760122,"num":1,"wgt":100},{"typ":"ug_rune","id":25760322,"num":1,"wgt":100},{"typ":"ug_rune","id":25760622,"num":1,"wgt":100},{"typ":"ug_rune","id":25760722,"num":1,"wgt":100},{"typ":"ug_rune","id":25760822,"num":1,"wgt":100},{"typ":"ug_rune","id":25761022,"num":1,"wgt":100},{"typ":"ug_rune","id":25761122,"num":1,"wgt":100},{"typ":"ug_rune","id":25761222,"num":1,"wgt":100},{"typ":"ug_rune","id":25761422,"num":1,"wgt":100},{"typ":"ug_rune","id":25761522,"num":1,"wgt":100},{"typ":"ug_rune","id":25761622,"num":1,"wgt":100},{"typ":"ug_rune","id":25761822,"num":1,"wgt":100},{"typ":"ug_rune","id":25760123,"num":1,"wgt":100},{"typ":"ug_rune","id":25760323,"num":1,"wgt":100},{"typ":"ug_rune","id":25760623,"num":1,"wgt":100},{"typ":"ug_rune","id":25760723,"num":1,"wgt":100},{"typ":"ug_rune","id":25760823,"num":1,"wgt":100},{"typ":"ug_rune","id":25761023,"num":1,"wgt":100},{"typ":"ug_rune","id":25761123,"num":1,"wgt":100},{"typ":"ug_rune","id":25761223,"num":1,"wgt":100},{"typ":"ug_rune","id":25761423,"num":1,"wgt":100},{"typ":"ug_rune","id":25761523,"num":1,"wgt":100},{"typ":"ug_rune","id":25761623,"num":1,"wgt":100},{"typ":"ug_rune","id":25761823,"num":1,"wgt":100}]}}</v>
      </c>
      <c r="T2627" s="148">
        <f>IFERROR(__xludf.DUMMYFUNCTION("""COMPUTED_VALUE"""),-1.0)</f>
        <v>-1</v>
      </c>
      <c r="U2627" s="148">
        <f>IFERROR(__xludf.DUMMYFUNCTION("""COMPUTED_VALUE"""),1.0)</f>
        <v>1</v>
      </c>
      <c r="V2627" s="148" t="str">
        <f>IFERROR(__xludf.DUMMYFUNCTION("""COMPUTED_VALUE"""),"[]")</f>
        <v>[]</v>
      </c>
      <c r="W2627" s="148">
        <f>IFERROR(__xludf.DUMMYFUNCTION("""COMPUTED_VALUE"""),1.174E7)</f>
        <v>11740000</v>
      </c>
      <c r="X2627" s="148">
        <f>IFERROR(__xludf.DUMMYFUNCTION("""COMPUTED_VALUE"""),0.0)</f>
        <v>0</v>
      </c>
      <c r="Y2627" s="148">
        <f>IFERROR(__xludf.DUMMYFUNCTION("""COMPUTED_VALUE"""),0.0)</f>
        <v>0</v>
      </c>
      <c r="Z2627" s="148"/>
    </row>
    <row r="2628">
      <c r="A2628" s="148">
        <f>IFERROR(__xludf.DUMMYFUNCTION("""COMPUTED_VALUE"""),1.1119579E7)</f>
        <v>11119579</v>
      </c>
      <c r="B2628" s="148" t="str">
        <f>IFERROR(__xludf.DUMMYFUNCTION("""COMPUTED_VALUE"""),"地下世界-4级奇遇符文奖励-kvk3")</f>
        <v>地下世界-4级奇遇符文奖励-kvk3</v>
      </c>
      <c r="C2628" s="148"/>
      <c r="D2628" s="148" t="str">
        <f>IFERROR(__xludf.DUMMYFUNCTION("""COMPUTED_VALUE"""),"item_asset")</f>
        <v>item_asset</v>
      </c>
      <c r="E2628" s="148">
        <f>IFERROR(__xludf.DUMMYFUNCTION("""COMPUTED_VALUE"""),19.0)</f>
        <v>19</v>
      </c>
      <c r="F2628" s="148">
        <f>IFERROR(__xludf.DUMMYFUNCTION("""COMPUTED_VALUE"""),0.0)</f>
        <v>0</v>
      </c>
      <c r="G2628" s="148">
        <f>IFERROR(__xludf.DUMMYFUNCTION("""COMPUTED_VALUE"""),1.51100535E8)</f>
        <v>151100535</v>
      </c>
      <c r="H2628" s="148">
        <f>IFERROR(__xludf.DUMMYFUNCTION("""COMPUTED_VALUE"""),0.0)</f>
        <v>0</v>
      </c>
      <c r="I2628" s="148" t="str">
        <f>IFERROR(__xludf.DUMMYFUNCTION("""COMPUTED_VALUE"""),"{}")</f>
        <v>{}</v>
      </c>
      <c r="J2628" s="148" t="str">
        <f>IFERROR(__xludf.DUMMYFUNCTION("""COMPUTED_VALUE"""),"{""typ"":""lc"",""txt"":""LC_ITEM_uw_randrune_name_7""}")</f>
        <v>{"typ":"lc","txt":"LC_ITEM_uw_randrune_name_7"}</v>
      </c>
      <c r="K2628" s="148" t="str">
        <f>IFERROR(__xludf.DUMMYFUNCTION("""COMPUTED_VALUE"""),"{""typ"":""lc"",""txt"":""LC_ITEM_uw_randrune_desc_7""}")</f>
        <v>{"typ":"lc","txt":"LC_ITEM_uw_randrune_desc_7"}</v>
      </c>
      <c r="L2628" s="148" t="str">
        <f>IFERROR(__xludf.DUMMYFUNCTION("""COMPUTED_VALUE"""),"{}")</f>
        <v>{}</v>
      </c>
      <c r="M2628" s="148">
        <f>IFERROR(__xludf.DUMMYFUNCTION("""COMPUTED_VALUE"""),240.0)</f>
        <v>240</v>
      </c>
      <c r="N2628" s="148">
        <f>IFERROR(__xludf.DUMMYFUNCTION("""COMPUTED_VALUE"""),999999.0)</f>
        <v>999999</v>
      </c>
      <c r="O2628" s="148">
        <f>IFERROR(__xludf.DUMMYFUNCTION("""COMPUTED_VALUE"""),99999.0)</f>
        <v>99999</v>
      </c>
      <c r="P2628" s="148">
        <f>IFERROR(__xludf.DUMMYFUNCTION("""COMPUTED_VALUE"""),9999.0)</f>
        <v>9999</v>
      </c>
      <c r="Q2628" s="148" t="str">
        <f>IFERROR(__xludf.DUMMYFUNCTION("""COMPUTED_VALUE"""),"[]")</f>
        <v>[]</v>
      </c>
      <c r="R2628" s="148" t="str">
        <f>IFERROR(__xludf.DUMMYFUNCTION("""COMPUTED_VALUE"""),"[]")</f>
        <v>[]</v>
      </c>
      <c r="S2628" s="148" t="str">
        <f>IFERROR(__xludf.DUMMYFUNCTION("""COMPUTED_VALUE"""),"{""drop"":{""typ"":""single_random"",""num"":1,""args"":[{""typ"":""ug_rune"",""id"":25760123,""num"":1,""wgt"":100},{""typ"":""ug_rune"",""id"":25760323,""num"":1,""wgt"":100},{""typ"":""ug_rune"",""id"":25760623,""num"":1,""wgt"":100},{""typ"":""ug_rune"&amp;""",""id"":25760723,""num"":1,""wgt"":100},{""typ"":""ug_rune"",""id"":25760823,""num"":1,""wgt"":100},{""typ"":""ug_rune"",""id"":25761023,""num"":1,""wgt"":100},{""typ"":""ug_rune"",""id"":25761123,""num"":1,""wgt"":100},{""typ"":""ug_rune"",""id"":25761"&amp;"223,""num"":1,""wgt"":100},{""typ"":""ug_rune"",""id"":25761423,""num"":1,""wgt"":100},{""typ"":""ug_rune"",""id"":25761523,""num"":1,""wgt"":100},{""typ"":""ug_rune"",""id"":25761623,""num"":1,""wgt"":100},{""typ"":""ug_rune"",""id"":25761823,""num"":1,"&amp;"""wgt"":100}]}}")</f>
        <v>{"drop":{"typ":"single_random","num":1,"args":[{"typ":"ug_rune","id":25760123,"num":1,"wgt":100},{"typ":"ug_rune","id":25760323,"num":1,"wgt":100},{"typ":"ug_rune","id":25760623,"num":1,"wgt":100},{"typ":"ug_rune","id":25760723,"num":1,"wgt":100},{"typ":"ug_rune","id":25760823,"num":1,"wgt":100},{"typ":"ug_rune","id":25761023,"num":1,"wgt":100},{"typ":"ug_rune","id":25761123,"num":1,"wgt":100},{"typ":"ug_rune","id":25761223,"num":1,"wgt":100},{"typ":"ug_rune","id":25761423,"num":1,"wgt":100},{"typ":"ug_rune","id":25761523,"num":1,"wgt":100},{"typ":"ug_rune","id":25761623,"num":1,"wgt":100},{"typ":"ug_rune","id":25761823,"num":1,"wgt":100}]}}</v>
      </c>
      <c r="T2628" s="148">
        <f>IFERROR(__xludf.DUMMYFUNCTION("""COMPUTED_VALUE"""),-1.0)</f>
        <v>-1</v>
      </c>
      <c r="U2628" s="148">
        <f>IFERROR(__xludf.DUMMYFUNCTION("""COMPUTED_VALUE"""),1.0)</f>
        <v>1</v>
      </c>
      <c r="V2628" s="148" t="str">
        <f>IFERROR(__xludf.DUMMYFUNCTION("""COMPUTED_VALUE"""),"[]")</f>
        <v>[]</v>
      </c>
      <c r="W2628" s="148">
        <f>IFERROR(__xludf.DUMMYFUNCTION("""COMPUTED_VALUE"""),1.174E7)</f>
        <v>11740000</v>
      </c>
      <c r="X2628" s="148">
        <f>IFERROR(__xludf.DUMMYFUNCTION("""COMPUTED_VALUE"""),0.0)</f>
        <v>0</v>
      </c>
      <c r="Y2628" s="148">
        <f>IFERROR(__xludf.DUMMYFUNCTION("""COMPUTED_VALUE"""),0.0)</f>
        <v>0</v>
      </c>
      <c r="Z2628" s="148"/>
    </row>
    <row r="2629">
      <c r="A2629" s="148">
        <f>IFERROR(__xludf.DUMMYFUNCTION("""COMPUTED_VALUE"""),1.111958E7)</f>
        <v>11119580</v>
      </c>
      <c r="B2629" s="148" t="str">
        <f>IFERROR(__xludf.DUMMYFUNCTION("""COMPUTED_VALUE"""),"地下世界-符文随机箱蓝-kvk4")</f>
        <v>地下世界-符文随机箱蓝-kvk4</v>
      </c>
      <c r="C2629" s="148"/>
      <c r="D2629" s="148" t="str">
        <f>IFERROR(__xludf.DUMMYFUNCTION("""COMPUTED_VALUE"""),"item_asset")</f>
        <v>item_asset</v>
      </c>
      <c r="E2629" s="148">
        <f>IFERROR(__xludf.DUMMYFUNCTION("""COMPUTED_VALUE"""),19.0)</f>
        <v>19</v>
      </c>
      <c r="F2629" s="148">
        <f>IFERROR(__xludf.DUMMYFUNCTION("""COMPUTED_VALUE"""),0.0)</f>
        <v>0</v>
      </c>
      <c r="G2629" s="148">
        <f>IFERROR(__xludf.DUMMYFUNCTION("""COMPUTED_VALUE"""),1.51100505E8)</f>
        <v>151100505</v>
      </c>
      <c r="H2629" s="148">
        <f>IFERROR(__xludf.DUMMYFUNCTION("""COMPUTED_VALUE"""),1.5112562E7)</f>
        <v>15112562</v>
      </c>
      <c r="I2629" s="148" t="str">
        <f>IFERROR(__xludf.DUMMYFUNCTION("""COMPUTED_VALUE"""),"{}")</f>
        <v>{}</v>
      </c>
      <c r="J2629" s="148" t="str">
        <f>IFERROR(__xludf.DUMMYFUNCTION("""COMPUTED_VALUE"""),"{""typ"":""lc"",""txt"":""LC_ITEM_uw_randrune_name_1""}")</f>
        <v>{"typ":"lc","txt":"LC_ITEM_uw_randrune_name_1"}</v>
      </c>
      <c r="K2629" s="148" t="str">
        <f>IFERROR(__xludf.DUMMYFUNCTION("""COMPUTED_VALUE"""),"{""typ"":""lc"",""txt"":""LC_ITEM_uw_randrune_desc_1""}")</f>
        <v>{"typ":"lc","txt":"LC_ITEM_uw_randrune_desc_1"}</v>
      </c>
      <c r="L2629" s="148" t="str">
        <f>IFERROR(__xludf.DUMMYFUNCTION("""COMPUTED_VALUE"""),"{}")</f>
        <v>{}</v>
      </c>
      <c r="M2629" s="148">
        <f>IFERROR(__xludf.DUMMYFUNCTION("""COMPUTED_VALUE"""),240.0)</f>
        <v>240</v>
      </c>
      <c r="N2629" s="148">
        <f>IFERROR(__xludf.DUMMYFUNCTION("""COMPUTED_VALUE"""),999999.0)</f>
        <v>999999</v>
      </c>
      <c r="O2629" s="148">
        <f>IFERROR(__xludf.DUMMYFUNCTION("""COMPUTED_VALUE"""),99999.0)</f>
        <v>99999</v>
      </c>
      <c r="P2629" s="148">
        <f>IFERROR(__xludf.DUMMYFUNCTION("""COMPUTED_VALUE"""),9999.0)</f>
        <v>9999</v>
      </c>
      <c r="Q2629" s="148" t="str">
        <f>IFERROR(__xludf.DUMMYFUNCTION("""COMPUTED_VALUE"""),"[]")</f>
        <v>[]</v>
      </c>
      <c r="R2629" s="148" t="str">
        <f>IFERROR(__xludf.DUMMYFUNCTION("""COMPUTED_VALUE"""),"[]")</f>
        <v>[]</v>
      </c>
      <c r="S2629" s="148" t="str">
        <f>IFERROR(__xludf.DUMMYFUNCTION("""COMPUTED_VALUE"""),"{""drop"":{""typ"":""single_random"",""num"":1,""args"":[{""typ"":""ug_rune"",""id"":25760231,""num"":1,""wgt"":100},{""typ"":""ug_rune"",""id"":25760331,""num"":1,""wgt"":100},{""typ"":""ug_rune"",""id"":25760431,""num"":1,""wgt"":100},{""typ"":""ug_rune"&amp;""",""id"":25760531,""num"":1,""wgt"":100},{""typ"":""ug_rune"",""id"":25760631,""num"":1,""wgt"":100},{""typ"":""ug_rune"",""id"":25761031,""num"":1,""wgt"":100},{""typ"":""ug_rune"",""id"":25761331,""num"":1,""wgt"":100},{""typ"":""ug_rune"",""id"":25761"&amp;"631,""num"":1,""wgt"":100},{""typ"":""ug_rune"",""id"":25761731,""num"":1,""wgt"":100}]}}")</f>
        <v>{"drop":{"typ":"single_random","num":1,"args":[{"typ":"ug_rune","id":25760231,"num":1,"wgt":100},{"typ":"ug_rune","id":25760331,"num":1,"wgt":100},{"typ":"ug_rune","id":25760431,"num":1,"wgt":100},{"typ":"ug_rune","id":25760531,"num":1,"wgt":100},{"typ":"ug_rune","id":25760631,"num":1,"wgt":100},{"typ":"ug_rune","id":25761031,"num":1,"wgt":100},{"typ":"ug_rune","id":25761331,"num":1,"wgt":100},{"typ":"ug_rune","id":25761631,"num":1,"wgt":100},{"typ":"ug_rune","id":25761731,"num":1,"wgt":100}]}}</v>
      </c>
      <c r="T2629" s="148">
        <f>IFERROR(__xludf.DUMMYFUNCTION("""COMPUTED_VALUE"""),-1.0)</f>
        <v>-1</v>
      </c>
      <c r="U2629" s="148">
        <f>IFERROR(__xludf.DUMMYFUNCTION("""COMPUTED_VALUE"""),1.0)</f>
        <v>1</v>
      </c>
      <c r="V2629" s="148" t="str">
        <f>IFERROR(__xludf.DUMMYFUNCTION("""COMPUTED_VALUE"""),"[]")</f>
        <v>[]</v>
      </c>
      <c r="W2629" s="148">
        <f>IFERROR(__xludf.DUMMYFUNCTION("""COMPUTED_VALUE"""),1.174E7)</f>
        <v>11740000</v>
      </c>
      <c r="X2629" s="148">
        <f>IFERROR(__xludf.DUMMYFUNCTION("""COMPUTED_VALUE"""),0.0)</f>
        <v>0</v>
      </c>
      <c r="Y2629" s="148">
        <f>IFERROR(__xludf.DUMMYFUNCTION("""COMPUTED_VALUE"""),0.0)</f>
        <v>0</v>
      </c>
      <c r="Z2629" s="148"/>
    </row>
    <row r="2630">
      <c r="A2630" s="148">
        <f>IFERROR(__xludf.DUMMYFUNCTION("""COMPUTED_VALUE"""),1.1119581E7)</f>
        <v>11119581</v>
      </c>
      <c r="B2630" s="148" t="str">
        <f>IFERROR(__xludf.DUMMYFUNCTION("""COMPUTED_VALUE"""),"地下世界-符文随机箱紫-kvk4")</f>
        <v>地下世界-符文随机箱紫-kvk4</v>
      </c>
      <c r="C2630" s="148"/>
      <c r="D2630" s="148" t="str">
        <f>IFERROR(__xludf.DUMMYFUNCTION("""COMPUTED_VALUE"""),"item_asset")</f>
        <v>item_asset</v>
      </c>
      <c r="E2630" s="148">
        <f>IFERROR(__xludf.DUMMYFUNCTION("""COMPUTED_VALUE"""),19.0)</f>
        <v>19</v>
      </c>
      <c r="F2630" s="148">
        <f>IFERROR(__xludf.DUMMYFUNCTION("""COMPUTED_VALUE"""),0.0)</f>
        <v>0</v>
      </c>
      <c r="G2630" s="148">
        <f>IFERROR(__xludf.DUMMYFUNCTION("""COMPUTED_VALUE"""),1.51100506E8)</f>
        <v>151100506</v>
      </c>
      <c r="H2630" s="148">
        <f>IFERROR(__xludf.DUMMYFUNCTION("""COMPUTED_VALUE"""),1.5112563E7)</f>
        <v>15112563</v>
      </c>
      <c r="I2630" s="148" t="str">
        <f>IFERROR(__xludf.DUMMYFUNCTION("""COMPUTED_VALUE"""),"{}")</f>
        <v>{}</v>
      </c>
      <c r="J2630" s="148" t="str">
        <f>IFERROR(__xludf.DUMMYFUNCTION("""COMPUTED_VALUE"""),"{""typ"":""lc"",""txt"":""LC_ITEM_uw_randrune_name_2""}")</f>
        <v>{"typ":"lc","txt":"LC_ITEM_uw_randrune_name_2"}</v>
      </c>
      <c r="K2630" s="148" t="str">
        <f>IFERROR(__xludf.DUMMYFUNCTION("""COMPUTED_VALUE"""),"{""typ"":""lc"",""txt"":""LC_ITEM_uw_randrune_desc_2""}")</f>
        <v>{"typ":"lc","txt":"LC_ITEM_uw_randrune_desc_2"}</v>
      </c>
      <c r="L2630" s="148" t="str">
        <f>IFERROR(__xludf.DUMMYFUNCTION("""COMPUTED_VALUE"""),"{}")</f>
        <v>{}</v>
      </c>
      <c r="M2630" s="148">
        <f>IFERROR(__xludf.DUMMYFUNCTION("""COMPUTED_VALUE"""),240.0)</f>
        <v>240</v>
      </c>
      <c r="N2630" s="148">
        <f>IFERROR(__xludf.DUMMYFUNCTION("""COMPUTED_VALUE"""),999999.0)</f>
        <v>999999</v>
      </c>
      <c r="O2630" s="148">
        <f>IFERROR(__xludf.DUMMYFUNCTION("""COMPUTED_VALUE"""),99999.0)</f>
        <v>99999</v>
      </c>
      <c r="P2630" s="148">
        <f>IFERROR(__xludf.DUMMYFUNCTION("""COMPUTED_VALUE"""),9999.0)</f>
        <v>9999</v>
      </c>
      <c r="Q2630" s="148" t="str">
        <f>IFERROR(__xludf.DUMMYFUNCTION("""COMPUTED_VALUE"""),"[]")</f>
        <v>[]</v>
      </c>
      <c r="R2630" s="148" t="str">
        <f>IFERROR(__xludf.DUMMYFUNCTION("""COMPUTED_VALUE"""),"[]")</f>
        <v>[]</v>
      </c>
      <c r="S2630" s="148" t="str">
        <f>IFERROR(__xludf.DUMMYFUNCTION("""COMPUTED_VALUE"""),"{""drop"":{""typ"":""single_random"",""num"":1,""args"":[{""typ"":""ug_rune"",""id"":25760232,""num"":1,""wgt"":100},{""typ"":""ug_rune"",""id"":25760332,""num"":1,""wgt"":100},{""typ"":""ug_rune"",""id"":25760432,""num"":1,""wgt"":100},{""typ"":""ug_rune"&amp;""",""id"":25760632,""num"":1,""wgt"":100},{""typ"":""ug_rune"",""id"":25760732,""num"":1,""wgt"":100},{""typ"":""ug_rune"",""id"":25760832,""num"":1,""wgt"":100},{""typ"":""ug_rune"",""id"":25760932,""num"":1,""wgt"":100},{""typ"":""ug_rune"",""id"":25761"&amp;"032,""num"":1,""wgt"":100},{""typ"":""ug_rune"",""id"":25761332,""num"":1,""wgt"":100},{""typ"":""ug_rune"",""id"":25761632,""num"":1,""wgt"":100},{""typ"":""ug_rune"",""id"":25761732,""num"":1,""wgt"":100}]}}")</f>
        <v>{"drop":{"typ":"single_random","num":1,"args":[{"typ":"ug_rune","id":25760232,"num":1,"wgt":100},{"typ":"ug_rune","id":25760332,"num":1,"wgt":100},{"typ":"ug_rune","id":25760432,"num":1,"wgt":100},{"typ":"ug_rune","id":25760632,"num":1,"wgt":100},{"typ":"ug_rune","id":25760732,"num":1,"wgt":100},{"typ":"ug_rune","id":25760832,"num":1,"wgt":100},{"typ":"ug_rune","id":25760932,"num":1,"wgt":100},{"typ":"ug_rune","id":25761032,"num":1,"wgt":100},{"typ":"ug_rune","id":25761332,"num":1,"wgt":100},{"typ":"ug_rune","id":25761632,"num":1,"wgt":100},{"typ":"ug_rune","id":25761732,"num":1,"wgt":100}]}}</v>
      </c>
      <c r="T2630" s="148">
        <f>IFERROR(__xludf.DUMMYFUNCTION("""COMPUTED_VALUE"""),-1.0)</f>
        <v>-1</v>
      </c>
      <c r="U2630" s="148">
        <f>IFERROR(__xludf.DUMMYFUNCTION("""COMPUTED_VALUE"""),1.0)</f>
        <v>1</v>
      </c>
      <c r="V2630" s="148" t="str">
        <f>IFERROR(__xludf.DUMMYFUNCTION("""COMPUTED_VALUE"""),"[]")</f>
        <v>[]</v>
      </c>
      <c r="W2630" s="148">
        <f>IFERROR(__xludf.DUMMYFUNCTION("""COMPUTED_VALUE"""),1.174E7)</f>
        <v>11740000</v>
      </c>
      <c r="X2630" s="148">
        <f>IFERROR(__xludf.DUMMYFUNCTION("""COMPUTED_VALUE"""),0.0)</f>
        <v>0</v>
      </c>
      <c r="Y2630" s="148">
        <f>IFERROR(__xludf.DUMMYFUNCTION("""COMPUTED_VALUE"""),0.0)</f>
        <v>0</v>
      </c>
      <c r="Z2630" s="148"/>
    </row>
    <row r="2631">
      <c r="A2631" s="148">
        <f>IFERROR(__xludf.DUMMYFUNCTION("""COMPUTED_VALUE"""),1.1119582E7)</f>
        <v>11119582</v>
      </c>
      <c r="B2631" s="148" t="str">
        <f>IFERROR(__xludf.DUMMYFUNCTION("""COMPUTED_VALUE"""),"地下世界-符文随机箱橙-kvk4")</f>
        <v>地下世界-符文随机箱橙-kvk4</v>
      </c>
      <c r="C2631" s="148"/>
      <c r="D2631" s="148" t="str">
        <f>IFERROR(__xludf.DUMMYFUNCTION("""COMPUTED_VALUE"""),"item_asset")</f>
        <v>item_asset</v>
      </c>
      <c r="E2631" s="148">
        <f>IFERROR(__xludf.DUMMYFUNCTION("""COMPUTED_VALUE"""),19.0)</f>
        <v>19</v>
      </c>
      <c r="F2631" s="148">
        <f>IFERROR(__xludf.DUMMYFUNCTION("""COMPUTED_VALUE"""),0.0)</f>
        <v>0</v>
      </c>
      <c r="G2631" s="148">
        <f>IFERROR(__xludf.DUMMYFUNCTION("""COMPUTED_VALUE"""),1.51100507E8)</f>
        <v>151100507</v>
      </c>
      <c r="H2631" s="148">
        <f>IFERROR(__xludf.DUMMYFUNCTION("""COMPUTED_VALUE"""),1.5112564E7)</f>
        <v>15112564</v>
      </c>
      <c r="I2631" s="148" t="str">
        <f>IFERROR(__xludf.DUMMYFUNCTION("""COMPUTED_VALUE"""),"{}")</f>
        <v>{}</v>
      </c>
      <c r="J2631" s="148" t="str">
        <f>IFERROR(__xludf.DUMMYFUNCTION("""COMPUTED_VALUE"""),"{""typ"":""lc"",""txt"":""LC_ITEM_uw_randrune_name_3""}")</f>
        <v>{"typ":"lc","txt":"LC_ITEM_uw_randrune_name_3"}</v>
      </c>
      <c r="K2631" s="148" t="str">
        <f>IFERROR(__xludf.DUMMYFUNCTION("""COMPUTED_VALUE"""),"{""typ"":""lc"",""txt"":""LC_ITEM_uw_randrune_desc_3""}")</f>
        <v>{"typ":"lc","txt":"LC_ITEM_uw_randrune_desc_3"}</v>
      </c>
      <c r="L2631" s="148" t="str">
        <f>IFERROR(__xludf.DUMMYFUNCTION("""COMPUTED_VALUE"""),"{}")</f>
        <v>{}</v>
      </c>
      <c r="M2631" s="148">
        <f>IFERROR(__xludf.DUMMYFUNCTION("""COMPUTED_VALUE"""),240.0)</f>
        <v>240</v>
      </c>
      <c r="N2631" s="148">
        <f>IFERROR(__xludf.DUMMYFUNCTION("""COMPUTED_VALUE"""),999999.0)</f>
        <v>999999</v>
      </c>
      <c r="O2631" s="148">
        <f>IFERROR(__xludf.DUMMYFUNCTION("""COMPUTED_VALUE"""),99999.0)</f>
        <v>99999</v>
      </c>
      <c r="P2631" s="148">
        <f>IFERROR(__xludf.DUMMYFUNCTION("""COMPUTED_VALUE"""),9999.0)</f>
        <v>9999</v>
      </c>
      <c r="Q2631" s="148" t="str">
        <f>IFERROR(__xludf.DUMMYFUNCTION("""COMPUTED_VALUE"""),"[]")</f>
        <v>[]</v>
      </c>
      <c r="R2631" s="148" t="str">
        <f>IFERROR(__xludf.DUMMYFUNCTION("""COMPUTED_VALUE"""),"[]")</f>
        <v>[]</v>
      </c>
      <c r="S2631" s="148" t="str">
        <f>IFERROR(__xludf.DUMMYFUNCTION("""COMPUTED_VALUE"""),"{""drop"":{""typ"":""single_random"",""num"":1,""args"":[{""typ"":""ug_rune"",""id"":25760233,""num"":1,""wgt"":100},{""typ"":""ug_rune"",""id"":25760333,""num"":1,""wgt"":100},{""typ"":""ug_rune"",""id"":25760433,""num"":1,""wgt"":100},{""typ"":""ug_rune"&amp;""",""id"":25760633,""num"":1,""wgt"":100},{""typ"":""ug_rune"",""id"":25760733,""num"":1,""wgt"":100},{""typ"":""ug_rune"",""id"":25760833,""num"":1,""wgt"":100},{""typ"":""ug_rune"",""id"":25760933,""num"":1,""wgt"":100},{""typ"":""ug_rune"",""id"":25761"&amp;"033,""num"":1,""wgt"":100},{""typ"":""ug_rune"",""id"":25761333,""num"":1,""wgt"":100},{""typ"":""ug_rune"",""id"":25761633,""num"":1,""wgt"":100},{""typ"":""ug_rune"",""id"":25761733,""num"":1,""wgt"":100}]}}")</f>
        <v>{"drop":{"typ":"single_random","num":1,"args":[{"typ":"ug_rune","id":25760233,"num":1,"wgt":100},{"typ":"ug_rune","id":25760333,"num":1,"wgt":100},{"typ":"ug_rune","id":25760433,"num":1,"wgt":100},{"typ":"ug_rune","id":25760633,"num":1,"wgt":100},{"typ":"ug_rune","id":25760733,"num":1,"wgt":100},{"typ":"ug_rune","id":25760833,"num":1,"wgt":100},{"typ":"ug_rune","id":25760933,"num":1,"wgt":100},{"typ":"ug_rune","id":25761033,"num":1,"wgt":100},{"typ":"ug_rune","id":25761333,"num":1,"wgt":100},{"typ":"ug_rune","id":25761633,"num":1,"wgt":100},{"typ":"ug_rune","id":25761733,"num":1,"wgt":100}]}}</v>
      </c>
      <c r="T2631" s="148">
        <f>IFERROR(__xludf.DUMMYFUNCTION("""COMPUTED_VALUE"""),-1.0)</f>
        <v>-1</v>
      </c>
      <c r="U2631" s="148">
        <f>IFERROR(__xludf.DUMMYFUNCTION("""COMPUTED_VALUE"""),1.0)</f>
        <v>1</v>
      </c>
      <c r="V2631" s="148" t="str">
        <f>IFERROR(__xludf.DUMMYFUNCTION("""COMPUTED_VALUE"""),"[]")</f>
        <v>[]</v>
      </c>
      <c r="W2631" s="148">
        <f>IFERROR(__xludf.DUMMYFUNCTION("""COMPUTED_VALUE"""),1.174E7)</f>
        <v>11740000</v>
      </c>
      <c r="X2631" s="148">
        <f>IFERROR(__xludf.DUMMYFUNCTION("""COMPUTED_VALUE"""),0.0)</f>
        <v>0</v>
      </c>
      <c r="Y2631" s="148">
        <f>IFERROR(__xludf.DUMMYFUNCTION("""COMPUTED_VALUE"""),0.0)</f>
        <v>0</v>
      </c>
      <c r="Z2631" s="148"/>
    </row>
    <row r="2632">
      <c r="A2632" s="148">
        <f>IFERROR(__xludf.DUMMYFUNCTION("""COMPUTED_VALUE"""),1.1119583E7)</f>
        <v>11119583</v>
      </c>
      <c r="B2632" s="148" t="str">
        <f>IFERROR(__xludf.DUMMYFUNCTION("""COMPUTED_VALUE"""),"地下世界-1级奇遇符文奖励-kvk4")</f>
        <v>地下世界-1级奇遇符文奖励-kvk4</v>
      </c>
      <c r="C2632" s="148"/>
      <c r="D2632" s="148" t="str">
        <f>IFERROR(__xludf.DUMMYFUNCTION("""COMPUTED_VALUE"""),"item_asset")</f>
        <v>item_asset</v>
      </c>
      <c r="E2632" s="148">
        <f>IFERROR(__xludf.DUMMYFUNCTION("""COMPUTED_VALUE"""),19.0)</f>
        <v>19</v>
      </c>
      <c r="F2632" s="148">
        <f>IFERROR(__xludf.DUMMYFUNCTION("""COMPUTED_VALUE"""),0.0)</f>
        <v>0</v>
      </c>
      <c r="G2632" s="148">
        <f>IFERROR(__xludf.DUMMYFUNCTION("""COMPUTED_VALUE"""),1.51100532E8)</f>
        <v>151100532</v>
      </c>
      <c r="H2632" s="148">
        <f>IFERROR(__xludf.DUMMYFUNCTION("""COMPUTED_VALUE"""),0.0)</f>
        <v>0</v>
      </c>
      <c r="I2632" s="148" t="str">
        <f>IFERROR(__xludf.DUMMYFUNCTION("""COMPUTED_VALUE"""),"{}")</f>
        <v>{}</v>
      </c>
      <c r="J2632" s="148" t="str">
        <f>IFERROR(__xludf.DUMMYFUNCTION("""COMPUTED_VALUE"""),"{""typ"":""lc"",""txt"":""LC_ITEM_uw_randrune_name_4""}")</f>
        <v>{"typ":"lc","txt":"LC_ITEM_uw_randrune_name_4"}</v>
      </c>
      <c r="K2632" s="148" t="str">
        <f>IFERROR(__xludf.DUMMYFUNCTION("""COMPUTED_VALUE"""),"{""typ"":""lc"",""txt"":""LC_ITEM_uw_randrune_desc_4""}")</f>
        <v>{"typ":"lc","txt":"LC_ITEM_uw_randrune_desc_4"}</v>
      </c>
      <c r="L2632" s="148" t="str">
        <f>IFERROR(__xludf.DUMMYFUNCTION("""COMPUTED_VALUE"""),"{}")</f>
        <v>{}</v>
      </c>
      <c r="M2632" s="148">
        <f>IFERROR(__xludf.DUMMYFUNCTION("""COMPUTED_VALUE"""),240.0)</f>
        <v>240</v>
      </c>
      <c r="N2632" s="148">
        <f>IFERROR(__xludf.DUMMYFUNCTION("""COMPUTED_VALUE"""),999999.0)</f>
        <v>999999</v>
      </c>
      <c r="O2632" s="148">
        <f>IFERROR(__xludf.DUMMYFUNCTION("""COMPUTED_VALUE"""),99999.0)</f>
        <v>99999</v>
      </c>
      <c r="P2632" s="148">
        <f>IFERROR(__xludf.DUMMYFUNCTION("""COMPUTED_VALUE"""),9999.0)</f>
        <v>9999</v>
      </c>
      <c r="Q2632" s="148" t="str">
        <f>IFERROR(__xludf.DUMMYFUNCTION("""COMPUTED_VALUE"""),"[]")</f>
        <v>[]</v>
      </c>
      <c r="R2632" s="148" t="str">
        <f>IFERROR(__xludf.DUMMYFUNCTION("""COMPUTED_VALUE"""),"[]")</f>
        <v>[]</v>
      </c>
      <c r="S2632" s="148" t="str">
        <f>IFERROR(__xludf.DUMMYFUNCTION("""COMPUTED_VALUE"""),"{""drop"":{""typ"":""single_random"",""num"":1,""args"":[{""typ"":""ug_rune"",""id"":25760231,""num"":1,""wgt"":300},{""typ"":""ug_rune"",""id"":25760331,""num"":1,""wgt"":300},{""typ"":""ug_rune"",""id"":25760431,""num"":1,""wgt"":300},{""typ"":""ug_rune"&amp;""",""id"":25760531,""num"":1,""wgt"":300},{""typ"":""ug_rune"",""id"":25760631,""num"":1,""wgt"":300},{""typ"":""ug_rune"",""id"":25761031,""num"":1,""wgt"":300},{""typ"":""ug_rune"",""id"":25761331,""num"":1,""wgt"":300},{""typ"":""ug_rune"",""id"":25761"&amp;"631,""num"":1,""wgt"":300},{""typ"":""ug_rune"",""id"":25761731,""num"":1,""wgt"":300},{""typ"":""ug_rune"",""id"":25760232,""num"":1,""wgt"":200},{""typ"":""ug_rune"",""id"":25760332,""num"":1,""wgt"":200},{""typ"":""ug_rune"",""id"":25760432,""num"":1,"&amp;"""wgt"":200},{""typ"":""ug_rune"",""id"":25760632,""num"":1,""wgt"":200},{""typ"":""ug_rune"",""id"":25760732,""num"":1,""wgt"":200},{""typ"":""ug_rune"",""id"":25760832,""num"":1,""wgt"":200},{""typ"":""ug_rune"",""id"":25760932,""num"":1,""wgt"":200},{"&amp;"""typ"":""ug_rune"",""id"":25761032,""num"":1,""wgt"":200},{""typ"":""ug_rune"",""id"":25761332,""num"":1,""wgt"":200},{""typ"":""ug_rune"",""id"":25761632,""num"":1,""wgt"":200},{""typ"":""ug_rune"",""id"":25761732,""num"":1,""wgt"":200}]}}")</f>
        <v>{"drop":{"typ":"single_random","num":1,"args":[{"typ":"ug_rune","id":25760231,"num":1,"wgt":300},{"typ":"ug_rune","id":25760331,"num":1,"wgt":300},{"typ":"ug_rune","id":25760431,"num":1,"wgt":300},{"typ":"ug_rune","id":25760531,"num":1,"wgt":300},{"typ":"ug_rune","id":25760631,"num":1,"wgt":300},{"typ":"ug_rune","id":25761031,"num":1,"wgt":300},{"typ":"ug_rune","id":25761331,"num":1,"wgt":300},{"typ":"ug_rune","id":25761631,"num":1,"wgt":300},{"typ":"ug_rune","id":25761731,"num":1,"wgt":300},{"typ":"ug_rune","id":25760232,"num":1,"wgt":200},{"typ":"ug_rune","id":25760332,"num":1,"wgt":200},{"typ":"ug_rune","id":25760432,"num":1,"wgt":200},{"typ":"ug_rune","id":25760632,"num":1,"wgt":200},{"typ":"ug_rune","id":25760732,"num":1,"wgt":200},{"typ":"ug_rune","id":25760832,"num":1,"wgt":200},{"typ":"ug_rune","id":25760932,"num":1,"wgt":200},{"typ":"ug_rune","id":25761032,"num":1,"wgt":200},{"typ":"ug_rune","id":25761332,"num":1,"wgt":200},{"typ":"ug_rune","id":25761632,"num":1,"wgt":200},{"typ":"ug_rune","id":25761732,"num":1,"wgt":200}]}}</v>
      </c>
      <c r="T2632" s="148">
        <f>IFERROR(__xludf.DUMMYFUNCTION("""COMPUTED_VALUE"""),-1.0)</f>
        <v>-1</v>
      </c>
      <c r="U2632" s="148">
        <f>IFERROR(__xludf.DUMMYFUNCTION("""COMPUTED_VALUE"""),1.0)</f>
        <v>1</v>
      </c>
      <c r="V2632" s="148" t="str">
        <f>IFERROR(__xludf.DUMMYFUNCTION("""COMPUTED_VALUE"""),"[]")</f>
        <v>[]</v>
      </c>
      <c r="W2632" s="148">
        <f>IFERROR(__xludf.DUMMYFUNCTION("""COMPUTED_VALUE"""),1.174E7)</f>
        <v>11740000</v>
      </c>
      <c r="X2632" s="148">
        <f>IFERROR(__xludf.DUMMYFUNCTION("""COMPUTED_VALUE"""),0.0)</f>
        <v>0</v>
      </c>
      <c r="Y2632" s="148">
        <f>IFERROR(__xludf.DUMMYFUNCTION("""COMPUTED_VALUE"""),0.0)</f>
        <v>0</v>
      </c>
      <c r="Z2632" s="148"/>
    </row>
    <row r="2633">
      <c r="A2633" s="148">
        <f>IFERROR(__xludf.DUMMYFUNCTION("""COMPUTED_VALUE"""),1.1119584E7)</f>
        <v>11119584</v>
      </c>
      <c r="B2633" s="148" t="str">
        <f>IFERROR(__xludf.DUMMYFUNCTION("""COMPUTED_VALUE"""),"地下世界-2级奇遇符文奖励-kvk4")</f>
        <v>地下世界-2级奇遇符文奖励-kvk4</v>
      </c>
      <c r="C2633" s="148"/>
      <c r="D2633" s="148" t="str">
        <f>IFERROR(__xludf.DUMMYFUNCTION("""COMPUTED_VALUE"""),"item_asset")</f>
        <v>item_asset</v>
      </c>
      <c r="E2633" s="148">
        <f>IFERROR(__xludf.DUMMYFUNCTION("""COMPUTED_VALUE"""),19.0)</f>
        <v>19</v>
      </c>
      <c r="F2633" s="148">
        <f>IFERROR(__xludf.DUMMYFUNCTION("""COMPUTED_VALUE"""),0.0)</f>
        <v>0</v>
      </c>
      <c r="G2633" s="148">
        <f>IFERROR(__xludf.DUMMYFUNCTION("""COMPUTED_VALUE"""),1.51100533E8)</f>
        <v>151100533</v>
      </c>
      <c r="H2633" s="148">
        <f>IFERROR(__xludf.DUMMYFUNCTION("""COMPUTED_VALUE"""),0.0)</f>
        <v>0</v>
      </c>
      <c r="I2633" s="148" t="str">
        <f>IFERROR(__xludf.DUMMYFUNCTION("""COMPUTED_VALUE"""),"{}")</f>
        <v>{}</v>
      </c>
      <c r="J2633" s="148" t="str">
        <f>IFERROR(__xludf.DUMMYFUNCTION("""COMPUTED_VALUE"""),"{""typ"":""lc"",""txt"":""LC_ITEM_uw_randrune_name_5""}")</f>
        <v>{"typ":"lc","txt":"LC_ITEM_uw_randrune_name_5"}</v>
      </c>
      <c r="K2633" s="148" t="str">
        <f>IFERROR(__xludf.DUMMYFUNCTION("""COMPUTED_VALUE"""),"{""typ"":""lc"",""txt"":""LC_ITEM_uw_randrune_desc_5""}")</f>
        <v>{"typ":"lc","txt":"LC_ITEM_uw_randrune_desc_5"}</v>
      </c>
      <c r="L2633" s="148" t="str">
        <f>IFERROR(__xludf.DUMMYFUNCTION("""COMPUTED_VALUE"""),"{}")</f>
        <v>{}</v>
      </c>
      <c r="M2633" s="148">
        <f>IFERROR(__xludf.DUMMYFUNCTION("""COMPUTED_VALUE"""),240.0)</f>
        <v>240</v>
      </c>
      <c r="N2633" s="148">
        <f>IFERROR(__xludf.DUMMYFUNCTION("""COMPUTED_VALUE"""),999999.0)</f>
        <v>999999</v>
      </c>
      <c r="O2633" s="148">
        <f>IFERROR(__xludf.DUMMYFUNCTION("""COMPUTED_VALUE"""),99999.0)</f>
        <v>99999</v>
      </c>
      <c r="P2633" s="148">
        <f>IFERROR(__xludf.DUMMYFUNCTION("""COMPUTED_VALUE"""),9999.0)</f>
        <v>9999</v>
      </c>
      <c r="Q2633" s="148" t="str">
        <f>IFERROR(__xludf.DUMMYFUNCTION("""COMPUTED_VALUE"""),"[]")</f>
        <v>[]</v>
      </c>
      <c r="R2633" s="148" t="str">
        <f>IFERROR(__xludf.DUMMYFUNCTION("""COMPUTED_VALUE"""),"[]")</f>
        <v>[]</v>
      </c>
      <c r="S2633" s="148" t="str">
        <f>IFERROR(__xludf.DUMMYFUNCTION("""COMPUTED_VALUE"""),"{""drop"":{""typ"":""single_random"",""num"":1,""args"":[{""typ"":""ug_rune"",""id"":25760231,""num"":1,""wgt"":100},{""typ"":""ug_rune"",""id"":25760331,""num"":1,""wgt"":100},{""typ"":""ug_rune"",""id"":25760431,""num"":1,""wgt"":100},{""typ"":""ug_rune"&amp;""",""id"":25760531,""num"":1,""wgt"":100},{""typ"":""ug_rune"",""id"":25760631,""num"":1,""wgt"":100},{""typ"":""ug_rune"",""id"":25761031,""num"":1,""wgt"":100},{""typ"":""ug_rune"",""id"":25761331,""num"":1,""wgt"":100},{""typ"":""ug_rune"",""id"":25761"&amp;"631,""num"":1,""wgt"":100},{""typ"":""ug_rune"",""id"":25761731,""num"":1,""wgt"":100},{""typ"":""ug_rune"",""id"":25760232,""num"":1,""wgt"":300},{""typ"":""ug_rune"",""id"":25760332,""num"":1,""wgt"":300},{""typ"":""ug_rune"",""id"":25760432,""num"":1,"&amp;"""wgt"":300},{""typ"":""ug_rune"",""id"":25760632,""num"":1,""wgt"":300},{""typ"":""ug_rune"",""id"":25760732,""num"":1,""wgt"":300},{""typ"":""ug_rune"",""id"":25760832,""num"":1,""wgt"":300},{""typ"":""ug_rune"",""id"":25760932,""num"":1,""wgt"":300},{"&amp;"""typ"":""ug_rune"",""id"":25761032,""num"":1,""wgt"":300},{""typ"":""ug_rune"",""id"":25761332,""num"":1,""wgt"":300},{""typ"":""ug_rune"",""id"":25761632,""num"":1,""wgt"":300},{""typ"":""ug_rune"",""id"":25761732,""num"":1,""wgt"":300},{""typ"":""ug_ru"&amp;"ne"",""id"":25760233,""num"":1,""wgt"":100},{""typ"":""ug_rune"",""id"":25760333,""num"":1,""wgt"":100},{""typ"":""ug_rune"",""id"":25760433,""num"":1,""wgt"":100},{""typ"":""ug_rune"",""id"":25760633,""num"":1,""wgt"":100},{""typ"":""ug_rune"",""id"":257"&amp;"60733,""num"":1,""wgt"":100},{""typ"":""ug_rune"",""id"":25760833,""num"":1,""wgt"":100},{""typ"":""ug_rune"",""id"":25760933,""num"":1,""wgt"":100},{""typ"":""ug_rune"",""id"":25761033,""num"":1,""wgt"":100},{""typ"":""ug_rune"",""id"":25761333,""num"":1"&amp;",""wgt"":100},{""typ"":""ug_rune"",""id"":25761633,""num"":1,""wgt"":100},{""typ"":""ug_rune"",""id"":25761733,""num"":1,""wgt"":100}]}}")</f>
        <v>{"drop":{"typ":"single_random","num":1,"args":[{"typ":"ug_rune","id":25760231,"num":1,"wgt":100},{"typ":"ug_rune","id":25760331,"num":1,"wgt":100},{"typ":"ug_rune","id":25760431,"num":1,"wgt":100},{"typ":"ug_rune","id":25760531,"num":1,"wgt":100},{"typ":"ug_rune","id":25760631,"num":1,"wgt":100},{"typ":"ug_rune","id":25761031,"num":1,"wgt":100},{"typ":"ug_rune","id":25761331,"num":1,"wgt":100},{"typ":"ug_rune","id":25761631,"num":1,"wgt":100},{"typ":"ug_rune","id":25761731,"num":1,"wgt":100},{"typ":"ug_rune","id":25760232,"num":1,"wgt":300},{"typ":"ug_rune","id":25760332,"num":1,"wgt":300},{"typ":"ug_rune","id":25760432,"num":1,"wgt":300},{"typ":"ug_rune","id":25760632,"num":1,"wgt":300},{"typ":"ug_rune","id":25760732,"num":1,"wgt":300},{"typ":"ug_rune","id":25760832,"num":1,"wgt":300},{"typ":"ug_rune","id":25760932,"num":1,"wgt":300},{"typ":"ug_rune","id":25761032,"num":1,"wgt":300},{"typ":"ug_rune","id":25761332,"num":1,"wgt":300},{"typ":"ug_rune","id":25761632,"num":1,"wgt":300},{"typ":"ug_rune","id":25761732,"num":1,"wgt":300},{"typ":"ug_rune","id":25760233,"num":1,"wgt":100},{"typ":"ug_rune","id":25760333,"num":1,"wgt":100},{"typ":"ug_rune","id":25760433,"num":1,"wgt":100},{"typ":"ug_rune","id":25760633,"num":1,"wgt":100},{"typ":"ug_rune","id":25760733,"num":1,"wgt":100},{"typ":"ug_rune","id":25760833,"num":1,"wgt":100},{"typ":"ug_rune","id":25760933,"num":1,"wgt":100},{"typ":"ug_rune","id":25761033,"num":1,"wgt":100},{"typ":"ug_rune","id":25761333,"num":1,"wgt":100},{"typ":"ug_rune","id":25761633,"num":1,"wgt":100},{"typ":"ug_rune","id":25761733,"num":1,"wgt":100}]}}</v>
      </c>
      <c r="T2633" s="148">
        <f>IFERROR(__xludf.DUMMYFUNCTION("""COMPUTED_VALUE"""),-1.0)</f>
        <v>-1</v>
      </c>
      <c r="U2633" s="148">
        <f>IFERROR(__xludf.DUMMYFUNCTION("""COMPUTED_VALUE"""),1.0)</f>
        <v>1</v>
      </c>
      <c r="V2633" s="148" t="str">
        <f>IFERROR(__xludf.DUMMYFUNCTION("""COMPUTED_VALUE"""),"[]")</f>
        <v>[]</v>
      </c>
      <c r="W2633" s="148">
        <f>IFERROR(__xludf.DUMMYFUNCTION("""COMPUTED_VALUE"""),1.174E7)</f>
        <v>11740000</v>
      </c>
      <c r="X2633" s="148">
        <f>IFERROR(__xludf.DUMMYFUNCTION("""COMPUTED_VALUE"""),0.0)</f>
        <v>0</v>
      </c>
      <c r="Y2633" s="148">
        <f>IFERROR(__xludf.DUMMYFUNCTION("""COMPUTED_VALUE"""),0.0)</f>
        <v>0</v>
      </c>
      <c r="Z2633" s="148"/>
    </row>
    <row r="2634">
      <c r="A2634" s="148">
        <f>IFERROR(__xludf.DUMMYFUNCTION("""COMPUTED_VALUE"""),1.1119585E7)</f>
        <v>11119585</v>
      </c>
      <c r="B2634" s="148" t="str">
        <f>IFERROR(__xludf.DUMMYFUNCTION("""COMPUTED_VALUE"""),"地下世界-3级奇遇符文奖励-kvk4")</f>
        <v>地下世界-3级奇遇符文奖励-kvk4</v>
      </c>
      <c r="C2634" s="148"/>
      <c r="D2634" s="148" t="str">
        <f>IFERROR(__xludf.DUMMYFUNCTION("""COMPUTED_VALUE"""),"item_asset")</f>
        <v>item_asset</v>
      </c>
      <c r="E2634" s="148">
        <f>IFERROR(__xludf.DUMMYFUNCTION("""COMPUTED_VALUE"""),19.0)</f>
        <v>19</v>
      </c>
      <c r="F2634" s="148">
        <f>IFERROR(__xludf.DUMMYFUNCTION("""COMPUTED_VALUE"""),0.0)</f>
        <v>0</v>
      </c>
      <c r="G2634" s="148">
        <f>IFERROR(__xludf.DUMMYFUNCTION("""COMPUTED_VALUE"""),1.51100534E8)</f>
        <v>151100534</v>
      </c>
      <c r="H2634" s="148">
        <f>IFERROR(__xludf.DUMMYFUNCTION("""COMPUTED_VALUE"""),0.0)</f>
        <v>0</v>
      </c>
      <c r="I2634" s="148" t="str">
        <f>IFERROR(__xludf.DUMMYFUNCTION("""COMPUTED_VALUE"""),"{}")</f>
        <v>{}</v>
      </c>
      <c r="J2634" s="148" t="str">
        <f>IFERROR(__xludf.DUMMYFUNCTION("""COMPUTED_VALUE"""),"{""typ"":""lc"",""txt"":""LC_ITEM_uw_randrune_name_6""}")</f>
        <v>{"typ":"lc","txt":"LC_ITEM_uw_randrune_name_6"}</v>
      </c>
      <c r="K2634" s="148" t="str">
        <f>IFERROR(__xludf.DUMMYFUNCTION("""COMPUTED_VALUE"""),"{""typ"":""lc"",""txt"":""LC_ITEM_uw_randrune_desc_6""}")</f>
        <v>{"typ":"lc","txt":"LC_ITEM_uw_randrune_desc_6"}</v>
      </c>
      <c r="L2634" s="148" t="str">
        <f>IFERROR(__xludf.DUMMYFUNCTION("""COMPUTED_VALUE"""),"{}")</f>
        <v>{}</v>
      </c>
      <c r="M2634" s="148">
        <f>IFERROR(__xludf.DUMMYFUNCTION("""COMPUTED_VALUE"""),240.0)</f>
        <v>240</v>
      </c>
      <c r="N2634" s="148">
        <f>IFERROR(__xludf.DUMMYFUNCTION("""COMPUTED_VALUE"""),999999.0)</f>
        <v>999999</v>
      </c>
      <c r="O2634" s="148">
        <f>IFERROR(__xludf.DUMMYFUNCTION("""COMPUTED_VALUE"""),99999.0)</f>
        <v>99999</v>
      </c>
      <c r="P2634" s="148">
        <f>IFERROR(__xludf.DUMMYFUNCTION("""COMPUTED_VALUE"""),9999.0)</f>
        <v>9999</v>
      </c>
      <c r="Q2634" s="148" t="str">
        <f>IFERROR(__xludf.DUMMYFUNCTION("""COMPUTED_VALUE"""),"[]")</f>
        <v>[]</v>
      </c>
      <c r="R2634" s="148" t="str">
        <f>IFERROR(__xludf.DUMMYFUNCTION("""COMPUTED_VALUE"""),"[]")</f>
        <v>[]</v>
      </c>
      <c r="S2634" s="148" t="str">
        <f>IFERROR(__xludf.DUMMYFUNCTION("""COMPUTED_VALUE"""),"{""drop"":{""typ"":""single_random"",""num"":1,""args"":[{""typ"":""ug_rune"",""id"":25760232,""num"":1,""wgt"":100},{""typ"":""ug_rune"",""id"":25760332,""num"":1,""wgt"":100},{""typ"":""ug_rune"",""id"":25760432,""num"":1,""wgt"":100},{""typ"":""ug_rune"&amp;""",""id"":25760632,""num"":1,""wgt"":100},{""typ"":""ug_rune"",""id"":25760732,""num"":1,""wgt"":100},{""typ"":""ug_rune"",""id"":25760832,""num"":1,""wgt"":100},{""typ"":""ug_rune"",""id"":25760932,""num"":1,""wgt"":100},{""typ"":""ug_rune"",""id"":25761"&amp;"032,""num"":1,""wgt"":100},{""typ"":""ug_rune"",""id"":25761332,""num"":1,""wgt"":100},{""typ"":""ug_rune"",""id"":25761632,""num"":1,""wgt"":100},{""typ"":""ug_rune"",""id"":25761732,""num"":1,""wgt"":100},{""typ"":""ug_rune"",""id"":25760233,""num"":1,"&amp;"""wgt"":100},{""typ"":""ug_rune"",""id"":25760333,""num"":1,""wgt"":100},{""typ"":""ug_rune"",""id"":25760433,""num"":1,""wgt"":100},{""typ"":""ug_rune"",""id"":25760633,""num"":1,""wgt"":100},{""typ"":""ug_rune"",""id"":25760733,""num"":1,""wgt"":100},{"&amp;"""typ"":""ug_rune"",""id"":25760833,""num"":1,""wgt"":100},{""typ"":""ug_rune"",""id"":25760933,""num"":1,""wgt"":100},{""typ"":""ug_rune"",""id"":25761033,""num"":1,""wgt"":100},{""typ"":""ug_rune"",""id"":25761333,""num"":1,""wgt"":100},{""typ"":""ug_ru"&amp;"ne"",""id"":25761633,""num"":1,""wgt"":100},{""typ"":""ug_rune"",""id"":25761733,""num"":1,""wgt"":100}]}}")</f>
        <v>{"drop":{"typ":"single_random","num":1,"args":[{"typ":"ug_rune","id":25760232,"num":1,"wgt":100},{"typ":"ug_rune","id":25760332,"num":1,"wgt":100},{"typ":"ug_rune","id":25760432,"num":1,"wgt":100},{"typ":"ug_rune","id":25760632,"num":1,"wgt":100},{"typ":"ug_rune","id":25760732,"num":1,"wgt":100},{"typ":"ug_rune","id":25760832,"num":1,"wgt":100},{"typ":"ug_rune","id":25760932,"num":1,"wgt":100},{"typ":"ug_rune","id":25761032,"num":1,"wgt":100},{"typ":"ug_rune","id":25761332,"num":1,"wgt":100},{"typ":"ug_rune","id":25761632,"num":1,"wgt":100},{"typ":"ug_rune","id":25761732,"num":1,"wgt":100},{"typ":"ug_rune","id":25760233,"num":1,"wgt":100},{"typ":"ug_rune","id":25760333,"num":1,"wgt":100},{"typ":"ug_rune","id":25760433,"num":1,"wgt":100},{"typ":"ug_rune","id":25760633,"num":1,"wgt":100},{"typ":"ug_rune","id":25760733,"num":1,"wgt":100},{"typ":"ug_rune","id":25760833,"num":1,"wgt":100},{"typ":"ug_rune","id":25760933,"num":1,"wgt":100},{"typ":"ug_rune","id":25761033,"num":1,"wgt":100},{"typ":"ug_rune","id":25761333,"num":1,"wgt":100},{"typ":"ug_rune","id":25761633,"num":1,"wgt":100},{"typ":"ug_rune","id":25761733,"num":1,"wgt":100}]}}</v>
      </c>
      <c r="T2634" s="148">
        <f>IFERROR(__xludf.DUMMYFUNCTION("""COMPUTED_VALUE"""),-1.0)</f>
        <v>-1</v>
      </c>
      <c r="U2634" s="148">
        <f>IFERROR(__xludf.DUMMYFUNCTION("""COMPUTED_VALUE"""),1.0)</f>
        <v>1</v>
      </c>
      <c r="V2634" s="148" t="str">
        <f>IFERROR(__xludf.DUMMYFUNCTION("""COMPUTED_VALUE"""),"[]")</f>
        <v>[]</v>
      </c>
      <c r="W2634" s="148">
        <f>IFERROR(__xludf.DUMMYFUNCTION("""COMPUTED_VALUE"""),1.174E7)</f>
        <v>11740000</v>
      </c>
      <c r="X2634" s="148">
        <f>IFERROR(__xludf.DUMMYFUNCTION("""COMPUTED_VALUE"""),0.0)</f>
        <v>0</v>
      </c>
      <c r="Y2634" s="148">
        <f>IFERROR(__xludf.DUMMYFUNCTION("""COMPUTED_VALUE"""),0.0)</f>
        <v>0</v>
      </c>
      <c r="Z2634" s="148"/>
    </row>
    <row r="2635">
      <c r="A2635" s="148">
        <f>IFERROR(__xludf.DUMMYFUNCTION("""COMPUTED_VALUE"""),1.1119586E7)</f>
        <v>11119586</v>
      </c>
      <c r="B2635" s="148" t="str">
        <f>IFERROR(__xludf.DUMMYFUNCTION("""COMPUTED_VALUE"""),"地下世界-4级奇遇符文奖励-kvk4")</f>
        <v>地下世界-4级奇遇符文奖励-kvk4</v>
      </c>
      <c r="C2635" s="148"/>
      <c r="D2635" s="148" t="str">
        <f>IFERROR(__xludf.DUMMYFUNCTION("""COMPUTED_VALUE"""),"item_asset")</f>
        <v>item_asset</v>
      </c>
      <c r="E2635" s="148">
        <f>IFERROR(__xludf.DUMMYFUNCTION("""COMPUTED_VALUE"""),19.0)</f>
        <v>19</v>
      </c>
      <c r="F2635" s="148">
        <f>IFERROR(__xludf.DUMMYFUNCTION("""COMPUTED_VALUE"""),0.0)</f>
        <v>0</v>
      </c>
      <c r="G2635" s="148">
        <f>IFERROR(__xludf.DUMMYFUNCTION("""COMPUTED_VALUE"""),1.51100535E8)</f>
        <v>151100535</v>
      </c>
      <c r="H2635" s="148">
        <f>IFERROR(__xludf.DUMMYFUNCTION("""COMPUTED_VALUE"""),0.0)</f>
        <v>0</v>
      </c>
      <c r="I2635" s="148" t="str">
        <f>IFERROR(__xludf.DUMMYFUNCTION("""COMPUTED_VALUE"""),"{}")</f>
        <v>{}</v>
      </c>
      <c r="J2635" s="148" t="str">
        <f>IFERROR(__xludf.DUMMYFUNCTION("""COMPUTED_VALUE"""),"{""typ"":""lc"",""txt"":""LC_ITEM_uw_randrune_name_7""}")</f>
        <v>{"typ":"lc","txt":"LC_ITEM_uw_randrune_name_7"}</v>
      </c>
      <c r="K2635" s="148" t="str">
        <f>IFERROR(__xludf.DUMMYFUNCTION("""COMPUTED_VALUE"""),"{""typ"":""lc"",""txt"":""LC_ITEM_uw_randrune_desc_7""}")</f>
        <v>{"typ":"lc","txt":"LC_ITEM_uw_randrune_desc_7"}</v>
      </c>
      <c r="L2635" s="148" t="str">
        <f>IFERROR(__xludf.DUMMYFUNCTION("""COMPUTED_VALUE"""),"{}")</f>
        <v>{}</v>
      </c>
      <c r="M2635" s="148">
        <f>IFERROR(__xludf.DUMMYFUNCTION("""COMPUTED_VALUE"""),240.0)</f>
        <v>240</v>
      </c>
      <c r="N2635" s="148">
        <f>IFERROR(__xludf.DUMMYFUNCTION("""COMPUTED_VALUE"""),999999.0)</f>
        <v>999999</v>
      </c>
      <c r="O2635" s="148">
        <f>IFERROR(__xludf.DUMMYFUNCTION("""COMPUTED_VALUE"""),99999.0)</f>
        <v>99999</v>
      </c>
      <c r="P2635" s="148">
        <f>IFERROR(__xludf.DUMMYFUNCTION("""COMPUTED_VALUE"""),9999.0)</f>
        <v>9999</v>
      </c>
      <c r="Q2635" s="148" t="str">
        <f>IFERROR(__xludf.DUMMYFUNCTION("""COMPUTED_VALUE"""),"[]")</f>
        <v>[]</v>
      </c>
      <c r="R2635" s="148" t="str">
        <f>IFERROR(__xludf.DUMMYFUNCTION("""COMPUTED_VALUE"""),"[]")</f>
        <v>[]</v>
      </c>
      <c r="S2635" s="148" t="str">
        <f>IFERROR(__xludf.DUMMYFUNCTION("""COMPUTED_VALUE"""),"{""drop"":{""typ"":""single_random"",""num"":1,""args"":[{""typ"":""ug_rune"",""id"":25760233,""num"":1,""wgt"":100},{""typ"":""ug_rune"",""id"":25760333,""num"":1,""wgt"":100},{""typ"":""ug_rune"",""id"":25760433,""num"":1,""wgt"":100},{""typ"":""ug_rune"&amp;""",""id"":25760633,""num"":1,""wgt"":100},{""typ"":""ug_rune"",""id"":25760733,""num"":1,""wgt"":100},{""typ"":""ug_rune"",""id"":25760833,""num"":1,""wgt"":100},{""typ"":""ug_rune"",""id"":25760933,""num"":1,""wgt"":100},{""typ"":""ug_rune"",""id"":25761"&amp;"033,""num"":1,""wgt"":100},{""typ"":""ug_rune"",""id"":25761333,""num"":1,""wgt"":100},{""typ"":""ug_rune"",""id"":25761633,""num"":1,""wgt"":100},{""typ"":""ug_rune"",""id"":25761733,""num"":1,""wgt"":100}]}}")</f>
        <v>{"drop":{"typ":"single_random","num":1,"args":[{"typ":"ug_rune","id":25760233,"num":1,"wgt":100},{"typ":"ug_rune","id":25760333,"num":1,"wgt":100},{"typ":"ug_rune","id":25760433,"num":1,"wgt":100},{"typ":"ug_rune","id":25760633,"num":1,"wgt":100},{"typ":"ug_rune","id":25760733,"num":1,"wgt":100},{"typ":"ug_rune","id":25760833,"num":1,"wgt":100},{"typ":"ug_rune","id":25760933,"num":1,"wgt":100},{"typ":"ug_rune","id":25761033,"num":1,"wgt":100},{"typ":"ug_rune","id":25761333,"num":1,"wgt":100},{"typ":"ug_rune","id":25761633,"num":1,"wgt":100},{"typ":"ug_rune","id":25761733,"num":1,"wgt":100}]}}</v>
      </c>
      <c r="T2635" s="148">
        <f>IFERROR(__xludf.DUMMYFUNCTION("""COMPUTED_VALUE"""),-1.0)</f>
        <v>-1</v>
      </c>
      <c r="U2635" s="148">
        <f>IFERROR(__xludf.DUMMYFUNCTION("""COMPUTED_VALUE"""),1.0)</f>
        <v>1</v>
      </c>
      <c r="V2635" s="148" t="str">
        <f>IFERROR(__xludf.DUMMYFUNCTION("""COMPUTED_VALUE"""),"[]")</f>
        <v>[]</v>
      </c>
      <c r="W2635" s="148">
        <f>IFERROR(__xludf.DUMMYFUNCTION("""COMPUTED_VALUE"""),1.174E7)</f>
        <v>11740000</v>
      </c>
      <c r="X2635" s="148">
        <f>IFERROR(__xludf.DUMMYFUNCTION("""COMPUTED_VALUE"""),0.0)</f>
        <v>0</v>
      </c>
      <c r="Y2635" s="148">
        <f>IFERROR(__xludf.DUMMYFUNCTION("""COMPUTED_VALUE"""),0.0)</f>
        <v>0</v>
      </c>
      <c r="Z2635" s="148"/>
    </row>
    <row r="2636">
      <c r="A2636" s="148">
        <f>IFERROR(__xludf.DUMMYFUNCTION("""COMPUTED_VALUE"""),1.1119587E7)</f>
        <v>11119587</v>
      </c>
      <c r="B2636" s="148" t="str">
        <f>IFERROR(__xludf.DUMMYFUNCTION("""COMPUTED_VALUE"""),"主城皮肤-深海节2025-鲸鱼")</f>
        <v>主城皮肤-深海节2025-鲸鱼</v>
      </c>
      <c r="C2636" s="148"/>
      <c r="D2636" s="148" t="str">
        <f>IFERROR(__xludf.DUMMYFUNCTION("""COMPUTED_VALUE"""),"city_skin")</f>
        <v>city_skin</v>
      </c>
      <c r="E2636" s="148">
        <f>IFERROR(__xludf.DUMMYFUNCTION("""COMPUTED_VALUE"""),21.0)</f>
        <v>21</v>
      </c>
      <c r="F2636" s="148">
        <f>IFERROR(__xludf.DUMMYFUNCTION("""COMPUTED_VALUE"""),499996.0)</f>
        <v>499996</v>
      </c>
      <c r="G2636" s="148">
        <f>IFERROR(__xludf.DUMMYFUNCTION("""COMPUTED_VALUE"""),1.51102124E8)</f>
        <v>151102124</v>
      </c>
      <c r="H2636" s="148">
        <f>IFERROR(__xludf.DUMMYFUNCTION("""COMPUTED_VALUE"""),1.5112564E7)</f>
        <v>15112564</v>
      </c>
      <c r="I2636" s="148" t="str">
        <f>IFERROR(__xludf.DUMMYFUNCTION("""COMPUTED_VALUE"""),"{}")</f>
        <v>{}</v>
      </c>
      <c r="J2636" s="148" t="str">
        <f>IFERROR(__xludf.DUMMYFUNCTION("""COMPUTED_VALUE"""),"{""typ"":""lc"",""txt"":""LC_ITEM_sea_2025_city_1_name""}")</f>
        <v>{"typ":"lc","txt":"LC_ITEM_sea_2025_city_1_name"}</v>
      </c>
      <c r="K2636" s="148" t="str">
        <f>IFERROR(__xludf.DUMMYFUNCTION("""COMPUTED_VALUE"""),"{""typ"":""lc"",""txt"":""LC_ITEM_sea_2025_city_1_desc""}")</f>
        <v>{"typ":"lc","txt":"LC_ITEM_sea_2025_city_1_desc"}</v>
      </c>
      <c r="L2636" s="148" t="str">
        <f>IFERROR(__xludf.DUMMYFUNCTION("""COMPUTED_VALUE"""),"{""typ"":""lc"",""txt"":""LC_ASSET_suit_actived_tips_1""}")</f>
        <v>{"typ":"lc","txt":"LC_ASSET_suit_actived_tips_1"}</v>
      </c>
      <c r="M2636" s="148">
        <f>IFERROR(__xludf.DUMMYFUNCTION("""COMPUTED_VALUE"""),10000.0)</f>
        <v>10000</v>
      </c>
      <c r="N2636" s="148">
        <f>IFERROR(__xludf.DUMMYFUNCTION("""COMPUTED_VALUE"""),999.0)</f>
        <v>999</v>
      </c>
      <c r="O2636" s="148">
        <f>IFERROR(__xludf.DUMMYFUNCTION("""COMPUTED_VALUE"""),1.0)</f>
        <v>1</v>
      </c>
      <c r="P2636" s="148">
        <f>IFERROR(__xludf.DUMMYFUNCTION("""COMPUTED_VALUE"""),1.0)</f>
        <v>1</v>
      </c>
      <c r="Q2636" s="148" t="str">
        <f>IFERROR(__xludf.DUMMYFUNCTION("""COMPUTED_VALUE"""),"[""bag_other""]")</f>
        <v>["bag_other"]</v>
      </c>
      <c r="R2636" s="148" t="str">
        <f>IFERROR(__xludf.DUMMYFUNCTION("""COMPUTED_VALUE"""),"[""bag"",""13121071""]")</f>
        <v>["bag","13121071"]</v>
      </c>
      <c r="S2636" s="148" t="str">
        <f>IFERROR(__xludf.DUMMYFUNCTION("""COMPUTED_VALUE"""),"{""effect"":[{""typ"":""city_skin"",""id"":13121071,""val"":-1},{""typ"":""item"",""id"":11112030,""val"":2000}]}")</f>
        <v>{"effect":[{"typ":"city_skin","id":13121071,"val":-1},{"typ":"item","id":11112030,"val":2000}]}</v>
      </c>
      <c r="T2636" s="148">
        <f>IFERROR(__xludf.DUMMYFUNCTION("""COMPUTED_VALUE"""),-1.0)</f>
        <v>-1</v>
      </c>
      <c r="U2636" s="148">
        <f>IFERROR(__xludf.DUMMYFUNCTION("""COMPUTED_VALUE"""),0.0)</f>
        <v>0</v>
      </c>
      <c r="V2636" s="148" t="str">
        <f>IFERROR(__xludf.DUMMYFUNCTION("""COMPUTED_VALUE"""),"[]")</f>
        <v>[]</v>
      </c>
      <c r="W2636" s="148">
        <f>IFERROR(__xludf.DUMMYFUNCTION("""COMPUTED_VALUE"""),1.174E7)</f>
        <v>11740000</v>
      </c>
      <c r="X2636" s="148">
        <f>IFERROR(__xludf.DUMMYFUNCTION("""COMPUTED_VALUE"""),0.0)</f>
        <v>0</v>
      </c>
      <c r="Y2636" s="148">
        <f>IFERROR(__xludf.DUMMYFUNCTION("""COMPUTED_VALUE"""),0.0)</f>
        <v>0</v>
      </c>
      <c r="Z2636" s="148"/>
    </row>
    <row r="2637">
      <c r="A2637" s="148">
        <f>IFERROR(__xludf.DUMMYFUNCTION("""COMPUTED_VALUE"""),1.1119588E7)</f>
        <v>11119588</v>
      </c>
      <c r="B2637" s="148" t="str">
        <f>IFERROR(__xludf.DUMMYFUNCTION("""COMPUTED_VALUE"""),"主城皮肤-深海节2025-2天")</f>
        <v>主城皮肤-深海节2025-2天</v>
      </c>
      <c r="C2637" s="148"/>
      <c r="D2637" s="148" t="str">
        <f>IFERROR(__xludf.DUMMYFUNCTION("""COMPUTED_VALUE"""),"city_skin")</f>
        <v>city_skin</v>
      </c>
      <c r="E2637" s="148">
        <f>IFERROR(__xludf.DUMMYFUNCTION("""COMPUTED_VALUE"""),21.0)</f>
        <v>21</v>
      </c>
      <c r="F2637" s="148">
        <f>IFERROR(__xludf.DUMMYFUNCTION("""COMPUTED_VALUE"""),499941.0)</f>
        <v>499941</v>
      </c>
      <c r="G2637" s="148">
        <f>IFERROR(__xludf.DUMMYFUNCTION("""COMPUTED_VALUE"""),1.51102124E8)</f>
        <v>151102124</v>
      </c>
      <c r="H2637" s="148">
        <f>IFERROR(__xludf.DUMMYFUNCTION("""COMPUTED_VALUE"""),1.5112563E7)</f>
        <v>15112563</v>
      </c>
      <c r="I2637" s="148" t="str">
        <f>IFERROR(__xludf.DUMMYFUNCTION("""COMPUTED_VALUE"""),"{""typ"":""lc"",""txt"":""LC_ITEM_time_day_upper_show"",""args"":[{""typ"":""int"",""val"":2}]}")</f>
        <v>{"typ":"lc","txt":"LC_ITEM_time_day_upper_show","args":[{"typ":"int","val":2}]}</v>
      </c>
      <c r="J2637" s="148" t="str">
        <f>IFERROR(__xludf.DUMMYFUNCTION("""COMPUTED_VALUE"""),"{""typ"":""lc"",""txt"":""LC_ITEM_sea_2025_city_1_name_2day""}")</f>
        <v>{"typ":"lc","txt":"LC_ITEM_sea_2025_city_1_name_2day"}</v>
      </c>
      <c r="K2637" s="148" t="str">
        <f>IFERROR(__xludf.DUMMYFUNCTION("""COMPUTED_VALUE"""),"{""typ"":""lc"",""txt"":""LC_ITEM_sea_2025_city_1_desc_2day""}")</f>
        <v>{"typ":"lc","txt":"LC_ITEM_sea_2025_city_1_desc_2day"}</v>
      </c>
      <c r="L2637" s="148" t="str">
        <f>IFERROR(__xludf.DUMMYFUNCTION("""COMPUTED_VALUE"""),"{""typ"":""lc"",""txt"":""LC_ASSET_suit_actived_tips_1""}")</f>
        <v>{"typ":"lc","txt":"LC_ASSET_suit_actived_tips_1"}</v>
      </c>
      <c r="M2637" s="148">
        <f>IFERROR(__xludf.DUMMYFUNCTION("""COMPUTED_VALUE"""),500.0)</f>
        <v>500</v>
      </c>
      <c r="N2637" s="148">
        <f>IFERROR(__xludf.DUMMYFUNCTION("""COMPUTED_VALUE"""),999.0)</f>
        <v>999</v>
      </c>
      <c r="O2637" s="148">
        <f>IFERROR(__xludf.DUMMYFUNCTION("""COMPUTED_VALUE"""),1.0)</f>
        <v>1</v>
      </c>
      <c r="P2637" s="148">
        <f>IFERROR(__xludf.DUMMYFUNCTION("""COMPUTED_VALUE"""),1.0)</f>
        <v>1</v>
      </c>
      <c r="Q2637" s="148" t="str">
        <f>IFERROR(__xludf.DUMMYFUNCTION("""COMPUTED_VALUE"""),"[""bag_other""]")</f>
        <v>["bag_other"]</v>
      </c>
      <c r="R2637" s="148" t="str">
        <f>IFERROR(__xludf.DUMMYFUNCTION("""COMPUTED_VALUE"""),"[""bag"",""13121071""]")</f>
        <v>["bag","13121071"]</v>
      </c>
      <c r="S2637" s="148" t="str">
        <f>IFERROR(__xludf.DUMMYFUNCTION("""COMPUTED_VALUE"""),"{""effect"":[{""typ"":""city_skin"",""id"":13121071,""val"":172800000},{""typ"":""item"",""id"":11111021,""val"":1}]}")</f>
        <v>{"effect":[{"typ":"city_skin","id":13121071,"val":172800000},{"typ":"item","id":11111021,"val":1}]}</v>
      </c>
      <c r="T2637" s="148">
        <f>IFERROR(__xludf.DUMMYFUNCTION("""COMPUTED_VALUE"""),-1.0)</f>
        <v>-1</v>
      </c>
      <c r="U2637" s="148">
        <f>IFERROR(__xludf.DUMMYFUNCTION("""COMPUTED_VALUE"""),0.0)</f>
        <v>0</v>
      </c>
      <c r="V2637" s="148" t="str">
        <f>IFERROR(__xludf.DUMMYFUNCTION("""COMPUTED_VALUE"""),"[]")</f>
        <v>[]</v>
      </c>
      <c r="W2637" s="148">
        <f>IFERROR(__xludf.DUMMYFUNCTION("""COMPUTED_VALUE"""),1.174E7)</f>
        <v>11740000</v>
      </c>
      <c r="X2637" s="148">
        <f>IFERROR(__xludf.DUMMYFUNCTION("""COMPUTED_VALUE"""),0.0)</f>
        <v>0</v>
      </c>
      <c r="Y2637" s="148">
        <f>IFERROR(__xludf.DUMMYFUNCTION("""COMPUTED_VALUE"""),0.0)</f>
        <v>0</v>
      </c>
      <c r="Z2637" s="148"/>
    </row>
    <row r="2638">
      <c r="A2638" s="148">
        <f>IFERROR(__xludf.DUMMYFUNCTION("""COMPUTED_VALUE"""),1.1119589E7)</f>
        <v>11119589</v>
      </c>
      <c r="B2638" s="148" t="str">
        <f>IFERROR(__xludf.DUMMYFUNCTION("""COMPUTED_VALUE"""),"主城皮肤-深海节2025-7天")</f>
        <v>主城皮肤-深海节2025-7天</v>
      </c>
      <c r="C2638" s="148"/>
      <c r="D2638" s="148" t="str">
        <f>IFERROR(__xludf.DUMMYFUNCTION("""COMPUTED_VALUE"""),"city_skin")</f>
        <v>city_skin</v>
      </c>
      <c r="E2638" s="148">
        <f>IFERROR(__xludf.DUMMYFUNCTION("""COMPUTED_VALUE"""),21.0)</f>
        <v>21</v>
      </c>
      <c r="F2638" s="148">
        <f>IFERROR(__xludf.DUMMYFUNCTION("""COMPUTED_VALUE"""),499951.0)</f>
        <v>499951</v>
      </c>
      <c r="G2638" s="148">
        <f>IFERROR(__xludf.DUMMYFUNCTION("""COMPUTED_VALUE"""),1.51102124E8)</f>
        <v>151102124</v>
      </c>
      <c r="H2638" s="148">
        <f>IFERROR(__xludf.DUMMYFUNCTION("""COMPUTED_VALUE"""),1.5112564E7)</f>
        <v>15112564</v>
      </c>
      <c r="I2638" s="148" t="str">
        <f>IFERROR(__xludf.DUMMYFUNCTION("""COMPUTED_VALUE"""),"{""typ"":""lc"",""txt"":""LC_ITEM_time_day_upper_show"",""args"":[{""typ"":""int"",""val"":7}]}")</f>
        <v>{"typ":"lc","txt":"LC_ITEM_time_day_upper_show","args":[{"typ":"int","val":7}]}</v>
      </c>
      <c r="J2638" s="148" t="str">
        <f>IFERROR(__xludf.DUMMYFUNCTION("""COMPUTED_VALUE"""),"{""typ"":""lc"",""txt"":""LC_ITEM_sea_2025_city_1_name_7day""}")</f>
        <v>{"typ":"lc","txt":"LC_ITEM_sea_2025_city_1_name_7day"}</v>
      </c>
      <c r="K2638" s="148" t="str">
        <f>IFERROR(__xludf.DUMMYFUNCTION("""COMPUTED_VALUE"""),"{""typ"":""lc"",""txt"":""LC_ITEM_sea_2025_city_1_desc_7day""}")</f>
        <v>{"typ":"lc","txt":"LC_ITEM_sea_2025_city_1_desc_7day"}</v>
      </c>
      <c r="L2638" s="148" t="str">
        <f>IFERROR(__xludf.DUMMYFUNCTION("""COMPUTED_VALUE"""),"{""typ"":""lc"",""txt"":""LC_ASSET_suit_actived_tips_1""}")</f>
        <v>{"typ":"lc","txt":"LC_ASSET_suit_actived_tips_1"}</v>
      </c>
      <c r="M2638" s="148">
        <f>IFERROR(__xludf.DUMMYFUNCTION("""COMPUTED_VALUE"""),10000.0)</f>
        <v>10000</v>
      </c>
      <c r="N2638" s="148">
        <f>IFERROR(__xludf.DUMMYFUNCTION("""COMPUTED_VALUE"""),999.0)</f>
        <v>999</v>
      </c>
      <c r="O2638" s="148">
        <f>IFERROR(__xludf.DUMMYFUNCTION("""COMPUTED_VALUE"""),1.0)</f>
        <v>1</v>
      </c>
      <c r="P2638" s="148">
        <f>IFERROR(__xludf.DUMMYFUNCTION("""COMPUTED_VALUE"""),1.0)</f>
        <v>1</v>
      </c>
      <c r="Q2638" s="148" t="str">
        <f>IFERROR(__xludf.DUMMYFUNCTION("""COMPUTED_VALUE"""),"[""bag_other""]")</f>
        <v>["bag_other"]</v>
      </c>
      <c r="R2638" s="148" t="str">
        <f>IFERROR(__xludf.DUMMYFUNCTION("""COMPUTED_VALUE"""),"[""bag"",""13121071""]")</f>
        <v>["bag","13121071"]</v>
      </c>
      <c r="S2638" s="148" t="str">
        <f>IFERROR(__xludf.DUMMYFUNCTION("""COMPUTED_VALUE"""),"{""effect"":[{""typ"":""city_skin"",""id"":13121071,""val"":604800000},{""typ"":""item"",""id"":11111021,""val"":3}]}")</f>
        <v>{"effect":[{"typ":"city_skin","id":13121071,"val":604800000},{"typ":"item","id":11111021,"val":3}]}</v>
      </c>
      <c r="T2638" s="148">
        <f>IFERROR(__xludf.DUMMYFUNCTION("""COMPUTED_VALUE"""),-1.0)</f>
        <v>-1</v>
      </c>
      <c r="U2638" s="148">
        <f>IFERROR(__xludf.DUMMYFUNCTION("""COMPUTED_VALUE"""),0.0)</f>
        <v>0</v>
      </c>
      <c r="V2638" s="148" t="str">
        <f>IFERROR(__xludf.DUMMYFUNCTION("""COMPUTED_VALUE"""),"[]")</f>
        <v>[]</v>
      </c>
      <c r="W2638" s="148">
        <f>IFERROR(__xludf.DUMMYFUNCTION("""COMPUTED_VALUE"""),1.174E7)</f>
        <v>11740000</v>
      </c>
      <c r="X2638" s="148">
        <f>IFERROR(__xludf.DUMMYFUNCTION("""COMPUTED_VALUE"""),0.0)</f>
        <v>0</v>
      </c>
      <c r="Y2638" s="148">
        <f>IFERROR(__xludf.DUMMYFUNCTION("""COMPUTED_VALUE"""),0.0)</f>
        <v>0</v>
      </c>
      <c r="Z2638" s="148"/>
    </row>
    <row r="2639">
      <c r="A2639" s="148">
        <f>IFERROR(__xludf.DUMMYFUNCTION("""COMPUTED_VALUE"""),1.111959E7)</f>
        <v>11119590</v>
      </c>
      <c r="B2639" s="148" t="str">
        <f>IFERROR(__xludf.DUMMYFUNCTION("""COMPUTED_VALUE"""),"主城皮肤-深海节2025-14天")</f>
        <v>主城皮肤-深海节2025-14天</v>
      </c>
      <c r="C2639" s="148"/>
      <c r="D2639" s="148" t="str">
        <f>IFERROR(__xludf.DUMMYFUNCTION("""COMPUTED_VALUE"""),"city_skin")</f>
        <v>city_skin</v>
      </c>
      <c r="E2639" s="148">
        <f>IFERROR(__xludf.DUMMYFUNCTION("""COMPUTED_VALUE"""),21.0)</f>
        <v>21</v>
      </c>
      <c r="F2639" s="148">
        <f>IFERROR(__xludf.DUMMYFUNCTION("""COMPUTED_VALUE"""),499961.0)</f>
        <v>499961</v>
      </c>
      <c r="G2639" s="148">
        <f>IFERROR(__xludf.DUMMYFUNCTION("""COMPUTED_VALUE"""),1.51102124E8)</f>
        <v>151102124</v>
      </c>
      <c r="H2639" s="148">
        <f>IFERROR(__xludf.DUMMYFUNCTION("""COMPUTED_VALUE"""),1.5112564E7)</f>
        <v>15112564</v>
      </c>
      <c r="I2639" s="148" t="str">
        <f>IFERROR(__xludf.DUMMYFUNCTION("""COMPUTED_VALUE"""),"{""typ"":""lc"",""txt"":""LC_ITEM_time_day_upper_show"",""args"":[{""typ"":""int"",""val"":14}]}")</f>
        <v>{"typ":"lc","txt":"LC_ITEM_time_day_upper_show","args":[{"typ":"int","val":14}]}</v>
      </c>
      <c r="J2639" s="148" t="str">
        <f>IFERROR(__xludf.DUMMYFUNCTION("""COMPUTED_VALUE"""),"{""typ"":""lc"",""txt"":""LC_ITEM_sea_2025_city_1_name_14day""}")</f>
        <v>{"typ":"lc","txt":"LC_ITEM_sea_2025_city_1_name_14day"}</v>
      </c>
      <c r="K2639" s="148" t="str">
        <f>IFERROR(__xludf.DUMMYFUNCTION("""COMPUTED_VALUE"""),"{""typ"":""lc"",""txt"":""LC_ITEM_sea_2025_city_1_desc_14day""}")</f>
        <v>{"typ":"lc","txt":"LC_ITEM_sea_2025_city_1_desc_14day"}</v>
      </c>
      <c r="L2639" s="148" t="str">
        <f>IFERROR(__xludf.DUMMYFUNCTION("""COMPUTED_VALUE"""),"{""typ"":""lc"",""txt"":""LC_ASSET_suit_actived_tips_1""}")</f>
        <v>{"typ":"lc","txt":"LC_ASSET_suit_actived_tips_1"}</v>
      </c>
      <c r="M2639" s="148">
        <f>IFERROR(__xludf.DUMMYFUNCTION("""COMPUTED_VALUE"""),10000.0)</f>
        <v>10000</v>
      </c>
      <c r="N2639" s="148">
        <f>IFERROR(__xludf.DUMMYFUNCTION("""COMPUTED_VALUE"""),999.0)</f>
        <v>999</v>
      </c>
      <c r="O2639" s="148">
        <f>IFERROR(__xludf.DUMMYFUNCTION("""COMPUTED_VALUE"""),1.0)</f>
        <v>1</v>
      </c>
      <c r="P2639" s="148">
        <f>IFERROR(__xludf.DUMMYFUNCTION("""COMPUTED_VALUE"""),1.0)</f>
        <v>1</v>
      </c>
      <c r="Q2639" s="148" t="str">
        <f>IFERROR(__xludf.DUMMYFUNCTION("""COMPUTED_VALUE"""),"[""bag_other""]")</f>
        <v>["bag_other"]</v>
      </c>
      <c r="R2639" s="148" t="str">
        <f>IFERROR(__xludf.DUMMYFUNCTION("""COMPUTED_VALUE"""),"[""bag"",""13121071""]")</f>
        <v>["bag","13121071"]</v>
      </c>
      <c r="S2639" s="148" t="str">
        <f>IFERROR(__xludf.DUMMYFUNCTION("""COMPUTED_VALUE"""),"{""effect"":[{""typ"":""city_skin"",""id"":13121071,""val"":1209600000},{""typ"":""item"",""id"":11111021,""val"":7}]}")</f>
        <v>{"effect":[{"typ":"city_skin","id":13121071,"val":1209600000},{"typ":"item","id":11111021,"val":7}]}</v>
      </c>
      <c r="T2639" s="148">
        <f>IFERROR(__xludf.DUMMYFUNCTION("""COMPUTED_VALUE"""),-1.0)</f>
        <v>-1</v>
      </c>
      <c r="U2639" s="148">
        <f>IFERROR(__xludf.DUMMYFUNCTION("""COMPUTED_VALUE"""),0.0)</f>
        <v>0</v>
      </c>
      <c r="V2639" s="148" t="str">
        <f>IFERROR(__xludf.DUMMYFUNCTION("""COMPUTED_VALUE"""),"[]")</f>
        <v>[]</v>
      </c>
      <c r="W2639" s="148">
        <f>IFERROR(__xludf.DUMMYFUNCTION("""COMPUTED_VALUE"""),1.174E7)</f>
        <v>11740000</v>
      </c>
      <c r="X2639" s="148">
        <f>IFERROR(__xludf.DUMMYFUNCTION("""COMPUTED_VALUE"""),0.0)</f>
        <v>0</v>
      </c>
      <c r="Y2639" s="148">
        <f>IFERROR(__xludf.DUMMYFUNCTION("""COMPUTED_VALUE"""),0.0)</f>
        <v>0</v>
      </c>
      <c r="Z2639" s="148"/>
    </row>
    <row r="2640">
      <c r="A2640" s="148">
        <f>IFERROR(__xludf.DUMMYFUNCTION("""COMPUTED_VALUE"""),1.1119591E7)</f>
        <v>11119591</v>
      </c>
      <c r="B2640" s="148" t="str">
        <f>IFERROR(__xludf.DUMMYFUNCTION("""COMPUTED_VALUE"""),"主城皮肤-深海节高级皮肤2025")</f>
        <v>主城皮肤-深海节高级皮肤2025</v>
      </c>
      <c r="C2640" s="148"/>
      <c r="D2640" s="148" t="str">
        <f>IFERROR(__xludf.DUMMYFUNCTION("""COMPUTED_VALUE"""),"city_skin")</f>
        <v>city_skin</v>
      </c>
      <c r="E2640" s="148">
        <f>IFERROR(__xludf.DUMMYFUNCTION("""COMPUTED_VALUE"""),21.0)</f>
        <v>21</v>
      </c>
      <c r="F2640" s="148">
        <f>IFERROR(__xludf.DUMMYFUNCTION("""COMPUTED_VALUE"""),500000.0)</f>
        <v>500000</v>
      </c>
      <c r="G2640" s="148">
        <f>IFERROR(__xludf.DUMMYFUNCTION("""COMPUTED_VALUE"""),1.51102125E8)</f>
        <v>151102125</v>
      </c>
      <c r="H2640" s="148">
        <f>IFERROR(__xludf.DUMMYFUNCTION("""COMPUTED_VALUE"""),1.51101093E8)</f>
        <v>151101093</v>
      </c>
      <c r="I2640" s="148" t="str">
        <f>IFERROR(__xludf.DUMMYFUNCTION("""COMPUTED_VALUE"""),"{}")</f>
        <v>{}</v>
      </c>
      <c r="J2640" s="148" t="str">
        <f>IFERROR(__xludf.DUMMYFUNCTION("""COMPUTED_VALUE"""),"{""typ"":""lc"",""txt"":""LC_ITEM_sea_2025_city_2_name""}")</f>
        <v>{"typ":"lc","txt":"LC_ITEM_sea_2025_city_2_name"}</v>
      </c>
      <c r="K2640" s="148" t="str">
        <f>IFERROR(__xludf.DUMMYFUNCTION("""COMPUTED_VALUE"""),"{""typ"":""lc"",""txt"":""LC_ITEM_sea_2025_city_2_desc""}")</f>
        <v>{"typ":"lc","txt":"LC_ITEM_sea_2025_city_2_desc"}</v>
      </c>
      <c r="L2640" s="148" t="str">
        <f>IFERROR(__xludf.DUMMYFUNCTION("""COMPUTED_VALUE"""),"{""typ"":""lc"",""txt"":""LC_ASSET_suit_actived_tips_1""}")</f>
        <v>{"typ":"lc","txt":"LC_ASSET_suit_actived_tips_1"}</v>
      </c>
      <c r="M2640" s="148">
        <f>IFERROR(__xludf.DUMMYFUNCTION("""COMPUTED_VALUE"""),10000.0)</f>
        <v>10000</v>
      </c>
      <c r="N2640" s="148">
        <f>IFERROR(__xludf.DUMMYFUNCTION("""COMPUTED_VALUE"""),999.0)</f>
        <v>999</v>
      </c>
      <c r="O2640" s="148">
        <f>IFERROR(__xludf.DUMMYFUNCTION("""COMPUTED_VALUE"""),1.0)</f>
        <v>1</v>
      </c>
      <c r="P2640" s="148">
        <f>IFERROR(__xludf.DUMMYFUNCTION("""COMPUTED_VALUE"""),1.0)</f>
        <v>1</v>
      </c>
      <c r="Q2640" s="148" t="str">
        <f>IFERROR(__xludf.DUMMYFUNCTION("""COMPUTED_VALUE"""),"[""bag_other""]")</f>
        <v>["bag_other"]</v>
      </c>
      <c r="R2640" s="148" t="str">
        <f>IFERROR(__xludf.DUMMYFUNCTION("""COMPUTED_VALUE"""),"[""bag"",""13121072""]")</f>
        <v>["bag","13121072"]</v>
      </c>
      <c r="S2640" s="148" t="str">
        <f>IFERROR(__xludf.DUMMYFUNCTION("""COMPUTED_VALUE"""),"{""effect"":[{""typ"":""city_skin"",""id"":13121072,""val"":-1},{""typ"":""item"",""id"":11112030,""val"":10000}]}")</f>
        <v>{"effect":[{"typ":"city_skin","id":13121072,"val":-1},{"typ":"item","id":11112030,"val":10000}]}</v>
      </c>
      <c r="T2640" s="148">
        <f>IFERROR(__xludf.DUMMYFUNCTION("""COMPUTED_VALUE"""),-1.0)</f>
        <v>-1</v>
      </c>
      <c r="U2640" s="148">
        <f>IFERROR(__xludf.DUMMYFUNCTION("""COMPUTED_VALUE"""),0.0)</f>
        <v>0</v>
      </c>
      <c r="V2640" s="148" t="str">
        <f>IFERROR(__xludf.DUMMYFUNCTION("""COMPUTED_VALUE"""),"[]")</f>
        <v>[]</v>
      </c>
      <c r="W2640" s="148">
        <f>IFERROR(__xludf.DUMMYFUNCTION("""COMPUTED_VALUE"""),1.174E7)</f>
        <v>11740000</v>
      </c>
      <c r="X2640" s="148">
        <f>IFERROR(__xludf.DUMMYFUNCTION("""COMPUTED_VALUE"""),0.0)</f>
        <v>0</v>
      </c>
      <c r="Y2640" s="148">
        <f>IFERROR(__xludf.DUMMYFUNCTION("""COMPUTED_VALUE"""),0.0)</f>
        <v>0</v>
      </c>
      <c r="Z2640" s="148"/>
    </row>
    <row r="2641">
      <c r="A2641" s="148">
        <f>IFERROR(__xludf.DUMMYFUNCTION("""COMPUTED_VALUE"""),1.1119592E7)</f>
        <v>11119592</v>
      </c>
      <c r="B2641" s="148" t="str">
        <f>IFERROR(__xludf.DUMMYFUNCTION("""COMPUTED_VALUE"""),"主城皮肤-深海节高级皮肤2025-7天")</f>
        <v>主城皮肤-深海节高级皮肤2025-7天</v>
      </c>
      <c r="C2641" s="148"/>
      <c r="D2641" s="148" t="str">
        <f>IFERROR(__xludf.DUMMYFUNCTION("""COMPUTED_VALUE"""),"city_skin")</f>
        <v>city_skin</v>
      </c>
      <c r="E2641" s="148">
        <f>IFERROR(__xludf.DUMMYFUNCTION("""COMPUTED_VALUE"""),21.0)</f>
        <v>21</v>
      </c>
      <c r="F2641" s="148">
        <f>IFERROR(__xludf.DUMMYFUNCTION("""COMPUTED_VALUE"""),499993.0)</f>
        <v>499993</v>
      </c>
      <c r="G2641" s="148">
        <f>IFERROR(__xludf.DUMMYFUNCTION("""COMPUTED_VALUE"""),1.51102125E8)</f>
        <v>151102125</v>
      </c>
      <c r="H2641" s="148">
        <f>IFERROR(__xludf.DUMMYFUNCTION("""COMPUTED_VALUE"""),1.5112564E7)</f>
        <v>15112564</v>
      </c>
      <c r="I2641" s="148" t="str">
        <f>IFERROR(__xludf.DUMMYFUNCTION("""COMPUTED_VALUE"""),"{""typ"":""lc"",""txt"":""LC_ITEM_time_day_upper_show"",""args"":[{""typ"":""int"",""val"":7}]}")</f>
        <v>{"typ":"lc","txt":"LC_ITEM_time_day_upper_show","args":[{"typ":"int","val":7}]}</v>
      </c>
      <c r="J2641" s="148" t="str">
        <f>IFERROR(__xludf.DUMMYFUNCTION("""COMPUTED_VALUE"""),"{""typ"":""lc"",""txt"":""LC_ITEM_sea_2025_city_2_name_7day""}")</f>
        <v>{"typ":"lc","txt":"LC_ITEM_sea_2025_city_2_name_7day"}</v>
      </c>
      <c r="K2641" s="148" t="str">
        <f>IFERROR(__xludf.DUMMYFUNCTION("""COMPUTED_VALUE"""),"{""typ"":""lc"",""txt"":""LC_ITEM_sea_2025_city_2_desc_7day""}")</f>
        <v>{"typ":"lc","txt":"LC_ITEM_sea_2025_city_2_desc_7day"}</v>
      </c>
      <c r="L2641" s="148" t="str">
        <f>IFERROR(__xludf.DUMMYFUNCTION("""COMPUTED_VALUE"""),"{""typ"":""lc"",""txt"":""LC_ASSET_suit_actived_tips_1""}")</f>
        <v>{"typ":"lc","txt":"LC_ASSET_suit_actived_tips_1"}</v>
      </c>
      <c r="M2641" s="148">
        <f>IFERROR(__xludf.DUMMYFUNCTION("""COMPUTED_VALUE"""),10000.0)</f>
        <v>10000</v>
      </c>
      <c r="N2641" s="148">
        <f>IFERROR(__xludf.DUMMYFUNCTION("""COMPUTED_VALUE"""),999.0)</f>
        <v>999</v>
      </c>
      <c r="O2641" s="148">
        <f>IFERROR(__xludf.DUMMYFUNCTION("""COMPUTED_VALUE"""),1.0)</f>
        <v>1</v>
      </c>
      <c r="P2641" s="148">
        <f>IFERROR(__xludf.DUMMYFUNCTION("""COMPUTED_VALUE"""),1.0)</f>
        <v>1</v>
      </c>
      <c r="Q2641" s="148" t="str">
        <f>IFERROR(__xludf.DUMMYFUNCTION("""COMPUTED_VALUE"""),"[""bag_other""]")</f>
        <v>["bag_other"]</v>
      </c>
      <c r="R2641" s="148" t="str">
        <f>IFERROR(__xludf.DUMMYFUNCTION("""COMPUTED_VALUE"""),"[""bag"",""13121072""]")</f>
        <v>["bag","13121072"]</v>
      </c>
      <c r="S2641" s="148" t="str">
        <f>IFERROR(__xludf.DUMMYFUNCTION("""COMPUTED_VALUE"""),"{""effect"":[{""typ"":""city_skin"",""id"":13121072,""val"":604800000},{""typ"":""item"",""id"":11111021,""val"":3}]}")</f>
        <v>{"effect":[{"typ":"city_skin","id":13121072,"val":604800000},{"typ":"item","id":11111021,"val":3}]}</v>
      </c>
      <c r="T2641" s="148">
        <f>IFERROR(__xludf.DUMMYFUNCTION("""COMPUTED_VALUE"""),-1.0)</f>
        <v>-1</v>
      </c>
      <c r="U2641" s="148">
        <f>IFERROR(__xludf.DUMMYFUNCTION("""COMPUTED_VALUE"""),0.0)</f>
        <v>0</v>
      </c>
      <c r="V2641" s="148" t="str">
        <f>IFERROR(__xludf.DUMMYFUNCTION("""COMPUTED_VALUE"""),"[]")</f>
        <v>[]</v>
      </c>
      <c r="W2641" s="148">
        <f>IFERROR(__xludf.DUMMYFUNCTION("""COMPUTED_VALUE"""),1.174E7)</f>
        <v>11740000</v>
      </c>
      <c r="X2641" s="148">
        <f>IFERROR(__xludf.DUMMYFUNCTION("""COMPUTED_VALUE"""),0.0)</f>
        <v>0</v>
      </c>
      <c r="Y2641" s="148">
        <f>IFERROR(__xludf.DUMMYFUNCTION("""COMPUTED_VALUE"""),0.0)</f>
        <v>0</v>
      </c>
      <c r="Z2641" s="148"/>
    </row>
    <row r="2642">
      <c r="A2642" s="148">
        <f>IFERROR(__xludf.DUMMYFUNCTION("""COMPUTED_VALUE"""),1.1119593E7)</f>
        <v>11119593</v>
      </c>
      <c r="B2642" s="148" t="str">
        <f>IFERROR(__xludf.DUMMYFUNCTION("""COMPUTED_VALUE"""),"主城皮肤-深海节高级皮肤2025-14天")</f>
        <v>主城皮肤-深海节高级皮肤2025-14天</v>
      </c>
      <c r="C2642" s="148"/>
      <c r="D2642" s="148" t="str">
        <f>IFERROR(__xludf.DUMMYFUNCTION("""COMPUTED_VALUE"""),"city_skin")</f>
        <v>city_skin</v>
      </c>
      <c r="E2642" s="148">
        <f>IFERROR(__xludf.DUMMYFUNCTION("""COMPUTED_VALUE"""),21.0)</f>
        <v>21</v>
      </c>
      <c r="F2642" s="148">
        <f>IFERROR(__xludf.DUMMYFUNCTION("""COMPUTED_VALUE"""),499994.0)</f>
        <v>499994</v>
      </c>
      <c r="G2642" s="148">
        <f>IFERROR(__xludf.DUMMYFUNCTION("""COMPUTED_VALUE"""),1.51102125E8)</f>
        <v>151102125</v>
      </c>
      <c r="H2642" s="148">
        <f>IFERROR(__xludf.DUMMYFUNCTION("""COMPUTED_VALUE"""),1.5112564E7)</f>
        <v>15112564</v>
      </c>
      <c r="I2642" s="148" t="str">
        <f>IFERROR(__xludf.DUMMYFUNCTION("""COMPUTED_VALUE"""),"{""typ"":""lc"",""txt"":""LC_ITEM_time_day_upper_show"",""args"":[{""typ"":""int"",""val"":14}]}")</f>
        <v>{"typ":"lc","txt":"LC_ITEM_time_day_upper_show","args":[{"typ":"int","val":14}]}</v>
      </c>
      <c r="J2642" s="148" t="str">
        <f>IFERROR(__xludf.DUMMYFUNCTION("""COMPUTED_VALUE"""),"{""typ"":""lc"",""txt"":""LC_ITEM_sea_2025_city_2_name_14day""}")</f>
        <v>{"typ":"lc","txt":"LC_ITEM_sea_2025_city_2_name_14day"}</v>
      </c>
      <c r="K2642" s="148" t="str">
        <f>IFERROR(__xludf.DUMMYFUNCTION("""COMPUTED_VALUE"""),"{""typ"":""lc"",""txt"":""LC_ITEM_sea_2025_city_2_desc_14day""}")</f>
        <v>{"typ":"lc","txt":"LC_ITEM_sea_2025_city_2_desc_14day"}</v>
      </c>
      <c r="L2642" s="148" t="str">
        <f>IFERROR(__xludf.DUMMYFUNCTION("""COMPUTED_VALUE"""),"{""typ"":""lc"",""txt"":""LC_ASSET_suit_actived_tips_1""}")</f>
        <v>{"typ":"lc","txt":"LC_ASSET_suit_actived_tips_1"}</v>
      </c>
      <c r="M2642" s="148">
        <f>IFERROR(__xludf.DUMMYFUNCTION("""COMPUTED_VALUE"""),10000.0)</f>
        <v>10000</v>
      </c>
      <c r="N2642" s="148">
        <f>IFERROR(__xludf.DUMMYFUNCTION("""COMPUTED_VALUE"""),999.0)</f>
        <v>999</v>
      </c>
      <c r="O2642" s="148">
        <f>IFERROR(__xludf.DUMMYFUNCTION("""COMPUTED_VALUE"""),1.0)</f>
        <v>1</v>
      </c>
      <c r="P2642" s="148">
        <f>IFERROR(__xludf.DUMMYFUNCTION("""COMPUTED_VALUE"""),1.0)</f>
        <v>1</v>
      </c>
      <c r="Q2642" s="148" t="str">
        <f>IFERROR(__xludf.DUMMYFUNCTION("""COMPUTED_VALUE"""),"[""bag_other""]")</f>
        <v>["bag_other"]</v>
      </c>
      <c r="R2642" s="148" t="str">
        <f>IFERROR(__xludf.DUMMYFUNCTION("""COMPUTED_VALUE"""),"[""bag"",""13121072""]")</f>
        <v>["bag","13121072"]</v>
      </c>
      <c r="S2642" s="148" t="str">
        <f>IFERROR(__xludf.DUMMYFUNCTION("""COMPUTED_VALUE"""),"{""effect"":[{""typ"":""city_skin"",""id"":13121072,""val"":1209600000},{""typ"":""item"",""id"":11111021,""val"":7}]}")</f>
        <v>{"effect":[{"typ":"city_skin","id":13121072,"val":1209600000},{"typ":"item","id":11111021,"val":7}]}</v>
      </c>
      <c r="T2642" s="148">
        <f>IFERROR(__xludf.DUMMYFUNCTION("""COMPUTED_VALUE"""),-1.0)</f>
        <v>-1</v>
      </c>
      <c r="U2642" s="148">
        <f>IFERROR(__xludf.DUMMYFUNCTION("""COMPUTED_VALUE"""),0.0)</f>
        <v>0</v>
      </c>
      <c r="V2642" s="148" t="str">
        <f>IFERROR(__xludf.DUMMYFUNCTION("""COMPUTED_VALUE"""),"[]")</f>
        <v>[]</v>
      </c>
      <c r="W2642" s="148">
        <f>IFERROR(__xludf.DUMMYFUNCTION("""COMPUTED_VALUE"""),1.174E7)</f>
        <v>11740000</v>
      </c>
      <c r="X2642" s="148">
        <f>IFERROR(__xludf.DUMMYFUNCTION("""COMPUTED_VALUE"""),0.0)</f>
        <v>0</v>
      </c>
      <c r="Y2642" s="148">
        <f>IFERROR(__xludf.DUMMYFUNCTION("""COMPUTED_VALUE"""),0.0)</f>
        <v>0</v>
      </c>
      <c r="Z2642" s="148"/>
    </row>
    <row r="2643">
      <c r="A2643" s="148">
        <f>IFERROR(__xludf.DUMMYFUNCTION("""COMPUTED_VALUE"""),1.1119594E7)</f>
        <v>11119594</v>
      </c>
      <c r="B2643" s="148" t="str">
        <f>IFERROR(__xludf.DUMMYFUNCTION("""COMPUTED_VALUE"""),"主城皮肤-深海节高级皮肤2025-28天")</f>
        <v>主城皮肤-深海节高级皮肤2025-28天</v>
      </c>
      <c r="C2643" s="148"/>
      <c r="D2643" s="148" t="str">
        <f>IFERROR(__xludf.DUMMYFUNCTION("""COMPUTED_VALUE"""),"city_skin")</f>
        <v>city_skin</v>
      </c>
      <c r="E2643" s="148">
        <f>IFERROR(__xludf.DUMMYFUNCTION("""COMPUTED_VALUE"""),21.0)</f>
        <v>21</v>
      </c>
      <c r="F2643" s="148">
        <f>IFERROR(__xludf.DUMMYFUNCTION("""COMPUTED_VALUE"""),499995.0)</f>
        <v>499995</v>
      </c>
      <c r="G2643" s="148">
        <f>IFERROR(__xludf.DUMMYFUNCTION("""COMPUTED_VALUE"""),1.51102125E8)</f>
        <v>151102125</v>
      </c>
      <c r="H2643" s="148">
        <f>IFERROR(__xludf.DUMMYFUNCTION("""COMPUTED_VALUE"""),1.5112564E7)</f>
        <v>15112564</v>
      </c>
      <c r="I2643" s="148" t="str">
        <f>IFERROR(__xludf.DUMMYFUNCTION("""COMPUTED_VALUE"""),"{""typ"":""lc"",""txt"":""LC_ITEM_time_day_upper_show"",""args"":[{""typ"":""int"",""val"":28}]}")</f>
        <v>{"typ":"lc","txt":"LC_ITEM_time_day_upper_show","args":[{"typ":"int","val":28}]}</v>
      </c>
      <c r="J2643" s="148" t="str">
        <f>IFERROR(__xludf.DUMMYFUNCTION("""COMPUTED_VALUE"""),"{""typ"":""lc"",""txt"":""LC_ITEM_sea_2025_city_2_name_28day""}")</f>
        <v>{"typ":"lc","txt":"LC_ITEM_sea_2025_city_2_name_28day"}</v>
      </c>
      <c r="K2643" s="148" t="str">
        <f>IFERROR(__xludf.DUMMYFUNCTION("""COMPUTED_VALUE"""),"{""typ"":""lc"",""txt"":""LC_ITEM_sea_2025_city_2_desc_28day""}")</f>
        <v>{"typ":"lc","txt":"LC_ITEM_sea_2025_city_2_desc_28day"}</v>
      </c>
      <c r="L2643" s="148" t="str">
        <f>IFERROR(__xludf.DUMMYFUNCTION("""COMPUTED_VALUE"""),"{""typ"":""lc"",""txt"":""LC_ASSET_suit_actived_tips_1""}")</f>
        <v>{"typ":"lc","txt":"LC_ASSET_suit_actived_tips_1"}</v>
      </c>
      <c r="M2643" s="148">
        <f>IFERROR(__xludf.DUMMYFUNCTION("""COMPUTED_VALUE"""),10000.0)</f>
        <v>10000</v>
      </c>
      <c r="N2643" s="148">
        <f>IFERROR(__xludf.DUMMYFUNCTION("""COMPUTED_VALUE"""),999.0)</f>
        <v>999</v>
      </c>
      <c r="O2643" s="148">
        <f>IFERROR(__xludf.DUMMYFUNCTION("""COMPUTED_VALUE"""),1.0)</f>
        <v>1</v>
      </c>
      <c r="P2643" s="148">
        <f>IFERROR(__xludf.DUMMYFUNCTION("""COMPUTED_VALUE"""),1.0)</f>
        <v>1</v>
      </c>
      <c r="Q2643" s="148" t="str">
        <f>IFERROR(__xludf.DUMMYFUNCTION("""COMPUTED_VALUE"""),"[""bag_other""]")</f>
        <v>["bag_other"]</v>
      </c>
      <c r="R2643" s="148" t="str">
        <f>IFERROR(__xludf.DUMMYFUNCTION("""COMPUTED_VALUE"""),"[""bag"",""13121072""]")</f>
        <v>["bag","13121072"]</v>
      </c>
      <c r="S2643" s="148" t="str">
        <f>IFERROR(__xludf.DUMMYFUNCTION("""COMPUTED_VALUE"""),"{""effect"":[{""typ"":""city_skin"",""id"":13121072,""val"":2419200000},{""typ"":""item"",""id"":11111021,""val"":15}]}")</f>
        <v>{"effect":[{"typ":"city_skin","id":13121072,"val":2419200000},{"typ":"item","id":11111021,"val":15}]}</v>
      </c>
      <c r="T2643" s="148">
        <f>IFERROR(__xludf.DUMMYFUNCTION("""COMPUTED_VALUE"""),-1.0)</f>
        <v>-1</v>
      </c>
      <c r="U2643" s="148">
        <f>IFERROR(__xludf.DUMMYFUNCTION("""COMPUTED_VALUE"""),0.0)</f>
        <v>0</v>
      </c>
      <c r="V2643" s="148" t="str">
        <f>IFERROR(__xludf.DUMMYFUNCTION("""COMPUTED_VALUE"""),"[]")</f>
        <v>[]</v>
      </c>
      <c r="W2643" s="148">
        <f>IFERROR(__xludf.DUMMYFUNCTION("""COMPUTED_VALUE"""),1.174E7)</f>
        <v>11740000</v>
      </c>
      <c r="X2643" s="148">
        <f>IFERROR(__xludf.DUMMYFUNCTION("""COMPUTED_VALUE"""),0.0)</f>
        <v>0</v>
      </c>
      <c r="Y2643" s="148">
        <f>IFERROR(__xludf.DUMMYFUNCTION("""COMPUTED_VALUE"""),0.0)</f>
        <v>0</v>
      </c>
      <c r="Z2643" s="148"/>
    </row>
    <row r="2644">
      <c r="A2644" s="148">
        <f>IFERROR(__xludf.DUMMYFUNCTION("""COMPUTED_VALUE"""),1.1119595E7)</f>
        <v>11119595</v>
      </c>
      <c r="B2644" s="148" t="str">
        <f>IFERROR(__xludf.DUMMYFUNCTION("""COMPUTED_VALUE"""),"2025深海节-主城翅膀-小鱼")</f>
        <v>2025深海节-主城翅膀-小鱼</v>
      </c>
      <c r="C2644" s="148"/>
      <c r="D2644" s="148" t="str">
        <f>IFERROR(__xludf.DUMMYFUNCTION("""COMPUTED_VALUE"""),"city_suit_decoration")</f>
        <v>city_suit_decoration</v>
      </c>
      <c r="E2644" s="148">
        <f>IFERROR(__xludf.DUMMYFUNCTION("""COMPUTED_VALUE"""),0.0)</f>
        <v>0</v>
      </c>
      <c r="F2644" s="148">
        <f>IFERROR(__xludf.DUMMYFUNCTION("""COMPUTED_VALUE"""),499997.0)</f>
        <v>499997</v>
      </c>
      <c r="G2644" s="148">
        <f>IFERROR(__xludf.DUMMYFUNCTION("""COMPUTED_VALUE"""),1.51102121E8)</f>
        <v>151102121</v>
      </c>
      <c r="H2644" s="148">
        <f>IFERROR(__xludf.DUMMYFUNCTION("""COMPUTED_VALUE"""),1.5115983E7)</f>
        <v>15115983</v>
      </c>
      <c r="I2644" s="148" t="str">
        <f>IFERROR(__xludf.DUMMYFUNCTION("""COMPUTED_VALUE"""),"{}")</f>
        <v>{}</v>
      </c>
      <c r="J2644" s="148" t="str">
        <f>IFERROR(__xludf.DUMMYFUNCTION("""COMPUTED_VALUE"""),"{""typ"":""lc"",""txt"":""LC_ITEM_sea_2025_city_wing_name""}")</f>
        <v>{"typ":"lc","txt":"LC_ITEM_sea_2025_city_wing_name"}</v>
      </c>
      <c r="K2644" s="148" t="str">
        <f>IFERROR(__xludf.DUMMYFUNCTION("""COMPUTED_VALUE"""),"{""typ"":""lc"",""txt"":""LC_ITEM_sea_2025_city_wing_desc""}")</f>
        <v>{"typ":"lc","txt":"LC_ITEM_sea_2025_city_wing_desc"}</v>
      </c>
      <c r="L2644" s="148" t="str">
        <f>IFERROR(__xludf.DUMMYFUNCTION("""COMPUTED_VALUE"""),"{""typ"":""lc"",""txt"":""LC_ASSET_suit_actived_tips_1""}")</f>
        <v>{"typ":"lc","txt":"LC_ASSET_suit_actived_tips_1"}</v>
      </c>
      <c r="M2644" s="148">
        <f>IFERROR(__xludf.DUMMYFUNCTION("""COMPUTED_VALUE"""),10000.0)</f>
        <v>10000</v>
      </c>
      <c r="N2644" s="148">
        <f>IFERROR(__xludf.DUMMYFUNCTION("""COMPUTED_VALUE"""),999999.0)</f>
        <v>999999</v>
      </c>
      <c r="O2644" s="148">
        <f>IFERROR(__xludf.DUMMYFUNCTION("""COMPUTED_VALUE"""),99999.0)</f>
        <v>99999</v>
      </c>
      <c r="P2644" s="148">
        <f>IFERROR(__xludf.DUMMYFUNCTION("""COMPUTED_VALUE"""),1.0)</f>
        <v>1</v>
      </c>
      <c r="Q2644" s="148" t="str">
        <f>IFERROR(__xludf.DUMMYFUNCTION("""COMPUTED_VALUE"""),"[""bag_other""]")</f>
        <v>["bag_other"]</v>
      </c>
      <c r="R2644" s="148" t="str">
        <f>IFERROR(__xludf.DUMMYFUNCTION("""COMPUTED_VALUE"""),"[""bag"",""13881004""]")</f>
        <v>["bag","13881004"]</v>
      </c>
      <c r="S2644" s="148" t="str">
        <f>IFERROR(__xludf.DUMMYFUNCTION("""COMPUTED_VALUE"""),"{""effect"":[{""typ"":""city_suit_decoration"",""id"":13881004,""val"":-1},{""typ"":""item"",""id"":11111034,""val"":10}]}")</f>
        <v>{"effect":[{"typ":"city_suit_decoration","id":13881004,"val":-1},{"typ":"item","id":11111034,"val":10}]}</v>
      </c>
      <c r="T2644" s="148">
        <f>IFERROR(__xludf.DUMMYFUNCTION("""COMPUTED_VALUE"""),-1.0)</f>
        <v>-1</v>
      </c>
      <c r="U2644" s="148">
        <f>IFERROR(__xludf.DUMMYFUNCTION("""COMPUTED_VALUE"""),0.0)</f>
        <v>0</v>
      </c>
      <c r="V2644" s="148" t="str">
        <f>IFERROR(__xludf.DUMMYFUNCTION("""COMPUTED_VALUE"""),"[]")</f>
        <v>[]</v>
      </c>
      <c r="W2644" s="148">
        <f>IFERROR(__xludf.DUMMYFUNCTION("""COMPUTED_VALUE"""),1.174E7)</f>
        <v>11740000</v>
      </c>
      <c r="X2644" s="148">
        <f>IFERROR(__xludf.DUMMYFUNCTION("""COMPUTED_VALUE"""),0.0)</f>
        <v>0</v>
      </c>
      <c r="Y2644" s="148">
        <f>IFERROR(__xludf.DUMMYFUNCTION("""COMPUTED_VALUE"""),0.0)</f>
        <v>0</v>
      </c>
      <c r="Z2644" s="148"/>
    </row>
    <row r="2645">
      <c r="A2645" s="148">
        <f>IFERROR(__xludf.DUMMYFUNCTION("""COMPUTED_VALUE"""),1.1119596E7)</f>
        <v>11119596</v>
      </c>
      <c r="B2645" s="148" t="str">
        <f>IFERROR(__xludf.DUMMYFUNCTION("""COMPUTED_VALUE"""),"主城翅膀-深海节2025-2天")</f>
        <v>主城翅膀-深海节2025-2天</v>
      </c>
      <c r="C2645" s="148"/>
      <c r="D2645" s="148" t="str">
        <f>IFERROR(__xludf.DUMMYFUNCTION("""COMPUTED_VALUE"""),"city_suit_decoration")</f>
        <v>city_suit_decoration</v>
      </c>
      <c r="E2645" s="148">
        <f>IFERROR(__xludf.DUMMYFUNCTION("""COMPUTED_VALUE"""),21.0)</f>
        <v>21</v>
      </c>
      <c r="F2645" s="148">
        <f>IFERROR(__xludf.DUMMYFUNCTION("""COMPUTED_VALUE"""),499971.0)</f>
        <v>499971</v>
      </c>
      <c r="G2645" s="148">
        <f>IFERROR(__xludf.DUMMYFUNCTION("""COMPUTED_VALUE"""),1.51102121E8)</f>
        <v>151102121</v>
      </c>
      <c r="H2645" s="148">
        <f>IFERROR(__xludf.DUMMYFUNCTION("""COMPUTED_VALUE"""),1.5112563E7)</f>
        <v>15112563</v>
      </c>
      <c r="I2645" s="148" t="str">
        <f>IFERROR(__xludf.DUMMYFUNCTION("""COMPUTED_VALUE"""),"{""typ"":""lc"",""txt"":""LC_ITEM_time_day_upper_show"",""args"":[{""typ"":""int"",""val"":2}]}")</f>
        <v>{"typ":"lc","txt":"LC_ITEM_time_day_upper_show","args":[{"typ":"int","val":2}]}</v>
      </c>
      <c r="J2645" s="148" t="str">
        <f>IFERROR(__xludf.DUMMYFUNCTION("""COMPUTED_VALUE"""),"{""typ"":""lc"",""txt"":""LC_ITEM_sea_2025_city_wing_name_2day""}")</f>
        <v>{"typ":"lc","txt":"LC_ITEM_sea_2025_city_wing_name_2day"}</v>
      </c>
      <c r="K2645" s="148" t="str">
        <f>IFERROR(__xludf.DUMMYFUNCTION("""COMPUTED_VALUE"""),"{""typ"":""lc"",""txt"":""LC_ITEM_sea_2025_city_wing_desc_2day""}")</f>
        <v>{"typ":"lc","txt":"LC_ITEM_sea_2025_city_wing_desc_2day"}</v>
      </c>
      <c r="L2645" s="148" t="str">
        <f>IFERROR(__xludf.DUMMYFUNCTION("""COMPUTED_VALUE"""),"{""typ"":""lc"",""txt"":""LC_ASSET_suit_actived_tips_1""}")</f>
        <v>{"typ":"lc","txt":"LC_ASSET_suit_actived_tips_1"}</v>
      </c>
      <c r="M2645" s="148">
        <f>IFERROR(__xludf.DUMMYFUNCTION("""COMPUTED_VALUE"""),500.0)</f>
        <v>500</v>
      </c>
      <c r="N2645" s="148">
        <f>IFERROR(__xludf.DUMMYFUNCTION("""COMPUTED_VALUE"""),999.0)</f>
        <v>999</v>
      </c>
      <c r="O2645" s="148">
        <f>IFERROR(__xludf.DUMMYFUNCTION("""COMPUTED_VALUE"""),1.0)</f>
        <v>1</v>
      </c>
      <c r="P2645" s="148">
        <f>IFERROR(__xludf.DUMMYFUNCTION("""COMPUTED_VALUE"""),1.0)</f>
        <v>1</v>
      </c>
      <c r="Q2645" s="148" t="str">
        <f>IFERROR(__xludf.DUMMYFUNCTION("""COMPUTED_VALUE"""),"[""bag_other""]")</f>
        <v>["bag_other"]</v>
      </c>
      <c r="R2645" s="148" t="str">
        <f>IFERROR(__xludf.DUMMYFUNCTION("""COMPUTED_VALUE"""),"[""bag"",""13881004""]")</f>
        <v>["bag","13881004"]</v>
      </c>
      <c r="S2645" s="148" t="str">
        <f>IFERROR(__xludf.DUMMYFUNCTION("""COMPUTED_VALUE"""),"{""effect"":[{""typ"":""city_suit_decoration"",""id"":13881004,""val"":172800000},{""typ"":""item"",""id"":11111021,""val"":1}]}")</f>
        <v>{"effect":[{"typ":"city_suit_decoration","id":13881004,"val":172800000},{"typ":"item","id":11111021,"val":1}]}</v>
      </c>
      <c r="T2645" s="148">
        <f>IFERROR(__xludf.DUMMYFUNCTION("""COMPUTED_VALUE"""),-1.0)</f>
        <v>-1</v>
      </c>
      <c r="U2645" s="148">
        <f>IFERROR(__xludf.DUMMYFUNCTION("""COMPUTED_VALUE"""),0.0)</f>
        <v>0</v>
      </c>
      <c r="V2645" s="148" t="str">
        <f>IFERROR(__xludf.DUMMYFUNCTION("""COMPUTED_VALUE"""),"[]")</f>
        <v>[]</v>
      </c>
      <c r="W2645" s="148">
        <f>IFERROR(__xludf.DUMMYFUNCTION("""COMPUTED_VALUE"""),1.174E7)</f>
        <v>11740000</v>
      </c>
      <c r="X2645" s="148">
        <f>IFERROR(__xludf.DUMMYFUNCTION("""COMPUTED_VALUE"""),0.0)</f>
        <v>0</v>
      </c>
      <c r="Y2645" s="148">
        <f>IFERROR(__xludf.DUMMYFUNCTION("""COMPUTED_VALUE"""),0.0)</f>
        <v>0</v>
      </c>
      <c r="Z2645" s="148"/>
    </row>
    <row r="2646">
      <c r="A2646" s="148">
        <f>IFERROR(__xludf.DUMMYFUNCTION("""COMPUTED_VALUE"""),1.1119597E7)</f>
        <v>11119597</v>
      </c>
      <c r="B2646" s="148" t="str">
        <f>IFERROR(__xludf.DUMMYFUNCTION("""COMPUTED_VALUE"""),"主城翅膀-深海节2025-7天")</f>
        <v>主城翅膀-深海节2025-7天</v>
      </c>
      <c r="C2646" s="148"/>
      <c r="D2646" s="148" t="str">
        <f>IFERROR(__xludf.DUMMYFUNCTION("""COMPUTED_VALUE"""),"city_suit_decoration")</f>
        <v>city_suit_decoration</v>
      </c>
      <c r="E2646" s="148">
        <f>IFERROR(__xludf.DUMMYFUNCTION("""COMPUTED_VALUE"""),21.0)</f>
        <v>21</v>
      </c>
      <c r="F2646" s="148">
        <f>IFERROR(__xludf.DUMMYFUNCTION("""COMPUTED_VALUE"""),499981.0)</f>
        <v>499981</v>
      </c>
      <c r="G2646" s="148">
        <f>IFERROR(__xludf.DUMMYFUNCTION("""COMPUTED_VALUE"""),1.51102121E8)</f>
        <v>151102121</v>
      </c>
      <c r="H2646" s="148">
        <f>IFERROR(__xludf.DUMMYFUNCTION("""COMPUTED_VALUE"""),1.5112564E7)</f>
        <v>15112564</v>
      </c>
      <c r="I2646" s="148" t="str">
        <f>IFERROR(__xludf.DUMMYFUNCTION("""COMPUTED_VALUE"""),"{""typ"":""lc"",""txt"":""LC_ITEM_time_day_upper_show"",""args"":[{""typ"":""int"",""val"":7}]}")</f>
        <v>{"typ":"lc","txt":"LC_ITEM_time_day_upper_show","args":[{"typ":"int","val":7}]}</v>
      </c>
      <c r="J2646" s="148" t="str">
        <f>IFERROR(__xludf.DUMMYFUNCTION("""COMPUTED_VALUE"""),"{""typ"":""lc"",""txt"":""LC_ITEM_sea_2025_city_wing_name_7day""}")</f>
        <v>{"typ":"lc","txt":"LC_ITEM_sea_2025_city_wing_name_7day"}</v>
      </c>
      <c r="K2646" s="148" t="str">
        <f>IFERROR(__xludf.DUMMYFUNCTION("""COMPUTED_VALUE"""),"{""typ"":""lc"",""txt"":""LC_ITEM_sea_2025_city_wing_desc_7day""}")</f>
        <v>{"typ":"lc","txt":"LC_ITEM_sea_2025_city_wing_desc_7day"}</v>
      </c>
      <c r="L2646" s="148" t="str">
        <f>IFERROR(__xludf.DUMMYFUNCTION("""COMPUTED_VALUE"""),"{""typ"":""lc"",""txt"":""LC_ASSET_suit_actived_tips_1""}")</f>
        <v>{"typ":"lc","txt":"LC_ASSET_suit_actived_tips_1"}</v>
      </c>
      <c r="M2646" s="148">
        <f>IFERROR(__xludf.DUMMYFUNCTION("""COMPUTED_VALUE"""),10000.0)</f>
        <v>10000</v>
      </c>
      <c r="N2646" s="148">
        <f>IFERROR(__xludf.DUMMYFUNCTION("""COMPUTED_VALUE"""),999.0)</f>
        <v>999</v>
      </c>
      <c r="O2646" s="148">
        <f>IFERROR(__xludf.DUMMYFUNCTION("""COMPUTED_VALUE"""),1.0)</f>
        <v>1</v>
      </c>
      <c r="P2646" s="148">
        <f>IFERROR(__xludf.DUMMYFUNCTION("""COMPUTED_VALUE"""),1.0)</f>
        <v>1</v>
      </c>
      <c r="Q2646" s="148" t="str">
        <f>IFERROR(__xludf.DUMMYFUNCTION("""COMPUTED_VALUE"""),"[""bag_other""]")</f>
        <v>["bag_other"]</v>
      </c>
      <c r="R2646" s="148" t="str">
        <f>IFERROR(__xludf.DUMMYFUNCTION("""COMPUTED_VALUE"""),"[""bag"",""13881004""]")</f>
        <v>["bag","13881004"]</v>
      </c>
      <c r="S2646" s="148" t="str">
        <f>IFERROR(__xludf.DUMMYFUNCTION("""COMPUTED_VALUE"""),"{""effect"":[{""typ"":""city_suit_decoration"",""id"":13881004,""val"":604800000},{""typ"":""item"",""id"":11111021,""val"":3}]}")</f>
        <v>{"effect":[{"typ":"city_suit_decoration","id":13881004,"val":604800000},{"typ":"item","id":11111021,"val":3}]}</v>
      </c>
      <c r="T2646" s="148">
        <f>IFERROR(__xludf.DUMMYFUNCTION("""COMPUTED_VALUE"""),-1.0)</f>
        <v>-1</v>
      </c>
      <c r="U2646" s="148">
        <f>IFERROR(__xludf.DUMMYFUNCTION("""COMPUTED_VALUE"""),0.0)</f>
        <v>0</v>
      </c>
      <c r="V2646" s="148" t="str">
        <f>IFERROR(__xludf.DUMMYFUNCTION("""COMPUTED_VALUE"""),"[]")</f>
        <v>[]</v>
      </c>
      <c r="W2646" s="148">
        <f>IFERROR(__xludf.DUMMYFUNCTION("""COMPUTED_VALUE"""),1.174E7)</f>
        <v>11740000</v>
      </c>
      <c r="X2646" s="148">
        <f>IFERROR(__xludf.DUMMYFUNCTION("""COMPUTED_VALUE"""),0.0)</f>
        <v>0</v>
      </c>
      <c r="Y2646" s="148">
        <f>IFERROR(__xludf.DUMMYFUNCTION("""COMPUTED_VALUE"""),0.0)</f>
        <v>0</v>
      </c>
      <c r="Z2646" s="148"/>
    </row>
    <row r="2647">
      <c r="A2647" s="148">
        <f>IFERROR(__xludf.DUMMYFUNCTION("""COMPUTED_VALUE"""),1.1119598E7)</f>
        <v>11119598</v>
      </c>
      <c r="B2647" s="148" t="str">
        <f>IFERROR(__xludf.DUMMYFUNCTION("""COMPUTED_VALUE"""),"主城翅膀-深海节2025-14天")</f>
        <v>主城翅膀-深海节2025-14天</v>
      </c>
      <c r="C2647" s="148"/>
      <c r="D2647" s="148" t="str">
        <f>IFERROR(__xludf.DUMMYFUNCTION("""COMPUTED_VALUE"""),"city_suit_decoration")</f>
        <v>city_suit_decoration</v>
      </c>
      <c r="E2647" s="148">
        <f>IFERROR(__xludf.DUMMYFUNCTION("""COMPUTED_VALUE"""),21.0)</f>
        <v>21</v>
      </c>
      <c r="F2647" s="148">
        <f>IFERROR(__xludf.DUMMYFUNCTION("""COMPUTED_VALUE"""),499991.0)</f>
        <v>499991</v>
      </c>
      <c r="G2647" s="148">
        <f>IFERROR(__xludf.DUMMYFUNCTION("""COMPUTED_VALUE"""),1.51102121E8)</f>
        <v>151102121</v>
      </c>
      <c r="H2647" s="148">
        <f>IFERROR(__xludf.DUMMYFUNCTION("""COMPUTED_VALUE"""),1.5112564E7)</f>
        <v>15112564</v>
      </c>
      <c r="I2647" s="148" t="str">
        <f>IFERROR(__xludf.DUMMYFUNCTION("""COMPUTED_VALUE"""),"{""typ"":""lc"",""txt"":""LC_ITEM_time_day_upper_show"",""args"":[{""typ"":""int"",""val"":14}]}")</f>
        <v>{"typ":"lc","txt":"LC_ITEM_time_day_upper_show","args":[{"typ":"int","val":14}]}</v>
      </c>
      <c r="J2647" s="148" t="str">
        <f>IFERROR(__xludf.DUMMYFUNCTION("""COMPUTED_VALUE"""),"{""typ"":""lc"",""txt"":""LC_ITEM_sea_2025_city_wing_name_14day""}")</f>
        <v>{"typ":"lc","txt":"LC_ITEM_sea_2025_city_wing_name_14day"}</v>
      </c>
      <c r="K2647" s="148" t="str">
        <f>IFERROR(__xludf.DUMMYFUNCTION("""COMPUTED_VALUE"""),"{""typ"":""lc"",""txt"":""LC_ITEM_sea_2025_city_wing_desc_14day""}")</f>
        <v>{"typ":"lc","txt":"LC_ITEM_sea_2025_city_wing_desc_14day"}</v>
      </c>
      <c r="L2647" s="148" t="str">
        <f>IFERROR(__xludf.DUMMYFUNCTION("""COMPUTED_VALUE"""),"{""typ"":""lc"",""txt"":""LC_ASSET_suit_actived_tips_1""}")</f>
        <v>{"typ":"lc","txt":"LC_ASSET_suit_actived_tips_1"}</v>
      </c>
      <c r="M2647" s="148">
        <f>IFERROR(__xludf.DUMMYFUNCTION("""COMPUTED_VALUE"""),10000.0)</f>
        <v>10000</v>
      </c>
      <c r="N2647" s="148">
        <f>IFERROR(__xludf.DUMMYFUNCTION("""COMPUTED_VALUE"""),999.0)</f>
        <v>999</v>
      </c>
      <c r="O2647" s="148">
        <f>IFERROR(__xludf.DUMMYFUNCTION("""COMPUTED_VALUE"""),1.0)</f>
        <v>1</v>
      </c>
      <c r="P2647" s="148">
        <f>IFERROR(__xludf.DUMMYFUNCTION("""COMPUTED_VALUE"""),1.0)</f>
        <v>1</v>
      </c>
      <c r="Q2647" s="148" t="str">
        <f>IFERROR(__xludf.DUMMYFUNCTION("""COMPUTED_VALUE"""),"[""bag_other""]")</f>
        <v>["bag_other"]</v>
      </c>
      <c r="R2647" s="148" t="str">
        <f>IFERROR(__xludf.DUMMYFUNCTION("""COMPUTED_VALUE"""),"[""bag"",""13881004""]")</f>
        <v>["bag","13881004"]</v>
      </c>
      <c r="S2647" s="148" t="str">
        <f>IFERROR(__xludf.DUMMYFUNCTION("""COMPUTED_VALUE"""),"{""effect"":[{""typ"":""city_suit_decoration"",""id"":13881004,""val"":1209600000},{""typ"":""item"",""id"":11111021,""val"":7}]}")</f>
        <v>{"effect":[{"typ":"city_suit_decoration","id":13881004,"val":1209600000},{"typ":"item","id":11111021,"val":7}]}</v>
      </c>
      <c r="T2647" s="148">
        <f>IFERROR(__xludf.DUMMYFUNCTION("""COMPUTED_VALUE"""),-1.0)</f>
        <v>-1</v>
      </c>
      <c r="U2647" s="148">
        <f>IFERROR(__xludf.DUMMYFUNCTION("""COMPUTED_VALUE"""),0.0)</f>
        <v>0</v>
      </c>
      <c r="V2647" s="148" t="str">
        <f>IFERROR(__xludf.DUMMYFUNCTION("""COMPUTED_VALUE"""),"[]")</f>
        <v>[]</v>
      </c>
      <c r="W2647" s="148">
        <f>IFERROR(__xludf.DUMMYFUNCTION("""COMPUTED_VALUE"""),1.174E7)</f>
        <v>11740000</v>
      </c>
      <c r="X2647" s="148">
        <f>IFERROR(__xludf.DUMMYFUNCTION("""COMPUTED_VALUE"""),0.0)</f>
        <v>0</v>
      </c>
      <c r="Y2647" s="148">
        <f>IFERROR(__xludf.DUMMYFUNCTION("""COMPUTED_VALUE"""),0.0)</f>
        <v>0</v>
      </c>
      <c r="Z2647" s="148"/>
    </row>
    <row r="2648">
      <c r="A2648" s="148">
        <f>IFERROR(__xludf.DUMMYFUNCTION("""COMPUTED_VALUE"""),1.1119599E7)</f>
        <v>11119599</v>
      </c>
      <c r="B2648" s="148" t="str">
        <f>IFERROR(__xludf.DUMMYFUNCTION("""COMPUTED_VALUE"""),"2025深海节-主城炮弹-大鱼")</f>
        <v>2025深海节-主城炮弹-大鱼</v>
      </c>
      <c r="C2648" s="148"/>
      <c r="D2648" s="148" t="str">
        <f>IFERROR(__xludf.DUMMYFUNCTION("""COMPUTED_VALUE"""),"city_suit_decoration")</f>
        <v>city_suit_decoration</v>
      </c>
      <c r="E2648" s="148">
        <f>IFERROR(__xludf.DUMMYFUNCTION("""COMPUTED_VALUE"""),0.0)</f>
        <v>0</v>
      </c>
      <c r="F2648" s="148">
        <f>IFERROR(__xludf.DUMMYFUNCTION("""COMPUTED_VALUE"""),499998.0)</f>
        <v>499998</v>
      </c>
      <c r="G2648" s="148">
        <f>IFERROR(__xludf.DUMMYFUNCTION("""COMPUTED_VALUE"""),1.51102122E8)</f>
        <v>151102122</v>
      </c>
      <c r="H2648" s="148">
        <f>IFERROR(__xludf.DUMMYFUNCTION("""COMPUTED_VALUE"""),1.5115983E7)</f>
        <v>15115983</v>
      </c>
      <c r="I2648" s="148" t="str">
        <f>IFERROR(__xludf.DUMMYFUNCTION("""COMPUTED_VALUE"""),"{}")</f>
        <v>{}</v>
      </c>
      <c r="J2648" s="148" t="str">
        <f>IFERROR(__xludf.DUMMYFUNCTION("""COMPUTED_VALUE"""),"{""typ"":""lc"",""txt"":""LC_ITEM_sea_2025_city_cannon_name""}")</f>
        <v>{"typ":"lc","txt":"LC_ITEM_sea_2025_city_cannon_name"}</v>
      </c>
      <c r="K2648" s="148" t="str">
        <f>IFERROR(__xludf.DUMMYFUNCTION("""COMPUTED_VALUE"""),"{""typ"":""lc"",""txt"":""LC_ITEM_sea_2025_city_cannon_desc""}")</f>
        <v>{"typ":"lc","txt":"LC_ITEM_sea_2025_city_cannon_desc"}</v>
      </c>
      <c r="L2648" s="148" t="str">
        <f>IFERROR(__xludf.DUMMYFUNCTION("""COMPUTED_VALUE"""),"{""typ"":""lc"",""txt"":""LC_ASSET_suit_actived_tips_1""}")</f>
        <v>{"typ":"lc","txt":"LC_ASSET_suit_actived_tips_1"}</v>
      </c>
      <c r="M2648" s="148">
        <f>IFERROR(__xludf.DUMMYFUNCTION("""COMPUTED_VALUE"""),10000.0)</f>
        <v>10000</v>
      </c>
      <c r="N2648" s="148">
        <f>IFERROR(__xludf.DUMMYFUNCTION("""COMPUTED_VALUE"""),999999.0)</f>
        <v>999999</v>
      </c>
      <c r="O2648" s="148">
        <f>IFERROR(__xludf.DUMMYFUNCTION("""COMPUTED_VALUE"""),99999.0)</f>
        <v>99999</v>
      </c>
      <c r="P2648" s="148">
        <f>IFERROR(__xludf.DUMMYFUNCTION("""COMPUTED_VALUE"""),1.0)</f>
        <v>1</v>
      </c>
      <c r="Q2648" s="148" t="str">
        <f>IFERROR(__xludf.DUMMYFUNCTION("""COMPUTED_VALUE"""),"[""bag_other""]")</f>
        <v>["bag_other"]</v>
      </c>
      <c r="R2648" s="148" t="str">
        <f>IFERROR(__xludf.DUMMYFUNCTION("""COMPUTED_VALUE"""),"[""bag"",""13881005""]")</f>
        <v>["bag","13881005"]</v>
      </c>
      <c r="S2648" s="148" t="str">
        <f>IFERROR(__xludf.DUMMYFUNCTION("""COMPUTED_VALUE"""),"{""effect"":[{""typ"":""city_suit_decoration"",""id"":13881005,""val"":-1},{""typ"":""item"",""id"":11111034,""val"":10}]}")</f>
        <v>{"effect":[{"typ":"city_suit_decoration","id":13881005,"val":-1},{"typ":"item","id":11111034,"val":10}]}</v>
      </c>
      <c r="T2648" s="148">
        <f>IFERROR(__xludf.DUMMYFUNCTION("""COMPUTED_VALUE"""),-1.0)</f>
        <v>-1</v>
      </c>
      <c r="U2648" s="148">
        <f>IFERROR(__xludf.DUMMYFUNCTION("""COMPUTED_VALUE"""),0.0)</f>
        <v>0</v>
      </c>
      <c r="V2648" s="148" t="str">
        <f>IFERROR(__xludf.DUMMYFUNCTION("""COMPUTED_VALUE"""),"[]")</f>
        <v>[]</v>
      </c>
      <c r="W2648" s="148">
        <f>IFERROR(__xludf.DUMMYFUNCTION("""COMPUTED_VALUE"""),1.174E7)</f>
        <v>11740000</v>
      </c>
      <c r="X2648" s="148">
        <f>IFERROR(__xludf.DUMMYFUNCTION("""COMPUTED_VALUE"""),0.0)</f>
        <v>0</v>
      </c>
      <c r="Y2648" s="148">
        <f>IFERROR(__xludf.DUMMYFUNCTION("""COMPUTED_VALUE"""),0.0)</f>
        <v>0</v>
      </c>
      <c r="Z2648" s="148"/>
    </row>
    <row r="2649">
      <c r="A2649" s="148">
        <f>IFERROR(__xludf.DUMMYFUNCTION("""COMPUTED_VALUE"""),1.11196E7)</f>
        <v>11119600</v>
      </c>
      <c r="B2649" s="148" t="str">
        <f>IFERROR(__xludf.DUMMYFUNCTION("""COMPUTED_VALUE"""),"主城炮弹-深海节2025-2天")</f>
        <v>主城炮弹-深海节2025-2天</v>
      </c>
      <c r="C2649" s="148"/>
      <c r="D2649" s="148" t="str">
        <f>IFERROR(__xludf.DUMMYFUNCTION("""COMPUTED_VALUE"""),"city_suit_decoration")</f>
        <v>city_suit_decoration</v>
      </c>
      <c r="E2649" s="148">
        <f>IFERROR(__xludf.DUMMYFUNCTION("""COMPUTED_VALUE"""),21.0)</f>
        <v>21</v>
      </c>
      <c r="F2649" s="148">
        <f>IFERROR(__xludf.DUMMYFUNCTION("""COMPUTED_VALUE"""),499990.0)</f>
        <v>499990</v>
      </c>
      <c r="G2649" s="148">
        <f>IFERROR(__xludf.DUMMYFUNCTION("""COMPUTED_VALUE"""),1.51102122E8)</f>
        <v>151102122</v>
      </c>
      <c r="H2649" s="148">
        <f>IFERROR(__xludf.DUMMYFUNCTION("""COMPUTED_VALUE"""),1.5112563E7)</f>
        <v>15112563</v>
      </c>
      <c r="I2649" s="148" t="str">
        <f>IFERROR(__xludf.DUMMYFUNCTION("""COMPUTED_VALUE"""),"{""typ"":""lc"",""txt"":""LC_ITEM_time_day_upper_show"",""args"":[{""typ"":""int"",""val"":2}]}")</f>
        <v>{"typ":"lc","txt":"LC_ITEM_time_day_upper_show","args":[{"typ":"int","val":2}]}</v>
      </c>
      <c r="J2649" s="148" t="str">
        <f>IFERROR(__xludf.DUMMYFUNCTION("""COMPUTED_VALUE"""),"{""typ"":""lc"",""txt"":""LC_ITEM_sea_2025_city_cannon_name_2day""}")</f>
        <v>{"typ":"lc","txt":"LC_ITEM_sea_2025_city_cannon_name_2day"}</v>
      </c>
      <c r="K2649" s="148" t="str">
        <f>IFERROR(__xludf.DUMMYFUNCTION("""COMPUTED_VALUE"""),"{""typ"":""lc"",""txt"":""LC_ITEM_sea_2025_city_cannon_desc_2day""}")</f>
        <v>{"typ":"lc","txt":"LC_ITEM_sea_2025_city_cannon_desc_2day"}</v>
      </c>
      <c r="L2649" s="148" t="str">
        <f>IFERROR(__xludf.DUMMYFUNCTION("""COMPUTED_VALUE"""),"{""typ"":""lc"",""txt"":""LC_ASSET_suit_actived_tips_1""}")</f>
        <v>{"typ":"lc","txt":"LC_ASSET_suit_actived_tips_1"}</v>
      </c>
      <c r="M2649" s="148">
        <f>IFERROR(__xludf.DUMMYFUNCTION("""COMPUTED_VALUE"""),500.0)</f>
        <v>500</v>
      </c>
      <c r="N2649" s="148">
        <f>IFERROR(__xludf.DUMMYFUNCTION("""COMPUTED_VALUE"""),999.0)</f>
        <v>999</v>
      </c>
      <c r="O2649" s="148">
        <f>IFERROR(__xludf.DUMMYFUNCTION("""COMPUTED_VALUE"""),1.0)</f>
        <v>1</v>
      </c>
      <c r="P2649" s="148">
        <f>IFERROR(__xludf.DUMMYFUNCTION("""COMPUTED_VALUE"""),1.0)</f>
        <v>1</v>
      </c>
      <c r="Q2649" s="148" t="str">
        <f>IFERROR(__xludf.DUMMYFUNCTION("""COMPUTED_VALUE"""),"[""bag_other""]")</f>
        <v>["bag_other"]</v>
      </c>
      <c r="R2649" s="148" t="str">
        <f>IFERROR(__xludf.DUMMYFUNCTION("""COMPUTED_VALUE"""),"[""bag"",""13881005""]")</f>
        <v>["bag","13881005"]</v>
      </c>
      <c r="S2649" s="148" t="str">
        <f>IFERROR(__xludf.DUMMYFUNCTION("""COMPUTED_VALUE"""),"{""effect"":[{""typ"":""city_suit_decoration"",""id"":13881005,""val"":172800000},{""typ"":""item"",""id"":11111021,""val"":1}]}")</f>
        <v>{"effect":[{"typ":"city_suit_decoration","id":13881005,"val":172800000},{"typ":"item","id":11111021,"val":1}]}</v>
      </c>
      <c r="T2649" s="148">
        <f>IFERROR(__xludf.DUMMYFUNCTION("""COMPUTED_VALUE"""),-1.0)</f>
        <v>-1</v>
      </c>
      <c r="U2649" s="148">
        <f>IFERROR(__xludf.DUMMYFUNCTION("""COMPUTED_VALUE"""),0.0)</f>
        <v>0</v>
      </c>
      <c r="V2649" s="148" t="str">
        <f>IFERROR(__xludf.DUMMYFUNCTION("""COMPUTED_VALUE"""),"[]")</f>
        <v>[]</v>
      </c>
      <c r="W2649" s="148">
        <f>IFERROR(__xludf.DUMMYFUNCTION("""COMPUTED_VALUE"""),1.174E7)</f>
        <v>11740000</v>
      </c>
      <c r="X2649" s="148">
        <f>IFERROR(__xludf.DUMMYFUNCTION("""COMPUTED_VALUE"""),0.0)</f>
        <v>0</v>
      </c>
      <c r="Y2649" s="148">
        <f>IFERROR(__xludf.DUMMYFUNCTION("""COMPUTED_VALUE"""),0.0)</f>
        <v>0</v>
      </c>
      <c r="Z2649" s="148"/>
    </row>
    <row r="2650">
      <c r="A2650" s="148">
        <f>IFERROR(__xludf.DUMMYFUNCTION("""COMPUTED_VALUE"""),1.1119601E7)</f>
        <v>11119601</v>
      </c>
      <c r="B2650" s="148" t="str">
        <f>IFERROR(__xludf.DUMMYFUNCTION("""COMPUTED_VALUE"""),"主城炮弹-深海节2025-7天")</f>
        <v>主城炮弹-深海节2025-7天</v>
      </c>
      <c r="C2650" s="148"/>
      <c r="D2650" s="148" t="str">
        <f>IFERROR(__xludf.DUMMYFUNCTION("""COMPUTED_VALUE"""),"city_suit_decoration")</f>
        <v>city_suit_decoration</v>
      </c>
      <c r="E2650" s="148">
        <f>IFERROR(__xludf.DUMMYFUNCTION("""COMPUTED_VALUE"""),21.0)</f>
        <v>21</v>
      </c>
      <c r="F2650" s="148">
        <f>IFERROR(__xludf.DUMMYFUNCTION("""COMPUTED_VALUE"""),499991.0)</f>
        <v>499991</v>
      </c>
      <c r="G2650" s="148">
        <f>IFERROR(__xludf.DUMMYFUNCTION("""COMPUTED_VALUE"""),1.51102122E8)</f>
        <v>151102122</v>
      </c>
      <c r="H2650" s="148">
        <f>IFERROR(__xludf.DUMMYFUNCTION("""COMPUTED_VALUE"""),1.5112564E7)</f>
        <v>15112564</v>
      </c>
      <c r="I2650" s="148" t="str">
        <f>IFERROR(__xludf.DUMMYFUNCTION("""COMPUTED_VALUE"""),"{""typ"":""lc"",""txt"":""LC_ITEM_time_day_upper_show"",""args"":[{""typ"":""int"",""val"":7}]}")</f>
        <v>{"typ":"lc","txt":"LC_ITEM_time_day_upper_show","args":[{"typ":"int","val":7}]}</v>
      </c>
      <c r="J2650" s="148" t="str">
        <f>IFERROR(__xludf.DUMMYFUNCTION("""COMPUTED_VALUE"""),"{""typ"":""lc"",""txt"":""LC_ITEM_sea_2025_city_cannon_name_7day""}")</f>
        <v>{"typ":"lc","txt":"LC_ITEM_sea_2025_city_cannon_name_7day"}</v>
      </c>
      <c r="K2650" s="148" t="str">
        <f>IFERROR(__xludf.DUMMYFUNCTION("""COMPUTED_VALUE"""),"{""typ"":""lc"",""txt"":""LC_ITEM_sea_2025_city_cannon_desc_7day""}")</f>
        <v>{"typ":"lc","txt":"LC_ITEM_sea_2025_city_cannon_desc_7day"}</v>
      </c>
      <c r="L2650" s="148" t="str">
        <f>IFERROR(__xludf.DUMMYFUNCTION("""COMPUTED_VALUE"""),"{""typ"":""lc"",""txt"":""LC_ASSET_suit_actived_tips_1""}")</f>
        <v>{"typ":"lc","txt":"LC_ASSET_suit_actived_tips_1"}</v>
      </c>
      <c r="M2650" s="148">
        <f>IFERROR(__xludf.DUMMYFUNCTION("""COMPUTED_VALUE"""),10000.0)</f>
        <v>10000</v>
      </c>
      <c r="N2650" s="148">
        <f>IFERROR(__xludf.DUMMYFUNCTION("""COMPUTED_VALUE"""),999.0)</f>
        <v>999</v>
      </c>
      <c r="O2650" s="148">
        <f>IFERROR(__xludf.DUMMYFUNCTION("""COMPUTED_VALUE"""),1.0)</f>
        <v>1</v>
      </c>
      <c r="P2650" s="148">
        <f>IFERROR(__xludf.DUMMYFUNCTION("""COMPUTED_VALUE"""),1.0)</f>
        <v>1</v>
      </c>
      <c r="Q2650" s="148" t="str">
        <f>IFERROR(__xludf.DUMMYFUNCTION("""COMPUTED_VALUE"""),"[""bag_other""]")</f>
        <v>["bag_other"]</v>
      </c>
      <c r="R2650" s="148" t="str">
        <f>IFERROR(__xludf.DUMMYFUNCTION("""COMPUTED_VALUE"""),"[""bag"",""13881005""]")</f>
        <v>["bag","13881005"]</v>
      </c>
      <c r="S2650" s="148" t="str">
        <f>IFERROR(__xludf.DUMMYFUNCTION("""COMPUTED_VALUE"""),"{""effect"":[{""typ"":""city_suit_decoration"",""id"":13881005,""val"":604800000},{""typ"":""item"",""id"":11111021,""val"":3}]}")</f>
        <v>{"effect":[{"typ":"city_suit_decoration","id":13881005,"val":604800000},{"typ":"item","id":11111021,"val":3}]}</v>
      </c>
      <c r="T2650" s="148">
        <f>IFERROR(__xludf.DUMMYFUNCTION("""COMPUTED_VALUE"""),-1.0)</f>
        <v>-1</v>
      </c>
      <c r="U2650" s="148">
        <f>IFERROR(__xludf.DUMMYFUNCTION("""COMPUTED_VALUE"""),0.0)</f>
        <v>0</v>
      </c>
      <c r="V2650" s="148" t="str">
        <f>IFERROR(__xludf.DUMMYFUNCTION("""COMPUTED_VALUE"""),"[]")</f>
        <v>[]</v>
      </c>
      <c r="W2650" s="148">
        <f>IFERROR(__xludf.DUMMYFUNCTION("""COMPUTED_VALUE"""),1.174E7)</f>
        <v>11740000</v>
      </c>
      <c r="X2650" s="148">
        <f>IFERROR(__xludf.DUMMYFUNCTION("""COMPUTED_VALUE"""),0.0)</f>
        <v>0</v>
      </c>
      <c r="Y2650" s="148">
        <f>IFERROR(__xludf.DUMMYFUNCTION("""COMPUTED_VALUE"""),0.0)</f>
        <v>0</v>
      </c>
      <c r="Z2650" s="148"/>
    </row>
    <row r="2651">
      <c r="A2651" s="148">
        <f>IFERROR(__xludf.DUMMYFUNCTION("""COMPUTED_VALUE"""),1.1119602E7)</f>
        <v>11119602</v>
      </c>
      <c r="B2651" s="148" t="str">
        <f>IFERROR(__xludf.DUMMYFUNCTION("""COMPUTED_VALUE"""),"主城炮弹-深海节2025-14天")</f>
        <v>主城炮弹-深海节2025-14天</v>
      </c>
      <c r="C2651" s="148"/>
      <c r="D2651" s="148" t="str">
        <f>IFERROR(__xludf.DUMMYFUNCTION("""COMPUTED_VALUE"""),"city_suit_decoration")</f>
        <v>city_suit_decoration</v>
      </c>
      <c r="E2651" s="148">
        <f>IFERROR(__xludf.DUMMYFUNCTION("""COMPUTED_VALUE"""),21.0)</f>
        <v>21</v>
      </c>
      <c r="F2651" s="148">
        <f>IFERROR(__xludf.DUMMYFUNCTION("""COMPUTED_VALUE"""),499992.0)</f>
        <v>499992</v>
      </c>
      <c r="G2651" s="148">
        <f>IFERROR(__xludf.DUMMYFUNCTION("""COMPUTED_VALUE"""),1.51102122E8)</f>
        <v>151102122</v>
      </c>
      <c r="H2651" s="148">
        <f>IFERROR(__xludf.DUMMYFUNCTION("""COMPUTED_VALUE"""),1.5112564E7)</f>
        <v>15112564</v>
      </c>
      <c r="I2651" s="148" t="str">
        <f>IFERROR(__xludf.DUMMYFUNCTION("""COMPUTED_VALUE"""),"{""typ"":""lc"",""txt"":""LC_ITEM_time_day_upper_show"",""args"":[{""typ"":""int"",""val"":14}]}")</f>
        <v>{"typ":"lc","txt":"LC_ITEM_time_day_upper_show","args":[{"typ":"int","val":14}]}</v>
      </c>
      <c r="J2651" s="148" t="str">
        <f>IFERROR(__xludf.DUMMYFUNCTION("""COMPUTED_VALUE"""),"{""typ"":""lc"",""txt"":""LC_ITEM_sea_2025_city_cannon_name_14day""}")</f>
        <v>{"typ":"lc","txt":"LC_ITEM_sea_2025_city_cannon_name_14day"}</v>
      </c>
      <c r="K2651" s="148" t="str">
        <f>IFERROR(__xludf.DUMMYFUNCTION("""COMPUTED_VALUE"""),"{""typ"":""lc"",""txt"":""LC_ITEM_sea_2025_city_cannon_desc_14day""}")</f>
        <v>{"typ":"lc","txt":"LC_ITEM_sea_2025_city_cannon_desc_14day"}</v>
      </c>
      <c r="L2651" s="148" t="str">
        <f>IFERROR(__xludf.DUMMYFUNCTION("""COMPUTED_VALUE"""),"{""typ"":""lc"",""txt"":""LC_ASSET_suit_actived_tips_1""}")</f>
        <v>{"typ":"lc","txt":"LC_ASSET_suit_actived_tips_1"}</v>
      </c>
      <c r="M2651" s="148">
        <f>IFERROR(__xludf.DUMMYFUNCTION("""COMPUTED_VALUE"""),10000.0)</f>
        <v>10000</v>
      </c>
      <c r="N2651" s="148">
        <f>IFERROR(__xludf.DUMMYFUNCTION("""COMPUTED_VALUE"""),999.0)</f>
        <v>999</v>
      </c>
      <c r="O2651" s="148">
        <f>IFERROR(__xludf.DUMMYFUNCTION("""COMPUTED_VALUE"""),1.0)</f>
        <v>1</v>
      </c>
      <c r="P2651" s="148">
        <f>IFERROR(__xludf.DUMMYFUNCTION("""COMPUTED_VALUE"""),1.0)</f>
        <v>1</v>
      </c>
      <c r="Q2651" s="148" t="str">
        <f>IFERROR(__xludf.DUMMYFUNCTION("""COMPUTED_VALUE"""),"[""bag_other""]")</f>
        <v>["bag_other"]</v>
      </c>
      <c r="R2651" s="148" t="str">
        <f>IFERROR(__xludf.DUMMYFUNCTION("""COMPUTED_VALUE"""),"[""bag"",""13881005""]")</f>
        <v>["bag","13881005"]</v>
      </c>
      <c r="S2651" s="148" t="str">
        <f>IFERROR(__xludf.DUMMYFUNCTION("""COMPUTED_VALUE"""),"{""effect"":[{""typ"":""city_suit_decoration"",""id"":13881005,""val"":1209600000},{""typ"":""item"",""id"":11111021,""val"":7}]}")</f>
        <v>{"effect":[{"typ":"city_suit_decoration","id":13881005,"val":1209600000},{"typ":"item","id":11111021,"val":7}]}</v>
      </c>
      <c r="T2651" s="148">
        <f>IFERROR(__xludf.DUMMYFUNCTION("""COMPUTED_VALUE"""),-1.0)</f>
        <v>-1</v>
      </c>
      <c r="U2651" s="148">
        <f>IFERROR(__xludf.DUMMYFUNCTION("""COMPUTED_VALUE"""),0.0)</f>
        <v>0</v>
      </c>
      <c r="V2651" s="148" t="str">
        <f>IFERROR(__xludf.DUMMYFUNCTION("""COMPUTED_VALUE"""),"[]")</f>
        <v>[]</v>
      </c>
      <c r="W2651" s="148">
        <f>IFERROR(__xludf.DUMMYFUNCTION("""COMPUTED_VALUE"""),1.174E7)</f>
        <v>11740000</v>
      </c>
      <c r="X2651" s="148">
        <f>IFERROR(__xludf.DUMMYFUNCTION("""COMPUTED_VALUE"""),0.0)</f>
        <v>0</v>
      </c>
      <c r="Y2651" s="148">
        <f>IFERROR(__xludf.DUMMYFUNCTION("""COMPUTED_VALUE"""),0.0)</f>
        <v>0</v>
      </c>
      <c r="Z2651" s="148"/>
    </row>
    <row r="2652">
      <c r="A2652" s="148">
        <f>IFERROR(__xludf.DUMMYFUNCTION("""COMPUTED_VALUE"""),1.1119603E7)</f>
        <v>11119603</v>
      </c>
      <c r="B2652" s="148" t="str">
        <f>IFERROR(__xludf.DUMMYFUNCTION("""COMPUTED_VALUE"""),"2025深海节-主城特效")</f>
        <v>2025深海节-主城特效</v>
      </c>
      <c r="C2652" s="148"/>
      <c r="D2652" s="148" t="str">
        <f>IFERROR(__xludf.DUMMYFUNCTION("""COMPUTED_VALUE"""),"city_suit_decoration")</f>
        <v>city_suit_decoration</v>
      </c>
      <c r="E2652" s="148">
        <f>IFERROR(__xludf.DUMMYFUNCTION("""COMPUTED_VALUE"""),0.0)</f>
        <v>0</v>
      </c>
      <c r="F2652" s="148">
        <f>IFERROR(__xludf.DUMMYFUNCTION("""COMPUTED_VALUE"""),499999.0)</f>
        <v>499999</v>
      </c>
      <c r="G2652" s="148">
        <f>IFERROR(__xludf.DUMMYFUNCTION("""COMPUTED_VALUE"""),1.51102123E8)</f>
        <v>151102123</v>
      </c>
      <c r="H2652" s="148">
        <f>IFERROR(__xludf.DUMMYFUNCTION("""COMPUTED_VALUE"""),1.51101093E8)</f>
        <v>151101093</v>
      </c>
      <c r="I2652" s="148" t="str">
        <f>IFERROR(__xludf.DUMMYFUNCTION("""COMPUTED_VALUE"""),"{}")</f>
        <v>{}</v>
      </c>
      <c r="J2652" s="148" t="str">
        <f>IFERROR(__xludf.DUMMYFUNCTION("""COMPUTED_VALUE"""),"{""typ"":""lc"",""txt"":""LC_ITEM_sea_2025_city_effect_name""}")</f>
        <v>{"typ":"lc","txt":"LC_ITEM_sea_2025_city_effect_name"}</v>
      </c>
      <c r="K2652" s="148" t="str">
        <f>IFERROR(__xludf.DUMMYFUNCTION("""COMPUTED_VALUE"""),"{""typ"":""lc"",""txt"":""LC_ITEM_sea_2025_city_effect_desc""}")</f>
        <v>{"typ":"lc","txt":"LC_ITEM_sea_2025_city_effect_desc"}</v>
      </c>
      <c r="L2652" s="148" t="str">
        <f>IFERROR(__xludf.DUMMYFUNCTION("""COMPUTED_VALUE"""),"{""typ"":""lc"",""txt"":""LC_ASSET_suit_actived_tips_1""}")</f>
        <v>{"typ":"lc","txt":"LC_ASSET_suit_actived_tips_1"}</v>
      </c>
      <c r="M2652" s="148">
        <f>IFERROR(__xludf.DUMMYFUNCTION("""COMPUTED_VALUE"""),10000.0)</f>
        <v>10000</v>
      </c>
      <c r="N2652" s="148">
        <f>IFERROR(__xludf.DUMMYFUNCTION("""COMPUTED_VALUE"""),999999.0)</f>
        <v>999999</v>
      </c>
      <c r="O2652" s="148">
        <f>IFERROR(__xludf.DUMMYFUNCTION("""COMPUTED_VALUE"""),99999.0)</f>
        <v>99999</v>
      </c>
      <c r="P2652" s="148">
        <f>IFERROR(__xludf.DUMMYFUNCTION("""COMPUTED_VALUE"""),1.0)</f>
        <v>1</v>
      </c>
      <c r="Q2652" s="148" t="str">
        <f>IFERROR(__xludf.DUMMYFUNCTION("""COMPUTED_VALUE"""),"[""bag_other""]")</f>
        <v>["bag_other"]</v>
      </c>
      <c r="R2652" s="148" t="str">
        <f>IFERROR(__xludf.DUMMYFUNCTION("""COMPUTED_VALUE"""),"[""bag"",""13881006""]")</f>
        <v>["bag","13881006"]</v>
      </c>
      <c r="S2652" s="148" t="str">
        <f>IFERROR(__xludf.DUMMYFUNCTION("""COMPUTED_VALUE"""),"{""effect"":[{""typ"":""city_suit_decoration"",""id"":13881006,""val"":-1},{""typ"":""item"",""id"":11111034,""val"":10}]}")</f>
        <v>{"effect":[{"typ":"city_suit_decoration","id":13881006,"val":-1},{"typ":"item","id":11111034,"val":10}]}</v>
      </c>
      <c r="T2652" s="148">
        <f>IFERROR(__xludf.DUMMYFUNCTION("""COMPUTED_VALUE"""),-1.0)</f>
        <v>-1</v>
      </c>
      <c r="U2652" s="148">
        <f>IFERROR(__xludf.DUMMYFUNCTION("""COMPUTED_VALUE"""),0.0)</f>
        <v>0</v>
      </c>
      <c r="V2652" s="148" t="str">
        <f>IFERROR(__xludf.DUMMYFUNCTION("""COMPUTED_VALUE"""),"[]")</f>
        <v>[]</v>
      </c>
      <c r="W2652" s="148">
        <f>IFERROR(__xludf.DUMMYFUNCTION("""COMPUTED_VALUE"""),1.174E7)</f>
        <v>11740000</v>
      </c>
      <c r="X2652" s="148">
        <f>IFERROR(__xludf.DUMMYFUNCTION("""COMPUTED_VALUE"""),0.0)</f>
        <v>0</v>
      </c>
      <c r="Y2652" s="148">
        <f>IFERROR(__xludf.DUMMYFUNCTION("""COMPUTED_VALUE"""),0.0)</f>
        <v>0</v>
      </c>
      <c r="Z2652" s="148"/>
    </row>
    <row r="2653">
      <c r="A2653" s="148">
        <f>IFERROR(__xludf.DUMMYFUNCTION("""COMPUTED_VALUE"""),1.1119604E7)</f>
        <v>11119604</v>
      </c>
      <c r="B2653" s="148" t="str">
        <f>IFERROR(__xludf.DUMMYFUNCTION("""COMPUTED_VALUE"""),"主城特效-深海节2025-2天")</f>
        <v>主城特效-深海节2025-2天</v>
      </c>
      <c r="C2653" s="148"/>
      <c r="D2653" s="148" t="str">
        <f>IFERROR(__xludf.DUMMYFUNCTION("""COMPUTED_VALUE"""),"city_suit_decoration")</f>
        <v>city_suit_decoration</v>
      </c>
      <c r="E2653" s="148">
        <f>IFERROR(__xludf.DUMMYFUNCTION("""COMPUTED_VALUE"""),21.0)</f>
        <v>21</v>
      </c>
      <c r="F2653" s="148">
        <f>IFERROR(__xludf.DUMMYFUNCTION("""COMPUTED_VALUE"""),499988.0)</f>
        <v>499988</v>
      </c>
      <c r="G2653" s="148">
        <f>IFERROR(__xludf.DUMMYFUNCTION("""COMPUTED_VALUE"""),1.51102123E8)</f>
        <v>151102123</v>
      </c>
      <c r="H2653" s="148">
        <f>IFERROR(__xludf.DUMMYFUNCTION("""COMPUTED_VALUE"""),1.5112563E7)</f>
        <v>15112563</v>
      </c>
      <c r="I2653" s="148" t="str">
        <f>IFERROR(__xludf.DUMMYFUNCTION("""COMPUTED_VALUE"""),"{""typ"":""lc"",""txt"":""LC_ITEM_time_day_upper_show"",""args"":[{""typ"":""int"",""val"":2}]}")</f>
        <v>{"typ":"lc","txt":"LC_ITEM_time_day_upper_show","args":[{"typ":"int","val":2}]}</v>
      </c>
      <c r="J2653" s="148" t="str">
        <f>IFERROR(__xludf.DUMMYFUNCTION("""COMPUTED_VALUE"""),"{""typ"":""lc"",""txt"":""LC_ITEM_sea_2025_city_effect_name_2day""}")</f>
        <v>{"typ":"lc","txt":"LC_ITEM_sea_2025_city_effect_name_2day"}</v>
      </c>
      <c r="K2653" s="148" t="str">
        <f>IFERROR(__xludf.DUMMYFUNCTION("""COMPUTED_VALUE"""),"{""typ"":""lc"",""txt"":""LC_ITEM_sea_2025_city_cannon_desc_2day""}")</f>
        <v>{"typ":"lc","txt":"LC_ITEM_sea_2025_city_cannon_desc_2day"}</v>
      </c>
      <c r="L2653" s="148" t="str">
        <f>IFERROR(__xludf.DUMMYFUNCTION("""COMPUTED_VALUE"""),"{""typ"":""lc"",""txt"":""LC_ASSET_suit_actived_tips_1""}")</f>
        <v>{"typ":"lc","txt":"LC_ASSET_suit_actived_tips_1"}</v>
      </c>
      <c r="M2653" s="148">
        <f>IFERROR(__xludf.DUMMYFUNCTION("""COMPUTED_VALUE"""),500.0)</f>
        <v>500</v>
      </c>
      <c r="N2653" s="148">
        <f>IFERROR(__xludf.DUMMYFUNCTION("""COMPUTED_VALUE"""),999.0)</f>
        <v>999</v>
      </c>
      <c r="O2653" s="148">
        <f>IFERROR(__xludf.DUMMYFUNCTION("""COMPUTED_VALUE"""),1.0)</f>
        <v>1</v>
      </c>
      <c r="P2653" s="148">
        <f>IFERROR(__xludf.DUMMYFUNCTION("""COMPUTED_VALUE"""),1.0)</f>
        <v>1</v>
      </c>
      <c r="Q2653" s="148" t="str">
        <f>IFERROR(__xludf.DUMMYFUNCTION("""COMPUTED_VALUE"""),"[""bag_other""]")</f>
        <v>["bag_other"]</v>
      </c>
      <c r="R2653" s="148" t="str">
        <f>IFERROR(__xludf.DUMMYFUNCTION("""COMPUTED_VALUE"""),"[""bag"",""13881006""]")</f>
        <v>["bag","13881006"]</v>
      </c>
      <c r="S2653" s="148" t="str">
        <f>IFERROR(__xludf.DUMMYFUNCTION("""COMPUTED_VALUE"""),"{""effect"":[{""typ"":""city_suit_decoration"",""id"":13881006,""val"":172800000},{""typ"":""item"",""id"":11111021,""val"":1}]}")</f>
        <v>{"effect":[{"typ":"city_suit_decoration","id":13881006,"val":172800000},{"typ":"item","id":11111021,"val":1}]}</v>
      </c>
      <c r="T2653" s="148">
        <f>IFERROR(__xludf.DUMMYFUNCTION("""COMPUTED_VALUE"""),-1.0)</f>
        <v>-1</v>
      </c>
      <c r="U2653" s="148">
        <f>IFERROR(__xludf.DUMMYFUNCTION("""COMPUTED_VALUE"""),0.0)</f>
        <v>0</v>
      </c>
      <c r="V2653" s="148" t="str">
        <f>IFERROR(__xludf.DUMMYFUNCTION("""COMPUTED_VALUE"""),"[]")</f>
        <v>[]</v>
      </c>
      <c r="W2653" s="148">
        <f>IFERROR(__xludf.DUMMYFUNCTION("""COMPUTED_VALUE"""),1.174E7)</f>
        <v>11740000</v>
      </c>
      <c r="X2653" s="148">
        <f>IFERROR(__xludf.DUMMYFUNCTION("""COMPUTED_VALUE"""),0.0)</f>
        <v>0</v>
      </c>
      <c r="Y2653" s="148">
        <f>IFERROR(__xludf.DUMMYFUNCTION("""COMPUTED_VALUE"""),0.0)</f>
        <v>0</v>
      </c>
      <c r="Z2653" s="148"/>
    </row>
    <row r="2654">
      <c r="A2654" s="148">
        <f>IFERROR(__xludf.DUMMYFUNCTION("""COMPUTED_VALUE"""),1.1119605E7)</f>
        <v>11119605</v>
      </c>
      <c r="B2654" s="148" t="str">
        <f>IFERROR(__xludf.DUMMYFUNCTION("""COMPUTED_VALUE"""),"主城特效-深海节2025-7天")</f>
        <v>主城特效-深海节2025-7天</v>
      </c>
      <c r="C2654" s="148"/>
      <c r="D2654" s="148" t="str">
        <f>IFERROR(__xludf.DUMMYFUNCTION("""COMPUTED_VALUE"""),"city_suit_decoration")</f>
        <v>city_suit_decoration</v>
      </c>
      <c r="E2654" s="148">
        <f>IFERROR(__xludf.DUMMYFUNCTION("""COMPUTED_VALUE"""),21.0)</f>
        <v>21</v>
      </c>
      <c r="F2654" s="148">
        <f>IFERROR(__xludf.DUMMYFUNCTION("""COMPUTED_VALUE"""),499989.0)</f>
        <v>499989</v>
      </c>
      <c r="G2654" s="148">
        <f>IFERROR(__xludf.DUMMYFUNCTION("""COMPUTED_VALUE"""),1.51102123E8)</f>
        <v>151102123</v>
      </c>
      <c r="H2654" s="148">
        <f>IFERROR(__xludf.DUMMYFUNCTION("""COMPUTED_VALUE"""),1.5112564E7)</f>
        <v>15112564</v>
      </c>
      <c r="I2654" s="148" t="str">
        <f>IFERROR(__xludf.DUMMYFUNCTION("""COMPUTED_VALUE"""),"{""typ"":""lc"",""txt"":""LC_ITEM_time_day_upper_show"",""args"":[{""typ"":""int"",""val"":7}]}")</f>
        <v>{"typ":"lc","txt":"LC_ITEM_time_day_upper_show","args":[{"typ":"int","val":7}]}</v>
      </c>
      <c r="J2654" s="148" t="str">
        <f>IFERROR(__xludf.DUMMYFUNCTION("""COMPUTED_VALUE"""),"{""typ"":""lc"",""txt"":""LC_ITEM_sea_2025_city_effect_name_7day""}")</f>
        <v>{"typ":"lc","txt":"LC_ITEM_sea_2025_city_effect_name_7day"}</v>
      </c>
      <c r="K2654" s="148" t="str">
        <f>IFERROR(__xludf.DUMMYFUNCTION("""COMPUTED_VALUE"""),"{""typ"":""lc"",""txt"":""LC_ITEM_sea_2025_city_cannon_desc_7day""}")</f>
        <v>{"typ":"lc","txt":"LC_ITEM_sea_2025_city_cannon_desc_7day"}</v>
      </c>
      <c r="L2654" s="148" t="str">
        <f>IFERROR(__xludf.DUMMYFUNCTION("""COMPUTED_VALUE"""),"{""typ"":""lc"",""txt"":""LC_ASSET_suit_actived_tips_1""}")</f>
        <v>{"typ":"lc","txt":"LC_ASSET_suit_actived_tips_1"}</v>
      </c>
      <c r="M2654" s="148">
        <f>IFERROR(__xludf.DUMMYFUNCTION("""COMPUTED_VALUE"""),10000.0)</f>
        <v>10000</v>
      </c>
      <c r="N2654" s="148">
        <f>IFERROR(__xludf.DUMMYFUNCTION("""COMPUTED_VALUE"""),999.0)</f>
        <v>999</v>
      </c>
      <c r="O2654" s="148">
        <f>IFERROR(__xludf.DUMMYFUNCTION("""COMPUTED_VALUE"""),1.0)</f>
        <v>1</v>
      </c>
      <c r="P2654" s="148">
        <f>IFERROR(__xludf.DUMMYFUNCTION("""COMPUTED_VALUE"""),1.0)</f>
        <v>1</v>
      </c>
      <c r="Q2654" s="148" t="str">
        <f>IFERROR(__xludf.DUMMYFUNCTION("""COMPUTED_VALUE"""),"[""bag_other""]")</f>
        <v>["bag_other"]</v>
      </c>
      <c r="R2654" s="148" t="str">
        <f>IFERROR(__xludf.DUMMYFUNCTION("""COMPUTED_VALUE"""),"[""bag"",""13881006""]")</f>
        <v>["bag","13881006"]</v>
      </c>
      <c r="S2654" s="148" t="str">
        <f>IFERROR(__xludf.DUMMYFUNCTION("""COMPUTED_VALUE"""),"{""effect"":[{""typ"":""city_suit_decoration"",""id"":13881006,""val"":604800000},{""typ"":""item"",""id"":11111021,""val"":3}]}")</f>
        <v>{"effect":[{"typ":"city_suit_decoration","id":13881006,"val":604800000},{"typ":"item","id":11111021,"val":3}]}</v>
      </c>
      <c r="T2654" s="148">
        <f>IFERROR(__xludf.DUMMYFUNCTION("""COMPUTED_VALUE"""),-1.0)</f>
        <v>-1</v>
      </c>
      <c r="U2654" s="148">
        <f>IFERROR(__xludf.DUMMYFUNCTION("""COMPUTED_VALUE"""),0.0)</f>
        <v>0</v>
      </c>
      <c r="V2654" s="148" t="str">
        <f>IFERROR(__xludf.DUMMYFUNCTION("""COMPUTED_VALUE"""),"[]")</f>
        <v>[]</v>
      </c>
      <c r="W2654" s="148">
        <f>IFERROR(__xludf.DUMMYFUNCTION("""COMPUTED_VALUE"""),1.174E7)</f>
        <v>11740000</v>
      </c>
      <c r="X2654" s="148">
        <f>IFERROR(__xludf.DUMMYFUNCTION("""COMPUTED_VALUE"""),0.0)</f>
        <v>0</v>
      </c>
      <c r="Y2654" s="148">
        <f>IFERROR(__xludf.DUMMYFUNCTION("""COMPUTED_VALUE"""),0.0)</f>
        <v>0</v>
      </c>
      <c r="Z2654" s="148"/>
    </row>
    <row r="2655">
      <c r="A2655" s="148">
        <f>IFERROR(__xludf.DUMMYFUNCTION("""COMPUTED_VALUE"""),1.1119606E7)</f>
        <v>11119606</v>
      </c>
      <c r="B2655" s="148" t="str">
        <f>IFERROR(__xludf.DUMMYFUNCTION("""COMPUTED_VALUE"""),"主城特效-深海节2025-14天")</f>
        <v>主城特效-深海节2025-14天</v>
      </c>
      <c r="C2655" s="148"/>
      <c r="D2655" s="148" t="str">
        <f>IFERROR(__xludf.DUMMYFUNCTION("""COMPUTED_VALUE"""),"city_suit_decoration")</f>
        <v>city_suit_decoration</v>
      </c>
      <c r="E2655" s="148">
        <f>IFERROR(__xludf.DUMMYFUNCTION("""COMPUTED_VALUE"""),21.0)</f>
        <v>21</v>
      </c>
      <c r="F2655" s="148">
        <f>IFERROR(__xludf.DUMMYFUNCTION("""COMPUTED_VALUE"""),499990.0)</f>
        <v>499990</v>
      </c>
      <c r="G2655" s="148">
        <f>IFERROR(__xludf.DUMMYFUNCTION("""COMPUTED_VALUE"""),1.51102123E8)</f>
        <v>151102123</v>
      </c>
      <c r="H2655" s="148">
        <f>IFERROR(__xludf.DUMMYFUNCTION("""COMPUTED_VALUE"""),1.5112564E7)</f>
        <v>15112564</v>
      </c>
      <c r="I2655" s="148" t="str">
        <f>IFERROR(__xludf.DUMMYFUNCTION("""COMPUTED_VALUE"""),"{""typ"":""lc"",""txt"":""LC_ITEM_time_day_upper_show"",""args"":[{""typ"":""int"",""val"":14}]}")</f>
        <v>{"typ":"lc","txt":"LC_ITEM_time_day_upper_show","args":[{"typ":"int","val":14}]}</v>
      </c>
      <c r="J2655" s="148" t="str">
        <f>IFERROR(__xludf.DUMMYFUNCTION("""COMPUTED_VALUE"""),"{""typ"":""lc"",""txt"":""LC_ITEM_sea_2025_city_effect_name_14day""}")</f>
        <v>{"typ":"lc","txt":"LC_ITEM_sea_2025_city_effect_name_14day"}</v>
      </c>
      <c r="K2655" s="148" t="str">
        <f>IFERROR(__xludf.DUMMYFUNCTION("""COMPUTED_VALUE"""),"{""typ"":""lc"",""txt"":""LC_ITEM_sea_2025_city_cannon_desc_14day""}")</f>
        <v>{"typ":"lc","txt":"LC_ITEM_sea_2025_city_cannon_desc_14day"}</v>
      </c>
      <c r="L2655" s="148" t="str">
        <f>IFERROR(__xludf.DUMMYFUNCTION("""COMPUTED_VALUE"""),"{""typ"":""lc"",""txt"":""LC_ASSET_suit_actived_tips_1""}")</f>
        <v>{"typ":"lc","txt":"LC_ASSET_suit_actived_tips_1"}</v>
      </c>
      <c r="M2655" s="148">
        <f>IFERROR(__xludf.DUMMYFUNCTION("""COMPUTED_VALUE"""),10000.0)</f>
        <v>10000</v>
      </c>
      <c r="N2655" s="148">
        <f>IFERROR(__xludf.DUMMYFUNCTION("""COMPUTED_VALUE"""),999.0)</f>
        <v>999</v>
      </c>
      <c r="O2655" s="148">
        <f>IFERROR(__xludf.DUMMYFUNCTION("""COMPUTED_VALUE"""),1.0)</f>
        <v>1</v>
      </c>
      <c r="P2655" s="148">
        <f>IFERROR(__xludf.DUMMYFUNCTION("""COMPUTED_VALUE"""),1.0)</f>
        <v>1</v>
      </c>
      <c r="Q2655" s="148" t="str">
        <f>IFERROR(__xludf.DUMMYFUNCTION("""COMPUTED_VALUE"""),"[""bag_other""]")</f>
        <v>["bag_other"]</v>
      </c>
      <c r="R2655" s="148" t="str">
        <f>IFERROR(__xludf.DUMMYFUNCTION("""COMPUTED_VALUE"""),"[""bag"",""13881006""]")</f>
        <v>["bag","13881006"]</v>
      </c>
      <c r="S2655" s="148" t="str">
        <f>IFERROR(__xludf.DUMMYFUNCTION("""COMPUTED_VALUE"""),"{""effect"":[{""typ"":""city_suit_decoration"",""id"":13881006,""val"":1209600000},{""typ"":""item"",""id"":11111021,""val"":7}]}")</f>
        <v>{"effect":[{"typ":"city_suit_decoration","id":13881006,"val":1209600000},{"typ":"item","id":11111021,"val":7}]}</v>
      </c>
      <c r="T2655" s="148">
        <f>IFERROR(__xludf.DUMMYFUNCTION("""COMPUTED_VALUE"""),-1.0)</f>
        <v>-1</v>
      </c>
      <c r="U2655" s="148">
        <f>IFERROR(__xludf.DUMMYFUNCTION("""COMPUTED_VALUE"""),0.0)</f>
        <v>0</v>
      </c>
      <c r="V2655" s="148" t="str">
        <f>IFERROR(__xludf.DUMMYFUNCTION("""COMPUTED_VALUE"""),"[]")</f>
        <v>[]</v>
      </c>
      <c r="W2655" s="148">
        <f>IFERROR(__xludf.DUMMYFUNCTION("""COMPUTED_VALUE"""),1.174E7)</f>
        <v>11740000</v>
      </c>
      <c r="X2655" s="148">
        <f>IFERROR(__xludf.DUMMYFUNCTION("""COMPUTED_VALUE"""),0.0)</f>
        <v>0</v>
      </c>
      <c r="Y2655" s="148">
        <f>IFERROR(__xludf.DUMMYFUNCTION("""COMPUTED_VALUE"""),0.0)</f>
        <v>0</v>
      </c>
      <c r="Z2655" s="148"/>
    </row>
    <row r="2656">
      <c r="A2656" s="148">
        <f>IFERROR(__xludf.DUMMYFUNCTION("""COMPUTED_VALUE"""),1.1119607E7)</f>
        <v>11119607</v>
      </c>
      <c r="B2656" s="148" t="str">
        <f>IFERROR(__xludf.DUMMYFUNCTION("""COMPUTED_VALUE"""),"深海节2025-个人累充抽奖道具")</f>
        <v>深海节2025-个人累充抽奖道具</v>
      </c>
      <c r="C2656" s="148"/>
      <c r="D2656" s="148" t="str">
        <f>IFERROR(__xludf.DUMMYFUNCTION("""COMPUTED_VALUE"""),"event")</f>
        <v>event</v>
      </c>
      <c r="E2656" s="148">
        <f>IFERROR(__xludf.DUMMYFUNCTION("""COMPUTED_VALUE"""),0.0)</f>
        <v>0</v>
      </c>
      <c r="F2656" s="148">
        <f>IFERROR(__xludf.DUMMYFUNCTION("""COMPUTED_VALUE"""),0.0)</f>
        <v>0</v>
      </c>
      <c r="G2656" s="148">
        <f>IFERROR(__xludf.DUMMYFUNCTION("""COMPUTED_VALUE"""),1.51102135E8)</f>
        <v>151102135</v>
      </c>
      <c r="H2656" s="148">
        <f>IFERROR(__xludf.DUMMYFUNCTION("""COMPUTED_VALUE"""),1.5112563E7)</f>
        <v>15112563</v>
      </c>
      <c r="I2656" s="148" t="str">
        <f>IFERROR(__xludf.DUMMYFUNCTION("""COMPUTED_VALUE"""),"{}")</f>
        <v>{}</v>
      </c>
      <c r="J2656" s="148" t="str">
        <f>IFERROR(__xludf.DUMMYFUNCTION("""COMPUTED_VALUE"""),"{""typ"":""lc"",""txt"":""LC_ITEM_sea_super_lotto_name""}")</f>
        <v>{"typ":"lc","txt":"LC_ITEM_sea_super_lotto_name"}</v>
      </c>
      <c r="K2656" s="148" t="str">
        <f>IFERROR(__xludf.DUMMYFUNCTION("""COMPUTED_VALUE"""),"{""typ"":""lc"",""txt"":""LC_ITEM_sea_super_lotto_desc""}")</f>
        <v>{"typ":"lc","txt":"LC_ITEM_sea_super_lotto_desc"}</v>
      </c>
      <c r="L2656" s="148" t="str">
        <f>IFERROR(__xludf.DUMMYFUNCTION("""COMPUTED_VALUE"""),"{}")</f>
        <v>{}</v>
      </c>
      <c r="M2656" s="148">
        <f>IFERROR(__xludf.DUMMYFUNCTION("""COMPUTED_VALUE"""),700.0)</f>
        <v>700</v>
      </c>
      <c r="N2656" s="148">
        <f>IFERROR(__xludf.DUMMYFUNCTION("""COMPUTED_VALUE"""),9.99999999E8)</f>
        <v>999999999</v>
      </c>
      <c r="O2656" s="148">
        <f>IFERROR(__xludf.DUMMYFUNCTION("""COMPUTED_VALUE"""),9.99999999E8)</f>
        <v>999999999</v>
      </c>
      <c r="P2656" s="148">
        <f>IFERROR(__xludf.DUMMYFUNCTION("""COMPUTED_VALUE"""),9.99999999E8)</f>
        <v>999999999</v>
      </c>
      <c r="Q2656" s="148" t="str">
        <f>IFERROR(__xludf.DUMMYFUNCTION("""COMPUTED_VALUE"""),"[""bag_other""]")</f>
        <v>["bag_other"]</v>
      </c>
      <c r="R2656" s="148" t="str">
        <f>IFERROR(__xludf.DUMMYFUNCTION("""COMPUTED_VALUE"""),"[""bag""]")</f>
        <v>["bag"]</v>
      </c>
      <c r="S2656" s="148" t="str">
        <f>IFERROR(__xludf.DUMMYFUNCTION("""COMPUTED_VALUE"""),"{""effect"":[{""typ"":""event"",""id"":21127713}]}")</f>
        <v>{"effect":[{"typ":"event","id":21127713}]}</v>
      </c>
      <c r="T2656" s="148">
        <f>IFERROR(__xludf.DUMMYFUNCTION("""COMPUTED_VALUE"""),1.0)</f>
        <v>1</v>
      </c>
      <c r="U2656" s="148">
        <f>IFERROR(__xludf.DUMMYFUNCTION("""COMPUTED_VALUE"""),0.0)</f>
        <v>0</v>
      </c>
      <c r="V2656" s="148" t="str">
        <f>IFERROR(__xludf.DUMMYFUNCTION("""COMPUTED_VALUE"""),"[]")</f>
        <v>[]</v>
      </c>
      <c r="W2656" s="148">
        <f>IFERROR(__xludf.DUMMYFUNCTION("""COMPUTED_VALUE"""),1.174E7)</f>
        <v>11740000</v>
      </c>
      <c r="X2656" s="148">
        <f>IFERROR(__xludf.DUMMYFUNCTION("""COMPUTED_VALUE"""),0.0)</f>
        <v>0</v>
      </c>
      <c r="Y2656" s="148">
        <f>IFERROR(__xludf.DUMMYFUNCTION("""COMPUTED_VALUE"""),0.0)</f>
        <v>0</v>
      </c>
      <c r="Z2656" s="148"/>
    </row>
    <row r="2657">
      <c r="A2657" s="148">
        <f>IFERROR(__xludf.DUMMYFUNCTION("""COMPUTED_VALUE"""),1.1119608E7)</f>
        <v>11119608</v>
      </c>
      <c r="B2657" s="148" t="str">
        <f>IFERROR(__xludf.DUMMYFUNCTION("""COMPUTED_VALUE"""),"深海节2025-联盟累充抽奖道具")</f>
        <v>深海节2025-联盟累充抽奖道具</v>
      </c>
      <c r="C2657" s="148"/>
      <c r="D2657" s="148" t="str">
        <f>IFERROR(__xludf.DUMMYFUNCTION("""COMPUTED_VALUE"""),"event")</f>
        <v>event</v>
      </c>
      <c r="E2657" s="148">
        <f>IFERROR(__xludf.DUMMYFUNCTION("""COMPUTED_VALUE"""),0.0)</f>
        <v>0</v>
      </c>
      <c r="F2657" s="148">
        <f>IFERROR(__xludf.DUMMYFUNCTION("""COMPUTED_VALUE"""),0.0)</f>
        <v>0</v>
      </c>
      <c r="G2657" s="148">
        <f>IFERROR(__xludf.DUMMYFUNCTION("""COMPUTED_VALUE"""),1.51102136E8)</f>
        <v>151102136</v>
      </c>
      <c r="H2657" s="148">
        <f>IFERROR(__xludf.DUMMYFUNCTION("""COMPUTED_VALUE"""),1.5112563E7)</f>
        <v>15112563</v>
      </c>
      <c r="I2657" s="148" t="str">
        <f>IFERROR(__xludf.DUMMYFUNCTION("""COMPUTED_VALUE"""),"{}")</f>
        <v>{}</v>
      </c>
      <c r="J2657" s="148" t="str">
        <f>IFERROR(__xludf.DUMMYFUNCTION("""COMPUTED_VALUE"""),"{""typ"":""lc"",""txt"":""LC_ITEM_sea_super_lotto_name_2""}")</f>
        <v>{"typ":"lc","txt":"LC_ITEM_sea_super_lotto_name_2"}</v>
      </c>
      <c r="K2657" s="148" t="str">
        <f>IFERROR(__xludf.DUMMYFUNCTION("""COMPUTED_VALUE"""),"{""typ"":""lc"",""txt"":""LC_ITEM_sea_super_lotto_desc_2""}")</f>
        <v>{"typ":"lc","txt":"LC_ITEM_sea_super_lotto_desc_2"}</v>
      </c>
      <c r="L2657" s="148" t="str">
        <f>IFERROR(__xludf.DUMMYFUNCTION("""COMPUTED_VALUE"""),"{}")</f>
        <v>{}</v>
      </c>
      <c r="M2657" s="148">
        <f>IFERROR(__xludf.DUMMYFUNCTION("""COMPUTED_VALUE"""),700.0)</f>
        <v>700</v>
      </c>
      <c r="N2657" s="148">
        <f>IFERROR(__xludf.DUMMYFUNCTION("""COMPUTED_VALUE"""),9.99999999E8)</f>
        <v>999999999</v>
      </c>
      <c r="O2657" s="148">
        <f>IFERROR(__xludf.DUMMYFUNCTION("""COMPUTED_VALUE"""),9.99999999E8)</f>
        <v>999999999</v>
      </c>
      <c r="P2657" s="148">
        <f>IFERROR(__xludf.DUMMYFUNCTION("""COMPUTED_VALUE"""),9.99999999E8)</f>
        <v>999999999</v>
      </c>
      <c r="Q2657" s="148" t="str">
        <f>IFERROR(__xludf.DUMMYFUNCTION("""COMPUTED_VALUE"""),"[""bag_other""]")</f>
        <v>["bag_other"]</v>
      </c>
      <c r="R2657" s="148" t="str">
        <f>IFERROR(__xludf.DUMMYFUNCTION("""COMPUTED_VALUE"""),"[""bag""]")</f>
        <v>["bag"]</v>
      </c>
      <c r="S2657" s="148" t="str">
        <f>IFERROR(__xludf.DUMMYFUNCTION("""COMPUTED_VALUE"""),"{""effect"":[{""typ"":""event"",""id"":21127421}]}")</f>
        <v>{"effect":[{"typ":"event","id":21127421}]}</v>
      </c>
      <c r="T2657" s="148">
        <f>IFERROR(__xludf.DUMMYFUNCTION("""COMPUTED_VALUE"""),-1.0)</f>
        <v>-1</v>
      </c>
      <c r="U2657" s="148">
        <f>IFERROR(__xludf.DUMMYFUNCTION("""COMPUTED_VALUE"""),0.0)</f>
        <v>0</v>
      </c>
      <c r="V2657" s="148" t="str">
        <f>IFERROR(__xludf.DUMMYFUNCTION("""COMPUTED_VALUE"""),"[]")</f>
        <v>[]</v>
      </c>
      <c r="W2657" s="148">
        <f>IFERROR(__xludf.DUMMYFUNCTION("""COMPUTED_VALUE"""),1.174E7)</f>
        <v>11740000</v>
      </c>
      <c r="X2657" s="148">
        <f>IFERROR(__xludf.DUMMYFUNCTION("""COMPUTED_VALUE"""),0.0)</f>
        <v>0</v>
      </c>
      <c r="Y2657" s="148">
        <f>IFERROR(__xludf.DUMMYFUNCTION("""COMPUTED_VALUE"""),0.0)</f>
        <v>0</v>
      </c>
      <c r="Z2657" s="148"/>
    </row>
    <row r="2658">
      <c r="A2658" s="148">
        <f>IFERROR(__xludf.DUMMYFUNCTION("""COMPUTED_VALUE"""),1.1119609E7)</f>
        <v>11119609</v>
      </c>
      <c r="B2658" s="148" t="str">
        <f>IFERROR(__xludf.DUMMYFUNCTION("""COMPUTED_VALUE"""),"深海节自选宝箱")</f>
        <v>深海节自选宝箱</v>
      </c>
      <c r="C2658" s="148"/>
      <c r="D2658" s="148" t="str">
        <f>IFERROR(__xludf.DUMMYFUNCTION("""COMPUTED_VALUE"""),"item_select_box")</f>
        <v>item_select_box</v>
      </c>
      <c r="E2658" s="148">
        <f>IFERROR(__xludf.DUMMYFUNCTION("""COMPUTED_VALUE"""),19.0)</f>
        <v>19</v>
      </c>
      <c r="F2658" s="148">
        <f>IFERROR(__xludf.DUMMYFUNCTION("""COMPUTED_VALUE"""),403308.0)</f>
        <v>403308</v>
      </c>
      <c r="G2658" s="148">
        <f>IFERROR(__xludf.DUMMYFUNCTION("""COMPUTED_VALUE"""),1.51102137E8)</f>
        <v>151102137</v>
      </c>
      <c r="H2658" s="148">
        <f>IFERROR(__xludf.DUMMYFUNCTION("""COMPUTED_VALUE"""),1.5112564E7)</f>
        <v>15112564</v>
      </c>
      <c r="I2658" s="148" t="str">
        <f>IFERROR(__xludf.DUMMYFUNCTION("""COMPUTED_VALUE"""),"{}")</f>
        <v>{}</v>
      </c>
      <c r="J2658" s="148" t="str">
        <f>IFERROR(__xludf.DUMMYFUNCTION("""COMPUTED_VALUE"""),"{""typ"":""lc"",""txt"":""LC_ITEM_sea_cbox_name""}")</f>
        <v>{"typ":"lc","txt":"LC_ITEM_sea_cbox_name"}</v>
      </c>
      <c r="K2658" s="148" t="str">
        <f>IFERROR(__xludf.DUMMYFUNCTION("""COMPUTED_VALUE"""),"{""typ"":""lc"",""txt"":""LC_ITEM_sea_cbox_desc""}")</f>
        <v>{"typ":"lc","txt":"LC_ITEM_sea_cbox_desc"}</v>
      </c>
      <c r="L2658" s="148" t="str">
        <f>IFERROR(__xludf.DUMMYFUNCTION("""COMPUTED_VALUE"""),"{}")</f>
        <v>{}</v>
      </c>
      <c r="M2658" s="148">
        <f>IFERROR(__xludf.DUMMYFUNCTION("""COMPUTED_VALUE"""),750.0)</f>
        <v>750</v>
      </c>
      <c r="N2658" s="148">
        <f>IFERROR(__xludf.DUMMYFUNCTION("""COMPUTED_VALUE"""),999999.0)</f>
        <v>999999</v>
      </c>
      <c r="O2658" s="148">
        <f>IFERROR(__xludf.DUMMYFUNCTION("""COMPUTED_VALUE"""),99999.0)</f>
        <v>99999</v>
      </c>
      <c r="P2658" s="148">
        <f>IFERROR(__xludf.DUMMYFUNCTION("""COMPUTED_VALUE"""),99999.0)</f>
        <v>99999</v>
      </c>
      <c r="Q2658" s="148" t="str">
        <f>IFERROR(__xludf.DUMMYFUNCTION("""COMPUTED_VALUE"""),"[""bag_other""]")</f>
        <v>["bag_other"]</v>
      </c>
      <c r="R2658" s="148" t="str">
        <f>IFERROR(__xludf.DUMMYFUNCTION("""COMPUTED_VALUE"""),"[""bag""]")</f>
        <v>["bag"]</v>
      </c>
      <c r="S2658" s="148" t="str">
        <f>IFERROR(__xludf.DUMMYFUNCTION("""COMPUTED_VALUE"""),"{""select_box"":[{""typ"":""item"",""id"":11112551,""val"":1},{""typ"":""item"",""id"":11112562,""val"":1},{""typ"":""item"",""id"":11112201,""val"":3}]}")</f>
        <v>{"select_box":[{"typ":"item","id":11112551,"val":1},{"typ":"item","id":11112562,"val":1},{"typ":"item","id":11112201,"val":3}]}</v>
      </c>
      <c r="T2658" s="148">
        <f>IFERROR(__xludf.DUMMYFUNCTION("""COMPUTED_VALUE"""),-1.0)</f>
        <v>-1</v>
      </c>
      <c r="U2658" s="148">
        <f>IFERROR(__xludf.DUMMYFUNCTION("""COMPUTED_VALUE"""),0.0)</f>
        <v>0</v>
      </c>
      <c r="V2658" s="148" t="str">
        <f>IFERROR(__xludf.DUMMYFUNCTION("""COMPUTED_VALUE"""),"[]")</f>
        <v>[]</v>
      </c>
      <c r="W2658" s="148">
        <f>IFERROR(__xludf.DUMMYFUNCTION("""COMPUTED_VALUE"""),1.174E7)</f>
        <v>11740000</v>
      </c>
      <c r="X2658" s="148">
        <f>IFERROR(__xludf.DUMMYFUNCTION("""COMPUTED_VALUE"""),0.0)</f>
        <v>0</v>
      </c>
      <c r="Y2658" s="148">
        <f>IFERROR(__xludf.DUMMYFUNCTION("""COMPUTED_VALUE"""),0.0)</f>
        <v>0</v>
      </c>
      <c r="Z2658" s="148"/>
    </row>
    <row r="2659">
      <c r="A2659" s="148">
        <f>IFERROR(__xludf.DUMMYFUNCTION("""COMPUTED_VALUE"""),1.111961E7)</f>
        <v>11119610</v>
      </c>
      <c r="B2659" s="148" t="str">
        <f>IFERROR(__xludf.DUMMYFUNCTION("""COMPUTED_VALUE"""),"S300-斗士-其他代数")</f>
        <v>S300-斗士-其他代数</v>
      </c>
      <c r="C2659" s="148"/>
      <c r="D2659" s="148" t="str">
        <f>IFERROR(__xludf.DUMMYFUNCTION("""COMPUTED_VALUE"""),"item_select_box")</f>
        <v>item_select_box</v>
      </c>
      <c r="E2659" s="148">
        <f>IFERROR(__xludf.DUMMYFUNCTION("""COMPUTED_VALUE"""),19.0)</f>
        <v>19</v>
      </c>
      <c r="F2659" s="148">
        <f>IFERROR(__xludf.DUMMYFUNCTION("""COMPUTED_VALUE"""),305221.0)</f>
        <v>305221</v>
      </c>
      <c r="G2659" s="148">
        <f>IFERROR(__xludf.DUMMYFUNCTION("""COMPUTED_VALUE"""),1.51102333E8)</f>
        <v>151102333</v>
      </c>
      <c r="H2659" s="148">
        <f>IFERROR(__xludf.DUMMYFUNCTION("""COMPUTED_VALUE"""),1.5112563E7)</f>
        <v>15112563</v>
      </c>
      <c r="I2659" s="148" t="str">
        <f>IFERROR(__xludf.DUMMYFUNCTION("""COMPUTED_VALUE"""),"{}")</f>
        <v>{}</v>
      </c>
      <c r="J2659" s="148" t="str">
        <f>IFERROR(__xludf.DUMMYFUNCTION("""COMPUTED_VALUE"""),"{""typ"":""lc"",""txt"":""LC_ITEM_race_car_game_choosen_box_hero_d300_name_1""}")</f>
        <v>{"typ":"lc","txt":"LC_ITEM_race_car_game_choosen_box_hero_d300_name_1"}</v>
      </c>
      <c r="K2659" s="148" t="str">
        <f>IFERROR(__xludf.DUMMYFUNCTION("""COMPUTED_VALUE"""),"{""typ"":""lc"",""txt"":""LC_ITEM_race_car_game_choosen_box_hero_d300_desc_1""}")</f>
        <v>{"typ":"lc","txt":"LC_ITEM_race_car_game_choosen_box_hero_d300_desc_1"}</v>
      </c>
      <c r="L2659" s="148" t="str">
        <f>IFERROR(__xludf.DUMMYFUNCTION("""COMPUTED_VALUE"""),"{}")</f>
        <v>{}</v>
      </c>
      <c r="M2659" s="148">
        <f>IFERROR(__xludf.DUMMYFUNCTION("""COMPUTED_VALUE"""),100.0)</f>
        <v>100</v>
      </c>
      <c r="N2659" s="148">
        <f>IFERROR(__xludf.DUMMYFUNCTION("""COMPUTED_VALUE"""),9.99999999E8)</f>
        <v>999999999</v>
      </c>
      <c r="O2659" s="148">
        <f>IFERROR(__xludf.DUMMYFUNCTION("""COMPUTED_VALUE"""),9.99999999E8)</f>
        <v>999999999</v>
      </c>
      <c r="P2659" s="148">
        <f>IFERROR(__xludf.DUMMYFUNCTION("""COMPUTED_VALUE"""),9.99999999E8)</f>
        <v>999999999</v>
      </c>
      <c r="Q2659" s="148" t="str">
        <f>IFERROR(__xludf.DUMMYFUNCTION("""COMPUTED_VALUE"""),"[""bag_other""]")</f>
        <v>["bag_other"]</v>
      </c>
      <c r="R2659" s="148" t="str">
        <f>IFERROR(__xludf.DUMMYFUNCTION("""COMPUTED_VALUE"""),"[""bag""]")</f>
        <v>["bag"]</v>
      </c>
      <c r="S2659" s="148" t="str">
        <f>IFERROR(__xludf.DUMMYFUNCTION("""COMPUTED_VALUE"""),"{""select_box"":[{""typ"":""item"",""id"":11116213,""val"":1},{""typ"":""item"",""id"":11116214,""val"":1},{""typ"":""item"",""id"":11116217,""val"":1},{""typ"":""item"",""id"":11116218,""val"":1},{""typ"":""item"",""id"":11116221,""val"":1},{""typ"":""it"&amp;"em"",""id"":11116222,""val"":1},{""typ"":""item"",""id"":11116231,""val"":1},{""typ"":""item"",""id"":11116233,""val"":1},{""typ"":""item"",""id"":11116234,""val"":1},{""typ"":""item"",""id"":11116235,""val"":1},{""typ"":""item"",""id"":11116239,""val"":1"&amp;"},{""typ"":""item"",""id"":11116240,""val"":1},{""typ"":""item"",""id"":11116241,""val"":1},{""typ"":""item"",""id"":11116243,""val"":1},{""typ"":""item"",""id"":11116244,""val"":1},{""typ"":""item"",""id"":11116247,""val"":1},{""typ"":""item"",""id"":111"&amp;"16248,""val"":1},{""typ"":""item"",""id"":11116250,""val"":1},{""typ"":""item"",""id"":11116251,""val"":1},{""typ"":""item"",""id"":11116252,""val"":1},{""typ"":""item"",""id"":11116253,""val"":1},{""typ"":""item"",""id"":11116245,""val"":1}]}")</f>
        <v>{"select_box":[{"typ":"item","id":11116213,"val":1},{"typ":"item","id":11116214,"val":1},{"typ":"item","id":11116217,"val":1},{"typ":"item","id":11116218,"val":1},{"typ":"item","id":11116221,"val":1},{"typ":"item","id":11116222,"val":1},{"typ":"item","id":11116231,"val":1},{"typ":"item","id":11116233,"val":1},{"typ":"item","id":11116234,"val":1},{"typ":"item","id":11116235,"val":1},{"typ":"item","id":11116239,"val":1},{"typ":"item","id":11116240,"val":1},{"typ":"item","id":11116241,"val":1},{"typ":"item","id":11116243,"val":1},{"typ":"item","id":11116244,"val":1},{"typ":"item","id":11116247,"val":1},{"typ":"item","id":11116248,"val":1},{"typ":"item","id":11116250,"val":1},{"typ":"item","id":11116251,"val":1},{"typ":"item","id":11116252,"val":1},{"typ":"item","id":11116253,"val":1},{"typ":"item","id":11116245,"val":1}]}</v>
      </c>
      <c r="T2659" s="148">
        <f>IFERROR(__xludf.DUMMYFUNCTION("""COMPUTED_VALUE"""),-1.0)</f>
        <v>-1</v>
      </c>
      <c r="U2659" s="148">
        <f>IFERROR(__xludf.DUMMYFUNCTION("""COMPUTED_VALUE"""),0.0)</f>
        <v>0</v>
      </c>
      <c r="V2659" s="148" t="str">
        <f>IFERROR(__xludf.DUMMYFUNCTION("""COMPUTED_VALUE"""),"[]")</f>
        <v>[]</v>
      </c>
      <c r="W2659" s="148">
        <f>IFERROR(__xludf.DUMMYFUNCTION("""COMPUTED_VALUE"""),1.1741004E7)</f>
        <v>11741004</v>
      </c>
      <c r="X2659" s="148">
        <f>IFERROR(__xludf.DUMMYFUNCTION("""COMPUTED_VALUE"""),0.0)</f>
        <v>0</v>
      </c>
      <c r="Y2659" s="148">
        <f>IFERROR(__xludf.DUMMYFUNCTION("""COMPUTED_VALUE"""),0.0)</f>
        <v>0</v>
      </c>
      <c r="Z2659" s="148"/>
    </row>
    <row r="2660">
      <c r="A2660" s="148">
        <f>IFERROR(__xludf.DUMMYFUNCTION("""COMPUTED_VALUE"""),1.1119611E7)</f>
        <v>11119611</v>
      </c>
      <c r="B2660" s="148" t="str">
        <f>IFERROR(__xludf.DUMMYFUNCTION("""COMPUTED_VALUE"""),"S300-收藏品-红-其他代数-1-9代")</f>
        <v>S300-收藏品-红-其他代数-1-9代</v>
      </c>
      <c r="C2660" s="148"/>
      <c r="D2660" s="148" t="str">
        <f>IFERROR(__xludf.DUMMYFUNCTION("""COMPUTED_VALUE"""),"item_select_box")</f>
        <v>item_select_box</v>
      </c>
      <c r="E2660" s="148">
        <f>IFERROR(__xludf.DUMMYFUNCTION("""COMPUTED_VALUE"""),19.0)</f>
        <v>19</v>
      </c>
      <c r="F2660" s="148">
        <f>IFERROR(__xludf.DUMMYFUNCTION("""COMPUTED_VALUE"""),305221.0)</f>
        <v>305221</v>
      </c>
      <c r="G2660" s="148">
        <f>IFERROR(__xludf.DUMMYFUNCTION("""COMPUTED_VALUE"""),1.51102173E8)</f>
        <v>151102173</v>
      </c>
      <c r="H2660" s="148">
        <f>IFERROR(__xludf.DUMMYFUNCTION("""COMPUTED_VALUE"""),1.5115983E7)</f>
        <v>15115983</v>
      </c>
      <c r="I2660" s="148" t="str">
        <f>IFERROR(__xludf.DUMMYFUNCTION("""COMPUTED_VALUE"""),"{}")</f>
        <v>{}</v>
      </c>
      <c r="J2660" s="148" t="str">
        <f>IFERROR(__xludf.DUMMYFUNCTION("""COMPUTED_VALUE"""),"{""typ"":""lc"",""txt"":""LC_ITEM_race_car_game_choosen_box_collection_red_d300_name_1""}")</f>
        <v>{"typ":"lc","txt":"LC_ITEM_race_car_game_choosen_box_collection_red_d300_name_1"}</v>
      </c>
      <c r="K2660" s="148" t="str">
        <f>IFERROR(__xludf.DUMMYFUNCTION("""COMPUTED_VALUE"""),"{""typ"":""lc"",""txt"":""LC_ITEM_race_car_game_choosen_box_collection_red_d300_desc_1""}")</f>
        <v>{"typ":"lc","txt":"LC_ITEM_race_car_game_choosen_box_collection_red_d300_desc_1"}</v>
      </c>
      <c r="L2660" s="148" t="str">
        <f>IFERROR(__xludf.DUMMYFUNCTION("""COMPUTED_VALUE"""),"{}")</f>
        <v>{}</v>
      </c>
      <c r="M2660" s="148">
        <f>IFERROR(__xludf.DUMMYFUNCTION("""COMPUTED_VALUE"""),100.0)</f>
        <v>100</v>
      </c>
      <c r="N2660" s="148">
        <f>IFERROR(__xludf.DUMMYFUNCTION("""COMPUTED_VALUE"""),9.99999999E8)</f>
        <v>999999999</v>
      </c>
      <c r="O2660" s="148">
        <f>IFERROR(__xludf.DUMMYFUNCTION("""COMPUTED_VALUE"""),9.99999999E8)</f>
        <v>999999999</v>
      </c>
      <c r="P2660" s="148">
        <f>IFERROR(__xludf.DUMMYFUNCTION("""COMPUTED_VALUE"""),9.99999999E8)</f>
        <v>999999999</v>
      </c>
      <c r="Q2660" s="148" t="str">
        <f>IFERROR(__xludf.DUMMYFUNCTION("""COMPUTED_VALUE"""),"[""bag_other""]")</f>
        <v>["bag_other"]</v>
      </c>
      <c r="R2660" s="148" t="str">
        <f>IFERROR(__xludf.DUMMYFUNCTION("""COMPUTED_VALUE"""),"[""bag""]")</f>
        <v>["bag"]</v>
      </c>
      <c r="S2660" s="148" t="str">
        <f>IFERROR(__xludf.DUMMYFUNCTION("""COMPUTED_VALUE"""),"{""select_box"":[{""typ"":""collection"",""id"":11551891,""val"":1},{""typ"":""collection"",""id"":11551901,""val"":1},{""typ"":""collection"",""id"":11551911,""val"":1},{""typ"":""collection"",""id"":11551921,""val"":1},{""typ"":""collection"",""id"":115"&amp;"51931,""val"":1},{""typ"":""collection"",""id"":11551941,""val"":1},{""typ"":""collection"",""id"":11551951,""val"":1},{""typ"":""collection"",""id"":11551961,""val"":1},{""typ"":""collection"",""id"":11551971,""val"":1},{""typ"":""collection"",""id"":115"&amp;"51981,""val"":1},{""typ"":""collection"",""id"":11551991,""val"":1},{""typ"":""collection"",""id"":11552001,""val"":1},{""typ"":""collection"",""id"":11552011,""val"":1},{""typ"":""collection"",""id"":11552021,""val"":1},{""typ"":""collection"",""id"":115"&amp;"52031,""val"":1},{""typ"":""collection"",""id"":11552041,""val"":1},{""typ"":""collection"",""id"":11552051,""val"":1},{""typ"":""collection"",""id"":11552061,""val"":1},{""typ"":""collection"",""id"":11552071,""val"":1},{""typ"":""collection"",""id"":115"&amp;"52081,""val"":1},{""typ"":""collection"",""id"":11552091,""val"":1},{""typ"":""collection"",""id"":11552101,""val"":1},{""typ"":""collection"",""id"":11552111,""val"":1},{""typ"":""collection"",""id"":11552121,""val"":1},{""typ"":""collection"",""id"":115"&amp;"52131,""val"":1},{""typ"":""collection"",""id"":11552141,""val"":1},{""typ"":""collection"",""id"":11552151,""val"":1},{""typ"":""collection"",""id"":11552161,""val"":1},{""typ"":""collection"",""id"":11552171,""val"":1},{""typ"":""collection"",""id"":115"&amp;"52181,""val"":1},{""typ"":""collection"",""id"":11552191,""val"":1},{""typ"":""collection"",""id"":11552201,""val"":1},{""typ"":""collection"",""id"":11552211,""val"":1},{""typ"":""collection"",""id"":11552221,""val"":1},{""typ"":""collection"",""id"":115"&amp;"52231,""val"":1},{""typ"":""collection"",""id"":11552241,""val"":1}]}")</f>
        <v>{"select_box":[{"typ":"collection","id":11551891,"val":1},{"typ":"collection","id":11551901,"val":1},{"typ":"collection","id":11551911,"val":1},{"typ":"collection","id":11551921,"val":1},{"typ":"collection","id":11551931,"val":1},{"typ":"collection","id":11551941,"val":1},{"typ":"collection","id":11551951,"val":1},{"typ":"collection","id":11551961,"val":1},{"typ":"collection","id":11551971,"val":1},{"typ":"collection","id":11551981,"val":1},{"typ":"collection","id":11551991,"val":1},{"typ":"collection","id":11552001,"val":1},{"typ":"collection","id":11552011,"val":1},{"typ":"collection","id":11552021,"val":1},{"typ":"collection","id":11552031,"val":1},{"typ":"collection","id":11552041,"val":1},{"typ":"collection","id":11552051,"val":1},{"typ":"collection","id":11552061,"val":1},{"typ":"collection","id":11552071,"val":1},{"typ":"collection","id":11552081,"val":1},{"typ":"collection","id":11552091,"val":1},{"typ":"collection","id":11552101,"val":1},{"typ":"collection","id":11552111,"val":1},{"typ":"collection","id":11552121,"val":1},{"typ":"collection","id":11552131,"val":1},{"typ":"collection","id":11552141,"val":1},{"typ":"collection","id":11552151,"val":1},{"typ":"collection","id":11552161,"val":1},{"typ":"collection","id":11552171,"val":1},{"typ":"collection","id":11552181,"val":1},{"typ":"collection","id":11552191,"val":1},{"typ":"collection","id":11552201,"val":1},{"typ":"collection","id":11552211,"val":1},{"typ":"collection","id":11552221,"val":1},{"typ":"collection","id":11552231,"val":1},{"typ":"collection","id":11552241,"val":1}]}</v>
      </c>
      <c r="T2660" s="148">
        <f>IFERROR(__xludf.DUMMYFUNCTION("""COMPUTED_VALUE"""),-1.0)</f>
        <v>-1</v>
      </c>
      <c r="U2660" s="148">
        <f>IFERROR(__xludf.DUMMYFUNCTION("""COMPUTED_VALUE"""),0.0)</f>
        <v>0</v>
      </c>
      <c r="V2660" s="148" t="str">
        <f>IFERROR(__xludf.DUMMYFUNCTION("""COMPUTED_VALUE"""),"[]")</f>
        <v>[]</v>
      </c>
      <c r="W2660" s="148">
        <f>IFERROR(__xludf.DUMMYFUNCTION("""COMPUTED_VALUE"""),1.1741004E7)</f>
        <v>11741004</v>
      </c>
      <c r="X2660" s="148">
        <f>IFERROR(__xludf.DUMMYFUNCTION("""COMPUTED_VALUE"""),0.0)</f>
        <v>0</v>
      </c>
      <c r="Y2660" s="148">
        <f>IFERROR(__xludf.DUMMYFUNCTION("""COMPUTED_VALUE"""),0.0)</f>
        <v>0</v>
      </c>
      <c r="Z2660" s="148"/>
    </row>
    <row r="2661">
      <c r="A2661" s="148">
        <f>IFERROR(__xludf.DUMMYFUNCTION("""COMPUTED_VALUE"""),1.1119612E7)</f>
        <v>11119612</v>
      </c>
      <c r="B2661" s="148" t="str">
        <f>IFERROR(__xludf.DUMMYFUNCTION("""COMPUTED_VALUE"""),"赛车活动头像框-激情狂飙")</f>
        <v>赛车活动头像框-激情狂飙</v>
      </c>
      <c r="C2661" s="148"/>
      <c r="D2661" s="148" t="str">
        <f>IFERROR(__xludf.DUMMYFUNCTION("""COMPUTED_VALUE"""),"avatar_frame")</f>
        <v>avatar_frame</v>
      </c>
      <c r="E2661" s="148">
        <f>IFERROR(__xludf.DUMMYFUNCTION("""COMPUTED_VALUE"""),20.0)</f>
        <v>20</v>
      </c>
      <c r="F2661" s="148">
        <f>IFERROR(__xludf.DUMMYFUNCTION("""COMPUTED_VALUE"""),0.0)</f>
        <v>0</v>
      </c>
      <c r="G2661" s="148">
        <f>IFERROR(__xludf.DUMMYFUNCTION("""COMPUTED_VALUE"""),1.51102183E8)</f>
        <v>151102183</v>
      </c>
      <c r="H2661" s="148">
        <f>IFERROR(__xludf.DUMMYFUNCTION("""COMPUTED_VALUE"""),1.5112564E7)</f>
        <v>15112564</v>
      </c>
      <c r="I2661" s="148" t="str">
        <f>IFERROR(__xludf.DUMMYFUNCTION("""COMPUTED_VALUE"""),"{}")</f>
        <v>{}</v>
      </c>
      <c r="J2661" s="148" t="str">
        <f>IFERROR(__xludf.DUMMYFUNCTION("""COMPUTED_VALUE"""),"{""typ"":""lc"",""txt"":""LC_ITEM_racing_avatar_name_2025""}")</f>
        <v>{"typ":"lc","txt":"LC_ITEM_racing_avatar_name_2025"}</v>
      </c>
      <c r="K2661" s="148" t="str">
        <f>IFERROR(__xludf.DUMMYFUNCTION("""COMPUTED_VALUE"""),"{""typ"":""lc"",""txt"":""LC_ITEM_racing_avatar_desc_2025""}")</f>
        <v>{"typ":"lc","txt":"LC_ITEM_racing_avatar_desc_2025"}</v>
      </c>
      <c r="L2661" s="148" t="str">
        <f>IFERROR(__xludf.DUMMYFUNCTION("""COMPUTED_VALUE"""),"{}")</f>
        <v>{}</v>
      </c>
      <c r="M2661" s="148">
        <f>IFERROR(__xludf.DUMMYFUNCTION("""COMPUTED_VALUE"""),1000.0)</f>
        <v>1000</v>
      </c>
      <c r="N2661" s="148">
        <f>IFERROR(__xludf.DUMMYFUNCTION("""COMPUTED_VALUE"""),99.0)</f>
        <v>99</v>
      </c>
      <c r="O2661" s="148">
        <f>IFERROR(__xludf.DUMMYFUNCTION("""COMPUTED_VALUE"""),1.0)</f>
        <v>1</v>
      </c>
      <c r="P2661" s="148">
        <f>IFERROR(__xludf.DUMMYFUNCTION("""COMPUTED_VALUE"""),1.0)</f>
        <v>1</v>
      </c>
      <c r="Q2661" s="148" t="str">
        <f>IFERROR(__xludf.DUMMYFUNCTION("""COMPUTED_VALUE"""),"[]")</f>
        <v>[]</v>
      </c>
      <c r="R2661" s="148" t="str">
        <f>IFERROR(__xludf.DUMMYFUNCTION("""COMPUTED_VALUE"""),"[""11421063""]")</f>
        <v>["11421063"]</v>
      </c>
      <c r="S2661" s="148" t="str">
        <f>IFERROR(__xludf.DUMMYFUNCTION("""COMPUTED_VALUE"""),"{""effect"":[{""typ"":""avatar_frame"",""id"":11421063,""val"":-1},{""typ"":""item"",""id"":11111031,""val"":1000}]}")</f>
        <v>{"effect":[{"typ":"avatar_frame","id":11421063,"val":-1},{"typ":"item","id":11111031,"val":1000}]}</v>
      </c>
      <c r="T2661" s="148">
        <f>IFERROR(__xludf.DUMMYFUNCTION("""COMPUTED_VALUE"""),-1.0)</f>
        <v>-1</v>
      </c>
      <c r="U2661" s="148">
        <f>IFERROR(__xludf.DUMMYFUNCTION("""COMPUTED_VALUE"""),1.0)</f>
        <v>1</v>
      </c>
      <c r="V2661" s="148" t="str">
        <f>IFERROR(__xludf.DUMMYFUNCTION("""COMPUTED_VALUE"""),"[]")</f>
        <v>[]</v>
      </c>
      <c r="W2661" s="148">
        <f>IFERROR(__xludf.DUMMYFUNCTION("""COMPUTED_VALUE"""),1.174E7)</f>
        <v>11740000</v>
      </c>
      <c r="X2661" s="148">
        <f>IFERROR(__xludf.DUMMYFUNCTION("""COMPUTED_VALUE"""),0.0)</f>
        <v>0</v>
      </c>
      <c r="Y2661" s="148">
        <f>IFERROR(__xludf.DUMMYFUNCTION("""COMPUTED_VALUE"""),0.0)</f>
        <v>0</v>
      </c>
      <c r="Z2661" s="148"/>
    </row>
    <row r="2662">
      <c r="A2662" s="148">
        <f>IFERROR(__xludf.DUMMYFUNCTION("""COMPUTED_VALUE"""),1.1119613E7)</f>
        <v>11119613</v>
      </c>
      <c r="B2662" s="148" t="str">
        <f>IFERROR(__xludf.DUMMYFUNCTION("""COMPUTED_VALUE"""),"S300-收藏品-橙-所有代数-12代")</f>
        <v>S300-收藏品-橙-所有代数-12代</v>
      </c>
      <c r="C2662" s="148"/>
      <c r="D2662" s="148" t="str">
        <f>IFERROR(__xludf.DUMMYFUNCTION("""COMPUTED_VALUE"""),"item_select_box")</f>
        <v>item_select_box</v>
      </c>
      <c r="E2662" s="148">
        <f>IFERROR(__xludf.DUMMYFUNCTION("""COMPUTED_VALUE"""),19.0)</f>
        <v>19</v>
      </c>
      <c r="F2662" s="148">
        <f>IFERROR(__xludf.DUMMYFUNCTION("""COMPUTED_VALUE"""),305221.0)</f>
        <v>305221</v>
      </c>
      <c r="G2662" s="148">
        <f>IFERROR(__xludf.DUMMYFUNCTION("""COMPUTED_VALUE"""),1.51102173E8)</f>
        <v>151102173</v>
      </c>
      <c r="H2662" s="148">
        <f>IFERROR(__xludf.DUMMYFUNCTION("""COMPUTED_VALUE"""),1.5112564E7)</f>
        <v>15112564</v>
      </c>
      <c r="I2662" s="148" t="str">
        <f>IFERROR(__xludf.DUMMYFUNCTION("""COMPUTED_VALUE"""),"{}")</f>
        <v>{}</v>
      </c>
      <c r="J2662" s="148" t="str">
        <f>IFERROR(__xludf.DUMMYFUNCTION("""COMPUTED_VALUE"""),"{""typ"":""lc"",""txt"":""LC_ITEM_race_car_game_choosen_box_collection_orange_d300_name_1""}")</f>
        <v>{"typ":"lc","txt":"LC_ITEM_race_car_game_choosen_box_collection_orange_d300_name_1"}</v>
      </c>
      <c r="K2662" s="148" t="str">
        <f>IFERROR(__xludf.DUMMYFUNCTION("""COMPUTED_VALUE"""),"{""typ"":""lc"",""txt"":""LC_ITEM_race_car_game_choosen_box_collection_orange_d300_desc_1""}")</f>
        <v>{"typ":"lc","txt":"LC_ITEM_race_car_game_choosen_box_collection_orange_d300_desc_1"}</v>
      </c>
      <c r="L2662" s="148" t="str">
        <f>IFERROR(__xludf.DUMMYFUNCTION("""COMPUTED_VALUE"""),"{}")</f>
        <v>{}</v>
      </c>
      <c r="M2662" s="148">
        <f>IFERROR(__xludf.DUMMYFUNCTION("""COMPUTED_VALUE"""),100.0)</f>
        <v>100</v>
      </c>
      <c r="N2662" s="148">
        <f>IFERROR(__xludf.DUMMYFUNCTION("""COMPUTED_VALUE"""),9.99999999E8)</f>
        <v>999999999</v>
      </c>
      <c r="O2662" s="148">
        <f>IFERROR(__xludf.DUMMYFUNCTION("""COMPUTED_VALUE"""),9.99999999E8)</f>
        <v>999999999</v>
      </c>
      <c r="P2662" s="148">
        <f>IFERROR(__xludf.DUMMYFUNCTION("""COMPUTED_VALUE"""),9.99999999E8)</f>
        <v>999999999</v>
      </c>
      <c r="Q2662" s="148" t="str">
        <f>IFERROR(__xludf.DUMMYFUNCTION("""COMPUTED_VALUE"""),"[""bag_other""]")</f>
        <v>["bag_other"]</v>
      </c>
      <c r="R2662" s="148" t="str">
        <f>IFERROR(__xludf.DUMMYFUNCTION("""COMPUTED_VALUE"""),"[""bag""]")</f>
        <v>["bag"]</v>
      </c>
      <c r="S2662" s="148" t="str">
        <f>IFERROR(__xludf.DUMMYFUNCTION("""COMPUTED_VALUE"""),"{""select_box"":[{""typ"":""collection"",""id"":11551291,""val"":1},{""typ"":""collection"",""id"":11551301,""val"":1},{""typ"":""collection"",""id"":11551311,""val"":1},{""typ"":""collection"",""id"":11551051,""val"":1},{""typ"":""collection"",""id"":115"&amp;"51061,""val"":1},{""typ"":""collection"",""id"":11551071,""val"":1},{""typ"":""collection"",""id"":11551531,""val"":1},{""typ"":""collection"",""id"":11551541,""val"":1},{""typ"":""collection"",""id"":11551551,""val"":1},{""typ"":""collection"",""id"":115"&amp;"51561,""val"":1},{""typ"":""collection"",""id"":11551571,""val"":1},{""typ"":""collection"",""id"":11551581,""val"":1},{""typ"":""collection"",""id"":11551591,""val"":1},{""typ"":""collection"",""id"":11551601,""val"":1},{""typ"":""collection"",""id"":115"&amp;"51611,""val"":1},{""typ"":""collection"",""id"":11551621,""val"":1},{""typ"":""collection"",""id"":11551631,""val"":1},{""typ"":""collection"",""id"":11551641,""val"":1},{""typ"":""collection"",""id"":11551651,""val"":1},{""typ"":""collection"",""id"":115"&amp;"51661,""val"":1},{""typ"":""collection"",""id"":11551671,""val"":1},{""typ"":""collection"",""id"":11551681,""val"":1},{""typ"":""collection"",""id"":11551691,""val"":1},{""typ"":""collection"",""id"":11551701,""val"":1},{""typ"":""collection"",""id"":115"&amp;"51711,""val"":1},{""typ"":""collection"",""id"":11551721,""val"":1},{""typ"":""collection"",""id"":11551731,""val"":1},{""typ"":""collection"",""id"":11551741,""val"":1},{""typ"":""collection"",""id"":11551751,""val"":1},{""typ"":""collection"",""id"":115"&amp;"51761,""val"":1},{""typ"":""collection"",""id"":11551771,""val"":1},{""typ"":""collection"",""id"":11551781,""val"":1},{""typ"":""collection"",""id"":11551791,""val"":1},{""typ"":""collection"",""id"":11551801,""val"":1},{""typ"":""collection"",""id"":115"&amp;"51811,""val"":1},{""typ"":""collection"",""id"":11551821,""val"":1},{""typ"":""collection"",""id"":11551831,""val"":1},{""typ"":""collection"",""id"":11551841,""val"":1},{""typ"":""collection"",""id"":11551851,""val"":1},{""typ"":""collection"",""id"":115"&amp;"51861,""val"":1},{""typ"":""collection"",""id"":11551871,""val"":1},{""typ"":""collection"",""id"":11551881,""val"":1},{""typ"":""collection"",""id"":11551201,""val"":1},{""typ"":""collection"",""id"":11551211,""val"":1},{""typ"":""collection"",""id"":115"&amp;"51231,""val"":1}]}")</f>
        <v>{"select_box":[{"typ":"collection","id":11551291,"val":1},{"typ":"collection","id":11551301,"val":1},{"typ":"collection","id":11551311,"val":1},{"typ":"collection","id":11551051,"val":1},{"typ":"collection","id":11551061,"val":1},{"typ":"collection","id":11551071,"val":1},{"typ":"collection","id":11551531,"val":1},{"typ":"collection","id":11551541,"val":1},{"typ":"collection","id":11551551,"val":1},{"typ":"collection","id":11551561,"val":1},{"typ":"collection","id":11551571,"val":1},{"typ":"collection","id":11551581,"val":1},{"typ":"collection","id":11551591,"val":1},{"typ":"collection","id":11551601,"val":1},{"typ":"collection","id":11551611,"val":1},{"typ":"collection","id":11551621,"val":1},{"typ":"collection","id":11551631,"val":1},{"typ":"collection","id":11551641,"val":1},{"typ":"collection","id":11551651,"val":1},{"typ":"collection","id":11551661,"val":1},{"typ":"collection","id":11551671,"val":1},{"typ":"collection","id":11551681,"val":1},{"typ":"collection","id":11551691,"val":1},{"typ":"collection","id":11551701,"val":1},{"typ":"collection","id":11551711,"val":1},{"typ":"collection","id":11551721,"val":1},{"typ":"collection","id":11551731,"val":1},{"typ":"collection","id":11551741,"val":1},{"typ":"collection","id":11551751,"val":1},{"typ":"collection","id":11551761,"val":1},{"typ":"collection","id":11551771,"val":1},{"typ":"collection","id":11551781,"val":1},{"typ":"collection","id":11551791,"val":1},{"typ":"collection","id":11551801,"val":1},{"typ":"collection","id":11551811,"val":1},{"typ":"collection","id":11551821,"val":1},{"typ":"collection","id":11551831,"val":1},{"typ":"collection","id":11551841,"val":1},{"typ":"collection","id":11551851,"val":1},{"typ":"collection","id":11551861,"val":1},{"typ":"collection","id":11551871,"val":1},{"typ":"collection","id":11551881,"val":1},{"typ":"collection","id":11551201,"val":1},{"typ":"collection","id":11551211,"val":1},{"typ":"collection","id":11551231,"val":1}]}</v>
      </c>
      <c r="T2662" s="148">
        <f>IFERROR(__xludf.DUMMYFUNCTION("""COMPUTED_VALUE"""),-1.0)</f>
        <v>-1</v>
      </c>
      <c r="U2662" s="148">
        <f>IFERROR(__xludf.DUMMYFUNCTION("""COMPUTED_VALUE"""),0.0)</f>
        <v>0</v>
      </c>
      <c r="V2662" s="148" t="str">
        <f>IFERROR(__xludf.DUMMYFUNCTION("""COMPUTED_VALUE"""),"[]")</f>
        <v>[]</v>
      </c>
      <c r="W2662" s="148">
        <f>IFERROR(__xludf.DUMMYFUNCTION("""COMPUTED_VALUE"""),1.1741004E7)</f>
        <v>11741004</v>
      </c>
      <c r="X2662" s="148">
        <f>IFERROR(__xludf.DUMMYFUNCTION("""COMPUTED_VALUE"""),0.0)</f>
        <v>0</v>
      </c>
      <c r="Y2662" s="148">
        <f>IFERROR(__xludf.DUMMYFUNCTION("""COMPUTED_VALUE"""),0.0)</f>
        <v>0</v>
      </c>
      <c r="Z2662" s="148"/>
    </row>
    <row r="2663">
      <c r="A2663" s="148">
        <f>IFERROR(__xludf.DUMMYFUNCTION("""COMPUTED_VALUE"""),1.1119614E7)</f>
        <v>11119614</v>
      </c>
      <c r="B2663" s="148" t="str">
        <f>IFERROR(__xludf.DUMMYFUNCTION("""COMPUTED_VALUE"""),"S300-斗士-其他代数-1-8")</f>
        <v>S300-斗士-其他代数-1-8</v>
      </c>
      <c r="C2663" s="148"/>
      <c r="D2663" s="148" t="str">
        <f>IFERROR(__xludf.DUMMYFUNCTION("""COMPUTED_VALUE"""),"item_select_box")</f>
        <v>item_select_box</v>
      </c>
      <c r="E2663" s="148">
        <f>IFERROR(__xludf.DUMMYFUNCTION("""COMPUTED_VALUE"""),19.0)</f>
        <v>19</v>
      </c>
      <c r="F2663" s="148">
        <f>IFERROR(__xludf.DUMMYFUNCTION("""COMPUTED_VALUE"""),305221.0)</f>
        <v>305221</v>
      </c>
      <c r="G2663" s="148">
        <f>IFERROR(__xludf.DUMMYFUNCTION("""COMPUTED_VALUE"""),1.51102333E8)</f>
        <v>151102333</v>
      </c>
      <c r="H2663" s="148">
        <f>IFERROR(__xludf.DUMMYFUNCTION("""COMPUTED_VALUE"""),1.5112564E7)</f>
        <v>15112564</v>
      </c>
      <c r="I2663" s="148" t="str">
        <f>IFERROR(__xludf.DUMMYFUNCTION("""COMPUTED_VALUE"""),"{}")</f>
        <v>{}</v>
      </c>
      <c r="J2663" s="148" t="str">
        <f>IFERROR(__xludf.DUMMYFUNCTION("""COMPUTED_VALUE"""),"{""typ"":""lc"",""txt"":""LC_ITEM_race_car_game_choosen_box_hero_d300_name_1""}")</f>
        <v>{"typ":"lc","txt":"LC_ITEM_race_car_game_choosen_box_hero_d300_name_1"}</v>
      </c>
      <c r="K2663" s="148" t="str">
        <f>IFERROR(__xludf.DUMMYFUNCTION("""COMPUTED_VALUE"""),"{""typ"":""lc"",""txt"":""LC_ITEM_race_car_game_choosen_box_hero_d300_desc_1""}")</f>
        <v>{"typ":"lc","txt":"LC_ITEM_race_car_game_choosen_box_hero_d300_desc_1"}</v>
      </c>
      <c r="L2663" s="148" t="str">
        <f>IFERROR(__xludf.DUMMYFUNCTION("""COMPUTED_VALUE"""),"{}")</f>
        <v>{}</v>
      </c>
      <c r="M2663" s="148">
        <f>IFERROR(__xludf.DUMMYFUNCTION("""COMPUTED_VALUE"""),100.0)</f>
        <v>100</v>
      </c>
      <c r="N2663" s="148">
        <f>IFERROR(__xludf.DUMMYFUNCTION("""COMPUTED_VALUE"""),9.99999999E8)</f>
        <v>999999999</v>
      </c>
      <c r="O2663" s="148">
        <f>IFERROR(__xludf.DUMMYFUNCTION("""COMPUTED_VALUE"""),9.99999999E8)</f>
        <v>999999999</v>
      </c>
      <c r="P2663" s="148">
        <f>IFERROR(__xludf.DUMMYFUNCTION("""COMPUTED_VALUE"""),9.99999999E8)</f>
        <v>999999999</v>
      </c>
      <c r="Q2663" s="148" t="str">
        <f>IFERROR(__xludf.DUMMYFUNCTION("""COMPUTED_VALUE"""),"[""bag_other""]")</f>
        <v>["bag_other"]</v>
      </c>
      <c r="R2663" s="148" t="str">
        <f>IFERROR(__xludf.DUMMYFUNCTION("""COMPUTED_VALUE"""),"[""bag""]")</f>
        <v>["bag"]</v>
      </c>
      <c r="S2663" s="148" t="str">
        <f>IFERROR(__xludf.DUMMYFUNCTION("""COMPUTED_VALUE"""),"{""select_box"":[{""typ"":""item"",""id"":11116213,""val"":1},{""typ"":""item"",""id"":11116214,""val"":1},{""typ"":""item"",""id"":11116217,""val"":1},{""typ"":""item"",""id"":11116218,""val"":1},{""typ"":""item"",""id"":11116221,""val"":1},{""typ"":""it"&amp;"em"",""id"":11116222,""val"":1},{""typ"":""item"",""id"":11116231,""val"":1},{""typ"":""item"",""id"":11116233,""val"":1},{""typ"":""item"",""id"":11116234,""val"":1},{""typ"":""item"",""id"":11116235,""val"":1},{""typ"":""item"",""id"":11116239,""val"":1"&amp;"},{""typ"":""item"",""id"":11116240,""val"":1},{""typ"":""item"",""id"":11116241,""val"":1},{""typ"":""item"",""id"":11116243,""val"":1},{""typ"":""item"",""id"":11116244,""val"":1},{""typ"":""item"",""id"":11116247,""val"":1},{""typ"":""item"",""id"":111"&amp;"16248,""val"":1},{""typ"":""item"",""id"":11116250,""val"":1},{""typ"":""item"",""id"":11116251,""val"":1},{""typ"":""item"",""id"":11116252,""val"":1},{""typ"":""item"",""id"":11116253,""val"":1},{""typ"":""item"",""id"":11116245,""val"":1}]}")</f>
        <v>{"select_box":[{"typ":"item","id":11116213,"val":1},{"typ":"item","id":11116214,"val":1},{"typ":"item","id":11116217,"val":1},{"typ":"item","id":11116218,"val":1},{"typ":"item","id":11116221,"val":1},{"typ":"item","id":11116222,"val":1},{"typ":"item","id":11116231,"val":1},{"typ":"item","id":11116233,"val":1},{"typ":"item","id":11116234,"val":1},{"typ":"item","id":11116235,"val":1},{"typ":"item","id":11116239,"val":1},{"typ":"item","id":11116240,"val":1},{"typ":"item","id":11116241,"val":1},{"typ":"item","id":11116243,"val":1},{"typ":"item","id":11116244,"val":1},{"typ":"item","id":11116247,"val":1},{"typ":"item","id":11116248,"val":1},{"typ":"item","id":11116250,"val":1},{"typ":"item","id":11116251,"val":1},{"typ":"item","id":11116252,"val":1},{"typ":"item","id":11116253,"val":1},{"typ":"item","id":11116245,"val":1}]}</v>
      </c>
      <c r="T2663" s="148">
        <f>IFERROR(__xludf.DUMMYFUNCTION("""COMPUTED_VALUE"""),-1.0)</f>
        <v>-1</v>
      </c>
      <c r="U2663" s="148">
        <f>IFERROR(__xludf.DUMMYFUNCTION("""COMPUTED_VALUE"""),0.0)</f>
        <v>0</v>
      </c>
      <c r="V2663" s="148" t="str">
        <f>IFERROR(__xludf.DUMMYFUNCTION("""COMPUTED_VALUE"""),"[]")</f>
        <v>[]</v>
      </c>
      <c r="W2663" s="148">
        <f>IFERROR(__xludf.DUMMYFUNCTION("""COMPUTED_VALUE"""),1.1741004E7)</f>
        <v>11741004</v>
      </c>
      <c r="X2663" s="148">
        <f>IFERROR(__xludf.DUMMYFUNCTION("""COMPUTED_VALUE"""),0.0)</f>
        <v>0</v>
      </c>
      <c r="Y2663" s="148">
        <f>IFERROR(__xludf.DUMMYFUNCTION("""COMPUTED_VALUE"""),0.0)</f>
        <v>0</v>
      </c>
      <c r="Z2663" s="148"/>
    </row>
    <row r="2664">
      <c r="A2664" s="148">
        <f>IFERROR(__xludf.DUMMYFUNCTION("""COMPUTED_VALUE"""),1.1119615E7)</f>
        <v>11119615</v>
      </c>
      <c r="B2664" s="148" t="str">
        <f>IFERROR(__xludf.DUMMYFUNCTION("""COMPUTED_VALUE"""),"S300-收藏品-红--2代-10-12代")</f>
        <v>S300-收藏品-红--2代-10-12代</v>
      </c>
      <c r="C2664" s="148"/>
      <c r="D2664" s="148" t="str">
        <f>IFERROR(__xludf.DUMMYFUNCTION("""COMPUTED_VALUE"""),"item_select_box")</f>
        <v>item_select_box</v>
      </c>
      <c r="E2664" s="148">
        <f>IFERROR(__xludf.DUMMYFUNCTION("""COMPUTED_VALUE"""),19.0)</f>
        <v>19</v>
      </c>
      <c r="F2664" s="148">
        <f>IFERROR(__xludf.DUMMYFUNCTION("""COMPUTED_VALUE"""),305221.0)</f>
        <v>305221</v>
      </c>
      <c r="G2664" s="148">
        <f>IFERROR(__xludf.DUMMYFUNCTION("""COMPUTED_VALUE"""),1.51102173E8)</f>
        <v>151102173</v>
      </c>
      <c r="H2664" s="148">
        <f>IFERROR(__xludf.DUMMYFUNCTION("""COMPUTED_VALUE"""),1.5115983E7)</f>
        <v>15115983</v>
      </c>
      <c r="I2664" s="148" t="str">
        <f>IFERROR(__xludf.DUMMYFUNCTION("""COMPUTED_VALUE"""),"{}")</f>
        <v>{}</v>
      </c>
      <c r="J2664" s="148" t="str">
        <f>IFERROR(__xludf.DUMMYFUNCTION("""COMPUTED_VALUE"""),"{""typ"":""lc"",""txt"":""LC_ITEM_race_car_game_choosen_box_collection_red_d300_name_2""}")</f>
        <v>{"typ":"lc","txt":"LC_ITEM_race_car_game_choosen_box_collection_red_d300_name_2"}</v>
      </c>
      <c r="K2664" s="148" t="str">
        <f>IFERROR(__xludf.DUMMYFUNCTION("""COMPUTED_VALUE"""),"{""typ"":""lc"",""txt"":""LC_ITEM_race_car_game_choosen_box_collection_red_d300_desc_2""}")</f>
        <v>{"typ":"lc","txt":"LC_ITEM_race_car_game_choosen_box_collection_red_d300_desc_2"}</v>
      </c>
      <c r="L2664" s="148" t="str">
        <f>IFERROR(__xludf.DUMMYFUNCTION("""COMPUTED_VALUE"""),"{}")</f>
        <v>{}</v>
      </c>
      <c r="M2664" s="148">
        <f>IFERROR(__xludf.DUMMYFUNCTION("""COMPUTED_VALUE"""),100.0)</f>
        <v>100</v>
      </c>
      <c r="N2664" s="148">
        <f>IFERROR(__xludf.DUMMYFUNCTION("""COMPUTED_VALUE"""),9.99999999E8)</f>
        <v>999999999</v>
      </c>
      <c r="O2664" s="148">
        <f>IFERROR(__xludf.DUMMYFUNCTION("""COMPUTED_VALUE"""),9.99999999E8)</f>
        <v>999999999</v>
      </c>
      <c r="P2664" s="148">
        <f>IFERROR(__xludf.DUMMYFUNCTION("""COMPUTED_VALUE"""),9.99999999E8)</f>
        <v>999999999</v>
      </c>
      <c r="Q2664" s="148" t="str">
        <f>IFERROR(__xludf.DUMMYFUNCTION("""COMPUTED_VALUE"""),"[""bag_other""]")</f>
        <v>["bag_other"]</v>
      </c>
      <c r="R2664" s="148" t="str">
        <f>IFERROR(__xludf.DUMMYFUNCTION("""COMPUTED_VALUE"""),"[""bag""]")</f>
        <v>["bag"]</v>
      </c>
      <c r="S2664" s="148" t="str">
        <f>IFERROR(__xludf.DUMMYFUNCTION("""COMPUTED_VALUE"""),"{""select_box"":[{""typ"":""collection"",""id"":11552251,""val"":1},{""typ"":""collection"",""id"":11552261,""val"":1},{""typ"":""collection"",""id"":11552271,""val"":1},{""typ"":""collection"",""id"":11552281,""val"":1},{""typ"":""collection"",""id"":115"&amp;"52291,""val"":1},{""typ"":""collection"",""id"":11552301,""val"":1},{""typ"":""collection"",""id"":11552311,""val"":1},{""typ"":""collection"",""id"":11552321,""val"":1},{""typ"":""collection"",""id"":11552331,""val"":1},{""typ"":""collection"",""id"":115"&amp;"52341,""val"":1},{""typ"":""collection"",""id"":11552351,""val"":1},{""typ"":""collection"",""id"":11552361,""val"":1}]}")</f>
        <v>{"select_box":[{"typ":"collection","id":11552251,"val":1},{"typ":"collection","id":11552261,"val":1},{"typ":"collection","id":11552271,"val":1},{"typ":"collection","id":11552281,"val":1},{"typ":"collection","id":11552291,"val":1},{"typ":"collection","id":11552301,"val":1},{"typ":"collection","id":11552311,"val":1},{"typ":"collection","id":11552321,"val":1},{"typ":"collection","id":11552331,"val":1},{"typ":"collection","id":11552341,"val":1},{"typ":"collection","id":11552351,"val":1},{"typ":"collection","id":11552361,"val":1}]}</v>
      </c>
      <c r="T2664" s="148">
        <f>IFERROR(__xludf.DUMMYFUNCTION("""COMPUTED_VALUE"""),-1.0)</f>
        <v>-1</v>
      </c>
      <c r="U2664" s="148">
        <f>IFERROR(__xludf.DUMMYFUNCTION("""COMPUTED_VALUE"""),0.0)</f>
        <v>0</v>
      </c>
      <c r="V2664" s="148" t="str">
        <f>IFERROR(__xludf.DUMMYFUNCTION("""COMPUTED_VALUE"""),"[]")</f>
        <v>[]</v>
      </c>
      <c r="W2664" s="148">
        <f>IFERROR(__xludf.DUMMYFUNCTION("""COMPUTED_VALUE"""),1.1741004E7)</f>
        <v>11741004</v>
      </c>
      <c r="X2664" s="148">
        <f>IFERROR(__xludf.DUMMYFUNCTION("""COMPUTED_VALUE"""),0.0)</f>
        <v>0</v>
      </c>
      <c r="Y2664" s="148">
        <f>IFERROR(__xludf.DUMMYFUNCTION("""COMPUTED_VALUE"""),0.0)</f>
        <v>0</v>
      </c>
      <c r="Z2664" s="148"/>
    </row>
    <row r="2665">
      <c r="A2665" s="148">
        <f>IFERROR(__xludf.DUMMYFUNCTION("""COMPUTED_VALUE"""),1.1119616E7)</f>
        <v>11119616</v>
      </c>
      <c r="B2665" s="148" t="str">
        <f>IFERROR(__xludf.DUMMYFUNCTION("""COMPUTED_VALUE"""),"S300-收藏品-红--次新代-13-15代")</f>
        <v>S300-收藏品-红--次新代-13-15代</v>
      </c>
      <c r="C2665" s="148"/>
      <c r="D2665" s="148" t="str">
        <f>IFERROR(__xludf.DUMMYFUNCTION("""COMPUTED_VALUE"""),"item_select_box")</f>
        <v>item_select_box</v>
      </c>
      <c r="E2665" s="148">
        <f>IFERROR(__xludf.DUMMYFUNCTION("""COMPUTED_VALUE"""),19.0)</f>
        <v>19</v>
      </c>
      <c r="F2665" s="148">
        <f>IFERROR(__xludf.DUMMYFUNCTION("""COMPUTED_VALUE"""),305221.0)</f>
        <v>305221</v>
      </c>
      <c r="G2665" s="148">
        <f>IFERROR(__xludf.DUMMYFUNCTION("""COMPUTED_VALUE"""),1.51102173E8)</f>
        <v>151102173</v>
      </c>
      <c r="H2665" s="148">
        <f>IFERROR(__xludf.DUMMYFUNCTION("""COMPUTED_VALUE"""),1.5115983E7)</f>
        <v>15115983</v>
      </c>
      <c r="I2665" s="148" t="str">
        <f>IFERROR(__xludf.DUMMYFUNCTION("""COMPUTED_VALUE"""),"{}")</f>
        <v>{}</v>
      </c>
      <c r="J2665" s="148" t="str">
        <f>IFERROR(__xludf.DUMMYFUNCTION("""COMPUTED_VALUE"""),"{""typ"":""lc"",""txt"":""LC_ITEM_race_car_game_choosen_box_collection_red_d300_name_3""}")</f>
        <v>{"typ":"lc","txt":"LC_ITEM_race_car_game_choosen_box_collection_red_d300_name_3"}</v>
      </c>
      <c r="K2665" s="148" t="str">
        <f>IFERROR(__xludf.DUMMYFUNCTION("""COMPUTED_VALUE"""),"{""typ"":""lc"",""txt"":""LC_ITEM_race_car_game_choosen_box_collection_red_d300_desc_3""}")</f>
        <v>{"typ":"lc","txt":"LC_ITEM_race_car_game_choosen_box_collection_red_d300_desc_3"}</v>
      </c>
      <c r="L2665" s="148" t="str">
        <f>IFERROR(__xludf.DUMMYFUNCTION("""COMPUTED_VALUE"""),"{}")</f>
        <v>{}</v>
      </c>
      <c r="M2665" s="148">
        <f>IFERROR(__xludf.DUMMYFUNCTION("""COMPUTED_VALUE"""),100.0)</f>
        <v>100</v>
      </c>
      <c r="N2665" s="148">
        <f>IFERROR(__xludf.DUMMYFUNCTION("""COMPUTED_VALUE"""),9.99999999E8)</f>
        <v>999999999</v>
      </c>
      <c r="O2665" s="148">
        <f>IFERROR(__xludf.DUMMYFUNCTION("""COMPUTED_VALUE"""),9.99999999E8)</f>
        <v>999999999</v>
      </c>
      <c r="P2665" s="148">
        <f>IFERROR(__xludf.DUMMYFUNCTION("""COMPUTED_VALUE"""),9.99999999E8)</f>
        <v>999999999</v>
      </c>
      <c r="Q2665" s="148" t="str">
        <f>IFERROR(__xludf.DUMMYFUNCTION("""COMPUTED_VALUE"""),"[""bag_other""]")</f>
        <v>["bag_other"]</v>
      </c>
      <c r="R2665" s="148" t="str">
        <f>IFERROR(__xludf.DUMMYFUNCTION("""COMPUTED_VALUE"""),"[""bag""]")</f>
        <v>["bag"]</v>
      </c>
      <c r="S2665" s="148" t="str">
        <f>IFERROR(__xludf.DUMMYFUNCTION("""COMPUTED_VALUE"""),"{""select_box"":[{""typ"":""collection"",""id"":11552371,""val"":1},{""typ"":""collection"",""id"":11552381,""val"":1},{""typ"":""collection"",""id"":11552391,""val"":1},{""typ"":""collection"",""id"":11552431,""val"":1},{""typ"":""collection"",""id"":115"&amp;"52441,""val"":1},{""typ"":""collection"",""id"":11552451,""val"":1},{""typ"":""collection"",""id"":11552491,""val"":1},{""typ"":""collection"",""id"":11552501,""val"":1},{""typ"":""collection"",""id"":11552511,""val"":1},{""typ"":""collection"",""id"":115"&amp;"52551,""val"":1},{""typ"":""collection"",""id"":11552561,""val"":1},{""typ"":""collection"",""id"":11552571,""val"":1}]}")</f>
        <v>{"select_box":[{"typ":"collection","id":11552371,"val":1},{"typ":"collection","id":11552381,"val":1},{"typ":"collection","id":11552391,"val":1},{"typ":"collection","id":11552431,"val":1},{"typ":"collection","id":11552441,"val":1},{"typ":"collection","id":11552451,"val":1},{"typ":"collection","id":11552491,"val":1},{"typ":"collection","id":11552501,"val":1},{"typ":"collection","id":11552511,"val":1},{"typ":"collection","id":11552551,"val":1},{"typ":"collection","id":11552561,"val":1},{"typ":"collection","id":11552571,"val":1}]}</v>
      </c>
      <c r="T2665" s="148">
        <f>IFERROR(__xludf.DUMMYFUNCTION("""COMPUTED_VALUE"""),-1.0)</f>
        <v>-1</v>
      </c>
      <c r="U2665" s="148">
        <f>IFERROR(__xludf.DUMMYFUNCTION("""COMPUTED_VALUE"""),0.0)</f>
        <v>0</v>
      </c>
      <c r="V2665" s="148" t="str">
        <f>IFERROR(__xludf.DUMMYFUNCTION("""COMPUTED_VALUE"""),"[]")</f>
        <v>[]</v>
      </c>
      <c r="W2665" s="148">
        <f>IFERROR(__xludf.DUMMYFUNCTION("""COMPUTED_VALUE"""),1.1741004E7)</f>
        <v>11741004</v>
      </c>
      <c r="X2665" s="148">
        <f>IFERROR(__xludf.DUMMYFUNCTION("""COMPUTED_VALUE"""),0.0)</f>
        <v>0</v>
      </c>
      <c r="Y2665" s="148">
        <f>IFERROR(__xludf.DUMMYFUNCTION("""COMPUTED_VALUE"""),0.0)</f>
        <v>0</v>
      </c>
      <c r="Z2665" s="148"/>
    </row>
    <row r="2666">
      <c r="A2666" s="148">
        <f>IFERROR(__xludf.DUMMYFUNCTION("""COMPUTED_VALUE"""),1.1119617E7)</f>
        <v>11119617</v>
      </c>
      <c r="B2666" s="148" t="str">
        <f>IFERROR(__xludf.DUMMYFUNCTION("""COMPUTED_VALUE"""),"S300-斗士--2代-9代")</f>
        <v>S300-斗士--2代-9代</v>
      </c>
      <c r="C2666" s="148"/>
      <c r="D2666" s="148" t="str">
        <f>IFERROR(__xludf.DUMMYFUNCTION("""COMPUTED_VALUE"""),"item_select_box")</f>
        <v>item_select_box</v>
      </c>
      <c r="E2666" s="148">
        <f>IFERROR(__xludf.DUMMYFUNCTION("""COMPUTED_VALUE"""),19.0)</f>
        <v>19</v>
      </c>
      <c r="F2666" s="148">
        <f>IFERROR(__xludf.DUMMYFUNCTION("""COMPUTED_VALUE"""),305221.0)</f>
        <v>305221</v>
      </c>
      <c r="G2666" s="148">
        <f>IFERROR(__xludf.DUMMYFUNCTION("""COMPUTED_VALUE"""),1.51102333E8)</f>
        <v>151102333</v>
      </c>
      <c r="H2666" s="148">
        <f>IFERROR(__xludf.DUMMYFUNCTION("""COMPUTED_VALUE"""),1.5112564E7)</f>
        <v>15112564</v>
      </c>
      <c r="I2666" s="148" t="str">
        <f>IFERROR(__xludf.DUMMYFUNCTION("""COMPUTED_VALUE"""),"{}")</f>
        <v>{}</v>
      </c>
      <c r="J2666" s="148" t="str">
        <f>IFERROR(__xludf.DUMMYFUNCTION("""COMPUTED_VALUE"""),"{""typ"":""lc"",""txt"":""LC_ITEM_race_car_game_choosen_box_hero_d300_name_2""}")</f>
        <v>{"typ":"lc","txt":"LC_ITEM_race_car_game_choosen_box_hero_d300_name_2"}</v>
      </c>
      <c r="K2666" s="148" t="str">
        <f>IFERROR(__xludf.DUMMYFUNCTION("""COMPUTED_VALUE"""),"{""typ"":""lc"",""txt"":""LC_ITEM_race_car_game_choosen_box_hero_d300_desc_2""}")</f>
        <v>{"typ":"lc","txt":"LC_ITEM_race_car_game_choosen_box_hero_d300_desc_2"}</v>
      </c>
      <c r="L2666" s="148" t="str">
        <f>IFERROR(__xludf.DUMMYFUNCTION("""COMPUTED_VALUE"""),"{}")</f>
        <v>{}</v>
      </c>
      <c r="M2666" s="148">
        <f>IFERROR(__xludf.DUMMYFUNCTION("""COMPUTED_VALUE"""),100.0)</f>
        <v>100</v>
      </c>
      <c r="N2666" s="148">
        <f>IFERROR(__xludf.DUMMYFUNCTION("""COMPUTED_VALUE"""),9.99999999E8)</f>
        <v>999999999</v>
      </c>
      <c r="O2666" s="148">
        <f>IFERROR(__xludf.DUMMYFUNCTION("""COMPUTED_VALUE"""),9.99999999E8)</f>
        <v>999999999</v>
      </c>
      <c r="P2666" s="148">
        <f>IFERROR(__xludf.DUMMYFUNCTION("""COMPUTED_VALUE"""),9.99999999E8)</f>
        <v>999999999</v>
      </c>
      <c r="Q2666" s="148" t="str">
        <f>IFERROR(__xludf.DUMMYFUNCTION("""COMPUTED_VALUE"""),"[""bag_other""]")</f>
        <v>["bag_other"]</v>
      </c>
      <c r="R2666" s="148" t="str">
        <f>IFERROR(__xludf.DUMMYFUNCTION("""COMPUTED_VALUE"""),"[""bag""]")</f>
        <v>["bag"]</v>
      </c>
      <c r="S2666" s="148" t="str">
        <f>IFERROR(__xludf.DUMMYFUNCTION("""COMPUTED_VALUE"""),"{""select_box"":[{""typ"":""item"",""id"":11116255,""val"":1},{""typ"":""item"",""id"":11116256,""val"":1},{""typ"":""item"",""id"":11116257,""val"":1}]}")</f>
        <v>{"select_box":[{"typ":"item","id":11116255,"val":1},{"typ":"item","id":11116256,"val":1},{"typ":"item","id":11116257,"val":1}]}</v>
      </c>
      <c r="T2666" s="148">
        <f>IFERROR(__xludf.DUMMYFUNCTION("""COMPUTED_VALUE"""),-1.0)</f>
        <v>-1</v>
      </c>
      <c r="U2666" s="148">
        <f>IFERROR(__xludf.DUMMYFUNCTION("""COMPUTED_VALUE"""),0.0)</f>
        <v>0</v>
      </c>
      <c r="V2666" s="148" t="str">
        <f>IFERROR(__xludf.DUMMYFUNCTION("""COMPUTED_VALUE"""),"[]")</f>
        <v>[]</v>
      </c>
      <c r="W2666" s="148">
        <f>IFERROR(__xludf.DUMMYFUNCTION("""COMPUTED_VALUE"""),1.1741004E7)</f>
        <v>11741004</v>
      </c>
      <c r="X2666" s="148">
        <f>IFERROR(__xludf.DUMMYFUNCTION("""COMPUTED_VALUE"""),0.0)</f>
        <v>0</v>
      </c>
      <c r="Y2666" s="148">
        <f>IFERROR(__xludf.DUMMYFUNCTION("""COMPUTED_VALUE"""),0.0)</f>
        <v>0</v>
      </c>
      <c r="Z2666" s="148"/>
    </row>
    <row r="2667">
      <c r="A2667" s="148">
        <f>IFERROR(__xludf.DUMMYFUNCTION("""COMPUTED_VALUE"""),1.1119618E7)</f>
        <v>11119618</v>
      </c>
      <c r="B2667" s="148" t="str">
        <f>IFERROR(__xludf.DUMMYFUNCTION("""COMPUTED_VALUE"""),"S300-斗士-次新-10代")</f>
        <v>S300-斗士-次新-10代</v>
      </c>
      <c r="C2667" s="148"/>
      <c r="D2667" s="148" t="str">
        <f>IFERROR(__xludf.DUMMYFUNCTION("""COMPUTED_VALUE"""),"item_select_box")</f>
        <v>item_select_box</v>
      </c>
      <c r="E2667" s="148">
        <f>IFERROR(__xludf.DUMMYFUNCTION("""COMPUTED_VALUE"""),19.0)</f>
        <v>19</v>
      </c>
      <c r="F2667" s="148">
        <f>IFERROR(__xludf.DUMMYFUNCTION("""COMPUTED_VALUE"""),305221.0)</f>
        <v>305221</v>
      </c>
      <c r="G2667" s="148">
        <f>IFERROR(__xludf.DUMMYFUNCTION("""COMPUTED_VALUE"""),1.51102333E8)</f>
        <v>151102333</v>
      </c>
      <c r="H2667" s="148">
        <f>IFERROR(__xludf.DUMMYFUNCTION("""COMPUTED_VALUE"""),1.5112564E7)</f>
        <v>15112564</v>
      </c>
      <c r="I2667" s="148" t="str">
        <f>IFERROR(__xludf.DUMMYFUNCTION("""COMPUTED_VALUE"""),"{}")</f>
        <v>{}</v>
      </c>
      <c r="J2667" s="148" t="str">
        <f>IFERROR(__xludf.DUMMYFUNCTION("""COMPUTED_VALUE"""),"{""typ"":""lc"",""txt"":""LC_ITEM_race_car_game_choosen_box_hero_d300_name_3""}")</f>
        <v>{"typ":"lc","txt":"LC_ITEM_race_car_game_choosen_box_hero_d300_name_3"}</v>
      </c>
      <c r="K2667" s="148" t="str">
        <f>IFERROR(__xludf.DUMMYFUNCTION("""COMPUTED_VALUE"""),"{""typ"":""lc"",""txt"":""LC_ITEM_race_car_game_choosen_box_hero_d300_desc_3""}")</f>
        <v>{"typ":"lc","txt":"LC_ITEM_race_car_game_choosen_box_hero_d300_desc_3"}</v>
      </c>
      <c r="L2667" s="148" t="str">
        <f>IFERROR(__xludf.DUMMYFUNCTION("""COMPUTED_VALUE"""),"{}")</f>
        <v>{}</v>
      </c>
      <c r="M2667" s="148">
        <f>IFERROR(__xludf.DUMMYFUNCTION("""COMPUTED_VALUE"""),100.0)</f>
        <v>100</v>
      </c>
      <c r="N2667" s="148">
        <f>IFERROR(__xludf.DUMMYFUNCTION("""COMPUTED_VALUE"""),9.99999999E8)</f>
        <v>999999999</v>
      </c>
      <c r="O2667" s="148">
        <f>IFERROR(__xludf.DUMMYFUNCTION("""COMPUTED_VALUE"""),9.99999999E8)</f>
        <v>999999999</v>
      </c>
      <c r="P2667" s="148">
        <f>IFERROR(__xludf.DUMMYFUNCTION("""COMPUTED_VALUE"""),9.99999999E8)</f>
        <v>999999999</v>
      </c>
      <c r="Q2667" s="148" t="str">
        <f>IFERROR(__xludf.DUMMYFUNCTION("""COMPUTED_VALUE"""),"[""bag_other""]")</f>
        <v>["bag_other"]</v>
      </c>
      <c r="R2667" s="148" t="str">
        <f>IFERROR(__xludf.DUMMYFUNCTION("""COMPUTED_VALUE"""),"[""bag""]")</f>
        <v>["bag"]</v>
      </c>
      <c r="S2667" s="148" t="str">
        <f>IFERROR(__xludf.DUMMYFUNCTION("""COMPUTED_VALUE"""),"{""select_box"":[{""typ"":""item"",""id"":11116259,""val"":1},{""typ"":""item"",""id"":11116260,""val"":1},{""typ"":""item"",""id"":11116261,""val"":1}]}")</f>
        <v>{"select_box":[{"typ":"item","id":11116259,"val":1},{"typ":"item","id":11116260,"val":1},{"typ":"item","id":11116261,"val":1}]}</v>
      </c>
      <c r="T2667" s="148">
        <f>IFERROR(__xludf.DUMMYFUNCTION("""COMPUTED_VALUE"""),-1.0)</f>
        <v>-1</v>
      </c>
      <c r="U2667" s="148">
        <f>IFERROR(__xludf.DUMMYFUNCTION("""COMPUTED_VALUE"""),0.0)</f>
        <v>0</v>
      </c>
      <c r="V2667" s="148" t="str">
        <f>IFERROR(__xludf.DUMMYFUNCTION("""COMPUTED_VALUE"""),"[]")</f>
        <v>[]</v>
      </c>
      <c r="W2667" s="148">
        <f>IFERROR(__xludf.DUMMYFUNCTION("""COMPUTED_VALUE"""),1.1741004E7)</f>
        <v>11741004</v>
      </c>
      <c r="X2667" s="148">
        <f>IFERROR(__xludf.DUMMYFUNCTION("""COMPUTED_VALUE"""),0.0)</f>
        <v>0</v>
      </c>
      <c r="Y2667" s="148">
        <f>IFERROR(__xludf.DUMMYFUNCTION("""COMPUTED_VALUE"""),0.0)</f>
        <v>0</v>
      </c>
      <c r="Z2667" s="148"/>
    </row>
    <row r="2668">
      <c r="A2668" s="148">
        <f>IFERROR(__xludf.DUMMYFUNCTION("""COMPUTED_VALUE"""),1.1119619E7)</f>
        <v>11119619</v>
      </c>
      <c r="B2668" s="148" t="str">
        <f>IFERROR(__xludf.DUMMYFUNCTION("""COMPUTED_VALUE"""),"赛车活动铭牌")</f>
        <v>赛车活动铭牌</v>
      </c>
      <c r="C2668" s="148"/>
      <c r="D2668" s="148" t="str">
        <f>IFERROR(__xludf.DUMMYFUNCTION("""COMPUTED_VALUE"""),"chat_skin")</f>
        <v>chat_skin</v>
      </c>
      <c r="E2668" s="148">
        <f>IFERROR(__xludf.DUMMYFUNCTION("""COMPUTED_VALUE"""),30.0)</f>
        <v>30</v>
      </c>
      <c r="F2668" s="148">
        <f>IFERROR(__xludf.DUMMYFUNCTION("""COMPUTED_VALUE"""),401107.0)</f>
        <v>401107</v>
      </c>
      <c r="G2668" s="148">
        <f>IFERROR(__xludf.DUMMYFUNCTION("""COMPUTED_VALUE"""),1.51102187E8)</f>
        <v>151102187</v>
      </c>
      <c r="H2668" s="148">
        <f>IFERROR(__xludf.DUMMYFUNCTION("""COMPUTED_VALUE"""),1.5112564E7)</f>
        <v>15112564</v>
      </c>
      <c r="I2668" s="148" t="str">
        <f>IFERROR(__xludf.DUMMYFUNCTION("""COMPUTED_VALUE"""),"{}")</f>
        <v>{}</v>
      </c>
      <c r="J2668" s="148" t="str">
        <f>IFERROR(__xludf.DUMMYFUNCTION("""COMPUTED_VALUE"""),"{""typ"":""lc"",""txt"":""LC_ITEM_racing_nameplate_name_2025""}")</f>
        <v>{"typ":"lc","txt":"LC_ITEM_racing_nameplate_name_2025"}</v>
      </c>
      <c r="K2668" s="148" t="str">
        <f>IFERROR(__xludf.DUMMYFUNCTION("""COMPUTED_VALUE"""),"{""typ"":""lc"",""txt"":""LC_ITEM_racing_nameplate_desc_2025""}")</f>
        <v>{"typ":"lc","txt":"LC_ITEM_racing_nameplate_desc_2025"}</v>
      </c>
      <c r="L2668" s="148" t="str">
        <f>IFERROR(__xludf.DUMMYFUNCTION("""COMPUTED_VALUE"""),"{""typ"":""lc"",""txt"":""LC_ITEM_season_extra_reward_usedtip""}")</f>
        <v>{"typ":"lc","txt":"LC_ITEM_season_extra_reward_usedtip"}</v>
      </c>
      <c r="M2668" s="148">
        <f>IFERROR(__xludf.DUMMYFUNCTION("""COMPUTED_VALUE"""),2500.0)</f>
        <v>2500</v>
      </c>
      <c r="N2668" s="148">
        <f>IFERROR(__xludf.DUMMYFUNCTION("""COMPUTED_VALUE"""),9999999.0)</f>
        <v>9999999</v>
      </c>
      <c r="O2668" s="148">
        <f>IFERROR(__xludf.DUMMYFUNCTION("""COMPUTED_VALUE"""),1.0)</f>
        <v>1</v>
      </c>
      <c r="P2668" s="148">
        <f>IFERROR(__xludf.DUMMYFUNCTION("""COMPUTED_VALUE"""),1.0)</f>
        <v>1</v>
      </c>
      <c r="Q2668" s="148" t="str">
        <f>IFERROR(__xludf.DUMMYFUNCTION("""COMPUTED_VALUE"""),"[""bag_other""]")</f>
        <v>["bag_other"]</v>
      </c>
      <c r="R2668" s="148" t="str">
        <f>IFERROR(__xludf.DUMMYFUNCTION("""COMPUTED_VALUE"""),"[""11731037"",""bag""]")</f>
        <v>["11731037","bag"]</v>
      </c>
      <c r="S2668" s="148" t="str">
        <f>IFERROR(__xludf.DUMMYFUNCTION("""COMPUTED_VALUE"""),"{""effect"":[{""typ"":""nameplate"",""id"":11731037,""val"":-1}]}")</f>
        <v>{"effect":[{"typ":"nameplate","id":11731037,"val":-1}]}</v>
      </c>
      <c r="T2668" s="148">
        <f>IFERROR(__xludf.DUMMYFUNCTION("""COMPUTED_VALUE"""),-1.0)</f>
        <v>-1</v>
      </c>
      <c r="U2668" s="148">
        <f>IFERROR(__xludf.DUMMYFUNCTION("""COMPUTED_VALUE"""),0.0)</f>
        <v>0</v>
      </c>
      <c r="V2668" s="148" t="str">
        <f>IFERROR(__xludf.DUMMYFUNCTION("""COMPUTED_VALUE"""),"[]")</f>
        <v>[]</v>
      </c>
      <c r="W2668" s="148">
        <f>IFERROR(__xludf.DUMMYFUNCTION("""COMPUTED_VALUE"""),1.174E7)</f>
        <v>11740000</v>
      </c>
      <c r="X2668" s="148">
        <f>IFERROR(__xludf.DUMMYFUNCTION("""COMPUTED_VALUE"""),0.0)</f>
        <v>0</v>
      </c>
      <c r="Y2668" s="148">
        <f>IFERROR(__xludf.DUMMYFUNCTION("""COMPUTED_VALUE"""),0.0)</f>
        <v>0</v>
      </c>
      <c r="Z2668" s="148"/>
    </row>
    <row r="2669">
      <c r="A2669" s="148">
        <f>IFERROR(__xludf.DUMMYFUNCTION("""COMPUTED_VALUE"""),1.111962E7)</f>
        <v>11119620</v>
      </c>
      <c r="B2669" s="148" t="str">
        <f>IFERROR(__xludf.DUMMYFUNCTION("""COMPUTED_VALUE"""),"联盟礼物(触发)kvk5部落boss")</f>
        <v>联盟礼物(触发)kvk5部落boss</v>
      </c>
      <c r="C2669" s="148"/>
      <c r="D2669" s="148" t="str">
        <f>IFERROR(__xludf.DUMMYFUNCTION("""COMPUTED_VALUE"""),"item_union_gift")</f>
        <v>item_union_gift</v>
      </c>
      <c r="E2669" s="148">
        <f>IFERROR(__xludf.DUMMYFUNCTION("""COMPUTED_VALUE"""),15.0)</f>
        <v>15</v>
      </c>
      <c r="F2669" s="148">
        <f>IFERROR(__xludf.DUMMYFUNCTION("""COMPUTED_VALUE"""),0.0)</f>
        <v>0</v>
      </c>
      <c r="G2669" s="148">
        <f>IFERROR(__xludf.DUMMYFUNCTION("""COMPUTED_VALUE"""),1.5110348E7)</f>
        <v>15110348</v>
      </c>
      <c r="H2669" s="148">
        <f>IFERROR(__xludf.DUMMYFUNCTION("""COMPUTED_VALUE"""),1.5112563E7)</f>
        <v>15112563</v>
      </c>
      <c r="I2669" s="148" t="str">
        <f>IFERROR(__xludf.DUMMYFUNCTION("""COMPUTED_VALUE"""),"{}")</f>
        <v>{}</v>
      </c>
      <c r="J2669" s="148" t="str">
        <f>IFERROR(__xludf.DUMMYFUNCTION("""COMPUTED_VALUE"""),"{""typ"":""lc"",""txt"":""LC_ITEM_item_alliance_gift_kvk5_boss_name""}")</f>
        <v>{"typ":"lc","txt":"LC_ITEM_item_alliance_gift_kvk5_boss_name"}</v>
      </c>
      <c r="K2669" s="148" t="str">
        <f>IFERROR(__xludf.DUMMYFUNCTION("""COMPUTED_VALUE"""),"{""typ"":""lc"",""txt"":""LC_ITEM_item_alliance_gift_kvk5_boss_desc""}")</f>
        <v>{"typ":"lc","txt":"LC_ITEM_item_alliance_gift_kvk5_boss_desc"}</v>
      </c>
      <c r="L2669" s="148" t="str">
        <f>IFERROR(__xludf.DUMMYFUNCTION("""COMPUTED_VALUE"""),"{}")</f>
        <v>{}</v>
      </c>
      <c r="M2669" s="148">
        <f>IFERROR(__xludf.DUMMYFUNCTION("""COMPUTED_VALUE"""),66.0)</f>
        <v>66</v>
      </c>
      <c r="N2669" s="148">
        <f>IFERROR(__xludf.DUMMYFUNCTION("""COMPUTED_VALUE"""),999999.0)</f>
        <v>999999</v>
      </c>
      <c r="O2669" s="148">
        <f>IFERROR(__xludf.DUMMYFUNCTION("""COMPUTED_VALUE"""),99999.0)</f>
        <v>99999</v>
      </c>
      <c r="P2669" s="148">
        <f>IFERROR(__xludf.DUMMYFUNCTION("""COMPUTED_VALUE"""),1.0)</f>
        <v>1</v>
      </c>
      <c r="Q2669" s="148" t="str">
        <f>IFERROR(__xludf.DUMMYFUNCTION("""COMPUTED_VALUE"""),"[]")</f>
        <v>[]</v>
      </c>
      <c r="R2669" s="148" t="str">
        <f>IFERROR(__xludf.DUMMYFUNCTION("""COMPUTED_VALUE"""),"[]")</f>
        <v>[]</v>
      </c>
      <c r="S2669" s="148" t="str">
        <f>IFERROR(__xludf.DUMMYFUNCTION("""COMPUTED_VALUE"""),"{""effect"":[{""typ"":""union_gift_quality_drop"",""id"":23,""val"":1}]}")</f>
        <v>{"effect":[{"typ":"union_gift_quality_drop","id":23,"val":1}]}</v>
      </c>
      <c r="T2669" s="148">
        <f>IFERROR(__xludf.DUMMYFUNCTION("""COMPUTED_VALUE"""),-1.0)</f>
        <v>-1</v>
      </c>
      <c r="U2669" s="148">
        <f>IFERROR(__xludf.DUMMYFUNCTION("""COMPUTED_VALUE"""),1.0)</f>
        <v>1</v>
      </c>
      <c r="V2669" s="148" t="str">
        <f>IFERROR(__xludf.DUMMYFUNCTION("""COMPUTED_VALUE"""),"[]")</f>
        <v>[]</v>
      </c>
      <c r="W2669" s="148">
        <f>IFERROR(__xludf.DUMMYFUNCTION("""COMPUTED_VALUE"""),1.174E7)</f>
        <v>11740000</v>
      </c>
      <c r="X2669" s="148">
        <f>IFERROR(__xludf.DUMMYFUNCTION("""COMPUTED_VALUE"""),0.0)</f>
        <v>0</v>
      </c>
      <c r="Y2669" s="148">
        <f>IFERROR(__xludf.DUMMYFUNCTION("""COMPUTED_VALUE"""),0.0)</f>
        <v>0</v>
      </c>
      <c r="Z2669" s="148"/>
    </row>
    <row r="2670">
      <c r="A2670" s="148">
        <f>IFERROR(__xludf.DUMMYFUNCTION("""COMPUTED_VALUE"""),1.1119621E7)</f>
        <v>11119621</v>
      </c>
      <c r="B2670" s="148" t="str">
        <f>IFERROR(__xludf.DUMMYFUNCTION("""COMPUTED_VALUE"""),"kvk杀敌宝箱5")</f>
        <v>kvk杀敌宝箱5</v>
      </c>
      <c r="C2670" s="148"/>
      <c r="D2670" s="148" t="str">
        <f>IFERROR(__xludf.DUMMYFUNCTION("""COMPUTED_VALUE"""),"item_asset")</f>
        <v>item_asset</v>
      </c>
      <c r="E2670" s="148">
        <f>IFERROR(__xludf.DUMMYFUNCTION("""COMPUTED_VALUE"""),19.0)</f>
        <v>19</v>
      </c>
      <c r="F2670" s="148">
        <f>IFERROR(__xludf.DUMMYFUNCTION("""COMPUTED_VALUE"""),102400.0)</f>
        <v>102400</v>
      </c>
      <c r="G2670" s="148">
        <f>IFERROR(__xludf.DUMMYFUNCTION("""COMPUTED_VALUE"""),1.5110347E7)</f>
        <v>15110347</v>
      </c>
      <c r="H2670" s="148">
        <f>IFERROR(__xludf.DUMMYFUNCTION("""COMPUTED_VALUE"""),1.5112564E7)</f>
        <v>15112564</v>
      </c>
      <c r="I2670" s="148" t="str">
        <f>IFERROR(__xludf.DUMMYFUNCTION("""COMPUTED_VALUE"""),"{}")</f>
        <v>{}</v>
      </c>
      <c r="J2670" s="148" t="str">
        <f>IFERROR(__xludf.DUMMYFUNCTION("""COMPUTED_VALUE"""),"{""typ"":""lc"",""txt"":""LC_ITEM_beat_army_reward_box_name""}")</f>
        <v>{"typ":"lc","txt":"LC_ITEM_beat_army_reward_box_name"}</v>
      </c>
      <c r="K2670" s="148" t="str">
        <f>IFERROR(__xludf.DUMMYFUNCTION("""COMPUTED_VALUE"""),"{""typ"":""lc"",""txt"":""LC_ITEM_beat_army_reward_box_desc""}")</f>
        <v>{"typ":"lc","txt":"LC_ITEM_beat_army_reward_box_desc"}</v>
      </c>
      <c r="L2670" s="148" t="str">
        <f>IFERROR(__xludf.DUMMYFUNCTION("""COMPUTED_VALUE"""),"{}")</f>
        <v>{}</v>
      </c>
      <c r="M2670" s="148">
        <f>IFERROR(__xludf.DUMMYFUNCTION("""COMPUTED_VALUE"""),1225.0)</f>
        <v>1225</v>
      </c>
      <c r="N2670" s="148">
        <f>IFERROR(__xludf.DUMMYFUNCTION("""COMPUTED_VALUE"""),999999.0)</f>
        <v>999999</v>
      </c>
      <c r="O2670" s="148">
        <f>IFERROR(__xludf.DUMMYFUNCTION("""COMPUTED_VALUE"""),99999.0)</f>
        <v>99999</v>
      </c>
      <c r="P2670" s="148">
        <f>IFERROR(__xludf.DUMMYFUNCTION("""COMPUTED_VALUE"""),99999.0)</f>
        <v>99999</v>
      </c>
      <c r="Q2670" s="148" t="str">
        <f>IFERROR(__xludf.DUMMYFUNCTION("""COMPUTED_VALUE"""),"[""bag_other""]")</f>
        <v>["bag_other"]</v>
      </c>
      <c r="R2670" s="148" t="str">
        <f>IFERROR(__xludf.DUMMYFUNCTION("""COMPUTED_VALUE"""),"[""bag""]")</f>
        <v>["bag"]</v>
      </c>
      <c r="S2670" s="148" t="str">
        <f>IFERROR(__xludf.DUMMYFUNCTION("""COMPUTED_VALUE"""),"{""drop"":{""typ"":""single_all"",""num"":1,""args"":[{""typ"":""item"",""id"":11114330,""num"":1},{""typ"":""item"",""id"":11111156,""num"":1},{""typ"":""item"",""id"":11111147,""num"":1},{""typ"":""single_random"",""num"":1,""args"":[{""typ"":""item"","&amp;"""id"":11116264,""num"":1,""wgt"":20},{""typ"":""empty"",""wgt"":80}]}]}}")</f>
        <v>{"drop":{"typ":"single_all","num":1,"args":[{"typ":"item","id":11114330,"num":1},{"typ":"item","id":11111156,"num":1},{"typ":"item","id":11111147,"num":1},{"typ":"single_random","num":1,"args":[{"typ":"item","id":11116264,"num":1,"wgt":20},{"typ":"empty","wgt":80}]}]}}</v>
      </c>
      <c r="T2670" s="148">
        <f>IFERROR(__xludf.DUMMYFUNCTION("""COMPUTED_VALUE"""),-1.0)</f>
        <v>-1</v>
      </c>
      <c r="U2670" s="148">
        <f>IFERROR(__xludf.DUMMYFUNCTION("""COMPUTED_VALUE"""),0.0)</f>
        <v>0</v>
      </c>
      <c r="V2670" s="148" t="str">
        <f>IFERROR(__xludf.DUMMYFUNCTION("""COMPUTED_VALUE"""),"[]")</f>
        <v>[]</v>
      </c>
      <c r="W2670" s="148">
        <f>IFERROR(__xludf.DUMMYFUNCTION("""COMPUTED_VALUE"""),1.174E7)</f>
        <v>11740000</v>
      </c>
      <c r="X2670" s="148">
        <f>IFERROR(__xludf.DUMMYFUNCTION("""COMPUTED_VALUE"""),0.0)</f>
        <v>0</v>
      </c>
      <c r="Y2670" s="148">
        <f>IFERROR(__xludf.DUMMYFUNCTION("""COMPUTED_VALUE"""),0.0)</f>
        <v>0</v>
      </c>
      <c r="Z2670" s="148"/>
    </row>
    <row r="2671">
      <c r="A2671" s="148">
        <f>IFERROR(__xludf.DUMMYFUNCTION("""COMPUTED_VALUE"""),1.1119622E7)</f>
        <v>11119622</v>
      </c>
      <c r="B2671" s="148" t="str">
        <f>IFERROR(__xludf.DUMMYFUNCTION("""COMPUTED_VALUE"""),"外观商店兑换代币")</f>
        <v>外观商店兑换代币</v>
      </c>
      <c r="C2671" s="148"/>
      <c r="D2671" s="148" t="str">
        <f>IFERROR(__xludf.DUMMYFUNCTION("""COMPUTED_VALUE"""),"event_citybeauty_shop")</f>
        <v>event_citybeauty_shop</v>
      </c>
      <c r="E2671" s="148">
        <f>IFERROR(__xludf.DUMMYFUNCTION("""COMPUTED_VALUE"""),0.0)</f>
        <v>0</v>
      </c>
      <c r="F2671" s="148">
        <f>IFERROR(__xludf.DUMMYFUNCTION("""COMPUTED_VALUE"""),405221.0)</f>
        <v>405221</v>
      </c>
      <c r="G2671" s="148">
        <f>IFERROR(__xludf.DUMMYFUNCTION("""COMPUTED_VALUE"""),1.5110226E8)</f>
        <v>151102260</v>
      </c>
      <c r="H2671" s="148">
        <f>IFERROR(__xludf.DUMMYFUNCTION("""COMPUTED_VALUE"""),1.5112562E7)</f>
        <v>15112562</v>
      </c>
      <c r="I2671" s="148" t="str">
        <f>IFERROR(__xludf.DUMMYFUNCTION("""COMPUTED_VALUE"""),"{}")</f>
        <v>{}</v>
      </c>
      <c r="J2671" s="148" t="str">
        <f>IFERROR(__xludf.DUMMYFUNCTION("""COMPUTED_VALUE"""),"{""typ"":""lc"",""txt"":""LC_ITEM_citybeauty_coin_name""}")</f>
        <v>{"typ":"lc","txt":"LC_ITEM_citybeauty_coin_name"}</v>
      </c>
      <c r="K2671" s="148" t="str">
        <f>IFERROR(__xludf.DUMMYFUNCTION("""COMPUTED_VALUE"""),"{""typ"":""lc"",""txt"":""LC_ITEM_citybeauty_coin_name""}")</f>
        <v>{"typ":"lc","txt":"LC_ITEM_citybeauty_coin_name"}</v>
      </c>
      <c r="L2671" s="148" t="str">
        <f>IFERROR(__xludf.DUMMYFUNCTION("""COMPUTED_VALUE"""),"{}")</f>
        <v>{}</v>
      </c>
      <c r="M2671" s="148">
        <f>IFERROR(__xludf.DUMMYFUNCTION("""COMPUTED_VALUE"""),100.0)</f>
        <v>100</v>
      </c>
      <c r="N2671" s="148">
        <f>IFERROR(__xludf.DUMMYFUNCTION("""COMPUTED_VALUE"""),9999999.0)</f>
        <v>9999999</v>
      </c>
      <c r="O2671" s="148">
        <f>IFERROR(__xludf.DUMMYFUNCTION("""COMPUTED_VALUE"""),99999.0)</f>
        <v>99999</v>
      </c>
      <c r="P2671" s="148">
        <f>IFERROR(__xludf.DUMMYFUNCTION("""COMPUTED_VALUE"""),99999.0)</f>
        <v>99999</v>
      </c>
      <c r="Q2671" s="148" t="str">
        <f>IFERROR(__xludf.DUMMYFUNCTION("""COMPUTED_VALUE"""),"[""bag_other""]")</f>
        <v>["bag_other"]</v>
      </c>
      <c r="R2671" s="148" t="str">
        <f>IFERROR(__xludf.DUMMYFUNCTION("""COMPUTED_VALUE"""),"[""bag""]")</f>
        <v>["bag"]</v>
      </c>
      <c r="S2671" s="148" t="str">
        <f>IFERROR(__xludf.DUMMYFUNCTION("""COMPUTED_VALUE"""),"{}")</f>
        <v>{}</v>
      </c>
      <c r="T2671" s="148">
        <f>IFERROR(__xludf.DUMMYFUNCTION("""COMPUTED_VALUE"""),-1.0)</f>
        <v>-1</v>
      </c>
      <c r="U2671" s="148">
        <f>IFERROR(__xludf.DUMMYFUNCTION("""COMPUTED_VALUE"""),0.0)</f>
        <v>0</v>
      </c>
      <c r="V2671" s="148" t="str">
        <f>IFERROR(__xludf.DUMMYFUNCTION("""COMPUTED_VALUE"""),"[]")</f>
        <v>[]</v>
      </c>
      <c r="W2671" s="148">
        <f>IFERROR(__xludf.DUMMYFUNCTION("""COMPUTED_VALUE"""),1.174E7)</f>
        <v>11740000</v>
      </c>
      <c r="X2671" s="148">
        <f>IFERROR(__xludf.DUMMYFUNCTION("""COMPUTED_VALUE"""),1.1684581E7)</f>
        <v>11684581</v>
      </c>
      <c r="Y2671" s="148">
        <f>IFERROR(__xludf.DUMMYFUNCTION("""COMPUTED_VALUE"""),0.0)</f>
        <v>0</v>
      </c>
      <c r="Z2671" s="148"/>
    </row>
    <row r="2672">
      <c r="A2672" s="148">
        <f>IFERROR(__xludf.DUMMYFUNCTION("""COMPUTED_VALUE"""),1.1119623E7)</f>
        <v>11119623</v>
      </c>
      <c r="B2672" s="148" t="str">
        <f>IFERROR(__xludf.DUMMYFUNCTION("""COMPUTED_VALUE"""),"远征关卡一次性BP-档位1")</f>
        <v>远征关卡一次性BP-档位1</v>
      </c>
      <c r="C2672" s="148"/>
      <c r="D2672" s="148" t="str">
        <f>IFERROR(__xludf.DUMMYFUNCTION("""COMPUTED_VALUE"""),"battle_pass_card")</f>
        <v>battle_pass_card</v>
      </c>
      <c r="E2672" s="148">
        <f>IFERROR(__xludf.DUMMYFUNCTION("""COMPUTED_VALUE"""),0.0)</f>
        <v>0</v>
      </c>
      <c r="F2672" s="148">
        <f>IFERROR(__xludf.DUMMYFUNCTION("""COMPUTED_VALUE"""),0.0)</f>
        <v>0</v>
      </c>
      <c r="G2672" s="148">
        <f>IFERROR(__xludf.DUMMYFUNCTION("""COMPUTED_VALUE"""),1.51102278E8)</f>
        <v>151102278</v>
      </c>
      <c r="H2672" s="148">
        <f>IFERROR(__xludf.DUMMYFUNCTION("""COMPUTED_VALUE"""),1.5112563E7)</f>
        <v>15112563</v>
      </c>
      <c r="I2672" s="148" t="str">
        <f>IFERROR(__xludf.DUMMYFUNCTION("""COMPUTED_VALUE"""),"{}")</f>
        <v>{}</v>
      </c>
      <c r="J2672" s="148" t="str">
        <f>IFERROR(__xludf.DUMMYFUNCTION("""COMPUTED_VALUE"""),"{""typ"":""lc"",""txt"":""LC_ITEM_expedition_bp_level_2_name""}")</f>
        <v>{"typ":"lc","txt":"LC_ITEM_expedition_bp_level_2_name"}</v>
      </c>
      <c r="K2672" s="148" t="str">
        <f>IFERROR(__xludf.DUMMYFUNCTION("""COMPUTED_VALUE"""),"{}")</f>
        <v>{}</v>
      </c>
      <c r="L2672" s="148" t="str">
        <f>IFERROR(__xludf.DUMMYFUNCTION("""COMPUTED_VALUE"""),"{}")</f>
        <v>{}</v>
      </c>
      <c r="M2672" s="148">
        <f>IFERROR(__xludf.DUMMYFUNCTION("""COMPUTED_VALUE"""),10.0)</f>
        <v>10</v>
      </c>
      <c r="N2672" s="148">
        <f>IFERROR(__xludf.DUMMYFUNCTION("""COMPUTED_VALUE"""),999999.0)</f>
        <v>999999</v>
      </c>
      <c r="O2672" s="148">
        <f>IFERROR(__xludf.DUMMYFUNCTION("""COMPUTED_VALUE"""),99999.0)</f>
        <v>99999</v>
      </c>
      <c r="P2672" s="148">
        <f>IFERROR(__xludf.DUMMYFUNCTION("""COMPUTED_VALUE"""),9999.0)</f>
        <v>9999</v>
      </c>
      <c r="Q2672" s="148" t="str">
        <f>IFERROR(__xludf.DUMMYFUNCTION("""COMPUTED_VALUE"""),"[]")</f>
        <v>[]</v>
      </c>
      <c r="R2672" s="148" t="str">
        <f>IFERROR(__xludf.DUMMYFUNCTION("""COMPUTED_VALUE"""),"[]")</f>
        <v>[]</v>
      </c>
      <c r="S2672" s="148" t="str">
        <f>IFERROR(__xludf.DUMMYFUNCTION("""COMPUTED_VALUE"""),"{}")</f>
        <v>{}</v>
      </c>
      <c r="T2672" s="148">
        <f>IFERROR(__xludf.DUMMYFUNCTION("""COMPUTED_VALUE"""),-1.0)</f>
        <v>-1</v>
      </c>
      <c r="U2672" s="148">
        <f>IFERROR(__xludf.DUMMYFUNCTION("""COMPUTED_VALUE"""),1.0)</f>
        <v>1</v>
      </c>
      <c r="V2672" s="148" t="str">
        <f>IFERROR(__xludf.DUMMYFUNCTION("""COMPUTED_VALUE"""),"[]")</f>
        <v>[]</v>
      </c>
      <c r="W2672" s="148">
        <f>IFERROR(__xludf.DUMMYFUNCTION("""COMPUTED_VALUE"""),1.174E7)</f>
        <v>11740000</v>
      </c>
      <c r="X2672" s="148">
        <f>IFERROR(__xludf.DUMMYFUNCTION("""COMPUTED_VALUE"""),0.0)</f>
        <v>0</v>
      </c>
      <c r="Y2672" s="148">
        <f>IFERROR(__xludf.DUMMYFUNCTION("""COMPUTED_VALUE"""),0.0)</f>
        <v>0</v>
      </c>
      <c r="Z2672" s="148"/>
    </row>
    <row r="2673">
      <c r="A2673" s="148">
        <f>IFERROR(__xludf.DUMMYFUNCTION("""COMPUTED_VALUE"""),1.1119624E7)</f>
        <v>11119624</v>
      </c>
      <c r="B2673" s="148" t="str">
        <f>IFERROR(__xludf.DUMMYFUNCTION("""COMPUTED_VALUE"""),"远征关卡一次性BP-档位2")</f>
        <v>远征关卡一次性BP-档位2</v>
      </c>
      <c r="C2673" s="148"/>
      <c r="D2673" s="148" t="str">
        <f>IFERROR(__xludf.DUMMYFUNCTION("""COMPUTED_VALUE"""),"battle_pass_card")</f>
        <v>battle_pass_card</v>
      </c>
      <c r="E2673" s="148">
        <f>IFERROR(__xludf.DUMMYFUNCTION("""COMPUTED_VALUE"""),0.0)</f>
        <v>0</v>
      </c>
      <c r="F2673" s="148">
        <f>IFERROR(__xludf.DUMMYFUNCTION("""COMPUTED_VALUE"""),0.0)</f>
        <v>0</v>
      </c>
      <c r="G2673" s="148">
        <f>IFERROR(__xludf.DUMMYFUNCTION("""COMPUTED_VALUE"""),1.51102279E8)</f>
        <v>151102279</v>
      </c>
      <c r="H2673" s="148">
        <f>IFERROR(__xludf.DUMMYFUNCTION("""COMPUTED_VALUE"""),1.5112564E7)</f>
        <v>15112564</v>
      </c>
      <c r="I2673" s="148" t="str">
        <f>IFERROR(__xludf.DUMMYFUNCTION("""COMPUTED_VALUE"""),"{}")</f>
        <v>{}</v>
      </c>
      <c r="J2673" s="148" t="str">
        <f>IFERROR(__xludf.DUMMYFUNCTION("""COMPUTED_VALUE"""),"{""typ"":""lc"",""txt"":""LC_ITEM_expedition_bp_level_3_name""}")</f>
        <v>{"typ":"lc","txt":"LC_ITEM_expedition_bp_level_3_name"}</v>
      </c>
      <c r="K2673" s="148" t="str">
        <f>IFERROR(__xludf.DUMMYFUNCTION("""COMPUTED_VALUE"""),"{}")</f>
        <v>{}</v>
      </c>
      <c r="L2673" s="148" t="str">
        <f>IFERROR(__xludf.DUMMYFUNCTION("""COMPUTED_VALUE"""),"{}")</f>
        <v>{}</v>
      </c>
      <c r="M2673" s="148">
        <f>IFERROR(__xludf.DUMMYFUNCTION("""COMPUTED_VALUE"""),10.0)</f>
        <v>10</v>
      </c>
      <c r="N2673" s="148">
        <f>IFERROR(__xludf.DUMMYFUNCTION("""COMPUTED_VALUE"""),999999.0)</f>
        <v>999999</v>
      </c>
      <c r="O2673" s="148">
        <f>IFERROR(__xludf.DUMMYFUNCTION("""COMPUTED_VALUE"""),99999.0)</f>
        <v>99999</v>
      </c>
      <c r="P2673" s="148">
        <f>IFERROR(__xludf.DUMMYFUNCTION("""COMPUTED_VALUE"""),9999.0)</f>
        <v>9999</v>
      </c>
      <c r="Q2673" s="148" t="str">
        <f>IFERROR(__xludf.DUMMYFUNCTION("""COMPUTED_VALUE"""),"[]")</f>
        <v>[]</v>
      </c>
      <c r="R2673" s="148" t="str">
        <f>IFERROR(__xludf.DUMMYFUNCTION("""COMPUTED_VALUE"""),"[]")</f>
        <v>[]</v>
      </c>
      <c r="S2673" s="148" t="str">
        <f>IFERROR(__xludf.DUMMYFUNCTION("""COMPUTED_VALUE"""),"{}")</f>
        <v>{}</v>
      </c>
      <c r="T2673" s="148">
        <f>IFERROR(__xludf.DUMMYFUNCTION("""COMPUTED_VALUE"""),-1.0)</f>
        <v>-1</v>
      </c>
      <c r="U2673" s="148">
        <f>IFERROR(__xludf.DUMMYFUNCTION("""COMPUTED_VALUE"""),1.0)</f>
        <v>1</v>
      </c>
      <c r="V2673" s="148" t="str">
        <f>IFERROR(__xludf.DUMMYFUNCTION("""COMPUTED_VALUE"""),"[]")</f>
        <v>[]</v>
      </c>
      <c r="W2673" s="148">
        <f>IFERROR(__xludf.DUMMYFUNCTION("""COMPUTED_VALUE"""),1.174E7)</f>
        <v>11740000</v>
      </c>
      <c r="X2673" s="148">
        <f>IFERROR(__xludf.DUMMYFUNCTION("""COMPUTED_VALUE"""),0.0)</f>
        <v>0</v>
      </c>
      <c r="Y2673" s="148">
        <f>IFERROR(__xludf.DUMMYFUNCTION("""COMPUTED_VALUE"""),0.0)</f>
        <v>0</v>
      </c>
      <c r="Z2673" s="148"/>
    </row>
    <row r="2674">
      <c r="A2674" s="148">
        <f>IFERROR(__xludf.DUMMYFUNCTION("""COMPUTED_VALUE"""),1.1119625E7)</f>
        <v>11119625</v>
      </c>
      <c r="B2674" s="148" t="str">
        <f>IFERROR(__xludf.DUMMYFUNCTION("""COMPUTED_VALUE"""),"远征关卡一次性BP-升级道具")</f>
        <v>远征关卡一次性BP-升级道具</v>
      </c>
      <c r="C2674" s="148"/>
      <c r="D2674" s="148" t="str">
        <f>IFERROR(__xludf.DUMMYFUNCTION("""COMPUTED_VALUE"""),"battle_pass_exp")</f>
        <v>battle_pass_exp</v>
      </c>
      <c r="E2674" s="148">
        <f>IFERROR(__xludf.DUMMYFUNCTION("""COMPUTED_VALUE"""),0.0)</f>
        <v>0</v>
      </c>
      <c r="F2674" s="148">
        <f>IFERROR(__xludf.DUMMYFUNCTION("""COMPUTED_VALUE"""),405225.0)</f>
        <v>405225</v>
      </c>
      <c r="G2674" s="148">
        <f>IFERROR(__xludf.DUMMYFUNCTION("""COMPUTED_VALUE"""),1.51102311E8)</f>
        <v>151102311</v>
      </c>
      <c r="H2674" s="148">
        <f>IFERROR(__xludf.DUMMYFUNCTION("""COMPUTED_VALUE"""),1.5112563E7)</f>
        <v>15112563</v>
      </c>
      <c r="I2674" s="148" t="str">
        <f>IFERROR(__xludf.DUMMYFUNCTION("""COMPUTED_VALUE"""),"{}")</f>
        <v>{}</v>
      </c>
      <c r="J2674" s="148" t="str">
        <f>IFERROR(__xludf.DUMMYFUNCTION("""COMPUTED_VALUE"""),"{""typ"":""lc"",""txt"":""LC_ITEM_expedition_bp_lvlup_name""}")</f>
        <v>{"typ":"lc","txt":"LC_ITEM_expedition_bp_lvlup_name"}</v>
      </c>
      <c r="K2674" s="148" t="str">
        <f>IFERROR(__xludf.DUMMYFUNCTION("""COMPUTED_VALUE"""),"{""typ"":""lc"",""txt"":""LC_ITEM_expedition_bp_lvlup_desc""}")</f>
        <v>{"typ":"lc","txt":"LC_ITEM_expedition_bp_lvlup_desc"}</v>
      </c>
      <c r="L2674" s="148" t="str">
        <f>IFERROR(__xludf.DUMMYFUNCTION("""COMPUTED_VALUE"""),"{}")</f>
        <v>{}</v>
      </c>
      <c r="M2674" s="148">
        <f>IFERROR(__xludf.DUMMYFUNCTION("""COMPUTED_VALUE"""),35.0)</f>
        <v>35</v>
      </c>
      <c r="N2674" s="148">
        <f>IFERROR(__xludf.DUMMYFUNCTION("""COMPUTED_VALUE"""),999999.0)</f>
        <v>999999</v>
      </c>
      <c r="O2674" s="148">
        <f>IFERROR(__xludf.DUMMYFUNCTION("""COMPUTED_VALUE"""),99999.0)</f>
        <v>99999</v>
      </c>
      <c r="P2674" s="148">
        <f>IFERROR(__xludf.DUMMYFUNCTION("""COMPUTED_VALUE"""),99999.0)</f>
        <v>99999</v>
      </c>
      <c r="Q2674" s="148" t="str">
        <f>IFERROR(__xludf.DUMMYFUNCTION("""COMPUTED_VALUE"""),"[]")</f>
        <v>[]</v>
      </c>
      <c r="R2674" s="148" t="str">
        <f>IFERROR(__xludf.DUMMYFUNCTION("""COMPUTED_VALUE"""),"[""bag""]")</f>
        <v>["bag"]</v>
      </c>
      <c r="S2674" s="148" t="str">
        <f>IFERROR(__xludf.DUMMYFUNCTION("""COMPUTED_VALUE"""),"{}")</f>
        <v>{}</v>
      </c>
      <c r="T2674" s="148">
        <f>IFERROR(__xludf.DUMMYFUNCTION("""COMPUTED_VALUE"""),-1.0)</f>
        <v>-1</v>
      </c>
      <c r="U2674" s="148">
        <f>IFERROR(__xludf.DUMMYFUNCTION("""COMPUTED_VALUE"""),1.0)</f>
        <v>1</v>
      </c>
      <c r="V2674" s="148" t="str">
        <f>IFERROR(__xludf.DUMMYFUNCTION("""COMPUTED_VALUE"""),"[]")</f>
        <v>[]</v>
      </c>
      <c r="W2674" s="148">
        <f>IFERROR(__xludf.DUMMYFUNCTION("""COMPUTED_VALUE"""),1.174E7)</f>
        <v>11740000</v>
      </c>
      <c r="X2674" s="148">
        <f>IFERROR(__xludf.DUMMYFUNCTION("""COMPUTED_VALUE"""),0.0)</f>
        <v>0</v>
      </c>
      <c r="Y2674" s="148">
        <f>IFERROR(__xludf.DUMMYFUNCTION("""COMPUTED_VALUE"""),0.0)</f>
        <v>0</v>
      </c>
      <c r="Z2674" s="148"/>
    </row>
    <row r="2675">
      <c r="A2675" s="148">
        <f>IFERROR(__xludf.DUMMYFUNCTION("""COMPUTED_VALUE"""),1.1119626E7)</f>
        <v>11119626</v>
      </c>
      <c r="B2675" s="148" t="str">
        <f>IFERROR(__xludf.DUMMYFUNCTION("""COMPUTED_VALUE"""),"主城皮肤-极限赛场")</f>
        <v>主城皮肤-极限赛场</v>
      </c>
      <c r="C2675" s="148"/>
      <c r="D2675" s="148" t="str">
        <f>IFERROR(__xludf.DUMMYFUNCTION("""COMPUTED_VALUE"""),"city_skin")</f>
        <v>city_skin</v>
      </c>
      <c r="E2675" s="148">
        <f>IFERROR(__xludf.DUMMYFUNCTION("""COMPUTED_VALUE"""),21.0)</f>
        <v>21</v>
      </c>
      <c r="F2675" s="148">
        <f>IFERROR(__xludf.DUMMYFUNCTION("""COMPUTED_VALUE"""),404201.0)</f>
        <v>404201</v>
      </c>
      <c r="G2675" s="148">
        <f>IFERROR(__xludf.DUMMYFUNCTION("""COMPUTED_VALUE"""),1.51102297E8)</f>
        <v>151102297</v>
      </c>
      <c r="H2675" s="148">
        <f>IFERROR(__xludf.DUMMYFUNCTION("""COMPUTED_VALUE"""),1.5112564E7)</f>
        <v>15112564</v>
      </c>
      <c r="I2675" s="148" t="str">
        <f>IFERROR(__xludf.DUMMYFUNCTION("""COMPUTED_VALUE"""),"{}")</f>
        <v>{}</v>
      </c>
      <c r="J2675" s="148" t="str">
        <f>IFERROR(__xludf.DUMMYFUNCTION("""COMPUTED_VALUE"""),"{""typ"":""lc"",""txt"":""LC_ITEM_2025racegame_car_skin_title""}")</f>
        <v>{"typ":"lc","txt":"LC_ITEM_2025racegame_car_skin_title"}</v>
      </c>
      <c r="K2675" s="148" t="str">
        <f>IFERROR(__xludf.DUMMYFUNCTION("""COMPUTED_VALUE"""),"{""typ"":""lc"",""txt"":""LC_ITEM_2025racegame_car_skin_desc_forever""}")</f>
        <v>{"typ":"lc","txt":"LC_ITEM_2025racegame_car_skin_desc_forever"}</v>
      </c>
      <c r="L2675" s="148" t="str">
        <f>IFERROR(__xludf.DUMMYFUNCTION("""COMPUTED_VALUE"""),"{""typ"":""lc"",""txt"":""LC_ITEM_city_skin_rocket_use_tips""}")</f>
        <v>{"typ":"lc","txt":"LC_ITEM_city_skin_rocket_use_tips"}</v>
      </c>
      <c r="M2675" s="148">
        <f>IFERROR(__xludf.DUMMYFUNCTION("""COMPUTED_VALUE"""),10000.0)</f>
        <v>10000</v>
      </c>
      <c r="N2675" s="148">
        <f>IFERROR(__xludf.DUMMYFUNCTION("""COMPUTED_VALUE"""),999.0)</f>
        <v>999</v>
      </c>
      <c r="O2675" s="148">
        <f>IFERROR(__xludf.DUMMYFUNCTION("""COMPUTED_VALUE"""),1.0)</f>
        <v>1</v>
      </c>
      <c r="P2675" s="148">
        <f>IFERROR(__xludf.DUMMYFUNCTION("""COMPUTED_VALUE"""),1.0)</f>
        <v>1</v>
      </c>
      <c r="Q2675" s="148" t="str">
        <f>IFERROR(__xludf.DUMMYFUNCTION("""COMPUTED_VALUE"""),"[""bag_other""]")</f>
        <v>["bag_other"]</v>
      </c>
      <c r="R2675" s="148" t="str">
        <f>IFERROR(__xludf.DUMMYFUNCTION("""COMPUTED_VALUE"""),"[""bag"",""13121077""]")</f>
        <v>["bag","13121077"]</v>
      </c>
      <c r="S2675" s="148" t="str">
        <f>IFERROR(__xludf.DUMMYFUNCTION("""COMPUTED_VALUE"""),"{""effect"":[{""typ"":""city_skin"",""id"":13121077,""val"":-1},{""typ"":""item"",""id"":11111034,""val"":10}]}")</f>
        <v>{"effect":[{"typ":"city_skin","id":13121077,"val":-1},{"typ":"item","id":11111034,"val":10}]}</v>
      </c>
      <c r="T2675" s="148">
        <f>IFERROR(__xludf.DUMMYFUNCTION("""COMPUTED_VALUE"""),-1.0)</f>
        <v>-1</v>
      </c>
      <c r="U2675" s="148">
        <f>IFERROR(__xludf.DUMMYFUNCTION("""COMPUTED_VALUE"""),0.0)</f>
        <v>0</v>
      </c>
      <c r="V2675" s="148" t="str">
        <f>IFERROR(__xludf.DUMMYFUNCTION("""COMPUTED_VALUE"""),"[]")</f>
        <v>[]</v>
      </c>
      <c r="W2675" s="148">
        <f>IFERROR(__xludf.DUMMYFUNCTION("""COMPUTED_VALUE"""),1.174E7)</f>
        <v>11740000</v>
      </c>
      <c r="X2675" s="148">
        <f>IFERROR(__xludf.DUMMYFUNCTION("""COMPUTED_VALUE"""),0.0)</f>
        <v>0</v>
      </c>
      <c r="Y2675" s="148">
        <f>IFERROR(__xludf.DUMMYFUNCTION("""COMPUTED_VALUE"""),0.0)</f>
        <v>0</v>
      </c>
      <c r="Z2675" s="148"/>
    </row>
    <row r="2676">
      <c r="A2676" s="148">
        <f>IFERROR(__xludf.DUMMYFUNCTION("""COMPUTED_VALUE"""),1.1119627E7)</f>
        <v>11119627</v>
      </c>
      <c r="B2676" s="148" t="str">
        <f>IFERROR(__xludf.DUMMYFUNCTION("""COMPUTED_VALUE"""),"主城皮肤-极限赛场（30天）")</f>
        <v>主城皮肤-极限赛场（30天）</v>
      </c>
      <c r="C2676" s="148"/>
      <c r="D2676" s="148" t="str">
        <f>IFERROR(__xludf.DUMMYFUNCTION("""COMPUTED_VALUE"""),"city_skin")</f>
        <v>city_skin</v>
      </c>
      <c r="E2676" s="148">
        <f>IFERROR(__xludf.DUMMYFUNCTION("""COMPUTED_VALUE"""),21.0)</f>
        <v>21</v>
      </c>
      <c r="F2676" s="148">
        <f>IFERROR(__xludf.DUMMYFUNCTION("""COMPUTED_VALUE"""),404201.0)</f>
        <v>404201</v>
      </c>
      <c r="G2676" s="148">
        <f>IFERROR(__xludf.DUMMYFUNCTION("""COMPUTED_VALUE"""),1.51102297E8)</f>
        <v>151102297</v>
      </c>
      <c r="H2676" s="148">
        <f>IFERROR(__xludf.DUMMYFUNCTION("""COMPUTED_VALUE"""),1.5112563E7)</f>
        <v>15112563</v>
      </c>
      <c r="I2676" s="148" t="str">
        <f>IFERROR(__xludf.DUMMYFUNCTION("""COMPUTED_VALUE"""),"{""typ"":""lc"",""txt"":""LC_ITEM_time_day_upper_show"",""args"":[{""typ"":""int"",""val"":30}]}")</f>
        <v>{"typ":"lc","txt":"LC_ITEM_time_day_upper_show","args":[{"typ":"int","val":30}]}</v>
      </c>
      <c r="J2676" s="148" t="str">
        <f>IFERROR(__xludf.DUMMYFUNCTION("""COMPUTED_VALUE"""),"{""typ"":""lc"",""txt"":""LC_ITEM_2025racegame_car_skin_title_30day""}")</f>
        <v>{"typ":"lc","txt":"LC_ITEM_2025racegame_car_skin_title_30day"}</v>
      </c>
      <c r="K2676" s="148" t="str">
        <f>IFERROR(__xludf.DUMMYFUNCTION("""COMPUTED_VALUE"""),"{""typ"":""lc"",""txt"":""LC_ITEM_2025racegame_car_skin_desc_30day""}")</f>
        <v>{"typ":"lc","txt":"LC_ITEM_2025racegame_car_skin_desc_30day"}</v>
      </c>
      <c r="L2676" s="148" t="str">
        <f>IFERROR(__xludf.DUMMYFUNCTION("""COMPUTED_VALUE"""),"{""typ"":""lc"",""txt"":""LC_ITEM_city_skin_rocket_use_tips""}")</f>
        <v>{"typ":"lc","txt":"LC_ITEM_city_skin_rocket_use_tips"}</v>
      </c>
      <c r="M2676" s="148">
        <f>IFERROR(__xludf.DUMMYFUNCTION("""COMPUTED_VALUE"""),500.0)</f>
        <v>500</v>
      </c>
      <c r="N2676" s="148">
        <f>IFERROR(__xludf.DUMMYFUNCTION("""COMPUTED_VALUE"""),999.0)</f>
        <v>999</v>
      </c>
      <c r="O2676" s="148">
        <f>IFERROR(__xludf.DUMMYFUNCTION("""COMPUTED_VALUE"""),1.0)</f>
        <v>1</v>
      </c>
      <c r="P2676" s="148">
        <f>IFERROR(__xludf.DUMMYFUNCTION("""COMPUTED_VALUE"""),1.0)</f>
        <v>1</v>
      </c>
      <c r="Q2676" s="148" t="str">
        <f>IFERROR(__xludf.DUMMYFUNCTION("""COMPUTED_VALUE"""),"[""bag_other""]")</f>
        <v>["bag_other"]</v>
      </c>
      <c r="R2676" s="148" t="str">
        <f>IFERROR(__xludf.DUMMYFUNCTION("""COMPUTED_VALUE"""),"[""bag"",""13121077""]")</f>
        <v>["bag","13121077"]</v>
      </c>
      <c r="S2676" s="148" t="str">
        <f>IFERROR(__xludf.DUMMYFUNCTION("""COMPUTED_VALUE"""),"{""effect"":[{""typ"":""city_skin"",""id"":13121077,""val"":2592000000},{""typ"":""item"",""id"":11111021,""val"":1}]}")</f>
        <v>{"effect":[{"typ":"city_skin","id":13121077,"val":2592000000},{"typ":"item","id":11111021,"val":1}]}</v>
      </c>
      <c r="T2676" s="148">
        <f>IFERROR(__xludf.DUMMYFUNCTION("""COMPUTED_VALUE"""),-1.0)</f>
        <v>-1</v>
      </c>
      <c r="U2676" s="148">
        <f>IFERROR(__xludf.DUMMYFUNCTION("""COMPUTED_VALUE"""),0.0)</f>
        <v>0</v>
      </c>
      <c r="V2676" s="148" t="str">
        <f>IFERROR(__xludf.DUMMYFUNCTION("""COMPUTED_VALUE"""),"[]")</f>
        <v>[]</v>
      </c>
      <c r="W2676" s="148">
        <f>IFERROR(__xludf.DUMMYFUNCTION("""COMPUTED_VALUE"""),1.174E7)</f>
        <v>11740000</v>
      </c>
      <c r="X2676" s="148">
        <f>IFERROR(__xludf.DUMMYFUNCTION("""COMPUTED_VALUE"""),0.0)</f>
        <v>0</v>
      </c>
      <c r="Y2676" s="148">
        <f>IFERROR(__xludf.DUMMYFUNCTION("""COMPUTED_VALUE"""),0.0)</f>
        <v>0</v>
      </c>
      <c r="Z2676" s="148"/>
    </row>
    <row r="2677">
      <c r="A2677" s="148">
        <f>IFERROR(__xludf.DUMMYFUNCTION("""COMPUTED_VALUE"""),1.1119628E7)</f>
        <v>11119628</v>
      </c>
      <c r="B2677" s="148" t="str">
        <f>IFERROR(__xludf.DUMMYFUNCTION("""COMPUTED_VALUE"""),"主城皮肤-极限赛场（14天）")</f>
        <v>主城皮肤-极限赛场（14天）</v>
      </c>
      <c r="C2677" s="148"/>
      <c r="D2677" s="148" t="str">
        <f>IFERROR(__xludf.DUMMYFUNCTION("""COMPUTED_VALUE"""),"city_skin")</f>
        <v>city_skin</v>
      </c>
      <c r="E2677" s="148">
        <f>IFERROR(__xludf.DUMMYFUNCTION("""COMPUTED_VALUE"""),21.0)</f>
        <v>21</v>
      </c>
      <c r="F2677" s="148">
        <f>IFERROR(__xludf.DUMMYFUNCTION("""COMPUTED_VALUE"""),404201.0)</f>
        <v>404201</v>
      </c>
      <c r="G2677" s="148">
        <f>IFERROR(__xludf.DUMMYFUNCTION("""COMPUTED_VALUE"""),1.51102297E8)</f>
        <v>151102297</v>
      </c>
      <c r="H2677" s="148">
        <f>IFERROR(__xludf.DUMMYFUNCTION("""COMPUTED_VALUE"""),1.5112563E7)</f>
        <v>15112563</v>
      </c>
      <c r="I2677" s="148" t="str">
        <f>IFERROR(__xludf.DUMMYFUNCTION("""COMPUTED_VALUE"""),"{""typ"":""lc"",""txt"":""LC_ITEM_time_day_upper_show"",""args"":[{""typ"":""int"",""val"":14}]}")</f>
        <v>{"typ":"lc","txt":"LC_ITEM_time_day_upper_show","args":[{"typ":"int","val":14}]}</v>
      </c>
      <c r="J2677" s="148" t="str">
        <f>IFERROR(__xludf.DUMMYFUNCTION("""COMPUTED_VALUE"""),"{""typ"":""lc"",""txt"":""LC_ITEM_2025racegame_car_skin_title_14day""}")</f>
        <v>{"typ":"lc","txt":"LC_ITEM_2025racegame_car_skin_title_14day"}</v>
      </c>
      <c r="K2677" s="148" t="str">
        <f>IFERROR(__xludf.DUMMYFUNCTION("""COMPUTED_VALUE"""),"{""typ"":""lc"",""txt"":""LC_ITEM_2025racegame_car_skin_desc_14day""}")</f>
        <v>{"typ":"lc","txt":"LC_ITEM_2025racegame_car_skin_desc_14day"}</v>
      </c>
      <c r="L2677" s="148" t="str">
        <f>IFERROR(__xludf.DUMMYFUNCTION("""COMPUTED_VALUE"""),"{""typ"":""lc"",""txt"":""LC_ITEM_city_skin_rocket_use_tips""}")</f>
        <v>{"typ":"lc","txt":"LC_ITEM_city_skin_rocket_use_tips"}</v>
      </c>
      <c r="M2677" s="148">
        <f>IFERROR(__xludf.DUMMYFUNCTION("""COMPUTED_VALUE"""),500.0)</f>
        <v>500</v>
      </c>
      <c r="N2677" s="148">
        <f>IFERROR(__xludf.DUMMYFUNCTION("""COMPUTED_VALUE"""),999.0)</f>
        <v>999</v>
      </c>
      <c r="O2677" s="148">
        <f>IFERROR(__xludf.DUMMYFUNCTION("""COMPUTED_VALUE"""),1.0)</f>
        <v>1</v>
      </c>
      <c r="P2677" s="148">
        <f>IFERROR(__xludf.DUMMYFUNCTION("""COMPUTED_VALUE"""),1.0)</f>
        <v>1</v>
      </c>
      <c r="Q2677" s="148" t="str">
        <f>IFERROR(__xludf.DUMMYFUNCTION("""COMPUTED_VALUE"""),"[""bag_other""]")</f>
        <v>["bag_other"]</v>
      </c>
      <c r="R2677" s="148" t="str">
        <f>IFERROR(__xludf.DUMMYFUNCTION("""COMPUTED_VALUE"""),"[""bag"",""13121077""]")</f>
        <v>["bag","13121077"]</v>
      </c>
      <c r="S2677" s="148" t="str">
        <f>IFERROR(__xludf.DUMMYFUNCTION("""COMPUTED_VALUE"""),"{""effect"":[{""typ"":""city_skin"",""id"":13121077,""val"":1296000000},{""typ"":""item"",""id"":11111021,""val"":1}]}")</f>
        <v>{"effect":[{"typ":"city_skin","id":13121077,"val":1296000000},{"typ":"item","id":11111021,"val":1}]}</v>
      </c>
      <c r="T2677" s="148">
        <f>IFERROR(__xludf.DUMMYFUNCTION("""COMPUTED_VALUE"""),-1.0)</f>
        <v>-1</v>
      </c>
      <c r="U2677" s="148">
        <f>IFERROR(__xludf.DUMMYFUNCTION("""COMPUTED_VALUE"""),0.0)</f>
        <v>0</v>
      </c>
      <c r="V2677" s="148" t="str">
        <f>IFERROR(__xludf.DUMMYFUNCTION("""COMPUTED_VALUE"""),"[]")</f>
        <v>[]</v>
      </c>
      <c r="W2677" s="148">
        <f>IFERROR(__xludf.DUMMYFUNCTION("""COMPUTED_VALUE"""),1.174E7)</f>
        <v>11740000</v>
      </c>
      <c r="X2677" s="148">
        <f>IFERROR(__xludf.DUMMYFUNCTION("""COMPUTED_VALUE"""),0.0)</f>
        <v>0</v>
      </c>
      <c r="Y2677" s="148">
        <f>IFERROR(__xludf.DUMMYFUNCTION("""COMPUTED_VALUE"""),0.0)</f>
        <v>0</v>
      </c>
      <c r="Z2677" s="148"/>
    </row>
    <row r="2678">
      <c r="A2678" s="148">
        <f>IFERROR(__xludf.DUMMYFUNCTION("""COMPUTED_VALUE"""),1.1119629E7)</f>
        <v>11119629</v>
      </c>
      <c r="B2678" s="148" t="str">
        <f>IFERROR(__xludf.DUMMYFUNCTION("""COMPUTED_VALUE"""),"主城皮肤-极限赛场（7天）")</f>
        <v>主城皮肤-极限赛场（7天）</v>
      </c>
      <c r="C2678" s="148"/>
      <c r="D2678" s="148" t="str">
        <f>IFERROR(__xludf.DUMMYFUNCTION("""COMPUTED_VALUE"""),"city_skin")</f>
        <v>city_skin</v>
      </c>
      <c r="E2678" s="148">
        <f>IFERROR(__xludf.DUMMYFUNCTION("""COMPUTED_VALUE"""),21.0)</f>
        <v>21</v>
      </c>
      <c r="F2678" s="148">
        <f>IFERROR(__xludf.DUMMYFUNCTION("""COMPUTED_VALUE"""),404201.0)</f>
        <v>404201</v>
      </c>
      <c r="G2678" s="148">
        <f>IFERROR(__xludf.DUMMYFUNCTION("""COMPUTED_VALUE"""),1.51102297E8)</f>
        <v>151102297</v>
      </c>
      <c r="H2678" s="148">
        <f>IFERROR(__xludf.DUMMYFUNCTION("""COMPUTED_VALUE"""),1.5112563E7)</f>
        <v>15112563</v>
      </c>
      <c r="I2678" s="148" t="str">
        <f>IFERROR(__xludf.DUMMYFUNCTION("""COMPUTED_VALUE"""),"{""typ"":""lc"",""txt"":""LC_ITEM_time_day_upper_show"",""args"":[{""typ"":""int"",""val"":7}]}")</f>
        <v>{"typ":"lc","txt":"LC_ITEM_time_day_upper_show","args":[{"typ":"int","val":7}]}</v>
      </c>
      <c r="J2678" s="148" t="str">
        <f>IFERROR(__xludf.DUMMYFUNCTION("""COMPUTED_VALUE"""),"{""typ"":""lc"",""txt"":""LC_ITEM_2025racegame_car_skin_title_7day""}")</f>
        <v>{"typ":"lc","txt":"LC_ITEM_2025racegame_car_skin_title_7day"}</v>
      </c>
      <c r="K2678" s="148" t="str">
        <f>IFERROR(__xludf.DUMMYFUNCTION("""COMPUTED_VALUE"""),"{""typ"":""lc"",""txt"":""LC_ITEM_2025racegame_car_skin_desc_7day""}")</f>
        <v>{"typ":"lc","txt":"LC_ITEM_2025racegame_car_skin_desc_7day"}</v>
      </c>
      <c r="L2678" s="148" t="str">
        <f>IFERROR(__xludf.DUMMYFUNCTION("""COMPUTED_VALUE"""),"{""typ"":""lc"",""txt"":""LC_ITEM_city_skin_rocket_use_tips""}")</f>
        <v>{"typ":"lc","txt":"LC_ITEM_city_skin_rocket_use_tips"}</v>
      </c>
      <c r="M2678" s="148">
        <f>IFERROR(__xludf.DUMMYFUNCTION("""COMPUTED_VALUE"""),500.0)</f>
        <v>500</v>
      </c>
      <c r="N2678" s="148">
        <f>IFERROR(__xludf.DUMMYFUNCTION("""COMPUTED_VALUE"""),999.0)</f>
        <v>999</v>
      </c>
      <c r="O2678" s="148">
        <f>IFERROR(__xludf.DUMMYFUNCTION("""COMPUTED_VALUE"""),1.0)</f>
        <v>1</v>
      </c>
      <c r="P2678" s="148">
        <f>IFERROR(__xludf.DUMMYFUNCTION("""COMPUTED_VALUE"""),1.0)</f>
        <v>1</v>
      </c>
      <c r="Q2678" s="148" t="str">
        <f>IFERROR(__xludf.DUMMYFUNCTION("""COMPUTED_VALUE"""),"[""bag_other""]")</f>
        <v>["bag_other"]</v>
      </c>
      <c r="R2678" s="148" t="str">
        <f>IFERROR(__xludf.DUMMYFUNCTION("""COMPUTED_VALUE"""),"[""bag"",""13121077""]")</f>
        <v>["bag","13121077"]</v>
      </c>
      <c r="S2678" s="148" t="str">
        <f>IFERROR(__xludf.DUMMYFUNCTION("""COMPUTED_VALUE"""),"{""effect"":[{""typ"":""city_skin"",""id"":13121077,""val"":604800000},{""typ"":""item"",""id"":11111021,""val"":1}]}")</f>
        <v>{"effect":[{"typ":"city_skin","id":13121077,"val":604800000},{"typ":"item","id":11111021,"val":1}]}</v>
      </c>
      <c r="T2678" s="148">
        <f>IFERROR(__xludf.DUMMYFUNCTION("""COMPUTED_VALUE"""),-1.0)</f>
        <v>-1</v>
      </c>
      <c r="U2678" s="148">
        <f>IFERROR(__xludf.DUMMYFUNCTION("""COMPUTED_VALUE"""),0.0)</f>
        <v>0</v>
      </c>
      <c r="V2678" s="148" t="str">
        <f>IFERROR(__xludf.DUMMYFUNCTION("""COMPUTED_VALUE"""),"[]")</f>
        <v>[]</v>
      </c>
      <c r="W2678" s="148">
        <f>IFERROR(__xludf.DUMMYFUNCTION("""COMPUTED_VALUE"""),1.174E7)</f>
        <v>11740000</v>
      </c>
      <c r="X2678" s="148">
        <f>IFERROR(__xludf.DUMMYFUNCTION("""COMPUTED_VALUE"""),0.0)</f>
        <v>0</v>
      </c>
      <c r="Y2678" s="148">
        <f>IFERROR(__xludf.DUMMYFUNCTION("""COMPUTED_VALUE"""),0.0)</f>
        <v>0</v>
      </c>
      <c r="Z2678" s="148"/>
    </row>
    <row r="2679">
      <c r="A2679" s="148">
        <f>IFERROR(__xludf.DUMMYFUNCTION("""COMPUTED_VALUE"""),1.111963E7)</f>
        <v>11119630</v>
      </c>
      <c r="B2679" s="148" t="str">
        <f>IFERROR(__xludf.DUMMYFUNCTION("""COMPUTED_VALUE"""),"主城皮肤-极限赛场（3天）")</f>
        <v>主城皮肤-极限赛场（3天）</v>
      </c>
      <c r="C2679" s="148"/>
      <c r="D2679" s="148" t="str">
        <f>IFERROR(__xludf.DUMMYFUNCTION("""COMPUTED_VALUE"""),"city_skin")</f>
        <v>city_skin</v>
      </c>
      <c r="E2679" s="148">
        <f>IFERROR(__xludf.DUMMYFUNCTION("""COMPUTED_VALUE"""),21.0)</f>
        <v>21</v>
      </c>
      <c r="F2679" s="148">
        <f>IFERROR(__xludf.DUMMYFUNCTION("""COMPUTED_VALUE"""),404201.0)</f>
        <v>404201</v>
      </c>
      <c r="G2679" s="148">
        <f>IFERROR(__xludf.DUMMYFUNCTION("""COMPUTED_VALUE"""),1.51102297E8)</f>
        <v>151102297</v>
      </c>
      <c r="H2679" s="148">
        <f>IFERROR(__xludf.DUMMYFUNCTION("""COMPUTED_VALUE"""),1.5112563E7)</f>
        <v>15112563</v>
      </c>
      <c r="I2679" s="148" t="str">
        <f>IFERROR(__xludf.DUMMYFUNCTION("""COMPUTED_VALUE"""),"{""typ"":""lc"",""txt"":""LC_ITEM_time_day_upper_show"",""args"":[{""typ"":""int"",""val"":3}]}")</f>
        <v>{"typ":"lc","txt":"LC_ITEM_time_day_upper_show","args":[{"typ":"int","val":3}]}</v>
      </c>
      <c r="J2679" s="148" t="str">
        <f>IFERROR(__xludf.DUMMYFUNCTION("""COMPUTED_VALUE"""),"{""typ"":""lc"",""txt"":""LC_ITEM_2025racegame_car_skin_title_3day""}")</f>
        <v>{"typ":"lc","txt":"LC_ITEM_2025racegame_car_skin_title_3day"}</v>
      </c>
      <c r="K2679" s="148" t="str">
        <f>IFERROR(__xludf.DUMMYFUNCTION("""COMPUTED_VALUE"""),"{""typ"":""lc"",""txt"":""LC_ITEM_2025racegame_car_skin_desc_3day""}")</f>
        <v>{"typ":"lc","txt":"LC_ITEM_2025racegame_car_skin_desc_3day"}</v>
      </c>
      <c r="L2679" s="148" t="str">
        <f>IFERROR(__xludf.DUMMYFUNCTION("""COMPUTED_VALUE"""),"{""typ"":""lc"",""txt"":""LC_ITEM_city_skin_rocket_use_tips""}")</f>
        <v>{"typ":"lc","txt":"LC_ITEM_city_skin_rocket_use_tips"}</v>
      </c>
      <c r="M2679" s="148">
        <f>IFERROR(__xludf.DUMMYFUNCTION("""COMPUTED_VALUE"""),500.0)</f>
        <v>500</v>
      </c>
      <c r="N2679" s="148">
        <f>IFERROR(__xludf.DUMMYFUNCTION("""COMPUTED_VALUE"""),999.0)</f>
        <v>999</v>
      </c>
      <c r="O2679" s="148">
        <f>IFERROR(__xludf.DUMMYFUNCTION("""COMPUTED_VALUE"""),1.0)</f>
        <v>1</v>
      </c>
      <c r="P2679" s="148">
        <f>IFERROR(__xludf.DUMMYFUNCTION("""COMPUTED_VALUE"""),1.0)</f>
        <v>1</v>
      </c>
      <c r="Q2679" s="148" t="str">
        <f>IFERROR(__xludf.DUMMYFUNCTION("""COMPUTED_VALUE"""),"[""bag_other""]")</f>
        <v>["bag_other"]</v>
      </c>
      <c r="R2679" s="148" t="str">
        <f>IFERROR(__xludf.DUMMYFUNCTION("""COMPUTED_VALUE"""),"[""bag"",""13121077""]")</f>
        <v>["bag","13121077"]</v>
      </c>
      <c r="S2679" s="148" t="str">
        <f>IFERROR(__xludf.DUMMYFUNCTION("""COMPUTED_VALUE"""),"{""effect"":[{""typ"":""city_skin"",""id"":13121077,""val"":259200000},{""typ"":""item"",""id"":11111021,""val"":1}]}")</f>
        <v>{"effect":[{"typ":"city_skin","id":13121077,"val":259200000},{"typ":"item","id":11111021,"val":1}]}</v>
      </c>
      <c r="T2679" s="148">
        <f>IFERROR(__xludf.DUMMYFUNCTION("""COMPUTED_VALUE"""),-1.0)</f>
        <v>-1</v>
      </c>
      <c r="U2679" s="148">
        <f>IFERROR(__xludf.DUMMYFUNCTION("""COMPUTED_VALUE"""),0.0)</f>
        <v>0</v>
      </c>
      <c r="V2679" s="148" t="str">
        <f>IFERROR(__xludf.DUMMYFUNCTION("""COMPUTED_VALUE"""),"[]")</f>
        <v>[]</v>
      </c>
      <c r="W2679" s="148">
        <f>IFERROR(__xludf.DUMMYFUNCTION("""COMPUTED_VALUE"""),1.174E7)</f>
        <v>11740000</v>
      </c>
      <c r="X2679" s="148">
        <f>IFERROR(__xludf.DUMMYFUNCTION("""COMPUTED_VALUE"""),0.0)</f>
        <v>0</v>
      </c>
      <c r="Y2679" s="148">
        <f>IFERROR(__xludf.DUMMYFUNCTION("""COMPUTED_VALUE"""),0.0)</f>
        <v>0</v>
      </c>
      <c r="Z2679" s="148"/>
    </row>
    <row r="2680">
      <c r="A2680" s="148">
        <f>IFERROR(__xludf.DUMMYFUNCTION("""COMPUTED_VALUE"""),1.1119631E7)</f>
        <v>11119631</v>
      </c>
      <c r="B2680" s="148" t="str">
        <f>IFERROR(__xludf.DUMMYFUNCTION("""COMPUTED_VALUE"""),"主城皮肤-极限赛场（1天）")</f>
        <v>主城皮肤-极限赛场（1天）</v>
      </c>
      <c r="C2680" s="148"/>
      <c r="D2680" s="148" t="str">
        <f>IFERROR(__xludf.DUMMYFUNCTION("""COMPUTED_VALUE"""),"city_skin")</f>
        <v>city_skin</v>
      </c>
      <c r="E2680" s="148">
        <f>IFERROR(__xludf.DUMMYFUNCTION("""COMPUTED_VALUE"""),21.0)</f>
        <v>21</v>
      </c>
      <c r="F2680" s="148">
        <f>IFERROR(__xludf.DUMMYFUNCTION("""COMPUTED_VALUE"""),404201.0)</f>
        <v>404201</v>
      </c>
      <c r="G2680" s="148">
        <f>IFERROR(__xludf.DUMMYFUNCTION("""COMPUTED_VALUE"""),1.51102297E8)</f>
        <v>151102297</v>
      </c>
      <c r="H2680" s="148">
        <f>IFERROR(__xludf.DUMMYFUNCTION("""COMPUTED_VALUE"""),1.5112563E7)</f>
        <v>15112563</v>
      </c>
      <c r="I2680" s="148" t="str">
        <f>IFERROR(__xludf.DUMMYFUNCTION("""COMPUTED_VALUE"""),"{""typ"":""lc"",""txt"":""LC_ITEM_time_day_upper_show"",""args"":[{""typ"":""int"",""val"":1}]}")</f>
        <v>{"typ":"lc","txt":"LC_ITEM_time_day_upper_show","args":[{"typ":"int","val":1}]}</v>
      </c>
      <c r="J2680" s="148" t="str">
        <f>IFERROR(__xludf.DUMMYFUNCTION("""COMPUTED_VALUE"""),"{""typ"":""lc"",""txt"":""LC_ITEM_2025racegame_car_skin_title_1day""}")</f>
        <v>{"typ":"lc","txt":"LC_ITEM_2025racegame_car_skin_title_1day"}</v>
      </c>
      <c r="K2680" s="148" t="str">
        <f>IFERROR(__xludf.DUMMYFUNCTION("""COMPUTED_VALUE"""),"{""typ"":""lc"",""txt"":""LC_ITEM_2025racegame_car_skin_desc_1day""}")</f>
        <v>{"typ":"lc","txt":"LC_ITEM_2025racegame_car_skin_desc_1day"}</v>
      </c>
      <c r="L2680" s="148" t="str">
        <f>IFERROR(__xludf.DUMMYFUNCTION("""COMPUTED_VALUE"""),"{""typ"":""lc"",""txt"":""LC_ITEM_city_skin_rocket_use_tips""}")</f>
        <v>{"typ":"lc","txt":"LC_ITEM_city_skin_rocket_use_tips"}</v>
      </c>
      <c r="M2680" s="148">
        <f>IFERROR(__xludf.DUMMYFUNCTION("""COMPUTED_VALUE"""),500.0)</f>
        <v>500</v>
      </c>
      <c r="N2680" s="148">
        <f>IFERROR(__xludf.DUMMYFUNCTION("""COMPUTED_VALUE"""),999.0)</f>
        <v>999</v>
      </c>
      <c r="O2680" s="148">
        <f>IFERROR(__xludf.DUMMYFUNCTION("""COMPUTED_VALUE"""),1.0)</f>
        <v>1</v>
      </c>
      <c r="P2680" s="148">
        <f>IFERROR(__xludf.DUMMYFUNCTION("""COMPUTED_VALUE"""),1.0)</f>
        <v>1</v>
      </c>
      <c r="Q2680" s="148" t="str">
        <f>IFERROR(__xludf.DUMMYFUNCTION("""COMPUTED_VALUE"""),"[""bag_other""]")</f>
        <v>["bag_other"]</v>
      </c>
      <c r="R2680" s="148" t="str">
        <f>IFERROR(__xludf.DUMMYFUNCTION("""COMPUTED_VALUE"""),"[""bag"",""13121077""]")</f>
        <v>["bag","13121077"]</v>
      </c>
      <c r="S2680" s="148" t="str">
        <f>IFERROR(__xludf.DUMMYFUNCTION("""COMPUTED_VALUE"""),"{""effect"":[{""typ"":""city_skin"",""id"":13121077,""val"":86400000},{""typ"":""item"",""id"":11111021,""val"":1}]}")</f>
        <v>{"effect":[{"typ":"city_skin","id":13121077,"val":86400000},{"typ":"item","id":11111021,"val":1}]}</v>
      </c>
      <c r="T2680" s="148">
        <f>IFERROR(__xludf.DUMMYFUNCTION("""COMPUTED_VALUE"""),-1.0)</f>
        <v>-1</v>
      </c>
      <c r="U2680" s="148">
        <f>IFERROR(__xludf.DUMMYFUNCTION("""COMPUTED_VALUE"""),0.0)</f>
        <v>0</v>
      </c>
      <c r="V2680" s="148" t="str">
        <f>IFERROR(__xludf.DUMMYFUNCTION("""COMPUTED_VALUE"""),"[]")</f>
        <v>[]</v>
      </c>
      <c r="W2680" s="148">
        <f>IFERROR(__xludf.DUMMYFUNCTION("""COMPUTED_VALUE"""),1.174E7)</f>
        <v>11740000</v>
      </c>
      <c r="X2680" s="148">
        <f>IFERROR(__xludf.DUMMYFUNCTION("""COMPUTED_VALUE"""),0.0)</f>
        <v>0</v>
      </c>
      <c r="Y2680" s="148">
        <f>IFERROR(__xludf.DUMMYFUNCTION("""COMPUTED_VALUE"""),0.0)</f>
        <v>0</v>
      </c>
      <c r="Z2680" s="148"/>
    </row>
    <row r="2681">
      <c r="A2681" s="148">
        <f>IFERROR(__xludf.DUMMYFUNCTION("""COMPUTED_VALUE"""),1.1119632E7)</f>
        <v>11119632</v>
      </c>
      <c r="B2681" s="148" t="str">
        <f>IFERROR(__xludf.DUMMYFUNCTION("""COMPUTED_VALUE"""),"科技节套装S2-养成线自选宝箱")</f>
        <v>科技节套装S2-养成线自选宝箱</v>
      </c>
      <c r="C2681" s="148"/>
      <c r="D2681" s="148" t="str">
        <f>IFERROR(__xludf.DUMMYFUNCTION("""COMPUTED_VALUE"""),"item_select_box")</f>
        <v>item_select_box</v>
      </c>
      <c r="E2681" s="148">
        <f>IFERROR(__xludf.DUMMYFUNCTION("""COMPUTED_VALUE"""),19.0)</f>
        <v>19</v>
      </c>
      <c r="F2681" s="148">
        <f>IFERROR(__xludf.DUMMYFUNCTION("""COMPUTED_VALUE"""),305221.0)</f>
        <v>305221</v>
      </c>
      <c r="G2681" s="148">
        <f>IFERROR(__xludf.DUMMYFUNCTION("""COMPUTED_VALUE"""),1.51102331E8)</f>
        <v>151102331</v>
      </c>
      <c r="H2681" s="148">
        <f>IFERROR(__xludf.DUMMYFUNCTION("""COMPUTED_VALUE"""),1.5112563E7)</f>
        <v>15112563</v>
      </c>
      <c r="I2681" s="148" t="str">
        <f>IFERROR(__xludf.DUMMYFUNCTION("""COMPUTED_VALUE"""),"{}")</f>
        <v>{}</v>
      </c>
      <c r="J2681" s="148" t="str">
        <f>IFERROR(__xludf.DUMMYFUNCTION("""COMPUTED_VALUE"""),"{""typ"":""lc"",""txt"":""LC_ITEM_techsuit_select_box_name_1""}")</f>
        <v>{"typ":"lc","txt":"LC_ITEM_techsuit_select_box_name_1"}</v>
      </c>
      <c r="K2681" s="148" t="str">
        <f>IFERROR(__xludf.DUMMYFUNCTION("""COMPUTED_VALUE"""),"{""typ"":""lc"",""txt"":""LC_ITEM_techsuit_select_box_desc_1""}")</f>
        <v>{"typ":"lc","txt":"LC_ITEM_techsuit_select_box_desc_1"}</v>
      </c>
      <c r="L2681" s="148" t="str">
        <f>IFERROR(__xludf.DUMMYFUNCTION("""COMPUTED_VALUE"""),"{}")</f>
        <v>{}</v>
      </c>
      <c r="M2681" s="148">
        <f>IFERROR(__xludf.DUMMYFUNCTION("""COMPUTED_VALUE"""),100.0)</f>
        <v>100</v>
      </c>
      <c r="N2681" s="148">
        <f>IFERROR(__xludf.DUMMYFUNCTION("""COMPUTED_VALUE"""),9.99999999E8)</f>
        <v>999999999</v>
      </c>
      <c r="O2681" s="148">
        <f>IFERROR(__xludf.DUMMYFUNCTION("""COMPUTED_VALUE"""),9.99999999E8)</f>
        <v>999999999</v>
      </c>
      <c r="P2681" s="148">
        <f>IFERROR(__xludf.DUMMYFUNCTION("""COMPUTED_VALUE"""),9.99999999E8)</f>
        <v>999999999</v>
      </c>
      <c r="Q2681" s="148" t="str">
        <f>IFERROR(__xludf.DUMMYFUNCTION("""COMPUTED_VALUE"""),"[""bag_other""]")</f>
        <v>["bag_other"]</v>
      </c>
      <c r="R2681" s="148" t="str">
        <f>IFERROR(__xludf.DUMMYFUNCTION("""COMPUTED_VALUE"""),"[""bag""]")</f>
        <v>["bag"]</v>
      </c>
      <c r="S2681" s="148" t="str">
        <f>IFERROR(__xludf.DUMMYFUNCTION("""COMPUTED_VALUE"""),"{""select_box"":[{""typ"":""item"",""id"":11116110,""val"":1},{""typ"":""item"",""id"":11117024,""val"":2},{""typ"":""item"",""id"":11118003,""val"":6},{""typ"":""item"",""id"":11117069,""val"":1},{""typ"":""material"",""id"":19345003,""val"":50},{""typ"""&amp;":""item"",""id"":11111105,""val"":3}]}")</f>
        <v>{"select_box":[{"typ":"item","id":11116110,"val":1},{"typ":"item","id":11117024,"val":2},{"typ":"item","id":11118003,"val":6},{"typ":"item","id":11117069,"val":1},{"typ":"material","id":19345003,"val":50},{"typ":"item","id":11111105,"val":3}]}</v>
      </c>
      <c r="T2681" s="148">
        <f>IFERROR(__xludf.DUMMYFUNCTION("""COMPUTED_VALUE"""),-1.0)</f>
        <v>-1</v>
      </c>
      <c r="U2681" s="148">
        <f>IFERROR(__xludf.DUMMYFUNCTION("""COMPUTED_VALUE"""),0.0)</f>
        <v>0</v>
      </c>
      <c r="V2681" s="148" t="str">
        <f>IFERROR(__xludf.DUMMYFUNCTION("""COMPUTED_VALUE"""),"[]")</f>
        <v>[]</v>
      </c>
      <c r="W2681" s="148">
        <f>IFERROR(__xludf.DUMMYFUNCTION("""COMPUTED_VALUE"""),1.1741004E7)</f>
        <v>11741004</v>
      </c>
      <c r="X2681" s="148">
        <f>IFERROR(__xludf.DUMMYFUNCTION("""COMPUTED_VALUE"""),0.0)</f>
        <v>0</v>
      </c>
      <c r="Y2681" s="148">
        <f>IFERROR(__xludf.DUMMYFUNCTION("""COMPUTED_VALUE"""),0.0)</f>
        <v>0</v>
      </c>
      <c r="Z2681" s="148"/>
    </row>
    <row r="2682">
      <c r="A2682" s="148">
        <f>IFERROR(__xludf.DUMMYFUNCTION("""COMPUTED_VALUE"""),1.1119633E7)</f>
        <v>11119633</v>
      </c>
      <c r="B2682" s="148" t="str">
        <f>IFERROR(__xludf.DUMMYFUNCTION("""COMPUTED_VALUE"""),"科技节套装S2-高级养成线自选宝箱")</f>
        <v>科技节套装S2-高级养成线自选宝箱</v>
      </c>
      <c r="C2682" s="148"/>
      <c r="D2682" s="148" t="str">
        <f>IFERROR(__xludf.DUMMYFUNCTION("""COMPUTED_VALUE"""),"item_select_box")</f>
        <v>item_select_box</v>
      </c>
      <c r="E2682" s="148">
        <f>IFERROR(__xludf.DUMMYFUNCTION("""COMPUTED_VALUE"""),19.0)</f>
        <v>19</v>
      </c>
      <c r="F2682" s="148">
        <f>IFERROR(__xludf.DUMMYFUNCTION("""COMPUTED_VALUE"""),305221.0)</f>
        <v>305221</v>
      </c>
      <c r="G2682" s="148">
        <f>IFERROR(__xludf.DUMMYFUNCTION("""COMPUTED_VALUE"""),1.51102331E8)</f>
        <v>151102331</v>
      </c>
      <c r="H2682" s="148">
        <f>IFERROR(__xludf.DUMMYFUNCTION("""COMPUTED_VALUE"""),1.5112564E7)</f>
        <v>15112564</v>
      </c>
      <c r="I2682" s="148" t="str">
        <f>IFERROR(__xludf.DUMMYFUNCTION("""COMPUTED_VALUE"""),"{}")</f>
        <v>{}</v>
      </c>
      <c r="J2682" s="148" t="str">
        <f>IFERROR(__xludf.DUMMYFUNCTION("""COMPUTED_VALUE"""),"{""typ"":""lc"",""txt"":""LC_ITEM_techsuit_select_box_name_2""}")</f>
        <v>{"typ":"lc","txt":"LC_ITEM_techsuit_select_box_name_2"}</v>
      </c>
      <c r="K2682" s="148" t="str">
        <f>IFERROR(__xludf.DUMMYFUNCTION("""COMPUTED_VALUE"""),"{""typ"":""lc"",""txt"":""LC_ITEM_techsuit_select_box_desc_2""}")</f>
        <v>{"typ":"lc","txt":"LC_ITEM_techsuit_select_box_desc_2"}</v>
      </c>
      <c r="L2682" s="148" t="str">
        <f>IFERROR(__xludf.DUMMYFUNCTION("""COMPUTED_VALUE"""),"{}")</f>
        <v>{}</v>
      </c>
      <c r="M2682" s="148">
        <f>IFERROR(__xludf.DUMMYFUNCTION("""COMPUTED_VALUE"""),100.0)</f>
        <v>100</v>
      </c>
      <c r="N2682" s="148">
        <f>IFERROR(__xludf.DUMMYFUNCTION("""COMPUTED_VALUE"""),9.99999999E8)</f>
        <v>999999999</v>
      </c>
      <c r="O2682" s="148">
        <f>IFERROR(__xludf.DUMMYFUNCTION("""COMPUTED_VALUE"""),9.99999999E8)</f>
        <v>999999999</v>
      </c>
      <c r="P2682" s="148">
        <f>IFERROR(__xludf.DUMMYFUNCTION("""COMPUTED_VALUE"""),9.99999999E8)</f>
        <v>999999999</v>
      </c>
      <c r="Q2682" s="148" t="str">
        <f>IFERROR(__xludf.DUMMYFUNCTION("""COMPUTED_VALUE"""),"[""bag_other""]")</f>
        <v>["bag_other"]</v>
      </c>
      <c r="R2682" s="148" t="str">
        <f>IFERROR(__xludf.DUMMYFUNCTION("""COMPUTED_VALUE"""),"[""bag""]")</f>
        <v>["bag"]</v>
      </c>
      <c r="S2682" s="148" t="str">
        <f>IFERROR(__xludf.DUMMYFUNCTION("""COMPUTED_VALUE"""),"{""select_box"":[{""typ"":""item"",""id"":11116304,""val"":2},{""typ"":""item"",""id"":11116604,""val"":10},{""typ"":""item"",""id"":11118102,""val"":5},{""typ"":""item"",""id"":11117069,""val"":7},{""typ"":""material"",""id"":19345004,""val"":20},{""typ"&amp;""":""item"",""id"":11111105,""val"":13}]}")</f>
        <v>{"select_box":[{"typ":"item","id":11116304,"val":2},{"typ":"item","id":11116604,"val":10},{"typ":"item","id":11118102,"val":5},{"typ":"item","id":11117069,"val":7},{"typ":"material","id":19345004,"val":20},{"typ":"item","id":11111105,"val":13}]}</v>
      </c>
      <c r="T2682" s="148">
        <f>IFERROR(__xludf.DUMMYFUNCTION("""COMPUTED_VALUE"""),-1.0)</f>
        <v>-1</v>
      </c>
      <c r="U2682" s="148">
        <f>IFERROR(__xludf.DUMMYFUNCTION("""COMPUTED_VALUE"""),0.0)</f>
        <v>0</v>
      </c>
      <c r="V2682" s="148" t="str">
        <f>IFERROR(__xludf.DUMMYFUNCTION("""COMPUTED_VALUE"""),"[]")</f>
        <v>[]</v>
      </c>
      <c r="W2682" s="148">
        <f>IFERROR(__xludf.DUMMYFUNCTION("""COMPUTED_VALUE"""),1.1741004E7)</f>
        <v>11741004</v>
      </c>
      <c r="X2682" s="148">
        <f>IFERROR(__xludf.DUMMYFUNCTION("""COMPUTED_VALUE"""),0.0)</f>
        <v>0</v>
      </c>
      <c r="Y2682" s="148">
        <f>IFERROR(__xludf.DUMMYFUNCTION("""COMPUTED_VALUE"""),0.0)</f>
        <v>0</v>
      </c>
      <c r="Z2682" s="148"/>
    </row>
    <row r="2683">
      <c r="A2683" s="148">
        <f>IFERROR(__xludf.DUMMYFUNCTION("""COMPUTED_VALUE"""),1.1119634E7)</f>
        <v>11119634</v>
      </c>
      <c r="B2683" s="148" t="str">
        <f>IFERROR(__xludf.DUMMYFUNCTION("""COMPUTED_VALUE"""),"科技节套装S2-活动道具自选宝箱")</f>
        <v>科技节套装S2-活动道具自选宝箱</v>
      </c>
      <c r="C2683" s="148"/>
      <c r="D2683" s="148" t="str">
        <f>IFERROR(__xludf.DUMMYFUNCTION("""COMPUTED_VALUE"""),"item_select_box")</f>
        <v>item_select_box</v>
      </c>
      <c r="E2683" s="148">
        <f>IFERROR(__xludf.DUMMYFUNCTION("""COMPUTED_VALUE"""),19.0)</f>
        <v>19</v>
      </c>
      <c r="F2683" s="148">
        <f>IFERROR(__xludf.DUMMYFUNCTION("""COMPUTED_VALUE"""),305221.0)</f>
        <v>305221</v>
      </c>
      <c r="G2683" s="148">
        <f>IFERROR(__xludf.DUMMYFUNCTION("""COMPUTED_VALUE"""),1.51102332E8)</f>
        <v>151102332</v>
      </c>
      <c r="H2683" s="148">
        <f>IFERROR(__xludf.DUMMYFUNCTION("""COMPUTED_VALUE"""),1.5112564E7)</f>
        <v>15112564</v>
      </c>
      <c r="I2683" s="148" t="str">
        <f>IFERROR(__xludf.DUMMYFUNCTION("""COMPUTED_VALUE"""),"{}")</f>
        <v>{}</v>
      </c>
      <c r="J2683" s="148" t="str">
        <f>IFERROR(__xludf.DUMMYFUNCTION("""COMPUTED_VALUE"""),"{""typ"":""lc"",""txt"":""LC_ITEM_techsuit_select_box_name_3""}")</f>
        <v>{"typ":"lc","txt":"LC_ITEM_techsuit_select_box_name_3"}</v>
      </c>
      <c r="K2683" s="148" t="str">
        <f>IFERROR(__xludf.DUMMYFUNCTION("""COMPUTED_VALUE"""),"{""typ"":""lc"",""txt"":""LC_ITEM_techsuit_select_box_desc_3""}")</f>
        <v>{"typ":"lc","txt":"LC_ITEM_techsuit_select_box_desc_3"}</v>
      </c>
      <c r="L2683" s="148" t="str">
        <f>IFERROR(__xludf.DUMMYFUNCTION("""COMPUTED_VALUE"""),"{}")</f>
        <v>{}</v>
      </c>
      <c r="M2683" s="148">
        <f>IFERROR(__xludf.DUMMYFUNCTION("""COMPUTED_VALUE"""),100.0)</f>
        <v>100</v>
      </c>
      <c r="N2683" s="148">
        <f>IFERROR(__xludf.DUMMYFUNCTION("""COMPUTED_VALUE"""),9.99999999E8)</f>
        <v>999999999</v>
      </c>
      <c r="O2683" s="148">
        <f>IFERROR(__xludf.DUMMYFUNCTION("""COMPUTED_VALUE"""),9.99999999E8)</f>
        <v>999999999</v>
      </c>
      <c r="P2683" s="148">
        <f>IFERROR(__xludf.DUMMYFUNCTION("""COMPUTED_VALUE"""),9.99999999E8)</f>
        <v>999999999</v>
      </c>
      <c r="Q2683" s="148" t="str">
        <f>IFERROR(__xludf.DUMMYFUNCTION("""COMPUTED_VALUE"""),"[""bag_other""]")</f>
        <v>["bag_other"]</v>
      </c>
      <c r="R2683" s="148" t="str">
        <f>IFERROR(__xludf.DUMMYFUNCTION("""COMPUTED_VALUE"""),"[""bag""]")</f>
        <v>["bag"]</v>
      </c>
      <c r="S2683" s="148" t="str">
        <f>IFERROR(__xludf.DUMMYFUNCTION("""COMPUTED_VALUE"""),"{""select_box"":[{""typ"":""item"",""id"":11112137,""val"":1},{""typ"":""item"",""id"":11112453,""val"":3}]}")</f>
        <v>{"select_box":[{"typ":"item","id":11112137,"val":1},{"typ":"item","id":11112453,"val":3}]}</v>
      </c>
      <c r="T2683" s="148">
        <f>IFERROR(__xludf.DUMMYFUNCTION("""COMPUTED_VALUE"""),-1.0)</f>
        <v>-1</v>
      </c>
      <c r="U2683" s="148">
        <f>IFERROR(__xludf.DUMMYFUNCTION("""COMPUTED_VALUE"""),0.0)</f>
        <v>0</v>
      </c>
      <c r="V2683" s="148" t="str">
        <f>IFERROR(__xludf.DUMMYFUNCTION("""COMPUTED_VALUE"""),"[]")</f>
        <v>[]</v>
      </c>
      <c r="W2683" s="148">
        <f>IFERROR(__xludf.DUMMYFUNCTION("""COMPUTED_VALUE"""),1.1741004E7)</f>
        <v>11741004</v>
      </c>
      <c r="X2683" s="148">
        <f>IFERROR(__xludf.DUMMYFUNCTION("""COMPUTED_VALUE"""),0.0)</f>
        <v>0</v>
      </c>
      <c r="Y2683" s="148">
        <f>IFERROR(__xludf.DUMMYFUNCTION("""COMPUTED_VALUE"""),0.0)</f>
        <v>0</v>
      </c>
      <c r="Z2683" s="148"/>
    </row>
    <row r="2684">
      <c r="A2684" s="148">
        <f>IFERROR(__xludf.DUMMYFUNCTION("""COMPUTED_VALUE"""),1.1119635E7)</f>
        <v>11119635</v>
      </c>
      <c r="B2684" s="148" t="str">
        <f>IFERROR(__xludf.DUMMYFUNCTION("""COMPUTED_VALUE"""),"军备超值BP-schema6-高级通行证")</f>
        <v>军备超值BP-schema6-高级通行证</v>
      </c>
      <c r="C2684" s="148"/>
      <c r="D2684" s="148" t="str">
        <f>IFERROR(__xludf.DUMMYFUNCTION("""COMPUTED_VALUE"""),"battle_pass_card")</f>
        <v>battle_pass_card</v>
      </c>
      <c r="E2684" s="148">
        <f>IFERROR(__xludf.DUMMYFUNCTION("""COMPUTED_VALUE"""),0.0)</f>
        <v>0</v>
      </c>
      <c r="F2684" s="148">
        <f>IFERROR(__xludf.DUMMYFUNCTION("""COMPUTED_VALUE"""),0.0)</f>
        <v>0</v>
      </c>
      <c r="G2684" s="148">
        <f>IFERROR(__xludf.DUMMYFUNCTION("""COMPUTED_VALUE"""),1.51102357E8)</f>
        <v>151102357</v>
      </c>
      <c r="H2684" s="148">
        <f>IFERROR(__xludf.DUMMYFUNCTION("""COMPUTED_VALUE"""),1.5112564E7)</f>
        <v>15112564</v>
      </c>
      <c r="I2684" s="148" t="str">
        <f>IFERROR(__xludf.DUMMYFUNCTION("""COMPUTED_VALUE"""),"{}")</f>
        <v>{}</v>
      </c>
      <c r="J2684" s="148" t="str">
        <f>IFERROR(__xludf.DUMMYFUNCTION("""COMPUTED_VALUE"""),"{""typ"":""lc"",""txt"":""LC_ITEM_t6arm_bp_lvl2_name""}")</f>
        <v>{"typ":"lc","txt":"LC_ITEM_t6arm_bp_lvl2_name"}</v>
      </c>
      <c r="K2684" s="148" t="str">
        <f>IFERROR(__xludf.DUMMYFUNCTION("""COMPUTED_VALUE"""),"{""typ"":""lc"",""txt"":""LC_ITEM_t6arm_bp_lvl2_desc""}")</f>
        <v>{"typ":"lc","txt":"LC_ITEM_t6arm_bp_lvl2_desc"}</v>
      </c>
      <c r="L2684" s="148" t="str">
        <f>IFERROR(__xludf.DUMMYFUNCTION("""COMPUTED_VALUE"""),"{}")</f>
        <v>{}</v>
      </c>
      <c r="M2684" s="148">
        <f>IFERROR(__xludf.DUMMYFUNCTION("""COMPUTED_VALUE"""),10.0)</f>
        <v>10</v>
      </c>
      <c r="N2684" s="148">
        <f>IFERROR(__xludf.DUMMYFUNCTION("""COMPUTED_VALUE"""),999999.0)</f>
        <v>999999</v>
      </c>
      <c r="O2684" s="148">
        <f>IFERROR(__xludf.DUMMYFUNCTION("""COMPUTED_VALUE"""),99999.0)</f>
        <v>99999</v>
      </c>
      <c r="P2684" s="148">
        <f>IFERROR(__xludf.DUMMYFUNCTION("""COMPUTED_VALUE"""),9999.0)</f>
        <v>9999</v>
      </c>
      <c r="Q2684" s="148" t="str">
        <f>IFERROR(__xludf.DUMMYFUNCTION("""COMPUTED_VALUE"""),"[]")</f>
        <v>[]</v>
      </c>
      <c r="R2684" s="148" t="str">
        <f>IFERROR(__xludf.DUMMYFUNCTION("""COMPUTED_VALUE"""),"[]")</f>
        <v>[]</v>
      </c>
      <c r="S2684" s="148" t="str">
        <f>IFERROR(__xludf.DUMMYFUNCTION("""COMPUTED_VALUE"""),"{}")</f>
        <v>{}</v>
      </c>
      <c r="T2684" s="148">
        <f>IFERROR(__xludf.DUMMYFUNCTION("""COMPUTED_VALUE"""),-1.0)</f>
        <v>-1</v>
      </c>
      <c r="U2684" s="148">
        <f>IFERROR(__xludf.DUMMYFUNCTION("""COMPUTED_VALUE"""),1.0)</f>
        <v>1</v>
      </c>
      <c r="V2684" s="148" t="str">
        <f>IFERROR(__xludf.DUMMYFUNCTION("""COMPUTED_VALUE"""),"[]")</f>
        <v>[]</v>
      </c>
      <c r="W2684" s="148">
        <f>IFERROR(__xludf.DUMMYFUNCTION("""COMPUTED_VALUE"""),1.174E7)</f>
        <v>11740000</v>
      </c>
      <c r="X2684" s="148">
        <f>IFERROR(__xludf.DUMMYFUNCTION("""COMPUTED_VALUE"""),0.0)</f>
        <v>0</v>
      </c>
      <c r="Y2684" s="148">
        <f>IFERROR(__xludf.DUMMYFUNCTION("""COMPUTED_VALUE"""),0.0)</f>
        <v>0</v>
      </c>
      <c r="Z2684" s="148"/>
    </row>
    <row r="2685">
      <c r="A2685" s="148">
        <f>IFERROR(__xludf.DUMMYFUNCTION("""COMPUTED_VALUE"""),1.1119636E7)</f>
        <v>11119636</v>
      </c>
      <c r="B2685" s="148" t="str">
        <f>IFERROR(__xludf.DUMMYFUNCTION("""COMPUTED_VALUE"""),"军备超值BP-schema6-bp经验道具")</f>
        <v>军备超值BP-schema6-bp经验道具</v>
      </c>
      <c r="C2685" s="148"/>
      <c r="D2685" s="148" t="str">
        <f>IFERROR(__xludf.DUMMYFUNCTION("""COMPUTED_VALUE"""),"battle_pass_exp")</f>
        <v>battle_pass_exp</v>
      </c>
      <c r="E2685" s="148">
        <f>IFERROR(__xludf.DUMMYFUNCTION("""COMPUTED_VALUE"""),0.0)</f>
        <v>0</v>
      </c>
      <c r="F2685" s="148">
        <f>IFERROR(__xludf.DUMMYFUNCTION("""COMPUTED_VALUE"""),405218.0)</f>
        <v>405218</v>
      </c>
      <c r="G2685" s="148">
        <f>IFERROR(__xludf.DUMMYFUNCTION("""COMPUTED_VALUE"""),1.51102358E8)</f>
        <v>151102358</v>
      </c>
      <c r="H2685" s="148">
        <f>IFERROR(__xludf.DUMMYFUNCTION("""COMPUTED_VALUE"""),1.5112563E7)</f>
        <v>15112563</v>
      </c>
      <c r="I2685" s="148" t="str">
        <f>IFERROR(__xludf.DUMMYFUNCTION("""COMPUTED_VALUE"""),"{}")</f>
        <v>{}</v>
      </c>
      <c r="J2685" s="148" t="str">
        <f>IFERROR(__xludf.DUMMYFUNCTION("""COMPUTED_VALUE"""),"{""typ"":""lc"",""txt"":""LC_ITEM_t6arm_bp_exp_name""}")</f>
        <v>{"typ":"lc","txt":"LC_ITEM_t6arm_bp_exp_name"}</v>
      </c>
      <c r="K2685" s="148" t="str">
        <f>IFERROR(__xludf.DUMMYFUNCTION("""COMPUTED_VALUE"""),"{""typ"":""lc"",""txt"":""LC_ITEM_t6arm_bp_exp_desc""}")</f>
        <v>{"typ":"lc","txt":"LC_ITEM_t6arm_bp_exp_desc"}</v>
      </c>
      <c r="L2685" s="148" t="str">
        <f>IFERROR(__xludf.DUMMYFUNCTION("""COMPUTED_VALUE"""),"{}")</f>
        <v>{}</v>
      </c>
      <c r="M2685" s="148">
        <f>IFERROR(__xludf.DUMMYFUNCTION("""COMPUTED_VALUE"""),2.0)</f>
        <v>2</v>
      </c>
      <c r="N2685" s="148">
        <f>IFERROR(__xludf.DUMMYFUNCTION("""COMPUTED_VALUE"""),999999.0)</f>
        <v>999999</v>
      </c>
      <c r="O2685" s="148">
        <f>IFERROR(__xludf.DUMMYFUNCTION("""COMPUTED_VALUE"""),99999.0)</f>
        <v>99999</v>
      </c>
      <c r="P2685" s="148">
        <f>IFERROR(__xludf.DUMMYFUNCTION("""COMPUTED_VALUE"""),99999.0)</f>
        <v>99999</v>
      </c>
      <c r="Q2685" s="148" t="str">
        <f>IFERROR(__xludf.DUMMYFUNCTION("""COMPUTED_VALUE"""),"[""bag_other""]")</f>
        <v>["bag_other"]</v>
      </c>
      <c r="R2685" s="148" t="str">
        <f>IFERROR(__xludf.DUMMYFUNCTION("""COMPUTED_VALUE"""),"[]")</f>
        <v>[]</v>
      </c>
      <c r="S2685" s="148" t="str">
        <f>IFERROR(__xludf.DUMMYFUNCTION("""COMPUTED_VALUE"""),"{}")</f>
        <v>{}</v>
      </c>
      <c r="T2685" s="148">
        <f>IFERROR(__xludf.DUMMYFUNCTION("""COMPUTED_VALUE"""),-1.0)</f>
        <v>-1</v>
      </c>
      <c r="U2685" s="148">
        <f>IFERROR(__xludf.DUMMYFUNCTION("""COMPUTED_VALUE"""),1.0)</f>
        <v>1</v>
      </c>
      <c r="V2685" s="148" t="str">
        <f>IFERROR(__xludf.DUMMYFUNCTION("""COMPUTED_VALUE"""),"[]")</f>
        <v>[]</v>
      </c>
      <c r="W2685" s="148">
        <f>IFERROR(__xludf.DUMMYFUNCTION("""COMPUTED_VALUE"""),1.174E7)</f>
        <v>11740000</v>
      </c>
      <c r="X2685" s="148">
        <f>IFERROR(__xludf.DUMMYFUNCTION("""COMPUTED_VALUE"""),0.0)</f>
        <v>0</v>
      </c>
      <c r="Y2685" s="148">
        <f>IFERROR(__xludf.DUMMYFUNCTION("""COMPUTED_VALUE"""),0.0)</f>
        <v>0</v>
      </c>
      <c r="Z2685" s="148"/>
    </row>
    <row r="2686">
      <c r="A2686" s="148">
        <f>IFERROR(__xludf.DUMMYFUNCTION("""COMPUTED_VALUE"""),1.1119637E7)</f>
        <v>11119637</v>
      </c>
      <c r="B2686" s="148" t="str">
        <f>IFERROR(__xludf.DUMMYFUNCTION("""COMPUTED_VALUE"""),"军备超值BP-新增自选道具-军备自选-0.75$")</f>
        <v>军备超值BP-新增自选道具-军备自选-0.75$</v>
      </c>
      <c r="C2686" s="148"/>
      <c r="D2686" s="148" t="str">
        <f>IFERROR(__xludf.DUMMYFUNCTION("""COMPUTED_VALUE"""),"item_select_box")</f>
        <v>item_select_box</v>
      </c>
      <c r="E2686" s="148">
        <f>IFERROR(__xludf.DUMMYFUNCTION("""COMPUTED_VALUE"""),19.0)</f>
        <v>19</v>
      </c>
      <c r="F2686" s="148">
        <f>IFERROR(__xludf.DUMMYFUNCTION("""COMPUTED_VALUE"""),305221.0)</f>
        <v>305221</v>
      </c>
      <c r="G2686" s="148">
        <f>IFERROR(__xludf.DUMMYFUNCTION("""COMPUTED_VALUE"""),1.51102361E8)</f>
        <v>151102361</v>
      </c>
      <c r="H2686" s="148">
        <f>IFERROR(__xludf.DUMMYFUNCTION("""COMPUTED_VALUE"""),1.5112563E7)</f>
        <v>15112563</v>
      </c>
      <c r="I2686" s="148" t="str">
        <f>IFERROR(__xludf.DUMMYFUNCTION("""COMPUTED_VALUE"""),"{}")</f>
        <v>{}</v>
      </c>
      <c r="J2686" s="148" t="str">
        <f>IFERROR(__xludf.DUMMYFUNCTION("""COMPUTED_VALUE"""),"{""typ"":""lc"",""txt"":""LC_ITEM_t6arm_bp_choosen_box_troops_name""}")</f>
        <v>{"typ":"lc","txt":"LC_ITEM_t6arm_bp_choosen_box_troops_name"}</v>
      </c>
      <c r="K2686" s="148" t="str">
        <f>IFERROR(__xludf.DUMMYFUNCTION("""COMPUTED_VALUE"""),"{""typ"":""lc"",""txt"":""LC_ITEM_t6arm_bp_choosen_box_troops_desc""}")</f>
        <v>{"typ":"lc","txt":"LC_ITEM_t6arm_bp_choosen_box_troops_desc"}</v>
      </c>
      <c r="L2686" s="148" t="str">
        <f>IFERROR(__xludf.DUMMYFUNCTION("""COMPUTED_VALUE"""),"{}")</f>
        <v>{}</v>
      </c>
      <c r="M2686" s="148">
        <f>IFERROR(__xludf.DUMMYFUNCTION("""COMPUTED_VALUE"""),100.0)</f>
        <v>100</v>
      </c>
      <c r="N2686" s="148">
        <f>IFERROR(__xludf.DUMMYFUNCTION("""COMPUTED_VALUE"""),9.99999999E8)</f>
        <v>999999999</v>
      </c>
      <c r="O2686" s="148">
        <f>IFERROR(__xludf.DUMMYFUNCTION("""COMPUTED_VALUE"""),9.99999999E8)</f>
        <v>999999999</v>
      </c>
      <c r="P2686" s="148">
        <f>IFERROR(__xludf.DUMMYFUNCTION("""COMPUTED_VALUE"""),9.99999999E8)</f>
        <v>999999999</v>
      </c>
      <c r="Q2686" s="148" t="str">
        <f>IFERROR(__xludf.DUMMYFUNCTION("""COMPUTED_VALUE"""),"[""bag_other""]")</f>
        <v>["bag_other"]</v>
      </c>
      <c r="R2686" s="148" t="str">
        <f>IFERROR(__xludf.DUMMYFUNCTION("""COMPUTED_VALUE"""),"[""bag""]")</f>
        <v>["bag"]</v>
      </c>
      <c r="S2686" s="148" t="str">
        <f>IFERROR(__xludf.DUMMYFUNCTION("""COMPUTED_VALUE"""),"{""select_box"":[{""typ"":""item"",""id"":11117068,""val"":25},{""typ"":""item"",""id"":11117069,""val"":1},{""typ"":""item"",""id"":11117229,""val"":5},{""typ"":""item"",""id"":11111041,""val"":12}]}")</f>
        <v>{"select_box":[{"typ":"item","id":11117068,"val":25},{"typ":"item","id":11117069,"val":1},{"typ":"item","id":11117229,"val":5},{"typ":"item","id":11111041,"val":12}]}</v>
      </c>
      <c r="T2686" s="148">
        <f>IFERROR(__xludf.DUMMYFUNCTION("""COMPUTED_VALUE"""),-1.0)</f>
        <v>-1</v>
      </c>
      <c r="U2686" s="148">
        <f>IFERROR(__xludf.DUMMYFUNCTION("""COMPUTED_VALUE"""),0.0)</f>
        <v>0</v>
      </c>
      <c r="V2686" s="148" t="str">
        <f>IFERROR(__xludf.DUMMYFUNCTION("""COMPUTED_VALUE"""),"[]")</f>
        <v>[]</v>
      </c>
      <c r="W2686" s="148">
        <f>IFERROR(__xludf.DUMMYFUNCTION("""COMPUTED_VALUE"""),1.1741004E7)</f>
        <v>11741004</v>
      </c>
      <c r="X2686" s="148">
        <f>IFERROR(__xludf.DUMMYFUNCTION("""COMPUTED_VALUE"""),0.0)</f>
        <v>0</v>
      </c>
      <c r="Y2686" s="148">
        <f>IFERROR(__xludf.DUMMYFUNCTION("""COMPUTED_VALUE"""),0.0)</f>
        <v>0</v>
      </c>
      <c r="Z2686" s="148"/>
    </row>
    <row r="2687">
      <c r="A2687" s="148">
        <f>IFERROR(__xludf.DUMMYFUNCTION("""COMPUTED_VALUE"""),1.1119638E7)</f>
        <v>11119638</v>
      </c>
      <c r="B2687" s="148" t="str">
        <f>IFERROR(__xludf.DUMMYFUNCTION("""COMPUTED_VALUE"""),"军备超值BP-新增自选道具-高级军备自选-3.13$")</f>
        <v>军备超值BP-新增自选道具-高级军备自选-3.13$</v>
      </c>
      <c r="C2687" s="148"/>
      <c r="D2687" s="148" t="str">
        <f>IFERROR(__xludf.DUMMYFUNCTION("""COMPUTED_VALUE"""),"item_select_box")</f>
        <v>item_select_box</v>
      </c>
      <c r="E2687" s="148">
        <f>IFERROR(__xludf.DUMMYFUNCTION("""COMPUTED_VALUE"""),19.0)</f>
        <v>19</v>
      </c>
      <c r="F2687" s="148">
        <f>IFERROR(__xludf.DUMMYFUNCTION("""COMPUTED_VALUE"""),305221.0)</f>
        <v>305221</v>
      </c>
      <c r="G2687" s="148">
        <f>IFERROR(__xludf.DUMMYFUNCTION("""COMPUTED_VALUE"""),1.51102361E8)</f>
        <v>151102361</v>
      </c>
      <c r="H2687" s="148">
        <f>IFERROR(__xludf.DUMMYFUNCTION("""COMPUTED_VALUE"""),1.5112564E7)</f>
        <v>15112564</v>
      </c>
      <c r="I2687" s="148" t="str">
        <f>IFERROR(__xludf.DUMMYFUNCTION("""COMPUTED_VALUE"""),"{}")</f>
        <v>{}</v>
      </c>
      <c r="J2687" s="148" t="str">
        <f>IFERROR(__xludf.DUMMYFUNCTION("""COMPUTED_VALUE"""),"{""typ"":""lc"",""txt"":""LC_ITEM_t6arm_bp_choosen_box_troops_2_name""}")</f>
        <v>{"typ":"lc","txt":"LC_ITEM_t6arm_bp_choosen_box_troops_2_name"}</v>
      </c>
      <c r="K2687" s="148" t="str">
        <f>IFERROR(__xludf.DUMMYFUNCTION("""COMPUTED_VALUE"""),"{""typ"":""lc"",""txt"":""LC_ITEM_t6arm_bp_choosen_box_troops_2_desc""}")</f>
        <v>{"typ":"lc","txt":"LC_ITEM_t6arm_bp_choosen_box_troops_2_desc"}</v>
      </c>
      <c r="L2687" s="148" t="str">
        <f>IFERROR(__xludf.DUMMYFUNCTION("""COMPUTED_VALUE"""),"{}")</f>
        <v>{}</v>
      </c>
      <c r="M2687" s="148">
        <f>IFERROR(__xludf.DUMMYFUNCTION("""COMPUTED_VALUE"""),100.0)</f>
        <v>100</v>
      </c>
      <c r="N2687" s="148">
        <f>IFERROR(__xludf.DUMMYFUNCTION("""COMPUTED_VALUE"""),9.99999999E8)</f>
        <v>999999999</v>
      </c>
      <c r="O2687" s="148">
        <f>IFERROR(__xludf.DUMMYFUNCTION("""COMPUTED_VALUE"""),9.99999999E8)</f>
        <v>999999999</v>
      </c>
      <c r="P2687" s="148">
        <f>IFERROR(__xludf.DUMMYFUNCTION("""COMPUTED_VALUE"""),9.99999999E8)</f>
        <v>999999999</v>
      </c>
      <c r="Q2687" s="148" t="str">
        <f>IFERROR(__xludf.DUMMYFUNCTION("""COMPUTED_VALUE"""),"[""bag_other""]")</f>
        <v>["bag_other"]</v>
      </c>
      <c r="R2687" s="148" t="str">
        <f>IFERROR(__xludf.DUMMYFUNCTION("""COMPUTED_VALUE"""),"[""bag""]")</f>
        <v>["bag"]</v>
      </c>
      <c r="S2687" s="148" t="str">
        <f>IFERROR(__xludf.DUMMYFUNCTION("""COMPUTED_VALUE"""),"{""select_box"":[{""typ"":""item"",""id"":11117069,""val"":4},{""typ"":""item"",""id"":11117511,""val"":2},{""typ"":""item"",""id"":11117229,""val"":20},{""typ"":""item"",""id"":11117230,""val"":2},{""typ"":""item"",""id"":11117510,""val"":1},{""typ"":""i"&amp;"tem"",""id"":11111042,""val"":5}]}")</f>
        <v>{"select_box":[{"typ":"item","id":11117069,"val":4},{"typ":"item","id":11117511,"val":2},{"typ":"item","id":11117229,"val":20},{"typ":"item","id":11117230,"val":2},{"typ":"item","id":11117510,"val":1},{"typ":"item","id":11111042,"val":5}]}</v>
      </c>
      <c r="T2687" s="148">
        <f>IFERROR(__xludf.DUMMYFUNCTION("""COMPUTED_VALUE"""),-1.0)</f>
        <v>-1</v>
      </c>
      <c r="U2687" s="148">
        <f>IFERROR(__xludf.DUMMYFUNCTION("""COMPUTED_VALUE"""),0.0)</f>
        <v>0</v>
      </c>
      <c r="V2687" s="148" t="str">
        <f>IFERROR(__xludf.DUMMYFUNCTION("""COMPUTED_VALUE"""),"[]")</f>
        <v>[]</v>
      </c>
      <c r="W2687" s="148">
        <f>IFERROR(__xludf.DUMMYFUNCTION("""COMPUTED_VALUE"""),1.1741004E7)</f>
        <v>11741004</v>
      </c>
      <c r="X2687" s="148">
        <f>IFERROR(__xludf.DUMMYFUNCTION("""COMPUTED_VALUE"""),0.0)</f>
        <v>0</v>
      </c>
      <c r="Y2687" s="148">
        <f>IFERROR(__xludf.DUMMYFUNCTION("""COMPUTED_VALUE"""),0.0)</f>
        <v>0</v>
      </c>
      <c r="Z2687" s="148"/>
    </row>
    <row r="2688">
      <c r="A2688" s="148">
        <f>IFERROR(__xludf.DUMMYFUNCTION("""COMPUTED_VALUE"""),1.1119644E7)</f>
        <v>11119644</v>
      </c>
      <c r="B2688" s="148" t="str">
        <f>IFERROR(__xludf.DUMMYFUNCTION("""COMPUTED_VALUE"""),"主城皮肤-周年庆2025-鲸鱼")</f>
        <v>主城皮肤-周年庆2025-鲸鱼</v>
      </c>
      <c r="C2688" s="148"/>
      <c r="D2688" s="148" t="str">
        <f>IFERROR(__xludf.DUMMYFUNCTION("""COMPUTED_VALUE"""),"city_skin")</f>
        <v>city_skin</v>
      </c>
      <c r="E2688" s="148">
        <f>IFERROR(__xludf.DUMMYFUNCTION("""COMPUTED_VALUE"""),21.0)</f>
        <v>21</v>
      </c>
      <c r="F2688" s="148">
        <f>IFERROR(__xludf.DUMMYFUNCTION("""COMPUTED_VALUE"""),499996.0)</f>
        <v>499996</v>
      </c>
      <c r="G2688" s="148">
        <f>IFERROR(__xludf.DUMMYFUNCTION("""COMPUTED_VALUE"""),1.51102387E8)</f>
        <v>151102387</v>
      </c>
      <c r="H2688" s="148">
        <f>IFERROR(__xludf.DUMMYFUNCTION("""COMPUTED_VALUE"""),1.5112564E7)</f>
        <v>15112564</v>
      </c>
      <c r="I2688" s="148" t="str">
        <f>IFERROR(__xludf.DUMMYFUNCTION("""COMPUTED_VALUE"""),"{}")</f>
        <v>{}</v>
      </c>
      <c r="J2688" s="148" t="str">
        <f>IFERROR(__xludf.DUMMYFUNCTION("""COMPUTED_VALUE"""),"{""typ"":""lc"",""txt"":""LC_ITEM_anni3_2025_city_1_name""}")</f>
        <v>{"typ":"lc","txt":"LC_ITEM_anni3_2025_city_1_name"}</v>
      </c>
      <c r="K2688" s="148" t="str">
        <f>IFERROR(__xludf.DUMMYFUNCTION("""COMPUTED_VALUE"""),"{""typ"":""lc"",""txt"":""LC_ITEM_anni3_2025_city_1_desc""}")</f>
        <v>{"typ":"lc","txt":"LC_ITEM_anni3_2025_city_1_desc"}</v>
      </c>
      <c r="L2688" s="148" t="str">
        <f>IFERROR(__xludf.DUMMYFUNCTION("""COMPUTED_VALUE"""),"{""typ"":""lc"",""txt"":""LC_ASSET_suit_actived_tips_1""}")</f>
        <v>{"typ":"lc","txt":"LC_ASSET_suit_actived_tips_1"}</v>
      </c>
      <c r="M2688" s="148">
        <f>IFERROR(__xludf.DUMMYFUNCTION("""COMPUTED_VALUE"""),10000.0)</f>
        <v>10000</v>
      </c>
      <c r="N2688" s="148">
        <f>IFERROR(__xludf.DUMMYFUNCTION("""COMPUTED_VALUE"""),999.0)</f>
        <v>999</v>
      </c>
      <c r="O2688" s="148">
        <f>IFERROR(__xludf.DUMMYFUNCTION("""COMPUTED_VALUE"""),1.0)</f>
        <v>1</v>
      </c>
      <c r="P2688" s="148">
        <f>IFERROR(__xludf.DUMMYFUNCTION("""COMPUTED_VALUE"""),1.0)</f>
        <v>1</v>
      </c>
      <c r="Q2688" s="148" t="str">
        <f>IFERROR(__xludf.DUMMYFUNCTION("""COMPUTED_VALUE"""),"[""bag_other""]")</f>
        <v>["bag_other"]</v>
      </c>
      <c r="R2688" s="148" t="str">
        <f>IFERROR(__xludf.DUMMYFUNCTION("""COMPUTED_VALUE"""),"[""bag"",""13121078""]")</f>
        <v>["bag","13121078"]</v>
      </c>
      <c r="S2688" s="148" t="str">
        <f>IFERROR(__xludf.DUMMYFUNCTION("""COMPUTED_VALUE"""),"{""effect"":[{""typ"":""city_skin"",""id"":13121078,""val"":-1},{""typ"":""item"",""id"":11112030,""val"":2000}]}")</f>
        <v>{"effect":[{"typ":"city_skin","id":13121078,"val":-1},{"typ":"item","id":11112030,"val":2000}]}</v>
      </c>
      <c r="T2688" s="148">
        <f>IFERROR(__xludf.DUMMYFUNCTION("""COMPUTED_VALUE"""),-1.0)</f>
        <v>-1</v>
      </c>
      <c r="U2688" s="148">
        <f>IFERROR(__xludf.DUMMYFUNCTION("""COMPUTED_VALUE"""),0.0)</f>
        <v>0</v>
      </c>
      <c r="V2688" s="148" t="str">
        <f>IFERROR(__xludf.DUMMYFUNCTION("""COMPUTED_VALUE"""),"[]")</f>
        <v>[]</v>
      </c>
      <c r="W2688" s="148">
        <f>IFERROR(__xludf.DUMMYFUNCTION("""COMPUTED_VALUE"""),1.174E7)</f>
        <v>11740000</v>
      </c>
      <c r="X2688" s="148">
        <f>IFERROR(__xludf.DUMMYFUNCTION("""COMPUTED_VALUE"""),0.0)</f>
        <v>0</v>
      </c>
      <c r="Y2688" s="148">
        <f>IFERROR(__xludf.DUMMYFUNCTION("""COMPUTED_VALUE"""),0.0)</f>
        <v>0</v>
      </c>
      <c r="Z2688" s="148"/>
    </row>
    <row r="2689">
      <c r="A2689" s="148">
        <f>IFERROR(__xludf.DUMMYFUNCTION("""COMPUTED_VALUE"""),1.1119645E7)</f>
        <v>11119645</v>
      </c>
      <c r="B2689" s="148" t="str">
        <f>IFERROR(__xludf.DUMMYFUNCTION("""COMPUTED_VALUE"""),"主城皮肤-周年庆2025-2天")</f>
        <v>主城皮肤-周年庆2025-2天</v>
      </c>
      <c r="C2689" s="148"/>
      <c r="D2689" s="148" t="str">
        <f>IFERROR(__xludf.DUMMYFUNCTION("""COMPUTED_VALUE"""),"city_skin")</f>
        <v>city_skin</v>
      </c>
      <c r="E2689" s="148">
        <f>IFERROR(__xludf.DUMMYFUNCTION("""COMPUTED_VALUE"""),21.0)</f>
        <v>21</v>
      </c>
      <c r="F2689" s="148">
        <f>IFERROR(__xludf.DUMMYFUNCTION("""COMPUTED_VALUE"""),499941.0)</f>
        <v>499941</v>
      </c>
      <c r="G2689" s="148">
        <f>IFERROR(__xludf.DUMMYFUNCTION("""COMPUTED_VALUE"""),1.51102387E8)</f>
        <v>151102387</v>
      </c>
      <c r="H2689" s="148">
        <f>IFERROR(__xludf.DUMMYFUNCTION("""COMPUTED_VALUE"""),1.5112563E7)</f>
        <v>15112563</v>
      </c>
      <c r="I2689" s="148" t="str">
        <f>IFERROR(__xludf.DUMMYFUNCTION("""COMPUTED_VALUE"""),"{""typ"":""lc"",""txt"":""LC_ITEM_time_day_upper_show"",""args"":[{""typ"":""int"",""val"":2}]}")</f>
        <v>{"typ":"lc","txt":"LC_ITEM_time_day_upper_show","args":[{"typ":"int","val":2}]}</v>
      </c>
      <c r="J2689" s="148" t="str">
        <f>IFERROR(__xludf.DUMMYFUNCTION("""COMPUTED_VALUE"""),"{""typ"":""lc"",""txt"":""LC_ITEM_anni3_2025_city_1_name_2day""}")</f>
        <v>{"typ":"lc","txt":"LC_ITEM_anni3_2025_city_1_name_2day"}</v>
      </c>
      <c r="K2689" s="148" t="str">
        <f>IFERROR(__xludf.DUMMYFUNCTION("""COMPUTED_VALUE"""),"{""typ"":""lc"",""txt"":""LC_ITEM_anni3_2025_city_1_desc_2day""}")</f>
        <v>{"typ":"lc","txt":"LC_ITEM_anni3_2025_city_1_desc_2day"}</v>
      </c>
      <c r="L2689" s="148" t="str">
        <f>IFERROR(__xludf.DUMMYFUNCTION("""COMPUTED_VALUE"""),"{""typ"":""lc"",""txt"":""LC_ASSET_suit_actived_tips_1""}")</f>
        <v>{"typ":"lc","txt":"LC_ASSET_suit_actived_tips_1"}</v>
      </c>
      <c r="M2689" s="148">
        <f>IFERROR(__xludf.DUMMYFUNCTION("""COMPUTED_VALUE"""),500.0)</f>
        <v>500</v>
      </c>
      <c r="N2689" s="148">
        <f>IFERROR(__xludf.DUMMYFUNCTION("""COMPUTED_VALUE"""),999.0)</f>
        <v>999</v>
      </c>
      <c r="O2689" s="148">
        <f>IFERROR(__xludf.DUMMYFUNCTION("""COMPUTED_VALUE"""),1.0)</f>
        <v>1</v>
      </c>
      <c r="P2689" s="148">
        <f>IFERROR(__xludf.DUMMYFUNCTION("""COMPUTED_VALUE"""),1.0)</f>
        <v>1</v>
      </c>
      <c r="Q2689" s="148" t="str">
        <f>IFERROR(__xludf.DUMMYFUNCTION("""COMPUTED_VALUE"""),"[""bag_other""]")</f>
        <v>["bag_other"]</v>
      </c>
      <c r="R2689" s="148" t="str">
        <f>IFERROR(__xludf.DUMMYFUNCTION("""COMPUTED_VALUE"""),"[""bag"",""13121078""]")</f>
        <v>["bag","13121078"]</v>
      </c>
      <c r="S2689" s="148" t="str">
        <f>IFERROR(__xludf.DUMMYFUNCTION("""COMPUTED_VALUE"""),"{""effect"":[{""typ"":""city_skin"",""id"":13121078,""val"":172800000},{""typ"":""item"",""id"":11111021,""val"":1}]}")</f>
        <v>{"effect":[{"typ":"city_skin","id":13121078,"val":172800000},{"typ":"item","id":11111021,"val":1}]}</v>
      </c>
      <c r="T2689" s="148">
        <f>IFERROR(__xludf.DUMMYFUNCTION("""COMPUTED_VALUE"""),-1.0)</f>
        <v>-1</v>
      </c>
      <c r="U2689" s="148">
        <f>IFERROR(__xludf.DUMMYFUNCTION("""COMPUTED_VALUE"""),0.0)</f>
        <v>0</v>
      </c>
      <c r="V2689" s="148" t="str">
        <f>IFERROR(__xludf.DUMMYFUNCTION("""COMPUTED_VALUE"""),"[]")</f>
        <v>[]</v>
      </c>
      <c r="W2689" s="148">
        <f>IFERROR(__xludf.DUMMYFUNCTION("""COMPUTED_VALUE"""),1.174E7)</f>
        <v>11740000</v>
      </c>
      <c r="X2689" s="148">
        <f>IFERROR(__xludf.DUMMYFUNCTION("""COMPUTED_VALUE"""),0.0)</f>
        <v>0</v>
      </c>
      <c r="Y2689" s="148">
        <f>IFERROR(__xludf.DUMMYFUNCTION("""COMPUTED_VALUE"""),0.0)</f>
        <v>0</v>
      </c>
      <c r="Z2689" s="148"/>
    </row>
    <row r="2690">
      <c r="A2690" s="148">
        <f>IFERROR(__xludf.DUMMYFUNCTION("""COMPUTED_VALUE"""),1.1119646E7)</f>
        <v>11119646</v>
      </c>
      <c r="B2690" s="148" t="str">
        <f>IFERROR(__xludf.DUMMYFUNCTION("""COMPUTED_VALUE"""),"主城皮肤-周年庆2025-7天")</f>
        <v>主城皮肤-周年庆2025-7天</v>
      </c>
      <c r="C2690" s="148"/>
      <c r="D2690" s="148" t="str">
        <f>IFERROR(__xludf.DUMMYFUNCTION("""COMPUTED_VALUE"""),"city_skin")</f>
        <v>city_skin</v>
      </c>
      <c r="E2690" s="148">
        <f>IFERROR(__xludf.DUMMYFUNCTION("""COMPUTED_VALUE"""),21.0)</f>
        <v>21</v>
      </c>
      <c r="F2690" s="148">
        <f>IFERROR(__xludf.DUMMYFUNCTION("""COMPUTED_VALUE"""),499951.0)</f>
        <v>499951</v>
      </c>
      <c r="G2690" s="148">
        <f>IFERROR(__xludf.DUMMYFUNCTION("""COMPUTED_VALUE"""),1.51102387E8)</f>
        <v>151102387</v>
      </c>
      <c r="H2690" s="148">
        <f>IFERROR(__xludf.DUMMYFUNCTION("""COMPUTED_VALUE"""),1.5112564E7)</f>
        <v>15112564</v>
      </c>
      <c r="I2690" s="148" t="str">
        <f>IFERROR(__xludf.DUMMYFUNCTION("""COMPUTED_VALUE"""),"{""typ"":""lc"",""txt"":""LC_ITEM_time_day_upper_show"",""args"":[{""typ"":""int"",""val"":7}]}")</f>
        <v>{"typ":"lc","txt":"LC_ITEM_time_day_upper_show","args":[{"typ":"int","val":7}]}</v>
      </c>
      <c r="J2690" s="148" t="str">
        <f>IFERROR(__xludf.DUMMYFUNCTION("""COMPUTED_VALUE"""),"{""typ"":""lc"",""txt"":""LC_ITEM_anni3_2025_city_1_name_7day""}")</f>
        <v>{"typ":"lc","txt":"LC_ITEM_anni3_2025_city_1_name_7day"}</v>
      </c>
      <c r="K2690" s="148" t="str">
        <f>IFERROR(__xludf.DUMMYFUNCTION("""COMPUTED_VALUE"""),"{""typ"":""lc"",""txt"":""LC_ITEM_anni3_2025_city_1_desc_7day""}")</f>
        <v>{"typ":"lc","txt":"LC_ITEM_anni3_2025_city_1_desc_7day"}</v>
      </c>
      <c r="L2690" s="148" t="str">
        <f>IFERROR(__xludf.DUMMYFUNCTION("""COMPUTED_VALUE"""),"{""typ"":""lc"",""txt"":""LC_ASSET_suit_actived_tips_1""}")</f>
        <v>{"typ":"lc","txt":"LC_ASSET_suit_actived_tips_1"}</v>
      </c>
      <c r="M2690" s="148">
        <f>IFERROR(__xludf.DUMMYFUNCTION("""COMPUTED_VALUE"""),10000.0)</f>
        <v>10000</v>
      </c>
      <c r="N2690" s="148">
        <f>IFERROR(__xludf.DUMMYFUNCTION("""COMPUTED_VALUE"""),999.0)</f>
        <v>999</v>
      </c>
      <c r="O2690" s="148">
        <f>IFERROR(__xludf.DUMMYFUNCTION("""COMPUTED_VALUE"""),1.0)</f>
        <v>1</v>
      </c>
      <c r="P2690" s="148">
        <f>IFERROR(__xludf.DUMMYFUNCTION("""COMPUTED_VALUE"""),1.0)</f>
        <v>1</v>
      </c>
      <c r="Q2690" s="148" t="str">
        <f>IFERROR(__xludf.DUMMYFUNCTION("""COMPUTED_VALUE"""),"[""bag_other""]")</f>
        <v>["bag_other"]</v>
      </c>
      <c r="R2690" s="148" t="str">
        <f>IFERROR(__xludf.DUMMYFUNCTION("""COMPUTED_VALUE"""),"[""bag"",""13121078""]")</f>
        <v>["bag","13121078"]</v>
      </c>
      <c r="S2690" s="148" t="str">
        <f>IFERROR(__xludf.DUMMYFUNCTION("""COMPUTED_VALUE"""),"{""effect"":[{""typ"":""city_skin"",""id"":13121078,""val"":604800000},{""typ"":""item"",""id"":11111021,""val"":3}]}")</f>
        <v>{"effect":[{"typ":"city_skin","id":13121078,"val":604800000},{"typ":"item","id":11111021,"val":3}]}</v>
      </c>
      <c r="T2690" s="148">
        <f>IFERROR(__xludf.DUMMYFUNCTION("""COMPUTED_VALUE"""),-1.0)</f>
        <v>-1</v>
      </c>
      <c r="U2690" s="148">
        <f>IFERROR(__xludf.DUMMYFUNCTION("""COMPUTED_VALUE"""),0.0)</f>
        <v>0</v>
      </c>
      <c r="V2690" s="148" t="str">
        <f>IFERROR(__xludf.DUMMYFUNCTION("""COMPUTED_VALUE"""),"[]")</f>
        <v>[]</v>
      </c>
      <c r="W2690" s="148">
        <f>IFERROR(__xludf.DUMMYFUNCTION("""COMPUTED_VALUE"""),1.174E7)</f>
        <v>11740000</v>
      </c>
      <c r="X2690" s="148">
        <f>IFERROR(__xludf.DUMMYFUNCTION("""COMPUTED_VALUE"""),0.0)</f>
        <v>0</v>
      </c>
      <c r="Y2690" s="148">
        <f>IFERROR(__xludf.DUMMYFUNCTION("""COMPUTED_VALUE"""),0.0)</f>
        <v>0</v>
      </c>
      <c r="Z2690" s="148"/>
    </row>
    <row r="2691">
      <c r="A2691" s="148">
        <f>IFERROR(__xludf.DUMMYFUNCTION("""COMPUTED_VALUE"""),1.1119647E7)</f>
        <v>11119647</v>
      </c>
      <c r="B2691" s="148" t="str">
        <f>IFERROR(__xludf.DUMMYFUNCTION("""COMPUTED_VALUE"""),"主城皮肤-周年庆2025-14天")</f>
        <v>主城皮肤-周年庆2025-14天</v>
      </c>
      <c r="C2691" s="148"/>
      <c r="D2691" s="148" t="str">
        <f>IFERROR(__xludf.DUMMYFUNCTION("""COMPUTED_VALUE"""),"city_skin")</f>
        <v>city_skin</v>
      </c>
      <c r="E2691" s="148">
        <f>IFERROR(__xludf.DUMMYFUNCTION("""COMPUTED_VALUE"""),21.0)</f>
        <v>21</v>
      </c>
      <c r="F2691" s="148">
        <f>IFERROR(__xludf.DUMMYFUNCTION("""COMPUTED_VALUE"""),499961.0)</f>
        <v>499961</v>
      </c>
      <c r="G2691" s="148">
        <f>IFERROR(__xludf.DUMMYFUNCTION("""COMPUTED_VALUE"""),1.51102387E8)</f>
        <v>151102387</v>
      </c>
      <c r="H2691" s="148">
        <f>IFERROR(__xludf.DUMMYFUNCTION("""COMPUTED_VALUE"""),1.5112564E7)</f>
        <v>15112564</v>
      </c>
      <c r="I2691" s="148" t="str">
        <f>IFERROR(__xludf.DUMMYFUNCTION("""COMPUTED_VALUE"""),"{""typ"":""lc"",""txt"":""LC_ITEM_time_day_upper_show"",""args"":[{""typ"":""int"",""val"":14}]}")</f>
        <v>{"typ":"lc","txt":"LC_ITEM_time_day_upper_show","args":[{"typ":"int","val":14}]}</v>
      </c>
      <c r="J2691" s="148" t="str">
        <f>IFERROR(__xludf.DUMMYFUNCTION("""COMPUTED_VALUE"""),"{""typ"":""lc"",""txt"":""LC_ITEM_anni3_2025_city_1_name_14day""}")</f>
        <v>{"typ":"lc","txt":"LC_ITEM_anni3_2025_city_1_name_14day"}</v>
      </c>
      <c r="K2691" s="148" t="str">
        <f>IFERROR(__xludf.DUMMYFUNCTION("""COMPUTED_VALUE"""),"{""typ"":""lc"",""txt"":""LC_ITEM_anni3_2025_city_1_desc_14day""}")</f>
        <v>{"typ":"lc","txt":"LC_ITEM_anni3_2025_city_1_desc_14day"}</v>
      </c>
      <c r="L2691" s="148" t="str">
        <f>IFERROR(__xludf.DUMMYFUNCTION("""COMPUTED_VALUE"""),"{""typ"":""lc"",""txt"":""LC_ASSET_suit_actived_tips_1""}")</f>
        <v>{"typ":"lc","txt":"LC_ASSET_suit_actived_tips_1"}</v>
      </c>
      <c r="M2691" s="148">
        <f>IFERROR(__xludf.DUMMYFUNCTION("""COMPUTED_VALUE"""),10000.0)</f>
        <v>10000</v>
      </c>
      <c r="N2691" s="148">
        <f>IFERROR(__xludf.DUMMYFUNCTION("""COMPUTED_VALUE"""),999.0)</f>
        <v>999</v>
      </c>
      <c r="O2691" s="148">
        <f>IFERROR(__xludf.DUMMYFUNCTION("""COMPUTED_VALUE"""),1.0)</f>
        <v>1</v>
      </c>
      <c r="P2691" s="148">
        <f>IFERROR(__xludf.DUMMYFUNCTION("""COMPUTED_VALUE"""),1.0)</f>
        <v>1</v>
      </c>
      <c r="Q2691" s="148" t="str">
        <f>IFERROR(__xludf.DUMMYFUNCTION("""COMPUTED_VALUE"""),"[""bag_other""]")</f>
        <v>["bag_other"]</v>
      </c>
      <c r="R2691" s="148" t="str">
        <f>IFERROR(__xludf.DUMMYFUNCTION("""COMPUTED_VALUE"""),"[""bag"",""13121078""]")</f>
        <v>["bag","13121078"]</v>
      </c>
      <c r="S2691" s="148" t="str">
        <f>IFERROR(__xludf.DUMMYFUNCTION("""COMPUTED_VALUE"""),"{""effect"":[{""typ"":""city_skin"",""id"":13121078,""val"":1209600000},{""typ"":""item"",""id"":11111021,""val"":7}]}")</f>
        <v>{"effect":[{"typ":"city_skin","id":13121078,"val":1209600000},{"typ":"item","id":11111021,"val":7}]}</v>
      </c>
      <c r="T2691" s="148">
        <f>IFERROR(__xludf.DUMMYFUNCTION("""COMPUTED_VALUE"""),-1.0)</f>
        <v>-1</v>
      </c>
      <c r="U2691" s="148">
        <f>IFERROR(__xludf.DUMMYFUNCTION("""COMPUTED_VALUE"""),0.0)</f>
        <v>0</v>
      </c>
      <c r="V2691" s="148" t="str">
        <f>IFERROR(__xludf.DUMMYFUNCTION("""COMPUTED_VALUE"""),"[]")</f>
        <v>[]</v>
      </c>
      <c r="W2691" s="148">
        <f>IFERROR(__xludf.DUMMYFUNCTION("""COMPUTED_VALUE"""),1.174E7)</f>
        <v>11740000</v>
      </c>
      <c r="X2691" s="148">
        <f>IFERROR(__xludf.DUMMYFUNCTION("""COMPUTED_VALUE"""),0.0)</f>
        <v>0</v>
      </c>
      <c r="Y2691" s="148">
        <f>IFERROR(__xludf.DUMMYFUNCTION("""COMPUTED_VALUE"""),0.0)</f>
        <v>0</v>
      </c>
      <c r="Z2691" s="148"/>
    </row>
    <row r="2692">
      <c r="A2692" s="148">
        <f>IFERROR(__xludf.DUMMYFUNCTION("""COMPUTED_VALUE"""),1.1119648E7)</f>
        <v>11119648</v>
      </c>
      <c r="B2692" s="148" t="str">
        <f>IFERROR(__xludf.DUMMYFUNCTION("""COMPUTED_VALUE"""),"主城皮肤-周年庆高级皮肤2025")</f>
        <v>主城皮肤-周年庆高级皮肤2025</v>
      </c>
      <c r="C2692" s="148"/>
      <c r="D2692" s="148" t="str">
        <f>IFERROR(__xludf.DUMMYFUNCTION("""COMPUTED_VALUE"""),"city_skin")</f>
        <v>city_skin</v>
      </c>
      <c r="E2692" s="148">
        <f>IFERROR(__xludf.DUMMYFUNCTION("""COMPUTED_VALUE"""),21.0)</f>
        <v>21</v>
      </c>
      <c r="F2692" s="148">
        <f>IFERROR(__xludf.DUMMYFUNCTION("""COMPUTED_VALUE"""),500000.0)</f>
        <v>500000</v>
      </c>
      <c r="G2692" s="148">
        <f>IFERROR(__xludf.DUMMYFUNCTION("""COMPUTED_VALUE"""),1.51102388E8)</f>
        <v>151102388</v>
      </c>
      <c r="H2692" s="148">
        <f>IFERROR(__xludf.DUMMYFUNCTION("""COMPUTED_VALUE"""),1.51101093E8)</f>
        <v>151101093</v>
      </c>
      <c r="I2692" s="148" t="str">
        <f>IFERROR(__xludf.DUMMYFUNCTION("""COMPUTED_VALUE"""),"{}")</f>
        <v>{}</v>
      </c>
      <c r="J2692" s="148" t="str">
        <f>IFERROR(__xludf.DUMMYFUNCTION("""COMPUTED_VALUE"""),"{""typ"":""lc"",""txt"":""LC_ITEM_anni3_2025_city_2_name""}")</f>
        <v>{"typ":"lc","txt":"LC_ITEM_anni3_2025_city_2_name"}</v>
      </c>
      <c r="K2692" s="148" t="str">
        <f>IFERROR(__xludf.DUMMYFUNCTION("""COMPUTED_VALUE"""),"{""typ"":""lc"",""txt"":""LC_ITEM_anni3_2025_city_2_desc""}")</f>
        <v>{"typ":"lc","txt":"LC_ITEM_anni3_2025_city_2_desc"}</v>
      </c>
      <c r="L2692" s="148" t="str">
        <f>IFERROR(__xludf.DUMMYFUNCTION("""COMPUTED_VALUE"""),"{""typ"":""lc"",""txt"":""LC_ASSET_suit_actived_tips_1""}")</f>
        <v>{"typ":"lc","txt":"LC_ASSET_suit_actived_tips_1"}</v>
      </c>
      <c r="M2692" s="148">
        <f>IFERROR(__xludf.DUMMYFUNCTION("""COMPUTED_VALUE"""),10000.0)</f>
        <v>10000</v>
      </c>
      <c r="N2692" s="148">
        <f>IFERROR(__xludf.DUMMYFUNCTION("""COMPUTED_VALUE"""),999.0)</f>
        <v>999</v>
      </c>
      <c r="O2692" s="148">
        <f>IFERROR(__xludf.DUMMYFUNCTION("""COMPUTED_VALUE"""),1.0)</f>
        <v>1</v>
      </c>
      <c r="P2692" s="148">
        <f>IFERROR(__xludf.DUMMYFUNCTION("""COMPUTED_VALUE"""),1.0)</f>
        <v>1</v>
      </c>
      <c r="Q2692" s="148" t="str">
        <f>IFERROR(__xludf.DUMMYFUNCTION("""COMPUTED_VALUE"""),"[""bag_other""]")</f>
        <v>["bag_other"]</v>
      </c>
      <c r="R2692" s="148" t="str">
        <f>IFERROR(__xludf.DUMMYFUNCTION("""COMPUTED_VALUE"""),"[""bag"",""13121079""]")</f>
        <v>["bag","13121079"]</v>
      </c>
      <c r="S2692" s="148" t="str">
        <f>IFERROR(__xludf.DUMMYFUNCTION("""COMPUTED_VALUE"""),"{""effect"":[{""typ"":""city_skin"",""id"":13121079,""val"":-1},{""typ"":""item"",""id"":11112030,""val"":10000}]}")</f>
        <v>{"effect":[{"typ":"city_skin","id":13121079,"val":-1},{"typ":"item","id":11112030,"val":10000}]}</v>
      </c>
      <c r="T2692" s="148">
        <f>IFERROR(__xludf.DUMMYFUNCTION("""COMPUTED_VALUE"""),-1.0)</f>
        <v>-1</v>
      </c>
      <c r="U2692" s="148">
        <f>IFERROR(__xludf.DUMMYFUNCTION("""COMPUTED_VALUE"""),0.0)</f>
        <v>0</v>
      </c>
      <c r="V2692" s="148" t="str">
        <f>IFERROR(__xludf.DUMMYFUNCTION("""COMPUTED_VALUE"""),"[]")</f>
        <v>[]</v>
      </c>
      <c r="W2692" s="148">
        <f>IFERROR(__xludf.DUMMYFUNCTION("""COMPUTED_VALUE"""),1.174E7)</f>
        <v>11740000</v>
      </c>
      <c r="X2692" s="148">
        <f>IFERROR(__xludf.DUMMYFUNCTION("""COMPUTED_VALUE"""),0.0)</f>
        <v>0</v>
      </c>
      <c r="Y2692" s="148">
        <f>IFERROR(__xludf.DUMMYFUNCTION("""COMPUTED_VALUE"""),0.0)</f>
        <v>0</v>
      </c>
      <c r="Z2692" s="148"/>
    </row>
    <row r="2693">
      <c r="A2693" s="148">
        <f>IFERROR(__xludf.DUMMYFUNCTION("""COMPUTED_VALUE"""),1.1119649E7)</f>
        <v>11119649</v>
      </c>
      <c r="B2693" s="148" t="str">
        <f>IFERROR(__xludf.DUMMYFUNCTION("""COMPUTED_VALUE"""),"主城皮肤-周年庆高级皮肤2025-7天")</f>
        <v>主城皮肤-周年庆高级皮肤2025-7天</v>
      </c>
      <c r="C2693" s="148"/>
      <c r="D2693" s="148" t="str">
        <f>IFERROR(__xludf.DUMMYFUNCTION("""COMPUTED_VALUE"""),"city_skin")</f>
        <v>city_skin</v>
      </c>
      <c r="E2693" s="148">
        <f>IFERROR(__xludf.DUMMYFUNCTION("""COMPUTED_VALUE"""),21.0)</f>
        <v>21</v>
      </c>
      <c r="F2693" s="148">
        <f>IFERROR(__xludf.DUMMYFUNCTION("""COMPUTED_VALUE"""),499993.0)</f>
        <v>499993</v>
      </c>
      <c r="G2693" s="148">
        <f>IFERROR(__xludf.DUMMYFUNCTION("""COMPUTED_VALUE"""),1.51102388E8)</f>
        <v>151102388</v>
      </c>
      <c r="H2693" s="148">
        <f>IFERROR(__xludf.DUMMYFUNCTION("""COMPUTED_VALUE"""),1.5112564E7)</f>
        <v>15112564</v>
      </c>
      <c r="I2693" s="148" t="str">
        <f>IFERROR(__xludf.DUMMYFUNCTION("""COMPUTED_VALUE"""),"{""typ"":""lc"",""txt"":""LC_ITEM_time_day_upper_show"",""args"":[{""typ"":""int"",""val"":7}]}")</f>
        <v>{"typ":"lc","txt":"LC_ITEM_time_day_upper_show","args":[{"typ":"int","val":7}]}</v>
      </c>
      <c r="J2693" s="148" t="str">
        <f>IFERROR(__xludf.DUMMYFUNCTION("""COMPUTED_VALUE"""),"{""typ"":""lc"",""txt"":""LC_ITEM_anni3_2025_city_2_name_7day""}")</f>
        <v>{"typ":"lc","txt":"LC_ITEM_anni3_2025_city_2_name_7day"}</v>
      </c>
      <c r="K2693" s="148" t="str">
        <f>IFERROR(__xludf.DUMMYFUNCTION("""COMPUTED_VALUE"""),"{""typ"":""lc"",""txt"":""LC_ITEM_anni3_2025_city_2_desc_7day""}")</f>
        <v>{"typ":"lc","txt":"LC_ITEM_anni3_2025_city_2_desc_7day"}</v>
      </c>
      <c r="L2693" s="148" t="str">
        <f>IFERROR(__xludf.DUMMYFUNCTION("""COMPUTED_VALUE"""),"{""typ"":""lc"",""txt"":""LC_ASSET_suit_actived_tips_1""}")</f>
        <v>{"typ":"lc","txt":"LC_ASSET_suit_actived_tips_1"}</v>
      </c>
      <c r="M2693" s="148">
        <f>IFERROR(__xludf.DUMMYFUNCTION("""COMPUTED_VALUE"""),10000.0)</f>
        <v>10000</v>
      </c>
      <c r="N2693" s="148">
        <f>IFERROR(__xludf.DUMMYFUNCTION("""COMPUTED_VALUE"""),999.0)</f>
        <v>999</v>
      </c>
      <c r="O2693" s="148">
        <f>IFERROR(__xludf.DUMMYFUNCTION("""COMPUTED_VALUE"""),1.0)</f>
        <v>1</v>
      </c>
      <c r="P2693" s="148">
        <f>IFERROR(__xludf.DUMMYFUNCTION("""COMPUTED_VALUE"""),1.0)</f>
        <v>1</v>
      </c>
      <c r="Q2693" s="148" t="str">
        <f>IFERROR(__xludf.DUMMYFUNCTION("""COMPUTED_VALUE"""),"[""bag_other""]")</f>
        <v>["bag_other"]</v>
      </c>
      <c r="R2693" s="148" t="str">
        <f>IFERROR(__xludf.DUMMYFUNCTION("""COMPUTED_VALUE"""),"[""bag"",""13121079""]")</f>
        <v>["bag","13121079"]</v>
      </c>
      <c r="S2693" s="148" t="str">
        <f>IFERROR(__xludf.DUMMYFUNCTION("""COMPUTED_VALUE"""),"{""effect"":[{""typ"":""city_skin"",""id"":13121079,""val"":604800000},{""typ"":""item"",""id"":11111021,""val"":3}]}")</f>
        <v>{"effect":[{"typ":"city_skin","id":13121079,"val":604800000},{"typ":"item","id":11111021,"val":3}]}</v>
      </c>
      <c r="T2693" s="148">
        <f>IFERROR(__xludf.DUMMYFUNCTION("""COMPUTED_VALUE"""),-1.0)</f>
        <v>-1</v>
      </c>
      <c r="U2693" s="148">
        <f>IFERROR(__xludf.DUMMYFUNCTION("""COMPUTED_VALUE"""),0.0)</f>
        <v>0</v>
      </c>
      <c r="V2693" s="148" t="str">
        <f>IFERROR(__xludf.DUMMYFUNCTION("""COMPUTED_VALUE"""),"[]")</f>
        <v>[]</v>
      </c>
      <c r="W2693" s="148">
        <f>IFERROR(__xludf.DUMMYFUNCTION("""COMPUTED_VALUE"""),1.174E7)</f>
        <v>11740000</v>
      </c>
      <c r="X2693" s="148">
        <f>IFERROR(__xludf.DUMMYFUNCTION("""COMPUTED_VALUE"""),0.0)</f>
        <v>0</v>
      </c>
      <c r="Y2693" s="148">
        <f>IFERROR(__xludf.DUMMYFUNCTION("""COMPUTED_VALUE"""),0.0)</f>
        <v>0</v>
      </c>
      <c r="Z2693" s="148"/>
    </row>
    <row r="2694">
      <c r="A2694" s="148">
        <f>IFERROR(__xludf.DUMMYFUNCTION("""COMPUTED_VALUE"""),1.111965E7)</f>
        <v>11119650</v>
      </c>
      <c r="B2694" s="148" t="str">
        <f>IFERROR(__xludf.DUMMYFUNCTION("""COMPUTED_VALUE"""),"主城皮肤-周年庆高级皮肤2025-14天")</f>
        <v>主城皮肤-周年庆高级皮肤2025-14天</v>
      </c>
      <c r="C2694" s="148"/>
      <c r="D2694" s="148" t="str">
        <f>IFERROR(__xludf.DUMMYFUNCTION("""COMPUTED_VALUE"""),"city_skin")</f>
        <v>city_skin</v>
      </c>
      <c r="E2694" s="148">
        <f>IFERROR(__xludf.DUMMYFUNCTION("""COMPUTED_VALUE"""),21.0)</f>
        <v>21</v>
      </c>
      <c r="F2694" s="148">
        <f>IFERROR(__xludf.DUMMYFUNCTION("""COMPUTED_VALUE"""),499994.0)</f>
        <v>499994</v>
      </c>
      <c r="G2694" s="148">
        <f>IFERROR(__xludf.DUMMYFUNCTION("""COMPUTED_VALUE"""),1.51102388E8)</f>
        <v>151102388</v>
      </c>
      <c r="H2694" s="148">
        <f>IFERROR(__xludf.DUMMYFUNCTION("""COMPUTED_VALUE"""),1.5112564E7)</f>
        <v>15112564</v>
      </c>
      <c r="I2694" s="148" t="str">
        <f>IFERROR(__xludf.DUMMYFUNCTION("""COMPUTED_VALUE"""),"{""typ"":""lc"",""txt"":""LC_ITEM_time_day_upper_show"",""args"":[{""typ"":""int"",""val"":14}]}")</f>
        <v>{"typ":"lc","txt":"LC_ITEM_time_day_upper_show","args":[{"typ":"int","val":14}]}</v>
      </c>
      <c r="J2694" s="148" t="str">
        <f>IFERROR(__xludf.DUMMYFUNCTION("""COMPUTED_VALUE"""),"{""typ"":""lc"",""txt"":""LC_ITEM_anni3_2025_city_2_name_14day""}")</f>
        <v>{"typ":"lc","txt":"LC_ITEM_anni3_2025_city_2_name_14day"}</v>
      </c>
      <c r="K2694" s="148" t="str">
        <f>IFERROR(__xludf.DUMMYFUNCTION("""COMPUTED_VALUE"""),"{""typ"":""lc"",""txt"":""LC_ITEM_anni3_2025_city_2_desc_14day""}")</f>
        <v>{"typ":"lc","txt":"LC_ITEM_anni3_2025_city_2_desc_14day"}</v>
      </c>
      <c r="L2694" s="148" t="str">
        <f>IFERROR(__xludf.DUMMYFUNCTION("""COMPUTED_VALUE"""),"{""typ"":""lc"",""txt"":""LC_ASSET_suit_actived_tips_1""}")</f>
        <v>{"typ":"lc","txt":"LC_ASSET_suit_actived_tips_1"}</v>
      </c>
      <c r="M2694" s="148">
        <f>IFERROR(__xludf.DUMMYFUNCTION("""COMPUTED_VALUE"""),10000.0)</f>
        <v>10000</v>
      </c>
      <c r="N2694" s="148">
        <f>IFERROR(__xludf.DUMMYFUNCTION("""COMPUTED_VALUE"""),999.0)</f>
        <v>999</v>
      </c>
      <c r="O2694" s="148">
        <f>IFERROR(__xludf.DUMMYFUNCTION("""COMPUTED_VALUE"""),1.0)</f>
        <v>1</v>
      </c>
      <c r="P2694" s="148">
        <f>IFERROR(__xludf.DUMMYFUNCTION("""COMPUTED_VALUE"""),1.0)</f>
        <v>1</v>
      </c>
      <c r="Q2694" s="148" t="str">
        <f>IFERROR(__xludf.DUMMYFUNCTION("""COMPUTED_VALUE"""),"[""bag_other""]")</f>
        <v>["bag_other"]</v>
      </c>
      <c r="R2694" s="148" t="str">
        <f>IFERROR(__xludf.DUMMYFUNCTION("""COMPUTED_VALUE"""),"[""bag"",""13121079""]")</f>
        <v>["bag","13121079"]</v>
      </c>
      <c r="S2694" s="148" t="str">
        <f>IFERROR(__xludf.DUMMYFUNCTION("""COMPUTED_VALUE"""),"{""effect"":[{""typ"":""city_skin"",""id"":13121079,""val"":1209600000},{""typ"":""item"",""id"":11111021,""val"":7}]}")</f>
        <v>{"effect":[{"typ":"city_skin","id":13121079,"val":1209600000},{"typ":"item","id":11111021,"val":7}]}</v>
      </c>
      <c r="T2694" s="148">
        <f>IFERROR(__xludf.DUMMYFUNCTION("""COMPUTED_VALUE"""),-1.0)</f>
        <v>-1</v>
      </c>
      <c r="U2694" s="148">
        <f>IFERROR(__xludf.DUMMYFUNCTION("""COMPUTED_VALUE"""),0.0)</f>
        <v>0</v>
      </c>
      <c r="V2694" s="148" t="str">
        <f>IFERROR(__xludf.DUMMYFUNCTION("""COMPUTED_VALUE"""),"[]")</f>
        <v>[]</v>
      </c>
      <c r="W2694" s="148">
        <f>IFERROR(__xludf.DUMMYFUNCTION("""COMPUTED_VALUE"""),1.174E7)</f>
        <v>11740000</v>
      </c>
      <c r="X2694" s="148">
        <f>IFERROR(__xludf.DUMMYFUNCTION("""COMPUTED_VALUE"""),0.0)</f>
        <v>0</v>
      </c>
      <c r="Y2694" s="148">
        <f>IFERROR(__xludf.DUMMYFUNCTION("""COMPUTED_VALUE"""),0.0)</f>
        <v>0</v>
      </c>
      <c r="Z2694" s="148"/>
    </row>
    <row r="2695">
      <c r="A2695" s="148">
        <f>IFERROR(__xludf.DUMMYFUNCTION("""COMPUTED_VALUE"""),1.1119651E7)</f>
        <v>11119651</v>
      </c>
      <c r="B2695" s="148" t="str">
        <f>IFERROR(__xludf.DUMMYFUNCTION("""COMPUTED_VALUE"""),"主城皮肤-周年庆高级皮肤2025-28天")</f>
        <v>主城皮肤-周年庆高级皮肤2025-28天</v>
      </c>
      <c r="C2695" s="148"/>
      <c r="D2695" s="148" t="str">
        <f>IFERROR(__xludf.DUMMYFUNCTION("""COMPUTED_VALUE"""),"city_skin")</f>
        <v>city_skin</v>
      </c>
      <c r="E2695" s="148">
        <f>IFERROR(__xludf.DUMMYFUNCTION("""COMPUTED_VALUE"""),21.0)</f>
        <v>21</v>
      </c>
      <c r="F2695" s="148">
        <f>IFERROR(__xludf.DUMMYFUNCTION("""COMPUTED_VALUE"""),499995.0)</f>
        <v>499995</v>
      </c>
      <c r="G2695" s="148">
        <f>IFERROR(__xludf.DUMMYFUNCTION("""COMPUTED_VALUE"""),1.51102388E8)</f>
        <v>151102388</v>
      </c>
      <c r="H2695" s="148">
        <f>IFERROR(__xludf.DUMMYFUNCTION("""COMPUTED_VALUE"""),1.5112564E7)</f>
        <v>15112564</v>
      </c>
      <c r="I2695" s="148" t="str">
        <f>IFERROR(__xludf.DUMMYFUNCTION("""COMPUTED_VALUE"""),"{""typ"":""lc"",""txt"":""LC_ITEM_time_day_upper_show"",""args"":[{""typ"":""int"",""val"":28}]}")</f>
        <v>{"typ":"lc","txt":"LC_ITEM_time_day_upper_show","args":[{"typ":"int","val":28}]}</v>
      </c>
      <c r="J2695" s="148" t="str">
        <f>IFERROR(__xludf.DUMMYFUNCTION("""COMPUTED_VALUE"""),"{""typ"":""lc"",""txt"":""LC_ITEM_anni3_2025_city_2_name_28day""}")</f>
        <v>{"typ":"lc","txt":"LC_ITEM_anni3_2025_city_2_name_28day"}</v>
      </c>
      <c r="K2695" s="148" t="str">
        <f>IFERROR(__xludf.DUMMYFUNCTION("""COMPUTED_VALUE"""),"{""typ"":""lc"",""txt"":""LC_ITEM_anni3_2025_city_2_desc_28day""}")</f>
        <v>{"typ":"lc","txt":"LC_ITEM_anni3_2025_city_2_desc_28day"}</v>
      </c>
      <c r="L2695" s="148" t="str">
        <f>IFERROR(__xludf.DUMMYFUNCTION("""COMPUTED_VALUE"""),"{""typ"":""lc"",""txt"":""LC_ASSET_suit_actived_tips_1""}")</f>
        <v>{"typ":"lc","txt":"LC_ASSET_suit_actived_tips_1"}</v>
      </c>
      <c r="M2695" s="148">
        <f>IFERROR(__xludf.DUMMYFUNCTION("""COMPUTED_VALUE"""),10000.0)</f>
        <v>10000</v>
      </c>
      <c r="N2695" s="148">
        <f>IFERROR(__xludf.DUMMYFUNCTION("""COMPUTED_VALUE"""),999.0)</f>
        <v>999</v>
      </c>
      <c r="O2695" s="148">
        <f>IFERROR(__xludf.DUMMYFUNCTION("""COMPUTED_VALUE"""),1.0)</f>
        <v>1</v>
      </c>
      <c r="P2695" s="148">
        <f>IFERROR(__xludf.DUMMYFUNCTION("""COMPUTED_VALUE"""),1.0)</f>
        <v>1</v>
      </c>
      <c r="Q2695" s="148" t="str">
        <f>IFERROR(__xludf.DUMMYFUNCTION("""COMPUTED_VALUE"""),"[""bag_other""]")</f>
        <v>["bag_other"]</v>
      </c>
      <c r="R2695" s="148" t="str">
        <f>IFERROR(__xludf.DUMMYFUNCTION("""COMPUTED_VALUE"""),"[""bag"",""13121079""]")</f>
        <v>["bag","13121079"]</v>
      </c>
      <c r="S2695" s="148" t="str">
        <f>IFERROR(__xludf.DUMMYFUNCTION("""COMPUTED_VALUE"""),"{""effect"":[{""typ"":""city_skin"",""id"":13121079,""val"":2419200000},{""typ"":""item"",""id"":11111021,""val"":15}]}")</f>
        <v>{"effect":[{"typ":"city_skin","id":13121079,"val":2419200000},{"typ":"item","id":11111021,"val":15}]}</v>
      </c>
      <c r="T2695" s="148">
        <f>IFERROR(__xludf.DUMMYFUNCTION("""COMPUTED_VALUE"""),-1.0)</f>
        <v>-1</v>
      </c>
      <c r="U2695" s="148">
        <f>IFERROR(__xludf.DUMMYFUNCTION("""COMPUTED_VALUE"""),0.0)</f>
        <v>0</v>
      </c>
      <c r="V2695" s="148" t="str">
        <f>IFERROR(__xludf.DUMMYFUNCTION("""COMPUTED_VALUE"""),"[]")</f>
        <v>[]</v>
      </c>
      <c r="W2695" s="148">
        <f>IFERROR(__xludf.DUMMYFUNCTION("""COMPUTED_VALUE"""),1.174E7)</f>
        <v>11740000</v>
      </c>
      <c r="X2695" s="148">
        <f>IFERROR(__xludf.DUMMYFUNCTION("""COMPUTED_VALUE"""),0.0)</f>
        <v>0</v>
      </c>
      <c r="Y2695" s="148">
        <f>IFERROR(__xludf.DUMMYFUNCTION("""COMPUTED_VALUE"""),0.0)</f>
        <v>0</v>
      </c>
      <c r="Z2695" s="148"/>
    </row>
    <row r="2696">
      <c r="A2696" s="148">
        <f>IFERROR(__xludf.DUMMYFUNCTION("""COMPUTED_VALUE"""),1.1119652E7)</f>
        <v>11119652</v>
      </c>
      <c r="B2696" s="148" t="str">
        <f>IFERROR(__xludf.DUMMYFUNCTION("""COMPUTED_VALUE"""),"2025周年庆-主城翅膀-葫芦")</f>
        <v>2025周年庆-主城翅膀-葫芦</v>
      </c>
      <c r="C2696" s="148"/>
      <c r="D2696" s="148" t="str">
        <f>IFERROR(__xludf.DUMMYFUNCTION("""COMPUTED_VALUE"""),"city_suit_decoration")</f>
        <v>city_suit_decoration</v>
      </c>
      <c r="E2696" s="148">
        <f>IFERROR(__xludf.DUMMYFUNCTION("""COMPUTED_VALUE"""),0.0)</f>
        <v>0</v>
      </c>
      <c r="F2696" s="148">
        <f>IFERROR(__xludf.DUMMYFUNCTION("""COMPUTED_VALUE"""),499997.0)</f>
        <v>499997</v>
      </c>
      <c r="G2696" s="148">
        <f>IFERROR(__xludf.DUMMYFUNCTION("""COMPUTED_VALUE"""),1.51102384E8)</f>
        <v>151102384</v>
      </c>
      <c r="H2696" s="148">
        <f>IFERROR(__xludf.DUMMYFUNCTION("""COMPUTED_VALUE"""),1.5115983E7)</f>
        <v>15115983</v>
      </c>
      <c r="I2696" s="148" t="str">
        <f>IFERROR(__xludf.DUMMYFUNCTION("""COMPUTED_VALUE"""),"{}")</f>
        <v>{}</v>
      </c>
      <c r="J2696" s="148" t="str">
        <f>IFERROR(__xludf.DUMMYFUNCTION("""COMPUTED_VALUE"""),"{""typ"":""lc"",""txt"":""LC_ITEM_anni3_2025_city_wing_name""}")</f>
        <v>{"typ":"lc","txt":"LC_ITEM_anni3_2025_city_wing_name"}</v>
      </c>
      <c r="K2696" s="148" t="str">
        <f>IFERROR(__xludf.DUMMYFUNCTION("""COMPUTED_VALUE"""),"{""typ"":""lc"",""txt"":""LC_ITEM_anni3_2025_city_wing_desc""}")</f>
        <v>{"typ":"lc","txt":"LC_ITEM_anni3_2025_city_wing_desc"}</v>
      </c>
      <c r="L2696" s="148" t="str">
        <f>IFERROR(__xludf.DUMMYFUNCTION("""COMPUTED_VALUE"""),"{""typ"":""lc"",""txt"":""LC_ASSET_suit_actived_tips_1""}")</f>
        <v>{"typ":"lc","txt":"LC_ASSET_suit_actived_tips_1"}</v>
      </c>
      <c r="M2696" s="148">
        <f>IFERROR(__xludf.DUMMYFUNCTION("""COMPUTED_VALUE"""),10000.0)</f>
        <v>10000</v>
      </c>
      <c r="N2696" s="148">
        <f>IFERROR(__xludf.DUMMYFUNCTION("""COMPUTED_VALUE"""),999999.0)</f>
        <v>999999</v>
      </c>
      <c r="O2696" s="148">
        <f>IFERROR(__xludf.DUMMYFUNCTION("""COMPUTED_VALUE"""),99999.0)</f>
        <v>99999</v>
      </c>
      <c r="P2696" s="148">
        <f>IFERROR(__xludf.DUMMYFUNCTION("""COMPUTED_VALUE"""),1.0)</f>
        <v>1</v>
      </c>
      <c r="Q2696" s="148" t="str">
        <f>IFERROR(__xludf.DUMMYFUNCTION("""COMPUTED_VALUE"""),"[""bag_other""]")</f>
        <v>["bag_other"]</v>
      </c>
      <c r="R2696" s="148" t="str">
        <f>IFERROR(__xludf.DUMMYFUNCTION("""COMPUTED_VALUE"""),"[""bag"",""13881007""]")</f>
        <v>["bag","13881007"]</v>
      </c>
      <c r="S2696" s="148" t="str">
        <f>IFERROR(__xludf.DUMMYFUNCTION("""COMPUTED_VALUE"""),"{""effect"":[{""typ"":""city_suit_decoration"",""id"":13881007,""val"":-1},{""typ"":""item"",""id"":11111034,""val"":10}]}")</f>
        <v>{"effect":[{"typ":"city_suit_decoration","id":13881007,"val":-1},{"typ":"item","id":11111034,"val":10}]}</v>
      </c>
      <c r="T2696" s="148">
        <f>IFERROR(__xludf.DUMMYFUNCTION("""COMPUTED_VALUE"""),-1.0)</f>
        <v>-1</v>
      </c>
      <c r="U2696" s="148">
        <f>IFERROR(__xludf.DUMMYFUNCTION("""COMPUTED_VALUE"""),0.0)</f>
        <v>0</v>
      </c>
      <c r="V2696" s="148" t="str">
        <f>IFERROR(__xludf.DUMMYFUNCTION("""COMPUTED_VALUE"""),"[]")</f>
        <v>[]</v>
      </c>
      <c r="W2696" s="148">
        <f>IFERROR(__xludf.DUMMYFUNCTION("""COMPUTED_VALUE"""),1.174E7)</f>
        <v>11740000</v>
      </c>
      <c r="X2696" s="148">
        <f>IFERROR(__xludf.DUMMYFUNCTION("""COMPUTED_VALUE"""),0.0)</f>
        <v>0</v>
      </c>
      <c r="Y2696" s="148">
        <f>IFERROR(__xludf.DUMMYFUNCTION("""COMPUTED_VALUE"""),0.0)</f>
        <v>0</v>
      </c>
      <c r="Z2696" s="148"/>
    </row>
    <row r="2697">
      <c r="A2697" s="148">
        <f>IFERROR(__xludf.DUMMYFUNCTION("""COMPUTED_VALUE"""),1.1119653E7)</f>
        <v>11119653</v>
      </c>
      <c r="B2697" s="148" t="str">
        <f>IFERROR(__xludf.DUMMYFUNCTION("""COMPUTED_VALUE"""),"主城翅膀-周年庆2025-2天")</f>
        <v>主城翅膀-周年庆2025-2天</v>
      </c>
      <c r="C2697" s="148"/>
      <c r="D2697" s="148" t="str">
        <f>IFERROR(__xludf.DUMMYFUNCTION("""COMPUTED_VALUE"""),"city_suit_decoration")</f>
        <v>city_suit_decoration</v>
      </c>
      <c r="E2697" s="148">
        <f>IFERROR(__xludf.DUMMYFUNCTION("""COMPUTED_VALUE"""),21.0)</f>
        <v>21</v>
      </c>
      <c r="F2697" s="148">
        <f>IFERROR(__xludf.DUMMYFUNCTION("""COMPUTED_VALUE"""),499971.0)</f>
        <v>499971</v>
      </c>
      <c r="G2697" s="148">
        <f>IFERROR(__xludf.DUMMYFUNCTION("""COMPUTED_VALUE"""),1.51102384E8)</f>
        <v>151102384</v>
      </c>
      <c r="H2697" s="148">
        <f>IFERROR(__xludf.DUMMYFUNCTION("""COMPUTED_VALUE"""),1.5112563E7)</f>
        <v>15112563</v>
      </c>
      <c r="I2697" s="148" t="str">
        <f>IFERROR(__xludf.DUMMYFUNCTION("""COMPUTED_VALUE"""),"{""typ"":""lc"",""txt"":""LC_ITEM_time_day_upper_show"",""args"":[{""typ"":""int"",""val"":2}]}")</f>
        <v>{"typ":"lc","txt":"LC_ITEM_time_day_upper_show","args":[{"typ":"int","val":2}]}</v>
      </c>
      <c r="J2697" s="148" t="str">
        <f>IFERROR(__xludf.DUMMYFUNCTION("""COMPUTED_VALUE"""),"{""typ"":""lc"",""txt"":""LC_ITEM_anni3_2025_city_wing_name_2day""}")</f>
        <v>{"typ":"lc","txt":"LC_ITEM_anni3_2025_city_wing_name_2day"}</v>
      </c>
      <c r="K2697" s="148" t="str">
        <f>IFERROR(__xludf.DUMMYFUNCTION("""COMPUTED_VALUE"""),"{""typ"":""lc"",""txt"":""LC_ITEM_anni3_2025_city_wing_desc_2day""}")</f>
        <v>{"typ":"lc","txt":"LC_ITEM_anni3_2025_city_wing_desc_2day"}</v>
      </c>
      <c r="L2697" s="148" t="str">
        <f>IFERROR(__xludf.DUMMYFUNCTION("""COMPUTED_VALUE"""),"{""typ"":""lc"",""txt"":""LC_ASSET_suit_actived_tips_1""}")</f>
        <v>{"typ":"lc","txt":"LC_ASSET_suit_actived_tips_1"}</v>
      </c>
      <c r="M2697" s="148">
        <f>IFERROR(__xludf.DUMMYFUNCTION("""COMPUTED_VALUE"""),500.0)</f>
        <v>500</v>
      </c>
      <c r="N2697" s="148">
        <f>IFERROR(__xludf.DUMMYFUNCTION("""COMPUTED_VALUE"""),999.0)</f>
        <v>999</v>
      </c>
      <c r="O2697" s="148">
        <f>IFERROR(__xludf.DUMMYFUNCTION("""COMPUTED_VALUE"""),1.0)</f>
        <v>1</v>
      </c>
      <c r="P2697" s="148">
        <f>IFERROR(__xludf.DUMMYFUNCTION("""COMPUTED_VALUE"""),1.0)</f>
        <v>1</v>
      </c>
      <c r="Q2697" s="148" t="str">
        <f>IFERROR(__xludf.DUMMYFUNCTION("""COMPUTED_VALUE"""),"[""bag_other""]")</f>
        <v>["bag_other"]</v>
      </c>
      <c r="R2697" s="148" t="str">
        <f>IFERROR(__xludf.DUMMYFUNCTION("""COMPUTED_VALUE"""),"[""bag"",""13881007""]")</f>
        <v>["bag","13881007"]</v>
      </c>
      <c r="S2697" s="148" t="str">
        <f>IFERROR(__xludf.DUMMYFUNCTION("""COMPUTED_VALUE"""),"{""effect"":[{""typ"":""city_suit_decoration"",""id"":13881007,""val"":172800000},{""typ"":""item"",""id"":11111021,""val"":1}]}")</f>
        <v>{"effect":[{"typ":"city_suit_decoration","id":13881007,"val":172800000},{"typ":"item","id":11111021,"val":1}]}</v>
      </c>
      <c r="T2697" s="148">
        <f>IFERROR(__xludf.DUMMYFUNCTION("""COMPUTED_VALUE"""),-1.0)</f>
        <v>-1</v>
      </c>
      <c r="U2697" s="148">
        <f>IFERROR(__xludf.DUMMYFUNCTION("""COMPUTED_VALUE"""),0.0)</f>
        <v>0</v>
      </c>
      <c r="V2697" s="148" t="str">
        <f>IFERROR(__xludf.DUMMYFUNCTION("""COMPUTED_VALUE"""),"[]")</f>
        <v>[]</v>
      </c>
      <c r="W2697" s="148">
        <f>IFERROR(__xludf.DUMMYFUNCTION("""COMPUTED_VALUE"""),1.174E7)</f>
        <v>11740000</v>
      </c>
      <c r="X2697" s="148">
        <f>IFERROR(__xludf.DUMMYFUNCTION("""COMPUTED_VALUE"""),0.0)</f>
        <v>0</v>
      </c>
      <c r="Y2697" s="148">
        <f>IFERROR(__xludf.DUMMYFUNCTION("""COMPUTED_VALUE"""),0.0)</f>
        <v>0</v>
      </c>
      <c r="Z2697" s="148"/>
    </row>
    <row r="2698">
      <c r="A2698" s="148">
        <f>IFERROR(__xludf.DUMMYFUNCTION("""COMPUTED_VALUE"""),1.1119654E7)</f>
        <v>11119654</v>
      </c>
      <c r="B2698" s="148" t="str">
        <f>IFERROR(__xludf.DUMMYFUNCTION("""COMPUTED_VALUE"""),"主城翅膀-周年庆2025-7天")</f>
        <v>主城翅膀-周年庆2025-7天</v>
      </c>
      <c r="C2698" s="148"/>
      <c r="D2698" s="148" t="str">
        <f>IFERROR(__xludf.DUMMYFUNCTION("""COMPUTED_VALUE"""),"city_suit_decoration")</f>
        <v>city_suit_decoration</v>
      </c>
      <c r="E2698" s="148">
        <f>IFERROR(__xludf.DUMMYFUNCTION("""COMPUTED_VALUE"""),21.0)</f>
        <v>21</v>
      </c>
      <c r="F2698" s="148">
        <f>IFERROR(__xludf.DUMMYFUNCTION("""COMPUTED_VALUE"""),499981.0)</f>
        <v>499981</v>
      </c>
      <c r="G2698" s="148">
        <f>IFERROR(__xludf.DUMMYFUNCTION("""COMPUTED_VALUE"""),1.51102384E8)</f>
        <v>151102384</v>
      </c>
      <c r="H2698" s="148">
        <f>IFERROR(__xludf.DUMMYFUNCTION("""COMPUTED_VALUE"""),1.5112564E7)</f>
        <v>15112564</v>
      </c>
      <c r="I2698" s="148" t="str">
        <f>IFERROR(__xludf.DUMMYFUNCTION("""COMPUTED_VALUE"""),"{""typ"":""lc"",""txt"":""LC_ITEM_time_day_upper_show"",""args"":[{""typ"":""int"",""val"":7}]}")</f>
        <v>{"typ":"lc","txt":"LC_ITEM_time_day_upper_show","args":[{"typ":"int","val":7}]}</v>
      </c>
      <c r="J2698" s="148" t="str">
        <f>IFERROR(__xludf.DUMMYFUNCTION("""COMPUTED_VALUE"""),"{""typ"":""lc"",""txt"":""LC_ITEM_anni3_2025_city_wing_name_7day""}")</f>
        <v>{"typ":"lc","txt":"LC_ITEM_anni3_2025_city_wing_name_7day"}</v>
      </c>
      <c r="K2698" s="148" t="str">
        <f>IFERROR(__xludf.DUMMYFUNCTION("""COMPUTED_VALUE"""),"{""typ"":""lc"",""txt"":""LC_ITEM_anni3_2025_city_wing_desc_7day""}")</f>
        <v>{"typ":"lc","txt":"LC_ITEM_anni3_2025_city_wing_desc_7day"}</v>
      </c>
      <c r="L2698" s="148" t="str">
        <f>IFERROR(__xludf.DUMMYFUNCTION("""COMPUTED_VALUE"""),"{""typ"":""lc"",""txt"":""LC_ASSET_suit_actived_tips_1""}")</f>
        <v>{"typ":"lc","txt":"LC_ASSET_suit_actived_tips_1"}</v>
      </c>
      <c r="M2698" s="148">
        <f>IFERROR(__xludf.DUMMYFUNCTION("""COMPUTED_VALUE"""),10000.0)</f>
        <v>10000</v>
      </c>
      <c r="N2698" s="148">
        <f>IFERROR(__xludf.DUMMYFUNCTION("""COMPUTED_VALUE"""),999.0)</f>
        <v>999</v>
      </c>
      <c r="O2698" s="148">
        <f>IFERROR(__xludf.DUMMYFUNCTION("""COMPUTED_VALUE"""),1.0)</f>
        <v>1</v>
      </c>
      <c r="P2698" s="148">
        <f>IFERROR(__xludf.DUMMYFUNCTION("""COMPUTED_VALUE"""),1.0)</f>
        <v>1</v>
      </c>
      <c r="Q2698" s="148" t="str">
        <f>IFERROR(__xludf.DUMMYFUNCTION("""COMPUTED_VALUE"""),"[""bag_other""]")</f>
        <v>["bag_other"]</v>
      </c>
      <c r="R2698" s="148" t="str">
        <f>IFERROR(__xludf.DUMMYFUNCTION("""COMPUTED_VALUE"""),"[""bag"",""13881007""]")</f>
        <v>["bag","13881007"]</v>
      </c>
      <c r="S2698" s="148" t="str">
        <f>IFERROR(__xludf.DUMMYFUNCTION("""COMPUTED_VALUE"""),"{""effect"":[{""typ"":""city_suit_decoration"",""id"":13881007,""val"":604800000},{""typ"":""item"",""id"":11111021,""val"":3}]}")</f>
        <v>{"effect":[{"typ":"city_suit_decoration","id":13881007,"val":604800000},{"typ":"item","id":11111021,"val":3}]}</v>
      </c>
      <c r="T2698" s="148">
        <f>IFERROR(__xludf.DUMMYFUNCTION("""COMPUTED_VALUE"""),-1.0)</f>
        <v>-1</v>
      </c>
      <c r="U2698" s="148">
        <f>IFERROR(__xludf.DUMMYFUNCTION("""COMPUTED_VALUE"""),0.0)</f>
        <v>0</v>
      </c>
      <c r="V2698" s="148" t="str">
        <f>IFERROR(__xludf.DUMMYFUNCTION("""COMPUTED_VALUE"""),"[]")</f>
        <v>[]</v>
      </c>
      <c r="W2698" s="148">
        <f>IFERROR(__xludf.DUMMYFUNCTION("""COMPUTED_VALUE"""),1.174E7)</f>
        <v>11740000</v>
      </c>
      <c r="X2698" s="148">
        <f>IFERROR(__xludf.DUMMYFUNCTION("""COMPUTED_VALUE"""),0.0)</f>
        <v>0</v>
      </c>
      <c r="Y2698" s="148">
        <f>IFERROR(__xludf.DUMMYFUNCTION("""COMPUTED_VALUE"""),0.0)</f>
        <v>0</v>
      </c>
      <c r="Z2698" s="148"/>
    </row>
    <row r="2699">
      <c r="A2699" s="148">
        <f>IFERROR(__xludf.DUMMYFUNCTION("""COMPUTED_VALUE"""),1.1119655E7)</f>
        <v>11119655</v>
      </c>
      <c r="B2699" s="148" t="str">
        <f>IFERROR(__xludf.DUMMYFUNCTION("""COMPUTED_VALUE"""),"主城翅膀-周年庆2025-14天")</f>
        <v>主城翅膀-周年庆2025-14天</v>
      </c>
      <c r="C2699" s="148"/>
      <c r="D2699" s="148" t="str">
        <f>IFERROR(__xludf.DUMMYFUNCTION("""COMPUTED_VALUE"""),"city_suit_decoration")</f>
        <v>city_suit_decoration</v>
      </c>
      <c r="E2699" s="148">
        <f>IFERROR(__xludf.DUMMYFUNCTION("""COMPUTED_VALUE"""),21.0)</f>
        <v>21</v>
      </c>
      <c r="F2699" s="148">
        <f>IFERROR(__xludf.DUMMYFUNCTION("""COMPUTED_VALUE"""),499991.0)</f>
        <v>499991</v>
      </c>
      <c r="G2699" s="148">
        <f>IFERROR(__xludf.DUMMYFUNCTION("""COMPUTED_VALUE"""),1.51102384E8)</f>
        <v>151102384</v>
      </c>
      <c r="H2699" s="148">
        <f>IFERROR(__xludf.DUMMYFUNCTION("""COMPUTED_VALUE"""),1.5112564E7)</f>
        <v>15112564</v>
      </c>
      <c r="I2699" s="148" t="str">
        <f>IFERROR(__xludf.DUMMYFUNCTION("""COMPUTED_VALUE"""),"{""typ"":""lc"",""txt"":""LC_ITEM_time_day_upper_show"",""args"":[{""typ"":""int"",""val"":14}]}")</f>
        <v>{"typ":"lc","txt":"LC_ITEM_time_day_upper_show","args":[{"typ":"int","val":14}]}</v>
      </c>
      <c r="J2699" s="148" t="str">
        <f>IFERROR(__xludf.DUMMYFUNCTION("""COMPUTED_VALUE"""),"{""typ"":""lc"",""txt"":""LC_ITEM_anni3_2025_city_wing_name_14day""}")</f>
        <v>{"typ":"lc","txt":"LC_ITEM_anni3_2025_city_wing_name_14day"}</v>
      </c>
      <c r="K2699" s="148" t="str">
        <f>IFERROR(__xludf.DUMMYFUNCTION("""COMPUTED_VALUE"""),"{""typ"":""lc"",""txt"":""LC_ITEM_anni3_2025_city_wing_desc_14day""}")</f>
        <v>{"typ":"lc","txt":"LC_ITEM_anni3_2025_city_wing_desc_14day"}</v>
      </c>
      <c r="L2699" s="148" t="str">
        <f>IFERROR(__xludf.DUMMYFUNCTION("""COMPUTED_VALUE"""),"{""typ"":""lc"",""txt"":""LC_ASSET_suit_actived_tips_1""}")</f>
        <v>{"typ":"lc","txt":"LC_ASSET_suit_actived_tips_1"}</v>
      </c>
      <c r="M2699" s="148">
        <f>IFERROR(__xludf.DUMMYFUNCTION("""COMPUTED_VALUE"""),10000.0)</f>
        <v>10000</v>
      </c>
      <c r="N2699" s="148">
        <f>IFERROR(__xludf.DUMMYFUNCTION("""COMPUTED_VALUE"""),999.0)</f>
        <v>999</v>
      </c>
      <c r="O2699" s="148">
        <f>IFERROR(__xludf.DUMMYFUNCTION("""COMPUTED_VALUE"""),1.0)</f>
        <v>1</v>
      </c>
      <c r="P2699" s="148">
        <f>IFERROR(__xludf.DUMMYFUNCTION("""COMPUTED_VALUE"""),1.0)</f>
        <v>1</v>
      </c>
      <c r="Q2699" s="148" t="str">
        <f>IFERROR(__xludf.DUMMYFUNCTION("""COMPUTED_VALUE"""),"[""bag_other""]")</f>
        <v>["bag_other"]</v>
      </c>
      <c r="R2699" s="148" t="str">
        <f>IFERROR(__xludf.DUMMYFUNCTION("""COMPUTED_VALUE"""),"[""bag"",""13881007""]")</f>
        <v>["bag","13881007"]</v>
      </c>
      <c r="S2699" s="148" t="str">
        <f>IFERROR(__xludf.DUMMYFUNCTION("""COMPUTED_VALUE"""),"{""effect"":[{""typ"":""city_suit_decoration"",""id"":13881007,""val"":1209600000},{""typ"":""item"",""id"":11111021,""val"":7}]}")</f>
        <v>{"effect":[{"typ":"city_suit_decoration","id":13881007,"val":1209600000},{"typ":"item","id":11111021,"val":7}]}</v>
      </c>
      <c r="T2699" s="148">
        <f>IFERROR(__xludf.DUMMYFUNCTION("""COMPUTED_VALUE"""),-1.0)</f>
        <v>-1</v>
      </c>
      <c r="U2699" s="148">
        <f>IFERROR(__xludf.DUMMYFUNCTION("""COMPUTED_VALUE"""),0.0)</f>
        <v>0</v>
      </c>
      <c r="V2699" s="148" t="str">
        <f>IFERROR(__xludf.DUMMYFUNCTION("""COMPUTED_VALUE"""),"[]")</f>
        <v>[]</v>
      </c>
      <c r="W2699" s="148">
        <f>IFERROR(__xludf.DUMMYFUNCTION("""COMPUTED_VALUE"""),1.174E7)</f>
        <v>11740000</v>
      </c>
      <c r="X2699" s="148">
        <f>IFERROR(__xludf.DUMMYFUNCTION("""COMPUTED_VALUE"""),0.0)</f>
        <v>0</v>
      </c>
      <c r="Y2699" s="148">
        <f>IFERROR(__xludf.DUMMYFUNCTION("""COMPUTED_VALUE"""),0.0)</f>
        <v>0</v>
      </c>
      <c r="Z2699" s="148"/>
    </row>
    <row r="2700">
      <c r="A2700" s="148">
        <f>IFERROR(__xludf.DUMMYFUNCTION("""COMPUTED_VALUE"""),1.1119656E7)</f>
        <v>11119656</v>
      </c>
      <c r="B2700" s="148" t="str">
        <f>IFERROR(__xludf.DUMMYFUNCTION("""COMPUTED_VALUE"""),"2025周年庆-主城炮弹-金轮")</f>
        <v>2025周年庆-主城炮弹-金轮</v>
      </c>
      <c r="C2700" s="148"/>
      <c r="D2700" s="148" t="str">
        <f>IFERROR(__xludf.DUMMYFUNCTION("""COMPUTED_VALUE"""),"city_suit_decoration")</f>
        <v>city_suit_decoration</v>
      </c>
      <c r="E2700" s="148">
        <f>IFERROR(__xludf.DUMMYFUNCTION("""COMPUTED_VALUE"""),0.0)</f>
        <v>0</v>
      </c>
      <c r="F2700" s="148">
        <f>IFERROR(__xludf.DUMMYFUNCTION("""COMPUTED_VALUE"""),499998.0)</f>
        <v>499998</v>
      </c>
      <c r="G2700" s="148">
        <f>IFERROR(__xludf.DUMMYFUNCTION("""COMPUTED_VALUE"""),1.51102385E8)</f>
        <v>151102385</v>
      </c>
      <c r="H2700" s="148">
        <f>IFERROR(__xludf.DUMMYFUNCTION("""COMPUTED_VALUE"""),1.5115983E7)</f>
        <v>15115983</v>
      </c>
      <c r="I2700" s="148" t="str">
        <f>IFERROR(__xludf.DUMMYFUNCTION("""COMPUTED_VALUE"""),"{}")</f>
        <v>{}</v>
      </c>
      <c r="J2700" s="148" t="str">
        <f>IFERROR(__xludf.DUMMYFUNCTION("""COMPUTED_VALUE"""),"{""typ"":""lc"",""txt"":""LC_ITEM_anni3_2025_city_cannon_name""}")</f>
        <v>{"typ":"lc","txt":"LC_ITEM_anni3_2025_city_cannon_name"}</v>
      </c>
      <c r="K2700" s="148" t="str">
        <f>IFERROR(__xludf.DUMMYFUNCTION("""COMPUTED_VALUE"""),"{""typ"":""lc"",""txt"":""LC_ITEM_anni3_2025_city_cannon_desc""}")</f>
        <v>{"typ":"lc","txt":"LC_ITEM_anni3_2025_city_cannon_desc"}</v>
      </c>
      <c r="L2700" s="148" t="str">
        <f>IFERROR(__xludf.DUMMYFUNCTION("""COMPUTED_VALUE"""),"{""typ"":""lc"",""txt"":""LC_ASSET_suit_actived_tips_1""}")</f>
        <v>{"typ":"lc","txt":"LC_ASSET_suit_actived_tips_1"}</v>
      </c>
      <c r="M2700" s="148">
        <f>IFERROR(__xludf.DUMMYFUNCTION("""COMPUTED_VALUE"""),10000.0)</f>
        <v>10000</v>
      </c>
      <c r="N2700" s="148">
        <f>IFERROR(__xludf.DUMMYFUNCTION("""COMPUTED_VALUE"""),999999.0)</f>
        <v>999999</v>
      </c>
      <c r="O2700" s="148">
        <f>IFERROR(__xludf.DUMMYFUNCTION("""COMPUTED_VALUE"""),99999.0)</f>
        <v>99999</v>
      </c>
      <c r="P2700" s="148">
        <f>IFERROR(__xludf.DUMMYFUNCTION("""COMPUTED_VALUE"""),1.0)</f>
        <v>1</v>
      </c>
      <c r="Q2700" s="148" t="str">
        <f>IFERROR(__xludf.DUMMYFUNCTION("""COMPUTED_VALUE"""),"[""bag_other""]")</f>
        <v>["bag_other"]</v>
      </c>
      <c r="R2700" s="148" t="str">
        <f>IFERROR(__xludf.DUMMYFUNCTION("""COMPUTED_VALUE"""),"[""bag"",""13881008""]")</f>
        <v>["bag","13881008"]</v>
      </c>
      <c r="S2700" s="148" t="str">
        <f>IFERROR(__xludf.DUMMYFUNCTION("""COMPUTED_VALUE"""),"{""effect"":[{""typ"":""city_suit_decoration"",""id"":13881008,""val"":-1},{""typ"":""item"",""id"":11111034,""val"":10}]}")</f>
        <v>{"effect":[{"typ":"city_suit_decoration","id":13881008,"val":-1},{"typ":"item","id":11111034,"val":10}]}</v>
      </c>
      <c r="T2700" s="148">
        <f>IFERROR(__xludf.DUMMYFUNCTION("""COMPUTED_VALUE"""),-1.0)</f>
        <v>-1</v>
      </c>
      <c r="U2700" s="148">
        <f>IFERROR(__xludf.DUMMYFUNCTION("""COMPUTED_VALUE"""),0.0)</f>
        <v>0</v>
      </c>
      <c r="V2700" s="148" t="str">
        <f>IFERROR(__xludf.DUMMYFUNCTION("""COMPUTED_VALUE"""),"[]")</f>
        <v>[]</v>
      </c>
      <c r="W2700" s="148">
        <f>IFERROR(__xludf.DUMMYFUNCTION("""COMPUTED_VALUE"""),1.174E7)</f>
        <v>11740000</v>
      </c>
      <c r="X2700" s="148">
        <f>IFERROR(__xludf.DUMMYFUNCTION("""COMPUTED_VALUE"""),0.0)</f>
        <v>0</v>
      </c>
      <c r="Y2700" s="148">
        <f>IFERROR(__xludf.DUMMYFUNCTION("""COMPUTED_VALUE"""),0.0)</f>
        <v>0</v>
      </c>
      <c r="Z2700" s="148"/>
    </row>
    <row r="2701">
      <c r="A2701" s="148">
        <f>IFERROR(__xludf.DUMMYFUNCTION("""COMPUTED_VALUE"""),1.1119657E7)</f>
        <v>11119657</v>
      </c>
      <c r="B2701" s="148" t="str">
        <f>IFERROR(__xludf.DUMMYFUNCTION("""COMPUTED_VALUE"""),"主城炮弹-周年庆2025-2天")</f>
        <v>主城炮弹-周年庆2025-2天</v>
      </c>
      <c r="C2701" s="148"/>
      <c r="D2701" s="148" t="str">
        <f>IFERROR(__xludf.DUMMYFUNCTION("""COMPUTED_VALUE"""),"city_suit_decoration")</f>
        <v>city_suit_decoration</v>
      </c>
      <c r="E2701" s="148">
        <f>IFERROR(__xludf.DUMMYFUNCTION("""COMPUTED_VALUE"""),21.0)</f>
        <v>21</v>
      </c>
      <c r="F2701" s="148">
        <f>IFERROR(__xludf.DUMMYFUNCTION("""COMPUTED_VALUE"""),499990.0)</f>
        <v>499990</v>
      </c>
      <c r="G2701" s="148">
        <f>IFERROR(__xludf.DUMMYFUNCTION("""COMPUTED_VALUE"""),1.51102385E8)</f>
        <v>151102385</v>
      </c>
      <c r="H2701" s="148">
        <f>IFERROR(__xludf.DUMMYFUNCTION("""COMPUTED_VALUE"""),1.5112563E7)</f>
        <v>15112563</v>
      </c>
      <c r="I2701" s="148" t="str">
        <f>IFERROR(__xludf.DUMMYFUNCTION("""COMPUTED_VALUE"""),"{""typ"":""lc"",""txt"":""LC_ITEM_time_day_upper_show"",""args"":[{""typ"":""int"",""val"":2}]}")</f>
        <v>{"typ":"lc","txt":"LC_ITEM_time_day_upper_show","args":[{"typ":"int","val":2}]}</v>
      </c>
      <c r="J2701" s="148" t="str">
        <f>IFERROR(__xludf.DUMMYFUNCTION("""COMPUTED_VALUE"""),"{""typ"":""lc"",""txt"":""LC_ITEM_anni3_2025_city_cannon_name_2day""}")</f>
        <v>{"typ":"lc","txt":"LC_ITEM_anni3_2025_city_cannon_name_2day"}</v>
      </c>
      <c r="K2701" s="148" t="str">
        <f>IFERROR(__xludf.DUMMYFUNCTION("""COMPUTED_VALUE"""),"{""typ"":""lc"",""txt"":""LC_ITEM_anni3_2025_city_cannon_desc_2day""}")</f>
        <v>{"typ":"lc","txt":"LC_ITEM_anni3_2025_city_cannon_desc_2day"}</v>
      </c>
      <c r="L2701" s="148" t="str">
        <f>IFERROR(__xludf.DUMMYFUNCTION("""COMPUTED_VALUE"""),"{""typ"":""lc"",""txt"":""LC_ASSET_suit_actived_tips_1""}")</f>
        <v>{"typ":"lc","txt":"LC_ASSET_suit_actived_tips_1"}</v>
      </c>
      <c r="M2701" s="148">
        <f>IFERROR(__xludf.DUMMYFUNCTION("""COMPUTED_VALUE"""),500.0)</f>
        <v>500</v>
      </c>
      <c r="N2701" s="148">
        <f>IFERROR(__xludf.DUMMYFUNCTION("""COMPUTED_VALUE"""),999.0)</f>
        <v>999</v>
      </c>
      <c r="O2701" s="148">
        <f>IFERROR(__xludf.DUMMYFUNCTION("""COMPUTED_VALUE"""),1.0)</f>
        <v>1</v>
      </c>
      <c r="P2701" s="148">
        <f>IFERROR(__xludf.DUMMYFUNCTION("""COMPUTED_VALUE"""),1.0)</f>
        <v>1</v>
      </c>
      <c r="Q2701" s="148" t="str">
        <f>IFERROR(__xludf.DUMMYFUNCTION("""COMPUTED_VALUE"""),"[""bag_other""]")</f>
        <v>["bag_other"]</v>
      </c>
      <c r="R2701" s="148" t="str">
        <f>IFERROR(__xludf.DUMMYFUNCTION("""COMPUTED_VALUE"""),"[""bag"",""13881008""]")</f>
        <v>["bag","13881008"]</v>
      </c>
      <c r="S2701" s="148" t="str">
        <f>IFERROR(__xludf.DUMMYFUNCTION("""COMPUTED_VALUE"""),"{""effect"":[{""typ"":""city_suit_decoration"",""id"":13881008,""val"":172800000},{""typ"":""item"",""id"":11111021,""val"":1}]}")</f>
        <v>{"effect":[{"typ":"city_suit_decoration","id":13881008,"val":172800000},{"typ":"item","id":11111021,"val":1}]}</v>
      </c>
      <c r="T2701" s="148">
        <f>IFERROR(__xludf.DUMMYFUNCTION("""COMPUTED_VALUE"""),-1.0)</f>
        <v>-1</v>
      </c>
      <c r="U2701" s="148">
        <f>IFERROR(__xludf.DUMMYFUNCTION("""COMPUTED_VALUE"""),0.0)</f>
        <v>0</v>
      </c>
      <c r="V2701" s="148" t="str">
        <f>IFERROR(__xludf.DUMMYFUNCTION("""COMPUTED_VALUE"""),"[]")</f>
        <v>[]</v>
      </c>
      <c r="W2701" s="148">
        <f>IFERROR(__xludf.DUMMYFUNCTION("""COMPUTED_VALUE"""),1.174E7)</f>
        <v>11740000</v>
      </c>
      <c r="X2701" s="148">
        <f>IFERROR(__xludf.DUMMYFUNCTION("""COMPUTED_VALUE"""),0.0)</f>
        <v>0</v>
      </c>
      <c r="Y2701" s="148">
        <f>IFERROR(__xludf.DUMMYFUNCTION("""COMPUTED_VALUE"""),0.0)</f>
        <v>0</v>
      </c>
      <c r="Z2701" s="148"/>
    </row>
    <row r="2702">
      <c r="A2702" s="148">
        <f>IFERROR(__xludf.DUMMYFUNCTION("""COMPUTED_VALUE"""),1.1119658E7)</f>
        <v>11119658</v>
      </c>
      <c r="B2702" s="148" t="str">
        <f>IFERROR(__xludf.DUMMYFUNCTION("""COMPUTED_VALUE"""),"主城炮弹-周年庆2025-7天")</f>
        <v>主城炮弹-周年庆2025-7天</v>
      </c>
      <c r="C2702" s="148"/>
      <c r="D2702" s="148" t="str">
        <f>IFERROR(__xludf.DUMMYFUNCTION("""COMPUTED_VALUE"""),"city_suit_decoration")</f>
        <v>city_suit_decoration</v>
      </c>
      <c r="E2702" s="148">
        <f>IFERROR(__xludf.DUMMYFUNCTION("""COMPUTED_VALUE"""),21.0)</f>
        <v>21</v>
      </c>
      <c r="F2702" s="148">
        <f>IFERROR(__xludf.DUMMYFUNCTION("""COMPUTED_VALUE"""),499991.0)</f>
        <v>499991</v>
      </c>
      <c r="G2702" s="148">
        <f>IFERROR(__xludf.DUMMYFUNCTION("""COMPUTED_VALUE"""),1.51102385E8)</f>
        <v>151102385</v>
      </c>
      <c r="H2702" s="148">
        <f>IFERROR(__xludf.DUMMYFUNCTION("""COMPUTED_VALUE"""),1.5112564E7)</f>
        <v>15112564</v>
      </c>
      <c r="I2702" s="148" t="str">
        <f>IFERROR(__xludf.DUMMYFUNCTION("""COMPUTED_VALUE"""),"{""typ"":""lc"",""txt"":""LC_ITEM_time_day_upper_show"",""args"":[{""typ"":""int"",""val"":7}]}")</f>
        <v>{"typ":"lc","txt":"LC_ITEM_time_day_upper_show","args":[{"typ":"int","val":7}]}</v>
      </c>
      <c r="J2702" s="148" t="str">
        <f>IFERROR(__xludf.DUMMYFUNCTION("""COMPUTED_VALUE"""),"{""typ"":""lc"",""txt"":""LC_ITEM_anni3_2025_city_cannon_name_7day""}")</f>
        <v>{"typ":"lc","txt":"LC_ITEM_anni3_2025_city_cannon_name_7day"}</v>
      </c>
      <c r="K2702" s="148" t="str">
        <f>IFERROR(__xludf.DUMMYFUNCTION("""COMPUTED_VALUE"""),"{""typ"":""lc"",""txt"":""LC_ITEM_anni3_2025_city_cannon_desc_7day""}")</f>
        <v>{"typ":"lc","txt":"LC_ITEM_anni3_2025_city_cannon_desc_7day"}</v>
      </c>
      <c r="L2702" s="148" t="str">
        <f>IFERROR(__xludf.DUMMYFUNCTION("""COMPUTED_VALUE"""),"{""typ"":""lc"",""txt"":""LC_ASSET_suit_actived_tips_1""}")</f>
        <v>{"typ":"lc","txt":"LC_ASSET_suit_actived_tips_1"}</v>
      </c>
      <c r="M2702" s="148">
        <f>IFERROR(__xludf.DUMMYFUNCTION("""COMPUTED_VALUE"""),10000.0)</f>
        <v>10000</v>
      </c>
      <c r="N2702" s="148">
        <f>IFERROR(__xludf.DUMMYFUNCTION("""COMPUTED_VALUE"""),999.0)</f>
        <v>999</v>
      </c>
      <c r="O2702" s="148">
        <f>IFERROR(__xludf.DUMMYFUNCTION("""COMPUTED_VALUE"""),1.0)</f>
        <v>1</v>
      </c>
      <c r="P2702" s="148">
        <f>IFERROR(__xludf.DUMMYFUNCTION("""COMPUTED_VALUE"""),1.0)</f>
        <v>1</v>
      </c>
      <c r="Q2702" s="148" t="str">
        <f>IFERROR(__xludf.DUMMYFUNCTION("""COMPUTED_VALUE"""),"[""bag_other""]")</f>
        <v>["bag_other"]</v>
      </c>
      <c r="R2702" s="148" t="str">
        <f>IFERROR(__xludf.DUMMYFUNCTION("""COMPUTED_VALUE"""),"[""bag"",""13881008""]")</f>
        <v>["bag","13881008"]</v>
      </c>
      <c r="S2702" s="148" t="str">
        <f>IFERROR(__xludf.DUMMYFUNCTION("""COMPUTED_VALUE"""),"{""effect"":[{""typ"":""city_suit_decoration"",""id"":13881008,""val"":604800000},{""typ"":""item"",""id"":11111021,""val"":3}]}")</f>
        <v>{"effect":[{"typ":"city_suit_decoration","id":13881008,"val":604800000},{"typ":"item","id":11111021,"val":3}]}</v>
      </c>
      <c r="T2702" s="148">
        <f>IFERROR(__xludf.DUMMYFUNCTION("""COMPUTED_VALUE"""),-1.0)</f>
        <v>-1</v>
      </c>
      <c r="U2702" s="148">
        <f>IFERROR(__xludf.DUMMYFUNCTION("""COMPUTED_VALUE"""),0.0)</f>
        <v>0</v>
      </c>
      <c r="V2702" s="148" t="str">
        <f>IFERROR(__xludf.DUMMYFUNCTION("""COMPUTED_VALUE"""),"[]")</f>
        <v>[]</v>
      </c>
      <c r="W2702" s="148">
        <f>IFERROR(__xludf.DUMMYFUNCTION("""COMPUTED_VALUE"""),1.174E7)</f>
        <v>11740000</v>
      </c>
      <c r="X2702" s="148">
        <f>IFERROR(__xludf.DUMMYFUNCTION("""COMPUTED_VALUE"""),0.0)</f>
        <v>0</v>
      </c>
      <c r="Y2702" s="148">
        <f>IFERROR(__xludf.DUMMYFUNCTION("""COMPUTED_VALUE"""),0.0)</f>
        <v>0</v>
      </c>
      <c r="Z2702" s="148"/>
    </row>
    <row r="2703">
      <c r="A2703" s="148">
        <f>IFERROR(__xludf.DUMMYFUNCTION("""COMPUTED_VALUE"""),1.1119659E7)</f>
        <v>11119659</v>
      </c>
      <c r="B2703" s="148" t="str">
        <f>IFERROR(__xludf.DUMMYFUNCTION("""COMPUTED_VALUE"""),"主城炮弹-周年庆2025-14天")</f>
        <v>主城炮弹-周年庆2025-14天</v>
      </c>
      <c r="C2703" s="148"/>
      <c r="D2703" s="148" t="str">
        <f>IFERROR(__xludf.DUMMYFUNCTION("""COMPUTED_VALUE"""),"city_suit_decoration")</f>
        <v>city_suit_decoration</v>
      </c>
      <c r="E2703" s="148">
        <f>IFERROR(__xludf.DUMMYFUNCTION("""COMPUTED_VALUE"""),21.0)</f>
        <v>21</v>
      </c>
      <c r="F2703" s="148">
        <f>IFERROR(__xludf.DUMMYFUNCTION("""COMPUTED_VALUE"""),499992.0)</f>
        <v>499992</v>
      </c>
      <c r="G2703" s="148">
        <f>IFERROR(__xludf.DUMMYFUNCTION("""COMPUTED_VALUE"""),1.51102385E8)</f>
        <v>151102385</v>
      </c>
      <c r="H2703" s="148">
        <f>IFERROR(__xludf.DUMMYFUNCTION("""COMPUTED_VALUE"""),1.5112564E7)</f>
        <v>15112564</v>
      </c>
      <c r="I2703" s="148" t="str">
        <f>IFERROR(__xludf.DUMMYFUNCTION("""COMPUTED_VALUE"""),"{""typ"":""lc"",""txt"":""LC_ITEM_time_day_upper_show"",""args"":[{""typ"":""int"",""val"":14}]}")</f>
        <v>{"typ":"lc","txt":"LC_ITEM_time_day_upper_show","args":[{"typ":"int","val":14}]}</v>
      </c>
      <c r="J2703" s="148" t="str">
        <f>IFERROR(__xludf.DUMMYFUNCTION("""COMPUTED_VALUE"""),"{""typ"":""lc"",""txt"":""LC_ITEM_anni3_2025_city_cannon_name_14day""}")</f>
        <v>{"typ":"lc","txt":"LC_ITEM_anni3_2025_city_cannon_name_14day"}</v>
      </c>
      <c r="K2703" s="148" t="str">
        <f>IFERROR(__xludf.DUMMYFUNCTION("""COMPUTED_VALUE"""),"{""typ"":""lc"",""txt"":""LC_ITEM_anni3_2025_city_cannon_desc_14day""}")</f>
        <v>{"typ":"lc","txt":"LC_ITEM_anni3_2025_city_cannon_desc_14day"}</v>
      </c>
      <c r="L2703" s="148" t="str">
        <f>IFERROR(__xludf.DUMMYFUNCTION("""COMPUTED_VALUE"""),"{""typ"":""lc"",""txt"":""LC_ASSET_suit_actived_tips_1""}")</f>
        <v>{"typ":"lc","txt":"LC_ASSET_suit_actived_tips_1"}</v>
      </c>
      <c r="M2703" s="148">
        <f>IFERROR(__xludf.DUMMYFUNCTION("""COMPUTED_VALUE"""),10000.0)</f>
        <v>10000</v>
      </c>
      <c r="N2703" s="148">
        <f>IFERROR(__xludf.DUMMYFUNCTION("""COMPUTED_VALUE"""),999.0)</f>
        <v>999</v>
      </c>
      <c r="O2703" s="148">
        <f>IFERROR(__xludf.DUMMYFUNCTION("""COMPUTED_VALUE"""),1.0)</f>
        <v>1</v>
      </c>
      <c r="P2703" s="148">
        <f>IFERROR(__xludf.DUMMYFUNCTION("""COMPUTED_VALUE"""),1.0)</f>
        <v>1</v>
      </c>
      <c r="Q2703" s="148" t="str">
        <f>IFERROR(__xludf.DUMMYFUNCTION("""COMPUTED_VALUE"""),"[""bag_other""]")</f>
        <v>["bag_other"]</v>
      </c>
      <c r="R2703" s="148" t="str">
        <f>IFERROR(__xludf.DUMMYFUNCTION("""COMPUTED_VALUE"""),"[""bag"",""13881008""]")</f>
        <v>["bag","13881008"]</v>
      </c>
      <c r="S2703" s="148" t="str">
        <f>IFERROR(__xludf.DUMMYFUNCTION("""COMPUTED_VALUE"""),"{""effect"":[{""typ"":""city_suit_decoration"",""id"":13881008,""val"":1209600000},{""typ"":""item"",""id"":11111021,""val"":7}]}")</f>
        <v>{"effect":[{"typ":"city_suit_decoration","id":13881008,"val":1209600000},{"typ":"item","id":11111021,"val":7}]}</v>
      </c>
      <c r="T2703" s="148">
        <f>IFERROR(__xludf.DUMMYFUNCTION("""COMPUTED_VALUE"""),-1.0)</f>
        <v>-1</v>
      </c>
      <c r="U2703" s="148">
        <f>IFERROR(__xludf.DUMMYFUNCTION("""COMPUTED_VALUE"""),0.0)</f>
        <v>0</v>
      </c>
      <c r="V2703" s="148" t="str">
        <f>IFERROR(__xludf.DUMMYFUNCTION("""COMPUTED_VALUE"""),"[]")</f>
        <v>[]</v>
      </c>
      <c r="W2703" s="148">
        <f>IFERROR(__xludf.DUMMYFUNCTION("""COMPUTED_VALUE"""),1.174E7)</f>
        <v>11740000</v>
      </c>
      <c r="X2703" s="148">
        <f>IFERROR(__xludf.DUMMYFUNCTION("""COMPUTED_VALUE"""),0.0)</f>
        <v>0</v>
      </c>
      <c r="Y2703" s="148">
        <f>IFERROR(__xludf.DUMMYFUNCTION("""COMPUTED_VALUE"""),0.0)</f>
        <v>0</v>
      </c>
      <c r="Z2703" s="148"/>
    </row>
    <row r="2704">
      <c r="A2704" s="148">
        <f>IFERROR(__xludf.DUMMYFUNCTION("""COMPUTED_VALUE"""),1.111966E7)</f>
        <v>11119660</v>
      </c>
      <c r="B2704" s="148" t="str">
        <f>IFERROR(__xludf.DUMMYFUNCTION("""COMPUTED_VALUE"""),"2025周年庆-主城特效")</f>
        <v>2025周年庆-主城特效</v>
      </c>
      <c r="C2704" s="148"/>
      <c r="D2704" s="148" t="str">
        <f>IFERROR(__xludf.DUMMYFUNCTION("""COMPUTED_VALUE"""),"city_suit_decoration")</f>
        <v>city_suit_decoration</v>
      </c>
      <c r="E2704" s="148">
        <f>IFERROR(__xludf.DUMMYFUNCTION("""COMPUTED_VALUE"""),0.0)</f>
        <v>0</v>
      </c>
      <c r="F2704" s="148">
        <f>IFERROR(__xludf.DUMMYFUNCTION("""COMPUTED_VALUE"""),499999.0)</f>
        <v>499999</v>
      </c>
      <c r="G2704" s="148">
        <f>IFERROR(__xludf.DUMMYFUNCTION("""COMPUTED_VALUE"""),1.51102386E8)</f>
        <v>151102386</v>
      </c>
      <c r="H2704" s="148">
        <f>IFERROR(__xludf.DUMMYFUNCTION("""COMPUTED_VALUE"""),1.51101093E8)</f>
        <v>151101093</v>
      </c>
      <c r="I2704" s="148" t="str">
        <f>IFERROR(__xludf.DUMMYFUNCTION("""COMPUTED_VALUE"""),"{}")</f>
        <v>{}</v>
      </c>
      <c r="J2704" s="148" t="str">
        <f>IFERROR(__xludf.DUMMYFUNCTION("""COMPUTED_VALUE"""),"{""typ"":""lc"",""txt"":""LC_ITEM_anni3_2025_city_effect_name""}")</f>
        <v>{"typ":"lc","txt":"LC_ITEM_anni3_2025_city_effect_name"}</v>
      </c>
      <c r="K2704" s="148" t="str">
        <f>IFERROR(__xludf.DUMMYFUNCTION("""COMPUTED_VALUE"""),"{""typ"":""lc"",""txt"":""LC_ITEM_anni3_2025_city_effect_desc""}")</f>
        <v>{"typ":"lc","txt":"LC_ITEM_anni3_2025_city_effect_desc"}</v>
      </c>
      <c r="L2704" s="148" t="str">
        <f>IFERROR(__xludf.DUMMYFUNCTION("""COMPUTED_VALUE"""),"{""typ"":""lc"",""txt"":""LC_ASSET_suit_actived_tips_1""}")</f>
        <v>{"typ":"lc","txt":"LC_ASSET_suit_actived_tips_1"}</v>
      </c>
      <c r="M2704" s="148">
        <f>IFERROR(__xludf.DUMMYFUNCTION("""COMPUTED_VALUE"""),10000.0)</f>
        <v>10000</v>
      </c>
      <c r="N2704" s="148">
        <f>IFERROR(__xludf.DUMMYFUNCTION("""COMPUTED_VALUE"""),999999.0)</f>
        <v>999999</v>
      </c>
      <c r="O2704" s="148">
        <f>IFERROR(__xludf.DUMMYFUNCTION("""COMPUTED_VALUE"""),99999.0)</f>
        <v>99999</v>
      </c>
      <c r="P2704" s="148">
        <f>IFERROR(__xludf.DUMMYFUNCTION("""COMPUTED_VALUE"""),1.0)</f>
        <v>1</v>
      </c>
      <c r="Q2704" s="148" t="str">
        <f>IFERROR(__xludf.DUMMYFUNCTION("""COMPUTED_VALUE"""),"[""bag_other""]")</f>
        <v>["bag_other"]</v>
      </c>
      <c r="R2704" s="148" t="str">
        <f>IFERROR(__xludf.DUMMYFUNCTION("""COMPUTED_VALUE"""),"[""bag"",""13881009""]")</f>
        <v>["bag","13881009"]</v>
      </c>
      <c r="S2704" s="148" t="str">
        <f>IFERROR(__xludf.DUMMYFUNCTION("""COMPUTED_VALUE"""),"{""effect"":[{""typ"":""city_suit_decoration"",""id"":13881009,""val"":-1},{""typ"":""item"",""id"":11111034,""val"":10}]}")</f>
        <v>{"effect":[{"typ":"city_suit_decoration","id":13881009,"val":-1},{"typ":"item","id":11111034,"val":10}]}</v>
      </c>
      <c r="T2704" s="148">
        <f>IFERROR(__xludf.DUMMYFUNCTION("""COMPUTED_VALUE"""),-1.0)</f>
        <v>-1</v>
      </c>
      <c r="U2704" s="148">
        <f>IFERROR(__xludf.DUMMYFUNCTION("""COMPUTED_VALUE"""),0.0)</f>
        <v>0</v>
      </c>
      <c r="V2704" s="148" t="str">
        <f>IFERROR(__xludf.DUMMYFUNCTION("""COMPUTED_VALUE"""),"[]")</f>
        <v>[]</v>
      </c>
      <c r="W2704" s="148">
        <f>IFERROR(__xludf.DUMMYFUNCTION("""COMPUTED_VALUE"""),1.174E7)</f>
        <v>11740000</v>
      </c>
      <c r="X2704" s="148">
        <f>IFERROR(__xludf.DUMMYFUNCTION("""COMPUTED_VALUE"""),0.0)</f>
        <v>0</v>
      </c>
      <c r="Y2704" s="148">
        <f>IFERROR(__xludf.DUMMYFUNCTION("""COMPUTED_VALUE"""),0.0)</f>
        <v>0</v>
      </c>
      <c r="Z2704" s="148"/>
    </row>
    <row r="2705">
      <c r="A2705" s="148">
        <f>IFERROR(__xludf.DUMMYFUNCTION("""COMPUTED_VALUE"""),1.1119661E7)</f>
        <v>11119661</v>
      </c>
      <c r="B2705" s="148" t="str">
        <f>IFERROR(__xludf.DUMMYFUNCTION("""COMPUTED_VALUE"""),"主城特效-周年庆2025-2天")</f>
        <v>主城特效-周年庆2025-2天</v>
      </c>
      <c r="C2705" s="148"/>
      <c r="D2705" s="148" t="str">
        <f>IFERROR(__xludf.DUMMYFUNCTION("""COMPUTED_VALUE"""),"city_suit_decoration")</f>
        <v>city_suit_decoration</v>
      </c>
      <c r="E2705" s="148">
        <f>IFERROR(__xludf.DUMMYFUNCTION("""COMPUTED_VALUE"""),21.0)</f>
        <v>21</v>
      </c>
      <c r="F2705" s="148">
        <f>IFERROR(__xludf.DUMMYFUNCTION("""COMPUTED_VALUE"""),499988.0)</f>
        <v>499988</v>
      </c>
      <c r="G2705" s="148">
        <f>IFERROR(__xludf.DUMMYFUNCTION("""COMPUTED_VALUE"""),1.51102386E8)</f>
        <v>151102386</v>
      </c>
      <c r="H2705" s="148">
        <f>IFERROR(__xludf.DUMMYFUNCTION("""COMPUTED_VALUE"""),1.5112563E7)</f>
        <v>15112563</v>
      </c>
      <c r="I2705" s="148" t="str">
        <f>IFERROR(__xludf.DUMMYFUNCTION("""COMPUTED_VALUE"""),"{""typ"":""lc"",""txt"":""LC_ITEM_time_day_upper_show"",""args"":[{""typ"":""int"",""val"":2}]}")</f>
        <v>{"typ":"lc","txt":"LC_ITEM_time_day_upper_show","args":[{"typ":"int","val":2}]}</v>
      </c>
      <c r="J2705" s="148" t="str">
        <f>IFERROR(__xludf.DUMMYFUNCTION("""COMPUTED_VALUE"""),"{""typ"":""lc"",""txt"":""LC_ITEM_anni3_2025_city_effect_name_2day""}")</f>
        <v>{"typ":"lc","txt":"LC_ITEM_anni3_2025_city_effect_name_2day"}</v>
      </c>
      <c r="K2705" s="148" t="str">
        <f>IFERROR(__xludf.DUMMYFUNCTION("""COMPUTED_VALUE"""),"{""typ"":""lc"",""txt"":""LC_ITEM_anni3_2025_city_effect_desc_2day""}")</f>
        <v>{"typ":"lc","txt":"LC_ITEM_anni3_2025_city_effect_desc_2day"}</v>
      </c>
      <c r="L2705" s="148" t="str">
        <f>IFERROR(__xludf.DUMMYFUNCTION("""COMPUTED_VALUE"""),"{""typ"":""lc"",""txt"":""LC_ASSET_suit_actived_tips_1""}")</f>
        <v>{"typ":"lc","txt":"LC_ASSET_suit_actived_tips_1"}</v>
      </c>
      <c r="M2705" s="148">
        <f>IFERROR(__xludf.DUMMYFUNCTION("""COMPUTED_VALUE"""),500.0)</f>
        <v>500</v>
      </c>
      <c r="N2705" s="148">
        <f>IFERROR(__xludf.DUMMYFUNCTION("""COMPUTED_VALUE"""),999.0)</f>
        <v>999</v>
      </c>
      <c r="O2705" s="148">
        <f>IFERROR(__xludf.DUMMYFUNCTION("""COMPUTED_VALUE"""),1.0)</f>
        <v>1</v>
      </c>
      <c r="P2705" s="148">
        <f>IFERROR(__xludf.DUMMYFUNCTION("""COMPUTED_VALUE"""),1.0)</f>
        <v>1</v>
      </c>
      <c r="Q2705" s="148" t="str">
        <f>IFERROR(__xludf.DUMMYFUNCTION("""COMPUTED_VALUE"""),"[""bag_other""]")</f>
        <v>["bag_other"]</v>
      </c>
      <c r="R2705" s="148" t="str">
        <f>IFERROR(__xludf.DUMMYFUNCTION("""COMPUTED_VALUE"""),"[""bag"",""13881009""]")</f>
        <v>["bag","13881009"]</v>
      </c>
      <c r="S2705" s="148" t="str">
        <f>IFERROR(__xludf.DUMMYFUNCTION("""COMPUTED_VALUE"""),"{""effect"":[{""typ"":""city_suit_decoration"",""id"":13881009,""val"":172800000},{""typ"":""item"",""id"":11111021,""val"":1}]}")</f>
        <v>{"effect":[{"typ":"city_suit_decoration","id":13881009,"val":172800000},{"typ":"item","id":11111021,"val":1}]}</v>
      </c>
      <c r="T2705" s="148">
        <f>IFERROR(__xludf.DUMMYFUNCTION("""COMPUTED_VALUE"""),-1.0)</f>
        <v>-1</v>
      </c>
      <c r="U2705" s="148">
        <f>IFERROR(__xludf.DUMMYFUNCTION("""COMPUTED_VALUE"""),0.0)</f>
        <v>0</v>
      </c>
      <c r="V2705" s="148" t="str">
        <f>IFERROR(__xludf.DUMMYFUNCTION("""COMPUTED_VALUE"""),"[]")</f>
        <v>[]</v>
      </c>
      <c r="W2705" s="148">
        <f>IFERROR(__xludf.DUMMYFUNCTION("""COMPUTED_VALUE"""),1.174E7)</f>
        <v>11740000</v>
      </c>
      <c r="X2705" s="148">
        <f>IFERROR(__xludf.DUMMYFUNCTION("""COMPUTED_VALUE"""),0.0)</f>
        <v>0</v>
      </c>
      <c r="Y2705" s="148">
        <f>IFERROR(__xludf.DUMMYFUNCTION("""COMPUTED_VALUE"""),0.0)</f>
        <v>0</v>
      </c>
      <c r="Z2705" s="148"/>
    </row>
    <row r="2706">
      <c r="A2706" s="148">
        <f>IFERROR(__xludf.DUMMYFUNCTION("""COMPUTED_VALUE"""),1.1119662E7)</f>
        <v>11119662</v>
      </c>
      <c r="B2706" s="148" t="str">
        <f>IFERROR(__xludf.DUMMYFUNCTION("""COMPUTED_VALUE"""),"主城特效-周年庆2025-7天")</f>
        <v>主城特效-周年庆2025-7天</v>
      </c>
      <c r="C2706" s="148"/>
      <c r="D2706" s="148" t="str">
        <f>IFERROR(__xludf.DUMMYFUNCTION("""COMPUTED_VALUE"""),"city_suit_decoration")</f>
        <v>city_suit_decoration</v>
      </c>
      <c r="E2706" s="148">
        <f>IFERROR(__xludf.DUMMYFUNCTION("""COMPUTED_VALUE"""),21.0)</f>
        <v>21</v>
      </c>
      <c r="F2706" s="148">
        <f>IFERROR(__xludf.DUMMYFUNCTION("""COMPUTED_VALUE"""),499989.0)</f>
        <v>499989</v>
      </c>
      <c r="G2706" s="148">
        <f>IFERROR(__xludf.DUMMYFUNCTION("""COMPUTED_VALUE"""),1.51102386E8)</f>
        <v>151102386</v>
      </c>
      <c r="H2706" s="148">
        <f>IFERROR(__xludf.DUMMYFUNCTION("""COMPUTED_VALUE"""),1.5112564E7)</f>
        <v>15112564</v>
      </c>
      <c r="I2706" s="148" t="str">
        <f>IFERROR(__xludf.DUMMYFUNCTION("""COMPUTED_VALUE"""),"{""typ"":""lc"",""txt"":""LC_ITEM_time_day_upper_show"",""args"":[{""typ"":""int"",""val"":7}]}")</f>
        <v>{"typ":"lc","txt":"LC_ITEM_time_day_upper_show","args":[{"typ":"int","val":7}]}</v>
      </c>
      <c r="J2706" s="148" t="str">
        <f>IFERROR(__xludf.DUMMYFUNCTION("""COMPUTED_VALUE"""),"{""typ"":""lc"",""txt"":""LC_ITEM_anni3_2025_city_effect_name_7day""}")</f>
        <v>{"typ":"lc","txt":"LC_ITEM_anni3_2025_city_effect_name_7day"}</v>
      </c>
      <c r="K2706" s="148" t="str">
        <f>IFERROR(__xludf.DUMMYFUNCTION("""COMPUTED_VALUE"""),"{""typ"":""lc"",""txt"":""LC_ITEM_anni3_2025_city_effect_desc_7day""}")</f>
        <v>{"typ":"lc","txt":"LC_ITEM_anni3_2025_city_effect_desc_7day"}</v>
      </c>
      <c r="L2706" s="148" t="str">
        <f>IFERROR(__xludf.DUMMYFUNCTION("""COMPUTED_VALUE"""),"{""typ"":""lc"",""txt"":""LC_ASSET_suit_actived_tips_1""}")</f>
        <v>{"typ":"lc","txt":"LC_ASSET_suit_actived_tips_1"}</v>
      </c>
      <c r="M2706" s="148">
        <f>IFERROR(__xludf.DUMMYFUNCTION("""COMPUTED_VALUE"""),10000.0)</f>
        <v>10000</v>
      </c>
      <c r="N2706" s="148">
        <f>IFERROR(__xludf.DUMMYFUNCTION("""COMPUTED_VALUE"""),999.0)</f>
        <v>999</v>
      </c>
      <c r="O2706" s="148">
        <f>IFERROR(__xludf.DUMMYFUNCTION("""COMPUTED_VALUE"""),1.0)</f>
        <v>1</v>
      </c>
      <c r="P2706" s="148">
        <f>IFERROR(__xludf.DUMMYFUNCTION("""COMPUTED_VALUE"""),1.0)</f>
        <v>1</v>
      </c>
      <c r="Q2706" s="148" t="str">
        <f>IFERROR(__xludf.DUMMYFUNCTION("""COMPUTED_VALUE"""),"[""bag_other""]")</f>
        <v>["bag_other"]</v>
      </c>
      <c r="R2706" s="148" t="str">
        <f>IFERROR(__xludf.DUMMYFUNCTION("""COMPUTED_VALUE"""),"[""bag"",""13881009""]")</f>
        <v>["bag","13881009"]</v>
      </c>
      <c r="S2706" s="148" t="str">
        <f>IFERROR(__xludf.DUMMYFUNCTION("""COMPUTED_VALUE"""),"{""effect"":[{""typ"":""city_suit_decoration"",""id"":13881009,""val"":604800000},{""typ"":""item"",""id"":11111021,""val"":3}]}")</f>
        <v>{"effect":[{"typ":"city_suit_decoration","id":13881009,"val":604800000},{"typ":"item","id":11111021,"val":3}]}</v>
      </c>
      <c r="T2706" s="148">
        <f>IFERROR(__xludf.DUMMYFUNCTION("""COMPUTED_VALUE"""),-1.0)</f>
        <v>-1</v>
      </c>
      <c r="U2706" s="148">
        <f>IFERROR(__xludf.DUMMYFUNCTION("""COMPUTED_VALUE"""),0.0)</f>
        <v>0</v>
      </c>
      <c r="V2706" s="148" t="str">
        <f>IFERROR(__xludf.DUMMYFUNCTION("""COMPUTED_VALUE"""),"[]")</f>
        <v>[]</v>
      </c>
      <c r="W2706" s="148">
        <f>IFERROR(__xludf.DUMMYFUNCTION("""COMPUTED_VALUE"""),1.174E7)</f>
        <v>11740000</v>
      </c>
      <c r="X2706" s="148">
        <f>IFERROR(__xludf.DUMMYFUNCTION("""COMPUTED_VALUE"""),0.0)</f>
        <v>0</v>
      </c>
      <c r="Y2706" s="148">
        <f>IFERROR(__xludf.DUMMYFUNCTION("""COMPUTED_VALUE"""),0.0)</f>
        <v>0</v>
      </c>
      <c r="Z2706" s="148"/>
    </row>
    <row r="2707">
      <c r="A2707" s="148">
        <f>IFERROR(__xludf.DUMMYFUNCTION("""COMPUTED_VALUE"""),1.1119663E7)</f>
        <v>11119663</v>
      </c>
      <c r="B2707" s="148" t="str">
        <f>IFERROR(__xludf.DUMMYFUNCTION("""COMPUTED_VALUE"""),"主城特效-周年庆2025-14天")</f>
        <v>主城特效-周年庆2025-14天</v>
      </c>
      <c r="C2707" s="148"/>
      <c r="D2707" s="148" t="str">
        <f>IFERROR(__xludf.DUMMYFUNCTION("""COMPUTED_VALUE"""),"city_suit_decoration")</f>
        <v>city_suit_decoration</v>
      </c>
      <c r="E2707" s="148">
        <f>IFERROR(__xludf.DUMMYFUNCTION("""COMPUTED_VALUE"""),21.0)</f>
        <v>21</v>
      </c>
      <c r="F2707" s="148">
        <f>IFERROR(__xludf.DUMMYFUNCTION("""COMPUTED_VALUE"""),499990.0)</f>
        <v>499990</v>
      </c>
      <c r="G2707" s="148">
        <f>IFERROR(__xludf.DUMMYFUNCTION("""COMPUTED_VALUE"""),1.51102386E8)</f>
        <v>151102386</v>
      </c>
      <c r="H2707" s="148">
        <f>IFERROR(__xludf.DUMMYFUNCTION("""COMPUTED_VALUE"""),1.5112564E7)</f>
        <v>15112564</v>
      </c>
      <c r="I2707" s="148" t="str">
        <f>IFERROR(__xludf.DUMMYFUNCTION("""COMPUTED_VALUE"""),"{""typ"":""lc"",""txt"":""LC_ITEM_time_day_upper_show"",""args"":[{""typ"":""int"",""val"":14}]}")</f>
        <v>{"typ":"lc","txt":"LC_ITEM_time_day_upper_show","args":[{"typ":"int","val":14}]}</v>
      </c>
      <c r="J2707" s="148" t="str">
        <f>IFERROR(__xludf.DUMMYFUNCTION("""COMPUTED_VALUE"""),"{""typ"":""lc"",""txt"":""LC_ITEM_anni3_2025_city_effect_name_14day""}")</f>
        <v>{"typ":"lc","txt":"LC_ITEM_anni3_2025_city_effect_name_14day"}</v>
      </c>
      <c r="K2707" s="148" t="str">
        <f>IFERROR(__xludf.DUMMYFUNCTION("""COMPUTED_VALUE"""),"{""typ"":""lc"",""txt"":""LC_ITEM_anni3_2025_city_effect_desc_14day""}")</f>
        <v>{"typ":"lc","txt":"LC_ITEM_anni3_2025_city_effect_desc_14day"}</v>
      </c>
      <c r="L2707" s="148" t="str">
        <f>IFERROR(__xludf.DUMMYFUNCTION("""COMPUTED_VALUE"""),"{""typ"":""lc"",""txt"":""LC_ASSET_suit_actived_tips_1""}")</f>
        <v>{"typ":"lc","txt":"LC_ASSET_suit_actived_tips_1"}</v>
      </c>
      <c r="M2707" s="148">
        <f>IFERROR(__xludf.DUMMYFUNCTION("""COMPUTED_VALUE"""),10000.0)</f>
        <v>10000</v>
      </c>
      <c r="N2707" s="148">
        <f>IFERROR(__xludf.DUMMYFUNCTION("""COMPUTED_VALUE"""),999.0)</f>
        <v>999</v>
      </c>
      <c r="O2707" s="148">
        <f>IFERROR(__xludf.DUMMYFUNCTION("""COMPUTED_VALUE"""),1.0)</f>
        <v>1</v>
      </c>
      <c r="P2707" s="148">
        <f>IFERROR(__xludf.DUMMYFUNCTION("""COMPUTED_VALUE"""),1.0)</f>
        <v>1</v>
      </c>
      <c r="Q2707" s="148" t="str">
        <f>IFERROR(__xludf.DUMMYFUNCTION("""COMPUTED_VALUE"""),"[""bag_other""]")</f>
        <v>["bag_other"]</v>
      </c>
      <c r="R2707" s="148" t="str">
        <f>IFERROR(__xludf.DUMMYFUNCTION("""COMPUTED_VALUE"""),"[""bag"",""13881009""]")</f>
        <v>["bag","13881009"]</v>
      </c>
      <c r="S2707" s="148" t="str">
        <f>IFERROR(__xludf.DUMMYFUNCTION("""COMPUTED_VALUE"""),"{""effect"":[{""typ"":""city_suit_decoration"",""id"":13881009,""val"":1209600000},{""typ"":""item"",""id"":11111021,""val"":7}]}")</f>
        <v>{"effect":[{"typ":"city_suit_decoration","id":13881009,"val":1209600000},{"typ":"item","id":11111021,"val":7}]}</v>
      </c>
      <c r="T2707" s="148">
        <f>IFERROR(__xludf.DUMMYFUNCTION("""COMPUTED_VALUE"""),-1.0)</f>
        <v>-1</v>
      </c>
      <c r="U2707" s="148">
        <f>IFERROR(__xludf.DUMMYFUNCTION("""COMPUTED_VALUE"""),0.0)</f>
        <v>0</v>
      </c>
      <c r="V2707" s="148" t="str">
        <f>IFERROR(__xludf.DUMMYFUNCTION("""COMPUTED_VALUE"""),"[]")</f>
        <v>[]</v>
      </c>
      <c r="W2707" s="148">
        <f>IFERROR(__xludf.DUMMYFUNCTION("""COMPUTED_VALUE"""),1.174E7)</f>
        <v>11740000</v>
      </c>
      <c r="X2707" s="148">
        <f>IFERROR(__xludf.DUMMYFUNCTION("""COMPUTED_VALUE"""),0.0)</f>
        <v>0</v>
      </c>
      <c r="Y2707" s="148">
        <f>IFERROR(__xludf.DUMMYFUNCTION("""COMPUTED_VALUE"""),0.0)</f>
        <v>0</v>
      </c>
      <c r="Z2707" s="148"/>
    </row>
    <row r="2708">
      <c r="A2708" s="148">
        <f>IFERROR(__xludf.DUMMYFUNCTION("""COMPUTED_VALUE"""),1.1119664E7)</f>
        <v>11119664</v>
      </c>
      <c r="B2708" s="148" t="str">
        <f>IFERROR(__xludf.DUMMYFUNCTION("""COMPUTED_VALUE"""),"周年庆2025-个人累充抽奖道具")</f>
        <v>周年庆2025-个人累充抽奖道具</v>
      </c>
      <c r="C2708" s="148"/>
      <c r="D2708" s="148" t="str">
        <f>IFERROR(__xludf.DUMMYFUNCTION("""COMPUTED_VALUE"""),"event")</f>
        <v>event</v>
      </c>
      <c r="E2708" s="148">
        <f>IFERROR(__xludf.DUMMYFUNCTION("""COMPUTED_VALUE"""),0.0)</f>
        <v>0</v>
      </c>
      <c r="F2708" s="148">
        <f>IFERROR(__xludf.DUMMYFUNCTION("""COMPUTED_VALUE"""),0.0)</f>
        <v>0</v>
      </c>
      <c r="G2708" s="148">
        <f>IFERROR(__xludf.DUMMYFUNCTION("""COMPUTED_VALUE"""),1.5110239E8)</f>
        <v>151102390</v>
      </c>
      <c r="H2708" s="148">
        <f>IFERROR(__xludf.DUMMYFUNCTION("""COMPUTED_VALUE"""),1.5112563E7)</f>
        <v>15112563</v>
      </c>
      <c r="I2708" s="148" t="str">
        <f>IFERROR(__xludf.DUMMYFUNCTION("""COMPUTED_VALUE"""),"{}")</f>
        <v>{}</v>
      </c>
      <c r="J2708" s="148" t="str">
        <f>IFERROR(__xludf.DUMMYFUNCTION("""COMPUTED_VALUE"""),"{""typ"":""lc"",""txt"":""LC_ITEM_anni3_super_lotto_name""}")</f>
        <v>{"typ":"lc","txt":"LC_ITEM_anni3_super_lotto_name"}</v>
      </c>
      <c r="K2708" s="148" t="str">
        <f>IFERROR(__xludf.DUMMYFUNCTION("""COMPUTED_VALUE"""),"{""typ"":""lc"",""txt"":""LC_ITEM_anni3_super_lotto_desc""}")</f>
        <v>{"typ":"lc","txt":"LC_ITEM_anni3_super_lotto_desc"}</v>
      </c>
      <c r="L2708" s="148" t="str">
        <f>IFERROR(__xludf.DUMMYFUNCTION("""COMPUTED_VALUE"""),"{}")</f>
        <v>{}</v>
      </c>
      <c r="M2708" s="148">
        <f>IFERROR(__xludf.DUMMYFUNCTION("""COMPUTED_VALUE"""),700.0)</f>
        <v>700</v>
      </c>
      <c r="N2708" s="148">
        <f>IFERROR(__xludf.DUMMYFUNCTION("""COMPUTED_VALUE"""),9.99999999E8)</f>
        <v>999999999</v>
      </c>
      <c r="O2708" s="148">
        <f>IFERROR(__xludf.DUMMYFUNCTION("""COMPUTED_VALUE"""),9.99999999E8)</f>
        <v>999999999</v>
      </c>
      <c r="P2708" s="148">
        <f>IFERROR(__xludf.DUMMYFUNCTION("""COMPUTED_VALUE"""),9.99999999E8)</f>
        <v>999999999</v>
      </c>
      <c r="Q2708" s="148" t="str">
        <f>IFERROR(__xludf.DUMMYFUNCTION("""COMPUTED_VALUE"""),"[""bag_other""]")</f>
        <v>["bag_other"]</v>
      </c>
      <c r="R2708" s="148" t="str">
        <f>IFERROR(__xludf.DUMMYFUNCTION("""COMPUTED_VALUE"""),"[""bag""]")</f>
        <v>["bag"]</v>
      </c>
      <c r="S2708" s="148" t="str">
        <f>IFERROR(__xludf.DUMMYFUNCTION("""COMPUTED_VALUE"""),"{""effect"":[{""typ"":""event"",""id"":21127471}]}")</f>
        <v>{"effect":[{"typ":"event","id":21127471}]}</v>
      </c>
      <c r="T2708" s="148">
        <f>IFERROR(__xludf.DUMMYFUNCTION("""COMPUTED_VALUE"""),1.0)</f>
        <v>1</v>
      </c>
      <c r="U2708" s="148">
        <f>IFERROR(__xludf.DUMMYFUNCTION("""COMPUTED_VALUE"""),0.0)</f>
        <v>0</v>
      </c>
      <c r="V2708" s="148" t="str">
        <f>IFERROR(__xludf.DUMMYFUNCTION("""COMPUTED_VALUE"""),"[]")</f>
        <v>[]</v>
      </c>
      <c r="W2708" s="148">
        <f>IFERROR(__xludf.DUMMYFUNCTION("""COMPUTED_VALUE"""),1.174E7)</f>
        <v>11740000</v>
      </c>
      <c r="X2708" s="148">
        <f>IFERROR(__xludf.DUMMYFUNCTION("""COMPUTED_VALUE"""),0.0)</f>
        <v>0</v>
      </c>
      <c r="Y2708" s="148">
        <f>IFERROR(__xludf.DUMMYFUNCTION("""COMPUTED_VALUE"""),0.0)</f>
        <v>0</v>
      </c>
      <c r="Z2708" s="148"/>
    </row>
    <row r="2709">
      <c r="A2709" s="148">
        <f>IFERROR(__xludf.DUMMYFUNCTION("""COMPUTED_VALUE"""),1.1119665E7)</f>
        <v>11119665</v>
      </c>
      <c r="B2709" s="148" t="str">
        <f>IFERROR(__xludf.DUMMYFUNCTION("""COMPUTED_VALUE"""),"周年庆2025-联盟累充抽奖道具")</f>
        <v>周年庆2025-联盟累充抽奖道具</v>
      </c>
      <c r="C2709" s="148"/>
      <c r="D2709" s="148" t="str">
        <f>IFERROR(__xludf.DUMMYFUNCTION("""COMPUTED_VALUE"""),"event")</f>
        <v>event</v>
      </c>
      <c r="E2709" s="148">
        <f>IFERROR(__xludf.DUMMYFUNCTION("""COMPUTED_VALUE"""),0.0)</f>
        <v>0</v>
      </c>
      <c r="F2709" s="148">
        <f>IFERROR(__xludf.DUMMYFUNCTION("""COMPUTED_VALUE"""),0.0)</f>
        <v>0</v>
      </c>
      <c r="G2709" s="148">
        <f>IFERROR(__xludf.DUMMYFUNCTION("""COMPUTED_VALUE"""),1.51102391E8)</f>
        <v>151102391</v>
      </c>
      <c r="H2709" s="148">
        <f>IFERROR(__xludf.DUMMYFUNCTION("""COMPUTED_VALUE"""),1.5112563E7)</f>
        <v>15112563</v>
      </c>
      <c r="I2709" s="148" t="str">
        <f>IFERROR(__xludf.DUMMYFUNCTION("""COMPUTED_VALUE"""),"{}")</f>
        <v>{}</v>
      </c>
      <c r="J2709" s="148" t="str">
        <f>IFERROR(__xludf.DUMMYFUNCTION("""COMPUTED_VALUE"""),"{""typ"":""lc"",""txt"":""LC_ITEM_anni3_super_lotto_name_2""}")</f>
        <v>{"typ":"lc","txt":"LC_ITEM_anni3_super_lotto_name_2"}</v>
      </c>
      <c r="K2709" s="148" t="str">
        <f>IFERROR(__xludf.DUMMYFUNCTION("""COMPUTED_VALUE"""),"{""typ"":""lc"",""txt"":""LC_ITEM_anni3_super_lotto_desc_2""}")</f>
        <v>{"typ":"lc","txt":"LC_ITEM_anni3_super_lotto_desc_2"}</v>
      </c>
      <c r="L2709" s="148" t="str">
        <f>IFERROR(__xludf.DUMMYFUNCTION("""COMPUTED_VALUE"""),"{}")</f>
        <v>{}</v>
      </c>
      <c r="M2709" s="148">
        <f>IFERROR(__xludf.DUMMYFUNCTION("""COMPUTED_VALUE"""),700.0)</f>
        <v>700</v>
      </c>
      <c r="N2709" s="148">
        <f>IFERROR(__xludf.DUMMYFUNCTION("""COMPUTED_VALUE"""),9.99999999E8)</f>
        <v>999999999</v>
      </c>
      <c r="O2709" s="148">
        <f>IFERROR(__xludf.DUMMYFUNCTION("""COMPUTED_VALUE"""),9.99999999E8)</f>
        <v>999999999</v>
      </c>
      <c r="P2709" s="148">
        <f>IFERROR(__xludf.DUMMYFUNCTION("""COMPUTED_VALUE"""),9.99999999E8)</f>
        <v>999999999</v>
      </c>
      <c r="Q2709" s="148" t="str">
        <f>IFERROR(__xludf.DUMMYFUNCTION("""COMPUTED_VALUE"""),"[""bag_other""]")</f>
        <v>["bag_other"]</v>
      </c>
      <c r="R2709" s="148" t="str">
        <f>IFERROR(__xludf.DUMMYFUNCTION("""COMPUTED_VALUE"""),"[""bag""]")</f>
        <v>["bag"]</v>
      </c>
      <c r="S2709" s="148" t="str">
        <f>IFERROR(__xludf.DUMMYFUNCTION("""COMPUTED_VALUE"""),"{""effect"":[{""typ"":""event"",""id"":21127473}]}")</f>
        <v>{"effect":[{"typ":"event","id":21127473}]}</v>
      </c>
      <c r="T2709" s="148">
        <f>IFERROR(__xludf.DUMMYFUNCTION("""COMPUTED_VALUE"""),-1.0)</f>
        <v>-1</v>
      </c>
      <c r="U2709" s="148">
        <f>IFERROR(__xludf.DUMMYFUNCTION("""COMPUTED_VALUE"""),0.0)</f>
        <v>0</v>
      </c>
      <c r="V2709" s="148" t="str">
        <f>IFERROR(__xludf.DUMMYFUNCTION("""COMPUTED_VALUE"""),"[]")</f>
        <v>[]</v>
      </c>
      <c r="W2709" s="148">
        <f>IFERROR(__xludf.DUMMYFUNCTION("""COMPUTED_VALUE"""),1.174E7)</f>
        <v>11740000</v>
      </c>
      <c r="X2709" s="148">
        <f>IFERROR(__xludf.DUMMYFUNCTION("""COMPUTED_VALUE"""),0.0)</f>
        <v>0</v>
      </c>
      <c r="Y2709" s="148">
        <f>IFERROR(__xludf.DUMMYFUNCTION("""COMPUTED_VALUE"""),0.0)</f>
        <v>0</v>
      </c>
      <c r="Z2709" s="148"/>
    </row>
    <row r="2710">
      <c r="A2710" s="148">
        <f>IFERROR(__xludf.DUMMYFUNCTION("""COMPUTED_VALUE"""),1.1119666E7)</f>
        <v>11119666</v>
      </c>
      <c r="B2710" s="148" t="str">
        <f>IFERROR(__xludf.DUMMYFUNCTION("""COMPUTED_VALUE"""),"周年庆自选宝箱-活动道具")</f>
        <v>周年庆自选宝箱-活动道具</v>
      </c>
      <c r="C2710" s="148"/>
      <c r="D2710" s="148" t="str">
        <f>IFERROR(__xludf.DUMMYFUNCTION("""COMPUTED_VALUE"""),"item_select_box")</f>
        <v>item_select_box</v>
      </c>
      <c r="E2710" s="148">
        <f>IFERROR(__xludf.DUMMYFUNCTION("""COMPUTED_VALUE"""),19.0)</f>
        <v>19</v>
      </c>
      <c r="F2710" s="148">
        <f>IFERROR(__xludf.DUMMYFUNCTION("""COMPUTED_VALUE"""),403308.0)</f>
        <v>403308</v>
      </c>
      <c r="G2710" s="148">
        <f>IFERROR(__xludf.DUMMYFUNCTION("""COMPUTED_VALUE"""),1.51102392E8)</f>
        <v>151102392</v>
      </c>
      <c r="H2710" s="148">
        <f>IFERROR(__xludf.DUMMYFUNCTION("""COMPUTED_VALUE"""),1.5112564E7)</f>
        <v>15112564</v>
      </c>
      <c r="I2710" s="148" t="str">
        <f>IFERROR(__xludf.DUMMYFUNCTION("""COMPUTED_VALUE"""),"{}")</f>
        <v>{}</v>
      </c>
      <c r="J2710" s="148" t="str">
        <f>IFERROR(__xludf.DUMMYFUNCTION("""COMPUTED_VALUE"""),"{""typ"":""lc"",""txt"":""LC_ITEM_anni3_cbox_name""}")</f>
        <v>{"typ":"lc","txt":"LC_ITEM_anni3_cbox_name"}</v>
      </c>
      <c r="K2710" s="148" t="str">
        <f>IFERROR(__xludf.DUMMYFUNCTION("""COMPUTED_VALUE"""),"{""typ"":""lc"",""txt"":""LC_ITEM_anni3_cbox_desc""}")</f>
        <v>{"typ":"lc","txt":"LC_ITEM_anni3_cbox_desc"}</v>
      </c>
      <c r="L2710" s="148" t="str">
        <f>IFERROR(__xludf.DUMMYFUNCTION("""COMPUTED_VALUE"""),"{}")</f>
        <v>{}</v>
      </c>
      <c r="M2710" s="148">
        <f>IFERROR(__xludf.DUMMYFUNCTION("""COMPUTED_VALUE"""),750.0)</f>
        <v>750</v>
      </c>
      <c r="N2710" s="148">
        <f>IFERROR(__xludf.DUMMYFUNCTION("""COMPUTED_VALUE"""),999999.0)</f>
        <v>999999</v>
      </c>
      <c r="O2710" s="148">
        <f>IFERROR(__xludf.DUMMYFUNCTION("""COMPUTED_VALUE"""),99999.0)</f>
        <v>99999</v>
      </c>
      <c r="P2710" s="148">
        <f>IFERROR(__xludf.DUMMYFUNCTION("""COMPUTED_VALUE"""),99999.0)</f>
        <v>99999</v>
      </c>
      <c r="Q2710" s="148" t="str">
        <f>IFERROR(__xludf.DUMMYFUNCTION("""COMPUTED_VALUE"""),"[""bag_other""]")</f>
        <v>["bag_other"]</v>
      </c>
      <c r="R2710" s="148" t="str">
        <f>IFERROR(__xludf.DUMMYFUNCTION("""COMPUTED_VALUE"""),"[""bag""]")</f>
        <v>["bag"]</v>
      </c>
      <c r="S2710" s="148" t="str">
        <f>IFERROR(__xludf.DUMMYFUNCTION("""COMPUTED_VALUE"""),"{""select_box"":[{""typ"":""item"",""id"":11112649,""val"":1},{""typ"":""item"",""id"":11112652,""val"":2},{""typ"":""item"",""id"":11119677,""val"":4},{""typ"":""item"",""id"":11119678,""val"":4}]}")</f>
        <v>{"select_box":[{"typ":"item","id":11112649,"val":1},{"typ":"item","id":11112652,"val":2},{"typ":"item","id":11119677,"val":4},{"typ":"item","id":11119678,"val":4}]}</v>
      </c>
      <c r="T2710" s="148">
        <f>IFERROR(__xludf.DUMMYFUNCTION("""COMPUTED_VALUE"""),-1.0)</f>
        <v>-1</v>
      </c>
      <c r="U2710" s="148">
        <f>IFERROR(__xludf.DUMMYFUNCTION("""COMPUTED_VALUE"""),0.0)</f>
        <v>0</v>
      </c>
      <c r="V2710" s="148" t="str">
        <f>IFERROR(__xludf.DUMMYFUNCTION("""COMPUTED_VALUE"""),"[]")</f>
        <v>[]</v>
      </c>
      <c r="W2710" s="148">
        <f>IFERROR(__xludf.DUMMYFUNCTION("""COMPUTED_VALUE"""),1.174E7)</f>
        <v>11740000</v>
      </c>
      <c r="X2710" s="148">
        <f>IFERROR(__xludf.DUMMYFUNCTION("""COMPUTED_VALUE"""),0.0)</f>
        <v>0</v>
      </c>
      <c r="Y2710" s="148">
        <f>IFERROR(__xludf.DUMMYFUNCTION("""COMPUTED_VALUE"""),0.0)</f>
        <v>0</v>
      </c>
      <c r="Z2710" s="148"/>
    </row>
    <row r="2711">
      <c r="A2711" s="148">
        <f>IFERROR(__xludf.DUMMYFUNCTION("""COMPUTED_VALUE"""),1.1119667E7)</f>
        <v>11119667</v>
      </c>
      <c r="B2711" s="148" t="str">
        <f>IFERROR(__xludf.DUMMYFUNCTION("""COMPUTED_VALUE"""),"周年庆蛋糕-限时抢购-行军特效自选宝箱-20$")</f>
        <v>周年庆蛋糕-限时抢购-行军特效自选宝箱-20$</v>
      </c>
      <c r="C2711" s="148"/>
      <c r="D2711" s="148" t="str">
        <f>IFERROR(__xludf.DUMMYFUNCTION("""COMPUTED_VALUE"""),"item_select_box")</f>
        <v>item_select_box</v>
      </c>
      <c r="E2711" s="148">
        <f>IFERROR(__xludf.DUMMYFUNCTION("""COMPUTED_VALUE"""),19.0)</f>
        <v>19</v>
      </c>
      <c r="F2711" s="148">
        <f>IFERROR(__xludf.DUMMYFUNCTION("""COMPUTED_VALUE"""),403308.0)</f>
        <v>403308</v>
      </c>
      <c r="G2711" s="148">
        <f>IFERROR(__xludf.DUMMYFUNCTION("""COMPUTED_VALUE"""),1.51102393E8)</f>
        <v>151102393</v>
      </c>
      <c r="H2711" s="148">
        <f>IFERROR(__xludf.DUMMYFUNCTION("""COMPUTED_VALUE"""),1.5112563E7)</f>
        <v>15112563</v>
      </c>
      <c r="I2711" s="148" t="str">
        <f>IFERROR(__xludf.DUMMYFUNCTION("""COMPUTED_VALUE"""),"{}")</f>
        <v>{}</v>
      </c>
      <c r="J2711" s="148" t="str">
        <f>IFERROR(__xludf.DUMMYFUNCTION("""COMPUTED_VALUE"""),"{""typ"":""lc"",""txt"":""LC_ITEM_anni3_select_box_name_1""}")</f>
        <v>{"typ":"lc","txt":"LC_ITEM_anni3_select_box_name_1"}</v>
      </c>
      <c r="K2711" s="148" t="str">
        <f>IFERROR(__xludf.DUMMYFUNCTION("""COMPUTED_VALUE"""),"{""typ"":""lc"",""txt"":""LC_ITEM_anni3_select_box_desc_1""}")</f>
        <v>{"typ":"lc","txt":"LC_ITEM_anni3_select_box_desc_1"}</v>
      </c>
      <c r="L2711" s="148" t="str">
        <f>IFERROR(__xludf.DUMMYFUNCTION("""COMPUTED_VALUE"""),"{}")</f>
        <v>{}</v>
      </c>
      <c r="M2711" s="148">
        <f>IFERROR(__xludf.DUMMYFUNCTION("""COMPUTED_VALUE"""),100.0)</f>
        <v>100</v>
      </c>
      <c r="N2711" s="148">
        <f>IFERROR(__xludf.DUMMYFUNCTION("""COMPUTED_VALUE"""),9.99999999E8)</f>
        <v>999999999</v>
      </c>
      <c r="O2711" s="148">
        <f>IFERROR(__xludf.DUMMYFUNCTION("""COMPUTED_VALUE"""),9.99999999E8)</f>
        <v>999999999</v>
      </c>
      <c r="P2711" s="148">
        <f>IFERROR(__xludf.DUMMYFUNCTION("""COMPUTED_VALUE"""),9.99999999E8)</f>
        <v>999999999</v>
      </c>
      <c r="Q2711" s="148" t="str">
        <f>IFERROR(__xludf.DUMMYFUNCTION("""COMPUTED_VALUE"""),"[""bag_other""]")</f>
        <v>["bag_other"]</v>
      </c>
      <c r="R2711" s="148" t="str">
        <f>IFERROR(__xludf.DUMMYFUNCTION("""COMPUTED_VALUE"""),"[""bag""]")</f>
        <v>["bag"]</v>
      </c>
      <c r="S2711" s="148" t="str">
        <f>IFERROR(__xludf.DUMMYFUNCTION("""COMPUTED_VALUE"""),"{""select_box"":[{""typ"":""item"",""id"":11117275,""val"":1},{""typ"":""item"",""id"":11117328,""val"":1},{""typ"":""item"",""id"":11119081,""val"":60},{""typ"":""item"",""id"":11119082,""val"":10},{""typ"":""item"",""id"":11116304,""val"":10}]}")</f>
        <v>{"select_box":[{"typ":"item","id":11117275,"val":1},{"typ":"item","id":11117328,"val":1},{"typ":"item","id":11119081,"val":60},{"typ":"item","id":11119082,"val":10},{"typ":"item","id":11116304,"val":10}]}</v>
      </c>
      <c r="T2711" s="148">
        <f>IFERROR(__xludf.DUMMYFUNCTION("""COMPUTED_VALUE"""),-1.0)</f>
        <v>-1</v>
      </c>
      <c r="U2711" s="148">
        <f>IFERROR(__xludf.DUMMYFUNCTION("""COMPUTED_VALUE"""),0.0)</f>
        <v>0</v>
      </c>
      <c r="V2711" s="148" t="str">
        <f>IFERROR(__xludf.DUMMYFUNCTION("""COMPUTED_VALUE"""),"[]")</f>
        <v>[]</v>
      </c>
      <c r="W2711" s="148">
        <f>IFERROR(__xludf.DUMMYFUNCTION("""COMPUTED_VALUE"""),1.1741004E7)</f>
        <v>11741004</v>
      </c>
      <c r="X2711" s="148">
        <f>IFERROR(__xludf.DUMMYFUNCTION("""COMPUTED_VALUE"""),0.0)</f>
        <v>0</v>
      </c>
      <c r="Y2711" s="148">
        <f>IFERROR(__xludf.DUMMYFUNCTION("""COMPUTED_VALUE"""),0.0)</f>
        <v>0</v>
      </c>
      <c r="Z2711" s="148"/>
    </row>
    <row r="2712">
      <c r="A2712" s="148">
        <f>IFERROR(__xludf.DUMMYFUNCTION("""COMPUTED_VALUE"""),1.1119668E7)</f>
        <v>11119668</v>
      </c>
      <c r="B2712" s="148" t="str">
        <f>IFERROR(__xludf.DUMMYFUNCTION("""COMPUTED_VALUE"""),"2025周年庆-部队光环-永久")</f>
        <v>2025周年庆-部队光环-永久</v>
      </c>
      <c r="C2712" s="148"/>
      <c r="D2712" s="148" t="str">
        <f>IFERROR(__xludf.DUMMYFUNCTION("""COMPUTED_VALUE"""),"marching_effect_decoration")</f>
        <v>marching_effect_decoration</v>
      </c>
      <c r="E2712" s="148">
        <f>IFERROR(__xludf.DUMMYFUNCTION("""COMPUTED_VALUE"""),0.0)</f>
        <v>0</v>
      </c>
      <c r="F2712" s="148">
        <f>IFERROR(__xludf.DUMMYFUNCTION("""COMPUTED_VALUE"""),499997.0)</f>
        <v>499997</v>
      </c>
      <c r="G2712" s="148">
        <f>IFERROR(__xludf.DUMMYFUNCTION("""COMPUTED_VALUE"""),1.51102464E8)</f>
        <v>151102464</v>
      </c>
      <c r="H2712" s="148">
        <f>IFERROR(__xludf.DUMMYFUNCTION("""COMPUTED_VALUE"""),1.5115983E7)</f>
        <v>15115983</v>
      </c>
      <c r="I2712" s="148" t="str">
        <f>IFERROR(__xludf.DUMMYFUNCTION("""COMPUTED_VALUE"""),"{}")</f>
        <v>{}</v>
      </c>
      <c r="J2712" s="148" t="str">
        <f>IFERROR(__xludf.DUMMYFUNCTION("""COMPUTED_VALUE"""),"{""typ"":""lc"",""txt"":""LC_ITEM_13900001_name""}")</f>
        <v>{"typ":"lc","txt":"LC_ITEM_13900001_name"}</v>
      </c>
      <c r="K2712" s="148" t="str">
        <f>IFERROR(__xludf.DUMMYFUNCTION("""COMPUTED_VALUE"""),"{""typ"":""lc"",""txt"":""LC_ITEM_13900001_desc""}")</f>
        <v>{"typ":"lc","txt":"LC_ITEM_13900001_desc"}</v>
      </c>
      <c r="L2712" s="148" t="str">
        <f>IFERROR(__xludf.DUMMYFUNCTION("""COMPUTED_VALUE"""),"{""typ"":""lc"",""txt"":""LC_ASSET_suit_actived_tips_1""}")</f>
        <v>{"typ":"lc","txt":"LC_ASSET_suit_actived_tips_1"}</v>
      </c>
      <c r="M2712" s="148">
        <f>IFERROR(__xludf.DUMMYFUNCTION("""COMPUTED_VALUE"""),10000.0)</f>
        <v>10000</v>
      </c>
      <c r="N2712" s="148">
        <f>IFERROR(__xludf.DUMMYFUNCTION("""COMPUTED_VALUE"""),999999.0)</f>
        <v>999999</v>
      </c>
      <c r="O2712" s="148">
        <f>IFERROR(__xludf.DUMMYFUNCTION("""COMPUTED_VALUE"""),99999.0)</f>
        <v>99999</v>
      </c>
      <c r="P2712" s="148">
        <f>IFERROR(__xludf.DUMMYFUNCTION("""COMPUTED_VALUE"""),1.0)</f>
        <v>1</v>
      </c>
      <c r="Q2712" s="148" t="str">
        <f>IFERROR(__xludf.DUMMYFUNCTION("""COMPUTED_VALUE"""),"[""bag_other""]")</f>
        <v>["bag_other"]</v>
      </c>
      <c r="R2712" s="148" t="str">
        <f>IFERROR(__xludf.DUMMYFUNCTION("""COMPUTED_VALUE"""),"[""bag"",""13900001""]")</f>
        <v>["bag","13900001"]</v>
      </c>
      <c r="S2712" s="148" t="str">
        <f>IFERROR(__xludf.DUMMYFUNCTION("""COMPUTED_VALUE"""),"{""effect"":[{""typ"":""marching_effect_decoration"",""id"":13900001,""val"":-1},{""typ"":""vm"",""id"":11151001,""val"":2500}]}")</f>
        <v>{"effect":[{"typ":"marching_effect_decoration","id":13900001,"val":-1},{"typ":"vm","id":11151001,"val":2500}]}</v>
      </c>
      <c r="T2712" s="148">
        <f>IFERROR(__xludf.DUMMYFUNCTION("""COMPUTED_VALUE"""),-1.0)</f>
        <v>-1</v>
      </c>
      <c r="U2712" s="148">
        <f>IFERROR(__xludf.DUMMYFUNCTION("""COMPUTED_VALUE"""),0.0)</f>
        <v>0</v>
      </c>
      <c r="V2712" s="148" t="str">
        <f>IFERROR(__xludf.DUMMYFUNCTION("""COMPUTED_VALUE"""),"[]")</f>
        <v>[]</v>
      </c>
      <c r="W2712" s="148">
        <f>IFERROR(__xludf.DUMMYFUNCTION("""COMPUTED_VALUE"""),1.174E7)</f>
        <v>11740000</v>
      </c>
      <c r="X2712" s="148">
        <f>IFERROR(__xludf.DUMMYFUNCTION("""COMPUTED_VALUE"""),0.0)</f>
        <v>0</v>
      </c>
      <c r="Y2712" s="148">
        <f>IFERROR(__xludf.DUMMYFUNCTION("""COMPUTED_VALUE"""),0.0)</f>
        <v>0</v>
      </c>
      <c r="Z2712" s="148"/>
    </row>
    <row r="2713">
      <c r="A2713" s="148">
        <f>IFERROR(__xludf.DUMMYFUNCTION("""COMPUTED_VALUE"""),1.1119669E7)</f>
        <v>11119669</v>
      </c>
      <c r="B2713" s="148" t="str">
        <f>IFERROR(__xludf.DUMMYFUNCTION("""COMPUTED_VALUE"""),"2025周年庆-尾部装饰-永久")</f>
        <v>2025周年庆-尾部装饰-永久</v>
      </c>
      <c r="C2713" s="148"/>
      <c r="D2713" s="148" t="str">
        <f>IFERROR(__xludf.DUMMYFUNCTION("""COMPUTED_VALUE"""),"marching_effect_decoration")</f>
        <v>marching_effect_decoration</v>
      </c>
      <c r="E2713" s="148">
        <f>IFERROR(__xludf.DUMMYFUNCTION("""COMPUTED_VALUE"""),0.0)</f>
        <v>0</v>
      </c>
      <c r="F2713" s="148">
        <f>IFERROR(__xludf.DUMMYFUNCTION("""COMPUTED_VALUE"""),499998.0)</f>
        <v>499998</v>
      </c>
      <c r="G2713" s="148">
        <f>IFERROR(__xludf.DUMMYFUNCTION("""COMPUTED_VALUE"""),1.51102465E8)</f>
        <v>151102465</v>
      </c>
      <c r="H2713" s="148">
        <f>IFERROR(__xludf.DUMMYFUNCTION("""COMPUTED_VALUE"""),1.5115983E7)</f>
        <v>15115983</v>
      </c>
      <c r="I2713" s="148" t="str">
        <f>IFERROR(__xludf.DUMMYFUNCTION("""COMPUTED_VALUE"""),"{}")</f>
        <v>{}</v>
      </c>
      <c r="J2713" s="148" t="str">
        <f>IFERROR(__xludf.DUMMYFUNCTION("""COMPUTED_VALUE"""),"{""typ"":""lc"",""txt"":""LC_ITEM_13900002_name""}")</f>
        <v>{"typ":"lc","txt":"LC_ITEM_13900002_name"}</v>
      </c>
      <c r="K2713" s="148" t="str">
        <f>IFERROR(__xludf.DUMMYFUNCTION("""COMPUTED_VALUE"""),"{""typ"":""lc"",""txt"":""LC_ITEM_13900002_desc""}")</f>
        <v>{"typ":"lc","txt":"LC_ITEM_13900002_desc"}</v>
      </c>
      <c r="L2713" s="148" t="str">
        <f>IFERROR(__xludf.DUMMYFUNCTION("""COMPUTED_VALUE"""),"{""typ"":""lc"",""txt"":""LC_ASSET_suit_actived_tips_1""}")</f>
        <v>{"typ":"lc","txt":"LC_ASSET_suit_actived_tips_1"}</v>
      </c>
      <c r="M2713" s="148">
        <f>IFERROR(__xludf.DUMMYFUNCTION("""COMPUTED_VALUE"""),10000.0)</f>
        <v>10000</v>
      </c>
      <c r="N2713" s="148">
        <f>IFERROR(__xludf.DUMMYFUNCTION("""COMPUTED_VALUE"""),999999.0)</f>
        <v>999999</v>
      </c>
      <c r="O2713" s="148">
        <f>IFERROR(__xludf.DUMMYFUNCTION("""COMPUTED_VALUE"""),99999.0)</f>
        <v>99999</v>
      </c>
      <c r="P2713" s="148">
        <f>IFERROR(__xludf.DUMMYFUNCTION("""COMPUTED_VALUE"""),1.0)</f>
        <v>1</v>
      </c>
      <c r="Q2713" s="148" t="str">
        <f>IFERROR(__xludf.DUMMYFUNCTION("""COMPUTED_VALUE"""),"[""bag_other""]")</f>
        <v>["bag_other"]</v>
      </c>
      <c r="R2713" s="148" t="str">
        <f>IFERROR(__xludf.DUMMYFUNCTION("""COMPUTED_VALUE"""),"[""bag"",""13900002""]")</f>
        <v>["bag","13900002"]</v>
      </c>
      <c r="S2713" s="148" t="str">
        <f>IFERROR(__xludf.DUMMYFUNCTION("""COMPUTED_VALUE"""),"{""effect"":[{""typ"":""marching_effect_decoration"",""id"":13900002,""val"":-1},{""typ"":""vm"",""id"":11151001,""val"":2500}]}")</f>
        <v>{"effect":[{"typ":"marching_effect_decoration","id":13900002,"val":-1},{"typ":"vm","id":11151001,"val":2500}]}</v>
      </c>
      <c r="T2713" s="148">
        <f>IFERROR(__xludf.DUMMYFUNCTION("""COMPUTED_VALUE"""),-1.0)</f>
        <v>-1</v>
      </c>
      <c r="U2713" s="148">
        <f>IFERROR(__xludf.DUMMYFUNCTION("""COMPUTED_VALUE"""),0.0)</f>
        <v>0</v>
      </c>
      <c r="V2713" s="148" t="str">
        <f>IFERROR(__xludf.DUMMYFUNCTION("""COMPUTED_VALUE"""),"[]")</f>
        <v>[]</v>
      </c>
      <c r="W2713" s="148">
        <f>IFERROR(__xludf.DUMMYFUNCTION("""COMPUTED_VALUE"""),1.174E7)</f>
        <v>11740000</v>
      </c>
      <c r="X2713" s="148">
        <f>IFERROR(__xludf.DUMMYFUNCTION("""COMPUTED_VALUE"""),0.0)</f>
        <v>0</v>
      </c>
      <c r="Y2713" s="148">
        <f>IFERROR(__xludf.DUMMYFUNCTION("""COMPUTED_VALUE"""),0.0)</f>
        <v>0</v>
      </c>
      <c r="Z2713" s="148"/>
    </row>
    <row r="2714">
      <c r="A2714" s="148">
        <f>IFERROR(__xludf.DUMMYFUNCTION("""COMPUTED_VALUE"""),1.111967E7)</f>
        <v>11119670</v>
      </c>
      <c r="B2714" s="148" t="str">
        <f>IFERROR(__xludf.DUMMYFUNCTION("""COMPUTED_VALUE"""),"2025周年庆-头顶特效-永久")</f>
        <v>2025周年庆-头顶特效-永久</v>
      </c>
      <c r="C2714" s="148"/>
      <c r="D2714" s="148" t="str">
        <f>IFERROR(__xludf.DUMMYFUNCTION("""COMPUTED_VALUE"""),"marching_effect_decoration")</f>
        <v>marching_effect_decoration</v>
      </c>
      <c r="E2714" s="148">
        <f>IFERROR(__xludf.DUMMYFUNCTION("""COMPUTED_VALUE"""),0.0)</f>
        <v>0</v>
      </c>
      <c r="F2714" s="148">
        <f>IFERROR(__xludf.DUMMYFUNCTION("""COMPUTED_VALUE"""),499999.0)</f>
        <v>499999</v>
      </c>
      <c r="G2714" s="148">
        <f>IFERROR(__xludf.DUMMYFUNCTION("""COMPUTED_VALUE"""),1.51102466E8)</f>
        <v>151102466</v>
      </c>
      <c r="H2714" s="148">
        <f>IFERROR(__xludf.DUMMYFUNCTION("""COMPUTED_VALUE"""),1.51101093E8)</f>
        <v>151101093</v>
      </c>
      <c r="I2714" s="148" t="str">
        <f>IFERROR(__xludf.DUMMYFUNCTION("""COMPUTED_VALUE"""),"{}")</f>
        <v>{}</v>
      </c>
      <c r="J2714" s="148" t="str">
        <f>IFERROR(__xludf.DUMMYFUNCTION("""COMPUTED_VALUE"""),"{""typ"":""lc"",""txt"":""LC_ITEM_13900003_name""}")</f>
        <v>{"typ":"lc","txt":"LC_ITEM_13900003_name"}</v>
      </c>
      <c r="K2714" s="148" t="str">
        <f>IFERROR(__xludf.DUMMYFUNCTION("""COMPUTED_VALUE"""),"{""typ"":""lc"",""txt"":""LC_ITEM_13900003_desc""}")</f>
        <v>{"typ":"lc","txt":"LC_ITEM_13900003_desc"}</v>
      </c>
      <c r="L2714" s="148" t="str">
        <f>IFERROR(__xludf.DUMMYFUNCTION("""COMPUTED_VALUE"""),"{""typ"":""lc"",""txt"":""LC_ASSET_suit_actived_tips_1""}")</f>
        <v>{"typ":"lc","txt":"LC_ASSET_suit_actived_tips_1"}</v>
      </c>
      <c r="M2714" s="148">
        <f>IFERROR(__xludf.DUMMYFUNCTION("""COMPUTED_VALUE"""),10000.0)</f>
        <v>10000</v>
      </c>
      <c r="N2714" s="148">
        <f>IFERROR(__xludf.DUMMYFUNCTION("""COMPUTED_VALUE"""),999999.0)</f>
        <v>999999</v>
      </c>
      <c r="O2714" s="148">
        <f>IFERROR(__xludf.DUMMYFUNCTION("""COMPUTED_VALUE"""),99999.0)</f>
        <v>99999</v>
      </c>
      <c r="P2714" s="148">
        <f>IFERROR(__xludf.DUMMYFUNCTION("""COMPUTED_VALUE"""),1.0)</f>
        <v>1</v>
      </c>
      <c r="Q2714" s="148" t="str">
        <f>IFERROR(__xludf.DUMMYFUNCTION("""COMPUTED_VALUE"""),"[""bag_other""]")</f>
        <v>["bag_other"]</v>
      </c>
      <c r="R2714" s="148" t="str">
        <f>IFERROR(__xludf.DUMMYFUNCTION("""COMPUTED_VALUE"""),"[""bag"",""13900003""]")</f>
        <v>["bag","13900003"]</v>
      </c>
      <c r="S2714" s="148" t="str">
        <f>IFERROR(__xludf.DUMMYFUNCTION("""COMPUTED_VALUE"""),"{""effect"":[{""typ"":""marching_effect_decoration"",""id"":13900003,""val"":-1},{""typ"":""vm"",""id"":11151001,""val"":5000}]}")</f>
        <v>{"effect":[{"typ":"marching_effect_decoration","id":13900003,"val":-1},{"typ":"vm","id":11151001,"val":5000}]}</v>
      </c>
      <c r="T2714" s="148">
        <f>IFERROR(__xludf.DUMMYFUNCTION("""COMPUTED_VALUE"""),-1.0)</f>
        <v>-1</v>
      </c>
      <c r="U2714" s="148">
        <f>IFERROR(__xludf.DUMMYFUNCTION("""COMPUTED_VALUE"""),0.0)</f>
        <v>0</v>
      </c>
      <c r="V2714" s="148" t="str">
        <f>IFERROR(__xludf.DUMMYFUNCTION("""COMPUTED_VALUE"""),"[]")</f>
        <v>[]</v>
      </c>
      <c r="W2714" s="148">
        <f>IFERROR(__xludf.DUMMYFUNCTION("""COMPUTED_VALUE"""),1.174E7)</f>
        <v>11740000</v>
      </c>
      <c r="X2714" s="148">
        <f>IFERROR(__xludf.DUMMYFUNCTION("""COMPUTED_VALUE"""),0.0)</f>
        <v>0</v>
      </c>
      <c r="Y2714" s="148">
        <f>IFERROR(__xludf.DUMMYFUNCTION("""COMPUTED_VALUE"""),0.0)</f>
        <v>0</v>
      </c>
      <c r="Z2714" s="148"/>
    </row>
    <row r="2715">
      <c r="A2715" s="148">
        <f>IFERROR(__xludf.DUMMYFUNCTION("""COMPUTED_VALUE"""),1.1119671E7)</f>
        <v>11119671</v>
      </c>
      <c r="B2715" s="148" t="str">
        <f>IFERROR(__xludf.DUMMYFUNCTION("""COMPUTED_VALUE"""),"2025周年庆行军特效-主体-1天限时")</f>
        <v>2025周年庆行军特效-主体-1天限时</v>
      </c>
      <c r="C2715" s="148"/>
      <c r="D2715" s="148" t="str">
        <f>IFERROR(__xludf.DUMMYFUNCTION("""COMPUTED_VALUE"""),"marching_effect")</f>
        <v>marching_effect</v>
      </c>
      <c r="E2715" s="148">
        <f>IFERROR(__xludf.DUMMYFUNCTION("""COMPUTED_VALUE"""),0.0)</f>
        <v>0</v>
      </c>
      <c r="F2715" s="148">
        <f>IFERROR(__xludf.DUMMYFUNCTION("""COMPUTED_VALUE"""),408200.0)</f>
        <v>408200</v>
      </c>
      <c r="G2715" s="148">
        <f>IFERROR(__xludf.DUMMYFUNCTION("""COMPUTED_VALUE"""),1.51102463E8)</f>
        <v>151102463</v>
      </c>
      <c r="H2715" s="148">
        <f>IFERROR(__xludf.DUMMYFUNCTION("""COMPUTED_VALUE"""),1.511256E7)</f>
        <v>15112560</v>
      </c>
      <c r="I2715" s="148" t="str">
        <f>IFERROR(__xludf.DUMMYFUNCTION("""COMPUTED_VALUE"""),"{""typ"":""lc"",""txt"":""LC_ITEM_time_day_upper_show"",""args"":[{""typ"":""int_unit"",""val"":1}]}")</f>
        <v>{"typ":"lc","txt":"LC_ITEM_time_day_upper_show","args":[{"typ":"int_unit","val":1}]}</v>
      </c>
      <c r="J2715" s="148" t="str">
        <f>IFERROR(__xludf.DUMMYFUNCTION("""COMPUTED_VALUE"""),"{""typ"":""lc"",""txt"":""LC_ITEM_3rd_marcheffect_high_2025_name_1""}")</f>
        <v>{"typ":"lc","txt":"LC_ITEM_3rd_marcheffect_high_2025_name_1"}</v>
      </c>
      <c r="K2715" s="148" t="str">
        <f>IFERROR(__xludf.DUMMYFUNCTION("""COMPUTED_VALUE"""),"{""typ"":""lc"",""txt"":""LC_ITEM_3rd_marcheffect_high_2025_desc""}")</f>
        <v>{"typ":"lc","txt":"LC_ITEM_3rd_marcheffect_high_2025_desc"}</v>
      </c>
      <c r="L2715" s="148" t="str">
        <f>IFERROR(__xludf.DUMMYFUNCTION("""COMPUTED_VALUE"""),"{""typ"":""lc"",""txt"":""LC_ITEM_march_effect_use_tip_all""}")</f>
        <v>{"typ":"lc","txt":"LC_ITEM_march_effect_use_tip_all"}</v>
      </c>
      <c r="M2715" s="148">
        <f>IFERROR(__xludf.DUMMYFUNCTION("""COMPUTED_VALUE"""),50.0)</f>
        <v>50</v>
      </c>
      <c r="N2715" s="148">
        <f>IFERROR(__xludf.DUMMYFUNCTION("""COMPUTED_VALUE"""),999999.0)</f>
        <v>999999</v>
      </c>
      <c r="O2715" s="148">
        <f>IFERROR(__xludf.DUMMYFUNCTION("""COMPUTED_VALUE"""),99999.0)</f>
        <v>99999</v>
      </c>
      <c r="P2715" s="148">
        <f>IFERROR(__xludf.DUMMYFUNCTION("""COMPUTED_VALUE"""),1.0)</f>
        <v>1</v>
      </c>
      <c r="Q2715" s="148" t="str">
        <f>IFERROR(__xludf.DUMMYFUNCTION("""COMPUTED_VALUE"""),"[""bag_other""]")</f>
        <v>["bag_other"]</v>
      </c>
      <c r="R2715" s="148" t="str">
        <f>IFERROR(__xludf.DUMMYFUNCTION("""COMPUTED_VALUE"""),"[""bag"",""13650139""]")</f>
        <v>["bag","13650139"]</v>
      </c>
      <c r="S2715" s="148" t="str">
        <f>IFERROR(__xludf.DUMMYFUNCTION("""COMPUTED_VALUE"""),"{""effect"":[{""typ"":""marching_effect"",""id"":13650139,""val"":86400000},{""typ"":""vm"",""id"":11151001,""val"":50}]}")</f>
        <v>{"effect":[{"typ":"marching_effect","id":13650139,"val":86400000},{"typ":"vm","id":11151001,"val":50}]}</v>
      </c>
      <c r="T2715" s="148">
        <f>IFERROR(__xludf.DUMMYFUNCTION("""COMPUTED_VALUE"""),-1.0)</f>
        <v>-1</v>
      </c>
      <c r="U2715" s="148">
        <f>IFERROR(__xludf.DUMMYFUNCTION("""COMPUTED_VALUE"""),0.0)</f>
        <v>0</v>
      </c>
      <c r="V2715" s="148" t="str">
        <f>IFERROR(__xludf.DUMMYFUNCTION("""COMPUTED_VALUE"""),"[]")</f>
        <v>[]</v>
      </c>
      <c r="W2715" s="148">
        <f>IFERROR(__xludf.DUMMYFUNCTION("""COMPUTED_VALUE"""),1.174E7)</f>
        <v>11740000</v>
      </c>
      <c r="X2715" s="148">
        <f>IFERROR(__xludf.DUMMYFUNCTION("""COMPUTED_VALUE"""),0.0)</f>
        <v>0</v>
      </c>
      <c r="Y2715" s="148">
        <f>IFERROR(__xludf.DUMMYFUNCTION("""COMPUTED_VALUE"""),0.0)</f>
        <v>0</v>
      </c>
      <c r="Z2715" s="148"/>
    </row>
    <row r="2716">
      <c r="A2716" s="148">
        <f>IFERROR(__xludf.DUMMYFUNCTION("""COMPUTED_VALUE"""),1.1119672E7)</f>
        <v>11119672</v>
      </c>
      <c r="B2716" s="148" t="str">
        <f>IFERROR(__xludf.DUMMYFUNCTION("""COMPUTED_VALUE"""),"2025周年庆行军特效-主体-3天限时")</f>
        <v>2025周年庆行军特效-主体-3天限时</v>
      </c>
      <c r="C2716" s="148"/>
      <c r="D2716" s="148" t="str">
        <f>IFERROR(__xludf.DUMMYFUNCTION("""COMPUTED_VALUE"""),"marching_effect")</f>
        <v>marching_effect</v>
      </c>
      <c r="E2716" s="148">
        <f>IFERROR(__xludf.DUMMYFUNCTION("""COMPUTED_VALUE"""),0.0)</f>
        <v>0</v>
      </c>
      <c r="F2716" s="148">
        <f>IFERROR(__xludf.DUMMYFUNCTION("""COMPUTED_VALUE"""),408199.0)</f>
        <v>408199</v>
      </c>
      <c r="G2716" s="148">
        <f>IFERROR(__xludf.DUMMYFUNCTION("""COMPUTED_VALUE"""),1.51102463E8)</f>
        <v>151102463</v>
      </c>
      <c r="H2716" s="148">
        <f>IFERROR(__xludf.DUMMYFUNCTION("""COMPUTED_VALUE"""),1.5112561E7)</f>
        <v>15112561</v>
      </c>
      <c r="I2716" s="148" t="str">
        <f>IFERROR(__xludf.DUMMYFUNCTION("""COMPUTED_VALUE"""),"{""typ"":""lc"",""txt"":""LC_ITEM_time_day_upper_show"",""args"":[{""typ"":""int_unit"",""val"":3}]}")</f>
        <v>{"typ":"lc","txt":"LC_ITEM_time_day_upper_show","args":[{"typ":"int_unit","val":3}]}</v>
      </c>
      <c r="J2716" s="148" t="str">
        <f>IFERROR(__xludf.DUMMYFUNCTION("""COMPUTED_VALUE"""),"{""typ"":""lc"",""txt"":""LC_ITEM_3rd_marcheffect_high_2025_name_3""}")</f>
        <v>{"typ":"lc","txt":"LC_ITEM_3rd_marcheffect_high_2025_name_3"}</v>
      </c>
      <c r="K2716" s="148" t="str">
        <f>IFERROR(__xludf.DUMMYFUNCTION("""COMPUTED_VALUE"""),"{""typ"":""lc"",""txt"":""LC_ITEM_3rd_marcheffect_high_2025_desc""}")</f>
        <v>{"typ":"lc","txt":"LC_ITEM_3rd_marcheffect_high_2025_desc"}</v>
      </c>
      <c r="L2716" s="148" t="str">
        <f>IFERROR(__xludf.DUMMYFUNCTION("""COMPUTED_VALUE"""),"{""typ"":""lc"",""txt"":""LC_ITEM_march_effect_use_tip_all""}")</f>
        <v>{"typ":"lc","txt":"LC_ITEM_march_effect_use_tip_all"}</v>
      </c>
      <c r="M2716" s="148">
        <f>IFERROR(__xludf.DUMMYFUNCTION("""COMPUTED_VALUE"""),200.0)</f>
        <v>200</v>
      </c>
      <c r="N2716" s="148">
        <f>IFERROR(__xludf.DUMMYFUNCTION("""COMPUTED_VALUE"""),999999.0)</f>
        <v>999999</v>
      </c>
      <c r="O2716" s="148">
        <f>IFERROR(__xludf.DUMMYFUNCTION("""COMPUTED_VALUE"""),99999.0)</f>
        <v>99999</v>
      </c>
      <c r="P2716" s="148">
        <f>IFERROR(__xludf.DUMMYFUNCTION("""COMPUTED_VALUE"""),1.0)</f>
        <v>1</v>
      </c>
      <c r="Q2716" s="148" t="str">
        <f>IFERROR(__xludf.DUMMYFUNCTION("""COMPUTED_VALUE"""),"[""bag_other""]")</f>
        <v>["bag_other"]</v>
      </c>
      <c r="R2716" s="148" t="str">
        <f>IFERROR(__xludf.DUMMYFUNCTION("""COMPUTED_VALUE"""),"[""bag"",""13650139""]")</f>
        <v>["bag","13650139"]</v>
      </c>
      <c r="S2716" s="148" t="str">
        <f>IFERROR(__xludf.DUMMYFUNCTION("""COMPUTED_VALUE"""),"{""effect"":[{""typ"":""marching_effect"",""id"":13650139,""val"":259200000},{""typ"":""vm"",""id"":11151001,""val"":200}]}")</f>
        <v>{"effect":[{"typ":"marching_effect","id":13650139,"val":259200000},{"typ":"vm","id":11151001,"val":200}]}</v>
      </c>
      <c r="T2716" s="148">
        <f>IFERROR(__xludf.DUMMYFUNCTION("""COMPUTED_VALUE"""),-1.0)</f>
        <v>-1</v>
      </c>
      <c r="U2716" s="148">
        <f>IFERROR(__xludf.DUMMYFUNCTION("""COMPUTED_VALUE"""),0.0)</f>
        <v>0</v>
      </c>
      <c r="V2716" s="148" t="str">
        <f>IFERROR(__xludf.DUMMYFUNCTION("""COMPUTED_VALUE"""),"[]")</f>
        <v>[]</v>
      </c>
      <c r="W2716" s="148">
        <f>IFERROR(__xludf.DUMMYFUNCTION("""COMPUTED_VALUE"""),1.174E7)</f>
        <v>11740000</v>
      </c>
      <c r="X2716" s="148">
        <f>IFERROR(__xludf.DUMMYFUNCTION("""COMPUTED_VALUE"""),0.0)</f>
        <v>0</v>
      </c>
      <c r="Y2716" s="148">
        <f>IFERROR(__xludf.DUMMYFUNCTION("""COMPUTED_VALUE"""),0.0)</f>
        <v>0</v>
      </c>
      <c r="Z2716" s="148"/>
    </row>
    <row r="2717">
      <c r="A2717" s="148">
        <f>IFERROR(__xludf.DUMMYFUNCTION("""COMPUTED_VALUE"""),1.1119673E7)</f>
        <v>11119673</v>
      </c>
      <c r="B2717" s="148" t="str">
        <f>IFERROR(__xludf.DUMMYFUNCTION("""COMPUTED_VALUE"""),"2025周年庆行军特效-主体-7天限时")</f>
        <v>2025周年庆行军特效-主体-7天限时</v>
      </c>
      <c r="C2717" s="148"/>
      <c r="D2717" s="148" t="str">
        <f>IFERROR(__xludf.DUMMYFUNCTION("""COMPUTED_VALUE"""),"marching_effect")</f>
        <v>marching_effect</v>
      </c>
      <c r="E2717" s="148">
        <f>IFERROR(__xludf.DUMMYFUNCTION("""COMPUTED_VALUE"""),0.0)</f>
        <v>0</v>
      </c>
      <c r="F2717" s="148">
        <f>IFERROR(__xludf.DUMMYFUNCTION("""COMPUTED_VALUE"""),408198.0)</f>
        <v>408198</v>
      </c>
      <c r="G2717" s="148">
        <f>IFERROR(__xludf.DUMMYFUNCTION("""COMPUTED_VALUE"""),1.51102463E8)</f>
        <v>151102463</v>
      </c>
      <c r="H2717" s="148">
        <f>IFERROR(__xludf.DUMMYFUNCTION("""COMPUTED_VALUE"""),1.5112562E7)</f>
        <v>15112562</v>
      </c>
      <c r="I2717" s="148" t="str">
        <f>IFERROR(__xludf.DUMMYFUNCTION("""COMPUTED_VALUE"""),"{""typ"":""lc"",""txt"":""LC_ITEM_time_day_upper_show"",""args"":[{""typ"":""int_unit"",""val"":7}]}")</f>
        <v>{"typ":"lc","txt":"LC_ITEM_time_day_upper_show","args":[{"typ":"int_unit","val":7}]}</v>
      </c>
      <c r="J2717" s="148" t="str">
        <f>IFERROR(__xludf.DUMMYFUNCTION("""COMPUTED_VALUE"""),"{""typ"":""lc"",""txt"":""LC_ITEM_3rd_marcheffect_high_2025_name_7""}")</f>
        <v>{"typ":"lc","txt":"LC_ITEM_3rd_marcheffect_high_2025_name_7"}</v>
      </c>
      <c r="K2717" s="148" t="str">
        <f>IFERROR(__xludf.DUMMYFUNCTION("""COMPUTED_VALUE"""),"{""typ"":""lc"",""txt"":""LC_ITEM_3rd_marcheffect_high_2025_desc""}")</f>
        <v>{"typ":"lc","txt":"LC_ITEM_3rd_marcheffect_high_2025_desc"}</v>
      </c>
      <c r="L2717" s="148" t="str">
        <f>IFERROR(__xludf.DUMMYFUNCTION("""COMPUTED_VALUE"""),"{""typ"":""lc"",""txt"":""LC_ITEM_march_effect_use_tip_all""}")</f>
        <v>{"typ":"lc","txt":"LC_ITEM_march_effect_use_tip_all"}</v>
      </c>
      <c r="M2717" s="148">
        <f>IFERROR(__xludf.DUMMYFUNCTION("""COMPUTED_VALUE"""),500.0)</f>
        <v>500</v>
      </c>
      <c r="N2717" s="148">
        <f>IFERROR(__xludf.DUMMYFUNCTION("""COMPUTED_VALUE"""),999999.0)</f>
        <v>999999</v>
      </c>
      <c r="O2717" s="148">
        <f>IFERROR(__xludf.DUMMYFUNCTION("""COMPUTED_VALUE"""),99999.0)</f>
        <v>99999</v>
      </c>
      <c r="P2717" s="148">
        <f>IFERROR(__xludf.DUMMYFUNCTION("""COMPUTED_VALUE"""),1.0)</f>
        <v>1</v>
      </c>
      <c r="Q2717" s="148" t="str">
        <f>IFERROR(__xludf.DUMMYFUNCTION("""COMPUTED_VALUE"""),"[""bag_other""]")</f>
        <v>["bag_other"]</v>
      </c>
      <c r="R2717" s="148" t="str">
        <f>IFERROR(__xludf.DUMMYFUNCTION("""COMPUTED_VALUE"""),"[""bag"",""13650139""]")</f>
        <v>["bag","13650139"]</v>
      </c>
      <c r="S2717" s="148" t="str">
        <f>IFERROR(__xludf.DUMMYFUNCTION("""COMPUTED_VALUE"""),"{""effect"":[{""typ"":""marching_effect"",""id"":13650139,""val"":604800000},{""typ"":""vm"",""id"":11151001,""val"":500}]}")</f>
        <v>{"effect":[{"typ":"marching_effect","id":13650139,"val":604800000},{"typ":"vm","id":11151001,"val":500}]}</v>
      </c>
      <c r="T2717" s="148">
        <f>IFERROR(__xludf.DUMMYFUNCTION("""COMPUTED_VALUE"""),-1.0)</f>
        <v>-1</v>
      </c>
      <c r="U2717" s="148">
        <f>IFERROR(__xludf.DUMMYFUNCTION("""COMPUTED_VALUE"""),0.0)</f>
        <v>0</v>
      </c>
      <c r="V2717" s="148" t="str">
        <f>IFERROR(__xludf.DUMMYFUNCTION("""COMPUTED_VALUE"""),"[]")</f>
        <v>[]</v>
      </c>
      <c r="W2717" s="148">
        <f>IFERROR(__xludf.DUMMYFUNCTION("""COMPUTED_VALUE"""),1.174E7)</f>
        <v>11740000</v>
      </c>
      <c r="X2717" s="148">
        <f>IFERROR(__xludf.DUMMYFUNCTION("""COMPUTED_VALUE"""),0.0)</f>
        <v>0</v>
      </c>
      <c r="Y2717" s="148">
        <f>IFERROR(__xludf.DUMMYFUNCTION("""COMPUTED_VALUE"""),0.0)</f>
        <v>0</v>
      </c>
      <c r="Z2717" s="148"/>
    </row>
    <row r="2718">
      <c r="A2718" s="148">
        <f>IFERROR(__xludf.DUMMYFUNCTION("""COMPUTED_VALUE"""),1.1119674E7)</f>
        <v>11119674</v>
      </c>
      <c r="B2718" s="148" t="str">
        <f>IFERROR(__xludf.DUMMYFUNCTION("""COMPUTED_VALUE"""),"2025周年庆行军特效-主体-14天限时")</f>
        <v>2025周年庆行军特效-主体-14天限时</v>
      </c>
      <c r="C2718" s="148"/>
      <c r="D2718" s="148" t="str">
        <f>IFERROR(__xludf.DUMMYFUNCTION("""COMPUTED_VALUE"""),"marching_effect")</f>
        <v>marching_effect</v>
      </c>
      <c r="E2718" s="148">
        <f>IFERROR(__xludf.DUMMYFUNCTION("""COMPUTED_VALUE"""),0.0)</f>
        <v>0</v>
      </c>
      <c r="F2718" s="148">
        <f>IFERROR(__xludf.DUMMYFUNCTION("""COMPUTED_VALUE"""),408197.0)</f>
        <v>408197</v>
      </c>
      <c r="G2718" s="148">
        <f>IFERROR(__xludf.DUMMYFUNCTION("""COMPUTED_VALUE"""),1.51102463E8)</f>
        <v>151102463</v>
      </c>
      <c r="H2718" s="148">
        <f>IFERROR(__xludf.DUMMYFUNCTION("""COMPUTED_VALUE"""),1.5112563E7)</f>
        <v>15112563</v>
      </c>
      <c r="I2718" s="148" t="str">
        <f>IFERROR(__xludf.DUMMYFUNCTION("""COMPUTED_VALUE"""),"{""typ"":""lc"",""txt"":""LC_ITEM_time_day_upper_show"",""args"":[{""typ"":""int_unit"",""val"":14}]}")</f>
        <v>{"typ":"lc","txt":"LC_ITEM_time_day_upper_show","args":[{"typ":"int_unit","val":14}]}</v>
      </c>
      <c r="J2718" s="148" t="str">
        <f>IFERROR(__xludf.DUMMYFUNCTION("""COMPUTED_VALUE"""),"{""typ"":""lc"",""txt"":""LC_ITEM_3rd_marcheffect_high_2025_name_14""}")</f>
        <v>{"typ":"lc","txt":"LC_ITEM_3rd_marcheffect_high_2025_name_14"}</v>
      </c>
      <c r="K2718" s="148" t="str">
        <f>IFERROR(__xludf.DUMMYFUNCTION("""COMPUTED_VALUE"""),"{""typ"":""lc"",""txt"":""LC_ITEM_3rd_marcheffect_high_2025_desc""}")</f>
        <v>{"typ":"lc","txt":"LC_ITEM_3rd_marcheffect_high_2025_desc"}</v>
      </c>
      <c r="L2718" s="148" t="str">
        <f>IFERROR(__xludf.DUMMYFUNCTION("""COMPUTED_VALUE"""),"{""typ"":""lc"",""txt"":""LC_ITEM_march_effect_use_tip_all""}")</f>
        <v>{"typ":"lc","txt":"LC_ITEM_march_effect_use_tip_all"}</v>
      </c>
      <c r="M2718" s="148">
        <f>IFERROR(__xludf.DUMMYFUNCTION("""COMPUTED_VALUE"""),1000.0)</f>
        <v>1000</v>
      </c>
      <c r="N2718" s="148">
        <f>IFERROR(__xludf.DUMMYFUNCTION("""COMPUTED_VALUE"""),999999.0)</f>
        <v>999999</v>
      </c>
      <c r="O2718" s="148">
        <f>IFERROR(__xludf.DUMMYFUNCTION("""COMPUTED_VALUE"""),99999.0)</f>
        <v>99999</v>
      </c>
      <c r="P2718" s="148">
        <f>IFERROR(__xludf.DUMMYFUNCTION("""COMPUTED_VALUE"""),1.0)</f>
        <v>1</v>
      </c>
      <c r="Q2718" s="148" t="str">
        <f>IFERROR(__xludf.DUMMYFUNCTION("""COMPUTED_VALUE"""),"[""bag_other""]")</f>
        <v>["bag_other"]</v>
      </c>
      <c r="R2718" s="148" t="str">
        <f>IFERROR(__xludf.DUMMYFUNCTION("""COMPUTED_VALUE"""),"[""bag"",""13650139""]")</f>
        <v>["bag","13650139"]</v>
      </c>
      <c r="S2718" s="148" t="str">
        <f>IFERROR(__xludf.DUMMYFUNCTION("""COMPUTED_VALUE"""),"{""effect"":[{""typ"":""marching_effect"",""id"":13650139,""val"":1209600000},{""typ"":""vm"",""id"":11151001,""val"":1000}]}")</f>
        <v>{"effect":[{"typ":"marching_effect","id":13650139,"val":1209600000},{"typ":"vm","id":11151001,"val":1000}]}</v>
      </c>
      <c r="T2718" s="148">
        <f>IFERROR(__xludf.DUMMYFUNCTION("""COMPUTED_VALUE"""),-1.0)</f>
        <v>-1</v>
      </c>
      <c r="U2718" s="148">
        <f>IFERROR(__xludf.DUMMYFUNCTION("""COMPUTED_VALUE"""),0.0)</f>
        <v>0</v>
      </c>
      <c r="V2718" s="148" t="str">
        <f>IFERROR(__xludf.DUMMYFUNCTION("""COMPUTED_VALUE"""),"[]")</f>
        <v>[]</v>
      </c>
      <c r="W2718" s="148">
        <f>IFERROR(__xludf.DUMMYFUNCTION("""COMPUTED_VALUE"""),1.174E7)</f>
        <v>11740000</v>
      </c>
      <c r="X2718" s="148">
        <f>IFERROR(__xludf.DUMMYFUNCTION("""COMPUTED_VALUE"""),0.0)</f>
        <v>0</v>
      </c>
      <c r="Y2718" s="148">
        <f>IFERROR(__xludf.DUMMYFUNCTION("""COMPUTED_VALUE"""),0.0)</f>
        <v>0</v>
      </c>
      <c r="Z2718" s="148"/>
    </row>
    <row r="2719">
      <c r="A2719" s="148">
        <f>IFERROR(__xludf.DUMMYFUNCTION("""COMPUTED_VALUE"""),1.1119675E7)</f>
        <v>11119675</v>
      </c>
      <c r="B2719" s="148" t="str">
        <f>IFERROR(__xludf.DUMMYFUNCTION("""COMPUTED_VALUE"""),"2025周年庆行军特效-主体-30天限时")</f>
        <v>2025周年庆行军特效-主体-30天限时</v>
      </c>
      <c r="C2719" s="148"/>
      <c r="D2719" s="148" t="str">
        <f>IFERROR(__xludf.DUMMYFUNCTION("""COMPUTED_VALUE"""),"marching_effect")</f>
        <v>marching_effect</v>
      </c>
      <c r="E2719" s="148">
        <f>IFERROR(__xludf.DUMMYFUNCTION("""COMPUTED_VALUE"""),0.0)</f>
        <v>0</v>
      </c>
      <c r="F2719" s="148">
        <f>IFERROR(__xludf.DUMMYFUNCTION("""COMPUTED_VALUE"""),408197.0)</f>
        <v>408197</v>
      </c>
      <c r="G2719" s="148">
        <f>IFERROR(__xludf.DUMMYFUNCTION("""COMPUTED_VALUE"""),1.51102463E8)</f>
        <v>151102463</v>
      </c>
      <c r="H2719" s="148">
        <f>IFERROR(__xludf.DUMMYFUNCTION("""COMPUTED_VALUE"""),1.5112563E7)</f>
        <v>15112563</v>
      </c>
      <c r="I2719" s="148" t="str">
        <f>IFERROR(__xludf.DUMMYFUNCTION("""COMPUTED_VALUE"""),"{""typ"":""lc"",""txt"":""LC_ITEM_time_day_upper_show"",""args"":[{""typ"":""int_unit"",""val"":30}]}")</f>
        <v>{"typ":"lc","txt":"LC_ITEM_time_day_upper_show","args":[{"typ":"int_unit","val":30}]}</v>
      </c>
      <c r="J2719" s="148" t="str">
        <f>IFERROR(__xludf.DUMMYFUNCTION("""COMPUTED_VALUE"""),"{""typ"":""lc"",""txt"":""LC_ITEM_3rd_marcheffect_high_2025_name_30""}")</f>
        <v>{"typ":"lc","txt":"LC_ITEM_3rd_marcheffect_high_2025_name_30"}</v>
      </c>
      <c r="K2719" s="148" t="str">
        <f>IFERROR(__xludf.DUMMYFUNCTION("""COMPUTED_VALUE"""),"{""typ"":""lc"",""txt"":""LC_ITEM_3rd_marcheffect_high_2025_desc""}")</f>
        <v>{"typ":"lc","txt":"LC_ITEM_3rd_marcheffect_high_2025_desc"}</v>
      </c>
      <c r="L2719" s="148" t="str">
        <f>IFERROR(__xludf.DUMMYFUNCTION("""COMPUTED_VALUE"""),"{""typ"":""lc"",""txt"":""LC_ITEM_march_effect_use_tip_all""}")</f>
        <v>{"typ":"lc","txt":"LC_ITEM_march_effect_use_tip_all"}</v>
      </c>
      <c r="M2719" s="148">
        <f>IFERROR(__xludf.DUMMYFUNCTION("""COMPUTED_VALUE"""),1000.0)</f>
        <v>1000</v>
      </c>
      <c r="N2719" s="148">
        <f>IFERROR(__xludf.DUMMYFUNCTION("""COMPUTED_VALUE"""),999999.0)</f>
        <v>999999</v>
      </c>
      <c r="O2719" s="148">
        <f>IFERROR(__xludf.DUMMYFUNCTION("""COMPUTED_VALUE"""),99999.0)</f>
        <v>99999</v>
      </c>
      <c r="P2719" s="148">
        <f>IFERROR(__xludf.DUMMYFUNCTION("""COMPUTED_VALUE"""),1.0)</f>
        <v>1</v>
      </c>
      <c r="Q2719" s="148" t="str">
        <f>IFERROR(__xludf.DUMMYFUNCTION("""COMPUTED_VALUE"""),"[""bag_other""]")</f>
        <v>["bag_other"]</v>
      </c>
      <c r="R2719" s="148" t="str">
        <f>IFERROR(__xludf.DUMMYFUNCTION("""COMPUTED_VALUE"""),"[""bag"",""13650139""]")</f>
        <v>["bag","13650139"]</v>
      </c>
      <c r="S2719" s="148" t="str">
        <f>IFERROR(__xludf.DUMMYFUNCTION("""COMPUTED_VALUE"""),"{""effect"":[{""typ"":""marching_effect"",""id"":13650139,""val"":2592000000},{""typ"":""vm"",""id"":11151001,""val"":1000}]}")</f>
        <v>{"effect":[{"typ":"marching_effect","id":13650139,"val":2592000000},{"typ":"vm","id":11151001,"val":1000}]}</v>
      </c>
      <c r="T2719" s="148">
        <f>IFERROR(__xludf.DUMMYFUNCTION("""COMPUTED_VALUE"""),-1.0)</f>
        <v>-1</v>
      </c>
      <c r="U2719" s="148">
        <f>IFERROR(__xludf.DUMMYFUNCTION("""COMPUTED_VALUE"""),0.0)</f>
        <v>0</v>
      </c>
      <c r="V2719" s="148" t="str">
        <f>IFERROR(__xludf.DUMMYFUNCTION("""COMPUTED_VALUE"""),"[]")</f>
        <v>[]</v>
      </c>
      <c r="W2719" s="148">
        <f>IFERROR(__xludf.DUMMYFUNCTION("""COMPUTED_VALUE"""),1.174E7)</f>
        <v>11740000</v>
      </c>
      <c r="X2719" s="148">
        <f>IFERROR(__xludf.DUMMYFUNCTION("""COMPUTED_VALUE"""),0.0)</f>
        <v>0</v>
      </c>
      <c r="Y2719" s="148">
        <f>IFERROR(__xludf.DUMMYFUNCTION("""COMPUTED_VALUE"""),0.0)</f>
        <v>0</v>
      </c>
      <c r="Z2719" s="148"/>
    </row>
    <row r="2720">
      <c r="A2720" s="148">
        <f>IFERROR(__xludf.DUMMYFUNCTION("""COMPUTED_VALUE"""),1.1119676E7)</f>
        <v>11119676</v>
      </c>
      <c r="B2720" s="148" t="str">
        <f>IFERROR(__xludf.DUMMYFUNCTION("""COMPUTED_VALUE"""),"2025周年庆行军特效-主体-永久")</f>
        <v>2025周年庆行军特效-主体-永久</v>
      </c>
      <c r="C2720" s="148"/>
      <c r="D2720" s="148" t="str">
        <f>IFERROR(__xludf.DUMMYFUNCTION("""COMPUTED_VALUE"""),"marching_effect")</f>
        <v>marching_effect</v>
      </c>
      <c r="E2720" s="148">
        <f>IFERROR(__xludf.DUMMYFUNCTION("""COMPUTED_VALUE"""),0.0)</f>
        <v>0</v>
      </c>
      <c r="F2720" s="148">
        <f>IFERROR(__xludf.DUMMYFUNCTION("""COMPUTED_VALUE"""),408195.0)</f>
        <v>408195</v>
      </c>
      <c r="G2720" s="148">
        <f>IFERROR(__xludf.DUMMYFUNCTION("""COMPUTED_VALUE"""),1.51102463E8)</f>
        <v>151102463</v>
      </c>
      <c r="H2720" s="148">
        <f>IFERROR(__xludf.DUMMYFUNCTION("""COMPUTED_VALUE"""),1.5112564E7)</f>
        <v>15112564</v>
      </c>
      <c r="I2720" s="148" t="str">
        <f>IFERROR(__xludf.DUMMYFUNCTION("""COMPUTED_VALUE"""),"{}")</f>
        <v>{}</v>
      </c>
      <c r="J2720" s="148" t="str">
        <f>IFERROR(__xludf.DUMMYFUNCTION("""COMPUTED_VALUE"""),"{""typ"":""lc"",""txt"":""LC_ITEM_3rd_marcheffect_high_2025_name""}")</f>
        <v>{"typ":"lc","txt":"LC_ITEM_3rd_marcheffect_high_2025_name"}</v>
      </c>
      <c r="K2720" s="148" t="str">
        <f>IFERROR(__xludf.DUMMYFUNCTION("""COMPUTED_VALUE"""),"{""typ"":""lc"",""txt"":""LC_ITEM_3rd_marcheffect_high_2025_desc""}")</f>
        <v>{"typ":"lc","txt":"LC_ITEM_3rd_marcheffect_high_2025_desc"}</v>
      </c>
      <c r="L2720" s="148" t="str">
        <f>IFERROR(__xludf.DUMMYFUNCTION("""COMPUTED_VALUE"""),"{""typ"":""lc"",""txt"":""LC_ITEM_march_effect_use_tip_all""}")</f>
        <v>{"typ":"lc","txt":"LC_ITEM_march_effect_use_tip_all"}</v>
      </c>
      <c r="M2720" s="148">
        <f>IFERROR(__xludf.DUMMYFUNCTION("""COMPUTED_VALUE"""),5000.0)</f>
        <v>5000</v>
      </c>
      <c r="N2720" s="148">
        <f>IFERROR(__xludf.DUMMYFUNCTION("""COMPUTED_VALUE"""),999999.0)</f>
        <v>999999</v>
      </c>
      <c r="O2720" s="148">
        <f>IFERROR(__xludf.DUMMYFUNCTION("""COMPUTED_VALUE"""),99999.0)</f>
        <v>99999</v>
      </c>
      <c r="P2720" s="148">
        <f>IFERROR(__xludf.DUMMYFUNCTION("""COMPUTED_VALUE"""),1.0)</f>
        <v>1</v>
      </c>
      <c r="Q2720" s="148" t="str">
        <f>IFERROR(__xludf.DUMMYFUNCTION("""COMPUTED_VALUE"""),"[""bag_other""]")</f>
        <v>["bag_other"]</v>
      </c>
      <c r="R2720" s="148" t="str">
        <f>IFERROR(__xludf.DUMMYFUNCTION("""COMPUTED_VALUE"""),"[""bag"",""13650139""]")</f>
        <v>["bag","13650139"]</v>
      </c>
      <c r="S2720" s="148" t="str">
        <f>IFERROR(__xludf.DUMMYFUNCTION("""COMPUTED_VALUE"""),"{""effect"":[{""typ"":""marching_effect"",""id"":13650139,""val"":-1},{""typ"":""vm"",""id"":11151001,""val"":2500}]}")</f>
        <v>{"effect":[{"typ":"marching_effect","id":13650139,"val":-1},{"typ":"vm","id":11151001,"val":2500}]}</v>
      </c>
      <c r="T2720" s="148">
        <f>IFERROR(__xludf.DUMMYFUNCTION("""COMPUTED_VALUE"""),-1.0)</f>
        <v>-1</v>
      </c>
      <c r="U2720" s="148">
        <f>IFERROR(__xludf.DUMMYFUNCTION("""COMPUTED_VALUE"""),0.0)</f>
        <v>0</v>
      </c>
      <c r="V2720" s="148" t="str">
        <f>IFERROR(__xludf.DUMMYFUNCTION("""COMPUTED_VALUE"""),"[]")</f>
        <v>[]</v>
      </c>
      <c r="W2720" s="148">
        <f>IFERROR(__xludf.DUMMYFUNCTION("""COMPUTED_VALUE"""),1.174E7)</f>
        <v>11740000</v>
      </c>
      <c r="X2720" s="148">
        <f>IFERROR(__xludf.DUMMYFUNCTION("""COMPUTED_VALUE"""),0.0)</f>
        <v>0</v>
      </c>
      <c r="Y2720" s="148">
        <f>IFERROR(__xludf.DUMMYFUNCTION("""COMPUTED_VALUE"""),0.0)</f>
        <v>0</v>
      </c>
      <c r="Z2720" s="148"/>
    </row>
    <row r="2721">
      <c r="A2721" s="148">
        <f>IFERROR(__xludf.DUMMYFUNCTION("""COMPUTED_VALUE"""),1.1119677E7)</f>
        <v>11119677</v>
      </c>
      <c r="B2721" s="148" t="str">
        <f>IFERROR(__xludf.DUMMYFUNCTION("""COMPUTED_VALUE"""),"欢乐气球-周年庆2025活动BP道具1")</f>
        <v>欢乐气球-周年庆2025活动BP道具1</v>
      </c>
      <c r="C2721" s="148"/>
      <c r="D2721" s="148" t="str">
        <f>IFERROR(__xludf.DUMMYFUNCTION("""COMPUTED_VALUE"""),"battle_pass_exp")</f>
        <v>battle_pass_exp</v>
      </c>
      <c r="E2721" s="148">
        <f>IFERROR(__xludf.DUMMYFUNCTION("""COMPUTED_VALUE"""),0.0)</f>
        <v>0</v>
      </c>
      <c r="F2721" s="148">
        <f>IFERROR(__xludf.DUMMYFUNCTION("""COMPUTED_VALUE"""),405217.0)</f>
        <v>405217</v>
      </c>
      <c r="G2721" s="148">
        <f>IFERROR(__xludf.DUMMYFUNCTION("""COMPUTED_VALUE"""),1.51102472E8)</f>
        <v>151102472</v>
      </c>
      <c r="H2721" s="148">
        <f>IFERROR(__xludf.DUMMYFUNCTION("""COMPUTED_VALUE"""),1.5112563E7)</f>
        <v>15112563</v>
      </c>
      <c r="I2721" s="148" t="str">
        <f>IFERROR(__xludf.DUMMYFUNCTION("""COMPUTED_VALUE"""),"{}")</f>
        <v>{}</v>
      </c>
      <c r="J2721" s="148" t="str">
        <f>IFERROR(__xludf.DUMMYFUNCTION("""COMPUTED_VALUE"""),"{""typ"":""lc"",""txt"":""LC_ITEM_anni_bp_2025_item_1""}")</f>
        <v>{"typ":"lc","txt":"LC_ITEM_anni_bp_2025_item_1"}</v>
      </c>
      <c r="K2721" s="148" t="str">
        <f>IFERROR(__xludf.DUMMYFUNCTION("""COMPUTED_VALUE"""),"{""typ"":""lc"",""txt"":""LC_ITEM_anni_bp_2025_item_desc_1""}")</f>
        <v>{"typ":"lc","txt":"LC_ITEM_anni_bp_2025_item_desc_1"}</v>
      </c>
      <c r="L2721" s="148" t="str">
        <f>IFERROR(__xludf.DUMMYFUNCTION("""COMPUTED_VALUE"""),"{}")</f>
        <v>{}</v>
      </c>
      <c r="M2721" s="148">
        <f>IFERROR(__xludf.DUMMYFUNCTION("""COMPUTED_VALUE"""),35.0)</f>
        <v>35</v>
      </c>
      <c r="N2721" s="148">
        <f>IFERROR(__xludf.DUMMYFUNCTION("""COMPUTED_VALUE"""),999999.0)</f>
        <v>999999</v>
      </c>
      <c r="O2721" s="148">
        <f>IFERROR(__xludf.DUMMYFUNCTION("""COMPUTED_VALUE"""),99999.0)</f>
        <v>99999</v>
      </c>
      <c r="P2721" s="148">
        <f>IFERROR(__xludf.DUMMYFUNCTION("""COMPUTED_VALUE"""),9999.0)</f>
        <v>9999</v>
      </c>
      <c r="Q2721" s="148" t="str">
        <f>IFERROR(__xludf.DUMMYFUNCTION("""COMPUTED_VALUE"""),"[""bag_other""]")</f>
        <v>["bag_other"]</v>
      </c>
      <c r="R2721" s="148" t="str">
        <f>IFERROR(__xludf.DUMMYFUNCTION("""COMPUTED_VALUE"""),"[""bag""]")</f>
        <v>["bag"]</v>
      </c>
      <c r="S2721" s="148" t="str">
        <f>IFERROR(__xludf.DUMMYFUNCTION("""COMPUTED_VALUE"""),"{}")</f>
        <v>{}</v>
      </c>
      <c r="T2721" s="148">
        <f>IFERROR(__xludf.DUMMYFUNCTION("""COMPUTED_VALUE"""),-1.0)</f>
        <v>-1</v>
      </c>
      <c r="U2721" s="148">
        <f>IFERROR(__xludf.DUMMYFUNCTION("""COMPUTED_VALUE"""),0.0)</f>
        <v>0</v>
      </c>
      <c r="V2721" s="148" t="str">
        <f>IFERROR(__xludf.DUMMYFUNCTION("""COMPUTED_VALUE"""),"[]")</f>
        <v>[]</v>
      </c>
      <c r="W2721" s="148">
        <f>IFERROR(__xludf.DUMMYFUNCTION("""COMPUTED_VALUE"""),1.174E7)</f>
        <v>11740000</v>
      </c>
      <c r="X2721" s="148">
        <f>IFERROR(__xludf.DUMMYFUNCTION("""COMPUTED_VALUE"""),0.0)</f>
        <v>0</v>
      </c>
      <c r="Y2721" s="148">
        <f>IFERROR(__xludf.DUMMYFUNCTION("""COMPUTED_VALUE"""),0.0)</f>
        <v>0</v>
      </c>
      <c r="Z2721" s="148"/>
    </row>
    <row r="2722">
      <c r="A2722" s="148">
        <f>IFERROR(__xludf.DUMMYFUNCTION("""COMPUTED_VALUE"""),1.1119678E7)</f>
        <v>11119678</v>
      </c>
      <c r="B2722" s="148" t="str">
        <f>IFERROR(__xludf.DUMMYFUNCTION("""COMPUTED_VALUE"""),"欢乐烟花-周年庆2025活动BP道具2")</f>
        <v>欢乐烟花-周年庆2025活动BP道具2</v>
      </c>
      <c r="C2722" s="148"/>
      <c r="D2722" s="148" t="str">
        <f>IFERROR(__xludf.DUMMYFUNCTION("""COMPUTED_VALUE"""),"battle_pass_exp")</f>
        <v>battle_pass_exp</v>
      </c>
      <c r="E2722" s="148">
        <f>IFERROR(__xludf.DUMMYFUNCTION("""COMPUTED_VALUE"""),0.0)</f>
        <v>0</v>
      </c>
      <c r="F2722" s="148">
        <f>IFERROR(__xludf.DUMMYFUNCTION("""COMPUTED_VALUE"""),405217.0)</f>
        <v>405217</v>
      </c>
      <c r="G2722" s="148">
        <f>IFERROR(__xludf.DUMMYFUNCTION("""COMPUTED_VALUE"""),1.51102473E8)</f>
        <v>151102473</v>
      </c>
      <c r="H2722" s="148">
        <f>IFERROR(__xludf.DUMMYFUNCTION("""COMPUTED_VALUE"""),1.5112563E7)</f>
        <v>15112563</v>
      </c>
      <c r="I2722" s="148" t="str">
        <f>IFERROR(__xludf.DUMMYFUNCTION("""COMPUTED_VALUE"""),"{}")</f>
        <v>{}</v>
      </c>
      <c r="J2722" s="148" t="str">
        <f>IFERROR(__xludf.DUMMYFUNCTION("""COMPUTED_VALUE"""),"{""typ"":""lc"",""txt"":""LC_ITEM_anni_bp_2025_item_2""}")</f>
        <v>{"typ":"lc","txt":"LC_ITEM_anni_bp_2025_item_2"}</v>
      </c>
      <c r="K2722" s="148" t="str">
        <f>IFERROR(__xludf.DUMMYFUNCTION("""COMPUTED_VALUE"""),"{""typ"":""lc"",""txt"":""LC_ITEM_anni_bp_2025_item_desc_2""}")</f>
        <v>{"typ":"lc","txt":"LC_ITEM_anni_bp_2025_item_desc_2"}</v>
      </c>
      <c r="L2722" s="148" t="str">
        <f>IFERROR(__xludf.DUMMYFUNCTION("""COMPUTED_VALUE"""),"{}")</f>
        <v>{}</v>
      </c>
      <c r="M2722" s="148">
        <f>IFERROR(__xludf.DUMMYFUNCTION("""COMPUTED_VALUE"""),35.0)</f>
        <v>35</v>
      </c>
      <c r="N2722" s="148">
        <f>IFERROR(__xludf.DUMMYFUNCTION("""COMPUTED_VALUE"""),999999.0)</f>
        <v>999999</v>
      </c>
      <c r="O2722" s="148">
        <f>IFERROR(__xludf.DUMMYFUNCTION("""COMPUTED_VALUE"""),99999.0)</f>
        <v>99999</v>
      </c>
      <c r="P2722" s="148">
        <f>IFERROR(__xludf.DUMMYFUNCTION("""COMPUTED_VALUE"""),9999.0)</f>
        <v>9999</v>
      </c>
      <c r="Q2722" s="148" t="str">
        <f>IFERROR(__xludf.DUMMYFUNCTION("""COMPUTED_VALUE"""),"[""bag_other""]")</f>
        <v>["bag_other"]</v>
      </c>
      <c r="R2722" s="148" t="str">
        <f>IFERROR(__xludf.DUMMYFUNCTION("""COMPUTED_VALUE"""),"[""bag""]")</f>
        <v>["bag"]</v>
      </c>
      <c r="S2722" s="148" t="str">
        <f>IFERROR(__xludf.DUMMYFUNCTION("""COMPUTED_VALUE"""),"{}")</f>
        <v>{}</v>
      </c>
      <c r="T2722" s="148">
        <f>IFERROR(__xludf.DUMMYFUNCTION("""COMPUTED_VALUE"""),-1.0)</f>
        <v>-1</v>
      </c>
      <c r="U2722" s="148">
        <f>IFERROR(__xludf.DUMMYFUNCTION("""COMPUTED_VALUE"""),0.0)</f>
        <v>0</v>
      </c>
      <c r="V2722" s="148" t="str">
        <f>IFERROR(__xludf.DUMMYFUNCTION("""COMPUTED_VALUE"""),"[]")</f>
        <v>[]</v>
      </c>
      <c r="W2722" s="148">
        <f>IFERROR(__xludf.DUMMYFUNCTION("""COMPUTED_VALUE"""),1.174E7)</f>
        <v>11740000</v>
      </c>
      <c r="X2722" s="148">
        <f>IFERROR(__xludf.DUMMYFUNCTION("""COMPUTED_VALUE"""),0.0)</f>
        <v>0</v>
      </c>
      <c r="Y2722" s="148">
        <f>IFERROR(__xludf.DUMMYFUNCTION("""COMPUTED_VALUE"""),0.0)</f>
        <v>0</v>
      </c>
      <c r="Z2722" s="148"/>
    </row>
    <row r="2723">
      <c r="A2723" s="148">
        <f>IFERROR(__xludf.DUMMYFUNCTION("""COMPUTED_VALUE"""),1.1119679E7)</f>
        <v>11119679</v>
      </c>
      <c r="B2723" s="148" t="str">
        <f>IFERROR(__xludf.DUMMYFUNCTION("""COMPUTED_VALUE"""),"2025周年庆行军特效-部队光环-1天限时")</f>
        <v>2025周年庆行军特效-部队光环-1天限时</v>
      </c>
      <c r="C2723" s="148"/>
      <c r="D2723" s="148" t="str">
        <f>IFERROR(__xludf.DUMMYFUNCTION("""COMPUTED_VALUE"""),"marching_effect_decoration")</f>
        <v>marching_effect_decoration</v>
      </c>
      <c r="E2723" s="148">
        <f>IFERROR(__xludf.DUMMYFUNCTION("""COMPUTED_VALUE"""),0.0)</f>
        <v>0</v>
      </c>
      <c r="F2723" s="148">
        <f>IFERROR(__xludf.DUMMYFUNCTION("""COMPUTED_VALUE"""),408200.0)</f>
        <v>408200</v>
      </c>
      <c r="G2723" s="148">
        <f>IFERROR(__xludf.DUMMYFUNCTION("""COMPUTED_VALUE"""),1.51102464E8)</f>
        <v>151102464</v>
      </c>
      <c r="H2723" s="148">
        <f>IFERROR(__xludf.DUMMYFUNCTION("""COMPUTED_VALUE"""),1.5112562E7)</f>
        <v>15112562</v>
      </c>
      <c r="I2723" s="148" t="str">
        <f>IFERROR(__xludf.DUMMYFUNCTION("""COMPUTED_VALUE"""),"{""typ"":""lc"",""txt"":""LC_ITEM_time_day_upper_show"",""args"":[{""typ"":""int_unit"",""val"":1}]}")</f>
        <v>{"typ":"lc","txt":"LC_ITEM_time_day_upper_show","args":[{"typ":"int_unit","val":1}]}</v>
      </c>
      <c r="J2723" s="148" t="str">
        <f>IFERROR(__xludf.DUMMYFUNCTION("""COMPUTED_VALUE"""),"{""typ"":""lc"",""txt"":""LC_ITEM_13900001_name_1""}")</f>
        <v>{"typ":"lc","txt":"LC_ITEM_13900001_name_1"}</v>
      </c>
      <c r="K2723" s="148" t="str">
        <f>IFERROR(__xludf.DUMMYFUNCTION("""COMPUTED_VALUE"""),"{""typ"":""lc"",""txt"":""LC_ITEM_13900001_desc""}")</f>
        <v>{"typ":"lc","txt":"LC_ITEM_13900001_desc"}</v>
      </c>
      <c r="L2723" s="148" t="str">
        <f>IFERROR(__xludf.DUMMYFUNCTION("""COMPUTED_VALUE"""),"{""typ"":""lc"",""txt"":""LC_ASSET_suit_actived_tips_1""}")</f>
        <v>{"typ":"lc","txt":"LC_ASSET_suit_actived_tips_1"}</v>
      </c>
      <c r="M2723" s="148">
        <f>IFERROR(__xludf.DUMMYFUNCTION("""COMPUTED_VALUE"""),50.0)</f>
        <v>50</v>
      </c>
      <c r="N2723" s="148">
        <f>IFERROR(__xludf.DUMMYFUNCTION("""COMPUTED_VALUE"""),999999.0)</f>
        <v>999999</v>
      </c>
      <c r="O2723" s="148">
        <f>IFERROR(__xludf.DUMMYFUNCTION("""COMPUTED_VALUE"""),99999.0)</f>
        <v>99999</v>
      </c>
      <c r="P2723" s="148">
        <f>IFERROR(__xludf.DUMMYFUNCTION("""COMPUTED_VALUE"""),1.0)</f>
        <v>1</v>
      </c>
      <c r="Q2723" s="148" t="str">
        <f>IFERROR(__xludf.DUMMYFUNCTION("""COMPUTED_VALUE"""),"[""bag_other""]")</f>
        <v>["bag_other"]</v>
      </c>
      <c r="R2723" s="148" t="str">
        <f>IFERROR(__xludf.DUMMYFUNCTION("""COMPUTED_VALUE"""),"[""bag"",""13900001""]")</f>
        <v>["bag","13900001"]</v>
      </c>
      <c r="S2723" s="148" t="str">
        <f>IFERROR(__xludf.DUMMYFUNCTION("""COMPUTED_VALUE"""),"{""effect"":[{""typ"":""marching_effect_decoration"",""id"":13900001,""val"":86400000},{""typ"":""vm"",""id"":11151001,""val"":50}]}")</f>
        <v>{"effect":[{"typ":"marching_effect_decoration","id":13900001,"val":86400000},{"typ":"vm","id":11151001,"val":50}]}</v>
      </c>
      <c r="T2723" s="148">
        <f>IFERROR(__xludf.DUMMYFUNCTION("""COMPUTED_VALUE"""),-1.0)</f>
        <v>-1</v>
      </c>
      <c r="U2723" s="148">
        <f>IFERROR(__xludf.DUMMYFUNCTION("""COMPUTED_VALUE"""),0.0)</f>
        <v>0</v>
      </c>
      <c r="V2723" s="148" t="str">
        <f>IFERROR(__xludf.DUMMYFUNCTION("""COMPUTED_VALUE"""),"[]")</f>
        <v>[]</v>
      </c>
      <c r="W2723" s="148">
        <f>IFERROR(__xludf.DUMMYFUNCTION("""COMPUTED_VALUE"""),1.174E7)</f>
        <v>11740000</v>
      </c>
      <c r="X2723" s="148">
        <f>IFERROR(__xludf.DUMMYFUNCTION("""COMPUTED_VALUE"""),0.0)</f>
        <v>0</v>
      </c>
      <c r="Y2723" s="148">
        <f>IFERROR(__xludf.DUMMYFUNCTION("""COMPUTED_VALUE"""),0.0)</f>
        <v>0</v>
      </c>
      <c r="Z2723" s="148"/>
    </row>
    <row r="2724">
      <c r="A2724" s="148">
        <f>IFERROR(__xludf.DUMMYFUNCTION("""COMPUTED_VALUE"""),1.111968E7)</f>
        <v>11119680</v>
      </c>
      <c r="B2724" s="148" t="str">
        <f>IFERROR(__xludf.DUMMYFUNCTION("""COMPUTED_VALUE"""),"2025周年庆行军特效-部队光环-3天限时")</f>
        <v>2025周年庆行军特效-部队光环-3天限时</v>
      </c>
      <c r="C2724" s="148"/>
      <c r="D2724" s="148" t="str">
        <f>IFERROR(__xludf.DUMMYFUNCTION("""COMPUTED_VALUE"""),"marching_effect_decoration")</f>
        <v>marching_effect_decoration</v>
      </c>
      <c r="E2724" s="148">
        <f>IFERROR(__xludf.DUMMYFUNCTION("""COMPUTED_VALUE"""),0.0)</f>
        <v>0</v>
      </c>
      <c r="F2724" s="148">
        <f>IFERROR(__xludf.DUMMYFUNCTION("""COMPUTED_VALUE"""),408199.0)</f>
        <v>408199</v>
      </c>
      <c r="G2724" s="148">
        <f>IFERROR(__xludf.DUMMYFUNCTION("""COMPUTED_VALUE"""),1.51102464E8)</f>
        <v>151102464</v>
      </c>
      <c r="H2724" s="148">
        <f>IFERROR(__xludf.DUMMYFUNCTION("""COMPUTED_VALUE"""),1.5112563E7)</f>
        <v>15112563</v>
      </c>
      <c r="I2724" s="148" t="str">
        <f>IFERROR(__xludf.DUMMYFUNCTION("""COMPUTED_VALUE"""),"{""typ"":""lc"",""txt"":""LC_ITEM_time_day_upper_show"",""args"":[{""typ"":""int_unit"",""val"":3}]}")</f>
        <v>{"typ":"lc","txt":"LC_ITEM_time_day_upper_show","args":[{"typ":"int_unit","val":3}]}</v>
      </c>
      <c r="J2724" s="148" t="str">
        <f>IFERROR(__xludf.DUMMYFUNCTION("""COMPUTED_VALUE"""),"{""typ"":""lc"",""txt"":""LC_ITEM_13900001_name_3""}")</f>
        <v>{"typ":"lc","txt":"LC_ITEM_13900001_name_3"}</v>
      </c>
      <c r="K2724" s="148" t="str">
        <f>IFERROR(__xludf.DUMMYFUNCTION("""COMPUTED_VALUE"""),"{""typ"":""lc"",""txt"":""LC_ITEM_13900001_desc""}")</f>
        <v>{"typ":"lc","txt":"LC_ITEM_13900001_desc"}</v>
      </c>
      <c r="L2724" s="148" t="str">
        <f>IFERROR(__xludf.DUMMYFUNCTION("""COMPUTED_VALUE"""),"{""typ"":""lc"",""txt"":""LC_ASSET_suit_actived_tips_1""}")</f>
        <v>{"typ":"lc","txt":"LC_ASSET_suit_actived_tips_1"}</v>
      </c>
      <c r="M2724" s="148">
        <f>IFERROR(__xludf.DUMMYFUNCTION("""COMPUTED_VALUE"""),200.0)</f>
        <v>200</v>
      </c>
      <c r="N2724" s="148">
        <f>IFERROR(__xludf.DUMMYFUNCTION("""COMPUTED_VALUE"""),999999.0)</f>
        <v>999999</v>
      </c>
      <c r="O2724" s="148">
        <f>IFERROR(__xludf.DUMMYFUNCTION("""COMPUTED_VALUE"""),99999.0)</f>
        <v>99999</v>
      </c>
      <c r="P2724" s="148">
        <f>IFERROR(__xludf.DUMMYFUNCTION("""COMPUTED_VALUE"""),1.0)</f>
        <v>1</v>
      </c>
      <c r="Q2724" s="148" t="str">
        <f>IFERROR(__xludf.DUMMYFUNCTION("""COMPUTED_VALUE"""),"[""bag_other""]")</f>
        <v>["bag_other"]</v>
      </c>
      <c r="R2724" s="148" t="str">
        <f>IFERROR(__xludf.DUMMYFUNCTION("""COMPUTED_VALUE"""),"[""bag"",""13900001""]")</f>
        <v>["bag","13900001"]</v>
      </c>
      <c r="S2724" s="148" t="str">
        <f>IFERROR(__xludf.DUMMYFUNCTION("""COMPUTED_VALUE"""),"{""effect"":[{""typ"":""marching_effect_decoration"",""id"":13900001,""val"":259200000},{""typ"":""vm"",""id"":11151001,""val"":200}]}")</f>
        <v>{"effect":[{"typ":"marching_effect_decoration","id":13900001,"val":259200000},{"typ":"vm","id":11151001,"val":200}]}</v>
      </c>
      <c r="T2724" s="148">
        <f>IFERROR(__xludf.DUMMYFUNCTION("""COMPUTED_VALUE"""),-1.0)</f>
        <v>-1</v>
      </c>
      <c r="U2724" s="148">
        <f>IFERROR(__xludf.DUMMYFUNCTION("""COMPUTED_VALUE"""),0.0)</f>
        <v>0</v>
      </c>
      <c r="V2724" s="148" t="str">
        <f>IFERROR(__xludf.DUMMYFUNCTION("""COMPUTED_VALUE"""),"[]")</f>
        <v>[]</v>
      </c>
      <c r="W2724" s="148">
        <f>IFERROR(__xludf.DUMMYFUNCTION("""COMPUTED_VALUE"""),1.174E7)</f>
        <v>11740000</v>
      </c>
      <c r="X2724" s="148">
        <f>IFERROR(__xludf.DUMMYFUNCTION("""COMPUTED_VALUE"""),0.0)</f>
        <v>0</v>
      </c>
      <c r="Y2724" s="148">
        <f>IFERROR(__xludf.DUMMYFUNCTION("""COMPUTED_VALUE"""),0.0)</f>
        <v>0</v>
      </c>
      <c r="Z2724" s="148"/>
    </row>
    <row r="2725">
      <c r="A2725" s="148">
        <f>IFERROR(__xludf.DUMMYFUNCTION("""COMPUTED_VALUE"""),1.1119681E7)</f>
        <v>11119681</v>
      </c>
      <c r="B2725" s="148" t="str">
        <f>IFERROR(__xludf.DUMMYFUNCTION("""COMPUTED_VALUE"""),"2025周年庆行军特效-部队光环-7天限时")</f>
        <v>2025周年庆行军特效-部队光环-7天限时</v>
      </c>
      <c r="C2725" s="148"/>
      <c r="D2725" s="148" t="str">
        <f>IFERROR(__xludf.DUMMYFUNCTION("""COMPUTED_VALUE"""),"marching_effect_decoration")</f>
        <v>marching_effect_decoration</v>
      </c>
      <c r="E2725" s="148">
        <f>IFERROR(__xludf.DUMMYFUNCTION("""COMPUTED_VALUE"""),0.0)</f>
        <v>0</v>
      </c>
      <c r="F2725" s="148">
        <f>IFERROR(__xludf.DUMMYFUNCTION("""COMPUTED_VALUE"""),408198.0)</f>
        <v>408198</v>
      </c>
      <c r="G2725" s="148">
        <f>IFERROR(__xludf.DUMMYFUNCTION("""COMPUTED_VALUE"""),1.51102464E8)</f>
        <v>151102464</v>
      </c>
      <c r="H2725" s="148">
        <f>IFERROR(__xludf.DUMMYFUNCTION("""COMPUTED_VALUE"""),1.5112563E7)</f>
        <v>15112563</v>
      </c>
      <c r="I2725" s="148" t="str">
        <f>IFERROR(__xludf.DUMMYFUNCTION("""COMPUTED_VALUE"""),"{""typ"":""lc"",""txt"":""LC_ITEM_time_day_upper_show"",""args"":[{""typ"":""int_unit"",""val"":7}]}")</f>
        <v>{"typ":"lc","txt":"LC_ITEM_time_day_upper_show","args":[{"typ":"int_unit","val":7}]}</v>
      </c>
      <c r="J2725" s="148" t="str">
        <f>IFERROR(__xludf.DUMMYFUNCTION("""COMPUTED_VALUE"""),"{""typ"":""lc"",""txt"":""LC_ITEM_13900001_name_7""}")</f>
        <v>{"typ":"lc","txt":"LC_ITEM_13900001_name_7"}</v>
      </c>
      <c r="K2725" s="148" t="str">
        <f>IFERROR(__xludf.DUMMYFUNCTION("""COMPUTED_VALUE"""),"{""typ"":""lc"",""txt"":""LC_ITEM_13900001_desc""}")</f>
        <v>{"typ":"lc","txt":"LC_ITEM_13900001_desc"}</v>
      </c>
      <c r="L2725" s="148" t="str">
        <f>IFERROR(__xludf.DUMMYFUNCTION("""COMPUTED_VALUE"""),"{""typ"":""lc"",""txt"":""LC_ASSET_suit_actived_tips_1""}")</f>
        <v>{"typ":"lc","txt":"LC_ASSET_suit_actived_tips_1"}</v>
      </c>
      <c r="M2725" s="148">
        <f>IFERROR(__xludf.DUMMYFUNCTION("""COMPUTED_VALUE"""),500.0)</f>
        <v>500</v>
      </c>
      <c r="N2725" s="148">
        <f>IFERROR(__xludf.DUMMYFUNCTION("""COMPUTED_VALUE"""),999999.0)</f>
        <v>999999</v>
      </c>
      <c r="O2725" s="148">
        <f>IFERROR(__xludf.DUMMYFUNCTION("""COMPUTED_VALUE"""),99999.0)</f>
        <v>99999</v>
      </c>
      <c r="P2725" s="148">
        <f>IFERROR(__xludf.DUMMYFUNCTION("""COMPUTED_VALUE"""),1.0)</f>
        <v>1</v>
      </c>
      <c r="Q2725" s="148" t="str">
        <f>IFERROR(__xludf.DUMMYFUNCTION("""COMPUTED_VALUE"""),"[""bag_other""]")</f>
        <v>["bag_other"]</v>
      </c>
      <c r="R2725" s="148" t="str">
        <f>IFERROR(__xludf.DUMMYFUNCTION("""COMPUTED_VALUE"""),"[""bag"",""13900001""]")</f>
        <v>["bag","13900001"]</v>
      </c>
      <c r="S2725" s="148" t="str">
        <f>IFERROR(__xludf.DUMMYFUNCTION("""COMPUTED_VALUE"""),"{""effect"":[{""typ"":""marching_effect_decoration"",""id"":13900001,""val"":604800000},{""typ"":""vm"",""id"":11151001,""val"":500}]}")</f>
        <v>{"effect":[{"typ":"marching_effect_decoration","id":13900001,"val":604800000},{"typ":"vm","id":11151001,"val":500}]}</v>
      </c>
      <c r="T2725" s="148">
        <f>IFERROR(__xludf.DUMMYFUNCTION("""COMPUTED_VALUE"""),-1.0)</f>
        <v>-1</v>
      </c>
      <c r="U2725" s="148">
        <f>IFERROR(__xludf.DUMMYFUNCTION("""COMPUTED_VALUE"""),0.0)</f>
        <v>0</v>
      </c>
      <c r="V2725" s="148" t="str">
        <f>IFERROR(__xludf.DUMMYFUNCTION("""COMPUTED_VALUE"""),"[]")</f>
        <v>[]</v>
      </c>
      <c r="W2725" s="148">
        <f>IFERROR(__xludf.DUMMYFUNCTION("""COMPUTED_VALUE"""),1.174E7)</f>
        <v>11740000</v>
      </c>
      <c r="X2725" s="148">
        <f>IFERROR(__xludf.DUMMYFUNCTION("""COMPUTED_VALUE"""),0.0)</f>
        <v>0</v>
      </c>
      <c r="Y2725" s="148">
        <f>IFERROR(__xludf.DUMMYFUNCTION("""COMPUTED_VALUE"""),0.0)</f>
        <v>0</v>
      </c>
      <c r="Z2725" s="148"/>
    </row>
    <row r="2726">
      <c r="A2726" s="148">
        <f>IFERROR(__xludf.DUMMYFUNCTION("""COMPUTED_VALUE"""),1.1119682E7)</f>
        <v>11119682</v>
      </c>
      <c r="B2726" s="148" t="str">
        <f>IFERROR(__xludf.DUMMYFUNCTION("""COMPUTED_VALUE"""),"2025周年庆行军特效-部队光环-14天限时")</f>
        <v>2025周年庆行军特效-部队光环-14天限时</v>
      </c>
      <c r="C2726" s="148"/>
      <c r="D2726" s="148" t="str">
        <f>IFERROR(__xludf.DUMMYFUNCTION("""COMPUTED_VALUE"""),"marching_effect_decoration")</f>
        <v>marching_effect_decoration</v>
      </c>
      <c r="E2726" s="148">
        <f>IFERROR(__xludf.DUMMYFUNCTION("""COMPUTED_VALUE"""),0.0)</f>
        <v>0</v>
      </c>
      <c r="F2726" s="148">
        <f>IFERROR(__xludf.DUMMYFUNCTION("""COMPUTED_VALUE"""),408197.0)</f>
        <v>408197</v>
      </c>
      <c r="G2726" s="148">
        <f>IFERROR(__xludf.DUMMYFUNCTION("""COMPUTED_VALUE"""),1.51102464E8)</f>
        <v>151102464</v>
      </c>
      <c r="H2726" s="148">
        <f>IFERROR(__xludf.DUMMYFUNCTION("""COMPUTED_VALUE"""),1.5112564E7)</f>
        <v>15112564</v>
      </c>
      <c r="I2726" s="148" t="str">
        <f>IFERROR(__xludf.DUMMYFUNCTION("""COMPUTED_VALUE"""),"{""typ"":""lc"",""txt"":""LC_ITEM_time_day_upper_show"",""args"":[{""typ"":""int_unit"",""val"":14}]}")</f>
        <v>{"typ":"lc","txt":"LC_ITEM_time_day_upper_show","args":[{"typ":"int_unit","val":14}]}</v>
      </c>
      <c r="J2726" s="148" t="str">
        <f>IFERROR(__xludf.DUMMYFUNCTION("""COMPUTED_VALUE"""),"{""typ"":""lc"",""txt"":""LC_ITEM_13900001_name_14""}")</f>
        <v>{"typ":"lc","txt":"LC_ITEM_13900001_name_14"}</v>
      </c>
      <c r="K2726" s="148" t="str">
        <f>IFERROR(__xludf.DUMMYFUNCTION("""COMPUTED_VALUE"""),"{""typ"":""lc"",""txt"":""LC_ITEM_13900001_desc""}")</f>
        <v>{"typ":"lc","txt":"LC_ITEM_13900001_desc"}</v>
      </c>
      <c r="L2726" s="148" t="str">
        <f>IFERROR(__xludf.DUMMYFUNCTION("""COMPUTED_VALUE"""),"{""typ"":""lc"",""txt"":""LC_ASSET_suit_actived_tips_1""}")</f>
        <v>{"typ":"lc","txt":"LC_ASSET_suit_actived_tips_1"}</v>
      </c>
      <c r="M2726" s="148">
        <f>IFERROR(__xludf.DUMMYFUNCTION("""COMPUTED_VALUE"""),1000.0)</f>
        <v>1000</v>
      </c>
      <c r="N2726" s="148">
        <f>IFERROR(__xludf.DUMMYFUNCTION("""COMPUTED_VALUE"""),999999.0)</f>
        <v>999999</v>
      </c>
      <c r="O2726" s="148">
        <f>IFERROR(__xludf.DUMMYFUNCTION("""COMPUTED_VALUE"""),99999.0)</f>
        <v>99999</v>
      </c>
      <c r="P2726" s="148">
        <f>IFERROR(__xludf.DUMMYFUNCTION("""COMPUTED_VALUE"""),1.0)</f>
        <v>1</v>
      </c>
      <c r="Q2726" s="148" t="str">
        <f>IFERROR(__xludf.DUMMYFUNCTION("""COMPUTED_VALUE"""),"[""bag_other""]")</f>
        <v>["bag_other"]</v>
      </c>
      <c r="R2726" s="148" t="str">
        <f>IFERROR(__xludf.DUMMYFUNCTION("""COMPUTED_VALUE"""),"[""bag"",""13900001""]")</f>
        <v>["bag","13900001"]</v>
      </c>
      <c r="S2726" s="148" t="str">
        <f>IFERROR(__xludf.DUMMYFUNCTION("""COMPUTED_VALUE"""),"{""effect"":[{""typ"":""marching_effect_decoration"",""id"":13900001,""val"":1209600000},{""typ"":""vm"",""id"":11151001,""val"":1000}]}")</f>
        <v>{"effect":[{"typ":"marching_effect_decoration","id":13900001,"val":1209600000},{"typ":"vm","id":11151001,"val":1000}]}</v>
      </c>
      <c r="T2726" s="148">
        <f>IFERROR(__xludf.DUMMYFUNCTION("""COMPUTED_VALUE"""),-1.0)</f>
        <v>-1</v>
      </c>
      <c r="U2726" s="148">
        <f>IFERROR(__xludf.DUMMYFUNCTION("""COMPUTED_VALUE"""),0.0)</f>
        <v>0</v>
      </c>
      <c r="V2726" s="148" t="str">
        <f>IFERROR(__xludf.DUMMYFUNCTION("""COMPUTED_VALUE"""),"[]")</f>
        <v>[]</v>
      </c>
      <c r="W2726" s="148">
        <f>IFERROR(__xludf.DUMMYFUNCTION("""COMPUTED_VALUE"""),1.174E7)</f>
        <v>11740000</v>
      </c>
      <c r="X2726" s="148">
        <f>IFERROR(__xludf.DUMMYFUNCTION("""COMPUTED_VALUE"""),0.0)</f>
        <v>0</v>
      </c>
      <c r="Y2726" s="148">
        <f>IFERROR(__xludf.DUMMYFUNCTION("""COMPUTED_VALUE"""),0.0)</f>
        <v>0</v>
      </c>
      <c r="Z2726" s="148"/>
    </row>
    <row r="2727">
      <c r="A2727" s="148">
        <f>IFERROR(__xludf.DUMMYFUNCTION("""COMPUTED_VALUE"""),1.1119683E7)</f>
        <v>11119683</v>
      </c>
      <c r="B2727" s="148" t="str">
        <f>IFERROR(__xludf.DUMMYFUNCTION("""COMPUTED_VALUE"""),"2025周年庆行军特效-部队光环-30天限时")</f>
        <v>2025周年庆行军特效-部队光环-30天限时</v>
      </c>
      <c r="C2727" s="148"/>
      <c r="D2727" s="148" t="str">
        <f>IFERROR(__xludf.DUMMYFUNCTION("""COMPUTED_VALUE"""),"marching_effect_decoration")</f>
        <v>marching_effect_decoration</v>
      </c>
      <c r="E2727" s="148">
        <f>IFERROR(__xludf.DUMMYFUNCTION("""COMPUTED_VALUE"""),0.0)</f>
        <v>0</v>
      </c>
      <c r="F2727" s="148">
        <f>IFERROR(__xludf.DUMMYFUNCTION("""COMPUTED_VALUE"""),408197.0)</f>
        <v>408197</v>
      </c>
      <c r="G2727" s="148">
        <f>IFERROR(__xludf.DUMMYFUNCTION("""COMPUTED_VALUE"""),1.51102464E8)</f>
        <v>151102464</v>
      </c>
      <c r="H2727" s="148">
        <f>IFERROR(__xludf.DUMMYFUNCTION("""COMPUTED_VALUE"""),1.5112564E7)</f>
        <v>15112564</v>
      </c>
      <c r="I2727" s="148" t="str">
        <f>IFERROR(__xludf.DUMMYFUNCTION("""COMPUTED_VALUE"""),"{""typ"":""lc"",""txt"":""LC_ITEM_time_day_upper_show"",""args"":[{""typ"":""int_unit"",""val"":30}]}")</f>
        <v>{"typ":"lc","txt":"LC_ITEM_time_day_upper_show","args":[{"typ":"int_unit","val":30}]}</v>
      </c>
      <c r="J2727" s="148" t="str">
        <f>IFERROR(__xludf.DUMMYFUNCTION("""COMPUTED_VALUE"""),"{""typ"":""lc"",""txt"":""LC_ITEM_13900001_name_30""}")</f>
        <v>{"typ":"lc","txt":"LC_ITEM_13900001_name_30"}</v>
      </c>
      <c r="K2727" s="148" t="str">
        <f>IFERROR(__xludf.DUMMYFUNCTION("""COMPUTED_VALUE"""),"{""typ"":""lc"",""txt"":""LC_ITEM_13900001_desc""}")</f>
        <v>{"typ":"lc","txt":"LC_ITEM_13900001_desc"}</v>
      </c>
      <c r="L2727" s="148" t="str">
        <f>IFERROR(__xludf.DUMMYFUNCTION("""COMPUTED_VALUE"""),"{""typ"":""lc"",""txt"":""LC_ASSET_suit_actived_tips_1""}")</f>
        <v>{"typ":"lc","txt":"LC_ASSET_suit_actived_tips_1"}</v>
      </c>
      <c r="M2727" s="148">
        <f>IFERROR(__xludf.DUMMYFUNCTION("""COMPUTED_VALUE"""),1000.0)</f>
        <v>1000</v>
      </c>
      <c r="N2727" s="148">
        <f>IFERROR(__xludf.DUMMYFUNCTION("""COMPUTED_VALUE"""),999999.0)</f>
        <v>999999</v>
      </c>
      <c r="O2727" s="148">
        <f>IFERROR(__xludf.DUMMYFUNCTION("""COMPUTED_VALUE"""),99999.0)</f>
        <v>99999</v>
      </c>
      <c r="P2727" s="148">
        <f>IFERROR(__xludf.DUMMYFUNCTION("""COMPUTED_VALUE"""),1.0)</f>
        <v>1</v>
      </c>
      <c r="Q2727" s="148" t="str">
        <f>IFERROR(__xludf.DUMMYFUNCTION("""COMPUTED_VALUE"""),"[""bag_other""]")</f>
        <v>["bag_other"]</v>
      </c>
      <c r="R2727" s="148" t="str">
        <f>IFERROR(__xludf.DUMMYFUNCTION("""COMPUTED_VALUE"""),"[""bag"",""13900001""]")</f>
        <v>["bag","13900001"]</v>
      </c>
      <c r="S2727" s="148" t="str">
        <f>IFERROR(__xludf.DUMMYFUNCTION("""COMPUTED_VALUE"""),"{""effect"":[{""typ"":""marching_effect_decoration"",""id"":13900001,""val"":2592000000},{""typ"":""vm"",""id"":11151001,""val"":1000}]}")</f>
        <v>{"effect":[{"typ":"marching_effect_decoration","id":13900001,"val":2592000000},{"typ":"vm","id":11151001,"val":1000}]}</v>
      </c>
      <c r="T2727" s="148">
        <f>IFERROR(__xludf.DUMMYFUNCTION("""COMPUTED_VALUE"""),-1.0)</f>
        <v>-1</v>
      </c>
      <c r="U2727" s="148">
        <f>IFERROR(__xludf.DUMMYFUNCTION("""COMPUTED_VALUE"""),0.0)</f>
        <v>0</v>
      </c>
      <c r="V2727" s="148" t="str">
        <f>IFERROR(__xludf.DUMMYFUNCTION("""COMPUTED_VALUE"""),"[]")</f>
        <v>[]</v>
      </c>
      <c r="W2727" s="148">
        <f>IFERROR(__xludf.DUMMYFUNCTION("""COMPUTED_VALUE"""),1.174E7)</f>
        <v>11740000</v>
      </c>
      <c r="X2727" s="148">
        <f>IFERROR(__xludf.DUMMYFUNCTION("""COMPUTED_VALUE"""),0.0)</f>
        <v>0</v>
      </c>
      <c r="Y2727" s="148">
        <f>IFERROR(__xludf.DUMMYFUNCTION("""COMPUTED_VALUE"""),0.0)</f>
        <v>0</v>
      </c>
      <c r="Z2727" s="148"/>
    </row>
    <row r="2728">
      <c r="A2728" s="148">
        <f>IFERROR(__xludf.DUMMYFUNCTION("""COMPUTED_VALUE"""),1.1119684E7)</f>
        <v>11119684</v>
      </c>
      <c r="B2728" s="148" t="str">
        <f>IFERROR(__xludf.DUMMYFUNCTION("""COMPUTED_VALUE"""),"2025周年庆行军特效-尾部装饰-1天限时")</f>
        <v>2025周年庆行军特效-尾部装饰-1天限时</v>
      </c>
      <c r="C2728" s="148"/>
      <c r="D2728" s="148" t="str">
        <f>IFERROR(__xludf.DUMMYFUNCTION("""COMPUTED_VALUE"""),"marching_effect_decoration")</f>
        <v>marching_effect_decoration</v>
      </c>
      <c r="E2728" s="148">
        <f>IFERROR(__xludf.DUMMYFUNCTION("""COMPUTED_VALUE"""),0.0)</f>
        <v>0</v>
      </c>
      <c r="F2728" s="148">
        <f>IFERROR(__xludf.DUMMYFUNCTION("""COMPUTED_VALUE"""),408200.0)</f>
        <v>408200</v>
      </c>
      <c r="G2728" s="148">
        <f>IFERROR(__xludf.DUMMYFUNCTION("""COMPUTED_VALUE"""),1.51102465E8)</f>
        <v>151102465</v>
      </c>
      <c r="H2728" s="148">
        <f>IFERROR(__xludf.DUMMYFUNCTION("""COMPUTED_VALUE"""),1.5112562E7)</f>
        <v>15112562</v>
      </c>
      <c r="I2728" s="148" t="str">
        <f>IFERROR(__xludf.DUMMYFUNCTION("""COMPUTED_VALUE"""),"{""typ"":""lc"",""txt"":""LC_ITEM_time_day_upper_show"",""args"":[{""typ"":""int_unit"",""val"":1}]}")</f>
        <v>{"typ":"lc","txt":"LC_ITEM_time_day_upper_show","args":[{"typ":"int_unit","val":1}]}</v>
      </c>
      <c r="J2728" s="148" t="str">
        <f>IFERROR(__xludf.DUMMYFUNCTION("""COMPUTED_VALUE"""),"{""typ"":""lc"",""txt"":""LC_ITEM_13900002_name_1""}")</f>
        <v>{"typ":"lc","txt":"LC_ITEM_13900002_name_1"}</v>
      </c>
      <c r="K2728" s="148" t="str">
        <f>IFERROR(__xludf.DUMMYFUNCTION("""COMPUTED_VALUE"""),"{""typ"":""lc"",""txt"":""LC_ITEM_13900002_desc""}")</f>
        <v>{"typ":"lc","txt":"LC_ITEM_13900002_desc"}</v>
      </c>
      <c r="L2728" s="148" t="str">
        <f>IFERROR(__xludf.DUMMYFUNCTION("""COMPUTED_VALUE"""),"{""typ"":""lc"",""txt"":""LC_ASSET_suit_actived_tips_1""}")</f>
        <v>{"typ":"lc","txt":"LC_ASSET_suit_actived_tips_1"}</v>
      </c>
      <c r="M2728" s="148">
        <f>IFERROR(__xludf.DUMMYFUNCTION("""COMPUTED_VALUE"""),50.0)</f>
        <v>50</v>
      </c>
      <c r="N2728" s="148">
        <f>IFERROR(__xludf.DUMMYFUNCTION("""COMPUTED_VALUE"""),999999.0)</f>
        <v>999999</v>
      </c>
      <c r="O2728" s="148">
        <f>IFERROR(__xludf.DUMMYFUNCTION("""COMPUTED_VALUE"""),99999.0)</f>
        <v>99999</v>
      </c>
      <c r="P2728" s="148">
        <f>IFERROR(__xludf.DUMMYFUNCTION("""COMPUTED_VALUE"""),1.0)</f>
        <v>1</v>
      </c>
      <c r="Q2728" s="148" t="str">
        <f>IFERROR(__xludf.DUMMYFUNCTION("""COMPUTED_VALUE"""),"[""bag_other""]")</f>
        <v>["bag_other"]</v>
      </c>
      <c r="R2728" s="148" t="str">
        <f>IFERROR(__xludf.DUMMYFUNCTION("""COMPUTED_VALUE"""),"[""bag"",""13900002""]")</f>
        <v>["bag","13900002"]</v>
      </c>
      <c r="S2728" s="148" t="str">
        <f>IFERROR(__xludf.DUMMYFUNCTION("""COMPUTED_VALUE"""),"{""effect"":[{""typ"":""marching_effect_decoration"",""id"":13900002,""val"":86400000},{""typ"":""vm"",""id"":11151001,""val"":50}]}")</f>
        <v>{"effect":[{"typ":"marching_effect_decoration","id":13900002,"val":86400000},{"typ":"vm","id":11151001,"val":50}]}</v>
      </c>
      <c r="T2728" s="148">
        <f>IFERROR(__xludf.DUMMYFUNCTION("""COMPUTED_VALUE"""),-1.0)</f>
        <v>-1</v>
      </c>
      <c r="U2728" s="148">
        <f>IFERROR(__xludf.DUMMYFUNCTION("""COMPUTED_VALUE"""),0.0)</f>
        <v>0</v>
      </c>
      <c r="V2728" s="148" t="str">
        <f>IFERROR(__xludf.DUMMYFUNCTION("""COMPUTED_VALUE"""),"[]")</f>
        <v>[]</v>
      </c>
      <c r="W2728" s="148">
        <f>IFERROR(__xludf.DUMMYFUNCTION("""COMPUTED_VALUE"""),1.174E7)</f>
        <v>11740000</v>
      </c>
      <c r="X2728" s="148">
        <f>IFERROR(__xludf.DUMMYFUNCTION("""COMPUTED_VALUE"""),0.0)</f>
        <v>0</v>
      </c>
      <c r="Y2728" s="148">
        <f>IFERROR(__xludf.DUMMYFUNCTION("""COMPUTED_VALUE"""),0.0)</f>
        <v>0</v>
      </c>
      <c r="Z2728" s="148"/>
    </row>
    <row r="2729">
      <c r="A2729" s="148">
        <f>IFERROR(__xludf.DUMMYFUNCTION("""COMPUTED_VALUE"""),1.1119685E7)</f>
        <v>11119685</v>
      </c>
      <c r="B2729" s="148" t="str">
        <f>IFERROR(__xludf.DUMMYFUNCTION("""COMPUTED_VALUE"""),"2025周年庆行军特效-尾部装饰-3天限时")</f>
        <v>2025周年庆行军特效-尾部装饰-3天限时</v>
      </c>
      <c r="C2729" s="148"/>
      <c r="D2729" s="148" t="str">
        <f>IFERROR(__xludf.DUMMYFUNCTION("""COMPUTED_VALUE"""),"marching_effect_decoration")</f>
        <v>marching_effect_decoration</v>
      </c>
      <c r="E2729" s="148">
        <f>IFERROR(__xludf.DUMMYFUNCTION("""COMPUTED_VALUE"""),0.0)</f>
        <v>0</v>
      </c>
      <c r="F2729" s="148">
        <f>IFERROR(__xludf.DUMMYFUNCTION("""COMPUTED_VALUE"""),408199.0)</f>
        <v>408199</v>
      </c>
      <c r="G2729" s="148">
        <f>IFERROR(__xludf.DUMMYFUNCTION("""COMPUTED_VALUE"""),1.51102465E8)</f>
        <v>151102465</v>
      </c>
      <c r="H2729" s="148">
        <f>IFERROR(__xludf.DUMMYFUNCTION("""COMPUTED_VALUE"""),1.5112563E7)</f>
        <v>15112563</v>
      </c>
      <c r="I2729" s="148" t="str">
        <f>IFERROR(__xludf.DUMMYFUNCTION("""COMPUTED_VALUE"""),"{""typ"":""lc"",""txt"":""LC_ITEM_time_day_upper_show"",""args"":[{""typ"":""int_unit"",""val"":3}]}")</f>
        <v>{"typ":"lc","txt":"LC_ITEM_time_day_upper_show","args":[{"typ":"int_unit","val":3}]}</v>
      </c>
      <c r="J2729" s="148" t="str">
        <f>IFERROR(__xludf.DUMMYFUNCTION("""COMPUTED_VALUE"""),"{""typ"":""lc"",""txt"":""LC_ITEM_13900002_name_3""}")</f>
        <v>{"typ":"lc","txt":"LC_ITEM_13900002_name_3"}</v>
      </c>
      <c r="K2729" s="148" t="str">
        <f>IFERROR(__xludf.DUMMYFUNCTION("""COMPUTED_VALUE"""),"{""typ"":""lc"",""txt"":""LC_ITEM_13900002_desc""}")</f>
        <v>{"typ":"lc","txt":"LC_ITEM_13900002_desc"}</v>
      </c>
      <c r="L2729" s="148" t="str">
        <f>IFERROR(__xludf.DUMMYFUNCTION("""COMPUTED_VALUE"""),"{""typ"":""lc"",""txt"":""LC_ASSET_suit_actived_tips_1""}")</f>
        <v>{"typ":"lc","txt":"LC_ASSET_suit_actived_tips_1"}</v>
      </c>
      <c r="M2729" s="148">
        <f>IFERROR(__xludf.DUMMYFUNCTION("""COMPUTED_VALUE"""),200.0)</f>
        <v>200</v>
      </c>
      <c r="N2729" s="148">
        <f>IFERROR(__xludf.DUMMYFUNCTION("""COMPUTED_VALUE"""),999999.0)</f>
        <v>999999</v>
      </c>
      <c r="O2729" s="148">
        <f>IFERROR(__xludf.DUMMYFUNCTION("""COMPUTED_VALUE"""),99999.0)</f>
        <v>99999</v>
      </c>
      <c r="P2729" s="148">
        <f>IFERROR(__xludf.DUMMYFUNCTION("""COMPUTED_VALUE"""),1.0)</f>
        <v>1</v>
      </c>
      <c r="Q2729" s="148" t="str">
        <f>IFERROR(__xludf.DUMMYFUNCTION("""COMPUTED_VALUE"""),"[""bag_other""]")</f>
        <v>["bag_other"]</v>
      </c>
      <c r="R2729" s="148" t="str">
        <f>IFERROR(__xludf.DUMMYFUNCTION("""COMPUTED_VALUE"""),"[""bag"",""13900002""]")</f>
        <v>["bag","13900002"]</v>
      </c>
      <c r="S2729" s="148" t="str">
        <f>IFERROR(__xludf.DUMMYFUNCTION("""COMPUTED_VALUE"""),"{""effect"":[{""typ"":""marching_effect_decoration"",""id"":13900002,""val"":259200000},{""typ"":""vm"",""id"":11151001,""val"":200}]}")</f>
        <v>{"effect":[{"typ":"marching_effect_decoration","id":13900002,"val":259200000},{"typ":"vm","id":11151001,"val":200}]}</v>
      </c>
      <c r="T2729" s="148">
        <f>IFERROR(__xludf.DUMMYFUNCTION("""COMPUTED_VALUE"""),-1.0)</f>
        <v>-1</v>
      </c>
      <c r="U2729" s="148">
        <f>IFERROR(__xludf.DUMMYFUNCTION("""COMPUTED_VALUE"""),0.0)</f>
        <v>0</v>
      </c>
      <c r="V2729" s="148" t="str">
        <f>IFERROR(__xludf.DUMMYFUNCTION("""COMPUTED_VALUE"""),"[]")</f>
        <v>[]</v>
      </c>
      <c r="W2729" s="148">
        <f>IFERROR(__xludf.DUMMYFUNCTION("""COMPUTED_VALUE"""),1.174E7)</f>
        <v>11740000</v>
      </c>
      <c r="X2729" s="148">
        <f>IFERROR(__xludf.DUMMYFUNCTION("""COMPUTED_VALUE"""),0.0)</f>
        <v>0</v>
      </c>
      <c r="Y2729" s="148">
        <f>IFERROR(__xludf.DUMMYFUNCTION("""COMPUTED_VALUE"""),0.0)</f>
        <v>0</v>
      </c>
      <c r="Z2729" s="148"/>
    </row>
    <row r="2730">
      <c r="A2730" s="148">
        <f>IFERROR(__xludf.DUMMYFUNCTION("""COMPUTED_VALUE"""),1.1119686E7)</f>
        <v>11119686</v>
      </c>
      <c r="B2730" s="148" t="str">
        <f>IFERROR(__xludf.DUMMYFUNCTION("""COMPUTED_VALUE"""),"2025周年庆行军特效-尾部装饰-7天限时")</f>
        <v>2025周年庆行军特效-尾部装饰-7天限时</v>
      </c>
      <c r="C2730" s="148"/>
      <c r="D2730" s="148" t="str">
        <f>IFERROR(__xludf.DUMMYFUNCTION("""COMPUTED_VALUE"""),"marching_effect_decoration")</f>
        <v>marching_effect_decoration</v>
      </c>
      <c r="E2730" s="148">
        <f>IFERROR(__xludf.DUMMYFUNCTION("""COMPUTED_VALUE"""),0.0)</f>
        <v>0</v>
      </c>
      <c r="F2730" s="148">
        <f>IFERROR(__xludf.DUMMYFUNCTION("""COMPUTED_VALUE"""),408198.0)</f>
        <v>408198</v>
      </c>
      <c r="G2730" s="148">
        <f>IFERROR(__xludf.DUMMYFUNCTION("""COMPUTED_VALUE"""),1.51102465E8)</f>
        <v>151102465</v>
      </c>
      <c r="H2730" s="148">
        <f>IFERROR(__xludf.DUMMYFUNCTION("""COMPUTED_VALUE"""),1.5112563E7)</f>
        <v>15112563</v>
      </c>
      <c r="I2730" s="148" t="str">
        <f>IFERROR(__xludf.DUMMYFUNCTION("""COMPUTED_VALUE"""),"{""typ"":""lc"",""txt"":""LC_ITEM_time_day_upper_show"",""args"":[{""typ"":""int_unit"",""val"":7}]}")</f>
        <v>{"typ":"lc","txt":"LC_ITEM_time_day_upper_show","args":[{"typ":"int_unit","val":7}]}</v>
      </c>
      <c r="J2730" s="148" t="str">
        <f>IFERROR(__xludf.DUMMYFUNCTION("""COMPUTED_VALUE"""),"{""typ"":""lc"",""txt"":""LC_ITEM_13900002_name_7""}")</f>
        <v>{"typ":"lc","txt":"LC_ITEM_13900002_name_7"}</v>
      </c>
      <c r="K2730" s="148" t="str">
        <f>IFERROR(__xludf.DUMMYFUNCTION("""COMPUTED_VALUE"""),"{""typ"":""lc"",""txt"":""LC_ITEM_13900002_desc""}")</f>
        <v>{"typ":"lc","txt":"LC_ITEM_13900002_desc"}</v>
      </c>
      <c r="L2730" s="148" t="str">
        <f>IFERROR(__xludf.DUMMYFUNCTION("""COMPUTED_VALUE"""),"{""typ"":""lc"",""txt"":""LC_ASSET_suit_actived_tips_1""}")</f>
        <v>{"typ":"lc","txt":"LC_ASSET_suit_actived_tips_1"}</v>
      </c>
      <c r="M2730" s="148">
        <f>IFERROR(__xludf.DUMMYFUNCTION("""COMPUTED_VALUE"""),500.0)</f>
        <v>500</v>
      </c>
      <c r="N2730" s="148">
        <f>IFERROR(__xludf.DUMMYFUNCTION("""COMPUTED_VALUE"""),999999.0)</f>
        <v>999999</v>
      </c>
      <c r="O2730" s="148">
        <f>IFERROR(__xludf.DUMMYFUNCTION("""COMPUTED_VALUE"""),99999.0)</f>
        <v>99999</v>
      </c>
      <c r="P2730" s="148">
        <f>IFERROR(__xludf.DUMMYFUNCTION("""COMPUTED_VALUE"""),1.0)</f>
        <v>1</v>
      </c>
      <c r="Q2730" s="148" t="str">
        <f>IFERROR(__xludf.DUMMYFUNCTION("""COMPUTED_VALUE"""),"[""bag_other""]")</f>
        <v>["bag_other"]</v>
      </c>
      <c r="R2730" s="148" t="str">
        <f>IFERROR(__xludf.DUMMYFUNCTION("""COMPUTED_VALUE"""),"[""bag"",""13900002""]")</f>
        <v>["bag","13900002"]</v>
      </c>
      <c r="S2730" s="148" t="str">
        <f>IFERROR(__xludf.DUMMYFUNCTION("""COMPUTED_VALUE"""),"{""effect"":[{""typ"":""marching_effect_decoration"",""id"":13900002,""val"":604800000},{""typ"":""vm"",""id"":11151001,""val"":500}]}")</f>
        <v>{"effect":[{"typ":"marching_effect_decoration","id":13900002,"val":604800000},{"typ":"vm","id":11151001,"val":500}]}</v>
      </c>
      <c r="T2730" s="148">
        <f>IFERROR(__xludf.DUMMYFUNCTION("""COMPUTED_VALUE"""),-1.0)</f>
        <v>-1</v>
      </c>
      <c r="U2730" s="148">
        <f>IFERROR(__xludf.DUMMYFUNCTION("""COMPUTED_VALUE"""),0.0)</f>
        <v>0</v>
      </c>
      <c r="V2730" s="148" t="str">
        <f>IFERROR(__xludf.DUMMYFUNCTION("""COMPUTED_VALUE"""),"[]")</f>
        <v>[]</v>
      </c>
      <c r="W2730" s="148">
        <f>IFERROR(__xludf.DUMMYFUNCTION("""COMPUTED_VALUE"""),1.174E7)</f>
        <v>11740000</v>
      </c>
      <c r="X2730" s="148">
        <f>IFERROR(__xludf.DUMMYFUNCTION("""COMPUTED_VALUE"""),0.0)</f>
        <v>0</v>
      </c>
      <c r="Y2730" s="148">
        <f>IFERROR(__xludf.DUMMYFUNCTION("""COMPUTED_VALUE"""),0.0)</f>
        <v>0</v>
      </c>
      <c r="Z2730" s="148"/>
    </row>
    <row r="2731">
      <c r="A2731" s="148">
        <f>IFERROR(__xludf.DUMMYFUNCTION("""COMPUTED_VALUE"""),1.1119687E7)</f>
        <v>11119687</v>
      </c>
      <c r="B2731" s="148" t="str">
        <f>IFERROR(__xludf.DUMMYFUNCTION("""COMPUTED_VALUE"""),"2025周年庆行军特效-尾部装饰-14天限时")</f>
        <v>2025周年庆行军特效-尾部装饰-14天限时</v>
      </c>
      <c r="C2731" s="148"/>
      <c r="D2731" s="148" t="str">
        <f>IFERROR(__xludf.DUMMYFUNCTION("""COMPUTED_VALUE"""),"marching_effect_decoration")</f>
        <v>marching_effect_decoration</v>
      </c>
      <c r="E2731" s="148">
        <f>IFERROR(__xludf.DUMMYFUNCTION("""COMPUTED_VALUE"""),0.0)</f>
        <v>0</v>
      </c>
      <c r="F2731" s="148">
        <f>IFERROR(__xludf.DUMMYFUNCTION("""COMPUTED_VALUE"""),408197.0)</f>
        <v>408197</v>
      </c>
      <c r="G2731" s="148">
        <f>IFERROR(__xludf.DUMMYFUNCTION("""COMPUTED_VALUE"""),1.51102465E8)</f>
        <v>151102465</v>
      </c>
      <c r="H2731" s="148">
        <f>IFERROR(__xludf.DUMMYFUNCTION("""COMPUTED_VALUE"""),1.5112564E7)</f>
        <v>15112564</v>
      </c>
      <c r="I2731" s="148" t="str">
        <f>IFERROR(__xludf.DUMMYFUNCTION("""COMPUTED_VALUE"""),"{""typ"":""lc"",""txt"":""LC_ITEM_time_day_upper_show"",""args"":[{""typ"":""int_unit"",""val"":14}]}")</f>
        <v>{"typ":"lc","txt":"LC_ITEM_time_day_upper_show","args":[{"typ":"int_unit","val":14}]}</v>
      </c>
      <c r="J2731" s="148" t="str">
        <f>IFERROR(__xludf.DUMMYFUNCTION("""COMPUTED_VALUE"""),"{""typ"":""lc"",""txt"":""LC_ITEM_13900002_name_14""}")</f>
        <v>{"typ":"lc","txt":"LC_ITEM_13900002_name_14"}</v>
      </c>
      <c r="K2731" s="148" t="str">
        <f>IFERROR(__xludf.DUMMYFUNCTION("""COMPUTED_VALUE"""),"{""typ"":""lc"",""txt"":""LC_ITEM_13900002_desc""}")</f>
        <v>{"typ":"lc","txt":"LC_ITEM_13900002_desc"}</v>
      </c>
      <c r="L2731" s="148" t="str">
        <f>IFERROR(__xludf.DUMMYFUNCTION("""COMPUTED_VALUE"""),"{""typ"":""lc"",""txt"":""LC_ASSET_suit_actived_tips_1""}")</f>
        <v>{"typ":"lc","txt":"LC_ASSET_suit_actived_tips_1"}</v>
      </c>
      <c r="M2731" s="148">
        <f>IFERROR(__xludf.DUMMYFUNCTION("""COMPUTED_VALUE"""),1000.0)</f>
        <v>1000</v>
      </c>
      <c r="N2731" s="148">
        <f>IFERROR(__xludf.DUMMYFUNCTION("""COMPUTED_VALUE"""),999999.0)</f>
        <v>999999</v>
      </c>
      <c r="O2731" s="148">
        <f>IFERROR(__xludf.DUMMYFUNCTION("""COMPUTED_VALUE"""),99999.0)</f>
        <v>99999</v>
      </c>
      <c r="P2731" s="148">
        <f>IFERROR(__xludf.DUMMYFUNCTION("""COMPUTED_VALUE"""),1.0)</f>
        <v>1</v>
      </c>
      <c r="Q2731" s="148" t="str">
        <f>IFERROR(__xludf.DUMMYFUNCTION("""COMPUTED_VALUE"""),"[""bag_other""]")</f>
        <v>["bag_other"]</v>
      </c>
      <c r="R2731" s="148" t="str">
        <f>IFERROR(__xludf.DUMMYFUNCTION("""COMPUTED_VALUE"""),"[""bag"",""13900002""]")</f>
        <v>["bag","13900002"]</v>
      </c>
      <c r="S2731" s="148" t="str">
        <f>IFERROR(__xludf.DUMMYFUNCTION("""COMPUTED_VALUE"""),"{""effect"":[{""typ"":""marching_effect_decoration"",""id"":13900002,""val"":1209600000},{""typ"":""vm"",""id"":11151001,""val"":1000}]}")</f>
        <v>{"effect":[{"typ":"marching_effect_decoration","id":13900002,"val":1209600000},{"typ":"vm","id":11151001,"val":1000}]}</v>
      </c>
      <c r="T2731" s="148">
        <f>IFERROR(__xludf.DUMMYFUNCTION("""COMPUTED_VALUE"""),-1.0)</f>
        <v>-1</v>
      </c>
      <c r="U2731" s="148">
        <f>IFERROR(__xludf.DUMMYFUNCTION("""COMPUTED_VALUE"""),0.0)</f>
        <v>0</v>
      </c>
      <c r="V2731" s="148" t="str">
        <f>IFERROR(__xludf.DUMMYFUNCTION("""COMPUTED_VALUE"""),"[]")</f>
        <v>[]</v>
      </c>
      <c r="W2731" s="148">
        <f>IFERROR(__xludf.DUMMYFUNCTION("""COMPUTED_VALUE"""),1.174E7)</f>
        <v>11740000</v>
      </c>
      <c r="X2731" s="148">
        <f>IFERROR(__xludf.DUMMYFUNCTION("""COMPUTED_VALUE"""),0.0)</f>
        <v>0</v>
      </c>
      <c r="Y2731" s="148">
        <f>IFERROR(__xludf.DUMMYFUNCTION("""COMPUTED_VALUE"""),0.0)</f>
        <v>0</v>
      </c>
      <c r="Z2731" s="148"/>
    </row>
    <row r="2732">
      <c r="A2732" s="148">
        <f>IFERROR(__xludf.DUMMYFUNCTION("""COMPUTED_VALUE"""),1.1119688E7)</f>
        <v>11119688</v>
      </c>
      <c r="B2732" s="148" t="str">
        <f>IFERROR(__xludf.DUMMYFUNCTION("""COMPUTED_VALUE"""),"2025周年庆行军特效-尾部装饰-30天限时")</f>
        <v>2025周年庆行军特效-尾部装饰-30天限时</v>
      </c>
      <c r="C2732" s="148"/>
      <c r="D2732" s="148" t="str">
        <f>IFERROR(__xludf.DUMMYFUNCTION("""COMPUTED_VALUE"""),"marching_effect_decoration")</f>
        <v>marching_effect_decoration</v>
      </c>
      <c r="E2732" s="148">
        <f>IFERROR(__xludf.DUMMYFUNCTION("""COMPUTED_VALUE"""),0.0)</f>
        <v>0</v>
      </c>
      <c r="F2732" s="148">
        <f>IFERROR(__xludf.DUMMYFUNCTION("""COMPUTED_VALUE"""),408197.0)</f>
        <v>408197</v>
      </c>
      <c r="G2732" s="148">
        <f>IFERROR(__xludf.DUMMYFUNCTION("""COMPUTED_VALUE"""),1.51102465E8)</f>
        <v>151102465</v>
      </c>
      <c r="H2732" s="148">
        <f>IFERROR(__xludf.DUMMYFUNCTION("""COMPUTED_VALUE"""),1.5112564E7)</f>
        <v>15112564</v>
      </c>
      <c r="I2732" s="148" t="str">
        <f>IFERROR(__xludf.DUMMYFUNCTION("""COMPUTED_VALUE"""),"{""typ"":""lc"",""txt"":""LC_ITEM_time_day_upper_show"",""args"":[{""typ"":""int_unit"",""val"":30}]}")</f>
        <v>{"typ":"lc","txt":"LC_ITEM_time_day_upper_show","args":[{"typ":"int_unit","val":30}]}</v>
      </c>
      <c r="J2732" s="148" t="str">
        <f>IFERROR(__xludf.DUMMYFUNCTION("""COMPUTED_VALUE"""),"{""typ"":""lc"",""txt"":""LC_ITEM_13900002_name_30""}")</f>
        <v>{"typ":"lc","txt":"LC_ITEM_13900002_name_30"}</v>
      </c>
      <c r="K2732" s="148" t="str">
        <f>IFERROR(__xludf.DUMMYFUNCTION("""COMPUTED_VALUE"""),"{""typ"":""lc"",""txt"":""LC_ITEM_13900002_desc""}")</f>
        <v>{"typ":"lc","txt":"LC_ITEM_13900002_desc"}</v>
      </c>
      <c r="L2732" s="148" t="str">
        <f>IFERROR(__xludf.DUMMYFUNCTION("""COMPUTED_VALUE"""),"{""typ"":""lc"",""txt"":""LC_ASSET_suit_actived_tips_1""}")</f>
        <v>{"typ":"lc","txt":"LC_ASSET_suit_actived_tips_1"}</v>
      </c>
      <c r="M2732" s="148">
        <f>IFERROR(__xludf.DUMMYFUNCTION("""COMPUTED_VALUE"""),1000.0)</f>
        <v>1000</v>
      </c>
      <c r="N2732" s="148">
        <f>IFERROR(__xludf.DUMMYFUNCTION("""COMPUTED_VALUE"""),999999.0)</f>
        <v>999999</v>
      </c>
      <c r="O2732" s="148">
        <f>IFERROR(__xludf.DUMMYFUNCTION("""COMPUTED_VALUE"""),99999.0)</f>
        <v>99999</v>
      </c>
      <c r="P2732" s="148">
        <f>IFERROR(__xludf.DUMMYFUNCTION("""COMPUTED_VALUE"""),1.0)</f>
        <v>1</v>
      </c>
      <c r="Q2732" s="148" t="str">
        <f>IFERROR(__xludf.DUMMYFUNCTION("""COMPUTED_VALUE"""),"[""bag_other""]")</f>
        <v>["bag_other"]</v>
      </c>
      <c r="R2732" s="148" t="str">
        <f>IFERROR(__xludf.DUMMYFUNCTION("""COMPUTED_VALUE"""),"[""bag"",""13900002""]")</f>
        <v>["bag","13900002"]</v>
      </c>
      <c r="S2732" s="148" t="str">
        <f>IFERROR(__xludf.DUMMYFUNCTION("""COMPUTED_VALUE"""),"{""effect"":[{""typ"":""marching_effect_decoration"",""id"":13900002,""val"":2592000000},{""typ"":""vm"",""id"":11151001,""val"":1000}]}")</f>
        <v>{"effect":[{"typ":"marching_effect_decoration","id":13900002,"val":2592000000},{"typ":"vm","id":11151001,"val":1000}]}</v>
      </c>
      <c r="T2732" s="148">
        <f>IFERROR(__xludf.DUMMYFUNCTION("""COMPUTED_VALUE"""),-1.0)</f>
        <v>-1</v>
      </c>
      <c r="U2732" s="148">
        <f>IFERROR(__xludf.DUMMYFUNCTION("""COMPUTED_VALUE"""),0.0)</f>
        <v>0</v>
      </c>
      <c r="V2732" s="148" t="str">
        <f>IFERROR(__xludf.DUMMYFUNCTION("""COMPUTED_VALUE"""),"[]")</f>
        <v>[]</v>
      </c>
      <c r="W2732" s="148">
        <f>IFERROR(__xludf.DUMMYFUNCTION("""COMPUTED_VALUE"""),1.174E7)</f>
        <v>11740000</v>
      </c>
      <c r="X2732" s="148">
        <f>IFERROR(__xludf.DUMMYFUNCTION("""COMPUTED_VALUE"""),0.0)</f>
        <v>0</v>
      </c>
      <c r="Y2732" s="148">
        <f>IFERROR(__xludf.DUMMYFUNCTION("""COMPUTED_VALUE"""),0.0)</f>
        <v>0</v>
      </c>
      <c r="Z2732" s="148"/>
    </row>
    <row r="2733">
      <c r="A2733" s="148">
        <f>IFERROR(__xludf.DUMMYFUNCTION("""COMPUTED_VALUE"""),1.1119689E7)</f>
        <v>11119689</v>
      </c>
      <c r="B2733" s="148" t="str">
        <f>IFERROR(__xludf.DUMMYFUNCTION("""COMPUTED_VALUE"""),"2025周年庆行军特效-头顶特效-1天限时")</f>
        <v>2025周年庆行军特效-头顶特效-1天限时</v>
      </c>
      <c r="C2733" s="148"/>
      <c r="D2733" s="148" t="str">
        <f>IFERROR(__xludf.DUMMYFUNCTION("""COMPUTED_VALUE"""),"marching_effect_decoration")</f>
        <v>marching_effect_decoration</v>
      </c>
      <c r="E2733" s="148">
        <f>IFERROR(__xludf.DUMMYFUNCTION("""COMPUTED_VALUE"""),0.0)</f>
        <v>0</v>
      </c>
      <c r="F2733" s="148">
        <f>IFERROR(__xludf.DUMMYFUNCTION("""COMPUTED_VALUE"""),408200.0)</f>
        <v>408200</v>
      </c>
      <c r="G2733" s="148">
        <f>IFERROR(__xludf.DUMMYFUNCTION("""COMPUTED_VALUE"""),1.51102466E8)</f>
        <v>151102466</v>
      </c>
      <c r="H2733" s="148">
        <f>IFERROR(__xludf.DUMMYFUNCTION("""COMPUTED_VALUE"""),1.5112563E7)</f>
        <v>15112563</v>
      </c>
      <c r="I2733" s="148" t="str">
        <f>IFERROR(__xludf.DUMMYFUNCTION("""COMPUTED_VALUE"""),"{""typ"":""lc"",""txt"":""LC_ITEM_time_day_upper_show"",""args"":[{""typ"":""int_unit"",""val"":1}]}")</f>
        <v>{"typ":"lc","txt":"LC_ITEM_time_day_upper_show","args":[{"typ":"int_unit","val":1}]}</v>
      </c>
      <c r="J2733" s="148" t="str">
        <f>IFERROR(__xludf.DUMMYFUNCTION("""COMPUTED_VALUE"""),"{""typ"":""lc"",""txt"":""LC_ITEM_13900003_name_1""}")</f>
        <v>{"typ":"lc","txt":"LC_ITEM_13900003_name_1"}</v>
      </c>
      <c r="K2733" s="148" t="str">
        <f>IFERROR(__xludf.DUMMYFUNCTION("""COMPUTED_VALUE"""),"{""typ"":""lc"",""txt"":""LC_ITEM_13900003_desc""}")</f>
        <v>{"typ":"lc","txt":"LC_ITEM_13900003_desc"}</v>
      </c>
      <c r="L2733" s="148" t="str">
        <f>IFERROR(__xludf.DUMMYFUNCTION("""COMPUTED_VALUE"""),"{""typ"":""lc"",""txt"":""LC_ASSET_suit_actived_tips_1""}")</f>
        <v>{"typ":"lc","txt":"LC_ASSET_suit_actived_tips_1"}</v>
      </c>
      <c r="M2733" s="148">
        <f>IFERROR(__xludf.DUMMYFUNCTION("""COMPUTED_VALUE"""),50.0)</f>
        <v>50</v>
      </c>
      <c r="N2733" s="148">
        <f>IFERROR(__xludf.DUMMYFUNCTION("""COMPUTED_VALUE"""),999999.0)</f>
        <v>999999</v>
      </c>
      <c r="O2733" s="148">
        <f>IFERROR(__xludf.DUMMYFUNCTION("""COMPUTED_VALUE"""),99999.0)</f>
        <v>99999</v>
      </c>
      <c r="P2733" s="148">
        <f>IFERROR(__xludf.DUMMYFUNCTION("""COMPUTED_VALUE"""),1.0)</f>
        <v>1</v>
      </c>
      <c r="Q2733" s="148" t="str">
        <f>IFERROR(__xludf.DUMMYFUNCTION("""COMPUTED_VALUE"""),"[""bag_other""]")</f>
        <v>["bag_other"]</v>
      </c>
      <c r="R2733" s="148" t="str">
        <f>IFERROR(__xludf.DUMMYFUNCTION("""COMPUTED_VALUE"""),"[""bag"",""13900003""]")</f>
        <v>["bag","13900003"]</v>
      </c>
      <c r="S2733" s="148" t="str">
        <f>IFERROR(__xludf.DUMMYFUNCTION("""COMPUTED_VALUE"""),"{""effect"":[{""typ"":""marching_effect_decoration"",""id"":13900003,""val"":86400000},{""typ"":""vm"",""id"":11151001,""val"":50}]}")</f>
        <v>{"effect":[{"typ":"marching_effect_decoration","id":13900003,"val":86400000},{"typ":"vm","id":11151001,"val":50}]}</v>
      </c>
      <c r="T2733" s="148">
        <f>IFERROR(__xludf.DUMMYFUNCTION("""COMPUTED_VALUE"""),-1.0)</f>
        <v>-1</v>
      </c>
      <c r="U2733" s="148">
        <f>IFERROR(__xludf.DUMMYFUNCTION("""COMPUTED_VALUE"""),0.0)</f>
        <v>0</v>
      </c>
      <c r="V2733" s="148" t="str">
        <f>IFERROR(__xludf.DUMMYFUNCTION("""COMPUTED_VALUE"""),"[]")</f>
        <v>[]</v>
      </c>
      <c r="W2733" s="148">
        <f>IFERROR(__xludf.DUMMYFUNCTION("""COMPUTED_VALUE"""),1.174E7)</f>
        <v>11740000</v>
      </c>
      <c r="X2733" s="148">
        <f>IFERROR(__xludf.DUMMYFUNCTION("""COMPUTED_VALUE"""),0.0)</f>
        <v>0</v>
      </c>
      <c r="Y2733" s="148">
        <f>IFERROR(__xludf.DUMMYFUNCTION("""COMPUTED_VALUE"""),0.0)</f>
        <v>0</v>
      </c>
      <c r="Z2733" s="148"/>
    </row>
    <row r="2734">
      <c r="A2734" s="148">
        <f>IFERROR(__xludf.DUMMYFUNCTION("""COMPUTED_VALUE"""),1.111969E7)</f>
        <v>11119690</v>
      </c>
      <c r="B2734" s="148" t="str">
        <f>IFERROR(__xludf.DUMMYFUNCTION("""COMPUTED_VALUE"""),"2025周年庆行军特效-头顶特效-3天限时")</f>
        <v>2025周年庆行军特效-头顶特效-3天限时</v>
      </c>
      <c r="C2734" s="148"/>
      <c r="D2734" s="148" t="str">
        <f>IFERROR(__xludf.DUMMYFUNCTION("""COMPUTED_VALUE"""),"marching_effect_decoration")</f>
        <v>marching_effect_decoration</v>
      </c>
      <c r="E2734" s="148">
        <f>IFERROR(__xludf.DUMMYFUNCTION("""COMPUTED_VALUE"""),0.0)</f>
        <v>0</v>
      </c>
      <c r="F2734" s="148">
        <f>IFERROR(__xludf.DUMMYFUNCTION("""COMPUTED_VALUE"""),408199.0)</f>
        <v>408199</v>
      </c>
      <c r="G2734" s="148">
        <f>IFERROR(__xludf.DUMMYFUNCTION("""COMPUTED_VALUE"""),1.51102466E8)</f>
        <v>151102466</v>
      </c>
      <c r="H2734" s="148">
        <f>IFERROR(__xludf.DUMMYFUNCTION("""COMPUTED_VALUE"""),1.5112563E7)</f>
        <v>15112563</v>
      </c>
      <c r="I2734" s="148" t="str">
        <f>IFERROR(__xludf.DUMMYFUNCTION("""COMPUTED_VALUE"""),"{""typ"":""lc"",""txt"":""LC_ITEM_time_day_upper_show"",""args"":[{""typ"":""int_unit"",""val"":3}]}")</f>
        <v>{"typ":"lc","txt":"LC_ITEM_time_day_upper_show","args":[{"typ":"int_unit","val":3}]}</v>
      </c>
      <c r="J2734" s="148" t="str">
        <f>IFERROR(__xludf.DUMMYFUNCTION("""COMPUTED_VALUE"""),"{""typ"":""lc"",""txt"":""LC_ITEM_13900003_name_3""}")</f>
        <v>{"typ":"lc","txt":"LC_ITEM_13900003_name_3"}</v>
      </c>
      <c r="K2734" s="148" t="str">
        <f>IFERROR(__xludf.DUMMYFUNCTION("""COMPUTED_VALUE"""),"{""typ"":""lc"",""txt"":""LC_ITEM_13900003_desc""}")</f>
        <v>{"typ":"lc","txt":"LC_ITEM_13900003_desc"}</v>
      </c>
      <c r="L2734" s="148" t="str">
        <f>IFERROR(__xludf.DUMMYFUNCTION("""COMPUTED_VALUE"""),"{""typ"":""lc"",""txt"":""LC_ASSET_suit_actived_tips_1""}")</f>
        <v>{"typ":"lc","txt":"LC_ASSET_suit_actived_tips_1"}</v>
      </c>
      <c r="M2734" s="148">
        <f>IFERROR(__xludf.DUMMYFUNCTION("""COMPUTED_VALUE"""),200.0)</f>
        <v>200</v>
      </c>
      <c r="N2734" s="148">
        <f>IFERROR(__xludf.DUMMYFUNCTION("""COMPUTED_VALUE"""),999999.0)</f>
        <v>999999</v>
      </c>
      <c r="O2734" s="148">
        <f>IFERROR(__xludf.DUMMYFUNCTION("""COMPUTED_VALUE"""),99999.0)</f>
        <v>99999</v>
      </c>
      <c r="P2734" s="148">
        <f>IFERROR(__xludf.DUMMYFUNCTION("""COMPUTED_VALUE"""),1.0)</f>
        <v>1</v>
      </c>
      <c r="Q2734" s="148" t="str">
        <f>IFERROR(__xludf.DUMMYFUNCTION("""COMPUTED_VALUE"""),"[""bag_other""]")</f>
        <v>["bag_other"]</v>
      </c>
      <c r="R2734" s="148" t="str">
        <f>IFERROR(__xludf.DUMMYFUNCTION("""COMPUTED_VALUE"""),"[""bag"",""13900003""]")</f>
        <v>["bag","13900003"]</v>
      </c>
      <c r="S2734" s="148" t="str">
        <f>IFERROR(__xludf.DUMMYFUNCTION("""COMPUTED_VALUE"""),"{""effect"":[{""typ"":""marching_effect_decoration"",""id"":13900003,""val"":259200000},{""typ"":""vm"",""id"":11151001,""val"":200}]}")</f>
        <v>{"effect":[{"typ":"marching_effect_decoration","id":13900003,"val":259200000},{"typ":"vm","id":11151001,"val":200}]}</v>
      </c>
      <c r="T2734" s="148">
        <f>IFERROR(__xludf.DUMMYFUNCTION("""COMPUTED_VALUE"""),-1.0)</f>
        <v>-1</v>
      </c>
      <c r="U2734" s="148">
        <f>IFERROR(__xludf.DUMMYFUNCTION("""COMPUTED_VALUE"""),0.0)</f>
        <v>0</v>
      </c>
      <c r="V2734" s="148" t="str">
        <f>IFERROR(__xludf.DUMMYFUNCTION("""COMPUTED_VALUE"""),"[]")</f>
        <v>[]</v>
      </c>
      <c r="W2734" s="148">
        <f>IFERROR(__xludf.DUMMYFUNCTION("""COMPUTED_VALUE"""),1.174E7)</f>
        <v>11740000</v>
      </c>
      <c r="X2734" s="148">
        <f>IFERROR(__xludf.DUMMYFUNCTION("""COMPUTED_VALUE"""),0.0)</f>
        <v>0</v>
      </c>
      <c r="Y2734" s="148">
        <f>IFERROR(__xludf.DUMMYFUNCTION("""COMPUTED_VALUE"""),0.0)</f>
        <v>0</v>
      </c>
      <c r="Z2734" s="148"/>
    </row>
    <row r="2735">
      <c r="A2735" s="148">
        <f>IFERROR(__xludf.DUMMYFUNCTION("""COMPUTED_VALUE"""),1.1119691E7)</f>
        <v>11119691</v>
      </c>
      <c r="B2735" s="148" t="str">
        <f>IFERROR(__xludf.DUMMYFUNCTION("""COMPUTED_VALUE"""),"2025周年庆行军特效-头顶特效-7天限时")</f>
        <v>2025周年庆行军特效-头顶特效-7天限时</v>
      </c>
      <c r="C2735" s="148"/>
      <c r="D2735" s="148" t="str">
        <f>IFERROR(__xludf.DUMMYFUNCTION("""COMPUTED_VALUE"""),"marching_effect_decoration")</f>
        <v>marching_effect_decoration</v>
      </c>
      <c r="E2735" s="148">
        <f>IFERROR(__xludf.DUMMYFUNCTION("""COMPUTED_VALUE"""),0.0)</f>
        <v>0</v>
      </c>
      <c r="F2735" s="148">
        <f>IFERROR(__xludf.DUMMYFUNCTION("""COMPUTED_VALUE"""),408198.0)</f>
        <v>408198</v>
      </c>
      <c r="G2735" s="148">
        <f>IFERROR(__xludf.DUMMYFUNCTION("""COMPUTED_VALUE"""),1.51102466E8)</f>
        <v>151102466</v>
      </c>
      <c r="H2735" s="148">
        <f>IFERROR(__xludf.DUMMYFUNCTION("""COMPUTED_VALUE"""),1.5112564E7)</f>
        <v>15112564</v>
      </c>
      <c r="I2735" s="148" t="str">
        <f>IFERROR(__xludf.DUMMYFUNCTION("""COMPUTED_VALUE"""),"{""typ"":""lc"",""txt"":""LC_ITEM_time_day_upper_show"",""args"":[{""typ"":""int_unit"",""val"":7}]}")</f>
        <v>{"typ":"lc","txt":"LC_ITEM_time_day_upper_show","args":[{"typ":"int_unit","val":7}]}</v>
      </c>
      <c r="J2735" s="148" t="str">
        <f>IFERROR(__xludf.DUMMYFUNCTION("""COMPUTED_VALUE"""),"{""typ"":""lc"",""txt"":""LC_ITEM_13900003_name_7""}")</f>
        <v>{"typ":"lc","txt":"LC_ITEM_13900003_name_7"}</v>
      </c>
      <c r="K2735" s="148" t="str">
        <f>IFERROR(__xludf.DUMMYFUNCTION("""COMPUTED_VALUE"""),"{""typ"":""lc"",""txt"":""LC_ITEM_13900003_desc""}")</f>
        <v>{"typ":"lc","txt":"LC_ITEM_13900003_desc"}</v>
      </c>
      <c r="L2735" s="148" t="str">
        <f>IFERROR(__xludf.DUMMYFUNCTION("""COMPUTED_VALUE"""),"{""typ"":""lc"",""txt"":""LC_ASSET_suit_actived_tips_1""}")</f>
        <v>{"typ":"lc","txt":"LC_ASSET_suit_actived_tips_1"}</v>
      </c>
      <c r="M2735" s="148">
        <f>IFERROR(__xludf.DUMMYFUNCTION("""COMPUTED_VALUE"""),500.0)</f>
        <v>500</v>
      </c>
      <c r="N2735" s="148">
        <f>IFERROR(__xludf.DUMMYFUNCTION("""COMPUTED_VALUE"""),999999.0)</f>
        <v>999999</v>
      </c>
      <c r="O2735" s="148">
        <f>IFERROR(__xludf.DUMMYFUNCTION("""COMPUTED_VALUE"""),99999.0)</f>
        <v>99999</v>
      </c>
      <c r="P2735" s="148">
        <f>IFERROR(__xludf.DUMMYFUNCTION("""COMPUTED_VALUE"""),1.0)</f>
        <v>1</v>
      </c>
      <c r="Q2735" s="148" t="str">
        <f>IFERROR(__xludf.DUMMYFUNCTION("""COMPUTED_VALUE"""),"[""bag_other""]")</f>
        <v>["bag_other"]</v>
      </c>
      <c r="R2735" s="148" t="str">
        <f>IFERROR(__xludf.DUMMYFUNCTION("""COMPUTED_VALUE"""),"[""bag"",""13900003""]")</f>
        <v>["bag","13900003"]</v>
      </c>
      <c r="S2735" s="148" t="str">
        <f>IFERROR(__xludf.DUMMYFUNCTION("""COMPUTED_VALUE"""),"{""effect"":[{""typ"":""marching_effect_decoration"",""id"":13900003,""val"":604800000},{""typ"":""vm"",""id"":11151001,""val"":500}]}")</f>
        <v>{"effect":[{"typ":"marching_effect_decoration","id":13900003,"val":604800000},{"typ":"vm","id":11151001,"val":500}]}</v>
      </c>
      <c r="T2735" s="148">
        <f>IFERROR(__xludf.DUMMYFUNCTION("""COMPUTED_VALUE"""),-1.0)</f>
        <v>-1</v>
      </c>
      <c r="U2735" s="148">
        <f>IFERROR(__xludf.DUMMYFUNCTION("""COMPUTED_VALUE"""),0.0)</f>
        <v>0</v>
      </c>
      <c r="V2735" s="148" t="str">
        <f>IFERROR(__xludf.DUMMYFUNCTION("""COMPUTED_VALUE"""),"[]")</f>
        <v>[]</v>
      </c>
      <c r="W2735" s="148">
        <f>IFERROR(__xludf.DUMMYFUNCTION("""COMPUTED_VALUE"""),1.174E7)</f>
        <v>11740000</v>
      </c>
      <c r="X2735" s="148">
        <f>IFERROR(__xludf.DUMMYFUNCTION("""COMPUTED_VALUE"""),0.0)</f>
        <v>0</v>
      </c>
      <c r="Y2735" s="148">
        <f>IFERROR(__xludf.DUMMYFUNCTION("""COMPUTED_VALUE"""),0.0)</f>
        <v>0</v>
      </c>
      <c r="Z2735" s="148"/>
    </row>
    <row r="2736">
      <c r="A2736" s="148">
        <f>IFERROR(__xludf.DUMMYFUNCTION("""COMPUTED_VALUE"""),1.1119692E7)</f>
        <v>11119692</v>
      </c>
      <c r="B2736" s="148" t="str">
        <f>IFERROR(__xludf.DUMMYFUNCTION("""COMPUTED_VALUE"""),"2025周年庆行军特效-头顶特效-14天限时")</f>
        <v>2025周年庆行军特效-头顶特效-14天限时</v>
      </c>
      <c r="C2736" s="148"/>
      <c r="D2736" s="148" t="str">
        <f>IFERROR(__xludf.DUMMYFUNCTION("""COMPUTED_VALUE"""),"marching_effect_decoration")</f>
        <v>marching_effect_decoration</v>
      </c>
      <c r="E2736" s="148">
        <f>IFERROR(__xludf.DUMMYFUNCTION("""COMPUTED_VALUE"""),0.0)</f>
        <v>0</v>
      </c>
      <c r="F2736" s="148">
        <f>IFERROR(__xludf.DUMMYFUNCTION("""COMPUTED_VALUE"""),408197.0)</f>
        <v>408197</v>
      </c>
      <c r="G2736" s="148">
        <f>IFERROR(__xludf.DUMMYFUNCTION("""COMPUTED_VALUE"""),1.51102466E8)</f>
        <v>151102466</v>
      </c>
      <c r="H2736" s="148">
        <f>IFERROR(__xludf.DUMMYFUNCTION("""COMPUTED_VALUE"""),1.5112564E7)</f>
        <v>15112564</v>
      </c>
      <c r="I2736" s="148" t="str">
        <f>IFERROR(__xludf.DUMMYFUNCTION("""COMPUTED_VALUE"""),"{""typ"":""lc"",""txt"":""LC_ITEM_time_day_upper_show"",""args"":[{""typ"":""int_unit"",""val"":14}]}")</f>
        <v>{"typ":"lc","txt":"LC_ITEM_time_day_upper_show","args":[{"typ":"int_unit","val":14}]}</v>
      </c>
      <c r="J2736" s="148" t="str">
        <f>IFERROR(__xludf.DUMMYFUNCTION("""COMPUTED_VALUE"""),"{""typ"":""lc"",""txt"":""LC_ITEM_13900003_name_14""}")</f>
        <v>{"typ":"lc","txt":"LC_ITEM_13900003_name_14"}</v>
      </c>
      <c r="K2736" s="148" t="str">
        <f>IFERROR(__xludf.DUMMYFUNCTION("""COMPUTED_VALUE"""),"{""typ"":""lc"",""txt"":""LC_ITEM_13900003_desc""}")</f>
        <v>{"typ":"lc","txt":"LC_ITEM_13900003_desc"}</v>
      </c>
      <c r="L2736" s="148" t="str">
        <f>IFERROR(__xludf.DUMMYFUNCTION("""COMPUTED_VALUE"""),"{""typ"":""lc"",""txt"":""LC_ASSET_suit_actived_tips_1""}")</f>
        <v>{"typ":"lc","txt":"LC_ASSET_suit_actived_tips_1"}</v>
      </c>
      <c r="M2736" s="148">
        <f>IFERROR(__xludf.DUMMYFUNCTION("""COMPUTED_VALUE"""),1000.0)</f>
        <v>1000</v>
      </c>
      <c r="N2736" s="148">
        <f>IFERROR(__xludf.DUMMYFUNCTION("""COMPUTED_VALUE"""),999999.0)</f>
        <v>999999</v>
      </c>
      <c r="O2736" s="148">
        <f>IFERROR(__xludf.DUMMYFUNCTION("""COMPUTED_VALUE"""),99999.0)</f>
        <v>99999</v>
      </c>
      <c r="P2736" s="148">
        <f>IFERROR(__xludf.DUMMYFUNCTION("""COMPUTED_VALUE"""),1.0)</f>
        <v>1</v>
      </c>
      <c r="Q2736" s="148" t="str">
        <f>IFERROR(__xludf.DUMMYFUNCTION("""COMPUTED_VALUE"""),"[""bag_other""]")</f>
        <v>["bag_other"]</v>
      </c>
      <c r="R2736" s="148" t="str">
        <f>IFERROR(__xludf.DUMMYFUNCTION("""COMPUTED_VALUE"""),"[""bag"",""13900003""]")</f>
        <v>["bag","13900003"]</v>
      </c>
      <c r="S2736" s="148" t="str">
        <f>IFERROR(__xludf.DUMMYFUNCTION("""COMPUTED_VALUE"""),"{""effect"":[{""typ"":""marching_effect_decoration"",""id"":13900003,""val"":1209600000},{""typ"":""vm"",""id"":11151001,""val"":1000}]}")</f>
        <v>{"effect":[{"typ":"marching_effect_decoration","id":13900003,"val":1209600000},{"typ":"vm","id":11151001,"val":1000}]}</v>
      </c>
      <c r="T2736" s="148">
        <f>IFERROR(__xludf.DUMMYFUNCTION("""COMPUTED_VALUE"""),-1.0)</f>
        <v>-1</v>
      </c>
      <c r="U2736" s="148">
        <f>IFERROR(__xludf.DUMMYFUNCTION("""COMPUTED_VALUE"""),0.0)</f>
        <v>0</v>
      </c>
      <c r="V2736" s="148" t="str">
        <f>IFERROR(__xludf.DUMMYFUNCTION("""COMPUTED_VALUE"""),"[]")</f>
        <v>[]</v>
      </c>
      <c r="W2736" s="148">
        <f>IFERROR(__xludf.DUMMYFUNCTION("""COMPUTED_VALUE"""),1.174E7)</f>
        <v>11740000</v>
      </c>
      <c r="X2736" s="148">
        <f>IFERROR(__xludf.DUMMYFUNCTION("""COMPUTED_VALUE"""),0.0)</f>
        <v>0</v>
      </c>
      <c r="Y2736" s="148">
        <f>IFERROR(__xludf.DUMMYFUNCTION("""COMPUTED_VALUE"""),0.0)</f>
        <v>0</v>
      </c>
      <c r="Z2736" s="148"/>
    </row>
    <row r="2737">
      <c r="A2737" s="148">
        <f>IFERROR(__xludf.DUMMYFUNCTION("""COMPUTED_VALUE"""),1.1119693E7)</f>
        <v>11119693</v>
      </c>
      <c r="B2737" s="148" t="str">
        <f>IFERROR(__xludf.DUMMYFUNCTION("""COMPUTED_VALUE"""),"2025周年庆行军特效-头顶特效-30天限时")</f>
        <v>2025周年庆行军特效-头顶特效-30天限时</v>
      </c>
      <c r="C2737" s="148"/>
      <c r="D2737" s="148" t="str">
        <f>IFERROR(__xludf.DUMMYFUNCTION("""COMPUTED_VALUE"""),"marching_effect_decoration")</f>
        <v>marching_effect_decoration</v>
      </c>
      <c r="E2737" s="148">
        <f>IFERROR(__xludf.DUMMYFUNCTION("""COMPUTED_VALUE"""),0.0)</f>
        <v>0</v>
      </c>
      <c r="F2737" s="148">
        <f>IFERROR(__xludf.DUMMYFUNCTION("""COMPUTED_VALUE"""),408197.0)</f>
        <v>408197</v>
      </c>
      <c r="G2737" s="148">
        <f>IFERROR(__xludf.DUMMYFUNCTION("""COMPUTED_VALUE"""),1.51102466E8)</f>
        <v>151102466</v>
      </c>
      <c r="H2737" s="148">
        <f>IFERROR(__xludf.DUMMYFUNCTION("""COMPUTED_VALUE"""),1.5115983E7)</f>
        <v>15115983</v>
      </c>
      <c r="I2737" s="148" t="str">
        <f>IFERROR(__xludf.DUMMYFUNCTION("""COMPUTED_VALUE"""),"{""typ"":""lc"",""txt"":""LC_ITEM_time_day_upper_show"",""args"":[{""typ"":""int_unit"",""val"":30}]}")</f>
        <v>{"typ":"lc","txt":"LC_ITEM_time_day_upper_show","args":[{"typ":"int_unit","val":30}]}</v>
      </c>
      <c r="J2737" s="148" t="str">
        <f>IFERROR(__xludf.DUMMYFUNCTION("""COMPUTED_VALUE"""),"{""typ"":""lc"",""txt"":""LC_ITEM_13900003_name_30""}")</f>
        <v>{"typ":"lc","txt":"LC_ITEM_13900003_name_30"}</v>
      </c>
      <c r="K2737" s="148" t="str">
        <f>IFERROR(__xludf.DUMMYFUNCTION("""COMPUTED_VALUE"""),"{""typ"":""lc"",""txt"":""LC_ITEM_13900003_desc""}")</f>
        <v>{"typ":"lc","txt":"LC_ITEM_13900003_desc"}</v>
      </c>
      <c r="L2737" s="148" t="str">
        <f>IFERROR(__xludf.DUMMYFUNCTION("""COMPUTED_VALUE"""),"{""typ"":""lc"",""txt"":""LC_ASSET_suit_actived_tips_1""}")</f>
        <v>{"typ":"lc","txt":"LC_ASSET_suit_actived_tips_1"}</v>
      </c>
      <c r="M2737" s="148">
        <f>IFERROR(__xludf.DUMMYFUNCTION("""COMPUTED_VALUE"""),1000.0)</f>
        <v>1000</v>
      </c>
      <c r="N2737" s="148">
        <f>IFERROR(__xludf.DUMMYFUNCTION("""COMPUTED_VALUE"""),999999.0)</f>
        <v>999999</v>
      </c>
      <c r="O2737" s="148">
        <f>IFERROR(__xludf.DUMMYFUNCTION("""COMPUTED_VALUE"""),99999.0)</f>
        <v>99999</v>
      </c>
      <c r="P2737" s="148">
        <f>IFERROR(__xludf.DUMMYFUNCTION("""COMPUTED_VALUE"""),1.0)</f>
        <v>1</v>
      </c>
      <c r="Q2737" s="148" t="str">
        <f>IFERROR(__xludf.DUMMYFUNCTION("""COMPUTED_VALUE"""),"[""bag_other""]")</f>
        <v>["bag_other"]</v>
      </c>
      <c r="R2737" s="148" t="str">
        <f>IFERROR(__xludf.DUMMYFUNCTION("""COMPUTED_VALUE"""),"[""bag"",""13900003""]")</f>
        <v>["bag","13900003"]</v>
      </c>
      <c r="S2737" s="148" t="str">
        <f>IFERROR(__xludf.DUMMYFUNCTION("""COMPUTED_VALUE"""),"{""effect"":[{""typ"":""marching_effect_decoration"",""id"":13900003,""val"":2592000000},{""typ"":""vm"",""id"":11151001,""val"":1000}]}")</f>
        <v>{"effect":[{"typ":"marching_effect_decoration","id":13900003,"val":2592000000},{"typ":"vm","id":11151001,"val":1000}]}</v>
      </c>
      <c r="T2737" s="148">
        <f>IFERROR(__xludf.DUMMYFUNCTION("""COMPUTED_VALUE"""),-1.0)</f>
        <v>-1</v>
      </c>
      <c r="U2737" s="148">
        <f>IFERROR(__xludf.DUMMYFUNCTION("""COMPUTED_VALUE"""),0.0)</f>
        <v>0</v>
      </c>
      <c r="V2737" s="148" t="str">
        <f>IFERROR(__xludf.DUMMYFUNCTION("""COMPUTED_VALUE"""),"[]")</f>
        <v>[]</v>
      </c>
      <c r="W2737" s="148">
        <f>IFERROR(__xludf.DUMMYFUNCTION("""COMPUTED_VALUE"""),1.174E7)</f>
        <v>11740000</v>
      </c>
      <c r="X2737" s="148">
        <f>IFERROR(__xludf.DUMMYFUNCTION("""COMPUTED_VALUE"""),0.0)</f>
        <v>0</v>
      </c>
      <c r="Y2737" s="148">
        <f>IFERROR(__xludf.DUMMYFUNCTION("""COMPUTED_VALUE"""),0.0)</f>
        <v>0</v>
      </c>
      <c r="Z2737" s="148"/>
    </row>
    <row r="2738">
      <c r="A2738" s="148">
        <f>IFERROR(__xludf.DUMMYFUNCTION("""COMPUTED_VALUE"""),1.1119694E7)</f>
        <v>11119694</v>
      </c>
      <c r="B2738" s="148" t="str">
        <f>IFERROR(__xludf.DUMMYFUNCTION("""COMPUTED_VALUE"""),"周年庆蛋糕-限时抢购-行军特效自选宝箱-50$")</f>
        <v>周年庆蛋糕-限时抢购-行军特效自选宝箱-50$</v>
      </c>
      <c r="C2738" s="148"/>
      <c r="D2738" s="148" t="str">
        <f>IFERROR(__xludf.DUMMYFUNCTION("""COMPUTED_VALUE"""),"item_select_box")</f>
        <v>item_select_box</v>
      </c>
      <c r="E2738" s="148">
        <f>IFERROR(__xludf.DUMMYFUNCTION("""COMPUTED_VALUE"""),19.0)</f>
        <v>19</v>
      </c>
      <c r="F2738" s="148">
        <f>IFERROR(__xludf.DUMMYFUNCTION("""COMPUTED_VALUE"""),403308.0)</f>
        <v>403308</v>
      </c>
      <c r="G2738" s="148">
        <f>IFERROR(__xludf.DUMMYFUNCTION("""COMPUTED_VALUE"""),1.51102393E8)</f>
        <v>151102393</v>
      </c>
      <c r="H2738" s="148">
        <f>IFERROR(__xludf.DUMMYFUNCTION("""COMPUTED_VALUE"""),1.5112564E7)</f>
        <v>15112564</v>
      </c>
      <c r="I2738" s="148" t="str">
        <f>IFERROR(__xludf.DUMMYFUNCTION("""COMPUTED_VALUE"""),"{}")</f>
        <v>{}</v>
      </c>
      <c r="J2738" s="148" t="str">
        <f>IFERROR(__xludf.DUMMYFUNCTION("""COMPUTED_VALUE"""),"{""typ"":""lc"",""txt"":""LC_ITEM_anni3_select_box_name_2""}")</f>
        <v>{"typ":"lc","txt":"LC_ITEM_anni3_select_box_name_2"}</v>
      </c>
      <c r="K2738" s="148" t="str">
        <f>IFERROR(__xludf.DUMMYFUNCTION("""COMPUTED_VALUE"""),"{""typ"":""lc"",""txt"":""LC_ITEM_anni3_select_box_desc_2""}")</f>
        <v>{"typ":"lc","txt":"LC_ITEM_anni3_select_box_desc_2"}</v>
      </c>
      <c r="L2738" s="148" t="str">
        <f>IFERROR(__xludf.DUMMYFUNCTION("""COMPUTED_VALUE"""),"{}")</f>
        <v>{}</v>
      </c>
      <c r="M2738" s="148">
        <f>IFERROR(__xludf.DUMMYFUNCTION("""COMPUTED_VALUE"""),100.0)</f>
        <v>100</v>
      </c>
      <c r="N2738" s="148">
        <f>IFERROR(__xludf.DUMMYFUNCTION("""COMPUTED_VALUE"""),9.99999999E8)</f>
        <v>999999999</v>
      </c>
      <c r="O2738" s="148">
        <f>IFERROR(__xludf.DUMMYFUNCTION("""COMPUTED_VALUE"""),9.99999999E8)</f>
        <v>999999999</v>
      </c>
      <c r="P2738" s="148">
        <f>IFERROR(__xludf.DUMMYFUNCTION("""COMPUTED_VALUE"""),9.99999999E8)</f>
        <v>999999999</v>
      </c>
      <c r="Q2738" s="148" t="str">
        <f>IFERROR(__xludf.DUMMYFUNCTION("""COMPUTED_VALUE"""),"[""bag_other""]")</f>
        <v>["bag_other"]</v>
      </c>
      <c r="R2738" s="148" t="str">
        <f>IFERROR(__xludf.DUMMYFUNCTION("""COMPUTED_VALUE"""),"[""bag""]")</f>
        <v>["bag"]</v>
      </c>
      <c r="S2738" s="148" t="str">
        <f>IFERROR(__xludf.DUMMYFUNCTION("""COMPUTED_VALUE"""),"{""select_box"":[{""typ"":""item"",""id"":11117458,""val"":1},{""typ"":""item"",""id"":11117338,""val"":1},{""typ"":""item"",""id"":11119081,""val"":150},{""typ"":""item"",""id"":11119082,""val"":25},{""typ"":""item"",""id"":11116304,""val"":25},{""typ"":"&amp;"""item"",""id"":11117418,""val"":1},{""typ"":""item"",""id"":11117369,""val"":1}]}")</f>
        <v>{"select_box":[{"typ":"item","id":11117458,"val":1},{"typ":"item","id":11117338,"val":1},{"typ":"item","id":11119081,"val":150},{"typ":"item","id":11119082,"val":25},{"typ":"item","id":11116304,"val":25},{"typ":"item","id":11117418,"val":1},{"typ":"item","id":11117369,"val":1}]}</v>
      </c>
      <c r="T2738" s="148">
        <f>IFERROR(__xludf.DUMMYFUNCTION("""COMPUTED_VALUE"""),-1.0)</f>
        <v>-1</v>
      </c>
      <c r="U2738" s="148">
        <f>IFERROR(__xludf.DUMMYFUNCTION("""COMPUTED_VALUE"""),0.0)</f>
        <v>0</v>
      </c>
      <c r="V2738" s="148" t="str">
        <f>IFERROR(__xludf.DUMMYFUNCTION("""COMPUTED_VALUE"""),"[]")</f>
        <v>[]</v>
      </c>
      <c r="W2738" s="148">
        <f>IFERROR(__xludf.DUMMYFUNCTION("""COMPUTED_VALUE"""),1.1741004E7)</f>
        <v>11741004</v>
      </c>
      <c r="X2738" s="148">
        <f>IFERROR(__xludf.DUMMYFUNCTION("""COMPUTED_VALUE"""),0.0)</f>
        <v>0</v>
      </c>
      <c r="Y2738" s="148">
        <f>IFERROR(__xludf.DUMMYFUNCTION("""COMPUTED_VALUE"""),0.0)</f>
        <v>0</v>
      </c>
      <c r="Z2738" s="148"/>
    </row>
    <row r="2739">
      <c r="A2739" s="148">
        <f>IFERROR(__xludf.DUMMYFUNCTION("""COMPUTED_VALUE"""),1.11197E7)</f>
        <v>11119700</v>
      </c>
      <c r="B2739" s="148" t="str">
        <f>IFERROR(__xludf.DUMMYFUNCTION("""COMPUTED_VALUE"""),"王者之地-职业刷新道具")</f>
        <v>王者之地-职业刷新道具</v>
      </c>
      <c r="C2739" s="148"/>
      <c r="D2739" s="148" t="str">
        <f>IFERROR(__xludf.DUMMYFUNCTION("""COMPUTED_VALUE"""),"event")</f>
        <v>event</v>
      </c>
      <c r="E2739" s="148">
        <f>IFERROR(__xludf.DUMMYFUNCTION("""COMPUTED_VALUE"""),0.0)</f>
        <v>0</v>
      </c>
      <c r="F2739" s="148">
        <f>IFERROR(__xludf.DUMMYFUNCTION("""COMPUTED_VALUE"""),0.0)</f>
        <v>0</v>
      </c>
      <c r="G2739" s="148">
        <f>IFERROR(__xludf.DUMMYFUNCTION("""COMPUTED_VALUE"""),1.51102378E8)</f>
        <v>151102378</v>
      </c>
      <c r="H2739" s="148">
        <f>IFERROR(__xludf.DUMMYFUNCTION("""COMPUTED_VALUE"""),1.511256E7)</f>
        <v>15112560</v>
      </c>
      <c r="I2739" s="148" t="str">
        <f>IFERROR(__xludf.DUMMYFUNCTION("""COMPUTED_VALUE"""),"{}")</f>
        <v>{}</v>
      </c>
      <c r="J2739" s="148" t="str">
        <f>IFERROR(__xludf.DUMMYFUNCTION("""COMPUTED_VALUE"""),"{""typ"":""lc"",""txt"":""LC_ARENA_kingbg_profession_refresh_item_name""}")</f>
        <v>{"typ":"lc","txt":"LC_ARENA_kingbg_profession_refresh_item_name"}</v>
      </c>
      <c r="K2739" s="148" t="str">
        <f>IFERROR(__xludf.DUMMYFUNCTION("""COMPUTED_VALUE"""),"{""typ"":""lc"",""txt"":""LC_ARENA_kingbg_profession_refresh_item_desc""}")</f>
        <v>{"typ":"lc","txt":"LC_ARENA_kingbg_profession_refresh_item_desc"}</v>
      </c>
      <c r="L2739" s="148" t="str">
        <f>IFERROR(__xludf.DUMMYFUNCTION("""COMPUTED_VALUE"""),"{}")</f>
        <v>{}</v>
      </c>
      <c r="M2739" s="148">
        <f>IFERROR(__xludf.DUMMYFUNCTION("""COMPUTED_VALUE"""),100.0)</f>
        <v>100</v>
      </c>
      <c r="N2739" s="148">
        <f>IFERROR(__xludf.DUMMYFUNCTION("""COMPUTED_VALUE"""),5.0)</f>
        <v>5</v>
      </c>
      <c r="O2739" s="148">
        <f>IFERROR(__xludf.DUMMYFUNCTION("""COMPUTED_VALUE"""),1.0)</f>
        <v>1</v>
      </c>
      <c r="P2739" s="148">
        <f>IFERROR(__xludf.DUMMYFUNCTION("""COMPUTED_VALUE"""),1.0)</f>
        <v>1</v>
      </c>
      <c r="Q2739" s="148" t="str">
        <f>IFERROR(__xludf.DUMMYFUNCTION("""COMPUTED_VALUE"""),"[]")</f>
        <v>[]</v>
      </c>
      <c r="R2739" s="148" t="str">
        <f>IFERROR(__xludf.DUMMYFUNCTION("""COMPUTED_VALUE"""),"[]")</f>
        <v>[]</v>
      </c>
      <c r="S2739" s="148" t="str">
        <f>IFERROR(__xludf.DUMMYFUNCTION("""COMPUTED_VALUE"""),"{}")</f>
        <v>{}</v>
      </c>
      <c r="T2739" s="148">
        <f>IFERROR(__xludf.DUMMYFUNCTION("""COMPUTED_VALUE"""),-1.0)</f>
        <v>-1</v>
      </c>
      <c r="U2739" s="148">
        <f>IFERROR(__xludf.DUMMYFUNCTION("""COMPUTED_VALUE"""),0.0)</f>
        <v>0</v>
      </c>
      <c r="V2739" s="148" t="str">
        <f>IFERROR(__xludf.DUMMYFUNCTION("""COMPUTED_VALUE"""),"[]")</f>
        <v>[]</v>
      </c>
      <c r="W2739" s="148">
        <f>IFERROR(__xludf.DUMMYFUNCTION("""COMPUTED_VALUE"""),1.174E7)</f>
        <v>11740000</v>
      </c>
      <c r="X2739" s="148">
        <f>IFERROR(__xludf.DUMMYFUNCTION("""COMPUTED_VALUE"""),0.0)</f>
        <v>0</v>
      </c>
      <c r="Y2739" s="148">
        <f>IFERROR(__xludf.DUMMYFUNCTION("""COMPUTED_VALUE"""),0.0)</f>
        <v>0</v>
      </c>
      <c r="Z2739" s="148"/>
    </row>
    <row r="2740">
      <c r="A2740" s="148">
        <f>IFERROR(__xludf.DUMMYFUNCTION("""COMPUTED_VALUE"""),1.1119701E7)</f>
        <v>11119701</v>
      </c>
      <c r="B2740" s="148" t="str">
        <f>IFERROR(__xludf.DUMMYFUNCTION("""COMPUTED_VALUE"""),"节日挖矿BP-初级宝箱")</f>
        <v>节日挖矿BP-初级宝箱</v>
      </c>
      <c r="C2740" s="148"/>
      <c r="D2740" s="148" t="str">
        <f>IFERROR(__xludf.DUMMYFUNCTION("""COMPUTED_VALUE"""),"item_asset")</f>
        <v>item_asset</v>
      </c>
      <c r="E2740" s="148">
        <f>IFERROR(__xludf.DUMMYFUNCTION("""COMPUTED_VALUE"""),19.0)</f>
        <v>19</v>
      </c>
      <c r="F2740" s="148">
        <f>IFERROR(__xludf.DUMMYFUNCTION("""COMPUTED_VALUE"""),0.0)</f>
        <v>0</v>
      </c>
      <c r="G2740" s="148">
        <f>IFERROR(__xludf.DUMMYFUNCTION("""COMPUTED_VALUE"""),1.5110347E7)</f>
        <v>15110347</v>
      </c>
      <c r="H2740" s="148">
        <f>IFERROR(__xludf.DUMMYFUNCTION("""COMPUTED_VALUE"""),1.5112562E7)</f>
        <v>15112562</v>
      </c>
      <c r="I2740" s="148" t="str">
        <f>IFERROR(__xludf.DUMMYFUNCTION("""COMPUTED_VALUE"""),"{}")</f>
        <v>{}</v>
      </c>
      <c r="J2740" s="148" t="str">
        <f>IFERROR(__xludf.DUMMYFUNCTION("""COMPUTED_VALUE"""),"{""typ"":""lc"",""txt"":""LC_ITEM_minigame_bp_box_1_item_name""}")</f>
        <v>{"typ":"lc","txt":"LC_ITEM_minigame_bp_box_1_item_name"}</v>
      </c>
      <c r="K2740" s="148" t="str">
        <f>IFERROR(__xludf.DUMMYFUNCTION("""COMPUTED_VALUE"""),"{""typ"":""lc"",""txt"":""LC_ITEM_minigame_bp_box_1_item_desc_fes""}")</f>
        <v>{"typ":"lc","txt":"LC_ITEM_minigame_bp_box_1_item_desc_fes"}</v>
      </c>
      <c r="L2740" s="148" t="str">
        <f>IFERROR(__xludf.DUMMYFUNCTION("""COMPUTED_VALUE"""),"{}")</f>
        <v>{}</v>
      </c>
      <c r="M2740" s="148">
        <f>IFERROR(__xludf.DUMMYFUNCTION("""COMPUTED_VALUE"""),240.0)</f>
        <v>240</v>
      </c>
      <c r="N2740" s="148">
        <f>IFERROR(__xludf.DUMMYFUNCTION("""COMPUTED_VALUE"""),999999.0)</f>
        <v>999999</v>
      </c>
      <c r="O2740" s="148">
        <f>IFERROR(__xludf.DUMMYFUNCTION("""COMPUTED_VALUE"""),99999.0)</f>
        <v>99999</v>
      </c>
      <c r="P2740" s="148">
        <f>IFERROR(__xludf.DUMMYFUNCTION("""COMPUTED_VALUE"""),9999.0)</f>
        <v>9999</v>
      </c>
      <c r="Q2740" s="148" t="str">
        <f>IFERROR(__xludf.DUMMYFUNCTION("""COMPUTED_VALUE"""),"[""bag_other""]")</f>
        <v>["bag_other"]</v>
      </c>
      <c r="R2740" s="148" t="str">
        <f>IFERROR(__xludf.DUMMYFUNCTION("""COMPUTED_VALUE"""),"[""bag""]")</f>
        <v>["bag"]</v>
      </c>
      <c r="S2740" s="148" t="str">
        <f>IFERROR(__xludf.DUMMYFUNCTION("""COMPUTED_VALUE"""),"{""drop"":{""typ"":""single_all"",""num"":1,""args"":[{""typ"":""single_random"",""num"":1,""args"":[{""typ"":""item"",""id"":11117402,""num"":2,""wgt"":100},{""typ"":""item"",""id"":11117402,""num"":3,""wgt"":200},{""typ"":""item"",""id"":11117402,""num"&amp;""":4,""wgt"":300}]},{""typ"":""single_random"",""num"":1,""args"":[{""typ"":""item"",""id"":11119977,""num"":2,""wgt"":10},{""typ"":""item"",""id"":11119977,""num"":1,""wgt"":200},{""typ"":""item"",""id"":11111015,""num"":3,""wgt"":600}]}]}}")</f>
        <v>{"drop":{"typ":"single_all","num":1,"args":[{"typ":"single_random","num":1,"args":[{"typ":"item","id":11117402,"num":2,"wgt":100},{"typ":"item","id":11117402,"num":3,"wgt":200},{"typ":"item","id":11117402,"num":4,"wgt":300}]},{"typ":"single_random","num":1,"args":[{"typ":"item","id":11119977,"num":2,"wgt":10},{"typ":"item","id":11119977,"num":1,"wgt":200},{"typ":"item","id":11111015,"num":3,"wgt":600}]}]}}</v>
      </c>
      <c r="T2740" s="148">
        <f>IFERROR(__xludf.DUMMYFUNCTION("""COMPUTED_VALUE"""),-1.0)</f>
        <v>-1</v>
      </c>
      <c r="U2740" s="148">
        <f>IFERROR(__xludf.DUMMYFUNCTION("""COMPUTED_VALUE"""),0.0)</f>
        <v>0</v>
      </c>
      <c r="V2740" s="148" t="str">
        <f>IFERROR(__xludf.DUMMYFUNCTION("""COMPUTED_VALUE"""),"[]")</f>
        <v>[]</v>
      </c>
      <c r="W2740" s="148">
        <f>IFERROR(__xludf.DUMMYFUNCTION("""COMPUTED_VALUE"""),1.174E7)</f>
        <v>11740000</v>
      </c>
      <c r="X2740" s="148">
        <f>IFERROR(__xludf.DUMMYFUNCTION("""COMPUTED_VALUE"""),0.0)</f>
        <v>0</v>
      </c>
      <c r="Y2740" s="148">
        <f>IFERROR(__xludf.DUMMYFUNCTION("""COMPUTED_VALUE"""),0.0)</f>
        <v>0</v>
      </c>
      <c r="Z2740" s="148"/>
    </row>
    <row r="2741">
      <c r="A2741" s="148">
        <f>IFERROR(__xludf.DUMMYFUNCTION("""COMPUTED_VALUE"""),1.1119702E7)</f>
        <v>11119702</v>
      </c>
      <c r="B2741" s="148" t="str">
        <f>IFERROR(__xludf.DUMMYFUNCTION("""COMPUTED_VALUE"""),"节日挖矿BP-中级宝箱")</f>
        <v>节日挖矿BP-中级宝箱</v>
      </c>
      <c r="C2741" s="148"/>
      <c r="D2741" s="148" t="str">
        <f>IFERROR(__xludf.DUMMYFUNCTION("""COMPUTED_VALUE"""),"item_asset")</f>
        <v>item_asset</v>
      </c>
      <c r="E2741" s="148">
        <f>IFERROR(__xludf.DUMMYFUNCTION("""COMPUTED_VALUE"""),19.0)</f>
        <v>19</v>
      </c>
      <c r="F2741" s="148">
        <f>IFERROR(__xludf.DUMMYFUNCTION("""COMPUTED_VALUE"""),0.0)</f>
        <v>0</v>
      </c>
      <c r="G2741" s="148">
        <f>IFERROR(__xludf.DUMMYFUNCTION("""COMPUTED_VALUE"""),1.5110349E7)</f>
        <v>15110349</v>
      </c>
      <c r="H2741" s="148">
        <f>IFERROR(__xludf.DUMMYFUNCTION("""COMPUTED_VALUE"""),1.5112563E7)</f>
        <v>15112563</v>
      </c>
      <c r="I2741" s="148" t="str">
        <f>IFERROR(__xludf.DUMMYFUNCTION("""COMPUTED_VALUE"""),"{}")</f>
        <v>{}</v>
      </c>
      <c r="J2741" s="148" t="str">
        <f>IFERROR(__xludf.DUMMYFUNCTION("""COMPUTED_VALUE"""),"{""typ"":""lc"",""txt"":""LC_ITEM_minigame_bp_box_2_item_name""}")</f>
        <v>{"typ":"lc","txt":"LC_ITEM_minigame_bp_box_2_item_name"}</v>
      </c>
      <c r="K2741" s="148" t="str">
        <f>IFERROR(__xludf.DUMMYFUNCTION("""COMPUTED_VALUE"""),"{""typ"":""lc"",""txt"":""LC_ITEM_minigame_bp_box_2_item_desc_fes""}")</f>
        <v>{"typ":"lc","txt":"LC_ITEM_minigame_bp_box_2_item_desc_fes"}</v>
      </c>
      <c r="L2741" s="148" t="str">
        <f>IFERROR(__xludf.DUMMYFUNCTION("""COMPUTED_VALUE"""),"{}")</f>
        <v>{}</v>
      </c>
      <c r="M2741" s="148">
        <f>IFERROR(__xludf.DUMMYFUNCTION("""COMPUTED_VALUE"""),480.0)</f>
        <v>480</v>
      </c>
      <c r="N2741" s="148">
        <f>IFERROR(__xludf.DUMMYFUNCTION("""COMPUTED_VALUE"""),999999.0)</f>
        <v>999999</v>
      </c>
      <c r="O2741" s="148">
        <f>IFERROR(__xludf.DUMMYFUNCTION("""COMPUTED_VALUE"""),99999.0)</f>
        <v>99999</v>
      </c>
      <c r="P2741" s="148">
        <f>IFERROR(__xludf.DUMMYFUNCTION("""COMPUTED_VALUE"""),9999.0)</f>
        <v>9999</v>
      </c>
      <c r="Q2741" s="148" t="str">
        <f>IFERROR(__xludf.DUMMYFUNCTION("""COMPUTED_VALUE"""),"[""bag_other""]")</f>
        <v>["bag_other"]</v>
      </c>
      <c r="R2741" s="148" t="str">
        <f>IFERROR(__xludf.DUMMYFUNCTION("""COMPUTED_VALUE"""),"[""bag""]")</f>
        <v>["bag"]</v>
      </c>
      <c r="S2741" s="148" t="str">
        <f>IFERROR(__xludf.DUMMYFUNCTION("""COMPUTED_VALUE"""),"{""drop"":{""typ"":""single_all"",""num"":1,""args"":[{""typ"":""single_random"",""num"":1,""args"":[{""typ"":""item"",""id"":11117402,""num"":5,""wgt"":100},{""typ"":""item"",""id"":11117402,""num"":8,""wgt"":200},{""typ"":""item"",""id"":11117402,""num"&amp;""":10,""wgt"":300}]},{""typ"":""single_random"",""num"":1,""args"":[{""typ"":""item"",""id"":11119977,""num"":2,""wgt"":50},{""typ"":""item"",""id"":11119977,""num"":1,""wgt"":200},{""typ"":""item"",""id"":11111015,""num"":3,""wgt"":600}]}]}}")</f>
        <v>{"drop":{"typ":"single_all","num":1,"args":[{"typ":"single_random","num":1,"args":[{"typ":"item","id":11117402,"num":5,"wgt":100},{"typ":"item","id":11117402,"num":8,"wgt":200},{"typ":"item","id":11117402,"num":10,"wgt":300}]},{"typ":"single_random","num":1,"args":[{"typ":"item","id":11119977,"num":2,"wgt":50},{"typ":"item","id":11119977,"num":1,"wgt":200},{"typ":"item","id":11111015,"num":3,"wgt":600}]}]}}</v>
      </c>
      <c r="T2741" s="148">
        <f>IFERROR(__xludf.DUMMYFUNCTION("""COMPUTED_VALUE"""),-1.0)</f>
        <v>-1</v>
      </c>
      <c r="U2741" s="148">
        <f>IFERROR(__xludf.DUMMYFUNCTION("""COMPUTED_VALUE"""),0.0)</f>
        <v>0</v>
      </c>
      <c r="V2741" s="148" t="str">
        <f>IFERROR(__xludf.DUMMYFUNCTION("""COMPUTED_VALUE"""),"[]")</f>
        <v>[]</v>
      </c>
      <c r="W2741" s="148">
        <f>IFERROR(__xludf.DUMMYFUNCTION("""COMPUTED_VALUE"""),1.174E7)</f>
        <v>11740000</v>
      </c>
      <c r="X2741" s="148">
        <f>IFERROR(__xludf.DUMMYFUNCTION("""COMPUTED_VALUE"""),0.0)</f>
        <v>0</v>
      </c>
      <c r="Y2741" s="148">
        <f>IFERROR(__xludf.DUMMYFUNCTION("""COMPUTED_VALUE"""),0.0)</f>
        <v>0</v>
      </c>
      <c r="Z2741" s="148"/>
    </row>
    <row r="2742">
      <c r="A2742" s="148">
        <f>IFERROR(__xludf.DUMMYFUNCTION("""COMPUTED_VALUE"""),1.1119703E7)</f>
        <v>11119703</v>
      </c>
      <c r="B2742" s="148" t="str">
        <f>IFERROR(__xludf.DUMMYFUNCTION("""COMPUTED_VALUE"""),"节日挖矿BP-高级宝箱")</f>
        <v>节日挖矿BP-高级宝箱</v>
      </c>
      <c r="C2742" s="148"/>
      <c r="D2742" s="148" t="str">
        <f>IFERROR(__xludf.DUMMYFUNCTION("""COMPUTED_VALUE"""),"item_asset")</f>
        <v>item_asset</v>
      </c>
      <c r="E2742" s="148">
        <f>IFERROR(__xludf.DUMMYFUNCTION("""COMPUTED_VALUE"""),19.0)</f>
        <v>19</v>
      </c>
      <c r="F2742" s="148">
        <f>IFERROR(__xludf.DUMMYFUNCTION("""COMPUTED_VALUE"""),0.0)</f>
        <v>0</v>
      </c>
      <c r="G2742" s="148">
        <f>IFERROR(__xludf.DUMMYFUNCTION("""COMPUTED_VALUE"""),1.5110352E7)</f>
        <v>15110352</v>
      </c>
      <c r="H2742" s="148">
        <f>IFERROR(__xludf.DUMMYFUNCTION("""COMPUTED_VALUE"""),1.5112564E7)</f>
        <v>15112564</v>
      </c>
      <c r="I2742" s="148" t="str">
        <f>IFERROR(__xludf.DUMMYFUNCTION("""COMPUTED_VALUE"""),"{}")</f>
        <v>{}</v>
      </c>
      <c r="J2742" s="148" t="str">
        <f>IFERROR(__xludf.DUMMYFUNCTION("""COMPUTED_VALUE"""),"{""typ"":""lc"",""txt"":""LC_ITEM_minigame_bp_box_3_item_name""}")</f>
        <v>{"typ":"lc","txt":"LC_ITEM_minigame_bp_box_3_item_name"}</v>
      </c>
      <c r="K2742" s="148" t="str">
        <f>IFERROR(__xludf.DUMMYFUNCTION("""COMPUTED_VALUE"""),"{""typ"":""lc"",""txt"":""LC_ITEM_minigame_bp_box_3_item_desc_fes""}")</f>
        <v>{"typ":"lc","txt":"LC_ITEM_minigame_bp_box_3_item_desc_fes"}</v>
      </c>
      <c r="L2742" s="148" t="str">
        <f>IFERROR(__xludf.DUMMYFUNCTION("""COMPUTED_VALUE"""),"{}")</f>
        <v>{}</v>
      </c>
      <c r="M2742" s="148">
        <f>IFERROR(__xludf.DUMMYFUNCTION("""COMPUTED_VALUE"""),1000.0)</f>
        <v>1000</v>
      </c>
      <c r="N2742" s="148">
        <f>IFERROR(__xludf.DUMMYFUNCTION("""COMPUTED_VALUE"""),999999.0)</f>
        <v>999999</v>
      </c>
      <c r="O2742" s="148">
        <f>IFERROR(__xludf.DUMMYFUNCTION("""COMPUTED_VALUE"""),99999.0)</f>
        <v>99999</v>
      </c>
      <c r="P2742" s="148">
        <f>IFERROR(__xludf.DUMMYFUNCTION("""COMPUTED_VALUE"""),9999.0)</f>
        <v>9999</v>
      </c>
      <c r="Q2742" s="148" t="str">
        <f>IFERROR(__xludf.DUMMYFUNCTION("""COMPUTED_VALUE"""),"[""bag_other""]")</f>
        <v>["bag_other"]</v>
      </c>
      <c r="R2742" s="148" t="str">
        <f>IFERROR(__xludf.DUMMYFUNCTION("""COMPUTED_VALUE"""),"[""bag""]")</f>
        <v>["bag"]</v>
      </c>
      <c r="S2742" s="148" t="str">
        <f>IFERROR(__xludf.DUMMYFUNCTION("""COMPUTED_VALUE"""),"{""drop"":{""typ"":""single_all"",""num"":1,""args"":[{""typ"":""single_random"",""num"":1,""args"":[{""typ"":""item"",""id"":11117403,""num"":3,""wgt"":100},{""typ"":""item"",""id"":11117403,""num"":5,""wgt"":200},{""typ"":""item"",""id"":11117403,""num"&amp;""":7,""wgt"":300}]},{""typ"":""single_random"",""num"":1,""args"":[{""typ"":""item"",""id"":11119977,""num"":2,""wgt"":200},{""typ"":""item"",""id"":11119977,""num"":1,""wgt"":20}]}]}}")</f>
        <v>{"drop":{"typ":"single_all","num":1,"args":[{"typ":"single_random","num":1,"args":[{"typ":"item","id":11117403,"num":3,"wgt":100},{"typ":"item","id":11117403,"num":5,"wgt":200},{"typ":"item","id":11117403,"num":7,"wgt":300}]},{"typ":"single_random","num":1,"args":[{"typ":"item","id":11119977,"num":2,"wgt":200},{"typ":"item","id":11119977,"num":1,"wgt":20}]}]}}</v>
      </c>
      <c r="T2742" s="148">
        <f>IFERROR(__xludf.DUMMYFUNCTION("""COMPUTED_VALUE"""),-1.0)</f>
        <v>-1</v>
      </c>
      <c r="U2742" s="148">
        <f>IFERROR(__xludf.DUMMYFUNCTION("""COMPUTED_VALUE"""),0.0)</f>
        <v>0</v>
      </c>
      <c r="V2742" s="148" t="str">
        <f>IFERROR(__xludf.DUMMYFUNCTION("""COMPUTED_VALUE"""),"[]")</f>
        <v>[]</v>
      </c>
      <c r="W2742" s="148">
        <f>IFERROR(__xludf.DUMMYFUNCTION("""COMPUTED_VALUE"""),1.174E7)</f>
        <v>11740000</v>
      </c>
      <c r="X2742" s="148">
        <f>IFERROR(__xludf.DUMMYFUNCTION("""COMPUTED_VALUE"""),0.0)</f>
        <v>0</v>
      </c>
      <c r="Y2742" s="148">
        <f>IFERROR(__xludf.DUMMYFUNCTION("""COMPUTED_VALUE"""),0.0)</f>
        <v>0</v>
      </c>
      <c r="Z2742" s="148"/>
    </row>
    <row r="2743">
      <c r="A2743" s="148">
        <f>IFERROR(__xludf.DUMMYFUNCTION("""COMPUTED_VALUE"""),1.1119704E7)</f>
        <v>11119704</v>
      </c>
      <c r="B2743" s="148" t="str">
        <f>IFERROR(__xludf.DUMMYFUNCTION("""COMPUTED_VALUE"""),"节日挖矿BP升级道具")</f>
        <v>节日挖矿BP升级道具</v>
      </c>
      <c r="C2743" s="148"/>
      <c r="D2743" s="148" t="str">
        <f>IFERROR(__xludf.DUMMYFUNCTION("""COMPUTED_VALUE"""),"battle_pass_exp")</f>
        <v>battle_pass_exp</v>
      </c>
      <c r="E2743" s="148">
        <f>IFERROR(__xludf.DUMMYFUNCTION("""COMPUTED_VALUE"""),0.0)</f>
        <v>0</v>
      </c>
      <c r="F2743" s="148">
        <f>IFERROR(__xludf.DUMMYFUNCTION("""COMPUTED_VALUE"""),405225.0)</f>
        <v>405225</v>
      </c>
      <c r="G2743" s="148">
        <f>IFERROR(__xludf.DUMMYFUNCTION("""COMPUTED_VALUE"""),1.51101749E8)</f>
        <v>151101749</v>
      </c>
      <c r="H2743" s="148">
        <f>IFERROR(__xludf.DUMMYFUNCTION("""COMPUTED_VALUE"""),1.5112563E7)</f>
        <v>15112563</v>
      </c>
      <c r="I2743" s="148" t="str">
        <f>IFERROR(__xludf.DUMMYFUNCTION("""COMPUTED_VALUE"""),"{}")</f>
        <v>{}</v>
      </c>
      <c r="J2743" s="148" t="str">
        <f>IFERROR(__xludf.DUMMYFUNCTION("""COMPUTED_VALUE"""),"{""typ"":""lc"",""txt"":""LC_ITEM_minigame_bp_lvlup_item_name""}")</f>
        <v>{"typ":"lc","txt":"LC_ITEM_minigame_bp_lvlup_item_name"}</v>
      </c>
      <c r="K2743" s="148" t="str">
        <f>IFERROR(__xludf.DUMMYFUNCTION("""COMPUTED_VALUE"""),"{""typ"":""lc"",""txt"":""LC_ITEM_minigame_bp_lvlup_item_desc""}")</f>
        <v>{"typ":"lc","txt":"LC_ITEM_minigame_bp_lvlup_item_desc"}</v>
      </c>
      <c r="L2743" s="148" t="str">
        <f>IFERROR(__xludf.DUMMYFUNCTION("""COMPUTED_VALUE"""),"{}")</f>
        <v>{}</v>
      </c>
      <c r="M2743" s="148">
        <f>IFERROR(__xludf.DUMMYFUNCTION("""COMPUTED_VALUE"""),35.0)</f>
        <v>35</v>
      </c>
      <c r="N2743" s="148">
        <f>IFERROR(__xludf.DUMMYFUNCTION("""COMPUTED_VALUE"""),999999.0)</f>
        <v>999999</v>
      </c>
      <c r="O2743" s="148">
        <f>IFERROR(__xludf.DUMMYFUNCTION("""COMPUTED_VALUE"""),99999.0)</f>
        <v>99999</v>
      </c>
      <c r="P2743" s="148">
        <f>IFERROR(__xludf.DUMMYFUNCTION("""COMPUTED_VALUE"""),99999.0)</f>
        <v>99999</v>
      </c>
      <c r="Q2743" s="148" t="str">
        <f>IFERROR(__xludf.DUMMYFUNCTION("""COMPUTED_VALUE"""),"[""bag_other""]")</f>
        <v>["bag_other"]</v>
      </c>
      <c r="R2743" s="148" t="str">
        <f>IFERROR(__xludf.DUMMYFUNCTION("""COMPUTED_VALUE"""),"[""bag""]")</f>
        <v>["bag"]</v>
      </c>
      <c r="S2743" s="148" t="str">
        <f>IFERROR(__xludf.DUMMYFUNCTION("""COMPUTED_VALUE"""),"{}")</f>
        <v>{}</v>
      </c>
      <c r="T2743" s="148">
        <f>IFERROR(__xludf.DUMMYFUNCTION("""COMPUTED_VALUE"""),-1.0)</f>
        <v>-1</v>
      </c>
      <c r="U2743" s="148">
        <f>IFERROR(__xludf.DUMMYFUNCTION("""COMPUTED_VALUE"""),1.0)</f>
        <v>1</v>
      </c>
      <c r="V2743" s="148" t="str">
        <f>IFERROR(__xludf.DUMMYFUNCTION("""COMPUTED_VALUE"""),"[]")</f>
        <v>[]</v>
      </c>
      <c r="W2743" s="148">
        <f>IFERROR(__xludf.DUMMYFUNCTION("""COMPUTED_VALUE"""),1.174E7)</f>
        <v>11740000</v>
      </c>
      <c r="X2743" s="148">
        <f>IFERROR(__xludf.DUMMYFUNCTION("""COMPUTED_VALUE"""),0.0)</f>
        <v>0</v>
      </c>
      <c r="Y2743" s="148">
        <f>IFERROR(__xludf.DUMMYFUNCTION("""COMPUTED_VALUE"""),0.0)</f>
        <v>0</v>
      </c>
      <c r="Z2743" s="148"/>
    </row>
    <row r="2744">
      <c r="A2744" s="148">
        <f>IFERROR(__xludf.DUMMYFUNCTION("""COMPUTED_VALUE"""),1.1119705E7)</f>
        <v>11119705</v>
      </c>
      <c r="B2744" s="148" t="str">
        <f>IFERROR(__xludf.DUMMYFUNCTION("""COMPUTED_VALUE"""),"节日挖矿BP解锁道具")</f>
        <v>节日挖矿BP解锁道具</v>
      </c>
      <c r="C2744" s="148"/>
      <c r="D2744" s="148" t="str">
        <f>IFERROR(__xludf.DUMMYFUNCTION("""COMPUTED_VALUE"""),"battle_pass_card")</f>
        <v>battle_pass_card</v>
      </c>
      <c r="E2744" s="148">
        <f>IFERROR(__xludf.DUMMYFUNCTION("""COMPUTED_VALUE"""),0.0)</f>
        <v>0</v>
      </c>
      <c r="F2744" s="148">
        <f>IFERROR(__xludf.DUMMYFUNCTION("""COMPUTED_VALUE"""),0.0)</f>
        <v>0</v>
      </c>
      <c r="G2744" s="148">
        <f>IFERROR(__xludf.DUMMYFUNCTION("""COMPUTED_VALUE"""),1.5110175E8)</f>
        <v>151101750</v>
      </c>
      <c r="H2744" s="148">
        <f>IFERROR(__xludf.DUMMYFUNCTION("""COMPUTED_VALUE"""),1.5112564E7)</f>
        <v>15112564</v>
      </c>
      <c r="I2744" s="148" t="str">
        <f>IFERROR(__xludf.DUMMYFUNCTION("""COMPUTED_VALUE"""),"{}")</f>
        <v>{}</v>
      </c>
      <c r="J2744" s="148" t="str">
        <f>IFERROR(__xludf.DUMMYFUNCTION("""COMPUTED_VALUE"""),"{""typ"":""lc"",""txt"":""LC_ITEM_minigame_bp_unlock_item_name""}")</f>
        <v>{"typ":"lc","txt":"LC_ITEM_minigame_bp_unlock_item_name"}</v>
      </c>
      <c r="K2744" s="148" t="str">
        <f>IFERROR(__xludf.DUMMYFUNCTION("""COMPUTED_VALUE"""),"{""typ"":""lc"",""txt"":""LC_ITEM_minigame_bp_unlock_item_desc""}")</f>
        <v>{"typ":"lc","txt":"LC_ITEM_minigame_bp_unlock_item_desc"}</v>
      </c>
      <c r="L2744" s="148" t="str">
        <f>IFERROR(__xludf.DUMMYFUNCTION("""COMPUTED_VALUE"""),"{}")</f>
        <v>{}</v>
      </c>
      <c r="M2744" s="148">
        <f>IFERROR(__xludf.DUMMYFUNCTION("""COMPUTED_VALUE"""),10.0)</f>
        <v>10</v>
      </c>
      <c r="N2744" s="148">
        <f>IFERROR(__xludf.DUMMYFUNCTION("""COMPUTED_VALUE"""),999999.0)</f>
        <v>999999</v>
      </c>
      <c r="O2744" s="148">
        <f>IFERROR(__xludf.DUMMYFUNCTION("""COMPUTED_VALUE"""),99999.0)</f>
        <v>99999</v>
      </c>
      <c r="P2744" s="148">
        <f>IFERROR(__xludf.DUMMYFUNCTION("""COMPUTED_VALUE"""),9999.0)</f>
        <v>9999</v>
      </c>
      <c r="Q2744" s="148" t="str">
        <f>IFERROR(__xludf.DUMMYFUNCTION("""COMPUTED_VALUE"""),"[]")</f>
        <v>[]</v>
      </c>
      <c r="R2744" s="148" t="str">
        <f>IFERROR(__xludf.DUMMYFUNCTION("""COMPUTED_VALUE"""),"[]")</f>
        <v>[]</v>
      </c>
      <c r="S2744" s="148" t="str">
        <f>IFERROR(__xludf.DUMMYFUNCTION("""COMPUTED_VALUE"""),"{}")</f>
        <v>{}</v>
      </c>
      <c r="T2744" s="148">
        <f>IFERROR(__xludf.DUMMYFUNCTION("""COMPUTED_VALUE"""),-1.0)</f>
        <v>-1</v>
      </c>
      <c r="U2744" s="148">
        <f>IFERROR(__xludf.DUMMYFUNCTION("""COMPUTED_VALUE"""),1.0)</f>
        <v>1</v>
      </c>
      <c r="V2744" s="148" t="str">
        <f>IFERROR(__xludf.DUMMYFUNCTION("""COMPUTED_VALUE"""),"[]")</f>
        <v>[]</v>
      </c>
      <c r="W2744" s="148">
        <f>IFERROR(__xludf.DUMMYFUNCTION("""COMPUTED_VALUE"""),1.174E7)</f>
        <v>11740000</v>
      </c>
      <c r="X2744" s="148">
        <f>IFERROR(__xludf.DUMMYFUNCTION("""COMPUTED_VALUE"""),0.0)</f>
        <v>0</v>
      </c>
      <c r="Y2744" s="148">
        <f>IFERROR(__xludf.DUMMYFUNCTION("""COMPUTED_VALUE"""),0.0)</f>
        <v>0</v>
      </c>
      <c r="Z2744" s="148"/>
    </row>
    <row r="2745">
      <c r="A2745" s="148">
        <f>IFERROR(__xludf.DUMMYFUNCTION("""COMPUTED_VALUE"""),1.1119706E7)</f>
        <v>11119706</v>
      </c>
      <c r="B2745" s="148" t="str">
        <f>IFERROR(__xludf.DUMMYFUNCTION("""COMPUTED_VALUE"""),"限时抢购-皮肤自选宝箱")</f>
        <v>限时抢购-皮肤自选宝箱</v>
      </c>
      <c r="C2745" s="148"/>
      <c r="D2745" s="148" t="str">
        <f>IFERROR(__xludf.DUMMYFUNCTION("""COMPUTED_VALUE"""),"item_select_box")</f>
        <v>item_select_box</v>
      </c>
      <c r="E2745" s="148">
        <f>IFERROR(__xludf.DUMMYFUNCTION("""COMPUTED_VALUE"""),19.0)</f>
        <v>19</v>
      </c>
      <c r="F2745" s="148">
        <f>IFERROR(__xludf.DUMMYFUNCTION("""COMPUTED_VALUE"""),403308.0)</f>
        <v>403308</v>
      </c>
      <c r="G2745" s="148">
        <f>IFERROR(__xludf.DUMMYFUNCTION("""COMPUTED_VALUE"""),1.51102876E8)</f>
        <v>151102876</v>
      </c>
      <c r="H2745" s="148">
        <f>IFERROR(__xludf.DUMMYFUNCTION("""COMPUTED_VALUE"""),1.5112564E7)</f>
        <v>15112564</v>
      </c>
      <c r="I2745" s="148" t="str">
        <f>IFERROR(__xludf.DUMMYFUNCTION("""COMPUTED_VALUE"""),"{}")</f>
        <v>{}</v>
      </c>
      <c r="J2745" s="148" t="str">
        <f>IFERROR(__xludf.DUMMYFUNCTION("""COMPUTED_VALUE"""),"{""typ"":""lc"",""txt"":""LC_ITEM_flash_sale_select_box_name""}")</f>
        <v>{"typ":"lc","txt":"LC_ITEM_flash_sale_select_box_name"}</v>
      </c>
      <c r="K2745" s="148" t="str">
        <f>IFERROR(__xludf.DUMMYFUNCTION("""COMPUTED_VALUE"""),"{""typ"":""lc"",""txt"":""LC_ITEM_flash_sale_select_box_desc""}")</f>
        <v>{"typ":"lc","txt":"LC_ITEM_flash_sale_select_box_desc"}</v>
      </c>
      <c r="L2745" s="148" t="str">
        <f>IFERROR(__xludf.DUMMYFUNCTION("""COMPUTED_VALUE"""),"{}")</f>
        <v>{}</v>
      </c>
      <c r="M2745" s="148">
        <f>IFERROR(__xludf.DUMMYFUNCTION("""COMPUTED_VALUE"""),100.0)</f>
        <v>100</v>
      </c>
      <c r="N2745" s="148">
        <f>IFERROR(__xludf.DUMMYFUNCTION("""COMPUTED_VALUE"""),9.99999999E8)</f>
        <v>999999999</v>
      </c>
      <c r="O2745" s="148">
        <f>IFERROR(__xludf.DUMMYFUNCTION("""COMPUTED_VALUE"""),9.99999999E8)</f>
        <v>999999999</v>
      </c>
      <c r="P2745" s="148">
        <f>IFERROR(__xludf.DUMMYFUNCTION("""COMPUTED_VALUE"""),9.99999999E8)</f>
        <v>999999999</v>
      </c>
      <c r="Q2745" s="148" t="str">
        <f>IFERROR(__xludf.DUMMYFUNCTION("""COMPUTED_VALUE"""),"[""bag_other""]")</f>
        <v>["bag_other"]</v>
      </c>
      <c r="R2745" s="148" t="str">
        <f>IFERROR(__xludf.DUMMYFUNCTION("""COMPUTED_VALUE"""),"[""bag""]")</f>
        <v>["bag"]</v>
      </c>
      <c r="S2745" s="148" t="str">
        <f>IFERROR(__xludf.DUMMYFUNCTION("""COMPUTED_VALUE"""),"{""select_box"":[{""typ"":""item"",""id"":11112205,""val"":1},{""typ"":""item"",""id"":11112194,""val"":1},{""typ"":""item"",""id"":11112104,""val"":1},{""typ"":""item"",""id"":11112131,""val"":1},{""typ"":""item"",""id"":11112080,""val"":1},{""typ"":""it"&amp;"em"",""id"":11112036,""val"":1},{""typ"":""item"",""id"":11112022,""val"":1},{""typ"":""item"",""id"":11117512,""val"":1},{""typ"":""item"",""id"":11111337,""val"":1},{""typ"":""item"",""id"":11117497,""val"":1},{""typ"":""item"",""id"":11112030,""val"":4"&amp;"500}]}")</f>
        <v>{"select_box":[{"typ":"item","id":11112205,"val":1},{"typ":"item","id":11112194,"val":1},{"typ":"item","id":11112104,"val":1},{"typ":"item","id":11112131,"val":1},{"typ":"item","id":11112080,"val":1},{"typ":"item","id":11112036,"val":1},{"typ":"item","id":11112022,"val":1},{"typ":"item","id":11117512,"val":1},{"typ":"item","id":11111337,"val":1},{"typ":"item","id":11117497,"val":1},{"typ":"item","id":11112030,"val":4500}]}</v>
      </c>
      <c r="T2745" s="148">
        <f>IFERROR(__xludf.DUMMYFUNCTION("""COMPUTED_VALUE"""),-1.0)</f>
        <v>-1</v>
      </c>
      <c r="U2745" s="148">
        <f>IFERROR(__xludf.DUMMYFUNCTION("""COMPUTED_VALUE"""),0.0)</f>
        <v>0</v>
      </c>
      <c r="V2745" s="148" t="str">
        <f>IFERROR(__xludf.DUMMYFUNCTION("""COMPUTED_VALUE"""),"[]")</f>
        <v>[]</v>
      </c>
      <c r="W2745" s="148">
        <f>IFERROR(__xludf.DUMMYFUNCTION("""COMPUTED_VALUE"""),1.1741004E7)</f>
        <v>11741004</v>
      </c>
      <c r="X2745" s="148">
        <f>IFERROR(__xludf.DUMMYFUNCTION("""COMPUTED_VALUE"""),0.0)</f>
        <v>0</v>
      </c>
      <c r="Y2745" s="148">
        <f>IFERROR(__xludf.DUMMYFUNCTION("""COMPUTED_VALUE"""),0.0)</f>
        <v>0</v>
      </c>
      <c r="Z2745" s="148"/>
    </row>
    <row r="2746">
      <c r="A2746" s="148">
        <f>IFERROR(__xludf.DUMMYFUNCTION("""COMPUTED_VALUE"""),1.1119707E7)</f>
        <v>11119707</v>
      </c>
      <c r="B2746" s="148" t="str">
        <f>IFERROR(__xludf.DUMMYFUNCTION("""COMPUTED_VALUE"""),"限时抢购-皮肤随机宝箱")</f>
        <v>限时抢购-皮肤随机宝箱</v>
      </c>
      <c r="C2746" s="148"/>
      <c r="D2746" s="148" t="str">
        <f>IFERROR(__xludf.DUMMYFUNCTION("""COMPUTED_VALUE"""),"flash_sale_reward_box")</f>
        <v>flash_sale_reward_box</v>
      </c>
      <c r="E2746" s="148">
        <f>IFERROR(__xludf.DUMMYFUNCTION("""COMPUTED_VALUE"""),19.0)</f>
        <v>19</v>
      </c>
      <c r="F2746" s="148">
        <f>IFERROR(__xludf.DUMMYFUNCTION("""COMPUTED_VALUE"""),0.0)</f>
        <v>0</v>
      </c>
      <c r="G2746" s="148">
        <f>IFERROR(__xludf.DUMMYFUNCTION("""COMPUTED_VALUE"""),1.51102877E8)</f>
        <v>151102877</v>
      </c>
      <c r="H2746" s="148">
        <f>IFERROR(__xludf.DUMMYFUNCTION("""COMPUTED_VALUE"""),1.5112564E7)</f>
        <v>15112564</v>
      </c>
      <c r="I2746" s="148" t="str">
        <f>IFERROR(__xludf.DUMMYFUNCTION("""COMPUTED_VALUE"""),"{}")</f>
        <v>{}</v>
      </c>
      <c r="J2746" s="148" t="str">
        <f>IFERROR(__xludf.DUMMYFUNCTION("""COMPUTED_VALUE"""),"{""typ"":""lc"",""txt"":""LC_ITEM_flash_sale_random_box_name""}")</f>
        <v>{"typ":"lc","txt":"LC_ITEM_flash_sale_random_box_name"}</v>
      </c>
      <c r="K2746" s="148" t="str">
        <f>IFERROR(__xludf.DUMMYFUNCTION("""COMPUTED_VALUE"""),"{""typ"":""lc"",""txt"":""LC_ITEM_flash_sale_random_box_desc""}")</f>
        <v>{"typ":"lc","txt":"LC_ITEM_flash_sale_random_box_desc"}</v>
      </c>
      <c r="L2746" s="148" t="str">
        <f>IFERROR(__xludf.DUMMYFUNCTION("""COMPUTED_VALUE"""),"{}")</f>
        <v>{}</v>
      </c>
      <c r="M2746" s="148">
        <f>IFERROR(__xludf.DUMMYFUNCTION("""COMPUTED_VALUE"""),1000.0)</f>
        <v>1000</v>
      </c>
      <c r="N2746" s="148">
        <f>IFERROR(__xludf.DUMMYFUNCTION("""COMPUTED_VALUE"""),999999.0)</f>
        <v>999999</v>
      </c>
      <c r="O2746" s="148">
        <f>IFERROR(__xludf.DUMMYFUNCTION("""COMPUTED_VALUE"""),99999.0)</f>
        <v>99999</v>
      </c>
      <c r="P2746" s="148">
        <f>IFERROR(__xludf.DUMMYFUNCTION("""COMPUTED_VALUE"""),9999.0)</f>
        <v>9999</v>
      </c>
      <c r="Q2746" s="148" t="str">
        <f>IFERROR(__xludf.DUMMYFUNCTION("""COMPUTED_VALUE"""),"[""bag_other""]")</f>
        <v>["bag_other"]</v>
      </c>
      <c r="R2746" s="148" t="str">
        <f>IFERROR(__xludf.DUMMYFUNCTION("""COMPUTED_VALUE"""),"[""bag""]")</f>
        <v>["bag"]</v>
      </c>
      <c r="S2746" s="148" t="str">
        <f>IFERROR(__xludf.DUMMYFUNCTION("""COMPUTED_VALUE"""),"{""drop"":{""typ"":""single_random"",""num"":1,""drop_rule"":{""typ"":""noget"",""id"":11112301,""num"":999,""args"":[{""typ"":""item"",""id"":11112301,""num"":1,""wgt"":1}]},""args"":[{""typ"":""item"",""id"":11112301,""num"":1,""wgt"":10},{""typ"":""ite"&amp;"m"",""id"":11119706,""num"":1,""wgt"":50},{""typ"":""item"",""id"":11118663,""num"":1,""wgt"":2485},{""typ"":""item"",""id"":11116304,""num"":1,""wgt"":2486},{""typ"":""item"",""id"":11111106,""num"":3,""wgt"":2485},{""typ"":""item"",""id"":11118501,""num"&amp;""":3,""wgt"":2486}]}}")</f>
        <v>{"drop":{"typ":"single_random","num":1,"drop_rule":{"typ":"noget","id":11112301,"num":999,"args":[{"typ":"item","id":11112301,"num":1,"wgt":1}]},"args":[{"typ":"item","id":11112301,"num":1,"wgt":10},{"typ":"item","id":11119706,"num":1,"wgt":50},{"typ":"item","id":11118663,"num":1,"wgt":2485},{"typ":"item","id":11116304,"num":1,"wgt":2486},{"typ":"item","id":11111106,"num":3,"wgt":2485},{"typ":"item","id":11118501,"num":3,"wgt":2486}]}}</v>
      </c>
      <c r="T2746" s="148">
        <f>IFERROR(__xludf.DUMMYFUNCTION("""COMPUTED_VALUE"""),-1.0)</f>
        <v>-1</v>
      </c>
      <c r="U2746" s="148">
        <f>IFERROR(__xludf.DUMMYFUNCTION("""COMPUTED_VALUE"""),0.0)</f>
        <v>0</v>
      </c>
      <c r="V2746" s="148" t="str">
        <f>IFERROR(__xludf.DUMMYFUNCTION("""COMPUTED_VALUE"""),"[]")</f>
        <v>[]</v>
      </c>
      <c r="W2746" s="148">
        <f>IFERROR(__xludf.DUMMYFUNCTION("""COMPUTED_VALUE"""),1.174E7)</f>
        <v>11740000</v>
      </c>
      <c r="X2746" s="148">
        <f>IFERROR(__xludf.DUMMYFUNCTION("""COMPUTED_VALUE"""),0.0)</f>
        <v>0</v>
      </c>
      <c r="Y2746" s="148">
        <f>IFERROR(__xludf.DUMMYFUNCTION("""COMPUTED_VALUE"""),0.0)</f>
        <v>0</v>
      </c>
      <c r="Z2746" s="148"/>
    </row>
    <row r="2747">
      <c r="A2747" s="148">
        <f>IFERROR(__xludf.DUMMYFUNCTION("""COMPUTED_VALUE"""),1.1119708E7)</f>
        <v>11119708</v>
      </c>
      <c r="B2747" s="148" t="str">
        <f>IFERROR(__xludf.DUMMYFUNCTION("""COMPUTED_VALUE"""),"2小时攻击强化80%-不要投放")</f>
        <v>2小时攻击强化80%-不要投放</v>
      </c>
      <c r="C2747" s="148"/>
      <c r="D2747" s="148" t="str">
        <f>IFERROR(__xludf.DUMMYFUNCTION("""COMPUTED_VALUE"""),"item_buff")</f>
        <v>item_buff</v>
      </c>
      <c r="E2747" s="148">
        <f>IFERROR(__xludf.DUMMYFUNCTION("""COMPUTED_VALUE"""),11.0)</f>
        <v>11</v>
      </c>
      <c r="F2747" s="148">
        <f>IFERROR(__xludf.DUMMYFUNCTION("""COMPUTED_VALUE"""),206201.0)</f>
        <v>206201</v>
      </c>
      <c r="G2747" s="148">
        <f>IFERROR(__xludf.DUMMYFUNCTION("""COMPUTED_VALUE"""),1.5112567E7)</f>
        <v>15112567</v>
      </c>
      <c r="H2747" s="148">
        <f>IFERROR(__xludf.DUMMYFUNCTION("""COMPUTED_VALUE"""),1.5115983E7)</f>
        <v>15115983</v>
      </c>
      <c r="I2747" s="148" t="str">
        <f>IFERROR(__xludf.DUMMYFUNCTION("""COMPUTED_VALUE"""),"{""typ"":""lc"",""txt"":""LC_ITEM_time_h_upper_show"",""args"":[{""typ"":""int"",""val"":2}]}")</f>
        <v>{"typ":"lc","txt":"LC_ITEM_time_h_upper_show","args":[{"typ":"int","val":2}]}</v>
      </c>
      <c r="J2747" s="148" t="str">
        <f>IFERROR(__xludf.DUMMYFUNCTION("""COMPUTED_VALUE"""),"{""typ"":""lc"",""txt"":""LC_ITEM_atk_up_4_name"",""args"":[{""typ"":""int"",""val"":2}]}")</f>
        <v>{"typ":"lc","txt":"LC_ITEM_atk_up_4_name","args":[{"typ":"int","val":2}]}</v>
      </c>
      <c r="K2747" s="148" t="str">
        <f>IFERROR(__xludf.DUMMYFUNCTION("""COMPUTED_VALUE"""),"{""typ"":""lc"",""txt"":""LC_ITEM_atk_up_4_desc"",""args"":[{""typ"":""int"",""val"":2}]}")</f>
        <v>{"typ":"lc","txt":"LC_ITEM_atk_up_4_desc","args":[{"typ":"int","val":2}]}</v>
      </c>
      <c r="L2747" s="148" t="str">
        <f>IFERROR(__xludf.DUMMYFUNCTION("""COMPUTED_VALUE"""),"{""typ"":""lc"",""txt"":""LC_ITEM_atk_up_4_usedtip"",""args"":[{""typ"":""int"",""val"":2}]}")</f>
        <v>{"typ":"lc","txt":"LC_ITEM_atk_up_4_usedtip","args":[{"typ":"int","val":2}]}</v>
      </c>
      <c r="M2747" s="148">
        <f>IFERROR(__xludf.DUMMYFUNCTION("""COMPUTED_VALUE"""),200.0)</f>
        <v>200</v>
      </c>
      <c r="N2747" s="148">
        <f>IFERROR(__xludf.DUMMYFUNCTION("""COMPUTED_VALUE"""),999999.0)</f>
        <v>999999</v>
      </c>
      <c r="O2747" s="148">
        <f>IFERROR(__xludf.DUMMYFUNCTION("""COMPUTED_VALUE"""),99999.0)</f>
        <v>99999</v>
      </c>
      <c r="P2747" s="148">
        <f>IFERROR(__xludf.DUMMYFUNCTION("""COMPUTED_VALUE"""),1.0)</f>
        <v>1</v>
      </c>
      <c r="Q2747" s="148" t="str">
        <f>IFERROR(__xludf.DUMMYFUNCTION("""COMPUTED_VALUE"""),"[""bag_buff"",""buff_city""]")</f>
        <v>["bag_buff","buff_city"]</v>
      </c>
      <c r="R2747" s="148" t="str">
        <f>IFERROR(__xludf.DUMMYFUNCTION("""COMPUTED_VALUE"""),"[""bag"",""buff_city""]")</f>
        <v>["bag","buff_city"]</v>
      </c>
      <c r="S2747" s="148" t="str">
        <f>IFERROR(__xludf.DUMMYFUNCTION("""COMPUTED_VALUE"""),"{""effect"":[{""typ"":""buff"",""id"":12113002,""val"":7200000,""arg1"":0.8}]}")</f>
        <v>{"effect":[{"typ":"buff","id":12113002,"val":7200000,"arg1":0.8}]}</v>
      </c>
      <c r="T2747" s="148">
        <f>IFERROR(__xludf.DUMMYFUNCTION("""COMPUTED_VALUE"""),-1.0)</f>
        <v>-1</v>
      </c>
      <c r="U2747" s="148">
        <f>IFERROR(__xludf.DUMMYFUNCTION("""COMPUTED_VALUE"""),0.0)</f>
        <v>0</v>
      </c>
      <c r="V2747" s="148" t="str">
        <f>IFERROR(__xludf.DUMMYFUNCTION("""COMPUTED_VALUE"""),"[]")</f>
        <v>[]</v>
      </c>
      <c r="W2747" s="148">
        <f>IFERROR(__xludf.DUMMYFUNCTION("""COMPUTED_VALUE"""),1.1741004E7)</f>
        <v>11741004</v>
      </c>
      <c r="X2747" s="148">
        <f>IFERROR(__xludf.DUMMYFUNCTION("""COMPUTED_VALUE"""),0.0)</f>
        <v>0</v>
      </c>
      <c r="Y2747" s="148">
        <f>IFERROR(__xludf.DUMMYFUNCTION("""COMPUTED_VALUE"""),0.0)</f>
        <v>0</v>
      </c>
      <c r="Z2747" s="148"/>
    </row>
    <row r="2748">
      <c r="A2748" s="148">
        <f>IFERROR(__xludf.DUMMYFUNCTION("""COMPUTED_VALUE"""),1.1119709E7)</f>
        <v>11119709</v>
      </c>
      <c r="B2748" s="148" t="str">
        <f>IFERROR(__xludf.DUMMYFUNCTION("""COMPUTED_VALUE"""),"2小时攻击强化50%-不要投放")</f>
        <v>2小时攻击强化50%-不要投放</v>
      </c>
      <c r="C2748" s="148"/>
      <c r="D2748" s="148" t="str">
        <f>IFERROR(__xludf.DUMMYFUNCTION("""COMPUTED_VALUE"""),"item_buff")</f>
        <v>item_buff</v>
      </c>
      <c r="E2748" s="148">
        <f>IFERROR(__xludf.DUMMYFUNCTION("""COMPUTED_VALUE"""),11.0)</f>
        <v>11</v>
      </c>
      <c r="F2748" s="148">
        <f>IFERROR(__xludf.DUMMYFUNCTION("""COMPUTED_VALUE"""),206201.0)</f>
        <v>206201</v>
      </c>
      <c r="G2748" s="148">
        <f>IFERROR(__xludf.DUMMYFUNCTION("""COMPUTED_VALUE"""),1.5112567E7)</f>
        <v>15112567</v>
      </c>
      <c r="H2748" s="148">
        <f>IFERROR(__xludf.DUMMYFUNCTION("""COMPUTED_VALUE"""),1.5115983E7)</f>
        <v>15115983</v>
      </c>
      <c r="I2748" s="148" t="str">
        <f>IFERROR(__xludf.DUMMYFUNCTION("""COMPUTED_VALUE"""),"{""typ"":""lc"",""txt"":""LC_ITEM_time_h_upper_show"",""args"":[{""typ"":""int"",""val"":2}]}")</f>
        <v>{"typ":"lc","txt":"LC_ITEM_time_h_upper_show","args":[{"typ":"int","val":2}]}</v>
      </c>
      <c r="J2748" s="148" t="str">
        <f>IFERROR(__xludf.DUMMYFUNCTION("""COMPUTED_VALUE"""),"{""typ"":""lc"",""txt"":""LC_ITEM_atk_up_3_name"",""args"":[{""typ"":""int"",""val"":2}]}")</f>
        <v>{"typ":"lc","txt":"LC_ITEM_atk_up_3_name","args":[{"typ":"int","val":2}]}</v>
      </c>
      <c r="K2748" s="148" t="str">
        <f>IFERROR(__xludf.DUMMYFUNCTION("""COMPUTED_VALUE"""),"{""typ"":""lc"",""txt"":""LC_ITEM_atk_up_3_desc"",""args"":[{""typ"":""int"",""val"":2}]}")</f>
        <v>{"typ":"lc","txt":"LC_ITEM_atk_up_3_desc","args":[{"typ":"int","val":2}]}</v>
      </c>
      <c r="L2748" s="148" t="str">
        <f>IFERROR(__xludf.DUMMYFUNCTION("""COMPUTED_VALUE"""),"{""typ"":""lc"",""txt"":""LC_ITEM_atk_up_3_usedtip"",""args"":[{""typ"":""int"",""val"":2}]}")</f>
        <v>{"typ":"lc","txt":"LC_ITEM_atk_up_3_usedtip","args":[{"typ":"int","val":2}]}</v>
      </c>
      <c r="M2748" s="148">
        <f>IFERROR(__xludf.DUMMYFUNCTION("""COMPUTED_VALUE"""),200.0)</f>
        <v>200</v>
      </c>
      <c r="N2748" s="148">
        <f>IFERROR(__xludf.DUMMYFUNCTION("""COMPUTED_VALUE"""),999999.0)</f>
        <v>999999</v>
      </c>
      <c r="O2748" s="148">
        <f>IFERROR(__xludf.DUMMYFUNCTION("""COMPUTED_VALUE"""),99999.0)</f>
        <v>99999</v>
      </c>
      <c r="P2748" s="148">
        <f>IFERROR(__xludf.DUMMYFUNCTION("""COMPUTED_VALUE"""),1.0)</f>
        <v>1</v>
      </c>
      <c r="Q2748" s="148" t="str">
        <f>IFERROR(__xludf.DUMMYFUNCTION("""COMPUTED_VALUE"""),"[""bag_buff"",""buff_city""]")</f>
        <v>["bag_buff","buff_city"]</v>
      </c>
      <c r="R2748" s="148" t="str">
        <f>IFERROR(__xludf.DUMMYFUNCTION("""COMPUTED_VALUE"""),"[""bag"",""buff_city""]")</f>
        <v>["bag","buff_city"]</v>
      </c>
      <c r="S2748" s="148" t="str">
        <f>IFERROR(__xludf.DUMMYFUNCTION("""COMPUTED_VALUE"""),"{""effect"":[{""typ"":""buff"",""id"":12113002,""val"":7200000,""arg1"":0.5}]}")</f>
        <v>{"effect":[{"typ":"buff","id":12113002,"val":7200000,"arg1":0.5}]}</v>
      </c>
      <c r="T2748" s="148">
        <f>IFERROR(__xludf.DUMMYFUNCTION("""COMPUTED_VALUE"""),-1.0)</f>
        <v>-1</v>
      </c>
      <c r="U2748" s="148">
        <f>IFERROR(__xludf.DUMMYFUNCTION("""COMPUTED_VALUE"""),0.0)</f>
        <v>0</v>
      </c>
      <c r="V2748" s="148" t="str">
        <f>IFERROR(__xludf.DUMMYFUNCTION("""COMPUTED_VALUE"""),"[]")</f>
        <v>[]</v>
      </c>
      <c r="W2748" s="148">
        <f>IFERROR(__xludf.DUMMYFUNCTION("""COMPUTED_VALUE"""),1.1741004E7)</f>
        <v>11741004</v>
      </c>
      <c r="X2748" s="148">
        <f>IFERROR(__xludf.DUMMYFUNCTION("""COMPUTED_VALUE"""),0.0)</f>
        <v>0</v>
      </c>
      <c r="Y2748" s="148">
        <f>IFERROR(__xludf.DUMMYFUNCTION("""COMPUTED_VALUE"""),0.0)</f>
        <v>0</v>
      </c>
      <c r="Z2748" s="148"/>
    </row>
    <row r="2749">
      <c r="A2749" s="148">
        <f>IFERROR(__xludf.DUMMYFUNCTION("""COMPUTED_VALUE"""),1.111971E7)</f>
        <v>11119710</v>
      </c>
      <c r="B2749" s="148" t="str">
        <f>IFERROR(__xludf.DUMMYFUNCTION("""COMPUTED_VALUE"""),"周年庆签到bp解锁道具")</f>
        <v>周年庆签到bp解锁道具</v>
      </c>
      <c r="C2749" s="148"/>
      <c r="D2749" s="148" t="str">
        <f>IFERROR(__xludf.DUMMYFUNCTION("""COMPUTED_VALUE"""),"battle_pass_card")</f>
        <v>battle_pass_card</v>
      </c>
      <c r="E2749" s="148">
        <f>IFERROR(__xludf.DUMMYFUNCTION("""COMPUTED_VALUE"""),0.0)</f>
        <v>0</v>
      </c>
      <c r="F2749" s="148">
        <f>IFERROR(__xludf.DUMMYFUNCTION("""COMPUTED_VALUE"""),0.0)</f>
        <v>0</v>
      </c>
      <c r="G2749" s="148">
        <f>IFERROR(__xludf.DUMMYFUNCTION("""COMPUTED_VALUE"""),1.51102816E8)</f>
        <v>151102816</v>
      </c>
      <c r="H2749" s="148">
        <f>IFERROR(__xludf.DUMMYFUNCTION("""COMPUTED_VALUE"""),1.5112564E7)</f>
        <v>15112564</v>
      </c>
      <c r="I2749" s="148" t="str">
        <f>IFERROR(__xludf.DUMMYFUNCTION("""COMPUTED_VALUE"""),"{}")</f>
        <v>{}</v>
      </c>
      <c r="J2749" s="148" t="str">
        <f>IFERROR(__xludf.DUMMYFUNCTION("""COMPUTED_VALUE"""),"{""typ"":""lc"",""txt"":""LC_EVENT_3anni_login_bp_2025""}")</f>
        <v>{"typ":"lc","txt":"LC_EVENT_3anni_login_bp_2025"}</v>
      </c>
      <c r="K2749" s="148" t="str">
        <f>IFERROR(__xludf.DUMMYFUNCTION("""COMPUTED_VALUE"""),"{""typ"":""lc"",""txt"":""LC_EVENT_24_moon_log_in_advance""}")</f>
        <v>{"typ":"lc","txt":"LC_EVENT_24_moon_log_in_advance"}</v>
      </c>
      <c r="L2749" s="148" t="str">
        <f>IFERROR(__xludf.DUMMYFUNCTION("""COMPUTED_VALUE"""),"{}")</f>
        <v>{}</v>
      </c>
      <c r="M2749" s="148">
        <f>IFERROR(__xludf.DUMMYFUNCTION("""COMPUTED_VALUE"""),10.0)</f>
        <v>10</v>
      </c>
      <c r="N2749" s="148">
        <f>IFERROR(__xludf.DUMMYFUNCTION("""COMPUTED_VALUE"""),999999.0)</f>
        <v>999999</v>
      </c>
      <c r="O2749" s="148">
        <f>IFERROR(__xludf.DUMMYFUNCTION("""COMPUTED_VALUE"""),99999.0)</f>
        <v>99999</v>
      </c>
      <c r="P2749" s="148">
        <f>IFERROR(__xludf.DUMMYFUNCTION("""COMPUTED_VALUE"""),9999.0)</f>
        <v>9999</v>
      </c>
      <c r="Q2749" s="148" t="str">
        <f>IFERROR(__xludf.DUMMYFUNCTION("""COMPUTED_VALUE"""),"[]")</f>
        <v>[]</v>
      </c>
      <c r="R2749" s="148" t="str">
        <f>IFERROR(__xludf.DUMMYFUNCTION("""COMPUTED_VALUE"""),"[]")</f>
        <v>[]</v>
      </c>
      <c r="S2749" s="148" t="str">
        <f>IFERROR(__xludf.DUMMYFUNCTION("""COMPUTED_VALUE"""),"{}")</f>
        <v>{}</v>
      </c>
      <c r="T2749" s="148">
        <f>IFERROR(__xludf.DUMMYFUNCTION("""COMPUTED_VALUE"""),-1.0)</f>
        <v>-1</v>
      </c>
      <c r="U2749" s="148">
        <f>IFERROR(__xludf.DUMMYFUNCTION("""COMPUTED_VALUE"""),1.0)</f>
        <v>1</v>
      </c>
      <c r="V2749" s="148" t="str">
        <f>IFERROR(__xludf.DUMMYFUNCTION("""COMPUTED_VALUE"""),"[]")</f>
        <v>[]</v>
      </c>
      <c r="W2749" s="148">
        <f>IFERROR(__xludf.DUMMYFUNCTION("""COMPUTED_VALUE"""),1.174E7)</f>
        <v>11740000</v>
      </c>
      <c r="X2749" s="148">
        <f>IFERROR(__xludf.DUMMYFUNCTION("""COMPUTED_VALUE"""),0.0)</f>
        <v>0</v>
      </c>
      <c r="Y2749" s="148">
        <f>IFERROR(__xludf.DUMMYFUNCTION("""COMPUTED_VALUE"""),0.0)</f>
        <v>0</v>
      </c>
      <c r="Z2749" s="148"/>
    </row>
    <row r="2750">
      <c r="A2750" s="148">
        <f>IFERROR(__xludf.DUMMYFUNCTION("""COMPUTED_VALUE"""),1.1119711E7)</f>
        <v>11119711</v>
      </c>
      <c r="B2750" s="148" t="str">
        <f>IFERROR(__xludf.DUMMYFUNCTION("""COMPUTED_VALUE"""),"主城皮肤-音乐节高级皮肤2025")</f>
        <v>主城皮肤-音乐节高级皮肤2025</v>
      </c>
      <c r="C2750" s="148"/>
      <c r="D2750" s="148" t="str">
        <f>IFERROR(__xludf.DUMMYFUNCTION("""COMPUTED_VALUE"""),"city_skin")</f>
        <v>city_skin</v>
      </c>
      <c r="E2750" s="148">
        <f>IFERROR(__xludf.DUMMYFUNCTION("""COMPUTED_VALUE"""),21.0)</f>
        <v>21</v>
      </c>
      <c r="F2750" s="148">
        <f>IFERROR(__xludf.DUMMYFUNCTION("""COMPUTED_VALUE"""),400106.0)</f>
        <v>400106</v>
      </c>
      <c r="G2750" s="148">
        <f>IFERROR(__xludf.DUMMYFUNCTION("""COMPUTED_VALUE"""),1.51102814E8)</f>
        <v>151102814</v>
      </c>
      <c r="H2750" s="148">
        <f>IFERROR(__xludf.DUMMYFUNCTION("""COMPUTED_VALUE"""),1.5115983E7)</f>
        <v>15115983</v>
      </c>
      <c r="I2750" s="148" t="str">
        <f>IFERROR(__xludf.DUMMYFUNCTION("""COMPUTED_VALUE"""),"{}")</f>
        <v>{}</v>
      </c>
      <c r="J2750" s="148" t="str">
        <f>IFERROR(__xludf.DUMMYFUNCTION("""COMPUTED_VALUE"""),"{""typ"":""lc"",""txt"":""LC_ITEM_2025music_highcity_skin_title""}")</f>
        <v>{"typ":"lc","txt":"LC_ITEM_2025music_highcity_skin_title"}</v>
      </c>
      <c r="K2750" s="148" t="str">
        <f>IFERROR(__xludf.DUMMYFUNCTION("""COMPUTED_VALUE"""),"{""typ"":""lc"",""txt"":""LC_ITEM_2025music_highskin_desc_forever""}")</f>
        <v>{"typ":"lc","txt":"LC_ITEM_2025music_highskin_desc_forever"}</v>
      </c>
      <c r="L2750" s="148" t="str">
        <f>IFERROR(__xludf.DUMMYFUNCTION("""COMPUTED_VALUE"""),"{""typ"":""lc"",""txt"":""LC_ITEM_city_skin_rocket_use_tips""}")</f>
        <v>{"typ":"lc","txt":"LC_ITEM_city_skin_rocket_use_tips"}</v>
      </c>
      <c r="M2750" s="148">
        <f>IFERROR(__xludf.DUMMYFUNCTION("""COMPUTED_VALUE"""),10000.0)</f>
        <v>10000</v>
      </c>
      <c r="N2750" s="148">
        <f>IFERROR(__xludf.DUMMYFUNCTION("""COMPUTED_VALUE"""),999.0)</f>
        <v>999</v>
      </c>
      <c r="O2750" s="148">
        <f>IFERROR(__xludf.DUMMYFUNCTION("""COMPUTED_VALUE"""),1.0)</f>
        <v>1</v>
      </c>
      <c r="P2750" s="148">
        <f>IFERROR(__xludf.DUMMYFUNCTION("""COMPUTED_VALUE"""),1.0)</f>
        <v>1</v>
      </c>
      <c r="Q2750" s="148" t="str">
        <f>IFERROR(__xludf.DUMMYFUNCTION("""COMPUTED_VALUE"""),"[""bag_other""]")</f>
        <v>["bag_other"]</v>
      </c>
      <c r="R2750" s="148" t="str">
        <f>IFERROR(__xludf.DUMMYFUNCTION("""COMPUTED_VALUE"""),"[""bag"",""13121082""]")</f>
        <v>["bag","13121082"]</v>
      </c>
      <c r="S2750" s="148" t="str">
        <f>IFERROR(__xludf.DUMMYFUNCTION("""COMPUTED_VALUE"""),"{""effect"":[{""typ"":""city_skin"",""id"":13121082,""val"":-1},{""typ"":""item"",""id"":11111034,""val"":10}]}")</f>
        <v>{"effect":[{"typ":"city_skin","id":13121082,"val":-1},{"typ":"item","id":11111034,"val":10}]}</v>
      </c>
      <c r="T2750" s="148">
        <f>IFERROR(__xludf.DUMMYFUNCTION("""COMPUTED_VALUE"""),-1.0)</f>
        <v>-1</v>
      </c>
      <c r="U2750" s="148">
        <f>IFERROR(__xludf.DUMMYFUNCTION("""COMPUTED_VALUE"""),0.0)</f>
        <v>0</v>
      </c>
      <c r="V2750" s="148" t="str">
        <f>IFERROR(__xludf.DUMMYFUNCTION("""COMPUTED_VALUE"""),"[]")</f>
        <v>[]</v>
      </c>
      <c r="W2750" s="148">
        <f>IFERROR(__xludf.DUMMYFUNCTION("""COMPUTED_VALUE"""),1.174E7)</f>
        <v>11740000</v>
      </c>
      <c r="X2750" s="148">
        <f>IFERROR(__xludf.DUMMYFUNCTION("""COMPUTED_VALUE"""),0.0)</f>
        <v>0</v>
      </c>
      <c r="Y2750" s="148">
        <f>IFERROR(__xludf.DUMMYFUNCTION("""COMPUTED_VALUE"""),0.0)</f>
        <v>0</v>
      </c>
      <c r="Z2750" s="148"/>
    </row>
    <row r="2751">
      <c r="A2751" s="148">
        <f>IFERROR(__xludf.DUMMYFUNCTION("""COMPUTED_VALUE"""),1.1119712E7)</f>
        <v>11119712</v>
      </c>
      <c r="B2751" s="148" t="str">
        <f>IFERROR(__xludf.DUMMYFUNCTION("""COMPUTED_VALUE"""),"主城皮肤-音乐节高级皮肤2025-7天")</f>
        <v>主城皮肤-音乐节高级皮肤2025-7天</v>
      </c>
      <c r="C2751" s="148"/>
      <c r="D2751" s="148" t="str">
        <f>IFERROR(__xludf.DUMMYFUNCTION("""COMPUTED_VALUE"""),"city_skin")</f>
        <v>city_skin</v>
      </c>
      <c r="E2751" s="148">
        <f>IFERROR(__xludf.DUMMYFUNCTION("""COMPUTED_VALUE"""),21.0)</f>
        <v>21</v>
      </c>
      <c r="F2751" s="148">
        <f>IFERROR(__xludf.DUMMYFUNCTION("""COMPUTED_VALUE"""),400106.0)</f>
        <v>400106</v>
      </c>
      <c r="G2751" s="148">
        <f>IFERROR(__xludf.DUMMYFUNCTION("""COMPUTED_VALUE"""),1.51102814E8)</f>
        <v>151102814</v>
      </c>
      <c r="H2751" s="148">
        <f>IFERROR(__xludf.DUMMYFUNCTION("""COMPUTED_VALUE"""),1.5112564E7)</f>
        <v>15112564</v>
      </c>
      <c r="I2751" s="148" t="str">
        <f>IFERROR(__xludf.DUMMYFUNCTION("""COMPUTED_VALUE"""),"{""typ"":""lc"",""txt"":""LC_ITEM_time_day_upper_show"",""args"":[{""typ"":""int"",""val"":7}]}")</f>
        <v>{"typ":"lc","txt":"LC_ITEM_time_day_upper_show","args":[{"typ":"int","val":7}]}</v>
      </c>
      <c r="J2751" s="148" t="str">
        <f>IFERROR(__xludf.DUMMYFUNCTION("""COMPUTED_VALUE"""),"{""typ"":""lc"",""txt"":""LC_ITEM_2025music_highcity_skin_title_7day""}")</f>
        <v>{"typ":"lc","txt":"LC_ITEM_2025music_highcity_skin_title_7day"}</v>
      </c>
      <c r="K2751" s="148" t="str">
        <f>IFERROR(__xludf.DUMMYFUNCTION("""COMPUTED_VALUE"""),"{""typ"":""lc"",""txt"":""LC_ITEM_2025music_highskin_desc_7day""}")</f>
        <v>{"typ":"lc","txt":"LC_ITEM_2025music_highskin_desc_7day"}</v>
      </c>
      <c r="L2751" s="148" t="str">
        <f>IFERROR(__xludf.DUMMYFUNCTION("""COMPUTED_VALUE"""),"{""typ"":""lc"",""txt"":""LC_ITEM_city_skin_rocket_use_tips""}")</f>
        <v>{"typ":"lc","txt":"LC_ITEM_city_skin_rocket_use_tips"}</v>
      </c>
      <c r="M2751" s="148">
        <f>IFERROR(__xludf.DUMMYFUNCTION("""COMPUTED_VALUE"""),10000.0)</f>
        <v>10000</v>
      </c>
      <c r="N2751" s="148">
        <f>IFERROR(__xludf.DUMMYFUNCTION("""COMPUTED_VALUE"""),999.0)</f>
        <v>999</v>
      </c>
      <c r="O2751" s="148">
        <f>IFERROR(__xludf.DUMMYFUNCTION("""COMPUTED_VALUE"""),1.0)</f>
        <v>1</v>
      </c>
      <c r="P2751" s="148">
        <f>IFERROR(__xludf.DUMMYFUNCTION("""COMPUTED_VALUE"""),1.0)</f>
        <v>1</v>
      </c>
      <c r="Q2751" s="148" t="str">
        <f>IFERROR(__xludf.DUMMYFUNCTION("""COMPUTED_VALUE"""),"[""bag_other""]")</f>
        <v>["bag_other"]</v>
      </c>
      <c r="R2751" s="148" t="str">
        <f>IFERROR(__xludf.DUMMYFUNCTION("""COMPUTED_VALUE"""),"[""bag"",""13121082""]")</f>
        <v>["bag","13121082"]</v>
      </c>
      <c r="S2751" s="148" t="str">
        <f>IFERROR(__xludf.DUMMYFUNCTION("""COMPUTED_VALUE"""),"{""effect"":[{""typ"":""city_skin"",""id"":13121082,""val"":604800000},{""typ"":""item"",""id"":11111021,""val"":3}]}")</f>
        <v>{"effect":[{"typ":"city_skin","id":13121082,"val":604800000},{"typ":"item","id":11111021,"val":3}]}</v>
      </c>
      <c r="T2751" s="148">
        <f>IFERROR(__xludf.DUMMYFUNCTION("""COMPUTED_VALUE"""),-1.0)</f>
        <v>-1</v>
      </c>
      <c r="U2751" s="148">
        <f>IFERROR(__xludf.DUMMYFUNCTION("""COMPUTED_VALUE"""),0.0)</f>
        <v>0</v>
      </c>
      <c r="V2751" s="148" t="str">
        <f>IFERROR(__xludf.DUMMYFUNCTION("""COMPUTED_VALUE"""),"[]")</f>
        <v>[]</v>
      </c>
      <c r="W2751" s="148">
        <f>IFERROR(__xludf.DUMMYFUNCTION("""COMPUTED_VALUE"""),1.174E7)</f>
        <v>11740000</v>
      </c>
      <c r="X2751" s="148">
        <f>IFERROR(__xludf.DUMMYFUNCTION("""COMPUTED_VALUE"""),0.0)</f>
        <v>0</v>
      </c>
      <c r="Y2751" s="148">
        <f>IFERROR(__xludf.DUMMYFUNCTION("""COMPUTED_VALUE"""),0.0)</f>
        <v>0</v>
      </c>
      <c r="Z2751" s="148"/>
    </row>
    <row r="2752">
      <c r="A2752" s="148">
        <f>IFERROR(__xludf.DUMMYFUNCTION("""COMPUTED_VALUE"""),1.1119713E7)</f>
        <v>11119713</v>
      </c>
      <c r="B2752" s="148" t="str">
        <f>IFERROR(__xludf.DUMMYFUNCTION("""COMPUTED_VALUE"""),"主城皮肤-音乐节高级皮肤2025-14天")</f>
        <v>主城皮肤-音乐节高级皮肤2025-14天</v>
      </c>
      <c r="C2752" s="148"/>
      <c r="D2752" s="148" t="str">
        <f>IFERROR(__xludf.DUMMYFUNCTION("""COMPUTED_VALUE"""),"city_skin")</f>
        <v>city_skin</v>
      </c>
      <c r="E2752" s="148">
        <f>IFERROR(__xludf.DUMMYFUNCTION("""COMPUTED_VALUE"""),21.0)</f>
        <v>21</v>
      </c>
      <c r="F2752" s="148">
        <f>IFERROR(__xludf.DUMMYFUNCTION("""COMPUTED_VALUE"""),400106.0)</f>
        <v>400106</v>
      </c>
      <c r="G2752" s="148">
        <f>IFERROR(__xludf.DUMMYFUNCTION("""COMPUTED_VALUE"""),1.51102814E8)</f>
        <v>151102814</v>
      </c>
      <c r="H2752" s="148">
        <f>IFERROR(__xludf.DUMMYFUNCTION("""COMPUTED_VALUE"""),1.5112564E7)</f>
        <v>15112564</v>
      </c>
      <c r="I2752" s="148" t="str">
        <f>IFERROR(__xludf.DUMMYFUNCTION("""COMPUTED_VALUE"""),"{""typ"":""lc"",""txt"":""LC_ITEM_time_day_upper_show"",""args"":[{""typ"":""int"",""val"":14}]}")</f>
        <v>{"typ":"lc","txt":"LC_ITEM_time_day_upper_show","args":[{"typ":"int","val":14}]}</v>
      </c>
      <c r="J2752" s="148" t="str">
        <f>IFERROR(__xludf.DUMMYFUNCTION("""COMPUTED_VALUE"""),"{""typ"":""lc"",""txt"":""LC_ITEM_2025music_highcity_skin_title_14day""}")</f>
        <v>{"typ":"lc","txt":"LC_ITEM_2025music_highcity_skin_title_14day"}</v>
      </c>
      <c r="K2752" s="148" t="str">
        <f>IFERROR(__xludf.DUMMYFUNCTION("""COMPUTED_VALUE"""),"{""typ"":""lc"",""txt"":""LC_ITEM_2025music_highskin_desc_14day""}")</f>
        <v>{"typ":"lc","txt":"LC_ITEM_2025music_highskin_desc_14day"}</v>
      </c>
      <c r="L2752" s="148" t="str">
        <f>IFERROR(__xludf.DUMMYFUNCTION("""COMPUTED_VALUE"""),"{""typ"":""lc"",""txt"":""LC_ITEM_city_skin_rocket_use_tips""}")</f>
        <v>{"typ":"lc","txt":"LC_ITEM_city_skin_rocket_use_tips"}</v>
      </c>
      <c r="M2752" s="148">
        <f>IFERROR(__xludf.DUMMYFUNCTION("""COMPUTED_VALUE"""),10000.0)</f>
        <v>10000</v>
      </c>
      <c r="N2752" s="148">
        <f>IFERROR(__xludf.DUMMYFUNCTION("""COMPUTED_VALUE"""),999.0)</f>
        <v>999</v>
      </c>
      <c r="O2752" s="148">
        <f>IFERROR(__xludf.DUMMYFUNCTION("""COMPUTED_VALUE"""),1.0)</f>
        <v>1</v>
      </c>
      <c r="P2752" s="148">
        <f>IFERROR(__xludf.DUMMYFUNCTION("""COMPUTED_VALUE"""),1.0)</f>
        <v>1</v>
      </c>
      <c r="Q2752" s="148" t="str">
        <f>IFERROR(__xludf.DUMMYFUNCTION("""COMPUTED_VALUE"""),"[""bag_other""]")</f>
        <v>["bag_other"]</v>
      </c>
      <c r="R2752" s="148" t="str">
        <f>IFERROR(__xludf.DUMMYFUNCTION("""COMPUTED_VALUE"""),"[""bag"",""13121082""]")</f>
        <v>["bag","13121082"]</v>
      </c>
      <c r="S2752" s="148" t="str">
        <f>IFERROR(__xludf.DUMMYFUNCTION("""COMPUTED_VALUE"""),"{""effect"":[{""typ"":""city_skin"",""id"":13121082,""val"":1209600000},{""typ"":""item"",""id"":11111021,""val"":7}]}")</f>
        <v>{"effect":[{"typ":"city_skin","id":13121082,"val":1209600000},{"typ":"item","id":11111021,"val":7}]}</v>
      </c>
      <c r="T2752" s="148">
        <f>IFERROR(__xludf.DUMMYFUNCTION("""COMPUTED_VALUE"""),-1.0)</f>
        <v>-1</v>
      </c>
      <c r="U2752" s="148">
        <f>IFERROR(__xludf.DUMMYFUNCTION("""COMPUTED_VALUE"""),0.0)</f>
        <v>0</v>
      </c>
      <c r="V2752" s="148" t="str">
        <f>IFERROR(__xludf.DUMMYFUNCTION("""COMPUTED_VALUE"""),"[]")</f>
        <v>[]</v>
      </c>
      <c r="W2752" s="148">
        <f>IFERROR(__xludf.DUMMYFUNCTION("""COMPUTED_VALUE"""),1.174E7)</f>
        <v>11740000</v>
      </c>
      <c r="X2752" s="148">
        <f>IFERROR(__xludf.DUMMYFUNCTION("""COMPUTED_VALUE"""),0.0)</f>
        <v>0</v>
      </c>
      <c r="Y2752" s="148">
        <f>IFERROR(__xludf.DUMMYFUNCTION("""COMPUTED_VALUE"""),0.0)</f>
        <v>0</v>
      </c>
      <c r="Z2752" s="148"/>
    </row>
    <row r="2753">
      <c r="A2753" s="148">
        <f>IFERROR(__xludf.DUMMYFUNCTION("""COMPUTED_VALUE"""),1.1119714E7)</f>
        <v>11119714</v>
      </c>
      <c r="B2753" s="148" t="str">
        <f>IFERROR(__xludf.DUMMYFUNCTION("""COMPUTED_VALUE"""),"主城皮肤-音乐节高级皮肤2025-28天")</f>
        <v>主城皮肤-音乐节高级皮肤2025-28天</v>
      </c>
      <c r="C2753" s="148"/>
      <c r="D2753" s="148" t="str">
        <f>IFERROR(__xludf.DUMMYFUNCTION("""COMPUTED_VALUE"""),"city_skin")</f>
        <v>city_skin</v>
      </c>
      <c r="E2753" s="148">
        <f>IFERROR(__xludf.DUMMYFUNCTION("""COMPUTED_VALUE"""),21.0)</f>
        <v>21</v>
      </c>
      <c r="F2753" s="148">
        <f>IFERROR(__xludf.DUMMYFUNCTION("""COMPUTED_VALUE"""),408197.0)</f>
        <v>408197</v>
      </c>
      <c r="G2753" s="148">
        <f>IFERROR(__xludf.DUMMYFUNCTION("""COMPUTED_VALUE"""),1.51102814E8)</f>
        <v>151102814</v>
      </c>
      <c r="H2753" s="148">
        <f>IFERROR(__xludf.DUMMYFUNCTION("""COMPUTED_VALUE"""),1.5112564E7)</f>
        <v>15112564</v>
      </c>
      <c r="I2753" s="148" t="str">
        <f>IFERROR(__xludf.DUMMYFUNCTION("""COMPUTED_VALUE"""),"{""typ"":""lc"",""txt"":""LC_ITEM_time_day_upper_show"",""args"":[{""typ"":""int"",""val"":28}]}")</f>
        <v>{"typ":"lc","txt":"LC_ITEM_time_day_upper_show","args":[{"typ":"int","val":28}]}</v>
      </c>
      <c r="J2753" s="148" t="str">
        <f>IFERROR(__xludf.DUMMYFUNCTION("""COMPUTED_VALUE"""),"{""typ"":""lc"",""txt"":""LC_ITEM_2025music_highcity_skin_title_28day""}")</f>
        <v>{"typ":"lc","txt":"LC_ITEM_2025music_highcity_skin_title_28day"}</v>
      </c>
      <c r="K2753" s="148" t="str">
        <f>IFERROR(__xludf.DUMMYFUNCTION("""COMPUTED_VALUE"""),"{""typ"":""lc"",""txt"":""LC_ITEM_2025music_highskin_desc_28day""}")</f>
        <v>{"typ":"lc","txt":"LC_ITEM_2025music_highskin_desc_28day"}</v>
      </c>
      <c r="L2753" s="148" t="str">
        <f>IFERROR(__xludf.DUMMYFUNCTION("""COMPUTED_VALUE"""),"{""typ"":""lc"",""txt"":""LC_ITEM_city_skin_rocket_use_tips""}")</f>
        <v>{"typ":"lc","txt":"LC_ITEM_city_skin_rocket_use_tips"}</v>
      </c>
      <c r="M2753" s="148">
        <f>IFERROR(__xludf.DUMMYFUNCTION("""COMPUTED_VALUE"""),10000.0)</f>
        <v>10000</v>
      </c>
      <c r="N2753" s="148">
        <f>IFERROR(__xludf.DUMMYFUNCTION("""COMPUTED_VALUE"""),999.0)</f>
        <v>999</v>
      </c>
      <c r="O2753" s="148">
        <f>IFERROR(__xludf.DUMMYFUNCTION("""COMPUTED_VALUE"""),1.0)</f>
        <v>1</v>
      </c>
      <c r="P2753" s="148">
        <f>IFERROR(__xludf.DUMMYFUNCTION("""COMPUTED_VALUE"""),1.0)</f>
        <v>1</v>
      </c>
      <c r="Q2753" s="148" t="str">
        <f>IFERROR(__xludf.DUMMYFUNCTION("""COMPUTED_VALUE"""),"[""bag_other""]")</f>
        <v>["bag_other"]</v>
      </c>
      <c r="R2753" s="148" t="str">
        <f>IFERROR(__xludf.DUMMYFUNCTION("""COMPUTED_VALUE"""),"[""bag"",""13121082""]")</f>
        <v>["bag","13121082"]</v>
      </c>
      <c r="S2753" s="148" t="str">
        <f>IFERROR(__xludf.DUMMYFUNCTION("""COMPUTED_VALUE"""),"{""effect"":[{""typ"":""city_skin"",""id"":13121082,""val"":2419200000},{""typ"":""item"",""id"":11111021,""val"":15}]}")</f>
        <v>{"effect":[{"typ":"city_skin","id":13121082,"val":2419200000},{"typ":"item","id":11111021,"val":15}]}</v>
      </c>
      <c r="T2753" s="148">
        <f>IFERROR(__xludf.DUMMYFUNCTION("""COMPUTED_VALUE"""),-1.0)</f>
        <v>-1</v>
      </c>
      <c r="U2753" s="148">
        <f>IFERROR(__xludf.DUMMYFUNCTION("""COMPUTED_VALUE"""),0.0)</f>
        <v>0</v>
      </c>
      <c r="V2753" s="148" t="str">
        <f>IFERROR(__xludf.DUMMYFUNCTION("""COMPUTED_VALUE"""),"[]")</f>
        <v>[]</v>
      </c>
      <c r="W2753" s="148">
        <f>IFERROR(__xludf.DUMMYFUNCTION("""COMPUTED_VALUE"""),1.174E7)</f>
        <v>11740000</v>
      </c>
      <c r="X2753" s="148">
        <f>IFERROR(__xludf.DUMMYFUNCTION("""COMPUTED_VALUE"""),0.0)</f>
        <v>0</v>
      </c>
      <c r="Y2753" s="148">
        <f>IFERROR(__xludf.DUMMYFUNCTION("""COMPUTED_VALUE"""),0.0)</f>
        <v>0</v>
      </c>
      <c r="Z2753" s="148"/>
    </row>
    <row r="2754">
      <c r="A2754" s="148">
        <f>IFERROR(__xludf.DUMMYFUNCTION("""COMPUTED_VALUE"""),1.1119715E7)</f>
        <v>11119715</v>
      </c>
      <c r="B2754" s="148" t="str">
        <f>IFERROR(__xludf.DUMMYFUNCTION("""COMPUTED_VALUE"""),"音乐节2025-主城特效")</f>
        <v>音乐节2025-主城特效</v>
      </c>
      <c r="C2754" s="148"/>
      <c r="D2754" s="148" t="str">
        <f>IFERROR(__xludf.DUMMYFUNCTION("""COMPUTED_VALUE"""),"city_effect")</f>
        <v>city_effect</v>
      </c>
      <c r="E2754" s="148">
        <f>IFERROR(__xludf.DUMMYFUNCTION("""COMPUTED_VALUE"""),0.0)</f>
        <v>0</v>
      </c>
      <c r="F2754" s="148">
        <f>IFERROR(__xludf.DUMMYFUNCTION("""COMPUTED_VALUE"""),405217.0)</f>
        <v>405217</v>
      </c>
      <c r="G2754" s="148">
        <f>IFERROR(__xludf.DUMMYFUNCTION("""COMPUTED_VALUE"""),1.51102817E8)</f>
        <v>151102817</v>
      </c>
      <c r="H2754" s="148">
        <f>IFERROR(__xludf.DUMMYFUNCTION("""COMPUTED_VALUE"""),1.5112564E7)</f>
        <v>15112564</v>
      </c>
      <c r="I2754" s="148" t="str">
        <f>IFERROR(__xludf.DUMMYFUNCTION("""COMPUTED_VALUE"""),"{}")</f>
        <v>{}</v>
      </c>
      <c r="J2754" s="148" t="str">
        <f>IFERROR(__xludf.DUMMYFUNCTION("""COMPUTED_VALUE"""),"{""typ"":""lc"",""txt"":""LC_ITEM_2025music_city_effect_name""}")</f>
        <v>{"typ":"lc","txt":"LC_ITEM_2025music_city_effect_name"}</v>
      </c>
      <c r="K2754" s="148" t="str">
        <f>IFERROR(__xludf.DUMMYFUNCTION("""COMPUTED_VALUE"""),"{""typ"":""lc"",""txt"":""LC_ITEM_2025music_city_effect_name_desc""}")</f>
        <v>{"typ":"lc","txt":"LC_ITEM_2025music_city_effect_name_desc"}</v>
      </c>
      <c r="L2754" s="148" t="str">
        <f>IFERROR(__xludf.DUMMYFUNCTION("""COMPUTED_VALUE"""),"{}")</f>
        <v>{}</v>
      </c>
      <c r="M2754" s="148">
        <f>IFERROR(__xludf.DUMMYFUNCTION("""COMPUTED_VALUE"""),10000.0)</f>
        <v>10000</v>
      </c>
      <c r="N2754" s="148">
        <f>IFERROR(__xludf.DUMMYFUNCTION("""COMPUTED_VALUE"""),999999.0)</f>
        <v>999999</v>
      </c>
      <c r="O2754" s="148">
        <f>IFERROR(__xludf.DUMMYFUNCTION("""COMPUTED_VALUE"""),99999.0)</f>
        <v>99999</v>
      </c>
      <c r="P2754" s="148">
        <f>IFERROR(__xludf.DUMMYFUNCTION("""COMPUTED_VALUE"""),1.0)</f>
        <v>1</v>
      </c>
      <c r="Q2754" s="148" t="str">
        <f>IFERROR(__xludf.DUMMYFUNCTION("""COMPUTED_VALUE"""),"[""bag_other""]")</f>
        <v>["bag_other"]</v>
      </c>
      <c r="R2754" s="148" t="str">
        <f>IFERROR(__xludf.DUMMYFUNCTION("""COMPUTED_VALUE"""),"[""bag"",""13871012""]")</f>
        <v>["bag","13871012"]</v>
      </c>
      <c r="S2754" s="148" t="str">
        <f>IFERROR(__xludf.DUMMYFUNCTION("""COMPUTED_VALUE"""),"{""effect"":[{""typ"":""city_effect"",""id"":13871012,""val"":-1},{""typ"":""item"",""id"":11111034,""val"":10}]}")</f>
        <v>{"effect":[{"typ":"city_effect","id":13871012,"val":-1},{"typ":"item","id":11111034,"val":10}]}</v>
      </c>
      <c r="T2754" s="148">
        <f>IFERROR(__xludf.DUMMYFUNCTION("""COMPUTED_VALUE"""),-1.0)</f>
        <v>-1</v>
      </c>
      <c r="U2754" s="148">
        <f>IFERROR(__xludf.DUMMYFUNCTION("""COMPUTED_VALUE"""),0.0)</f>
        <v>0</v>
      </c>
      <c r="V2754" s="148" t="str">
        <f>IFERROR(__xludf.DUMMYFUNCTION("""COMPUTED_VALUE"""),"[]")</f>
        <v>[]</v>
      </c>
      <c r="W2754" s="148">
        <f>IFERROR(__xludf.DUMMYFUNCTION("""COMPUTED_VALUE"""),1.174E7)</f>
        <v>11740000</v>
      </c>
      <c r="X2754" s="148">
        <f>IFERROR(__xludf.DUMMYFUNCTION("""COMPUTED_VALUE"""),0.0)</f>
        <v>0</v>
      </c>
      <c r="Y2754" s="148">
        <f>IFERROR(__xludf.DUMMYFUNCTION("""COMPUTED_VALUE"""),0.0)</f>
        <v>0</v>
      </c>
      <c r="Z2754" s="148"/>
    </row>
    <row r="2755">
      <c r="A2755" s="148">
        <f>IFERROR(__xludf.DUMMYFUNCTION("""COMPUTED_VALUE"""),1.1119716E7)</f>
        <v>11119716</v>
      </c>
      <c r="B2755" s="148" t="str">
        <f>IFERROR(__xludf.DUMMYFUNCTION("""COMPUTED_VALUE"""),"2025音乐节行军特效-随乐出征-1天限时")</f>
        <v>2025音乐节行军特效-随乐出征-1天限时</v>
      </c>
      <c r="C2755" s="148"/>
      <c r="D2755" s="148" t="str">
        <f>IFERROR(__xludf.DUMMYFUNCTION("""COMPUTED_VALUE"""),"marching_effect")</f>
        <v>marching_effect</v>
      </c>
      <c r="E2755" s="148">
        <f>IFERROR(__xludf.DUMMYFUNCTION("""COMPUTED_VALUE"""),0.0)</f>
        <v>0</v>
      </c>
      <c r="F2755" s="148">
        <f>IFERROR(__xludf.DUMMYFUNCTION("""COMPUTED_VALUE"""),408200.0)</f>
        <v>408200</v>
      </c>
      <c r="G2755" s="148">
        <f>IFERROR(__xludf.DUMMYFUNCTION("""COMPUTED_VALUE"""),1.51102888E8)</f>
        <v>151102888</v>
      </c>
      <c r="H2755" s="148">
        <f>IFERROR(__xludf.DUMMYFUNCTION("""COMPUTED_VALUE"""),1.511256E7)</f>
        <v>15112560</v>
      </c>
      <c r="I2755" s="148" t="str">
        <f>IFERROR(__xludf.DUMMYFUNCTION("""COMPUTED_VALUE"""),"{""typ"":""lc"",""txt"":""LC_ITEM_time_day_upper_show"",""args"":[{""typ"":""int_unit"",""val"":1}]}")</f>
        <v>{"typ":"lc","txt":"LC_ITEM_time_day_upper_show","args":[{"typ":"int_unit","val":1}]}</v>
      </c>
      <c r="J2755" s="148" t="str">
        <f>IFERROR(__xludf.DUMMYFUNCTION("""COMPUTED_VALUE"""),"{""typ"":""lc"",""txt"":""LC_ITEM_music_marcheffect_high_2025""}")</f>
        <v>{"typ":"lc","txt":"LC_ITEM_music_marcheffect_high_2025"}</v>
      </c>
      <c r="K2755" s="148" t="str">
        <f>IFERROR(__xludf.DUMMYFUNCTION("""COMPUTED_VALUE"""),"{""typ"":""lc"",""txt"":""LC_ITEM_music_marcheffect_high_2025_desc""}")</f>
        <v>{"typ":"lc","txt":"LC_ITEM_music_marcheffect_high_2025_desc"}</v>
      </c>
      <c r="L2755" s="148" t="str">
        <f>IFERROR(__xludf.DUMMYFUNCTION("""COMPUTED_VALUE"""),"{""typ"":""lc"",""txt"":""LC_ITEM_march_effect_use_tip_all""}")</f>
        <v>{"typ":"lc","txt":"LC_ITEM_march_effect_use_tip_all"}</v>
      </c>
      <c r="M2755" s="148">
        <f>IFERROR(__xludf.DUMMYFUNCTION("""COMPUTED_VALUE"""),50.0)</f>
        <v>50</v>
      </c>
      <c r="N2755" s="148">
        <f>IFERROR(__xludf.DUMMYFUNCTION("""COMPUTED_VALUE"""),999999.0)</f>
        <v>999999</v>
      </c>
      <c r="O2755" s="148">
        <f>IFERROR(__xludf.DUMMYFUNCTION("""COMPUTED_VALUE"""),99999.0)</f>
        <v>99999</v>
      </c>
      <c r="P2755" s="148">
        <f>IFERROR(__xludf.DUMMYFUNCTION("""COMPUTED_VALUE"""),1.0)</f>
        <v>1</v>
      </c>
      <c r="Q2755" s="148" t="str">
        <f>IFERROR(__xludf.DUMMYFUNCTION("""COMPUTED_VALUE"""),"[""bag_other""]")</f>
        <v>["bag_other"]</v>
      </c>
      <c r="R2755" s="148" t="str">
        <f>IFERROR(__xludf.DUMMYFUNCTION("""COMPUTED_VALUE"""),"[""bag"",""13650142""]")</f>
        <v>["bag","13650142"]</v>
      </c>
      <c r="S2755" s="148" t="str">
        <f>IFERROR(__xludf.DUMMYFUNCTION("""COMPUTED_VALUE"""),"{""effect"":[{""typ"":""marching_effect"",""id"":13650142,""val"":86400000},{""typ"":""vm"",""id"":11151001,""val"":50}]}")</f>
        <v>{"effect":[{"typ":"marching_effect","id":13650142,"val":86400000},{"typ":"vm","id":11151001,"val":50}]}</v>
      </c>
      <c r="T2755" s="148">
        <f>IFERROR(__xludf.DUMMYFUNCTION("""COMPUTED_VALUE"""),-1.0)</f>
        <v>-1</v>
      </c>
      <c r="U2755" s="148">
        <f>IFERROR(__xludf.DUMMYFUNCTION("""COMPUTED_VALUE"""),0.0)</f>
        <v>0</v>
      </c>
      <c r="V2755" s="148" t="str">
        <f>IFERROR(__xludf.DUMMYFUNCTION("""COMPUTED_VALUE"""),"[]")</f>
        <v>[]</v>
      </c>
      <c r="W2755" s="148">
        <f>IFERROR(__xludf.DUMMYFUNCTION("""COMPUTED_VALUE"""),1.174E7)</f>
        <v>11740000</v>
      </c>
      <c r="X2755" s="148">
        <f>IFERROR(__xludf.DUMMYFUNCTION("""COMPUTED_VALUE"""),0.0)</f>
        <v>0</v>
      </c>
      <c r="Y2755" s="148">
        <f>IFERROR(__xludf.DUMMYFUNCTION("""COMPUTED_VALUE"""),0.0)</f>
        <v>0</v>
      </c>
      <c r="Z2755" s="148"/>
    </row>
    <row r="2756">
      <c r="A2756" s="148">
        <f>IFERROR(__xludf.DUMMYFUNCTION("""COMPUTED_VALUE"""),1.1119717E7)</f>
        <v>11119717</v>
      </c>
      <c r="B2756" s="148" t="str">
        <f>IFERROR(__xludf.DUMMYFUNCTION("""COMPUTED_VALUE"""),"2025音乐节行军特效-随乐出征-3天限时")</f>
        <v>2025音乐节行军特效-随乐出征-3天限时</v>
      </c>
      <c r="C2756" s="148"/>
      <c r="D2756" s="148" t="str">
        <f>IFERROR(__xludf.DUMMYFUNCTION("""COMPUTED_VALUE"""),"marching_effect")</f>
        <v>marching_effect</v>
      </c>
      <c r="E2756" s="148">
        <f>IFERROR(__xludf.DUMMYFUNCTION("""COMPUTED_VALUE"""),0.0)</f>
        <v>0</v>
      </c>
      <c r="F2756" s="148">
        <f>IFERROR(__xludf.DUMMYFUNCTION("""COMPUTED_VALUE"""),408199.0)</f>
        <v>408199</v>
      </c>
      <c r="G2756" s="148">
        <f>IFERROR(__xludf.DUMMYFUNCTION("""COMPUTED_VALUE"""),1.51102888E8)</f>
        <v>151102888</v>
      </c>
      <c r="H2756" s="148">
        <f>IFERROR(__xludf.DUMMYFUNCTION("""COMPUTED_VALUE"""),1.5112561E7)</f>
        <v>15112561</v>
      </c>
      <c r="I2756" s="148" t="str">
        <f>IFERROR(__xludf.DUMMYFUNCTION("""COMPUTED_VALUE"""),"{""typ"":""lc"",""txt"":""LC_ITEM_time_day_upper_show"",""args"":[{""typ"":""int_unit"",""val"":3}]}")</f>
        <v>{"typ":"lc","txt":"LC_ITEM_time_day_upper_show","args":[{"typ":"int_unit","val":3}]}</v>
      </c>
      <c r="J2756" s="148" t="str">
        <f>IFERROR(__xludf.DUMMYFUNCTION("""COMPUTED_VALUE"""),"{""typ"":""lc"",""txt"":""LC_ITEM_music_marcheffect_high_2025""}")</f>
        <v>{"typ":"lc","txt":"LC_ITEM_music_marcheffect_high_2025"}</v>
      </c>
      <c r="K2756" s="148" t="str">
        <f>IFERROR(__xludf.DUMMYFUNCTION("""COMPUTED_VALUE"""),"{""typ"":""lc"",""txt"":""LC_ITEM_music_marcheffect_high_2025_desc""}")</f>
        <v>{"typ":"lc","txt":"LC_ITEM_music_marcheffect_high_2025_desc"}</v>
      </c>
      <c r="L2756" s="148" t="str">
        <f>IFERROR(__xludf.DUMMYFUNCTION("""COMPUTED_VALUE"""),"{""typ"":""lc"",""txt"":""LC_ITEM_march_effect_use_tip_all""}")</f>
        <v>{"typ":"lc","txt":"LC_ITEM_march_effect_use_tip_all"}</v>
      </c>
      <c r="M2756" s="148">
        <f>IFERROR(__xludf.DUMMYFUNCTION("""COMPUTED_VALUE"""),200.0)</f>
        <v>200</v>
      </c>
      <c r="N2756" s="148">
        <f>IFERROR(__xludf.DUMMYFUNCTION("""COMPUTED_VALUE"""),999999.0)</f>
        <v>999999</v>
      </c>
      <c r="O2756" s="148">
        <f>IFERROR(__xludf.DUMMYFUNCTION("""COMPUTED_VALUE"""),99999.0)</f>
        <v>99999</v>
      </c>
      <c r="P2756" s="148">
        <f>IFERROR(__xludf.DUMMYFUNCTION("""COMPUTED_VALUE"""),1.0)</f>
        <v>1</v>
      </c>
      <c r="Q2756" s="148" t="str">
        <f>IFERROR(__xludf.DUMMYFUNCTION("""COMPUTED_VALUE"""),"[""bag_other""]")</f>
        <v>["bag_other"]</v>
      </c>
      <c r="R2756" s="148" t="str">
        <f>IFERROR(__xludf.DUMMYFUNCTION("""COMPUTED_VALUE"""),"[""bag"",""13650142""]")</f>
        <v>["bag","13650142"]</v>
      </c>
      <c r="S2756" s="148" t="str">
        <f>IFERROR(__xludf.DUMMYFUNCTION("""COMPUTED_VALUE"""),"{""effect"":[{""typ"":""marching_effect"",""id"":13650142,""val"":259200000},{""typ"":""vm"",""id"":11151001,""val"":200}]}")</f>
        <v>{"effect":[{"typ":"marching_effect","id":13650142,"val":259200000},{"typ":"vm","id":11151001,"val":200}]}</v>
      </c>
      <c r="T2756" s="148">
        <f>IFERROR(__xludf.DUMMYFUNCTION("""COMPUTED_VALUE"""),-1.0)</f>
        <v>-1</v>
      </c>
      <c r="U2756" s="148">
        <f>IFERROR(__xludf.DUMMYFUNCTION("""COMPUTED_VALUE"""),0.0)</f>
        <v>0</v>
      </c>
      <c r="V2756" s="148" t="str">
        <f>IFERROR(__xludf.DUMMYFUNCTION("""COMPUTED_VALUE"""),"[]")</f>
        <v>[]</v>
      </c>
      <c r="W2756" s="148">
        <f>IFERROR(__xludf.DUMMYFUNCTION("""COMPUTED_VALUE"""),1.174E7)</f>
        <v>11740000</v>
      </c>
      <c r="X2756" s="148">
        <f>IFERROR(__xludf.DUMMYFUNCTION("""COMPUTED_VALUE"""),0.0)</f>
        <v>0</v>
      </c>
      <c r="Y2756" s="148">
        <f>IFERROR(__xludf.DUMMYFUNCTION("""COMPUTED_VALUE"""),0.0)</f>
        <v>0</v>
      </c>
      <c r="Z2756" s="148"/>
    </row>
    <row r="2757">
      <c r="A2757" s="148">
        <f>IFERROR(__xludf.DUMMYFUNCTION("""COMPUTED_VALUE"""),1.1119718E7)</f>
        <v>11119718</v>
      </c>
      <c r="B2757" s="148" t="str">
        <f>IFERROR(__xludf.DUMMYFUNCTION("""COMPUTED_VALUE"""),"2025音乐节行军特效-随乐出征-7天限时")</f>
        <v>2025音乐节行军特效-随乐出征-7天限时</v>
      </c>
      <c r="C2757" s="148"/>
      <c r="D2757" s="148" t="str">
        <f>IFERROR(__xludf.DUMMYFUNCTION("""COMPUTED_VALUE"""),"marching_effect")</f>
        <v>marching_effect</v>
      </c>
      <c r="E2757" s="148">
        <f>IFERROR(__xludf.DUMMYFUNCTION("""COMPUTED_VALUE"""),0.0)</f>
        <v>0</v>
      </c>
      <c r="F2757" s="148">
        <f>IFERROR(__xludf.DUMMYFUNCTION("""COMPUTED_VALUE"""),408198.0)</f>
        <v>408198</v>
      </c>
      <c r="G2757" s="148">
        <f>IFERROR(__xludf.DUMMYFUNCTION("""COMPUTED_VALUE"""),1.51102888E8)</f>
        <v>151102888</v>
      </c>
      <c r="H2757" s="148">
        <f>IFERROR(__xludf.DUMMYFUNCTION("""COMPUTED_VALUE"""),1.5112562E7)</f>
        <v>15112562</v>
      </c>
      <c r="I2757" s="148" t="str">
        <f>IFERROR(__xludf.DUMMYFUNCTION("""COMPUTED_VALUE"""),"{""typ"":""lc"",""txt"":""LC_ITEM_time_day_upper_show"",""args"":[{""typ"":""int_unit"",""val"":7}]}")</f>
        <v>{"typ":"lc","txt":"LC_ITEM_time_day_upper_show","args":[{"typ":"int_unit","val":7}]}</v>
      </c>
      <c r="J2757" s="148" t="str">
        <f>IFERROR(__xludf.DUMMYFUNCTION("""COMPUTED_VALUE"""),"{""typ"":""lc"",""txt"":""LC_ITEM_music_marcheffect_high_2025""}")</f>
        <v>{"typ":"lc","txt":"LC_ITEM_music_marcheffect_high_2025"}</v>
      </c>
      <c r="K2757" s="148" t="str">
        <f>IFERROR(__xludf.DUMMYFUNCTION("""COMPUTED_VALUE"""),"{""typ"":""lc"",""txt"":""LC_ITEM_music_marcheffect_high_2025_desc""}")</f>
        <v>{"typ":"lc","txt":"LC_ITEM_music_marcheffect_high_2025_desc"}</v>
      </c>
      <c r="L2757" s="148" t="str">
        <f>IFERROR(__xludf.DUMMYFUNCTION("""COMPUTED_VALUE"""),"{""typ"":""lc"",""txt"":""LC_ITEM_march_effect_use_tip_all""}")</f>
        <v>{"typ":"lc","txt":"LC_ITEM_march_effect_use_tip_all"}</v>
      </c>
      <c r="M2757" s="148">
        <f>IFERROR(__xludf.DUMMYFUNCTION("""COMPUTED_VALUE"""),500.0)</f>
        <v>500</v>
      </c>
      <c r="N2757" s="148">
        <f>IFERROR(__xludf.DUMMYFUNCTION("""COMPUTED_VALUE"""),999999.0)</f>
        <v>999999</v>
      </c>
      <c r="O2757" s="148">
        <f>IFERROR(__xludf.DUMMYFUNCTION("""COMPUTED_VALUE"""),99999.0)</f>
        <v>99999</v>
      </c>
      <c r="P2757" s="148">
        <f>IFERROR(__xludf.DUMMYFUNCTION("""COMPUTED_VALUE"""),1.0)</f>
        <v>1</v>
      </c>
      <c r="Q2757" s="148" t="str">
        <f>IFERROR(__xludf.DUMMYFUNCTION("""COMPUTED_VALUE"""),"[""bag_other""]")</f>
        <v>["bag_other"]</v>
      </c>
      <c r="R2757" s="148" t="str">
        <f>IFERROR(__xludf.DUMMYFUNCTION("""COMPUTED_VALUE"""),"[""bag"",""13650142""]")</f>
        <v>["bag","13650142"]</v>
      </c>
      <c r="S2757" s="148" t="str">
        <f>IFERROR(__xludf.DUMMYFUNCTION("""COMPUTED_VALUE"""),"{""effect"":[{""typ"":""marching_effect"",""id"":13650142,""val"":604800000},{""typ"":""vm"",""id"":11151001,""val"":500}]}")</f>
        <v>{"effect":[{"typ":"marching_effect","id":13650142,"val":604800000},{"typ":"vm","id":11151001,"val":500}]}</v>
      </c>
      <c r="T2757" s="148">
        <f>IFERROR(__xludf.DUMMYFUNCTION("""COMPUTED_VALUE"""),-1.0)</f>
        <v>-1</v>
      </c>
      <c r="U2757" s="148">
        <f>IFERROR(__xludf.DUMMYFUNCTION("""COMPUTED_VALUE"""),0.0)</f>
        <v>0</v>
      </c>
      <c r="V2757" s="148" t="str">
        <f>IFERROR(__xludf.DUMMYFUNCTION("""COMPUTED_VALUE"""),"[]")</f>
        <v>[]</v>
      </c>
      <c r="W2757" s="148">
        <f>IFERROR(__xludf.DUMMYFUNCTION("""COMPUTED_VALUE"""),1.174E7)</f>
        <v>11740000</v>
      </c>
      <c r="X2757" s="148">
        <f>IFERROR(__xludf.DUMMYFUNCTION("""COMPUTED_VALUE"""),0.0)</f>
        <v>0</v>
      </c>
      <c r="Y2757" s="148">
        <f>IFERROR(__xludf.DUMMYFUNCTION("""COMPUTED_VALUE"""),0.0)</f>
        <v>0</v>
      </c>
      <c r="Z2757" s="148"/>
    </row>
    <row r="2758">
      <c r="A2758" s="148">
        <f>IFERROR(__xludf.DUMMYFUNCTION("""COMPUTED_VALUE"""),1.1119719E7)</f>
        <v>11119719</v>
      </c>
      <c r="B2758" s="148" t="str">
        <f>IFERROR(__xludf.DUMMYFUNCTION("""COMPUTED_VALUE"""),"2025音乐节行军特效-随乐出征-14天限时")</f>
        <v>2025音乐节行军特效-随乐出征-14天限时</v>
      </c>
      <c r="C2758" s="148"/>
      <c r="D2758" s="148" t="str">
        <f>IFERROR(__xludf.DUMMYFUNCTION("""COMPUTED_VALUE"""),"marching_effect")</f>
        <v>marching_effect</v>
      </c>
      <c r="E2758" s="148">
        <f>IFERROR(__xludf.DUMMYFUNCTION("""COMPUTED_VALUE"""),0.0)</f>
        <v>0</v>
      </c>
      <c r="F2758" s="148">
        <f>IFERROR(__xludf.DUMMYFUNCTION("""COMPUTED_VALUE"""),408197.0)</f>
        <v>408197</v>
      </c>
      <c r="G2758" s="148">
        <f>IFERROR(__xludf.DUMMYFUNCTION("""COMPUTED_VALUE"""),1.51102888E8)</f>
        <v>151102888</v>
      </c>
      <c r="H2758" s="148">
        <f>IFERROR(__xludf.DUMMYFUNCTION("""COMPUTED_VALUE"""),1.5112563E7)</f>
        <v>15112563</v>
      </c>
      <c r="I2758" s="148" t="str">
        <f>IFERROR(__xludf.DUMMYFUNCTION("""COMPUTED_VALUE"""),"{""typ"":""lc"",""txt"":""LC_ITEM_time_day_upper_show"",""args"":[{""typ"":""int_unit"",""val"":14}]}")</f>
        <v>{"typ":"lc","txt":"LC_ITEM_time_day_upper_show","args":[{"typ":"int_unit","val":14}]}</v>
      </c>
      <c r="J2758" s="148" t="str">
        <f>IFERROR(__xludf.DUMMYFUNCTION("""COMPUTED_VALUE"""),"{""typ"":""lc"",""txt"":""LC_ITEM_music_marcheffect_high_2025""}")</f>
        <v>{"typ":"lc","txt":"LC_ITEM_music_marcheffect_high_2025"}</v>
      </c>
      <c r="K2758" s="148" t="str">
        <f>IFERROR(__xludf.DUMMYFUNCTION("""COMPUTED_VALUE"""),"{""typ"":""lc"",""txt"":""LC_ITEM_music_marcheffect_high_2025_desc""}")</f>
        <v>{"typ":"lc","txt":"LC_ITEM_music_marcheffect_high_2025_desc"}</v>
      </c>
      <c r="L2758" s="148" t="str">
        <f>IFERROR(__xludf.DUMMYFUNCTION("""COMPUTED_VALUE"""),"{""typ"":""lc"",""txt"":""LC_ITEM_march_effect_use_tip_all""}")</f>
        <v>{"typ":"lc","txt":"LC_ITEM_march_effect_use_tip_all"}</v>
      </c>
      <c r="M2758" s="148">
        <f>IFERROR(__xludf.DUMMYFUNCTION("""COMPUTED_VALUE"""),1000.0)</f>
        <v>1000</v>
      </c>
      <c r="N2758" s="148">
        <f>IFERROR(__xludf.DUMMYFUNCTION("""COMPUTED_VALUE"""),999999.0)</f>
        <v>999999</v>
      </c>
      <c r="O2758" s="148">
        <f>IFERROR(__xludf.DUMMYFUNCTION("""COMPUTED_VALUE"""),99999.0)</f>
        <v>99999</v>
      </c>
      <c r="P2758" s="148">
        <f>IFERROR(__xludf.DUMMYFUNCTION("""COMPUTED_VALUE"""),1.0)</f>
        <v>1</v>
      </c>
      <c r="Q2758" s="148" t="str">
        <f>IFERROR(__xludf.DUMMYFUNCTION("""COMPUTED_VALUE"""),"[""bag_other""]")</f>
        <v>["bag_other"]</v>
      </c>
      <c r="R2758" s="148" t="str">
        <f>IFERROR(__xludf.DUMMYFUNCTION("""COMPUTED_VALUE"""),"[""bag"",""13650142""]")</f>
        <v>["bag","13650142"]</v>
      </c>
      <c r="S2758" s="148" t="str">
        <f>IFERROR(__xludf.DUMMYFUNCTION("""COMPUTED_VALUE"""),"{""effect"":[{""typ"":""marching_effect"",""id"":13650142,""val"":1209600000},{""typ"":""vm"",""id"":11151001,""val"":1000}]}")</f>
        <v>{"effect":[{"typ":"marching_effect","id":13650142,"val":1209600000},{"typ":"vm","id":11151001,"val":1000}]}</v>
      </c>
      <c r="T2758" s="148">
        <f>IFERROR(__xludf.DUMMYFUNCTION("""COMPUTED_VALUE"""),-1.0)</f>
        <v>-1</v>
      </c>
      <c r="U2758" s="148">
        <f>IFERROR(__xludf.DUMMYFUNCTION("""COMPUTED_VALUE"""),0.0)</f>
        <v>0</v>
      </c>
      <c r="V2758" s="148" t="str">
        <f>IFERROR(__xludf.DUMMYFUNCTION("""COMPUTED_VALUE"""),"[]")</f>
        <v>[]</v>
      </c>
      <c r="W2758" s="148">
        <f>IFERROR(__xludf.DUMMYFUNCTION("""COMPUTED_VALUE"""),1.174E7)</f>
        <v>11740000</v>
      </c>
      <c r="X2758" s="148">
        <f>IFERROR(__xludf.DUMMYFUNCTION("""COMPUTED_VALUE"""),0.0)</f>
        <v>0</v>
      </c>
      <c r="Y2758" s="148">
        <f>IFERROR(__xludf.DUMMYFUNCTION("""COMPUTED_VALUE"""),0.0)</f>
        <v>0</v>
      </c>
      <c r="Z2758" s="148"/>
    </row>
    <row r="2759">
      <c r="A2759" s="148">
        <f>IFERROR(__xludf.DUMMYFUNCTION("""COMPUTED_VALUE"""),1.111972E7)</f>
        <v>11119720</v>
      </c>
      <c r="B2759" s="148" t="str">
        <f>IFERROR(__xludf.DUMMYFUNCTION("""COMPUTED_VALUE"""),"2025音乐节行军特效-随乐出征-30天限时")</f>
        <v>2025音乐节行军特效-随乐出征-30天限时</v>
      </c>
      <c r="C2759" s="148"/>
      <c r="D2759" s="148" t="str">
        <f>IFERROR(__xludf.DUMMYFUNCTION("""COMPUTED_VALUE"""),"marching_effect")</f>
        <v>marching_effect</v>
      </c>
      <c r="E2759" s="148">
        <f>IFERROR(__xludf.DUMMYFUNCTION("""COMPUTED_VALUE"""),0.0)</f>
        <v>0</v>
      </c>
      <c r="F2759" s="148">
        <f>IFERROR(__xludf.DUMMYFUNCTION("""COMPUTED_VALUE"""),408197.0)</f>
        <v>408197</v>
      </c>
      <c r="G2759" s="148">
        <f>IFERROR(__xludf.DUMMYFUNCTION("""COMPUTED_VALUE"""),1.51102888E8)</f>
        <v>151102888</v>
      </c>
      <c r="H2759" s="148">
        <f>IFERROR(__xludf.DUMMYFUNCTION("""COMPUTED_VALUE"""),1.5112563E7)</f>
        <v>15112563</v>
      </c>
      <c r="I2759" s="148" t="str">
        <f>IFERROR(__xludf.DUMMYFUNCTION("""COMPUTED_VALUE"""),"{""typ"":""lc"",""txt"":""LC_ITEM_time_day_upper_show"",""args"":[{""typ"":""int_unit"",""val"":30}]}")</f>
        <v>{"typ":"lc","txt":"LC_ITEM_time_day_upper_show","args":[{"typ":"int_unit","val":30}]}</v>
      </c>
      <c r="J2759" s="148" t="str">
        <f>IFERROR(__xludf.DUMMYFUNCTION("""COMPUTED_VALUE"""),"{""typ"":""lc"",""txt"":""LC_ITEM_music_marcheffect_high_2025""}")</f>
        <v>{"typ":"lc","txt":"LC_ITEM_music_marcheffect_high_2025"}</v>
      </c>
      <c r="K2759" s="148" t="str">
        <f>IFERROR(__xludf.DUMMYFUNCTION("""COMPUTED_VALUE"""),"{""typ"":""lc"",""txt"":""LC_ITEM_music_marcheffect_high_2025_desc""}")</f>
        <v>{"typ":"lc","txt":"LC_ITEM_music_marcheffect_high_2025_desc"}</v>
      </c>
      <c r="L2759" s="148" t="str">
        <f>IFERROR(__xludf.DUMMYFUNCTION("""COMPUTED_VALUE"""),"{""typ"":""lc"",""txt"":""LC_ITEM_march_effect_use_tip_all""}")</f>
        <v>{"typ":"lc","txt":"LC_ITEM_march_effect_use_tip_all"}</v>
      </c>
      <c r="M2759" s="148">
        <f>IFERROR(__xludf.DUMMYFUNCTION("""COMPUTED_VALUE"""),1000.0)</f>
        <v>1000</v>
      </c>
      <c r="N2759" s="148">
        <f>IFERROR(__xludf.DUMMYFUNCTION("""COMPUTED_VALUE"""),999999.0)</f>
        <v>999999</v>
      </c>
      <c r="O2759" s="148">
        <f>IFERROR(__xludf.DUMMYFUNCTION("""COMPUTED_VALUE"""),99999.0)</f>
        <v>99999</v>
      </c>
      <c r="P2759" s="148">
        <f>IFERROR(__xludf.DUMMYFUNCTION("""COMPUTED_VALUE"""),1.0)</f>
        <v>1</v>
      </c>
      <c r="Q2759" s="148" t="str">
        <f>IFERROR(__xludf.DUMMYFUNCTION("""COMPUTED_VALUE"""),"[""bag_other""]")</f>
        <v>["bag_other"]</v>
      </c>
      <c r="R2759" s="148" t="str">
        <f>IFERROR(__xludf.DUMMYFUNCTION("""COMPUTED_VALUE"""),"[""bag"",""13650142""]")</f>
        <v>["bag","13650142"]</v>
      </c>
      <c r="S2759" s="148" t="str">
        <f>IFERROR(__xludf.DUMMYFUNCTION("""COMPUTED_VALUE"""),"{""effect"":[{""typ"":""marching_effect"",""id"":13650142,""val"":2592000000},{""typ"":""vm"",""id"":11151001,""val"":1000}]}")</f>
        <v>{"effect":[{"typ":"marching_effect","id":13650142,"val":2592000000},{"typ":"vm","id":11151001,"val":1000}]}</v>
      </c>
      <c r="T2759" s="148">
        <f>IFERROR(__xludf.DUMMYFUNCTION("""COMPUTED_VALUE"""),-1.0)</f>
        <v>-1</v>
      </c>
      <c r="U2759" s="148">
        <f>IFERROR(__xludf.DUMMYFUNCTION("""COMPUTED_VALUE"""),0.0)</f>
        <v>0</v>
      </c>
      <c r="V2759" s="148" t="str">
        <f>IFERROR(__xludf.DUMMYFUNCTION("""COMPUTED_VALUE"""),"[]")</f>
        <v>[]</v>
      </c>
      <c r="W2759" s="148">
        <f>IFERROR(__xludf.DUMMYFUNCTION("""COMPUTED_VALUE"""),1.174E7)</f>
        <v>11740000</v>
      </c>
      <c r="X2759" s="148">
        <f>IFERROR(__xludf.DUMMYFUNCTION("""COMPUTED_VALUE"""),0.0)</f>
        <v>0</v>
      </c>
      <c r="Y2759" s="148">
        <f>IFERROR(__xludf.DUMMYFUNCTION("""COMPUTED_VALUE"""),0.0)</f>
        <v>0</v>
      </c>
      <c r="Z2759" s="148"/>
    </row>
    <row r="2760">
      <c r="A2760" s="148">
        <f>IFERROR(__xludf.DUMMYFUNCTION("""COMPUTED_VALUE"""),1.1119721E7)</f>
        <v>11119721</v>
      </c>
      <c r="B2760" s="148" t="str">
        <f>IFERROR(__xludf.DUMMYFUNCTION("""COMPUTED_VALUE"""),"2025音乐节行军特效-随乐出征-永久")</f>
        <v>2025音乐节行军特效-随乐出征-永久</v>
      </c>
      <c r="C2760" s="148"/>
      <c r="D2760" s="148" t="str">
        <f>IFERROR(__xludf.DUMMYFUNCTION("""COMPUTED_VALUE"""),"marching_effect")</f>
        <v>marching_effect</v>
      </c>
      <c r="E2760" s="148">
        <f>IFERROR(__xludf.DUMMYFUNCTION("""COMPUTED_VALUE"""),0.0)</f>
        <v>0</v>
      </c>
      <c r="F2760" s="148">
        <f>IFERROR(__xludf.DUMMYFUNCTION("""COMPUTED_VALUE"""),408195.0)</f>
        <v>408195</v>
      </c>
      <c r="G2760" s="148">
        <f>IFERROR(__xludf.DUMMYFUNCTION("""COMPUTED_VALUE"""),1.51102888E8)</f>
        <v>151102888</v>
      </c>
      <c r="H2760" s="148">
        <f>IFERROR(__xludf.DUMMYFUNCTION("""COMPUTED_VALUE"""),1.5112564E7)</f>
        <v>15112564</v>
      </c>
      <c r="I2760" s="148" t="str">
        <f>IFERROR(__xludf.DUMMYFUNCTION("""COMPUTED_VALUE"""),"{}")</f>
        <v>{}</v>
      </c>
      <c r="J2760" s="148" t="str">
        <f>IFERROR(__xludf.DUMMYFUNCTION("""COMPUTED_VALUE"""),"{""typ"":""lc"",""txt"":""LC_ITEM_music_marcheffect_high_2025""}")</f>
        <v>{"typ":"lc","txt":"LC_ITEM_music_marcheffect_high_2025"}</v>
      </c>
      <c r="K2760" s="148" t="str">
        <f>IFERROR(__xludf.DUMMYFUNCTION("""COMPUTED_VALUE"""),"{""typ"":""lc"",""txt"":""LC_ITEM_music_marcheffect_high_2025_desc""}")</f>
        <v>{"typ":"lc","txt":"LC_ITEM_music_marcheffect_high_2025_desc"}</v>
      </c>
      <c r="L2760" s="148" t="str">
        <f>IFERROR(__xludf.DUMMYFUNCTION("""COMPUTED_VALUE"""),"{""typ"":""lc"",""txt"":""LC_ITEM_march_effect_use_tip_all""}")</f>
        <v>{"typ":"lc","txt":"LC_ITEM_march_effect_use_tip_all"}</v>
      </c>
      <c r="M2760" s="148">
        <f>IFERROR(__xludf.DUMMYFUNCTION("""COMPUTED_VALUE"""),5000.0)</f>
        <v>5000</v>
      </c>
      <c r="N2760" s="148">
        <f>IFERROR(__xludf.DUMMYFUNCTION("""COMPUTED_VALUE"""),999999.0)</f>
        <v>999999</v>
      </c>
      <c r="O2760" s="148">
        <f>IFERROR(__xludf.DUMMYFUNCTION("""COMPUTED_VALUE"""),99999.0)</f>
        <v>99999</v>
      </c>
      <c r="P2760" s="148">
        <f>IFERROR(__xludf.DUMMYFUNCTION("""COMPUTED_VALUE"""),1.0)</f>
        <v>1</v>
      </c>
      <c r="Q2760" s="148" t="str">
        <f>IFERROR(__xludf.DUMMYFUNCTION("""COMPUTED_VALUE"""),"[""bag_other""]")</f>
        <v>["bag_other"]</v>
      </c>
      <c r="R2760" s="148" t="str">
        <f>IFERROR(__xludf.DUMMYFUNCTION("""COMPUTED_VALUE"""),"[""bag"",""13650142""]")</f>
        <v>["bag","13650142"]</v>
      </c>
      <c r="S2760" s="148" t="str">
        <f>IFERROR(__xludf.DUMMYFUNCTION("""COMPUTED_VALUE"""),"{""effect"":[{""typ"":""marching_effect"",""id"":13650142,""val"":-1},{""typ"":""vm"",""id"":11151001,""val"":2500}]}")</f>
        <v>{"effect":[{"typ":"marching_effect","id":13650142,"val":-1},{"typ":"vm","id":11151001,"val":2500}]}</v>
      </c>
      <c r="T2760" s="148">
        <f>IFERROR(__xludf.DUMMYFUNCTION("""COMPUTED_VALUE"""),-1.0)</f>
        <v>-1</v>
      </c>
      <c r="U2760" s="148">
        <f>IFERROR(__xludf.DUMMYFUNCTION("""COMPUTED_VALUE"""),0.0)</f>
        <v>0</v>
      </c>
      <c r="V2760" s="148" t="str">
        <f>IFERROR(__xludf.DUMMYFUNCTION("""COMPUTED_VALUE"""),"[]")</f>
        <v>[]</v>
      </c>
      <c r="W2760" s="148">
        <f>IFERROR(__xludf.DUMMYFUNCTION("""COMPUTED_VALUE"""),1.174E7)</f>
        <v>11740000</v>
      </c>
      <c r="X2760" s="148">
        <f>IFERROR(__xludf.DUMMYFUNCTION("""COMPUTED_VALUE"""),0.0)</f>
        <v>0</v>
      </c>
      <c r="Y2760" s="148">
        <f>IFERROR(__xludf.DUMMYFUNCTION("""COMPUTED_VALUE"""),0.0)</f>
        <v>0</v>
      </c>
      <c r="Z2760" s="148"/>
    </row>
    <row r="2761">
      <c r="A2761" s="148">
        <f>IFERROR(__xludf.DUMMYFUNCTION("""COMPUTED_VALUE"""),1.1119722E7)</f>
        <v>11119722</v>
      </c>
      <c r="B2761" s="148" t="str">
        <f>IFERROR(__xludf.DUMMYFUNCTION("""COMPUTED_VALUE"""),"2025音乐节铭牌-我为乐狂")</f>
        <v>2025音乐节铭牌-我为乐狂</v>
      </c>
      <c r="C2761" s="148"/>
      <c r="D2761" s="148" t="str">
        <f>IFERROR(__xludf.DUMMYFUNCTION("""COMPUTED_VALUE"""),"chat_skin")</f>
        <v>chat_skin</v>
      </c>
      <c r="E2761" s="148">
        <f>IFERROR(__xludf.DUMMYFUNCTION("""COMPUTED_VALUE"""),30.0)</f>
        <v>30</v>
      </c>
      <c r="F2761" s="148">
        <f>IFERROR(__xludf.DUMMYFUNCTION("""COMPUTED_VALUE"""),401107.0)</f>
        <v>401107</v>
      </c>
      <c r="G2761" s="148">
        <f>IFERROR(__xludf.DUMMYFUNCTION("""COMPUTED_VALUE"""),1.51102889E8)</f>
        <v>151102889</v>
      </c>
      <c r="H2761" s="148">
        <f>IFERROR(__xludf.DUMMYFUNCTION("""COMPUTED_VALUE"""),1.5112564E7)</f>
        <v>15112564</v>
      </c>
      <c r="I2761" s="148" t="str">
        <f>IFERROR(__xludf.DUMMYFUNCTION("""COMPUTED_VALUE"""),"{}")</f>
        <v>{}</v>
      </c>
      <c r="J2761" s="148" t="str">
        <f>IFERROR(__xludf.DUMMYFUNCTION("""COMPUTED_VALUE"""),"{""typ"":""lc"",""txt"":""LC_ITEM_music_nameplate_2025""}")</f>
        <v>{"typ":"lc","txt":"LC_ITEM_music_nameplate_2025"}</v>
      </c>
      <c r="K2761" s="148" t="str">
        <f>IFERROR(__xludf.DUMMYFUNCTION("""COMPUTED_VALUE"""),"{""typ"":""lc"",""txt"":""LC_ITEM_music_nameplate_2025_desc_item""}")</f>
        <v>{"typ":"lc","txt":"LC_ITEM_music_nameplate_2025_desc_item"}</v>
      </c>
      <c r="L2761" s="148" t="str">
        <f>IFERROR(__xludf.DUMMYFUNCTION("""COMPUTED_VALUE"""),"{""typ"":""lc"",""txt"":""LC_ITEM_season_extra_reward_usedtip""}")</f>
        <v>{"typ":"lc","txt":"LC_ITEM_season_extra_reward_usedtip"}</v>
      </c>
      <c r="M2761" s="148">
        <f>IFERROR(__xludf.DUMMYFUNCTION("""COMPUTED_VALUE"""),2500.0)</f>
        <v>2500</v>
      </c>
      <c r="N2761" s="148">
        <f>IFERROR(__xludf.DUMMYFUNCTION("""COMPUTED_VALUE"""),9999999.0)</f>
        <v>9999999</v>
      </c>
      <c r="O2761" s="148">
        <f>IFERROR(__xludf.DUMMYFUNCTION("""COMPUTED_VALUE"""),1.0)</f>
        <v>1</v>
      </c>
      <c r="P2761" s="148">
        <f>IFERROR(__xludf.DUMMYFUNCTION("""COMPUTED_VALUE"""),1.0)</f>
        <v>1</v>
      </c>
      <c r="Q2761" s="148" t="str">
        <f>IFERROR(__xludf.DUMMYFUNCTION("""COMPUTED_VALUE"""),"[""bag_other""]")</f>
        <v>["bag_other"]</v>
      </c>
      <c r="R2761" s="148" t="str">
        <f>IFERROR(__xludf.DUMMYFUNCTION("""COMPUTED_VALUE"""),"[""11731041"",""bag""]")</f>
        <v>["11731041","bag"]</v>
      </c>
      <c r="S2761" s="148" t="str">
        <f>IFERROR(__xludf.DUMMYFUNCTION("""COMPUTED_VALUE"""),"{""effect"":[{""typ"":""nameplate"",""id"":11731041,""val"":-1}]}")</f>
        <v>{"effect":[{"typ":"nameplate","id":11731041,"val":-1}]}</v>
      </c>
      <c r="T2761" s="148">
        <f>IFERROR(__xludf.DUMMYFUNCTION("""COMPUTED_VALUE"""),-1.0)</f>
        <v>-1</v>
      </c>
      <c r="U2761" s="148">
        <f>IFERROR(__xludf.DUMMYFUNCTION("""COMPUTED_VALUE"""),0.0)</f>
        <v>0</v>
      </c>
      <c r="V2761" s="148" t="str">
        <f>IFERROR(__xludf.DUMMYFUNCTION("""COMPUTED_VALUE"""),"[]")</f>
        <v>[]</v>
      </c>
      <c r="W2761" s="148">
        <f>IFERROR(__xludf.DUMMYFUNCTION("""COMPUTED_VALUE"""),1.174E7)</f>
        <v>11740000</v>
      </c>
      <c r="X2761" s="148">
        <f>IFERROR(__xludf.DUMMYFUNCTION("""COMPUTED_VALUE"""),0.0)</f>
        <v>0</v>
      </c>
      <c r="Y2761" s="148">
        <f>IFERROR(__xludf.DUMMYFUNCTION("""COMPUTED_VALUE"""),0.0)</f>
        <v>0</v>
      </c>
      <c r="Z2761" s="148"/>
    </row>
    <row r="2762">
      <c r="A2762" s="148">
        <f>IFERROR(__xludf.DUMMYFUNCTION("""COMPUTED_VALUE"""),1.1119723E7)</f>
        <v>11119723</v>
      </c>
      <c r="B2762" s="148" t="str">
        <f>IFERROR(__xludf.DUMMYFUNCTION("""COMPUTED_VALUE"""),"2025音乐节bp礼包随机宝箱")</f>
        <v>2025音乐节bp礼包随机宝箱</v>
      </c>
      <c r="C2762" s="148"/>
      <c r="D2762" s="148" t="str">
        <f>IFERROR(__xludf.DUMMYFUNCTION("""COMPUTED_VALUE"""),"item_asset")</f>
        <v>item_asset</v>
      </c>
      <c r="E2762" s="148">
        <f>IFERROR(__xludf.DUMMYFUNCTION("""COMPUTED_VALUE"""),19.0)</f>
        <v>19</v>
      </c>
      <c r="F2762" s="148">
        <f>IFERROR(__xludf.DUMMYFUNCTION("""COMPUTED_VALUE"""),403308.0)</f>
        <v>403308</v>
      </c>
      <c r="G2762" s="148">
        <f>IFERROR(__xludf.DUMMYFUNCTION("""COMPUTED_VALUE"""),1.51101545E8)</f>
        <v>151101545</v>
      </c>
      <c r="H2762" s="148">
        <f>IFERROR(__xludf.DUMMYFUNCTION("""COMPUTED_VALUE"""),1.5112564E7)</f>
        <v>15112564</v>
      </c>
      <c r="I2762" s="148" t="str">
        <f>IFERROR(__xludf.DUMMYFUNCTION("""COMPUTED_VALUE"""),"{}")</f>
        <v>{}</v>
      </c>
      <c r="J2762" s="148" t="str">
        <f>IFERROR(__xludf.DUMMYFUNCTION("""COMPUTED_VALUE"""),"{""typ"":""lc"",""txt"":""LC_ITEM_fes_bp_box_name""}")</f>
        <v>{"typ":"lc","txt":"LC_ITEM_fes_bp_box_name"}</v>
      </c>
      <c r="K2762" s="148" t="str">
        <f>IFERROR(__xludf.DUMMYFUNCTION("""COMPUTED_VALUE"""),"{""typ"":""lc"",""txt"":""LC_ITEM_fes_bp_box_desc_music_2025""}")</f>
        <v>{"typ":"lc","txt":"LC_ITEM_fes_bp_box_desc_music_2025"}</v>
      </c>
      <c r="L2762" s="148" t="str">
        <f>IFERROR(__xludf.DUMMYFUNCTION("""COMPUTED_VALUE"""),"{}")</f>
        <v>{}</v>
      </c>
      <c r="M2762" s="148">
        <f>IFERROR(__xludf.DUMMYFUNCTION("""COMPUTED_VALUE"""),135.0)</f>
        <v>135</v>
      </c>
      <c r="N2762" s="148">
        <f>IFERROR(__xludf.DUMMYFUNCTION("""COMPUTED_VALUE"""),999999.0)</f>
        <v>999999</v>
      </c>
      <c r="O2762" s="148">
        <f>IFERROR(__xludf.DUMMYFUNCTION("""COMPUTED_VALUE"""),99999.0)</f>
        <v>99999</v>
      </c>
      <c r="P2762" s="148">
        <f>IFERROR(__xludf.DUMMYFUNCTION("""COMPUTED_VALUE"""),9999.0)</f>
        <v>9999</v>
      </c>
      <c r="Q2762" s="148" t="str">
        <f>IFERROR(__xludf.DUMMYFUNCTION("""COMPUTED_VALUE"""),"[""bag_other""]")</f>
        <v>["bag_other"]</v>
      </c>
      <c r="R2762" s="148" t="str">
        <f>IFERROR(__xludf.DUMMYFUNCTION("""COMPUTED_VALUE"""),"[""bag""]")</f>
        <v>["bag"]</v>
      </c>
      <c r="S2762" s="148" t="str">
        <f>IFERROR(__xludf.DUMMYFUNCTION("""COMPUTED_VALUE"""),"{""drop"":{""typ"":""single_random"",""num"":1,""args"":[{""typ"":""item"",""id"":11119721,""num"":1,""wgt"":1},{""typ"":""item"",""id"":11119726,""num"":10,""wgt"":60},{""typ"":""item"",""id"":11116304,""num"":1,""wgt"":10},{""typ"":""item"",""id"":11118"&amp;"663,""num"":2,""wgt"":60},{""typ"":""item"",""id"":11116110,""num"":2,""wgt"":60},{""typ"":""item"",""id"":11114330,""num"":1,""wgt"":300},{""typ"":""item"",""id"":11111155,""num"":2,""wgt"":300},{""typ"":""item"",""id"":11111105,""num"":2,""wgt"":100}]}}")</f>
        <v>{"drop":{"typ":"single_random","num":1,"args":[{"typ":"item","id":11119721,"num":1,"wgt":1},{"typ":"item","id":11119726,"num":10,"wgt":60},{"typ":"item","id":11116304,"num":1,"wgt":10},{"typ":"item","id":11118663,"num":2,"wgt":60},{"typ":"item","id":11116110,"num":2,"wgt":60},{"typ":"item","id":11114330,"num":1,"wgt":300},{"typ":"item","id":11111155,"num":2,"wgt":300},{"typ":"item","id":11111105,"num":2,"wgt":100}]}}</v>
      </c>
      <c r="T2762" s="148">
        <f>IFERROR(__xludf.DUMMYFUNCTION("""COMPUTED_VALUE"""),-1.0)</f>
        <v>-1</v>
      </c>
      <c r="U2762" s="148">
        <f>IFERROR(__xludf.DUMMYFUNCTION("""COMPUTED_VALUE"""),0.0)</f>
        <v>0</v>
      </c>
      <c r="V2762" s="148" t="str">
        <f>IFERROR(__xludf.DUMMYFUNCTION("""COMPUTED_VALUE"""),"[]")</f>
        <v>[]</v>
      </c>
      <c r="W2762" s="148">
        <f>IFERROR(__xludf.DUMMYFUNCTION("""COMPUTED_VALUE"""),1.174E7)</f>
        <v>11740000</v>
      </c>
      <c r="X2762" s="148">
        <f>IFERROR(__xludf.DUMMYFUNCTION("""COMPUTED_VALUE"""),0.0)</f>
        <v>0</v>
      </c>
      <c r="Y2762" s="148">
        <f>IFERROR(__xludf.DUMMYFUNCTION("""COMPUTED_VALUE"""),0.0)</f>
        <v>0</v>
      </c>
      <c r="Z2762" s="148"/>
    </row>
    <row r="2763">
      <c r="A2763" s="148">
        <f>IFERROR(__xludf.DUMMYFUNCTION("""COMPUTED_VALUE"""),1.1119724E7)</f>
        <v>11119724</v>
      </c>
      <c r="B2763" s="148" t="str">
        <f>IFERROR(__xludf.DUMMYFUNCTION("""COMPUTED_VALUE"""),"2025音乐节BattlePass-初级通行证")</f>
        <v>2025音乐节BattlePass-初级通行证</v>
      </c>
      <c r="C2763" s="148"/>
      <c r="D2763" s="148" t="str">
        <f>IFERROR(__xludf.DUMMYFUNCTION("""COMPUTED_VALUE"""),"battle_pass_card")</f>
        <v>battle_pass_card</v>
      </c>
      <c r="E2763" s="148">
        <f>IFERROR(__xludf.DUMMYFUNCTION("""COMPUTED_VALUE"""),0.0)</f>
        <v>0</v>
      </c>
      <c r="F2763" s="148">
        <f>IFERROR(__xludf.DUMMYFUNCTION("""COMPUTED_VALUE"""),0.0)</f>
        <v>0</v>
      </c>
      <c r="G2763" s="148">
        <f>IFERROR(__xludf.DUMMYFUNCTION("""COMPUTED_VALUE"""),1.51102891E8)</f>
        <v>151102891</v>
      </c>
      <c r="H2763" s="148">
        <f>IFERROR(__xludf.DUMMYFUNCTION("""COMPUTED_VALUE"""),1.5112563E7)</f>
        <v>15112563</v>
      </c>
      <c r="I2763" s="148" t="str">
        <f>IFERROR(__xludf.DUMMYFUNCTION("""COMPUTED_VALUE"""),"{}")</f>
        <v>{}</v>
      </c>
      <c r="J2763" s="148" t="str">
        <f>IFERROR(__xludf.DUMMYFUNCTION("""COMPUTED_VALUE"""),"{""typ"":""lc"",""txt"":""LC_IAP_anniversary2023_normal_bp""}")</f>
        <v>{"typ":"lc","txt":"LC_IAP_anniversary2023_normal_bp"}</v>
      </c>
      <c r="K2763" s="148" t="str">
        <f>IFERROR(__xludf.DUMMYFUNCTION("""COMPUTED_VALUE"""),"{""typ"":""lc"",""txt"":""LC_IAP_anniversary2023_normal_bp""}")</f>
        <v>{"typ":"lc","txt":"LC_IAP_anniversary2023_normal_bp"}</v>
      </c>
      <c r="L2763" s="148" t="str">
        <f>IFERROR(__xludf.DUMMYFUNCTION("""COMPUTED_VALUE"""),"{}")</f>
        <v>{}</v>
      </c>
      <c r="M2763" s="148">
        <f>IFERROR(__xludf.DUMMYFUNCTION("""COMPUTED_VALUE"""),10.0)</f>
        <v>10</v>
      </c>
      <c r="N2763" s="148">
        <f>IFERROR(__xludf.DUMMYFUNCTION("""COMPUTED_VALUE"""),999999.0)</f>
        <v>999999</v>
      </c>
      <c r="O2763" s="148">
        <f>IFERROR(__xludf.DUMMYFUNCTION("""COMPUTED_VALUE"""),99999.0)</f>
        <v>99999</v>
      </c>
      <c r="P2763" s="148">
        <f>IFERROR(__xludf.DUMMYFUNCTION("""COMPUTED_VALUE"""),9999.0)</f>
        <v>9999</v>
      </c>
      <c r="Q2763" s="148" t="str">
        <f>IFERROR(__xludf.DUMMYFUNCTION("""COMPUTED_VALUE"""),"[]")</f>
        <v>[]</v>
      </c>
      <c r="R2763" s="148" t="str">
        <f>IFERROR(__xludf.DUMMYFUNCTION("""COMPUTED_VALUE"""),"[]")</f>
        <v>[]</v>
      </c>
      <c r="S2763" s="148" t="str">
        <f>IFERROR(__xludf.DUMMYFUNCTION("""COMPUTED_VALUE"""),"{}")</f>
        <v>{}</v>
      </c>
      <c r="T2763" s="148">
        <f>IFERROR(__xludf.DUMMYFUNCTION("""COMPUTED_VALUE"""),-1.0)</f>
        <v>-1</v>
      </c>
      <c r="U2763" s="148">
        <f>IFERROR(__xludf.DUMMYFUNCTION("""COMPUTED_VALUE"""),1.0)</f>
        <v>1</v>
      </c>
      <c r="V2763" s="148" t="str">
        <f>IFERROR(__xludf.DUMMYFUNCTION("""COMPUTED_VALUE"""),"[]")</f>
        <v>[]</v>
      </c>
      <c r="W2763" s="148">
        <f>IFERROR(__xludf.DUMMYFUNCTION("""COMPUTED_VALUE"""),1.174E7)</f>
        <v>11740000</v>
      </c>
      <c r="X2763" s="148">
        <f>IFERROR(__xludf.DUMMYFUNCTION("""COMPUTED_VALUE"""),0.0)</f>
        <v>0</v>
      </c>
      <c r="Y2763" s="148">
        <f>IFERROR(__xludf.DUMMYFUNCTION("""COMPUTED_VALUE"""),0.0)</f>
        <v>0</v>
      </c>
      <c r="Z2763" s="148"/>
    </row>
    <row r="2764">
      <c r="A2764" s="148">
        <f>IFERROR(__xludf.DUMMYFUNCTION("""COMPUTED_VALUE"""),1.1119725E7)</f>
        <v>11119725</v>
      </c>
      <c r="B2764" s="148" t="str">
        <f>IFERROR(__xludf.DUMMYFUNCTION("""COMPUTED_VALUE"""),"2025音乐节BattlePass-高级通行证")</f>
        <v>2025音乐节BattlePass-高级通行证</v>
      </c>
      <c r="C2764" s="148"/>
      <c r="D2764" s="148" t="str">
        <f>IFERROR(__xludf.DUMMYFUNCTION("""COMPUTED_VALUE"""),"battle_pass_card")</f>
        <v>battle_pass_card</v>
      </c>
      <c r="E2764" s="148">
        <f>IFERROR(__xludf.DUMMYFUNCTION("""COMPUTED_VALUE"""),0.0)</f>
        <v>0</v>
      </c>
      <c r="F2764" s="148">
        <f>IFERROR(__xludf.DUMMYFUNCTION("""COMPUTED_VALUE"""),0.0)</f>
        <v>0</v>
      </c>
      <c r="G2764" s="148">
        <f>IFERROR(__xludf.DUMMYFUNCTION("""COMPUTED_VALUE"""),1.51102891E8)</f>
        <v>151102891</v>
      </c>
      <c r="H2764" s="148">
        <f>IFERROR(__xludf.DUMMYFUNCTION("""COMPUTED_VALUE"""),1.5112564E7)</f>
        <v>15112564</v>
      </c>
      <c r="I2764" s="148" t="str">
        <f>IFERROR(__xludf.DUMMYFUNCTION("""COMPUTED_VALUE"""),"{}")</f>
        <v>{}</v>
      </c>
      <c r="J2764" s="148" t="str">
        <f>IFERROR(__xludf.DUMMYFUNCTION("""COMPUTED_VALUE"""),"{""typ"":""lc"",""txt"":""LC_IAP_anniversary2023_senior_bp""}")</f>
        <v>{"typ":"lc","txt":"LC_IAP_anniversary2023_senior_bp"}</v>
      </c>
      <c r="K2764" s="148" t="str">
        <f>IFERROR(__xludf.DUMMYFUNCTION("""COMPUTED_VALUE"""),"{""typ"":""lc"",""txt"":""LC_IAP_anniversary2023_senior_bp""}")</f>
        <v>{"typ":"lc","txt":"LC_IAP_anniversary2023_senior_bp"}</v>
      </c>
      <c r="L2764" s="148" t="str">
        <f>IFERROR(__xludf.DUMMYFUNCTION("""COMPUTED_VALUE"""),"{}")</f>
        <v>{}</v>
      </c>
      <c r="M2764" s="148">
        <f>IFERROR(__xludf.DUMMYFUNCTION("""COMPUTED_VALUE"""),10.0)</f>
        <v>10</v>
      </c>
      <c r="N2764" s="148">
        <f>IFERROR(__xludf.DUMMYFUNCTION("""COMPUTED_VALUE"""),999999.0)</f>
        <v>999999</v>
      </c>
      <c r="O2764" s="148">
        <f>IFERROR(__xludf.DUMMYFUNCTION("""COMPUTED_VALUE"""),99999.0)</f>
        <v>99999</v>
      </c>
      <c r="P2764" s="148">
        <f>IFERROR(__xludf.DUMMYFUNCTION("""COMPUTED_VALUE"""),9999.0)</f>
        <v>9999</v>
      </c>
      <c r="Q2764" s="148" t="str">
        <f>IFERROR(__xludf.DUMMYFUNCTION("""COMPUTED_VALUE"""),"[]")</f>
        <v>[]</v>
      </c>
      <c r="R2764" s="148" t="str">
        <f>IFERROR(__xludf.DUMMYFUNCTION("""COMPUTED_VALUE"""),"[]")</f>
        <v>[]</v>
      </c>
      <c r="S2764" s="148" t="str">
        <f>IFERROR(__xludf.DUMMYFUNCTION("""COMPUTED_VALUE"""),"{}")</f>
        <v>{}</v>
      </c>
      <c r="T2764" s="148">
        <f>IFERROR(__xludf.DUMMYFUNCTION("""COMPUTED_VALUE"""),-1.0)</f>
        <v>-1</v>
      </c>
      <c r="U2764" s="148">
        <f>IFERROR(__xludf.DUMMYFUNCTION("""COMPUTED_VALUE"""),1.0)</f>
        <v>1</v>
      </c>
      <c r="V2764" s="148" t="str">
        <f>IFERROR(__xludf.DUMMYFUNCTION("""COMPUTED_VALUE"""),"[]")</f>
        <v>[]</v>
      </c>
      <c r="W2764" s="148">
        <f>IFERROR(__xludf.DUMMYFUNCTION("""COMPUTED_VALUE"""),1.174E7)</f>
        <v>11740000</v>
      </c>
      <c r="X2764" s="148">
        <f>IFERROR(__xludf.DUMMYFUNCTION("""COMPUTED_VALUE"""),0.0)</f>
        <v>0</v>
      </c>
      <c r="Y2764" s="148">
        <f>IFERROR(__xludf.DUMMYFUNCTION("""COMPUTED_VALUE"""),0.0)</f>
        <v>0</v>
      </c>
      <c r="Z2764" s="148"/>
    </row>
    <row r="2765">
      <c r="A2765" s="148">
        <f>IFERROR(__xludf.DUMMYFUNCTION("""COMPUTED_VALUE"""),1.1119726E7)</f>
        <v>11119726</v>
      </c>
      <c r="B2765" s="148" t="str">
        <f>IFERROR(__xludf.DUMMYFUNCTION("""COMPUTED_VALUE"""),"2025音乐节BattlePass-BP经验")</f>
        <v>2025音乐节BattlePass-BP经验</v>
      </c>
      <c r="C2765" s="148"/>
      <c r="D2765" s="148" t="str">
        <f>IFERROR(__xludf.DUMMYFUNCTION("""COMPUTED_VALUE"""),"battle_pass_exp")</f>
        <v>battle_pass_exp</v>
      </c>
      <c r="E2765" s="148">
        <f>IFERROR(__xludf.DUMMYFUNCTION("""COMPUTED_VALUE"""),0.0)</f>
        <v>0</v>
      </c>
      <c r="F2765" s="148">
        <f>IFERROR(__xludf.DUMMYFUNCTION("""COMPUTED_VALUE"""),405245.0)</f>
        <v>405245</v>
      </c>
      <c r="G2765" s="148">
        <f>IFERROR(__xludf.DUMMYFUNCTION("""COMPUTED_VALUE"""),1.51102891E8)</f>
        <v>151102891</v>
      </c>
      <c r="H2765" s="148">
        <f>IFERROR(__xludf.DUMMYFUNCTION("""COMPUTED_VALUE"""),1.5112563E7)</f>
        <v>15112563</v>
      </c>
      <c r="I2765" s="148" t="str">
        <f>IFERROR(__xludf.DUMMYFUNCTION("""COMPUTED_VALUE"""),"{}")</f>
        <v>{}</v>
      </c>
      <c r="J2765" s="148" t="str">
        <f>IFERROR(__xludf.DUMMYFUNCTION("""COMPUTED_VALUE"""),"{""typ"":""lc"",""txt"":""LC_ITEM_music_bp_item_name_2025""}")</f>
        <v>{"typ":"lc","txt":"LC_ITEM_music_bp_item_name_2025"}</v>
      </c>
      <c r="K2765" s="148" t="str">
        <f>IFERROR(__xludf.DUMMYFUNCTION("""COMPUTED_VALUE"""),"{""typ"":""lc"",""txt"":""LC_ITEM_music_bp_item_desc_2025""}")</f>
        <v>{"typ":"lc","txt":"LC_ITEM_music_bp_item_desc_2025"}</v>
      </c>
      <c r="L2765" s="148" t="str">
        <f>IFERROR(__xludf.DUMMYFUNCTION("""COMPUTED_VALUE"""),"{}")</f>
        <v>{}</v>
      </c>
      <c r="M2765" s="148">
        <f>IFERROR(__xludf.DUMMYFUNCTION("""COMPUTED_VALUE"""),35.0)</f>
        <v>35</v>
      </c>
      <c r="N2765" s="148">
        <f>IFERROR(__xludf.DUMMYFUNCTION("""COMPUTED_VALUE"""),999999.0)</f>
        <v>999999</v>
      </c>
      <c r="O2765" s="148">
        <f>IFERROR(__xludf.DUMMYFUNCTION("""COMPUTED_VALUE"""),99999.0)</f>
        <v>99999</v>
      </c>
      <c r="P2765" s="148">
        <f>IFERROR(__xludf.DUMMYFUNCTION("""COMPUTED_VALUE"""),99999.0)</f>
        <v>99999</v>
      </c>
      <c r="Q2765" s="148" t="str">
        <f>IFERROR(__xludf.DUMMYFUNCTION("""COMPUTED_VALUE"""),"[""bag_other""]")</f>
        <v>["bag_other"]</v>
      </c>
      <c r="R2765" s="148" t="str">
        <f>IFERROR(__xludf.DUMMYFUNCTION("""COMPUTED_VALUE"""),"[""bag""]")</f>
        <v>["bag"]</v>
      </c>
      <c r="S2765" s="148" t="str">
        <f>IFERROR(__xludf.DUMMYFUNCTION("""COMPUTED_VALUE"""),"{}")</f>
        <v>{}</v>
      </c>
      <c r="T2765" s="148">
        <f>IFERROR(__xludf.DUMMYFUNCTION("""COMPUTED_VALUE"""),-1.0)</f>
        <v>-1</v>
      </c>
      <c r="U2765" s="148">
        <f>IFERROR(__xludf.DUMMYFUNCTION("""COMPUTED_VALUE"""),0.0)</f>
        <v>0</v>
      </c>
      <c r="V2765" s="148" t="str">
        <f>IFERROR(__xludf.DUMMYFUNCTION("""COMPUTED_VALUE"""),"[]")</f>
        <v>[]</v>
      </c>
      <c r="W2765" s="148">
        <f>IFERROR(__xludf.DUMMYFUNCTION("""COMPUTED_VALUE"""),1.174E7)</f>
        <v>11740000</v>
      </c>
      <c r="X2765" s="148">
        <f>IFERROR(__xludf.DUMMYFUNCTION("""COMPUTED_VALUE"""),0.0)</f>
        <v>0</v>
      </c>
      <c r="Y2765" s="148">
        <f>IFERROR(__xludf.DUMMYFUNCTION("""COMPUTED_VALUE"""),0.0)</f>
        <v>0</v>
      </c>
      <c r="Z2765" s="148"/>
    </row>
    <row r="2766">
      <c r="A2766" s="148">
        <f>IFERROR(__xludf.DUMMYFUNCTION("""COMPUTED_VALUE"""),1.1119727E7)</f>
        <v>11119727</v>
      </c>
      <c r="B2766" s="148" t="str">
        <f>IFERROR(__xludf.DUMMYFUNCTION("""COMPUTED_VALUE"""),"2025音乐节自选宝箱")</f>
        <v>2025音乐节自选宝箱</v>
      </c>
      <c r="C2766" s="148"/>
      <c r="D2766" s="148" t="str">
        <f>IFERROR(__xludf.DUMMYFUNCTION("""COMPUTED_VALUE"""),"item_select_box")</f>
        <v>item_select_box</v>
      </c>
      <c r="E2766" s="148">
        <f>IFERROR(__xludf.DUMMYFUNCTION("""COMPUTED_VALUE"""),19.0)</f>
        <v>19</v>
      </c>
      <c r="F2766" s="148">
        <f>IFERROR(__xludf.DUMMYFUNCTION("""COMPUTED_VALUE"""),0.0)</f>
        <v>0</v>
      </c>
      <c r="G2766" s="148">
        <f>IFERROR(__xludf.DUMMYFUNCTION("""COMPUTED_VALUE"""),1.51102894E8)</f>
        <v>151102894</v>
      </c>
      <c r="H2766" s="148">
        <f>IFERROR(__xludf.DUMMYFUNCTION("""COMPUTED_VALUE"""),1.5112564E7)</f>
        <v>15112564</v>
      </c>
      <c r="I2766" s="148" t="str">
        <f>IFERROR(__xludf.DUMMYFUNCTION("""COMPUTED_VALUE"""),"{}")</f>
        <v>{}</v>
      </c>
      <c r="J2766" s="148" t="str">
        <f>IFERROR(__xludf.DUMMYFUNCTION("""COMPUTED_VALUE"""),"{""typ"":""lc"",""txt"":""LC_ITEM_actv_music_cbox_name""}")</f>
        <v>{"typ":"lc","txt":"LC_ITEM_actv_music_cbox_name"}</v>
      </c>
      <c r="K2766" s="148" t="str">
        <f>IFERROR(__xludf.DUMMYFUNCTION("""COMPUTED_VALUE"""),"{""typ"":""lc"",""txt"":""LC_ITEM_actv_music_cbox_desc""}")</f>
        <v>{"typ":"lc","txt":"LC_ITEM_actv_music_cbox_desc"}</v>
      </c>
      <c r="L2766" s="148" t="str">
        <f>IFERROR(__xludf.DUMMYFUNCTION("""COMPUTED_VALUE"""),"{}")</f>
        <v>{}</v>
      </c>
      <c r="M2766" s="148">
        <f>IFERROR(__xludf.DUMMYFUNCTION("""COMPUTED_VALUE"""),125.0)</f>
        <v>125</v>
      </c>
      <c r="N2766" s="148">
        <f>IFERROR(__xludf.DUMMYFUNCTION("""COMPUTED_VALUE"""),999999.0)</f>
        <v>999999</v>
      </c>
      <c r="O2766" s="148">
        <f>IFERROR(__xludf.DUMMYFUNCTION("""COMPUTED_VALUE"""),99999.0)</f>
        <v>99999</v>
      </c>
      <c r="P2766" s="148">
        <f>IFERROR(__xludf.DUMMYFUNCTION("""COMPUTED_VALUE"""),9999.0)</f>
        <v>9999</v>
      </c>
      <c r="Q2766" s="148" t="str">
        <f>IFERROR(__xludf.DUMMYFUNCTION("""COMPUTED_VALUE"""),"[""bag_other""]")</f>
        <v>["bag_other"]</v>
      </c>
      <c r="R2766" s="148" t="str">
        <f>IFERROR(__xludf.DUMMYFUNCTION("""COMPUTED_VALUE"""),"[""bag""]")</f>
        <v>["bag"]</v>
      </c>
      <c r="S2766" s="148" t="str">
        <f>IFERROR(__xludf.DUMMYFUNCTION("""COMPUTED_VALUE"""),"{""select_box"":[{""typ"":""item"",""id"":11119726,""val"":5},{""typ"":""item"",""id"":11112666,""val"":1}]}")</f>
        <v>{"select_box":[{"typ":"item","id":11119726,"val":5},{"typ":"item","id":11112666,"val":1}]}</v>
      </c>
      <c r="T2766" s="148">
        <f>IFERROR(__xludf.DUMMYFUNCTION("""COMPUTED_VALUE"""),-1.0)</f>
        <v>-1</v>
      </c>
      <c r="U2766" s="148">
        <f>IFERROR(__xludf.DUMMYFUNCTION("""COMPUTED_VALUE"""),0.0)</f>
        <v>0</v>
      </c>
      <c r="V2766" s="148" t="str">
        <f>IFERROR(__xludf.DUMMYFUNCTION("""COMPUTED_VALUE"""),"[]")</f>
        <v>[]</v>
      </c>
      <c r="W2766" s="148">
        <f>IFERROR(__xludf.DUMMYFUNCTION("""COMPUTED_VALUE"""),1.174E7)</f>
        <v>11740000</v>
      </c>
      <c r="X2766" s="148">
        <f>IFERROR(__xludf.DUMMYFUNCTION("""COMPUTED_VALUE"""),0.0)</f>
        <v>0</v>
      </c>
      <c r="Y2766" s="148">
        <f>IFERROR(__xludf.DUMMYFUNCTION("""COMPUTED_VALUE"""),0.0)</f>
        <v>0</v>
      </c>
      <c r="Z2766" s="148"/>
    </row>
    <row r="2767">
      <c r="A2767" s="148">
        <f>IFERROR(__xludf.DUMMYFUNCTION("""COMPUTED_VALUE"""),1.1119728E7)</f>
        <v>11119728</v>
      </c>
      <c r="B2767" s="148" t="str">
        <f>IFERROR(__xludf.DUMMYFUNCTION("""COMPUTED_VALUE"""),"2025音乐节随机宝箱")</f>
        <v>2025音乐节随机宝箱</v>
      </c>
      <c r="C2767" s="148"/>
      <c r="D2767" s="148" t="str">
        <f>IFERROR(__xludf.DUMMYFUNCTION("""COMPUTED_VALUE"""),"item_asset")</f>
        <v>item_asset</v>
      </c>
      <c r="E2767" s="148">
        <f>IFERROR(__xludf.DUMMYFUNCTION("""COMPUTED_VALUE"""),19.0)</f>
        <v>19</v>
      </c>
      <c r="F2767" s="148">
        <f>IFERROR(__xludf.DUMMYFUNCTION("""COMPUTED_VALUE"""),0.0)</f>
        <v>0</v>
      </c>
      <c r="G2767" s="148">
        <f>IFERROR(__xludf.DUMMYFUNCTION("""COMPUTED_VALUE"""),1.51102893E8)</f>
        <v>151102893</v>
      </c>
      <c r="H2767" s="148">
        <f>IFERROR(__xludf.DUMMYFUNCTION("""COMPUTED_VALUE"""),1.5112564E7)</f>
        <v>15112564</v>
      </c>
      <c r="I2767" s="148" t="str">
        <f>IFERROR(__xludf.DUMMYFUNCTION("""COMPUTED_VALUE"""),"{}")</f>
        <v>{}</v>
      </c>
      <c r="J2767" s="148" t="str">
        <f>IFERROR(__xludf.DUMMYFUNCTION("""COMPUTED_VALUE"""),"{""typ"":""lc"",""txt"":""LC_ITEM_actv_music_rbox_name""}")</f>
        <v>{"typ":"lc","txt":"LC_ITEM_actv_music_rbox_name"}</v>
      </c>
      <c r="K2767" s="148" t="str">
        <f>IFERROR(__xludf.DUMMYFUNCTION("""COMPUTED_VALUE"""),"{""typ"":""lc"",""txt"":""LC_ITEM_actv_music_rbox_desc""}")</f>
        <v>{"typ":"lc","txt":"LC_ITEM_actv_music_rbox_desc"}</v>
      </c>
      <c r="L2767" s="148" t="str">
        <f>IFERROR(__xludf.DUMMYFUNCTION("""COMPUTED_VALUE"""),"{}")</f>
        <v>{}</v>
      </c>
      <c r="M2767" s="148">
        <f>IFERROR(__xludf.DUMMYFUNCTION("""COMPUTED_VALUE"""),125.0)</f>
        <v>125</v>
      </c>
      <c r="N2767" s="148">
        <f>IFERROR(__xludf.DUMMYFUNCTION("""COMPUTED_VALUE"""),999999.0)</f>
        <v>999999</v>
      </c>
      <c r="O2767" s="148">
        <f>IFERROR(__xludf.DUMMYFUNCTION("""COMPUTED_VALUE"""),99999.0)</f>
        <v>99999</v>
      </c>
      <c r="P2767" s="148">
        <f>IFERROR(__xludf.DUMMYFUNCTION("""COMPUTED_VALUE"""),9999.0)</f>
        <v>9999</v>
      </c>
      <c r="Q2767" s="148" t="str">
        <f>IFERROR(__xludf.DUMMYFUNCTION("""COMPUTED_VALUE"""),"[""bag_other""]")</f>
        <v>["bag_other"]</v>
      </c>
      <c r="R2767" s="148" t="str">
        <f>IFERROR(__xludf.DUMMYFUNCTION("""COMPUTED_VALUE"""),"[""bag""]")</f>
        <v>["bag"]</v>
      </c>
      <c r="S2767" s="148" t="str">
        <f>IFERROR(__xludf.DUMMYFUNCTION("""COMPUTED_VALUE"""),"{""drop"":{""typ"":""single_random"",""num"":1,""args"":[{""typ"":""item"",""id"":11112666,""num"":2,""wgt"":20},{""typ"":""item"",""id"":11119726,""num"":2,""wgt"":20},{""typ"":""item"",""id"":11116304,""num"":1,""wgt"":5},{""typ"":""item"",""id"":111161"&amp;"10,""num"":1,""wgt"":20},{""typ"":""item"",""id"":11114330,""num"":1,""wgt"":100},{""typ"":""item"",""id"":11111155,""num"":2,""wgt"":100},{""typ"":""item"",""id"":11111105,""num"":1,""wgt"":50}]}}")</f>
        <v>{"drop":{"typ":"single_random","num":1,"args":[{"typ":"item","id":11112666,"num":2,"wgt":20},{"typ":"item","id":11119726,"num":2,"wgt":20},{"typ":"item","id":11116304,"num":1,"wgt":5},{"typ":"item","id":11116110,"num":1,"wgt":20},{"typ":"item","id":11114330,"num":1,"wgt":100},{"typ":"item","id":11111155,"num":2,"wgt":100},{"typ":"item","id":11111105,"num":1,"wgt":50}]}}</v>
      </c>
      <c r="T2767" s="148">
        <f>IFERROR(__xludf.DUMMYFUNCTION("""COMPUTED_VALUE"""),-1.0)</f>
        <v>-1</v>
      </c>
      <c r="U2767" s="148">
        <f>IFERROR(__xludf.DUMMYFUNCTION("""COMPUTED_VALUE"""),0.0)</f>
        <v>0</v>
      </c>
      <c r="V2767" s="148" t="str">
        <f>IFERROR(__xludf.DUMMYFUNCTION("""COMPUTED_VALUE"""),"[]")</f>
        <v>[]</v>
      </c>
      <c r="W2767" s="148">
        <f>IFERROR(__xludf.DUMMYFUNCTION("""COMPUTED_VALUE"""),1.174E7)</f>
        <v>11740000</v>
      </c>
      <c r="X2767" s="148">
        <f>IFERROR(__xludf.DUMMYFUNCTION("""COMPUTED_VALUE"""),0.0)</f>
        <v>0</v>
      </c>
      <c r="Y2767" s="148">
        <f>IFERROR(__xludf.DUMMYFUNCTION("""COMPUTED_VALUE"""),0.0)</f>
        <v>0</v>
      </c>
      <c r="Z2767" s="148"/>
    </row>
    <row r="2768">
      <c r="A2768" s="148">
        <f>IFERROR(__xludf.DUMMYFUNCTION("""COMPUTED_VALUE"""),1.1119729E7)</f>
        <v>11119729</v>
      </c>
      <c r="B2768" s="148" t="str">
        <f>IFERROR(__xludf.DUMMYFUNCTION("""COMPUTED_VALUE"""),"2025音乐节BP本体随机宝箱")</f>
        <v>2025音乐节BP本体随机宝箱</v>
      </c>
      <c r="C2768" s="148"/>
      <c r="D2768" s="148" t="str">
        <f>IFERROR(__xludf.DUMMYFUNCTION("""COMPUTED_VALUE"""),"item_asset")</f>
        <v>item_asset</v>
      </c>
      <c r="E2768" s="148">
        <f>IFERROR(__xludf.DUMMYFUNCTION("""COMPUTED_VALUE"""),19.0)</f>
        <v>19</v>
      </c>
      <c r="F2768" s="148">
        <f>IFERROR(__xludf.DUMMYFUNCTION("""COMPUTED_VALUE"""),0.0)</f>
        <v>0</v>
      </c>
      <c r="G2768" s="148">
        <f>IFERROR(__xludf.DUMMYFUNCTION("""COMPUTED_VALUE"""),1.51102895E8)</f>
        <v>151102895</v>
      </c>
      <c r="H2768" s="148">
        <f>IFERROR(__xludf.DUMMYFUNCTION("""COMPUTED_VALUE"""),1.5112564E7)</f>
        <v>15112564</v>
      </c>
      <c r="I2768" s="148" t="str">
        <f>IFERROR(__xludf.DUMMYFUNCTION("""COMPUTED_VALUE"""),"{}")</f>
        <v>{}</v>
      </c>
      <c r="J2768" s="148" t="str">
        <f>IFERROR(__xludf.DUMMYFUNCTION("""COMPUTED_VALUE"""),"{""typ"":""lc"",""txt"":""LC_ITEM_fes_bp_rbox_name""}")</f>
        <v>{"typ":"lc","txt":"LC_ITEM_fes_bp_rbox_name"}</v>
      </c>
      <c r="K2768" s="148" t="str">
        <f>IFERROR(__xludf.DUMMYFUNCTION("""COMPUTED_VALUE"""),"{""typ"":""lc"",""txt"":""LC_ITEM_actv_music_bp_rbox_desc""}")</f>
        <v>{"typ":"lc","txt":"LC_ITEM_actv_music_bp_rbox_desc"}</v>
      </c>
      <c r="L2768" s="148" t="str">
        <f>IFERROR(__xludf.DUMMYFUNCTION("""COMPUTED_VALUE"""),"{}")</f>
        <v>{}</v>
      </c>
      <c r="M2768" s="148">
        <f>IFERROR(__xludf.DUMMYFUNCTION("""COMPUTED_VALUE"""),125.0)</f>
        <v>125</v>
      </c>
      <c r="N2768" s="148">
        <f>IFERROR(__xludf.DUMMYFUNCTION("""COMPUTED_VALUE"""),999999.0)</f>
        <v>999999</v>
      </c>
      <c r="O2768" s="148">
        <f>IFERROR(__xludf.DUMMYFUNCTION("""COMPUTED_VALUE"""),99999.0)</f>
        <v>99999</v>
      </c>
      <c r="P2768" s="148">
        <f>IFERROR(__xludf.DUMMYFUNCTION("""COMPUTED_VALUE"""),9999.0)</f>
        <v>9999</v>
      </c>
      <c r="Q2768" s="148" t="str">
        <f>IFERROR(__xludf.DUMMYFUNCTION("""COMPUTED_VALUE"""),"[""bag_other""]")</f>
        <v>["bag_other"]</v>
      </c>
      <c r="R2768" s="148" t="str">
        <f>IFERROR(__xludf.DUMMYFUNCTION("""COMPUTED_VALUE"""),"[""bag""]")</f>
        <v>["bag"]</v>
      </c>
      <c r="S2768" s="148" t="str">
        <f>IFERROR(__xludf.DUMMYFUNCTION("""COMPUTED_VALUE"""),"{""drop"":{""typ"":""single_random"",""num"":1,""args"":[{""typ"":""item"",""id"":11112666,""num"":2,""wgt"":20},{""typ"":""item"",""id"":11119726,""num"":2,""wgt"":20},{""typ"":""item"",""id"":11116304,""num"":1,""wgt"":5},{""typ"":""item"",""id"":111161"&amp;"10,""num"":1,""wgt"":20},{""typ"":""item"",""id"":11114330,""num"":1,""wgt"":100},{""typ"":""item"",""id"":11111155,""num"":2,""wgt"":100},{""typ"":""item"",""id"":11111105,""num"":1,""wgt"":50}]}}")</f>
        <v>{"drop":{"typ":"single_random","num":1,"args":[{"typ":"item","id":11112666,"num":2,"wgt":20},{"typ":"item","id":11119726,"num":2,"wgt":20},{"typ":"item","id":11116304,"num":1,"wgt":5},{"typ":"item","id":11116110,"num":1,"wgt":20},{"typ":"item","id":11114330,"num":1,"wgt":100},{"typ":"item","id":11111155,"num":2,"wgt":100},{"typ":"item","id":11111105,"num":1,"wgt":50}]}}</v>
      </c>
      <c r="T2768" s="148">
        <f>IFERROR(__xludf.DUMMYFUNCTION("""COMPUTED_VALUE"""),-1.0)</f>
        <v>-1</v>
      </c>
      <c r="U2768" s="148">
        <f>IFERROR(__xludf.DUMMYFUNCTION("""COMPUTED_VALUE"""),0.0)</f>
        <v>0</v>
      </c>
      <c r="V2768" s="148" t="str">
        <f>IFERROR(__xludf.DUMMYFUNCTION("""COMPUTED_VALUE"""),"[]")</f>
        <v>[]</v>
      </c>
      <c r="W2768" s="148">
        <f>IFERROR(__xludf.DUMMYFUNCTION("""COMPUTED_VALUE"""),1.174E7)</f>
        <v>11740000</v>
      </c>
      <c r="X2768" s="148">
        <f>IFERROR(__xludf.DUMMYFUNCTION("""COMPUTED_VALUE"""),0.0)</f>
        <v>0</v>
      </c>
      <c r="Y2768" s="148">
        <f>IFERROR(__xludf.DUMMYFUNCTION("""COMPUTED_VALUE"""),0.0)</f>
        <v>0</v>
      </c>
      <c r="Z2768" s="148"/>
    </row>
    <row r="2769">
      <c r="A2769" s="148">
        <f>IFERROR(__xludf.DUMMYFUNCTION("""COMPUTED_VALUE"""),1.111973E7)</f>
        <v>11119730</v>
      </c>
      <c r="B2769" s="148" t="str">
        <f>IFERROR(__xludf.DUMMYFUNCTION("""COMPUTED_VALUE"""),"2025音乐节主城自选道具")</f>
        <v>2025音乐节主城自选道具</v>
      </c>
      <c r="C2769" s="148"/>
      <c r="D2769" s="148" t="str">
        <f>IFERROR(__xludf.DUMMYFUNCTION("""COMPUTED_VALUE"""),"item_select_box")</f>
        <v>item_select_box</v>
      </c>
      <c r="E2769" s="148">
        <f>IFERROR(__xludf.DUMMYFUNCTION("""COMPUTED_VALUE"""),19.0)</f>
        <v>19</v>
      </c>
      <c r="F2769" s="148">
        <f>IFERROR(__xludf.DUMMYFUNCTION("""COMPUTED_VALUE"""),403200.0)</f>
        <v>403200</v>
      </c>
      <c r="G2769" s="148">
        <f>IFERROR(__xludf.DUMMYFUNCTION("""COMPUTED_VALUE"""),1.51102896E8)</f>
        <v>151102896</v>
      </c>
      <c r="H2769" s="148">
        <f>IFERROR(__xludf.DUMMYFUNCTION("""COMPUTED_VALUE"""),1.5112564E7)</f>
        <v>15112564</v>
      </c>
      <c r="I2769" s="148" t="str">
        <f>IFERROR(__xludf.DUMMYFUNCTION("""COMPUTED_VALUE"""),"{}")</f>
        <v>{}</v>
      </c>
      <c r="J2769" s="148" t="str">
        <f>IFERROR(__xludf.DUMMYFUNCTION("""COMPUTED_VALUE"""),"{""typ"":""lc"",""txt"":""LC_ITEM_2025music_skin_box_name""}")</f>
        <v>{"typ":"lc","txt":"LC_ITEM_2025music_skin_box_name"}</v>
      </c>
      <c r="K2769" s="148" t="str">
        <f>IFERROR(__xludf.DUMMYFUNCTION("""COMPUTED_VALUE"""),"{""typ"":""lc"",""txt"":""LC_ITEM_2025labor_skin_box_desc"",""args"":[{""typ"":""int"",""val"":1},{""typ"":""int"",""val"":1}]}")</f>
        <v>{"typ":"lc","txt":"LC_ITEM_2025labor_skin_box_desc","args":[{"typ":"int","val":1},{"typ":"int","val":1}]}</v>
      </c>
      <c r="L2769" s="148" t="str">
        <f>IFERROR(__xludf.DUMMYFUNCTION("""COMPUTED_VALUE"""),"{""typ"":""lc"",""txt"":""LC_ITEM_chest_from_atk_npc_usedtip""}")</f>
        <v>{"typ":"lc","txt":"LC_ITEM_chest_from_atk_npc_usedtip"}</v>
      </c>
      <c r="M2769" s="148">
        <f>IFERROR(__xludf.DUMMYFUNCTION("""COMPUTED_VALUE"""),1000.0)</f>
        <v>1000</v>
      </c>
      <c r="N2769" s="148">
        <f>IFERROR(__xludf.DUMMYFUNCTION("""COMPUTED_VALUE"""),999999.0)</f>
        <v>999999</v>
      </c>
      <c r="O2769" s="148">
        <f>IFERROR(__xludf.DUMMYFUNCTION("""COMPUTED_VALUE"""),99999.0)</f>
        <v>99999</v>
      </c>
      <c r="P2769" s="148">
        <f>IFERROR(__xludf.DUMMYFUNCTION("""COMPUTED_VALUE"""),99999.0)</f>
        <v>99999</v>
      </c>
      <c r="Q2769" s="148" t="str">
        <f>IFERROR(__xludf.DUMMYFUNCTION("""COMPUTED_VALUE"""),"[""bag_other""]")</f>
        <v>["bag_other"]</v>
      </c>
      <c r="R2769" s="148" t="str">
        <f>IFERROR(__xludf.DUMMYFUNCTION("""COMPUTED_VALUE"""),"[""bag""]")</f>
        <v>["bag"]</v>
      </c>
      <c r="S2769" s="148" t="str">
        <f>IFERROR(__xludf.DUMMYFUNCTION("""COMPUTED_VALUE"""),"{""select_box"":[{""typ"":""item"",""id"":11112205,""val"":1},{""typ"":""item"",""id"":11112286,""val"":1},{""typ"":""item"",""id"":11112169,""val"":1},{""typ"":""item"",""id"":11112036,""val"":1},{""typ"":""item"",""id"":11112022,""val"":1},{""typ"":""it"&amp;"em"",""id"":11111334,""val"":1},{""typ"":""item"",""id"":11111331,""val"":1},{""typ"":""item"",""id"":11112030,""val"":4500}]}")</f>
        <v>{"select_box":[{"typ":"item","id":11112205,"val":1},{"typ":"item","id":11112286,"val":1},{"typ":"item","id":11112169,"val":1},{"typ":"item","id":11112036,"val":1},{"typ":"item","id":11112022,"val":1},{"typ":"item","id":11111334,"val":1},{"typ":"item","id":11111331,"val":1},{"typ":"item","id":11112030,"val":4500}]}</v>
      </c>
      <c r="T2769" s="148">
        <f>IFERROR(__xludf.DUMMYFUNCTION("""COMPUTED_VALUE"""),1.0)</f>
        <v>1</v>
      </c>
      <c r="U2769" s="148">
        <f>IFERROR(__xludf.DUMMYFUNCTION("""COMPUTED_VALUE"""),0.0)</f>
        <v>0</v>
      </c>
      <c r="V2769" s="148" t="str">
        <f>IFERROR(__xludf.DUMMYFUNCTION("""COMPUTED_VALUE"""),"[]")</f>
        <v>[]</v>
      </c>
      <c r="W2769" s="148">
        <f>IFERROR(__xludf.DUMMYFUNCTION("""COMPUTED_VALUE"""),1.174E7)</f>
        <v>11740000</v>
      </c>
      <c r="X2769" s="148">
        <f>IFERROR(__xludf.DUMMYFUNCTION("""COMPUTED_VALUE"""),0.0)</f>
        <v>0</v>
      </c>
      <c r="Y2769" s="148">
        <f>IFERROR(__xludf.DUMMYFUNCTION("""COMPUTED_VALUE"""),0.0)</f>
        <v>0</v>
      </c>
      <c r="Z2769" s="148"/>
    </row>
    <row r="2770">
      <c r="A2770" s="148">
        <f>IFERROR(__xludf.DUMMYFUNCTION("""COMPUTED_VALUE"""),1.1119731E7)</f>
        <v>11119731</v>
      </c>
      <c r="B2770" s="148" t="str">
        <f>IFERROR(__xludf.DUMMYFUNCTION("""COMPUTED_VALUE"""),"行军表情-动态-呕吐")</f>
        <v>行军表情-动态-呕吐</v>
      </c>
      <c r="C2770" s="148"/>
      <c r="D2770" s="148" t="str">
        <f>IFERROR(__xludf.DUMMYFUNCTION("""COMPUTED_VALUE"""),"map_emoji")</f>
        <v>map_emoji</v>
      </c>
      <c r="E2770" s="148">
        <f>IFERROR(__xludf.DUMMYFUNCTION("""COMPUTED_VALUE"""),20.0)</f>
        <v>20</v>
      </c>
      <c r="F2770" s="148">
        <f>IFERROR(__xludf.DUMMYFUNCTION("""COMPUTED_VALUE"""),0.0)</f>
        <v>0</v>
      </c>
      <c r="G2770" s="148">
        <f>IFERROR(__xludf.DUMMYFUNCTION("""COMPUTED_VALUE"""),1.51102892E8)</f>
        <v>151102892</v>
      </c>
      <c r="H2770" s="148">
        <f>IFERROR(__xludf.DUMMYFUNCTION("""COMPUTED_VALUE"""),1.5112564E7)</f>
        <v>15112564</v>
      </c>
      <c r="I2770" s="148" t="str">
        <f>IFERROR(__xludf.DUMMYFUNCTION("""COMPUTED_VALUE"""),"{}")</f>
        <v>{}</v>
      </c>
      <c r="J2770" s="148" t="str">
        <f>IFERROR(__xludf.DUMMYFUNCTION("""COMPUTED_VALUE"""),"{""typ"":""lc"",""txt"":""LC_ITEM_map_emoji_music2025""}")</f>
        <v>{"typ":"lc","txt":"LC_ITEM_map_emoji_music2025"}</v>
      </c>
      <c r="K2770" s="148" t="str">
        <f>IFERROR(__xludf.DUMMYFUNCTION("""COMPUTED_VALUE"""),"{""typ"":""lc"",""txt"":""LC_ITEM_map_emoji_music2025_desc""}")</f>
        <v>{"typ":"lc","txt":"LC_ITEM_map_emoji_music2025_desc"}</v>
      </c>
      <c r="L2770" s="148" t="str">
        <f>IFERROR(__xludf.DUMMYFUNCTION("""COMPUTED_VALUE"""),"{}")</f>
        <v>{}</v>
      </c>
      <c r="M2770" s="148">
        <f>IFERROR(__xludf.DUMMYFUNCTION("""COMPUTED_VALUE"""),1000.0)</f>
        <v>1000</v>
      </c>
      <c r="N2770" s="148">
        <f>IFERROR(__xludf.DUMMYFUNCTION("""COMPUTED_VALUE"""),99.0)</f>
        <v>99</v>
      </c>
      <c r="O2770" s="148">
        <f>IFERROR(__xludf.DUMMYFUNCTION("""COMPUTED_VALUE"""),1.0)</f>
        <v>1</v>
      </c>
      <c r="P2770" s="148">
        <f>IFERROR(__xludf.DUMMYFUNCTION("""COMPUTED_VALUE"""),1.0)</f>
        <v>1</v>
      </c>
      <c r="Q2770" s="148" t="str">
        <f>IFERROR(__xludf.DUMMYFUNCTION("""COMPUTED_VALUE"""),"[]")</f>
        <v>[]</v>
      </c>
      <c r="R2770" s="148" t="str">
        <f>IFERROR(__xludf.DUMMYFUNCTION("""COMPUTED_VALUE"""),"[]")</f>
        <v>[]</v>
      </c>
      <c r="S2770" s="148" t="str">
        <f>IFERROR(__xludf.DUMMYFUNCTION("""COMPUTED_VALUE"""),"{""effect"":[{""typ"":""map_emoji"",""id"":11800021,""val"":-1}]}")</f>
        <v>{"effect":[{"typ":"map_emoji","id":11800021,"val":-1}]}</v>
      </c>
      <c r="T2770" s="148">
        <f>IFERROR(__xludf.DUMMYFUNCTION("""COMPUTED_VALUE"""),-1.0)</f>
        <v>-1</v>
      </c>
      <c r="U2770" s="148">
        <f>IFERROR(__xludf.DUMMYFUNCTION("""COMPUTED_VALUE"""),1.0)</f>
        <v>1</v>
      </c>
      <c r="V2770" s="148" t="str">
        <f>IFERROR(__xludf.DUMMYFUNCTION("""COMPUTED_VALUE"""),"[]")</f>
        <v>[]</v>
      </c>
      <c r="W2770" s="148">
        <f>IFERROR(__xludf.DUMMYFUNCTION("""COMPUTED_VALUE"""),1.174E7)</f>
        <v>11740000</v>
      </c>
      <c r="X2770" s="148">
        <f>IFERROR(__xludf.DUMMYFUNCTION("""COMPUTED_VALUE"""),0.0)</f>
        <v>0</v>
      </c>
      <c r="Y2770" s="148">
        <f>IFERROR(__xludf.DUMMYFUNCTION("""COMPUTED_VALUE"""),0.0)</f>
        <v>0</v>
      </c>
      <c r="Z2770" s="148"/>
    </row>
    <row r="2771">
      <c r="A2771" s="148">
        <f>IFERROR(__xludf.DUMMYFUNCTION("""COMPUTED_VALUE"""),1.1119732E7)</f>
        <v>11119732</v>
      </c>
      <c r="B2771" s="148" t="str">
        <f>IFERROR(__xludf.DUMMYFUNCTION("""COMPUTED_VALUE"""),"2025音乐节静态头像框-悦动音符")</f>
        <v>2025音乐节静态头像框-悦动音符</v>
      </c>
      <c r="C2771" s="148"/>
      <c r="D2771" s="148" t="str">
        <f>IFERROR(__xludf.DUMMYFUNCTION("""COMPUTED_VALUE"""),"avatar_frame")</f>
        <v>avatar_frame</v>
      </c>
      <c r="E2771" s="148">
        <f>IFERROR(__xludf.DUMMYFUNCTION("""COMPUTED_VALUE"""),20.0)</f>
        <v>20</v>
      </c>
      <c r="F2771" s="148">
        <f>IFERROR(__xludf.DUMMYFUNCTION("""COMPUTED_VALUE"""),0.0)</f>
        <v>0</v>
      </c>
      <c r="G2771" s="148">
        <f>IFERROR(__xludf.DUMMYFUNCTION("""COMPUTED_VALUE"""),1.51102862E8)</f>
        <v>151102862</v>
      </c>
      <c r="H2771" s="148">
        <f>IFERROR(__xludf.DUMMYFUNCTION("""COMPUTED_VALUE"""),1.5112563E7)</f>
        <v>15112563</v>
      </c>
      <c r="I2771" s="148" t="str">
        <f>IFERROR(__xludf.DUMMYFUNCTION("""COMPUTED_VALUE"""),"{}")</f>
        <v>{}</v>
      </c>
      <c r="J2771" s="148" t="str">
        <f>IFERROR(__xludf.DUMMYFUNCTION("""COMPUTED_VALUE"""),"{""typ"":""lc"",""txt"":""LC_ITEM_2025music_avatar_name""}")</f>
        <v>{"typ":"lc","txt":"LC_ITEM_2025music_avatar_name"}</v>
      </c>
      <c r="K2771" s="148" t="str">
        <f>IFERROR(__xludf.DUMMYFUNCTION("""COMPUTED_VALUE"""),"{""typ"":""lc"",""txt"":""LC_ITEM_2025music_avatar_desc""}")</f>
        <v>{"typ":"lc","txt":"LC_ITEM_2025music_avatar_desc"}</v>
      </c>
      <c r="L2771" s="148" t="str">
        <f>IFERROR(__xludf.DUMMYFUNCTION("""COMPUTED_VALUE"""),"{}")</f>
        <v>{}</v>
      </c>
      <c r="M2771" s="148">
        <f>IFERROR(__xludf.DUMMYFUNCTION("""COMPUTED_VALUE"""),1000.0)</f>
        <v>1000</v>
      </c>
      <c r="N2771" s="148">
        <f>IFERROR(__xludf.DUMMYFUNCTION("""COMPUTED_VALUE"""),99.0)</f>
        <v>99</v>
      </c>
      <c r="O2771" s="148">
        <f>IFERROR(__xludf.DUMMYFUNCTION("""COMPUTED_VALUE"""),1.0)</f>
        <v>1</v>
      </c>
      <c r="P2771" s="148">
        <f>IFERROR(__xludf.DUMMYFUNCTION("""COMPUTED_VALUE"""),1.0)</f>
        <v>1</v>
      </c>
      <c r="Q2771" s="148" t="str">
        <f>IFERROR(__xludf.DUMMYFUNCTION("""COMPUTED_VALUE"""),"[]")</f>
        <v>[]</v>
      </c>
      <c r="R2771" s="148" t="str">
        <f>IFERROR(__xludf.DUMMYFUNCTION("""COMPUTED_VALUE"""),"[""11421070""]")</f>
        <v>["11421070"]</v>
      </c>
      <c r="S2771" s="148" t="str">
        <f>IFERROR(__xludf.DUMMYFUNCTION("""COMPUTED_VALUE"""),"{""effect"":[{""typ"":""avatar_frame"",""id"":11421070,""val"":-1},{""typ"":""item"",""id"":11111031,""val"":1000}]}")</f>
        <v>{"effect":[{"typ":"avatar_frame","id":11421070,"val":-1},{"typ":"item","id":11111031,"val":1000}]}</v>
      </c>
      <c r="T2771" s="148">
        <f>IFERROR(__xludf.DUMMYFUNCTION("""COMPUTED_VALUE"""),-1.0)</f>
        <v>-1</v>
      </c>
      <c r="U2771" s="148">
        <f>IFERROR(__xludf.DUMMYFUNCTION("""COMPUTED_VALUE"""),1.0)</f>
        <v>1</v>
      </c>
      <c r="V2771" s="148" t="str">
        <f>IFERROR(__xludf.DUMMYFUNCTION("""COMPUTED_VALUE"""),"[]")</f>
        <v>[]</v>
      </c>
      <c r="W2771" s="148">
        <f>IFERROR(__xludf.DUMMYFUNCTION("""COMPUTED_VALUE"""),1.174E7)</f>
        <v>11740000</v>
      </c>
      <c r="X2771" s="148">
        <f>IFERROR(__xludf.DUMMYFUNCTION("""COMPUTED_VALUE"""),0.0)</f>
        <v>0</v>
      </c>
      <c r="Y2771" s="148">
        <f>IFERROR(__xludf.DUMMYFUNCTION("""COMPUTED_VALUE"""),0.0)</f>
        <v>0</v>
      </c>
      <c r="Z2771" s="148"/>
    </row>
    <row r="2772">
      <c r="A2772" s="148">
        <f>IFERROR(__xludf.DUMMYFUNCTION("""COMPUTED_VALUE"""),1.1119733E7)</f>
        <v>11119733</v>
      </c>
      <c r="B2772" s="148" t="str">
        <f>IFERROR(__xludf.DUMMYFUNCTION("""COMPUTED_VALUE"""),"2025音乐节动态头像框-电音狂潮")</f>
        <v>2025音乐节动态头像框-电音狂潮</v>
      </c>
      <c r="C2772" s="148"/>
      <c r="D2772" s="148" t="str">
        <f>IFERROR(__xludf.DUMMYFUNCTION("""COMPUTED_VALUE"""),"avatar_frame")</f>
        <v>avatar_frame</v>
      </c>
      <c r="E2772" s="148">
        <f>IFERROR(__xludf.DUMMYFUNCTION("""COMPUTED_VALUE"""),20.0)</f>
        <v>20</v>
      </c>
      <c r="F2772" s="148">
        <f>IFERROR(__xludf.DUMMYFUNCTION("""COMPUTED_VALUE"""),0.0)</f>
        <v>0</v>
      </c>
      <c r="G2772" s="148">
        <f>IFERROR(__xludf.DUMMYFUNCTION("""COMPUTED_VALUE"""),1.51102836E8)</f>
        <v>151102836</v>
      </c>
      <c r="H2772" s="148">
        <f>IFERROR(__xludf.DUMMYFUNCTION("""COMPUTED_VALUE"""),1.5112564E7)</f>
        <v>15112564</v>
      </c>
      <c r="I2772" s="148" t="str">
        <f>IFERROR(__xludf.DUMMYFUNCTION("""COMPUTED_VALUE"""),"{}")</f>
        <v>{}</v>
      </c>
      <c r="J2772" s="148" t="str">
        <f>IFERROR(__xludf.DUMMYFUNCTION("""COMPUTED_VALUE"""),"{""typ"":""lc"",""txt"":""LC_ITEM_music_team_avatar_name""}")</f>
        <v>{"typ":"lc","txt":"LC_ITEM_music_team_avatar_name"}</v>
      </c>
      <c r="K2772" s="148" t="str">
        <f>IFERROR(__xludf.DUMMYFUNCTION("""COMPUTED_VALUE"""),"{""typ"":""lc"",""txt"":""LC_ITEM_music_team_avatar_desc""}")</f>
        <v>{"typ":"lc","txt":"LC_ITEM_music_team_avatar_desc"}</v>
      </c>
      <c r="L2772" s="148" t="str">
        <f>IFERROR(__xludf.DUMMYFUNCTION("""COMPUTED_VALUE"""),"{}")</f>
        <v>{}</v>
      </c>
      <c r="M2772" s="148">
        <f>IFERROR(__xludf.DUMMYFUNCTION("""COMPUTED_VALUE"""),1000.0)</f>
        <v>1000</v>
      </c>
      <c r="N2772" s="148">
        <f>IFERROR(__xludf.DUMMYFUNCTION("""COMPUTED_VALUE"""),99.0)</f>
        <v>99</v>
      </c>
      <c r="O2772" s="148">
        <f>IFERROR(__xludf.DUMMYFUNCTION("""COMPUTED_VALUE"""),1.0)</f>
        <v>1</v>
      </c>
      <c r="P2772" s="148">
        <f>IFERROR(__xludf.DUMMYFUNCTION("""COMPUTED_VALUE"""),1.0)</f>
        <v>1</v>
      </c>
      <c r="Q2772" s="148" t="str">
        <f>IFERROR(__xludf.DUMMYFUNCTION("""COMPUTED_VALUE"""),"[]")</f>
        <v>[]</v>
      </c>
      <c r="R2772" s="148" t="str">
        <f>IFERROR(__xludf.DUMMYFUNCTION("""COMPUTED_VALUE"""),"[""11421071""]")</f>
        <v>["11421071"]</v>
      </c>
      <c r="S2772" s="148" t="str">
        <f>IFERROR(__xludf.DUMMYFUNCTION("""COMPUTED_VALUE"""),"{""effect"":[{""typ"":""avatar_frame"",""id"":11421071,""val"":-1},{""typ"":""item"",""id"":11111031,""val"":1000}]}")</f>
        <v>{"effect":[{"typ":"avatar_frame","id":11421071,"val":-1},{"typ":"item","id":11111031,"val":1000}]}</v>
      </c>
      <c r="T2772" s="148">
        <f>IFERROR(__xludf.DUMMYFUNCTION("""COMPUTED_VALUE"""),-1.0)</f>
        <v>-1</v>
      </c>
      <c r="U2772" s="148">
        <f>IFERROR(__xludf.DUMMYFUNCTION("""COMPUTED_VALUE"""),1.0)</f>
        <v>1</v>
      </c>
      <c r="V2772" s="148" t="str">
        <f>IFERROR(__xludf.DUMMYFUNCTION("""COMPUTED_VALUE"""),"[]")</f>
        <v>[]</v>
      </c>
      <c r="W2772" s="148">
        <f>IFERROR(__xludf.DUMMYFUNCTION("""COMPUTED_VALUE"""),1.174E7)</f>
        <v>11740000</v>
      </c>
      <c r="X2772" s="148">
        <f>IFERROR(__xludf.DUMMYFUNCTION("""COMPUTED_VALUE"""),0.0)</f>
        <v>0</v>
      </c>
      <c r="Y2772" s="148">
        <f>IFERROR(__xludf.DUMMYFUNCTION("""COMPUTED_VALUE"""),0.0)</f>
        <v>0</v>
      </c>
      <c r="Z2772" s="148"/>
    </row>
    <row r="2773">
      <c r="A2773" s="148">
        <f>IFERROR(__xludf.DUMMYFUNCTION("""COMPUTED_VALUE"""),1.1119734E7)</f>
        <v>11119734</v>
      </c>
      <c r="B2773" s="148" t="str">
        <f>IFERROR(__xludf.DUMMYFUNCTION("""COMPUTED_VALUE"""),"2025音乐节动态头像框-电音狂潮-7天")</f>
        <v>2025音乐节动态头像框-电音狂潮-7天</v>
      </c>
      <c r="C2773" s="148"/>
      <c r="D2773" s="148" t="str">
        <f>IFERROR(__xludf.DUMMYFUNCTION("""COMPUTED_VALUE"""),"avatar_frame")</f>
        <v>avatar_frame</v>
      </c>
      <c r="E2773" s="148">
        <f>IFERROR(__xludf.DUMMYFUNCTION("""COMPUTED_VALUE"""),20.0)</f>
        <v>20</v>
      </c>
      <c r="F2773" s="148">
        <f>IFERROR(__xludf.DUMMYFUNCTION("""COMPUTED_VALUE"""),0.0)</f>
        <v>0</v>
      </c>
      <c r="G2773" s="148">
        <f>IFERROR(__xludf.DUMMYFUNCTION("""COMPUTED_VALUE"""),1.51102836E8)</f>
        <v>151102836</v>
      </c>
      <c r="H2773" s="148">
        <f>IFERROR(__xludf.DUMMYFUNCTION("""COMPUTED_VALUE"""),1.5112563E7)</f>
        <v>15112563</v>
      </c>
      <c r="I2773" s="148" t="str">
        <f>IFERROR(__xludf.DUMMYFUNCTION("""COMPUTED_VALUE"""),"{""typ"":""lc"",""txt"":""LC_ITEM_time_day_upper_show"",""args"":[{""typ"":""int"",""val"":7}]}")</f>
        <v>{"typ":"lc","txt":"LC_ITEM_time_day_upper_show","args":[{"typ":"int","val":7}]}</v>
      </c>
      <c r="J2773" s="148" t="str">
        <f>IFERROR(__xludf.DUMMYFUNCTION("""COMPUTED_VALUE"""),"{""typ"":""lc"",""txt"":""LC_ITEM_2025music_avatar_name_2_7d""}")</f>
        <v>{"typ":"lc","txt":"LC_ITEM_2025music_avatar_name_2_7d"}</v>
      </c>
      <c r="K2773" s="148" t="str">
        <f>IFERROR(__xludf.DUMMYFUNCTION("""COMPUTED_VALUE"""),"{""typ"":""lc"",""txt"":""LC_ITEM_2025music_avatar_name_2_7d""}")</f>
        <v>{"typ":"lc","txt":"LC_ITEM_2025music_avatar_name_2_7d"}</v>
      </c>
      <c r="L2773" s="148" t="str">
        <f>IFERROR(__xludf.DUMMYFUNCTION("""COMPUTED_VALUE"""),"{}")</f>
        <v>{}</v>
      </c>
      <c r="M2773" s="148">
        <f>IFERROR(__xludf.DUMMYFUNCTION("""COMPUTED_VALUE"""),1000.0)</f>
        <v>1000</v>
      </c>
      <c r="N2773" s="148">
        <f>IFERROR(__xludf.DUMMYFUNCTION("""COMPUTED_VALUE"""),99.0)</f>
        <v>99</v>
      </c>
      <c r="O2773" s="148">
        <f>IFERROR(__xludf.DUMMYFUNCTION("""COMPUTED_VALUE"""),1.0)</f>
        <v>1</v>
      </c>
      <c r="P2773" s="148">
        <f>IFERROR(__xludf.DUMMYFUNCTION("""COMPUTED_VALUE"""),1.0)</f>
        <v>1</v>
      </c>
      <c r="Q2773" s="148" t="str">
        <f>IFERROR(__xludf.DUMMYFUNCTION("""COMPUTED_VALUE"""),"[]")</f>
        <v>[]</v>
      </c>
      <c r="R2773" s="148" t="str">
        <f>IFERROR(__xludf.DUMMYFUNCTION("""COMPUTED_VALUE"""),"[""11421071""]")</f>
        <v>["11421071"]</v>
      </c>
      <c r="S2773" s="148" t="str">
        <f>IFERROR(__xludf.DUMMYFUNCTION("""COMPUTED_VALUE"""),"{""effect"":[{""typ"":""avatar_frame"",""id"":11421071,""val"":604800000}]}")</f>
        <v>{"effect":[{"typ":"avatar_frame","id":11421071,"val":604800000}]}</v>
      </c>
      <c r="T2773" s="148">
        <f>IFERROR(__xludf.DUMMYFUNCTION("""COMPUTED_VALUE"""),-1.0)</f>
        <v>-1</v>
      </c>
      <c r="U2773" s="148">
        <f>IFERROR(__xludf.DUMMYFUNCTION("""COMPUTED_VALUE"""),1.0)</f>
        <v>1</v>
      </c>
      <c r="V2773" s="148" t="str">
        <f>IFERROR(__xludf.DUMMYFUNCTION("""COMPUTED_VALUE"""),"[]")</f>
        <v>[]</v>
      </c>
      <c r="W2773" s="148">
        <f>IFERROR(__xludf.DUMMYFUNCTION("""COMPUTED_VALUE"""),1.174E7)</f>
        <v>11740000</v>
      </c>
      <c r="X2773" s="148">
        <f>IFERROR(__xludf.DUMMYFUNCTION("""COMPUTED_VALUE"""),0.0)</f>
        <v>0</v>
      </c>
      <c r="Y2773" s="148">
        <f>IFERROR(__xludf.DUMMYFUNCTION("""COMPUTED_VALUE"""),0.0)</f>
        <v>0</v>
      </c>
      <c r="Z2773" s="148"/>
    </row>
    <row r="2774">
      <c r="A2774" s="148">
        <f>IFERROR(__xludf.DUMMYFUNCTION("""COMPUTED_VALUE"""),1.1119735E7)</f>
        <v>11119735</v>
      </c>
      <c r="B2774" s="148" t="str">
        <f>IFERROR(__xludf.DUMMYFUNCTION("""COMPUTED_VALUE"""),"2025音乐节动态头像框-电音狂潮-3天")</f>
        <v>2025音乐节动态头像框-电音狂潮-3天</v>
      </c>
      <c r="C2774" s="148"/>
      <c r="D2774" s="148" t="str">
        <f>IFERROR(__xludf.DUMMYFUNCTION("""COMPUTED_VALUE"""),"avatar_frame")</f>
        <v>avatar_frame</v>
      </c>
      <c r="E2774" s="148">
        <f>IFERROR(__xludf.DUMMYFUNCTION("""COMPUTED_VALUE"""),20.0)</f>
        <v>20</v>
      </c>
      <c r="F2774" s="148">
        <f>IFERROR(__xludf.DUMMYFUNCTION("""COMPUTED_VALUE"""),0.0)</f>
        <v>0</v>
      </c>
      <c r="G2774" s="148">
        <f>IFERROR(__xludf.DUMMYFUNCTION("""COMPUTED_VALUE"""),1.51102836E8)</f>
        <v>151102836</v>
      </c>
      <c r="H2774" s="148">
        <f>IFERROR(__xludf.DUMMYFUNCTION("""COMPUTED_VALUE"""),1.5112563E7)</f>
        <v>15112563</v>
      </c>
      <c r="I2774" s="148" t="str">
        <f>IFERROR(__xludf.DUMMYFUNCTION("""COMPUTED_VALUE"""),"{""typ"":""lc"",""txt"":""LC_ITEM_time_day_upper_show"",""args"":[{""typ"":""int"",""val"":3}]}")</f>
        <v>{"typ":"lc","txt":"LC_ITEM_time_day_upper_show","args":[{"typ":"int","val":3}]}</v>
      </c>
      <c r="J2774" s="148" t="str">
        <f>IFERROR(__xludf.DUMMYFUNCTION("""COMPUTED_VALUE"""),"{""typ"":""lc"",""txt"":""LC_ITEM_2025music_avatar_name_2_3d""}")</f>
        <v>{"typ":"lc","txt":"LC_ITEM_2025music_avatar_name_2_3d"}</v>
      </c>
      <c r="K2774" s="148" t="str">
        <f>IFERROR(__xludf.DUMMYFUNCTION("""COMPUTED_VALUE"""),"{""typ"":""lc"",""txt"":""LC_ITEM_2025music_avatar_name_2_3d""}")</f>
        <v>{"typ":"lc","txt":"LC_ITEM_2025music_avatar_name_2_3d"}</v>
      </c>
      <c r="L2774" s="148" t="str">
        <f>IFERROR(__xludf.DUMMYFUNCTION("""COMPUTED_VALUE"""),"{}")</f>
        <v>{}</v>
      </c>
      <c r="M2774" s="148">
        <f>IFERROR(__xludf.DUMMYFUNCTION("""COMPUTED_VALUE"""),1000.0)</f>
        <v>1000</v>
      </c>
      <c r="N2774" s="148">
        <f>IFERROR(__xludf.DUMMYFUNCTION("""COMPUTED_VALUE"""),99.0)</f>
        <v>99</v>
      </c>
      <c r="O2774" s="148">
        <f>IFERROR(__xludf.DUMMYFUNCTION("""COMPUTED_VALUE"""),1.0)</f>
        <v>1</v>
      </c>
      <c r="P2774" s="148">
        <f>IFERROR(__xludf.DUMMYFUNCTION("""COMPUTED_VALUE"""),1.0)</f>
        <v>1</v>
      </c>
      <c r="Q2774" s="148" t="str">
        <f>IFERROR(__xludf.DUMMYFUNCTION("""COMPUTED_VALUE"""),"[]")</f>
        <v>[]</v>
      </c>
      <c r="R2774" s="148" t="str">
        <f>IFERROR(__xludf.DUMMYFUNCTION("""COMPUTED_VALUE"""),"[""11421071""]")</f>
        <v>["11421071"]</v>
      </c>
      <c r="S2774" s="148" t="str">
        <f>IFERROR(__xludf.DUMMYFUNCTION("""COMPUTED_VALUE"""),"{""effect"":[{""typ"":""avatar_frame"",""id"":11421071,""val"":259200000}]}")</f>
        <v>{"effect":[{"typ":"avatar_frame","id":11421071,"val":259200000}]}</v>
      </c>
      <c r="T2774" s="148">
        <f>IFERROR(__xludf.DUMMYFUNCTION("""COMPUTED_VALUE"""),-1.0)</f>
        <v>-1</v>
      </c>
      <c r="U2774" s="148">
        <f>IFERROR(__xludf.DUMMYFUNCTION("""COMPUTED_VALUE"""),1.0)</f>
        <v>1</v>
      </c>
      <c r="V2774" s="148" t="str">
        <f>IFERROR(__xludf.DUMMYFUNCTION("""COMPUTED_VALUE"""),"[]")</f>
        <v>[]</v>
      </c>
      <c r="W2774" s="148">
        <f>IFERROR(__xludf.DUMMYFUNCTION("""COMPUTED_VALUE"""),1.174E7)</f>
        <v>11740000</v>
      </c>
      <c r="X2774" s="148">
        <f>IFERROR(__xludf.DUMMYFUNCTION("""COMPUTED_VALUE"""),0.0)</f>
        <v>0</v>
      </c>
      <c r="Y2774" s="148">
        <f>IFERROR(__xludf.DUMMYFUNCTION("""COMPUTED_VALUE"""),0.0)</f>
        <v>0</v>
      </c>
      <c r="Z2774" s="148"/>
    </row>
    <row r="2775">
      <c r="A2775" s="148">
        <f>IFERROR(__xludf.DUMMYFUNCTION("""COMPUTED_VALUE"""),1.1119736E7)</f>
        <v>11119736</v>
      </c>
      <c r="B2775" s="148" t="str">
        <f>IFERROR(__xludf.DUMMYFUNCTION("""COMPUTED_VALUE"""),"2025音乐节动态头像框-电音狂潮-1天")</f>
        <v>2025音乐节动态头像框-电音狂潮-1天</v>
      </c>
      <c r="C2775" s="148"/>
      <c r="D2775" s="148" t="str">
        <f>IFERROR(__xludf.DUMMYFUNCTION("""COMPUTED_VALUE"""),"avatar_frame")</f>
        <v>avatar_frame</v>
      </c>
      <c r="E2775" s="148">
        <f>IFERROR(__xludf.DUMMYFUNCTION("""COMPUTED_VALUE"""),20.0)</f>
        <v>20</v>
      </c>
      <c r="F2775" s="148">
        <f>IFERROR(__xludf.DUMMYFUNCTION("""COMPUTED_VALUE"""),0.0)</f>
        <v>0</v>
      </c>
      <c r="G2775" s="148">
        <f>IFERROR(__xludf.DUMMYFUNCTION("""COMPUTED_VALUE"""),1.51102836E8)</f>
        <v>151102836</v>
      </c>
      <c r="H2775" s="148">
        <f>IFERROR(__xludf.DUMMYFUNCTION("""COMPUTED_VALUE"""),1.5112563E7)</f>
        <v>15112563</v>
      </c>
      <c r="I2775" s="148" t="str">
        <f>IFERROR(__xludf.DUMMYFUNCTION("""COMPUTED_VALUE"""),"{""typ"":""lc"",""txt"":""LC_ITEM_time_day_upper_show"",""args"":[{""typ"":""int"",""val"":1}]}")</f>
        <v>{"typ":"lc","txt":"LC_ITEM_time_day_upper_show","args":[{"typ":"int","val":1}]}</v>
      </c>
      <c r="J2775" s="148" t="str">
        <f>IFERROR(__xludf.DUMMYFUNCTION("""COMPUTED_VALUE"""),"{""typ"":""lc"",""txt"":""LC_ITEM_2025music_avatar_name_2_1d""}")</f>
        <v>{"typ":"lc","txt":"LC_ITEM_2025music_avatar_name_2_1d"}</v>
      </c>
      <c r="K2775" s="148" t="str">
        <f>IFERROR(__xludf.DUMMYFUNCTION("""COMPUTED_VALUE"""),"{""typ"":""lc"",""txt"":""LC_ITEM_2025music_avatar_name_2_1d""}")</f>
        <v>{"typ":"lc","txt":"LC_ITEM_2025music_avatar_name_2_1d"}</v>
      </c>
      <c r="L2775" s="148" t="str">
        <f>IFERROR(__xludf.DUMMYFUNCTION("""COMPUTED_VALUE"""),"{}")</f>
        <v>{}</v>
      </c>
      <c r="M2775" s="148">
        <f>IFERROR(__xludf.DUMMYFUNCTION("""COMPUTED_VALUE"""),1000.0)</f>
        <v>1000</v>
      </c>
      <c r="N2775" s="148">
        <f>IFERROR(__xludf.DUMMYFUNCTION("""COMPUTED_VALUE"""),99.0)</f>
        <v>99</v>
      </c>
      <c r="O2775" s="148">
        <f>IFERROR(__xludf.DUMMYFUNCTION("""COMPUTED_VALUE"""),1.0)</f>
        <v>1</v>
      </c>
      <c r="P2775" s="148">
        <f>IFERROR(__xludf.DUMMYFUNCTION("""COMPUTED_VALUE"""),1.0)</f>
        <v>1</v>
      </c>
      <c r="Q2775" s="148" t="str">
        <f>IFERROR(__xludf.DUMMYFUNCTION("""COMPUTED_VALUE"""),"[]")</f>
        <v>[]</v>
      </c>
      <c r="R2775" s="148" t="str">
        <f>IFERROR(__xludf.DUMMYFUNCTION("""COMPUTED_VALUE"""),"[""11421071""]")</f>
        <v>["11421071"]</v>
      </c>
      <c r="S2775" s="148" t="str">
        <f>IFERROR(__xludf.DUMMYFUNCTION("""COMPUTED_VALUE"""),"{""effect"":[{""typ"":""avatar_frame"",""id"":11421071,""val"":86400000}]}")</f>
        <v>{"effect":[{"typ":"avatar_frame","id":11421071,"val":86400000}]}</v>
      </c>
      <c r="T2775" s="148">
        <f>IFERROR(__xludf.DUMMYFUNCTION("""COMPUTED_VALUE"""),-1.0)</f>
        <v>-1</v>
      </c>
      <c r="U2775" s="148">
        <f>IFERROR(__xludf.DUMMYFUNCTION("""COMPUTED_VALUE"""),1.0)</f>
        <v>1</v>
      </c>
      <c r="V2775" s="148" t="str">
        <f>IFERROR(__xludf.DUMMYFUNCTION("""COMPUTED_VALUE"""),"[]")</f>
        <v>[]</v>
      </c>
      <c r="W2775" s="148">
        <f>IFERROR(__xludf.DUMMYFUNCTION("""COMPUTED_VALUE"""),1.174E7)</f>
        <v>11740000</v>
      </c>
      <c r="X2775" s="148">
        <f>IFERROR(__xludf.DUMMYFUNCTION("""COMPUTED_VALUE"""),0.0)</f>
        <v>0</v>
      </c>
      <c r="Y2775" s="148">
        <f>IFERROR(__xludf.DUMMYFUNCTION("""COMPUTED_VALUE"""),0.0)</f>
        <v>0</v>
      </c>
      <c r="Z2775" s="148"/>
    </row>
    <row r="2776">
      <c r="A2776" s="148">
        <f>IFERROR(__xludf.DUMMYFUNCTION("""COMPUTED_VALUE"""),1.1119737E7)</f>
        <v>11119737</v>
      </c>
      <c r="B2776" s="148" t="str">
        <f>IFERROR(__xludf.DUMMYFUNCTION("""COMPUTED_VALUE"""),"养成减负活动-养成线切换道具")</f>
        <v>养成减负活动-养成线切换道具</v>
      </c>
      <c r="C2776" s="148"/>
      <c r="D2776" s="148" t="str">
        <f>IFERROR(__xludf.DUMMYFUNCTION("""COMPUTED_VALUE"""),"event")</f>
        <v>event</v>
      </c>
      <c r="E2776" s="148">
        <f>IFERROR(__xludf.DUMMYFUNCTION("""COMPUTED_VALUE"""),0.0)</f>
        <v>0</v>
      </c>
      <c r="F2776" s="148">
        <f>IFERROR(__xludf.DUMMYFUNCTION("""COMPUTED_VALUE"""),0.0)</f>
        <v>0</v>
      </c>
      <c r="G2776" s="148">
        <f>IFERROR(__xludf.DUMMYFUNCTION("""COMPUTED_VALUE"""),1.51102952E8)</f>
        <v>151102952</v>
      </c>
      <c r="H2776" s="148">
        <f>IFERROR(__xludf.DUMMYFUNCTION("""COMPUTED_VALUE"""),1.5112563E7)</f>
        <v>15112563</v>
      </c>
      <c r="I2776" s="148" t="str">
        <f>IFERROR(__xludf.DUMMYFUNCTION("""COMPUTED_VALUE"""),"{}")</f>
        <v>{}</v>
      </c>
      <c r="J2776" s="148" t="str">
        <f>IFERROR(__xludf.DUMMYFUNCTION("""COMPUTED_VALUE"""),"{""typ"":""lc"",""txt"":""LC_ITEM_burden_exchange_item_name""}")</f>
        <v>{"typ":"lc","txt":"LC_ITEM_burden_exchange_item_name"}</v>
      </c>
      <c r="K2776" s="148" t="str">
        <f>IFERROR(__xludf.DUMMYFUNCTION("""COMPUTED_VALUE"""),"{""typ"":""lc"",""txt"":""LC_ITEM_burden_exchange_item_desc""}")</f>
        <v>{"typ":"lc","txt":"LC_ITEM_burden_exchange_item_desc"}</v>
      </c>
      <c r="L2776" s="148" t="str">
        <f>IFERROR(__xludf.DUMMYFUNCTION("""COMPUTED_VALUE"""),"{}")</f>
        <v>{}</v>
      </c>
      <c r="M2776" s="148">
        <f>IFERROR(__xludf.DUMMYFUNCTION("""COMPUTED_VALUE"""),100.0)</f>
        <v>100</v>
      </c>
      <c r="N2776" s="148">
        <f>IFERROR(__xludf.DUMMYFUNCTION("""COMPUTED_VALUE"""),5.0)</f>
        <v>5</v>
      </c>
      <c r="O2776" s="148">
        <f>IFERROR(__xludf.DUMMYFUNCTION("""COMPUTED_VALUE"""),1.0)</f>
        <v>1</v>
      </c>
      <c r="P2776" s="148">
        <f>IFERROR(__xludf.DUMMYFUNCTION("""COMPUTED_VALUE"""),1.0)</f>
        <v>1</v>
      </c>
      <c r="Q2776" s="148" t="str">
        <f>IFERROR(__xludf.DUMMYFUNCTION("""COMPUTED_VALUE"""),"[""bag_other""]")</f>
        <v>["bag_other"]</v>
      </c>
      <c r="R2776" s="148" t="str">
        <f>IFERROR(__xludf.DUMMYFUNCTION("""COMPUTED_VALUE"""),"[""bag""]")</f>
        <v>["bag"]</v>
      </c>
      <c r="S2776" s="148" t="str">
        <f>IFERROR(__xludf.DUMMYFUNCTION("""COMPUTED_VALUE"""),"{}")</f>
        <v>{}</v>
      </c>
      <c r="T2776" s="148">
        <f>IFERROR(__xludf.DUMMYFUNCTION("""COMPUTED_VALUE"""),-1.0)</f>
        <v>-1</v>
      </c>
      <c r="U2776" s="148">
        <f>IFERROR(__xludf.DUMMYFUNCTION("""COMPUTED_VALUE"""),0.0)</f>
        <v>0</v>
      </c>
      <c r="V2776" s="148" t="str">
        <f>IFERROR(__xludf.DUMMYFUNCTION("""COMPUTED_VALUE"""),"[]")</f>
        <v>[]</v>
      </c>
      <c r="W2776" s="148">
        <f>IFERROR(__xludf.DUMMYFUNCTION("""COMPUTED_VALUE"""),1.174E7)</f>
        <v>11740000</v>
      </c>
      <c r="X2776" s="148">
        <f>IFERROR(__xludf.DUMMYFUNCTION("""COMPUTED_VALUE"""),0.0)</f>
        <v>0</v>
      </c>
      <c r="Y2776" s="148">
        <f>IFERROR(__xludf.DUMMYFUNCTION("""COMPUTED_VALUE"""),0.0)</f>
        <v>0</v>
      </c>
      <c r="Z2776" s="148"/>
    </row>
    <row r="2777">
      <c r="A2777" s="148">
        <f>IFERROR(__xludf.DUMMYFUNCTION("""COMPUTED_VALUE"""),1.1119738E7)</f>
        <v>11119738</v>
      </c>
      <c r="B2777" s="148" t="str">
        <f>IFERROR(__xludf.DUMMYFUNCTION("""COMPUTED_VALUE"""),"双倍券活动-通用档位")</f>
        <v>双倍券活动-通用档位</v>
      </c>
      <c r="C2777" s="148"/>
      <c r="D2777" s="148" t="str">
        <f>IFERROR(__xludf.DUMMYFUNCTION("""COMPUTED_VALUE"""),"double_coupon")</f>
        <v>double_coupon</v>
      </c>
      <c r="E2777" s="148">
        <f>IFERROR(__xludf.DUMMYFUNCTION("""COMPUTED_VALUE"""),0.0)</f>
        <v>0</v>
      </c>
      <c r="F2777" s="148">
        <f>IFERROR(__xludf.DUMMYFUNCTION("""COMPUTED_VALUE"""),0.0)</f>
        <v>0</v>
      </c>
      <c r="G2777" s="148">
        <f>IFERROR(__xludf.DUMMYFUNCTION("""COMPUTED_VALUE"""),1.51102932E8)</f>
        <v>151102932</v>
      </c>
      <c r="H2777" s="148">
        <f>IFERROR(__xludf.DUMMYFUNCTION("""COMPUTED_VALUE"""),1.5112564E7)</f>
        <v>15112564</v>
      </c>
      <c r="I2777" s="148" t="str">
        <f>IFERROR(__xludf.DUMMYFUNCTION("""COMPUTED_VALUE"""),"{}")</f>
        <v>{}</v>
      </c>
      <c r="J2777" s="148" t="str">
        <f>IFERROR(__xludf.DUMMYFUNCTION("""COMPUTED_VALUE"""),"{""typ"":""lc"",""txt"":""LC_ITEM_double_coupon_name_1""}")</f>
        <v>{"typ":"lc","txt":"LC_ITEM_double_coupon_name_1"}</v>
      </c>
      <c r="K2777" s="148" t="str">
        <f>IFERROR(__xludf.DUMMYFUNCTION("""COMPUTED_VALUE"""),"{""typ"":""lc"",""txt"":""LC_EVENT_double_coupon_tips_1""}")</f>
        <v>{"typ":"lc","txt":"LC_EVENT_double_coupon_tips_1"}</v>
      </c>
      <c r="L2777" s="148" t="str">
        <f>IFERROR(__xludf.DUMMYFUNCTION("""COMPUTED_VALUE"""),"{}")</f>
        <v>{}</v>
      </c>
      <c r="M2777" s="148">
        <f>IFERROR(__xludf.DUMMYFUNCTION("""COMPUTED_VALUE"""),100.0)</f>
        <v>100</v>
      </c>
      <c r="N2777" s="148">
        <f>IFERROR(__xludf.DUMMYFUNCTION("""COMPUTED_VALUE"""),5.0)</f>
        <v>5</v>
      </c>
      <c r="O2777" s="148">
        <f>IFERROR(__xludf.DUMMYFUNCTION("""COMPUTED_VALUE"""),10.0)</f>
        <v>10</v>
      </c>
      <c r="P2777" s="148">
        <f>IFERROR(__xludf.DUMMYFUNCTION("""COMPUTED_VALUE"""),9999.0)</f>
        <v>9999</v>
      </c>
      <c r="Q2777" s="148" t="str">
        <f>IFERROR(__xludf.DUMMYFUNCTION("""COMPUTED_VALUE"""),"[]")</f>
        <v>[]</v>
      </c>
      <c r="R2777" s="148" t="str">
        <f>IFERROR(__xludf.DUMMYFUNCTION("""COMPUTED_VALUE"""),"[]")</f>
        <v>[]</v>
      </c>
      <c r="S2777" s="148" t="str">
        <f>IFERROR(__xludf.DUMMYFUNCTION("""COMPUTED_VALUE"""),"{}")</f>
        <v>{}</v>
      </c>
      <c r="T2777" s="148">
        <f>IFERROR(__xludf.DUMMYFUNCTION("""COMPUTED_VALUE"""),-1.0)</f>
        <v>-1</v>
      </c>
      <c r="U2777" s="148">
        <f>IFERROR(__xludf.DUMMYFUNCTION("""COMPUTED_VALUE"""),0.0)</f>
        <v>0</v>
      </c>
      <c r="V2777" s="148" t="str">
        <f>IFERROR(__xludf.DUMMYFUNCTION("""COMPUTED_VALUE"""),"[]")</f>
        <v>[]</v>
      </c>
      <c r="W2777" s="148">
        <f>IFERROR(__xludf.DUMMYFUNCTION("""COMPUTED_VALUE"""),1.174E7)</f>
        <v>11740000</v>
      </c>
      <c r="X2777" s="148">
        <f>IFERROR(__xludf.DUMMYFUNCTION("""COMPUTED_VALUE"""),0.0)</f>
        <v>0</v>
      </c>
      <c r="Y2777" s="148">
        <f>IFERROR(__xludf.DUMMYFUNCTION("""COMPUTED_VALUE"""),0.0)</f>
        <v>0</v>
      </c>
      <c r="Z2777" s="148"/>
    </row>
    <row r="2778">
      <c r="A2778" s="148">
        <f>IFERROR(__xludf.DUMMYFUNCTION("""COMPUTED_VALUE"""),1.1119739E7)</f>
        <v>11119739</v>
      </c>
      <c r="B2778" s="148" t="str">
        <f>IFERROR(__xludf.DUMMYFUNCTION("""COMPUTED_VALUE"""),"双倍券活动-4.99档位")</f>
        <v>双倍券活动-4.99档位</v>
      </c>
      <c r="C2778" s="148"/>
      <c r="D2778" s="148" t="str">
        <f>IFERROR(__xludf.DUMMYFUNCTION("""COMPUTED_VALUE"""),"double_coupon")</f>
        <v>double_coupon</v>
      </c>
      <c r="E2778" s="148">
        <f>IFERROR(__xludf.DUMMYFUNCTION("""COMPUTED_VALUE"""),0.0)</f>
        <v>0</v>
      </c>
      <c r="F2778" s="148">
        <f>IFERROR(__xludf.DUMMYFUNCTION("""COMPUTED_VALUE"""),0.0)</f>
        <v>0</v>
      </c>
      <c r="G2778" s="148">
        <f>IFERROR(__xludf.DUMMYFUNCTION("""COMPUTED_VALUE"""),1.51102933E8)</f>
        <v>151102933</v>
      </c>
      <c r="H2778" s="148">
        <f>IFERROR(__xludf.DUMMYFUNCTION("""COMPUTED_VALUE"""),1.5112564E7)</f>
        <v>15112564</v>
      </c>
      <c r="I2778" s="148" t="str">
        <f>IFERROR(__xludf.DUMMYFUNCTION("""COMPUTED_VALUE"""),"{}")</f>
        <v>{}</v>
      </c>
      <c r="J2778" s="148" t="str">
        <f>IFERROR(__xludf.DUMMYFUNCTION("""COMPUTED_VALUE"""),"{""typ"":""lc"",""txt"":""LC_ITEM_double_coupon_name_2""}")</f>
        <v>{"typ":"lc","txt":"LC_ITEM_double_coupon_name_2"}</v>
      </c>
      <c r="K2778" s="148" t="str">
        <f>IFERROR(__xludf.DUMMYFUNCTION("""COMPUTED_VALUE"""),"{""typ"":""lc"",""txt"":""LC_EVENT_double_coupon_tips_1""}")</f>
        <v>{"typ":"lc","txt":"LC_EVENT_double_coupon_tips_1"}</v>
      </c>
      <c r="L2778" s="148" t="str">
        <f>IFERROR(__xludf.DUMMYFUNCTION("""COMPUTED_VALUE"""),"{}")</f>
        <v>{}</v>
      </c>
      <c r="M2778" s="148">
        <f>IFERROR(__xludf.DUMMYFUNCTION("""COMPUTED_VALUE"""),100.0)</f>
        <v>100</v>
      </c>
      <c r="N2778" s="148">
        <f>IFERROR(__xludf.DUMMYFUNCTION("""COMPUTED_VALUE"""),5.0)</f>
        <v>5</v>
      </c>
      <c r="O2778" s="148">
        <f>IFERROR(__xludf.DUMMYFUNCTION("""COMPUTED_VALUE"""),10.0)</f>
        <v>10</v>
      </c>
      <c r="P2778" s="148">
        <f>IFERROR(__xludf.DUMMYFUNCTION("""COMPUTED_VALUE"""),9999.0)</f>
        <v>9999</v>
      </c>
      <c r="Q2778" s="148" t="str">
        <f>IFERROR(__xludf.DUMMYFUNCTION("""COMPUTED_VALUE"""),"[]")</f>
        <v>[]</v>
      </c>
      <c r="R2778" s="148" t="str">
        <f>IFERROR(__xludf.DUMMYFUNCTION("""COMPUTED_VALUE"""),"[]")</f>
        <v>[]</v>
      </c>
      <c r="S2778" s="148" t="str">
        <f>IFERROR(__xludf.DUMMYFUNCTION("""COMPUTED_VALUE"""),"{""effect"":[{""typ"":""pay_price"",""val"":499}]}")</f>
        <v>{"effect":[{"typ":"pay_price","val":499}]}</v>
      </c>
      <c r="T2778" s="148">
        <f>IFERROR(__xludf.DUMMYFUNCTION("""COMPUTED_VALUE"""),-1.0)</f>
        <v>-1</v>
      </c>
      <c r="U2778" s="148">
        <f>IFERROR(__xludf.DUMMYFUNCTION("""COMPUTED_VALUE"""),0.0)</f>
        <v>0</v>
      </c>
      <c r="V2778" s="148" t="str">
        <f>IFERROR(__xludf.DUMMYFUNCTION("""COMPUTED_VALUE"""),"[]")</f>
        <v>[]</v>
      </c>
      <c r="W2778" s="148">
        <f>IFERROR(__xludf.DUMMYFUNCTION("""COMPUTED_VALUE"""),1.174E7)</f>
        <v>11740000</v>
      </c>
      <c r="X2778" s="148">
        <f>IFERROR(__xludf.DUMMYFUNCTION("""COMPUTED_VALUE"""),0.0)</f>
        <v>0</v>
      </c>
      <c r="Y2778" s="148">
        <f>IFERROR(__xludf.DUMMYFUNCTION("""COMPUTED_VALUE"""),0.0)</f>
        <v>0</v>
      </c>
      <c r="Z2778" s="148"/>
    </row>
    <row r="2779">
      <c r="A2779" s="148">
        <f>IFERROR(__xludf.DUMMYFUNCTION("""COMPUTED_VALUE"""),1.111974E7)</f>
        <v>11119740</v>
      </c>
      <c r="B2779" s="148" t="str">
        <f>IFERROR(__xludf.DUMMYFUNCTION("""COMPUTED_VALUE"""),"双倍券活动-9.99档位")</f>
        <v>双倍券活动-9.99档位</v>
      </c>
      <c r="C2779" s="148"/>
      <c r="D2779" s="148" t="str">
        <f>IFERROR(__xludf.DUMMYFUNCTION("""COMPUTED_VALUE"""),"double_coupon")</f>
        <v>double_coupon</v>
      </c>
      <c r="E2779" s="148">
        <f>IFERROR(__xludf.DUMMYFUNCTION("""COMPUTED_VALUE"""),0.0)</f>
        <v>0</v>
      </c>
      <c r="F2779" s="148">
        <f>IFERROR(__xludf.DUMMYFUNCTION("""COMPUTED_VALUE"""),0.0)</f>
        <v>0</v>
      </c>
      <c r="G2779" s="148">
        <f>IFERROR(__xludf.DUMMYFUNCTION("""COMPUTED_VALUE"""),1.51102934E8)</f>
        <v>151102934</v>
      </c>
      <c r="H2779" s="148">
        <f>IFERROR(__xludf.DUMMYFUNCTION("""COMPUTED_VALUE"""),1.5112564E7)</f>
        <v>15112564</v>
      </c>
      <c r="I2779" s="148" t="str">
        <f>IFERROR(__xludf.DUMMYFUNCTION("""COMPUTED_VALUE"""),"{}")</f>
        <v>{}</v>
      </c>
      <c r="J2779" s="148" t="str">
        <f>IFERROR(__xludf.DUMMYFUNCTION("""COMPUTED_VALUE"""),"{""typ"":""lc"",""txt"":""LC_ITEM_double_coupon_name_3""}")</f>
        <v>{"typ":"lc","txt":"LC_ITEM_double_coupon_name_3"}</v>
      </c>
      <c r="K2779" s="148" t="str">
        <f>IFERROR(__xludf.DUMMYFUNCTION("""COMPUTED_VALUE"""),"{""typ"":""lc"",""txt"":""LC_EVENT_double_coupon_tips_1""}")</f>
        <v>{"typ":"lc","txt":"LC_EVENT_double_coupon_tips_1"}</v>
      </c>
      <c r="L2779" s="148" t="str">
        <f>IFERROR(__xludf.DUMMYFUNCTION("""COMPUTED_VALUE"""),"{}")</f>
        <v>{}</v>
      </c>
      <c r="M2779" s="148">
        <f>IFERROR(__xludf.DUMMYFUNCTION("""COMPUTED_VALUE"""),100.0)</f>
        <v>100</v>
      </c>
      <c r="N2779" s="148">
        <f>IFERROR(__xludf.DUMMYFUNCTION("""COMPUTED_VALUE"""),5.0)</f>
        <v>5</v>
      </c>
      <c r="O2779" s="148">
        <f>IFERROR(__xludf.DUMMYFUNCTION("""COMPUTED_VALUE"""),10.0)</f>
        <v>10</v>
      </c>
      <c r="P2779" s="148">
        <f>IFERROR(__xludf.DUMMYFUNCTION("""COMPUTED_VALUE"""),9999.0)</f>
        <v>9999</v>
      </c>
      <c r="Q2779" s="148" t="str">
        <f>IFERROR(__xludf.DUMMYFUNCTION("""COMPUTED_VALUE"""),"[]")</f>
        <v>[]</v>
      </c>
      <c r="R2779" s="148" t="str">
        <f>IFERROR(__xludf.DUMMYFUNCTION("""COMPUTED_VALUE"""),"[]")</f>
        <v>[]</v>
      </c>
      <c r="S2779" s="148" t="str">
        <f>IFERROR(__xludf.DUMMYFUNCTION("""COMPUTED_VALUE"""),"{""effect"":[{""typ"":""pay_price"",""val"":999}]}")</f>
        <v>{"effect":[{"typ":"pay_price","val":999}]}</v>
      </c>
      <c r="T2779" s="148">
        <f>IFERROR(__xludf.DUMMYFUNCTION("""COMPUTED_VALUE"""),-1.0)</f>
        <v>-1</v>
      </c>
      <c r="U2779" s="148">
        <f>IFERROR(__xludf.DUMMYFUNCTION("""COMPUTED_VALUE"""),0.0)</f>
        <v>0</v>
      </c>
      <c r="V2779" s="148" t="str">
        <f>IFERROR(__xludf.DUMMYFUNCTION("""COMPUTED_VALUE"""),"[]")</f>
        <v>[]</v>
      </c>
      <c r="W2779" s="148">
        <f>IFERROR(__xludf.DUMMYFUNCTION("""COMPUTED_VALUE"""),1.174E7)</f>
        <v>11740000</v>
      </c>
      <c r="X2779" s="148">
        <f>IFERROR(__xludf.DUMMYFUNCTION("""COMPUTED_VALUE"""),0.0)</f>
        <v>0</v>
      </c>
      <c r="Y2779" s="148">
        <f>IFERROR(__xludf.DUMMYFUNCTION("""COMPUTED_VALUE"""),0.0)</f>
        <v>0</v>
      </c>
      <c r="Z2779" s="148"/>
    </row>
    <row r="2780">
      <c r="A2780" s="148">
        <f>IFERROR(__xludf.DUMMYFUNCTION("""COMPUTED_VALUE"""),1.1119741E7)</f>
        <v>11119741</v>
      </c>
      <c r="B2780" s="148" t="str">
        <f>IFERROR(__xludf.DUMMYFUNCTION("""COMPUTED_VALUE"""),"双倍券活动-19.99档位")</f>
        <v>双倍券活动-19.99档位</v>
      </c>
      <c r="C2780" s="148"/>
      <c r="D2780" s="148" t="str">
        <f>IFERROR(__xludf.DUMMYFUNCTION("""COMPUTED_VALUE"""),"double_coupon")</f>
        <v>double_coupon</v>
      </c>
      <c r="E2780" s="148">
        <f>IFERROR(__xludf.DUMMYFUNCTION("""COMPUTED_VALUE"""),0.0)</f>
        <v>0</v>
      </c>
      <c r="F2780" s="148">
        <f>IFERROR(__xludf.DUMMYFUNCTION("""COMPUTED_VALUE"""),0.0)</f>
        <v>0</v>
      </c>
      <c r="G2780" s="148">
        <f>IFERROR(__xludf.DUMMYFUNCTION("""COMPUTED_VALUE"""),1.51102935E8)</f>
        <v>151102935</v>
      </c>
      <c r="H2780" s="148">
        <f>IFERROR(__xludf.DUMMYFUNCTION("""COMPUTED_VALUE"""),1.5112564E7)</f>
        <v>15112564</v>
      </c>
      <c r="I2780" s="148" t="str">
        <f>IFERROR(__xludf.DUMMYFUNCTION("""COMPUTED_VALUE"""),"{}")</f>
        <v>{}</v>
      </c>
      <c r="J2780" s="148" t="str">
        <f>IFERROR(__xludf.DUMMYFUNCTION("""COMPUTED_VALUE"""),"{""typ"":""lc"",""txt"":""LC_ITEM_double_coupon_name_4""}")</f>
        <v>{"typ":"lc","txt":"LC_ITEM_double_coupon_name_4"}</v>
      </c>
      <c r="K2780" s="148" t="str">
        <f>IFERROR(__xludf.DUMMYFUNCTION("""COMPUTED_VALUE"""),"{""typ"":""lc"",""txt"":""LC_EVENT_double_coupon_tips_1""}")</f>
        <v>{"typ":"lc","txt":"LC_EVENT_double_coupon_tips_1"}</v>
      </c>
      <c r="L2780" s="148" t="str">
        <f>IFERROR(__xludf.DUMMYFUNCTION("""COMPUTED_VALUE"""),"{}")</f>
        <v>{}</v>
      </c>
      <c r="M2780" s="148">
        <f>IFERROR(__xludf.DUMMYFUNCTION("""COMPUTED_VALUE"""),100.0)</f>
        <v>100</v>
      </c>
      <c r="N2780" s="148">
        <f>IFERROR(__xludf.DUMMYFUNCTION("""COMPUTED_VALUE"""),5.0)</f>
        <v>5</v>
      </c>
      <c r="O2780" s="148">
        <f>IFERROR(__xludf.DUMMYFUNCTION("""COMPUTED_VALUE"""),10.0)</f>
        <v>10</v>
      </c>
      <c r="P2780" s="148">
        <f>IFERROR(__xludf.DUMMYFUNCTION("""COMPUTED_VALUE"""),9999.0)</f>
        <v>9999</v>
      </c>
      <c r="Q2780" s="148" t="str">
        <f>IFERROR(__xludf.DUMMYFUNCTION("""COMPUTED_VALUE"""),"[]")</f>
        <v>[]</v>
      </c>
      <c r="R2780" s="148" t="str">
        <f>IFERROR(__xludf.DUMMYFUNCTION("""COMPUTED_VALUE"""),"[]")</f>
        <v>[]</v>
      </c>
      <c r="S2780" s="148" t="str">
        <f>IFERROR(__xludf.DUMMYFUNCTION("""COMPUTED_VALUE"""),"{""effect"":[{""typ"":""pay_price"",""val"":1999}]}")</f>
        <v>{"effect":[{"typ":"pay_price","val":1999}]}</v>
      </c>
      <c r="T2780" s="148">
        <f>IFERROR(__xludf.DUMMYFUNCTION("""COMPUTED_VALUE"""),-1.0)</f>
        <v>-1</v>
      </c>
      <c r="U2780" s="148">
        <f>IFERROR(__xludf.DUMMYFUNCTION("""COMPUTED_VALUE"""),0.0)</f>
        <v>0</v>
      </c>
      <c r="V2780" s="148" t="str">
        <f>IFERROR(__xludf.DUMMYFUNCTION("""COMPUTED_VALUE"""),"[]")</f>
        <v>[]</v>
      </c>
      <c r="W2780" s="148">
        <f>IFERROR(__xludf.DUMMYFUNCTION("""COMPUTED_VALUE"""),1.174E7)</f>
        <v>11740000</v>
      </c>
      <c r="X2780" s="148">
        <f>IFERROR(__xludf.DUMMYFUNCTION("""COMPUTED_VALUE"""),0.0)</f>
        <v>0</v>
      </c>
      <c r="Y2780" s="148">
        <f>IFERROR(__xludf.DUMMYFUNCTION("""COMPUTED_VALUE"""),0.0)</f>
        <v>0</v>
      </c>
      <c r="Z2780" s="148"/>
    </row>
    <row r="2781">
      <c r="A2781" s="148">
        <f>IFERROR(__xludf.DUMMYFUNCTION("""COMPUTED_VALUE"""),1.1119742E7)</f>
        <v>11119742</v>
      </c>
      <c r="B2781" s="148" t="str">
        <f>IFERROR(__xludf.DUMMYFUNCTION("""COMPUTED_VALUE"""),"双倍券活动-49.99档位")</f>
        <v>双倍券活动-49.99档位</v>
      </c>
      <c r="C2781" s="148"/>
      <c r="D2781" s="148" t="str">
        <f>IFERROR(__xludf.DUMMYFUNCTION("""COMPUTED_VALUE"""),"double_coupon")</f>
        <v>double_coupon</v>
      </c>
      <c r="E2781" s="148">
        <f>IFERROR(__xludf.DUMMYFUNCTION("""COMPUTED_VALUE"""),0.0)</f>
        <v>0</v>
      </c>
      <c r="F2781" s="148">
        <f>IFERROR(__xludf.DUMMYFUNCTION("""COMPUTED_VALUE"""),0.0)</f>
        <v>0</v>
      </c>
      <c r="G2781" s="148">
        <f>IFERROR(__xludf.DUMMYFUNCTION("""COMPUTED_VALUE"""),1.51102936E8)</f>
        <v>151102936</v>
      </c>
      <c r="H2781" s="148">
        <f>IFERROR(__xludf.DUMMYFUNCTION("""COMPUTED_VALUE"""),1.5112564E7)</f>
        <v>15112564</v>
      </c>
      <c r="I2781" s="148" t="str">
        <f>IFERROR(__xludf.DUMMYFUNCTION("""COMPUTED_VALUE"""),"{}")</f>
        <v>{}</v>
      </c>
      <c r="J2781" s="148" t="str">
        <f>IFERROR(__xludf.DUMMYFUNCTION("""COMPUTED_VALUE"""),"{""typ"":""lc"",""txt"":""LC_ITEM_double_coupon_name_5""}")</f>
        <v>{"typ":"lc","txt":"LC_ITEM_double_coupon_name_5"}</v>
      </c>
      <c r="K2781" s="148" t="str">
        <f>IFERROR(__xludf.DUMMYFUNCTION("""COMPUTED_VALUE"""),"{""typ"":""lc"",""txt"":""LC_EVENT_double_coupon_tips_1""}")</f>
        <v>{"typ":"lc","txt":"LC_EVENT_double_coupon_tips_1"}</v>
      </c>
      <c r="L2781" s="148" t="str">
        <f>IFERROR(__xludf.DUMMYFUNCTION("""COMPUTED_VALUE"""),"{}")</f>
        <v>{}</v>
      </c>
      <c r="M2781" s="148">
        <f>IFERROR(__xludf.DUMMYFUNCTION("""COMPUTED_VALUE"""),100.0)</f>
        <v>100</v>
      </c>
      <c r="N2781" s="148">
        <f>IFERROR(__xludf.DUMMYFUNCTION("""COMPUTED_VALUE"""),5.0)</f>
        <v>5</v>
      </c>
      <c r="O2781" s="148">
        <f>IFERROR(__xludf.DUMMYFUNCTION("""COMPUTED_VALUE"""),10.0)</f>
        <v>10</v>
      </c>
      <c r="P2781" s="148">
        <f>IFERROR(__xludf.DUMMYFUNCTION("""COMPUTED_VALUE"""),9999.0)</f>
        <v>9999</v>
      </c>
      <c r="Q2781" s="148" t="str">
        <f>IFERROR(__xludf.DUMMYFUNCTION("""COMPUTED_VALUE"""),"[]")</f>
        <v>[]</v>
      </c>
      <c r="R2781" s="148" t="str">
        <f>IFERROR(__xludf.DUMMYFUNCTION("""COMPUTED_VALUE"""),"[]")</f>
        <v>[]</v>
      </c>
      <c r="S2781" s="148" t="str">
        <f>IFERROR(__xludf.DUMMYFUNCTION("""COMPUTED_VALUE"""),"{""effect"":[{""typ"":""pay_price"",""val"":4999}]}")</f>
        <v>{"effect":[{"typ":"pay_price","val":4999}]}</v>
      </c>
      <c r="T2781" s="148">
        <f>IFERROR(__xludf.DUMMYFUNCTION("""COMPUTED_VALUE"""),-1.0)</f>
        <v>-1</v>
      </c>
      <c r="U2781" s="148">
        <f>IFERROR(__xludf.DUMMYFUNCTION("""COMPUTED_VALUE"""),0.0)</f>
        <v>0</v>
      </c>
      <c r="V2781" s="148" t="str">
        <f>IFERROR(__xludf.DUMMYFUNCTION("""COMPUTED_VALUE"""),"[]")</f>
        <v>[]</v>
      </c>
      <c r="W2781" s="148">
        <f>IFERROR(__xludf.DUMMYFUNCTION("""COMPUTED_VALUE"""),1.174E7)</f>
        <v>11740000</v>
      </c>
      <c r="X2781" s="148">
        <f>IFERROR(__xludf.DUMMYFUNCTION("""COMPUTED_VALUE"""),0.0)</f>
        <v>0</v>
      </c>
      <c r="Y2781" s="148">
        <f>IFERROR(__xludf.DUMMYFUNCTION("""COMPUTED_VALUE"""),0.0)</f>
        <v>0</v>
      </c>
      <c r="Z2781" s="148"/>
    </row>
    <row r="2782">
      <c r="A2782" s="148">
        <f>IFERROR(__xludf.DUMMYFUNCTION("""COMPUTED_VALUE"""),1.1119743E7)</f>
        <v>11119743</v>
      </c>
      <c r="B2782" s="148" t="str">
        <f>IFERROR(__xludf.DUMMYFUNCTION("""COMPUTED_VALUE"""),"双倍券活动-99.99档位")</f>
        <v>双倍券活动-99.99档位</v>
      </c>
      <c r="C2782" s="148"/>
      <c r="D2782" s="148" t="str">
        <f>IFERROR(__xludf.DUMMYFUNCTION("""COMPUTED_VALUE"""),"double_coupon")</f>
        <v>double_coupon</v>
      </c>
      <c r="E2782" s="148">
        <f>IFERROR(__xludf.DUMMYFUNCTION("""COMPUTED_VALUE"""),0.0)</f>
        <v>0</v>
      </c>
      <c r="F2782" s="148">
        <f>IFERROR(__xludf.DUMMYFUNCTION("""COMPUTED_VALUE"""),0.0)</f>
        <v>0</v>
      </c>
      <c r="G2782" s="148">
        <f>IFERROR(__xludf.DUMMYFUNCTION("""COMPUTED_VALUE"""),1.51102937E8)</f>
        <v>151102937</v>
      </c>
      <c r="H2782" s="148">
        <f>IFERROR(__xludf.DUMMYFUNCTION("""COMPUTED_VALUE"""),1.5112564E7)</f>
        <v>15112564</v>
      </c>
      <c r="I2782" s="148" t="str">
        <f>IFERROR(__xludf.DUMMYFUNCTION("""COMPUTED_VALUE"""),"{}")</f>
        <v>{}</v>
      </c>
      <c r="J2782" s="148" t="str">
        <f>IFERROR(__xludf.DUMMYFUNCTION("""COMPUTED_VALUE"""),"{""typ"":""lc"",""txt"":""LC_ITEM_double_coupon_name_6""}")</f>
        <v>{"typ":"lc","txt":"LC_ITEM_double_coupon_name_6"}</v>
      </c>
      <c r="K2782" s="148" t="str">
        <f>IFERROR(__xludf.DUMMYFUNCTION("""COMPUTED_VALUE"""),"{""typ"":""lc"",""txt"":""LC_EVENT_double_coupon_tips_1""}")</f>
        <v>{"typ":"lc","txt":"LC_EVENT_double_coupon_tips_1"}</v>
      </c>
      <c r="L2782" s="148" t="str">
        <f>IFERROR(__xludf.DUMMYFUNCTION("""COMPUTED_VALUE"""),"{}")</f>
        <v>{}</v>
      </c>
      <c r="M2782" s="148">
        <f>IFERROR(__xludf.DUMMYFUNCTION("""COMPUTED_VALUE"""),100.0)</f>
        <v>100</v>
      </c>
      <c r="N2782" s="148">
        <f>IFERROR(__xludf.DUMMYFUNCTION("""COMPUTED_VALUE"""),5.0)</f>
        <v>5</v>
      </c>
      <c r="O2782" s="148">
        <f>IFERROR(__xludf.DUMMYFUNCTION("""COMPUTED_VALUE"""),10.0)</f>
        <v>10</v>
      </c>
      <c r="P2782" s="148">
        <f>IFERROR(__xludf.DUMMYFUNCTION("""COMPUTED_VALUE"""),9999.0)</f>
        <v>9999</v>
      </c>
      <c r="Q2782" s="148" t="str">
        <f>IFERROR(__xludf.DUMMYFUNCTION("""COMPUTED_VALUE"""),"[]")</f>
        <v>[]</v>
      </c>
      <c r="R2782" s="148" t="str">
        <f>IFERROR(__xludf.DUMMYFUNCTION("""COMPUTED_VALUE"""),"[]")</f>
        <v>[]</v>
      </c>
      <c r="S2782" s="148" t="str">
        <f>IFERROR(__xludf.DUMMYFUNCTION("""COMPUTED_VALUE"""),"{""effect"":[{""typ"":""pay_price"",""val"":9999}]}")</f>
        <v>{"effect":[{"typ":"pay_price","val":9999}]}</v>
      </c>
      <c r="T2782" s="148">
        <f>IFERROR(__xludf.DUMMYFUNCTION("""COMPUTED_VALUE"""),-1.0)</f>
        <v>-1</v>
      </c>
      <c r="U2782" s="148">
        <f>IFERROR(__xludf.DUMMYFUNCTION("""COMPUTED_VALUE"""),0.0)</f>
        <v>0</v>
      </c>
      <c r="V2782" s="148" t="str">
        <f>IFERROR(__xludf.DUMMYFUNCTION("""COMPUTED_VALUE"""),"[]")</f>
        <v>[]</v>
      </c>
      <c r="W2782" s="148">
        <f>IFERROR(__xludf.DUMMYFUNCTION("""COMPUTED_VALUE"""),1.174E7)</f>
        <v>11740000</v>
      </c>
      <c r="X2782" s="148">
        <f>IFERROR(__xludf.DUMMYFUNCTION("""COMPUTED_VALUE"""),0.0)</f>
        <v>0</v>
      </c>
      <c r="Y2782" s="148">
        <f>IFERROR(__xludf.DUMMYFUNCTION("""COMPUTED_VALUE"""),0.0)</f>
        <v>0</v>
      </c>
      <c r="Z2782" s="148"/>
    </row>
    <row r="2783">
      <c r="A2783" s="148">
        <f>IFERROR(__xludf.DUMMYFUNCTION("""COMPUTED_VALUE"""),1.1119744E7)</f>
        <v>11119744</v>
      </c>
      <c r="B2783" s="148" t="str">
        <f>IFERROR(__xludf.DUMMYFUNCTION("""COMPUTED_VALUE"""),"科技-粮食消耗减少-1天-档位1")</f>
        <v>科技-粮食消耗减少-1天-档位1</v>
      </c>
      <c r="C2783" s="148"/>
      <c r="D2783" s="148" t="str">
        <f>IFERROR(__xludf.DUMMYFUNCTION("""COMPUTED_VALUE"""),"item_buff")</f>
        <v>item_buff</v>
      </c>
      <c r="E2783" s="148">
        <f>IFERROR(__xludf.DUMMYFUNCTION("""COMPUTED_VALUE"""),11.0)</f>
        <v>11</v>
      </c>
      <c r="F2783" s="148">
        <f>IFERROR(__xludf.DUMMYFUNCTION("""COMPUTED_VALUE"""),307504.0)</f>
        <v>307504</v>
      </c>
      <c r="G2783" s="148">
        <f>IFERROR(__xludf.DUMMYFUNCTION("""COMPUTED_VALUE"""),1.51103015E8)</f>
        <v>151103015</v>
      </c>
      <c r="H2783" s="148">
        <f>IFERROR(__xludf.DUMMYFUNCTION("""COMPUTED_VALUE"""),1.5112561E7)</f>
        <v>15112561</v>
      </c>
      <c r="I2783" s="148" t="str">
        <f>IFERROR(__xludf.DUMMYFUNCTION("""COMPUTED_VALUE"""),"{""typ"":""lc"",""txt"":""LC_ITEM_time_h_upper_show"",""args"":[{""typ"":""int"",""val"":24}]}")</f>
        <v>{"typ":"lc","txt":"LC_ITEM_time_h_upper_show","args":[{"typ":"int","val":24}]}</v>
      </c>
      <c r="J2783" s="148" t="str">
        <f>IFERROR(__xludf.DUMMYFUNCTION("""COMPUTED_VALUE"""),"{""typ"":""lc"",""txt"":""LC_ITEM_research_foodiron_buff_name_1"",""args"":[{""typ"":""int"",""val"":24}]}")</f>
        <v>{"typ":"lc","txt":"LC_ITEM_research_foodiron_buff_name_1","args":[{"typ":"int","val":24}]}</v>
      </c>
      <c r="K2783" s="148" t="str">
        <f>IFERROR(__xludf.DUMMYFUNCTION("""COMPUTED_VALUE"""),"{""typ"":""lc"",""txt"":""LC_ITEM_research_foodiron_buff_desc_1"",""args"":[{""typ"":""int"",""val"":24}]}")</f>
        <v>{"typ":"lc","txt":"LC_ITEM_research_foodiron_buff_desc_1","args":[{"typ":"int","val":24}]}</v>
      </c>
      <c r="L2783" s="148" t="str">
        <f>IFERROR(__xludf.DUMMYFUNCTION("""COMPUTED_VALUE"""),"{""typ"":""lc"",""txt"":""LC_ITEM_research_foodiron_buff_desc_1"",""args"":[{""typ"":""int"",""val"":24}]}")</f>
        <v>{"typ":"lc","txt":"LC_ITEM_research_foodiron_buff_desc_1","args":[{"typ":"int","val":24}]}</v>
      </c>
      <c r="M2783" s="148">
        <f>IFERROR(__xludf.DUMMYFUNCTION("""COMPUTED_VALUE"""),1500.0)</f>
        <v>1500</v>
      </c>
      <c r="N2783" s="148">
        <f>IFERROR(__xludf.DUMMYFUNCTION("""COMPUTED_VALUE"""),999999.0)</f>
        <v>999999</v>
      </c>
      <c r="O2783" s="148">
        <f>IFERROR(__xludf.DUMMYFUNCTION("""COMPUTED_VALUE"""),99999.0)</f>
        <v>99999</v>
      </c>
      <c r="P2783" s="148">
        <f>IFERROR(__xludf.DUMMYFUNCTION("""COMPUTED_VALUE"""),1.0)</f>
        <v>1</v>
      </c>
      <c r="Q2783" s="148" t="str">
        <f>IFERROR(__xludf.DUMMYFUNCTION("""COMPUTED_VALUE"""),"[""bag_buff"",""buff_city""]")</f>
        <v>["bag_buff","buff_city"]</v>
      </c>
      <c r="R2783" s="148" t="str">
        <f>IFERROR(__xludf.DUMMYFUNCTION("""COMPUTED_VALUE"""),"[""bag"",""buff_city""]")</f>
        <v>["bag","buff_city"]</v>
      </c>
      <c r="S2783" s="148" t="str">
        <f>IFERROR(__xludf.DUMMYFUNCTION("""COMPUTED_VALUE"""),"{""effect"":[{""typ"":""buff"",""id"":121141020,""val"":86400000,""arg1"":0.03}]}")</f>
        <v>{"effect":[{"typ":"buff","id":121141020,"val":86400000,"arg1":0.03}]}</v>
      </c>
      <c r="T2783" s="148">
        <f>IFERROR(__xludf.DUMMYFUNCTION("""COMPUTED_VALUE"""),-1.0)</f>
        <v>-1</v>
      </c>
      <c r="U2783" s="148">
        <f>IFERROR(__xludf.DUMMYFUNCTION("""COMPUTED_VALUE"""),1.0)</f>
        <v>1</v>
      </c>
      <c r="V2783" s="148" t="str">
        <f>IFERROR(__xludf.DUMMYFUNCTION("""COMPUTED_VALUE"""),"[]")</f>
        <v>[]</v>
      </c>
      <c r="W2783" s="148">
        <f>IFERROR(__xludf.DUMMYFUNCTION("""COMPUTED_VALUE"""),1.1741004E7)</f>
        <v>11741004</v>
      </c>
      <c r="X2783" s="148">
        <f>IFERROR(__xludf.DUMMYFUNCTION("""COMPUTED_VALUE"""),0.0)</f>
        <v>0</v>
      </c>
      <c r="Y2783" s="148">
        <f>IFERROR(__xludf.DUMMYFUNCTION("""COMPUTED_VALUE"""),0.0)</f>
        <v>0</v>
      </c>
      <c r="Z2783" s="148"/>
    </row>
    <row r="2784">
      <c r="A2784" s="148">
        <f>IFERROR(__xludf.DUMMYFUNCTION("""COMPUTED_VALUE"""),1.1119745E7)</f>
        <v>11119745</v>
      </c>
      <c r="B2784" s="148" t="str">
        <f>IFERROR(__xludf.DUMMYFUNCTION("""COMPUTED_VALUE"""),"科技-粮食消耗减少-1天-档位2")</f>
        <v>科技-粮食消耗减少-1天-档位2</v>
      </c>
      <c r="C2784" s="148"/>
      <c r="D2784" s="148" t="str">
        <f>IFERROR(__xludf.DUMMYFUNCTION("""COMPUTED_VALUE"""),"item_buff")</f>
        <v>item_buff</v>
      </c>
      <c r="E2784" s="148">
        <f>IFERROR(__xludf.DUMMYFUNCTION("""COMPUTED_VALUE"""),11.0)</f>
        <v>11</v>
      </c>
      <c r="F2784" s="148">
        <f>IFERROR(__xludf.DUMMYFUNCTION("""COMPUTED_VALUE"""),307504.0)</f>
        <v>307504</v>
      </c>
      <c r="G2784" s="148">
        <f>IFERROR(__xludf.DUMMYFUNCTION("""COMPUTED_VALUE"""),1.51103015E8)</f>
        <v>151103015</v>
      </c>
      <c r="H2784" s="148">
        <f>IFERROR(__xludf.DUMMYFUNCTION("""COMPUTED_VALUE"""),1.5112562E7)</f>
        <v>15112562</v>
      </c>
      <c r="I2784" s="148" t="str">
        <f>IFERROR(__xludf.DUMMYFUNCTION("""COMPUTED_VALUE"""),"{""typ"":""lc"",""txt"":""LC_ITEM_time_h_upper_show"",""args"":[{""typ"":""int"",""val"":24}]}")</f>
        <v>{"typ":"lc","txt":"LC_ITEM_time_h_upper_show","args":[{"typ":"int","val":24}]}</v>
      </c>
      <c r="J2784" s="148" t="str">
        <f>IFERROR(__xludf.DUMMYFUNCTION("""COMPUTED_VALUE"""),"{""typ"":""lc"",""txt"":""LC_ITEM_research_foodiron_buff_name_2"",""args"":[{""typ"":""int"",""val"":24}]}")</f>
        <v>{"typ":"lc","txt":"LC_ITEM_research_foodiron_buff_name_2","args":[{"typ":"int","val":24}]}</v>
      </c>
      <c r="K2784" s="148" t="str">
        <f>IFERROR(__xludf.DUMMYFUNCTION("""COMPUTED_VALUE"""),"{""typ"":""lc"",""txt"":""LC_ITEM_research_foodiron_buff_desc_2"",""args"":[{""typ"":""int"",""val"":24}]}")</f>
        <v>{"typ":"lc","txt":"LC_ITEM_research_foodiron_buff_desc_2","args":[{"typ":"int","val":24}]}</v>
      </c>
      <c r="L2784" s="148" t="str">
        <f>IFERROR(__xludf.DUMMYFUNCTION("""COMPUTED_VALUE"""),"{""typ"":""lc"",""txt"":""LC_ITEM_research_foodiron_buff_desc_2"",""args"":[{""typ"":""int"",""val"":24}]}")</f>
        <v>{"typ":"lc","txt":"LC_ITEM_research_foodiron_buff_desc_2","args":[{"typ":"int","val":24}]}</v>
      </c>
      <c r="M2784" s="148">
        <f>IFERROR(__xludf.DUMMYFUNCTION("""COMPUTED_VALUE"""),1500.0)</f>
        <v>1500</v>
      </c>
      <c r="N2784" s="148">
        <f>IFERROR(__xludf.DUMMYFUNCTION("""COMPUTED_VALUE"""),999999.0)</f>
        <v>999999</v>
      </c>
      <c r="O2784" s="148">
        <f>IFERROR(__xludf.DUMMYFUNCTION("""COMPUTED_VALUE"""),99999.0)</f>
        <v>99999</v>
      </c>
      <c r="P2784" s="148">
        <f>IFERROR(__xludf.DUMMYFUNCTION("""COMPUTED_VALUE"""),1.0)</f>
        <v>1</v>
      </c>
      <c r="Q2784" s="148" t="str">
        <f>IFERROR(__xludf.DUMMYFUNCTION("""COMPUTED_VALUE"""),"[""bag_buff"",""buff_city""]")</f>
        <v>["bag_buff","buff_city"]</v>
      </c>
      <c r="R2784" s="148" t="str">
        <f>IFERROR(__xludf.DUMMYFUNCTION("""COMPUTED_VALUE"""),"[""bag"",""buff_city""]")</f>
        <v>["bag","buff_city"]</v>
      </c>
      <c r="S2784" s="148" t="str">
        <f>IFERROR(__xludf.DUMMYFUNCTION("""COMPUTED_VALUE"""),"{""effect"":[{""typ"":""buff"",""id"":121141020,""val"":86400000,""arg1"":0.05}]}")</f>
        <v>{"effect":[{"typ":"buff","id":121141020,"val":86400000,"arg1":0.05}]}</v>
      </c>
      <c r="T2784" s="148">
        <f>IFERROR(__xludf.DUMMYFUNCTION("""COMPUTED_VALUE"""),-1.0)</f>
        <v>-1</v>
      </c>
      <c r="U2784" s="148">
        <f>IFERROR(__xludf.DUMMYFUNCTION("""COMPUTED_VALUE"""),1.0)</f>
        <v>1</v>
      </c>
      <c r="V2784" s="148" t="str">
        <f>IFERROR(__xludf.DUMMYFUNCTION("""COMPUTED_VALUE"""),"[]")</f>
        <v>[]</v>
      </c>
      <c r="W2784" s="148">
        <f>IFERROR(__xludf.DUMMYFUNCTION("""COMPUTED_VALUE"""),1.1741004E7)</f>
        <v>11741004</v>
      </c>
      <c r="X2784" s="148">
        <f>IFERROR(__xludf.DUMMYFUNCTION("""COMPUTED_VALUE"""),0.0)</f>
        <v>0</v>
      </c>
      <c r="Y2784" s="148">
        <f>IFERROR(__xludf.DUMMYFUNCTION("""COMPUTED_VALUE"""),0.0)</f>
        <v>0</v>
      </c>
      <c r="Z2784" s="148"/>
    </row>
    <row r="2785">
      <c r="A2785" s="148">
        <f>IFERROR(__xludf.DUMMYFUNCTION("""COMPUTED_VALUE"""),1.1119746E7)</f>
        <v>11119746</v>
      </c>
      <c r="B2785" s="148" t="str">
        <f>IFERROR(__xludf.DUMMYFUNCTION("""COMPUTED_VALUE"""),"科技-粮食消耗减少-1天-档位3")</f>
        <v>科技-粮食消耗减少-1天-档位3</v>
      </c>
      <c r="C2785" s="148"/>
      <c r="D2785" s="148" t="str">
        <f>IFERROR(__xludf.DUMMYFUNCTION("""COMPUTED_VALUE"""),"item_buff")</f>
        <v>item_buff</v>
      </c>
      <c r="E2785" s="148">
        <f>IFERROR(__xludf.DUMMYFUNCTION("""COMPUTED_VALUE"""),11.0)</f>
        <v>11</v>
      </c>
      <c r="F2785" s="148">
        <f>IFERROR(__xludf.DUMMYFUNCTION("""COMPUTED_VALUE"""),307504.0)</f>
        <v>307504</v>
      </c>
      <c r="G2785" s="148">
        <f>IFERROR(__xludf.DUMMYFUNCTION("""COMPUTED_VALUE"""),1.51103015E8)</f>
        <v>151103015</v>
      </c>
      <c r="H2785" s="148">
        <f>IFERROR(__xludf.DUMMYFUNCTION("""COMPUTED_VALUE"""),1.5112563E7)</f>
        <v>15112563</v>
      </c>
      <c r="I2785" s="148" t="str">
        <f>IFERROR(__xludf.DUMMYFUNCTION("""COMPUTED_VALUE"""),"{""typ"":""lc"",""txt"":""LC_ITEM_time_h_upper_show"",""args"":[{""typ"":""int"",""val"":24}]}")</f>
        <v>{"typ":"lc","txt":"LC_ITEM_time_h_upper_show","args":[{"typ":"int","val":24}]}</v>
      </c>
      <c r="J2785" s="148" t="str">
        <f>IFERROR(__xludf.DUMMYFUNCTION("""COMPUTED_VALUE"""),"{""typ"":""lc"",""txt"":""LC_ITEM_research_foodiron_buff_name_3"",""args"":[{""typ"":""int"",""val"":24}]}")</f>
        <v>{"typ":"lc","txt":"LC_ITEM_research_foodiron_buff_name_3","args":[{"typ":"int","val":24}]}</v>
      </c>
      <c r="K2785" s="148" t="str">
        <f>IFERROR(__xludf.DUMMYFUNCTION("""COMPUTED_VALUE"""),"{""typ"":""lc"",""txt"":""LC_ITEM_research_foodiron_buff_desc_3"",""args"":[{""typ"":""int"",""val"":24}]}")</f>
        <v>{"typ":"lc","txt":"LC_ITEM_research_foodiron_buff_desc_3","args":[{"typ":"int","val":24}]}</v>
      </c>
      <c r="L2785" s="148" t="str">
        <f>IFERROR(__xludf.DUMMYFUNCTION("""COMPUTED_VALUE"""),"{""typ"":""lc"",""txt"":""LC_ITEM_research_foodiron_buff_desc_3"",""args"":[{""typ"":""int"",""val"":24}]}")</f>
        <v>{"typ":"lc","txt":"LC_ITEM_research_foodiron_buff_desc_3","args":[{"typ":"int","val":24}]}</v>
      </c>
      <c r="M2785" s="148">
        <f>IFERROR(__xludf.DUMMYFUNCTION("""COMPUTED_VALUE"""),1500.0)</f>
        <v>1500</v>
      </c>
      <c r="N2785" s="148">
        <f>IFERROR(__xludf.DUMMYFUNCTION("""COMPUTED_VALUE"""),999999.0)</f>
        <v>999999</v>
      </c>
      <c r="O2785" s="148">
        <f>IFERROR(__xludf.DUMMYFUNCTION("""COMPUTED_VALUE"""),99999.0)</f>
        <v>99999</v>
      </c>
      <c r="P2785" s="148">
        <f>IFERROR(__xludf.DUMMYFUNCTION("""COMPUTED_VALUE"""),1.0)</f>
        <v>1</v>
      </c>
      <c r="Q2785" s="148" t="str">
        <f>IFERROR(__xludf.DUMMYFUNCTION("""COMPUTED_VALUE"""),"[""bag_buff"",""buff_city""]")</f>
        <v>["bag_buff","buff_city"]</v>
      </c>
      <c r="R2785" s="148" t="str">
        <f>IFERROR(__xludf.DUMMYFUNCTION("""COMPUTED_VALUE"""),"[""bag"",""buff_city""]")</f>
        <v>["bag","buff_city"]</v>
      </c>
      <c r="S2785" s="148" t="str">
        <f>IFERROR(__xludf.DUMMYFUNCTION("""COMPUTED_VALUE"""),"{""effect"":[{""typ"":""buff"",""id"":121141020,""val"":86400000,""arg1"":0.08}]}")</f>
        <v>{"effect":[{"typ":"buff","id":121141020,"val":86400000,"arg1":0.08}]}</v>
      </c>
      <c r="T2785" s="148">
        <f>IFERROR(__xludf.DUMMYFUNCTION("""COMPUTED_VALUE"""),-1.0)</f>
        <v>-1</v>
      </c>
      <c r="U2785" s="148">
        <f>IFERROR(__xludf.DUMMYFUNCTION("""COMPUTED_VALUE"""),1.0)</f>
        <v>1</v>
      </c>
      <c r="V2785" s="148" t="str">
        <f>IFERROR(__xludf.DUMMYFUNCTION("""COMPUTED_VALUE"""),"[]")</f>
        <v>[]</v>
      </c>
      <c r="W2785" s="148">
        <f>IFERROR(__xludf.DUMMYFUNCTION("""COMPUTED_VALUE"""),1.1741004E7)</f>
        <v>11741004</v>
      </c>
      <c r="X2785" s="148">
        <f>IFERROR(__xludf.DUMMYFUNCTION("""COMPUTED_VALUE"""),0.0)</f>
        <v>0</v>
      </c>
      <c r="Y2785" s="148">
        <f>IFERROR(__xludf.DUMMYFUNCTION("""COMPUTED_VALUE"""),0.0)</f>
        <v>0</v>
      </c>
      <c r="Z2785" s="148"/>
    </row>
    <row r="2786">
      <c r="A2786" s="148">
        <f>IFERROR(__xludf.DUMMYFUNCTION("""COMPUTED_VALUE"""),1.1119747E7)</f>
        <v>11119747</v>
      </c>
      <c r="B2786" s="148" t="str">
        <f>IFERROR(__xludf.DUMMYFUNCTION("""COMPUTED_VALUE"""),"科技-粮食消耗减少-1天-档位4")</f>
        <v>科技-粮食消耗减少-1天-档位4</v>
      </c>
      <c r="C2786" s="148"/>
      <c r="D2786" s="148" t="str">
        <f>IFERROR(__xludf.DUMMYFUNCTION("""COMPUTED_VALUE"""),"item_buff")</f>
        <v>item_buff</v>
      </c>
      <c r="E2786" s="148">
        <f>IFERROR(__xludf.DUMMYFUNCTION("""COMPUTED_VALUE"""),11.0)</f>
        <v>11</v>
      </c>
      <c r="F2786" s="148">
        <f>IFERROR(__xludf.DUMMYFUNCTION("""COMPUTED_VALUE"""),307504.0)</f>
        <v>307504</v>
      </c>
      <c r="G2786" s="148">
        <f>IFERROR(__xludf.DUMMYFUNCTION("""COMPUTED_VALUE"""),1.51103015E8)</f>
        <v>151103015</v>
      </c>
      <c r="H2786" s="148">
        <f>IFERROR(__xludf.DUMMYFUNCTION("""COMPUTED_VALUE"""),1.5112564E7)</f>
        <v>15112564</v>
      </c>
      <c r="I2786" s="148" t="str">
        <f>IFERROR(__xludf.DUMMYFUNCTION("""COMPUTED_VALUE"""),"{""typ"":""lc"",""txt"":""LC_ITEM_time_h_upper_show"",""args"":[{""typ"":""int"",""val"":24}]}")</f>
        <v>{"typ":"lc","txt":"LC_ITEM_time_h_upper_show","args":[{"typ":"int","val":24}]}</v>
      </c>
      <c r="J2786" s="148" t="str">
        <f>IFERROR(__xludf.DUMMYFUNCTION("""COMPUTED_VALUE"""),"{""typ"":""lc"",""txt"":""LC_ITEM_research_foodiron_buff_name_4"",""args"":[{""typ"":""int"",""val"":24}]}")</f>
        <v>{"typ":"lc","txt":"LC_ITEM_research_foodiron_buff_name_4","args":[{"typ":"int","val":24}]}</v>
      </c>
      <c r="K2786" s="148" t="str">
        <f>IFERROR(__xludf.DUMMYFUNCTION("""COMPUTED_VALUE"""),"{""typ"":""lc"",""txt"":""LC_ITEM_research_foodiron_buff_desc_4"",""args"":[{""typ"":""int"",""val"":24}]}")</f>
        <v>{"typ":"lc","txt":"LC_ITEM_research_foodiron_buff_desc_4","args":[{"typ":"int","val":24}]}</v>
      </c>
      <c r="L2786" s="148" t="str">
        <f>IFERROR(__xludf.DUMMYFUNCTION("""COMPUTED_VALUE"""),"{""typ"":""lc"",""txt"":""LC_ITEM_research_foodiron_buff_desc_4"",""args"":[{""typ"":""int"",""val"":24}]}")</f>
        <v>{"typ":"lc","txt":"LC_ITEM_research_foodiron_buff_desc_4","args":[{"typ":"int","val":24}]}</v>
      </c>
      <c r="M2786" s="148">
        <f>IFERROR(__xludf.DUMMYFUNCTION("""COMPUTED_VALUE"""),1500.0)</f>
        <v>1500</v>
      </c>
      <c r="N2786" s="148">
        <f>IFERROR(__xludf.DUMMYFUNCTION("""COMPUTED_VALUE"""),999999.0)</f>
        <v>999999</v>
      </c>
      <c r="O2786" s="148">
        <f>IFERROR(__xludf.DUMMYFUNCTION("""COMPUTED_VALUE"""),99999.0)</f>
        <v>99999</v>
      </c>
      <c r="P2786" s="148">
        <f>IFERROR(__xludf.DUMMYFUNCTION("""COMPUTED_VALUE"""),1.0)</f>
        <v>1</v>
      </c>
      <c r="Q2786" s="148" t="str">
        <f>IFERROR(__xludf.DUMMYFUNCTION("""COMPUTED_VALUE"""),"[""bag_buff"",""buff_city""]")</f>
        <v>["bag_buff","buff_city"]</v>
      </c>
      <c r="R2786" s="148" t="str">
        <f>IFERROR(__xludf.DUMMYFUNCTION("""COMPUTED_VALUE"""),"[""bag"",""buff_city""]")</f>
        <v>["bag","buff_city"]</v>
      </c>
      <c r="S2786" s="148" t="str">
        <f>IFERROR(__xludf.DUMMYFUNCTION("""COMPUTED_VALUE"""),"{""effect"":[{""typ"":""buff"",""id"":121141020,""val"":86400000,""arg1"":0.1}]}")</f>
        <v>{"effect":[{"typ":"buff","id":121141020,"val":86400000,"arg1":0.1}]}</v>
      </c>
      <c r="T2786" s="148">
        <f>IFERROR(__xludf.DUMMYFUNCTION("""COMPUTED_VALUE"""),-1.0)</f>
        <v>-1</v>
      </c>
      <c r="U2786" s="148">
        <f>IFERROR(__xludf.DUMMYFUNCTION("""COMPUTED_VALUE"""),1.0)</f>
        <v>1</v>
      </c>
      <c r="V2786" s="148" t="str">
        <f>IFERROR(__xludf.DUMMYFUNCTION("""COMPUTED_VALUE"""),"[]")</f>
        <v>[]</v>
      </c>
      <c r="W2786" s="148">
        <f>IFERROR(__xludf.DUMMYFUNCTION("""COMPUTED_VALUE"""),1.1741004E7)</f>
        <v>11741004</v>
      </c>
      <c r="X2786" s="148">
        <f>IFERROR(__xludf.DUMMYFUNCTION("""COMPUTED_VALUE"""),0.0)</f>
        <v>0</v>
      </c>
      <c r="Y2786" s="148">
        <f>IFERROR(__xludf.DUMMYFUNCTION("""COMPUTED_VALUE"""),0.0)</f>
        <v>0</v>
      </c>
      <c r="Z2786" s="148"/>
    </row>
    <row r="2787">
      <c r="A2787" s="148">
        <f>IFERROR(__xludf.DUMMYFUNCTION("""COMPUTED_VALUE"""),1.1119748E7)</f>
        <v>11119748</v>
      </c>
      <c r="B2787" s="148" t="str">
        <f>IFERROR(__xludf.DUMMYFUNCTION("""COMPUTED_VALUE"""),"城建-粮食消耗减少-1天-档位1")</f>
        <v>城建-粮食消耗减少-1天-档位1</v>
      </c>
      <c r="C2787" s="148"/>
      <c r="D2787" s="148" t="str">
        <f>IFERROR(__xludf.DUMMYFUNCTION("""COMPUTED_VALUE"""),"item_buff")</f>
        <v>item_buff</v>
      </c>
      <c r="E2787" s="148">
        <f>IFERROR(__xludf.DUMMYFUNCTION("""COMPUTED_VALUE"""),11.0)</f>
        <v>11</v>
      </c>
      <c r="F2787" s="148">
        <f>IFERROR(__xludf.DUMMYFUNCTION("""COMPUTED_VALUE"""),307504.0)</f>
        <v>307504</v>
      </c>
      <c r="G2787" s="148">
        <f>IFERROR(__xludf.DUMMYFUNCTION("""COMPUTED_VALUE"""),1.51103016E8)</f>
        <v>151103016</v>
      </c>
      <c r="H2787" s="148">
        <f>IFERROR(__xludf.DUMMYFUNCTION("""COMPUTED_VALUE"""),1.5112561E7)</f>
        <v>15112561</v>
      </c>
      <c r="I2787" s="148" t="str">
        <f>IFERROR(__xludf.DUMMYFUNCTION("""COMPUTED_VALUE"""),"{""typ"":""lc"",""txt"":""LC_ITEM_time_h_upper_show"",""args"":[{""typ"":""int"",""val"":24}]}")</f>
        <v>{"typ":"lc","txt":"LC_ITEM_time_h_upper_show","args":[{"typ":"int","val":24}]}</v>
      </c>
      <c r="J2787" s="148" t="str">
        <f>IFERROR(__xludf.DUMMYFUNCTION("""COMPUTED_VALUE"""),"{""typ"":""lc"",""txt"":""LC_ITEM_build_foodiron_buff_name_1"",""args"":[{""typ"":""int"",""val"":24}]}")</f>
        <v>{"typ":"lc","txt":"LC_ITEM_build_foodiron_buff_name_1","args":[{"typ":"int","val":24}]}</v>
      </c>
      <c r="K2787" s="148" t="str">
        <f>IFERROR(__xludf.DUMMYFUNCTION("""COMPUTED_VALUE"""),"{""typ"":""lc"",""txt"":""LC_ITEM_build_foodiron_buff_desc_1"",""args"":[{""typ"":""int"",""val"":24}]}")</f>
        <v>{"typ":"lc","txt":"LC_ITEM_build_foodiron_buff_desc_1","args":[{"typ":"int","val":24}]}</v>
      </c>
      <c r="L2787" s="148" t="str">
        <f>IFERROR(__xludf.DUMMYFUNCTION("""COMPUTED_VALUE"""),"{""typ"":""lc"",""txt"":""LC_ITEM_build_foodiron_buff_desc_1"",""args"":[{""typ"":""int"",""val"":24}]}")</f>
        <v>{"typ":"lc","txt":"LC_ITEM_build_foodiron_buff_desc_1","args":[{"typ":"int","val":24}]}</v>
      </c>
      <c r="M2787" s="148">
        <f>IFERROR(__xludf.DUMMYFUNCTION("""COMPUTED_VALUE"""),1500.0)</f>
        <v>1500</v>
      </c>
      <c r="N2787" s="148">
        <f>IFERROR(__xludf.DUMMYFUNCTION("""COMPUTED_VALUE"""),999999.0)</f>
        <v>999999</v>
      </c>
      <c r="O2787" s="148">
        <f>IFERROR(__xludf.DUMMYFUNCTION("""COMPUTED_VALUE"""),99999.0)</f>
        <v>99999</v>
      </c>
      <c r="P2787" s="148">
        <f>IFERROR(__xludf.DUMMYFUNCTION("""COMPUTED_VALUE"""),1.0)</f>
        <v>1</v>
      </c>
      <c r="Q2787" s="148" t="str">
        <f>IFERROR(__xludf.DUMMYFUNCTION("""COMPUTED_VALUE"""),"[""bag_buff"",""buff_city""]")</f>
        <v>["bag_buff","buff_city"]</v>
      </c>
      <c r="R2787" s="148" t="str">
        <f>IFERROR(__xludf.DUMMYFUNCTION("""COMPUTED_VALUE"""),"[""bag"",""buff_city""]")</f>
        <v>["bag","buff_city"]</v>
      </c>
      <c r="S2787" s="148" t="str">
        <f>IFERROR(__xludf.DUMMYFUNCTION("""COMPUTED_VALUE"""),"{""effect"":[{""typ"":""buff"",""id"":121141024,""val"":86400000,""arg1"":0.05}]}")</f>
        <v>{"effect":[{"typ":"buff","id":121141024,"val":86400000,"arg1":0.05}]}</v>
      </c>
      <c r="T2787" s="148">
        <f>IFERROR(__xludf.DUMMYFUNCTION("""COMPUTED_VALUE"""),-1.0)</f>
        <v>-1</v>
      </c>
      <c r="U2787" s="148">
        <f>IFERROR(__xludf.DUMMYFUNCTION("""COMPUTED_VALUE"""),1.0)</f>
        <v>1</v>
      </c>
      <c r="V2787" s="148" t="str">
        <f>IFERROR(__xludf.DUMMYFUNCTION("""COMPUTED_VALUE"""),"[]")</f>
        <v>[]</v>
      </c>
      <c r="W2787" s="148">
        <f>IFERROR(__xludf.DUMMYFUNCTION("""COMPUTED_VALUE"""),1.1741004E7)</f>
        <v>11741004</v>
      </c>
      <c r="X2787" s="148">
        <f>IFERROR(__xludf.DUMMYFUNCTION("""COMPUTED_VALUE"""),0.0)</f>
        <v>0</v>
      </c>
      <c r="Y2787" s="148">
        <f>IFERROR(__xludf.DUMMYFUNCTION("""COMPUTED_VALUE"""),0.0)</f>
        <v>0</v>
      </c>
      <c r="Z2787" s="148"/>
    </row>
    <row r="2788">
      <c r="A2788" s="148">
        <f>IFERROR(__xludf.DUMMYFUNCTION("""COMPUTED_VALUE"""),1.1119749E7)</f>
        <v>11119749</v>
      </c>
      <c r="B2788" s="148" t="str">
        <f>IFERROR(__xludf.DUMMYFUNCTION("""COMPUTED_VALUE"""),"城建-粮食消耗减少-1天-档位2")</f>
        <v>城建-粮食消耗减少-1天-档位2</v>
      </c>
      <c r="C2788" s="148"/>
      <c r="D2788" s="148" t="str">
        <f>IFERROR(__xludf.DUMMYFUNCTION("""COMPUTED_VALUE"""),"item_buff")</f>
        <v>item_buff</v>
      </c>
      <c r="E2788" s="148">
        <f>IFERROR(__xludf.DUMMYFUNCTION("""COMPUTED_VALUE"""),11.0)</f>
        <v>11</v>
      </c>
      <c r="F2788" s="148">
        <f>IFERROR(__xludf.DUMMYFUNCTION("""COMPUTED_VALUE"""),307504.0)</f>
        <v>307504</v>
      </c>
      <c r="G2788" s="148">
        <f>IFERROR(__xludf.DUMMYFUNCTION("""COMPUTED_VALUE"""),1.51103016E8)</f>
        <v>151103016</v>
      </c>
      <c r="H2788" s="148">
        <f>IFERROR(__xludf.DUMMYFUNCTION("""COMPUTED_VALUE"""),1.5112562E7)</f>
        <v>15112562</v>
      </c>
      <c r="I2788" s="148" t="str">
        <f>IFERROR(__xludf.DUMMYFUNCTION("""COMPUTED_VALUE"""),"{""typ"":""lc"",""txt"":""LC_ITEM_time_h_upper_show"",""args"":[{""typ"":""int"",""val"":24}]}")</f>
        <v>{"typ":"lc","txt":"LC_ITEM_time_h_upper_show","args":[{"typ":"int","val":24}]}</v>
      </c>
      <c r="J2788" s="148" t="str">
        <f>IFERROR(__xludf.DUMMYFUNCTION("""COMPUTED_VALUE"""),"{""typ"":""lc"",""txt"":""LC_ITEM_build_foodiron_buff_name_2"",""args"":[{""typ"":""int"",""val"":24}]}")</f>
        <v>{"typ":"lc","txt":"LC_ITEM_build_foodiron_buff_name_2","args":[{"typ":"int","val":24}]}</v>
      </c>
      <c r="K2788" s="148" t="str">
        <f>IFERROR(__xludf.DUMMYFUNCTION("""COMPUTED_VALUE"""),"{""typ"":""lc"",""txt"":""LC_ITEM_build_foodiron_buff_desc_2"",""args"":[{""typ"":""int"",""val"":24}]}")</f>
        <v>{"typ":"lc","txt":"LC_ITEM_build_foodiron_buff_desc_2","args":[{"typ":"int","val":24}]}</v>
      </c>
      <c r="L2788" s="148" t="str">
        <f>IFERROR(__xludf.DUMMYFUNCTION("""COMPUTED_VALUE"""),"{""typ"":""lc"",""txt"":""LC_ITEM_build_foodiron_buff_desc_2"",""args"":[{""typ"":""int"",""val"":24}]}")</f>
        <v>{"typ":"lc","txt":"LC_ITEM_build_foodiron_buff_desc_2","args":[{"typ":"int","val":24}]}</v>
      </c>
      <c r="M2788" s="148">
        <f>IFERROR(__xludf.DUMMYFUNCTION("""COMPUTED_VALUE"""),1500.0)</f>
        <v>1500</v>
      </c>
      <c r="N2788" s="148">
        <f>IFERROR(__xludf.DUMMYFUNCTION("""COMPUTED_VALUE"""),999999.0)</f>
        <v>999999</v>
      </c>
      <c r="O2788" s="148">
        <f>IFERROR(__xludf.DUMMYFUNCTION("""COMPUTED_VALUE"""),99999.0)</f>
        <v>99999</v>
      </c>
      <c r="P2788" s="148">
        <f>IFERROR(__xludf.DUMMYFUNCTION("""COMPUTED_VALUE"""),1.0)</f>
        <v>1</v>
      </c>
      <c r="Q2788" s="148" t="str">
        <f>IFERROR(__xludf.DUMMYFUNCTION("""COMPUTED_VALUE"""),"[""bag_buff"",""buff_city""]")</f>
        <v>["bag_buff","buff_city"]</v>
      </c>
      <c r="R2788" s="148" t="str">
        <f>IFERROR(__xludf.DUMMYFUNCTION("""COMPUTED_VALUE"""),"[""bag"",""buff_city""]")</f>
        <v>["bag","buff_city"]</v>
      </c>
      <c r="S2788" s="148" t="str">
        <f>IFERROR(__xludf.DUMMYFUNCTION("""COMPUTED_VALUE"""),"{""effect"":[{""typ"":""buff"",""id"":121141024,""val"":86400000,""arg1"":0.08}]}")</f>
        <v>{"effect":[{"typ":"buff","id":121141024,"val":86400000,"arg1":0.08}]}</v>
      </c>
      <c r="T2788" s="148">
        <f>IFERROR(__xludf.DUMMYFUNCTION("""COMPUTED_VALUE"""),-1.0)</f>
        <v>-1</v>
      </c>
      <c r="U2788" s="148">
        <f>IFERROR(__xludf.DUMMYFUNCTION("""COMPUTED_VALUE"""),1.0)</f>
        <v>1</v>
      </c>
      <c r="V2788" s="148" t="str">
        <f>IFERROR(__xludf.DUMMYFUNCTION("""COMPUTED_VALUE"""),"[]")</f>
        <v>[]</v>
      </c>
      <c r="W2788" s="148">
        <f>IFERROR(__xludf.DUMMYFUNCTION("""COMPUTED_VALUE"""),1.1741004E7)</f>
        <v>11741004</v>
      </c>
      <c r="X2788" s="148">
        <f>IFERROR(__xludf.DUMMYFUNCTION("""COMPUTED_VALUE"""),0.0)</f>
        <v>0</v>
      </c>
      <c r="Y2788" s="148">
        <f>IFERROR(__xludf.DUMMYFUNCTION("""COMPUTED_VALUE"""),0.0)</f>
        <v>0</v>
      </c>
      <c r="Z2788" s="148"/>
    </row>
    <row r="2789">
      <c r="A2789" s="148">
        <f>IFERROR(__xludf.DUMMYFUNCTION("""COMPUTED_VALUE"""),1.111975E7)</f>
        <v>11119750</v>
      </c>
      <c r="B2789" s="148" t="str">
        <f>IFERROR(__xludf.DUMMYFUNCTION("""COMPUTED_VALUE"""),"城建-粮食消耗减少-1天-档位3")</f>
        <v>城建-粮食消耗减少-1天-档位3</v>
      </c>
      <c r="C2789" s="148"/>
      <c r="D2789" s="148" t="str">
        <f>IFERROR(__xludf.DUMMYFUNCTION("""COMPUTED_VALUE"""),"item_buff")</f>
        <v>item_buff</v>
      </c>
      <c r="E2789" s="148">
        <f>IFERROR(__xludf.DUMMYFUNCTION("""COMPUTED_VALUE"""),11.0)</f>
        <v>11</v>
      </c>
      <c r="F2789" s="148">
        <f>IFERROR(__xludf.DUMMYFUNCTION("""COMPUTED_VALUE"""),307504.0)</f>
        <v>307504</v>
      </c>
      <c r="G2789" s="148">
        <f>IFERROR(__xludf.DUMMYFUNCTION("""COMPUTED_VALUE"""),1.51103016E8)</f>
        <v>151103016</v>
      </c>
      <c r="H2789" s="148">
        <f>IFERROR(__xludf.DUMMYFUNCTION("""COMPUTED_VALUE"""),1.5112563E7)</f>
        <v>15112563</v>
      </c>
      <c r="I2789" s="148" t="str">
        <f>IFERROR(__xludf.DUMMYFUNCTION("""COMPUTED_VALUE"""),"{""typ"":""lc"",""txt"":""LC_ITEM_time_h_upper_show"",""args"":[{""typ"":""int"",""val"":24}]}")</f>
        <v>{"typ":"lc","txt":"LC_ITEM_time_h_upper_show","args":[{"typ":"int","val":24}]}</v>
      </c>
      <c r="J2789" s="148" t="str">
        <f>IFERROR(__xludf.DUMMYFUNCTION("""COMPUTED_VALUE"""),"{""typ"":""lc"",""txt"":""LC_ITEM_build_foodiron_buff_name_3"",""args"":[{""typ"":""int"",""val"":24}]}")</f>
        <v>{"typ":"lc","txt":"LC_ITEM_build_foodiron_buff_name_3","args":[{"typ":"int","val":24}]}</v>
      </c>
      <c r="K2789" s="148" t="str">
        <f>IFERROR(__xludf.DUMMYFUNCTION("""COMPUTED_VALUE"""),"{""typ"":""lc"",""txt"":""LC_ITEM_build_foodiron_buff_desc_3"",""args"":[{""typ"":""int"",""val"":24}]}")</f>
        <v>{"typ":"lc","txt":"LC_ITEM_build_foodiron_buff_desc_3","args":[{"typ":"int","val":24}]}</v>
      </c>
      <c r="L2789" s="148" t="str">
        <f>IFERROR(__xludf.DUMMYFUNCTION("""COMPUTED_VALUE"""),"{""typ"":""lc"",""txt"":""LC_ITEM_build_foodiron_buff_desc_3"",""args"":[{""typ"":""int"",""val"":24}]}")</f>
        <v>{"typ":"lc","txt":"LC_ITEM_build_foodiron_buff_desc_3","args":[{"typ":"int","val":24}]}</v>
      </c>
      <c r="M2789" s="148">
        <f>IFERROR(__xludf.DUMMYFUNCTION("""COMPUTED_VALUE"""),1500.0)</f>
        <v>1500</v>
      </c>
      <c r="N2789" s="148">
        <f>IFERROR(__xludf.DUMMYFUNCTION("""COMPUTED_VALUE"""),999999.0)</f>
        <v>999999</v>
      </c>
      <c r="O2789" s="148">
        <f>IFERROR(__xludf.DUMMYFUNCTION("""COMPUTED_VALUE"""),99999.0)</f>
        <v>99999</v>
      </c>
      <c r="P2789" s="148">
        <f>IFERROR(__xludf.DUMMYFUNCTION("""COMPUTED_VALUE"""),1.0)</f>
        <v>1</v>
      </c>
      <c r="Q2789" s="148" t="str">
        <f>IFERROR(__xludf.DUMMYFUNCTION("""COMPUTED_VALUE"""),"[""bag_buff"",""buff_city""]")</f>
        <v>["bag_buff","buff_city"]</v>
      </c>
      <c r="R2789" s="148" t="str">
        <f>IFERROR(__xludf.DUMMYFUNCTION("""COMPUTED_VALUE"""),"[""bag"",""buff_city""]")</f>
        <v>["bag","buff_city"]</v>
      </c>
      <c r="S2789" s="148" t="str">
        <f>IFERROR(__xludf.DUMMYFUNCTION("""COMPUTED_VALUE"""),"{""effect"":[{""typ"":""buff"",""id"":121141024,""val"":86400000,""arg1"":0.1}]}")</f>
        <v>{"effect":[{"typ":"buff","id":121141024,"val":86400000,"arg1":0.1}]}</v>
      </c>
      <c r="T2789" s="148">
        <f>IFERROR(__xludf.DUMMYFUNCTION("""COMPUTED_VALUE"""),-1.0)</f>
        <v>-1</v>
      </c>
      <c r="U2789" s="148">
        <f>IFERROR(__xludf.DUMMYFUNCTION("""COMPUTED_VALUE"""),1.0)</f>
        <v>1</v>
      </c>
      <c r="V2789" s="148" t="str">
        <f>IFERROR(__xludf.DUMMYFUNCTION("""COMPUTED_VALUE"""),"[]")</f>
        <v>[]</v>
      </c>
      <c r="W2789" s="148">
        <f>IFERROR(__xludf.DUMMYFUNCTION("""COMPUTED_VALUE"""),1.1741004E7)</f>
        <v>11741004</v>
      </c>
      <c r="X2789" s="148">
        <f>IFERROR(__xludf.DUMMYFUNCTION("""COMPUTED_VALUE"""),0.0)</f>
        <v>0</v>
      </c>
      <c r="Y2789" s="148">
        <f>IFERROR(__xludf.DUMMYFUNCTION("""COMPUTED_VALUE"""),0.0)</f>
        <v>0</v>
      </c>
      <c r="Z2789" s="148"/>
    </row>
    <row r="2790">
      <c r="A2790" s="148">
        <f>IFERROR(__xludf.DUMMYFUNCTION("""COMPUTED_VALUE"""),1.1119751E7)</f>
        <v>11119751</v>
      </c>
      <c r="B2790" s="148" t="str">
        <f>IFERROR(__xludf.DUMMYFUNCTION("""COMPUTED_VALUE"""),"城建-粮食消耗减少-1天-档位4")</f>
        <v>城建-粮食消耗减少-1天-档位4</v>
      </c>
      <c r="C2790" s="148"/>
      <c r="D2790" s="148" t="str">
        <f>IFERROR(__xludf.DUMMYFUNCTION("""COMPUTED_VALUE"""),"item_buff")</f>
        <v>item_buff</v>
      </c>
      <c r="E2790" s="148">
        <f>IFERROR(__xludf.DUMMYFUNCTION("""COMPUTED_VALUE"""),11.0)</f>
        <v>11</v>
      </c>
      <c r="F2790" s="148">
        <f>IFERROR(__xludf.DUMMYFUNCTION("""COMPUTED_VALUE"""),307504.0)</f>
        <v>307504</v>
      </c>
      <c r="G2790" s="148">
        <f>IFERROR(__xludf.DUMMYFUNCTION("""COMPUTED_VALUE"""),1.51103016E8)</f>
        <v>151103016</v>
      </c>
      <c r="H2790" s="148">
        <f>IFERROR(__xludf.DUMMYFUNCTION("""COMPUTED_VALUE"""),1.5112564E7)</f>
        <v>15112564</v>
      </c>
      <c r="I2790" s="148" t="str">
        <f>IFERROR(__xludf.DUMMYFUNCTION("""COMPUTED_VALUE"""),"{""typ"":""lc"",""txt"":""LC_ITEM_time_h_upper_show"",""args"":[{""typ"":""int"",""val"":24}]}")</f>
        <v>{"typ":"lc","txt":"LC_ITEM_time_h_upper_show","args":[{"typ":"int","val":24}]}</v>
      </c>
      <c r="J2790" s="148" t="str">
        <f>IFERROR(__xludf.DUMMYFUNCTION("""COMPUTED_VALUE"""),"{""typ"":""lc"",""txt"":""LC_ITEM_build_foodiron_buff_name_4"",""args"":[{""typ"":""int"",""val"":24}]}")</f>
        <v>{"typ":"lc","txt":"LC_ITEM_build_foodiron_buff_name_4","args":[{"typ":"int","val":24}]}</v>
      </c>
      <c r="K2790" s="148" t="str">
        <f>IFERROR(__xludf.DUMMYFUNCTION("""COMPUTED_VALUE"""),"{""typ"":""lc"",""txt"":""LC_ITEM_build_foodiron_buff_desc_4"",""args"":[{""typ"":""int"",""val"":24}]}")</f>
        <v>{"typ":"lc","txt":"LC_ITEM_build_foodiron_buff_desc_4","args":[{"typ":"int","val":24}]}</v>
      </c>
      <c r="L2790" s="148" t="str">
        <f>IFERROR(__xludf.DUMMYFUNCTION("""COMPUTED_VALUE"""),"{""typ"":""lc"",""txt"":""LC_ITEM_build_foodiron_buff_desc_4"",""args"":[{""typ"":""int"",""val"":24}]}")</f>
        <v>{"typ":"lc","txt":"LC_ITEM_build_foodiron_buff_desc_4","args":[{"typ":"int","val":24}]}</v>
      </c>
      <c r="M2790" s="148">
        <f>IFERROR(__xludf.DUMMYFUNCTION("""COMPUTED_VALUE"""),1500.0)</f>
        <v>1500</v>
      </c>
      <c r="N2790" s="148">
        <f>IFERROR(__xludf.DUMMYFUNCTION("""COMPUTED_VALUE"""),999999.0)</f>
        <v>999999</v>
      </c>
      <c r="O2790" s="148">
        <f>IFERROR(__xludf.DUMMYFUNCTION("""COMPUTED_VALUE"""),99999.0)</f>
        <v>99999</v>
      </c>
      <c r="P2790" s="148">
        <f>IFERROR(__xludf.DUMMYFUNCTION("""COMPUTED_VALUE"""),1.0)</f>
        <v>1</v>
      </c>
      <c r="Q2790" s="148" t="str">
        <f>IFERROR(__xludf.DUMMYFUNCTION("""COMPUTED_VALUE"""),"[""bag_buff"",""buff_city""]")</f>
        <v>["bag_buff","buff_city"]</v>
      </c>
      <c r="R2790" s="148" t="str">
        <f>IFERROR(__xludf.DUMMYFUNCTION("""COMPUTED_VALUE"""),"[""bag"",""buff_city""]")</f>
        <v>["bag","buff_city"]</v>
      </c>
      <c r="S2790" s="148" t="str">
        <f>IFERROR(__xludf.DUMMYFUNCTION("""COMPUTED_VALUE"""),"{""effect"":[{""typ"":""buff"",""id"":121141024,""val"":86400000,""arg1"":0.15}]}")</f>
        <v>{"effect":[{"typ":"buff","id":121141024,"val":86400000,"arg1":0.15}]}</v>
      </c>
      <c r="T2790" s="148">
        <f>IFERROR(__xludf.DUMMYFUNCTION("""COMPUTED_VALUE"""),-1.0)</f>
        <v>-1</v>
      </c>
      <c r="U2790" s="148">
        <f>IFERROR(__xludf.DUMMYFUNCTION("""COMPUTED_VALUE"""),1.0)</f>
        <v>1</v>
      </c>
      <c r="V2790" s="148" t="str">
        <f>IFERROR(__xludf.DUMMYFUNCTION("""COMPUTED_VALUE"""),"[]")</f>
        <v>[]</v>
      </c>
      <c r="W2790" s="148">
        <f>IFERROR(__xludf.DUMMYFUNCTION("""COMPUTED_VALUE"""),1.1741004E7)</f>
        <v>11741004</v>
      </c>
      <c r="X2790" s="148">
        <f>IFERROR(__xludf.DUMMYFUNCTION("""COMPUTED_VALUE"""),0.0)</f>
        <v>0</v>
      </c>
      <c r="Y2790" s="148">
        <f>IFERROR(__xludf.DUMMYFUNCTION("""COMPUTED_VALUE"""),0.0)</f>
        <v>0</v>
      </c>
      <c r="Z2790" s="148"/>
    </row>
    <row r="2791">
      <c r="A2791" s="148">
        <f>IFERROR(__xludf.DUMMYFUNCTION("""COMPUTED_VALUE"""),1.1119752E7)</f>
        <v>11119752</v>
      </c>
      <c r="B2791" s="148" t="str">
        <f>IFERROR(__xludf.DUMMYFUNCTION("""COMPUTED_VALUE"""),"训练-粮食消耗减少-1天-档位1")</f>
        <v>训练-粮食消耗减少-1天-档位1</v>
      </c>
      <c r="C2791" s="148"/>
      <c r="D2791" s="148" t="str">
        <f>IFERROR(__xludf.DUMMYFUNCTION("""COMPUTED_VALUE"""),"item_buff")</f>
        <v>item_buff</v>
      </c>
      <c r="E2791" s="148">
        <f>IFERROR(__xludf.DUMMYFUNCTION("""COMPUTED_VALUE"""),11.0)</f>
        <v>11</v>
      </c>
      <c r="F2791" s="148">
        <f>IFERROR(__xludf.DUMMYFUNCTION("""COMPUTED_VALUE"""),307504.0)</f>
        <v>307504</v>
      </c>
      <c r="G2791" s="148">
        <f>IFERROR(__xludf.DUMMYFUNCTION("""COMPUTED_VALUE"""),1.51103017E8)</f>
        <v>151103017</v>
      </c>
      <c r="H2791" s="148">
        <f>IFERROR(__xludf.DUMMYFUNCTION("""COMPUTED_VALUE"""),1.5112561E7)</f>
        <v>15112561</v>
      </c>
      <c r="I2791" s="148" t="str">
        <f>IFERROR(__xludf.DUMMYFUNCTION("""COMPUTED_VALUE"""),"{""typ"":""lc"",""txt"":""LC_ITEM_time_h_upper_show"",""args"":[{""typ"":""int"",""val"":24}]}")</f>
        <v>{"typ":"lc","txt":"LC_ITEM_time_h_upper_show","args":[{"typ":"int","val":24}]}</v>
      </c>
      <c r="J2791" s="148" t="str">
        <f>IFERROR(__xludf.DUMMYFUNCTION("""COMPUTED_VALUE"""),"{""typ"":""lc"",""txt"":""LC_ITEM_train_foodiron_buff_name_1"",""args"":[{""typ"":""int"",""val"":24}]}")</f>
        <v>{"typ":"lc","txt":"LC_ITEM_train_foodiron_buff_name_1","args":[{"typ":"int","val":24}]}</v>
      </c>
      <c r="K2791" s="148" t="str">
        <f>IFERROR(__xludf.DUMMYFUNCTION("""COMPUTED_VALUE"""),"{""typ"":""lc"",""txt"":""LC_ITEM_train_foodiron_buff_desc_1"",""args"":[{""typ"":""int"",""val"":24}]}")</f>
        <v>{"typ":"lc","txt":"LC_ITEM_train_foodiron_buff_desc_1","args":[{"typ":"int","val":24}]}</v>
      </c>
      <c r="L2791" s="148" t="str">
        <f>IFERROR(__xludf.DUMMYFUNCTION("""COMPUTED_VALUE"""),"{""typ"":""lc"",""txt"":""LC_ITEM_train_foodiron_buff_desc_1"",""args"":[{""typ"":""int"",""val"":24}]}")</f>
        <v>{"typ":"lc","txt":"LC_ITEM_train_foodiron_buff_desc_1","args":[{"typ":"int","val":24}]}</v>
      </c>
      <c r="M2791" s="148">
        <f>IFERROR(__xludf.DUMMYFUNCTION("""COMPUTED_VALUE"""),1500.0)</f>
        <v>1500</v>
      </c>
      <c r="N2791" s="148">
        <f>IFERROR(__xludf.DUMMYFUNCTION("""COMPUTED_VALUE"""),999999.0)</f>
        <v>999999</v>
      </c>
      <c r="O2791" s="148">
        <f>IFERROR(__xludf.DUMMYFUNCTION("""COMPUTED_VALUE"""),99999.0)</f>
        <v>99999</v>
      </c>
      <c r="P2791" s="148">
        <f>IFERROR(__xludf.DUMMYFUNCTION("""COMPUTED_VALUE"""),1.0)</f>
        <v>1</v>
      </c>
      <c r="Q2791" s="148" t="str">
        <f>IFERROR(__xludf.DUMMYFUNCTION("""COMPUTED_VALUE"""),"[""bag_buff"",""buff_city""]")</f>
        <v>["bag_buff","buff_city"]</v>
      </c>
      <c r="R2791" s="148" t="str">
        <f>IFERROR(__xludf.DUMMYFUNCTION("""COMPUTED_VALUE"""),"[""bag"",""buff_city""]")</f>
        <v>["bag","buff_city"]</v>
      </c>
      <c r="S2791" s="148" t="str">
        <f>IFERROR(__xludf.DUMMYFUNCTION("""COMPUTED_VALUE"""),"{""effect"":[{""typ"":""buff"",""id"":121141022,""val"":86400000,""arg1"":0.02}]}")</f>
        <v>{"effect":[{"typ":"buff","id":121141022,"val":86400000,"arg1":0.02}]}</v>
      </c>
      <c r="T2791" s="148">
        <f>IFERROR(__xludf.DUMMYFUNCTION("""COMPUTED_VALUE"""),-1.0)</f>
        <v>-1</v>
      </c>
      <c r="U2791" s="148">
        <f>IFERROR(__xludf.DUMMYFUNCTION("""COMPUTED_VALUE"""),1.0)</f>
        <v>1</v>
      </c>
      <c r="V2791" s="148" t="str">
        <f>IFERROR(__xludf.DUMMYFUNCTION("""COMPUTED_VALUE"""),"[]")</f>
        <v>[]</v>
      </c>
      <c r="W2791" s="148">
        <f>IFERROR(__xludf.DUMMYFUNCTION("""COMPUTED_VALUE"""),1.1741004E7)</f>
        <v>11741004</v>
      </c>
      <c r="X2791" s="148">
        <f>IFERROR(__xludf.DUMMYFUNCTION("""COMPUTED_VALUE"""),0.0)</f>
        <v>0</v>
      </c>
      <c r="Y2791" s="148">
        <f>IFERROR(__xludf.DUMMYFUNCTION("""COMPUTED_VALUE"""),0.0)</f>
        <v>0</v>
      </c>
      <c r="Z2791" s="148"/>
    </row>
    <row r="2792">
      <c r="A2792" s="148">
        <f>IFERROR(__xludf.DUMMYFUNCTION("""COMPUTED_VALUE"""),1.1119753E7)</f>
        <v>11119753</v>
      </c>
      <c r="B2792" s="148" t="str">
        <f>IFERROR(__xludf.DUMMYFUNCTION("""COMPUTED_VALUE"""),"训练-粮食消耗减少-1天-档位2")</f>
        <v>训练-粮食消耗减少-1天-档位2</v>
      </c>
      <c r="C2792" s="148"/>
      <c r="D2792" s="148" t="str">
        <f>IFERROR(__xludf.DUMMYFUNCTION("""COMPUTED_VALUE"""),"item_buff")</f>
        <v>item_buff</v>
      </c>
      <c r="E2792" s="148">
        <f>IFERROR(__xludf.DUMMYFUNCTION("""COMPUTED_VALUE"""),11.0)</f>
        <v>11</v>
      </c>
      <c r="F2792" s="148">
        <f>IFERROR(__xludf.DUMMYFUNCTION("""COMPUTED_VALUE"""),307504.0)</f>
        <v>307504</v>
      </c>
      <c r="G2792" s="148">
        <f>IFERROR(__xludf.DUMMYFUNCTION("""COMPUTED_VALUE"""),1.51103017E8)</f>
        <v>151103017</v>
      </c>
      <c r="H2792" s="148">
        <f>IFERROR(__xludf.DUMMYFUNCTION("""COMPUTED_VALUE"""),1.5112562E7)</f>
        <v>15112562</v>
      </c>
      <c r="I2792" s="148" t="str">
        <f>IFERROR(__xludf.DUMMYFUNCTION("""COMPUTED_VALUE"""),"{""typ"":""lc"",""txt"":""LC_ITEM_time_h_upper_show"",""args"":[{""typ"":""int"",""val"":24}]}")</f>
        <v>{"typ":"lc","txt":"LC_ITEM_time_h_upper_show","args":[{"typ":"int","val":24}]}</v>
      </c>
      <c r="J2792" s="148" t="str">
        <f>IFERROR(__xludf.DUMMYFUNCTION("""COMPUTED_VALUE"""),"{""typ"":""lc"",""txt"":""LC_ITEM_train_foodiron_buff_name_2"",""args"":[{""typ"":""int"",""val"":24}]}")</f>
        <v>{"typ":"lc","txt":"LC_ITEM_train_foodiron_buff_name_2","args":[{"typ":"int","val":24}]}</v>
      </c>
      <c r="K2792" s="148" t="str">
        <f>IFERROR(__xludf.DUMMYFUNCTION("""COMPUTED_VALUE"""),"{""typ"":""lc"",""txt"":""LC_ITEM_train_foodiron_buff_desc_2"",""args"":[{""typ"":""int"",""val"":24}]}")</f>
        <v>{"typ":"lc","txt":"LC_ITEM_train_foodiron_buff_desc_2","args":[{"typ":"int","val":24}]}</v>
      </c>
      <c r="L2792" s="148" t="str">
        <f>IFERROR(__xludf.DUMMYFUNCTION("""COMPUTED_VALUE"""),"{""typ"":""lc"",""txt"":""LC_ITEM_train_foodiron_buff_desc_2"",""args"":[{""typ"":""int"",""val"":24}]}")</f>
        <v>{"typ":"lc","txt":"LC_ITEM_train_foodiron_buff_desc_2","args":[{"typ":"int","val":24}]}</v>
      </c>
      <c r="M2792" s="148">
        <f>IFERROR(__xludf.DUMMYFUNCTION("""COMPUTED_VALUE"""),1500.0)</f>
        <v>1500</v>
      </c>
      <c r="N2792" s="148">
        <f>IFERROR(__xludf.DUMMYFUNCTION("""COMPUTED_VALUE"""),999999.0)</f>
        <v>999999</v>
      </c>
      <c r="O2792" s="148">
        <f>IFERROR(__xludf.DUMMYFUNCTION("""COMPUTED_VALUE"""),99999.0)</f>
        <v>99999</v>
      </c>
      <c r="P2792" s="148">
        <f>IFERROR(__xludf.DUMMYFUNCTION("""COMPUTED_VALUE"""),1.0)</f>
        <v>1</v>
      </c>
      <c r="Q2792" s="148" t="str">
        <f>IFERROR(__xludf.DUMMYFUNCTION("""COMPUTED_VALUE"""),"[""bag_buff"",""buff_city""]")</f>
        <v>["bag_buff","buff_city"]</v>
      </c>
      <c r="R2792" s="148" t="str">
        <f>IFERROR(__xludf.DUMMYFUNCTION("""COMPUTED_VALUE"""),"[""bag"",""buff_city""]")</f>
        <v>["bag","buff_city"]</v>
      </c>
      <c r="S2792" s="148" t="str">
        <f>IFERROR(__xludf.DUMMYFUNCTION("""COMPUTED_VALUE"""),"{""effect"":[{""typ"":""buff"",""id"":121141022,""val"":86400000,""arg1"":0.03}]}")</f>
        <v>{"effect":[{"typ":"buff","id":121141022,"val":86400000,"arg1":0.03}]}</v>
      </c>
      <c r="T2792" s="148">
        <f>IFERROR(__xludf.DUMMYFUNCTION("""COMPUTED_VALUE"""),-1.0)</f>
        <v>-1</v>
      </c>
      <c r="U2792" s="148">
        <f>IFERROR(__xludf.DUMMYFUNCTION("""COMPUTED_VALUE"""),1.0)</f>
        <v>1</v>
      </c>
      <c r="V2792" s="148" t="str">
        <f>IFERROR(__xludf.DUMMYFUNCTION("""COMPUTED_VALUE"""),"[]")</f>
        <v>[]</v>
      </c>
      <c r="W2792" s="148">
        <f>IFERROR(__xludf.DUMMYFUNCTION("""COMPUTED_VALUE"""),1.1741004E7)</f>
        <v>11741004</v>
      </c>
      <c r="X2792" s="148">
        <f>IFERROR(__xludf.DUMMYFUNCTION("""COMPUTED_VALUE"""),0.0)</f>
        <v>0</v>
      </c>
      <c r="Y2792" s="148">
        <f>IFERROR(__xludf.DUMMYFUNCTION("""COMPUTED_VALUE"""),0.0)</f>
        <v>0</v>
      </c>
      <c r="Z2792" s="148"/>
    </row>
    <row r="2793">
      <c r="A2793" s="148">
        <f>IFERROR(__xludf.DUMMYFUNCTION("""COMPUTED_VALUE"""),1.1119754E7)</f>
        <v>11119754</v>
      </c>
      <c r="B2793" s="148" t="str">
        <f>IFERROR(__xludf.DUMMYFUNCTION("""COMPUTED_VALUE"""),"训练-粮食消耗减少-1天-档位3")</f>
        <v>训练-粮食消耗减少-1天-档位3</v>
      </c>
      <c r="C2793" s="148"/>
      <c r="D2793" s="148" t="str">
        <f>IFERROR(__xludf.DUMMYFUNCTION("""COMPUTED_VALUE"""),"item_buff")</f>
        <v>item_buff</v>
      </c>
      <c r="E2793" s="148">
        <f>IFERROR(__xludf.DUMMYFUNCTION("""COMPUTED_VALUE"""),11.0)</f>
        <v>11</v>
      </c>
      <c r="F2793" s="148">
        <f>IFERROR(__xludf.DUMMYFUNCTION("""COMPUTED_VALUE"""),307504.0)</f>
        <v>307504</v>
      </c>
      <c r="G2793" s="148">
        <f>IFERROR(__xludf.DUMMYFUNCTION("""COMPUTED_VALUE"""),1.51103017E8)</f>
        <v>151103017</v>
      </c>
      <c r="H2793" s="148">
        <f>IFERROR(__xludf.DUMMYFUNCTION("""COMPUTED_VALUE"""),1.5112563E7)</f>
        <v>15112563</v>
      </c>
      <c r="I2793" s="148" t="str">
        <f>IFERROR(__xludf.DUMMYFUNCTION("""COMPUTED_VALUE"""),"{""typ"":""lc"",""txt"":""LC_ITEM_time_h_upper_show"",""args"":[{""typ"":""int"",""val"":24}]}")</f>
        <v>{"typ":"lc","txt":"LC_ITEM_time_h_upper_show","args":[{"typ":"int","val":24}]}</v>
      </c>
      <c r="J2793" s="148" t="str">
        <f>IFERROR(__xludf.DUMMYFUNCTION("""COMPUTED_VALUE"""),"{""typ"":""lc"",""txt"":""LC_ITEM_train_foodiron_buff_name_3"",""args"":[{""typ"":""int"",""val"":24}]}")</f>
        <v>{"typ":"lc","txt":"LC_ITEM_train_foodiron_buff_name_3","args":[{"typ":"int","val":24}]}</v>
      </c>
      <c r="K2793" s="148" t="str">
        <f>IFERROR(__xludf.DUMMYFUNCTION("""COMPUTED_VALUE"""),"{""typ"":""lc"",""txt"":""LC_ITEM_train_foodiron_buff_desc_3"",""args"":[{""typ"":""int"",""val"":24}]}")</f>
        <v>{"typ":"lc","txt":"LC_ITEM_train_foodiron_buff_desc_3","args":[{"typ":"int","val":24}]}</v>
      </c>
      <c r="L2793" s="148" t="str">
        <f>IFERROR(__xludf.DUMMYFUNCTION("""COMPUTED_VALUE"""),"{""typ"":""lc"",""txt"":""LC_ITEM_train_foodiron_buff_desc_3"",""args"":[{""typ"":""int"",""val"":24}]}")</f>
        <v>{"typ":"lc","txt":"LC_ITEM_train_foodiron_buff_desc_3","args":[{"typ":"int","val":24}]}</v>
      </c>
      <c r="M2793" s="148">
        <f>IFERROR(__xludf.DUMMYFUNCTION("""COMPUTED_VALUE"""),1500.0)</f>
        <v>1500</v>
      </c>
      <c r="N2793" s="148">
        <f>IFERROR(__xludf.DUMMYFUNCTION("""COMPUTED_VALUE"""),999999.0)</f>
        <v>999999</v>
      </c>
      <c r="O2793" s="148">
        <f>IFERROR(__xludf.DUMMYFUNCTION("""COMPUTED_VALUE"""),99999.0)</f>
        <v>99999</v>
      </c>
      <c r="P2793" s="148">
        <f>IFERROR(__xludf.DUMMYFUNCTION("""COMPUTED_VALUE"""),1.0)</f>
        <v>1</v>
      </c>
      <c r="Q2793" s="148" t="str">
        <f>IFERROR(__xludf.DUMMYFUNCTION("""COMPUTED_VALUE"""),"[""bag_buff"",""buff_city""]")</f>
        <v>["bag_buff","buff_city"]</v>
      </c>
      <c r="R2793" s="148" t="str">
        <f>IFERROR(__xludf.DUMMYFUNCTION("""COMPUTED_VALUE"""),"[""bag"",""buff_city""]")</f>
        <v>["bag","buff_city"]</v>
      </c>
      <c r="S2793" s="148" t="str">
        <f>IFERROR(__xludf.DUMMYFUNCTION("""COMPUTED_VALUE"""),"{""effect"":[{""typ"":""buff"",""id"":121141022,""val"":86400000,""arg1"":0.05}]}")</f>
        <v>{"effect":[{"typ":"buff","id":121141022,"val":86400000,"arg1":0.05}]}</v>
      </c>
      <c r="T2793" s="148">
        <f>IFERROR(__xludf.DUMMYFUNCTION("""COMPUTED_VALUE"""),-1.0)</f>
        <v>-1</v>
      </c>
      <c r="U2793" s="148">
        <f>IFERROR(__xludf.DUMMYFUNCTION("""COMPUTED_VALUE"""),1.0)</f>
        <v>1</v>
      </c>
      <c r="V2793" s="148" t="str">
        <f>IFERROR(__xludf.DUMMYFUNCTION("""COMPUTED_VALUE"""),"[]")</f>
        <v>[]</v>
      </c>
      <c r="W2793" s="148">
        <f>IFERROR(__xludf.DUMMYFUNCTION("""COMPUTED_VALUE"""),1.1741004E7)</f>
        <v>11741004</v>
      </c>
      <c r="X2793" s="148">
        <f>IFERROR(__xludf.DUMMYFUNCTION("""COMPUTED_VALUE"""),0.0)</f>
        <v>0</v>
      </c>
      <c r="Y2793" s="148">
        <f>IFERROR(__xludf.DUMMYFUNCTION("""COMPUTED_VALUE"""),0.0)</f>
        <v>0</v>
      </c>
      <c r="Z2793" s="148"/>
    </row>
    <row r="2794">
      <c r="A2794" s="148">
        <f>IFERROR(__xludf.DUMMYFUNCTION("""COMPUTED_VALUE"""),1.1119755E7)</f>
        <v>11119755</v>
      </c>
      <c r="B2794" s="148" t="str">
        <f>IFERROR(__xludf.DUMMYFUNCTION("""COMPUTED_VALUE"""),"训练-粮食消耗减少-1天-档位4")</f>
        <v>训练-粮食消耗减少-1天-档位4</v>
      </c>
      <c r="C2794" s="148"/>
      <c r="D2794" s="148" t="str">
        <f>IFERROR(__xludf.DUMMYFUNCTION("""COMPUTED_VALUE"""),"item_buff")</f>
        <v>item_buff</v>
      </c>
      <c r="E2794" s="148">
        <f>IFERROR(__xludf.DUMMYFUNCTION("""COMPUTED_VALUE"""),11.0)</f>
        <v>11</v>
      </c>
      <c r="F2794" s="148">
        <f>IFERROR(__xludf.DUMMYFUNCTION("""COMPUTED_VALUE"""),307504.0)</f>
        <v>307504</v>
      </c>
      <c r="G2794" s="148">
        <f>IFERROR(__xludf.DUMMYFUNCTION("""COMPUTED_VALUE"""),1.51103017E8)</f>
        <v>151103017</v>
      </c>
      <c r="H2794" s="148">
        <f>IFERROR(__xludf.DUMMYFUNCTION("""COMPUTED_VALUE"""),1.5112564E7)</f>
        <v>15112564</v>
      </c>
      <c r="I2794" s="148" t="str">
        <f>IFERROR(__xludf.DUMMYFUNCTION("""COMPUTED_VALUE"""),"{""typ"":""lc"",""txt"":""LC_ITEM_time_h_upper_show"",""args"":[{""typ"":""int"",""val"":24}]}")</f>
        <v>{"typ":"lc","txt":"LC_ITEM_time_h_upper_show","args":[{"typ":"int","val":24}]}</v>
      </c>
      <c r="J2794" s="148" t="str">
        <f>IFERROR(__xludf.DUMMYFUNCTION("""COMPUTED_VALUE"""),"{""typ"":""lc"",""txt"":""LC_ITEM_train_foodiron_buff_name_4"",""args"":[{""typ"":""int"",""val"":24}]}")</f>
        <v>{"typ":"lc","txt":"LC_ITEM_train_foodiron_buff_name_4","args":[{"typ":"int","val":24}]}</v>
      </c>
      <c r="K2794" s="148" t="str">
        <f>IFERROR(__xludf.DUMMYFUNCTION("""COMPUTED_VALUE"""),"{""typ"":""lc"",""txt"":""LC_ITEM_train_foodiron_buff_desc_4"",""args"":[{""typ"":""int"",""val"":24}]}")</f>
        <v>{"typ":"lc","txt":"LC_ITEM_train_foodiron_buff_desc_4","args":[{"typ":"int","val":24}]}</v>
      </c>
      <c r="L2794" s="148" t="str">
        <f>IFERROR(__xludf.DUMMYFUNCTION("""COMPUTED_VALUE"""),"{""typ"":""lc"",""txt"":""LC_ITEM_train_foodiron_buff_desc_4"",""args"":[{""typ"":""int"",""val"":24}]}")</f>
        <v>{"typ":"lc","txt":"LC_ITEM_train_foodiron_buff_desc_4","args":[{"typ":"int","val":24}]}</v>
      </c>
      <c r="M2794" s="148">
        <f>IFERROR(__xludf.DUMMYFUNCTION("""COMPUTED_VALUE"""),1500.0)</f>
        <v>1500</v>
      </c>
      <c r="N2794" s="148">
        <f>IFERROR(__xludf.DUMMYFUNCTION("""COMPUTED_VALUE"""),999999.0)</f>
        <v>999999</v>
      </c>
      <c r="O2794" s="148">
        <f>IFERROR(__xludf.DUMMYFUNCTION("""COMPUTED_VALUE"""),99999.0)</f>
        <v>99999</v>
      </c>
      <c r="P2794" s="148">
        <f>IFERROR(__xludf.DUMMYFUNCTION("""COMPUTED_VALUE"""),1.0)</f>
        <v>1</v>
      </c>
      <c r="Q2794" s="148" t="str">
        <f>IFERROR(__xludf.DUMMYFUNCTION("""COMPUTED_VALUE"""),"[""bag_buff"",""buff_city""]")</f>
        <v>["bag_buff","buff_city"]</v>
      </c>
      <c r="R2794" s="148" t="str">
        <f>IFERROR(__xludf.DUMMYFUNCTION("""COMPUTED_VALUE"""),"[""bag"",""buff_city""]")</f>
        <v>["bag","buff_city"]</v>
      </c>
      <c r="S2794" s="148" t="str">
        <f>IFERROR(__xludf.DUMMYFUNCTION("""COMPUTED_VALUE"""),"{""effect"":[{""typ"":""buff"",""id"":121141022,""val"":86400000,""arg1"":0.08}]}")</f>
        <v>{"effect":[{"typ":"buff","id":121141022,"val":86400000,"arg1":0.08}]}</v>
      </c>
      <c r="T2794" s="148">
        <f>IFERROR(__xludf.DUMMYFUNCTION("""COMPUTED_VALUE"""),-1.0)</f>
        <v>-1</v>
      </c>
      <c r="U2794" s="148">
        <f>IFERROR(__xludf.DUMMYFUNCTION("""COMPUTED_VALUE"""),1.0)</f>
        <v>1</v>
      </c>
      <c r="V2794" s="148" t="str">
        <f>IFERROR(__xludf.DUMMYFUNCTION("""COMPUTED_VALUE"""),"[]")</f>
        <v>[]</v>
      </c>
      <c r="W2794" s="148">
        <f>IFERROR(__xludf.DUMMYFUNCTION("""COMPUTED_VALUE"""),1.1741004E7)</f>
        <v>11741004</v>
      </c>
      <c r="X2794" s="148">
        <f>IFERROR(__xludf.DUMMYFUNCTION("""COMPUTED_VALUE"""),0.0)</f>
        <v>0</v>
      </c>
      <c r="Y2794" s="148">
        <f>IFERROR(__xludf.DUMMYFUNCTION("""COMPUTED_VALUE"""),0.0)</f>
        <v>0</v>
      </c>
      <c r="Z2794" s="148"/>
    </row>
    <row r="2795">
      <c r="A2795" s="148">
        <f>IFERROR(__xludf.DUMMYFUNCTION("""COMPUTED_VALUE"""),1.1119756E7)</f>
        <v>11119756</v>
      </c>
      <c r="B2795" s="148" t="str">
        <f>IFERROR(__xludf.DUMMYFUNCTION("""COMPUTED_VALUE"""),"2025万圣节挂机BP-通行证")</f>
        <v>2025万圣节挂机BP-通行证</v>
      </c>
      <c r="C2795" s="148"/>
      <c r="D2795" s="148" t="str">
        <f>IFERROR(__xludf.DUMMYFUNCTION("""COMPUTED_VALUE"""),"battle_pass_card")</f>
        <v>battle_pass_card</v>
      </c>
      <c r="E2795" s="148">
        <f>IFERROR(__xludf.DUMMYFUNCTION("""COMPUTED_VALUE"""),0.0)</f>
        <v>0</v>
      </c>
      <c r="F2795" s="148">
        <f>IFERROR(__xludf.DUMMYFUNCTION("""COMPUTED_VALUE"""),0.0)</f>
        <v>0</v>
      </c>
      <c r="G2795" s="148">
        <f>IFERROR(__xludf.DUMMYFUNCTION("""COMPUTED_VALUE"""),1.51103136E8)</f>
        <v>151103136</v>
      </c>
      <c r="H2795" s="148">
        <f>IFERROR(__xludf.DUMMYFUNCTION("""COMPUTED_VALUE"""),1.5112564E7)</f>
        <v>15112564</v>
      </c>
      <c r="I2795" s="148" t="str">
        <f>IFERROR(__xludf.DUMMYFUNCTION("""COMPUTED_VALUE"""),"{}")</f>
        <v>{}</v>
      </c>
      <c r="J2795" s="148" t="str">
        <f>IFERROR(__xludf.DUMMYFUNCTION("""COMPUTED_VALUE"""),"{""typ"":""lc"",""txt"":""LC_IAP_hallo_afk_bp_2025""}")</f>
        <v>{"typ":"lc","txt":"LC_IAP_hallo_afk_bp_2025"}</v>
      </c>
      <c r="K2795" s="148" t="str">
        <f>IFERROR(__xludf.DUMMYFUNCTION("""COMPUTED_VALUE"""),"{""typ"":""lc"",""txt"":""LC_IAP_hallo_afk_bp_2025_desc""}")</f>
        <v>{"typ":"lc","txt":"LC_IAP_hallo_afk_bp_2025_desc"}</v>
      </c>
      <c r="L2795" s="148" t="str">
        <f>IFERROR(__xludf.DUMMYFUNCTION("""COMPUTED_VALUE"""),"{}")</f>
        <v>{}</v>
      </c>
      <c r="M2795" s="148">
        <f>IFERROR(__xludf.DUMMYFUNCTION("""COMPUTED_VALUE"""),10.0)</f>
        <v>10</v>
      </c>
      <c r="N2795" s="148">
        <f>IFERROR(__xludf.DUMMYFUNCTION("""COMPUTED_VALUE"""),999999.0)</f>
        <v>999999</v>
      </c>
      <c r="O2795" s="148">
        <f>IFERROR(__xludf.DUMMYFUNCTION("""COMPUTED_VALUE"""),99999.0)</f>
        <v>99999</v>
      </c>
      <c r="P2795" s="148">
        <f>IFERROR(__xludf.DUMMYFUNCTION("""COMPUTED_VALUE"""),9999.0)</f>
        <v>9999</v>
      </c>
      <c r="Q2795" s="148" t="str">
        <f>IFERROR(__xludf.DUMMYFUNCTION("""COMPUTED_VALUE"""),"[]")</f>
        <v>[]</v>
      </c>
      <c r="R2795" s="148" t="str">
        <f>IFERROR(__xludf.DUMMYFUNCTION("""COMPUTED_VALUE"""),"[]")</f>
        <v>[]</v>
      </c>
      <c r="S2795" s="148" t="str">
        <f>IFERROR(__xludf.DUMMYFUNCTION("""COMPUTED_VALUE"""),"{}")</f>
        <v>{}</v>
      </c>
      <c r="T2795" s="148">
        <f>IFERROR(__xludf.DUMMYFUNCTION("""COMPUTED_VALUE"""),-1.0)</f>
        <v>-1</v>
      </c>
      <c r="U2795" s="148">
        <f>IFERROR(__xludf.DUMMYFUNCTION("""COMPUTED_VALUE"""),1.0)</f>
        <v>1</v>
      </c>
      <c r="V2795" s="148" t="str">
        <f>IFERROR(__xludf.DUMMYFUNCTION("""COMPUTED_VALUE"""),"[]")</f>
        <v>[]</v>
      </c>
      <c r="W2795" s="148">
        <f>IFERROR(__xludf.DUMMYFUNCTION("""COMPUTED_VALUE"""),1.174E7)</f>
        <v>11740000</v>
      </c>
      <c r="X2795" s="148">
        <f>IFERROR(__xludf.DUMMYFUNCTION("""COMPUTED_VALUE"""),0.0)</f>
        <v>0</v>
      </c>
      <c r="Y2795" s="148">
        <f>IFERROR(__xludf.DUMMYFUNCTION("""COMPUTED_VALUE"""),0.0)</f>
        <v>0</v>
      </c>
      <c r="Z2795" s="148"/>
    </row>
    <row r="2796">
      <c r="A2796" s="148">
        <f>IFERROR(__xludf.DUMMYFUNCTION("""COMPUTED_VALUE"""),1.1119757E7)</f>
        <v>11119757</v>
      </c>
      <c r="B2796" s="148" t="str">
        <f>IFERROR(__xludf.DUMMYFUNCTION("""COMPUTED_VALUE"""),"寻宝币-2025挂机BP升级道具")</f>
        <v>寻宝币-2025挂机BP升级道具</v>
      </c>
      <c r="C2796" s="148"/>
      <c r="D2796" s="148" t="str">
        <f>IFERROR(__xludf.DUMMYFUNCTION("""COMPUTED_VALUE"""),"battle_pass_exp")</f>
        <v>battle_pass_exp</v>
      </c>
      <c r="E2796" s="148">
        <f>IFERROR(__xludf.DUMMYFUNCTION("""COMPUTED_VALUE"""),0.0)</f>
        <v>0</v>
      </c>
      <c r="F2796" s="148">
        <f>IFERROR(__xludf.DUMMYFUNCTION("""COMPUTED_VALUE"""),405224.0)</f>
        <v>405224</v>
      </c>
      <c r="G2796" s="148">
        <f>IFERROR(__xludf.DUMMYFUNCTION("""COMPUTED_VALUE"""),1.51102949E8)</f>
        <v>151102949</v>
      </c>
      <c r="H2796" s="148">
        <f>IFERROR(__xludf.DUMMYFUNCTION("""COMPUTED_VALUE"""),1.5112563E7)</f>
        <v>15112563</v>
      </c>
      <c r="I2796" s="148" t="str">
        <f>IFERROR(__xludf.DUMMYFUNCTION("""COMPUTED_VALUE"""),"{}")</f>
        <v>{}</v>
      </c>
      <c r="J2796" s="148" t="str">
        <f>IFERROR(__xludf.DUMMYFUNCTION("""COMPUTED_VALUE"""),"{""typ"":""lc"",""txt"":""LC_ITEM_hallo_item_2025_name_1""}")</f>
        <v>{"typ":"lc","txt":"LC_ITEM_hallo_item_2025_name_1"}</v>
      </c>
      <c r="K2796" s="148" t="str">
        <f>IFERROR(__xludf.DUMMYFUNCTION("""COMPUTED_VALUE"""),"{""typ"":""lc"",""txt"":""LC_ITEM_hallo_item_2025_desc_1""}")</f>
        <v>{"typ":"lc","txt":"LC_ITEM_hallo_item_2025_desc_1"}</v>
      </c>
      <c r="L2796" s="148" t="str">
        <f>IFERROR(__xludf.DUMMYFUNCTION("""COMPUTED_VALUE"""),"{}")</f>
        <v>{}</v>
      </c>
      <c r="M2796" s="148">
        <f>IFERROR(__xludf.DUMMYFUNCTION("""COMPUTED_VALUE"""),35.0)</f>
        <v>35</v>
      </c>
      <c r="N2796" s="148">
        <f>IFERROR(__xludf.DUMMYFUNCTION("""COMPUTED_VALUE"""),999999.0)</f>
        <v>999999</v>
      </c>
      <c r="O2796" s="148">
        <f>IFERROR(__xludf.DUMMYFUNCTION("""COMPUTED_VALUE"""),99999.0)</f>
        <v>99999</v>
      </c>
      <c r="P2796" s="148">
        <f>IFERROR(__xludf.DUMMYFUNCTION("""COMPUTED_VALUE"""),99999.0)</f>
        <v>99999</v>
      </c>
      <c r="Q2796" s="148" t="str">
        <f>IFERROR(__xludf.DUMMYFUNCTION("""COMPUTED_VALUE"""),"[]")</f>
        <v>[]</v>
      </c>
      <c r="R2796" s="148" t="str">
        <f>IFERROR(__xludf.DUMMYFUNCTION("""COMPUTED_VALUE"""),"[]")</f>
        <v>[]</v>
      </c>
      <c r="S2796" s="148" t="str">
        <f>IFERROR(__xludf.DUMMYFUNCTION("""COMPUTED_VALUE"""),"{}")</f>
        <v>{}</v>
      </c>
      <c r="T2796" s="148">
        <f>IFERROR(__xludf.DUMMYFUNCTION("""COMPUTED_VALUE"""),-1.0)</f>
        <v>-1</v>
      </c>
      <c r="U2796" s="148">
        <f>IFERROR(__xludf.DUMMYFUNCTION("""COMPUTED_VALUE"""),0.0)</f>
        <v>0</v>
      </c>
      <c r="V2796" s="148" t="str">
        <f>IFERROR(__xludf.DUMMYFUNCTION("""COMPUTED_VALUE"""),"[]")</f>
        <v>[]</v>
      </c>
      <c r="W2796" s="148">
        <f>IFERROR(__xludf.DUMMYFUNCTION("""COMPUTED_VALUE"""),1.174E7)</f>
        <v>11740000</v>
      </c>
      <c r="X2796" s="148">
        <f>IFERROR(__xludf.DUMMYFUNCTION("""COMPUTED_VALUE"""),0.0)</f>
        <v>0</v>
      </c>
      <c r="Y2796" s="148">
        <f>IFERROR(__xludf.DUMMYFUNCTION("""COMPUTED_VALUE"""),0.0)</f>
        <v>0</v>
      </c>
      <c r="Z2796" s="148"/>
    </row>
    <row r="2797">
      <c r="A2797" s="148">
        <f>IFERROR(__xludf.DUMMYFUNCTION("""COMPUTED_VALUE"""),1.1119759E7)</f>
        <v>11119759</v>
      </c>
      <c r="B2797" s="148" t="str">
        <f>IFERROR(__xludf.DUMMYFUNCTION("""COMPUTED_VALUE"""),"狂飙拉力赛-28天-第一赛季-v68-宝箱道具-S1-2")</f>
        <v>狂飙拉力赛-28天-第一赛季-v68-宝箱道具-S1-2</v>
      </c>
      <c r="C2797" s="148"/>
      <c r="D2797" s="148" t="str">
        <f>IFERROR(__xludf.DUMMYFUNCTION("""COMPUTED_VALUE"""),"event")</f>
        <v>event</v>
      </c>
      <c r="E2797" s="148">
        <f>IFERROR(__xludf.DUMMYFUNCTION("""COMPUTED_VALUE"""),0.0)</f>
        <v>0</v>
      </c>
      <c r="F2797" s="148">
        <f>IFERROR(__xludf.DUMMYFUNCTION("""COMPUTED_VALUE"""),0.0)</f>
        <v>0</v>
      </c>
      <c r="G2797" s="148">
        <f>IFERROR(__xludf.DUMMYFUNCTION("""COMPUTED_VALUE"""),1.51103033E8)</f>
        <v>151103033</v>
      </c>
      <c r="H2797" s="148">
        <f>IFERROR(__xludf.DUMMYFUNCTION("""COMPUTED_VALUE"""),1.5112563E7)</f>
        <v>15112563</v>
      </c>
      <c r="I2797" s="148" t="str">
        <f>IFERROR(__xludf.DUMMYFUNCTION("""COMPUTED_VALUE"""),"{}")</f>
        <v>{}</v>
      </c>
      <c r="J2797" s="148" t="str">
        <f>IFERROR(__xludf.DUMMYFUNCTION("""COMPUTED_VALUE"""),"{""typ"":""lc"",""txt"":""LC_ITEM_bp28_gacha_box_name""}")</f>
        <v>{"typ":"lc","txt":"LC_ITEM_bp28_gacha_box_name"}</v>
      </c>
      <c r="K2797" s="148" t="str">
        <f>IFERROR(__xludf.DUMMYFUNCTION("""COMPUTED_VALUE"""),"{""typ"":""lc"",""txt"":""LC_ITEM_bp28_gacha_box_desc""}")</f>
        <v>{"typ":"lc","txt":"LC_ITEM_bp28_gacha_box_desc"}</v>
      </c>
      <c r="L2797" s="148" t="str">
        <f>IFERROR(__xludf.DUMMYFUNCTION("""COMPUTED_VALUE"""),"{}")</f>
        <v>{}</v>
      </c>
      <c r="M2797" s="148">
        <f>IFERROR(__xludf.DUMMYFUNCTION("""COMPUTED_VALUE"""),700.0)</f>
        <v>700</v>
      </c>
      <c r="N2797" s="148">
        <f>IFERROR(__xludf.DUMMYFUNCTION("""COMPUTED_VALUE"""),9.99999999E8)</f>
        <v>999999999</v>
      </c>
      <c r="O2797" s="148">
        <f>IFERROR(__xludf.DUMMYFUNCTION("""COMPUTED_VALUE"""),9.99999999E8)</f>
        <v>999999999</v>
      </c>
      <c r="P2797" s="148">
        <f>IFERROR(__xludf.DUMMYFUNCTION("""COMPUTED_VALUE"""),9.99999999E8)</f>
        <v>999999999</v>
      </c>
      <c r="Q2797" s="148" t="str">
        <f>IFERROR(__xludf.DUMMYFUNCTION("""COMPUTED_VALUE"""),"[""bag_other""]")</f>
        <v>["bag_other"]</v>
      </c>
      <c r="R2797" s="148" t="str">
        <f>IFERROR(__xludf.DUMMYFUNCTION("""COMPUTED_VALUE"""),"[""bag""]")</f>
        <v>["bag"]</v>
      </c>
      <c r="S2797" s="148" t="str">
        <f>IFERROR(__xludf.DUMMYFUNCTION("""COMPUTED_VALUE"""),"{""effect"":[{""typ"":""event"",""id"":21123087}]}")</f>
        <v>{"effect":[{"typ":"event","id":21123087}]}</v>
      </c>
      <c r="T2797" s="148">
        <f>IFERROR(__xludf.DUMMYFUNCTION("""COMPUTED_VALUE"""),1.0)</f>
        <v>1</v>
      </c>
      <c r="U2797" s="148">
        <f>IFERROR(__xludf.DUMMYFUNCTION("""COMPUTED_VALUE"""),0.0)</f>
        <v>0</v>
      </c>
      <c r="V2797" s="148" t="str">
        <f>IFERROR(__xludf.DUMMYFUNCTION("""COMPUTED_VALUE"""),"[]")</f>
        <v>[]</v>
      </c>
      <c r="W2797" s="148">
        <f>IFERROR(__xludf.DUMMYFUNCTION("""COMPUTED_VALUE"""),1.174E7)</f>
        <v>11740000</v>
      </c>
      <c r="X2797" s="148">
        <f>IFERROR(__xludf.DUMMYFUNCTION("""COMPUTED_VALUE"""),0.0)</f>
        <v>0</v>
      </c>
      <c r="Y2797" s="148">
        <f>IFERROR(__xludf.DUMMYFUNCTION("""COMPUTED_VALUE"""),0.0)</f>
        <v>0</v>
      </c>
      <c r="Z2797" s="148"/>
    </row>
    <row r="2798">
      <c r="A2798" s="148">
        <f>IFERROR(__xludf.DUMMYFUNCTION("""COMPUTED_VALUE"""),1.111976E7)</f>
        <v>11119760</v>
      </c>
      <c r="B2798" s="148" t="str">
        <f>IFERROR(__xludf.DUMMYFUNCTION("""COMPUTED_VALUE"""),"狂飙拉力赛-28天-第一赛季-v68-宝箱道具-S3-5")</f>
        <v>狂飙拉力赛-28天-第一赛季-v68-宝箱道具-S3-5</v>
      </c>
      <c r="C2798" s="148"/>
      <c r="D2798" s="148" t="str">
        <f>IFERROR(__xludf.DUMMYFUNCTION("""COMPUTED_VALUE"""),"event")</f>
        <v>event</v>
      </c>
      <c r="E2798" s="148">
        <f>IFERROR(__xludf.DUMMYFUNCTION("""COMPUTED_VALUE"""),0.0)</f>
        <v>0</v>
      </c>
      <c r="F2798" s="148">
        <f>IFERROR(__xludf.DUMMYFUNCTION("""COMPUTED_VALUE"""),0.0)</f>
        <v>0</v>
      </c>
      <c r="G2798" s="148">
        <f>IFERROR(__xludf.DUMMYFUNCTION("""COMPUTED_VALUE"""),1.51103033E8)</f>
        <v>151103033</v>
      </c>
      <c r="H2798" s="148">
        <f>IFERROR(__xludf.DUMMYFUNCTION("""COMPUTED_VALUE"""),1.5112563E7)</f>
        <v>15112563</v>
      </c>
      <c r="I2798" s="148" t="str">
        <f>IFERROR(__xludf.DUMMYFUNCTION("""COMPUTED_VALUE"""),"{}")</f>
        <v>{}</v>
      </c>
      <c r="J2798" s="148" t="str">
        <f>IFERROR(__xludf.DUMMYFUNCTION("""COMPUTED_VALUE"""),"{""typ"":""lc"",""txt"":""LC_ITEM_bp28_gacha_box_name""}")</f>
        <v>{"typ":"lc","txt":"LC_ITEM_bp28_gacha_box_name"}</v>
      </c>
      <c r="K2798" s="148" t="str">
        <f>IFERROR(__xludf.DUMMYFUNCTION("""COMPUTED_VALUE"""),"{""typ"":""lc"",""txt"":""LC_ITEM_bp28_gacha_box_desc""}")</f>
        <v>{"typ":"lc","txt":"LC_ITEM_bp28_gacha_box_desc"}</v>
      </c>
      <c r="L2798" s="148" t="str">
        <f>IFERROR(__xludf.DUMMYFUNCTION("""COMPUTED_VALUE"""),"{}")</f>
        <v>{}</v>
      </c>
      <c r="M2798" s="148">
        <f>IFERROR(__xludf.DUMMYFUNCTION("""COMPUTED_VALUE"""),700.0)</f>
        <v>700</v>
      </c>
      <c r="N2798" s="148">
        <f>IFERROR(__xludf.DUMMYFUNCTION("""COMPUTED_VALUE"""),9.99999999E8)</f>
        <v>999999999</v>
      </c>
      <c r="O2798" s="148">
        <f>IFERROR(__xludf.DUMMYFUNCTION("""COMPUTED_VALUE"""),9.99999999E8)</f>
        <v>999999999</v>
      </c>
      <c r="P2798" s="148">
        <f>IFERROR(__xludf.DUMMYFUNCTION("""COMPUTED_VALUE"""),9.99999999E8)</f>
        <v>999999999</v>
      </c>
      <c r="Q2798" s="148" t="str">
        <f>IFERROR(__xludf.DUMMYFUNCTION("""COMPUTED_VALUE"""),"[""bag_other""]")</f>
        <v>["bag_other"]</v>
      </c>
      <c r="R2798" s="148" t="str">
        <f>IFERROR(__xludf.DUMMYFUNCTION("""COMPUTED_VALUE"""),"[""bag""]")</f>
        <v>["bag"]</v>
      </c>
      <c r="S2798" s="148" t="str">
        <f>IFERROR(__xludf.DUMMYFUNCTION("""COMPUTED_VALUE"""),"{""effect"":[{""typ"":""event"",""id"":21123088}]}")</f>
        <v>{"effect":[{"typ":"event","id":21123088}]}</v>
      </c>
      <c r="T2798" s="148">
        <f>IFERROR(__xludf.DUMMYFUNCTION("""COMPUTED_VALUE"""),1.0)</f>
        <v>1</v>
      </c>
      <c r="U2798" s="148">
        <f>IFERROR(__xludf.DUMMYFUNCTION("""COMPUTED_VALUE"""),0.0)</f>
        <v>0</v>
      </c>
      <c r="V2798" s="148" t="str">
        <f>IFERROR(__xludf.DUMMYFUNCTION("""COMPUTED_VALUE"""),"[]")</f>
        <v>[]</v>
      </c>
      <c r="W2798" s="148">
        <f>IFERROR(__xludf.DUMMYFUNCTION("""COMPUTED_VALUE"""),1.174E7)</f>
        <v>11740000</v>
      </c>
      <c r="X2798" s="148">
        <f>IFERROR(__xludf.DUMMYFUNCTION("""COMPUTED_VALUE"""),0.0)</f>
        <v>0</v>
      </c>
      <c r="Y2798" s="148">
        <f>IFERROR(__xludf.DUMMYFUNCTION("""COMPUTED_VALUE"""),0.0)</f>
        <v>0</v>
      </c>
      <c r="Z2798" s="148"/>
    </row>
    <row r="2799">
      <c r="A2799" s="148">
        <f>IFERROR(__xludf.DUMMYFUNCTION("""COMPUTED_VALUE"""),1.1119761E7)</f>
        <v>11119761</v>
      </c>
      <c r="B2799" s="148" t="str">
        <f>IFERROR(__xludf.DUMMYFUNCTION("""COMPUTED_VALUE"""),"狂飙拉力赛-28天-第一赛季-v68-宝箱道具-S3-5-废弃")</f>
        <v>狂飙拉力赛-28天-第一赛季-v68-宝箱道具-S3-5-废弃</v>
      </c>
      <c r="C2799" s="148"/>
      <c r="D2799" s="148" t="str">
        <f>IFERROR(__xludf.DUMMYFUNCTION("""COMPUTED_VALUE"""),"event")</f>
        <v>event</v>
      </c>
      <c r="E2799" s="148">
        <f>IFERROR(__xludf.DUMMYFUNCTION("""COMPUTED_VALUE"""),0.0)</f>
        <v>0</v>
      </c>
      <c r="F2799" s="148">
        <f>IFERROR(__xludf.DUMMYFUNCTION("""COMPUTED_VALUE"""),0.0)</f>
        <v>0</v>
      </c>
      <c r="G2799" s="148">
        <f>IFERROR(__xludf.DUMMYFUNCTION("""COMPUTED_VALUE"""),1.51103033E8)</f>
        <v>151103033</v>
      </c>
      <c r="H2799" s="148">
        <f>IFERROR(__xludf.DUMMYFUNCTION("""COMPUTED_VALUE"""),1.5112563E7)</f>
        <v>15112563</v>
      </c>
      <c r="I2799" s="148" t="str">
        <f>IFERROR(__xludf.DUMMYFUNCTION("""COMPUTED_VALUE"""),"{}")</f>
        <v>{}</v>
      </c>
      <c r="J2799" s="148" t="str">
        <f>IFERROR(__xludf.DUMMYFUNCTION("""COMPUTED_VALUE"""),"{""typ"":""lc"",""txt"":""LC_ITEM_bp28_gacha_box_name""}")</f>
        <v>{"typ":"lc","txt":"LC_ITEM_bp28_gacha_box_name"}</v>
      </c>
      <c r="K2799" s="148" t="str">
        <f>IFERROR(__xludf.DUMMYFUNCTION("""COMPUTED_VALUE"""),"{""typ"":""lc"",""txt"":""LC_ITEM_bp28_gacha_box_desc""}")</f>
        <v>{"typ":"lc","txt":"LC_ITEM_bp28_gacha_box_desc"}</v>
      </c>
      <c r="L2799" s="148" t="str">
        <f>IFERROR(__xludf.DUMMYFUNCTION("""COMPUTED_VALUE"""),"{}")</f>
        <v>{}</v>
      </c>
      <c r="M2799" s="148">
        <f>IFERROR(__xludf.DUMMYFUNCTION("""COMPUTED_VALUE"""),700.0)</f>
        <v>700</v>
      </c>
      <c r="N2799" s="148">
        <f>IFERROR(__xludf.DUMMYFUNCTION("""COMPUTED_VALUE"""),9.99999999E8)</f>
        <v>999999999</v>
      </c>
      <c r="O2799" s="148">
        <f>IFERROR(__xludf.DUMMYFUNCTION("""COMPUTED_VALUE"""),9.99999999E8)</f>
        <v>999999999</v>
      </c>
      <c r="P2799" s="148">
        <f>IFERROR(__xludf.DUMMYFUNCTION("""COMPUTED_VALUE"""),9.99999999E8)</f>
        <v>999999999</v>
      </c>
      <c r="Q2799" s="148" t="str">
        <f>IFERROR(__xludf.DUMMYFUNCTION("""COMPUTED_VALUE"""),"[""bag_other""]")</f>
        <v>["bag_other"]</v>
      </c>
      <c r="R2799" s="148" t="str">
        <f>IFERROR(__xludf.DUMMYFUNCTION("""COMPUTED_VALUE"""),"[""bag""]")</f>
        <v>["bag"]</v>
      </c>
      <c r="S2799" s="148" t="str">
        <f>IFERROR(__xludf.DUMMYFUNCTION("""COMPUTED_VALUE"""),"{""effect"":[{""typ"":""event"",""id"":21123089}]}")</f>
        <v>{"effect":[{"typ":"event","id":21123089}]}</v>
      </c>
      <c r="T2799" s="148">
        <f>IFERROR(__xludf.DUMMYFUNCTION("""COMPUTED_VALUE"""),1.0)</f>
        <v>1</v>
      </c>
      <c r="U2799" s="148">
        <f>IFERROR(__xludf.DUMMYFUNCTION("""COMPUTED_VALUE"""),0.0)</f>
        <v>0</v>
      </c>
      <c r="V2799" s="148" t="str">
        <f>IFERROR(__xludf.DUMMYFUNCTION("""COMPUTED_VALUE"""),"[]")</f>
        <v>[]</v>
      </c>
      <c r="W2799" s="148">
        <f>IFERROR(__xludf.DUMMYFUNCTION("""COMPUTED_VALUE"""),1.174E7)</f>
        <v>11740000</v>
      </c>
      <c r="X2799" s="148">
        <f>IFERROR(__xludf.DUMMYFUNCTION("""COMPUTED_VALUE"""),0.0)</f>
        <v>0</v>
      </c>
      <c r="Y2799" s="148">
        <f>IFERROR(__xludf.DUMMYFUNCTION("""COMPUTED_VALUE"""),0.0)</f>
        <v>0</v>
      </c>
      <c r="Z2799" s="148"/>
    </row>
    <row r="2800">
      <c r="A2800" s="148">
        <f>IFERROR(__xludf.DUMMYFUNCTION("""COMPUTED_VALUE"""),1.1119762E7)</f>
        <v>11119762</v>
      </c>
      <c r="B2800" s="148" t="str">
        <f>IFERROR(__xludf.DUMMYFUNCTION("""COMPUTED_VALUE"""),"狂飙拉力赛-28天-第一赛季-v68-宝箱道具-S6")</f>
        <v>狂飙拉力赛-28天-第一赛季-v68-宝箱道具-S6</v>
      </c>
      <c r="C2800" s="148"/>
      <c r="D2800" s="148" t="str">
        <f>IFERROR(__xludf.DUMMYFUNCTION("""COMPUTED_VALUE"""),"event")</f>
        <v>event</v>
      </c>
      <c r="E2800" s="148">
        <f>IFERROR(__xludf.DUMMYFUNCTION("""COMPUTED_VALUE"""),0.0)</f>
        <v>0</v>
      </c>
      <c r="F2800" s="148">
        <f>IFERROR(__xludf.DUMMYFUNCTION("""COMPUTED_VALUE"""),0.0)</f>
        <v>0</v>
      </c>
      <c r="G2800" s="148">
        <f>IFERROR(__xludf.DUMMYFUNCTION("""COMPUTED_VALUE"""),1.51103033E8)</f>
        <v>151103033</v>
      </c>
      <c r="H2800" s="148">
        <f>IFERROR(__xludf.DUMMYFUNCTION("""COMPUTED_VALUE"""),1.5112563E7)</f>
        <v>15112563</v>
      </c>
      <c r="I2800" s="148" t="str">
        <f>IFERROR(__xludf.DUMMYFUNCTION("""COMPUTED_VALUE"""),"{}")</f>
        <v>{}</v>
      </c>
      <c r="J2800" s="148" t="str">
        <f>IFERROR(__xludf.DUMMYFUNCTION("""COMPUTED_VALUE"""),"{""typ"":""lc"",""txt"":""LC_ITEM_bp28_gacha_box_name""}")</f>
        <v>{"typ":"lc","txt":"LC_ITEM_bp28_gacha_box_name"}</v>
      </c>
      <c r="K2800" s="148" t="str">
        <f>IFERROR(__xludf.DUMMYFUNCTION("""COMPUTED_VALUE"""),"{""typ"":""lc"",""txt"":""LC_ITEM_bp28_gacha_box_desc""}")</f>
        <v>{"typ":"lc","txt":"LC_ITEM_bp28_gacha_box_desc"}</v>
      </c>
      <c r="L2800" s="148" t="str">
        <f>IFERROR(__xludf.DUMMYFUNCTION("""COMPUTED_VALUE"""),"{}")</f>
        <v>{}</v>
      </c>
      <c r="M2800" s="148">
        <f>IFERROR(__xludf.DUMMYFUNCTION("""COMPUTED_VALUE"""),700.0)</f>
        <v>700</v>
      </c>
      <c r="N2800" s="148">
        <f>IFERROR(__xludf.DUMMYFUNCTION("""COMPUTED_VALUE"""),9.99999999E8)</f>
        <v>999999999</v>
      </c>
      <c r="O2800" s="148">
        <f>IFERROR(__xludf.DUMMYFUNCTION("""COMPUTED_VALUE"""),9.99999999E8)</f>
        <v>999999999</v>
      </c>
      <c r="P2800" s="148">
        <f>IFERROR(__xludf.DUMMYFUNCTION("""COMPUTED_VALUE"""),9.99999999E8)</f>
        <v>999999999</v>
      </c>
      <c r="Q2800" s="148" t="str">
        <f>IFERROR(__xludf.DUMMYFUNCTION("""COMPUTED_VALUE"""),"[""bag_other""]")</f>
        <v>["bag_other"]</v>
      </c>
      <c r="R2800" s="148" t="str">
        <f>IFERROR(__xludf.DUMMYFUNCTION("""COMPUTED_VALUE"""),"[""bag""]")</f>
        <v>["bag"]</v>
      </c>
      <c r="S2800" s="148" t="str">
        <f>IFERROR(__xludf.DUMMYFUNCTION("""COMPUTED_VALUE"""),"{""effect"":[{""typ"":""event"",""id"":21123090}]}")</f>
        <v>{"effect":[{"typ":"event","id":21123090}]}</v>
      </c>
      <c r="T2800" s="148">
        <f>IFERROR(__xludf.DUMMYFUNCTION("""COMPUTED_VALUE"""),1.0)</f>
        <v>1</v>
      </c>
      <c r="U2800" s="148">
        <f>IFERROR(__xludf.DUMMYFUNCTION("""COMPUTED_VALUE"""),0.0)</f>
        <v>0</v>
      </c>
      <c r="V2800" s="148" t="str">
        <f>IFERROR(__xludf.DUMMYFUNCTION("""COMPUTED_VALUE"""),"[]")</f>
        <v>[]</v>
      </c>
      <c r="W2800" s="148">
        <f>IFERROR(__xludf.DUMMYFUNCTION("""COMPUTED_VALUE"""),1.174E7)</f>
        <v>11740000</v>
      </c>
      <c r="X2800" s="148">
        <f>IFERROR(__xludf.DUMMYFUNCTION("""COMPUTED_VALUE"""),0.0)</f>
        <v>0</v>
      </c>
      <c r="Y2800" s="148">
        <f>IFERROR(__xludf.DUMMYFUNCTION("""COMPUTED_VALUE"""),0.0)</f>
        <v>0</v>
      </c>
      <c r="Z2800" s="148"/>
    </row>
    <row r="2801">
      <c r="A2801" s="148">
        <f>IFERROR(__xludf.DUMMYFUNCTION("""COMPUTED_VALUE"""),1.1119763E7)</f>
        <v>11119763</v>
      </c>
      <c r="B2801" s="148" t="str">
        <f>IFERROR(__xludf.DUMMYFUNCTION("""COMPUTED_VALUE"""),"狂飙拉力赛-28天-gacha道具")</f>
        <v>狂飙拉力赛-28天-gacha道具</v>
      </c>
      <c r="C2801" s="148"/>
      <c r="D2801" s="148" t="str">
        <f>IFERROR(__xludf.DUMMYFUNCTION("""COMPUTED_VALUE"""),"event")</f>
        <v>event</v>
      </c>
      <c r="E2801" s="148">
        <f>IFERROR(__xludf.DUMMYFUNCTION("""COMPUTED_VALUE"""),0.0)</f>
        <v>0</v>
      </c>
      <c r="F2801" s="148">
        <f>IFERROR(__xludf.DUMMYFUNCTION("""COMPUTED_VALUE"""),0.0)</f>
        <v>0</v>
      </c>
      <c r="G2801" s="148">
        <f>IFERROR(__xludf.DUMMYFUNCTION("""COMPUTED_VALUE"""),1.51103032E8)</f>
        <v>151103032</v>
      </c>
      <c r="H2801" s="148">
        <f>IFERROR(__xludf.DUMMYFUNCTION("""COMPUTED_VALUE"""),1.5112563E7)</f>
        <v>15112563</v>
      </c>
      <c r="I2801" s="148" t="str">
        <f>IFERROR(__xludf.DUMMYFUNCTION("""COMPUTED_VALUE"""),"{}")</f>
        <v>{}</v>
      </c>
      <c r="J2801" s="148" t="str">
        <f>IFERROR(__xludf.DUMMYFUNCTION("""COMPUTED_VALUE"""),"{""typ"":""lc"",""txt"":""LC_ITEM_bp28_gacha_key_name""}")</f>
        <v>{"typ":"lc","txt":"LC_ITEM_bp28_gacha_key_name"}</v>
      </c>
      <c r="K2801" s="148" t="str">
        <f>IFERROR(__xludf.DUMMYFUNCTION("""COMPUTED_VALUE"""),"{""typ"":""lc"",""txt"":""LC_ITEM_bp28_gacha_desc""}")</f>
        <v>{"typ":"lc","txt":"LC_ITEM_bp28_gacha_desc"}</v>
      </c>
      <c r="L2801" s="148" t="str">
        <f>IFERROR(__xludf.DUMMYFUNCTION("""COMPUTED_VALUE"""),"{}")</f>
        <v>{}</v>
      </c>
      <c r="M2801" s="148">
        <f>IFERROR(__xludf.DUMMYFUNCTION("""COMPUTED_VALUE"""),700.0)</f>
        <v>700</v>
      </c>
      <c r="N2801" s="148">
        <f>IFERROR(__xludf.DUMMYFUNCTION("""COMPUTED_VALUE"""),9.99999999E8)</f>
        <v>999999999</v>
      </c>
      <c r="O2801" s="148">
        <f>IFERROR(__xludf.DUMMYFUNCTION("""COMPUTED_VALUE"""),9.99999999E8)</f>
        <v>999999999</v>
      </c>
      <c r="P2801" s="148">
        <f>IFERROR(__xludf.DUMMYFUNCTION("""COMPUTED_VALUE"""),9.99999999E8)</f>
        <v>999999999</v>
      </c>
      <c r="Q2801" s="148" t="str">
        <f>IFERROR(__xludf.DUMMYFUNCTION("""COMPUTED_VALUE"""),"[""bag_other""]")</f>
        <v>["bag_other"]</v>
      </c>
      <c r="R2801" s="148" t="str">
        <f>IFERROR(__xludf.DUMMYFUNCTION("""COMPUTED_VALUE"""),"[""bag""]")</f>
        <v>["bag"]</v>
      </c>
      <c r="S2801" s="148" t="str">
        <f>IFERROR(__xludf.DUMMYFUNCTION("""COMPUTED_VALUE"""),"{""effect"":[{""typ"":""event"",""id"":21122190}]}")</f>
        <v>{"effect":[{"typ":"event","id":21122190}]}</v>
      </c>
      <c r="T2801" s="148">
        <f>IFERROR(__xludf.DUMMYFUNCTION("""COMPUTED_VALUE"""),1.0)</f>
        <v>1</v>
      </c>
      <c r="U2801" s="148">
        <f>IFERROR(__xludf.DUMMYFUNCTION("""COMPUTED_VALUE"""),0.0)</f>
        <v>0</v>
      </c>
      <c r="V2801" s="148" t="str">
        <f>IFERROR(__xludf.DUMMYFUNCTION("""COMPUTED_VALUE"""),"[]")</f>
        <v>[]</v>
      </c>
      <c r="W2801" s="148">
        <f>IFERROR(__xludf.DUMMYFUNCTION("""COMPUTED_VALUE"""),1.174E7)</f>
        <v>11740000</v>
      </c>
      <c r="X2801" s="148">
        <f>IFERROR(__xludf.DUMMYFUNCTION("""COMPUTED_VALUE"""),0.0)</f>
        <v>0</v>
      </c>
      <c r="Y2801" s="148">
        <f>IFERROR(__xludf.DUMMYFUNCTION("""COMPUTED_VALUE"""),0.0)</f>
        <v>0</v>
      </c>
      <c r="Z2801" s="148"/>
    </row>
    <row r="2802">
      <c r="A2802" s="148">
        <f>IFERROR(__xludf.DUMMYFUNCTION("""COMPUTED_VALUE"""),1.1119764E7)</f>
        <v>11119764</v>
      </c>
      <c r="B2802" s="148" t="str">
        <f>IFERROR(__xludf.DUMMYFUNCTION("""COMPUTED_VALUE"""),"万圣节2025-主城特效")</f>
        <v>万圣节2025-主城特效</v>
      </c>
      <c r="C2802" s="148"/>
      <c r="D2802" s="148" t="str">
        <f>IFERROR(__xludf.DUMMYFUNCTION("""COMPUTED_VALUE"""),"city_effect")</f>
        <v>city_effect</v>
      </c>
      <c r="E2802" s="148">
        <f>IFERROR(__xludf.DUMMYFUNCTION("""COMPUTED_VALUE"""),0.0)</f>
        <v>0</v>
      </c>
      <c r="F2802" s="148">
        <f>IFERROR(__xludf.DUMMYFUNCTION("""COMPUTED_VALUE"""),405217.0)</f>
        <v>405217</v>
      </c>
      <c r="G2802" s="148">
        <f>IFERROR(__xludf.DUMMYFUNCTION("""COMPUTED_VALUE"""),1.51103034E8)</f>
        <v>151103034</v>
      </c>
      <c r="H2802" s="148">
        <f>IFERROR(__xludf.DUMMYFUNCTION("""COMPUTED_VALUE"""),1.5112564E7)</f>
        <v>15112564</v>
      </c>
      <c r="I2802" s="148" t="str">
        <f>IFERROR(__xludf.DUMMYFUNCTION("""COMPUTED_VALUE"""),"{}")</f>
        <v>{}</v>
      </c>
      <c r="J2802" s="148" t="str">
        <f>IFERROR(__xludf.DUMMYFUNCTION("""COMPUTED_VALUE"""),"{""typ"":""lc"",""txt"":""LC_ITEM_2025hallo_city_effect_name""}")</f>
        <v>{"typ":"lc","txt":"LC_ITEM_2025hallo_city_effect_name"}</v>
      </c>
      <c r="K2802" s="148" t="str">
        <f>IFERROR(__xludf.DUMMYFUNCTION("""COMPUTED_VALUE"""),"{""typ"":""lc"",""txt"":""LC_ITEM_2025hallo_city_effect_name_desc""}")</f>
        <v>{"typ":"lc","txt":"LC_ITEM_2025hallo_city_effect_name_desc"}</v>
      </c>
      <c r="L2802" s="148" t="str">
        <f>IFERROR(__xludf.DUMMYFUNCTION("""COMPUTED_VALUE"""),"{}")</f>
        <v>{}</v>
      </c>
      <c r="M2802" s="148">
        <f>IFERROR(__xludf.DUMMYFUNCTION("""COMPUTED_VALUE"""),10000.0)</f>
        <v>10000</v>
      </c>
      <c r="N2802" s="148">
        <f>IFERROR(__xludf.DUMMYFUNCTION("""COMPUTED_VALUE"""),999999.0)</f>
        <v>999999</v>
      </c>
      <c r="O2802" s="148">
        <f>IFERROR(__xludf.DUMMYFUNCTION("""COMPUTED_VALUE"""),99999.0)</f>
        <v>99999</v>
      </c>
      <c r="P2802" s="148">
        <f>IFERROR(__xludf.DUMMYFUNCTION("""COMPUTED_VALUE"""),1.0)</f>
        <v>1</v>
      </c>
      <c r="Q2802" s="148" t="str">
        <f>IFERROR(__xludf.DUMMYFUNCTION("""COMPUTED_VALUE"""),"[""bag_other""]")</f>
        <v>["bag_other"]</v>
      </c>
      <c r="R2802" s="148" t="str">
        <f>IFERROR(__xludf.DUMMYFUNCTION("""COMPUTED_VALUE"""),"[""bag"",""13871013""]")</f>
        <v>["bag","13871013"]</v>
      </c>
      <c r="S2802" s="148" t="str">
        <f>IFERROR(__xludf.DUMMYFUNCTION("""COMPUTED_VALUE"""),"{""effect"":[{""typ"":""city_effect"",""id"":13871013,""val"":-1},{""typ"":""item"",""id"":11111034,""val"":10}]}")</f>
        <v>{"effect":[{"typ":"city_effect","id":13871013,"val":-1},{"typ":"item","id":11111034,"val":10}]}</v>
      </c>
      <c r="T2802" s="148">
        <f>IFERROR(__xludf.DUMMYFUNCTION("""COMPUTED_VALUE"""),-1.0)</f>
        <v>-1</v>
      </c>
      <c r="U2802" s="148">
        <f>IFERROR(__xludf.DUMMYFUNCTION("""COMPUTED_VALUE"""),0.0)</f>
        <v>0</v>
      </c>
      <c r="V2802" s="148" t="str">
        <f>IFERROR(__xludf.DUMMYFUNCTION("""COMPUTED_VALUE"""),"[]")</f>
        <v>[]</v>
      </c>
      <c r="W2802" s="148">
        <f>IFERROR(__xludf.DUMMYFUNCTION("""COMPUTED_VALUE"""),1.174E7)</f>
        <v>11740000</v>
      </c>
      <c r="X2802" s="148">
        <f>IFERROR(__xludf.DUMMYFUNCTION("""COMPUTED_VALUE"""),0.0)</f>
        <v>0</v>
      </c>
      <c r="Y2802" s="148">
        <f>IFERROR(__xludf.DUMMYFUNCTION("""COMPUTED_VALUE"""),0.0)</f>
        <v>0</v>
      </c>
      <c r="Z2802" s="148"/>
    </row>
    <row r="2803">
      <c r="A2803" s="148">
        <f>IFERROR(__xludf.DUMMYFUNCTION("""COMPUTED_VALUE"""),1.1119765E7)</f>
        <v>11119765</v>
      </c>
      <c r="B2803" s="148" t="str">
        <f>IFERROR(__xludf.DUMMYFUNCTION("""COMPUTED_VALUE"""),"2025万圣节行军特效-南瓜恶作剧-1天限时")</f>
        <v>2025万圣节行军特效-南瓜恶作剧-1天限时</v>
      </c>
      <c r="C2803" s="148"/>
      <c r="D2803" s="148" t="str">
        <f>IFERROR(__xludf.DUMMYFUNCTION("""COMPUTED_VALUE"""),"marching_effect")</f>
        <v>marching_effect</v>
      </c>
      <c r="E2803" s="148">
        <f>IFERROR(__xludf.DUMMYFUNCTION("""COMPUTED_VALUE"""),0.0)</f>
        <v>0</v>
      </c>
      <c r="F2803" s="148">
        <f>IFERROR(__xludf.DUMMYFUNCTION("""COMPUTED_VALUE"""),408200.0)</f>
        <v>408200</v>
      </c>
      <c r="G2803" s="148">
        <f>IFERROR(__xludf.DUMMYFUNCTION("""COMPUTED_VALUE"""),1.51103083E8)</f>
        <v>151103083</v>
      </c>
      <c r="H2803" s="148">
        <f>IFERROR(__xludf.DUMMYFUNCTION("""COMPUTED_VALUE"""),1.511256E7)</f>
        <v>15112560</v>
      </c>
      <c r="I2803" s="148" t="str">
        <f>IFERROR(__xludf.DUMMYFUNCTION("""COMPUTED_VALUE"""),"{""typ"":""lc"",""txt"":""LC_ITEM_time_day_upper_show"",""args"":[{""typ"":""int_unit"",""val"":1}]}")</f>
        <v>{"typ":"lc","txt":"LC_ITEM_time_day_upper_show","args":[{"typ":"int_unit","val":1}]}</v>
      </c>
      <c r="J2803" s="148" t="str">
        <f>IFERROR(__xludf.DUMMYFUNCTION("""COMPUTED_VALUE"""),"{""typ"":""lc"",""txt"":""LC_ITEM_hallo_marcheffect_high_2025""}")</f>
        <v>{"typ":"lc","txt":"LC_ITEM_hallo_marcheffect_high_2025"}</v>
      </c>
      <c r="K2803" s="148" t="str">
        <f>IFERROR(__xludf.DUMMYFUNCTION("""COMPUTED_VALUE"""),"{""typ"":""lc"",""txt"":""LC_ITEM_hallo_marcheffect_high_2025_desc""}")</f>
        <v>{"typ":"lc","txt":"LC_ITEM_hallo_marcheffect_high_2025_desc"}</v>
      </c>
      <c r="L2803" s="148" t="str">
        <f>IFERROR(__xludf.DUMMYFUNCTION("""COMPUTED_VALUE"""),"{""typ"":""lc"",""txt"":""LC_ITEM_march_effect_use_tip_all""}")</f>
        <v>{"typ":"lc","txt":"LC_ITEM_march_effect_use_tip_all"}</v>
      </c>
      <c r="M2803" s="148">
        <f>IFERROR(__xludf.DUMMYFUNCTION("""COMPUTED_VALUE"""),50.0)</f>
        <v>50</v>
      </c>
      <c r="N2803" s="148">
        <f>IFERROR(__xludf.DUMMYFUNCTION("""COMPUTED_VALUE"""),999999.0)</f>
        <v>999999</v>
      </c>
      <c r="O2803" s="148">
        <f>IFERROR(__xludf.DUMMYFUNCTION("""COMPUTED_VALUE"""),99999.0)</f>
        <v>99999</v>
      </c>
      <c r="P2803" s="148">
        <f>IFERROR(__xludf.DUMMYFUNCTION("""COMPUTED_VALUE"""),1.0)</f>
        <v>1</v>
      </c>
      <c r="Q2803" s="148" t="str">
        <f>IFERROR(__xludf.DUMMYFUNCTION("""COMPUTED_VALUE"""),"[""bag_other""]")</f>
        <v>["bag_other"]</v>
      </c>
      <c r="R2803" s="148" t="str">
        <f>IFERROR(__xludf.DUMMYFUNCTION("""COMPUTED_VALUE"""),"[""bag"",""13650144""]")</f>
        <v>["bag","13650144"]</v>
      </c>
      <c r="S2803" s="148" t="str">
        <f>IFERROR(__xludf.DUMMYFUNCTION("""COMPUTED_VALUE"""),"{""effect"":[{""typ"":""marching_effect"",""id"":13650144,""val"":86400000},{""typ"":""vm"",""id"":11151001,""val"":50}]}")</f>
        <v>{"effect":[{"typ":"marching_effect","id":13650144,"val":86400000},{"typ":"vm","id":11151001,"val":50}]}</v>
      </c>
      <c r="T2803" s="148">
        <f>IFERROR(__xludf.DUMMYFUNCTION("""COMPUTED_VALUE"""),-1.0)</f>
        <v>-1</v>
      </c>
      <c r="U2803" s="148">
        <f>IFERROR(__xludf.DUMMYFUNCTION("""COMPUTED_VALUE"""),0.0)</f>
        <v>0</v>
      </c>
      <c r="V2803" s="148" t="str">
        <f>IFERROR(__xludf.DUMMYFUNCTION("""COMPUTED_VALUE"""),"[]")</f>
        <v>[]</v>
      </c>
      <c r="W2803" s="148">
        <f>IFERROR(__xludf.DUMMYFUNCTION("""COMPUTED_VALUE"""),1.174E7)</f>
        <v>11740000</v>
      </c>
      <c r="X2803" s="148">
        <f>IFERROR(__xludf.DUMMYFUNCTION("""COMPUTED_VALUE"""),0.0)</f>
        <v>0</v>
      </c>
      <c r="Y2803" s="148">
        <f>IFERROR(__xludf.DUMMYFUNCTION("""COMPUTED_VALUE"""),0.0)</f>
        <v>0</v>
      </c>
      <c r="Z2803" s="148"/>
    </row>
    <row r="2804">
      <c r="A2804" s="148">
        <f>IFERROR(__xludf.DUMMYFUNCTION("""COMPUTED_VALUE"""),1.1119766E7)</f>
        <v>11119766</v>
      </c>
      <c r="B2804" s="148" t="str">
        <f>IFERROR(__xludf.DUMMYFUNCTION("""COMPUTED_VALUE"""),"2025万圣节行军特效-南瓜恶作剧-3天限时")</f>
        <v>2025万圣节行军特效-南瓜恶作剧-3天限时</v>
      </c>
      <c r="C2804" s="148"/>
      <c r="D2804" s="148" t="str">
        <f>IFERROR(__xludf.DUMMYFUNCTION("""COMPUTED_VALUE"""),"marching_effect")</f>
        <v>marching_effect</v>
      </c>
      <c r="E2804" s="148">
        <f>IFERROR(__xludf.DUMMYFUNCTION("""COMPUTED_VALUE"""),0.0)</f>
        <v>0</v>
      </c>
      <c r="F2804" s="148">
        <f>IFERROR(__xludf.DUMMYFUNCTION("""COMPUTED_VALUE"""),408199.0)</f>
        <v>408199</v>
      </c>
      <c r="G2804" s="148">
        <f>IFERROR(__xludf.DUMMYFUNCTION("""COMPUTED_VALUE"""),1.51103083E8)</f>
        <v>151103083</v>
      </c>
      <c r="H2804" s="148">
        <f>IFERROR(__xludf.DUMMYFUNCTION("""COMPUTED_VALUE"""),1.5112561E7)</f>
        <v>15112561</v>
      </c>
      <c r="I2804" s="148" t="str">
        <f>IFERROR(__xludf.DUMMYFUNCTION("""COMPUTED_VALUE"""),"{""typ"":""lc"",""txt"":""LC_ITEM_time_day_upper_show"",""args"":[{""typ"":""int_unit"",""val"":3}]}")</f>
        <v>{"typ":"lc","txt":"LC_ITEM_time_day_upper_show","args":[{"typ":"int_unit","val":3}]}</v>
      </c>
      <c r="J2804" s="148" t="str">
        <f>IFERROR(__xludf.DUMMYFUNCTION("""COMPUTED_VALUE"""),"{""typ"":""lc"",""txt"":""LC_ITEM_hallo_marcheffect_high_2025""}")</f>
        <v>{"typ":"lc","txt":"LC_ITEM_hallo_marcheffect_high_2025"}</v>
      </c>
      <c r="K2804" s="148" t="str">
        <f>IFERROR(__xludf.DUMMYFUNCTION("""COMPUTED_VALUE"""),"{""typ"":""lc"",""txt"":""LC_ITEM_hallo_marcheffect_high_2025_desc""}")</f>
        <v>{"typ":"lc","txt":"LC_ITEM_hallo_marcheffect_high_2025_desc"}</v>
      </c>
      <c r="L2804" s="148" t="str">
        <f>IFERROR(__xludf.DUMMYFUNCTION("""COMPUTED_VALUE"""),"{""typ"":""lc"",""txt"":""LC_ITEM_march_effect_use_tip_all""}")</f>
        <v>{"typ":"lc","txt":"LC_ITEM_march_effect_use_tip_all"}</v>
      </c>
      <c r="M2804" s="148">
        <f>IFERROR(__xludf.DUMMYFUNCTION("""COMPUTED_VALUE"""),200.0)</f>
        <v>200</v>
      </c>
      <c r="N2804" s="148">
        <f>IFERROR(__xludf.DUMMYFUNCTION("""COMPUTED_VALUE"""),999999.0)</f>
        <v>999999</v>
      </c>
      <c r="O2804" s="148">
        <f>IFERROR(__xludf.DUMMYFUNCTION("""COMPUTED_VALUE"""),99999.0)</f>
        <v>99999</v>
      </c>
      <c r="P2804" s="148">
        <f>IFERROR(__xludf.DUMMYFUNCTION("""COMPUTED_VALUE"""),1.0)</f>
        <v>1</v>
      </c>
      <c r="Q2804" s="148" t="str">
        <f>IFERROR(__xludf.DUMMYFUNCTION("""COMPUTED_VALUE"""),"[""bag_other""]")</f>
        <v>["bag_other"]</v>
      </c>
      <c r="R2804" s="148" t="str">
        <f>IFERROR(__xludf.DUMMYFUNCTION("""COMPUTED_VALUE"""),"[""bag"",""13650144""]")</f>
        <v>["bag","13650144"]</v>
      </c>
      <c r="S2804" s="148" t="str">
        <f>IFERROR(__xludf.DUMMYFUNCTION("""COMPUTED_VALUE"""),"{""effect"":[{""typ"":""marching_effect"",""id"":13650144,""val"":259200000},{""typ"":""vm"",""id"":11151001,""val"":200}]}")</f>
        <v>{"effect":[{"typ":"marching_effect","id":13650144,"val":259200000},{"typ":"vm","id":11151001,"val":200}]}</v>
      </c>
      <c r="T2804" s="148">
        <f>IFERROR(__xludf.DUMMYFUNCTION("""COMPUTED_VALUE"""),-1.0)</f>
        <v>-1</v>
      </c>
      <c r="U2804" s="148">
        <f>IFERROR(__xludf.DUMMYFUNCTION("""COMPUTED_VALUE"""),0.0)</f>
        <v>0</v>
      </c>
      <c r="V2804" s="148" t="str">
        <f>IFERROR(__xludf.DUMMYFUNCTION("""COMPUTED_VALUE"""),"[]")</f>
        <v>[]</v>
      </c>
      <c r="W2804" s="148">
        <f>IFERROR(__xludf.DUMMYFUNCTION("""COMPUTED_VALUE"""),1.174E7)</f>
        <v>11740000</v>
      </c>
      <c r="X2804" s="148">
        <f>IFERROR(__xludf.DUMMYFUNCTION("""COMPUTED_VALUE"""),0.0)</f>
        <v>0</v>
      </c>
      <c r="Y2804" s="148">
        <f>IFERROR(__xludf.DUMMYFUNCTION("""COMPUTED_VALUE"""),0.0)</f>
        <v>0</v>
      </c>
      <c r="Z2804" s="148"/>
    </row>
    <row r="2805">
      <c r="A2805" s="148">
        <f>IFERROR(__xludf.DUMMYFUNCTION("""COMPUTED_VALUE"""),1.1119767E7)</f>
        <v>11119767</v>
      </c>
      <c r="B2805" s="148" t="str">
        <f>IFERROR(__xludf.DUMMYFUNCTION("""COMPUTED_VALUE"""),"2025万圣节行军特效-南瓜恶作剧-7天限时")</f>
        <v>2025万圣节行军特效-南瓜恶作剧-7天限时</v>
      </c>
      <c r="C2805" s="148"/>
      <c r="D2805" s="148" t="str">
        <f>IFERROR(__xludf.DUMMYFUNCTION("""COMPUTED_VALUE"""),"marching_effect")</f>
        <v>marching_effect</v>
      </c>
      <c r="E2805" s="148">
        <f>IFERROR(__xludf.DUMMYFUNCTION("""COMPUTED_VALUE"""),0.0)</f>
        <v>0</v>
      </c>
      <c r="F2805" s="148">
        <f>IFERROR(__xludf.DUMMYFUNCTION("""COMPUTED_VALUE"""),408198.0)</f>
        <v>408198</v>
      </c>
      <c r="G2805" s="148">
        <f>IFERROR(__xludf.DUMMYFUNCTION("""COMPUTED_VALUE"""),1.51103083E8)</f>
        <v>151103083</v>
      </c>
      <c r="H2805" s="148">
        <f>IFERROR(__xludf.DUMMYFUNCTION("""COMPUTED_VALUE"""),1.5112562E7)</f>
        <v>15112562</v>
      </c>
      <c r="I2805" s="148" t="str">
        <f>IFERROR(__xludf.DUMMYFUNCTION("""COMPUTED_VALUE"""),"{""typ"":""lc"",""txt"":""LC_ITEM_time_day_upper_show"",""args"":[{""typ"":""int_unit"",""val"":7}]}")</f>
        <v>{"typ":"lc","txt":"LC_ITEM_time_day_upper_show","args":[{"typ":"int_unit","val":7}]}</v>
      </c>
      <c r="J2805" s="148" t="str">
        <f>IFERROR(__xludf.DUMMYFUNCTION("""COMPUTED_VALUE"""),"{""typ"":""lc"",""txt"":""LC_ITEM_hallo_marcheffect_high_2025""}")</f>
        <v>{"typ":"lc","txt":"LC_ITEM_hallo_marcheffect_high_2025"}</v>
      </c>
      <c r="K2805" s="148" t="str">
        <f>IFERROR(__xludf.DUMMYFUNCTION("""COMPUTED_VALUE"""),"{""typ"":""lc"",""txt"":""LC_ITEM_hallo_marcheffect_high_2025_desc""}")</f>
        <v>{"typ":"lc","txt":"LC_ITEM_hallo_marcheffect_high_2025_desc"}</v>
      </c>
      <c r="L2805" s="148" t="str">
        <f>IFERROR(__xludf.DUMMYFUNCTION("""COMPUTED_VALUE"""),"{""typ"":""lc"",""txt"":""LC_ITEM_march_effect_use_tip_all""}")</f>
        <v>{"typ":"lc","txt":"LC_ITEM_march_effect_use_tip_all"}</v>
      </c>
      <c r="M2805" s="148">
        <f>IFERROR(__xludf.DUMMYFUNCTION("""COMPUTED_VALUE"""),500.0)</f>
        <v>500</v>
      </c>
      <c r="N2805" s="148">
        <f>IFERROR(__xludf.DUMMYFUNCTION("""COMPUTED_VALUE"""),999999.0)</f>
        <v>999999</v>
      </c>
      <c r="O2805" s="148">
        <f>IFERROR(__xludf.DUMMYFUNCTION("""COMPUTED_VALUE"""),99999.0)</f>
        <v>99999</v>
      </c>
      <c r="P2805" s="148">
        <f>IFERROR(__xludf.DUMMYFUNCTION("""COMPUTED_VALUE"""),1.0)</f>
        <v>1</v>
      </c>
      <c r="Q2805" s="148" t="str">
        <f>IFERROR(__xludf.DUMMYFUNCTION("""COMPUTED_VALUE"""),"[""bag_other""]")</f>
        <v>["bag_other"]</v>
      </c>
      <c r="R2805" s="148" t="str">
        <f>IFERROR(__xludf.DUMMYFUNCTION("""COMPUTED_VALUE"""),"[""bag"",""13650144""]")</f>
        <v>["bag","13650144"]</v>
      </c>
      <c r="S2805" s="148" t="str">
        <f>IFERROR(__xludf.DUMMYFUNCTION("""COMPUTED_VALUE"""),"{""effect"":[{""typ"":""marching_effect"",""id"":13650144,""val"":604800000},{""typ"":""vm"",""id"":11151001,""val"":500}]}")</f>
        <v>{"effect":[{"typ":"marching_effect","id":13650144,"val":604800000},{"typ":"vm","id":11151001,"val":500}]}</v>
      </c>
      <c r="T2805" s="148">
        <f>IFERROR(__xludf.DUMMYFUNCTION("""COMPUTED_VALUE"""),-1.0)</f>
        <v>-1</v>
      </c>
      <c r="U2805" s="148">
        <f>IFERROR(__xludf.DUMMYFUNCTION("""COMPUTED_VALUE"""),0.0)</f>
        <v>0</v>
      </c>
      <c r="V2805" s="148" t="str">
        <f>IFERROR(__xludf.DUMMYFUNCTION("""COMPUTED_VALUE"""),"[]")</f>
        <v>[]</v>
      </c>
      <c r="W2805" s="148">
        <f>IFERROR(__xludf.DUMMYFUNCTION("""COMPUTED_VALUE"""),1.174E7)</f>
        <v>11740000</v>
      </c>
      <c r="X2805" s="148">
        <f>IFERROR(__xludf.DUMMYFUNCTION("""COMPUTED_VALUE"""),0.0)</f>
        <v>0</v>
      </c>
      <c r="Y2805" s="148">
        <f>IFERROR(__xludf.DUMMYFUNCTION("""COMPUTED_VALUE"""),0.0)</f>
        <v>0</v>
      </c>
      <c r="Z2805" s="148"/>
    </row>
    <row r="2806">
      <c r="A2806" s="148">
        <f>IFERROR(__xludf.DUMMYFUNCTION("""COMPUTED_VALUE"""),1.1119768E7)</f>
        <v>11119768</v>
      </c>
      <c r="B2806" s="148" t="str">
        <f>IFERROR(__xludf.DUMMYFUNCTION("""COMPUTED_VALUE"""),"2025万圣节行军特效-南瓜恶作剧-14天限时")</f>
        <v>2025万圣节行军特效-南瓜恶作剧-14天限时</v>
      </c>
      <c r="C2806" s="148"/>
      <c r="D2806" s="148" t="str">
        <f>IFERROR(__xludf.DUMMYFUNCTION("""COMPUTED_VALUE"""),"marching_effect")</f>
        <v>marching_effect</v>
      </c>
      <c r="E2806" s="148">
        <f>IFERROR(__xludf.DUMMYFUNCTION("""COMPUTED_VALUE"""),0.0)</f>
        <v>0</v>
      </c>
      <c r="F2806" s="148">
        <f>IFERROR(__xludf.DUMMYFUNCTION("""COMPUTED_VALUE"""),408197.0)</f>
        <v>408197</v>
      </c>
      <c r="G2806" s="148">
        <f>IFERROR(__xludf.DUMMYFUNCTION("""COMPUTED_VALUE"""),1.51103083E8)</f>
        <v>151103083</v>
      </c>
      <c r="H2806" s="148">
        <f>IFERROR(__xludf.DUMMYFUNCTION("""COMPUTED_VALUE"""),1.5112563E7)</f>
        <v>15112563</v>
      </c>
      <c r="I2806" s="148" t="str">
        <f>IFERROR(__xludf.DUMMYFUNCTION("""COMPUTED_VALUE"""),"{""typ"":""lc"",""txt"":""LC_ITEM_time_day_upper_show"",""args"":[{""typ"":""int_unit"",""val"":14}]}")</f>
        <v>{"typ":"lc","txt":"LC_ITEM_time_day_upper_show","args":[{"typ":"int_unit","val":14}]}</v>
      </c>
      <c r="J2806" s="148" t="str">
        <f>IFERROR(__xludf.DUMMYFUNCTION("""COMPUTED_VALUE"""),"{""typ"":""lc"",""txt"":""LC_ITEM_hallo_marcheffect_high_2025""}")</f>
        <v>{"typ":"lc","txt":"LC_ITEM_hallo_marcheffect_high_2025"}</v>
      </c>
      <c r="K2806" s="148" t="str">
        <f>IFERROR(__xludf.DUMMYFUNCTION("""COMPUTED_VALUE"""),"{""typ"":""lc"",""txt"":""LC_ITEM_hallo_marcheffect_high_2025_desc""}")</f>
        <v>{"typ":"lc","txt":"LC_ITEM_hallo_marcheffect_high_2025_desc"}</v>
      </c>
      <c r="L2806" s="148" t="str">
        <f>IFERROR(__xludf.DUMMYFUNCTION("""COMPUTED_VALUE"""),"{""typ"":""lc"",""txt"":""LC_ITEM_march_effect_use_tip_all""}")</f>
        <v>{"typ":"lc","txt":"LC_ITEM_march_effect_use_tip_all"}</v>
      </c>
      <c r="M2806" s="148">
        <f>IFERROR(__xludf.DUMMYFUNCTION("""COMPUTED_VALUE"""),1000.0)</f>
        <v>1000</v>
      </c>
      <c r="N2806" s="148">
        <f>IFERROR(__xludf.DUMMYFUNCTION("""COMPUTED_VALUE"""),999999.0)</f>
        <v>999999</v>
      </c>
      <c r="O2806" s="148">
        <f>IFERROR(__xludf.DUMMYFUNCTION("""COMPUTED_VALUE"""),99999.0)</f>
        <v>99999</v>
      </c>
      <c r="P2806" s="148">
        <f>IFERROR(__xludf.DUMMYFUNCTION("""COMPUTED_VALUE"""),1.0)</f>
        <v>1</v>
      </c>
      <c r="Q2806" s="148" t="str">
        <f>IFERROR(__xludf.DUMMYFUNCTION("""COMPUTED_VALUE"""),"[""bag_other""]")</f>
        <v>["bag_other"]</v>
      </c>
      <c r="R2806" s="148" t="str">
        <f>IFERROR(__xludf.DUMMYFUNCTION("""COMPUTED_VALUE"""),"[""bag"",""13650144""]")</f>
        <v>["bag","13650144"]</v>
      </c>
      <c r="S2806" s="148" t="str">
        <f>IFERROR(__xludf.DUMMYFUNCTION("""COMPUTED_VALUE"""),"{""effect"":[{""typ"":""marching_effect"",""id"":13650144,""val"":1209600000},{""typ"":""vm"",""id"":11151001,""val"":1000}]}")</f>
        <v>{"effect":[{"typ":"marching_effect","id":13650144,"val":1209600000},{"typ":"vm","id":11151001,"val":1000}]}</v>
      </c>
      <c r="T2806" s="148">
        <f>IFERROR(__xludf.DUMMYFUNCTION("""COMPUTED_VALUE"""),-1.0)</f>
        <v>-1</v>
      </c>
      <c r="U2806" s="148">
        <f>IFERROR(__xludf.DUMMYFUNCTION("""COMPUTED_VALUE"""),0.0)</f>
        <v>0</v>
      </c>
      <c r="V2806" s="148" t="str">
        <f>IFERROR(__xludf.DUMMYFUNCTION("""COMPUTED_VALUE"""),"[]")</f>
        <v>[]</v>
      </c>
      <c r="W2806" s="148">
        <f>IFERROR(__xludf.DUMMYFUNCTION("""COMPUTED_VALUE"""),1.174E7)</f>
        <v>11740000</v>
      </c>
      <c r="X2806" s="148">
        <f>IFERROR(__xludf.DUMMYFUNCTION("""COMPUTED_VALUE"""),0.0)</f>
        <v>0</v>
      </c>
      <c r="Y2806" s="148">
        <f>IFERROR(__xludf.DUMMYFUNCTION("""COMPUTED_VALUE"""),0.0)</f>
        <v>0</v>
      </c>
      <c r="Z2806" s="148"/>
    </row>
    <row r="2807">
      <c r="A2807" s="148">
        <f>IFERROR(__xludf.DUMMYFUNCTION("""COMPUTED_VALUE"""),1.1119769E7)</f>
        <v>11119769</v>
      </c>
      <c r="B2807" s="148" t="str">
        <f>IFERROR(__xludf.DUMMYFUNCTION("""COMPUTED_VALUE"""),"2025万圣节行军特效-南瓜恶作剧-30天限时")</f>
        <v>2025万圣节行军特效-南瓜恶作剧-30天限时</v>
      </c>
      <c r="C2807" s="148"/>
      <c r="D2807" s="148" t="str">
        <f>IFERROR(__xludf.DUMMYFUNCTION("""COMPUTED_VALUE"""),"marching_effect")</f>
        <v>marching_effect</v>
      </c>
      <c r="E2807" s="148">
        <f>IFERROR(__xludf.DUMMYFUNCTION("""COMPUTED_VALUE"""),0.0)</f>
        <v>0</v>
      </c>
      <c r="F2807" s="148">
        <f>IFERROR(__xludf.DUMMYFUNCTION("""COMPUTED_VALUE"""),408197.0)</f>
        <v>408197</v>
      </c>
      <c r="G2807" s="148">
        <f>IFERROR(__xludf.DUMMYFUNCTION("""COMPUTED_VALUE"""),1.51103083E8)</f>
        <v>151103083</v>
      </c>
      <c r="H2807" s="148">
        <f>IFERROR(__xludf.DUMMYFUNCTION("""COMPUTED_VALUE"""),1.5112563E7)</f>
        <v>15112563</v>
      </c>
      <c r="I2807" s="148" t="str">
        <f>IFERROR(__xludf.DUMMYFUNCTION("""COMPUTED_VALUE"""),"{""typ"":""lc"",""txt"":""LC_ITEM_time_day_upper_show"",""args"":[{""typ"":""int_unit"",""val"":30}]}")</f>
        <v>{"typ":"lc","txt":"LC_ITEM_time_day_upper_show","args":[{"typ":"int_unit","val":30}]}</v>
      </c>
      <c r="J2807" s="148" t="str">
        <f>IFERROR(__xludf.DUMMYFUNCTION("""COMPUTED_VALUE"""),"{""typ"":""lc"",""txt"":""LC_ITEM_hallo_marcheffect_high_2025""}")</f>
        <v>{"typ":"lc","txt":"LC_ITEM_hallo_marcheffect_high_2025"}</v>
      </c>
      <c r="K2807" s="148" t="str">
        <f>IFERROR(__xludf.DUMMYFUNCTION("""COMPUTED_VALUE"""),"{""typ"":""lc"",""txt"":""LC_ITEM_hallo_marcheffect_high_2025_desc""}")</f>
        <v>{"typ":"lc","txt":"LC_ITEM_hallo_marcheffect_high_2025_desc"}</v>
      </c>
      <c r="L2807" s="148" t="str">
        <f>IFERROR(__xludf.DUMMYFUNCTION("""COMPUTED_VALUE"""),"{""typ"":""lc"",""txt"":""LC_ITEM_march_effect_use_tip_all""}")</f>
        <v>{"typ":"lc","txt":"LC_ITEM_march_effect_use_tip_all"}</v>
      </c>
      <c r="M2807" s="148">
        <f>IFERROR(__xludf.DUMMYFUNCTION("""COMPUTED_VALUE"""),1000.0)</f>
        <v>1000</v>
      </c>
      <c r="N2807" s="148">
        <f>IFERROR(__xludf.DUMMYFUNCTION("""COMPUTED_VALUE"""),999999.0)</f>
        <v>999999</v>
      </c>
      <c r="O2807" s="148">
        <f>IFERROR(__xludf.DUMMYFUNCTION("""COMPUTED_VALUE"""),99999.0)</f>
        <v>99999</v>
      </c>
      <c r="P2807" s="148">
        <f>IFERROR(__xludf.DUMMYFUNCTION("""COMPUTED_VALUE"""),1.0)</f>
        <v>1</v>
      </c>
      <c r="Q2807" s="148" t="str">
        <f>IFERROR(__xludf.DUMMYFUNCTION("""COMPUTED_VALUE"""),"[""bag_other""]")</f>
        <v>["bag_other"]</v>
      </c>
      <c r="R2807" s="148" t="str">
        <f>IFERROR(__xludf.DUMMYFUNCTION("""COMPUTED_VALUE"""),"[""bag"",""13650144""]")</f>
        <v>["bag","13650144"]</v>
      </c>
      <c r="S2807" s="148" t="str">
        <f>IFERROR(__xludf.DUMMYFUNCTION("""COMPUTED_VALUE"""),"{""effect"":[{""typ"":""marching_effect"",""id"":13650144,""val"":2592000000},{""typ"":""vm"",""id"":11151001,""val"":1000}]}")</f>
        <v>{"effect":[{"typ":"marching_effect","id":13650144,"val":2592000000},{"typ":"vm","id":11151001,"val":1000}]}</v>
      </c>
      <c r="T2807" s="148">
        <f>IFERROR(__xludf.DUMMYFUNCTION("""COMPUTED_VALUE"""),-1.0)</f>
        <v>-1</v>
      </c>
      <c r="U2807" s="148">
        <f>IFERROR(__xludf.DUMMYFUNCTION("""COMPUTED_VALUE"""),0.0)</f>
        <v>0</v>
      </c>
      <c r="V2807" s="148" t="str">
        <f>IFERROR(__xludf.DUMMYFUNCTION("""COMPUTED_VALUE"""),"[]")</f>
        <v>[]</v>
      </c>
      <c r="W2807" s="148">
        <f>IFERROR(__xludf.DUMMYFUNCTION("""COMPUTED_VALUE"""),1.174E7)</f>
        <v>11740000</v>
      </c>
      <c r="X2807" s="148">
        <f>IFERROR(__xludf.DUMMYFUNCTION("""COMPUTED_VALUE"""),0.0)</f>
        <v>0</v>
      </c>
      <c r="Y2807" s="148">
        <f>IFERROR(__xludf.DUMMYFUNCTION("""COMPUTED_VALUE"""),0.0)</f>
        <v>0</v>
      </c>
      <c r="Z2807" s="148"/>
    </row>
    <row r="2808">
      <c r="A2808" s="148">
        <f>IFERROR(__xludf.DUMMYFUNCTION("""COMPUTED_VALUE"""),1.111977E7)</f>
        <v>11119770</v>
      </c>
      <c r="B2808" s="148" t="str">
        <f>IFERROR(__xludf.DUMMYFUNCTION("""COMPUTED_VALUE"""),"2025万圣节行军特效-南瓜恶作剧-永久")</f>
        <v>2025万圣节行军特效-南瓜恶作剧-永久</v>
      </c>
      <c r="C2808" s="148"/>
      <c r="D2808" s="148" t="str">
        <f>IFERROR(__xludf.DUMMYFUNCTION("""COMPUTED_VALUE"""),"marching_effect")</f>
        <v>marching_effect</v>
      </c>
      <c r="E2808" s="148">
        <f>IFERROR(__xludf.DUMMYFUNCTION("""COMPUTED_VALUE"""),0.0)</f>
        <v>0</v>
      </c>
      <c r="F2808" s="148">
        <f>IFERROR(__xludf.DUMMYFUNCTION("""COMPUTED_VALUE"""),408195.0)</f>
        <v>408195</v>
      </c>
      <c r="G2808" s="148">
        <f>IFERROR(__xludf.DUMMYFUNCTION("""COMPUTED_VALUE"""),1.51103083E8)</f>
        <v>151103083</v>
      </c>
      <c r="H2808" s="148">
        <f>IFERROR(__xludf.DUMMYFUNCTION("""COMPUTED_VALUE"""),1.5112564E7)</f>
        <v>15112564</v>
      </c>
      <c r="I2808" s="148" t="str">
        <f>IFERROR(__xludf.DUMMYFUNCTION("""COMPUTED_VALUE"""),"{}")</f>
        <v>{}</v>
      </c>
      <c r="J2808" s="148" t="str">
        <f>IFERROR(__xludf.DUMMYFUNCTION("""COMPUTED_VALUE"""),"{""typ"":""lc"",""txt"":""LC_ITEM_hallo_marcheffect_high_2025""}")</f>
        <v>{"typ":"lc","txt":"LC_ITEM_hallo_marcheffect_high_2025"}</v>
      </c>
      <c r="K2808" s="148" t="str">
        <f>IFERROR(__xludf.DUMMYFUNCTION("""COMPUTED_VALUE"""),"{""typ"":""lc"",""txt"":""LC_ITEM_hallo_marcheffect_high_2025_desc""}")</f>
        <v>{"typ":"lc","txt":"LC_ITEM_hallo_marcheffect_high_2025_desc"}</v>
      </c>
      <c r="L2808" s="148" t="str">
        <f>IFERROR(__xludf.DUMMYFUNCTION("""COMPUTED_VALUE"""),"{""typ"":""lc"",""txt"":""LC_ITEM_march_effect_use_tip_all""}")</f>
        <v>{"typ":"lc","txt":"LC_ITEM_march_effect_use_tip_all"}</v>
      </c>
      <c r="M2808" s="148">
        <f>IFERROR(__xludf.DUMMYFUNCTION("""COMPUTED_VALUE"""),5000.0)</f>
        <v>5000</v>
      </c>
      <c r="N2808" s="148">
        <f>IFERROR(__xludf.DUMMYFUNCTION("""COMPUTED_VALUE"""),999999.0)</f>
        <v>999999</v>
      </c>
      <c r="O2808" s="148">
        <f>IFERROR(__xludf.DUMMYFUNCTION("""COMPUTED_VALUE"""),99999.0)</f>
        <v>99999</v>
      </c>
      <c r="P2808" s="148">
        <f>IFERROR(__xludf.DUMMYFUNCTION("""COMPUTED_VALUE"""),1.0)</f>
        <v>1</v>
      </c>
      <c r="Q2808" s="148" t="str">
        <f>IFERROR(__xludf.DUMMYFUNCTION("""COMPUTED_VALUE"""),"[""bag_other""]")</f>
        <v>["bag_other"]</v>
      </c>
      <c r="R2808" s="148" t="str">
        <f>IFERROR(__xludf.DUMMYFUNCTION("""COMPUTED_VALUE"""),"[""bag"",""13650144""]")</f>
        <v>["bag","13650144"]</v>
      </c>
      <c r="S2808" s="148" t="str">
        <f>IFERROR(__xludf.DUMMYFUNCTION("""COMPUTED_VALUE"""),"{""effect"":[{""typ"":""marching_effect"",""id"":13650144,""val"":-1},{""typ"":""vm"",""id"":11151001,""val"":2500}]}")</f>
        <v>{"effect":[{"typ":"marching_effect","id":13650144,"val":-1},{"typ":"vm","id":11151001,"val":2500}]}</v>
      </c>
      <c r="T2808" s="148">
        <f>IFERROR(__xludf.DUMMYFUNCTION("""COMPUTED_VALUE"""),-1.0)</f>
        <v>-1</v>
      </c>
      <c r="U2808" s="148">
        <f>IFERROR(__xludf.DUMMYFUNCTION("""COMPUTED_VALUE"""),0.0)</f>
        <v>0</v>
      </c>
      <c r="V2808" s="148" t="str">
        <f>IFERROR(__xludf.DUMMYFUNCTION("""COMPUTED_VALUE"""),"[]")</f>
        <v>[]</v>
      </c>
      <c r="W2808" s="148">
        <f>IFERROR(__xludf.DUMMYFUNCTION("""COMPUTED_VALUE"""),1.174E7)</f>
        <v>11740000</v>
      </c>
      <c r="X2808" s="148">
        <f>IFERROR(__xludf.DUMMYFUNCTION("""COMPUTED_VALUE"""),0.0)</f>
        <v>0</v>
      </c>
      <c r="Y2808" s="148">
        <f>IFERROR(__xludf.DUMMYFUNCTION("""COMPUTED_VALUE"""),0.0)</f>
        <v>0</v>
      </c>
      <c r="Z2808" s="148"/>
    </row>
    <row r="2809">
      <c r="A2809" s="148">
        <f>IFERROR(__xludf.DUMMYFUNCTION("""COMPUTED_VALUE"""),1.1119771E7)</f>
        <v>11119771</v>
      </c>
      <c r="B2809" s="148" t="str">
        <f>IFERROR(__xludf.DUMMYFUNCTION("""COMPUTED_VALUE"""),"2025万圣节铭牌-奇异魔药")</f>
        <v>2025万圣节铭牌-奇异魔药</v>
      </c>
      <c r="C2809" s="148"/>
      <c r="D2809" s="148" t="str">
        <f>IFERROR(__xludf.DUMMYFUNCTION("""COMPUTED_VALUE"""),"chat_skin")</f>
        <v>chat_skin</v>
      </c>
      <c r="E2809" s="148">
        <f>IFERROR(__xludf.DUMMYFUNCTION("""COMPUTED_VALUE"""),30.0)</f>
        <v>30</v>
      </c>
      <c r="F2809" s="148">
        <f>IFERROR(__xludf.DUMMYFUNCTION("""COMPUTED_VALUE"""),401107.0)</f>
        <v>401107</v>
      </c>
      <c r="G2809" s="148">
        <f>IFERROR(__xludf.DUMMYFUNCTION("""COMPUTED_VALUE"""),1.51103085E8)</f>
        <v>151103085</v>
      </c>
      <c r="H2809" s="148">
        <f>IFERROR(__xludf.DUMMYFUNCTION("""COMPUTED_VALUE"""),1.5112564E7)</f>
        <v>15112564</v>
      </c>
      <c r="I2809" s="148" t="str">
        <f>IFERROR(__xludf.DUMMYFUNCTION("""COMPUTED_VALUE"""),"{}")</f>
        <v>{}</v>
      </c>
      <c r="J2809" s="148" t="str">
        <f>IFERROR(__xludf.DUMMYFUNCTION("""COMPUTED_VALUE"""),"{""typ"":""lc"",""txt"":""LC_ITEM_hallo_nameplate_2025""}")</f>
        <v>{"typ":"lc","txt":"LC_ITEM_hallo_nameplate_2025"}</v>
      </c>
      <c r="K2809" s="148" t="str">
        <f>IFERROR(__xludf.DUMMYFUNCTION("""COMPUTED_VALUE"""),"{""typ"":""lc"",""txt"":""LC_ITEM_hallo_nameplate_2025_desc_item""}")</f>
        <v>{"typ":"lc","txt":"LC_ITEM_hallo_nameplate_2025_desc_item"}</v>
      </c>
      <c r="L2809" s="148" t="str">
        <f>IFERROR(__xludf.DUMMYFUNCTION("""COMPUTED_VALUE"""),"{""typ"":""lc"",""txt"":""LC_ITEM_season_extra_reward_usedtip""}")</f>
        <v>{"typ":"lc","txt":"LC_ITEM_season_extra_reward_usedtip"}</v>
      </c>
      <c r="M2809" s="148">
        <f>IFERROR(__xludf.DUMMYFUNCTION("""COMPUTED_VALUE"""),2500.0)</f>
        <v>2500</v>
      </c>
      <c r="N2809" s="148">
        <f>IFERROR(__xludf.DUMMYFUNCTION("""COMPUTED_VALUE"""),9999999.0)</f>
        <v>9999999</v>
      </c>
      <c r="O2809" s="148">
        <f>IFERROR(__xludf.DUMMYFUNCTION("""COMPUTED_VALUE"""),1.0)</f>
        <v>1</v>
      </c>
      <c r="P2809" s="148">
        <f>IFERROR(__xludf.DUMMYFUNCTION("""COMPUTED_VALUE"""),1.0)</f>
        <v>1</v>
      </c>
      <c r="Q2809" s="148" t="str">
        <f>IFERROR(__xludf.DUMMYFUNCTION("""COMPUTED_VALUE"""),"[""bag_other""]")</f>
        <v>["bag_other"]</v>
      </c>
      <c r="R2809" s="148" t="str">
        <f>IFERROR(__xludf.DUMMYFUNCTION("""COMPUTED_VALUE"""),"[""11731042"",""bag""]")</f>
        <v>["11731042","bag"]</v>
      </c>
      <c r="S2809" s="148" t="str">
        <f>IFERROR(__xludf.DUMMYFUNCTION("""COMPUTED_VALUE"""),"{""effect"":[{""typ"":""nameplate"",""id"":11731042,""val"":-1}]}")</f>
        <v>{"effect":[{"typ":"nameplate","id":11731042,"val":-1}]}</v>
      </c>
      <c r="T2809" s="148">
        <f>IFERROR(__xludf.DUMMYFUNCTION("""COMPUTED_VALUE"""),-1.0)</f>
        <v>-1</v>
      </c>
      <c r="U2809" s="148">
        <f>IFERROR(__xludf.DUMMYFUNCTION("""COMPUTED_VALUE"""),0.0)</f>
        <v>0</v>
      </c>
      <c r="V2809" s="148" t="str">
        <f>IFERROR(__xludf.DUMMYFUNCTION("""COMPUTED_VALUE"""),"[]")</f>
        <v>[]</v>
      </c>
      <c r="W2809" s="148">
        <f>IFERROR(__xludf.DUMMYFUNCTION("""COMPUTED_VALUE"""),1.174E7)</f>
        <v>11740000</v>
      </c>
      <c r="X2809" s="148">
        <f>IFERROR(__xludf.DUMMYFUNCTION("""COMPUTED_VALUE"""),0.0)</f>
        <v>0</v>
      </c>
      <c r="Y2809" s="148">
        <f>IFERROR(__xludf.DUMMYFUNCTION("""COMPUTED_VALUE"""),0.0)</f>
        <v>0</v>
      </c>
      <c r="Z2809" s="148"/>
    </row>
    <row r="2810">
      <c r="A2810" s="148">
        <f>IFERROR(__xludf.DUMMYFUNCTION("""COMPUTED_VALUE"""),1.1119772E7)</f>
        <v>11119772</v>
      </c>
      <c r="B2810" s="148" t="str">
        <f>IFERROR(__xludf.DUMMYFUNCTION("""COMPUTED_VALUE"""),"2025通用bp礼包随机宝箱")</f>
        <v>2025通用bp礼包随机宝箱</v>
      </c>
      <c r="C2810" s="148"/>
      <c r="D2810" s="148" t="str">
        <f>IFERROR(__xludf.DUMMYFUNCTION("""COMPUTED_VALUE"""),"item_asset")</f>
        <v>item_asset</v>
      </c>
      <c r="E2810" s="148">
        <f>IFERROR(__xludf.DUMMYFUNCTION("""COMPUTED_VALUE"""),19.0)</f>
        <v>19</v>
      </c>
      <c r="F2810" s="148">
        <f>IFERROR(__xludf.DUMMYFUNCTION("""COMPUTED_VALUE"""),403308.0)</f>
        <v>403308</v>
      </c>
      <c r="G2810" s="148">
        <f>IFERROR(__xludf.DUMMYFUNCTION("""COMPUTED_VALUE"""),1.51101545E8)</f>
        <v>151101545</v>
      </c>
      <c r="H2810" s="148">
        <f>IFERROR(__xludf.DUMMYFUNCTION("""COMPUTED_VALUE"""),1.5112564E7)</f>
        <v>15112564</v>
      </c>
      <c r="I2810" s="148" t="str">
        <f>IFERROR(__xludf.DUMMYFUNCTION("""COMPUTED_VALUE"""),"{}")</f>
        <v>{}</v>
      </c>
      <c r="J2810" s="148" t="str">
        <f>IFERROR(__xludf.DUMMYFUNCTION("""COMPUTED_VALUE"""),"{""typ"":""lc"",""txt"":""LC_ITEM_fes_bp_box_name""}")</f>
        <v>{"typ":"lc","txt":"LC_ITEM_fes_bp_box_name"}</v>
      </c>
      <c r="K2810" s="148" t="str">
        <f>IFERROR(__xludf.DUMMYFUNCTION("""COMPUTED_VALUE"""),"{""typ"":""lc"",""txt"":""LC_ITEM_fes_bp_box_desc_hallo_2025""}")</f>
        <v>{"typ":"lc","txt":"LC_ITEM_fes_bp_box_desc_hallo_2025"}</v>
      </c>
      <c r="L2810" s="148" t="str">
        <f>IFERROR(__xludf.DUMMYFUNCTION("""COMPUTED_VALUE"""),"{}")</f>
        <v>{}</v>
      </c>
      <c r="M2810" s="148">
        <f>IFERROR(__xludf.DUMMYFUNCTION("""COMPUTED_VALUE"""),135.0)</f>
        <v>135</v>
      </c>
      <c r="N2810" s="148">
        <f>IFERROR(__xludf.DUMMYFUNCTION("""COMPUTED_VALUE"""),999999.0)</f>
        <v>999999</v>
      </c>
      <c r="O2810" s="148">
        <f>IFERROR(__xludf.DUMMYFUNCTION("""COMPUTED_VALUE"""),99999.0)</f>
        <v>99999</v>
      </c>
      <c r="P2810" s="148">
        <f>IFERROR(__xludf.DUMMYFUNCTION("""COMPUTED_VALUE"""),9999.0)</f>
        <v>9999</v>
      </c>
      <c r="Q2810" s="148" t="str">
        <f>IFERROR(__xludf.DUMMYFUNCTION("""COMPUTED_VALUE"""),"[""bag_other""]")</f>
        <v>["bag_other"]</v>
      </c>
      <c r="R2810" s="148" t="str">
        <f>IFERROR(__xludf.DUMMYFUNCTION("""COMPUTED_VALUE"""),"[""bag""]")</f>
        <v>["bag"]</v>
      </c>
      <c r="S2810" s="148" t="str">
        <f>IFERROR(__xludf.DUMMYFUNCTION("""COMPUTED_VALUE"""),"{""drop"":{""typ"":""single_random"",""num"":1,""args"":[{""typ"":""item"",""id"":111110105,""num"":1,""wgt"":1},{""typ"":""item"",""id"":11112127,""num"":10,""wgt"":60},{""typ"":""item"",""id"":11116304,""num"":1,""wgt"":10},{""typ"":""item"",""id"":1111"&amp;"8663,""num"":2,""wgt"":60},{""typ"":""item"",""id"":11116110,""num"":2,""wgt"":60},{""typ"":""item"",""id"":11114330,""num"":1,""wgt"":300},{""typ"":""item"",""id"":11111155,""num"":2,""wgt"":300},{""typ"":""item"",""id"":11111105,""num"":2,""wgt"":100}]}"&amp;"}")</f>
        <v>{"drop":{"typ":"single_random","num":1,"args":[{"typ":"item","id":111110105,"num":1,"wgt":1},{"typ":"item","id":11112127,"num":10,"wgt":60},{"typ":"item","id":11116304,"num":1,"wgt":10},{"typ":"item","id":11118663,"num":2,"wgt":60},{"typ":"item","id":11116110,"num":2,"wgt":60},{"typ":"item","id":11114330,"num":1,"wgt":300},{"typ":"item","id":11111155,"num":2,"wgt":300},{"typ":"item","id":11111105,"num":2,"wgt":100}]}}</v>
      </c>
      <c r="T2810" s="148">
        <f>IFERROR(__xludf.DUMMYFUNCTION("""COMPUTED_VALUE"""),-1.0)</f>
        <v>-1</v>
      </c>
      <c r="U2810" s="148">
        <f>IFERROR(__xludf.DUMMYFUNCTION("""COMPUTED_VALUE"""),0.0)</f>
        <v>0</v>
      </c>
      <c r="V2810" s="148" t="str">
        <f>IFERROR(__xludf.DUMMYFUNCTION("""COMPUTED_VALUE"""),"[]")</f>
        <v>[]</v>
      </c>
      <c r="W2810" s="148">
        <f>IFERROR(__xludf.DUMMYFUNCTION("""COMPUTED_VALUE"""),1.174E7)</f>
        <v>11740000</v>
      </c>
      <c r="X2810" s="148">
        <f>IFERROR(__xludf.DUMMYFUNCTION("""COMPUTED_VALUE"""),0.0)</f>
        <v>0</v>
      </c>
      <c r="Y2810" s="148">
        <f>IFERROR(__xludf.DUMMYFUNCTION("""COMPUTED_VALUE"""),0.0)</f>
        <v>0</v>
      </c>
      <c r="Z2810" s="148"/>
    </row>
    <row r="2811">
      <c r="A2811" s="148">
        <f>IFERROR(__xludf.DUMMYFUNCTION("""COMPUTED_VALUE"""),1.1119773E7)</f>
        <v>11119773</v>
      </c>
      <c r="B2811" s="148" t="str">
        <f>IFERROR(__xludf.DUMMYFUNCTION("""COMPUTED_VALUE"""),"2025万圣节自选宝箱")</f>
        <v>2025万圣节自选宝箱</v>
      </c>
      <c r="C2811" s="148"/>
      <c r="D2811" s="148" t="str">
        <f>IFERROR(__xludf.DUMMYFUNCTION("""COMPUTED_VALUE"""),"item_select_box")</f>
        <v>item_select_box</v>
      </c>
      <c r="E2811" s="148">
        <f>IFERROR(__xludf.DUMMYFUNCTION("""COMPUTED_VALUE"""),19.0)</f>
        <v>19</v>
      </c>
      <c r="F2811" s="148">
        <f>IFERROR(__xludf.DUMMYFUNCTION("""COMPUTED_VALUE"""),0.0)</f>
        <v>0</v>
      </c>
      <c r="G2811" s="148">
        <f>IFERROR(__xludf.DUMMYFUNCTION("""COMPUTED_VALUE"""),1.51100669E8)</f>
        <v>151100669</v>
      </c>
      <c r="H2811" s="148">
        <f>IFERROR(__xludf.DUMMYFUNCTION("""COMPUTED_VALUE"""),1.5112564E7)</f>
        <v>15112564</v>
      </c>
      <c r="I2811" s="148" t="str">
        <f>IFERROR(__xludf.DUMMYFUNCTION("""COMPUTED_VALUE"""),"{}")</f>
        <v>{}</v>
      </c>
      <c r="J2811" s="148" t="str">
        <f>IFERROR(__xludf.DUMMYFUNCTION("""COMPUTED_VALUE"""),"{""typ"":""lc"",""txt"":""LC_ITEM_actv_hallo_cbox_name""}")</f>
        <v>{"typ":"lc","txt":"LC_ITEM_actv_hallo_cbox_name"}</v>
      </c>
      <c r="K2811" s="148" t="str">
        <f>IFERROR(__xludf.DUMMYFUNCTION("""COMPUTED_VALUE"""),"{""typ"":""lc"",""txt"":""LC_ITEM_actv_hallo_cbox_desc""}")</f>
        <v>{"typ":"lc","txt":"LC_ITEM_actv_hallo_cbox_desc"}</v>
      </c>
      <c r="L2811" s="148" t="str">
        <f>IFERROR(__xludf.DUMMYFUNCTION("""COMPUTED_VALUE"""),"{}")</f>
        <v>{}</v>
      </c>
      <c r="M2811" s="148">
        <f>IFERROR(__xludf.DUMMYFUNCTION("""COMPUTED_VALUE"""),125.0)</f>
        <v>125</v>
      </c>
      <c r="N2811" s="148">
        <f>IFERROR(__xludf.DUMMYFUNCTION("""COMPUTED_VALUE"""),999999.0)</f>
        <v>999999</v>
      </c>
      <c r="O2811" s="148">
        <f>IFERROR(__xludf.DUMMYFUNCTION("""COMPUTED_VALUE"""),99999.0)</f>
        <v>99999</v>
      </c>
      <c r="P2811" s="148">
        <f>IFERROR(__xludf.DUMMYFUNCTION("""COMPUTED_VALUE"""),9999.0)</f>
        <v>9999</v>
      </c>
      <c r="Q2811" s="148" t="str">
        <f>IFERROR(__xludf.DUMMYFUNCTION("""COMPUTED_VALUE"""),"[""bag_other""]")</f>
        <v>["bag_other"]</v>
      </c>
      <c r="R2811" s="148" t="str">
        <f>IFERROR(__xludf.DUMMYFUNCTION("""COMPUTED_VALUE"""),"[""bag""]")</f>
        <v>["bag"]</v>
      </c>
      <c r="S2811" s="148" t="str">
        <f>IFERROR(__xludf.DUMMYFUNCTION("""COMPUTED_VALUE"""),"{""select_box"":[{""typ"":""item"",""id"":11112649,""val"":1},{""typ"":""item"",""id"":11112498,""val"":2},{""typ"":""item"",""id"":11112319,""val"":10},{""typ"":""item"",""id"":11112306,""val"":10}]}")</f>
        <v>{"select_box":[{"typ":"item","id":11112649,"val":1},{"typ":"item","id":11112498,"val":2},{"typ":"item","id":11112319,"val":10},{"typ":"item","id":11112306,"val":10}]}</v>
      </c>
      <c r="T2811" s="148">
        <f>IFERROR(__xludf.DUMMYFUNCTION("""COMPUTED_VALUE"""),-1.0)</f>
        <v>-1</v>
      </c>
      <c r="U2811" s="148">
        <f>IFERROR(__xludf.DUMMYFUNCTION("""COMPUTED_VALUE"""),0.0)</f>
        <v>0</v>
      </c>
      <c r="V2811" s="148" t="str">
        <f>IFERROR(__xludf.DUMMYFUNCTION("""COMPUTED_VALUE"""),"[]")</f>
        <v>[]</v>
      </c>
      <c r="W2811" s="148">
        <f>IFERROR(__xludf.DUMMYFUNCTION("""COMPUTED_VALUE"""),1.174E7)</f>
        <v>11740000</v>
      </c>
      <c r="X2811" s="148">
        <f>IFERROR(__xludf.DUMMYFUNCTION("""COMPUTED_VALUE"""),0.0)</f>
        <v>0</v>
      </c>
      <c r="Y2811" s="148">
        <f>IFERROR(__xludf.DUMMYFUNCTION("""COMPUTED_VALUE"""),0.0)</f>
        <v>0</v>
      </c>
      <c r="Z2811" s="148"/>
    </row>
    <row r="2812">
      <c r="A2812" s="148">
        <f>IFERROR(__xludf.DUMMYFUNCTION("""COMPUTED_VALUE"""),1.1119774E7)</f>
        <v>11119774</v>
      </c>
      <c r="B2812" s="148" t="str">
        <f>IFERROR(__xludf.DUMMYFUNCTION("""COMPUTED_VALUE"""),"2025万圣节行军特效-糖果魔法-1天限时")</f>
        <v>2025万圣节行军特效-糖果魔法-1天限时</v>
      </c>
      <c r="C2812" s="148"/>
      <c r="D2812" s="148" t="str">
        <f>IFERROR(__xludf.DUMMYFUNCTION("""COMPUTED_VALUE"""),"marching_effect")</f>
        <v>marching_effect</v>
      </c>
      <c r="E2812" s="148">
        <f>IFERROR(__xludf.DUMMYFUNCTION("""COMPUTED_VALUE"""),0.0)</f>
        <v>0</v>
      </c>
      <c r="F2812" s="148">
        <f>IFERROR(__xludf.DUMMYFUNCTION("""COMPUTED_VALUE"""),408200.0)</f>
        <v>408200</v>
      </c>
      <c r="G2812" s="148">
        <f>IFERROR(__xludf.DUMMYFUNCTION("""COMPUTED_VALUE"""),1.51103084E8)</f>
        <v>151103084</v>
      </c>
      <c r="H2812" s="148">
        <f>IFERROR(__xludf.DUMMYFUNCTION("""COMPUTED_VALUE"""),1.511256E7)</f>
        <v>15112560</v>
      </c>
      <c r="I2812" s="148" t="str">
        <f>IFERROR(__xludf.DUMMYFUNCTION("""COMPUTED_VALUE"""),"{""typ"":""lc"",""txt"":""LC_ITEM_time_day_upper_show"",""args"":[{""typ"":""int_unit"",""val"":1}]}")</f>
        <v>{"typ":"lc","txt":"LC_ITEM_time_day_upper_show","args":[{"typ":"int_unit","val":1}]}</v>
      </c>
      <c r="J2812" s="148" t="str">
        <f>IFERROR(__xludf.DUMMYFUNCTION("""COMPUTED_VALUE"""),"{""typ"":""lc"",""txt"":""LC_ITEM_hallo_marcheffect_low_2025""}")</f>
        <v>{"typ":"lc","txt":"LC_ITEM_hallo_marcheffect_low_2025"}</v>
      </c>
      <c r="K2812" s="148" t="str">
        <f>IFERROR(__xludf.DUMMYFUNCTION("""COMPUTED_VALUE"""),"{""typ"":""lc"",""txt"":""LC_ITEM_hallo_marcheffect_low_2025_desc""}")</f>
        <v>{"typ":"lc","txt":"LC_ITEM_hallo_marcheffect_low_2025_desc"}</v>
      </c>
      <c r="L2812" s="148" t="str">
        <f>IFERROR(__xludf.DUMMYFUNCTION("""COMPUTED_VALUE"""),"{""typ"":""lc"",""txt"":""LC_ITEM_march_effect_use_tip_all""}")</f>
        <v>{"typ":"lc","txt":"LC_ITEM_march_effect_use_tip_all"}</v>
      </c>
      <c r="M2812" s="148">
        <f>IFERROR(__xludf.DUMMYFUNCTION("""COMPUTED_VALUE"""),50.0)</f>
        <v>50</v>
      </c>
      <c r="N2812" s="148">
        <f>IFERROR(__xludf.DUMMYFUNCTION("""COMPUTED_VALUE"""),999999.0)</f>
        <v>999999</v>
      </c>
      <c r="O2812" s="148">
        <f>IFERROR(__xludf.DUMMYFUNCTION("""COMPUTED_VALUE"""),99999.0)</f>
        <v>99999</v>
      </c>
      <c r="P2812" s="148">
        <f>IFERROR(__xludf.DUMMYFUNCTION("""COMPUTED_VALUE"""),1.0)</f>
        <v>1</v>
      </c>
      <c r="Q2812" s="148" t="str">
        <f>IFERROR(__xludf.DUMMYFUNCTION("""COMPUTED_VALUE"""),"[""bag_other""]")</f>
        <v>["bag_other"]</v>
      </c>
      <c r="R2812" s="148" t="str">
        <f>IFERROR(__xludf.DUMMYFUNCTION("""COMPUTED_VALUE"""),"[""bag"",""13650143""]")</f>
        <v>["bag","13650143"]</v>
      </c>
      <c r="S2812" s="148" t="str">
        <f>IFERROR(__xludf.DUMMYFUNCTION("""COMPUTED_VALUE"""),"{""effect"":[{""typ"":""marching_effect"",""id"":13650143,""val"":86400000},{""typ"":""vm"",""id"":11151001,""val"":50}]}")</f>
        <v>{"effect":[{"typ":"marching_effect","id":13650143,"val":86400000},{"typ":"vm","id":11151001,"val":50}]}</v>
      </c>
      <c r="T2812" s="148">
        <f>IFERROR(__xludf.DUMMYFUNCTION("""COMPUTED_VALUE"""),-1.0)</f>
        <v>-1</v>
      </c>
      <c r="U2812" s="148">
        <f>IFERROR(__xludf.DUMMYFUNCTION("""COMPUTED_VALUE"""),0.0)</f>
        <v>0</v>
      </c>
      <c r="V2812" s="148" t="str">
        <f>IFERROR(__xludf.DUMMYFUNCTION("""COMPUTED_VALUE"""),"[]")</f>
        <v>[]</v>
      </c>
      <c r="W2812" s="148">
        <f>IFERROR(__xludf.DUMMYFUNCTION("""COMPUTED_VALUE"""),1.174E7)</f>
        <v>11740000</v>
      </c>
      <c r="X2812" s="148">
        <f>IFERROR(__xludf.DUMMYFUNCTION("""COMPUTED_VALUE"""),0.0)</f>
        <v>0</v>
      </c>
      <c r="Y2812" s="148">
        <f>IFERROR(__xludf.DUMMYFUNCTION("""COMPUTED_VALUE"""),0.0)</f>
        <v>0</v>
      </c>
      <c r="Z2812" s="148"/>
    </row>
    <row r="2813">
      <c r="A2813" s="148">
        <f>IFERROR(__xludf.DUMMYFUNCTION("""COMPUTED_VALUE"""),1.1119775E7)</f>
        <v>11119775</v>
      </c>
      <c r="B2813" s="148" t="str">
        <f>IFERROR(__xludf.DUMMYFUNCTION("""COMPUTED_VALUE"""),"2025万圣节行军特效-糖果魔法-3天限时")</f>
        <v>2025万圣节行军特效-糖果魔法-3天限时</v>
      </c>
      <c r="C2813" s="148"/>
      <c r="D2813" s="148" t="str">
        <f>IFERROR(__xludf.DUMMYFUNCTION("""COMPUTED_VALUE"""),"marching_effect")</f>
        <v>marching_effect</v>
      </c>
      <c r="E2813" s="148">
        <f>IFERROR(__xludf.DUMMYFUNCTION("""COMPUTED_VALUE"""),0.0)</f>
        <v>0</v>
      </c>
      <c r="F2813" s="148">
        <f>IFERROR(__xludf.DUMMYFUNCTION("""COMPUTED_VALUE"""),408199.0)</f>
        <v>408199</v>
      </c>
      <c r="G2813" s="148">
        <f>IFERROR(__xludf.DUMMYFUNCTION("""COMPUTED_VALUE"""),1.51103084E8)</f>
        <v>151103084</v>
      </c>
      <c r="H2813" s="148">
        <f>IFERROR(__xludf.DUMMYFUNCTION("""COMPUTED_VALUE"""),1.5112561E7)</f>
        <v>15112561</v>
      </c>
      <c r="I2813" s="148" t="str">
        <f>IFERROR(__xludf.DUMMYFUNCTION("""COMPUTED_VALUE"""),"{""typ"":""lc"",""txt"":""LC_ITEM_time_day_upper_show"",""args"":[{""typ"":""int_unit"",""val"":3}]}")</f>
        <v>{"typ":"lc","txt":"LC_ITEM_time_day_upper_show","args":[{"typ":"int_unit","val":3}]}</v>
      </c>
      <c r="J2813" s="148" t="str">
        <f>IFERROR(__xludf.DUMMYFUNCTION("""COMPUTED_VALUE"""),"{""typ"":""lc"",""txt"":""LC_ITEM_hallo_marcheffect_low_2025""}")</f>
        <v>{"typ":"lc","txt":"LC_ITEM_hallo_marcheffect_low_2025"}</v>
      </c>
      <c r="K2813" s="148" t="str">
        <f>IFERROR(__xludf.DUMMYFUNCTION("""COMPUTED_VALUE"""),"{""typ"":""lc"",""txt"":""LC_ITEM_hallo_marcheffect_low_2025_desc""}")</f>
        <v>{"typ":"lc","txt":"LC_ITEM_hallo_marcheffect_low_2025_desc"}</v>
      </c>
      <c r="L2813" s="148" t="str">
        <f>IFERROR(__xludf.DUMMYFUNCTION("""COMPUTED_VALUE"""),"{""typ"":""lc"",""txt"":""LC_ITEM_march_effect_use_tip_all""}")</f>
        <v>{"typ":"lc","txt":"LC_ITEM_march_effect_use_tip_all"}</v>
      </c>
      <c r="M2813" s="148">
        <f>IFERROR(__xludf.DUMMYFUNCTION("""COMPUTED_VALUE"""),200.0)</f>
        <v>200</v>
      </c>
      <c r="N2813" s="148">
        <f>IFERROR(__xludf.DUMMYFUNCTION("""COMPUTED_VALUE"""),999999.0)</f>
        <v>999999</v>
      </c>
      <c r="O2813" s="148">
        <f>IFERROR(__xludf.DUMMYFUNCTION("""COMPUTED_VALUE"""),99999.0)</f>
        <v>99999</v>
      </c>
      <c r="P2813" s="148">
        <f>IFERROR(__xludf.DUMMYFUNCTION("""COMPUTED_VALUE"""),1.0)</f>
        <v>1</v>
      </c>
      <c r="Q2813" s="148" t="str">
        <f>IFERROR(__xludf.DUMMYFUNCTION("""COMPUTED_VALUE"""),"[""bag_other""]")</f>
        <v>["bag_other"]</v>
      </c>
      <c r="R2813" s="148" t="str">
        <f>IFERROR(__xludf.DUMMYFUNCTION("""COMPUTED_VALUE"""),"[""bag"",""13650143""]")</f>
        <v>["bag","13650143"]</v>
      </c>
      <c r="S2813" s="148" t="str">
        <f>IFERROR(__xludf.DUMMYFUNCTION("""COMPUTED_VALUE"""),"{""effect"":[{""typ"":""marching_effect"",""id"":13650143,""val"":259200000},{""typ"":""vm"",""id"":11151001,""val"":200}]}")</f>
        <v>{"effect":[{"typ":"marching_effect","id":13650143,"val":259200000},{"typ":"vm","id":11151001,"val":200}]}</v>
      </c>
      <c r="T2813" s="148">
        <f>IFERROR(__xludf.DUMMYFUNCTION("""COMPUTED_VALUE"""),-1.0)</f>
        <v>-1</v>
      </c>
      <c r="U2813" s="148">
        <f>IFERROR(__xludf.DUMMYFUNCTION("""COMPUTED_VALUE"""),0.0)</f>
        <v>0</v>
      </c>
      <c r="V2813" s="148" t="str">
        <f>IFERROR(__xludf.DUMMYFUNCTION("""COMPUTED_VALUE"""),"[]")</f>
        <v>[]</v>
      </c>
      <c r="W2813" s="148">
        <f>IFERROR(__xludf.DUMMYFUNCTION("""COMPUTED_VALUE"""),1.174E7)</f>
        <v>11740000</v>
      </c>
      <c r="X2813" s="148">
        <f>IFERROR(__xludf.DUMMYFUNCTION("""COMPUTED_VALUE"""),0.0)</f>
        <v>0</v>
      </c>
      <c r="Y2813" s="148">
        <f>IFERROR(__xludf.DUMMYFUNCTION("""COMPUTED_VALUE"""),0.0)</f>
        <v>0</v>
      </c>
      <c r="Z2813" s="148"/>
    </row>
    <row r="2814">
      <c r="A2814" s="148">
        <f>IFERROR(__xludf.DUMMYFUNCTION("""COMPUTED_VALUE"""),1.1119776E7)</f>
        <v>11119776</v>
      </c>
      <c r="B2814" s="148" t="str">
        <f>IFERROR(__xludf.DUMMYFUNCTION("""COMPUTED_VALUE"""),"2025万圣节行军特效-糖果魔法-7天限时")</f>
        <v>2025万圣节行军特效-糖果魔法-7天限时</v>
      </c>
      <c r="C2814" s="148"/>
      <c r="D2814" s="148" t="str">
        <f>IFERROR(__xludf.DUMMYFUNCTION("""COMPUTED_VALUE"""),"marching_effect")</f>
        <v>marching_effect</v>
      </c>
      <c r="E2814" s="148">
        <f>IFERROR(__xludf.DUMMYFUNCTION("""COMPUTED_VALUE"""),0.0)</f>
        <v>0</v>
      </c>
      <c r="F2814" s="148">
        <f>IFERROR(__xludf.DUMMYFUNCTION("""COMPUTED_VALUE"""),408198.0)</f>
        <v>408198</v>
      </c>
      <c r="G2814" s="148">
        <f>IFERROR(__xludf.DUMMYFUNCTION("""COMPUTED_VALUE"""),1.51103084E8)</f>
        <v>151103084</v>
      </c>
      <c r="H2814" s="148">
        <f>IFERROR(__xludf.DUMMYFUNCTION("""COMPUTED_VALUE"""),1.5112562E7)</f>
        <v>15112562</v>
      </c>
      <c r="I2814" s="148" t="str">
        <f>IFERROR(__xludf.DUMMYFUNCTION("""COMPUTED_VALUE"""),"{""typ"":""lc"",""txt"":""LC_ITEM_time_day_upper_show"",""args"":[{""typ"":""int_unit"",""val"":7}]}")</f>
        <v>{"typ":"lc","txt":"LC_ITEM_time_day_upper_show","args":[{"typ":"int_unit","val":7}]}</v>
      </c>
      <c r="J2814" s="148" t="str">
        <f>IFERROR(__xludf.DUMMYFUNCTION("""COMPUTED_VALUE"""),"{""typ"":""lc"",""txt"":""LC_ITEM_hallo_marcheffect_low_2025""}")</f>
        <v>{"typ":"lc","txt":"LC_ITEM_hallo_marcheffect_low_2025"}</v>
      </c>
      <c r="K2814" s="148" t="str">
        <f>IFERROR(__xludf.DUMMYFUNCTION("""COMPUTED_VALUE"""),"{""typ"":""lc"",""txt"":""LC_ITEM_hallo_marcheffect_low_2025_desc""}")</f>
        <v>{"typ":"lc","txt":"LC_ITEM_hallo_marcheffect_low_2025_desc"}</v>
      </c>
      <c r="L2814" s="148" t="str">
        <f>IFERROR(__xludf.DUMMYFUNCTION("""COMPUTED_VALUE"""),"{""typ"":""lc"",""txt"":""LC_ITEM_march_effect_use_tip_all""}")</f>
        <v>{"typ":"lc","txt":"LC_ITEM_march_effect_use_tip_all"}</v>
      </c>
      <c r="M2814" s="148">
        <f>IFERROR(__xludf.DUMMYFUNCTION("""COMPUTED_VALUE"""),500.0)</f>
        <v>500</v>
      </c>
      <c r="N2814" s="148">
        <f>IFERROR(__xludf.DUMMYFUNCTION("""COMPUTED_VALUE"""),999999.0)</f>
        <v>999999</v>
      </c>
      <c r="O2814" s="148">
        <f>IFERROR(__xludf.DUMMYFUNCTION("""COMPUTED_VALUE"""),99999.0)</f>
        <v>99999</v>
      </c>
      <c r="P2814" s="148">
        <f>IFERROR(__xludf.DUMMYFUNCTION("""COMPUTED_VALUE"""),1.0)</f>
        <v>1</v>
      </c>
      <c r="Q2814" s="148" t="str">
        <f>IFERROR(__xludf.DUMMYFUNCTION("""COMPUTED_VALUE"""),"[""bag_other""]")</f>
        <v>["bag_other"]</v>
      </c>
      <c r="R2814" s="148" t="str">
        <f>IFERROR(__xludf.DUMMYFUNCTION("""COMPUTED_VALUE"""),"[""bag"",""13650143""]")</f>
        <v>["bag","13650143"]</v>
      </c>
      <c r="S2814" s="148" t="str">
        <f>IFERROR(__xludf.DUMMYFUNCTION("""COMPUTED_VALUE"""),"{""effect"":[{""typ"":""marching_effect"",""id"":13650143,""val"":604800000},{""typ"":""vm"",""id"":11151001,""val"":500}]}")</f>
        <v>{"effect":[{"typ":"marching_effect","id":13650143,"val":604800000},{"typ":"vm","id":11151001,"val":500}]}</v>
      </c>
      <c r="T2814" s="148">
        <f>IFERROR(__xludf.DUMMYFUNCTION("""COMPUTED_VALUE"""),-1.0)</f>
        <v>-1</v>
      </c>
      <c r="U2814" s="148">
        <f>IFERROR(__xludf.DUMMYFUNCTION("""COMPUTED_VALUE"""),0.0)</f>
        <v>0</v>
      </c>
      <c r="V2814" s="148" t="str">
        <f>IFERROR(__xludf.DUMMYFUNCTION("""COMPUTED_VALUE"""),"[]")</f>
        <v>[]</v>
      </c>
      <c r="W2814" s="148">
        <f>IFERROR(__xludf.DUMMYFUNCTION("""COMPUTED_VALUE"""),1.174E7)</f>
        <v>11740000</v>
      </c>
      <c r="X2814" s="148">
        <f>IFERROR(__xludf.DUMMYFUNCTION("""COMPUTED_VALUE"""),0.0)</f>
        <v>0</v>
      </c>
      <c r="Y2814" s="148">
        <f>IFERROR(__xludf.DUMMYFUNCTION("""COMPUTED_VALUE"""),0.0)</f>
        <v>0</v>
      </c>
      <c r="Z2814" s="148"/>
    </row>
    <row r="2815">
      <c r="A2815" s="148">
        <f>IFERROR(__xludf.DUMMYFUNCTION("""COMPUTED_VALUE"""),1.1119777E7)</f>
        <v>11119777</v>
      </c>
      <c r="B2815" s="148" t="str">
        <f>IFERROR(__xludf.DUMMYFUNCTION("""COMPUTED_VALUE"""),"2025万圣节行军特效-糖果魔法-14天限时")</f>
        <v>2025万圣节行军特效-糖果魔法-14天限时</v>
      </c>
      <c r="C2815" s="148"/>
      <c r="D2815" s="148" t="str">
        <f>IFERROR(__xludf.DUMMYFUNCTION("""COMPUTED_VALUE"""),"marching_effect")</f>
        <v>marching_effect</v>
      </c>
      <c r="E2815" s="148">
        <f>IFERROR(__xludf.DUMMYFUNCTION("""COMPUTED_VALUE"""),0.0)</f>
        <v>0</v>
      </c>
      <c r="F2815" s="148">
        <f>IFERROR(__xludf.DUMMYFUNCTION("""COMPUTED_VALUE"""),408197.0)</f>
        <v>408197</v>
      </c>
      <c r="G2815" s="148">
        <f>IFERROR(__xludf.DUMMYFUNCTION("""COMPUTED_VALUE"""),1.51103084E8)</f>
        <v>151103084</v>
      </c>
      <c r="H2815" s="148">
        <f>IFERROR(__xludf.DUMMYFUNCTION("""COMPUTED_VALUE"""),1.5112563E7)</f>
        <v>15112563</v>
      </c>
      <c r="I2815" s="148" t="str">
        <f>IFERROR(__xludf.DUMMYFUNCTION("""COMPUTED_VALUE"""),"{""typ"":""lc"",""txt"":""LC_ITEM_time_day_upper_show"",""args"":[{""typ"":""int_unit"",""val"":14}]}")</f>
        <v>{"typ":"lc","txt":"LC_ITEM_time_day_upper_show","args":[{"typ":"int_unit","val":14}]}</v>
      </c>
      <c r="J2815" s="148" t="str">
        <f>IFERROR(__xludf.DUMMYFUNCTION("""COMPUTED_VALUE"""),"{""typ"":""lc"",""txt"":""LC_ITEM_hallo_marcheffect_low_2025""}")</f>
        <v>{"typ":"lc","txt":"LC_ITEM_hallo_marcheffect_low_2025"}</v>
      </c>
      <c r="K2815" s="148" t="str">
        <f>IFERROR(__xludf.DUMMYFUNCTION("""COMPUTED_VALUE"""),"{""typ"":""lc"",""txt"":""LC_ITEM_hallo_marcheffect_low_2025_desc""}")</f>
        <v>{"typ":"lc","txt":"LC_ITEM_hallo_marcheffect_low_2025_desc"}</v>
      </c>
      <c r="L2815" s="148" t="str">
        <f>IFERROR(__xludf.DUMMYFUNCTION("""COMPUTED_VALUE"""),"{""typ"":""lc"",""txt"":""LC_ITEM_march_effect_use_tip_all""}")</f>
        <v>{"typ":"lc","txt":"LC_ITEM_march_effect_use_tip_all"}</v>
      </c>
      <c r="M2815" s="148">
        <f>IFERROR(__xludf.DUMMYFUNCTION("""COMPUTED_VALUE"""),1000.0)</f>
        <v>1000</v>
      </c>
      <c r="N2815" s="148">
        <f>IFERROR(__xludf.DUMMYFUNCTION("""COMPUTED_VALUE"""),999999.0)</f>
        <v>999999</v>
      </c>
      <c r="O2815" s="148">
        <f>IFERROR(__xludf.DUMMYFUNCTION("""COMPUTED_VALUE"""),99999.0)</f>
        <v>99999</v>
      </c>
      <c r="P2815" s="148">
        <f>IFERROR(__xludf.DUMMYFUNCTION("""COMPUTED_VALUE"""),1.0)</f>
        <v>1</v>
      </c>
      <c r="Q2815" s="148" t="str">
        <f>IFERROR(__xludf.DUMMYFUNCTION("""COMPUTED_VALUE"""),"[""bag_other""]")</f>
        <v>["bag_other"]</v>
      </c>
      <c r="R2815" s="148" t="str">
        <f>IFERROR(__xludf.DUMMYFUNCTION("""COMPUTED_VALUE"""),"[""bag"",""13650143""]")</f>
        <v>["bag","13650143"]</v>
      </c>
      <c r="S2815" s="148" t="str">
        <f>IFERROR(__xludf.DUMMYFUNCTION("""COMPUTED_VALUE"""),"{""effect"":[{""typ"":""marching_effect"",""id"":13650143,""val"":1209600000},{""typ"":""vm"",""id"":11151001,""val"":1000}]}")</f>
        <v>{"effect":[{"typ":"marching_effect","id":13650143,"val":1209600000},{"typ":"vm","id":11151001,"val":1000}]}</v>
      </c>
      <c r="T2815" s="148">
        <f>IFERROR(__xludf.DUMMYFUNCTION("""COMPUTED_VALUE"""),-1.0)</f>
        <v>-1</v>
      </c>
      <c r="U2815" s="148">
        <f>IFERROR(__xludf.DUMMYFUNCTION("""COMPUTED_VALUE"""),0.0)</f>
        <v>0</v>
      </c>
      <c r="V2815" s="148" t="str">
        <f>IFERROR(__xludf.DUMMYFUNCTION("""COMPUTED_VALUE"""),"[]")</f>
        <v>[]</v>
      </c>
      <c r="W2815" s="148">
        <f>IFERROR(__xludf.DUMMYFUNCTION("""COMPUTED_VALUE"""),1.174E7)</f>
        <v>11740000</v>
      </c>
      <c r="X2815" s="148">
        <f>IFERROR(__xludf.DUMMYFUNCTION("""COMPUTED_VALUE"""),0.0)</f>
        <v>0</v>
      </c>
      <c r="Y2815" s="148">
        <f>IFERROR(__xludf.DUMMYFUNCTION("""COMPUTED_VALUE"""),0.0)</f>
        <v>0</v>
      </c>
      <c r="Z2815" s="148"/>
    </row>
    <row r="2816">
      <c r="A2816" s="148">
        <f>IFERROR(__xludf.DUMMYFUNCTION("""COMPUTED_VALUE"""),1.1119778E7)</f>
        <v>11119778</v>
      </c>
      <c r="B2816" s="148" t="str">
        <f>IFERROR(__xludf.DUMMYFUNCTION("""COMPUTED_VALUE"""),"2025万圣节行军特效-糖果魔法-30天限时")</f>
        <v>2025万圣节行军特效-糖果魔法-30天限时</v>
      </c>
      <c r="C2816" s="148"/>
      <c r="D2816" s="148" t="str">
        <f>IFERROR(__xludf.DUMMYFUNCTION("""COMPUTED_VALUE"""),"marching_effect")</f>
        <v>marching_effect</v>
      </c>
      <c r="E2816" s="148">
        <f>IFERROR(__xludf.DUMMYFUNCTION("""COMPUTED_VALUE"""),0.0)</f>
        <v>0</v>
      </c>
      <c r="F2816" s="148">
        <f>IFERROR(__xludf.DUMMYFUNCTION("""COMPUTED_VALUE"""),408197.0)</f>
        <v>408197</v>
      </c>
      <c r="G2816" s="148">
        <f>IFERROR(__xludf.DUMMYFUNCTION("""COMPUTED_VALUE"""),1.51103084E8)</f>
        <v>151103084</v>
      </c>
      <c r="H2816" s="148">
        <f>IFERROR(__xludf.DUMMYFUNCTION("""COMPUTED_VALUE"""),1.5112563E7)</f>
        <v>15112563</v>
      </c>
      <c r="I2816" s="148" t="str">
        <f>IFERROR(__xludf.DUMMYFUNCTION("""COMPUTED_VALUE"""),"{""typ"":""lc"",""txt"":""LC_ITEM_time_day_upper_show"",""args"":[{""typ"":""int_unit"",""val"":30}]}")</f>
        <v>{"typ":"lc","txt":"LC_ITEM_time_day_upper_show","args":[{"typ":"int_unit","val":30}]}</v>
      </c>
      <c r="J2816" s="148" t="str">
        <f>IFERROR(__xludf.DUMMYFUNCTION("""COMPUTED_VALUE"""),"{""typ"":""lc"",""txt"":""LC_ITEM_hallo_marcheffect_low_2025""}")</f>
        <v>{"typ":"lc","txt":"LC_ITEM_hallo_marcheffect_low_2025"}</v>
      </c>
      <c r="K2816" s="148" t="str">
        <f>IFERROR(__xludf.DUMMYFUNCTION("""COMPUTED_VALUE"""),"{""typ"":""lc"",""txt"":""LC_ITEM_hallo_marcheffect_low_2025_desc""}")</f>
        <v>{"typ":"lc","txt":"LC_ITEM_hallo_marcheffect_low_2025_desc"}</v>
      </c>
      <c r="L2816" s="148" t="str">
        <f>IFERROR(__xludf.DUMMYFUNCTION("""COMPUTED_VALUE"""),"{""typ"":""lc"",""txt"":""LC_ITEM_march_effect_use_tip_all""}")</f>
        <v>{"typ":"lc","txt":"LC_ITEM_march_effect_use_tip_all"}</v>
      </c>
      <c r="M2816" s="148">
        <f>IFERROR(__xludf.DUMMYFUNCTION("""COMPUTED_VALUE"""),1000.0)</f>
        <v>1000</v>
      </c>
      <c r="N2816" s="148">
        <f>IFERROR(__xludf.DUMMYFUNCTION("""COMPUTED_VALUE"""),999999.0)</f>
        <v>999999</v>
      </c>
      <c r="O2816" s="148">
        <f>IFERROR(__xludf.DUMMYFUNCTION("""COMPUTED_VALUE"""),99999.0)</f>
        <v>99999</v>
      </c>
      <c r="P2816" s="148">
        <f>IFERROR(__xludf.DUMMYFUNCTION("""COMPUTED_VALUE"""),1.0)</f>
        <v>1</v>
      </c>
      <c r="Q2816" s="148" t="str">
        <f>IFERROR(__xludf.DUMMYFUNCTION("""COMPUTED_VALUE"""),"[""bag_other""]")</f>
        <v>["bag_other"]</v>
      </c>
      <c r="R2816" s="148" t="str">
        <f>IFERROR(__xludf.DUMMYFUNCTION("""COMPUTED_VALUE"""),"[""bag"",""13650143""]")</f>
        <v>["bag","13650143"]</v>
      </c>
      <c r="S2816" s="148" t="str">
        <f>IFERROR(__xludf.DUMMYFUNCTION("""COMPUTED_VALUE"""),"{""effect"":[{""typ"":""marching_effect"",""id"":13650143,""val"":2592000000},{""typ"":""vm"",""id"":11151001,""val"":1000}]}")</f>
        <v>{"effect":[{"typ":"marching_effect","id":13650143,"val":2592000000},{"typ":"vm","id":11151001,"val":1000}]}</v>
      </c>
      <c r="T2816" s="148">
        <f>IFERROR(__xludf.DUMMYFUNCTION("""COMPUTED_VALUE"""),-1.0)</f>
        <v>-1</v>
      </c>
      <c r="U2816" s="148">
        <f>IFERROR(__xludf.DUMMYFUNCTION("""COMPUTED_VALUE"""),0.0)</f>
        <v>0</v>
      </c>
      <c r="V2816" s="148" t="str">
        <f>IFERROR(__xludf.DUMMYFUNCTION("""COMPUTED_VALUE"""),"[]")</f>
        <v>[]</v>
      </c>
      <c r="W2816" s="148">
        <f>IFERROR(__xludf.DUMMYFUNCTION("""COMPUTED_VALUE"""),1.174E7)</f>
        <v>11740000</v>
      </c>
      <c r="X2816" s="148">
        <f>IFERROR(__xludf.DUMMYFUNCTION("""COMPUTED_VALUE"""),0.0)</f>
        <v>0</v>
      </c>
      <c r="Y2816" s="148">
        <f>IFERROR(__xludf.DUMMYFUNCTION("""COMPUTED_VALUE"""),0.0)</f>
        <v>0</v>
      </c>
      <c r="Z2816" s="148"/>
    </row>
    <row r="2817">
      <c r="A2817" s="148">
        <f>IFERROR(__xludf.DUMMYFUNCTION("""COMPUTED_VALUE"""),1.1119779E7)</f>
        <v>11119779</v>
      </c>
      <c r="B2817" s="148" t="str">
        <f>IFERROR(__xludf.DUMMYFUNCTION("""COMPUTED_VALUE"""),"2025万圣节行军特效-糖果魔法-永久")</f>
        <v>2025万圣节行军特效-糖果魔法-永久</v>
      </c>
      <c r="C2817" s="148"/>
      <c r="D2817" s="148" t="str">
        <f>IFERROR(__xludf.DUMMYFUNCTION("""COMPUTED_VALUE"""),"marching_effect")</f>
        <v>marching_effect</v>
      </c>
      <c r="E2817" s="148">
        <f>IFERROR(__xludf.DUMMYFUNCTION("""COMPUTED_VALUE"""),0.0)</f>
        <v>0</v>
      </c>
      <c r="F2817" s="148">
        <f>IFERROR(__xludf.DUMMYFUNCTION("""COMPUTED_VALUE"""),408195.0)</f>
        <v>408195</v>
      </c>
      <c r="G2817" s="148">
        <f>IFERROR(__xludf.DUMMYFUNCTION("""COMPUTED_VALUE"""),1.51103084E8)</f>
        <v>151103084</v>
      </c>
      <c r="H2817" s="148">
        <f>IFERROR(__xludf.DUMMYFUNCTION("""COMPUTED_VALUE"""),1.5112564E7)</f>
        <v>15112564</v>
      </c>
      <c r="I2817" s="148" t="str">
        <f>IFERROR(__xludf.DUMMYFUNCTION("""COMPUTED_VALUE"""),"{}")</f>
        <v>{}</v>
      </c>
      <c r="J2817" s="148" t="str">
        <f>IFERROR(__xludf.DUMMYFUNCTION("""COMPUTED_VALUE"""),"{""typ"":""lc"",""txt"":""LC_ITEM_hallo_marcheffect_low_2025""}")</f>
        <v>{"typ":"lc","txt":"LC_ITEM_hallo_marcheffect_low_2025"}</v>
      </c>
      <c r="K2817" s="148" t="str">
        <f>IFERROR(__xludf.DUMMYFUNCTION("""COMPUTED_VALUE"""),"{""typ"":""lc"",""txt"":""LC_ITEM_hallo_marcheffect_low_2025_desc""}")</f>
        <v>{"typ":"lc","txt":"LC_ITEM_hallo_marcheffect_low_2025_desc"}</v>
      </c>
      <c r="L2817" s="148" t="str">
        <f>IFERROR(__xludf.DUMMYFUNCTION("""COMPUTED_VALUE"""),"{""typ"":""lc"",""txt"":""LC_ITEM_march_effect_use_tip_all""}")</f>
        <v>{"typ":"lc","txt":"LC_ITEM_march_effect_use_tip_all"}</v>
      </c>
      <c r="M2817" s="148">
        <f>IFERROR(__xludf.DUMMYFUNCTION("""COMPUTED_VALUE"""),5000.0)</f>
        <v>5000</v>
      </c>
      <c r="N2817" s="148">
        <f>IFERROR(__xludf.DUMMYFUNCTION("""COMPUTED_VALUE"""),999999.0)</f>
        <v>999999</v>
      </c>
      <c r="O2817" s="148">
        <f>IFERROR(__xludf.DUMMYFUNCTION("""COMPUTED_VALUE"""),99999.0)</f>
        <v>99999</v>
      </c>
      <c r="P2817" s="148">
        <f>IFERROR(__xludf.DUMMYFUNCTION("""COMPUTED_VALUE"""),1.0)</f>
        <v>1</v>
      </c>
      <c r="Q2817" s="148" t="str">
        <f>IFERROR(__xludf.DUMMYFUNCTION("""COMPUTED_VALUE"""),"[""bag_other""]")</f>
        <v>["bag_other"]</v>
      </c>
      <c r="R2817" s="148" t="str">
        <f>IFERROR(__xludf.DUMMYFUNCTION("""COMPUTED_VALUE"""),"[""bag"",""13650143""]")</f>
        <v>["bag","13650143"]</v>
      </c>
      <c r="S2817" s="148" t="str">
        <f>IFERROR(__xludf.DUMMYFUNCTION("""COMPUTED_VALUE"""),"{""effect"":[{""typ"":""marching_effect"",""id"":13650143,""val"":-1},{""typ"":""vm"",""id"":11151001,""val"":2500}]}")</f>
        <v>{"effect":[{"typ":"marching_effect","id":13650143,"val":-1},{"typ":"vm","id":11151001,"val":2500}]}</v>
      </c>
      <c r="T2817" s="148">
        <f>IFERROR(__xludf.DUMMYFUNCTION("""COMPUTED_VALUE"""),-1.0)</f>
        <v>-1</v>
      </c>
      <c r="U2817" s="148">
        <f>IFERROR(__xludf.DUMMYFUNCTION("""COMPUTED_VALUE"""),0.0)</f>
        <v>0</v>
      </c>
      <c r="V2817" s="148" t="str">
        <f>IFERROR(__xludf.DUMMYFUNCTION("""COMPUTED_VALUE"""),"[]")</f>
        <v>[]</v>
      </c>
      <c r="W2817" s="148">
        <f>IFERROR(__xludf.DUMMYFUNCTION("""COMPUTED_VALUE"""),1.174E7)</f>
        <v>11740000</v>
      </c>
      <c r="X2817" s="148">
        <f>IFERROR(__xludf.DUMMYFUNCTION("""COMPUTED_VALUE"""),0.0)</f>
        <v>0</v>
      </c>
      <c r="Y2817" s="148">
        <f>IFERROR(__xludf.DUMMYFUNCTION("""COMPUTED_VALUE"""),0.0)</f>
        <v>0</v>
      </c>
      <c r="Z2817" s="148"/>
    </row>
    <row r="2818">
      <c r="A2818" s="148">
        <f>IFERROR(__xludf.DUMMYFUNCTION("""COMPUTED_VALUE"""),1.111978E7)</f>
        <v>11119780</v>
      </c>
      <c r="B2818" s="148" t="str">
        <f>IFERROR(__xludf.DUMMYFUNCTION("""COMPUTED_VALUE"""),"斗士奖牌自选（拉姆斯、菲奥娜、露易丝）")</f>
        <v>斗士奖牌自选（拉姆斯、菲奥娜、露易丝）</v>
      </c>
      <c r="C2818" s="148"/>
      <c r="D2818" s="148" t="str">
        <f>IFERROR(__xludf.DUMMYFUNCTION("""COMPUTED_VALUE"""),"item_select_box")</f>
        <v>item_select_box</v>
      </c>
      <c r="E2818" s="148">
        <f>IFERROR(__xludf.DUMMYFUNCTION("""COMPUTED_VALUE"""),19.0)</f>
        <v>19</v>
      </c>
      <c r="F2818" s="148">
        <f>IFERROR(__xludf.DUMMYFUNCTION("""COMPUTED_VALUE"""),408195.0)</f>
        <v>408195</v>
      </c>
      <c r="G2818" s="148">
        <f>IFERROR(__xludf.DUMMYFUNCTION("""COMPUTED_VALUE"""),1.51103154E8)</f>
        <v>151103154</v>
      </c>
      <c r="H2818" s="148">
        <f>IFERROR(__xludf.DUMMYFUNCTION("""COMPUTED_VALUE"""),1.5112564E7)</f>
        <v>15112564</v>
      </c>
      <c r="I2818" s="148" t="str">
        <f>IFERROR(__xludf.DUMMYFUNCTION("""COMPUTED_VALUE"""),"{}")</f>
        <v>{}</v>
      </c>
      <c r="J2818" s="148" t="str">
        <f>IFERROR(__xludf.DUMMYFUNCTION("""COMPUTED_VALUE"""),"{""typ"":""lc"",""txt"":""LC_ITEM_double_talent_box_tittle""}")</f>
        <v>{"typ":"lc","txt":"LC_ITEM_double_talent_box_tittle"}</v>
      </c>
      <c r="K2818" s="148" t="str">
        <f>IFERROR(__xludf.DUMMYFUNCTION("""COMPUTED_VALUE"""),"{""typ"":""lc"",""txt"":""LC_ITEM_double_talent_box_desc""}")</f>
        <v>{"typ":"lc","txt":"LC_ITEM_double_talent_box_desc"}</v>
      </c>
      <c r="L2818" s="148" t="str">
        <f>IFERROR(__xludf.DUMMYFUNCTION("""COMPUTED_VALUE"""),"{}")</f>
        <v>{}</v>
      </c>
      <c r="M2818" s="148">
        <f>IFERROR(__xludf.DUMMYFUNCTION("""COMPUTED_VALUE"""),4000.0)</f>
        <v>4000</v>
      </c>
      <c r="N2818" s="148">
        <f>IFERROR(__xludf.DUMMYFUNCTION("""COMPUTED_VALUE"""),9999999.0)</f>
        <v>9999999</v>
      </c>
      <c r="O2818" s="148">
        <f>IFERROR(__xludf.DUMMYFUNCTION("""COMPUTED_VALUE"""),99999.0)</f>
        <v>99999</v>
      </c>
      <c r="P2818" s="148">
        <f>IFERROR(__xludf.DUMMYFUNCTION("""COMPUTED_VALUE"""),99999.0)</f>
        <v>99999</v>
      </c>
      <c r="Q2818" s="148" t="str">
        <f>IFERROR(__xludf.DUMMYFUNCTION("""COMPUTED_VALUE"""),"[""bag_other""]")</f>
        <v>["bag_other"]</v>
      </c>
      <c r="R2818" s="148" t="str">
        <f>IFERROR(__xludf.DUMMYFUNCTION("""COMPUTED_VALUE"""),"[""bag""]")</f>
        <v>["bag"]</v>
      </c>
      <c r="S2818" s="148" t="str">
        <f>IFERROR(__xludf.DUMMYFUNCTION("""COMPUTED_VALUE"""),"{""select_box"":[{""typ"":""item"",""id"":11116230,""val"":1},{""typ"":""item"",""id"":11116231,""val"":1},{""typ"":""item"",""id"":11116213,""val"":1}]}")</f>
        <v>{"select_box":[{"typ":"item","id":11116230,"val":1},{"typ":"item","id":11116231,"val":1},{"typ":"item","id":11116213,"val":1}]}</v>
      </c>
      <c r="T2818" s="148">
        <f>IFERROR(__xludf.DUMMYFUNCTION("""COMPUTED_VALUE"""),-1.0)</f>
        <v>-1</v>
      </c>
      <c r="U2818" s="148">
        <f>IFERROR(__xludf.DUMMYFUNCTION("""COMPUTED_VALUE"""),0.0)</f>
        <v>0</v>
      </c>
      <c r="V2818" s="148" t="str">
        <f>IFERROR(__xludf.DUMMYFUNCTION("""COMPUTED_VALUE"""),"[]")</f>
        <v>[]</v>
      </c>
      <c r="W2818" s="148">
        <f>IFERROR(__xludf.DUMMYFUNCTION("""COMPUTED_VALUE"""),1.1741002E7)</f>
        <v>11741002</v>
      </c>
      <c r="X2818" s="148">
        <f>IFERROR(__xludf.DUMMYFUNCTION("""COMPUTED_VALUE"""),0.0)</f>
        <v>0</v>
      </c>
      <c r="Y2818" s="148">
        <f>IFERROR(__xludf.DUMMYFUNCTION("""COMPUTED_VALUE"""),0.0)</f>
        <v>0</v>
      </c>
      <c r="Z2818" s="148"/>
    </row>
    <row r="2819">
      <c r="A2819" s="148">
        <f>IFERROR(__xludf.DUMMYFUNCTION("""COMPUTED_VALUE"""),1.1119781E7)</f>
        <v>11119781</v>
      </c>
      <c r="B2819" s="148" t="str">
        <f>IFERROR(__xludf.DUMMYFUNCTION("""COMPUTED_VALUE"""),"2025万圣节动态头像框-女巫使者")</f>
        <v>2025万圣节动态头像框-女巫使者</v>
      </c>
      <c r="C2819" s="148"/>
      <c r="D2819" s="148" t="str">
        <f>IFERROR(__xludf.DUMMYFUNCTION("""COMPUTED_VALUE"""),"avatar_frame")</f>
        <v>avatar_frame</v>
      </c>
      <c r="E2819" s="148">
        <f>IFERROR(__xludf.DUMMYFUNCTION("""COMPUTED_VALUE"""),20.0)</f>
        <v>20</v>
      </c>
      <c r="F2819" s="148">
        <f>IFERROR(__xludf.DUMMYFUNCTION("""COMPUTED_VALUE"""),0.0)</f>
        <v>0</v>
      </c>
      <c r="G2819" s="148">
        <f>IFERROR(__xludf.DUMMYFUNCTION("""COMPUTED_VALUE"""),1.51103051E8)</f>
        <v>151103051</v>
      </c>
      <c r="H2819" s="148">
        <f>IFERROR(__xludf.DUMMYFUNCTION("""COMPUTED_VALUE"""),1.5112564E7)</f>
        <v>15112564</v>
      </c>
      <c r="I2819" s="148" t="str">
        <f>IFERROR(__xludf.DUMMYFUNCTION("""COMPUTED_VALUE"""),"{}")</f>
        <v>{}</v>
      </c>
      <c r="J2819" s="148" t="str">
        <f>IFERROR(__xludf.DUMMYFUNCTION("""COMPUTED_VALUE"""),"{""typ"":""lc"",""txt"":""LC_ITEM_2025halloween_avatar_name""}")</f>
        <v>{"typ":"lc","txt":"LC_ITEM_2025halloween_avatar_name"}</v>
      </c>
      <c r="K2819" s="148" t="str">
        <f>IFERROR(__xludf.DUMMYFUNCTION("""COMPUTED_VALUE"""),"{""typ"":""lc"",""txt"":""LC_ITEM_2025halloween_avatar_desc""}")</f>
        <v>{"typ":"lc","txt":"LC_ITEM_2025halloween_avatar_desc"}</v>
      </c>
      <c r="L2819" s="148" t="str">
        <f>IFERROR(__xludf.DUMMYFUNCTION("""COMPUTED_VALUE"""),"{}")</f>
        <v>{}</v>
      </c>
      <c r="M2819" s="148">
        <f>IFERROR(__xludf.DUMMYFUNCTION("""COMPUTED_VALUE"""),1000.0)</f>
        <v>1000</v>
      </c>
      <c r="N2819" s="148">
        <f>IFERROR(__xludf.DUMMYFUNCTION("""COMPUTED_VALUE"""),99.0)</f>
        <v>99</v>
      </c>
      <c r="O2819" s="148">
        <f>IFERROR(__xludf.DUMMYFUNCTION("""COMPUTED_VALUE"""),1.0)</f>
        <v>1</v>
      </c>
      <c r="P2819" s="148">
        <f>IFERROR(__xludf.DUMMYFUNCTION("""COMPUTED_VALUE"""),1.0)</f>
        <v>1</v>
      </c>
      <c r="Q2819" s="148" t="str">
        <f>IFERROR(__xludf.DUMMYFUNCTION("""COMPUTED_VALUE"""),"[]")</f>
        <v>[]</v>
      </c>
      <c r="R2819" s="148" t="str">
        <f>IFERROR(__xludf.DUMMYFUNCTION("""COMPUTED_VALUE"""),"[""11421072""]")</f>
        <v>["11421072"]</v>
      </c>
      <c r="S2819" s="148" t="str">
        <f>IFERROR(__xludf.DUMMYFUNCTION("""COMPUTED_VALUE"""),"{""effect"":[{""typ"":""avatar_frame"",""id"":11421072,""val"":-1},{""typ"":""item"",""id"":11111031,""val"":1000}]}")</f>
        <v>{"effect":[{"typ":"avatar_frame","id":11421072,"val":-1},{"typ":"item","id":11111031,"val":1000}]}</v>
      </c>
      <c r="T2819" s="148">
        <f>IFERROR(__xludf.DUMMYFUNCTION("""COMPUTED_VALUE"""),-1.0)</f>
        <v>-1</v>
      </c>
      <c r="U2819" s="148">
        <f>IFERROR(__xludf.DUMMYFUNCTION("""COMPUTED_VALUE"""),1.0)</f>
        <v>1</v>
      </c>
      <c r="V2819" s="148" t="str">
        <f>IFERROR(__xludf.DUMMYFUNCTION("""COMPUTED_VALUE"""),"[]")</f>
        <v>[]</v>
      </c>
      <c r="W2819" s="148">
        <f>IFERROR(__xludf.DUMMYFUNCTION("""COMPUTED_VALUE"""),1.174E7)</f>
        <v>11740000</v>
      </c>
      <c r="X2819" s="148">
        <f>IFERROR(__xludf.DUMMYFUNCTION("""COMPUTED_VALUE"""),0.0)</f>
        <v>0</v>
      </c>
      <c r="Y2819" s="148">
        <f>IFERROR(__xludf.DUMMYFUNCTION("""COMPUTED_VALUE"""),0.0)</f>
        <v>0</v>
      </c>
      <c r="Z2819" s="148"/>
    </row>
    <row r="2820">
      <c r="A2820" s="148">
        <f>IFERROR(__xludf.DUMMYFUNCTION("""COMPUTED_VALUE"""),1.1119782E7)</f>
        <v>11119782</v>
      </c>
      <c r="B2820" s="148" t="str">
        <f>IFERROR(__xludf.DUMMYFUNCTION("""COMPUTED_VALUE"""),"2025感恩节自选宝箱")</f>
        <v>2025感恩节自选宝箱</v>
      </c>
      <c r="C2820" s="148"/>
      <c r="D2820" s="148" t="str">
        <f>IFERROR(__xludf.DUMMYFUNCTION("""COMPUTED_VALUE"""),"item_select_box")</f>
        <v>item_select_box</v>
      </c>
      <c r="E2820" s="148">
        <f>IFERROR(__xludf.DUMMYFUNCTION("""COMPUTED_VALUE"""),19.0)</f>
        <v>19</v>
      </c>
      <c r="F2820" s="148">
        <f>IFERROR(__xludf.DUMMYFUNCTION("""COMPUTED_VALUE"""),0.0)</f>
        <v>0</v>
      </c>
      <c r="G2820" s="148">
        <f>IFERROR(__xludf.DUMMYFUNCTION("""COMPUTED_VALUE"""),1.51103261E8)</f>
        <v>151103261</v>
      </c>
      <c r="H2820" s="148">
        <f>IFERROR(__xludf.DUMMYFUNCTION("""COMPUTED_VALUE"""),1.5112564E7)</f>
        <v>15112564</v>
      </c>
      <c r="I2820" s="148" t="str">
        <f>IFERROR(__xludf.DUMMYFUNCTION("""COMPUTED_VALUE"""),"{}")</f>
        <v>{}</v>
      </c>
      <c r="J2820" s="148" t="str">
        <f>IFERROR(__xludf.DUMMYFUNCTION("""COMPUTED_VALUE"""),"{""typ"":""lc"",""txt"":""LC_ITEM_actv_tg_cbox_name""}")</f>
        <v>{"typ":"lc","txt":"LC_ITEM_actv_tg_cbox_name"}</v>
      </c>
      <c r="K2820" s="148" t="str">
        <f>IFERROR(__xludf.DUMMYFUNCTION("""COMPUTED_VALUE"""),"{""typ"":""lc"",""txt"":""LC_ITEM_actv_tg_cbox_desc""}")</f>
        <v>{"typ":"lc","txt":"LC_ITEM_actv_tg_cbox_desc"}</v>
      </c>
      <c r="L2820" s="148" t="str">
        <f>IFERROR(__xludf.DUMMYFUNCTION("""COMPUTED_VALUE"""),"{}")</f>
        <v>{}</v>
      </c>
      <c r="M2820" s="148">
        <f>IFERROR(__xludf.DUMMYFUNCTION("""COMPUTED_VALUE"""),250.0)</f>
        <v>250</v>
      </c>
      <c r="N2820" s="148">
        <f>IFERROR(__xludf.DUMMYFUNCTION("""COMPUTED_VALUE"""),999999.0)</f>
        <v>999999</v>
      </c>
      <c r="O2820" s="148">
        <f>IFERROR(__xludf.DUMMYFUNCTION("""COMPUTED_VALUE"""),99999.0)</f>
        <v>99999</v>
      </c>
      <c r="P2820" s="148">
        <f>IFERROR(__xludf.DUMMYFUNCTION("""COMPUTED_VALUE"""),9999.0)</f>
        <v>9999</v>
      </c>
      <c r="Q2820" s="148" t="str">
        <f>IFERROR(__xludf.DUMMYFUNCTION("""COMPUTED_VALUE"""),"[""bag_other""]")</f>
        <v>["bag_other"]</v>
      </c>
      <c r="R2820" s="148" t="str">
        <f>IFERROR(__xludf.DUMMYFUNCTION("""COMPUTED_VALUE"""),"[""bag""]")</f>
        <v>["bag"]</v>
      </c>
      <c r="S2820" s="148" t="str">
        <f>IFERROR(__xludf.DUMMYFUNCTION("""COMPUTED_VALUE"""),"{""select_box"":[{""typ"":""item"",""id"":11119425,""val"":10},{""typ"":""item"",""id"":11112352,""val"":10},{""typ"":""item"",""id"":11112334,""val"":10},{""typ"":""item"",""id"":11112498,""val"":2}]}")</f>
        <v>{"select_box":[{"typ":"item","id":11119425,"val":10},{"typ":"item","id":11112352,"val":10},{"typ":"item","id":11112334,"val":10},{"typ":"item","id":11112498,"val":2}]}</v>
      </c>
      <c r="T2820" s="148">
        <f>IFERROR(__xludf.DUMMYFUNCTION("""COMPUTED_VALUE"""),-1.0)</f>
        <v>-1</v>
      </c>
      <c r="U2820" s="148">
        <f>IFERROR(__xludf.DUMMYFUNCTION("""COMPUTED_VALUE"""),0.0)</f>
        <v>0</v>
      </c>
      <c r="V2820" s="148" t="str">
        <f>IFERROR(__xludf.DUMMYFUNCTION("""COMPUTED_VALUE"""),"[]")</f>
        <v>[]</v>
      </c>
      <c r="W2820" s="148">
        <f>IFERROR(__xludf.DUMMYFUNCTION("""COMPUTED_VALUE"""),1.174E7)</f>
        <v>11740000</v>
      </c>
      <c r="X2820" s="148">
        <f>IFERROR(__xludf.DUMMYFUNCTION("""COMPUTED_VALUE"""),0.0)</f>
        <v>0</v>
      </c>
      <c r="Y2820" s="148">
        <f>IFERROR(__xludf.DUMMYFUNCTION("""COMPUTED_VALUE"""),0.0)</f>
        <v>0</v>
      </c>
      <c r="Z2820" s="148"/>
    </row>
    <row r="2821">
      <c r="A2821" s="148">
        <f>IFERROR(__xludf.DUMMYFUNCTION("""COMPUTED_VALUE"""),1.1119783E7)</f>
        <v>11119783</v>
      </c>
      <c r="B2821" s="148" t="str">
        <f>IFERROR(__xludf.DUMMYFUNCTION("""COMPUTED_VALUE"""),"2025感恩节随机宝箱")</f>
        <v>2025感恩节随机宝箱</v>
      </c>
      <c r="C2821" s="148"/>
      <c r="D2821" s="148" t="str">
        <f>IFERROR(__xludf.DUMMYFUNCTION("""COMPUTED_VALUE"""),"item_asset")</f>
        <v>item_asset</v>
      </c>
      <c r="E2821" s="148">
        <f>IFERROR(__xludf.DUMMYFUNCTION("""COMPUTED_VALUE"""),19.0)</f>
        <v>19</v>
      </c>
      <c r="F2821" s="148">
        <f>IFERROR(__xludf.DUMMYFUNCTION("""COMPUTED_VALUE"""),0.0)</f>
        <v>0</v>
      </c>
      <c r="G2821" s="148">
        <f>IFERROR(__xludf.DUMMYFUNCTION("""COMPUTED_VALUE"""),1.51103262E8)</f>
        <v>151103262</v>
      </c>
      <c r="H2821" s="148">
        <f>IFERROR(__xludf.DUMMYFUNCTION("""COMPUTED_VALUE"""),1.5112564E7)</f>
        <v>15112564</v>
      </c>
      <c r="I2821" s="148" t="str">
        <f>IFERROR(__xludf.DUMMYFUNCTION("""COMPUTED_VALUE"""),"{}")</f>
        <v>{}</v>
      </c>
      <c r="J2821" s="148" t="str">
        <f>IFERROR(__xludf.DUMMYFUNCTION("""COMPUTED_VALUE"""),"{""typ"":""lc"",""txt"":""LC_ITEM_actv_tg_rbox_name""}")</f>
        <v>{"typ":"lc","txt":"LC_ITEM_actv_tg_rbox_name"}</v>
      </c>
      <c r="K2821" s="148" t="str">
        <f>IFERROR(__xludf.DUMMYFUNCTION("""COMPUTED_VALUE"""),"{""typ"":""lc"",""txt"":""LC_ITEM_actv_tg_rbox_desc""}")</f>
        <v>{"typ":"lc","txt":"LC_ITEM_actv_tg_rbox_desc"}</v>
      </c>
      <c r="L2821" s="148" t="str">
        <f>IFERROR(__xludf.DUMMYFUNCTION("""COMPUTED_VALUE"""),"{}")</f>
        <v>{}</v>
      </c>
      <c r="M2821" s="148">
        <f>IFERROR(__xludf.DUMMYFUNCTION("""COMPUTED_VALUE"""),125.0)</f>
        <v>125</v>
      </c>
      <c r="N2821" s="148">
        <f>IFERROR(__xludf.DUMMYFUNCTION("""COMPUTED_VALUE"""),999999.0)</f>
        <v>999999</v>
      </c>
      <c r="O2821" s="148">
        <f>IFERROR(__xludf.DUMMYFUNCTION("""COMPUTED_VALUE"""),99999.0)</f>
        <v>99999</v>
      </c>
      <c r="P2821" s="148">
        <f>IFERROR(__xludf.DUMMYFUNCTION("""COMPUTED_VALUE"""),9999.0)</f>
        <v>9999</v>
      </c>
      <c r="Q2821" s="148" t="str">
        <f>IFERROR(__xludf.DUMMYFUNCTION("""COMPUTED_VALUE"""),"[""bag_other""]")</f>
        <v>["bag_other"]</v>
      </c>
      <c r="R2821" s="148" t="str">
        <f>IFERROR(__xludf.DUMMYFUNCTION("""COMPUTED_VALUE"""),"[""bag""]")</f>
        <v>["bag"]</v>
      </c>
      <c r="S2821" s="148" t="str">
        <f>IFERROR(__xludf.DUMMYFUNCTION("""COMPUTED_VALUE"""),"{""drop"":{""typ"":""single_random"",""num"":1,""args"":[{""typ"":""item"",""id"":11112334,""num"":2,""wgt"":20},{""typ"":""item"",""id"":11116304,""num"":1,""wgt"":5},{""typ"":""item"",""id"":11116110,""num"":1,""wgt"":20},{""typ"":""item"",""id"":111143"&amp;"30,""num"":1,""wgt"":100},{""typ"":""item"",""id"":11111155,""num"":2,""wgt"":100},{""typ"":""item"",""id"":11111105,""num"":1,""wgt"":50}]}}")</f>
        <v>{"drop":{"typ":"single_random","num":1,"args":[{"typ":"item","id":11112334,"num":2,"wgt":20},{"typ":"item","id":11116304,"num":1,"wgt":5},{"typ":"item","id":11116110,"num":1,"wgt":20},{"typ":"item","id":11114330,"num":1,"wgt":100},{"typ":"item","id":11111155,"num":2,"wgt":100},{"typ":"item","id":11111105,"num":1,"wgt":50}]}}</v>
      </c>
      <c r="T2821" s="148">
        <f>IFERROR(__xludf.DUMMYFUNCTION("""COMPUTED_VALUE"""),-1.0)</f>
        <v>-1</v>
      </c>
      <c r="U2821" s="148">
        <f>IFERROR(__xludf.DUMMYFUNCTION("""COMPUTED_VALUE"""),0.0)</f>
        <v>0</v>
      </c>
      <c r="V2821" s="148" t="str">
        <f>IFERROR(__xludf.DUMMYFUNCTION("""COMPUTED_VALUE"""),"[]")</f>
        <v>[]</v>
      </c>
      <c r="W2821" s="148">
        <f>IFERROR(__xludf.DUMMYFUNCTION("""COMPUTED_VALUE"""),1.174E7)</f>
        <v>11740000</v>
      </c>
      <c r="X2821" s="148">
        <f>IFERROR(__xludf.DUMMYFUNCTION("""COMPUTED_VALUE"""),0.0)</f>
        <v>0</v>
      </c>
      <c r="Y2821" s="148">
        <f>IFERROR(__xludf.DUMMYFUNCTION("""COMPUTED_VALUE"""),0.0)</f>
        <v>0</v>
      </c>
      <c r="Z2821" s="148"/>
    </row>
    <row r="2822">
      <c r="A2822" s="148">
        <f>IFERROR(__xludf.DUMMYFUNCTION("""COMPUTED_VALUE"""),1.1119784E7)</f>
        <v>11119784</v>
      </c>
      <c r="B2822" s="148" t="str">
        <f>IFERROR(__xludf.DUMMYFUNCTION("""COMPUTED_VALUE"""),"2025感恩节行军特效-秋野漫游-1天限时")</f>
        <v>2025感恩节行军特效-秋野漫游-1天限时</v>
      </c>
      <c r="C2822" s="148"/>
      <c r="D2822" s="148" t="str">
        <f>IFERROR(__xludf.DUMMYFUNCTION("""COMPUTED_VALUE"""),"marching_effect")</f>
        <v>marching_effect</v>
      </c>
      <c r="E2822" s="148">
        <f>IFERROR(__xludf.DUMMYFUNCTION("""COMPUTED_VALUE"""),0.0)</f>
        <v>0</v>
      </c>
      <c r="F2822" s="148">
        <f>IFERROR(__xludf.DUMMYFUNCTION("""COMPUTED_VALUE"""),408200.0)</f>
        <v>408200</v>
      </c>
      <c r="G2822" s="148">
        <f>IFERROR(__xludf.DUMMYFUNCTION("""COMPUTED_VALUE"""),1.5110325E8)</f>
        <v>151103250</v>
      </c>
      <c r="H2822" s="148">
        <f>IFERROR(__xludf.DUMMYFUNCTION("""COMPUTED_VALUE"""),1.511256E7)</f>
        <v>15112560</v>
      </c>
      <c r="I2822" s="148" t="str">
        <f>IFERROR(__xludf.DUMMYFUNCTION("""COMPUTED_VALUE"""),"{""typ"":""lc"",""txt"":""LC_ITEM_time_day_upper_show"",""args"":[{""typ"":""int_unit"",""val"":1}]}")</f>
        <v>{"typ":"lc","txt":"LC_ITEM_time_day_upper_show","args":[{"typ":"int_unit","val":1}]}</v>
      </c>
      <c r="J2822" s="148" t="str">
        <f>IFERROR(__xludf.DUMMYFUNCTION("""COMPUTED_VALUE"""),"{""typ"":""lc"",""txt"":""LC_ITEM_tg_marcheffect_low_2025""}")</f>
        <v>{"typ":"lc","txt":"LC_ITEM_tg_marcheffect_low_2025"}</v>
      </c>
      <c r="K2822" s="148" t="str">
        <f>IFERROR(__xludf.DUMMYFUNCTION("""COMPUTED_VALUE"""),"{""typ"":""lc"",""txt"":""LC_ITEM_tg_marcheffect_low_2025_desc""}")</f>
        <v>{"typ":"lc","txt":"LC_ITEM_tg_marcheffect_low_2025_desc"}</v>
      </c>
      <c r="L2822" s="148" t="str">
        <f>IFERROR(__xludf.DUMMYFUNCTION("""COMPUTED_VALUE"""),"{""typ"":""lc"",""txt"":""LC_ITEM_march_effect_use_tip_all""}")</f>
        <v>{"typ":"lc","txt":"LC_ITEM_march_effect_use_tip_all"}</v>
      </c>
      <c r="M2822" s="148">
        <f>IFERROR(__xludf.DUMMYFUNCTION("""COMPUTED_VALUE"""),50.0)</f>
        <v>50</v>
      </c>
      <c r="N2822" s="148">
        <f>IFERROR(__xludf.DUMMYFUNCTION("""COMPUTED_VALUE"""),999999.0)</f>
        <v>999999</v>
      </c>
      <c r="O2822" s="148">
        <f>IFERROR(__xludf.DUMMYFUNCTION("""COMPUTED_VALUE"""),99999.0)</f>
        <v>99999</v>
      </c>
      <c r="P2822" s="148">
        <f>IFERROR(__xludf.DUMMYFUNCTION("""COMPUTED_VALUE"""),1.0)</f>
        <v>1</v>
      </c>
      <c r="Q2822" s="148" t="str">
        <f>IFERROR(__xludf.DUMMYFUNCTION("""COMPUTED_VALUE"""),"[""bag_other""]")</f>
        <v>["bag_other"]</v>
      </c>
      <c r="R2822" s="148" t="str">
        <f>IFERROR(__xludf.DUMMYFUNCTION("""COMPUTED_VALUE"""),"[""bag"",""13650145""]")</f>
        <v>["bag","13650145"]</v>
      </c>
      <c r="S2822" s="148" t="str">
        <f>IFERROR(__xludf.DUMMYFUNCTION("""COMPUTED_VALUE"""),"{""effect"":[{""typ"":""marching_effect"",""id"":13650145,""val"":86400000},{""typ"":""vm"",""id"":11151001,""val"":50}]}")</f>
        <v>{"effect":[{"typ":"marching_effect","id":13650145,"val":86400000},{"typ":"vm","id":11151001,"val":50}]}</v>
      </c>
      <c r="T2822" s="148">
        <f>IFERROR(__xludf.DUMMYFUNCTION("""COMPUTED_VALUE"""),-1.0)</f>
        <v>-1</v>
      </c>
      <c r="U2822" s="148">
        <f>IFERROR(__xludf.DUMMYFUNCTION("""COMPUTED_VALUE"""),0.0)</f>
        <v>0</v>
      </c>
      <c r="V2822" s="148" t="str">
        <f>IFERROR(__xludf.DUMMYFUNCTION("""COMPUTED_VALUE"""),"[]")</f>
        <v>[]</v>
      </c>
      <c r="W2822" s="148">
        <f>IFERROR(__xludf.DUMMYFUNCTION("""COMPUTED_VALUE"""),1.174E7)</f>
        <v>11740000</v>
      </c>
      <c r="X2822" s="148">
        <f>IFERROR(__xludf.DUMMYFUNCTION("""COMPUTED_VALUE"""),0.0)</f>
        <v>0</v>
      </c>
      <c r="Y2822" s="148">
        <f>IFERROR(__xludf.DUMMYFUNCTION("""COMPUTED_VALUE"""),0.0)</f>
        <v>0</v>
      </c>
      <c r="Z2822" s="148"/>
    </row>
    <row r="2823">
      <c r="A2823" s="148">
        <f>IFERROR(__xludf.DUMMYFUNCTION("""COMPUTED_VALUE"""),1.1119785E7)</f>
        <v>11119785</v>
      </c>
      <c r="B2823" s="148" t="str">
        <f>IFERROR(__xludf.DUMMYFUNCTION("""COMPUTED_VALUE"""),"2025感恩节行军特效-秋野漫游-3天限时")</f>
        <v>2025感恩节行军特效-秋野漫游-3天限时</v>
      </c>
      <c r="C2823" s="148"/>
      <c r="D2823" s="148" t="str">
        <f>IFERROR(__xludf.DUMMYFUNCTION("""COMPUTED_VALUE"""),"marching_effect")</f>
        <v>marching_effect</v>
      </c>
      <c r="E2823" s="148">
        <f>IFERROR(__xludf.DUMMYFUNCTION("""COMPUTED_VALUE"""),0.0)</f>
        <v>0</v>
      </c>
      <c r="F2823" s="148">
        <f>IFERROR(__xludf.DUMMYFUNCTION("""COMPUTED_VALUE"""),408199.0)</f>
        <v>408199</v>
      </c>
      <c r="G2823" s="148">
        <f>IFERROR(__xludf.DUMMYFUNCTION("""COMPUTED_VALUE"""),1.5110325E8)</f>
        <v>151103250</v>
      </c>
      <c r="H2823" s="148">
        <f>IFERROR(__xludf.DUMMYFUNCTION("""COMPUTED_VALUE"""),1.5112561E7)</f>
        <v>15112561</v>
      </c>
      <c r="I2823" s="148" t="str">
        <f>IFERROR(__xludf.DUMMYFUNCTION("""COMPUTED_VALUE"""),"{""typ"":""lc"",""txt"":""LC_ITEM_time_day_upper_show"",""args"":[{""typ"":""int_unit"",""val"":3}]}")</f>
        <v>{"typ":"lc","txt":"LC_ITEM_time_day_upper_show","args":[{"typ":"int_unit","val":3}]}</v>
      </c>
      <c r="J2823" s="148" t="str">
        <f>IFERROR(__xludf.DUMMYFUNCTION("""COMPUTED_VALUE"""),"{""typ"":""lc"",""txt"":""LC_ITEM_tg_marcheffect_low_2025""}")</f>
        <v>{"typ":"lc","txt":"LC_ITEM_tg_marcheffect_low_2025"}</v>
      </c>
      <c r="K2823" s="148" t="str">
        <f>IFERROR(__xludf.DUMMYFUNCTION("""COMPUTED_VALUE"""),"{""typ"":""lc"",""txt"":""LC_ITEM_tg_marcheffect_low_2025_desc""}")</f>
        <v>{"typ":"lc","txt":"LC_ITEM_tg_marcheffect_low_2025_desc"}</v>
      </c>
      <c r="L2823" s="148" t="str">
        <f>IFERROR(__xludf.DUMMYFUNCTION("""COMPUTED_VALUE"""),"{""typ"":""lc"",""txt"":""LC_ITEM_march_effect_use_tip_all""}")</f>
        <v>{"typ":"lc","txt":"LC_ITEM_march_effect_use_tip_all"}</v>
      </c>
      <c r="M2823" s="148">
        <f>IFERROR(__xludf.DUMMYFUNCTION("""COMPUTED_VALUE"""),200.0)</f>
        <v>200</v>
      </c>
      <c r="N2823" s="148">
        <f>IFERROR(__xludf.DUMMYFUNCTION("""COMPUTED_VALUE"""),999999.0)</f>
        <v>999999</v>
      </c>
      <c r="O2823" s="148">
        <f>IFERROR(__xludf.DUMMYFUNCTION("""COMPUTED_VALUE"""),99999.0)</f>
        <v>99999</v>
      </c>
      <c r="P2823" s="148">
        <f>IFERROR(__xludf.DUMMYFUNCTION("""COMPUTED_VALUE"""),1.0)</f>
        <v>1</v>
      </c>
      <c r="Q2823" s="148" t="str">
        <f>IFERROR(__xludf.DUMMYFUNCTION("""COMPUTED_VALUE"""),"[""bag_other""]")</f>
        <v>["bag_other"]</v>
      </c>
      <c r="R2823" s="148" t="str">
        <f>IFERROR(__xludf.DUMMYFUNCTION("""COMPUTED_VALUE"""),"[""bag"",""13650145""]")</f>
        <v>["bag","13650145"]</v>
      </c>
      <c r="S2823" s="148" t="str">
        <f>IFERROR(__xludf.DUMMYFUNCTION("""COMPUTED_VALUE"""),"{""effect"":[{""typ"":""marching_effect"",""id"":13650145,""val"":259200000},{""typ"":""vm"",""id"":11151001,""val"":200}]}")</f>
        <v>{"effect":[{"typ":"marching_effect","id":13650145,"val":259200000},{"typ":"vm","id":11151001,"val":200}]}</v>
      </c>
      <c r="T2823" s="148">
        <f>IFERROR(__xludf.DUMMYFUNCTION("""COMPUTED_VALUE"""),-1.0)</f>
        <v>-1</v>
      </c>
      <c r="U2823" s="148">
        <f>IFERROR(__xludf.DUMMYFUNCTION("""COMPUTED_VALUE"""),0.0)</f>
        <v>0</v>
      </c>
      <c r="V2823" s="148" t="str">
        <f>IFERROR(__xludf.DUMMYFUNCTION("""COMPUTED_VALUE"""),"[]")</f>
        <v>[]</v>
      </c>
      <c r="W2823" s="148">
        <f>IFERROR(__xludf.DUMMYFUNCTION("""COMPUTED_VALUE"""),1.174E7)</f>
        <v>11740000</v>
      </c>
      <c r="X2823" s="148">
        <f>IFERROR(__xludf.DUMMYFUNCTION("""COMPUTED_VALUE"""),0.0)</f>
        <v>0</v>
      </c>
      <c r="Y2823" s="148">
        <f>IFERROR(__xludf.DUMMYFUNCTION("""COMPUTED_VALUE"""),0.0)</f>
        <v>0</v>
      </c>
      <c r="Z2823" s="148"/>
    </row>
    <row r="2824">
      <c r="A2824" s="148">
        <f>IFERROR(__xludf.DUMMYFUNCTION("""COMPUTED_VALUE"""),1.1119786E7)</f>
        <v>11119786</v>
      </c>
      <c r="B2824" s="148" t="str">
        <f>IFERROR(__xludf.DUMMYFUNCTION("""COMPUTED_VALUE"""),"2025感恩节行军特效-秋野漫游-7天限时")</f>
        <v>2025感恩节行军特效-秋野漫游-7天限时</v>
      </c>
      <c r="C2824" s="148"/>
      <c r="D2824" s="148" t="str">
        <f>IFERROR(__xludf.DUMMYFUNCTION("""COMPUTED_VALUE"""),"marching_effect")</f>
        <v>marching_effect</v>
      </c>
      <c r="E2824" s="148">
        <f>IFERROR(__xludf.DUMMYFUNCTION("""COMPUTED_VALUE"""),0.0)</f>
        <v>0</v>
      </c>
      <c r="F2824" s="148">
        <f>IFERROR(__xludf.DUMMYFUNCTION("""COMPUTED_VALUE"""),408198.0)</f>
        <v>408198</v>
      </c>
      <c r="G2824" s="148">
        <f>IFERROR(__xludf.DUMMYFUNCTION("""COMPUTED_VALUE"""),1.5110325E8)</f>
        <v>151103250</v>
      </c>
      <c r="H2824" s="148">
        <f>IFERROR(__xludf.DUMMYFUNCTION("""COMPUTED_VALUE"""),1.5112562E7)</f>
        <v>15112562</v>
      </c>
      <c r="I2824" s="148" t="str">
        <f>IFERROR(__xludf.DUMMYFUNCTION("""COMPUTED_VALUE"""),"{""typ"":""lc"",""txt"":""LC_ITEM_time_day_upper_show"",""args"":[{""typ"":""int_unit"",""val"":7}]}")</f>
        <v>{"typ":"lc","txt":"LC_ITEM_time_day_upper_show","args":[{"typ":"int_unit","val":7}]}</v>
      </c>
      <c r="J2824" s="148" t="str">
        <f>IFERROR(__xludf.DUMMYFUNCTION("""COMPUTED_VALUE"""),"{""typ"":""lc"",""txt"":""LC_ITEM_tg_marcheffect_low_2025""}")</f>
        <v>{"typ":"lc","txt":"LC_ITEM_tg_marcheffect_low_2025"}</v>
      </c>
      <c r="K2824" s="148" t="str">
        <f>IFERROR(__xludf.DUMMYFUNCTION("""COMPUTED_VALUE"""),"{""typ"":""lc"",""txt"":""LC_ITEM_tg_marcheffect_low_2025_desc""}")</f>
        <v>{"typ":"lc","txt":"LC_ITEM_tg_marcheffect_low_2025_desc"}</v>
      </c>
      <c r="L2824" s="148" t="str">
        <f>IFERROR(__xludf.DUMMYFUNCTION("""COMPUTED_VALUE"""),"{""typ"":""lc"",""txt"":""LC_ITEM_march_effect_use_tip_all""}")</f>
        <v>{"typ":"lc","txt":"LC_ITEM_march_effect_use_tip_all"}</v>
      </c>
      <c r="M2824" s="148">
        <f>IFERROR(__xludf.DUMMYFUNCTION("""COMPUTED_VALUE"""),500.0)</f>
        <v>500</v>
      </c>
      <c r="N2824" s="148">
        <f>IFERROR(__xludf.DUMMYFUNCTION("""COMPUTED_VALUE"""),999999.0)</f>
        <v>999999</v>
      </c>
      <c r="O2824" s="148">
        <f>IFERROR(__xludf.DUMMYFUNCTION("""COMPUTED_VALUE"""),99999.0)</f>
        <v>99999</v>
      </c>
      <c r="P2824" s="148">
        <f>IFERROR(__xludf.DUMMYFUNCTION("""COMPUTED_VALUE"""),1.0)</f>
        <v>1</v>
      </c>
      <c r="Q2824" s="148" t="str">
        <f>IFERROR(__xludf.DUMMYFUNCTION("""COMPUTED_VALUE"""),"[""bag_other""]")</f>
        <v>["bag_other"]</v>
      </c>
      <c r="R2824" s="148" t="str">
        <f>IFERROR(__xludf.DUMMYFUNCTION("""COMPUTED_VALUE"""),"[""bag"",""13650145""]")</f>
        <v>["bag","13650145"]</v>
      </c>
      <c r="S2824" s="148" t="str">
        <f>IFERROR(__xludf.DUMMYFUNCTION("""COMPUTED_VALUE"""),"{""effect"":[{""typ"":""marching_effect"",""id"":13650145,""val"":604800000},{""typ"":""vm"",""id"":11151001,""val"":500}]}")</f>
        <v>{"effect":[{"typ":"marching_effect","id":13650145,"val":604800000},{"typ":"vm","id":11151001,"val":500}]}</v>
      </c>
      <c r="T2824" s="148">
        <f>IFERROR(__xludf.DUMMYFUNCTION("""COMPUTED_VALUE"""),-1.0)</f>
        <v>-1</v>
      </c>
      <c r="U2824" s="148">
        <f>IFERROR(__xludf.DUMMYFUNCTION("""COMPUTED_VALUE"""),0.0)</f>
        <v>0</v>
      </c>
      <c r="V2824" s="148" t="str">
        <f>IFERROR(__xludf.DUMMYFUNCTION("""COMPUTED_VALUE"""),"[]")</f>
        <v>[]</v>
      </c>
      <c r="W2824" s="148">
        <f>IFERROR(__xludf.DUMMYFUNCTION("""COMPUTED_VALUE"""),1.174E7)</f>
        <v>11740000</v>
      </c>
      <c r="X2824" s="148">
        <f>IFERROR(__xludf.DUMMYFUNCTION("""COMPUTED_VALUE"""),0.0)</f>
        <v>0</v>
      </c>
      <c r="Y2824" s="148">
        <f>IFERROR(__xludf.DUMMYFUNCTION("""COMPUTED_VALUE"""),0.0)</f>
        <v>0</v>
      </c>
      <c r="Z2824" s="148"/>
    </row>
    <row r="2825">
      <c r="A2825" s="148">
        <f>IFERROR(__xludf.DUMMYFUNCTION("""COMPUTED_VALUE"""),1.1119787E7)</f>
        <v>11119787</v>
      </c>
      <c r="B2825" s="148" t="str">
        <f>IFERROR(__xludf.DUMMYFUNCTION("""COMPUTED_VALUE"""),"2025感恩节行军特效-秋野漫游-14天限时")</f>
        <v>2025感恩节行军特效-秋野漫游-14天限时</v>
      </c>
      <c r="C2825" s="148"/>
      <c r="D2825" s="148" t="str">
        <f>IFERROR(__xludf.DUMMYFUNCTION("""COMPUTED_VALUE"""),"marching_effect")</f>
        <v>marching_effect</v>
      </c>
      <c r="E2825" s="148">
        <f>IFERROR(__xludf.DUMMYFUNCTION("""COMPUTED_VALUE"""),0.0)</f>
        <v>0</v>
      </c>
      <c r="F2825" s="148">
        <f>IFERROR(__xludf.DUMMYFUNCTION("""COMPUTED_VALUE"""),408197.0)</f>
        <v>408197</v>
      </c>
      <c r="G2825" s="148">
        <f>IFERROR(__xludf.DUMMYFUNCTION("""COMPUTED_VALUE"""),1.5110325E8)</f>
        <v>151103250</v>
      </c>
      <c r="H2825" s="148">
        <f>IFERROR(__xludf.DUMMYFUNCTION("""COMPUTED_VALUE"""),1.5112563E7)</f>
        <v>15112563</v>
      </c>
      <c r="I2825" s="148" t="str">
        <f>IFERROR(__xludf.DUMMYFUNCTION("""COMPUTED_VALUE"""),"{""typ"":""lc"",""txt"":""LC_ITEM_time_day_upper_show"",""args"":[{""typ"":""int_unit"",""val"":14}]}")</f>
        <v>{"typ":"lc","txt":"LC_ITEM_time_day_upper_show","args":[{"typ":"int_unit","val":14}]}</v>
      </c>
      <c r="J2825" s="148" t="str">
        <f>IFERROR(__xludf.DUMMYFUNCTION("""COMPUTED_VALUE"""),"{""typ"":""lc"",""txt"":""LC_ITEM_tg_marcheffect_low_2025""}")</f>
        <v>{"typ":"lc","txt":"LC_ITEM_tg_marcheffect_low_2025"}</v>
      </c>
      <c r="K2825" s="148" t="str">
        <f>IFERROR(__xludf.DUMMYFUNCTION("""COMPUTED_VALUE"""),"{""typ"":""lc"",""txt"":""LC_ITEM_tg_marcheffect_low_2025_desc""}")</f>
        <v>{"typ":"lc","txt":"LC_ITEM_tg_marcheffect_low_2025_desc"}</v>
      </c>
      <c r="L2825" s="148" t="str">
        <f>IFERROR(__xludf.DUMMYFUNCTION("""COMPUTED_VALUE"""),"{""typ"":""lc"",""txt"":""LC_ITEM_march_effect_use_tip_all""}")</f>
        <v>{"typ":"lc","txt":"LC_ITEM_march_effect_use_tip_all"}</v>
      </c>
      <c r="M2825" s="148">
        <f>IFERROR(__xludf.DUMMYFUNCTION("""COMPUTED_VALUE"""),1000.0)</f>
        <v>1000</v>
      </c>
      <c r="N2825" s="148">
        <f>IFERROR(__xludf.DUMMYFUNCTION("""COMPUTED_VALUE"""),999999.0)</f>
        <v>999999</v>
      </c>
      <c r="O2825" s="148">
        <f>IFERROR(__xludf.DUMMYFUNCTION("""COMPUTED_VALUE"""),99999.0)</f>
        <v>99999</v>
      </c>
      <c r="P2825" s="148">
        <f>IFERROR(__xludf.DUMMYFUNCTION("""COMPUTED_VALUE"""),1.0)</f>
        <v>1</v>
      </c>
      <c r="Q2825" s="148" t="str">
        <f>IFERROR(__xludf.DUMMYFUNCTION("""COMPUTED_VALUE"""),"[""bag_other""]")</f>
        <v>["bag_other"]</v>
      </c>
      <c r="R2825" s="148" t="str">
        <f>IFERROR(__xludf.DUMMYFUNCTION("""COMPUTED_VALUE"""),"[""bag"",""13650145""]")</f>
        <v>["bag","13650145"]</v>
      </c>
      <c r="S2825" s="148" t="str">
        <f>IFERROR(__xludf.DUMMYFUNCTION("""COMPUTED_VALUE"""),"{""effect"":[{""typ"":""marching_effect"",""id"":13650145,""val"":1209600000},{""typ"":""vm"",""id"":11151001,""val"":1000}]}")</f>
        <v>{"effect":[{"typ":"marching_effect","id":13650145,"val":1209600000},{"typ":"vm","id":11151001,"val":1000}]}</v>
      </c>
      <c r="T2825" s="148">
        <f>IFERROR(__xludf.DUMMYFUNCTION("""COMPUTED_VALUE"""),-1.0)</f>
        <v>-1</v>
      </c>
      <c r="U2825" s="148">
        <f>IFERROR(__xludf.DUMMYFUNCTION("""COMPUTED_VALUE"""),0.0)</f>
        <v>0</v>
      </c>
      <c r="V2825" s="148" t="str">
        <f>IFERROR(__xludf.DUMMYFUNCTION("""COMPUTED_VALUE"""),"[]")</f>
        <v>[]</v>
      </c>
      <c r="W2825" s="148">
        <f>IFERROR(__xludf.DUMMYFUNCTION("""COMPUTED_VALUE"""),1.174E7)</f>
        <v>11740000</v>
      </c>
      <c r="X2825" s="148">
        <f>IFERROR(__xludf.DUMMYFUNCTION("""COMPUTED_VALUE"""),0.0)</f>
        <v>0</v>
      </c>
      <c r="Y2825" s="148">
        <f>IFERROR(__xludf.DUMMYFUNCTION("""COMPUTED_VALUE"""),0.0)</f>
        <v>0</v>
      </c>
      <c r="Z2825" s="148"/>
    </row>
    <row r="2826">
      <c r="A2826" s="148">
        <f>IFERROR(__xludf.DUMMYFUNCTION("""COMPUTED_VALUE"""),1.1119788E7)</f>
        <v>11119788</v>
      </c>
      <c r="B2826" s="148" t="str">
        <f>IFERROR(__xludf.DUMMYFUNCTION("""COMPUTED_VALUE"""),"2025感恩节行军特效-秋野漫游-30天限时")</f>
        <v>2025感恩节行军特效-秋野漫游-30天限时</v>
      </c>
      <c r="C2826" s="148"/>
      <c r="D2826" s="148" t="str">
        <f>IFERROR(__xludf.DUMMYFUNCTION("""COMPUTED_VALUE"""),"marching_effect")</f>
        <v>marching_effect</v>
      </c>
      <c r="E2826" s="148">
        <f>IFERROR(__xludf.DUMMYFUNCTION("""COMPUTED_VALUE"""),0.0)</f>
        <v>0</v>
      </c>
      <c r="F2826" s="148">
        <f>IFERROR(__xludf.DUMMYFUNCTION("""COMPUTED_VALUE"""),408197.0)</f>
        <v>408197</v>
      </c>
      <c r="G2826" s="148">
        <f>IFERROR(__xludf.DUMMYFUNCTION("""COMPUTED_VALUE"""),1.5110325E8)</f>
        <v>151103250</v>
      </c>
      <c r="H2826" s="148">
        <f>IFERROR(__xludf.DUMMYFUNCTION("""COMPUTED_VALUE"""),1.5112563E7)</f>
        <v>15112563</v>
      </c>
      <c r="I2826" s="148" t="str">
        <f>IFERROR(__xludf.DUMMYFUNCTION("""COMPUTED_VALUE"""),"{""typ"":""lc"",""txt"":""LC_ITEM_time_day_upper_show"",""args"":[{""typ"":""int_unit"",""val"":30}]}")</f>
        <v>{"typ":"lc","txt":"LC_ITEM_time_day_upper_show","args":[{"typ":"int_unit","val":30}]}</v>
      </c>
      <c r="J2826" s="148" t="str">
        <f>IFERROR(__xludf.DUMMYFUNCTION("""COMPUTED_VALUE"""),"{""typ"":""lc"",""txt"":""LC_ITEM_tg_marcheffect_low_2025""}")</f>
        <v>{"typ":"lc","txt":"LC_ITEM_tg_marcheffect_low_2025"}</v>
      </c>
      <c r="K2826" s="148" t="str">
        <f>IFERROR(__xludf.DUMMYFUNCTION("""COMPUTED_VALUE"""),"{""typ"":""lc"",""txt"":""LC_ITEM_tg_marcheffect_low_2025_desc""}")</f>
        <v>{"typ":"lc","txt":"LC_ITEM_tg_marcheffect_low_2025_desc"}</v>
      </c>
      <c r="L2826" s="148" t="str">
        <f>IFERROR(__xludf.DUMMYFUNCTION("""COMPUTED_VALUE"""),"{""typ"":""lc"",""txt"":""LC_ITEM_march_effect_use_tip_all""}")</f>
        <v>{"typ":"lc","txt":"LC_ITEM_march_effect_use_tip_all"}</v>
      </c>
      <c r="M2826" s="148">
        <f>IFERROR(__xludf.DUMMYFUNCTION("""COMPUTED_VALUE"""),1000.0)</f>
        <v>1000</v>
      </c>
      <c r="N2826" s="148">
        <f>IFERROR(__xludf.DUMMYFUNCTION("""COMPUTED_VALUE"""),999999.0)</f>
        <v>999999</v>
      </c>
      <c r="O2826" s="148">
        <f>IFERROR(__xludf.DUMMYFUNCTION("""COMPUTED_VALUE"""),99999.0)</f>
        <v>99999</v>
      </c>
      <c r="P2826" s="148">
        <f>IFERROR(__xludf.DUMMYFUNCTION("""COMPUTED_VALUE"""),1.0)</f>
        <v>1</v>
      </c>
      <c r="Q2826" s="148" t="str">
        <f>IFERROR(__xludf.DUMMYFUNCTION("""COMPUTED_VALUE"""),"[""bag_other""]")</f>
        <v>["bag_other"]</v>
      </c>
      <c r="R2826" s="148" t="str">
        <f>IFERROR(__xludf.DUMMYFUNCTION("""COMPUTED_VALUE"""),"[""bag"",""13650145""]")</f>
        <v>["bag","13650145"]</v>
      </c>
      <c r="S2826" s="148" t="str">
        <f>IFERROR(__xludf.DUMMYFUNCTION("""COMPUTED_VALUE"""),"{""effect"":[{""typ"":""marching_effect"",""id"":13650145,""val"":2592000000},{""typ"":""vm"",""id"":11151001,""val"":1000}]}")</f>
        <v>{"effect":[{"typ":"marching_effect","id":13650145,"val":2592000000},{"typ":"vm","id":11151001,"val":1000}]}</v>
      </c>
      <c r="T2826" s="148">
        <f>IFERROR(__xludf.DUMMYFUNCTION("""COMPUTED_VALUE"""),-1.0)</f>
        <v>-1</v>
      </c>
      <c r="U2826" s="148">
        <f>IFERROR(__xludf.DUMMYFUNCTION("""COMPUTED_VALUE"""),0.0)</f>
        <v>0</v>
      </c>
      <c r="V2826" s="148" t="str">
        <f>IFERROR(__xludf.DUMMYFUNCTION("""COMPUTED_VALUE"""),"[]")</f>
        <v>[]</v>
      </c>
      <c r="W2826" s="148">
        <f>IFERROR(__xludf.DUMMYFUNCTION("""COMPUTED_VALUE"""),1.174E7)</f>
        <v>11740000</v>
      </c>
      <c r="X2826" s="148">
        <f>IFERROR(__xludf.DUMMYFUNCTION("""COMPUTED_VALUE"""),0.0)</f>
        <v>0</v>
      </c>
      <c r="Y2826" s="148">
        <f>IFERROR(__xludf.DUMMYFUNCTION("""COMPUTED_VALUE"""),0.0)</f>
        <v>0</v>
      </c>
      <c r="Z2826" s="148"/>
    </row>
    <row r="2827">
      <c r="A2827" s="148">
        <f>IFERROR(__xludf.DUMMYFUNCTION("""COMPUTED_VALUE"""),1.1119789E7)</f>
        <v>11119789</v>
      </c>
      <c r="B2827" s="148" t="str">
        <f>IFERROR(__xludf.DUMMYFUNCTION("""COMPUTED_VALUE"""),"2025感恩节行军特效-秋野漫游-永久")</f>
        <v>2025感恩节行军特效-秋野漫游-永久</v>
      </c>
      <c r="C2827" s="148"/>
      <c r="D2827" s="148" t="str">
        <f>IFERROR(__xludf.DUMMYFUNCTION("""COMPUTED_VALUE"""),"marching_effect")</f>
        <v>marching_effect</v>
      </c>
      <c r="E2827" s="148">
        <f>IFERROR(__xludf.DUMMYFUNCTION("""COMPUTED_VALUE"""),0.0)</f>
        <v>0</v>
      </c>
      <c r="F2827" s="148">
        <f>IFERROR(__xludf.DUMMYFUNCTION("""COMPUTED_VALUE"""),408195.0)</f>
        <v>408195</v>
      </c>
      <c r="G2827" s="148">
        <f>IFERROR(__xludf.DUMMYFUNCTION("""COMPUTED_VALUE"""),1.5110325E8)</f>
        <v>151103250</v>
      </c>
      <c r="H2827" s="148">
        <f>IFERROR(__xludf.DUMMYFUNCTION("""COMPUTED_VALUE"""),1.5112564E7)</f>
        <v>15112564</v>
      </c>
      <c r="I2827" s="148" t="str">
        <f>IFERROR(__xludf.DUMMYFUNCTION("""COMPUTED_VALUE"""),"{}")</f>
        <v>{}</v>
      </c>
      <c r="J2827" s="148" t="str">
        <f>IFERROR(__xludf.DUMMYFUNCTION("""COMPUTED_VALUE"""),"{""typ"":""lc"",""txt"":""LC_ITEM_tg_marcheffect_low_2025""}")</f>
        <v>{"typ":"lc","txt":"LC_ITEM_tg_marcheffect_low_2025"}</v>
      </c>
      <c r="K2827" s="148" t="str">
        <f>IFERROR(__xludf.DUMMYFUNCTION("""COMPUTED_VALUE"""),"{""typ"":""lc"",""txt"":""LC_ITEM_tg_marcheffect_low_2025_desc""}")</f>
        <v>{"typ":"lc","txt":"LC_ITEM_tg_marcheffect_low_2025_desc"}</v>
      </c>
      <c r="L2827" s="148" t="str">
        <f>IFERROR(__xludf.DUMMYFUNCTION("""COMPUTED_VALUE"""),"{""typ"":""lc"",""txt"":""LC_ITEM_march_effect_use_tip_all""}")</f>
        <v>{"typ":"lc","txt":"LC_ITEM_march_effect_use_tip_all"}</v>
      </c>
      <c r="M2827" s="148">
        <f>IFERROR(__xludf.DUMMYFUNCTION("""COMPUTED_VALUE"""),5000.0)</f>
        <v>5000</v>
      </c>
      <c r="N2827" s="148">
        <f>IFERROR(__xludf.DUMMYFUNCTION("""COMPUTED_VALUE"""),999999.0)</f>
        <v>999999</v>
      </c>
      <c r="O2827" s="148">
        <f>IFERROR(__xludf.DUMMYFUNCTION("""COMPUTED_VALUE"""),99999.0)</f>
        <v>99999</v>
      </c>
      <c r="P2827" s="148">
        <f>IFERROR(__xludf.DUMMYFUNCTION("""COMPUTED_VALUE"""),1.0)</f>
        <v>1</v>
      </c>
      <c r="Q2827" s="148" t="str">
        <f>IFERROR(__xludf.DUMMYFUNCTION("""COMPUTED_VALUE"""),"[""bag_other""]")</f>
        <v>["bag_other"]</v>
      </c>
      <c r="R2827" s="148" t="str">
        <f>IFERROR(__xludf.DUMMYFUNCTION("""COMPUTED_VALUE"""),"[""bag"",""13650145""]")</f>
        <v>["bag","13650145"]</v>
      </c>
      <c r="S2827" s="148" t="str">
        <f>IFERROR(__xludf.DUMMYFUNCTION("""COMPUTED_VALUE"""),"{""effect"":[{""typ"":""marching_effect"",""id"":13650145,""val"":-1},{""typ"":""vm"",""id"":11151001,""val"":2500}]}")</f>
        <v>{"effect":[{"typ":"marching_effect","id":13650145,"val":-1},{"typ":"vm","id":11151001,"val":2500}]}</v>
      </c>
      <c r="T2827" s="148">
        <f>IFERROR(__xludf.DUMMYFUNCTION("""COMPUTED_VALUE"""),-1.0)</f>
        <v>-1</v>
      </c>
      <c r="U2827" s="148">
        <f>IFERROR(__xludf.DUMMYFUNCTION("""COMPUTED_VALUE"""),0.0)</f>
        <v>0</v>
      </c>
      <c r="V2827" s="148" t="str">
        <f>IFERROR(__xludf.DUMMYFUNCTION("""COMPUTED_VALUE"""),"[]")</f>
        <v>[]</v>
      </c>
      <c r="W2827" s="148">
        <f>IFERROR(__xludf.DUMMYFUNCTION("""COMPUTED_VALUE"""),1.174E7)</f>
        <v>11740000</v>
      </c>
      <c r="X2827" s="148">
        <f>IFERROR(__xludf.DUMMYFUNCTION("""COMPUTED_VALUE"""),0.0)</f>
        <v>0</v>
      </c>
      <c r="Y2827" s="148">
        <f>IFERROR(__xludf.DUMMYFUNCTION("""COMPUTED_VALUE"""),0.0)</f>
        <v>0</v>
      </c>
      <c r="Z2827" s="148"/>
    </row>
    <row r="2828">
      <c r="A2828" s="148">
        <f>IFERROR(__xludf.DUMMYFUNCTION("""COMPUTED_VALUE"""),1.111979E7)</f>
        <v>11119790</v>
      </c>
      <c r="B2828" s="148" t="str">
        <f>IFERROR(__xludf.DUMMYFUNCTION("""COMPUTED_VALUE"""),"2025感恩节行军特效-枫中漫步-1天限时")</f>
        <v>2025感恩节行军特效-枫中漫步-1天限时</v>
      </c>
      <c r="C2828" s="148"/>
      <c r="D2828" s="148" t="str">
        <f>IFERROR(__xludf.DUMMYFUNCTION("""COMPUTED_VALUE"""),"marching_effect")</f>
        <v>marching_effect</v>
      </c>
      <c r="E2828" s="148">
        <f>IFERROR(__xludf.DUMMYFUNCTION("""COMPUTED_VALUE"""),0.0)</f>
        <v>0</v>
      </c>
      <c r="F2828" s="148">
        <f>IFERROR(__xludf.DUMMYFUNCTION("""COMPUTED_VALUE"""),408200.0)</f>
        <v>408200</v>
      </c>
      <c r="G2828" s="148">
        <f>IFERROR(__xludf.DUMMYFUNCTION("""COMPUTED_VALUE"""),1.51103249E8)</f>
        <v>151103249</v>
      </c>
      <c r="H2828" s="148">
        <f>IFERROR(__xludf.DUMMYFUNCTION("""COMPUTED_VALUE"""),1.511256E7)</f>
        <v>15112560</v>
      </c>
      <c r="I2828" s="148" t="str">
        <f>IFERROR(__xludf.DUMMYFUNCTION("""COMPUTED_VALUE"""),"{""typ"":""lc"",""txt"":""LC_ITEM_time_day_upper_show"",""args"":[{""typ"":""int_unit"",""val"":1}]}")</f>
        <v>{"typ":"lc","txt":"LC_ITEM_time_day_upper_show","args":[{"typ":"int_unit","val":1}]}</v>
      </c>
      <c r="J2828" s="148" t="str">
        <f>IFERROR(__xludf.DUMMYFUNCTION("""COMPUTED_VALUE"""),"{""typ"":""lc"",""txt"":""LC_ITEM_tg_marcheffect_high_2025""}")</f>
        <v>{"typ":"lc","txt":"LC_ITEM_tg_marcheffect_high_2025"}</v>
      </c>
      <c r="K2828" s="148" t="str">
        <f>IFERROR(__xludf.DUMMYFUNCTION("""COMPUTED_VALUE"""),"{""typ"":""lc"",""txt"":""LC_ITEM_tg_marcheffect_high_2025_desc""}")</f>
        <v>{"typ":"lc","txt":"LC_ITEM_tg_marcheffect_high_2025_desc"}</v>
      </c>
      <c r="L2828" s="148" t="str">
        <f>IFERROR(__xludf.DUMMYFUNCTION("""COMPUTED_VALUE"""),"{""typ"":""lc"",""txt"":""LC_ITEM_march_effect_use_tip_all""}")</f>
        <v>{"typ":"lc","txt":"LC_ITEM_march_effect_use_tip_all"}</v>
      </c>
      <c r="M2828" s="148">
        <f>IFERROR(__xludf.DUMMYFUNCTION("""COMPUTED_VALUE"""),50.0)</f>
        <v>50</v>
      </c>
      <c r="N2828" s="148">
        <f>IFERROR(__xludf.DUMMYFUNCTION("""COMPUTED_VALUE"""),999999.0)</f>
        <v>999999</v>
      </c>
      <c r="O2828" s="148">
        <f>IFERROR(__xludf.DUMMYFUNCTION("""COMPUTED_VALUE"""),99999.0)</f>
        <v>99999</v>
      </c>
      <c r="P2828" s="148">
        <f>IFERROR(__xludf.DUMMYFUNCTION("""COMPUTED_VALUE"""),1.0)</f>
        <v>1</v>
      </c>
      <c r="Q2828" s="148" t="str">
        <f>IFERROR(__xludf.DUMMYFUNCTION("""COMPUTED_VALUE"""),"[""bag_other""]")</f>
        <v>["bag_other"]</v>
      </c>
      <c r="R2828" s="148" t="str">
        <f>IFERROR(__xludf.DUMMYFUNCTION("""COMPUTED_VALUE"""),"[""bag"",""13650146""]")</f>
        <v>["bag","13650146"]</v>
      </c>
      <c r="S2828" s="148" t="str">
        <f>IFERROR(__xludf.DUMMYFUNCTION("""COMPUTED_VALUE"""),"{""effect"":[{""typ"":""marching_effect"",""id"":13650146,""val"":86400000},{""typ"":""vm"",""id"":11151001,""val"":50}]}")</f>
        <v>{"effect":[{"typ":"marching_effect","id":13650146,"val":86400000},{"typ":"vm","id":11151001,"val":50}]}</v>
      </c>
      <c r="T2828" s="148">
        <f>IFERROR(__xludf.DUMMYFUNCTION("""COMPUTED_VALUE"""),-1.0)</f>
        <v>-1</v>
      </c>
      <c r="U2828" s="148">
        <f>IFERROR(__xludf.DUMMYFUNCTION("""COMPUTED_VALUE"""),0.0)</f>
        <v>0</v>
      </c>
      <c r="V2828" s="148" t="str">
        <f>IFERROR(__xludf.DUMMYFUNCTION("""COMPUTED_VALUE"""),"[]")</f>
        <v>[]</v>
      </c>
      <c r="W2828" s="148">
        <f>IFERROR(__xludf.DUMMYFUNCTION("""COMPUTED_VALUE"""),1.174E7)</f>
        <v>11740000</v>
      </c>
      <c r="X2828" s="148">
        <f>IFERROR(__xludf.DUMMYFUNCTION("""COMPUTED_VALUE"""),0.0)</f>
        <v>0</v>
      </c>
      <c r="Y2828" s="148">
        <f>IFERROR(__xludf.DUMMYFUNCTION("""COMPUTED_VALUE"""),0.0)</f>
        <v>0</v>
      </c>
      <c r="Z2828" s="148"/>
    </row>
    <row r="2829">
      <c r="A2829" s="148">
        <f>IFERROR(__xludf.DUMMYFUNCTION("""COMPUTED_VALUE"""),1.1119791E7)</f>
        <v>11119791</v>
      </c>
      <c r="B2829" s="148" t="str">
        <f>IFERROR(__xludf.DUMMYFUNCTION("""COMPUTED_VALUE"""),"2025感恩节行军特效-枫中漫步-3天限时")</f>
        <v>2025感恩节行军特效-枫中漫步-3天限时</v>
      </c>
      <c r="C2829" s="148"/>
      <c r="D2829" s="148" t="str">
        <f>IFERROR(__xludf.DUMMYFUNCTION("""COMPUTED_VALUE"""),"marching_effect")</f>
        <v>marching_effect</v>
      </c>
      <c r="E2829" s="148">
        <f>IFERROR(__xludf.DUMMYFUNCTION("""COMPUTED_VALUE"""),0.0)</f>
        <v>0</v>
      </c>
      <c r="F2829" s="148">
        <f>IFERROR(__xludf.DUMMYFUNCTION("""COMPUTED_VALUE"""),408199.0)</f>
        <v>408199</v>
      </c>
      <c r="G2829" s="148">
        <f>IFERROR(__xludf.DUMMYFUNCTION("""COMPUTED_VALUE"""),1.51103249E8)</f>
        <v>151103249</v>
      </c>
      <c r="H2829" s="148">
        <f>IFERROR(__xludf.DUMMYFUNCTION("""COMPUTED_VALUE"""),1.5112561E7)</f>
        <v>15112561</v>
      </c>
      <c r="I2829" s="148" t="str">
        <f>IFERROR(__xludf.DUMMYFUNCTION("""COMPUTED_VALUE"""),"{""typ"":""lc"",""txt"":""LC_ITEM_time_day_upper_show"",""args"":[{""typ"":""int_unit"",""val"":3}]}")</f>
        <v>{"typ":"lc","txt":"LC_ITEM_time_day_upper_show","args":[{"typ":"int_unit","val":3}]}</v>
      </c>
      <c r="J2829" s="148" t="str">
        <f>IFERROR(__xludf.DUMMYFUNCTION("""COMPUTED_VALUE"""),"{""typ"":""lc"",""txt"":""LC_ITEM_tg_marcheffect_high_2025""}")</f>
        <v>{"typ":"lc","txt":"LC_ITEM_tg_marcheffect_high_2025"}</v>
      </c>
      <c r="K2829" s="148" t="str">
        <f>IFERROR(__xludf.DUMMYFUNCTION("""COMPUTED_VALUE"""),"{""typ"":""lc"",""txt"":""LC_ITEM_tg_marcheffect_high_2025_desc""}")</f>
        <v>{"typ":"lc","txt":"LC_ITEM_tg_marcheffect_high_2025_desc"}</v>
      </c>
      <c r="L2829" s="148" t="str">
        <f>IFERROR(__xludf.DUMMYFUNCTION("""COMPUTED_VALUE"""),"{""typ"":""lc"",""txt"":""LC_ITEM_march_effect_use_tip_all""}")</f>
        <v>{"typ":"lc","txt":"LC_ITEM_march_effect_use_tip_all"}</v>
      </c>
      <c r="M2829" s="148">
        <f>IFERROR(__xludf.DUMMYFUNCTION("""COMPUTED_VALUE"""),200.0)</f>
        <v>200</v>
      </c>
      <c r="N2829" s="148">
        <f>IFERROR(__xludf.DUMMYFUNCTION("""COMPUTED_VALUE"""),999999.0)</f>
        <v>999999</v>
      </c>
      <c r="O2829" s="148">
        <f>IFERROR(__xludf.DUMMYFUNCTION("""COMPUTED_VALUE"""),99999.0)</f>
        <v>99999</v>
      </c>
      <c r="P2829" s="148">
        <f>IFERROR(__xludf.DUMMYFUNCTION("""COMPUTED_VALUE"""),1.0)</f>
        <v>1</v>
      </c>
      <c r="Q2829" s="148" t="str">
        <f>IFERROR(__xludf.DUMMYFUNCTION("""COMPUTED_VALUE"""),"[""bag_other""]")</f>
        <v>["bag_other"]</v>
      </c>
      <c r="R2829" s="148" t="str">
        <f>IFERROR(__xludf.DUMMYFUNCTION("""COMPUTED_VALUE"""),"[""bag"",""13650146""]")</f>
        <v>["bag","13650146"]</v>
      </c>
      <c r="S2829" s="148" t="str">
        <f>IFERROR(__xludf.DUMMYFUNCTION("""COMPUTED_VALUE"""),"{""effect"":[{""typ"":""marching_effect"",""id"":13650146,""val"":259200000},{""typ"":""vm"",""id"":11151001,""val"":200}]}")</f>
        <v>{"effect":[{"typ":"marching_effect","id":13650146,"val":259200000},{"typ":"vm","id":11151001,"val":200}]}</v>
      </c>
      <c r="T2829" s="148">
        <f>IFERROR(__xludf.DUMMYFUNCTION("""COMPUTED_VALUE"""),-1.0)</f>
        <v>-1</v>
      </c>
      <c r="U2829" s="148">
        <f>IFERROR(__xludf.DUMMYFUNCTION("""COMPUTED_VALUE"""),0.0)</f>
        <v>0</v>
      </c>
      <c r="V2829" s="148" t="str">
        <f>IFERROR(__xludf.DUMMYFUNCTION("""COMPUTED_VALUE"""),"[]")</f>
        <v>[]</v>
      </c>
      <c r="W2829" s="148">
        <f>IFERROR(__xludf.DUMMYFUNCTION("""COMPUTED_VALUE"""),1.174E7)</f>
        <v>11740000</v>
      </c>
      <c r="X2829" s="148">
        <f>IFERROR(__xludf.DUMMYFUNCTION("""COMPUTED_VALUE"""),0.0)</f>
        <v>0</v>
      </c>
      <c r="Y2829" s="148">
        <f>IFERROR(__xludf.DUMMYFUNCTION("""COMPUTED_VALUE"""),0.0)</f>
        <v>0</v>
      </c>
      <c r="Z2829" s="148"/>
    </row>
    <row r="2830">
      <c r="A2830" s="148">
        <f>IFERROR(__xludf.DUMMYFUNCTION("""COMPUTED_VALUE"""),1.1119792E7)</f>
        <v>11119792</v>
      </c>
      <c r="B2830" s="148" t="str">
        <f>IFERROR(__xludf.DUMMYFUNCTION("""COMPUTED_VALUE"""),"2025感恩节行军特效-枫中漫步-7天限时")</f>
        <v>2025感恩节行军特效-枫中漫步-7天限时</v>
      </c>
      <c r="C2830" s="148"/>
      <c r="D2830" s="148" t="str">
        <f>IFERROR(__xludf.DUMMYFUNCTION("""COMPUTED_VALUE"""),"marching_effect")</f>
        <v>marching_effect</v>
      </c>
      <c r="E2830" s="148">
        <f>IFERROR(__xludf.DUMMYFUNCTION("""COMPUTED_VALUE"""),0.0)</f>
        <v>0</v>
      </c>
      <c r="F2830" s="148">
        <f>IFERROR(__xludf.DUMMYFUNCTION("""COMPUTED_VALUE"""),408198.0)</f>
        <v>408198</v>
      </c>
      <c r="G2830" s="148">
        <f>IFERROR(__xludf.DUMMYFUNCTION("""COMPUTED_VALUE"""),1.51103249E8)</f>
        <v>151103249</v>
      </c>
      <c r="H2830" s="148">
        <f>IFERROR(__xludf.DUMMYFUNCTION("""COMPUTED_VALUE"""),1.5112562E7)</f>
        <v>15112562</v>
      </c>
      <c r="I2830" s="148" t="str">
        <f>IFERROR(__xludf.DUMMYFUNCTION("""COMPUTED_VALUE"""),"{""typ"":""lc"",""txt"":""LC_ITEM_time_day_upper_show"",""args"":[{""typ"":""int_unit"",""val"":7}]}")</f>
        <v>{"typ":"lc","txt":"LC_ITEM_time_day_upper_show","args":[{"typ":"int_unit","val":7}]}</v>
      </c>
      <c r="J2830" s="148" t="str">
        <f>IFERROR(__xludf.DUMMYFUNCTION("""COMPUTED_VALUE"""),"{""typ"":""lc"",""txt"":""LC_ITEM_tg_marcheffect_high_2025""}")</f>
        <v>{"typ":"lc","txt":"LC_ITEM_tg_marcheffect_high_2025"}</v>
      </c>
      <c r="K2830" s="148" t="str">
        <f>IFERROR(__xludf.DUMMYFUNCTION("""COMPUTED_VALUE"""),"{""typ"":""lc"",""txt"":""LC_ITEM_tg_marcheffect_high_2025_desc""}")</f>
        <v>{"typ":"lc","txt":"LC_ITEM_tg_marcheffect_high_2025_desc"}</v>
      </c>
      <c r="L2830" s="148" t="str">
        <f>IFERROR(__xludf.DUMMYFUNCTION("""COMPUTED_VALUE"""),"{""typ"":""lc"",""txt"":""LC_ITEM_march_effect_use_tip_all""}")</f>
        <v>{"typ":"lc","txt":"LC_ITEM_march_effect_use_tip_all"}</v>
      </c>
      <c r="M2830" s="148">
        <f>IFERROR(__xludf.DUMMYFUNCTION("""COMPUTED_VALUE"""),500.0)</f>
        <v>500</v>
      </c>
      <c r="N2830" s="148">
        <f>IFERROR(__xludf.DUMMYFUNCTION("""COMPUTED_VALUE"""),999999.0)</f>
        <v>999999</v>
      </c>
      <c r="O2830" s="148">
        <f>IFERROR(__xludf.DUMMYFUNCTION("""COMPUTED_VALUE"""),99999.0)</f>
        <v>99999</v>
      </c>
      <c r="P2830" s="148">
        <f>IFERROR(__xludf.DUMMYFUNCTION("""COMPUTED_VALUE"""),1.0)</f>
        <v>1</v>
      </c>
      <c r="Q2830" s="148" t="str">
        <f>IFERROR(__xludf.DUMMYFUNCTION("""COMPUTED_VALUE"""),"[""bag_other""]")</f>
        <v>["bag_other"]</v>
      </c>
      <c r="R2830" s="148" t="str">
        <f>IFERROR(__xludf.DUMMYFUNCTION("""COMPUTED_VALUE"""),"[""bag"",""13650146""]")</f>
        <v>["bag","13650146"]</v>
      </c>
      <c r="S2830" s="148" t="str">
        <f>IFERROR(__xludf.DUMMYFUNCTION("""COMPUTED_VALUE"""),"{""effect"":[{""typ"":""marching_effect"",""id"":13650146,""val"":604800000},{""typ"":""vm"",""id"":11151001,""val"":500}]}")</f>
        <v>{"effect":[{"typ":"marching_effect","id":13650146,"val":604800000},{"typ":"vm","id":11151001,"val":500}]}</v>
      </c>
      <c r="T2830" s="148">
        <f>IFERROR(__xludf.DUMMYFUNCTION("""COMPUTED_VALUE"""),-1.0)</f>
        <v>-1</v>
      </c>
      <c r="U2830" s="148">
        <f>IFERROR(__xludf.DUMMYFUNCTION("""COMPUTED_VALUE"""),0.0)</f>
        <v>0</v>
      </c>
      <c r="V2830" s="148" t="str">
        <f>IFERROR(__xludf.DUMMYFUNCTION("""COMPUTED_VALUE"""),"[]")</f>
        <v>[]</v>
      </c>
      <c r="W2830" s="148">
        <f>IFERROR(__xludf.DUMMYFUNCTION("""COMPUTED_VALUE"""),1.174E7)</f>
        <v>11740000</v>
      </c>
      <c r="X2830" s="148">
        <f>IFERROR(__xludf.DUMMYFUNCTION("""COMPUTED_VALUE"""),0.0)</f>
        <v>0</v>
      </c>
      <c r="Y2830" s="148">
        <f>IFERROR(__xludf.DUMMYFUNCTION("""COMPUTED_VALUE"""),0.0)</f>
        <v>0</v>
      </c>
      <c r="Z2830" s="148"/>
    </row>
    <row r="2831">
      <c r="A2831" s="148">
        <f>IFERROR(__xludf.DUMMYFUNCTION("""COMPUTED_VALUE"""),1.1119793E7)</f>
        <v>11119793</v>
      </c>
      <c r="B2831" s="148" t="str">
        <f>IFERROR(__xludf.DUMMYFUNCTION("""COMPUTED_VALUE"""),"2025感恩节行军特效-枫中漫步-14天限时")</f>
        <v>2025感恩节行军特效-枫中漫步-14天限时</v>
      </c>
      <c r="C2831" s="148"/>
      <c r="D2831" s="148" t="str">
        <f>IFERROR(__xludf.DUMMYFUNCTION("""COMPUTED_VALUE"""),"marching_effect")</f>
        <v>marching_effect</v>
      </c>
      <c r="E2831" s="148">
        <f>IFERROR(__xludf.DUMMYFUNCTION("""COMPUTED_VALUE"""),0.0)</f>
        <v>0</v>
      </c>
      <c r="F2831" s="148">
        <f>IFERROR(__xludf.DUMMYFUNCTION("""COMPUTED_VALUE"""),408197.0)</f>
        <v>408197</v>
      </c>
      <c r="G2831" s="148">
        <f>IFERROR(__xludf.DUMMYFUNCTION("""COMPUTED_VALUE"""),1.51103249E8)</f>
        <v>151103249</v>
      </c>
      <c r="H2831" s="148">
        <f>IFERROR(__xludf.DUMMYFUNCTION("""COMPUTED_VALUE"""),1.5112563E7)</f>
        <v>15112563</v>
      </c>
      <c r="I2831" s="148" t="str">
        <f>IFERROR(__xludf.DUMMYFUNCTION("""COMPUTED_VALUE"""),"{""typ"":""lc"",""txt"":""LC_ITEM_time_day_upper_show"",""args"":[{""typ"":""int_unit"",""val"":14}]}")</f>
        <v>{"typ":"lc","txt":"LC_ITEM_time_day_upper_show","args":[{"typ":"int_unit","val":14}]}</v>
      </c>
      <c r="J2831" s="148" t="str">
        <f>IFERROR(__xludf.DUMMYFUNCTION("""COMPUTED_VALUE"""),"{""typ"":""lc"",""txt"":""LC_ITEM_tg_marcheffect_high_2025""}")</f>
        <v>{"typ":"lc","txt":"LC_ITEM_tg_marcheffect_high_2025"}</v>
      </c>
      <c r="K2831" s="148" t="str">
        <f>IFERROR(__xludf.DUMMYFUNCTION("""COMPUTED_VALUE"""),"{""typ"":""lc"",""txt"":""LC_ITEM_tg_marcheffect_high_2025_desc""}")</f>
        <v>{"typ":"lc","txt":"LC_ITEM_tg_marcheffect_high_2025_desc"}</v>
      </c>
      <c r="L2831" s="148" t="str">
        <f>IFERROR(__xludf.DUMMYFUNCTION("""COMPUTED_VALUE"""),"{""typ"":""lc"",""txt"":""LC_ITEM_march_effect_use_tip_all""}")</f>
        <v>{"typ":"lc","txt":"LC_ITEM_march_effect_use_tip_all"}</v>
      </c>
      <c r="M2831" s="148">
        <f>IFERROR(__xludf.DUMMYFUNCTION("""COMPUTED_VALUE"""),1000.0)</f>
        <v>1000</v>
      </c>
      <c r="N2831" s="148">
        <f>IFERROR(__xludf.DUMMYFUNCTION("""COMPUTED_VALUE"""),999999.0)</f>
        <v>999999</v>
      </c>
      <c r="O2831" s="148">
        <f>IFERROR(__xludf.DUMMYFUNCTION("""COMPUTED_VALUE"""),99999.0)</f>
        <v>99999</v>
      </c>
      <c r="P2831" s="148">
        <f>IFERROR(__xludf.DUMMYFUNCTION("""COMPUTED_VALUE"""),1.0)</f>
        <v>1</v>
      </c>
      <c r="Q2831" s="148" t="str">
        <f>IFERROR(__xludf.DUMMYFUNCTION("""COMPUTED_VALUE"""),"[""bag_other""]")</f>
        <v>["bag_other"]</v>
      </c>
      <c r="R2831" s="148" t="str">
        <f>IFERROR(__xludf.DUMMYFUNCTION("""COMPUTED_VALUE"""),"[""bag"",""13650146""]")</f>
        <v>["bag","13650146"]</v>
      </c>
      <c r="S2831" s="148" t="str">
        <f>IFERROR(__xludf.DUMMYFUNCTION("""COMPUTED_VALUE"""),"{""effect"":[{""typ"":""marching_effect"",""id"":13650146,""val"":1209600000},{""typ"":""vm"",""id"":11151001,""val"":1000}]}")</f>
        <v>{"effect":[{"typ":"marching_effect","id":13650146,"val":1209600000},{"typ":"vm","id":11151001,"val":1000}]}</v>
      </c>
      <c r="T2831" s="148">
        <f>IFERROR(__xludf.DUMMYFUNCTION("""COMPUTED_VALUE"""),-1.0)</f>
        <v>-1</v>
      </c>
      <c r="U2831" s="148">
        <f>IFERROR(__xludf.DUMMYFUNCTION("""COMPUTED_VALUE"""),0.0)</f>
        <v>0</v>
      </c>
      <c r="V2831" s="148" t="str">
        <f>IFERROR(__xludf.DUMMYFUNCTION("""COMPUTED_VALUE"""),"[]")</f>
        <v>[]</v>
      </c>
      <c r="W2831" s="148">
        <f>IFERROR(__xludf.DUMMYFUNCTION("""COMPUTED_VALUE"""),1.174E7)</f>
        <v>11740000</v>
      </c>
      <c r="X2831" s="148">
        <f>IFERROR(__xludf.DUMMYFUNCTION("""COMPUTED_VALUE"""),0.0)</f>
        <v>0</v>
      </c>
      <c r="Y2831" s="148">
        <f>IFERROR(__xludf.DUMMYFUNCTION("""COMPUTED_VALUE"""),0.0)</f>
        <v>0</v>
      </c>
      <c r="Z2831" s="148"/>
    </row>
    <row r="2832">
      <c r="A2832" s="148">
        <f>IFERROR(__xludf.DUMMYFUNCTION("""COMPUTED_VALUE"""),1.1119794E7)</f>
        <v>11119794</v>
      </c>
      <c r="B2832" s="148" t="str">
        <f>IFERROR(__xludf.DUMMYFUNCTION("""COMPUTED_VALUE"""),"2025感恩节行军特效-枫中漫步-30天限时")</f>
        <v>2025感恩节行军特效-枫中漫步-30天限时</v>
      </c>
      <c r="C2832" s="148"/>
      <c r="D2832" s="148" t="str">
        <f>IFERROR(__xludf.DUMMYFUNCTION("""COMPUTED_VALUE"""),"marching_effect")</f>
        <v>marching_effect</v>
      </c>
      <c r="E2832" s="148">
        <f>IFERROR(__xludf.DUMMYFUNCTION("""COMPUTED_VALUE"""),0.0)</f>
        <v>0</v>
      </c>
      <c r="F2832" s="148">
        <f>IFERROR(__xludf.DUMMYFUNCTION("""COMPUTED_VALUE"""),408197.0)</f>
        <v>408197</v>
      </c>
      <c r="G2832" s="148">
        <f>IFERROR(__xludf.DUMMYFUNCTION("""COMPUTED_VALUE"""),1.51103249E8)</f>
        <v>151103249</v>
      </c>
      <c r="H2832" s="148">
        <f>IFERROR(__xludf.DUMMYFUNCTION("""COMPUTED_VALUE"""),1.5112563E7)</f>
        <v>15112563</v>
      </c>
      <c r="I2832" s="148" t="str">
        <f>IFERROR(__xludf.DUMMYFUNCTION("""COMPUTED_VALUE"""),"{""typ"":""lc"",""txt"":""LC_ITEM_time_day_upper_show"",""args"":[{""typ"":""int_unit"",""val"":30}]}")</f>
        <v>{"typ":"lc","txt":"LC_ITEM_time_day_upper_show","args":[{"typ":"int_unit","val":30}]}</v>
      </c>
      <c r="J2832" s="148" t="str">
        <f>IFERROR(__xludf.DUMMYFUNCTION("""COMPUTED_VALUE"""),"{""typ"":""lc"",""txt"":""LC_ITEM_tg_marcheffect_high_2025""}")</f>
        <v>{"typ":"lc","txt":"LC_ITEM_tg_marcheffect_high_2025"}</v>
      </c>
      <c r="K2832" s="148" t="str">
        <f>IFERROR(__xludf.DUMMYFUNCTION("""COMPUTED_VALUE"""),"{""typ"":""lc"",""txt"":""LC_ITEM_tg_marcheffect_high_2025_desc""}")</f>
        <v>{"typ":"lc","txt":"LC_ITEM_tg_marcheffect_high_2025_desc"}</v>
      </c>
      <c r="L2832" s="148" t="str">
        <f>IFERROR(__xludf.DUMMYFUNCTION("""COMPUTED_VALUE"""),"{""typ"":""lc"",""txt"":""LC_ITEM_march_effect_use_tip_all""}")</f>
        <v>{"typ":"lc","txt":"LC_ITEM_march_effect_use_tip_all"}</v>
      </c>
      <c r="M2832" s="148">
        <f>IFERROR(__xludf.DUMMYFUNCTION("""COMPUTED_VALUE"""),1000.0)</f>
        <v>1000</v>
      </c>
      <c r="N2832" s="148">
        <f>IFERROR(__xludf.DUMMYFUNCTION("""COMPUTED_VALUE"""),999999.0)</f>
        <v>999999</v>
      </c>
      <c r="O2832" s="148">
        <f>IFERROR(__xludf.DUMMYFUNCTION("""COMPUTED_VALUE"""),99999.0)</f>
        <v>99999</v>
      </c>
      <c r="P2832" s="148">
        <f>IFERROR(__xludf.DUMMYFUNCTION("""COMPUTED_VALUE"""),1.0)</f>
        <v>1</v>
      </c>
      <c r="Q2832" s="148" t="str">
        <f>IFERROR(__xludf.DUMMYFUNCTION("""COMPUTED_VALUE"""),"[""bag_other""]")</f>
        <v>["bag_other"]</v>
      </c>
      <c r="R2832" s="148" t="str">
        <f>IFERROR(__xludf.DUMMYFUNCTION("""COMPUTED_VALUE"""),"[""bag"",""13650146""]")</f>
        <v>["bag","13650146"]</v>
      </c>
      <c r="S2832" s="148" t="str">
        <f>IFERROR(__xludf.DUMMYFUNCTION("""COMPUTED_VALUE"""),"{""effect"":[{""typ"":""marching_effect"",""id"":13650146,""val"":2592000000},{""typ"":""vm"",""id"":11151001,""val"":1000}]}")</f>
        <v>{"effect":[{"typ":"marching_effect","id":13650146,"val":2592000000},{"typ":"vm","id":11151001,"val":1000}]}</v>
      </c>
      <c r="T2832" s="148">
        <f>IFERROR(__xludf.DUMMYFUNCTION("""COMPUTED_VALUE"""),-1.0)</f>
        <v>-1</v>
      </c>
      <c r="U2832" s="148">
        <f>IFERROR(__xludf.DUMMYFUNCTION("""COMPUTED_VALUE"""),0.0)</f>
        <v>0</v>
      </c>
      <c r="V2832" s="148" t="str">
        <f>IFERROR(__xludf.DUMMYFUNCTION("""COMPUTED_VALUE"""),"[]")</f>
        <v>[]</v>
      </c>
      <c r="W2832" s="148">
        <f>IFERROR(__xludf.DUMMYFUNCTION("""COMPUTED_VALUE"""),1.174E7)</f>
        <v>11740000</v>
      </c>
      <c r="X2832" s="148">
        <f>IFERROR(__xludf.DUMMYFUNCTION("""COMPUTED_VALUE"""),0.0)</f>
        <v>0</v>
      </c>
      <c r="Y2832" s="148">
        <f>IFERROR(__xludf.DUMMYFUNCTION("""COMPUTED_VALUE"""),0.0)</f>
        <v>0</v>
      </c>
      <c r="Z2832" s="148"/>
    </row>
    <row r="2833">
      <c r="A2833" s="148">
        <f>IFERROR(__xludf.DUMMYFUNCTION("""COMPUTED_VALUE"""),1.1119795E7)</f>
        <v>11119795</v>
      </c>
      <c r="B2833" s="148" t="str">
        <f>IFERROR(__xludf.DUMMYFUNCTION("""COMPUTED_VALUE"""),"2025感恩节行军特效-枫中漫步-永久")</f>
        <v>2025感恩节行军特效-枫中漫步-永久</v>
      </c>
      <c r="C2833" s="148"/>
      <c r="D2833" s="148" t="str">
        <f>IFERROR(__xludf.DUMMYFUNCTION("""COMPUTED_VALUE"""),"marching_effect")</f>
        <v>marching_effect</v>
      </c>
      <c r="E2833" s="148">
        <f>IFERROR(__xludf.DUMMYFUNCTION("""COMPUTED_VALUE"""),0.0)</f>
        <v>0</v>
      </c>
      <c r="F2833" s="148">
        <f>IFERROR(__xludf.DUMMYFUNCTION("""COMPUTED_VALUE"""),408195.0)</f>
        <v>408195</v>
      </c>
      <c r="G2833" s="148">
        <f>IFERROR(__xludf.DUMMYFUNCTION("""COMPUTED_VALUE"""),1.51103249E8)</f>
        <v>151103249</v>
      </c>
      <c r="H2833" s="148">
        <f>IFERROR(__xludf.DUMMYFUNCTION("""COMPUTED_VALUE"""),1.5112564E7)</f>
        <v>15112564</v>
      </c>
      <c r="I2833" s="148" t="str">
        <f>IFERROR(__xludf.DUMMYFUNCTION("""COMPUTED_VALUE"""),"{}")</f>
        <v>{}</v>
      </c>
      <c r="J2833" s="148" t="str">
        <f>IFERROR(__xludf.DUMMYFUNCTION("""COMPUTED_VALUE"""),"{""typ"":""lc"",""txt"":""LC_ITEM_tg_marcheffect_high_2025""}")</f>
        <v>{"typ":"lc","txt":"LC_ITEM_tg_marcheffect_high_2025"}</v>
      </c>
      <c r="K2833" s="148" t="str">
        <f>IFERROR(__xludf.DUMMYFUNCTION("""COMPUTED_VALUE"""),"{""typ"":""lc"",""txt"":""LC_ITEM_tg_marcheffect_high_2025_desc""}")</f>
        <v>{"typ":"lc","txt":"LC_ITEM_tg_marcheffect_high_2025_desc"}</v>
      </c>
      <c r="L2833" s="148" t="str">
        <f>IFERROR(__xludf.DUMMYFUNCTION("""COMPUTED_VALUE"""),"{""typ"":""lc"",""txt"":""LC_ITEM_march_effect_use_tip_all""}")</f>
        <v>{"typ":"lc","txt":"LC_ITEM_march_effect_use_tip_all"}</v>
      </c>
      <c r="M2833" s="148">
        <f>IFERROR(__xludf.DUMMYFUNCTION("""COMPUTED_VALUE"""),5000.0)</f>
        <v>5000</v>
      </c>
      <c r="N2833" s="148">
        <f>IFERROR(__xludf.DUMMYFUNCTION("""COMPUTED_VALUE"""),999999.0)</f>
        <v>999999</v>
      </c>
      <c r="O2833" s="148">
        <f>IFERROR(__xludf.DUMMYFUNCTION("""COMPUTED_VALUE"""),99999.0)</f>
        <v>99999</v>
      </c>
      <c r="P2833" s="148">
        <f>IFERROR(__xludf.DUMMYFUNCTION("""COMPUTED_VALUE"""),1.0)</f>
        <v>1</v>
      </c>
      <c r="Q2833" s="148" t="str">
        <f>IFERROR(__xludf.DUMMYFUNCTION("""COMPUTED_VALUE"""),"[""bag_other""]")</f>
        <v>["bag_other"]</v>
      </c>
      <c r="R2833" s="148" t="str">
        <f>IFERROR(__xludf.DUMMYFUNCTION("""COMPUTED_VALUE"""),"[""bag"",""13650146""]")</f>
        <v>["bag","13650146"]</v>
      </c>
      <c r="S2833" s="148" t="str">
        <f>IFERROR(__xludf.DUMMYFUNCTION("""COMPUTED_VALUE"""),"{""effect"":[{""typ"":""marching_effect"",""id"":13650146,""val"":-1},{""typ"":""vm"",""id"":11151001,""val"":2500}]}")</f>
        <v>{"effect":[{"typ":"marching_effect","id":13650146,"val":-1},{"typ":"vm","id":11151001,"val":2500}]}</v>
      </c>
      <c r="T2833" s="148">
        <f>IFERROR(__xludf.DUMMYFUNCTION("""COMPUTED_VALUE"""),-1.0)</f>
        <v>-1</v>
      </c>
      <c r="U2833" s="148">
        <f>IFERROR(__xludf.DUMMYFUNCTION("""COMPUTED_VALUE"""),0.0)</f>
        <v>0</v>
      </c>
      <c r="V2833" s="148" t="str">
        <f>IFERROR(__xludf.DUMMYFUNCTION("""COMPUTED_VALUE"""),"[]")</f>
        <v>[]</v>
      </c>
      <c r="W2833" s="148">
        <f>IFERROR(__xludf.DUMMYFUNCTION("""COMPUTED_VALUE"""),1.174E7)</f>
        <v>11740000</v>
      </c>
      <c r="X2833" s="148">
        <f>IFERROR(__xludf.DUMMYFUNCTION("""COMPUTED_VALUE"""),0.0)</f>
        <v>0</v>
      </c>
      <c r="Y2833" s="148">
        <f>IFERROR(__xludf.DUMMYFUNCTION("""COMPUTED_VALUE"""),0.0)</f>
        <v>0</v>
      </c>
      <c r="Z2833" s="148"/>
    </row>
    <row r="2834">
      <c r="A2834" s="148">
        <f>IFERROR(__xludf.DUMMYFUNCTION("""COMPUTED_VALUE"""),1.1119796E7)</f>
        <v>11119796</v>
      </c>
      <c r="B2834" s="148" t="str">
        <f>IFERROR(__xludf.DUMMYFUNCTION("""COMPUTED_VALUE"""),"2025感恩节铭牌-秋日物语")</f>
        <v>2025感恩节铭牌-秋日物语</v>
      </c>
      <c r="C2834" s="148"/>
      <c r="D2834" s="148" t="str">
        <f>IFERROR(__xludf.DUMMYFUNCTION("""COMPUTED_VALUE"""),"chat_skin")</f>
        <v>chat_skin</v>
      </c>
      <c r="E2834" s="148">
        <f>IFERROR(__xludf.DUMMYFUNCTION("""COMPUTED_VALUE"""),30.0)</f>
        <v>30</v>
      </c>
      <c r="F2834" s="148">
        <f>IFERROR(__xludf.DUMMYFUNCTION("""COMPUTED_VALUE"""),401107.0)</f>
        <v>401107</v>
      </c>
      <c r="G2834" s="148">
        <f>IFERROR(__xludf.DUMMYFUNCTION("""COMPUTED_VALUE"""),1.51103259E8)</f>
        <v>151103259</v>
      </c>
      <c r="H2834" s="148">
        <f>IFERROR(__xludf.DUMMYFUNCTION("""COMPUTED_VALUE"""),1.5112564E7)</f>
        <v>15112564</v>
      </c>
      <c r="I2834" s="148" t="str">
        <f>IFERROR(__xludf.DUMMYFUNCTION("""COMPUTED_VALUE"""),"{}")</f>
        <v>{}</v>
      </c>
      <c r="J2834" s="148" t="str">
        <f>IFERROR(__xludf.DUMMYFUNCTION("""COMPUTED_VALUE"""),"{""typ"":""lc"",""txt"":""LC_ITEM_tg_nameplate_2025""}")</f>
        <v>{"typ":"lc","txt":"LC_ITEM_tg_nameplate_2025"}</v>
      </c>
      <c r="K2834" s="148" t="str">
        <f>IFERROR(__xludf.DUMMYFUNCTION("""COMPUTED_VALUE"""),"{""typ"":""lc"",""txt"":""LC_ITEM_tg_nameplate_2025_desc_item""}")</f>
        <v>{"typ":"lc","txt":"LC_ITEM_tg_nameplate_2025_desc_item"}</v>
      </c>
      <c r="L2834" s="148" t="str">
        <f>IFERROR(__xludf.DUMMYFUNCTION("""COMPUTED_VALUE"""),"{""typ"":""lc"",""txt"":""LC_ITEM_season_extra_reward_usedtip""}")</f>
        <v>{"typ":"lc","txt":"LC_ITEM_season_extra_reward_usedtip"}</v>
      </c>
      <c r="M2834" s="148">
        <f>IFERROR(__xludf.DUMMYFUNCTION("""COMPUTED_VALUE"""),2500.0)</f>
        <v>2500</v>
      </c>
      <c r="N2834" s="148">
        <f>IFERROR(__xludf.DUMMYFUNCTION("""COMPUTED_VALUE"""),9999999.0)</f>
        <v>9999999</v>
      </c>
      <c r="O2834" s="148">
        <f>IFERROR(__xludf.DUMMYFUNCTION("""COMPUTED_VALUE"""),1.0)</f>
        <v>1</v>
      </c>
      <c r="P2834" s="148">
        <f>IFERROR(__xludf.DUMMYFUNCTION("""COMPUTED_VALUE"""),1.0)</f>
        <v>1</v>
      </c>
      <c r="Q2834" s="148" t="str">
        <f>IFERROR(__xludf.DUMMYFUNCTION("""COMPUTED_VALUE"""),"[""bag_other""]")</f>
        <v>["bag_other"]</v>
      </c>
      <c r="R2834" s="148" t="str">
        <f>IFERROR(__xludf.DUMMYFUNCTION("""COMPUTED_VALUE"""),"[""11731043"",""bag""]")</f>
        <v>["11731043","bag"]</v>
      </c>
      <c r="S2834" s="148" t="str">
        <f>IFERROR(__xludf.DUMMYFUNCTION("""COMPUTED_VALUE"""),"{""effect"":[{""typ"":""nameplate"",""id"":11731043,""val"":-1}]}")</f>
        <v>{"effect":[{"typ":"nameplate","id":11731043,"val":-1}]}</v>
      </c>
      <c r="T2834" s="148">
        <f>IFERROR(__xludf.DUMMYFUNCTION("""COMPUTED_VALUE"""),-1.0)</f>
        <v>-1</v>
      </c>
      <c r="U2834" s="148">
        <f>IFERROR(__xludf.DUMMYFUNCTION("""COMPUTED_VALUE"""),0.0)</f>
        <v>0</v>
      </c>
      <c r="V2834" s="148" t="str">
        <f>IFERROR(__xludf.DUMMYFUNCTION("""COMPUTED_VALUE"""),"[]")</f>
        <v>[]</v>
      </c>
      <c r="W2834" s="148">
        <f>IFERROR(__xludf.DUMMYFUNCTION("""COMPUTED_VALUE"""),1.174E7)</f>
        <v>11740000</v>
      </c>
      <c r="X2834" s="148">
        <f>IFERROR(__xludf.DUMMYFUNCTION("""COMPUTED_VALUE"""),0.0)</f>
        <v>0</v>
      </c>
      <c r="Y2834" s="148">
        <f>IFERROR(__xludf.DUMMYFUNCTION("""COMPUTED_VALUE"""),0.0)</f>
        <v>0</v>
      </c>
      <c r="Z2834" s="148"/>
    </row>
    <row r="2835">
      <c r="A2835" s="148">
        <f>IFERROR(__xludf.DUMMYFUNCTION("""COMPUTED_VALUE"""),1.1119797E7)</f>
        <v>11119797</v>
      </c>
      <c r="B2835" s="148" t="str">
        <f>IFERROR(__xludf.DUMMYFUNCTION("""COMPUTED_VALUE"""),"成长线宝箱自选2")</f>
        <v>成长线宝箱自选2</v>
      </c>
      <c r="C2835" s="148"/>
      <c r="D2835" s="148" t="str">
        <f>IFERROR(__xludf.DUMMYFUNCTION("""COMPUTED_VALUE"""),"item_select_box")</f>
        <v>item_select_box</v>
      </c>
      <c r="E2835" s="148">
        <f>IFERROR(__xludf.DUMMYFUNCTION("""COMPUTED_VALUE"""),19.0)</f>
        <v>19</v>
      </c>
      <c r="F2835" s="148">
        <f>IFERROR(__xludf.DUMMYFUNCTION("""COMPUTED_VALUE"""),408195.0)</f>
        <v>408195</v>
      </c>
      <c r="G2835" s="148">
        <f>IFERROR(__xludf.DUMMYFUNCTION("""COMPUTED_VALUE"""),1.51103597E8)</f>
        <v>151103597</v>
      </c>
      <c r="H2835" s="148">
        <f>IFERROR(__xludf.DUMMYFUNCTION("""COMPUTED_VALUE"""),1.5112564E7)</f>
        <v>15112564</v>
      </c>
      <c r="I2835" s="148" t="str">
        <f>IFERROR(__xludf.DUMMYFUNCTION("""COMPUTED_VALUE"""),"{}")</f>
        <v>{}</v>
      </c>
      <c r="J2835" s="148" t="str">
        <f>IFERROR(__xludf.DUMMYFUNCTION("""COMPUTED_VALUE"""),"{""typ"":""lc"",""txt"":""LC_ITEM_mj8_item_choose_name""}")</f>
        <v>{"typ":"lc","txt":"LC_ITEM_mj8_item_choose_name"}</v>
      </c>
      <c r="K2835" s="148" t="str">
        <f>IFERROR(__xludf.DUMMYFUNCTION("""COMPUTED_VALUE"""),"{""typ"":""lc"",""txt"":""LC_ITEM_mj8_item_choose_desc""}")</f>
        <v>{"typ":"lc","txt":"LC_ITEM_mj8_item_choose_desc"}</v>
      </c>
      <c r="L2835" s="148" t="str">
        <f>IFERROR(__xludf.DUMMYFUNCTION("""COMPUTED_VALUE"""),"{}")</f>
        <v>{}</v>
      </c>
      <c r="M2835" s="148">
        <f>IFERROR(__xludf.DUMMYFUNCTION("""COMPUTED_VALUE"""),4000.0)</f>
        <v>4000</v>
      </c>
      <c r="N2835" s="148">
        <f>IFERROR(__xludf.DUMMYFUNCTION("""COMPUTED_VALUE"""),9999999.0)</f>
        <v>9999999</v>
      </c>
      <c r="O2835" s="148">
        <f>IFERROR(__xludf.DUMMYFUNCTION("""COMPUTED_VALUE"""),99999.0)</f>
        <v>99999</v>
      </c>
      <c r="P2835" s="148">
        <f>IFERROR(__xludf.DUMMYFUNCTION("""COMPUTED_VALUE"""),99999.0)</f>
        <v>99999</v>
      </c>
      <c r="Q2835" s="148" t="str">
        <f>IFERROR(__xludf.DUMMYFUNCTION("""COMPUTED_VALUE"""),"[""bag_other""]")</f>
        <v>["bag_other"]</v>
      </c>
      <c r="R2835" s="148" t="str">
        <f>IFERROR(__xludf.DUMMYFUNCTION("""COMPUTED_VALUE"""),"[""bag""]")</f>
        <v>["bag"]</v>
      </c>
      <c r="S2835" s="148" t="str">
        <f>IFERROR(__xludf.DUMMYFUNCTION("""COMPUTED_VALUE"""),"{""select_box"":[{""typ"":""item"",""id"":11118663,""val"":1},{""typ"":""item"",""id"":11118709,""val"":1}]}")</f>
        <v>{"select_box":[{"typ":"item","id":11118663,"val":1},{"typ":"item","id":11118709,"val":1}]}</v>
      </c>
      <c r="T2835" s="148">
        <f>IFERROR(__xludf.DUMMYFUNCTION("""COMPUTED_VALUE"""),-1.0)</f>
        <v>-1</v>
      </c>
      <c r="U2835" s="148">
        <f>IFERROR(__xludf.DUMMYFUNCTION("""COMPUTED_VALUE"""),0.0)</f>
        <v>0</v>
      </c>
      <c r="V2835" s="148" t="str">
        <f>IFERROR(__xludf.DUMMYFUNCTION("""COMPUTED_VALUE"""),"[]")</f>
        <v>[]</v>
      </c>
      <c r="W2835" s="148">
        <f>IFERROR(__xludf.DUMMYFUNCTION("""COMPUTED_VALUE"""),1.1741002E7)</f>
        <v>11741002</v>
      </c>
      <c r="X2835" s="148">
        <f>IFERROR(__xludf.DUMMYFUNCTION("""COMPUTED_VALUE"""),0.0)</f>
        <v>0</v>
      </c>
      <c r="Y2835" s="148">
        <f>IFERROR(__xludf.DUMMYFUNCTION("""COMPUTED_VALUE"""),0.0)</f>
        <v>0</v>
      </c>
      <c r="Z2835" s="148"/>
    </row>
    <row r="2836">
      <c r="A2836" s="148">
        <f>IFERROR(__xludf.DUMMYFUNCTION("""COMPUTED_VALUE"""),1.1119798E7)</f>
        <v>11119798</v>
      </c>
      <c r="B2836" s="148" t="str">
        <f>IFERROR(__xludf.DUMMYFUNCTION("""COMPUTED_VALUE"""),"军备材料自选箱3.98")</f>
        <v>军备材料自选箱3.98</v>
      </c>
      <c r="C2836" s="148"/>
      <c r="D2836" s="148" t="str">
        <f>IFERROR(__xludf.DUMMYFUNCTION("""COMPUTED_VALUE"""),"item_select_box")</f>
        <v>item_select_box</v>
      </c>
      <c r="E2836" s="148">
        <f>IFERROR(__xludf.DUMMYFUNCTION("""COMPUTED_VALUE"""),19.0)</f>
        <v>19</v>
      </c>
      <c r="F2836" s="148">
        <f>IFERROR(__xludf.DUMMYFUNCTION("""COMPUTED_VALUE"""),408195.0)</f>
        <v>408195</v>
      </c>
      <c r="G2836" s="148">
        <f>IFERROR(__xludf.DUMMYFUNCTION("""COMPUTED_VALUE"""),1.51103598E8)</f>
        <v>151103598</v>
      </c>
      <c r="H2836" s="148">
        <f>IFERROR(__xludf.DUMMYFUNCTION("""COMPUTED_VALUE"""),1.5112564E7)</f>
        <v>15112564</v>
      </c>
      <c r="I2836" s="148" t="str">
        <f>IFERROR(__xludf.DUMMYFUNCTION("""COMPUTED_VALUE"""),"{}")</f>
        <v>{}</v>
      </c>
      <c r="J2836" s="148" t="str">
        <f>IFERROR(__xludf.DUMMYFUNCTION("""COMPUTED_VALUE"""),"{""typ"":""lc"",""txt"":""LC_ITEM_mj8_item_junbei_name""}")</f>
        <v>{"typ":"lc","txt":"LC_ITEM_mj8_item_junbei_name"}</v>
      </c>
      <c r="K2836" s="148" t="str">
        <f>IFERROR(__xludf.DUMMYFUNCTION("""COMPUTED_VALUE"""),"{""typ"":""lc"",""txt"":""LC_ITEM_mj8_item_junbei_desc""}")</f>
        <v>{"typ":"lc","txt":"LC_ITEM_mj8_item_junbei_desc"}</v>
      </c>
      <c r="L2836" s="148" t="str">
        <f>IFERROR(__xludf.DUMMYFUNCTION("""COMPUTED_VALUE"""),"{}")</f>
        <v>{}</v>
      </c>
      <c r="M2836" s="148">
        <f>IFERROR(__xludf.DUMMYFUNCTION("""COMPUTED_VALUE"""),4000.0)</f>
        <v>4000</v>
      </c>
      <c r="N2836" s="148">
        <f>IFERROR(__xludf.DUMMYFUNCTION("""COMPUTED_VALUE"""),9999999.0)</f>
        <v>9999999</v>
      </c>
      <c r="O2836" s="148">
        <f>IFERROR(__xludf.DUMMYFUNCTION("""COMPUTED_VALUE"""),99999.0)</f>
        <v>99999</v>
      </c>
      <c r="P2836" s="148">
        <f>IFERROR(__xludf.DUMMYFUNCTION("""COMPUTED_VALUE"""),99999.0)</f>
        <v>99999</v>
      </c>
      <c r="Q2836" s="148" t="str">
        <f>IFERROR(__xludf.DUMMYFUNCTION("""COMPUTED_VALUE"""),"[""bag_other""]")</f>
        <v>["bag_other"]</v>
      </c>
      <c r="R2836" s="148" t="str">
        <f>IFERROR(__xludf.DUMMYFUNCTION("""COMPUTED_VALUE"""),"[""bag""]")</f>
        <v>["bag"]</v>
      </c>
      <c r="S2836" s="148" t="str">
        <f>IFERROR(__xludf.DUMMYFUNCTION("""COMPUTED_VALUE"""),"{""select_box"":[{""typ"":""item"",""id"":11117511,""val"":2},{""typ"":""item"",""id"":11117069,""val"":5},{""typ"":""item"",""id"":11117068,""val"":132}]}")</f>
        <v>{"select_box":[{"typ":"item","id":11117511,"val":2},{"typ":"item","id":11117069,"val":5},{"typ":"item","id":11117068,"val":132}]}</v>
      </c>
      <c r="T2836" s="148">
        <f>IFERROR(__xludf.DUMMYFUNCTION("""COMPUTED_VALUE"""),-1.0)</f>
        <v>-1</v>
      </c>
      <c r="U2836" s="148">
        <f>IFERROR(__xludf.DUMMYFUNCTION("""COMPUTED_VALUE"""),0.0)</f>
        <v>0</v>
      </c>
      <c r="V2836" s="148" t="str">
        <f>IFERROR(__xludf.DUMMYFUNCTION("""COMPUTED_VALUE"""),"[]")</f>
        <v>[]</v>
      </c>
      <c r="W2836" s="148">
        <f>IFERROR(__xludf.DUMMYFUNCTION("""COMPUTED_VALUE"""),1.1741002E7)</f>
        <v>11741002</v>
      </c>
      <c r="X2836" s="148">
        <f>IFERROR(__xludf.DUMMYFUNCTION("""COMPUTED_VALUE"""),0.0)</f>
        <v>0</v>
      </c>
      <c r="Y2836" s="148">
        <f>IFERROR(__xludf.DUMMYFUNCTION("""COMPUTED_VALUE"""),0.0)</f>
        <v>0</v>
      </c>
      <c r="Z2836" s="148"/>
    </row>
    <row r="2837">
      <c r="A2837" s="148">
        <f>IFERROR(__xludf.DUMMYFUNCTION("""COMPUTED_VALUE"""),1.1119799E7)</f>
        <v>11119799</v>
      </c>
      <c r="B2837" s="148" t="str">
        <f>IFERROR(__xludf.DUMMYFUNCTION("""COMPUTED_VALUE"""),"2025圣诞节静态头像框-冬日雪愿")</f>
        <v>2025圣诞节静态头像框-冬日雪愿</v>
      </c>
      <c r="C2837" s="148"/>
      <c r="D2837" s="148" t="str">
        <f>IFERROR(__xludf.DUMMYFUNCTION("""COMPUTED_VALUE"""),"avatar_frame")</f>
        <v>avatar_frame</v>
      </c>
      <c r="E2837" s="148">
        <f>IFERROR(__xludf.DUMMYFUNCTION("""COMPUTED_VALUE"""),20.0)</f>
        <v>20</v>
      </c>
      <c r="F2837" s="148">
        <f>IFERROR(__xludf.DUMMYFUNCTION("""COMPUTED_VALUE"""),0.0)</f>
        <v>0</v>
      </c>
      <c r="G2837" s="148">
        <f>IFERROR(__xludf.DUMMYFUNCTION("""COMPUTED_VALUE"""),1.51103943E8)</f>
        <v>151103943</v>
      </c>
      <c r="H2837" s="148">
        <f>IFERROR(__xludf.DUMMYFUNCTION("""COMPUTED_VALUE"""),1.5112563E7)</f>
        <v>15112563</v>
      </c>
      <c r="I2837" s="148" t="str">
        <f>IFERROR(__xludf.DUMMYFUNCTION("""COMPUTED_VALUE"""),"{}")</f>
        <v>{}</v>
      </c>
      <c r="J2837" s="148" t="str">
        <f>IFERROR(__xludf.DUMMYFUNCTION("""COMPUTED_VALUE"""),"{""typ"":""lc"",""txt"":""LC_ITEM_2025christmas_avatar_name""}")</f>
        <v>{"typ":"lc","txt":"LC_ITEM_2025christmas_avatar_name"}</v>
      </c>
      <c r="K2837" s="148" t="str">
        <f>IFERROR(__xludf.DUMMYFUNCTION("""COMPUTED_VALUE"""),"{""typ"":""lc"",""txt"":""LC_ITEM_2025christmas_avatar_desc""}")</f>
        <v>{"typ":"lc","txt":"LC_ITEM_2025christmas_avatar_desc"}</v>
      </c>
      <c r="L2837" s="148" t="str">
        <f>IFERROR(__xludf.DUMMYFUNCTION("""COMPUTED_VALUE"""),"{}")</f>
        <v>{}</v>
      </c>
      <c r="M2837" s="148">
        <f>IFERROR(__xludf.DUMMYFUNCTION("""COMPUTED_VALUE"""),1000.0)</f>
        <v>1000</v>
      </c>
      <c r="N2837" s="148">
        <f>IFERROR(__xludf.DUMMYFUNCTION("""COMPUTED_VALUE"""),99.0)</f>
        <v>99</v>
      </c>
      <c r="O2837" s="148">
        <f>IFERROR(__xludf.DUMMYFUNCTION("""COMPUTED_VALUE"""),1.0)</f>
        <v>1</v>
      </c>
      <c r="P2837" s="148">
        <f>IFERROR(__xludf.DUMMYFUNCTION("""COMPUTED_VALUE"""),1.0)</f>
        <v>1</v>
      </c>
      <c r="Q2837" s="148" t="str">
        <f>IFERROR(__xludf.DUMMYFUNCTION("""COMPUTED_VALUE"""),"[]")</f>
        <v>[]</v>
      </c>
      <c r="R2837" s="148" t="str">
        <f>IFERROR(__xludf.DUMMYFUNCTION("""COMPUTED_VALUE"""),"[""11421076""]")</f>
        <v>["11421076"]</v>
      </c>
      <c r="S2837" s="148" t="str">
        <f>IFERROR(__xludf.DUMMYFUNCTION("""COMPUTED_VALUE"""),"{""effect"":[{""typ"":""avatar_frame"",""id"":11421076,""val"":-1},{""typ"":""item"",""id"":11111031,""val"":1000}]}")</f>
        <v>{"effect":[{"typ":"avatar_frame","id":11421076,"val":-1},{"typ":"item","id":11111031,"val":1000}]}</v>
      </c>
      <c r="T2837" s="148">
        <f>IFERROR(__xludf.DUMMYFUNCTION("""COMPUTED_VALUE"""),-1.0)</f>
        <v>-1</v>
      </c>
      <c r="U2837" s="148">
        <f>IFERROR(__xludf.DUMMYFUNCTION("""COMPUTED_VALUE"""),1.0)</f>
        <v>1</v>
      </c>
      <c r="V2837" s="148" t="str">
        <f>IFERROR(__xludf.DUMMYFUNCTION("""COMPUTED_VALUE"""),"[]")</f>
        <v>[]</v>
      </c>
      <c r="W2837" s="148">
        <f>IFERROR(__xludf.DUMMYFUNCTION("""COMPUTED_VALUE"""),1.174E7)</f>
        <v>11740000</v>
      </c>
      <c r="X2837" s="148">
        <f>IFERROR(__xludf.DUMMYFUNCTION("""COMPUTED_VALUE"""),0.0)</f>
        <v>0</v>
      </c>
      <c r="Y2837" s="148">
        <f>IFERROR(__xludf.DUMMYFUNCTION("""COMPUTED_VALUE"""),0.0)</f>
        <v>0</v>
      </c>
      <c r="Z2837" s="148"/>
    </row>
    <row r="2838">
      <c r="A2838" s="148">
        <f>IFERROR(__xludf.DUMMYFUNCTION("""COMPUTED_VALUE"""),1.11198E7)</f>
        <v>11119800</v>
      </c>
      <c r="B2838" s="148" t="str">
        <f>IFERROR(__xludf.DUMMYFUNCTION("""COMPUTED_VALUE"""),"开箱强消耗抽奖道具")</f>
        <v>开箱强消耗抽奖道具</v>
      </c>
      <c r="C2838" s="148"/>
      <c r="D2838" s="148" t="str">
        <f>IFERROR(__xludf.DUMMYFUNCTION("""COMPUTED_VALUE"""),"event")</f>
        <v>event</v>
      </c>
      <c r="E2838" s="148">
        <f>IFERROR(__xludf.DUMMYFUNCTION("""COMPUTED_VALUE"""),0.0)</f>
        <v>0</v>
      </c>
      <c r="F2838" s="148">
        <f>IFERROR(__xludf.DUMMYFUNCTION("""COMPUTED_VALUE"""),0.0)</f>
        <v>0</v>
      </c>
      <c r="G2838" s="148">
        <f>IFERROR(__xludf.DUMMYFUNCTION("""COMPUTED_VALUE"""),1.5110293E8)</f>
        <v>151102930</v>
      </c>
      <c r="H2838" s="148">
        <f>IFERROR(__xludf.DUMMYFUNCTION("""COMPUTED_VALUE"""),1.5112563E7)</f>
        <v>15112563</v>
      </c>
      <c r="I2838" s="148" t="str">
        <f>IFERROR(__xludf.DUMMYFUNCTION("""COMPUTED_VALUE"""),"{}")</f>
        <v>{}</v>
      </c>
      <c r="J2838" s="148" t="str">
        <f>IFERROR(__xludf.DUMMYFUNCTION("""COMPUTED_VALUE"""),"{""typ"":""lc"",""txt"":""LC_ITEM_strong_consume_box_item_name""}")</f>
        <v>{"typ":"lc","txt":"LC_ITEM_strong_consume_box_item_name"}</v>
      </c>
      <c r="K2838" s="148" t="str">
        <f>IFERROR(__xludf.DUMMYFUNCTION("""COMPUTED_VALUE"""),"{""typ"":""lc"",""txt"":""LC_ITEM_strong_consume_box_item_desc""}")</f>
        <v>{"typ":"lc","txt":"LC_ITEM_strong_consume_box_item_desc"}</v>
      </c>
      <c r="L2838" s="148" t="str">
        <f>IFERROR(__xludf.DUMMYFUNCTION("""COMPUTED_VALUE"""),"{}")</f>
        <v>{}</v>
      </c>
      <c r="M2838" s="148">
        <f>IFERROR(__xludf.DUMMYFUNCTION("""COMPUTED_VALUE"""),86.0)</f>
        <v>86</v>
      </c>
      <c r="N2838" s="148">
        <f>IFERROR(__xludf.DUMMYFUNCTION("""COMPUTED_VALUE"""),999999.0)</f>
        <v>999999</v>
      </c>
      <c r="O2838" s="148">
        <f>IFERROR(__xludf.DUMMYFUNCTION("""COMPUTED_VALUE"""),99999.0)</f>
        <v>99999</v>
      </c>
      <c r="P2838" s="148">
        <f>IFERROR(__xludf.DUMMYFUNCTION("""COMPUTED_VALUE"""),99999.0)</f>
        <v>99999</v>
      </c>
      <c r="Q2838" s="148" t="str">
        <f>IFERROR(__xludf.DUMMYFUNCTION("""COMPUTED_VALUE"""),"[""bag_other""]")</f>
        <v>["bag_other"]</v>
      </c>
      <c r="R2838" s="148" t="str">
        <f>IFERROR(__xludf.DUMMYFUNCTION("""COMPUTED_VALUE"""),"[]")</f>
        <v>[]</v>
      </c>
      <c r="S2838" s="148" t="str">
        <f>IFERROR(__xludf.DUMMYFUNCTION("""COMPUTED_VALUE"""),"{}")</f>
        <v>{}</v>
      </c>
      <c r="T2838" s="148">
        <f>IFERROR(__xludf.DUMMYFUNCTION("""COMPUTED_VALUE"""),-1.0)</f>
        <v>-1</v>
      </c>
      <c r="U2838" s="148">
        <f>IFERROR(__xludf.DUMMYFUNCTION("""COMPUTED_VALUE"""),0.0)</f>
        <v>0</v>
      </c>
      <c r="V2838" s="148" t="str">
        <f>IFERROR(__xludf.DUMMYFUNCTION("""COMPUTED_VALUE"""),"[]")</f>
        <v>[]</v>
      </c>
      <c r="W2838" s="148">
        <f>IFERROR(__xludf.DUMMYFUNCTION("""COMPUTED_VALUE"""),1.174E7)</f>
        <v>11740000</v>
      </c>
      <c r="X2838" s="148">
        <f>IFERROR(__xludf.DUMMYFUNCTION("""COMPUTED_VALUE"""),0.0)</f>
        <v>0</v>
      </c>
      <c r="Y2838" s="148">
        <f>IFERROR(__xludf.DUMMYFUNCTION("""COMPUTED_VALUE"""),0.0)</f>
        <v>0</v>
      </c>
      <c r="Z2838" s="148"/>
    </row>
    <row r="2839">
      <c r="A2839" s="148">
        <f>IFERROR(__xludf.DUMMYFUNCTION("""COMPUTED_VALUE"""),1.1119801E7)</f>
        <v>11119801</v>
      </c>
      <c r="B2839" s="148" t="str">
        <f>IFERROR(__xludf.DUMMYFUNCTION("""COMPUTED_VALUE"""),"开箱强消耗开箱钥匙")</f>
        <v>开箱强消耗开箱钥匙</v>
      </c>
      <c r="C2839" s="148"/>
      <c r="D2839" s="148" t="str">
        <f>IFERROR(__xludf.DUMMYFUNCTION("""COMPUTED_VALUE"""),"event")</f>
        <v>event</v>
      </c>
      <c r="E2839" s="148">
        <f>IFERROR(__xludf.DUMMYFUNCTION("""COMPUTED_VALUE"""),0.0)</f>
        <v>0</v>
      </c>
      <c r="F2839" s="148">
        <f>IFERROR(__xludf.DUMMYFUNCTION("""COMPUTED_VALUE"""),0.0)</f>
        <v>0</v>
      </c>
      <c r="G2839" s="148">
        <f>IFERROR(__xludf.DUMMYFUNCTION("""COMPUTED_VALUE"""),1.51102931E8)</f>
        <v>151102931</v>
      </c>
      <c r="H2839" s="148">
        <f>IFERROR(__xludf.DUMMYFUNCTION("""COMPUTED_VALUE"""),1.5112564E7)</f>
        <v>15112564</v>
      </c>
      <c r="I2839" s="148" t="str">
        <f>IFERROR(__xludf.DUMMYFUNCTION("""COMPUTED_VALUE"""),"{}")</f>
        <v>{}</v>
      </c>
      <c r="J2839" s="148" t="str">
        <f>IFERROR(__xludf.DUMMYFUNCTION("""COMPUTED_VALUE"""),"{""typ"":""lc"",""txt"":""LC_ITEM_strong_consume_box_key_name""}")</f>
        <v>{"typ":"lc","txt":"LC_ITEM_strong_consume_box_key_name"}</v>
      </c>
      <c r="K2839" s="148" t="str">
        <f>IFERROR(__xludf.DUMMYFUNCTION("""COMPUTED_VALUE"""),"{""typ"":""lc"",""txt"":""LC_ITEM_strong_consume_box_key_desc""}")</f>
        <v>{"typ":"lc","txt":"LC_ITEM_strong_consume_box_key_desc"}</v>
      </c>
      <c r="L2839" s="148" t="str">
        <f>IFERROR(__xludf.DUMMYFUNCTION("""COMPUTED_VALUE"""),"{}")</f>
        <v>{}</v>
      </c>
      <c r="M2839" s="148">
        <f>IFERROR(__xludf.DUMMYFUNCTION("""COMPUTED_VALUE"""),125.0)</f>
        <v>125</v>
      </c>
      <c r="N2839" s="148">
        <f>IFERROR(__xludf.DUMMYFUNCTION("""COMPUTED_VALUE"""),999999.0)</f>
        <v>999999</v>
      </c>
      <c r="O2839" s="148">
        <f>IFERROR(__xludf.DUMMYFUNCTION("""COMPUTED_VALUE"""),99999.0)</f>
        <v>99999</v>
      </c>
      <c r="P2839" s="148">
        <f>IFERROR(__xludf.DUMMYFUNCTION("""COMPUTED_VALUE"""),99999.0)</f>
        <v>99999</v>
      </c>
      <c r="Q2839" s="148" t="str">
        <f>IFERROR(__xludf.DUMMYFUNCTION("""COMPUTED_VALUE"""),"[""bag_other""]")</f>
        <v>["bag_other"]</v>
      </c>
      <c r="R2839" s="148" t="str">
        <f>IFERROR(__xludf.DUMMYFUNCTION("""COMPUTED_VALUE"""),"[]")</f>
        <v>[]</v>
      </c>
      <c r="S2839" s="148" t="str">
        <f>IFERROR(__xludf.DUMMYFUNCTION("""COMPUTED_VALUE"""),"{}")</f>
        <v>{}</v>
      </c>
      <c r="T2839" s="148">
        <f>IFERROR(__xludf.DUMMYFUNCTION("""COMPUTED_VALUE"""),-1.0)</f>
        <v>-1</v>
      </c>
      <c r="U2839" s="148">
        <f>IFERROR(__xludf.DUMMYFUNCTION("""COMPUTED_VALUE"""),0.0)</f>
        <v>0</v>
      </c>
      <c r="V2839" s="148" t="str">
        <f>IFERROR(__xludf.DUMMYFUNCTION("""COMPUTED_VALUE"""),"[]")</f>
        <v>[]</v>
      </c>
      <c r="W2839" s="148">
        <f>IFERROR(__xludf.DUMMYFUNCTION("""COMPUTED_VALUE"""),1.174E7)</f>
        <v>11740000</v>
      </c>
      <c r="X2839" s="148">
        <f>IFERROR(__xludf.DUMMYFUNCTION("""COMPUTED_VALUE"""),0.0)</f>
        <v>0</v>
      </c>
      <c r="Y2839" s="148">
        <f>IFERROR(__xludf.DUMMYFUNCTION("""COMPUTED_VALUE"""),0.0)</f>
        <v>0</v>
      </c>
      <c r="Z2839" s="148"/>
    </row>
    <row r="2840">
      <c r="A2840" s="148">
        <f>IFERROR(__xludf.DUMMYFUNCTION("""COMPUTED_VALUE"""),1.1119802E7)</f>
        <v>11119802</v>
      </c>
      <c r="B2840" s="148" t="str">
        <f>IFERROR(__xludf.DUMMYFUNCTION("""COMPUTED_VALUE"""),"开箱强消耗免费宝箱")</f>
        <v>开箱强消耗免费宝箱</v>
      </c>
      <c r="C2840" s="148"/>
      <c r="D2840" s="148" t="str">
        <f>IFERROR(__xludf.DUMMYFUNCTION("""COMPUTED_VALUE"""),"item_locked_box")</f>
        <v>item_locked_box</v>
      </c>
      <c r="E2840" s="148">
        <f>IFERROR(__xludf.DUMMYFUNCTION("""COMPUTED_VALUE"""),19.0)</f>
        <v>19</v>
      </c>
      <c r="F2840" s="148">
        <f>IFERROR(__xludf.DUMMYFUNCTION("""COMPUTED_VALUE"""),499990.0)</f>
        <v>499990</v>
      </c>
      <c r="G2840" s="148">
        <f>IFERROR(__xludf.DUMMYFUNCTION("""COMPUTED_VALUE"""),1.51102928E8)</f>
        <v>151102928</v>
      </c>
      <c r="H2840" s="148">
        <f>IFERROR(__xludf.DUMMYFUNCTION("""COMPUTED_VALUE"""),1.5112563E7)</f>
        <v>15112563</v>
      </c>
      <c r="I2840" s="148" t="str">
        <f>IFERROR(__xludf.DUMMYFUNCTION("""COMPUTED_VALUE"""),"{}")</f>
        <v>{}</v>
      </c>
      <c r="J2840" s="148" t="str">
        <f>IFERROR(__xludf.DUMMYFUNCTION("""COMPUTED_VALUE"""),"{""typ"":""lc"",""txt"":""LC_ITEM_strong_consume_box_freebox_name""}")</f>
        <v>{"typ":"lc","txt":"LC_ITEM_strong_consume_box_freebox_name"}</v>
      </c>
      <c r="K2840" s="148" t="str">
        <f>IFERROR(__xludf.DUMMYFUNCTION("""COMPUTED_VALUE"""),"{""typ"":""lc"",""txt"":""LC_ITEM_strong_consume_box_freebox_desc""}")</f>
        <v>{"typ":"lc","txt":"LC_ITEM_strong_consume_box_freebox_desc"}</v>
      </c>
      <c r="L2840" s="148" t="str">
        <f>IFERROR(__xludf.DUMMYFUNCTION("""COMPUTED_VALUE"""),"{}")</f>
        <v>{}</v>
      </c>
      <c r="M2840" s="148">
        <f>IFERROR(__xludf.DUMMYFUNCTION("""COMPUTED_VALUE"""),250.0)</f>
        <v>250</v>
      </c>
      <c r="N2840" s="148">
        <f>IFERROR(__xludf.DUMMYFUNCTION("""COMPUTED_VALUE"""),999999.0)</f>
        <v>999999</v>
      </c>
      <c r="O2840" s="148">
        <f>IFERROR(__xludf.DUMMYFUNCTION("""COMPUTED_VALUE"""),99999.0)</f>
        <v>99999</v>
      </c>
      <c r="P2840" s="148">
        <f>IFERROR(__xludf.DUMMYFUNCTION("""COMPUTED_VALUE"""),99999.0)</f>
        <v>99999</v>
      </c>
      <c r="Q2840" s="148" t="str">
        <f>IFERROR(__xludf.DUMMYFUNCTION("""COMPUTED_VALUE"""),"[]")</f>
        <v>[]</v>
      </c>
      <c r="R2840" s="148" t="str">
        <f>IFERROR(__xludf.DUMMYFUNCTION("""COMPUTED_VALUE"""),"[]")</f>
        <v>[]</v>
      </c>
      <c r="S2840" s="148" t="str">
        <f>IFERROR(__xludf.DUMMYFUNCTION("""COMPUTED_VALUE"""),"{""effect"":[{""typ"":""item"",""id"":11119801,""val"":0}],""drop"":{""typ"":""single_random"",""num"":1,""args"":[{""typ"":""item"",""id"":11112356,""num"":10,""wgt"":30},{""typ"":""item"",""id"":11112498,""num"":3,""wgt"":30},{""typ"":""item"",""id"":11"&amp;"119801,""num"":2,""wgt"":10},{""typ"":""item"",""id"":11111156,""num"":1,""wgt"":30},{""typ"":""item"",""id"":11118663,""num"":1,""wgt"":20},{""typ"":""item"",""id"":11114330,""num"":5,""wgt"":50}]}}")</f>
        <v>{"effect":[{"typ":"item","id":11119801,"val":0}],"drop":{"typ":"single_random","num":1,"args":[{"typ":"item","id":11112356,"num":10,"wgt":30},{"typ":"item","id":11112498,"num":3,"wgt":30},{"typ":"item","id":11119801,"num":2,"wgt":10},{"typ":"item","id":11111156,"num":1,"wgt":30},{"typ":"item","id":11118663,"num":1,"wgt":20},{"typ":"item","id":11114330,"num":5,"wgt":50}]}}</v>
      </c>
      <c r="T2840" s="148">
        <f>IFERROR(__xludf.DUMMYFUNCTION("""COMPUTED_VALUE"""),-1.0)</f>
        <v>-1</v>
      </c>
      <c r="U2840" s="148">
        <f>IFERROR(__xludf.DUMMYFUNCTION("""COMPUTED_VALUE"""),0.0)</f>
        <v>0</v>
      </c>
      <c r="V2840" s="148" t="str">
        <f>IFERROR(__xludf.DUMMYFUNCTION("""COMPUTED_VALUE"""),"[]")</f>
        <v>[]</v>
      </c>
      <c r="W2840" s="148">
        <f>IFERROR(__xludf.DUMMYFUNCTION("""COMPUTED_VALUE"""),1.174E7)</f>
        <v>11740000</v>
      </c>
      <c r="X2840" s="148">
        <f>IFERROR(__xludf.DUMMYFUNCTION("""COMPUTED_VALUE"""),0.0)</f>
        <v>0</v>
      </c>
      <c r="Y2840" s="148">
        <f>IFERROR(__xludf.DUMMYFUNCTION("""COMPUTED_VALUE"""),0.0)</f>
        <v>0</v>
      </c>
      <c r="Z2840" s="148"/>
    </row>
    <row r="2841">
      <c r="A2841" s="148">
        <f>IFERROR(__xludf.DUMMYFUNCTION("""COMPUTED_VALUE"""),1.1119803E7)</f>
        <v>11119803</v>
      </c>
      <c r="B2841" s="148" t="str">
        <f>IFERROR(__xludf.DUMMYFUNCTION("""COMPUTED_VALUE"""),"开箱强消耗付费宝箱-超大")</f>
        <v>开箱强消耗付费宝箱-超大</v>
      </c>
      <c r="C2841" s="148"/>
      <c r="D2841" s="148" t="str">
        <f>IFERROR(__xludf.DUMMYFUNCTION("""COMPUTED_VALUE"""),"item_locked_box")</f>
        <v>item_locked_box</v>
      </c>
      <c r="E2841" s="148">
        <f>IFERROR(__xludf.DUMMYFUNCTION("""COMPUTED_VALUE"""),19.0)</f>
        <v>19</v>
      </c>
      <c r="F2841" s="148">
        <f>IFERROR(__xludf.DUMMYFUNCTION("""COMPUTED_VALUE"""),499990.0)</f>
        <v>499990</v>
      </c>
      <c r="G2841" s="148">
        <f>IFERROR(__xludf.DUMMYFUNCTION("""COMPUTED_VALUE"""),1.51102929E8)</f>
        <v>151102929</v>
      </c>
      <c r="H2841" s="148">
        <f>IFERROR(__xludf.DUMMYFUNCTION("""COMPUTED_VALUE"""),1.5112564E7)</f>
        <v>15112564</v>
      </c>
      <c r="I2841" s="148" t="str">
        <f>IFERROR(__xludf.DUMMYFUNCTION("""COMPUTED_VALUE"""),"{}")</f>
        <v>{}</v>
      </c>
      <c r="J2841" s="148" t="str">
        <f>IFERROR(__xludf.DUMMYFUNCTION("""COMPUTED_VALUE"""),"{""typ"":""lc"",""txt"":""LC_ITEM_strong_consume_box_paybox_name_1""}")</f>
        <v>{"typ":"lc","txt":"LC_ITEM_strong_consume_box_paybox_name_1"}</v>
      </c>
      <c r="K2841" s="148" t="str">
        <f>IFERROR(__xludf.DUMMYFUNCTION("""COMPUTED_VALUE"""),"{""typ"":""lc"",""txt"":""LC_ITEM_strong_consume_box_paybox_desc""}")</f>
        <v>{"typ":"lc","txt":"LC_ITEM_strong_consume_box_paybox_desc"}</v>
      </c>
      <c r="L2841" s="148" t="str">
        <f>IFERROR(__xludf.DUMMYFUNCTION("""COMPUTED_VALUE"""),"{}")</f>
        <v>{}</v>
      </c>
      <c r="M2841" s="148">
        <f>IFERROR(__xludf.DUMMYFUNCTION("""COMPUTED_VALUE"""),13500.0)</f>
        <v>13500</v>
      </c>
      <c r="N2841" s="148">
        <f>IFERROR(__xludf.DUMMYFUNCTION("""COMPUTED_VALUE"""),999999.0)</f>
        <v>999999</v>
      </c>
      <c r="O2841" s="148">
        <f>IFERROR(__xludf.DUMMYFUNCTION("""COMPUTED_VALUE"""),99999.0)</f>
        <v>99999</v>
      </c>
      <c r="P2841" s="148">
        <f>IFERROR(__xludf.DUMMYFUNCTION("""COMPUTED_VALUE"""),99999.0)</f>
        <v>99999</v>
      </c>
      <c r="Q2841" s="148" t="str">
        <f>IFERROR(__xludf.DUMMYFUNCTION("""COMPUTED_VALUE"""),"[]")</f>
        <v>[]</v>
      </c>
      <c r="R2841" s="148" t="str">
        <f>IFERROR(__xludf.DUMMYFUNCTION("""COMPUTED_VALUE"""),"[]")</f>
        <v>[]</v>
      </c>
      <c r="S2841" s="148" t="str">
        <f>IFERROR(__xludf.DUMMYFUNCTION("""COMPUTED_VALUE"""),"{""effect"":[{""typ"":""item"",""id"":11119801,""val"":40}],""drop"":{""typ"":""single_random"",""num"":1,""args"":[{""typ"":""item"",""id"":11112356,""num"":500,""wgt"":30},{""typ"":""item"",""id"":11112498,""num"":100,""wgt"":40},{""typ"":""item"",""id"&amp;""":11112030,""num"":500,""wgt"":40},{""typ"":""item"",""id"":11118663,""num"":30,""wgt"":30},{""typ"":""item"",""id"":11116304,""num"":20,""wgt"":20},{""typ"":""item"",""id"":11118203,""num"":50,""wgt"":30}]}}")</f>
        <v>{"effect":[{"typ":"item","id":11119801,"val":40}],"drop":{"typ":"single_random","num":1,"args":[{"typ":"item","id":11112356,"num":500,"wgt":30},{"typ":"item","id":11112498,"num":100,"wgt":40},{"typ":"item","id":11112030,"num":500,"wgt":40},{"typ":"item","id":11118663,"num":30,"wgt":30},{"typ":"item","id":11116304,"num":20,"wgt":20},{"typ":"item","id":11118203,"num":50,"wgt":30}]}}</v>
      </c>
      <c r="T2841" s="148">
        <f>IFERROR(__xludf.DUMMYFUNCTION("""COMPUTED_VALUE"""),-1.0)</f>
        <v>-1</v>
      </c>
      <c r="U2841" s="148">
        <f>IFERROR(__xludf.DUMMYFUNCTION("""COMPUTED_VALUE"""),0.0)</f>
        <v>0</v>
      </c>
      <c r="V2841" s="148" t="str">
        <f>IFERROR(__xludf.DUMMYFUNCTION("""COMPUTED_VALUE"""),"[]")</f>
        <v>[]</v>
      </c>
      <c r="W2841" s="148">
        <f>IFERROR(__xludf.DUMMYFUNCTION("""COMPUTED_VALUE"""),1.174E7)</f>
        <v>11740000</v>
      </c>
      <c r="X2841" s="148">
        <f>IFERROR(__xludf.DUMMYFUNCTION("""COMPUTED_VALUE"""),0.0)</f>
        <v>0</v>
      </c>
      <c r="Y2841" s="148">
        <f>IFERROR(__xludf.DUMMYFUNCTION("""COMPUTED_VALUE"""),0.0)</f>
        <v>0</v>
      </c>
      <c r="Z2841" s="148"/>
    </row>
    <row r="2842">
      <c r="A2842" s="148">
        <f>IFERROR(__xludf.DUMMYFUNCTION("""COMPUTED_VALUE"""),1.1119804E7)</f>
        <v>11119804</v>
      </c>
      <c r="B2842" s="148" t="str">
        <f>IFERROR(__xludf.DUMMYFUNCTION("""COMPUTED_VALUE"""),"开箱强消耗付费宝箱-大")</f>
        <v>开箱强消耗付费宝箱-大</v>
      </c>
      <c r="C2842" s="148"/>
      <c r="D2842" s="148" t="str">
        <f>IFERROR(__xludf.DUMMYFUNCTION("""COMPUTED_VALUE"""),"item_locked_box")</f>
        <v>item_locked_box</v>
      </c>
      <c r="E2842" s="148">
        <f>IFERROR(__xludf.DUMMYFUNCTION("""COMPUTED_VALUE"""),19.0)</f>
        <v>19</v>
      </c>
      <c r="F2842" s="148">
        <f>IFERROR(__xludf.DUMMYFUNCTION("""COMPUTED_VALUE"""),499990.0)</f>
        <v>499990</v>
      </c>
      <c r="G2842" s="148">
        <f>IFERROR(__xludf.DUMMYFUNCTION("""COMPUTED_VALUE"""),1.51102929E8)</f>
        <v>151102929</v>
      </c>
      <c r="H2842" s="148">
        <f>IFERROR(__xludf.DUMMYFUNCTION("""COMPUTED_VALUE"""),1.5112564E7)</f>
        <v>15112564</v>
      </c>
      <c r="I2842" s="148" t="str">
        <f>IFERROR(__xludf.DUMMYFUNCTION("""COMPUTED_VALUE"""),"{}")</f>
        <v>{}</v>
      </c>
      <c r="J2842" s="148" t="str">
        <f>IFERROR(__xludf.DUMMYFUNCTION("""COMPUTED_VALUE"""),"{""typ"":""lc"",""txt"":""LC_ITEM_strong_consume_box_paybox_name_2""}")</f>
        <v>{"typ":"lc","txt":"LC_ITEM_strong_consume_box_paybox_name_2"}</v>
      </c>
      <c r="K2842" s="148" t="str">
        <f>IFERROR(__xludf.DUMMYFUNCTION("""COMPUTED_VALUE"""),"{""typ"":""lc"",""txt"":""LC_ITEM_strong_consume_box_paybox_desc""}")</f>
        <v>{"typ":"lc","txt":"LC_ITEM_strong_consume_box_paybox_desc"}</v>
      </c>
      <c r="L2842" s="148" t="str">
        <f>IFERROR(__xludf.DUMMYFUNCTION("""COMPUTED_VALUE"""),"{}")</f>
        <v>{}</v>
      </c>
      <c r="M2842" s="148">
        <f>IFERROR(__xludf.DUMMYFUNCTION("""COMPUTED_VALUE"""),6500.0)</f>
        <v>6500</v>
      </c>
      <c r="N2842" s="148">
        <f>IFERROR(__xludf.DUMMYFUNCTION("""COMPUTED_VALUE"""),999999.0)</f>
        <v>999999</v>
      </c>
      <c r="O2842" s="148">
        <f>IFERROR(__xludf.DUMMYFUNCTION("""COMPUTED_VALUE"""),99999.0)</f>
        <v>99999</v>
      </c>
      <c r="P2842" s="148">
        <f>IFERROR(__xludf.DUMMYFUNCTION("""COMPUTED_VALUE"""),99999.0)</f>
        <v>99999</v>
      </c>
      <c r="Q2842" s="148" t="str">
        <f>IFERROR(__xludf.DUMMYFUNCTION("""COMPUTED_VALUE"""),"[]")</f>
        <v>[]</v>
      </c>
      <c r="R2842" s="148" t="str">
        <f>IFERROR(__xludf.DUMMYFUNCTION("""COMPUTED_VALUE"""),"[]")</f>
        <v>[]</v>
      </c>
      <c r="S2842" s="148" t="str">
        <f>IFERROR(__xludf.DUMMYFUNCTION("""COMPUTED_VALUE"""),"{""effect"":[{""typ"":""item"",""id"":11119801,""val"":20}],""drop"":{""typ"":""single_random"",""num"":1,""args"":[{""typ"":""item"",""id"":11112356,""num"":250,""wgt"":30},{""typ"":""item"",""id"":11112498,""num"":50,""wgt"":40},{""typ"":""item"",""id"""&amp;":11111105,""num"":48,""wgt"":40},{""typ"":""item"",""id"":11118663,""num"":15,""wgt"":30},{""typ"":""item"",""id"":11116304,""num"":10,""wgt"":20},{""typ"":""item"",""id"":11118203,""num"":25,""wgt"":30}]}}")</f>
        <v>{"effect":[{"typ":"item","id":11119801,"val":20}],"drop":{"typ":"single_random","num":1,"args":[{"typ":"item","id":11112356,"num":250,"wgt":30},{"typ":"item","id":11112498,"num":50,"wgt":40},{"typ":"item","id":11111105,"num":48,"wgt":40},{"typ":"item","id":11118663,"num":15,"wgt":30},{"typ":"item","id":11116304,"num":10,"wgt":20},{"typ":"item","id":11118203,"num":25,"wgt":30}]}}</v>
      </c>
      <c r="T2842" s="148">
        <f>IFERROR(__xludf.DUMMYFUNCTION("""COMPUTED_VALUE"""),-1.0)</f>
        <v>-1</v>
      </c>
      <c r="U2842" s="148">
        <f>IFERROR(__xludf.DUMMYFUNCTION("""COMPUTED_VALUE"""),0.0)</f>
        <v>0</v>
      </c>
      <c r="V2842" s="148" t="str">
        <f>IFERROR(__xludf.DUMMYFUNCTION("""COMPUTED_VALUE"""),"[]")</f>
        <v>[]</v>
      </c>
      <c r="W2842" s="148">
        <f>IFERROR(__xludf.DUMMYFUNCTION("""COMPUTED_VALUE"""),1.174E7)</f>
        <v>11740000</v>
      </c>
      <c r="X2842" s="148">
        <f>IFERROR(__xludf.DUMMYFUNCTION("""COMPUTED_VALUE"""),0.0)</f>
        <v>0</v>
      </c>
      <c r="Y2842" s="148">
        <f>IFERROR(__xludf.DUMMYFUNCTION("""COMPUTED_VALUE"""),0.0)</f>
        <v>0</v>
      </c>
      <c r="Z2842" s="148"/>
    </row>
    <row r="2843">
      <c r="A2843" s="148">
        <f>IFERROR(__xludf.DUMMYFUNCTION("""COMPUTED_VALUE"""),1.1119805E7)</f>
        <v>11119805</v>
      </c>
      <c r="B2843" s="148" t="str">
        <f>IFERROR(__xludf.DUMMYFUNCTION("""COMPUTED_VALUE"""),"开箱强消耗付费宝箱-中")</f>
        <v>开箱强消耗付费宝箱-中</v>
      </c>
      <c r="C2843" s="148"/>
      <c r="D2843" s="148" t="str">
        <f>IFERROR(__xludf.DUMMYFUNCTION("""COMPUTED_VALUE"""),"item_locked_box")</f>
        <v>item_locked_box</v>
      </c>
      <c r="E2843" s="148">
        <f>IFERROR(__xludf.DUMMYFUNCTION("""COMPUTED_VALUE"""),19.0)</f>
        <v>19</v>
      </c>
      <c r="F2843" s="148">
        <f>IFERROR(__xludf.DUMMYFUNCTION("""COMPUTED_VALUE"""),499990.0)</f>
        <v>499990</v>
      </c>
      <c r="G2843" s="148">
        <f>IFERROR(__xludf.DUMMYFUNCTION("""COMPUTED_VALUE"""),1.51102929E8)</f>
        <v>151102929</v>
      </c>
      <c r="H2843" s="148">
        <f>IFERROR(__xludf.DUMMYFUNCTION("""COMPUTED_VALUE"""),1.5112564E7)</f>
        <v>15112564</v>
      </c>
      <c r="I2843" s="148" t="str">
        <f>IFERROR(__xludf.DUMMYFUNCTION("""COMPUTED_VALUE"""),"{}")</f>
        <v>{}</v>
      </c>
      <c r="J2843" s="148" t="str">
        <f>IFERROR(__xludf.DUMMYFUNCTION("""COMPUTED_VALUE"""),"{""typ"":""lc"",""txt"":""LC_ITEM_strong_consume_box_paybox_name_3""}")</f>
        <v>{"typ":"lc","txt":"LC_ITEM_strong_consume_box_paybox_name_3"}</v>
      </c>
      <c r="K2843" s="148" t="str">
        <f>IFERROR(__xludf.DUMMYFUNCTION("""COMPUTED_VALUE"""),"{""typ"":""lc"",""txt"":""LC_ITEM_strong_consume_box_paybox_desc""}")</f>
        <v>{"typ":"lc","txt":"LC_ITEM_strong_consume_box_paybox_desc"}</v>
      </c>
      <c r="L2843" s="148" t="str">
        <f>IFERROR(__xludf.DUMMYFUNCTION("""COMPUTED_VALUE"""),"{}")</f>
        <v>{}</v>
      </c>
      <c r="M2843" s="148">
        <f>IFERROR(__xludf.DUMMYFUNCTION("""COMPUTED_VALUE"""),3000.0)</f>
        <v>3000</v>
      </c>
      <c r="N2843" s="148">
        <f>IFERROR(__xludf.DUMMYFUNCTION("""COMPUTED_VALUE"""),999999.0)</f>
        <v>999999</v>
      </c>
      <c r="O2843" s="148">
        <f>IFERROR(__xludf.DUMMYFUNCTION("""COMPUTED_VALUE"""),99999.0)</f>
        <v>99999</v>
      </c>
      <c r="P2843" s="148">
        <f>IFERROR(__xludf.DUMMYFUNCTION("""COMPUTED_VALUE"""),99999.0)</f>
        <v>99999</v>
      </c>
      <c r="Q2843" s="148" t="str">
        <f>IFERROR(__xludf.DUMMYFUNCTION("""COMPUTED_VALUE"""),"[]")</f>
        <v>[]</v>
      </c>
      <c r="R2843" s="148" t="str">
        <f>IFERROR(__xludf.DUMMYFUNCTION("""COMPUTED_VALUE"""),"[]")</f>
        <v>[]</v>
      </c>
      <c r="S2843" s="148" t="str">
        <f>IFERROR(__xludf.DUMMYFUNCTION("""COMPUTED_VALUE"""),"{""effect"":[{""typ"":""item"",""id"":11119801,""val"":10}],""drop"":{""typ"":""single_random"",""num"":1,""args"":[{""typ"":""item"",""id"":11112356,""num"":120,""wgt"":30},{""typ"":""item"",""id"":11112498,""num"":25,""wgt"":40},{""typ"":""item"",""id"""&amp;":11111105,""num"":24,""wgt"":40},{""typ"":""item"",""id"":11118663,""num"":7,""wgt"":30},{""typ"":""item"",""id"":11116304,""num"":5,""wgt"":20},{""typ"":""item"",""id"":11118203,""num"":12,""wgt"":30}]}}")</f>
        <v>{"effect":[{"typ":"item","id":11119801,"val":10}],"drop":{"typ":"single_random","num":1,"args":[{"typ":"item","id":11112356,"num":120,"wgt":30},{"typ":"item","id":11112498,"num":25,"wgt":40},{"typ":"item","id":11111105,"num":24,"wgt":40},{"typ":"item","id":11118663,"num":7,"wgt":30},{"typ":"item","id":11116304,"num":5,"wgt":20},{"typ":"item","id":11118203,"num":12,"wgt":30}]}}</v>
      </c>
      <c r="T2843" s="148">
        <f>IFERROR(__xludf.DUMMYFUNCTION("""COMPUTED_VALUE"""),-1.0)</f>
        <v>-1</v>
      </c>
      <c r="U2843" s="148">
        <f>IFERROR(__xludf.DUMMYFUNCTION("""COMPUTED_VALUE"""),0.0)</f>
        <v>0</v>
      </c>
      <c r="V2843" s="148" t="str">
        <f>IFERROR(__xludf.DUMMYFUNCTION("""COMPUTED_VALUE"""),"[]")</f>
        <v>[]</v>
      </c>
      <c r="W2843" s="148">
        <f>IFERROR(__xludf.DUMMYFUNCTION("""COMPUTED_VALUE"""),1.174E7)</f>
        <v>11740000</v>
      </c>
      <c r="X2843" s="148">
        <f>IFERROR(__xludf.DUMMYFUNCTION("""COMPUTED_VALUE"""),0.0)</f>
        <v>0</v>
      </c>
      <c r="Y2843" s="148">
        <f>IFERROR(__xludf.DUMMYFUNCTION("""COMPUTED_VALUE"""),0.0)</f>
        <v>0</v>
      </c>
      <c r="Z2843" s="148"/>
    </row>
    <row r="2844">
      <c r="A2844" s="148">
        <f>IFERROR(__xludf.DUMMYFUNCTION("""COMPUTED_VALUE"""),1.1119806E7)</f>
        <v>11119806</v>
      </c>
      <c r="B2844" s="148" t="str">
        <f>IFERROR(__xludf.DUMMYFUNCTION("""COMPUTED_VALUE"""),"开箱强消耗付费宝箱-小")</f>
        <v>开箱强消耗付费宝箱-小</v>
      </c>
      <c r="C2844" s="148"/>
      <c r="D2844" s="148" t="str">
        <f>IFERROR(__xludf.DUMMYFUNCTION("""COMPUTED_VALUE"""),"item_locked_box")</f>
        <v>item_locked_box</v>
      </c>
      <c r="E2844" s="148">
        <f>IFERROR(__xludf.DUMMYFUNCTION("""COMPUTED_VALUE"""),19.0)</f>
        <v>19</v>
      </c>
      <c r="F2844" s="148">
        <f>IFERROR(__xludf.DUMMYFUNCTION("""COMPUTED_VALUE"""),499990.0)</f>
        <v>499990</v>
      </c>
      <c r="G2844" s="148">
        <f>IFERROR(__xludf.DUMMYFUNCTION("""COMPUTED_VALUE"""),1.51102929E8)</f>
        <v>151102929</v>
      </c>
      <c r="H2844" s="148">
        <f>IFERROR(__xludf.DUMMYFUNCTION("""COMPUTED_VALUE"""),1.5112564E7)</f>
        <v>15112564</v>
      </c>
      <c r="I2844" s="148" t="str">
        <f>IFERROR(__xludf.DUMMYFUNCTION("""COMPUTED_VALUE"""),"{}")</f>
        <v>{}</v>
      </c>
      <c r="J2844" s="148" t="str">
        <f>IFERROR(__xludf.DUMMYFUNCTION("""COMPUTED_VALUE"""),"{""typ"":""lc"",""txt"":""LC_ITEM_strong_consume_box_paybox_name_4""}")</f>
        <v>{"typ":"lc","txt":"LC_ITEM_strong_consume_box_paybox_name_4"}</v>
      </c>
      <c r="K2844" s="148" t="str">
        <f>IFERROR(__xludf.DUMMYFUNCTION("""COMPUTED_VALUE"""),"{""typ"":""lc"",""txt"":""LC_ITEM_strong_consume_box_paybox_desc""}")</f>
        <v>{"typ":"lc","txt":"LC_ITEM_strong_consume_box_paybox_desc"}</v>
      </c>
      <c r="L2844" s="148" t="str">
        <f>IFERROR(__xludf.DUMMYFUNCTION("""COMPUTED_VALUE"""),"{}")</f>
        <v>{}</v>
      </c>
      <c r="M2844" s="148">
        <f>IFERROR(__xludf.DUMMYFUNCTION("""COMPUTED_VALUE"""),1500.0)</f>
        <v>1500</v>
      </c>
      <c r="N2844" s="148">
        <f>IFERROR(__xludf.DUMMYFUNCTION("""COMPUTED_VALUE"""),999999.0)</f>
        <v>999999</v>
      </c>
      <c r="O2844" s="148">
        <f>IFERROR(__xludf.DUMMYFUNCTION("""COMPUTED_VALUE"""),99999.0)</f>
        <v>99999</v>
      </c>
      <c r="P2844" s="148">
        <f>IFERROR(__xludf.DUMMYFUNCTION("""COMPUTED_VALUE"""),99999.0)</f>
        <v>99999</v>
      </c>
      <c r="Q2844" s="148" t="str">
        <f>IFERROR(__xludf.DUMMYFUNCTION("""COMPUTED_VALUE"""),"[]")</f>
        <v>[]</v>
      </c>
      <c r="R2844" s="148" t="str">
        <f>IFERROR(__xludf.DUMMYFUNCTION("""COMPUTED_VALUE"""),"[]")</f>
        <v>[]</v>
      </c>
      <c r="S2844" s="148" t="str">
        <f>IFERROR(__xludf.DUMMYFUNCTION("""COMPUTED_VALUE"""),"{""effect"":[{""typ"":""item"",""id"":11119801,""val"":5}],""drop"":{""typ"":""single_random"",""num"":1,""args"":[{""typ"":""item"",""id"":11112356,""num"":60,""wgt"":30},{""typ"":""item"",""id"":11112498,""num"":12,""wgt"":40},{""typ"":""item"",""id"":1"&amp;"1111105,""num"":12,""wgt"":40},{""typ"":""item"",""id"":11118663,""num"":3,""wgt"":30},{""typ"":""item"",""id"":11116304,""num"":2,""wgt"":20},{""typ"":""item"",""id"":11116110,""num"":6,""wgt"":30}]}}")</f>
        <v>{"effect":[{"typ":"item","id":11119801,"val":5}],"drop":{"typ":"single_random","num":1,"args":[{"typ":"item","id":11112356,"num":60,"wgt":30},{"typ":"item","id":11112498,"num":12,"wgt":40},{"typ":"item","id":11111105,"num":12,"wgt":40},{"typ":"item","id":11118663,"num":3,"wgt":30},{"typ":"item","id":11116304,"num":2,"wgt":20},{"typ":"item","id":11116110,"num":6,"wgt":30}]}}</v>
      </c>
      <c r="T2844" s="148">
        <f>IFERROR(__xludf.DUMMYFUNCTION("""COMPUTED_VALUE"""),-1.0)</f>
        <v>-1</v>
      </c>
      <c r="U2844" s="148">
        <f>IFERROR(__xludf.DUMMYFUNCTION("""COMPUTED_VALUE"""),0.0)</f>
        <v>0</v>
      </c>
      <c r="V2844" s="148" t="str">
        <f>IFERROR(__xludf.DUMMYFUNCTION("""COMPUTED_VALUE"""),"[]")</f>
        <v>[]</v>
      </c>
      <c r="W2844" s="148">
        <f>IFERROR(__xludf.DUMMYFUNCTION("""COMPUTED_VALUE"""),1.174E7)</f>
        <v>11740000</v>
      </c>
      <c r="X2844" s="148">
        <f>IFERROR(__xludf.DUMMYFUNCTION("""COMPUTED_VALUE"""),0.0)</f>
        <v>0</v>
      </c>
      <c r="Y2844" s="148">
        <f>IFERROR(__xludf.DUMMYFUNCTION("""COMPUTED_VALUE"""),0.0)</f>
        <v>0</v>
      </c>
      <c r="Z2844" s="148"/>
    </row>
    <row r="2845">
      <c r="A2845" s="148">
        <f>IFERROR(__xludf.DUMMYFUNCTION("""COMPUTED_VALUE"""),1.1119807E7)</f>
        <v>11119807</v>
      </c>
      <c r="B2845" s="148" t="str">
        <f>IFERROR(__xludf.DUMMYFUNCTION("""COMPUTED_VALUE"""),"开箱强消耗付费宝箱-迷你")</f>
        <v>开箱强消耗付费宝箱-迷你</v>
      </c>
      <c r="C2845" s="148"/>
      <c r="D2845" s="148" t="str">
        <f>IFERROR(__xludf.DUMMYFUNCTION("""COMPUTED_VALUE"""),"item_locked_box")</f>
        <v>item_locked_box</v>
      </c>
      <c r="E2845" s="148">
        <f>IFERROR(__xludf.DUMMYFUNCTION("""COMPUTED_VALUE"""),19.0)</f>
        <v>19</v>
      </c>
      <c r="F2845" s="148">
        <f>IFERROR(__xludf.DUMMYFUNCTION("""COMPUTED_VALUE"""),499990.0)</f>
        <v>499990</v>
      </c>
      <c r="G2845" s="148">
        <f>IFERROR(__xludf.DUMMYFUNCTION("""COMPUTED_VALUE"""),1.51102929E8)</f>
        <v>151102929</v>
      </c>
      <c r="H2845" s="148">
        <f>IFERROR(__xludf.DUMMYFUNCTION("""COMPUTED_VALUE"""),1.5112564E7)</f>
        <v>15112564</v>
      </c>
      <c r="I2845" s="148" t="str">
        <f>IFERROR(__xludf.DUMMYFUNCTION("""COMPUTED_VALUE"""),"{}")</f>
        <v>{}</v>
      </c>
      <c r="J2845" s="148" t="str">
        <f>IFERROR(__xludf.DUMMYFUNCTION("""COMPUTED_VALUE"""),"{""typ"":""lc"",""txt"":""LC_ITEM_strong_consume_box_paybox_name_5""}")</f>
        <v>{"typ":"lc","txt":"LC_ITEM_strong_consume_box_paybox_name_5"}</v>
      </c>
      <c r="K2845" s="148" t="str">
        <f>IFERROR(__xludf.DUMMYFUNCTION("""COMPUTED_VALUE"""),"{""typ"":""lc"",""txt"":""LC_ITEM_strong_consume_box_paybox_desc""}")</f>
        <v>{"typ":"lc","txt":"LC_ITEM_strong_consume_box_paybox_desc"}</v>
      </c>
      <c r="L2845" s="148" t="str">
        <f>IFERROR(__xludf.DUMMYFUNCTION("""COMPUTED_VALUE"""),"{}")</f>
        <v>{}</v>
      </c>
      <c r="M2845" s="148">
        <f>IFERROR(__xludf.DUMMYFUNCTION("""COMPUTED_VALUE"""),1000.0)</f>
        <v>1000</v>
      </c>
      <c r="N2845" s="148">
        <f>IFERROR(__xludf.DUMMYFUNCTION("""COMPUTED_VALUE"""),999999.0)</f>
        <v>999999</v>
      </c>
      <c r="O2845" s="148">
        <f>IFERROR(__xludf.DUMMYFUNCTION("""COMPUTED_VALUE"""),99999.0)</f>
        <v>99999</v>
      </c>
      <c r="P2845" s="148">
        <f>IFERROR(__xludf.DUMMYFUNCTION("""COMPUTED_VALUE"""),99999.0)</f>
        <v>99999</v>
      </c>
      <c r="Q2845" s="148" t="str">
        <f>IFERROR(__xludf.DUMMYFUNCTION("""COMPUTED_VALUE"""),"[]")</f>
        <v>[]</v>
      </c>
      <c r="R2845" s="148" t="str">
        <f>IFERROR(__xludf.DUMMYFUNCTION("""COMPUTED_VALUE"""),"[]")</f>
        <v>[]</v>
      </c>
      <c r="S2845" s="148" t="str">
        <f>IFERROR(__xludf.DUMMYFUNCTION("""COMPUTED_VALUE"""),"{""effect"":[{""typ"":""item"",""id"":11119801,""val"":2}],""drop"":{""typ"":""single_random"",""num"":1,""args"":[{""typ"":""item"",""id"":11112356,""num"":35,""wgt"":30},{""typ"":""item"",""id"":11112498,""num"":15,""wgt"":40},{""typ"":""item"",""id"":1"&amp;"1111105,""num"":5,""wgt"":40},{""typ"":""item"",""id"":11118663,""num"":2,""wgt"":30},{""typ"":""item"",""id"":11116304,""num"":1,""wgt"":20},{""typ"":""item"",""id"":11116110,""num"":3,""wgt"":30}]}}")</f>
        <v>{"effect":[{"typ":"item","id":11119801,"val":2}],"drop":{"typ":"single_random","num":1,"args":[{"typ":"item","id":11112356,"num":35,"wgt":30},{"typ":"item","id":11112498,"num":15,"wgt":40},{"typ":"item","id":11111105,"num":5,"wgt":40},{"typ":"item","id":11118663,"num":2,"wgt":30},{"typ":"item","id":11116304,"num":1,"wgt":20},{"typ":"item","id":11116110,"num":3,"wgt":30}]}}</v>
      </c>
      <c r="T2845" s="148">
        <f>IFERROR(__xludf.DUMMYFUNCTION("""COMPUTED_VALUE"""),-1.0)</f>
        <v>-1</v>
      </c>
      <c r="U2845" s="148">
        <f>IFERROR(__xludf.DUMMYFUNCTION("""COMPUTED_VALUE"""),0.0)</f>
        <v>0</v>
      </c>
      <c r="V2845" s="148" t="str">
        <f>IFERROR(__xludf.DUMMYFUNCTION("""COMPUTED_VALUE"""),"[]")</f>
        <v>[]</v>
      </c>
      <c r="W2845" s="148">
        <f>IFERROR(__xludf.DUMMYFUNCTION("""COMPUTED_VALUE"""),1.174E7)</f>
        <v>11740000</v>
      </c>
      <c r="X2845" s="148">
        <f>IFERROR(__xludf.DUMMYFUNCTION("""COMPUTED_VALUE"""),0.0)</f>
        <v>0</v>
      </c>
      <c r="Y2845" s="148">
        <f>IFERROR(__xludf.DUMMYFUNCTION("""COMPUTED_VALUE"""),0.0)</f>
        <v>0</v>
      </c>
      <c r="Z2845" s="148"/>
    </row>
    <row r="2846">
      <c r="A2846" s="148">
        <f>IFERROR(__xludf.DUMMYFUNCTION("""COMPUTED_VALUE"""),1.1119808E7)</f>
        <v>11119808</v>
      </c>
      <c r="B2846" s="148" t="str">
        <f>IFERROR(__xludf.DUMMYFUNCTION("""COMPUTED_VALUE"""),"开箱强消耗免费宝箱-schema6")</f>
        <v>开箱强消耗免费宝箱-schema6</v>
      </c>
      <c r="C2846" s="148"/>
      <c r="D2846" s="148" t="str">
        <f>IFERROR(__xludf.DUMMYFUNCTION("""COMPUTED_VALUE"""),"item_locked_box")</f>
        <v>item_locked_box</v>
      </c>
      <c r="E2846" s="148">
        <f>IFERROR(__xludf.DUMMYFUNCTION("""COMPUTED_VALUE"""),19.0)</f>
        <v>19</v>
      </c>
      <c r="F2846" s="148">
        <f>IFERROR(__xludf.DUMMYFUNCTION("""COMPUTED_VALUE"""),499990.0)</f>
        <v>499990</v>
      </c>
      <c r="G2846" s="148">
        <f>IFERROR(__xludf.DUMMYFUNCTION("""COMPUTED_VALUE"""),1.51102928E8)</f>
        <v>151102928</v>
      </c>
      <c r="H2846" s="148">
        <f>IFERROR(__xludf.DUMMYFUNCTION("""COMPUTED_VALUE"""),1.5112563E7)</f>
        <v>15112563</v>
      </c>
      <c r="I2846" s="148" t="str">
        <f>IFERROR(__xludf.DUMMYFUNCTION("""COMPUTED_VALUE"""),"{}")</f>
        <v>{}</v>
      </c>
      <c r="J2846" s="148" t="str">
        <f>IFERROR(__xludf.DUMMYFUNCTION("""COMPUTED_VALUE"""),"{""typ"":""lc"",""txt"":""LC_ITEM_strong_consume_box_freebox_name""}")</f>
        <v>{"typ":"lc","txt":"LC_ITEM_strong_consume_box_freebox_name"}</v>
      </c>
      <c r="K2846" s="148" t="str">
        <f>IFERROR(__xludf.DUMMYFUNCTION("""COMPUTED_VALUE"""),"{""typ"":""lc"",""txt"":""LC_ITEM_strong_consume_box_freebox_desc""}")</f>
        <v>{"typ":"lc","txt":"LC_ITEM_strong_consume_box_freebox_desc"}</v>
      </c>
      <c r="L2846" s="148" t="str">
        <f>IFERROR(__xludf.DUMMYFUNCTION("""COMPUTED_VALUE"""),"{}")</f>
        <v>{}</v>
      </c>
      <c r="M2846" s="148">
        <f>IFERROR(__xludf.DUMMYFUNCTION("""COMPUTED_VALUE"""),250.0)</f>
        <v>250</v>
      </c>
      <c r="N2846" s="148">
        <f>IFERROR(__xludf.DUMMYFUNCTION("""COMPUTED_VALUE"""),999999.0)</f>
        <v>999999</v>
      </c>
      <c r="O2846" s="148">
        <f>IFERROR(__xludf.DUMMYFUNCTION("""COMPUTED_VALUE"""),99999.0)</f>
        <v>99999</v>
      </c>
      <c r="P2846" s="148">
        <f>IFERROR(__xludf.DUMMYFUNCTION("""COMPUTED_VALUE"""),99999.0)</f>
        <v>99999</v>
      </c>
      <c r="Q2846" s="148" t="str">
        <f>IFERROR(__xludf.DUMMYFUNCTION("""COMPUTED_VALUE"""),"[]")</f>
        <v>[]</v>
      </c>
      <c r="R2846" s="148" t="str">
        <f>IFERROR(__xludf.DUMMYFUNCTION("""COMPUTED_VALUE"""),"[]")</f>
        <v>[]</v>
      </c>
      <c r="S2846" s="148" t="str">
        <f>IFERROR(__xludf.DUMMYFUNCTION("""COMPUTED_VALUE"""),"{""effect"":[{""typ"":""item"",""id"":11119801,""val"":0}],""drop"":{""typ"":""single_random"",""num"":1,""args"":[{""typ"":""item"",""id"":11112356,""num"":10,""wgt"":30},{""typ"":""item"",""id"":11112498,""num"":3,""wgt"":30},{""typ"":""item"",""id"":11"&amp;"119801,""num"":2,""wgt"":10},{""typ"":""item"",""id"":11111156,""num"":1,""wgt"":30},{""typ"":""item"",""id"":11118709,""num"":1,""wgt"":20},{""typ"":""item"",""id"":11114330,""num"":5,""wgt"":50}]}}")</f>
        <v>{"effect":[{"typ":"item","id":11119801,"val":0}],"drop":{"typ":"single_random","num":1,"args":[{"typ":"item","id":11112356,"num":10,"wgt":30},{"typ":"item","id":11112498,"num":3,"wgt":30},{"typ":"item","id":11119801,"num":2,"wgt":10},{"typ":"item","id":11111156,"num":1,"wgt":30},{"typ":"item","id":11118709,"num":1,"wgt":20},{"typ":"item","id":11114330,"num":5,"wgt":50}]}}</v>
      </c>
      <c r="T2846" s="148">
        <f>IFERROR(__xludf.DUMMYFUNCTION("""COMPUTED_VALUE"""),-1.0)</f>
        <v>-1</v>
      </c>
      <c r="U2846" s="148">
        <f>IFERROR(__xludf.DUMMYFUNCTION("""COMPUTED_VALUE"""),0.0)</f>
        <v>0</v>
      </c>
      <c r="V2846" s="148" t="str">
        <f>IFERROR(__xludf.DUMMYFUNCTION("""COMPUTED_VALUE"""),"[]")</f>
        <v>[]</v>
      </c>
      <c r="W2846" s="148">
        <f>IFERROR(__xludf.DUMMYFUNCTION("""COMPUTED_VALUE"""),1.174E7)</f>
        <v>11740000</v>
      </c>
      <c r="X2846" s="148">
        <f>IFERROR(__xludf.DUMMYFUNCTION("""COMPUTED_VALUE"""),0.0)</f>
        <v>0</v>
      </c>
      <c r="Y2846" s="148">
        <f>IFERROR(__xludf.DUMMYFUNCTION("""COMPUTED_VALUE"""),0.0)</f>
        <v>0</v>
      </c>
      <c r="Z2846" s="148"/>
    </row>
    <row r="2847">
      <c r="A2847" s="148">
        <f>IFERROR(__xludf.DUMMYFUNCTION("""COMPUTED_VALUE"""),1.1119809E7)</f>
        <v>11119809</v>
      </c>
      <c r="B2847" s="148" t="str">
        <f>IFERROR(__xludf.DUMMYFUNCTION("""COMPUTED_VALUE"""),"开箱强消耗付费宝箱-超大-schema6")</f>
        <v>开箱强消耗付费宝箱-超大-schema6</v>
      </c>
      <c r="C2847" s="148"/>
      <c r="D2847" s="148" t="str">
        <f>IFERROR(__xludf.DUMMYFUNCTION("""COMPUTED_VALUE"""),"item_locked_box")</f>
        <v>item_locked_box</v>
      </c>
      <c r="E2847" s="148">
        <f>IFERROR(__xludf.DUMMYFUNCTION("""COMPUTED_VALUE"""),19.0)</f>
        <v>19</v>
      </c>
      <c r="F2847" s="148">
        <f>IFERROR(__xludf.DUMMYFUNCTION("""COMPUTED_VALUE"""),499990.0)</f>
        <v>499990</v>
      </c>
      <c r="G2847" s="148">
        <f>IFERROR(__xludf.DUMMYFUNCTION("""COMPUTED_VALUE"""),1.51102929E8)</f>
        <v>151102929</v>
      </c>
      <c r="H2847" s="148">
        <f>IFERROR(__xludf.DUMMYFUNCTION("""COMPUTED_VALUE"""),1.5112564E7)</f>
        <v>15112564</v>
      </c>
      <c r="I2847" s="148" t="str">
        <f>IFERROR(__xludf.DUMMYFUNCTION("""COMPUTED_VALUE"""),"{}")</f>
        <v>{}</v>
      </c>
      <c r="J2847" s="148" t="str">
        <f>IFERROR(__xludf.DUMMYFUNCTION("""COMPUTED_VALUE"""),"{""typ"":""lc"",""txt"":""LC_ITEM_strong_consume_box_paybox_name_1""}")</f>
        <v>{"typ":"lc","txt":"LC_ITEM_strong_consume_box_paybox_name_1"}</v>
      </c>
      <c r="K2847" s="148" t="str">
        <f>IFERROR(__xludf.DUMMYFUNCTION("""COMPUTED_VALUE"""),"{""typ"":""lc"",""txt"":""LC_ITEM_strong_consume_box_paybox_desc""}")</f>
        <v>{"typ":"lc","txt":"LC_ITEM_strong_consume_box_paybox_desc"}</v>
      </c>
      <c r="L2847" s="148" t="str">
        <f>IFERROR(__xludf.DUMMYFUNCTION("""COMPUTED_VALUE"""),"{}")</f>
        <v>{}</v>
      </c>
      <c r="M2847" s="148">
        <f>IFERROR(__xludf.DUMMYFUNCTION("""COMPUTED_VALUE"""),13500.0)</f>
        <v>13500</v>
      </c>
      <c r="N2847" s="148">
        <f>IFERROR(__xludf.DUMMYFUNCTION("""COMPUTED_VALUE"""),999999.0)</f>
        <v>999999</v>
      </c>
      <c r="O2847" s="148">
        <f>IFERROR(__xludf.DUMMYFUNCTION("""COMPUTED_VALUE"""),99999.0)</f>
        <v>99999</v>
      </c>
      <c r="P2847" s="148">
        <f>IFERROR(__xludf.DUMMYFUNCTION("""COMPUTED_VALUE"""),99999.0)</f>
        <v>99999</v>
      </c>
      <c r="Q2847" s="148" t="str">
        <f>IFERROR(__xludf.DUMMYFUNCTION("""COMPUTED_VALUE"""),"[]")</f>
        <v>[]</v>
      </c>
      <c r="R2847" s="148" t="str">
        <f>IFERROR(__xludf.DUMMYFUNCTION("""COMPUTED_VALUE"""),"[]")</f>
        <v>[]</v>
      </c>
      <c r="S2847" s="148" t="str">
        <f>IFERROR(__xludf.DUMMYFUNCTION("""COMPUTED_VALUE"""),"{""effect"":[{""typ"":""item"",""id"":11119801,""val"":40}],""drop"":{""typ"":""single_random"",""num"":1,""args"":[{""typ"":""item"",""id"":11112356,""num"":500,""wgt"":30},{""typ"":""item"",""id"":11112498,""num"":100,""wgt"":40},{""typ"":""item"",""id"&amp;""":11112030,""num"":500,""wgt"":40},{""typ"":""item"",""id"":11118709,""num"":30,""wgt"":30},{""typ"":""item"",""id"":11116304,""num"":20,""wgt"":20},{""typ"":""item"",""id"":11118203,""num"":50,""wgt"":30}]}}")</f>
        <v>{"effect":[{"typ":"item","id":11119801,"val":40}],"drop":{"typ":"single_random","num":1,"args":[{"typ":"item","id":11112356,"num":500,"wgt":30},{"typ":"item","id":11112498,"num":100,"wgt":40},{"typ":"item","id":11112030,"num":500,"wgt":40},{"typ":"item","id":11118709,"num":30,"wgt":30},{"typ":"item","id":11116304,"num":20,"wgt":20},{"typ":"item","id":11118203,"num":50,"wgt":30}]}}</v>
      </c>
      <c r="T2847" s="148">
        <f>IFERROR(__xludf.DUMMYFUNCTION("""COMPUTED_VALUE"""),-1.0)</f>
        <v>-1</v>
      </c>
      <c r="U2847" s="148">
        <f>IFERROR(__xludf.DUMMYFUNCTION("""COMPUTED_VALUE"""),0.0)</f>
        <v>0</v>
      </c>
      <c r="V2847" s="148" t="str">
        <f>IFERROR(__xludf.DUMMYFUNCTION("""COMPUTED_VALUE"""),"[]")</f>
        <v>[]</v>
      </c>
      <c r="W2847" s="148">
        <f>IFERROR(__xludf.DUMMYFUNCTION("""COMPUTED_VALUE"""),1.174E7)</f>
        <v>11740000</v>
      </c>
      <c r="X2847" s="148">
        <f>IFERROR(__xludf.DUMMYFUNCTION("""COMPUTED_VALUE"""),0.0)</f>
        <v>0</v>
      </c>
      <c r="Y2847" s="148">
        <f>IFERROR(__xludf.DUMMYFUNCTION("""COMPUTED_VALUE"""),0.0)</f>
        <v>0</v>
      </c>
      <c r="Z2847" s="148"/>
    </row>
    <row r="2848">
      <c r="A2848" s="148">
        <f>IFERROR(__xludf.DUMMYFUNCTION("""COMPUTED_VALUE"""),1.111981E7)</f>
        <v>11119810</v>
      </c>
      <c r="B2848" s="148" t="str">
        <f>IFERROR(__xludf.DUMMYFUNCTION("""COMPUTED_VALUE"""),"开箱强消耗付费宝箱-大-schema6")</f>
        <v>开箱强消耗付费宝箱-大-schema6</v>
      </c>
      <c r="C2848" s="148"/>
      <c r="D2848" s="148" t="str">
        <f>IFERROR(__xludf.DUMMYFUNCTION("""COMPUTED_VALUE"""),"item_locked_box")</f>
        <v>item_locked_box</v>
      </c>
      <c r="E2848" s="148">
        <f>IFERROR(__xludf.DUMMYFUNCTION("""COMPUTED_VALUE"""),19.0)</f>
        <v>19</v>
      </c>
      <c r="F2848" s="148">
        <f>IFERROR(__xludf.DUMMYFUNCTION("""COMPUTED_VALUE"""),499990.0)</f>
        <v>499990</v>
      </c>
      <c r="G2848" s="148">
        <f>IFERROR(__xludf.DUMMYFUNCTION("""COMPUTED_VALUE"""),1.51102929E8)</f>
        <v>151102929</v>
      </c>
      <c r="H2848" s="148">
        <f>IFERROR(__xludf.DUMMYFUNCTION("""COMPUTED_VALUE"""),1.5112564E7)</f>
        <v>15112564</v>
      </c>
      <c r="I2848" s="148" t="str">
        <f>IFERROR(__xludf.DUMMYFUNCTION("""COMPUTED_VALUE"""),"{}")</f>
        <v>{}</v>
      </c>
      <c r="J2848" s="148" t="str">
        <f>IFERROR(__xludf.DUMMYFUNCTION("""COMPUTED_VALUE"""),"{""typ"":""lc"",""txt"":""LC_ITEM_strong_consume_box_paybox_name_2""}")</f>
        <v>{"typ":"lc","txt":"LC_ITEM_strong_consume_box_paybox_name_2"}</v>
      </c>
      <c r="K2848" s="148" t="str">
        <f>IFERROR(__xludf.DUMMYFUNCTION("""COMPUTED_VALUE"""),"{""typ"":""lc"",""txt"":""LC_ITEM_strong_consume_box_paybox_desc""}")</f>
        <v>{"typ":"lc","txt":"LC_ITEM_strong_consume_box_paybox_desc"}</v>
      </c>
      <c r="L2848" s="148" t="str">
        <f>IFERROR(__xludf.DUMMYFUNCTION("""COMPUTED_VALUE"""),"{}")</f>
        <v>{}</v>
      </c>
      <c r="M2848" s="148">
        <f>IFERROR(__xludf.DUMMYFUNCTION("""COMPUTED_VALUE"""),6500.0)</f>
        <v>6500</v>
      </c>
      <c r="N2848" s="148">
        <f>IFERROR(__xludf.DUMMYFUNCTION("""COMPUTED_VALUE"""),999999.0)</f>
        <v>999999</v>
      </c>
      <c r="O2848" s="148">
        <f>IFERROR(__xludf.DUMMYFUNCTION("""COMPUTED_VALUE"""),99999.0)</f>
        <v>99999</v>
      </c>
      <c r="P2848" s="148">
        <f>IFERROR(__xludf.DUMMYFUNCTION("""COMPUTED_VALUE"""),99999.0)</f>
        <v>99999</v>
      </c>
      <c r="Q2848" s="148" t="str">
        <f>IFERROR(__xludf.DUMMYFUNCTION("""COMPUTED_VALUE"""),"[]")</f>
        <v>[]</v>
      </c>
      <c r="R2848" s="148" t="str">
        <f>IFERROR(__xludf.DUMMYFUNCTION("""COMPUTED_VALUE"""),"[]")</f>
        <v>[]</v>
      </c>
      <c r="S2848" s="148" t="str">
        <f>IFERROR(__xludf.DUMMYFUNCTION("""COMPUTED_VALUE"""),"{""effect"":[{""typ"":""item"",""id"":11119801,""val"":20}],""drop"":{""typ"":""single_random"",""num"":1,""args"":[{""typ"":""item"",""id"":11112356,""num"":250,""wgt"":30},{""typ"":""item"",""id"":11112498,""num"":50,""wgt"":40},{""typ"":""item"",""id"""&amp;":11111105,""num"":48,""wgt"":40},{""typ"":""item"",""id"":11118709,""num"":15,""wgt"":30},{""typ"":""item"",""id"":11116304,""num"":10,""wgt"":20},{""typ"":""item"",""id"":11118203,""num"":25,""wgt"":30}]}}")</f>
        <v>{"effect":[{"typ":"item","id":11119801,"val":20}],"drop":{"typ":"single_random","num":1,"args":[{"typ":"item","id":11112356,"num":250,"wgt":30},{"typ":"item","id":11112498,"num":50,"wgt":40},{"typ":"item","id":11111105,"num":48,"wgt":40},{"typ":"item","id":11118709,"num":15,"wgt":30},{"typ":"item","id":11116304,"num":10,"wgt":20},{"typ":"item","id":11118203,"num":25,"wgt":30}]}}</v>
      </c>
      <c r="T2848" s="148">
        <f>IFERROR(__xludf.DUMMYFUNCTION("""COMPUTED_VALUE"""),-1.0)</f>
        <v>-1</v>
      </c>
      <c r="U2848" s="148">
        <f>IFERROR(__xludf.DUMMYFUNCTION("""COMPUTED_VALUE"""),0.0)</f>
        <v>0</v>
      </c>
      <c r="V2848" s="148" t="str">
        <f>IFERROR(__xludf.DUMMYFUNCTION("""COMPUTED_VALUE"""),"[]")</f>
        <v>[]</v>
      </c>
      <c r="W2848" s="148">
        <f>IFERROR(__xludf.DUMMYFUNCTION("""COMPUTED_VALUE"""),1.174E7)</f>
        <v>11740000</v>
      </c>
      <c r="X2848" s="148">
        <f>IFERROR(__xludf.DUMMYFUNCTION("""COMPUTED_VALUE"""),0.0)</f>
        <v>0</v>
      </c>
      <c r="Y2848" s="148">
        <f>IFERROR(__xludf.DUMMYFUNCTION("""COMPUTED_VALUE"""),0.0)</f>
        <v>0</v>
      </c>
      <c r="Z2848" s="148"/>
    </row>
    <row r="2849">
      <c r="A2849" s="148">
        <f>IFERROR(__xludf.DUMMYFUNCTION("""COMPUTED_VALUE"""),1.1119811E7)</f>
        <v>11119811</v>
      </c>
      <c r="B2849" s="148" t="str">
        <f>IFERROR(__xludf.DUMMYFUNCTION("""COMPUTED_VALUE"""),"开箱强消耗付费宝箱-中-schema6")</f>
        <v>开箱强消耗付费宝箱-中-schema6</v>
      </c>
      <c r="C2849" s="148"/>
      <c r="D2849" s="148" t="str">
        <f>IFERROR(__xludf.DUMMYFUNCTION("""COMPUTED_VALUE"""),"item_locked_box")</f>
        <v>item_locked_box</v>
      </c>
      <c r="E2849" s="148">
        <f>IFERROR(__xludf.DUMMYFUNCTION("""COMPUTED_VALUE"""),19.0)</f>
        <v>19</v>
      </c>
      <c r="F2849" s="148">
        <f>IFERROR(__xludf.DUMMYFUNCTION("""COMPUTED_VALUE"""),499990.0)</f>
        <v>499990</v>
      </c>
      <c r="G2849" s="148">
        <f>IFERROR(__xludf.DUMMYFUNCTION("""COMPUTED_VALUE"""),1.51102929E8)</f>
        <v>151102929</v>
      </c>
      <c r="H2849" s="148">
        <f>IFERROR(__xludf.DUMMYFUNCTION("""COMPUTED_VALUE"""),1.5112564E7)</f>
        <v>15112564</v>
      </c>
      <c r="I2849" s="148" t="str">
        <f>IFERROR(__xludf.DUMMYFUNCTION("""COMPUTED_VALUE"""),"{}")</f>
        <v>{}</v>
      </c>
      <c r="J2849" s="148" t="str">
        <f>IFERROR(__xludf.DUMMYFUNCTION("""COMPUTED_VALUE"""),"{""typ"":""lc"",""txt"":""LC_ITEM_strong_consume_box_paybox_name_3""}")</f>
        <v>{"typ":"lc","txt":"LC_ITEM_strong_consume_box_paybox_name_3"}</v>
      </c>
      <c r="K2849" s="148" t="str">
        <f>IFERROR(__xludf.DUMMYFUNCTION("""COMPUTED_VALUE"""),"{""typ"":""lc"",""txt"":""LC_ITEM_strong_consume_box_paybox_desc""}")</f>
        <v>{"typ":"lc","txt":"LC_ITEM_strong_consume_box_paybox_desc"}</v>
      </c>
      <c r="L2849" s="148" t="str">
        <f>IFERROR(__xludf.DUMMYFUNCTION("""COMPUTED_VALUE"""),"{}")</f>
        <v>{}</v>
      </c>
      <c r="M2849" s="148">
        <f>IFERROR(__xludf.DUMMYFUNCTION("""COMPUTED_VALUE"""),3000.0)</f>
        <v>3000</v>
      </c>
      <c r="N2849" s="148">
        <f>IFERROR(__xludf.DUMMYFUNCTION("""COMPUTED_VALUE"""),999999.0)</f>
        <v>999999</v>
      </c>
      <c r="O2849" s="148">
        <f>IFERROR(__xludf.DUMMYFUNCTION("""COMPUTED_VALUE"""),99999.0)</f>
        <v>99999</v>
      </c>
      <c r="P2849" s="148">
        <f>IFERROR(__xludf.DUMMYFUNCTION("""COMPUTED_VALUE"""),99999.0)</f>
        <v>99999</v>
      </c>
      <c r="Q2849" s="148" t="str">
        <f>IFERROR(__xludf.DUMMYFUNCTION("""COMPUTED_VALUE"""),"[]")</f>
        <v>[]</v>
      </c>
      <c r="R2849" s="148" t="str">
        <f>IFERROR(__xludf.DUMMYFUNCTION("""COMPUTED_VALUE"""),"[]")</f>
        <v>[]</v>
      </c>
      <c r="S2849" s="148" t="str">
        <f>IFERROR(__xludf.DUMMYFUNCTION("""COMPUTED_VALUE"""),"{""effect"":[{""typ"":""item"",""id"":11119801,""val"":10}],""drop"":{""typ"":""single_random"",""num"":1,""args"":[{""typ"":""item"",""id"":11112356,""num"":120,""wgt"":30},{""typ"":""item"",""id"":11112498,""num"":25,""wgt"":40},{""typ"":""item"",""id"""&amp;":11111105,""num"":24,""wgt"":40},{""typ"":""item"",""id"":11118709,""num"":7,""wgt"":30},{""typ"":""item"",""id"":11116304,""num"":5,""wgt"":20},{""typ"":""item"",""id"":11118203,""num"":12,""wgt"":30}]}}")</f>
        <v>{"effect":[{"typ":"item","id":11119801,"val":10}],"drop":{"typ":"single_random","num":1,"args":[{"typ":"item","id":11112356,"num":120,"wgt":30},{"typ":"item","id":11112498,"num":25,"wgt":40},{"typ":"item","id":11111105,"num":24,"wgt":40},{"typ":"item","id":11118709,"num":7,"wgt":30},{"typ":"item","id":11116304,"num":5,"wgt":20},{"typ":"item","id":11118203,"num":12,"wgt":30}]}}</v>
      </c>
      <c r="T2849" s="148">
        <f>IFERROR(__xludf.DUMMYFUNCTION("""COMPUTED_VALUE"""),-1.0)</f>
        <v>-1</v>
      </c>
      <c r="U2849" s="148">
        <f>IFERROR(__xludf.DUMMYFUNCTION("""COMPUTED_VALUE"""),0.0)</f>
        <v>0</v>
      </c>
      <c r="V2849" s="148" t="str">
        <f>IFERROR(__xludf.DUMMYFUNCTION("""COMPUTED_VALUE"""),"[]")</f>
        <v>[]</v>
      </c>
      <c r="W2849" s="148">
        <f>IFERROR(__xludf.DUMMYFUNCTION("""COMPUTED_VALUE"""),1.174E7)</f>
        <v>11740000</v>
      </c>
      <c r="X2849" s="148">
        <f>IFERROR(__xludf.DUMMYFUNCTION("""COMPUTED_VALUE"""),0.0)</f>
        <v>0</v>
      </c>
      <c r="Y2849" s="148">
        <f>IFERROR(__xludf.DUMMYFUNCTION("""COMPUTED_VALUE"""),0.0)</f>
        <v>0</v>
      </c>
      <c r="Z2849" s="148"/>
    </row>
    <row r="2850">
      <c r="A2850" s="148">
        <f>IFERROR(__xludf.DUMMYFUNCTION("""COMPUTED_VALUE"""),1.1119812E7)</f>
        <v>11119812</v>
      </c>
      <c r="B2850" s="148" t="str">
        <f>IFERROR(__xludf.DUMMYFUNCTION("""COMPUTED_VALUE"""),"开箱强消耗付费宝箱-小-schema6")</f>
        <v>开箱强消耗付费宝箱-小-schema6</v>
      </c>
      <c r="C2850" s="148"/>
      <c r="D2850" s="148" t="str">
        <f>IFERROR(__xludf.DUMMYFUNCTION("""COMPUTED_VALUE"""),"item_locked_box")</f>
        <v>item_locked_box</v>
      </c>
      <c r="E2850" s="148">
        <f>IFERROR(__xludf.DUMMYFUNCTION("""COMPUTED_VALUE"""),19.0)</f>
        <v>19</v>
      </c>
      <c r="F2850" s="148">
        <f>IFERROR(__xludf.DUMMYFUNCTION("""COMPUTED_VALUE"""),499990.0)</f>
        <v>499990</v>
      </c>
      <c r="G2850" s="148">
        <f>IFERROR(__xludf.DUMMYFUNCTION("""COMPUTED_VALUE"""),1.51102929E8)</f>
        <v>151102929</v>
      </c>
      <c r="H2850" s="148">
        <f>IFERROR(__xludf.DUMMYFUNCTION("""COMPUTED_VALUE"""),1.5112564E7)</f>
        <v>15112564</v>
      </c>
      <c r="I2850" s="148" t="str">
        <f>IFERROR(__xludf.DUMMYFUNCTION("""COMPUTED_VALUE"""),"{}")</f>
        <v>{}</v>
      </c>
      <c r="J2850" s="148" t="str">
        <f>IFERROR(__xludf.DUMMYFUNCTION("""COMPUTED_VALUE"""),"{""typ"":""lc"",""txt"":""LC_ITEM_strong_consume_box_paybox_name_4""}")</f>
        <v>{"typ":"lc","txt":"LC_ITEM_strong_consume_box_paybox_name_4"}</v>
      </c>
      <c r="K2850" s="148" t="str">
        <f>IFERROR(__xludf.DUMMYFUNCTION("""COMPUTED_VALUE"""),"{""typ"":""lc"",""txt"":""LC_ITEM_strong_consume_box_paybox_desc""}")</f>
        <v>{"typ":"lc","txt":"LC_ITEM_strong_consume_box_paybox_desc"}</v>
      </c>
      <c r="L2850" s="148" t="str">
        <f>IFERROR(__xludf.DUMMYFUNCTION("""COMPUTED_VALUE"""),"{}")</f>
        <v>{}</v>
      </c>
      <c r="M2850" s="148">
        <f>IFERROR(__xludf.DUMMYFUNCTION("""COMPUTED_VALUE"""),1500.0)</f>
        <v>1500</v>
      </c>
      <c r="N2850" s="148">
        <f>IFERROR(__xludf.DUMMYFUNCTION("""COMPUTED_VALUE"""),999999.0)</f>
        <v>999999</v>
      </c>
      <c r="O2850" s="148">
        <f>IFERROR(__xludf.DUMMYFUNCTION("""COMPUTED_VALUE"""),99999.0)</f>
        <v>99999</v>
      </c>
      <c r="P2850" s="148">
        <f>IFERROR(__xludf.DUMMYFUNCTION("""COMPUTED_VALUE"""),99999.0)</f>
        <v>99999</v>
      </c>
      <c r="Q2850" s="148" t="str">
        <f>IFERROR(__xludf.DUMMYFUNCTION("""COMPUTED_VALUE"""),"[]")</f>
        <v>[]</v>
      </c>
      <c r="R2850" s="148" t="str">
        <f>IFERROR(__xludf.DUMMYFUNCTION("""COMPUTED_VALUE"""),"[]")</f>
        <v>[]</v>
      </c>
      <c r="S2850" s="148" t="str">
        <f>IFERROR(__xludf.DUMMYFUNCTION("""COMPUTED_VALUE"""),"{""effect"":[{""typ"":""item"",""id"":11119801,""val"":5}],""drop"":{""typ"":""single_random"",""num"":1,""args"":[{""typ"":""item"",""id"":11112356,""num"":60,""wgt"":30},{""typ"":""item"",""id"":11112498,""num"":12,""wgt"":40},{""typ"":""item"",""id"":1"&amp;"1111105,""num"":12,""wgt"":40},{""typ"":""item"",""id"":11118709,""num"":3,""wgt"":30},{""typ"":""item"",""id"":11116304,""num"":2,""wgt"":20},{""typ"":""item"",""id"":11116110,""num"":6,""wgt"":30}]}}")</f>
        <v>{"effect":[{"typ":"item","id":11119801,"val":5}],"drop":{"typ":"single_random","num":1,"args":[{"typ":"item","id":11112356,"num":60,"wgt":30},{"typ":"item","id":11112498,"num":12,"wgt":40},{"typ":"item","id":11111105,"num":12,"wgt":40},{"typ":"item","id":11118709,"num":3,"wgt":30},{"typ":"item","id":11116304,"num":2,"wgt":20},{"typ":"item","id":11116110,"num":6,"wgt":30}]}}</v>
      </c>
      <c r="T2850" s="148">
        <f>IFERROR(__xludf.DUMMYFUNCTION("""COMPUTED_VALUE"""),-1.0)</f>
        <v>-1</v>
      </c>
      <c r="U2850" s="148">
        <f>IFERROR(__xludf.DUMMYFUNCTION("""COMPUTED_VALUE"""),0.0)</f>
        <v>0</v>
      </c>
      <c r="V2850" s="148" t="str">
        <f>IFERROR(__xludf.DUMMYFUNCTION("""COMPUTED_VALUE"""),"[]")</f>
        <v>[]</v>
      </c>
      <c r="W2850" s="148">
        <f>IFERROR(__xludf.DUMMYFUNCTION("""COMPUTED_VALUE"""),1.174E7)</f>
        <v>11740000</v>
      </c>
      <c r="X2850" s="148">
        <f>IFERROR(__xludf.DUMMYFUNCTION("""COMPUTED_VALUE"""),0.0)</f>
        <v>0</v>
      </c>
      <c r="Y2850" s="148">
        <f>IFERROR(__xludf.DUMMYFUNCTION("""COMPUTED_VALUE"""),0.0)</f>
        <v>0</v>
      </c>
      <c r="Z2850" s="148"/>
    </row>
    <row r="2851">
      <c r="A2851" s="148">
        <f>IFERROR(__xludf.DUMMYFUNCTION("""COMPUTED_VALUE"""),1.1119813E7)</f>
        <v>11119813</v>
      </c>
      <c r="B2851" s="148" t="str">
        <f>IFERROR(__xludf.DUMMYFUNCTION("""COMPUTED_VALUE"""),"开箱强消耗付费宝箱-迷你-schema6")</f>
        <v>开箱强消耗付费宝箱-迷你-schema6</v>
      </c>
      <c r="C2851" s="148"/>
      <c r="D2851" s="148" t="str">
        <f>IFERROR(__xludf.DUMMYFUNCTION("""COMPUTED_VALUE"""),"item_locked_box")</f>
        <v>item_locked_box</v>
      </c>
      <c r="E2851" s="148">
        <f>IFERROR(__xludf.DUMMYFUNCTION("""COMPUTED_VALUE"""),19.0)</f>
        <v>19</v>
      </c>
      <c r="F2851" s="148">
        <f>IFERROR(__xludf.DUMMYFUNCTION("""COMPUTED_VALUE"""),499990.0)</f>
        <v>499990</v>
      </c>
      <c r="G2851" s="148">
        <f>IFERROR(__xludf.DUMMYFUNCTION("""COMPUTED_VALUE"""),1.51102929E8)</f>
        <v>151102929</v>
      </c>
      <c r="H2851" s="148">
        <f>IFERROR(__xludf.DUMMYFUNCTION("""COMPUTED_VALUE"""),1.5112564E7)</f>
        <v>15112564</v>
      </c>
      <c r="I2851" s="148" t="str">
        <f>IFERROR(__xludf.DUMMYFUNCTION("""COMPUTED_VALUE"""),"{}")</f>
        <v>{}</v>
      </c>
      <c r="J2851" s="148" t="str">
        <f>IFERROR(__xludf.DUMMYFUNCTION("""COMPUTED_VALUE"""),"{""typ"":""lc"",""txt"":""LC_ITEM_strong_consume_box_paybox_name_5""}")</f>
        <v>{"typ":"lc","txt":"LC_ITEM_strong_consume_box_paybox_name_5"}</v>
      </c>
      <c r="K2851" s="148" t="str">
        <f>IFERROR(__xludf.DUMMYFUNCTION("""COMPUTED_VALUE"""),"{""typ"":""lc"",""txt"":""LC_ITEM_strong_consume_box_paybox_desc""}")</f>
        <v>{"typ":"lc","txt":"LC_ITEM_strong_consume_box_paybox_desc"}</v>
      </c>
      <c r="L2851" s="148" t="str">
        <f>IFERROR(__xludf.DUMMYFUNCTION("""COMPUTED_VALUE"""),"{}")</f>
        <v>{}</v>
      </c>
      <c r="M2851" s="148">
        <f>IFERROR(__xludf.DUMMYFUNCTION("""COMPUTED_VALUE"""),1000.0)</f>
        <v>1000</v>
      </c>
      <c r="N2851" s="148">
        <f>IFERROR(__xludf.DUMMYFUNCTION("""COMPUTED_VALUE"""),999999.0)</f>
        <v>999999</v>
      </c>
      <c r="O2851" s="148">
        <f>IFERROR(__xludf.DUMMYFUNCTION("""COMPUTED_VALUE"""),99999.0)</f>
        <v>99999</v>
      </c>
      <c r="P2851" s="148">
        <f>IFERROR(__xludf.DUMMYFUNCTION("""COMPUTED_VALUE"""),99999.0)</f>
        <v>99999</v>
      </c>
      <c r="Q2851" s="148" t="str">
        <f>IFERROR(__xludf.DUMMYFUNCTION("""COMPUTED_VALUE"""),"[]")</f>
        <v>[]</v>
      </c>
      <c r="R2851" s="148" t="str">
        <f>IFERROR(__xludf.DUMMYFUNCTION("""COMPUTED_VALUE"""),"[]")</f>
        <v>[]</v>
      </c>
      <c r="S2851" s="148" t="str">
        <f>IFERROR(__xludf.DUMMYFUNCTION("""COMPUTED_VALUE"""),"{""effect"":[{""typ"":""item"",""id"":11119801,""val"":2}],""drop"":{""typ"":""single_random"",""num"":1,""args"":[{""typ"":""item"",""id"":11112356,""num"":35,""wgt"":30},{""typ"":""item"",""id"":11112498,""num"":15,""wgt"":40},{""typ"":""item"",""id"":1"&amp;"1111105,""num"":5,""wgt"":40},{""typ"":""item"",""id"":11118709,""num"":2,""wgt"":30},{""typ"":""item"",""id"":11116304,""num"":1,""wgt"":20},{""typ"":""item"",""id"":11116110,""num"":3,""wgt"":30}]}}")</f>
        <v>{"effect":[{"typ":"item","id":11119801,"val":2}],"drop":{"typ":"single_random","num":1,"args":[{"typ":"item","id":11112356,"num":35,"wgt":30},{"typ":"item","id":11112498,"num":15,"wgt":40},{"typ":"item","id":11111105,"num":5,"wgt":40},{"typ":"item","id":11118709,"num":2,"wgt":30},{"typ":"item","id":11116304,"num":1,"wgt":20},{"typ":"item","id":11116110,"num":3,"wgt":30}]}}</v>
      </c>
      <c r="T2851" s="148">
        <f>IFERROR(__xludf.DUMMYFUNCTION("""COMPUTED_VALUE"""),-1.0)</f>
        <v>-1</v>
      </c>
      <c r="U2851" s="148">
        <f>IFERROR(__xludf.DUMMYFUNCTION("""COMPUTED_VALUE"""),0.0)</f>
        <v>0</v>
      </c>
      <c r="V2851" s="148" t="str">
        <f>IFERROR(__xludf.DUMMYFUNCTION("""COMPUTED_VALUE"""),"[]")</f>
        <v>[]</v>
      </c>
      <c r="W2851" s="148">
        <f>IFERROR(__xludf.DUMMYFUNCTION("""COMPUTED_VALUE"""),1.174E7)</f>
        <v>11740000</v>
      </c>
      <c r="X2851" s="148">
        <f>IFERROR(__xludf.DUMMYFUNCTION("""COMPUTED_VALUE"""),0.0)</f>
        <v>0</v>
      </c>
      <c r="Y2851" s="148">
        <f>IFERROR(__xludf.DUMMYFUNCTION("""COMPUTED_VALUE"""),0.0)</f>
        <v>0</v>
      </c>
      <c r="Z2851" s="148"/>
    </row>
    <row r="2852">
      <c r="A2852" s="148">
        <f>IFERROR(__xludf.DUMMYFUNCTION("""COMPUTED_VALUE"""),1.1119814E7)</f>
        <v>11119814</v>
      </c>
      <c r="B2852" s="148" t="str">
        <f>IFERROR(__xludf.DUMMYFUNCTION("""COMPUTED_VALUE"""),"一代机师自选箱")</f>
        <v>一代机师自选箱</v>
      </c>
      <c r="C2852" s="148"/>
      <c r="D2852" s="148" t="str">
        <f>IFERROR(__xludf.DUMMYFUNCTION("""COMPUTED_VALUE"""),"item_select_box")</f>
        <v>item_select_box</v>
      </c>
      <c r="E2852" s="148">
        <f>IFERROR(__xludf.DUMMYFUNCTION("""COMPUTED_VALUE"""),0.0)</f>
        <v>0</v>
      </c>
      <c r="F2852" s="148">
        <f>IFERROR(__xludf.DUMMYFUNCTION("""COMPUTED_VALUE"""),403308.0)</f>
        <v>403308</v>
      </c>
      <c r="G2852" s="148">
        <f>IFERROR(__xludf.DUMMYFUNCTION("""COMPUTED_VALUE"""),1.51103184E8)</f>
        <v>151103184</v>
      </c>
      <c r="H2852" s="148">
        <f>IFERROR(__xludf.DUMMYFUNCTION("""COMPUTED_VALUE"""),1.5112564E7)</f>
        <v>15112564</v>
      </c>
      <c r="I2852" s="148" t="str">
        <f>IFERROR(__xludf.DUMMYFUNCTION("""COMPUTED_VALUE"""),"{}")</f>
        <v>{}</v>
      </c>
      <c r="J2852" s="148" t="str">
        <f>IFERROR(__xludf.DUMMYFUNCTION("""COMPUTED_VALUE"""),"{""typ"":""lc"",""txt"":""LC_ITEM_mecha_driver_box_name_1""}")</f>
        <v>{"typ":"lc","txt":"LC_ITEM_mecha_driver_box_name_1"}</v>
      </c>
      <c r="K2852" s="148" t="str">
        <f>IFERROR(__xludf.DUMMYFUNCTION("""COMPUTED_VALUE"""),"{""typ"":""lc"",""txt"":""LC_ITEM_mecha_driver_box_desc_1""}")</f>
        <v>{"typ":"lc","txt":"LC_ITEM_mecha_driver_box_desc_1"}</v>
      </c>
      <c r="L2852" s="148" t="str">
        <f>IFERROR(__xludf.DUMMYFUNCTION("""COMPUTED_VALUE"""),"{}")</f>
        <v>{}</v>
      </c>
      <c r="M2852" s="148">
        <f>IFERROR(__xludf.DUMMYFUNCTION("""COMPUTED_VALUE"""),3000.0)</f>
        <v>3000</v>
      </c>
      <c r="N2852" s="148">
        <f>IFERROR(__xludf.DUMMYFUNCTION("""COMPUTED_VALUE"""),9999999.0)</f>
        <v>9999999</v>
      </c>
      <c r="O2852" s="148">
        <f>IFERROR(__xludf.DUMMYFUNCTION("""COMPUTED_VALUE"""),99999.0)</f>
        <v>99999</v>
      </c>
      <c r="P2852" s="148">
        <f>IFERROR(__xludf.DUMMYFUNCTION("""COMPUTED_VALUE"""),99999.0)</f>
        <v>99999</v>
      </c>
      <c r="Q2852" s="148" t="str">
        <f>IFERROR(__xludf.DUMMYFUNCTION("""COMPUTED_VALUE"""),"[""bag_other""]")</f>
        <v>["bag_other"]</v>
      </c>
      <c r="R2852" s="148" t="str">
        <f>IFERROR(__xludf.DUMMYFUNCTION("""COMPUTED_VALUE"""),"[""bag""]")</f>
        <v>["bag"]</v>
      </c>
      <c r="S2852" s="148" t="str">
        <f>IFERROR(__xludf.DUMMYFUNCTION("""COMPUTED_VALUE"""),"{""select_box"":[{""typ"":""item"",""id"":11117913,""val"":1},{""typ"":""item"",""id"":11117914,""val"":1},{""typ"":""item"",""id"":11117915,""val"":1}]}")</f>
        <v>{"select_box":[{"typ":"item","id":11117913,"val":1},{"typ":"item","id":11117914,"val":1},{"typ":"item","id":11117915,"val":1}]}</v>
      </c>
      <c r="T2852" s="148">
        <f>IFERROR(__xludf.DUMMYFUNCTION("""COMPUTED_VALUE"""),-1.0)</f>
        <v>-1</v>
      </c>
      <c r="U2852" s="148">
        <f>IFERROR(__xludf.DUMMYFUNCTION("""COMPUTED_VALUE"""),0.0)</f>
        <v>0</v>
      </c>
      <c r="V2852" s="148" t="str">
        <f>IFERROR(__xludf.DUMMYFUNCTION("""COMPUTED_VALUE"""),"[]")</f>
        <v>[]</v>
      </c>
      <c r="W2852" s="148">
        <f>IFERROR(__xludf.DUMMYFUNCTION("""COMPUTED_VALUE"""),1.1741004E7)</f>
        <v>11741004</v>
      </c>
      <c r="X2852" s="148">
        <f>IFERROR(__xludf.DUMMYFUNCTION("""COMPUTED_VALUE"""),0.0)</f>
        <v>0</v>
      </c>
      <c r="Y2852" s="148">
        <f>IFERROR(__xludf.DUMMYFUNCTION("""COMPUTED_VALUE"""),0.0)</f>
        <v>0</v>
      </c>
      <c r="Z2852" s="148"/>
    </row>
    <row r="2853">
      <c r="A2853" s="148">
        <f>IFERROR(__xludf.DUMMYFUNCTION("""COMPUTED_VALUE"""),1.1119815E7)</f>
        <v>11119815</v>
      </c>
      <c r="B2853" s="148" t="str">
        <f>IFERROR(__xludf.DUMMYFUNCTION("""COMPUTED_VALUE"""),"行军表情-动态-嘲讽")</f>
        <v>行军表情-动态-嘲讽</v>
      </c>
      <c r="C2853" s="148"/>
      <c r="D2853" s="148" t="str">
        <f>IFERROR(__xludf.DUMMYFUNCTION("""COMPUTED_VALUE"""),"map_emoji")</f>
        <v>map_emoji</v>
      </c>
      <c r="E2853" s="148">
        <f>IFERROR(__xludf.DUMMYFUNCTION("""COMPUTED_VALUE"""),20.0)</f>
        <v>20</v>
      </c>
      <c r="F2853" s="148">
        <f>IFERROR(__xludf.DUMMYFUNCTION("""COMPUTED_VALUE"""),0.0)</f>
        <v>0</v>
      </c>
      <c r="G2853" s="148">
        <f>IFERROR(__xludf.DUMMYFUNCTION("""COMPUTED_VALUE"""),1.51103081E8)</f>
        <v>151103081</v>
      </c>
      <c r="H2853" s="148">
        <f>IFERROR(__xludf.DUMMYFUNCTION("""COMPUTED_VALUE"""),1.5112564E7)</f>
        <v>15112564</v>
      </c>
      <c r="I2853" s="148" t="str">
        <f>IFERROR(__xludf.DUMMYFUNCTION("""COMPUTED_VALUE"""),"{}")</f>
        <v>{}</v>
      </c>
      <c r="J2853" s="148" t="str">
        <f>IFERROR(__xludf.DUMMYFUNCTION("""COMPUTED_VALUE"""),"{""typ"":""lc"",""txt"":""LC_ITEM_map_emoji_hallo2025""}")</f>
        <v>{"typ":"lc","txt":"LC_ITEM_map_emoji_hallo2025"}</v>
      </c>
      <c r="K2853" s="148" t="str">
        <f>IFERROR(__xludf.DUMMYFUNCTION("""COMPUTED_VALUE"""),"{""typ"":""lc"",""txt"":""LC_ITEM_map_emoji_hallo2025_desc""}")</f>
        <v>{"typ":"lc","txt":"LC_ITEM_map_emoji_hallo2025_desc"}</v>
      </c>
      <c r="L2853" s="148" t="str">
        <f>IFERROR(__xludf.DUMMYFUNCTION("""COMPUTED_VALUE"""),"{}")</f>
        <v>{}</v>
      </c>
      <c r="M2853" s="148">
        <f>IFERROR(__xludf.DUMMYFUNCTION("""COMPUTED_VALUE"""),1000.0)</f>
        <v>1000</v>
      </c>
      <c r="N2853" s="148">
        <f>IFERROR(__xludf.DUMMYFUNCTION("""COMPUTED_VALUE"""),99.0)</f>
        <v>99</v>
      </c>
      <c r="O2853" s="148">
        <f>IFERROR(__xludf.DUMMYFUNCTION("""COMPUTED_VALUE"""),1.0)</f>
        <v>1</v>
      </c>
      <c r="P2853" s="148">
        <f>IFERROR(__xludf.DUMMYFUNCTION("""COMPUTED_VALUE"""),1.0)</f>
        <v>1</v>
      </c>
      <c r="Q2853" s="148" t="str">
        <f>IFERROR(__xludf.DUMMYFUNCTION("""COMPUTED_VALUE"""),"[]")</f>
        <v>[]</v>
      </c>
      <c r="R2853" s="148" t="str">
        <f>IFERROR(__xludf.DUMMYFUNCTION("""COMPUTED_VALUE"""),"[]")</f>
        <v>[]</v>
      </c>
      <c r="S2853" s="148" t="str">
        <f>IFERROR(__xludf.DUMMYFUNCTION("""COMPUTED_VALUE"""),"{""effect"":[{""typ"":""map_emoji"",""id"":11800022,""val"":-1}]}")</f>
        <v>{"effect":[{"typ":"map_emoji","id":11800022,"val":-1}]}</v>
      </c>
      <c r="T2853" s="148">
        <f>IFERROR(__xludf.DUMMYFUNCTION("""COMPUTED_VALUE"""),-1.0)</f>
        <v>-1</v>
      </c>
      <c r="U2853" s="148">
        <f>IFERROR(__xludf.DUMMYFUNCTION("""COMPUTED_VALUE"""),1.0)</f>
        <v>1</v>
      </c>
      <c r="V2853" s="148" t="str">
        <f>IFERROR(__xludf.DUMMYFUNCTION("""COMPUTED_VALUE"""),"[]")</f>
        <v>[]</v>
      </c>
      <c r="W2853" s="148">
        <f>IFERROR(__xludf.DUMMYFUNCTION("""COMPUTED_VALUE"""),1.174E7)</f>
        <v>11740000</v>
      </c>
      <c r="X2853" s="148">
        <f>IFERROR(__xludf.DUMMYFUNCTION("""COMPUTED_VALUE"""),0.0)</f>
        <v>0</v>
      </c>
      <c r="Y2853" s="148">
        <f>IFERROR(__xludf.DUMMYFUNCTION("""COMPUTED_VALUE"""),0.0)</f>
        <v>0</v>
      </c>
      <c r="Z2853" s="148"/>
    </row>
    <row r="2854">
      <c r="A2854" s="148">
        <f>IFERROR(__xludf.DUMMYFUNCTION("""COMPUTED_VALUE"""),1.1119816E7)</f>
        <v>11119816</v>
      </c>
      <c r="B2854" s="148" t="str">
        <f>IFERROR(__xludf.DUMMYFUNCTION("""COMPUTED_VALUE"""),"科技-钢铁消耗减少-1天-档位1")</f>
        <v>科技-钢铁消耗减少-1天-档位1</v>
      </c>
      <c r="C2854" s="148"/>
      <c r="D2854" s="148" t="str">
        <f>IFERROR(__xludf.DUMMYFUNCTION("""COMPUTED_VALUE"""),"item_buff")</f>
        <v>item_buff</v>
      </c>
      <c r="E2854" s="148">
        <f>IFERROR(__xludf.DUMMYFUNCTION("""COMPUTED_VALUE"""),11.0)</f>
        <v>11</v>
      </c>
      <c r="F2854" s="148">
        <f>IFERROR(__xludf.DUMMYFUNCTION("""COMPUTED_VALUE"""),307504.0)</f>
        <v>307504</v>
      </c>
      <c r="G2854" s="148">
        <f>IFERROR(__xludf.DUMMYFUNCTION("""COMPUTED_VALUE"""),1.51103015E8)</f>
        <v>151103015</v>
      </c>
      <c r="H2854" s="148">
        <f>IFERROR(__xludf.DUMMYFUNCTION("""COMPUTED_VALUE"""),1.5112561E7)</f>
        <v>15112561</v>
      </c>
      <c r="I2854" s="148" t="str">
        <f>IFERROR(__xludf.DUMMYFUNCTION("""COMPUTED_VALUE"""),"{""typ"":""lc"",""txt"":""LC_ITEM_time_h_upper_show"",""args"":[{""typ"":""int"",""val"":24}]}")</f>
        <v>{"typ":"lc","txt":"LC_ITEM_time_h_upper_show","args":[{"typ":"int","val":24}]}</v>
      </c>
      <c r="J2854" s="148" t="str">
        <f>IFERROR(__xludf.DUMMYFUNCTION("""COMPUTED_VALUE"""),"{""typ"":""lc"",""txt"":""LC_ITEM_research_foodiron_2_buff_name_1"",""args"":[{""typ"":""int"",""val"":24}]}")</f>
        <v>{"typ":"lc","txt":"LC_ITEM_research_foodiron_2_buff_name_1","args":[{"typ":"int","val":24}]}</v>
      </c>
      <c r="K2854" s="148" t="str">
        <f>IFERROR(__xludf.DUMMYFUNCTION("""COMPUTED_VALUE"""),"{""typ"":""lc"",""txt"":""LC_ITEM_research_foodiron_2_buff_desc_1"",""args"":[{""typ"":""int"",""val"":24}]}")</f>
        <v>{"typ":"lc","txt":"LC_ITEM_research_foodiron_2_buff_desc_1","args":[{"typ":"int","val":24}]}</v>
      </c>
      <c r="L2854" s="148" t="str">
        <f>IFERROR(__xludf.DUMMYFUNCTION("""COMPUTED_VALUE"""),"{""typ"":""lc"",""txt"":""LC_ITEM_research_foodiron_buff_desc_1"",""args"":[{""typ"":""int"",""val"":24}]}")</f>
        <v>{"typ":"lc","txt":"LC_ITEM_research_foodiron_buff_desc_1","args":[{"typ":"int","val":24}]}</v>
      </c>
      <c r="M2854" s="148">
        <f>IFERROR(__xludf.DUMMYFUNCTION("""COMPUTED_VALUE"""),1500.0)</f>
        <v>1500</v>
      </c>
      <c r="N2854" s="148">
        <f>IFERROR(__xludf.DUMMYFUNCTION("""COMPUTED_VALUE"""),999999.0)</f>
        <v>999999</v>
      </c>
      <c r="O2854" s="148">
        <f>IFERROR(__xludf.DUMMYFUNCTION("""COMPUTED_VALUE"""),99999.0)</f>
        <v>99999</v>
      </c>
      <c r="P2854" s="148">
        <f>IFERROR(__xludf.DUMMYFUNCTION("""COMPUTED_VALUE"""),1.0)</f>
        <v>1</v>
      </c>
      <c r="Q2854" s="148" t="str">
        <f>IFERROR(__xludf.DUMMYFUNCTION("""COMPUTED_VALUE"""),"[""bag_buff"",""buff_city""]")</f>
        <v>["bag_buff","buff_city"]</v>
      </c>
      <c r="R2854" s="148" t="str">
        <f>IFERROR(__xludf.DUMMYFUNCTION("""COMPUTED_VALUE"""),"[""bag"",""buff_city""]")</f>
        <v>["bag","buff_city"]</v>
      </c>
      <c r="S2854" s="148" t="str">
        <f>IFERROR(__xludf.DUMMYFUNCTION("""COMPUTED_VALUE"""),"{""effect"":[{""typ"":""buff"",""id"":121141021,""val"":86400000,""arg1"":0.03}]}")</f>
        <v>{"effect":[{"typ":"buff","id":121141021,"val":86400000,"arg1":0.03}]}</v>
      </c>
      <c r="T2854" s="148">
        <f>IFERROR(__xludf.DUMMYFUNCTION("""COMPUTED_VALUE"""),-1.0)</f>
        <v>-1</v>
      </c>
      <c r="U2854" s="148">
        <f>IFERROR(__xludf.DUMMYFUNCTION("""COMPUTED_VALUE"""),1.0)</f>
        <v>1</v>
      </c>
      <c r="V2854" s="148" t="str">
        <f>IFERROR(__xludf.DUMMYFUNCTION("""COMPUTED_VALUE"""),"[]")</f>
        <v>[]</v>
      </c>
      <c r="W2854" s="148">
        <f>IFERROR(__xludf.DUMMYFUNCTION("""COMPUTED_VALUE"""),1.1741004E7)</f>
        <v>11741004</v>
      </c>
      <c r="X2854" s="148">
        <f>IFERROR(__xludf.DUMMYFUNCTION("""COMPUTED_VALUE"""),0.0)</f>
        <v>0</v>
      </c>
      <c r="Y2854" s="148">
        <f>IFERROR(__xludf.DUMMYFUNCTION("""COMPUTED_VALUE"""),0.0)</f>
        <v>0</v>
      </c>
      <c r="Z2854" s="148"/>
    </row>
    <row r="2855">
      <c r="A2855" s="148">
        <f>IFERROR(__xludf.DUMMYFUNCTION("""COMPUTED_VALUE"""),1.1119817E7)</f>
        <v>11119817</v>
      </c>
      <c r="B2855" s="148" t="str">
        <f>IFERROR(__xludf.DUMMYFUNCTION("""COMPUTED_VALUE"""),"科技-钢铁消耗减少-1天-档位2")</f>
        <v>科技-钢铁消耗减少-1天-档位2</v>
      </c>
      <c r="C2855" s="148"/>
      <c r="D2855" s="148" t="str">
        <f>IFERROR(__xludf.DUMMYFUNCTION("""COMPUTED_VALUE"""),"item_buff")</f>
        <v>item_buff</v>
      </c>
      <c r="E2855" s="148">
        <f>IFERROR(__xludf.DUMMYFUNCTION("""COMPUTED_VALUE"""),11.0)</f>
        <v>11</v>
      </c>
      <c r="F2855" s="148">
        <f>IFERROR(__xludf.DUMMYFUNCTION("""COMPUTED_VALUE"""),307504.0)</f>
        <v>307504</v>
      </c>
      <c r="G2855" s="148">
        <f>IFERROR(__xludf.DUMMYFUNCTION("""COMPUTED_VALUE"""),1.51103015E8)</f>
        <v>151103015</v>
      </c>
      <c r="H2855" s="148">
        <f>IFERROR(__xludf.DUMMYFUNCTION("""COMPUTED_VALUE"""),1.5112562E7)</f>
        <v>15112562</v>
      </c>
      <c r="I2855" s="148" t="str">
        <f>IFERROR(__xludf.DUMMYFUNCTION("""COMPUTED_VALUE"""),"{""typ"":""lc"",""txt"":""LC_ITEM_time_h_upper_show"",""args"":[{""typ"":""int"",""val"":24}]}")</f>
        <v>{"typ":"lc","txt":"LC_ITEM_time_h_upper_show","args":[{"typ":"int","val":24}]}</v>
      </c>
      <c r="J2855" s="148" t="str">
        <f>IFERROR(__xludf.DUMMYFUNCTION("""COMPUTED_VALUE"""),"{""typ"":""lc"",""txt"":""LC_ITEM_research_foodiron_2_buff_name_2"",""args"":[{""typ"":""int"",""val"":24}]}")</f>
        <v>{"typ":"lc","txt":"LC_ITEM_research_foodiron_2_buff_name_2","args":[{"typ":"int","val":24}]}</v>
      </c>
      <c r="K2855" s="148" t="str">
        <f>IFERROR(__xludf.DUMMYFUNCTION("""COMPUTED_VALUE"""),"{""typ"":""lc"",""txt"":""LC_ITEM_research_foodiron_2_buff_desc_2"",""args"":[{""typ"":""int"",""val"":24}]}")</f>
        <v>{"typ":"lc","txt":"LC_ITEM_research_foodiron_2_buff_desc_2","args":[{"typ":"int","val":24}]}</v>
      </c>
      <c r="L2855" s="148" t="str">
        <f>IFERROR(__xludf.DUMMYFUNCTION("""COMPUTED_VALUE"""),"{""typ"":""lc"",""txt"":""LC_ITEM_research_foodiron_buff_desc_2"",""args"":[{""typ"":""int"",""val"":24}]}")</f>
        <v>{"typ":"lc","txt":"LC_ITEM_research_foodiron_buff_desc_2","args":[{"typ":"int","val":24}]}</v>
      </c>
      <c r="M2855" s="148">
        <f>IFERROR(__xludf.DUMMYFUNCTION("""COMPUTED_VALUE"""),1500.0)</f>
        <v>1500</v>
      </c>
      <c r="N2855" s="148">
        <f>IFERROR(__xludf.DUMMYFUNCTION("""COMPUTED_VALUE"""),999999.0)</f>
        <v>999999</v>
      </c>
      <c r="O2855" s="148">
        <f>IFERROR(__xludf.DUMMYFUNCTION("""COMPUTED_VALUE"""),99999.0)</f>
        <v>99999</v>
      </c>
      <c r="P2855" s="148">
        <f>IFERROR(__xludf.DUMMYFUNCTION("""COMPUTED_VALUE"""),1.0)</f>
        <v>1</v>
      </c>
      <c r="Q2855" s="148" t="str">
        <f>IFERROR(__xludf.DUMMYFUNCTION("""COMPUTED_VALUE"""),"[""bag_buff"",""buff_city""]")</f>
        <v>["bag_buff","buff_city"]</v>
      </c>
      <c r="R2855" s="148" t="str">
        <f>IFERROR(__xludf.DUMMYFUNCTION("""COMPUTED_VALUE"""),"[""bag"",""buff_city""]")</f>
        <v>["bag","buff_city"]</v>
      </c>
      <c r="S2855" s="148" t="str">
        <f>IFERROR(__xludf.DUMMYFUNCTION("""COMPUTED_VALUE"""),"{""effect"":[{""typ"":""buff"",""id"":121141021,""val"":86400000,""arg1"":0.05}]}")</f>
        <v>{"effect":[{"typ":"buff","id":121141021,"val":86400000,"arg1":0.05}]}</v>
      </c>
      <c r="T2855" s="148">
        <f>IFERROR(__xludf.DUMMYFUNCTION("""COMPUTED_VALUE"""),-1.0)</f>
        <v>-1</v>
      </c>
      <c r="U2855" s="148">
        <f>IFERROR(__xludf.DUMMYFUNCTION("""COMPUTED_VALUE"""),1.0)</f>
        <v>1</v>
      </c>
      <c r="V2855" s="148" t="str">
        <f>IFERROR(__xludf.DUMMYFUNCTION("""COMPUTED_VALUE"""),"[]")</f>
        <v>[]</v>
      </c>
      <c r="W2855" s="148">
        <f>IFERROR(__xludf.DUMMYFUNCTION("""COMPUTED_VALUE"""),1.1741004E7)</f>
        <v>11741004</v>
      </c>
      <c r="X2855" s="148">
        <f>IFERROR(__xludf.DUMMYFUNCTION("""COMPUTED_VALUE"""),0.0)</f>
        <v>0</v>
      </c>
      <c r="Y2855" s="148">
        <f>IFERROR(__xludf.DUMMYFUNCTION("""COMPUTED_VALUE"""),0.0)</f>
        <v>0</v>
      </c>
      <c r="Z2855" s="148"/>
    </row>
    <row r="2856">
      <c r="A2856" s="148">
        <f>IFERROR(__xludf.DUMMYFUNCTION("""COMPUTED_VALUE"""),1.1119818E7)</f>
        <v>11119818</v>
      </c>
      <c r="B2856" s="148" t="str">
        <f>IFERROR(__xludf.DUMMYFUNCTION("""COMPUTED_VALUE"""),"科技-钢铁消耗减少-1天-档位3")</f>
        <v>科技-钢铁消耗减少-1天-档位3</v>
      </c>
      <c r="C2856" s="148"/>
      <c r="D2856" s="148" t="str">
        <f>IFERROR(__xludf.DUMMYFUNCTION("""COMPUTED_VALUE"""),"item_buff")</f>
        <v>item_buff</v>
      </c>
      <c r="E2856" s="148">
        <f>IFERROR(__xludf.DUMMYFUNCTION("""COMPUTED_VALUE"""),11.0)</f>
        <v>11</v>
      </c>
      <c r="F2856" s="148">
        <f>IFERROR(__xludf.DUMMYFUNCTION("""COMPUTED_VALUE"""),307504.0)</f>
        <v>307504</v>
      </c>
      <c r="G2856" s="148">
        <f>IFERROR(__xludf.DUMMYFUNCTION("""COMPUTED_VALUE"""),1.51103015E8)</f>
        <v>151103015</v>
      </c>
      <c r="H2856" s="148">
        <f>IFERROR(__xludf.DUMMYFUNCTION("""COMPUTED_VALUE"""),1.5112563E7)</f>
        <v>15112563</v>
      </c>
      <c r="I2856" s="148" t="str">
        <f>IFERROR(__xludf.DUMMYFUNCTION("""COMPUTED_VALUE"""),"{""typ"":""lc"",""txt"":""LC_ITEM_time_h_upper_show"",""args"":[{""typ"":""int"",""val"":24}]}")</f>
        <v>{"typ":"lc","txt":"LC_ITEM_time_h_upper_show","args":[{"typ":"int","val":24}]}</v>
      </c>
      <c r="J2856" s="148" t="str">
        <f>IFERROR(__xludf.DUMMYFUNCTION("""COMPUTED_VALUE"""),"{""typ"":""lc"",""txt"":""LC_ITEM_research_foodiron_2_buff_name_3"",""args"":[{""typ"":""int"",""val"":24}]}")</f>
        <v>{"typ":"lc","txt":"LC_ITEM_research_foodiron_2_buff_name_3","args":[{"typ":"int","val":24}]}</v>
      </c>
      <c r="K2856" s="148" t="str">
        <f>IFERROR(__xludf.DUMMYFUNCTION("""COMPUTED_VALUE"""),"{""typ"":""lc"",""txt"":""LC_ITEM_research_foodiron_2_buff_desc_3"",""args"":[{""typ"":""int"",""val"":24}]}")</f>
        <v>{"typ":"lc","txt":"LC_ITEM_research_foodiron_2_buff_desc_3","args":[{"typ":"int","val":24}]}</v>
      </c>
      <c r="L2856" s="148" t="str">
        <f>IFERROR(__xludf.DUMMYFUNCTION("""COMPUTED_VALUE"""),"{""typ"":""lc"",""txt"":""LC_ITEM_research_foodiron_buff_desc_3"",""args"":[{""typ"":""int"",""val"":24}]}")</f>
        <v>{"typ":"lc","txt":"LC_ITEM_research_foodiron_buff_desc_3","args":[{"typ":"int","val":24}]}</v>
      </c>
      <c r="M2856" s="148">
        <f>IFERROR(__xludf.DUMMYFUNCTION("""COMPUTED_VALUE"""),1500.0)</f>
        <v>1500</v>
      </c>
      <c r="N2856" s="148">
        <f>IFERROR(__xludf.DUMMYFUNCTION("""COMPUTED_VALUE"""),999999.0)</f>
        <v>999999</v>
      </c>
      <c r="O2856" s="148">
        <f>IFERROR(__xludf.DUMMYFUNCTION("""COMPUTED_VALUE"""),99999.0)</f>
        <v>99999</v>
      </c>
      <c r="P2856" s="148">
        <f>IFERROR(__xludf.DUMMYFUNCTION("""COMPUTED_VALUE"""),1.0)</f>
        <v>1</v>
      </c>
      <c r="Q2856" s="148" t="str">
        <f>IFERROR(__xludf.DUMMYFUNCTION("""COMPUTED_VALUE"""),"[""bag_buff"",""buff_city""]")</f>
        <v>["bag_buff","buff_city"]</v>
      </c>
      <c r="R2856" s="148" t="str">
        <f>IFERROR(__xludf.DUMMYFUNCTION("""COMPUTED_VALUE"""),"[""bag"",""buff_city""]")</f>
        <v>["bag","buff_city"]</v>
      </c>
      <c r="S2856" s="148" t="str">
        <f>IFERROR(__xludf.DUMMYFUNCTION("""COMPUTED_VALUE"""),"{""effect"":[{""typ"":""buff"",""id"":121141021,""val"":86400000,""arg1"":0.08}]}")</f>
        <v>{"effect":[{"typ":"buff","id":121141021,"val":86400000,"arg1":0.08}]}</v>
      </c>
      <c r="T2856" s="148">
        <f>IFERROR(__xludf.DUMMYFUNCTION("""COMPUTED_VALUE"""),-1.0)</f>
        <v>-1</v>
      </c>
      <c r="U2856" s="148">
        <f>IFERROR(__xludf.DUMMYFUNCTION("""COMPUTED_VALUE"""),1.0)</f>
        <v>1</v>
      </c>
      <c r="V2856" s="148" t="str">
        <f>IFERROR(__xludf.DUMMYFUNCTION("""COMPUTED_VALUE"""),"[]")</f>
        <v>[]</v>
      </c>
      <c r="W2856" s="148">
        <f>IFERROR(__xludf.DUMMYFUNCTION("""COMPUTED_VALUE"""),1.1741004E7)</f>
        <v>11741004</v>
      </c>
      <c r="X2856" s="148">
        <f>IFERROR(__xludf.DUMMYFUNCTION("""COMPUTED_VALUE"""),0.0)</f>
        <v>0</v>
      </c>
      <c r="Y2856" s="148">
        <f>IFERROR(__xludf.DUMMYFUNCTION("""COMPUTED_VALUE"""),0.0)</f>
        <v>0</v>
      </c>
      <c r="Z2856" s="148"/>
    </row>
    <row r="2857">
      <c r="A2857" s="148">
        <f>IFERROR(__xludf.DUMMYFUNCTION("""COMPUTED_VALUE"""),1.1119819E7)</f>
        <v>11119819</v>
      </c>
      <c r="B2857" s="148" t="str">
        <f>IFERROR(__xludf.DUMMYFUNCTION("""COMPUTED_VALUE"""),"科技-钢铁消耗减少-1天-档位4")</f>
        <v>科技-钢铁消耗减少-1天-档位4</v>
      </c>
      <c r="C2857" s="148"/>
      <c r="D2857" s="148" t="str">
        <f>IFERROR(__xludf.DUMMYFUNCTION("""COMPUTED_VALUE"""),"item_buff")</f>
        <v>item_buff</v>
      </c>
      <c r="E2857" s="148">
        <f>IFERROR(__xludf.DUMMYFUNCTION("""COMPUTED_VALUE"""),11.0)</f>
        <v>11</v>
      </c>
      <c r="F2857" s="148">
        <f>IFERROR(__xludf.DUMMYFUNCTION("""COMPUTED_VALUE"""),307504.0)</f>
        <v>307504</v>
      </c>
      <c r="G2857" s="148">
        <f>IFERROR(__xludf.DUMMYFUNCTION("""COMPUTED_VALUE"""),1.51103015E8)</f>
        <v>151103015</v>
      </c>
      <c r="H2857" s="148">
        <f>IFERROR(__xludf.DUMMYFUNCTION("""COMPUTED_VALUE"""),1.5112564E7)</f>
        <v>15112564</v>
      </c>
      <c r="I2857" s="148" t="str">
        <f>IFERROR(__xludf.DUMMYFUNCTION("""COMPUTED_VALUE"""),"{""typ"":""lc"",""txt"":""LC_ITEM_time_h_upper_show"",""args"":[{""typ"":""int"",""val"":24}]}")</f>
        <v>{"typ":"lc","txt":"LC_ITEM_time_h_upper_show","args":[{"typ":"int","val":24}]}</v>
      </c>
      <c r="J2857" s="148" t="str">
        <f>IFERROR(__xludf.DUMMYFUNCTION("""COMPUTED_VALUE"""),"{""typ"":""lc"",""txt"":""LC_ITEM_research_foodiron_2_buff_name_4"",""args"":[{""typ"":""int"",""val"":24}]}")</f>
        <v>{"typ":"lc","txt":"LC_ITEM_research_foodiron_2_buff_name_4","args":[{"typ":"int","val":24}]}</v>
      </c>
      <c r="K2857" s="148" t="str">
        <f>IFERROR(__xludf.DUMMYFUNCTION("""COMPUTED_VALUE"""),"{""typ"":""lc"",""txt"":""LC_ITEM_research_foodiron_2_buff_desc_4"",""args"":[{""typ"":""int"",""val"":24}]}")</f>
        <v>{"typ":"lc","txt":"LC_ITEM_research_foodiron_2_buff_desc_4","args":[{"typ":"int","val":24}]}</v>
      </c>
      <c r="L2857" s="148" t="str">
        <f>IFERROR(__xludf.DUMMYFUNCTION("""COMPUTED_VALUE"""),"{""typ"":""lc"",""txt"":""LC_ITEM_research_foodiron_buff_desc_4"",""args"":[{""typ"":""int"",""val"":24}]}")</f>
        <v>{"typ":"lc","txt":"LC_ITEM_research_foodiron_buff_desc_4","args":[{"typ":"int","val":24}]}</v>
      </c>
      <c r="M2857" s="148">
        <f>IFERROR(__xludf.DUMMYFUNCTION("""COMPUTED_VALUE"""),1500.0)</f>
        <v>1500</v>
      </c>
      <c r="N2857" s="148">
        <f>IFERROR(__xludf.DUMMYFUNCTION("""COMPUTED_VALUE"""),999999.0)</f>
        <v>999999</v>
      </c>
      <c r="O2857" s="148">
        <f>IFERROR(__xludf.DUMMYFUNCTION("""COMPUTED_VALUE"""),99999.0)</f>
        <v>99999</v>
      </c>
      <c r="P2857" s="148">
        <f>IFERROR(__xludf.DUMMYFUNCTION("""COMPUTED_VALUE"""),1.0)</f>
        <v>1</v>
      </c>
      <c r="Q2857" s="148" t="str">
        <f>IFERROR(__xludf.DUMMYFUNCTION("""COMPUTED_VALUE"""),"[""bag_buff"",""buff_city""]")</f>
        <v>["bag_buff","buff_city"]</v>
      </c>
      <c r="R2857" s="148" t="str">
        <f>IFERROR(__xludf.DUMMYFUNCTION("""COMPUTED_VALUE"""),"[""bag"",""buff_city""]")</f>
        <v>["bag","buff_city"]</v>
      </c>
      <c r="S2857" s="148" t="str">
        <f>IFERROR(__xludf.DUMMYFUNCTION("""COMPUTED_VALUE"""),"{""effect"":[{""typ"":""buff"",""id"":121141021,""val"":86400000,""arg1"":0.1}]}")</f>
        <v>{"effect":[{"typ":"buff","id":121141021,"val":86400000,"arg1":0.1}]}</v>
      </c>
      <c r="T2857" s="148">
        <f>IFERROR(__xludf.DUMMYFUNCTION("""COMPUTED_VALUE"""),-1.0)</f>
        <v>-1</v>
      </c>
      <c r="U2857" s="148">
        <f>IFERROR(__xludf.DUMMYFUNCTION("""COMPUTED_VALUE"""),1.0)</f>
        <v>1</v>
      </c>
      <c r="V2857" s="148" t="str">
        <f>IFERROR(__xludf.DUMMYFUNCTION("""COMPUTED_VALUE"""),"[]")</f>
        <v>[]</v>
      </c>
      <c r="W2857" s="148">
        <f>IFERROR(__xludf.DUMMYFUNCTION("""COMPUTED_VALUE"""),1.1741004E7)</f>
        <v>11741004</v>
      </c>
      <c r="X2857" s="148">
        <f>IFERROR(__xludf.DUMMYFUNCTION("""COMPUTED_VALUE"""),0.0)</f>
        <v>0</v>
      </c>
      <c r="Y2857" s="148">
        <f>IFERROR(__xludf.DUMMYFUNCTION("""COMPUTED_VALUE"""),0.0)</f>
        <v>0</v>
      </c>
      <c r="Z2857" s="148"/>
    </row>
    <row r="2858">
      <c r="A2858" s="148">
        <f>IFERROR(__xludf.DUMMYFUNCTION("""COMPUTED_VALUE"""),1.111982E7)</f>
        <v>11119820</v>
      </c>
      <c r="B2858" s="148" t="str">
        <f>IFERROR(__xludf.DUMMYFUNCTION("""COMPUTED_VALUE"""),"城建-钢铁消耗减少-1天-档位1")</f>
        <v>城建-钢铁消耗减少-1天-档位1</v>
      </c>
      <c r="C2858" s="148"/>
      <c r="D2858" s="148" t="str">
        <f>IFERROR(__xludf.DUMMYFUNCTION("""COMPUTED_VALUE"""),"item_buff")</f>
        <v>item_buff</v>
      </c>
      <c r="E2858" s="148">
        <f>IFERROR(__xludf.DUMMYFUNCTION("""COMPUTED_VALUE"""),11.0)</f>
        <v>11</v>
      </c>
      <c r="F2858" s="148">
        <f>IFERROR(__xludf.DUMMYFUNCTION("""COMPUTED_VALUE"""),307504.0)</f>
        <v>307504</v>
      </c>
      <c r="G2858" s="148">
        <f>IFERROR(__xludf.DUMMYFUNCTION("""COMPUTED_VALUE"""),1.51103016E8)</f>
        <v>151103016</v>
      </c>
      <c r="H2858" s="148">
        <f>IFERROR(__xludf.DUMMYFUNCTION("""COMPUTED_VALUE"""),1.5112561E7)</f>
        <v>15112561</v>
      </c>
      <c r="I2858" s="148" t="str">
        <f>IFERROR(__xludf.DUMMYFUNCTION("""COMPUTED_VALUE"""),"{""typ"":""lc"",""txt"":""LC_ITEM_time_h_upper_show"",""args"":[{""typ"":""int"",""val"":24}]}")</f>
        <v>{"typ":"lc","txt":"LC_ITEM_time_h_upper_show","args":[{"typ":"int","val":24}]}</v>
      </c>
      <c r="J2858" s="148" t="str">
        <f>IFERROR(__xludf.DUMMYFUNCTION("""COMPUTED_VALUE"""),"{""typ"":""lc"",""txt"":""LC_ITEM_build_foodiron_2_buff_name_1"",""args"":[{""typ"":""int"",""val"":24}]}")</f>
        <v>{"typ":"lc","txt":"LC_ITEM_build_foodiron_2_buff_name_1","args":[{"typ":"int","val":24}]}</v>
      </c>
      <c r="K2858" s="148" t="str">
        <f>IFERROR(__xludf.DUMMYFUNCTION("""COMPUTED_VALUE"""),"{""typ"":""lc"",""txt"":""LC_ITEM_build_foodiron_2_buff_desc_1"",""args"":[{""typ"":""int"",""val"":24}]}")</f>
        <v>{"typ":"lc","txt":"LC_ITEM_build_foodiron_2_buff_desc_1","args":[{"typ":"int","val":24}]}</v>
      </c>
      <c r="L2858" s="148" t="str">
        <f>IFERROR(__xludf.DUMMYFUNCTION("""COMPUTED_VALUE"""),"{""typ"":""lc"",""txt"":""LC_ITEM_build_foodiron_buff_desc_1"",""args"":[{""typ"":""int"",""val"":24}]}")</f>
        <v>{"typ":"lc","txt":"LC_ITEM_build_foodiron_buff_desc_1","args":[{"typ":"int","val":24}]}</v>
      </c>
      <c r="M2858" s="148">
        <f>IFERROR(__xludf.DUMMYFUNCTION("""COMPUTED_VALUE"""),1500.0)</f>
        <v>1500</v>
      </c>
      <c r="N2858" s="148">
        <f>IFERROR(__xludf.DUMMYFUNCTION("""COMPUTED_VALUE"""),999999.0)</f>
        <v>999999</v>
      </c>
      <c r="O2858" s="148">
        <f>IFERROR(__xludf.DUMMYFUNCTION("""COMPUTED_VALUE"""),99999.0)</f>
        <v>99999</v>
      </c>
      <c r="P2858" s="148">
        <f>IFERROR(__xludf.DUMMYFUNCTION("""COMPUTED_VALUE"""),1.0)</f>
        <v>1</v>
      </c>
      <c r="Q2858" s="148" t="str">
        <f>IFERROR(__xludf.DUMMYFUNCTION("""COMPUTED_VALUE"""),"[""bag_buff"",""buff_city""]")</f>
        <v>["bag_buff","buff_city"]</v>
      </c>
      <c r="R2858" s="148" t="str">
        <f>IFERROR(__xludf.DUMMYFUNCTION("""COMPUTED_VALUE"""),"[""bag"",""buff_city""]")</f>
        <v>["bag","buff_city"]</v>
      </c>
      <c r="S2858" s="148" t="str">
        <f>IFERROR(__xludf.DUMMYFUNCTION("""COMPUTED_VALUE"""),"{""effect"":[{""typ"":""buff"",""id"":121141019,""val"":86400000,""arg1"":0.05}]}")</f>
        <v>{"effect":[{"typ":"buff","id":121141019,"val":86400000,"arg1":0.05}]}</v>
      </c>
      <c r="T2858" s="148">
        <f>IFERROR(__xludf.DUMMYFUNCTION("""COMPUTED_VALUE"""),-1.0)</f>
        <v>-1</v>
      </c>
      <c r="U2858" s="148">
        <f>IFERROR(__xludf.DUMMYFUNCTION("""COMPUTED_VALUE"""),1.0)</f>
        <v>1</v>
      </c>
      <c r="V2858" s="148" t="str">
        <f>IFERROR(__xludf.DUMMYFUNCTION("""COMPUTED_VALUE"""),"[]")</f>
        <v>[]</v>
      </c>
      <c r="W2858" s="148">
        <f>IFERROR(__xludf.DUMMYFUNCTION("""COMPUTED_VALUE"""),1.1741004E7)</f>
        <v>11741004</v>
      </c>
      <c r="X2858" s="148">
        <f>IFERROR(__xludf.DUMMYFUNCTION("""COMPUTED_VALUE"""),0.0)</f>
        <v>0</v>
      </c>
      <c r="Y2858" s="148">
        <f>IFERROR(__xludf.DUMMYFUNCTION("""COMPUTED_VALUE"""),0.0)</f>
        <v>0</v>
      </c>
      <c r="Z2858" s="148"/>
    </row>
    <row r="2859">
      <c r="A2859" s="148">
        <f>IFERROR(__xludf.DUMMYFUNCTION("""COMPUTED_VALUE"""),1.1119821E7)</f>
        <v>11119821</v>
      </c>
      <c r="B2859" s="148" t="str">
        <f>IFERROR(__xludf.DUMMYFUNCTION("""COMPUTED_VALUE"""),"城建-钢铁消耗减少-1天-档位2")</f>
        <v>城建-钢铁消耗减少-1天-档位2</v>
      </c>
      <c r="C2859" s="148"/>
      <c r="D2859" s="148" t="str">
        <f>IFERROR(__xludf.DUMMYFUNCTION("""COMPUTED_VALUE"""),"item_buff")</f>
        <v>item_buff</v>
      </c>
      <c r="E2859" s="148">
        <f>IFERROR(__xludf.DUMMYFUNCTION("""COMPUTED_VALUE"""),11.0)</f>
        <v>11</v>
      </c>
      <c r="F2859" s="148">
        <f>IFERROR(__xludf.DUMMYFUNCTION("""COMPUTED_VALUE"""),307504.0)</f>
        <v>307504</v>
      </c>
      <c r="G2859" s="148">
        <f>IFERROR(__xludf.DUMMYFUNCTION("""COMPUTED_VALUE"""),1.51103016E8)</f>
        <v>151103016</v>
      </c>
      <c r="H2859" s="148">
        <f>IFERROR(__xludf.DUMMYFUNCTION("""COMPUTED_VALUE"""),1.5112562E7)</f>
        <v>15112562</v>
      </c>
      <c r="I2859" s="148" t="str">
        <f>IFERROR(__xludf.DUMMYFUNCTION("""COMPUTED_VALUE"""),"{""typ"":""lc"",""txt"":""LC_ITEM_time_h_upper_show"",""args"":[{""typ"":""int"",""val"":24}]}")</f>
        <v>{"typ":"lc","txt":"LC_ITEM_time_h_upper_show","args":[{"typ":"int","val":24}]}</v>
      </c>
      <c r="J2859" s="148" t="str">
        <f>IFERROR(__xludf.DUMMYFUNCTION("""COMPUTED_VALUE"""),"{""typ"":""lc"",""txt"":""LC_ITEM_build_foodiron_2_buff_name_2"",""args"":[{""typ"":""int"",""val"":24}]}")</f>
        <v>{"typ":"lc","txt":"LC_ITEM_build_foodiron_2_buff_name_2","args":[{"typ":"int","val":24}]}</v>
      </c>
      <c r="K2859" s="148" t="str">
        <f>IFERROR(__xludf.DUMMYFUNCTION("""COMPUTED_VALUE"""),"{""typ"":""lc"",""txt"":""LC_ITEM_build_foodiron_2_buff_desc_2"",""args"":[{""typ"":""int"",""val"":24}]}")</f>
        <v>{"typ":"lc","txt":"LC_ITEM_build_foodiron_2_buff_desc_2","args":[{"typ":"int","val":24}]}</v>
      </c>
      <c r="L2859" s="148" t="str">
        <f>IFERROR(__xludf.DUMMYFUNCTION("""COMPUTED_VALUE"""),"{""typ"":""lc"",""txt"":""LC_ITEM_build_foodiron_buff_desc_2"",""args"":[{""typ"":""int"",""val"":24}]}")</f>
        <v>{"typ":"lc","txt":"LC_ITEM_build_foodiron_buff_desc_2","args":[{"typ":"int","val":24}]}</v>
      </c>
      <c r="M2859" s="148">
        <f>IFERROR(__xludf.DUMMYFUNCTION("""COMPUTED_VALUE"""),1500.0)</f>
        <v>1500</v>
      </c>
      <c r="N2859" s="148">
        <f>IFERROR(__xludf.DUMMYFUNCTION("""COMPUTED_VALUE"""),999999.0)</f>
        <v>999999</v>
      </c>
      <c r="O2859" s="148">
        <f>IFERROR(__xludf.DUMMYFUNCTION("""COMPUTED_VALUE"""),99999.0)</f>
        <v>99999</v>
      </c>
      <c r="P2859" s="148">
        <f>IFERROR(__xludf.DUMMYFUNCTION("""COMPUTED_VALUE"""),1.0)</f>
        <v>1</v>
      </c>
      <c r="Q2859" s="148" t="str">
        <f>IFERROR(__xludf.DUMMYFUNCTION("""COMPUTED_VALUE"""),"[""bag_buff"",""buff_city""]")</f>
        <v>["bag_buff","buff_city"]</v>
      </c>
      <c r="R2859" s="148" t="str">
        <f>IFERROR(__xludf.DUMMYFUNCTION("""COMPUTED_VALUE"""),"[""bag"",""buff_city""]")</f>
        <v>["bag","buff_city"]</v>
      </c>
      <c r="S2859" s="148" t="str">
        <f>IFERROR(__xludf.DUMMYFUNCTION("""COMPUTED_VALUE"""),"{""effect"":[{""typ"":""buff"",""id"":121141019,""val"":86400000,""arg1"":0.08}]}")</f>
        <v>{"effect":[{"typ":"buff","id":121141019,"val":86400000,"arg1":0.08}]}</v>
      </c>
      <c r="T2859" s="148">
        <f>IFERROR(__xludf.DUMMYFUNCTION("""COMPUTED_VALUE"""),-1.0)</f>
        <v>-1</v>
      </c>
      <c r="U2859" s="148">
        <f>IFERROR(__xludf.DUMMYFUNCTION("""COMPUTED_VALUE"""),1.0)</f>
        <v>1</v>
      </c>
      <c r="V2859" s="148" t="str">
        <f>IFERROR(__xludf.DUMMYFUNCTION("""COMPUTED_VALUE"""),"[]")</f>
        <v>[]</v>
      </c>
      <c r="W2859" s="148">
        <f>IFERROR(__xludf.DUMMYFUNCTION("""COMPUTED_VALUE"""),1.1741004E7)</f>
        <v>11741004</v>
      </c>
      <c r="X2859" s="148">
        <f>IFERROR(__xludf.DUMMYFUNCTION("""COMPUTED_VALUE"""),0.0)</f>
        <v>0</v>
      </c>
      <c r="Y2859" s="148">
        <f>IFERROR(__xludf.DUMMYFUNCTION("""COMPUTED_VALUE"""),0.0)</f>
        <v>0</v>
      </c>
      <c r="Z2859" s="148"/>
    </row>
    <row r="2860">
      <c r="A2860" s="148">
        <f>IFERROR(__xludf.DUMMYFUNCTION("""COMPUTED_VALUE"""),1.1119822E7)</f>
        <v>11119822</v>
      </c>
      <c r="B2860" s="148" t="str">
        <f>IFERROR(__xludf.DUMMYFUNCTION("""COMPUTED_VALUE"""),"城建-钢铁消耗减少-1天-档位3")</f>
        <v>城建-钢铁消耗减少-1天-档位3</v>
      </c>
      <c r="C2860" s="148"/>
      <c r="D2860" s="148" t="str">
        <f>IFERROR(__xludf.DUMMYFUNCTION("""COMPUTED_VALUE"""),"item_buff")</f>
        <v>item_buff</v>
      </c>
      <c r="E2860" s="148">
        <f>IFERROR(__xludf.DUMMYFUNCTION("""COMPUTED_VALUE"""),11.0)</f>
        <v>11</v>
      </c>
      <c r="F2860" s="148">
        <f>IFERROR(__xludf.DUMMYFUNCTION("""COMPUTED_VALUE"""),307504.0)</f>
        <v>307504</v>
      </c>
      <c r="G2860" s="148">
        <f>IFERROR(__xludf.DUMMYFUNCTION("""COMPUTED_VALUE"""),1.51103016E8)</f>
        <v>151103016</v>
      </c>
      <c r="H2860" s="148">
        <f>IFERROR(__xludf.DUMMYFUNCTION("""COMPUTED_VALUE"""),1.5112563E7)</f>
        <v>15112563</v>
      </c>
      <c r="I2860" s="148" t="str">
        <f>IFERROR(__xludf.DUMMYFUNCTION("""COMPUTED_VALUE"""),"{""typ"":""lc"",""txt"":""LC_ITEM_time_h_upper_show"",""args"":[{""typ"":""int"",""val"":24}]}")</f>
        <v>{"typ":"lc","txt":"LC_ITEM_time_h_upper_show","args":[{"typ":"int","val":24}]}</v>
      </c>
      <c r="J2860" s="148" t="str">
        <f>IFERROR(__xludf.DUMMYFUNCTION("""COMPUTED_VALUE"""),"{""typ"":""lc"",""txt"":""LC_ITEM_build_foodiron_2_buff_name_3"",""args"":[{""typ"":""int"",""val"":24}]}")</f>
        <v>{"typ":"lc","txt":"LC_ITEM_build_foodiron_2_buff_name_3","args":[{"typ":"int","val":24}]}</v>
      </c>
      <c r="K2860" s="148" t="str">
        <f>IFERROR(__xludf.DUMMYFUNCTION("""COMPUTED_VALUE"""),"{""typ"":""lc"",""txt"":""LC_ITEM_build_foodiron_2_buff_desc_3"",""args"":[{""typ"":""int"",""val"":24}]}")</f>
        <v>{"typ":"lc","txt":"LC_ITEM_build_foodiron_2_buff_desc_3","args":[{"typ":"int","val":24}]}</v>
      </c>
      <c r="L2860" s="148" t="str">
        <f>IFERROR(__xludf.DUMMYFUNCTION("""COMPUTED_VALUE"""),"{""typ"":""lc"",""txt"":""LC_ITEM_build_foodiron_buff_desc_3"",""args"":[{""typ"":""int"",""val"":24}]}")</f>
        <v>{"typ":"lc","txt":"LC_ITEM_build_foodiron_buff_desc_3","args":[{"typ":"int","val":24}]}</v>
      </c>
      <c r="M2860" s="148">
        <f>IFERROR(__xludf.DUMMYFUNCTION("""COMPUTED_VALUE"""),1500.0)</f>
        <v>1500</v>
      </c>
      <c r="N2860" s="148">
        <f>IFERROR(__xludf.DUMMYFUNCTION("""COMPUTED_VALUE"""),999999.0)</f>
        <v>999999</v>
      </c>
      <c r="O2860" s="148">
        <f>IFERROR(__xludf.DUMMYFUNCTION("""COMPUTED_VALUE"""),99999.0)</f>
        <v>99999</v>
      </c>
      <c r="P2860" s="148">
        <f>IFERROR(__xludf.DUMMYFUNCTION("""COMPUTED_VALUE"""),1.0)</f>
        <v>1</v>
      </c>
      <c r="Q2860" s="148" t="str">
        <f>IFERROR(__xludf.DUMMYFUNCTION("""COMPUTED_VALUE"""),"[""bag_buff"",""buff_city""]")</f>
        <v>["bag_buff","buff_city"]</v>
      </c>
      <c r="R2860" s="148" t="str">
        <f>IFERROR(__xludf.DUMMYFUNCTION("""COMPUTED_VALUE"""),"[""bag"",""buff_city""]")</f>
        <v>["bag","buff_city"]</v>
      </c>
      <c r="S2860" s="148" t="str">
        <f>IFERROR(__xludf.DUMMYFUNCTION("""COMPUTED_VALUE"""),"{""effect"":[{""typ"":""buff"",""id"":121141019,""val"":86400000,""arg1"":0.1}]}")</f>
        <v>{"effect":[{"typ":"buff","id":121141019,"val":86400000,"arg1":0.1}]}</v>
      </c>
      <c r="T2860" s="148">
        <f>IFERROR(__xludf.DUMMYFUNCTION("""COMPUTED_VALUE"""),-1.0)</f>
        <v>-1</v>
      </c>
      <c r="U2860" s="148">
        <f>IFERROR(__xludf.DUMMYFUNCTION("""COMPUTED_VALUE"""),1.0)</f>
        <v>1</v>
      </c>
      <c r="V2860" s="148" t="str">
        <f>IFERROR(__xludf.DUMMYFUNCTION("""COMPUTED_VALUE"""),"[]")</f>
        <v>[]</v>
      </c>
      <c r="W2860" s="148">
        <f>IFERROR(__xludf.DUMMYFUNCTION("""COMPUTED_VALUE"""),1.1741004E7)</f>
        <v>11741004</v>
      </c>
      <c r="X2860" s="148">
        <f>IFERROR(__xludf.DUMMYFUNCTION("""COMPUTED_VALUE"""),0.0)</f>
        <v>0</v>
      </c>
      <c r="Y2860" s="148">
        <f>IFERROR(__xludf.DUMMYFUNCTION("""COMPUTED_VALUE"""),0.0)</f>
        <v>0</v>
      </c>
      <c r="Z2860" s="148"/>
    </row>
    <row r="2861">
      <c r="A2861" s="148">
        <f>IFERROR(__xludf.DUMMYFUNCTION("""COMPUTED_VALUE"""),1.1119823E7)</f>
        <v>11119823</v>
      </c>
      <c r="B2861" s="148" t="str">
        <f>IFERROR(__xludf.DUMMYFUNCTION("""COMPUTED_VALUE"""),"城建-钢铁消耗减少-1天-档位4")</f>
        <v>城建-钢铁消耗减少-1天-档位4</v>
      </c>
      <c r="C2861" s="148"/>
      <c r="D2861" s="148" t="str">
        <f>IFERROR(__xludf.DUMMYFUNCTION("""COMPUTED_VALUE"""),"item_buff")</f>
        <v>item_buff</v>
      </c>
      <c r="E2861" s="148">
        <f>IFERROR(__xludf.DUMMYFUNCTION("""COMPUTED_VALUE"""),11.0)</f>
        <v>11</v>
      </c>
      <c r="F2861" s="148">
        <f>IFERROR(__xludf.DUMMYFUNCTION("""COMPUTED_VALUE"""),307504.0)</f>
        <v>307504</v>
      </c>
      <c r="G2861" s="148">
        <f>IFERROR(__xludf.DUMMYFUNCTION("""COMPUTED_VALUE"""),1.51103016E8)</f>
        <v>151103016</v>
      </c>
      <c r="H2861" s="148">
        <f>IFERROR(__xludf.DUMMYFUNCTION("""COMPUTED_VALUE"""),1.5112564E7)</f>
        <v>15112564</v>
      </c>
      <c r="I2861" s="148" t="str">
        <f>IFERROR(__xludf.DUMMYFUNCTION("""COMPUTED_VALUE"""),"{""typ"":""lc"",""txt"":""LC_ITEM_time_h_upper_show"",""args"":[{""typ"":""int"",""val"":24}]}")</f>
        <v>{"typ":"lc","txt":"LC_ITEM_time_h_upper_show","args":[{"typ":"int","val":24}]}</v>
      </c>
      <c r="J2861" s="148" t="str">
        <f>IFERROR(__xludf.DUMMYFUNCTION("""COMPUTED_VALUE"""),"{""typ"":""lc"",""txt"":""LC_ITEM_build_foodiron_2_buff_name_4"",""args"":[{""typ"":""int"",""val"":24}]}")</f>
        <v>{"typ":"lc","txt":"LC_ITEM_build_foodiron_2_buff_name_4","args":[{"typ":"int","val":24}]}</v>
      </c>
      <c r="K2861" s="148" t="str">
        <f>IFERROR(__xludf.DUMMYFUNCTION("""COMPUTED_VALUE"""),"{""typ"":""lc"",""txt"":""LC_ITEM_build_foodiron_2_buff_desc_4"",""args"":[{""typ"":""int"",""val"":24}]}")</f>
        <v>{"typ":"lc","txt":"LC_ITEM_build_foodiron_2_buff_desc_4","args":[{"typ":"int","val":24}]}</v>
      </c>
      <c r="L2861" s="148" t="str">
        <f>IFERROR(__xludf.DUMMYFUNCTION("""COMPUTED_VALUE"""),"{""typ"":""lc"",""txt"":""LC_ITEM_build_foodiron_buff_desc_4"",""args"":[{""typ"":""int"",""val"":24}]}")</f>
        <v>{"typ":"lc","txt":"LC_ITEM_build_foodiron_buff_desc_4","args":[{"typ":"int","val":24}]}</v>
      </c>
      <c r="M2861" s="148">
        <f>IFERROR(__xludf.DUMMYFUNCTION("""COMPUTED_VALUE"""),1500.0)</f>
        <v>1500</v>
      </c>
      <c r="N2861" s="148">
        <f>IFERROR(__xludf.DUMMYFUNCTION("""COMPUTED_VALUE"""),999999.0)</f>
        <v>999999</v>
      </c>
      <c r="O2861" s="148">
        <f>IFERROR(__xludf.DUMMYFUNCTION("""COMPUTED_VALUE"""),99999.0)</f>
        <v>99999</v>
      </c>
      <c r="P2861" s="148">
        <f>IFERROR(__xludf.DUMMYFUNCTION("""COMPUTED_VALUE"""),1.0)</f>
        <v>1</v>
      </c>
      <c r="Q2861" s="148" t="str">
        <f>IFERROR(__xludf.DUMMYFUNCTION("""COMPUTED_VALUE"""),"[""bag_buff"",""buff_city""]")</f>
        <v>["bag_buff","buff_city"]</v>
      </c>
      <c r="R2861" s="148" t="str">
        <f>IFERROR(__xludf.DUMMYFUNCTION("""COMPUTED_VALUE"""),"[""bag"",""buff_city""]")</f>
        <v>["bag","buff_city"]</v>
      </c>
      <c r="S2861" s="148" t="str">
        <f>IFERROR(__xludf.DUMMYFUNCTION("""COMPUTED_VALUE"""),"{""effect"":[{""typ"":""buff"",""id"":121141019,""val"":86400000,""arg1"":0.15}]}")</f>
        <v>{"effect":[{"typ":"buff","id":121141019,"val":86400000,"arg1":0.15}]}</v>
      </c>
      <c r="T2861" s="148">
        <f>IFERROR(__xludf.DUMMYFUNCTION("""COMPUTED_VALUE"""),-1.0)</f>
        <v>-1</v>
      </c>
      <c r="U2861" s="148">
        <f>IFERROR(__xludf.DUMMYFUNCTION("""COMPUTED_VALUE"""),1.0)</f>
        <v>1</v>
      </c>
      <c r="V2861" s="148" t="str">
        <f>IFERROR(__xludf.DUMMYFUNCTION("""COMPUTED_VALUE"""),"[]")</f>
        <v>[]</v>
      </c>
      <c r="W2861" s="148">
        <f>IFERROR(__xludf.DUMMYFUNCTION("""COMPUTED_VALUE"""),1.1741004E7)</f>
        <v>11741004</v>
      </c>
      <c r="X2861" s="148">
        <f>IFERROR(__xludf.DUMMYFUNCTION("""COMPUTED_VALUE"""),0.0)</f>
        <v>0</v>
      </c>
      <c r="Y2861" s="148">
        <f>IFERROR(__xludf.DUMMYFUNCTION("""COMPUTED_VALUE"""),0.0)</f>
        <v>0</v>
      </c>
      <c r="Z2861" s="148"/>
    </row>
    <row r="2862">
      <c r="A2862" s="148">
        <f>IFERROR(__xludf.DUMMYFUNCTION("""COMPUTED_VALUE"""),1.1119824E7)</f>
        <v>11119824</v>
      </c>
      <c r="B2862" s="148" t="str">
        <f>IFERROR(__xludf.DUMMYFUNCTION("""COMPUTED_VALUE"""),"训练-钢铁消耗减少-1天-档位1")</f>
        <v>训练-钢铁消耗减少-1天-档位1</v>
      </c>
      <c r="C2862" s="148"/>
      <c r="D2862" s="148" t="str">
        <f>IFERROR(__xludf.DUMMYFUNCTION("""COMPUTED_VALUE"""),"item_buff")</f>
        <v>item_buff</v>
      </c>
      <c r="E2862" s="148">
        <f>IFERROR(__xludf.DUMMYFUNCTION("""COMPUTED_VALUE"""),11.0)</f>
        <v>11</v>
      </c>
      <c r="F2862" s="148">
        <f>IFERROR(__xludf.DUMMYFUNCTION("""COMPUTED_VALUE"""),307504.0)</f>
        <v>307504</v>
      </c>
      <c r="G2862" s="148">
        <f>IFERROR(__xludf.DUMMYFUNCTION("""COMPUTED_VALUE"""),1.51103017E8)</f>
        <v>151103017</v>
      </c>
      <c r="H2862" s="148">
        <f>IFERROR(__xludf.DUMMYFUNCTION("""COMPUTED_VALUE"""),1.5112561E7)</f>
        <v>15112561</v>
      </c>
      <c r="I2862" s="148" t="str">
        <f>IFERROR(__xludf.DUMMYFUNCTION("""COMPUTED_VALUE"""),"{""typ"":""lc"",""txt"":""LC_ITEM_time_h_upper_show"",""args"":[{""typ"":""int"",""val"":24}]}")</f>
        <v>{"typ":"lc","txt":"LC_ITEM_time_h_upper_show","args":[{"typ":"int","val":24}]}</v>
      </c>
      <c r="J2862" s="148" t="str">
        <f>IFERROR(__xludf.DUMMYFUNCTION("""COMPUTED_VALUE"""),"{""typ"":""lc"",""txt"":""LC_ITEM_train_foodiron_2_buff_name_1"",""args"":[{""typ"":""int"",""val"":24}]}")</f>
        <v>{"typ":"lc","txt":"LC_ITEM_train_foodiron_2_buff_name_1","args":[{"typ":"int","val":24}]}</v>
      </c>
      <c r="K2862" s="148" t="str">
        <f>IFERROR(__xludf.DUMMYFUNCTION("""COMPUTED_VALUE"""),"{""typ"":""lc"",""txt"":""LC_ITEM_train_foodiron_2_buff_desc_1"",""args"":[{""typ"":""int"",""val"":24}]}")</f>
        <v>{"typ":"lc","txt":"LC_ITEM_train_foodiron_2_buff_desc_1","args":[{"typ":"int","val":24}]}</v>
      </c>
      <c r="L2862" s="148" t="str">
        <f>IFERROR(__xludf.DUMMYFUNCTION("""COMPUTED_VALUE"""),"{""typ"":""lc"",""txt"":""LC_ITEM_train_foodiron_buff_desc_1"",""args"":[{""typ"":""int"",""val"":24}]}")</f>
        <v>{"typ":"lc","txt":"LC_ITEM_train_foodiron_buff_desc_1","args":[{"typ":"int","val":24}]}</v>
      </c>
      <c r="M2862" s="148">
        <f>IFERROR(__xludf.DUMMYFUNCTION("""COMPUTED_VALUE"""),1500.0)</f>
        <v>1500</v>
      </c>
      <c r="N2862" s="148">
        <f>IFERROR(__xludf.DUMMYFUNCTION("""COMPUTED_VALUE"""),999999.0)</f>
        <v>999999</v>
      </c>
      <c r="O2862" s="148">
        <f>IFERROR(__xludf.DUMMYFUNCTION("""COMPUTED_VALUE"""),99999.0)</f>
        <v>99999</v>
      </c>
      <c r="P2862" s="148">
        <f>IFERROR(__xludf.DUMMYFUNCTION("""COMPUTED_VALUE"""),1.0)</f>
        <v>1</v>
      </c>
      <c r="Q2862" s="148" t="str">
        <f>IFERROR(__xludf.DUMMYFUNCTION("""COMPUTED_VALUE"""),"[""bag_buff"",""buff_city""]")</f>
        <v>["bag_buff","buff_city"]</v>
      </c>
      <c r="R2862" s="148" t="str">
        <f>IFERROR(__xludf.DUMMYFUNCTION("""COMPUTED_VALUE"""),"[""bag"",""buff_city""]")</f>
        <v>["bag","buff_city"]</v>
      </c>
      <c r="S2862" s="148" t="str">
        <f>IFERROR(__xludf.DUMMYFUNCTION("""COMPUTED_VALUE"""),"{""effect"":[{""typ"":""buff"",""id"":121141023,""val"":86400000,""arg1"":0.02}]}")</f>
        <v>{"effect":[{"typ":"buff","id":121141023,"val":86400000,"arg1":0.02}]}</v>
      </c>
      <c r="T2862" s="148">
        <f>IFERROR(__xludf.DUMMYFUNCTION("""COMPUTED_VALUE"""),-1.0)</f>
        <v>-1</v>
      </c>
      <c r="U2862" s="148">
        <f>IFERROR(__xludf.DUMMYFUNCTION("""COMPUTED_VALUE"""),1.0)</f>
        <v>1</v>
      </c>
      <c r="V2862" s="148" t="str">
        <f>IFERROR(__xludf.DUMMYFUNCTION("""COMPUTED_VALUE"""),"[]")</f>
        <v>[]</v>
      </c>
      <c r="W2862" s="148">
        <f>IFERROR(__xludf.DUMMYFUNCTION("""COMPUTED_VALUE"""),1.1741004E7)</f>
        <v>11741004</v>
      </c>
      <c r="X2862" s="148">
        <f>IFERROR(__xludf.DUMMYFUNCTION("""COMPUTED_VALUE"""),0.0)</f>
        <v>0</v>
      </c>
      <c r="Y2862" s="148">
        <f>IFERROR(__xludf.DUMMYFUNCTION("""COMPUTED_VALUE"""),0.0)</f>
        <v>0</v>
      </c>
      <c r="Z2862" s="148"/>
    </row>
    <row r="2863">
      <c r="A2863" s="148">
        <f>IFERROR(__xludf.DUMMYFUNCTION("""COMPUTED_VALUE"""),1.1119825E7)</f>
        <v>11119825</v>
      </c>
      <c r="B2863" s="148" t="str">
        <f>IFERROR(__xludf.DUMMYFUNCTION("""COMPUTED_VALUE"""),"训练-钢铁消耗减少-1天-档位2")</f>
        <v>训练-钢铁消耗减少-1天-档位2</v>
      </c>
      <c r="C2863" s="148"/>
      <c r="D2863" s="148" t="str">
        <f>IFERROR(__xludf.DUMMYFUNCTION("""COMPUTED_VALUE"""),"item_buff")</f>
        <v>item_buff</v>
      </c>
      <c r="E2863" s="148">
        <f>IFERROR(__xludf.DUMMYFUNCTION("""COMPUTED_VALUE"""),11.0)</f>
        <v>11</v>
      </c>
      <c r="F2863" s="148">
        <f>IFERROR(__xludf.DUMMYFUNCTION("""COMPUTED_VALUE"""),307504.0)</f>
        <v>307504</v>
      </c>
      <c r="G2863" s="148">
        <f>IFERROR(__xludf.DUMMYFUNCTION("""COMPUTED_VALUE"""),1.51103017E8)</f>
        <v>151103017</v>
      </c>
      <c r="H2863" s="148">
        <f>IFERROR(__xludf.DUMMYFUNCTION("""COMPUTED_VALUE"""),1.5112562E7)</f>
        <v>15112562</v>
      </c>
      <c r="I2863" s="148" t="str">
        <f>IFERROR(__xludf.DUMMYFUNCTION("""COMPUTED_VALUE"""),"{""typ"":""lc"",""txt"":""LC_ITEM_time_h_upper_show"",""args"":[{""typ"":""int"",""val"":24}]}")</f>
        <v>{"typ":"lc","txt":"LC_ITEM_time_h_upper_show","args":[{"typ":"int","val":24}]}</v>
      </c>
      <c r="J2863" s="148" t="str">
        <f>IFERROR(__xludf.DUMMYFUNCTION("""COMPUTED_VALUE"""),"{""typ"":""lc"",""txt"":""LC_ITEM_train_foodiron_2_buff_name_2"",""args"":[{""typ"":""int"",""val"":24}]}")</f>
        <v>{"typ":"lc","txt":"LC_ITEM_train_foodiron_2_buff_name_2","args":[{"typ":"int","val":24}]}</v>
      </c>
      <c r="K2863" s="148" t="str">
        <f>IFERROR(__xludf.DUMMYFUNCTION("""COMPUTED_VALUE"""),"{""typ"":""lc"",""txt"":""LC_ITEM_train_foodiron_2_buff_desc_2"",""args"":[{""typ"":""int"",""val"":24}]}")</f>
        <v>{"typ":"lc","txt":"LC_ITEM_train_foodiron_2_buff_desc_2","args":[{"typ":"int","val":24}]}</v>
      </c>
      <c r="L2863" s="148" t="str">
        <f>IFERROR(__xludf.DUMMYFUNCTION("""COMPUTED_VALUE"""),"{""typ"":""lc"",""txt"":""LC_ITEM_train_foodiron_buff_desc_2"",""args"":[{""typ"":""int"",""val"":24}]}")</f>
        <v>{"typ":"lc","txt":"LC_ITEM_train_foodiron_buff_desc_2","args":[{"typ":"int","val":24}]}</v>
      </c>
      <c r="M2863" s="148">
        <f>IFERROR(__xludf.DUMMYFUNCTION("""COMPUTED_VALUE"""),1500.0)</f>
        <v>1500</v>
      </c>
      <c r="N2863" s="148">
        <f>IFERROR(__xludf.DUMMYFUNCTION("""COMPUTED_VALUE"""),999999.0)</f>
        <v>999999</v>
      </c>
      <c r="O2863" s="148">
        <f>IFERROR(__xludf.DUMMYFUNCTION("""COMPUTED_VALUE"""),99999.0)</f>
        <v>99999</v>
      </c>
      <c r="P2863" s="148">
        <f>IFERROR(__xludf.DUMMYFUNCTION("""COMPUTED_VALUE"""),1.0)</f>
        <v>1</v>
      </c>
      <c r="Q2863" s="148" t="str">
        <f>IFERROR(__xludf.DUMMYFUNCTION("""COMPUTED_VALUE"""),"[""bag_buff"",""buff_city""]")</f>
        <v>["bag_buff","buff_city"]</v>
      </c>
      <c r="R2863" s="148" t="str">
        <f>IFERROR(__xludf.DUMMYFUNCTION("""COMPUTED_VALUE"""),"[""bag"",""buff_city""]")</f>
        <v>["bag","buff_city"]</v>
      </c>
      <c r="S2863" s="148" t="str">
        <f>IFERROR(__xludf.DUMMYFUNCTION("""COMPUTED_VALUE"""),"{""effect"":[{""typ"":""buff"",""id"":121141023,""val"":86400000,""arg1"":0.03}]}")</f>
        <v>{"effect":[{"typ":"buff","id":121141023,"val":86400000,"arg1":0.03}]}</v>
      </c>
      <c r="T2863" s="148">
        <f>IFERROR(__xludf.DUMMYFUNCTION("""COMPUTED_VALUE"""),-1.0)</f>
        <v>-1</v>
      </c>
      <c r="U2863" s="148">
        <f>IFERROR(__xludf.DUMMYFUNCTION("""COMPUTED_VALUE"""),1.0)</f>
        <v>1</v>
      </c>
      <c r="V2863" s="148" t="str">
        <f>IFERROR(__xludf.DUMMYFUNCTION("""COMPUTED_VALUE"""),"[]")</f>
        <v>[]</v>
      </c>
      <c r="W2863" s="148">
        <f>IFERROR(__xludf.DUMMYFUNCTION("""COMPUTED_VALUE"""),1.1741004E7)</f>
        <v>11741004</v>
      </c>
      <c r="X2863" s="148">
        <f>IFERROR(__xludf.DUMMYFUNCTION("""COMPUTED_VALUE"""),0.0)</f>
        <v>0</v>
      </c>
      <c r="Y2863" s="148">
        <f>IFERROR(__xludf.DUMMYFUNCTION("""COMPUTED_VALUE"""),0.0)</f>
        <v>0</v>
      </c>
      <c r="Z2863" s="148"/>
    </row>
    <row r="2864">
      <c r="A2864" s="148">
        <f>IFERROR(__xludf.DUMMYFUNCTION("""COMPUTED_VALUE"""),1.1119826E7)</f>
        <v>11119826</v>
      </c>
      <c r="B2864" s="148" t="str">
        <f>IFERROR(__xludf.DUMMYFUNCTION("""COMPUTED_VALUE"""),"训练-钢铁消耗减少-1天-档位3")</f>
        <v>训练-钢铁消耗减少-1天-档位3</v>
      </c>
      <c r="C2864" s="148"/>
      <c r="D2864" s="148" t="str">
        <f>IFERROR(__xludf.DUMMYFUNCTION("""COMPUTED_VALUE"""),"item_buff")</f>
        <v>item_buff</v>
      </c>
      <c r="E2864" s="148">
        <f>IFERROR(__xludf.DUMMYFUNCTION("""COMPUTED_VALUE"""),11.0)</f>
        <v>11</v>
      </c>
      <c r="F2864" s="148">
        <f>IFERROR(__xludf.DUMMYFUNCTION("""COMPUTED_VALUE"""),307504.0)</f>
        <v>307504</v>
      </c>
      <c r="G2864" s="148">
        <f>IFERROR(__xludf.DUMMYFUNCTION("""COMPUTED_VALUE"""),1.51103017E8)</f>
        <v>151103017</v>
      </c>
      <c r="H2864" s="148">
        <f>IFERROR(__xludf.DUMMYFUNCTION("""COMPUTED_VALUE"""),1.5112563E7)</f>
        <v>15112563</v>
      </c>
      <c r="I2864" s="148" t="str">
        <f>IFERROR(__xludf.DUMMYFUNCTION("""COMPUTED_VALUE"""),"{""typ"":""lc"",""txt"":""LC_ITEM_time_h_upper_show"",""args"":[{""typ"":""int"",""val"":24}]}")</f>
        <v>{"typ":"lc","txt":"LC_ITEM_time_h_upper_show","args":[{"typ":"int","val":24}]}</v>
      </c>
      <c r="J2864" s="148" t="str">
        <f>IFERROR(__xludf.DUMMYFUNCTION("""COMPUTED_VALUE"""),"{""typ"":""lc"",""txt"":""LC_ITEM_train_foodiron_2_buff_name_3"",""args"":[{""typ"":""int"",""val"":24}]}")</f>
        <v>{"typ":"lc","txt":"LC_ITEM_train_foodiron_2_buff_name_3","args":[{"typ":"int","val":24}]}</v>
      </c>
      <c r="K2864" s="148" t="str">
        <f>IFERROR(__xludf.DUMMYFUNCTION("""COMPUTED_VALUE"""),"{""typ"":""lc"",""txt"":""LC_ITEM_train_foodiron_2_buff_desc_3"",""args"":[{""typ"":""int"",""val"":24}]}")</f>
        <v>{"typ":"lc","txt":"LC_ITEM_train_foodiron_2_buff_desc_3","args":[{"typ":"int","val":24}]}</v>
      </c>
      <c r="L2864" s="148" t="str">
        <f>IFERROR(__xludf.DUMMYFUNCTION("""COMPUTED_VALUE"""),"{""typ"":""lc"",""txt"":""LC_ITEM_train_foodiron_buff_desc_3"",""args"":[{""typ"":""int"",""val"":24}]}")</f>
        <v>{"typ":"lc","txt":"LC_ITEM_train_foodiron_buff_desc_3","args":[{"typ":"int","val":24}]}</v>
      </c>
      <c r="M2864" s="148">
        <f>IFERROR(__xludf.DUMMYFUNCTION("""COMPUTED_VALUE"""),1500.0)</f>
        <v>1500</v>
      </c>
      <c r="N2864" s="148">
        <f>IFERROR(__xludf.DUMMYFUNCTION("""COMPUTED_VALUE"""),999999.0)</f>
        <v>999999</v>
      </c>
      <c r="O2864" s="148">
        <f>IFERROR(__xludf.DUMMYFUNCTION("""COMPUTED_VALUE"""),99999.0)</f>
        <v>99999</v>
      </c>
      <c r="P2864" s="148">
        <f>IFERROR(__xludf.DUMMYFUNCTION("""COMPUTED_VALUE"""),1.0)</f>
        <v>1</v>
      </c>
      <c r="Q2864" s="148" t="str">
        <f>IFERROR(__xludf.DUMMYFUNCTION("""COMPUTED_VALUE"""),"[""bag_buff"",""buff_city""]")</f>
        <v>["bag_buff","buff_city"]</v>
      </c>
      <c r="R2864" s="148" t="str">
        <f>IFERROR(__xludf.DUMMYFUNCTION("""COMPUTED_VALUE"""),"[""bag"",""buff_city""]")</f>
        <v>["bag","buff_city"]</v>
      </c>
      <c r="S2864" s="148" t="str">
        <f>IFERROR(__xludf.DUMMYFUNCTION("""COMPUTED_VALUE"""),"{""effect"":[{""typ"":""buff"",""id"":121141023,""val"":86400000,""arg1"":0.05}]}")</f>
        <v>{"effect":[{"typ":"buff","id":121141023,"val":86400000,"arg1":0.05}]}</v>
      </c>
      <c r="T2864" s="148">
        <f>IFERROR(__xludf.DUMMYFUNCTION("""COMPUTED_VALUE"""),-1.0)</f>
        <v>-1</v>
      </c>
      <c r="U2864" s="148">
        <f>IFERROR(__xludf.DUMMYFUNCTION("""COMPUTED_VALUE"""),1.0)</f>
        <v>1</v>
      </c>
      <c r="V2864" s="148" t="str">
        <f>IFERROR(__xludf.DUMMYFUNCTION("""COMPUTED_VALUE"""),"[]")</f>
        <v>[]</v>
      </c>
      <c r="W2864" s="148">
        <f>IFERROR(__xludf.DUMMYFUNCTION("""COMPUTED_VALUE"""),1.1741004E7)</f>
        <v>11741004</v>
      </c>
      <c r="X2864" s="148">
        <f>IFERROR(__xludf.DUMMYFUNCTION("""COMPUTED_VALUE"""),0.0)</f>
        <v>0</v>
      </c>
      <c r="Y2864" s="148">
        <f>IFERROR(__xludf.DUMMYFUNCTION("""COMPUTED_VALUE"""),0.0)</f>
        <v>0</v>
      </c>
      <c r="Z2864" s="148"/>
    </row>
    <row r="2865">
      <c r="A2865" s="148">
        <f>IFERROR(__xludf.DUMMYFUNCTION("""COMPUTED_VALUE"""),1.1119827E7)</f>
        <v>11119827</v>
      </c>
      <c r="B2865" s="148" t="str">
        <f>IFERROR(__xludf.DUMMYFUNCTION("""COMPUTED_VALUE"""),"训练-钢铁消耗减少-1天-档位4")</f>
        <v>训练-钢铁消耗减少-1天-档位4</v>
      </c>
      <c r="C2865" s="148"/>
      <c r="D2865" s="148" t="str">
        <f>IFERROR(__xludf.DUMMYFUNCTION("""COMPUTED_VALUE"""),"item_buff")</f>
        <v>item_buff</v>
      </c>
      <c r="E2865" s="148">
        <f>IFERROR(__xludf.DUMMYFUNCTION("""COMPUTED_VALUE"""),11.0)</f>
        <v>11</v>
      </c>
      <c r="F2865" s="148">
        <f>IFERROR(__xludf.DUMMYFUNCTION("""COMPUTED_VALUE"""),307504.0)</f>
        <v>307504</v>
      </c>
      <c r="G2865" s="148">
        <f>IFERROR(__xludf.DUMMYFUNCTION("""COMPUTED_VALUE"""),1.51103017E8)</f>
        <v>151103017</v>
      </c>
      <c r="H2865" s="148">
        <f>IFERROR(__xludf.DUMMYFUNCTION("""COMPUTED_VALUE"""),1.5112564E7)</f>
        <v>15112564</v>
      </c>
      <c r="I2865" s="148" t="str">
        <f>IFERROR(__xludf.DUMMYFUNCTION("""COMPUTED_VALUE"""),"{""typ"":""lc"",""txt"":""LC_ITEM_time_h_upper_show"",""args"":[{""typ"":""int"",""val"":24}]}")</f>
        <v>{"typ":"lc","txt":"LC_ITEM_time_h_upper_show","args":[{"typ":"int","val":24}]}</v>
      </c>
      <c r="J2865" s="148" t="str">
        <f>IFERROR(__xludf.DUMMYFUNCTION("""COMPUTED_VALUE"""),"{""typ"":""lc"",""txt"":""LC_ITEM_train_foodiron_2_buff_name_4"",""args"":[{""typ"":""int"",""val"":24}]}")</f>
        <v>{"typ":"lc","txt":"LC_ITEM_train_foodiron_2_buff_name_4","args":[{"typ":"int","val":24}]}</v>
      </c>
      <c r="K2865" s="148" t="str">
        <f>IFERROR(__xludf.DUMMYFUNCTION("""COMPUTED_VALUE"""),"{""typ"":""lc"",""txt"":""LC_ITEM_train_foodiron_2_buff_desc_4"",""args"":[{""typ"":""int"",""val"":24}]}")</f>
        <v>{"typ":"lc","txt":"LC_ITEM_train_foodiron_2_buff_desc_4","args":[{"typ":"int","val":24}]}</v>
      </c>
      <c r="L2865" s="148" t="str">
        <f>IFERROR(__xludf.DUMMYFUNCTION("""COMPUTED_VALUE"""),"{""typ"":""lc"",""txt"":""LC_ITEM_train_foodiron_buff_desc_4"",""args"":[{""typ"":""int"",""val"":24}]}")</f>
        <v>{"typ":"lc","txt":"LC_ITEM_train_foodiron_buff_desc_4","args":[{"typ":"int","val":24}]}</v>
      </c>
      <c r="M2865" s="148">
        <f>IFERROR(__xludf.DUMMYFUNCTION("""COMPUTED_VALUE"""),1500.0)</f>
        <v>1500</v>
      </c>
      <c r="N2865" s="148">
        <f>IFERROR(__xludf.DUMMYFUNCTION("""COMPUTED_VALUE"""),999999.0)</f>
        <v>999999</v>
      </c>
      <c r="O2865" s="148">
        <f>IFERROR(__xludf.DUMMYFUNCTION("""COMPUTED_VALUE"""),99999.0)</f>
        <v>99999</v>
      </c>
      <c r="P2865" s="148">
        <f>IFERROR(__xludf.DUMMYFUNCTION("""COMPUTED_VALUE"""),1.0)</f>
        <v>1</v>
      </c>
      <c r="Q2865" s="148" t="str">
        <f>IFERROR(__xludf.DUMMYFUNCTION("""COMPUTED_VALUE"""),"[""bag_buff"",""buff_city""]")</f>
        <v>["bag_buff","buff_city"]</v>
      </c>
      <c r="R2865" s="148" t="str">
        <f>IFERROR(__xludf.DUMMYFUNCTION("""COMPUTED_VALUE"""),"[""bag"",""buff_city""]")</f>
        <v>["bag","buff_city"]</v>
      </c>
      <c r="S2865" s="148" t="str">
        <f>IFERROR(__xludf.DUMMYFUNCTION("""COMPUTED_VALUE"""),"{""effect"":[{""typ"":""buff"",""id"":121141023,""val"":86400000,""arg1"":0.08}]}")</f>
        <v>{"effect":[{"typ":"buff","id":121141023,"val":86400000,"arg1":0.08}]}</v>
      </c>
      <c r="T2865" s="148">
        <f>IFERROR(__xludf.DUMMYFUNCTION("""COMPUTED_VALUE"""),-1.0)</f>
        <v>-1</v>
      </c>
      <c r="U2865" s="148">
        <f>IFERROR(__xludf.DUMMYFUNCTION("""COMPUTED_VALUE"""),1.0)</f>
        <v>1</v>
      </c>
      <c r="V2865" s="148" t="str">
        <f>IFERROR(__xludf.DUMMYFUNCTION("""COMPUTED_VALUE"""),"[]")</f>
        <v>[]</v>
      </c>
      <c r="W2865" s="148">
        <f>IFERROR(__xludf.DUMMYFUNCTION("""COMPUTED_VALUE"""),1.1741004E7)</f>
        <v>11741004</v>
      </c>
      <c r="X2865" s="148">
        <f>IFERROR(__xludf.DUMMYFUNCTION("""COMPUTED_VALUE"""),0.0)</f>
        <v>0</v>
      </c>
      <c r="Y2865" s="148">
        <f>IFERROR(__xludf.DUMMYFUNCTION("""COMPUTED_VALUE"""),0.0)</f>
        <v>0</v>
      </c>
      <c r="Z2865" s="148"/>
    </row>
    <row r="2866">
      <c r="A2866" s="148">
        <f>IFERROR(__xludf.DUMMYFUNCTION("""COMPUTED_VALUE"""),1.1119828E7)</f>
        <v>11119828</v>
      </c>
      <c r="B2866" s="148" t="str">
        <f>IFERROR(__xludf.DUMMYFUNCTION("""COMPUTED_VALUE"""),"主城皮肤-星球套2025-星球")</f>
        <v>主城皮肤-星球套2025-星球</v>
      </c>
      <c r="C2866" s="148"/>
      <c r="D2866" s="148" t="str">
        <f>IFERROR(__xludf.DUMMYFUNCTION("""COMPUTED_VALUE"""),"city_skin")</f>
        <v>city_skin</v>
      </c>
      <c r="E2866" s="148">
        <f>IFERROR(__xludf.DUMMYFUNCTION("""COMPUTED_VALUE"""),21.0)</f>
        <v>21</v>
      </c>
      <c r="F2866" s="148">
        <f>IFERROR(__xludf.DUMMYFUNCTION("""COMPUTED_VALUE"""),499996.0)</f>
        <v>499996</v>
      </c>
      <c r="G2866" s="148">
        <f>IFERROR(__xludf.DUMMYFUNCTION("""COMPUTED_VALUE"""),1.51103143E8)</f>
        <v>151103143</v>
      </c>
      <c r="H2866" s="148">
        <f>IFERROR(__xludf.DUMMYFUNCTION("""COMPUTED_VALUE"""),1.5112564E7)</f>
        <v>15112564</v>
      </c>
      <c r="I2866" s="148" t="str">
        <f>IFERROR(__xludf.DUMMYFUNCTION("""COMPUTED_VALUE"""),"{}")</f>
        <v>{}</v>
      </c>
      <c r="J2866" s="148" t="str">
        <f>IFERROR(__xludf.DUMMYFUNCTION("""COMPUTED_VALUE"""),"{""typ"":""lc"",""txt"":""LC_ITEM_planet_2025_city_1_name""}")</f>
        <v>{"typ":"lc","txt":"LC_ITEM_planet_2025_city_1_name"}</v>
      </c>
      <c r="K2866" s="148" t="str">
        <f>IFERROR(__xludf.DUMMYFUNCTION("""COMPUTED_VALUE"""),"{""typ"":""lc"",""txt"":""LC_ITEM_planet_2025_city_1_desc""}")</f>
        <v>{"typ":"lc","txt":"LC_ITEM_planet_2025_city_1_desc"}</v>
      </c>
      <c r="L2866" s="148" t="str">
        <f>IFERROR(__xludf.DUMMYFUNCTION("""COMPUTED_VALUE"""),"{""typ"":""lc"",""txt"":""LC_ASSET_suit_actived_tips_1""}")</f>
        <v>{"typ":"lc","txt":"LC_ASSET_suit_actived_tips_1"}</v>
      </c>
      <c r="M2866" s="148">
        <f>IFERROR(__xludf.DUMMYFUNCTION("""COMPUTED_VALUE"""),10000.0)</f>
        <v>10000</v>
      </c>
      <c r="N2866" s="148">
        <f>IFERROR(__xludf.DUMMYFUNCTION("""COMPUTED_VALUE"""),999.0)</f>
        <v>999</v>
      </c>
      <c r="O2866" s="148">
        <f>IFERROR(__xludf.DUMMYFUNCTION("""COMPUTED_VALUE"""),1.0)</f>
        <v>1</v>
      </c>
      <c r="P2866" s="148">
        <f>IFERROR(__xludf.DUMMYFUNCTION("""COMPUTED_VALUE"""),1.0)</f>
        <v>1</v>
      </c>
      <c r="Q2866" s="148" t="str">
        <f>IFERROR(__xludf.DUMMYFUNCTION("""COMPUTED_VALUE"""),"[""bag_other""]")</f>
        <v>["bag_other"]</v>
      </c>
      <c r="R2866" s="148" t="str">
        <f>IFERROR(__xludf.DUMMYFUNCTION("""COMPUTED_VALUE"""),"[""bag"",""13121090""]")</f>
        <v>["bag","13121090"]</v>
      </c>
      <c r="S2866" s="148" t="str">
        <f>IFERROR(__xludf.DUMMYFUNCTION("""COMPUTED_VALUE"""),"{""effect"":[{""typ"":""city_skin"",""id"":13121090,""val"":-1},{""typ"":""item"",""id"":11112030,""val"":2000}]}")</f>
        <v>{"effect":[{"typ":"city_skin","id":13121090,"val":-1},{"typ":"item","id":11112030,"val":2000}]}</v>
      </c>
      <c r="T2866" s="148">
        <f>IFERROR(__xludf.DUMMYFUNCTION("""COMPUTED_VALUE"""),-1.0)</f>
        <v>-1</v>
      </c>
      <c r="U2866" s="148">
        <f>IFERROR(__xludf.DUMMYFUNCTION("""COMPUTED_VALUE"""),0.0)</f>
        <v>0</v>
      </c>
      <c r="V2866" s="148" t="str">
        <f>IFERROR(__xludf.DUMMYFUNCTION("""COMPUTED_VALUE"""),"[]")</f>
        <v>[]</v>
      </c>
      <c r="W2866" s="148">
        <f>IFERROR(__xludf.DUMMYFUNCTION("""COMPUTED_VALUE"""),1.174E7)</f>
        <v>11740000</v>
      </c>
      <c r="X2866" s="148">
        <f>IFERROR(__xludf.DUMMYFUNCTION("""COMPUTED_VALUE"""),0.0)</f>
        <v>0</v>
      </c>
      <c r="Y2866" s="148">
        <f>IFERROR(__xludf.DUMMYFUNCTION("""COMPUTED_VALUE"""),0.0)</f>
        <v>0</v>
      </c>
      <c r="Z2866" s="148"/>
    </row>
    <row r="2867">
      <c r="A2867" s="148">
        <f>IFERROR(__xludf.DUMMYFUNCTION("""COMPUTED_VALUE"""),1.1119829E7)</f>
        <v>11119829</v>
      </c>
      <c r="B2867" s="148" t="str">
        <f>IFERROR(__xludf.DUMMYFUNCTION("""COMPUTED_VALUE"""),"主城皮肤-星球套2025-2天")</f>
        <v>主城皮肤-星球套2025-2天</v>
      </c>
      <c r="C2867" s="148"/>
      <c r="D2867" s="148" t="str">
        <f>IFERROR(__xludf.DUMMYFUNCTION("""COMPUTED_VALUE"""),"city_skin")</f>
        <v>city_skin</v>
      </c>
      <c r="E2867" s="148">
        <f>IFERROR(__xludf.DUMMYFUNCTION("""COMPUTED_VALUE"""),21.0)</f>
        <v>21</v>
      </c>
      <c r="F2867" s="148">
        <f>IFERROR(__xludf.DUMMYFUNCTION("""COMPUTED_VALUE"""),499941.0)</f>
        <v>499941</v>
      </c>
      <c r="G2867" s="148">
        <f>IFERROR(__xludf.DUMMYFUNCTION("""COMPUTED_VALUE"""),1.51103143E8)</f>
        <v>151103143</v>
      </c>
      <c r="H2867" s="148">
        <f>IFERROR(__xludf.DUMMYFUNCTION("""COMPUTED_VALUE"""),1.5112563E7)</f>
        <v>15112563</v>
      </c>
      <c r="I2867" s="148" t="str">
        <f>IFERROR(__xludf.DUMMYFUNCTION("""COMPUTED_VALUE"""),"{""typ"":""lc"",""txt"":""LC_ITEM_time_day_upper_show"",""args"":[{""typ"":""int"",""val"":2}]}")</f>
        <v>{"typ":"lc","txt":"LC_ITEM_time_day_upper_show","args":[{"typ":"int","val":2}]}</v>
      </c>
      <c r="J2867" s="148" t="str">
        <f>IFERROR(__xludf.DUMMYFUNCTION("""COMPUTED_VALUE"""),"{""typ"":""lc"",""txt"":""LC_ITEM_planet_2025_city_1_name_2day""}")</f>
        <v>{"typ":"lc","txt":"LC_ITEM_planet_2025_city_1_name_2day"}</v>
      </c>
      <c r="K2867" s="148" t="str">
        <f>IFERROR(__xludf.DUMMYFUNCTION("""COMPUTED_VALUE"""),"{""typ"":""lc"",""txt"":""LC_ITEM_planet_2025_city_1_desc_2day""}")</f>
        <v>{"typ":"lc","txt":"LC_ITEM_planet_2025_city_1_desc_2day"}</v>
      </c>
      <c r="L2867" s="148" t="str">
        <f>IFERROR(__xludf.DUMMYFUNCTION("""COMPUTED_VALUE"""),"{""typ"":""lc"",""txt"":""LC_ASSET_suit_actived_tips_1""}")</f>
        <v>{"typ":"lc","txt":"LC_ASSET_suit_actived_tips_1"}</v>
      </c>
      <c r="M2867" s="148">
        <f>IFERROR(__xludf.DUMMYFUNCTION("""COMPUTED_VALUE"""),500.0)</f>
        <v>500</v>
      </c>
      <c r="N2867" s="148">
        <f>IFERROR(__xludf.DUMMYFUNCTION("""COMPUTED_VALUE"""),999.0)</f>
        <v>999</v>
      </c>
      <c r="O2867" s="148">
        <f>IFERROR(__xludf.DUMMYFUNCTION("""COMPUTED_VALUE"""),1.0)</f>
        <v>1</v>
      </c>
      <c r="P2867" s="148">
        <f>IFERROR(__xludf.DUMMYFUNCTION("""COMPUTED_VALUE"""),1.0)</f>
        <v>1</v>
      </c>
      <c r="Q2867" s="148" t="str">
        <f>IFERROR(__xludf.DUMMYFUNCTION("""COMPUTED_VALUE"""),"[""bag_other""]")</f>
        <v>["bag_other"]</v>
      </c>
      <c r="R2867" s="148" t="str">
        <f>IFERROR(__xludf.DUMMYFUNCTION("""COMPUTED_VALUE"""),"[""bag"",""13121090""]")</f>
        <v>["bag","13121090"]</v>
      </c>
      <c r="S2867" s="148" t="str">
        <f>IFERROR(__xludf.DUMMYFUNCTION("""COMPUTED_VALUE"""),"{""effect"":[{""typ"":""city_skin"",""id"":13121090,""val"":172800000},{""typ"":""item"",""id"":11111021,""val"":1}]}")</f>
        <v>{"effect":[{"typ":"city_skin","id":13121090,"val":172800000},{"typ":"item","id":11111021,"val":1}]}</v>
      </c>
      <c r="T2867" s="148">
        <f>IFERROR(__xludf.DUMMYFUNCTION("""COMPUTED_VALUE"""),-1.0)</f>
        <v>-1</v>
      </c>
      <c r="U2867" s="148">
        <f>IFERROR(__xludf.DUMMYFUNCTION("""COMPUTED_VALUE"""),0.0)</f>
        <v>0</v>
      </c>
      <c r="V2867" s="148" t="str">
        <f>IFERROR(__xludf.DUMMYFUNCTION("""COMPUTED_VALUE"""),"[]")</f>
        <v>[]</v>
      </c>
      <c r="W2867" s="148">
        <f>IFERROR(__xludf.DUMMYFUNCTION("""COMPUTED_VALUE"""),1.174E7)</f>
        <v>11740000</v>
      </c>
      <c r="X2867" s="148">
        <f>IFERROR(__xludf.DUMMYFUNCTION("""COMPUTED_VALUE"""),0.0)</f>
        <v>0</v>
      </c>
      <c r="Y2867" s="148">
        <f>IFERROR(__xludf.DUMMYFUNCTION("""COMPUTED_VALUE"""),0.0)</f>
        <v>0</v>
      </c>
      <c r="Z2867" s="148"/>
    </row>
    <row r="2868">
      <c r="A2868" s="148">
        <f>IFERROR(__xludf.DUMMYFUNCTION("""COMPUTED_VALUE"""),1.111983E7)</f>
        <v>11119830</v>
      </c>
      <c r="B2868" s="148" t="str">
        <f>IFERROR(__xludf.DUMMYFUNCTION("""COMPUTED_VALUE"""),"主城皮肤-星球套2025-7天")</f>
        <v>主城皮肤-星球套2025-7天</v>
      </c>
      <c r="C2868" s="148"/>
      <c r="D2868" s="148" t="str">
        <f>IFERROR(__xludf.DUMMYFUNCTION("""COMPUTED_VALUE"""),"city_skin")</f>
        <v>city_skin</v>
      </c>
      <c r="E2868" s="148">
        <f>IFERROR(__xludf.DUMMYFUNCTION("""COMPUTED_VALUE"""),21.0)</f>
        <v>21</v>
      </c>
      <c r="F2868" s="148">
        <f>IFERROR(__xludf.DUMMYFUNCTION("""COMPUTED_VALUE"""),499951.0)</f>
        <v>499951</v>
      </c>
      <c r="G2868" s="148">
        <f>IFERROR(__xludf.DUMMYFUNCTION("""COMPUTED_VALUE"""),1.51103143E8)</f>
        <v>151103143</v>
      </c>
      <c r="H2868" s="148">
        <f>IFERROR(__xludf.DUMMYFUNCTION("""COMPUTED_VALUE"""),1.5112564E7)</f>
        <v>15112564</v>
      </c>
      <c r="I2868" s="148" t="str">
        <f>IFERROR(__xludf.DUMMYFUNCTION("""COMPUTED_VALUE"""),"{""typ"":""lc"",""txt"":""LC_ITEM_time_day_upper_show"",""args"":[{""typ"":""int"",""val"":7}]}")</f>
        <v>{"typ":"lc","txt":"LC_ITEM_time_day_upper_show","args":[{"typ":"int","val":7}]}</v>
      </c>
      <c r="J2868" s="148" t="str">
        <f>IFERROR(__xludf.DUMMYFUNCTION("""COMPUTED_VALUE"""),"{""typ"":""lc"",""txt"":""LC_ITEM_planet_2025_city_1_name_7day""}")</f>
        <v>{"typ":"lc","txt":"LC_ITEM_planet_2025_city_1_name_7day"}</v>
      </c>
      <c r="K2868" s="148" t="str">
        <f>IFERROR(__xludf.DUMMYFUNCTION("""COMPUTED_VALUE"""),"{""typ"":""lc"",""txt"":""LC_ITEM_planet_2025_city_1_desc_7day""}")</f>
        <v>{"typ":"lc","txt":"LC_ITEM_planet_2025_city_1_desc_7day"}</v>
      </c>
      <c r="L2868" s="148" t="str">
        <f>IFERROR(__xludf.DUMMYFUNCTION("""COMPUTED_VALUE"""),"{""typ"":""lc"",""txt"":""LC_ASSET_suit_actived_tips_1""}")</f>
        <v>{"typ":"lc","txt":"LC_ASSET_suit_actived_tips_1"}</v>
      </c>
      <c r="M2868" s="148">
        <f>IFERROR(__xludf.DUMMYFUNCTION("""COMPUTED_VALUE"""),10000.0)</f>
        <v>10000</v>
      </c>
      <c r="N2868" s="148">
        <f>IFERROR(__xludf.DUMMYFUNCTION("""COMPUTED_VALUE"""),999.0)</f>
        <v>999</v>
      </c>
      <c r="O2868" s="148">
        <f>IFERROR(__xludf.DUMMYFUNCTION("""COMPUTED_VALUE"""),1.0)</f>
        <v>1</v>
      </c>
      <c r="P2868" s="148">
        <f>IFERROR(__xludf.DUMMYFUNCTION("""COMPUTED_VALUE"""),1.0)</f>
        <v>1</v>
      </c>
      <c r="Q2868" s="148" t="str">
        <f>IFERROR(__xludf.DUMMYFUNCTION("""COMPUTED_VALUE"""),"[""bag_other""]")</f>
        <v>["bag_other"]</v>
      </c>
      <c r="R2868" s="148" t="str">
        <f>IFERROR(__xludf.DUMMYFUNCTION("""COMPUTED_VALUE"""),"[""bag"",""13121090""]")</f>
        <v>["bag","13121090"]</v>
      </c>
      <c r="S2868" s="148" t="str">
        <f>IFERROR(__xludf.DUMMYFUNCTION("""COMPUTED_VALUE"""),"{""effect"":[{""typ"":""city_skin"",""id"":13121090,""val"":604800000},{""typ"":""item"",""id"":11111021,""val"":3}]}")</f>
        <v>{"effect":[{"typ":"city_skin","id":13121090,"val":604800000},{"typ":"item","id":11111021,"val":3}]}</v>
      </c>
      <c r="T2868" s="148">
        <f>IFERROR(__xludf.DUMMYFUNCTION("""COMPUTED_VALUE"""),-1.0)</f>
        <v>-1</v>
      </c>
      <c r="U2868" s="148">
        <f>IFERROR(__xludf.DUMMYFUNCTION("""COMPUTED_VALUE"""),0.0)</f>
        <v>0</v>
      </c>
      <c r="V2868" s="148" t="str">
        <f>IFERROR(__xludf.DUMMYFUNCTION("""COMPUTED_VALUE"""),"[]")</f>
        <v>[]</v>
      </c>
      <c r="W2868" s="148">
        <f>IFERROR(__xludf.DUMMYFUNCTION("""COMPUTED_VALUE"""),1.174E7)</f>
        <v>11740000</v>
      </c>
      <c r="X2868" s="148">
        <f>IFERROR(__xludf.DUMMYFUNCTION("""COMPUTED_VALUE"""),0.0)</f>
        <v>0</v>
      </c>
      <c r="Y2868" s="148">
        <f>IFERROR(__xludf.DUMMYFUNCTION("""COMPUTED_VALUE"""),0.0)</f>
        <v>0</v>
      </c>
      <c r="Z2868" s="148"/>
    </row>
    <row r="2869">
      <c r="A2869" s="148">
        <f>IFERROR(__xludf.DUMMYFUNCTION("""COMPUTED_VALUE"""),1.1119831E7)</f>
        <v>11119831</v>
      </c>
      <c r="B2869" s="148" t="str">
        <f>IFERROR(__xludf.DUMMYFUNCTION("""COMPUTED_VALUE"""),"主城皮肤-星球套2025-14天")</f>
        <v>主城皮肤-星球套2025-14天</v>
      </c>
      <c r="C2869" s="148"/>
      <c r="D2869" s="148" t="str">
        <f>IFERROR(__xludf.DUMMYFUNCTION("""COMPUTED_VALUE"""),"city_skin")</f>
        <v>city_skin</v>
      </c>
      <c r="E2869" s="148">
        <f>IFERROR(__xludf.DUMMYFUNCTION("""COMPUTED_VALUE"""),21.0)</f>
        <v>21</v>
      </c>
      <c r="F2869" s="148">
        <f>IFERROR(__xludf.DUMMYFUNCTION("""COMPUTED_VALUE"""),499961.0)</f>
        <v>499961</v>
      </c>
      <c r="G2869" s="148">
        <f>IFERROR(__xludf.DUMMYFUNCTION("""COMPUTED_VALUE"""),1.51103143E8)</f>
        <v>151103143</v>
      </c>
      <c r="H2869" s="148">
        <f>IFERROR(__xludf.DUMMYFUNCTION("""COMPUTED_VALUE"""),1.5112564E7)</f>
        <v>15112564</v>
      </c>
      <c r="I2869" s="148" t="str">
        <f>IFERROR(__xludf.DUMMYFUNCTION("""COMPUTED_VALUE"""),"{""typ"":""lc"",""txt"":""LC_ITEM_time_day_upper_show"",""args"":[{""typ"":""int"",""val"":14}]}")</f>
        <v>{"typ":"lc","txt":"LC_ITEM_time_day_upper_show","args":[{"typ":"int","val":14}]}</v>
      </c>
      <c r="J2869" s="148" t="str">
        <f>IFERROR(__xludf.DUMMYFUNCTION("""COMPUTED_VALUE"""),"{""typ"":""lc"",""txt"":""LC_ITEM_planet_2025_city_1_name_14day""}")</f>
        <v>{"typ":"lc","txt":"LC_ITEM_planet_2025_city_1_name_14day"}</v>
      </c>
      <c r="K2869" s="148" t="str">
        <f>IFERROR(__xludf.DUMMYFUNCTION("""COMPUTED_VALUE"""),"{""typ"":""lc"",""txt"":""LC_ITEM_planet_2025_city_1_desc_14day""}")</f>
        <v>{"typ":"lc","txt":"LC_ITEM_planet_2025_city_1_desc_14day"}</v>
      </c>
      <c r="L2869" s="148" t="str">
        <f>IFERROR(__xludf.DUMMYFUNCTION("""COMPUTED_VALUE"""),"{""typ"":""lc"",""txt"":""LC_ASSET_suit_actived_tips_1""}")</f>
        <v>{"typ":"lc","txt":"LC_ASSET_suit_actived_tips_1"}</v>
      </c>
      <c r="M2869" s="148">
        <f>IFERROR(__xludf.DUMMYFUNCTION("""COMPUTED_VALUE"""),10000.0)</f>
        <v>10000</v>
      </c>
      <c r="N2869" s="148">
        <f>IFERROR(__xludf.DUMMYFUNCTION("""COMPUTED_VALUE"""),999.0)</f>
        <v>999</v>
      </c>
      <c r="O2869" s="148">
        <f>IFERROR(__xludf.DUMMYFUNCTION("""COMPUTED_VALUE"""),1.0)</f>
        <v>1</v>
      </c>
      <c r="P2869" s="148">
        <f>IFERROR(__xludf.DUMMYFUNCTION("""COMPUTED_VALUE"""),1.0)</f>
        <v>1</v>
      </c>
      <c r="Q2869" s="148" t="str">
        <f>IFERROR(__xludf.DUMMYFUNCTION("""COMPUTED_VALUE"""),"[""bag_other""]")</f>
        <v>["bag_other"]</v>
      </c>
      <c r="R2869" s="148" t="str">
        <f>IFERROR(__xludf.DUMMYFUNCTION("""COMPUTED_VALUE"""),"[""bag"",""13121090""]")</f>
        <v>["bag","13121090"]</v>
      </c>
      <c r="S2869" s="148" t="str">
        <f>IFERROR(__xludf.DUMMYFUNCTION("""COMPUTED_VALUE"""),"{""effect"":[{""typ"":""city_skin"",""id"":13121090,""val"":1209600000},{""typ"":""item"",""id"":11111021,""val"":7}]}")</f>
        <v>{"effect":[{"typ":"city_skin","id":13121090,"val":1209600000},{"typ":"item","id":11111021,"val":7}]}</v>
      </c>
      <c r="T2869" s="148">
        <f>IFERROR(__xludf.DUMMYFUNCTION("""COMPUTED_VALUE"""),-1.0)</f>
        <v>-1</v>
      </c>
      <c r="U2869" s="148">
        <f>IFERROR(__xludf.DUMMYFUNCTION("""COMPUTED_VALUE"""),0.0)</f>
        <v>0</v>
      </c>
      <c r="V2869" s="148" t="str">
        <f>IFERROR(__xludf.DUMMYFUNCTION("""COMPUTED_VALUE"""),"[]")</f>
        <v>[]</v>
      </c>
      <c r="W2869" s="148">
        <f>IFERROR(__xludf.DUMMYFUNCTION("""COMPUTED_VALUE"""),1.174E7)</f>
        <v>11740000</v>
      </c>
      <c r="X2869" s="148">
        <f>IFERROR(__xludf.DUMMYFUNCTION("""COMPUTED_VALUE"""),0.0)</f>
        <v>0</v>
      </c>
      <c r="Y2869" s="148">
        <f>IFERROR(__xludf.DUMMYFUNCTION("""COMPUTED_VALUE"""),0.0)</f>
        <v>0</v>
      </c>
      <c r="Z2869" s="148"/>
    </row>
    <row r="2870">
      <c r="A2870" s="148">
        <f>IFERROR(__xludf.DUMMYFUNCTION("""COMPUTED_VALUE"""),1.1119832E7)</f>
        <v>11119832</v>
      </c>
      <c r="B2870" s="148" t="str">
        <f>IFERROR(__xludf.DUMMYFUNCTION("""COMPUTED_VALUE"""),"主城皮肤-星球套2025高级皮肤")</f>
        <v>主城皮肤-星球套2025高级皮肤</v>
      </c>
      <c r="C2870" s="148"/>
      <c r="D2870" s="148" t="str">
        <f>IFERROR(__xludf.DUMMYFUNCTION("""COMPUTED_VALUE"""),"city_skin")</f>
        <v>city_skin</v>
      </c>
      <c r="E2870" s="148">
        <f>IFERROR(__xludf.DUMMYFUNCTION("""COMPUTED_VALUE"""),21.0)</f>
        <v>21</v>
      </c>
      <c r="F2870" s="148">
        <f>IFERROR(__xludf.DUMMYFUNCTION("""COMPUTED_VALUE"""),500000.0)</f>
        <v>500000</v>
      </c>
      <c r="G2870" s="148">
        <f>IFERROR(__xludf.DUMMYFUNCTION("""COMPUTED_VALUE"""),1.51103144E8)</f>
        <v>151103144</v>
      </c>
      <c r="H2870" s="148">
        <f>IFERROR(__xludf.DUMMYFUNCTION("""COMPUTED_VALUE"""),1.51101093E8)</f>
        <v>151101093</v>
      </c>
      <c r="I2870" s="148" t="str">
        <f>IFERROR(__xludf.DUMMYFUNCTION("""COMPUTED_VALUE"""),"{}")</f>
        <v>{}</v>
      </c>
      <c r="J2870" s="148" t="str">
        <f>IFERROR(__xludf.DUMMYFUNCTION("""COMPUTED_VALUE"""),"{""typ"":""lc"",""txt"":""LC_ITEM_planet_2025_city_2_name""}")</f>
        <v>{"typ":"lc","txt":"LC_ITEM_planet_2025_city_2_name"}</v>
      </c>
      <c r="K2870" s="148" t="str">
        <f>IFERROR(__xludf.DUMMYFUNCTION("""COMPUTED_VALUE"""),"{""typ"":""lc"",""txt"":""LC_ITEM_planet_2025_city_2_desc""}")</f>
        <v>{"typ":"lc","txt":"LC_ITEM_planet_2025_city_2_desc"}</v>
      </c>
      <c r="L2870" s="148" t="str">
        <f>IFERROR(__xludf.DUMMYFUNCTION("""COMPUTED_VALUE"""),"{""typ"":""lc"",""txt"":""LC_ASSET_suit_actived_tips_1""}")</f>
        <v>{"typ":"lc","txt":"LC_ASSET_suit_actived_tips_1"}</v>
      </c>
      <c r="M2870" s="148">
        <f>IFERROR(__xludf.DUMMYFUNCTION("""COMPUTED_VALUE"""),10000.0)</f>
        <v>10000</v>
      </c>
      <c r="N2870" s="148">
        <f>IFERROR(__xludf.DUMMYFUNCTION("""COMPUTED_VALUE"""),999.0)</f>
        <v>999</v>
      </c>
      <c r="O2870" s="148">
        <f>IFERROR(__xludf.DUMMYFUNCTION("""COMPUTED_VALUE"""),1.0)</f>
        <v>1</v>
      </c>
      <c r="P2870" s="148">
        <f>IFERROR(__xludf.DUMMYFUNCTION("""COMPUTED_VALUE"""),1.0)</f>
        <v>1</v>
      </c>
      <c r="Q2870" s="148" t="str">
        <f>IFERROR(__xludf.DUMMYFUNCTION("""COMPUTED_VALUE"""),"[""bag_other""]")</f>
        <v>["bag_other"]</v>
      </c>
      <c r="R2870" s="148" t="str">
        <f>IFERROR(__xludf.DUMMYFUNCTION("""COMPUTED_VALUE"""),"[""bag"",""13121091""]")</f>
        <v>["bag","13121091"]</v>
      </c>
      <c r="S2870" s="148" t="str">
        <f>IFERROR(__xludf.DUMMYFUNCTION("""COMPUTED_VALUE"""),"{""effect"":[{""typ"":""city_skin"",""id"":13121091,""val"":-1},{""typ"":""item"",""id"":11112030,""val"":10000}]}")</f>
        <v>{"effect":[{"typ":"city_skin","id":13121091,"val":-1},{"typ":"item","id":11112030,"val":10000}]}</v>
      </c>
      <c r="T2870" s="148">
        <f>IFERROR(__xludf.DUMMYFUNCTION("""COMPUTED_VALUE"""),-1.0)</f>
        <v>-1</v>
      </c>
      <c r="U2870" s="148">
        <f>IFERROR(__xludf.DUMMYFUNCTION("""COMPUTED_VALUE"""),0.0)</f>
        <v>0</v>
      </c>
      <c r="V2870" s="148" t="str">
        <f>IFERROR(__xludf.DUMMYFUNCTION("""COMPUTED_VALUE"""),"[]")</f>
        <v>[]</v>
      </c>
      <c r="W2870" s="148">
        <f>IFERROR(__xludf.DUMMYFUNCTION("""COMPUTED_VALUE"""),1.174E7)</f>
        <v>11740000</v>
      </c>
      <c r="X2870" s="148">
        <f>IFERROR(__xludf.DUMMYFUNCTION("""COMPUTED_VALUE"""),0.0)</f>
        <v>0</v>
      </c>
      <c r="Y2870" s="148">
        <f>IFERROR(__xludf.DUMMYFUNCTION("""COMPUTED_VALUE"""),0.0)</f>
        <v>0</v>
      </c>
      <c r="Z2870" s="148"/>
    </row>
    <row r="2871">
      <c r="A2871" s="148">
        <f>IFERROR(__xludf.DUMMYFUNCTION("""COMPUTED_VALUE"""),1.1119833E7)</f>
        <v>11119833</v>
      </c>
      <c r="B2871" s="148" t="str">
        <f>IFERROR(__xludf.DUMMYFUNCTION("""COMPUTED_VALUE"""),"主城皮肤-星球套2025高级皮肤-7天")</f>
        <v>主城皮肤-星球套2025高级皮肤-7天</v>
      </c>
      <c r="C2871" s="148"/>
      <c r="D2871" s="148" t="str">
        <f>IFERROR(__xludf.DUMMYFUNCTION("""COMPUTED_VALUE"""),"city_skin")</f>
        <v>city_skin</v>
      </c>
      <c r="E2871" s="148">
        <f>IFERROR(__xludf.DUMMYFUNCTION("""COMPUTED_VALUE"""),21.0)</f>
        <v>21</v>
      </c>
      <c r="F2871" s="148">
        <f>IFERROR(__xludf.DUMMYFUNCTION("""COMPUTED_VALUE"""),499993.0)</f>
        <v>499993</v>
      </c>
      <c r="G2871" s="148">
        <f>IFERROR(__xludf.DUMMYFUNCTION("""COMPUTED_VALUE"""),1.51103144E8)</f>
        <v>151103144</v>
      </c>
      <c r="H2871" s="148">
        <f>IFERROR(__xludf.DUMMYFUNCTION("""COMPUTED_VALUE"""),1.5112564E7)</f>
        <v>15112564</v>
      </c>
      <c r="I2871" s="148" t="str">
        <f>IFERROR(__xludf.DUMMYFUNCTION("""COMPUTED_VALUE"""),"{""typ"":""lc"",""txt"":""LC_ITEM_time_day_upper_show"",""args"":[{""typ"":""int"",""val"":7}]}")</f>
        <v>{"typ":"lc","txt":"LC_ITEM_time_day_upper_show","args":[{"typ":"int","val":7}]}</v>
      </c>
      <c r="J2871" s="148" t="str">
        <f>IFERROR(__xludf.DUMMYFUNCTION("""COMPUTED_VALUE"""),"{""typ"":""lc"",""txt"":""LC_ITEM_planet_2025_city_2_name_7day""}")</f>
        <v>{"typ":"lc","txt":"LC_ITEM_planet_2025_city_2_name_7day"}</v>
      </c>
      <c r="K2871" s="148" t="str">
        <f>IFERROR(__xludf.DUMMYFUNCTION("""COMPUTED_VALUE"""),"{""typ"":""lc"",""txt"":""LC_ITEM_planet_2025_city_2_desc_7day""}")</f>
        <v>{"typ":"lc","txt":"LC_ITEM_planet_2025_city_2_desc_7day"}</v>
      </c>
      <c r="L2871" s="148" t="str">
        <f>IFERROR(__xludf.DUMMYFUNCTION("""COMPUTED_VALUE"""),"{""typ"":""lc"",""txt"":""LC_ASSET_suit_actived_tips_1""}")</f>
        <v>{"typ":"lc","txt":"LC_ASSET_suit_actived_tips_1"}</v>
      </c>
      <c r="M2871" s="148">
        <f>IFERROR(__xludf.DUMMYFUNCTION("""COMPUTED_VALUE"""),10000.0)</f>
        <v>10000</v>
      </c>
      <c r="N2871" s="148">
        <f>IFERROR(__xludf.DUMMYFUNCTION("""COMPUTED_VALUE"""),999.0)</f>
        <v>999</v>
      </c>
      <c r="O2871" s="148">
        <f>IFERROR(__xludf.DUMMYFUNCTION("""COMPUTED_VALUE"""),1.0)</f>
        <v>1</v>
      </c>
      <c r="P2871" s="148">
        <f>IFERROR(__xludf.DUMMYFUNCTION("""COMPUTED_VALUE"""),1.0)</f>
        <v>1</v>
      </c>
      <c r="Q2871" s="148" t="str">
        <f>IFERROR(__xludf.DUMMYFUNCTION("""COMPUTED_VALUE"""),"[""bag_other""]")</f>
        <v>["bag_other"]</v>
      </c>
      <c r="R2871" s="148" t="str">
        <f>IFERROR(__xludf.DUMMYFUNCTION("""COMPUTED_VALUE"""),"[""bag"",""13121091""]")</f>
        <v>["bag","13121091"]</v>
      </c>
      <c r="S2871" s="148" t="str">
        <f>IFERROR(__xludf.DUMMYFUNCTION("""COMPUTED_VALUE"""),"{""effect"":[{""typ"":""city_skin"",""id"":13121091,""val"":604800000},{""typ"":""item"",""id"":11111021,""val"":3}]}")</f>
        <v>{"effect":[{"typ":"city_skin","id":13121091,"val":604800000},{"typ":"item","id":11111021,"val":3}]}</v>
      </c>
      <c r="T2871" s="148">
        <f>IFERROR(__xludf.DUMMYFUNCTION("""COMPUTED_VALUE"""),-1.0)</f>
        <v>-1</v>
      </c>
      <c r="U2871" s="148">
        <f>IFERROR(__xludf.DUMMYFUNCTION("""COMPUTED_VALUE"""),0.0)</f>
        <v>0</v>
      </c>
      <c r="V2871" s="148" t="str">
        <f>IFERROR(__xludf.DUMMYFUNCTION("""COMPUTED_VALUE"""),"[]")</f>
        <v>[]</v>
      </c>
      <c r="W2871" s="148">
        <f>IFERROR(__xludf.DUMMYFUNCTION("""COMPUTED_VALUE"""),1.174E7)</f>
        <v>11740000</v>
      </c>
      <c r="X2871" s="148">
        <f>IFERROR(__xludf.DUMMYFUNCTION("""COMPUTED_VALUE"""),0.0)</f>
        <v>0</v>
      </c>
      <c r="Y2871" s="148">
        <f>IFERROR(__xludf.DUMMYFUNCTION("""COMPUTED_VALUE"""),0.0)</f>
        <v>0</v>
      </c>
      <c r="Z2871" s="148"/>
    </row>
    <row r="2872">
      <c r="A2872" s="148">
        <f>IFERROR(__xludf.DUMMYFUNCTION("""COMPUTED_VALUE"""),1.1119834E7)</f>
        <v>11119834</v>
      </c>
      <c r="B2872" s="148" t="str">
        <f>IFERROR(__xludf.DUMMYFUNCTION("""COMPUTED_VALUE"""),"主城皮肤-星球套2025高级皮肤-14天")</f>
        <v>主城皮肤-星球套2025高级皮肤-14天</v>
      </c>
      <c r="C2872" s="148"/>
      <c r="D2872" s="148" t="str">
        <f>IFERROR(__xludf.DUMMYFUNCTION("""COMPUTED_VALUE"""),"city_skin")</f>
        <v>city_skin</v>
      </c>
      <c r="E2872" s="148">
        <f>IFERROR(__xludf.DUMMYFUNCTION("""COMPUTED_VALUE"""),21.0)</f>
        <v>21</v>
      </c>
      <c r="F2872" s="148">
        <f>IFERROR(__xludf.DUMMYFUNCTION("""COMPUTED_VALUE"""),499994.0)</f>
        <v>499994</v>
      </c>
      <c r="G2872" s="148">
        <f>IFERROR(__xludf.DUMMYFUNCTION("""COMPUTED_VALUE"""),1.51103144E8)</f>
        <v>151103144</v>
      </c>
      <c r="H2872" s="148">
        <f>IFERROR(__xludf.DUMMYFUNCTION("""COMPUTED_VALUE"""),1.5112564E7)</f>
        <v>15112564</v>
      </c>
      <c r="I2872" s="148" t="str">
        <f>IFERROR(__xludf.DUMMYFUNCTION("""COMPUTED_VALUE"""),"{""typ"":""lc"",""txt"":""LC_ITEM_time_day_upper_show"",""args"":[{""typ"":""int"",""val"":14}]}")</f>
        <v>{"typ":"lc","txt":"LC_ITEM_time_day_upper_show","args":[{"typ":"int","val":14}]}</v>
      </c>
      <c r="J2872" s="148" t="str">
        <f>IFERROR(__xludf.DUMMYFUNCTION("""COMPUTED_VALUE"""),"{""typ"":""lc"",""txt"":""LC_ITEM_planet_2025_city_2_name_14day""}")</f>
        <v>{"typ":"lc","txt":"LC_ITEM_planet_2025_city_2_name_14day"}</v>
      </c>
      <c r="K2872" s="148" t="str">
        <f>IFERROR(__xludf.DUMMYFUNCTION("""COMPUTED_VALUE"""),"{""typ"":""lc"",""txt"":""LC_ITEM_planet_2025_city_2_desc_14day""}")</f>
        <v>{"typ":"lc","txt":"LC_ITEM_planet_2025_city_2_desc_14day"}</v>
      </c>
      <c r="L2872" s="148" t="str">
        <f>IFERROR(__xludf.DUMMYFUNCTION("""COMPUTED_VALUE"""),"{""typ"":""lc"",""txt"":""LC_ASSET_suit_actived_tips_1""}")</f>
        <v>{"typ":"lc","txt":"LC_ASSET_suit_actived_tips_1"}</v>
      </c>
      <c r="M2872" s="148">
        <f>IFERROR(__xludf.DUMMYFUNCTION("""COMPUTED_VALUE"""),10000.0)</f>
        <v>10000</v>
      </c>
      <c r="N2872" s="148">
        <f>IFERROR(__xludf.DUMMYFUNCTION("""COMPUTED_VALUE"""),999.0)</f>
        <v>999</v>
      </c>
      <c r="O2872" s="148">
        <f>IFERROR(__xludf.DUMMYFUNCTION("""COMPUTED_VALUE"""),1.0)</f>
        <v>1</v>
      </c>
      <c r="P2872" s="148">
        <f>IFERROR(__xludf.DUMMYFUNCTION("""COMPUTED_VALUE"""),1.0)</f>
        <v>1</v>
      </c>
      <c r="Q2872" s="148" t="str">
        <f>IFERROR(__xludf.DUMMYFUNCTION("""COMPUTED_VALUE"""),"[""bag_other""]")</f>
        <v>["bag_other"]</v>
      </c>
      <c r="R2872" s="148" t="str">
        <f>IFERROR(__xludf.DUMMYFUNCTION("""COMPUTED_VALUE"""),"[""bag"",""13121091""]")</f>
        <v>["bag","13121091"]</v>
      </c>
      <c r="S2872" s="148" t="str">
        <f>IFERROR(__xludf.DUMMYFUNCTION("""COMPUTED_VALUE"""),"{""effect"":[{""typ"":""city_skin"",""id"":13121091,""val"":1209600000},{""typ"":""item"",""id"":11111021,""val"":7}]}")</f>
        <v>{"effect":[{"typ":"city_skin","id":13121091,"val":1209600000},{"typ":"item","id":11111021,"val":7}]}</v>
      </c>
      <c r="T2872" s="148">
        <f>IFERROR(__xludf.DUMMYFUNCTION("""COMPUTED_VALUE"""),-1.0)</f>
        <v>-1</v>
      </c>
      <c r="U2872" s="148">
        <f>IFERROR(__xludf.DUMMYFUNCTION("""COMPUTED_VALUE"""),0.0)</f>
        <v>0</v>
      </c>
      <c r="V2872" s="148" t="str">
        <f>IFERROR(__xludf.DUMMYFUNCTION("""COMPUTED_VALUE"""),"[]")</f>
        <v>[]</v>
      </c>
      <c r="W2872" s="148">
        <f>IFERROR(__xludf.DUMMYFUNCTION("""COMPUTED_VALUE"""),1.174E7)</f>
        <v>11740000</v>
      </c>
      <c r="X2872" s="148">
        <f>IFERROR(__xludf.DUMMYFUNCTION("""COMPUTED_VALUE"""),0.0)</f>
        <v>0</v>
      </c>
      <c r="Y2872" s="148">
        <f>IFERROR(__xludf.DUMMYFUNCTION("""COMPUTED_VALUE"""),0.0)</f>
        <v>0</v>
      </c>
      <c r="Z2872" s="148"/>
    </row>
    <row r="2873">
      <c r="A2873" s="148">
        <f>IFERROR(__xludf.DUMMYFUNCTION("""COMPUTED_VALUE"""),1.1119835E7)</f>
        <v>11119835</v>
      </c>
      <c r="B2873" s="148" t="str">
        <f>IFERROR(__xludf.DUMMYFUNCTION("""COMPUTED_VALUE"""),"主城皮肤-星球套2025高级皮肤-28天")</f>
        <v>主城皮肤-星球套2025高级皮肤-28天</v>
      </c>
      <c r="C2873" s="148"/>
      <c r="D2873" s="148" t="str">
        <f>IFERROR(__xludf.DUMMYFUNCTION("""COMPUTED_VALUE"""),"city_skin")</f>
        <v>city_skin</v>
      </c>
      <c r="E2873" s="148">
        <f>IFERROR(__xludf.DUMMYFUNCTION("""COMPUTED_VALUE"""),21.0)</f>
        <v>21</v>
      </c>
      <c r="F2873" s="148">
        <f>IFERROR(__xludf.DUMMYFUNCTION("""COMPUTED_VALUE"""),499995.0)</f>
        <v>499995</v>
      </c>
      <c r="G2873" s="148">
        <f>IFERROR(__xludf.DUMMYFUNCTION("""COMPUTED_VALUE"""),1.51103144E8)</f>
        <v>151103144</v>
      </c>
      <c r="H2873" s="148">
        <f>IFERROR(__xludf.DUMMYFUNCTION("""COMPUTED_VALUE"""),1.5112564E7)</f>
        <v>15112564</v>
      </c>
      <c r="I2873" s="148" t="str">
        <f>IFERROR(__xludf.DUMMYFUNCTION("""COMPUTED_VALUE"""),"{""typ"":""lc"",""txt"":""LC_ITEM_time_day_upper_show"",""args"":[{""typ"":""int"",""val"":28}]}")</f>
        <v>{"typ":"lc","txt":"LC_ITEM_time_day_upper_show","args":[{"typ":"int","val":28}]}</v>
      </c>
      <c r="J2873" s="148" t="str">
        <f>IFERROR(__xludf.DUMMYFUNCTION("""COMPUTED_VALUE"""),"{""typ"":""lc"",""txt"":""LC_ITEM_planet_2025_city_2_name_28day""}")</f>
        <v>{"typ":"lc","txt":"LC_ITEM_planet_2025_city_2_name_28day"}</v>
      </c>
      <c r="K2873" s="148" t="str">
        <f>IFERROR(__xludf.DUMMYFUNCTION("""COMPUTED_VALUE"""),"{""typ"":""lc"",""txt"":""LC_ITEM_planet_2025_city_2_desc_28day""}")</f>
        <v>{"typ":"lc","txt":"LC_ITEM_planet_2025_city_2_desc_28day"}</v>
      </c>
      <c r="L2873" s="148" t="str">
        <f>IFERROR(__xludf.DUMMYFUNCTION("""COMPUTED_VALUE"""),"{""typ"":""lc"",""txt"":""LC_ASSET_suit_actived_tips_1""}")</f>
        <v>{"typ":"lc","txt":"LC_ASSET_suit_actived_tips_1"}</v>
      </c>
      <c r="M2873" s="148">
        <f>IFERROR(__xludf.DUMMYFUNCTION("""COMPUTED_VALUE"""),10000.0)</f>
        <v>10000</v>
      </c>
      <c r="N2873" s="148">
        <f>IFERROR(__xludf.DUMMYFUNCTION("""COMPUTED_VALUE"""),999.0)</f>
        <v>999</v>
      </c>
      <c r="O2873" s="148">
        <f>IFERROR(__xludf.DUMMYFUNCTION("""COMPUTED_VALUE"""),1.0)</f>
        <v>1</v>
      </c>
      <c r="P2873" s="148">
        <f>IFERROR(__xludf.DUMMYFUNCTION("""COMPUTED_VALUE"""),1.0)</f>
        <v>1</v>
      </c>
      <c r="Q2873" s="148" t="str">
        <f>IFERROR(__xludf.DUMMYFUNCTION("""COMPUTED_VALUE"""),"[""bag_other""]")</f>
        <v>["bag_other"]</v>
      </c>
      <c r="R2873" s="148" t="str">
        <f>IFERROR(__xludf.DUMMYFUNCTION("""COMPUTED_VALUE"""),"[""bag"",""13121091""]")</f>
        <v>["bag","13121091"]</v>
      </c>
      <c r="S2873" s="148" t="str">
        <f>IFERROR(__xludf.DUMMYFUNCTION("""COMPUTED_VALUE"""),"{""effect"":[{""typ"":""city_skin"",""id"":13121091,""val"":2419200000},{""typ"":""item"",""id"":11111021,""val"":15}]}")</f>
        <v>{"effect":[{"typ":"city_skin","id":13121091,"val":2419200000},{"typ":"item","id":11111021,"val":15}]}</v>
      </c>
      <c r="T2873" s="148">
        <f>IFERROR(__xludf.DUMMYFUNCTION("""COMPUTED_VALUE"""),-1.0)</f>
        <v>-1</v>
      </c>
      <c r="U2873" s="148">
        <f>IFERROR(__xludf.DUMMYFUNCTION("""COMPUTED_VALUE"""),0.0)</f>
        <v>0</v>
      </c>
      <c r="V2873" s="148" t="str">
        <f>IFERROR(__xludf.DUMMYFUNCTION("""COMPUTED_VALUE"""),"[]")</f>
        <v>[]</v>
      </c>
      <c r="W2873" s="148">
        <f>IFERROR(__xludf.DUMMYFUNCTION("""COMPUTED_VALUE"""),1.174E7)</f>
        <v>11740000</v>
      </c>
      <c r="X2873" s="148">
        <f>IFERROR(__xludf.DUMMYFUNCTION("""COMPUTED_VALUE"""),0.0)</f>
        <v>0</v>
      </c>
      <c r="Y2873" s="148">
        <f>IFERROR(__xludf.DUMMYFUNCTION("""COMPUTED_VALUE"""),0.0)</f>
        <v>0</v>
      </c>
      <c r="Z2873" s="148"/>
    </row>
    <row r="2874">
      <c r="A2874" s="148">
        <f>IFERROR(__xludf.DUMMYFUNCTION("""COMPUTED_VALUE"""),1.1119836E7)</f>
        <v>11119836</v>
      </c>
      <c r="B2874" s="148" t="str">
        <f>IFERROR(__xludf.DUMMYFUNCTION("""COMPUTED_VALUE"""),"星球套2025-主城翅膀-金盾")</f>
        <v>星球套2025-主城翅膀-金盾</v>
      </c>
      <c r="C2874" s="148"/>
      <c r="D2874" s="148" t="str">
        <f>IFERROR(__xludf.DUMMYFUNCTION("""COMPUTED_VALUE"""),"city_suit_decoration")</f>
        <v>city_suit_decoration</v>
      </c>
      <c r="E2874" s="148">
        <f>IFERROR(__xludf.DUMMYFUNCTION("""COMPUTED_VALUE"""),0.0)</f>
        <v>0</v>
      </c>
      <c r="F2874" s="148">
        <f>IFERROR(__xludf.DUMMYFUNCTION("""COMPUTED_VALUE"""),499997.0)</f>
        <v>499997</v>
      </c>
      <c r="G2874" s="148">
        <f>IFERROR(__xludf.DUMMYFUNCTION("""COMPUTED_VALUE"""),1.5110314E8)</f>
        <v>151103140</v>
      </c>
      <c r="H2874" s="148">
        <f>IFERROR(__xludf.DUMMYFUNCTION("""COMPUTED_VALUE"""),1.5115983E7)</f>
        <v>15115983</v>
      </c>
      <c r="I2874" s="148" t="str">
        <f>IFERROR(__xludf.DUMMYFUNCTION("""COMPUTED_VALUE"""),"{}")</f>
        <v>{}</v>
      </c>
      <c r="J2874" s="148" t="str">
        <f>IFERROR(__xludf.DUMMYFUNCTION("""COMPUTED_VALUE"""),"{""typ"":""lc"",""txt"":""LC_ITEM_planet_2025_city_wing_name""}")</f>
        <v>{"typ":"lc","txt":"LC_ITEM_planet_2025_city_wing_name"}</v>
      </c>
      <c r="K2874" s="148" t="str">
        <f>IFERROR(__xludf.DUMMYFUNCTION("""COMPUTED_VALUE"""),"{""typ"":""lc"",""txt"":""LC_ITEM_planet_2025_city_wing_desc""}")</f>
        <v>{"typ":"lc","txt":"LC_ITEM_planet_2025_city_wing_desc"}</v>
      </c>
      <c r="L2874" s="148" t="str">
        <f>IFERROR(__xludf.DUMMYFUNCTION("""COMPUTED_VALUE"""),"{""typ"":""lc"",""txt"":""LC_ASSET_suit_actived_tips_1""}")</f>
        <v>{"typ":"lc","txt":"LC_ASSET_suit_actived_tips_1"}</v>
      </c>
      <c r="M2874" s="148">
        <f>IFERROR(__xludf.DUMMYFUNCTION("""COMPUTED_VALUE"""),10000.0)</f>
        <v>10000</v>
      </c>
      <c r="N2874" s="148">
        <f>IFERROR(__xludf.DUMMYFUNCTION("""COMPUTED_VALUE"""),999999.0)</f>
        <v>999999</v>
      </c>
      <c r="O2874" s="148">
        <f>IFERROR(__xludf.DUMMYFUNCTION("""COMPUTED_VALUE"""),99999.0)</f>
        <v>99999</v>
      </c>
      <c r="P2874" s="148">
        <f>IFERROR(__xludf.DUMMYFUNCTION("""COMPUTED_VALUE"""),1.0)</f>
        <v>1</v>
      </c>
      <c r="Q2874" s="148" t="str">
        <f>IFERROR(__xludf.DUMMYFUNCTION("""COMPUTED_VALUE"""),"[""bag_other""]")</f>
        <v>["bag_other"]</v>
      </c>
      <c r="R2874" s="148" t="str">
        <f>IFERROR(__xludf.DUMMYFUNCTION("""COMPUTED_VALUE"""),"[""bag"",""13881010""]")</f>
        <v>["bag","13881010"]</v>
      </c>
      <c r="S2874" s="148" t="str">
        <f>IFERROR(__xludf.DUMMYFUNCTION("""COMPUTED_VALUE"""),"{""effect"":[{""typ"":""city_suit_decoration"",""id"":13881010,""val"":-1},{""typ"":""item"",""id"":11111034,""val"":10}]}")</f>
        <v>{"effect":[{"typ":"city_suit_decoration","id":13881010,"val":-1},{"typ":"item","id":11111034,"val":10}]}</v>
      </c>
      <c r="T2874" s="148">
        <f>IFERROR(__xludf.DUMMYFUNCTION("""COMPUTED_VALUE"""),-1.0)</f>
        <v>-1</v>
      </c>
      <c r="U2874" s="148">
        <f>IFERROR(__xludf.DUMMYFUNCTION("""COMPUTED_VALUE"""),0.0)</f>
        <v>0</v>
      </c>
      <c r="V2874" s="148" t="str">
        <f>IFERROR(__xludf.DUMMYFUNCTION("""COMPUTED_VALUE"""),"[]")</f>
        <v>[]</v>
      </c>
      <c r="W2874" s="148">
        <f>IFERROR(__xludf.DUMMYFUNCTION("""COMPUTED_VALUE"""),1.174E7)</f>
        <v>11740000</v>
      </c>
      <c r="X2874" s="148">
        <f>IFERROR(__xludf.DUMMYFUNCTION("""COMPUTED_VALUE"""),0.0)</f>
        <v>0</v>
      </c>
      <c r="Y2874" s="148">
        <f>IFERROR(__xludf.DUMMYFUNCTION("""COMPUTED_VALUE"""),0.0)</f>
        <v>0</v>
      </c>
      <c r="Z2874" s="148"/>
    </row>
    <row r="2875">
      <c r="A2875" s="148">
        <f>IFERROR(__xludf.DUMMYFUNCTION("""COMPUTED_VALUE"""),1.1119837E7)</f>
        <v>11119837</v>
      </c>
      <c r="B2875" s="148" t="str">
        <f>IFERROR(__xludf.DUMMYFUNCTION("""COMPUTED_VALUE"""),"主城翅膀-星球套2025-2天")</f>
        <v>主城翅膀-星球套2025-2天</v>
      </c>
      <c r="C2875" s="148"/>
      <c r="D2875" s="148" t="str">
        <f>IFERROR(__xludf.DUMMYFUNCTION("""COMPUTED_VALUE"""),"city_suit_decoration")</f>
        <v>city_suit_decoration</v>
      </c>
      <c r="E2875" s="148">
        <f>IFERROR(__xludf.DUMMYFUNCTION("""COMPUTED_VALUE"""),21.0)</f>
        <v>21</v>
      </c>
      <c r="F2875" s="148">
        <f>IFERROR(__xludf.DUMMYFUNCTION("""COMPUTED_VALUE"""),499971.0)</f>
        <v>499971</v>
      </c>
      <c r="G2875" s="148">
        <f>IFERROR(__xludf.DUMMYFUNCTION("""COMPUTED_VALUE"""),1.5110314E8)</f>
        <v>151103140</v>
      </c>
      <c r="H2875" s="148">
        <f>IFERROR(__xludf.DUMMYFUNCTION("""COMPUTED_VALUE"""),1.5112563E7)</f>
        <v>15112563</v>
      </c>
      <c r="I2875" s="148" t="str">
        <f>IFERROR(__xludf.DUMMYFUNCTION("""COMPUTED_VALUE"""),"{""typ"":""lc"",""txt"":""LC_ITEM_time_day_upper_show"",""args"":[{""typ"":""int"",""val"":2}]}")</f>
        <v>{"typ":"lc","txt":"LC_ITEM_time_day_upper_show","args":[{"typ":"int","val":2}]}</v>
      </c>
      <c r="J2875" s="148" t="str">
        <f>IFERROR(__xludf.DUMMYFUNCTION("""COMPUTED_VALUE"""),"{""typ"":""lc"",""txt"":""LC_ITEM_planet_2025_city_wing_name_2day""}")</f>
        <v>{"typ":"lc","txt":"LC_ITEM_planet_2025_city_wing_name_2day"}</v>
      </c>
      <c r="K2875" s="148" t="str">
        <f>IFERROR(__xludf.DUMMYFUNCTION("""COMPUTED_VALUE"""),"{""typ"":""lc"",""txt"":""LC_ITEM_planet_2025_city_wing_desc_2day""}")</f>
        <v>{"typ":"lc","txt":"LC_ITEM_planet_2025_city_wing_desc_2day"}</v>
      </c>
      <c r="L2875" s="148" t="str">
        <f>IFERROR(__xludf.DUMMYFUNCTION("""COMPUTED_VALUE"""),"{""typ"":""lc"",""txt"":""LC_ASSET_suit_actived_tips_1""}")</f>
        <v>{"typ":"lc","txt":"LC_ASSET_suit_actived_tips_1"}</v>
      </c>
      <c r="M2875" s="148">
        <f>IFERROR(__xludf.DUMMYFUNCTION("""COMPUTED_VALUE"""),500.0)</f>
        <v>500</v>
      </c>
      <c r="N2875" s="148">
        <f>IFERROR(__xludf.DUMMYFUNCTION("""COMPUTED_VALUE"""),999.0)</f>
        <v>999</v>
      </c>
      <c r="O2875" s="148">
        <f>IFERROR(__xludf.DUMMYFUNCTION("""COMPUTED_VALUE"""),1.0)</f>
        <v>1</v>
      </c>
      <c r="P2875" s="148">
        <f>IFERROR(__xludf.DUMMYFUNCTION("""COMPUTED_VALUE"""),1.0)</f>
        <v>1</v>
      </c>
      <c r="Q2875" s="148" t="str">
        <f>IFERROR(__xludf.DUMMYFUNCTION("""COMPUTED_VALUE"""),"[""bag_other""]")</f>
        <v>["bag_other"]</v>
      </c>
      <c r="R2875" s="148" t="str">
        <f>IFERROR(__xludf.DUMMYFUNCTION("""COMPUTED_VALUE"""),"[""bag"",""13881010""]")</f>
        <v>["bag","13881010"]</v>
      </c>
      <c r="S2875" s="148" t="str">
        <f>IFERROR(__xludf.DUMMYFUNCTION("""COMPUTED_VALUE"""),"{""effect"":[{""typ"":""city_suit_decoration"",""id"":13881010,""val"":172800000},{""typ"":""item"",""id"":11111021,""val"":1}]}")</f>
        <v>{"effect":[{"typ":"city_suit_decoration","id":13881010,"val":172800000},{"typ":"item","id":11111021,"val":1}]}</v>
      </c>
      <c r="T2875" s="148">
        <f>IFERROR(__xludf.DUMMYFUNCTION("""COMPUTED_VALUE"""),-1.0)</f>
        <v>-1</v>
      </c>
      <c r="U2875" s="148">
        <f>IFERROR(__xludf.DUMMYFUNCTION("""COMPUTED_VALUE"""),0.0)</f>
        <v>0</v>
      </c>
      <c r="V2875" s="148" t="str">
        <f>IFERROR(__xludf.DUMMYFUNCTION("""COMPUTED_VALUE"""),"[]")</f>
        <v>[]</v>
      </c>
      <c r="W2875" s="148">
        <f>IFERROR(__xludf.DUMMYFUNCTION("""COMPUTED_VALUE"""),1.174E7)</f>
        <v>11740000</v>
      </c>
      <c r="X2875" s="148">
        <f>IFERROR(__xludf.DUMMYFUNCTION("""COMPUTED_VALUE"""),0.0)</f>
        <v>0</v>
      </c>
      <c r="Y2875" s="148">
        <f>IFERROR(__xludf.DUMMYFUNCTION("""COMPUTED_VALUE"""),0.0)</f>
        <v>0</v>
      </c>
      <c r="Z2875" s="148"/>
    </row>
    <row r="2876">
      <c r="A2876" s="148">
        <f>IFERROR(__xludf.DUMMYFUNCTION("""COMPUTED_VALUE"""),1.1119838E7)</f>
        <v>11119838</v>
      </c>
      <c r="B2876" s="148" t="str">
        <f>IFERROR(__xludf.DUMMYFUNCTION("""COMPUTED_VALUE"""),"主城翅膀-星球套2025-7天")</f>
        <v>主城翅膀-星球套2025-7天</v>
      </c>
      <c r="C2876" s="148"/>
      <c r="D2876" s="148" t="str">
        <f>IFERROR(__xludf.DUMMYFUNCTION("""COMPUTED_VALUE"""),"city_suit_decoration")</f>
        <v>city_suit_decoration</v>
      </c>
      <c r="E2876" s="148">
        <f>IFERROR(__xludf.DUMMYFUNCTION("""COMPUTED_VALUE"""),21.0)</f>
        <v>21</v>
      </c>
      <c r="F2876" s="148">
        <f>IFERROR(__xludf.DUMMYFUNCTION("""COMPUTED_VALUE"""),499981.0)</f>
        <v>499981</v>
      </c>
      <c r="G2876" s="148">
        <f>IFERROR(__xludf.DUMMYFUNCTION("""COMPUTED_VALUE"""),1.5110314E8)</f>
        <v>151103140</v>
      </c>
      <c r="H2876" s="148">
        <f>IFERROR(__xludf.DUMMYFUNCTION("""COMPUTED_VALUE"""),1.5112564E7)</f>
        <v>15112564</v>
      </c>
      <c r="I2876" s="148" t="str">
        <f>IFERROR(__xludf.DUMMYFUNCTION("""COMPUTED_VALUE"""),"{""typ"":""lc"",""txt"":""LC_ITEM_time_day_upper_show"",""args"":[{""typ"":""int"",""val"":7}]}")</f>
        <v>{"typ":"lc","txt":"LC_ITEM_time_day_upper_show","args":[{"typ":"int","val":7}]}</v>
      </c>
      <c r="J2876" s="148" t="str">
        <f>IFERROR(__xludf.DUMMYFUNCTION("""COMPUTED_VALUE"""),"{""typ"":""lc"",""txt"":""LC_ITEM_planet_2025_city_wing_name_7day""}")</f>
        <v>{"typ":"lc","txt":"LC_ITEM_planet_2025_city_wing_name_7day"}</v>
      </c>
      <c r="K2876" s="148" t="str">
        <f>IFERROR(__xludf.DUMMYFUNCTION("""COMPUTED_VALUE"""),"{""typ"":""lc"",""txt"":""LC_ITEM_planet_2025_city_wing_desc_7day""}")</f>
        <v>{"typ":"lc","txt":"LC_ITEM_planet_2025_city_wing_desc_7day"}</v>
      </c>
      <c r="L2876" s="148" t="str">
        <f>IFERROR(__xludf.DUMMYFUNCTION("""COMPUTED_VALUE"""),"{""typ"":""lc"",""txt"":""LC_ASSET_suit_actived_tips_1""}")</f>
        <v>{"typ":"lc","txt":"LC_ASSET_suit_actived_tips_1"}</v>
      </c>
      <c r="M2876" s="148">
        <f>IFERROR(__xludf.DUMMYFUNCTION("""COMPUTED_VALUE"""),10000.0)</f>
        <v>10000</v>
      </c>
      <c r="N2876" s="148">
        <f>IFERROR(__xludf.DUMMYFUNCTION("""COMPUTED_VALUE"""),999.0)</f>
        <v>999</v>
      </c>
      <c r="O2876" s="148">
        <f>IFERROR(__xludf.DUMMYFUNCTION("""COMPUTED_VALUE"""),1.0)</f>
        <v>1</v>
      </c>
      <c r="P2876" s="148">
        <f>IFERROR(__xludf.DUMMYFUNCTION("""COMPUTED_VALUE"""),1.0)</f>
        <v>1</v>
      </c>
      <c r="Q2876" s="148" t="str">
        <f>IFERROR(__xludf.DUMMYFUNCTION("""COMPUTED_VALUE"""),"[""bag_other""]")</f>
        <v>["bag_other"]</v>
      </c>
      <c r="R2876" s="148" t="str">
        <f>IFERROR(__xludf.DUMMYFUNCTION("""COMPUTED_VALUE"""),"[""bag"",""13881010""]")</f>
        <v>["bag","13881010"]</v>
      </c>
      <c r="S2876" s="148" t="str">
        <f>IFERROR(__xludf.DUMMYFUNCTION("""COMPUTED_VALUE"""),"{""effect"":[{""typ"":""city_suit_decoration"",""id"":13881010,""val"":604800000},{""typ"":""item"",""id"":11111021,""val"":3}]}")</f>
        <v>{"effect":[{"typ":"city_suit_decoration","id":13881010,"val":604800000},{"typ":"item","id":11111021,"val":3}]}</v>
      </c>
      <c r="T2876" s="148">
        <f>IFERROR(__xludf.DUMMYFUNCTION("""COMPUTED_VALUE"""),-1.0)</f>
        <v>-1</v>
      </c>
      <c r="U2876" s="148">
        <f>IFERROR(__xludf.DUMMYFUNCTION("""COMPUTED_VALUE"""),0.0)</f>
        <v>0</v>
      </c>
      <c r="V2876" s="148" t="str">
        <f>IFERROR(__xludf.DUMMYFUNCTION("""COMPUTED_VALUE"""),"[]")</f>
        <v>[]</v>
      </c>
      <c r="W2876" s="148">
        <f>IFERROR(__xludf.DUMMYFUNCTION("""COMPUTED_VALUE"""),1.174E7)</f>
        <v>11740000</v>
      </c>
      <c r="X2876" s="148">
        <f>IFERROR(__xludf.DUMMYFUNCTION("""COMPUTED_VALUE"""),0.0)</f>
        <v>0</v>
      </c>
      <c r="Y2876" s="148">
        <f>IFERROR(__xludf.DUMMYFUNCTION("""COMPUTED_VALUE"""),0.0)</f>
        <v>0</v>
      </c>
      <c r="Z2876" s="148"/>
    </row>
    <row r="2877">
      <c r="A2877" s="148">
        <f>IFERROR(__xludf.DUMMYFUNCTION("""COMPUTED_VALUE"""),1.1119839E7)</f>
        <v>11119839</v>
      </c>
      <c r="B2877" s="148" t="str">
        <f>IFERROR(__xludf.DUMMYFUNCTION("""COMPUTED_VALUE"""),"主城翅膀-星球套2025-14天")</f>
        <v>主城翅膀-星球套2025-14天</v>
      </c>
      <c r="C2877" s="148"/>
      <c r="D2877" s="148" t="str">
        <f>IFERROR(__xludf.DUMMYFUNCTION("""COMPUTED_VALUE"""),"city_suit_decoration")</f>
        <v>city_suit_decoration</v>
      </c>
      <c r="E2877" s="148">
        <f>IFERROR(__xludf.DUMMYFUNCTION("""COMPUTED_VALUE"""),21.0)</f>
        <v>21</v>
      </c>
      <c r="F2877" s="148">
        <f>IFERROR(__xludf.DUMMYFUNCTION("""COMPUTED_VALUE"""),499991.0)</f>
        <v>499991</v>
      </c>
      <c r="G2877" s="148">
        <f>IFERROR(__xludf.DUMMYFUNCTION("""COMPUTED_VALUE"""),1.5110314E8)</f>
        <v>151103140</v>
      </c>
      <c r="H2877" s="148">
        <f>IFERROR(__xludf.DUMMYFUNCTION("""COMPUTED_VALUE"""),1.5112564E7)</f>
        <v>15112564</v>
      </c>
      <c r="I2877" s="148" t="str">
        <f>IFERROR(__xludf.DUMMYFUNCTION("""COMPUTED_VALUE"""),"{""typ"":""lc"",""txt"":""LC_ITEM_time_day_upper_show"",""args"":[{""typ"":""int"",""val"":14}]}")</f>
        <v>{"typ":"lc","txt":"LC_ITEM_time_day_upper_show","args":[{"typ":"int","val":14}]}</v>
      </c>
      <c r="J2877" s="148" t="str">
        <f>IFERROR(__xludf.DUMMYFUNCTION("""COMPUTED_VALUE"""),"{""typ"":""lc"",""txt"":""LC_ITEM_planet_2025_city_wing_name_14day""}")</f>
        <v>{"typ":"lc","txt":"LC_ITEM_planet_2025_city_wing_name_14day"}</v>
      </c>
      <c r="K2877" s="148" t="str">
        <f>IFERROR(__xludf.DUMMYFUNCTION("""COMPUTED_VALUE"""),"{""typ"":""lc"",""txt"":""LC_ITEM_planet_2025_city_wing_desc_14day""}")</f>
        <v>{"typ":"lc","txt":"LC_ITEM_planet_2025_city_wing_desc_14day"}</v>
      </c>
      <c r="L2877" s="148" t="str">
        <f>IFERROR(__xludf.DUMMYFUNCTION("""COMPUTED_VALUE"""),"{""typ"":""lc"",""txt"":""LC_ASSET_suit_actived_tips_1""}")</f>
        <v>{"typ":"lc","txt":"LC_ASSET_suit_actived_tips_1"}</v>
      </c>
      <c r="M2877" s="148">
        <f>IFERROR(__xludf.DUMMYFUNCTION("""COMPUTED_VALUE"""),10000.0)</f>
        <v>10000</v>
      </c>
      <c r="N2877" s="148">
        <f>IFERROR(__xludf.DUMMYFUNCTION("""COMPUTED_VALUE"""),999.0)</f>
        <v>999</v>
      </c>
      <c r="O2877" s="148">
        <f>IFERROR(__xludf.DUMMYFUNCTION("""COMPUTED_VALUE"""),1.0)</f>
        <v>1</v>
      </c>
      <c r="P2877" s="148">
        <f>IFERROR(__xludf.DUMMYFUNCTION("""COMPUTED_VALUE"""),1.0)</f>
        <v>1</v>
      </c>
      <c r="Q2877" s="148" t="str">
        <f>IFERROR(__xludf.DUMMYFUNCTION("""COMPUTED_VALUE"""),"[""bag_other""]")</f>
        <v>["bag_other"]</v>
      </c>
      <c r="R2877" s="148" t="str">
        <f>IFERROR(__xludf.DUMMYFUNCTION("""COMPUTED_VALUE"""),"[""bag"",""13881010""]")</f>
        <v>["bag","13881010"]</v>
      </c>
      <c r="S2877" s="148" t="str">
        <f>IFERROR(__xludf.DUMMYFUNCTION("""COMPUTED_VALUE"""),"{""effect"":[{""typ"":""city_suit_decoration"",""id"":13881010,""val"":1209600000},{""typ"":""item"",""id"":11111021,""val"":7}]}")</f>
        <v>{"effect":[{"typ":"city_suit_decoration","id":13881010,"val":1209600000},{"typ":"item","id":11111021,"val":7}]}</v>
      </c>
      <c r="T2877" s="148">
        <f>IFERROR(__xludf.DUMMYFUNCTION("""COMPUTED_VALUE"""),-1.0)</f>
        <v>-1</v>
      </c>
      <c r="U2877" s="148">
        <f>IFERROR(__xludf.DUMMYFUNCTION("""COMPUTED_VALUE"""),0.0)</f>
        <v>0</v>
      </c>
      <c r="V2877" s="148" t="str">
        <f>IFERROR(__xludf.DUMMYFUNCTION("""COMPUTED_VALUE"""),"[]")</f>
        <v>[]</v>
      </c>
      <c r="W2877" s="148">
        <f>IFERROR(__xludf.DUMMYFUNCTION("""COMPUTED_VALUE"""),1.174E7)</f>
        <v>11740000</v>
      </c>
      <c r="X2877" s="148">
        <f>IFERROR(__xludf.DUMMYFUNCTION("""COMPUTED_VALUE"""),0.0)</f>
        <v>0</v>
      </c>
      <c r="Y2877" s="148">
        <f>IFERROR(__xludf.DUMMYFUNCTION("""COMPUTED_VALUE"""),0.0)</f>
        <v>0</v>
      </c>
      <c r="Z2877" s="148"/>
    </row>
    <row r="2878">
      <c r="A2878" s="148">
        <f>IFERROR(__xludf.DUMMYFUNCTION("""COMPUTED_VALUE"""),1.111984E7)</f>
        <v>11119840</v>
      </c>
      <c r="B2878" s="148" t="str">
        <f>IFERROR(__xludf.DUMMYFUNCTION("""COMPUTED_VALUE"""),"星球套2025-主城炮弹-陨石")</f>
        <v>星球套2025-主城炮弹-陨石</v>
      </c>
      <c r="C2878" s="148"/>
      <c r="D2878" s="148" t="str">
        <f>IFERROR(__xludf.DUMMYFUNCTION("""COMPUTED_VALUE"""),"city_suit_decoration")</f>
        <v>city_suit_decoration</v>
      </c>
      <c r="E2878" s="148">
        <f>IFERROR(__xludf.DUMMYFUNCTION("""COMPUTED_VALUE"""),0.0)</f>
        <v>0</v>
      </c>
      <c r="F2878" s="148">
        <f>IFERROR(__xludf.DUMMYFUNCTION("""COMPUTED_VALUE"""),499998.0)</f>
        <v>499998</v>
      </c>
      <c r="G2878" s="148">
        <f>IFERROR(__xludf.DUMMYFUNCTION("""COMPUTED_VALUE"""),1.51103141E8)</f>
        <v>151103141</v>
      </c>
      <c r="H2878" s="148">
        <f>IFERROR(__xludf.DUMMYFUNCTION("""COMPUTED_VALUE"""),1.5115983E7)</f>
        <v>15115983</v>
      </c>
      <c r="I2878" s="148" t="str">
        <f>IFERROR(__xludf.DUMMYFUNCTION("""COMPUTED_VALUE"""),"{}")</f>
        <v>{}</v>
      </c>
      <c r="J2878" s="148" t="str">
        <f>IFERROR(__xludf.DUMMYFUNCTION("""COMPUTED_VALUE"""),"{""typ"":""lc"",""txt"":""LC_ITEM_planet_2025_city_cannon_name""}")</f>
        <v>{"typ":"lc","txt":"LC_ITEM_planet_2025_city_cannon_name"}</v>
      </c>
      <c r="K2878" s="148" t="str">
        <f>IFERROR(__xludf.DUMMYFUNCTION("""COMPUTED_VALUE"""),"{""typ"":""lc"",""txt"":""LC_ITEM_planet_2025_city_cannon_desc""}")</f>
        <v>{"typ":"lc","txt":"LC_ITEM_planet_2025_city_cannon_desc"}</v>
      </c>
      <c r="L2878" s="148" t="str">
        <f>IFERROR(__xludf.DUMMYFUNCTION("""COMPUTED_VALUE"""),"{""typ"":""lc"",""txt"":""LC_ASSET_suit_actived_tips_1""}")</f>
        <v>{"typ":"lc","txt":"LC_ASSET_suit_actived_tips_1"}</v>
      </c>
      <c r="M2878" s="148">
        <f>IFERROR(__xludf.DUMMYFUNCTION("""COMPUTED_VALUE"""),10000.0)</f>
        <v>10000</v>
      </c>
      <c r="N2878" s="148">
        <f>IFERROR(__xludf.DUMMYFUNCTION("""COMPUTED_VALUE"""),999999.0)</f>
        <v>999999</v>
      </c>
      <c r="O2878" s="148">
        <f>IFERROR(__xludf.DUMMYFUNCTION("""COMPUTED_VALUE"""),99999.0)</f>
        <v>99999</v>
      </c>
      <c r="P2878" s="148">
        <f>IFERROR(__xludf.DUMMYFUNCTION("""COMPUTED_VALUE"""),1.0)</f>
        <v>1</v>
      </c>
      <c r="Q2878" s="148" t="str">
        <f>IFERROR(__xludf.DUMMYFUNCTION("""COMPUTED_VALUE"""),"[""bag_other""]")</f>
        <v>["bag_other"]</v>
      </c>
      <c r="R2878" s="148" t="str">
        <f>IFERROR(__xludf.DUMMYFUNCTION("""COMPUTED_VALUE"""),"[""bag"",""13881011""]")</f>
        <v>["bag","13881011"]</v>
      </c>
      <c r="S2878" s="148" t="str">
        <f>IFERROR(__xludf.DUMMYFUNCTION("""COMPUTED_VALUE"""),"{""effect"":[{""typ"":""city_suit_decoration"",""id"":13881011,""val"":-1},{""typ"":""item"",""id"":11111034,""val"":10}]}")</f>
        <v>{"effect":[{"typ":"city_suit_decoration","id":13881011,"val":-1},{"typ":"item","id":11111034,"val":10}]}</v>
      </c>
      <c r="T2878" s="148">
        <f>IFERROR(__xludf.DUMMYFUNCTION("""COMPUTED_VALUE"""),-1.0)</f>
        <v>-1</v>
      </c>
      <c r="U2878" s="148">
        <f>IFERROR(__xludf.DUMMYFUNCTION("""COMPUTED_VALUE"""),0.0)</f>
        <v>0</v>
      </c>
      <c r="V2878" s="148" t="str">
        <f>IFERROR(__xludf.DUMMYFUNCTION("""COMPUTED_VALUE"""),"[]")</f>
        <v>[]</v>
      </c>
      <c r="W2878" s="148">
        <f>IFERROR(__xludf.DUMMYFUNCTION("""COMPUTED_VALUE"""),1.174E7)</f>
        <v>11740000</v>
      </c>
      <c r="X2878" s="148">
        <f>IFERROR(__xludf.DUMMYFUNCTION("""COMPUTED_VALUE"""),0.0)</f>
        <v>0</v>
      </c>
      <c r="Y2878" s="148">
        <f>IFERROR(__xludf.DUMMYFUNCTION("""COMPUTED_VALUE"""),0.0)</f>
        <v>0</v>
      </c>
      <c r="Z2878" s="148"/>
    </row>
    <row r="2879">
      <c r="A2879" s="148">
        <f>IFERROR(__xludf.DUMMYFUNCTION("""COMPUTED_VALUE"""),1.1119841E7)</f>
        <v>11119841</v>
      </c>
      <c r="B2879" s="148" t="str">
        <f>IFERROR(__xludf.DUMMYFUNCTION("""COMPUTED_VALUE"""),"主城炮弹-星球套2025-2天")</f>
        <v>主城炮弹-星球套2025-2天</v>
      </c>
      <c r="C2879" s="148"/>
      <c r="D2879" s="148" t="str">
        <f>IFERROR(__xludf.DUMMYFUNCTION("""COMPUTED_VALUE"""),"city_suit_decoration")</f>
        <v>city_suit_decoration</v>
      </c>
      <c r="E2879" s="148">
        <f>IFERROR(__xludf.DUMMYFUNCTION("""COMPUTED_VALUE"""),21.0)</f>
        <v>21</v>
      </c>
      <c r="F2879" s="148">
        <f>IFERROR(__xludf.DUMMYFUNCTION("""COMPUTED_VALUE"""),499990.0)</f>
        <v>499990</v>
      </c>
      <c r="G2879" s="148">
        <f>IFERROR(__xludf.DUMMYFUNCTION("""COMPUTED_VALUE"""),1.51103141E8)</f>
        <v>151103141</v>
      </c>
      <c r="H2879" s="148">
        <f>IFERROR(__xludf.DUMMYFUNCTION("""COMPUTED_VALUE"""),1.5112563E7)</f>
        <v>15112563</v>
      </c>
      <c r="I2879" s="148" t="str">
        <f>IFERROR(__xludf.DUMMYFUNCTION("""COMPUTED_VALUE"""),"{""typ"":""lc"",""txt"":""LC_ITEM_time_day_upper_show"",""args"":[{""typ"":""int"",""val"":2}]}")</f>
        <v>{"typ":"lc","txt":"LC_ITEM_time_day_upper_show","args":[{"typ":"int","val":2}]}</v>
      </c>
      <c r="J2879" s="148" t="str">
        <f>IFERROR(__xludf.DUMMYFUNCTION("""COMPUTED_VALUE"""),"{""typ"":""lc"",""txt"":""LC_ITEM_planet_2025_city_cannon_name_2day""}")</f>
        <v>{"typ":"lc","txt":"LC_ITEM_planet_2025_city_cannon_name_2day"}</v>
      </c>
      <c r="K2879" s="148" t="str">
        <f>IFERROR(__xludf.DUMMYFUNCTION("""COMPUTED_VALUE"""),"{""typ"":""lc"",""txt"":""LC_ITEM_planet_2025_city_cannon_desc_2day""}")</f>
        <v>{"typ":"lc","txt":"LC_ITEM_planet_2025_city_cannon_desc_2day"}</v>
      </c>
      <c r="L2879" s="148" t="str">
        <f>IFERROR(__xludf.DUMMYFUNCTION("""COMPUTED_VALUE"""),"{""typ"":""lc"",""txt"":""LC_ASSET_suit_actived_tips_1""}")</f>
        <v>{"typ":"lc","txt":"LC_ASSET_suit_actived_tips_1"}</v>
      </c>
      <c r="M2879" s="148">
        <f>IFERROR(__xludf.DUMMYFUNCTION("""COMPUTED_VALUE"""),500.0)</f>
        <v>500</v>
      </c>
      <c r="N2879" s="148">
        <f>IFERROR(__xludf.DUMMYFUNCTION("""COMPUTED_VALUE"""),999.0)</f>
        <v>999</v>
      </c>
      <c r="O2879" s="148">
        <f>IFERROR(__xludf.DUMMYFUNCTION("""COMPUTED_VALUE"""),1.0)</f>
        <v>1</v>
      </c>
      <c r="P2879" s="148">
        <f>IFERROR(__xludf.DUMMYFUNCTION("""COMPUTED_VALUE"""),1.0)</f>
        <v>1</v>
      </c>
      <c r="Q2879" s="148" t="str">
        <f>IFERROR(__xludf.DUMMYFUNCTION("""COMPUTED_VALUE"""),"[""bag_other""]")</f>
        <v>["bag_other"]</v>
      </c>
      <c r="R2879" s="148" t="str">
        <f>IFERROR(__xludf.DUMMYFUNCTION("""COMPUTED_VALUE"""),"[""bag"",""13881011""]")</f>
        <v>["bag","13881011"]</v>
      </c>
      <c r="S2879" s="148" t="str">
        <f>IFERROR(__xludf.DUMMYFUNCTION("""COMPUTED_VALUE"""),"{""effect"":[{""typ"":""city_suit_decoration"",""id"":13881011,""val"":172800000},{""typ"":""item"",""id"":11111021,""val"":1}]}")</f>
        <v>{"effect":[{"typ":"city_suit_decoration","id":13881011,"val":172800000},{"typ":"item","id":11111021,"val":1}]}</v>
      </c>
      <c r="T2879" s="148">
        <f>IFERROR(__xludf.DUMMYFUNCTION("""COMPUTED_VALUE"""),-1.0)</f>
        <v>-1</v>
      </c>
      <c r="U2879" s="148">
        <f>IFERROR(__xludf.DUMMYFUNCTION("""COMPUTED_VALUE"""),0.0)</f>
        <v>0</v>
      </c>
      <c r="V2879" s="148" t="str">
        <f>IFERROR(__xludf.DUMMYFUNCTION("""COMPUTED_VALUE"""),"[]")</f>
        <v>[]</v>
      </c>
      <c r="W2879" s="148">
        <f>IFERROR(__xludf.DUMMYFUNCTION("""COMPUTED_VALUE"""),1.174E7)</f>
        <v>11740000</v>
      </c>
      <c r="X2879" s="148">
        <f>IFERROR(__xludf.DUMMYFUNCTION("""COMPUTED_VALUE"""),0.0)</f>
        <v>0</v>
      </c>
      <c r="Y2879" s="148">
        <f>IFERROR(__xludf.DUMMYFUNCTION("""COMPUTED_VALUE"""),0.0)</f>
        <v>0</v>
      </c>
      <c r="Z2879" s="148"/>
    </row>
    <row r="2880">
      <c r="A2880" s="148">
        <f>IFERROR(__xludf.DUMMYFUNCTION("""COMPUTED_VALUE"""),1.1119842E7)</f>
        <v>11119842</v>
      </c>
      <c r="B2880" s="148" t="str">
        <f>IFERROR(__xludf.DUMMYFUNCTION("""COMPUTED_VALUE"""),"主城炮弹-星球套2025-7天")</f>
        <v>主城炮弹-星球套2025-7天</v>
      </c>
      <c r="C2880" s="148"/>
      <c r="D2880" s="148" t="str">
        <f>IFERROR(__xludf.DUMMYFUNCTION("""COMPUTED_VALUE"""),"city_suit_decoration")</f>
        <v>city_suit_decoration</v>
      </c>
      <c r="E2880" s="148">
        <f>IFERROR(__xludf.DUMMYFUNCTION("""COMPUTED_VALUE"""),21.0)</f>
        <v>21</v>
      </c>
      <c r="F2880" s="148">
        <f>IFERROR(__xludf.DUMMYFUNCTION("""COMPUTED_VALUE"""),499991.0)</f>
        <v>499991</v>
      </c>
      <c r="G2880" s="148">
        <f>IFERROR(__xludf.DUMMYFUNCTION("""COMPUTED_VALUE"""),1.51103141E8)</f>
        <v>151103141</v>
      </c>
      <c r="H2880" s="148">
        <f>IFERROR(__xludf.DUMMYFUNCTION("""COMPUTED_VALUE"""),1.5112564E7)</f>
        <v>15112564</v>
      </c>
      <c r="I2880" s="148" t="str">
        <f>IFERROR(__xludf.DUMMYFUNCTION("""COMPUTED_VALUE"""),"{""typ"":""lc"",""txt"":""LC_ITEM_time_day_upper_show"",""args"":[{""typ"":""int"",""val"":7}]}")</f>
        <v>{"typ":"lc","txt":"LC_ITEM_time_day_upper_show","args":[{"typ":"int","val":7}]}</v>
      </c>
      <c r="J2880" s="148" t="str">
        <f>IFERROR(__xludf.DUMMYFUNCTION("""COMPUTED_VALUE"""),"{""typ"":""lc"",""txt"":""LC_ITEM_planet_2025_city_cannon_name_7day""}")</f>
        <v>{"typ":"lc","txt":"LC_ITEM_planet_2025_city_cannon_name_7day"}</v>
      </c>
      <c r="K2880" s="148" t="str">
        <f>IFERROR(__xludf.DUMMYFUNCTION("""COMPUTED_VALUE"""),"{""typ"":""lc"",""txt"":""LC_ITEM_planet_2025_city_cannon_desc_7day""}")</f>
        <v>{"typ":"lc","txt":"LC_ITEM_planet_2025_city_cannon_desc_7day"}</v>
      </c>
      <c r="L2880" s="148" t="str">
        <f>IFERROR(__xludf.DUMMYFUNCTION("""COMPUTED_VALUE"""),"{""typ"":""lc"",""txt"":""LC_ASSET_suit_actived_tips_1""}")</f>
        <v>{"typ":"lc","txt":"LC_ASSET_suit_actived_tips_1"}</v>
      </c>
      <c r="M2880" s="148">
        <f>IFERROR(__xludf.DUMMYFUNCTION("""COMPUTED_VALUE"""),10000.0)</f>
        <v>10000</v>
      </c>
      <c r="N2880" s="148">
        <f>IFERROR(__xludf.DUMMYFUNCTION("""COMPUTED_VALUE"""),999.0)</f>
        <v>999</v>
      </c>
      <c r="O2880" s="148">
        <f>IFERROR(__xludf.DUMMYFUNCTION("""COMPUTED_VALUE"""),1.0)</f>
        <v>1</v>
      </c>
      <c r="P2880" s="148">
        <f>IFERROR(__xludf.DUMMYFUNCTION("""COMPUTED_VALUE"""),1.0)</f>
        <v>1</v>
      </c>
      <c r="Q2880" s="148" t="str">
        <f>IFERROR(__xludf.DUMMYFUNCTION("""COMPUTED_VALUE"""),"[""bag_other""]")</f>
        <v>["bag_other"]</v>
      </c>
      <c r="R2880" s="148" t="str">
        <f>IFERROR(__xludf.DUMMYFUNCTION("""COMPUTED_VALUE"""),"[""bag"",""13881011""]")</f>
        <v>["bag","13881011"]</v>
      </c>
      <c r="S2880" s="148" t="str">
        <f>IFERROR(__xludf.DUMMYFUNCTION("""COMPUTED_VALUE"""),"{""effect"":[{""typ"":""city_suit_decoration"",""id"":13881011,""val"":604800000},{""typ"":""item"",""id"":11111021,""val"":3}]}")</f>
        <v>{"effect":[{"typ":"city_suit_decoration","id":13881011,"val":604800000},{"typ":"item","id":11111021,"val":3}]}</v>
      </c>
      <c r="T2880" s="148">
        <f>IFERROR(__xludf.DUMMYFUNCTION("""COMPUTED_VALUE"""),-1.0)</f>
        <v>-1</v>
      </c>
      <c r="U2880" s="148">
        <f>IFERROR(__xludf.DUMMYFUNCTION("""COMPUTED_VALUE"""),0.0)</f>
        <v>0</v>
      </c>
      <c r="V2880" s="148" t="str">
        <f>IFERROR(__xludf.DUMMYFUNCTION("""COMPUTED_VALUE"""),"[]")</f>
        <v>[]</v>
      </c>
      <c r="W2880" s="148">
        <f>IFERROR(__xludf.DUMMYFUNCTION("""COMPUTED_VALUE"""),1.174E7)</f>
        <v>11740000</v>
      </c>
      <c r="X2880" s="148">
        <f>IFERROR(__xludf.DUMMYFUNCTION("""COMPUTED_VALUE"""),0.0)</f>
        <v>0</v>
      </c>
      <c r="Y2880" s="148">
        <f>IFERROR(__xludf.DUMMYFUNCTION("""COMPUTED_VALUE"""),0.0)</f>
        <v>0</v>
      </c>
      <c r="Z2880" s="148"/>
    </row>
    <row r="2881">
      <c r="A2881" s="148">
        <f>IFERROR(__xludf.DUMMYFUNCTION("""COMPUTED_VALUE"""),1.1119843E7)</f>
        <v>11119843</v>
      </c>
      <c r="B2881" s="148" t="str">
        <f>IFERROR(__xludf.DUMMYFUNCTION("""COMPUTED_VALUE"""),"主城炮弹-星球套2025-14天")</f>
        <v>主城炮弹-星球套2025-14天</v>
      </c>
      <c r="C2881" s="148"/>
      <c r="D2881" s="148" t="str">
        <f>IFERROR(__xludf.DUMMYFUNCTION("""COMPUTED_VALUE"""),"city_suit_decoration")</f>
        <v>city_suit_decoration</v>
      </c>
      <c r="E2881" s="148">
        <f>IFERROR(__xludf.DUMMYFUNCTION("""COMPUTED_VALUE"""),21.0)</f>
        <v>21</v>
      </c>
      <c r="F2881" s="148">
        <f>IFERROR(__xludf.DUMMYFUNCTION("""COMPUTED_VALUE"""),499992.0)</f>
        <v>499992</v>
      </c>
      <c r="G2881" s="148">
        <f>IFERROR(__xludf.DUMMYFUNCTION("""COMPUTED_VALUE"""),1.51103141E8)</f>
        <v>151103141</v>
      </c>
      <c r="H2881" s="148">
        <f>IFERROR(__xludf.DUMMYFUNCTION("""COMPUTED_VALUE"""),1.5112564E7)</f>
        <v>15112564</v>
      </c>
      <c r="I2881" s="148" t="str">
        <f>IFERROR(__xludf.DUMMYFUNCTION("""COMPUTED_VALUE"""),"{""typ"":""lc"",""txt"":""LC_ITEM_time_day_upper_show"",""args"":[{""typ"":""int"",""val"":14}]}")</f>
        <v>{"typ":"lc","txt":"LC_ITEM_time_day_upper_show","args":[{"typ":"int","val":14}]}</v>
      </c>
      <c r="J2881" s="148" t="str">
        <f>IFERROR(__xludf.DUMMYFUNCTION("""COMPUTED_VALUE"""),"{""typ"":""lc"",""txt"":""LC_ITEM_planet_2025_city_cannon_name_14day""}")</f>
        <v>{"typ":"lc","txt":"LC_ITEM_planet_2025_city_cannon_name_14day"}</v>
      </c>
      <c r="K2881" s="148" t="str">
        <f>IFERROR(__xludf.DUMMYFUNCTION("""COMPUTED_VALUE"""),"{""typ"":""lc"",""txt"":""LC_ITEM_planet_2025_city_cannon_desc_14day""}")</f>
        <v>{"typ":"lc","txt":"LC_ITEM_planet_2025_city_cannon_desc_14day"}</v>
      </c>
      <c r="L2881" s="148" t="str">
        <f>IFERROR(__xludf.DUMMYFUNCTION("""COMPUTED_VALUE"""),"{""typ"":""lc"",""txt"":""LC_ASSET_suit_actived_tips_1""}")</f>
        <v>{"typ":"lc","txt":"LC_ASSET_suit_actived_tips_1"}</v>
      </c>
      <c r="M2881" s="148">
        <f>IFERROR(__xludf.DUMMYFUNCTION("""COMPUTED_VALUE"""),10000.0)</f>
        <v>10000</v>
      </c>
      <c r="N2881" s="148">
        <f>IFERROR(__xludf.DUMMYFUNCTION("""COMPUTED_VALUE"""),999.0)</f>
        <v>999</v>
      </c>
      <c r="O2881" s="148">
        <f>IFERROR(__xludf.DUMMYFUNCTION("""COMPUTED_VALUE"""),1.0)</f>
        <v>1</v>
      </c>
      <c r="P2881" s="148">
        <f>IFERROR(__xludf.DUMMYFUNCTION("""COMPUTED_VALUE"""),1.0)</f>
        <v>1</v>
      </c>
      <c r="Q2881" s="148" t="str">
        <f>IFERROR(__xludf.DUMMYFUNCTION("""COMPUTED_VALUE"""),"[""bag_other""]")</f>
        <v>["bag_other"]</v>
      </c>
      <c r="R2881" s="148" t="str">
        <f>IFERROR(__xludf.DUMMYFUNCTION("""COMPUTED_VALUE"""),"[""bag"",""13881011""]")</f>
        <v>["bag","13881011"]</v>
      </c>
      <c r="S2881" s="148" t="str">
        <f>IFERROR(__xludf.DUMMYFUNCTION("""COMPUTED_VALUE"""),"{""effect"":[{""typ"":""city_suit_decoration"",""id"":13881011,""val"":1209600000},{""typ"":""item"",""id"":11111021,""val"":7}]}")</f>
        <v>{"effect":[{"typ":"city_suit_decoration","id":13881011,"val":1209600000},{"typ":"item","id":11111021,"val":7}]}</v>
      </c>
      <c r="T2881" s="148">
        <f>IFERROR(__xludf.DUMMYFUNCTION("""COMPUTED_VALUE"""),-1.0)</f>
        <v>-1</v>
      </c>
      <c r="U2881" s="148">
        <f>IFERROR(__xludf.DUMMYFUNCTION("""COMPUTED_VALUE"""),0.0)</f>
        <v>0</v>
      </c>
      <c r="V2881" s="148" t="str">
        <f>IFERROR(__xludf.DUMMYFUNCTION("""COMPUTED_VALUE"""),"[]")</f>
        <v>[]</v>
      </c>
      <c r="W2881" s="148">
        <f>IFERROR(__xludf.DUMMYFUNCTION("""COMPUTED_VALUE"""),1.174E7)</f>
        <v>11740000</v>
      </c>
      <c r="X2881" s="148">
        <f>IFERROR(__xludf.DUMMYFUNCTION("""COMPUTED_VALUE"""),0.0)</f>
        <v>0</v>
      </c>
      <c r="Y2881" s="148">
        <f>IFERROR(__xludf.DUMMYFUNCTION("""COMPUTED_VALUE"""),0.0)</f>
        <v>0</v>
      </c>
      <c r="Z2881" s="148"/>
    </row>
    <row r="2882">
      <c r="A2882" s="148">
        <f>IFERROR(__xludf.DUMMYFUNCTION("""COMPUTED_VALUE"""),1.1119844E7)</f>
        <v>11119844</v>
      </c>
      <c r="B2882" s="148" t="str">
        <f>IFERROR(__xludf.DUMMYFUNCTION("""COMPUTED_VALUE"""),"星球套2025-主城特效")</f>
        <v>星球套2025-主城特效</v>
      </c>
      <c r="C2882" s="148"/>
      <c r="D2882" s="148" t="str">
        <f>IFERROR(__xludf.DUMMYFUNCTION("""COMPUTED_VALUE"""),"city_suit_decoration")</f>
        <v>city_suit_decoration</v>
      </c>
      <c r="E2882" s="148">
        <f>IFERROR(__xludf.DUMMYFUNCTION("""COMPUTED_VALUE"""),0.0)</f>
        <v>0</v>
      </c>
      <c r="F2882" s="148">
        <f>IFERROR(__xludf.DUMMYFUNCTION("""COMPUTED_VALUE"""),499999.0)</f>
        <v>499999</v>
      </c>
      <c r="G2882" s="148">
        <f>IFERROR(__xludf.DUMMYFUNCTION("""COMPUTED_VALUE"""),1.51103142E8)</f>
        <v>151103142</v>
      </c>
      <c r="H2882" s="148">
        <f>IFERROR(__xludf.DUMMYFUNCTION("""COMPUTED_VALUE"""),1.51101093E8)</f>
        <v>151101093</v>
      </c>
      <c r="I2882" s="148" t="str">
        <f>IFERROR(__xludf.DUMMYFUNCTION("""COMPUTED_VALUE"""),"{}")</f>
        <v>{}</v>
      </c>
      <c r="J2882" s="148" t="str">
        <f>IFERROR(__xludf.DUMMYFUNCTION("""COMPUTED_VALUE"""),"{""typ"":""lc"",""txt"":""LC_ITEM_planet_2025_city_effect_name""}")</f>
        <v>{"typ":"lc","txt":"LC_ITEM_planet_2025_city_effect_name"}</v>
      </c>
      <c r="K2882" s="148" t="str">
        <f>IFERROR(__xludf.DUMMYFUNCTION("""COMPUTED_VALUE"""),"{""typ"":""lc"",""txt"":""LC_ITEM_planet_2025_city_effect_desc""}")</f>
        <v>{"typ":"lc","txt":"LC_ITEM_planet_2025_city_effect_desc"}</v>
      </c>
      <c r="L2882" s="148" t="str">
        <f>IFERROR(__xludf.DUMMYFUNCTION("""COMPUTED_VALUE"""),"{""typ"":""lc"",""txt"":""LC_ASSET_suit_actived_tips_1""}")</f>
        <v>{"typ":"lc","txt":"LC_ASSET_suit_actived_tips_1"}</v>
      </c>
      <c r="M2882" s="148">
        <f>IFERROR(__xludf.DUMMYFUNCTION("""COMPUTED_VALUE"""),10000.0)</f>
        <v>10000</v>
      </c>
      <c r="N2882" s="148">
        <f>IFERROR(__xludf.DUMMYFUNCTION("""COMPUTED_VALUE"""),999999.0)</f>
        <v>999999</v>
      </c>
      <c r="O2882" s="148">
        <f>IFERROR(__xludf.DUMMYFUNCTION("""COMPUTED_VALUE"""),99999.0)</f>
        <v>99999</v>
      </c>
      <c r="P2882" s="148">
        <f>IFERROR(__xludf.DUMMYFUNCTION("""COMPUTED_VALUE"""),1.0)</f>
        <v>1</v>
      </c>
      <c r="Q2882" s="148" t="str">
        <f>IFERROR(__xludf.DUMMYFUNCTION("""COMPUTED_VALUE"""),"[""bag_other""]")</f>
        <v>["bag_other"]</v>
      </c>
      <c r="R2882" s="148" t="str">
        <f>IFERROR(__xludf.DUMMYFUNCTION("""COMPUTED_VALUE"""),"[""bag"",""13881012""]")</f>
        <v>["bag","13881012"]</v>
      </c>
      <c r="S2882" s="148" t="str">
        <f>IFERROR(__xludf.DUMMYFUNCTION("""COMPUTED_VALUE"""),"{""effect"":[{""typ"":""city_suit_decoration"",""id"":13881012,""val"":-1},{""typ"":""item"",""id"":11111034,""val"":10}]}")</f>
        <v>{"effect":[{"typ":"city_suit_decoration","id":13881012,"val":-1},{"typ":"item","id":11111034,"val":10}]}</v>
      </c>
      <c r="T2882" s="148">
        <f>IFERROR(__xludf.DUMMYFUNCTION("""COMPUTED_VALUE"""),-1.0)</f>
        <v>-1</v>
      </c>
      <c r="U2882" s="148">
        <f>IFERROR(__xludf.DUMMYFUNCTION("""COMPUTED_VALUE"""),0.0)</f>
        <v>0</v>
      </c>
      <c r="V2882" s="148" t="str">
        <f>IFERROR(__xludf.DUMMYFUNCTION("""COMPUTED_VALUE"""),"[]")</f>
        <v>[]</v>
      </c>
      <c r="W2882" s="148">
        <f>IFERROR(__xludf.DUMMYFUNCTION("""COMPUTED_VALUE"""),1.174E7)</f>
        <v>11740000</v>
      </c>
      <c r="X2882" s="148">
        <f>IFERROR(__xludf.DUMMYFUNCTION("""COMPUTED_VALUE"""),0.0)</f>
        <v>0</v>
      </c>
      <c r="Y2882" s="148">
        <f>IFERROR(__xludf.DUMMYFUNCTION("""COMPUTED_VALUE"""),0.0)</f>
        <v>0</v>
      </c>
      <c r="Z2882" s="148"/>
    </row>
    <row r="2883">
      <c r="A2883" s="148">
        <f>IFERROR(__xludf.DUMMYFUNCTION("""COMPUTED_VALUE"""),1.1119845E7)</f>
        <v>11119845</v>
      </c>
      <c r="B2883" s="148" t="str">
        <f>IFERROR(__xludf.DUMMYFUNCTION("""COMPUTED_VALUE"""),"主城特效-星球套2025-2天")</f>
        <v>主城特效-星球套2025-2天</v>
      </c>
      <c r="C2883" s="148"/>
      <c r="D2883" s="148" t="str">
        <f>IFERROR(__xludf.DUMMYFUNCTION("""COMPUTED_VALUE"""),"city_suit_decoration")</f>
        <v>city_suit_decoration</v>
      </c>
      <c r="E2883" s="148">
        <f>IFERROR(__xludf.DUMMYFUNCTION("""COMPUTED_VALUE"""),21.0)</f>
        <v>21</v>
      </c>
      <c r="F2883" s="148">
        <f>IFERROR(__xludf.DUMMYFUNCTION("""COMPUTED_VALUE"""),499988.0)</f>
        <v>499988</v>
      </c>
      <c r="G2883" s="148">
        <f>IFERROR(__xludf.DUMMYFUNCTION("""COMPUTED_VALUE"""),1.51103142E8)</f>
        <v>151103142</v>
      </c>
      <c r="H2883" s="148">
        <f>IFERROR(__xludf.DUMMYFUNCTION("""COMPUTED_VALUE"""),1.5112563E7)</f>
        <v>15112563</v>
      </c>
      <c r="I2883" s="148" t="str">
        <f>IFERROR(__xludf.DUMMYFUNCTION("""COMPUTED_VALUE"""),"{""typ"":""lc"",""txt"":""LC_ITEM_time_day_upper_show"",""args"":[{""typ"":""int"",""val"":2}]}")</f>
        <v>{"typ":"lc","txt":"LC_ITEM_time_day_upper_show","args":[{"typ":"int","val":2}]}</v>
      </c>
      <c r="J2883" s="148" t="str">
        <f>IFERROR(__xludf.DUMMYFUNCTION("""COMPUTED_VALUE"""),"{""typ"":""lc"",""txt"":""LC_ITEM_planet_2025_city_effect_name_2day""}")</f>
        <v>{"typ":"lc","txt":"LC_ITEM_planet_2025_city_effect_name_2day"}</v>
      </c>
      <c r="K2883" s="148" t="str">
        <f>IFERROR(__xludf.DUMMYFUNCTION("""COMPUTED_VALUE"""),"{""typ"":""lc"",""txt"":""LC_ITEM_planet_2025_city_effect_desc_2day""}")</f>
        <v>{"typ":"lc","txt":"LC_ITEM_planet_2025_city_effect_desc_2day"}</v>
      </c>
      <c r="L2883" s="148" t="str">
        <f>IFERROR(__xludf.DUMMYFUNCTION("""COMPUTED_VALUE"""),"{""typ"":""lc"",""txt"":""LC_ASSET_suit_actived_tips_1""}")</f>
        <v>{"typ":"lc","txt":"LC_ASSET_suit_actived_tips_1"}</v>
      </c>
      <c r="M2883" s="148">
        <f>IFERROR(__xludf.DUMMYFUNCTION("""COMPUTED_VALUE"""),500.0)</f>
        <v>500</v>
      </c>
      <c r="N2883" s="148">
        <f>IFERROR(__xludf.DUMMYFUNCTION("""COMPUTED_VALUE"""),999.0)</f>
        <v>999</v>
      </c>
      <c r="O2883" s="148">
        <f>IFERROR(__xludf.DUMMYFUNCTION("""COMPUTED_VALUE"""),1.0)</f>
        <v>1</v>
      </c>
      <c r="P2883" s="148">
        <f>IFERROR(__xludf.DUMMYFUNCTION("""COMPUTED_VALUE"""),1.0)</f>
        <v>1</v>
      </c>
      <c r="Q2883" s="148" t="str">
        <f>IFERROR(__xludf.DUMMYFUNCTION("""COMPUTED_VALUE"""),"[""bag_other""]")</f>
        <v>["bag_other"]</v>
      </c>
      <c r="R2883" s="148" t="str">
        <f>IFERROR(__xludf.DUMMYFUNCTION("""COMPUTED_VALUE"""),"[""bag"",""13881012""]")</f>
        <v>["bag","13881012"]</v>
      </c>
      <c r="S2883" s="148" t="str">
        <f>IFERROR(__xludf.DUMMYFUNCTION("""COMPUTED_VALUE"""),"{""effect"":[{""typ"":""city_suit_decoration"",""id"":13881012,""val"":172800000},{""typ"":""item"",""id"":11111021,""val"":1}]}")</f>
        <v>{"effect":[{"typ":"city_suit_decoration","id":13881012,"val":172800000},{"typ":"item","id":11111021,"val":1}]}</v>
      </c>
      <c r="T2883" s="148">
        <f>IFERROR(__xludf.DUMMYFUNCTION("""COMPUTED_VALUE"""),-1.0)</f>
        <v>-1</v>
      </c>
      <c r="U2883" s="148">
        <f>IFERROR(__xludf.DUMMYFUNCTION("""COMPUTED_VALUE"""),0.0)</f>
        <v>0</v>
      </c>
      <c r="V2883" s="148" t="str">
        <f>IFERROR(__xludf.DUMMYFUNCTION("""COMPUTED_VALUE"""),"[]")</f>
        <v>[]</v>
      </c>
      <c r="W2883" s="148">
        <f>IFERROR(__xludf.DUMMYFUNCTION("""COMPUTED_VALUE"""),1.174E7)</f>
        <v>11740000</v>
      </c>
      <c r="X2883" s="148">
        <f>IFERROR(__xludf.DUMMYFUNCTION("""COMPUTED_VALUE"""),0.0)</f>
        <v>0</v>
      </c>
      <c r="Y2883" s="148">
        <f>IFERROR(__xludf.DUMMYFUNCTION("""COMPUTED_VALUE"""),0.0)</f>
        <v>0</v>
      </c>
      <c r="Z2883" s="148"/>
    </row>
    <row r="2884">
      <c r="A2884" s="148">
        <f>IFERROR(__xludf.DUMMYFUNCTION("""COMPUTED_VALUE"""),1.1119846E7)</f>
        <v>11119846</v>
      </c>
      <c r="B2884" s="148" t="str">
        <f>IFERROR(__xludf.DUMMYFUNCTION("""COMPUTED_VALUE"""),"主城特效-星球套2025-7天")</f>
        <v>主城特效-星球套2025-7天</v>
      </c>
      <c r="C2884" s="148"/>
      <c r="D2884" s="148" t="str">
        <f>IFERROR(__xludf.DUMMYFUNCTION("""COMPUTED_VALUE"""),"city_suit_decoration")</f>
        <v>city_suit_decoration</v>
      </c>
      <c r="E2884" s="148">
        <f>IFERROR(__xludf.DUMMYFUNCTION("""COMPUTED_VALUE"""),21.0)</f>
        <v>21</v>
      </c>
      <c r="F2884" s="148">
        <f>IFERROR(__xludf.DUMMYFUNCTION("""COMPUTED_VALUE"""),499989.0)</f>
        <v>499989</v>
      </c>
      <c r="G2884" s="148">
        <f>IFERROR(__xludf.DUMMYFUNCTION("""COMPUTED_VALUE"""),1.51103142E8)</f>
        <v>151103142</v>
      </c>
      <c r="H2884" s="148">
        <f>IFERROR(__xludf.DUMMYFUNCTION("""COMPUTED_VALUE"""),1.5112564E7)</f>
        <v>15112564</v>
      </c>
      <c r="I2884" s="148" t="str">
        <f>IFERROR(__xludf.DUMMYFUNCTION("""COMPUTED_VALUE"""),"{""typ"":""lc"",""txt"":""LC_ITEM_time_day_upper_show"",""args"":[{""typ"":""int"",""val"":7}]}")</f>
        <v>{"typ":"lc","txt":"LC_ITEM_time_day_upper_show","args":[{"typ":"int","val":7}]}</v>
      </c>
      <c r="J2884" s="148" t="str">
        <f>IFERROR(__xludf.DUMMYFUNCTION("""COMPUTED_VALUE"""),"{""typ"":""lc"",""txt"":""LC_ITEM_planet_2025_city_effect_name_7day""}")</f>
        <v>{"typ":"lc","txt":"LC_ITEM_planet_2025_city_effect_name_7day"}</v>
      </c>
      <c r="K2884" s="148" t="str">
        <f>IFERROR(__xludf.DUMMYFUNCTION("""COMPUTED_VALUE"""),"{""typ"":""lc"",""txt"":""LC_ITEM_planet_2025_city_effect_desc_7day""}")</f>
        <v>{"typ":"lc","txt":"LC_ITEM_planet_2025_city_effect_desc_7day"}</v>
      </c>
      <c r="L2884" s="148" t="str">
        <f>IFERROR(__xludf.DUMMYFUNCTION("""COMPUTED_VALUE"""),"{""typ"":""lc"",""txt"":""LC_ASSET_suit_actived_tips_1""}")</f>
        <v>{"typ":"lc","txt":"LC_ASSET_suit_actived_tips_1"}</v>
      </c>
      <c r="M2884" s="148">
        <f>IFERROR(__xludf.DUMMYFUNCTION("""COMPUTED_VALUE"""),10000.0)</f>
        <v>10000</v>
      </c>
      <c r="N2884" s="148">
        <f>IFERROR(__xludf.DUMMYFUNCTION("""COMPUTED_VALUE"""),999.0)</f>
        <v>999</v>
      </c>
      <c r="O2884" s="148">
        <f>IFERROR(__xludf.DUMMYFUNCTION("""COMPUTED_VALUE"""),1.0)</f>
        <v>1</v>
      </c>
      <c r="P2884" s="148">
        <f>IFERROR(__xludf.DUMMYFUNCTION("""COMPUTED_VALUE"""),1.0)</f>
        <v>1</v>
      </c>
      <c r="Q2884" s="148" t="str">
        <f>IFERROR(__xludf.DUMMYFUNCTION("""COMPUTED_VALUE"""),"[""bag_other""]")</f>
        <v>["bag_other"]</v>
      </c>
      <c r="R2884" s="148" t="str">
        <f>IFERROR(__xludf.DUMMYFUNCTION("""COMPUTED_VALUE"""),"[""bag"",""13881012""]")</f>
        <v>["bag","13881012"]</v>
      </c>
      <c r="S2884" s="148" t="str">
        <f>IFERROR(__xludf.DUMMYFUNCTION("""COMPUTED_VALUE"""),"{""effect"":[{""typ"":""city_suit_decoration"",""id"":13881012,""val"":604800000},{""typ"":""item"",""id"":11111021,""val"":3}]}")</f>
        <v>{"effect":[{"typ":"city_suit_decoration","id":13881012,"val":604800000},{"typ":"item","id":11111021,"val":3}]}</v>
      </c>
      <c r="T2884" s="148">
        <f>IFERROR(__xludf.DUMMYFUNCTION("""COMPUTED_VALUE"""),-1.0)</f>
        <v>-1</v>
      </c>
      <c r="U2884" s="148">
        <f>IFERROR(__xludf.DUMMYFUNCTION("""COMPUTED_VALUE"""),0.0)</f>
        <v>0</v>
      </c>
      <c r="V2884" s="148" t="str">
        <f>IFERROR(__xludf.DUMMYFUNCTION("""COMPUTED_VALUE"""),"[]")</f>
        <v>[]</v>
      </c>
      <c r="W2884" s="148">
        <f>IFERROR(__xludf.DUMMYFUNCTION("""COMPUTED_VALUE"""),1.174E7)</f>
        <v>11740000</v>
      </c>
      <c r="X2884" s="148">
        <f>IFERROR(__xludf.DUMMYFUNCTION("""COMPUTED_VALUE"""),0.0)</f>
        <v>0</v>
      </c>
      <c r="Y2884" s="148">
        <f>IFERROR(__xludf.DUMMYFUNCTION("""COMPUTED_VALUE"""),0.0)</f>
        <v>0</v>
      </c>
      <c r="Z2884" s="148"/>
    </row>
    <row r="2885">
      <c r="A2885" s="148">
        <f>IFERROR(__xludf.DUMMYFUNCTION("""COMPUTED_VALUE"""),1.1119847E7)</f>
        <v>11119847</v>
      </c>
      <c r="B2885" s="148" t="str">
        <f>IFERROR(__xludf.DUMMYFUNCTION("""COMPUTED_VALUE"""),"主城特效-星球套2025-14天")</f>
        <v>主城特效-星球套2025-14天</v>
      </c>
      <c r="C2885" s="148"/>
      <c r="D2885" s="148" t="str">
        <f>IFERROR(__xludf.DUMMYFUNCTION("""COMPUTED_VALUE"""),"city_suit_decoration")</f>
        <v>city_suit_decoration</v>
      </c>
      <c r="E2885" s="148">
        <f>IFERROR(__xludf.DUMMYFUNCTION("""COMPUTED_VALUE"""),21.0)</f>
        <v>21</v>
      </c>
      <c r="F2885" s="148">
        <f>IFERROR(__xludf.DUMMYFUNCTION("""COMPUTED_VALUE"""),499990.0)</f>
        <v>499990</v>
      </c>
      <c r="G2885" s="148">
        <f>IFERROR(__xludf.DUMMYFUNCTION("""COMPUTED_VALUE"""),1.51103142E8)</f>
        <v>151103142</v>
      </c>
      <c r="H2885" s="148">
        <f>IFERROR(__xludf.DUMMYFUNCTION("""COMPUTED_VALUE"""),1.5112564E7)</f>
        <v>15112564</v>
      </c>
      <c r="I2885" s="148" t="str">
        <f>IFERROR(__xludf.DUMMYFUNCTION("""COMPUTED_VALUE"""),"{""typ"":""lc"",""txt"":""LC_ITEM_time_day_upper_show"",""args"":[{""typ"":""int"",""val"":14}]}")</f>
        <v>{"typ":"lc","txt":"LC_ITEM_time_day_upper_show","args":[{"typ":"int","val":14}]}</v>
      </c>
      <c r="J2885" s="148" t="str">
        <f>IFERROR(__xludf.DUMMYFUNCTION("""COMPUTED_VALUE"""),"{""typ"":""lc"",""txt"":""LC_ITEM_planet_2025_city_effect_name_14day""}")</f>
        <v>{"typ":"lc","txt":"LC_ITEM_planet_2025_city_effect_name_14day"}</v>
      </c>
      <c r="K2885" s="148" t="str">
        <f>IFERROR(__xludf.DUMMYFUNCTION("""COMPUTED_VALUE"""),"{""typ"":""lc"",""txt"":""LC_ITEM_planet_2025_city_effect_desc_14day""}")</f>
        <v>{"typ":"lc","txt":"LC_ITEM_planet_2025_city_effect_desc_14day"}</v>
      </c>
      <c r="L2885" s="148" t="str">
        <f>IFERROR(__xludf.DUMMYFUNCTION("""COMPUTED_VALUE"""),"{""typ"":""lc"",""txt"":""LC_ASSET_suit_actived_tips_1""}")</f>
        <v>{"typ":"lc","txt":"LC_ASSET_suit_actived_tips_1"}</v>
      </c>
      <c r="M2885" s="148">
        <f>IFERROR(__xludf.DUMMYFUNCTION("""COMPUTED_VALUE"""),10000.0)</f>
        <v>10000</v>
      </c>
      <c r="N2885" s="148">
        <f>IFERROR(__xludf.DUMMYFUNCTION("""COMPUTED_VALUE"""),999.0)</f>
        <v>999</v>
      </c>
      <c r="O2885" s="148">
        <f>IFERROR(__xludf.DUMMYFUNCTION("""COMPUTED_VALUE"""),1.0)</f>
        <v>1</v>
      </c>
      <c r="P2885" s="148">
        <f>IFERROR(__xludf.DUMMYFUNCTION("""COMPUTED_VALUE"""),1.0)</f>
        <v>1</v>
      </c>
      <c r="Q2885" s="148" t="str">
        <f>IFERROR(__xludf.DUMMYFUNCTION("""COMPUTED_VALUE"""),"[""bag_other""]")</f>
        <v>["bag_other"]</v>
      </c>
      <c r="R2885" s="148" t="str">
        <f>IFERROR(__xludf.DUMMYFUNCTION("""COMPUTED_VALUE"""),"[""bag"",""13881012""]")</f>
        <v>["bag","13881012"]</v>
      </c>
      <c r="S2885" s="148" t="str">
        <f>IFERROR(__xludf.DUMMYFUNCTION("""COMPUTED_VALUE"""),"{""effect"":[{""typ"":""city_suit_decoration"",""id"":13881012,""val"":1209600000},{""typ"":""item"",""id"":11111021,""val"":7}]}")</f>
        <v>{"effect":[{"typ":"city_suit_decoration","id":13881012,"val":1209600000},{"typ":"item","id":11111021,"val":7}]}</v>
      </c>
      <c r="T2885" s="148">
        <f>IFERROR(__xludf.DUMMYFUNCTION("""COMPUTED_VALUE"""),-1.0)</f>
        <v>-1</v>
      </c>
      <c r="U2885" s="148">
        <f>IFERROR(__xludf.DUMMYFUNCTION("""COMPUTED_VALUE"""),0.0)</f>
        <v>0</v>
      </c>
      <c r="V2885" s="148" t="str">
        <f>IFERROR(__xludf.DUMMYFUNCTION("""COMPUTED_VALUE"""),"[]")</f>
        <v>[]</v>
      </c>
      <c r="W2885" s="148">
        <f>IFERROR(__xludf.DUMMYFUNCTION("""COMPUTED_VALUE"""),1.174E7)</f>
        <v>11740000</v>
      </c>
      <c r="X2885" s="148">
        <f>IFERROR(__xludf.DUMMYFUNCTION("""COMPUTED_VALUE"""),0.0)</f>
        <v>0</v>
      </c>
      <c r="Y2885" s="148">
        <f>IFERROR(__xludf.DUMMYFUNCTION("""COMPUTED_VALUE"""),0.0)</f>
        <v>0</v>
      </c>
      <c r="Z2885" s="148"/>
    </row>
    <row r="2886">
      <c r="A2886" s="148">
        <f>IFERROR(__xludf.DUMMYFUNCTION("""COMPUTED_VALUE"""),1.1119848E7)</f>
        <v>11119848</v>
      </c>
      <c r="B2886" s="148" t="str">
        <f>IFERROR(__xludf.DUMMYFUNCTION("""COMPUTED_VALUE"""),"情人节2026-个人累充抽奖道具")</f>
        <v>情人节2026-个人累充抽奖道具</v>
      </c>
      <c r="C2886" s="148"/>
      <c r="D2886" s="148" t="str">
        <f>IFERROR(__xludf.DUMMYFUNCTION("""COMPUTED_VALUE"""),"event")</f>
        <v>event</v>
      </c>
      <c r="E2886" s="148">
        <f>IFERROR(__xludf.DUMMYFUNCTION("""COMPUTED_VALUE"""),0.0)</f>
        <v>0</v>
      </c>
      <c r="F2886" s="148">
        <f>IFERROR(__xludf.DUMMYFUNCTION("""COMPUTED_VALUE"""),0.0)</f>
        <v>0</v>
      </c>
      <c r="G2886" s="148">
        <f>IFERROR(__xludf.DUMMYFUNCTION("""COMPUTED_VALUE"""),1.51103146E8)</f>
        <v>151103146</v>
      </c>
      <c r="H2886" s="148">
        <f>IFERROR(__xludf.DUMMYFUNCTION("""COMPUTED_VALUE"""),1.5112563E7)</f>
        <v>15112563</v>
      </c>
      <c r="I2886" s="148" t="str">
        <f>IFERROR(__xludf.DUMMYFUNCTION("""COMPUTED_VALUE"""),"{}")</f>
        <v>{}</v>
      </c>
      <c r="J2886" s="148" t="str">
        <f>IFERROR(__xludf.DUMMYFUNCTION("""COMPUTED_VALUE"""),"{""typ"":""lc"",""txt"":""LC_ITEM_planet_super_lotto_name""}")</f>
        <v>{"typ":"lc","txt":"LC_ITEM_planet_super_lotto_name"}</v>
      </c>
      <c r="K2886" s="148" t="str">
        <f>IFERROR(__xludf.DUMMYFUNCTION("""COMPUTED_VALUE"""),"{""typ"":""lc"",""txt"":""LC_ITEM_planet_super_lotto_desc""}")</f>
        <v>{"typ":"lc","txt":"LC_ITEM_planet_super_lotto_desc"}</v>
      </c>
      <c r="L2886" s="148" t="str">
        <f>IFERROR(__xludf.DUMMYFUNCTION("""COMPUTED_VALUE"""),"{}")</f>
        <v>{}</v>
      </c>
      <c r="M2886" s="148">
        <f>IFERROR(__xludf.DUMMYFUNCTION("""COMPUTED_VALUE"""),700.0)</f>
        <v>700</v>
      </c>
      <c r="N2886" s="148">
        <f>IFERROR(__xludf.DUMMYFUNCTION("""COMPUTED_VALUE"""),9.99999999E8)</f>
        <v>999999999</v>
      </c>
      <c r="O2886" s="148">
        <f>IFERROR(__xludf.DUMMYFUNCTION("""COMPUTED_VALUE"""),9.99999999E8)</f>
        <v>999999999</v>
      </c>
      <c r="P2886" s="148">
        <f>IFERROR(__xludf.DUMMYFUNCTION("""COMPUTED_VALUE"""),9.99999999E8)</f>
        <v>999999999</v>
      </c>
      <c r="Q2886" s="148" t="str">
        <f>IFERROR(__xludf.DUMMYFUNCTION("""COMPUTED_VALUE"""),"[""bag_other""]")</f>
        <v>["bag_other"]</v>
      </c>
      <c r="R2886" s="148" t="str">
        <f>IFERROR(__xludf.DUMMYFUNCTION("""COMPUTED_VALUE"""),"[""bag""]")</f>
        <v>["bag"]</v>
      </c>
      <c r="S2886" s="148" t="str">
        <f>IFERROR(__xludf.DUMMYFUNCTION("""COMPUTED_VALUE"""),"{""effect"":[{""typ"":""event"",""id"":21127713}]}")</f>
        <v>{"effect":[{"typ":"event","id":21127713}]}</v>
      </c>
      <c r="T2886" s="148">
        <f>IFERROR(__xludf.DUMMYFUNCTION("""COMPUTED_VALUE"""),1.0)</f>
        <v>1</v>
      </c>
      <c r="U2886" s="148">
        <f>IFERROR(__xludf.DUMMYFUNCTION("""COMPUTED_VALUE"""),0.0)</f>
        <v>0</v>
      </c>
      <c r="V2886" s="148" t="str">
        <f>IFERROR(__xludf.DUMMYFUNCTION("""COMPUTED_VALUE"""),"[]")</f>
        <v>[]</v>
      </c>
      <c r="W2886" s="148">
        <f>IFERROR(__xludf.DUMMYFUNCTION("""COMPUTED_VALUE"""),1.174E7)</f>
        <v>11740000</v>
      </c>
      <c r="X2886" s="148">
        <f>IFERROR(__xludf.DUMMYFUNCTION("""COMPUTED_VALUE"""),0.0)</f>
        <v>0</v>
      </c>
      <c r="Y2886" s="148">
        <f>IFERROR(__xludf.DUMMYFUNCTION("""COMPUTED_VALUE"""),0.0)</f>
        <v>0</v>
      </c>
      <c r="Z2886" s="148"/>
    </row>
    <row r="2887">
      <c r="A2887" s="148">
        <f>IFERROR(__xludf.DUMMYFUNCTION("""COMPUTED_VALUE"""),1.1119849E7)</f>
        <v>11119849</v>
      </c>
      <c r="B2887" s="148" t="str">
        <f>IFERROR(__xludf.DUMMYFUNCTION("""COMPUTED_VALUE"""),"2025感恩节每日补给宝箱-天数1")</f>
        <v>2025感恩节每日补给宝箱-天数1</v>
      </c>
      <c r="C2887" s="148"/>
      <c r="D2887" s="148" t="str">
        <f>IFERROR(__xludf.DUMMYFUNCTION("""COMPUTED_VALUE"""),"event")</f>
        <v>event</v>
      </c>
      <c r="E2887" s="148">
        <f>IFERROR(__xludf.DUMMYFUNCTION("""COMPUTED_VALUE"""),0.0)</f>
        <v>0</v>
      </c>
      <c r="F2887" s="148">
        <f>IFERROR(__xludf.DUMMYFUNCTION("""COMPUTED_VALUE"""),0.0)</f>
        <v>0</v>
      </c>
      <c r="G2887" s="148">
        <f>IFERROR(__xludf.DUMMYFUNCTION("""COMPUTED_VALUE"""),1.51103198E8)</f>
        <v>151103198</v>
      </c>
      <c r="H2887" s="148">
        <f>IFERROR(__xludf.DUMMYFUNCTION("""COMPUTED_VALUE"""),1.5112564E7)</f>
        <v>15112564</v>
      </c>
      <c r="I2887" s="148" t="str">
        <f>IFERROR(__xludf.DUMMYFUNCTION("""COMPUTED_VALUE"""),"{}")</f>
        <v>{}</v>
      </c>
      <c r="J2887" s="148" t="str">
        <f>IFERROR(__xludf.DUMMYFUNCTION("""COMPUTED_VALUE"""),"{""typ"":""lc"",""txt"":""LC_EVENT_daily_supply_title""}")</f>
        <v>{"typ":"lc","txt":"LC_EVENT_daily_supply_title"}</v>
      </c>
      <c r="K2887" s="148" t="str">
        <f>IFERROR(__xludf.DUMMYFUNCTION("""COMPUTED_VALUE"""),"{""typ"":""lc"",""txt"":""LC_ITEM_daily_supply_item_desc""}")</f>
        <v>{"typ":"lc","txt":"LC_ITEM_daily_supply_item_desc"}</v>
      </c>
      <c r="L2887" s="148" t="str">
        <f>IFERROR(__xludf.DUMMYFUNCTION("""COMPUTED_VALUE"""),"{}")</f>
        <v>{}</v>
      </c>
      <c r="M2887" s="148">
        <f>IFERROR(__xludf.DUMMYFUNCTION("""COMPUTED_VALUE"""),86.0)</f>
        <v>86</v>
      </c>
      <c r="N2887" s="148">
        <f>IFERROR(__xludf.DUMMYFUNCTION("""COMPUTED_VALUE"""),999999.0)</f>
        <v>999999</v>
      </c>
      <c r="O2887" s="148">
        <f>IFERROR(__xludf.DUMMYFUNCTION("""COMPUTED_VALUE"""),99999.0)</f>
        <v>99999</v>
      </c>
      <c r="P2887" s="148">
        <f>IFERROR(__xludf.DUMMYFUNCTION("""COMPUTED_VALUE"""),99999.0)</f>
        <v>99999</v>
      </c>
      <c r="Q2887" s="148" t="str">
        <f>IFERROR(__xludf.DUMMYFUNCTION("""COMPUTED_VALUE"""),"[""bag_other""]")</f>
        <v>["bag_other"]</v>
      </c>
      <c r="R2887" s="148" t="str">
        <f>IFERROR(__xludf.DUMMYFUNCTION("""COMPUTED_VALUE"""),"[]")</f>
        <v>[]</v>
      </c>
      <c r="S2887" s="148" t="str">
        <f>IFERROR(__xludf.DUMMYFUNCTION("""COMPUTED_VALUE"""),"{""effect"":[{""typ"":""event"",""id"":21127567},{""typ"":""gacha_box"",""id"":21490003},{""typ"":""display_key"",""id"":151103199},{""typ"":""miss_lost_reward""}]}")</f>
        <v>{"effect":[{"typ":"event","id":21127567},{"typ":"gacha_box","id":21490003},{"typ":"display_key","id":151103199},{"typ":"miss_lost_reward"}]}</v>
      </c>
      <c r="T2887" s="148">
        <f>IFERROR(__xludf.DUMMYFUNCTION("""COMPUTED_VALUE"""),-1.0)</f>
        <v>-1</v>
      </c>
      <c r="U2887" s="148">
        <f>IFERROR(__xludf.DUMMYFUNCTION("""COMPUTED_VALUE"""),1.0)</f>
        <v>1</v>
      </c>
      <c r="V2887" s="148" t="str">
        <f>IFERROR(__xludf.DUMMYFUNCTION("""COMPUTED_VALUE"""),"[]")</f>
        <v>[]</v>
      </c>
      <c r="W2887" s="148">
        <f>IFERROR(__xludf.DUMMYFUNCTION("""COMPUTED_VALUE"""),1.174E7)</f>
        <v>11740000</v>
      </c>
      <c r="X2887" s="148">
        <f>IFERROR(__xludf.DUMMYFUNCTION("""COMPUTED_VALUE"""),0.0)</f>
        <v>0</v>
      </c>
      <c r="Y2887" s="148">
        <f>IFERROR(__xludf.DUMMYFUNCTION("""COMPUTED_VALUE"""),0.0)</f>
        <v>0</v>
      </c>
      <c r="Z2887" s="148"/>
    </row>
    <row r="2888">
      <c r="A2888" s="148">
        <f>IFERROR(__xludf.DUMMYFUNCTION("""COMPUTED_VALUE"""),1.111985E7)</f>
        <v>11119850</v>
      </c>
      <c r="B2888" s="148" t="str">
        <f>IFERROR(__xludf.DUMMYFUNCTION("""COMPUTED_VALUE"""),"2025感恩节每日补给宝箱-天数2")</f>
        <v>2025感恩节每日补给宝箱-天数2</v>
      </c>
      <c r="C2888" s="148"/>
      <c r="D2888" s="148" t="str">
        <f>IFERROR(__xludf.DUMMYFUNCTION("""COMPUTED_VALUE"""),"event")</f>
        <v>event</v>
      </c>
      <c r="E2888" s="148">
        <f>IFERROR(__xludf.DUMMYFUNCTION("""COMPUTED_VALUE"""),0.0)</f>
        <v>0</v>
      </c>
      <c r="F2888" s="148">
        <f>IFERROR(__xludf.DUMMYFUNCTION("""COMPUTED_VALUE"""),0.0)</f>
        <v>0</v>
      </c>
      <c r="G2888" s="148">
        <f>IFERROR(__xludf.DUMMYFUNCTION("""COMPUTED_VALUE"""),1.51103198E8)</f>
        <v>151103198</v>
      </c>
      <c r="H2888" s="148">
        <f>IFERROR(__xludf.DUMMYFUNCTION("""COMPUTED_VALUE"""),1.5112564E7)</f>
        <v>15112564</v>
      </c>
      <c r="I2888" s="148" t="str">
        <f>IFERROR(__xludf.DUMMYFUNCTION("""COMPUTED_VALUE"""),"{}")</f>
        <v>{}</v>
      </c>
      <c r="J2888" s="148" t="str">
        <f>IFERROR(__xludf.DUMMYFUNCTION("""COMPUTED_VALUE"""),"{""typ"":""lc"",""txt"":""LC_EVENT_daily_supply_title""}")</f>
        <v>{"typ":"lc","txt":"LC_EVENT_daily_supply_title"}</v>
      </c>
      <c r="K2888" s="148" t="str">
        <f>IFERROR(__xludf.DUMMYFUNCTION("""COMPUTED_VALUE"""),"{""typ"":""lc"",""txt"":""LC_ITEM_daily_supply_item_desc""}")</f>
        <v>{"typ":"lc","txt":"LC_ITEM_daily_supply_item_desc"}</v>
      </c>
      <c r="L2888" s="148" t="str">
        <f>IFERROR(__xludf.DUMMYFUNCTION("""COMPUTED_VALUE"""),"{}")</f>
        <v>{}</v>
      </c>
      <c r="M2888" s="148">
        <f>IFERROR(__xludf.DUMMYFUNCTION("""COMPUTED_VALUE"""),86.0)</f>
        <v>86</v>
      </c>
      <c r="N2888" s="148">
        <f>IFERROR(__xludf.DUMMYFUNCTION("""COMPUTED_VALUE"""),999999.0)</f>
        <v>999999</v>
      </c>
      <c r="O2888" s="148">
        <f>IFERROR(__xludf.DUMMYFUNCTION("""COMPUTED_VALUE"""),99999.0)</f>
        <v>99999</v>
      </c>
      <c r="P2888" s="148">
        <f>IFERROR(__xludf.DUMMYFUNCTION("""COMPUTED_VALUE"""),99999.0)</f>
        <v>99999</v>
      </c>
      <c r="Q2888" s="148" t="str">
        <f>IFERROR(__xludf.DUMMYFUNCTION("""COMPUTED_VALUE"""),"[""bag_other""]")</f>
        <v>["bag_other"]</v>
      </c>
      <c r="R2888" s="148" t="str">
        <f>IFERROR(__xludf.DUMMYFUNCTION("""COMPUTED_VALUE"""),"[]")</f>
        <v>[]</v>
      </c>
      <c r="S2888" s="148" t="str">
        <f>IFERROR(__xludf.DUMMYFUNCTION("""COMPUTED_VALUE"""),"{""effect"":[{""typ"":""event"",""id"":21127567},{""typ"":""gacha_box"",""id"":21490005},{""typ"":""display_key"",""id"":151103199},{""typ"":""miss_lost_reward""}]}")</f>
        <v>{"effect":[{"typ":"event","id":21127567},{"typ":"gacha_box","id":21490005},{"typ":"display_key","id":151103199},{"typ":"miss_lost_reward"}]}</v>
      </c>
      <c r="T2888" s="148">
        <f>IFERROR(__xludf.DUMMYFUNCTION("""COMPUTED_VALUE"""),-1.0)</f>
        <v>-1</v>
      </c>
      <c r="U2888" s="148">
        <f>IFERROR(__xludf.DUMMYFUNCTION("""COMPUTED_VALUE"""),1.0)</f>
        <v>1</v>
      </c>
      <c r="V2888" s="148" t="str">
        <f>IFERROR(__xludf.DUMMYFUNCTION("""COMPUTED_VALUE"""),"[]")</f>
        <v>[]</v>
      </c>
      <c r="W2888" s="148">
        <f>IFERROR(__xludf.DUMMYFUNCTION("""COMPUTED_VALUE"""),1.174E7)</f>
        <v>11740000</v>
      </c>
      <c r="X2888" s="148">
        <f>IFERROR(__xludf.DUMMYFUNCTION("""COMPUTED_VALUE"""),0.0)</f>
        <v>0</v>
      </c>
      <c r="Y2888" s="148">
        <f>IFERROR(__xludf.DUMMYFUNCTION("""COMPUTED_VALUE"""),0.0)</f>
        <v>0</v>
      </c>
      <c r="Z2888" s="148"/>
    </row>
    <row r="2889">
      <c r="A2889" s="148">
        <f>IFERROR(__xludf.DUMMYFUNCTION("""COMPUTED_VALUE"""),1.1119851E7)</f>
        <v>11119851</v>
      </c>
      <c r="B2889" s="148" t="str">
        <f>IFERROR(__xludf.DUMMYFUNCTION("""COMPUTED_VALUE"""),"2025感恩节每日补给宝箱-天数3")</f>
        <v>2025感恩节每日补给宝箱-天数3</v>
      </c>
      <c r="C2889" s="148"/>
      <c r="D2889" s="148" t="str">
        <f>IFERROR(__xludf.DUMMYFUNCTION("""COMPUTED_VALUE"""),"event")</f>
        <v>event</v>
      </c>
      <c r="E2889" s="148">
        <f>IFERROR(__xludf.DUMMYFUNCTION("""COMPUTED_VALUE"""),0.0)</f>
        <v>0</v>
      </c>
      <c r="F2889" s="148">
        <f>IFERROR(__xludf.DUMMYFUNCTION("""COMPUTED_VALUE"""),0.0)</f>
        <v>0</v>
      </c>
      <c r="G2889" s="148">
        <f>IFERROR(__xludf.DUMMYFUNCTION("""COMPUTED_VALUE"""),1.51103198E8)</f>
        <v>151103198</v>
      </c>
      <c r="H2889" s="148">
        <f>IFERROR(__xludf.DUMMYFUNCTION("""COMPUTED_VALUE"""),1.5112564E7)</f>
        <v>15112564</v>
      </c>
      <c r="I2889" s="148" t="str">
        <f>IFERROR(__xludf.DUMMYFUNCTION("""COMPUTED_VALUE"""),"{}")</f>
        <v>{}</v>
      </c>
      <c r="J2889" s="148" t="str">
        <f>IFERROR(__xludf.DUMMYFUNCTION("""COMPUTED_VALUE"""),"{""typ"":""lc"",""txt"":""LC_EVENT_daily_supply_title""}")</f>
        <v>{"typ":"lc","txt":"LC_EVENT_daily_supply_title"}</v>
      </c>
      <c r="K2889" s="148" t="str">
        <f>IFERROR(__xludf.DUMMYFUNCTION("""COMPUTED_VALUE"""),"{""typ"":""lc"",""txt"":""LC_ITEM_daily_supply_item_desc""}")</f>
        <v>{"typ":"lc","txt":"LC_ITEM_daily_supply_item_desc"}</v>
      </c>
      <c r="L2889" s="148" t="str">
        <f>IFERROR(__xludf.DUMMYFUNCTION("""COMPUTED_VALUE"""),"{}")</f>
        <v>{}</v>
      </c>
      <c r="M2889" s="148">
        <f>IFERROR(__xludf.DUMMYFUNCTION("""COMPUTED_VALUE"""),86.0)</f>
        <v>86</v>
      </c>
      <c r="N2889" s="148">
        <f>IFERROR(__xludf.DUMMYFUNCTION("""COMPUTED_VALUE"""),999999.0)</f>
        <v>999999</v>
      </c>
      <c r="O2889" s="148">
        <f>IFERROR(__xludf.DUMMYFUNCTION("""COMPUTED_VALUE"""),99999.0)</f>
        <v>99999</v>
      </c>
      <c r="P2889" s="148">
        <f>IFERROR(__xludf.DUMMYFUNCTION("""COMPUTED_VALUE"""),99999.0)</f>
        <v>99999</v>
      </c>
      <c r="Q2889" s="148" t="str">
        <f>IFERROR(__xludf.DUMMYFUNCTION("""COMPUTED_VALUE"""),"[""bag_other""]")</f>
        <v>["bag_other"]</v>
      </c>
      <c r="R2889" s="148" t="str">
        <f>IFERROR(__xludf.DUMMYFUNCTION("""COMPUTED_VALUE"""),"[]")</f>
        <v>[]</v>
      </c>
      <c r="S2889" s="148" t="str">
        <f>IFERROR(__xludf.DUMMYFUNCTION("""COMPUTED_VALUE"""),"{""effect"":[{""typ"":""event"",""id"":21127567},{""typ"":""gacha_box"",""id"":21490007},{""typ"":""display_key"",""id"":151103199},{""typ"":""miss_lost_reward""}]}")</f>
        <v>{"effect":[{"typ":"event","id":21127567},{"typ":"gacha_box","id":21490007},{"typ":"display_key","id":151103199},{"typ":"miss_lost_reward"}]}</v>
      </c>
      <c r="T2889" s="148">
        <f>IFERROR(__xludf.DUMMYFUNCTION("""COMPUTED_VALUE"""),-1.0)</f>
        <v>-1</v>
      </c>
      <c r="U2889" s="148">
        <f>IFERROR(__xludf.DUMMYFUNCTION("""COMPUTED_VALUE"""),1.0)</f>
        <v>1</v>
      </c>
      <c r="V2889" s="148" t="str">
        <f>IFERROR(__xludf.DUMMYFUNCTION("""COMPUTED_VALUE"""),"[]")</f>
        <v>[]</v>
      </c>
      <c r="W2889" s="148">
        <f>IFERROR(__xludf.DUMMYFUNCTION("""COMPUTED_VALUE"""),1.174E7)</f>
        <v>11740000</v>
      </c>
      <c r="X2889" s="148">
        <f>IFERROR(__xludf.DUMMYFUNCTION("""COMPUTED_VALUE"""),0.0)</f>
        <v>0</v>
      </c>
      <c r="Y2889" s="148">
        <f>IFERROR(__xludf.DUMMYFUNCTION("""COMPUTED_VALUE"""),0.0)</f>
        <v>0</v>
      </c>
      <c r="Z2889" s="148"/>
    </row>
    <row r="2890">
      <c r="A2890" s="148">
        <f>IFERROR(__xludf.DUMMYFUNCTION("""COMPUTED_VALUE"""),1.1119852E7)</f>
        <v>11119852</v>
      </c>
      <c r="B2890" s="148" t="str">
        <f>IFERROR(__xludf.DUMMYFUNCTION("""COMPUTED_VALUE"""),"2025感恩节每日补给宝箱-天数4")</f>
        <v>2025感恩节每日补给宝箱-天数4</v>
      </c>
      <c r="C2890" s="148"/>
      <c r="D2890" s="148" t="str">
        <f>IFERROR(__xludf.DUMMYFUNCTION("""COMPUTED_VALUE"""),"event")</f>
        <v>event</v>
      </c>
      <c r="E2890" s="148">
        <f>IFERROR(__xludf.DUMMYFUNCTION("""COMPUTED_VALUE"""),0.0)</f>
        <v>0</v>
      </c>
      <c r="F2890" s="148">
        <f>IFERROR(__xludf.DUMMYFUNCTION("""COMPUTED_VALUE"""),0.0)</f>
        <v>0</v>
      </c>
      <c r="G2890" s="148">
        <f>IFERROR(__xludf.DUMMYFUNCTION("""COMPUTED_VALUE"""),1.51103198E8)</f>
        <v>151103198</v>
      </c>
      <c r="H2890" s="148">
        <f>IFERROR(__xludf.DUMMYFUNCTION("""COMPUTED_VALUE"""),1.5112564E7)</f>
        <v>15112564</v>
      </c>
      <c r="I2890" s="148" t="str">
        <f>IFERROR(__xludf.DUMMYFUNCTION("""COMPUTED_VALUE"""),"{}")</f>
        <v>{}</v>
      </c>
      <c r="J2890" s="148" t="str">
        <f>IFERROR(__xludf.DUMMYFUNCTION("""COMPUTED_VALUE"""),"{""typ"":""lc"",""txt"":""LC_EVENT_daily_supply_title""}")</f>
        <v>{"typ":"lc","txt":"LC_EVENT_daily_supply_title"}</v>
      </c>
      <c r="K2890" s="148" t="str">
        <f>IFERROR(__xludf.DUMMYFUNCTION("""COMPUTED_VALUE"""),"{""typ"":""lc"",""txt"":""LC_ITEM_daily_supply_item_desc""}")</f>
        <v>{"typ":"lc","txt":"LC_ITEM_daily_supply_item_desc"}</v>
      </c>
      <c r="L2890" s="148" t="str">
        <f>IFERROR(__xludf.DUMMYFUNCTION("""COMPUTED_VALUE"""),"{}")</f>
        <v>{}</v>
      </c>
      <c r="M2890" s="148">
        <f>IFERROR(__xludf.DUMMYFUNCTION("""COMPUTED_VALUE"""),86.0)</f>
        <v>86</v>
      </c>
      <c r="N2890" s="148">
        <f>IFERROR(__xludf.DUMMYFUNCTION("""COMPUTED_VALUE"""),999999.0)</f>
        <v>999999</v>
      </c>
      <c r="O2890" s="148">
        <f>IFERROR(__xludf.DUMMYFUNCTION("""COMPUTED_VALUE"""),99999.0)</f>
        <v>99999</v>
      </c>
      <c r="P2890" s="148">
        <f>IFERROR(__xludf.DUMMYFUNCTION("""COMPUTED_VALUE"""),99999.0)</f>
        <v>99999</v>
      </c>
      <c r="Q2890" s="148" t="str">
        <f>IFERROR(__xludf.DUMMYFUNCTION("""COMPUTED_VALUE"""),"[""bag_other""]")</f>
        <v>["bag_other"]</v>
      </c>
      <c r="R2890" s="148" t="str">
        <f>IFERROR(__xludf.DUMMYFUNCTION("""COMPUTED_VALUE"""),"[]")</f>
        <v>[]</v>
      </c>
      <c r="S2890" s="148" t="str">
        <f>IFERROR(__xludf.DUMMYFUNCTION("""COMPUTED_VALUE"""),"{""effect"":[{""typ"":""event"",""id"":21127567},{""typ"":""gacha_box"",""id"":21490009},{""typ"":""display_key"",""id"":151103199},{""typ"":""miss_lost_reward""}]}")</f>
        <v>{"effect":[{"typ":"event","id":21127567},{"typ":"gacha_box","id":21490009},{"typ":"display_key","id":151103199},{"typ":"miss_lost_reward"}]}</v>
      </c>
      <c r="T2890" s="148">
        <f>IFERROR(__xludf.DUMMYFUNCTION("""COMPUTED_VALUE"""),-1.0)</f>
        <v>-1</v>
      </c>
      <c r="U2890" s="148">
        <f>IFERROR(__xludf.DUMMYFUNCTION("""COMPUTED_VALUE"""),1.0)</f>
        <v>1</v>
      </c>
      <c r="V2890" s="148" t="str">
        <f>IFERROR(__xludf.DUMMYFUNCTION("""COMPUTED_VALUE"""),"[]")</f>
        <v>[]</v>
      </c>
      <c r="W2890" s="148">
        <f>IFERROR(__xludf.DUMMYFUNCTION("""COMPUTED_VALUE"""),1.174E7)</f>
        <v>11740000</v>
      </c>
      <c r="X2890" s="148">
        <f>IFERROR(__xludf.DUMMYFUNCTION("""COMPUTED_VALUE"""),0.0)</f>
        <v>0</v>
      </c>
      <c r="Y2890" s="148">
        <f>IFERROR(__xludf.DUMMYFUNCTION("""COMPUTED_VALUE"""),0.0)</f>
        <v>0</v>
      </c>
      <c r="Z2890" s="148"/>
    </row>
    <row r="2891">
      <c r="A2891" s="148">
        <f>IFERROR(__xludf.DUMMYFUNCTION("""COMPUTED_VALUE"""),1.1119853E7)</f>
        <v>11119853</v>
      </c>
      <c r="B2891" s="148" t="str">
        <f>IFERROR(__xludf.DUMMYFUNCTION("""COMPUTED_VALUE"""),"2025感恩节每日补给宝箱-天数5")</f>
        <v>2025感恩节每日补给宝箱-天数5</v>
      </c>
      <c r="C2891" s="148"/>
      <c r="D2891" s="148" t="str">
        <f>IFERROR(__xludf.DUMMYFUNCTION("""COMPUTED_VALUE"""),"event")</f>
        <v>event</v>
      </c>
      <c r="E2891" s="148">
        <f>IFERROR(__xludf.DUMMYFUNCTION("""COMPUTED_VALUE"""),0.0)</f>
        <v>0</v>
      </c>
      <c r="F2891" s="148">
        <f>IFERROR(__xludf.DUMMYFUNCTION("""COMPUTED_VALUE"""),0.0)</f>
        <v>0</v>
      </c>
      <c r="G2891" s="148">
        <f>IFERROR(__xludf.DUMMYFUNCTION("""COMPUTED_VALUE"""),1.51103198E8)</f>
        <v>151103198</v>
      </c>
      <c r="H2891" s="148">
        <f>IFERROR(__xludf.DUMMYFUNCTION("""COMPUTED_VALUE"""),1.5112564E7)</f>
        <v>15112564</v>
      </c>
      <c r="I2891" s="148" t="str">
        <f>IFERROR(__xludf.DUMMYFUNCTION("""COMPUTED_VALUE"""),"{}")</f>
        <v>{}</v>
      </c>
      <c r="J2891" s="148" t="str">
        <f>IFERROR(__xludf.DUMMYFUNCTION("""COMPUTED_VALUE"""),"{""typ"":""lc"",""txt"":""LC_EVENT_daily_supply_title""}")</f>
        <v>{"typ":"lc","txt":"LC_EVENT_daily_supply_title"}</v>
      </c>
      <c r="K2891" s="148" t="str">
        <f>IFERROR(__xludf.DUMMYFUNCTION("""COMPUTED_VALUE"""),"{""typ"":""lc"",""txt"":""LC_ITEM_daily_supply_item_desc""}")</f>
        <v>{"typ":"lc","txt":"LC_ITEM_daily_supply_item_desc"}</v>
      </c>
      <c r="L2891" s="148" t="str">
        <f>IFERROR(__xludf.DUMMYFUNCTION("""COMPUTED_VALUE"""),"{}")</f>
        <v>{}</v>
      </c>
      <c r="M2891" s="148">
        <f>IFERROR(__xludf.DUMMYFUNCTION("""COMPUTED_VALUE"""),86.0)</f>
        <v>86</v>
      </c>
      <c r="N2891" s="148">
        <f>IFERROR(__xludf.DUMMYFUNCTION("""COMPUTED_VALUE"""),999999.0)</f>
        <v>999999</v>
      </c>
      <c r="O2891" s="148">
        <f>IFERROR(__xludf.DUMMYFUNCTION("""COMPUTED_VALUE"""),99999.0)</f>
        <v>99999</v>
      </c>
      <c r="P2891" s="148">
        <f>IFERROR(__xludf.DUMMYFUNCTION("""COMPUTED_VALUE"""),99999.0)</f>
        <v>99999</v>
      </c>
      <c r="Q2891" s="148" t="str">
        <f>IFERROR(__xludf.DUMMYFUNCTION("""COMPUTED_VALUE"""),"[""bag_other""]")</f>
        <v>["bag_other"]</v>
      </c>
      <c r="R2891" s="148" t="str">
        <f>IFERROR(__xludf.DUMMYFUNCTION("""COMPUTED_VALUE"""),"[]")</f>
        <v>[]</v>
      </c>
      <c r="S2891" s="148" t="str">
        <f>IFERROR(__xludf.DUMMYFUNCTION("""COMPUTED_VALUE"""),"{""effect"":[{""typ"":""event"",""id"":21127567},{""typ"":""gacha_box"",""id"":21490011},{""typ"":""display_key"",""id"":151103199},{""typ"":""miss_lost_reward""}]}")</f>
        <v>{"effect":[{"typ":"event","id":21127567},{"typ":"gacha_box","id":21490011},{"typ":"display_key","id":151103199},{"typ":"miss_lost_reward"}]}</v>
      </c>
      <c r="T2891" s="148">
        <f>IFERROR(__xludf.DUMMYFUNCTION("""COMPUTED_VALUE"""),-1.0)</f>
        <v>-1</v>
      </c>
      <c r="U2891" s="148">
        <f>IFERROR(__xludf.DUMMYFUNCTION("""COMPUTED_VALUE"""),1.0)</f>
        <v>1</v>
      </c>
      <c r="V2891" s="148" t="str">
        <f>IFERROR(__xludf.DUMMYFUNCTION("""COMPUTED_VALUE"""),"[]")</f>
        <v>[]</v>
      </c>
      <c r="W2891" s="148">
        <f>IFERROR(__xludf.DUMMYFUNCTION("""COMPUTED_VALUE"""),1.174E7)</f>
        <v>11740000</v>
      </c>
      <c r="X2891" s="148">
        <f>IFERROR(__xludf.DUMMYFUNCTION("""COMPUTED_VALUE"""),0.0)</f>
        <v>0</v>
      </c>
      <c r="Y2891" s="148">
        <f>IFERROR(__xludf.DUMMYFUNCTION("""COMPUTED_VALUE"""),0.0)</f>
        <v>0</v>
      </c>
      <c r="Z2891" s="148"/>
    </row>
    <row r="2892">
      <c r="A2892" s="148">
        <f>IFERROR(__xludf.DUMMYFUNCTION("""COMPUTED_VALUE"""),1.1119854E7)</f>
        <v>11119854</v>
      </c>
      <c r="B2892" s="148" t="str">
        <f>IFERROR(__xludf.DUMMYFUNCTION("""COMPUTED_VALUE"""),"2025感恩节每日补给升级道具")</f>
        <v>2025感恩节每日补给升级道具</v>
      </c>
      <c r="C2892" s="148"/>
      <c r="D2892" s="148" t="str">
        <f>IFERROR(__xludf.DUMMYFUNCTION("""COMPUTED_VALUE"""),"event")</f>
        <v>event</v>
      </c>
      <c r="E2892" s="148">
        <f>IFERROR(__xludf.DUMMYFUNCTION("""COMPUTED_VALUE"""),0.0)</f>
        <v>0</v>
      </c>
      <c r="F2892" s="148">
        <f>IFERROR(__xludf.DUMMYFUNCTION("""COMPUTED_VALUE"""),0.0)</f>
        <v>0</v>
      </c>
      <c r="G2892" s="148">
        <f>IFERROR(__xludf.DUMMYFUNCTION("""COMPUTED_VALUE"""),1.511032E8)</f>
        <v>151103200</v>
      </c>
      <c r="H2892" s="148">
        <f>IFERROR(__xludf.DUMMYFUNCTION("""COMPUTED_VALUE"""),1.5112564E7)</f>
        <v>15112564</v>
      </c>
      <c r="I2892" s="148" t="str">
        <f>IFERROR(__xludf.DUMMYFUNCTION("""COMPUTED_VALUE"""),"{}")</f>
        <v>{}</v>
      </c>
      <c r="J2892" s="148" t="str">
        <f>IFERROR(__xludf.DUMMYFUNCTION("""COMPUTED_VALUE"""),"{""typ"":""lc"",""txt"":""LC_ITEM_daily_supply_update_item""}")</f>
        <v>{"typ":"lc","txt":"LC_ITEM_daily_supply_update_item"}</v>
      </c>
      <c r="K2892" s="148" t="str">
        <f>IFERROR(__xludf.DUMMYFUNCTION("""COMPUTED_VALUE"""),"{""typ"":""lc"",""txt"":""LC_ITEM_daily_supply_update_item_desc""}")</f>
        <v>{"typ":"lc","txt":"LC_ITEM_daily_supply_update_item_desc"}</v>
      </c>
      <c r="L2892" s="148" t="str">
        <f>IFERROR(__xludf.DUMMYFUNCTION("""COMPUTED_VALUE"""),"{}")</f>
        <v>{}</v>
      </c>
      <c r="M2892" s="148">
        <f>IFERROR(__xludf.DUMMYFUNCTION("""COMPUTED_VALUE"""),86.0)</f>
        <v>86</v>
      </c>
      <c r="N2892" s="148">
        <f>IFERROR(__xludf.DUMMYFUNCTION("""COMPUTED_VALUE"""),999999.0)</f>
        <v>999999</v>
      </c>
      <c r="O2892" s="148">
        <f>IFERROR(__xludf.DUMMYFUNCTION("""COMPUTED_VALUE"""),99999.0)</f>
        <v>99999</v>
      </c>
      <c r="P2892" s="148">
        <f>IFERROR(__xludf.DUMMYFUNCTION("""COMPUTED_VALUE"""),99999.0)</f>
        <v>99999</v>
      </c>
      <c r="Q2892" s="148" t="str">
        <f>IFERROR(__xludf.DUMMYFUNCTION("""COMPUTED_VALUE"""),"[""bag_other""]")</f>
        <v>["bag_other"]</v>
      </c>
      <c r="R2892" s="148" t="str">
        <f>IFERROR(__xludf.DUMMYFUNCTION("""COMPUTED_VALUE"""),"[]")</f>
        <v>[]</v>
      </c>
      <c r="S2892" s="148" t="str">
        <f>IFERROR(__xludf.DUMMYFUNCTION("""COMPUTED_VALUE"""),"{""effect"":[{""typ"":""event"",""id"":21127567},{""typ"":""upgrade_gacha_box""}]}")</f>
        <v>{"effect":[{"typ":"event","id":21127567},{"typ":"upgrade_gacha_box"}]}</v>
      </c>
      <c r="T2892" s="148">
        <f>IFERROR(__xludf.DUMMYFUNCTION("""COMPUTED_VALUE"""),-1.0)</f>
        <v>-1</v>
      </c>
      <c r="U2892" s="148">
        <f>IFERROR(__xludf.DUMMYFUNCTION("""COMPUTED_VALUE"""),1.0)</f>
        <v>1</v>
      </c>
      <c r="V2892" s="148" t="str">
        <f>IFERROR(__xludf.DUMMYFUNCTION("""COMPUTED_VALUE"""),"[]")</f>
        <v>[]</v>
      </c>
      <c r="W2892" s="148">
        <f>IFERROR(__xludf.DUMMYFUNCTION("""COMPUTED_VALUE"""),1.174E7)</f>
        <v>11740000</v>
      </c>
      <c r="X2892" s="148">
        <f>IFERROR(__xludf.DUMMYFUNCTION("""COMPUTED_VALUE"""),0.0)</f>
        <v>0</v>
      </c>
      <c r="Y2892" s="148">
        <f>IFERROR(__xludf.DUMMYFUNCTION("""COMPUTED_VALUE"""),0.0)</f>
        <v>0</v>
      </c>
      <c r="Z2892" s="148"/>
    </row>
    <row r="2893">
      <c r="A2893" s="148">
        <f>IFERROR(__xludf.DUMMYFUNCTION("""COMPUTED_VALUE"""),1.1119855E7)</f>
        <v>11119855</v>
      </c>
      <c r="B2893" s="148" t="str">
        <f>IFERROR(__xludf.DUMMYFUNCTION("""COMPUTED_VALUE"""),"星球套2025-外显体验卡自选道具")</f>
        <v>星球套2025-外显体验卡自选道具</v>
      </c>
      <c r="C2893" s="148"/>
      <c r="D2893" s="148" t="str">
        <f>IFERROR(__xludf.DUMMYFUNCTION("""COMPUTED_VALUE"""),"item_select_box")</f>
        <v>item_select_box</v>
      </c>
      <c r="E2893" s="148">
        <f>IFERROR(__xludf.DUMMYFUNCTION("""COMPUTED_VALUE"""),19.0)</f>
        <v>19</v>
      </c>
      <c r="F2893" s="148">
        <f>IFERROR(__xludf.DUMMYFUNCTION("""COMPUTED_VALUE"""),403200.0)</f>
        <v>403200</v>
      </c>
      <c r="G2893" s="148">
        <f>IFERROR(__xludf.DUMMYFUNCTION("""COMPUTED_VALUE"""),1.51103147E8)</f>
        <v>151103147</v>
      </c>
      <c r="H2893" s="148">
        <f>IFERROR(__xludf.DUMMYFUNCTION("""COMPUTED_VALUE"""),1.5112564E7)</f>
        <v>15112564</v>
      </c>
      <c r="I2893" s="148" t="str">
        <f>IFERROR(__xludf.DUMMYFUNCTION("""COMPUTED_VALUE"""),"{}")</f>
        <v>{}</v>
      </c>
      <c r="J2893" s="148" t="str">
        <f>IFERROR(__xludf.DUMMYFUNCTION("""COMPUTED_VALUE"""),"{""typ"":""lc"",""txt"":""LC_ITEM_planet_2025_city_suit_select_box_name""}")</f>
        <v>{"typ":"lc","txt":"LC_ITEM_planet_2025_city_suit_select_box_name"}</v>
      </c>
      <c r="K2893" s="148" t="str">
        <f>IFERROR(__xludf.DUMMYFUNCTION("""COMPUTED_VALUE"""),"{""typ"":""lc"",""txt"":""LC_ITEM_planet_2025_city_suit_select_box_desc"",""args"":[{""typ"":""int"",""val"":1},{""typ"":""int"",""val"":1}]}")</f>
        <v>{"typ":"lc","txt":"LC_ITEM_planet_2025_city_suit_select_box_desc","args":[{"typ":"int","val":1},{"typ":"int","val":1}]}</v>
      </c>
      <c r="L2893" s="148" t="str">
        <f>IFERROR(__xludf.DUMMYFUNCTION("""COMPUTED_VALUE"""),"{""typ"":""lc"",""txt"":""LC_ITEM_chest_from_atk_npc_usedtip""}")</f>
        <v>{"typ":"lc","txt":"LC_ITEM_chest_from_atk_npc_usedtip"}</v>
      </c>
      <c r="M2893" s="148">
        <f>IFERROR(__xludf.DUMMYFUNCTION("""COMPUTED_VALUE"""),1000.0)</f>
        <v>1000</v>
      </c>
      <c r="N2893" s="148">
        <f>IFERROR(__xludf.DUMMYFUNCTION("""COMPUTED_VALUE"""),999999.0)</f>
        <v>999999</v>
      </c>
      <c r="O2893" s="148">
        <f>IFERROR(__xludf.DUMMYFUNCTION("""COMPUTED_VALUE"""),99999.0)</f>
        <v>99999</v>
      </c>
      <c r="P2893" s="148">
        <f>IFERROR(__xludf.DUMMYFUNCTION("""COMPUTED_VALUE"""),99999.0)</f>
        <v>99999</v>
      </c>
      <c r="Q2893" s="148" t="str">
        <f>IFERROR(__xludf.DUMMYFUNCTION("""COMPUTED_VALUE"""),"[""bag_other""]")</f>
        <v>["bag_other"]</v>
      </c>
      <c r="R2893" s="148" t="str">
        <f>IFERROR(__xludf.DUMMYFUNCTION("""COMPUTED_VALUE"""),"[""bag""]")</f>
        <v>["bag"]</v>
      </c>
      <c r="S2893" s="148" t="str">
        <f>IFERROR(__xludf.DUMMYFUNCTION("""COMPUTED_VALUE"""),"{""select_box"":[{""typ"":""item"",""id"":11119831,""val"":1},{""typ"":""item"",""id"":11119834,""val"":1},{""typ"":""item"",""id"":11119839,""val"":1},{""typ"":""item"",""id"":11119843,""val"":1},{""typ"":""item"",""id"":11119847,""val"":1},{""typ"":""it"&amp;"em"",""id"":11118663,""val"":10}]}")</f>
        <v>{"select_box":[{"typ":"item","id":11119831,"val":1},{"typ":"item","id":11119834,"val":1},{"typ":"item","id":11119839,"val":1},{"typ":"item","id":11119843,"val":1},{"typ":"item","id":11119847,"val":1},{"typ":"item","id":11118663,"val":10}]}</v>
      </c>
      <c r="T2893" s="148">
        <f>IFERROR(__xludf.DUMMYFUNCTION("""COMPUTED_VALUE"""),1.0)</f>
        <v>1</v>
      </c>
      <c r="U2893" s="148">
        <f>IFERROR(__xludf.DUMMYFUNCTION("""COMPUTED_VALUE"""),0.0)</f>
        <v>0</v>
      </c>
      <c r="V2893" s="148" t="str">
        <f>IFERROR(__xludf.DUMMYFUNCTION("""COMPUTED_VALUE"""),"[]")</f>
        <v>[]</v>
      </c>
      <c r="W2893" s="148">
        <f>IFERROR(__xludf.DUMMYFUNCTION("""COMPUTED_VALUE"""),1.174E7)</f>
        <v>11740000</v>
      </c>
      <c r="X2893" s="148">
        <f>IFERROR(__xludf.DUMMYFUNCTION("""COMPUTED_VALUE"""),0.0)</f>
        <v>0</v>
      </c>
      <c r="Y2893" s="148">
        <f>IFERROR(__xludf.DUMMYFUNCTION("""COMPUTED_VALUE"""),0.0)</f>
        <v>0</v>
      </c>
      <c r="Z2893" s="148"/>
    </row>
    <row r="2894">
      <c r="A2894" s="148">
        <f>IFERROR(__xludf.DUMMYFUNCTION("""COMPUTED_VALUE"""),1.1119856E7)</f>
        <v>11119856</v>
      </c>
      <c r="B2894" s="148" t="str">
        <f>IFERROR(__xludf.DUMMYFUNCTION("""COMPUTED_VALUE"""),"二代机师自选箱")</f>
        <v>二代机师自选箱</v>
      </c>
      <c r="C2894" s="148"/>
      <c r="D2894" s="148" t="str">
        <f>IFERROR(__xludf.DUMMYFUNCTION("""COMPUTED_VALUE"""),"item_select_box")</f>
        <v>item_select_box</v>
      </c>
      <c r="E2894" s="148">
        <f>IFERROR(__xludf.DUMMYFUNCTION("""COMPUTED_VALUE"""),0.0)</f>
        <v>0</v>
      </c>
      <c r="F2894" s="148">
        <f>IFERROR(__xludf.DUMMYFUNCTION("""COMPUTED_VALUE"""),403308.0)</f>
        <v>403308</v>
      </c>
      <c r="G2894" s="148">
        <f>IFERROR(__xludf.DUMMYFUNCTION("""COMPUTED_VALUE"""),1.51104145E8)</f>
        <v>151104145</v>
      </c>
      <c r="H2894" s="148">
        <f>IFERROR(__xludf.DUMMYFUNCTION("""COMPUTED_VALUE"""),1.5112564E7)</f>
        <v>15112564</v>
      </c>
      <c r="I2894" s="148" t="str">
        <f>IFERROR(__xludf.DUMMYFUNCTION("""COMPUTED_VALUE"""),"{}")</f>
        <v>{}</v>
      </c>
      <c r="J2894" s="148" t="str">
        <f>IFERROR(__xludf.DUMMYFUNCTION("""COMPUTED_VALUE"""),"{""typ"":""lc"",""txt"":""LC_ITEM_mecha_driver_box_name_2""}")</f>
        <v>{"typ":"lc","txt":"LC_ITEM_mecha_driver_box_name_2"}</v>
      </c>
      <c r="K2894" s="148" t="str">
        <f>IFERROR(__xludf.DUMMYFUNCTION("""COMPUTED_VALUE"""),"{""typ"":""lc"",""txt"":""LC_ITEM_mecha_driver_box_desc_2""}")</f>
        <v>{"typ":"lc","txt":"LC_ITEM_mecha_driver_box_desc_2"}</v>
      </c>
      <c r="L2894" s="148" t="str">
        <f>IFERROR(__xludf.DUMMYFUNCTION("""COMPUTED_VALUE"""),"{}")</f>
        <v>{}</v>
      </c>
      <c r="M2894" s="148">
        <f>IFERROR(__xludf.DUMMYFUNCTION("""COMPUTED_VALUE"""),3000.0)</f>
        <v>3000</v>
      </c>
      <c r="N2894" s="148">
        <f>IFERROR(__xludf.DUMMYFUNCTION("""COMPUTED_VALUE"""),9999999.0)</f>
        <v>9999999</v>
      </c>
      <c r="O2894" s="148">
        <f>IFERROR(__xludf.DUMMYFUNCTION("""COMPUTED_VALUE"""),99999.0)</f>
        <v>99999</v>
      </c>
      <c r="P2894" s="148">
        <f>IFERROR(__xludf.DUMMYFUNCTION("""COMPUTED_VALUE"""),99999.0)</f>
        <v>99999</v>
      </c>
      <c r="Q2894" s="148" t="str">
        <f>IFERROR(__xludf.DUMMYFUNCTION("""COMPUTED_VALUE"""),"[""bag_other""]")</f>
        <v>["bag_other"]</v>
      </c>
      <c r="R2894" s="148" t="str">
        <f>IFERROR(__xludf.DUMMYFUNCTION("""COMPUTED_VALUE"""),"[""bag""]")</f>
        <v>["bag"]</v>
      </c>
      <c r="S2894" s="148" t="str">
        <f>IFERROR(__xludf.DUMMYFUNCTION("""COMPUTED_VALUE"""),"{""select_box"":[{""typ"":""item"",""id"":11117916,""val"":1},{""typ"":""item"",""id"":11117917,""val"":1},{""typ"":""item"",""id"":11117918,""val"":1}]}")</f>
        <v>{"select_box":[{"typ":"item","id":11117916,"val":1},{"typ":"item","id":11117917,"val":1},{"typ":"item","id":11117918,"val":1}]}</v>
      </c>
      <c r="T2894" s="148">
        <f>IFERROR(__xludf.DUMMYFUNCTION("""COMPUTED_VALUE"""),-1.0)</f>
        <v>-1</v>
      </c>
      <c r="U2894" s="148">
        <f>IFERROR(__xludf.DUMMYFUNCTION("""COMPUTED_VALUE"""),0.0)</f>
        <v>0</v>
      </c>
      <c r="V2894" s="148" t="str">
        <f>IFERROR(__xludf.DUMMYFUNCTION("""COMPUTED_VALUE"""),"[]")</f>
        <v>[]</v>
      </c>
      <c r="W2894" s="148">
        <f>IFERROR(__xludf.DUMMYFUNCTION("""COMPUTED_VALUE"""),1.1741004E7)</f>
        <v>11741004</v>
      </c>
      <c r="X2894" s="148">
        <f>IFERROR(__xludf.DUMMYFUNCTION("""COMPUTED_VALUE"""),0.0)</f>
        <v>0</v>
      </c>
      <c r="Y2894" s="148">
        <f>IFERROR(__xludf.DUMMYFUNCTION("""COMPUTED_VALUE"""),0.0)</f>
        <v>0</v>
      </c>
      <c r="Z2894" s="148"/>
    </row>
    <row r="2895">
      <c r="A2895" s="148">
        <f>IFERROR(__xludf.DUMMYFUNCTION("""COMPUTED_VALUE"""),1.111986E7)</f>
        <v>11119860</v>
      </c>
      <c r="B2895" s="148" t="str">
        <f>IFERROR(__xludf.DUMMYFUNCTION("""COMPUTED_VALUE"""),"kvk荣誉殿堂-投票券")</f>
        <v>kvk荣誉殿堂-投票券</v>
      </c>
      <c r="C2895" s="148"/>
      <c r="D2895" s="148" t="str">
        <f>IFERROR(__xludf.DUMMYFUNCTION("""COMPUTED_VALUE"""),"event")</f>
        <v>event</v>
      </c>
      <c r="E2895" s="148">
        <f>IFERROR(__xludf.DUMMYFUNCTION("""COMPUTED_VALUE"""),0.0)</f>
        <v>0</v>
      </c>
      <c r="F2895" s="148">
        <f>IFERROR(__xludf.DUMMYFUNCTION("""COMPUTED_VALUE"""),307504.0)</f>
        <v>307504</v>
      </c>
      <c r="G2895" s="148">
        <f>IFERROR(__xludf.DUMMYFUNCTION("""COMPUTED_VALUE"""),1.5110321E8)</f>
        <v>151103210</v>
      </c>
      <c r="H2895" s="148">
        <f>IFERROR(__xludf.DUMMYFUNCTION("""COMPUTED_VALUE"""),1.5112564E7)</f>
        <v>15112564</v>
      </c>
      <c r="I2895" s="148" t="str">
        <f>IFERROR(__xludf.DUMMYFUNCTION("""COMPUTED_VALUE"""),"{}")</f>
        <v>{}</v>
      </c>
      <c r="J2895" s="148" t="str">
        <f>IFERROR(__xludf.DUMMYFUNCTION("""COMPUTED_VALUE"""),"{""typ"":""lc"",""txt"":""LC_KVK_fame_hall_vote_item_name""}")</f>
        <v>{"typ":"lc","txt":"LC_KVK_fame_hall_vote_item_name"}</v>
      </c>
      <c r="K2895" s="148" t="str">
        <f>IFERROR(__xludf.DUMMYFUNCTION("""COMPUTED_VALUE"""),"{""typ"":""lc"",""txt"":""LC_KVK_fame_hall_vote_item_desc""}")</f>
        <v>{"typ":"lc","txt":"LC_KVK_fame_hall_vote_item_desc"}</v>
      </c>
      <c r="L2895" s="148" t="str">
        <f>IFERROR(__xludf.DUMMYFUNCTION("""COMPUTED_VALUE"""),"{""typ"":""lc"",""txt"":""LC_MAIL_gang_vote_tip12""}")</f>
        <v>{"typ":"lc","txt":"LC_MAIL_gang_vote_tip12"}</v>
      </c>
      <c r="M2895" s="148">
        <f>IFERROR(__xludf.DUMMYFUNCTION("""COMPUTED_VALUE"""),1500.0)</f>
        <v>1500</v>
      </c>
      <c r="N2895" s="148">
        <f>IFERROR(__xludf.DUMMYFUNCTION("""COMPUTED_VALUE"""),10.0)</f>
        <v>10</v>
      </c>
      <c r="O2895" s="148">
        <f>IFERROR(__xludf.DUMMYFUNCTION("""COMPUTED_VALUE"""),10.0)</f>
        <v>10</v>
      </c>
      <c r="P2895" s="148">
        <f>IFERROR(__xludf.DUMMYFUNCTION("""COMPUTED_VALUE"""),10.0)</f>
        <v>10</v>
      </c>
      <c r="Q2895" s="148" t="str">
        <f>IFERROR(__xludf.DUMMYFUNCTION("""COMPUTED_VALUE"""),"[""bag_other""]")</f>
        <v>["bag_other"]</v>
      </c>
      <c r="R2895" s="148" t="str">
        <f>IFERROR(__xludf.DUMMYFUNCTION("""COMPUTED_VALUE"""),"[]")</f>
        <v>[]</v>
      </c>
      <c r="S2895" s="148" t="str">
        <f>IFERROR(__xludf.DUMMYFUNCTION("""COMPUTED_VALUE"""),"{}")</f>
        <v>{}</v>
      </c>
      <c r="T2895" s="148">
        <f>IFERROR(__xludf.DUMMYFUNCTION("""COMPUTED_VALUE"""),-1.0)</f>
        <v>-1</v>
      </c>
      <c r="U2895" s="148">
        <f>IFERROR(__xludf.DUMMYFUNCTION("""COMPUTED_VALUE"""),0.0)</f>
        <v>0</v>
      </c>
      <c r="V2895" s="148" t="str">
        <f>IFERROR(__xludf.DUMMYFUNCTION("""COMPUTED_VALUE"""),"[]")</f>
        <v>[]</v>
      </c>
      <c r="W2895" s="148">
        <f>IFERROR(__xludf.DUMMYFUNCTION("""COMPUTED_VALUE"""),1.1741004E7)</f>
        <v>11741004</v>
      </c>
      <c r="X2895" s="148">
        <f>IFERROR(__xludf.DUMMYFUNCTION("""COMPUTED_VALUE"""),0.0)</f>
        <v>0</v>
      </c>
      <c r="Y2895" s="148">
        <f>IFERROR(__xludf.DUMMYFUNCTION("""COMPUTED_VALUE"""),0.0)</f>
        <v>0</v>
      </c>
      <c r="Z2895" s="148"/>
    </row>
    <row r="2896">
      <c r="A2896" s="148">
        <f>IFERROR(__xludf.DUMMYFUNCTION("""COMPUTED_VALUE"""),1.1119861E7)</f>
        <v>11119861</v>
      </c>
      <c r="B2896" s="148" t="str">
        <f>IFERROR(__xludf.DUMMYFUNCTION("""COMPUTED_VALUE"""),"BattlePass-通行证-kvk")</f>
        <v>BattlePass-通行证-kvk</v>
      </c>
      <c r="C2896" s="148"/>
      <c r="D2896" s="148" t="str">
        <f>IFERROR(__xludf.DUMMYFUNCTION("""COMPUTED_VALUE"""),"battle_pass_card")</f>
        <v>battle_pass_card</v>
      </c>
      <c r="E2896" s="148">
        <f>IFERROR(__xludf.DUMMYFUNCTION("""COMPUTED_VALUE"""),0.0)</f>
        <v>0</v>
      </c>
      <c r="F2896" s="148">
        <f>IFERROR(__xludf.DUMMYFUNCTION("""COMPUTED_VALUE"""),0.0)</f>
        <v>0</v>
      </c>
      <c r="G2896" s="148">
        <f>IFERROR(__xludf.DUMMYFUNCTION("""COMPUTED_VALUE"""),1.5116159E7)</f>
        <v>15116159</v>
      </c>
      <c r="H2896" s="148">
        <f>IFERROR(__xludf.DUMMYFUNCTION("""COMPUTED_VALUE"""),1.5112564E7)</f>
        <v>15112564</v>
      </c>
      <c r="I2896" s="148" t="str">
        <f>IFERROR(__xludf.DUMMYFUNCTION("""COMPUTED_VALUE"""),"{}")</f>
        <v>{}</v>
      </c>
      <c r="J2896" s="148" t="str">
        <f>IFERROR(__xludf.DUMMYFUNCTION("""COMPUTED_VALUE"""),"{""typ"":""lc"",""txt"":""LC_EVENT_battle_pass_ultimate_supply""}")</f>
        <v>{"typ":"lc","txt":"LC_EVENT_battle_pass_ultimate_supply"}</v>
      </c>
      <c r="K2896" s="148" t="str">
        <f>IFERROR(__xludf.DUMMYFUNCTION("""COMPUTED_VALUE"""),"{""typ"":""lc"",""txt"":""LC_EVENT_battle_pass_ultimate_supply""}")</f>
        <v>{"typ":"lc","txt":"LC_EVENT_battle_pass_ultimate_supply"}</v>
      </c>
      <c r="L2896" s="148" t="str">
        <f>IFERROR(__xludf.DUMMYFUNCTION("""COMPUTED_VALUE"""),"{}")</f>
        <v>{}</v>
      </c>
      <c r="M2896" s="148">
        <f>IFERROR(__xludf.DUMMYFUNCTION("""COMPUTED_VALUE"""),10.0)</f>
        <v>10</v>
      </c>
      <c r="N2896" s="148">
        <f>IFERROR(__xludf.DUMMYFUNCTION("""COMPUTED_VALUE"""),999999.0)</f>
        <v>999999</v>
      </c>
      <c r="O2896" s="148">
        <f>IFERROR(__xludf.DUMMYFUNCTION("""COMPUTED_VALUE"""),99999.0)</f>
        <v>99999</v>
      </c>
      <c r="P2896" s="148">
        <f>IFERROR(__xludf.DUMMYFUNCTION("""COMPUTED_VALUE"""),9999.0)</f>
        <v>9999</v>
      </c>
      <c r="Q2896" s="148" t="str">
        <f>IFERROR(__xludf.DUMMYFUNCTION("""COMPUTED_VALUE"""),"[]")</f>
        <v>[]</v>
      </c>
      <c r="R2896" s="148" t="str">
        <f>IFERROR(__xludf.DUMMYFUNCTION("""COMPUTED_VALUE"""),"[]")</f>
        <v>[]</v>
      </c>
      <c r="S2896" s="148" t="str">
        <f>IFERROR(__xludf.DUMMYFUNCTION("""COMPUTED_VALUE"""),"{}")</f>
        <v>{}</v>
      </c>
      <c r="T2896" s="148">
        <f>IFERROR(__xludf.DUMMYFUNCTION("""COMPUTED_VALUE"""),-1.0)</f>
        <v>-1</v>
      </c>
      <c r="U2896" s="148">
        <f>IFERROR(__xludf.DUMMYFUNCTION("""COMPUTED_VALUE"""),1.0)</f>
        <v>1</v>
      </c>
      <c r="V2896" s="148" t="str">
        <f>IFERROR(__xludf.DUMMYFUNCTION("""COMPUTED_VALUE"""),"[]")</f>
        <v>[]</v>
      </c>
      <c r="W2896" s="148">
        <f>IFERROR(__xludf.DUMMYFUNCTION("""COMPUTED_VALUE"""),1.174E7)</f>
        <v>11740000</v>
      </c>
      <c r="X2896" s="148">
        <f>IFERROR(__xludf.DUMMYFUNCTION("""COMPUTED_VALUE"""),0.0)</f>
        <v>0</v>
      </c>
      <c r="Y2896" s="148">
        <f>IFERROR(__xludf.DUMMYFUNCTION("""COMPUTED_VALUE"""),0.0)</f>
        <v>0</v>
      </c>
      <c r="Z2896" s="148"/>
    </row>
    <row r="2897">
      <c r="A2897" s="148">
        <f>IFERROR(__xludf.DUMMYFUNCTION("""COMPUTED_VALUE"""),1.1119862E7)</f>
        <v>11119862</v>
      </c>
      <c r="B2897" s="148" t="str">
        <f>IFERROR(__xludf.DUMMYFUNCTION("""COMPUTED_VALUE"""),"2025范围特效-高级-14天")</f>
        <v>2025范围特效-高级-14天</v>
      </c>
      <c r="C2897" s="148"/>
      <c r="D2897" s="148" t="str">
        <f>IFERROR(__xludf.DUMMYFUNCTION("""COMPUTED_VALUE"""),"city_effect_extent")</f>
        <v>city_effect_extent</v>
      </c>
      <c r="E2897" s="148">
        <f>IFERROR(__xludf.DUMMYFUNCTION("""COMPUTED_VALUE"""),0.0)</f>
        <v>0</v>
      </c>
      <c r="F2897" s="148">
        <f>IFERROR(__xludf.DUMMYFUNCTION("""COMPUTED_VALUE"""),499990.0)</f>
        <v>499990</v>
      </c>
      <c r="G2897" s="148">
        <f>IFERROR(__xludf.DUMMYFUNCTION("""COMPUTED_VALUE"""),1.5110323E8)</f>
        <v>151103230</v>
      </c>
      <c r="H2897" s="148">
        <f>IFERROR(__xludf.DUMMYFUNCTION("""COMPUTED_VALUE"""),1.5115983E7)</f>
        <v>15115983</v>
      </c>
      <c r="I2897" s="148" t="str">
        <f>IFERROR(__xludf.DUMMYFUNCTION("""COMPUTED_VALUE"""),"{""typ"":""lc"",""txt"":""LC_ITEM_time_day_upper_show"",""args"":[{""typ"":""int"",""val"":14}]}")</f>
        <v>{"typ":"lc","txt":"LC_ITEM_time_day_upper_show","args":[{"typ":"int","val":14}]}</v>
      </c>
      <c r="J2897" s="148" t="str">
        <f>IFERROR(__xludf.DUMMYFUNCTION("""COMPUTED_VALUE"""),"{""typ"":""lc"",""txt"":""LC_ITEM_2025gene_city_effect_name_1_14d""}")</f>
        <v>{"typ":"lc","txt":"LC_ITEM_2025gene_city_effect_name_1_14d"}</v>
      </c>
      <c r="K2897" s="148" t="str">
        <f>IFERROR(__xludf.DUMMYFUNCTION("""COMPUTED_VALUE"""),"{""typ"":""lc"",""txt"":""LC_ITEM_2025gene_city_effect_desc_1_14d""}")</f>
        <v>{"typ":"lc","txt":"LC_ITEM_2025gene_city_effect_desc_1_14d"}</v>
      </c>
      <c r="L2897" s="148" t="str">
        <f>IFERROR(__xludf.DUMMYFUNCTION("""COMPUTED_VALUE"""),"{""typ"":""lc"",""txt"":""LC_ASSET_suit_actived_tips_1""}")</f>
        <v>{"typ":"lc","txt":"LC_ASSET_suit_actived_tips_1"}</v>
      </c>
      <c r="M2897" s="148">
        <f>IFERROR(__xludf.DUMMYFUNCTION("""COMPUTED_VALUE"""),10000.0)</f>
        <v>10000</v>
      </c>
      <c r="N2897" s="148">
        <f>IFERROR(__xludf.DUMMYFUNCTION("""COMPUTED_VALUE"""),999.0)</f>
        <v>999</v>
      </c>
      <c r="O2897" s="148">
        <f>IFERROR(__xludf.DUMMYFUNCTION("""COMPUTED_VALUE"""),1.0)</f>
        <v>1</v>
      </c>
      <c r="P2897" s="148">
        <f>IFERROR(__xludf.DUMMYFUNCTION("""COMPUTED_VALUE"""),1.0)</f>
        <v>1</v>
      </c>
      <c r="Q2897" s="148" t="str">
        <f>IFERROR(__xludf.DUMMYFUNCTION("""COMPUTED_VALUE"""),"[""bag_other""]")</f>
        <v>["bag_other"]</v>
      </c>
      <c r="R2897" s="148" t="str">
        <f>IFERROR(__xludf.DUMMYFUNCTION("""COMPUTED_VALUE"""),"[""bag"",""13921002""]")</f>
        <v>["bag","13921002"]</v>
      </c>
      <c r="S2897" s="148" t="str">
        <f>IFERROR(__xludf.DUMMYFUNCTION("""COMPUTED_VALUE"""),"{""effect"":[{""typ"":""city_effect_extent"",""id"":13921002,""val"":1209600000},{""typ"":""item"",""id"":11111021,""val"":7}]}")</f>
        <v>{"effect":[{"typ":"city_effect_extent","id":13921002,"val":1209600000},{"typ":"item","id":11111021,"val":7}]}</v>
      </c>
      <c r="T2897" s="148">
        <f>IFERROR(__xludf.DUMMYFUNCTION("""COMPUTED_VALUE"""),-1.0)</f>
        <v>-1</v>
      </c>
      <c r="U2897" s="148">
        <f>IFERROR(__xludf.DUMMYFUNCTION("""COMPUTED_VALUE"""),1.0)</f>
        <v>1</v>
      </c>
      <c r="V2897" s="148" t="str">
        <f>IFERROR(__xludf.DUMMYFUNCTION("""COMPUTED_VALUE"""),"[]")</f>
        <v>[]</v>
      </c>
      <c r="W2897" s="148">
        <f>IFERROR(__xludf.DUMMYFUNCTION("""COMPUTED_VALUE"""),1.174E7)</f>
        <v>11740000</v>
      </c>
      <c r="X2897" s="148">
        <f>IFERROR(__xludf.DUMMYFUNCTION("""COMPUTED_VALUE"""),0.0)</f>
        <v>0</v>
      </c>
      <c r="Y2897" s="148">
        <f>IFERROR(__xludf.DUMMYFUNCTION("""COMPUTED_VALUE"""),0.0)</f>
        <v>0</v>
      </c>
      <c r="Z2897" s="148"/>
    </row>
    <row r="2898">
      <c r="A2898" s="148">
        <f>IFERROR(__xludf.DUMMYFUNCTION("""COMPUTED_VALUE"""),1.1119863E7)</f>
        <v>11119863</v>
      </c>
      <c r="B2898" s="148" t="str">
        <f>IFERROR(__xludf.DUMMYFUNCTION("""COMPUTED_VALUE"""),"2025范围特效-中级-14天")</f>
        <v>2025范围特效-中级-14天</v>
      </c>
      <c r="C2898" s="148"/>
      <c r="D2898" s="148" t="str">
        <f>IFERROR(__xludf.DUMMYFUNCTION("""COMPUTED_VALUE"""),"city_effect_extent")</f>
        <v>city_effect_extent</v>
      </c>
      <c r="E2898" s="148">
        <f>IFERROR(__xludf.DUMMYFUNCTION("""COMPUTED_VALUE"""),0.0)</f>
        <v>0</v>
      </c>
      <c r="F2898" s="148">
        <f>IFERROR(__xludf.DUMMYFUNCTION("""COMPUTED_VALUE"""),499990.0)</f>
        <v>499990</v>
      </c>
      <c r="G2898" s="148">
        <f>IFERROR(__xludf.DUMMYFUNCTION("""COMPUTED_VALUE"""),1.5110323E8)</f>
        <v>151103230</v>
      </c>
      <c r="H2898" s="148">
        <f>IFERROR(__xludf.DUMMYFUNCTION("""COMPUTED_VALUE"""),1.5112564E7)</f>
        <v>15112564</v>
      </c>
      <c r="I2898" s="148" t="str">
        <f>IFERROR(__xludf.DUMMYFUNCTION("""COMPUTED_VALUE"""),"{""typ"":""lc"",""txt"":""LC_ITEM_time_day_upper_show"",""args"":[{""typ"":""int"",""val"":14}]}")</f>
        <v>{"typ":"lc","txt":"LC_ITEM_time_day_upper_show","args":[{"typ":"int","val":14}]}</v>
      </c>
      <c r="J2898" s="148" t="str">
        <f>IFERROR(__xludf.DUMMYFUNCTION("""COMPUTED_VALUE"""),"{""typ"":""lc"",""txt"":""LC_ITEM_2025gene_city_effect_name_2_14d""}")</f>
        <v>{"typ":"lc","txt":"LC_ITEM_2025gene_city_effect_name_2_14d"}</v>
      </c>
      <c r="K2898" s="148" t="str">
        <f>IFERROR(__xludf.DUMMYFUNCTION("""COMPUTED_VALUE"""),"{""typ"":""lc"",""txt"":""LC_ITEM_2025gene_city_effect_desc_2_14d""}")</f>
        <v>{"typ":"lc","txt":"LC_ITEM_2025gene_city_effect_desc_2_14d"}</v>
      </c>
      <c r="L2898" s="148" t="str">
        <f>IFERROR(__xludf.DUMMYFUNCTION("""COMPUTED_VALUE"""),"{""typ"":""lc"",""txt"":""LC_ASSET_suit_actived_tips_1""}")</f>
        <v>{"typ":"lc","txt":"LC_ASSET_suit_actived_tips_1"}</v>
      </c>
      <c r="M2898" s="148">
        <f>IFERROR(__xludf.DUMMYFUNCTION("""COMPUTED_VALUE"""),10000.0)</f>
        <v>10000</v>
      </c>
      <c r="N2898" s="148">
        <f>IFERROR(__xludf.DUMMYFUNCTION("""COMPUTED_VALUE"""),999.0)</f>
        <v>999</v>
      </c>
      <c r="O2898" s="148">
        <f>IFERROR(__xludf.DUMMYFUNCTION("""COMPUTED_VALUE"""),1.0)</f>
        <v>1</v>
      </c>
      <c r="P2898" s="148">
        <f>IFERROR(__xludf.DUMMYFUNCTION("""COMPUTED_VALUE"""),1.0)</f>
        <v>1</v>
      </c>
      <c r="Q2898" s="148" t="str">
        <f>IFERROR(__xludf.DUMMYFUNCTION("""COMPUTED_VALUE"""),"[""bag_other""]")</f>
        <v>["bag_other"]</v>
      </c>
      <c r="R2898" s="148" t="str">
        <f>IFERROR(__xludf.DUMMYFUNCTION("""COMPUTED_VALUE"""),"[""bag"",""13921003""]")</f>
        <v>["bag","13921003"]</v>
      </c>
      <c r="S2898" s="148" t="str">
        <f>IFERROR(__xludf.DUMMYFUNCTION("""COMPUTED_VALUE"""),"{""effect"":[{""typ"":""city_effect_extent"",""id"":13921003,""val"":1209600000},{""typ"":""item"",""id"":11111021,""val"":7}]}")</f>
        <v>{"effect":[{"typ":"city_effect_extent","id":13921003,"val":1209600000},{"typ":"item","id":11111021,"val":7}]}</v>
      </c>
      <c r="T2898" s="148">
        <f>IFERROR(__xludf.DUMMYFUNCTION("""COMPUTED_VALUE"""),-1.0)</f>
        <v>-1</v>
      </c>
      <c r="U2898" s="148">
        <f>IFERROR(__xludf.DUMMYFUNCTION("""COMPUTED_VALUE"""),1.0)</f>
        <v>1</v>
      </c>
      <c r="V2898" s="148" t="str">
        <f>IFERROR(__xludf.DUMMYFUNCTION("""COMPUTED_VALUE"""),"[]")</f>
        <v>[]</v>
      </c>
      <c r="W2898" s="148">
        <f>IFERROR(__xludf.DUMMYFUNCTION("""COMPUTED_VALUE"""),1.174E7)</f>
        <v>11740000</v>
      </c>
      <c r="X2898" s="148">
        <f>IFERROR(__xludf.DUMMYFUNCTION("""COMPUTED_VALUE"""),0.0)</f>
        <v>0</v>
      </c>
      <c r="Y2898" s="148">
        <f>IFERROR(__xludf.DUMMYFUNCTION("""COMPUTED_VALUE"""),0.0)</f>
        <v>0</v>
      </c>
      <c r="Z2898" s="148"/>
    </row>
    <row r="2899">
      <c r="A2899" s="148">
        <f>IFERROR(__xludf.DUMMYFUNCTION("""COMPUTED_VALUE"""),1.1119864E7)</f>
        <v>11119864</v>
      </c>
      <c r="B2899" s="148" t="str">
        <f>IFERROR(__xludf.DUMMYFUNCTION("""COMPUTED_VALUE"""),"2025范围特效-初级-14天")</f>
        <v>2025范围特效-初级-14天</v>
      </c>
      <c r="C2899" s="148"/>
      <c r="D2899" s="148" t="str">
        <f>IFERROR(__xludf.DUMMYFUNCTION("""COMPUTED_VALUE"""),"city_effect_extent")</f>
        <v>city_effect_extent</v>
      </c>
      <c r="E2899" s="148">
        <f>IFERROR(__xludf.DUMMYFUNCTION("""COMPUTED_VALUE"""),0.0)</f>
        <v>0</v>
      </c>
      <c r="F2899" s="148">
        <f>IFERROR(__xludf.DUMMYFUNCTION("""COMPUTED_VALUE"""),499990.0)</f>
        <v>499990</v>
      </c>
      <c r="G2899" s="148">
        <f>IFERROR(__xludf.DUMMYFUNCTION("""COMPUTED_VALUE"""),1.5110323E8)</f>
        <v>151103230</v>
      </c>
      <c r="H2899" s="148">
        <f>IFERROR(__xludf.DUMMYFUNCTION("""COMPUTED_VALUE"""),1.5112563E7)</f>
        <v>15112563</v>
      </c>
      <c r="I2899" s="148" t="str">
        <f>IFERROR(__xludf.DUMMYFUNCTION("""COMPUTED_VALUE"""),"{""typ"":""lc"",""txt"":""LC_ITEM_time_day_upper_show"",""args"":[{""typ"":""int"",""val"":14}]}")</f>
        <v>{"typ":"lc","txt":"LC_ITEM_time_day_upper_show","args":[{"typ":"int","val":14}]}</v>
      </c>
      <c r="J2899" s="148" t="str">
        <f>IFERROR(__xludf.DUMMYFUNCTION("""COMPUTED_VALUE"""),"{""typ"":""lc"",""txt"":""LC_ITEM_2025gene_city_effect_name_3_14d""}")</f>
        <v>{"typ":"lc","txt":"LC_ITEM_2025gene_city_effect_name_3_14d"}</v>
      </c>
      <c r="K2899" s="148" t="str">
        <f>IFERROR(__xludf.DUMMYFUNCTION("""COMPUTED_VALUE"""),"{""typ"":""lc"",""txt"":""LC_ITEM_2025gene_city_effect_desc_3_14d""}")</f>
        <v>{"typ":"lc","txt":"LC_ITEM_2025gene_city_effect_desc_3_14d"}</v>
      </c>
      <c r="L2899" s="148" t="str">
        <f>IFERROR(__xludf.DUMMYFUNCTION("""COMPUTED_VALUE"""),"{""typ"":""lc"",""txt"":""LC_ASSET_suit_actived_tips_1""}")</f>
        <v>{"typ":"lc","txt":"LC_ASSET_suit_actived_tips_1"}</v>
      </c>
      <c r="M2899" s="148">
        <f>IFERROR(__xludf.DUMMYFUNCTION("""COMPUTED_VALUE"""),10000.0)</f>
        <v>10000</v>
      </c>
      <c r="N2899" s="148">
        <f>IFERROR(__xludf.DUMMYFUNCTION("""COMPUTED_VALUE"""),999.0)</f>
        <v>999</v>
      </c>
      <c r="O2899" s="148">
        <f>IFERROR(__xludf.DUMMYFUNCTION("""COMPUTED_VALUE"""),1.0)</f>
        <v>1</v>
      </c>
      <c r="P2899" s="148">
        <f>IFERROR(__xludf.DUMMYFUNCTION("""COMPUTED_VALUE"""),1.0)</f>
        <v>1</v>
      </c>
      <c r="Q2899" s="148" t="str">
        <f>IFERROR(__xludf.DUMMYFUNCTION("""COMPUTED_VALUE"""),"[""bag_other""]")</f>
        <v>["bag_other"]</v>
      </c>
      <c r="R2899" s="148" t="str">
        <f>IFERROR(__xludf.DUMMYFUNCTION("""COMPUTED_VALUE"""),"[""bag"",""13921004""]")</f>
        <v>["bag","13921004"]</v>
      </c>
      <c r="S2899" s="148" t="str">
        <f>IFERROR(__xludf.DUMMYFUNCTION("""COMPUTED_VALUE"""),"{""effect"":[{""typ"":""city_effect_extent"",""id"":13921004,""val"":1209600000},{""typ"":""item"",""id"":11111021,""val"":7}]}")</f>
        <v>{"effect":[{"typ":"city_effect_extent","id":13921004,"val":1209600000},{"typ":"item","id":11111021,"val":7}]}</v>
      </c>
      <c r="T2899" s="148">
        <f>IFERROR(__xludf.DUMMYFUNCTION("""COMPUTED_VALUE"""),-1.0)</f>
        <v>-1</v>
      </c>
      <c r="U2899" s="148">
        <f>IFERROR(__xludf.DUMMYFUNCTION("""COMPUTED_VALUE"""),1.0)</f>
        <v>1</v>
      </c>
      <c r="V2899" s="148" t="str">
        <f>IFERROR(__xludf.DUMMYFUNCTION("""COMPUTED_VALUE"""),"[]")</f>
        <v>[]</v>
      </c>
      <c r="W2899" s="148">
        <f>IFERROR(__xludf.DUMMYFUNCTION("""COMPUTED_VALUE"""),1.174E7)</f>
        <v>11740000</v>
      </c>
      <c r="X2899" s="148">
        <f>IFERROR(__xludf.DUMMYFUNCTION("""COMPUTED_VALUE"""),0.0)</f>
        <v>0</v>
      </c>
      <c r="Y2899" s="148">
        <f>IFERROR(__xludf.DUMMYFUNCTION("""COMPUTED_VALUE"""),0.0)</f>
        <v>0</v>
      </c>
      <c r="Z2899" s="148"/>
    </row>
    <row r="2900">
      <c r="A2900" s="148">
        <f>IFERROR(__xludf.DUMMYFUNCTION("""COMPUTED_VALUE"""),1.1119865E7)</f>
        <v>11119865</v>
      </c>
      <c r="B2900" s="148" t="str">
        <f>IFERROR(__xludf.DUMMYFUNCTION("""COMPUTED_VALUE"""),"2025感恩节静态头像框-丰收滋味")</f>
        <v>2025感恩节静态头像框-丰收滋味</v>
      </c>
      <c r="C2900" s="148"/>
      <c r="D2900" s="148" t="str">
        <f>IFERROR(__xludf.DUMMYFUNCTION("""COMPUTED_VALUE"""),"avatar_frame")</f>
        <v>avatar_frame</v>
      </c>
      <c r="E2900" s="148">
        <f>IFERROR(__xludf.DUMMYFUNCTION("""COMPUTED_VALUE"""),20.0)</f>
        <v>20</v>
      </c>
      <c r="F2900" s="148">
        <f>IFERROR(__xludf.DUMMYFUNCTION("""COMPUTED_VALUE"""),0.0)</f>
        <v>0</v>
      </c>
      <c r="G2900" s="148">
        <f>IFERROR(__xludf.DUMMYFUNCTION("""COMPUTED_VALUE"""),1.51103242E8)</f>
        <v>151103242</v>
      </c>
      <c r="H2900" s="148">
        <f>IFERROR(__xludf.DUMMYFUNCTION("""COMPUTED_VALUE"""),1.5112563E7)</f>
        <v>15112563</v>
      </c>
      <c r="I2900" s="148" t="str">
        <f>IFERROR(__xludf.DUMMYFUNCTION("""COMPUTED_VALUE"""),"{}")</f>
        <v>{}</v>
      </c>
      <c r="J2900" s="148" t="str">
        <f>IFERROR(__xludf.DUMMYFUNCTION("""COMPUTED_VALUE"""),"{""typ"":""lc"",""txt"":""LC_ITEM_2025tg_avatar_name1""}")</f>
        <v>{"typ":"lc","txt":"LC_ITEM_2025tg_avatar_name1"}</v>
      </c>
      <c r="K2900" s="148" t="str">
        <f>IFERROR(__xludf.DUMMYFUNCTION("""COMPUTED_VALUE"""),"{""typ"":""lc"",""txt"":""LC_ITEM_2025tg_avatar_desc1""}")</f>
        <v>{"typ":"lc","txt":"LC_ITEM_2025tg_avatar_desc1"}</v>
      </c>
      <c r="L2900" s="148" t="str">
        <f>IFERROR(__xludf.DUMMYFUNCTION("""COMPUTED_VALUE"""),"{}")</f>
        <v>{}</v>
      </c>
      <c r="M2900" s="148">
        <f>IFERROR(__xludf.DUMMYFUNCTION("""COMPUTED_VALUE"""),1000.0)</f>
        <v>1000</v>
      </c>
      <c r="N2900" s="148">
        <f>IFERROR(__xludf.DUMMYFUNCTION("""COMPUTED_VALUE"""),99.0)</f>
        <v>99</v>
      </c>
      <c r="O2900" s="148">
        <f>IFERROR(__xludf.DUMMYFUNCTION("""COMPUTED_VALUE"""),1.0)</f>
        <v>1</v>
      </c>
      <c r="P2900" s="148">
        <f>IFERROR(__xludf.DUMMYFUNCTION("""COMPUTED_VALUE"""),1.0)</f>
        <v>1</v>
      </c>
      <c r="Q2900" s="148" t="str">
        <f>IFERROR(__xludf.DUMMYFUNCTION("""COMPUTED_VALUE"""),"[]")</f>
        <v>[]</v>
      </c>
      <c r="R2900" s="148" t="str">
        <f>IFERROR(__xludf.DUMMYFUNCTION("""COMPUTED_VALUE"""),"[""11421074""]")</f>
        <v>["11421074"]</v>
      </c>
      <c r="S2900" s="148" t="str">
        <f>IFERROR(__xludf.DUMMYFUNCTION("""COMPUTED_VALUE"""),"{""effect"":[{""typ"":""avatar_frame"",""id"":11421074,""val"":-1},{""typ"":""item"",""id"":11111031,""val"":1000}]}")</f>
        <v>{"effect":[{"typ":"avatar_frame","id":11421074,"val":-1},{"typ":"item","id":11111031,"val":1000}]}</v>
      </c>
      <c r="T2900" s="148">
        <f>IFERROR(__xludf.DUMMYFUNCTION("""COMPUTED_VALUE"""),-1.0)</f>
        <v>-1</v>
      </c>
      <c r="U2900" s="148">
        <f>IFERROR(__xludf.DUMMYFUNCTION("""COMPUTED_VALUE"""),1.0)</f>
        <v>1</v>
      </c>
      <c r="V2900" s="148" t="str">
        <f>IFERROR(__xludf.DUMMYFUNCTION("""COMPUTED_VALUE"""),"[]")</f>
        <v>[]</v>
      </c>
      <c r="W2900" s="148">
        <f>IFERROR(__xludf.DUMMYFUNCTION("""COMPUTED_VALUE"""),1.174E7)</f>
        <v>11740000</v>
      </c>
      <c r="X2900" s="148">
        <f>IFERROR(__xludf.DUMMYFUNCTION("""COMPUTED_VALUE"""),0.0)</f>
        <v>0</v>
      </c>
      <c r="Y2900" s="148">
        <f>IFERROR(__xludf.DUMMYFUNCTION("""COMPUTED_VALUE"""),0.0)</f>
        <v>0</v>
      </c>
      <c r="Z2900" s="148"/>
    </row>
    <row r="2901">
      <c r="A2901" s="148">
        <f>IFERROR(__xludf.DUMMYFUNCTION("""COMPUTED_VALUE"""),1.1119866E7)</f>
        <v>11119866</v>
      </c>
      <c r="B2901" s="148" t="str">
        <f>IFERROR(__xludf.DUMMYFUNCTION("""COMPUTED_VALUE"""),"2025感恩节动态头像框-豪掷千金")</f>
        <v>2025感恩节动态头像框-豪掷千金</v>
      </c>
      <c r="C2901" s="148"/>
      <c r="D2901" s="148" t="str">
        <f>IFERROR(__xludf.DUMMYFUNCTION("""COMPUTED_VALUE"""),"avatar_frame")</f>
        <v>avatar_frame</v>
      </c>
      <c r="E2901" s="148">
        <f>IFERROR(__xludf.DUMMYFUNCTION("""COMPUTED_VALUE"""),20.0)</f>
        <v>20</v>
      </c>
      <c r="F2901" s="148">
        <f>IFERROR(__xludf.DUMMYFUNCTION("""COMPUTED_VALUE"""),0.0)</f>
        <v>0</v>
      </c>
      <c r="G2901" s="148">
        <f>IFERROR(__xludf.DUMMYFUNCTION("""COMPUTED_VALUE"""),1.51103243E8)</f>
        <v>151103243</v>
      </c>
      <c r="H2901" s="148">
        <f>IFERROR(__xludf.DUMMYFUNCTION("""COMPUTED_VALUE"""),1.5112564E7)</f>
        <v>15112564</v>
      </c>
      <c r="I2901" s="148" t="str">
        <f>IFERROR(__xludf.DUMMYFUNCTION("""COMPUTED_VALUE"""),"{}")</f>
        <v>{}</v>
      </c>
      <c r="J2901" s="148" t="str">
        <f>IFERROR(__xludf.DUMMYFUNCTION("""COMPUTED_VALUE"""),"{""typ"":""lc"",""txt"":""LC_ITEM_2025tg_avatar_name2""}")</f>
        <v>{"typ":"lc","txt":"LC_ITEM_2025tg_avatar_name2"}</v>
      </c>
      <c r="K2901" s="148" t="str">
        <f>IFERROR(__xludf.DUMMYFUNCTION("""COMPUTED_VALUE"""),"{""typ"":""lc"",""txt"":""LC_ITEM_2025tg_avatar_desc2""}")</f>
        <v>{"typ":"lc","txt":"LC_ITEM_2025tg_avatar_desc2"}</v>
      </c>
      <c r="L2901" s="148" t="str">
        <f>IFERROR(__xludf.DUMMYFUNCTION("""COMPUTED_VALUE"""),"{}")</f>
        <v>{}</v>
      </c>
      <c r="M2901" s="148">
        <f>IFERROR(__xludf.DUMMYFUNCTION("""COMPUTED_VALUE"""),1000.0)</f>
        <v>1000</v>
      </c>
      <c r="N2901" s="148">
        <f>IFERROR(__xludf.DUMMYFUNCTION("""COMPUTED_VALUE"""),99.0)</f>
        <v>99</v>
      </c>
      <c r="O2901" s="148">
        <f>IFERROR(__xludf.DUMMYFUNCTION("""COMPUTED_VALUE"""),1.0)</f>
        <v>1</v>
      </c>
      <c r="P2901" s="148">
        <f>IFERROR(__xludf.DUMMYFUNCTION("""COMPUTED_VALUE"""),1.0)</f>
        <v>1</v>
      </c>
      <c r="Q2901" s="148" t="str">
        <f>IFERROR(__xludf.DUMMYFUNCTION("""COMPUTED_VALUE"""),"[]")</f>
        <v>[]</v>
      </c>
      <c r="R2901" s="148" t="str">
        <f>IFERROR(__xludf.DUMMYFUNCTION("""COMPUTED_VALUE"""),"[""11421075""]")</f>
        <v>["11421075"]</v>
      </c>
      <c r="S2901" s="148" t="str">
        <f>IFERROR(__xludf.DUMMYFUNCTION("""COMPUTED_VALUE"""),"{""effect"":[{""typ"":""avatar_frame"",""id"":11421075,""val"":-1},{""typ"":""item"",""id"":11111031,""val"":1000}]}")</f>
        <v>{"effect":[{"typ":"avatar_frame","id":11421075,"val":-1},{"typ":"item","id":11111031,"val":1000}]}</v>
      </c>
      <c r="T2901" s="148">
        <f>IFERROR(__xludf.DUMMYFUNCTION("""COMPUTED_VALUE"""),-1.0)</f>
        <v>-1</v>
      </c>
      <c r="U2901" s="148">
        <f>IFERROR(__xludf.DUMMYFUNCTION("""COMPUTED_VALUE"""),1.0)</f>
        <v>1</v>
      </c>
      <c r="V2901" s="148" t="str">
        <f>IFERROR(__xludf.DUMMYFUNCTION("""COMPUTED_VALUE"""),"[]")</f>
        <v>[]</v>
      </c>
      <c r="W2901" s="148">
        <f>IFERROR(__xludf.DUMMYFUNCTION("""COMPUTED_VALUE"""),1.174E7)</f>
        <v>11740000</v>
      </c>
      <c r="X2901" s="148">
        <f>IFERROR(__xludf.DUMMYFUNCTION("""COMPUTED_VALUE"""),0.0)</f>
        <v>0</v>
      </c>
      <c r="Y2901" s="148">
        <f>IFERROR(__xludf.DUMMYFUNCTION("""COMPUTED_VALUE"""),0.0)</f>
        <v>0</v>
      </c>
      <c r="Z2901" s="148"/>
    </row>
    <row r="2902">
      <c r="A2902" s="148">
        <f>IFERROR(__xludf.DUMMYFUNCTION("""COMPUTED_VALUE"""),1.1119867E7)</f>
        <v>11119867</v>
      </c>
      <c r="B2902" s="148" t="str">
        <f>IFERROR(__xludf.DUMMYFUNCTION("""COMPUTED_VALUE"""),"2025圣诞节-旧装饰自选宝箱")</f>
        <v>2025圣诞节-旧装饰自选宝箱</v>
      </c>
      <c r="C2902" s="148"/>
      <c r="D2902" s="148" t="str">
        <f>IFERROR(__xludf.DUMMYFUNCTION("""COMPUTED_VALUE"""),"item_select_box")</f>
        <v>item_select_box</v>
      </c>
      <c r="E2902" s="148">
        <f>IFERROR(__xludf.DUMMYFUNCTION("""COMPUTED_VALUE"""),19.0)</f>
        <v>19</v>
      </c>
      <c r="F2902" s="148">
        <f>IFERROR(__xludf.DUMMYFUNCTION("""COMPUTED_VALUE"""),408195.0)</f>
        <v>408195</v>
      </c>
      <c r="G2902" s="148">
        <f>IFERROR(__xludf.DUMMYFUNCTION("""COMPUTED_VALUE"""),1.51103082E8)</f>
        <v>151103082</v>
      </c>
      <c r="H2902" s="148">
        <f>IFERROR(__xludf.DUMMYFUNCTION("""COMPUTED_VALUE"""),1.5112564E7)</f>
        <v>15112564</v>
      </c>
      <c r="I2902" s="148" t="str">
        <f>IFERROR(__xludf.DUMMYFUNCTION("""COMPUTED_VALUE"""),"{}")</f>
        <v>{}</v>
      </c>
      <c r="J2902" s="148" t="str">
        <f>IFERROR(__xludf.DUMMYFUNCTION("""COMPUTED_VALUE"""),"{""typ"":""lc"",""txt"":""LC_ITEM_select_chest_box1""}")</f>
        <v>{"typ":"lc","txt":"LC_ITEM_select_chest_box1"}</v>
      </c>
      <c r="K2902" s="148" t="str">
        <f>IFERROR(__xludf.DUMMYFUNCTION("""COMPUTED_VALUE"""),"{""typ"":""lc"",""txt"":""LC_ITEM_mecha_select_box_desc""}")</f>
        <v>{"typ":"lc","txt":"LC_ITEM_mecha_select_box_desc"}</v>
      </c>
      <c r="L2902" s="148" t="str">
        <f>IFERROR(__xludf.DUMMYFUNCTION("""COMPUTED_VALUE"""),"{}")</f>
        <v>{}</v>
      </c>
      <c r="M2902" s="148">
        <f>IFERROR(__xludf.DUMMYFUNCTION("""COMPUTED_VALUE"""),1000.0)</f>
        <v>1000</v>
      </c>
      <c r="N2902" s="148">
        <f>IFERROR(__xludf.DUMMYFUNCTION("""COMPUTED_VALUE"""),9999999.0)</f>
        <v>9999999</v>
      </c>
      <c r="O2902" s="148">
        <f>IFERROR(__xludf.DUMMYFUNCTION("""COMPUTED_VALUE"""),99999.0)</f>
        <v>99999</v>
      </c>
      <c r="P2902" s="148">
        <f>IFERROR(__xludf.DUMMYFUNCTION("""COMPUTED_VALUE"""),99999.0)</f>
        <v>99999</v>
      </c>
      <c r="Q2902" s="148" t="str">
        <f>IFERROR(__xludf.DUMMYFUNCTION("""COMPUTED_VALUE"""),"[""bag_other""]")</f>
        <v>["bag_other"]</v>
      </c>
      <c r="R2902" s="148" t="str">
        <f>IFERROR(__xludf.DUMMYFUNCTION("""COMPUTED_VALUE"""),"[""bag""]")</f>
        <v>["bag"]</v>
      </c>
      <c r="S2902" s="148" t="str">
        <f>IFERROR(__xludf.DUMMYFUNCTION("""COMPUTED_VALUE"""),"{""select_box"":[{""typ"":""item"",""id"":11111346,""val"":1},{""typ"":""item"",""id"":11111347,""val"":1},{""typ"":""item"",""id"":11111349,""val"":1},{""typ"":""item"",""id"":11111350,""val"":1},{""typ"":""item"",""id"":11111351,""val"":1},{""typ"":""it"&amp;"em"",""id"":11111353,""val"":1},{""typ"":""item"",""id"":11111356,""val"":1},{""typ"":""item"",""id"":11112018,""val"":1},{""typ"":""item"",""id"":11112042,""val"":1},{""typ"":""item"",""id"":11112082,""val"":1},{""typ"":""item"",""id"":11112111,""val"":1"&amp;"},{""typ"":""item"",""id"":11112133,""val"":1},{""typ"":""item"",""id"":11112171,""val"":1},{""typ"":""item"",""id"":11112196,""val"":1},{""typ"":""item"",""id"":11112207,""val"":1},{""typ"":""item"",""id"":11112246,""val"":1},{""typ"":""item"",""id"":111"&amp;"12288,""val"":1},{""typ"":""item"",""id"":11112312,""val"":1},{""typ"":""item"",""id"":11112030,""val"":50}]}")</f>
        <v>{"select_box":[{"typ":"item","id":11111346,"val":1},{"typ":"item","id":11111347,"val":1},{"typ":"item","id":11111349,"val":1},{"typ":"item","id":11111350,"val":1},{"typ":"item","id":11111351,"val":1},{"typ":"item","id":11111353,"val":1},{"typ":"item","id":11111356,"val":1},{"typ":"item","id":11112018,"val":1},{"typ":"item","id":11112042,"val":1},{"typ":"item","id":11112082,"val":1},{"typ":"item","id":11112111,"val":1},{"typ":"item","id":11112133,"val":1},{"typ":"item","id":11112171,"val":1},{"typ":"item","id":11112196,"val":1},{"typ":"item","id":11112207,"val":1},{"typ":"item","id":11112246,"val":1},{"typ":"item","id":11112288,"val":1},{"typ":"item","id":11112312,"val":1},{"typ":"item","id":11112030,"val":50}]}</v>
      </c>
      <c r="T2902" s="148">
        <f>IFERROR(__xludf.DUMMYFUNCTION("""COMPUTED_VALUE"""),-1.0)</f>
        <v>-1</v>
      </c>
      <c r="U2902" s="148">
        <f>IFERROR(__xludf.DUMMYFUNCTION("""COMPUTED_VALUE"""),0.0)</f>
        <v>0</v>
      </c>
      <c r="V2902" s="148" t="str">
        <f>IFERROR(__xludf.DUMMYFUNCTION("""COMPUTED_VALUE"""),"[]")</f>
        <v>[]</v>
      </c>
      <c r="W2902" s="148">
        <f>IFERROR(__xludf.DUMMYFUNCTION("""COMPUTED_VALUE"""),1.1741002E7)</f>
        <v>11741002</v>
      </c>
      <c r="X2902" s="148">
        <f>IFERROR(__xludf.DUMMYFUNCTION("""COMPUTED_VALUE"""),0.0)</f>
        <v>0</v>
      </c>
      <c r="Y2902" s="148">
        <f>IFERROR(__xludf.DUMMYFUNCTION("""COMPUTED_VALUE"""),0.0)</f>
        <v>0</v>
      </c>
      <c r="Z2902" s="148"/>
    </row>
    <row r="2903">
      <c r="A2903" s="148">
        <f>IFERROR(__xludf.DUMMYFUNCTION("""COMPUTED_VALUE"""),1.1119868E7)</f>
        <v>11119868</v>
      </c>
      <c r="B2903" s="148" t="str">
        <f>IFERROR(__xludf.DUMMYFUNCTION("""COMPUTED_VALUE"""),"2025圣诞节自选宝箱")</f>
        <v>2025圣诞节自选宝箱</v>
      </c>
      <c r="C2903" s="148"/>
      <c r="D2903" s="148" t="str">
        <f>IFERROR(__xludf.DUMMYFUNCTION("""COMPUTED_VALUE"""),"item_select_box")</f>
        <v>item_select_box</v>
      </c>
      <c r="E2903" s="148">
        <f>IFERROR(__xludf.DUMMYFUNCTION("""COMPUTED_VALUE"""),19.0)</f>
        <v>19</v>
      </c>
      <c r="F2903" s="148">
        <f>IFERROR(__xludf.DUMMYFUNCTION("""COMPUTED_VALUE"""),0.0)</f>
        <v>0</v>
      </c>
      <c r="G2903" s="148">
        <f>IFERROR(__xludf.DUMMYFUNCTION("""COMPUTED_VALUE"""),1.51103955E8)</f>
        <v>151103955</v>
      </c>
      <c r="H2903" s="148">
        <f>IFERROR(__xludf.DUMMYFUNCTION("""COMPUTED_VALUE"""),1.5112564E7)</f>
        <v>15112564</v>
      </c>
      <c r="I2903" s="148" t="str">
        <f>IFERROR(__xludf.DUMMYFUNCTION("""COMPUTED_VALUE"""),"{}")</f>
        <v>{}</v>
      </c>
      <c r="J2903" s="148" t="str">
        <f>IFERROR(__xludf.DUMMYFUNCTION("""COMPUTED_VALUE"""),"{""typ"":""lc"",""txt"":""LC_ITEM_actv_2025xmas_cbox_name""}")</f>
        <v>{"typ":"lc","txt":"LC_ITEM_actv_2025xmas_cbox_name"}</v>
      </c>
      <c r="K2903" s="148" t="str">
        <f>IFERROR(__xludf.DUMMYFUNCTION("""COMPUTED_VALUE"""),"{""typ"":""lc"",""txt"":""LC_ITEM_actv_2025xmas_cbox_desc""}")</f>
        <v>{"typ":"lc","txt":"LC_ITEM_actv_2025xmas_cbox_desc"}</v>
      </c>
      <c r="L2903" s="148" t="str">
        <f>IFERROR(__xludf.DUMMYFUNCTION("""COMPUTED_VALUE"""),"{}")</f>
        <v>{}</v>
      </c>
      <c r="M2903" s="148">
        <f>IFERROR(__xludf.DUMMYFUNCTION("""COMPUTED_VALUE"""),125.0)</f>
        <v>125</v>
      </c>
      <c r="N2903" s="148">
        <f>IFERROR(__xludf.DUMMYFUNCTION("""COMPUTED_VALUE"""),999999.0)</f>
        <v>999999</v>
      </c>
      <c r="O2903" s="148">
        <f>IFERROR(__xludf.DUMMYFUNCTION("""COMPUTED_VALUE"""),99999.0)</f>
        <v>99999</v>
      </c>
      <c r="P2903" s="148">
        <f>IFERROR(__xludf.DUMMYFUNCTION("""COMPUTED_VALUE"""),9999.0)</f>
        <v>9999</v>
      </c>
      <c r="Q2903" s="148" t="str">
        <f>IFERROR(__xludf.DUMMYFUNCTION("""COMPUTED_VALUE"""),"[""bag_other""]")</f>
        <v>["bag_other"]</v>
      </c>
      <c r="R2903" s="148" t="str">
        <f>IFERROR(__xludf.DUMMYFUNCTION("""COMPUTED_VALUE"""),"[""bag""]")</f>
        <v>["bag"]</v>
      </c>
      <c r="S2903" s="148" t="str">
        <f>IFERROR(__xludf.DUMMYFUNCTION("""COMPUTED_VALUE"""),"{""select_box"":[{""typ"":""item"",""id"":11112649,""val"":1},{""typ"":""item"",""id"":11112498,""val"":2},{""typ"":""item"",""id"":11119904,""val"":5},{""typ"":""item"",""id"":11112356,""val"":10}]}")</f>
        <v>{"select_box":[{"typ":"item","id":11112649,"val":1},{"typ":"item","id":11112498,"val":2},{"typ":"item","id":11119904,"val":5},{"typ":"item","id":11112356,"val":10}]}</v>
      </c>
      <c r="T2903" s="148">
        <f>IFERROR(__xludf.DUMMYFUNCTION("""COMPUTED_VALUE"""),-1.0)</f>
        <v>-1</v>
      </c>
      <c r="U2903" s="148">
        <f>IFERROR(__xludf.DUMMYFUNCTION("""COMPUTED_VALUE"""),0.0)</f>
        <v>0</v>
      </c>
      <c r="V2903" s="148" t="str">
        <f>IFERROR(__xludf.DUMMYFUNCTION("""COMPUTED_VALUE"""),"[]")</f>
        <v>[]</v>
      </c>
      <c r="W2903" s="148">
        <f>IFERROR(__xludf.DUMMYFUNCTION("""COMPUTED_VALUE"""),1.174E7)</f>
        <v>11740000</v>
      </c>
      <c r="X2903" s="148">
        <f>IFERROR(__xludf.DUMMYFUNCTION("""COMPUTED_VALUE"""),0.0)</f>
        <v>0</v>
      </c>
      <c r="Y2903" s="148">
        <f>IFERROR(__xludf.DUMMYFUNCTION("""COMPUTED_VALUE"""),0.0)</f>
        <v>0</v>
      </c>
      <c r="Z2903" s="148"/>
    </row>
    <row r="2904">
      <c r="A2904" s="148">
        <f>IFERROR(__xludf.DUMMYFUNCTION("""COMPUTED_VALUE"""),1.1119869E7)</f>
        <v>11119869</v>
      </c>
      <c r="B2904" s="148" t="str">
        <f>IFERROR(__xludf.DUMMYFUNCTION("""COMPUTED_VALUE"""),"2025圣诞节随机宝箱")</f>
        <v>2025圣诞节随机宝箱</v>
      </c>
      <c r="C2904" s="148"/>
      <c r="D2904" s="148" t="str">
        <f>IFERROR(__xludf.DUMMYFUNCTION("""COMPUTED_VALUE"""),"item_asset")</f>
        <v>item_asset</v>
      </c>
      <c r="E2904" s="148">
        <f>IFERROR(__xludf.DUMMYFUNCTION("""COMPUTED_VALUE"""),19.0)</f>
        <v>19</v>
      </c>
      <c r="F2904" s="148">
        <f>IFERROR(__xludf.DUMMYFUNCTION("""COMPUTED_VALUE"""),0.0)</f>
        <v>0</v>
      </c>
      <c r="G2904" s="148">
        <f>IFERROR(__xludf.DUMMYFUNCTION("""COMPUTED_VALUE"""),1.51103956E8)</f>
        <v>151103956</v>
      </c>
      <c r="H2904" s="148">
        <f>IFERROR(__xludf.DUMMYFUNCTION("""COMPUTED_VALUE"""),1.5112564E7)</f>
        <v>15112564</v>
      </c>
      <c r="I2904" s="148" t="str">
        <f>IFERROR(__xludf.DUMMYFUNCTION("""COMPUTED_VALUE"""),"{}")</f>
        <v>{}</v>
      </c>
      <c r="J2904" s="148" t="str">
        <f>IFERROR(__xludf.DUMMYFUNCTION("""COMPUTED_VALUE"""),"{""typ"":""lc"",""txt"":""LC_ITEM_actv_2025xmas_rbox_name""}")</f>
        <v>{"typ":"lc","txt":"LC_ITEM_actv_2025xmas_rbox_name"}</v>
      </c>
      <c r="K2904" s="148" t="str">
        <f>IFERROR(__xludf.DUMMYFUNCTION("""COMPUTED_VALUE"""),"{""typ"":""lc"",""txt"":""LC_ITEM_actv_2025xmas_rbox_desc""}")</f>
        <v>{"typ":"lc","txt":"LC_ITEM_actv_2025xmas_rbox_desc"}</v>
      </c>
      <c r="L2904" s="148" t="str">
        <f>IFERROR(__xludf.DUMMYFUNCTION("""COMPUTED_VALUE"""),"{}")</f>
        <v>{}</v>
      </c>
      <c r="M2904" s="148">
        <f>IFERROR(__xludf.DUMMYFUNCTION("""COMPUTED_VALUE"""),125.0)</f>
        <v>125</v>
      </c>
      <c r="N2904" s="148">
        <f>IFERROR(__xludf.DUMMYFUNCTION("""COMPUTED_VALUE"""),999999.0)</f>
        <v>999999</v>
      </c>
      <c r="O2904" s="148">
        <f>IFERROR(__xludf.DUMMYFUNCTION("""COMPUTED_VALUE"""),99999.0)</f>
        <v>99999</v>
      </c>
      <c r="P2904" s="148">
        <f>IFERROR(__xludf.DUMMYFUNCTION("""COMPUTED_VALUE"""),9999.0)</f>
        <v>9999</v>
      </c>
      <c r="Q2904" s="148" t="str">
        <f>IFERROR(__xludf.DUMMYFUNCTION("""COMPUTED_VALUE"""),"[""bag_other""]")</f>
        <v>["bag_other"]</v>
      </c>
      <c r="R2904" s="148" t="str">
        <f>IFERROR(__xludf.DUMMYFUNCTION("""COMPUTED_VALUE"""),"[""bag""]")</f>
        <v>["bag"]</v>
      </c>
      <c r="S2904" s="148" t="str">
        <f>IFERROR(__xludf.DUMMYFUNCTION("""COMPUTED_VALUE"""),"{""drop"":{""typ"":""single_random"",""num"":1,""args"":[{""typ"":""item"",""id"":11112356,""num"":2,""wgt"":20},{""typ"":""item"",""id"":11116304,""num"":1,""wgt"":5},{""typ"":""item"",""id"":11116110,""num"":1,""wgt"":20},{""typ"":""item"",""id"":111143"&amp;"30,""num"":1,""wgt"":100},{""typ"":""item"",""id"":11111155,""num"":2,""wgt"":100},{""typ"":""item"",""id"":11111105,""num"":1,""wgt"":50}]}}")</f>
        <v>{"drop":{"typ":"single_random","num":1,"args":[{"typ":"item","id":11112356,"num":2,"wgt":20},{"typ":"item","id":11116304,"num":1,"wgt":5},{"typ":"item","id":11116110,"num":1,"wgt":20},{"typ":"item","id":11114330,"num":1,"wgt":100},{"typ":"item","id":11111155,"num":2,"wgt":100},{"typ":"item","id":11111105,"num":1,"wgt":50}]}}</v>
      </c>
      <c r="T2904" s="148">
        <f>IFERROR(__xludf.DUMMYFUNCTION("""COMPUTED_VALUE"""),-1.0)</f>
        <v>-1</v>
      </c>
      <c r="U2904" s="148">
        <f>IFERROR(__xludf.DUMMYFUNCTION("""COMPUTED_VALUE"""),0.0)</f>
        <v>0</v>
      </c>
      <c r="V2904" s="148" t="str">
        <f>IFERROR(__xludf.DUMMYFUNCTION("""COMPUTED_VALUE"""),"[]")</f>
        <v>[]</v>
      </c>
      <c r="W2904" s="148">
        <f>IFERROR(__xludf.DUMMYFUNCTION("""COMPUTED_VALUE"""),1.174E7)</f>
        <v>11740000</v>
      </c>
      <c r="X2904" s="148">
        <f>IFERROR(__xludf.DUMMYFUNCTION("""COMPUTED_VALUE"""),0.0)</f>
        <v>0</v>
      </c>
      <c r="Y2904" s="148">
        <f>IFERROR(__xludf.DUMMYFUNCTION("""COMPUTED_VALUE"""),0.0)</f>
        <v>0</v>
      </c>
      <c r="Z2904" s="148"/>
    </row>
    <row r="2905">
      <c r="A2905" s="148">
        <f>IFERROR(__xludf.DUMMYFUNCTION("""COMPUTED_VALUE"""),1.111987E7)</f>
        <v>11119870</v>
      </c>
      <c r="B2905" s="148" t="str">
        <f>IFERROR(__xludf.DUMMYFUNCTION("""COMPUTED_VALUE"""),"2025圣诞节行军特效-爆裂拳王-1天限时")</f>
        <v>2025圣诞节行军特效-爆裂拳王-1天限时</v>
      </c>
      <c r="C2905" s="148"/>
      <c r="D2905" s="148" t="str">
        <f>IFERROR(__xludf.DUMMYFUNCTION("""COMPUTED_VALUE"""),"marching_effect")</f>
        <v>marching_effect</v>
      </c>
      <c r="E2905" s="148">
        <f>IFERROR(__xludf.DUMMYFUNCTION("""COMPUTED_VALUE"""),0.0)</f>
        <v>0</v>
      </c>
      <c r="F2905" s="148">
        <f>IFERROR(__xludf.DUMMYFUNCTION("""COMPUTED_VALUE"""),408200.0)</f>
        <v>408200</v>
      </c>
      <c r="G2905" s="148">
        <f>IFERROR(__xludf.DUMMYFUNCTION("""COMPUTED_VALUE"""),1.5110403E8)</f>
        <v>151104030</v>
      </c>
      <c r="H2905" s="148">
        <f>IFERROR(__xludf.DUMMYFUNCTION("""COMPUTED_VALUE"""),1.511256E7)</f>
        <v>15112560</v>
      </c>
      <c r="I2905" s="148" t="str">
        <f>IFERROR(__xludf.DUMMYFUNCTION("""COMPUTED_VALUE"""),"{""typ"":""lc"",""txt"":""LC_ITEM_time_day_upper_show"",""args"":[{""typ"":""int_unit"",""val"":1}]}")</f>
        <v>{"typ":"lc","txt":"LC_ITEM_time_day_upper_show","args":[{"typ":"int_unit","val":1}]}</v>
      </c>
      <c r="J2905" s="148" t="str">
        <f>IFERROR(__xludf.DUMMYFUNCTION("""COMPUTED_VALUE"""),"{""typ"":""lc"",""txt"":""LC_ITEM_tg_marcheffect_mj8_2025""}")</f>
        <v>{"typ":"lc","txt":"LC_ITEM_tg_marcheffect_mj8_2025"}</v>
      </c>
      <c r="K2905" s="148" t="str">
        <f>IFERROR(__xludf.DUMMYFUNCTION("""COMPUTED_VALUE"""),"{""typ"":""lc"",""txt"":""LC_ITEM_tg_marcheffect_mj8_2025_desc""}")</f>
        <v>{"typ":"lc","txt":"LC_ITEM_tg_marcheffect_mj8_2025_desc"}</v>
      </c>
      <c r="L2905" s="148" t="str">
        <f>IFERROR(__xludf.DUMMYFUNCTION("""COMPUTED_VALUE"""),"{""typ"":""lc"",""txt"":""LC_ITEM_march_effect_use_tip_all""}")</f>
        <v>{"typ":"lc","txt":"LC_ITEM_march_effect_use_tip_all"}</v>
      </c>
      <c r="M2905" s="148">
        <f>IFERROR(__xludf.DUMMYFUNCTION("""COMPUTED_VALUE"""),50.0)</f>
        <v>50</v>
      </c>
      <c r="N2905" s="148">
        <f>IFERROR(__xludf.DUMMYFUNCTION("""COMPUTED_VALUE"""),999999.0)</f>
        <v>999999</v>
      </c>
      <c r="O2905" s="148">
        <f>IFERROR(__xludf.DUMMYFUNCTION("""COMPUTED_VALUE"""),99999.0)</f>
        <v>99999</v>
      </c>
      <c r="P2905" s="148">
        <f>IFERROR(__xludf.DUMMYFUNCTION("""COMPUTED_VALUE"""),1.0)</f>
        <v>1</v>
      </c>
      <c r="Q2905" s="148" t="str">
        <f>IFERROR(__xludf.DUMMYFUNCTION("""COMPUTED_VALUE"""),"[""bag_other""]")</f>
        <v>["bag_other"]</v>
      </c>
      <c r="R2905" s="148" t="str">
        <f>IFERROR(__xludf.DUMMYFUNCTION("""COMPUTED_VALUE"""),"[""bag"",""13650149""]")</f>
        <v>["bag","13650149"]</v>
      </c>
      <c r="S2905" s="148" t="str">
        <f>IFERROR(__xludf.DUMMYFUNCTION("""COMPUTED_VALUE"""),"{""effect"":[{""typ"":""marching_effect"",""id"":13650149,""val"":86400000},{""typ"":""vm"",""id"":11151001,""val"":50}]}")</f>
        <v>{"effect":[{"typ":"marching_effect","id":13650149,"val":86400000},{"typ":"vm","id":11151001,"val":50}]}</v>
      </c>
      <c r="T2905" s="148">
        <f>IFERROR(__xludf.DUMMYFUNCTION("""COMPUTED_VALUE"""),-1.0)</f>
        <v>-1</v>
      </c>
      <c r="U2905" s="148">
        <f>IFERROR(__xludf.DUMMYFUNCTION("""COMPUTED_VALUE"""),0.0)</f>
        <v>0</v>
      </c>
      <c r="V2905" s="148" t="str">
        <f>IFERROR(__xludf.DUMMYFUNCTION("""COMPUTED_VALUE"""),"[]")</f>
        <v>[]</v>
      </c>
      <c r="W2905" s="148">
        <f>IFERROR(__xludf.DUMMYFUNCTION("""COMPUTED_VALUE"""),1.174E7)</f>
        <v>11740000</v>
      </c>
      <c r="X2905" s="148">
        <f>IFERROR(__xludf.DUMMYFUNCTION("""COMPUTED_VALUE"""),0.0)</f>
        <v>0</v>
      </c>
      <c r="Y2905" s="148">
        <f>IFERROR(__xludf.DUMMYFUNCTION("""COMPUTED_VALUE"""),0.0)</f>
        <v>0</v>
      </c>
      <c r="Z2905" s="148"/>
    </row>
    <row r="2906">
      <c r="A2906" s="148">
        <f>IFERROR(__xludf.DUMMYFUNCTION("""COMPUTED_VALUE"""),1.1119871E7)</f>
        <v>11119871</v>
      </c>
      <c r="B2906" s="148" t="str">
        <f>IFERROR(__xludf.DUMMYFUNCTION("""COMPUTED_VALUE"""),"2025圣诞节行军特效-爆裂拳王-3天限时")</f>
        <v>2025圣诞节行军特效-爆裂拳王-3天限时</v>
      </c>
      <c r="C2906" s="148"/>
      <c r="D2906" s="148" t="str">
        <f>IFERROR(__xludf.DUMMYFUNCTION("""COMPUTED_VALUE"""),"marching_effect")</f>
        <v>marching_effect</v>
      </c>
      <c r="E2906" s="148">
        <f>IFERROR(__xludf.DUMMYFUNCTION("""COMPUTED_VALUE"""),0.0)</f>
        <v>0</v>
      </c>
      <c r="F2906" s="148">
        <f>IFERROR(__xludf.DUMMYFUNCTION("""COMPUTED_VALUE"""),408199.0)</f>
        <v>408199</v>
      </c>
      <c r="G2906" s="148">
        <f>IFERROR(__xludf.DUMMYFUNCTION("""COMPUTED_VALUE"""),1.5110403E8)</f>
        <v>151104030</v>
      </c>
      <c r="H2906" s="148">
        <f>IFERROR(__xludf.DUMMYFUNCTION("""COMPUTED_VALUE"""),1.5112561E7)</f>
        <v>15112561</v>
      </c>
      <c r="I2906" s="148" t="str">
        <f>IFERROR(__xludf.DUMMYFUNCTION("""COMPUTED_VALUE"""),"{""typ"":""lc"",""txt"":""LC_ITEM_time_day_upper_show"",""args"":[{""typ"":""int_unit"",""val"":3}]}")</f>
        <v>{"typ":"lc","txt":"LC_ITEM_time_day_upper_show","args":[{"typ":"int_unit","val":3}]}</v>
      </c>
      <c r="J2906" s="148" t="str">
        <f>IFERROR(__xludf.DUMMYFUNCTION("""COMPUTED_VALUE"""),"{""typ"":""lc"",""txt"":""LC_ITEM_tg_marcheffect_mj8_2025""}")</f>
        <v>{"typ":"lc","txt":"LC_ITEM_tg_marcheffect_mj8_2025"}</v>
      </c>
      <c r="K2906" s="148" t="str">
        <f>IFERROR(__xludf.DUMMYFUNCTION("""COMPUTED_VALUE"""),"{""typ"":""lc"",""txt"":""LC_ITEM_tg_marcheffect_mj8_2025_desc""}")</f>
        <v>{"typ":"lc","txt":"LC_ITEM_tg_marcheffect_mj8_2025_desc"}</v>
      </c>
      <c r="L2906" s="148" t="str">
        <f>IFERROR(__xludf.DUMMYFUNCTION("""COMPUTED_VALUE"""),"{""typ"":""lc"",""txt"":""LC_ITEM_march_effect_use_tip_all""}")</f>
        <v>{"typ":"lc","txt":"LC_ITEM_march_effect_use_tip_all"}</v>
      </c>
      <c r="M2906" s="148">
        <f>IFERROR(__xludf.DUMMYFUNCTION("""COMPUTED_VALUE"""),200.0)</f>
        <v>200</v>
      </c>
      <c r="N2906" s="148">
        <f>IFERROR(__xludf.DUMMYFUNCTION("""COMPUTED_VALUE"""),999999.0)</f>
        <v>999999</v>
      </c>
      <c r="O2906" s="148">
        <f>IFERROR(__xludf.DUMMYFUNCTION("""COMPUTED_VALUE"""),99999.0)</f>
        <v>99999</v>
      </c>
      <c r="P2906" s="148">
        <f>IFERROR(__xludf.DUMMYFUNCTION("""COMPUTED_VALUE"""),1.0)</f>
        <v>1</v>
      </c>
      <c r="Q2906" s="148" t="str">
        <f>IFERROR(__xludf.DUMMYFUNCTION("""COMPUTED_VALUE"""),"[""bag_other""]")</f>
        <v>["bag_other"]</v>
      </c>
      <c r="R2906" s="148" t="str">
        <f>IFERROR(__xludf.DUMMYFUNCTION("""COMPUTED_VALUE"""),"[""bag"",""13650149""]")</f>
        <v>["bag","13650149"]</v>
      </c>
      <c r="S2906" s="148" t="str">
        <f>IFERROR(__xludf.DUMMYFUNCTION("""COMPUTED_VALUE"""),"{""effect"":[{""typ"":""marching_effect"",""id"":13650149,""val"":259200000},{""typ"":""vm"",""id"":11151001,""val"":200}]}")</f>
        <v>{"effect":[{"typ":"marching_effect","id":13650149,"val":259200000},{"typ":"vm","id":11151001,"val":200}]}</v>
      </c>
      <c r="T2906" s="148">
        <f>IFERROR(__xludf.DUMMYFUNCTION("""COMPUTED_VALUE"""),-1.0)</f>
        <v>-1</v>
      </c>
      <c r="U2906" s="148">
        <f>IFERROR(__xludf.DUMMYFUNCTION("""COMPUTED_VALUE"""),0.0)</f>
        <v>0</v>
      </c>
      <c r="V2906" s="148" t="str">
        <f>IFERROR(__xludf.DUMMYFUNCTION("""COMPUTED_VALUE"""),"[]")</f>
        <v>[]</v>
      </c>
      <c r="W2906" s="148">
        <f>IFERROR(__xludf.DUMMYFUNCTION("""COMPUTED_VALUE"""),1.174E7)</f>
        <v>11740000</v>
      </c>
      <c r="X2906" s="148">
        <f>IFERROR(__xludf.DUMMYFUNCTION("""COMPUTED_VALUE"""),0.0)</f>
        <v>0</v>
      </c>
      <c r="Y2906" s="148">
        <f>IFERROR(__xludf.DUMMYFUNCTION("""COMPUTED_VALUE"""),0.0)</f>
        <v>0</v>
      </c>
      <c r="Z2906" s="148"/>
    </row>
    <row r="2907">
      <c r="A2907" s="148">
        <f>IFERROR(__xludf.DUMMYFUNCTION("""COMPUTED_VALUE"""),1.1119872E7)</f>
        <v>11119872</v>
      </c>
      <c r="B2907" s="148" t="str">
        <f>IFERROR(__xludf.DUMMYFUNCTION("""COMPUTED_VALUE"""),"2025圣诞节行军特效-爆裂拳王-7天限时")</f>
        <v>2025圣诞节行军特效-爆裂拳王-7天限时</v>
      </c>
      <c r="C2907" s="148"/>
      <c r="D2907" s="148" t="str">
        <f>IFERROR(__xludf.DUMMYFUNCTION("""COMPUTED_VALUE"""),"marching_effect")</f>
        <v>marching_effect</v>
      </c>
      <c r="E2907" s="148">
        <f>IFERROR(__xludf.DUMMYFUNCTION("""COMPUTED_VALUE"""),0.0)</f>
        <v>0</v>
      </c>
      <c r="F2907" s="148">
        <f>IFERROR(__xludf.DUMMYFUNCTION("""COMPUTED_VALUE"""),408198.0)</f>
        <v>408198</v>
      </c>
      <c r="G2907" s="148">
        <f>IFERROR(__xludf.DUMMYFUNCTION("""COMPUTED_VALUE"""),1.5110403E8)</f>
        <v>151104030</v>
      </c>
      <c r="H2907" s="148">
        <f>IFERROR(__xludf.DUMMYFUNCTION("""COMPUTED_VALUE"""),1.5112562E7)</f>
        <v>15112562</v>
      </c>
      <c r="I2907" s="148" t="str">
        <f>IFERROR(__xludf.DUMMYFUNCTION("""COMPUTED_VALUE"""),"{""typ"":""lc"",""txt"":""LC_ITEM_time_day_upper_show"",""args"":[{""typ"":""int_unit"",""val"":7}]}")</f>
        <v>{"typ":"lc","txt":"LC_ITEM_time_day_upper_show","args":[{"typ":"int_unit","val":7}]}</v>
      </c>
      <c r="J2907" s="148" t="str">
        <f>IFERROR(__xludf.DUMMYFUNCTION("""COMPUTED_VALUE"""),"{""typ"":""lc"",""txt"":""LC_ITEM_tg_marcheffect_mj8_2025""}")</f>
        <v>{"typ":"lc","txt":"LC_ITEM_tg_marcheffect_mj8_2025"}</v>
      </c>
      <c r="K2907" s="148" t="str">
        <f>IFERROR(__xludf.DUMMYFUNCTION("""COMPUTED_VALUE"""),"{""typ"":""lc"",""txt"":""LC_ITEM_tg_marcheffect_mj8_2025_desc""}")</f>
        <v>{"typ":"lc","txt":"LC_ITEM_tg_marcheffect_mj8_2025_desc"}</v>
      </c>
      <c r="L2907" s="148" t="str">
        <f>IFERROR(__xludf.DUMMYFUNCTION("""COMPUTED_VALUE"""),"{""typ"":""lc"",""txt"":""LC_ITEM_march_effect_use_tip_all""}")</f>
        <v>{"typ":"lc","txt":"LC_ITEM_march_effect_use_tip_all"}</v>
      </c>
      <c r="M2907" s="148">
        <f>IFERROR(__xludf.DUMMYFUNCTION("""COMPUTED_VALUE"""),500.0)</f>
        <v>500</v>
      </c>
      <c r="N2907" s="148">
        <f>IFERROR(__xludf.DUMMYFUNCTION("""COMPUTED_VALUE"""),999999.0)</f>
        <v>999999</v>
      </c>
      <c r="O2907" s="148">
        <f>IFERROR(__xludf.DUMMYFUNCTION("""COMPUTED_VALUE"""),99999.0)</f>
        <v>99999</v>
      </c>
      <c r="P2907" s="148">
        <f>IFERROR(__xludf.DUMMYFUNCTION("""COMPUTED_VALUE"""),1.0)</f>
        <v>1</v>
      </c>
      <c r="Q2907" s="148" t="str">
        <f>IFERROR(__xludf.DUMMYFUNCTION("""COMPUTED_VALUE"""),"[""bag_other""]")</f>
        <v>["bag_other"]</v>
      </c>
      <c r="R2907" s="148" t="str">
        <f>IFERROR(__xludf.DUMMYFUNCTION("""COMPUTED_VALUE"""),"[""bag"",""13650149""]")</f>
        <v>["bag","13650149"]</v>
      </c>
      <c r="S2907" s="148" t="str">
        <f>IFERROR(__xludf.DUMMYFUNCTION("""COMPUTED_VALUE"""),"{""effect"":[{""typ"":""marching_effect"",""id"":13650149,""val"":604800000},{""typ"":""vm"",""id"":11151001,""val"":500}]}")</f>
        <v>{"effect":[{"typ":"marching_effect","id":13650149,"val":604800000},{"typ":"vm","id":11151001,"val":500}]}</v>
      </c>
      <c r="T2907" s="148">
        <f>IFERROR(__xludf.DUMMYFUNCTION("""COMPUTED_VALUE"""),-1.0)</f>
        <v>-1</v>
      </c>
      <c r="U2907" s="148">
        <f>IFERROR(__xludf.DUMMYFUNCTION("""COMPUTED_VALUE"""),0.0)</f>
        <v>0</v>
      </c>
      <c r="V2907" s="148" t="str">
        <f>IFERROR(__xludf.DUMMYFUNCTION("""COMPUTED_VALUE"""),"[]")</f>
        <v>[]</v>
      </c>
      <c r="W2907" s="148">
        <f>IFERROR(__xludf.DUMMYFUNCTION("""COMPUTED_VALUE"""),1.174E7)</f>
        <v>11740000</v>
      </c>
      <c r="X2907" s="148">
        <f>IFERROR(__xludf.DUMMYFUNCTION("""COMPUTED_VALUE"""),0.0)</f>
        <v>0</v>
      </c>
      <c r="Y2907" s="148">
        <f>IFERROR(__xludf.DUMMYFUNCTION("""COMPUTED_VALUE"""),0.0)</f>
        <v>0</v>
      </c>
      <c r="Z2907" s="148"/>
    </row>
    <row r="2908">
      <c r="A2908" s="148">
        <f>IFERROR(__xludf.DUMMYFUNCTION("""COMPUTED_VALUE"""),1.1119873E7)</f>
        <v>11119873</v>
      </c>
      <c r="B2908" s="148" t="str">
        <f>IFERROR(__xludf.DUMMYFUNCTION("""COMPUTED_VALUE"""),"2025圣诞节行军特效-爆裂拳王-14天限时")</f>
        <v>2025圣诞节行军特效-爆裂拳王-14天限时</v>
      </c>
      <c r="C2908" s="148"/>
      <c r="D2908" s="148" t="str">
        <f>IFERROR(__xludf.DUMMYFUNCTION("""COMPUTED_VALUE"""),"marching_effect")</f>
        <v>marching_effect</v>
      </c>
      <c r="E2908" s="148">
        <f>IFERROR(__xludf.DUMMYFUNCTION("""COMPUTED_VALUE"""),0.0)</f>
        <v>0</v>
      </c>
      <c r="F2908" s="148">
        <f>IFERROR(__xludf.DUMMYFUNCTION("""COMPUTED_VALUE"""),408197.0)</f>
        <v>408197</v>
      </c>
      <c r="G2908" s="148">
        <f>IFERROR(__xludf.DUMMYFUNCTION("""COMPUTED_VALUE"""),1.5110403E8)</f>
        <v>151104030</v>
      </c>
      <c r="H2908" s="148">
        <f>IFERROR(__xludf.DUMMYFUNCTION("""COMPUTED_VALUE"""),1.5112563E7)</f>
        <v>15112563</v>
      </c>
      <c r="I2908" s="148" t="str">
        <f>IFERROR(__xludf.DUMMYFUNCTION("""COMPUTED_VALUE"""),"{""typ"":""lc"",""txt"":""LC_ITEM_time_day_upper_show"",""args"":[{""typ"":""int_unit"",""val"":14}]}")</f>
        <v>{"typ":"lc","txt":"LC_ITEM_time_day_upper_show","args":[{"typ":"int_unit","val":14}]}</v>
      </c>
      <c r="J2908" s="148" t="str">
        <f>IFERROR(__xludf.DUMMYFUNCTION("""COMPUTED_VALUE"""),"{""typ"":""lc"",""txt"":""LC_ITEM_tg_marcheffect_mj8_2025""}")</f>
        <v>{"typ":"lc","txt":"LC_ITEM_tg_marcheffect_mj8_2025"}</v>
      </c>
      <c r="K2908" s="148" t="str">
        <f>IFERROR(__xludf.DUMMYFUNCTION("""COMPUTED_VALUE"""),"{""typ"":""lc"",""txt"":""LC_ITEM_tg_marcheffect_mj8_2025_desc""}")</f>
        <v>{"typ":"lc","txt":"LC_ITEM_tg_marcheffect_mj8_2025_desc"}</v>
      </c>
      <c r="L2908" s="148" t="str">
        <f>IFERROR(__xludf.DUMMYFUNCTION("""COMPUTED_VALUE"""),"{""typ"":""lc"",""txt"":""LC_ITEM_march_effect_use_tip_all""}")</f>
        <v>{"typ":"lc","txt":"LC_ITEM_march_effect_use_tip_all"}</v>
      </c>
      <c r="M2908" s="148">
        <f>IFERROR(__xludf.DUMMYFUNCTION("""COMPUTED_VALUE"""),1000.0)</f>
        <v>1000</v>
      </c>
      <c r="N2908" s="148">
        <f>IFERROR(__xludf.DUMMYFUNCTION("""COMPUTED_VALUE"""),999999.0)</f>
        <v>999999</v>
      </c>
      <c r="O2908" s="148">
        <f>IFERROR(__xludf.DUMMYFUNCTION("""COMPUTED_VALUE"""),99999.0)</f>
        <v>99999</v>
      </c>
      <c r="P2908" s="148">
        <f>IFERROR(__xludf.DUMMYFUNCTION("""COMPUTED_VALUE"""),1.0)</f>
        <v>1</v>
      </c>
      <c r="Q2908" s="148" t="str">
        <f>IFERROR(__xludf.DUMMYFUNCTION("""COMPUTED_VALUE"""),"[""bag_other""]")</f>
        <v>["bag_other"]</v>
      </c>
      <c r="R2908" s="148" t="str">
        <f>IFERROR(__xludf.DUMMYFUNCTION("""COMPUTED_VALUE"""),"[""bag"",""13650149""]")</f>
        <v>["bag","13650149"]</v>
      </c>
      <c r="S2908" s="148" t="str">
        <f>IFERROR(__xludf.DUMMYFUNCTION("""COMPUTED_VALUE"""),"{""effect"":[{""typ"":""marching_effect"",""id"":13650149,""val"":1209600000},{""typ"":""vm"",""id"":11151001,""val"":1000}]}")</f>
        <v>{"effect":[{"typ":"marching_effect","id":13650149,"val":1209600000},{"typ":"vm","id":11151001,"val":1000}]}</v>
      </c>
      <c r="T2908" s="148">
        <f>IFERROR(__xludf.DUMMYFUNCTION("""COMPUTED_VALUE"""),-1.0)</f>
        <v>-1</v>
      </c>
      <c r="U2908" s="148">
        <f>IFERROR(__xludf.DUMMYFUNCTION("""COMPUTED_VALUE"""),0.0)</f>
        <v>0</v>
      </c>
      <c r="V2908" s="148" t="str">
        <f>IFERROR(__xludf.DUMMYFUNCTION("""COMPUTED_VALUE"""),"[]")</f>
        <v>[]</v>
      </c>
      <c r="W2908" s="148">
        <f>IFERROR(__xludf.DUMMYFUNCTION("""COMPUTED_VALUE"""),1.174E7)</f>
        <v>11740000</v>
      </c>
      <c r="X2908" s="148">
        <f>IFERROR(__xludf.DUMMYFUNCTION("""COMPUTED_VALUE"""),0.0)</f>
        <v>0</v>
      </c>
      <c r="Y2908" s="148">
        <f>IFERROR(__xludf.DUMMYFUNCTION("""COMPUTED_VALUE"""),0.0)</f>
        <v>0</v>
      </c>
      <c r="Z2908" s="148"/>
    </row>
    <row r="2909">
      <c r="A2909" s="148">
        <f>IFERROR(__xludf.DUMMYFUNCTION("""COMPUTED_VALUE"""),1.1119874E7)</f>
        <v>11119874</v>
      </c>
      <c r="B2909" s="148" t="str">
        <f>IFERROR(__xludf.DUMMYFUNCTION("""COMPUTED_VALUE"""),"2025圣诞节行军特效-爆裂拳王-30天限时")</f>
        <v>2025圣诞节行军特效-爆裂拳王-30天限时</v>
      </c>
      <c r="C2909" s="148"/>
      <c r="D2909" s="148" t="str">
        <f>IFERROR(__xludf.DUMMYFUNCTION("""COMPUTED_VALUE"""),"marching_effect")</f>
        <v>marching_effect</v>
      </c>
      <c r="E2909" s="148">
        <f>IFERROR(__xludf.DUMMYFUNCTION("""COMPUTED_VALUE"""),0.0)</f>
        <v>0</v>
      </c>
      <c r="F2909" s="148">
        <f>IFERROR(__xludf.DUMMYFUNCTION("""COMPUTED_VALUE"""),408197.0)</f>
        <v>408197</v>
      </c>
      <c r="G2909" s="148">
        <f>IFERROR(__xludf.DUMMYFUNCTION("""COMPUTED_VALUE"""),1.5110403E8)</f>
        <v>151104030</v>
      </c>
      <c r="H2909" s="148">
        <f>IFERROR(__xludf.DUMMYFUNCTION("""COMPUTED_VALUE"""),1.5112563E7)</f>
        <v>15112563</v>
      </c>
      <c r="I2909" s="148" t="str">
        <f>IFERROR(__xludf.DUMMYFUNCTION("""COMPUTED_VALUE"""),"{""typ"":""lc"",""txt"":""LC_ITEM_time_day_upper_show"",""args"":[{""typ"":""int_unit"",""val"":30}]}")</f>
        <v>{"typ":"lc","txt":"LC_ITEM_time_day_upper_show","args":[{"typ":"int_unit","val":30}]}</v>
      </c>
      <c r="J2909" s="148" t="str">
        <f>IFERROR(__xludf.DUMMYFUNCTION("""COMPUTED_VALUE"""),"{""typ"":""lc"",""txt"":""LC_ITEM_tg_marcheffect_mj8_2025""}")</f>
        <v>{"typ":"lc","txt":"LC_ITEM_tg_marcheffect_mj8_2025"}</v>
      </c>
      <c r="K2909" s="148" t="str">
        <f>IFERROR(__xludf.DUMMYFUNCTION("""COMPUTED_VALUE"""),"{""typ"":""lc"",""txt"":""LC_ITEM_tg_marcheffect_mj8_2025_desc""}")</f>
        <v>{"typ":"lc","txt":"LC_ITEM_tg_marcheffect_mj8_2025_desc"}</v>
      </c>
      <c r="L2909" s="148" t="str">
        <f>IFERROR(__xludf.DUMMYFUNCTION("""COMPUTED_VALUE"""),"{""typ"":""lc"",""txt"":""LC_ITEM_march_effect_use_tip_all""}")</f>
        <v>{"typ":"lc","txt":"LC_ITEM_march_effect_use_tip_all"}</v>
      </c>
      <c r="M2909" s="148">
        <f>IFERROR(__xludf.DUMMYFUNCTION("""COMPUTED_VALUE"""),1000.0)</f>
        <v>1000</v>
      </c>
      <c r="N2909" s="148">
        <f>IFERROR(__xludf.DUMMYFUNCTION("""COMPUTED_VALUE"""),999999.0)</f>
        <v>999999</v>
      </c>
      <c r="O2909" s="148">
        <f>IFERROR(__xludf.DUMMYFUNCTION("""COMPUTED_VALUE"""),99999.0)</f>
        <v>99999</v>
      </c>
      <c r="P2909" s="148">
        <f>IFERROR(__xludf.DUMMYFUNCTION("""COMPUTED_VALUE"""),1.0)</f>
        <v>1</v>
      </c>
      <c r="Q2909" s="148" t="str">
        <f>IFERROR(__xludf.DUMMYFUNCTION("""COMPUTED_VALUE"""),"[""bag_other""]")</f>
        <v>["bag_other"]</v>
      </c>
      <c r="R2909" s="148" t="str">
        <f>IFERROR(__xludf.DUMMYFUNCTION("""COMPUTED_VALUE"""),"[""bag"",""13650149""]")</f>
        <v>["bag","13650149"]</v>
      </c>
      <c r="S2909" s="148" t="str">
        <f>IFERROR(__xludf.DUMMYFUNCTION("""COMPUTED_VALUE"""),"{""effect"":[{""typ"":""marching_effect"",""id"":13650149,""val"":2592000000},{""typ"":""vm"",""id"":11151001,""val"":1000}]}")</f>
        <v>{"effect":[{"typ":"marching_effect","id":13650149,"val":2592000000},{"typ":"vm","id":11151001,"val":1000}]}</v>
      </c>
      <c r="T2909" s="148">
        <f>IFERROR(__xludf.DUMMYFUNCTION("""COMPUTED_VALUE"""),-1.0)</f>
        <v>-1</v>
      </c>
      <c r="U2909" s="148">
        <f>IFERROR(__xludf.DUMMYFUNCTION("""COMPUTED_VALUE"""),0.0)</f>
        <v>0</v>
      </c>
      <c r="V2909" s="148" t="str">
        <f>IFERROR(__xludf.DUMMYFUNCTION("""COMPUTED_VALUE"""),"[]")</f>
        <v>[]</v>
      </c>
      <c r="W2909" s="148">
        <f>IFERROR(__xludf.DUMMYFUNCTION("""COMPUTED_VALUE"""),1.174E7)</f>
        <v>11740000</v>
      </c>
      <c r="X2909" s="148">
        <f>IFERROR(__xludf.DUMMYFUNCTION("""COMPUTED_VALUE"""),0.0)</f>
        <v>0</v>
      </c>
      <c r="Y2909" s="148">
        <f>IFERROR(__xludf.DUMMYFUNCTION("""COMPUTED_VALUE"""),0.0)</f>
        <v>0</v>
      </c>
      <c r="Z2909" s="148"/>
    </row>
    <row r="2910">
      <c r="A2910" s="148">
        <f>IFERROR(__xludf.DUMMYFUNCTION("""COMPUTED_VALUE"""),1.1119875E7)</f>
        <v>11119875</v>
      </c>
      <c r="B2910" s="148" t="str">
        <f>IFERROR(__xludf.DUMMYFUNCTION("""COMPUTED_VALUE"""),"2025圣诞节行军特效-爆裂拳王-永久")</f>
        <v>2025圣诞节行军特效-爆裂拳王-永久</v>
      </c>
      <c r="C2910" s="148"/>
      <c r="D2910" s="148" t="str">
        <f>IFERROR(__xludf.DUMMYFUNCTION("""COMPUTED_VALUE"""),"marching_effect")</f>
        <v>marching_effect</v>
      </c>
      <c r="E2910" s="148">
        <f>IFERROR(__xludf.DUMMYFUNCTION("""COMPUTED_VALUE"""),0.0)</f>
        <v>0</v>
      </c>
      <c r="F2910" s="148">
        <f>IFERROR(__xludf.DUMMYFUNCTION("""COMPUTED_VALUE"""),408195.0)</f>
        <v>408195</v>
      </c>
      <c r="G2910" s="148">
        <f>IFERROR(__xludf.DUMMYFUNCTION("""COMPUTED_VALUE"""),1.5110403E8)</f>
        <v>151104030</v>
      </c>
      <c r="H2910" s="148">
        <f>IFERROR(__xludf.DUMMYFUNCTION("""COMPUTED_VALUE"""),1.5112564E7)</f>
        <v>15112564</v>
      </c>
      <c r="I2910" s="148" t="str">
        <f>IFERROR(__xludf.DUMMYFUNCTION("""COMPUTED_VALUE"""),"{}")</f>
        <v>{}</v>
      </c>
      <c r="J2910" s="148" t="str">
        <f>IFERROR(__xludf.DUMMYFUNCTION("""COMPUTED_VALUE"""),"{""typ"":""lc"",""txt"":""LC_ITEM_tg_marcheffect_mj8_2025""}")</f>
        <v>{"typ":"lc","txt":"LC_ITEM_tg_marcheffect_mj8_2025"}</v>
      </c>
      <c r="K2910" s="148" t="str">
        <f>IFERROR(__xludf.DUMMYFUNCTION("""COMPUTED_VALUE"""),"{""typ"":""lc"",""txt"":""LC_ITEM_tg_marcheffect_mj8_2025_desc""}")</f>
        <v>{"typ":"lc","txt":"LC_ITEM_tg_marcheffect_mj8_2025_desc"}</v>
      </c>
      <c r="L2910" s="148" t="str">
        <f>IFERROR(__xludf.DUMMYFUNCTION("""COMPUTED_VALUE"""),"{""typ"":""lc"",""txt"":""LC_ITEM_march_effect_use_tip_all""}")</f>
        <v>{"typ":"lc","txt":"LC_ITEM_march_effect_use_tip_all"}</v>
      </c>
      <c r="M2910" s="148">
        <f>IFERROR(__xludf.DUMMYFUNCTION("""COMPUTED_VALUE"""),5000.0)</f>
        <v>5000</v>
      </c>
      <c r="N2910" s="148">
        <f>IFERROR(__xludf.DUMMYFUNCTION("""COMPUTED_VALUE"""),999999.0)</f>
        <v>999999</v>
      </c>
      <c r="O2910" s="148">
        <f>IFERROR(__xludf.DUMMYFUNCTION("""COMPUTED_VALUE"""),99999.0)</f>
        <v>99999</v>
      </c>
      <c r="P2910" s="148">
        <f>IFERROR(__xludf.DUMMYFUNCTION("""COMPUTED_VALUE"""),1.0)</f>
        <v>1</v>
      </c>
      <c r="Q2910" s="148" t="str">
        <f>IFERROR(__xludf.DUMMYFUNCTION("""COMPUTED_VALUE"""),"[""bag_other""]")</f>
        <v>["bag_other"]</v>
      </c>
      <c r="R2910" s="148" t="str">
        <f>IFERROR(__xludf.DUMMYFUNCTION("""COMPUTED_VALUE"""),"[""bag"",""13650149""]")</f>
        <v>["bag","13650149"]</v>
      </c>
      <c r="S2910" s="148" t="str">
        <f>IFERROR(__xludf.DUMMYFUNCTION("""COMPUTED_VALUE"""),"{""effect"":[{""typ"":""marching_effect"",""id"":13650149,""val"":-1},{""typ"":""vm"",""id"":11151001,""val"":2500}]}")</f>
        <v>{"effect":[{"typ":"marching_effect","id":13650149,"val":-1},{"typ":"vm","id":11151001,"val":2500}]}</v>
      </c>
      <c r="T2910" s="148">
        <f>IFERROR(__xludf.DUMMYFUNCTION("""COMPUTED_VALUE"""),-1.0)</f>
        <v>-1</v>
      </c>
      <c r="U2910" s="148">
        <f>IFERROR(__xludf.DUMMYFUNCTION("""COMPUTED_VALUE"""),0.0)</f>
        <v>0</v>
      </c>
      <c r="V2910" s="148" t="str">
        <f>IFERROR(__xludf.DUMMYFUNCTION("""COMPUTED_VALUE"""),"[]")</f>
        <v>[]</v>
      </c>
      <c r="W2910" s="148">
        <f>IFERROR(__xludf.DUMMYFUNCTION("""COMPUTED_VALUE"""),1.174E7)</f>
        <v>11740000</v>
      </c>
      <c r="X2910" s="148">
        <f>IFERROR(__xludf.DUMMYFUNCTION("""COMPUTED_VALUE"""),0.0)</f>
        <v>0</v>
      </c>
      <c r="Y2910" s="148">
        <f>IFERROR(__xludf.DUMMYFUNCTION("""COMPUTED_VALUE"""),0.0)</f>
        <v>0</v>
      </c>
      <c r="Z2910" s="148"/>
    </row>
    <row r="2911">
      <c r="A2911" s="148">
        <f>IFERROR(__xludf.DUMMYFUNCTION("""COMPUTED_VALUE"""),1.1119876E7)</f>
        <v>11119876</v>
      </c>
      <c r="B2911" s="148" t="str">
        <f>IFERROR(__xludf.DUMMYFUNCTION("""COMPUTED_VALUE"""),"2025圣诞节BP行军特效-霜寒之翼-1天限时")</f>
        <v>2025圣诞节BP行军特效-霜寒之翼-1天限时</v>
      </c>
      <c r="C2911" s="148"/>
      <c r="D2911" s="148" t="str">
        <f>IFERROR(__xludf.DUMMYFUNCTION("""COMPUTED_VALUE"""),"marching_effect")</f>
        <v>marching_effect</v>
      </c>
      <c r="E2911" s="148">
        <f>IFERROR(__xludf.DUMMYFUNCTION("""COMPUTED_VALUE"""),0.0)</f>
        <v>0</v>
      </c>
      <c r="F2911" s="148">
        <f>IFERROR(__xludf.DUMMYFUNCTION("""COMPUTED_VALUE"""),408200.0)</f>
        <v>408200</v>
      </c>
      <c r="G2911" s="148">
        <f>IFERROR(__xludf.DUMMYFUNCTION("""COMPUTED_VALUE"""),1.51103952E8)</f>
        <v>151103952</v>
      </c>
      <c r="H2911" s="148">
        <f>IFERROR(__xludf.DUMMYFUNCTION("""COMPUTED_VALUE"""),1.511256E7)</f>
        <v>15112560</v>
      </c>
      <c r="I2911" s="148" t="str">
        <f>IFERROR(__xludf.DUMMYFUNCTION("""COMPUTED_VALUE"""),"{""typ"":""lc"",""txt"":""LC_ITEM_time_day_upper_show"",""args"":[{""typ"":""int_unit"",""val"":1}]}")</f>
        <v>{"typ":"lc","txt":"LC_ITEM_time_day_upper_show","args":[{"typ":"int_unit","val":1}]}</v>
      </c>
      <c r="J2911" s="148" t="str">
        <f>IFERROR(__xludf.DUMMYFUNCTION("""COMPUTED_VALUE"""),"{""typ"":""lc"",""txt"":""LC_ITEM_xmas_marcheffect_2025""}")</f>
        <v>{"typ":"lc","txt":"LC_ITEM_xmas_marcheffect_2025"}</v>
      </c>
      <c r="K2911" s="148" t="str">
        <f>IFERROR(__xludf.DUMMYFUNCTION("""COMPUTED_VALUE"""),"{""typ"":""lc"",""txt"":""LC_ITEM_xmas_marcheffect_2025_desc""}")</f>
        <v>{"typ":"lc","txt":"LC_ITEM_xmas_marcheffect_2025_desc"}</v>
      </c>
      <c r="L2911" s="148" t="str">
        <f>IFERROR(__xludf.DUMMYFUNCTION("""COMPUTED_VALUE"""),"{""typ"":""lc"",""txt"":""LC_ITEM_march_effect_use_tip_all""}")</f>
        <v>{"typ":"lc","txt":"LC_ITEM_march_effect_use_tip_all"}</v>
      </c>
      <c r="M2911" s="148">
        <f>IFERROR(__xludf.DUMMYFUNCTION("""COMPUTED_VALUE"""),50.0)</f>
        <v>50</v>
      </c>
      <c r="N2911" s="148">
        <f>IFERROR(__xludf.DUMMYFUNCTION("""COMPUTED_VALUE"""),999999.0)</f>
        <v>999999</v>
      </c>
      <c r="O2911" s="148">
        <f>IFERROR(__xludf.DUMMYFUNCTION("""COMPUTED_VALUE"""),99999.0)</f>
        <v>99999</v>
      </c>
      <c r="P2911" s="148">
        <f>IFERROR(__xludf.DUMMYFUNCTION("""COMPUTED_VALUE"""),1.0)</f>
        <v>1</v>
      </c>
      <c r="Q2911" s="148" t="str">
        <f>IFERROR(__xludf.DUMMYFUNCTION("""COMPUTED_VALUE"""),"[""bag_other""]")</f>
        <v>["bag_other"]</v>
      </c>
      <c r="R2911" s="148" t="str">
        <f>IFERROR(__xludf.DUMMYFUNCTION("""COMPUTED_VALUE"""),"[""bag"",""13650148""]")</f>
        <v>["bag","13650148"]</v>
      </c>
      <c r="S2911" s="148" t="str">
        <f>IFERROR(__xludf.DUMMYFUNCTION("""COMPUTED_VALUE"""),"{""effect"":[{""typ"":""marching_effect"",""id"":13650148,""val"":86400000},{""typ"":""vm"",""id"":11151001,""val"":50}]}")</f>
        <v>{"effect":[{"typ":"marching_effect","id":13650148,"val":86400000},{"typ":"vm","id":11151001,"val":50}]}</v>
      </c>
      <c r="T2911" s="148">
        <f>IFERROR(__xludf.DUMMYFUNCTION("""COMPUTED_VALUE"""),-1.0)</f>
        <v>-1</v>
      </c>
      <c r="U2911" s="148">
        <f>IFERROR(__xludf.DUMMYFUNCTION("""COMPUTED_VALUE"""),0.0)</f>
        <v>0</v>
      </c>
      <c r="V2911" s="148" t="str">
        <f>IFERROR(__xludf.DUMMYFUNCTION("""COMPUTED_VALUE"""),"[]")</f>
        <v>[]</v>
      </c>
      <c r="W2911" s="148">
        <f>IFERROR(__xludf.DUMMYFUNCTION("""COMPUTED_VALUE"""),1.174E7)</f>
        <v>11740000</v>
      </c>
      <c r="X2911" s="148">
        <f>IFERROR(__xludf.DUMMYFUNCTION("""COMPUTED_VALUE"""),0.0)</f>
        <v>0</v>
      </c>
      <c r="Y2911" s="148">
        <f>IFERROR(__xludf.DUMMYFUNCTION("""COMPUTED_VALUE"""),0.0)</f>
        <v>0</v>
      </c>
      <c r="Z2911" s="148"/>
    </row>
    <row r="2912">
      <c r="A2912" s="148">
        <f>IFERROR(__xludf.DUMMYFUNCTION("""COMPUTED_VALUE"""),1.1119877E7)</f>
        <v>11119877</v>
      </c>
      <c r="B2912" s="148" t="str">
        <f>IFERROR(__xludf.DUMMYFUNCTION("""COMPUTED_VALUE"""),"2025圣诞节BP行军特效-霜寒之翼-3天限时")</f>
        <v>2025圣诞节BP行军特效-霜寒之翼-3天限时</v>
      </c>
      <c r="C2912" s="148"/>
      <c r="D2912" s="148" t="str">
        <f>IFERROR(__xludf.DUMMYFUNCTION("""COMPUTED_VALUE"""),"marching_effect")</f>
        <v>marching_effect</v>
      </c>
      <c r="E2912" s="148">
        <f>IFERROR(__xludf.DUMMYFUNCTION("""COMPUTED_VALUE"""),0.0)</f>
        <v>0</v>
      </c>
      <c r="F2912" s="148">
        <f>IFERROR(__xludf.DUMMYFUNCTION("""COMPUTED_VALUE"""),408199.0)</f>
        <v>408199</v>
      </c>
      <c r="G2912" s="148">
        <f>IFERROR(__xludf.DUMMYFUNCTION("""COMPUTED_VALUE"""),1.51103952E8)</f>
        <v>151103952</v>
      </c>
      <c r="H2912" s="148">
        <f>IFERROR(__xludf.DUMMYFUNCTION("""COMPUTED_VALUE"""),1.5112561E7)</f>
        <v>15112561</v>
      </c>
      <c r="I2912" s="148" t="str">
        <f>IFERROR(__xludf.DUMMYFUNCTION("""COMPUTED_VALUE"""),"{""typ"":""lc"",""txt"":""LC_ITEM_time_day_upper_show"",""args"":[{""typ"":""int_unit"",""val"":3}]}")</f>
        <v>{"typ":"lc","txt":"LC_ITEM_time_day_upper_show","args":[{"typ":"int_unit","val":3}]}</v>
      </c>
      <c r="J2912" s="148" t="str">
        <f>IFERROR(__xludf.DUMMYFUNCTION("""COMPUTED_VALUE"""),"{""typ"":""lc"",""txt"":""LC_ITEM_xmas_marcheffect_2025""}")</f>
        <v>{"typ":"lc","txt":"LC_ITEM_xmas_marcheffect_2025"}</v>
      </c>
      <c r="K2912" s="148" t="str">
        <f>IFERROR(__xludf.DUMMYFUNCTION("""COMPUTED_VALUE"""),"{""typ"":""lc"",""txt"":""LC_ITEM_xmas_marcheffect_2025_desc""}")</f>
        <v>{"typ":"lc","txt":"LC_ITEM_xmas_marcheffect_2025_desc"}</v>
      </c>
      <c r="L2912" s="148" t="str">
        <f>IFERROR(__xludf.DUMMYFUNCTION("""COMPUTED_VALUE"""),"{""typ"":""lc"",""txt"":""LC_ITEM_march_effect_use_tip_all""}")</f>
        <v>{"typ":"lc","txt":"LC_ITEM_march_effect_use_tip_all"}</v>
      </c>
      <c r="M2912" s="148">
        <f>IFERROR(__xludf.DUMMYFUNCTION("""COMPUTED_VALUE"""),200.0)</f>
        <v>200</v>
      </c>
      <c r="N2912" s="148">
        <f>IFERROR(__xludf.DUMMYFUNCTION("""COMPUTED_VALUE"""),999999.0)</f>
        <v>999999</v>
      </c>
      <c r="O2912" s="148">
        <f>IFERROR(__xludf.DUMMYFUNCTION("""COMPUTED_VALUE"""),99999.0)</f>
        <v>99999</v>
      </c>
      <c r="P2912" s="148">
        <f>IFERROR(__xludf.DUMMYFUNCTION("""COMPUTED_VALUE"""),1.0)</f>
        <v>1</v>
      </c>
      <c r="Q2912" s="148" t="str">
        <f>IFERROR(__xludf.DUMMYFUNCTION("""COMPUTED_VALUE"""),"[""bag_other""]")</f>
        <v>["bag_other"]</v>
      </c>
      <c r="R2912" s="148" t="str">
        <f>IFERROR(__xludf.DUMMYFUNCTION("""COMPUTED_VALUE"""),"[""bag"",""13650148""]")</f>
        <v>["bag","13650148"]</v>
      </c>
      <c r="S2912" s="148" t="str">
        <f>IFERROR(__xludf.DUMMYFUNCTION("""COMPUTED_VALUE"""),"{""effect"":[{""typ"":""marching_effect"",""id"":13650148,""val"":259200000},{""typ"":""vm"",""id"":11151001,""val"":200}]}")</f>
        <v>{"effect":[{"typ":"marching_effect","id":13650148,"val":259200000},{"typ":"vm","id":11151001,"val":200}]}</v>
      </c>
      <c r="T2912" s="148">
        <f>IFERROR(__xludf.DUMMYFUNCTION("""COMPUTED_VALUE"""),-1.0)</f>
        <v>-1</v>
      </c>
      <c r="U2912" s="148">
        <f>IFERROR(__xludf.DUMMYFUNCTION("""COMPUTED_VALUE"""),0.0)</f>
        <v>0</v>
      </c>
      <c r="V2912" s="148" t="str">
        <f>IFERROR(__xludf.DUMMYFUNCTION("""COMPUTED_VALUE"""),"[]")</f>
        <v>[]</v>
      </c>
      <c r="W2912" s="148">
        <f>IFERROR(__xludf.DUMMYFUNCTION("""COMPUTED_VALUE"""),1.174E7)</f>
        <v>11740000</v>
      </c>
      <c r="X2912" s="148">
        <f>IFERROR(__xludf.DUMMYFUNCTION("""COMPUTED_VALUE"""),0.0)</f>
        <v>0</v>
      </c>
      <c r="Y2912" s="148">
        <f>IFERROR(__xludf.DUMMYFUNCTION("""COMPUTED_VALUE"""),0.0)</f>
        <v>0</v>
      </c>
      <c r="Z2912" s="148"/>
    </row>
    <row r="2913">
      <c r="A2913" s="148">
        <f>IFERROR(__xludf.DUMMYFUNCTION("""COMPUTED_VALUE"""),1.1119878E7)</f>
        <v>11119878</v>
      </c>
      <c r="B2913" s="148" t="str">
        <f>IFERROR(__xludf.DUMMYFUNCTION("""COMPUTED_VALUE"""),"2025圣诞节BP行军特效-霜寒之翼-7天限时")</f>
        <v>2025圣诞节BP行军特效-霜寒之翼-7天限时</v>
      </c>
      <c r="C2913" s="148"/>
      <c r="D2913" s="148" t="str">
        <f>IFERROR(__xludf.DUMMYFUNCTION("""COMPUTED_VALUE"""),"marching_effect")</f>
        <v>marching_effect</v>
      </c>
      <c r="E2913" s="148">
        <f>IFERROR(__xludf.DUMMYFUNCTION("""COMPUTED_VALUE"""),0.0)</f>
        <v>0</v>
      </c>
      <c r="F2913" s="148">
        <f>IFERROR(__xludf.DUMMYFUNCTION("""COMPUTED_VALUE"""),408198.0)</f>
        <v>408198</v>
      </c>
      <c r="G2913" s="148">
        <f>IFERROR(__xludf.DUMMYFUNCTION("""COMPUTED_VALUE"""),1.51103952E8)</f>
        <v>151103952</v>
      </c>
      <c r="H2913" s="148">
        <f>IFERROR(__xludf.DUMMYFUNCTION("""COMPUTED_VALUE"""),1.5112562E7)</f>
        <v>15112562</v>
      </c>
      <c r="I2913" s="148" t="str">
        <f>IFERROR(__xludf.DUMMYFUNCTION("""COMPUTED_VALUE"""),"{""typ"":""lc"",""txt"":""LC_ITEM_time_day_upper_show"",""args"":[{""typ"":""int_unit"",""val"":7}]}")</f>
        <v>{"typ":"lc","txt":"LC_ITEM_time_day_upper_show","args":[{"typ":"int_unit","val":7}]}</v>
      </c>
      <c r="J2913" s="148" t="str">
        <f>IFERROR(__xludf.DUMMYFUNCTION("""COMPUTED_VALUE"""),"{""typ"":""lc"",""txt"":""LC_ITEM_xmas_marcheffect_2025""}")</f>
        <v>{"typ":"lc","txt":"LC_ITEM_xmas_marcheffect_2025"}</v>
      </c>
      <c r="K2913" s="148" t="str">
        <f>IFERROR(__xludf.DUMMYFUNCTION("""COMPUTED_VALUE"""),"{""typ"":""lc"",""txt"":""LC_ITEM_xmas_marcheffect_2025_desc""}")</f>
        <v>{"typ":"lc","txt":"LC_ITEM_xmas_marcheffect_2025_desc"}</v>
      </c>
      <c r="L2913" s="148" t="str">
        <f>IFERROR(__xludf.DUMMYFUNCTION("""COMPUTED_VALUE"""),"{""typ"":""lc"",""txt"":""LC_ITEM_march_effect_use_tip_all""}")</f>
        <v>{"typ":"lc","txt":"LC_ITEM_march_effect_use_tip_all"}</v>
      </c>
      <c r="M2913" s="148">
        <f>IFERROR(__xludf.DUMMYFUNCTION("""COMPUTED_VALUE"""),500.0)</f>
        <v>500</v>
      </c>
      <c r="N2913" s="148">
        <f>IFERROR(__xludf.DUMMYFUNCTION("""COMPUTED_VALUE"""),999999.0)</f>
        <v>999999</v>
      </c>
      <c r="O2913" s="148">
        <f>IFERROR(__xludf.DUMMYFUNCTION("""COMPUTED_VALUE"""),99999.0)</f>
        <v>99999</v>
      </c>
      <c r="P2913" s="148">
        <f>IFERROR(__xludf.DUMMYFUNCTION("""COMPUTED_VALUE"""),1.0)</f>
        <v>1</v>
      </c>
      <c r="Q2913" s="148" t="str">
        <f>IFERROR(__xludf.DUMMYFUNCTION("""COMPUTED_VALUE"""),"[""bag_other""]")</f>
        <v>["bag_other"]</v>
      </c>
      <c r="R2913" s="148" t="str">
        <f>IFERROR(__xludf.DUMMYFUNCTION("""COMPUTED_VALUE"""),"[""bag"",""13650148""]")</f>
        <v>["bag","13650148"]</v>
      </c>
      <c r="S2913" s="148" t="str">
        <f>IFERROR(__xludf.DUMMYFUNCTION("""COMPUTED_VALUE"""),"{""effect"":[{""typ"":""marching_effect"",""id"":13650148,""val"":604800000},{""typ"":""vm"",""id"":11151001,""val"":500}]}")</f>
        <v>{"effect":[{"typ":"marching_effect","id":13650148,"val":604800000},{"typ":"vm","id":11151001,"val":500}]}</v>
      </c>
      <c r="T2913" s="148">
        <f>IFERROR(__xludf.DUMMYFUNCTION("""COMPUTED_VALUE"""),-1.0)</f>
        <v>-1</v>
      </c>
      <c r="U2913" s="148">
        <f>IFERROR(__xludf.DUMMYFUNCTION("""COMPUTED_VALUE"""),0.0)</f>
        <v>0</v>
      </c>
      <c r="V2913" s="148" t="str">
        <f>IFERROR(__xludf.DUMMYFUNCTION("""COMPUTED_VALUE"""),"[]")</f>
        <v>[]</v>
      </c>
      <c r="W2913" s="148">
        <f>IFERROR(__xludf.DUMMYFUNCTION("""COMPUTED_VALUE"""),1.174E7)</f>
        <v>11740000</v>
      </c>
      <c r="X2913" s="148">
        <f>IFERROR(__xludf.DUMMYFUNCTION("""COMPUTED_VALUE"""),0.0)</f>
        <v>0</v>
      </c>
      <c r="Y2913" s="148">
        <f>IFERROR(__xludf.DUMMYFUNCTION("""COMPUTED_VALUE"""),0.0)</f>
        <v>0</v>
      </c>
      <c r="Z2913" s="148"/>
    </row>
    <row r="2914">
      <c r="A2914" s="148">
        <f>IFERROR(__xludf.DUMMYFUNCTION("""COMPUTED_VALUE"""),1.1119879E7)</f>
        <v>11119879</v>
      </c>
      <c r="B2914" s="148" t="str">
        <f>IFERROR(__xludf.DUMMYFUNCTION("""COMPUTED_VALUE"""),"2025圣诞节BP行军特效-霜寒之翼-14天限时")</f>
        <v>2025圣诞节BP行军特效-霜寒之翼-14天限时</v>
      </c>
      <c r="C2914" s="148"/>
      <c r="D2914" s="148" t="str">
        <f>IFERROR(__xludf.DUMMYFUNCTION("""COMPUTED_VALUE"""),"marching_effect")</f>
        <v>marching_effect</v>
      </c>
      <c r="E2914" s="148">
        <f>IFERROR(__xludf.DUMMYFUNCTION("""COMPUTED_VALUE"""),0.0)</f>
        <v>0</v>
      </c>
      <c r="F2914" s="148">
        <f>IFERROR(__xludf.DUMMYFUNCTION("""COMPUTED_VALUE"""),408197.0)</f>
        <v>408197</v>
      </c>
      <c r="G2914" s="148">
        <f>IFERROR(__xludf.DUMMYFUNCTION("""COMPUTED_VALUE"""),1.51103952E8)</f>
        <v>151103952</v>
      </c>
      <c r="H2914" s="148">
        <f>IFERROR(__xludf.DUMMYFUNCTION("""COMPUTED_VALUE"""),1.5112563E7)</f>
        <v>15112563</v>
      </c>
      <c r="I2914" s="148" t="str">
        <f>IFERROR(__xludf.DUMMYFUNCTION("""COMPUTED_VALUE"""),"{""typ"":""lc"",""txt"":""LC_ITEM_time_day_upper_show"",""args"":[{""typ"":""int_unit"",""val"":14}]}")</f>
        <v>{"typ":"lc","txt":"LC_ITEM_time_day_upper_show","args":[{"typ":"int_unit","val":14}]}</v>
      </c>
      <c r="J2914" s="148" t="str">
        <f>IFERROR(__xludf.DUMMYFUNCTION("""COMPUTED_VALUE"""),"{""typ"":""lc"",""txt"":""LC_ITEM_xmas_marcheffect_2025""}")</f>
        <v>{"typ":"lc","txt":"LC_ITEM_xmas_marcheffect_2025"}</v>
      </c>
      <c r="K2914" s="148" t="str">
        <f>IFERROR(__xludf.DUMMYFUNCTION("""COMPUTED_VALUE"""),"{""typ"":""lc"",""txt"":""LC_ITEM_xmas_marcheffect_2025_desc""}")</f>
        <v>{"typ":"lc","txt":"LC_ITEM_xmas_marcheffect_2025_desc"}</v>
      </c>
      <c r="L2914" s="148" t="str">
        <f>IFERROR(__xludf.DUMMYFUNCTION("""COMPUTED_VALUE"""),"{""typ"":""lc"",""txt"":""LC_ITEM_march_effect_use_tip_all""}")</f>
        <v>{"typ":"lc","txt":"LC_ITEM_march_effect_use_tip_all"}</v>
      </c>
      <c r="M2914" s="148">
        <f>IFERROR(__xludf.DUMMYFUNCTION("""COMPUTED_VALUE"""),1000.0)</f>
        <v>1000</v>
      </c>
      <c r="N2914" s="148">
        <f>IFERROR(__xludf.DUMMYFUNCTION("""COMPUTED_VALUE"""),999999.0)</f>
        <v>999999</v>
      </c>
      <c r="O2914" s="148">
        <f>IFERROR(__xludf.DUMMYFUNCTION("""COMPUTED_VALUE"""),99999.0)</f>
        <v>99999</v>
      </c>
      <c r="P2914" s="148">
        <f>IFERROR(__xludf.DUMMYFUNCTION("""COMPUTED_VALUE"""),1.0)</f>
        <v>1</v>
      </c>
      <c r="Q2914" s="148" t="str">
        <f>IFERROR(__xludf.DUMMYFUNCTION("""COMPUTED_VALUE"""),"[""bag_other""]")</f>
        <v>["bag_other"]</v>
      </c>
      <c r="R2914" s="148" t="str">
        <f>IFERROR(__xludf.DUMMYFUNCTION("""COMPUTED_VALUE"""),"[""bag"",""13650148""]")</f>
        <v>["bag","13650148"]</v>
      </c>
      <c r="S2914" s="148" t="str">
        <f>IFERROR(__xludf.DUMMYFUNCTION("""COMPUTED_VALUE"""),"{""effect"":[{""typ"":""marching_effect"",""id"":13650148,""val"":1209600000},{""typ"":""vm"",""id"":11151001,""val"":1000}]}")</f>
        <v>{"effect":[{"typ":"marching_effect","id":13650148,"val":1209600000},{"typ":"vm","id":11151001,"val":1000}]}</v>
      </c>
      <c r="T2914" s="148">
        <f>IFERROR(__xludf.DUMMYFUNCTION("""COMPUTED_VALUE"""),-1.0)</f>
        <v>-1</v>
      </c>
      <c r="U2914" s="148">
        <f>IFERROR(__xludf.DUMMYFUNCTION("""COMPUTED_VALUE"""),0.0)</f>
        <v>0</v>
      </c>
      <c r="V2914" s="148" t="str">
        <f>IFERROR(__xludf.DUMMYFUNCTION("""COMPUTED_VALUE"""),"[]")</f>
        <v>[]</v>
      </c>
      <c r="W2914" s="148">
        <f>IFERROR(__xludf.DUMMYFUNCTION("""COMPUTED_VALUE"""),1.174E7)</f>
        <v>11740000</v>
      </c>
      <c r="X2914" s="148">
        <f>IFERROR(__xludf.DUMMYFUNCTION("""COMPUTED_VALUE"""),0.0)</f>
        <v>0</v>
      </c>
      <c r="Y2914" s="148">
        <f>IFERROR(__xludf.DUMMYFUNCTION("""COMPUTED_VALUE"""),0.0)</f>
        <v>0</v>
      </c>
      <c r="Z2914" s="148"/>
    </row>
    <row r="2915">
      <c r="A2915" s="148">
        <f>IFERROR(__xludf.DUMMYFUNCTION("""COMPUTED_VALUE"""),1.111988E7)</f>
        <v>11119880</v>
      </c>
      <c r="B2915" s="148" t="str">
        <f>IFERROR(__xludf.DUMMYFUNCTION("""COMPUTED_VALUE"""),"2025圣诞节BP行军特效-霜寒之翼-30天限时")</f>
        <v>2025圣诞节BP行军特效-霜寒之翼-30天限时</v>
      </c>
      <c r="C2915" s="148"/>
      <c r="D2915" s="148" t="str">
        <f>IFERROR(__xludf.DUMMYFUNCTION("""COMPUTED_VALUE"""),"marching_effect")</f>
        <v>marching_effect</v>
      </c>
      <c r="E2915" s="148">
        <f>IFERROR(__xludf.DUMMYFUNCTION("""COMPUTED_VALUE"""),0.0)</f>
        <v>0</v>
      </c>
      <c r="F2915" s="148">
        <f>IFERROR(__xludf.DUMMYFUNCTION("""COMPUTED_VALUE"""),408197.0)</f>
        <v>408197</v>
      </c>
      <c r="G2915" s="148">
        <f>IFERROR(__xludf.DUMMYFUNCTION("""COMPUTED_VALUE"""),1.51103952E8)</f>
        <v>151103952</v>
      </c>
      <c r="H2915" s="148">
        <f>IFERROR(__xludf.DUMMYFUNCTION("""COMPUTED_VALUE"""),1.5112563E7)</f>
        <v>15112563</v>
      </c>
      <c r="I2915" s="148" t="str">
        <f>IFERROR(__xludf.DUMMYFUNCTION("""COMPUTED_VALUE"""),"{""typ"":""lc"",""txt"":""LC_ITEM_time_day_upper_show"",""args"":[{""typ"":""int_unit"",""val"":30}]}")</f>
        <v>{"typ":"lc","txt":"LC_ITEM_time_day_upper_show","args":[{"typ":"int_unit","val":30}]}</v>
      </c>
      <c r="J2915" s="148" t="str">
        <f>IFERROR(__xludf.DUMMYFUNCTION("""COMPUTED_VALUE"""),"{""typ"":""lc"",""txt"":""LC_ITEM_xmas_marcheffect_2025""}")</f>
        <v>{"typ":"lc","txt":"LC_ITEM_xmas_marcheffect_2025"}</v>
      </c>
      <c r="K2915" s="148" t="str">
        <f>IFERROR(__xludf.DUMMYFUNCTION("""COMPUTED_VALUE"""),"{""typ"":""lc"",""txt"":""LC_ITEM_xmas_marcheffect_2025_desc""}")</f>
        <v>{"typ":"lc","txt":"LC_ITEM_xmas_marcheffect_2025_desc"}</v>
      </c>
      <c r="L2915" s="148" t="str">
        <f>IFERROR(__xludf.DUMMYFUNCTION("""COMPUTED_VALUE"""),"{""typ"":""lc"",""txt"":""LC_ITEM_march_effect_use_tip_all""}")</f>
        <v>{"typ":"lc","txt":"LC_ITEM_march_effect_use_tip_all"}</v>
      </c>
      <c r="M2915" s="148">
        <f>IFERROR(__xludf.DUMMYFUNCTION("""COMPUTED_VALUE"""),1000.0)</f>
        <v>1000</v>
      </c>
      <c r="N2915" s="148">
        <f>IFERROR(__xludf.DUMMYFUNCTION("""COMPUTED_VALUE"""),999999.0)</f>
        <v>999999</v>
      </c>
      <c r="O2915" s="148">
        <f>IFERROR(__xludf.DUMMYFUNCTION("""COMPUTED_VALUE"""),99999.0)</f>
        <v>99999</v>
      </c>
      <c r="P2915" s="148">
        <f>IFERROR(__xludf.DUMMYFUNCTION("""COMPUTED_VALUE"""),1.0)</f>
        <v>1</v>
      </c>
      <c r="Q2915" s="148" t="str">
        <f>IFERROR(__xludf.DUMMYFUNCTION("""COMPUTED_VALUE"""),"[""bag_other""]")</f>
        <v>["bag_other"]</v>
      </c>
      <c r="R2915" s="148" t="str">
        <f>IFERROR(__xludf.DUMMYFUNCTION("""COMPUTED_VALUE"""),"[""bag"",""13650148""]")</f>
        <v>["bag","13650148"]</v>
      </c>
      <c r="S2915" s="148" t="str">
        <f>IFERROR(__xludf.DUMMYFUNCTION("""COMPUTED_VALUE"""),"{""effect"":[{""typ"":""marching_effect"",""id"":13650148,""val"":2592000000},{""typ"":""vm"",""id"":11151001,""val"":1000}]}")</f>
        <v>{"effect":[{"typ":"marching_effect","id":13650148,"val":2592000000},{"typ":"vm","id":11151001,"val":1000}]}</v>
      </c>
      <c r="T2915" s="148">
        <f>IFERROR(__xludf.DUMMYFUNCTION("""COMPUTED_VALUE"""),-1.0)</f>
        <v>-1</v>
      </c>
      <c r="U2915" s="148">
        <f>IFERROR(__xludf.DUMMYFUNCTION("""COMPUTED_VALUE"""),0.0)</f>
        <v>0</v>
      </c>
      <c r="V2915" s="148" t="str">
        <f>IFERROR(__xludf.DUMMYFUNCTION("""COMPUTED_VALUE"""),"[]")</f>
        <v>[]</v>
      </c>
      <c r="W2915" s="148">
        <f>IFERROR(__xludf.DUMMYFUNCTION("""COMPUTED_VALUE"""),1.174E7)</f>
        <v>11740000</v>
      </c>
      <c r="X2915" s="148">
        <f>IFERROR(__xludf.DUMMYFUNCTION("""COMPUTED_VALUE"""),0.0)</f>
        <v>0</v>
      </c>
      <c r="Y2915" s="148">
        <f>IFERROR(__xludf.DUMMYFUNCTION("""COMPUTED_VALUE"""),0.0)</f>
        <v>0</v>
      </c>
      <c r="Z2915" s="148"/>
    </row>
    <row r="2916">
      <c r="A2916" s="148">
        <f>IFERROR(__xludf.DUMMYFUNCTION("""COMPUTED_VALUE"""),1.1119881E7)</f>
        <v>11119881</v>
      </c>
      <c r="B2916" s="148" t="str">
        <f>IFERROR(__xludf.DUMMYFUNCTION("""COMPUTED_VALUE"""),"2025圣诞节BP行军特效-霜寒之翼-永久")</f>
        <v>2025圣诞节BP行军特效-霜寒之翼-永久</v>
      </c>
      <c r="C2916" s="148"/>
      <c r="D2916" s="148" t="str">
        <f>IFERROR(__xludf.DUMMYFUNCTION("""COMPUTED_VALUE"""),"marching_effect")</f>
        <v>marching_effect</v>
      </c>
      <c r="E2916" s="148">
        <f>IFERROR(__xludf.DUMMYFUNCTION("""COMPUTED_VALUE"""),0.0)</f>
        <v>0</v>
      </c>
      <c r="F2916" s="148">
        <f>IFERROR(__xludf.DUMMYFUNCTION("""COMPUTED_VALUE"""),408195.0)</f>
        <v>408195</v>
      </c>
      <c r="G2916" s="148">
        <f>IFERROR(__xludf.DUMMYFUNCTION("""COMPUTED_VALUE"""),1.51103952E8)</f>
        <v>151103952</v>
      </c>
      <c r="H2916" s="148">
        <f>IFERROR(__xludf.DUMMYFUNCTION("""COMPUTED_VALUE"""),1.5112564E7)</f>
        <v>15112564</v>
      </c>
      <c r="I2916" s="148" t="str">
        <f>IFERROR(__xludf.DUMMYFUNCTION("""COMPUTED_VALUE"""),"{}")</f>
        <v>{}</v>
      </c>
      <c r="J2916" s="148" t="str">
        <f>IFERROR(__xludf.DUMMYFUNCTION("""COMPUTED_VALUE"""),"{""typ"":""lc"",""txt"":""LC_ITEM_xmas_marcheffect_2025""}")</f>
        <v>{"typ":"lc","txt":"LC_ITEM_xmas_marcheffect_2025"}</v>
      </c>
      <c r="K2916" s="148" t="str">
        <f>IFERROR(__xludf.DUMMYFUNCTION("""COMPUTED_VALUE"""),"{""typ"":""lc"",""txt"":""LC_ITEM_xmas_marcheffect_2025_desc""}")</f>
        <v>{"typ":"lc","txt":"LC_ITEM_xmas_marcheffect_2025_desc"}</v>
      </c>
      <c r="L2916" s="148" t="str">
        <f>IFERROR(__xludf.DUMMYFUNCTION("""COMPUTED_VALUE"""),"{""typ"":""lc"",""txt"":""LC_ITEM_march_effect_use_tip_all""}")</f>
        <v>{"typ":"lc","txt":"LC_ITEM_march_effect_use_tip_all"}</v>
      </c>
      <c r="M2916" s="148">
        <f>IFERROR(__xludf.DUMMYFUNCTION("""COMPUTED_VALUE"""),5000.0)</f>
        <v>5000</v>
      </c>
      <c r="N2916" s="148">
        <f>IFERROR(__xludf.DUMMYFUNCTION("""COMPUTED_VALUE"""),999999.0)</f>
        <v>999999</v>
      </c>
      <c r="O2916" s="148">
        <f>IFERROR(__xludf.DUMMYFUNCTION("""COMPUTED_VALUE"""),99999.0)</f>
        <v>99999</v>
      </c>
      <c r="P2916" s="148">
        <f>IFERROR(__xludf.DUMMYFUNCTION("""COMPUTED_VALUE"""),1.0)</f>
        <v>1</v>
      </c>
      <c r="Q2916" s="148" t="str">
        <f>IFERROR(__xludf.DUMMYFUNCTION("""COMPUTED_VALUE"""),"[""bag_other""]")</f>
        <v>["bag_other"]</v>
      </c>
      <c r="R2916" s="148" t="str">
        <f>IFERROR(__xludf.DUMMYFUNCTION("""COMPUTED_VALUE"""),"[""bag"",""13650148""]")</f>
        <v>["bag","13650148"]</v>
      </c>
      <c r="S2916" s="148" t="str">
        <f>IFERROR(__xludf.DUMMYFUNCTION("""COMPUTED_VALUE"""),"{""effect"":[{""typ"":""marching_effect"",""id"":13650148,""val"":-1},{""typ"":""vm"",""id"":11151001,""val"":2500}]}")</f>
        <v>{"effect":[{"typ":"marching_effect","id":13650148,"val":-1},{"typ":"vm","id":11151001,"val":2500}]}</v>
      </c>
      <c r="T2916" s="148">
        <f>IFERROR(__xludf.DUMMYFUNCTION("""COMPUTED_VALUE"""),-1.0)</f>
        <v>-1</v>
      </c>
      <c r="U2916" s="148">
        <f>IFERROR(__xludf.DUMMYFUNCTION("""COMPUTED_VALUE"""),0.0)</f>
        <v>0</v>
      </c>
      <c r="V2916" s="148" t="str">
        <f>IFERROR(__xludf.DUMMYFUNCTION("""COMPUTED_VALUE"""),"[]")</f>
        <v>[]</v>
      </c>
      <c r="W2916" s="148">
        <f>IFERROR(__xludf.DUMMYFUNCTION("""COMPUTED_VALUE"""),1.174E7)</f>
        <v>11740000</v>
      </c>
      <c r="X2916" s="148">
        <f>IFERROR(__xludf.DUMMYFUNCTION("""COMPUTED_VALUE"""),0.0)</f>
        <v>0</v>
      </c>
      <c r="Y2916" s="148">
        <f>IFERROR(__xludf.DUMMYFUNCTION("""COMPUTED_VALUE"""),0.0)</f>
        <v>0</v>
      </c>
      <c r="Z2916" s="148"/>
    </row>
    <row r="2917">
      <c r="A2917" s="148">
        <f>IFERROR(__xludf.DUMMYFUNCTION("""COMPUTED_VALUE"""),1.1119882E7)</f>
        <v>11119882</v>
      </c>
      <c r="B2917" s="148" t="str">
        <f>IFERROR(__xludf.DUMMYFUNCTION("""COMPUTED_VALUE"""),"2025圣诞节动态头像框-缤纷时刻")</f>
        <v>2025圣诞节动态头像框-缤纷时刻</v>
      </c>
      <c r="C2917" s="148"/>
      <c r="D2917" s="148" t="str">
        <f>IFERROR(__xludf.DUMMYFUNCTION("""COMPUTED_VALUE"""),"avatar_frame")</f>
        <v>avatar_frame</v>
      </c>
      <c r="E2917" s="148">
        <f>IFERROR(__xludf.DUMMYFUNCTION("""COMPUTED_VALUE"""),20.0)</f>
        <v>20</v>
      </c>
      <c r="F2917" s="148">
        <f>IFERROR(__xludf.DUMMYFUNCTION("""COMPUTED_VALUE"""),0.0)</f>
        <v>0</v>
      </c>
      <c r="G2917" s="148">
        <f>IFERROR(__xludf.DUMMYFUNCTION("""COMPUTED_VALUE"""),1.51103942E8)</f>
        <v>151103942</v>
      </c>
      <c r="H2917" s="148">
        <f>IFERROR(__xludf.DUMMYFUNCTION("""COMPUTED_VALUE"""),1.5112564E7)</f>
        <v>15112564</v>
      </c>
      <c r="I2917" s="148" t="str">
        <f>IFERROR(__xludf.DUMMYFUNCTION("""COMPUTED_VALUE"""),"{}")</f>
        <v>{}</v>
      </c>
      <c r="J2917" s="148" t="str">
        <f>IFERROR(__xludf.DUMMYFUNCTION("""COMPUTED_VALUE"""),"{""typ"":""lc"",""txt"":""LC_ITEM_2025xmas_avatar_name""}")</f>
        <v>{"typ":"lc","txt":"LC_ITEM_2025xmas_avatar_name"}</v>
      </c>
      <c r="K2917" s="148" t="str">
        <f>IFERROR(__xludf.DUMMYFUNCTION("""COMPUTED_VALUE"""),"{""typ"":""lc"",""txt"":""LC_ITEM_2025xmas_avatar_desc""}")</f>
        <v>{"typ":"lc","txt":"LC_ITEM_2025xmas_avatar_desc"}</v>
      </c>
      <c r="L2917" s="148" t="str">
        <f>IFERROR(__xludf.DUMMYFUNCTION("""COMPUTED_VALUE"""),"{}")</f>
        <v>{}</v>
      </c>
      <c r="M2917" s="148">
        <f>IFERROR(__xludf.DUMMYFUNCTION("""COMPUTED_VALUE"""),1000.0)</f>
        <v>1000</v>
      </c>
      <c r="N2917" s="148">
        <f>IFERROR(__xludf.DUMMYFUNCTION("""COMPUTED_VALUE"""),99.0)</f>
        <v>99</v>
      </c>
      <c r="O2917" s="148">
        <f>IFERROR(__xludf.DUMMYFUNCTION("""COMPUTED_VALUE"""),1.0)</f>
        <v>1</v>
      </c>
      <c r="P2917" s="148">
        <f>IFERROR(__xludf.DUMMYFUNCTION("""COMPUTED_VALUE"""),1.0)</f>
        <v>1</v>
      </c>
      <c r="Q2917" s="148" t="str">
        <f>IFERROR(__xludf.DUMMYFUNCTION("""COMPUTED_VALUE"""),"[]")</f>
        <v>[]</v>
      </c>
      <c r="R2917" s="148" t="str">
        <f>IFERROR(__xludf.DUMMYFUNCTION("""COMPUTED_VALUE"""),"[""11421084""]")</f>
        <v>["11421084"]</v>
      </c>
      <c r="S2917" s="148" t="str">
        <f>IFERROR(__xludf.DUMMYFUNCTION("""COMPUTED_VALUE"""),"{""effect"":[{""typ"":""avatar_frame"",""id"":11421084,""val"":-1},{""typ"":""item"",""id"":11111031,""val"":1000}]}")</f>
        <v>{"effect":[{"typ":"avatar_frame","id":11421084,"val":-1},{"typ":"item","id":11111031,"val":1000}]}</v>
      </c>
      <c r="T2917" s="148">
        <f>IFERROR(__xludf.DUMMYFUNCTION("""COMPUTED_VALUE"""),-1.0)</f>
        <v>-1</v>
      </c>
      <c r="U2917" s="148">
        <f>IFERROR(__xludf.DUMMYFUNCTION("""COMPUTED_VALUE"""),1.0)</f>
        <v>1</v>
      </c>
      <c r="V2917" s="148" t="str">
        <f>IFERROR(__xludf.DUMMYFUNCTION("""COMPUTED_VALUE"""),"[]")</f>
        <v>[]</v>
      </c>
      <c r="W2917" s="148">
        <f>IFERROR(__xludf.DUMMYFUNCTION("""COMPUTED_VALUE"""),1.174E7)</f>
        <v>11740000</v>
      </c>
      <c r="X2917" s="148">
        <f>IFERROR(__xludf.DUMMYFUNCTION("""COMPUTED_VALUE"""),0.0)</f>
        <v>0</v>
      </c>
      <c r="Y2917" s="148">
        <f>IFERROR(__xludf.DUMMYFUNCTION("""COMPUTED_VALUE"""),0.0)</f>
        <v>0</v>
      </c>
      <c r="Z2917" s="148"/>
    </row>
    <row r="2918">
      <c r="A2918" s="148">
        <f>IFERROR(__xludf.DUMMYFUNCTION("""COMPUTED_VALUE"""),1.1119883E7)</f>
        <v>11119883</v>
      </c>
      <c r="B2918" s="148" t="str">
        <f>IFERROR(__xludf.DUMMYFUNCTION("""COMPUTED_VALUE"""),"2025圣诞节铭牌-鹿铃叮当")</f>
        <v>2025圣诞节铭牌-鹿铃叮当</v>
      </c>
      <c r="C2918" s="148"/>
      <c r="D2918" s="148" t="str">
        <f>IFERROR(__xludf.DUMMYFUNCTION("""COMPUTED_VALUE"""),"chat_skin")</f>
        <v>chat_skin</v>
      </c>
      <c r="E2918" s="148">
        <f>IFERROR(__xludf.DUMMYFUNCTION("""COMPUTED_VALUE"""),30.0)</f>
        <v>30</v>
      </c>
      <c r="F2918" s="148">
        <f>IFERROR(__xludf.DUMMYFUNCTION("""COMPUTED_VALUE"""),401107.0)</f>
        <v>401107</v>
      </c>
      <c r="G2918" s="148">
        <f>IFERROR(__xludf.DUMMYFUNCTION("""COMPUTED_VALUE"""),1.51103953E8)</f>
        <v>151103953</v>
      </c>
      <c r="H2918" s="148">
        <f>IFERROR(__xludf.DUMMYFUNCTION("""COMPUTED_VALUE"""),1.5112564E7)</f>
        <v>15112564</v>
      </c>
      <c r="I2918" s="148" t="str">
        <f>IFERROR(__xludf.DUMMYFUNCTION("""COMPUTED_VALUE"""),"{}")</f>
        <v>{}</v>
      </c>
      <c r="J2918" s="148" t="str">
        <f>IFERROR(__xludf.DUMMYFUNCTION("""COMPUTED_VALUE"""),"{""typ"":""lc"",""txt"":""LC_ITEM_xmas_nameplate_2025""}")</f>
        <v>{"typ":"lc","txt":"LC_ITEM_xmas_nameplate_2025"}</v>
      </c>
      <c r="K2918" s="148" t="str">
        <f>IFERROR(__xludf.DUMMYFUNCTION("""COMPUTED_VALUE"""),"{""typ"":""lc"",""txt"":""LC_ITEM_xmas_nameplate_2025_desc_item""}")</f>
        <v>{"typ":"lc","txt":"LC_ITEM_xmas_nameplate_2025_desc_item"}</v>
      </c>
      <c r="L2918" s="148" t="str">
        <f>IFERROR(__xludf.DUMMYFUNCTION("""COMPUTED_VALUE"""),"{""typ"":""lc"",""txt"":""LC_ITEM_season_extra_reward_usedtip""}")</f>
        <v>{"typ":"lc","txt":"LC_ITEM_season_extra_reward_usedtip"}</v>
      </c>
      <c r="M2918" s="148">
        <f>IFERROR(__xludf.DUMMYFUNCTION("""COMPUTED_VALUE"""),2500.0)</f>
        <v>2500</v>
      </c>
      <c r="N2918" s="148">
        <f>IFERROR(__xludf.DUMMYFUNCTION("""COMPUTED_VALUE"""),9999999.0)</f>
        <v>9999999</v>
      </c>
      <c r="O2918" s="148">
        <f>IFERROR(__xludf.DUMMYFUNCTION("""COMPUTED_VALUE"""),1.0)</f>
        <v>1</v>
      </c>
      <c r="P2918" s="148">
        <f>IFERROR(__xludf.DUMMYFUNCTION("""COMPUTED_VALUE"""),1.0)</f>
        <v>1</v>
      </c>
      <c r="Q2918" s="148" t="str">
        <f>IFERROR(__xludf.DUMMYFUNCTION("""COMPUTED_VALUE"""),"[""bag_other""]")</f>
        <v>["bag_other"]</v>
      </c>
      <c r="R2918" s="148" t="str">
        <f>IFERROR(__xludf.DUMMYFUNCTION("""COMPUTED_VALUE"""),"[""11731044"",""bag""]")</f>
        <v>["11731044","bag"]</v>
      </c>
      <c r="S2918" s="148" t="str">
        <f>IFERROR(__xludf.DUMMYFUNCTION("""COMPUTED_VALUE"""),"{""effect"":[{""typ"":""nameplate"",""id"":11731044,""val"":-1}]}")</f>
        <v>{"effect":[{"typ":"nameplate","id":11731044,"val":-1}]}</v>
      </c>
      <c r="T2918" s="148">
        <f>IFERROR(__xludf.DUMMYFUNCTION("""COMPUTED_VALUE"""),-1.0)</f>
        <v>-1</v>
      </c>
      <c r="U2918" s="148">
        <f>IFERROR(__xludf.DUMMYFUNCTION("""COMPUTED_VALUE"""),0.0)</f>
        <v>0</v>
      </c>
      <c r="V2918" s="148" t="str">
        <f>IFERROR(__xludf.DUMMYFUNCTION("""COMPUTED_VALUE"""),"[]")</f>
        <v>[]</v>
      </c>
      <c r="W2918" s="148">
        <f>IFERROR(__xludf.DUMMYFUNCTION("""COMPUTED_VALUE"""),1.174E7)</f>
        <v>11740000</v>
      </c>
      <c r="X2918" s="148">
        <f>IFERROR(__xludf.DUMMYFUNCTION("""COMPUTED_VALUE"""),0.0)</f>
        <v>0</v>
      </c>
      <c r="Y2918" s="148">
        <f>IFERROR(__xludf.DUMMYFUNCTION("""COMPUTED_VALUE"""),0.0)</f>
        <v>0</v>
      </c>
      <c r="Z2918" s="148"/>
    </row>
    <row r="2919">
      <c r="A2919" s="148">
        <f>IFERROR(__xludf.DUMMYFUNCTION("""COMPUTED_VALUE"""),1.1119884E7)</f>
        <v>11119884</v>
      </c>
      <c r="B2919" s="148" t="str">
        <f>IFERROR(__xludf.DUMMYFUNCTION("""COMPUTED_VALUE"""),"行军表情-动态-小惊喜")</f>
        <v>行军表情-动态-小惊喜</v>
      </c>
      <c r="C2919" s="148"/>
      <c r="D2919" s="148" t="str">
        <f>IFERROR(__xludf.DUMMYFUNCTION("""COMPUTED_VALUE"""),"map_emoji")</f>
        <v>map_emoji</v>
      </c>
      <c r="E2919" s="148">
        <f>IFERROR(__xludf.DUMMYFUNCTION("""COMPUTED_VALUE"""),20.0)</f>
        <v>20</v>
      </c>
      <c r="F2919" s="148">
        <f>IFERROR(__xludf.DUMMYFUNCTION("""COMPUTED_VALUE"""),0.0)</f>
        <v>0</v>
      </c>
      <c r="G2919" s="148">
        <f>IFERROR(__xludf.DUMMYFUNCTION("""COMPUTED_VALUE"""),1.51103951E8)</f>
        <v>151103951</v>
      </c>
      <c r="H2919" s="148">
        <f>IFERROR(__xludf.DUMMYFUNCTION("""COMPUTED_VALUE"""),1.5112564E7)</f>
        <v>15112564</v>
      </c>
      <c r="I2919" s="148" t="str">
        <f>IFERROR(__xludf.DUMMYFUNCTION("""COMPUTED_VALUE"""),"{}")</f>
        <v>{}</v>
      </c>
      <c r="J2919" s="148" t="str">
        <f>IFERROR(__xludf.DUMMYFUNCTION("""COMPUTED_VALUE"""),"{""typ"":""lc"",""txt"":""LC_ITEM_map_emoji_xmas2025""}")</f>
        <v>{"typ":"lc","txt":"LC_ITEM_map_emoji_xmas2025"}</v>
      </c>
      <c r="K2919" s="148" t="str">
        <f>IFERROR(__xludf.DUMMYFUNCTION("""COMPUTED_VALUE"""),"{""typ"":""lc"",""txt"":""LC_ITEM_map_emoji_xmas2025_desc""}")</f>
        <v>{"typ":"lc","txt":"LC_ITEM_map_emoji_xmas2025_desc"}</v>
      </c>
      <c r="L2919" s="148" t="str">
        <f>IFERROR(__xludf.DUMMYFUNCTION("""COMPUTED_VALUE"""),"{}")</f>
        <v>{}</v>
      </c>
      <c r="M2919" s="148">
        <f>IFERROR(__xludf.DUMMYFUNCTION("""COMPUTED_VALUE"""),1000.0)</f>
        <v>1000</v>
      </c>
      <c r="N2919" s="148">
        <f>IFERROR(__xludf.DUMMYFUNCTION("""COMPUTED_VALUE"""),99.0)</f>
        <v>99</v>
      </c>
      <c r="O2919" s="148">
        <f>IFERROR(__xludf.DUMMYFUNCTION("""COMPUTED_VALUE"""),1.0)</f>
        <v>1</v>
      </c>
      <c r="P2919" s="148">
        <f>IFERROR(__xludf.DUMMYFUNCTION("""COMPUTED_VALUE"""),1.0)</f>
        <v>1</v>
      </c>
      <c r="Q2919" s="148" t="str">
        <f>IFERROR(__xludf.DUMMYFUNCTION("""COMPUTED_VALUE"""),"[]")</f>
        <v>[]</v>
      </c>
      <c r="R2919" s="148" t="str">
        <f>IFERROR(__xludf.DUMMYFUNCTION("""COMPUTED_VALUE"""),"[]")</f>
        <v>[]</v>
      </c>
      <c r="S2919" s="148" t="str">
        <f>IFERROR(__xludf.DUMMYFUNCTION("""COMPUTED_VALUE"""),"{""effect"":[{""typ"":""map_emoji"",""id"":11800024,""val"":-1}]}")</f>
        <v>{"effect":[{"typ":"map_emoji","id":11800024,"val":-1}]}</v>
      </c>
      <c r="T2919" s="148">
        <f>IFERROR(__xludf.DUMMYFUNCTION("""COMPUTED_VALUE"""),-1.0)</f>
        <v>-1</v>
      </c>
      <c r="U2919" s="148">
        <f>IFERROR(__xludf.DUMMYFUNCTION("""COMPUTED_VALUE"""),1.0)</f>
        <v>1</v>
      </c>
      <c r="V2919" s="148" t="str">
        <f>IFERROR(__xludf.DUMMYFUNCTION("""COMPUTED_VALUE"""),"[]")</f>
        <v>[]</v>
      </c>
      <c r="W2919" s="148">
        <f>IFERROR(__xludf.DUMMYFUNCTION("""COMPUTED_VALUE"""),1.174E7)</f>
        <v>11740000</v>
      </c>
      <c r="X2919" s="148">
        <f>IFERROR(__xludf.DUMMYFUNCTION("""COMPUTED_VALUE"""),0.0)</f>
        <v>0</v>
      </c>
      <c r="Y2919" s="148">
        <f>IFERROR(__xludf.DUMMYFUNCTION("""COMPUTED_VALUE"""),0.0)</f>
        <v>0</v>
      </c>
      <c r="Z2919" s="148"/>
    </row>
    <row r="2920">
      <c r="A2920" s="148">
        <f>IFERROR(__xludf.DUMMYFUNCTION("""COMPUTED_VALUE"""),1.1119885E7)</f>
        <v>11119885</v>
      </c>
      <c r="B2920" s="148" t="str">
        <f>IFERROR(__xludf.DUMMYFUNCTION("""COMPUTED_VALUE"""),"主城皮肤-圣诞节高级皮肤2025")</f>
        <v>主城皮肤-圣诞节高级皮肤2025</v>
      </c>
      <c r="C2920" s="148"/>
      <c r="D2920" s="148" t="str">
        <f>IFERROR(__xludf.DUMMYFUNCTION("""COMPUTED_VALUE"""),"city_skin")</f>
        <v>city_skin</v>
      </c>
      <c r="E2920" s="148">
        <f>IFERROR(__xludf.DUMMYFUNCTION("""COMPUTED_VALUE"""),21.0)</f>
        <v>21</v>
      </c>
      <c r="F2920" s="148">
        <f>IFERROR(__xludf.DUMMYFUNCTION("""COMPUTED_VALUE"""),400106.0)</f>
        <v>400106</v>
      </c>
      <c r="G2920" s="148">
        <f>IFERROR(__xludf.DUMMYFUNCTION("""COMPUTED_VALUE"""),1.51103616E8)</f>
        <v>151103616</v>
      </c>
      <c r="H2920" s="148">
        <f>IFERROR(__xludf.DUMMYFUNCTION("""COMPUTED_VALUE"""),1.5115983E7)</f>
        <v>15115983</v>
      </c>
      <c r="I2920" s="148" t="str">
        <f>IFERROR(__xludf.DUMMYFUNCTION("""COMPUTED_VALUE"""),"{}")</f>
        <v>{}</v>
      </c>
      <c r="J2920" s="148" t="str">
        <f>IFERROR(__xludf.DUMMYFUNCTION("""COMPUTED_VALUE"""),"{""typ"":""lc"",""txt"":""LC_ITEM_2025xmas_highcity_skin_title""}")</f>
        <v>{"typ":"lc","txt":"LC_ITEM_2025xmas_highcity_skin_title"}</v>
      </c>
      <c r="K2920" s="148" t="str">
        <f>IFERROR(__xludf.DUMMYFUNCTION("""COMPUTED_VALUE"""),"{""typ"":""lc"",""txt"":""LC_ITEM_2025xmas_highskin_desc_forever""}")</f>
        <v>{"typ":"lc","txt":"LC_ITEM_2025xmas_highskin_desc_forever"}</v>
      </c>
      <c r="L2920" s="148" t="str">
        <f>IFERROR(__xludf.DUMMYFUNCTION("""COMPUTED_VALUE"""),"{""typ"":""lc"",""txt"":""LC_ITEM_city_skin_rocket_use_tips""}")</f>
        <v>{"typ":"lc","txt":"LC_ITEM_city_skin_rocket_use_tips"}</v>
      </c>
      <c r="M2920" s="148">
        <f>IFERROR(__xludf.DUMMYFUNCTION("""COMPUTED_VALUE"""),10000.0)</f>
        <v>10000</v>
      </c>
      <c r="N2920" s="148">
        <f>IFERROR(__xludf.DUMMYFUNCTION("""COMPUTED_VALUE"""),999.0)</f>
        <v>999</v>
      </c>
      <c r="O2920" s="148">
        <f>IFERROR(__xludf.DUMMYFUNCTION("""COMPUTED_VALUE"""),1.0)</f>
        <v>1</v>
      </c>
      <c r="P2920" s="148">
        <f>IFERROR(__xludf.DUMMYFUNCTION("""COMPUTED_VALUE"""),1.0)</f>
        <v>1</v>
      </c>
      <c r="Q2920" s="148" t="str">
        <f>IFERROR(__xludf.DUMMYFUNCTION("""COMPUTED_VALUE"""),"[""bag_other""]")</f>
        <v>["bag_other"]</v>
      </c>
      <c r="R2920" s="148" t="str">
        <f>IFERROR(__xludf.DUMMYFUNCTION("""COMPUTED_VALUE"""),"[""bag"",""13121095""]")</f>
        <v>["bag","13121095"]</v>
      </c>
      <c r="S2920" s="148" t="str">
        <f>IFERROR(__xludf.DUMMYFUNCTION("""COMPUTED_VALUE"""),"{""effect"":[{""typ"":""city_skin"",""id"":13121095,""val"":-1},{""typ"":""item"",""id"":11111034,""val"":10}]}")</f>
        <v>{"effect":[{"typ":"city_skin","id":13121095,"val":-1},{"typ":"item","id":11111034,"val":10}]}</v>
      </c>
      <c r="T2920" s="148">
        <f>IFERROR(__xludf.DUMMYFUNCTION("""COMPUTED_VALUE"""),-1.0)</f>
        <v>-1</v>
      </c>
      <c r="U2920" s="148">
        <f>IFERROR(__xludf.DUMMYFUNCTION("""COMPUTED_VALUE"""),0.0)</f>
        <v>0</v>
      </c>
      <c r="V2920" s="148" t="str">
        <f>IFERROR(__xludf.DUMMYFUNCTION("""COMPUTED_VALUE"""),"[]")</f>
        <v>[]</v>
      </c>
      <c r="W2920" s="148">
        <f>IFERROR(__xludf.DUMMYFUNCTION("""COMPUTED_VALUE"""),1.174E7)</f>
        <v>11740000</v>
      </c>
      <c r="X2920" s="148">
        <f>IFERROR(__xludf.DUMMYFUNCTION("""COMPUTED_VALUE"""),0.0)</f>
        <v>0</v>
      </c>
      <c r="Y2920" s="148">
        <f>IFERROR(__xludf.DUMMYFUNCTION("""COMPUTED_VALUE"""),0.0)</f>
        <v>0</v>
      </c>
      <c r="Z2920" s="148"/>
    </row>
    <row r="2921">
      <c r="A2921" s="148">
        <f>IFERROR(__xludf.DUMMYFUNCTION("""COMPUTED_VALUE"""),1.1119886E7)</f>
        <v>11119886</v>
      </c>
      <c r="B2921" s="148" t="str">
        <f>IFERROR(__xludf.DUMMYFUNCTION("""COMPUTED_VALUE"""),"主城皮肤-圣诞节高级皮肤2025-7天")</f>
        <v>主城皮肤-圣诞节高级皮肤2025-7天</v>
      </c>
      <c r="C2921" s="148"/>
      <c r="D2921" s="148" t="str">
        <f>IFERROR(__xludf.DUMMYFUNCTION("""COMPUTED_VALUE"""),"city_skin")</f>
        <v>city_skin</v>
      </c>
      <c r="E2921" s="148">
        <f>IFERROR(__xludf.DUMMYFUNCTION("""COMPUTED_VALUE"""),21.0)</f>
        <v>21</v>
      </c>
      <c r="F2921" s="148">
        <f>IFERROR(__xludf.DUMMYFUNCTION("""COMPUTED_VALUE"""),400106.0)</f>
        <v>400106</v>
      </c>
      <c r="G2921" s="148">
        <f>IFERROR(__xludf.DUMMYFUNCTION("""COMPUTED_VALUE"""),1.51103616E8)</f>
        <v>151103616</v>
      </c>
      <c r="H2921" s="148">
        <f>IFERROR(__xludf.DUMMYFUNCTION("""COMPUTED_VALUE"""),1.5112564E7)</f>
        <v>15112564</v>
      </c>
      <c r="I2921" s="148" t="str">
        <f>IFERROR(__xludf.DUMMYFUNCTION("""COMPUTED_VALUE"""),"{""typ"":""lc"",""txt"":""LC_ITEM_time_day_upper_show"",""args"":[{""typ"":""int"",""val"":7}]}")</f>
        <v>{"typ":"lc","txt":"LC_ITEM_time_day_upper_show","args":[{"typ":"int","val":7}]}</v>
      </c>
      <c r="J2921" s="148" t="str">
        <f>IFERROR(__xludf.DUMMYFUNCTION("""COMPUTED_VALUE"""),"{""typ"":""lc"",""txt"":""LC_ITEM_2025xmas_highcity_skin_title_7day""}")</f>
        <v>{"typ":"lc","txt":"LC_ITEM_2025xmas_highcity_skin_title_7day"}</v>
      </c>
      <c r="K2921" s="148" t="str">
        <f>IFERROR(__xludf.DUMMYFUNCTION("""COMPUTED_VALUE"""),"{""typ"":""lc"",""txt"":""LC_ITEM_2025xmas_highskin_desc_7day""}")</f>
        <v>{"typ":"lc","txt":"LC_ITEM_2025xmas_highskin_desc_7day"}</v>
      </c>
      <c r="L2921" s="148" t="str">
        <f>IFERROR(__xludf.DUMMYFUNCTION("""COMPUTED_VALUE"""),"{""typ"":""lc"",""txt"":""LC_ITEM_city_skin_rocket_use_tips""}")</f>
        <v>{"typ":"lc","txt":"LC_ITEM_city_skin_rocket_use_tips"}</v>
      </c>
      <c r="M2921" s="148">
        <f>IFERROR(__xludf.DUMMYFUNCTION("""COMPUTED_VALUE"""),10000.0)</f>
        <v>10000</v>
      </c>
      <c r="N2921" s="148">
        <f>IFERROR(__xludf.DUMMYFUNCTION("""COMPUTED_VALUE"""),999.0)</f>
        <v>999</v>
      </c>
      <c r="O2921" s="148">
        <f>IFERROR(__xludf.DUMMYFUNCTION("""COMPUTED_VALUE"""),1.0)</f>
        <v>1</v>
      </c>
      <c r="P2921" s="148">
        <f>IFERROR(__xludf.DUMMYFUNCTION("""COMPUTED_VALUE"""),1.0)</f>
        <v>1</v>
      </c>
      <c r="Q2921" s="148" t="str">
        <f>IFERROR(__xludf.DUMMYFUNCTION("""COMPUTED_VALUE"""),"[""bag_other""]")</f>
        <v>["bag_other"]</v>
      </c>
      <c r="R2921" s="148" t="str">
        <f>IFERROR(__xludf.DUMMYFUNCTION("""COMPUTED_VALUE"""),"[""bag"",""13121095""]")</f>
        <v>["bag","13121095"]</v>
      </c>
      <c r="S2921" s="148" t="str">
        <f>IFERROR(__xludf.DUMMYFUNCTION("""COMPUTED_VALUE"""),"{""effect"":[{""typ"":""city_skin"",""id"":13121095,""val"":604800000},{""typ"":""item"",""id"":11111021,""val"":3}]}")</f>
        <v>{"effect":[{"typ":"city_skin","id":13121095,"val":604800000},{"typ":"item","id":11111021,"val":3}]}</v>
      </c>
      <c r="T2921" s="148">
        <f>IFERROR(__xludf.DUMMYFUNCTION("""COMPUTED_VALUE"""),-1.0)</f>
        <v>-1</v>
      </c>
      <c r="U2921" s="148">
        <f>IFERROR(__xludf.DUMMYFUNCTION("""COMPUTED_VALUE"""),0.0)</f>
        <v>0</v>
      </c>
      <c r="V2921" s="148" t="str">
        <f>IFERROR(__xludf.DUMMYFUNCTION("""COMPUTED_VALUE"""),"[]")</f>
        <v>[]</v>
      </c>
      <c r="W2921" s="148">
        <f>IFERROR(__xludf.DUMMYFUNCTION("""COMPUTED_VALUE"""),1.174E7)</f>
        <v>11740000</v>
      </c>
      <c r="X2921" s="148">
        <f>IFERROR(__xludf.DUMMYFUNCTION("""COMPUTED_VALUE"""),0.0)</f>
        <v>0</v>
      </c>
      <c r="Y2921" s="148">
        <f>IFERROR(__xludf.DUMMYFUNCTION("""COMPUTED_VALUE"""),0.0)</f>
        <v>0</v>
      </c>
      <c r="Z2921" s="148"/>
    </row>
    <row r="2922">
      <c r="A2922" s="148">
        <f>IFERROR(__xludf.DUMMYFUNCTION("""COMPUTED_VALUE"""),1.1119887E7)</f>
        <v>11119887</v>
      </c>
      <c r="B2922" s="148" t="str">
        <f>IFERROR(__xludf.DUMMYFUNCTION("""COMPUTED_VALUE"""),"主城皮肤-圣诞节高级皮肤2025-14天")</f>
        <v>主城皮肤-圣诞节高级皮肤2025-14天</v>
      </c>
      <c r="C2922" s="148"/>
      <c r="D2922" s="148" t="str">
        <f>IFERROR(__xludf.DUMMYFUNCTION("""COMPUTED_VALUE"""),"city_skin")</f>
        <v>city_skin</v>
      </c>
      <c r="E2922" s="148">
        <f>IFERROR(__xludf.DUMMYFUNCTION("""COMPUTED_VALUE"""),21.0)</f>
        <v>21</v>
      </c>
      <c r="F2922" s="148">
        <f>IFERROR(__xludf.DUMMYFUNCTION("""COMPUTED_VALUE"""),400106.0)</f>
        <v>400106</v>
      </c>
      <c r="G2922" s="148">
        <f>IFERROR(__xludf.DUMMYFUNCTION("""COMPUTED_VALUE"""),1.51103616E8)</f>
        <v>151103616</v>
      </c>
      <c r="H2922" s="148">
        <f>IFERROR(__xludf.DUMMYFUNCTION("""COMPUTED_VALUE"""),1.5112564E7)</f>
        <v>15112564</v>
      </c>
      <c r="I2922" s="148" t="str">
        <f>IFERROR(__xludf.DUMMYFUNCTION("""COMPUTED_VALUE"""),"{""typ"":""lc"",""txt"":""LC_ITEM_time_day_upper_show"",""args"":[{""typ"":""int"",""val"":14}]}")</f>
        <v>{"typ":"lc","txt":"LC_ITEM_time_day_upper_show","args":[{"typ":"int","val":14}]}</v>
      </c>
      <c r="J2922" s="148" t="str">
        <f>IFERROR(__xludf.DUMMYFUNCTION("""COMPUTED_VALUE"""),"{""typ"":""lc"",""txt"":""LC_ITEM_2025xmas_highcity_skin_title_14day""}")</f>
        <v>{"typ":"lc","txt":"LC_ITEM_2025xmas_highcity_skin_title_14day"}</v>
      </c>
      <c r="K2922" s="148" t="str">
        <f>IFERROR(__xludf.DUMMYFUNCTION("""COMPUTED_VALUE"""),"{""typ"":""lc"",""txt"":""LC_ITEM_2025xmas_highskin_desc_14day""}")</f>
        <v>{"typ":"lc","txt":"LC_ITEM_2025xmas_highskin_desc_14day"}</v>
      </c>
      <c r="L2922" s="148" t="str">
        <f>IFERROR(__xludf.DUMMYFUNCTION("""COMPUTED_VALUE"""),"{""typ"":""lc"",""txt"":""LC_ITEM_city_skin_rocket_use_tips""}")</f>
        <v>{"typ":"lc","txt":"LC_ITEM_city_skin_rocket_use_tips"}</v>
      </c>
      <c r="M2922" s="148">
        <f>IFERROR(__xludf.DUMMYFUNCTION("""COMPUTED_VALUE"""),10000.0)</f>
        <v>10000</v>
      </c>
      <c r="N2922" s="148">
        <f>IFERROR(__xludf.DUMMYFUNCTION("""COMPUTED_VALUE"""),999.0)</f>
        <v>999</v>
      </c>
      <c r="O2922" s="148">
        <f>IFERROR(__xludf.DUMMYFUNCTION("""COMPUTED_VALUE"""),1.0)</f>
        <v>1</v>
      </c>
      <c r="P2922" s="148">
        <f>IFERROR(__xludf.DUMMYFUNCTION("""COMPUTED_VALUE"""),1.0)</f>
        <v>1</v>
      </c>
      <c r="Q2922" s="148" t="str">
        <f>IFERROR(__xludf.DUMMYFUNCTION("""COMPUTED_VALUE"""),"[""bag_other""]")</f>
        <v>["bag_other"]</v>
      </c>
      <c r="R2922" s="148" t="str">
        <f>IFERROR(__xludf.DUMMYFUNCTION("""COMPUTED_VALUE"""),"[""bag"",""13121095""]")</f>
        <v>["bag","13121095"]</v>
      </c>
      <c r="S2922" s="148" t="str">
        <f>IFERROR(__xludf.DUMMYFUNCTION("""COMPUTED_VALUE"""),"{""effect"":[{""typ"":""city_skin"",""id"":13121095,""val"":1209600000},{""typ"":""item"",""id"":11111021,""val"":7}]}")</f>
        <v>{"effect":[{"typ":"city_skin","id":13121095,"val":1209600000},{"typ":"item","id":11111021,"val":7}]}</v>
      </c>
      <c r="T2922" s="148">
        <f>IFERROR(__xludf.DUMMYFUNCTION("""COMPUTED_VALUE"""),-1.0)</f>
        <v>-1</v>
      </c>
      <c r="U2922" s="148">
        <f>IFERROR(__xludf.DUMMYFUNCTION("""COMPUTED_VALUE"""),0.0)</f>
        <v>0</v>
      </c>
      <c r="V2922" s="148" t="str">
        <f>IFERROR(__xludf.DUMMYFUNCTION("""COMPUTED_VALUE"""),"[]")</f>
        <v>[]</v>
      </c>
      <c r="W2922" s="148">
        <f>IFERROR(__xludf.DUMMYFUNCTION("""COMPUTED_VALUE"""),1.174E7)</f>
        <v>11740000</v>
      </c>
      <c r="X2922" s="148">
        <f>IFERROR(__xludf.DUMMYFUNCTION("""COMPUTED_VALUE"""),0.0)</f>
        <v>0</v>
      </c>
      <c r="Y2922" s="148">
        <f>IFERROR(__xludf.DUMMYFUNCTION("""COMPUTED_VALUE"""),0.0)</f>
        <v>0</v>
      </c>
      <c r="Z2922" s="148"/>
    </row>
    <row r="2923">
      <c r="A2923" s="148">
        <f>IFERROR(__xludf.DUMMYFUNCTION("""COMPUTED_VALUE"""),1.1119888E7)</f>
        <v>11119888</v>
      </c>
      <c r="B2923" s="148" t="str">
        <f>IFERROR(__xludf.DUMMYFUNCTION("""COMPUTED_VALUE"""),"主城皮肤-圣诞节高级皮肤2025-28天")</f>
        <v>主城皮肤-圣诞节高级皮肤2025-28天</v>
      </c>
      <c r="C2923" s="148"/>
      <c r="D2923" s="148" t="str">
        <f>IFERROR(__xludf.DUMMYFUNCTION("""COMPUTED_VALUE"""),"city_skin")</f>
        <v>city_skin</v>
      </c>
      <c r="E2923" s="148">
        <f>IFERROR(__xludf.DUMMYFUNCTION("""COMPUTED_VALUE"""),21.0)</f>
        <v>21</v>
      </c>
      <c r="F2923" s="148">
        <f>IFERROR(__xludf.DUMMYFUNCTION("""COMPUTED_VALUE"""),408197.0)</f>
        <v>408197</v>
      </c>
      <c r="G2923" s="148">
        <f>IFERROR(__xludf.DUMMYFUNCTION("""COMPUTED_VALUE"""),1.51103616E8)</f>
        <v>151103616</v>
      </c>
      <c r="H2923" s="148">
        <f>IFERROR(__xludf.DUMMYFUNCTION("""COMPUTED_VALUE"""),1.5112564E7)</f>
        <v>15112564</v>
      </c>
      <c r="I2923" s="148" t="str">
        <f>IFERROR(__xludf.DUMMYFUNCTION("""COMPUTED_VALUE"""),"{""typ"":""lc"",""txt"":""LC_ITEM_time_day_upper_show"",""args"":[{""typ"":""int"",""val"":28}]}")</f>
        <v>{"typ":"lc","txt":"LC_ITEM_time_day_upper_show","args":[{"typ":"int","val":28}]}</v>
      </c>
      <c r="J2923" s="148" t="str">
        <f>IFERROR(__xludf.DUMMYFUNCTION("""COMPUTED_VALUE"""),"{""typ"":""lc"",""txt"":""LC_ITEM_2025xmas_highcity_skin_title_28day""}")</f>
        <v>{"typ":"lc","txt":"LC_ITEM_2025xmas_highcity_skin_title_28day"}</v>
      </c>
      <c r="K2923" s="148" t="str">
        <f>IFERROR(__xludf.DUMMYFUNCTION("""COMPUTED_VALUE"""),"{""typ"":""lc"",""txt"":""LC_ITEM_2025xmas_highskin_desc_28day""}")</f>
        <v>{"typ":"lc","txt":"LC_ITEM_2025xmas_highskin_desc_28day"}</v>
      </c>
      <c r="L2923" s="148" t="str">
        <f>IFERROR(__xludf.DUMMYFUNCTION("""COMPUTED_VALUE"""),"{""typ"":""lc"",""txt"":""LC_ITEM_city_skin_rocket_use_tips""}")</f>
        <v>{"typ":"lc","txt":"LC_ITEM_city_skin_rocket_use_tips"}</v>
      </c>
      <c r="M2923" s="148">
        <f>IFERROR(__xludf.DUMMYFUNCTION("""COMPUTED_VALUE"""),10000.0)</f>
        <v>10000</v>
      </c>
      <c r="N2923" s="148">
        <f>IFERROR(__xludf.DUMMYFUNCTION("""COMPUTED_VALUE"""),999.0)</f>
        <v>999</v>
      </c>
      <c r="O2923" s="148">
        <f>IFERROR(__xludf.DUMMYFUNCTION("""COMPUTED_VALUE"""),1.0)</f>
        <v>1</v>
      </c>
      <c r="P2923" s="148">
        <f>IFERROR(__xludf.DUMMYFUNCTION("""COMPUTED_VALUE"""),1.0)</f>
        <v>1</v>
      </c>
      <c r="Q2923" s="148" t="str">
        <f>IFERROR(__xludf.DUMMYFUNCTION("""COMPUTED_VALUE"""),"[""bag_other""]")</f>
        <v>["bag_other"]</v>
      </c>
      <c r="R2923" s="148" t="str">
        <f>IFERROR(__xludf.DUMMYFUNCTION("""COMPUTED_VALUE"""),"[""bag"",""13121095""]")</f>
        <v>["bag","13121095"]</v>
      </c>
      <c r="S2923" s="148" t="str">
        <f>IFERROR(__xludf.DUMMYFUNCTION("""COMPUTED_VALUE"""),"{""effect"":[{""typ"":""city_skin"",""id"":13121095,""val"":2419200000},{""typ"":""item"",""id"":11111021,""val"":15}]}")</f>
        <v>{"effect":[{"typ":"city_skin","id":13121095,"val":2419200000},{"typ":"item","id":11111021,"val":15}]}</v>
      </c>
      <c r="T2923" s="148">
        <f>IFERROR(__xludf.DUMMYFUNCTION("""COMPUTED_VALUE"""),-1.0)</f>
        <v>-1</v>
      </c>
      <c r="U2923" s="148">
        <f>IFERROR(__xludf.DUMMYFUNCTION("""COMPUTED_VALUE"""),0.0)</f>
        <v>0</v>
      </c>
      <c r="V2923" s="148" t="str">
        <f>IFERROR(__xludf.DUMMYFUNCTION("""COMPUTED_VALUE"""),"[]")</f>
        <v>[]</v>
      </c>
      <c r="W2923" s="148">
        <f>IFERROR(__xludf.DUMMYFUNCTION("""COMPUTED_VALUE"""),1.174E7)</f>
        <v>11740000</v>
      </c>
      <c r="X2923" s="148">
        <f>IFERROR(__xludf.DUMMYFUNCTION("""COMPUTED_VALUE"""),0.0)</f>
        <v>0</v>
      </c>
      <c r="Y2923" s="148">
        <f>IFERROR(__xludf.DUMMYFUNCTION("""COMPUTED_VALUE"""),0.0)</f>
        <v>0</v>
      </c>
      <c r="Z2923" s="148"/>
    </row>
    <row r="2924">
      <c r="A2924" s="148">
        <f>IFERROR(__xludf.DUMMYFUNCTION("""COMPUTED_VALUE"""),1.1119889E7)</f>
        <v>11119889</v>
      </c>
      <c r="B2924" s="148" t="str">
        <f>IFERROR(__xludf.DUMMYFUNCTION("""COMPUTED_VALUE"""),"主城皮肤-圣诞节2025")</f>
        <v>主城皮肤-圣诞节2025</v>
      </c>
      <c r="C2924" s="148"/>
      <c r="D2924" s="148" t="str">
        <f>IFERROR(__xludf.DUMMYFUNCTION("""COMPUTED_VALUE"""),"city_skin")</f>
        <v>city_skin</v>
      </c>
      <c r="E2924" s="148">
        <f>IFERROR(__xludf.DUMMYFUNCTION("""COMPUTED_VALUE"""),21.0)</f>
        <v>21</v>
      </c>
      <c r="F2924" s="148">
        <f>IFERROR(__xludf.DUMMYFUNCTION("""COMPUTED_VALUE"""),404201.0)</f>
        <v>404201</v>
      </c>
      <c r="G2924" s="148">
        <f>IFERROR(__xludf.DUMMYFUNCTION("""COMPUTED_VALUE"""),1.51103612E8)</f>
        <v>151103612</v>
      </c>
      <c r="H2924" s="148">
        <f>IFERROR(__xludf.DUMMYFUNCTION("""COMPUTED_VALUE"""),1.5112564E7)</f>
        <v>15112564</v>
      </c>
      <c r="I2924" s="148" t="str">
        <f>IFERROR(__xludf.DUMMYFUNCTION("""COMPUTED_VALUE"""),"{}")</f>
        <v>{}</v>
      </c>
      <c r="J2924" s="148" t="str">
        <f>IFERROR(__xludf.DUMMYFUNCTION("""COMPUTED_VALUE"""),"{""typ"":""lc"",""txt"":""LC_ITEM_2025xmas_lowcity_skin_title""}")</f>
        <v>{"typ":"lc","txt":"LC_ITEM_2025xmas_lowcity_skin_title"}</v>
      </c>
      <c r="K2924" s="148" t="str">
        <f>IFERROR(__xludf.DUMMYFUNCTION("""COMPUTED_VALUE"""),"{""typ"":""lc"",""txt"":""LC_ITEM_2025xmas_lowcity_skin_desc_forever""}")</f>
        <v>{"typ":"lc","txt":"LC_ITEM_2025xmas_lowcity_skin_desc_forever"}</v>
      </c>
      <c r="L2924" s="148" t="str">
        <f>IFERROR(__xludf.DUMMYFUNCTION("""COMPUTED_VALUE"""),"{""typ"":""lc"",""txt"":""LC_ITEM_city_skin_rocket_use_tips""}")</f>
        <v>{"typ":"lc","txt":"LC_ITEM_city_skin_rocket_use_tips"}</v>
      </c>
      <c r="M2924" s="148">
        <f>IFERROR(__xludf.DUMMYFUNCTION("""COMPUTED_VALUE"""),10000.0)</f>
        <v>10000</v>
      </c>
      <c r="N2924" s="148">
        <f>IFERROR(__xludf.DUMMYFUNCTION("""COMPUTED_VALUE"""),999.0)</f>
        <v>999</v>
      </c>
      <c r="O2924" s="148">
        <f>IFERROR(__xludf.DUMMYFUNCTION("""COMPUTED_VALUE"""),1.0)</f>
        <v>1</v>
      </c>
      <c r="P2924" s="148">
        <f>IFERROR(__xludf.DUMMYFUNCTION("""COMPUTED_VALUE"""),1.0)</f>
        <v>1</v>
      </c>
      <c r="Q2924" s="148" t="str">
        <f>IFERROR(__xludf.DUMMYFUNCTION("""COMPUTED_VALUE"""),"[""bag_other""]")</f>
        <v>["bag_other"]</v>
      </c>
      <c r="R2924" s="148" t="str">
        <f>IFERROR(__xludf.DUMMYFUNCTION("""COMPUTED_VALUE"""),"[""bag"",""13121093""]")</f>
        <v>["bag","13121093"]</v>
      </c>
      <c r="S2924" s="148" t="str">
        <f>IFERROR(__xludf.DUMMYFUNCTION("""COMPUTED_VALUE"""),"{""effect"":[{""typ"":""city_skin"",""id"":13121093,""val"":-1},{""typ"":""item"",""id"":11112030,""val"":4000}]}")</f>
        <v>{"effect":[{"typ":"city_skin","id":13121093,"val":-1},{"typ":"item","id":11112030,"val":4000}]}</v>
      </c>
      <c r="T2924" s="148">
        <f>IFERROR(__xludf.DUMMYFUNCTION("""COMPUTED_VALUE"""),-1.0)</f>
        <v>-1</v>
      </c>
      <c r="U2924" s="148">
        <f>IFERROR(__xludf.DUMMYFUNCTION("""COMPUTED_VALUE"""),0.0)</f>
        <v>0</v>
      </c>
      <c r="V2924" s="148" t="str">
        <f>IFERROR(__xludf.DUMMYFUNCTION("""COMPUTED_VALUE"""),"[]")</f>
        <v>[]</v>
      </c>
      <c r="W2924" s="148">
        <f>IFERROR(__xludf.DUMMYFUNCTION("""COMPUTED_VALUE"""),1.174E7)</f>
        <v>11740000</v>
      </c>
      <c r="X2924" s="148">
        <f>IFERROR(__xludf.DUMMYFUNCTION("""COMPUTED_VALUE"""),0.0)</f>
        <v>0</v>
      </c>
      <c r="Y2924" s="148">
        <f>IFERROR(__xludf.DUMMYFUNCTION("""COMPUTED_VALUE"""),0.0)</f>
        <v>0</v>
      </c>
      <c r="Z2924" s="148"/>
    </row>
    <row r="2925">
      <c r="A2925" s="148">
        <f>IFERROR(__xludf.DUMMYFUNCTION("""COMPUTED_VALUE"""),1.111989E7)</f>
        <v>11119890</v>
      </c>
      <c r="B2925" s="148" t="str">
        <f>IFERROR(__xludf.DUMMYFUNCTION("""COMPUTED_VALUE"""),"主城皮肤-圣诞节2025-2天")</f>
        <v>主城皮肤-圣诞节2025-2天</v>
      </c>
      <c r="C2925" s="148"/>
      <c r="D2925" s="148" t="str">
        <f>IFERROR(__xludf.DUMMYFUNCTION("""COMPUTED_VALUE"""),"city_skin")</f>
        <v>city_skin</v>
      </c>
      <c r="E2925" s="148">
        <f>IFERROR(__xludf.DUMMYFUNCTION("""COMPUTED_VALUE"""),21.0)</f>
        <v>21</v>
      </c>
      <c r="F2925" s="148">
        <f>IFERROR(__xludf.DUMMYFUNCTION("""COMPUTED_VALUE"""),404201.0)</f>
        <v>404201</v>
      </c>
      <c r="G2925" s="148">
        <f>IFERROR(__xludf.DUMMYFUNCTION("""COMPUTED_VALUE"""),1.51103612E8)</f>
        <v>151103612</v>
      </c>
      <c r="H2925" s="148">
        <f>IFERROR(__xludf.DUMMYFUNCTION("""COMPUTED_VALUE"""),1.5112564E7)</f>
        <v>15112564</v>
      </c>
      <c r="I2925" s="148" t="str">
        <f>IFERROR(__xludf.DUMMYFUNCTION("""COMPUTED_VALUE"""),"{""typ"":""lc"",""txt"":""LC_ITEM_time_day_upper_show"",""args"":[{""typ"":""int"",""val"":2}]}")</f>
        <v>{"typ":"lc","txt":"LC_ITEM_time_day_upper_show","args":[{"typ":"int","val":2}]}</v>
      </c>
      <c r="J2925" s="148" t="str">
        <f>IFERROR(__xludf.DUMMYFUNCTION("""COMPUTED_VALUE"""),"{""typ"":""lc"",""txt"":""LC_ITEM_2025xmas_lowcity_skin_title_2day""}")</f>
        <v>{"typ":"lc","txt":"LC_ITEM_2025xmas_lowcity_skin_title_2day"}</v>
      </c>
      <c r="K2925" s="148" t="str">
        <f>IFERROR(__xludf.DUMMYFUNCTION("""COMPUTED_VALUE"""),"{""typ"":""lc"",""txt"":""LC_ITEM_2025xmas_lowcity_skin_desc_2day""}")</f>
        <v>{"typ":"lc","txt":"LC_ITEM_2025xmas_lowcity_skin_desc_2day"}</v>
      </c>
      <c r="L2925" s="148" t="str">
        <f>IFERROR(__xludf.DUMMYFUNCTION("""COMPUTED_VALUE"""),"{""typ"":""lc"",""txt"":""LC_ITEM_city_skin_rocket_use_tips""}")</f>
        <v>{"typ":"lc","txt":"LC_ITEM_city_skin_rocket_use_tips"}</v>
      </c>
      <c r="M2925" s="148">
        <f>IFERROR(__xludf.DUMMYFUNCTION("""COMPUTED_VALUE"""),10000.0)</f>
        <v>10000</v>
      </c>
      <c r="N2925" s="148">
        <f>IFERROR(__xludf.DUMMYFUNCTION("""COMPUTED_VALUE"""),999.0)</f>
        <v>999</v>
      </c>
      <c r="O2925" s="148">
        <f>IFERROR(__xludf.DUMMYFUNCTION("""COMPUTED_VALUE"""),1.0)</f>
        <v>1</v>
      </c>
      <c r="P2925" s="148">
        <f>IFERROR(__xludf.DUMMYFUNCTION("""COMPUTED_VALUE"""),1.0)</f>
        <v>1</v>
      </c>
      <c r="Q2925" s="148" t="str">
        <f>IFERROR(__xludf.DUMMYFUNCTION("""COMPUTED_VALUE"""),"[""bag_other""]")</f>
        <v>["bag_other"]</v>
      </c>
      <c r="R2925" s="148" t="str">
        <f>IFERROR(__xludf.DUMMYFUNCTION("""COMPUTED_VALUE"""),"[""bag"",""13121093""]")</f>
        <v>["bag","13121093"]</v>
      </c>
      <c r="S2925" s="148" t="str">
        <f>IFERROR(__xludf.DUMMYFUNCTION("""COMPUTED_VALUE"""),"{""effect"":[{""typ"":""city_skin"",""id"":13121093,""val"":172800000},{""typ"":""item"",""id"":11111021,""val"":1}]}")</f>
        <v>{"effect":[{"typ":"city_skin","id":13121093,"val":172800000},{"typ":"item","id":11111021,"val":1}]}</v>
      </c>
      <c r="T2925" s="148">
        <f>IFERROR(__xludf.DUMMYFUNCTION("""COMPUTED_VALUE"""),-1.0)</f>
        <v>-1</v>
      </c>
      <c r="U2925" s="148">
        <f>IFERROR(__xludf.DUMMYFUNCTION("""COMPUTED_VALUE"""),0.0)</f>
        <v>0</v>
      </c>
      <c r="V2925" s="148" t="str">
        <f>IFERROR(__xludf.DUMMYFUNCTION("""COMPUTED_VALUE"""),"[]")</f>
        <v>[]</v>
      </c>
      <c r="W2925" s="148">
        <f>IFERROR(__xludf.DUMMYFUNCTION("""COMPUTED_VALUE"""),1.174E7)</f>
        <v>11740000</v>
      </c>
      <c r="X2925" s="148">
        <f>IFERROR(__xludf.DUMMYFUNCTION("""COMPUTED_VALUE"""),0.0)</f>
        <v>0</v>
      </c>
      <c r="Y2925" s="148">
        <f>IFERROR(__xludf.DUMMYFUNCTION("""COMPUTED_VALUE"""),0.0)</f>
        <v>0</v>
      </c>
      <c r="Z2925" s="148"/>
    </row>
    <row r="2926">
      <c r="A2926" s="148">
        <f>IFERROR(__xludf.DUMMYFUNCTION("""COMPUTED_VALUE"""),1.1119891E7)</f>
        <v>11119891</v>
      </c>
      <c r="B2926" s="148" t="str">
        <f>IFERROR(__xludf.DUMMYFUNCTION("""COMPUTED_VALUE"""),"主城皮肤-圣诞节2025-7天")</f>
        <v>主城皮肤-圣诞节2025-7天</v>
      </c>
      <c r="C2926" s="148"/>
      <c r="D2926" s="148" t="str">
        <f>IFERROR(__xludf.DUMMYFUNCTION("""COMPUTED_VALUE"""),"city_skin")</f>
        <v>city_skin</v>
      </c>
      <c r="E2926" s="148">
        <f>IFERROR(__xludf.DUMMYFUNCTION("""COMPUTED_VALUE"""),21.0)</f>
        <v>21</v>
      </c>
      <c r="F2926" s="148">
        <f>IFERROR(__xludf.DUMMYFUNCTION("""COMPUTED_VALUE"""),404201.0)</f>
        <v>404201</v>
      </c>
      <c r="G2926" s="148">
        <f>IFERROR(__xludf.DUMMYFUNCTION("""COMPUTED_VALUE"""),1.51103612E8)</f>
        <v>151103612</v>
      </c>
      <c r="H2926" s="148">
        <f>IFERROR(__xludf.DUMMYFUNCTION("""COMPUTED_VALUE"""),1.5112564E7)</f>
        <v>15112564</v>
      </c>
      <c r="I2926" s="148" t="str">
        <f>IFERROR(__xludf.DUMMYFUNCTION("""COMPUTED_VALUE"""),"{""typ"":""lc"",""txt"":""LC_ITEM_time_day_upper_show"",""args"":[{""typ"":""int"",""val"":7}]}")</f>
        <v>{"typ":"lc","txt":"LC_ITEM_time_day_upper_show","args":[{"typ":"int","val":7}]}</v>
      </c>
      <c r="J2926" s="148" t="str">
        <f>IFERROR(__xludf.DUMMYFUNCTION("""COMPUTED_VALUE"""),"{""typ"":""lc"",""txt"":""LC_ITEM_2025xmas_lowcity_skin_title_7day""}")</f>
        <v>{"typ":"lc","txt":"LC_ITEM_2025xmas_lowcity_skin_title_7day"}</v>
      </c>
      <c r="K2926" s="148" t="str">
        <f>IFERROR(__xludf.DUMMYFUNCTION("""COMPUTED_VALUE"""),"{""typ"":""lc"",""txt"":""LC_ITEM_2025xmas_lowcity_skin_desc_7day""}")</f>
        <v>{"typ":"lc","txt":"LC_ITEM_2025xmas_lowcity_skin_desc_7day"}</v>
      </c>
      <c r="L2926" s="148" t="str">
        <f>IFERROR(__xludf.DUMMYFUNCTION("""COMPUTED_VALUE"""),"{""typ"":""lc"",""txt"":""LC_ITEM_city_skin_rocket_use_tips""}")</f>
        <v>{"typ":"lc","txt":"LC_ITEM_city_skin_rocket_use_tips"}</v>
      </c>
      <c r="M2926" s="148">
        <f>IFERROR(__xludf.DUMMYFUNCTION("""COMPUTED_VALUE"""),10000.0)</f>
        <v>10000</v>
      </c>
      <c r="N2926" s="148">
        <f>IFERROR(__xludf.DUMMYFUNCTION("""COMPUTED_VALUE"""),999.0)</f>
        <v>999</v>
      </c>
      <c r="O2926" s="148">
        <f>IFERROR(__xludf.DUMMYFUNCTION("""COMPUTED_VALUE"""),1.0)</f>
        <v>1</v>
      </c>
      <c r="P2926" s="148">
        <f>IFERROR(__xludf.DUMMYFUNCTION("""COMPUTED_VALUE"""),1.0)</f>
        <v>1</v>
      </c>
      <c r="Q2926" s="148" t="str">
        <f>IFERROR(__xludf.DUMMYFUNCTION("""COMPUTED_VALUE"""),"[""bag_other""]")</f>
        <v>["bag_other"]</v>
      </c>
      <c r="R2926" s="148" t="str">
        <f>IFERROR(__xludf.DUMMYFUNCTION("""COMPUTED_VALUE"""),"[""bag"",""13121093""]")</f>
        <v>["bag","13121093"]</v>
      </c>
      <c r="S2926" s="148" t="str">
        <f>IFERROR(__xludf.DUMMYFUNCTION("""COMPUTED_VALUE"""),"{""effect"":[{""typ"":""city_skin"",""id"":13121093,""val"":604800000},{""typ"":""item"",""id"":11111021,""val"":3}]}")</f>
        <v>{"effect":[{"typ":"city_skin","id":13121093,"val":604800000},{"typ":"item","id":11111021,"val":3}]}</v>
      </c>
      <c r="T2926" s="148">
        <f>IFERROR(__xludf.DUMMYFUNCTION("""COMPUTED_VALUE"""),-1.0)</f>
        <v>-1</v>
      </c>
      <c r="U2926" s="148">
        <f>IFERROR(__xludf.DUMMYFUNCTION("""COMPUTED_VALUE"""),0.0)</f>
        <v>0</v>
      </c>
      <c r="V2926" s="148" t="str">
        <f>IFERROR(__xludf.DUMMYFUNCTION("""COMPUTED_VALUE"""),"[]")</f>
        <v>[]</v>
      </c>
      <c r="W2926" s="148">
        <f>IFERROR(__xludf.DUMMYFUNCTION("""COMPUTED_VALUE"""),1.174E7)</f>
        <v>11740000</v>
      </c>
      <c r="X2926" s="148">
        <f>IFERROR(__xludf.DUMMYFUNCTION("""COMPUTED_VALUE"""),0.0)</f>
        <v>0</v>
      </c>
      <c r="Y2926" s="148">
        <f>IFERROR(__xludf.DUMMYFUNCTION("""COMPUTED_VALUE"""),0.0)</f>
        <v>0</v>
      </c>
      <c r="Z2926" s="148"/>
    </row>
    <row r="2927">
      <c r="A2927" s="148">
        <f>IFERROR(__xludf.DUMMYFUNCTION("""COMPUTED_VALUE"""),1.1119892E7)</f>
        <v>11119892</v>
      </c>
      <c r="B2927" s="148" t="str">
        <f>IFERROR(__xludf.DUMMYFUNCTION("""COMPUTED_VALUE"""),"主城皮肤-圣诞节2025-14天")</f>
        <v>主城皮肤-圣诞节2025-14天</v>
      </c>
      <c r="C2927" s="148"/>
      <c r="D2927" s="148" t="str">
        <f>IFERROR(__xludf.DUMMYFUNCTION("""COMPUTED_VALUE"""),"city_skin")</f>
        <v>city_skin</v>
      </c>
      <c r="E2927" s="148">
        <f>IFERROR(__xludf.DUMMYFUNCTION("""COMPUTED_VALUE"""),21.0)</f>
        <v>21</v>
      </c>
      <c r="F2927" s="148">
        <f>IFERROR(__xludf.DUMMYFUNCTION("""COMPUTED_VALUE"""),404201.0)</f>
        <v>404201</v>
      </c>
      <c r="G2927" s="148">
        <f>IFERROR(__xludf.DUMMYFUNCTION("""COMPUTED_VALUE"""),1.51103612E8)</f>
        <v>151103612</v>
      </c>
      <c r="H2927" s="148">
        <f>IFERROR(__xludf.DUMMYFUNCTION("""COMPUTED_VALUE"""),1.5112564E7)</f>
        <v>15112564</v>
      </c>
      <c r="I2927" s="148" t="str">
        <f>IFERROR(__xludf.DUMMYFUNCTION("""COMPUTED_VALUE"""),"{""typ"":""lc"",""txt"":""LC_ITEM_time_day_upper_show"",""args"":[{""typ"":""int"",""val"":14}]}")</f>
        <v>{"typ":"lc","txt":"LC_ITEM_time_day_upper_show","args":[{"typ":"int","val":14}]}</v>
      </c>
      <c r="J2927" s="148" t="str">
        <f>IFERROR(__xludf.DUMMYFUNCTION("""COMPUTED_VALUE"""),"{""typ"":""lc"",""txt"":""LC_ITEM_2025xmas_lowcity_skin_title_14day""}")</f>
        <v>{"typ":"lc","txt":"LC_ITEM_2025xmas_lowcity_skin_title_14day"}</v>
      </c>
      <c r="K2927" s="148" t="str">
        <f>IFERROR(__xludf.DUMMYFUNCTION("""COMPUTED_VALUE"""),"{""typ"":""lc"",""txt"":""LC_ITEM_2025xmas_lowcity_skin_desc_14day""}")</f>
        <v>{"typ":"lc","txt":"LC_ITEM_2025xmas_lowcity_skin_desc_14day"}</v>
      </c>
      <c r="L2927" s="148" t="str">
        <f>IFERROR(__xludf.DUMMYFUNCTION("""COMPUTED_VALUE"""),"{""typ"":""lc"",""txt"":""LC_ITEM_city_skin_rocket_use_tips""}")</f>
        <v>{"typ":"lc","txt":"LC_ITEM_city_skin_rocket_use_tips"}</v>
      </c>
      <c r="M2927" s="148">
        <f>IFERROR(__xludf.DUMMYFUNCTION("""COMPUTED_VALUE"""),10000.0)</f>
        <v>10000</v>
      </c>
      <c r="N2927" s="148">
        <f>IFERROR(__xludf.DUMMYFUNCTION("""COMPUTED_VALUE"""),999.0)</f>
        <v>999</v>
      </c>
      <c r="O2927" s="148">
        <f>IFERROR(__xludf.DUMMYFUNCTION("""COMPUTED_VALUE"""),1.0)</f>
        <v>1</v>
      </c>
      <c r="P2927" s="148">
        <f>IFERROR(__xludf.DUMMYFUNCTION("""COMPUTED_VALUE"""),1.0)</f>
        <v>1</v>
      </c>
      <c r="Q2927" s="148" t="str">
        <f>IFERROR(__xludf.DUMMYFUNCTION("""COMPUTED_VALUE"""),"[""bag_other""]")</f>
        <v>["bag_other"]</v>
      </c>
      <c r="R2927" s="148" t="str">
        <f>IFERROR(__xludf.DUMMYFUNCTION("""COMPUTED_VALUE"""),"[""bag"",""13121093""]")</f>
        <v>["bag","13121093"]</v>
      </c>
      <c r="S2927" s="148" t="str">
        <f>IFERROR(__xludf.DUMMYFUNCTION("""COMPUTED_VALUE"""),"{""effect"":[{""typ"":""city_skin"",""id"":13121093,""val"":1209600000},{""typ"":""item"",""id"":11111021,""val"":7}]}")</f>
        <v>{"effect":[{"typ":"city_skin","id":13121093,"val":1209600000},{"typ":"item","id":11111021,"val":7}]}</v>
      </c>
      <c r="T2927" s="148">
        <f>IFERROR(__xludf.DUMMYFUNCTION("""COMPUTED_VALUE"""),-1.0)</f>
        <v>-1</v>
      </c>
      <c r="U2927" s="148">
        <f>IFERROR(__xludf.DUMMYFUNCTION("""COMPUTED_VALUE"""),0.0)</f>
        <v>0</v>
      </c>
      <c r="V2927" s="148" t="str">
        <f>IFERROR(__xludf.DUMMYFUNCTION("""COMPUTED_VALUE"""),"[]")</f>
        <v>[]</v>
      </c>
      <c r="W2927" s="148">
        <f>IFERROR(__xludf.DUMMYFUNCTION("""COMPUTED_VALUE"""),1.174E7)</f>
        <v>11740000</v>
      </c>
      <c r="X2927" s="148">
        <f>IFERROR(__xludf.DUMMYFUNCTION("""COMPUTED_VALUE"""),0.0)</f>
        <v>0</v>
      </c>
      <c r="Y2927" s="148">
        <f>IFERROR(__xludf.DUMMYFUNCTION("""COMPUTED_VALUE"""),0.0)</f>
        <v>0</v>
      </c>
      <c r="Z2927" s="148"/>
    </row>
    <row r="2928">
      <c r="A2928" s="148">
        <f>IFERROR(__xludf.DUMMYFUNCTION("""COMPUTED_VALUE"""),1.1119893E7)</f>
        <v>11119893</v>
      </c>
      <c r="B2928" s="148" t="str">
        <f>IFERROR(__xludf.DUMMYFUNCTION("""COMPUTED_VALUE"""),"主城皮肤-圣诞节初级皮肤2025-染色1")</f>
        <v>主城皮肤-圣诞节初级皮肤2025-染色1</v>
      </c>
      <c r="C2928" s="148"/>
      <c r="D2928" s="148" t="str">
        <f>IFERROR(__xludf.DUMMYFUNCTION("""COMPUTED_VALUE"""),"city_skin")</f>
        <v>city_skin</v>
      </c>
      <c r="E2928" s="148">
        <f>IFERROR(__xludf.DUMMYFUNCTION("""COMPUTED_VALUE"""),21.0)</f>
        <v>21</v>
      </c>
      <c r="F2928" s="148">
        <f>IFERROR(__xludf.DUMMYFUNCTION("""COMPUTED_VALUE"""),404201.0)</f>
        <v>404201</v>
      </c>
      <c r="G2928" s="148">
        <f>IFERROR(__xludf.DUMMYFUNCTION("""COMPUTED_VALUE"""),1.51103614E8)</f>
        <v>151103614</v>
      </c>
      <c r="H2928" s="148">
        <f>IFERROR(__xludf.DUMMYFUNCTION("""COMPUTED_VALUE"""),1.5112564E7)</f>
        <v>15112564</v>
      </c>
      <c r="I2928" s="148" t="str">
        <f>IFERROR(__xludf.DUMMYFUNCTION("""COMPUTED_VALUE"""),"{}")</f>
        <v>{}</v>
      </c>
      <c r="J2928" s="148" t="str">
        <f>IFERROR(__xludf.DUMMYFUNCTION("""COMPUTED_VALUE"""),"{""typ"":""lc"",""txt"":""LC_ITEM_2025xmas_lowcity_skin_title_color""}")</f>
        <v>{"typ":"lc","txt":"LC_ITEM_2025xmas_lowcity_skin_title_color"}</v>
      </c>
      <c r="K2928" s="148" t="str">
        <f>IFERROR(__xludf.DUMMYFUNCTION("""COMPUTED_VALUE"""),"{""typ"":""lc"",""txt"":""LC_ITEM_2025xmas_lowcity_skin_desc_forever_color""}")</f>
        <v>{"typ":"lc","txt":"LC_ITEM_2025xmas_lowcity_skin_desc_forever_color"}</v>
      </c>
      <c r="L2928" s="148" t="str">
        <f>IFERROR(__xludf.DUMMYFUNCTION("""COMPUTED_VALUE"""),"{""typ"":""lc"",""txt"":""LC_ITEM_city_skin_rocket_use_tips""}")</f>
        <v>{"typ":"lc","txt":"LC_ITEM_city_skin_rocket_use_tips"}</v>
      </c>
      <c r="M2928" s="148">
        <f>IFERROR(__xludf.DUMMYFUNCTION("""COMPUTED_VALUE"""),10000.0)</f>
        <v>10000</v>
      </c>
      <c r="N2928" s="148">
        <f>IFERROR(__xludf.DUMMYFUNCTION("""COMPUTED_VALUE"""),999.0)</f>
        <v>999</v>
      </c>
      <c r="O2928" s="148">
        <f>IFERROR(__xludf.DUMMYFUNCTION("""COMPUTED_VALUE"""),1.0)</f>
        <v>1</v>
      </c>
      <c r="P2928" s="148">
        <f>IFERROR(__xludf.DUMMYFUNCTION("""COMPUTED_VALUE"""),1.0)</f>
        <v>1</v>
      </c>
      <c r="Q2928" s="148" t="str">
        <f>IFERROR(__xludf.DUMMYFUNCTION("""COMPUTED_VALUE"""),"[""bag_other""]")</f>
        <v>["bag_other"]</v>
      </c>
      <c r="R2928" s="148" t="str">
        <f>IFERROR(__xludf.DUMMYFUNCTION("""COMPUTED_VALUE"""),"[""bag"",""13121094""]")</f>
        <v>["bag","13121094"]</v>
      </c>
      <c r="S2928" s="148" t="str">
        <f>IFERROR(__xludf.DUMMYFUNCTION("""COMPUTED_VALUE"""),"{""effect"":[{""typ"":""city_skin"",""id"":13121094,""val"":-1},{""typ"":""item"",""id"":11112030,""val"":4000}]}")</f>
        <v>{"effect":[{"typ":"city_skin","id":13121094,"val":-1},{"typ":"item","id":11112030,"val":4000}]}</v>
      </c>
      <c r="T2928" s="148">
        <f>IFERROR(__xludf.DUMMYFUNCTION("""COMPUTED_VALUE"""),-1.0)</f>
        <v>-1</v>
      </c>
      <c r="U2928" s="148">
        <f>IFERROR(__xludf.DUMMYFUNCTION("""COMPUTED_VALUE"""),0.0)</f>
        <v>0</v>
      </c>
      <c r="V2928" s="148" t="str">
        <f>IFERROR(__xludf.DUMMYFUNCTION("""COMPUTED_VALUE"""),"[]")</f>
        <v>[]</v>
      </c>
      <c r="W2928" s="148">
        <f>IFERROR(__xludf.DUMMYFUNCTION("""COMPUTED_VALUE"""),1.174E7)</f>
        <v>11740000</v>
      </c>
      <c r="X2928" s="148">
        <f>IFERROR(__xludf.DUMMYFUNCTION("""COMPUTED_VALUE"""),0.0)</f>
        <v>0</v>
      </c>
      <c r="Y2928" s="148">
        <f>IFERROR(__xludf.DUMMYFUNCTION("""COMPUTED_VALUE"""),0.0)</f>
        <v>0</v>
      </c>
      <c r="Z2928" s="148"/>
    </row>
    <row r="2929">
      <c r="A2929" s="148">
        <f>IFERROR(__xludf.DUMMYFUNCTION("""COMPUTED_VALUE"""),1.1119894E7)</f>
        <v>11119894</v>
      </c>
      <c r="B2929" s="148" t="str">
        <f>IFERROR(__xludf.DUMMYFUNCTION("""COMPUTED_VALUE"""),"主城皮肤-圣诞节高级皮肤2025-染色2")</f>
        <v>主城皮肤-圣诞节高级皮肤2025-染色2</v>
      </c>
      <c r="C2929" s="148"/>
      <c r="D2929" s="148" t="str">
        <f>IFERROR(__xludf.DUMMYFUNCTION("""COMPUTED_VALUE"""),"city_skin")</f>
        <v>city_skin</v>
      </c>
      <c r="E2929" s="148">
        <f>IFERROR(__xludf.DUMMYFUNCTION("""COMPUTED_VALUE"""),21.0)</f>
        <v>21</v>
      </c>
      <c r="F2929" s="148">
        <f>IFERROR(__xludf.DUMMYFUNCTION("""COMPUTED_VALUE"""),404201.0)</f>
        <v>404201</v>
      </c>
      <c r="G2929" s="148">
        <f>IFERROR(__xludf.DUMMYFUNCTION("""COMPUTED_VALUE"""),1.51103618E8)</f>
        <v>151103618</v>
      </c>
      <c r="H2929" s="148">
        <f>IFERROR(__xludf.DUMMYFUNCTION("""COMPUTED_VALUE"""),1.5115983E7)</f>
        <v>15115983</v>
      </c>
      <c r="I2929" s="148" t="str">
        <f>IFERROR(__xludf.DUMMYFUNCTION("""COMPUTED_VALUE"""),"{}")</f>
        <v>{}</v>
      </c>
      <c r="J2929" s="148" t="str">
        <f>IFERROR(__xludf.DUMMYFUNCTION("""COMPUTED_VALUE"""),"{""typ"":""lc"",""txt"":""LC_ITEM_2025xmas_highcity_skin_title_color""}")</f>
        <v>{"typ":"lc","txt":"LC_ITEM_2025xmas_highcity_skin_title_color"}</v>
      </c>
      <c r="K2929" s="148" t="str">
        <f>IFERROR(__xludf.DUMMYFUNCTION("""COMPUTED_VALUE"""),"{""typ"":""lc"",""txt"":""LC_ITEM_2025xmas_highcity_skin_desc_forever_color""}")</f>
        <v>{"typ":"lc","txt":"LC_ITEM_2025xmas_highcity_skin_desc_forever_color"}</v>
      </c>
      <c r="L2929" s="148" t="str">
        <f>IFERROR(__xludf.DUMMYFUNCTION("""COMPUTED_VALUE"""),"{""typ"":""lc"",""txt"":""LC_ITEM_city_skin_rocket_use_tips""}")</f>
        <v>{"typ":"lc","txt":"LC_ITEM_city_skin_rocket_use_tips"}</v>
      </c>
      <c r="M2929" s="148">
        <f>IFERROR(__xludf.DUMMYFUNCTION("""COMPUTED_VALUE"""),10000.0)</f>
        <v>10000</v>
      </c>
      <c r="N2929" s="148">
        <f>IFERROR(__xludf.DUMMYFUNCTION("""COMPUTED_VALUE"""),999.0)</f>
        <v>999</v>
      </c>
      <c r="O2929" s="148">
        <f>IFERROR(__xludf.DUMMYFUNCTION("""COMPUTED_VALUE"""),1.0)</f>
        <v>1</v>
      </c>
      <c r="P2929" s="148">
        <f>IFERROR(__xludf.DUMMYFUNCTION("""COMPUTED_VALUE"""),1.0)</f>
        <v>1</v>
      </c>
      <c r="Q2929" s="148" t="str">
        <f>IFERROR(__xludf.DUMMYFUNCTION("""COMPUTED_VALUE"""),"[""bag_other""]")</f>
        <v>["bag_other"]</v>
      </c>
      <c r="R2929" s="148" t="str">
        <f>IFERROR(__xludf.DUMMYFUNCTION("""COMPUTED_VALUE"""),"[""bag"",""13121096""]")</f>
        <v>["bag","13121096"]</v>
      </c>
      <c r="S2929" s="148" t="str">
        <f>IFERROR(__xludf.DUMMYFUNCTION("""COMPUTED_VALUE"""),"{""effect"":[{""typ"":""city_skin"",""id"":13121096,""val"":-1},{""typ"":""item"",""id"":11112030,""val"":10000},{""typ"":""use_origin"",""id"":11119885,""val"":-1}]}")</f>
        <v>{"effect":[{"typ":"city_skin","id":13121096,"val":-1},{"typ":"item","id":11112030,"val":10000},{"typ":"use_origin","id":11119885,"val":-1}]}</v>
      </c>
      <c r="T2929" s="148">
        <f>IFERROR(__xludf.DUMMYFUNCTION("""COMPUTED_VALUE"""),-1.0)</f>
        <v>-1</v>
      </c>
      <c r="U2929" s="148">
        <f>IFERROR(__xludf.DUMMYFUNCTION("""COMPUTED_VALUE"""),0.0)</f>
        <v>0</v>
      </c>
      <c r="V2929" s="148" t="str">
        <f>IFERROR(__xludf.DUMMYFUNCTION("""COMPUTED_VALUE"""),"[]")</f>
        <v>[]</v>
      </c>
      <c r="W2929" s="148">
        <f>IFERROR(__xludf.DUMMYFUNCTION("""COMPUTED_VALUE"""),1.174E7)</f>
        <v>11740000</v>
      </c>
      <c r="X2929" s="148">
        <f>IFERROR(__xludf.DUMMYFUNCTION("""COMPUTED_VALUE"""),0.0)</f>
        <v>0</v>
      </c>
      <c r="Y2929" s="148">
        <f>IFERROR(__xludf.DUMMYFUNCTION("""COMPUTED_VALUE"""),0.0)</f>
        <v>0</v>
      </c>
      <c r="Z2929" s="148"/>
    </row>
    <row r="2930">
      <c r="A2930" s="148">
        <f>IFERROR(__xludf.DUMMYFUNCTION("""COMPUTED_VALUE"""),1.1119895E7)</f>
        <v>11119895</v>
      </c>
      <c r="B2930" s="148" t="str">
        <f>IFERROR(__xludf.DUMMYFUNCTION("""COMPUTED_VALUE"""),"主城皮肤-圣诞节高级皮肤2025-染色3-限定染色")</f>
        <v>主城皮肤-圣诞节高级皮肤2025-染色3-限定染色</v>
      </c>
      <c r="C2930" s="148"/>
      <c r="D2930" s="148" t="str">
        <f>IFERROR(__xludf.DUMMYFUNCTION("""COMPUTED_VALUE"""),"city_skin")</f>
        <v>city_skin</v>
      </c>
      <c r="E2930" s="148">
        <f>IFERROR(__xludf.DUMMYFUNCTION("""COMPUTED_VALUE"""),21.0)</f>
        <v>21</v>
      </c>
      <c r="F2930" s="148">
        <f>IFERROR(__xludf.DUMMYFUNCTION("""COMPUTED_VALUE"""),404201.0)</f>
        <v>404201</v>
      </c>
      <c r="G2930" s="148">
        <f>IFERROR(__xludf.DUMMYFUNCTION("""COMPUTED_VALUE"""),1.5110362E8)</f>
        <v>151103620</v>
      </c>
      <c r="H2930" s="148">
        <f>IFERROR(__xludf.DUMMYFUNCTION("""COMPUTED_VALUE"""),1.51101093E8)</f>
        <v>151101093</v>
      </c>
      <c r="I2930" s="148" t="str">
        <f>IFERROR(__xludf.DUMMYFUNCTION("""COMPUTED_VALUE"""),"{}")</f>
        <v>{}</v>
      </c>
      <c r="J2930" s="148" t="str">
        <f>IFERROR(__xludf.DUMMYFUNCTION("""COMPUTED_VALUE"""),"{""typ"":""lc"",""txt"":""LC_ITEM_2025xmas_maxcity_skin_title_color""}")</f>
        <v>{"typ":"lc","txt":"LC_ITEM_2025xmas_maxcity_skin_title_color"}</v>
      </c>
      <c r="K2930" s="148" t="str">
        <f>IFERROR(__xludf.DUMMYFUNCTION("""COMPUTED_VALUE"""),"{""typ"":""lc"",""txt"":""LC_ITEM_2025xmas_maxcity_skin_desc_forever_color""}")</f>
        <v>{"typ":"lc","txt":"LC_ITEM_2025xmas_maxcity_skin_desc_forever_color"}</v>
      </c>
      <c r="L2930" s="148" t="str">
        <f>IFERROR(__xludf.DUMMYFUNCTION("""COMPUTED_VALUE"""),"{""typ"":""lc"",""txt"":""LC_ITEM_city_skin_rocket_use_tips""}")</f>
        <v>{"typ":"lc","txt":"LC_ITEM_city_skin_rocket_use_tips"}</v>
      </c>
      <c r="M2930" s="148">
        <f>IFERROR(__xludf.DUMMYFUNCTION("""COMPUTED_VALUE"""),10000.0)</f>
        <v>10000</v>
      </c>
      <c r="N2930" s="148">
        <f>IFERROR(__xludf.DUMMYFUNCTION("""COMPUTED_VALUE"""),999.0)</f>
        <v>999</v>
      </c>
      <c r="O2930" s="148">
        <f>IFERROR(__xludf.DUMMYFUNCTION("""COMPUTED_VALUE"""),1.0)</f>
        <v>1</v>
      </c>
      <c r="P2930" s="148">
        <f>IFERROR(__xludf.DUMMYFUNCTION("""COMPUTED_VALUE"""),1.0)</f>
        <v>1</v>
      </c>
      <c r="Q2930" s="148" t="str">
        <f>IFERROR(__xludf.DUMMYFUNCTION("""COMPUTED_VALUE"""),"[""bag_other""]")</f>
        <v>["bag_other"]</v>
      </c>
      <c r="R2930" s="148" t="str">
        <f>IFERROR(__xludf.DUMMYFUNCTION("""COMPUTED_VALUE"""),"[""bag"",""13121097""]")</f>
        <v>["bag","13121097"]</v>
      </c>
      <c r="S2930" s="148" t="str">
        <f>IFERROR(__xludf.DUMMYFUNCTION("""COMPUTED_VALUE"""),"{""effect"":[{""typ"":""city_skin"",""id"":13121097,""val"":-1},{""typ"":""item"",""id"":11111034,""val"":10},{""typ"":""use_origin"",""id"":11119885,""val"":-1}]}")</f>
        <v>{"effect":[{"typ":"city_skin","id":13121097,"val":-1},{"typ":"item","id":11111034,"val":10},{"typ":"use_origin","id":11119885,"val":-1}]}</v>
      </c>
      <c r="T2930" s="148">
        <f>IFERROR(__xludf.DUMMYFUNCTION("""COMPUTED_VALUE"""),-1.0)</f>
        <v>-1</v>
      </c>
      <c r="U2930" s="148">
        <f>IFERROR(__xludf.DUMMYFUNCTION("""COMPUTED_VALUE"""),0.0)</f>
        <v>0</v>
      </c>
      <c r="V2930" s="148" t="str">
        <f>IFERROR(__xludf.DUMMYFUNCTION("""COMPUTED_VALUE"""),"[]")</f>
        <v>[]</v>
      </c>
      <c r="W2930" s="148">
        <f>IFERROR(__xludf.DUMMYFUNCTION("""COMPUTED_VALUE"""),1.174E7)</f>
        <v>11740000</v>
      </c>
      <c r="X2930" s="148">
        <f>IFERROR(__xludf.DUMMYFUNCTION("""COMPUTED_VALUE"""),0.0)</f>
        <v>0</v>
      </c>
      <c r="Y2930" s="148">
        <f>IFERROR(__xludf.DUMMYFUNCTION("""COMPUTED_VALUE"""),0.0)</f>
        <v>0</v>
      </c>
      <c r="Z2930" s="148"/>
    </row>
    <row r="2931">
      <c r="A2931" s="148">
        <f>IFERROR(__xludf.DUMMYFUNCTION("""COMPUTED_VALUE"""),1.1119896E7)</f>
        <v>11119896</v>
      </c>
      <c r="B2931" s="148" t="str">
        <f>IFERROR(__xludf.DUMMYFUNCTION("""COMPUTED_VALUE"""),"圣诞节2025-主城特效")</f>
        <v>圣诞节2025-主城特效</v>
      </c>
      <c r="C2931" s="148"/>
      <c r="D2931" s="148" t="str">
        <f>IFERROR(__xludf.DUMMYFUNCTION("""COMPUTED_VALUE"""),"city_effect")</f>
        <v>city_effect</v>
      </c>
      <c r="E2931" s="148">
        <f>IFERROR(__xludf.DUMMYFUNCTION("""COMPUTED_VALUE"""),0.0)</f>
        <v>0</v>
      </c>
      <c r="F2931" s="148">
        <f>IFERROR(__xludf.DUMMYFUNCTION("""COMPUTED_VALUE"""),405217.0)</f>
        <v>405217</v>
      </c>
      <c r="G2931" s="148">
        <f>IFERROR(__xludf.DUMMYFUNCTION("""COMPUTED_VALUE"""),1.51103975E8)</f>
        <v>151103975</v>
      </c>
      <c r="H2931" s="148">
        <f>IFERROR(__xludf.DUMMYFUNCTION("""COMPUTED_VALUE"""),1.5112564E7)</f>
        <v>15112564</v>
      </c>
      <c r="I2931" s="148" t="str">
        <f>IFERROR(__xludf.DUMMYFUNCTION("""COMPUTED_VALUE"""),"{}")</f>
        <v>{}</v>
      </c>
      <c r="J2931" s="148" t="str">
        <f>IFERROR(__xludf.DUMMYFUNCTION("""COMPUTED_VALUE"""),"{""typ"":""lc"",""txt"":""LC_ITEM_2025xmas_city_effect_name""}")</f>
        <v>{"typ":"lc","txt":"LC_ITEM_2025xmas_city_effect_name"}</v>
      </c>
      <c r="K2931" s="148" t="str">
        <f>IFERROR(__xludf.DUMMYFUNCTION("""COMPUTED_VALUE"""),"{""typ"":""lc"",""txt"":""LC_ITEM_2025xmas_city_effect_name_desc""}")</f>
        <v>{"typ":"lc","txt":"LC_ITEM_2025xmas_city_effect_name_desc"}</v>
      </c>
      <c r="L2931" s="148" t="str">
        <f>IFERROR(__xludf.DUMMYFUNCTION("""COMPUTED_VALUE"""),"{}")</f>
        <v>{}</v>
      </c>
      <c r="M2931" s="148">
        <f>IFERROR(__xludf.DUMMYFUNCTION("""COMPUTED_VALUE"""),10000.0)</f>
        <v>10000</v>
      </c>
      <c r="N2931" s="148">
        <f>IFERROR(__xludf.DUMMYFUNCTION("""COMPUTED_VALUE"""),999999.0)</f>
        <v>999999</v>
      </c>
      <c r="O2931" s="148">
        <f>IFERROR(__xludf.DUMMYFUNCTION("""COMPUTED_VALUE"""),99999.0)</f>
        <v>99999</v>
      </c>
      <c r="P2931" s="148">
        <f>IFERROR(__xludf.DUMMYFUNCTION("""COMPUTED_VALUE"""),1.0)</f>
        <v>1</v>
      </c>
      <c r="Q2931" s="148" t="str">
        <f>IFERROR(__xludf.DUMMYFUNCTION("""COMPUTED_VALUE"""),"[""bag_other""]")</f>
        <v>["bag_other"]</v>
      </c>
      <c r="R2931" s="148" t="str">
        <f>IFERROR(__xludf.DUMMYFUNCTION("""COMPUTED_VALUE"""),"[""bag"",""13871014""]")</f>
        <v>["bag","13871014"]</v>
      </c>
      <c r="S2931" s="148" t="str">
        <f>IFERROR(__xludf.DUMMYFUNCTION("""COMPUTED_VALUE"""),"{""effect"":[{""typ"":""city_effect"",""id"":13871014,""val"":-1},{""typ"":""item"",""id"":11111034,""val"":10}]}")</f>
        <v>{"effect":[{"typ":"city_effect","id":13871014,"val":-1},{"typ":"item","id":11111034,"val":10}]}</v>
      </c>
      <c r="T2931" s="148">
        <f>IFERROR(__xludf.DUMMYFUNCTION("""COMPUTED_VALUE"""),-1.0)</f>
        <v>-1</v>
      </c>
      <c r="U2931" s="148">
        <f>IFERROR(__xludf.DUMMYFUNCTION("""COMPUTED_VALUE"""),0.0)</f>
        <v>0</v>
      </c>
      <c r="V2931" s="148" t="str">
        <f>IFERROR(__xludf.DUMMYFUNCTION("""COMPUTED_VALUE"""),"[]")</f>
        <v>[]</v>
      </c>
      <c r="W2931" s="148">
        <f>IFERROR(__xludf.DUMMYFUNCTION("""COMPUTED_VALUE"""),1.174E7)</f>
        <v>11740000</v>
      </c>
      <c r="X2931" s="148">
        <f>IFERROR(__xludf.DUMMYFUNCTION("""COMPUTED_VALUE"""),0.0)</f>
        <v>0</v>
      </c>
      <c r="Y2931" s="148">
        <f>IFERROR(__xludf.DUMMYFUNCTION("""COMPUTED_VALUE"""),0.0)</f>
        <v>0</v>
      </c>
      <c r="Z2931" s="148"/>
    </row>
    <row r="2932">
      <c r="A2932" s="148">
        <f>IFERROR(__xludf.DUMMYFUNCTION("""COMPUTED_VALUE"""),1.1119897E7)</f>
        <v>11119897</v>
      </c>
      <c r="B2932" s="148" t="str">
        <f>IFERROR(__xludf.DUMMYFUNCTION("""COMPUTED_VALUE"""),"2025挖孔小游戏-高级主城皮肤自选宝箱")</f>
        <v>2025挖孔小游戏-高级主城皮肤自选宝箱</v>
      </c>
      <c r="C2932" s="148"/>
      <c r="D2932" s="148" t="str">
        <f>IFERROR(__xludf.DUMMYFUNCTION("""COMPUTED_VALUE"""),"item_select_box")</f>
        <v>item_select_box</v>
      </c>
      <c r="E2932" s="148">
        <f>IFERROR(__xludf.DUMMYFUNCTION("""COMPUTED_VALUE"""),19.0)</f>
        <v>19</v>
      </c>
      <c r="F2932" s="148">
        <f>IFERROR(__xludf.DUMMYFUNCTION("""COMPUTED_VALUE"""),408195.0)</f>
        <v>408195</v>
      </c>
      <c r="G2932" s="148">
        <f>IFERROR(__xludf.DUMMYFUNCTION("""COMPUTED_VALUE"""),1.51104315E8)</f>
        <v>151104315</v>
      </c>
      <c r="H2932" s="148">
        <f>IFERROR(__xludf.DUMMYFUNCTION("""COMPUTED_VALUE"""),1.5115983E7)</f>
        <v>15115983</v>
      </c>
      <c r="I2932" s="148" t="str">
        <f>IFERROR(__xludf.DUMMYFUNCTION("""COMPUTED_VALUE"""),"{}")</f>
        <v>{}</v>
      </c>
      <c r="J2932" s="148" t="str">
        <f>IFERROR(__xludf.DUMMYFUNCTION("""COMPUTED_VALUE"""),"{""typ"":""lc"",""txt"":""LC_ITEM_digkeys_2025_skin_select""}")</f>
        <v>{"typ":"lc","txt":"LC_ITEM_digkeys_2025_skin_select"}</v>
      </c>
      <c r="K2932" s="148" t="str">
        <f>IFERROR(__xludf.DUMMYFUNCTION("""COMPUTED_VALUE"""),"{""typ"":""lc"",""txt"":""LC_ITEM_digkeys2025_skin_select_desc""}")</f>
        <v>{"typ":"lc","txt":"LC_ITEM_digkeys2025_skin_select_desc"}</v>
      </c>
      <c r="L2932" s="148" t="str">
        <f>IFERROR(__xludf.DUMMYFUNCTION("""COMPUTED_VALUE"""),"{}")</f>
        <v>{}</v>
      </c>
      <c r="M2932" s="148">
        <f>IFERROR(__xludf.DUMMYFUNCTION("""COMPUTED_VALUE"""),1000.0)</f>
        <v>1000</v>
      </c>
      <c r="N2932" s="148">
        <f>IFERROR(__xludf.DUMMYFUNCTION("""COMPUTED_VALUE"""),9999999.0)</f>
        <v>9999999</v>
      </c>
      <c r="O2932" s="148">
        <f>IFERROR(__xludf.DUMMYFUNCTION("""COMPUTED_VALUE"""),99999.0)</f>
        <v>99999</v>
      </c>
      <c r="P2932" s="148">
        <f>IFERROR(__xludf.DUMMYFUNCTION("""COMPUTED_VALUE"""),99999.0)</f>
        <v>99999</v>
      </c>
      <c r="Q2932" s="148" t="str">
        <f>IFERROR(__xludf.DUMMYFUNCTION("""COMPUTED_VALUE"""),"[""bag_other""]")</f>
        <v>["bag_other"]</v>
      </c>
      <c r="R2932" s="148" t="str">
        <f>IFERROR(__xludf.DUMMYFUNCTION("""COMPUTED_VALUE"""),"[""bag""]")</f>
        <v>["bag"]</v>
      </c>
      <c r="S2932" s="148" t="str">
        <f>IFERROR(__xludf.DUMMYFUNCTION("""COMPUTED_VALUE"""),"{""select_box"":[{""typ"":""item"",""id"":11112446,""val"":1},{""typ"":""item"",""id"":11112449,""val"":1},{""typ"":""item"",""id"":11112285,""val"":1},{""typ"":""item"",""id"":11112130,""val"":1},{""typ"":""item"",""id"":11112017,""val"":1},{""typ"":""it"&amp;"em"",""id"":11112080,""val"":1},{""typ"":""item"",""id"":11112508,""val"":1},{""typ"":""item"",""id"":11112030,""val"":10000}]}")</f>
        <v>{"select_box":[{"typ":"item","id":11112446,"val":1},{"typ":"item","id":11112449,"val":1},{"typ":"item","id":11112285,"val":1},{"typ":"item","id":11112130,"val":1},{"typ":"item","id":11112017,"val":1},{"typ":"item","id":11112080,"val":1},{"typ":"item","id":11112508,"val":1},{"typ":"item","id":11112030,"val":10000}]}</v>
      </c>
      <c r="T2932" s="148">
        <f>IFERROR(__xludf.DUMMYFUNCTION("""COMPUTED_VALUE"""),-1.0)</f>
        <v>-1</v>
      </c>
      <c r="U2932" s="148">
        <f>IFERROR(__xludf.DUMMYFUNCTION("""COMPUTED_VALUE"""),0.0)</f>
        <v>0</v>
      </c>
      <c r="V2932" s="148" t="str">
        <f>IFERROR(__xludf.DUMMYFUNCTION("""COMPUTED_VALUE"""),"[]")</f>
        <v>[]</v>
      </c>
      <c r="W2932" s="148">
        <f>IFERROR(__xludf.DUMMYFUNCTION("""COMPUTED_VALUE"""),1.1741002E7)</f>
        <v>11741002</v>
      </c>
      <c r="X2932" s="148">
        <f>IFERROR(__xludf.DUMMYFUNCTION("""COMPUTED_VALUE"""),0.0)</f>
        <v>0</v>
      </c>
      <c r="Y2932" s="148">
        <f>IFERROR(__xludf.DUMMYFUNCTION("""COMPUTED_VALUE"""),0.0)</f>
        <v>0</v>
      </c>
      <c r="Z2932" s="148"/>
    </row>
    <row r="2933">
      <c r="A2933" s="148">
        <f>IFERROR(__xludf.DUMMYFUNCTION("""COMPUTED_VALUE"""),1.1119898E7)</f>
        <v>11119898</v>
      </c>
      <c r="B2933" s="148" t="str">
        <f>IFERROR(__xludf.DUMMYFUNCTION("""COMPUTED_VALUE"""),"2025挖孔小游戏-高级主城特效自选宝箱")</f>
        <v>2025挖孔小游戏-高级主城特效自选宝箱</v>
      </c>
      <c r="C2933" s="148"/>
      <c r="D2933" s="148" t="str">
        <f>IFERROR(__xludf.DUMMYFUNCTION("""COMPUTED_VALUE"""),"item_select_box")</f>
        <v>item_select_box</v>
      </c>
      <c r="E2933" s="148">
        <f>IFERROR(__xludf.DUMMYFUNCTION("""COMPUTED_VALUE"""),19.0)</f>
        <v>19</v>
      </c>
      <c r="F2933" s="148">
        <f>IFERROR(__xludf.DUMMYFUNCTION("""COMPUTED_VALUE"""),408194.0)</f>
        <v>408194</v>
      </c>
      <c r="G2933" s="148">
        <f>IFERROR(__xludf.DUMMYFUNCTION("""COMPUTED_VALUE"""),1.51104316E8)</f>
        <v>151104316</v>
      </c>
      <c r="H2933" s="148">
        <f>IFERROR(__xludf.DUMMYFUNCTION("""COMPUTED_VALUE"""),1.5115983E7)</f>
        <v>15115983</v>
      </c>
      <c r="I2933" s="148" t="str">
        <f>IFERROR(__xludf.DUMMYFUNCTION("""COMPUTED_VALUE"""),"{}")</f>
        <v>{}</v>
      </c>
      <c r="J2933" s="148" t="str">
        <f>IFERROR(__xludf.DUMMYFUNCTION("""COMPUTED_VALUE"""),"{""typ"":""lc"",""txt"":""LC_ITEM_digkeys_2025_skin_effect_select""}")</f>
        <v>{"typ":"lc","txt":"LC_ITEM_digkeys_2025_skin_effect_select"}</v>
      </c>
      <c r="K2933" s="148" t="str">
        <f>IFERROR(__xludf.DUMMYFUNCTION("""COMPUTED_VALUE"""),"{""typ"":""lc"",""txt"":""LC_ITEM_digkeys2025_skin_effect_select_desc""}")</f>
        <v>{"typ":"lc","txt":"LC_ITEM_digkeys2025_skin_effect_select_desc"}</v>
      </c>
      <c r="L2933" s="148" t="str">
        <f>IFERROR(__xludf.DUMMYFUNCTION("""COMPUTED_VALUE"""),"{}")</f>
        <v>{}</v>
      </c>
      <c r="M2933" s="148">
        <f>IFERROR(__xludf.DUMMYFUNCTION("""COMPUTED_VALUE"""),1000.0)</f>
        <v>1000</v>
      </c>
      <c r="N2933" s="148">
        <f>IFERROR(__xludf.DUMMYFUNCTION("""COMPUTED_VALUE"""),9999999.0)</f>
        <v>9999999</v>
      </c>
      <c r="O2933" s="148">
        <f>IFERROR(__xludf.DUMMYFUNCTION("""COMPUTED_VALUE"""),99999.0)</f>
        <v>99999</v>
      </c>
      <c r="P2933" s="148">
        <f>IFERROR(__xludf.DUMMYFUNCTION("""COMPUTED_VALUE"""),99999.0)</f>
        <v>99999</v>
      </c>
      <c r="Q2933" s="148" t="str">
        <f>IFERROR(__xludf.DUMMYFUNCTION("""COMPUTED_VALUE"""),"[""bag_other""]")</f>
        <v>["bag_other"]</v>
      </c>
      <c r="R2933" s="148" t="str">
        <f>IFERROR(__xludf.DUMMYFUNCTION("""COMPUTED_VALUE"""),"[""bag""]")</f>
        <v>["bag"]</v>
      </c>
      <c r="S2933" s="148" t="str">
        <f>IFERROR(__xludf.DUMMYFUNCTION("""COMPUTED_VALUE"""),"{""select_box"":[{""typ"":""item"",""id"":11112331,""val"":1},{""typ"":""item"",""id"":11112301,""val"":1},{""typ"":""item"",""id"":11112364,""val"":1},{""typ"":""item"",""id"":11112423,""val"":1},{""typ"":""item"",""id"":11112422,""val"":1},{""typ"":""it"&amp;"em"",""id"":11112030,""val"":5000}]}")</f>
        <v>{"select_box":[{"typ":"item","id":11112331,"val":1},{"typ":"item","id":11112301,"val":1},{"typ":"item","id":11112364,"val":1},{"typ":"item","id":11112423,"val":1},{"typ":"item","id":11112422,"val":1},{"typ":"item","id":11112030,"val":5000}]}</v>
      </c>
      <c r="T2933" s="148">
        <f>IFERROR(__xludf.DUMMYFUNCTION("""COMPUTED_VALUE"""),-1.0)</f>
        <v>-1</v>
      </c>
      <c r="U2933" s="148">
        <f>IFERROR(__xludf.DUMMYFUNCTION("""COMPUTED_VALUE"""),0.0)</f>
        <v>0</v>
      </c>
      <c r="V2933" s="148" t="str">
        <f>IFERROR(__xludf.DUMMYFUNCTION("""COMPUTED_VALUE"""),"[]")</f>
        <v>[]</v>
      </c>
      <c r="W2933" s="148">
        <f>IFERROR(__xludf.DUMMYFUNCTION("""COMPUTED_VALUE"""),1.1741002E7)</f>
        <v>11741002</v>
      </c>
      <c r="X2933" s="148">
        <f>IFERROR(__xludf.DUMMYFUNCTION("""COMPUTED_VALUE"""),0.0)</f>
        <v>0</v>
      </c>
      <c r="Y2933" s="148">
        <f>IFERROR(__xludf.DUMMYFUNCTION("""COMPUTED_VALUE"""),0.0)</f>
        <v>0</v>
      </c>
      <c r="Z2933" s="148"/>
    </row>
    <row r="2934">
      <c r="A2934" s="148">
        <f>IFERROR(__xludf.DUMMYFUNCTION("""COMPUTED_VALUE"""),1.1119899E7)</f>
        <v>11119899</v>
      </c>
      <c r="B2934" s="148" t="str">
        <f>IFERROR(__xludf.DUMMYFUNCTION("""COMPUTED_VALUE"""),"行军表情-动态-嘟嘴")</f>
        <v>行军表情-动态-嘟嘴</v>
      </c>
      <c r="C2934" s="148"/>
      <c r="D2934" s="148" t="str">
        <f>IFERROR(__xludf.DUMMYFUNCTION("""COMPUTED_VALUE"""),"map_emoji")</f>
        <v>map_emoji</v>
      </c>
      <c r="E2934" s="148">
        <f>IFERROR(__xludf.DUMMYFUNCTION("""COMPUTED_VALUE"""),20.0)</f>
        <v>20</v>
      </c>
      <c r="F2934" s="148">
        <f>IFERROR(__xludf.DUMMYFUNCTION("""COMPUTED_VALUE"""),0.0)</f>
        <v>0</v>
      </c>
      <c r="G2934" s="148">
        <f>IFERROR(__xludf.DUMMYFUNCTION("""COMPUTED_VALUE"""),1.51104161E8)</f>
        <v>151104161</v>
      </c>
      <c r="H2934" s="148">
        <f>IFERROR(__xludf.DUMMYFUNCTION("""COMPUTED_VALUE"""),1.5112564E7)</f>
        <v>15112564</v>
      </c>
      <c r="I2934" s="148" t="str">
        <f>IFERROR(__xludf.DUMMYFUNCTION("""COMPUTED_VALUE"""),"{}")</f>
        <v>{}</v>
      </c>
      <c r="J2934" s="148" t="str">
        <f>IFERROR(__xludf.DUMMYFUNCTION("""COMPUTED_VALUE"""),"{""typ"":""lc"",""txt"":""LC_ITEM_map_emoji_spring2025""}")</f>
        <v>{"typ":"lc","txt":"LC_ITEM_map_emoji_spring2025"}</v>
      </c>
      <c r="K2934" s="148" t="str">
        <f>IFERROR(__xludf.DUMMYFUNCTION("""COMPUTED_VALUE"""),"{""typ"":""lc"",""txt"":""LC_ITEM_map_emoji_spring2025_desc""}")</f>
        <v>{"typ":"lc","txt":"LC_ITEM_map_emoji_spring2025_desc"}</v>
      </c>
      <c r="L2934" s="148" t="str">
        <f>IFERROR(__xludf.DUMMYFUNCTION("""COMPUTED_VALUE"""),"{}")</f>
        <v>{}</v>
      </c>
      <c r="M2934" s="148">
        <f>IFERROR(__xludf.DUMMYFUNCTION("""COMPUTED_VALUE"""),1000.0)</f>
        <v>1000</v>
      </c>
      <c r="N2934" s="148">
        <f>IFERROR(__xludf.DUMMYFUNCTION("""COMPUTED_VALUE"""),99.0)</f>
        <v>99</v>
      </c>
      <c r="O2934" s="148">
        <f>IFERROR(__xludf.DUMMYFUNCTION("""COMPUTED_VALUE"""),1.0)</f>
        <v>1</v>
      </c>
      <c r="P2934" s="148">
        <f>IFERROR(__xludf.DUMMYFUNCTION("""COMPUTED_VALUE"""),1.0)</f>
        <v>1</v>
      </c>
      <c r="Q2934" s="148" t="str">
        <f>IFERROR(__xludf.DUMMYFUNCTION("""COMPUTED_VALUE"""),"[]")</f>
        <v>[]</v>
      </c>
      <c r="R2934" s="148" t="str">
        <f>IFERROR(__xludf.DUMMYFUNCTION("""COMPUTED_VALUE"""),"[]")</f>
        <v>[]</v>
      </c>
      <c r="S2934" s="148" t="str">
        <f>IFERROR(__xludf.DUMMYFUNCTION("""COMPUTED_VALUE"""),"{""effect"":[{""typ"":""map_emoji"",""id"":11800025,""val"":-1}]}")</f>
        <v>{"effect":[{"typ":"map_emoji","id":11800025,"val":-1}]}</v>
      </c>
      <c r="T2934" s="148">
        <f>IFERROR(__xludf.DUMMYFUNCTION("""COMPUTED_VALUE"""),-1.0)</f>
        <v>-1</v>
      </c>
      <c r="U2934" s="148">
        <f>IFERROR(__xludf.DUMMYFUNCTION("""COMPUTED_VALUE"""),1.0)</f>
        <v>1</v>
      </c>
      <c r="V2934" s="148" t="str">
        <f>IFERROR(__xludf.DUMMYFUNCTION("""COMPUTED_VALUE"""),"[]")</f>
        <v>[]</v>
      </c>
      <c r="W2934" s="148">
        <f>IFERROR(__xludf.DUMMYFUNCTION("""COMPUTED_VALUE"""),1.174E7)</f>
        <v>11740000</v>
      </c>
      <c r="X2934" s="148">
        <f>IFERROR(__xludf.DUMMYFUNCTION("""COMPUTED_VALUE"""),0.0)</f>
        <v>0</v>
      </c>
      <c r="Y2934" s="148">
        <f>IFERROR(__xludf.DUMMYFUNCTION("""COMPUTED_VALUE"""),0.0)</f>
        <v>0</v>
      </c>
      <c r="Z2934" s="148"/>
    </row>
    <row r="2935">
      <c r="A2935" s="148">
        <f>IFERROR(__xludf.DUMMYFUNCTION("""COMPUTED_VALUE"""),1.11199E7)</f>
        <v>11119900</v>
      </c>
      <c r="B2935" s="148" t="str">
        <f>IFERROR(__xludf.DUMMYFUNCTION("""COMPUTED_VALUE"""),"挖孔道具-脉冲爆破装置")</f>
        <v>挖孔道具-脉冲爆破装置</v>
      </c>
      <c r="C2935" s="148"/>
      <c r="D2935" s="148" t="str">
        <f>IFERROR(__xludf.DUMMYFUNCTION("""COMPUTED_VALUE"""),"event")</f>
        <v>event</v>
      </c>
      <c r="E2935" s="148">
        <f>IFERROR(__xludf.DUMMYFUNCTION("""COMPUTED_VALUE"""),0.0)</f>
        <v>0</v>
      </c>
      <c r="F2935" s="148">
        <f>IFERROR(__xludf.DUMMYFUNCTION("""COMPUTED_VALUE"""),0.0)</f>
        <v>0</v>
      </c>
      <c r="G2935" s="148">
        <f>IFERROR(__xludf.DUMMYFUNCTION("""COMPUTED_VALUE"""),1.51103125E8)</f>
        <v>151103125</v>
      </c>
      <c r="H2935" s="148">
        <f>IFERROR(__xludf.DUMMYFUNCTION("""COMPUTED_VALUE"""),1.5112564E7)</f>
        <v>15112564</v>
      </c>
      <c r="I2935" s="148" t="str">
        <f>IFERROR(__xludf.DUMMYFUNCTION("""COMPUTED_VALUE"""),"{}")</f>
        <v>{}</v>
      </c>
      <c r="J2935" s="148" t="str">
        <f>IFERROR(__xludf.DUMMYFUNCTION("""COMPUTED_VALUE"""),"{""typ"":""lc"",""txt"":""LC_ITEM_fes_hole-digging_name_1""}")</f>
        <v>{"typ":"lc","txt":"LC_ITEM_fes_hole-digging_name_1"}</v>
      </c>
      <c r="K2935" s="148" t="str">
        <f>IFERROR(__xludf.DUMMYFUNCTION("""COMPUTED_VALUE"""),"{""typ"":""lc"",""txt"":""LC_ITEM_fes_hole-digging_name_desc_1""}")</f>
        <v>{"typ":"lc","txt":"LC_ITEM_fes_hole-digging_name_desc_1"}</v>
      </c>
      <c r="L2935" s="148" t="str">
        <f>IFERROR(__xludf.DUMMYFUNCTION("""COMPUTED_VALUE"""),"{}")</f>
        <v>{}</v>
      </c>
      <c r="M2935" s="148">
        <f>IFERROR(__xludf.DUMMYFUNCTION("""COMPUTED_VALUE"""),1500.0)</f>
        <v>1500</v>
      </c>
      <c r="N2935" s="148">
        <f>IFERROR(__xludf.DUMMYFUNCTION("""COMPUTED_VALUE"""),999999.0)</f>
        <v>999999</v>
      </c>
      <c r="O2935" s="148">
        <f>IFERROR(__xludf.DUMMYFUNCTION("""COMPUTED_VALUE"""),99999.0)</f>
        <v>99999</v>
      </c>
      <c r="P2935" s="148">
        <f>IFERROR(__xludf.DUMMYFUNCTION("""COMPUTED_VALUE"""),1.0)</f>
        <v>1</v>
      </c>
      <c r="Q2935" s="148" t="str">
        <f>IFERROR(__xludf.DUMMYFUNCTION("""COMPUTED_VALUE"""),"[""bag_other""]")</f>
        <v>["bag_other"]</v>
      </c>
      <c r="R2935" s="148" t="str">
        <f>IFERROR(__xludf.DUMMYFUNCTION("""COMPUTED_VALUE"""),"[""bag""]")</f>
        <v>["bag"]</v>
      </c>
      <c r="S2935" s="148" t="str">
        <f>IFERROR(__xludf.DUMMYFUNCTION("""COMPUTED_VALUE"""),"{""effect"":[{""typ"":""actv_open"",""arg2"":[21127588,21127589]}]}")</f>
        <v>{"effect":[{"typ":"actv_open","arg2":[21127588,21127589]}]}</v>
      </c>
      <c r="T2935" s="148">
        <f>IFERROR(__xludf.DUMMYFUNCTION("""COMPUTED_VALUE"""),-1.0)</f>
        <v>-1</v>
      </c>
      <c r="U2935" s="148">
        <f>IFERROR(__xludf.DUMMYFUNCTION("""COMPUTED_VALUE"""),0.0)</f>
        <v>0</v>
      </c>
      <c r="V2935" s="148" t="str">
        <f>IFERROR(__xludf.DUMMYFUNCTION("""COMPUTED_VALUE"""),"[]")</f>
        <v>[]</v>
      </c>
      <c r="W2935" s="148">
        <f>IFERROR(__xludf.DUMMYFUNCTION("""COMPUTED_VALUE"""),1.1741004E7)</f>
        <v>11741004</v>
      </c>
      <c r="X2935" s="148">
        <f>IFERROR(__xludf.DUMMYFUNCTION("""COMPUTED_VALUE"""),0.0)</f>
        <v>0</v>
      </c>
      <c r="Y2935" s="148">
        <f>IFERROR(__xludf.DUMMYFUNCTION("""COMPUTED_VALUE"""),0.0)</f>
        <v>0</v>
      </c>
      <c r="Z2935" s="148"/>
    </row>
    <row r="2936">
      <c r="A2936" s="148">
        <f>IFERROR(__xludf.DUMMYFUNCTION("""COMPUTED_VALUE"""),1.1119901E7)</f>
        <v>11119901</v>
      </c>
      <c r="B2936" s="148" t="str">
        <f>IFERROR(__xludf.DUMMYFUNCTION("""COMPUTED_VALUE"""),"挖孔道具-垂直切割弹")</f>
        <v>挖孔道具-垂直切割弹</v>
      </c>
      <c r="C2936" s="148"/>
      <c r="D2936" s="148" t="str">
        <f>IFERROR(__xludf.DUMMYFUNCTION("""COMPUTED_VALUE"""),"event")</f>
        <v>event</v>
      </c>
      <c r="E2936" s="148">
        <f>IFERROR(__xludf.DUMMYFUNCTION("""COMPUTED_VALUE"""),0.0)</f>
        <v>0</v>
      </c>
      <c r="F2936" s="148">
        <f>IFERROR(__xludf.DUMMYFUNCTION("""COMPUTED_VALUE"""),0.0)</f>
        <v>0</v>
      </c>
      <c r="G2936" s="148">
        <f>IFERROR(__xludf.DUMMYFUNCTION("""COMPUTED_VALUE"""),1.51103124E8)</f>
        <v>151103124</v>
      </c>
      <c r="H2936" s="148">
        <f>IFERROR(__xludf.DUMMYFUNCTION("""COMPUTED_VALUE"""),1.5112564E7)</f>
        <v>15112564</v>
      </c>
      <c r="I2936" s="148" t="str">
        <f>IFERROR(__xludf.DUMMYFUNCTION("""COMPUTED_VALUE"""),"{}")</f>
        <v>{}</v>
      </c>
      <c r="J2936" s="148" t="str">
        <f>IFERROR(__xludf.DUMMYFUNCTION("""COMPUTED_VALUE"""),"{""typ"":""lc"",""txt"":""LC_ITEM_fes_hole-digging_name_2""}")</f>
        <v>{"typ":"lc","txt":"LC_ITEM_fes_hole-digging_name_2"}</v>
      </c>
      <c r="K2936" s="148" t="str">
        <f>IFERROR(__xludf.DUMMYFUNCTION("""COMPUTED_VALUE"""),"{""typ"":""lc"",""txt"":""LC_ITEM_fes_hole-digging_name_desc_2""}")</f>
        <v>{"typ":"lc","txt":"LC_ITEM_fes_hole-digging_name_desc_2"}</v>
      </c>
      <c r="L2936" s="148" t="str">
        <f>IFERROR(__xludf.DUMMYFUNCTION("""COMPUTED_VALUE"""),"{}")</f>
        <v>{}</v>
      </c>
      <c r="M2936" s="148">
        <f>IFERROR(__xludf.DUMMYFUNCTION("""COMPUTED_VALUE"""),1500.0)</f>
        <v>1500</v>
      </c>
      <c r="N2936" s="148">
        <f>IFERROR(__xludf.DUMMYFUNCTION("""COMPUTED_VALUE"""),999999.0)</f>
        <v>999999</v>
      </c>
      <c r="O2936" s="148">
        <f>IFERROR(__xludf.DUMMYFUNCTION("""COMPUTED_VALUE"""),99999.0)</f>
        <v>99999</v>
      </c>
      <c r="P2936" s="148">
        <f>IFERROR(__xludf.DUMMYFUNCTION("""COMPUTED_VALUE"""),1.0)</f>
        <v>1</v>
      </c>
      <c r="Q2936" s="148" t="str">
        <f>IFERROR(__xludf.DUMMYFUNCTION("""COMPUTED_VALUE"""),"[""bag_other""]")</f>
        <v>["bag_other"]</v>
      </c>
      <c r="R2936" s="148" t="str">
        <f>IFERROR(__xludf.DUMMYFUNCTION("""COMPUTED_VALUE"""),"[""bag""]")</f>
        <v>["bag"]</v>
      </c>
      <c r="S2936" s="148" t="str">
        <f>IFERROR(__xludf.DUMMYFUNCTION("""COMPUTED_VALUE"""),"{""effect"":[{""typ"":""actv_open"",""arg2"":[21127588,21127589]}]}")</f>
        <v>{"effect":[{"typ":"actv_open","arg2":[21127588,21127589]}]}</v>
      </c>
      <c r="T2936" s="148">
        <f>IFERROR(__xludf.DUMMYFUNCTION("""COMPUTED_VALUE"""),-1.0)</f>
        <v>-1</v>
      </c>
      <c r="U2936" s="148">
        <f>IFERROR(__xludf.DUMMYFUNCTION("""COMPUTED_VALUE"""),0.0)</f>
        <v>0</v>
      </c>
      <c r="V2936" s="148" t="str">
        <f>IFERROR(__xludf.DUMMYFUNCTION("""COMPUTED_VALUE"""),"[]")</f>
        <v>[]</v>
      </c>
      <c r="W2936" s="148">
        <f>IFERROR(__xludf.DUMMYFUNCTION("""COMPUTED_VALUE"""),1.1741004E7)</f>
        <v>11741004</v>
      </c>
      <c r="X2936" s="148">
        <f>IFERROR(__xludf.DUMMYFUNCTION("""COMPUTED_VALUE"""),0.0)</f>
        <v>0</v>
      </c>
      <c r="Y2936" s="148">
        <f>IFERROR(__xludf.DUMMYFUNCTION("""COMPUTED_VALUE"""),0.0)</f>
        <v>0</v>
      </c>
      <c r="Z2936" s="148"/>
    </row>
    <row r="2937">
      <c r="A2937" s="148">
        <f>IFERROR(__xludf.DUMMYFUNCTION("""COMPUTED_VALUE"""),1.1119902E7)</f>
        <v>11119902</v>
      </c>
      <c r="B2937" s="148" t="str">
        <f>IFERROR(__xludf.DUMMYFUNCTION("""COMPUTED_VALUE"""),"挖孔道具-线性离子炮")</f>
        <v>挖孔道具-线性离子炮</v>
      </c>
      <c r="C2937" s="148"/>
      <c r="D2937" s="148" t="str">
        <f>IFERROR(__xludf.DUMMYFUNCTION("""COMPUTED_VALUE"""),"event")</f>
        <v>event</v>
      </c>
      <c r="E2937" s="148">
        <f>IFERROR(__xludf.DUMMYFUNCTION("""COMPUTED_VALUE"""),0.0)</f>
        <v>0</v>
      </c>
      <c r="F2937" s="148">
        <f>IFERROR(__xludf.DUMMYFUNCTION("""COMPUTED_VALUE"""),0.0)</f>
        <v>0</v>
      </c>
      <c r="G2937" s="148">
        <f>IFERROR(__xludf.DUMMYFUNCTION("""COMPUTED_VALUE"""),1.51103123E8)</f>
        <v>151103123</v>
      </c>
      <c r="H2937" s="148">
        <f>IFERROR(__xludf.DUMMYFUNCTION("""COMPUTED_VALUE"""),1.5112564E7)</f>
        <v>15112564</v>
      </c>
      <c r="I2937" s="148" t="str">
        <f>IFERROR(__xludf.DUMMYFUNCTION("""COMPUTED_VALUE"""),"{}")</f>
        <v>{}</v>
      </c>
      <c r="J2937" s="148" t="str">
        <f>IFERROR(__xludf.DUMMYFUNCTION("""COMPUTED_VALUE"""),"{""typ"":""lc"",""txt"":""LC_ITEM_fes_hole-digging_name_3""}")</f>
        <v>{"typ":"lc","txt":"LC_ITEM_fes_hole-digging_name_3"}</v>
      </c>
      <c r="K2937" s="148" t="str">
        <f>IFERROR(__xludf.DUMMYFUNCTION("""COMPUTED_VALUE"""),"{""typ"":""lc"",""txt"":""LC_ITEM_fes_hole-digging_name_desc_3""}")</f>
        <v>{"typ":"lc","txt":"LC_ITEM_fes_hole-digging_name_desc_3"}</v>
      </c>
      <c r="L2937" s="148" t="str">
        <f>IFERROR(__xludf.DUMMYFUNCTION("""COMPUTED_VALUE"""),"{}")</f>
        <v>{}</v>
      </c>
      <c r="M2937" s="148">
        <f>IFERROR(__xludf.DUMMYFUNCTION("""COMPUTED_VALUE"""),1500.0)</f>
        <v>1500</v>
      </c>
      <c r="N2937" s="148">
        <f>IFERROR(__xludf.DUMMYFUNCTION("""COMPUTED_VALUE"""),999999.0)</f>
        <v>999999</v>
      </c>
      <c r="O2937" s="148">
        <f>IFERROR(__xludf.DUMMYFUNCTION("""COMPUTED_VALUE"""),99999.0)</f>
        <v>99999</v>
      </c>
      <c r="P2937" s="148">
        <f>IFERROR(__xludf.DUMMYFUNCTION("""COMPUTED_VALUE"""),1.0)</f>
        <v>1</v>
      </c>
      <c r="Q2937" s="148" t="str">
        <f>IFERROR(__xludf.DUMMYFUNCTION("""COMPUTED_VALUE"""),"[""bag_other""]")</f>
        <v>["bag_other"]</v>
      </c>
      <c r="R2937" s="148" t="str">
        <f>IFERROR(__xludf.DUMMYFUNCTION("""COMPUTED_VALUE"""),"[""bag""]")</f>
        <v>["bag"]</v>
      </c>
      <c r="S2937" s="148" t="str">
        <f>IFERROR(__xludf.DUMMYFUNCTION("""COMPUTED_VALUE"""),"{""effect"":[{""typ"":""actv_open"",""arg2"":[21127588,21127589]}]}")</f>
        <v>{"effect":[{"typ":"actv_open","arg2":[21127588,21127589]}]}</v>
      </c>
      <c r="T2937" s="148">
        <f>IFERROR(__xludf.DUMMYFUNCTION("""COMPUTED_VALUE"""),-1.0)</f>
        <v>-1</v>
      </c>
      <c r="U2937" s="148">
        <f>IFERROR(__xludf.DUMMYFUNCTION("""COMPUTED_VALUE"""),0.0)</f>
        <v>0</v>
      </c>
      <c r="V2937" s="148" t="str">
        <f>IFERROR(__xludf.DUMMYFUNCTION("""COMPUTED_VALUE"""),"[]")</f>
        <v>[]</v>
      </c>
      <c r="W2937" s="148">
        <f>IFERROR(__xludf.DUMMYFUNCTION("""COMPUTED_VALUE"""),1.1741004E7)</f>
        <v>11741004</v>
      </c>
      <c r="X2937" s="148">
        <f>IFERROR(__xludf.DUMMYFUNCTION("""COMPUTED_VALUE"""),0.0)</f>
        <v>0</v>
      </c>
      <c r="Y2937" s="148">
        <f>IFERROR(__xludf.DUMMYFUNCTION("""COMPUTED_VALUE"""),0.0)</f>
        <v>0</v>
      </c>
      <c r="Z2937" s="148"/>
    </row>
    <row r="2938">
      <c r="A2938" s="148">
        <f>IFERROR(__xludf.DUMMYFUNCTION("""COMPUTED_VALUE"""),1.1119903E7)</f>
        <v>11119903</v>
      </c>
      <c r="B2938" s="148" t="str">
        <f>IFERROR(__xludf.DUMMYFUNCTION("""COMPUTED_VALUE"""),"挖孔道具-核心探测仪")</f>
        <v>挖孔道具-核心探测仪</v>
      </c>
      <c r="C2938" s="148"/>
      <c r="D2938" s="148" t="str">
        <f>IFERROR(__xludf.DUMMYFUNCTION("""COMPUTED_VALUE"""),"event")</f>
        <v>event</v>
      </c>
      <c r="E2938" s="148">
        <f>IFERROR(__xludf.DUMMYFUNCTION("""COMPUTED_VALUE"""),0.0)</f>
        <v>0</v>
      </c>
      <c r="F2938" s="148">
        <f>IFERROR(__xludf.DUMMYFUNCTION("""COMPUTED_VALUE"""),0.0)</f>
        <v>0</v>
      </c>
      <c r="G2938" s="148">
        <f>IFERROR(__xludf.DUMMYFUNCTION("""COMPUTED_VALUE"""),1.51103126E8)</f>
        <v>151103126</v>
      </c>
      <c r="H2938" s="148">
        <f>IFERROR(__xludf.DUMMYFUNCTION("""COMPUTED_VALUE"""),1.5112564E7)</f>
        <v>15112564</v>
      </c>
      <c r="I2938" s="148" t="str">
        <f>IFERROR(__xludf.DUMMYFUNCTION("""COMPUTED_VALUE"""),"{}")</f>
        <v>{}</v>
      </c>
      <c r="J2938" s="148" t="str">
        <f>IFERROR(__xludf.DUMMYFUNCTION("""COMPUTED_VALUE"""),"{""typ"":""lc"",""txt"":""LC_ITEM_fes_hole-digging_name_4""}")</f>
        <v>{"typ":"lc","txt":"LC_ITEM_fes_hole-digging_name_4"}</v>
      </c>
      <c r="K2938" s="148" t="str">
        <f>IFERROR(__xludf.DUMMYFUNCTION("""COMPUTED_VALUE"""),"{""typ"":""lc"",""txt"":""LC_ITEM_fes_hole-digging_name_desc_4""}")</f>
        <v>{"typ":"lc","txt":"LC_ITEM_fes_hole-digging_name_desc_4"}</v>
      </c>
      <c r="L2938" s="148" t="str">
        <f>IFERROR(__xludf.DUMMYFUNCTION("""COMPUTED_VALUE"""),"{}")</f>
        <v>{}</v>
      </c>
      <c r="M2938" s="148">
        <f>IFERROR(__xludf.DUMMYFUNCTION("""COMPUTED_VALUE"""),1500.0)</f>
        <v>1500</v>
      </c>
      <c r="N2938" s="148">
        <f>IFERROR(__xludf.DUMMYFUNCTION("""COMPUTED_VALUE"""),999999.0)</f>
        <v>999999</v>
      </c>
      <c r="O2938" s="148">
        <f>IFERROR(__xludf.DUMMYFUNCTION("""COMPUTED_VALUE"""),99999.0)</f>
        <v>99999</v>
      </c>
      <c r="P2938" s="148">
        <f>IFERROR(__xludf.DUMMYFUNCTION("""COMPUTED_VALUE"""),1.0)</f>
        <v>1</v>
      </c>
      <c r="Q2938" s="148" t="str">
        <f>IFERROR(__xludf.DUMMYFUNCTION("""COMPUTED_VALUE"""),"[""bag_other""]")</f>
        <v>["bag_other"]</v>
      </c>
      <c r="R2938" s="148" t="str">
        <f>IFERROR(__xludf.DUMMYFUNCTION("""COMPUTED_VALUE"""),"[""bag""]")</f>
        <v>["bag"]</v>
      </c>
      <c r="S2938" s="148" t="str">
        <f>IFERROR(__xludf.DUMMYFUNCTION("""COMPUTED_VALUE"""),"{""effect"":[{""typ"":""actv_open"",""arg2"":[21127588,21127589]}]}")</f>
        <v>{"effect":[{"typ":"actv_open","arg2":[21127588,21127589]}]}</v>
      </c>
      <c r="T2938" s="148">
        <f>IFERROR(__xludf.DUMMYFUNCTION("""COMPUTED_VALUE"""),-1.0)</f>
        <v>-1</v>
      </c>
      <c r="U2938" s="148">
        <f>IFERROR(__xludf.DUMMYFUNCTION("""COMPUTED_VALUE"""),0.0)</f>
        <v>0</v>
      </c>
      <c r="V2938" s="148" t="str">
        <f>IFERROR(__xludf.DUMMYFUNCTION("""COMPUTED_VALUE"""),"[]")</f>
        <v>[]</v>
      </c>
      <c r="W2938" s="148">
        <f>IFERROR(__xludf.DUMMYFUNCTION("""COMPUTED_VALUE"""),1.1741004E7)</f>
        <v>11741004</v>
      </c>
      <c r="X2938" s="148">
        <f>IFERROR(__xludf.DUMMYFUNCTION("""COMPUTED_VALUE"""),0.0)</f>
        <v>0</v>
      </c>
      <c r="Y2938" s="148">
        <f>IFERROR(__xludf.DUMMYFUNCTION("""COMPUTED_VALUE"""),0.0)</f>
        <v>0</v>
      </c>
      <c r="Z2938" s="148"/>
    </row>
    <row r="2939">
      <c r="A2939" s="148">
        <f>IFERROR(__xludf.DUMMYFUNCTION("""COMPUTED_VALUE"""),1.1119904E7)</f>
        <v>11119904</v>
      </c>
      <c r="B2939" s="148" t="str">
        <f>IFERROR(__xludf.DUMMYFUNCTION("""COMPUTED_VALUE"""),"挖孔道具-核心破译器")</f>
        <v>挖孔道具-核心破译器</v>
      </c>
      <c r="C2939" s="148"/>
      <c r="D2939" s="148" t="str">
        <f>IFERROR(__xludf.DUMMYFUNCTION("""COMPUTED_VALUE"""),"event")</f>
        <v>event</v>
      </c>
      <c r="E2939" s="148">
        <f>IFERROR(__xludf.DUMMYFUNCTION("""COMPUTED_VALUE"""),0.0)</f>
        <v>0</v>
      </c>
      <c r="F2939" s="148">
        <f>IFERROR(__xludf.DUMMYFUNCTION("""COMPUTED_VALUE"""),0.0)</f>
        <v>0</v>
      </c>
      <c r="G2939" s="148">
        <f>IFERROR(__xludf.DUMMYFUNCTION("""COMPUTED_VALUE"""),1.51103127E8)</f>
        <v>151103127</v>
      </c>
      <c r="H2939" s="148">
        <f>IFERROR(__xludf.DUMMYFUNCTION("""COMPUTED_VALUE"""),1.5112564E7)</f>
        <v>15112564</v>
      </c>
      <c r="I2939" s="148" t="str">
        <f>IFERROR(__xludf.DUMMYFUNCTION("""COMPUTED_VALUE"""),"{}")</f>
        <v>{}</v>
      </c>
      <c r="J2939" s="148" t="str">
        <f>IFERROR(__xludf.DUMMYFUNCTION("""COMPUTED_VALUE"""),"{""typ"":""lc"",""txt"":""LC_ITEM_fes_hole-digging_name_5""}")</f>
        <v>{"typ":"lc","txt":"LC_ITEM_fes_hole-digging_name_5"}</v>
      </c>
      <c r="K2939" s="148" t="str">
        <f>IFERROR(__xludf.DUMMYFUNCTION("""COMPUTED_VALUE"""),"{""typ"":""lc"",""txt"":""LC_ITEM_fes_hole-digging_name_desc_5""}")</f>
        <v>{"typ":"lc","txt":"LC_ITEM_fes_hole-digging_name_desc_5"}</v>
      </c>
      <c r="L2939" s="148" t="str">
        <f>IFERROR(__xludf.DUMMYFUNCTION("""COMPUTED_VALUE"""),"{}")</f>
        <v>{}</v>
      </c>
      <c r="M2939" s="148">
        <f>IFERROR(__xludf.DUMMYFUNCTION("""COMPUTED_VALUE"""),1500.0)</f>
        <v>1500</v>
      </c>
      <c r="N2939" s="148">
        <f>IFERROR(__xludf.DUMMYFUNCTION("""COMPUTED_VALUE"""),999999.0)</f>
        <v>999999</v>
      </c>
      <c r="O2939" s="148">
        <f>IFERROR(__xludf.DUMMYFUNCTION("""COMPUTED_VALUE"""),99999.0)</f>
        <v>99999</v>
      </c>
      <c r="P2939" s="148">
        <f>IFERROR(__xludf.DUMMYFUNCTION("""COMPUTED_VALUE"""),9999.0)</f>
        <v>9999</v>
      </c>
      <c r="Q2939" s="148" t="str">
        <f>IFERROR(__xludf.DUMMYFUNCTION("""COMPUTED_VALUE"""),"[""bag_other""]")</f>
        <v>["bag_other"]</v>
      </c>
      <c r="R2939" s="148" t="str">
        <f>IFERROR(__xludf.DUMMYFUNCTION("""COMPUTED_VALUE"""),"[""bag""]")</f>
        <v>["bag"]</v>
      </c>
      <c r="S2939" s="148" t="str">
        <f>IFERROR(__xludf.DUMMYFUNCTION("""COMPUTED_VALUE"""),"{""effect"":[{""typ"":""actv_open"",""arg2"":[21127588,21127589,21127575]}]}")</f>
        <v>{"effect":[{"typ":"actv_open","arg2":[21127588,21127589,21127575]}]}</v>
      </c>
      <c r="T2939" s="148">
        <f>IFERROR(__xludf.DUMMYFUNCTION("""COMPUTED_VALUE"""),-1.0)</f>
        <v>-1</v>
      </c>
      <c r="U2939" s="148">
        <f>IFERROR(__xludf.DUMMYFUNCTION("""COMPUTED_VALUE"""),0.0)</f>
        <v>0</v>
      </c>
      <c r="V2939" s="148" t="str">
        <f>IFERROR(__xludf.DUMMYFUNCTION("""COMPUTED_VALUE"""),"[]")</f>
        <v>[]</v>
      </c>
      <c r="W2939" s="148">
        <f>IFERROR(__xludf.DUMMYFUNCTION("""COMPUTED_VALUE"""),1.1741004E7)</f>
        <v>11741004</v>
      </c>
      <c r="X2939" s="148">
        <f>IFERROR(__xludf.DUMMYFUNCTION("""COMPUTED_VALUE"""),0.0)</f>
        <v>0</v>
      </c>
      <c r="Y2939" s="148">
        <f>IFERROR(__xludf.DUMMYFUNCTION("""COMPUTED_VALUE"""),0.0)</f>
        <v>0</v>
      </c>
      <c r="Z2939" s="148"/>
    </row>
    <row r="2940">
      <c r="A2940" s="148">
        <f>IFERROR(__xludf.DUMMYFUNCTION("""COMPUTED_VALUE"""),1.1119905E7)</f>
        <v>11119905</v>
      </c>
      <c r="B2940" s="148" t="str">
        <f>IFERROR(__xludf.DUMMYFUNCTION("""COMPUTED_VALUE"""),"挖孔金币（兑换道具）")</f>
        <v>挖孔金币（兑换道具）</v>
      </c>
      <c r="C2940" s="148"/>
      <c r="D2940" s="148" t="str">
        <f>IFERROR(__xludf.DUMMYFUNCTION("""COMPUTED_VALUE"""),"event")</f>
        <v>event</v>
      </c>
      <c r="E2940" s="148">
        <f>IFERROR(__xludf.DUMMYFUNCTION("""COMPUTED_VALUE"""),0.0)</f>
        <v>0</v>
      </c>
      <c r="F2940" s="148">
        <f>IFERROR(__xludf.DUMMYFUNCTION("""COMPUTED_VALUE"""),0.0)</f>
        <v>0</v>
      </c>
      <c r="G2940" s="148">
        <f>IFERROR(__xludf.DUMMYFUNCTION("""COMPUTED_VALUE"""),1.51103155E8)</f>
        <v>151103155</v>
      </c>
      <c r="H2940" s="148">
        <f>IFERROR(__xludf.DUMMYFUNCTION("""COMPUTED_VALUE"""),1.5112564E7)</f>
        <v>15112564</v>
      </c>
      <c r="I2940" s="148" t="str">
        <f>IFERROR(__xludf.DUMMYFUNCTION("""COMPUTED_VALUE"""),"{}")</f>
        <v>{}</v>
      </c>
      <c r="J2940" s="148" t="str">
        <f>IFERROR(__xludf.DUMMYFUNCTION("""COMPUTED_VALUE"""),"{""typ"":""lc"",""txt"":""LC_ITEM_fes_hole-digging_name_6""}")</f>
        <v>{"typ":"lc","txt":"LC_ITEM_fes_hole-digging_name_6"}</v>
      </c>
      <c r="K2940" s="148" t="str">
        <f>IFERROR(__xludf.DUMMYFUNCTION("""COMPUTED_VALUE"""),"{""typ"":""lc"",""txt"":""LC_ITEM_fes_hole-digging_name_desc_6""}")</f>
        <v>{"typ":"lc","txt":"LC_ITEM_fes_hole-digging_name_desc_6"}</v>
      </c>
      <c r="L2940" s="148" t="str">
        <f>IFERROR(__xludf.DUMMYFUNCTION("""COMPUTED_VALUE"""),"{}")</f>
        <v>{}</v>
      </c>
      <c r="M2940" s="148">
        <f>IFERROR(__xludf.DUMMYFUNCTION("""COMPUTED_VALUE"""),1500.0)</f>
        <v>1500</v>
      </c>
      <c r="N2940" s="148">
        <f>IFERROR(__xludf.DUMMYFUNCTION("""COMPUTED_VALUE"""),999999.0)</f>
        <v>999999</v>
      </c>
      <c r="O2940" s="148">
        <f>IFERROR(__xludf.DUMMYFUNCTION("""COMPUTED_VALUE"""),99999.0)</f>
        <v>99999</v>
      </c>
      <c r="P2940" s="148">
        <f>IFERROR(__xludf.DUMMYFUNCTION("""COMPUTED_VALUE"""),999999.0)</f>
        <v>999999</v>
      </c>
      <c r="Q2940" s="148" t="str">
        <f>IFERROR(__xludf.DUMMYFUNCTION("""COMPUTED_VALUE"""),"[]")</f>
        <v>[]</v>
      </c>
      <c r="R2940" s="148" t="str">
        <f>IFERROR(__xludf.DUMMYFUNCTION("""COMPUTED_VALUE"""),"[]")</f>
        <v>[]</v>
      </c>
      <c r="S2940" s="148" t="str">
        <f>IFERROR(__xludf.DUMMYFUNCTION("""COMPUTED_VALUE"""),"{}")</f>
        <v>{}</v>
      </c>
      <c r="T2940" s="148">
        <f>IFERROR(__xludf.DUMMYFUNCTION("""COMPUTED_VALUE"""),-1.0)</f>
        <v>-1</v>
      </c>
      <c r="U2940" s="148">
        <f>IFERROR(__xludf.DUMMYFUNCTION("""COMPUTED_VALUE"""),0.0)</f>
        <v>0</v>
      </c>
      <c r="V2940" s="148" t="str">
        <f>IFERROR(__xludf.DUMMYFUNCTION("""COMPUTED_VALUE"""),"[]")</f>
        <v>[]</v>
      </c>
      <c r="W2940" s="148">
        <f>IFERROR(__xludf.DUMMYFUNCTION("""COMPUTED_VALUE"""),1.1741004E7)</f>
        <v>11741004</v>
      </c>
      <c r="X2940" s="148">
        <f>IFERROR(__xludf.DUMMYFUNCTION("""COMPUTED_VALUE"""),0.0)</f>
        <v>0</v>
      </c>
      <c r="Y2940" s="148">
        <f>IFERROR(__xludf.DUMMYFUNCTION("""COMPUTED_VALUE"""),0.0)</f>
        <v>0</v>
      </c>
      <c r="Z2940" s="148"/>
    </row>
    <row r="2941">
      <c r="A2941" s="148">
        <f>IFERROR(__xludf.DUMMYFUNCTION("""COMPUTED_VALUE"""),1.1119906E7)</f>
        <v>11119906</v>
      </c>
      <c r="B2941" s="148" t="str">
        <f>IFERROR(__xludf.DUMMYFUNCTION("""COMPUTED_VALUE"""),"黑五省省卡-打折道具")</f>
        <v>黑五省省卡-打折道具</v>
      </c>
      <c r="C2941" s="148"/>
      <c r="D2941" s="148" t="str">
        <f>IFERROR(__xludf.DUMMYFUNCTION("""COMPUTED_VALUE"""),"event")</f>
        <v>event</v>
      </c>
      <c r="E2941" s="148">
        <f>IFERROR(__xludf.DUMMYFUNCTION("""COMPUTED_VALUE"""),0.0)</f>
        <v>0</v>
      </c>
      <c r="F2941" s="148">
        <f>IFERROR(__xludf.DUMMYFUNCTION("""COMPUTED_VALUE"""),405221.0)</f>
        <v>405221</v>
      </c>
      <c r="G2941" s="148">
        <f>IFERROR(__xludf.DUMMYFUNCTION("""COMPUTED_VALUE"""),1.51103202E8)</f>
        <v>151103202</v>
      </c>
      <c r="H2941" s="148">
        <f>IFERROR(__xludf.DUMMYFUNCTION("""COMPUTED_VALUE"""),1.5112564E7)</f>
        <v>15112564</v>
      </c>
      <c r="I2941" s="148" t="str">
        <f>IFERROR(__xludf.DUMMYFUNCTION("""COMPUTED_VALUE"""),"{}")</f>
        <v>{}</v>
      </c>
      <c r="J2941" s="148" t="str">
        <f>IFERROR(__xludf.DUMMYFUNCTION("""COMPUTED_VALUE"""),"{""typ"":""lc"",""txt"":""LC_ITEM_blackfri_pkg_name""}")</f>
        <v>{"typ":"lc","txt":"LC_ITEM_blackfri_pkg_name"}</v>
      </c>
      <c r="K2941" s="148" t="str">
        <f>IFERROR(__xludf.DUMMYFUNCTION("""COMPUTED_VALUE"""),"{""typ"":""lc"",""txt"":""LC_ITEM_blackfri_pkg_desc""}")</f>
        <v>{"typ":"lc","txt":"LC_ITEM_blackfri_pkg_desc"}</v>
      </c>
      <c r="L2941" s="148" t="str">
        <f>IFERROR(__xludf.DUMMYFUNCTION("""COMPUTED_VALUE"""),"{}")</f>
        <v>{}</v>
      </c>
      <c r="M2941" s="148">
        <f>IFERROR(__xludf.DUMMYFUNCTION("""COMPUTED_VALUE"""),1250.0)</f>
        <v>1250</v>
      </c>
      <c r="N2941" s="148">
        <f>IFERROR(__xludf.DUMMYFUNCTION("""COMPUTED_VALUE"""),9.99999999E8)</f>
        <v>999999999</v>
      </c>
      <c r="O2941" s="148">
        <f>IFERROR(__xludf.DUMMYFUNCTION("""COMPUTED_VALUE"""),9.99999999E8)</f>
        <v>999999999</v>
      </c>
      <c r="P2941" s="148">
        <f>IFERROR(__xludf.DUMMYFUNCTION("""COMPUTED_VALUE"""),9.99999999E8)</f>
        <v>999999999</v>
      </c>
      <c r="Q2941" s="148" t="str">
        <f>IFERROR(__xludf.DUMMYFUNCTION("""COMPUTED_VALUE"""),"[]")</f>
        <v>[]</v>
      </c>
      <c r="R2941" s="148" t="str">
        <f>IFERROR(__xludf.DUMMYFUNCTION("""COMPUTED_VALUE"""),"[]")</f>
        <v>[]</v>
      </c>
      <c r="S2941" s="148" t="str">
        <f>IFERROR(__xludf.DUMMYFUNCTION("""COMPUTED_VALUE"""),"{""effect"":[{""typ"":""iap_scene_discount"",""key"":""fes_actv"",""id"":21127602}]}")</f>
        <v>{"effect":[{"typ":"iap_scene_discount","key":"fes_actv","id":21127602}]}</v>
      </c>
      <c r="T2941" s="148">
        <f>IFERROR(__xludf.DUMMYFUNCTION("""COMPUTED_VALUE"""),-1.0)</f>
        <v>-1</v>
      </c>
      <c r="U2941" s="148">
        <f>IFERROR(__xludf.DUMMYFUNCTION("""COMPUTED_VALUE"""),0.0)</f>
        <v>0</v>
      </c>
      <c r="V2941" s="148" t="str">
        <f>IFERROR(__xludf.DUMMYFUNCTION("""COMPUTED_VALUE"""),"[]")</f>
        <v>[]</v>
      </c>
      <c r="W2941" s="148">
        <f>IFERROR(__xludf.DUMMYFUNCTION("""COMPUTED_VALUE"""),1.174E7)</f>
        <v>11740000</v>
      </c>
      <c r="X2941" s="148">
        <f>IFERROR(__xludf.DUMMYFUNCTION("""COMPUTED_VALUE"""),0.0)</f>
        <v>0</v>
      </c>
      <c r="Y2941" s="148">
        <f>IFERROR(__xludf.DUMMYFUNCTION("""COMPUTED_VALUE"""),0.0)</f>
        <v>0</v>
      </c>
      <c r="Z2941" s="148"/>
    </row>
    <row r="2942">
      <c r="A2942" s="148">
        <f>IFERROR(__xludf.DUMMYFUNCTION("""COMPUTED_VALUE"""),1.1119907E7)</f>
        <v>11119907</v>
      </c>
      <c r="B2942" s="148" t="str">
        <f>IFERROR(__xludf.DUMMYFUNCTION("""COMPUTED_VALUE"""),"通用金头-可替换道具")</f>
        <v>通用金头-可替换道具</v>
      </c>
      <c r="C2942" s="148"/>
      <c r="D2942" s="148" t="str">
        <f>IFERROR(__xludf.DUMMYFUNCTION("""COMPUTED_VALUE"""),"event")</f>
        <v>event</v>
      </c>
      <c r="E2942" s="148">
        <f>IFERROR(__xludf.DUMMYFUNCTION("""COMPUTED_VALUE"""),0.0)</f>
        <v>0</v>
      </c>
      <c r="F2942" s="148">
        <f>IFERROR(__xludf.DUMMYFUNCTION("""COMPUTED_VALUE"""),400100.0)</f>
        <v>400100</v>
      </c>
      <c r="G2942" s="148">
        <f>IFERROR(__xludf.DUMMYFUNCTION("""COMPUTED_VALUE"""),1.51103192E8)</f>
        <v>151103192</v>
      </c>
      <c r="H2942" s="148">
        <f>IFERROR(__xludf.DUMMYFUNCTION("""COMPUTED_VALUE"""),1.5112564E7)</f>
        <v>15112564</v>
      </c>
      <c r="I2942" s="148" t="str">
        <f>IFERROR(__xludf.DUMMYFUNCTION("""COMPUTED_VALUE"""),"{}")</f>
        <v>{}</v>
      </c>
      <c r="J2942" s="148" t="str">
        <f>IFERROR(__xludf.DUMMYFUNCTION("""COMPUTED_VALUE"""),"{""typ"":""lc"",""txt"":""LC_ITEM_halloween_2021item_2""}")</f>
        <v>{"typ":"lc","txt":"LC_ITEM_halloween_2021item_2"}</v>
      </c>
      <c r="K2942" s="148" t="str">
        <f>IFERROR(__xludf.DUMMYFUNCTION("""COMPUTED_VALUE"""),"{""typ"":""lc"",""txt"":""LC_ITEM_halloween_2021item_2_desc""}")</f>
        <v>{"typ":"lc","txt":"LC_ITEM_halloween_2021item_2_desc"}</v>
      </c>
      <c r="L2942" s="148" t="str">
        <f>IFERROR(__xludf.DUMMYFUNCTION("""COMPUTED_VALUE"""),"{}")</f>
        <v>{}</v>
      </c>
      <c r="M2942" s="148">
        <f>IFERROR(__xludf.DUMMYFUNCTION("""COMPUTED_VALUE"""),5000.0)</f>
        <v>5000</v>
      </c>
      <c r="N2942" s="148">
        <f>IFERROR(__xludf.DUMMYFUNCTION("""COMPUTED_VALUE"""),999999.0)</f>
        <v>999999</v>
      </c>
      <c r="O2942" s="148">
        <f>IFERROR(__xludf.DUMMYFUNCTION("""COMPUTED_VALUE"""),99999.0)</f>
        <v>99999</v>
      </c>
      <c r="P2942" s="148">
        <f>IFERROR(__xludf.DUMMYFUNCTION("""COMPUTED_VALUE"""),9999.0)</f>
        <v>9999</v>
      </c>
      <c r="Q2942" s="148" t="str">
        <f>IFERROR(__xludf.DUMMYFUNCTION("""COMPUTED_VALUE"""),"[""bag_other""]")</f>
        <v>["bag_other"]</v>
      </c>
      <c r="R2942" s="148" t="str">
        <f>IFERROR(__xludf.DUMMYFUNCTION("""COMPUTED_VALUE"""),"[]")</f>
        <v>[]</v>
      </c>
      <c r="S2942" s="148" t="str">
        <f>IFERROR(__xludf.DUMMYFUNCTION("""COMPUTED_VALUE"""),"{}")</f>
        <v>{}</v>
      </c>
      <c r="T2942" s="148">
        <f>IFERROR(__xludf.DUMMYFUNCTION("""COMPUTED_VALUE"""),-1.0)</f>
        <v>-1</v>
      </c>
      <c r="U2942" s="148">
        <f>IFERROR(__xludf.DUMMYFUNCTION("""COMPUTED_VALUE"""),0.0)</f>
        <v>0</v>
      </c>
      <c r="V2942" s="148" t="str">
        <f>IFERROR(__xludf.DUMMYFUNCTION("""COMPUTED_VALUE"""),"[]")</f>
        <v>[]</v>
      </c>
      <c r="W2942" s="148">
        <f>IFERROR(__xludf.DUMMYFUNCTION("""COMPUTED_VALUE"""),1.174E7)</f>
        <v>11740000</v>
      </c>
      <c r="X2942" s="148">
        <f>IFERROR(__xludf.DUMMYFUNCTION("""COMPUTED_VALUE"""),0.0)</f>
        <v>0</v>
      </c>
      <c r="Y2942" s="148">
        <f>IFERROR(__xludf.DUMMYFUNCTION("""COMPUTED_VALUE"""),0.0)</f>
        <v>0</v>
      </c>
      <c r="Z2942" s="148"/>
    </row>
    <row r="2943">
      <c r="A2943" s="148">
        <f>IFERROR(__xludf.DUMMYFUNCTION("""COMPUTED_VALUE"""),1.1119908E7)</f>
        <v>11119908</v>
      </c>
      <c r="B2943" s="148" t="str">
        <f>IFERROR(__xludf.DUMMYFUNCTION("""COMPUTED_VALUE"""),"D300超凡军备箱-抽奖代币")</f>
        <v>D300超凡军备箱-抽奖代币</v>
      </c>
      <c r="C2943" s="148"/>
      <c r="D2943" s="148" t="str">
        <f>IFERROR(__xludf.DUMMYFUNCTION("""COMPUTED_VALUE"""),"event")</f>
        <v>event</v>
      </c>
      <c r="E2943" s="148">
        <f>IFERROR(__xludf.DUMMYFUNCTION("""COMPUTED_VALUE"""),0.0)</f>
        <v>0</v>
      </c>
      <c r="F2943" s="148">
        <f>IFERROR(__xludf.DUMMYFUNCTION("""COMPUTED_VALUE"""),0.0)</f>
        <v>0</v>
      </c>
      <c r="G2943" s="148">
        <f>IFERROR(__xludf.DUMMYFUNCTION("""COMPUTED_VALUE"""),1.51103208E8)</f>
        <v>151103208</v>
      </c>
      <c r="H2943" s="148">
        <f>IFERROR(__xludf.DUMMYFUNCTION("""COMPUTED_VALUE"""),1.5112564E7)</f>
        <v>15112564</v>
      </c>
      <c r="I2943" s="148" t="str">
        <f>IFERROR(__xludf.DUMMYFUNCTION("""COMPUTED_VALUE"""),"{}")</f>
        <v>{}</v>
      </c>
      <c r="J2943" s="148" t="str">
        <f>IFERROR(__xludf.DUMMYFUNCTION("""COMPUTED_VALUE"""),"{""typ"":""lc"",""txt"":""LC_ITEM_t6_arm_gacha_d300_gacha_name""}")</f>
        <v>{"typ":"lc","txt":"LC_ITEM_t6_arm_gacha_d300_gacha_name"}</v>
      </c>
      <c r="K2943" s="148" t="str">
        <f>IFERROR(__xludf.DUMMYFUNCTION("""COMPUTED_VALUE"""),"{""typ"":""lc"",""txt"":""LC_ITEM_t6_arm_gacha_d300_gacha_desc""}")</f>
        <v>{"typ":"lc","txt":"LC_ITEM_t6_arm_gacha_d300_gacha_desc"}</v>
      </c>
      <c r="L2943" s="148" t="str">
        <f>IFERROR(__xludf.DUMMYFUNCTION("""COMPUTED_VALUE"""),"{}")</f>
        <v>{}</v>
      </c>
      <c r="M2943" s="148">
        <f>IFERROR(__xludf.DUMMYFUNCTION("""COMPUTED_VALUE"""),125.0)</f>
        <v>125</v>
      </c>
      <c r="N2943" s="148">
        <f>IFERROR(__xludf.DUMMYFUNCTION("""COMPUTED_VALUE"""),999999.0)</f>
        <v>999999</v>
      </c>
      <c r="O2943" s="148">
        <f>IFERROR(__xludf.DUMMYFUNCTION("""COMPUTED_VALUE"""),99999.0)</f>
        <v>99999</v>
      </c>
      <c r="P2943" s="148">
        <f>IFERROR(__xludf.DUMMYFUNCTION("""COMPUTED_VALUE"""),9999.0)</f>
        <v>9999</v>
      </c>
      <c r="Q2943" s="148" t="str">
        <f>IFERROR(__xludf.DUMMYFUNCTION("""COMPUTED_VALUE"""),"[""bag_other""]")</f>
        <v>["bag_other"]</v>
      </c>
      <c r="R2943" s="148" t="str">
        <f>IFERROR(__xludf.DUMMYFUNCTION("""COMPUTED_VALUE"""),"[]")</f>
        <v>[]</v>
      </c>
      <c r="S2943" s="148" t="str">
        <f>IFERROR(__xludf.DUMMYFUNCTION("""COMPUTED_VALUE"""),"{}")</f>
        <v>{}</v>
      </c>
      <c r="T2943" s="148">
        <f>IFERROR(__xludf.DUMMYFUNCTION("""COMPUTED_VALUE"""),-1.0)</f>
        <v>-1</v>
      </c>
      <c r="U2943" s="148">
        <f>IFERROR(__xludf.DUMMYFUNCTION("""COMPUTED_VALUE"""),0.0)</f>
        <v>0</v>
      </c>
      <c r="V2943" s="148" t="str">
        <f>IFERROR(__xludf.DUMMYFUNCTION("""COMPUTED_VALUE"""),"[]")</f>
        <v>[]</v>
      </c>
      <c r="W2943" s="148">
        <f>IFERROR(__xludf.DUMMYFUNCTION("""COMPUTED_VALUE"""),1.174E7)</f>
        <v>11740000</v>
      </c>
      <c r="X2943" s="148">
        <f>IFERROR(__xludf.DUMMYFUNCTION("""COMPUTED_VALUE"""),0.0)</f>
        <v>0</v>
      </c>
      <c r="Y2943" s="148">
        <f>IFERROR(__xludf.DUMMYFUNCTION("""COMPUTED_VALUE"""),0.0)</f>
        <v>0</v>
      </c>
      <c r="Z2943" s="148"/>
    </row>
    <row r="2944">
      <c r="A2944" s="148">
        <f>IFERROR(__xludf.DUMMYFUNCTION("""COMPUTED_VALUE"""),1.1119909E7)</f>
        <v>11119909</v>
      </c>
      <c r="B2944" s="148" t="str">
        <f>IFERROR(__xludf.DUMMYFUNCTION("""COMPUTED_VALUE"""),"超凡军备箱-2倍")</f>
        <v>超凡军备箱-2倍</v>
      </c>
      <c r="C2944" s="148"/>
      <c r="D2944" s="148" t="str">
        <f>IFERROR(__xludf.DUMMYFUNCTION("""COMPUTED_VALUE"""),"event")</f>
        <v>event</v>
      </c>
      <c r="E2944" s="148">
        <f>IFERROR(__xludf.DUMMYFUNCTION("""COMPUTED_VALUE"""),0.0)</f>
        <v>0</v>
      </c>
      <c r="F2944" s="148">
        <f>IFERROR(__xludf.DUMMYFUNCTION("""COMPUTED_VALUE"""),0.0)</f>
        <v>0</v>
      </c>
      <c r="G2944" s="148">
        <f>IFERROR(__xludf.DUMMYFUNCTION("""COMPUTED_VALUE"""),1.5118907E7)</f>
        <v>15118907</v>
      </c>
      <c r="H2944" s="148">
        <f>IFERROR(__xludf.DUMMYFUNCTION("""COMPUTED_VALUE"""),1.5112564E7)</f>
        <v>15112564</v>
      </c>
      <c r="I2944" s="148" t="str">
        <f>IFERROR(__xludf.DUMMYFUNCTION("""COMPUTED_VALUE"""),"{}")</f>
        <v>{}</v>
      </c>
      <c r="J2944" s="148" t="str">
        <f>IFERROR(__xludf.DUMMYFUNCTION("""COMPUTED_VALUE"""),"{""typ"":""lc"",""txt"":""LC_ITEM_t6_arm_gacha_x2_name""}")</f>
        <v>{"typ":"lc","txt":"LC_ITEM_t6_arm_gacha_x2_name"}</v>
      </c>
      <c r="K2944" s="148" t="str">
        <f>IFERROR(__xludf.DUMMYFUNCTION("""COMPUTED_VALUE"""),"{""typ"":""lc"",""txt"":""LC_ITEM_t6_arm_gacha_token_x2_desc""}")</f>
        <v>{"typ":"lc","txt":"LC_ITEM_t6_arm_gacha_token_x2_desc"}</v>
      </c>
      <c r="L2944" s="148" t="str">
        <f>IFERROR(__xludf.DUMMYFUNCTION("""COMPUTED_VALUE"""),"{}")</f>
        <v>{}</v>
      </c>
      <c r="M2944" s="148">
        <f>IFERROR(__xludf.DUMMYFUNCTION("""COMPUTED_VALUE"""),125.0)</f>
        <v>125</v>
      </c>
      <c r="N2944" s="148">
        <f>IFERROR(__xludf.DUMMYFUNCTION("""COMPUTED_VALUE"""),1.0)</f>
        <v>1</v>
      </c>
      <c r="O2944" s="148">
        <f>IFERROR(__xludf.DUMMYFUNCTION("""COMPUTED_VALUE"""),1.0)</f>
        <v>1</v>
      </c>
      <c r="P2944" s="148">
        <f>IFERROR(__xludf.DUMMYFUNCTION("""COMPUTED_VALUE"""),1.0)</f>
        <v>1</v>
      </c>
      <c r="Q2944" s="148" t="str">
        <f>IFERROR(__xludf.DUMMYFUNCTION("""COMPUTED_VALUE"""),"[]")</f>
        <v>[]</v>
      </c>
      <c r="R2944" s="148" t="str">
        <f>IFERROR(__xludf.DUMMYFUNCTION("""COMPUTED_VALUE"""),"[]")</f>
        <v>[]</v>
      </c>
      <c r="S2944" s="148" t="str">
        <f>IFERROR(__xludf.DUMMYFUNCTION("""COMPUTED_VALUE"""),"{""effect"":[{""typ"":""event"",""id"":21123094,""val"":2}]}")</f>
        <v>{"effect":[{"typ":"event","id":21123094,"val":2}]}</v>
      </c>
      <c r="T2944" s="148">
        <f>IFERROR(__xludf.DUMMYFUNCTION("""COMPUTED_VALUE"""),-1.0)</f>
        <v>-1</v>
      </c>
      <c r="U2944" s="148">
        <f>IFERROR(__xludf.DUMMYFUNCTION("""COMPUTED_VALUE"""),1.0)</f>
        <v>1</v>
      </c>
      <c r="V2944" s="148" t="str">
        <f>IFERROR(__xludf.DUMMYFUNCTION("""COMPUTED_VALUE"""),"[]")</f>
        <v>[]</v>
      </c>
      <c r="W2944" s="148">
        <f>IFERROR(__xludf.DUMMYFUNCTION("""COMPUTED_VALUE"""),1.174E7)</f>
        <v>11740000</v>
      </c>
      <c r="X2944" s="148">
        <f>IFERROR(__xludf.DUMMYFUNCTION("""COMPUTED_VALUE"""),0.0)</f>
        <v>0</v>
      </c>
      <c r="Y2944" s="148">
        <f>IFERROR(__xludf.DUMMYFUNCTION("""COMPUTED_VALUE"""),0.0)</f>
        <v>0</v>
      </c>
      <c r="Z2944" s="148"/>
    </row>
    <row r="2945">
      <c r="A2945" s="148">
        <f>IFERROR(__xludf.DUMMYFUNCTION("""COMPUTED_VALUE"""),1.111991E7)</f>
        <v>11119910</v>
      </c>
      <c r="B2945" s="148" t="str">
        <f>IFERROR(__xludf.DUMMYFUNCTION("""COMPUTED_VALUE"""),"超凡军备箱-3倍")</f>
        <v>超凡军备箱-3倍</v>
      </c>
      <c r="C2945" s="148"/>
      <c r="D2945" s="148" t="str">
        <f>IFERROR(__xludf.DUMMYFUNCTION("""COMPUTED_VALUE"""),"event")</f>
        <v>event</v>
      </c>
      <c r="E2945" s="148">
        <f>IFERROR(__xludf.DUMMYFUNCTION("""COMPUTED_VALUE"""),0.0)</f>
        <v>0</v>
      </c>
      <c r="F2945" s="148">
        <f>IFERROR(__xludf.DUMMYFUNCTION("""COMPUTED_VALUE"""),0.0)</f>
        <v>0</v>
      </c>
      <c r="G2945" s="148">
        <f>IFERROR(__xludf.DUMMYFUNCTION("""COMPUTED_VALUE"""),1.5118908E7)</f>
        <v>15118908</v>
      </c>
      <c r="H2945" s="148">
        <f>IFERROR(__xludf.DUMMYFUNCTION("""COMPUTED_VALUE"""),1.5112564E7)</f>
        <v>15112564</v>
      </c>
      <c r="I2945" s="148" t="str">
        <f>IFERROR(__xludf.DUMMYFUNCTION("""COMPUTED_VALUE"""),"{}")</f>
        <v>{}</v>
      </c>
      <c r="J2945" s="148" t="str">
        <f>IFERROR(__xludf.DUMMYFUNCTION("""COMPUTED_VALUE"""),"{""typ"":""lc"",""txt"":""LC_ITEM_t6_arm_gacha_x3_name""}")</f>
        <v>{"typ":"lc","txt":"LC_ITEM_t6_arm_gacha_x3_name"}</v>
      </c>
      <c r="K2945" s="148" t="str">
        <f>IFERROR(__xludf.DUMMYFUNCTION("""COMPUTED_VALUE"""),"{""typ"":""lc"",""txt"":""LC_ITEM_t6_arm_gacha_token_x3_desc""}")</f>
        <v>{"typ":"lc","txt":"LC_ITEM_t6_arm_gacha_token_x3_desc"}</v>
      </c>
      <c r="L2945" s="148" t="str">
        <f>IFERROR(__xludf.DUMMYFUNCTION("""COMPUTED_VALUE"""),"{}")</f>
        <v>{}</v>
      </c>
      <c r="M2945" s="148">
        <f>IFERROR(__xludf.DUMMYFUNCTION("""COMPUTED_VALUE"""),125.0)</f>
        <v>125</v>
      </c>
      <c r="N2945" s="148">
        <f>IFERROR(__xludf.DUMMYFUNCTION("""COMPUTED_VALUE"""),1.0)</f>
        <v>1</v>
      </c>
      <c r="O2945" s="148">
        <f>IFERROR(__xludf.DUMMYFUNCTION("""COMPUTED_VALUE"""),1.0)</f>
        <v>1</v>
      </c>
      <c r="P2945" s="148">
        <f>IFERROR(__xludf.DUMMYFUNCTION("""COMPUTED_VALUE"""),1.0)</f>
        <v>1</v>
      </c>
      <c r="Q2945" s="148" t="str">
        <f>IFERROR(__xludf.DUMMYFUNCTION("""COMPUTED_VALUE"""),"[]")</f>
        <v>[]</v>
      </c>
      <c r="R2945" s="148" t="str">
        <f>IFERROR(__xludf.DUMMYFUNCTION("""COMPUTED_VALUE"""),"[]")</f>
        <v>[]</v>
      </c>
      <c r="S2945" s="148" t="str">
        <f>IFERROR(__xludf.DUMMYFUNCTION("""COMPUTED_VALUE"""),"{""effect"":[{""typ"":""event"",""id"":21123094,""val"":3}]}")</f>
        <v>{"effect":[{"typ":"event","id":21123094,"val":3}]}</v>
      </c>
      <c r="T2945" s="148">
        <f>IFERROR(__xludf.DUMMYFUNCTION("""COMPUTED_VALUE"""),-1.0)</f>
        <v>-1</v>
      </c>
      <c r="U2945" s="148">
        <f>IFERROR(__xludf.DUMMYFUNCTION("""COMPUTED_VALUE"""),1.0)</f>
        <v>1</v>
      </c>
      <c r="V2945" s="148" t="str">
        <f>IFERROR(__xludf.DUMMYFUNCTION("""COMPUTED_VALUE"""),"[]")</f>
        <v>[]</v>
      </c>
      <c r="W2945" s="148">
        <f>IFERROR(__xludf.DUMMYFUNCTION("""COMPUTED_VALUE"""),1.174E7)</f>
        <v>11740000</v>
      </c>
      <c r="X2945" s="148">
        <f>IFERROR(__xludf.DUMMYFUNCTION("""COMPUTED_VALUE"""),0.0)</f>
        <v>0</v>
      </c>
      <c r="Y2945" s="148">
        <f>IFERROR(__xludf.DUMMYFUNCTION("""COMPUTED_VALUE"""),0.0)</f>
        <v>0</v>
      </c>
      <c r="Z2945" s="148"/>
    </row>
    <row r="2946">
      <c r="A2946" s="148">
        <f>IFERROR(__xludf.DUMMYFUNCTION("""COMPUTED_VALUE"""),1.1119911E7)</f>
        <v>11119911</v>
      </c>
      <c r="B2946" s="148" t="str">
        <f>IFERROR(__xludf.DUMMYFUNCTION("""COMPUTED_VALUE"""),"超凡军备箱-2倍")</f>
        <v>超凡军备箱-2倍</v>
      </c>
      <c r="C2946" s="148"/>
      <c r="D2946" s="148" t="str">
        <f>IFERROR(__xludf.DUMMYFUNCTION("""COMPUTED_VALUE"""),"event")</f>
        <v>event</v>
      </c>
      <c r="E2946" s="148">
        <f>IFERROR(__xludf.DUMMYFUNCTION("""COMPUTED_VALUE"""),0.0)</f>
        <v>0</v>
      </c>
      <c r="F2946" s="148">
        <f>IFERROR(__xludf.DUMMYFUNCTION("""COMPUTED_VALUE"""),0.0)</f>
        <v>0</v>
      </c>
      <c r="G2946" s="148">
        <f>IFERROR(__xludf.DUMMYFUNCTION("""COMPUTED_VALUE"""),1.5118907E7)</f>
        <v>15118907</v>
      </c>
      <c r="H2946" s="148">
        <f>IFERROR(__xludf.DUMMYFUNCTION("""COMPUTED_VALUE"""),1.5112564E7)</f>
        <v>15112564</v>
      </c>
      <c r="I2946" s="148" t="str">
        <f>IFERROR(__xludf.DUMMYFUNCTION("""COMPUTED_VALUE"""),"{}")</f>
        <v>{}</v>
      </c>
      <c r="J2946" s="148" t="str">
        <f>IFERROR(__xludf.DUMMYFUNCTION("""COMPUTED_VALUE"""),"{""typ"":""lc"",""txt"":""LC_ITEM_t6_arm_gacha_x2_name""}")</f>
        <v>{"typ":"lc","txt":"LC_ITEM_t6_arm_gacha_x2_name"}</v>
      </c>
      <c r="K2946" s="148" t="str">
        <f>IFERROR(__xludf.DUMMYFUNCTION("""COMPUTED_VALUE"""),"{""typ"":""lc"",""txt"":""LC_ITEM_t6_arm_gacha_token_x2_desc""}")</f>
        <v>{"typ":"lc","txt":"LC_ITEM_t6_arm_gacha_token_x2_desc"}</v>
      </c>
      <c r="L2946" s="148" t="str">
        <f>IFERROR(__xludf.DUMMYFUNCTION("""COMPUTED_VALUE"""),"{}")</f>
        <v>{}</v>
      </c>
      <c r="M2946" s="148">
        <f>IFERROR(__xludf.DUMMYFUNCTION("""COMPUTED_VALUE"""),125.0)</f>
        <v>125</v>
      </c>
      <c r="N2946" s="148">
        <f>IFERROR(__xludf.DUMMYFUNCTION("""COMPUTED_VALUE"""),1.0)</f>
        <v>1</v>
      </c>
      <c r="O2946" s="148">
        <f>IFERROR(__xludf.DUMMYFUNCTION("""COMPUTED_VALUE"""),1.0)</f>
        <v>1</v>
      </c>
      <c r="P2946" s="148">
        <f>IFERROR(__xludf.DUMMYFUNCTION("""COMPUTED_VALUE"""),1.0)</f>
        <v>1</v>
      </c>
      <c r="Q2946" s="148" t="str">
        <f>IFERROR(__xludf.DUMMYFUNCTION("""COMPUTED_VALUE"""),"[]")</f>
        <v>[]</v>
      </c>
      <c r="R2946" s="148" t="str">
        <f>IFERROR(__xludf.DUMMYFUNCTION("""COMPUTED_VALUE"""),"[]")</f>
        <v>[]</v>
      </c>
      <c r="S2946" s="148" t="str">
        <f>IFERROR(__xludf.DUMMYFUNCTION("""COMPUTED_VALUE"""),"{""effect"":[{""typ"":""event"",""id"":21123095,""val"":2}]}")</f>
        <v>{"effect":[{"typ":"event","id":21123095,"val":2}]}</v>
      </c>
      <c r="T2946" s="148">
        <f>IFERROR(__xludf.DUMMYFUNCTION("""COMPUTED_VALUE"""),-1.0)</f>
        <v>-1</v>
      </c>
      <c r="U2946" s="148">
        <f>IFERROR(__xludf.DUMMYFUNCTION("""COMPUTED_VALUE"""),1.0)</f>
        <v>1</v>
      </c>
      <c r="V2946" s="148" t="str">
        <f>IFERROR(__xludf.DUMMYFUNCTION("""COMPUTED_VALUE"""),"[]")</f>
        <v>[]</v>
      </c>
      <c r="W2946" s="148">
        <f>IFERROR(__xludf.DUMMYFUNCTION("""COMPUTED_VALUE"""),1.174E7)</f>
        <v>11740000</v>
      </c>
      <c r="X2946" s="148">
        <f>IFERROR(__xludf.DUMMYFUNCTION("""COMPUTED_VALUE"""),0.0)</f>
        <v>0</v>
      </c>
      <c r="Y2946" s="148">
        <f>IFERROR(__xludf.DUMMYFUNCTION("""COMPUTED_VALUE"""),0.0)</f>
        <v>0</v>
      </c>
      <c r="Z2946" s="148"/>
    </row>
    <row r="2947">
      <c r="A2947" s="148">
        <f>IFERROR(__xludf.DUMMYFUNCTION("""COMPUTED_VALUE"""),1.1119912E7)</f>
        <v>11119912</v>
      </c>
      <c r="B2947" s="148" t="str">
        <f>IFERROR(__xludf.DUMMYFUNCTION("""COMPUTED_VALUE"""),"超凡军备箱-3倍")</f>
        <v>超凡军备箱-3倍</v>
      </c>
      <c r="C2947" s="148"/>
      <c r="D2947" s="148" t="str">
        <f>IFERROR(__xludf.DUMMYFUNCTION("""COMPUTED_VALUE"""),"event")</f>
        <v>event</v>
      </c>
      <c r="E2947" s="148">
        <f>IFERROR(__xludf.DUMMYFUNCTION("""COMPUTED_VALUE"""),0.0)</f>
        <v>0</v>
      </c>
      <c r="F2947" s="148">
        <f>IFERROR(__xludf.DUMMYFUNCTION("""COMPUTED_VALUE"""),0.0)</f>
        <v>0</v>
      </c>
      <c r="G2947" s="148">
        <f>IFERROR(__xludf.DUMMYFUNCTION("""COMPUTED_VALUE"""),1.5118908E7)</f>
        <v>15118908</v>
      </c>
      <c r="H2947" s="148">
        <f>IFERROR(__xludf.DUMMYFUNCTION("""COMPUTED_VALUE"""),1.5112564E7)</f>
        <v>15112564</v>
      </c>
      <c r="I2947" s="148" t="str">
        <f>IFERROR(__xludf.DUMMYFUNCTION("""COMPUTED_VALUE"""),"{}")</f>
        <v>{}</v>
      </c>
      <c r="J2947" s="148" t="str">
        <f>IFERROR(__xludf.DUMMYFUNCTION("""COMPUTED_VALUE"""),"{""typ"":""lc"",""txt"":""LC_ITEM_t6_arm_gacha_x3_name""}")</f>
        <v>{"typ":"lc","txt":"LC_ITEM_t6_arm_gacha_x3_name"}</v>
      </c>
      <c r="K2947" s="148" t="str">
        <f>IFERROR(__xludf.DUMMYFUNCTION("""COMPUTED_VALUE"""),"{""typ"":""lc"",""txt"":""LC_ITEM_t6_arm_gacha_token_x3_desc""}")</f>
        <v>{"typ":"lc","txt":"LC_ITEM_t6_arm_gacha_token_x3_desc"}</v>
      </c>
      <c r="L2947" s="148" t="str">
        <f>IFERROR(__xludf.DUMMYFUNCTION("""COMPUTED_VALUE"""),"{}")</f>
        <v>{}</v>
      </c>
      <c r="M2947" s="148">
        <f>IFERROR(__xludf.DUMMYFUNCTION("""COMPUTED_VALUE"""),125.0)</f>
        <v>125</v>
      </c>
      <c r="N2947" s="148">
        <f>IFERROR(__xludf.DUMMYFUNCTION("""COMPUTED_VALUE"""),1.0)</f>
        <v>1</v>
      </c>
      <c r="O2947" s="148">
        <f>IFERROR(__xludf.DUMMYFUNCTION("""COMPUTED_VALUE"""),1.0)</f>
        <v>1</v>
      </c>
      <c r="P2947" s="148">
        <f>IFERROR(__xludf.DUMMYFUNCTION("""COMPUTED_VALUE"""),1.0)</f>
        <v>1</v>
      </c>
      <c r="Q2947" s="148" t="str">
        <f>IFERROR(__xludf.DUMMYFUNCTION("""COMPUTED_VALUE"""),"[]")</f>
        <v>[]</v>
      </c>
      <c r="R2947" s="148" t="str">
        <f>IFERROR(__xludf.DUMMYFUNCTION("""COMPUTED_VALUE"""),"[]")</f>
        <v>[]</v>
      </c>
      <c r="S2947" s="148" t="str">
        <f>IFERROR(__xludf.DUMMYFUNCTION("""COMPUTED_VALUE"""),"{""effect"":[{""typ"":""event"",""id"":21123095,""val"":3}]}")</f>
        <v>{"effect":[{"typ":"event","id":21123095,"val":3}]}</v>
      </c>
      <c r="T2947" s="148">
        <f>IFERROR(__xludf.DUMMYFUNCTION("""COMPUTED_VALUE"""),-1.0)</f>
        <v>-1</v>
      </c>
      <c r="U2947" s="148">
        <f>IFERROR(__xludf.DUMMYFUNCTION("""COMPUTED_VALUE"""),1.0)</f>
        <v>1</v>
      </c>
      <c r="V2947" s="148" t="str">
        <f>IFERROR(__xludf.DUMMYFUNCTION("""COMPUTED_VALUE"""),"[]")</f>
        <v>[]</v>
      </c>
      <c r="W2947" s="148">
        <f>IFERROR(__xludf.DUMMYFUNCTION("""COMPUTED_VALUE"""),1.174E7)</f>
        <v>11740000</v>
      </c>
      <c r="X2947" s="148">
        <f>IFERROR(__xludf.DUMMYFUNCTION("""COMPUTED_VALUE"""),0.0)</f>
        <v>0</v>
      </c>
      <c r="Y2947" s="148">
        <f>IFERROR(__xludf.DUMMYFUNCTION("""COMPUTED_VALUE"""),0.0)</f>
        <v>0</v>
      </c>
      <c r="Z2947" s="148"/>
    </row>
    <row r="2948">
      <c r="A2948" s="148">
        <f>IFERROR(__xludf.DUMMYFUNCTION("""COMPUTED_VALUE"""),1.1119913E7)</f>
        <v>11119913</v>
      </c>
      <c r="B2948" s="148" t="str">
        <f>IFERROR(__xludf.DUMMYFUNCTION("""COMPUTED_VALUE"""),"超凡军备箱-2倍")</f>
        <v>超凡军备箱-2倍</v>
      </c>
      <c r="C2948" s="148"/>
      <c r="D2948" s="148" t="str">
        <f>IFERROR(__xludf.DUMMYFUNCTION("""COMPUTED_VALUE"""),"event")</f>
        <v>event</v>
      </c>
      <c r="E2948" s="148">
        <f>IFERROR(__xludf.DUMMYFUNCTION("""COMPUTED_VALUE"""),0.0)</f>
        <v>0</v>
      </c>
      <c r="F2948" s="148">
        <f>IFERROR(__xludf.DUMMYFUNCTION("""COMPUTED_VALUE"""),0.0)</f>
        <v>0</v>
      </c>
      <c r="G2948" s="148">
        <f>IFERROR(__xludf.DUMMYFUNCTION("""COMPUTED_VALUE"""),1.5118907E7)</f>
        <v>15118907</v>
      </c>
      <c r="H2948" s="148">
        <f>IFERROR(__xludf.DUMMYFUNCTION("""COMPUTED_VALUE"""),1.5112564E7)</f>
        <v>15112564</v>
      </c>
      <c r="I2948" s="148" t="str">
        <f>IFERROR(__xludf.DUMMYFUNCTION("""COMPUTED_VALUE"""),"{}")</f>
        <v>{}</v>
      </c>
      <c r="J2948" s="148" t="str">
        <f>IFERROR(__xludf.DUMMYFUNCTION("""COMPUTED_VALUE"""),"{""typ"":""lc"",""txt"":""LC_ITEM_t6_arm_gacha_x2_name""}")</f>
        <v>{"typ":"lc","txt":"LC_ITEM_t6_arm_gacha_x2_name"}</v>
      </c>
      <c r="K2948" s="148" t="str">
        <f>IFERROR(__xludf.DUMMYFUNCTION("""COMPUTED_VALUE"""),"{""typ"":""lc"",""txt"":""LC_ITEM_t6_arm_gacha_token_x2_desc""}")</f>
        <v>{"typ":"lc","txt":"LC_ITEM_t6_arm_gacha_token_x2_desc"}</v>
      </c>
      <c r="L2948" s="148" t="str">
        <f>IFERROR(__xludf.DUMMYFUNCTION("""COMPUTED_VALUE"""),"{}")</f>
        <v>{}</v>
      </c>
      <c r="M2948" s="148">
        <f>IFERROR(__xludf.DUMMYFUNCTION("""COMPUTED_VALUE"""),125.0)</f>
        <v>125</v>
      </c>
      <c r="N2948" s="148">
        <f>IFERROR(__xludf.DUMMYFUNCTION("""COMPUTED_VALUE"""),1.0)</f>
        <v>1</v>
      </c>
      <c r="O2948" s="148">
        <f>IFERROR(__xludf.DUMMYFUNCTION("""COMPUTED_VALUE"""),1.0)</f>
        <v>1</v>
      </c>
      <c r="P2948" s="148">
        <f>IFERROR(__xludf.DUMMYFUNCTION("""COMPUTED_VALUE"""),1.0)</f>
        <v>1</v>
      </c>
      <c r="Q2948" s="148" t="str">
        <f>IFERROR(__xludf.DUMMYFUNCTION("""COMPUTED_VALUE"""),"[]")</f>
        <v>[]</v>
      </c>
      <c r="R2948" s="148" t="str">
        <f>IFERROR(__xludf.DUMMYFUNCTION("""COMPUTED_VALUE"""),"[]")</f>
        <v>[]</v>
      </c>
      <c r="S2948" s="148" t="str">
        <f>IFERROR(__xludf.DUMMYFUNCTION("""COMPUTED_VALUE"""),"{""effect"":[{""typ"":""event"",""id"":21123096,""val"":2}]}")</f>
        <v>{"effect":[{"typ":"event","id":21123096,"val":2}]}</v>
      </c>
      <c r="T2948" s="148">
        <f>IFERROR(__xludf.DUMMYFUNCTION("""COMPUTED_VALUE"""),-1.0)</f>
        <v>-1</v>
      </c>
      <c r="U2948" s="148">
        <f>IFERROR(__xludf.DUMMYFUNCTION("""COMPUTED_VALUE"""),1.0)</f>
        <v>1</v>
      </c>
      <c r="V2948" s="148" t="str">
        <f>IFERROR(__xludf.DUMMYFUNCTION("""COMPUTED_VALUE"""),"[]")</f>
        <v>[]</v>
      </c>
      <c r="W2948" s="148">
        <f>IFERROR(__xludf.DUMMYFUNCTION("""COMPUTED_VALUE"""),1.174E7)</f>
        <v>11740000</v>
      </c>
      <c r="X2948" s="148">
        <f>IFERROR(__xludf.DUMMYFUNCTION("""COMPUTED_VALUE"""),0.0)</f>
        <v>0</v>
      </c>
      <c r="Y2948" s="148">
        <f>IFERROR(__xludf.DUMMYFUNCTION("""COMPUTED_VALUE"""),0.0)</f>
        <v>0</v>
      </c>
      <c r="Z2948" s="148"/>
    </row>
    <row r="2949">
      <c r="A2949" s="148">
        <f>IFERROR(__xludf.DUMMYFUNCTION("""COMPUTED_VALUE"""),1.1119914E7)</f>
        <v>11119914</v>
      </c>
      <c r="B2949" s="148" t="str">
        <f>IFERROR(__xludf.DUMMYFUNCTION("""COMPUTED_VALUE"""),"超凡军备箱-3倍")</f>
        <v>超凡军备箱-3倍</v>
      </c>
      <c r="C2949" s="148"/>
      <c r="D2949" s="148" t="str">
        <f>IFERROR(__xludf.DUMMYFUNCTION("""COMPUTED_VALUE"""),"event")</f>
        <v>event</v>
      </c>
      <c r="E2949" s="148">
        <f>IFERROR(__xludf.DUMMYFUNCTION("""COMPUTED_VALUE"""),0.0)</f>
        <v>0</v>
      </c>
      <c r="F2949" s="148">
        <f>IFERROR(__xludf.DUMMYFUNCTION("""COMPUTED_VALUE"""),0.0)</f>
        <v>0</v>
      </c>
      <c r="G2949" s="148">
        <f>IFERROR(__xludf.DUMMYFUNCTION("""COMPUTED_VALUE"""),1.5118908E7)</f>
        <v>15118908</v>
      </c>
      <c r="H2949" s="148">
        <f>IFERROR(__xludf.DUMMYFUNCTION("""COMPUTED_VALUE"""),1.5112564E7)</f>
        <v>15112564</v>
      </c>
      <c r="I2949" s="148" t="str">
        <f>IFERROR(__xludf.DUMMYFUNCTION("""COMPUTED_VALUE"""),"{}")</f>
        <v>{}</v>
      </c>
      <c r="J2949" s="148" t="str">
        <f>IFERROR(__xludf.DUMMYFUNCTION("""COMPUTED_VALUE"""),"{""typ"":""lc"",""txt"":""LC_ITEM_t6_arm_gacha_x3_name""}")</f>
        <v>{"typ":"lc","txt":"LC_ITEM_t6_arm_gacha_x3_name"}</v>
      </c>
      <c r="K2949" s="148" t="str">
        <f>IFERROR(__xludf.DUMMYFUNCTION("""COMPUTED_VALUE"""),"{""typ"":""lc"",""txt"":""LC_ITEM_t6_arm_gacha_token_x3_desc""}")</f>
        <v>{"typ":"lc","txt":"LC_ITEM_t6_arm_gacha_token_x3_desc"}</v>
      </c>
      <c r="L2949" s="148" t="str">
        <f>IFERROR(__xludf.DUMMYFUNCTION("""COMPUTED_VALUE"""),"{}")</f>
        <v>{}</v>
      </c>
      <c r="M2949" s="148">
        <f>IFERROR(__xludf.DUMMYFUNCTION("""COMPUTED_VALUE"""),125.0)</f>
        <v>125</v>
      </c>
      <c r="N2949" s="148">
        <f>IFERROR(__xludf.DUMMYFUNCTION("""COMPUTED_VALUE"""),1.0)</f>
        <v>1</v>
      </c>
      <c r="O2949" s="148">
        <f>IFERROR(__xludf.DUMMYFUNCTION("""COMPUTED_VALUE"""),1.0)</f>
        <v>1</v>
      </c>
      <c r="P2949" s="148">
        <f>IFERROR(__xludf.DUMMYFUNCTION("""COMPUTED_VALUE"""),1.0)</f>
        <v>1</v>
      </c>
      <c r="Q2949" s="148" t="str">
        <f>IFERROR(__xludf.DUMMYFUNCTION("""COMPUTED_VALUE"""),"[]")</f>
        <v>[]</v>
      </c>
      <c r="R2949" s="148" t="str">
        <f>IFERROR(__xludf.DUMMYFUNCTION("""COMPUTED_VALUE"""),"[]")</f>
        <v>[]</v>
      </c>
      <c r="S2949" s="148" t="str">
        <f>IFERROR(__xludf.DUMMYFUNCTION("""COMPUTED_VALUE"""),"{""effect"":[{""typ"":""event"",""id"":21123096,""val"":3}]}")</f>
        <v>{"effect":[{"typ":"event","id":21123096,"val":3}]}</v>
      </c>
      <c r="T2949" s="148">
        <f>IFERROR(__xludf.DUMMYFUNCTION("""COMPUTED_VALUE"""),-1.0)</f>
        <v>-1</v>
      </c>
      <c r="U2949" s="148">
        <f>IFERROR(__xludf.DUMMYFUNCTION("""COMPUTED_VALUE"""),1.0)</f>
        <v>1</v>
      </c>
      <c r="V2949" s="148" t="str">
        <f>IFERROR(__xludf.DUMMYFUNCTION("""COMPUTED_VALUE"""),"[]")</f>
        <v>[]</v>
      </c>
      <c r="W2949" s="148">
        <f>IFERROR(__xludf.DUMMYFUNCTION("""COMPUTED_VALUE"""),1.174E7)</f>
        <v>11740000</v>
      </c>
      <c r="X2949" s="148">
        <f>IFERROR(__xludf.DUMMYFUNCTION("""COMPUTED_VALUE"""),0.0)</f>
        <v>0</v>
      </c>
      <c r="Y2949" s="148">
        <f>IFERROR(__xludf.DUMMYFUNCTION("""COMPUTED_VALUE"""),0.0)</f>
        <v>0</v>
      </c>
      <c r="Z2949" s="148"/>
    </row>
    <row r="2950">
      <c r="A2950" s="148">
        <f>IFERROR(__xludf.DUMMYFUNCTION("""COMPUTED_VALUE"""),1.1119915E7)</f>
        <v>11119915</v>
      </c>
      <c r="B2950" s="148" t="str">
        <f>IFERROR(__xludf.DUMMYFUNCTION("""COMPUTED_VALUE"""),"超凡军备箱-2倍")</f>
        <v>超凡军备箱-2倍</v>
      </c>
      <c r="C2950" s="148"/>
      <c r="D2950" s="148" t="str">
        <f>IFERROR(__xludf.DUMMYFUNCTION("""COMPUTED_VALUE"""),"event")</f>
        <v>event</v>
      </c>
      <c r="E2950" s="148">
        <f>IFERROR(__xludf.DUMMYFUNCTION("""COMPUTED_VALUE"""),0.0)</f>
        <v>0</v>
      </c>
      <c r="F2950" s="148">
        <f>IFERROR(__xludf.DUMMYFUNCTION("""COMPUTED_VALUE"""),0.0)</f>
        <v>0</v>
      </c>
      <c r="G2950" s="148">
        <f>IFERROR(__xludf.DUMMYFUNCTION("""COMPUTED_VALUE"""),1.5118907E7)</f>
        <v>15118907</v>
      </c>
      <c r="H2950" s="148">
        <f>IFERROR(__xludf.DUMMYFUNCTION("""COMPUTED_VALUE"""),1.5112564E7)</f>
        <v>15112564</v>
      </c>
      <c r="I2950" s="148" t="str">
        <f>IFERROR(__xludf.DUMMYFUNCTION("""COMPUTED_VALUE"""),"{}")</f>
        <v>{}</v>
      </c>
      <c r="J2950" s="148" t="str">
        <f>IFERROR(__xludf.DUMMYFUNCTION("""COMPUTED_VALUE"""),"{""typ"":""lc"",""txt"":""LC_ITEM_t6_arm_gacha_x2_name""}")</f>
        <v>{"typ":"lc","txt":"LC_ITEM_t6_arm_gacha_x2_name"}</v>
      </c>
      <c r="K2950" s="148" t="str">
        <f>IFERROR(__xludf.DUMMYFUNCTION("""COMPUTED_VALUE"""),"{""typ"":""lc"",""txt"":""LC_ITEM_t6_arm_gacha_token_x2_desc""}")</f>
        <v>{"typ":"lc","txt":"LC_ITEM_t6_arm_gacha_token_x2_desc"}</v>
      </c>
      <c r="L2950" s="148" t="str">
        <f>IFERROR(__xludf.DUMMYFUNCTION("""COMPUTED_VALUE"""),"{}")</f>
        <v>{}</v>
      </c>
      <c r="M2950" s="148">
        <f>IFERROR(__xludf.DUMMYFUNCTION("""COMPUTED_VALUE"""),125.0)</f>
        <v>125</v>
      </c>
      <c r="N2950" s="148">
        <f>IFERROR(__xludf.DUMMYFUNCTION("""COMPUTED_VALUE"""),1.0)</f>
        <v>1</v>
      </c>
      <c r="O2950" s="148">
        <f>IFERROR(__xludf.DUMMYFUNCTION("""COMPUTED_VALUE"""),1.0)</f>
        <v>1</v>
      </c>
      <c r="P2950" s="148">
        <f>IFERROR(__xludf.DUMMYFUNCTION("""COMPUTED_VALUE"""),1.0)</f>
        <v>1</v>
      </c>
      <c r="Q2950" s="148" t="str">
        <f>IFERROR(__xludf.DUMMYFUNCTION("""COMPUTED_VALUE"""),"[]")</f>
        <v>[]</v>
      </c>
      <c r="R2950" s="148" t="str">
        <f>IFERROR(__xludf.DUMMYFUNCTION("""COMPUTED_VALUE"""),"[]")</f>
        <v>[]</v>
      </c>
      <c r="S2950" s="148" t="str">
        <f>IFERROR(__xludf.DUMMYFUNCTION("""COMPUTED_VALUE"""),"{""effect"":[{""typ"":""event"",""id"":21123097,""val"":2}]}")</f>
        <v>{"effect":[{"typ":"event","id":21123097,"val":2}]}</v>
      </c>
      <c r="T2950" s="148">
        <f>IFERROR(__xludf.DUMMYFUNCTION("""COMPUTED_VALUE"""),-1.0)</f>
        <v>-1</v>
      </c>
      <c r="U2950" s="148">
        <f>IFERROR(__xludf.DUMMYFUNCTION("""COMPUTED_VALUE"""),1.0)</f>
        <v>1</v>
      </c>
      <c r="V2950" s="148" t="str">
        <f>IFERROR(__xludf.DUMMYFUNCTION("""COMPUTED_VALUE"""),"[]")</f>
        <v>[]</v>
      </c>
      <c r="W2950" s="148">
        <f>IFERROR(__xludf.DUMMYFUNCTION("""COMPUTED_VALUE"""),1.174E7)</f>
        <v>11740000</v>
      </c>
      <c r="X2950" s="148">
        <f>IFERROR(__xludf.DUMMYFUNCTION("""COMPUTED_VALUE"""),0.0)</f>
        <v>0</v>
      </c>
      <c r="Y2950" s="148">
        <f>IFERROR(__xludf.DUMMYFUNCTION("""COMPUTED_VALUE"""),0.0)</f>
        <v>0</v>
      </c>
      <c r="Z2950" s="148"/>
    </row>
    <row r="2951">
      <c r="A2951" s="148">
        <f>IFERROR(__xludf.DUMMYFUNCTION("""COMPUTED_VALUE"""),1.1119916E7)</f>
        <v>11119916</v>
      </c>
      <c r="B2951" s="148" t="str">
        <f>IFERROR(__xludf.DUMMYFUNCTION("""COMPUTED_VALUE"""),"超凡军备箱-3倍")</f>
        <v>超凡军备箱-3倍</v>
      </c>
      <c r="C2951" s="148"/>
      <c r="D2951" s="148" t="str">
        <f>IFERROR(__xludf.DUMMYFUNCTION("""COMPUTED_VALUE"""),"event")</f>
        <v>event</v>
      </c>
      <c r="E2951" s="148">
        <f>IFERROR(__xludf.DUMMYFUNCTION("""COMPUTED_VALUE"""),0.0)</f>
        <v>0</v>
      </c>
      <c r="F2951" s="148">
        <f>IFERROR(__xludf.DUMMYFUNCTION("""COMPUTED_VALUE"""),0.0)</f>
        <v>0</v>
      </c>
      <c r="G2951" s="148">
        <f>IFERROR(__xludf.DUMMYFUNCTION("""COMPUTED_VALUE"""),1.5118908E7)</f>
        <v>15118908</v>
      </c>
      <c r="H2951" s="148">
        <f>IFERROR(__xludf.DUMMYFUNCTION("""COMPUTED_VALUE"""),1.5112564E7)</f>
        <v>15112564</v>
      </c>
      <c r="I2951" s="148" t="str">
        <f>IFERROR(__xludf.DUMMYFUNCTION("""COMPUTED_VALUE"""),"{}")</f>
        <v>{}</v>
      </c>
      <c r="J2951" s="148" t="str">
        <f>IFERROR(__xludf.DUMMYFUNCTION("""COMPUTED_VALUE"""),"{""typ"":""lc"",""txt"":""LC_ITEM_t6_arm_gacha_x3_name""}")</f>
        <v>{"typ":"lc","txt":"LC_ITEM_t6_arm_gacha_x3_name"}</v>
      </c>
      <c r="K2951" s="148" t="str">
        <f>IFERROR(__xludf.DUMMYFUNCTION("""COMPUTED_VALUE"""),"{""typ"":""lc"",""txt"":""LC_ITEM_t6_arm_gacha_token_x3_desc""}")</f>
        <v>{"typ":"lc","txt":"LC_ITEM_t6_arm_gacha_token_x3_desc"}</v>
      </c>
      <c r="L2951" s="148" t="str">
        <f>IFERROR(__xludf.DUMMYFUNCTION("""COMPUTED_VALUE"""),"{}")</f>
        <v>{}</v>
      </c>
      <c r="M2951" s="148">
        <f>IFERROR(__xludf.DUMMYFUNCTION("""COMPUTED_VALUE"""),125.0)</f>
        <v>125</v>
      </c>
      <c r="N2951" s="148">
        <f>IFERROR(__xludf.DUMMYFUNCTION("""COMPUTED_VALUE"""),1.0)</f>
        <v>1</v>
      </c>
      <c r="O2951" s="148">
        <f>IFERROR(__xludf.DUMMYFUNCTION("""COMPUTED_VALUE"""),1.0)</f>
        <v>1</v>
      </c>
      <c r="P2951" s="148">
        <f>IFERROR(__xludf.DUMMYFUNCTION("""COMPUTED_VALUE"""),1.0)</f>
        <v>1</v>
      </c>
      <c r="Q2951" s="148" t="str">
        <f>IFERROR(__xludf.DUMMYFUNCTION("""COMPUTED_VALUE"""),"[]")</f>
        <v>[]</v>
      </c>
      <c r="R2951" s="148" t="str">
        <f>IFERROR(__xludf.DUMMYFUNCTION("""COMPUTED_VALUE"""),"[]")</f>
        <v>[]</v>
      </c>
      <c r="S2951" s="148" t="str">
        <f>IFERROR(__xludf.DUMMYFUNCTION("""COMPUTED_VALUE"""),"{""effect"":[{""typ"":""event"",""id"":21123097,""val"":3}]}")</f>
        <v>{"effect":[{"typ":"event","id":21123097,"val":3}]}</v>
      </c>
      <c r="T2951" s="148">
        <f>IFERROR(__xludf.DUMMYFUNCTION("""COMPUTED_VALUE"""),-1.0)</f>
        <v>-1</v>
      </c>
      <c r="U2951" s="148">
        <f>IFERROR(__xludf.DUMMYFUNCTION("""COMPUTED_VALUE"""),1.0)</f>
        <v>1</v>
      </c>
      <c r="V2951" s="148" t="str">
        <f>IFERROR(__xludf.DUMMYFUNCTION("""COMPUTED_VALUE"""),"[]")</f>
        <v>[]</v>
      </c>
      <c r="W2951" s="148">
        <f>IFERROR(__xludf.DUMMYFUNCTION("""COMPUTED_VALUE"""),1.174E7)</f>
        <v>11740000</v>
      </c>
      <c r="X2951" s="148">
        <f>IFERROR(__xludf.DUMMYFUNCTION("""COMPUTED_VALUE"""),0.0)</f>
        <v>0</v>
      </c>
      <c r="Y2951" s="148">
        <f>IFERROR(__xludf.DUMMYFUNCTION("""COMPUTED_VALUE"""),0.0)</f>
        <v>0</v>
      </c>
      <c r="Z2951" s="148"/>
    </row>
    <row r="2952">
      <c r="A2952" s="148">
        <f>IFERROR(__xludf.DUMMYFUNCTION("""COMPUTED_VALUE"""),1.1119917E7)</f>
        <v>11119917</v>
      </c>
      <c r="B2952" s="148" t="str">
        <f>IFERROR(__xludf.DUMMYFUNCTION("""COMPUTED_VALUE"""),"2025范围特效-高")</f>
        <v>2025范围特效-高</v>
      </c>
      <c r="C2952" s="148"/>
      <c r="D2952" s="148" t="str">
        <f>IFERROR(__xludf.DUMMYFUNCTION("""COMPUTED_VALUE"""),"city_effect_extent")</f>
        <v>city_effect_extent</v>
      </c>
      <c r="E2952" s="148">
        <f>IFERROR(__xludf.DUMMYFUNCTION("""COMPUTED_VALUE"""),0.0)</f>
        <v>0</v>
      </c>
      <c r="F2952" s="148">
        <f>IFERROR(__xludf.DUMMYFUNCTION("""COMPUTED_VALUE"""),499990.0)</f>
        <v>499990</v>
      </c>
      <c r="G2952" s="148">
        <f>IFERROR(__xludf.DUMMYFUNCTION("""COMPUTED_VALUE"""),1.5110323E8)</f>
        <v>151103230</v>
      </c>
      <c r="H2952" s="148">
        <f>IFERROR(__xludf.DUMMYFUNCTION("""COMPUTED_VALUE"""),1.5115983E7)</f>
        <v>15115983</v>
      </c>
      <c r="I2952" s="148" t="str">
        <f>IFERROR(__xludf.DUMMYFUNCTION("""COMPUTED_VALUE"""),"{}")</f>
        <v>{}</v>
      </c>
      <c r="J2952" s="148" t="str">
        <f>IFERROR(__xludf.DUMMYFUNCTION("""COMPUTED_VALUE"""),"{""typ"":""lc"",""txt"":""LC_ITEM_2025gene_city_effect_name_1""}")</f>
        <v>{"typ":"lc","txt":"LC_ITEM_2025gene_city_effect_name_1"}</v>
      </c>
      <c r="K2952" s="148" t="str">
        <f>IFERROR(__xludf.DUMMYFUNCTION("""COMPUTED_VALUE"""),"{""typ"":""lc"",""txt"":""LC_ITEM_2025gene_city_effect_desc_1""}")</f>
        <v>{"typ":"lc","txt":"LC_ITEM_2025gene_city_effect_desc_1"}</v>
      </c>
      <c r="L2952" s="148" t="str">
        <f>IFERROR(__xludf.DUMMYFUNCTION("""COMPUTED_VALUE"""),"{""typ"":""lc"",""txt"":""LC_ASSET_suit_actived_tips_1""}")</f>
        <v>{"typ":"lc","txt":"LC_ASSET_suit_actived_tips_1"}</v>
      </c>
      <c r="M2952" s="148">
        <f>IFERROR(__xludf.DUMMYFUNCTION("""COMPUTED_VALUE"""),10000.0)</f>
        <v>10000</v>
      </c>
      <c r="N2952" s="148">
        <f>IFERROR(__xludf.DUMMYFUNCTION("""COMPUTED_VALUE"""),999.0)</f>
        <v>999</v>
      </c>
      <c r="O2952" s="148">
        <f>IFERROR(__xludf.DUMMYFUNCTION("""COMPUTED_VALUE"""),1.0)</f>
        <v>1</v>
      </c>
      <c r="P2952" s="148">
        <f>IFERROR(__xludf.DUMMYFUNCTION("""COMPUTED_VALUE"""),1.0)</f>
        <v>1</v>
      </c>
      <c r="Q2952" s="148" t="str">
        <f>IFERROR(__xludf.DUMMYFUNCTION("""COMPUTED_VALUE"""),"[""bag_other""]")</f>
        <v>["bag_other"]</v>
      </c>
      <c r="R2952" s="148" t="str">
        <f>IFERROR(__xludf.DUMMYFUNCTION("""COMPUTED_VALUE"""),"[""bag"",""13921002""]")</f>
        <v>["bag","13921002"]</v>
      </c>
      <c r="S2952" s="148" t="str">
        <f>IFERROR(__xludf.DUMMYFUNCTION("""COMPUTED_VALUE"""),"{""effect"":[{""typ"":""city_effect_extent"",""id"":13921002,""val"":-1},{""typ"":""item"",""id"":11111021,""val"":7}]}")</f>
        <v>{"effect":[{"typ":"city_effect_extent","id":13921002,"val":-1},{"typ":"item","id":11111021,"val":7}]}</v>
      </c>
      <c r="T2952" s="148">
        <f>IFERROR(__xludf.DUMMYFUNCTION("""COMPUTED_VALUE"""),-1.0)</f>
        <v>-1</v>
      </c>
      <c r="U2952" s="148">
        <f>IFERROR(__xludf.DUMMYFUNCTION("""COMPUTED_VALUE"""),1.0)</f>
        <v>1</v>
      </c>
      <c r="V2952" s="148" t="str">
        <f>IFERROR(__xludf.DUMMYFUNCTION("""COMPUTED_VALUE"""),"[]")</f>
        <v>[]</v>
      </c>
      <c r="W2952" s="148">
        <f>IFERROR(__xludf.DUMMYFUNCTION("""COMPUTED_VALUE"""),1.174E7)</f>
        <v>11740000</v>
      </c>
      <c r="X2952" s="148">
        <f>IFERROR(__xludf.DUMMYFUNCTION("""COMPUTED_VALUE"""),0.0)</f>
        <v>0</v>
      </c>
      <c r="Y2952" s="148">
        <f>IFERROR(__xludf.DUMMYFUNCTION("""COMPUTED_VALUE"""),0.0)</f>
        <v>0</v>
      </c>
      <c r="Z2952" s="148"/>
    </row>
    <row r="2953">
      <c r="A2953" s="148">
        <f>IFERROR(__xludf.DUMMYFUNCTION("""COMPUTED_VALUE"""),1.1119918E7)</f>
        <v>11119918</v>
      </c>
      <c r="B2953" s="148" t="str">
        <f>IFERROR(__xludf.DUMMYFUNCTION("""COMPUTED_VALUE"""),"2025范围特效-中")</f>
        <v>2025范围特效-中</v>
      </c>
      <c r="C2953" s="148"/>
      <c r="D2953" s="148" t="str">
        <f>IFERROR(__xludf.DUMMYFUNCTION("""COMPUTED_VALUE"""),"city_effect_extent")</f>
        <v>city_effect_extent</v>
      </c>
      <c r="E2953" s="148">
        <f>IFERROR(__xludf.DUMMYFUNCTION("""COMPUTED_VALUE"""),0.0)</f>
        <v>0</v>
      </c>
      <c r="F2953" s="148">
        <f>IFERROR(__xludf.DUMMYFUNCTION("""COMPUTED_VALUE"""),499990.0)</f>
        <v>499990</v>
      </c>
      <c r="G2953" s="148">
        <f>IFERROR(__xludf.DUMMYFUNCTION("""COMPUTED_VALUE"""),1.5110323E8)</f>
        <v>151103230</v>
      </c>
      <c r="H2953" s="148">
        <f>IFERROR(__xludf.DUMMYFUNCTION("""COMPUTED_VALUE"""),1.5112564E7)</f>
        <v>15112564</v>
      </c>
      <c r="I2953" s="148" t="str">
        <f>IFERROR(__xludf.DUMMYFUNCTION("""COMPUTED_VALUE"""),"{}")</f>
        <v>{}</v>
      </c>
      <c r="J2953" s="148" t="str">
        <f>IFERROR(__xludf.DUMMYFUNCTION("""COMPUTED_VALUE"""),"{""typ"":""lc"",""txt"":""LC_ITEM_2025gene_city_effect_name_2""}")</f>
        <v>{"typ":"lc","txt":"LC_ITEM_2025gene_city_effect_name_2"}</v>
      </c>
      <c r="K2953" s="148" t="str">
        <f>IFERROR(__xludf.DUMMYFUNCTION("""COMPUTED_VALUE"""),"{""typ"":""lc"",""txt"":""LC_ITEM_2025gene_city_effect_desc_2""}")</f>
        <v>{"typ":"lc","txt":"LC_ITEM_2025gene_city_effect_desc_2"}</v>
      </c>
      <c r="L2953" s="148" t="str">
        <f>IFERROR(__xludf.DUMMYFUNCTION("""COMPUTED_VALUE"""),"{""typ"":""lc"",""txt"":""LC_ASSET_suit_actived_tips_1""}")</f>
        <v>{"typ":"lc","txt":"LC_ASSET_suit_actived_tips_1"}</v>
      </c>
      <c r="M2953" s="148">
        <f>IFERROR(__xludf.DUMMYFUNCTION("""COMPUTED_VALUE"""),10000.0)</f>
        <v>10000</v>
      </c>
      <c r="N2953" s="148">
        <f>IFERROR(__xludf.DUMMYFUNCTION("""COMPUTED_VALUE"""),999.0)</f>
        <v>999</v>
      </c>
      <c r="O2953" s="148">
        <f>IFERROR(__xludf.DUMMYFUNCTION("""COMPUTED_VALUE"""),1.0)</f>
        <v>1</v>
      </c>
      <c r="P2953" s="148">
        <f>IFERROR(__xludf.DUMMYFUNCTION("""COMPUTED_VALUE"""),1.0)</f>
        <v>1</v>
      </c>
      <c r="Q2953" s="148" t="str">
        <f>IFERROR(__xludf.DUMMYFUNCTION("""COMPUTED_VALUE"""),"[""bag_other""]")</f>
        <v>["bag_other"]</v>
      </c>
      <c r="R2953" s="148" t="str">
        <f>IFERROR(__xludf.DUMMYFUNCTION("""COMPUTED_VALUE"""),"[""bag"",""13921003""]")</f>
        <v>["bag","13921003"]</v>
      </c>
      <c r="S2953" s="148" t="str">
        <f>IFERROR(__xludf.DUMMYFUNCTION("""COMPUTED_VALUE"""),"{""effect"":[{""typ"":""city_effect_extent"",""id"":13921003,""val"":-1},{""typ"":""item"",""id"":11111021,""val"":7}]}")</f>
        <v>{"effect":[{"typ":"city_effect_extent","id":13921003,"val":-1},{"typ":"item","id":11111021,"val":7}]}</v>
      </c>
      <c r="T2953" s="148">
        <f>IFERROR(__xludf.DUMMYFUNCTION("""COMPUTED_VALUE"""),-1.0)</f>
        <v>-1</v>
      </c>
      <c r="U2953" s="148">
        <f>IFERROR(__xludf.DUMMYFUNCTION("""COMPUTED_VALUE"""),1.0)</f>
        <v>1</v>
      </c>
      <c r="V2953" s="148" t="str">
        <f>IFERROR(__xludf.DUMMYFUNCTION("""COMPUTED_VALUE"""),"[]")</f>
        <v>[]</v>
      </c>
      <c r="W2953" s="148">
        <f>IFERROR(__xludf.DUMMYFUNCTION("""COMPUTED_VALUE"""),1.174E7)</f>
        <v>11740000</v>
      </c>
      <c r="X2953" s="148">
        <f>IFERROR(__xludf.DUMMYFUNCTION("""COMPUTED_VALUE"""),0.0)</f>
        <v>0</v>
      </c>
      <c r="Y2953" s="148">
        <f>IFERROR(__xludf.DUMMYFUNCTION("""COMPUTED_VALUE"""),0.0)</f>
        <v>0</v>
      </c>
      <c r="Z2953" s="148"/>
    </row>
    <row r="2954">
      <c r="A2954" s="148">
        <f>IFERROR(__xludf.DUMMYFUNCTION("""COMPUTED_VALUE"""),1.1119919E7)</f>
        <v>11119919</v>
      </c>
      <c r="B2954" s="148" t="str">
        <f>IFERROR(__xludf.DUMMYFUNCTION("""COMPUTED_VALUE"""),"2025范围特效-初")</f>
        <v>2025范围特效-初</v>
      </c>
      <c r="C2954" s="148"/>
      <c r="D2954" s="148" t="str">
        <f>IFERROR(__xludf.DUMMYFUNCTION("""COMPUTED_VALUE"""),"city_effect_extent")</f>
        <v>city_effect_extent</v>
      </c>
      <c r="E2954" s="148">
        <f>IFERROR(__xludf.DUMMYFUNCTION("""COMPUTED_VALUE"""),0.0)</f>
        <v>0</v>
      </c>
      <c r="F2954" s="148">
        <f>IFERROR(__xludf.DUMMYFUNCTION("""COMPUTED_VALUE"""),499990.0)</f>
        <v>499990</v>
      </c>
      <c r="G2954" s="148">
        <f>IFERROR(__xludf.DUMMYFUNCTION("""COMPUTED_VALUE"""),1.5110323E8)</f>
        <v>151103230</v>
      </c>
      <c r="H2954" s="148">
        <f>IFERROR(__xludf.DUMMYFUNCTION("""COMPUTED_VALUE"""),1.5112563E7)</f>
        <v>15112563</v>
      </c>
      <c r="I2954" s="148" t="str">
        <f>IFERROR(__xludf.DUMMYFUNCTION("""COMPUTED_VALUE"""),"{}")</f>
        <v>{}</v>
      </c>
      <c r="J2954" s="148" t="str">
        <f>IFERROR(__xludf.DUMMYFUNCTION("""COMPUTED_VALUE"""),"{""typ"":""lc"",""txt"":""LC_ITEM_2025gene_city_effect_name_3""}")</f>
        <v>{"typ":"lc","txt":"LC_ITEM_2025gene_city_effect_name_3"}</v>
      </c>
      <c r="K2954" s="148" t="str">
        <f>IFERROR(__xludf.DUMMYFUNCTION("""COMPUTED_VALUE"""),"{""typ"":""lc"",""txt"":""LC_ITEM_2025gene_city_effect_desc_3""}")</f>
        <v>{"typ":"lc","txt":"LC_ITEM_2025gene_city_effect_desc_3"}</v>
      </c>
      <c r="L2954" s="148" t="str">
        <f>IFERROR(__xludf.DUMMYFUNCTION("""COMPUTED_VALUE"""),"{""typ"":""lc"",""txt"":""LC_ASSET_suit_actived_tips_1""}")</f>
        <v>{"typ":"lc","txt":"LC_ASSET_suit_actived_tips_1"}</v>
      </c>
      <c r="M2954" s="148">
        <f>IFERROR(__xludf.DUMMYFUNCTION("""COMPUTED_VALUE"""),10000.0)</f>
        <v>10000</v>
      </c>
      <c r="N2954" s="148">
        <f>IFERROR(__xludf.DUMMYFUNCTION("""COMPUTED_VALUE"""),999.0)</f>
        <v>999</v>
      </c>
      <c r="O2954" s="148">
        <f>IFERROR(__xludf.DUMMYFUNCTION("""COMPUTED_VALUE"""),1.0)</f>
        <v>1</v>
      </c>
      <c r="P2954" s="148">
        <f>IFERROR(__xludf.DUMMYFUNCTION("""COMPUTED_VALUE"""),1.0)</f>
        <v>1</v>
      </c>
      <c r="Q2954" s="148" t="str">
        <f>IFERROR(__xludf.DUMMYFUNCTION("""COMPUTED_VALUE"""),"[""bag_other""]")</f>
        <v>["bag_other"]</v>
      </c>
      <c r="R2954" s="148" t="str">
        <f>IFERROR(__xludf.DUMMYFUNCTION("""COMPUTED_VALUE"""),"[""bag"",""13921004""]")</f>
        <v>["bag","13921004"]</v>
      </c>
      <c r="S2954" s="148" t="str">
        <f>IFERROR(__xludf.DUMMYFUNCTION("""COMPUTED_VALUE"""),"{""effect"":[{""typ"":""city_effect_extent"",""id"":13921004,""val"":-1},{""typ"":""item"",""id"":11111021,""val"":7}]}")</f>
        <v>{"effect":[{"typ":"city_effect_extent","id":13921004,"val":-1},{"typ":"item","id":11111021,"val":7}]}</v>
      </c>
      <c r="T2954" s="148">
        <f>IFERROR(__xludf.DUMMYFUNCTION("""COMPUTED_VALUE"""),-1.0)</f>
        <v>-1</v>
      </c>
      <c r="U2954" s="148">
        <f>IFERROR(__xludf.DUMMYFUNCTION("""COMPUTED_VALUE"""),1.0)</f>
        <v>1</v>
      </c>
      <c r="V2954" s="148" t="str">
        <f>IFERROR(__xludf.DUMMYFUNCTION("""COMPUTED_VALUE"""),"[]")</f>
        <v>[]</v>
      </c>
      <c r="W2954" s="148">
        <f>IFERROR(__xludf.DUMMYFUNCTION("""COMPUTED_VALUE"""),1.174E7)</f>
        <v>11740000</v>
      </c>
      <c r="X2954" s="148">
        <f>IFERROR(__xludf.DUMMYFUNCTION("""COMPUTED_VALUE"""),0.0)</f>
        <v>0</v>
      </c>
      <c r="Y2954" s="148">
        <f>IFERROR(__xludf.DUMMYFUNCTION("""COMPUTED_VALUE"""),0.0)</f>
        <v>0</v>
      </c>
      <c r="Z2954" s="148"/>
    </row>
    <row r="2955">
      <c r="A2955" s="148">
        <f>IFERROR(__xludf.DUMMYFUNCTION("""COMPUTED_VALUE"""),1.1119921E7)</f>
        <v>11119921</v>
      </c>
      <c r="B2955" s="148" t="str">
        <f>IFERROR(__xludf.DUMMYFUNCTION("""COMPUTED_VALUE"""),"81黑五英雄连锁-未知道具")</f>
        <v>81黑五英雄连锁-未知道具</v>
      </c>
      <c r="C2955" s="148"/>
      <c r="D2955" s="148">
        <f>IFERROR(__xludf.DUMMYFUNCTION("""COMPUTED_VALUE"""),0.0)</f>
        <v>0</v>
      </c>
      <c r="E2955" s="148">
        <f>IFERROR(__xludf.DUMMYFUNCTION("""COMPUTED_VALUE"""),0.0)</f>
        <v>0</v>
      </c>
      <c r="F2955" s="148">
        <f>IFERROR(__xludf.DUMMYFUNCTION("""COMPUTED_VALUE"""),0.0)</f>
        <v>0</v>
      </c>
      <c r="G2955" s="148">
        <f>IFERROR(__xludf.DUMMYFUNCTION("""COMPUTED_VALUE"""),1.5112778E7)</f>
        <v>15112778</v>
      </c>
      <c r="H2955" s="148">
        <f>IFERROR(__xludf.DUMMYFUNCTION("""COMPUTED_VALUE"""),1.5112564E7)</f>
        <v>15112564</v>
      </c>
      <c r="I2955" s="148" t="str">
        <f>IFERROR(__xludf.DUMMYFUNCTION("""COMPUTED_VALUE"""),"{}")</f>
        <v>{}</v>
      </c>
      <c r="J2955" s="148" t="str">
        <f>IFERROR(__xludf.DUMMYFUNCTION("""COMPUTED_VALUE"""),"{""typ"":""lc"",""txt"":""LC_ITEM_fes_blackfriday_hero_tip8""}")</f>
        <v>{"typ":"lc","txt":"LC_ITEM_fes_blackfriday_hero_tip8"}</v>
      </c>
      <c r="K2955" s="148" t="str">
        <f>IFERROR(__xludf.DUMMYFUNCTION("""COMPUTED_VALUE"""),"{""typ"":""lc"",""txt"":""LC_ITEM_fes_blackfriday_hero_tip9""}")</f>
        <v>{"typ":"lc","txt":"LC_ITEM_fes_blackfriday_hero_tip9"}</v>
      </c>
      <c r="L2955" s="148" t="str">
        <f>IFERROR(__xludf.DUMMYFUNCTION("""COMPUTED_VALUE"""),"{}")</f>
        <v>{}</v>
      </c>
      <c r="M2955" s="148">
        <f>IFERROR(__xludf.DUMMYFUNCTION("""COMPUTED_VALUE"""),0.0)</f>
        <v>0</v>
      </c>
      <c r="N2955" s="148">
        <f>IFERROR(__xludf.DUMMYFUNCTION("""COMPUTED_VALUE"""),999999.0)</f>
        <v>999999</v>
      </c>
      <c r="O2955" s="148">
        <f>IFERROR(__xludf.DUMMYFUNCTION("""COMPUTED_VALUE"""),99999.0)</f>
        <v>99999</v>
      </c>
      <c r="P2955" s="148">
        <f>IFERROR(__xludf.DUMMYFUNCTION("""COMPUTED_VALUE"""),99999.0)</f>
        <v>99999</v>
      </c>
      <c r="Q2955" s="148" t="str">
        <f>IFERROR(__xludf.DUMMYFUNCTION("""COMPUTED_VALUE"""),"[]")</f>
        <v>[]</v>
      </c>
      <c r="R2955" s="148" t="str">
        <f>IFERROR(__xludf.DUMMYFUNCTION("""COMPUTED_VALUE"""),"[]")</f>
        <v>[]</v>
      </c>
      <c r="S2955" s="148" t="str">
        <f>IFERROR(__xludf.DUMMYFUNCTION("""COMPUTED_VALUE"""),"{}")</f>
        <v>{}</v>
      </c>
      <c r="T2955" s="148">
        <f>IFERROR(__xludf.DUMMYFUNCTION("""COMPUTED_VALUE"""),-1.0)</f>
        <v>-1</v>
      </c>
      <c r="U2955" s="148">
        <f>IFERROR(__xludf.DUMMYFUNCTION("""COMPUTED_VALUE"""),0.0)</f>
        <v>0</v>
      </c>
      <c r="V2955" s="148" t="str">
        <f>IFERROR(__xludf.DUMMYFUNCTION("""COMPUTED_VALUE"""),"[]")</f>
        <v>[]</v>
      </c>
      <c r="W2955" s="148">
        <f>IFERROR(__xludf.DUMMYFUNCTION("""COMPUTED_VALUE"""),1.174E7)</f>
        <v>11740000</v>
      </c>
      <c r="X2955" s="148">
        <f>IFERROR(__xludf.DUMMYFUNCTION("""COMPUTED_VALUE"""),0.0)</f>
        <v>0</v>
      </c>
      <c r="Y2955" s="148">
        <f>IFERROR(__xludf.DUMMYFUNCTION("""COMPUTED_VALUE"""),0.0)</f>
        <v>0</v>
      </c>
      <c r="Z2955" s="148"/>
    </row>
    <row r="2956">
      <c r="A2956" s="148">
        <f>IFERROR(__xludf.DUMMYFUNCTION("""COMPUTED_VALUE"""),1.1119922E7)</f>
        <v>11119922</v>
      </c>
      <c r="B2956" s="148" t="str">
        <f>IFERROR(__xludf.DUMMYFUNCTION("""COMPUTED_VALUE"""),"2025黑五动态头像框-驰骋朝夕")</f>
        <v>2025黑五动态头像框-驰骋朝夕</v>
      </c>
      <c r="C2956" s="148"/>
      <c r="D2956" s="148" t="str">
        <f>IFERROR(__xludf.DUMMYFUNCTION("""COMPUTED_VALUE"""),"avatar_frame")</f>
        <v>avatar_frame</v>
      </c>
      <c r="E2956" s="148">
        <f>IFERROR(__xludf.DUMMYFUNCTION("""COMPUTED_VALUE"""),20.0)</f>
        <v>20</v>
      </c>
      <c r="F2956" s="148">
        <f>IFERROR(__xludf.DUMMYFUNCTION("""COMPUTED_VALUE"""),0.0)</f>
        <v>0</v>
      </c>
      <c r="G2956" s="148">
        <f>IFERROR(__xludf.DUMMYFUNCTION("""COMPUTED_VALUE"""),1.51103244E8)</f>
        <v>151103244</v>
      </c>
      <c r="H2956" s="148">
        <f>IFERROR(__xludf.DUMMYFUNCTION("""COMPUTED_VALUE"""),1.5112564E7)</f>
        <v>15112564</v>
      </c>
      <c r="I2956" s="148" t="str">
        <f>IFERROR(__xludf.DUMMYFUNCTION("""COMPUTED_VALUE"""),"{}")</f>
        <v>{}</v>
      </c>
      <c r="J2956" s="148" t="str">
        <f>IFERROR(__xludf.DUMMYFUNCTION("""COMPUTED_VALUE"""),"{""typ"":""lc"",""txt"":""LC_ITEM_2025blafri_avatar_name""}")</f>
        <v>{"typ":"lc","txt":"LC_ITEM_2025blafri_avatar_name"}</v>
      </c>
      <c r="K2956" s="148" t="str">
        <f>IFERROR(__xludf.DUMMYFUNCTION("""COMPUTED_VALUE"""),"{""typ"":""lc"",""txt"":""LC_ITEM_2025blafri_avatar_name_desc""}")</f>
        <v>{"typ":"lc","txt":"LC_ITEM_2025blafri_avatar_name_desc"}</v>
      </c>
      <c r="L2956" s="148" t="str">
        <f>IFERROR(__xludf.DUMMYFUNCTION("""COMPUTED_VALUE"""),"{}")</f>
        <v>{}</v>
      </c>
      <c r="M2956" s="148">
        <f>IFERROR(__xludf.DUMMYFUNCTION("""COMPUTED_VALUE"""),2500.0)</f>
        <v>2500</v>
      </c>
      <c r="N2956" s="148">
        <f>IFERROR(__xludf.DUMMYFUNCTION("""COMPUTED_VALUE"""),99.0)</f>
        <v>99</v>
      </c>
      <c r="O2956" s="148">
        <f>IFERROR(__xludf.DUMMYFUNCTION("""COMPUTED_VALUE"""),1.0)</f>
        <v>1</v>
      </c>
      <c r="P2956" s="148">
        <f>IFERROR(__xludf.DUMMYFUNCTION("""COMPUTED_VALUE"""),1.0)</f>
        <v>1</v>
      </c>
      <c r="Q2956" s="148" t="str">
        <f>IFERROR(__xludf.DUMMYFUNCTION("""COMPUTED_VALUE"""),"[]")</f>
        <v>[]</v>
      </c>
      <c r="R2956" s="148" t="str">
        <f>IFERROR(__xludf.DUMMYFUNCTION("""COMPUTED_VALUE"""),"[""11421073""]")</f>
        <v>["11421073"]</v>
      </c>
      <c r="S2956" s="148" t="str">
        <f>IFERROR(__xludf.DUMMYFUNCTION("""COMPUTED_VALUE"""),"{""effect"":[{""typ"":""avatar_frame"",""id"":11421073,""val"":-1},{""typ"":""item"",""id"":11111031,""val"":2500}]}")</f>
        <v>{"effect":[{"typ":"avatar_frame","id":11421073,"val":-1},{"typ":"item","id":11111031,"val":2500}]}</v>
      </c>
      <c r="T2956" s="148">
        <f>IFERROR(__xludf.DUMMYFUNCTION("""COMPUTED_VALUE"""),-1.0)</f>
        <v>-1</v>
      </c>
      <c r="U2956" s="148">
        <f>IFERROR(__xludf.DUMMYFUNCTION("""COMPUTED_VALUE"""),1.0)</f>
        <v>1</v>
      </c>
      <c r="V2956" s="148" t="str">
        <f>IFERROR(__xludf.DUMMYFUNCTION("""COMPUTED_VALUE"""),"[]")</f>
        <v>[]</v>
      </c>
      <c r="W2956" s="148">
        <f>IFERROR(__xludf.DUMMYFUNCTION("""COMPUTED_VALUE"""),1.174E7)</f>
        <v>11740000</v>
      </c>
      <c r="X2956" s="148">
        <f>IFERROR(__xludf.DUMMYFUNCTION("""COMPUTED_VALUE"""),0.0)</f>
        <v>0</v>
      </c>
      <c r="Y2956" s="148">
        <f>IFERROR(__xludf.DUMMYFUNCTION("""COMPUTED_VALUE"""),0.0)</f>
        <v>0</v>
      </c>
      <c r="Z2956" s="148"/>
    </row>
    <row r="2957">
      <c r="A2957" s="148">
        <f>IFERROR(__xludf.DUMMYFUNCTION("""COMPUTED_VALUE"""),1.1119923E7)</f>
        <v>11119923</v>
      </c>
      <c r="B2957" s="148" t="str">
        <f>IFERROR(__xludf.DUMMYFUNCTION("""COMPUTED_VALUE"""),"行军表情-动态-火鸡终结者")</f>
        <v>行军表情-动态-火鸡终结者</v>
      </c>
      <c r="C2957" s="148"/>
      <c r="D2957" s="148" t="str">
        <f>IFERROR(__xludf.DUMMYFUNCTION("""COMPUTED_VALUE"""),"map_emoji")</f>
        <v>map_emoji</v>
      </c>
      <c r="E2957" s="148">
        <f>IFERROR(__xludf.DUMMYFUNCTION("""COMPUTED_VALUE"""),20.0)</f>
        <v>20</v>
      </c>
      <c r="F2957" s="148">
        <f>IFERROR(__xludf.DUMMYFUNCTION("""COMPUTED_VALUE"""),0.0)</f>
        <v>0</v>
      </c>
      <c r="G2957" s="148">
        <f>IFERROR(__xludf.DUMMYFUNCTION("""COMPUTED_VALUE"""),1.51103268E8)</f>
        <v>151103268</v>
      </c>
      <c r="H2957" s="148">
        <f>IFERROR(__xludf.DUMMYFUNCTION("""COMPUTED_VALUE"""),1.5112564E7)</f>
        <v>15112564</v>
      </c>
      <c r="I2957" s="148" t="str">
        <f>IFERROR(__xludf.DUMMYFUNCTION("""COMPUTED_VALUE"""),"{}")</f>
        <v>{}</v>
      </c>
      <c r="J2957" s="148" t="str">
        <f>IFERROR(__xludf.DUMMYFUNCTION("""COMPUTED_VALUE"""),"{""typ"":""lc"",""txt"":""LC_ITEM_map_emoji_blafri2025""}")</f>
        <v>{"typ":"lc","txt":"LC_ITEM_map_emoji_blafri2025"}</v>
      </c>
      <c r="K2957" s="148" t="str">
        <f>IFERROR(__xludf.DUMMYFUNCTION("""COMPUTED_VALUE"""),"{""typ"":""lc"",""txt"":""LC_ITEM_map_emoji_blafri2025_desc""}")</f>
        <v>{"typ":"lc","txt":"LC_ITEM_map_emoji_blafri2025_desc"}</v>
      </c>
      <c r="L2957" s="148" t="str">
        <f>IFERROR(__xludf.DUMMYFUNCTION("""COMPUTED_VALUE"""),"{}")</f>
        <v>{}</v>
      </c>
      <c r="M2957" s="148">
        <f>IFERROR(__xludf.DUMMYFUNCTION("""COMPUTED_VALUE"""),1000.0)</f>
        <v>1000</v>
      </c>
      <c r="N2957" s="148">
        <f>IFERROR(__xludf.DUMMYFUNCTION("""COMPUTED_VALUE"""),99.0)</f>
        <v>99</v>
      </c>
      <c r="O2957" s="148">
        <f>IFERROR(__xludf.DUMMYFUNCTION("""COMPUTED_VALUE"""),1.0)</f>
        <v>1</v>
      </c>
      <c r="P2957" s="148">
        <f>IFERROR(__xludf.DUMMYFUNCTION("""COMPUTED_VALUE"""),1.0)</f>
        <v>1</v>
      </c>
      <c r="Q2957" s="148" t="str">
        <f>IFERROR(__xludf.DUMMYFUNCTION("""COMPUTED_VALUE"""),"[]")</f>
        <v>[]</v>
      </c>
      <c r="R2957" s="148" t="str">
        <f>IFERROR(__xludf.DUMMYFUNCTION("""COMPUTED_VALUE"""),"[]")</f>
        <v>[]</v>
      </c>
      <c r="S2957" s="148" t="str">
        <f>IFERROR(__xludf.DUMMYFUNCTION("""COMPUTED_VALUE"""),"{""effect"":[{""typ"":""map_emoji"",""id"":11800023,""val"":-1}]}")</f>
        <v>{"effect":[{"typ":"map_emoji","id":11800023,"val":-1}]}</v>
      </c>
      <c r="T2957" s="148">
        <f>IFERROR(__xludf.DUMMYFUNCTION("""COMPUTED_VALUE"""),-1.0)</f>
        <v>-1</v>
      </c>
      <c r="U2957" s="148">
        <f>IFERROR(__xludf.DUMMYFUNCTION("""COMPUTED_VALUE"""),1.0)</f>
        <v>1</v>
      </c>
      <c r="V2957" s="148" t="str">
        <f>IFERROR(__xludf.DUMMYFUNCTION("""COMPUTED_VALUE"""),"[]")</f>
        <v>[]</v>
      </c>
      <c r="W2957" s="148">
        <f>IFERROR(__xludf.DUMMYFUNCTION("""COMPUTED_VALUE"""),1.174E7)</f>
        <v>11740000</v>
      </c>
      <c r="X2957" s="148">
        <f>IFERROR(__xludf.DUMMYFUNCTION("""COMPUTED_VALUE"""),0.0)</f>
        <v>0</v>
      </c>
      <c r="Y2957" s="148">
        <f>IFERROR(__xludf.DUMMYFUNCTION("""COMPUTED_VALUE"""),0.0)</f>
        <v>0</v>
      </c>
      <c r="Z2957" s="148"/>
    </row>
    <row r="2958">
      <c r="A2958" s="148">
        <f>IFERROR(__xludf.DUMMYFUNCTION("""COMPUTED_VALUE"""),1.1119924E7)</f>
        <v>11119924</v>
      </c>
      <c r="B2958" s="148" t="str">
        <f>IFERROR(__xludf.DUMMYFUNCTION("""COMPUTED_VALUE"""),"2025黑五行军特效-狂焰之旅-永久")</f>
        <v>2025黑五行军特效-狂焰之旅-永久</v>
      </c>
      <c r="C2958" s="148"/>
      <c r="D2958" s="148" t="str">
        <f>IFERROR(__xludf.DUMMYFUNCTION("""COMPUTED_VALUE"""),"marching_effect")</f>
        <v>marching_effect</v>
      </c>
      <c r="E2958" s="148">
        <f>IFERROR(__xludf.DUMMYFUNCTION("""COMPUTED_VALUE"""),0.0)</f>
        <v>0</v>
      </c>
      <c r="F2958" s="148">
        <f>IFERROR(__xludf.DUMMYFUNCTION("""COMPUTED_VALUE"""),408195.0)</f>
        <v>408195</v>
      </c>
      <c r="G2958" s="148">
        <f>IFERROR(__xludf.DUMMYFUNCTION("""COMPUTED_VALUE"""),1.51103258E8)</f>
        <v>151103258</v>
      </c>
      <c r="H2958" s="148">
        <f>IFERROR(__xludf.DUMMYFUNCTION("""COMPUTED_VALUE"""),1.5112564E7)</f>
        <v>15112564</v>
      </c>
      <c r="I2958" s="148" t="str">
        <f>IFERROR(__xludf.DUMMYFUNCTION("""COMPUTED_VALUE"""),"{}")</f>
        <v>{}</v>
      </c>
      <c r="J2958" s="148" t="str">
        <f>IFERROR(__xludf.DUMMYFUNCTION("""COMPUTED_VALUE"""),"{""typ"":""lc"",""txt"":""LC_ITEM_tg_marcheffect_blafri2025""}")</f>
        <v>{"typ":"lc","txt":"LC_ITEM_tg_marcheffect_blafri2025"}</v>
      </c>
      <c r="K2958" s="148" t="str">
        <f>IFERROR(__xludf.DUMMYFUNCTION("""COMPUTED_VALUE"""),"{""typ"":""lc"",""txt"":""LC_ITEM_tg_marcheffect_blafri2025_desc""}")</f>
        <v>{"typ":"lc","txt":"LC_ITEM_tg_marcheffect_blafri2025_desc"}</v>
      </c>
      <c r="L2958" s="148" t="str">
        <f>IFERROR(__xludf.DUMMYFUNCTION("""COMPUTED_VALUE"""),"{""typ"":""lc"",""txt"":""LC_ITEM_march_effect_use_tip_all""}")</f>
        <v>{"typ":"lc","txt":"LC_ITEM_march_effect_use_tip_all"}</v>
      </c>
      <c r="M2958" s="148">
        <f>IFERROR(__xludf.DUMMYFUNCTION("""COMPUTED_VALUE"""),5000.0)</f>
        <v>5000</v>
      </c>
      <c r="N2958" s="148">
        <f>IFERROR(__xludf.DUMMYFUNCTION("""COMPUTED_VALUE"""),999999.0)</f>
        <v>999999</v>
      </c>
      <c r="O2958" s="148">
        <f>IFERROR(__xludf.DUMMYFUNCTION("""COMPUTED_VALUE"""),99999.0)</f>
        <v>99999</v>
      </c>
      <c r="P2958" s="148">
        <f>IFERROR(__xludf.DUMMYFUNCTION("""COMPUTED_VALUE"""),1.0)</f>
        <v>1</v>
      </c>
      <c r="Q2958" s="148" t="str">
        <f>IFERROR(__xludf.DUMMYFUNCTION("""COMPUTED_VALUE"""),"[""bag_other""]")</f>
        <v>["bag_other"]</v>
      </c>
      <c r="R2958" s="148" t="str">
        <f>IFERROR(__xludf.DUMMYFUNCTION("""COMPUTED_VALUE"""),"[""bag"",""13650147""]")</f>
        <v>["bag","13650147"]</v>
      </c>
      <c r="S2958" s="148" t="str">
        <f>IFERROR(__xludf.DUMMYFUNCTION("""COMPUTED_VALUE"""),"{""effect"":[{""typ"":""marching_effect"",""id"":13650147,""val"":-1},{""typ"":""vm"",""id"":11151001,""val"":2500}]}")</f>
        <v>{"effect":[{"typ":"marching_effect","id":13650147,"val":-1},{"typ":"vm","id":11151001,"val":2500}]}</v>
      </c>
      <c r="T2958" s="148">
        <f>IFERROR(__xludf.DUMMYFUNCTION("""COMPUTED_VALUE"""),-1.0)</f>
        <v>-1</v>
      </c>
      <c r="U2958" s="148">
        <f>IFERROR(__xludf.DUMMYFUNCTION("""COMPUTED_VALUE"""),0.0)</f>
        <v>0</v>
      </c>
      <c r="V2958" s="148" t="str">
        <f>IFERROR(__xludf.DUMMYFUNCTION("""COMPUTED_VALUE"""),"[]")</f>
        <v>[]</v>
      </c>
      <c r="W2958" s="148">
        <f>IFERROR(__xludf.DUMMYFUNCTION("""COMPUTED_VALUE"""),1.174E7)</f>
        <v>11740000</v>
      </c>
      <c r="X2958" s="148">
        <f>IFERROR(__xludf.DUMMYFUNCTION("""COMPUTED_VALUE"""),0.0)</f>
        <v>0</v>
      </c>
      <c r="Y2958" s="148">
        <f>IFERROR(__xludf.DUMMYFUNCTION("""COMPUTED_VALUE"""),0.0)</f>
        <v>0</v>
      </c>
      <c r="Z2958" s="148"/>
    </row>
    <row r="2959">
      <c r="A2959" s="148">
        <f>IFERROR(__xludf.DUMMYFUNCTION("""COMPUTED_VALUE"""),1.1119925E7)</f>
        <v>11119925</v>
      </c>
      <c r="B2959" s="148" t="str">
        <f>IFERROR(__xludf.DUMMYFUNCTION("""COMPUTED_VALUE"""),"2025感恩节-装饰券宝箱-本体")</f>
        <v>2025感恩节-装饰券宝箱-本体</v>
      </c>
      <c r="C2959" s="148"/>
      <c r="D2959" s="148" t="str">
        <f>IFERROR(__xludf.DUMMYFUNCTION("""COMPUTED_VALUE"""),"valentine_reward_box")</f>
        <v>valentine_reward_box</v>
      </c>
      <c r="E2959" s="148">
        <f>IFERROR(__xludf.DUMMYFUNCTION("""COMPUTED_VALUE"""),19.0)</f>
        <v>19</v>
      </c>
      <c r="F2959" s="148">
        <f>IFERROR(__xludf.DUMMYFUNCTION("""COMPUTED_VALUE"""),201101.0)</f>
        <v>201101</v>
      </c>
      <c r="G2959" s="148">
        <f>IFERROR(__xludf.DUMMYFUNCTION("""COMPUTED_VALUE"""),1.5118225E7)</f>
        <v>15118225</v>
      </c>
      <c r="H2959" s="148">
        <f>IFERROR(__xludf.DUMMYFUNCTION("""COMPUTED_VALUE"""),1.5112564E7)</f>
        <v>15112564</v>
      </c>
      <c r="I2959" s="148" t="str">
        <f>IFERROR(__xludf.DUMMYFUNCTION("""COMPUTED_VALUE"""),"{}")</f>
        <v>{}</v>
      </c>
      <c r="J2959" s="148" t="str">
        <f>IFERROR(__xludf.DUMMYFUNCTION("""COMPUTED_VALUE"""),"{""typ"":""lc"",""txt"":""LC_ITEM_fes_box_name""}")</f>
        <v>{"typ":"lc","txt":"LC_ITEM_fes_box_name"}</v>
      </c>
      <c r="K2959" s="148" t="str">
        <f>IFERROR(__xludf.DUMMYFUNCTION("""COMPUTED_VALUE"""),"{""typ"":""lc"",""txt"":""LC_ITEM_fes_box_desc""}")</f>
        <v>{"typ":"lc","txt":"LC_ITEM_fes_box_desc"}</v>
      </c>
      <c r="L2959" s="148" t="str">
        <f>IFERROR(__xludf.DUMMYFUNCTION("""COMPUTED_VALUE"""),"{""typ"":""lc"",""txt"":""LC_ITEM_horde_elite_box_usedtip""}")</f>
        <v>{"typ":"lc","txt":"LC_ITEM_horde_elite_box_usedtip"}</v>
      </c>
      <c r="M2959" s="148">
        <f>IFERROR(__xludf.DUMMYFUNCTION("""COMPUTED_VALUE"""),40.0)</f>
        <v>40</v>
      </c>
      <c r="N2959" s="148">
        <f>IFERROR(__xludf.DUMMYFUNCTION("""COMPUTED_VALUE"""),999999.0)</f>
        <v>999999</v>
      </c>
      <c r="O2959" s="148">
        <f>IFERROR(__xludf.DUMMYFUNCTION("""COMPUTED_VALUE"""),99999.0)</f>
        <v>99999</v>
      </c>
      <c r="P2959" s="148">
        <f>IFERROR(__xludf.DUMMYFUNCTION("""COMPUTED_VALUE"""),99999.0)</f>
        <v>99999</v>
      </c>
      <c r="Q2959" s="148" t="str">
        <f>IFERROR(__xludf.DUMMYFUNCTION("""COMPUTED_VALUE"""),"[""bag_other""]")</f>
        <v>["bag_other"]</v>
      </c>
      <c r="R2959" s="148" t="str">
        <f>IFERROR(__xludf.DUMMYFUNCTION("""COMPUTED_VALUE"""),"[""bag""]")</f>
        <v>["bag"]</v>
      </c>
      <c r="S2959" s="148" t="str">
        <f>IFERROR(__xludf.DUMMYFUNCTION("""COMPUTED_VALUE"""),"{""drop"":{""typ"":""single_random"",""num"":1,""args"":[{""typ"":""item"",""id"":11112030,""num"":1000,""wgt"":19800},{""typ"":""item"",""id"":11112030,""num"":200,""wgt"":120000},{""typ"":""item"",""id"":11112030,""num"":50,""wgt"":200000},{""typ"":""it"&amp;"em"",""id"":11119828,""num"":1,""wgt"":100},{""typ"":""item"",""id"":11112345,""num"":1,""wgt"":100},{""typ"":""item"",""id"":11112030,""num"":20,""wgt"":400000},{""typ"":""item"",""id"":11112030,""num"":100,""wgt"":200000},{""typ"":""item"",""id"":111120"&amp;"30,""num"":400,""wgt"":60000}]}}")</f>
        <v>{"drop":{"typ":"single_random","num":1,"args":[{"typ":"item","id":11112030,"num":1000,"wgt":19800},{"typ":"item","id":11112030,"num":200,"wgt":120000},{"typ":"item","id":11112030,"num":50,"wgt":200000},{"typ":"item","id":11119828,"num":1,"wgt":100},{"typ":"item","id":11112345,"num":1,"wgt":100},{"typ":"item","id":11112030,"num":20,"wgt":400000},{"typ":"item","id":11112030,"num":100,"wgt":200000},{"typ":"item","id":11112030,"num":400,"wgt":60000}]}}</v>
      </c>
      <c r="T2959" s="148">
        <f>IFERROR(__xludf.DUMMYFUNCTION("""COMPUTED_VALUE"""),-1.0)</f>
        <v>-1</v>
      </c>
      <c r="U2959" s="148">
        <f>IFERROR(__xludf.DUMMYFUNCTION("""COMPUTED_VALUE"""),0.0)</f>
        <v>0</v>
      </c>
      <c r="V2959" s="148" t="str">
        <f>IFERROR(__xludf.DUMMYFUNCTION("""COMPUTED_VALUE"""),"[]")</f>
        <v>[]</v>
      </c>
      <c r="W2959" s="148">
        <f>IFERROR(__xludf.DUMMYFUNCTION("""COMPUTED_VALUE"""),1.174E7)</f>
        <v>11740000</v>
      </c>
      <c r="X2959" s="148">
        <f>IFERROR(__xludf.DUMMYFUNCTION("""COMPUTED_VALUE"""),0.0)</f>
        <v>0</v>
      </c>
      <c r="Y2959" s="148">
        <f>IFERROR(__xludf.DUMMYFUNCTION("""COMPUTED_VALUE"""),0.0)</f>
        <v>0</v>
      </c>
      <c r="Z2959" s="148"/>
    </row>
    <row r="2960">
      <c r="A2960" s="148">
        <f>IFERROR(__xludf.DUMMYFUNCTION("""COMPUTED_VALUE"""),1.1119926E7)</f>
        <v>11119926</v>
      </c>
      <c r="B2960" s="148" t="str">
        <f>IFERROR(__xludf.DUMMYFUNCTION("""COMPUTED_VALUE"""),"集卡图鉴成就-1头像框奖励")</f>
        <v>集卡图鉴成就-1头像框奖励</v>
      </c>
      <c r="C2960" s="148"/>
      <c r="D2960" s="148" t="str">
        <f>IFERROR(__xludf.DUMMYFUNCTION("""COMPUTED_VALUE"""),"avatar_frame")</f>
        <v>avatar_frame</v>
      </c>
      <c r="E2960" s="148">
        <f>IFERROR(__xludf.DUMMYFUNCTION("""COMPUTED_VALUE"""),20.0)</f>
        <v>20</v>
      </c>
      <c r="F2960" s="148">
        <f>IFERROR(__xludf.DUMMYFUNCTION("""COMPUTED_VALUE"""),0.0)</f>
        <v>0</v>
      </c>
      <c r="G2960" s="148">
        <f>IFERROR(__xludf.DUMMYFUNCTION("""COMPUTED_VALUE"""),1.51103805E8)</f>
        <v>151103805</v>
      </c>
      <c r="H2960" s="148">
        <f>IFERROR(__xludf.DUMMYFUNCTION("""COMPUTED_VALUE"""),1.5112564E7)</f>
        <v>15112564</v>
      </c>
      <c r="I2960" s="148" t="str">
        <f>IFERROR(__xludf.DUMMYFUNCTION("""COMPUTED_VALUE"""),"{}")</f>
        <v>{}</v>
      </c>
      <c r="J2960" s="148" t="str">
        <f>IFERROR(__xludf.DUMMYFUNCTION("""COMPUTED_VALUE"""),"{""typ"":""lc"",""txt"":""LC_ASSET_card_gallary_book_1_avatar_frame""}")</f>
        <v>{"typ":"lc","txt":"LC_ASSET_card_gallary_book_1_avatar_frame"}</v>
      </c>
      <c r="K2960" s="148" t="str">
        <f>IFERROR(__xludf.DUMMYFUNCTION("""COMPUTED_VALUE"""),"{""typ"":""lc"",""txt"":""LC_ASSET_card_gallary_book_1_avatar_frame_get""}")</f>
        <v>{"typ":"lc","txt":"LC_ASSET_card_gallary_book_1_avatar_frame_get"}</v>
      </c>
      <c r="L2960" s="148" t="str">
        <f>IFERROR(__xludf.DUMMYFUNCTION("""COMPUTED_VALUE"""),"{}")</f>
        <v>{}</v>
      </c>
      <c r="M2960" s="148">
        <f>IFERROR(__xludf.DUMMYFUNCTION("""COMPUTED_VALUE"""),1000.0)</f>
        <v>1000</v>
      </c>
      <c r="N2960" s="148">
        <f>IFERROR(__xludf.DUMMYFUNCTION("""COMPUTED_VALUE"""),99.0)</f>
        <v>99</v>
      </c>
      <c r="O2960" s="148">
        <f>IFERROR(__xludf.DUMMYFUNCTION("""COMPUTED_VALUE"""),1.0)</f>
        <v>1</v>
      </c>
      <c r="P2960" s="148">
        <f>IFERROR(__xludf.DUMMYFUNCTION("""COMPUTED_VALUE"""),1.0)</f>
        <v>1</v>
      </c>
      <c r="Q2960" s="148" t="str">
        <f>IFERROR(__xludf.DUMMYFUNCTION("""COMPUTED_VALUE"""),"[]")</f>
        <v>[]</v>
      </c>
      <c r="R2960" s="148" t="str">
        <f>IFERROR(__xludf.DUMMYFUNCTION("""COMPUTED_VALUE"""),"[""11421080""]")</f>
        <v>["11421080"]</v>
      </c>
      <c r="S2960" s="148" t="str">
        <f>IFERROR(__xludf.DUMMYFUNCTION("""COMPUTED_VALUE"""),"{""effect"":[{""typ"":""avatar_frame"",""id"":11421080,""val"":-1},{""typ"":""item"",""id"":11111031,""val"":1000}]}")</f>
        <v>{"effect":[{"typ":"avatar_frame","id":11421080,"val":-1},{"typ":"item","id":11111031,"val":1000}]}</v>
      </c>
      <c r="T2960" s="148">
        <f>IFERROR(__xludf.DUMMYFUNCTION("""COMPUTED_VALUE"""),-1.0)</f>
        <v>-1</v>
      </c>
      <c r="U2960" s="148">
        <f>IFERROR(__xludf.DUMMYFUNCTION("""COMPUTED_VALUE"""),1.0)</f>
        <v>1</v>
      </c>
      <c r="V2960" s="148" t="str">
        <f>IFERROR(__xludf.DUMMYFUNCTION("""COMPUTED_VALUE"""),"[]")</f>
        <v>[]</v>
      </c>
      <c r="W2960" s="148">
        <f>IFERROR(__xludf.DUMMYFUNCTION("""COMPUTED_VALUE"""),1.174E7)</f>
        <v>11740000</v>
      </c>
      <c r="X2960" s="148">
        <f>IFERROR(__xludf.DUMMYFUNCTION("""COMPUTED_VALUE"""),0.0)</f>
        <v>0</v>
      </c>
      <c r="Y2960" s="148">
        <f>IFERROR(__xludf.DUMMYFUNCTION("""COMPUTED_VALUE"""),0.0)</f>
        <v>0</v>
      </c>
      <c r="Z2960" s="148"/>
    </row>
    <row r="2961">
      <c r="A2961" s="148">
        <f>IFERROR(__xludf.DUMMYFUNCTION("""COMPUTED_VALUE"""),1.1119927E7)</f>
        <v>11119927</v>
      </c>
      <c r="B2961" s="148" t="str">
        <f>IFERROR(__xludf.DUMMYFUNCTION("""COMPUTED_VALUE"""),"集卡图鉴成就-2头像框奖励")</f>
        <v>集卡图鉴成就-2头像框奖励</v>
      </c>
      <c r="C2961" s="148"/>
      <c r="D2961" s="148" t="str">
        <f>IFERROR(__xludf.DUMMYFUNCTION("""COMPUTED_VALUE"""),"avatar_frame")</f>
        <v>avatar_frame</v>
      </c>
      <c r="E2961" s="148">
        <f>IFERROR(__xludf.DUMMYFUNCTION("""COMPUTED_VALUE"""),20.0)</f>
        <v>20</v>
      </c>
      <c r="F2961" s="148">
        <f>IFERROR(__xludf.DUMMYFUNCTION("""COMPUTED_VALUE"""),0.0)</f>
        <v>0</v>
      </c>
      <c r="G2961" s="148">
        <f>IFERROR(__xludf.DUMMYFUNCTION("""COMPUTED_VALUE"""),1.51103806E8)</f>
        <v>151103806</v>
      </c>
      <c r="H2961" s="148">
        <f>IFERROR(__xludf.DUMMYFUNCTION("""COMPUTED_VALUE"""),1.5112564E7)</f>
        <v>15112564</v>
      </c>
      <c r="I2961" s="148" t="str">
        <f>IFERROR(__xludf.DUMMYFUNCTION("""COMPUTED_VALUE"""),"{}")</f>
        <v>{}</v>
      </c>
      <c r="J2961" s="148" t="str">
        <f>IFERROR(__xludf.DUMMYFUNCTION("""COMPUTED_VALUE"""),"{""typ"":""lc"",""txt"":""LC_ASSET_card_gallary_book_2_avatar_frame""}")</f>
        <v>{"typ":"lc","txt":"LC_ASSET_card_gallary_book_2_avatar_frame"}</v>
      </c>
      <c r="K2961" s="148" t="str">
        <f>IFERROR(__xludf.DUMMYFUNCTION("""COMPUTED_VALUE"""),"{""typ"":""lc"",""txt"":""LC_ASSET_card_gallary_book_2_avatar_frame_get""}")</f>
        <v>{"typ":"lc","txt":"LC_ASSET_card_gallary_book_2_avatar_frame_get"}</v>
      </c>
      <c r="L2961" s="148" t="str">
        <f>IFERROR(__xludf.DUMMYFUNCTION("""COMPUTED_VALUE"""),"{}")</f>
        <v>{}</v>
      </c>
      <c r="M2961" s="148">
        <f>IFERROR(__xludf.DUMMYFUNCTION("""COMPUTED_VALUE"""),1000.0)</f>
        <v>1000</v>
      </c>
      <c r="N2961" s="148">
        <f>IFERROR(__xludf.DUMMYFUNCTION("""COMPUTED_VALUE"""),99.0)</f>
        <v>99</v>
      </c>
      <c r="O2961" s="148">
        <f>IFERROR(__xludf.DUMMYFUNCTION("""COMPUTED_VALUE"""),1.0)</f>
        <v>1</v>
      </c>
      <c r="P2961" s="148">
        <f>IFERROR(__xludf.DUMMYFUNCTION("""COMPUTED_VALUE"""),1.0)</f>
        <v>1</v>
      </c>
      <c r="Q2961" s="148" t="str">
        <f>IFERROR(__xludf.DUMMYFUNCTION("""COMPUTED_VALUE"""),"[]")</f>
        <v>[]</v>
      </c>
      <c r="R2961" s="148" t="str">
        <f>IFERROR(__xludf.DUMMYFUNCTION("""COMPUTED_VALUE"""),"[""11421081""]")</f>
        <v>["11421081"]</v>
      </c>
      <c r="S2961" s="148" t="str">
        <f>IFERROR(__xludf.DUMMYFUNCTION("""COMPUTED_VALUE"""),"{""effect"":[{""typ"":""avatar_frame"",""id"":11421081,""val"":-1},{""typ"":""item"",""id"":11111031,""val"":1000}]}")</f>
        <v>{"effect":[{"typ":"avatar_frame","id":11421081,"val":-1},{"typ":"item","id":11111031,"val":1000}]}</v>
      </c>
      <c r="T2961" s="148">
        <f>IFERROR(__xludf.DUMMYFUNCTION("""COMPUTED_VALUE"""),-1.0)</f>
        <v>-1</v>
      </c>
      <c r="U2961" s="148">
        <f>IFERROR(__xludf.DUMMYFUNCTION("""COMPUTED_VALUE"""),1.0)</f>
        <v>1</v>
      </c>
      <c r="V2961" s="148" t="str">
        <f>IFERROR(__xludf.DUMMYFUNCTION("""COMPUTED_VALUE"""),"[]")</f>
        <v>[]</v>
      </c>
      <c r="W2961" s="148">
        <f>IFERROR(__xludf.DUMMYFUNCTION("""COMPUTED_VALUE"""),1.174E7)</f>
        <v>11740000</v>
      </c>
      <c r="X2961" s="148">
        <f>IFERROR(__xludf.DUMMYFUNCTION("""COMPUTED_VALUE"""),0.0)</f>
        <v>0</v>
      </c>
      <c r="Y2961" s="148">
        <f>IFERROR(__xludf.DUMMYFUNCTION("""COMPUTED_VALUE"""),0.0)</f>
        <v>0</v>
      </c>
      <c r="Z2961" s="148"/>
    </row>
    <row r="2962">
      <c r="A2962" s="148">
        <f>IFERROR(__xludf.DUMMYFUNCTION("""COMPUTED_VALUE"""),1.1119928E7)</f>
        <v>11119928</v>
      </c>
      <c r="B2962" s="148" t="str">
        <f>IFERROR(__xludf.DUMMYFUNCTION("""COMPUTED_VALUE"""),"集卡图鉴成就-3头像框奖励")</f>
        <v>集卡图鉴成就-3头像框奖励</v>
      </c>
      <c r="C2962" s="148"/>
      <c r="D2962" s="148" t="str">
        <f>IFERROR(__xludf.DUMMYFUNCTION("""COMPUTED_VALUE"""),"avatar_frame")</f>
        <v>avatar_frame</v>
      </c>
      <c r="E2962" s="148">
        <f>IFERROR(__xludf.DUMMYFUNCTION("""COMPUTED_VALUE"""),20.0)</f>
        <v>20</v>
      </c>
      <c r="F2962" s="148">
        <f>IFERROR(__xludf.DUMMYFUNCTION("""COMPUTED_VALUE"""),0.0)</f>
        <v>0</v>
      </c>
      <c r="G2962" s="148">
        <f>IFERROR(__xludf.DUMMYFUNCTION("""COMPUTED_VALUE"""),1.51103807E8)</f>
        <v>151103807</v>
      </c>
      <c r="H2962" s="148">
        <f>IFERROR(__xludf.DUMMYFUNCTION("""COMPUTED_VALUE"""),1.5112564E7)</f>
        <v>15112564</v>
      </c>
      <c r="I2962" s="148" t="str">
        <f>IFERROR(__xludf.DUMMYFUNCTION("""COMPUTED_VALUE"""),"{}")</f>
        <v>{}</v>
      </c>
      <c r="J2962" s="148" t="str">
        <f>IFERROR(__xludf.DUMMYFUNCTION("""COMPUTED_VALUE"""),"{""typ"":""lc"",""txt"":""LC_ASSET_card_gallary_book_3_avatar_frame""}")</f>
        <v>{"typ":"lc","txt":"LC_ASSET_card_gallary_book_3_avatar_frame"}</v>
      </c>
      <c r="K2962" s="148" t="str">
        <f>IFERROR(__xludf.DUMMYFUNCTION("""COMPUTED_VALUE"""),"{""typ"":""lc"",""txt"":""LC_ASSET_card_gallary_book_3_avatar_frame_get""}")</f>
        <v>{"typ":"lc","txt":"LC_ASSET_card_gallary_book_3_avatar_frame_get"}</v>
      </c>
      <c r="L2962" s="148" t="str">
        <f>IFERROR(__xludf.DUMMYFUNCTION("""COMPUTED_VALUE"""),"{}")</f>
        <v>{}</v>
      </c>
      <c r="M2962" s="148">
        <f>IFERROR(__xludf.DUMMYFUNCTION("""COMPUTED_VALUE"""),1000.0)</f>
        <v>1000</v>
      </c>
      <c r="N2962" s="148">
        <f>IFERROR(__xludf.DUMMYFUNCTION("""COMPUTED_VALUE"""),99.0)</f>
        <v>99</v>
      </c>
      <c r="O2962" s="148">
        <f>IFERROR(__xludf.DUMMYFUNCTION("""COMPUTED_VALUE"""),1.0)</f>
        <v>1</v>
      </c>
      <c r="P2962" s="148">
        <f>IFERROR(__xludf.DUMMYFUNCTION("""COMPUTED_VALUE"""),1.0)</f>
        <v>1</v>
      </c>
      <c r="Q2962" s="148" t="str">
        <f>IFERROR(__xludf.DUMMYFUNCTION("""COMPUTED_VALUE"""),"[]")</f>
        <v>[]</v>
      </c>
      <c r="R2962" s="148" t="str">
        <f>IFERROR(__xludf.DUMMYFUNCTION("""COMPUTED_VALUE"""),"[""11421082""]")</f>
        <v>["11421082"]</v>
      </c>
      <c r="S2962" s="148" t="str">
        <f>IFERROR(__xludf.DUMMYFUNCTION("""COMPUTED_VALUE"""),"{""effect"":[{""typ"":""avatar_frame"",""id"":11421082,""val"":-1},{""typ"":""item"",""id"":11111031,""val"":1000}]}")</f>
        <v>{"effect":[{"typ":"avatar_frame","id":11421082,"val":-1},{"typ":"item","id":11111031,"val":1000}]}</v>
      </c>
      <c r="T2962" s="148">
        <f>IFERROR(__xludf.DUMMYFUNCTION("""COMPUTED_VALUE"""),-1.0)</f>
        <v>-1</v>
      </c>
      <c r="U2962" s="148">
        <f>IFERROR(__xludf.DUMMYFUNCTION("""COMPUTED_VALUE"""),1.0)</f>
        <v>1</v>
      </c>
      <c r="V2962" s="148" t="str">
        <f>IFERROR(__xludf.DUMMYFUNCTION("""COMPUTED_VALUE"""),"[]")</f>
        <v>[]</v>
      </c>
      <c r="W2962" s="148">
        <f>IFERROR(__xludf.DUMMYFUNCTION("""COMPUTED_VALUE"""),1.174E7)</f>
        <v>11740000</v>
      </c>
      <c r="X2962" s="148">
        <f>IFERROR(__xludf.DUMMYFUNCTION("""COMPUTED_VALUE"""),0.0)</f>
        <v>0</v>
      </c>
      <c r="Y2962" s="148">
        <f>IFERROR(__xludf.DUMMYFUNCTION("""COMPUTED_VALUE"""),0.0)</f>
        <v>0</v>
      </c>
      <c r="Z2962" s="148"/>
    </row>
    <row r="2963">
      <c r="A2963" s="148">
        <f>IFERROR(__xludf.DUMMYFUNCTION("""COMPUTED_VALUE"""),1.1119929E7)</f>
        <v>11119929</v>
      </c>
      <c r="B2963" s="148" t="str">
        <f>IFERROR(__xludf.DUMMYFUNCTION("""COMPUTED_VALUE"""),"2025圣诞节-装饰升级版本（投放用）")</f>
        <v>2025圣诞节-装饰升级版本（投放用）</v>
      </c>
      <c r="C2963" s="148"/>
      <c r="D2963" s="148" t="str">
        <f>IFERROR(__xludf.DUMMYFUNCTION("""COMPUTED_VALUE"""),"statue_decorate")</f>
        <v>statue_decorate</v>
      </c>
      <c r="E2963" s="148">
        <f>IFERROR(__xludf.DUMMYFUNCTION("""COMPUTED_VALUE"""),23.0)</f>
        <v>23</v>
      </c>
      <c r="F2963" s="148">
        <f>IFERROR(__xludf.DUMMYFUNCTION("""COMPUTED_VALUE"""),0.0)</f>
        <v>0</v>
      </c>
      <c r="G2963" s="148">
        <f>IFERROR(__xludf.DUMMYFUNCTION("""COMPUTED_VALUE"""),1.5110342E8)</f>
        <v>151103420</v>
      </c>
      <c r="H2963" s="148">
        <f>IFERROR(__xludf.DUMMYFUNCTION("""COMPUTED_VALUE"""),1.5112564E7)</f>
        <v>15112564</v>
      </c>
      <c r="I2963" s="148" t="str">
        <f>IFERROR(__xludf.DUMMYFUNCTION("""COMPUTED_VALUE"""),"{}")</f>
        <v>{}</v>
      </c>
      <c r="J2963" s="148" t="str">
        <f>IFERROR(__xludf.DUMMYFUNCTION("""COMPUTED_VALUE"""),"{""typ"":""lc"",""txt"":""LC_ITEM_25christmas_dec_item_2""}")</f>
        <v>{"typ":"lc","txt":"LC_ITEM_25christmas_dec_item_2"}</v>
      </c>
      <c r="K2963" s="148" t="str">
        <f>IFERROR(__xludf.DUMMYFUNCTION("""COMPUTED_VALUE"""),"{""typ"":""lc"",""txt"":""LC_ITEM_25christmas_dec_item_3_desc""}")</f>
        <v>{"typ":"lc","txt":"LC_ITEM_25christmas_dec_item_3_desc"}</v>
      </c>
      <c r="L2963" s="148" t="str">
        <f>IFERROR(__xludf.DUMMYFUNCTION("""COMPUTED_VALUE"""),"{}")</f>
        <v>{}</v>
      </c>
      <c r="M2963" s="148">
        <f>IFERROR(__xludf.DUMMYFUNCTION("""COMPUTED_VALUE"""),5000.0)</f>
        <v>5000</v>
      </c>
      <c r="N2963" s="148">
        <f>IFERROR(__xludf.DUMMYFUNCTION("""COMPUTED_VALUE"""),999.0)</f>
        <v>999</v>
      </c>
      <c r="O2963" s="148">
        <f>IFERROR(__xludf.DUMMYFUNCTION("""COMPUTED_VALUE"""),99999.0)</f>
        <v>99999</v>
      </c>
      <c r="P2963" s="148">
        <f>IFERROR(__xludf.DUMMYFUNCTION("""COMPUTED_VALUE"""),99999.0)</f>
        <v>99999</v>
      </c>
      <c r="Q2963" s="148" t="str">
        <f>IFERROR(__xludf.DUMMYFUNCTION("""COMPUTED_VALUE"""),"[]")</f>
        <v>[]</v>
      </c>
      <c r="R2963" s="148" t="str">
        <f>IFERROR(__xludf.DUMMYFUNCTION("""COMPUTED_VALUE"""),"[""bag""]")</f>
        <v>["bag"]</v>
      </c>
      <c r="S2963" s="148" t="str">
        <f>IFERROR(__xludf.DUMMYFUNCTION("""COMPUTED_VALUE"""),"{""effect"":[{""typ"":""holiday_statue"",""id"":21483301}]}")</f>
        <v>{"effect":[{"typ":"holiday_statue","id":21483301}]}</v>
      </c>
      <c r="T2963" s="148">
        <f>IFERROR(__xludf.DUMMYFUNCTION("""COMPUTED_VALUE"""),-1.0)</f>
        <v>-1</v>
      </c>
      <c r="U2963" s="148">
        <f>IFERROR(__xludf.DUMMYFUNCTION("""COMPUTED_VALUE"""),1.0)</f>
        <v>1</v>
      </c>
      <c r="V2963" s="148" t="str">
        <f>IFERROR(__xludf.DUMMYFUNCTION("""COMPUTED_VALUE"""),"[]")</f>
        <v>[]</v>
      </c>
      <c r="W2963" s="148">
        <f>IFERROR(__xludf.DUMMYFUNCTION("""COMPUTED_VALUE"""),1.174E7)</f>
        <v>11740000</v>
      </c>
      <c r="X2963" s="148">
        <f>IFERROR(__xludf.DUMMYFUNCTION("""COMPUTED_VALUE"""),0.0)</f>
        <v>0</v>
      </c>
      <c r="Y2963" s="148">
        <f>IFERROR(__xludf.DUMMYFUNCTION("""COMPUTED_VALUE"""),0.0)</f>
        <v>0</v>
      </c>
      <c r="Z2963" s="148"/>
    </row>
    <row r="2964">
      <c r="A2964" s="148">
        <f>IFERROR(__xludf.DUMMYFUNCTION("""COMPUTED_VALUE"""),1.111993E7)</f>
        <v>11119930</v>
      </c>
      <c r="B2964" s="148" t="str">
        <f>IFERROR(__xludf.DUMMYFUNCTION("""COMPUTED_VALUE"""),"2025圣诞节-装饰升级道具")</f>
        <v>2025圣诞节-装饰升级道具</v>
      </c>
      <c r="C2964" s="148"/>
      <c r="D2964" s="148" t="str">
        <f>IFERROR(__xludf.DUMMYFUNCTION("""COMPUTED_VALUE"""),"event")</f>
        <v>event</v>
      </c>
      <c r="E2964" s="148">
        <f>IFERROR(__xludf.DUMMYFUNCTION("""COMPUTED_VALUE"""),0.0)</f>
        <v>0</v>
      </c>
      <c r="F2964" s="148">
        <f>IFERROR(__xludf.DUMMYFUNCTION("""COMPUTED_VALUE"""),405243.0)</f>
        <v>405243</v>
      </c>
      <c r="G2964" s="148">
        <f>IFERROR(__xludf.DUMMYFUNCTION("""COMPUTED_VALUE"""),1.5110342E8)</f>
        <v>151103420</v>
      </c>
      <c r="H2964" s="148">
        <f>IFERROR(__xludf.DUMMYFUNCTION("""COMPUTED_VALUE"""),1.5112564E7)</f>
        <v>15112564</v>
      </c>
      <c r="I2964" s="148" t="str">
        <f>IFERROR(__xludf.DUMMYFUNCTION("""COMPUTED_VALUE"""),"{}")</f>
        <v>{}</v>
      </c>
      <c r="J2964" s="148" t="str">
        <f>IFERROR(__xludf.DUMMYFUNCTION("""COMPUTED_VALUE"""),"{""typ"":""lc"",""txt"":""LC_ITEM_25christmas_dec_item_2""}")</f>
        <v>{"typ":"lc","txt":"LC_ITEM_25christmas_dec_item_2"}</v>
      </c>
      <c r="K2964" s="148" t="str">
        <f>IFERROR(__xludf.DUMMYFUNCTION("""COMPUTED_VALUE"""),"{""typ"":""lc"",""txt"":""LC_ITEM_25christmas_dec_item_3_desc""}")</f>
        <v>{"typ":"lc","txt":"LC_ITEM_25christmas_dec_item_3_desc"}</v>
      </c>
      <c r="L2964" s="148" t="str">
        <f>IFERROR(__xludf.DUMMYFUNCTION("""COMPUTED_VALUE"""),"{}")</f>
        <v>{}</v>
      </c>
      <c r="M2964" s="148">
        <f>IFERROR(__xludf.DUMMYFUNCTION("""COMPUTED_VALUE"""),1000.0)</f>
        <v>1000</v>
      </c>
      <c r="N2964" s="148">
        <f>IFERROR(__xludf.DUMMYFUNCTION("""COMPUTED_VALUE"""),9.99999999E8)</f>
        <v>999999999</v>
      </c>
      <c r="O2964" s="148">
        <f>IFERROR(__xludf.DUMMYFUNCTION("""COMPUTED_VALUE"""),9.99999999E8)</f>
        <v>999999999</v>
      </c>
      <c r="P2964" s="148">
        <f>IFERROR(__xludf.DUMMYFUNCTION("""COMPUTED_VALUE"""),9.99999999E8)</f>
        <v>999999999</v>
      </c>
      <c r="Q2964" s="148" t="str">
        <f>IFERROR(__xludf.DUMMYFUNCTION("""COMPUTED_VALUE"""),"[""bag_other""]")</f>
        <v>["bag_other"]</v>
      </c>
      <c r="R2964" s="148" t="str">
        <f>IFERROR(__xludf.DUMMYFUNCTION("""COMPUTED_VALUE"""),"[]")</f>
        <v>[]</v>
      </c>
      <c r="S2964" s="148" t="str">
        <f>IFERROR(__xludf.DUMMYFUNCTION("""COMPUTED_VALUE"""),"{}")</f>
        <v>{}</v>
      </c>
      <c r="T2964" s="148">
        <f>IFERROR(__xludf.DUMMYFUNCTION("""COMPUTED_VALUE"""),-1.0)</f>
        <v>-1</v>
      </c>
      <c r="U2964" s="148">
        <f>IFERROR(__xludf.DUMMYFUNCTION("""COMPUTED_VALUE"""),0.0)</f>
        <v>0</v>
      </c>
      <c r="V2964" s="148" t="str">
        <f>IFERROR(__xludf.DUMMYFUNCTION("""COMPUTED_VALUE"""),"[]")</f>
        <v>[]</v>
      </c>
      <c r="W2964" s="148">
        <f>IFERROR(__xludf.DUMMYFUNCTION("""COMPUTED_VALUE"""),1.174E7)</f>
        <v>11740000</v>
      </c>
      <c r="X2964" s="148">
        <f>IFERROR(__xludf.DUMMYFUNCTION("""COMPUTED_VALUE"""),0.0)</f>
        <v>0</v>
      </c>
      <c r="Y2964" s="148">
        <f>IFERROR(__xludf.DUMMYFUNCTION("""COMPUTED_VALUE"""),0.0)</f>
        <v>0</v>
      </c>
      <c r="Z2964" s="148"/>
    </row>
    <row r="2965">
      <c r="A2965" s="148">
        <f>IFERROR(__xludf.DUMMYFUNCTION("""COMPUTED_VALUE"""),1.1119931E7)</f>
        <v>11119931</v>
      </c>
      <c r="B2965" s="148" t="str">
        <f>IFERROR(__xludf.DUMMYFUNCTION("""COMPUTED_VALUE"""),"2025圣诞节-装饰建筑-1级-组件1-糖果车轮")</f>
        <v>2025圣诞节-装饰建筑-1级-组件1-糖果车轮</v>
      </c>
      <c r="C2965" s="148"/>
      <c r="D2965" s="148" t="str">
        <f>IFERROR(__xludf.DUMMYFUNCTION("""COMPUTED_VALUE"""),"event")</f>
        <v>event</v>
      </c>
      <c r="E2965" s="148">
        <f>IFERROR(__xludf.DUMMYFUNCTION("""COMPUTED_VALUE"""),0.0)</f>
        <v>0</v>
      </c>
      <c r="F2965" s="148">
        <f>IFERROR(__xludf.DUMMYFUNCTION("""COMPUTED_VALUE"""),405215.0)</f>
        <v>405215</v>
      </c>
      <c r="G2965" s="148">
        <f>IFERROR(__xludf.DUMMYFUNCTION("""COMPUTED_VALUE"""),1.51103961E8)</f>
        <v>151103961</v>
      </c>
      <c r="H2965" s="148">
        <f>IFERROR(__xludf.DUMMYFUNCTION("""COMPUTED_VALUE"""),1.5112564E7)</f>
        <v>15112564</v>
      </c>
      <c r="I2965" s="148" t="str">
        <f>IFERROR(__xludf.DUMMYFUNCTION("""COMPUTED_VALUE"""),"{}")</f>
        <v>{}</v>
      </c>
      <c r="J2965" s="148" t="str">
        <f>IFERROR(__xludf.DUMMYFUNCTION("""COMPUTED_VALUE"""),"{""typ"":""lc"",""txt"":""LC_ITEM_25christmas_dec_part_item_name_1""}")</f>
        <v>{"typ":"lc","txt":"LC_ITEM_25christmas_dec_part_item_name_1"}</v>
      </c>
      <c r="K2965" s="148" t="str">
        <f>IFERROR(__xludf.DUMMYFUNCTION("""COMPUTED_VALUE"""),"{""typ"":""lc"",""txt"":""LC_ITEM_25christmas_dec_part_item_desc_1""}")</f>
        <v>{"typ":"lc","txt":"LC_ITEM_25christmas_dec_part_item_desc_1"}</v>
      </c>
      <c r="L2965" s="148" t="str">
        <f>IFERROR(__xludf.DUMMYFUNCTION("""COMPUTED_VALUE"""),"{}")</f>
        <v>{}</v>
      </c>
      <c r="M2965" s="148">
        <f>IFERROR(__xludf.DUMMYFUNCTION("""COMPUTED_VALUE"""),35.0)</f>
        <v>35</v>
      </c>
      <c r="N2965" s="148">
        <f>IFERROR(__xludf.DUMMYFUNCTION("""COMPUTED_VALUE"""),999999.0)</f>
        <v>999999</v>
      </c>
      <c r="O2965" s="148">
        <f>IFERROR(__xludf.DUMMYFUNCTION("""COMPUTED_VALUE"""),99999.0)</f>
        <v>99999</v>
      </c>
      <c r="P2965" s="148">
        <f>IFERROR(__xludf.DUMMYFUNCTION("""COMPUTED_VALUE"""),99999.0)</f>
        <v>99999</v>
      </c>
      <c r="Q2965" s="148" t="str">
        <f>IFERROR(__xludf.DUMMYFUNCTION("""COMPUTED_VALUE"""),"[""bag_other""]")</f>
        <v>["bag_other"]</v>
      </c>
      <c r="R2965" s="148" t="str">
        <f>IFERROR(__xludf.DUMMYFUNCTION("""COMPUTED_VALUE"""),"[]")</f>
        <v>[]</v>
      </c>
      <c r="S2965" s="148" t="str">
        <f>IFERROR(__xludf.DUMMYFUNCTION("""COMPUTED_VALUE"""),"{}")</f>
        <v>{}</v>
      </c>
      <c r="T2965" s="148">
        <f>IFERROR(__xludf.DUMMYFUNCTION("""COMPUTED_VALUE"""),1.0)</f>
        <v>1</v>
      </c>
      <c r="U2965" s="148">
        <f>IFERROR(__xludf.DUMMYFUNCTION("""COMPUTED_VALUE"""),0.0)</f>
        <v>0</v>
      </c>
      <c r="V2965" s="148" t="str">
        <f>IFERROR(__xludf.DUMMYFUNCTION("""COMPUTED_VALUE"""),"[]")</f>
        <v>[]</v>
      </c>
      <c r="W2965" s="148">
        <f>IFERROR(__xludf.DUMMYFUNCTION("""COMPUTED_VALUE"""),1.174E7)</f>
        <v>11740000</v>
      </c>
      <c r="X2965" s="148">
        <f>IFERROR(__xludf.DUMMYFUNCTION("""COMPUTED_VALUE"""),0.0)</f>
        <v>0</v>
      </c>
      <c r="Y2965" s="148">
        <f>IFERROR(__xludf.DUMMYFUNCTION("""COMPUTED_VALUE"""),0.0)</f>
        <v>0</v>
      </c>
      <c r="Z2965" s="148"/>
    </row>
    <row r="2966">
      <c r="A2966" s="148">
        <f>IFERROR(__xludf.DUMMYFUNCTION("""COMPUTED_VALUE"""),1.1119932E7)</f>
        <v>11119932</v>
      </c>
      <c r="B2966" s="148" t="str">
        <f>IFERROR(__xludf.DUMMYFUNCTION("""COMPUTED_VALUE"""),"2025圣诞节-装饰建筑-1级-组件2-饼干车厢")</f>
        <v>2025圣诞节-装饰建筑-1级-组件2-饼干车厢</v>
      </c>
      <c r="C2966" s="148"/>
      <c r="D2966" s="148" t="str">
        <f>IFERROR(__xludf.DUMMYFUNCTION("""COMPUTED_VALUE"""),"event")</f>
        <v>event</v>
      </c>
      <c r="E2966" s="148">
        <f>IFERROR(__xludf.DUMMYFUNCTION("""COMPUTED_VALUE"""),0.0)</f>
        <v>0</v>
      </c>
      <c r="F2966" s="148">
        <f>IFERROR(__xludf.DUMMYFUNCTION("""COMPUTED_VALUE"""),405214.0)</f>
        <v>405214</v>
      </c>
      <c r="G2966" s="148">
        <f>IFERROR(__xludf.DUMMYFUNCTION("""COMPUTED_VALUE"""),1.51103962E8)</f>
        <v>151103962</v>
      </c>
      <c r="H2966" s="148">
        <f>IFERROR(__xludf.DUMMYFUNCTION("""COMPUTED_VALUE"""),1.5112564E7)</f>
        <v>15112564</v>
      </c>
      <c r="I2966" s="148" t="str">
        <f>IFERROR(__xludf.DUMMYFUNCTION("""COMPUTED_VALUE"""),"{}")</f>
        <v>{}</v>
      </c>
      <c r="J2966" s="148" t="str">
        <f>IFERROR(__xludf.DUMMYFUNCTION("""COMPUTED_VALUE"""),"{""typ"":""lc"",""txt"":""LC_ITEM_25christmas_dec_part_item_name_2""}")</f>
        <v>{"typ":"lc","txt":"LC_ITEM_25christmas_dec_part_item_name_2"}</v>
      </c>
      <c r="K2966" s="148" t="str">
        <f>IFERROR(__xludf.DUMMYFUNCTION("""COMPUTED_VALUE"""),"{""typ"":""lc"",""txt"":""LC_ITEM_25christmas_dec_part_item_desc_2""}")</f>
        <v>{"typ":"lc","txt":"LC_ITEM_25christmas_dec_part_item_desc_2"}</v>
      </c>
      <c r="L2966" s="148" t="str">
        <f>IFERROR(__xludf.DUMMYFUNCTION("""COMPUTED_VALUE"""),"{}")</f>
        <v>{}</v>
      </c>
      <c r="M2966" s="148">
        <f>IFERROR(__xludf.DUMMYFUNCTION("""COMPUTED_VALUE"""),35.0)</f>
        <v>35</v>
      </c>
      <c r="N2966" s="148">
        <f>IFERROR(__xludf.DUMMYFUNCTION("""COMPUTED_VALUE"""),999999.0)</f>
        <v>999999</v>
      </c>
      <c r="O2966" s="148">
        <f>IFERROR(__xludf.DUMMYFUNCTION("""COMPUTED_VALUE"""),99999.0)</f>
        <v>99999</v>
      </c>
      <c r="P2966" s="148">
        <f>IFERROR(__xludf.DUMMYFUNCTION("""COMPUTED_VALUE"""),99999.0)</f>
        <v>99999</v>
      </c>
      <c r="Q2966" s="148" t="str">
        <f>IFERROR(__xludf.DUMMYFUNCTION("""COMPUTED_VALUE"""),"[""bag_other""]")</f>
        <v>["bag_other"]</v>
      </c>
      <c r="R2966" s="148" t="str">
        <f>IFERROR(__xludf.DUMMYFUNCTION("""COMPUTED_VALUE"""),"[]")</f>
        <v>[]</v>
      </c>
      <c r="S2966" s="148" t="str">
        <f>IFERROR(__xludf.DUMMYFUNCTION("""COMPUTED_VALUE"""),"{}")</f>
        <v>{}</v>
      </c>
      <c r="T2966" s="148">
        <f>IFERROR(__xludf.DUMMYFUNCTION("""COMPUTED_VALUE"""),1.0)</f>
        <v>1</v>
      </c>
      <c r="U2966" s="148">
        <f>IFERROR(__xludf.DUMMYFUNCTION("""COMPUTED_VALUE"""),0.0)</f>
        <v>0</v>
      </c>
      <c r="V2966" s="148" t="str">
        <f>IFERROR(__xludf.DUMMYFUNCTION("""COMPUTED_VALUE"""),"[]")</f>
        <v>[]</v>
      </c>
      <c r="W2966" s="148">
        <f>IFERROR(__xludf.DUMMYFUNCTION("""COMPUTED_VALUE"""),1.174E7)</f>
        <v>11740000</v>
      </c>
      <c r="X2966" s="148">
        <f>IFERROR(__xludf.DUMMYFUNCTION("""COMPUTED_VALUE"""),0.0)</f>
        <v>0</v>
      </c>
      <c r="Y2966" s="148">
        <f>IFERROR(__xludf.DUMMYFUNCTION("""COMPUTED_VALUE"""),0.0)</f>
        <v>0</v>
      </c>
      <c r="Z2966" s="148"/>
    </row>
    <row r="2967">
      <c r="A2967" s="148">
        <f>IFERROR(__xludf.DUMMYFUNCTION("""COMPUTED_VALUE"""),1.1119933E7)</f>
        <v>11119933</v>
      </c>
      <c r="B2967" s="148" t="str">
        <f>IFERROR(__xludf.DUMMYFUNCTION("""COMPUTED_VALUE"""),"2025圣诞节-装饰建筑-1级-组件3-巧克力车头")</f>
        <v>2025圣诞节-装饰建筑-1级-组件3-巧克力车头</v>
      </c>
      <c r="C2967" s="148"/>
      <c r="D2967" s="148" t="str">
        <f>IFERROR(__xludf.DUMMYFUNCTION("""COMPUTED_VALUE"""),"event")</f>
        <v>event</v>
      </c>
      <c r="E2967" s="148">
        <f>IFERROR(__xludf.DUMMYFUNCTION("""COMPUTED_VALUE"""),0.0)</f>
        <v>0</v>
      </c>
      <c r="F2967" s="148">
        <f>IFERROR(__xludf.DUMMYFUNCTION("""COMPUTED_VALUE"""),405213.0)</f>
        <v>405213</v>
      </c>
      <c r="G2967" s="148">
        <f>IFERROR(__xludf.DUMMYFUNCTION("""COMPUTED_VALUE"""),1.51103963E8)</f>
        <v>151103963</v>
      </c>
      <c r="H2967" s="148">
        <f>IFERROR(__xludf.DUMMYFUNCTION("""COMPUTED_VALUE"""),1.5112564E7)</f>
        <v>15112564</v>
      </c>
      <c r="I2967" s="148" t="str">
        <f>IFERROR(__xludf.DUMMYFUNCTION("""COMPUTED_VALUE"""),"{}")</f>
        <v>{}</v>
      </c>
      <c r="J2967" s="148" t="str">
        <f>IFERROR(__xludf.DUMMYFUNCTION("""COMPUTED_VALUE"""),"{""typ"":""lc"",""txt"":""LC_ITEM_25christmas_dec_part_item_name_3""}")</f>
        <v>{"typ":"lc","txt":"LC_ITEM_25christmas_dec_part_item_name_3"}</v>
      </c>
      <c r="K2967" s="148" t="str">
        <f>IFERROR(__xludf.DUMMYFUNCTION("""COMPUTED_VALUE"""),"{""typ"":""lc"",""txt"":""LC_ITEM_25christmas_dec_part_item_desc_3""}")</f>
        <v>{"typ":"lc","txt":"LC_ITEM_25christmas_dec_part_item_desc_3"}</v>
      </c>
      <c r="L2967" s="148" t="str">
        <f>IFERROR(__xludf.DUMMYFUNCTION("""COMPUTED_VALUE"""),"{}")</f>
        <v>{}</v>
      </c>
      <c r="M2967" s="148">
        <f>IFERROR(__xludf.DUMMYFUNCTION("""COMPUTED_VALUE"""),35.0)</f>
        <v>35</v>
      </c>
      <c r="N2967" s="148">
        <f>IFERROR(__xludf.DUMMYFUNCTION("""COMPUTED_VALUE"""),999999.0)</f>
        <v>999999</v>
      </c>
      <c r="O2967" s="148">
        <f>IFERROR(__xludf.DUMMYFUNCTION("""COMPUTED_VALUE"""),99999.0)</f>
        <v>99999</v>
      </c>
      <c r="P2967" s="148">
        <f>IFERROR(__xludf.DUMMYFUNCTION("""COMPUTED_VALUE"""),99999.0)</f>
        <v>99999</v>
      </c>
      <c r="Q2967" s="148" t="str">
        <f>IFERROR(__xludf.DUMMYFUNCTION("""COMPUTED_VALUE"""),"[""bag_other""]")</f>
        <v>["bag_other"]</v>
      </c>
      <c r="R2967" s="148" t="str">
        <f>IFERROR(__xludf.DUMMYFUNCTION("""COMPUTED_VALUE"""),"[]")</f>
        <v>[]</v>
      </c>
      <c r="S2967" s="148" t="str">
        <f>IFERROR(__xludf.DUMMYFUNCTION("""COMPUTED_VALUE"""),"{}")</f>
        <v>{}</v>
      </c>
      <c r="T2967" s="148">
        <f>IFERROR(__xludf.DUMMYFUNCTION("""COMPUTED_VALUE"""),1.0)</f>
        <v>1</v>
      </c>
      <c r="U2967" s="148">
        <f>IFERROR(__xludf.DUMMYFUNCTION("""COMPUTED_VALUE"""),0.0)</f>
        <v>0</v>
      </c>
      <c r="V2967" s="148" t="str">
        <f>IFERROR(__xludf.DUMMYFUNCTION("""COMPUTED_VALUE"""),"[]")</f>
        <v>[]</v>
      </c>
      <c r="W2967" s="148">
        <f>IFERROR(__xludf.DUMMYFUNCTION("""COMPUTED_VALUE"""),1.174E7)</f>
        <v>11740000</v>
      </c>
      <c r="X2967" s="148">
        <f>IFERROR(__xludf.DUMMYFUNCTION("""COMPUTED_VALUE"""),0.0)</f>
        <v>0</v>
      </c>
      <c r="Y2967" s="148">
        <f>IFERROR(__xludf.DUMMYFUNCTION("""COMPUTED_VALUE"""),0.0)</f>
        <v>0</v>
      </c>
      <c r="Z2967" s="148"/>
    </row>
    <row r="2968">
      <c r="A2968" s="148">
        <f>IFERROR(__xludf.DUMMYFUNCTION("""COMPUTED_VALUE"""),1.1119934E7)</f>
        <v>11119934</v>
      </c>
      <c r="B2968" s="148" t="str">
        <f>IFERROR(__xludf.DUMMYFUNCTION("""COMPUTED_VALUE"""),"2025圣诞节-装饰建筑-1级-组件4-礼物蛋糕")</f>
        <v>2025圣诞节-装饰建筑-1级-组件4-礼物蛋糕</v>
      </c>
      <c r="C2968" s="148"/>
      <c r="D2968" s="148" t="str">
        <f>IFERROR(__xludf.DUMMYFUNCTION("""COMPUTED_VALUE"""),"event")</f>
        <v>event</v>
      </c>
      <c r="E2968" s="148">
        <f>IFERROR(__xludf.DUMMYFUNCTION("""COMPUTED_VALUE"""),0.0)</f>
        <v>0</v>
      </c>
      <c r="F2968" s="148">
        <f>IFERROR(__xludf.DUMMYFUNCTION("""COMPUTED_VALUE"""),405212.0)</f>
        <v>405212</v>
      </c>
      <c r="G2968" s="148">
        <f>IFERROR(__xludf.DUMMYFUNCTION("""COMPUTED_VALUE"""),1.51103964E8)</f>
        <v>151103964</v>
      </c>
      <c r="H2968" s="148">
        <f>IFERROR(__xludf.DUMMYFUNCTION("""COMPUTED_VALUE"""),1.5112564E7)</f>
        <v>15112564</v>
      </c>
      <c r="I2968" s="148" t="str">
        <f>IFERROR(__xludf.DUMMYFUNCTION("""COMPUTED_VALUE"""),"{}")</f>
        <v>{}</v>
      </c>
      <c r="J2968" s="148" t="str">
        <f>IFERROR(__xludf.DUMMYFUNCTION("""COMPUTED_VALUE"""),"{""typ"":""lc"",""txt"":""LC_ITEM_25christmas_dec_part_item_name_4""}")</f>
        <v>{"typ":"lc","txt":"LC_ITEM_25christmas_dec_part_item_name_4"}</v>
      </c>
      <c r="K2968" s="148" t="str">
        <f>IFERROR(__xludf.DUMMYFUNCTION("""COMPUTED_VALUE"""),"{""typ"":""lc"",""txt"":""LC_ITEM_25christmas_dec_part_item_desc_4""}")</f>
        <v>{"typ":"lc","txt":"LC_ITEM_25christmas_dec_part_item_desc_4"}</v>
      </c>
      <c r="L2968" s="148" t="str">
        <f>IFERROR(__xludf.DUMMYFUNCTION("""COMPUTED_VALUE"""),"{}")</f>
        <v>{}</v>
      </c>
      <c r="M2968" s="148">
        <f>IFERROR(__xludf.DUMMYFUNCTION("""COMPUTED_VALUE"""),35.0)</f>
        <v>35</v>
      </c>
      <c r="N2968" s="148">
        <f>IFERROR(__xludf.DUMMYFUNCTION("""COMPUTED_VALUE"""),999999.0)</f>
        <v>999999</v>
      </c>
      <c r="O2968" s="148">
        <f>IFERROR(__xludf.DUMMYFUNCTION("""COMPUTED_VALUE"""),99999.0)</f>
        <v>99999</v>
      </c>
      <c r="P2968" s="148">
        <f>IFERROR(__xludf.DUMMYFUNCTION("""COMPUTED_VALUE"""),99999.0)</f>
        <v>99999</v>
      </c>
      <c r="Q2968" s="148" t="str">
        <f>IFERROR(__xludf.DUMMYFUNCTION("""COMPUTED_VALUE"""),"[""bag_other""]")</f>
        <v>["bag_other"]</v>
      </c>
      <c r="R2968" s="148" t="str">
        <f>IFERROR(__xludf.DUMMYFUNCTION("""COMPUTED_VALUE"""),"[]")</f>
        <v>[]</v>
      </c>
      <c r="S2968" s="148" t="str">
        <f>IFERROR(__xludf.DUMMYFUNCTION("""COMPUTED_VALUE"""),"{}")</f>
        <v>{}</v>
      </c>
      <c r="T2968" s="148">
        <f>IFERROR(__xludf.DUMMYFUNCTION("""COMPUTED_VALUE"""),1.0)</f>
        <v>1</v>
      </c>
      <c r="U2968" s="148">
        <f>IFERROR(__xludf.DUMMYFUNCTION("""COMPUTED_VALUE"""),0.0)</f>
        <v>0</v>
      </c>
      <c r="V2968" s="148" t="str">
        <f>IFERROR(__xludf.DUMMYFUNCTION("""COMPUTED_VALUE"""),"[]")</f>
        <v>[]</v>
      </c>
      <c r="W2968" s="148">
        <f>IFERROR(__xludf.DUMMYFUNCTION("""COMPUTED_VALUE"""),1.174E7)</f>
        <v>11740000</v>
      </c>
      <c r="X2968" s="148">
        <f>IFERROR(__xludf.DUMMYFUNCTION("""COMPUTED_VALUE"""),0.0)</f>
        <v>0</v>
      </c>
      <c r="Y2968" s="148">
        <f>IFERROR(__xludf.DUMMYFUNCTION("""COMPUTED_VALUE"""),0.0)</f>
        <v>0</v>
      </c>
      <c r="Z2968" s="148"/>
    </row>
    <row r="2969">
      <c r="A2969" s="148">
        <f>IFERROR(__xludf.DUMMYFUNCTION("""COMPUTED_VALUE"""),1.1119935E7)</f>
        <v>11119935</v>
      </c>
      <c r="B2969" s="148" t="str">
        <f>IFERROR(__xludf.DUMMYFUNCTION("""COMPUTED_VALUE"""),"2025圣诞节-装饰建筑-1级-组件5-姜饼旅客")</f>
        <v>2025圣诞节-装饰建筑-1级-组件5-姜饼旅客</v>
      </c>
      <c r="C2969" s="148"/>
      <c r="D2969" s="148" t="str">
        <f>IFERROR(__xludf.DUMMYFUNCTION("""COMPUTED_VALUE"""),"event")</f>
        <v>event</v>
      </c>
      <c r="E2969" s="148">
        <f>IFERROR(__xludf.DUMMYFUNCTION("""COMPUTED_VALUE"""),0.0)</f>
        <v>0</v>
      </c>
      <c r="F2969" s="148">
        <f>IFERROR(__xludf.DUMMYFUNCTION("""COMPUTED_VALUE"""),405211.0)</f>
        <v>405211</v>
      </c>
      <c r="G2969" s="148">
        <f>IFERROR(__xludf.DUMMYFUNCTION("""COMPUTED_VALUE"""),1.51103965E8)</f>
        <v>151103965</v>
      </c>
      <c r="H2969" s="148">
        <f>IFERROR(__xludf.DUMMYFUNCTION("""COMPUTED_VALUE"""),1.5112564E7)</f>
        <v>15112564</v>
      </c>
      <c r="I2969" s="148" t="str">
        <f>IFERROR(__xludf.DUMMYFUNCTION("""COMPUTED_VALUE"""),"{}")</f>
        <v>{}</v>
      </c>
      <c r="J2969" s="148" t="str">
        <f>IFERROR(__xludf.DUMMYFUNCTION("""COMPUTED_VALUE"""),"{""typ"":""lc"",""txt"":""LC_ITEM_25christmas_dec_part_item_name_5""}")</f>
        <v>{"typ":"lc","txt":"LC_ITEM_25christmas_dec_part_item_name_5"}</v>
      </c>
      <c r="K2969" s="148" t="str">
        <f>IFERROR(__xludf.DUMMYFUNCTION("""COMPUTED_VALUE"""),"{""typ"":""lc"",""txt"":""LC_ITEM_25christmas_dec_part_item_desc_5""}")</f>
        <v>{"typ":"lc","txt":"LC_ITEM_25christmas_dec_part_item_desc_5"}</v>
      </c>
      <c r="L2969" s="148" t="str">
        <f>IFERROR(__xludf.DUMMYFUNCTION("""COMPUTED_VALUE"""),"{}")</f>
        <v>{}</v>
      </c>
      <c r="M2969" s="148">
        <f>IFERROR(__xludf.DUMMYFUNCTION("""COMPUTED_VALUE"""),35.0)</f>
        <v>35</v>
      </c>
      <c r="N2969" s="148">
        <f>IFERROR(__xludf.DUMMYFUNCTION("""COMPUTED_VALUE"""),999999.0)</f>
        <v>999999</v>
      </c>
      <c r="O2969" s="148">
        <f>IFERROR(__xludf.DUMMYFUNCTION("""COMPUTED_VALUE"""),99999.0)</f>
        <v>99999</v>
      </c>
      <c r="P2969" s="148">
        <f>IFERROR(__xludf.DUMMYFUNCTION("""COMPUTED_VALUE"""),99999.0)</f>
        <v>99999</v>
      </c>
      <c r="Q2969" s="148" t="str">
        <f>IFERROR(__xludf.DUMMYFUNCTION("""COMPUTED_VALUE"""),"[""bag_other""]")</f>
        <v>["bag_other"]</v>
      </c>
      <c r="R2969" s="148" t="str">
        <f>IFERROR(__xludf.DUMMYFUNCTION("""COMPUTED_VALUE"""),"[]")</f>
        <v>[]</v>
      </c>
      <c r="S2969" s="148" t="str">
        <f>IFERROR(__xludf.DUMMYFUNCTION("""COMPUTED_VALUE"""),"{}")</f>
        <v>{}</v>
      </c>
      <c r="T2969" s="148">
        <f>IFERROR(__xludf.DUMMYFUNCTION("""COMPUTED_VALUE"""),1.0)</f>
        <v>1</v>
      </c>
      <c r="U2969" s="148">
        <f>IFERROR(__xludf.DUMMYFUNCTION("""COMPUTED_VALUE"""),0.0)</f>
        <v>0</v>
      </c>
      <c r="V2969" s="148" t="str">
        <f>IFERROR(__xludf.DUMMYFUNCTION("""COMPUTED_VALUE"""),"[]")</f>
        <v>[]</v>
      </c>
      <c r="W2969" s="148">
        <f>IFERROR(__xludf.DUMMYFUNCTION("""COMPUTED_VALUE"""),1.174E7)</f>
        <v>11740000</v>
      </c>
      <c r="X2969" s="148">
        <f>IFERROR(__xludf.DUMMYFUNCTION("""COMPUTED_VALUE"""),0.0)</f>
        <v>0</v>
      </c>
      <c r="Y2969" s="148">
        <f>IFERROR(__xludf.DUMMYFUNCTION("""COMPUTED_VALUE"""),0.0)</f>
        <v>0</v>
      </c>
      <c r="Z2969" s="148"/>
    </row>
    <row r="2970">
      <c r="A2970" s="148">
        <f>IFERROR(__xludf.DUMMYFUNCTION("""COMPUTED_VALUE"""),1.1119936E7)</f>
        <v>11119936</v>
      </c>
      <c r="B2970" s="148" t="str">
        <f>IFERROR(__xludf.DUMMYFUNCTION("""COMPUTED_VALUE"""),"2025圣诞节-装饰券宝箱-本体")</f>
        <v>2025圣诞节-装饰券宝箱-本体</v>
      </c>
      <c r="C2970" s="148"/>
      <c r="D2970" s="148" t="str">
        <f>IFERROR(__xludf.DUMMYFUNCTION("""COMPUTED_VALUE"""),"valentine_reward_box")</f>
        <v>valentine_reward_box</v>
      </c>
      <c r="E2970" s="148">
        <f>IFERROR(__xludf.DUMMYFUNCTION("""COMPUTED_VALUE"""),19.0)</f>
        <v>19</v>
      </c>
      <c r="F2970" s="148">
        <f>IFERROR(__xludf.DUMMYFUNCTION("""COMPUTED_VALUE"""),201101.0)</f>
        <v>201101</v>
      </c>
      <c r="G2970" s="148">
        <f>IFERROR(__xludf.DUMMYFUNCTION("""COMPUTED_VALUE"""),1.5118225E7)</f>
        <v>15118225</v>
      </c>
      <c r="H2970" s="148">
        <f>IFERROR(__xludf.DUMMYFUNCTION("""COMPUTED_VALUE"""),1.5112564E7)</f>
        <v>15112564</v>
      </c>
      <c r="I2970" s="148" t="str">
        <f>IFERROR(__xludf.DUMMYFUNCTION("""COMPUTED_VALUE"""),"{}")</f>
        <v>{}</v>
      </c>
      <c r="J2970" s="148" t="str">
        <f>IFERROR(__xludf.DUMMYFUNCTION("""COMPUTED_VALUE"""),"{""typ"":""lc"",""txt"":""LC_ITEM_fes_box_name""}")</f>
        <v>{"typ":"lc","txt":"LC_ITEM_fes_box_name"}</v>
      </c>
      <c r="K2970" s="148" t="str">
        <f>IFERROR(__xludf.DUMMYFUNCTION("""COMPUTED_VALUE"""),"{""typ"":""lc"",""txt"":""LC_ITEM_fes_box_desc""}")</f>
        <v>{"typ":"lc","txt":"LC_ITEM_fes_box_desc"}</v>
      </c>
      <c r="L2970" s="148" t="str">
        <f>IFERROR(__xludf.DUMMYFUNCTION("""COMPUTED_VALUE"""),"{""typ"":""lc"",""txt"":""LC_ITEM_horde_elite_box_usedtip""}")</f>
        <v>{"typ":"lc","txt":"LC_ITEM_horde_elite_box_usedtip"}</v>
      </c>
      <c r="M2970" s="148">
        <f>IFERROR(__xludf.DUMMYFUNCTION("""COMPUTED_VALUE"""),40.0)</f>
        <v>40</v>
      </c>
      <c r="N2970" s="148">
        <f>IFERROR(__xludf.DUMMYFUNCTION("""COMPUTED_VALUE"""),999999.0)</f>
        <v>999999</v>
      </c>
      <c r="O2970" s="148">
        <f>IFERROR(__xludf.DUMMYFUNCTION("""COMPUTED_VALUE"""),99999.0)</f>
        <v>99999</v>
      </c>
      <c r="P2970" s="148">
        <f>IFERROR(__xludf.DUMMYFUNCTION("""COMPUTED_VALUE"""),99999.0)</f>
        <v>99999</v>
      </c>
      <c r="Q2970" s="148" t="str">
        <f>IFERROR(__xludf.DUMMYFUNCTION("""COMPUTED_VALUE"""),"[""bag_other""]")</f>
        <v>["bag_other"]</v>
      </c>
      <c r="R2970" s="148" t="str">
        <f>IFERROR(__xludf.DUMMYFUNCTION("""COMPUTED_VALUE"""),"[""bag""]")</f>
        <v>["bag"]</v>
      </c>
      <c r="S2970" s="148" t="str">
        <f>IFERROR(__xludf.DUMMYFUNCTION("""COMPUTED_VALUE"""),"{""drop"":{""typ"":""single_random"",""num"":1,""args"":[{""typ"":""item"",""id"":11112030,""num"":1000,""wgt"":19800},{""typ"":""item"",""id"":11112030,""num"":200,""wgt"":120000},{""typ"":""item"",""id"":11112030,""num"":50,""wgt"":200000},{""typ"":""it"&amp;"em"",""id"":11119889,""num"":1,""wgt"":100},{""typ"":""item"",""id"":11112369,""num"":1,""wgt"":100},{""typ"":""item"",""id"":11112030,""num"":20,""wgt"":400000},{""typ"":""item"",""id"":11112030,""num"":100,""wgt"":200000},{""typ"":""item"",""id"":111120"&amp;"30,""num"":400,""wgt"":60000}]}}")</f>
        <v>{"drop":{"typ":"single_random","num":1,"args":[{"typ":"item","id":11112030,"num":1000,"wgt":19800},{"typ":"item","id":11112030,"num":200,"wgt":120000},{"typ":"item","id":11112030,"num":50,"wgt":200000},{"typ":"item","id":11119889,"num":1,"wgt":100},{"typ":"item","id":11112369,"num":1,"wgt":100},{"typ":"item","id":11112030,"num":20,"wgt":400000},{"typ":"item","id":11112030,"num":100,"wgt":200000},{"typ":"item","id":11112030,"num":400,"wgt":60000}]}}</v>
      </c>
      <c r="T2970" s="148">
        <f>IFERROR(__xludf.DUMMYFUNCTION("""COMPUTED_VALUE"""),-1.0)</f>
        <v>-1</v>
      </c>
      <c r="U2970" s="148">
        <f>IFERROR(__xludf.DUMMYFUNCTION("""COMPUTED_VALUE"""),0.0)</f>
        <v>0</v>
      </c>
      <c r="V2970" s="148" t="str">
        <f>IFERROR(__xludf.DUMMYFUNCTION("""COMPUTED_VALUE"""),"[]")</f>
        <v>[]</v>
      </c>
      <c r="W2970" s="148">
        <f>IFERROR(__xludf.DUMMYFUNCTION("""COMPUTED_VALUE"""),1.174E7)</f>
        <v>11740000</v>
      </c>
      <c r="X2970" s="148">
        <f>IFERROR(__xludf.DUMMYFUNCTION("""COMPUTED_VALUE"""),0.0)</f>
        <v>0</v>
      </c>
      <c r="Y2970" s="148">
        <f>IFERROR(__xludf.DUMMYFUNCTION("""COMPUTED_VALUE"""),0.0)</f>
        <v>0</v>
      </c>
      <c r="Z2970" s="148"/>
    </row>
    <row r="2971">
      <c r="A2971" s="148">
        <f>IFERROR(__xludf.DUMMYFUNCTION("""COMPUTED_VALUE"""),1.1119937E7)</f>
        <v>11119937</v>
      </c>
      <c r="B2971" s="148" t="str">
        <f>IFERROR(__xludf.DUMMYFUNCTION("""COMPUTED_VALUE"""),"2025一番赏gacha-gacha道具")</f>
        <v>2025一番赏gacha-gacha道具</v>
      </c>
      <c r="C2971" s="148"/>
      <c r="D2971" s="148" t="str">
        <f>IFERROR(__xludf.DUMMYFUNCTION("""COMPUTED_VALUE"""),"event")</f>
        <v>event</v>
      </c>
      <c r="E2971" s="148">
        <f>IFERROR(__xludf.DUMMYFUNCTION("""COMPUTED_VALUE"""),0.0)</f>
        <v>0</v>
      </c>
      <c r="F2971" s="148">
        <f>IFERROR(__xludf.DUMMYFUNCTION("""COMPUTED_VALUE"""),405210.0)</f>
        <v>405210</v>
      </c>
      <c r="G2971" s="148">
        <f>IFERROR(__xludf.DUMMYFUNCTION("""COMPUTED_VALUE"""),1.51104066E8)</f>
        <v>151104066</v>
      </c>
      <c r="H2971" s="148">
        <f>IFERROR(__xludf.DUMMYFUNCTION("""COMPUTED_VALUE"""),1.5112564E7)</f>
        <v>15112564</v>
      </c>
      <c r="I2971" s="148" t="str">
        <f>IFERROR(__xludf.DUMMYFUNCTION("""COMPUTED_VALUE"""),"{}")</f>
        <v>{}</v>
      </c>
      <c r="J2971" s="148" t="str">
        <f>IFERROR(__xludf.DUMMYFUNCTION("""COMPUTED_VALUE"""),"{""typ"":""lc"",""txt"":""LC_ITEM_sever_gacha_item_title""}")</f>
        <v>{"typ":"lc","txt":"LC_ITEM_sever_gacha_item_title"}</v>
      </c>
      <c r="K2971" s="148" t="str">
        <f>IFERROR(__xludf.DUMMYFUNCTION("""COMPUTED_VALUE"""),"{""typ"":""lc"",""txt"":""LC_ITEM_sever_gacha_item_desc""}")</f>
        <v>{"typ":"lc","txt":"LC_ITEM_sever_gacha_item_desc"}</v>
      </c>
      <c r="L2971" s="148" t="str">
        <f>IFERROR(__xludf.DUMMYFUNCTION("""COMPUTED_VALUE"""),"{}")</f>
        <v>{}</v>
      </c>
      <c r="M2971" s="148">
        <f>IFERROR(__xludf.DUMMYFUNCTION("""COMPUTED_VALUE"""),700.0)</f>
        <v>700</v>
      </c>
      <c r="N2971" s="148">
        <f>IFERROR(__xludf.DUMMYFUNCTION("""COMPUTED_VALUE"""),9.99999999E8)</f>
        <v>999999999</v>
      </c>
      <c r="O2971" s="148">
        <f>IFERROR(__xludf.DUMMYFUNCTION("""COMPUTED_VALUE"""),9.99999999E8)</f>
        <v>999999999</v>
      </c>
      <c r="P2971" s="148">
        <f>IFERROR(__xludf.DUMMYFUNCTION("""COMPUTED_VALUE"""),9.99999999E8)</f>
        <v>999999999</v>
      </c>
      <c r="Q2971" s="148" t="str">
        <f>IFERROR(__xludf.DUMMYFUNCTION("""COMPUTED_VALUE"""),"[""bag_other""]")</f>
        <v>["bag_other"]</v>
      </c>
      <c r="R2971" s="148" t="str">
        <f>IFERROR(__xludf.DUMMYFUNCTION("""COMPUTED_VALUE"""),"[""bag""]")</f>
        <v>["bag"]</v>
      </c>
      <c r="S2971" s="148" t="str">
        <f>IFERROR(__xludf.DUMMYFUNCTION("""COMPUTED_VALUE"""),"{}")</f>
        <v>{}</v>
      </c>
      <c r="T2971" s="148">
        <f>IFERROR(__xludf.DUMMYFUNCTION("""COMPUTED_VALUE"""),1.0)</f>
        <v>1</v>
      </c>
      <c r="U2971" s="148">
        <f>IFERROR(__xludf.DUMMYFUNCTION("""COMPUTED_VALUE"""),0.0)</f>
        <v>0</v>
      </c>
      <c r="V2971" s="148" t="str">
        <f>IFERROR(__xludf.DUMMYFUNCTION("""COMPUTED_VALUE"""),"[]")</f>
        <v>[]</v>
      </c>
      <c r="W2971" s="148">
        <f>IFERROR(__xludf.DUMMYFUNCTION("""COMPUTED_VALUE"""),1.174E7)</f>
        <v>11740000</v>
      </c>
      <c r="X2971" s="148">
        <f>IFERROR(__xludf.DUMMYFUNCTION("""COMPUTED_VALUE"""),0.0)</f>
        <v>0</v>
      </c>
      <c r="Y2971" s="148">
        <f>IFERROR(__xludf.DUMMYFUNCTION("""COMPUTED_VALUE"""),0.0)</f>
        <v>0</v>
      </c>
      <c r="Z2971" s="148"/>
    </row>
    <row r="2972">
      <c r="A2972" s="148">
        <f>IFERROR(__xludf.DUMMYFUNCTION("""COMPUTED_VALUE"""),1.1119938E7)</f>
        <v>11119938</v>
      </c>
      <c r="B2972" s="148" t="str">
        <f>IFERROR(__xludf.DUMMYFUNCTION("""COMPUTED_VALUE"""),"2025一番赏bp-豪华通行证")</f>
        <v>2025一番赏bp-豪华通行证</v>
      </c>
      <c r="C2972" s="148"/>
      <c r="D2972" s="148" t="str">
        <f>IFERROR(__xludf.DUMMYFUNCTION("""COMPUTED_VALUE"""),"battle_pass_card")</f>
        <v>battle_pass_card</v>
      </c>
      <c r="E2972" s="148">
        <f>IFERROR(__xludf.DUMMYFUNCTION("""COMPUTED_VALUE"""),0.0)</f>
        <v>0</v>
      </c>
      <c r="F2972" s="148">
        <f>IFERROR(__xludf.DUMMYFUNCTION("""COMPUTED_VALUE"""),0.0)</f>
        <v>0</v>
      </c>
      <c r="G2972" s="148">
        <f>IFERROR(__xludf.DUMMYFUNCTION("""COMPUTED_VALUE"""),1.51104174E8)</f>
        <v>151104174</v>
      </c>
      <c r="H2972" s="148">
        <f>IFERROR(__xludf.DUMMYFUNCTION("""COMPUTED_VALUE"""),1.5112564E7)</f>
        <v>15112564</v>
      </c>
      <c r="I2972" s="148" t="str">
        <f>IFERROR(__xludf.DUMMYFUNCTION("""COMPUTED_VALUE"""),"{}")</f>
        <v>{}</v>
      </c>
      <c r="J2972" s="148" t="str">
        <f>IFERROR(__xludf.DUMMYFUNCTION("""COMPUTED_VALUE"""),"{""typ"":""lc"",""txt"":""LC_EVENT_sever_gacha_bp_text2""}")</f>
        <v>{"typ":"lc","txt":"LC_EVENT_sever_gacha_bp_text2"}</v>
      </c>
      <c r="K2972" s="148" t="str">
        <f>IFERROR(__xludf.DUMMYFUNCTION("""COMPUTED_VALUE"""),"{}")</f>
        <v>{}</v>
      </c>
      <c r="L2972" s="148" t="str">
        <f>IFERROR(__xludf.DUMMYFUNCTION("""COMPUTED_VALUE"""),"{}")</f>
        <v>{}</v>
      </c>
      <c r="M2972" s="148">
        <f>IFERROR(__xludf.DUMMYFUNCTION("""COMPUTED_VALUE"""),10.0)</f>
        <v>10</v>
      </c>
      <c r="N2972" s="148">
        <f>IFERROR(__xludf.DUMMYFUNCTION("""COMPUTED_VALUE"""),999999.0)</f>
        <v>999999</v>
      </c>
      <c r="O2972" s="148">
        <f>IFERROR(__xludf.DUMMYFUNCTION("""COMPUTED_VALUE"""),99999.0)</f>
        <v>99999</v>
      </c>
      <c r="P2972" s="148">
        <f>IFERROR(__xludf.DUMMYFUNCTION("""COMPUTED_VALUE"""),9999.0)</f>
        <v>9999</v>
      </c>
      <c r="Q2972" s="148" t="str">
        <f>IFERROR(__xludf.DUMMYFUNCTION("""COMPUTED_VALUE"""),"[]")</f>
        <v>[]</v>
      </c>
      <c r="R2972" s="148" t="str">
        <f>IFERROR(__xludf.DUMMYFUNCTION("""COMPUTED_VALUE"""),"[]")</f>
        <v>[]</v>
      </c>
      <c r="S2972" s="148" t="str">
        <f>IFERROR(__xludf.DUMMYFUNCTION("""COMPUTED_VALUE"""),"{}")</f>
        <v>{}</v>
      </c>
      <c r="T2972" s="148">
        <f>IFERROR(__xludf.DUMMYFUNCTION("""COMPUTED_VALUE"""),-1.0)</f>
        <v>-1</v>
      </c>
      <c r="U2972" s="148">
        <f>IFERROR(__xludf.DUMMYFUNCTION("""COMPUTED_VALUE"""),1.0)</f>
        <v>1</v>
      </c>
      <c r="V2972" s="148" t="str">
        <f>IFERROR(__xludf.DUMMYFUNCTION("""COMPUTED_VALUE"""),"[]")</f>
        <v>[]</v>
      </c>
      <c r="W2972" s="148">
        <f>IFERROR(__xludf.DUMMYFUNCTION("""COMPUTED_VALUE"""),1.174E7)</f>
        <v>11740000</v>
      </c>
      <c r="X2972" s="148">
        <f>IFERROR(__xludf.DUMMYFUNCTION("""COMPUTED_VALUE"""),0.0)</f>
        <v>0</v>
      </c>
      <c r="Y2972" s="148">
        <f>IFERROR(__xludf.DUMMYFUNCTION("""COMPUTED_VALUE"""),0.0)</f>
        <v>0</v>
      </c>
      <c r="Z2972" s="148"/>
    </row>
    <row r="2973">
      <c r="A2973" s="148">
        <f>IFERROR(__xludf.DUMMYFUNCTION("""COMPUTED_VALUE"""),1.1119939E7)</f>
        <v>11119939</v>
      </c>
      <c r="B2973" s="148" t="str">
        <f>IFERROR(__xludf.DUMMYFUNCTION("""COMPUTED_VALUE"""),"2025一番赏bp-典藏通行证")</f>
        <v>2025一番赏bp-典藏通行证</v>
      </c>
      <c r="C2973" s="148"/>
      <c r="D2973" s="148" t="str">
        <f>IFERROR(__xludf.DUMMYFUNCTION("""COMPUTED_VALUE"""),"battle_pass_card")</f>
        <v>battle_pass_card</v>
      </c>
      <c r="E2973" s="148">
        <f>IFERROR(__xludf.DUMMYFUNCTION("""COMPUTED_VALUE"""),0.0)</f>
        <v>0</v>
      </c>
      <c r="F2973" s="148">
        <f>IFERROR(__xludf.DUMMYFUNCTION("""COMPUTED_VALUE"""),0.0)</f>
        <v>0</v>
      </c>
      <c r="G2973" s="148">
        <f>IFERROR(__xludf.DUMMYFUNCTION("""COMPUTED_VALUE"""),1.51104175E8)</f>
        <v>151104175</v>
      </c>
      <c r="H2973" s="148">
        <f>IFERROR(__xludf.DUMMYFUNCTION("""COMPUTED_VALUE"""),1.5112564E7)</f>
        <v>15112564</v>
      </c>
      <c r="I2973" s="148" t="str">
        <f>IFERROR(__xludf.DUMMYFUNCTION("""COMPUTED_VALUE"""),"{}")</f>
        <v>{}</v>
      </c>
      <c r="J2973" s="148" t="str">
        <f>IFERROR(__xludf.DUMMYFUNCTION("""COMPUTED_VALUE"""),"{""typ"":""lc"",""txt"":""LC_EVENT_sever_gacha_bp_text3""}")</f>
        <v>{"typ":"lc","txt":"LC_EVENT_sever_gacha_bp_text3"}</v>
      </c>
      <c r="K2973" s="148" t="str">
        <f>IFERROR(__xludf.DUMMYFUNCTION("""COMPUTED_VALUE"""),"{}")</f>
        <v>{}</v>
      </c>
      <c r="L2973" s="148" t="str">
        <f>IFERROR(__xludf.DUMMYFUNCTION("""COMPUTED_VALUE"""),"{}")</f>
        <v>{}</v>
      </c>
      <c r="M2973" s="148">
        <f>IFERROR(__xludf.DUMMYFUNCTION("""COMPUTED_VALUE"""),10.0)</f>
        <v>10</v>
      </c>
      <c r="N2973" s="148">
        <f>IFERROR(__xludf.DUMMYFUNCTION("""COMPUTED_VALUE"""),999999.0)</f>
        <v>999999</v>
      </c>
      <c r="O2973" s="148">
        <f>IFERROR(__xludf.DUMMYFUNCTION("""COMPUTED_VALUE"""),99999.0)</f>
        <v>99999</v>
      </c>
      <c r="P2973" s="148">
        <f>IFERROR(__xludf.DUMMYFUNCTION("""COMPUTED_VALUE"""),9999.0)</f>
        <v>9999</v>
      </c>
      <c r="Q2973" s="148" t="str">
        <f>IFERROR(__xludf.DUMMYFUNCTION("""COMPUTED_VALUE"""),"[]")</f>
        <v>[]</v>
      </c>
      <c r="R2973" s="148" t="str">
        <f>IFERROR(__xludf.DUMMYFUNCTION("""COMPUTED_VALUE"""),"[]")</f>
        <v>[]</v>
      </c>
      <c r="S2973" s="148" t="str">
        <f>IFERROR(__xludf.DUMMYFUNCTION("""COMPUTED_VALUE"""),"{}")</f>
        <v>{}</v>
      </c>
      <c r="T2973" s="148">
        <f>IFERROR(__xludf.DUMMYFUNCTION("""COMPUTED_VALUE"""),-1.0)</f>
        <v>-1</v>
      </c>
      <c r="U2973" s="148">
        <f>IFERROR(__xludf.DUMMYFUNCTION("""COMPUTED_VALUE"""),1.0)</f>
        <v>1</v>
      </c>
      <c r="V2973" s="148" t="str">
        <f>IFERROR(__xludf.DUMMYFUNCTION("""COMPUTED_VALUE"""),"[]")</f>
        <v>[]</v>
      </c>
      <c r="W2973" s="148">
        <f>IFERROR(__xludf.DUMMYFUNCTION("""COMPUTED_VALUE"""),1.174E7)</f>
        <v>11740000</v>
      </c>
      <c r="X2973" s="148">
        <f>IFERROR(__xludf.DUMMYFUNCTION("""COMPUTED_VALUE"""),0.0)</f>
        <v>0</v>
      </c>
      <c r="Y2973" s="148">
        <f>IFERROR(__xludf.DUMMYFUNCTION("""COMPUTED_VALUE"""),0.0)</f>
        <v>0</v>
      </c>
      <c r="Z2973" s="148"/>
    </row>
    <row r="2974">
      <c r="A2974" s="148">
        <f>IFERROR(__xludf.DUMMYFUNCTION("""COMPUTED_VALUE"""),1.111994E7)</f>
        <v>11119940</v>
      </c>
      <c r="B2974" s="148" t="str">
        <f>IFERROR(__xludf.DUMMYFUNCTION("""COMPUTED_VALUE"""),"2025一番赏bp-升级道具1")</f>
        <v>2025一番赏bp-升级道具1</v>
      </c>
      <c r="C2974" s="148"/>
      <c r="D2974" s="148" t="str">
        <f>IFERROR(__xludf.DUMMYFUNCTION("""COMPUTED_VALUE"""),"battle_pass_exp")</f>
        <v>battle_pass_exp</v>
      </c>
      <c r="E2974" s="148">
        <f>IFERROR(__xludf.DUMMYFUNCTION("""COMPUTED_VALUE"""),0.0)</f>
        <v>0</v>
      </c>
      <c r="F2974" s="148">
        <f>IFERROR(__xludf.DUMMYFUNCTION("""COMPUTED_VALUE"""),405218.0)</f>
        <v>405218</v>
      </c>
      <c r="G2974" s="148">
        <f>IFERROR(__xludf.DUMMYFUNCTION("""COMPUTED_VALUE"""),1.51104141E8)</f>
        <v>151104141</v>
      </c>
      <c r="H2974" s="148">
        <f>IFERROR(__xludf.DUMMYFUNCTION("""COMPUTED_VALUE"""),1.5112563E7)</f>
        <v>15112563</v>
      </c>
      <c r="I2974" s="148" t="str">
        <f>IFERROR(__xludf.DUMMYFUNCTION("""COMPUTED_VALUE"""),"{}")</f>
        <v>{}</v>
      </c>
      <c r="J2974" s="148" t="str">
        <f>IFERROR(__xludf.DUMMYFUNCTION("""COMPUTED_VALUE"""),"{""typ"":""lc"",""txt"":""LC_EVENT_sever_gacha_bp_expitem_name""}")</f>
        <v>{"typ":"lc","txt":"LC_EVENT_sever_gacha_bp_expitem_name"}</v>
      </c>
      <c r="K2974" s="148" t="str">
        <f>IFERROR(__xludf.DUMMYFUNCTION("""COMPUTED_VALUE"""),"{""typ"":""lc"",""txt"":""LC_EVENT_sever_gacha_bp_expitem_desc""}")</f>
        <v>{"typ":"lc","txt":"LC_EVENT_sever_gacha_bp_expitem_desc"}</v>
      </c>
      <c r="L2974" s="148" t="str">
        <f>IFERROR(__xludf.DUMMYFUNCTION("""COMPUTED_VALUE"""),"{}")</f>
        <v>{}</v>
      </c>
      <c r="M2974" s="148">
        <f>IFERROR(__xludf.DUMMYFUNCTION("""COMPUTED_VALUE"""),6.0)</f>
        <v>6</v>
      </c>
      <c r="N2974" s="148">
        <f>IFERROR(__xludf.DUMMYFUNCTION("""COMPUTED_VALUE"""),999999.0)</f>
        <v>999999</v>
      </c>
      <c r="O2974" s="148">
        <f>IFERROR(__xludf.DUMMYFUNCTION("""COMPUTED_VALUE"""),99999.0)</f>
        <v>99999</v>
      </c>
      <c r="P2974" s="148">
        <f>IFERROR(__xludf.DUMMYFUNCTION("""COMPUTED_VALUE"""),99999.0)</f>
        <v>99999</v>
      </c>
      <c r="Q2974" s="148" t="str">
        <f>IFERROR(__xludf.DUMMYFUNCTION("""COMPUTED_VALUE"""),"[""bag_other""]")</f>
        <v>["bag_other"]</v>
      </c>
      <c r="R2974" s="148" t="str">
        <f>IFERROR(__xludf.DUMMYFUNCTION("""COMPUTED_VALUE"""),"[]")</f>
        <v>[]</v>
      </c>
      <c r="S2974" s="148" t="str">
        <f>IFERROR(__xludf.DUMMYFUNCTION("""COMPUTED_VALUE"""),"{""effect"":[{""typ"":""event"",""id"":21127646},{""typ"":""miss_lost_reward""}]}")</f>
        <v>{"effect":[{"typ":"event","id":21127646},{"typ":"miss_lost_reward"}]}</v>
      </c>
      <c r="T2974" s="148">
        <f>IFERROR(__xludf.DUMMYFUNCTION("""COMPUTED_VALUE"""),-1.0)</f>
        <v>-1</v>
      </c>
      <c r="U2974" s="148">
        <f>IFERROR(__xludf.DUMMYFUNCTION("""COMPUTED_VALUE"""),1.0)</f>
        <v>1</v>
      </c>
      <c r="V2974" s="148" t="str">
        <f>IFERROR(__xludf.DUMMYFUNCTION("""COMPUTED_VALUE"""),"[]")</f>
        <v>[]</v>
      </c>
      <c r="W2974" s="148">
        <f>IFERROR(__xludf.DUMMYFUNCTION("""COMPUTED_VALUE"""),1.174E7)</f>
        <v>11740000</v>
      </c>
      <c r="X2974" s="148">
        <f>IFERROR(__xludf.DUMMYFUNCTION("""COMPUTED_VALUE"""),0.0)</f>
        <v>0</v>
      </c>
      <c r="Y2974" s="148">
        <f>IFERROR(__xludf.DUMMYFUNCTION("""COMPUTED_VALUE"""),0.0)</f>
        <v>0</v>
      </c>
      <c r="Z2974" s="148"/>
    </row>
    <row r="2975">
      <c r="A2975" s="148">
        <f>IFERROR(__xludf.DUMMYFUNCTION("""COMPUTED_VALUE"""),1.1119941E7)</f>
        <v>11119941</v>
      </c>
      <c r="B2975" s="148" t="str">
        <f>IFERROR(__xludf.DUMMYFUNCTION("""COMPUTED_VALUE"""),"2026春节自选宝箱")</f>
        <v>2026春节自选宝箱</v>
      </c>
      <c r="C2975" s="148"/>
      <c r="D2975" s="148" t="str">
        <f>IFERROR(__xludf.DUMMYFUNCTION("""COMPUTED_VALUE"""),"item_select_box")</f>
        <v>item_select_box</v>
      </c>
      <c r="E2975" s="148">
        <f>IFERROR(__xludf.DUMMYFUNCTION("""COMPUTED_VALUE"""),19.0)</f>
        <v>19</v>
      </c>
      <c r="F2975" s="148">
        <f>IFERROR(__xludf.DUMMYFUNCTION("""COMPUTED_VALUE"""),0.0)</f>
        <v>0</v>
      </c>
      <c r="G2975" s="148">
        <f>IFERROR(__xludf.DUMMYFUNCTION("""COMPUTED_VALUE"""),1.51104264E8)</f>
        <v>151104264</v>
      </c>
      <c r="H2975" s="148">
        <f>IFERROR(__xludf.DUMMYFUNCTION("""COMPUTED_VALUE"""),1.5112564E7)</f>
        <v>15112564</v>
      </c>
      <c r="I2975" s="148" t="str">
        <f>IFERROR(__xludf.DUMMYFUNCTION("""COMPUTED_VALUE"""),"{}")</f>
        <v>{}</v>
      </c>
      <c r="J2975" s="148" t="str">
        <f>IFERROR(__xludf.DUMMYFUNCTION("""COMPUTED_VALUE"""),"{""typ"":""lc"",""txt"":""LC_ITEM_actv_2026spring_cbox_name""}")</f>
        <v>{"typ":"lc","txt":"LC_ITEM_actv_2026spring_cbox_name"}</v>
      </c>
      <c r="K2975" s="148" t="str">
        <f>IFERROR(__xludf.DUMMYFUNCTION("""COMPUTED_VALUE"""),"{""typ"":""lc"",""txt"":""LC_ITEM_actv_2026spring_cbox_desc""}")</f>
        <v>{"typ":"lc","txt":"LC_ITEM_actv_2026spring_cbox_desc"}</v>
      </c>
      <c r="L2975" s="148" t="str">
        <f>IFERROR(__xludf.DUMMYFUNCTION("""COMPUTED_VALUE"""),"{}")</f>
        <v>{}</v>
      </c>
      <c r="M2975" s="148">
        <f>IFERROR(__xludf.DUMMYFUNCTION("""COMPUTED_VALUE"""),125.0)</f>
        <v>125</v>
      </c>
      <c r="N2975" s="148">
        <f>IFERROR(__xludf.DUMMYFUNCTION("""COMPUTED_VALUE"""),999999.0)</f>
        <v>999999</v>
      </c>
      <c r="O2975" s="148">
        <f>IFERROR(__xludf.DUMMYFUNCTION("""COMPUTED_VALUE"""),99999.0)</f>
        <v>99999</v>
      </c>
      <c r="P2975" s="148">
        <f>IFERROR(__xludf.DUMMYFUNCTION("""COMPUTED_VALUE"""),9999.0)</f>
        <v>9999</v>
      </c>
      <c r="Q2975" s="148" t="str">
        <f>IFERROR(__xludf.DUMMYFUNCTION("""COMPUTED_VALUE"""),"[""bag_other""]")</f>
        <v>["bag_other"]</v>
      </c>
      <c r="R2975" s="148" t="str">
        <f>IFERROR(__xludf.DUMMYFUNCTION("""COMPUTED_VALUE"""),"[""bag""]")</f>
        <v>["bag"]</v>
      </c>
      <c r="S2975" s="148" t="str">
        <f>IFERROR(__xludf.DUMMYFUNCTION("""COMPUTED_VALUE"""),"{""select_box"":[{""typ"":""item"",""id"":11112392,""val"":1},{""typ"":""item"",""id"":11112765,""val"":2},{""typ"":""item"",""id"":11112833,""val"":5},{""typ"":""item"",""id"":11119904,""val"":5},{""typ"":""item"",""id"":11112398,""val"":10}]}")</f>
        <v>{"select_box":[{"typ":"item","id":11112392,"val":1},{"typ":"item","id":11112765,"val":2},{"typ":"item","id":11112833,"val":5},{"typ":"item","id":11119904,"val":5},{"typ":"item","id":11112398,"val":10}]}</v>
      </c>
      <c r="T2975" s="148">
        <f>IFERROR(__xludf.DUMMYFUNCTION("""COMPUTED_VALUE"""),-1.0)</f>
        <v>-1</v>
      </c>
      <c r="U2975" s="148">
        <f>IFERROR(__xludf.DUMMYFUNCTION("""COMPUTED_VALUE"""),0.0)</f>
        <v>0</v>
      </c>
      <c r="V2975" s="148" t="str">
        <f>IFERROR(__xludf.DUMMYFUNCTION("""COMPUTED_VALUE"""),"[]")</f>
        <v>[]</v>
      </c>
      <c r="W2975" s="148">
        <f>IFERROR(__xludf.DUMMYFUNCTION("""COMPUTED_VALUE"""),1.174E7)</f>
        <v>11740000</v>
      </c>
      <c r="X2975" s="148">
        <f>IFERROR(__xludf.DUMMYFUNCTION("""COMPUTED_VALUE"""),0.0)</f>
        <v>0</v>
      </c>
      <c r="Y2975" s="148">
        <f>IFERROR(__xludf.DUMMYFUNCTION("""COMPUTED_VALUE"""),0.0)</f>
        <v>0</v>
      </c>
      <c r="Z2975" s="148"/>
    </row>
    <row r="2976">
      <c r="A2976" s="148">
        <f>IFERROR(__xludf.DUMMYFUNCTION("""COMPUTED_VALUE"""),1.1119942E7)</f>
        <v>11119942</v>
      </c>
      <c r="B2976" s="148" t="str">
        <f>IFERROR(__xludf.DUMMYFUNCTION("""COMPUTED_VALUE"""),"2026春节随机宝箱")</f>
        <v>2026春节随机宝箱</v>
      </c>
      <c r="C2976" s="148"/>
      <c r="D2976" s="148" t="str">
        <f>IFERROR(__xludf.DUMMYFUNCTION("""COMPUTED_VALUE"""),"item_asset")</f>
        <v>item_asset</v>
      </c>
      <c r="E2976" s="148">
        <f>IFERROR(__xludf.DUMMYFUNCTION("""COMPUTED_VALUE"""),19.0)</f>
        <v>19</v>
      </c>
      <c r="F2976" s="148">
        <f>IFERROR(__xludf.DUMMYFUNCTION("""COMPUTED_VALUE"""),0.0)</f>
        <v>0</v>
      </c>
      <c r="G2976" s="148">
        <f>IFERROR(__xludf.DUMMYFUNCTION("""COMPUTED_VALUE"""),1.51104265E8)</f>
        <v>151104265</v>
      </c>
      <c r="H2976" s="148">
        <f>IFERROR(__xludf.DUMMYFUNCTION("""COMPUTED_VALUE"""),1.5112564E7)</f>
        <v>15112564</v>
      </c>
      <c r="I2976" s="148" t="str">
        <f>IFERROR(__xludf.DUMMYFUNCTION("""COMPUTED_VALUE"""),"{}")</f>
        <v>{}</v>
      </c>
      <c r="J2976" s="148" t="str">
        <f>IFERROR(__xludf.DUMMYFUNCTION("""COMPUTED_VALUE"""),"{""typ"":""lc"",""txt"":""LC_ITEM_actv_2026spring_rbox_name""}")</f>
        <v>{"typ":"lc","txt":"LC_ITEM_actv_2026spring_rbox_name"}</v>
      </c>
      <c r="K2976" s="148" t="str">
        <f>IFERROR(__xludf.DUMMYFUNCTION("""COMPUTED_VALUE"""),"{""typ"":""lc"",""txt"":""LC_ITEM_actv_2026spring_rbox_desc""}")</f>
        <v>{"typ":"lc","txt":"LC_ITEM_actv_2026spring_rbox_desc"}</v>
      </c>
      <c r="L2976" s="148" t="str">
        <f>IFERROR(__xludf.DUMMYFUNCTION("""COMPUTED_VALUE"""),"{}")</f>
        <v>{}</v>
      </c>
      <c r="M2976" s="148">
        <f>IFERROR(__xludf.DUMMYFUNCTION("""COMPUTED_VALUE"""),125.0)</f>
        <v>125</v>
      </c>
      <c r="N2976" s="148">
        <f>IFERROR(__xludf.DUMMYFUNCTION("""COMPUTED_VALUE"""),999999.0)</f>
        <v>999999</v>
      </c>
      <c r="O2976" s="148">
        <f>IFERROR(__xludf.DUMMYFUNCTION("""COMPUTED_VALUE"""),99999.0)</f>
        <v>99999</v>
      </c>
      <c r="P2976" s="148">
        <f>IFERROR(__xludf.DUMMYFUNCTION("""COMPUTED_VALUE"""),9999.0)</f>
        <v>9999</v>
      </c>
      <c r="Q2976" s="148" t="str">
        <f>IFERROR(__xludf.DUMMYFUNCTION("""COMPUTED_VALUE"""),"[""bag_other""]")</f>
        <v>["bag_other"]</v>
      </c>
      <c r="R2976" s="148" t="str">
        <f>IFERROR(__xludf.DUMMYFUNCTION("""COMPUTED_VALUE"""),"[""bag""]")</f>
        <v>["bag"]</v>
      </c>
      <c r="S2976" s="148" t="str">
        <f>IFERROR(__xludf.DUMMYFUNCTION("""COMPUTED_VALUE"""),"{""drop"":{""typ"":""single_random"",""num"":1,""args"":[{""typ"":""item"",""id"":11112398,""num"":2,""wgt"":20},{""typ"":""item"",""id"":11116304,""num"":1,""wgt"":5},{""typ"":""item"",""id"":11116110,""num"":1,""wgt"":20},{""typ"":""item"",""id"":111143"&amp;"30,""num"":1,""wgt"":100},{""typ"":""item"",""id"":11111155,""num"":2,""wgt"":100},{""typ"":""item"",""id"":11111105,""num"":1,""wgt"":50}]}}")</f>
        <v>{"drop":{"typ":"single_random","num":1,"args":[{"typ":"item","id":11112398,"num":2,"wgt":20},{"typ":"item","id":11116304,"num":1,"wgt":5},{"typ":"item","id":11116110,"num":1,"wgt":20},{"typ":"item","id":11114330,"num":1,"wgt":100},{"typ":"item","id":11111155,"num":2,"wgt":100},{"typ":"item","id":11111105,"num":1,"wgt":50}]}}</v>
      </c>
      <c r="T2976" s="148">
        <f>IFERROR(__xludf.DUMMYFUNCTION("""COMPUTED_VALUE"""),-1.0)</f>
        <v>-1</v>
      </c>
      <c r="U2976" s="148">
        <f>IFERROR(__xludf.DUMMYFUNCTION("""COMPUTED_VALUE"""),0.0)</f>
        <v>0</v>
      </c>
      <c r="V2976" s="148" t="str">
        <f>IFERROR(__xludf.DUMMYFUNCTION("""COMPUTED_VALUE"""),"[]")</f>
        <v>[]</v>
      </c>
      <c r="W2976" s="148">
        <f>IFERROR(__xludf.DUMMYFUNCTION("""COMPUTED_VALUE"""),1.174E7)</f>
        <v>11740000</v>
      </c>
      <c r="X2976" s="148">
        <f>IFERROR(__xludf.DUMMYFUNCTION("""COMPUTED_VALUE"""),0.0)</f>
        <v>0</v>
      </c>
      <c r="Y2976" s="148">
        <f>IFERROR(__xludf.DUMMYFUNCTION("""COMPUTED_VALUE"""),0.0)</f>
        <v>0</v>
      </c>
      <c r="Z2976" s="148"/>
    </row>
    <row r="2977">
      <c r="A2977" s="148">
        <f>IFERROR(__xludf.DUMMYFUNCTION("""COMPUTED_VALUE"""),1.1119943E7)</f>
        <v>11119943</v>
      </c>
      <c r="B2977" s="148" t="str">
        <f>IFERROR(__xludf.DUMMYFUNCTION("""COMPUTED_VALUE"""),"2026春节外显体验卡自选道具")</f>
        <v>2026春节外显体验卡自选道具</v>
      </c>
      <c r="C2977" s="148"/>
      <c r="D2977" s="148" t="str">
        <f>IFERROR(__xludf.DUMMYFUNCTION("""COMPUTED_VALUE"""),"item_select_box")</f>
        <v>item_select_box</v>
      </c>
      <c r="E2977" s="148">
        <f>IFERROR(__xludf.DUMMYFUNCTION("""COMPUTED_VALUE"""),19.0)</f>
        <v>19</v>
      </c>
      <c r="F2977" s="148">
        <f>IFERROR(__xludf.DUMMYFUNCTION("""COMPUTED_VALUE"""),403200.0)</f>
        <v>403200</v>
      </c>
      <c r="G2977" s="148">
        <f>IFERROR(__xludf.DUMMYFUNCTION("""COMPUTED_VALUE"""),1.5110425E8)</f>
        <v>151104250</v>
      </c>
      <c r="H2977" s="148">
        <f>IFERROR(__xludf.DUMMYFUNCTION("""COMPUTED_VALUE"""),1.5112564E7)</f>
        <v>15112564</v>
      </c>
      <c r="I2977" s="148" t="str">
        <f>IFERROR(__xludf.DUMMYFUNCTION("""COMPUTED_VALUE"""),"{}")</f>
        <v>{}</v>
      </c>
      <c r="J2977" s="148" t="str">
        <f>IFERROR(__xludf.DUMMYFUNCTION("""COMPUTED_VALUE"""),"{""typ"":""lc"",""txt"":""LC_ITEM_spring_2026_city_suit_select_box_name""}")</f>
        <v>{"typ":"lc","txt":"LC_ITEM_spring_2026_city_suit_select_box_name"}</v>
      </c>
      <c r="K2977" s="148" t="str">
        <f>IFERROR(__xludf.DUMMYFUNCTION("""COMPUTED_VALUE"""),"{""typ"":""lc"",""txt"":""LC_ITEM_spring_2026_city_suit_select_box_desc"",""args"":[{""typ"":""int"",""val"":1},{""typ"":""int"",""val"":1}]}")</f>
        <v>{"typ":"lc","txt":"LC_ITEM_spring_2026_city_suit_select_box_desc","args":[{"typ":"int","val":1},{"typ":"int","val":1}]}</v>
      </c>
      <c r="L2977" s="148" t="str">
        <f>IFERROR(__xludf.DUMMYFUNCTION("""COMPUTED_VALUE"""),"{""typ"":""lc"",""txt"":""LC_ITEM_chest_from_atk_npc_usedtip""}")</f>
        <v>{"typ":"lc","txt":"LC_ITEM_chest_from_atk_npc_usedtip"}</v>
      </c>
      <c r="M2977" s="148">
        <f>IFERROR(__xludf.DUMMYFUNCTION("""COMPUTED_VALUE"""),1000.0)</f>
        <v>1000</v>
      </c>
      <c r="N2977" s="148">
        <f>IFERROR(__xludf.DUMMYFUNCTION("""COMPUTED_VALUE"""),999999.0)</f>
        <v>999999</v>
      </c>
      <c r="O2977" s="148">
        <f>IFERROR(__xludf.DUMMYFUNCTION("""COMPUTED_VALUE"""),99999.0)</f>
        <v>99999</v>
      </c>
      <c r="P2977" s="148">
        <f>IFERROR(__xludf.DUMMYFUNCTION("""COMPUTED_VALUE"""),99999.0)</f>
        <v>99999</v>
      </c>
      <c r="Q2977" s="148" t="str">
        <f>IFERROR(__xludf.DUMMYFUNCTION("""COMPUTED_VALUE"""),"[""bag_other""]")</f>
        <v>["bag_other"]</v>
      </c>
      <c r="R2977" s="148" t="str">
        <f>IFERROR(__xludf.DUMMYFUNCTION("""COMPUTED_VALUE"""),"[""bag""]")</f>
        <v>["bag"]</v>
      </c>
      <c r="S2977" s="148" t="str">
        <f>IFERROR(__xludf.DUMMYFUNCTION("""COMPUTED_VALUE"""),"{""select_box"":[{""typ"":""item"",""id"":11112772,""val"":1},{""typ"":""item"",""id"":11112777,""val"":1},{""typ"":""item"",""id"":11119945,""val"":1},{""typ"":""item"",""id"":11118663,""val"":10}]}")</f>
        <v>{"select_box":[{"typ":"item","id":11112772,"val":1},{"typ":"item","id":11112777,"val":1},{"typ":"item","id":11119945,"val":1},{"typ":"item","id":11118663,"val":10}]}</v>
      </c>
      <c r="T2977" s="148">
        <f>IFERROR(__xludf.DUMMYFUNCTION("""COMPUTED_VALUE"""),1.0)</f>
        <v>1</v>
      </c>
      <c r="U2977" s="148">
        <f>IFERROR(__xludf.DUMMYFUNCTION("""COMPUTED_VALUE"""),0.0)</f>
        <v>0</v>
      </c>
      <c r="V2977" s="148" t="str">
        <f>IFERROR(__xludf.DUMMYFUNCTION("""COMPUTED_VALUE"""),"[]")</f>
        <v>[]</v>
      </c>
      <c r="W2977" s="148">
        <f>IFERROR(__xludf.DUMMYFUNCTION("""COMPUTED_VALUE"""),1.174E7)</f>
        <v>11740000</v>
      </c>
      <c r="X2977" s="148">
        <f>IFERROR(__xludf.DUMMYFUNCTION("""COMPUTED_VALUE"""),0.0)</f>
        <v>0</v>
      </c>
      <c r="Y2977" s="148">
        <f>IFERROR(__xludf.DUMMYFUNCTION("""COMPUTED_VALUE"""),0.0)</f>
        <v>0</v>
      </c>
      <c r="Z2977" s="148"/>
    </row>
    <row r="2978">
      <c r="A2978" s="148">
        <f>IFERROR(__xludf.DUMMYFUNCTION("""COMPUTED_VALUE"""),1.1119944E7)</f>
        <v>11119944</v>
      </c>
      <c r="B2978" s="148" t="str">
        <f>IFERROR(__xludf.DUMMYFUNCTION("""COMPUTED_VALUE"""),"春节2025-主城特效")</f>
        <v>春节2025-主城特效</v>
      </c>
      <c r="C2978" s="148"/>
      <c r="D2978" s="148" t="str">
        <f>IFERROR(__xludf.DUMMYFUNCTION("""COMPUTED_VALUE"""),"city_effect")</f>
        <v>city_effect</v>
      </c>
      <c r="E2978" s="148">
        <f>IFERROR(__xludf.DUMMYFUNCTION("""COMPUTED_VALUE"""),0.0)</f>
        <v>0</v>
      </c>
      <c r="F2978" s="148">
        <f>IFERROR(__xludf.DUMMYFUNCTION("""COMPUTED_VALUE"""),405217.0)</f>
        <v>405217</v>
      </c>
      <c r="G2978" s="148">
        <f>IFERROR(__xludf.DUMMYFUNCTION("""COMPUTED_VALUE"""),1.51104253E8)</f>
        <v>151104253</v>
      </c>
      <c r="H2978" s="148">
        <f>IFERROR(__xludf.DUMMYFUNCTION("""COMPUTED_VALUE"""),1.5112564E7)</f>
        <v>15112564</v>
      </c>
      <c r="I2978" s="148" t="str">
        <f>IFERROR(__xludf.DUMMYFUNCTION("""COMPUTED_VALUE"""),"{}")</f>
        <v>{}</v>
      </c>
      <c r="J2978" s="148" t="str">
        <f>IFERROR(__xludf.DUMMYFUNCTION("""COMPUTED_VALUE"""),"{""typ"":""lc"",""txt"":""LC_ITEM_2026spring_city_effect_name""}")</f>
        <v>{"typ":"lc","txt":"LC_ITEM_2026spring_city_effect_name"}</v>
      </c>
      <c r="K2978" s="148" t="str">
        <f>IFERROR(__xludf.DUMMYFUNCTION("""COMPUTED_VALUE"""),"{""typ"":""lc"",""txt"":""LC_ITEM_2026spring_city_effect_name_desc""}")</f>
        <v>{"typ":"lc","txt":"LC_ITEM_2026spring_city_effect_name_desc"}</v>
      </c>
      <c r="L2978" s="148" t="str">
        <f>IFERROR(__xludf.DUMMYFUNCTION("""COMPUTED_VALUE"""),"{}")</f>
        <v>{}</v>
      </c>
      <c r="M2978" s="148">
        <f>IFERROR(__xludf.DUMMYFUNCTION("""COMPUTED_VALUE"""),10000.0)</f>
        <v>10000</v>
      </c>
      <c r="N2978" s="148">
        <f>IFERROR(__xludf.DUMMYFUNCTION("""COMPUTED_VALUE"""),999999.0)</f>
        <v>999999</v>
      </c>
      <c r="O2978" s="148">
        <f>IFERROR(__xludf.DUMMYFUNCTION("""COMPUTED_VALUE"""),99999.0)</f>
        <v>99999</v>
      </c>
      <c r="P2978" s="148">
        <f>IFERROR(__xludf.DUMMYFUNCTION("""COMPUTED_VALUE"""),1.0)</f>
        <v>1</v>
      </c>
      <c r="Q2978" s="148" t="str">
        <f>IFERROR(__xludf.DUMMYFUNCTION("""COMPUTED_VALUE"""),"[""bag_other""]")</f>
        <v>["bag_other"]</v>
      </c>
      <c r="R2978" s="148" t="str">
        <f>IFERROR(__xludf.DUMMYFUNCTION("""COMPUTED_VALUE"""),"[""bag"",""13871015""]")</f>
        <v>["bag","13871015"]</v>
      </c>
      <c r="S2978" s="148" t="str">
        <f>IFERROR(__xludf.DUMMYFUNCTION("""COMPUTED_VALUE"""),"{""effect"":[{""typ"":""city_effect"",""id"":13871015,""val"":-1},{""typ"":""item"",""id"":11111034,""val"":10}]}")</f>
        <v>{"effect":[{"typ":"city_effect","id":13871015,"val":-1},{"typ":"item","id":11111034,"val":10}]}</v>
      </c>
      <c r="T2978" s="148">
        <f>IFERROR(__xludf.DUMMYFUNCTION("""COMPUTED_VALUE"""),-1.0)</f>
        <v>-1</v>
      </c>
      <c r="U2978" s="148">
        <f>IFERROR(__xludf.DUMMYFUNCTION("""COMPUTED_VALUE"""),0.0)</f>
        <v>0</v>
      </c>
      <c r="V2978" s="148" t="str">
        <f>IFERROR(__xludf.DUMMYFUNCTION("""COMPUTED_VALUE"""),"[]")</f>
        <v>[]</v>
      </c>
      <c r="W2978" s="148">
        <f>IFERROR(__xludf.DUMMYFUNCTION("""COMPUTED_VALUE"""),1.174E7)</f>
        <v>11740000</v>
      </c>
      <c r="X2978" s="148">
        <f>IFERROR(__xludf.DUMMYFUNCTION("""COMPUTED_VALUE"""),0.0)</f>
        <v>0</v>
      </c>
      <c r="Y2978" s="148">
        <f>IFERROR(__xludf.DUMMYFUNCTION("""COMPUTED_VALUE"""),0.0)</f>
        <v>0</v>
      </c>
      <c r="Z2978" s="148"/>
    </row>
    <row r="2979">
      <c r="A2979" s="148">
        <f>IFERROR(__xludf.DUMMYFUNCTION("""COMPUTED_VALUE"""),1.1119945E7)</f>
        <v>11119945</v>
      </c>
      <c r="B2979" s="148" t="str">
        <f>IFERROR(__xludf.DUMMYFUNCTION("""COMPUTED_VALUE"""),"春节2025-主城特效-14天")</f>
        <v>春节2025-主城特效-14天</v>
      </c>
      <c r="C2979" s="148"/>
      <c r="D2979" s="148" t="str">
        <f>IFERROR(__xludf.DUMMYFUNCTION("""COMPUTED_VALUE"""),"city_effect")</f>
        <v>city_effect</v>
      </c>
      <c r="E2979" s="148">
        <f>IFERROR(__xludf.DUMMYFUNCTION("""COMPUTED_VALUE"""),21.0)</f>
        <v>21</v>
      </c>
      <c r="F2979" s="148">
        <f>IFERROR(__xludf.DUMMYFUNCTION("""COMPUTED_VALUE"""),499990.0)</f>
        <v>499990</v>
      </c>
      <c r="G2979" s="148">
        <f>IFERROR(__xludf.DUMMYFUNCTION("""COMPUTED_VALUE"""),1.51104253E8)</f>
        <v>151104253</v>
      </c>
      <c r="H2979" s="148">
        <f>IFERROR(__xludf.DUMMYFUNCTION("""COMPUTED_VALUE"""),1.5112564E7)</f>
        <v>15112564</v>
      </c>
      <c r="I2979" s="148" t="str">
        <f>IFERROR(__xludf.DUMMYFUNCTION("""COMPUTED_VALUE"""),"{""typ"":""lc"",""txt"":""LC_ITEM_time_day_upper_show"",""args"":[{""typ"":""int"",""val"":14}]}")</f>
        <v>{"typ":"lc","txt":"LC_ITEM_time_day_upper_show","args":[{"typ":"int","val":14}]}</v>
      </c>
      <c r="J2979" s="148" t="str">
        <f>IFERROR(__xludf.DUMMYFUNCTION("""COMPUTED_VALUE"""),"{""typ"":""lc"",""txt"":""LC_ITEM_2026spring_city_effect_name_14day""}")</f>
        <v>{"typ":"lc","txt":"LC_ITEM_2026spring_city_effect_name_14day"}</v>
      </c>
      <c r="K2979" s="148" t="str">
        <f>IFERROR(__xludf.DUMMYFUNCTION("""COMPUTED_VALUE"""),"{""typ"":""lc"",""txt"":""LC_ITEM_2026spring_city_effect_desc_14day""}")</f>
        <v>{"typ":"lc","txt":"LC_ITEM_2026spring_city_effect_desc_14day"}</v>
      </c>
      <c r="L2979" s="148" t="str">
        <f>IFERROR(__xludf.DUMMYFUNCTION("""COMPUTED_VALUE"""),"{""typ"":""lc"",""txt"":""LC_ASSET_suit_actived_tips_1""}")</f>
        <v>{"typ":"lc","txt":"LC_ASSET_suit_actived_tips_1"}</v>
      </c>
      <c r="M2979" s="148">
        <f>IFERROR(__xludf.DUMMYFUNCTION("""COMPUTED_VALUE"""),10000.0)</f>
        <v>10000</v>
      </c>
      <c r="N2979" s="148">
        <f>IFERROR(__xludf.DUMMYFUNCTION("""COMPUTED_VALUE"""),999.0)</f>
        <v>999</v>
      </c>
      <c r="O2979" s="148">
        <f>IFERROR(__xludf.DUMMYFUNCTION("""COMPUTED_VALUE"""),1.0)</f>
        <v>1</v>
      </c>
      <c r="P2979" s="148">
        <f>IFERROR(__xludf.DUMMYFUNCTION("""COMPUTED_VALUE"""),1.0)</f>
        <v>1</v>
      </c>
      <c r="Q2979" s="148" t="str">
        <f>IFERROR(__xludf.DUMMYFUNCTION("""COMPUTED_VALUE"""),"[""bag_other""]")</f>
        <v>["bag_other"]</v>
      </c>
      <c r="R2979" s="148" t="str">
        <f>IFERROR(__xludf.DUMMYFUNCTION("""COMPUTED_VALUE"""),"[""bag"",""13871015""]")</f>
        <v>["bag","13871015"]</v>
      </c>
      <c r="S2979" s="148" t="str">
        <f>IFERROR(__xludf.DUMMYFUNCTION("""COMPUTED_VALUE"""),"{""effect"":[{""typ"":""city_effect"",""id"":13871015,""val"":-1},{""typ"":""item"",""id"":11111021,""val"":7}]}")</f>
        <v>{"effect":[{"typ":"city_effect","id":13871015,"val":-1},{"typ":"item","id":11111021,"val":7}]}</v>
      </c>
      <c r="T2979" s="148">
        <f>IFERROR(__xludf.DUMMYFUNCTION("""COMPUTED_VALUE"""),-1.0)</f>
        <v>-1</v>
      </c>
      <c r="U2979" s="148">
        <f>IFERROR(__xludf.DUMMYFUNCTION("""COMPUTED_VALUE"""),0.0)</f>
        <v>0</v>
      </c>
      <c r="V2979" s="148" t="str">
        <f>IFERROR(__xludf.DUMMYFUNCTION("""COMPUTED_VALUE"""),"[]")</f>
        <v>[]</v>
      </c>
      <c r="W2979" s="148">
        <f>IFERROR(__xludf.DUMMYFUNCTION("""COMPUTED_VALUE"""),1.174E7)</f>
        <v>11740000</v>
      </c>
      <c r="X2979" s="148">
        <f>IFERROR(__xludf.DUMMYFUNCTION("""COMPUTED_VALUE"""),0.0)</f>
        <v>0</v>
      </c>
      <c r="Y2979" s="148">
        <f>IFERROR(__xludf.DUMMYFUNCTION("""COMPUTED_VALUE"""),0.0)</f>
        <v>0</v>
      </c>
      <c r="Z2979" s="148"/>
    </row>
    <row r="2980">
      <c r="A2980" s="148">
        <f>IFERROR(__xludf.DUMMYFUNCTION("""COMPUTED_VALUE"""),1.1119946E7)</f>
        <v>11119946</v>
      </c>
      <c r="B2980" s="148" t="str">
        <f>IFERROR(__xludf.DUMMYFUNCTION("""COMPUTED_VALUE"""),"2025春节低级行军特效-花灯祈愿-永久")</f>
        <v>2025春节低级行军特效-花灯祈愿-永久</v>
      </c>
      <c r="C2980" s="148"/>
      <c r="D2980" s="148" t="str">
        <f>IFERROR(__xludf.DUMMYFUNCTION("""COMPUTED_VALUE"""),"marching_effect")</f>
        <v>marching_effect</v>
      </c>
      <c r="E2980" s="148">
        <f>IFERROR(__xludf.DUMMYFUNCTION("""COMPUTED_VALUE"""),0.0)</f>
        <v>0</v>
      </c>
      <c r="F2980" s="148">
        <f>IFERROR(__xludf.DUMMYFUNCTION("""COMPUTED_VALUE"""),408195.0)</f>
        <v>408195</v>
      </c>
      <c r="G2980" s="148">
        <f>IFERROR(__xludf.DUMMYFUNCTION("""COMPUTED_VALUE"""),1.51104296E8)</f>
        <v>151104296</v>
      </c>
      <c r="H2980" s="148">
        <f>IFERROR(__xludf.DUMMYFUNCTION("""COMPUTED_VALUE"""),1.5112564E7)</f>
        <v>15112564</v>
      </c>
      <c r="I2980" s="148" t="str">
        <f>IFERROR(__xludf.DUMMYFUNCTION("""COMPUTED_VALUE"""),"{}")</f>
        <v>{}</v>
      </c>
      <c r="J2980" s="148" t="str">
        <f>IFERROR(__xludf.DUMMYFUNCTION("""COMPUTED_VALUE"""),"{""typ"":""lc"",""txt"":""LC_ITEM_spring_marcheffect_2026""}")</f>
        <v>{"typ":"lc","txt":"LC_ITEM_spring_marcheffect_2026"}</v>
      </c>
      <c r="K2980" s="148" t="str">
        <f>IFERROR(__xludf.DUMMYFUNCTION("""COMPUTED_VALUE"""),"{""typ"":""lc"",""txt"":""LC_ITEM_spring_marcheffect_2026_desc""}")</f>
        <v>{"typ":"lc","txt":"LC_ITEM_spring_marcheffect_2026_desc"}</v>
      </c>
      <c r="L2980" s="148" t="str">
        <f>IFERROR(__xludf.DUMMYFUNCTION("""COMPUTED_VALUE"""),"{""typ"":""lc"",""txt"":""LC_ITEM_march_effect_use_tip_all""}")</f>
        <v>{"typ":"lc","txt":"LC_ITEM_march_effect_use_tip_all"}</v>
      </c>
      <c r="M2980" s="148">
        <f>IFERROR(__xludf.DUMMYFUNCTION("""COMPUTED_VALUE"""),5000.0)</f>
        <v>5000</v>
      </c>
      <c r="N2980" s="148">
        <f>IFERROR(__xludf.DUMMYFUNCTION("""COMPUTED_VALUE"""),999999.0)</f>
        <v>999999</v>
      </c>
      <c r="O2980" s="148">
        <f>IFERROR(__xludf.DUMMYFUNCTION("""COMPUTED_VALUE"""),99999.0)</f>
        <v>99999</v>
      </c>
      <c r="P2980" s="148">
        <f>IFERROR(__xludf.DUMMYFUNCTION("""COMPUTED_VALUE"""),1.0)</f>
        <v>1</v>
      </c>
      <c r="Q2980" s="148" t="str">
        <f>IFERROR(__xludf.DUMMYFUNCTION("""COMPUTED_VALUE"""),"[""bag_other""]")</f>
        <v>["bag_other"]</v>
      </c>
      <c r="R2980" s="148" t="str">
        <f>IFERROR(__xludf.DUMMYFUNCTION("""COMPUTED_VALUE"""),"[""bag"",""13650150""]")</f>
        <v>["bag","13650150"]</v>
      </c>
      <c r="S2980" s="148" t="str">
        <f>IFERROR(__xludf.DUMMYFUNCTION("""COMPUTED_VALUE"""),"{""effect"":[{""typ"":""marching_effect"",""id"":13650150,""val"":-1},{""typ"":""vm"",""id"":11151001,""val"":2500}]}")</f>
        <v>{"effect":[{"typ":"marching_effect","id":13650150,"val":-1},{"typ":"vm","id":11151001,"val":2500}]}</v>
      </c>
      <c r="T2980" s="148">
        <f>IFERROR(__xludf.DUMMYFUNCTION("""COMPUTED_VALUE"""),-1.0)</f>
        <v>-1</v>
      </c>
      <c r="U2980" s="148">
        <f>IFERROR(__xludf.DUMMYFUNCTION("""COMPUTED_VALUE"""),0.0)</f>
        <v>0</v>
      </c>
      <c r="V2980" s="148" t="str">
        <f>IFERROR(__xludf.DUMMYFUNCTION("""COMPUTED_VALUE"""),"[]")</f>
        <v>[]</v>
      </c>
      <c r="W2980" s="148">
        <f>IFERROR(__xludf.DUMMYFUNCTION("""COMPUTED_VALUE"""),1.174E7)</f>
        <v>11740000</v>
      </c>
      <c r="X2980" s="148">
        <f>IFERROR(__xludf.DUMMYFUNCTION("""COMPUTED_VALUE"""),0.0)</f>
        <v>0</v>
      </c>
      <c r="Y2980" s="148">
        <f>IFERROR(__xludf.DUMMYFUNCTION("""COMPUTED_VALUE"""),0.0)</f>
        <v>0</v>
      </c>
      <c r="Z2980" s="148"/>
    </row>
    <row r="2981">
      <c r="A2981" s="148">
        <f>IFERROR(__xludf.DUMMYFUNCTION("""COMPUTED_VALUE"""),1.1119947E7)</f>
        <v>11119947</v>
      </c>
      <c r="B2981" s="148" t="str">
        <f>IFERROR(__xludf.DUMMYFUNCTION("""COMPUTED_VALUE"""),"2025春节动态头像框-舞狮迎新")</f>
        <v>2025春节动态头像框-舞狮迎新</v>
      </c>
      <c r="C2981" s="148"/>
      <c r="D2981" s="148" t="str">
        <f>IFERROR(__xludf.DUMMYFUNCTION("""COMPUTED_VALUE"""),"avatar_frame")</f>
        <v>avatar_frame</v>
      </c>
      <c r="E2981" s="148">
        <f>IFERROR(__xludf.DUMMYFUNCTION("""COMPUTED_VALUE"""),20.0)</f>
        <v>20</v>
      </c>
      <c r="F2981" s="148">
        <f>IFERROR(__xludf.DUMMYFUNCTION("""COMPUTED_VALUE"""),0.0)</f>
        <v>0</v>
      </c>
      <c r="G2981" s="148">
        <f>IFERROR(__xludf.DUMMYFUNCTION("""COMPUTED_VALUE"""),1.51104181E8)</f>
        <v>151104181</v>
      </c>
      <c r="H2981" s="148">
        <f>IFERROR(__xludf.DUMMYFUNCTION("""COMPUTED_VALUE"""),1.5112564E7)</f>
        <v>15112564</v>
      </c>
      <c r="I2981" s="148" t="str">
        <f>IFERROR(__xludf.DUMMYFUNCTION("""COMPUTED_VALUE"""),"{}")</f>
        <v>{}</v>
      </c>
      <c r="J2981" s="148" t="str">
        <f>IFERROR(__xludf.DUMMYFUNCTION("""COMPUTED_VALUE"""),"{""typ"":""lc"",""txt"":""LC_ITEM_2025spring_avatar_name""}")</f>
        <v>{"typ":"lc","txt":"LC_ITEM_2025spring_avatar_name"}</v>
      </c>
      <c r="K2981" s="148" t="str">
        <f>IFERROR(__xludf.DUMMYFUNCTION("""COMPUTED_VALUE"""),"{""typ"":""lc"",""txt"":""LC_ITEM_2025spring_avatar_desc""}")</f>
        <v>{"typ":"lc","txt":"LC_ITEM_2025spring_avatar_desc"}</v>
      </c>
      <c r="L2981" s="148" t="str">
        <f>IFERROR(__xludf.DUMMYFUNCTION("""COMPUTED_VALUE"""),"{}")</f>
        <v>{}</v>
      </c>
      <c r="M2981" s="148">
        <f>IFERROR(__xludf.DUMMYFUNCTION("""COMPUTED_VALUE"""),1000.0)</f>
        <v>1000</v>
      </c>
      <c r="N2981" s="148">
        <f>IFERROR(__xludf.DUMMYFUNCTION("""COMPUTED_VALUE"""),99.0)</f>
        <v>99</v>
      </c>
      <c r="O2981" s="148">
        <f>IFERROR(__xludf.DUMMYFUNCTION("""COMPUTED_VALUE"""),1.0)</f>
        <v>1</v>
      </c>
      <c r="P2981" s="148">
        <f>IFERROR(__xludf.DUMMYFUNCTION("""COMPUTED_VALUE"""),1.0)</f>
        <v>1</v>
      </c>
      <c r="Q2981" s="148" t="str">
        <f>IFERROR(__xludf.DUMMYFUNCTION("""COMPUTED_VALUE"""),"[]")</f>
        <v>[]</v>
      </c>
      <c r="R2981" s="148" t="str">
        <f>IFERROR(__xludf.DUMMYFUNCTION("""COMPUTED_VALUE"""),"[""11421085""]")</f>
        <v>["11421085"]</v>
      </c>
      <c r="S2981" s="148" t="str">
        <f>IFERROR(__xludf.DUMMYFUNCTION("""COMPUTED_VALUE"""),"{""effect"":[{""typ"":""avatar_frame"",""id"":11421085,""val"":-1},{""typ"":""item"",""id"":11111031,""val"":1000}]}")</f>
        <v>{"effect":[{"typ":"avatar_frame","id":11421085,"val":-1},{"typ":"item","id":11111031,"val":1000}]}</v>
      </c>
      <c r="T2981" s="148">
        <f>IFERROR(__xludf.DUMMYFUNCTION("""COMPUTED_VALUE"""),-1.0)</f>
        <v>-1</v>
      </c>
      <c r="U2981" s="148">
        <f>IFERROR(__xludf.DUMMYFUNCTION("""COMPUTED_VALUE"""),1.0)</f>
        <v>1</v>
      </c>
      <c r="V2981" s="148" t="str">
        <f>IFERROR(__xludf.DUMMYFUNCTION("""COMPUTED_VALUE"""),"[]")</f>
        <v>[]</v>
      </c>
      <c r="W2981" s="148">
        <f>IFERROR(__xludf.DUMMYFUNCTION("""COMPUTED_VALUE"""),1.174E7)</f>
        <v>11740000</v>
      </c>
      <c r="X2981" s="148">
        <f>IFERROR(__xludf.DUMMYFUNCTION("""COMPUTED_VALUE"""),0.0)</f>
        <v>0</v>
      </c>
      <c r="Y2981" s="148">
        <f>IFERROR(__xludf.DUMMYFUNCTION("""COMPUTED_VALUE"""),0.0)</f>
        <v>0</v>
      </c>
      <c r="Z2981" s="148"/>
    </row>
    <row r="2982">
      <c r="A2982" s="148">
        <f>IFERROR(__xludf.DUMMYFUNCTION("""COMPUTED_VALUE"""),1.1119948E7)</f>
        <v>11119948</v>
      </c>
      <c r="B2982" s="148" t="str">
        <f>IFERROR(__xludf.DUMMYFUNCTION("""COMPUTED_VALUE"""),"2025春节铭牌-灯映锦鲤")</f>
        <v>2025春节铭牌-灯映锦鲤</v>
      </c>
      <c r="C2982" s="148"/>
      <c r="D2982" s="148" t="str">
        <f>IFERROR(__xludf.DUMMYFUNCTION("""COMPUTED_VALUE"""),"chat_skin")</f>
        <v>chat_skin</v>
      </c>
      <c r="E2982" s="148">
        <f>IFERROR(__xludf.DUMMYFUNCTION("""COMPUTED_VALUE"""),30.0)</f>
        <v>30</v>
      </c>
      <c r="F2982" s="148">
        <f>IFERROR(__xludf.DUMMYFUNCTION("""COMPUTED_VALUE"""),401107.0)</f>
        <v>401107</v>
      </c>
      <c r="G2982" s="148">
        <f>IFERROR(__xludf.DUMMYFUNCTION("""COMPUTED_VALUE"""),1.51104294E8)</f>
        <v>151104294</v>
      </c>
      <c r="H2982" s="148">
        <f>IFERROR(__xludf.DUMMYFUNCTION("""COMPUTED_VALUE"""),1.5112564E7)</f>
        <v>15112564</v>
      </c>
      <c r="I2982" s="148" t="str">
        <f>IFERROR(__xludf.DUMMYFUNCTION("""COMPUTED_VALUE"""),"{}")</f>
        <v>{}</v>
      </c>
      <c r="J2982" s="148" t="str">
        <f>IFERROR(__xludf.DUMMYFUNCTION("""COMPUTED_VALUE"""),"{""typ"":""lc"",""txt"":""LC_ITEM_spring_chat_skin_name_2025""}")</f>
        <v>{"typ":"lc","txt":"LC_ITEM_spring_chat_skin_name_2025"}</v>
      </c>
      <c r="K2982" s="148" t="str">
        <f>IFERROR(__xludf.DUMMYFUNCTION("""COMPUTED_VALUE"""),"{""typ"":""lc"",""txt"":""LC_ITEM_spring_chat_skin_desc_2025_item""}")</f>
        <v>{"typ":"lc","txt":"LC_ITEM_spring_chat_skin_desc_2025_item"}</v>
      </c>
      <c r="L2982" s="148" t="str">
        <f>IFERROR(__xludf.DUMMYFUNCTION("""COMPUTED_VALUE"""),"{""typ"":""lc"",""txt"":""LC_ITEM_season_extra_reward_usedtip""}")</f>
        <v>{"typ":"lc","txt":"LC_ITEM_season_extra_reward_usedtip"}</v>
      </c>
      <c r="M2982" s="148">
        <f>IFERROR(__xludf.DUMMYFUNCTION("""COMPUTED_VALUE"""),2500.0)</f>
        <v>2500</v>
      </c>
      <c r="N2982" s="148">
        <f>IFERROR(__xludf.DUMMYFUNCTION("""COMPUTED_VALUE"""),9999999.0)</f>
        <v>9999999</v>
      </c>
      <c r="O2982" s="148">
        <f>IFERROR(__xludf.DUMMYFUNCTION("""COMPUTED_VALUE"""),1.0)</f>
        <v>1</v>
      </c>
      <c r="P2982" s="148">
        <f>IFERROR(__xludf.DUMMYFUNCTION("""COMPUTED_VALUE"""),1.0)</f>
        <v>1</v>
      </c>
      <c r="Q2982" s="148" t="str">
        <f>IFERROR(__xludf.DUMMYFUNCTION("""COMPUTED_VALUE"""),"[""bag_other""]")</f>
        <v>["bag_other"]</v>
      </c>
      <c r="R2982" s="148" t="str">
        <f>IFERROR(__xludf.DUMMYFUNCTION("""COMPUTED_VALUE"""),"[""11731046"",""bag""]")</f>
        <v>["11731046","bag"]</v>
      </c>
      <c r="S2982" s="148" t="str">
        <f>IFERROR(__xludf.DUMMYFUNCTION("""COMPUTED_VALUE"""),"{""effect"":[{""typ"":""nameplate"",""id"":11731046,""val"":-1}]}")</f>
        <v>{"effect":[{"typ":"nameplate","id":11731046,"val":-1}]}</v>
      </c>
      <c r="T2982" s="148">
        <f>IFERROR(__xludf.DUMMYFUNCTION("""COMPUTED_VALUE"""),-1.0)</f>
        <v>-1</v>
      </c>
      <c r="U2982" s="148">
        <f>IFERROR(__xludf.DUMMYFUNCTION("""COMPUTED_VALUE"""),0.0)</f>
        <v>0</v>
      </c>
      <c r="V2982" s="148" t="str">
        <f>IFERROR(__xludf.DUMMYFUNCTION("""COMPUTED_VALUE"""),"[]")</f>
        <v>[]</v>
      </c>
      <c r="W2982" s="148">
        <f>IFERROR(__xludf.DUMMYFUNCTION("""COMPUTED_VALUE"""),1.174E7)</f>
        <v>11740000</v>
      </c>
      <c r="X2982" s="148">
        <f>IFERROR(__xludf.DUMMYFUNCTION("""COMPUTED_VALUE"""),0.0)</f>
        <v>0</v>
      </c>
      <c r="Y2982" s="148">
        <f>IFERROR(__xludf.DUMMYFUNCTION("""COMPUTED_VALUE"""),0.0)</f>
        <v>0</v>
      </c>
      <c r="Z2982" s="148"/>
    </row>
    <row r="2983">
      <c r="A2983" s="148">
        <f>IFERROR(__xludf.DUMMYFUNCTION("""COMPUTED_VALUE"""),1.1119949E7)</f>
        <v>11119949</v>
      </c>
      <c r="B2983" s="148" t="str">
        <f>IFERROR(__xludf.DUMMYFUNCTION("""COMPUTED_VALUE"""),"2026春节行军特效-主体-1天限时")</f>
        <v>2026春节行军特效-主体-1天限时</v>
      </c>
      <c r="C2983" s="148"/>
      <c r="D2983" s="148" t="str">
        <f>IFERROR(__xludf.DUMMYFUNCTION("""COMPUTED_VALUE"""),"marching_effect")</f>
        <v>marching_effect</v>
      </c>
      <c r="E2983" s="148">
        <f>IFERROR(__xludf.DUMMYFUNCTION("""COMPUTED_VALUE"""),0.0)</f>
        <v>0</v>
      </c>
      <c r="F2983" s="148">
        <f>IFERROR(__xludf.DUMMYFUNCTION("""COMPUTED_VALUE"""),408200.0)</f>
        <v>408200</v>
      </c>
      <c r="G2983" s="148">
        <f>IFERROR(__xludf.DUMMYFUNCTION("""COMPUTED_VALUE"""),1.51104297E8)</f>
        <v>151104297</v>
      </c>
      <c r="H2983" s="148">
        <f>IFERROR(__xludf.DUMMYFUNCTION("""COMPUTED_VALUE"""),1.511256E7)</f>
        <v>15112560</v>
      </c>
      <c r="I2983" s="148" t="str">
        <f>IFERROR(__xludf.DUMMYFUNCTION("""COMPUTED_VALUE"""),"{""typ"":""lc"",""txt"":""LC_ITEM_time_day_upper_show"",""args"":[{""typ"":""int_unit"",""val"":1}]}")</f>
        <v>{"typ":"lc","txt":"LC_ITEM_time_day_upper_show","args":[{"typ":"int_unit","val":1}]}</v>
      </c>
      <c r="J2983" s="148" t="str">
        <f>IFERROR(__xludf.DUMMYFUNCTION("""COMPUTED_VALUE"""),"{""typ"":""lc"",""txt"":""LC_ITEM_spring_marcheffect_high_2025_name_1""}")</f>
        <v>{"typ":"lc","txt":"LC_ITEM_spring_marcheffect_high_2025_name_1"}</v>
      </c>
      <c r="K2983" s="148" t="str">
        <f>IFERROR(__xludf.DUMMYFUNCTION("""COMPUTED_VALUE"""),"{""typ"":""lc"",""txt"":""LC_ITEM_spring_marcheffect_high_2025_desc""}")</f>
        <v>{"typ":"lc","txt":"LC_ITEM_spring_marcheffect_high_2025_desc"}</v>
      </c>
      <c r="L2983" s="148" t="str">
        <f>IFERROR(__xludf.DUMMYFUNCTION("""COMPUTED_VALUE"""),"{""typ"":""lc"",""txt"":""LC_ITEM_march_effect_use_tip_all""}")</f>
        <v>{"typ":"lc","txt":"LC_ITEM_march_effect_use_tip_all"}</v>
      </c>
      <c r="M2983" s="148">
        <f>IFERROR(__xludf.DUMMYFUNCTION("""COMPUTED_VALUE"""),50.0)</f>
        <v>50</v>
      </c>
      <c r="N2983" s="148">
        <f>IFERROR(__xludf.DUMMYFUNCTION("""COMPUTED_VALUE"""),999999.0)</f>
        <v>999999</v>
      </c>
      <c r="O2983" s="148">
        <f>IFERROR(__xludf.DUMMYFUNCTION("""COMPUTED_VALUE"""),99999.0)</f>
        <v>99999</v>
      </c>
      <c r="P2983" s="148">
        <f>IFERROR(__xludf.DUMMYFUNCTION("""COMPUTED_VALUE"""),1.0)</f>
        <v>1</v>
      </c>
      <c r="Q2983" s="148" t="str">
        <f>IFERROR(__xludf.DUMMYFUNCTION("""COMPUTED_VALUE"""),"[""bag_other""]")</f>
        <v>["bag_other"]</v>
      </c>
      <c r="R2983" s="148" t="str">
        <f>IFERROR(__xludf.DUMMYFUNCTION("""COMPUTED_VALUE"""),"[""bag"",""13650151""]")</f>
        <v>["bag","13650151"]</v>
      </c>
      <c r="S2983" s="148" t="str">
        <f>IFERROR(__xludf.DUMMYFUNCTION("""COMPUTED_VALUE"""),"{""effect"":[{""typ"":""marching_effect"",""id"":13650151,""val"":86400000},{""typ"":""vm"",""id"":11151001,""val"":50}]}")</f>
        <v>{"effect":[{"typ":"marching_effect","id":13650151,"val":86400000},{"typ":"vm","id":11151001,"val":50}]}</v>
      </c>
      <c r="T2983" s="148">
        <f>IFERROR(__xludf.DUMMYFUNCTION("""COMPUTED_VALUE"""),-1.0)</f>
        <v>-1</v>
      </c>
      <c r="U2983" s="148">
        <f>IFERROR(__xludf.DUMMYFUNCTION("""COMPUTED_VALUE"""),0.0)</f>
        <v>0</v>
      </c>
      <c r="V2983" s="148" t="str">
        <f>IFERROR(__xludf.DUMMYFUNCTION("""COMPUTED_VALUE"""),"[]")</f>
        <v>[]</v>
      </c>
      <c r="W2983" s="148">
        <f>IFERROR(__xludf.DUMMYFUNCTION("""COMPUTED_VALUE"""),1.174E7)</f>
        <v>11740000</v>
      </c>
      <c r="X2983" s="148">
        <f>IFERROR(__xludf.DUMMYFUNCTION("""COMPUTED_VALUE"""),0.0)</f>
        <v>0</v>
      </c>
      <c r="Y2983" s="148">
        <f>IFERROR(__xludf.DUMMYFUNCTION("""COMPUTED_VALUE"""),0.0)</f>
        <v>0</v>
      </c>
      <c r="Z2983" s="148"/>
    </row>
    <row r="2984">
      <c r="A2984" s="148">
        <f>IFERROR(__xludf.DUMMYFUNCTION("""COMPUTED_VALUE"""),1.111995E7)</f>
        <v>11119950</v>
      </c>
      <c r="B2984" s="148" t="str">
        <f>IFERROR(__xludf.DUMMYFUNCTION("""COMPUTED_VALUE"""),"2026春节行军特效-主体-3天限时")</f>
        <v>2026春节行军特效-主体-3天限时</v>
      </c>
      <c r="C2984" s="148"/>
      <c r="D2984" s="148" t="str">
        <f>IFERROR(__xludf.DUMMYFUNCTION("""COMPUTED_VALUE"""),"marching_effect")</f>
        <v>marching_effect</v>
      </c>
      <c r="E2984" s="148">
        <f>IFERROR(__xludf.DUMMYFUNCTION("""COMPUTED_VALUE"""),0.0)</f>
        <v>0</v>
      </c>
      <c r="F2984" s="148">
        <f>IFERROR(__xludf.DUMMYFUNCTION("""COMPUTED_VALUE"""),408199.0)</f>
        <v>408199</v>
      </c>
      <c r="G2984" s="148">
        <f>IFERROR(__xludf.DUMMYFUNCTION("""COMPUTED_VALUE"""),1.51104297E8)</f>
        <v>151104297</v>
      </c>
      <c r="H2984" s="148">
        <f>IFERROR(__xludf.DUMMYFUNCTION("""COMPUTED_VALUE"""),1.5112561E7)</f>
        <v>15112561</v>
      </c>
      <c r="I2984" s="148" t="str">
        <f>IFERROR(__xludf.DUMMYFUNCTION("""COMPUTED_VALUE"""),"{""typ"":""lc"",""txt"":""LC_ITEM_time_day_upper_show"",""args"":[{""typ"":""int_unit"",""val"":3}]}")</f>
        <v>{"typ":"lc","txt":"LC_ITEM_time_day_upper_show","args":[{"typ":"int_unit","val":3}]}</v>
      </c>
      <c r="J2984" s="148" t="str">
        <f>IFERROR(__xludf.DUMMYFUNCTION("""COMPUTED_VALUE"""),"{""typ"":""lc"",""txt"":""LC_ITEM_spring_marcheffect_high_2025_name_3""}")</f>
        <v>{"typ":"lc","txt":"LC_ITEM_spring_marcheffect_high_2025_name_3"}</v>
      </c>
      <c r="K2984" s="148" t="str">
        <f>IFERROR(__xludf.DUMMYFUNCTION("""COMPUTED_VALUE"""),"{""typ"":""lc"",""txt"":""LC_ITEM_spring_marcheffect_high_2025_desc""}")</f>
        <v>{"typ":"lc","txt":"LC_ITEM_spring_marcheffect_high_2025_desc"}</v>
      </c>
      <c r="L2984" s="148" t="str">
        <f>IFERROR(__xludf.DUMMYFUNCTION("""COMPUTED_VALUE"""),"{""typ"":""lc"",""txt"":""LC_ITEM_march_effect_use_tip_all""}")</f>
        <v>{"typ":"lc","txt":"LC_ITEM_march_effect_use_tip_all"}</v>
      </c>
      <c r="M2984" s="148">
        <f>IFERROR(__xludf.DUMMYFUNCTION("""COMPUTED_VALUE"""),200.0)</f>
        <v>200</v>
      </c>
      <c r="N2984" s="148">
        <f>IFERROR(__xludf.DUMMYFUNCTION("""COMPUTED_VALUE"""),999999.0)</f>
        <v>999999</v>
      </c>
      <c r="O2984" s="148">
        <f>IFERROR(__xludf.DUMMYFUNCTION("""COMPUTED_VALUE"""),99999.0)</f>
        <v>99999</v>
      </c>
      <c r="P2984" s="148">
        <f>IFERROR(__xludf.DUMMYFUNCTION("""COMPUTED_VALUE"""),1.0)</f>
        <v>1</v>
      </c>
      <c r="Q2984" s="148" t="str">
        <f>IFERROR(__xludf.DUMMYFUNCTION("""COMPUTED_VALUE"""),"[""bag_other""]")</f>
        <v>["bag_other"]</v>
      </c>
      <c r="R2984" s="148" t="str">
        <f>IFERROR(__xludf.DUMMYFUNCTION("""COMPUTED_VALUE"""),"[""bag"",""13650151""]")</f>
        <v>["bag","13650151"]</v>
      </c>
      <c r="S2984" s="148" t="str">
        <f>IFERROR(__xludf.DUMMYFUNCTION("""COMPUTED_VALUE"""),"{""effect"":[{""typ"":""marching_effect"",""id"":13650151,""val"":259200000},{""typ"":""vm"",""id"":11151001,""val"":200}]}")</f>
        <v>{"effect":[{"typ":"marching_effect","id":13650151,"val":259200000},{"typ":"vm","id":11151001,"val":200}]}</v>
      </c>
      <c r="T2984" s="148">
        <f>IFERROR(__xludf.DUMMYFUNCTION("""COMPUTED_VALUE"""),-1.0)</f>
        <v>-1</v>
      </c>
      <c r="U2984" s="148">
        <f>IFERROR(__xludf.DUMMYFUNCTION("""COMPUTED_VALUE"""),0.0)</f>
        <v>0</v>
      </c>
      <c r="V2984" s="148" t="str">
        <f>IFERROR(__xludf.DUMMYFUNCTION("""COMPUTED_VALUE"""),"[]")</f>
        <v>[]</v>
      </c>
      <c r="W2984" s="148">
        <f>IFERROR(__xludf.DUMMYFUNCTION("""COMPUTED_VALUE"""),1.174E7)</f>
        <v>11740000</v>
      </c>
      <c r="X2984" s="148">
        <f>IFERROR(__xludf.DUMMYFUNCTION("""COMPUTED_VALUE"""),0.0)</f>
        <v>0</v>
      </c>
      <c r="Y2984" s="148">
        <f>IFERROR(__xludf.DUMMYFUNCTION("""COMPUTED_VALUE"""),0.0)</f>
        <v>0</v>
      </c>
      <c r="Z2984" s="148"/>
    </row>
    <row r="2985">
      <c r="A2985" s="148">
        <f>IFERROR(__xludf.DUMMYFUNCTION("""COMPUTED_VALUE"""),1.1119951E7)</f>
        <v>11119951</v>
      </c>
      <c r="B2985" s="148" t="str">
        <f>IFERROR(__xludf.DUMMYFUNCTION("""COMPUTED_VALUE"""),"2026春节行军特效-主体-7天限时")</f>
        <v>2026春节行军特效-主体-7天限时</v>
      </c>
      <c r="C2985" s="148"/>
      <c r="D2985" s="148" t="str">
        <f>IFERROR(__xludf.DUMMYFUNCTION("""COMPUTED_VALUE"""),"marching_effect")</f>
        <v>marching_effect</v>
      </c>
      <c r="E2985" s="148">
        <f>IFERROR(__xludf.DUMMYFUNCTION("""COMPUTED_VALUE"""),0.0)</f>
        <v>0</v>
      </c>
      <c r="F2985" s="148">
        <f>IFERROR(__xludf.DUMMYFUNCTION("""COMPUTED_VALUE"""),408198.0)</f>
        <v>408198</v>
      </c>
      <c r="G2985" s="148">
        <f>IFERROR(__xludf.DUMMYFUNCTION("""COMPUTED_VALUE"""),1.51104297E8)</f>
        <v>151104297</v>
      </c>
      <c r="H2985" s="148">
        <f>IFERROR(__xludf.DUMMYFUNCTION("""COMPUTED_VALUE"""),1.5112562E7)</f>
        <v>15112562</v>
      </c>
      <c r="I2985" s="148" t="str">
        <f>IFERROR(__xludf.DUMMYFUNCTION("""COMPUTED_VALUE"""),"{""typ"":""lc"",""txt"":""LC_ITEM_time_day_upper_show"",""args"":[{""typ"":""int_unit"",""val"":7}]}")</f>
        <v>{"typ":"lc","txt":"LC_ITEM_time_day_upper_show","args":[{"typ":"int_unit","val":7}]}</v>
      </c>
      <c r="J2985" s="148" t="str">
        <f>IFERROR(__xludf.DUMMYFUNCTION("""COMPUTED_VALUE"""),"{""typ"":""lc"",""txt"":""LC_ITEM_spring_marcheffect_high_2025_name_7""}")</f>
        <v>{"typ":"lc","txt":"LC_ITEM_spring_marcheffect_high_2025_name_7"}</v>
      </c>
      <c r="K2985" s="148" t="str">
        <f>IFERROR(__xludf.DUMMYFUNCTION("""COMPUTED_VALUE"""),"{""typ"":""lc"",""txt"":""LC_ITEM_spring_marcheffect_high_2025_desc""}")</f>
        <v>{"typ":"lc","txt":"LC_ITEM_spring_marcheffect_high_2025_desc"}</v>
      </c>
      <c r="L2985" s="148" t="str">
        <f>IFERROR(__xludf.DUMMYFUNCTION("""COMPUTED_VALUE"""),"{""typ"":""lc"",""txt"":""LC_ITEM_march_effect_use_tip_all""}")</f>
        <v>{"typ":"lc","txt":"LC_ITEM_march_effect_use_tip_all"}</v>
      </c>
      <c r="M2985" s="148">
        <f>IFERROR(__xludf.DUMMYFUNCTION("""COMPUTED_VALUE"""),500.0)</f>
        <v>500</v>
      </c>
      <c r="N2985" s="148">
        <f>IFERROR(__xludf.DUMMYFUNCTION("""COMPUTED_VALUE"""),999999.0)</f>
        <v>999999</v>
      </c>
      <c r="O2985" s="148">
        <f>IFERROR(__xludf.DUMMYFUNCTION("""COMPUTED_VALUE"""),99999.0)</f>
        <v>99999</v>
      </c>
      <c r="P2985" s="148">
        <f>IFERROR(__xludf.DUMMYFUNCTION("""COMPUTED_VALUE"""),1.0)</f>
        <v>1</v>
      </c>
      <c r="Q2985" s="148" t="str">
        <f>IFERROR(__xludf.DUMMYFUNCTION("""COMPUTED_VALUE"""),"[""bag_other""]")</f>
        <v>["bag_other"]</v>
      </c>
      <c r="R2985" s="148" t="str">
        <f>IFERROR(__xludf.DUMMYFUNCTION("""COMPUTED_VALUE"""),"[""bag"",""13650151""]")</f>
        <v>["bag","13650151"]</v>
      </c>
      <c r="S2985" s="148" t="str">
        <f>IFERROR(__xludf.DUMMYFUNCTION("""COMPUTED_VALUE"""),"{""effect"":[{""typ"":""marching_effect"",""id"":13650151,""val"":604800000},{""typ"":""vm"",""id"":11151001,""val"":500}]}")</f>
        <v>{"effect":[{"typ":"marching_effect","id":13650151,"val":604800000},{"typ":"vm","id":11151001,"val":500}]}</v>
      </c>
      <c r="T2985" s="148">
        <f>IFERROR(__xludf.DUMMYFUNCTION("""COMPUTED_VALUE"""),-1.0)</f>
        <v>-1</v>
      </c>
      <c r="U2985" s="148">
        <f>IFERROR(__xludf.DUMMYFUNCTION("""COMPUTED_VALUE"""),0.0)</f>
        <v>0</v>
      </c>
      <c r="V2985" s="148" t="str">
        <f>IFERROR(__xludf.DUMMYFUNCTION("""COMPUTED_VALUE"""),"[]")</f>
        <v>[]</v>
      </c>
      <c r="W2985" s="148">
        <f>IFERROR(__xludf.DUMMYFUNCTION("""COMPUTED_VALUE"""),1.174E7)</f>
        <v>11740000</v>
      </c>
      <c r="X2985" s="148">
        <f>IFERROR(__xludf.DUMMYFUNCTION("""COMPUTED_VALUE"""),0.0)</f>
        <v>0</v>
      </c>
      <c r="Y2985" s="148">
        <f>IFERROR(__xludf.DUMMYFUNCTION("""COMPUTED_VALUE"""),0.0)</f>
        <v>0</v>
      </c>
      <c r="Z2985" s="148"/>
    </row>
    <row r="2986">
      <c r="A2986" s="148">
        <f>IFERROR(__xludf.DUMMYFUNCTION("""COMPUTED_VALUE"""),1.1119952E7)</f>
        <v>11119952</v>
      </c>
      <c r="B2986" s="148" t="str">
        <f>IFERROR(__xludf.DUMMYFUNCTION("""COMPUTED_VALUE"""),"2026春节行军特效-主体-14天限时")</f>
        <v>2026春节行军特效-主体-14天限时</v>
      </c>
      <c r="C2986" s="148"/>
      <c r="D2986" s="148" t="str">
        <f>IFERROR(__xludf.DUMMYFUNCTION("""COMPUTED_VALUE"""),"marching_effect")</f>
        <v>marching_effect</v>
      </c>
      <c r="E2986" s="148">
        <f>IFERROR(__xludf.DUMMYFUNCTION("""COMPUTED_VALUE"""),0.0)</f>
        <v>0</v>
      </c>
      <c r="F2986" s="148">
        <f>IFERROR(__xludf.DUMMYFUNCTION("""COMPUTED_VALUE"""),408197.0)</f>
        <v>408197</v>
      </c>
      <c r="G2986" s="148">
        <f>IFERROR(__xludf.DUMMYFUNCTION("""COMPUTED_VALUE"""),1.51104297E8)</f>
        <v>151104297</v>
      </c>
      <c r="H2986" s="148">
        <f>IFERROR(__xludf.DUMMYFUNCTION("""COMPUTED_VALUE"""),1.5112563E7)</f>
        <v>15112563</v>
      </c>
      <c r="I2986" s="148" t="str">
        <f>IFERROR(__xludf.DUMMYFUNCTION("""COMPUTED_VALUE"""),"{""typ"":""lc"",""txt"":""LC_ITEM_time_day_upper_show"",""args"":[{""typ"":""int_unit"",""val"":14}]}")</f>
        <v>{"typ":"lc","txt":"LC_ITEM_time_day_upper_show","args":[{"typ":"int_unit","val":14}]}</v>
      </c>
      <c r="J2986" s="148" t="str">
        <f>IFERROR(__xludf.DUMMYFUNCTION("""COMPUTED_VALUE"""),"{""typ"":""lc"",""txt"":""LC_ITEM_spring_marcheffect_high_2025_name_14""}")</f>
        <v>{"typ":"lc","txt":"LC_ITEM_spring_marcheffect_high_2025_name_14"}</v>
      </c>
      <c r="K2986" s="148" t="str">
        <f>IFERROR(__xludf.DUMMYFUNCTION("""COMPUTED_VALUE"""),"{""typ"":""lc"",""txt"":""LC_ITEM_spring_marcheffect_high_2025_desc""}")</f>
        <v>{"typ":"lc","txt":"LC_ITEM_spring_marcheffect_high_2025_desc"}</v>
      </c>
      <c r="L2986" s="148" t="str">
        <f>IFERROR(__xludf.DUMMYFUNCTION("""COMPUTED_VALUE"""),"{""typ"":""lc"",""txt"":""LC_ITEM_march_effect_use_tip_all""}")</f>
        <v>{"typ":"lc","txt":"LC_ITEM_march_effect_use_tip_all"}</v>
      </c>
      <c r="M2986" s="148">
        <f>IFERROR(__xludf.DUMMYFUNCTION("""COMPUTED_VALUE"""),1000.0)</f>
        <v>1000</v>
      </c>
      <c r="N2986" s="148">
        <f>IFERROR(__xludf.DUMMYFUNCTION("""COMPUTED_VALUE"""),999999.0)</f>
        <v>999999</v>
      </c>
      <c r="O2986" s="148">
        <f>IFERROR(__xludf.DUMMYFUNCTION("""COMPUTED_VALUE"""),99999.0)</f>
        <v>99999</v>
      </c>
      <c r="P2986" s="148">
        <f>IFERROR(__xludf.DUMMYFUNCTION("""COMPUTED_VALUE"""),1.0)</f>
        <v>1</v>
      </c>
      <c r="Q2986" s="148" t="str">
        <f>IFERROR(__xludf.DUMMYFUNCTION("""COMPUTED_VALUE"""),"[""bag_other""]")</f>
        <v>["bag_other"]</v>
      </c>
      <c r="R2986" s="148" t="str">
        <f>IFERROR(__xludf.DUMMYFUNCTION("""COMPUTED_VALUE"""),"[""bag"",""13650151""]")</f>
        <v>["bag","13650151"]</v>
      </c>
      <c r="S2986" s="148" t="str">
        <f>IFERROR(__xludf.DUMMYFUNCTION("""COMPUTED_VALUE"""),"{""effect"":[{""typ"":""marching_effect"",""id"":13650151,""val"":1209600000},{""typ"":""vm"",""id"":11151001,""val"":1000}]}")</f>
        <v>{"effect":[{"typ":"marching_effect","id":13650151,"val":1209600000},{"typ":"vm","id":11151001,"val":1000}]}</v>
      </c>
      <c r="T2986" s="148">
        <f>IFERROR(__xludf.DUMMYFUNCTION("""COMPUTED_VALUE"""),-1.0)</f>
        <v>-1</v>
      </c>
      <c r="U2986" s="148">
        <f>IFERROR(__xludf.DUMMYFUNCTION("""COMPUTED_VALUE"""),0.0)</f>
        <v>0</v>
      </c>
      <c r="V2986" s="148" t="str">
        <f>IFERROR(__xludf.DUMMYFUNCTION("""COMPUTED_VALUE"""),"[]")</f>
        <v>[]</v>
      </c>
      <c r="W2986" s="148">
        <f>IFERROR(__xludf.DUMMYFUNCTION("""COMPUTED_VALUE"""),1.174E7)</f>
        <v>11740000</v>
      </c>
      <c r="X2986" s="148">
        <f>IFERROR(__xludf.DUMMYFUNCTION("""COMPUTED_VALUE"""),0.0)</f>
        <v>0</v>
      </c>
      <c r="Y2986" s="148">
        <f>IFERROR(__xludf.DUMMYFUNCTION("""COMPUTED_VALUE"""),0.0)</f>
        <v>0</v>
      </c>
      <c r="Z2986" s="148"/>
    </row>
    <row r="2987">
      <c r="A2987" s="148">
        <f>IFERROR(__xludf.DUMMYFUNCTION("""COMPUTED_VALUE"""),1.1119953E7)</f>
        <v>11119953</v>
      </c>
      <c r="B2987" s="148" t="str">
        <f>IFERROR(__xludf.DUMMYFUNCTION("""COMPUTED_VALUE"""),"2026春节行军特效-主体-30天限时")</f>
        <v>2026春节行军特效-主体-30天限时</v>
      </c>
      <c r="C2987" s="148"/>
      <c r="D2987" s="148" t="str">
        <f>IFERROR(__xludf.DUMMYFUNCTION("""COMPUTED_VALUE"""),"marching_effect")</f>
        <v>marching_effect</v>
      </c>
      <c r="E2987" s="148">
        <f>IFERROR(__xludf.DUMMYFUNCTION("""COMPUTED_VALUE"""),0.0)</f>
        <v>0</v>
      </c>
      <c r="F2987" s="148">
        <f>IFERROR(__xludf.DUMMYFUNCTION("""COMPUTED_VALUE"""),408197.0)</f>
        <v>408197</v>
      </c>
      <c r="G2987" s="148">
        <f>IFERROR(__xludf.DUMMYFUNCTION("""COMPUTED_VALUE"""),1.51104297E8)</f>
        <v>151104297</v>
      </c>
      <c r="H2987" s="148">
        <f>IFERROR(__xludf.DUMMYFUNCTION("""COMPUTED_VALUE"""),1.5112563E7)</f>
        <v>15112563</v>
      </c>
      <c r="I2987" s="148" t="str">
        <f>IFERROR(__xludf.DUMMYFUNCTION("""COMPUTED_VALUE"""),"{""typ"":""lc"",""txt"":""LC_ITEM_time_day_upper_show"",""args"":[{""typ"":""int_unit"",""val"":30}]}")</f>
        <v>{"typ":"lc","txt":"LC_ITEM_time_day_upper_show","args":[{"typ":"int_unit","val":30}]}</v>
      </c>
      <c r="J2987" s="148" t="str">
        <f>IFERROR(__xludf.DUMMYFUNCTION("""COMPUTED_VALUE"""),"{""typ"":""lc"",""txt"":""LC_ITEM_spring_marcheffect_high_2025_name_30""}")</f>
        <v>{"typ":"lc","txt":"LC_ITEM_spring_marcheffect_high_2025_name_30"}</v>
      </c>
      <c r="K2987" s="148" t="str">
        <f>IFERROR(__xludf.DUMMYFUNCTION("""COMPUTED_VALUE"""),"{""typ"":""lc"",""txt"":""LC_ITEM_spring_marcheffect_high_2025_desc""}")</f>
        <v>{"typ":"lc","txt":"LC_ITEM_spring_marcheffect_high_2025_desc"}</v>
      </c>
      <c r="L2987" s="148" t="str">
        <f>IFERROR(__xludf.DUMMYFUNCTION("""COMPUTED_VALUE"""),"{""typ"":""lc"",""txt"":""LC_ITEM_march_effect_use_tip_all""}")</f>
        <v>{"typ":"lc","txt":"LC_ITEM_march_effect_use_tip_all"}</v>
      </c>
      <c r="M2987" s="148">
        <f>IFERROR(__xludf.DUMMYFUNCTION("""COMPUTED_VALUE"""),1000.0)</f>
        <v>1000</v>
      </c>
      <c r="N2987" s="148">
        <f>IFERROR(__xludf.DUMMYFUNCTION("""COMPUTED_VALUE"""),999999.0)</f>
        <v>999999</v>
      </c>
      <c r="O2987" s="148">
        <f>IFERROR(__xludf.DUMMYFUNCTION("""COMPUTED_VALUE"""),99999.0)</f>
        <v>99999</v>
      </c>
      <c r="P2987" s="148">
        <f>IFERROR(__xludf.DUMMYFUNCTION("""COMPUTED_VALUE"""),1.0)</f>
        <v>1</v>
      </c>
      <c r="Q2987" s="148" t="str">
        <f>IFERROR(__xludf.DUMMYFUNCTION("""COMPUTED_VALUE"""),"[""bag_other""]")</f>
        <v>["bag_other"]</v>
      </c>
      <c r="R2987" s="148" t="str">
        <f>IFERROR(__xludf.DUMMYFUNCTION("""COMPUTED_VALUE"""),"[""bag"",""13650151""]")</f>
        <v>["bag","13650151"]</v>
      </c>
      <c r="S2987" s="148" t="str">
        <f>IFERROR(__xludf.DUMMYFUNCTION("""COMPUTED_VALUE"""),"{""effect"":[{""typ"":""marching_effect"",""id"":13650151,""val"":2592000000},{""typ"":""vm"",""id"":11151001,""val"":1000}]}")</f>
        <v>{"effect":[{"typ":"marching_effect","id":13650151,"val":2592000000},{"typ":"vm","id":11151001,"val":1000}]}</v>
      </c>
      <c r="T2987" s="148">
        <f>IFERROR(__xludf.DUMMYFUNCTION("""COMPUTED_VALUE"""),-1.0)</f>
        <v>-1</v>
      </c>
      <c r="U2987" s="148">
        <f>IFERROR(__xludf.DUMMYFUNCTION("""COMPUTED_VALUE"""),0.0)</f>
        <v>0</v>
      </c>
      <c r="V2987" s="148" t="str">
        <f>IFERROR(__xludf.DUMMYFUNCTION("""COMPUTED_VALUE"""),"[]")</f>
        <v>[]</v>
      </c>
      <c r="W2987" s="148">
        <f>IFERROR(__xludf.DUMMYFUNCTION("""COMPUTED_VALUE"""),1.174E7)</f>
        <v>11740000</v>
      </c>
      <c r="X2987" s="148">
        <f>IFERROR(__xludf.DUMMYFUNCTION("""COMPUTED_VALUE"""),0.0)</f>
        <v>0</v>
      </c>
      <c r="Y2987" s="148">
        <f>IFERROR(__xludf.DUMMYFUNCTION("""COMPUTED_VALUE"""),0.0)</f>
        <v>0</v>
      </c>
      <c r="Z2987" s="148"/>
    </row>
    <row r="2988">
      <c r="A2988" s="148">
        <f>IFERROR(__xludf.DUMMYFUNCTION("""COMPUTED_VALUE"""),1.1119954E7)</f>
        <v>11119954</v>
      </c>
      <c r="B2988" s="148" t="str">
        <f>IFERROR(__xludf.DUMMYFUNCTION("""COMPUTED_VALUE"""),"2026春节行军特效-主体-永久")</f>
        <v>2026春节行军特效-主体-永久</v>
      </c>
      <c r="C2988" s="148"/>
      <c r="D2988" s="148" t="str">
        <f>IFERROR(__xludf.DUMMYFUNCTION("""COMPUTED_VALUE"""),"marching_effect")</f>
        <v>marching_effect</v>
      </c>
      <c r="E2988" s="148">
        <f>IFERROR(__xludf.DUMMYFUNCTION("""COMPUTED_VALUE"""),0.0)</f>
        <v>0</v>
      </c>
      <c r="F2988" s="148">
        <f>IFERROR(__xludf.DUMMYFUNCTION("""COMPUTED_VALUE"""),408195.0)</f>
        <v>408195</v>
      </c>
      <c r="G2988" s="148">
        <f>IFERROR(__xludf.DUMMYFUNCTION("""COMPUTED_VALUE"""),1.51104297E8)</f>
        <v>151104297</v>
      </c>
      <c r="H2988" s="148">
        <f>IFERROR(__xludf.DUMMYFUNCTION("""COMPUTED_VALUE"""),1.5112564E7)</f>
        <v>15112564</v>
      </c>
      <c r="I2988" s="148" t="str">
        <f>IFERROR(__xludf.DUMMYFUNCTION("""COMPUTED_VALUE"""),"{}")</f>
        <v>{}</v>
      </c>
      <c r="J2988" s="148" t="str">
        <f>IFERROR(__xludf.DUMMYFUNCTION("""COMPUTED_VALUE"""),"{""typ"":""lc"",""txt"":""LC_ITEM_spring_marcheffect_high_2025_name""}")</f>
        <v>{"typ":"lc","txt":"LC_ITEM_spring_marcheffect_high_2025_name"}</v>
      </c>
      <c r="K2988" s="148" t="str">
        <f>IFERROR(__xludf.DUMMYFUNCTION("""COMPUTED_VALUE"""),"{""typ"":""lc"",""txt"":""LC_ITEM_spring_marcheffect_high_2025_desc""}")</f>
        <v>{"typ":"lc","txt":"LC_ITEM_spring_marcheffect_high_2025_desc"}</v>
      </c>
      <c r="L2988" s="148" t="str">
        <f>IFERROR(__xludf.DUMMYFUNCTION("""COMPUTED_VALUE"""),"{""typ"":""lc"",""txt"":""LC_ITEM_march_effect_use_tip_all""}")</f>
        <v>{"typ":"lc","txt":"LC_ITEM_march_effect_use_tip_all"}</v>
      </c>
      <c r="M2988" s="148">
        <f>IFERROR(__xludf.DUMMYFUNCTION("""COMPUTED_VALUE"""),5000.0)</f>
        <v>5000</v>
      </c>
      <c r="N2988" s="148">
        <f>IFERROR(__xludf.DUMMYFUNCTION("""COMPUTED_VALUE"""),999999.0)</f>
        <v>999999</v>
      </c>
      <c r="O2988" s="148">
        <f>IFERROR(__xludf.DUMMYFUNCTION("""COMPUTED_VALUE"""),99999.0)</f>
        <v>99999</v>
      </c>
      <c r="P2988" s="148">
        <f>IFERROR(__xludf.DUMMYFUNCTION("""COMPUTED_VALUE"""),1.0)</f>
        <v>1</v>
      </c>
      <c r="Q2988" s="148" t="str">
        <f>IFERROR(__xludf.DUMMYFUNCTION("""COMPUTED_VALUE"""),"[""bag_other""]")</f>
        <v>["bag_other"]</v>
      </c>
      <c r="R2988" s="148" t="str">
        <f>IFERROR(__xludf.DUMMYFUNCTION("""COMPUTED_VALUE"""),"[""bag"",""13650151""]")</f>
        <v>["bag","13650151"]</v>
      </c>
      <c r="S2988" s="148" t="str">
        <f>IFERROR(__xludf.DUMMYFUNCTION("""COMPUTED_VALUE"""),"{""effect"":[{""typ"":""marching_effect"",""id"":13650151,""val"":-1},{""typ"":""vm"",""id"":11151001,""val"":2500}]}")</f>
        <v>{"effect":[{"typ":"marching_effect","id":13650151,"val":-1},{"typ":"vm","id":11151001,"val":2500}]}</v>
      </c>
      <c r="T2988" s="148">
        <f>IFERROR(__xludf.DUMMYFUNCTION("""COMPUTED_VALUE"""),-1.0)</f>
        <v>-1</v>
      </c>
      <c r="U2988" s="148">
        <f>IFERROR(__xludf.DUMMYFUNCTION("""COMPUTED_VALUE"""),0.0)</f>
        <v>0</v>
      </c>
      <c r="V2988" s="148" t="str">
        <f>IFERROR(__xludf.DUMMYFUNCTION("""COMPUTED_VALUE"""),"[]")</f>
        <v>[]</v>
      </c>
      <c r="W2988" s="148">
        <f>IFERROR(__xludf.DUMMYFUNCTION("""COMPUTED_VALUE"""),1.174E7)</f>
        <v>11740000</v>
      </c>
      <c r="X2988" s="148">
        <f>IFERROR(__xludf.DUMMYFUNCTION("""COMPUTED_VALUE"""),0.0)</f>
        <v>0</v>
      </c>
      <c r="Y2988" s="148">
        <f>IFERROR(__xludf.DUMMYFUNCTION("""COMPUTED_VALUE"""),0.0)</f>
        <v>0</v>
      </c>
      <c r="Z2988" s="148"/>
    </row>
    <row r="2989">
      <c r="A2989" s="148">
        <f>IFERROR(__xludf.DUMMYFUNCTION("""COMPUTED_VALUE"""),1.1119955E7)</f>
        <v>11119955</v>
      </c>
      <c r="B2989" s="148" t="str">
        <f>IFERROR(__xludf.DUMMYFUNCTION("""COMPUTED_VALUE"""),"2026春节行军特效-部队光环-1天限时")</f>
        <v>2026春节行军特效-部队光环-1天限时</v>
      </c>
      <c r="C2989" s="148"/>
      <c r="D2989" s="148" t="str">
        <f>IFERROR(__xludf.DUMMYFUNCTION("""COMPUTED_VALUE"""),"marching_effect_decoration")</f>
        <v>marching_effect_decoration</v>
      </c>
      <c r="E2989" s="148">
        <f>IFERROR(__xludf.DUMMYFUNCTION("""COMPUTED_VALUE"""),0.0)</f>
        <v>0</v>
      </c>
      <c r="F2989" s="148">
        <f>IFERROR(__xludf.DUMMYFUNCTION("""COMPUTED_VALUE"""),408200.0)</f>
        <v>408200</v>
      </c>
      <c r="G2989" s="148">
        <f>IFERROR(__xludf.DUMMYFUNCTION("""COMPUTED_VALUE"""),1.51104298E8)</f>
        <v>151104298</v>
      </c>
      <c r="H2989" s="148">
        <f>IFERROR(__xludf.DUMMYFUNCTION("""COMPUTED_VALUE"""),1.5112562E7)</f>
        <v>15112562</v>
      </c>
      <c r="I2989" s="148" t="str">
        <f>IFERROR(__xludf.DUMMYFUNCTION("""COMPUTED_VALUE"""),"{""typ"":""lc"",""txt"":""LC_ITEM_time_day_upper_show"",""args"":[{""typ"":""int_unit"",""val"":1}]}")</f>
        <v>{"typ":"lc","txt":"LC_ITEM_time_day_upper_show","args":[{"typ":"int_unit","val":1}]}</v>
      </c>
      <c r="J2989" s="148" t="str">
        <f>IFERROR(__xludf.DUMMYFUNCTION("""COMPUTED_VALUE"""),"{""typ"":""lc"",""txt"":""LC_ITEM_13900004_name_1""}")</f>
        <v>{"typ":"lc","txt":"LC_ITEM_13900004_name_1"}</v>
      </c>
      <c r="K2989" s="148" t="str">
        <f>IFERROR(__xludf.DUMMYFUNCTION("""COMPUTED_VALUE"""),"{""typ"":""lc"",""txt"":""LC_ITEM_13900004_desc""}")</f>
        <v>{"typ":"lc","txt":"LC_ITEM_13900004_desc"}</v>
      </c>
      <c r="L2989" s="148" t="str">
        <f>IFERROR(__xludf.DUMMYFUNCTION("""COMPUTED_VALUE"""),"{""typ"":""lc"",""txt"":""LC_ASSET_suit_actived_tips_1""}")</f>
        <v>{"typ":"lc","txt":"LC_ASSET_suit_actived_tips_1"}</v>
      </c>
      <c r="M2989" s="148">
        <f>IFERROR(__xludf.DUMMYFUNCTION("""COMPUTED_VALUE"""),50.0)</f>
        <v>50</v>
      </c>
      <c r="N2989" s="148">
        <f>IFERROR(__xludf.DUMMYFUNCTION("""COMPUTED_VALUE"""),999999.0)</f>
        <v>999999</v>
      </c>
      <c r="O2989" s="148">
        <f>IFERROR(__xludf.DUMMYFUNCTION("""COMPUTED_VALUE"""),99999.0)</f>
        <v>99999</v>
      </c>
      <c r="P2989" s="148">
        <f>IFERROR(__xludf.DUMMYFUNCTION("""COMPUTED_VALUE"""),1.0)</f>
        <v>1</v>
      </c>
      <c r="Q2989" s="148" t="str">
        <f>IFERROR(__xludf.DUMMYFUNCTION("""COMPUTED_VALUE"""),"[""bag_other""]")</f>
        <v>["bag_other"]</v>
      </c>
      <c r="R2989" s="148" t="str">
        <f>IFERROR(__xludf.DUMMYFUNCTION("""COMPUTED_VALUE"""),"[""bag"",""13900004""]")</f>
        <v>["bag","13900004"]</v>
      </c>
      <c r="S2989" s="148" t="str">
        <f>IFERROR(__xludf.DUMMYFUNCTION("""COMPUTED_VALUE"""),"{""effect"":[{""typ"":""marching_effect_decoration"",""id"":13900004,""val"":86400000},{""typ"":""vm"",""id"":11151001,""val"":50}]}")</f>
        <v>{"effect":[{"typ":"marching_effect_decoration","id":13900004,"val":86400000},{"typ":"vm","id":11151001,"val":50}]}</v>
      </c>
      <c r="T2989" s="148">
        <f>IFERROR(__xludf.DUMMYFUNCTION("""COMPUTED_VALUE"""),-1.0)</f>
        <v>-1</v>
      </c>
      <c r="U2989" s="148">
        <f>IFERROR(__xludf.DUMMYFUNCTION("""COMPUTED_VALUE"""),0.0)</f>
        <v>0</v>
      </c>
      <c r="V2989" s="148" t="str">
        <f>IFERROR(__xludf.DUMMYFUNCTION("""COMPUTED_VALUE"""),"[]")</f>
        <v>[]</v>
      </c>
      <c r="W2989" s="148">
        <f>IFERROR(__xludf.DUMMYFUNCTION("""COMPUTED_VALUE"""),1.174E7)</f>
        <v>11740000</v>
      </c>
      <c r="X2989" s="148">
        <f>IFERROR(__xludf.DUMMYFUNCTION("""COMPUTED_VALUE"""),0.0)</f>
        <v>0</v>
      </c>
      <c r="Y2989" s="148">
        <f>IFERROR(__xludf.DUMMYFUNCTION("""COMPUTED_VALUE"""),0.0)</f>
        <v>0</v>
      </c>
      <c r="Z2989" s="148"/>
    </row>
    <row r="2990">
      <c r="A2990" s="148">
        <f>IFERROR(__xludf.DUMMYFUNCTION("""COMPUTED_VALUE"""),1.1119956E7)</f>
        <v>11119956</v>
      </c>
      <c r="B2990" s="148" t="str">
        <f>IFERROR(__xludf.DUMMYFUNCTION("""COMPUTED_VALUE"""),"2026春节行军特效-部队光环-3天限时")</f>
        <v>2026春节行军特效-部队光环-3天限时</v>
      </c>
      <c r="C2990" s="148"/>
      <c r="D2990" s="148" t="str">
        <f>IFERROR(__xludf.DUMMYFUNCTION("""COMPUTED_VALUE"""),"marching_effect_decoration")</f>
        <v>marching_effect_decoration</v>
      </c>
      <c r="E2990" s="148">
        <f>IFERROR(__xludf.DUMMYFUNCTION("""COMPUTED_VALUE"""),0.0)</f>
        <v>0</v>
      </c>
      <c r="F2990" s="148">
        <f>IFERROR(__xludf.DUMMYFUNCTION("""COMPUTED_VALUE"""),408199.0)</f>
        <v>408199</v>
      </c>
      <c r="G2990" s="148">
        <f>IFERROR(__xludf.DUMMYFUNCTION("""COMPUTED_VALUE"""),1.51104298E8)</f>
        <v>151104298</v>
      </c>
      <c r="H2990" s="148">
        <f>IFERROR(__xludf.DUMMYFUNCTION("""COMPUTED_VALUE"""),1.5112563E7)</f>
        <v>15112563</v>
      </c>
      <c r="I2990" s="148" t="str">
        <f>IFERROR(__xludf.DUMMYFUNCTION("""COMPUTED_VALUE"""),"{""typ"":""lc"",""txt"":""LC_ITEM_time_day_upper_show"",""args"":[{""typ"":""int_unit"",""val"":3}]}")</f>
        <v>{"typ":"lc","txt":"LC_ITEM_time_day_upper_show","args":[{"typ":"int_unit","val":3}]}</v>
      </c>
      <c r="J2990" s="148" t="str">
        <f>IFERROR(__xludf.DUMMYFUNCTION("""COMPUTED_VALUE"""),"{""typ"":""lc"",""txt"":""LC_ITEM_13900004_name_3""}")</f>
        <v>{"typ":"lc","txt":"LC_ITEM_13900004_name_3"}</v>
      </c>
      <c r="K2990" s="148" t="str">
        <f>IFERROR(__xludf.DUMMYFUNCTION("""COMPUTED_VALUE"""),"{""typ"":""lc"",""txt"":""LC_ITEM_13900004_desc""}")</f>
        <v>{"typ":"lc","txt":"LC_ITEM_13900004_desc"}</v>
      </c>
      <c r="L2990" s="148" t="str">
        <f>IFERROR(__xludf.DUMMYFUNCTION("""COMPUTED_VALUE"""),"{""typ"":""lc"",""txt"":""LC_ASSET_suit_actived_tips_1""}")</f>
        <v>{"typ":"lc","txt":"LC_ASSET_suit_actived_tips_1"}</v>
      </c>
      <c r="M2990" s="148">
        <f>IFERROR(__xludf.DUMMYFUNCTION("""COMPUTED_VALUE"""),200.0)</f>
        <v>200</v>
      </c>
      <c r="N2990" s="148">
        <f>IFERROR(__xludf.DUMMYFUNCTION("""COMPUTED_VALUE"""),999999.0)</f>
        <v>999999</v>
      </c>
      <c r="O2990" s="148">
        <f>IFERROR(__xludf.DUMMYFUNCTION("""COMPUTED_VALUE"""),99999.0)</f>
        <v>99999</v>
      </c>
      <c r="P2990" s="148">
        <f>IFERROR(__xludf.DUMMYFUNCTION("""COMPUTED_VALUE"""),1.0)</f>
        <v>1</v>
      </c>
      <c r="Q2990" s="148" t="str">
        <f>IFERROR(__xludf.DUMMYFUNCTION("""COMPUTED_VALUE"""),"[""bag_other""]")</f>
        <v>["bag_other"]</v>
      </c>
      <c r="R2990" s="148" t="str">
        <f>IFERROR(__xludf.DUMMYFUNCTION("""COMPUTED_VALUE"""),"[""bag"",""13900004""]")</f>
        <v>["bag","13900004"]</v>
      </c>
      <c r="S2990" s="148" t="str">
        <f>IFERROR(__xludf.DUMMYFUNCTION("""COMPUTED_VALUE"""),"{""effect"":[{""typ"":""marching_effect_decoration"",""id"":13900004,""val"":259200000},{""typ"":""vm"",""id"":11151001,""val"":200}]}")</f>
        <v>{"effect":[{"typ":"marching_effect_decoration","id":13900004,"val":259200000},{"typ":"vm","id":11151001,"val":200}]}</v>
      </c>
      <c r="T2990" s="148">
        <f>IFERROR(__xludf.DUMMYFUNCTION("""COMPUTED_VALUE"""),-1.0)</f>
        <v>-1</v>
      </c>
      <c r="U2990" s="148">
        <f>IFERROR(__xludf.DUMMYFUNCTION("""COMPUTED_VALUE"""),0.0)</f>
        <v>0</v>
      </c>
      <c r="V2990" s="148" t="str">
        <f>IFERROR(__xludf.DUMMYFUNCTION("""COMPUTED_VALUE"""),"[]")</f>
        <v>[]</v>
      </c>
      <c r="W2990" s="148">
        <f>IFERROR(__xludf.DUMMYFUNCTION("""COMPUTED_VALUE"""),1.174E7)</f>
        <v>11740000</v>
      </c>
      <c r="X2990" s="148">
        <f>IFERROR(__xludf.DUMMYFUNCTION("""COMPUTED_VALUE"""),0.0)</f>
        <v>0</v>
      </c>
      <c r="Y2990" s="148">
        <f>IFERROR(__xludf.DUMMYFUNCTION("""COMPUTED_VALUE"""),0.0)</f>
        <v>0</v>
      </c>
      <c r="Z2990" s="148"/>
    </row>
    <row r="2991">
      <c r="A2991" s="148">
        <f>IFERROR(__xludf.DUMMYFUNCTION("""COMPUTED_VALUE"""),1.1119957E7)</f>
        <v>11119957</v>
      </c>
      <c r="B2991" s="148" t="str">
        <f>IFERROR(__xludf.DUMMYFUNCTION("""COMPUTED_VALUE"""),"2026春节行军特效-部队光环-7天限时")</f>
        <v>2026春节行军特效-部队光环-7天限时</v>
      </c>
      <c r="C2991" s="148"/>
      <c r="D2991" s="148" t="str">
        <f>IFERROR(__xludf.DUMMYFUNCTION("""COMPUTED_VALUE"""),"marching_effect_decoration")</f>
        <v>marching_effect_decoration</v>
      </c>
      <c r="E2991" s="148">
        <f>IFERROR(__xludf.DUMMYFUNCTION("""COMPUTED_VALUE"""),0.0)</f>
        <v>0</v>
      </c>
      <c r="F2991" s="148">
        <f>IFERROR(__xludf.DUMMYFUNCTION("""COMPUTED_VALUE"""),408198.0)</f>
        <v>408198</v>
      </c>
      <c r="G2991" s="148">
        <f>IFERROR(__xludf.DUMMYFUNCTION("""COMPUTED_VALUE"""),1.51104298E8)</f>
        <v>151104298</v>
      </c>
      <c r="H2991" s="148">
        <f>IFERROR(__xludf.DUMMYFUNCTION("""COMPUTED_VALUE"""),1.5112563E7)</f>
        <v>15112563</v>
      </c>
      <c r="I2991" s="148" t="str">
        <f>IFERROR(__xludf.DUMMYFUNCTION("""COMPUTED_VALUE"""),"{""typ"":""lc"",""txt"":""LC_ITEM_time_day_upper_show"",""args"":[{""typ"":""int_unit"",""val"":7}]}")</f>
        <v>{"typ":"lc","txt":"LC_ITEM_time_day_upper_show","args":[{"typ":"int_unit","val":7}]}</v>
      </c>
      <c r="J2991" s="148" t="str">
        <f>IFERROR(__xludf.DUMMYFUNCTION("""COMPUTED_VALUE"""),"{""typ"":""lc"",""txt"":""LC_ITEM_13900004_name_7""}")</f>
        <v>{"typ":"lc","txt":"LC_ITEM_13900004_name_7"}</v>
      </c>
      <c r="K2991" s="148" t="str">
        <f>IFERROR(__xludf.DUMMYFUNCTION("""COMPUTED_VALUE"""),"{""typ"":""lc"",""txt"":""LC_ITEM_13900004_desc""}")</f>
        <v>{"typ":"lc","txt":"LC_ITEM_13900004_desc"}</v>
      </c>
      <c r="L2991" s="148" t="str">
        <f>IFERROR(__xludf.DUMMYFUNCTION("""COMPUTED_VALUE"""),"{""typ"":""lc"",""txt"":""LC_ASSET_suit_actived_tips_1""}")</f>
        <v>{"typ":"lc","txt":"LC_ASSET_suit_actived_tips_1"}</v>
      </c>
      <c r="M2991" s="148">
        <f>IFERROR(__xludf.DUMMYFUNCTION("""COMPUTED_VALUE"""),500.0)</f>
        <v>500</v>
      </c>
      <c r="N2991" s="148">
        <f>IFERROR(__xludf.DUMMYFUNCTION("""COMPUTED_VALUE"""),999999.0)</f>
        <v>999999</v>
      </c>
      <c r="O2991" s="148">
        <f>IFERROR(__xludf.DUMMYFUNCTION("""COMPUTED_VALUE"""),99999.0)</f>
        <v>99999</v>
      </c>
      <c r="P2991" s="148">
        <f>IFERROR(__xludf.DUMMYFUNCTION("""COMPUTED_VALUE"""),1.0)</f>
        <v>1</v>
      </c>
      <c r="Q2991" s="148" t="str">
        <f>IFERROR(__xludf.DUMMYFUNCTION("""COMPUTED_VALUE"""),"[""bag_other""]")</f>
        <v>["bag_other"]</v>
      </c>
      <c r="R2991" s="148" t="str">
        <f>IFERROR(__xludf.DUMMYFUNCTION("""COMPUTED_VALUE"""),"[""bag"",""13900004""]")</f>
        <v>["bag","13900004"]</v>
      </c>
      <c r="S2991" s="148" t="str">
        <f>IFERROR(__xludf.DUMMYFUNCTION("""COMPUTED_VALUE"""),"{""effect"":[{""typ"":""marching_effect_decoration"",""id"":13900004,""val"":604800000},{""typ"":""vm"",""id"":11151001,""val"":500}]}")</f>
        <v>{"effect":[{"typ":"marching_effect_decoration","id":13900004,"val":604800000},{"typ":"vm","id":11151001,"val":500}]}</v>
      </c>
      <c r="T2991" s="148">
        <f>IFERROR(__xludf.DUMMYFUNCTION("""COMPUTED_VALUE"""),-1.0)</f>
        <v>-1</v>
      </c>
      <c r="U2991" s="148">
        <f>IFERROR(__xludf.DUMMYFUNCTION("""COMPUTED_VALUE"""),0.0)</f>
        <v>0</v>
      </c>
      <c r="V2991" s="148" t="str">
        <f>IFERROR(__xludf.DUMMYFUNCTION("""COMPUTED_VALUE"""),"[]")</f>
        <v>[]</v>
      </c>
      <c r="W2991" s="148">
        <f>IFERROR(__xludf.DUMMYFUNCTION("""COMPUTED_VALUE"""),1.174E7)</f>
        <v>11740000</v>
      </c>
      <c r="X2991" s="148">
        <f>IFERROR(__xludf.DUMMYFUNCTION("""COMPUTED_VALUE"""),0.0)</f>
        <v>0</v>
      </c>
      <c r="Y2991" s="148">
        <f>IFERROR(__xludf.DUMMYFUNCTION("""COMPUTED_VALUE"""),0.0)</f>
        <v>0</v>
      </c>
      <c r="Z2991" s="148"/>
    </row>
    <row r="2992">
      <c r="A2992" s="148">
        <f>IFERROR(__xludf.DUMMYFUNCTION("""COMPUTED_VALUE"""),1.1119958E7)</f>
        <v>11119958</v>
      </c>
      <c r="B2992" s="148" t="str">
        <f>IFERROR(__xludf.DUMMYFUNCTION("""COMPUTED_VALUE"""),"2026春节行军特效-部队光环-14天限时")</f>
        <v>2026春节行军特效-部队光环-14天限时</v>
      </c>
      <c r="C2992" s="148"/>
      <c r="D2992" s="148" t="str">
        <f>IFERROR(__xludf.DUMMYFUNCTION("""COMPUTED_VALUE"""),"marching_effect_decoration")</f>
        <v>marching_effect_decoration</v>
      </c>
      <c r="E2992" s="148">
        <f>IFERROR(__xludf.DUMMYFUNCTION("""COMPUTED_VALUE"""),0.0)</f>
        <v>0</v>
      </c>
      <c r="F2992" s="148">
        <f>IFERROR(__xludf.DUMMYFUNCTION("""COMPUTED_VALUE"""),408197.0)</f>
        <v>408197</v>
      </c>
      <c r="G2992" s="148">
        <f>IFERROR(__xludf.DUMMYFUNCTION("""COMPUTED_VALUE"""),1.51104298E8)</f>
        <v>151104298</v>
      </c>
      <c r="H2992" s="148">
        <f>IFERROR(__xludf.DUMMYFUNCTION("""COMPUTED_VALUE"""),1.5112564E7)</f>
        <v>15112564</v>
      </c>
      <c r="I2992" s="148" t="str">
        <f>IFERROR(__xludf.DUMMYFUNCTION("""COMPUTED_VALUE"""),"{""typ"":""lc"",""txt"":""LC_ITEM_time_day_upper_show"",""args"":[{""typ"":""int_unit"",""val"":14}]}")</f>
        <v>{"typ":"lc","txt":"LC_ITEM_time_day_upper_show","args":[{"typ":"int_unit","val":14}]}</v>
      </c>
      <c r="J2992" s="148" t="str">
        <f>IFERROR(__xludf.DUMMYFUNCTION("""COMPUTED_VALUE"""),"{""typ"":""lc"",""txt"":""LC_ITEM_13900004_name_14""}")</f>
        <v>{"typ":"lc","txt":"LC_ITEM_13900004_name_14"}</v>
      </c>
      <c r="K2992" s="148" t="str">
        <f>IFERROR(__xludf.DUMMYFUNCTION("""COMPUTED_VALUE"""),"{""typ"":""lc"",""txt"":""LC_ITEM_13900004_desc""}")</f>
        <v>{"typ":"lc","txt":"LC_ITEM_13900004_desc"}</v>
      </c>
      <c r="L2992" s="148" t="str">
        <f>IFERROR(__xludf.DUMMYFUNCTION("""COMPUTED_VALUE"""),"{""typ"":""lc"",""txt"":""LC_ASSET_suit_actived_tips_1""}")</f>
        <v>{"typ":"lc","txt":"LC_ASSET_suit_actived_tips_1"}</v>
      </c>
      <c r="M2992" s="148">
        <f>IFERROR(__xludf.DUMMYFUNCTION("""COMPUTED_VALUE"""),1000.0)</f>
        <v>1000</v>
      </c>
      <c r="N2992" s="148">
        <f>IFERROR(__xludf.DUMMYFUNCTION("""COMPUTED_VALUE"""),999999.0)</f>
        <v>999999</v>
      </c>
      <c r="O2992" s="148">
        <f>IFERROR(__xludf.DUMMYFUNCTION("""COMPUTED_VALUE"""),99999.0)</f>
        <v>99999</v>
      </c>
      <c r="P2992" s="148">
        <f>IFERROR(__xludf.DUMMYFUNCTION("""COMPUTED_VALUE"""),1.0)</f>
        <v>1</v>
      </c>
      <c r="Q2992" s="148" t="str">
        <f>IFERROR(__xludf.DUMMYFUNCTION("""COMPUTED_VALUE"""),"[""bag_other""]")</f>
        <v>["bag_other"]</v>
      </c>
      <c r="R2992" s="148" t="str">
        <f>IFERROR(__xludf.DUMMYFUNCTION("""COMPUTED_VALUE"""),"[""bag"",""13900004""]")</f>
        <v>["bag","13900004"]</v>
      </c>
      <c r="S2992" s="148" t="str">
        <f>IFERROR(__xludf.DUMMYFUNCTION("""COMPUTED_VALUE"""),"{""effect"":[{""typ"":""marching_effect_decoration"",""id"":13900004,""val"":1209600000},{""typ"":""vm"",""id"":11151001,""val"":1000}]}")</f>
        <v>{"effect":[{"typ":"marching_effect_decoration","id":13900004,"val":1209600000},{"typ":"vm","id":11151001,"val":1000}]}</v>
      </c>
      <c r="T2992" s="148">
        <f>IFERROR(__xludf.DUMMYFUNCTION("""COMPUTED_VALUE"""),-1.0)</f>
        <v>-1</v>
      </c>
      <c r="U2992" s="148">
        <f>IFERROR(__xludf.DUMMYFUNCTION("""COMPUTED_VALUE"""),0.0)</f>
        <v>0</v>
      </c>
      <c r="V2992" s="148" t="str">
        <f>IFERROR(__xludf.DUMMYFUNCTION("""COMPUTED_VALUE"""),"[]")</f>
        <v>[]</v>
      </c>
      <c r="W2992" s="148">
        <f>IFERROR(__xludf.DUMMYFUNCTION("""COMPUTED_VALUE"""),1.174E7)</f>
        <v>11740000</v>
      </c>
      <c r="X2992" s="148">
        <f>IFERROR(__xludf.DUMMYFUNCTION("""COMPUTED_VALUE"""),0.0)</f>
        <v>0</v>
      </c>
      <c r="Y2992" s="148">
        <f>IFERROR(__xludf.DUMMYFUNCTION("""COMPUTED_VALUE"""),0.0)</f>
        <v>0</v>
      </c>
      <c r="Z2992" s="148"/>
    </row>
    <row r="2993">
      <c r="A2993" s="148">
        <f>IFERROR(__xludf.DUMMYFUNCTION("""COMPUTED_VALUE"""),1.1119959E7)</f>
        <v>11119959</v>
      </c>
      <c r="B2993" s="148" t="str">
        <f>IFERROR(__xludf.DUMMYFUNCTION("""COMPUTED_VALUE"""),"2026春节行军特效-部队光环-30天限时")</f>
        <v>2026春节行军特效-部队光环-30天限时</v>
      </c>
      <c r="C2993" s="148"/>
      <c r="D2993" s="148" t="str">
        <f>IFERROR(__xludf.DUMMYFUNCTION("""COMPUTED_VALUE"""),"marching_effect_decoration")</f>
        <v>marching_effect_decoration</v>
      </c>
      <c r="E2993" s="148">
        <f>IFERROR(__xludf.DUMMYFUNCTION("""COMPUTED_VALUE"""),0.0)</f>
        <v>0</v>
      </c>
      <c r="F2993" s="148">
        <f>IFERROR(__xludf.DUMMYFUNCTION("""COMPUTED_VALUE"""),408197.0)</f>
        <v>408197</v>
      </c>
      <c r="G2993" s="148">
        <f>IFERROR(__xludf.DUMMYFUNCTION("""COMPUTED_VALUE"""),1.51104298E8)</f>
        <v>151104298</v>
      </c>
      <c r="H2993" s="148">
        <f>IFERROR(__xludf.DUMMYFUNCTION("""COMPUTED_VALUE"""),1.5112564E7)</f>
        <v>15112564</v>
      </c>
      <c r="I2993" s="148" t="str">
        <f>IFERROR(__xludf.DUMMYFUNCTION("""COMPUTED_VALUE"""),"{""typ"":""lc"",""txt"":""LC_ITEM_time_day_upper_show"",""args"":[{""typ"":""int_unit"",""val"":30}]}")</f>
        <v>{"typ":"lc","txt":"LC_ITEM_time_day_upper_show","args":[{"typ":"int_unit","val":30}]}</v>
      </c>
      <c r="J2993" s="148" t="str">
        <f>IFERROR(__xludf.DUMMYFUNCTION("""COMPUTED_VALUE"""),"{""typ"":""lc"",""txt"":""LC_ITEM_13900004_name_30""}")</f>
        <v>{"typ":"lc","txt":"LC_ITEM_13900004_name_30"}</v>
      </c>
      <c r="K2993" s="148" t="str">
        <f>IFERROR(__xludf.DUMMYFUNCTION("""COMPUTED_VALUE"""),"{""typ"":""lc"",""txt"":""LC_ITEM_13900004_desc""}")</f>
        <v>{"typ":"lc","txt":"LC_ITEM_13900004_desc"}</v>
      </c>
      <c r="L2993" s="148" t="str">
        <f>IFERROR(__xludf.DUMMYFUNCTION("""COMPUTED_VALUE"""),"{""typ"":""lc"",""txt"":""LC_ASSET_suit_actived_tips_1""}")</f>
        <v>{"typ":"lc","txt":"LC_ASSET_suit_actived_tips_1"}</v>
      </c>
      <c r="M2993" s="148">
        <f>IFERROR(__xludf.DUMMYFUNCTION("""COMPUTED_VALUE"""),1000.0)</f>
        <v>1000</v>
      </c>
      <c r="N2993" s="148">
        <f>IFERROR(__xludf.DUMMYFUNCTION("""COMPUTED_VALUE"""),999999.0)</f>
        <v>999999</v>
      </c>
      <c r="O2993" s="148">
        <f>IFERROR(__xludf.DUMMYFUNCTION("""COMPUTED_VALUE"""),99999.0)</f>
        <v>99999</v>
      </c>
      <c r="P2993" s="148">
        <f>IFERROR(__xludf.DUMMYFUNCTION("""COMPUTED_VALUE"""),1.0)</f>
        <v>1</v>
      </c>
      <c r="Q2993" s="148" t="str">
        <f>IFERROR(__xludf.DUMMYFUNCTION("""COMPUTED_VALUE"""),"[""bag_other""]")</f>
        <v>["bag_other"]</v>
      </c>
      <c r="R2993" s="148" t="str">
        <f>IFERROR(__xludf.DUMMYFUNCTION("""COMPUTED_VALUE"""),"[""bag"",""13900004""]")</f>
        <v>["bag","13900004"]</v>
      </c>
      <c r="S2993" s="148" t="str">
        <f>IFERROR(__xludf.DUMMYFUNCTION("""COMPUTED_VALUE"""),"{""effect"":[{""typ"":""marching_effect_decoration"",""id"":13900004,""val"":2592000000},{""typ"":""vm"",""id"":11151001,""val"":1000}]}")</f>
        <v>{"effect":[{"typ":"marching_effect_decoration","id":13900004,"val":2592000000},{"typ":"vm","id":11151001,"val":1000}]}</v>
      </c>
      <c r="T2993" s="148">
        <f>IFERROR(__xludf.DUMMYFUNCTION("""COMPUTED_VALUE"""),-1.0)</f>
        <v>-1</v>
      </c>
      <c r="U2993" s="148">
        <f>IFERROR(__xludf.DUMMYFUNCTION("""COMPUTED_VALUE"""),0.0)</f>
        <v>0</v>
      </c>
      <c r="V2993" s="148" t="str">
        <f>IFERROR(__xludf.DUMMYFUNCTION("""COMPUTED_VALUE"""),"[]")</f>
        <v>[]</v>
      </c>
      <c r="W2993" s="148">
        <f>IFERROR(__xludf.DUMMYFUNCTION("""COMPUTED_VALUE"""),1.174E7)</f>
        <v>11740000</v>
      </c>
      <c r="X2993" s="148">
        <f>IFERROR(__xludf.DUMMYFUNCTION("""COMPUTED_VALUE"""),0.0)</f>
        <v>0</v>
      </c>
      <c r="Y2993" s="148">
        <f>IFERROR(__xludf.DUMMYFUNCTION("""COMPUTED_VALUE"""),0.0)</f>
        <v>0</v>
      </c>
      <c r="Z2993" s="148"/>
    </row>
    <row r="2994">
      <c r="A2994" s="148">
        <f>IFERROR(__xludf.DUMMYFUNCTION("""COMPUTED_VALUE"""),1.111996E7)</f>
        <v>11119960</v>
      </c>
      <c r="B2994" s="148" t="str">
        <f>IFERROR(__xludf.DUMMYFUNCTION("""COMPUTED_VALUE"""),"2026春节-部队光环-永久")</f>
        <v>2026春节-部队光环-永久</v>
      </c>
      <c r="C2994" s="148"/>
      <c r="D2994" s="148" t="str">
        <f>IFERROR(__xludf.DUMMYFUNCTION("""COMPUTED_VALUE"""),"marching_effect_decoration")</f>
        <v>marching_effect_decoration</v>
      </c>
      <c r="E2994" s="148">
        <f>IFERROR(__xludf.DUMMYFUNCTION("""COMPUTED_VALUE"""),0.0)</f>
        <v>0</v>
      </c>
      <c r="F2994" s="148">
        <f>IFERROR(__xludf.DUMMYFUNCTION("""COMPUTED_VALUE"""),499997.0)</f>
        <v>499997</v>
      </c>
      <c r="G2994" s="148">
        <f>IFERROR(__xludf.DUMMYFUNCTION("""COMPUTED_VALUE"""),1.51104298E8)</f>
        <v>151104298</v>
      </c>
      <c r="H2994" s="148">
        <f>IFERROR(__xludf.DUMMYFUNCTION("""COMPUTED_VALUE"""),1.5115983E7)</f>
        <v>15115983</v>
      </c>
      <c r="I2994" s="148" t="str">
        <f>IFERROR(__xludf.DUMMYFUNCTION("""COMPUTED_VALUE"""),"{}")</f>
        <v>{}</v>
      </c>
      <c r="J2994" s="148" t="str">
        <f>IFERROR(__xludf.DUMMYFUNCTION("""COMPUTED_VALUE"""),"{""typ"":""lc"",""txt"":""LC_ITEM_13900004_name""}")</f>
        <v>{"typ":"lc","txt":"LC_ITEM_13900004_name"}</v>
      </c>
      <c r="K2994" s="148" t="str">
        <f>IFERROR(__xludf.DUMMYFUNCTION("""COMPUTED_VALUE"""),"{""typ"":""lc"",""txt"":""LC_ITEM_13900004_desc""}")</f>
        <v>{"typ":"lc","txt":"LC_ITEM_13900004_desc"}</v>
      </c>
      <c r="L2994" s="148" t="str">
        <f>IFERROR(__xludf.DUMMYFUNCTION("""COMPUTED_VALUE"""),"{""typ"":""lc"",""txt"":""LC_ASSET_suit_actived_tips_1""}")</f>
        <v>{"typ":"lc","txt":"LC_ASSET_suit_actived_tips_1"}</v>
      </c>
      <c r="M2994" s="148">
        <f>IFERROR(__xludf.DUMMYFUNCTION("""COMPUTED_VALUE"""),10000.0)</f>
        <v>10000</v>
      </c>
      <c r="N2994" s="148">
        <f>IFERROR(__xludf.DUMMYFUNCTION("""COMPUTED_VALUE"""),999999.0)</f>
        <v>999999</v>
      </c>
      <c r="O2994" s="148">
        <f>IFERROR(__xludf.DUMMYFUNCTION("""COMPUTED_VALUE"""),99999.0)</f>
        <v>99999</v>
      </c>
      <c r="P2994" s="148">
        <f>IFERROR(__xludf.DUMMYFUNCTION("""COMPUTED_VALUE"""),1.0)</f>
        <v>1</v>
      </c>
      <c r="Q2994" s="148" t="str">
        <f>IFERROR(__xludf.DUMMYFUNCTION("""COMPUTED_VALUE"""),"[""bag_other""]")</f>
        <v>["bag_other"]</v>
      </c>
      <c r="R2994" s="148" t="str">
        <f>IFERROR(__xludf.DUMMYFUNCTION("""COMPUTED_VALUE"""),"[""bag"",""13900004""]")</f>
        <v>["bag","13900004"]</v>
      </c>
      <c r="S2994" s="148" t="str">
        <f>IFERROR(__xludf.DUMMYFUNCTION("""COMPUTED_VALUE"""),"{""effect"":[{""typ"":""marching_effect_decoration"",""id"":13900004,""val"":-1},{""typ"":""vm"",""id"":11151001,""val"":2500}]}")</f>
        <v>{"effect":[{"typ":"marching_effect_decoration","id":13900004,"val":-1},{"typ":"vm","id":11151001,"val":2500}]}</v>
      </c>
      <c r="T2994" s="148">
        <f>IFERROR(__xludf.DUMMYFUNCTION("""COMPUTED_VALUE"""),-1.0)</f>
        <v>-1</v>
      </c>
      <c r="U2994" s="148">
        <f>IFERROR(__xludf.DUMMYFUNCTION("""COMPUTED_VALUE"""),0.0)</f>
        <v>0</v>
      </c>
      <c r="V2994" s="148" t="str">
        <f>IFERROR(__xludf.DUMMYFUNCTION("""COMPUTED_VALUE"""),"[]")</f>
        <v>[]</v>
      </c>
      <c r="W2994" s="148">
        <f>IFERROR(__xludf.DUMMYFUNCTION("""COMPUTED_VALUE"""),1.174E7)</f>
        <v>11740000</v>
      </c>
      <c r="X2994" s="148">
        <f>IFERROR(__xludf.DUMMYFUNCTION("""COMPUTED_VALUE"""),0.0)</f>
        <v>0</v>
      </c>
      <c r="Y2994" s="148">
        <f>IFERROR(__xludf.DUMMYFUNCTION("""COMPUTED_VALUE"""),0.0)</f>
        <v>0</v>
      </c>
      <c r="Z2994" s="148"/>
    </row>
    <row r="2995">
      <c r="A2995" s="148">
        <f>IFERROR(__xludf.DUMMYFUNCTION("""COMPUTED_VALUE"""),1.1119961E7)</f>
        <v>11119961</v>
      </c>
      <c r="B2995" s="148" t="str">
        <f>IFERROR(__xludf.DUMMYFUNCTION("""COMPUTED_VALUE"""),"2026春节行军特效-伴飞装饰-1天限时")</f>
        <v>2026春节行军特效-伴飞装饰-1天限时</v>
      </c>
      <c r="C2995" s="148"/>
      <c r="D2995" s="148" t="str">
        <f>IFERROR(__xludf.DUMMYFUNCTION("""COMPUTED_VALUE"""),"marching_effect_decoration")</f>
        <v>marching_effect_decoration</v>
      </c>
      <c r="E2995" s="148">
        <f>IFERROR(__xludf.DUMMYFUNCTION("""COMPUTED_VALUE"""),0.0)</f>
        <v>0</v>
      </c>
      <c r="F2995" s="148">
        <f>IFERROR(__xludf.DUMMYFUNCTION("""COMPUTED_VALUE"""),408200.0)</f>
        <v>408200</v>
      </c>
      <c r="G2995" s="148">
        <f>IFERROR(__xludf.DUMMYFUNCTION("""COMPUTED_VALUE"""),1.51104299E8)</f>
        <v>151104299</v>
      </c>
      <c r="H2995" s="148">
        <f>IFERROR(__xludf.DUMMYFUNCTION("""COMPUTED_VALUE"""),1.5112563E7)</f>
        <v>15112563</v>
      </c>
      <c r="I2995" s="148" t="str">
        <f>IFERROR(__xludf.DUMMYFUNCTION("""COMPUTED_VALUE"""),"{""typ"":""lc"",""txt"":""LC_ITEM_time_day_upper_show"",""args"":[{""typ"":""int_unit"",""val"":1}]}")</f>
        <v>{"typ":"lc","txt":"LC_ITEM_time_day_upper_show","args":[{"typ":"int_unit","val":1}]}</v>
      </c>
      <c r="J2995" s="148" t="str">
        <f>IFERROR(__xludf.DUMMYFUNCTION("""COMPUTED_VALUE"""),"{""typ"":""lc"",""txt"":""LC_ITEM_13900005_name_1""}")</f>
        <v>{"typ":"lc","txt":"LC_ITEM_13900005_name_1"}</v>
      </c>
      <c r="K2995" s="148" t="str">
        <f>IFERROR(__xludf.DUMMYFUNCTION("""COMPUTED_VALUE"""),"{""typ"":""lc"",""txt"":""LC_ITEM_13900005_desc""}")</f>
        <v>{"typ":"lc","txt":"LC_ITEM_13900005_desc"}</v>
      </c>
      <c r="L2995" s="148" t="str">
        <f>IFERROR(__xludf.DUMMYFUNCTION("""COMPUTED_VALUE"""),"{""typ"":""lc"",""txt"":""LC_ASSET_suit_actived_tips_1""}")</f>
        <v>{"typ":"lc","txt":"LC_ASSET_suit_actived_tips_1"}</v>
      </c>
      <c r="M2995" s="148">
        <f>IFERROR(__xludf.DUMMYFUNCTION("""COMPUTED_VALUE"""),50.0)</f>
        <v>50</v>
      </c>
      <c r="N2995" s="148">
        <f>IFERROR(__xludf.DUMMYFUNCTION("""COMPUTED_VALUE"""),999999.0)</f>
        <v>999999</v>
      </c>
      <c r="O2995" s="148">
        <f>IFERROR(__xludf.DUMMYFUNCTION("""COMPUTED_VALUE"""),99999.0)</f>
        <v>99999</v>
      </c>
      <c r="P2995" s="148">
        <f>IFERROR(__xludf.DUMMYFUNCTION("""COMPUTED_VALUE"""),1.0)</f>
        <v>1</v>
      </c>
      <c r="Q2995" s="148" t="str">
        <f>IFERROR(__xludf.DUMMYFUNCTION("""COMPUTED_VALUE"""),"[""bag_other""]")</f>
        <v>["bag_other"]</v>
      </c>
      <c r="R2995" s="148" t="str">
        <f>IFERROR(__xludf.DUMMYFUNCTION("""COMPUTED_VALUE"""),"[""bag"",""13900005""]")</f>
        <v>["bag","13900005"]</v>
      </c>
      <c r="S2995" s="148" t="str">
        <f>IFERROR(__xludf.DUMMYFUNCTION("""COMPUTED_VALUE"""),"{""effect"":[{""typ"":""marching_effect_decoration"",""id"":13900005,""val"":86400000},{""typ"":""vm"",""id"":11151001,""val"":50}]}")</f>
        <v>{"effect":[{"typ":"marching_effect_decoration","id":13900005,"val":86400000},{"typ":"vm","id":11151001,"val":50}]}</v>
      </c>
      <c r="T2995" s="148">
        <f>IFERROR(__xludf.DUMMYFUNCTION("""COMPUTED_VALUE"""),-1.0)</f>
        <v>-1</v>
      </c>
      <c r="U2995" s="148">
        <f>IFERROR(__xludf.DUMMYFUNCTION("""COMPUTED_VALUE"""),0.0)</f>
        <v>0</v>
      </c>
      <c r="V2995" s="148" t="str">
        <f>IFERROR(__xludf.DUMMYFUNCTION("""COMPUTED_VALUE"""),"[]")</f>
        <v>[]</v>
      </c>
      <c r="W2995" s="148">
        <f>IFERROR(__xludf.DUMMYFUNCTION("""COMPUTED_VALUE"""),1.174E7)</f>
        <v>11740000</v>
      </c>
      <c r="X2995" s="148">
        <f>IFERROR(__xludf.DUMMYFUNCTION("""COMPUTED_VALUE"""),0.0)</f>
        <v>0</v>
      </c>
      <c r="Y2995" s="148">
        <f>IFERROR(__xludf.DUMMYFUNCTION("""COMPUTED_VALUE"""),0.0)</f>
        <v>0</v>
      </c>
      <c r="Z2995" s="148"/>
    </row>
    <row r="2996">
      <c r="A2996" s="148">
        <f>IFERROR(__xludf.DUMMYFUNCTION("""COMPUTED_VALUE"""),1.1119962E7)</f>
        <v>11119962</v>
      </c>
      <c r="B2996" s="148" t="str">
        <f>IFERROR(__xludf.DUMMYFUNCTION("""COMPUTED_VALUE"""),"2026春节行军特效-伴飞装饰-3天限时")</f>
        <v>2026春节行军特效-伴飞装饰-3天限时</v>
      </c>
      <c r="C2996" s="148"/>
      <c r="D2996" s="148" t="str">
        <f>IFERROR(__xludf.DUMMYFUNCTION("""COMPUTED_VALUE"""),"marching_effect_decoration")</f>
        <v>marching_effect_decoration</v>
      </c>
      <c r="E2996" s="148">
        <f>IFERROR(__xludf.DUMMYFUNCTION("""COMPUTED_VALUE"""),0.0)</f>
        <v>0</v>
      </c>
      <c r="F2996" s="148">
        <f>IFERROR(__xludf.DUMMYFUNCTION("""COMPUTED_VALUE"""),408199.0)</f>
        <v>408199</v>
      </c>
      <c r="G2996" s="148">
        <f>IFERROR(__xludf.DUMMYFUNCTION("""COMPUTED_VALUE"""),1.51104299E8)</f>
        <v>151104299</v>
      </c>
      <c r="H2996" s="148">
        <f>IFERROR(__xludf.DUMMYFUNCTION("""COMPUTED_VALUE"""),1.5112563E7)</f>
        <v>15112563</v>
      </c>
      <c r="I2996" s="148" t="str">
        <f>IFERROR(__xludf.DUMMYFUNCTION("""COMPUTED_VALUE"""),"{""typ"":""lc"",""txt"":""LC_ITEM_time_day_upper_show"",""args"":[{""typ"":""int_unit"",""val"":3}]}")</f>
        <v>{"typ":"lc","txt":"LC_ITEM_time_day_upper_show","args":[{"typ":"int_unit","val":3}]}</v>
      </c>
      <c r="J2996" s="148" t="str">
        <f>IFERROR(__xludf.DUMMYFUNCTION("""COMPUTED_VALUE"""),"{""typ"":""lc"",""txt"":""LC_ITEM_13900005_name_3""}")</f>
        <v>{"typ":"lc","txt":"LC_ITEM_13900005_name_3"}</v>
      </c>
      <c r="K2996" s="148" t="str">
        <f>IFERROR(__xludf.DUMMYFUNCTION("""COMPUTED_VALUE"""),"{""typ"":""lc"",""txt"":""LC_ITEM_13900005_desc""}")</f>
        <v>{"typ":"lc","txt":"LC_ITEM_13900005_desc"}</v>
      </c>
      <c r="L2996" s="148" t="str">
        <f>IFERROR(__xludf.DUMMYFUNCTION("""COMPUTED_VALUE"""),"{""typ"":""lc"",""txt"":""LC_ASSET_suit_actived_tips_1""}")</f>
        <v>{"typ":"lc","txt":"LC_ASSET_suit_actived_tips_1"}</v>
      </c>
      <c r="M2996" s="148">
        <f>IFERROR(__xludf.DUMMYFUNCTION("""COMPUTED_VALUE"""),200.0)</f>
        <v>200</v>
      </c>
      <c r="N2996" s="148">
        <f>IFERROR(__xludf.DUMMYFUNCTION("""COMPUTED_VALUE"""),999999.0)</f>
        <v>999999</v>
      </c>
      <c r="O2996" s="148">
        <f>IFERROR(__xludf.DUMMYFUNCTION("""COMPUTED_VALUE"""),99999.0)</f>
        <v>99999</v>
      </c>
      <c r="P2996" s="148">
        <f>IFERROR(__xludf.DUMMYFUNCTION("""COMPUTED_VALUE"""),1.0)</f>
        <v>1</v>
      </c>
      <c r="Q2996" s="148" t="str">
        <f>IFERROR(__xludf.DUMMYFUNCTION("""COMPUTED_VALUE"""),"[""bag_other""]")</f>
        <v>["bag_other"]</v>
      </c>
      <c r="R2996" s="148" t="str">
        <f>IFERROR(__xludf.DUMMYFUNCTION("""COMPUTED_VALUE"""),"[""bag"",""13900005""]")</f>
        <v>["bag","13900005"]</v>
      </c>
      <c r="S2996" s="148" t="str">
        <f>IFERROR(__xludf.DUMMYFUNCTION("""COMPUTED_VALUE"""),"{""effect"":[{""typ"":""marching_effect_decoration"",""id"":13900005,""val"":259200000},{""typ"":""vm"",""id"":11151001,""val"":200}]}")</f>
        <v>{"effect":[{"typ":"marching_effect_decoration","id":13900005,"val":259200000},{"typ":"vm","id":11151001,"val":200}]}</v>
      </c>
      <c r="T2996" s="148">
        <f>IFERROR(__xludf.DUMMYFUNCTION("""COMPUTED_VALUE"""),-1.0)</f>
        <v>-1</v>
      </c>
      <c r="U2996" s="148">
        <f>IFERROR(__xludf.DUMMYFUNCTION("""COMPUTED_VALUE"""),0.0)</f>
        <v>0</v>
      </c>
      <c r="V2996" s="148" t="str">
        <f>IFERROR(__xludf.DUMMYFUNCTION("""COMPUTED_VALUE"""),"[]")</f>
        <v>[]</v>
      </c>
      <c r="W2996" s="148">
        <f>IFERROR(__xludf.DUMMYFUNCTION("""COMPUTED_VALUE"""),1.174E7)</f>
        <v>11740000</v>
      </c>
      <c r="X2996" s="148">
        <f>IFERROR(__xludf.DUMMYFUNCTION("""COMPUTED_VALUE"""),0.0)</f>
        <v>0</v>
      </c>
      <c r="Y2996" s="148">
        <f>IFERROR(__xludf.DUMMYFUNCTION("""COMPUTED_VALUE"""),0.0)</f>
        <v>0</v>
      </c>
      <c r="Z2996" s="148"/>
    </row>
    <row r="2997">
      <c r="A2997" s="148">
        <f>IFERROR(__xludf.DUMMYFUNCTION("""COMPUTED_VALUE"""),1.1119963E7)</f>
        <v>11119963</v>
      </c>
      <c r="B2997" s="148" t="str">
        <f>IFERROR(__xludf.DUMMYFUNCTION("""COMPUTED_VALUE"""),"2026春节行军特效-伴飞装饰-7天限时")</f>
        <v>2026春节行军特效-伴飞装饰-7天限时</v>
      </c>
      <c r="C2997" s="148"/>
      <c r="D2997" s="148" t="str">
        <f>IFERROR(__xludf.DUMMYFUNCTION("""COMPUTED_VALUE"""),"marching_effect_decoration")</f>
        <v>marching_effect_decoration</v>
      </c>
      <c r="E2997" s="148">
        <f>IFERROR(__xludf.DUMMYFUNCTION("""COMPUTED_VALUE"""),0.0)</f>
        <v>0</v>
      </c>
      <c r="F2997" s="148">
        <f>IFERROR(__xludf.DUMMYFUNCTION("""COMPUTED_VALUE"""),408198.0)</f>
        <v>408198</v>
      </c>
      <c r="G2997" s="148">
        <f>IFERROR(__xludf.DUMMYFUNCTION("""COMPUTED_VALUE"""),1.51104299E8)</f>
        <v>151104299</v>
      </c>
      <c r="H2997" s="148">
        <f>IFERROR(__xludf.DUMMYFUNCTION("""COMPUTED_VALUE"""),1.5112564E7)</f>
        <v>15112564</v>
      </c>
      <c r="I2997" s="148" t="str">
        <f>IFERROR(__xludf.DUMMYFUNCTION("""COMPUTED_VALUE"""),"{""typ"":""lc"",""txt"":""LC_ITEM_time_day_upper_show"",""args"":[{""typ"":""int_unit"",""val"":7}]}")</f>
        <v>{"typ":"lc","txt":"LC_ITEM_time_day_upper_show","args":[{"typ":"int_unit","val":7}]}</v>
      </c>
      <c r="J2997" s="148" t="str">
        <f>IFERROR(__xludf.DUMMYFUNCTION("""COMPUTED_VALUE"""),"{""typ"":""lc"",""txt"":""LC_ITEM_13900005_name_7""}")</f>
        <v>{"typ":"lc","txt":"LC_ITEM_13900005_name_7"}</v>
      </c>
      <c r="K2997" s="148" t="str">
        <f>IFERROR(__xludf.DUMMYFUNCTION("""COMPUTED_VALUE"""),"{""typ"":""lc"",""txt"":""LC_ITEM_13900005_desc""}")</f>
        <v>{"typ":"lc","txt":"LC_ITEM_13900005_desc"}</v>
      </c>
      <c r="L2997" s="148" t="str">
        <f>IFERROR(__xludf.DUMMYFUNCTION("""COMPUTED_VALUE"""),"{""typ"":""lc"",""txt"":""LC_ASSET_suit_actived_tips_1""}")</f>
        <v>{"typ":"lc","txt":"LC_ASSET_suit_actived_tips_1"}</v>
      </c>
      <c r="M2997" s="148">
        <f>IFERROR(__xludf.DUMMYFUNCTION("""COMPUTED_VALUE"""),500.0)</f>
        <v>500</v>
      </c>
      <c r="N2997" s="148">
        <f>IFERROR(__xludf.DUMMYFUNCTION("""COMPUTED_VALUE"""),999999.0)</f>
        <v>999999</v>
      </c>
      <c r="O2997" s="148">
        <f>IFERROR(__xludf.DUMMYFUNCTION("""COMPUTED_VALUE"""),99999.0)</f>
        <v>99999</v>
      </c>
      <c r="P2997" s="148">
        <f>IFERROR(__xludf.DUMMYFUNCTION("""COMPUTED_VALUE"""),1.0)</f>
        <v>1</v>
      </c>
      <c r="Q2997" s="148" t="str">
        <f>IFERROR(__xludf.DUMMYFUNCTION("""COMPUTED_VALUE"""),"[""bag_other""]")</f>
        <v>["bag_other"]</v>
      </c>
      <c r="R2997" s="148" t="str">
        <f>IFERROR(__xludf.DUMMYFUNCTION("""COMPUTED_VALUE"""),"[""bag"",""13900005""]")</f>
        <v>["bag","13900005"]</v>
      </c>
      <c r="S2997" s="148" t="str">
        <f>IFERROR(__xludf.DUMMYFUNCTION("""COMPUTED_VALUE"""),"{""effect"":[{""typ"":""marching_effect_decoration"",""id"":13900005,""val"":604800000},{""typ"":""vm"",""id"":11151001,""val"":500}]}")</f>
        <v>{"effect":[{"typ":"marching_effect_decoration","id":13900005,"val":604800000},{"typ":"vm","id":11151001,"val":500}]}</v>
      </c>
      <c r="T2997" s="148">
        <f>IFERROR(__xludf.DUMMYFUNCTION("""COMPUTED_VALUE"""),-1.0)</f>
        <v>-1</v>
      </c>
      <c r="U2997" s="148">
        <f>IFERROR(__xludf.DUMMYFUNCTION("""COMPUTED_VALUE"""),0.0)</f>
        <v>0</v>
      </c>
      <c r="V2997" s="148" t="str">
        <f>IFERROR(__xludf.DUMMYFUNCTION("""COMPUTED_VALUE"""),"[]")</f>
        <v>[]</v>
      </c>
      <c r="W2997" s="148">
        <f>IFERROR(__xludf.DUMMYFUNCTION("""COMPUTED_VALUE"""),1.174E7)</f>
        <v>11740000</v>
      </c>
      <c r="X2997" s="148">
        <f>IFERROR(__xludf.DUMMYFUNCTION("""COMPUTED_VALUE"""),0.0)</f>
        <v>0</v>
      </c>
      <c r="Y2997" s="148">
        <f>IFERROR(__xludf.DUMMYFUNCTION("""COMPUTED_VALUE"""),0.0)</f>
        <v>0</v>
      </c>
      <c r="Z2997" s="148"/>
    </row>
    <row r="2998">
      <c r="A2998" s="148">
        <f>IFERROR(__xludf.DUMMYFUNCTION("""COMPUTED_VALUE"""),1.1119964E7)</f>
        <v>11119964</v>
      </c>
      <c r="B2998" s="148" t="str">
        <f>IFERROR(__xludf.DUMMYFUNCTION("""COMPUTED_VALUE"""),"2026春节行军特效-伴飞装饰-14天限时")</f>
        <v>2026春节行军特效-伴飞装饰-14天限时</v>
      </c>
      <c r="C2998" s="148"/>
      <c r="D2998" s="148" t="str">
        <f>IFERROR(__xludf.DUMMYFUNCTION("""COMPUTED_VALUE"""),"marching_effect_decoration")</f>
        <v>marching_effect_decoration</v>
      </c>
      <c r="E2998" s="148">
        <f>IFERROR(__xludf.DUMMYFUNCTION("""COMPUTED_VALUE"""),0.0)</f>
        <v>0</v>
      </c>
      <c r="F2998" s="148">
        <f>IFERROR(__xludf.DUMMYFUNCTION("""COMPUTED_VALUE"""),408197.0)</f>
        <v>408197</v>
      </c>
      <c r="G2998" s="148">
        <f>IFERROR(__xludf.DUMMYFUNCTION("""COMPUTED_VALUE"""),1.51104299E8)</f>
        <v>151104299</v>
      </c>
      <c r="H2998" s="148">
        <f>IFERROR(__xludf.DUMMYFUNCTION("""COMPUTED_VALUE"""),1.5112564E7)</f>
        <v>15112564</v>
      </c>
      <c r="I2998" s="148" t="str">
        <f>IFERROR(__xludf.DUMMYFUNCTION("""COMPUTED_VALUE"""),"{""typ"":""lc"",""txt"":""LC_ITEM_time_day_upper_show"",""args"":[{""typ"":""int_unit"",""val"":14}]}")</f>
        <v>{"typ":"lc","txt":"LC_ITEM_time_day_upper_show","args":[{"typ":"int_unit","val":14}]}</v>
      </c>
      <c r="J2998" s="148" t="str">
        <f>IFERROR(__xludf.DUMMYFUNCTION("""COMPUTED_VALUE"""),"{""typ"":""lc"",""txt"":""LC_ITEM_13900005_name_14""}")</f>
        <v>{"typ":"lc","txt":"LC_ITEM_13900005_name_14"}</v>
      </c>
      <c r="K2998" s="148" t="str">
        <f>IFERROR(__xludf.DUMMYFUNCTION("""COMPUTED_VALUE"""),"{""typ"":""lc"",""txt"":""LC_ITEM_13900005_desc""}")</f>
        <v>{"typ":"lc","txt":"LC_ITEM_13900005_desc"}</v>
      </c>
      <c r="L2998" s="148" t="str">
        <f>IFERROR(__xludf.DUMMYFUNCTION("""COMPUTED_VALUE"""),"{""typ"":""lc"",""txt"":""LC_ASSET_suit_actived_tips_1""}")</f>
        <v>{"typ":"lc","txt":"LC_ASSET_suit_actived_tips_1"}</v>
      </c>
      <c r="M2998" s="148">
        <f>IFERROR(__xludf.DUMMYFUNCTION("""COMPUTED_VALUE"""),1000.0)</f>
        <v>1000</v>
      </c>
      <c r="N2998" s="148">
        <f>IFERROR(__xludf.DUMMYFUNCTION("""COMPUTED_VALUE"""),999999.0)</f>
        <v>999999</v>
      </c>
      <c r="O2998" s="148">
        <f>IFERROR(__xludf.DUMMYFUNCTION("""COMPUTED_VALUE"""),99999.0)</f>
        <v>99999</v>
      </c>
      <c r="P2998" s="148">
        <f>IFERROR(__xludf.DUMMYFUNCTION("""COMPUTED_VALUE"""),1.0)</f>
        <v>1</v>
      </c>
      <c r="Q2998" s="148" t="str">
        <f>IFERROR(__xludf.DUMMYFUNCTION("""COMPUTED_VALUE"""),"[""bag_other""]")</f>
        <v>["bag_other"]</v>
      </c>
      <c r="R2998" s="148" t="str">
        <f>IFERROR(__xludf.DUMMYFUNCTION("""COMPUTED_VALUE"""),"[""bag"",""13900005""]")</f>
        <v>["bag","13900005"]</v>
      </c>
      <c r="S2998" s="148" t="str">
        <f>IFERROR(__xludf.DUMMYFUNCTION("""COMPUTED_VALUE"""),"{""effect"":[{""typ"":""marching_effect_decoration"",""id"":13900005,""val"":1209600000},{""typ"":""vm"",""id"":11151001,""val"":1000}]}")</f>
        <v>{"effect":[{"typ":"marching_effect_decoration","id":13900005,"val":1209600000},{"typ":"vm","id":11151001,"val":1000}]}</v>
      </c>
      <c r="T2998" s="148">
        <f>IFERROR(__xludf.DUMMYFUNCTION("""COMPUTED_VALUE"""),-1.0)</f>
        <v>-1</v>
      </c>
      <c r="U2998" s="148">
        <f>IFERROR(__xludf.DUMMYFUNCTION("""COMPUTED_VALUE"""),0.0)</f>
        <v>0</v>
      </c>
      <c r="V2998" s="148" t="str">
        <f>IFERROR(__xludf.DUMMYFUNCTION("""COMPUTED_VALUE"""),"[]")</f>
        <v>[]</v>
      </c>
      <c r="W2998" s="148">
        <f>IFERROR(__xludf.DUMMYFUNCTION("""COMPUTED_VALUE"""),1.174E7)</f>
        <v>11740000</v>
      </c>
      <c r="X2998" s="148">
        <f>IFERROR(__xludf.DUMMYFUNCTION("""COMPUTED_VALUE"""),0.0)</f>
        <v>0</v>
      </c>
      <c r="Y2998" s="148">
        <f>IFERROR(__xludf.DUMMYFUNCTION("""COMPUTED_VALUE"""),0.0)</f>
        <v>0</v>
      </c>
      <c r="Z2998" s="148"/>
    </row>
    <row r="2999">
      <c r="A2999" s="148">
        <f>IFERROR(__xludf.DUMMYFUNCTION("""COMPUTED_VALUE"""),1.1119965E7)</f>
        <v>11119965</v>
      </c>
      <c r="B2999" s="148" t="str">
        <f>IFERROR(__xludf.DUMMYFUNCTION("""COMPUTED_VALUE"""),"2026春节行军特效-伴飞装饰-30天限时")</f>
        <v>2026春节行军特效-伴飞装饰-30天限时</v>
      </c>
      <c r="C2999" s="148"/>
      <c r="D2999" s="148" t="str">
        <f>IFERROR(__xludf.DUMMYFUNCTION("""COMPUTED_VALUE"""),"marching_effect_decoration")</f>
        <v>marching_effect_decoration</v>
      </c>
      <c r="E2999" s="148">
        <f>IFERROR(__xludf.DUMMYFUNCTION("""COMPUTED_VALUE"""),0.0)</f>
        <v>0</v>
      </c>
      <c r="F2999" s="148">
        <f>IFERROR(__xludf.DUMMYFUNCTION("""COMPUTED_VALUE"""),408197.0)</f>
        <v>408197</v>
      </c>
      <c r="G2999" s="148">
        <f>IFERROR(__xludf.DUMMYFUNCTION("""COMPUTED_VALUE"""),1.51104299E8)</f>
        <v>151104299</v>
      </c>
      <c r="H2999" s="148">
        <f>IFERROR(__xludf.DUMMYFUNCTION("""COMPUTED_VALUE"""),1.5115983E7)</f>
        <v>15115983</v>
      </c>
      <c r="I2999" s="148" t="str">
        <f>IFERROR(__xludf.DUMMYFUNCTION("""COMPUTED_VALUE"""),"{""typ"":""lc"",""txt"":""LC_ITEM_time_day_upper_show"",""args"":[{""typ"":""int_unit"",""val"":30}]}")</f>
        <v>{"typ":"lc","txt":"LC_ITEM_time_day_upper_show","args":[{"typ":"int_unit","val":30}]}</v>
      </c>
      <c r="J2999" s="148" t="str">
        <f>IFERROR(__xludf.DUMMYFUNCTION("""COMPUTED_VALUE"""),"{""typ"":""lc"",""txt"":""LC_ITEM_13900005_name_30""}")</f>
        <v>{"typ":"lc","txt":"LC_ITEM_13900005_name_30"}</v>
      </c>
      <c r="K2999" s="148" t="str">
        <f>IFERROR(__xludf.DUMMYFUNCTION("""COMPUTED_VALUE"""),"{""typ"":""lc"",""txt"":""LC_ITEM_13900005_desc""}")</f>
        <v>{"typ":"lc","txt":"LC_ITEM_13900005_desc"}</v>
      </c>
      <c r="L2999" s="148" t="str">
        <f>IFERROR(__xludf.DUMMYFUNCTION("""COMPUTED_VALUE"""),"{""typ"":""lc"",""txt"":""LC_ASSET_suit_actived_tips_1""}")</f>
        <v>{"typ":"lc","txt":"LC_ASSET_suit_actived_tips_1"}</v>
      </c>
      <c r="M2999" s="148">
        <f>IFERROR(__xludf.DUMMYFUNCTION("""COMPUTED_VALUE"""),1000.0)</f>
        <v>1000</v>
      </c>
      <c r="N2999" s="148">
        <f>IFERROR(__xludf.DUMMYFUNCTION("""COMPUTED_VALUE"""),999999.0)</f>
        <v>999999</v>
      </c>
      <c r="O2999" s="148">
        <f>IFERROR(__xludf.DUMMYFUNCTION("""COMPUTED_VALUE"""),99999.0)</f>
        <v>99999</v>
      </c>
      <c r="P2999" s="148">
        <f>IFERROR(__xludf.DUMMYFUNCTION("""COMPUTED_VALUE"""),1.0)</f>
        <v>1</v>
      </c>
      <c r="Q2999" s="148" t="str">
        <f>IFERROR(__xludf.DUMMYFUNCTION("""COMPUTED_VALUE"""),"[""bag_other""]")</f>
        <v>["bag_other"]</v>
      </c>
      <c r="R2999" s="148" t="str">
        <f>IFERROR(__xludf.DUMMYFUNCTION("""COMPUTED_VALUE"""),"[""bag"",""13900005""]")</f>
        <v>["bag","13900005"]</v>
      </c>
      <c r="S2999" s="148" t="str">
        <f>IFERROR(__xludf.DUMMYFUNCTION("""COMPUTED_VALUE"""),"{""effect"":[{""typ"":""marching_effect_decoration"",""id"":13900005,""val"":2592000000},{""typ"":""vm"",""id"":11151001,""val"":1000}]}")</f>
        <v>{"effect":[{"typ":"marching_effect_decoration","id":13900005,"val":2592000000},{"typ":"vm","id":11151001,"val":1000}]}</v>
      </c>
      <c r="T2999" s="148">
        <f>IFERROR(__xludf.DUMMYFUNCTION("""COMPUTED_VALUE"""),-1.0)</f>
        <v>-1</v>
      </c>
      <c r="U2999" s="148">
        <f>IFERROR(__xludf.DUMMYFUNCTION("""COMPUTED_VALUE"""),0.0)</f>
        <v>0</v>
      </c>
      <c r="V2999" s="148" t="str">
        <f>IFERROR(__xludf.DUMMYFUNCTION("""COMPUTED_VALUE"""),"[]")</f>
        <v>[]</v>
      </c>
      <c r="W2999" s="148">
        <f>IFERROR(__xludf.DUMMYFUNCTION("""COMPUTED_VALUE"""),1.174E7)</f>
        <v>11740000</v>
      </c>
      <c r="X2999" s="148">
        <f>IFERROR(__xludf.DUMMYFUNCTION("""COMPUTED_VALUE"""),0.0)</f>
        <v>0</v>
      </c>
      <c r="Y2999" s="148">
        <f>IFERROR(__xludf.DUMMYFUNCTION("""COMPUTED_VALUE"""),0.0)</f>
        <v>0</v>
      </c>
      <c r="Z2999" s="148"/>
    </row>
    <row r="3000">
      <c r="A3000" s="148">
        <f>IFERROR(__xludf.DUMMYFUNCTION("""COMPUTED_VALUE"""),1.1119966E7)</f>
        <v>11119966</v>
      </c>
      <c r="B3000" s="148" t="str">
        <f>IFERROR(__xludf.DUMMYFUNCTION("""COMPUTED_VALUE"""),"2026春节-伴飞装饰-永久")</f>
        <v>2026春节-伴飞装饰-永久</v>
      </c>
      <c r="C3000" s="148"/>
      <c r="D3000" s="148" t="str">
        <f>IFERROR(__xludf.DUMMYFUNCTION("""COMPUTED_VALUE"""),"marching_effect_decoration")</f>
        <v>marching_effect_decoration</v>
      </c>
      <c r="E3000" s="148">
        <f>IFERROR(__xludf.DUMMYFUNCTION("""COMPUTED_VALUE"""),0.0)</f>
        <v>0</v>
      </c>
      <c r="F3000" s="148">
        <f>IFERROR(__xludf.DUMMYFUNCTION("""COMPUTED_VALUE"""),499999.0)</f>
        <v>499999</v>
      </c>
      <c r="G3000" s="148">
        <f>IFERROR(__xludf.DUMMYFUNCTION("""COMPUTED_VALUE"""),1.51104299E8)</f>
        <v>151104299</v>
      </c>
      <c r="H3000" s="148">
        <f>IFERROR(__xludf.DUMMYFUNCTION("""COMPUTED_VALUE"""),1.51101093E8)</f>
        <v>151101093</v>
      </c>
      <c r="I3000" s="148" t="str">
        <f>IFERROR(__xludf.DUMMYFUNCTION("""COMPUTED_VALUE"""),"{}")</f>
        <v>{}</v>
      </c>
      <c r="J3000" s="148" t="str">
        <f>IFERROR(__xludf.DUMMYFUNCTION("""COMPUTED_VALUE"""),"{""typ"":""lc"",""txt"":""LC_ITEM_13900005_name""}")</f>
        <v>{"typ":"lc","txt":"LC_ITEM_13900005_name"}</v>
      </c>
      <c r="K3000" s="148" t="str">
        <f>IFERROR(__xludf.DUMMYFUNCTION("""COMPUTED_VALUE"""),"{""typ"":""lc"",""txt"":""LC_ITEM_13900005_desc""}")</f>
        <v>{"typ":"lc","txt":"LC_ITEM_13900005_desc"}</v>
      </c>
      <c r="L3000" s="148" t="str">
        <f>IFERROR(__xludf.DUMMYFUNCTION("""COMPUTED_VALUE"""),"{""typ"":""lc"",""txt"":""LC_ASSET_suit_actived_tips_1""}")</f>
        <v>{"typ":"lc","txt":"LC_ASSET_suit_actived_tips_1"}</v>
      </c>
      <c r="M3000" s="148">
        <f>IFERROR(__xludf.DUMMYFUNCTION("""COMPUTED_VALUE"""),10000.0)</f>
        <v>10000</v>
      </c>
      <c r="N3000" s="148">
        <f>IFERROR(__xludf.DUMMYFUNCTION("""COMPUTED_VALUE"""),999999.0)</f>
        <v>999999</v>
      </c>
      <c r="O3000" s="148">
        <f>IFERROR(__xludf.DUMMYFUNCTION("""COMPUTED_VALUE"""),99999.0)</f>
        <v>99999</v>
      </c>
      <c r="P3000" s="148">
        <f>IFERROR(__xludf.DUMMYFUNCTION("""COMPUTED_VALUE"""),1.0)</f>
        <v>1</v>
      </c>
      <c r="Q3000" s="148" t="str">
        <f>IFERROR(__xludf.DUMMYFUNCTION("""COMPUTED_VALUE"""),"[""bag_other""]")</f>
        <v>["bag_other"]</v>
      </c>
      <c r="R3000" s="148" t="str">
        <f>IFERROR(__xludf.DUMMYFUNCTION("""COMPUTED_VALUE"""),"[""bag"",""13900005""]")</f>
        <v>["bag","13900005"]</v>
      </c>
      <c r="S3000" s="148" t="str">
        <f>IFERROR(__xludf.DUMMYFUNCTION("""COMPUTED_VALUE"""),"{""effect"":[{""typ"":""marching_effect_decoration"",""id"":13900005,""val"":-1},{""typ"":""vm"",""id"":11151001,""val"":5000}]}")</f>
        <v>{"effect":[{"typ":"marching_effect_decoration","id":13900005,"val":-1},{"typ":"vm","id":11151001,"val":5000}]}</v>
      </c>
      <c r="T3000" s="148">
        <f>IFERROR(__xludf.DUMMYFUNCTION("""COMPUTED_VALUE"""),-1.0)</f>
        <v>-1</v>
      </c>
      <c r="U3000" s="148">
        <f>IFERROR(__xludf.DUMMYFUNCTION("""COMPUTED_VALUE"""),0.0)</f>
        <v>0</v>
      </c>
      <c r="V3000" s="148" t="str">
        <f>IFERROR(__xludf.DUMMYFUNCTION("""COMPUTED_VALUE"""),"[]")</f>
        <v>[]</v>
      </c>
      <c r="W3000" s="148">
        <f>IFERROR(__xludf.DUMMYFUNCTION("""COMPUTED_VALUE"""),1.174E7)</f>
        <v>11740000</v>
      </c>
      <c r="X3000" s="148">
        <f>IFERROR(__xludf.DUMMYFUNCTION("""COMPUTED_VALUE"""),0.0)</f>
        <v>0</v>
      </c>
      <c r="Y3000" s="148">
        <f>IFERROR(__xludf.DUMMYFUNCTION("""COMPUTED_VALUE"""),0.0)</f>
        <v>0</v>
      </c>
      <c r="Z3000" s="148"/>
    </row>
    <row r="3001">
      <c r="A3001" s="148">
        <f>IFERROR(__xludf.DUMMYFUNCTION("""COMPUTED_VALUE"""),1.1119967E7)</f>
        <v>11119967</v>
      </c>
      <c r="B3001" s="148" t="str">
        <f>IFERROR(__xludf.DUMMYFUNCTION("""COMPUTED_VALUE"""),"行军表情-动态-心动信号")</f>
        <v>行军表情-动态-心动信号</v>
      </c>
      <c r="C3001" s="148"/>
      <c r="D3001" s="148" t="str">
        <f>IFERROR(__xludf.DUMMYFUNCTION("""COMPUTED_VALUE"""),"map_emoji")</f>
        <v>map_emoji</v>
      </c>
      <c r="E3001" s="148">
        <f>IFERROR(__xludf.DUMMYFUNCTION("""COMPUTED_VALUE"""),20.0)</f>
        <v>20</v>
      </c>
      <c r="F3001" s="148">
        <f>IFERROR(__xludf.DUMMYFUNCTION("""COMPUTED_VALUE"""),0.0)</f>
        <v>0</v>
      </c>
      <c r="G3001" s="148">
        <f>IFERROR(__xludf.DUMMYFUNCTION("""COMPUTED_VALUE"""),1.51104292E8)</f>
        <v>151104292</v>
      </c>
      <c r="H3001" s="148">
        <f>IFERROR(__xludf.DUMMYFUNCTION("""COMPUTED_VALUE"""),1.5112564E7)</f>
        <v>15112564</v>
      </c>
      <c r="I3001" s="148" t="str">
        <f>IFERROR(__xludf.DUMMYFUNCTION("""COMPUTED_VALUE"""),"{}")</f>
        <v>{}</v>
      </c>
      <c r="J3001" s="148" t="str">
        <f>IFERROR(__xludf.DUMMYFUNCTION("""COMPUTED_VALUE"""),"{""typ"":""lc"",""txt"":""LC_ITEM_map_emoji_vd2026""}")</f>
        <v>{"typ":"lc","txt":"LC_ITEM_map_emoji_vd2026"}</v>
      </c>
      <c r="K3001" s="148" t="str">
        <f>IFERROR(__xludf.DUMMYFUNCTION("""COMPUTED_VALUE"""),"{""typ"":""lc"",""txt"":""LC_ITEM_map_emoji_vd2026_desc""}")</f>
        <v>{"typ":"lc","txt":"LC_ITEM_map_emoji_vd2026_desc"}</v>
      </c>
      <c r="L3001" s="148" t="str">
        <f>IFERROR(__xludf.DUMMYFUNCTION("""COMPUTED_VALUE"""),"{}")</f>
        <v>{}</v>
      </c>
      <c r="M3001" s="148">
        <f>IFERROR(__xludf.DUMMYFUNCTION("""COMPUTED_VALUE"""),1000.0)</f>
        <v>1000</v>
      </c>
      <c r="N3001" s="148">
        <f>IFERROR(__xludf.DUMMYFUNCTION("""COMPUTED_VALUE"""),99.0)</f>
        <v>99</v>
      </c>
      <c r="O3001" s="148">
        <f>IFERROR(__xludf.DUMMYFUNCTION("""COMPUTED_VALUE"""),1.0)</f>
        <v>1</v>
      </c>
      <c r="P3001" s="148">
        <f>IFERROR(__xludf.DUMMYFUNCTION("""COMPUTED_VALUE"""),1.0)</f>
        <v>1</v>
      </c>
      <c r="Q3001" s="148" t="str">
        <f>IFERROR(__xludf.DUMMYFUNCTION("""COMPUTED_VALUE"""),"[]")</f>
        <v>[]</v>
      </c>
      <c r="R3001" s="148" t="str">
        <f>IFERROR(__xludf.DUMMYFUNCTION("""COMPUTED_VALUE"""),"[]")</f>
        <v>[]</v>
      </c>
      <c r="S3001" s="148" t="str">
        <f>IFERROR(__xludf.DUMMYFUNCTION("""COMPUTED_VALUE"""),"{""effect"":[{""typ"":""map_emoji"",""id"":11800027,""val"":-1}]}")</f>
        <v>{"effect":[{"typ":"map_emoji","id":11800027,"val":-1}]}</v>
      </c>
      <c r="T3001" s="148">
        <f>IFERROR(__xludf.DUMMYFUNCTION("""COMPUTED_VALUE"""),-1.0)</f>
        <v>-1</v>
      </c>
      <c r="U3001" s="148">
        <f>IFERROR(__xludf.DUMMYFUNCTION("""COMPUTED_VALUE"""),1.0)</f>
        <v>1</v>
      </c>
      <c r="V3001" s="148" t="str">
        <f>IFERROR(__xludf.DUMMYFUNCTION("""COMPUTED_VALUE"""),"[]")</f>
        <v>[]</v>
      </c>
      <c r="W3001" s="148">
        <f>IFERROR(__xludf.DUMMYFUNCTION("""COMPUTED_VALUE"""),1.174E7)</f>
        <v>11740000</v>
      </c>
      <c r="X3001" s="148">
        <f>IFERROR(__xludf.DUMMYFUNCTION("""COMPUTED_VALUE"""),0.0)</f>
        <v>0</v>
      </c>
      <c r="Y3001" s="148">
        <f>IFERROR(__xludf.DUMMYFUNCTION("""COMPUTED_VALUE"""),0.0)</f>
        <v>0</v>
      </c>
      <c r="Z3001" s="148"/>
    </row>
    <row r="3002">
      <c r="A3002" s="148">
        <f>IFERROR(__xludf.DUMMYFUNCTION("""COMPUTED_VALUE"""),1.1119968E7)</f>
        <v>11119968</v>
      </c>
      <c r="B3002" s="148" t="str">
        <f>IFERROR(__xludf.DUMMYFUNCTION("""COMPUTED_VALUE"""),"春节高级主城皮肤自选宝箱")</f>
        <v>春节高级主城皮肤自选宝箱</v>
      </c>
      <c r="C3002" s="148"/>
      <c r="D3002" s="148" t="str">
        <f>IFERROR(__xludf.DUMMYFUNCTION("""COMPUTED_VALUE"""),"item_select_box")</f>
        <v>item_select_box</v>
      </c>
      <c r="E3002" s="148">
        <f>IFERROR(__xludf.DUMMYFUNCTION("""COMPUTED_VALUE"""),19.0)</f>
        <v>19</v>
      </c>
      <c r="F3002" s="148">
        <f>IFERROR(__xludf.DUMMYFUNCTION("""COMPUTED_VALUE"""),0.0)</f>
        <v>0</v>
      </c>
      <c r="G3002" s="148">
        <f>IFERROR(__xludf.DUMMYFUNCTION("""COMPUTED_VALUE"""),1.5110433E8)</f>
        <v>151104330</v>
      </c>
      <c r="H3002" s="148">
        <f>IFERROR(__xludf.DUMMYFUNCTION("""COMPUTED_VALUE"""),1.5115983E7)</f>
        <v>15115983</v>
      </c>
      <c r="I3002" s="148" t="str">
        <f>IFERROR(__xludf.DUMMYFUNCTION("""COMPUTED_VALUE"""),"{}")</f>
        <v>{}</v>
      </c>
      <c r="J3002" s="148" t="str">
        <f>IFERROR(__xludf.DUMMYFUNCTION("""COMPUTED_VALUE"""),"{""typ"":""lc"",""txt"":""LC_ITEM_spring_skin_choose""}")</f>
        <v>{"typ":"lc","txt":"LC_ITEM_spring_skin_choose"}</v>
      </c>
      <c r="K3002" s="148" t="str">
        <f>IFERROR(__xludf.DUMMYFUNCTION("""COMPUTED_VALUE"""),"{""typ"":""lc"",""txt"":""LC_ITEM_mecha_select_box_desc""}")</f>
        <v>{"typ":"lc","txt":"LC_ITEM_mecha_select_box_desc"}</v>
      </c>
      <c r="L3002" s="148" t="str">
        <f>IFERROR(__xludf.DUMMYFUNCTION("""COMPUTED_VALUE"""),"{}")</f>
        <v>{}</v>
      </c>
      <c r="M3002" s="148">
        <f>IFERROR(__xludf.DUMMYFUNCTION("""COMPUTED_VALUE"""),125.0)</f>
        <v>125</v>
      </c>
      <c r="N3002" s="148">
        <f>IFERROR(__xludf.DUMMYFUNCTION("""COMPUTED_VALUE"""),999999.0)</f>
        <v>999999</v>
      </c>
      <c r="O3002" s="148">
        <f>IFERROR(__xludf.DUMMYFUNCTION("""COMPUTED_VALUE"""),99999.0)</f>
        <v>99999</v>
      </c>
      <c r="P3002" s="148">
        <f>IFERROR(__xludf.DUMMYFUNCTION("""COMPUTED_VALUE"""),9999.0)</f>
        <v>9999</v>
      </c>
      <c r="Q3002" s="148" t="str">
        <f>IFERROR(__xludf.DUMMYFUNCTION("""COMPUTED_VALUE"""),"[""bag_other""]")</f>
        <v>["bag_other"]</v>
      </c>
      <c r="R3002" s="148" t="str">
        <f>IFERROR(__xludf.DUMMYFUNCTION("""COMPUTED_VALUE"""),"[""bag""]")</f>
        <v>["bag"]</v>
      </c>
      <c r="S3002" s="148" t="str">
        <f>IFERROR(__xludf.DUMMYFUNCTION("""COMPUTED_VALUE"""),"{""select_box"":[{""typ"":""item"",""id"":11112035,""val"":1},{""typ"":""item"",""id"":11112430,""val"":1}]}")</f>
        <v>{"select_box":[{"typ":"item","id":11112035,"val":1},{"typ":"item","id":11112430,"val":1}]}</v>
      </c>
      <c r="T3002" s="148">
        <f>IFERROR(__xludf.DUMMYFUNCTION("""COMPUTED_VALUE"""),-1.0)</f>
        <v>-1</v>
      </c>
      <c r="U3002" s="148">
        <f>IFERROR(__xludf.DUMMYFUNCTION("""COMPUTED_VALUE"""),0.0)</f>
        <v>0</v>
      </c>
      <c r="V3002" s="148" t="str">
        <f>IFERROR(__xludf.DUMMYFUNCTION("""COMPUTED_VALUE"""),"[]")</f>
        <v>[]</v>
      </c>
      <c r="W3002" s="148">
        <f>IFERROR(__xludf.DUMMYFUNCTION("""COMPUTED_VALUE"""),1.174E7)</f>
        <v>11740000</v>
      </c>
      <c r="X3002" s="148">
        <f>IFERROR(__xludf.DUMMYFUNCTION("""COMPUTED_VALUE"""),0.0)</f>
        <v>0</v>
      </c>
      <c r="Y3002" s="148">
        <f>IFERROR(__xludf.DUMMYFUNCTION("""COMPUTED_VALUE"""),0.0)</f>
        <v>0</v>
      </c>
      <c r="Z3002" s="148"/>
    </row>
    <row r="3003">
      <c r="A3003" s="148">
        <f>IFERROR(__xludf.DUMMYFUNCTION("""COMPUTED_VALUE"""),1.1119969E7)</f>
        <v>11119969</v>
      </c>
      <c r="B3003" s="148" t="str">
        <f>IFERROR(__xludf.DUMMYFUNCTION("""COMPUTED_VALUE"""),"春节行军特效自选宝箱-永久")</f>
        <v>春节行军特效自选宝箱-永久</v>
      </c>
      <c r="C3003" s="148"/>
      <c r="D3003" s="148" t="str">
        <f>IFERROR(__xludf.DUMMYFUNCTION("""COMPUTED_VALUE"""),"item_select_box")</f>
        <v>item_select_box</v>
      </c>
      <c r="E3003" s="148">
        <f>IFERROR(__xludf.DUMMYFUNCTION("""COMPUTED_VALUE"""),19.0)</f>
        <v>19</v>
      </c>
      <c r="F3003" s="148">
        <f>IFERROR(__xludf.DUMMYFUNCTION("""COMPUTED_VALUE"""),0.0)</f>
        <v>0</v>
      </c>
      <c r="G3003" s="148">
        <f>IFERROR(__xludf.DUMMYFUNCTION("""COMPUTED_VALUE"""),1.51104331E8)</f>
        <v>151104331</v>
      </c>
      <c r="H3003" s="148">
        <f>IFERROR(__xludf.DUMMYFUNCTION("""COMPUTED_VALUE"""),1.5112564E7)</f>
        <v>15112564</v>
      </c>
      <c r="I3003" s="148" t="str">
        <f>IFERROR(__xludf.DUMMYFUNCTION("""COMPUTED_VALUE"""),"{}")</f>
        <v>{}</v>
      </c>
      <c r="J3003" s="148" t="str">
        <f>IFERROR(__xludf.DUMMYFUNCTION("""COMPUTED_VALUE"""),"{""typ"":""lc"",""txt"":""LC_ITEM_spring_march_skin_choose""}")</f>
        <v>{"typ":"lc","txt":"LC_ITEM_spring_march_skin_choose"}</v>
      </c>
      <c r="K3003" s="148" t="str">
        <f>IFERROR(__xludf.DUMMYFUNCTION("""COMPUTED_VALUE"""),"{""typ"":""lc"",""txt"":""LC_ITEM_mecha_select_box_desc""}")</f>
        <v>{"typ":"lc","txt":"LC_ITEM_mecha_select_box_desc"}</v>
      </c>
      <c r="L3003" s="148" t="str">
        <f>IFERROR(__xludf.DUMMYFUNCTION("""COMPUTED_VALUE"""),"{}")</f>
        <v>{}</v>
      </c>
      <c r="M3003" s="148">
        <f>IFERROR(__xludf.DUMMYFUNCTION("""COMPUTED_VALUE"""),125.0)</f>
        <v>125</v>
      </c>
      <c r="N3003" s="148">
        <f>IFERROR(__xludf.DUMMYFUNCTION("""COMPUTED_VALUE"""),999999.0)</f>
        <v>999999</v>
      </c>
      <c r="O3003" s="148">
        <f>IFERROR(__xludf.DUMMYFUNCTION("""COMPUTED_VALUE"""),99999.0)</f>
        <v>99999</v>
      </c>
      <c r="P3003" s="148">
        <f>IFERROR(__xludf.DUMMYFUNCTION("""COMPUTED_VALUE"""),9999.0)</f>
        <v>9999</v>
      </c>
      <c r="Q3003" s="148" t="str">
        <f>IFERROR(__xludf.DUMMYFUNCTION("""COMPUTED_VALUE"""),"[""bag_other""]")</f>
        <v>["bag_other"]</v>
      </c>
      <c r="R3003" s="148" t="str">
        <f>IFERROR(__xludf.DUMMYFUNCTION("""COMPUTED_VALUE"""),"[""bag""]")</f>
        <v>["bag"]</v>
      </c>
      <c r="S3003" s="148" t="str">
        <f>IFERROR(__xludf.DUMMYFUNCTION("""COMPUTED_VALUE"""),"{""select_box"":[{""typ"":""item"",""id"":11112404,""val"":1},{""typ"":""item"",""id"":11112056,""val"":1}]}")</f>
        <v>{"select_box":[{"typ":"item","id":11112404,"val":1},{"typ":"item","id":11112056,"val":1}]}</v>
      </c>
      <c r="T3003" s="148">
        <f>IFERROR(__xludf.DUMMYFUNCTION("""COMPUTED_VALUE"""),-1.0)</f>
        <v>-1</v>
      </c>
      <c r="U3003" s="148">
        <f>IFERROR(__xludf.DUMMYFUNCTION("""COMPUTED_VALUE"""),0.0)</f>
        <v>0</v>
      </c>
      <c r="V3003" s="148" t="str">
        <f>IFERROR(__xludf.DUMMYFUNCTION("""COMPUTED_VALUE"""),"[]")</f>
        <v>[]</v>
      </c>
      <c r="W3003" s="148">
        <f>IFERROR(__xludf.DUMMYFUNCTION("""COMPUTED_VALUE"""),1.174E7)</f>
        <v>11740000</v>
      </c>
      <c r="X3003" s="148">
        <f>IFERROR(__xludf.DUMMYFUNCTION("""COMPUTED_VALUE"""),0.0)</f>
        <v>0</v>
      </c>
      <c r="Y3003" s="148">
        <f>IFERROR(__xludf.DUMMYFUNCTION("""COMPUTED_VALUE"""),0.0)</f>
        <v>0</v>
      </c>
      <c r="Z3003" s="148"/>
    </row>
    <row r="3004">
      <c r="A3004" s="148">
        <f>IFERROR(__xludf.DUMMYFUNCTION("""COMPUTED_VALUE"""),1.111997E7)</f>
        <v>11119970</v>
      </c>
      <c r="B3004" s="148" t="str">
        <f>IFERROR(__xludf.DUMMYFUNCTION("""COMPUTED_VALUE"""),"春节行军特效自选宝箱-30d")</f>
        <v>春节行军特效自选宝箱-30d</v>
      </c>
      <c r="C3004" s="148"/>
      <c r="D3004" s="148" t="str">
        <f>IFERROR(__xludf.DUMMYFUNCTION("""COMPUTED_VALUE"""),"item_select_box")</f>
        <v>item_select_box</v>
      </c>
      <c r="E3004" s="148">
        <f>IFERROR(__xludf.DUMMYFUNCTION("""COMPUTED_VALUE"""),19.0)</f>
        <v>19</v>
      </c>
      <c r="F3004" s="148">
        <f>IFERROR(__xludf.DUMMYFUNCTION("""COMPUTED_VALUE"""),0.0)</f>
        <v>0</v>
      </c>
      <c r="G3004" s="148">
        <f>IFERROR(__xludf.DUMMYFUNCTION("""COMPUTED_VALUE"""),1.51104331E8)</f>
        <v>151104331</v>
      </c>
      <c r="H3004" s="148">
        <f>IFERROR(__xludf.DUMMYFUNCTION("""COMPUTED_VALUE"""),1.5112564E7)</f>
        <v>15112564</v>
      </c>
      <c r="I3004" s="148" t="str">
        <f>IFERROR(__xludf.DUMMYFUNCTION("""COMPUTED_VALUE"""),"{""typ"":""lc"",""txt"":""LC_ITEM_time_day_upper_show"",""args"":[{""typ"":""int_unit"",""val"":30}]}")</f>
        <v>{"typ":"lc","txt":"LC_ITEM_time_day_upper_show","args":[{"typ":"int_unit","val":30}]}</v>
      </c>
      <c r="J3004" s="148" t="str">
        <f>IFERROR(__xludf.DUMMYFUNCTION("""COMPUTED_VALUE"""),"{""typ"":""lc"",""txt"":""LC_ITEM_spring_march_skin_choose30d""}")</f>
        <v>{"typ":"lc","txt":"LC_ITEM_spring_march_skin_choose30d"}</v>
      </c>
      <c r="K3004" s="148" t="str">
        <f>IFERROR(__xludf.DUMMYFUNCTION("""COMPUTED_VALUE"""),"{""typ"":""lc"",""txt"":""LC_ITEM_mecha_select_box_desc""}")</f>
        <v>{"typ":"lc","txt":"LC_ITEM_mecha_select_box_desc"}</v>
      </c>
      <c r="L3004" s="148" t="str">
        <f>IFERROR(__xludf.DUMMYFUNCTION("""COMPUTED_VALUE"""),"{}")</f>
        <v>{}</v>
      </c>
      <c r="M3004" s="148">
        <f>IFERROR(__xludf.DUMMYFUNCTION("""COMPUTED_VALUE"""),125.0)</f>
        <v>125</v>
      </c>
      <c r="N3004" s="148">
        <f>IFERROR(__xludf.DUMMYFUNCTION("""COMPUTED_VALUE"""),999999.0)</f>
        <v>999999</v>
      </c>
      <c r="O3004" s="148">
        <f>IFERROR(__xludf.DUMMYFUNCTION("""COMPUTED_VALUE"""),99999.0)</f>
        <v>99999</v>
      </c>
      <c r="P3004" s="148">
        <f>IFERROR(__xludf.DUMMYFUNCTION("""COMPUTED_VALUE"""),9999.0)</f>
        <v>9999</v>
      </c>
      <c r="Q3004" s="148" t="str">
        <f>IFERROR(__xludf.DUMMYFUNCTION("""COMPUTED_VALUE"""),"[""bag_other""]")</f>
        <v>["bag_other"]</v>
      </c>
      <c r="R3004" s="148" t="str">
        <f>IFERROR(__xludf.DUMMYFUNCTION("""COMPUTED_VALUE"""),"[""bag""]")</f>
        <v>["bag"]</v>
      </c>
      <c r="S3004" s="148" t="str">
        <f>IFERROR(__xludf.DUMMYFUNCTION("""COMPUTED_VALUE"""),"{""select_box"":[{""typ"":""item"",""id"":11112403,""val"":1},{""typ"":""item"",""id"":11112055,""val"":1}]}")</f>
        <v>{"select_box":[{"typ":"item","id":11112403,"val":1},{"typ":"item","id":11112055,"val":1}]}</v>
      </c>
      <c r="T3004" s="148">
        <f>IFERROR(__xludf.DUMMYFUNCTION("""COMPUTED_VALUE"""),-1.0)</f>
        <v>-1</v>
      </c>
      <c r="U3004" s="148">
        <f>IFERROR(__xludf.DUMMYFUNCTION("""COMPUTED_VALUE"""),0.0)</f>
        <v>0</v>
      </c>
      <c r="V3004" s="148" t="str">
        <f>IFERROR(__xludf.DUMMYFUNCTION("""COMPUTED_VALUE"""),"[]")</f>
        <v>[]</v>
      </c>
      <c r="W3004" s="148">
        <f>IFERROR(__xludf.DUMMYFUNCTION("""COMPUTED_VALUE"""),1.174E7)</f>
        <v>11740000</v>
      </c>
      <c r="X3004" s="148">
        <f>IFERROR(__xludf.DUMMYFUNCTION("""COMPUTED_VALUE"""),0.0)</f>
        <v>0</v>
      </c>
      <c r="Y3004" s="148">
        <f>IFERROR(__xludf.DUMMYFUNCTION("""COMPUTED_VALUE"""),0.0)</f>
        <v>0</v>
      </c>
      <c r="Z3004" s="148"/>
    </row>
    <row r="3005">
      <c r="A3005" s="148">
        <f>IFERROR(__xludf.DUMMYFUNCTION("""COMPUTED_VALUE"""),1.1119971E7)</f>
        <v>11119971</v>
      </c>
      <c r="B3005" s="148" t="str">
        <f>IFERROR(__xludf.DUMMYFUNCTION("""COMPUTED_VALUE"""),"春节行军特效自选宝箱-14d")</f>
        <v>春节行军特效自选宝箱-14d</v>
      </c>
      <c r="C3005" s="148"/>
      <c r="D3005" s="148" t="str">
        <f>IFERROR(__xludf.DUMMYFUNCTION("""COMPUTED_VALUE"""),"item_select_box")</f>
        <v>item_select_box</v>
      </c>
      <c r="E3005" s="148">
        <f>IFERROR(__xludf.DUMMYFUNCTION("""COMPUTED_VALUE"""),19.0)</f>
        <v>19</v>
      </c>
      <c r="F3005" s="148">
        <f>IFERROR(__xludf.DUMMYFUNCTION("""COMPUTED_VALUE"""),0.0)</f>
        <v>0</v>
      </c>
      <c r="G3005" s="148">
        <f>IFERROR(__xludf.DUMMYFUNCTION("""COMPUTED_VALUE"""),1.51104331E8)</f>
        <v>151104331</v>
      </c>
      <c r="H3005" s="148">
        <f>IFERROR(__xludf.DUMMYFUNCTION("""COMPUTED_VALUE"""),1.5112564E7)</f>
        <v>15112564</v>
      </c>
      <c r="I3005" s="148" t="str">
        <f>IFERROR(__xludf.DUMMYFUNCTION("""COMPUTED_VALUE"""),"{""typ"":""lc"",""txt"":""LC_ITEM_time_day_upper_show"",""args"":[{""typ"":""int_unit"",""val"":14}]}")</f>
        <v>{"typ":"lc","txt":"LC_ITEM_time_day_upper_show","args":[{"typ":"int_unit","val":14}]}</v>
      </c>
      <c r="J3005" s="148" t="str">
        <f>IFERROR(__xludf.DUMMYFUNCTION("""COMPUTED_VALUE"""),"{""typ"":""lc"",""txt"":""LC_ITEM_spring_march_skin_choose14d""}")</f>
        <v>{"typ":"lc","txt":"LC_ITEM_spring_march_skin_choose14d"}</v>
      </c>
      <c r="K3005" s="148" t="str">
        <f>IFERROR(__xludf.DUMMYFUNCTION("""COMPUTED_VALUE"""),"{""typ"":""lc"",""txt"":""LC_ITEM_mecha_select_box_desc""}")</f>
        <v>{"typ":"lc","txt":"LC_ITEM_mecha_select_box_desc"}</v>
      </c>
      <c r="L3005" s="148" t="str">
        <f>IFERROR(__xludf.DUMMYFUNCTION("""COMPUTED_VALUE"""),"{}")</f>
        <v>{}</v>
      </c>
      <c r="M3005" s="148">
        <f>IFERROR(__xludf.DUMMYFUNCTION("""COMPUTED_VALUE"""),125.0)</f>
        <v>125</v>
      </c>
      <c r="N3005" s="148">
        <f>IFERROR(__xludf.DUMMYFUNCTION("""COMPUTED_VALUE"""),999999.0)</f>
        <v>999999</v>
      </c>
      <c r="O3005" s="148">
        <f>IFERROR(__xludf.DUMMYFUNCTION("""COMPUTED_VALUE"""),99999.0)</f>
        <v>99999</v>
      </c>
      <c r="P3005" s="148">
        <f>IFERROR(__xludf.DUMMYFUNCTION("""COMPUTED_VALUE"""),9999.0)</f>
        <v>9999</v>
      </c>
      <c r="Q3005" s="148" t="str">
        <f>IFERROR(__xludf.DUMMYFUNCTION("""COMPUTED_VALUE"""),"[""bag_other""]")</f>
        <v>["bag_other"]</v>
      </c>
      <c r="R3005" s="148" t="str">
        <f>IFERROR(__xludf.DUMMYFUNCTION("""COMPUTED_VALUE"""),"[""bag""]")</f>
        <v>["bag"]</v>
      </c>
      <c r="S3005" s="148" t="str">
        <f>IFERROR(__xludf.DUMMYFUNCTION("""COMPUTED_VALUE"""),"{""select_box"":[{""typ"":""item"",""id"":11112402,""val"":1},{""typ"":""item"",""id"":11112054,""val"":1}]}")</f>
        <v>{"select_box":[{"typ":"item","id":11112402,"val":1},{"typ":"item","id":11112054,"val":1}]}</v>
      </c>
      <c r="T3005" s="148">
        <f>IFERROR(__xludf.DUMMYFUNCTION("""COMPUTED_VALUE"""),-1.0)</f>
        <v>-1</v>
      </c>
      <c r="U3005" s="148">
        <f>IFERROR(__xludf.DUMMYFUNCTION("""COMPUTED_VALUE"""),0.0)</f>
        <v>0</v>
      </c>
      <c r="V3005" s="148" t="str">
        <f>IFERROR(__xludf.DUMMYFUNCTION("""COMPUTED_VALUE"""),"[]")</f>
        <v>[]</v>
      </c>
      <c r="W3005" s="148">
        <f>IFERROR(__xludf.DUMMYFUNCTION("""COMPUTED_VALUE"""),1.174E7)</f>
        <v>11740000</v>
      </c>
      <c r="X3005" s="148">
        <f>IFERROR(__xludf.DUMMYFUNCTION("""COMPUTED_VALUE"""),0.0)</f>
        <v>0</v>
      </c>
      <c r="Y3005" s="148">
        <f>IFERROR(__xludf.DUMMYFUNCTION("""COMPUTED_VALUE"""),0.0)</f>
        <v>0</v>
      </c>
      <c r="Z3005" s="148"/>
    </row>
    <row r="3006">
      <c r="A3006" s="148">
        <f>IFERROR(__xludf.DUMMYFUNCTION("""COMPUTED_VALUE"""),1.1119972E7)</f>
        <v>11119972</v>
      </c>
      <c r="B3006" s="148" t="str">
        <f>IFERROR(__xludf.DUMMYFUNCTION("""COMPUTED_VALUE"""),"春节行军特效自选宝箱-7d")</f>
        <v>春节行军特效自选宝箱-7d</v>
      </c>
      <c r="C3006" s="148"/>
      <c r="D3006" s="148" t="str">
        <f>IFERROR(__xludf.DUMMYFUNCTION("""COMPUTED_VALUE"""),"item_select_box")</f>
        <v>item_select_box</v>
      </c>
      <c r="E3006" s="148">
        <f>IFERROR(__xludf.DUMMYFUNCTION("""COMPUTED_VALUE"""),19.0)</f>
        <v>19</v>
      </c>
      <c r="F3006" s="148">
        <f>IFERROR(__xludf.DUMMYFUNCTION("""COMPUTED_VALUE"""),0.0)</f>
        <v>0</v>
      </c>
      <c r="G3006" s="148">
        <f>IFERROR(__xludf.DUMMYFUNCTION("""COMPUTED_VALUE"""),1.51104331E8)</f>
        <v>151104331</v>
      </c>
      <c r="H3006" s="148">
        <f>IFERROR(__xludf.DUMMYFUNCTION("""COMPUTED_VALUE"""),1.5112564E7)</f>
        <v>15112564</v>
      </c>
      <c r="I3006" s="148" t="str">
        <f>IFERROR(__xludf.DUMMYFUNCTION("""COMPUTED_VALUE"""),"{""typ"":""lc"",""txt"":""LC_ITEM_time_day_upper_show"",""args"":[{""typ"":""int_unit"",""val"":7}]}")</f>
        <v>{"typ":"lc","txt":"LC_ITEM_time_day_upper_show","args":[{"typ":"int_unit","val":7}]}</v>
      </c>
      <c r="J3006" s="148" t="str">
        <f>IFERROR(__xludf.DUMMYFUNCTION("""COMPUTED_VALUE"""),"{""typ"":""lc"",""txt"":""LC_ITEM_spring_march_skin_choose7d""}")</f>
        <v>{"typ":"lc","txt":"LC_ITEM_spring_march_skin_choose7d"}</v>
      </c>
      <c r="K3006" s="148" t="str">
        <f>IFERROR(__xludf.DUMMYFUNCTION("""COMPUTED_VALUE"""),"{""typ"":""lc"",""txt"":""LC_ITEM_mecha_select_box_desc""}")</f>
        <v>{"typ":"lc","txt":"LC_ITEM_mecha_select_box_desc"}</v>
      </c>
      <c r="L3006" s="148" t="str">
        <f>IFERROR(__xludf.DUMMYFUNCTION("""COMPUTED_VALUE"""),"{}")</f>
        <v>{}</v>
      </c>
      <c r="M3006" s="148">
        <f>IFERROR(__xludf.DUMMYFUNCTION("""COMPUTED_VALUE"""),125.0)</f>
        <v>125</v>
      </c>
      <c r="N3006" s="148">
        <f>IFERROR(__xludf.DUMMYFUNCTION("""COMPUTED_VALUE"""),999999.0)</f>
        <v>999999</v>
      </c>
      <c r="O3006" s="148">
        <f>IFERROR(__xludf.DUMMYFUNCTION("""COMPUTED_VALUE"""),99999.0)</f>
        <v>99999</v>
      </c>
      <c r="P3006" s="148">
        <f>IFERROR(__xludf.DUMMYFUNCTION("""COMPUTED_VALUE"""),9999.0)</f>
        <v>9999</v>
      </c>
      <c r="Q3006" s="148" t="str">
        <f>IFERROR(__xludf.DUMMYFUNCTION("""COMPUTED_VALUE"""),"[""bag_other""]")</f>
        <v>["bag_other"]</v>
      </c>
      <c r="R3006" s="148" t="str">
        <f>IFERROR(__xludf.DUMMYFUNCTION("""COMPUTED_VALUE"""),"[""bag""]")</f>
        <v>["bag"]</v>
      </c>
      <c r="S3006" s="148" t="str">
        <f>IFERROR(__xludf.DUMMYFUNCTION("""COMPUTED_VALUE"""),"{""select_box"":[{""typ"":""item"",""id"":11112401,""val"":1},{""typ"":""item"",""id"":11112053,""val"":1}]}")</f>
        <v>{"select_box":[{"typ":"item","id":11112401,"val":1},{"typ":"item","id":11112053,"val":1}]}</v>
      </c>
      <c r="T3006" s="148">
        <f>IFERROR(__xludf.DUMMYFUNCTION("""COMPUTED_VALUE"""),-1.0)</f>
        <v>-1</v>
      </c>
      <c r="U3006" s="148">
        <f>IFERROR(__xludf.DUMMYFUNCTION("""COMPUTED_VALUE"""),0.0)</f>
        <v>0</v>
      </c>
      <c r="V3006" s="148" t="str">
        <f>IFERROR(__xludf.DUMMYFUNCTION("""COMPUTED_VALUE"""),"[]")</f>
        <v>[]</v>
      </c>
      <c r="W3006" s="148">
        <f>IFERROR(__xludf.DUMMYFUNCTION("""COMPUTED_VALUE"""),1.174E7)</f>
        <v>11740000</v>
      </c>
      <c r="X3006" s="148">
        <f>IFERROR(__xludf.DUMMYFUNCTION("""COMPUTED_VALUE"""),0.0)</f>
        <v>0</v>
      </c>
      <c r="Y3006" s="148">
        <f>IFERROR(__xludf.DUMMYFUNCTION("""COMPUTED_VALUE"""),0.0)</f>
        <v>0</v>
      </c>
      <c r="Z3006" s="148"/>
    </row>
    <row r="3007">
      <c r="A3007" s="148">
        <f>IFERROR(__xludf.DUMMYFUNCTION("""COMPUTED_VALUE"""),1.1119973E7)</f>
        <v>11119973</v>
      </c>
      <c r="B3007" s="148" t="str">
        <f>IFERROR(__xludf.DUMMYFUNCTION("""COMPUTED_VALUE"""),"情人节2026连锁任务宝箱")</f>
        <v>情人节2026连锁任务宝箱</v>
      </c>
      <c r="C3007" s="148"/>
      <c r="D3007" s="148" t="str">
        <f>IFERROR(__xludf.DUMMYFUNCTION("""COMPUTED_VALUE"""),"item_asset")</f>
        <v>item_asset</v>
      </c>
      <c r="E3007" s="148">
        <f>IFERROR(__xludf.DUMMYFUNCTION("""COMPUTED_VALUE"""),19.0)</f>
        <v>19</v>
      </c>
      <c r="F3007" s="148">
        <f>IFERROR(__xludf.DUMMYFUNCTION("""COMPUTED_VALUE"""),403308.0)</f>
        <v>403308</v>
      </c>
      <c r="G3007" s="148">
        <f>IFERROR(__xludf.DUMMYFUNCTION("""COMPUTED_VALUE"""),1.51104565E8)</f>
        <v>151104565</v>
      </c>
      <c r="H3007" s="148">
        <f>IFERROR(__xludf.DUMMYFUNCTION("""COMPUTED_VALUE"""),1.5112564E7)</f>
        <v>15112564</v>
      </c>
      <c r="I3007" s="148" t="str">
        <f>IFERROR(__xludf.DUMMYFUNCTION("""COMPUTED_VALUE"""),"{}")</f>
        <v>{}</v>
      </c>
      <c r="J3007" s="148" t="str">
        <f>IFERROR(__xludf.DUMMYFUNCTION("""COMPUTED_VALUE"""),"{""typ"":""lc"",""txt"":""LC_ITEM_valentine_chain_task_2026_box_name""}")</f>
        <v>{"typ":"lc","txt":"LC_ITEM_valentine_chain_task_2026_box_name"}</v>
      </c>
      <c r="K3007" s="148" t="str">
        <f>IFERROR(__xludf.DUMMYFUNCTION("""COMPUTED_VALUE"""),"{""typ"":""lc"",""txt"":""LC_ITEM_valentine_chain_task_2026_box_desc""}")</f>
        <v>{"typ":"lc","txt":"LC_ITEM_valentine_chain_task_2026_box_desc"}</v>
      </c>
      <c r="L3007" s="148" t="str">
        <f>IFERROR(__xludf.DUMMYFUNCTION("""COMPUTED_VALUE"""),"{}")</f>
        <v>{}</v>
      </c>
      <c r="M3007" s="148">
        <f>IFERROR(__xludf.DUMMYFUNCTION("""COMPUTED_VALUE"""),140.0)</f>
        <v>140</v>
      </c>
      <c r="N3007" s="148">
        <f>IFERROR(__xludf.DUMMYFUNCTION("""COMPUTED_VALUE"""),999999.0)</f>
        <v>999999</v>
      </c>
      <c r="O3007" s="148">
        <f>IFERROR(__xludf.DUMMYFUNCTION("""COMPUTED_VALUE"""),99999.0)</f>
        <v>99999</v>
      </c>
      <c r="P3007" s="148">
        <f>IFERROR(__xludf.DUMMYFUNCTION("""COMPUTED_VALUE"""),9999.0)</f>
        <v>9999</v>
      </c>
      <c r="Q3007" s="148" t="str">
        <f>IFERROR(__xludf.DUMMYFUNCTION("""COMPUTED_VALUE"""),"[""bag_other""]")</f>
        <v>["bag_other"]</v>
      </c>
      <c r="R3007" s="148" t="str">
        <f>IFERROR(__xludf.DUMMYFUNCTION("""COMPUTED_VALUE"""),"[""bag""]")</f>
        <v>["bag"]</v>
      </c>
      <c r="S3007" s="148" t="str">
        <f>IFERROR(__xludf.DUMMYFUNCTION("""COMPUTED_VALUE"""),"{""drop"":{""typ"":""single_random"",""num"":1,""args"":[{""typ"":""item"",""id"":11112900,""num"":2,""wgt"":20},{""typ"":""item"",""id"":11112408,""num"":2,""wgt"":20},{""typ"":""item"",""id"":11119904,""num"":2,""wgt"":20},{""typ"":""item"",""id"":11116"&amp;"304,""num"":1,""wgt"":5},{""typ"":""item"",""id"":11116110,""num"":1,""wgt"":20},{""typ"":""item"",""id"":11114330,""num"":1,""wgt"":100},{""typ"":""item"",""id"":11111155,""num"":2,""wgt"":100},{""typ"":""item"",""id"":11111105,""num"":1,""wgt"":50}]}}")</f>
        <v>{"drop":{"typ":"single_random","num":1,"args":[{"typ":"item","id":11112900,"num":2,"wgt":20},{"typ":"item","id":11112408,"num":2,"wgt":20},{"typ":"item","id":11119904,"num":2,"wgt":20},{"typ":"item","id":11116304,"num":1,"wgt":5},{"typ":"item","id":11116110,"num":1,"wgt":20},{"typ":"item","id":11114330,"num":1,"wgt":100},{"typ":"item","id":11111155,"num":2,"wgt":100},{"typ":"item","id":11111105,"num":1,"wgt":50}]}}</v>
      </c>
      <c r="T3007" s="148">
        <f>IFERROR(__xludf.DUMMYFUNCTION("""COMPUTED_VALUE"""),-1.0)</f>
        <v>-1</v>
      </c>
      <c r="U3007" s="148">
        <f>IFERROR(__xludf.DUMMYFUNCTION("""COMPUTED_VALUE"""),0.0)</f>
        <v>0</v>
      </c>
      <c r="V3007" s="148" t="str">
        <f>IFERROR(__xludf.DUMMYFUNCTION("""COMPUTED_VALUE"""),"[]")</f>
        <v>[]</v>
      </c>
      <c r="W3007" s="148">
        <f>IFERROR(__xludf.DUMMYFUNCTION("""COMPUTED_VALUE"""),1.174E7)</f>
        <v>11740000</v>
      </c>
      <c r="X3007" s="148">
        <f>IFERROR(__xludf.DUMMYFUNCTION("""COMPUTED_VALUE"""),0.0)</f>
        <v>0</v>
      </c>
      <c r="Y3007" s="148">
        <f>IFERROR(__xludf.DUMMYFUNCTION("""COMPUTED_VALUE"""),0.0)</f>
        <v>0</v>
      </c>
      <c r="Z3007" s="148"/>
    </row>
    <row r="3008">
      <c r="A3008" s="148">
        <f>IFERROR(__xludf.DUMMYFUNCTION("""COMPUTED_VALUE"""),1.1119974E7)</f>
        <v>11119974</v>
      </c>
      <c r="B3008" s="148" t="str">
        <f>IFERROR(__xludf.DUMMYFUNCTION("""COMPUTED_VALUE"""),"2026情人节组队bp-bp经验道具")</f>
        <v>2026情人节组队bp-bp经验道具</v>
      </c>
      <c r="C3008" s="148"/>
      <c r="D3008" s="148" t="str">
        <f>IFERROR(__xludf.DUMMYFUNCTION("""COMPUTED_VALUE"""),"battle_pass_exp")</f>
        <v>battle_pass_exp</v>
      </c>
      <c r="E3008" s="148">
        <f>IFERROR(__xludf.DUMMYFUNCTION("""COMPUTED_VALUE"""),0.0)</f>
        <v>0</v>
      </c>
      <c r="F3008" s="148">
        <f>IFERROR(__xludf.DUMMYFUNCTION("""COMPUTED_VALUE"""),405218.0)</f>
        <v>405218</v>
      </c>
      <c r="G3008" s="148">
        <f>IFERROR(__xludf.DUMMYFUNCTION("""COMPUTED_VALUE"""),1.51104332E8)</f>
        <v>151104332</v>
      </c>
      <c r="H3008" s="148">
        <f>IFERROR(__xludf.DUMMYFUNCTION("""COMPUTED_VALUE"""),1.5112563E7)</f>
        <v>15112563</v>
      </c>
      <c r="I3008" s="148" t="str">
        <f>IFERROR(__xludf.DUMMYFUNCTION("""COMPUTED_VALUE"""),"{}")</f>
        <v>{}</v>
      </c>
      <c r="J3008" s="148" t="str">
        <f>IFERROR(__xludf.DUMMYFUNCTION("""COMPUTED_VALUE"""),"{""typ"":""lc"",""txt"":""LC_ITEM_valentine26_team_bp_exp_name""}")</f>
        <v>{"typ":"lc","txt":"LC_ITEM_valentine26_team_bp_exp_name"}</v>
      </c>
      <c r="K3008" s="148" t="str">
        <f>IFERROR(__xludf.DUMMYFUNCTION("""COMPUTED_VALUE"""),"{""typ"":""lc"",""txt"":""LC_ITEM_valentine26_team_bp_exp_desc""}")</f>
        <v>{"typ":"lc","txt":"LC_ITEM_valentine26_team_bp_exp_desc"}</v>
      </c>
      <c r="L3008" s="148" t="str">
        <f>IFERROR(__xludf.DUMMYFUNCTION("""COMPUTED_VALUE"""),"{}")</f>
        <v>{}</v>
      </c>
      <c r="M3008" s="148">
        <f>IFERROR(__xludf.DUMMYFUNCTION("""COMPUTED_VALUE"""),2.0)</f>
        <v>2</v>
      </c>
      <c r="N3008" s="148">
        <f>IFERROR(__xludf.DUMMYFUNCTION("""COMPUTED_VALUE"""),999999.0)</f>
        <v>999999</v>
      </c>
      <c r="O3008" s="148">
        <f>IFERROR(__xludf.DUMMYFUNCTION("""COMPUTED_VALUE"""),99999.0)</f>
        <v>99999</v>
      </c>
      <c r="P3008" s="148">
        <f>IFERROR(__xludf.DUMMYFUNCTION("""COMPUTED_VALUE"""),99999.0)</f>
        <v>99999</v>
      </c>
      <c r="Q3008" s="148" t="str">
        <f>IFERROR(__xludf.DUMMYFUNCTION("""COMPUTED_VALUE"""),"[""bag_other""]")</f>
        <v>["bag_other"]</v>
      </c>
      <c r="R3008" s="148" t="str">
        <f>IFERROR(__xludf.DUMMYFUNCTION("""COMPUTED_VALUE"""),"[]")</f>
        <v>[]</v>
      </c>
      <c r="S3008" s="148" t="str">
        <f>IFERROR(__xludf.DUMMYFUNCTION("""COMPUTED_VALUE"""),"{}")</f>
        <v>{}</v>
      </c>
      <c r="T3008" s="148">
        <f>IFERROR(__xludf.DUMMYFUNCTION("""COMPUTED_VALUE"""),-1.0)</f>
        <v>-1</v>
      </c>
      <c r="U3008" s="148">
        <f>IFERROR(__xludf.DUMMYFUNCTION("""COMPUTED_VALUE"""),1.0)</f>
        <v>1</v>
      </c>
      <c r="V3008" s="148" t="str">
        <f>IFERROR(__xludf.DUMMYFUNCTION("""COMPUTED_VALUE"""),"[]")</f>
        <v>[]</v>
      </c>
      <c r="W3008" s="148">
        <f>IFERROR(__xludf.DUMMYFUNCTION("""COMPUTED_VALUE"""),1.174E7)</f>
        <v>11740000</v>
      </c>
      <c r="X3008" s="148">
        <f>IFERROR(__xludf.DUMMYFUNCTION("""COMPUTED_VALUE"""),0.0)</f>
        <v>0</v>
      </c>
      <c r="Y3008" s="148">
        <f>IFERROR(__xludf.DUMMYFUNCTION("""COMPUTED_VALUE"""),0.0)</f>
        <v>0</v>
      </c>
      <c r="Z3008" s="148"/>
    </row>
    <row r="3009">
      <c r="A3009" s="148">
        <f>IFERROR(__xludf.DUMMYFUNCTION("""COMPUTED_VALUE"""),1.1119975E7)</f>
        <v>11119975</v>
      </c>
      <c r="B3009" s="148" t="str">
        <f>IFERROR(__xludf.DUMMYFUNCTION("""COMPUTED_VALUE"""),"2026情人节动态头像框-曦光之羽")</f>
        <v>2026情人节动态头像框-曦光之羽</v>
      </c>
      <c r="C3009" s="148"/>
      <c r="D3009" s="148" t="str">
        <f>IFERROR(__xludf.DUMMYFUNCTION("""COMPUTED_VALUE"""),"avatar_frame")</f>
        <v>avatar_frame</v>
      </c>
      <c r="E3009" s="148">
        <f>IFERROR(__xludf.DUMMYFUNCTION("""COMPUTED_VALUE"""),20.0)</f>
        <v>20</v>
      </c>
      <c r="F3009" s="148">
        <f>IFERROR(__xludf.DUMMYFUNCTION("""COMPUTED_VALUE"""),0.0)</f>
        <v>0</v>
      </c>
      <c r="G3009" s="148">
        <f>IFERROR(__xludf.DUMMYFUNCTION("""COMPUTED_VALUE"""),1.51104279E8)</f>
        <v>151104279</v>
      </c>
      <c r="H3009" s="148">
        <f>IFERROR(__xludf.DUMMYFUNCTION("""COMPUTED_VALUE"""),1.5112564E7)</f>
        <v>15112564</v>
      </c>
      <c r="I3009" s="148" t="str">
        <f>IFERROR(__xludf.DUMMYFUNCTION("""COMPUTED_VALUE"""),"{}")</f>
        <v>{}</v>
      </c>
      <c r="J3009" s="148" t="str">
        <f>IFERROR(__xludf.DUMMYFUNCTION("""COMPUTED_VALUE"""),"{""typ"":""lc"",""txt"":""LC_ITEM_2026vd_avatar_name_1""}")</f>
        <v>{"typ":"lc","txt":"LC_ITEM_2026vd_avatar_name_1"}</v>
      </c>
      <c r="K3009" s="148" t="str">
        <f>IFERROR(__xludf.DUMMYFUNCTION("""COMPUTED_VALUE"""),"{""typ"":""lc"",""txt"":""LC_ITEM_2026vd_avatar_name_desc_1""}")</f>
        <v>{"typ":"lc","txt":"LC_ITEM_2026vd_avatar_name_desc_1"}</v>
      </c>
      <c r="L3009" s="148" t="str">
        <f>IFERROR(__xludf.DUMMYFUNCTION("""COMPUTED_VALUE"""),"{}")</f>
        <v>{}</v>
      </c>
      <c r="M3009" s="148">
        <f>IFERROR(__xludf.DUMMYFUNCTION("""COMPUTED_VALUE"""),2500.0)</f>
        <v>2500</v>
      </c>
      <c r="N3009" s="148">
        <f>IFERROR(__xludf.DUMMYFUNCTION("""COMPUTED_VALUE"""),99.0)</f>
        <v>99</v>
      </c>
      <c r="O3009" s="148">
        <f>IFERROR(__xludf.DUMMYFUNCTION("""COMPUTED_VALUE"""),1.0)</f>
        <v>1</v>
      </c>
      <c r="P3009" s="148">
        <f>IFERROR(__xludf.DUMMYFUNCTION("""COMPUTED_VALUE"""),1.0)</f>
        <v>1</v>
      </c>
      <c r="Q3009" s="148" t="str">
        <f>IFERROR(__xludf.DUMMYFUNCTION("""COMPUTED_VALUE"""),"[]")</f>
        <v>[]</v>
      </c>
      <c r="R3009" s="148" t="str">
        <f>IFERROR(__xludf.DUMMYFUNCTION("""COMPUTED_VALUE"""),"[""11421087""]")</f>
        <v>["11421087"]</v>
      </c>
      <c r="S3009" s="148" t="str">
        <f>IFERROR(__xludf.DUMMYFUNCTION("""COMPUTED_VALUE"""),"{""effect"":[{""typ"":""avatar_frame"",""id"":11421087,""val"":-1},{""typ"":""item"",""id"":11111031,""val"":2500}]}")</f>
        <v>{"effect":[{"typ":"avatar_frame","id":11421087,"val":-1},{"typ":"item","id":11111031,"val":2500}]}</v>
      </c>
      <c r="T3009" s="148">
        <f>IFERROR(__xludf.DUMMYFUNCTION("""COMPUTED_VALUE"""),-1.0)</f>
        <v>-1</v>
      </c>
      <c r="U3009" s="148">
        <f>IFERROR(__xludf.DUMMYFUNCTION("""COMPUTED_VALUE"""),1.0)</f>
        <v>1</v>
      </c>
      <c r="V3009" s="148" t="str">
        <f>IFERROR(__xludf.DUMMYFUNCTION("""COMPUTED_VALUE"""),"[]")</f>
        <v>[]</v>
      </c>
      <c r="W3009" s="148">
        <f>IFERROR(__xludf.DUMMYFUNCTION("""COMPUTED_VALUE"""),1.174E7)</f>
        <v>11740000</v>
      </c>
      <c r="X3009" s="148">
        <f>IFERROR(__xludf.DUMMYFUNCTION("""COMPUTED_VALUE"""),0.0)</f>
        <v>0</v>
      </c>
      <c r="Y3009" s="148">
        <f>IFERROR(__xludf.DUMMYFUNCTION("""COMPUTED_VALUE"""),0.0)</f>
        <v>0</v>
      </c>
      <c r="Z3009" s="148"/>
    </row>
    <row r="3010">
      <c r="A3010" s="148">
        <f>IFERROR(__xludf.DUMMYFUNCTION("""COMPUTED_VALUE"""),1.1119976E7)</f>
        <v>11119976</v>
      </c>
      <c r="B3010" s="148" t="str">
        <f>IFERROR(__xludf.DUMMYFUNCTION("""COMPUTED_VALUE"""),"2026情人节动态头像框-暮光血翼")</f>
        <v>2026情人节动态头像框-暮光血翼</v>
      </c>
      <c r="C3010" s="148"/>
      <c r="D3010" s="148" t="str">
        <f>IFERROR(__xludf.DUMMYFUNCTION("""COMPUTED_VALUE"""),"avatar_frame")</f>
        <v>avatar_frame</v>
      </c>
      <c r="E3010" s="148">
        <f>IFERROR(__xludf.DUMMYFUNCTION("""COMPUTED_VALUE"""),20.0)</f>
        <v>20</v>
      </c>
      <c r="F3010" s="148">
        <f>IFERROR(__xludf.DUMMYFUNCTION("""COMPUTED_VALUE"""),0.0)</f>
        <v>0</v>
      </c>
      <c r="G3010" s="148">
        <f>IFERROR(__xludf.DUMMYFUNCTION("""COMPUTED_VALUE"""),1.5110428E8)</f>
        <v>151104280</v>
      </c>
      <c r="H3010" s="148">
        <f>IFERROR(__xludf.DUMMYFUNCTION("""COMPUTED_VALUE"""),1.5112564E7)</f>
        <v>15112564</v>
      </c>
      <c r="I3010" s="148" t="str">
        <f>IFERROR(__xludf.DUMMYFUNCTION("""COMPUTED_VALUE"""),"{}")</f>
        <v>{}</v>
      </c>
      <c r="J3010" s="148" t="str">
        <f>IFERROR(__xludf.DUMMYFUNCTION("""COMPUTED_VALUE"""),"{""typ"":""lc"",""txt"":""LC_ITEM_2026vd_avatar_name_2""}")</f>
        <v>{"typ":"lc","txt":"LC_ITEM_2026vd_avatar_name_2"}</v>
      </c>
      <c r="K3010" s="148" t="str">
        <f>IFERROR(__xludf.DUMMYFUNCTION("""COMPUTED_VALUE"""),"{""typ"":""lc"",""txt"":""LC_ITEM_2026vd_avatar_name_desc_2""}")</f>
        <v>{"typ":"lc","txt":"LC_ITEM_2026vd_avatar_name_desc_2"}</v>
      </c>
      <c r="L3010" s="148" t="str">
        <f>IFERROR(__xludf.DUMMYFUNCTION("""COMPUTED_VALUE"""),"{}")</f>
        <v>{}</v>
      </c>
      <c r="M3010" s="148">
        <f>IFERROR(__xludf.DUMMYFUNCTION("""COMPUTED_VALUE"""),2500.0)</f>
        <v>2500</v>
      </c>
      <c r="N3010" s="148">
        <f>IFERROR(__xludf.DUMMYFUNCTION("""COMPUTED_VALUE"""),99.0)</f>
        <v>99</v>
      </c>
      <c r="O3010" s="148">
        <f>IFERROR(__xludf.DUMMYFUNCTION("""COMPUTED_VALUE"""),1.0)</f>
        <v>1</v>
      </c>
      <c r="P3010" s="148">
        <f>IFERROR(__xludf.DUMMYFUNCTION("""COMPUTED_VALUE"""),1.0)</f>
        <v>1</v>
      </c>
      <c r="Q3010" s="148" t="str">
        <f>IFERROR(__xludf.DUMMYFUNCTION("""COMPUTED_VALUE"""),"[]")</f>
        <v>[]</v>
      </c>
      <c r="R3010" s="148" t="str">
        <f>IFERROR(__xludf.DUMMYFUNCTION("""COMPUTED_VALUE"""),"[""11421088""]")</f>
        <v>["11421088"]</v>
      </c>
      <c r="S3010" s="148" t="str">
        <f>IFERROR(__xludf.DUMMYFUNCTION("""COMPUTED_VALUE"""),"{""effect"":[{""typ"":""avatar_frame"",""id"":11421088,""val"":-1},{""typ"":""item"",""id"":11111031,""val"":2500}]}")</f>
        <v>{"effect":[{"typ":"avatar_frame","id":11421088,"val":-1},{"typ":"item","id":11111031,"val":2500}]}</v>
      </c>
      <c r="T3010" s="148">
        <f>IFERROR(__xludf.DUMMYFUNCTION("""COMPUTED_VALUE"""),-1.0)</f>
        <v>-1</v>
      </c>
      <c r="U3010" s="148">
        <f>IFERROR(__xludf.DUMMYFUNCTION("""COMPUTED_VALUE"""),1.0)</f>
        <v>1</v>
      </c>
      <c r="V3010" s="148" t="str">
        <f>IFERROR(__xludf.DUMMYFUNCTION("""COMPUTED_VALUE"""),"[]")</f>
        <v>[]</v>
      </c>
      <c r="W3010" s="148">
        <f>IFERROR(__xludf.DUMMYFUNCTION("""COMPUTED_VALUE"""),1.174E7)</f>
        <v>11740000</v>
      </c>
      <c r="X3010" s="148">
        <f>IFERROR(__xludf.DUMMYFUNCTION("""COMPUTED_VALUE"""),0.0)</f>
        <v>0</v>
      </c>
      <c r="Y3010" s="148">
        <f>IFERROR(__xludf.DUMMYFUNCTION("""COMPUTED_VALUE"""),0.0)</f>
        <v>0</v>
      </c>
      <c r="Z3010" s="148"/>
    </row>
    <row r="3011">
      <c r="A3011" s="148">
        <f>IFERROR(__xludf.DUMMYFUNCTION("""COMPUTED_VALUE"""),1.1119977E7)</f>
        <v>11119977</v>
      </c>
      <c r="B3011" s="148" t="str">
        <f>IFERROR(__xludf.DUMMYFUNCTION("""COMPUTED_VALUE"""),"2026情人节自选宝箱")</f>
        <v>2026情人节自选宝箱</v>
      </c>
      <c r="C3011" s="148"/>
      <c r="D3011" s="148" t="str">
        <f>IFERROR(__xludf.DUMMYFUNCTION("""COMPUTED_VALUE"""),"item_select_box")</f>
        <v>item_select_box</v>
      </c>
      <c r="E3011" s="148">
        <f>IFERROR(__xludf.DUMMYFUNCTION("""COMPUTED_VALUE"""),19.0)</f>
        <v>19</v>
      </c>
      <c r="F3011" s="148">
        <f>IFERROR(__xludf.DUMMYFUNCTION("""COMPUTED_VALUE"""),0.0)</f>
        <v>0</v>
      </c>
      <c r="G3011" s="148">
        <f>IFERROR(__xludf.DUMMYFUNCTION("""COMPUTED_VALUE"""),1.51104606E8)</f>
        <v>151104606</v>
      </c>
      <c r="H3011" s="148">
        <f>IFERROR(__xludf.DUMMYFUNCTION("""COMPUTED_VALUE"""),1.5112564E7)</f>
        <v>15112564</v>
      </c>
      <c r="I3011" s="148" t="str">
        <f>IFERROR(__xludf.DUMMYFUNCTION("""COMPUTED_VALUE"""),"{}")</f>
        <v>{}</v>
      </c>
      <c r="J3011" s="148" t="str">
        <f>IFERROR(__xludf.DUMMYFUNCTION("""COMPUTED_VALUE"""),"{""typ"":""lc"",""txt"":""LC_ITEM_actv_2026vd_cbox_name""}")</f>
        <v>{"typ":"lc","txt":"LC_ITEM_actv_2026vd_cbox_name"}</v>
      </c>
      <c r="K3011" s="148" t="str">
        <f>IFERROR(__xludf.DUMMYFUNCTION("""COMPUTED_VALUE"""),"{""typ"":""lc"",""txt"":""LC_ITEM_actv_2026vd_cbox_desc""}")</f>
        <v>{"typ":"lc","txt":"LC_ITEM_actv_2026vd_cbox_desc"}</v>
      </c>
      <c r="L3011" s="148" t="str">
        <f>IFERROR(__xludf.DUMMYFUNCTION("""COMPUTED_VALUE"""),"{}")</f>
        <v>{}</v>
      </c>
      <c r="M3011" s="148">
        <f>IFERROR(__xludf.DUMMYFUNCTION("""COMPUTED_VALUE"""),125.0)</f>
        <v>125</v>
      </c>
      <c r="N3011" s="148">
        <f>IFERROR(__xludf.DUMMYFUNCTION("""COMPUTED_VALUE"""),999999.0)</f>
        <v>999999</v>
      </c>
      <c r="O3011" s="148">
        <f>IFERROR(__xludf.DUMMYFUNCTION("""COMPUTED_VALUE"""),99999.0)</f>
        <v>99999</v>
      </c>
      <c r="P3011" s="148">
        <f>IFERROR(__xludf.DUMMYFUNCTION("""COMPUTED_VALUE"""),9999.0)</f>
        <v>9999</v>
      </c>
      <c r="Q3011" s="148" t="str">
        <f>IFERROR(__xludf.DUMMYFUNCTION("""COMPUTED_VALUE"""),"[""bag_other""]")</f>
        <v>["bag_other"]</v>
      </c>
      <c r="R3011" s="148" t="str">
        <f>IFERROR(__xludf.DUMMYFUNCTION("""COMPUTED_VALUE"""),"[""bag""]")</f>
        <v>["bag"]</v>
      </c>
      <c r="S3011" s="148" t="str">
        <f>IFERROR(__xludf.DUMMYFUNCTION("""COMPUTED_VALUE"""),"{""select_box"":[{""typ"":""item"",""id"":11112498,""val"":2},{""typ"":""item"",""id"":11112900,""val"":5},{""typ"":""item"",""id"":11119904,""val"":5},{""typ"":""item"",""id"":11112445,""val"":4},{""typ"":""item"",""id"":11112408,""val"":10}]}")</f>
        <v>{"select_box":[{"typ":"item","id":11112498,"val":2},{"typ":"item","id":11112900,"val":5},{"typ":"item","id":11119904,"val":5},{"typ":"item","id":11112445,"val":4},{"typ":"item","id":11112408,"val":10}]}</v>
      </c>
      <c r="T3011" s="148">
        <f>IFERROR(__xludf.DUMMYFUNCTION("""COMPUTED_VALUE"""),-1.0)</f>
        <v>-1</v>
      </c>
      <c r="U3011" s="148">
        <f>IFERROR(__xludf.DUMMYFUNCTION("""COMPUTED_VALUE"""),0.0)</f>
        <v>0</v>
      </c>
      <c r="V3011" s="148" t="str">
        <f>IFERROR(__xludf.DUMMYFUNCTION("""COMPUTED_VALUE"""),"[]")</f>
        <v>[]</v>
      </c>
      <c r="W3011" s="148">
        <f>IFERROR(__xludf.DUMMYFUNCTION("""COMPUTED_VALUE"""),1.174E7)</f>
        <v>11740000</v>
      </c>
      <c r="X3011" s="148">
        <f>IFERROR(__xludf.DUMMYFUNCTION("""COMPUTED_VALUE"""),0.0)</f>
        <v>0</v>
      </c>
      <c r="Y3011" s="148">
        <f>IFERROR(__xludf.DUMMYFUNCTION("""COMPUTED_VALUE"""),0.0)</f>
        <v>0</v>
      </c>
      <c r="Z3011" s="148"/>
    </row>
    <row r="3012">
      <c r="A3012" s="148">
        <f>IFERROR(__xludf.DUMMYFUNCTION("""COMPUTED_VALUE"""),1.1119978E7)</f>
        <v>11119978</v>
      </c>
      <c r="B3012" s="148" t="str">
        <f>IFERROR(__xludf.DUMMYFUNCTION("""COMPUTED_VALUE"""),"2026情人节随机宝箱")</f>
        <v>2026情人节随机宝箱</v>
      </c>
      <c r="C3012" s="148"/>
      <c r="D3012" s="148" t="str">
        <f>IFERROR(__xludf.DUMMYFUNCTION("""COMPUTED_VALUE"""),"item_asset")</f>
        <v>item_asset</v>
      </c>
      <c r="E3012" s="148">
        <f>IFERROR(__xludf.DUMMYFUNCTION("""COMPUTED_VALUE"""),19.0)</f>
        <v>19</v>
      </c>
      <c r="F3012" s="148">
        <f>IFERROR(__xludf.DUMMYFUNCTION("""COMPUTED_VALUE"""),0.0)</f>
        <v>0</v>
      </c>
      <c r="G3012" s="148">
        <f>IFERROR(__xludf.DUMMYFUNCTION("""COMPUTED_VALUE"""),1.51104607E8)</f>
        <v>151104607</v>
      </c>
      <c r="H3012" s="148">
        <f>IFERROR(__xludf.DUMMYFUNCTION("""COMPUTED_VALUE"""),1.5112564E7)</f>
        <v>15112564</v>
      </c>
      <c r="I3012" s="148" t="str">
        <f>IFERROR(__xludf.DUMMYFUNCTION("""COMPUTED_VALUE"""),"{}")</f>
        <v>{}</v>
      </c>
      <c r="J3012" s="148" t="str">
        <f>IFERROR(__xludf.DUMMYFUNCTION("""COMPUTED_VALUE"""),"{""typ"":""lc"",""txt"":""LC_ITEM_actv_2026vd_rbox_name""}")</f>
        <v>{"typ":"lc","txt":"LC_ITEM_actv_2026vd_rbox_name"}</v>
      </c>
      <c r="K3012" s="148" t="str">
        <f>IFERROR(__xludf.DUMMYFUNCTION("""COMPUTED_VALUE"""),"{""typ"":""lc"",""txt"":""LC_ITEM_actv_2026vd_rbox_desc""}")</f>
        <v>{"typ":"lc","txt":"LC_ITEM_actv_2026vd_rbox_desc"}</v>
      </c>
      <c r="L3012" s="148" t="str">
        <f>IFERROR(__xludf.DUMMYFUNCTION("""COMPUTED_VALUE"""),"{}")</f>
        <v>{}</v>
      </c>
      <c r="M3012" s="148">
        <f>IFERROR(__xludf.DUMMYFUNCTION("""COMPUTED_VALUE"""),125.0)</f>
        <v>125</v>
      </c>
      <c r="N3012" s="148">
        <f>IFERROR(__xludf.DUMMYFUNCTION("""COMPUTED_VALUE"""),999999.0)</f>
        <v>999999</v>
      </c>
      <c r="O3012" s="148">
        <f>IFERROR(__xludf.DUMMYFUNCTION("""COMPUTED_VALUE"""),99999.0)</f>
        <v>99999</v>
      </c>
      <c r="P3012" s="148">
        <f>IFERROR(__xludf.DUMMYFUNCTION("""COMPUTED_VALUE"""),9999.0)</f>
        <v>9999</v>
      </c>
      <c r="Q3012" s="148" t="str">
        <f>IFERROR(__xludf.DUMMYFUNCTION("""COMPUTED_VALUE"""),"[""bag_other""]")</f>
        <v>["bag_other"]</v>
      </c>
      <c r="R3012" s="148" t="str">
        <f>IFERROR(__xludf.DUMMYFUNCTION("""COMPUTED_VALUE"""),"[""bag""]")</f>
        <v>["bag"]</v>
      </c>
      <c r="S3012" s="148" t="str">
        <f>IFERROR(__xludf.DUMMYFUNCTION("""COMPUTED_VALUE"""),"{""drop"":{""typ"":""single_random"",""num"":1,""args"":[{""typ"":""item"",""id"":11112408,""num"":2,""wgt"":20},{""typ"":""item"",""id"":11116304,""num"":1,""wgt"":5},{""typ"":""item"",""id"":11116110,""num"":1,""wgt"":20},{""typ"":""item"",""id"":111143"&amp;"30,""num"":1,""wgt"":100},{""typ"":""item"",""id"":11111155,""num"":2,""wgt"":100},{""typ"":""item"",""id"":11111105,""num"":1,""wgt"":50}]}}")</f>
        <v>{"drop":{"typ":"single_random","num":1,"args":[{"typ":"item","id":11112408,"num":2,"wgt":20},{"typ":"item","id":11116304,"num":1,"wgt":5},{"typ":"item","id":11116110,"num":1,"wgt":20},{"typ":"item","id":11114330,"num":1,"wgt":100},{"typ":"item","id":11111155,"num":2,"wgt":100},{"typ":"item","id":11111105,"num":1,"wgt":50}]}}</v>
      </c>
      <c r="T3012" s="148">
        <f>IFERROR(__xludf.DUMMYFUNCTION("""COMPUTED_VALUE"""),-1.0)</f>
        <v>-1</v>
      </c>
      <c r="U3012" s="148">
        <f>IFERROR(__xludf.DUMMYFUNCTION("""COMPUTED_VALUE"""),0.0)</f>
        <v>0</v>
      </c>
      <c r="V3012" s="148" t="str">
        <f>IFERROR(__xludf.DUMMYFUNCTION("""COMPUTED_VALUE"""),"[]")</f>
        <v>[]</v>
      </c>
      <c r="W3012" s="148">
        <f>IFERROR(__xludf.DUMMYFUNCTION("""COMPUTED_VALUE"""),1.174E7)</f>
        <v>11740000</v>
      </c>
      <c r="X3012" s="148">
        <f>IFERROR(__xludf.DUMMYFUNCTION("""COMPUTED_VALUE"""),0.0)</f>
        <v>0</v>
      </c>
      <c r="Y3012" s="148">
        <f>IFERROR(__xludf.DUMMYFUNCTION("""COMPUTED_VALUE"""),0.0)</f>
        <v>0</v>
      </c>
      <c r="Z3012" s="148"/>
    </row>
    <row r="3013">
      <c r="A3013" s="148">
        <f>IFERROR(__xludf.DUMMYFUNCTION("""COMPUTED_VALUE"""),1.1119979E7)</f>
        <v>11119979</v>
      </c>
      <c r="B3013" s="148" t="str">
        <f>IFERROR(__xludf.DUMMYFUNCTION("""COMPUTED_VALUE"""),"2025情人节-装饰券宝箱-本体")</f>
        <v>2025情人节-装饰券宝箱-本体</v>
      </c>
      <c r="C3013" s="148"/>
      <c r="D3013" s="148" t="str">
        <f>IFERROR(__xludf.DUMMYFUNCTION("""COMPUTED_VALUE"""),"valentine_reward_box")</f>
        <v>valentine_reward_box</v>
      </c>
      <c r="E3013" s="148">
        <f>IFERROR(__xludf.DUMMYFUNCTION("""COMPUTED_VALUE"""),19.0)</f>
        <v>19</v>
      </c>
      <c r="F3013" s="148">
        <f>IFERROR(__xludf.DUMMYFUNCTION("""COMPUTED_VALUE"""),201101.0)</f>
        <v>201101</v>
      </c>
      <c r="G3013" s="148">
        <f>IFERROR(__xludf.DUMMYFUNCTION("""COMPUTED_VALUE"""),1.5118225E7)</f>
        <v>15118225</v>
      </c>
      <c r="H3013" s="148">
        <f>IFERROR(__xludf.DUMMYFUNCTION("""COMPUTED_VALUE"""),1.5112564E7)</f>
        <v>15112564</v>
      </c>
      <c r="I3013" s="148" t="str">
        <f>IFERROR(__xludf.DUMMYFUNCTION("""COMPUTED_VALUE"""),"{}")</f>
        <v>{}</v>
      </c>
      <c r="J3013" s="148" t="str">
        <f>IFERROR(__xludf.DUMMYFUNCTION("""COMPUTED_VALUE"""),"{""typ"":""lc"",""txt"":""LC_ITEM_fes_box_name""}")</f>
        <v>{"typ":"lc","txt":"LC_ITEM_fes_box_name"}</v>
      </c>
      <c r="K3013" s="148" t="str">
        <f>IFERROR(__xludf.DUMMYFUNCTION("""COMPUTED_VALUE"""),"{""typ"":""lc"",""txt"":""LC_ITEM_fes_box_desc""}")</f>
        <v>{"typ":"lc","txt":"LC_ITEM_fes_box_desc"}</v>
      </c>
      <c r="L3013" s="148" t="str">
        <f>IFERROR(__xludf.DUMMYFUNCTION("""COMPUTED_VALUE"""),"{""typ"":""lc"",""txt"":""LC_ITEM_horde_elite_box_usedtip""}")</f>
        <v>{"typ":"lc","txt":"LC_ITEM_horde_elite_box_usedtip"}</v>
      </c>
      <c r="M3013" s="148">
        <f>IFERROR(__xludf.DUMMYFUNCTION("""COMPUTED_VALUE"""),40.0)</f>
        <v>40</v>
      </c>
      <c r="N3013" s="148">
        <f>IFERROR(__xludf.DUMMYFUNCTION("""COMPUTED_VALUE"""),999999.0)</f>
        <v>999999</v>
      </c>
      <c r="O3013" s="148">
        <f>IFERROR(__xludf.DUMMYFUNCTION("""COMPUTED_VALUE"""),99999.0)</f>
        <v>99999</v>
      </c>
      <c r="P3013" s="148">
        <f>IFERROR(__xludf.DUMMYFUNCTION("""COMPUTED_VALUE"""),99999.0)</f>
        <v>99999</v>
      </c>
      <c r="Q3013" s="148" t="str">
        <f>IFERROR(__xludf.DUMMYFUNCTION("""COMPUTED_VALUE"""),"[""bag_other""]")</f>
        <v>["bag_other"]</v>
      </c>
      <c r="R3013" s="148" t="str">
        <f>IFERROR(__xludf.DUMMYFUNCTION("""COMPUTED_VALUE"""),"[""bag""]")</f>
        <v>["bag"]</v>
      </c>
      <c r="S3013" s="148" t="str">
        <f>IFERROR(__xludf.DUMMYFUNCTION("""COMPUTED_VALUE"""),"{""drop"":{""typ"":""single_random"",""num"":1,""args"":[{""typ"":""item"",""id"":11112030,""num"":1000,""wgt"":19800},{""typ"":""item"",""id"":11112030,""num"":200,""wgt"":120000},{""typ"":""item"",""id"":11112030,""num"":50,""wgt"":200000},{""typ"":""it"&amp;"em"",""id"":11112917,""num"":1,""wgt"":100},{""typ"":""item"",""id"":11112439,""num"":1,""wgt"":100},{""typ"":""item"",""id"":11112030,""num"":20,""wgt"":400000},{""typ"":""item"",""id"":11112030,""num"":100,""wgt"":200000},{""typ"":""item"",""id"":111120"&amp;"30,""num"":400,""wgt"":60000}]}}")</f>
        <v>{"drop":{"typ":"single_random","num":1,"args":[{"typ":"item","id":11112030,"num":1000,"wgt":19800},{"typ":"item","id":11112030,"num":200,"wgt":120000},{"typ":"item","id":11112030,"num":50,"wgt":200000},{"typ":"item","id":11112917,"num":1,"wgt":100},{"typ":"item","id":11112439,"num":1,"wgt":100},{"typ":"item","id":11112030,"num":20,"wgt":400000},{"typ":"item","id":11112030,"num":100,"wgt":200000},{"typ":"item","id":11112030,"num":400,"wgt":60000}]}}</v>
      </c>
      <c r="T3013" s="148">
        <f>IFERROR(__xludf.DUMMYFUNCTION("""COMPUTED_VALUE"""),-1.0)</f>
        <v>-1</v>
      </c>
      <c r="U3013" s="148">
        <f>IFERROR(__xludf.DUMMYFUNCTION("""COMPUTED_VALUE"""),0.0)</f>
        <v>0</v>
      </c>
      <c r="V3013" s="148" t="str">
        <f>IFERROR(__xludf.DUMMYFUNCTION("""COMPUTED_VALUE"""),"[]")</f>
        <v>[]</v>
      </c>
      <c r="W3013" s="148">
        <f>IFERROR(__xludf.DUMMYFUNCTION("""COMPUTED_VALUE"""),1.174E7)</f>
        <v>11740000</v>
      </c>
      <c r="X3013" s="148">
        <f>IFERROR(__xludf.DUMMYFUNCTION("""COMPUTED_VALUE"""),0.0)</f>
        <v>0</v>
      </c>
      <c r="Y3013" s="148">
        <f>IFERROR(__xludf.DUMMYFUNCTION("""COMPUTED_VALUE"""),0.0)</f>
        <v>0</v>
      </c>
      <c r="Z3013" s="148"/>
    </row>
    <row r="3014">
      <c r="A3014" s="148">
        <f>IFERROR(__xludf.DUMMYFUNCTION("""COMPUTED_VALUE"""),1.111998E7)</f>
        <v>11119980</v>
      </c>
      <c r="B3014" s="148" t="str">
        <f>IFERROR(__xludf.DUMMYFUNCTION("""COMPUTED_VALUE"""),"2026复活节-巨猿金蛋升级石")</f>
        <v>2026复活节-巨猿金蛋升级石</v>
      </c>
      <c r="C3014" s="148"/>
      <c r="D3014" s="148" t="str">
        <f>IFERROR(__xludf.DUMMYFUNCTION("""COMPUTED_VALUE"""),"item_asset")</f>
        <v>item_asset</v>
      </c>
      <c r="E3014" s="148">
        <f>IFERROR(__xludf.DUMMYFUNCTION("""COMPUTED_VALUE"""),0.0)</f>
        <v>0</v>
      </c>
      <c r="F3014" s="148">
        <f>IFERROR(__xludf.DUMMYFUNCTION("""COMPUTED_VALUE"""),405224.0)</f>
        <v>405224</v>
      </c>
      <c r="G3014" s="148">
        <f>IFERROR(__xludf.DUMMYFUNCTION("""COMPUTED_VALUE"""),1.51104719E8)</f>
        <v>151104719</v>
      </c>
      <c r="H3014" s="148">
        <f>IFERROR(__xludf.DUMMYFUNCTION("""COMPUTED_VALUE"""),1.5112564E7)</f>
        <v>15112564</v>
      </c>
      <c r="I3014" s="148" t="str">
        <f>IFERROR(__xludf.DUMMYFUNCTION("""COMPUTED_VALUE"""),"{}")</f>
        <v>{}</v>
      </c>
      <c r="J3014" s="148" t="str">
        <f>IFERROR(__xludf.DUMMYFUNCTION("""COMPUTED_VALUE"""),"{""typ"":""lc"",""txt"":""LC_ITEM_wonder_item_2026_egg""}")</f>
        <v>{"typ":"lc","txt":"LC_ITEM_wonder_item_2026_egg"}</v>
      </c>
      <c r="K3014" s="148" t="str">
        <f>IFERROR(__xludf.DUMMYFUNCTION("""COMPUTED_VALUE"""),"{""typ"":""lc"",""txt"":""LC_ITEM_wonder_item_2026_egg_desc""}")</f>
        <v>{"typ":"lc","txt":"LC_ITEM_wonder_item_2026_egg_desc"}</v>
      </c>
      <c r="L3014" s="148" t="str">
        <f>IFERROR(__xludf.DUMMYFUNCTION("""COMPUTED_VALUE"""),"{}")</f>
        <v>{}</v>
      </c>
      <c r="M3014" s="148">
        <f>IFERROR(__xludf.DUMMYFUNCTION("""COMPUTED_VALUE"""),35.0)</f>
        <v>35</v>
      </c>
      <c r="N3014" s="148">
        <f>IFERROR(__xludf.DUMMYFUNCTION("""COMPUTED_VALUE"""),999999.0)</f>
        <v>999999</v>
      </c>
      <c r="O3014" s="148">
        <f>IFERROR(__xludf.DUMMYFUNCTION("""COMPUTED_VALUE"""),99999.0)</f>
        <v>99999</v>
      </c>
      <c r="P3014" s="148">
        <f>IFERROR(__xludf.DUMMYFUNCTION("""COMPUTED_VALUE"""),99999.0)</f>
        <v>99999</v>
      </c>
      <c r="Q3014" s="148" t="str">
        <f>IFERROR(__xludf.DUMMYFUNCTION("""COMPUTED_VALUE"""),"[]")</f>
        <v>[]</v>
      </c>
      <c r="R3014" s="148" t="str">
        <f>IFERROR(__xludf.DUMMYFUNCTION("""COMPUTED_VALUE"""),"[]")</f>
        <v>[]</v>
      </c>
      <c r="S3014" s="148" t="str">
        <f>IFERROR(__xludf.DUMMYFUNCTION("""COMPUTED_VALUE"""),"{}")</f>
        <v>{}</v>
      </c>
      <c r="T3014" s="148">
        <f>IFERROR(__xludf.DUMMYFUNCTION("""COMPUTED_VALUE"""),-1.0)</f>
        <v>-1</v>
      </c>
      <c r="U3014" s="148">
        <f>IFERROR(__xludf.DUMMYFUNCTION("""COMPUTED_VALUE"""),0.0)</f>
        <v>0</v>
      </c>
      <c r="V3014" s="148" t="str">
        <f>IFERROR(__xludf.DUMMYFUNCTION("""COMPUTED_VALUE"""),"[]")</f>
        <v>[]</v>
      </c>
      <c r="W3014" s="148">
        <f>IFERROR(__xludf.DUMMYFUNCTION("""COMPUTED_VALUE"""),1.174E7)</f>
        <v>11740000</v>
      </c>
      <c r="X3014" s="148">
        <f>IFERROR(__xludf.DUMMYFUNCTION("""COMPUTED_VALUE"""),0.0)</f>
        <v>0</v>
      </c>
      <c r="Y3014" s="148">
        <f>IFERROR(__xludf.DUMMYFUNCTION("""COMPUTED_VALUE"""),0.0)</f>
        <v>0</v>
      </c>
      <c r="Z3014" s="148"/>
    </row>
    <row r="3015">
      <c r="A3015" s="148">
        <f>IFERROR(__xludf.DUMMYFUNCTION("""COMPUTED_VALUE"""),1.1119981E7)</f>
        <v>11119981</v>
      </c>
      <c r="B3015" s="148" t="str">
        <f>IFERROR(__xludf.DUMMYFUNCTION("""COMPUTED_VALUE"""),"2026情人节动态头像框-玫瑰心锁")</f>
        <v>2026情人节动态头像框-玫瑰心锁</v>
      </c>
      <c r="C3015" s="148"/>
      <c r="D3015" s="148" t="str">
        <f>IFERROR(__xludf.DUMMYFUNCTION("""COMPUTED_VALUE"""),"avatar_frame")</f>
        <v>avatar_frame</v>
      </c>
      <c r="E3015" s="148">
        <f>IFERROR(__xludf.DUMMYFUNCTION("""COMPUTED_VALUE"""),20.0)</f>
        <v>20</v>
      </c>
      <c r="F3015" s="148">
        <f>IFERROR(__xludf.DUMMYFUNCTION("""COMPUTED_VALUE"""),0.0)</f>
        <v>0</v>
      </c>
      <c r="G3015" s="148">
        <f>IFERROR(__xludf.DUMMYFUNCTION("""COMPUTED_VALUE"""),1.51104329E8)</f>
        <v>151104329</v>
      </c>
      <c r="H3015" s="148">
        <f>IFERROR(__xludf.DUMMYFUNCTION("""COMPUTED_VALUE"""),1.5112564E7)</f>
        <v>15112564</v>
      </c>
      <c r="I3015" s="148" t="str">
        <f>IFERROR(__xludf.DUMMYFUNCTION("""COMPUTED_VALUE"""),"{}")</f>
        <v>{}</v>
      </c>
      <c r="J3015" s="148" t="str">
        <f>IFERROR(__xludf.DUMMYFUNCTION("""COMPUTED_VALUE"""),"{""typ"":""lc"",""txt"":""LC_ITEM_2026vd_avatar_name_3""}")</f>
        <v>{"typ":"lc","txt":"LC_ITEM_2026vd_avatar_name_3"}</v>
      </c>
      <c r="K3015" s="148" t="str">
        <f>IFERROR(__xludf.DUMMYFUNCTION("""COMPUTED_VALUE"""),"{""typ"":""lc"",""txt"":""LC_ITEM_2026vd_avatar_name_desc_3""}")</f>
        <v>{"typ":"lc","txt":"LC_ITEM_2026vd_avatar_name_desc_3"}</v>
      </c>
      <c r="L3015" s="148" t="str">
        <f>IFERROR(__xludf.DUMMYFUNCTION("""COMPUTED_VALUE"""),"{}")</f>
        <v>{}</v>
      </c>
      <c r="M3015" s="148">
        <f>IFERROR(__xludf.DUMMYFUNCTION("""COMPUTED_VALUE"""),2500.0)</f>
        <v>2500</v>
      </c>
      <c r="N3015" s="148">
        <f>IFERROR(__xludf.DUMMYFUNCTION("""COMPUTED_VALUE"""),99.0)</f>
        <v>99</v>
      </c>
      <c r="O3015" s="148">
        <f>IFERROR(__xludf.DUMMYFUNCTION("""COMPUTED_VALUE"""),1.0)</f>
        <v>1</v>
      </c>
      <c r="P3015" s="148">
        <f>IFERROR(__xludf.DUMMYFUNCTION("""COMPUTED_VALUE"""),1.0)</f>
        <v>1</v>
      </c>
      <c r="Q3015" s="148" t="str">
        <f>IFERROR(__xludf.DUMMYFUNCTION("""COMPUTED_VALUE"""),"[]")</f>
        <v>[]</v>
      </c>
      <c r="R3015" s="148" t="str">
        <f>IFERROR(__xludf.DUMMYFUNCTION("""COMPUTED_VALUE"""),"[""11421089""]")</f>
        <v>["11421089"]</v>
      </c>
      <c r="S3015" s="148" t="str">
        <f>IFERROR(__xludf.DUMMYFUNCTION("""COMPUTED_VALUE"""),"{""effect"":[{""typ"":""avatar_frame"",""id"":11421089,""val"":-1},{""typ"":""item"",""id"":11111031,""val"":2500}]}")</f>
        <v>{"effect":[{"typ":"avatar_frame","id":11421089,"val":-1},{"typ":"item","id":11111031,"val":2500}]}</v>
      </c>
      <c r="T3015" s="148">
        <f>IFERROR(__xludf.DUMMYFUNCTION("""COMPUTED_VALUE"""),-1.0)</f>
        <v>-1</v>
      </c>
      <c r="U3015" s="148">
        <f>IFERROR(__xludf.DUMMYFUNCTION("""COMPUTED_VALUE"""),1.0)</f>
        <v>1</v>
      </c>
      <c r="V3015" s="148" t="str">
        <f>IFERROR(__xludf.DUMMYFUNCTION("""COMPUTED_VALUE"""),"[]")</f>
        <v>[]</v>
      </c>
      <c r="W3015" s="148">
        <f>IFERROR(__xludf.DUMMYFUNCTION("""COMPUTED_VALUE"""),1.174E7)</f>
        <v>11740000</v>
      </c>
      <c r="X3015" s="148">
        <f>IFERROR(__xludf.DUMMYFUNCTION("""COMPUTED_VALUE"""),0.0)</f>
        <v>0</v>
      </c>
      <c r="Y3015" s="148">
        <f>IFERROR(__xludf.DUMMYFUNCTION("""COMPUTED_VALUE"""),0.0)</f>
        <v>0</v>
      </c>
      <c r="Z3015" s="148"/>
    </row>
    <row r="3016">
      <c r="A3016" s="148">
        <f>IFERROR(__xludf.DUMMYFUNCTION("""COMPUTED_VALUE"""),1.1119982E7)</f>
        <v>11119982</v>
      </c>
      <c r="B3016" s="148" t="str">
        <f>IFERROR(__xludf.DUMMYFUNCTION("""COMPUTED_VALUE"""),"铭牌-情人节2026铭牌-真爱羽翼")</f>
        <v>铭牌-情人节2026铭牌-真爱羽翼</v>
      </c>
      <c r="C3016" s="148"/>
      <c r="D3016" s="148" t="str">
        <f>IFERROR(__xludf.DUMMYFUNCTION("""COMPUTED_VALUE"""),"chat_skin")</f>
        <v>chat_skin</v>
      </c>
      <c r="E3016" s="148">
        <f>IFERROR(__xludf.DUMMYFUNCTION("""COMPUTED_VALUE"""),30.0)</f>
        <v>30</v>
      </c>
      <c r="F3016" s="148">
        <f>IFERROR(__xludf.DUMMYFUNCTION("""COMPUTED_VALUE"""),401107.0)</f>
        <v>401107</v>
      </c>
      <c r="G3016" s="148">
        <f>IFERROR(__xludf.DUMMYFUNCTION("""COMPUTED_VALUE"""),1.51104301E8)</f>
        <v>151104301</v>
      </c>
      <c r="H3016" s="148">
        <f>IFERROR(__xludf.DUMMYFUNCTION("""COMPUTED_VALUE"""),1.5112564E7)</f>
        <v>15112564</v>
      </c>
      <c r="I3016" s="148" t="str">
        <f>IFERROR(__xludf.DUMMYFUNCTION("""COMPUTED_VALUE"""),"{}")</f>
        <v>{}</v>
      </c>
      <c r="J3016" s="148" t="str">
        <f>IFERROR(__xludf.DUMMYFUNCTION("""COMPUTED_VALUE"""),"{""typ"":""lc"",""txt"":""LC_ITEM_valentine26_nameplate_name""}")</f>
        <v>{"typ":"lc","txt":"LC_ITEM_valentine26_nameplate_name"}</v>
      </c>
      <c r="K3016" s="148" t="str">
        <f>IFERROR(__xludf.DUMMYFUNCTION("""COMPUTED_VALUE"""),"{""typ"":""lc"",""txt"":""LC_ITEM_valentine26_nameplate_desc_item""}")</f>
        <v>{"typ":"lc","txt":"LC_ITEM_valentine26_nameplate_desc_item"}</v>
      </c>
      <c r="L3016" s="148" t="str">
        <f>IFERROR(__xludf.DUMMYFUNCTION("""COMPUTED_VALUE"""),"{""typ"":""lc"",""txt"":""LC_ITEM_season_extra_reward_usedtip""}")</f>
        <v>{"typ":"lc","txt":"LC_ITEM_season_extra_reward_usedtip"}</v>
      </c>
      <c r="M3016" s="148">
        <f>IFERROR(__xludf.DUMMYFUNCTION("""COMPUTED_VALUE"""),2500.0)</f>
        <v>2500</v>
      </c>
      <c r="N3016" s="148">
        <f>IFERROR(__xludf.DUMMYFUNCTION("""COMPUTED_VALUE"""),9999999.0)</f>
        <v>9999999</v>
      </c>
      <c r="O3016" s="148">
        <f>IFERROR(__xludf.DUMMYFUNCTION("""COMPUTED_VALUE"""),1.0)</f>
        <v>1</v>
      </c>
      <c r="P3016" s="148">
        <f>IFERROR(__xludf.DUMMYFUNCTION("""COMPUTED_VALUE"""),1.0)</f>
        <v>1</v>
      </c>
      <c r="Q3016" s="148" t="str">
        <f>IFERROR(__xludf.DUMMYFUNCTION("""COMPUTED_VALUE"""),"[""bag_other""]")</f>
        <v>["bag_other"]</v>
      </c>
      <c r="R3016" s="148" t="str">
        <f>IFERROR(__xludf.DUMMYFUNCTION("""COMPUTED_VALUE"""),"[""11731047"",""bag""]")</f>
        <v>["11731047","bag"]</v>
      </c>
      <c r="S3016" s="148" t="str">
        <f>IFERROR(__xludf.DUMMYFUNCTION("""COMPUTED_VALUE"""),"{""effect"":[{""typ"":""nameplate"",""id"":11731047,""val"":-1}]}")</f>
        <v>{"effect":[{"typ":"nameplate","id":11731047,"val":-1}]}</v>
      </c>
      <c r="T3016" s="148">
        <f>IFERROR(__xludf.DUMMYFUNCTION("""COMPUTED_VALUE"""),-1.0)</f>
        <v>-1</v>
      </c>
      <c r="U3016" s="148">
        <f>IFERROR(__xludf.DUMMYFUNCTION("""COMPUTED_VALUE"""),0.0)</f>
        <v>0</v>
      </c>
      <c r="V3016" s="148" t="str">
        <f>IFERROR(__xludf.DUMMYFUNCTION("""COMPUTED_VALUE"""),"[]")</f>
        <v>[]</v>
      </c>
      <c r="W3016" s="148">
        <f>IFERROR(__xludf.DUMMYFUNCTION("""COMPUTED_VALUE"""),1.174E7)</f>
        <v>11740000</v>
      </c>
      <c r="X3016" s="148">
        <f>IFERROR(__xludf.DUMMYFUNCTION("""COMPUTED_VALUE"""),0.0)</f>
        <v>0</v>
      </c>
      <c r="Y3016" s="148">
        <f>IFERROR(__xludf.DUMMYFUNCTION("""COMPUTED_VALUE"""),0.0)</f>
        <v>0</v>
      </c>
      <c r="Z3016" s="148"/>
    </row>
    <row r="3017">
      <c r="A3017" s="148">
        <f>IFERROR(__xludf.DUMMYFUNCTION("""COMPUTED_VALUE"""),1.1119983E7)</f>
        <v>11119983</v>
      </c>
      <c r="B3017" s="148" t="str">
        <f>IFERROR(__xludf.DUMMYFUNCTION("""COMPUTED_VALUE"""),"2026情人节行军特效-惩戒流光-1天限时")</f>
        <v>2026情人节行军特效-惩戒流光-1天限时</v>
      </c>
      <c r="C3017" s="148"/>
      <c r="D3017" s="148" t="str">
        <f>IFERROR(__xludf.DUMMYFUNCTION("""COMPUTED_VALUE"""),"marching_effect")</f>
        <v>marching_effect</v>
      </c>
      <c r="E3017" s="148">
        <f>IFERROR(__xludf.DUMMYFUNCTION("""COMPUTED_VALUE"""),0.0)</f>
        <v>0</v>
      </c>
      <c r="F3017" s="148">
        <f>IFERROR(__xludf.DUMMYFUNCTION("""COMPUTED_VALUE"""),408200.0)</f>
        <v>408200</v>
      </c>
      <c r="G3017" s="148">
        <f>IFERROR(__xludf.DUMMYFUNCTION("""COMPUTED_VALUE"""),1.51104398E8)</f>
        <v>151104398</v>
      </c>
      <c r="H3017" s="148">
        <f>IFERROR(__xludf.DUMMYFUNCTION("""COMPUTED_VALUE"""),1.511256E7)</f>
        <v>15112560</v>
      </c>
      <c r="I3017" s="148" t="str">
        <f>IFERROR(__xludf.DUMMYFUNCTION("""COMPUTED_VALUE"""),"{""typ"":""lc"",""txt"":""LC_ITEM_time_day_upper_show"",""args"":[{""typ"":""int_unit"",""val"":1}]}")</f>
        <v>{"typ":"lc","txt":"LC_ITEM_time_day_upper_show","args":[{"typ":"int_unit","val":1}]}</v>
      </c>
      <c r="J3017" s="148" t="str">
        <f>IFERROR(__xludf.DUMMYFUNCTION("""COMPUTED_VALUE"""),"{""typ"":""lc"",""txt"":""LC_ITEM_vd_marcheffect_low_2026""}")</f>
        <v>{"typ":"lc","txt":"LC_ITEM_vd_marcheffect_low_2026"}</v>
      </c>
      <c r="K3017" s="148" t="str">
        <f>IFERROR(__xludf.DUMMYFUNCTION("""COMPUTED_VALUE"""),"{""typ"":""lc"",""txt"":""LC_ITEM_vd_marcheffect_low_2026_desc""}")</f>
        <v>{"typ":"lc","txt":"LC_ITEM_vd_marcheffect_low_2026_desc"}</v>
      </c>
      <c r="L3017" s="148" t="str">
        <f>IFERROR(__xludf.DUMMYFUNCTION("""COMPUTED_VALUE"""),"{""typ"":""lc"",""txt"":""LC_ITEM_march_effect_use_tip_all""}")</f>
        <v>{"typ":"lc","txt":"LC_ITEM_march_effect_use_tip_all"}</v>
      </c>
      <c r="M3017" s="148">
        <f>IFERROR(__xludf.DUMMYFUNCTION("""COMPUTED_VALUE"""),50.0)</f>
        <v>50</v>
      </c>
      <c r="N3017" s="148">
        <f>IFERROR(__xludf.DUMMYFUNCTION("""COMPUTED_VALUE"""),999999.0)</f>
        <v>999999</v>
      </c>
      <c r="O3017" s="148">
        <f>IFERROR(__xludf.DUMMYFUNCTION("""COMPUTED_VALUE"""),99999.0)</f>
        <v>99999</v>
      </c>
      <c r="P3017" s="148">
        <f>IFERROR(__xludf.DUMMYFUNCTION("""COMPUTED_VALUE"""),1.0)</f>
        <v>1</v>
      </c>
      <c r="Q3017" s="148" t="str">
        <f>IFERROR(__xludf.DUMMYFUNCTION("""COMPUTED_VALUE"""),"[""bag_other""]")</f>
        <v>["bag_other"]</v>
      </c>
      <c r="R3017" s="148" t="str">
        <f>IFERROR(__xludf.DUMMYFUNCTION("""COMPUTED_VALUE"""),"[""bag"",""13650153""]")</f>
        <v>["bag","13650153"]</v>
      </c>
      <c r="S3017" s="148" t="str">
        <f>IFERROR(__xludf.DUMMYFUNCTION("""COMPUTED_VALUE"""),"{""effect"":[{""typ"":""marching_effect"",""id"":13650153,""val"":86400000},{""typ"":""vm"",""id"":11151001,""val"":50}]}")</f>
        <v>{"effect":[{"typ":"marching_effect","id":13650153,"val":86400000},{"typ":"vm","id":11151001,"val":50}]}</v>
      </c>
      <c r="T3017" s="148">
        <f>IFERROR(__xludf.DUMMYFUNCTION("""COMPUTED_VALUE"""),-1.0)</f>
        <v>-1</v>
      </c>
      <c r="U3017" s="148">
        <f>IFERROR(__xludf.DUMMYFUNCTION("""COMPUTED_VALUE"""),0.0)</f>
        <v>0</v>
      </c>
      <c r="V3017" s="148" t="str">
        <f>IFERROR(__xludf.DUMMYFUNCTION("""COMPUTED_VALUE"""),"[]")</f>
        <v>[]</v>
      </c>
      <c r="W3017" s="148">
        <f>IFERROR(__xludf.DUMMYFUNCTION("""COMPUTED_VALUE"""),1.174E7)</f>
        <v>11740000</v>
      </c>
      <c r="X3017" s="148">
        <f>IFERROR(__xludf.DUMMYFUNCTION("""COMPUTED_VALUE"""),0.0)</f>
        <v>0</v>
      </c>
      <c r="Y3017" s="148">
        <f>IFERROR(__xludf.DUMMYFUNCTION("""COMPUTED_VALUE"""),0.0)</f>
        <v>0</v>
      </c>
      <c r="Z3017" s="148"/>
    </row>
    <row r="3018">
      <c r="A3018" s="148">
        <f>IFERROR(__xludf.DUMMYFUNCTION("""COMPUTED_VALUE"""),1.1119984E7)</f>
        <v>11119984</v>
      </c>
      <c r="B3018" s="148" t="str">
        <f>IFERROR(__xludf.DUMMYFUNCTION("""COMPUTED_VALUE"""),"2026情人节行军特效-惩戒流光-3天限时")</f>
        <v>2026情人节行军特效-惩戒流光-3天限时</v>
      </c>
      <c r="C3018" s="148"/>
      <c r="D3018" s="148" t="str">
        <f>IFERROR(__xludf.DUMMYFUNCTION("""COMPUTED_VALUE"""),"marching_effect")</f>
        <v>marching_effect</v>
      </c>
      <c r="E3018" s="148">
        <f>IFERROR(__xludf.DUMMYFUNCTION("""COMPUTED_VALUE"""),0.0)</f>
        <v>0</v>
      </c>
      <c r="F3018" s="148">
        <f>IFERROR(__xludf.DUMMYFUNCTION("""COMPUTED_VALUE"""),408199.0)</f>
        <v>408199</v>
      </c>
      <c r="G3018" s="148">
        <f>IFERROR(__xludf.DUMMYFUNCTION("""COMPUTED_VALUE"""),1.51104398E8)</f>
        <v>151104398</v>
      </c>
      <c r="H3018" s="148">
        <f>IFERROR(__xludf.DUMMYFUNCTION("""COMPUTED_VALUE"""),1.5112561E7)</f>
        <v>15112561</v>
      </c>
      <c r="I3018" s="148" t="str">
        <f>IFERROR(__xludf.DUMMYFUNCTION("""COMPUTED_VALUE"""),"{""typ"":""lc"",""txt"":""LC_ITEM_time_day_upper_show"",""args"":[{""typ"":""int_unit"",""val"":3}]}")</f>
        <v>{"typ":"lc","txt":"LC_ITEM_time_day_upper_show","args":[{"typ":"int_unit","val":3}]}</v>
      </c>
      <c r="J3018" s="148" t="str">
        <f>IFERROR(__xludf.DUMMYFUNCTION("""COMPUTED_VALUE"""),"{""typ"":""lc"",""txt"":""LC_ITEM_vd_marcheffect_low_2026""}")</f>
        <v>{"typ":"lc","txt":"LC_ITEM_vd_marcheffect_low_2026"}</v>
      </c>
      <c r="K3018" s="148" t="str">
        <f>IFERROR(__xludf.DUMMYFUNCTION("""COMPUTED_VALUE"""),"{""typ"":""lc"",""txt"":""LC_ITEM_vd_marcheffect_low_2026_desc""}")</f>
        <v>{"typ":"lc","txt":"LC_ITEM_vd_marcheffect_low_2026_desc"}</v>
      </c>
      <c r="L3018" s="148" t="str">
        <f>IFERROR(__xludf.DUMMYFUNCTION("""COMPUTED_VALUE"""),"{""typ"":""lc"",""txt"":""LC_ITEM_march_effect_use_tip_all""}")</f>
        <v>{"typ":"lc","txt":"LC_ITEM_march_effect_use_tip_all"}</v>
      </c>
      <c r="M3018" s="148">
        <f>IFERROR(__xludf.DUMMYFUNCTION("""COMPUTED_VALUE"""),200.0)</f>
        <v>200</v>
      </c>
      <c r="N3018" s="148">
        <f>IFERROR(__xludf.DUMMYFUNCTION("""COMPUTED_VALUE"""),999999.0)</f>
        <v>999999</v>
      </c>
      <c r="O3018" s="148">
        <f>IFERROR(__xludf.DUMMYFUNCTION("""COMPUTED_VALUE"""),99999.0)</f>
        <v>99999</v>
      </c>
      <c r="P3018" s="148">
        <f>IFERROR(__xludf.DUMMYFUNCTION("""COMPUTED_VALUE"""),1.0)</f>
        <v>1</v>
      </c>
      <c r="Q3018" s="148" t="str">
        <f>IFERROR(__xludf.DUMMYFUNCTION("""COMPUTED_VALUE"""),"[""bag_other""]")</f>
        <v>["bag_other"]</v>
      </c>
      <c r="R3018" s="148" t="str">
        <f>IFERROR(__xludf.DUMMYFUNCTION("""COMPUTED_VALUE"""),"[""bag"",""13650153""]")</f>
        <v>["bag","13650153"]</v>
      </c>
      <c r="S3018" s="148" t="str">
        <f>IFERROR(__xludf.DUMMYFUNCTION("""COMPUTED_VALUE"""),"{""effect"":[{""typ"":""marching_effect"",""id"":13650153,""val"":259200000},{""typ"":""vm"",""id"":11151001,""val"":200}]}")</f>
        <v>{"effect":[{"typ":"marching_effect","id":13650153,"val":259200000},{"typ":"vm","id":11151001,"val":200}]}</v>
      </c>
      <c r="T3018" s="148">
        <f>IFERROR(__xludf.DUMMYFUNCTION("""COMPUTED_VALUE"""),-1.0)</f>
        <v>-1</v>
      </c>
      <c r="U3018" s="148">
        <f>IFERROR(__xludf.DUMMYFUNCTION("""COMPUTED_VALUE"""),0.0)</f>
        <v>0</v>
      </c>
      <c r="V3018" s="148" t="str">
        <f>IFERROR(__xludf.DUMMYFUNCTION("""COMPUTED_VALUE"""),"[]")</f>
        <v>[]</v>
      </c>
      <c r="W3018" s="148">
        <f>IFERROR(__xludf.DUMMYFUNCTION("""COMPUTED_VALUE"""),1.174E7)</f>
        <v>11740000</v>
      </c>
      <c r="X3018" s="148">
        <f>IFERROR(__xludf.DUMMYFUNCTION("""COMPUTED_VALUE"""),0.0)</f>
        <v>0</v>
      </c>
      <c r="Y3018" s="148">
        <f>IFERROR(__xludf.DUMMYFUNCTION("""COMPUTED_VALUE"""),0.0)</f>
        <v>0</v>
      </c>
      <c r="Z3018" s="148"/>
    </row>
    <row r="3019">
      <c r="A3019" s="148">
        <f>IFERROR(__xludf.DUMMYFUNCTION("""COMPUTED_VALUE"""),1.1119985E7)</f>
        <v>11119985</v>
      </c>
      <c r="B3019" s="148" t="str">
        <f>IFERROR(__xludf.DUMMYFUNCTION("""COMPUTED_VALUE"""),"2026情人节行军特效-惩戒流光-7天限时")</f>
        <v>2026情人节行军特效-惩戒流光-7天限时</v>
      </c>
      <c r="C3019" s="148"/>
      <c r="D3019" s="148" t="str">
        <f>IFERROR(__xludf.DUMMYFUNCTION("""COMPUTED_VALUE"""),"marching_effect")</f>
        <v>marching_effect</v>
      </c>
      <c r="E3019" s="148">
        <f>IFERROR(__xludf.DUMMYFUNCTION("""COMPUTED_VALUE"""),0.0)</f>
        <v>0</v>
      </c>
      <c r="F3019" s="148">
        <f>IFERROR(__xludf.DUMMYFUNCTION("""COMPUTED_VALUE"""),408198.0)</f>
        <v>408198</v>
      </c>
      <c r="G3019" s="148">
        <f>IFERROR(__xludf.DUMMYFUNCTION("""COMPUTED_VALUE"""),1.51104398E8)</f>
        <v>151104398</v>
      </c>
      <c r="H3019" s="148">
        <f>IFERROR(__xludf.DUMMYFUNCTION("""COMPUTED_VALUE"""),1.5112562E7)</f>
        <v>15112562</v>
      </c>
      <c r="I3019" s="148" t="str">
        <f>IFERROR(__xludf.DUMMYFUNCTION("""COMPUTED_VALUE"""),"{""typ"":""lc"",""txt"":""LC_ITEM_time_day_upper_show"",""args"":[{""typ"":""int_unit"",""val"":7}]}")</f>
        <v>{"typ":"lc","txt":"LC_ITEM_time_day_upper_show","args":[{"typ":"int_unit","val":7}]}</v>
      </c>
      <c r="J3019" s="148" t="str">
        <f>IFERROR(__xludf.DUMMYFUNCTION("""COMPUTED_VALUE"""),"{""typ"":""lc"",""txt"":""LC_ITEM_vd_marcheffect_low_2026""}")</f>
        <v>{"typ":"lc","txt":"LC_ITEM_vd_marcheffect_low_2026"}</v>
      </c>
      <c r="K3019" s="148" t="str">
        <f>IFERROR(__xludf.DUMMYFUNCTION("""COMPUTED_VALUE"""),"{""typ"":""lc"",""txt"":""LC_ITEM_vd_marcheffect_low_2026_desc""}")</f>
        <v>{"typ":"lc","txt":"LC_ITEM_vd_marcheffect_low_2026_desc"}</v>
      </c>
      <c r="L3019" s="148" t="str">
        <f>IFERROR(__xludf.DUMMYFUNCTION("""COMPUTED_VALUE"""),"{""typ"":""lc"",""txt"":""LC_ITEM_march_effect_use_tip_all""}")</f>
        <v>{"typ":"lc","txt":"LC_ITEM_march_effect_use_tip_all"}</v>
      </c>
      <c r="M3019" s="148">
        <f>IFERROR(__xludf.DUMMYFUNCTION("""COMPUTED_VALUE"""),500.0)</f>
        <v>500</v>
      </c>
      <c r="N3019" s="148">
        <f>IFERROR(__xludf.DUMMYFUNCTION("""COMPUTED_VALUE"""),999999.0)</f>
        <v>999999</v>
      </c>
      <c r="O3019" s="148">
        <f>IFERROR(__xludf.DUMMYFUNCTION("""COMPUTED_VALUE"""),99999.0)</f>
        <v>99999</v>
      </c>
      <c r="P3019" s="148">
        <f>IFERROR(__xludf.DUMMYFUNCTION("""COMPUTED_VALUE"""),1.0)</f>
        <v>1</v>
      </c>
      <c r="Q3019" s="148" t="str">
        <f>IFERROR(__xludf.DUMMYFUNCTION("""COMPUTED_VALUE"""),"[""bag_other""]")</f>
        <v>["bag_other"]</v>
      </c>
      <c r="R3019" s="148" t="str">
        <f>IFERROR(__xludf.DUMMYFUNCTION("""COMPUTED_VALUE"""),"[""bag"",""13650153""]")</f>
        <v>["bag","13650153"]</v>
      </c>
      <c r="S3019" s="148" t="str">
        <f>IFERROR(__xludf.DUMMYFUNCTION("""COMPUTED_VALUE"""),"{""effect"":[{""typ"":""marching_effect"",""id"":13650153,""val"":604800000},{""typ"":""vm"",""id"":11151001,""val"":500}]}")</f>
        <v>{"effect":[{"typ":"marching_effect","id":13650153,"val":604800000},{"typ":"vm","id":11151001,"val":500}]}</v>
      </c>
      <c r="T3019" s="148">
        <f>IFERROR(__xludf.DUMMYFUNCTION("""COMPUTED_VALUE"""),-1.0)</f>
        <v>-1</v>
      </c>
      <c r="U3019" s="148">
        <f>IFERROR(__xludf.DUMMYFUNCTION("""COMPUTED_VALUE"""),0.0)</f>
        <v>0</v>
      </c>
      <c r="V3019" s="148" t="str">
        <f>IFERROR(__xludf.DUMMYFUNCTION("""COMPUTED_VALUE"""),"[]")</f>
        <v>[]</v>
      </c>
      <c r="W3019" s="148">
        <f>IFERROR(__xludf.DUMMYFUNCTION("""COMPUTED_VALUE"""),1.174E7)</f>
        <v>11740000</v>
      </c>
      <c r="X3019" s="148">
        <f>IFERROR(__xludf.DUMMYFUNCTION("""COMPUTED_VALUE"""),0.0)</f>
        <v>0</v>
      </c>
      <c r="Y3019" s="148">
        <f>IFERROR(__xludf.DUMMYFUNCTION("""COMPUTED_VALUE"""),0.0)</f>
        <v>0</v>
      </c>
      <c r="Z3019" s="148"/>
    </row>
    <row r="3020">
      <c r="A3020" s="148">
        <f>IFERROR(__xludf.DUMMYFUNCTION("""COMPUTED_VALUE"""),1.1119986E7)</f>
        <v>11119986</v>
      </c>
      <c r="B3020" s="148" t="str">
        <f>IFERROR(__xludf.DUMMYFUNCTION("""COMPUTED_VALUE"""),"2026情人节行军特效-惩戒流光-14天限时")</f>
        <v>2026情人节行军特效-惩戒流光-14天限时</v>
      </c>
      <c r="C3020" s="148"/>
      <c r="D3020" s="148" t="str">
        <f>IFERROR(__xludf.DUMMYFUNCTION("""COMPUTED_VALUE"""),"marching_effect")</f>
        <v>marching_effect</v>
      </c>
      <c r="E3020" s="148">
        <f>IFERROR(__xludf.DUMMYFUNCTION("""COMPUTED_VALUE"""),0.0)</f>
        <v>0</v>
      </c>
      <c r="F3020" s="148">
        <f>IFERROR(__xludf.DUMMYFUNCTION("""COMPUTED_VALUE"""),408197.0)</f>
        <v>408197</v>
      </c>
      <c r="G3020" s="148">
        <f>IFERROR(__xludf.DUMMYFUNCTION("""COMPUTED_VALUE"""),1.51104398E8)</f>
        <v>151104398</v>
      </c>
      <c r="H3020" s="148">
        <f>IFERROR(__xludf.DUMMYFUNCTION("""COMPUTED_VALUE"""),1.5112563E7)</f>
        <v>15112563</v>
      </c>
      <c r="I3020" s="148" t="str">
        <f>IFERROR(__xludf.DUMMYFUNCTION("""COMPUTED_VALUE"""),"{""typ"":""lc"",""txt"":""LC_ITEM_time_day_upper_show"",""args"":[{""typ"":""int_unit"",""val"":14}]}")</f>
        <v>{"typ":"lc","txt":"LC_ITEM_time_day_upper_show","args":[{"typ":"int_unit","val":14}]}</v>
      </c>
      <c r="J3020" s="148" t="str">
        <f>IFERROR(__xludf.DUMMYFUNCTION("""COMPUTED_VALUE"""),"{""typ"":""lc"",""txt"":""LC_ITEM_vd_marcheffect_low_2026""}")</f>
        <v>{"typ":"lc","txt":"LC_ITEM_vd_marcheffect_low_2026"}</v>
      </c>
      <c r="K3020" s="148" t="str">
        <f>IFERROR(__xludf.DUMMYFUNCTION("""COMPUTED_VALUE"""),"{""typ"":""lc"",""txt"":""LC_ITEM_vd_marcheffect_low_2026_desc""}")</f>
        <v>{"typ":"lc","txt":"LC_ITEM_vd_marcheffect_low_2026_desc"}</v>
      </c>
      <c r="L3020" s="148" t="str">
        <f>IFERROR(__xludf.DUMMYFUNCTION("""COMPUTED_VALUE"""),"{""typ"":""lc"",""txt"":""LC_ITEM_march_effect_use_tip_all""}")</f>
        <v>{"typ":"lc","txt":"LC_ITEM_march_effect_use_tip_all"}</v>
      </c>
      <c r="M3020" s="148">
        <f>IFERROR(__xludf.DUMMYFUNCTION("""COMPUTED_VALUE"""),1000.0)</f>
        <v>1000</v>
      </c>
      <c r="N3020" s="148">
        <f>IFERROR(__xludf.DUMMYFUNCTION("""COMPUTED_VALUE"""),999999.0)</f>
        <v>999999</v>
      </c>
      <c r="O3020" s="148">
        <f>IFERROR(__xludf.DUMMYFUNCTION("""COMPUTED_VALUE"""),99999.0)</f>
        <v>99999</v>
      </c>
      <c r="P3020" s="148">
        <f>IFERROR(__xludf.DUMMYFUNCTION("""COMPUTED_VALUE"""),1.0)</f>
        <v>1</v>
      </c>
      <c r="Q3020" s="148" t="str">
        <f>IFERROR(__xludf.DUMMYFUNCTION("""COMPUTED_VALUE"""),"[""bag_other""]")</f>
        <v>["bag_other"]</v>
      </c>
      <c r="R3020" s="148" t="str">
        <f>IFERROR(__xludf.DUMMYFUNCTION("""COMPUTED_VALUE"""),"[""bag"",""13650153""]")</f>
        <v>["bag","13650153"]</v>
      </c>
      <c r="S3020" s="148" t="str">
        <f>IFERROR(__xludf.DUMMYFUNCTION("""COMPUTED_VALUE"""),"{""effect"":[{""typ"":""marching_effect"",""id"":13650153,""val"":1209600000},{""typ"":""vm"",""id"":11151001,""val"":1000}]}")</f>
        <v>{"effect":[{"typ":"marching_effect","id":13650153,"val":1209600000},{"typ":"vm","id":11151001,"val":1000}]}</v>
      </c>
      <c r="T3020" s="148">
        <f>IFERROR(__xludf.DUMMYFUNCTION("""COMPUTED_VALUE"""),-1.0)</f>
        <v>-1</v>
      </c>
      <c r="U3020" s="148">
        <f>IFERROR(__xludf.DUMMYFUNCTION("""COMPUTED_VALUE"""),0.0)</f>
        <v>0</v>
      </c>
      <c r="V3020" s="148" t="str">
        <f>IFERROR(__xludf.DUMMYFUNCTION("""COMPUTED_VALUE"""),"[]")</f>
        <v>[]</v>
      </c>
      <c r="W3020" s="148">
        <f>IFERROR(__xludf.DUMMYFUNCTION("""COMPUTED_VALUE"""),1.174E7)</f>
        <v>11740000</v>
      </c>
      <c r="X3020" s="148">
        <f>IFERROR(__xludf.DUMMYFUNCTION("""COMPUTED_VALUE"""),0.0)</f>
        <v>0</v>
      </c>
      <c r="Y3020" s="148">
        <f>IFERROR(__xludf.DUMMYFUNCTION("""COMPUTED_VALUE"""),0.0)</f>
        <v>0</v>
      </c>
      <c r="Z3020" s="148"/>
    </row>
    <row r="3021">
      <c r="A3021" s="148">
        <f>IFERROR(__xludf.DUMMYFUNCTION("""COMPUTED_VALUE"""),1.1119987E7)</f>
        <v>11119987</v>
      </c>
      <c r="B3021" s="148" t="str">
        <f>IFERROR(__xludf.DUMMYFUNCTION("""COMPUTED_VALUE"""),"2026情人节行军特效-惩戒流光-30天限时")</f>
        <v>2026情人节行军特效-惩戒流光-30天限时</v>
      </c>
      <c r="C3021" s="148"/>
      <c r="D3021" s="148" t="str">
        <f>IFERROR(__xludf.DUMMYFUNCTION("""COMPUTED_VALUE"""),"marching_effect")</f>
        <v>marching_effect</v>
      </c>
      <c r="E3021" s="148">
        <f>IFERROR(__xludf.DUMMYFUNCTION("""COMPUTED_VALUE"""),0.0)</f>
        <v>0</v>
      </c>
      <c r="F3021" s="148">
        <f>IFERROR(__xludf.DUMMYFUNCTION("""COMPUTED_VALUE"""),408197.0)</f>
        <v>408197</v>
      </c>
      <c r="G3021" s="148">
        <f>IFERROR(__xludf.DUMMYFUNCTION("""COMPUTED_VALUE"""),1.51104398E8)</f>
        <v>151104398</v>
      </c>
      <c r="H3021" s="148">
        <f>IFERROR(__xludf.DUMMYFUNCTION("""COMPUTED_VALUE"""),1.5112563E7)</f>
        <v>15112563</v>
      </c>
      <c r="I3021" s="148" t="str">
        <f>IFERROR(__xludf.DUMMYFUNCTION("""COMPUTED_VALUE"""),"{""typ"":""lc"",""txt"":""LC_ITEM_time_day_upper_show"",""args"":[{""typ"":""int_unit"",""val"":30}]}")</f>
        <v>{"typ":"lc","txt":"LC_ITEM_time_day_upper_show","args":[{"typ":"int_unit","val":30}]}</v>
      </c>
      <c r="J3021" s="148" t="str">
        <f>IFERROR(__xludf.DUMMYFUNCTION("""COMPUTED_VALUE"""),"{""typ"":""lc"",""txt"":""LC_ITEM_vd_marcheffect_low_2026""}")</f>
        <v>{"typ":"lc","txt":"LC_ITEM_vd_marcheffect_low_2026"}</v>
      </c>
      <c r="K3021" s="148" t="str">
        <f>IFERROR(__xludf.DUMMYFUNCTION("""COMPUTED_VALUE"""),"{""typ"":""lc"",""txt"":""LC_ITEM_vd_marcheffect_low_2026_desc""}")</f>
        <v>{"typ":"lc","txt":"LC_ITEM_vd_marcheffect_low_2026_desc"}</v>
      </c>
      <c r="L3021" s="148" t="str">
        <f>IFERROR(__xludf.DUMMYFUNCTION("""COMPUTED_VALUE"""),"{""typ"":""lc"",""txt"":""LC_ITEM_march_effect_use_tip_all""}")</f>
        <v>{"typ":"lc","txt":"LC_ITEM_march_effect_use_tip_all"}</v>
      </c>
      <c r="M3021" s="148">
        <f>IFERROR(__xludf.DUMMYFUNCTION("""COMPUTED_VALUE"""),1000.0)</f>
        <v>1000</v>
      </c>
      <c r="N3021" s="148">
        <f>IFERROR(__xludf.DUMMYFUNCTION("""COMPUTED_VALUE"""),999999.0)</f>
        <v>999999</v>
      </c>
      <c r="O3021" s="148">
        <f>IFERROR(__xludf.DUMMYFUNCTION("""COMPUTED_VALUE"""),99999.0)</f>
        <v>99999</v>
      </c>
      <c r="P3021" s="148">
        <f>IFERROR(__xludf.DUMMYFUNCTION("""COMPUTED_VALUE"""),1.0)</f>
        <v>1</v>
      </c>
      <c r="Q3021" s="148" t="str">
        <f>IFERROR(__xludf.DUMMYFUNCTION("""COMPUTED_VALUE"""),"[""bag_other""]")</f>
        <v>["bag_other"]</v>
      </c>
      <c r="R3021" s="148" t="str">
        <f>IFERROR(__xludf.DUMMYFUNCTION("""COMPUTED_VALUE"""),"[""bag"",""13650153""]")</f>
        <v>["bag","13650153"]</v>
      </c>
      <c r="S3021" s="148" t="str">
        <f>IFERROR(__xludf.DUMMYFUNCTION("""COMPUTED_VALUE"""),"{""effect"":[{""typ"":""marching_effect"",""id"":13650153,""val"":2592000000},{""typ"":""vm"",""id"":11151001,""val"":1000}]}")</f>
        <v>{"effect":[{"typ":"marching_effect","id":13650153,"val":2592000000},{"typ":"vm","id":11151001,"val":1000}]}</v>
      </c>
      <c r="T3021" s="148">
        <f>IFERROR(__xludf.DUMMYFUNCTION("""COMPUTED_VALUE"""),-1.0)</f>
        <v>-1</v>
      </c>
      <c r="U3021" s="148">
        <f>IFERROR(__xludf.DUMMYFUNCTION("""COMPUTED_VALUE"""),0.0)</f>
        <v>0</v>
      </c>
      <c r="V3021" s="148" t="str">
        <f>IFERROR(__xludf.DUMMYFUNCTION("""COMPUTED_VALUE"""),"[]")</f>
        <v>[]</v>
      </c>
      <c r="W3021" s="148">
        <f>IFERROR(__xludf.DUMMYFUNCTION("""COMPUTED_VALUE"""),1.174E7)</f>
        <v>11740000</v>
      </c>
      <c r="X3021" s="148">
        <f>IFERROR(__xludf.DUMMYFUNCTION("""COMPUTED_VALUE"""),0.0)</f>
        <v>0</v>
      </c>
      <c r="Y3021" s="148">
        <f>IFERROR(__xludf.DUMMYFUNCTION("""COMPUTED_VALUE"""),0.0)</f>
        <v>0</v>
      </c>
      <c r="Z3021" s="148"/>
    </row>
    <row r="3022">
      <c r="A3022" s="148">
        <f>IFERROR(__xludf.DUMMYFUNCTION("""COMPUTED_VALUE"""),1.1119988E7)</f>
        <v>11119988</v>
      </c>
      <c r="B3022" s="148" t="str">
        <f>IFERROR(__xludf.DUMMYFUNCTION("""COMPUTED_VALUE"""),"2026情人节行军特效-惩戒流光-永久")</f>
        <v>2026情人节行军特效-惩戒流光-永久</v>
      </c>
      <c r="C3022" s="148"/>
      <c r="D3022" s="148" t="str">
        <f>IFERROR(__xludf.DUMMYFUNCTION("""COMPUTED_VALUE"""),"marching_effect")</f>
        <v>marching_effect</v>
      </c>
      <c r="E3022" s="148">
        <f>IFERROR(__xludf.DUMMYFUNCTION("""COMPUTED_VALUE"""),0.0)</f>
        <v>0</v>
      </c>
      <c r="F3022" s="148">
        <f>IFERROR(__xludf.DUMMYFUNCTION("""COMPUTED_VALUE"""),408195.0)</f>
        <v>408195</v>
      </c>
      <c r="G3022" s="148">
        <f>IFERROR(__xludf.DUMMYFUNCTION("""COMPUTED_VALUE"""),1.51104398E8)</f>
        <v>151104398</v>
      </c>
      <c r="H3022" s="148">
        <f>IFERROR(__xludf.DUMMYFUNCTION("""COMPUTED_VALUE"""),1.5112564E7)</f>
        <v>15112564</v>
      </c>
      <c r="I3022" s="148" t="str">
        <f>IFERROR(__xludf.DUMMYFUNCTION("""COMPUTED_VALUE"""),"{}")</f>
        <v>{}</v>
      </c>
      <c r="J3022" s="148" t="str">
        <f>IFERROR(__xludf.DUMMYFUNCTION("""COMPUTED_VALUE"""),"{""typ"":""lc"",""txt"":""LC_ITEM_vd_marcheffect_low_2026""}")</f>
        <v>{"typ":"lc","txt":"LC_ITEM_vd_marcheffect_low_2026"}</v>
      </c>
      <c r="K3022" s="148" t="str">
        <f>IFERROR(__xludf.DUMMYFUNCTION("""COMPUTED_VALUE"""),"{""typ"":""lc"",""txt"":""LC_ITEM_vd_marcheffect_low_2026_desc""}")</f>
        <v>{"typ":"lc","txt":"LC_ITEM_vd_marcheffect_low_2026_desc"}</v>
      </c>
      <c r="L3022" s="148" t="str">
        <f>IFERROR(__xludf.DUMMYFUNCTION("""COMPUTED_VALUE"""),"{""typ"":""lc"",""txt"":""LC_ITEM_march_effect_use_tip_all""}")</f>
        <v>{"typ":"lc","txt":"LC_ITEM_march_effect_use_tip_all"}</v>
      </c>
      <c r="M3022" s="148">
        <f>IFERROR(__xludf.DUMMYFUNCTION("""COMPUTED_VALUE"""),5000.0)</f>
        <v>5000</v>
      </c>
      <c r="N3022" s="148">
        <f>IFERROR(__xludf.DUMMYFUNCTION("""COMPUTED_VALUE"""),999999.0)</f>
        <v>999999</v>
      </c>
      <c r="O3022" s="148">
        <f>IFERROR(__xludf.DUMMYFUNCTION("""COMPUTED_VALUE"""),99999.0)</f>
        <v>99999</v>
      </c>
      <c r="P3022" s="148">
        <f>IFERROR(__xludf.DUMMYFUNCTION("""COMPUTED_VALUE"""),1.0)</f>
        <v>1</v>
      </c>
      <c r="Q3022" s="148" t="str">
        <f>IFERROR(__xludf.DUMMYFUNCTION("""COMPUTED_VALUE"""),"[""bag_other""]")</f>
        <v>["bag_other"]</v>
      </c>
      <c r="R3022" s="148" t="str">
        <f>IFERROR(__xludf.DUMMYFUNCTION("""COMPUTED_VALUE"""),"[""bag"",""13650153""]")</f>
        <v>["bag","13650153"]</v>
      </c>
      <c r="S3022" s="148" t="str">
        <f>IFERROR(__xludf.DUMMYFUNCTION("""COMPUTED_VALUE"""),"{""effect"":[{""typ"":""marching_effect"",""id"":13650153,""val"":-1},{""typ"":""vm"",""id"":11151001,""val"":2500}]}")</f>
        <v>{"effect":[{"typ":"marching_effect","id":13650153,"val":-1},{"typ":"vm","id":11151001,"val":2500}]}</v>
      </c>
      <c r="T3022" s="148">
        <f>IFERROR(__xludf.DUMMYFUNCTION("""COMPUTED_VALUE"""),-1.0)</f>
        <v>-1</v>
      </c>
      <c r="U3022" s="148">
        <f>IFERROR(__xludf.DUMMYFUNCTION("""COMPUTED_VALUE"""),0.0)</f>
        <v>0</v>
      </c>
      <c r="V3022" s="148" t="str">
        <f>IFERROR(__xludf.DUMMYFUNCTION("""COMPUTED_VALUE"""),"[]")</f>
        <v>[]</v>
      </c>
      <c r="W3022" s="148">
        <f>IFERROR(__xludf.DUMMYFUNCTION("""COMPUTED_VALUE"""),1.174E7)</f>
        <v>11740000</v>
      </c>
      <c r="X3022" s="148">
        <f>IFERROR(__xludf.DUMMYFUNCTION("""COMPUTED_VALUE"""),0.0)</f>
        <v>0</v>
      </c>
      <c r="Y3022" s="148">
        <f>IFERROR(__xludf.DUMMYFUNCTION("""COMPUTED_VALUE"""),0.0)</f>
        <v>0</v>
      </c>
      <c r="Z3022" s="148"/>
    </row>
    <row r="3023">
      <c r="A3023" s="148">
        <f>IFERROR(__xludf.DUMMYFUNCTION("""COMPUTED_VALUE"""),1.1119989E7)</f>
        <v>11119989</v>
      </c>
      <c r="B3023" s="148" t="str">
        <f>IFERROR(__xludf.DUMMYFUNCTION("""COMPUTED_VALUE"""),"2026情人节行军特效-审判之箭-1天限时")</f>
        <v>2026情人节行军特效-审判之箭-1天限时</v>
      </c>
      <c r="C3023" s="148"/>
      <c r="D3023" s="148" t="str">
        <f>IFERROR(__xludf.DUMMYFUNCTION("""COMPUTED_VALUE"""),"marching_effect")</f>
        <v>marching_effect</v>
      </c>
      <c r="E3023" s="148">
        <f>IFERROR(__xludf.DUMMYFUNCTION("""COMPUTED_VALUE"""),0.0)</f>
        <v>0</v>
      </c>
      <c r="F3023" s="148">
        <f>IFERROR(__xludf.DUMMYFUNCTION("""COMPUTED_VALUE"""),408200.0)</f>
        <v>408200</v>
      </c>
      <c r="G3023" s="148">
        <f>IFERROR(__xludf.DUMMYFUNCTION("""COMPUTED_VALUE"""),1.51104399E8)</f>
        <v>151104399</v>
      </c>
      <c r="H3023" s="148">
        <f>IFERROR(__xludf.DUMMYFUNCTION("""COMPUTED_VALUE"""),1.511256E7)</f>
        <v>15112560</v>
      </c>
      <c r="I3023" s="148" t="str">
        <f>IFERROR(__xludf.DUMMYFUNCTION("""COMPUTED_VALUE"""),"{""typ"":""lc"",""txt"":""LC_ITEM_time_day_upper_show"",""args"":[{""typ"":""int_unit"",""val"":1}]}")</f>
        <v>{"typ":"lc","txt":"LC_ITEM_time_day_upper_show","args":[{"typ":"int_unit","val":1}]}</v>
      </c>
      <c r="J3023" s="148" t="str">
        <f>IFERROR(__xludf.DUMMYFUNCTION("""COMPUTED_VALUE"""),"{""typ"":""lc"",""txt"":""LC_ITEM_vd_marcheffect_high_2026""}")</f>
        <v>{"typ":"lc","txt":"LC_ITEM_vd_marcheffect_high_2026"}</v>
      </c>
      <c r="K3023" s="148" t="str">
        <f>IFERROR(__xludf.DUMMYFUNCTION("""COMPUTED_VALUE"""),"{""typ"":""lc"",""txt"":""LC_ITEM_vd_marcheffect_high_2026_desc""}")</f>
        <v>{"typ":"lc","txt":"LC_ITEM_vd_marcheffect_high_2026_desc"}</v>
      </c>
      <c r="L3023" s="148" t="str">
        <f>IFERROR(__xludf.DUMMYFUNCTION("""COMPUTED_VALUE"""),"{""typ"":""lc"",""txt"":""LC_ITEM_march_effect_use_tip_all""}")</f>
        <v>{"typ":"lc","txt":"LC_ITEM_march_effect_use_tip_all"}</v>
      </c>
      <c r="M3023" s="148">
        <f>IFERROR(__xludf.DUMMYFUNCTION("""COMPUTED_VALUE"""),50.0)</f>
        <v>50</v>
      </c>
      <c r="N3023" s="148">
        <f>IFERROR(__xludf.DUMMYFUNCTION("""COMPUTED_VALUE"""),999999.0)</f>
        <v>999999</v>
      </c>
      <c r="O3023" s="148">
        <f>IFERROR(__xludf.DUMMYFUNCTION("""COMPUTED_VALUE"""),99999.0)</f>
        <v>99999</v>
      </c>
      <c r="P3023" s="148">
        <f>IFERROR(__xludf.DUMMYFUNCTION("""COMPUTED_VALUE"""),1.0)</f>
        <v>1</v>
      </c>
      <c r="Q3023" s="148" t="str">
        <f>IFERROR(__xludf.DUMMYFUNCTION("""COMPUTED_VALUE"""),"[""bag_other""]")</f>
        <v>["bag_other"]</v>
      </c>
      <c r="R3023" s="148" t="str">
        <f>IFERROR(__xludf.DUMMYFUNCTION("""COMPUTED_VALUE"""),"[""bag"",""13650154""]")</f>
        <v>["bag","13650154"]</v>
      </c>
      <c r="S3023" s="148" t="str">
        <f>IFERROR(__xludf.DUMMYFUNCTION("""COMPUTED_VALUE"""),"{""effect"":[{""typ"":""marching_effect"",""id"":13650154,""val"":86400000},{""typ"":""vm"",""id"":11151001,""val"":50}]}")</f>
        <v>{"effect":[{"typ":"marching_effect","id":13650154,"val":86400000},{"typ":"vm","id":11151001,"val":50}]}</v>
      </c>
      <c r="T3023" s="148">
        <f>IFERROR(__xludf.DUMMYFUNCTION("""COMPUTED_VALUE"""),-1.0)</f>
        <v>-1</v>
      </c>
      <c r="U3023" s="148">
        <f>IFERROR(__xludf.DUMMYFUNCTION("""COMPUTED_VALUE"""),0.0)</f>
        <v>0</v>
      </c>
      <c r="V3023" s="148" t="str">
        <f>IFERROR(__xludf.DUMMYFUNCTION("""COMPUTED_VALUE"""),"[]")</f>
        <v>[]</v>
      </c>
      <c r="W3023" s="148">
        <f>IFERROR(__xludf.DUMMYFUNCTION("""COMPUTED_VALUE"""),1.174E7)</f>
        <v>11740000</v>
      </c>
      <c r="X3023" s="148">
        <f>IFERROR(__xludf.DUMMYFUNCTION("""COMPUTED_VALUE"""),0.0)</f>
        <v>0</v>
      </c>
      <c r="Y3023" s="148">
        <f>IFERROR(__xludf.DUMMYFUNCTION("""COMPUTED_VALUE"""),0.0)</f>
        <v>0</v>
      </c>
      <c r="Z3023" s="148"/>
    </row>
    <row r="3024">
      <c r="A3024" s="148">
        <f>IFERROR(__xludf.DUMMYFUNCTION("""COMPUTED_VALUE"""),1.111999E7)</f>
        <v>11119990</v>
      </c>
      <c r="B3024" s="148" t="str">
        <f>IFERROR(__xludf.DUMMYFUNCTION("""COMPUTED_VALUE"""),"2026情人节行军特效-审判之箭-3天限时")</f>
        <v>2026情人节行军特效-审判之箭-3天限时</v>
      </c>
      <c r="C3024" s="148"/>
      <c r="D3024" s="148" t="str">
        <f>IFERROR(__xludf.DUMMYFUNCTION("""COMPUTED_VALUE"""),"marching_effect")</f>
        <v>marching_effect</v>
      </c>
      <c r="E3024" s="148">
        <f>IFERROR(__xludf.DUMMYFUNCTION("""COMPUTED_VALUE"""),0.0)</f>
        <v>0</v>
      </c>
      <c r="F3024" s="148">
        <f>IFERROR(__xludf.DUMMYFUNCTION("""COMPUTED_VALUE"""),408199.0)</f>
        <v>408199</v>
      </c>
      <c r="G3024" s="148">
        <f>IFERROR(__xludf.DUMMYFUNCTION("""COMPUTED_VALUE"""),1.51104399E8)</f>
        <v>151104399</v>
      </c>
      <c r="H3024" s="148">
        <f>IFERROR(__xludf.DUMMYFUNCTION("""COMPUTED_VALUE"""),1.5112561E7)</f>
        <v>15112561</v>
      </c>
      <c r="I3024" s="148" t="str">
        <f>IFERROR(__xludf.DUMMYFUNCTION("""COMPUTED_VALUE"""),"{""typ"":""lc"",""txt"":""LC_ITEM_time_day_upper_show"",""args"":[{""typ"":""int_unit"",""val"":3}]}")</f>
        <v>{"typ":"lc","txt":"LC_ITEM_time_day_upper_show","args":[{"typ":"int_unit","val":3}]}</v>
      </c>
      <c r="J3024" s="148" t="str">
        <f>IFERROR(__xludf.DUMMYFUNCTION("""COMPUTED_VALUE"""),"{""typ"":""lc"",""txt"":""LC_ITEM_vd_marcheffect_high_2026""}")</f>
        <v>{"typ":"lc","txt":"LC_ITEM_vd_marcheffect_high_2026"}</v>
      </c>
      <c r="K3024" s="148" t="str">
        <f>IFERROR(__xludf.DUMMYFUNCTION("""COMPUTED_VALUE"""),"{""typ"":""lc"",""txt"":""LC_ITEM_vd_marcheffect_high_2026_desc""}")</f>
        <v>{"typ":"lc","txt":"LC_ITEM_vd_marcheffect_high_2026_desc"}</v>
      </c>
      <c r="L3024" s="148" t="str">
        <f>IFERROR(__xludf.DUMMYFUNCTION("""COMPUTED_VALUE"""),"{""typ"":""lc"",""txt"":""LC_ITEM_march_effect_use_tip_all""}")</f>
        <v>{"typ":"lc","txt":"LC_ITEM_march_effect_use_tip_all"}</v>
      </c>
      <c r="M3024" s="148">
        <f>IFERROR(__xludf.DUMMYFUNCTION("""COMPUTED_VALUE"""),200.0)</f>
        <v>200</v>
      </c>
      <c r="N3024" s="148">
        <f>IFERROR(__xludf.DUMMYFUNCTION("""COMPUTED_VALUE"""),999999.0)</f>
        <v>999999</v>
      </c>
      <c r="O3024" s="148">
        <f>IFERROR(__xludf.DUMMYFUNCTION("""COMPUTED_VALUE"""),99999.0)</f>
        <v>99999</v>
      </c>
      <c r="P3024" s="148">
        <f>IFERROR(__xludf.DUMMYFUNCTION("""COMPUTED_VALUE"""),1.0)</f>
        <v>1</v>
      </c>
      <c r="Q3024" s="148" t="str">
        <f>IFERROR(__xludf.DUMMYFUNCTION("""COMPUTED_VALUE"""),"[""bag_other""]")</f>
        <v>["bag_other"]</v>
      </c>
      <c r="R3024" s="148" t="str">
        <f>IFERROR(__xludf.DUMMYFUNCTION("""COMPUTED_VALUE"""),"[""bag"",""13650154""]")</f>
        <v>["bag","13650154"]</v>
      </c>
      <c r="S3024" s="148" t="str">
        <f>IFERROR(__xludf.DUMMYFUNCTION("""COMPUTED_VALUE"""),"{""effect"":[{""typ"":""marching_effect"",""id"":13650154,""val"":259200000},{""typ"":""vm"",""id"":11151001,""val"":200}]}")</f>
        <v>{"effect":[{"typ":"marching_effect","id":13650154,"val":259200000},{"typ":"vm","id":11151001,"val":200}]}</v>
      </c>
      <c r="T3024" s="148">
        <f>IFERROR(__xludf.DUMMYFUNCTION("""COMPUTED_VALUE"""),-1.0)</f>
        <v>-1</v>
      </c>
      <c r="U3024" s="148">
        <f>IFERROR(__xludf.DUMMYFUNCTION("""COMPUTED_VALUE"""),0.0)</f>
        <v>0</v>
      </c>
      <c r="V3024" s="148" t="str">
        <f>IFERROR(__xludf.DUMMYFUNCTION("""COMPUTED_VALUE"""),"[]")</f>
        <v>[]</v>
      </c>
      <c r="W3024" s="148">
        <f>IFERROR(__xludf.DUMMYFUNCTION("""COMPUTED_VALUE"""),1.174E7)</f>
        <v>11740000</v>
      </c>
      <c r="X3024" s="148">
        <f>IFERROR(__xludf.DUMMYFUNCTION("""COMPUTED_VALUE"""),0.0)</f>
        <v>0</v>
      </c>
      <c r="Y3024" s="148">
        <f>IFERROR(__xludf.DUMMYFUNCTION("""COMPUTED_VALUE"""),0.0)</f>
        <v>0</v>
      </c>
      <c r="Z3024" s="148"/>
    </row>
    <row r="3025">
      <c r="A3025" s="148">
        <f>IFERROR(__xludf.DUMMYFUNCTION("""COMPUTED_VALUE"""),1.1119991E7)</f>
        <v>11119991</v>
      </c>
      <c r="B3025" s="148" t="str">
        <f>IFERROR(__xludf.DUMMYFUNCTION("""COMPUTED_VALUE"""),"2026情人节行军特效-审判之箭-7天限时")</f>
        <v>2026情人节行军特效-审判之箭-7天限时</v>
      </c>
      <c r="C3025" s="148"/>
      <c r="D3025" s="148" t="str">
        <f>IFERROR(__xludf.DUMMYFUNCTION("""COMPUTED_VALUE"""),"marching_effect")</f>
        <v>marching_effect</v>
      </c>
      <c r="E3025" s="148">
        <f>IFERROR(__xludf.DUMMYFUNCTION("""COMPUTED_VALUE"""),0.0)</f>
        <v>0</v>
      </c>
      <c r="F3025" s="148">
        <f>IFERROR(__xludf.DUMMYFUNCTION("""COMPUTED_VALUE"""),408198.0)</f>
        <v>408198</v>
      </c>
      <c r="G3025" s="148">
        <f>IFERROR(__xludf.DUMMYFUNCTION("""COMPUTED_VALUE"""),1.51104399E8)</f>
        <v>151104399</v>
      </c>
      <c r="H3025" s="148">
        <f>IFERROR(__xludf.DUMMYFUNCTION("""COMPUTED_VALUE"""),1.5112562E7)</f>
        <v>15112562</v>
      </c>
      <c r="I3025" s="148" t="str">
        <f>IFERROR(__xludf.DUMMYFUNCTION("""COMPUTED_VALUE"""),"{""typ"":""lc"",""txt"":""LC_ITEM_time_day_upper_show"",""args"":[{""typ"":""int_unit"",""val"":7}]}")</f>
        <v>{"typ":"lc","txt":"LC_ITEM_time_day_upper_show","args":[{"typ":"int_unit","val":7}]}</v>
      </c>
      <c r="J3025" s="148" t="str">
        <f>IFERROR(__xludf.DUMMYFUNCTION("""COMPUTED_VALUE"""),"{""typ"":""lc"",""txt"":""LC_ITEM_vd_marcheffect_high_2026""}")</f>
        <v>{"typ":"lc","txt":"LC_ITEM_vd_marcheffect_high_2026"}</v>
      </c>
      <c r="K3025" s="148" t="str">
        <f>IFERROR(__xludf.DUMMYFUNCTION("""COMPUTED_VALUE"""),"{""typ"":""lc"",""txt"":""LC_ITEM_vd_marcheffect_high_2026_desc""}")</f>
        <v>{"typ":"lc","txt":"LC_ITEM_vd_marcheffect_high_2026_desc"}</v>
      </c>
      <c r="L3025" s="148" t="str">
        <f>IFERROR(__xludf.DUMMYFUNCTION("""COMPUTED_VALUE"""),"{""typ"":""lc"",""txt"":""LC_ITEM_march_effect_use_tip_all""}")</f>
        <v>{"typ":"lc","txt":"LC_ITEM_march_effect_use_tip_all"}</v>
      </c>
      <c r="M3025" s="148">
        <f>IFERROR(__xludf.DUMMYFUNCTION("""COMPUTED_VALUE"""),500.0)</f>
        <v>500</v>
      </c>
      <c r="N3025" s="148">
        <f>IFERROR(__xludf.DUMMYFUNCTION("""COMPUTED_VALUE"""),999999.0)</f>
        <v>999999</v>
      </c>
      <c r="O3025" s="148">
        <f>IFERROR(__xludf.DUMMYFUNCTION("""COMPUTED_VALUE"""),99999.0)</f>
        <v>99999</v>
      </c>
      <c r="P3025" s="148">
        <f>IFERROR(__xludf.DUMMYFUNCTION("""COMPUTED_VALUE"""),1.0)</f>
        <v>1</v>
      </c>
      <c r="Q3025" s="148" t="str">
        <f>IFERROR(__xludf.DUMMYFUNCTION("""COMPUTED_VALUE"""),"[""bag_other""]")</f>
        <v>["bag_other"]</v>
      </c>
      <c r="R3025" s="148" t="str">
        <f>IFERROR(__xludf.DUMMYFUNCTION("""COMPUTED_VALUE"""),"[""bag"",""13650154""]")</f>
        <v>["bag","13650154"]</v>
      </c>
      <c r="S3025" s="148" t="str">
        <f>IFERROR(__xludf.DUMMYFUNCTION("""COMPUTED_VALUE"""),"{""effect"":[{""typ"":""marching_effect"",""id"":13650154,""val"":604800000},{""typ"":""vm"",""id"":11151001,""val"":500}]}")</f>
        <v>{"effect":[{"typ":"marching_effect","id":13650154,"val":604800000},{"typ":"vm","id":11151001,"val":500}]}</v>
      </c>
      <c r="T3025" s="148">
        <f>IFERROR(__xludf.DUMMYFUNCTION("""COMPUTED_VALUE"""),-1.0)</f>
        <v>-1</v>
      </c>
      <c r="U3025" s="148">
        <f>IFERROR(__xludf.DUMMYFUNCTION("""COMPUTED_VALUE"""),0.0)</f>
        <v>0</v>
      </c>
      <c r="V3025" s="148" t="str">
        <f>IFERROR(__xludf.DUMMYFUNCTION("""COMPUTED_VALUE"""),"[]")</f>
        <v>[]</v>
      </c>
      <c r="W3025" s="148">
        <f>IFERROR(__xludf.DUMMYFUNCTION("""COMPUTED_VALUE"""),1.174E7)</f>
        <v>11740000</v>
      </c>
      <c r="X3025" s="148">
        <f>IFERROR(__xludf.DUMMYFUNCTION("""COMPUTED_VALUE"""),0.0)</f>
        <v>0</v>
      </c>
      <c r="Y3025" s="148">
        <f>IFERROR(__xludf.DUMMYFUNCTION("""COMPUTED_VALUE"""),0.0)</f>
        <v>0</v>
      </c>
      <c r="Z3025" s="148"/>
    </row>
    <row r="3026">
      <c r="A3026" s="148">
        <f>IFERROR(__xludf.DUMMYFUNCTION("""COMPUTED_VALUE"""),1.1119992E7)</f>
        <v>11119992</v>
      </c>
      <c r="B3026" s="148" t="str">
        <f>IFERROR(__xludf.DUMMYFUNCTION("""COMPUTED_VALUE"""),"2026情人节行军特效-审判之箭-14天限时")</f>
        <v>2026情人节行军特效-审判之箭-14天限时</v>
      </c>
      <c r="C3026" s="148"/>
      <c r="D3026" s="148" t="str">
        <f>IFERROR(__xludf.DUMMYFUNCTION("""COMPUTED_VALUE"""),"marching_effect")</f>
        <v>marching_effect</v>
      </c>
      <c r="E3026" s="148">
        <f>IFERROR(__xludf.DUMMYFUNCTION("""COMPUTED_VALUE"""),0.0)</f>
        <v>0</v>
      </c>
      <c r="F3026" s="148">
        <f>IFERROR(__xludf.DUMMYFUNCTION("""COMPUTED_VALUE"""),408197.0)</f>
        <v>408197</v>
      </c>
      <c r="G3026" s="148">
        <f>IFERROR(__xludf.DUMMYFUNCTION("""COMPUTED_VALUE"""),1.51104399E8)</f>
        <v>151104399</v>
      </c>
      <c r="H3026" s="148">
        <f>IFERROR(__xludf.DUMMYFUNCTION("""COMPUTED_VALUE"""),1.5112563E7)</f>
        <v>15112563</v>
      </c>
      <c r="I3026" s="148" t="str">
        <f>IFERROR(__xludf.DUMMYFUNCTION("""COMPUTED_VALUE"""),"{""typ"":""lc"",""txt"":""LC_ITEM_time_day_upper_show"",""args"":[{""typ"":""int_unit"",""val"":14}]}")</f>
        <v>{"typ":"lc","txt":"LC_ITEM_time_day_upper_show","args":[{"typ":"int_unit","val":14}]}</v>
      </c>
      <c r="J3026" s="148" t="str">
        <f>IFERROR(__xludf.DUMMYFUNCTION("""COMPUTED_VALUE"""),"{""typ"":""lc"",""txt"":""LC_ITEM_vd_marcheffect_high_2026""}")</f>
        <v>{"typ":"lc","txt":"LC_ITEM_vd_marcheffect_high_2026"}</v>
      </c>
      <c r="K3026" s="148" t="str">
        <f>IFERROR(__xludf.DUMMYFUNCTION("""COMPUTED_VALUE"""),"{""typ"":""lc"",""txt"":""LC_ITEM_vd_marcheffect_high_2026_desc""}")</f>
        <v>{"typ":"lc","txt":"LC_ITEM_vd_marcheffect_high_2026_desc"}</v>
      </c>
      <c r="L3026" s="148" t="str">
        <f>IFERROR(__xludf.DUMMYFUNCTION("""COMPUTED_VALUE"""),"{""typ"":""lc"",""txt"":""LC_ITEM_march_effect_use_tip_all""}")</f>
        <v>{"typ":"lc","txt":"LC_ITEM_march_effect_use_tip_all"}</v>
      </c>
      <c r="M3026" s="148">
        <f>IFERROR(__xludf.DUMMYFUNCTION("""COMPUTED_VALUE"""),1000.0)</f>
        <v>1000</v>
      </c>
      <c r="N3026" s="148">
        <f>IFERROR(__xludf.DUMMYFUNCTION("""COMPUTED_VALUE"""),999999.0)</f>
        <v>999999</v>
      </c>
      <c r="O3026" s="148">
        <f>IFERROR(__xludf.DUMMYFUNCTION("""COMPUTED_VALUE"""),99999.0)</f>
        <v>99999</v>
      </c>
      <c r="P3026" s="148">
        <f>IFERROR(__xludf.DUMMYFUNCTION("""COMPUTED_VALUE"""),1.0)</f>
        <v>1</v>
      </c>
      <c r="Q3026" s="148" t="str">
        <f>IFERROR(__xludf.DUMMYFUNCTION("""COMPUTED_VALUE"""),"[""bag_other""]")</f>
        <v>["bag_other"]</v>
      </c>
      <c r="R3026" s="148" t="str">
        <f>IFERROR(__xludf.DUMMYFUNCTION("""COMPUTED_VALUE"""),"[""bag"",""13650154""]")</f>
        <v>["bag","13650154"]</v>
      </c>
      <c r="S3026" s="148" t="str">
        <f>IFERROR(__xludf.DUMMYFUNCTION("""COMPUTED_VALUE"""),"{""effect"":[{""typ"":""marching_effect"",""id"":13650154,""val"":1209600000},{""typ"":""vm"",""id"":11151001,""val"":1000}]}")</f>
        <v>{"effect":[{"typ":"marching_effect","id":13650154,"val":1209600000},{"typ":"vm","id":11151001,"val":1000}]}</v>
      </c>
      <c r="T3026" s="148">
        <f>IFERROR(__xludf.DUMMYFUNCTION("""COMPUTED_VALUE"""),-1.0)</f>
        <v>-1</v>
      </c>
      <c r="U3026" s="148">
        <f>IFERROR(__xludf.DUMMYFUNCTION("""COMPUTED_VALUE"""),0.0)</f>
        <v>0</v>
      </c>
      <c r="V3026" s="148" t="str">
        <f>IFERROR(__xludf.DUMMYFUNCTION("""COMPUTED_VALUE"""),"[]")</f>
        <v>[]</v>
      </c>
      <c r="W3026" s="148">
        <f>IFERROR(__xludf.DUMMYFUNCTION("""COMPUTED_VALUE"""),1.174E7)</f>
        <v>11740000</v>
      </c>
      <c r="X3026" s="148">
        <f>IFERROR(__xludf.DUMMYFUNCTION("""COMPUTED_VALUE"""),0.0)</f>
        <v>0</v>
      </c>
      <c r="Y3026" s="148">
        <f>IFERROR(__xludf.DUMMYFUNCTION("""COMPUTED_VALUE"""),0.0)</f>
        <v>0</v>
      </c>
      <c r="Z3026" s="148"/>
    </row>
    <row r="3027">
      <c r="A3027" s="148">
        <f>IFERROR(__xludf.DUMMYFUNCTION("""COMPUTED_VALUE"""),1.1119993E7)</f>
        <v>11119993</v>
      </c>
      <c r="B3027" s="148" t="str">
        <f>IFERROR(__xludf.DUMMYFUNCTION("""COMPUTED_VALUE"""),"2026情人节行军特效-审判之箭-30天限时")</f>
        <v>2026情人节行军特效-审判之箭-30天限时</v>
      </c>
      <c r="C3027" s="148"/>
      <c r="D3027" s="148" t="str">
        <f>IFERROR(__xludf.DUMMYFUNCTION("""COMPUTED_VALUE"""),"marching_effect")</f>
        <v>marching_effect</v>
      </c>
      <c r="E3027" s="148">
        <f>IFERROR(__xludf.DUMMYFUNCTION("""COMPUTED_VALUE"""),0.0)</f>
        <v>0</v>
      </c>
      <c r="F3027" s="148">
        <f>IFERROR(__xludf.DUMMYFUNCTION("""COMPUTED_VALUE"""),408197.0)</f>
        <v>408197</v>
      </c>
      <c r="G3027" s="148">
        <f>IFERROR(__xludf.DUMMYFUNCTION("""COMPUTED_VALUE"""),1.51104399E8)</f>
        <v>151104399</v>
      </c>
      <c r="H3027" s="148">
        <f>IFERROR(__xludf.DUMMYFUNCTION("""COMPUTED_VALUE"""),1.5112563E7)</f>
        <v>15112563</v>
      </c>
      <c r="I3027" s="148" t="str">
        <f>IFERROR(__xludf.DUMMYFUNCTION("""COMPUTED_VALUE"""),"{""typ"":""lc"",""txt"":""LC_ITEM_time_day_upper_show"",""args"":[{""typ"":""int_unit"",""val"":30}]}")</f>
        <v>{"typ":"lc","txt":"LC_ITEM_time_day_upper_show","args":[{"typ":"int_unit","val":30}]}</v>
      </c>
      <c r="J3027" s="148" t="str">
        <f>IFERROR(__xludf.DUMMYFUNCTION("""COMPUTED_VALUE"""),"{""typ"":""lc"",""txt"":""LC_ITEM_vd_marcheffect_high_2026""}")</f>
        <v>{"typ":"lc","txt":"LC_ITEM_vd_marcheffect_high_2026"}</v>
      </c>
      <c r="K3027" s="148" t="str">
        <f>IFERROR(__xludf.DUMMYFUNCTION("""COMPUTED_VALUE"""),"{""typ"":""lc"",""txt"":""LC_ITEM_vd_marcheffect_high_2026_desc""}")</f>
        <v>{"typ":"lc","txt":"LC_ITEM_vd_marcheffect_high_2026_desc"}</v>
      </c>
      <c r="L3027" s="148" t="str">
        <f>IFERROR(__xludf.DUMMYFUNCTION("""COMPUTED_VALUE"""),"{""typ"":""lc"",""txt"":""LC_ITEM_march_effect_use_tip_all""}")</f>
        <v>{"typ":"lc","txt":"LC_ITEM_march_effect_use_tip_all"}</v>
      </c>
      <c r="M3027" s="148">
        <f>IFERROR(__xludf.DUMMYFUNCTION("""COMPUTED_VALUE"""),1000.0)</f>
        <v>1000</v>
      </c>
      <c r="N3027" s="148">
        <f>IFERROR(__xludf.DUMMYFUNCTION("""COMPUTED_VALUE"""),999999.0)</f>
        <v>999999</v>
      </c>
      <c r="O3027" s="148">
        <f>IFERROR(__xludf.DUMMYFUNCTION("""COMPUTED_VALUE"""),99999.0)</f>
        <v>99999</v>
      </c>
      <c r="P3027" s="148">
        <f>IFERROR(__xludf.DUMMYFUNCTION("""COMPUTED_VALUE"""),1.0)</f>
        <v>1</v>
      </c>
      <c r="Q3027" s="148" t="str">
        <f>IFERROR(__xludf.DUMMYFUNCTION("""COMPUTED_VALUE"""),"[""bag_other""]")</f>
        <v>["bag_other"]</v>
      </c>
      <c r="R3027" s="148" t="str">
        <f>IFERROR(__xludf.DUMMYFUNCTION("""COMPUTED_VALUE"""),"[""bag"",""13650154""]")</f>
        <v>["bag","13650154"]</v>
      </c>
      <c r="S3027" s="148" t="str">
        <f>IFERROR(__xludf.DUMMYFUNCTION("""COMPUTED_VALUE"""),"{""effect"":[{""typ"":""marching_effect"",""id"":13650154,""val"":2592000000},{""typ"":""vm"",""id"":11151001,""val"":1000}]}")</f>
        <v>{"effect":[{"typ":"marching_effect","id":13650154,"val":2592000000},{"typ":"vm","id":11151001,"val":1000}]}</v>
      </c>
      <c r="T3027" s="148">
        <f>IFERROR(__xludf.DUMMYFUNCTION("""COMPUTED_VALUE"""),-1.0)</f>
        <v>-1</v>
      </c>
      <c r="U3027" s="148">
        <f>IFERROR(__xludf.DUMMYFUNCTION("""COMPUTED_VALUE"""),0.0)</f>
        <v>0</v>
      </c>
      <c r="V3027" s="148" t="str">
        <f>IFERROR(__xludf.DUMMYFUNCTION("""COMPUTED_VALUE"""),"[]")</f>
        <v>[]</v>
      </c>
      <c r="W3027" s="148">
        <f>IFERROR(__xludf.DUMMYFUNCTION("""COMPUTED_VALUE"""),1.174E7)</f>
        <v>11740000</v>
      </c>
      <c r="X3027" s="148">
        <f>IFERROR(__xludf.DUMMYFUNCTION("""COMPUTED_VALUE"""),0.0)</f>
        <v>0</v>
      </c>
      <c r="Y3027" s="148">
        <f>IFERROR(__xludf.DUMMYFUNCTION("""COMPUTED_VALUE"""),0.0)</f>
        <v>0</v>
      </c>
      <c r="Z3027" s="148"/>
    </row>
    <row r="3028">
      <c r="A3028" s="148">
        <f>IFERROR(__xludf.DUMMYFUNCTION("""COMPUTED_VALUE"""),1.1119994E7)</f>
        <v>11119994</v>
      </c>
      <c r="B3028" s="148" t="str">
        <f>IFERROR(__xludf.DUMMYFUNCTION("""COMPUTED_VALUE"""),"2026情人节行军特效-审判之箭-永久")</f>
        <v>2026情人节行军特效-审判之箭-永久</v>
      </c>
      <c r="C3028" s="148"/>
      <c r="D3028" s="148" t="str">
        <f>IFERROR(__xludf.DUMMYFUNCTION("""COMPUTED_VALUE"""),"marching_effect")</f>
        <v>marching_effect</v>
      </c>
      <c r="E3028" s="148">
        <f>IFERROR(__xludf.DUMMYFUNCTION("""COMPUTED_VALUE"""),0.0)</f>
        <v>0</v>
      </c>
      <c r="F3028" s="148">
        <f>IFERROR(__xludf.DUMMYFUNCTION("""COMPUTED_VALUE"""),408195.0)</f>
        <v>408195</v>
      </c>
      <c r="G3028" s="148">
        <f>IFERROR(__xludf.DUMMYFUNCTION("""COMPUTED_VALUE"""),1.51104399E8)</f>
        <v>151104399</v>
      </c>
      <c r="H3028" s="148">
        <f>IFERROR(__xludf.DUMMYFUNCTION("""COMPUTED_VALUE"""),1.5112564E7)</f>
        <v>15112564</v>
      </c>
      <c r="I3028" s="148" t="str">
        <f>IFERROR(__xludf.DUMMYFUNCTION("""COMPUTED_VALUE"""),"{}")</f>
        <v>{}</v>
      </c>
      <c r="J3028" s="148" t="str">
        <f>IFERROR(__xludf.DUMMYFUNCTION("""COMPUTED_VALUE"""),"{""typ"":""lc"",""txt"":""LC_ITEM_vd_marcheffect_high_2026""}")</f>
        <v>{"typ":"lc","txt":"LC_ITEM_vd_marcheffect_high_2026"}</v>
      </c>
      <c r="K3028" s="148" t="str">
        <f>IFERROR(__xludf.DUMMYFUNCTION("""COMPUTED_VALUE"""),"{""typ"":""lc"",""txt"":""LC_ITEM_vd_marcheffect_high_2026_desc""}")</f>
        <v>{"typ":"lc","txt":"LC_ITEM_vd_marcheffect_high_2026_desc"}</v>
      </c>
      <c r="L3028" s="148" t="str">
        <f>IFERROR(__xludf.DUMMYFUNCTION("""COMPUTED_VALUE"""),"{""typ"":""lc"",""txt"":""LC_ITEM_march_effect_use_tip_all""}")</f>
        <v>{"typ":"lc","txt":"LC_ITEM_march_effect_use_tip_all"}</v>
      </c>
      <c r="M3028" s="148">
        <f>IFERROR(__xludf.DUMMYFUNCTION("""COMPUTED_VALUE"""),5000.0)</f>
        <v>5000</v>
      </c>
      <c r="N3028" s="148">
        <f>IFERROR(__xludf.DUMMYFUNCTION("""COMPUTED_VALUE"""),999999.0)</f>
        <v>999999</v>
      </c>
      <c r="O3028" s="148">
        <f>IFERROR(__xludf.DUMMYFUNCTION("""COMPUTED_VALUE"""),99999.0)</f>
        <v>99999</v>
      </c>
      <c r="P3028" s="148">
        <f>IFERROR(__xludf.DUMMYFUNCTION("""COMPUTED_VALUE"""),1.0)</f>
        <v>1</v>
      </c>
      <c r="Q3028" s="148" t="str">
        <f>IFERROR(__xludf.DUMMYFUNCTION("""COMPUTED_VALUE"""),"[""bag_other""]")</f>
        <v>["bag_other"]</v>
      </c>
      <c r="R3028" s="148" t="str">
        <f>IFERROR(__xludf.DUMMYFUNCTION("""COMPUTED_VALUE"""),"[""bag"",""13650154""]")</f>
        <v>["bag","13650154"]</v>
      </c>
      <c r="S3028" s="148" t="str">
        <f>IFERROR(__xludf.DUMMYFUNCTION("""COMPUTED_VALUE"""),"{""effect"":[{""typ"":""marching_effect"",""id"":13650154,""val"":-1},{""typ"":""vm"",""id"":11151001,""val"":2500}]}")</f>
        <v>{"effect":[{"typ":"marching_effect","id":13650154,"val":-1},{"typ":"vm","id":11151001,"val":2500}]}</v>
      </c>
      <c r="T3028" s="148">
        <f>IFERROR(__xludf.DUMMYFUNCTION("""COMPUTED_VALUE"""),-1.0)</f>
        <v>-1</v>
      </c>
      <c r="U3028" s="148">
        <f>IFERROR(__xludf.DUMMYFUNCTION("""COMPUTED_VALUE"""),0.0)</f>
        <v>0</v>
      </c>
      <c r="V3028" s="148" t="str">
        <f>IFERROR(__xludf.DUMMYFUNCTION("""COMPUTED_VALUE"""),"[]")</f>
        <v>[]</v>
      </c>
      <c r="W3028" s="148">
        <f>IFERROR(__xludf.DUMMYFUNCTION("""COMPUTED_VALUE"""),1.174E7)</f>
        <v>11740000</v>
      </c>
      <c r="X3028" s="148">
        <f>IFERROR(__xludf.DUMMYFUNCTION("""COMPUTED_VALUE"""),0.0)</f>
        <v>0</v>
      </c>
      <c r="Y3028" s="148">
        <f>IFERROR(__xludf.DUMMYFUNCTION("""COMPUTED_VALUE"""),0.0)</f>
        <v>0</v>
      </c>
      <c r="Z3028" s="148"/>
    </row>
    <row r="3029">
      <c r="A3029" s="148">
        <f>IFERROR(__xludf.DUMMYFUNCTION("""COMPUTED_VALUE"""),1.1119995E7)</f>
        <v>11119995</v>
      </c>
      <c r="B3029" s="148" t="str">
        <f>IFERROR(__xludf.DUMMYFUNCTION("""COMPUTED_VALUE"""),"2026复活节-巨猿金蛋砸蛋锤")</f>
        <v>2026复活节-巨猿金蛋砸蛋锤</v>
      </c>
      <c r="C3029" s="148"/>
      <c r="D3029" s="148" t="str">
        <f>IFERROR(__xludf.DUMMYFUNCTION("""COMPUTED_VALUE"""),"item_asset")</f>
        <v>item_asset</v>
      </c>
      <c r="E3029" s="148">
        <f>IFERROR(__xludf.DUMMYFUNCTION("""COMPUTED_VALUE"""),0.0)</f>
        <v>0</v>
      </c>
      <c r="F3029" s="148">
        <f>IFERROR(__xludf.DUMMYFUNCTION("""COMPUTED_VALUE"""),405224.0)</f>
        <v>405224</v>
      </c>
      <c r="G3029" s="148">
        <f>IFERROR(__xludf.DUMMYFUNCTION("""COMPUTED_VALUE"""),1.5110472E8)</f>
        <v>151104720</v>
      </c>
      <c r="H3029" s="148">
        <f>IFERROR(__xludf.DUMMYFUNCTION("""COMPUTED_VALUE"""),1.5112564E7)</f>
        <v>15112564</v>
      </c>
      <c r="I3029" s="148" t="str">
        <f>IFERROR(__xludf.DUMMYFUNCTION("""COMPUTED_VALUE"""),"{}")</f>
        <v>{}</v>
      </c>
      <c r="J3029" s="148" t="str">
        <f>IFERROR(__xludf.DUMMYFUNCTION("""COMPUTED_VALUE"""),"{""typ"":""lc"",""txt"":""LC_ITEM_wonder_item_2026_egg_hammer""}")</f>
        <v>{"typ":"lc","txt":"LC_ITEM_wonder_item_2026_egg_hammer"}</v>
      </c>
      <c r="K3029" s="148" t="str">
        <f>IFERROR(__xludf.DUMMYFUNCTION("""COMPUTED_VALUE"""),"{""typ"":""lc"",""txt"":""LC_ITEM_wonder_item_2026_egg_hammer_desc""}")</f>
        <v>{"typ":"lc","txt":"LC_ITEM_wonder_item_2026_egg_hammer_desc"}</v>
      </c>
      <c r="L3029" s="148" t="str">
        <f>IFERROR(__xludf.DUMMYFUNCTION("""COMPUTED_VALUE"""),"{}")</f>
        <v>{}</v>
      </c>
      <c r="M3029" s="148">
        <f>IFERROR(__xludf.DUMMYFUNCTION("""COMPUTED_VALUE"""),100.0)</f>
        <v>100</v>
      </c>
      <c r="N3029" s="148">
        <f>IFERROR(__xludf.DUMMYFUNCTION("""COMPUTED_VALUE"""),999999.0)</f>
        <v>999999</v>
      </c>
      <c r="O3029" s="148">
        <f>IFERROR(__xludf.DUMMYFUNCTION("""COMPUTED_VALUE"""),99999.0)</f>
        <v>99999</v>
      </c>
      <c r="P3029" s="148">
        <f>IFERROR(__xludf.DUMMYFUNCTION("""COMPUTED_VALUE"""),99999.0)</f>
        <v>99999</v>
      </c>
      <c r="Q3029" s="148" t="str">
        <f>IFERROR(__xludf.DUMMYFUNCTION("""COMPUTED_VALUE"""),"[]")</f>
        <v>[]</v>
      </c>
      <c r="R3029" s="148" t="str">
        <f>IFERROR(__xludf.DUMMYFUNCTION("""COMPUTED_VALUE"""),"[]")</f>
        <v>[]</v>
      </c>
      <c r="S3029" s="148" t="str">
        <f>IFERROR(__xludf.DUMMYFUNCTION("""COMPUTED_VALUE"""),"{}")</f>
        <v>{}</v>
      </c>
      <c r="T3029" s="148">
        <f>IFERROR(__xludf.DUMMYFUNCTION("""COMPUTED_VALUE"""),-1.0)</f>
        <v>-1</v>
      </c>
      <c r="U3029" s="148">
        <f>IFERROR(__xludf.DUMMYFUNCTION("""COMPUTED_VALUE"""),0.0)</f>
        <v>0</v>
      </c>
      <c r="V3029" s="148" t="str">
        <f>IFERROR(__xludf.DUMMYFUNCTION("""COMPUTED_VALUE"""),"[]")</f>
        <v>[]</v>
      </c>
      <c r="W3029" s="148">
        <f>IFERROR(__xludf.DUMMYFUNCTION("""COMPUTED_VALUE"""),1.174E7)</f>
        <v>11740000</v>
      </c>
      <c r="X3029" s="148">
        <f>IFERROR(__xludf.DUMMYFUNCTION("""COMPUTED_VALUE"""),0.0)</f>
        <v>0</v>
      </c>
      <c r="Y3029" s="148">
        <f>IFERROR(__xludf.DUMMYFUNCTION("""COMPUTED_VALUE"""),0.0)</f>
        <v>0</v>
      </c>
      <c r="Z3029" s="148"/>
    </row>
    <row r="3030">
      <c r="A3030" s="148">
        <f>IFERROR(__xludf.DUMMYFUNCTION("""COMPUTED_VALUE"""),1.1119996E7)</f>
        <v>11119996</v>
      </c>
      <c r="B3030" s="148" t="str">
        <f>IFERROR(__xludf.DUMMYFUNCTION("""COMPUTED_VALUE"""),"挖孔主题卡包")</f>
        <v>挖孔主题卡包</v>
      </c>
      <c r="C3030" s="148"/>
      <c r="D3030" s="148" t="str">
        <f>IFERROR(__xludf.DUMMYFUNCTION("""COMPUTED_VALUE"""),"item_card_asset")</f>
        <v>item_card_asset</v>
      </c>
      <c r="E3030" s="148">
        <f>IFERROR(__xludf.DUMMYFUNCTION("""COMPUTED_VALUE"""),19.0)</f>
        <v>19</v>
      </c>
      <c r="F3030" s="148">
        <f>IFERROR(__xludf.DUMMYFUNCTION("""COMPUTED_VALUE"""),403314.0)</f>
        <v>403314</v>
      </c>
      <c r="G3030" s="148">
        <f>IFERROR(__xludf.DUMMYFUNCTION("""COMPUTED_VALUE"""),1.511045E8)</f>
        <v>151104500</v>
      </c>
      <c r="H3030" s="148">
        <f>IFERROR(__xludf.DUMMYFUNCTION("""COMPUTED_VALUE"""),1.5112564E7)</f>
        <v>15112564</v>
      </c>
      <c r="I3030" s="148" t="str">
        <f>IFERROR(__xludf.DUMMYFUNCTION("""COMPUTED_VALUE"""),"{}")</f>
        <v>{}</v>
      </c>
      <c r="J3030" s="148" t="str">
        <f>IFERROR(__xludf.DUMMYFUNCTION("""COMPUTED_VALUE"""),"{""typ"":""lc"",""txt"":""LC_ITEM_tech_fest_pack_core_decipher_name""}")</f>
        <v>{"typ":"lc","txt":"LC_ITEM_tech_fest_pack_core_decipher_name"}</v>
      </c>
      <c r="K3030" s="148" t="str">
        <f>IFERROR(__xludf.DUMMYFUNCTION("""COMPUTED_VALUE"""),"{""typ"":""lc"",""txt"":""LC_ITEM_tech_fest_pack_core_decipher_desc""}")</f>
        <v>{"typ":"lc","txt":"LC_ITEM_tech_fest_pack_core_decipher_desc"}</v>
      </c>
      <c r="L3030" s="148" t="str">
        <f>IFERROR(__xludf.DUMMYFUNCTION("""COMPUTED_VALUE"""),"{}")</f>
        <v>{}</v>
      </c>
      <c r="M3030" s="148">
        <f>IFERROR(__xludf.DUMMYFUNCTION("""COMPUTED_VALUE"""),135.0)</f>
        <v>135</v>
      </c>
      <c r="N3030" s="148">
        <f>IFERROR(__xludf.DUMMYFUNCTION("""COMPUTED_VALUE"""),999999.0)</f>
        <v>999999</v>
      </c>
      <c r="O3030" s="148">
        <f>IFERROR(__xludf.DUMMYFUNCTION("""COMPUTED_VALUE"""),99999.0)</f>
        <v>99999</v>
      </c>
      <c r="P3030" s="148">
        <f>IFERROR(__xludf.DUMMYFUNCTION("""COMPUTED_VALUE"""),5.0)</f>
        <v>5</v>
      </c>
      <c r="Q3030" s="148" t="str">
        <f>IFERROR(__xludf.DUMMYFUNCTION("""COMPUTED_VALUE"""),"[""bag_other""]")</f>
        <v>["bag_other"]</v>
      </c>
      <c r="R3030" s="148" t="str">
        <f>IFERROR(__xludf.DUMMYFUNCTION("""COMPUTED_VALUE"""),"[""card"",""bag""]")</f>
        <v>["card","bag"]</v>
      </c>
      <c r="S3030" s="148" t="str">
        <f>IFERROR(__xludf.DUMMYFUNCTION("""COMPUTED_VALUE"""),"{""drop"": {""typ"":""single_all"",""num"":1,""args"":[{""typ"":""single_random"",""num"":1,""args"":[{""typ"":""card_star"",""id"":3,""num"":1,""args"":[{""id"":60011004},{""id"":60021306}],""wgt"":8000},{""typ"":""card_star"",""id"":4,""num"":1,""args"""&amp;":[{""id"":60011004},{""id"":60021306}],""wgt"":1800},{""typ"":""card_star"",""id"":5,""num"":1,""args"":[{""id"":60011004},{""id"":60021306}],""wgt"":200}]},{""typ"":""single_random"",""num"":1,""args"":[{""typ"":""card_star"",""id"":3,""num"":1,""args"":"&amp;"[{""id"":60011004},{""id"":60021306}],""wgt"":8000},{""typ"":""card_star"",""id"":4,""num"":1,""args"":[{""id"":60011004},{""id"":60021306}],""wgt"":1800},{""typ"":""card_star"",""id"":5,""num"":1,""args"":[{""id"":60011004},{""id"":60021306}],""wgt"":200"&amp;"}]}]}}")</f>
        <v>{"drop": {"typ":"single_all","num":1,"args":[{"typ":"single_random","num":1,"args":[{"typ":"card_star","id":3,"num":1,"args":[{"id":60011004},{"id":60021306}],"wgt":8000},{"typ":"card_star","id":4,"num":1,"args":[{"id":60011004},{"id":60021306}],"wgt":1800},{"typ":"card_star","id":5,"num":1,"args":[{"id":60011004},{"id":60021306}],"wgt":200}]},{"typ":"single_random","num":1,"args":[{"typ":"card_star","id":3,"num":1,"args":[{"id":60011004},{"id":60021306}],"wgt":8000},{"typ":"card_star","id":4,"num":1,"args":[{"id":60011004},{"id":60021306}],"wgt":1800},{"typ":"card_star","id":5,"num":1,"args":[{"id":60011004},{"id":60021306}],"wgt":200}]}]}}</v>
      </c>
      <c r="T3030" s="148">
        <f>IFERROR(__xludf.DUMMYFUNCTION("""COMPUTED_VALUE"""),-1.0)</f>
        <v>-1</v>
      </c>
      <c r="U3030" s="148">
        <f>IFERROR(__xludf.DUMMYFUNCTION("""COMPUTED_VALUE"""),0.0)</f>
        <v>0</v>
      </c>
      <c r="V3030" s="148" t="str">
        <f>IFERROR(__xludf.DUMMYFUNCTION("""COMPUTED_VALUE"""),"[]")</f>
        <v>[]</v>
      </c>
      <c r="W3030" s="148">
        <f>IFERROR(__xludf.DUMMYFUNCTION("""COMPUTED_VALUE"""),1.174E7)</f>
        <v>11740000</v>
      </c>
      <c r="X3030" s="148">
        <f>IFERROR(__xludf.DUMMYFUNCTION("""COMPUTED_VALUE"""),0.0)</f>
        <v>0</v>
      </c>
      <c r="Y3030" s="148">
        <f>IFERROR(__xludf.DUMMYFUNCTION("""COMPUTED_VALUE"""),0.0)</f>
        <v>0</v>
      </c>
      <c r="Z3030" s="148"/>
    </row>
    <row r="3031">
      <c r="A3031" s="148">
        <f>IFERROR(__xludf.DUMMYFUNCTION("""COMPUTED_VALUE"""),1.1119997E7)</f>
        <v>11119997</v>
      </c>
      <c r="B3031" s="148" t="str">
        <f>IFERROR(__xludf.DUMMYFUNCTION("""COMPUTED_VALUE"""),"挖矿主题卡包")</f>
        <v>挖矿主题卡包</v>
      </c>
      <c r="C3031" s="148"/>
      <c r="D3031" s="148" t="str">
        <f>IFERROR(__xludf.DUMMYFUNCTION("""COMPUTED_VALUE"""),"item_card_asset")</f>
        <v>item_card_asset</v>
      </c>
      <c r="E3031" s="148">
        <f>IFERROR(__xludf.DUMMYFUNCTION("""COMPUTED_VALUE"""),19.0)</f>
        <v>19</v>
      </c>
      <c r="F3031" s="148">
        <f>IFERROR(__xludf.DUMMYFUNCTION("""COMPUTED_VALUE"""),403315.0)</f>
        <v>403315</v>
      </c>
      <c r="G3031" s="148">
        <f>IFERROR(__xludf.DUMMYFUNCTION("""COMPUTED_VALUE"""),1.51104501E8)</f>
        <v>151104501</v>
      </c>
      <c r="H3031" s="148">
        <f>IFERROR(__xludf.DUMMYFUNCTION("""COMPUTED_VALUE"""),1.5112564E7)</f>
        <v>15112564</v>
      </c>
      <c r="I3031" s="148" t="str">
        <f>IFERROR(__xludf.DUMMYFUNCTION("""COMPUTED_VALUE"""),"{}")</f>
        <v>{}</v>
      </c>
      <c r="J3031" s="148" t="str">
        <f>IFERROR(__xludf.DUMMYFUNCTION("""COMPUTED_VALUE"""),"{""typ"":""lc"",""txt"":""LC_ITEM_tech_fest_pack_underground_name""}")</f>
        <v>{"typ":"lc","txt":"LC_ITEM_tech_fest_pack_underground_name"}</v>
      </c>
      <c r="K3031" s="148" t="str">
        <f>IFERROR(__xludf.DUMMYFUNCTION("""COMPUTED_VALUE"""),"{""typ"":""lc"",""txt"":""LC_ITEM_tech_fest_pack_underground_desc""}")</f>
        <v>{"typ":"lc","txt":"LC_ITEM_tech_fest_pack_underground_desc"}</v>
      </c>
      <c r="L3031" s="148" t="str">
        <f>IFERROR(__xludf.DUMMYFUNCTION("""COMPUTED_VALUE"""),"{}")</f>
        <v>{}</v>
      </c>
      <c r="M3031" s="148">
        <f>IFERROR(__xludf.DUMMYFUNCTION("""COMPUTED_VALUE"""),135.0)</f>
        <v>135</v>
      </c>
      <c r="N3031" s="148">
        <f>IFERROR(__xludf.DUMMYFUNCTION("""COMPUTED_VALUE"""),999999.0)</f>
        <v>999999</v>
      </c>
      <c r="O3031" s="148">
        <f>IFERROR(__xludf.DUMMYFUNCTION("""COMPUTED_VALUE"""),99999.0)</f>
        <v>99999</v>
      </c>
      <c r="P3031" s="148">
        <f>IFERROR(__xludf.DUMMYFUNCTION("""COMPUTED_VALUE"""),5.0)</f>
        <v>5</v>
      </c>
      <c r="Q3031" s="148" t="str">
        <f>IFERROR(__xludf.DUMMYFUNCTION("""COMPUTED_VALUE"""),"[""bag_other""]")</f>
        <v>["bag_other"]</v>
      </c>
      <c r="R3031" s="148" t="str">
        <f>IFERROR(__xludf.DUMMYFUNCTION("""COMPUTED_VALUE"""),"[""card"",""bag""]")</f>
        <v>["card","bag"]</v>
      </c>
      <c r="S3031" s="148" t="str">
        <f>IFERROR(__xludf.DUMMYFUNCTION("""COMPUTED_VALUE"""),"{""drop"":{""typ"":""single_all"",""num"":1,""args"":[{""typ"":""single_random"",""num"":1,""args"":[{""typ"":""card_star"",""id"":3,""num"":1,""args"":[{""id"":60011004},{""id"":60021305}],""wgt"":8000},{""typ"":""card_star"",""id"":4,""num"":1,""args"":"&amp;"[{""id"":60011004},{""id"":60021305}],""wgt"":1800}]},{""typ"":""single_random"",""num"":1,""args"":[{""typ"":""card_star"",""id"":3,""num"":1,""args"":[{""id"":60011004},{""id"":60021305}],""wgt"":8000},{""typ"":""card_star"",""id"":4,""num"":1,""args"":"&amp;"[{""id"":60011004},{""id"":60021305}],""wgt"":1800}]}]}}")</f>
        <v>{"drop":{"typ":"single_all","num":1,"args":[{"typ":"single_random","num":1,"args":[{"typ":"card_star","id":3,"num":1,"args":[{"id":60011004},{"id":60021305}],"wgt":8000},{"typ":"card_star","id":4,"num":1,"args":[{"id":60011004},{"id":60021305}],"wgt":1800}]},{"typ":"single_random","num":1,"args":[{"typ":"card_star","id":3,"num":1,"args":[{"id":60011004},{"id":60021305}],"wgt":8000},{"typ":"card_star","id":4,"num":1,"args":[{"id":60011004},{"id":60021305}],"wgt":1800}]}]}}</v>
      </c>
      <c r="T3031" s="148">
        <f>IFERROR(__xludf.DUMMYFUNCTION("""COMPUTED_VALUE"""),-1.0)</f>
        <v>-1</v>
      </c>
      <c r="U3031" s="148">
        <f>IFERROR(__xludf.DUMMYFUNCTION("""COMPUTED_VALUE"""),0.0)</f>
        <v>0</v>
      </c>
      <c r="V3031" s="148" t="str">
        <f>IFERROR(__xludf.DUMMYFUNCTION("""COMPUTED_VALUE"""),"[]")</f>
        <v>[]</v>
      </c>
      <c r="W3031" s="148">
        <f>IFERROR(__xludf.DUMMYFUNCTION("""COMPUTED_VALUE"""),1.174E7)</f>
        <v>11740000</v>
      </c>
      <c r="X3031" s="148">
        <f>IFERROR(__xludf.DUMMYFUNCTION("""COMPUTED_VALUE"""),0.0)</f>
        <v>0</v>
      </c>
      <c r="Y3031" s="148">
        <f>IFERROR(__xludf.DUMMYFUNCTION("""COMPUTED_VALUE"""),0.0)</f>
        <v>0</v>
      </c>
      <c r="Z3031" s="148"/>
    </row>
    <row r="3032">
      <c r="A3032" s="148">
        <f>IFERROR(__xludf.DUMMYFUNCTION("""COMPUTED_VALUE"""),1.1119998E7)</f>
        <v>11119998</v>
      </c>
      <c r="B3032" s="148" t="str">
        <f>IFERROR(__xludf.DUMMYFUNCTION("""COMPUTED_VALUE"""),"弹珠主题卡包")</f>
        <v>弹珠主题卡包</v>
      </c>
      <c r="C3032" s="148"/>
      <c r="D3032" s="148" t="str">
        <f>IFERROR(__xludf.DUMMYFUNCTION("""COMPUTED_VALUE"""),"item_card_asset")</f>
        <v>item_card_asset</v>
      </c>
      <c r="E3032" s="148">
        <f>IFERROR(__xludf.DUMMYFUNCTION("""COMPUTED_VALUE"""),19.0)</f>
        <v>19</v>
      </c>
      <c r="F3032" s="148">
        <f>IFERROR(__xludf.DUMMYFUNCTION("""COMPUTED_VALUE"""),403319.0)</f>
        <v>403319</v>
      </c>
      <c r="G3032" s="148">
        <f>IFERROR(__xludf.DUMMYFUNCTION("""COMPUTED_VALUE"""),1.51104502E8)</f>
        <v>151104502</v>
      </c>
      <c r="H3032" s="148">
        <f>IFERROR(__xludf.DUMMYFUNCTION("""COMPUTED_VALUE"""),1.5112564E7)</f>
        <v>15112564</v>
      </c>
      <c r="I3032" s="148" t="str">
        <f>IFERROR(__xludf.DUMMYFUNCTION("""COMPUTED_VALUE"""),"{}")</f>
        <v>{}</v>
      </c>
      <c r="J3032" s="148" t="str">
        <f>IFERROR(__xludf.DUMMYFUNCTION("""COMPUTED_VALUE"""),"{""typ"":""lc"",""txt"":""LC_ITEM_tech_fest_pack_lucky_marble_name""}")</f>
        <v>{"typ":"lc","txt":"LC_ITEM_tech_fest_pack_lucky_marble_name"}</v>
      </c>
      <c r="K3032" s="148" t="str">
        <f>IFERROR(__xludf.DUMMYFUNCTION("""COMPUTED_VALUE"""),"{""typ"":""lc"",""txt"":""LC_ITEM_tech_fest_pack_lucky_marble_desc""}")</f>
        <v>{"typ":"lc","txt":"LC_ITEM_tech_fest_pack_lucky_marble_desc"}</v>
      </c>
      <c r="L3032" s="148" t="str">
        <f>IFERROR(__xludf.DUMMYFUNCTION("""COMPUTED_VALUE"""),"{}")</f>
        <v>{}</v>
      </c>
      <c r="M3032" s="148">
        <f>IFERROR(__xludf.DUMMYFUNCTION("""COMPUTED_VALUE"""),135.0)</f>
        <v>135</v>
      </c>
      <c r="N3032" s="148">
        <f>IFERROR(__xludf.DUMMYFUNCTION("""COMPUTED_VALUE"""),999999.0)</f>
        <v>999999</v>
      </c>
      <c r="O3032" s="148">
        <f>IFERROR(__xludf.DUMMYFUNCTION("""COMPUTED_VALUE"""),99999.0)</f>
        <v>99999</v>
      </c>
      <c r="P3032" s="148">
        <f>IFERROR(__xludf.DUMMYFUNCTION("""COMPUTED_VALUE"""),5.0)</f>
        <v>5</v>
      </c>
      <c r="Q3032" s="148" t="str">
        <f>IFERROR(__xludf.DUMMYFUNCTION("""COMPUTED_VALUE"""),"[""bag_other""]")</f>
        <v>["bag_other"]</v>
      </c>
      <c r="R3032" s="148" t="str">
        <f>IFERROR(__xludf.DUMMYFUNCTION("""COMPUTED_VALUE"""),"[""card"",""bag""]")</f>
        <v>["card","bag"]</v>
      </c>
      <c r="S3032" s="148" t="str">
        <f>IFERROR(__xludf.DUMMYFUNCTION("""COMPUTED_VALUE"""),"{""drop"": {""typ"":""single_all"",""num"":1,""args"":[{""typ"":""single_random"",""num"":1,""args"":[{""typ"":""card_star"",""id"":3,""num"":1,""args"":[{""id"":60011004},{""id"":60021307}],""wgt"":8000},{""typ"":""card_star"",""id"":4,""num"":1,""args"""&amp;":[{""id"":60011004},{""id"":60021307}],""wgt"":1800},{""typ"":""card_star"",""id"":5,""num"":1,""args"":[{""id"":60011004},{""id"":60021307}],""wgt"":200}]},{""typ"":""single_random"",""num"":1,""args"":[{""typ"":""card_star"",""id"":3,""num"":1,""args"":"&amp;"[{""id"":60011004},{""id"":60021307}],""wgt"":8000},{""typ"":""card_star"",""id"":4,""num"":1,""args"":[{""id"":60011004},{""id"":60021307}],""wgt"":1800},{""typ"":""card_star"",""id"":5,""num"":1,""args"":[{""id"":60011004},{""id"":60021307}],""wgt"":200"&amp;"}]}]}}")</f>
        <v>{"drop": {"typ":"single_all","num":1,"args":[{"typ":"single_random","num":1,"args":[{"typ":"card_star","id":3,"num":1,"args":[{"id":60011004},{"id":60021307}],"wgt":8000},{"typ":"card_star","id":4,"num":1,"args":[{"id":60011004},{"id":60021307}],"wgt":1800},{"typ":"card_star","id":5,"num":1,"args":[{"id":60011004},{"id":60021307}],"wgt":200}]},{"typ":"single_random","num":1,"args":[{"typ":"card_star","id":3,"num":1,"args":[{"id":60011004},{"id":60021307}],"wgt":8000},{"typ":"card_star","id":4,"num":1,"args":[{"id":60011004},{"id":60021307}],"wgt":1800},{"typ":"card_star","id":5,"num":1,"args":[{"id":60011004},{"id":60021307}],"wgt":200}]}]}}</v>
      </c>
      <c r="T3032" s="148">
        <f>IFERROR(__xludf.DUMMYFUNCTION("""COMPUTED_VALUE"""),-1.0)</f>
        <v>-1</v>
      </c>
      <c r="U3032" s="148">
        <f>IFERROR(__xludf.DUMMYFUNCTION("""COMPUTED_VALUE"""),0.0)</f>
        <v>0</v>
      </c>
      <c r="V3032" s="148" t="str">
        <f>IFERROR(__xludf.DUMMYFUNCTION("""COMPUTED_VALUE"""),"[]")</f>
        <v>[]</v>
      </c>
      <c r="W3032" s="148">
        <f>IFERROR(__xludf.DUMMYFUNCTION("""COMPUTED_VALUE"""),1.174E7)</f>
        <v>11740000</v>
      </c>
      <c r="X3032" s="148">
        <f>IFERROR(__xludf.DUMMYFUNCTION("""COMPUTED_VALUE"""),0.0)</f>
        <v>0</v>
      </c>
      <c r="Y3032" s="148">
        <f>IFERROR(__xludf.DUMMYFUNCTION("""COMPUTED_VALUE"""),0.0)</f>
        <v>0</v>
      </c>
      <c r="Z3032" s="148"/>
    </row>
    <row r="3033">
      <c r="A3033" s="148">
        <f>IFERROR(__xludf.DUMMYFUNCTION("""COMPUTED_VALUE"""),1.1119999E7)</f>
        <v>11119999</v>
      </c>
      <c r="B3033" s="148" t="str">
        <f>IFERROR(__xludf.DUMMYFUNCTION("""COMPUTED_VALUE"""),"推币机主题卡包")</f>
        <v>推币机主题卡包</v>
      </c>
      <c r="C3033" s="148"/>
      <c r="D3033" s="148" t="str">
        <f>IFERROR(__xludf.DUMMYFUNCTION("""COMPUTED_VALUE"""),"item_card_asset")</f>
        <v>item_card_asset</v>
      </c>
      <c r="E3033" s="148">
        <f>IFERROR(__xludf.DUMMYFUNCTION("""COMPUTED_VALUE"""),19.0)</f>
        <v>19</v>
      </c>
      <c r="F3033" s="148">
        <f>IFERROR(__xludf.DUMMYFUNCTION("""COMPUTED_VALUE"""),403320.0)</f>
        <v>403320</v>
      </c>
      <c r="G3033" s="148">
        <f>IFERROR(__xludf.DUMMYFUNCTION("""COMPUTED_VALUE"""),1.51104503E8)</f>
        <v>151104503</v>
      </c>
      <c r="H3033" s="148">
        <f>IFERROR(__xludf.DUMMYFUNCTION("""COMPUTED_VALUE"""),1.5112564E7)</f>
        <v>15112564</v>
      </c>
      <c r="I3033" s="148" t="str">
        <f>IFERROR(__xludf.DUMMYFUNCTION("""COMPUTED_VALUE"""),"{}")</f>
        <v>{}</v>
      </c>
      <c r="J3033" s="148" t="str">
        <f>IFERROR(__xludf.DUMMYFUNCTION("""COMPUTED_VALUE"""),"{""typ"":""lc"",""txt"":""LC_ITEM_tech_fest_pack_coin_pusher_name""}")</f>
        <v>{"typ":"lc","txt":"LC_ITEM_tech_fest_pack_coin_pusher_name"}</v>
      </c>
      <c r="K3033" s="148" t="str">
        <f>IFERROR(__xludf.DUMMYFUNCTION("""COMPUTED_VALUE"""),"{""typ"":""lc"",""txt"":""LC_ITEM_tech_fest_pack_coin_pusher_desc""}")</f>
        <v>{"typ":"lc","txt":"LC_ITEM_tech_fest_pack_coin_pusher_desc"}</v>
      </c>
      <c r="L3033" s="148" t="str">
        <f>IFERROR(__xludf.DUMMYFUNCTION("""COMPUTED_VALUE"""),"{}")</f>
        <v>{}</v>
      </c>
      <c r="M3033" s="148">
        <f>IFERROR(__xludf.DUMMYFUNCTION("""COMPUTED_VALUE"""),135.0)</f>
        <v>135</v>
      </c>
      <c r="N3033" s="148">
        <f>IFERROR(__xludf.DUMMYFUNCTION("""COMPUTED_VALUE"""),999999.0)</f>
        <v>999999</v>
      </c>
      <c r="O3033" s="148">
        <f>IFERROR(__xludf.DUMMYFUNCTION("""COMPUTED_VALUE"""),99999.0)</f>
        <v>99999</v>
      </c>
      <c r="P3033" s="148">
        <f>IFERROR(__xludf.DUMMYFUNCTION("""COMPUTED_VALUE"""),5.0)</f>
        <v>5</v>
      </c>
      <c r="Q3033" s="148" t="str">
        <f>IFERROR(__xludf.DUMMYFUNCTION("""COMPUTED_VALUE"""),"[""bag_other""]")</f>
        <v>["bag_other"]</v>
      </c>
      <c r="R3033" s="148" t="str">
        <f>IFERROR(__xludf.DUMMYFUNCTION("""COMPUTED_VALUE"""),"[""card"",""bag""]")</f>
        <v>["card","bag"]</v>
      </c>
      <c r="S3033" s="148" t="str">
        <f>IFERROR(__xludf.DUMMYFUNCTION("""COMPUTED_VALUE"""),"{""drop"": {""typ"":""single_all"",""num"":1,""args"":[{""typ"":""single_random"",""num"":1,""args"":[{""typ"":""card_star"",""id"":3,""num"":1,""args"":[{""id"":60011004},{""id"":60021308}],""wgt"":8000},{""typ"":""card_star"",""id"":4,""num"":1,""args"""&amp;":[{""id"":60011004},{""id"":60021308}],""wgt"":1800},{""typ"":""card_star"",""id"":5,""num"":1,""args"":[{""id"":60011004},{""id"":60021308}],""wgt"":200}]},{""typ"":""single_random"",""num"":1,""args"":[{""typ"":""card_star"",""id"":3,""num"":1,""args"":"&amp;"[{""id"":60011004},{""id"":60021308}],""wgt"":8000},{""typ"":""card_star"",""id"":4,""num"":1,""args"":[{""id"":60011004},{""id"":60021308}],""wgt"":1800},{""typ"":""card_star"",""id"":5,""num"":1,""args"":[{""id"":60011004},{""id"":60021308}],""wgt"":200"&amp;"}]}]}}")</f>
        <v>{"drop": {"typ":"single_all","num":1,"args":[{"typ":"single_random","num":1,"args":[{"typ":"card_star","id":3,"num":1,"args":[{"id":60011004},{"id":60021308}],"wgt":8000},{"typ":"card_star","id":4,"num":1,"args":[{"id":60011004},{"id":60021308}],"wgt":1800},{"typ":"card_star","id":5,"num":1,"args":[{"id":60011004},{"id":60021308}],"wgt":200}]},{"typ":"single_random","num":1,"args":[{"typ":"card_star","id":3,"num":1,"args":[{"id":60011004},{"id":60021308}],"wgt":8000},{"typ":"card_star","id":4,"num":1,"args":[{"id":60011004},{"id":60021308}],"wgt":1800},{"typ":"card_star","id":5,"num":1,"args":[{"id":60011004},{"id":60021308}],"wgt":200}]}]}}</v>
      </c>
      <c r="T3033" s="148">
        <f>IFERROR(__xludf.DUMMYFUNCTION("""COMPUTED_VALUE"""),-1.0)</f>
        <v>-1</v>
      </c>
      <c r="U3033" s="148">
        <f>IFERROR(__xludf.DUMMYFUNCTION("""COMPUTED_VALUE"""),0.0)</f>
        <v>0</v>
      </c>
      <c r="V3033" s="148" t="str">
        <f>IFERROR(__xludf.DUMMYFUNCTION("""COMPUTED_VALUE"""),"[]")</f>
        <v>[]</v>
      </c>
      <c r="W3033" s="148">
        <f>IFERROR(__xludf.DUMMYFUNCTION("""COMPUTED_VALUE"""),1.174E7)</f>
        <v>11740000</v>
      </c>
      <c r="X3033" s="148">
        <f>IFERROR(__xludf.DUMMYFUNCTION("""COMPUTED_VALUE"""),0.0)</f>
        <v>0</v>
      </c>
      <c r="Y3033" s="148">
        <f>IFERROR(__xludf.DUMMYFUNCTION("""COMPUTED_VALUE"""),0.0)</f>
        <v>0</v>
      </c>
      <c r="Z3033" s="148"/>
    </row>
    <row r="3034">
      <c r="A3034" s="148">
        <f>IFERROR(__xludf.DUMMYFUNCTION("""COMPUTED_VALUE"""),1.1111E8)</f>
        <v>111110000</v>
      </c>
      <c r="B3034" s="148" t="str">
        <f>IFERROR(__xludf.DUMMYFUNCTION("""COMPUTED_VALUE"""),"大富翁主题卡包")</f>
        <v>大富翁主题卡包</v>
      </c>
      <c r="C3034" s="148"/>
      <c r="D3034" s="148" t="str">
        <f>IFERROR(__xludf.DUMMYFUNCTION("""COMPUTED_VALUE"""),"item_card_asset")</f>
        <v>item_card_asset</v>
      </c>
      <c r="E3034" s="148">
        <f>IFERROR(__xludf.DUMMYFUNCTION("""COMPUTED_VALUE"""),19.0)</f>
        <v>19</v>
      </c>
      <c r="F3034" s="148">
        <f>IFERROR(__xludf.DUMMYFUNCTION("""COMPUTED_VALUE"""),403301.0)</f>
        <v>403301</v>
      </c>
      <c r="G3034" s="148">
        <f>IFERROR(__xludf.DUMMYFUNCTION("""COMPUTED_VALUE"""),1.51104504E8)</f>
        <v>151104504</v>
      </c>
      <c r="H3034" s="148">
        <f>IFERROR(__xludf.DUMMYFUNCTION("""COMPUTED_VALUE"""),1.5112564E7)</f>
        <v>15112564</v>
      </c>
      <c r="I3034" s="148" t="str">
        <f>IFERROR(__xludf.DUMMYFUNCTION("""COMPUTED_VALUE"""),"{}")</f>
        <v>{}</v>
      </c>
      <c r="J3034" s="148" t="str">
        <f>IFERROR(__xludf.DUMMYFUNCTION("""COMPUTED_VALUE"""),"{""typ"":""lc"",""txt"":""LC_ITEM_tech_fest_pack_roaming_name""}")</f>
        <v>{"typ":"lc","txt":"LC_ITEM_tech_fest_pack_roaming_name"}</v>
      </c>
      <c r="K3034" s="148" t="str">
        <f>IFERROR(__xludf.DUMMYFUNCTION("""COMPUTED_VALUE"""),"{""typ"":""lc"",""txt"":""LC_ITEM_tech_fest_pack_roaming_desc""}")</f>
        <v>{"typ":"lc","txt":"LC_ITEM_tech_fest_pack_roaming_desc"}</v>
      </c>
      <c r="L3034" s="148" t="str">
        <f>IFERROR(__xludf.DUMMYFUNCTION("""COMPUTED_VALUE"""),"{}")</f>
        <v>{}</v>
      </c>
      <c r="M3034" s="148">
        <f>IFERROR(__xludf.DUMMYFUNCTION("""COMPUTED_VALUE"""),135.0)</f>
        <v>135</v>
      </c>
      <c r="N3034" s="148">
        <f>IFERROR(__xludf.DUMMYFUNCTION("""COMPUTED_VALUE"""),999999.0)</f>
        <v>999999</v>
      </c>
      <c r="O3034" s="148">
        <f>IFERROR(__xludf.DUMMYFUNCTION("""COMPUTED_VALUE"""),99999.0)</f>
        <v>99999</v>
      </c>
      <c r="P3034" s="148">
        <f>IFERROR(__xludf.DUMMYFUNCTION("""COMPUTED_VALUE"""),5.0)</f>
        <v>5</v>
      </c>
      <c r="Q3034" s="148" t="str">
        <f>IFERROR(__xludf.DUMMYFUNCTION("""COMPUTED_VALUE"""),"[""bag_other""]")</f>
        <v>["bag_other"]</v>
      </c>
      <c r="R3034" s="148" t="str">
        <f>IFERROR(__xludf.DUMMYFUNCTION("""COMPUTED_VALUE"""),"[""card"",""bag""]")</f>
        <v>["card","bag"]</v>
      </c>
      <c r="S3034" s="148" t="str">
        <f>IFERROR(__xludf.DUMMYFUNCTION("""COMPUTED_VALUE"""),"{""drop"": {""typ"":""single_all"",""num"":1,""args"":[{""typ"":""single_random"",""num"":1,""args"":[{""typ"":""card_star"",""id"":3,""num"":1,""args"":[{""id"":60011004},{""id"":60021304}],""wgt"":8000},{""typ"":""card_star"",""id"":4,""num"":1,""args"""&amp;":[{""id"":60011004},{""id"":60021304}],""wgt"":1800}]},{""typ"":""single_random"",""num"":1,""args"":[{""typ"":""card_star"",""id"":3,""num"":1,""args"":[{""id"":60011004},{""id"":60021304}],""wgt"":8000},{""typ"":""card_star"",""id"":4,""num"":1,""args"""&amp;":[{""id"":60011004},{""id"":60021304}],""wgt"":1800}]}]}}")</f>
        <v>{"drop": {"typ":"single_all","num":1,"args":[{"typ":"single_random","num":1,"args":[{"typ":"card_star","id":3,"num":1,"args":[{"id":60011004},{"id":60021304}],"wgt":8000},{"typ":"card_star","id":4,"num":1,"args":[{"id":60011004},{"id":60021304}],"wgt":1800}]},{"typ":"single_random","num":1,"args":[{"typ":"card_star","id":3,"num":1,"args":[{"id":60011004},{"id":60021304}],"wgt":8000},{"typ":"card_star","id":4,"num":1,"args":[{"id":60011004},{"id":60021304}],"wgt":1800}]}]}}</v>
      </c>
      <c r="T3034" s="148">
        <f>IFERROR(__xludf.DUMMYFUNCTION("""COMPUTED_VALUE"""),-1.0)</f>
        <v>-1</v>
      </c>
      <c r="U3034" s="148">
        <f>IFERROR(__xludf.DUMMYFUNCTION("""COMPUTED_VALUE"""),0.0)</f>
        <v>0</v>
      </c>
      <c r="V3034" s="148" t="str">
        <f>IFERROR(__xludf.DUMMYFUNCTION("""COMPUTED_VALUE"""),"[]")</f>
        <v>[]</v>
      </c>
      <c r="W3034" s="148">
        <f>IFERROR(__xludf.DUMMYFUNCTION("""COMPUTED_VALUE"""),1.174E7)</f>
        <v>11740000</v>
      </c>
      <c r="X3034" s="148">
        <f>IFERROR(__xludf.DUMMYFUNCTION("""COMPUTED_VALUE"""),0.0)</f>
        <v>0</v>
      </c>
      <c r="Y3034" s="148">
        <f>IFERROR(__xludf.DUMMYFUNCTION("""COMPUTED_VALUE"""),0.0)</f>
        <v>0</v>
      </c>
      <c r="Z3034" s="148"/>
    </row>
    <row r="3035">
      <c r="A3035" s="148">
        <f>IFERROR(__xludf.DUMMYFUNCTION("""COMPUTED_VALUE"""),1.11110001E8)</f>
        <v>111110001</v>
      </c>
      <c r="B3035" s="148" t="str">
        <f>IFERROR(__xludf.DUMMYFUNCTION("""COMPUTED_VALUE"""),"异族大富翁主题卡包")</f>
        <v>异族大富翁主题卡包</v>
      </c>
      <c r="C3035" s="148"/>
      <c r="D3035" s="148" t="str">
        <f>IFERROR(__xludf.DUMMYFUNCTION("""COMPUTED_VALUE"""),"item_card_asset")</f>
        <v>item_card_asset</v>
      </c>
      <c r="E3035" s="148">
        <f>IFERROR(__xludf.DUMMYFUNCTION("""COMPUTED_VALUE"""),19.0)</f>
        <v>19</v>
      </c>
      <c r="F3035" s="148">
        <f>IFERROR(__xludf.DUMMYFUNCTION("""COMPUTED_VALUE"""),403302.0)</f>
        <v>403302</v>
      </c>
      <c r="G3035" s="148">
        <f>IFERROR(__xludf.DUMMYFUNCTION("""COMPUTED_VALUE"""),1.51104505E8)</f>
        <v>151104505</v>
      </c>
      <c r="H3035" s="148">
        <f>IFERROR(__xludf.DUMMYFUNCTION("""COMPUTED_VALUE"""),1.5112564E7)</f>
        <v>15112564</v>
      </c>
      <c r="I3035" s="148" t="str">
        <f>IFERROR(__xludf.DUMMYFUNCTION("""COMPUTED_VALUE"""),"{}")</f>
        <v>{}</v>
      </c>
      <c r="J3035" s="148" t="str">
        <f>IFERROR(__xludf.DUMMYFUNCTION("""COMPUTED_VALUE"""),"{""typ"":""lc"",""txt"":""LC_ITEM_tech_fest_pack_lab_rampage_name""}")</f>
        <v>{"typ":"lc","txt":"LC_ITEM_tech_fest_pack_lab_rampage_name"}</v>
      </c>
      <c r="K3035" s="148" t="str">
        <f>IFERROR(__xludf.DUMMYFUNCTION("""COMPUTED_VALUE"""),"{""typ"":""lc"",""txt"":""LC_ITEM_tech_fest_pack_lab_rampage_desc""}")</f>
        <v>{"typ":"lc","txt":"LC_ITEM_tech_fest_pack_lab_rampage_desc"}</v>
      </c>
      <c r="L3035" s="148" t="str">
        <f>IFERROR(__xludf.DUMMYFUNCTION("""COMPUTED_VALUE"""),"{}")</f>
        <v>{}</v>
      </c>
      <c r="M3035" s="148">
        <f>IFERROR(__xludf.DUMMYFUNCTION("""COMPUTED_VALUE"""),135.0)</f>
        <v>135</v>
      </c>
      <c r="N3035" s="148">
        <f>IFERROR(__xludf.DUMMYFUNCTION("""COMPUTED_VALUE"""),999999.0)</f>
        <v>999999</v>
      </c>
      <c r="O3035" s="148">
        <f>IFERROR(__xludf.DUMMYFUNCTION("""COMPUTED_VALUE"""),99999.0)</f>
        <v>99999</v>
      </c>
      <c r="P3035" s="148">
        <f>IFERROR(__xludf.DUMMYFUNCTION("""COMPUTED_VALUE"""),5.0)</f>
        <v>5</v>
      </c>
      <c r="Q3035" s="148" t="str">
        <f>IFERROR(__xludf.DUMMYFUNCTION("""COMPUTED_VALUE"""),"[""bag_other""]")</f>
        <v>["bag_other"]</v>
      </c>
      <c r="R3035" s="148" t="str">
        <f>IFERROR(__xludf.DUMMYFUNCTION("""COMPUTED_VALUE"""),"[""card"",""bag""]")</f>
        <v>["card","bag"]</v>
      </c>
      <c r="S3035" s="148" t="str">
        <f>IFERROR(__xludf.DUMMYFUNCTION("""COMPUTED_VALUE"""),"{""drop"":{""typ"":""single_random"",""num"":1,""args"":[{""typ"":""card_star_missing"",""id"": 5, ""num"":1,""args"":[{""id"":60011004}],""wgt"":10000}]}}")</f>
        <v>{"drop":{"typ":"single_random","num":1,"args":[{"typ":"card_star_missing","id": 5, "num":1,"args":[{"id":60011004}],"wgt":10000}]}}</v>
      </c>
      <c r="T3035" s="148">
        <f>IFERROR(__xludf.DUMMYFUNCTION("""COMPUTED_VALUE"""),-1.0)</f>
        <v>-1</v>
      </c>
      <c r="U3035" s="148">
        <f>IFERROR(__xludf.DUMMYFUNCTION("""COMPUTED_VALUE"""),0.0)</f>
        <v>0</v>
      </c>
      <c r="V3035" s="148" t="str">
        <f>IFERROR(__xludf.DUMMYFUNCTION("""COMPUTED_VALUE"""),"[]")</f>
        <v>[]</v>
      </c>
      <c r="W3035" s="148">
        <f>IFERROR(__xludf.DUMMYFUNCTION("""COMPUTED_VALUE"""),1.174E7)</f>
        <v>11740000</v>
      </c>
      <c r="X3035" s="148">
        <f>IFERROR(__xludf.DUMMYFUNCTION("""COMPUTED_VALUE"""),0.0)</f>
        <v>0</v>
      </c>
      <c r="Y3035" s="148">
        <f>IFERROR(__xludf.DUMMYFUNCTION("""COMPUTED_VALUE"""),0.0)</f>
        <v>0</v>
      </c>
      <c r="Z3035" s="148"/>
    </row>
    <row r="3036">
      <c r="A3036" s="148">
        <f>IFERROR(__xludf.DUMMYFUNCTION("""COMPUTED_VALUE"""),1.11110002E8)</f>
        <v>111110002</v>
      </c>
      <c r="B3036" s="148" t="str">
        <f>IFERROR(__xludf.DUMMYFUNCTION("""COMPUTED_VALUE"""),"节日白色保底卡包")</f>
        <v>节日白色保底卡包</v>
      </c>
      <c r="C3036" s="148"/>
      <c r="D3036" s="148" t="str">
        <f>IFERROR(__xludf.DUMMYFUNCTION("""COMPUTED_VALUE"""),"item_card_asset")</f>
        <v>item_card_asset</v>
      </c>
      <c r="E3036" s="148">
        <f>IFERROR(__xludf.DUMMYFUNCTION("""COMPUTED_VALUE"""),19.0)</f>
        <v>19</v>
      </c>
      <c r="F3036" s="148">
        <f>IFERROR(__xludf.DUMMYFUNCTION("""COMPUTED_VALUE"""),403303.0)</f>
        <v>403303</v>
      </c>
      <c r="G3036" s="148">
        <f>IFERROR(__xludf.DUMMYFUNCTION("""COMPUTED_VALUE"""),1.51104506E8)</f>
        <v>151104506</v>
      </c>
      <c r="H3036" s="148">
        <f>IFERROR(__xludf.DUMMYFUNCTION("""COMPUTED_VALUE"""),1.5112564E7)</f>
        <v>15112564</v>
      </c>
      <c r="I3036" s="148" t="str">
        <f>IFERROR(__xludf.DUMMYFUNCTION("""COMPUTED_VALUE"""),"{}")</f>
        <v>{}</v>
      </c>
      <c r="J3036" s="148" t="str">
        <f>IFERROR(__xludf.DUMMYFUNCTION("""COMPUTED_VALUE"""),"{""typ"":""lc"",""txt"":""LC_ITEM_tech_fest_pack_common_name""}")</f>
        <v>{"typ":"lc","txt":"LC_ITEM_tech_fest_pack_common_name"}</v>
      </c>
      <c r="K3036" s="148" t="str">
        <f>IFERROR(__xludf.DUMMYFUNCTION("""COMPUTED_VALUE"""),"{""typ"":""lc"",""txt"":""LC_ITEM_tech_fest_pack_common_desc""}")</f>
        <v>{"typ":"lc","txt":"LC_ITEM_tech_fest_pack_common_desc"}</v>
      </c>
      <c r="L3036" s="148" t="str">
        <f>IFERROR(__xludf.DUMMYFUNCTION("""COMPUTED_VALUE"""),"{}")</f>
        <v>{}</v>
      </c>
      <c r="M3036" s="148">
        <f>IFERROR(__xludf.DUMMYFUNCTION("""COMPUTED_VALUE"""),135.0)</f>
        <v>135</v>
      </c>
      <c r="N3036" s="148">
        <f>IFERROR(__xludf.DUMMYFUNCTION("""COMPUTED_VALUE"""),999999.0)</f>
        <v>999999</v>
      </c>
      <c r="O3036" s="148">
        <f>IFERROR(__xludf.DUMMYFUNCTION("""COMPUTED_VALUE"""),99999.0)</f>
        <v>99999</v>
      </c>
      <c r="P3036" s="148">
        <f>IFERROR(__xludf.DUMMYFUNCTION("""COMPUTED_VALUE"""),5.0)</f>
        <v>5</v>
      </c>
      <c r="Q3036" s="148" t="str">
        <f>IFERROR(__xludf.DUMMYFUNCTION("""COMPUTED_VALUE"""),"[""bag_other""]")</f>
        <v>["bag_other"]</v>
      </c>
      <c r="R3036" s="148" t="str">
        <f>IFERROR(__xludf.DUMMYFUNCTION("""COMPUTED_VALUE"""),"[""card"",""bag""]")</f>
        <v>["card","bag"]</v>
      </c>
      <c r="S3036" s="148" t="str">
        <f>IFERROR(__xludf.DUMMYFUNCTION("""COMPUTED_VALUE"""),"{""drop"": {""typ"":""single_all"",""num"":1,""args"":[{""typ"":""single_random"",""num"":1,""args"":[{""typ"":""card_star"",""id"":1,""num"":1,""args"":[{""id"":60011004}],""wgt"":9000},{""typ"":""card_star"",""id"":2,""num"":1,""args"":[{""id"":60011004"&amp;"}],""wgt"":800},{""typ"":""card_star"",""id"":3,""num"":1,""args"":[{""id"":60011004}],""wgt"":100},{""typ"":""card_star"",""id"":4,""num"":1,""args"":[{""id"":60011004}],""wgt"":49},{""typ"":""card_star"",""id"":5,""num"":1,""args"":[{""id"":60011004}],"&amp;"""wgt"":1}]}]}}")</f>
        <v>{"drop": {"typ":"single_all","num":1,"args":[{"typ":"single_random","num":1,"args":[{"typ":"card_star","id":1,"num":1,"args":[{"id":60011004}],"wgt":9000},{"typ":"card_star","id":2,"num":1,"args":[{"id":60011004}],"wgt":800},{"typ":"card_star","id":3,"num":1,"args":[{"id":60011004}],"wgt":100},{"typ":"card_star","id":4,"num":1,"args":[{"id":60011004}],"wgt":49},{"typ":"card_star","id":5,"num":1,"args":[{"id":60011004}],"wgt":1}]}]}}</v>
      </c>
      <c r="T3036" s="148">
        <f>IFERROR(__xludf.DUMMYFUNCTION("""COMPUTED_VALUE"""),-1.0)</f>
        <v>-1</v>
      </c>
      <c r="U3036" s="148">
        <f>IFERROR(__xludf.DUMMYFUNCTION("""COMPUTED_VALUE"""),0.0)</f>
        <v>0</v>
      </c>
      <c r="V3036" s="148" t="str">
        <f>IFERROR(__xludf.DUMMYFUNCTION("""COMPUTED_VALUE"""),"[]")</f>
        <v>[]</v>
      </c>
      <c r="W3036" s="148">
        <f>IFERROR(__xludf.DUMMYFUNCTION("""COMPUTED_VALUE"""),1.174E7)</f>
        <v>11740000</v>
      </c>
      <c r="X3036" s="148">
        <f>IFERROR(__xludf.DUMMYFUNCTION("""COMPUTED_VALUE"""),0.0)</f>
        <v>0</v>
      </c>
      <c r="Y3036" s="148">
        <f>IFERROR(__xludf.DUMMYFUNCTION("""COMPUTED_VALUE"""),0.0)</f>
        <v>0</v>
      </c>
      <c r="Z3036" s="148"/>
    </row>
    <row r="3037">
      <c r="A3037" s="148">
        <f>IFERROR(__xludf.DUMMYFUNCTION("""COMPUTED_VALUE"""),1.11110003E8)</f>
        <v>111110003</v>
      </c>
      <c r="B3037" s="148" t="str">
        <f>IFERROR(__xludf.DUMMYFUNCTION("""COMPUTED_VALUE"""),"节日绿色保底卡包")</f>
        <v>节日绿色保底卡包</v>
      </c>
      <c r="C3037" s="148"/>
      <c r="D3037" s="148" t="str">
        <f>IFERROR(__xludf.DUMMYFUNCTION("""COMPUTED_VALUE"""),"item_card_asset")</f>
        <v>item_card_asset</v>
      </c>
      <c r="E3037" s="148">
        <f>IFERROR(__xludf.DUMMYFUNCTION("""COMPUTED_VALUE"""),19.0)</f>
        <v>19</v>
      </c>
      <c r="F3037" s="148">
        <f>IFERROR(__xludf.DUMMYFUNCTION("""COMPUTED_VALUE"""),403303.0)</f>
        <v>403303</v>
      </c>
      <c r="G3037" s="148">
        <f>IFERROR(__xludf.DUMMYFUNCTION("""COMPUTED_VALUE"""),1.51104507E8)</f>
        <v>151104507</v>
      </c>
      <c r="H3037" s="148">
        <f>IFERROR(__xludf.DUMMYFUNCTION("""COMPUTED_VALUE"""),1.5112564E7)</f>
        <v>15112564</v>
      </c>
      <c r="I3037" s="148" t="str">
        <f>IFERROR(__xludf.DUMMYFUNCTION("""COMPUTED_VALUE"""),"{}")</f>
        <v>{}</v>
      </c>
      <c r="J3037" s="148" t="str">
        <f>IFERROR(__xludf.DUMMYFUNCTION("""COMPUTED_VALUE"""),"{""typ"":""lc"",""txt"":""LC_ITEM_tech_fest_pack_excellent_name""}")</f>
        <v>{"typ":"lc","txt":"LC_ITEM_tech_fest_pack_excellent_name"}</v>
      </c>
      <c r="K3037" s="148" t="str">
        <f>IFERROR(__xludf.DUMMYFUNCTION("""COMPUTED_VALUE"""),"{""typ"":""lc"",""txt"":""LC_ITEM_tech_fest_pack_excellent_desc""}")</f>
        <v>{"typ":"lc","txt":"LC_ITEM_tech_fest_pack_excellent_desc"}</v>
      </c>
      <c r="L3037" s="148" t="str">
        <f>IFERROR(__xludf.DUMMYFUNCTION("""COMPUTED_VALUE"""),"{}")</f>
        <v>{}</v>
      </c>
      <c r="M3037" s="148">
        <f>IFERROR(__xludf.DUMMYFUNCTION("""COMPUTED_VALUE"""),135.0)</f>
        <v>135</v>
      </c>
      <c r="N3037" s="148">
        <f>IFERROR(__xludf.DUMMYFUNCTION("""COMPUTED_VALUE"""),999999.0)</f>
        <v>999999</v>
      </c>
      <c r="O3037" s="148">
        <f>IFERROR(__xludf.DUMMYFUNCTION("""COMPUTED_VALUE"""),99999.0)</f>
        <v>99999</v>
      </c>
      <c r="P3037" s="148">
        <f>IFERROR(__xludf.DUMMYFUNCTION("""COMPUTED_VALUE"""),5.0)</f>
        <v>5</v>
      </c>
      <c r="Q3037" s="148" t="str">
        <f>IFERROR(__xludf.DUMMYFUNCTION("""COMPUTED_VALUE"""),"[""bag_other""]")</f>
        <v>["bag_other"]</v>
      </c>
      <c r="R3037" s="148" t="str">
        <f>IFERROR(__xludf.DUMMYFUNCTION("""COMPUTED_VALUE"""),"[""card"",""bag""]")</f>
        <v>["card","bag"]</v>
      </c>
      <c r="S3037" s="148" t="str">
        <f>IFERROR(__xludf.DUMMYFUNCTION("""COMPUTED_VALUE"""),"{""drop"": {""typ"":""single_all"",""num"":1,""args"":[{""typ"":""single_random"",""num"":1,""args"":[{""typ"":""card_star"",""id"":2,""num"":1,""args"":[{""id"":60011004}],""wgt"":8400},{""typ"":""card_star"",""id"":3,""num"":1,""args"":[{""id"":60011004"&amp;"}],""wgt"":1400},{""typ"":""card_star"",""id"":4,""num"":1,""args"":[{""id"":60011004}],""wgt"":198},{""typ"":""card_star"",""id"":5,""num"":1,""args"":[{""id"":60011004}],""wgt"":2}]}]}}")</f>
        <v>{"drop": {"typ":"single_all","num":1,"args":[{"typ":"single_random","num":1,"args":[{"typ":"card_star","id":2,"num":1,"args":[{"id":60011004}],"wgt":8400},{"typ":"card_star","id":3,"num":1,"args":[{"id":60011004}],"wgt":1400},{"typ":"card_star","id":4,"num":1,"args":[{"id":60011004}],"wgt":198},{"typ":"card_star","id":5,"num":1,"args":[{"id":60011004}],"wgt":2}]}]}}</v>
      </c>
      <c r="T3037" s="148">
        <f>IFERROR(__xludf.DUMMYFUNCTION("""COMPUTED_VALUE"""),-1.0)</f>
        <v>-1</v>
      </c>
      <c r="U3037" s="148">
        <f>IFERROR(__xludf.DUMMYFUNCTION("""COMPUTED_VALUE"""),0.0)</f>
        <v>0</v>
      </c>
      <c r="V3037" s="148" t="str">
        <f>IFERROR(__xludf.DUMMYFUNCTION("""COMPUTED_VALUE"""),"[]")</f>
        <v>[]</v>
      </c>
      <c r="W3037" s="148">
        <f>IFERROR(__xludf.DUMMYFUNCTION("""COMPUTED_VALUE"""),1.174E7)</f>
        <v>11740000</v>
      </c>
      <c r="X3037" s="148">
        <f>IFERROR(__xludf.DUMMYFUNCTION("""COMPUTED_VALUE"""),0.0)</f>
        <v>0</v>
      </c>
      <c r="Y3037" s="148">
        <f>IFERROR(__xludf.DUMMYFUNCTION("""COMPUTED_VALUE"""),0.0)</f>
        <v>0</v>
      </c>
      <c r="Z3037" s="148"/>
    </row>
    <row r="3038">
      <c r="A3038" s="148">
        <f>IFERROR(__xludf.DUMMYFUNCTION("""COMPUTED_VALUE"""),1.11110004E8)</f>
        <v>111110004</v>
      </c>
      <c r="B3038" s="148" t="str">
        <f>IFERROR(__xludf.DUMMYFUNCTION("""COMPUTED_VALUE"""),"节日蓝色保底卡包")</f>
        <v>节日蓝色保底卡包</v>
      </c>
      <c r="C3038" s="148"/>
      <c r="D3038" s="148" t="str">
        <f>IFERROR(__xludf.DUMMYFUNCTION("""COMPUTED_VALUE"""),"item_card_asset")</f>
        <v>item_card_asset</v>
      </c>
      <c r="E3038" s="148">
        <f>IFERROR(__xludf.DUMMYFUNCTION("""COMPUTED_VALUE"""),19.0)</f>
        <v>19</v>
      </c>
      <c r="F3038" s="148">
        <f>IFERROR(__xludf.DUMMYFUNCTION("""COMPUTED_VALUE"""),403303.0)</f>
        <v>403303</v>
      </c>
      <c r="G3038" s="148">
        <f>IFERROR(__xludf.DUMMYFUNCTION("""COMPUTED_VALUE"""),1.51104508E8)</f>
        <v>151104508</v>
      </c>
      <c r="H3038" s="148">
        <f>IFERROR(__xludf.DUMMYFUNCTION("""COMPUTED_VALUE"""),1.5112564E7)</f>
        <v>15112564</v>
      </c>
      <c r="I3038" s="148" t="str">
        <f>IFERROR(__xludf.DUMMYFUNCTION("""COMPUTED_VALUE"""),"{}")</f>
        <v>{}</v>
      </c>
      <c r="J3038" s="148" t="str">
        <f>IFERROR(__xludf.DUMMYFUNCTION("""COMPUTED_VALUE"""),"{""typ"":""lc"",""txt"":""LC_ITEM_tech_fest_pack_rare_name""}")</f>
        <v>{"typ":"lc","txt":"LC_ITEM_tech_fest_pack_rare_name"}</v>
      </c>
      <c r="K3038" s="148" t="str">
        <f>IFERROR(__xludf.DUMMYFUNCTION("""COMPUTED_VALUE"""),"{""typ"":""lc"",""txt"":""LC_ITEM_tech_fest_pack_rare_desc""}")</f>
        <v>{"typ":"lc","txt":"LC_ITEM_tech_fest_pack_rare_desc"}</v>
      </c>
      <c r="L3038" s="148" t="str">
        <f>IFERROR(__xludf.DUMMYFUNCTION("""COMPUTED_VALUE"""),"{}")</f>
        <v>{}</v>
      </c>
      <c r="M3038" s="148">
        <f>IFERROR(__xludf.DUMMYFUNCTION("""COMPUTED_VALUE"""),135.0)</f>
        <v>135</v>
      </c>
      <c r="N3038" s="148">
        <f>IFERROR(__xludf.DUMMYFUNCTION("""COMPUTED_VALUE"""),999999.0)</f>
        <v>999999</v>
      </c>
      <c r="O3038" s="148">
        <f>IFERROR(__xludf.DUMMYFUNCTION("""COMPUTED_VALUE"""),99999.0)</f>
        <v>99999</v>
      </c>
      <c r="P3038" s="148">
        <f>IFERROR(__xludf.DUMMYFUNCTION("""COMPUTED_VALUE"""),5.0)</f>
        <v>5</v>
      </c>
      <c r="Q3038" s="148" t="str">
        <f>IFERROR(__xludf.DUMMYFUNCTION("""COMPUTED_VALUE"""),"[""bag_other""]")</f>
        <v>["bag_other"]</v>
      </c>
      <c r="R3038" s="148" t="str">
        <f>IFERROR(__xludf.DUMMYFUNCTION("""COMPUTED_VALUE"""),"[""card"",""bag""]")</f>
        <v>["card","bag"]</v>
      </c>
      <c r="S3038" s="148" t="str">
        <f>IFERROR(__xludf.DUMMYFUNCTION("""COMPUTED_VALUE"""),"{""drop"": {""typ"":""single_all"",""num"":1,""args"":[{""typ"":""single_random"",""num"":1,""args"":[{""typ"":""card_star"",""id"":3,""num"":1,""args"":[{""id"":60011004}],""wgt"":8750},{""typ"":""card_star"",""id"":4,""num"":1,""args"":[{""id"":60011004"&amp;"}],""wgt"":1240},{""typ"":""card_star"",""id"":5,""num"":1,""args"":[{""id"":60011004}],""wgt"":10}]}]}}")</f>
        <v>{"drop": {"typ":"single_all","num":1,"args":[{"typ":"single_random","num":1,"args":[{"typ":"card_star","id":3,"num":1,"args":[{"id":60011004}],"wgt":8750},{"typ":"card_star","id":4,"num":1,"args":[{"id":60011004}],"wgt":1240},{"typ":"card_star","id":5,"num":1,"args":[{"id":60011004}],"wgt":10}]}]}}</v>
      </c>
      <c r="T3038" s="148">
        <f>IFERROR(__xludf.DUMMYFUNCTION("""COMPUTED_VALUE"""),-1.0)</f>
        <v>-1</v>
      </c>
      <c r="U3038" s="148">
        <f>IFERROR(__xludf.DUMMYFUNCTION("""COMPUTED_VALUE"""),0.0)</f>
        <v>0</v>
      </c>
      <c r="V3038" s="148" t="str">
        <f>IFERROR(__xludf.DUMMYFUNCTION("""COMPUTED_VALUE"""),"[]")</f>
        <v>[]</v>
      </c>
      <c r="W3038" s="148">
        <f>IFERROR(__xludf.DUMMYFUNCTION("""COMPUTED_VALUE"""),1.174E7)</f>
        <v>11740000</v>
      </c>
      <c r="X3038" s="148">
        <f>IFERROR(__xludf.DUMMYFUNCTION("""COMPUTED_VALUE"""),0.0)</f>
        <v>0</v>
      </c>
      <c r="Y3038" s="148">
        <f>IFERROR(__xludf.DUMMYFUNCTION("""COMPUTED_VALUE"""),0.0)</f>
        <v>0</v>
      </c>
      <c r="Z3038" s="148"/>
    </row>
    <row r="3039">
      <c r="A3039" s="148">
        <f>IFERROR(__xludf.DUMMYFUNCTION("""COMPUTED_VALUE"""),1.11110005E8)</f>
        <v>111110005</v>
      </c>
      <c r="B3039" s="148" t="str">
        <f>IFERROR(__xludf.DUMMYFUNCTION("""COMPUTED_VALUE"""),"节日紫色保底卡包")</f>
        <v>节日紫色保底卡包</v>
      </c>
      <c r="C3039" s="148"/>
      <c r="D3039" s="148" t="str">
        <f>IFERROR(__xludf.DUMMYFUNCTION("""COMPUTED_VALUE"""),"item_card_asset")</f>
        <v>item_card_asset</v>
      </c>
      <c r="E3039" s="148">
        <f>IFERROR(__xludf.DUMMYFUNCTION("""COMPUTED_VALUE"""),19.0)</f>
        <v>19</v>
      </c>
      <c r="F3039" s="148">
        <f>IFERROR(__xludf.DUMMYFUNCTION("""COMPUTED_VALUE"""),403303.0)</f>
        <v>403303</v>
      </c>
      <c r="G3039" s="148">
        <f>IFERROR(__xludf.DUMMYFUNCTION("""COMPUTED_VALUE"""),1.51104509E8)</f>
        <v>151104509</v>
      </c>
      <c r="H3039" s="148">
        <f>IFERROR(__xludf.DUMMYFUNCTION("""COMPUTED_VALUE"""),1.5112564E7)</f>
        <v>15112564</v>
      </c>
      <c r="I3039" s="148" t="str">
        <f>IFERROR(__xludf.DUMMYFUNCTION("""COMPUTED_VALUE"""),"{}")</f>
        <v>{}</v>
      </c>
      <c r="J3039" s="148" t="str">
        <f>IFERROR(__xludf.DUMMYFUNCTION("""COMPUTED_VALUE"""),"{""typ"":""lc"",""txt"":""LC_ITEM_tech_fest_pack_epic_name""}")</f>
        <v>{"typ":"lc","txt":"LC_ITEM_tech_fest_pack_epic_name"}</v>
      </c>
      <c r="K3039" s="148" t="str">
        <f>IFERROR(__xludf.DUMMYFUNCTION("""COMPUTED_VALUE"""),"{""typ"":""lc"",""txt"":""LC_ITEM_tech_fest_pack_epic_desc""}")</f>
        <v>{"typ":"lc","txt":"LC_ITEM_tech_fest_pack_epic_desc"}</v>
      </c>
      <c r="L3039" s="148" t="str">
        <f>IFERROR(__xludf.DUMMYFUNCTION("""COMPUTED_VALUE"""),"{}")</f>
        <v>{}</v>
      </c>
      <c r="M3039" s="148">
        <f>IFERROR(__xludf.DUMMYFUNCTION("""COMPUTED_VALUE"""),135.0)</f>
        <v>135</v>
      </c>
      <c r="N3039" s="148">
        <f>IFERROR(__xludf.DUMMYFUNCTION("""COMPUTED_VALUE"""),999999.0)</f>
        <v>999999</v>
      </c>
      <c r="O3039" s="148">
        <f>IFERROR(__xludf.DUMMYFUNCTION("""COMPUTED_VALUE"""),99999.0)</f>
        <v>99999</v>
      </c>
      <c r="P3039" s="148">
        <f>IFERROR(__xludf.DUMMYFUNCTION("""COMPUTED_VALUE"""),5.0)</f>
        <v>5</v>
      </c>
      <c r="Q3039" s="148" t="str">
        <f>IFERROR(__xludf.DUMMYFUNCTION("""COMPUTED_VALUE"""),"[""bag_other""]")</f>
        <v>["bag_other"]</v>
      </c>
      <c r="R3039" s="148" t="str">
        <f>IFERROR(__xludf.DUMMYFUNCTION("""COMPUTED_VALUE"""),"[""card"",""bag""]")</f>
        <v>["card","bag"]</v>
      </c>
      <c r="S3039" s="148" t="str">
        <f>IFERROR(__xludf.DUMMYFUNCTION("""COMPUTED_VALUE"""),"{""drop"": {""typ"":""single_all"",""num"":1,""args"":[{""typ"":""single_random"",""num"":1,""args"":[{""typ"":""card_star"",""id"":4,""num"":1,""args"":[{""id"":60011004}],""wgt"":8750},{""typ"":""card_star"",""id"":5,""num"":1,""args"":[{""id"":60011004"&amp;"}],""wgt"":1250}]}]}}")</f>
        <v>{"drop": {"typ":"single_all","num":1,"args":[{"typ":"single_random","num":1,"args":[{"typ":"card_star","id":4,"num":1,"args":[{"id":60011004}],"wgt":8750},{"typ":"card_star","id":5,"num":1,"args":[{"id":60011004}],"wgt":1250}]}]}}</v>
      </c>
      <c r="T3039" s="148">
        <f>IFERROR(__xludf.DUMMYFUNCTION("""COMPUTED_VALUE"""),-1.0)</f>
        <v>-1</v>
      </c>
      <c r="U3039" s="148">
        <f>IFERROR(__xludf.DUMMYFUNCTION("""COMPUTED_VALUE"""),0.0)</f>
        <v>0</v>
      </c>
      <c r="V3039" s="148" t="str">
        <f>IFERROR(__xludf.DUMMYFUNCTION("""COMPUTED_VALUE"""),"[]")</f>
        <v>[]</v>
      </c>
      <c r="W3039" s="148">
        <f>IFERROR(__xludf.DUMMYFUNCTION("""COMPUTED_VALUE"""),1.174E7)</f>
        <v>11740000</v>
      </c>
      <c r="X3039" s="148">
        <f>IFERROR(__xludf.DUMMYFUNCTION("""COMPUTED_VALUE"""),0.0)</f>
        <v>0</v>
      </c>
      <c r="Y3039" s="148">
        <f>IFERROR(__xludf.DUMMYFUNCTION("""COMPUTED_VALUE"""),0.0)</f>
        <v>0</v>
      </c>
      <c r="Z3039" s="148"/>
    </row>
    <row r="3040">
      <c r="A3040" s="148">
        <f>IFERROR(__xludf.DUMMYFUNCTION("""COMPUTED_VALUE"""),1.11110006E8)</f>
        <v>111110006</v>
      </c>
      <c r="B3040" s="148" t="str">
        <f>IFERROR(__xludf.DUMMYFUNCTION("""COMPUTED_VALUE"""),"节日橙色保底卡包")</f>
        <v>节日橙色保底卡包</v>
      </c>
      <c r="C3040" s="148"/>
      <c r="D3040" s="148" t="str">
        <f>IFERROR(__xludf.DUMMYFUNCTION("""COMPUTED_VALUE"""),"item_card_asset")</f>
        <v>item_card_asset</v>
      </c>
      <c r="E3040" s="148">
        <f>IFERROR(__xludf.DUMMYFUNCTION("""COMPUTED_VALUE"""),19.0)</f>
        <v>19</v>
      </c>
      <c r="F3040" s="148">
        <f>IFERROR(__xludf.DUMMYFUNCTION("""COMPUTED_VALUE"""),403303.0)</f>
        <v>403303</v>
      </c>
      <c r="G3040" s="148">
        <f>IFERROR(__xludf.DUMMYFUNCTION("""COMPUTED_VALUE"""),1.5110451E8)</f>
        <v>151104510</v>
      </c>
      <c r="H3040" s="148">
        <f>IFERROR(__xludf.DUMMYFUNCTION("""COMPUTED_VALUE"""),1.5112564E7)</f>
        <v>15112564</v>
      </c>
      <c r="I3040" s="148" t="str">
        <f>IFERROR(__xludf.DUMMYFUNCTION("""COMPUTED_VALUE"""),"{}")</f>
        <v>{}</v>
      </c>
      <c r="J3040" s="148" t="str">
        <f>IFERROR(__xludf.DUMMYFUNCTION("""COMPUTED_VALUE"""),"{""typ"":""lc"",""txt"":""LC_ITEM_tech_fest_pack_legendary_name""}")</f>
        <v>{"typ":"lc","txt":"LC_ITEM_tech_fest_pack_legendary_name"}</v>
      </c>
      <c r="K3040" s="148" t="str">
        <f>IFERROR(__xludf.DUMMYFUNCTION("""COMPUTED_VALUE"""),"{""typ"":""lc"",""txt"":""LC_ITEM_tech_fest_pack_legendary_desc""}")</f>
        <v>{"typ":"lc","txt":"LC_ITEM_tech_fest_pack_legendary_desc"}</v>
      </c>
      <c r="L3040" s="148" t="str">
        <f>IFERROR(__xludf.DUMMYFUNCTION("""COMPUTED_VALUE"""),"{}")</f>
        <v>{}</v>
      </c>
      <c r="M3040" s="148">
        <f>IFERROR(__xludf.DUMMYFUNCTION("""COMPUTED_VALUE"""),135.0)</f>
        <v>135</v>
      </c>
      <c r="N3040" s="148">
        <f>IFERROR(__xludf.DUMMYFUNCTION("""COMPUTED_VALUE"""),999999.0)</f>
        <v>999999</v>
      </c>
      <c r="O3040" s="148">
        <f>IFERROR(__xludf.DUMMYFUNCTION("""COMPUTED_VALUE"""),99999.0)</f>
        <v>99999</v>
      </c>
      <c r="P3040" s="148">
        <f>IFERROR(__xludf.DUMMYFUNCTION("""COMPUTED_VALUE"""),5.0)</f>
        <v>5</v>
      </c>
      <c r="Q3040" s="148" t="str">
        <f>IFERROR(__xludf.DUMMYFUNCTION("""COMPUTED_VALUE"""),"[""bag_other""]")</f>
        <v>["bag_other"]</v>
      </c>
      <c r="R3040" s="148" t="str">
        <f>IFERROR(__xludf.DUMMYFUNCTION("""COMPUTED_VALUE"""),"[""card"",""bag""]")</f>
        <v>["card","bag"]</v>
      </c>
      <c r="S3040" s="148" t="str">
        <f>IFERROR(__xludf.DUMMYFUNCTION("""COMPUTED_VALUE"""),"{""drop"": {""typ"":""single_all"",""num"":1,""args"":[{""typ"":""single_random"",""num"":1,""args"":[{""typ"":""card_star"",""id"":5,""num"":1,""args"":[{""id"":60011004}],""wgt"":1250}]}]}}")</f>
        <v>{"drop": {"typ":"single_all","num":1,"args":[{"typ":"single_random","num":1,"args":[{"typ":"card_star","id":5,"num":1,"args":[{"id":60011004}],"wgt":1250}]}]}}</v>
      </c>
      <c r="T3040" s="148">
        <f>IFERROR(__xludf.DUMMYFUNCTION("""COMPUTED_VALUE"""),-1.0)</f>
        <v>-1</v>
      </c>
      <c r="U3040" s="148">
        <f>IFERROR(__xludf.DUMMYFUNCTION("""COMPUTED_VALUE"""),0.0)</f>
        <v>0</v>
      </c>
      <c r="V3040" s="148" t="str">
        <f>IFERROR(__xludf.DUMMYFUNCTION("""COMPUTED_VALUE"""),"[]")</f>
        <v>[]</v>
      </c>
      <c r="W3040" s="148">
        <f>IFERROR(__xludf.DUMMYFUNCTION("""COMPUTED_VALUE"""),1.174E7)</f>
        <v>11740000</v>
      </c>
      <c r="X3040" s="148">
        <f>IFERROR(__xludf.DUMMYFUNCTION("""COMPUTED_VALUE"""),0.0)</f>
        <v>0</v>
      </c>
      <c r="Y3040" s="148">
        <f>IFERROR(__xludf.DUMMYFUNCTION("""COMPUTED_VALUE"""),0.0)</f>
        <v>0</v>
      </c>
      <c r="Z3040" s="148"/>
    </row>
    <row r="3041">
      <c r="A3041" s="148">
        <f>IFERROR(__xludf.DUMMYFUNCTION("""COMPUTED_VALUE"""),1.11110007E8)</f>
        <v>111110007</v>
      </c>
      <c r="B3041" s="148" t="str">
        <f>IFERROR(__xludf.DUMMYFUNCTION("""COMPUTED_VALUE"""),"节日自选卡包-四星以上")</f>
        <v>节日自选卡包-四星以上</v>
      </c>
      <c r="C3041" s="148"/>
      <c r="D3041" s="148" t="str">
        <f>IFERROR(__xludf.DUMMYFUNCTION("""COMPUTED_VALUE"""),"card_select_box")</f>
        <v>card_select_box</v>
      </c>
      <c r="E3041" s="148">
        <f>IFERROR(__xludf.DUMMYFUNCTION("""COMPUTED_VALUE"""),19.0)</f>
        <v>19</v>
      </c>
      <c r="F3041" s="148">
        <f>IFERROR(__xludf.DUMMYFUNCTION("""COMPUTED_VALUE"""),403303.0)</f>
        <v>403303</v>
      </c>
      <c r="G3041" s="148">
        <f>IFERROR(__xludf.DUMMYFUNCTION("""COMPUTED_VALUE"""),1.51104511E8)</f>
        <v>151104511</v>
      </c>
      <c r="H3041" s="148">
        <f>IFERROR(__xludf.DUMMYFUNCTION("""COMPUTED_VALUE"""),1.5112564E7)</f>
        <v>15112564</v>
      </c>
      <c r="I3041" s="148" t="str">
        <f>IFERROR(__xludf.DUMMYFUNCTION("""COMPUTED_VALUE"""),"{}")</f>
        <v>{}</v>
      </c>
      <c r="J3041" s="148" t="str">
        <f>IFERROR(__xludf.DUMMYFUNCTION("""COMPUTED_VALUE"""),"{""typ"":""lc"",""txt"":""LC_ITEM_tech_fest_pack_selection_name""}")</f>
        <v>{"typ":"lc","txt":"LC_ITEM_tech_fest_pack_selection_name"}</v>
      </c>
      <c r="K3041" s="148" t="str">
        <f>IFERROR(__xludf.DUMMYFUNCTION("""COMPUTED_VALUE"""),"{""typ"":""lc"",""txt"":""LC_ITEM_tech_fest_pack_selection_desc""}")</f>
        <v>{"typ":"lc","txt":"LC_ITEM_tech_fest_pack_selection_desc"}</v>
      </c>
      <c r="L3041" s="148" t="str">
        <f>IFERROR(__xludf.DUMMYFUNCTION("""COMPUTED_VALUE"""),"{}")</f>
        <v>{}</v>
      </c>
      <c r="M3041" s="148">
        <f>IFERROR(__xludf.DUMMYFUNCTION("""COMPUTED_VALUE"""),135.0)</f>
        <v>135</v>
      </c>
      <c r="N3041" s="148">
        <f>IFERROR(__xludf.DUMMYFUNCTION("""COMPUTED_VALUE"""),999999.0)</f>
        <v>999999</v>
      </c>
      <c r="O3041" s="148">
        <f>IFERROR(__xludf.DUMMYFUNCTION("""COMPUTED_VALUE"""),99999.0)</f>
        <v>99999</v>
      </c>
      <c r="P3041" s="148">
        <f>IFERROR(__xludf.DUMMYFUNCTION("""COMPUTED_VALUE"""),5.0)</f>
        <v>5</v>
      </c>
      <c r="Q3041" s="148" t="str">
        <f>IFERROR(__xludf.DUMMYFUNCTION("""COMPUTED_VALUE"""),"[""bag_other""]")</f>
        <v>["bag_other"]</v>
      </c>
      <c r="R3041" s="148" t="str">
        <f>IFERROR(__xludf.DUMMYFUNCTION("""COMPUTED_VALUE"""),"[""card"",""bag""]")</f>
        <v>["card","bag"]</v>
      </c>
      <c r="S3041" s="148" t="str">
        <f>IFERROR(__xludf.DUMMYFUNCTION("""COMPUTED_VALUE"""),"{""select_box"":[{""typ"":""card_star"",""id"":4,""val"":1},{""id"":60011004},{""typ"":""card_star"",""id"":5,""val"":1},{""id"":60011004}]}")</f>
        <v>{"select_box":[{"typ":"card_star","id":4,"val":1},{"id":60011004},{"typ":"card_star","id":5,"val":1},{"id":60011004}]}</v>
      </c>
      <c r="T3041" s="148">
        <f>IFERROR(__xludf.DUMMYFUNCTION("""COMPUTED_VALUE"""),-1.0)</f>
        <v>-1</v>
      </c>
      <c r="U3041" s="148">
        <f>IFERROR(__xludf.DUMMYFUNCTION("""COMPUTED_VALUE"""),0.0)</f>
        <v>0</v>
      </c>
      <c r="V3041" s="148" t="str">
        <f>IFERROR(__xludf.DUMMYFUNCTION("""COMPUTED_VALUE"""),"[]")</f>
        <v>[]</v>
      </c>
      <c r="W3041" s="148">
        <f>IFERROR(__xludf.DUMMYFUNCTION("""COMPUTED_VALUE"""),1.174E7)</f>
        <v>11740000</v>
      </c>
      <c r="X3041" s="148">
        <f>IFERROR(__xludf.DUMMYFUNCTION("""COMPUTED_VALUE"""),0.0)</f>
        <v>0</v>
      </c>
      <c r="Y3041" s="148">
        <f>IFERROR(__xludf.DUMMYFUNCTION("""COMPUTED_VALUE"""),0.0)</f>
        <v>0</v>
      </c>
      <c r="Z3041" s="148"/>
    </row>
    <row r="3042">
      <c r="A3042" s="148">
        <f>IFERROR(__xludf.DUMMYFUNCTION("""COMPUTED_VALUE"""),1.11110008E8)</f>
        <v>111110008</v>
      </c>
      <c r="B3042" s="148" t="str">
        <f>IFERROR(__xludf.DUMMYFUNCTION("""COMPUTED_VALUE"""),"永久资源增产特权20%-粮食")</f>
        <v>永久资源增产特权20%-粮食</v>
      </c>
      <c r="C3042" s="148"/>
      <c r="D3042" s="148" t="str">
        <f>IFERROR(__xludf.DUMMYFUNCTION("""COMPUTED_VALUE"""),"item_buff")</f>
        <v>item_buff</v>
      </c>
      <c r="E3042" s="148">
        <f>IFERROR(__xludf.DUMMYFUNCTION("""COMPUTED_VALUE"""),14.0)</f>
        <v>14</v>
      </c>
      <c r="F3042" s="148">
        <f>IFERROR(__xludf.DUMMYFUNCTION("""COMPUTED_VALUE"""),300501.0)</f>
        <v>300501</v>
      </c>
      <c r="G3042" s="148">
        <f>IFERROR(__xludf.DUMMYFUNCTION("""COMPUTED_VALUE"""),1.51102334E8)</f>
        <v>151102334</v>
      </c>
      <c r="H3042" s="148">
        <f>IFERROR(__xludf.DUMMYFUNCTION("""COMPUTED_VALUE"""),1.5112564E7)</f>
        <v>15112564</v>
      </c>
      <c r="I3042" s="148" t="str">
        <f>IFERROR(__xludf.DUMMYFUNCTION("""COMPUTED_VALUE"""),"{}")</f>
        <v>{}</v>
      </c>
      <c r="J3042" s="148" t="str">
        <f>IFERROR(__xludf.DUMMYFUNCTION("""COMPUTED_VALUE"""),"{""typ"":""lc"",""txt"":""LC_ITEM_must_have_energy_item1""}")</f>
        <v>{"typ":"lc","txt":"LC_ITEM_must_have_energy_item1"}</v>
      </c>
      <c r="K3042" s="148" t="str">
        <f>IFERROR(__xludf.DUMMYFUNCTION("""COMPUTED_VALUE"""),"{""typ"":""lc"",""txt"":""LC_ITEM_must_have_energy_item_desc7""}")</f>
        <v>{"typ":"lc","txt":"LC_ITEM_must_have_energy_item_desc7"}</v>
      </c>
      <c r="L3042" s="148" t="str">
        <f>IFERROR(__xludf.DUMMYFUNCTION("""COMPUTED_VALUE"""),"{}")</f>
        <v>{}</v>
      </c>
      <c r="M3042" s="148">
        <f>IFERROR(__xludf.DUMMYFUNCTION("""COMPUTED_VALUE"""),50000.0)</f>
        <v>50000</v>
      </c>
      <c r="N3042" s="148">
        <f>IFERROR(__xludf.DUMMYFUNCTION("""COMPUTED_VALUE"""),999999.0)</f>
        <v>999999</v>
      </c>
      <c r="O3042" s="148">
        <f>IFERROR(__xludf.DUMMYFUNCTION("""COMPUTED_VALUE"""),99999.0)</f>
        <v>99999</v>
      </c>
      <c r="P3042" s="148">
        <f>IFERROR(__xludf.DUMMYFUNCTION("""COMPUTED_VALUE"""),1.0)</f>
        <v>1</v>
      </c>
      <c r="Q3042" s="148" t="str">
        <f>IFERROR(__xludf.DUMMYFUNCTION("""COMPUTED_VALUE"""),"[]")</f>
        <v>[]</v>
      </c>
      <c r="R3042" s="148" t="str">
        <f>IFERROR(__xludf.DUMMYFUNCTION("""COMPUTED_VALUE"""),"[]")</f>
        <v>[]</v>
      </c>
      <c r="S3042" s="148" t="str">
        <f>IFERROR(__xludf.DUMMYFUNCTION("""COMPUTED_VALUE"""),"{""effect"":[{""typ"":""buff"",""id"":121141071,""val"":-1,""arg1"":0.2}]}")</f>
        <v>{"effect":[{"typ":"buff","id":121141071,"val":-1,"arg1":0.2}]}</v>
      </c>
      <c r="T3042" s="148">
        <f>IFERROR(__xludf.DUMMYFUNCTION("""COMPUTED_VALUE"""),-1.0)</f>
        <v>-1</v>
      </c>
      <c r="U3042" s="148">
        <f>IFERROR(__xludf.DUMMYFUNCTION("""COMPUTED_VALUE"""),1.0)</f>
        <v>1</v>
      </c>
      <c r="V3042" s="148" t="str">
        <f>IFERROR(__xludf.DUMMYFUNCTION("""COMPUTED_VALUE"""),"[]")</f>
        <v>[]</v>
      </c>
      <c r="W3042" s="148">
        <f>IFERROR(__xludf.DUMMYFUNCTION("""COMPUTED_VALUE"""),1.174E7)</f>
        <v>11740000</v>
      </c>
      <c r="X3042" s="148">
        <f>IFERROR(__xludf.DUMMYFUNCTION("""COMPUTED_VALUE"""),0.0)</f>
        <v>0</v>
      </c>
      <c r="Y3042" s="148">
        <f>IFERROR(__xludf.DUMMYFUNCTION("""COMPUTED_VALUE"""),0.0)</f>
        <v>0</v>
      </c>
      <c r="Z3042" s="148"/>
    </row>
    <row r="3043">
      <c r="A3043" s="148">
        <f>IFERROR(__xludf.DUMMYFUNCTION("""COMPUTED_VALUE"""),1.11110009E8)</f>
        <v>111110009</v>
      </c>
      <c r="B3043" s="148" t="str">
        <f>IFERROR(__xludf.DUMMYFUNCTION("""COMPUTED_VALUE"""),"行军表情-动态-科技节")</f>
        <v>行军表情-动态-科技节</v>
      </c>
      <c r="C3043" s="148"/>
      <c r="D3043" s="148" t="str">
        <f>IFERROR(__xludf.DUMMYFUNCTION("""COMPUTED_VALUE"""),"map_emoji")</f>
        <v>map_emoji</v>
      </c>
      <c r="E3043" s="148">
        <f>IFERROR(__xludf.DUMMYFUNCTION("""COMPUTED_VALUE"""),20.0)</f>
        <v>20</v>
      </c>
      <c r="F3043" s="148">
        <f>IFERROR(__xludf.DUMMYFUNCTION("""COMPUTED_VALUE"""),0.0)</f>
        <v>0</v>
      </c>
      <c r="G3043" s="148">
        <f>IFERROR(__xludf.DUMMYFUNCTION("""COMPUTED_VALUE"""),1.51104293E8)</f>
        <v>151104293</v>
      </c>
      <c r="H3043" s="148">
        <f>IFERROR(__xludf.DUMMYFUNCTION("""COMPUTED_VALUE"""),1.5112564E7)</f>
        <v>15112564</v>
      </c>
      <c r="I3043" s="148" t="str">
        <f>IFERROR(__xludf.DUMMYFUNCTION("""COMPUTED_VALUE"""),"{}")</f>
        <v>{}</v>
      </c>
      <c r="J3043" s="148" t="str">
        <f>IFERROR(__xludf.DUMMYFUNCTION("""COMPUTED_VALUE"""),"{""typ"":""lc"",""txt"":""LC_ITEM_map_emoji_tech2026""}")</f>
        <v>{"typ":"lc","txt":"LC_ITEM_map_emoji_tech2026"}</v>
      </c>
      <c r="K3043" s="148" t="str">
        <f>IFERROR(__xludf.DUMMYFUNCTION("""COMPUTED_VALUE"""),"{""typ"":""lc"",""txt"":""LC_ITEM_map_emoji_tech2026_desc""}")</f>
        <v>{"typ":"lc","txt":"LC_ITEM_map_emoji_tech2026_desc"}</v>
      </c>
      <c r="L3043" s="148" t="str">
        <f>IFERROR(__xludf.DUMMYFUNCTION("""COMPUTED_VALUE"""),"{}")</f>
        <v>{}</v>
      </c>
      <c r="M3043" s="148">
        <f>IFERROR(__xludf.DUMMYFUNCTION("""COMPUTED_VALUE"""),1000.0)</f>
        <v>1000</v>
      </c>
      <c r="N3043" s="148">
        <f>IFERROR(__xludf.DUMMYFUNCTION("""COMPUTED_VALUE"""),99.0)</f>
        <v>99</v>
      </c>
      <c r="O3043" s="148">
        <f>IFERROR(__xludf.DUMMYFUNCTION("""COMPUTED_VALUE"""),1.0)</f>
        <v>1</v>
      </c>
      <c r="P3043" s="148">
        <f>IFERROR(__xludf.DUMMYFUNCTION("""COMPUTED_VALUE"""),1.0)</f>
        <v>1</v>
      </c>
      <c r="Q3043" s="148" t="str">
        <f>IFERROR(__xludf.DUMMYFUNCTION("""COMPUTED_VALUE"""),"[]")</f>
        <v>[]</v>
      </c>
      <c r="R3043" s="148" t="str">
        <f>IFERROR(__xludf.DUMMYFUNCTION("""COMPUTED_VALUE"""),"[]")</f>
        <v>[]</v>
      </c>
      <c r="S3043" s="148" t="str">
        <f>IFERROR(__xludf.DUMMYFUNCTION("""COMPUTED_VALUE"""),"{""effect"":[{""typ"":""map_emoji"",""id"":11800028,""val"":-1}]}")</f>
        <v>{"effect":[{"typ":"map_emoji","id":11800028,"val":-1}]}</v>
      </c>
      <c r="T3043" s="148">
        <f>IFERROR(__xludf.DUMMYFUNCTION("""COMPUTED_VALUE"""),-1.0)</f>
        <v>-1</v>
      </c>
      <c r="U3043" s="148">
        <f>IFERROR(__xludf.DUMMYFUNCTION("""COMPUTED_VALUE"""),1.0)</f>
        <v>1</v>
      </c>
      <c r="V3043" s="148" t="str">
        <f>IFERROR(__xludf.DUMMYFUNCTION("""COMPUTED_VALUE"""),"[]")</f>
        <v>[]</v>
      </c>
      <c r="W3043" s="148">
        <f>IFERROR(__xludf.DUMMYFUNCTION("""COMPUTED_VALUE"""),1.174E7)</f>
        <v>11740000</v>
      </c>
      <c r="X3043" s="148">
        <f>IFERROR(__xludf.DUMMYFUNCTION("""COMPUTED_VALUE"""),0.0)</f>
        <v>0</v>
      </c>
      <c r="Y3043" s="148">
        <f>IFERROR(__xludf.DUMMYFUNCTION("""COMPUTED_VALUE"""),0.0)</f>
        <v>0</v>
      </c>
      <c r="Z3043" s="148"/>
    </row>
    <row r="3044">
      <c r="A3044" s="148">
        <f>IFERROR(__xludf.DUMMYFUNCTION("""COMPUTED_VALUE"""),1.1111001E8)</f>
        <v>111110010</v>
      </c>
      <c r="B3044" s="148" t="str">
        <f>IFERROR(__xludf.DUMMYFUNCTION("""COMPUTED_VALUE"""),"情人节2026-主城特效")</f>
        <v>情人节2026-主城特效</v>
      </c>
      <c r="C3044" s="148"/>
      <c r="D3044" s="148" t="str">
        <f>IFERROR(__xludf.DUMMYFUNCTION("""COMPUTED_VALUE"""),"city_effect")</f>
        <v>city_effect</v>
      </c>
      <c r="E3044" s="148">
        <f>IFERROR(__xludf.DUMMYFUNCTION("""COMPUTED_VALUE"""),0.0)</f>
        <v>0</v>
      </c>
      <c r="F3044" s="148">
        <f>IFERROR(__xludf.DUMMYFUNCTION("""COMPUTED_VALUE"""),405217.0)</f>
        <v>405217</v>
      </c>
      <c r="G3044" s="148">
        <f>IFERROR(__xludf.DUMMYFUNCTION("""COMPUTED_VALUE"""),1.51104646E8)</f>
        <v>151104646</v>
      </c>
      <c r="H3044" s="148">
        <f>IFERROR(__xludf.DUMMYFUNCTION("""COMPUTED_VALUE"""),1.5112564E7)</f>
        <v>15112564</v>
      </c>
      <c r="I3044" s="148" t="str">
        <f>IFERROR(__xludf.DUMMYFUNCTION("""COMPUTED_VALUE"""),"{}")</f>
        <v>{}</v>
      </c>
      <c r="J3044" s="148" t="str">
        <f>IFERROR(__xludf.DUMMYFUNCTION("""COMPUTED_VALUE"""),"{""typ"":""lc"",""txt"":""LC_ITEM_2026vd_city_effect_name""}")</f>
        <v>{"typ":"lc","txt":"LC_ITEM_2026vd_city_effect_name"}</v>
      </c>
      <c r="K3044" s="148" t="str">
        <f>IFERROR(__xludf.DUMMYFUNCTION("""COMPUTED_VALUE"""),"{""typ"":""lc"",""txt"":""LC_ITEM_2026vd_city_effect_name_desc""}")</f>
        <v>{"typ":"lc","txt":"LC_ITEM_2026vd_city_effect_name_desc"}</v>
      </c>
      <c r="L3044" s="148" t="str">
        <f>IFERROR(__xludf.DUMMYFUNCTION("""COMPUTED_VALUE"""),"{}")</f>
        <v>{}</v>
      </c>
      <c r="M3044" s="148">
        <f>IFERROR(__xludf.DUMMYFUNCTION("""COMPUTED_VALUE"""),10000.0)</f>
        <v>10000</v>
      </c>
      <c r="N3044" s="148">
        <f>IFERROR(__xludf.DUMMYFUNCTION("""COMPUTED_VALUE"""),999999.0)</f>
        <v>999999</v>
      </c>
      <c r="O3044" s="148">
        <f>IFERROR(__xludf.DUMMYFUNCTION("""COMPUTED_VALUE"""),99999.0)</f>
        <v>99999</v>
      </c>
      <c r="P3044" s="148">
        <f>IFERROR(__xludf.DUMMYFUNCTION("""COMPUTED_VALUE"""),1.0)</f>
        <v>1</v>
      </c>
      <c r="Q3044" s="148" t="str">
        <f>IFERROR(__xludf.DUMMYFUNCTION("""COMPUTED_VALUE"""),"[""bag_other""]")</f>
        <v>["bag_other"]</v>
      </c>
      <c r="R3044" s="148" t="str">
        <f>IFERROR(__xludf.DUMMYFUNCTION("""COMPUTED_VALUE"""),"[""bag"",""13871016""]")</f>
        <v>["bag","13871016"]</v>
      </c>
      <c r="S3044" s="148" t="str">
        <f>IFERROR(__xludf.DUMMYFUNCTION("""COMPUTED_VALUE"""),"{""effect"":[{""typ"":""city_effect"",""id"":13871016,""val"":-1},{""typ"":""item"",""id"":11111034,""val"":10}]}")</f>
        <v>{"effect":[{"typ":"city_effect","id":13871016,"val":-1},{"typ":"item","id":11111034,"val":10}]}</v>
      </c>
      <c r="T3044" s="148">
        <f>IFERROR(__xludf.DUMMYFUNCTION("""COMPUTED_VALUE"""),-1.0)</f>
        <v>-1</v>
      </c>
      <c r="U3044" s="148">
        <f>IFERROR(__xludf.DUMMYFUNCTION("""COMPUTED_VALUE"""),0.0)</f>
        <v>0</v>
      </c>
      <c r="V3044" s="148" t="str">
        <f>IFERROR(__xludf.DUMMYFUNCTION("""COMPUTED_VALUE"""),"[]")</f>
        <v>[]</v>
      </c>
      <c r="W3044" s="148">
        <f>IFERROR(__xludf.DUMMYFUNCTION("""COMPUTED_VALUE"""),1.174E7)</f>
        <v>11740000</v>
      </c>
      <c r="X3044" s="148">
        <f>IFERROR(__xludf.DUMMYFUNCTION("""COMPUTED_VALUE"""),0.0)</f>
        <v>0</v>
      </c>
      <c r="Y3044" s="148">
        <f>IFERROR(__xludf.DUMMYFUNCTION("""COMPUTED_VALUE"""),0.0)</f>
        <v>0</v>
      </c>
      <c r="Z3044" s="148"/>
    </row>
    <row r="3045">
      <c r="A3045" s="148">
        <f>IFERROR(__xludf.DUMMYFUNCTION("""COMPUTED_VALUE"""),1.11110011E8)</f>
        <v>111110011</v>
      </c>
      <c r="B3045" s="148" t="str">
        <f>IFERROR(__xludf.DUMMYFUNCTION("""COMPUTED_VALUE"""),"节日自选卡包-测试配置")</f>
        <v>节日自选卡包-测试配置</v>
      </c>
      <c r="C3045" s="148"/>
      <c r="D3045" s="148" t="str">
        <f>IFERROR(__xludf.DUMMYFUNCTION("""COMPUTED_VALUE"""),"card_select_box")</f>
        <v>card_select_box</v>
      </c>
      <c r="E3045" s="148">
        <f>IFERROR(__xludf.DUMMYFUNCTION("""COMPUTED_VALUE"""),19.0)</f>
        <v>19</v>
      </c>
      <c r="F3045" s="148">
        <f>IFERROR(__xludf.DUMMYFUNCTION("""COMPUTED_VALUE"""),403303.0)</f>
        <v>403303</v>
      </c>
      <c r="G3045" s="148">
        <f>IFERROR(__xludf.DUMMYFUNCTION("""COMPUTED_VALUE"""),1.51104511E8)</f>
        <v>151104511</v>
      </c>
      <c r="H3045" s="148">
        <f>IFERROR(__xludf.DUMMYFUNCTION("""COMPUTED_VALUE"""),1.5112564E7)</f>
        <v>15112564</v>
      </c>
      <c r="I3045" s="148" t="str">
        <f>IFERROR(__xludf.DUMMYFUNCTION("""COMPUTED_VALUE"""),"{}")</f>
        <v>{}</v>
      </c>
      <c r="J3045" s="148" t="str">
        <f>IFERROR(__xludf.DUMMYFUNCTION("""COMPUTED_VALUE"""),"{""typ"":""lc"",""txt"":""LC_ITEM_tech_fest_pack_selection_name""}")</f>
        <v>{"typ":"lc","txt":"LC_ITEM_tech_fest_pack_selection_name"}</v>
      </c>
      <c r="K3045" s="148" t="str">
        <f>IFERROR(__xludf.DUMMYFUNCTION("""COMPUTED_VALUE"""),"{""typ"":""lc"",""txt"":""LC_ITEM_tech_fest_pack_selection_desc""}")</f>
        <v>{"typ":"lc","txt":"LC_ITEM_tech_fest_pack_selection_desc"}</v>
      </c>
      <c r="L3045" s="148" t="str">
        <f>IFERROR(__xludf.DUMMYFUNCTION("""COMPUTED_VALUE"""),"{}")</f>
        <v>{}</v>
      </c>
      <c r="M3045" s="148">
        <f>IFERROR(__xludf.DUMMYFUNCTION("""COMPUTED_VALUE"""),135.0)</f>
        <v>135</v>
      </c>
      <c r="N3045" s="148">
        <f>IFERROR(__xludf.DUMMYFUNCTION("""COMPUTED_VALUE"""),999999.0)</f>
        <v>999999</v>
      </c>
      <c r="O3045" s="148">
        <f>IFERROR(__xludf.DUMMYFUNCTION("""COMPUTED_VALUE"""),99999.0)</f>
        <v>99999</v>
      </c>
      <c r="P3045" s="148">
        <f>IFERROR(__xludf.DUMMYFUNCTION("""COMPUTED_VALUE"""),5.0)</f>
        <v>5</v>
      </c>
      <c r="Q3045" s="148" t="str">
        <f>IFERROR(__xludf.DUMMYFUNCTION("""COMPUTED_VALUE"""),"[""bag_other""]")</f>
        <v>["bag_other"]</v>
      </c>
      <c r="R3045" s="148" t="str">
        <f>IFERROR(__xludf.DUMMYFUNCTION("""COMPUTED_VALUE"""),"[""card"",""bag""]")</f>
        <v>["card","bag"]</v>
      </c>
      <c r="S3045" s="148" t="str">
        <f>IFERROR(__xludf.DUMMYFUNCTION("""COMPUTED_VALUE"""),"{""select_box"":[{""typ"":""card_group"",""val"":1},{""id"":60011003},{""typ"":""card_group"",""val"":2},{""id"":60011003}], ""effect"":[{""typ"": ""life_duration"", ""val"": 86400000}, {""typ"": ""retake"", ""key"": ""rss"", ""id"": 11143008, ""val"": 75"&amp;"}]}")</f>
        <v>{"select_box":[{"typ":"card_group","val":1},{"id":60011003},{"typ":"card_group","val":2},{"id":60011003}], "effect":[{"typ": "life_duration", "val": 86400000}, {"typ": "retake", "key": "rss", "id": 11143008, "val": 75}]}</v>
      </c>
      <c r="T3045" s="148">
        <f>IFERROR(__xludf.DUMMYFUNCTION("""COMPUTED_VALUE"""),-1.0)</f>
        <v>-1</v>
      </c>
      <c r="U3045" s="148">
        <f>IFERROR(__xludf.DUMMYFUNCTION("""COMPUTED_VALUE"""),0.0)</f>
        <v>0</v>
      </c>
      <c r="V3045" s="148" t="str">
        <f>IFERROR(__xludf.DUMMYFUNCTION("""COMPUTED_VALUE"""),"[]")</f>
        <v>[]</v>
      </c>
      <c r="W3045" s="148">
        <f>IFERROR(__xludf.DUMMYFUNCTION("""COMPUTED_VALUE"""),1.174E7)</f>
        <v>11740000</v>
      </c>
      <c r="X3045" s="148">
        <f>IFERROR(__xludf.DUMMYFUNCTION("""COMPUTED_VALUE"""),0.0)</f>
        <v>0</v>
      </c>
      <c r="Y3045" s="148">
        <f>IFERROR(__xludf.DUMMYFUNCTION("""COMPUTED_VALUE"""),0.0)</f>
        <v>0</v>
      </c>
      <c r="Z3045" s="148"/>
    </row>
    <row r="3046">
      <c r="A3046" s="148">
        <f>IFERROR(__xludf.DUMMYFUNCTION("""COMPUTED_VALUE"""),1.111101E8)</f>
        <v>111110100</v>
      </c>
      <c r="B3046" s="148" t="str">
        <f>IFERROR(__xludf.DUMMYFUNCTION("""COMPUTED_VALUE"""),"累充bingo-抽奖券")</f>
        <v>累充bingo-抽奖券</v>
      </c>
      <c r="C3046" s="148"/>
      <c r="D3046" s="148" t="str">
        <f>IFERROR(__xludf.DUMMYFUNCTION("""COMPUTED_VALUE"""),"item_asset")</f>
        <v>item_asset</v>
      </c>
      <c r="E3046" s="148">
        <f>IFERROR(__xludf.DUMMYFUNCTION("""COMPUTED_VALUE"""),0.0)</f>
        <v>0</v>
      </c>
      <c r="F3046" s="148">
        <f>IFERROR(__xludf.DUMMYFUNCTION("""COMPUTED_VALUE"""),405210.0)</f>
        <v>405210</v>
      </c>
      <c r="G3046" s="148">
        <f>IFERROR(__xludf.DUMMYFUNCTION("""COMPUTED_VALUE"""),1.5118029E7)</f>
        <v>15118029</v>
      </c>
      <c r="H3046" s="148">
        <f>IFERROR(__xludf.DUMMYFUNCTION("""COMPUTED_VALUE"""),1.5112564E7)</f>
        <v>15112564</v>
      </c>
      <c r="I3046" s="148" t="str">
        <f>IFERROR(__xludf.DUMMYFUNCTION("""COMPUTED_VALUE"""),"{}")</f>
        <v>{}</v>
      </c>
      <c r="J3046" s="148" t="str">
        <f>IFERROR(__xludf.DUMMYFUNCTION("""COMPUTED_VALUE"""),"{""typ"":""lc"",""txt"":""LC_ITEM_sever_gacha_item_title""}")</f>
        <v>{"typ":"lc","txt":"LC_ITEM_sever_gacha_item_title"}</v>
      </c>
      <c r="K3046" s="148" t="str">
        <f>IFERROR(__xludf.DUMMYFUNCTION("""COMPUTED_VALUE"""),"{""typ"":""lc"",""txt"":""LC_ITEM_sever_gacha_item_desc""}")</f>
        <v>{"typ":"lc","txt":"LC_ITEM_sever_gacha_item_desc"}</v>
      </c>
      <c r="L3046" s="148" t="str">
        <f>IFERROR(__xludf.DUMMYFUNCTION("""COMPUTED_VALUE"""),"{}")</f>
        <v>{}</v>
      </c>
      <c r="M3046" s="148">
        <f>IFERROR(__xludf.DUMMYFUNCTION("""COMPUTED_VALUE"""),700.0)</f>
        <v>700</v>
      </c>
      <c r="N3046" s="148">
        <f>IFERROR(__xludf.DUMMYFUNCTION("""COMPUTED_VALUE"""),9.99999999E8)</f>
        <v>999999999</v>
      </c>
      <c r="O3046" s="148">
        <f>IFERROR(__xludf.DUMMYFUNCTION("""COMPUTED_VALUE"""),9.99999999E8)</f>
        <v>999999999</v>
      </c>
      <c r="P3046" s="148">
        <f>IFERROR(__xludf.DUMMYFUNCTION("""COMPUTED_VALUE"""),9.99999999E8)</f>
        <v>999999999</v>
      </c>
      <c r="Q3046" s="148" t="str">
        <f>IFERROR(__xludf.DUMMYFUNCTION("""COMPUTED_VALUE"""),"[""bag_other""]")</f>
        <v>["bag_other"]</v>
      </c>
      <c r="R3046" s="148" t="str">
        <f>IFERROR(__xludf.DUMMYFUNCTION("""COMPUTED_VALUE"""),"[""bag""]")</f>
        <v>["bag"]</v>
      </c>
      <c r="S3046" s="148" t="str">
        <f>IFERROR(__xludf.DUMMYFUNCTION("""COMPUTED_VALUE"""),"{}")</f>
        <v>{}</v>
      </c>
      <c r="T3046" s="148">
        <f>IFERROR(__xludf.DUMMYFUNCTION("""COMPUTED_VALUE"""),1.0)</f>
        <v>1</v>
      </c>
      <c r="U3046" s="148">
        <f>IFERROR(__xludf.DUMMYFUNCTION("""COMPUTED_VALUE"""),0.0)</f>
        <v>0</v>
      </c>
      <c r="V3046" s="148" t="str">
        <f>IFERROR(__xludf.DUMMYFUNCTION("""COMPUTED_VALUE"""),"[]")</f>
        <v>[]</v>
      </c>
      <c r="W3046" s="148">
        <f>IFERROR(__xludf.DUMMYFUNCTION("""COMPUTED_VALUE"""),1.174E7)</f>
        <v>11740000</v>
      </c>
      <c r="X3046" s="148">
        <f>IFERROR(__xludf.DUMMYFUNCTION("""COMPUTED_VALUE"""),0.0)</f>
        <v>0</v>
      </c>
      <c r="Y3046" s="148">
        <f>IFERROR(__xludf.DUMMYFUNCTION("""COMPUTED_VALUE"""),0.0)</f>
        <v>0</v>
      </c>
      <c r="Z3046" s="148"/>
    </row>
    <row r="3047">
      <c r="A3047" s="148">
        <f>IFERROR(__xludf.DUMMYFUNCTION("""COMPUTED_VALUE"""),1.11110101E8)</f>
        <v>111110101</v>
      </c>
      <c r="B3047" s="148" t="str">
        <f>IFERROR(__xludf.DUMMYFUNCTION("""COMPUTED_VALUE"""),"累充bingo-高级兑换币")</f>
        <v>累充bingo-高级兑换币</v>
      </c>
      <c r="C3047" s="148"/>
      <c r="D3047" s="148" t="str">
        <f>IFERROR(__xludf.DUMMYFUNCTION("""COMPUTED_VALUE"""),"item_asset")</f>
        <v>item_asset</v>
      </c>
      <c r="E3047" s="148">
        <f>IFERROR(__xludf.DUMMYFUNCTION("""COMPUTED_VALUE"""),0.0)</f>
        <v>0</v>
      </c>
      <c r="F3047" s="148">
        <f>IFERROR(__xludf.DUMMYFUNCTION("""COMPUTED_VALUE"""),405210.0)</f>
        <v>405210</v>
      </c>
      <c r="G3047" s="148">
        <f>IFERROR(__xludf.DUMMYFUNCTION("""COMPUTED_VALUE"""),1.51104656E8)</f>
        <v>151104656</v>
      </c>
      <c r="H3047" s="148">
        <f>IFERROR(__xludf.DUMMYFUNCTION("""COMPUTED_VALUE"""),1.5112564E7)</f>
        <v>15112564</v>
      </c>
      <c r="I3047" s="148" t="str">
        <f>IFERROR(__xludf.DUMMYFUNCTION("""COMPUTED_VALUE"""),"{}")</f>
        <v>{}</v>
      </c>
      <c r="J3047" s="148" t="str">
        <f>IFERROR(__xludf.DUMMYFUNCTION("""COMPUTED_VALUE"""),"{""typ"":""lc"",""txt"":""LC_ITEM_cityeffect_bingo_gacha_item_title_1""}")</f>
        <v>{"typ":"lc","txt":"LC_ITEM_cityeffect_bingo_gacha_item_title_1"}</v>
      </c>
      <c r="K3047" s="148" t="str">
        <f>IFERROR(__xludf.DUMMYFUNCTION("""COMPUTED_VALUE"""),"{""typ"":""lc"",""txt"":""LC_ITEM_cityeffect_bingo_gacha_item_desc""}")</f>
        <v>{"typ":"lc","txt":"LC_ITEM_cityeffect_bingo_gacha_item_desc"}</v>
      </c>
      <c r="L3047" s="148" t="str">
        <f>IFERROR(__xludf.DUMMYFUNCTION("""COMPUTED_VALUE"""),"{}")</f>
        <v>{}</v>
      </c>
      <c r="M3047" s="148">
        <f>IFERROR(__xludf.DUMMYFUNCTION("""COMPUTED_VALUE"""),20000.0)</f>
        <v>20000</v>
      </c>
      <c r="N3047" s="148">
        <f>IFERROR(__xludf.DUMMYFUNCTION("""COMPUTED_VALUE"""),9.99999999E8)</f>
        <v>999999999</v>
      </c>
      <c r="O3047" s="148">
        <f>IFERROR(__xludf.DUMMYFUNCTION("""COMPUTED_VALUE"""),9.99999999E8)</f>
        <v>999999999</v>
      </c>
      <c r="P3047" s="148">
        <f>IFERROR(__xludf.DUMMYFUNCTION("""COMPUTED_VALUE"""),9.99999999E8)</f>
        <v>999999999</v>
      </c>
      <c r="Q3047" s="148" t="str">
        <f>IFERROR(__xludf.DUMMYFUNCTION("""COMPUTED_VALUE"""),"[""bag_other""]")</f>
        <v>["bag_other"]</v>
      </c>
      <c r="R3047" s="148" t="str">
        <f>IFERROR(__xludf.DUMMYFUNCTION("""COMPUTED_VALUE"""),"[""bag""]")</f>
        <v>["bag"]</v>
      </c>
      <c r="S3047" s="148" t="str">
        <f>IFERROR(__xludf.DUMMYFUNCTION("""COMPUTED_VALUE"""),"{}")</f>
        <v>{}</v>
      </c>
      <c r="T3047" s="148">
        <f>IFERROR(__xludf.DUMMYFUNCTION("""COMPUTED_VALUE"""),1.0)</f>
        <v>1</v>
      </c>
      <c r="U3047" s="148">
        <f>IFERROR(__xludf.DUMMYFUNCTION("""COMPUTED_VALUE"""),0.0)</f>
        <v>0</v>
      </c>
      <c r="V3047" s="148" t="str">
        <f>IFERROR(__xludf.DUMMYFUNCTION("""COMPUTED_VALUE"""),"[]")</f>
        <v>[]</v>
      </c>
      <c r="W3047" s="148">
        <f>IFERROR(__xludf.DUMMYFUNCTION("""COMPUTED_VALUE"""),1.174E7)</f>
        <v>11740000</v>
      </c>
      <c r="X3047" s="148">
        <f>IFERROR(__xludf.DUMMYFUNCTION("""COMPUTED_VALUE"""),0.0)</f>
        <v>0</v>
      </c>
      <c r="Y3047" s="148">
        <f>IFERROR(__xludf.DUMMYFUNCTION("""COMPUTED_VALUE"""),0.0)</f>
        <v>0</v>
      </c>
      <c r="Z3047" s="148"/>
    </row>
    <row r="3048">
      <c r="A3048" s="148">
        <f>IFERROR(__xludf.DUMMYFUNCTION("""COMPUTED_VALUE"""),1.11110102E8)</f>
        <v>111110102</v>
      </c>
      <c r="B3048" s="148" t="str">
        <f>IFERROR(__xludf.DUMMYFUNCTION("""COMPUTED_VALUE"""),"累充bingo-低级兑换币")</f>
        <v>累充bingo-低级兑换币</v>
      </c>
      <c r="C3048" s="148"/>
      <c r="D3048" s="148" t="str">
        <f>IFERROR(__xludf.DUMMYFUNCTION("""COMPUTED_VALUE"""),"item_asset")</f>
        <v>item_asset</v>
      </c>
      <c r="E3048" s="148">
        <f>IFERROR(__xludf.DUMMYFUNCTION("""COMPUTED_VALUE"""),0.0)</f>
        <v>0</v>
      </c>
      <c r="F3048" s="148">
        <f>IFERROR(__xludf.DUMMYFUNCTION("""COMPUTED_VALUE"""),405210.0)</f>
        <v>405210</v>
      </c>
      <c r="G3048" s="148">
        <f>IFERROR(__xludf.DUMMYFUNCTION("""COMPUTED_VALUE"""),1.51104657E8)</f>
        <v>151104657</v>
      </c>
      <c r="H3048" s="148">
        <f>IFERROR(__xludf.DUMMYFUNCTION("""COMPUTED_VALUE"""),1.5112564E7)</f>
        <v>15112564</v>
      </c>
      <c r="I3048" s="148" t="str">
        <f>IFERROR(__xludf.DUMMYFUNCTION("""COMPUTED_VALUE"""),"{}")</f>
        <v>{}</v>
      </c>
      <c r="J3048" s="148" t="str">
        <f>IFERROR(__xludf.DUMMYFUNCTION("""COMPUTED_VALUE"""),"{""typ"":""lc"",""txt"":""LC_ITEM_cityeffect_bingo_gacha_item_title_2""}")</f>
        <v>{"typ":"lc","txt":"LC_ITEM_cityeffect_bingo_gacha_item_title_2"}</v>
      </c>
      <c r="K3048" s="148" t="str">
        <f>IFERROR(__xludf.DUMMYFUNCTION("""COMPUTED_VALUE"""),"{""typ"":""lc"",""txt"":""LC_ITEM_cityeffect_bingo_gacha_item_desc""}")</f>
        <v>{"typ":"lc","txt":"LC_ITEM_cityeffect_bingo_gacha_item_desc"}</v>
      </c>
      <c r="L3048" s="148" t="str">
        <f>IFERROR(__xludf.DUMMYFUNCTION("""COMPUTED_VALUE"""),"{}")</f>
        <v>{}</v>
      </c>
      <c r="M3048" s="148">
        <f>IFERROR(__xludf.DUMMYFUNCTION("""COMPUTED_VALUE"""),250.0)</f>
        <v>250</v>
      </c>
      <c r="N3048" s="148">
        <f>IFERROR(__xludf.DUMMYFUNCTION("""COMPUTED_VALUE"""),9.99999999E8)</f>
        <v>999999999</v>
      </c>
      <c r="O3048" s="148">
        <f>IFERROR(__xludf.DUMMYFUNCTION("""COMPUTED_VALUE"""),9.99999999E8)</f>
        <v>999999999</v>
      </c>
      <c r="P3048" s="148">
        <f>IFERROR(__xludf.DUMMYFUNCTION("""COMPUTED_VALUE"""),9.99999999E8)</f>
        <v>999999999</v>
      </c>
      <c r="Q3048" s="148" t="str">
        <f>IFERROR(__xludf.DUMMYFUNCTION("""COMPUTED_VALUE"""),"[""bag_other""]")</f>
        <v>["bag_other"]</v>
      </c>
      <c r="R3048" s="148" t="str">
        <f>IFERROR(__xludf.DUMMYFUNCTION("""COMPUTED_VALUE"""),"[""bag""]")</f>
        <v>["bag"]</v>
      </c>
      <c r="S3048" s="148" t="str">
        <f>IFERROR(__xludf.DUMMYFUNCTION("""COMPUTED_VALUE"""),"{}")</f>
        <v>{}</v>
      </c>
      <c r="T3048" s="148">
        <f>IFERROR(__xludf.DUMMYFUNCTION("""COMPUTED_VALUE"""),1.0)</f>
        <v>1</v>
      </c>
      <c r="U3048" s="148">
        <f>IFERROR(__xludf.DUMMYFUNCTION("""COMPUTED_VALUE"""),0.0)</f>
        <v>0</v>
      </c>
      <c r="V3048" s="148" t="str">
        <f>IFERROR(__xludf.DUMMYFUNCTION("""COMPUTED_VALUE"""),"[]")</f>
        <v>[]</v>
      </c>
      <c r="W3048" s="148">
        <f>IFERROR(__xludf.DUMMYFUNCTION("""COMPUTED_VALUE"""),1.174E7)</f>
        <v>11740000</v>
      </c>
      <c r="X3048" s="148">
        <f>IFERROR(__xludf.DUMMYFUNCTION("""COMPUTED_VALUE"""),0.0)</f>
        <v>0</v>
      </c>
      <c r="Y3048" s="148">
        <f>IFERROR(__xludf.DUMMYFUNCTION("""COMPUTED_VALUE"""),0.0)</f>
        <v>0</v>
      </c>
      <c r="Z3048" s="148"/>
    </row>
    <row r="3049">
      <c r="A3049" s="148">
        <f>IFERROR(__xludf.DUMMYFUNCTION("""COMPUTED_VALUE"""),1.11110103E8)</f>
        <v>111110103</v>
      </c>
      <c r="B3049" s="148" t="str">
        <f>IFERROR(__xludf.DUMMYFUNCTION("""COMPUTED_VALUE"""),"累充bingo-万能券")</f>
        <v>累充bingo-万能券</v>
      </c>
      <c r="C3049" s="148"/>
      <c r="D3049" s="148" t="str">
        <f>IFERROR(__xludf.DUMMYFUNCTION("""COMPUTED_VALUE"""),"item_asset")</f>
        <v>item_asset</v>
      </c>
      <c r="E3049" s="148">
        <f>IFERROR(__xludf.DUMMYFUNCTION("""COMPUTED_VALUE"""),0.0)</f>
        <v>0</v>
      </c>
      <c r="F3049" s="148">
        <f>IFERROR(__xludf.DUMMYFUNCTION("""COMPUTED_VALUE"""),405210.0)</f>
        <v>405210</v>
      </c>
      <c r="G3049" s="148">
        <f>IFERROR(__xludf.DUMMYFUNCTION("""COMPUTED_VALUE"""),1.5118029E7)</f>
        <v>15118029</v>
      </c>
      <c r="H3049" s="148">
        <f>IFERROR(__xludf.DUMMYFUNCTION("""COMPUTED_VALUE"""),1.5112564E7)</f>
        <v>15112564</v>
      </c>
      <c r="I3049" s="148" t="str">
        <f>IFERROR(__xludf.DUMMYFUNCTION("""COMPUTED_VALUE"""),"{}")</f>
        <v>{}</v>
      </c>
      <c r="J3049" s="148" t="str">
        <f>IFERROR(__xludf.DUMMYFUNCTION("""COMPUTED_VALUE"""),"{""typ"":""lc"",""txt"":""LC_ITEM_sever_gacha_item_title""}")</f>
        <v>{"typ":"lc","txt":"LC_ITEM_sever_gacha_item_title"}</v>
      </c>
      <c r="K3049" s="148" t="str">
        <f>IFERROR(__xludf.DUMMYFUNCTION("""COMPUTED_VALUE"""),"{""typ"":""lc"",""txt"":""LC_ITEM_sever_gacha_item_desc""}")</f>
        <v>{"typ":"lc","txt":"LC_ITEM_sever_gacha_item_desc"}</v>
      </c>
      <c r="L3049" s="148" t="str">
        <f>IFERROR(__xludf.DUMMYFUNCTION("""COMPUTED_VALUE"""),"{}")</f>
        <v>{}</v>
      </c>
      <c r="M3049" s="148">
        <f>IFERROR(__xludf.DUMMYFUNCTION("""COMPUTED_VALUE"""),700.0)</f>
        <v>700</v>
      </c>
      <c r="N3049" s="148">
        <f>IFERROR(__xludf.DUMMYFUNCTION("""COMPUTED_VALUE"""),9.99999999E8)</f>
        <v>999999999</v>
      </c>
      <c r="O3049" s="148">
        <f>IFERROR(__xludf.DUMMYFUNCTION("""COMPUTED_VALUE"""),9.99999999E8)</f>
        <v>999999999</v>
      </c>
      <c r="P3049" s="148">
        <f>IFERROR(__xludf.DUMMYFUNCTION("""COMPUTED_VALUE"""),9.99999999E8)</f>
        <v>999999999</v>
      </c>
      <c r="Q3049" s="148" t="str">
        <f>IFERROR(__xludf.DUMMYFUNCTION("""COMPUTED_VALUE"""),"[""bag_other""]")</f>
        <v>["bag_other"]</v>
      </c>
      <c r="R3049" s="148" t="str">
        <f>IFERROR(__xludf.DUMMYFUNCTION("""COMPUTED_VALUE"""),"[""bag""]")</f>
        <v>["bag"]</v>
      </c>
      <c r="S3049" s="148" t="str">
        <f>IFERROR(__xludf.DUMMYFUNCTION("""COMPUTED_VALUE"""),"{}")</f>
        <v>{}</v>
      </c>
      <c r="T3049" s="148">
        <f>IFERROR(__xludf.DUMMYFUNCTION("""COMPUTED_VALUE"""),1.0)</f>
        <v>1</v>
      </c>
      <c r="U3049" s="148">
        <f>IFERROR(__xludf.DUMMYFUNCTION("""COMPUTED_VALUE"""),0.0)</f>
        <v>0</v>
      </c>
      <c r="V3049" s="148" t="str">
        <f>IFERROR(__xludf.DUMMYFUNCTION("""COMPUTED_VALUE"""),"[]")</f>
        <v>[]</v>
      </c>
      <c r="W3049" s="148">
        <f>IFERROR(__xludf.DUMMYFUNCTION("""COMPUTED_VALUE"""),1.174E7)</f>
        <v>11740000</v>
      </c>
      <c r="X3049" s="148">
        <f>IFERROR(__xludf.DUMMYFUNCTION("""COMPUTED_VALUE"""),0.0)</f>
        <v>0</v>
      </c>
      <c r="Y3049" s="148">
        <f>IFERROR(__xludf.DUMMYFUNCTION("""COMPUTED_VALUE"""),0.0)</f>
        <v>0</v>
      </c>
      <c r="Z3049" s="148"/>
    </row>
    <row r="3050">
      <c r="A3050" s="148">
        <f>IFERROR(__xludf.DUMMYFUNCTION("""COMPUTED_VALUE"""),1.11110104E8)</f>
        <v>111110104</v>
      </c>
      <c r="B3050" s="148" t="str">
        <f>IFERROR(__xludf.DUMMYFUNCTION("""COMPUTED_VALUE"""),"2026科技节头像框-集卡册-静态")</f>
        <v>2026科技节头像框-集卡册-静态</v>
      </c>
      <c r="C3050" s="148"/>
      <c r="D3050" s="148" t="str">
        <f>IFERROR(__xludf.DUMMYFUNCTION("""COMPUTED_VALUE"""),"avatar_frame")</f>
        <v>avatar_frame</v>
      </c>
      <c r="E3050" s="148">
        <f>IFERROR(__xludf.DUMMYFUNCTION("""COMPUTED_VALUE"""),20.0)</f>
        <v>20</v>
      </c>
      <c r="F3050" s="148">
        <f>IFERROR(__xludf.DUMMYFUNCTION("""COMPUTED_VALUE"""),0.0)</f>
        <v>0</v>
      </c>
      <c r="G3050" s="148">
        <f>IFERROR(__xludf.DUMMYFUNCTION("""COMPUTED_VALUE"""),1.51104633E8)</f>
        <v>151104633</v>
      </c>
      <c r="H3050" s="148">
        <f>IFERROR(__xludf.DUMMYFUNCTION("""COMPUTED_VALUE"""),1.5112564E7)</f>
        <v>15112564</v>
      </c>
      <c r="I3050" s="148" t="str">
        <f>IFERROR(__xludf.DUMMYFUNCTION("""COMPUTED_VALUE"""),"{}")</f>
        <v>{}</v>
      </c>
      <c r="J3050" s="148" t="str">
        <f>IFERROR(__xludf.DUMMYFUNCTION("""COMPUTED_VALUE"""),"{""typ"":""lc"",""txt"":""LC_ITEM_tech_fest_energy_ring_name""}")</f>
        <v>{"typ":"lc","txt":"LC_ITEM_tech_fest_energy_ring_name"}</v>
      </c>
      <c r="K3050" s="148" t="str">
        <f>IFERROR(__xludf.DUMMYFUNCTION("""COMPUTED_VALUE"""),"{""typ"":""lc"",""txt"":""LC_ITEM_tech_fest_energy_ring_desc""}")</f>
        <v>{"typ":"lc","txt":"LC_ITEM_tech_fest_energy_ring_desc"}</v>
      </c>
      <c r="L3050" s="148" t="str">
        <f>IFERROR(__xludf.DUMMYFUNCTION("""COMPUTED_VALUE"""),"{}")</f>
        <v>{}</v>
      </c>
      <c r="M3050" s="148">
        <f>IFERROR(__xludf.DUMMYFUNCTION("""COMPUTED_VALUE"""),2500.0)</f>
        <v>2500</v>
      </c>
      <c r="N3050" s="148">
        <f>IFERROR(__xludf.DUMMYFUNCTION("""COMPUTED_VALUE"""),99.0)</f>
        <v>99</v>
      </c>
      <c r="O3050" s="148">
        <f>IFERROR(__xludf.DUMMYFUNCTION("""COMPUTED_VALUE"""),1.0)</f>
        <v>1</v>
      </c>
      <c r="P3050" s="148">
        <f>IFERROR(__xludf.DUMMYFUNCTION("""COMPUTED_VALUE"""),1.0)</f>
        <v>1</v>
      </c>
      <c r="Q3050" s="148" t="str">
        <f>IFERROR(__xludf.DUMMYFUNCTION("""COMPUTED_VALUE"""),"[]")</f>
        <v>[]</v>
      </c>
      <c r="R3050" s="148" t="str">
        <f>IFERROR(__xludf.DUMMYFUNCTION("""COMPUTED_VALUE"""),"[""11421089""]")</f>
        <v>["11421089"]</v>
      </c>
      <c r="S3050" s="148" t="str">
        <f>IFERROR(__xludf.DUMMYFUNCTION("""COMPUTED_VALUE"""),"{""effect"":[{""typ"":""avatar_frame"",""id"":11421090,""val"":-1},{""typ"":""item"",""id"":11111031,""val"":500}]}")</f>
        <v>{"effect":[{"typ":"avatar_frame","id":11421090,"val":-1},{"typ":"item","id":11111031,"val":500}]}</v>
      </c>
      <c r="T3050" s="148">
        <f>IFERROR(__xludf.DUMMYFUNCTION("""COMPUTED_VALUE"""),-1.0)</f>
        <v>-1</v>
      </c>
      <c r="U3050" s="148">
        <f>IFERROR(__xludf.DUMMYFUNCTION("""COMPUTED_VALUE"""),1.0)</f>
        <v>1</v>
      </c>
      <c r="V3050" s="148" t="str">
        <f>IFERROR(__xludf.DUMMYFUNCTION("""COMPUTED_VALUE"""),"[]")</f>
        <v>[]</v>
      </c>
      <c r="W3050" s="148">
        <f>IFERROR(__xludf.DUMMYFUNCTION("""COMPUTED_VALUE"""),1.174E7)</f>
        <v>11740000</v>
      </c>
      <c r="X3050" s="148">
        <f>IFERROR(__xludf.DUMMYFUNCTION("""COMPUTED_VALUE"""),0.0)</f>
        <v>0</v>
      </c>
      <c r="Y3050" s="148">
        <f>IFERROR(__xludf.DUMMYFUNCTION("""COMPUTED_VALUE"""),0.0)</f>
        <v>0</v>
      </c>
      <c r="Z3050" s="148"/>
    </row>
    <row r="3051">
      <c r="A3051" s="148">
        <f>IFERROR(__xludf.DUMMYFUNCTION("""COMPUTED_VALUE"""),1.11110105E8)</f>
        <v>111110105</v>
      </c>
      <c r="B3051" s="148" t="str">
        <f>IFERROR(__xludf.DUMMYFUNCTION("""COMPUTED_VALUE"""),"2026科技节自选宝箱")</f>
        <v>2026科技节自选宝箱</v>
      </c>
      <c r="C3051" s="148"/>
      <c r="D3051" s="148" t="str">
        <f>IFERROR(__xludf.DUMMYFUNCTION("""COMPUTED_VALUE"""),"item_select_box")</f>
        <v>item_select_box</v>
      </c>
      <c r="E3051" s="148">
        <f>IFERROR(__xludf.DUMMYFUNCTION("""COMPUTED_VALUE"""),19.0)</f>
        <v>19</v>
      </c>
      <c r="F3051" s="148">
        <f>IFERROR(__xludf.DUMMYFUNCTION("""COMPUTED_VALUE"""),0.0)</f>
        <v>0</v>
      </c>
      <c r="G3051" s="148">
        <f>IFERROR(__xludf.DUMMYFUNCTION("""COMPUTED_VALUE"""),1.51104725E8)</f>
        <v>151104725</v>
      </c>
      <c r="H3051" s="148">
        <f>IFERROR(__xludf.DUMMYFUNCTION("""COMPUTED_VALUE"""),1.5112564E7)</f>
        <v>15112564</v>
      </c>
      <c r="I3051" s="148" t="str">
        <f>IFERROR(__xludf.DUMMYFUNCTION("""COMPUTED_VALUE"""),"{}")</f>
        <v>{}</v>
      </c>
      <c r="J3051" s="148" t="str">
        <f>IFERROR(__xludf.DUMMYFUNCTION("""COMPUTED_VALUE"""),"{""typ"":""lc"",""txt"":""LC_ITEM_actv_2026sc_cbox_name""}")</f>
        <v>{"typ":"lc","txt":"LC_ITEM_actv_2026sc_cbox_name"}</v>
      </c>
      <c r="K3051" s="148" t="str">
        <f>IFERROR(__xludf.DUMMYFUNCTION("""COMPUTED_VALUE"""),"{""typ"":""lc"",""txt"":""LC_ITEM_actv_2026sc_cbox_desc""}")</f>
        <v>{"typ":"lc","txt":"LC_ITEM_actv_2026sc_cbox_desc"}</v>
      </c>
      <c r="L3051" s="148" t="str">
        <f>IFERROR(__xludf.DUMMYFUNCTION("""COMPUTED_VALUE"""),"{}")</f>
        <v>{}</v>
      </c>
      <c r="M3051" s="148">
        <f>IFERROR(__xludf.DUMMYFUNCTION("""COMPUTED_VALUE"""),125.0)</f>
        <v>125</v>
      </c>
      <c r="N3051" s="148">
        <f>IFERROR(__xludf.DUMMYFUNCTION("""COMPUTED_VALUE"""),999999.0)</f>
        <v>999999</v>
      </c>
      <c r="O3051" s="148">
        <f>IFERROR(__xludf.DUMMYFUNCTION("""COMPUTED_VALUE"""),99999.0)</f>
        <v>99999</v>
      </c>
      <c r="P3051" s="148">
        <f>IFERROR(__xludf.DUMMYFUNCTION("""COMPUTED_VALUE"""),9999.0)</f>
        <v>9999</v>
      </c>
      <c r="Q3051" s="148" t="str">
        <f>IFERROR(__xludf.DUMMYFUNCTION("""COMPUTED_VALUE"""),"[""bag_other""]")</f>
        <v>["bag_other"]</v>
      </c>
      <c r="R3051" s="148" t="str">
        <f>IFERROR(__xludf.DUMMYFUNCTION("""COMPUTED_VALUE"""),"[""bag""]")</f>
        <v>["bag"]</v>
      </c>
      <c r="S3051" s="148" t="str">
        <f>IFERROR(__xludf.DUMMYFUNCTION("""COMPUTED_VALUE"""),"{""select_box"":[{""typ"":""item"",""id"":11112649,""val"":1},{""typ"":""item"",""id"":11112498,""val"":2},{""typ"":""item"",""id"":11119904,""val"":5},{""typ"":""item"",""id"":11112725,""val"":10},{""typ"":""item"",""id"":11112127,""val"":10}]}")</f>
        <v>{"select_box":[{"typ":"item","id":11112649,"val":1},{"typ":"item","id":11112498,"val":2},{"typ":"item","id":11119904,"val":5},{"typ":"item","id":11112725,"val":10},{"typ":"item","id":11112127,"val":10}]}</v>
      </c>
      <c r="T3051" s="148">
        <f>IFERROR(__xludf.DUMMYFUNCTION("""COMPUTED_VALUE"""),-1.0)</f>
        <v>-1</v>
      </c>
      <c r="U3051" s="148">
        <f>IFERROR(__xludf.DUMMYFUNCTION("""COMPUTED_VALUE"""),0.0)</f>
        <v>0</v>
      </c>
      <c r="V3051" s="148" t="str">
        <f>IFERROR(__xludf.DUMMYFUNCTION("""COMPUTED_VALUE"""),"[]")</f>
        <v>[]</v>
      </c>
      <c r="W3051" s="148">
        <f>IFERROR(__xludf.DUMMYFUNCTION("""COMPUTED_VALUE"""),1.174E7)</f>
        <v>11740000</v>
      </c>
      <c r="X3051" s="148">
        <f>IFERROR(__xludf.DUMMYFUNCTION("""COMPUTED_VALUE"""),0.0)</f>
        <v>0</v>
      </c>
      <c r="Y3051" s="148">
        <f>IFERROR(__xludf.DUMMYFUNCTION("""COMPUTED_VALUE"""),0.0)</f>
        <v>0</v>
      </c>
      <c r="Z3051" s="148"/>
    </row>
    <row r="3052">
      <c r="A3052" s="148">
        <f>IFERROR(__xludf.DUMMYFUNCTION("""COMPUTED_VALUE"""),1.11110106E8)</f>
        <v>111110106</v>
      </c>
      <c r="B3052" s="148" t="str">
        <f>IFERROR(__xludf.DUMMYFUNCTION("""COMPUTED_VALUE"""),"2026科技节随机宝箱")</f>
        <v>2026科技节随机宝箱</v>
      </c>
      <c r="C3052" s="148"/>
      <c r="D3052" s="148" t="str">
        <f>IFERROR(__xludf.DUMMYFUNCTION("""COMPUTED_VALUE"""),"item_asset")</f>
        <v>item_asset</v>
      </c>
      <c r="E3052" s="148">
        <f>IFERROR(__xludf.DUMMYFUNCTION("""COMPUTED_VALUE"""),19.0)</f>
        <v>19</v>
      </c>
      <c r="F3052" s="148">
        <f>IFERROR(__xludf.DUMMYFUNCTION("""COMPUTED_VALUE"""),0.0)</f>
        <v>0</v>
      </c>
      <c r="G3052" s="148">
        <f>IFERROR(__xludf.DUMMYFUNCTION("""COMPUTED_VALUE"""),1.51104726E8)</f>
        <v>151104726</v>
      </c>
      <c r="H3052" s="148">
        <f>IFERROR(__xludf.DUMMYFUNCTION("""COMPUTED_VALUE"""),1.5112564E7)</f>
        <v>15112564</v>
      </c>
      <c r="I3052" s="148" t="str">
        <f>IFERROR(__xludf.DUMMYFUNCTION("""COMPUTED_VALUE"""),"{}")</f>
        <v>{}</v>
      </c>
      <c r="J3052" s="148" t="str">
        <f>IFERROR(__xludf.DUMMYFUNCTION("""COMPUTED_VALUE"""),"{""typ"":""lc"",""txt"":""LC_ITEM_actv_2026sc_rbox_name""}")</f>
        <v>{"typ":"lc","txt":"LC_ITEM_actv_2026sc_rbox_name"}</v>
      </c>
      <c r="K3052" s="148" t="str">
        <f>IFERROR(__xludf.DUMMYFUNCTION("""COMPUTED_VALUE"""),"{""typ"":""lc"",""txt"":""LC_ITEM_actv_2026sc_rbox_desc""}")</f>
        <v>{"typ":"lc","txt":"LC_ITEM_actv_2026sc_rbox_desc"}</v>
      </c>
      <c r="L3052" s="148" t="str">
        <f>IFERROR(__xludf.DUMMYFUNCTION("""COMPUTED_VALUE"""),"{}")</f>
        <v>{}</v>
      </c>
      <c r="M3052" s="148">
        <f>IFERROR(__xludf.DUMMYFUNCTION("""COMPUTED_VALUE"""),125.0)</f>
        <v>125</v>
      </c>
      <c r="N3052" s="148">
        <f>IFERROR(__xludf.DUMMYFUNCTION("""COMPUTED_VALUE"""),999999.0)</f>
        <v>999999</v>
      </c>
      <c r="O3052" s="148">
        <f>IFERROR(__xludf.DUMMYFUNCTION("""COMPUTED_VALUE"""),99999.0)</f>
        <v>99999</v>
      </c>
      <c r="P3052" s="148">
        <f>IFERROR(__xludf.DUMMYFUNCTION("""COMPUTED_VALUE"""),9999.0)</f>
        <v>9999</v>
      </c>
      <c r="Q3052" s="148" t="str">
        <f>IFERROR(__xludf.DUMMYFUNCTION("""COMPUTED_VALUE"""),"[""bag_other""]")</f>
        <v>["bag_other"]</v>
      </c>
      <c r="R3052" s="148" t="str">
        <f>IFERROR(__xludf.DUMMYFUNCTION("""COMPUTED_VALUE"""),"[""bag""]")</f>
        <v>["bag"]</v>
      </c>
      <c r="S3052" s="148" t="str">
        <f>IFERROR(__xludf.DUMMYFUNCTION("""COMPUTED_VALUE"""),"{""drop"":{""typ"":""single_random"",""num"":1,""args"":[{""typ"":""item"",""id"":11112127,""num"":2,""wgt"":20},{""typ"":""item"",""id"":11116304,""num"":1,""wgt"":5},{""typ"":""item"",""id"":11116110,""num"":1,""wgt"":20},{""typ"":""item"",""id"":111143"&amp;"30,""num"":1,""wgt"":100},{""typ"":""item"",""id"":11111155,""num"":2,""wgt"":100},{""typ"":""item"",""id"":11111105,""num"":1,""wgt"":50}]}}")</f>
        <v>{"drop":{"typ":"single_random","num":1,"args":[{"typ":"item","id":11112127,"num":2,"wgt":20},{"typ":"item","id":11116304,"num":1,"wgt":5},{"typ":"item","id":11116110,"num":1,"wgt":20},{"typ":"item","id":11114330,"num":1,"wgt":100},{"typ":"item","id":11111155,"num":2,"wgt":100},{"typ":"item","id":11111105,"num":1,"wgt":50}]}}</v>
      </c>
      <c r="T3052" s="148">
        <f>IFERROR(__xludf.DUMMYFUNCTION("""COMPUTED_VALUE"""),-1.0)</f>
        <v>-1</v>
      </c>
      <c r="U3052" s="148">
        <f>IFERROR(__xludf.DUMMYFUNCTION("""COMPUTED_VALUE"""),0.0)</f>
        <v>0</v>
      </c>
      <c r="V3052" s="148" t="str">
        <f>IFERROR(__xludf.DUMMYFUNCTION("""COMPUTED_VALUE"""),"[]")</f>
        <v>[]</v>
      </c>
      <c r="W3052" s="148">
        <f>IFERROR(__xludf.DUMMYFUNCTION("""COMPUTED_VALUE"""),1.174E7)</f>
        <v>11740000</v>
      </c>
      <c r="X3052" s="148">
        <f>IFERROR(__xludf.DUMMYFUNCTION("""COMPUTED_VALUE"""),0.0)</f>
        <v>0</v>
      </c>
      <c r="Y3052" s="148">
        <f>IFERROR(__xludf.DUMMYFUNCTION("""COMPUTED_VALUE"""),0.0)</f>
        <v>0</v>
      </c>
      <c r="Z3052" s="148"/>
    </row>
    <row r="3053">
      <c r="A3053" s="148">
        <f>IFERROR(__xludf.DUMMYFUNCTION("""COMPUTED_VALUE"""),1.11110107E8)</f>
        <v>111110107</v>
      </c>
      <c r="B3053" s="148" t="str">
        <f>IFERROR(__xludf.DUMMYFUNCTION("""COMPUTED_VALUE"""),"2026科技节头像框-集卡册-动态")</f>
        <v>2026科技节头像框-集卡册-动态</v>
      </c>
      <c r="C3053" s="148"/>
      <c r="D3053" s="148" t="str">
        <f>IFERROR(__xludf.DUMMYFUNCTION("""COMPUTED_VALUE"""),"avatar_frame")</f>
        <v>avatar_frame</v>
      </c>
      <c r="E3053" s="148">
        <f>IFERROR(__xludf.DUMMYFUNCTION("""COMPUTED_VALUE"""),20.0)</f>
        <v>20</v>
      </c>
      <c r="F3053" s="148">
        <f>IFERROR(__xludf.DUMMYFUNCTION("""COMPUTED_VALUE"""),0.0)</f>
        <v>0</v>
      </c>
      <c r="G3053" s="148">
        <f>IFERROR(__xludf.DUMMYFUNCTION("""COMPUTED_VALUE"""),1.51104718E8)</f>
        <v>151104718</v>
      </c>
      <c r="H3053" s="148">
        <f>IFERROR(__xludf.DUMMYFUNCTION("""COMPUTED_VALUE"""),1.5112564E7)</f>
        <v>15112564</v>
      </c>
      <c r="I3053" s="148" t="str">
        <f>IFERROR(__xludf.DUMMYFUNCTION("""COMPUTED_VALUE"""),"{}")</f>
        <v>{}</v>
      </c>
      <c r="J3053" s="148" t="str">
        <f>IFERROR(__xludf.DUMMYFUNCTION("""COMPUTED_VALUE"""),"{""typ"":""lc"",""txt"":""LC_ITEM_tech_fest_future_wings_name""}")</f>
        <v>{"typ":"lc","txt":"LC_ITEM_tech_fest_future_wings_name"}</v>
      </c>
      <c r="K3053" s="148" t="str">
        <f>IFERROR(__xludf.DUMMYFUNCTION("""COMPUTED_VALUE"""),"{""typ"":""lc"",""txt"":""LC_ITEM_tech_fest_future_wings_desc""}")</f>
        <v>{"typ":"lc","txt":"LC_ITEM_tech_fest_future_wings_desc"}</v>
      </c>
      <c r="L3053" s="148" t="str">
        <f>IFERROR(__xludf.DUMMYFUNCTION("""COMPUTED_VALUE"""),"{}")</f>
        <v>{}</v>
      </c>
      <c r="M3053" s="148">
        <f>IFERROR(__xludf.DUMMYFUNCTION("""COMPUTED_VALUE"""),2500.0)</f>
        <v>2500</v>
      </c>
      <c r="N3053" s="148">
        <f>IFERROR(__xludf.DUMMYFUNCTION("""COMPUTED_VALUE"""),99.0)</f>
        <v>99</v>
      </c>
      <c r="O3053" s="148">
        <f>IFERROR(__xludf.DUMMYFUNCTION("""COMPUTED_VALUE"""),1.0)</f>
        <v>1</v>
      </c>
      <c r="P3053" s="148">
        <f>IFERROR(__xludf.DUMMYFUNCTION("""COMPUTED_VALUE"""),1.0)</f>
        <v>1</v>
      </c>
      <c r="Q3053" s="148" t="str">
        <f>IFERROR(__xludf.DUMMYFUNCTION("""COMPUTED_VALUE"""),"[]")</f>
        <v>[]</v>
      </c>
      <c r="R3053" s="148" t="str">
        <f>IFERROR(__xludf.DUMMYFUNCTION("""COMPUTED_VALUE"""),"[""11421089""]")</f>
        <v>["11421089"]</v>
      </c>
      <c r="S3053" s="148" t="str">
        <f>IFERROR(__xludf.DUMMYFUNCTION("""COMPUTED_VALUE"""),"{""effect"":[{""typ"":""avatar_frame"",""id"":11421091,""val"":-1},{""typ"":""item"",""id"":11111031,""val"":2500}]}")</f>
        <v>{"effect":[{"typ":"avatar_frame","id":11421091,"val":-1},{"typ":"item","id":11111031,"val":2500}]}</v>
      </c>
      <c r="T3053" s="148">
        <f>IFERROR(__xludf.DUMMYFUNCTION("""COMPUTED_VALUE"""),-1.0)</f>
        <v>-1</v>
      </c>
      <c r="U3053" s="148">
        <f>IFERROR(__xludf.DUMMYFUNCTION("""COMPUTED_VALUE"""),1.0)</f>
        <v>1</v>
      </c>
      <c r="V3053" s="148" t="str">
        <f>IFERROR(__xludf.DUMMYFUNCTION("""COMPUTED_VALUE"""),"[]")</f>
        <v>[]</v>
      </c>
      <c r="W3053" s="148">
        <f>IFERROR(__xludf.DUMMYFUNCTION("""COMPUTED_VALUE"""),1.174E7)</f>
        <v>11740000</v>
      </c>
      <c r="X3053" s="148">
        <f>IFERROR(__xludf.DUMMYFUNCTION("""COMPUTED_VALUE"""),0.0)</f>
        <v>0</v>
      </c>
      <c r="Y3053" s="148">
        <f>IFERROR(__xludf.DUMMYFUNCTION("""COMPUTED_VALUE"""),0.0)</f>
        <v>0</v>
      </c>
      <c r="Z3053" s="148"/>
    </row>
    <row r="3054">
      <c r="A3054" s="148">
        <f>IFERROR(__xludf.DUMMYFUNCTION("""COMPUTED_VALUE"""),1.11110201E8)</f>
        <v>111110201</v>
      </c>
      <c r="B3054" s="148" t="str">
        <f>IFERROR(__xludf.DUMMYFUNCTION("""COMPUTED_VALUE"""),"KVK6秘宝货币-1个")</f>
        <v>KVK6秘宝货币-1个</v>
      </c>
      <c r="C3054" s="148"/>
      <c r="D3054" s="148" t="str">
        <f>IFERROR(__xludf.DUMMYFUNCTION("""COMPUTED_VALUE"""),"item_rss")</f>
        <v>item_rss</v>
      </c>
      <c r="E3054" s="148">
        <f>IFERROR(__xludf.DUMMYFUNCTION("""COMPUTED_VALUE"""),0.0)</f>
        <v>0</v>
      </c>
      <c r="F3054" s="148">
        <f>IFERROR(__xludf.DUMMYFUNCTION("""COMPUTED_VALUE"""),499999.0)</f>
        <v>499999</v>
      </c>
      <c r="G3054" s="148">
        <f>IFERROR(__xludf.DUMMYFUNCTION("""COMPUTED_VALUE"""),1.51103047E8)</f>
        <v>151103047</v>
      </c>
      <c r="H3054" s="148">
        <f>IFERROR(__xludf.DUMMYFUNCTION("""COMPUTED_VALUE"""),1.5112562E7)</f>
        <v>15112562</v>
      </c>
      <c r="I3054" s="148" t="str">
        <f>IFERROR(__xludf.DUMMYFUNCTION("""COMPUTED_VALUE"""),"{}")</f>
        <v>{}</v>
      </c>
      <c r="J3054" s="148" t="str">
        <f>IFERROR(__xludf.DUMMYFUNCTION("""COMPUTED_VALUE"""),"{""typ"":""lc"",""txt"":""LC_ITEM_kvk6_treasure_coin_name""}")</f>
        <v>{"typ":"lc","txt":"LC_ITEM_kvk6_treasure_coin_name"}</v>
      </c>
      <c r="K3054" s="148" t="str">
        <f>IFERROR(__xludf.DUMMYFUNCTION("""COMPUTED_VALUE"""),"{""typ"":""lc"",""txt"":""LC_ITEM_kvk6_treasure_coin_desc""}")</f>
        <v>{"typ":"lc","txt":"LC_ITEM_kvk6_treasure_coin_desc"}</v>
      </c>
      <c r="L3054" s="148" t="str">
        <f>IFERROR(__xludf.DUMMYFUNCTION("""COMPUTED_VALUE"""),"{""typ"":""lc"",""txt"":""LC_ASSET_suit_actived_tips_1""}")</f>
        <v>{"typ":"lc","txt":"LC_ASSET_suit_actived_tips_1"}</v>
      </c>
      <c r="M3054" s="148">
        <f>IFERROR(__xludf.DUMMYFUNCTION("""COMPUTED_VALUE"""),10000.0)</f>
        <v>10000</v>
      </c>
      <c r="N3054" s="148">
        <f>IFERROR(__xludf.DUMMYFUNCTION("""COMPUTED_VALUE"""),9.99999999E8)</f>
        <v>999999999</v>
      </c>
      <c r="O3054" s="148">
        <f>IFERROR(__xludf.DUMMYFUNCTION("""COMPUTED_VALUE"""),9.99999999E8)</f>
        <v>999999999</v>
      </c>
      <c r="P3054" s="148">
        <f>IFERROR(__xludf.DUMMYFUNCTION("""COMPUTED_VALUE"""),1.0)</f>
        <v>1</v>
      </c>
      <c r="Q3054" s="148" t="str">
        <f>IFERROR(__xludf.DUMMYFUNCTION("""COMPUTED_VALUE"""),"[]")</f>
        <v>[]</v>
      </c>
      <c r="R3054" s="148" t="str">
        <f>IFERROR(__xludf.DUMMYFUNCTION("""COMPUTED_VALUE"""),"[]")</f>
        <v>[]</v>
      </c>
      <c r="S3054" s="148" t="str">
        <f>IFERROR(__xludf.DUMMYFUNCTION("""COMPUTED_VALUE"""),"{""effect"":[{""typ"":""vm"",""id"":11151009,""val"":1}]}")</f>
        <v>{"effect":[{"typ":"vm","id":11151009,"val":1}]}</v>
      </c>
      <c r="T3054" s="148">
        <f>IFERROR(__xludf.DUMMYFUNCTION("""COMPUTED_VALUE"""),-1.0)</f>
        <v>-1</v>
      </c>
      <c r="U3054" s="148">
        <f>IFERROR(__xludf.DUMMYFUNCTION("""COMPUTED_VALUE"""),1.0)</f>
        <v>1</v>
      </c>
      <c r="V3054" s="148" t="str">
        <f>IFERROR(__xludf.DUMMYFUNCTION("""COMPUTED_VALUE"""),"[]")</f>
        <v>[]</v>
      </c>
      <c r="W3054" s="148">
        <f>IFERROR(__xludf.DUMMYFUNCTION("""COMPUTED_VALUE"""),1.174E7)</f>
        <v>11740000</v>
      </c>
      <c r="X3054" s="148">
        <f>IFERROR(__xludf.DUMMYFUNCTION("""COMPUTED_VALUE"""),0.0)</f>
        <v>0</v>
      </c>
      <c r="Y3054" s="148">
        <f>IFERROR(__xludf.DUMMYFUNCTION("""COMPUTED_VALUE"""),0.0)</f>
        <v>0</v>
      </c>
      <c r="Z3054" s="148"/>
    </row>
    <row r="3055">
      <c r="A3055" s="148">
        <f>IFERROR(__xludf.DUMMYFUNCTION("""COMPUTED_VALUE"""),1.11110202E8)</f>
        <v>111110202</v>
      </c>
      <c r="B3055" s="148" t="str">
        <f>IFERROR(__xludf.DUMMYFUNCTION("""COMPUTED_VALUE"""),"KVK6秘宝精粹-1个")</f>
        <v>KVK6秘宝精粹-1个</v>
      </c>
      <c r="C3055" s="148"/>
      <c r="D3055" s="148" t="str">
        <f>IFERROR(__xludf.DUMMYFUNCTION("""COMPUTED_VALUE"""),"item_rss")</f>
        <v>item_rss</v>
      </c>
      <c r="E3055" s="148">
        <f>IFERROR(__xludf.DUMMYFUNCTION("""COMPUTED_VALUE"""),0.0)</f>
        <v>0</v>
      </c>
      <c r="F3055" s="148">
        <f>IFERROR(__xludf.DUMMYFUNCTION("""COMPUTED_VALUE"""),499999.0)</f>
        <v>499999</v>
      </c>
      <c r="G3055" s="148">
        <f>IFERROR(__xludf.DUMMYFUNCTION("""COMPUTED_VALUE"""),1.5115372E7)</f>
        <v>15115372</v>
      </c>
      <c r="H3055" s="148">
        <f>IFERROR(__xludf.DUMMYFUNCTION("""COMPUTED_VALUE"""),1.5115983E7)</f>
        <v>15115983</v>
      </c>
      <c r="I3055" s="148" t="str">
        <f>IFERROR(__xludf.DUMMYFUNCTION("""COMPUTED_VALUE"""),"{}")</f>
        <v>{}</v>
      </c>
      <c r="J3055" s="148" t="str">
        <f>IFERROR(__xludf.DUMMYFUNCTION("""COMPUTED_VALUE"""),"{""typ"":""lc"",""txt"":""LC_ITEM_kvk6_treasure_essence_name""}")</f>
        <v>{"typ":"lc","txt":"LC_ITEM_kvk6_treasure_essence_name"}</v>
      </c>
      <c r="K3055" s="148" t="str">
        <f>IFERROR(__xludf.DUMMYFUNCTION("""COMPUTED_VALUE"""),"{""typ"":""lc"",""txt"":""LC_ITEM_kvk6_treasure_essence_desc""}")</f>
        <v>{"typ":"lc","txt":"LC_ITEM_kvk6_treasure_essence_desc"}</v>
      </c>
      <c r="L3055" s="148" t="str">
        <f>IFERROR(__xludf.DUMMYFUNCTION("""COMPUTED_VALUE"""),"{""typ"":""lc"",""txt"":""LC_ASSET_suit_actived_tips_1""}")</f>
        <v>{"typ":"lc","txt":"LC_ASSET_suit_actived_tips_1"}</v>
      </c>
      <c r="M3055" s="148">
        <f>IFERROR(__xludf.DUMMYFUNCTION("""COMPUTED_VALUE"""),10000.0)</f>
        <v>10000</v>
      </c>
      <c r="N3055" s="148">
        <f>IFERROR(__xludf.DUMMYFUNCTION("""COMPUTED_VALUE"""),9.9999999E7)</f>
        <v>99999999</v>
      </c>
      <c r="O3055" s="148">
        <f>IFERROR(__xludf.DUMMYFUNCTION("""COMPUTED_VALUE"""),99999.0)</f>
        <v>99999</v>
      </c>
      <c r="P3055" s="148">
        <f>IFERROR(__xludf.DUMMYFUNCTION("""COMPUTED_VALUE"""),1.0)</f>
        <v>1</v>
      </c>
      <c r="Q3055" s="148" t="str">
        <f>IFERROR(__xludf.DUMMYFUNCTION("""COMPUTED_VALUE"""),"[]")</f>
        <v>[]</v>
      </c>
      <c r="R3055" s="148" t="str">
        <f>IFERROR(__xludf.DUMMYFUNCTION("""COMPUTED_VALUE"""),"[]")</f>
        <v>[]</v>
      </c>
      <c r="S3055" s="148" t="str">
        <f>IFERROR(__xludf.DUMMYFUNCTION("""COMPUTED_VALUE"""),"{""effect"":[{""typ"":""vm"",""id"":11151010,""val"":1}]}")</f>
        <v>{"effect":[{"typ":"vm","id":11151010,"val":1}]}</v>
      </c>
      <c r="T3055" s="148">
        <f>IFERROR(__xludf.DUMMYFUNCTION("""COMPUTED_VALUE"""),-1.0)</f>
        <v>-1</v>
      </c>
      <c r="U3055" s="148">
        <f>IFERROR(__xludf.DUMMYFUNCTION("""COMPUTED_VALUE"""),1.0)</f>
        <v>1</v>
      </c>
      <c r="V3055" s="148" t="str">
        <f>IFERROR(__xludf.DUMMYFUNCTION("""COMPUTED_VALUE"""),"[]")</f>
        <v>[]</v>
      </c>
      <c r="W3055" s="148">
        <f>IFERROR(__xludf.DUMMYFUNCTION("""COMPUTED_VALUE"""),1.174E7)</f>
        <v>11740000</v>
      </c>
      <c r="X3055" s="148">
        <f>IFERROR(__xludf.DUMMYFUNCTION("""COMPUTED_VALUE"""),0.0)</f>
        <v>0</v>
      </c>
      <c r="Y3055" s="148">
        <f>IFERROR(__xludf.DUMMYFUNCTION("""COMPUTED_VALUE"""),0.0)</f>
        <v>0</v>
      </c>
      <c r="Z3055" s="148"/>
    </row>
    <row r="3056">
      <c r="A3056" s="148">
        <f>IFERROR(__xludf.DUMMYFUNCTION("""COMPUTED_VALUE"""),1.11110203E8)</f>
        <v>111110203</v>
      </c>
      <c r="B3056" s="148" t="str">
        <f>IFERROR(__xludf.DUMMYFUNCTION("""COMPUTED_VALUE"""),"KVK6_军团捐献道具")</f>
        <v>KVK6_军团捐献道具</v>
      </c>
      <c r="C3056" s="148"/>
      <c r="D3056" s="148" t="str">
        <f>IFERROR(__xludf.DUMMYFUNCTION("""COMPUTED_VALUE"""),"item_horde")</f>
        <v>item_horde</v>
      </c>
      <c r="E3056" s="148">
        <f>IFERROR(__xludf.DUMMYFUNCTION("""COMPUTED_VALUE"""),0.0)</f>
        <v>0</v>
      </c>
      <c r="F3056" s="148">
        <f>IFERROR(__xludf.DUMMYFUNCTION("""COMPUTED_VALUE"""),415205.0)</f>
        <v>415205</v>
      </c>
      <c r="G3056" s="148">
        <f>IFERROR(__xludf.DUMMYFUNCTION("""COMPUTED_VALUE"""),1.51101019E8)</f>
        <v>151101019</v>
      </c>
      <c r="H3056" s="148">
        <f>IFERROR(__xludf.DUMMYFUNCTION("""COMPUTED_VALUE"""),1.5112563E7)</f>
        <v>15112563</v>
      </c>
      <c r="I3056" s="148" t="str">
        <f>IFERROR(__xludf.DUMMYFUNCTION("""COMPUTED_VALUE"""),"{}")</f>
        <v>{}</v>
      </c>
      <c r="J3056" s="148" t="str">
        <f>IFERROR(__xludf.DUMMYFUNCTION("""COMPUTED_VALUE"""),"{""typ"":""lc"",""txt"":""LC_KVK_kvk6_colossus_ui_tips45""}")</f>
        <v>{"typ":"lc","txt":"LC_KVK_kvk6_colossus_ui_tips45"}</v>
      </c>
      <c r="K3056" s="148" t="str">
        <f>IFERROR(__xludf.DUMMYFUNCTION("""COMPUTED_VALUE"""),"{""typ"":""lc"",""txt"":""LC_KVK_kvk6_colossus_ui_tips46""}")</f>
        <v>{"typ":"lc","txt":"LC_KVK_kvk6_colossus_ui_tips46"}</v>
      </c>
      <c r="L3056" s="148" t="str">
        <f>IFERROR(__xludf.DUMMYFUNCTION("""COMPUTED_VALUE"""),"{}")</f>
        <v>{}</v>
      </c>
      <c r="M3056" s="148">
        <f>IFERROR(__xludf.DUMMYFUNCTION("""COMPUTED_VALUE"""),50.0)</f>
        <v>50</v>
      </c>
      <c r="N3056" s="148">
        <f>IFERROR(__xludf.DUMMYFUNCTION("""COMPUTED_VALUE"""),9999999.0)</f>
        <v>9999999</v>
      </c>
      <c r="O3056" s="148">
        <f>IFERROR(__xludf.DUMMYFUNCTION("""COMPUTED_VALUE"""),99999.0)</f>
        <v>99999</v>
      </c>
      <c r="P3056" s="148">
        <f>IFERROR(__xludf.DUMMYFUNCTION("""COMPUTED_VALUE"""),99999.0)</f>
        <v>99999</v>
      </c>
      <c r="Q3056" s="148" t="str">
        <f>IFERROR(__xludf.DUMMYFUNCTION("""COMPUTED_VALUE"""),"[""bag_other""]")</f>
        <v>["bag_other"]</v>
      </c>
      <c r="R3056" s="148" t="str">
        <f>IFERROR(__xludf.DUMMYFUNCTION("""COMPUTED_VALUE"""),"[""horde_donate""]")</f>
        <v>["horde_donate"]</v>
      </c>
      <c r="S3056" s="148" t="str">
        <f>IFERROR(__xludf.DUMMYFUNCTION("""COMPUTED_VALUE"""),"{}")</f>
        <v>{}</v>
      </c>
      <c r="T3056" s="148">
        <f>IFERROR(__xludf.DUMMYFUNCTION("""COMPUTED_VALUE"""),-1.0)</f>
        <v>-1</v>
      </c>
      <c r="U3056" s="148">
        <f>IFERROR(__xludf.DUMMYFUNCTION("""COMPUTED_VALUE"""),0.0)</f>
        <v>0</v>
      </c>
      <c r="V3056" s="148" t="str">
        <f>IFERROR(__xludf.DUMMYFUNCTION("""COMPUTED_VALUE"""),"[]")</f>
        <v>[]</v>
      </c>
      <c r="W3056" s="148">
        <f>IFERROR(__xludf.DUMMYFUNCTION("""COMPUTED_VALUE"""),1.174E7)</f>
        <v>11740000</v>
      </c>
      <c r="X3056" s="148">
        <f>IFERROR(__xludf.DUMMYFUNCTION("""COMPUTED_VALUE"""),0.0)</f>
        <v>0</v>
      </c>
      <c r="Y3056" s="148">
        <f>IFERROR(__xludf.DUMMYFUNCTION("""COMPUTED_VALUE"""),0.0)</f>
        <v>0</v>
      </c>
      <c r="Z3056" s="148"/>
    </row>
    <row r="3057">
      <c r="A3057" s="148">
        <f>IFERROR(__xludf.DUMMYFUNCTION("""COMPUTED_VALUE"""),1.11110204E8)</f>
        <v>111110204</v>
      </c>
      <c r="B3057" s="148" t="str">
        <f>IFERROR(__xludf.DUMMYFUNCTION("""COMPUTED_VALUE"""),"KVK-部队攻击提升-5%")</f>
        <v>KVK-部队攻击提升-5%</v>
      </c>
      <c r="C3057" s="148"/>
      <c r="D3057" s="148" t="str">
        <f>IFERROR(__xludf.DUMMYFUNCTION("""COMPUTED_VALUE"""),"item_buff")</f>
        <v>item_buff</v>
      </c>
      <c r="E3057" s="148">
        <f>IFERROR(__xludf.DUMMYFUNCTION("""COMPUTED_VALUE"""),0.0)</f>
        <v>0</v>
      </c>
      <c r="F3057" s="148">
        <f>IFERROR(__xludf.DUMMYFUNCTION("""COMPUTED_VALUE"""),405211.0)</f>
        <v>405211</v>
      </c>
      <c r="G3057" s="148">
        <f>IFERROR(__xludf.DUMMYFUNCTION("""COMPUTED_VALUE"""),1.5113801E7)</f>
        <v>15113801</v>
      </c>
      <c r="H3057" s="148">
        <f>IFERROR(__xludf.DUMMYFUNCTION("""COMPUTED_VALUE"""),1.5112563E7)</f>
        <v>15112563</v>
      </c>
      <c r="I3057" s="148" t="str">
        <f>IFERROR(__xludf.DUMMYFUNCTION("""COMPUTED_VALUE"""),"{""typ"":""lc"",""txt"":""LC_ITEM_buff_val_upper_show"",""args"":[{""typ"":""int"",""val"":5}]}")</f>
        <v>{"typ":"lc","txt":"LC_ITEM_buff_val_upper_show","args":[{"typ":"int","val":5}]}</v>
      </c>
      <c r="J3057" s="148" t="str">
        <f>IFERROR(__xludf.DUMMYFUNCTION("""COMPUTED_VALUE"""),"{""typ"":""lc"",""txt"":""LC_ITEM_kvk_troop_attack_upgrade_name""}")</f>
        <v>{"typ":"lc","txt":"LC_ITEM_kvk_troop_attack_upgrade_name"}</v>
      </c>
      <c r="K3057" s="148" t="str">
        <f>IFERROR(__xludf.DUMMYFUNCTION("""COMPUTED_VALUE"""),"{""typ"":""lc"",""txt"":""LC_ITEM_kvk_troop_attack_upgrade_desc"",""args"":[{""typ"":""int"",""val"":5}]}")</f>
        <v>{"typ":"lc","txt":"LC_ITEM_kvk_troop_attack_upgrade_desc","args":[{"typ":"int","val":5}]}</v>
      </c>
      <c r="L3057" s="148" t="str">
        <f>IFERROR(__xludf.DUMMYFUNCTION("""COMPUTED_VALUE"""),"{""typ"":""lc"",""txt"":""LC_ITEM_kvk_troop_attack_upgrade_upgrade_usetip""}")</f>
        <v>{"typ":"lc","txt":"LC_ITEM_kvk_troop_attack_upgrade_upgrade_usetip"}</v>
      </c>
      <c r="M3057" s="148">
        <f>IFERROR(__xludf.DUMMYFUNCTION("""COMPUTED_VALUE"""),6750.0)</f>
        <v>6750</v>
      </c>
      <c r="N3057" s="148">
        <f>IFERROR(__xludf.DUMMYFUNCTION("""COMPUTED_VALUE"""),100.0)</f>
        <v>100</v>
      </c>
      <c r="O3057" s="148">
        <f>IFERROR(__xludf.DUMMYFUNCTION("""COMPUTED_VALUE"""),100.0)</f>
        <v>100</v>
      </c>
      <c r="P3057" s="148">
        <f>IFERROR(__xludf.DUMMYFUNCTION("""COMPUTED_VALUE"""),100.0)</f>
        <v>100</v>
      </c>
      <c r="Q3057" s="148" t="str">
        <f>IFERROR(__xludf.DUMMYFUNCTION("""COMPUTED_VALUE"""),"[""bag_other""]")</f>
        <v>["bag_other"]</v>
      </c>
      <c r="R3057" s="148" t="str">
        <f>IFERROR(__xludf.DUMMYFUNCTION("""COMPUTED_VALUE"""),"[]")</f>
        <v>[]</v>
      </c>
      <c r="S3057" s="148" t="str">
        <f>IFERROR(__xludf.DUMMYFUNCTION("""COMPUTED_VALUE"""),"{""effect"":[{""typ"":""buff"",""id"":121141155,""val"":-1,""arg1"":0.05}]}")</f>
        <v>{"effect":[{"typ":"buff","id":121141155,"val":-1,"arg1":0.05}]}</v>
      </c>
      <c r="T3057" s="148">
        <f>IFERROR(__xludf.DUMMYFUNCTION("""COMPUTED_VALUE"""),-1.0)</f>
        <v>-1</v>
      </c>
      <c r="U3057" s="148">
        <f>IFERROR(__xludf.DUMMYFUNCTION("""COMPUTED_VALUE"""),1.0)</f>
        <v>1</v>
      </c>
      <c r="V3057" s="148" t="str">
        <f>IFERROR(__xludf.DUMMYFUNCTION("""COMPUTED_VALUE"""),"[]")</f>
        <v>[]</v>
      </c>
      <c r="W3057" s="148">
        <f>IFERROR(__xludf.DUMMYFUNCTION("""COMPUTED_VALUE"""),1.174E7)</f>
        <v>11740000</v>
      </c>
      <c r="X3057" s="148">
        <f>IFERROR(__xludf.DUMMYFUNCTION("""COMPUTED_VALUE"""),0.0)</f>
        <v>0</v>
      </c>
      <c r="Y3057" s="148">
        <f>IFERROR(__xludf.DUMMYFUNCTION("""COMPUTED_VALUE"""),0.0)</f>
        <v>0</v>
      </c>
      <c r="Z3057" s="148"/>
    </row>
    <row r="3058">
      <c r="A3058" s="148">
        <f>IFERROR(__xludf.DUMMYFUNCTION("""COMPUTED_VALUE"""),1.11110205E8)</f>
        <v>111110205</v>
      </c>
      <c r="B3058" s="148" t="str">
        <f>IFERROR(__xludf.DUMMYFUNCTION("""COMPUTED_VALUE"""),"KVK-部队防御提升-5%")</f>
        <v>KVK-部队防御提升-5%</v>
      </c>
      <c r="C3058" s="148"/>
      <c r="D3058" s="148" t="str">
        <f>IFERROR(__xludf.DUMMYFUNCTION("""COMPUTED_VALUE"""),"item_buff")</f>
        <v>item_buff</v>
      </c>
      <c r="E3058" s="148">
        <f>IFERROR(__xludf.DUMMYFUNCTION("""COMPUTED_VALUE"""),0.0)</f>
        <v>0</v>
      </c>
      <c r="F3058" s="148">
        <f>IFERROR(__xludf.DUMMYFUNCTION("""COMPUTED_VALUE"""),405212.0)</f>
        <v>405212</v>
      </c>
      <c r="G3058" s="148">
        <f>IFERROR(__xludf.DUMMYFUNCTION("""COMPUTED_VALUE"""),1.5113801E7)</f>
        <v>15113801</v>
      </c>
      <c r="H3058" s="148">
        <f>IFERROR(__xludf.DUMMYFUNCTION("""COMPUTED_VALUE"""),1.5112563E7)</f>
        <v>15112563</v>
      </c>
      <c r="I3058" s="148" t="str">
        <f>IFERROR(__xludf.DUMMYFUNCTION("""COMPUTED_VALUE"""),"{""typ"":""lc"",""txt"":""LC_ITEM_buff_val_upper_show"",""args"":[{""typ"":""int"",""val"":5}]}")</f>
        <v>{"typ":"lc","txt":"LC_ITEM_buff_val_upper_show","args":[{"typ":"int","val":5}]}</v>
      </c>
      <c r="J3058" s="148" t="str">
        <f>IFERROR(__xludf.DUMMYFUNCTION("""COMPUTED_VALUE"""),"{""typ"":""lc"",""txt"":""LC_ITEM_kvk_troop_defence_upgrade_name""}")</f>
        <v>{"typ":"lc","txt":"LC_ITEM_kvk_troop_defence_upgrade_name"}</v>
      </c>
      <c r="K3058" s="148" t="str">
        <f>IFERROR(__xludf.DUMMYFUNCTION("""COMPUTED_VALUE"""),"{""typ"":""lc"",""txt"":""LC_ITEM_kvk_troop_defence_upgrade_desc"",""args"":[{""typ"":""int"",""val"":5}]}")</f>
        <v>{"typ":"lc","txt":"LC_ITEM_kvk_troop_defence_upgrade_desc","args":[{"typ":"int","val":5}]}</v>
      </c>
      <c r="L3058" s="148" t="str">
        <f>IFERROR(__xludf.DUMMYFUNCTION("""COMPUTED_VALUE"""),"{""typ"":""lc"",""txt"":""LC_ITEM_kvk_troop_defence_upgrade_upgrade_usetip""}")</f>
        <v>{"typ":"lc","txt":"LC_ITEM_kvk_troop_defence_upgrade_upgrade_usetip"}</v>
      </c>
      <c r="M3058" s="148">
        <f>IFERROR(__xludf.DUMMYFUNCTION("""COMPUTED_VALUE"""),6750.0)</f>
        <v>6750</v>
      </c>
      <c r="N3058" s="148">
        <f>IFERROR(__xludf.DUMMYFUNCTION("""COMPUTED_VALUE"""),100.0)</f>
        <v>100</v>
      </c>
      <c r="O3058" s="148">
        <f>IFERROR(__xludf.DUMMYFUNCTION("""COMPUTED_VALUE"""),100.0)</f>
        <v>100</v>
      </c>
      <c r="P3058" s="148">
        <f>IFERROR(__xludf.DUMMYFUNCTION("""COMPUTED_VALUE"""),100.0)</f>
        <v>100</v>
      </c>
      <c r="Q3058" s="148" t="str">
        <f>IFERROR(__xludf.DUMMYFUNCTION("""COMPUTED_VALUE"""),"[""bag_other""]")</f>
        <v>["bag_other"]</v>
      </c>
      <c r="R3058" s="148" t="str">
        <f>IFERROR(__xludf.DUMMYFUNCTION("""COMPUTED_VALUE"""),"[]")</f>
        <v>[]</v>
      </c>
      <c r="S3058" s="148" t="str">
        <f>IFERROR(__xludf.DUMMYFUNCTION("""COMPUTED_VALUE"""),"{""effect"":[{""typ"":""buff"",""id"":121141156,""val"":-1,""arg1"":0.05}]}")</f>
        <v>{"effect":[{"typ":"buff","id":121141156,"val":-1,"arg1":0.05}]}</v>
      </c>
      <c r="T3058" s="148">
        <f>IFERROR(__xludf.DUMMYFUNCTION("""COMPUTED_VALUE"""),-1.0)</f>
        <v>-1</v>
      </c>
      <c r="U3058" s="148">
        <f>IFERROR(__xludf.DUMMYFUNCTION("""COMPUTED_VALUE"""),1.0)</f>
        <v>1</v>
      </c>
      <c r="V3058" s="148" t="str">
        <f>IFERROR(__xludf.DUMMYFUNCTION("""COMPUTED_VALUE"""),"[]")</f>
        <v>[]</v>
      </c>
      <c r="W3058" s="148">
        <f>IFERROR(__xludf.DUMMYFUNCTION("""COMPUTED_VALUE"""),1.174E7)</f>
        <v>11740000</v>
      </c>
      <c r="X3058" s="148">
        <f>IFERROR(__xludf.DUMMYFUNCTION("""COMPUTED_VALUE"""),0.0)</f>
        <v>0</v>
      </c>
      <c r="Y3058" s="148">
        <f>IFERROR(__xludf.DUMMYFUNCTION("""COMPUTED_VALUE"""),0.0)</f>
        <v>0</v>
      </c>
      <c r="Z3058" s="148"/>
    </row>
    <row r="3059">
      <c r="A3059" s="148">
        <f>IFERROR(__xludf.DUMMYFUNCTION("""COMPUTED_VALUE"""),1.11110206E8)</f>
        <v>111110206</v>
      </c>
      <c r="B3059" s="148" t="str">
        <f>IFERROR(__xludf.DUMMYFUNCTION("""COMPUTED_VALUE"""),"KVK-死兵返还提升-5%来源宝石bp")</f>
        <v>KVK-死兵返还提升-5%来源宝石bp</v>
      </c>
      <c r="C3059" s="148"/>
      <c r="D3059" s="148" t="str">
        <f>IFERROR(__xludf.DUMMYFUNCTION("""COMPUTED_VALUE"""),"item_buff")</f>
        <v>item_buff</v>
      </c>
      <c r="E3059" s="148">
        <f>IFERROR(__xludf.DUMMYFUNCTION("""COMPUTED_VALUE"""),0.0)</f>
        <v>0</v>
      </c>
      <c r="F3059" s="148">
        <f>IFERROR(__xludf.DUMMYFUNCTION("""COMPUTED_VALUE"""),405213.0)</f>
        <v>405213</v>
      </c>
      <c r="G3059" s="148">
        <f>IFERROR(__xludf.DUMMYFUNCTION("""COMPUTED_VALUE"""),1.5113801E7)</f>
        <v>15113801</v>
      </c>
      <c r="H3059" s="148">
        <f>IFERROR(__xludf.DUMMYFUNCTION("""COMPUTED_VALUE"""),1.5112563E7)</f>
        <v>15112563</v>
      </c>
      <c r="I3059" s="148" t="str">
        <f>IFERROR(__xludf.DUMMYFUNCTION("""COMPUTED_VALUE"""),"{""typ"":""lc"",""txt"":""LC_ITEM_buff_val_upper_show"",""args"":[{""typ"":""int"",""val"":5}]}")</f>
        <v>{"typ":"lc","txt":"LC_ITEM_buff_val_upper_show","args":[{"typ":"int","val":5}]}</v>
      </c>
      <c r="J3059" s="148" t="str">
        <f>IFERROR(__xludf.DUMMYFUNCTION("""COMPUTED_VALUE"""),"{""typ"":""lc"",""txt"":""LC_ITEM_kvk_emergency_cabin_upgrade_name""}")</f>
        <v>{"typ":"lc","txt":"LC_ITEM_kvk_emergency_cabin_upgrade_name"}</v>
      </c>
      <c r="K3059" s="148" t="str">
        <f>IFERROR(__xludf.DUMMYFUNCTION("""COMPUTED_VALUE"""),"{""typ"":""lc"",""txt"":""LC_ITEM_kvk_emergency_cabin_upgrade_desc"",""args"":[{""typ"":""int"",""val"":5}]}")</f>
        <v>{"typ":"lc","txt":"LC_ITEM_kvk_emergency_cabin_upgrade_desc","args":[{"typ":"int","val":5}]}</v>
      </c>
      <c r="L3059" s="148" t="str">
        <f>IFERROR(__xludf.DUMMYFUNCTION("""COMPUTED_VALUE"""),"{""typ"":""lc"",""txt"":""LC_ITEM_kvk_emergency_cabin_upgrade_usetip""}")</f>
        <v>{"typ":"lc","txt":"LC_ITEM_kvk_emergency_cabin_upgrade_usetip"}</v>
      </c>
      <c r="M3059" s="148">
        <f>IFERROR(__xludf.DUMMYFUNCTION("""COMPUTED_VALUE"""),6750.0)</f>
        <v>6750</v>
      </c>
      <c r="N3059" s="148">
        <f>IFERROR(__xludf.DUMMYFUNCTION("""COMPUTED_VALUE"""),100.0)</f>
        <v>100</v>
      </c>
      <c r="O3059" s="148">
        <f>IFERROR(__xludf.DUMMYFUNCTION("""COMPUTED_VALUE"""),100.0)</f>
        <v>100</v>
      </c>
      <c r="P3059" s="148">
        <f>IFERROR(__xludf.DUMMYFUNCTION("""COMPUTED_VALUE"""),100.0)</f>
        <v>100</v>
      </c>
      <c r="Q3059" s="148" t="str">
        <f>IFERROR(__xludf.DUMMYFUNCTION("""COMPUTED_VALUE"""),"[""bag_other""]")</f>
        <v>["bag_other"]</v>
      </c>
      <c r="R3059" s="148" t="str">
        <f>IFERROR(__xludf.DUMMYFUNCTION("""COMPUTED_VALUE"""),"[]")</f>
        <v>[]</v>
      </c>
      <c r="S3059" s="148" t="str">
        <f>IFERROR(__xludf.DUMMYFUNCTION("""COMPUTED_VALUE"""),"{""effect"":[{""typ"":""buff"",""id"":121141157,""val"":-1,""arg1"":0.05}]}")</f>
        <v>{"effect":[{"typ":"buff","id":121141157,"val":-1,"arg1":0.05}]}</v>
      </c>
      <c r="T3059" s="148">
        <f>IFERROR(__xludf.DUMMYFUNCTION("""COMPUTED_VALUE"""),-1.0)</f>
        <v>-1</v>
      </c>
      <c r="U3059" s="148">
        <f>IFERROR(__xludf.DUMMYFUNCTION("""COMPUTED_VALUE"""),1.0)</f>
        <v>1</v>
      </c>
      <c r="V3059" s="148" t="str">
        <f>IFERROR(__xludf.DUMMYFUNCTION("""COMPUTED_VALUE"""),"[]")</f>
        <v>[]</v>
      </c>
      <c r="W3059" s="148">
        <f>IFERROR(__xludf.DUMMYFUNCTION("""COMPUTED_VALUE"""),1.174E7)</f>
        <v>11740000</v>
      </c>
      <c r="X3059" s="148">
        <f>IFERROR(__xludf.DUMMYFUNCTION("""COMPUTED_VALUE"""),0.0)</f>
        <v>0</v>
      </c>
      <c r="Y3059" s="148">
        <f>IFERROR(__xludf.DUMMYFUNCTION("""COMPUTED_VALUE"""),0.0)</f>
        <v>0</v>
      </c>
      <c r="Z3059" s="148"/>
    </row>
    <row r="3060">
      <c r="A3060" s="148">
        <f>IFERROR(__xludf.DUMMYFUNCTION("""COMPUTED_VALUE"""),1.11110207E8)</f>
        <v>111110207</v>
      </c>
      <c r="B3060" s="148" t="str">
        <f>IFERROR(__xludf.DUMMYFUNCTION("""COMPUTED_VALUE"""),"2026科技节行军特效-电路之辉-1天限时")</f>
        <v>2026科技节行军特效-电路之辉-1天限时</v>
      </c>
      <c r="C3060" s="148"/>
      <c r="D3060" s="148" t="str">
        <f>IFERROR(__xludf.DUMMYFUNCTION("""COMPUTED_VALUE"""),"marching_effect")</f>
        <v>marching_effect</v>
      </c>
      <c r="E3060" s="148">
        <f>IFERROR(__xludf.DUMMYFUNCTION("""COMPUTED_VALUE"""),0.0)</f>
        <v>0</v>
      </c>
      <c r="F3060" s="148">
        <f>IFERROR(__xludf.DUMMYFUNCTION("""COMPUTED_VALUE"""),408200.0)</f>
        <v>408200</v>
      </c>
      <c r="G3060" s="148">
        <f>IFERROR(__xludf.DUMMYFUNCTION("""COMPUTED_VALUE"""),1.51104727E8)</f>
        <v>151104727</v>
      </c>
      <c r="H3060" s="148">
        <f>IFERROR(__xludf.DUMMYFUNCTION("""COMPUTED_VALUE"""),1.511256E7)</f>
        <v>15112560</v>
      </c>
      <c r="I3060" s="148" t="str">
        <f>IFERROR(__xludf.DUMMYFUNCTION("""COMPUTED_VALUE"""),"{""typ"":""lc"",""txt"":""LC_ITEM_time_day_upper_show"",""args"":[{""typ"":""int_unit"",""val"":1}]}")</f>
        <v>{"typ":"lc","txt":"LC_ITEM_time_day_upper_show","args":[{"typ":"int_unit","val":1}]}</v>
      </c>
      <c r="J3060" s="148" t="str">
        <f>IFERROR(__xludf.DUMMYFUNCTION("""COMPUTED_VALUE"""),"{""typ"":""lc"",""txt"":""LC_ITEM_sc_marcheffect_low_2026""}")</f>
        <v>{"typ":"lc","txt":"LC_ITEM_sc_marcheffect_low_2026"}</v>
      </c>
      <c r="K3060" s="148" t="str">
        <f>IFERROR(__xludf.DUMMYFUNCTION("""COMPUTED_VALUE"""),"{""typ"":""lc"",""txt"":""LC_ITEM_sc_marcheffect_low_2026_desc""}")</f>
        <v>{"typ":"lc","txt":"LC_ITEM_sc_marcheffect_low_2026_desc"}</v>
      </c>
      <c r="L3060" s="148" t="str">
        <f>IFERROR(__xludf.DUMMYFUNCTION("""COMPUTED_VALUE"""),"{""typ"":""lc"",""txt"":""LC_ITEM_march_effect_use_tip_all""}")</f>
        <v>{"typ":"lc","txt":"LC_ITEM_march_effect_use_tip_all"}</v>
      </c>
      <c r="M3060" s="148">
        <f>IFERROR(__xludf.DUMMYFUNCTION("""COMPUTED_VALUE"""),50.0)</f>
        <v>50</v>
      </c>
      <c r="N3060" s="148">
        <f>IFERROR(__xludf.DUMMYFUNCTION("""COMPUTED_VALUE"""),999999.0)</f>
        <v>999999</v>
      </c>
      <c r="O3060" s="148">
        <f>IFERROR(__xludf.DUMMYFUNCTION("""COMPUTED_VALUE"""),99999.0)</f>
        <v>99999</v>
      </c>
      <c r="P3060" s="148">
        <f>IFERROR(__xludf.DUMMYFUNCTION("""COMPUTED_VALUE"""),1.0)</f>
        <v>1</v>
      </c>
      <c r="Q3060" s="148" t="str">
        <f>IFERROR(__xludf.DUMMYFUNCTION("""COMPUTED_VALUE"""),"[""bag_other""]")</f>
        <v>["bag_other"]</v>
      </c>
      <c r="R3060" s="148" t="str">
        <f>IFERROR(__xludf.DUMMYFUNCTION("""COMPUTED_VALUE"""),"[""bag"",""13650155""]")</f>
        <v>["bag","13650155"]</v>
      </c>
      <c r="S3060" s="148" t="str">
        <f>IFERROR(__xludf.DUMMYFUNCTION("""COMPUTED_VALUE"""),"{""effect"":[{""typ"":""marching_effect"",""id"":13650155,""val"":86400000},{""typ"":""vm"",""id"":11151001,""val"":50}]}")</f>
        <v>{"effect":[{"typ":"marching_effect","id":13650155,"val":86400000},{"typ":"vm","id":11151001,"val":50}]}</v>
      </c>
      <c r="T3060" s="148">
        <f>IFERROR(__xludf.DUMMYFUNCTION("""COMPUTED_VALUE"""),-1.0)</f>
        <v>-1</v>
      </c>
      <c r="U3060" s="148">
        <f>IFERROR(__xludf.DUMMYFUNCTION("""COMPUTED_VALUE"""),0.0)</f>
        <v>0</v>
      </c>
      <c r="V3060" s="148" t="str">
        <f>IFERROR(__xludf.DUMMYFUNCTION("""COMPUTED_VALUE"""),"[]")</f>
        <v>[]</v>
      </c>
      <c r="W3060" s="148">
        <f>IFERROR(__xludf.DUMMYFUNCTION("""COMPUTED_VALUE"""),1.174E7)</f>
        <v>11740000</v>
      </c>
      <c r="X3060" s="148">
        <f>IFERROR(__xludf.DUMMYFUNCTION("""COMPUTED_VALUE"""),0.0)</f>
        <v>0</v>
      </c>
      <c r="Y3060" s="148">
        <f>IFERROR(__xludf.DUMMYFUNCTION("""COMPUTED_VALUE"""),0.0)</f>
        <v>0</v>
      </c>
      <c r="Z3060" s="148"/>
    </row>
    <row r="3061">
      <c r="A3061" s="148">
        <f>IFERROR(__xludf.DUMMYFUNCTION("""COMPUTED_VALUE"""),1.11110208E8)</f>
        <v>111110208</v>
      </c>
      <c r="B3061" s="148" t="str">
        <f>IFERROR(__xludf.DUMMYFUNCTION("""COMPUTED_VALUE"""),"2026科技节行军特效-电路之辉-3天限时")</f>
        <v>2026科技节行军特效-电路之辉-3天限时</v>
      </c>
      <c r="C3061" s="148"/>
      <c r="D3061" s="148" t="str">
        <f>IFERROR(__xludf.DUMMYFUNCTION("""COMPUTED_VALUE"""),"marching_effect")</f>
        <v>marching_effect</v>
      </c>
      <c r="E3061" s="148">
        <f>IFERROR(__xludf.DUMMYFUNCTION("""COMPUTED_VALUE"""),0.0)</f>
        <v>0</v>
      </c>
      <c r="F3061" s="148">
        <f>IFERROR(__xludf.DUMMYFUNCTION("""COMPUTED_VALUE"""),408199.0)</f>
        <v>408199</v>
      </c>
      <c r="G3061" s="148">
        <f>IFERROR(__xludf.DUMMYFUNCTION("""COMPUTED_VALUE"""),1.51104727E8)</f>
        <v>151104727</v>
      </c>
      <c r="H3061" s="148">
        <f>IFERROR(__xludf.DUMMYFUNCTION("""COMPUTED_VALUE"""),1.5112561E7)</f>
        <v>15112561</v>
      </c>
      <c r="I3061" s="148" t="str">
        <f>IFERROR(__xludf.DUMMYFUNCTION("""COMPUTED_VALUE"""),"{""typ"":""lc"",""txt"":""LC_ITEM_time_day_upper_show"",""args"":[{""typ"":""int_unit"",""val"":3}]}")</f>
        <v>{"typ":"lc","txt":"LC_ITEM_time_day_upper_show","args":[{"typ":"int_unit","val":3}]}</v>
      </c>
      <c r="J3061" s="148" t="str">
        <f>IFERROR(__xludf.DUMMYFUNCTION("""COMPUTED_VALUE"""),"{""typ"":""lc"",""txt"":""LC_ITEM_sc_marcheffect_low_2026""}")</f>
        <v>{"typ":"lc","txt":"LC_ITEM_sc_marcheffect_low_2026"}</v>
      </c>
      <c r="K3061" s="148" t="str">
        <f>IFERROR(__xludf.DUMMYFUNCTION("""COMPUTED_VALUE"""),"{""typ"":""lc"",""txt"":""LC_ITEM_sc_marcheffect_low_2026_desc""}")</f>
        <v>{"typ":"lc","txt":"LC_ITEM_sc_marcheffect_low_2026_desc"}</v>
      </c>
      <c r="L3061" s="148" t="str">
        <f>IFERROR(__xludf.DUMMYFUNCTION("""COMPUTED_VALUE"""),"{""typ"":""lc"",""txt"":""LC_ITEM_march_effect_use_tip_all""}")</f>
        <v>{"typ":"lc","txt":"LC_ITEM_march_effect_use_tip_all"}</v>
      </c>
      <c r="M3061" s="148">
        <f>IFERROR(__xludf.DUMMYFUNCTION("""COMPUTED_VALUE"""),200.0)</f>
        <v>200</v>
      </c>
      <c r="N3061" s="148">
        <f>IFERROR(__xludf.DUMMYFUNCTION("""COMPUTED_VALUE"""),999999.0)</f>
        <v>999999</v>
      </c>
      <c r="O3061" s="148">
        <f>IFERROR(__xludf.DUMMYFUNCTION("""COMPUTED_VALUE"""),99999.0)</f>
        <v>99999</v>
      </c>
      <c r="P3061" s="148">
        <f>IFERROR(__xludf.DUMMYFUNCTION("""COMPUTED_VALUE"""),1.0)</f>
        <v>1</v>
      </c>
      <c r="Q3061" s="148" t="str">
        <f>IFERROR(__xludf.DUMMYFUNCTION("""COMPUTED_VALUE"""),"[""bag_other""]")</f>
        <v>["bag_other"]</v>
      </c>
      <c r="R3061" s="148" t="str">
        <f>IFERROR(__xludf.DUMMYFUNCTION("""COMPUTED_VALUE"""),"[""bag"",""13650155""]")</f>
        <v>["bag","13650155"]</v>
      </c>
      <c r="S3061" s="148" t="str">
        <f>IFERROR(__xludf.DUMMYFUNCTION("""COMPUTED_VALUE"""),"{""effect"":[{""typ"":""marching_effect"",""id"":13650155,""val"":259200000},{""typ"":""vm"",""id"":11151001,""val"":200}]}")</f>
        <v>{"effect":[{"typ":"marching_effect","id":13650155,"val":259200000},{"typ":"vm","id":11151001,"val":200}]}</v>
      </c>
      <c r="T3061" s="148">
        <f>IFERROR(__xludf.DUMMYFUNCTION("""COMPUTED_VALUE"""),-1.0)</f>
        <v>-1</v>
      </c>
      <c r="U3061" s="148">
        <f>IFERROR(__xludf.DUMMYFUNCTION("""COMPUTED_VALUE"""),0.0)</f>
        <v>0</v>
      </c>
      <c r="V3061" s="148" t="str">
        <f>IFERROR(__xludf.DUMMYFUNCTION("""COMPUTED_VALUE"""),"[]")</f>
        <v>[]</v>
      </c>
      <c r="W3061" s="148">
        <f>IFERROR(__xludf.DUMMYFUNCTION("""COMPUTED_VALUE"""),1.174E7)</f>
        <v>11740000</v>
      </c>
      <c r="X3061" s="148">
        <f>IFERROR(__xludf.DUMMYFUNCTION("""COMPUTED_VALUE"""),0.0)</f>
        <v>0</v>
      </c>
      <c r="Y3061" s="148">
        <f>IFERROR(__xludf.DUMMYFUNCTION("""COMPUTED_VALUE"""),0.0)</f>
        <v>0</v>
      </c>
      <c r="Z3061" s="148"/>
    </row>
    <row r="3062">
      <c r="A3062" s="148">
        <f>IFERROR(__xludf.DUMMYFUNCTION("""COMPUTED_VALUE"""),1.11110209E8)</f>
        <v>111110209</v>
      </c>
      <c r="B3062" s="148" t="str">
        <f>IFERROR(__xludf.DUMMYFUNCTION("""COMPUTED_VALUE"""),"2026科技节行军特效-电路之辉-7天限时")</f>
        <v>2026科技节行军特效-电路之辉-7天限时</v>
      </c>
      <c r="C3062" s="148"/>
      <c r="D3062" s="148" t="str">
        <f>IFERROR(__xludf.DUMMYFUNCTION("""COMPUTED_VALUE"""),"marching_effect")</f>
        <v>marching_effect</v>
      </c>
      <c r="E3062" s="148">
        <f>IFERROR(__xludf.DUMMYFUNCTION("""COMPUTED_VALUE"""),0.0)</f>
        <v>0</v>
      </c>
      <c r="F3062" s="148">
        <f>IFERROR(__xludf.DUMMYFUNCTION("""COMPUTED_VALUE"""),408198.0)</f>
        <v>408198</v>
      </c>
      <c r="G3062" s="148">
        <f>IFERROR(__xludf.DUMMYFUNCTION("""COMPUTED_VALUE"""),1.51104727E8)</f>
        <v>151104727</v>
      </c>
      <c r="H3062" s="148">
        <f>IFERROR(__xludf.DUMMYFUNCTION("""COMPUTED_VALUE"""),1.5112562E7)</f>
        <v>15112562</v>
      </c>
      <c r="I3062" s="148" t="str">
        <f>IFERROR(__xludf.DUMMYFUNCTION("""COMPUTED_VALUE"""),"{""typ"":""lc"",""txt"":""LC_ITEM_time_day_upper_show"",""args"":[{""typ"":""int_unit"",""val"":7}]}")</f>
        <v>{"typ":"lc","txt":"LC_ITEM_time_day_upper_show","args":[{"typ":"int_unit","val":7}]}</v>
      </c>
      <c r="J3062" s="148" t="str">
        <f>IFERROR(__xludf.DUMMYFUNCTION("""COMPUTED_VALUE"""),"{""typ"":""lc"",""txt"":""LC_ITEM_sc_marcheffect_low_2026""}")</f>
        <v>{"typ":"lc","txt":"LC_ITEM_sc_marcheffect_low_2026"}</v>
      </c>
      <c r="K3062" s="148" t="str">
        <f>IFERROR(__xludf.DUMMYFUNCTION("""COMPUTED_VALUE"""),"{""typ"":""lc"",""txt"":""LC_ITEM_sc_marcheffect_low_2026_desc""}")</f>
        <v>{"typ":"lc","txt":"LC_ITEM_sc_marcheffect_low_2026_desc"}</v>
      </c>
      <c r="L3062" s="148" t="str">
        <f>IFERROR(__xludf.DUMMYFUNCTION("""COMPUTED_VALUE"""),"{""typ"":""lc"",""txt"":""LC_ITEM_march_effect_use_tip_all""}")</f>
        <v>{"typ":"lc","txt":"LC_ITEM_march_effect_use_tip_all"}</v>
      </c>
      <c r="M3062" s="148">
        <f>IFERROR(__xludf.DUMMYFUNCTION("""COMPUTED_VALUE"""),500.0)</f>
        <v>500</v>
      </c>
      <c r="N3062" s="148">
        <f>IFERROR(__xludf.DUMMYFUNCTION("""COMPUTED_VALUE"""),999999.0)</f>
        <v>999999</v>
      </c>
      <c r="O3062" s="148">
        <f>IFERROR(__xludf.DUMMYFUNCTION("""COMPUTED_VALUE"""),99999.0)</f>
        <v>99999</v>
      </c>
      <c r="P3062" s="148">
        <f>IFERROR(__xludf.DUMMYFUNCTION("""COMPUTED_VALUE"""),1.0)</f>
        <v>1</v>
      </c>
      <c r="Q3062" s="148" t="str">
        <f>IFERROR(__xludf.DUMMYFUNCTION("""COMPUTED_VALUE"""),"[""bag_other""]")</f>
        <v>["bag_other"]</v>
      </c>
      <c r="R3062" s="148" t="str">
        <f>IFERROR(__xludf.DUMMYFUNCTION("""COMPUTED_VALUE"""),"[""bag"",""13650155""]")</f>
        <v>["bag","13650155"]</v>
      </c>
      <c r="S3062" s="148" t="str">
        <f>IFERROR(__xludf.DUMMYFUNCTION("""COMPUTED_VALUE"""),"{""effect"":[{""typ"":""marching_effect"",""id"":13650155,""val"":604800000},{""typ"":""vm"",""id"":11151001,""val"":500}]}")</f>
        <v>{"effect":[{"typ":"marching_effect","id":13650155,"val":604800000},{"typ":"vm","id":11151001,"val":500}]}</v>
      </c>
      <c r="T3062" s="148">
        <f>IFERROR(__xludf.DUMMYFUNCTION("""COMPUTED_VALUE"""),-1.0)</f>
        <v>-1</v>
      </c>
      <c r="U3062" s="148">
        <f>IFERROR(__xludf.DUMMYFUNCTION("""COMPUTED_VALUE"""),0.0)</f>
        <v>0</v>
      </c>
      <c r="V3062" s="148" t="str">
        <f>IFERROR(__xludf.DUMMYFUNCTION("""COMPUTED_VALUE"""),"[]")</f>
        <v>[]</v>
      </c>
      <c r="W3062" s="148">
        <f>IFERROR(__xludf.DUMMYFUNCTION("""COMPUTED_VALUE"""),1.174E7)</f>
        <v>11740000</v>
      </c>
      <c r="X3062" s="148">
        <f>IFERROR(__xludf.DUMMYFUNCTION("""COMPUTED_VALUE"""),0.0)</f>
        <v>0</v>
      </c>
      <c r="Y3062" s="148">
        <f>IFERROR(__xludf.DUMMYFUNCTION("""COMPUTED_VALUE"""),0.0)</f>
        <v>0</v>
      </c>
      <c r="Z3062" s="148"/>
    </row>
    <row r="3063">
      <c r="A3063" s="148">
        <f>IFERROR(__xludf.DUMMYFUNCTION("""COMPUTED_VALUE"""),1.1111021E8)</f>
        <v>111110210</v>
      </c>
      <c r="B3063" s="148" t="str">
        <f>IFERROR(__xludf.DUMMYFUNCTION("""COMPUTED_VALUE"""),"2026科技节行军特效-电路之辉-14天限时")</f>
        <v>2026科技节行军特效-电路之辉-14天限时</v>
      </c>
      <c r="C3063" s="148"/>
      <c r="D3063" s="148" t="str">
        <f>IFERROR(__xludf.DUMMYFUNCTION("""COMPUTED_VALUE"""),"marching_effect")</f>
        <v>marching_effect</v>
      </c>
      <c r="E3063" s="148">
        <f>IFERROR(__xludf.DUMMYFUNCTION("""COMPUTED_VALUE"""),0.0)</f>
        <v>0</v>
      </c>
      <c r="F3063" s="148">
        <f>IFERROR(__xludf.DUMMYFUNCTION("""COMPUTED_VALUE"""),408197.0)</f>
        <v>408197</v>
      </c>
      <c r="G3063" s="148">
        <f>IFERROR(__xludf.DUMMYFUNCTION("""COMPUTED_VALUE"""),1.51104727E8)</f>
        <v>151104727</v>
      </c>
      <c r="H3063" s="148">
        <f>IFERROR(__xludf.DUMMYFUNCTION("""COMPUTED_VALUE"""),1.5112563E7)</f>
        <v>15112563</v>
      </c>
      <c r="I3063" s="148" t="str">
        <f>IFERROR(__xludf.DUMMYFUNCTION("""COMPUTED_VALUE"""),"{""typ"":""lc"",""txt"":""LC_ITEM_time_day_upper_show"",""args"":[{""typ"":""int_unit"",""val"":14}]}")</f>
        <v>{"typ":"lc","txt":"LC_ITEM_time_day_upper_show","args":[{"typ":"int_unit","val":14}]}</v>
      </c>
      <c r="J3063" s="148" t="str">
        <f>IFERROR(__xludf.DUMMYFUNCTION("""COMPUTED_VALUE"""),"{""typ"":""lc"",""txt"":""LC_ITEM_sc_marcheffect_low_2026""}")</f>
        <v>{"typ":"lc","txt":"LC_ITEM_sc_marcheffect_low_2026"}</v>
      </c>
      <c r="K3063" s="148" t="str">
        <f>IFERROR(__xludf.DUMMYFUNCTION("""COMPUTED_VALUE"""),"{""typ"":""lc"",""txt"":""LC_ITEM_sc_marcheffect_low_2026_desc""}")</f>
        <v>{"typ":"lc","txt":"LC_ITEM_sc_marcheffect_low_2026_desc"}</v>
      </c>
      <c r="L3063" s="148" t="str">
        <f>IFERROR(__xludf.DUMMYFUNCTION("""COMPUTED_VALUE"""),"{""typ"":""lc"",""txt"":""LC_ITEM_march_effect_use_tip_all""}")</f>
        <v>{"typ":"lc","txt":"LC_ITEM_march_effect_use_tip_all"}</v>
      </c>
      <c r="M3063" s="148">
        <f>IFERROR(__xludf.DUMMYFUNCTION("""COMPUTED_VALUE"""),1000.0)</f>
        <v>1000</v>
      </c>
      <c r="N3063" s="148">
        <f>IFERROR(__xludf.DUMMYFUNCTION("""COMPUTED_VALUE"""),999999.0)</f>
        <v>999999</v>
      </c>
      <c r="O3063" s="148">
        <f>IFERROR(__xludf.DUMMYFUNCTION("""COMPUTED_VALUE"""),99999.0)</f>
        <v>99999</v>
      </c>
      <c r="P3063" s="148">
        <f>IFERROR(__xludf.DUMMYFUNCTION("""COMPUTED_VALUE"""),1.0)</f>
        <v>1</v>
      </c>
      <c r="Q3063" s="148" t="str">
        <f>IFERROR(__xludf.DUMMYFUNCTION("""COMPUTED_VALUE"""),"[""bag_other""]")</f>
        <v>["bag_other"]</v>
      </c>
      <c r="R3063" s="148" t="str">
        <f>IFERROR(__xludf.DUMMYFUNCTION("""COMPUTED_VALUE"""),"[""bag"",""13650155""]")</f>
        <v>["bag","13650155"]</v>
      </c>
      <c r="S3063" s="148" t="str">
        <f>IFERROR(__xludf.DUMMYFUNCTION("""COMPUTED_VALUE"""),"{""effect"":[{""typ"":""marching_effect"",""id"":13650155,""val"":1209600000},{""typ"":""vm"",""id"":11151001,""val"":1000}]}")</f>
        <v>{"effect":[{"typ":"marching_effect","id":13650155,"val":1209600000},{"typ":"vm","id":11151001,"val":1000}]}</v>
      </c>
      <c r="T3063" s="148">
        <f>IFERROR(__xludf.DUMMYFUNCTION("""COMPUTED_VALUE"""),-1.0)</f>
        <v>-1</v>
      </c>
      <c r="U3063" s="148">
        <f>IFERROR(__xludf.DUMMYFUNCTION("""COMPUTED_VALUE"""),0.0)</f>
        <v>0</v>
      </c>
      <c r="V3063" s="148" t="str">
        <f>IFERROR(__xludf.DUMMYFUNCTION("""COMPUTED_VALUE"""),"[]")</f>
        <v>[]</v>
      </c>
      <c r="W3063" s="148">
        <f>IFERROR(__xludf.DUMMYFUNCTION("""COMPUTED_VALUE"""),1.174E7)</f>
        <v>11740000</v>
      </c>
      <c r="X3063" s="148">
        <f>IFERROR(__xludf.DUMMYFUNCTION("""COMPUTED_VALUE"""),0.0)</f>
        <v>0</v>
      </c>
      <c r="Y3063" s="148">
        <f>IFERROR(__xludf.DUMMYFUNCTION("""COMPUTED_VALUE"""),0.0)</f>
        <v>0</v>
      </c>
      <c r="Z3063" s="148"/>
    </row>
    <row r="3064">
      <c r="A3064" s="148">
        <f>IFERROR(__xludf.DUMMYFUNCTION("""COMPUTED_VALUE"""),1.11110211E8)</f>
        <v>111110211</v>
      </c>
      <c r="B3064" s="148" t="str">
        <f>IFERROR(__xludf.DUMMYFUNCTION("""COMPUTED_VALUE"""),"2026科技节行军特效-电路之辉-30天限时")</f>
        <v>2026科技节行军特效-电路之辉-30天限时</v>
      </c>
      <c r="C3064" s="148"/>
      <c r="D3064" s="148" t="str">
        <f>IFERROR(__xludf.DUMMYFUNCTION("""COMPUTED_VALUE"""),"marching_effect")</f>
        <v>marching_effect</v>
      </c>
      <c r="E3064" s="148">
        <f>IFERROR(__xludf.DUMMYFUNCTION("""COMPUTED_VALUE"""),0.0)</f>
        <v>0</v>
      </c>
      <c r="F3064" s="148">
        <f>IFERROR(__xludf.DUMMYFUNCTION("""COMPUTED_VALUE"""),408197.0)</f>
        <v>408197</v>
      </c>
      <c r="G3064" s="148">
        <f>IFERROR(__xludf.DUMMYFUNCTION("""COMPUTED_VALUE"""),1.51104727E8)</f>
        <v>151104727</v>
      </c>
      <c r="H3064" s="148">
        <f>IFERROR(__xludf.DUMMYFUNCTION("""COMPUTED_VALUE"""),1.5112563E7)</f>
        <v>15112563</v>
      </c>
      <c r="I3064" s="148" t="str">
        <f>IFERROR(__xludf.DUMMYFUNCTION("""COMPUTED_VALUE"""),"{""typ"":""lc"",""txt"":""LC_ITEM_time_day_upper_show"",""args"":[{""typ"":""int_unit"",""val"":30}]}")</f>
        <v>{"typ":"lc","txt":"LC_ITEM_time_day_upper_show","args":[{"typ":"int_unit","val":30}]}</v>
      </c>
      <c r="J3064" s="148" t="str">
        <f>IFERROR(__xludf.DUMMYFUNCTION("""COMPUTED_VALUE"""),"{""typ"":""lc"",""txt"":""LC_ITEM_sc_marcheffect_low_2026""}")</f>
        <v>{"typ":"lc","txt":"LC_ITEM_sc_marcheffect_low_2026"}</v>
      </c>
      <c r="K3064" s="148" t="str">
        <f>IFERROR(__xludf.DUMMYFUNCTION("""COMPUTED_VALUE"""),"{""typ"":""lc"",""txt"":""LC_ITEM_sc_marcheffect_low_2026_desc""}")</f>
        <v>{"typ":"lc","txt":"LC_ITEM_sc_marcheffect_low_2026_desc"}</v>
      </c>
      <c r="L3064" s="148" t="str">
        <f>IFERROR(__xludf.DUMMYFUNCTION("""COMPUTED_VALUE"""),"{""typ"":""lc"",""txt"":""LC_ITEM_march_effect_use_tip_all""}")</f>
        <v>{"typ":"lc","txt":"LC_ITEM_march_effect_use_tip_all"}</v>
      </c>
      <c r="M3064" s="148">
        <f>IFERROR(__xludf.DUMMYFUNCTION("""COMPUTED_VALUE"""),1000.0)</f>
        <v>1000</v>
      </c>
      <c r="N3064" s="148">
        <f>IFERROR(__xludf.DUMMYFUNCTION("""COMPUTED_VALUE"""),999999.0)</f>
        <v>999999</v>
      </c>
      <c r="O3064" s="148">
        <f>IFERROR(__xludf.DUMMYFUNCTION("""COMPUTED_VALUE"""),99999.0)</f>
        <v>99999</v>
      </c>
      <c r="P3064" s="148">
        <f>IFERROR(__xludf.DUMMYFUNCTION("""COMPUTED_VALUE"""),1.0)</f>
        <v>1</v>
      </c>
      <c r="Q3064" s="148" t="str">
        <f>IFERROR(__xludf.DUMMYFUNCTION("""COMPUTED_VALUE"""),"[""bag_other""]")</f>
        <v>["bag_other"]</v>
      </c>
      <c r="R3064" s="148" t="str">
        <f>IFERROR(__xludf.DUMMYFUNCTION("""COMPUTED_VALUE"""),"[""bag"",""13650155""]")</f>
        <v>["bag","13650155"]</v>
      </c>
      <c r="S3064" s="148" t="str">
        <f>IFERROR(__xludf.DUMMYFUNCTION("""COMPUTED_VALUE"""),"{""effect"":[{""typ"":""marching_effect"",""id"":13650155,""val"":2592000000},{""typ"":""vm"",""id"":11151001,""val"":1000}]}")</f>
        <v>{"effect":[{"typ":"marching_effect","id":13650155,"val":2592000000},{"typ":"vm","id":11151001,"val":1000}]}</v>
      </c>
      <c r="T3064" s="148">
        <f>IFERROR(__xludf.DUMMYFUNCTION("""COMPUTED_VALUE"""),-1.0)</f>
        <v>-1</v>
      </c>
      <c r="U3064" s="148">
        <f>IFERROR(__xludf.DUMMYFUNCTION("""COMPUTED_VALUE"""),0.0)</f>
        <v>0</v>
      </c>
      <c r="V3064" s="148" t="str">
        <f>IFERROR(__xludf.DUMMYFUNCTION("""COMPUTED_VALUE"""),"[]")</f>
        <v>[]</v>
      </c>
      <c r="W3064" s="148">
        <f>IFERROR(__xludf.DUMMYFUNCTION("""COMPUTED_VALUE"""),1.174E7)</f>
        <v>11740000</v>
      </c>
      <c r="X3064" s="148">
        <f>IFERROR(__xludf.DUMMYFUNCTION("""COMPUTED_VALUE"""),0.0)</f>
        <v>0</v>
      </c>
      <c r="Y3064" s="148">
        <f>IFERROR(__xludf.DUMMYFUNCTION("""COMPUTED_VALUE"""),0.0)</f>
        <v>0</v>
      </c>
      <c r="Z3064" s="148"/>
    </row>
    <row r="3065">
      <c r="A3065" s="148">
        <f>IFERROR(__xludf.DUMMYFUNCTION("""COMPUTED_VALUE"""),1.11110212E8)</f>
        <v>111110212</v>
      </c>
      <c r="B3065" s="148" t="str">
        <f>IFERROR(__xludf.DUMMYFUNCTION("""COMPUTED_VALUE"""),"2026科技节行军特效-电路之辉-永久")</f>
        <v>2026科技节行军特效-电路之辉-永久</v>
      </c>
      <c r="C3065" s="148"/>
      <c r="D3065" s="148" t="str">
        <f>IFERROR(__xludf.DUMMYFUNCTION("""COMPUTED_VALUE"""),"marching_effect")</f>
        <v>marching_effect</v>
      </c>
      <c r="E3065" s="148">
        <f>IFERROR(__xludf.DUMMYFUNCTION("""COMPUTED_VALUE"""),0.0)</f>
        <v>0</v>
      </c>
      <c r="F3065" s="148">
        <f>IFERROR(__xludf.DUMMYFUNCTION("""COMPUTED_VALUE"""),408195.0)</f>
        <v>408195</v>
      </c>
      <c r="G3065" s="148">
        <f>IFERROR(__xludf.DUMMYFUNCTION("""COMPUTED_VALUE"""),1.51104727E8)</f>
        <v>151104727</v>
      </c>
      <c r="H3065" s="148">
        <f>IFERROR(__xludf.DUMMYFUNCTION("""COMPUTED_VALUE"""),1.5112564E7)</f>
        <v>15112564</v>
      </c>
      <c r="I3065" s="148" t="str">
        <f>IFERROR(__xludf.DUMMYFUNCTION("""COMPUTED_VALUE"""),"{}")</f>
        <v>{}</v>
      </c>
      <c r="J3065" s="148" t="str">
        <f>IFERROR(__xludf.DUMMYFUNCTION("""COMPUTED_VALUE"""),"{""typ"":""lc"",""txt"":""LC_ITEM_sc_marcheffect_low_2026""}")</f>
        <v>{"typ":"lc","txt":"LC_ITEM_sc_marcheffect_low_2026"}</v>
      </c>
      <c r="K3065" s="148" t="str">
        <f>IFERROR(__xludf.DUMMYFUNCTION("""COMPUTED_VALUE"""),"{""typ"":""lc"",""txt"":""LC_ITEM_sc_marcheffect_low_2026_desc""}")</f>
        <v>{"typ":"lc","txt":"LC_ITEM_sc_marcheffect_low_2026_desc"}</v>
      </c>
      <c r="L3065" s="148" t="str">
        <f>IFERROR(__xludf.DUMMYFUNCTION("""COMPUTED_VALUE"""),"{""typ"":""lc"",""txt"":""LC_ITEM_march_effect_use_tip_all""}")</f>
        <v>{"typ":"lc","txt":"LC_ITEM_march_effect_use_tip_all"}</v>
      </c>
      <c r="M3065" s="148">
        <f>IFERROR(__xludf.DUMMYFUNCTION("""COMPUTED_VALUE"""),5000.0)</f>
        <v>5000</v>
      </c>
      <c r="N3065" s="148">
        <f>IFERROR(__xludf.DUMMYFUNCTION("""COMPUTED_VALUE"""),999999.0)</f>
        <v>999999</v>
      </c>
      <c r="O3065" s="148">
        <f>IFERROR(__xludf.DUMMYFUNCTION("""COMPUTED_VALUE"""),99999.0)</f>
        <v>99999</v>
      </c>
      <c r="P3065" s="148">
        <f>IFERROR(__xludf.DUMMYFUNCTION("""COMPUTED_VALUE"""),1.0)</f>
        <v>1</v>
      </c>
      <c r="Q3065" s="148" t="str">
        <f>IFERROR(__xludf.DUMMYFUNCTION("""COMPUTED_VALUE"""),"[""bag_other""]")</f>
        <v>["bag_other"]</v>
      </c>
      <c r="R3065" s="148" t="str">
        <f>IFERROR(__xludf.DUMMYFUNCTION("""COMPUTED_VALUE"""),"[""bag"",""13650155""]")</f>
        <v>["bag","13650155"]</v>
      </c>
      <c r="S3065" s="148" t="str">
        <f>IFERROR(__xludf.DUMMYFUNCTION("""COMPUTED_VALUE"""),"{""effect"":[{""typ"":""marching_effect"",""id"":13650155,""val"":-1},{""typ"":""vm"",""id"":11151001,""val"":2500}]}")</f>
        <v>{"effect":[{"typ":"marching_effect","id":13650155,"val":-1},{"typ":"vm","id":11151001,"val":2500}]}</v>
      </c>
      <c r="T3065" s="148">
        <f>IFERROR(__xludf.DUMMYFUNCTION("""COMPUTED_VALUE"""),-1.0)</f>
        <v>-1</v>
      </c>
      <c r="U3065" s="148">
        <f>IFERROR(__xludf.DUMMYFUNCTION("""COMPUTED_VALUE"""),0.0)</f>
        <v>0</v>
      </c>
      <c r="V3065" s="148" t="str">
        <f>IFERROR(__xludf.DUMMYFUNCTION("""COMPUTED_VALUE"""),"[]")</f>
        <v>[]</v>
      </c>
      <c r="W3065" s="148">
        <f>IFERROR(__xludf.DUMMYFUNCTION("""COMPUTED_VALUE"""),1.174E7)</f>
        <v>11740000</v>
      </c>
      <c r="X3065" s="148">
        <f>IFERROR(__xludf.DUMMYFUNCTION("""COMPUTED_VALUE"""),0.0)</f>
        <v>0</v>
      </c>
      <c r="Y3065" s="148">
        <f>IFERROR(__xludf.DUMMYFUNCTION("""COMPUTED_VALUE"""),0.0)</f>
        <v>0</v>
      </c>
      <c r="Z3065" s="148"/>
    </row>
    <row r="3066">
      <c r="A3066" s="148">
        <f>IFERROR(__xludf.DUMMYFUNCTION("""COMPUTED_VALUE"""),1.11110213E8)</f>
        <v>111110213</v>
      </c>
      <c r="B3066" s="148" t="str">
        <f>IFERROR(__xludf.DUMMYFUNCTION("""COMPUTED_VALUE"""),"2026科技节行军特效-趣味电玩-1天限时")</f>
        <v>2026科技节行军特效-趣味电玩-1天限时</v>
      </c>
      <c r="C3066" s="148"/>
      <c r="D3066" s="148" t="str">
        <f>IFERROR(__xludf.DUMMYFUNCTION("""COMPUTED_VALUE"""),"marching_effect")</f>
        <v>marching_effect</v>
      </c>
      <c r="E3066" s="148">
        <f>IFERROR(__xludf.DUMMYFUNCTION("""COMPUTED_VALUE"""),0.0)</f>
        <v>0</v>
      </c>
      <c r="F3066" s="148">
        <f>IFERROR(__xludf.DUMMYFUNCTION("""COMPUTED_VALUE"""),408200.0)</f>
        <v>408200</v>
      </c>
      <c r="G3066" s="148">
        <f>IFERROR(__xludf.DUMMYFUNCTION("""COMPUTED_VALUE"""),1.51104728E8)</f>
        <v>151104728</v>
      </c>
      <c r="H3066" s="148">
        <f>IFERROR(__xludf.DUMMYFUNCTION("""COMPUTED_VALUE"""),1.511256E7)</f>
        <v>15112560</v>
      </c>
      <c r="I3066" s="148" t="str">
        <f>IFERROR(__xludf.DUMMYFUNCTION("""COMPUTED_VALUE"""),"{""typ"":""lc"",""txt"":""LC_ITEM_time_day_upper_show"",""args"":[{""typ"":""int_unit"",""val"":1}]}")</f>
        <v>{"typ":"lc","txt":"LC_ITEM_time_day_upper_show","args":[{"typ":"int_unit","val":1}]}</v>
      </c>
      <c r="J3066" s="148" t="str">
        <f>IFERROR(__xludf.DUMMYFUNCTION("""COMPUTED_VALUE"""),"{""typ"":""lc"",""txt"":""LC_ITEM_sc_marcheffect_high_2026""}")</f>
        <v>{"typ":"lc","txt":"LC_ITEM_sc_marcheffect_high_2026"}</v>
      </c>
      <c r="K3066" s="148" t="str">
        <f>IFERROR(__xludf.DUMMYFUNCTION("""COMPUTED_VALUE"""),"{""typ"":""lc"",""txt"":""LC_ITEM_sc_marcheffect_high_2026_desc""}")</f>
        <v>{"typ":"lc","txt":"LC_ITEM_sc_marcheffect_high_2026_desc"}</v>
      </c>
      <c r="L3066" s="148" t="str">
        <f>IFERROR(__xludf.DUMMYFUNCTION("""COMPUTED_VALUE"""),"{""typ"":""lc"",""txt"":""LC_ITEM_march_effect_use_tip_all""}")</f>
        <v>{"typ":"lc","txt":"LC_ITEM_march_effect_use_tip_all"}</v>
      </c>
      <c r="M3066" s="148">
        <f>IFERROR(__xludf.DUMMYFUNCTION("""COMPUTED_VALUE"""),50.0)</f>
        <v>50</v>
      </c>
      <c r="N3066" s="148">
        <f>IFERROR(__xludf.DUMMYFUNCTION("""COMPUTED_VALUE"""),999999.0)</f>
        <v>999999</v>
      </c>
      <c r="O3066" s="148">
        <f>IFERROR(__xludf.DUMMYFUNCTION("""COMPUTED_VALUE"""),99999.0)</f>
        <v>99999</v>
      </c>
      <c r="P3066" s="148">
        <f>IFERROR(__xludf.DUMMYFUNCTION("""COMPUTED_VALUE"""),1.0)</f>
        <v>1</v>
      </c>
      <c r="Q3066" s="148" t="str">
        <f>IFERROR(__xludf.DUMMYFUNCTION("""COMPUTED_VALUE"""),"[""bag_other""]")</f>
        <v>["bag_other"]</v>
      </c>
      <c r="R3066" s="148" t="str">
        <f>IFERROR(__xludf.DUMMYFUNCTION("""COMPUTED_VALUE"""),"[""bag"",""13650156""]")</f>
        <v>["bag","13650156"]</v>
      </c>
      <c r="S3066" s="148" t="str">
        <f>IFERROR(__xludf.DUMMYFUNCTION("""COMPUTED_VALUE"""),"{""effect"":[{""typ"":""marching_effect"",""id"":13650156,""val"":86400000},{""typ"":""vm"",""id"":11151001,""val"":50}]}")</f>
        <v>{"effect":[{"typ":"marching_effect","id":13650156,"val":86400000},{"typ":"vm","id":11151001,"val":50}]}</v>
      </c>
      <c r="T3066" s="148">
        <f>IFERROR(__xludf.DUMMYFUNCTION("""COMPUTED_VALUE"""),-1.0)</f>
        <v>-1</v>
      </c>
      <c r="U3066" s="148">
        <f>IFERROR(__xludf.DUMMYFUNCTION("""COMPUTED_VALUE"""),0.0)</f>
        <v>0</v>
      </c>
      <c r="V3066" s="148" t="str">
        <f>IFERROR(__xludf.DUMMYFUNCTION("""COMPUTED_VALUE"""),"[]")</f>
        <v>[]</v>
      </c>
      <c r="W3066" s="148">
        <f>IFERROR(__xludf.DUMMYFUNCTION("""COMPUTED_VALUE"""),1.174E7)</f>
        <v>11740000</v>
      </c>
      <c r="X3066" s="148">
        <f>IFERROR(__xludf.DUMMYFUNCTION("""COMPUTED_VALUE"""),0.0)</f>
        <v>0</v>
      </c>
      <c r="Y3066" s="148">
        <f>IFERROR(__xludf.DUMMYFUNCTION("""COMPUTED_VALUE"""),0.0)</f>
        <v>0</v>
      </c>
      <c r="Z3066" s="148"/>
    </row>
    <row r="3067">
      <c r="A3067" s="148">
        <f>IFERROR(__xludf.DUMMYFUNCTION("""COMPUTED_VALUE"""),1.11110214E8)</f>
        <v>111110214</v>
      </c>
      <c r="B3067" s="148" t="str">
        <f>IFERROR(__xludf.DUMMYFUNCTION("""COMPUTED_VALUE"""),"2026科技节行军特效-趣味电玩-3天限时")</f>
        <v>2026科技节行军特效-趣味电玩-3天限时</v>
      </c>
      <c r="C3067" s="148"/>
      <c r="D3067" s="148" t="str">
        <f>IFERROR(__xludf.DUMMYFUNCTION("""COMPUTED_VALUE"""),"marching_effect")</f>
        <v>marching_effect</v>
      </c>
      <c r="E3067" s="148">
        <f>IFERROR(__xludf.DUMMYFUNCTION("""COMPUTED_VALUE"""),0.0)</f>
        <v>0</v>
      </c>
      <c r="F3067" s="148">
        <f>IFERROR(__xludf.DUMMYFUNCTION("""COMPUTED_VALUE"""),408199.0)</f>
        <v>408199</v>
      </c>
      <c r="G3067" s="148">
        <f>IFERROR(__xludf.DUMMYFUNCTION("""COMPUTED_VALUE"""),1.51104728E8)</f>
        <v>151104728</v>
      </c>
      <c r="H3067" s="148">
        <f>IFERROR(__xludf.DUMMYFUNCTION("""COMPUTED_VALUE"""),1.5112561E7)</f>
        <v>15112561</v>
      </c>
      <c r="I3067" s="148" t="str">
        <f>IFERROR(__xludf.DUMMYFUNCTION("""COMPUTED_VALUE"""),"{""typ"":""lc"",""txt"":""LC_ITEM_time_day_upper_show"",""args"":[{""typ"":""int_unit"",""val"":3}]}")</f>
        <v>{"typ":"lc","txt":"LC_ITEM_time_day_upper_show","args":[{"typ":"int_unit","val":3}]}</v>
      </c>
      <c r="J3067" s="148" t="str">
        <f>IFERROR(__xludf.DUMMYFUNCTION("""COMPUTED_VALUE"""),"{""typ"":""lc"",""txt"":""LC_ITEM_sc_marcheffect_high_2026""}")</f>
        <v>{"typ":"lc","txt":"LC_ITEM_sc_marcheffect_high_2026"}</v>
      </c>
      <c r="K3067" s="148" t="str">
        <f>IFERROR(__xludf.DUMMYFUNCTION("""COMPUTED_VALUE"""),"{""typ"":""lc"",""txt"":""LC_ITEM_sc_marcheffect_high_2026_desc""}")</f>
        <v>{"typ":"lc","txt":"LC_ITEM_sc_marcheffect_high_2026_desc"}</v>
      </c>
      <c r="L3067" s="148" t="str">
        <f>IFERROR(__xludf.DUMMYFUNCTION("""COMPUTED_VALUE"""),"{""typ"":""lc"",""txt"":""LC_ITEM_march_effect_use_tip_all""}")</f>
        <v>{"typ":"lc","txt":"LC_ITEM_march_effect_use_tip_all"}</v>
      </c>
      <c r="M3067" s="148">
        <f>IFERROR(__xludf.DUMMYFUNCTION("""COMPUTED_VALUE"""),200.0)</f>
        <v>200</v>
      </c>
      <c r="N3067" s="148">
        <f>IFERROR(__xludf.DUMMYFUNCTION("""COMPUTED_VALUE"""),999999.0)</f>
        <v>999999</v>
      </c>
      <c r="O3067" s="148">
        <f>IFERROR(__xludf.DUMMYFUNCTION("""COMPUTED_VALUE"""),99999.0)</f>
        <v>99999</v>
      </c>
      <c r="P3067" s="148">
        <f>IFERROR(__xludf.DUMMYFUNCTION("""COMPUTED_VALUE"""),1.0)</f>
        <v>1</v>
      </c>
      <c r="Q3067" s="148" t="str">
        <f>IFERROR(__xludf.DUMMYFUNCTION("""COMPUTED_VALUE"""),"[""bag_other""]")</f>
        <v>["bag_other"]</v>
      </c>
      <c r="R3067" s="148" t="str">
        <f>IFERROR(__xludf.DUMMYFUNCTION("""COMPUTED_VALUE"""),"[""bag"",""13650156""]")</f>
        <v>["bag","13650156"]</v>
      </c>
      <c r="S3067" s="148" t="str">
        <f>IFERROR(__xludf.DUMMYFUNCTION("""COMPUTED_VALUE"""),"{""effect"":[{""typ"":""marching_effect"",""id"":13650156,""val"":259200000},{""typ"":""vm"",""id"":11151001,""val"":200}]}")</f>
        <v>{"effect":[{"typ":"marching_effect","id":13650156,"val":259200000},{"typ":"vm","id":11151001,"val":200}]}</v>
      </c>
      <c r="T3067" s="148">
        <f>IFERROR(__xludf.DUMMYFUNCTION("""COMPUTED_VALUE"""),-1.0)</f>
        <v>-1</v>
      </c>
      <c r="U3067" s="148">
        <f>IFERROR(__xludf.DUMMYFUNCTION("""COMPUTED_VALUE"""),0.0)</f>
        <v>0</v>
      </c>
      <c r="V3067" s="148" t="str">
        <f>IFERROR(__xludf.DUMMYFUNCTION("""COMPUTED_VALUE"""),"[]")</f>
        <v>[]</v>
      </c>
      <c r="W3067" s="148">
        <f>IFERROR(__xludf.DUMMYFUNCTION("""COMPUTED_VALUE"""),1.174E7)</f>
        <v>11740000</v>
      </c>
      <c r="X3067" s="148">
        <f>IFERROR(__xludf.DUMMYFUNCTION("""COMPUTED_VALUE"""),0.0)</f>
        <v>0</v>
      </c>
      <c r="Y3067" s="148">
        <f>IFERROR(__xludf.DUMMYFUNCTION("""COMPUTED_VALUE"""),0.0)</f>
        <v>0</v>
      </c>
      <c r="Z3067" s="148"/>
    </row>
    <row r="3068">
      <c r="A3068" s="148">
        <f>IFERROR(__xludf.DUMMYFUNCTION("""COMPUTED_VALUE"""),1.11110215E8)</f>
        <v>111110215</v>
      </c>
      <c r="B3068" s="148" t="str">
        <f>IFERROR(__xludf.DUMMYFUNCTION("""COMPUTED_VALUE"""),"2026科技节行军特效-趣味电玩-7天限时")</f>
        <v>2026科技节行军特效-趣味电玩-7天限时</v>
      </c>
      <c r="C3068" s="148"/>
      <c r="D3068" s="148" t="str">
        <f>IFERROR(__xludf.DUMMYFUNCTION("""COMPUTED_VALUE"""),"marching_effect")</f>
        <v>marching_effect</v>
      </c>
      <c r="E3068" s="148">
        <f>IFERROR(__xludf.DUMMYFUNCTION("""COMPUTED_VALUE"""),0.0)</f>
        <v>0</v>
      </c>
      <c r="F3068" s="148">
        <f>IFERROR(__xludf.DUMMYFUNCTION("""COMPUTED_VALUE"""),408198.0)</f>
        <v>408198</v>
      </c>
      <c r="G3068" s="148">
        <f>IFERROR(__xludf.DUMMYFUNCTION("""COMPUTED_VALUE"""),1.51104728E8)</f>
        <v>151104728</v>
      </c>
      <c r="H3068" s="148">
        <f>IFERROR(__xludf.DUMMYFUNCTION("""COMPUTED_VALUE"""),1.5112562E7)</f>
        <v>15112562</v>
      </c>
      <c r="I3068" s="148" t="str">
        <f>IFERROR(__xludf.DUMMYFUNCTION("""COMPUTED_VALUE"""),"{""typ"":""lc"",""txt"":""LC_ITEM_time_day_upper_show"",""args"":[{""typ"":""int_unit"",""val"":7}]}")</f>
        <v>{"typ":"lc","txt":"LC_ITEM_time_day_upper_show","args":[{"typ":"int_unit","val":7}]}</v>
      </c>
      <c r="J3068" s="148" t="str">
        <f>IFERROR(__xludf.DUMMYFUNCTION("""COMPUTED_VALUE"""),"{""typ"":""lc"",""txt"":""LC_ITEM_sc_marcheffect_high_2026""}")</f>
        <v>{"typ":"lc","txt":"LC_ITEM_sc_marcheffect_high_2026"}</v>
      </c>
      <c r="K3068" s="148" t="str">
        <f>IFERROR(__xludf.DUMMYFUNCTION("""COMPUTED_VALUE"""),"{""typ"":""lc"",""txt"":""LC_ITEM_sc_marcheffect_high_2026_desc""}")</f>
        <v>{"typ":"lc","txt":"LC_ITEM_sc_marcheffect_high_2026_desc"}</v>
      </c>
      <c r="L3068" s="148" t="str">
        <f>IFERROR(__xludf.DUMMYFUNCTION("""COMPUTED_VALUE"""),"{""typ"":""lc"",""txt"":""LC_ITEM_march_effect_use_tip_all""}")</f>
        <v>{"typ":"lc","txt":"LC_ITEM_march_effect_use_tip_all"}</v>
      </c>
      <c r="M3068" s="148">
        <f>IFERROR(__xludf.DUMMYFUNCTION("""COMPUTED_VALUE"""),500.0)</f>
        <v>500</v>
      </c>
      <c r="N3068" s="148">
        <f>IFERROR(__xludf.DUMMYFUNCTION("""COMPUTED_VALUE"""),999999.0)</f>
        <v>999999</v>
      </c>
      <c r="O3068" s="148">
        <f>IFERROR(__xludf.DUMMYFUNCTION("""COMPUTED_VALUE"""),99999.0)</f>
        <v>99999</v>
      </c>
      <c r="P3068" s="148">
        <f>IFERROR(__xludf.DUMMYFUNCTION("""COMPUTED_VALUE"""),1.0)</f>
        <v>1</v>
      </c>
      <c r="Q3068" s="148" t="str">
        <f>IFERROR(__xludf.DUMMYFUNCTION("""COMPUTED_VALUE"""),"[""bag_other""]")</f>
        <v>["bag_other"]</v>
      </c>
      <c r="R3068" s="148" t="str">
        <f>IFERROR(__xludf.DUMMYFUNCTION("""COMPUTED_VALUE"""),"[""bag"",""13650156""]")</f>
        <v>["bag","13650156"]</v>
      </c>
      <c r="S3068" s="148" t="str">
        <f>IFERROR(__xludf.DUMMYFUNCTION("""COMPUTED_VALUE"""),"{""effect"":[{""typ"":""marching_effect"",""id"":13650156,""val"":604800000},{""typ"":""vm"",""id"":11151001,""val"":500}]}")</f>
        <v>{"effect":[{"typ":"marching_effect","id":13650156,"val":604800000},{"typ":"vm","id":11151001,"val":500}]}</v>
      </c>
      <c r="T3068" s="148">
        <f>IFERROR(__xludf.DUMMYFUNCTION("""COMPUTED_VALUE"""),-1.0)</f>
        <v>-1</v>
      </c>
      <c r="U3068" s="148">
        <f>IFERROR(__xludf.DUMMYFUNCTION("""COMPUTED_VALUE"""),0.0)</f>
        <v>0</v>
      </c>
      <c r="V3068" s="148" t="str">
        <f>IFERROR(__xludf.DUMMYFUNCTION("""COMPUTED_VALUE"""),"[]")</f>
        <v>[]</v>
      </c>
      <c r="W3068" s="148">
        <f>IFERROR(__xludf.DUMMYFUNCTION("""COMPUTED_VALUE"""),1.174E7)</f>
        <v>11740000</v>
      </c>
      <c r="X3068" s="148">
        <f>IFERROR(__xludf.DUMMYFUNCTION("""COMPUTED_VALUE"""),0.0)</f>
        <v>0</v>
      </c>
      <c r="Y3068" s="148">
        <f>IFERROR(__xludf.DUMMYFUNCTION("""COMPUTED_VALUE"""),0.0)</f>
        <v>0</v>
      </c>
      <c r="Z3068" s="148"/>
    </row>
    <row r="3069">
      <c r="A3069" s="148">
        <f>IFERROR(__xludf.DUMMYFUNCTION("""COMPUTED_VALUE"""),1.11110216E8)</f>
        <v>111110216</v>
      </c>
      <c r="B3069" s="148" t="str">
        <f>IFERROR(__xludf.DUMMYFUNCTION("""COMPUTED_VALUE"""),"2026科技节行军特效-趣味电玩-14天限时")</f>
        <v>2026科技节行军特效-趣味电玩-14天限时</v>
      </c>
      <c r="C3069" s="148"/>
      <c r="D3069" s="148" t="str">
        <f>IFERROR(__xludf.DUMMYFUNCTION("""COMPUTED_VALUE"""),"marching_effect")</f>
        <v>marching_effect</v>
      </c>
      <c r="E3069" s="148">
        <f>IFERROR(__xludf.DUMMYFUNCTION("""COMPUTED_VALUE"""),0.0)</f>
        <v>0</v>
      </c>
      <c r="F3069" s="148">
        <f>IFERROR(__xludf.DUMMYFUNCTION("""COMPUTED_VALUE"""),408197.0)</f>
        <v>408197</v>
      </c>
      <c r="G3069" s="148">
        <f>IFERROR(__xludf.DUMMYFUNCTION("""COMPUTED_VALUE"""),1.51104728E8)</f>
        <v>151104728</v>
      </c>
      <c r="H3069" s="148">
        <f>IFERROR(__xludf.DUMMYFUNCTION("""COMPUTED_VALUE"""),1.5112563E7)</f>
        <v>15112563</v>
      </c>
      <c r="I3069" s="148" t="str">
        <f>IFERROR(__xludf.DUMMYFUNCTION("""COMPUTED_VALUE"""),"{""typ"":""lc"",""txt"":""LC_ITEM_time_day_upper_show"",""args"":[{""typ"":""int_unit"",""val"":14}]}")</f>
        <v>{"typ":"lc","txt":"LC_ITEM_time_day_upper_show","args":[{"typ":"int_unit","val":14}]}</v>
      </c>
      <c r="J3069" s="148" t="str">
        <f>IFERROR(__xludf.DUMMYFUNCTION("""COMPUTED_VALUE"""),"{""typ"":""lc"",""txt"":""LC_ITEM_sc_marcheffect_high_2026""}")</f>
        <v>{"typ":"lc","txt":"LC_ITEM_sc_marcheffect_high_2026"}</v>
      </c>
      <c r="K3069" s="148" t="str">
        <f>IFERROR(__xludf.DUMMYFUNCTION("""COMPUTED_VALUE"""),"{""typ"":""lc"",""txt"":""LC_ITEM_sc_marcheffect_high_2026_desc""}")</f>
        <v>{"typ":"lc","txt":"LC_ITEM_sc_marcheffect_high_2026_desc"}</v>
      </c>
      <c r="L3069" s="148" t="str">
        <f>IFERROR(__xludf.DUMMYFUNCTION("""COMPUTED_VALUE"""),"{""typ"":""lc"",""txt"":""LC_ITEM_march_effect_use_tip_all""}")</f>
        <v>{"typ":"lc","txt":"LC_ITEM_march_effect_use_tip_all"}</v>
      </c>
      <c r="M3069" s="148">
        <f>IFERROR(__xludf.DUMMYFUNCTION("""COMPUTED_VALUE"""),1000.0)</f>
        <v>1000</v>
      </c>
      <c r="N3069" s="148">
        <f>IFERROR(__xludf.DUMMYFUNCTION("""COMPUTED_VALUE"""),999999.0)</f>
        <v>999999</v>
      </c>
      <c r="O3069" s="148">
        <f>IFERROR(__xludf.DUMMYFUNCTION("""COMPUTED_VALUE"""),99999.0)</f>
        <v>99999</v>
      </c>
      <c r="P3069" s="148">
        <f>IFERROR(__xludf.DUMMYFUNCTION("""COMPUTED_VALUE"""),1.0)</f>
        <v>1</v>
      </c>
      <c r="Q3069" s="148" t="str">
        <f>IFERROR(__xludf.DUMMYFUNCTION("""COMPUTED_VALUE"""),"[""bag_other""]")</f>
        <v>["bag_other"]</v>
      </c>
      <c r="R3069" s="148" t="str">
        <f>IFERROR(__xludf.DUMMYFUNCTION("""COMPUTED_VALUE"""),"[""bag"",""13650156""]")</f>
        <v>["bag","13650156"]</v>
      </c>
      <c r="S3069" s="148" t="str">
        <f>IFERROR(__xludf.DUMMYFUNCTION("""COMPUTED_VALUE"""),"{""effect"":[{""typ"":""marching_effect"",""id"":13650156,""val"":1209600000},{""typ"":""vm"",""id"":11151001,""val"":1000}]}")</f>
        <v>{"effect":[{"typ":"marching_effect","id":13650156,"val":1209600000},{"typ":"vm","id":11151001,"val":1000}]}</v>
      </c>
      <c r="T3069" s="148">
        <f>IFERROR(__xludf.DUMMYFUNCTION("""COMPUTED_VALUE"""),-1.0)</f>
        <v>-1</v>
      </c>
      <c r="U3069" s="148">
        <f>IFERROR(__xludf.DUMMYFUNCTION("""COMPUTED_VALUE"""),0.0)</f>
        <v>0</v>
      </c>
      <c r="V3069" s="148" t="str">
        <f>IFERROR(__xludf.DUMMYFUNCTION("""COMPUTED_VALUE"""),"[]")</f>
        <v>[]</v>
      </c>
      <c r="W3069" s="148">
        <f>IFERROR(__xludf.DUMMYFUNCTION("""COMPUTED_VALUE"""),1.174E7)</f>
        <v>11740000</v>
      </c>
      <c r="X3069" s="148">
        <f>IFERROR(__xludf.DUMMYFUNCTION("""COMPUTED_VALUE"""),0.0)</f>
        <v>0</v>
      </c>
      <c r="Y3069" s="148">
        <f>IFERROR(__xludf.DUMMYFUNCTION("""COMPUTED_VALUE"""),0.0)</f>
        <v>0</v>
      </c>
      <c r="Z3069" s="148"/>
    </row>
    <row r="3070">
      <c r="A3070" s="148">
        <f>IFERROR(__xludf.DUMMYFUNCTION("""COMPUTED_VALUE"""),1.11110217E8)</f>
        <v>111110217</v>
      </c>
      <c r="B3070" s="148" t="str">
        <f>IFERROR(__xludf.DUMMYFUNCTION("""COMPUTED_VALUE"""),"2026科技节行军特效-趣味电玩-30天限时")</f>
        <v>2026科技节行军特效-趣味电玩-30天限时</v>
      </c>
      <c r="C3070" s="148"/>
      <c r="D3070" s="148" t="str">
        <f>IFERROR(__xludf.DUMMYFUNCTION("""COMPUTED_VALUE"""),"marching_effect")</f>
        <v>marching_effect</v>
      </c>
      <c r="E3070" s="148">
        <f>IFERROR(__xludf.DUMMYFUNCTION("""COMPUTED_VALUE"""),0.0)</f>
        <v>0</v>
      </c>
      <c r="F3070" s="148">
        <f>IFERROR(__xludf.DUMMYFUNCTION("""COMPUTED_VALUE"""),408197.0)</f>
        <v>408197</v>
      </c>
      <c r="G3070" s="148">
        <f>IFERROR(__xludf.DUMMYFUNCTION("""COMPUTED_VALUE"""),1.51104728E8)</f>
        <v>151104728</v>
      </c>
      <c r="H3070" s="148">
        <f>IFERROR(__xludf.DUMMYFUNCTION("""COMPUTED_VALUE"""),1.5112563E7)</f>
        <v>15112563</v>
      </c>
      <c r="I3070" s="148" t="str">
        <f>IFERROR(__xludf.DUMMYFUNCTION("""COMPUTED_VALUE"""),"{""typ"":""lc"",""txt"":""LC_ITEM_time_day_upper_show"",""args"":[{""typ"":""int_unit"",""val"":30}]}")</f>
        <v>{"typ":"lc","txt":"LC_ITEM_time_day_upper_show","args":[{"typ":"int_unit","val":30}]}</v>
      </c>
      <c r="J3070" s="148" t="str">
        <f>IFERROR(__xludf.DUMMYFUNCTION("""COMPUTED_VALUE"""),"{""typ"":""lc"",""txt"":""LC_ITEM_sc_marcheffect_high_2026""}")</f>
        <v>{"typ":"lc","txt":"LC_ITEM_sc_marcheffect_high_2026"}</v>
      </c>
      <c r="K3070" s="148" t="str">
        <f>IFERROR(__xludf.DUMMYFUNCTION("""COMPUTED_VALUE"""),"{""typ"":""lc"",""txt"":""LC_ITEM_sc_marcheffect_high_2026_desc""}")</f>
        <v>{"typ":"lc","txt":"LC_ITEM_sc_marcheffect_high_2026_desc"}</v>
      </c>
      <c r="L3070" s="148" t="str">
        <f>IFERROR(__xludf.DUMMYFUNCTION("""COMPUTED_VALUE"""),"{""typ"":""lc"",""txt"":""LC_ITEM_march_effect_use_tip_all""}")</f>
        <v>{"typ":"lc","txt":"LC_ITEM_march_effect_use_tip_all"}</v>
      </c>
      <c r="M3070" s="148">
        <f>IFERROR(__xludf.DUMMYFUNCTION("""COMPUTED_VALUE"""),1000.0)</f>
        <v>1000</v>
      </c>
      <c r="N3070" s="148">
        <f>IFERROR(__xludf.DUMMYFUNCTION("""COMPUTED_VALUE"""),999999.0)</f>
        <v>999999</v>
      </c>
      <c r="O3070" s="148">
        <f>IFERROR(__xludf.DUMMYFUNCTION("""COMPUTED_VALUE"""),99999.0)</f>
        <v>99999</v>
      </c>
      <c r="P3070" s="148">
        <f>IFERROR(__xludf.DUMMYFUNCTION("""COMPUTED_VALUE"""),1.0)</f>
        <v>1</v>
      </c>
      <c r="Q3070" s="148" t="str">
        <f>IFERROR(__xludf.DUMMYFUNCTION("""COMPUTED_VALUE"""),"[""bag_other""]")</f>
        <v>["bag_other"]</v>
      </c>
      <c r="R3070" s="148" t="str">
        <f>IFERROR(__xludf.DUMMYFUNCTION("""COMPUTED_VALUE"""),"[""bag"",""13650156""]")</f>
        <v>["bag","13650156"]</v>
      </c>
      <c r="S3070" s="148" t="str">
        <f>IFERROR(__xludf.DUMMYFUNCTION("""COMPUTED_VALUE"""),"{""effect"":[{""typ"":""marching_effect"",""id"":13650156,""val"":2592000000},{""typ"":""vm"",""id"":11151001,""val"":1000}]}")</f>
        <v>{"effect":[{"typ":"marching_effect","id":13650156,"val":2592000000},{"typ":"vm","id":11151001,"val":1000}]}</v>
      </c>
      <c r="T3070" s="148">
        <f>IFERROR(__xludf.DUMMYFUNCTION("""COMPUTED_VALUE"""),-1.0)</f>
        <v>-1</v>
      </c>
      <c r="U3070" s="148">
        <f>IFERROR(__xludf.DUMMYFUNCTION("""COMPUTED_VALUE"""),0.0)</f>
        <v>0</v>
      </c>
      <c r="V3070" s="148" t="str">
        <f>IFERROR(__xludf.DUMMYFUNCTION("""COMPUTED_VALUE"""),"[]")</f>
        <v>[]</v>
      </c>
      <c r="W3070" s="148">
        <f>IFERROR(__xludf.DUMMYFUNCTION("""COMPUTED_VALUE"""),1.174E7)</f>
        <v>11740000</v>
      </c>
      <c r="X3070" s="148">
        <f>IFERROR(__xludf.DUMMYFUNCTION("""COMPUTED_VALUE"""),0.0)</f>
        <v>0</v>
      </c>
      <c r="Y3070" s="148">
        <f>IFERROR(__xludf.DUMMYFUNCTION("""COMPUTED_VALUE"""),0.0)</f>
        <v>0</v>
      </c>
      <c r="Z3070" s="148"/>
    </row>
    <row r="3071">
      <c r="A3071" s="148">
        <f>IFERROR(__xludf.DUMMYFUNCTION("""COMPUTED_VALUE"""),1.11110218E8)</f>
        <v>111110218</v>
      </c>
      <c r="B3071" s="148" t="str">
        <f>IFERROR(__xludf.DUMMYFUNCTION("""COMPUTED_VALUE"""),"2026科技节行军特效-趣味电玩-永久")</f>
        <v>2026科技节行军特效-趣味电玩-永久</v>
      </c>
      <c r="C3071" s="148"/>
      <c r="D3071" s="148" t="str">
        <f>IFERROR(__xludf.DUMMYFUNCTION("""COMPUTED_VALUE"""),"marching_effect")</f>
        <v>marching_effect</v>
      </c>
      <c r="E3071" s="148">
        <f>IFERROR(__xludf.DUMMYFUNCTION("""COMPUTED_VALUE"""),0.0)</f>
        <v>0</v>
      </c>
      <c r="F3071" s="148">
        <f>IFERROR(__xludf.DUMMYFUNCTION("""COMPUTED_VALUE"""),408195.0)</f>
        <v>408195</v>
      </c>
      <c r="G3071" s="148">
        <f>IFERROR(__xludf.DUMMYFUNCTION("""COMPUTED_VALUE"""),1.51104728E8)</f>
        <v>151104728</v>
      </c>
      <c r="H3071" s="148">
        <f>IFERROR(__xludf.DUMMYFUNCTION("""COMPUTED_VALUE"""),1.5112564E7)</f>
        <v>15112564</v>
      </c>
      <c r="I3071" s="148" t="str">
        <f>IFERROR(__xludf.DUMMYFUNCTION("""COMPUTED_VALUE"""),"{}")</f>
        <v>{}</v>
      </c>
      <c r="J3071" s="148" t="str">
        <f>IFERROR(__xludf.DUMMYFUNCTION("""COMPUTED_VALUE"""),"{""typ"":""lc"",""txt"":""LC_ITEM_sc_marcheffect_high_2026""}")</f>
        <v>{"typ":"lc","txt":"LC_ITEM_sc_marcheffect_high_2026"}</v>
      </c>
      <c r="K3071" s="148" t="str">
        <f>IFERROR(__xludf.DUMMYFUNCTION("""COMPUTED_VALUE"""),"{""typ"":""lc"",""txt"":""LC_ITEM_sc_marcheffect_high_2026_desc""}")</f>
        <v>{"typ":"lc","txt":"LC_ITEM_sc_marcheffect_high_2026_desc"}</v>
      </c>
      <c r="L3071" s="148" t="str">
        <f>IFERROR(__xludf.DUMMYFUNCTION("""COMPUTED_VALUE"""),"{""typ"":""lc"",""txt"":""LC_ITEM_march_effect_use_tip_all""}")</f>
        <v>{"typ":"lc","txt":"LC_ITEM_march_effect_use_tip_all"}</v>
      </c>
      <c r="M3071" s="148">
        <f>IFERROR(__xludf.DUMMYFUNCTION("""COMPUTED_VALUE"""),5000.0)</f>
        <v>5000</v>
      </c>
      <c r="N3071" s="148">
        <f>IFERROR(__xludf.DUMMYFUNCTION("""COMPUTED_VALUE"""),999999.0)</f>
        <v>999999</v>
      </c>
      <c r="O3071" s="148">
        <f>IFERROR(__xludf.DUMMYFUNCTION("""COMPUTED_VALUE"""),99999.0)</f>
        <v>99999</v>
      </c>
      <c r="P3071" s="148">
        <f>IFERROR(__xludf.DUMMYFUNCTION("""COMPUTED_VALUE"""),1.0)</f>
        <v>1</v>
      </c>
      <c r="Q3071" s="148" t="str">
        <f>IFERROR(__xludf.DUMMYFUNCTION("""COMPUTED_VALUE"""),"[""bag_other""]")</f>
        <v>["bag_other"]</v>
      </c>
      <c r="R3071" s="148" t="str">
        <f>IFERROR(__xludf.DUMMYFUNCTION("""COMPUTED_VALUE"""),"[""bag"",""13650156""]")</f>
        <v>["bag","13650156"]</v>
      </c>
      <c r="S3071" s="148" t="str">
        <f>IFERROR(__xludf.DUMMYFUNCTION("""COMPUTED_VALUE"""),"{""effect"":[{""typ"":""marching_effect"",""id"":13650156,""val"":-1},{""typ"":""vm"",""id"":11151001,""val"":2500}]}")</f>
        <v>{"effect":[{"typ":"marching_effect","id":13650156,"val":-1},{"typ":"vm","id":11151001,"val":2500}]}</v>
      </c>
      <c r="T3071" s="148">
        <f>IFERROR(__xludf.DUMMYFUNCTION("""COMPUTED_VALUE"""),-1.0)</f>
        <v>-1</v>
      </c>
      <c r="U3071" s="148">
        <f>IFERROR(__xludf.DUMMYFUNCTION("""COMPUTED_VALUE"""),0.0)</f>
        <v>0</v>
      </c>
      <c r="V3071" s="148" t="str">
        <f>IFERROR(__xludf.DUMMYFUNCTION("""COMPUTED_VALUE"""),"[]")</f>
        <v>[]</v>
      </c>
      <c r="W3071" s="148">
        <f>IFERROR(__xludf.DUMMYFUNCTION("""COMPUTED_VALUE"""),1.174E7)</f>
        <v>11740000</v>
      </c>
      <c r="X3071" s="148">
        <f>IFERROR(__xludf.DUMMYFUNCTION("""COMPUTED_VALUE"""),0.0)</f>
        <v>0</v>
      </c>
      <c r="Y3071" s="148">
        <f>IFERROR(__xludf.DUMMYFUNCTION("""COMPUTED_VALUE"""),0.0)</f>
        <v>0</v>
      </c>
      <c r="Z3071" s="148"/>
    </row>
    <row r="3072">
      <c r="A3072" s="148">
        <f>IFERROR(__xludf.DUMMYFUNCTION("""COMPUTED_VALUE"""),1.11110219E8)</f>
        <v>111110219</v>
      </c>
      <c r="B3072" s="148" t="str">
        <f>IFERROR(__xludf.DUMMYFUNCTION("""COMPUTED_VALUE"""),"2026科技节动态头像框-未来纪元")</f>
        <v>2026科技节动态头像框-未来纪元</v>
      </c>
      <c r="C3072" s="148"/>
      <c r="D3072" s="148" t="str">
        <f>IFERROR(__xludf.DUMMYFUNCTION("""COMPUTED_VALUE"""),"avatar_frame")</f>
        <v>avatar_frame</v>
      </c>
      <c r="E3072" s="148">
        <f>IFERROR(__xludf.DUMMYFUNCTION("""COMPUTED_VALUE"""),20.0)</f>
        <v>20</v>
      </c>
      <c r="F3072" s="148">
        <f>IFERROR(__xludf.DUMMYFUNCTION("""COMPUTED_VALUE"""),0.0)</f>
        <v>0</v>
      </c>
      <c r="G3072" s="148">
        <f>IFERROR(__xludf.DUMMYFUNCTION("""COMPUTED_VALUE"""),1.51104642E8)</f>
        <v>151104642</v>
      </c>
      <c r="H3072" s="148">
        <f>IFERROR(__xludf.DUMMYFUNCTION("""COMPUTED_VALUE"""),1.5112564E7)</f>
        <v>15112564</v>
      </c>
      <c r="I3072" s="148" t="str">
        <f>IFERROR(__xludf.DUMMYFUNCTION("""COMPUTED_VALUE"""),"{}")</f>
        <v>{}</v>
      </c>
      <c r="J3072" s="148" t="str">
        <f>IFERROR(__xludf.DUMMYFUNCTION("""COMPUTED_VALUE"""),"{""typ"":""lc"",""txt"":""LC_ITEM_2026sc_avatar_name_1""}")</f>
        <v>{"typ":"lc","txt":"LC_ITEM_2026sc_avatar_name_1"}</v>
      </c>
      <c r="K3072" s="148" t="str">
        <f>IFERROR(__xludf.DUMMYFUNCTION("""COMPUTED_VALUE"""),"{""typ"":""lc"",""txt"":""LC_ITEM_2026sc_avatar_name_desc_1""}")</f>
        <v>{"typ":"lc","txt":"LC_ITEM_2026sc_avatar_name_desc_1"}</v>
      </c>
      <c r="L3072" s="148" t="str">
        <f>IFERROR(__xludf.DUMMYFUNCTION("""COMPUTED_VALUE"""),"{}")</f>
        <v>{}</v>
      </c>
      <c r="M3072" s="148">
        <f>IFERROR(__xludf.DUMMYFUNCTION("""COMPUTED_VALUE"""),2500.0)</f>
        <v>2500</v>
      </c>
      <c r="N3072" s="148">
        <f>IFERROR(__xludf.DUMMYFUNCTION("""COMPUTED_VALUE"""),99.0)</f>
        <v>99</v>
      </c>
      <c r="O3072" s="148">
        <f>IFERROR(__xludf.DUMMYFUNCTION("""COMPUTED_VALUE"""),1.0)</f>
        <v>1</v>
      </c>
      <c r="P3072" s="148">
        <f>IFERROR(__xludf.DUMMYFUNCTION("""COMPUTED_VALUE"""),1.0)</f>
        <v>1</v>
      </c>
      <c r="Q3072" s="148" t="str">
        <f>IFERROR(__xludf.DUMMYFUNCTION("""COMPUTED_VALUE"""),"[]")</f>
        <v>[]</v>
      </c>
      <c r="R3072" s="148" t="str">
        <f>IFERROR(__xludf.DUMMYFUNCTION("""COMPUTED_VALUE"""),"[""11421092""]")</f>
        <v>["11421092"]</v>
      </c>
      <c r="S3072" s="148" t="str">
        <f>IFERROR(__xludf.DUMMYFUNCTION("""COMPUTED_VALUE"""),"{""effect"":[{""typ"":""avatar_frame"",""id"":11421092,""val"":-1},{""typ"":""item"",""id"":11111031,""val"":2500}]}")</f>
        <v>{"effect":[{"typ":"avatar_frame","id":11421092,"val":-1},{"typ":"item","id":11111031,"val":2500}]}</v>
      </c>
      <c r="T3072" s="148">
        <f>IFERROR(__xludf.DUMMYFUNCTION("""COMPUTED_VALUE"""),-1.0)</f>
        <v>-1</v>
      </c>
      <c r="U3072" s="148">
        <f>IFERROR(__xludf.DUMMYFUNCTION("""COMPUTED_VALUE"""),1.0)</f>
        <v>1</v>
      </c>
      <c r="V3072" s="148" t="str">
        <f>IFERROR(__xludf.DUMMYFUNCTION("""COMPUTED_VALUE"""),"[]")</f>
        <v>[]</v>
      </c>
      <c r="W3072" s="148">
        <f>IFERROR(__xludf.DUMMYFUNCTION("""COMPUTED_VALUE"""),1.174E7)</f>
        <v>11740000</v>
      </c>
      <c r="X3072" s="148">
        <f>IFERROR(__xludf.DUMMYFUNCTION("""COMPUTED_VALUE"""),0.0)</f>
        <v>0</v>
      </c>
      <c r="Y3072" s="148">
        <f>IFERROR(__xludf.DUMMYFUNCTION("""COMPUTED_VALUE"""),0.0)</f>
        <v>0</v>
      </c>
      <c r="Z3072" s="148"/>
    </row>
    <row r="3073">
      <c r="A3073" s="148">
        <f>IFERROR(__xludf.DUMMYFUNCTION("""COMPUTED_VALUE"""),1.1111022E8)</f>
        <v>111110220</v>
      </c>
      <c r="B3073" s="148" t="str">
        <f>IFERROR(__xludf.DUMMYFUNCTION("""COMPUTED_VALUE"""),"2026科技节静态头像框-机械之环（废弃）")</f>
        <v>2026科技节静态头像框-机械之环（废弃）</v>
      </c>
      <c r="C3073" s="148"/>
      <c r="D3073" s="148" t="str">
        <f>IFERROR(__xludf.DUMMYFUNCTION("""COMPUTED_VALUE"""),"avatar_frame")</f>
        <v>avatar_frame</v>
      </c>
      <c r="E3073" s="148">
        <f>IFERROR(__xludf.DUMMYFUNCTION("""COMPUTED_VALUE"""),20.0)</f>
        <v>20</v>
      </c>
      <c r="F3073" s="148">
        <f>IFERROR(__xludf.DUMMYFUNCTION("""COMPUTED_VALUE"""),0.0)</f>
        <v>0</v>
      </c>
      <c r="G3073" s="148">
        <f>IFERROR(__xludf.DUMMYFUNCTION("""COMPUTED_VALUE"""),1.51104643E8)</f>
        <v>151104643</v>
      </c>
      <c r="H3073" s="148">
        <f>IFERROR(__xludf.DUMMYFUNCTION("""COMPUTED_VALUE"""),1.5112563E7)</f>
        <v>15112563</v>
      </c>
      <c r="I3073" s="148" t="str">
        <f>IFERROR(__xludf.DUMMYFUNCTION("""COMPUTED_VALUE"""),"{}")</f>
        <v>{}</v>
      </c>
      <c r="J3073" s="148" t="str">
        <f>IFERROR(__xludf.DUMMYFUNCTION("""COMPUTED_VALUE"""),"{""typ"":""lc"",""txt"":""LC_ITEM_2026sc_avatar_name_2""}")</f>
        <v>{"typ":"lc","txt":"LC_ITEM_2026sc_avatar_name_2"}</v>
      </c>
      <c r="K3073" s="148" t="str">
        <f>IFERROR(__xludf.DUMMYFUNCTION("""COMPUTED_VALUE"""),"{""typ"":""lc"",""txt"":""LC_ITEM_2026sc_avatar_name_desc_2""}")</f>
        <v>{"typ":"lc","txt":"LC_ITEM_2026sc_avatar_name_desc_2"}</v>
      </c>
      <c r="L3073" s="148" t="str">
        <f>IFERROR(__xludf.DUMMYFUNCTION("""COMPUTED_VALUE"""),"{}")</f>
        <v>{}</v>
      </c>
      <c r="M3073" s="148">
        <f>IFERROR(__xludf.DUMMYFUNCTION("""COMPUTED_VALUE"""),1000.0)</f>
        <v>1000</v>
      </c>
      <c r="N3073" s="148">
        <f>IFERROR(__xludf.DUMMYFUNCTION("""COMPUTED_VALUE"""),99.0)</f>
        <v>99</v>
      </c>
      <c r="O3073" s="148">
        <f>IFERROR(__xludf.DUMMYFUNCTION("""COMPUTED_VALUE"""),1.0)</f>
        <v>1</v>
      </c>
      <c r="P3073" s="148">
        <f>IFERROR(__xludf.DUMMYFUNCTION("""COMPUTED_VALUE"""),1.0)</f>
        <v>1</v>
      </c>
      <c r="Q3073" s="148" t="str">
        <f>IFERROR(__xludf.DUMMYFUNCTION("""COMPUTED_VALUE"""),"[]")</f>
        <v>[]</v>
      </c>
      <c r="R3073" s="148" t="str">
        <f>IFERROR(__xludf.DUMMYFUNCTION("""COMPUTED_VALUE"""),"[""11421093""]")</f>
        <v>["11421093"]</v>
      </c>
      <c r="S3073" s="148" t="str">
        <f>IFERROR(__xludf.DUMMYFUNCTION("""COMPUTED_VALUE"""),"{""effect"":[{""typ"":""avatar_frame"",""id"":11421093,""val"":-1},{""typ"":""item"",""id"":11111031,""val"":1000}]}")</f>
        <v>{"effect":[{"typ":"avatar_frame","id":11421093,"val":-1},{"typ":"item","id":11111031,"val":1000}]}</v>
      </c>
      <c r="T3073" s="148">
        <f>IFERROR(__xludf.DUMMYFUNCTION("""COMPUTED_VALUE"""),-1.0)</f>
        <v>-1</v>
      </c>
      <c r="U3073" s="148">
        <f>IFERROR(__xludf.DUMMYFUNCTION("""COMPUTED_VALUE"""),1.0)</f>
        <v>1</v>
      </c>
      <c r="V3073" s="148" t="str">
        <f>IFERROR(__xludf.DUMMYFUNCTION("""COMPUTED_VALUE"""),"[]")</f>
        <v>[]</v>
      </c>
      <c r="W3073" s="148">
        <f>IFERROR(__xludf.DUMMYFUNCTION("""COMPUTED_VALUE"""),1.174E7)</f>
        <v>11740000</v>
      </c>
      <c r="X3073" s="148">
        <f>IFERROR(__xludf.DUMMYFUNCTION("""COMPUTED_VALUE"""),0.0)</f>
        <v>0</v>
      </c>
      <c r="Y3073" s="148">
        <f>IFERROR(__xludf.DUMMYFUNCTION("""COMPUTED_VALUE"""),0.0)</f>
        <v>0</v>
      </c>
      <c r="Z3073" s="148"/>
    </row>
    <row r="3074">
      <c r="A3074" s="148">
        <f>IFERROR(__xludf.DUMMYFUNCTION("""COMPUTED_VALUE"""),1.11110221E8)</f>
        <v>111110221</v>
      </c>
      <c r="B3074" s="148" t="str">
        <f>IFERROR(__xludf.DUMMYFUNCTION("""COMPUTED_VALUE"""),"2026科技节团购静态头像框-机能金属")</f>
        <v>2026科技节团购静态头像框-机能金属</v>
      </c>
      <c r="C3074" s="148"/>
      <c r="D3074" s="148" t="str">
        <f>IFERROR(__xludf.DUMMYFUNCTION("""COMPUTED_VALUE"""),"avatar_frame")</f>
        <v>avatar_frame</v>
      </c>
      <c r="E3074" s="148">
        <f>IFERROR(__xludf.DUMMYFUNCTION("""COMPUTED_VALUE"""),20.0)</f>
        <v>20</v>
      </c>
      <c r="F3074" s="148">
        <f>IFERROR(__xludf.DUMMYFUNCTION("""COMPUTED_VALUE"""),0.0)</f>
        <v>0</v>
      </c>
      <c r="G3074" s="148">
        <f>IFERROR(__xludf.DUMMYFUNCTION("""COMPUTED_VALUE"""),1.51104687E8)</f>
        <v>151104687</v>
      </c>
      <c r="H3074" s="148">
        <f>IFERROR(__xludf.DUMMYFUNCTION("""COMPUTED_VALUE"""),1.5112563E7)</f>
        <v>15112563</v>
      </c>
      <c r="I3074" s="148" t="str">
        <f>IFERROR(__xludf.DUMMYFUNCTION("""COMPUTED_VALUE"""),"{}")</f>
        <v>{}</v>
      </c>
      <c r="J3074" s="148" t="str">
        <f>IFERROR(__xludf.DUMMYFUNCTION("""COMPUTED_VALUE"""),"{""typ"":""lc"",""txt"":""LC_ITEM_2026sc_avatar_name_3""}")</f>
        <v>{"typ":"lc","txt":"LC_ITEM_2026sc_avatar_name_3"}</v>
      </c>
      <c r="K3074" s="148" t="str">
        <f>IFERROR(__xludf.DUMMYFUNCTION("""COMPUTED_VALUE"""),"{""typ"":""lc"",""txt"":""LC_ITEM_2026sc_avatar_name_desc_3""}")</f>
        <v>{"typ":"lc","txt":"LC_ITEM_2026sc_avatar_name_desc_3"}</v>
      </c>
      <c r="L3074" s="148" t="str">
        <f>IFERROR(__xludf.DUMMYFUNCTION("""COMPUTED_VALUE"""),"{}")</f>
        <v>{}</v>
      </c>
      <c r="M3074" s="148">
        <f>IFERROR(__xludf.DUMMYFUNCTION("""COMPUTED_VALUE"""),1000.0)</f>
        <v>1000</v>
      </c>
      <c r="N3074" s="148">
        <f>IFERROR(__xludf.DUMMYFUNCTION("""COMPUTED_VALUE"""),99.0)</f>
        <v>99</v>
      </c>
      <c r="O3074" s="148">
        <f>IFERROR(__xludf.DUMMYFUNCTION("""COMPUTED_VALUE"""),1.0)</f>
        <v>1</v>
      </c>
      <c r="P3074" s="148">
        <f>IFERROR(__xludf.DUMMYFUNCTION("""COMPUTED_VALUE"""),1.0)</f>
        <v>1</v>
      </c>
      <c r="Q3074" s="148" t="str">
        <f>IFERROR(__xludf.DUMMYFUNCTION("""COMPUTED_VALUE"""),"[]")</f>
        <v>[]</v>
      </c>
      <c r="R3074" s="148" t="str">
        <f>IFERROR(__xludf.DUMMYFUNCTION("""COMPUTED_VALUE"""),"[""11421094""]")</f>
        <v>["11421094"]</v>
      </c>
      <c r="S3074" s="148" t="str">
        <f>IFERROR(__xludf.DUMMYFUNCTION("""COMPUTED_VALUE"""),"{""effect"":[{""typ"":""avatar_frame"",""id"":11421094,""val"":-1},{""typ"":""item"",""id"":11111031,""val"":1000}]}")</f>
        <v>{"effect":[{"typ":"avatar_frame","id":11421094,"val":-1},{"typ":"item","id":11111031,"val":1000}]}</v>
      </c>
      <c r="T3074" s="148">
        <f>IFERROR(__xludf.DUMMYFUNCTION("""COMPUTED_VALUE"""),-1.0)</f>
        <v>-1</v>
      </c>
      <c r="U3074" s="148">
        <f>IFERROR(__xludf.DUMMYFUNCTION("""COMPUTED_VALUE"""),1.0)</f>
        <v>1</v>
      </c>
      <c r="V3074" s="148" t="str">
        <f>IFERROR(__xludf.DUMMYFUNCTION("""COMPUTED_VALUE"""),"[]")</f>
        <v>[]</v>
      </c>
      <c r="W3074" s="148">
        <f>IFERROR(__xludf.DUMMYFUNCTION("""COMPUTED_VALUE"""),1.174E7)</f>
        <v>11740000</v>
      </c>
      <c r="X3074" s="148">
        <f>IFERROR(__xludf.DUMMYFUNCTION("""COMPUTED_VALUE"""),0.0)</f>
        <v>0</v>
      </c>
      <c r="Y3074" s="148">
        <f>IFERROR(__xludf.DUMMYFUNCTION("""COMPUTED_VALUE"""),0.0)</f>
        <v>0</v>
      </c>
      <c r="Z3074" s="148"/>
    </row>
    <row r="3075">
      <c r="A3075" s="148">
        <f>IFERROR(__xludf.DUMMYFUNCTION("""COMPUTED_VALUE"""),1.11110222E8)</f>
        <v>111110222</v>
      </c>
      <c r="B3075" s="148" t="str">
        <f>IFERROR(__xludf.DUMMYFUNCTION("""COMPUTED_VALUE"""),"铭牌-科技节2026铭牌-极客创想")</f>
        <v>铭牌-科技节2026铭牌-极客创想</v>
      </c>
      <c r="C3075" s="148"/>
      <c r="D3075" s="148" t="str">
        <f>IFERROR(__xludf.DUMMYFUNCTION("""COMPUTED_VALUE"""),"chat_skin")</f>
        <v>chat_skin</v>
      </c>
      <c r="E3075" s="148">
        <f>IFERROR(__xludf.DUMMYFUNCTION("""COMPUTED_VALUE"""),30.0)</f>
        <v>30</v>
      </c>
      <c r="F3075" s="148">
        <f>IFERROR(__xludf.DUMMYFUNCTION("""COMPUTED_VALUE"""),401107.0)</f>
        <v>401107</v>
      </c>
      <c r="G3075" s="148">
        <f>IFERROR(__xludf.DUMMYFUNCTION("""COMPUTED_VALUE"""),1.51104644E8)</f>
        <v>151104644</v>
      </c>
      <c r="H3075" s="148">
        <f>IFERROR(__xludf.DUMMYFUNCTION("""COMPUTED_VALUE"""),1.5112564E7)</f>
        <v>15112564</v>
      </c>
      <c r="I3075" s="148" t="str">
        <f>IFERROR(__xludf.DUMMYFUNCTION("""COMPUTED_VALUE"""),"{}")</f>
        <v>{}</v>
      </c>
      <c r="J3075" s="148" t="str">
        <f>IFERROR(__xludf.DUMMYFUNCTION("""COMPUTED_VALUE"""),"{""typ"":""lc"",""txt"":""LC_ITEM_sc26_nameplate_name""}")</f>
        <v>{"typ":"lc","txt":"LC_ITEM_sc26_nameplate_name"}</v>
      </c>
      <c r="K3075" s="148" t="str">
        <f>IFERROR(__xludf.DUMMYFUNCTION("""COMPUTED_VALUE"""),"{""typ"":""lc"",""txt"":""LC_ITEM_sc26_nameplate_desc""}")</f>
        <v>{"typ":"lc","txt":"LC_ITEM_sc26_nameplate_desc"}</v>
      </c>
      <c r="L3075" s="148" t="str">
        <f>IFERROR(__xludf.DUMMYFUNCTION("""COMPUTED_VALUE"""),"{""typ"":""lc"",""txt"":""LC_ITEM_season_extra_reward_usedtip""}")</f>
        <v>{"typ":"lc","txt":"LC_ITEM_season_extra_reward_usedtip"}</v>
      </c>
      <c r="M3075" s="148">
        <f>IFERROR(__xludf.DUMMYFUNCTION("""COMPUTED_VALUE"""),2500.0)</f>
        <v>2500</v>
      </c>
      <c r="N3075" s="148">
        <f>IFERROR(__xludf.DUMMYFUNCTION("""COMPUTED_VALUE"""),9999999.0)</f>
        <v>9999999</v>
      </c>
      <c r="O3075" s="148">
        <f>IFERROR(__xludf.DUMMYFUNCTION("""COMPUTED_VALUE"""),1.0)</f>
        <v>1</v>
      </c>
      <c r="P3075" s="148">
        <f>IFERROR(__xludf.DUMMYFUNCTION("""COMPUTED_VALUE"""),1.0)</f>
        <v>1</v>
      </c>
      <c r="Q3075" s="148" t="str">
        <f>IFERROR(__xludf.DUMMYFUNCTION("""COMPUTED_VALUE"""),"[""bag_other""]")</f>
        <v>["bag_other"]</v>
      </c>
      <c r="R3075" s="148" t="str">
        <f>IFERROR(__xludf.DUMMYFUNCTION("""COMPUTED_VALUE"""),"[""11731048"",""bag""]")</f>
        <v>["11731048","bag"]</v>
      </c>
      <c r="S3075" s="148" t="str">
        <f>IFERROR(__xludf.DUMMYFUNCTION("""COMPUTED_VALUE"""),"{""effect"":[{""typ"":""nameplate"",""id"":11731048,""val"":-1}]}")</f>
        <v>{"effect":[{"typ":"nameplate","id":11731048,"val":-1}]}</v>
      </c>
      <c r="T3075" s="148">
        <f>IFERROR(__xludf.DUMMYFUNCTION("""COMPUTED_VALUE"""),-1.0)</f>
        <v>-1</v>
      </c>
      <c r="U3075" s="148">
        <f>IFERROR(__xludf.DUMMYFUNCTION("""COMPUTED_VALUE"""),0.0)</f>
        <v>0</v>
      </c>
      <c r="V3075" s="148" t="str">
        <f>IFERROR(__xludf.DUMMYFUNCTION("""COMPUTED_VALUE"""),"[]")</f>
        <v>[]</v>
      </c>
      <c r="W3075" s="148">
        <f>IFERROR(__xludf.DUMMYFUNCTION("""COMPUTED_VALUE"""),1.174E7)</f>
        <v>11740000</v>
      </c>
      <c r="X3075" s="148">
        <f>IFERROR(__xludf.DUMMYFUNCTION("""COMPUTED_VALUE"""),0.0)</f>
        <v>0</v>
      </c>
      <c r="Y3075" s="148">
        <f>IFERROR(__xludf.DUMMYFUNCTION("""COMPUTED_VALUE"""),0.0)</f>
        <v>0</v>
      </c>
      <c r="Z3075" s="148"/>
    </row>
    <row r="3076">
      <c r="A3076" s="148">
        <f>IFERROR(__xludf.DUMMYFUNCTION("""COMPUTED_VALUE"""),1.11110223E8)</f>
        <v>111110223</v>
      </c>
      <c r="B3076" s="148" t="str">
        <f>IFERROR(__xludf.DUMMYFUNCTION("""COMPUTED_VALUE"""),"2026-7日连胜宝箱-初级")</f>
        <v>2026-7日连胜宝箱-初级</v>
      </c>
      <c r="C3076" s="148"/>
      <c r="D3076" s="148" t="str">
        <f>IFERROR(__xludf.DUMMYFUNCTION("""COMPUTED_VALUE"""),"item_asset")</f>
        <v>item_asset</v>
      </c>
      <c r="E3076" s="148">
        <f>IFERROR(__xludf.DUMMYFUNCTION("""COMPUTED_VALUE"""),19.0)</f>
        <v>19</v>
      </c>
      <c r="F3076" s="148">
        <f>IFERROR(__xludf.DUMMYFUNCTION("""COMPUTED_VALUE"""),0.0)</f>
        <v>0</v>
      </c>
      <c r="G3076" s="148">
        <f>IFERROR(__xludf.DUMMYFUNCTION("""COMPUTED_VALUE"""),1.51104721E8)</f>
        <v>151104721</v>
      </c>
      <c r="H3076" s="148">
        <f>IFERROR(__xludf.DUMMYFUNCTION("""COMPUTED_VALUE"""),1.51104264E8)</f>
        <v>151104264</v>
      </c>
      <c r="I3076" s="148" t="str">
        <f>IFERROR(__xludf.DUMMYFUNCTION("""COMPUTED_VALUE"""),"{}")</f>
        <v>{}</v>
      </c>
      <c r="J3076" s="148" t="str">
        <f>IFERROR(__xludf.DUMMYFUNCTION("""COMPUTED_VALUE"""),"{""typ"":""lc"",""txt"":""LC_ITEM_actv_new7day_cbox_name_1""}")</f>
        <v>{"typ":"lc","txt":"LC_ITEM_actv_new7day_cbox_name_1"}</v>
      </c>
      <c r="K3076" s="148" t="str">
        <f>IFERROR(__xludf.DUMMYFUNCTION("""COMPUTED_VALUE"""),"{""typ"":""lc"",""txt"":""LC_ITEM_actv_new7day_cbox_desc_1""}")</f>
        <v>{"typ":"lc","txt":"LC_ITEM_actv_new7day_cbox_desc_1"}</v>
      </c>
      <c r="L3076" s="148" t="str">
        <f>IFERROR(__xludf.DUMMYFUNCTION("""COMPUTED_VALUE"""),"{}")</f>
        <v>{}</v>
      </c>
      <c r="M3076" s="148">
        <f>IFERROR(__xludf.DUMMYFUNCTION("""COMPUTED_VALUE"""),125.0)</f>
        <v>125</v>
      </c>
      <c r="N3076" s="148">
        <f>IFERROR(__xludf.DUMMYFUNCTION("""COMPUTED_VALUE"""),999999.0)</f>
        <v>999999</v>
      </c>
      <c r="O3076" s="148">
        <f>IFERROR(__xludf.DUMMYFUNCTION("""COMPUTED_VALUE"""),1.0)</f>
        <v>1</v>
      </c>
      <c r="P3076" s="148">
        <f>IFERROR(__xludf.DUMMYFUNCTION("""COMPUTED_VALUE"""),1.0)</f>
        <v>1</v>
      </c>
      <c r="Q3076" s="148" t="str">
        <f>IFERROR(__xludf.DUMMYFUNCTION("""COMPUTED_VALUE"""),"[""bag_other""]")</f>
        <v>["bag_other"]</v>
      </c>
      <c r="R3076" s="148" t="str">
        <f>IFERROR(__xludf.DUMMYFUNCTION("""COMPUTED_VALUE"""),"[""bag""]")</f>
        <v>["bag"]</v>
      </c>
      <c r="S3076" s="148" t="str">
        <f>IFERROR(__xludf.DUMMYFUNCTION("""COMPUTED_VALUE"""),"{""drop"":{""typ"":""single_random"",""num"":1,""args"":[{""typ"":""item"",""id"":11112127,""num"":2,""wgt"":20},{""typ"":""item"",""id"":11116304,""num"":1,""wgt"":5},{""typ"":""item"",""id"":11116110,""num"":1,""wgt"":20},{""typ"":""item"",""id"":111143"&amp;"30,""num"":1,""wgt"":100},{""typ"":""item"",""id"":11111155,""num"":2,""wgt"":100},{""typ"":""item"",""id"":11111105,""num"":1,""wgt"":50}]}}")</f>
        <v>{"drop":{"typ":"single_random","num":1,"args":[{"typ":"item","id":11112127,"num":2,"wgt":20},{"typ":"item","id":11116304,"num":1,"wgt":5},{"typ":"item","id":11116110,"num":1,"wgt":20},{"typ":"item","id":11114330,"num":1,"wgt":100},{"typ":"item","id":11111155,"num":2,"wgt":100},{"typ":"item","id":11111105,"num":1,"wgt":50}]}}</v>
      </c>
      <c r="T3076" s="148">
        <f>IFERROR(__xludf.DUMMYFUNCTION("""COMPUTED_VALUE"""),-1.0)</f>
        <v>-1</v>
      </c>
      <c r="U3076" s="148">
        <f>IFERROR(__xludf.DUMMYFUNCTION("""COMPUTED_VALUE"""),1.0)</f>
        <v>1</v>
      </c>
      <c r="V3076" s="148" t="str">
        <f>IFERROR(__xludf.DUMMYFUNCTION("""COMPUTED_VALUE"""),"[]")</f>
        <v>[]</v>
      </c>
      <c r="W3076" s="148">
        <f>IFERROR(__xludf.DUMMYFUNCTION("""COMPUTED_VALUE"""),1.174E7)</f>
        <v>11740000</v>
      </c>
      <c r="X3076" s="148">
        <f>IFERROR(__xludf.DUMMYFUNCTION("""COMPUTED_VALUE"""),0.0)</f>
        <v>0</v>
      </c>
      <c r="Y3076" s="148">
        <f>IFERROR(__xludf.DUMMYFUNCTION("""COMPUTED_VALUE"""),0.0)</f>
        <v>0</v>
      </c>
      <c r="Z3076" s="148"/>
    </row>
    <row r="3077">
      <c r="A3077" s="148">
        <f>IFERROR(__xludf.DUMMYFUNCTION("""COMPUTED_VALUE"""),1.11110224E8)</f>
        <v>111110224</v>
      </c>
      <c r="B3077" s="148" t="str">
        <f>IFERROR(__xludf.DUMMYFUNCTION("""COMPUTED_VALUE"""),"2026-7日连胜宝箱-中级")</f>
        <v>2026-7日连胜宝箱-中级</v>
      </c>
      <c r="C3077" s="148"/>
      <c r="D3077" s="148" t="str">
        <f>IFERROR(__xludf.DUMMYFUNCTION("""COMPUTED_VALUE"""),"item_asset")</f>
        <v>item_asset</v>
      </c>
      <c r="E3077" s="148">
        <f>IFERROR(__xludf.DUMMYFUNCTION("""COMPUTED_VALUE"""),19.0)</f>
        <v>19</v>
      </c>
      <c r="F3077" s="148">
        <f>IFERROR(__xludf.DUMMYFUNCTION("""COMPUTED_VALUE"""),0.0)</f>
        <v>0</v>
      </c>
      <c r="G3077" s="148">
        <f>IFERROR(__xludf.DUMMYFUNCTION("""COMPUTED_VALUE"""),1.51104722E8)</f>
        <v>151104722</v>
      </c>
      <c r="H3077" s="148">
        <f>IFERROR(__xludf.DUMMYFUNCTION("""COMPUTED_VALUE"""),1.51104265E8)</f>
        <v>151104265</v>
      </c>
      <c r="I3077" s="148" t="str">
        <f>IFERROR(__xludf.DUMMYFUNCTION("""COMPUTED_VALUE"""),"{}")</f>
        <v>{}</v>
      </c>
      <c r="J3077" s="148" t="str">
        <f>IFERROR(__xludf.DUMMYFUNCTION("""COMPUTED_VALUE"""),"{""typ"":""lc"",""txt"":""LC_ITEM_actv_new7day_cbox_name_2""}")</f>
        <v>{"typ":"lc","txt":"LC_ITEM_actv_new7day_cbox_name_2"}</v>
      </c>
      <c r="K3077" s="148" t="str">
        <f>IFERROR(__xludf.DUMMYFUNCTION("""COMPUTED_VALUE"""),"{""typ"":""lc"",""txt"":""LC_ITEM_actv_new7day_cbox_desc_2""}")</f>
        <v>{"typ":"lc","txt":"LC_ITEM_actv_new7day_cbox_desc_2"}</v>
      </c>
      <c r="L3077" s="148" t="str">
        <f>IFERROR(__xludf.DUMMYFUNCTION("""COMPUTED_VALUE"""),"{}")</f>
        <v>{}</v>
      </c>
      <c r="M3077" s="148">
        <f>IFERROR(__xludf.DUMMYFUNCTION("""COMPUTED_VALUE"""),125.0)</f>
        <v>125</v>
      </c>
      <c r="N3077" s="148">
        <f>IFERROR(__xludf.DUMMYFUNCTION("""COMPUTED_VALUE"""),999999.0)</f>
        <v>999999</v>
      </c>
      <c r="O3077" s="148">
        <f>IFERROR(__xludf.DUMMYFUNCTION("""COMPUTED_VALUE"""),1.0)</f>
        <v>1</v>
      </c>
      <c r="P3077" s="148">
        <f>IFERROR(__xludf.DUMMYFUNCTION("""COMPUTED_VALUE"""),1.0)</f>
        <v>1</v>
      </c>
      <c r="Q3077" s="148" t="str">
        <f>IFERROR(__xludf.DUMMYFUNCTION("""COMPUTED_VALUE"""),"[""bag_other""]")</f>
        <v>["bag_other"]</v>
      </c>
      <c r="R3077" s="148" t="str">
        <f>IFERROR(__xludf.DUMMYFUNCTION("""COMPUTED_VALUE"""),"[""bag""]")</f>
        <v>["bag"]</v>
      </c>
      <c r="S3077" s="148" t="str">
        <f>IFERROR(__xludf.DUMMYFUNCTION("""COMPUTED_VALUE"""),"{""drop"":{""typ"":""single_random"",""num"":1,""args"":[{""typ"":""item"",""id"":11112127,""num"":2,""wgt"":20},{""typ"":""item"",""id"":11116304,""num"":1,""wgt"":5},{""typ"":""item"",""id"":11116110,""num"":1,""wgt"":20},{""typ"":""item"",""id"":111143"&amp;"30,""num"":1,""wgt"":100},{""typ"":""item"",""id"":11111155,""num"":2,""wgt"":100},{""typ"":""item"",""id"":11111105,""num"":1,""wgt"":50}]}}")</f>
        <v>{"drop":{"typ":"single_random","num":1,"args":[{"typ":"item","id":11112127,"num":2,"wgt":20},{"typ":"item","id":11116304,"num":1,"wgt":5},{"typ":"item","id":11116110,"num":1,"wgt":20},{"typ":"item","id":11114330,"num":1,"wgt":100},{"typ":"item","id":11111155,"num":2,"wgt":100},{"typ":"item","id":11111105,"num":1,"wgt":50}]}}</v>
      </c>
      <c r="T3077" s="148">
        <f>IFERROR(__xludf.DUMMYFUNCTION("""COMPUTED_VALUE"""),-1.0)</f>
        <v>-1</v>
      </c>
      <c r="U3077" s="148">
        <f>IFERROR(__xludf.DUMMYFUNCTION("""COMPUTED_VALUE"""),1.0)</f>
        <v>1</v>
      </c>
      <c r="V3077" s="148" t="str">
        <f>IFERROR(__xludf.DUMMYFUNCTION("""COMPUTED_VALUE"""),"[]")</f>
        <v>[]</v>
      </c>
      <c r="W3077" s="148">
        <f>IFERROR(__xludf.DUMMYFUNCTION("""COMPUTED_VALUE"""),1.174E7)</f>
        <v>11740000</v>
      </c>
      <c r="X3077" s="148">
        <f>IFERROR(__xludf.DUMMYFUNCTION("""COMPUTED_VALUE"""),0.0)</f>
        <v>0</v>
      </c>
      <c r="Y3077" s="148">
        <f>IFERROR(__xludf.DUMMYFUNCTION("""COMPUTED_VALUE"""),0.0)</f>
        <v>0</v>
      </c>
      <c r="Z3077" s="148"/>
    </row>
    <row r="3078">
      <c r="A3078" s="148">
        <f>IFERROR(__xludf.DUMMYFUNCTION("""COMPUTED_VALUE"""),1.11110225E8)</f>
        <v>111110225</v>
      </c>
      <c r="B3078" s="148" t="str">
        <f>IFERROR(__xludf.DUMMYFUNCTION("""COMPUTED_VALUE"""),"2026-7日连胜宝箱-高级")</f>
        <v>2026-7日连胜宝箱-高级</v>
      </c>
      <c r="C3078" s="148"/>
      <c r="D3078" s="148" t="str">
        <f>IFERROR(__xludf.DUMMYFUNCTION("""COMPUTED_VALUE"""),"item_asset")</f>
        <v>item_asset</v>
      </c>
      <c r="E3078" s="148">
        <f>IFERROR(__xludf.DUMMYFUNCTION("""COMPUTED_VALUE"""),19.0)</f>
        <v>19</v>
      </c>
      <c r="F3078" s="148">
        <f>IFERROR(__xludf.DUMMYFUNCTION("""COMPUTED_VALUE"""),0.0)</f>
        <v>0</v>
      </c>
      <c r="G3078" s="148">
        <f>IFERROR(__xludf.DUMMYFUNCTION("""COMPUTED_VALUE"""),1.51104723E8)</f>
        <v>151104723</v>
      </c>
      <c r="H3078" s="148">
        <f>IFERROR(__xludf.DUMMYFUNCTION("""COMPUTED_VALUE"""),1.51104266E8)</f>
        <v>151104266</v>
      </c>
      <c r="I3078" s="148" t="str">
        <f>IFERROR(__xludf.DUMMYFUNCTION("""COMPUTED_VALUE"""),"{}")</f>
        <v>{}</v>
      </c>
      <c r="J3078" s="148" t="str">
        <f>IFERROR(__xludf.DUMMYFUNCTION("""COMPUTED_VALUE"""),"{""typ"":""lc"",""txt"":""LC_ITEM_actv_new7day_cbox_name_3""}")</f>
        <v>{"typ":"lc","txt":"LC_ITEM_actv_new7day_cbox_name_3"}</v>
      </c>
      <c r="K3078" s="148" t="str">
        <f>IFERROR(__xludf.DUMMYFUNCTION("""COMPUTED_VALUE"""),"{""typ"":""lc"",""txt"":""LC_ITEM_actv_new7day_cbox_desc_3""}")</f>
        <v>{"typ":"lc","txt":"LC_ITEM_actv_new7day_cbox_desc_3"}</v>
      </c>
      <c r="L3078" s="148" t="str">
        <f>IFERROR(__xludf.DUMMYFUNCTION("""COMPUTED_VALUE"""),"{}")</f>
        <v>{}</v>
      </c>
      <c r="M3078" s="148">
        <f>IFERROR(__xludf.DUMMYFUNCTION("""COMPUTED_VALUE"""),125.0)</f>
        <v>125</v>
      </c>
      <c r="N3078" s="148">
        <f>IFERROR(__xludf.DUMMYFUNCTION("""COMPUTED_VALUE"""),999999.0)</f>
        <v>999999</v>
      </c>
      <c r="O3078" s="148">
        <f>IFERROR(__xludf.DUMMYFUNCTION("""COMPUTED_VALUE"""),1.0)</f>
        <v>1</v>
      </c>
      <c r="P3078" s="148">
        <f>IFERROR(__xludf.DUMMYFUNCTION("""COMPUTED_VALUE"""),1.0)</f>
        <v>1</v>
      </c>
      <c r="Q3078" s="148" t="str">
        <f>IFERROR(__xludf.DUMMYFUNCTION("""COMPUTED_VALUE"""),"[""bag_other""]")</f>
        <v>["bag_other"]</v>
      </c>
      <c r="R3078" s="148" t="str">
        <f>IFERROR(__xludf.DUMMYFUNCTION("""COMPUTED_VALUE"""),"[""bag""]")</f>
        <v>["bag"]</v>
      </c>
      <c r="S3078" s="148" t="str">
        <f>IFERROR(__xludf.DUMMYFUNCTION("""COMPUTED_VALUE"""),"{""drop"":{""typ"":""single_random"",""num"":1,""args"":[{""typ"":""item"",""id"":11112127,""num"":2,""wgt"":20},{""typ"":""item"",""id"":11116304,""num"":1,""wgt"":5},{""typ"":""item"",""id"":11116110,""num"":1,""wgt"":20},{""typ"":""item"",""id"":111143"&amp;"30,""num"":1,""wgt"":100},{""typ"":""item"",""id"":11111155,""num"":2,""wgt"":100},{""typ"":""item"",""id"":11111105,""num"":1,""wgt"":50}]}}")</f>
        <v>{"drop":{"typ":"single_random","num":1,"args":[{"typ":"item","id":11112127,"num":2,"wgt":20},{"typ":"item","id":11116304,"num":1,"wgt":5},{"typ":"item","id":11116110,"num":1,"wgt":20},{"typ":"item","id":11114330,"num":1,"wgt":100},{"typ":"item","id":11111155,"num":2,"wgt":100},{"typ":"item","id":11111105,"num":1,"wgt":50}]}}</v>
      </c>
      <c r="T3078" s="148">
        <f>IFERROR(__xludf.DUMMYFUNCTION("""COMPUTED_VALUE"""),-1.0)</f>
        <v>-1</v>
      </c>
      <c r="U3078" s="148">
        <f>IFERROR(__xludf.DUMMYFUNCTION("""COMPUTED_VALUE"""),1.0)</f>
        <v>1</v>
      </c>
      <c r="V3078" s="148" t="str">
        <f>IFERROR(__xludf.DUMMYFUNCTION("""COMPUTED_VALUE"""),"[]")</f>
        <v>[]</v>
      </c>
      <c r="W3078" s="148">
        <f>IFERROR(__xludf.DUMMYFUNCTION("""COMPUTED_VALUE"""),1.174E7)</f>
        <v>11740000</v>
      </c>
      <c r="X3078" s="148">
        <f>IFERROR(__xludf.DUMMYFUNCTION("""COMPUTED_VALUE"""),0.0)</f>
        <v>0</v>
      </c>
      <c r="Y3078" s="148">
        <f>IFERROR(__xludf.DUMMYFUNCTION("""COMPUTED_VALUE"""),0.0)</f>
        <v>0</v>
      </c>
      <c r="Z3078" s="148"/>
    </row>
    <row r="3079">
      <c r="A3079" s="148">
        <f>IFERROR(__xludf.DUMMYFUNCTION("""COMPUTED_VALUE"""),1.11110226E8)</f>
        <v>111110226</v>
      </c>
      <c r="B3079" s="148" t="str">
        <f>IFERROR(__xludf.DUMMYFUNCTION("""COMPUTED_VALUE"""),"2026-7日连胜宝箱-至尊")</f>
        <v>2026-7日连胜宝箱-至尊</v>
      </c>
      <c r="C3079" s="148"/>
      <c r="D3079" s="148" t="str">
        <f>IFERROR(__xludf.DUMMYFUNCTION("""COMPUTED_VALUE"""),"item_asset")</f>
        <v>item_asset</v>
      </c>
      <c r="E3079" s="148">
        <f>IFERROR(__xludf.DUMMYFUNCTION("""COMPUTED_VALUE"""),19.0)</f>
        <v>19</v>
      </c>
      <c r="F3079" s="148">
        <f>IFERROR(__xludf.DUMMYFUNCTION("""COMPUTED_VALUE"""),0.0)</f>
        <v>0</v>
      </c>
      <c r="G3079" s="148">
        <f>IFERROR(__xludf.DUMMYFUNCTION("""COMPUTED_VALUE"""),1.51104729E8)</f>
        <v>151104729</v>
      </c>
      <c r="H3079" s="148">
        <f>IFERROR(__xludf.DUMMYFUNCTION("""COMPUTED_VALUE"""),1.51104267E8)</f>
        <v>151104267</v>
      </c>
      <c r="I3079" s="148" t="str">
        <f>IFERROR(__xludf.DUMMYFUNCTION("""COMPUTED_VALUE"""),"{}")</f>
        <v>{}</v>
      </c>
      <c r="J3079" s="148" t="str">
        <f>IFERROR(__xludf.DUMMYFUNCTION("""COMPUTED_VALUE"""),"{""typ"":""lc"",""txt"":""LC_ITEM_actv_new7day_cbox_name_4""}")</f>
        <v>{"typ":"lc","txt":"LC_ITEM_actv_new7day_cbox_name_4"}</v>
      </c>
      <c r="K3079" s="148" t="str">
        <f>IFERROR(__xludf.DUMMYFUNCTION("""COMPUTED_VALUE"""),"{""typ"":""lc"",""txt"":""LC_ITEM_actv_new7day_cbox_desc_4""}")</f>
        <v>{"typ":"lc","txt":"LC_ITEM_actv_new7day_cbox_desc_4"}</v>
      </c>
      <c r="L3079" s="148" t="str">
        <f>IFERROR(__xludf.DUMMYFUNCTION("""COMPUTED_VALUE"""),"{}")</f>
        <v>{}</v>
      </c>
      <c r="M3079" s="148">
        <f>IFERROR(__xludf.DUMMYFUNCTION("""COMPUTED_VALUE"""),125.0)</f>
        <v>125</v>
      </c>
      <c r="N3079" s="148">
        <f>IFERROR(__xludf.DUMMYFUNCTION("""COMPUTED_VALUE"""),999999.0)</f>
        <v>999999</v>
      </c>
      <c r="O3079" s="148">
        <f>IFERROR(__xludf.DUMMYFUNCTION("""COMPUTED_VALUE"""),1.0)</f>
        <v>1</v>
      </c>
      <c r="P3079" s="148">
        <f>IFERROR(__xludf.DUMMYFUNCTION("""COMPUTED_VALUE"""),1.0)</f>
        <v>1</v>
      </c>
      <c r="Q3079" s="148" t="str">
        <f>IFERROR(__xludf.DUMMYFUNCTION("""COMPUTED_VALUE"""),"[""bag_other""]")</f>
        <v>["bag_other"]</v>
      </c>
      <c r="R3079" s="148" t="str">
        <f>IFERROR(__xludf.DUMMYFUNCTION("""COMPUTED_VALUE"""),"[""bag""]")</f>
        <v>["bag"]</v>
      </c>
      <c r="S3079" s="148" t="str">
        <f>IFERROR(__xludf.DUMMYFUNCTION("""COMPUTED_VALUE"""),"{""drop"":{""typ"":""single_random"",""num"":1,""args"":[{""typ"":""item"",""id"":11112127,""num"":2,""wgt"":20},{""typ"":""item"",""id"":11116304,""num"":1,""wgt"":5},{""typ"":""item"",""id"":11116110,""num"":1,""wgt"":20},{""typ"":""item"",""id"":111143"&amp;"30,""num"":1,""wgt"":100},{""typ"":""item"",""id"":11111155,""num"":2,""wgt"":100},{""typ"":""item"",""id"":11111105,""num"":1,""wgt"":50}]}}")</f>
        <v>{"drop":{"typ":"single_random","num":1,"args":[{"typ":"item","id":11112127,"num":2,"wgt":20},{"typ":"item","id":11116304,"num":1,"wgt":5},{"typ":"item","id":11116110,"num":1,"wgt":20},{"typ":"item","id":11114330,"num":1,"wgt":100},{"typ":"item","id":11111155,"num":2,"wgt":100},{"typ":"item","id":11111105,"num":1,"wgt":50}]}}</v>
      </c>
      <c r="T3079" s="148">
        <f>IFERROR(__xludf.DUMMYFUNCTION("""COMPUTED_VALUE"""),-1.0)</f>
        <v>-1</v>
      </c>
      <c r="U3079" s="148">
        <f>IFERROR(__xludf.DUMMYFUNCTION("""COMPUTED_VALUE"""),1.0)</f>
        <v>1</v>
      </c>
      <c r="V3079" s="148" t="str">
        <f>IFERROR(__xludf.DUMMYFUNCTION("""COMPUTED_VALUE"""),"[]")</f>
        <v>[]</v>
      </c>
      <c r="W3079" s="148">
        <f>IFERROR(__xludf.DUMMYFUNCTION("""COMPUTED_VALUE"""),1.174E7)</f>
        <v>11740000</v>
      </c>
      <c r="X3079" s="148">
        <f>IFERROR(__xludf.DUMMYFUNCTION("""COMPUTED_VALUE"""),0.0)</f>
        <v>0</v>
      </c>
      <c r="Y3079" s="148">
        <f>IFERROR(__xludf.DUMMYFUNCTION("""COMPUTED_VALUE"""),0.0)</f>
        <v>0</v>
      </c>
      <c r="Z3079" s="148"/>
    </row>
    <row r="3080">
      <c r="A3080" s="148">
        <f>IFERROR(__xludf.DUMMYFUNCTION("""COMPUTED_VALUE"""),1.11110227E8)</f>
        <v>111110227</v>
      </c>
      <c r="B3080" s="148" t="str">
        <f>IFERROR(__xludf.DUMMYFUNCTION("""COMPUTED_VALUE"""),"2026-7日连胜-星星进度道具")</f>
        <v>2026-7日连胜-星星进度道具</v>
      </c>
      <c r="C3080" s="148"/>
      <c r="D3080" s="148" t="str">
        <f>IFERROR(__xludf.DUMMYFUNCTION("""COMPUTED_VALUE"""),"item_asset")</f>
        <v>item_asset</v>
      </c>
      <c r="E3080" s="148">
        <f>IFERROR(__xludf.DUMMYFUNCTION("""COMPUTED_VALUE"""),19.0)</f>
        <v>19</v>
      </c>
      <c r="F3080" s="148">
        <f>IFERROR(__xludf.DUMMYFUNCTION("""COMPUTED_VALUE"""),0.0)</f>
        <v>0</v>
      </c>
      <c r="G3080" s="148">
        <f>IFERROR(__xludf.DUMMYFUNCTION("""COMPUTED_VALUE"""),1.51104724E8)</f>
        <v>151104724</v>
      </c>
      <c r="H3080" s="148">
        <f>IFERROR(__xludf.DUMMYFUNCTION("""COMPUTED_VALUE"""),1.51104267E8)</f>
        <v>151104267</v>
      </c>
      <c r="I3080" s="148" t="str">
        <f>IFERROR(__xludf.DUMMYFUNCTION("""COMPUTED_VALUE"""),"{}")</f>
        <v>{}</v>
      </c>
      <c r="J3080" s="148" t="str">
        <f>IFERROR(__xludf.DUMMYFUNCTION("""COMPUTED_VALUE"""),"{""typ"":""lc"",""txt"":""LC_ITEM_actv_new7day_cbox_name_4""}")</f>
        <v>{"typ":"lc","txt":"LC_ITEM_actv_new7day_cbox_name_4"}</v>
      </c>
      <c r="K3080" s="148" t="str">
        <f>IFERROR(__xludf.DUMMYFUNCTION("""COMPUTED_VALUE"""),"{""typ"":""lc"",""txt"":""LC_ITEM_actv_new7day_cbox_desc_4""}")</f>
        <v>{"typ":"lc","txt":"LC_ITEM_actv_new7day_cbox_desc_4"}</v>
      </c>
      <c r="L3080" s="148" t="str">
        <f>IFERROR(__xludf.DUMMYFUNCTION("""COMPUTED_VALUE"""),"{}")</f>
        <v>{}</v>
      </c>
      <c r="M3080" s="148">
        <f>IFERROR(__xludf.DUMMYFUNCTION("""COMPUTED_VALUE"""),125.0)</f>
        <v>125</v>
      </c>
      <c r="N3080" s="148">
        <f>IFERROR(__xludf.DUMMYFUNCTION("""COMPUTED_VALUE"""),999999.0)</f>
        <v>999999</v>
      </c>
      <c r="O3080" s="148">
        <f>IFERROR(__xludf.DUMMYFUNCTION("""COMPUTED_VALUE"""),99999.0)</f>
        <v>99999</v>
      </c>
      <c r="P3080" s="148">
        <f>IFERROR(__xludf.DUMMYFUNCTION("""COMPUTED_VALUE"""),99999.0)</f>
        <v>99999</v>
      </c>
      <c r="Q3080" s="148" t="str">
        <f>IFERROR(__xludf.DUMMYFUNCTION("""COMPUTED_VALUE"""),"[""bag_other""]")</f>
        <v>["bag_other"]</v>
      </c>
      <c r="R3080" s="148" t="str">
        <f>IFERROR(__xludf.DUMMYFUNCTION("""COMPUTED_VALUE"""),"[""bag""]")</f>
        <v>["bag"]</v>
      </c>
      <c r="S3080" s="148" t="str">
        <f>IFERROR(__xludf.DUMMYFUNCTION("""COMPUTED_VALUE"""),"{""drop"":{""typ"":""single_random"",""num"":1,""args"":[{""typ"":""item"",""id"":11112127,""num"":2,""wgt"":20},{""typ"":""item"",""id"":11116304,""num"":1,""wgt"":5},{""typ"":""item"",""id"":11116110,""num"":1,""wgt"":20},{""typ"":""item"",""id"":111143"&amp;"30,""num"":1,""wgt"":100},{""typ"":""item"",""id"":11111155,""num"":2,""wgt"":100},{""typ"":""item"",""id"":11111105,""num"":1,""wgt"":50}]}}")</f>
        <v>{"drop":{"typ":"single_random","num":1,"args":[{"typ":"item","id":11112127,"num":2,"wgt":20},{"typ":"item","id":11116304,"num":1,"wgt":5},{"typ":"item","id":11116110,"num":1,"wgt":20},{"typ":"item","id":11114330,"num":1,"wgt":100},{"typ":"item","id":11111155,"num":2,"wgt":100},{"typ":"item","id":11111105,"num":1,"wgt":50}]}}</v>
      </c>
      <c r="T3080" s="148">
        <f>IFERROR(__xludf.DUMMYFUNCTION("""COMPUTED_VALUE"""),-1.0)</f>
        <v>-1</v>
      </c>
      <c r="U3080" s="148">
        <f>IFERROR(__xludf.DUMMYFUNCTION("""COMPUTED_VALUE"""),1.0)</f>
        <v>1</v>
      </c>
      <c r="V3080" s="148" t="str">
        <f>IFERROR(__xludf.DUMMYFUNCTION("""COMPUTED_VALUE"""),"[]")</f>
        <v>[]</v>
      </c>
      <c r="W3080" s="148">
        <f>IFERROR(__xludf.DUMMYFUNCTION("""COMPUTED_VALUE"""),1.174E7)</f>
        <v>11740000</v>
      </c>
      <c r="X3080" s="148">
        <f>IFERROR(__xludf.DUMMYFUNCTION("""COMPUTED_VALUE"""),0.0)</f>
        <v>0</v>
      </c>
      <c r="Y3080" s="148">
        <f>IFERROR(__xludf.DUMMYFUNCTION("""COMPUTED_VALUE"""),0.0)</f>
        <v>0</v>
      </c>
      <c r="Z3080" s="148"/>
    </row>
    <row r="3081">
      <c r="A3081" s="148">
        <f>IFERROR(__xludf.DUMMYFUNCTION("""COMPUTED_VALUE"""),1.11110228E8)</f>
        <v>111110228</v>
      </c>
      <c r="B3081" s="148" t="str">
        <f>IFERROR(__xludf.DUMMYFUNCTION("""COMPUTED_VALUE"""),"2026科技节-装饰建筑-1级-组件1-底座")</f>
        <v>2026科技节-装饰建筑-1级-组件1-底座</v>
      </c>
      <c r="C3081" s="148"/>
      <c r="D3081" s="148" t="str">
        <f>IFERROR(__xludf.DUMMYFUNCTION("""COMPUTED_VALUE"""),"event")</f>
        <v>event</v>
      </c>
      <c r="E3081" s="148">
        <f>IFERROR(__xludf.DUMMYFUNCTION("""COMPUTED_VALUE"""),0.0)</f>
        <v>0</v>
      </c>
      <c r="F3081" s="148">
        <f>IFERROR(__xludf.DUMMYFUNCTION("""COMPUTED_VALUE"""),405215.0)</f>
        <v>405215</v>
      </c>
      <c r="G3081" s="148">
        <f>IFERROR(__xludf.DUMMYFUNCTION("""COMPUTED_VALUE"""),1.51104679E8)</f>
        <v>151104679</v>
      </c>
      <c r="H3081" s="148">
        <f>IFERROR(__xludf.DUMMYFUNCTION("""COMPUTED_VALUE"""),1.5112564E7)</f>
        <v>15112564</v>
      </c>
      <c r="I3081" s="148" t="str">
        <f>IFERROR(__xludf.DUMMYFUNCTION("""COMPUTED_VALUE"""),"{}")</f>
        <v>{}</v>
      </c>
      <c r="J3081" s="148" t="str">
        <f>IFERROR(__xludf.DUMMYFUNCTION("""COMPUTED_VALUE"""),"{""typ"":""lc"",""txt"":""LC_ITEM_26tech_dec_part_item_name_1""}")</f>
        <v>{"typ":"lc","txt":"LC_ITEM_26tech_dec_part_item_name_1"}</v>
      </c>
      <c r="K3081" s="148" t="str">
        <f>IFERROR(__xludf.DUMMYFUNCTION("""COMPUTED_VALUE"""),"{""typ"":""lc"",""txt"":""LC_ITEM_26tech_dec_part_item_desc_1""}")</f>
        <v>{"typ":"lc","txt":"LC_ITEM_26tech_dec_part_item_desc_1"}</v>
      </c>
      <c r="L3081" s="148" t="str">
        <f>IFERROR(__xludf.DUMMYFUNCTION("""COMPUTED_VALUE"""),"{}")</f>
        <v>{}</v>
      </c>
      <c r="M3081" s="148">
        <f>IFERROR(__xludf.DUMMYFUNCTION("""COMPUTED_VALUE"""),35.0)</f>
        <v>35</v>
      </c>
      <c r="N3081" s="148">
        <f>IFERROR(__xludf.DUMMYFUNCTION("""COMPUTED_VALUE"""),999999.0)</f>
        <v>999999</v>
      </c>
      <c r="O3081" s="148">
        <f>IFERROR(__xludf.DUMMYFUNCTION("""COMPUTED_VALUE"""),99999.0)</f>
        <v>99999</v>
      </c>
      <c r="P3081" s="148">
        <f>IFERROR(__xludf.DUMMYFUNCTION("""COMPUTED_VALUE"""),99999.0)</f>
        <v>99999</v>
      </c>
      <c r="Q3081" s="148" t="str">
        <f>IFERROR(__xludf.DUMMYFUNCTION("""COMPUTED_VALUE"""),"[""bag_other""]")</f>
        <v>["bag_other"]</v>
      </c>
      <c r="R3081" s="148" t="str">
        <f>IFERROR(__xludf.DUMMYFUNCTION("""COMPUTED_VALUE"""),"[]")</f>
        <v>[]</v>
      </c>
      <c r="S3081" s="148" t="str">
        <f>IFERROR(__xludf.DUMMYFUNCTION("""COMPUTED_VALUE"""),"{}")</f>
        <v>{}</v>
      </c>
      <c r="T3081" s="148">
        <f>IFERROR(__xludf.DUMMYFUNCTION("""COMPUTED_VALUE"""),1.0)</f>
        <v>1</v>
      </c>
      <c r="U3081" s="148">
        <f>IFERROR(__xludf.DUMMYFUNCTION("""COMPUTED_VALUE"""),0.0)</f>
        <v>0</v>
      </c>
      <c r="V3081" s="148" t="str">
        <f>IFERROR(__xludf.DUMMYFUNCTION("""COMPUTED_VALUE"""),"[]")</f>
        <v>[]</v>
      </c>
      <c r="W3081" s="148">
        <f>IFERROR(__xludf.DUMMYFUNCTION("""COMPUTED_VALUE"""),1.174E7)</f>
        <v>11740000</v>
      </c>
      <c r="X3081" s="148">
        <f>IFERROR(__xludf.DUMMYFUNCTION("""COMPUTED_VALUE"""),0.0)</f>
        <v>0</v>
      </c>
      <c r="Y3081" s="148">
        <f>IFERROR(__xludf.DUMMYFUNCTION("""COMPUTED_VALUE"""),0.0)</f>
        <v>0</v>
      </c>
      <c r="Z3081" s="148"/>
    </row>
    <row r="3082">
      <c r="A3082" s="148">
        <f>IFERROR(__xludf.DUMMYFUNCTION("""COMPUTED_VALUE"""),1.11110229E8)</f>
        <v>111110229</v>
      </c>
      <c r="B3082" s="148" t="str">
        <f>IFERROR(__xludf.DUMMYFUNCTION("""COMPUTED_VALUE"""),"2026科技节-装饰建筑-1级-组件2-装饰部件1")</f>
        <v>2026科技节-装饰建筑-1级-组件2-装饰部件1</v>
      </c>
      <c r="C3082" s="148"/>
      <c r="D3082" s="148" t="str">
        <f>IFERROR(__xludf.DUMMYFUNCTION("""COMPUTED_VALUE"""),"event")</f>
        <v>event</v>
      </c>
      <c r="E3082" s="148">
        <f>IFERROR(__xludf.DUMMYFUNCTION("""COMPUTED_VALUE"""),0.0)</f>
        <v>0</v>
      </c>
      <c r="F3082" s="148">
        <f>IFERROR(__xludf.DUMMYFUNCTION("""COMPUTED_VALUE"""),405214.0)</f>
        <v>405214</v>
      </c>
      <c r="G3082" s="148">
        <f>IFERROR(__xludf.DUMMYFUNCTION("""COMPUTED_VALUE"""),1.5110468E8)</f>
        <v>151104680</v>
      </c>
      <c r="H3082" s="148">
        <f>IFERROR(__xludf.DUMMYFUNCTION("""COMPUTED_VALUE"""),1.5112564E7)</f>
        <v>15112564</v>
      </c>
      <c r="I3082" s="148" t="str">
        <f>IFERROR(__xludf.DUMMYFUNCTION("""COMPUTED_VALUE"""),"{}")</f>
        <v>{}</v>
      </c>
      <c r="J3082" s="148" t="str">
        <f>IFERROR(__xludf.DUMMYFUNCTION("""COMPUTED_VALUE"""),"{""typ"":""lc"",""txt"":""LC_ITEM_26tech_dec_part_item_name_2""}")</f>
        <v>{"typ":"lc","txt":"LC_ITEM_26tech_dec_part_item_name_2"}</v>
      </c>
      <c r="K3082" s="148" t="str">
        <f>IFERROR(__xludf.DUMMYFUNCTION("""COMPUTED_VALUE"""),"{""typ"":""lc"",""txt"":""LC_ITEM_26tech_dec_part_item_desc_2""}")</f>
        <v>{"typ":"lc","txt":"LC_ITEM_26tech_dec_part_item_desc_2"}</v>
      </c>
      <c r="L3082" s="148" t="str">
        <f>IFERROR(__xludf.DUMMYFUNCTION("""COMPUTED_VALUE"""),"{}")</f>
        <v>{}</v>
      </c>
      <c r="M3082" s="148">
        <f>IFERROR(__xludf.DUMMYFUNCTION("""COMPUTED_VALUE"""),35.0)</f>
        <v>35</v>
      </c>
      <c r="N3082" s="148">
        <f>IFERROR(__xludf.DUMMYFUNCTION("""COMPUTED_VALUE"""),999999.0)</f>
        <v>999999</v>
      </c>
      <c r="O3082" s="148">
        <f>IFERROR(__xludf.DUMMYFUNCTION("""COMPUTED_VALUE"""),99999.0)</f>
        <v>99999</v>
      </c>
      <c r="P3082" s="148">
        <f>IFERROR(__xludf.DUMMYFUNCTION("""COMPUTED_VALUE"""),99999.0)</f>
        <v>99999</v>
      </c>
      <c r="Q3082" s="148" t="str">
        <f>IFERROR(__xludf.DUMMYFUNCTION("""COMPUTED_VALUE"""),"[""bag_other""]")</f>
        <v>["bag_other"]</v>
      </c>
      <c r="R3082" s="148" t="str">
        <f>IFERROR(__xludf.DUMMYFUNCTION("""COMPUTED_VALUE"""),"[]")</f>
        <v>[]</v>
      </c>
      <c r="S3082" s="148" t="str">
        <f>IFERROR(__xludf.DUMMYFUNCTION("""COMPUTED_VALUE"""),"{}")</f>
        <v>{}</v>
      </c>
      <c r="T3082" s="148">
        <f>IFERROR(__xludf.DUMMYFUNCTION("""COMPUTED_VALUE"""),1.0)</f>
        <v>1</v>
      </c>
      <c r="U3082" s="148">
        <f>IFERROR(__xludf.DUMMYFUNCTION("""COMPUTED_VALUE"""),0.0)</f>
        <v>0</v>
      </c>
      <c r="V3082" s="148" t="str">
        <f>IFERROR(__xludf.DUMMYFUNCTION("""COMPUTED_VALUE"""),"[]")</f>
        <v>[]</v>
      </c>
      <c r="W3082" s="148">
        <f>IFERROR(__xludf.DUMMYFUNCTION("""COMPUTED_VALUE"""),1.174E7)</f>
        <v>11740000</v>
      </c>
      <c r="X3082" s="148">
        <f>IFERROR(__xludf.DUMMYFUNCTION("""COMPUTED_VALUE"""),0.0)</f>
        <v>0</v>
      </c>
      <c r="Y3082" s="148">
        <f>IFERROR(__xludf.DUMMYFUNCTION("""COMPUTED_VALUE"""),0.0)</f>
        <v>0</v>
      </c>
      <c r="Z3082" s="148"/>
    </row>
    <row r="3083">
      <c r="A3083" s="148">
        <f>IFERROR(__xludf.DUMMYFUNCTION("""COMPUTED_VALUE"""),1.1111023E8)</f>
        <v>111110230</v>
      </c>
      <c r="B3083" s="148" t="str">
        <f>IFERROR(__xludf.DUMMYFUNCTION("""COMPUTED_VALUE"""),"2026科技节-装饰建筑-1级-组件3-装饰部件2")</f>
        <v>2026科技节-装饰建筑-1级-组件3-装饰部件2</v>
      </c>
      <c r="C3083" s="148"/>
      <c r="D3083" s="148" t="str">
        <f>IFERROR(__xludf.DUMMYFUNCTION("""COMPUTED_VALUE"""),"event")</f>
        <v>event</v>
      </c>
      <c r="E3083" s="148">
        <f>IFERROR(__xludf.DUMMYFUNCTION("""COMPUTED_VALUE"""),0.0)</f>
        <v>0</v>
      </c>
      <c r="F3083" s="148">
        <f>IFERROR(__xludf.DUMMYFUNCTION("""COMPUTED_VALUE"""),405213.0)</f>
        <v>405213</v>
      </c>
      <c r="G3083" s="148">
        <f>IFERROR(__xludf.DUMMYFUNCTION("""COMPUTED_VALUE"""),1.51104681E8)</f>
        <v>151104681</v>
      </c>
      <c r="H3083" s="148">
        <f>IFERROR(__xludf.DUMMYFUNCTION("""COMPUTED_VALUE"""),1.5112564E7)</f>
        <v>15112564</v>
      </c>
      <c r="I3083" s="148" t="str">
        <f>IFERROR(__xludf.DUMMYFUNCTION("""COMPUTED_VALUE"""),"{}")</f>
        <v>{}</v>
      </c>
      <c r="J3083" s="148" t="str">
        <f>IFERROR(__xludf.DUMMYFUNCTION("""COMPUTED_VALUE"""),"{""typ"":""lc"",""txt"":""LC_ITEM_26tech_dec_part_item_name_3""}")</f>
        <v>{"typ":"lc","txt":"LC_ITEM_26tech_dec_part_item_name_3"}</v>
      </c>
      <c r="K3083" s="148" t="str">
        <f>IFERROR(__xludf.DUMMYFUNCTION("""COMPUTED_VALUE"""),"{""typ"":""lc"",""txt"":""LC_ITEM_26tech_dec_part_item_desc_3""}")</f>
        <v>{"typ":"lc","txt":"LC_ITEM_26tech_dec_part_item_desc_3"}</v>
      </c>
      <c r="L3083" s="148" t="str">
        <f>IFERROR(__xludf.DUMMYFUNCTION("""COMPUTED_VALUE"""),"{}")</f>
        <v>{}</v>
      </c>
      <c r="M3083" s="148">
        <f>IFERROR(__xludf.DUMMYFUNCTION("""COMPUTED_VALUE"""),35.0)</f>
        <v>35</v>
      </c>
      <c r="N3083" s="148">
        <f>IFERROR(__xludf.DUMMYFUNCTION("""COMPUTED_VALUE"""),999999.0)</f>
        <v>999999</v>
      </c>
      <c r="O3083" s="148">
        <f>IFERROR(__xludf.DUMMYFUNCTION("""COMPUTED_VALUE"""),99999.0)</f>
        <v>99999</v>
      </c>
      <c r="P3083" s="148">
        <f>IFERROR(__xludf.DUMMYFUNCTION("""COMPUTED_VALUE"""),99999.0)</f>
        <v>99999</v>
      </c>
      <c r="Q3083" s="148" t="str">
        <f>IFERROR(__xludf.DUMMYFUNCTION("""COMPUTED_VALUE"""),"[""bag_other""]")</f>
        <v>["bag_other"]</v>
      </c>
      <c r="R3083" s="148" t="str">
        <f>IFERROR(__xludf.DUMMYFUNCTION("""COMPUTED_VALUE"""),"[]")</f>
        <v>[]</v>
      </c>
      <c r="S3083" s="148" t="str">
        <f>IFERROR(__xludf.DUMMYFUNCTION("""COMPUTED_VALUE"""),"{}")</f>
        <v>{}</v>
      </c>
      <c r="T3083" s="148">
        <f>IFERROR(__xludf.DUMMYFUNCTION("""COMPUTED_VALUE"""),1.0)</f>
        <v>1</v>
      </c>
      <c r="U3083" s="148">
        <f>IFERROR(__xludf.DUMMYFUNCTION("""COMPUTED_VALUE"""),0.0)</f>
        <v>0</v>
      </c>
      <c r="V3083" s="148" t="str">
        <f>IFERROR(__xludf.DUMMYFUNCTION("""COMPUTED_VALUE"""),"[]")</f>
        <v>[]</v>
      </c>
      <c r="W3083" s="148">
        <f>IFERROR(__xludf.DUMMYFUNCTION("""COMPUTED_VALUE"""),1.174E7)</f>
        <v>11740000</v>
      </c>
      <c r="X3083" s="148">
        <f>IFERROR(__xludf.DUMMYFUNCTION("""COMPUTED_VALUE"""),0.0)</f>
        <v>0</v>
      </c>
      <c r="Y3083" s="148">
        <f>IFERROR(__xludf.DUMMYFUNCTION("""COMPUTED_VALUE"""),0.0)</f>
        <v>0</v>
      </c>
      <c r="Z3083" s="148"/>
    </row>
    <row r="3084">
      <c r="A3084" s="148">
        <f>IFERROR(__xludf.DUMMYFUNCTION("""COMPUTED_VALUE"""),1.11110231E8)</f>
        <v>111110231</v>
      </c>
      <c r="B3084" s="148" t="str">
        <f>IFERROR(__xludf.DUMMYFUNCTION("""COMPUTED_VALUE"""),"2026科技节-装饰建筑-1级-组件4-聚光灯")</f>
        <v>2026科技节-装饰建筑-1级-组件4-聚光灯</v>
      </c>
      <c r="C3084" s="148"/>
      <c r="D3084" s="148" t="str">
        <f>IFERROR(__xludf.DUMMYFUNCTION("""COMPUTED_VALUE"""),"event")</f>
        <v>event</v>
      </c>
      <c r="E3084" s="148">
        <f>IFERROR(__xludf.DUMMYFUNCTION("""COMPUTED_VALUE"""),0.0)</f>
        <v>0</v>
      </c>
      <c r="F3084" s="148">
        <f>IFERROR(__xludf.DUMMYFUNCTION("""COMPUTED_VALUE"""),405212.0)</f>
        <v>405212</v>
      </c>
      <c r="G3084" s="148">
        <f>IFERROR(__xludf.DUMMYFUNCTION("""COMPUTED_VALUE"""),1.51104682E8)</f>
        <v>151104682</v>
      </c>
      <c r="H3084" s="148">
        <f>IFERROR(__xludf.DUMMYFUNCTION("""COMPUTED_VALUE"""),1.5112564E7)</f>
        <v>15112564</v>
      </c>
      <c r="I3084" s="148" t="str">
        <f>IFERROR(__xludf.DUMMYFUNCTION("""COMPUTED_VALUE"""),"{}")</f>
        <v>{}</v>
      </c>
      <c r="J3084" s="148" t="str">
        <f>IFERROR(__xludf.DUMMYFUNCTION("""COMPUTED_VALUE"""),"{""typ"":""lc"",""txt"":""LC_ITEM_26tech_dec_part_item_name_4""}")</f>
        <v>{"typ":"lc","txt":"LC_ITEM_26tech_dec_part_item_name_4"}</v>
      </c>
      <c r="K3084" s="148" t="str">
        <f>IFERROR(__xludf.DUMMYFUNCTION("""COMPUTED_VALUE"""),"{""typ"":""lc"",""txt"":""LC_ITEM_26tech_dec_part_item_desc_4""}")</f>
        <v>{"typ":"lc","txt":"LC_ITEM_26tech_dec_part_item_desc_4"}</v>
      </c>
      <c r="L3084" s="148" t="str">
        <f>IFERROR(__xludf.DUMMYFUNCTION("""COMPUTED_VALUE"""),"{}")</f>
        <v>{}</v>
      </c>
      <c r="M3084" s="148">
        <f>IFERROR(__xludf.DUMMYFUNCTION("""COMPUTED_VALUE"""),35.0)</f>
        <v>35</v>
      </c>
      <c r="N3084" s="148">
        <f>IFERROR(__xludf.DUMMYFUNCTION("""COMPUTED_VALUE"""),999999.0)</f>
        <v>999999</v>
      </c>
      <c r="O3084" s="148">
        <f>IFERROR(__xludf.DUMMYFUNCTION("""COMPUTED_VALUE"""),99999.0)</f>
        <v>99999</v>
      </c>
      <c r="P3084" s="148">
        <f>IFERROR(__xludf.DUMMYFUNCTION("""COMPUTED_VALUE"""),99999.0)</f>
        <v>99999</v>
      </c>
      <c r="Q3084" s="148" t="str">
        <f>IFERROR(__xludf.DUMMYFUNCTION("""COMPUTED_VALUE"""),"[""bag_other""]")</f>
        <v>["bag_other"]</v>
      </c>
      <c r="R3084" s="148" t="str">
        <f>IFERROR(__xludf.DUMMYFUNCTION("""COMPUTED_VALUE"""),"[]")</f>
        <v>[]</v>
      </c>
      <c r="S3084" s="148" t="str">
        <f>IFERROR(__xludf.DUMMYFUNCTION("""COMPUTED_VALUE"""),"{}")</f>
        <v>{}</v>
      </c>
      <c r="T3084" s="148">
        <f>IFERROR(__xludf.DUMMYFUNCTION("""COMPUTED_VALUE"""),1.0)</f>
        <v>1</v>
      </c>
      <c r="U3084" s="148">
        <f>IFERROR(__xludf.DUMMYFUNCTION("""COMPUTED_VALUE"""),0.0)</f>
        <v>0</v>
      </c>
      <c r="V3084" s="148" t="str">
        <f>IFERROR(__xludf.DUMMYFUNCTION("""COMPUTED_VALUE"""),"[]")</f>
        <v>[]</v>
      </c>
      <c r="W3084" s="148">
        <f>IFERROR(__xludf.DUMMYFUNCTION("""COMPUTED_VALUE"""),1.174E7)</f>
        <v>11740000</v>
      </c>
      <c r="X3084" s="148">
        <f>IFERROR(__xludf.DUMMYFUNCTION("""COMPUTED_VALUE"""),0.0)</f>
        <v>0</v>
      </c>
      <c r="Y3084" s="148">
        <f>IFERROR(__xludf.DUMMYFUNCTION("""COMPUTED_VALUE"""),0.0)</f>
        <v>0</v>
      </c>
      <c r="Z3084" s="148"/>
    </row>
    <row r="3085">
      <c r="A3085" s="148">
        <f>IFERROR(__xludf.DUMMYFUNCTION("""COMPUTED_VALUE"""),1.11110232E8)</f>
        <v>111110232</v>
      </c>
      <c r="B3085" s="148" t="str">
        <f>IFERROR(__xludf.DUMMYFUNCTION("""COMPUTED_VALUE"""),"2026科技节-装饰建筑-1级-组件5-全息投影")</f>
        <v>2026科技节-装饰建筑-1级-组件5-全息投影</v>
      </c>
      <c r="C3085" s="148"/>
      <c r="D3085" s="148" t="str">
        <f>IFERROR(__xludf.DUMMYFUNCTION("""COMPUTED_VALUE"""),"event")</f>
        <v>event</v>
      </c>
      <c r="E3085" s="148">
        <f>IFERROR(__xludf.DUMMYFUNCTION("""COMPUTED_VALUE"""),0.0)</f>
        <v>0</v>
      </c>
      <c r="F3085" s="148">
        <f>IFERROR(__xludf.DUMMYFUNCTION("""COMPUTED_VALUE"""),405211.0)</f>
        <v>405211</v>
      </c>
      <c r="G3085" s="148">
        <f>IFERROR(__xludf.DUMMYFUNCTION("""COMPUTED_VALUE"""),1.51104683E8)</f>
        <v>151104683</v>
      </c>
      <c r="H3085" s="148">
        <f>IFERROR(__xludf.DUMMYFUNCTION("""COMPUTED_VALUE"""),1.5112564E7)</f>
        <v>15112564</v>
      </c>
      <c r="I3085" s="148" t="str">
        <f>IFERROR(__xludf.DUMMYFUNCTION("""COMPUTED_VALUE"""),"{}")</f>
        <v>{}</v>
      </c>
      <c r="J3085" s="148" t="str">
        <f>IFERROR(__xludf.DUMMYFUNCTION("""COMPUTED_VALUE"""),"{""typ"":""lc"",""txt"":""LC_ITEM_26tech_dec_part_item_name_5""}")</f>
        <v>{"typ":"lc","txt":"LC_ITEM_26tech_dec_part_item_name_5"}</v>
      </c>
      <c r="K3085" s="148" t="str">
        <f>IFERROR(__xludf.DUMMYFUNCTION("""COMPUTED_VALUE"""),"{""typ"":""lc"",""txt"":""LC_ITEM_26tech_dec_part_item_desc_5""}")</f>
        <v>{"typ":"lc","txt":"LC_ITEM_26tech_dec_part_item_desc_5"}</v>
      </c>
      <c r="L3085" s="148" t="str">
        <f>IFERROR(__xludf.DUMMYFUNCTION("""COMPUTED_VALUE"""),"{}")</f>
        <v>{}</v>
      </c>
      <c r="M3085" s="148">
        <f>IFERROR(__xludf.DUMMYFUNCTION("""COMPUTED_VALUE"""),35.0)</f>
        <v>35</v>
      </c>
      <c r="N3085" s="148">
        <f>IFERROR(__xludf.DUMMYFUNCTION("""COMPUTED_VALUE"""),999999.0)</f>
        <v>999999</v>
      </c>
      <c r="O3085" s="148">
        <f>IFERROR(__xludf.DUMMYFUNCTION("""COMPUTED_VALUE"""),99999.0)</f>
        <v>99999</v>
      </c>
      <c r="P3085" s="148">
        <f>IFERROR(__xludf.DUMMYFUNCTION("""COMPUTED_VALUE"""),99999.0)</f>
        <v>99999</v>
      </c>
      <c r="Q3085" s="148" t="str">
        <f>IFERROR(__xludf.DUMMYFUNCTION("""COMPUTED_VALUE"""),"[""bag_other""]")</f>
        <v>["bag_other"]</v>
      </c>
      <c r="R3085" s="148" t="str">
        <f>IFERROR(__xludf.DUMMYFUNCTION("""COMPUTED_VALUE"""),"[]")</f>
        <v>[]</v>
      </c>
      <c r="S3085" s="148" t="str">
        <f>IFERROR(__xludf.DUMMYFUNCTION("""COMPUTED_VALUE"""),"{}")</f>
        <v>{}</v>
      </c>
      <c r="T3085" s="148">
        <f>IFERROR(__xludf.DUMMYFUNCTION("""COMPUTED_VALUE"""),1.0)</f>
        <v>1</v>
      </c>
      <c r="U3085" s="148">
        <f>IFERROR(__xludf.DUMMYFUNCTION("""COMPUTED_VALUE"""),0.0)</f>
        <v>0</v>
      </c>
      <c r="V3085" s="148" t="str">
        <f>IFERROR(__xludf.DUMMYFUNCTION("""COMPUTED_VALUE"""),"[]")</f>
        <v>[]</v>
      </c>
      <c r="W3085" s="148">
        <f>IFERROR(__xludf.DUMMYFUNCTION("""COMPUTED_VALUE"""),1.174E7)</f>
        <v>11740000</v>
      </c>
      <c r="X3085" s="148">
        <f>IFERROR(__xludf.DUMMYFUNCTION("""COMPUTED_VALUE"""),0.0)</f>
        <v>0</v>
      </c>
      <c r="Y3085" s="148">
        <f>IFERROR(__xludf.DUMMYFUNCTION("""COMPUTED_VALUE"""),0.0)</f>
        <v>0</v>
      </c>
      <c r="Z3085" s="148"/>
    </row>
    <row r="3086">
      <c r="A3086" s="148">
        <f>IFERROR(__xludf.DUMMYFUNCTION("""COMPUTED_VALUE"""),1.11110233E8)</f>
        <v>111110233</v>
      </c>
      <c r="B3086" s="148" t="str">
        <f>IFERROR(__xludf.DUMMYFUNCTION("""COMPUTED_VALUE"""),"主城皮肤-战地套2026-初级皮肤")</f>
        <v>主城皮肤-战地套2026-初级皮肤</v>
      </c>
      <c r="C3086" s="148"/>
      <c r="D3086" s="148" t="str">
        <f>IFERROR(__xludf.DUMMYFUNCTION("""COMPUTED_VALUE"""),"city_skin")</f>
        <v>city_skin</v>
      </c>
      <c r="E3086" s="148">
        <f>IFERROR(__xludf.DUMMYFUNCTION("""COMPUTED_VALUE"""),21.0)</f>
        <v>21</v>
      </c>
      <c r="F3086" s="148">
        <f>IFERROR(__xludf.DUMMYFUNCTION("""COMPUTED_VALUE"""),499996.0)</f>
        <v>499996</v>
      </c>
      <c r="G3086" s="148">
        <f>IFERROR(__xludf.DUMMYFUNCTION("""COMPUTED_VALUE"""),1.51104793E8)</f>
        <v>151104793</v>
      </c>
      <c r="H3086" s="148">
        <f>IFERROR(__xludf.DUMMYFUNCTION("""COMPUTED_VALUE"""),1.5112564E7)</f>
        <v>15112564</v>
      </c>
      <c r="I3086" s="148" t="str">
        <f>IFERROR(__xludf.DUMMYFUNCTION("""COMPUTED_VALUE"""),"{}")</f>
        <v>{}</v>
      </c>
      <c r="J3086" s="148" t="str">
        <f>IFERROR(__xludf.DUMMYFUNCTION("""COMPUTED_VALUE"""),"{""typ"":""lc"",""txt"":""LC_ITEM_tech_2026_city_1_name""}")</f>
        <v>{"typ":"lc","txt":"LC_ITEM_tech_2026_city_1_name"}</v>
      </c>
      <c r="K3086" s="148" t="str">
        <f>IFERROR(__xludf.DUMMYFUNCTION("""COMPUTED_VALUE"""),"{""typ"":""lc"",""txt"":""LC_ITEM_tech_2026_city_1_desc""}")</f>
        <v>{"typ":"lc","txt":"LC_ITEM_tech_2026_city_1_desc"}</v>
      </c>
      <c r="L3086" s="148" t="str">
        <f>IFERROR(__xludf.DUMMYFUNCTION("""COMPUTED_VALUE"""),"{""typ"":""lc"",""txt"":""LC_ASSET_suit_actived_tips_1""}")</f>
        <v>{"typ":"lc","txt":"LC_ASSET_suit_actived_tips_1"}</v>
      </c>
      <c r="M3086" s="148">
        <f>IFERROR(__xludf.DUMMYFUNCTION("""COMPUTED_VALUE"""),10000.0)</f>
        <v>10000</v>
      </c>
      <c r="N3086" s="148">
        <f>IFERROR(__xludf.DUMMYFUNCTION("""COMPUTED_VALUE"""),999.0)</f>
        <v>999</v>
      </c>
      <c r="O3086" s="148">
        <f>IFERROR(__xludf.DUMMYFUNCTION("""COMPUTED_VALUE"""),1.0)</f>
        <v>1</v>
      </c>
      <c r="P3086" s="148">
        <f>IFERROR(__xludf.DUMMYFUNCTION("""COMPUTED_VALUE"""),1.0)</f>
        <v>1</v>
      </c>
      <c r="Q3086" s="148" t="str">
        <f>IFERROR(__xludf.DUMMYFUNCTION("""COMPUTED_VALUE"""),"[""bag_other""]")</f>
        <v>["bag_other"]</v>
      </c>
      <c r="R3086" s="148" t="str">
        <f>IFERROR(__xludf.DUMMYFUNCTION("""COMPUTED_VALUE"""),"[""bag"",""13121090""]")</f>
        <v>["bag","13121090"]</v>
      </c>
      <c r="S3086" s="148" t="str">
        <f>IFERROR(__xludf.DUMMYFUNCTION("""COMPUTED_VALUE"""),"{""effect"":[{""typ"":""city_skin"",""id"":13121106,""val"":-1},{""typ"":""item"",""id"":11112030,""val"":2000}]}")</f>
        <v>{"effect":[{"typ":"city_skin","id":13121106,"val":-1},{"typ":"item","id":11112030,"val":2000}]}</v>
      </c>
      <c r="T3086" s="148">
        <f>IFERROR(__xludf.DUMMYFUNCTION("""COMPUTED_VALUE"""),-1.0)</f>
        <v>-1</v>
      </c>
      <c r="U3086" s="148">
        <f>IFERROR(__xludf.DUMMYFUNCTION("""COMPUTED_VALUE"""),0.0)</f>
        <v>0</v>
      </c>
      <c r="V3086" s="148" t="str">
        <f>IFERROR(__xludf.DUMMYFUNCTION("""COMPUTED_VALUE"""),"[]")</f>
        <v>[]</v>
      </c>
      <c r="W3086" s="148">
        <f>IFERROR(__xludf.DUMMYFUNCTION("""COMPUTED_VALUE"""),1.174E7)</f>
        <v>11740000</v>
      </c>
      <c r="X3086" s="148">
        <f>IFERROR(__xludf.DUMMYFUNCTION("""COMPUTED_VALUE"""),0.0)</f>
        <v>0</v>
      </c>
      <c r="Y3086" s="148">
        <f>IFERROR(__xludf.DUMMYFUNCTION("""COMPUTED_VALUE"""),0.0)</f>
        <v>0</v>
      </c>
      <c r="Z3086" s="148"/>
    </row>
    <row r="3087">
      <c r="A3087" s="148">
        <f>IFERROR(__xludf.DUMMYFUNCTION("""COMPUTED_VALUE"""),1.11110234E8)</f>
        <v>111110234</v>
      </c>
      <c r="B3087" s="148" t="str">
        <f>IFERROR(__xludf.DUMMYFUNCTION("""COMPUTED_VALUE"""),"主城皮肤-战地套2026-初级皮肤-2天")</f>
        <v>主城皮肤-战地套2026-初级皮肤-2天</v>
      </c>
      <c r="C3087" s="148"/>
      <c r="D3087" s="148" t="str">
        <f>IFERROR(__xludf.DUMMYFUNCTION("""COMPUTED_VALUE"""),"city_skin")</f>
        <v>city_skin</v>
      </c>
      <c r="E3087" s="148">
        <f>IFERROR(__xludf.DUMMYFUNCTION("""COMPUTED_VALUE"""),21.0)</f>
        <v>21</v>
      </c>
      <c r="F3087" s="148">
        <f>IFERROR(__xludf.DUMMYFUNCTION("""COMPUTED_VALUE"""),499941.0)</f>
        <v>499941</v>
      </c>
      <c r="G3087" s="148">
        <f>IFERROR(__xludf.DUMMYFUNCTION("""COMPUTED_VALUE"""),1.51104793E8)</f>
        <v>151104793</v>
      </c>
      <c r="H3087" s="148">
        <f>IFERROR(__xludf.DUMMYFUNCTION("""COMPUTED_VALUE"""),1.5112563E7)</f>
        <v>15112563</v>
      </c>
      <c r="I3087" s="148" t="str">
        <f>IFERROR(__xludf.DUMMYFUNCTION("""COMPUTED_VALUE"""),"{""typ"":""lc"",""txt"":""LC_ITEM_time_day_upper_show"",""args"":[{""typ"":""int"",""val"":2}]}")</f>
        <v>{"typ":"lc","txt":"LC_ITEM_time_day_upper_show","args":[{"typ":"int","val":2}]}</v>
      </c>
      <c r="J3087" s="148" t="str">
        <f>IFERROR(__xludf.DUMMYFUNCTION("""COMPUTED_VALUE"""),"{""typ"":""lc"",""txt"":""LC_ITEM_tech_2026_city_1_name_2day""}")</f>
        <v>{"typ":"lc","txt":"LC_ITEM_tech_2026_city_1_name_2day"}</v>
      </c>
      <c r="K3087" s="148" t="str">
        <f>IFERROR(__xludf.DUMMYFUNCTION("""COMPUTED_VALUE"""),"{""typ"":""lc"",""txt"":""LC_ITEM_tech_2026_city_1_desc_2day""}")</f>
        <v>{"typ":"lc","txt":"LC_ITEM_tech_2026_city_1_desc_2day"}</v>
      </c>
      <c r="L3087" s="148" t="str">
        <f>IFERROR(__xludf.DUMMYFUNCTION("""COMPUTED_VALUE"""),"{""typ"":""lc"",""txt"":""LC_ASSET_suit_actived_tips_1""}")</f>
        <v>{"typ":"lc","txt":"LC_ASSET_suit_actived_tips_1"}</v>
      </c>
      <c r="M3087" s="148">
        <f>IFERROR(__xludf.DUMMYFUNCTION("""COMPUTED_VALUE"""),500.0)</f>
        <v>500</v>
      </c>
      <c r="N3087" s="148">
        <f>IFERROR(__xludf.DUMMYFUNCTION("""COMPUTED_VALUE"""),999.0)</f>
        <v>999</v>
      </c>
      <c r="O3087" s="148">
        <f>IFERROR(__xludf.DUMMYFUNCTION("""COMPUTED_VALUE"""),1.0)</f>
        <v>1</v>
      </c>
      <c r="P3087" s="148">
        <f>IFERROR(__xludf.DUMMYFUNCTION("""COMPUTED_VALUE"""),1.0)</f>
        <v>1</v>
      </c>
      <c r="Q3087" s="148" t="str">
        <f>IFERROR(__xludf.DUMMYFUNCTION("""COMPUTED_VALUE"""),"[""bag_other""]")</f>
        <v>["bag_other"]</v>
      </c>
      <c r="R3087" s="148" t="str">
        <f>IFERROR(__xludf.DUMMYFUNCTION("""COMPUTED_VALUE"""),"[""bag"",""13121090""]")</f>
        <v>["bag","13121090"]</v>
      </c>
      <c r="S3087" s="148" t="str">
        <f>IFERROR(__xludf.DUMMYFUNCTION("""COMPUTED_VALUE"""),"{""effect"":[{""typ"":""city_skin"",""id"":13121106,""val"":172800000},{""typ"":""item"",""id"":11111021,""val"":1}]}")</f>
        <v>{"effect":[{"typ":"city_skin","id":13121106,"val":172800000},{"typ":"item","id":11111021,"val":1}]}</v>
      </c>
      <c r="T3087" s="148">
        <f>IFERROR(__xludf.DUMMYFUNCTION("""COMPUTED_VALUE"""),-1.0)</f>
        <v>-1</v>
      </c>
      <c r="U3087" s="148">
        <f>IFERROR(__xludf.DUMMYFUNCTION("""COMPUTED_VALUE"""),0.0)</f>
        <v>0</v>
      </c>
      <c r="V3087" s="148" t="str">
        <f>IFERROR(__xludf.DUMMYFUNCTION("""COMPUTED_VALUE"""),"[]")</f>
        <v>[]</v>
      </c>
      <c r="W3087" s="148">
        <f>IFERROR(__xludf.DUMMYFUNCTION("""COMPUTED_VALUE"""),1.174E7)</f>
        <v>11740000</v>
      </c>
      <c r="X3087" s="148">
        <f>IFERROR(__xludf.DUMMYFUNCTION("""COMPUTED_VALUE"""),0.0)</f>
        <v>0</v>
      </c>
      <c r="Y3087" s="148">
        <f>IFERROR(__xludf.DUMMYFUNCTION("""COMPUTED_VALUE"""),0.0)</f>
        <v>0</v>
      </c>
      <c r="Z3087" s="148"/>
    </row>
    <row r="3088">
      <c r="A3088" s="148">
        <f>IFERROR(__xludf.DUMMYFUNCTION("""COMPUTED_VALUE"""),1.11110235E8)</f>
        <v>111110235</v>
      </c>
      <c r="B3088" s="148" t="str">
        <f>IFERROR(__xludf.DUMMYFUNCTION("""COMPUTED_VALUE"""),"主城皮肤-战地套2026-初级皮肤-7天")</f>
        <v>主城皮肤-战地套2026-初级皮肤-7天</v>
      </c>
      <c r="C3088" s="148"/>
      <c r="D3088" s="148" t="str">
        <f>IFERROR(__xludf.DUMMYFUNCTION("""COMPUTED_VALUE"""),"city_skin")</f>
        <v>city_skin</v>
      </c>
      <c r="E3088" s="148">
        <f>IFERROR(__xludf.DUMMYFUNCTION("""COMPUTED_VALUE"""),21.0)</f>
        <v>21</v>
      </c>
      <c r="F3088" s="148">
        <f>IFERROR(__xludf.DUMMYFUNCTION("""COMPUTED_VALUE"""),499951.0)</f>
        <v>499951</v>
      </c>
      <c r="G3088" s="148">
        <f>IFERROR(__xludf.DUMMYFUNCTION("""COMPUTED_VALUE"""),1.51104793E8)</f>
        <v>151104793</v>
      </c>
      <c r="H3088" s="148">
        <f>IFERROR(__xludf.DUMMYFUNCTION("""COMPUTED_VALUE"""),1.5112564E7)</f>
        <v>15112564</v>
      </c>
      <c r="I3088" s="148" t="str">
        <f>IFERROR(__xludf.DUMMYFUNCTION("""COMPUTED_VALUE"""),"{""typ"":""lc"",""txt"":""LC_ITEM_time_day_upper_show"",""args"":[{""typ"":""int"",""val"":7}]}")</f>
        <v>{"typ":"lc","txt":"LC_ITEM_time_day_upper_show","args":[{"typ":"int","val":7}]}</v>
      </c>
      <c r="J3088" s="148" t="str">
        <f>IFERROR(__xludf.DUMMYFUNCTION("""COMPUTED_VALUE"""),"{""typ"":""lc"",""txt"":""LC_ITEM_tech_2026_city_1_name_7day""}")</f>
        <v>{"typ":"lc","txt":"LC_ITEM_tech_2026_city_1_name_7day"}</v>
      </c>
      <c r="K3088" s="148" t="str">
        <f>IFERROR(__xludf.DUMMYFUNCTION("""COMPUTED_VALUE"""),"{""typ"":""lc"",""txt"":""LC_ITEM_tech_2026_city_1_desc_7day""}")</f>
        <v>{"typ":"lc","txt":"LC_ITEM_tech_2026_city_1_desc_7day"}</v>
      </c>
      <c r="L3088" s="148" t="str">
        <f>IFERROR(__xludf.DUMMYFUNCTION("""COMPUTED_VALUE"""),"{""typ"":""lc"",""txt"":""LC_ASSET_suit_actived_tips_1""}")</f>
        <v>{"typ":"lc","txt":"LC_ASSET_suit_actived_tips_1"}</v>
      </c>
      <c r="M3088" s="148">
        <f>IFERROR(__xludf.DUMMYFUNCTION("""COMPUTED_VALUE"""),10000.0)</f>
        <v>10000</v>
      </c>
      <c r="N3088" s="148">
        <f>IFERROR(__xludf.DUMMYFUNCTION("""COMPUTED_VALUE"""),999.0)</f>
        <v>999</v>
      </c>
      <c r="O3088" s="148">
        <f>IFERROR(__xludf.DUMMYFUNCTION("""COMPUTED_VALUE"""),1.0)</f>
        <v>1</v>
      </c>
      <c r="P3088" s="148">
        <f>IFERROR(__xludf.DUMMYFUNCTION("""COMPUTED_VALUE"""),1.0)</f>
        <v>1</v>
      </c>
      <c r="Q3088" s="148" t="str">
        <f>IFERROR(__xludf.DUMMYFUNCTION("""COMPUTED_VALUE"""),"[""bag_other""]")</f>
        <v>["bag_other"]</v>
      </c>
      <c r="R3088" s="148" t="str">
        <f>IFERROR(__xludf.DUMMYFUNCTION("""COMPUTED_VALUE"""),"[""bag"",""13121090""]")</f>
        <v>["bag","13121090"]</v>
      </c>
      <c r="S3088" s="148" t="str">
        <f>IFERROR(__xludf.DUMMYFUNCTION("""COMPUTED_VALUE"""),"{""effect"":[{""typ"":""city_skin"",""id"":13121106,""val"":604800000},{""typ"":""item"",""id"":11111021,""val"":3}]}")</f>
        <v>{"effect":[{"typ":"city_skin","id":13121106,"val":604800000},{"typ":"item","id":11111021,"val":3}]}</v>
      </c>
      <c r="T3088" s="148">
        <f>IFERROR(__xludf.DUMMYFUNCTION("""COMPUTED_VALUE"""),-1.0)</f>
        <v>-1</v>
      </c>
      <c r="U3088" s="148">
        <f>IFERROR(__xludf.DUMMYFUNCTION("""COMPUTED_VALUE"""),0.0)</f>
        <v>0</v>
      </c>
      <c r="V3088" s="148" t="str">
        <f>IFERROR(__xludf.DUMMYFUNCTION("""COMPUTED_VALUE"""),"[]")</f>
        <v>[]</v>
      </c>
      <c r="W3088" s="148">
        <f>IFERROR(__xludf.DUMMYFUNCTION("""COMPUTED_VALUE"""),1.174E7)</f>
        <v>11740000</v>
      </c>
      <c r="X3088" s="148">
        <f>IFERROR(__xludf.DUMMYFUNCTION("""COMPUTED_VALUE"""),0.0)</f>
        <v>0</v>
      </c>
      <c r="Y3088" s="148">
        <f>IFERROR(__xludf.DUMMYFUNCTION("""COMPUTED_VALUE"""),0.0)</f>
        <v>0</v>
      </c>
      <c r="Z3088" s="148"/>
    </row>
    <row r="3089">
      <c r="A3089" s="148">
        <f>IFERROR(__xludf.DUMMYFUNCTION("""COMPUTED_VALUE"""),1.11110236E8)</f>
        <v>111110236</v>
      </c>
      <c r="B3089" s="148" t="str">
        <f>IFERROR(__xludf.DUMMYFUNCTION("""COMPUTED_VALUE"""),"主城皮肤-战地套2026-初级皮肤-14天")</f>
        <v>主城皮肤-战地套2026-初级皮肤-14天</v>
      </c>
      <c r="C3089" s="148"/>
      <c r="D3089" s="148" t="str">
        <f>IFERROR(__xludf.DUMMYFUNCTION("""COMPUTED_VALUE"""),"city_skin")</f>
        <v>city_skin</v>
      </c>
      <c r="E3089" s="148">
        <f>IFERROR(__xludf.DUMMYFUNCTION("""COMPUTED_VALUE"""),21.0)</f>
        <v>21</v>
      </c>
      <c r="F3089" s="148">
        <f>IFERROR(__xludf.DUMMYFUNCTION("""COMPUTED_VALUE"""),499961.0)</f>
        <v>499961</v>
      </c>
      <c r="G3089" s="148">
        <f>IFERROR(__xludf.DUMMYFUNCTION("""COMPUTED_VALUE"""),1.51104793E8)</f>
        <v>151104793</v>
      </c>
      <c r="H3089" s="148">
        <f>IFERROR(__xludf.DUMMYFUNCTION("""COMPUTED_VALUE"""),1.5112564E7)</f>
        <v>15112564</v>
      </c>
      <c r="I3089" s="148" t="str">
        <f>IFERROR(__xludf.DUMMYFUNCTION("""COMPUTED_VALUE"""),"{""typ"":""lc"",""txt"":""LC_ITEM_time_day_upper_show"",""args"":[{""typ"":""int"",""val"":14}]}")</f>
        <v>{"typ":"lc","txt":"LC_ITEM_time_day_upper_show","args":[{"typ":"int","val":14}]}</v>
      </c>
      <c r="J3089" s="148" t="str">
        <f>IFERROR(__xludf.DUMMYFUNCTION("""COMPUTED_VALUE"""),"{""typ"":""lc"",""txt"":""LC_ITEM_tech_2026_city_1_name_14day""}")</f>
        <v>{"typ":"lc","txt":"LC_ITEM_tech_2026_city_1_name_14day"}</v>
      </c>
      <c r="K3089" s="148" t="str">
        <f>IFERROR(__xludf.DUMMYFUNCTION("""COMPUTED_VALUE"""),"{""typ"":""lc"",""txt"":""LC_ITEM_tech_2026_city_1_desc_14day""}")</f>
        <v>{"typ":"lc","txt":"LC_ITEM_tech_2026_city_1_desc_14day"}</v>
      </c>
      <c r="L3089" s="148" t="str">
        <f>IFERROR(__xludf.DUMMYFUNCTION("""COMPUTED_VALUE"""),"{""typ"":""lc"",""txt"":""LC_ASSET_suit_actived_tips_1""}")</f>
        <v>{"typ":"lc","txt":"LC_ASSET_suit_actived_tips_1"}</v>
      </c>
      <c r="M3089" s="148">
        <f>IFERROR(__xludf.DUMMYFUNCTION("""COMPUTED_VALUE"""),10000.0)</f>
        <v>10000</v>
      </c>
      <c r="N3089" s="148">
        <f>IFERROR(__xludf.DUMMYFUNCTION("""COMPUTED_VALUE"""),999.0)</f>
        <v>999</v>
      </c>
      <c r="O3089" s="148">
        <f>IFERROR(__xludf.DUMMYFUNCTION("""COMPUTED_VALUE"""),1.0)</f>
        <v>1</v>
      </c>
      <c r="P3089" s="148">
        <f>IFERROR(__xludf.DUMMYFUNCTION("""COMPUTED_VALUE"""),1.0)</f>
        <v>1</v>
      </c>
      <c r="Q3089" s="148" t="str">
        <f>IFERROR(__xludf.DUMMYFUNCTION("""COMPUTED_VALUE"""),"[""bag_other""]")</f>
        <v>["bag_other"]</v>
      </c>
      <c r="R3089" s="148" t="str">
        <f>IFERROR(__xludf.DUMMYFUNCTION("""COMPUTED_VALUE"""),"[""bag"",""13121090""]")</f>
        <v>["bag","13121090"]</v>
      </c>
      <c r="S3089" s="148" t="str">
        <f>IFERROR(__xludf.DUMMYFUNCTION("""COMPUTED_VALUE"""),"{""effect"":[{""typ"":""city_skin"",""id"":13121106,""val"":1209600000},{""typ"":""item"",""id"":11111021,""val"":7}]}")</f>
        <v>{"effect":[{"typ":"city_skin","id":13121106,"val":1209600000},{"typ":"item","id":11111021,"val":7}]}</v>
      </c>
      <c r="T3089" s="148">
        <f>IFERROR(__xludf.DUMMYFUNCTION("""COMPUTED_VALUE"""),-1.0)</f>
        <v>-1</v>
      </c>
      <c r="U3089" s="148">
        <f>IFERROR(__xludf.DUMMYFUNCTION("""COMPUTED_VALUE"""),0.0)</f>
        <v>0</v>
      </c>
      <c r="V3089" s="148" t="str">
        <f>IFERROR(__xludf.DUMMYFUNCTION("""COMPUTED_VALUE"""),"[]")</f>
        <v>[]</v>
      </c>
      <c r="W3089" s="148">
        <f>IFERROR(__xludf.DUMMYFUNCTION("""COMPUTED_VALUE"""),1.174E7)</f>
        <v>11740000</v>
      </c>
      <c r="X3089" s="148">
        <f>IFERROR(__xludf.DUMMYFUNCTION("""COMPUTED_VALUE"""),0.0)</f>
        <v>0</v>
      </c>
      <c r="Y3089" s="148">
        <f>IFERROR(__xludf.DUMMYFUNCTION("""COMPUTED_VALUE"""),0.0)</f>
        <v>0</v>
      </c>
      <c r="Z3089" s="148"/>
    </row>
    <row r="3090">
      <c r="A3090" s="148">
        <f>IFERROR(__xludf.DUMMYFUNCTION("""COMPUTED_VALUE"""),1.11110237E8)</f>
        <v>111110237</v>
      </c>
      <c r="B3090" s="148" t="str">
        <f>IFERROR(__xludf.DUMMYFUNCTION("""COMPUTED_VALUE"""),"主城皮肤-战地套2026高级皮肤")</f>
        <v>主城皮肤-战地套2026高级皮肤</v>
      </c>
      <c r="C3090" s="148"/>
      <c r="D3090" s="148" t="str">
        <f>IFERROR(__xludf.DUMMYFUNCTION("""COMPUTED_VALUE"""),"city_skin")</f>
        <v>city_skin</v>
      </c>
      <c r="E3090" s="148">
        <f>IFERROR(__xludf.DUMMYFUNCTION("""COMPUTED_VALUE"""),21.0)</f>
        <v>21</v>
      </c>
      <c r="F3090" s="148">
        <f>IFERROR(__xludf.DUMMYFUNCTION("""COMPUTED_VALUE"""),500000.0)</f>
        <v>500000</v>
      </c>
      <c r="G3090" s="148">
        <f>IFERROR(__xludf.DUMMYFUNCTION("""COMPUTED_VALUE"""),1.51104794E8)</f>
        <v>151104794</v>
      </c>
      <c r="H3090" s="148">
        <f>IFERROR(__xludf.DUMMYFUNCTION("""COMPUTED_VALUE"""),1.51101093E8)</f>
        <v>151101093</v>
      </c>
      <c r="I3090" s="148" t="str">
        <f>IFERROR(__xludf.DUMMYFUNCTION("""COMPUTED_VALUE"""),"{}")</f>
        <v>{}</v>
      </c>
      <c r="J3090" s="148" t="str">
        <f>IFERROR(__xludf.DUMMYFUNCTION("""COMPUTED_VALUE"""),"{""typ"":""lc"",""txt"":""LC_ITEM_tech_2026_city_2_name""}")</f>
        <v>{"typ":"lc","txt":"LC_ITEM_tech_2026_city_2_name"}</v>
      </c>
      <c r="K3090" s="148" t="str">
        <f>IFERROR(__xludf.DUMMYFUNCTION("""COMPUTED_VALUE"""),"{""typ"":""lc"",""txt"":""LC_ITEM_tech_2026_city_2_desc""}")</f>
        <v>{"typ":"lc","txt":"LC_ITEM_tech_2026_city_2_desc"}</v>
      </c>
      <c r="L3090" s="148" t="str">
        <f>IFERROR(__xludf.DUMMYFUNCTION("""COMPUTED_VALUE"""),"{""typ"":""lc"",""txt"":""LC_ASSET_suit_actived_tips_1""}")</f>
        <v>{"typ":"lc","txt":"LC_ASSET_suit_actived_tips_1"}</v>
      </c>
      <c r="M3090" s="148">
        <f>IFERROR(__xludf.DUMMYFUNCTION("""COMPUTED_VALUE"""),10000.0)</f>
        <v>10000</v>
      </c>
      <c r="N3090" s="148">
        <f>IFERROR(__xludf.DUMMYFUNCTION("""COMPUTED_VALUE"""),999.0)</f>
        <v>999</v>
      </c>
      <c r="O3090" s="148">
        <f>IFERROR(__xludf.DUMMYFUNCTION("""COMPUTED_VALUE"""),1.0)</f>
        <v>1</v>
      </c>
      <c r="P3090" s="148">
        <f>IFERROR(__xludf.DUMMYFUNCTION("""COMPUTED_VALUE"""),1.0)</f>
        <v>1</v>
      </c>
      <c r="Q3090" s="148" t="str">
        <f>IFERROR(__xludf.DUMMYFUNCTION("""COMPUTED_VALUE"""),"[""bag_other""]")</f>
        <v>["bag_other"]</v>
      </c>
      <c r="R3090" s="148" t="str">
        <f>IFERROR(__xludf.DUMMYFUNCTION("""COMPUTED_VALUE"""),"[""bag"",""13121091""]")</f>
        <v>["bag","13121091"]</v>
      </c>
      <c r="S3090" s="148" t="str">
        <f>IFERROR(__xludf.DUMMYFUNCTION("""COMPUTED_VALUE"""),"{""effect"":[{""typ"":""city_skin"",""id"":13121107,""val"":-1},{""typ"":""item"",""id"":11112030,""val"":10000}]}")</f>
        <v>{"effect":[{"typ":"city_skin","id":13121107,"val":-1},{"typ":"item","id":11112030,"val":10000}]}</v>
      </c>
      <c r="T3090" s="148">
        <f>IFERROR(__xludf.DUMMYFUNCTION("""COMPUTED_VALUE"""),-1.0)</f>
        <v>-1</v>
      </c>
      <c r="U3090" s="148">
        <f>IFERROR(__xludf.DUMMYFUNCTION("""COMPUTED_VALUE"""),0.0)</f>
        <v>0</v>
      </c>
      <c r="V3090" s="148" t="str">
        <f>IFERROR(__xludf.DUMMYFUNCTION("""COMPUTED_VALUE"""),"[]")</f>
        <v>[]</v>
      </c>
      <c r="W3090" s="148">
        <f>IFERROR(__xludf.DUMMYFUNCTION("""COMPUTED_VALUE"""),1.174E7)</f>
        <v>11740000</v>
      </c>
      <c r="X3090" s="148">
        <f>IFERROR(__xludf.DUMMYFUNCTION("""COMPUTED_VALUE"""),0.0)</f>
        <v>0</v>
      </c>
      <c r="Y3090" s="148">
        <f>IFERROR(__xludf.DUMMYFUNCTION("""COMPUTED_VALUE"""),0.0)</f>
        <v>0</v>
      </c>
      <c r="Z3090" s="148"/>
    </row>
    <row r="3091">
      <c r="A3091" s="148">
        <f>IFERROR(__xludf.DUMMYFUNCTION("""COMPUTED_VALUE"""),1.11110238E8)</f>
        <v>111110238</v>
      </c>
      <c r="B3091" s="148" t="str">
        <f>IFERROR(__xludf.DUMMYFUNCTION("""COMPUTED_VALUE"""),"主城皮肤-战地套2026高级皮肤-7天")</f>
        <v>主城皮肤-战地套2026高级皮肤-7天</v>
      </c>
      <c r="C3091" s="148"/>
      <c r="D3091" s="148" t="str">
        <f>IFERROR(__xludf.DUMMYFUNCTION("""COMPUTED_VALUE"""),"city_skin")</f>
        <v>city_skin</v>
      </c>
      <c r="E3091" s="148">
        <f>IFERROR(__xludf.DUMMYFUNCTION("""COMPUTED_VALUE"""),21.0)</f>
        <v>21</v>
      </c>
      <c r="F3091" s="148">
        <f>IFERROR(__xludf.DUMMYFUNCTION("""COMPUTED_VALUE"""),499993.0)</f>
        <v>499993</v>
      </c>
      <c r="G3091" s="148">
        <f>IFERROR(__xludf.DUMMYFUNCTION("""COMPUTED_VALUE"""),1.51104794E8)</f>
        <v>151104794</v>
      </c>
      <c r="H3091" s="148">
        <f>IFERROR(__xludf.DUMMYFUNCTION("""COMPUTED_VALUE"""),1.5112564E7)</f>
        <v>15112564</v>
      </c>
      <c r="I3091" s="148" t="str">
        <f>IFERROR(__xludf.DUMMYFUNCTION("""COMPUTED_VALUE"""),"{""typ"":""lc"",""txt"":""LC_ITEM_time_day_upper_show"",""args"":[{""typ"":""int"",""val"":7}]}")</f>
        <v>{"typ":"lc","txt":"LC_ITEM_time_day_upper_show","args":[{"typ":"int","val":7}]}</v>
      </c>
      <c r="J3091" s="148" t="str">
        <f>IFERROR(__xludf.DUMMYFUNCTION("""COMPUTED_VALUE"""),"{""typ"":""lc"",""txt"":""LC_ITEM_tech_2026_city_2_name_7day""}")</f>
        <v>{"typ":"lc","txt":"LC_ITEM_tech_2026_city_2_name_7day"}</v>
      </c>
      <c r="K3091" s="148" t="str">
        <f>IFERROR(__xludf.DUMMYFUNCTION("""COMPUTED_VALUE"""),"{""typ"":""lc"",""txt"":""LC_ITEM_tech_2026_city_2_desc_7day""}")</f>
        <v>{"typ":"lc","txt":"LC_ITEM_tech_2026_city_2_desc_7day"}</v>
      </c>
      <c r="L3091" s="148" t="str">
        <f>IFERROR(__xludf.DUMMYFUNCTION("""COMPUTED_VALUE"""),"{""typ"":""lc"",""txt"":""LC_ASSET_suit_actived_tips_1""}")</f>
        <v>{"typ":"lc","txt":"LC_ASSET_suit_actived_tips_1"}</v>
      </c>
      <c r="M3091" s="148">
        <f>IFERROR(__xludf.DUMMYFUNCTION("""COMPUTED_VALUE"""),10000.0)</f>
        <v>10000</v>
      </c>
      <c r="N3091" s="148">
        <f>IFERROR(__xludf.DUMMYFUNCTION("""COMPUTED_VALUE"""),999.0)</f>
        <v>999</v>
      </c>
      <c r="O3091" s="148">
        <f>IFERROR(__xludf.DUMMYFUNCTION("""COMPUTED_VALUE"""),1.0)</f>
        <v>1</v>
      </c>
      <c r="P3091" s="148">
        <f>IFERROR(__xludf.DUMMYFUNCTION("""COMPUTED_VALUE"""),1.0)</f>
        <v>1</v>
      </c>
      <c r="Q3091" s="148" t="str">
        <f>IFERROR(__xludf.DUMMYFUNCTION("""COMPUTED_VALUE"""),"[""bag_other""]")</f>
        <v>["bag_other"]</v>
      </c>
      <c r="R3091" s="148" t="str">
        <f>IFERROR(__xludf.DUMMYFUNCTION("""COMPUTED_VALUE"""),"[""bag"",""13121091""]")</f>
        <v>["bag","13121091"]</v>
      </c>
      <c r="S3091" s="148" t="str">
        <f>IFERROR(__xludf.DUMMYFUNCTION("""COMPUTED_VALUE"""),"{""effect"":[{""typ"":""city_skin"",""id"":13121107,""val"":604800000},{""typ"":""item"",""id"":11111021,""val"":3}]}")</f>
        <v>{"effect":[{"typ":"city_skin","id":13121107,"val":604800000},{"typ":"item","id":11111021,"val":3}]}</v>
      </c>
      <c r="T3091" s="148">
        <f>IFERROR(__xludf.DUMMYFUNCTION("""COMPUTED_VALUE"""),-1.0)</f>
        <v>-1</v>
      </c>
      <c r="U3091" s="148">
        <f>IFERROR(__xludf.DUMMYFUNCTION("""COMPUTED_VALUE"""),0.0)</f>
        <v>0</v>
      </c>
      <c r="V3091" s="148" t="str">
        <f>IFERROR(__xludf.DUMMYFUNCTION("""COMPUTED_VALUE"""),"[]")</f>
        <v>[]</v>
      </c>
      <c r="W3091" s="148">
        <f>IFERROR(__xludf.DUMMYFUNCTION("""COMPUTED_VALUE"""),1.174E7)</f>
        <v>11740000</v>
      </c>
      <c r="X3091" s="148">
        <f>IFERROR(__xludf.DUMMYFUNCTION("""COMPUTED_VALUE"""),0.0)</f>
        <v>0</v>
      </c>
      <c r="Y3091" s="148">
        <f>IFERROR(__xludf.DUMMYFUNCTION("""COMPUTED_VALUE"""),0.0)</f>
        <v>0</v>
      </c>
      <c r="Z3091" s="148"/>
    </row>
    <row r="3092">
      <c r="A3092" s="148">
        <f>IFERROR(__xludf.DUMMYFUNCTION("""COMPUTED_VALUE"""),1.11110239E8)</f>
        <v>111110239</v>
      </c>
      <c r="B3092" s="148" t="str">
        <f>IFERROR(__xludf.DUMMYFUNCTION("""COMPUTED_VALUE"""),"主城皮肤-战地套2026高级皮肤-14天")</f>
        <v>主城皮肤-战地套2026高级皮肤-14天</v>
      </c>
      <c r="C3092" s="148"/>
      <c r="D3092" s="148" t="str">
        <f>IFERROR(__xludf.DUMMYFUNCTION("""COMPUTED_VALUE"""),"city_skin")</f>
        <v>city_skin</v>
      </c>
      <c r="E3092" s="148">
        <f>IFERROR(__xludf.DUMMYFUNCTION("""COMPUTED_VALUE"""),21.0)</f>
        <v>21</v>
      </c>
      <c r="F3092" s="148">
        <f>IFERROR(__xludf.DUMMYFUNCTION("""COMPUTED_VALUE"""),499994.0)</f>
        <v>499994</v>
      </c>
      <c r="G3092" s="148">
        <f>IFERROR(__xludf.DUMMYFUNCTION("""COMPUTED_VALUE"""),1.51104794E8)</f>
        <v>151104794</v>
      </c>
      <c r="H3092" s="148">
        <f>IFERROR(__xludf.DUMMYFUNCTION("""COMPUTED_VALUE"""),1.5112564E7)</f>
        <v>15112564</v>
      </c>
      <c r="I3092" s="148" t="str">
        <f>IFERROR(__xludf.DUMMYFUNCTION("""COMPUTED_VALUE"""),"{""typ"":""lc"",""txt"":""LC_ITEM_time_day_upper_show"",""args"":[{""typ"":""int"",""val"":14}]}")</f>
        <v>{"typ":"lc","txt":"LC_ITEM_time_day_upper_show","args":[{"typ":"int","val":14}]}</v>
      </c>
      <c r="J3092" s="148" t="str">
        <f>IFERROR(__xludf.DUMMYFUNCTION("""COMPUTED_VALUE"""),"{""typ"":""lc"",""txt"":""LC_ITEM_tech_2026_city_2_name_14day""}")</f>
        <v>{"typ":"lc","txt":"LC_ITEM_tech_2026_city_2_name_14day"}</v>
      </c>
      <c r="K3092" s="148" t="str">
        <f>IFERROR(__xludf.DUMMYFUNCTION("""COMPUTED_VALUE"""),"{""typ"":""lc"",""txt"":""LC_ITEM_tech_2026_city_2_desc_14day""}")</f>
        <v>{"typ":"lc","txt":"LC_ITEM_tech_2026_city_2_desc_14day"}</v>
      </c>
      <c r="L3092" s="148" t="str">
        <f>IFERROR(__xludf.DUMMYFUNCTION("""COMPUTED_VALUE"""),"{""typ"":""lc"",""txt"":""LC_ASSET_suit_actived_tips_1""}")</f>
        <v>{"typ":"lc","txt":"LC_ASSET_suit_actived_tips_1"}</v>
      </c>
      <c r="M3092" s="148">
        <f>IFERROR(__xludf.DUMMYFUNCTION("""COMPUTED_VALUE"""),10000.0)</f>
        <v>10000</v>
      </c>
      <c r="N3092" s="148">
        <f>IFERROR(__xludf.DUMMYFUNCTION("""COMPUTED_VALUE"""),999.0)</f>
        <v>999</v>
      </c>
      <c r="O3092" s="148">
        <f>IFERROR(__xludf.DUMMYFUNCTION("""COMPUTED_VALUE"""),1.0)</f>
        <v>1</v>
      </c>
      <c r="P3092" s="148">
        <f>IFERROR(__xludf.DUMMYFUNCTION("""COMPUTED_VALUE"""),1.0)</f>
        <v>1</v>
      </c>
      <c r="Q3092" s="148" t="str">
        <f>IFERROR(__xludf.DUMMYFUNCTION("""COMPUTED_VALUE"""),"[""bag_other""]")</f>
        <v>["bag_other"]</v>
      </c>
      <c r="R3092" s="148" t="str">
        <f>IFERROR(__xludf.DUMMYFUNCTION("""COMPUTED_VALUE"""),"[""bag"",""13121091""]")</f>
        <v>["bag","13121091"]</v>
      </c>
      <c r="S3092" s="148" t="str">
        <f>IFERROR(__xludf.DUMMYFUNCTION("""COMPUTED_VALUE"""),"{""effect"":[{""typ"":""city_skin"",""id"":13121107,""val"":1209600000},{""typ"":""item"",""id"":11111021,""val"":7}]}")</f>
        <v>{"effect":[{"typ":"city_skin","id":13121107,"val":1209600000},{"typ":"item","id":11111021,"val":7}]}</v>
      </c>
      <c r="T3092" s="148">
        <f>IFERROR(__xludf.DUMMYFUNCTION("""COMPUTED_VALUE"""),-1.0)</f>
        <v>-1</v>
      </c>
      <c r="U3092" s="148">
        <f>IFERROR(__xludf.DUMMYFUNCTION("""COMPUTED_VALUE"""),0.0)</f>
        <v>0</v>
      </c>
      <c r="V3092" s="148" t="str">
        <f>IFERROR(__xludf.DUMMYFUNCTION("""COMPUTED_VALUE"""),"[]")</f>
        <v>[]</v>
      </c>
      <c r="W3092" s="148">
        <f>IFERROR(__xludf.DUMMYFUNCTION("""COMPUTED_VALUE"""),1.174E7)</f>
        <v>11740000</v>
      </c>
      <c r="X3092" s="148">
        <f>IFERROR(__xludf.DUMMYFUNCTION("""COMPUTED_VALUE"""),0.0)</f>
        <v>0</v>
      </c>
      <c r="Y3092" s="148">
        <f>IFERROR(__xludf.DUMMYFUNCTION("""COMPUTED_VALUE"""),0.0)</f>
        <v>0</v>
      </c>
      <c r="Z3092" s="148"/>
    </row>
    <row r="3093">
      <c r="A3093" s="148">
        <f>IFERROR(__xludf.DUMMYFUNCTION("""COMPUTED_VALUE"""),1.1111024E8)</f>
        <v>111110240</v>
      </c>
      <c r="B3093" s="148" t="str">
        <f>IFERROR(__xludf.DUMMYFUNCTION("""COMPUTED_VALUE"""),"主城皮肤-战地套2026高级皮肤-28天")</f>
        <v>主城皮肤-战地套2026高级皮肤-28天</v>
      </c>
      <c r="C3093" s="148"/>
      <c r="D3093" s="148" t="str">
        <f>IFERROR(__xludf.DUMMYFUNCTION("""COMPUTED_VALUE"""),"city_skin")</f>
        <v>city_skin</v>
      </c>
      <c r="E3093" s="148">
        <f>IFERROR(__xludf.DUMMYFUNCTION("""COMPUTED_VALUE"""),21.0)</f>
        <v>21</v>
      </c>
      <c r="F3093" s="148">
        <f>IFERROR(__xludf.DUMMYFUNCTION("""COMPUTED_VALUE"""),499995.0)</f>
        <v>499995</v>
      </c>
      <c r="G3093" s="148">
        <f>IFERROR(__xludf.DUMMYFUNCTION("""COMPUTED_VALUE"""),1.51104794E8)</f>
        <v>151104794</v>
      </c>
      <c r="H3093" s="148">
        <f>IFERROR(__xludf.DUMMYFUNCTION("""COMPUTED_VALUE"""),1.5112564E7)</f>
        <v>15112564</v>
      </c>
      <c r="I3093" s="148" t="str">
        <f>IFERROR(__xludf.DUMMYFUNCTION("""COMPUTED_VALUE"""),"{""typ"":""lc"",""txt"":""LC_ITEM_time_day_upper_show"",""args"":[{""typ"":""int"",""val"":28}]}")</f>
        <v>{"typ":"lc","txt":"LC_ITEM_time_day_upper_show","args":[{"typ":"int","val":28}]}</v>
      </c>
      <c r="J3093" s="148" t="str">
        <f>IFERROR(__xludf.DUMMYFUNCTION("""COMPUTED_VALUE"""),"{""typ"":""lc"",""txt"":""LC_ITEM_tech_2026_city_2_name_28day""}")</f>
        <v>{"typ":"lc","txt":"LC_ITEM_tech_2026_city_2_name_28day"}</v>
      </c>
      <c r="K3093" s="148" t="str">
        <f>IFERROR(__xludf.DUMMYFUNCTION("""COMPUTED_VALUE"""),"{""typ"":""lc"",""txt"":""LC_ITEM_tech_2026_city_2_desc_28day""}")</f>
        <v>{"typ":"lc","txt":"LC_ITEM_tech_2026_city_2_desc_28day"}</v>
      </c>
      <c r="L3093" s="148" t="str">
        <f>IFERROR(__xludf.DUMMYFUNCTION("""COMPUTED_VALUE"""),"{""typ"":""lc"",""txt"":""LC_ASSET_suit_actived_tips_1""}")</f>
        <v>{"typ":"lc","txt":"LC_ASSET_suit_actived_tips_1"}</v>
      </c>
      <c r="M3093" s="148">
        <f>IFERROR(__xludf.DUMMYFUNCTION("""COMPUTED_VALUE"""),10000.0)</f>
        <v>10000</v>
      </c>
      <c r="N3093" s="148">
        <f>IFERROR(__xludf.DUMMYFUNCTION("""COMPUTED_VALUE"""),999.0)</f>
        <v>999</v>
      </c>
      <c r="O3093" s="148">
        <f>IFERROR(__xludf.DUMMYFUNCTION("""COMPUTED_VALUE"""),1.0)</f>
        <v>1</v>
      </c>
      <c r="P3093" s="148">
        <f>IFERROR(__xludf.DUMMYFUNCTION("""COMPUTED_VALUE"""),1.0)</f>
        <v>1</v>
      </c>
      <c r="Q3093" s="148" t="str">
        <f>IFERROR(__xludf.DUMMYFUNCTION("""COMPUTED_VALUE"""),"[""bag_other""]")</f>
        <v>["bag_other"]</v>
      </c>
      <c r="R3093" s="148" t="str">
        <f>IFERROR(__xludf.DUMMYFUNCTION("""COMPUTED_VALUE"""),"[""bag"",""13121091""]")</f>
        <v>["bag","13121091"]</v>
      </c>
      <c r="S3093" s="148" t="str">
        <f>IFERROR(__xludf.DUMMYFUNCTION("""COMPUTED_VALUE"""),"{""effect"":[{""typ"":""city_skin"",""id"":13121107,""val"":2419200000},{""typ"":""item"",""id"":11111021,""val"":15}]}")</f>
        <v>{"effect":[{"typ":"city_skin","id":13121107,"val":2419200000},{"typ":"item","id":11111021,"val":15}]}</v>
      </c>
      <c r="T3093" s="148">
        <f>IFERROR(__xludf.DUMMYFUNCTION("""COMPUTED_VALUE"""),-1.0)</f>
        <v>-1</v>
      </c>
      <c r="U3093" s="148">
        <f>IFERROR(__xludf.DUMMYFUNCTION("""COMPUTED_VALUE"""),0.0)</f>
        <v>0</v>
      </c>
      <c r="V3093" s="148" t="str">
        <f>IFERROR(__xludf.DUMMYFUNCTION("""COMPUTED_VALUE"""),"[]")</f>
        <v>[]</v>
      </c>
      <c r="W3093" s="148">
        <f>IFERROR(__xludf.DUMMYFUNCTION("""COMPUTED_VALUE"""),1.174E7)</f>
        <v>11740000</v>
      </c>
      <c r="X3093" s="148">
        <f>IFERROR(__xludf.DUMMYFUNCTION("""COMPUTED_VALUE"""),0.0)</f>
        <v>0</v>
      </c>
      <c r="Y3093" s="148">
        <f>IFERROR(__xludf.DUMMYFUNCTION("""COMPUTED_VALUE"""),0.0)</f>
        <v>0</v>
      </c>
      <c r="Z3093" s="148"/>
    </row>
    <row r="3094">
      <c r="A3094" s="148">
        <f>IFERROR(__xludf.DUMMYFUNCTION("""COMPUTED_VALUE"""),1.11110241E8)</f>
        <v>111110241</v>
      </c>
      <c r="B3094" s="148" t="str">
        <f>IFERROR(__xludf.DUMMYFUNCTION("""COMPUTED_VALUE"""),"战地套2026-主城机器人-巡逻卫士")</f>
        <v>战地套2026-主城机器人-巡逻卫士</v>
      </c>
      <c r="C3094" s="148"/>
      <c r="D3094" s="148" t="str">
        <f>IFERROR(__xludf.DUMMYFUNCTION("""COMPUTED_VALUE"""),"city_suit_decoration")</f>
        <v>city_suit_decoration</v>
      </c>
      <c r="E3094" s="148">
        <f>IFERROR(__xludf.DUMMYFUNCTION("""COMPUTED_VALUE"""),0.0)</f>
        <v>0</v>
      </c>
      <c r="F3094" s="148">
        <f>IFERROR(__xludf.DUMMYFUNCTION("""COMPUTED_VALUE"""),499997.0)</f>
        <v>499997</v>
      </c>
      <c r="G3094" s="148">
        <f>IFERROR(__xludf.DUMMYFUNCTION("""COMPUTED_VALUE"""),1.5110479E8)</f>
        <v>151104790</v>
      </c>
      <c r="H3094" s="148">
        <f>IFERROR(__xludf.DUMMYFUNCTION("""COMPUTED_VALUE"""),1.5115983E7)</f>
        <v>15115983</v>
      </c>
      <c r="I3094" s="148" t="str">
        <f>IFERROR(__xludf.DUMMYFUNCTION("""COMPUTED_VALUE"""),"{}")</f>
        <v>{}</v>
      </c>
      <c r="J3094" s="148" t="str">
        <f>IFERROR(__xludf.DUMMYFUNCTION("""COMPUTED_VALUE"""),"{""typ"":""lc"",""txt"":""LC_ITEM_tech_2026_city_wing_name""}")</f>
        <v>{"typ":"lc","txt":"LC_ITEM_tech_2026_city_wing_name"}</v>
      </c>
      <c r="K3094" s="148" t="str">
        <f>IFERROR(__xludf.DUMMYFUNCTION("""COMPUTED_VALUE"""),"{""typ"":""lc"",""txt"":""LC_ITEM_tech_2026_city_wing_desc""}")</f>
        <v>{"typ":"lc","txt":"LC_ITEM_tech_2026_city_wing_desc"}</v>
      </c>
      <c r="L3094" s="148" t="str">
        <f>IFERROR(__xludf.DUMMYFUNCTION("""COMPUTED_VALUE"""),"{""typ"":""lc"",""txt"":""LC_ASSET_suit_actived_tips_1""}")</f>
        <v>{"typ":"lc","txt":"LC_ASSET_suit_actived_tips_1"}</v>
      </c>
      <c r="M3094" s="148">
        <f>IFERROR(__xludf.DUMMYFUNCTION("""COMPUTED_VALUE"""),10000.0)</f>
        <v>10000</v>
      </c>
      <c r="N3094" s="148">
        <f>IFERROR(__xludf.DUMMYFUNCTION("""COMPUTED_VALUE"""),999999.0)</f>
        <v>999999</v>
      </c>
      <c r="O3094" s="148">
        <f>IFERROR(__xludf.DUMMYFUNCTION("""COMPUTED_VALUE"""),99999.0)</f>
        <v>99999</v>
      </c>
      <c r="P3094" s="148">
        <f>IFERROR(__xludf.DUMMYFUNCTION("""COMPUTED_VALUE"""),1.0)</f>
        <v>1</v>
      </c>
      <c r="Q3094" s="148" t="str">
        <f>IFERROR(__xludf.DUMMYFUNCTION("""COMPUTED_VALUE"""),"[""bag_other""]")</f>
        <v>["bag_other"]</v>
      </c>
      <c r="R3094" s="148" t="str">
        <f>IFERROR(__xludf.DUMMYFUNCTION("""COMPUTED_VALUE"""),"[""bag"",""13881010""]")</f>
        <v>["bag","13881010"]</v>
      </c>
      <c r="S3094" s="148" t="str">
        <f>IFERROR(__xludf.DUMMYFUNCTION("""COMPUTED_VALUE"""),"{""effect"":[{""typ"":""city_suit_decoration"",""id"":13881010,""val"":-1},{""typ"":""item"",""id"":11111034,""val"":10}]}")</f>
        <v>{"effect":[{"typ":"city_suit_decoration","id":13881010,"val":-1},{"typ":"item","id":11111034,"val":10}]}</v>
      </c>
      <c r="T3094" s="148">
        <f>IFERROR(__xludf.DUMMYFUNCTION("""COMPUTED_VALUE"""),-1.0)</f>
        <v>-1</v>
      </c>
      <c r="U3094" s="148">
        <f>IFERROR(__xludf.DUMMYFUNCTION("""COMPUTED_VALUE"""),0.0)</f>
        <v>0</v>
      </c>
      <c r="V3094" s="148" t="str">
        <f>IFERROR(__xludf.DUMMYFUNCTION("""COMPUTED_VALUE"""),"[]")</f>
        <v>[]</v>
      </c>
      <c r="W3094" s="148">
        <f>IFERROR(__xludf.DUMMYFUNCTION("""COMPUTED_VALUE"""),1.174E7)</f>
        <v>11740000</v>
      </c>
      <c r="X3094" s="148">
        <f>IFERROR(__xludf.DUMMYFUNCTION("""COMPUTED_VALUE"""),0.0)</f>
        <v>0</v>
      </c>
      <c r="Y3094" s="148">
        <f>IFERROR(__xludf.DUMMYFUNCTION("""COMPUTED_VALUE"""),0.0)</f>
        <v>0</v>
      </c>
      <c r="Z3094" s="148"/>
    </row>
    <row r="3095">
      <c r="A3095" s="148">
        <f>IFERROR(__xludf.DUMMYFUNCTION("""COMPUTED_VALUE"""),1.11110242E8)</f>
        <v>111110242</v>
      </c>
      <c r="B3095" s="148" t="str">
        <f>IFERROR(__xludf.DUMMYFUNCTION("""COMPUTED_VALUE"""),"主城机器人-战地套2026-2天")</f>
        <v>主城机器人-战地套2026-2天</v>
      </c>
      <c r="C3095" s="148"/>
      <c r="D3095" s="148" t="str">
        <f>IFERROR(__xludf.DUMMYFUNCTION("""COMPUTED_VALUE"""),"city_suit_decoration")</f>
        <v>city_suit_decoration</v>
      </c>
      <c r="E3095" s="148">
        <f>IFERROR(__xludf.DUMMYFUNCTION("""COMPUTED_VALUE"""),21.0)</f>
        <v>21</v>
      </c>
      <c r="F3095" s="148">
        <f>IFERROR(__xludf.DUMMYFUNCTION("""COMPUTED_VALUE"""),499971.0)</f>
        <v>499971</v>
      </c>
      <c r="G3095" s="148">
        <f>IFERROR(__xludf.DUMMYFUNCTION("""COMPUTED_VALUE"""),1.5110479E8)</f>
        <v>151104790</v>
      </c>
      <c r="H3095" s="148">
        <f>IFERROR(__xludf.DUMMYFUNCTION("""COMPUTED_VALUE"""),1.5112563E7)</f>
        <v>15112563</v>
      </c>
      <c r="I3095" s="148" t="str">
        <f>IFERROR(__xludf.DUMMYFUNCTION("""COMPUTED_VALUE"""),"{""typ"":""lc"",""txt"":""LC_ITEM_time_day_upper_show"",""args"":[{""typ"":""int"",""val"":2}]}")</f>
        <v>{"typ":"lc","txt":"LC_ITEM_time_day_upper_show","args":[{"typ":"int","val":2}]}</v>
      </c>
      <c r="J3095" s="148" t="str">
        <f>IFERROR(__xludf.DUMMYFUNCTION("""COMPUTED_VALUE"""),"{""typ"":""lc"",""txt"":""LC_ITEM_tech_2026_city_wing_name_2day""}")</f>
        <v>{"typ":"lc","txt":"LC_ITEM_tech_2026_city_wing_name_2day"}</v>
      </c>
      <c r="K3095" s="148" t="str">
        <f>IFERROR(__xludf.DUMMYFUNCTION("""COMPUTED_VALUE"""),"{""typ"":""lc"",""txt"":""LC_ITEM_tech_2026_city_wing_desc_2day""}")</f>
        <v>{"typ":"lc","txt":"LC_ITEM_tech_2026_city_wing_desc_2day"}</v>
      </c>
      <c r="L3095" s="148" t="str">
        <f>IFERROR(__xludf.DUMMYFUNCTION("""COMPUTED_VALUE"""),"{""typ"":""lc"",""txt"":""LC_ASSET_suit_actived_tips_1""}")</f>
        <v>{"typ":"lc","txt":"LC_ASSET_suit_actived_tips_1"}</v>
      </c>
      <c r="M3095" s="148">
        <f>IFERROR(__xludf.DUMMYFUNCTION("""COMPUTED_VALUE"""),500.0)</f>
        <v>500</v>
      </c>
      <c r="N3095" s="148">
        <f>IFERROR(__xludf.DUMMYFUNCTION("""COMPUTED_VALUE"""),999.0)</f>
        <v>999</v>
      </c>
      <c r="O3095" s="148">
        <f>IFERROR(__xludf.DUMMYFUNCTION("""COMPUTED_VALUE"""),1.0)</f>
        <v>1</v>
      </c>
      <c r="P3095" s="148">
        <f>IFERROR(__xludf.DUMMYFUNCTION("""COMPUTED_VALUE"""),1.0)</f>
        <v>1</v>
      </c>
      <c r="Q3095" s="148" t="str">
        <f>IFERROR(__xludf.DUMMYFUNCTION("""COMPUTED_VALUE"""),"[""bag_other""]")</f>
        <v>["bag_other"]</v>
      </c>
      <c r="R3095" s="148" t="str">
        <f>IFERROR(__xludf.DUMMYFUNCTION("""COMPUTED_VALUE"""),"[""bag"",""13881010""]")</f>
        <v>["bag","13881010"]</v>
      </c>
      <c r="S3095" s="148" t="str">
        <f>IFERROR(__xludf.DUMMYFUNCTION("""COMPUTED_VALUE"""),"{""effect"":[{""typ"":""city_suit_decoration"",""id"":13881010,""val"":172800000},{""typ"":""item"",""id"":11111021,""val"":1}]}")</f>
        <v>{"effect":[{"typ":"city_suit_decoration","id":13881010,"val":172800000},{"typ":"item","id":11111021,"val":1}]}</v>
      </c>
      <c r="T3095" s="148">
        <f>IFERROR(__xludf.DUMMYFUNCTION("""COMPUTED_VALUE"""),-1.0)</f>
        <v>-1</v>
      </c>
      <c r="U3095" s="148">
        <f>IFERROR(__xludf.DUMMYFUNCTION("""COMPUTED_VALUE"""),0.0)</f>
        <v>0</v>
      </c>
      <c r="V3095" s="148" t="str">
        <f>IFERROR(__xludf.DUMMYFUNCTION("""COMPUTED_VALUE"""),"[]")</f>
        <v>[]</v>
      </c>
      <c r="W3095" s="148">
        <f>IFERROR(__xludf.DUMMYFUNCTION("""COMPUTED_VALUE"""),1.174E7)</f>
        <v>11740000</v>
      </c>
      <c r="X3095" s="148">
        <f>IFERROR(__xludf.DUMMYFUNCTION("""COMPUTED_VALUE"""),0.0)</f>
        <v>0</v>
      </c>
      <c r="Y3095" s="148">
        <f>IFERROR(__xludf.DUMMYFUNCTION("""COMPUTED_VALUE"""),0.0)</f>
        <v>0</v>
      </c>
      <c r="Z3095" s="148"/>
    </row>
    <row r="3096">
      <c r="A3096" s="148">
        <f>IFERROR(__xludf.DUMMYFUNCTION("""COMPUTED_VALUE"""),1.11110243E8)</f>
        <v>111110243</v>
      </c>
      <c r="B3096" s="148" t="str">
        <f>IFERROR(__xludf.DUMMYFUNCTION("""COMPUTED_VALUE"""),"主城机器人-战地套2026-7天")</f>
        <v>主城机器人-战地套2026-7天</v>
      </c>
      <c r="C3096" s="148"/>
      <c r="D3096" s="148" t="str">
        <f>IFERROR(__xludf.DUMMYFUNCTION("""COMPUTED_VALUE"""),"city_suit_decoration")</f>
        <v>city_suit_decoration</v>
      </c>
      <c r="E3096" s="148">
        <f>IFERROR(__xludf.DUMMYFUNCTION("""COMPUTED_VALUE"""),21.0)</f>
        <v>21</v>
      </c>
      <c r="F3096" s="148">
        <f>IFERROR(__xludf.DUMMYFUNCTION("""COMPUTED_VALUE"""),499981.0)</f>
        <v>499981</v>
      </c>
      <c r="G3096" s="148">
        <f>IFERROR(__xludf.DUMMYFUNCTION("""COMPUTED_VALUE"""),1.5110479E8)</f>
        <v>151104790</v>
      </c>
      <c r="H3096" s="148">
        <f>IFERROR(__xludf.DUMMYFUNCTION("""COMPUTED_VALUE"""),1.5112564E7)</f>
        <v>15112564</v>
      </c>
      <c r="I3096" s="148" t="str">
        <f>IFERROR(__xludf.DUMMYFUNCTION("""COMPUTED_VALUE"""),"{""typ"":""lc"",""txt"":""LC_ITEM_time_day_upper_show"",""args"":[{""typ"":""int"",""val"":7}]}")</f>
        <v>{"typ":"lc","txt":"LC_ITEM_time_day_upper_show","args":[{"typ":"int","val":7}]}</v>
      </c>
      <c r="J3096" s="148" t="str">
        <f>IFERROR(__xludf.DUMMYFUNCTION("""COMPUTED_VALUE"""),"{""typ"":""lc"",""txt"":""LC_ITEM_tech_2026_city_wing_name_7day""}")</f>
        <v>{"typ":"lc","txt":"LC_ITEM_tech_2026_city_wing_name_7day"}</v>
      </c>
      <c r="K3096" s="148" t="str">
        <f>IFERROR(__xludf.DUMMYFUNCTION("""COMPUTED_VALUE"""),"{""typ"":""lc"",""txt"":""LC_ITEM_tech_2026_city_wing_desc_7day""}")</f>
        <v>{"typ":"lc","txt":"LC_ITEM_tech_2026_city_wing_desc_7day"}</v>
      </c>
      <c r="L3096" s="148" t="str">
        <f>IFERROR(__xludf.DUMMYFUNCTION("""COMPUTED_VALUE"""),"{""typ"":""lc"",""txt"":""LC_ASSET_suit_actived_tips_1""}")</f>
        <v>{"typ":"lc","txt":"LC_ASSET_suit_actived_tips_1"}</v>
      </c>
      <c r="M3096" s="148">
        <f>IFERROR(__xludf.DUMMYFUNCTION("""COMPUTED_VALUE"""),10000.0)</f>
        <v>10000</v>
      </c>
      <c r="N3096" s="148">
        <f>IFERROR(__xludf.DUMMYFUNCTION("""COMPUTED_VALUE"""),999.0)</f>
        <v>999</v>
      </c>
      <c r="O3096" s="148">
        <f>IFERROR(__xludf.DUMMYFUNCTION("""COMPUTED_VALUE"""),1.0)</f>
        <v>1</v>
      </c>
      <c r="P3096" s="148">
        <f>IFERROR(__xludf.DUMMYFUNCTION("""COMPUTED_VALUE"""),1.0)</f>
        <v>1</v>
      </c>
      <c r="Q3096" s="148" t="str">
        <f>IFERROR(__xludf.DUMMYFUNCTION("""COMPUTED_VALUE"""),"[""bag_other""]")</f>
        <v>["bag_other"]</v>
      </c>
      <c r="R3096" s="148" t="str">
        <f>IFERROR(__xludf.DUMMYFUNCTION("""COMPUTED_VALUE"""),"[""bag"",""13881010""]")</f>
        <v>["bag","13881010"]</v>
      </c>
      <c r="S3096" s="148" t="str">
        <f>IFERROR(__xludf.DUMMYFUNCTION("""COMPUTED_VALUE"""),"{""effect"":[{""typ"":""city_suit_decoration"",""id"":13881010,""val"":604800000},{""typ"":""item"",""id"":11111021,""val"":3}]}")</f>
        <v>{"effect":[{"typ":"city_suit_decoration","id":13881010,"val":604800000},{"typ":"item","id":11111021,"val":3}]}</v>
      </c>
      <c r="T3096" s="148">
        <f>IFERROR(__xludf.DUMMYFUNCTION("""COMPUTED_VALUE"""),-1.0)</f>
        <v>-1</v>
      </c>
      <c r="U3096" s="148">
        <f>IFERROR(__xludf.DUMMYFUNCTION("""COMPUTED_VALUE"""),0.0)</f>
        <v>0</v>
      </c>
      <c r="V3096" s="148" t="str">
        <f>IFERROR(__xludf.DUMMYFUNCTION("""COMPUTED_VALUE"""),"[]")</f>
        <v>[]</v>
      </c>
      <c r="W3096" s="148">
        <f>IFERROR(__xludf.DUMMYFUNCTION("""COMPUTED_VALUE"""),1.174E7)</f>
        <v>11740000</v>
      </c>
      <c r="X3096" s="148">
        <f>IFERROR(__xludf.DUMMYFUNCTION("""COMPUTED_VALUE"""),0.0)</f>
        <v>0</v>
      </c>
      <c r="Y3096" s="148">
        <f>IFERROR(__xludf.DUMMYFUNCTION("""COMPUTED_VALUE"""),0.0)</f>
        <v>0</v>
      </c>
      <c r="Z3096" s="148"/>
    </row>
    <row r="3097">
      <c r="A3097" s="148">
        <f>IFERROR(__xludf.DUMMYFUNCTION("""COMPUTED_VALUE"""),1.11110244E8)</f>
        <v>111110244</v>
      </c>
      <c r="B3097" s="148" t="str">
        <f>IFERROR(__xludf.DUMMYFUNCTION("""COMPUTED_VALUE"""),"主城机器人-战地套2026-14天")</f>
        <v>主城机器人-战地套2026-14天</v>
      </c>
      <c r="C3097" s="148"/>
      <c r="D3097" s="148" t="str">
        <f>IFERROR(__xludf.DUMMYFUNCTION("""COMPUTED_VALUE"""),"city_suit_decoration")</f>
        <v>city_suit_decoration</v>
      </c>
      <c r="E3097" s="148">
        <f>IFERROR(__xludf.DUMMYFUNCTION("""COMPUTED_VALUE"""),21.0)</f>
        <v>21</v>
      </c>
      <c r="F3097" s="148">
        <f>IFERROR(__xludf.DUMMYFUNCTION("""COMPUTED_VALUE"""),499991.0)</f>
        <v>499991</v>
      </c>
      <c r="G3097" s="148">
        <f>IFERROR(__xludf.DUMMYFUNCTION("""COMPUTED_VALUE"""),1.5110479E8)</f>
        <v>151104790</v>
      </c>
      <c r="H3097" s="148">
        <f>IFERROR(__xludf.DUMMYFUNCTION("""COMPUTED_VALUE"""),1.5112564E7)</f>
        <v>15112564</v>
      </c>
      <c r="I3097" s="148" t="str">
        <f>IFERROR(__xludf.DUMMYFUNCTION("""COMPUTED_VALUE"""),"{""typ"":""lc"",""txt"":""LC_ITEM_time_day_upper_show"",""args"":[{""typ"":""int"",""val"":14}]}")</f>
        <v>{"typ":"lc","txt":"LC_ITEM_time_day_upper_show","args":[{"typ":"int","val":14}]}</v>
      </c>
      <c r="J3097" s="148" t="str">
        <f>IFERROR(__xludf.DUMMYFUNCTION("""COMPUTED_VALUE"""),"{""typ"":""lc"",""txt"":""LC_ITEM_tech_2026_city_wing_name_14day""}")</f>
        <v>{"typ":"lc","txt":"LC_ITEM_tech_2026_city_wing_name_14day"}</v>
      </c>
      <c r="K3097" s="148" t="str">
        <f>IFERROR(__xludf.DUMMYFUNCTION("""COMPUTED_VALUE"""),"{""typ"":""lc"",""txt"":""LC_ITEM_tech_2026_city_wing_desc_14day""}")</f>
        <v>{"typ":"lc","txt":"LC_ITEM_tech_2026_city_wing_desc_14day"}</v>
      </c>
      <c r="L3097" s="148" t="str">
        <f>IFERROR(__xludf.DUMMYFUNCTION("""COMPUTED_VALUE"""),"{""typ"":""lc"",""txt"":""LC_ASSET_suit_actived_tips_1""}")</f>
        <v>{"typ":"lc","txt":"LC_ASSET_suit_actived_tips_1"}</v>
      </c>
      <c r="M3097" s="148">
        <f>IFERROR(__xludf.DUMMYFUNCTION("""COMPUTED_VALUE"""),10000.0)</f>
        <v>10000</v>
      </c>
      <c r="N3097" s="148">
        <f>IFERROR(__xludf.DUMMYFUNCTION("""COMPUTED_VALUE"""),999.0)</f>
        <v>999</v>
      </c>
      <c r="O3097" s="148">
        <f>IFERROR(__xludf.DUMMYFUNCTION("""COMPUTED_VALUE"""),1.0)</f>
        <v>1</v>
      </c>
      <c r="P3097" s="148">
        <f>IFERROR(__xludf.DUMMYFUNCTION("""COMPUTED_VALUE"""),1.0)</f>
        <v>1</v>
      </c>
      <c r="Q3097" s="148" t="str">
        <f>IFERROR(__xludf.DUMMYFUNCTION("""COMPUTED_VALUE"""),"[""bag_other""]")</f>
        <v>["bag_other"]</v>
      </c>
      <c r="R3097" s="148" t="str">
        <f>IFERROR(__xludf.DUMMYFUNCTION("""COMPUTED_VALUE"""),"[""bag"",""13881010""]")</f>
        <v>["bag","13881010"]</v>
      </c>
      <c r="S3097" s="148" t="str">
        <f>IFERROR(__xludf.DUMMYFUNCTION("""COMPUTED_VALUE"""),"{""effect"":[{""typ"":""city_suit_decoration"",""id"":13881010,""val"":1209600000},{""typ"":""item"",""id"":11111021,""val"":7}]}")</f>
        <v>{"effect":[{"typ":"city_suit_decoration","id":13881010,"val":1209600000},{"typ":"item","id":11111021,"val":7}]}</v>
      </c>
      <c r="T3097" s="148">
        <f>IFERROR(__xludf.DUMMYFUNCTION("""COMPUTED_VALUE"""),-1.0)</f>
        <v>-1</v>
      </c>
      <c r="U3097" s="148">
        <f>IFERROR(__xludf.DUMMYFUNCTION("""COMPUTED_VALUE"""),0.0)</f>
        <v>0</v>
      </c>
      <c r="V3097" s="148" t="str">
        <f>IFERROR(__xludf.DUMMYFUNCTION("""COMPUTED_VALUE"""),"[]")</f>
        <v>[]</v>
      </c>
      <c r="W3097" s="148">
        <f>IFERROR(__xludf.DUMMYFUNCTION("""COMPUTED_VALUE"""),1.174E7)</f>
        <v>11740000</v>
      </c>
      <c r="X3097" s="148">
        <f>IFERROR(__xludf.DUMMYFUNCTION("""COMPUTED_VALUE"""),0.0)</f>
        <v>0</v>
      </c>
      <c r="Y3097" s="148">
        <f>IFERROR(__xludf.DUMMYFUNCTION("""COMPUTED_VALUE"""),0.0)</f>
        <v>0</v>
      </c>
      <c r="Z3097" s="148"/>
    </row>
    <row r="3098">
      <c r="A3098" s="148">
        <f>IFERROR(__xludf.DUMMYFUNCTION("""COMPUTED_VALUE"""),1.11110245E8)</f>
        <v>111110245</v>
      </c>
      <c r="B3098" s="148" t="str">
        <f>IFERROR(__xludf.DUMMYFUNCTION("""COMPUTED_VALUE"""),"战地套2026-主城无人机-侦察飞机")</f>
        <v>战地套2026-主城无人机-侦察飞机</v>
      </c>
      <c r="C3098" s="148"/>
      <c r="D3098" s="148" t="str">
        <f>IFERROR(__xludf.DUMMYFUNCTION("""COMPUTED_VALUE"""),"city_suit_decoration")</f>
        <v>city_suit_decoration</v>
      </c>
      <c r="E3098" s="148">
        <f>IFERROR(__xludf.DUMMYFUNCTION("""COMPUTED_VALUE"""),0.0)</f>
        <v>0</v>
      </c>
      <c r="F3098" s="148">
        <f>IFERROR(__xludf.DUMMYFUNCTION("""COMPUTED_VALUE"""),499998.0)</f>
        <v>499998</v>
      </c>
      <c r="G3098" s="148">
        <f>IFERROR(__xludf.DUMMYFUNCTION("""COMPUTED_VALUE"""),1.51104791E8)</f>
        <v>151104791</v>
      </c>
      <c r="H3098" s="148">
        <f>IFERROR(__xludf.DUMMYFUNCTION("""COMPUTED_VALUE"""),1.5115983E7)</f>
        <v>15115983</v>
      </c>
      <c r="I3098" s="148" t="str">
        <f>IFERROR(__xludf.DUMMYFUNCTION("""COMPUTED_VALUE"""),"{}")</f>
        <v>{}</v>
      </c>
      <c r="J3098" s="148" t="str">
        <f>IFERROR(__xludf.DUMMYFUNCTION("""COMPUTED_VALUE"""),"{""typ"":""lc"",""txt"":""LC_ITEM_tech_2026_city_cannon_name""}")</f>
        <v>{"typ":"lc","txt":"LC_ITEM_tech_2026_city_cannon_name"}</v>
      </c>
      <c r="K3098" s="148" t="str">
        <f>IFERROR(__xludf.DUMMYFUNCTION("""COMPUTED_VALUE"""),"{""typ"":""lc"",""txt"":""LC_ITEM_tech_2026_city_cannon_desc""}")</f>
        <v>{"typ":"lc","txt":"LC_ITEM_tech_2026_city_cannon_desc"}</v>
      </c>
      <c r="L3098" s="148" t="str">
        <f>IFERROR(__xludf.DUMMYFUNCTION("""COMPUTED_VALUE"""),"{""typ"":""lc"",""txt"":""LC_ASSET_suit_actived_tips_1""}")</f>
        <v>{"typ":"lc","txt":"LC_ASSET_suit_actived_tips_1"}</v>
      </c>
      <c r="M3098" s="148">
        <f>IFERROR(__xludf.DUMMYFUNCTION("""COMPUTED_VALUE"""),10000.0)</f>
        <v>10000</v>
      </c>
      <c r="N3098" s="148">
        <f>IFERROR(__xludf.DUMMYFUNCTION("""COMPUTED_VALUE"""),999999.0)</f>
        <v>999999</v>
      </c>
      <c r="O3098" s="148">
        <f>IFERROR(__xludf.DUMMYFUNCTION("""COMPUTED_VALUE"""),99999.0)</f>
        <v>99999</v>
      </c>
      <c r="P3098" s="148">
        <f>IFERROR(__xludf.DUMMYFUNCTION("""COMPUTED_VALUE"""),1.0)</f>
        <v>1</v>
      </c>
      <c r="Q3098" s="148" t="str">
        <f>IFERROR(__xludf.DUMMYFUNCTION("""COMPUTED_VALUE"""),"[""bag_other""]")</f>
        <v>["bag_other"]</v>
      </c>
      <c r="R3098" s="148" t="str">
        <f>IFERROR(__xludf.DUMMYFUNCTION("""COMPUTED_VALUE"""),"[""bag"",""13881011""]")</f>
        <v>["bag","13881011"]</v>
      </c>
      <c r="S3098" s="148" t="str">
        <f>IFERROR(__xludf.DUMMYFUNCTION("""COMPUTED_VALUE"""),"{""effect"":[{""typ"":""city_suit_decoration"",""id"":13881011,""val"":-1},{""typ"":""item"",""id"":11111034,""val"":10}]}")</f>
        <v>{"effect":[{"typ":"city_suit_decoration","id":13881011,"val":-1},{"typ":"item","id":11111034,"val":10}]}</v>
      </c>
      <c r="T3098" s="148">
        <f>IFERROR(__xludf.DUMMYFUNCTION("""COMPUTED_VALUE"""),-1.0)</f>
        <v>-1</v>
      </c>
      <c r="U3098" s="148">
        <f>IFERROR(__xludf.DUMMYFUNCTION("""COMPUTED_VALUE"""),0.0)</f>
        <v>0</v>
      </c>
      <c r="V3098" s="148" t="str">
        <f>IFERROR(__xludf.DUMMYFUNCTION("""COMPUTED_VALUE"""),"[]")</f>
        <v>[]</v>
      </c>
      <c r="W3098" s="148">
        <f>IFERROR(__xludf.DUMMYFUNCTION("""COMPUTED_VALUE"""),1.174E7)</f>
        <v>11740000</v>
      </c>
      <c r="X3098" s="148">
        <f>IFERROR(__xludf.DUMMYFUNCTION("""COMPUTED_VALUE"""),0.0)</f>
        <v>0</v>
      </c>
      <c r="Y3098" s="148">
        <f>IFERROR(__xludf.DUMMYFUNCTION("""COMPUTED_VALUE"""),0.0)</f>
        <v>0</v>
      </c>
      <c r="Z3098" s="148"/>
    </row>
    <row r="3099">
      <c r="A3099" s="148">
        <f>IFERROR(__xludf.DUMMYFUNCTION("""COMPUTED_VALUE"""),1.11110246E8)</f>
        <v>111110246</v>
      </c>
      <c r="B3099" s="148" t="str">
        <f>IFERROR(__xludf.DUMMYFUNCTION("""COMPUTED_VALUE"""),"主城无人机-战地套2026-2天")</f>
        <v>主城无人机-战地套2026-2天</v>
      </c>
      <c r="C3099" s="148"/>
      <c r="D3099" s="148" t="str">
        <f>IFERROR(__xludf.DUMMYFUNCTION("""COMPUTED_VALUE"""),"city_suit_decoration")</f>
        <v>city_suit_decoration</v>
      </c>
      <c r="E3099" s="148">
        <f>IFERROR(__xludf.DUMMYFUNCTION("""COMPUTED_VALUE"""),21.0)</f>
        <v>21</v>
      </c>
      <c r="F3099" s="148">
        <f>IFERROR(__xludf.DUMMYFUNCTION("""COMPUTED_VALUE"""),499990.0)</f>
        <v>499990</v>
      </c>
      <c r="G3099" s="148">
        <f>IFERROR(__xludf.DUMMYFUNCTION("""COMPUTED_VALUE"""),1.51104791E8)</f>
        <v>151104791</v>
      </c>
      <c r="H3099" s="148">
        <f>IFERROR(__xludf.DUMMYFUNCTION("""COMPUTED_VALUE"""),1.5112563E7)</f>
        <v>15112563</v>
      </c>
      <c r="I3099" s="148" t="str">
        <f>IFERROR(__xludf.DUMMYFUNCTION("""COMPUTED_VALUE"""),"{""typ"":""lc"",""txt"":""LC_ITEM_time_day_upper_show"",""args"":[{""typ"":""int"",""val"":2}]}")</f>
        <v>{"typ":"lc","txt":"LC_ITEM_time_day_upper_show","args":[{"typ":"int","val":2}]}</v>
      </c>
      <c r="J3099" s="148" t="str">
        <f>IFERROR(__xludf.DUMMYFUNCTION("""COMPUTED_VALUE"""),"{""typ"":""lc"",""txt"":""LC_ITEM_tech_2026_city_cannon_name_2day""}")</f>
        <v>{"typ":"lc","txt":"LC_ITEM_tech_2026_city_cannon_name_2day"}</v>
      </c>
      <c r="K3099" s="148" t="str">
        <f>IFERROR(__xludf.DUMMYFUNCTION("""COMPUTED_VALUE"""),"{""typ"":""lc"",""txt"":""LC_ITEM_tech_2026_city_cannon_desc_2day""}")</f>
        <v>{"typ":"lc","txt":"LC_ITEM_tech_2026_city_cannon_desc_2day"}</v>
      </c>
      <c r="L3099" s="148" t="str">
        <f>IFERROR(__xludf.DUMMYFUNCTION("""COMPUTED_VALUE"""),"{""typ"":""lc"",""txt"":""LC_ASSET_suit_actived_tips_1""}")</f>
        <v>{"typ":"lc","txt":"LC_ASSET_suit_actived_tips_1"}</v>
      </c>
      <c r="M3099" s="148">
        <f>IFERROR(__xludf.DUMMYFUNCTION("""COMPUTED_VALUE"""),500.0)</f>
        <v>500</v>
      </c>
      <c r="N3099" s="148">
        <f>IFERROR(__xludf.DUMMYFUNCTION("""COMPUTED_VALUE"""),999.0)</f>
        <v>999</v>
      </c>
      <c r="O3099" s="148">
        <f>IFERROR(__xludf.DUMMYFUNCTION("""COMPUTED_VALUE"""),1.0)</f>
        <v>1</v>
      </c>
      <c r="P3099" s="148">
        <f>IFERROR(__xludf.DUMMYFUNCTION("""COMPUTED_VALUE"""),1.0)</f>
        <v>1</v>
      </c>
      <c r="Q3099" s="148" t="str">
        <f>IFERROR(__xludf.DUMMYFUNCTION("""COMPUTED_VALUE"""),"[""bag_other""]")</f>
        <v>["bag_other"]</v>
      </c>
      <c r="R3099" s="148" t="str">
        <f>IFERROR(__xludf.DUMMYFUNCTION("""COMPUTED_VALUE"""),"[""bag"",""13881011""]")</f>
        <v>["bag","13881011"]</v>
      </c>
      <c r="S3099" s="148" t="str">
        <f>IFERROR(__xludf.DUMMYFUNCTION("""COMPUTED_VALUE"""),"{""effect"":[{""typ"":""city_suit_decoration"",""id"":13881011,""val"":172800000},{""typ"":""item"",""id"":11111021,""val"":1}]}")</f>
        <v>{"effect":[{"typ":"city_suit_decoration","id":13881011,"val":172800000},{"typ":"item","id":11111021,"val":1}]}</v>
      </c>
      <c r="T3099" s="148">
        <f>IFERROR(__xludf.DUMMYFUNCTION("""COMPUTED_VALUE"""),-1.0)</f>
        <v>-1</v>
      </c>
      <c r="U3099" s="148">
        <f>IFERROR(__xludf.DUMMYFUNCTION("""COMPUTED_VALUE"""),0.0)</f>
        <v>0</v>
      </c>
      <c r="V3099" s="148" t="str">
        <f>IFERROR(__xludf.DUMMYFUNCTION("""COMPUTED_VALUE"""),"[]")</f>
        <v>[]</v>
      </c>
      <c r="W3099" s="148">
        <f>IFERROR(__xludf.DUMMYFUNCTION("""COMPUTED_VALUE"""),1.174E7)</f>
        <v>11740000</v>
      </c>
      <c r="X3099" s="148">
        <f>IFERROR(__xludf.DUMMYFUNCTION("""COMPUTED_VALUE"""),0.0)</f>
        <v>0</v>
      </c>
      <c r="Y3099" s="148">
        <f>IFERROR(__xludf.DUMMYFUNCTION("""COMPUTED_VALUE"""),0.0)</f>
        <v>0</v>
      </c>
      <c r="Z3099" s="148"/>
    </row>
    <row r="3100">
      <c r="A3100" s="148">
        <f>IFERROR(__xludf.DUMMYFUNCTION("""COMPUTED_VALUE"""),1.11110247E8)</f>
        <v>111110247</v>
      </c>
      <c r="B3100" s="148" t="str">
        <f>IFERROR(__xludf.DUMMYFUNCTION("""COMPUTED_VALUE"""),"主城无人机-战地套2026-7天")</f>
        <v>主城无人机-战地套2026-7天</v>
      </c>
      <c r="C3100" s="148"/>
      <c r="D3100" s="148" t="str">
        <f>IFERROR(__xludf.DUMMYFUNCTION("""COMPUTED_VALUE"""),"city_suit_decoration")</f>
        <v>city_suit_decoration</v>
      </c>
      <c r="E3100" s="148">
        <f>IFERROR(__xludf.DUMMYFUNCTION("""COMPUTED_VALUE"""),21.0)</f>
        <v>21</v>
      </c>
      <c r="F3100" s="148">
        <f>IFERROR(__xludf.DUMMYFUNCTION("""COMPUTED_VALUE"""),499991.0)</f>
        <v>499991</v>
      </c>
      <c r="G3100" s="148">
        <f>IFERROR(__xludf.DUMMYFUNCTION("""COMPUTED_VALUE"""),1.51104791E8)</f>
        <v>151104791</v>
      </c>
      <c r="H3100" s="148">
        <f>IFERROR(__xludf.DUMMYFUNCTION("""COMPUTED_VALUE"""),1.5112564E7)</f>
        <v>15112564</v>
      </c>
      <c r="I3100" s="148" t="str">
        <f>IFERROR(__xludf.DUMMYFUNCTION("""COMPUTED_VALUE"""),"{""typ"":""lc"",""txt"":""LC_ITEM_time_day_upper_show"",""args"":[{""typ"":""int"",""val"":7}]}")</f>
        <v>{"typ":"lc","txt":"LC_ITEM_time_day_upper_show","args":[{"typ":"int","val":7}]}</v>
      </c>
      <c r="J3100" s="148" t="str">
        <f>IFERROR(__xludf.DUMMYFUNCTION("""COMPUTED_VALUE"""),"{""typ"":""lc"",""txt"":""LC_ITEM_tech_2026_city_cannon_name_7day""}")</f>
        <v>{"typ":"lc","txt":"LC_ITEM_tech_2026_city_cannon_name_7day"}</v>
      </c>
      <c r="K3100" s="148" t="str">
        <f>IFERROR(__xludf.DUMMYFUNCTION("""COMPUTED_VALUE"""),"{""typ"":""lc"",""txt"":""LC_ITEM_tech_2026_city_cannon_desc_7day""}")</f>
        <v>{"typ":"lc","txt":"LC_ITEM_tech_2026_city_cannon_desc_7day"}</v>
      </c>
      <c r="L3100" s="148" t="str">
        <f>IFERROR(__xludf.DUMMYFUNCTION("""COMPUTED_VALUE"""),"{""typ"":""lc"",""txt"":""LC_ASSET_suit_actived_tips_1""}")</f>
        <v>{"typ":"lc","txt":"LC_ASSET_suit_actived_tips_1"}</v>
      </c>
      <c r="M3100" s="148">
        <f>IFERROR(__xludf.DUMMYFUNCTION("""COMPUTED_VALUE"""),10000.0)</f>
        <v>10000</v>
      </c>
      <c r="N3100" s="148">
        <f>IFERROR(__xludf.DUMMYFUNCTION("""COMPUTED_VALUE"""),999.0)</f>
        <v>999</v>
      </c>
      <c r="O3100" s="148">
        <f>IFERROR(__xludf.DUMMYFUNCTION("""COMPUTED_VALUE"""),1.0)</f>
        <v>1</v>
      </c>
      <c r="P3100" s="148">
        <f>IFERROR(__xludf.DUMMYFUNCTION("""COMPUTED_VALUE"""),1.0)</f>
        <v>1</v>
      </c>
      <c r="Q3100" s="148" t="str">
        <f>IFERROR(__xludf.DUMMYFUNCTION("""COMPUTED_VALUE"""),"[""bag_other""]")</f>
        <v>["bag_other"]</v>
      </c>
      <c r="R3100" s="148" t="str">
        <f>IFERROR(__xludf.DUMMYFUNCTION("""COMPUTED_VALUE"""),"[""bag"",""13881011""]")</f>
        <v>["bag","13881011"]</v>
      </c>
      <c r="S3100" s="148" t="str">
        <f>IFERROR(__xludf.DUMMYFUNCTION("""COMPUTED_VALUE"""),"{""effect"":[{""typ"":""city_suit_decoration"",""id"":13881011,""val"":604800000},{""typ"":""item"",""id"":11111021,""val"":3}]}")</f>
        <v>{"effect":[{"typ":"city_suit_decoration","id":13881011,"val":604800000},{"typ":"item","id":11111021,"val":3}]}</v>
      </c>
      <c r="T3100" s="148">
        <f>IFERROR(__xludf.DUMMYFUNCTION("""COMPUTED_VALUE"""),-1.0)</f>
        <v>-1</v>
      </c>
      <c r="U3100" s="148">
        <f>IFERROR(__xludf.DUMMYFUNCTION("""COMPUTED_VALUE"""),0.0)</f>
        <v>0</v>
      </c>
      <c r="V3100" s="148" t="str">
        <f>IFERROR(__xludf.DUMMYFUNCTION("""COMPUTED_VALUE"""),"[]")</f>
        <v>[]</v>
      </c>
      <c r="W3100" s="148">
        <f>IFERROR(__xludf.DUMMYFUNCTION("""COMPUTED_VALUE"""),1.174E7)</f>
        <v>11740000</v>
      </c>
      <c r="X3100" s="148">
        <f>IFERROR(__xludf.DUMMYFUNCTION("""COMPUTED_VALUE"""),0.0)</f>
        <v>0</v>
      </c>
      <c r="Y3100" s="148">
        <f>IFERROR(__xludf.DUMMYFUNCTION("""COMPUTED_VALUE"""),0.0)</f>
        <v>0</v>
      </c>
      <c r="Z3100" s="148"/>
    </row>
    <row r="3101">
      <c r="A3101" s="148">
        <f>IFERROR(__xludf.DUMMYFUNCTION("""COMPUTED_VALUE"""),1.11110248E8)</f>
        <v>111110248</v>
      </c>
      <c r="B3101" s="148" t="str">
        <f>IFERROR(__xludf.DUMMYFUNCTION("""COMPUTED_VALUE"""),"主城无人机-战地套2026-14天")</f>
        <v>主城无人机-战地套2026-14天</v>
      </c>
      <c r="C3101" s="148"/>
      <c r="D3101" s="148" t="str">
        <f>IFERROR(__xludf.DUMMYFUNCTION("""COMPUTED_VALUE"""),"city_suit_decoration")</f>
        <v>city_suit_decoration</v>
      </c>
      <c r="E3101" s="148">
        <f>IFERROR(__xludf.DUMMYFUNCTION("""COMPUTED_VALUE"""),21.0)</f>
        <v>21</v>
      </c>
      <c r="F3101" s="148">
        <f>IFERROR(__xludf.DUMMYFUNCTION("""COMPUTED_VALUE"""),499992.0)</f>
        <v>499992</v>
      </c>
      <c r="G3101" s="148">
        <f>IFERROR(__xludf.DUMMYFUNCTION("""COMPUTED_VALUE"""),1.51104791E8)</f>
        <v>151104791</v>
      </c>
      <c r="H3101" s="148">
        <f>IFERROR(__xludf.DUMMYFUNCTION("""COMPUTED_VALUE"""),1.5112564E7)</f>
        <v>15112564</v>
      </c>
      <c r="I3101" s="148" t="str">
        <f>IFERROR(__xludf.DUMMYFUNCTION("""COMPUTED_VALUE"""),"{""typ"":""lc"",""txt"":""LC_ITEM_time_day_upper_show"",""args"":[{""typ"":""int"",""val"":14}]}")</f>
        <v>{"typ":"lc","txt":"LC_ITEM_time_day_upper_show","args":[{"typ":"int","val":14}]}</v>
      </c>
      <c r="J3101" s="148" t="str">
        <f>IFERROR(__xludf.DUMMYFUNCTION("""COMPUTED_VALUE"""),"{""typ"":""lc"",""txt"":""LC_ITEM_tech_2026_city_cannon_name_14day""}")</f>
        <v>{"typ":"lc","txt":"LC_ITEM_tech_2026_city_cannon_name_14day"}</v>
      </c>
      <c r="K3101" s="148" t="str">
        <f>IFERROR(__xludf.DUMMYFUNCTION("""COMPUTED_VALUE"""),"{""typ"":""lc"",""txt"":""LC_ITEM_tech_2026_city_cannon_desc_14day""}")</f>
        <v>{"typ":"lc","txt":"LC_ITEM_tech_2026_city_cannon_desc_14day"}</v>
      </c>
      <c r="L3101" s="148" t="str">
        <f>IFERROR(__xludf.DUMMYFUNCTION("""COMPUTED_VALUE"""),"{""typ"":""lc"",""txt"":""LC_ASSET_suit_actived_tips_1""}")</f>
        <v>{"typ":"lc","txt":"LC_ASSET_suit_actived_tips_1"}</v>
      </c>
      <c r="M3101" s="148">
        <f>IFERROR(__xludf.DUMMYFUNCTION("""COMPUTED_VALUE"""),10000.0)</f>
        <v>10000</v>
      </c>
      <c r="N3101" s="148">
        <f>IFERROR(__xludf.DUMMYFUNCTION("""COMPUTED_VALUE"""),999.0)</f>
        <v>999</v>
      </c>
      <c r="O3101" s="148">
        <f>IFERROR(__xludf.DUMMYFUNCTION("""COMPUTED_VALUE"""),1.0)</f>
        <v>1</v>
      </c>
      <c r="P3101" s="148">
        <f>IFERROR(__xludf.DUMMYFUNCTION("""COMPUTED_VALUE"""),1.0)</f>
        <v>1</v>
      </c>
      <c r="Q3101" s="148" t="str">
        <f>IFERROR(__xludf.DUMMYFUNCTION("""COMPUTED_VALUE"""),"[""bag_other""]")</f>
        <v>["bag_other"]</v>
      </c>
      <c r="R3101" s="148" t="str">
        <f>IFERROR(__xludf.DUMMYFUNCTION("""COMPUTED_VALUE"""),"[""bag"",""13881011""]")</f>
        <v>["bag","13881011"]</v>
      </c>
      <c r="S3101" s="148" t="str">
        <f>IFERROR(__xludf.DUMMYFUNCTION("""COMPUTED_VALUE"""),"{""effect"":[{""typ"":""city_suit_decoration"",""id"":13881011,""val"":1209600000},{""typ"":""item"",""id"":11111021,""val"":7}]}")</f>
        <v>{"effect":[{"typ":"city_suit_decoration","id":13881011,"val":1209600000},{"typ":"item","id":11111021,"val":7}]}</v>
      </c>
      <c r="T3101" s="148">
        <f>IFERROR(__xludf.DUMMYFUNCTION("""COMPUTED_VALUE"""),-1.0)</f>
        <v>-1</v>
      </c>
      <c r="U3101" s="148">
        <f>IFERROR(__xludf.DUMMYFUNCTION("""COMPUTED_VALUE"""),0.0)</f>
        <v>0</v>
      </c>
      <c r="V3101" s="148" t="str">
        <f>IFERROR(__xludf.DUMMYFUNCTION("""COMPUTED_VALUE"""),"[]")</f>
        <v>[]</v>
      </c>
      <c r="W3101" s="148">
        <f>IFERROR(__xludf.DUMMYFUNCTION("""COMPUTED_VALUE"""),1.174E7)</f>
        <v>11740000</v>
      </c>
      <c r="X3101" s="148">
        <f>IFERROR(__xludf.DUMMYFUNCTION("""COMPUTED_VALUE"""),0.0)</f>
        <v>0</v>
      </c>
      <c r="Y3101" s="148">
        <f>IFERROR(__xludf.DUMMYFUNCTION("""COMPUTED_VALUE"""),0.0)</f>
        <v>0</v>
      </c>
      <c r="Z3101" s="148"/>
    </row>
    <row r="3102">
      <c r="A3102" s="148">
        <f>IFERROR(__xludf.DUMMYFUNCTION("""COMPUTED_VALUE"""),1.11110249E8)</f>
        <v>111110249</v>
      </c>
      <c r="B3102" s="148" t="str">
        <f>IFERROR(__xludf.DUMMYFUNCTION("""COMPUTED_VALUE"""),"战地套2026-主城特效")</f>
        <v>战地套2026-主城特效</v>
      </c>
      <c r="C3102" s="148"/>
      <c r="D3102" s="148" t="str">
        <f>IFERROR(__xludf.DUMMYFUNCTION("""COMPUTED_VALUE"""),"city_suit_decoration")</f>
        <v>city_suit_decoration</v>
      </c>
      <c r="E3102" s="148">
        <f>IFERROR(__xludf.DUMMYFUNCTION("""COMPUTED_VALUE"""),0.0)</f>
        <v>0</v>
      </c>
      <c r="F3102" s="148">
        <f>IFERROR(__xludf.DUMMYFUNCTION("""COMPUTED_VALUE"""),499999.0)</f>
        <v>499999</v>
      </c>
      <c r="G3102" s="148">
        <f>IFERROR(__xludf.DUMMYFUNCTION("""COMPUTED_VALUE"""),1.51104792E8)</f>
        <v>151104792</v>
      </c>
      <c r="H3102" s="148">
        <f>IFERROR(__xludf.DUMMYFUNCTION("""COMPUTED_VALUE"""),1.51101093E8)</f>
        <v>151101093</v>
      </c>
      <c r="I3102" s="148" t="str">
        <f>IFERROR(__xludf.DUMMYFUNCTION("""COMPUTED_VALUE"""),"{}")</f>
        <v>{}</v>
      </c>
      <c r="J3102" s="148" t="str">
        <f>IFERROR(__xludf.DUMMYFUNCTION("""COMPUTED_VALUE"""),"{""typ"":""lc"",""txt"":""LC_ITEM_tech_2026_city_effect_name""}")</f>
        <v>{"typ":"lc","txt":"LC_ITEM_tech_2026_city_effect_name"}</v>
      </c>
      <c r="K3102" s="148" t="str">
        <f>IFERROR(__xludf.DUMMYFUNCTION("""COMPUTED_VALUE"""),"{""typ"":""lc"",""txt"":""LC_ITEM_tech_2026_city_effect_desc""}")</f>
        <v>{"typ":"lc","txt":"LC_ITEM_tech_2026_city_effect_desc"}</v>
      </c>
      <c r="L3102" s="148" t="str">
        <f>IFERROR(__xludf.DUMMYFUNCTION("""COMPUTED_VALUE"""),"{""typ"":""lc"",""txt"":""LC_ASSET_suit_actived_tips_1""}")</f>
        <v>{"typ":"lc","txt":"LC_ASSET_suit_actived_tips_1"}</v>
      </c>
      <c r="M3102" s="148">
        <f>IFERROR(__xludf.DUMMYFUNCTION("""COMPUTED_VALUE"""),10000.0)</f>
        <v>10000</v>
      </c>
      <c r="N3102" s="148">
        <f>IFERROR(__xludf.DUMMYFUNCTION("""COMPUTED_VALUE"""),999999.0)</f>
        <v>999999</v>
      </c>
      <c r="O3102" s="148">
        <f>IFERROR(__xludf.DUMMYFUNCTION("""COMPUTED_VALUE"""),99999.0)</f>
        <v>99999</v>
      </c>
      <c r="P3102" s="148">
        <f>IFERROR(__xludf.DUMMYFUNCTION("""COMPUTED_VALUE"""),1.0)</f>
        <v>1</v>
      </c>
      <c r="Q3102" s="148" t="str">
        <f>IFERROR(__xludf.DUMMYFUNCTION("""COMPUTED_VALUE"""),"[""bag_other""]")</f>
        <v>["bag_other"]</v>
      </c>
      <c r="R3102" s="148" t="str">
        <f>IFERROR(__xludf.DUMMYFUNCTION("""COMPUTED_VALUE"""),"[""bag"",""13881012""]")</f>
        <v>["bag","13881012"]</v>
      </c>
      <c r="S3102" s="148" t="str">
        <f>IFERROR(__xludf.DUMMYFUNCTION("""COMPUTED_VALUE"""),"{""effect"":[{""typ"":""city_suit_decoration"",""id"":13881012,""val"":-1},{""typ"":""item"",""id"":11111034,""val"":10}]}")</f>
        <v>{"effect":[{"typ":"city_suit_decoration","id":13881012,"val":-1},{"typ":"item","id":11111034,"val":10}]}</v>
      </c>
      <c r="T3102" s="148">
        <f>IFERROR(__xludf.DUMMYFUNCTION("""COMPUTED_VALUE"""),-1.0)</f>
        <v>-1</v>
      </c>
      <c r="U3102" s="148">
        <f>IFERROR(__xludf.DUMMYFUNCTION("""COMPUTED_VALUE"""),0.0)</f>
        <v>0</v>
      </c>
      <c r="V3102" s="148" t="str">
        <f>IFERROR(__xludf.DUMMYFUNCTION("""COMPUTED_VALUE"""),"[]")</f>
        <v>[]</v>
      </c>
      <c r="W3102" s="148">
        <f>IFERROR(__xludf.DUMMYFUNCTION("""COMPUTED_VALUE"""),1.174E7)</f>
        <v>11740000</v>
      </c>
      <c r="X3102" s="148">
        <f>IFERROR(__xludf.DUMMYFUNCTION("""COMPUTED_VALUE"""),0.0)</f>
        <v>0</v>
      </c>
      <c r="Y3102" s="148">
        <f>IFERROR(__xludf.DUMMYFUNCTION("""COMPUTED_VALUE"""),0.0)</f>
        <v>0</v>
      </c>
      <c r="Z3102" s="148"/>
    </row>
    <row r="3103">
      <c r="A3103" s="148">
        <f>IFERROR(__xludf.DUMMYFUNCTION("""COMPUTED_VALUE"""),1.1111025E8)</f>
        <v>111110250</v>
      </c>
      <c r="B3103" s="148" t="str">
        <f>IFERROR(__xludf.DUMMYFUNCTION("""COMPUTED_VALUE"""),"主城特效-战地套2026-2天")</f>
        <v>主城特效-战地套2026-2天</v>
      </c>
      <c r="C3103" s="148"/>
      <c r="D3103" s="148" t="str">
        <f>IFERROR(__xludf.DUMMYFUNCTION("""COMPUTED_VALUE"""),"city_suit_decoration")</f>
        <v>city_suit_decoration</v>
      </c>
      <c r="E3103" s="148">
        <f>IFERROR(__xludf.DUMMYFUNCTION("""COMPUTED_VALUE"""),21.0)</f>
        <v>21</v>
      </c>
      <c r="F3103" s="148">
        <f>IFERROR(__xludf.DUMMYFUNCTION("""COMPUTED_VALUE"""),499988.0)</f>
        <v>499988</v>
      </c>
      <c r="G3103" s="148">
        <f>IFERROR(__xludf.DUMMYFUNCTION("""COMPUTED_VALUE"""),1.51104792E8)</f>
        <v>151104792</v>
      </c>
      <c r="H3103" s="148">
        <f>IFERROR(__xludf.DUMMYFUNCTION("""COMPUTED_VALUE"""),1.5112563E7)</f>
        <v>15112563</v>
      </c>
      <c r="I3103" s="148" t="str">
        <f>IFERROR(__xludf.DUMMYFUNCTION("""COMPUTED_VALUE"""),"{""typ"":""lc"",""txt"":""LC_ITEM_time_day_upper_show"",""args"":[{""typ"":""int"",""val"":2}]}")</f>
        <v>{"typ":"lc","txt":"LC_ITEM_time_day_upper_show","args":[{"typ":"int","val":2}]}</v>
      </c>
      <c r="J3103" s="148" t="str">
        <f>IFERROR(__xludf.DUMMYFUNCTION("""COMPUTED_VALUE"""),"{""typ"":""lc"",""txt"":""LC_ITEM_tech_2026_city_effect_name_2day""}")</f>
        <v>{"typ":"lc","txt":"LC_ITEM_tech_2026_city_effect_name_2day"}</v>
      </c>
      <c r="K3103" s="148" t="str">
        <f>IFERROR(__xludf.DUMMYFUNCTION("""COMPUTED_VALUE"""),"{""typ"":""lc"",""txt"":""LC_ITEM_tech_2026_city_effect_desc_2day""}")</f>
        <v>{"typ":"lc","txt":"LC_ITEM_tech_2026_city_effect_desc_2day"}</v>
      </c>
      <c r="L3103" s="148" t="str">
        <f>IFERROR(__xludf.DUMMYFUNCTION("""COMPUTED_VALUE"""),"{""typ"":""lc"",""txt"":""LC_ASSET_suit_actived_tips_1""}")</f>
        <v>{"typ":"lc","txt":"LC_ASSET_suit_actived_tips_1"}</v>
      </c>
      <c r="M3103" s="148">
        <f>IFERROR(__xludf.DUMMYFUNCTION("""COMPUTED_VALUE"""),500.0)</f>
        <v>500</v>
      </c>
      <c r="N3103" s="148">
        <f>IFERROR(__xludf.DUMMYFUNCTION("""COMPUTED_VALUE"""),999.0)</f>
        <v>999</v>
      </c>
      <c r="O3103" s="148">
        <f>IFERROR(__xludf.DUMMYFUNCTION("""COMPUTED_VALUE"""),1.0)</f>
        <v>1</v>
      </c>
      <c r="P3103" s="148">
        <f>IFERROR(__xludf.DUMMYFUNCTION("""COMPUTED_VALUE"""),1.0)</f>
        <v>1</v>
      </c>
      <c r="Q3103" s="148" t="str">
        <f>IFERROR(__xludf.DUMMYFUNCTION("""COMPUTED_VALUE"""),"[""bag_other""]")</f>
        <v>["bag_other"]</v>
      </c>
      <c r="R3103" s="148" t="str">
        <f>IFERROR(__xludf.DUMMYFUNCTION("""COMPUTED_VALUE"""),"[""bag"",""13881012""]")</f>
        <v>["bag","13881012"]</v>
      </c>
      <c r="S3103" s="148" t="str">
        <f>IFERROR(__xludf.DUMMYFUNCTION("""COMPUTED_VALUE"""),"{""effect"":[{""typ"":""city_suit_decoration"",""id"":13881012,""val"":172800000},{""typ"":""item"",""id"":11111021,""val"":1}]}")</f>
        <v>{"effect":[{"typ":"city_suit_decoration","id":13881012,"val":172800000},{"typ":"item","id":11111021,"val":1}]}</v>
      </c>
      <c r="T3103" s="148">
        <f>IFERROR(__xludf.DUMMYFUNCTION("""COMPUTED_VALUE"""),-1.0)</f>
        <v>-1</v>
      </c>
      <c r="U3103" s="148">
        <f>IFERROR(__xludf.DUMMYFUNCTION("""COMPUTED_VALUE"""),0.0)</f>
        <v>0</v>
      </c>
      <c r="V3103" s="148" t="str">
        <f>IFERROR(__xludf.DUMMYFUNCTION("""COMPUTED_VALUE"""),"[]")</f>
        <v>[]</v>
      </c>
      <c r="W3103" s="148">
        <f>IFERROR(__xludf.DUMMYFUNCTION("""COMPUTED_VALUE"""),1.174E7)</f>
        <v>11740000</v>
      </c>
      <c r="X3103" s="148">
        <f>IFERROR(__xludf.DUMMYFUNCTION("""COMPUTED_VALUE"""),0.0)</f>
        <v>0</v>
      </c>
      <c r="Y3103" s="148">
        <f>IFERROR(__xludf.DUMMYFUNCTION("""COMPUTED_VALUE"""),0.0)</f>
        <v>0</v>
      </c>
      <c r="Z3103" s="148"/>
    </row>
    <row r="3104">
      <c r="A3104" s="148">
        <f>IFERROR(__xludf.DUMMYFUNCTION("""COMPUTED_VALUE"""),1.11110251E8)</f>
        <v>111110251</v>
      </c>
      <c r="B3104" s="148" t="str">
        <f>IFERROR(__xludf.DUMMYFUNCTION("""COMPUTED_VALUE"""),"主城特效-战地套2026-7天")</f>
        <v>主城特效-战地套2026-7天</v>
      </c>
      <c r="C3104" s="148"/>
      <c r="D3104" s="148" t="str">
        <f>IFERROR(__xludf.DUMMYFUNCTION("""COMPUTED_VALUE"""),"city_suit_decoration")</f>
        <v>city_suit_decoration</v>
      </c>
      <c r="E3104" s="148">
        <f>IFERROR(__xludf.DUMMYFUNCTION("""COMPUTED_VALUE"""),21.0)</f>
        <v>21</v>
      </c>
      <c r="F3104" s="148">
        <f>IFERROR(__xludf.DUMMYFUNCTION("""COMPUTED_VALUE"""),499989.0)</f>
        <v>499989</v>
      </c>
      <c r="G3104" s="148">
        <f>IFERROR(__xludf.DUMMYFUNCTION("""COMPUTED_VALUE"""),1.51104792E8)</f>
        <v>151104792</v>
      </c>
      <c r="H3104" s="148">
        <f>IFERROR(__xludf.DUMMYFUNCTION("""COMPUTED_VALUE"""),1.5112564E7)</f>
        <v>15112564</v>
      </c>
      <c r="I3104" s="148" t="str">
        <f>IFERROR(__xludf.DUMMYFUNCTION("""COMPUTED_VALUE"""),"{""typ"":""lc"",""txt"":""LC_ITEM_time_day_upper_show"",""args"":[{""typ"":""int"",""val"":7}]}")</f>
        <v>{"typ":"lc","txt":"LC_ITEM_time_day_upper_show","args":[{"typ":"int","val":7}]}</v>
      </c>
      <c r="J3104" s="148" t="str">
        <f>IFERROR(__xludf.DUMMYFUNCTION("""COMPUTED_VALUE"""),"{""typ"":""lc"",""txt"":""LC_ITEM_tech_2026_city_effect_name_7day""}")</f>
        <v>{"typ":"lc","txt":"LC_ITEM_tech_2026_city_effect_name_7day"}</v>
      </c>
      <c r="K3104" s="148" t="str">
        <f>IFERROR(__xludf.DUMMYFUNCTION("""COMPUTED_VALUE"""),"{""typ"":""lc"",""txt"":""LC_ITEM_tech_2026_city_effect_desc_7day""}")</f>
        <v>{"typ":"lc","txt":"LC_ITEM_tech_2026_city_effect_desc_7day"}</v>
      </c>
      <c r="L3104" s="148" t="str">
        <f>IFERROR(__xludf.DUMMYFUNCTION("""COMPUTED_VALUE"""),"{""typ"":""lc"",""txt"":""LC_ASSET_suit_actived_tips_1""}")</f>
        <v>{"typ":"lc","txt":"LC_ASSET_suit_actived_tips_1"}</v>
      </c>
      <c r="M3104" s="148">
        <f>IFERROR(__xludf.DUMMYFUNCTION("""COMPUTED_VALUE"""),10000.0)</f>
        <v>10000</v>
      </c>
      <c r="N3104" s="148">
        <f>IFERROR(__xludf.DUMMYFUNCTION("""COMPUTED_VALUE"""),999.0)</f>
        <v>999</v>
      </c>
      <c r="O3104" s="148">
        <f>IFERROR(__xludf.DUMMYFUNCTION("""COMPUTED_VALUE"""),1.0)</f>
        <v>1</v>
      </c>
      <c r="P3104" s="148">
        <f>IFERROR(__xludf.DUMMYFUNCTION("""COMPUTED_VALUE"""),1.0)</f>
        <v>1</v>
      </c>
      <c r="Q3104" s="148" t="str">
        <f>IFERROR(__xludf.DUMMYFUNCTION("""COMPUTED_VALUE"""),"[""bag_other""]")</f>
        <v>["bag_other"]</v>
      </c>
      <c r="R3104" s="148" t="str">
        <f>IFERROR(__xludf.DUMMYFUNCTION("""COMPUTED_VALUE"""),"[""bag"",""13881012""]")</f>
        <v>["bag","13881012"]</v>
      </c>
      <c r="S3104" s="148" t="str">
        <f>IFERROR(__xludf.DUMMYFUNCTION("""COMPUTED_VALUE"""),"{""effect"":[{""typ"":""city_suit_decoration"",""id"":13881012,""val"":604800000},{""typ"":""item"",""id"":11111021,""val"":3}]}")</f>
        <v>{"effect":[{"typ":"city_suit_decoration","id":13881012,"val":604800000},{"typ":"item","id":11111021,"val":3}]}</v>
      </c>
      <c r="T3104" s="148">
        <f>IFERROR(__xludf.DUMMYFUNCTION("""COMPUTED_VALUE"""),-1.0)</f>
        <v>-1</v>
      </c>
      <c r="U3104" s="148">
        <f>IFERROR(__xludf.DUMMYFUNCTION("""COMPUTED_VALUE"""),0.0)</f>
        <v>0</v>
      </c>
      <c r="V3104" s="148" t="str">
        <f>IFERROR(__xludf.DUMMYFUNCTION("""COMPUTED_VALUE"""),"[]")</f>
        <v>[]</v>
      </c>
      <c r="W3104" s="148">
        <f>IFERROR(__xludf.DUMMYFUNCTION("""COMPUTED_VALUE"""),1.174E7)</f>
        <v>11740000</v>
      </c>
      <c r="X3104" s="148">
        <f>IFERROR(__xludf.DUMMYFUNCTION("""COMPUTED_VALUE"""),0.0)</f>
        <v>0</v>
      </c>
      <c r="Y3104" s="148">
        <f>IFERROR(__xludf.DUMMYFUNCTION("""COMPUTED_VALUE"""),0.0)</f>
        <v>0</v>
      </c>
      <c r="Z3104" s="148"/>
    </row>
    <row r="3105">
      <c r="A3105" s="148">
        <f>IFERROR(__xludf.DUMMYFUNCTION("""COMPUTED_VALUE"""),1.11110252E8)</f>
        <v>111110252</v>
      </c>
      <c r="B3105" s="148" t="str">
        <f>IFERROR(__xludf.DUMMYFUNCTION("""COMPUTED_VALUE"""),"主城特效-战地套2026-14天")</f>
        <v>主城特效-战地套2026-14天</v>
      </c>
      <c r="C3105" s="148"/>
      <c r="D3105" s="148" t="str">
        <f>IFERROR(__xludf.DUMMYFUNCTION("""COMPUTED_VALUE"""),"city_suit_decoration")</f>
        <v>city_suit_decoration</v>
      </c>
      <c r="E3105" s="148">
        <f>IFERROR(__xludf.DUMMYFUNCTION("""COMPUTED_VALUE"""),21.0)</f>
        <v>21</v>
      </c>
      <c r="F3105" s="148">
        <f>IFERROR(__xludf.DUMMYFUNCTION("""COMPUTED_VALUE"""),499990.0)</f>
        <v>499990</v>
      </c>
      <c r="G3105" s="148">
        <f>IFERROR(__xludf.DUMMYFUNCTION("""COMPUTED_VALUE"""),1.51104792E8)</f>
        <v>151104792</v>
      </c>
      <c r="H3105" s="148">
        <f>IFERROR(__xludf.DUMMYFUNCTION("""COMPUTED_VALUE"""),1.5112564E7)</f>
        <v>15112564</v>
      </c>
      <c r="I3105" s="148" t="str">
        <f>IFERROR(__xludf.DUMMYFUNCTION("""COMPUTED_VALUE"""),"{""typ"":""lc"",""txt"":""LC_ITEM_time_day_upper_show"",""args"":[{""typ"":""int"",""val"":14}]}")</f>
        <v>{"typ":"lc","txt":"LC_ITEM_time_day_upper_show","args":[{"typ":"int","val":14}]}</v>
      </c>
      <c r="J3105" s="148" t="str">
        <f>IFERROR(__xludf.DUMMYFUNCTION("""COMPUTED_VALUE"""),"{""typ"":""lc"",""txt"":""LC_ITEM_tech_2026_city_effect_name_14day""}")</f>
        <v>{"typ":"lc","txt":"LC_ITEM_tech_2026_city_effect_name_14day"}</v>
      </c>
      <c r="K3105" s="148" t="str">
        <f>IFERROR(__xludf.DUMMYFUNCTION("""COMPUTED_VALUE"""),"{""typ"":""lc"",""txt"":""LC_ITEM_tech_2026_city_effect_desc_14day""}")</f>
        <v>{"typ":"lc","txt":"LC_ITEM_tech_2026_city_effect_desc_14day"}</v>
      </c>
      <c r="L3105" s="148" t="str">
        <f>IFERROR(__xludf.DUMMYFUNCTION("""COMPUTED_VALUE"""),"{""typ"":""lc"",""txt"":""LC_ASSET_suit_actived_tips_1""}")</f>
        <v>{"typ":"lc","txt":"LC_ASSET_suit_actived_tips_1"}</v>
      </c>
      <c r="M3105" s="148">
        <f>IFERROR(__xludf.DUMMYFUNCTION("""COMPUTED_VALUE"""),10000.0)</f>
        <v>10000</v>
      </c>
      <c r="N3105" s="148">
        <f>IFERROR(__xludf.DUMMYFUNCTION("""COMPUTED_VALUE"""),999.0)</f>
        <v>999</v>
      </c>
      <c r="O3105" s="148">
        <f>IFERROR(__xludf.DUMMYFUNCTION("""COMPUTED_VALUE"""),1.0)</f>
        <v>1</v>
      </c>
      <c r="P3105" s="148">
        <f>IFERROR(__xludf.DUMMYFUNCTION("""COMPUTED_VALUE"""),1.0)</f>
        <v>1</v>
      </c>
      <c r="Q3105" s="148" t="str">
        <f>IFERROR(__xludf.DUMMYFUNCTION("""COMPUTED_VALUE"""),"[""bag_other""]")</f>
        <v>["bag_other"]</v>
      </c>
      <c r="R3105" s="148" t="str">
        <f>IFERROR(__xludf.DUMMYFUNCTION("""COMPUTED_VALUE"""),"[""bag"",""13881012""]")</f>
        <v>["bag","13881012"]</v>
      </c>
      <c r="S3105" s="148" t="str">
        <f>IFERROR(__xludf.DUMMYFUNCTION("""COMPUTED_VALUE"""),"{""effect"":[{""typ"":""city_suit_decoration"",""id"":13881012,""val"":1209600000},{""typ"":""item"",""id"":11111021,""val"":7}]}")</f>
        <v>{"effect":[{"typ":"city_suit_decoration","id":13881012,"val":1209600000},{"typ":"item","id":11111021,"val":7}]}</v>
      </c>
      <c r="T3105" s="148">
        <f>IFERROR(__xludf.DUMMYFUNCTION("""COMPUTED_VALUE"""),-1.0)</f>
        <v>-1</v>
      </c>
      <c r="U3105" s="148">
        <f>IFERROR(__xludf.DUMMYFUNCTION("""COMPUTED_VALUE"""),0.0)</f>
        <v>0</v>
      </c>
      <c r="V3105" s="148" t="str">
        <f>IFERROR(__xludf.DUMMYFUNCTION("""COMPUTED_VALUE"""),"[]")</f>
        <v>[]</v>
      </c>
      <c r="W3105" s="148">
        <f>IFERROR(__xludf.DUMMYFUNCTION("""COMPUTED_VALUE"""),1.174E7)</f>
        <v>11740000</v>
      </c>
      <c r="X3105" s="148">
        <f>IFERROR(__xludf.DUMMYFUNCTION("""COMPUTED_VALUE"""),0.0)</f>
        <v>0</v>
      </c>
      <c r="Y3105" s="148">
        <f>IFERROR(__xludf.DUMMYFUNCTION("""COMPUTED_VALUE"""),0.0)</f>
        <v>0</v>
      </c>
      <c r="Z3105" s="148"/>
    </row>
    <row r="3106">
      <c r="A3106" s="148">
        <f>IFERROR(__xludf.DUMMYFUNCTION("""COMPUTED_VALUE"""),1.11110253E8)</f>
        <v>111110253</v>
      </c>
      <c r="B3106" s="148" t="str">
        <f>IFERROR(__xludf.DUMMYFUNCTION("""COMPUTED_VALUE"""),"2026科技节-装饰券宝箱-本体（弹珠）")</f>
        <v>2026科技节-装饰券宝箱-本体（弹珠）</v>
      </c>
      <c r="C3106" s="148"/>
      <c r="D3106" s="148" t="str">
        <f>IFERROR(__xludf.DUMMYFUNCTION("""COMPUTED_VALUE"""),"valentine_reward_box")</f>
        <v>valentine_reward_box</v>
      </c>
      <c r="E3106" s="148">
        <f>IFERROR(__xludf.DUMMYFUNCTION("""COMPUTED_VALUE"""),19.0)</f>
        <v>19</v>
      </c>
      <c r="F3106" s="148">
        <f>IFERROR(__xludf.DUMMYFUNCTION("""COMPUTED_VALUE"""),201101.0)</f>
        <v>201101</v>
      </c>
      <c r="G3106" s="148">
        <f>IFERROR(__xludf.DUMMYFUNCTION("""COMPUTED_VALUE"""),1.5118225E7)</f>
        <v>15118225</v>
      </c>
      <c r="H3106" s="148">
        <f>IFERROR(__xludf.DUMMYFUNCTION("""COMPUTED_VALUE"""),1.5112564E7)</f>
        <v>15112564</v>
      </c>
      <c r="I3106" s="148" t="str">
        <f>IFERROR(__xludf.DUMMYFUNCTION("""COMPUTED_VALUE"""),"{}")</f>
        <v>{}</v>
      </c>
      <c r="J3106" s="148" t="str">
        <f>IFERROR(__xludf.DUMMYFUNCTION("""COMPUTED_VALUE"""),"{""typ"":""lc"",""txt"":""LC_ITEM_fes_box_name""}")</f>
        <v>{"typ":"lc","txt":"LC_ITEM_fes_box_name"}</v>
      </c>
      <c r="K3106" s="148" t="str">
        <f>IFERROR(__xludf.DUMMYFUNCTION("""COMPUTED_VALUE"""),"{""typ"":""lc"",""txt"":""LC_ITEM_fes_box_desc""}")</f>
        <v>{"typ":"lc","txt":"LC_ITEM_fes_box_desc"}</v>
      </c>
      <c r="L3106" s="148" t="str">
        <f>IFERROR(__xludf.DUMMYFUNCTION("""COMPUTED_VALUE"""),"{""typ"":""lc"",""txt"":""LC_ITEM_horde_elite_box_usedtip""}")</f>
        <v>{"typ":"lc","txt":"LC_ITEM_horde_elite_box_usedtip"}</v>
      </c>
      <c r="M3106" s="148">
        <f>IFERROR(__xludf.DUMMYFUNCTION("""COMPUTED_VALUE"""),40.0)</f>
        <v>40</v>
      </c>
      <c r="N3106" s="148">
        <f>IFERROR(__xludf.DUMMYFUNCTION("""COMPUTED_VALUE"""),999999.0)</f>
        <v>999999</v>
      </c>
      <c r="O3106" s="148">
        <f>IFERROR(__xludf.DUMMYFUNCTION("""COMPUTED_VALUE"""),99999.0)</f>
        <v>99999</v>
      </c>
      <c r="P3106" s="148">
        <f>IFERROR(__xludf.DUMMYFUNCTION("""COMPUTED_VALUE"""),99999.0)</f>
        <v>99999</v>
      </c>
      <c r="Q3106" s="148" t="str">
        <f>IFERROR(__xludf.DUMMYFUNCTION("""COMPUTED_VALUE"""),"[""bag_other""]")</f>
        <v>["bag_other"]</v>
      </c>
      <c r="R3106" s="148" t="str">
        <f>IFERROR(__xludf.DUMMYFUNCTION("""COMPUTED_VALUE"""),"[""bag""]")</f>
        <v>["bag"]</v>
      </c>
      <c r="S3106" s="148" t="str">
        <f>IFERROR(__xludf.DUMMYFUNCTION("""COMPUTED_VALUE"""),"{""drop"":{""typ"":""single_random"",""num"":1,""args"":[{""typ"":""item"",""id"":11112030,""num"":1000,""wgt"":19800},{""typ"":""item"",""id"":11112030,""num"":200,""wgt"":120000},{""typ"":""item"",""id"":11112030,""num"":50,""wgt"":200000},{""typ"":""it"&amp;"em"",""id"":111110233,""num"":1,""wgt"":100},{""typ"":""item"",""id"":11112131,""num"":1,""wgt"":100},{""typ"":""item"",""id"":11112030,""num"":20,""wgt"":400000},{""typ"":""item"",""id"":11112030,""num"":100,""wgt"":200000},{""typ"":""item"",""id"":11112"&amp;"030,""num"":400,""wgt"":60000}]}}")</f>
        <v>{"drop":{"typ":"single_random","num":1,"args":[{"typ":"item","id":11112030,"num":1000,"wgt":19800},{"typ":"item","id":11112030,"num":200,"wgt":120000},{"typ":"item","id":11112030,"num":50,"wgt":200000},{"typ":"item","id":111110233,"num":1,"wgt":100},{"typ":"item","id":11112131,"num":1,"wgt":100},{"typ":"item","id":11112030,"num":20,"wgt":400000},{"typ":"item","id":11112030,"num":100,"wgt":200000},{"typ":"item","id":11112030,"num":400,"wgt":60000}]}}</v>
      </c>
      <c r="T3106" s="148">
        <f>IFERROR(__xludf.DUMMYFUNCTION("""COMPUTED_VALUE"""),-1.0)</f>
        <v>-1</v>
      </c>
      <c r="U3106" s="148">
        <f>IFERROR(__xludf.DUMMYFUNCTION("""COMPUTED_VALUE"""),0.0)</f>
        <v>0</v>
      </c>
      <c r="V3106" s="148" t="str">
        <f>IFERROR(__xludf.DUMMYFUNCTION("""COMPUTED_VALUE"""),"[]")</f>
        <v>[]</v>
      </c>
      <c r="W3106" s="148">
        <f>IFERROR(__xludf.DUMMYFUNCTION("""COMPUTED_VALUE"""),1.174E7)</f>
        <v>11740000</v>
      </c>
      <c r="X3106" s="148">
        <f>IFERROR(__xludf.DUMMYFUNCTION("""COMPUTED_VALUE"""),0.0)</f>
        <v>0</v>
      </c>
      <c r="Y3106" s="148">
        <f>IFERROR(__xludf.DUMMYFUNCTION("""COMPUTED_VALUE"""),0.0)</f>
        <v>0</v>
      </c>
      <c r="Z3106" s="148"/>
    </row>
    <row r="3107">
      <c r="A3107" s="148">
        <f>IFERROR(__xludf.DUMMYFUNCTION("""COMPUTED_VALUE"""),1.11110254E8)</f>
        <v>111110254</v>
      </c>
      <c r="B3107" s="148" t="str">
        <f>IFERROR(__xludf.DUMMYFUNCTION("""COMPUTED_VALUE"""),"特级资源自选宝箱500W")</f>
        <v>特级资源自选宝箱500W</v>
      </c>
      <c r="C3107" s="148"/>
      <c r="D3107" s="148" t="str">
        <f>IFERROR(__xludf.DUMMYFUNCTION("""COMPUTED_VALUE"""),"item_select_box")</f>
        <v>item_select_box</v>
      </c>
      <c r="E3107" s="148">
        <f>IFERROR(__xludf.DUMMYFUNCTION("""COMPUTED_VALUE"""),19.0)</f>
        <v>19</v>
      </c>
      <c r="F3107" s="148">
        <f>IFERROR(__xludf.DUMMYFUNCTION("""COMPUTED_VALUE"""),102600.0)</f>
        <v>102600</v>
      </c>
      <c r="G3107" s="148">
        <f>IFERROR(__xludf.DUMMYFUNCTION("""COMPUTED_VALUE"""),1.5113485E7)</f>
        <v>15113485</v>
      </c>
      <c r="H3107" s="148">
        <f>IFERROR(__xludf.DUMMYFUNCTION("""COMPUTED_VALUE"""),1.5115983E7)</f>
        <v>15115983</v>
      </c>
      <c r="I3107" s="148" t="str">
        <f>IFERROR(__xludf.DUMMYFUNCTION("""COMPUTED_VALUE"""),"{}")</f>
        <v>{}</v>
      </c>
      <c r="J3107" s="148" t="str">
        <f>IFERROR(__xludf.DUMMYFUNCTION("""COMPUTED_VALUE"""),"{""typ"":""lc"",""txt"":""LC_ITEM_rss_optional_box_name4""}")</f>
        <v>{"typ":"lc","txt":"LC_ITEM_rss_optional_box_name4"}</v>
      </c>
      <c r="K3107" s="148" t="str">
        <f>IFERROR(__xludf.DUMMYFUNCTION("""COMPUTED_VALUE"""),"{""typ"":""lc"",""txt"":""LC_ITEM_rss_optional_box_desc"",""args"":[{""typ"":""int"",""val"":5000000},{""typ"":""int"",""val"":5000000}]}")</f>
        <v>{"typ":"lc","txt":"LC_ITEM_rss_optional_box_desc","args":[{"typ":"int","val":5000000},{"typ":"int","val":5000000}]}</v>
      </c>
      <c r="L3107" s="148" t="str">
        <f>IFERROR(__xludf.DUMMYFUNCTION("""COMPUTED_VALUE"""),"{""typ"":""lc"",""txt"":""LC_ITEM_chest_from_atk_npc_usedtip""}")</f>
        <v>{"typ":"lc","txt":"LC_ITEM_chest_from_atk_npc_usedtip"}</v>
      </c>
      <c r="M3107" s="148">
        <f>IFERROR(__xludf.DUMMYFUNCTION("""COMPUTED_VALUE"""),10000.0)</f>
        <v>10000</v>
      </c>
      <c r="N3107" s="148">
        <f>IFERROR(__xludf.DUMMYFUNCTION("""COMPUTED_VALUE"""),999999.0)</f>
        <v>999999</v>
      </c>
      <c r="O3107" s="148">
        <f>IFERROR(__xludf.DUMMYFUNCTION("""COMPUTED_VALUE"""),99999.0)</f>
        <v>99999</v>
      </c>
      <c r="P3107" s="148">
        <f>IFERROR(__xludf.DUMMYFUNCTION("""COMPUTED_VALUE"""),99999.0)</f>
        <v>99999</v>
      </c>
      <c r="Q3107" s="148" t="str">
        <f>IFERROR(__xludf.DUMMYFUNCTION("""COMPUTED_VALUE"""),"[""bag_asset"",""rss_food"",""rss_iron""]")</f>
        <v>["bag_asset","rss_food","rss_iron"]</v>
      </c>
      <c r="R3107" s="148" t="str">
        <f>IFERROR(__xludf.DUMMYFUNCTION("""COMPUTED_VALUE"""),"[""bag"",""rss_food"",""rss_iron""]")</f>
        <v>["bag","rss_food","rss_iron"]</v>
      </c>
      <c r="S3107" s="148" t="str">
        <f>IFERROR(__xludf.DUMMYFUNCTION("""COMPUTED_VALUE"""),"{""select_box"":[{""typ"":""rss"",""id"":11141001,""val"":5000000},{""typ"":""rss"",""id"":11141003,""val"":5000000}]}")</f>
        <v>{"select_box":[{"typ":"rss","id":11141001,"val":5000000},{"typ":"rss","id":11141003,"val":5000000}]}</v>
      </c>
      <c r="T3107" s="148">
        <f>IFERROR(__xludf.DUMMYFUNCTION("""COMPUTED_VALUE"""),-1.0)</f>
        <v>-1</v>
      </c>
      <c r="U3107" s="148">
        <f>IFERROR(__xludf.DUMMYFUNCTION("""COMPUTED_VALUE"""),1.0)</f>
        <v>1</v>
      </c>
      <c r="V3107" s="148" t="str">
        <f>IFERROR(__xludf.DUMMYFUNCTION("""COMPUTED_VALUE"""),"[]")</f>
        <v>[]</v>
      </c>
      <c r="W3107" s="148">
        <f>IFERROR(__xludf.DUMMYFUNCTION("""COMPUTED_VALUE"""),1.1741001E7)</f>
        <v>11741001</v>
      </c>
      <c r="X3107" s="148">
        <f>IFERROR(__xludf.DUMMYFUNCTION("""COMPUTED_VALUE"""),0.0)</f>
        <v>0</v>
      </c>
      <c r="Y3107" s="148">
        <f>IFERROR(__xludf.DUMMYFUNCTION("""COMPUTED_VALUE"""),0.0)</f>
        <v>0</v>
      </c>
      <c r="Z3107" s="148"/>
    </row>
    <row r="3108">
      <c r="A3108" s="148">
        <f>IFERROR(__xludf.DUMMYFUNCTION("""COMPUTED_VALUE"""),1.11110255E8)</f>
        <v>111110255</v>
      </c>
      <c r="B3108" s="148" t="str">
        <f>IFERROR(__xludf.DUMMYFUNCTION("""COMPUTED_VALUE"""),"2026累充bingo-主城皮肤自选宝箱")</f>
        <v>2026累充bingo-主城皮肤自选宝箱</v>
      </c>
      <c r="C3108" s="148"/>
      <c r="D3108" s="148" t="str">
        <f>IFERROR(__xludf.DUMMYFUNCTION("""COMPUTED_VALUE"""),"item_select_box")</f>
        <v>item_select_box</v>
      </c>
      <c r="E3108" s="148">
        <f>IFERROR(__xludf.DUMMYFUNCTION("""COMPUTED_VALUE"""),19.0)</f>
        <v>19</v>
      </c>
      <c r="F3108" s="148">
        <f>IFERROR(__xludf.DUMMYFUNCTION("""COMPUTED_VALUE"""),408195.0)</f>
        <v>408195</v>
      </c>
      <c r="G3108" s="148">
        <f>IFERROR(__xludf.DUMMYFUNCTION("""COMPUTED_VALUE"""),1.51104618E8)</f>
        <v>151104618</v>
      </c>
      <c r="H3108" s="148">
        <f>IFERROR(__xludf.DUMMYFUNCTION("""COMPUTED_VALUE"""),1.5112564E7)</f>
        <v>15112564</v>
      </c>
      <c r="I3108" s="148" t="str">
        <f>IFERROR(__xludf.DUMMYFUNCTION("""COMPUTED_VALUE"""),"{}")</f>
        <v>{}</v>
      </c>
      <c r="J3108" s="148" t="str">
        <f>IFERROR(__xludf.DUMMYFUNCTION("""COMPUTED_VALUE"""),"{""typ"":""lc"",""txt"":""LC_ITEM_bingo_city_effect_2026_skin_select""}")</f>
        <v>{"typ":"lc","txt":"LC_ITEM_bingo_city_effect_2026_skin_select"}</v>
      </c>
      <c r="K3108" s="148" t="str">
        <f>IFERROR(__xludf.DUMMYFUNCTION("""COMPUTED_VALUE"""),"{""typ"":""lc"",""txt"":""LC_ITEM_digkeys2025_skin_select_desc""}")</f>
        <v>{"typ":"lc","txt":"LC_ITEM_digkeys2025_skin_select_desc"}</v>
      </c>
      <c r="L3108" s="148" t="str">
        <f>IFERROR(__xludf.DUMMYFUNCTION("""COMPUTED_VALUE"""),"{}")</f>
        <v>{}</v>
      </c>
      <c r="M3108" s="148">
        <f>IFERROR(__xludf.DUMMYFUNCTION("""COMPUTED_VALUE"""),1000.0)</f>
        <v>1000</v>
      </c>
      <c r="N3108" s="148">
        <f>IFERROR(__xludf.DUMMYFUNCTION("""COMPUTED_VALUE"""),9999999.0)</f>
        <v>9999999</v>
      </c>
      <c r="O3108" s="148">
        <f>IFERROR(__xludf.DUMMYFUNCTION("""COMPUTED_VALUE"""),99999.0)</f>
        <v>99999</v>
      </c>
      <c r="P3108" s="148">
        <f>IFERROR(__xludf.DUMMYFUNCTION("""COMPUTED_VALUE"""),99999.0)</f>
        <v>99999</v>
      </c>
      <c r="Q3108" s="148" t="str">
        <f>IFERROR(__xludf.DUMMYFUNCTION("""COMPUTED_VALUE"""),"[""bag_other""]")</f>
        <v>["bag_other"]</v>
      </c>
      <c r="R3108" s="148" t="str">
        <f>IFERROR(__xludf.DUMMYFUNCTION("""COMPUTED_VALUE"""),"[""bag""]")</f>
        <v>["bag"]</v>
      </c>
      <c r="S3108" s="148" t="str">
        <f>IFERROR(__xludf.DUMMYFUNCTION("""COMPUTED_VALUE"""),"{""select_box"":[{""typ"":""item"",""id"":11117512,""val"":1},{""typ"":""item"",""id"":11112131,""val"":1},{""typ"":""item"",""id"":11112512,""val"":1},{""typ"":""item"",""id"":11112030,""val"":4500}]}")</f>
        <v>{"select_box":[{"typ":"item","id":11117512,"val":1},{"typ":"item","id":11112131,"val":1},{"typ":"item","id":11112512,"val":1},{"typ":"item","id":11112030,"val":4500}]}</v>
      </c>
      <c r="T3108" s="148">
        <f>IFERROR(__xludf.DUMMYFUNCTION("""COMPUTED_VALUE"""),-1.0)</f>
        <v>-1</v>
      </c>
      <c r="U3108" s="148">
        <f>IFERROR(__xludf.DUMMYFUNCTION("""COMPUTED_VALUE"""),0.0)</f>
        <v>0</v>
      </c>
      <c r="V3108" s="148" t="str">
        <f>IFERROR(__xludf.DUMMYFUNCTION("""COMPUTED_VALUE"""),"[]")</f>
        <v>[]</v>
      </c>
      <c r="W3108" s="148">
        <f>IFERROR(__xludf.DUMMYFUNCTION("""COMPUTED_VALUE"""),1.1741002E7)</f>
        <v>11741002</v>
      </c>
      <c r="X3108" s="148">
        <f>IFERROR(__xludf.DUMMYFUNCTION("""COMPUTED_VALUE"""),0.0)</f>
        <v>0</v>
      </c>
      <c r="Y3108" s="148">
        <f>IFERROR(__xludf.DUMMYFUNCTION("""COMPUTED_VALUE"""),0.0)</f>
        <v>0</v>
      </c>
      <c r="Z3108" s="148"/>
    </row>
    <row r="3109">
      <c r="A3109" s="148">
        <f>IFERROR(__xludf.DUMMYFUNCTION("""COMPUTED_VALUE"""),1.11110256E8)</f>
        <v>111110256</v>
      </c>
      <c r="B3109" s="148" t="str">
        <f>IFERROR(__xludf.DUMMYFUNCTION("""COMPUTED_VALUE"""),"2026科技节外显体验卡自选道具")</f>
        <v>2026科技节外显体验卡自选道具</v>
      </c>
      <c r="C3109" s="148"/>
      <c r="D3109" s="148" t="str">
        <f>IFERROR(__xludf.DUMMYFUNCTION("""COMPUTED_VALUE"""),"item_select_box")</f>
        <v>item_select_box</v>
      </c>
      <c r="E3109" s="148">
        <f>IFERROR(__xludf.DUMMYFUNCTION("""COMPUTED_VALUE"""),19.0)</f>
        <v>19</v>
      </c>
      <c r="F3109" s="148">
        <f>IFERROR(__xludf.DUMMYFUNCTION("""COMPUTED_VALUE"""),403200.0)</f>
        <v>403200</v>
      </c>
      <c r="G3109" s="148">
        <f>IFERROR(__xludf.DUMMYFUNCTION("""COMPUTED_VALUE"""),1.51104825E8)</f>
        <v>151104825</v>
      </c>
      <c r="H3109" s="148">
        <f>IFERROR(__xludf.DUMMYFUNCTION("""COMPUTED_VALUE"""),1.5112564E7)</f>
        <v>15112564</v>
      </c>
      <c r="I3109" s="148" t="str">
        <f>IFERROR(__xludf.DUMMYFUNCTION("""COMPUTED_VALUE"""),"{}")</f>
        <v>{}</v>
      </c>
      <c r="J3109" s="148" t="str">
        <f>IFERROR(__xludf.DUMMYFUNCTION("""COMPUTED_VALUE"""),"{""typ"":""lc"",""txt"":""LC_ITEM_tech_2026_city_suit_select_box_name""}")</f>
        <v>{"typ":"lc","txt":"LC_ITEM_tech_2026_city_suit_select_box_name"}</v>
      </c>
      <c r="K3109" s="148" t="str">
        <f>IFERROR(__xludf.DUMMYFUNCTION("""COMPUTED_VALUE"""),"{""typ"":""lc"",""txt"":""LC_ITEM_tech_2026_city_suit_select_box_desc"",""args"":[{""typ"":""int"",""val"":1},{""typ"":""int"",""val"":1}]}")</f>
        <v>{"typ":"lc","txt":"LC_ITEM_tech_2026_city_suit_select_box_desc","args":[{"typ":"int","val":1},{"typ":"int","val":1}]}</v>
      </c>
      <c r="L3109" s="148" t="str">
        <f>IFERROR(__xludf.DUMMYFUNCTION("""COMPUTED_VALUE"""),"{""typ"":""lc"",""txt"":""LC_ITEM_chest_from_atk_npc_usedtip""}")</f>
        <v>{"typ":"lc","txt":"LC_ITEM_chest_from_atk_npc_usedtip"}</v>
      </c>
      <c r="M3109" s="148">
        <f>IFERROR(__xludf.DUMMYFUNCTION("""COMPUTED_VALUE"""),1000.0)</f>
        <v>1000</v>
      </c>
      <c r="N3109" s="148">
        <f>IFERROR(__xludf.DUMMYFUNCTION("""COMPUTED_VALUE"""),999999.0)</f>
        <v>999999</v>
      </c>
      <c r="O3109" s="148">
        <f>IFERROR(__xludf.DUMMYFUNCTION("""COMPUTED_VALUE"""),99999.0)</f>
        <v>99999</v>
      </c>
      <c r="P3109" s="148">
        <f>IFERROR(__xludf.DUMMYFUNCTION("""COMPUTED_VALUE"""),99999.0)</f>
        <v>99999</v>
      </c>
      <c r="Q3109" s="148" t="str">
        <f>IFERROR(__xludf.DUMMYFUNCTION("""COMPUTED_VALUE"""),"[""bag_other""]")</f>
        <v>["bag_other"]</v>
      </c>
      <c r="R3109" s="148" t="str">
        <f>IFERROR(__xludf.DUMMYFUNCTION("""COMPUTED_VALUE"""),"[""bag""]")</f>
        <v>["bag"]</v>
      </c>
      <c r="S3109" s="148" t="str">
        <f>IFERROR(__xludf.DUMMYFUNCTION("""COMPUTED_VALUE"""),"{""select_box"":[{""typ"":""item"",""id"":111110236,""val"":1},{""typ"":""item"",""id"":111110239,""val"":1},{""typ"":""item"",""id"":111110244,""val"":1},{""typ"":""item"",""id"":111110248,""val"":1},{""typ"":""item"",""id"":111110252,""val"":1},{""typ"""&amp;":""item"",""id"":11118663,""val"":10}]}")</f>
        <v>{"select_box":[{"typ":"item","id":111110236,"val":1},{"typ":"item","id":111110239,"val":1},{"typ":"item","id":111110244,"val":1},{"typ":"item","id":111110248,"val":1},{"typ":"item","id":111110252,"val":1},{"typ":"item","id":11118663,"val":10}]}</v>
      </c>
      <c r="T3109" s="148">
        <f>IFERROR(__xludf.DUMMYFUNCTION("""COMPUTED_VALUE"""),1.0)</f>
        <v>1</v>
      </c>
      <c r="U3109" s="148">
        <f>IFERROR(__xludf.DUMMYFUNCTION("""COMPUTED_VALUE"""),0.0)</f>
        <v>0</v>
      </c>
      <c r="V3109" s="148" t="str">
        <f>IFERROR(__xludf.DUMMYFUNCTION("""COMPUTED_VALUE"""),"[]")</f>
        <v>[]</v>
      </c>
      <c r="W3109" s="148">
        <f>IFERROR(__xludf.DUMMYFUNCTION("""COMPUTED_VALUE"""),1.174E7)</f>
        <v>11740000</v>
      </c>
      <c r="X3109" s="148">
        <f>IFERROR(__xludf.DUMMYFUNCTION("""COMPUTED_VALUE"""),0.0)</f>
        <v>0</v>
      </c>
      <c r="Y3109" s="148">
        <f>IFERROR(__xludf.DUMMYFUNCTION("""COMPUTED_VALUE"""),0.0)</f>
        <v>0</v>
      </c>
      <c r="Z3109" s="148"/>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8" t="str">
        <f>IFERROR(__xludf.DUMMYFUNCTION("IMPORTRANGE(""https://docs.google.com/spreadsheets/d/1OICQIdJxy77vnDPvKh_POYrINpYs52akzOK7r4pJTRk/edit#gid=0"",""soldier!A:Z"")"),"A_INT_id")</f>
        <v>A_INT_id</v>
      </c>
      <c r="B1" s="148" t="str">
        <f>IFERROR(__xludf.DUMMYFUNCTION("""COMPUTED_VALUE"""),"S_STR_comment")</f>
        <v>S_STR_comment</v>
      </c>
      <c r="C1" s="148" t="str">
        <f>IFERROR(__xludf.DUMMYFUNCTION("""COMPUTED_VALUE"""),"A_INT_category")</f>
        <v>A_INT_category</v>
      </c>
      <c r="D1" s="148" t="str">
        <f>IFERROR(__xludf.DUMMYFUNCTION("""COMPUTED_VALUE"""),"C_INT_display_key")</f>
        <v>C_INT_display_key</v>
      </c>
      <c r="E1" s="148" t="str">
        <f>IFERROR(__xludf.DUMMYFUNCTION("""COMPUTED_VALUE"""),"A_MAP_lc_name")</f>
        <v>A_MAP_lc_name</v>
      </c>
      <c r="F1" s="148" t="str">
        <f>IFERROR(__xludf.DUMMYFUNCTION("""COMPUTED_VALUE"""),"C_MAP_lc_desc")</f>
        <v>C_MAP_lc_desc</v>
      </c>
      <c r="G1" s="148" t="str">
        <f>IFERROR(__xludf.DUMMYFUNCTION("""COMPUTED_VALUE"""),"N_FLT_value")</f>
        <v>N_FLT_value</v>
      </c>
      <c r="H1" s="148" t="str">
        <f>IFERROR(__xludf.DUMMYFUNCTION("""COMPUTED_VALUE"""),"C_INT_display_order")</f>
        <v>C_INT_display_order</v>
      </c>
      <c r="I1" s="148" t="str">
        <f>IFERROR(__xludf.DUMMYFUNCTION("""COMPUTED_VALUE"""),"A_INT_hospital_priority")</f>
        <v>A_INT_hospital_priority</v>
      </c>
      <c r="J1" s="148" t="str">
        <f>IFERROR(__xludf.DUMMYFUNCTION("""COMPUTED_VALUE"""),"C_INT_display_lvl")</f>
        <v>C_INT_display_lvl</v>
      </c>
      <c r="K1" s="148" t="str">
        <f>IFERROR(__xludf.DUMMYFUNCTION("""COMPUTED_VALUE"""),"A_INT_lvl")</f>
        <v>A_INT_lvl</v>
      </c>
      <c r="L1" s="148" t="str">
        <f>IFERROR(__xludf.DUMMYFUNCTION("""COMPUTED_VALUE"""),"A_INT_lvl_max")</f>
        <v>A_INT_lvl_max</v>
      </c>
      <c r="M1" s="148" t="str">
        <f>IFERROR(__xludf.DUMMYFUNCTION("""COMPUTED_VALUE"""),"A_INT_train_cost_time")</f>
        <v>A_INT_train_cost_time</v>
      </c>
      <c r="N1" s="148" t="str">
        <f>IFERROR(__xludf.DUMMYFUNCTION("""COMPUTED_VALUE"""),"A_ARR_train_cost_asset")</f>
        <v>A_ARR_train_cost_asset</v>
      </c>
      <c r="O1" s="148" t="str">
        <f>IFERROR(__xludf.DUMMYFUNCTION("""COMPUTED_VALUE"""),"A_MAP_train_requirement")</f>
        <v>A_MAP_train_requirement</v>
      </c>
      <c r="P1" s="148" t="str">
        <f>IFERROR(__xludf.DUMMYFUNCTION("""COMPUTED_VALUE"""),"A_INT_heal_cost_time")</f>
        <v>A_INT_heal_cost_time</v>
      </c>
      <c r="Q1" s="148" t="str">
        <f>IFERROR(__xludf.DUMMYFUNCTION("""COMPUTED_VALUE"""),"A_ARR_heal_cost_asset")</f>
        <v>A_ARR_heal_cost_asset</v>
      </c>
      <c r="R1" s="148" t="str">
        <f>IFERROR(__xludf.DUMMYFUNCTION("""COMPUTED_VALUE"""),"A_MAP_heal_requirement")</f>
        <v>A_MAP_heal_requirement</v>
      </c>
      <c r="S1" s="148" t="str">
        <f>IFERROR(__xludf.DUMMYFUNCTION("""COMPUTED_VALUE"""),"A_INT_upgrade_cost_time")</f>
        <v>A_INT_upgrade_cost_time</v>
      </c>
      <c r="T1" s="148" t="str">
        <f>IFERROR(__xludf.DUMMYFUNCTION("""COMPUTED_VALUE"""),"A_ARR_upgrade_cost_asset")</f>
        <v>A_ARR_upgrade_cost_asset</v>
      </c>
      <c r="U1" s="148" t="str">
        <f>IFERROR(__xludf.DUMMYFUNCTION("""COMPUTED_VALUE"""),"A_INT_upgrade_id")</f>
        <v>A_INT_upgrade_id</v>
      </c>
      <c r="V1" s="148" t="str">
        <f>IFERROR(__xludf.DUMMYFUNCTION("""COMPUTED_VALUE"""),"A_MAP_upgrade_requirement")</f>
        <v>A_MAP_upgrade_requirement</v>
      </c>
      <c r="W1" s="148" t="str">
        <f>IFERROR(__xludf.DUMMYFUNCTION("""COMPUTED_VALUE"""),"A_ARR_maintain_cost_asset")</f>
        <v>A_ARR_maintain_cost_asset</v>
      </c>
      <c r="X1" s="148" t="str">
        <f>IFERROR(__xludf.DUMMYFUNCTION("""COMPUTED_VALUE"""),"A_ARR_status")</f>
        <v>A_ARR_status</v>
      </c>
      <c r="Y1" s="148" t="str">
        <f>IFERROR(__xludf.DUMMYFUNCTION("""COMPUTED_VALUE"""),"A_ARR_soldier_stat")</f>
        <v>A_ARR_soldier_stat</v>
      </c>
      <c r="Z1" s="148" t="str">
        <f>IFERROR(__xludf.DUMMYFUNCTION("""COMPUTED_VALUE"""),"A_ARR_skill")</f>
        <v>A_ARR_skill</v>
      </c>
    </row>
    <row r="2">
      <c r="A2" s="148">
        <f>IFERROR(__xludf.DUMMYFUNCTION("""COMPUTED_VALUE"""),1.1210001E7)</f>
        <v>11210001</v>
      </c>
      <c r="B2" s="148" t="str">
        <f>IFERROR(__xludf.DUMMYFUNCTION("""COMPUTED_VALUE"""),"部队-旗手")</f>
        <v>部队-旗手</v>
      </c>
      <c r="C2" s="148">
        <f>IFERROR(__xludf.DUMMYFUNCTION("""COMPUTED_VALUE"""),1.1221004E7)</f>
        <v>11221004</v>
      </c>
      <c r="D2" s="148">
        <f>IFERROR(__xludf.DUMMYFUNCTION("""COMPUTED_VALUE"""),1.5112262E7)</f>
        <v>15112262</v>
      </c>
      <c r="E2" s="148" t="str">
        <f>IFERROR(__xludf.DUMMYFUNCTION("""COMPUTED_VALUE"""),"{""typ"":""lc"",""txt"":""LC_HERO_need_update_title""}")</f>
        <v>{"typ":"lc","txt":"LC_HERO_need_update_title"}</v>
      </c>
      <c r="F2" s="148" t="str">
        <f>IFERROR(__xludf.DUMMYFUNCTION("""COMPUTED_VALUE"""),"{}")</f>
        <v>{}</v>
      </c>
      <c r="G2" s="148">
        <f>IFERROR(__xludf.DUMMYFUNCTION("""COMPUTED_VALUE"""),1.0)</f>
        <v>1</v>
      </c>
      <c r="H2" s="148">
        <f>IFERROR(__xludf.DUMMYFUNCTION("""COMPUTED_VALUE"""),0.0)</f>
        <v>0</v>
      </c>
      <c r="I2" s="148">
        <f>IFERROR(__xludf.DUMMYFUNCTION("""COMPUTED_VALUE"""),0.0)</f>
        <v>0</v>
      </c>
      <c r="J2" s="148">
        <f>IFERROR(__xludf.DUMMYFUNCTION("""COMPUTED_VALUE"""),1.0)</f>
        <v>1</v>
      </c>
      <c r="K2" s="148">
        <f>IFERROR(__xludf.DUMMYFUNCTION("""COMPUTED_VALUE"""),10.0)</f>
        <v>10</v>
      </c>
      <c r="L2" s="148">
        <f>IFERROR(__xludf.DUMMYFUNCTION("""COMPUTED_VALUE"""),1.0)</f>
        <v>1</v>
      </c>
      <c r="M2" s="148">
        <f>IFERROR(__xludf.DUMMYFUNCTION("""COMPUTED_VALUE"""),0.0)</f>
        <v>0</v>
      </c>
      <c r="N2" s="148" t="str">
        <f>IFERROR(__xludf.DUMMYFUNCTION("""COMPUTED_VALUE"""),"[]")</f>
        <v>[]</v>
      </c>
      <c r="O2" s="148" t="str">
        <f>IFERROR(__xludf.DUMMYFUNCTION("""COMPUTED_VALUE"""),"{}")</f>
        <v>{}</v>
      </c>
      <c r="P2" s="148">
        <f>IFERROR(__xludf.DUMMYFUNCTION("""COMPUTED_VALUE"""),0.0)</f>
        <v>0</v>
      </c>
      <c r="Q2" s="148" t="str">
        <f>IFERROR(__xludf.DUMMYFUNCTION("""COMPUTED_VALUE"""),"[]")</f>
        <v>[]</v>
      </c>
      <c r="R2" s="148" t="str">
        <f>IFERROR(__xludf.DUMMYFUNCTION("""COMPUTED_VALUE"""),"{}")</f>
        <v>{}</v>
      </c>
      <c r="S2" s="148">
        <f>IFERROR(__xludf.DUMMYFUNCTION("""COMPUTED_VALUE"""),0.0)</f>
        <v>0</v>
      </c>
      <c r="T2" s="148" t="str">
        <f>IFERROR(__xludf.DUMMYFUNCTION("""COMPUTED_VALUE"""),"[]")</f>
        <v>[]</v>
      </c>
      <c r="U2" s="148">
        <f>IFERROR(__xludf.DUMMYFUNCTION("""COMPUTED_VALUE"""),0.0)</f>
        <v>0</v>
      </c>
      <c r="V2" s="148" t="str">
        <f>IFERROR(__xludf.DUMMYFUNCTION("""COMPUTED_VALUE"""),"{}")</f>
        <v>{}</v>
      </c>
      <c r="W2" s="148" t="str">
        <f>IFERROR(__xludf.DUMMYFUNCTION("""COMPUTED_VALUE"""),"[]")</f>
        <v>[]</v>
      </c>
      <c r="X2" s="148" t="str">
        <f>IFERROR(__xludf.DUMMYFUNCTION("""COMPUTED_VALUE"""),"[]")</f>
        <v>[]</v>
      </c>
      <c r="Y2" s="148" t="str">
        <f>IFERROR(__xludf.DUMMYFUNCTION("""COMPUTED_VALUE"""),"[]")</f>
        <v>[]</v>
      </c>
      <c r="Z2" s="148" t="str">
        <f>IFERROR(__xludf.DUMMYFUNCTION("""COMPUTED_VALUE"""),"[]")</f>
        <v>[]</v>
      </c>
    </row>
    <row r="3">
      <c r="A3" s="148">
        <f>IFERROR(__xludf.DUMMYFUNCTION("""COMPUTED_VALUE"""),1.1211001E7)</f>
        <v>11211001</v>
      </c>
      <c r="B3" s="148" t="str">
        <f>IFERROR(__xludf.DUMMYFUNCTION("""COMPUTED_VALUE"""),"步兵 lv1")</f>
        <v>步兵 lv1</v>
      </c>
      <c r="C3" s="148">
        <f>IFERROR(__xludf.DUMMYFUNCTION("""COMPUTED_VALUE"""),1.1221001E7)</f>
        <v>11221001</v>
      </c>
      <c r="D3" s="148">
        <f>IFERROR(__xludf.DUMMYFUNCTION("""COMPUTED_VALUE"""),1.5110052E7)</f>
        <v>15110052</v>
      </c>
      <c r="E3" s="148" t="str">
        <f>IFERROR(__xludf.DUMMYFUNCTION("""COMPUTED_VALUE"""),"{""typ"":""lc"",""txt"":""LC_SOLDIER_hitter_name_1""}")</f>
        <v>{"typ":"lc","txt":"LC_SOLDIER_hitter_name_1"}</v>
      </c>
      <c r="F3" s="148" t="str">
        <f>IFERROR(__xludf.DUMMYFUNCTION("""COMPUTED_VALUE"""),"{""typ"":""lc"",""txt"":""LC_SOLDIER_hitter_desc_1""}")</f>
        <v>{"typ":"lc","txt":"LC_SOLDIER_hitter_desc_1"}</v>
      </c>
      <c r="G3" s="148">
        <f>IFERROR(__xludf.DUMMYFUNCTION("""COMPUTED_VALUE"""),1.0)</f>
        <v>1</v>
      </c>
      <c r="H3" s="148">
        <f>IFERROR(__xludf.DUMMYFUNCTION("""COMPUTED_VALUE"""),3.0)</f>
        <v>3</v>
      </c>
      <c r="I3" s="148">
        <f>IFERROR(__xludf.DUMMYFUNCTION("""COMPUTED_VALUE"""),10010.0)</f>
        <v>10010</v>
      </c>
      <c r="J3" s="148">
        <f>IFERROR(__xludf.DUMMYFUNCTION("""COMPUTED_VALUE"""),1.0)</f>
        <v>1</v>
      </c>
      <c r="K3" s="148">
        <f>IFERROR(__xludf.DUMMYFUNCTION("""COMPUTED_VALUE"""),1.0)</f>
        <v>1</v>
      </c>
      <c r="L3" s="148">
        <f>IFERROR(__xludf.DUMMYFUNCTION("""COMPUTED_VALUE"""),6.0)</f>
        <v>6</v>
      </c>
      <c r="M3" s="148">
        <f>IFERROR(__xludf.DUMMYFUNCTION("""COMPUTED_VALUE"""),13000.0)</f>
        <v>13000</v>
      </c>
      <c r="N3" s="148" t="str">
        <f>IFERROR(__xludf.DUMMYFUNCTION("""COMPUTED_VALUE"""),"[{""typ"":""rss"",""id"":11141001,""val"":50},{""typ"":""rss"",""id"":11141003,""val"":50}]")</f>
        <v>[{"typ":"rss","id":11141001,"val":50},{"typ":"rss","id":11141003,"val":50}]</v>
      </c>
      <c r="O3" s="148" t="str">
        <f>IFERROR(__xludf.DUMMYFUNCTION("""COMPUTED_VALUE"""),"{""op"":""and"",""args"":[{""op"":""ge"",""typ"":""building"",""id"":111816,""val"":1}]}")</f>
        <v>{"op":"and","args":[{"op":"ge","typ":"building","id":111816,"val":1}]}</v>
      </c>
      <c r="P3" s="148">
        <f>IFERROR(__xludf.DUMMYFUNCTION("""COMPUTED_VALUE"""),65.0)</f>
        <v>65</v>
      </c>
      <c r="Q3" s="148" t="str">
        <f>IFERROR(__xludf.DUMMYFUNCTION("""COMPUTED_VALUE"""),"[{""typ"":""rss"",""id"":11141001,""val"":20},{""typ"":""rss"",""id"":11141003,""val"":20}]")</f>
        <v>[{"typ":"rss","id":11141001,"val":20},{"typ":"rss","id":11141003,"val":20}]</v>
      </c>
      <c r="R3" s="148" t="str">
        <f>IFERROR(__xludf.DUMMYFUNCTION("""COMPUTED_VALUE"""),"{}")</f>
        <v>{}</v>
      </c>
      <c r="S3" s="148">
        <f>IFERROR(__xludf.DUMMYFUNCTION("""COMPUTED_VALUE"""),0.0)</f>
        <v>0</v>
      </c>
      <c r="T3" s="148" t="str">
        <f>IFERROR(__xludf.DUMMYFUNCTION("""COMPUTED_VALUE"""),"[]")</f>
        <v>[]</v>
      </c>
      <c r="U3" s="148">
        <f>IFERROR(__xludf.DUMMYFUNCTION("""COMPUTED_VALUE"""),0.0)</f>
        <v>0</v>
      </c>
      <c r="V3" s="148" t="str">
        <f>IFERROR(__xludf.DUMMYFUNCTION("""COMPUTED_VALUE"""),"{""op"":""and"",""args"":[{""op"":""ge"",""typ"":""building"",""id"":111816,""val"":1}]}")</f>
        <v>{"op":"and","args":[{"op":"ge","typ":"building","id":111816,"val":1}]}</v>
      </c>
      <c r="W3" s="148" t="str">
        <f>IFERROR(__xludf.DUMMYFUNCTION("""COMPUTED_VALUE"""),"[]")</f>
        <v>[]</v>
      </c>
      <c r="X3" s="148" t="str">
        <f>IFERROR(__xludf.DUMMYFUNCTION("""COMPUTED_VALUE"""),"[{""typ"":""power"",""id"":12141002,""val"":1}]")</f>
        <v>[{"typ":"power","id":12141002,"val":1}]</v>
      </c>
      <c r="Y3" s="148" t="str">
        <f>IFERROR(__xludf.DUMMYFUNCTION("""COMPUTED_VALUE"""),"[{""typ"":""atk"",""val"":58},{""typ"":""def"",""val"":130},{""typ"":""hp"",""val"":120},{""typ"":""speed"",""val"":40},{""typ"":""load"",""val"":7},{""typ"":""backcoef"",""val"":0.5},{""typ"":""atkcoef"",""val"":1.0},{""typ"":""atkcd"",""val"":0}]")</f>
        <v>[{"typ":"atk","val":58},{"typ":"def","val":130},{"typ":"hp","val":120},{"typ":"speed","val":40},{"typ":"load","val":7},{"typ":"backcoef","val":0.5},{"typ":"atkcoef","val":1.0},{"typ":"atkcd","val":0}]</v>
      </c>
      <c r="Z3" s="148" t="str">
        <f>IFERROR(__xludf.DUMMYFUNCTION("""COMPUTED_VALUE"""),"[]")</f>
        <v>[]</v>
      </c>
    </row>
    <row r="4">
      <c r="A4" s="148">
        <f>IFERROR(__xludf.DUMMYFUNCTION("""COMPUTED_VALUE"""),1.1211002E7)</f>
        <v>11211002</v>
      </c>
      <c r="B4" s="148" t="str">
        <f>IFERROR(__xludf.DUMMYFUNCTION("""COMPUTED_VALUE"""),"步兵 lv2")</f>
        <v>步兵 lv2</v>
      </c>
      <c r="C4" s="148">
        <f>IFERROR(__xludf.DUMMYFUNCTION("""COMPUTED_VALUE"""),1.1221001E7)</f>
        <v>11221001</v>
      </c>
      <c r="D4" s="148">
        <f>IFERROR(__xludf.DUMMYFUNCTION("""COMPUTED_VALUE"""),1.5110053E7)</f>
        <v>15110053</v>
      </c>
      <c r="E4" s="148" t="str">
        <f>IFERROR(__xludf.DUMMYFUNCTION("""COMPUTED_VALUE"""),"{""typ"":""lc"",""txt"":""LC_SOLDIER_hitter_name_2""}")</f>
        <v>{"typ":"lc","txt":"LC_SOLDIER_hitter_name_2"}</v>
      </c>
      <c r="F4" s="148" t="str">
        <f>IFERROR(__xludf.DUMMYFUNCTION("""COMPUTED_VALUE"""),"{""typ"":""lc"",""txt"":""LC_SOLDIER_hitter_desc_2""}")</f>
        <v>{"typ":"lc","txt":"LC_SOLDIER_hitter_desc_2"}</v>
      </c>
      <c r="G4" s="148">
        <f>IFERROR(__xludf.DUMMYFUNCTION("""COMPUTED_VALUE"""),2.0)</f>
        <v>2</v>
      </c>
      <c r="H4" s="148">
        <f>IFERROR(__xludf.DUMMYFUNCTION("""COMPUTED_VALUE"""),7.0)</f>
        <v>7</v>
      </c>
      <c r="I4" s="148">
        <f>IFERROR(__xludf.DUMMYFUNCTION("""COMPUTED_VALUE"""),10008.0)</f>
        <v>10008</v>
      </c>
      <c r="J4" s="148">
        <f>IFERROR(__xludf.DUMMYFUNCTION("""COMPUTED_VALUE"""),3.0)</f>
        <v>3</v>
      </c>
      <c r="K4" s="148">
        <f>IFERROR(__xludf.DUMMYFUNCTION("""COMPUTED_VALUE"""),2.0)</f>
        <v>2</v>
      </c>
      <c r="L4" s="148">
        <f>IFERROR(__xludf.DUMMYFUNCTION("""COMPUTED_VALUE"""),6.0)</f>
        <v>6</v>
      </c>
      <c r="M4" s="148">
        <f>IFERROR(__xludf.DUMMYFUNCTION("""COMPUTED_VALUE"""),30000.0)</f>
        <v>30000</v>
      </c>
      <c r="N4" s="148" t="str">
        <f>IFERROR(__xludf.DUMMYFUNCTION("""COMPUTED_VALUE"""),"[{""typ"":""rss"",""id"":11141001,""val"":100},{""typ"":""rss"",""id"":11141003,""val"":100}]")</f>
        <v>[{"typ":"rss","id":11141001,"val":100},{"typ":"rss","id":11141003,"val":100}]</v>
      </c>
      <c r="O4" s="148" t="str">
        <f>IFERROR(__xludf.DUMMYFUNCTION("""COMPUTED_VALUE"""),"{""op"":""and"",""args"":[{""op"":""ge"",""typ"":""research"",""id"":111934,""val"":1},{""op"":""ge"",""typ"":""building"",""id"":111816,""val"":1}]}")</f>
        <v>{"op":"and","args":[{"op":"ge","typ":"research","id":111934,"val":1},{"op":"ge","typ":"building","id":111816,"val":1}]}</v>
      </c>
      <c r="P4" s="148">
        <f>IFERROR(__xludf.DUMMYFUNCTION("""COMPUTED_VALUE"""),1000.0)</f>
        <v>1000</v>
      </c>
      <c r="Q4" s="148" t="str">
        <f>IFERROR(__xludf.DUMMYFUNCTION("""COMPUTED_VALUE"""),"[{""typ"":""rss"",""id"":11141001,""val"":40},{""typ"":""rss"",""id"":11141003,""val"":40}]")</f>
        <v>[{"typ":"rss","id":11141001,"val":40},{"typ":"rss","id":11141003,"val":40}]</v>
      </c>
      <c r="R4" s="148" t="str">
        <f>IFERROR(__xludf.DUMMYFUNCTION("""COMPUTED_VALUE"""),"{}")</f>
        <v>{}</v>
      </c>
      <c r="S4" s="148">
        <f>IFERROR(__xludf.DUMMYFUNCTION("""COMPUTED_VALUE"""),17000.0)</f>
        <v>17000</v>
      </c>
      <c r="T4" s="148" t="str">
        <f>IFERROR(__xludf.DUMMYFUNCTION("""COMPUTED_VALUE"""),"[{""typ"":""rss"",""id"":11141001,""val"":50},{""typ"":""rss"",""id"":11141003,""val"":50}]")</f>
        <v>[{"typ":"rss","id":11141001,"val":50},{"typ":"rss","id":11141003,"val":50}]</v>
      </c>
      <c r="U4" s="148">
        <f>IFERROR(__xludf.DUMMYFUNCTION("""COMPUTED_VALUE"""),0.0)</f>
        <v>0</v>
      </c>
      <c r="V4" s="148" t="str">
        <f>IFERROR(__xludf.DUMMYFUNCTION("""COMPUTED_VALUE"""),"{""op"":""and"",""args"":[{""op"":""ge"",""typ"":""research"",""id"":11193401,""val"":1},{""op"":""ge"",""typ"":""building"",""id"":111816,""val"":1}]}")</f>
        <v>{"op":"and","args":[{"op":"ge","typ":"research","id":11193401,"val":1},{"op":"ge","typ":"building","id":111816,"val":1}]}</v>
      </c>
      <c r="W4" s="148" t="str">
        <f>IFERROR(__xludf.DUMMYFUNCTION("""COMPUTED_VALUE"""),"[]")</f>
        <v>[]</v>
      </c>
      <c r="X4" s="148" t="str">
        <f>IFERROR(__xludf.DUMMYFUNCTION("""COMPUTED_VALUE"""),"[{""typ"":""power"",""id"":12141002,""val"":2}]")</f>
        <v>[{"typ":"power","id":12141002,"val":2}]</v>
      </c>
      <c r="Y4" s="148" t="str">
        <f>IFERROR(__xludf.DUMMYFUNCTION("""COMPUTED_VALUE"""),"[{""typ"":""atk"",""val"":116},{""typ"":""def"",""val"":135},{""typ"":""hp"",""val"":128},{""typ"":""speed"",""val"":38},{""typ"":""load"",""val"":11},{""typ"":""backcoef"",""val"":0.5},{""typ"":""atkcoef"",""val"":1.0},{""typ"":""atkcd"",""val"":0}]")</f>
        <v>[{"typ":"atk","val":116},{"typ":"def","val":135},{"typ":"hp","val":128},{"typ":"speed","val":38},{"typ":"load","val":11},{"typ":"backcoef","val":0.5},{"typ":"atkcoef","val":1.0},{"typ":"atkcd","val":0}]</v>
      </c>
      <c r="Z4" s="148" t="str">
        <f>IFERROR(__xludf.DUMMYFUNCTION("""COMPUTED_VALUE"""),"[]")</f>
        <v>[]</v>
      </c>
    </row>
    <row r="5">
      <c r="A5" s="148">
        <f>IFERROR(__xludf.DUMMYFUNCTION("""COMPUTED_VALUE"""),1.1211003E7)</f>
        <v>11211003</v>
      </c>
      <c r="B5" s="148" t="str">
        <f>IFERROR(__xludf.DUMMYFUNCTION("""COMPUTED_VALUE"""),"步兵 lv3")</f>
        <v>步兵 lv3</v>
      </c>
      <c r="C5" s="148">
        <f>IFERROR(__xludf.DUMMYFUNCTION("""COMPUTED_VALUE"""),1.1221001E7)</f>
        <v>11221001</v>
      </c>
      <c r="D5" s="148">
        <f>IFERROR(__xludf.DUMMYFUNCTION("""COMPUTED_VALUE"""),1.5110054E7)</f>
        <v>15110054</v>
      </c>
      <c r="E5" s="148" t="str">
        <f>IFERROR(__xludf.DUMMYFUNCTION("""COMPUTED_VALUE"""),"{""typ"":""lc"",""txt"":""LC_SOLDIER_hitter_name_3""}")</f>
        <v>{"typ":"lc","txt":"LC_SOLDIER_hitter_name_3"}</v>
      </c>
      <c r="F5" s="148" t="str">
        <f>IFERROR(__xludf.DUMMYFUNCTION("""COMPUTED_VALUE"""),"{""typ"":""lc"",""txt"":""LC_SOLDIER_hitter_desc_3""}")</f>
        <v>{"typ":"lc","txt":"LC_SOLDIER_hitter_desc_3"}</v>
      </c>
      <c r="G5" s="148">
        <f>IFERROR(__xludf.DUMMYFUNCTION("""COMPUTED_VALUE"""),4.0)</f>
        <v>4</v>
      </c>
      <c r="H5" s="148">
        <f>IFERROR(__xludf.DUMMYFUNCTION("""COMPUTED_VALUE"""),11.0)</f>
        <v>11</v>
      </c>
      <c r="I5" s="148">
        <f>IFERROR(__xludf.DUMMYFUNCTION("""COMPUTED_VALUE"""),10006.0)</f>
        <v>10006</v>
      </c>
      <c r="J5" s="148">
        <f>IFERROR(__xludf.DUMMYFUNCTION("""COMPUTED_VALUE"""),5.0)</f>
        <v>5</v>
      </c>
      <c r="K5" s="148">
        <f>IFERROR(__xludf.DUMMYFUNCTION("""COMPUTED_VALUE"""),3.0)</f>
        <v>3</v>
      </c>
      <c r="L5" s="148">
        <f>IFERROR(__xludf.DUMMYFUNCTION("""COMPUTED_VALUE"""),6.0)</f>
        <v>6</v>
      </c>
      <c r="M5" s="148">
        <f>IFERROR(__xludf.DUMMYFUNCTION("""COMPUTED_VALUE"""),60000.0)</f>
        <v>60000</v>
      </c>
      <c r="N5" s="148" t="str">
        <f>IFERROR(__xludf.DUMMYFUNCTION("""COMPUTED_VALUE"""),"[{""typ"":""rss"",""id"":11141001,""val"":200},{""typ"":""rss"",""id"":11141003,""val"":200}]")</f>
        <v>[{"typ":"rss","id":11141001,"val":200},{"typ":"rss","id":11141003,"val":200}]</v>
      </c>
      <c r="O5" s="148" t="str">
        <f>IFERROR(__xludf.DUMMYFUNCTION("""COMPUTED_VALUE"""),"{""op"":""and"",""args"":[{""op"":""ge"",""typ"":""research"",""id"":111944,""val"":1},{""op"":""ge"",""typ"":""building"",""id"":111816,""val"":1}]}")</f>
        <v>{"op":"and","args":[{"op":"ge","typ":"research","id":111944,"val":1},{"op":"ge","typ":"building","id":111816,"val":1}]}</v>
      </c>
      <c r="P5" s="148">
        <f>IFERROR(__xludf.DUMMYFUNCTION("""COMPUTED_VALUE"""),2000.0)</f>
        <v>2000</v>
      </c>
      <c r="Q5" s="148" t="str">
        <f>IFERROR(__xludf.DUMMYFUNCTION("""COMPUTED_VALUE"""),"[{""typ"":""rss"",""id"":11141001,""val"":80},{""typ"":""rss"",""id"":11141003,""val"":80}]")</f>
        <v>[{"typ":"rss","id":11141001,"val":80},{"typ":"rss","id":11141003,"val":80}]</v>
      </c>
      <c r="R5" s="148" t="str">
        <f>IFERROR(__xludf.DUMMYFUNCTION("""COMPUTED_VALUE"""),"{}")</f>
        <v>{}</v>
      </c>
      <c r="S5" s="148">
        <f>IFERROR(__xludf.DUMMYFUNCTION("""COMPUTED_VALUE"""),30000.0)</f>
        <v>30000</v>
      </c>
      <c r="T5" s="148" t="str">
        <f>IFERROR(__xludf.DUMMYFUNCTION("""COMPUTED_VALUE"""),"[{""typ"":""rss"",""id"":11141001,""val"":100},{""typ"":""rss"",""id"":11141003,""val"":100}]")</f>
        <v>[{"typ":"rss","id":11141001,"val":100},{"typ":"rss","id":11141003,"val":100}]</v>
      </c>
      <c r="U5" s="148">
        <f>IFERROR(__xludf.DUMMYFUNCTION("""COMPUTED_VALUE"""),0.0)</f>
        <v>0</v>
      </c>
      <c r="V5" s="148" t="str">
        <f>IFERROR(__xludf.DUMMYFUNCTION("""COMPUTED_VALUE"""),"{""op"":""and"",""args"":[{""op"":""ge"",""typ"":""research"",""id"":11194401,""val"":1},{""op"":""ge"",""typ"":""building"",""id"":111816,""val"":1}]}")</f>
        <v>{"op":"and","args":[{"op":"ge","typ":"research","id":11194401,"val":1},{"op":"ge","typ":"building","id":111816,"val":1}]}</v>
      </c>
      <c r="W5" s="148" t="str">
        <f>IFERROR(__xludf.DUMMYFUNCTION("""COMPUTED_VALUE"""),"[]")</f>
        <v>[]</v>
      </c>
      <c r="X5" s="148" t="str">
        <f>IFERROR(__xludf.DUMMYFUNCTION("""COMPUTED_VALUE"""),"[{""typ"":""power"",""id"":12141002,""val"":4}]")</f>
        <v>[{"typ":"power","id":12141002,"val":4}]</v>
      </c>
      <c r="Y5" s="148" t="str">
        <f>IFERROR(__xludf.DUMMYFUNCTION("""COMPUTED_VALUE"""),"[{""typ"":""atk"",""val"":158},{""typ"":""def"",""val"":165},{""typ"":""hp"",""val"":154},{""typ"":""speed"",""val"":35},{""typ"":""load"",""val"":12},{""typ"":""backcoef"",""val"":0.5},{""typ"":""atkcoef"",""val"":1.0},{""typ"":""atkcd"",""val"":0}]")</f>
        <v>[{"typ":"atk","val":158},{"typ":"def","val":165},{"typ":"hp","val":154},{"typ":"speed","val":35},{"typ":"load","val":12},{"typ":"backcoef","val":0.5},{"typ":"atkcoef","val":1.0},{"typ":"atkcd","val":0}]</v>
      </c>
      <c r="Z5" s="148" t="str">
        <f>IFERROR(__xludf.DUMMYFUNCTION("""COMPUTED_VALUE"""),"[]")</f>
        <v>[]</v>
      </c>
    </row>
    <row r="6">
      <c r="A6" s="148">
        <f>IFERROR(__xludf.DUMMYFUNCTION("""COMPUTED_VALUE"""),1.1211004E7)</f>
        <v>11211004</v>
      </c>
      <c r="B6" s="148" t="str">
        <f>IFERROR(__xludf.DUMMYFUNCTION("""COMPUTED_VALUE"""),"步兵 lv4")</f>
        <v>步兵 lv4</v>
      </c>
      <c r="C6" s="148">
        <f>IFERROR(__xludf.DUMMYFUNCTION("""COMPUTED_VALUE"""),1.1221001E7)</f>
        <v>11221001</v>
      </c>
      <c r="D6" s="148">
        <f>IFERROR(__xludf.DUMMYFUNCTION("""COMPUTED_VALUE"""),1.5110055E7)</f>
        <v>15110055</v>
      </c>
      <c r="E6" s="148" t="str">
        <f>IFERROR(__xludf.DUMMYFUNCTION("""COMPUTED_VALUE"""),"{""typ"":""lc"",""txt"":""LC_SOLDIER_hitter_name_4""}")</f>
        <v>{"typ":"lc","txt":"LC_SOLDIER_hitter_name_4"}</v>
      </c>
      <c r="F6" s="148" t="str">
        <f>IFERROR(__xludf.DUMMYFUNCTION("""COMPUTED_VALUE"""),"{""typ"":""lc"",""txt"":""LC_SOLDIER_hitter_desc_4""}")</f>
        <v>{"typ":"lc","txt":"LC_SOLDIER_hitter_desc_4"}</v>
      </c>
      <c r="G6" s="148">
        <f>IFERROR(__xludf.DUMMYFUNCTION("""COMPUTED_VALUE"""),8.0)</f>
        <v>8</v>
      </c>
      <c r="H6" s="148">
        <f>IFERROR(__xludf.DUMMYFUNCTION("""COMPUTED_VALUE"""),15.0)</f>
        <v>15</v>
      </c>
      <c r="I6" s="148">
        <f>IFERROR(__xludf.DUMMYFUNCTION("""COMPUTED_VALUE"""),10004.0)</f>
        <v>10004</v>
      </c>
      <c r="J6" s="148">
        <f>IFERROR(__xludf.DUMMYFUNCTION("""COMPUTED_VALUE"""),7.0)</f>
        <v>7</v>
      </c>
      <c r="K6" s="148">
        <f>IFERROR(__xludf.DUMMYFUNCTION("""COMPUTED_VALUE"""),4.0)</f>
        <v>4</v>
      </c>
      <c r="L6" s="148">
        <f>IFERROR(__xludf.DUMMYFUNCTION("""COMPUTED_VALUE"""),6.0)</f>
        <v>6</v>
      </c>
      <c r="M6" s="148">
        <f>IFERROR(__xludf.DUMMYFUNCTION("""COMPUTED_VALUE"""),90000.0)</f>
        <v>90000</v>
      </c>
      <c r="N6" s="148" t="str">
        <f>IFERROR(__xludf.DUMMYFUNCTION("""COMPUTED_VALUE"""),"[{""typ"":""rss"",""id"":11141001,""val"":400},{""typ"":""rss"",""id"":11141003,""val"":400}]")</f>
        <v>[{"typ":"rss","id":11141001,"val":400},{"typ":"rss","id":11141003,"val":400}]</v>
      </c>
      <c r="O6" s="148" t="str">
        <f>IFERROR(__xludf.DUMMYFUNCTION("""COMPUTED_VALUE"""),"{""op"":""and"",""args"":[{""op"":""ge"",""typ"":""research"",""id"":111953,""val"":1},{""op"":""ge"",""typ"":""building"",""id"":111816,""val"":1}]}")</f>
        <v>{"op":"and","args":[{"op":"ge","typ":"research","id":111953,"val":1},{"op":"ge","typ":"building","id":111816,"val":1}]}</v>
      </c>
      <c r="P6" s="148">
        <f>IFERROR(__xludf.DUMMYFUNCTION("""COMPUTED_VALUE"""),3000.0)</f>
        <v>3000</v>
      </c>
      <c r="Q6" s="148" t="str">
        <f>IFERROR(__xludf.DUMMYFUNCTION("""COMPUTED_VALUE"""),"[{""typ"":""rss"",""id"":11141001,""val"":160},{""typ"":""rss"",""id"":11141003,""val"":160}]")</f>
        <v>[{"typ":"rss","id":11141001,"val":160},{"typ":"rss","id":11141003,"val":160}]</v>
      </c>
      <c r="R6" s="148" t="str">
        <f>IFERROR(__xludf.DUMMYFUNCTION("""COMPUTED_VALUE"""),"{}")</f>
        <v>{}</v>
      </c>
      <c r="S6" s="148">
        <f>IFERROR(__xludf.DUMMYFUNCTION("""COMPUTED_VALUE"""),30000.0)</f>
        <v>30000</v>
      </c>
      <c r="T6" s="148" t="str">
        <f>IFERROR(__xludf.DUMMYFUNCTION("""COMPUTED_VALUE"""),"[{""typ"":""rss"",""id"":11141001,""val"":200},{""typ"":""rss"",""id"":11141003,""val"":200}]")</f>
        <v>[{"typ":"rss","id":11141001,"val":200},{"typ":"rss","id":11141003,"val":200}]</v>
      </c>
      <c r="U6" s="148">
        <f>IFERROR(__xludf.DUMMYFUNCTION("""COMPUTED_VALUE"""),0.0)</f>
        <v>0</v>
      </c>
      <c r="V6" s="148" t="str">
        <f>IFERROR(__xludf.DUMMYFUNCTION("""COMPUTED_VALUE"""),"{""op"":""and"",""args"":[{""op"":""ge"",""typ"":""research"",""id"":11195301,""val"":1},{""op"":""ge"",""typ"":""building"",""id"":111816,""val"":1}]}")</f>
        <v>{"op":"and","args":[{"op":"ge","typ":"research","id":11195301,"val":1},{"op":"ge","typ":"building","id":111816,"val":1}]}</v>
      </c>
      <c r="W6" s="148" t="str">
        <f>IFERROR(__xludf.DUMMYFUNCTION("""COMPUTED_VALUE"""),"[]")</f>
        <v>[]</v>
      </c>
      <c r="X6" s="148" t="str">
        <f>IFERROR(__xludf.DUMMYFUNCTION("""COMPUTED_VALUE"""),"[{""typ"":""power"",""id"":12141002,""val"":6}]")</f>
        <v>[{"typ":"power","id":12141002,"val":6}]</v>
      </c>
      <c r="Y6" s="148" t="str">
        <f>IFERROR(__xludf.DUMMYFUNCTION("""COMPUTED_VALUE"""),"[{""typ"":""atk"",""val"":194},{""typ"":""def"",""val"":195},{""typ"":""hp"",""val"":178},{""typ"":""speed"",""val"":33},{""typ"":""load"",""val"":13},{""typ"":""backcoef"",""val"":0.5},{""typ"":""atkcoef"",""val"":1.0},{""typ"":""atkcd"",""val"":0}]")</f>
        <v>[{"typ":"atk","val":194},{"typ":"def","val":195},{"typ":"hp","val":178},{"typ":"speed","val":33},{"typ":"load","val":13},{"typ":"backcoef","val":0.5},{"typ":"atkcoef","val":1.0},{"typ":"atkcd","val":0}]</v>
      </c>
      <c r="Z6" s="148" t="str">
        <f>IFERROR(__xludf.DUMMYFUNCTION("""COMPUTED_VALUE"""),"[]")</f>
        <v>[]</v>
      </c>
    </row>
    <row r="7">
      <c r="A7" s="148">
        <f>IFERROR(__xludf.DUMMYFUNCTION("""COMPUTED_VALUE"""),1.1211005E7)</f>
        <v>11211005</v>
      </c>
      <c r="B7" s="148" t="str">
        <f>IFERROR(__xludf.DUMMYFUNCTION("""COMPUTED_VALUE"""),"步兵 lv5")</f>
        <v>步兵 lv5</v>
      </c>
      <c r="C7" s="148">
        <f>IFERROR(__xludf.DUMMYFUNCTION("""COMPUTED_VALUE"""),1.1221001E7)</f>
        <v>11221001</v>
      </c>
      <c r="D7" s="148">
        <f>IFERROR(__xludf.DUMMYFUNCTION("""COMPUTED_VALUE"""),1.5110056E7)</f>
        <v>15110056</v>
      </c>
      <c r="E7" s="148" t="str">
        <f>IFERROR(__xludf.DUMMYFUNCTION("""COMPUTED_VALUE"""),"{""typ"":""lc"",""txt"":""LC_SOLDIER_hitter_name_5""}")</f>
        <v>{"typ":"lc","txt":"LC_SOLDIER_hitter_name_5"}</v>
      </c>
      <c r="F7" s="148" t="str">
        <f>IFERROR(__xludf.DUMMYFUNCTION("""COMPUTED_VALUE"""),"{""typ"":""lc"",""txt"":""LC_SOLDIER_hitter_desc_5""}")</f>
        <v>{"typ":"lc","txt":"LC_SOLDIER_hitter_desc_5"}</v>
      </c>
      <c r="G7" s="148">
        <f>IFERROR(__xludf.DUMMYFUNCTION("""COMPUTED_VALUE"""),15.0)</f>
        <v>15</v>
      </c>
      <c r="H7" s="148">
        <f>IFERROR(__xludf.DUMMYFUNCTION("""COMPUTED_VALUE"""),19.0)</f>
        <v>19</v>
      </c>
      <c r="I7" s="148">
        <f>IFERROR(__xludf.DUMMYFUNCTION("""COMPUTED_VALUE"""),10002.0)</f>
        <v>10002</v>
      </c>
      <c r="J7" s="148">
        <f>IFERROR(__xludf.DUMMYFUNCTION("""COMPUTED_VALUE"""),9.0)</f>
        <v>9</v>
      </c>
      <c r="K7" s="148">
        <f>IFERROR(__xludf.DUMMYFUNCTION("""COMPUTED_VALUE"""),5.0)</f>
        <v>5</v>
      </c>
      <c r="L7" s="148">
        <f>IFERROR(__xludf.DUMMYFUNCTION("""COMPUTED_VALUE"""),6.0)</f>
        <v>6</v>
      </c>
      <c r="M7" s="148">
        <f>IFERROR(__xludf.DUMMYFUNCTION("""COMPUTED_VALUE"""),180000.0)</f>
        <v>180000</v>
      </c>
      <c r="N7" s="148" t="str">
        <f>IFERROR(__xludf.DUMMYFUNCTION("""COMPUTED_VALUE"""),"[{""typ"":""rss"",""id"":11141001,""val"":1000},{""typ"":""rss"",""id"":11141003,""val"":1000}]")</f>
        <v>[{"typ":"rss","id":11141001,"val":1000},{"typ":"rss","id":11141003,"val":1000}]</v>
      </c>
      <c r="O7" s="148" t="str">
        <f>IFERROR(__xludf.DUMMYFUNCTION("""COMPUTED_VALUE"""),"{""op"":""and"",""args"":[{""op"":""ge"",""typ"":""research"",""id"":111968,""val"":1},{""op"":""ge"",""typ"":""building"",""id"":111816,""val"":1}]}")</f>
        <v>{"op":"and","args":[{"op":"ge","typ":"research","id":111968,"val":1},{"op":"ge","typ":"building","id":111816,"val":1}]}</v>
      </c>
      <c r="P7" s="148">
        <f>IFERROR(__xludf.DUMMYFUNCTION("""COMPUTED_VALUE"""),6000.0)</f>
        <v>6000</v>
      </c>
      <c r="Q7" s="148" t="str">
        <f>IFERROR(__xludf.DUMMYFUNCTION("""COMPUTED_VALUE"""),"[{""typ"":""rss"",""id"":11141001,""val"":400},{""typ"":""rss"",""id"":11141003,""val"":400}]")</f>
        <v>[{"typ":"rss","id":11141001,"val":400},{"typ":"rss","id":11141003,"val":400}]</v>
      </c>
      <c r="R7" s="148" t="str">
        <f>IFERROR(__xludf.DUMMYFUNCTION("""COMPUTED_VALUE"""),"{}")</f>
        <v>{}</v>
      </c>
      <c r="S7" s="148">
        <f>IFERROR(__xludf.DUMMYFUNCTION("""COMPUTED_VALUE"""),90000.0)</f>
        <v>90000</v>
      </c>
      <c r="T7" s="148" t="str">
        <f>IFERROR(__xludf.DUMMYFUNCTION("""COMPUTED_VALUE"""),"[{""typ"":""rss"",""id"":11141001,""val"":600},{""typ"":""rss"",""id"":11141003,""val"":600}]")</f>
        <v>[{"typ":"rss","id":11141001,"val":600},{"typ":"rss","id":11141003,"val":600}]</v>
      </c>
      <c r="U7" s="148">
        <f>IFERROR(__xludf.DUMMYFUNCTION("""COMPUTED_VALUE"""),0.0)</f>
        <v>0</v>
      </c>
      <c r="V7" s="148" t="str">
        <f>IFERROR(__xludf.DUMMYFUNCTION("""COMPUTED_VALUE"""),"{""op"":""and"",""args"":[{""op"":""ge"",""typ"":""research"",""id"":11196801,""val"":1},{""op"":""ge"",""typ"":""building"",""id"":111816,""val"":1}]}")</f>
        <v>{"op":"and","args":[{"op":"ge","typ":"research","id":11196801,"val":1},{"op":"ge","typ":"building","id":111816,"val":1}]}</v>
      </c>
      <c r="W7" s="148" t="str">
        <f>IFERROR(__xludf.DUMMYFUNCTION("""COMPUTED_VALUE"""),"[]")</f>
        <v>[]</v>
      </c>
      <c r="X7" s="148" t="str">
        <f>IFERROR(__xludf.DUMMYFUNCTION("""COMPUTED_VALUE"""),"[{""typ"":""power"",""id"":12141002,""val"":10}]")</f>
        <v>[{"typ":"power","id":12141002,"val":10}]</v>
      </c>
      <c r="Y7" s="148" t="str">
        <f>IFERROR(__xludf.DUMMYFUNCTION("""COMPUTED_VALUE"""),"[{""typ"":""atk"",""val"":230},{""typ"":""def"",""val"":215},{""typ"":""hp"",""val"":205},{""typ"":""speed"",""val"":30},{""typ"":""load"",""val"":15},{""typ"":""backcoef"",""val"":0.5},{""typ"":""atkcoef"",""val"":1.0},{""typ"":""atkcd"",""val"":0}]")</f>
        <v>[{"typ":"atk","val":230},{"typ":"def","val":215},{"typ":"hp","val":205},{"typ":"speed","val":30},{"typ":"load","val":15},{"typ":"backcoef","val":0.5},{"typ":"atkcoef","val":1.0},{"typ":"atkcd","val":0}]</v>
      </c>
      <c r="Z7" s="148" t="str">
        <f>IFERROR(__xludf.DUMMYFUNCTION("""COMPUTED_VALUE"""),"[]")</f>
        <v>[]</v>
      </c>
    </row>
    <row r="8">
      <c r="A8" s="148">
        <f>IFERROR(__xludf.DUMMYFUNCTION("""COMPUTED_VALUE"""),1.1211006E7)</f>
        <v>11211006</v>
      </c>
      <c r="B8" s="148" t="str">
        <f>IFERROR(__xludf.DUMMYFUNCTION("""COMPUTED_VALUE"""),"步兵 lv6")</f>
        <v>步兵 lv6</v>
      </c>
      <c r="C8" s="148">
        <f>IFERROR(__xludf.DUMMYFUNCTION("""COMPUTED_VALUE"""),1.1221001E7)</f>
        <v>11221001</v>
      </c>
      <c r="D8" s="148">
        <f>IFERROR(__xludf.DUMMYFUNCTION("""COMPUTED_VALUE"""),1.5117138E7)</f>
        <v>15117138</v>
      </c>
      <c r="E8" s="148" t="str">
        <f>IFERROR(__xludf.DUMMYFUNCTION("""COMPUTED_VALUE"""),"{""typ"":""lc"",""txt"":""LC_SOLDIER_hitter_name_6""}")</f>
        <v>{"typ":"lc","txt":"LC_SOLDIER_hitter_name_6"}</v>
      </c>
      <c r="F8" s="148" t="str">
        <f>IFERROR(__xludf.DUMMYFUNCTION("""COMPUTED_VALUE"""),"{""typ"":""lc"",""txt"":""LC_SOLDIER_hitter_desc_6""}")</f>
        <v>{"typ":"lc","txt":"LC_SOLDIER_hitter_desc_6"}</v>
      </c>
      <c r="G8" s="148">
        <f>IFERROR(__xludf.DUMMYFUNCTION("""COMPUTED_VALUE"""),25.0)</f>
        <v>25</v>
      </c>
      <c r="H8" s="148">
        <f>IFERROR(__xludf.DUMMYFUNCTION("""COMPUTED_VALUE"""),23.0)</f>
        <v>23</v>
      </c>
      <c r="I8" s="148">
        <f>IFERROR(__xludf.DUMMYFUNCTION("""COMPUTED_VALUE"""),10001.0)</f>
        <v>10001</v>
      </c>
      <c r="J8" s="148">
        <f>IFERROR(__xludf.DUMMYFUNCTION("""COMPUTED_VALUE"""),11.0)</f>
        <v>11</v>
      </c>
      <c r="K8" s="148">
        <f>IFERROR(__xludf.DUMMYFUNCTION("""COMPUTED_VALUE"""),6.0)</f>
        <v>6</v>
      </c>
      <c r="L8" s="148">
        <f>IFERROR(__xludf.DUMMYFUNCTION("""COMPUTED_VALUE"""),6.0)</f>
        <v>6</v>
      </c>
      <c r="M8" s="148">
        <f>IFERROR(__xludf.DUMMYFUNCTION("""COMPUTED_VALUE"""),360000.0)</f>
        <v>360000</v>
      </c>
      <c r="N8" s="148" t="str">
        <f>IFERROR(__xludf.DUMMYFUNCTION("""COMPUTED_VALUE"""),"[{""typ"":""rss"",""id"":11141001,""val"":1600},{""typ"":""rss"",""id"":11141003,""val"":1600},{""typ"":""rss"",""id"":11141041,""val"":80}]")</f>
        <v>[{"typ":"rss","id":11141001,"val":1600},{"typ":"rss","id":11141003,"val":1600},{"typ":"rss","id":11141041,"val":80}]</v>
      </c>
      <c r="O8" s="148" t="str">
        <f>IFERROR(__xludf.DUMMYFUNCTION("""COMPUTED_VALUE"""),"{""op"":""and"",""args"":[{""op"":""ge"",""typ"":""research"",""id"":1119187,""val"":1},{""op"":""ge"",""typ"":""building"",""id"":111816,""val"":1}]}")</f>
        <v>{"op":"and","args":[{"op":"ge","typ":"research","id":1119187,"val":1},{"op":"ge","typ":"building","id":111816,"val":1}]}</v>
      </c>
      <c r="P8" s="148">
        <f>IFERROR(__xludf.DUMMYFUNCTION("""COMPUTED_VALUE"""),12000.0)</f>
        <v>12000</v>
      </c>
      <c r="Q8" s="148" t="str">
        <f>IFERROR(__xludf.DUMMYFUNCTION("""COMPUTED_VALUE"""),"[{""typ"":""rss"",""id"":11141001,""val"":640},{""typ"":""rss"",""id"":11141003,""val"":640},{""typ"":""rss"",""id"":11141041,""val"":16}]")</f>
        <v>[{"typ":"rss","id":11141001,"val":640},{"typ":"rss","id":11141003,"val":640},{"typ":"rss","id":11141041,"val":16}]</v>
      </c>
      <c r="R8" s="148" t="str">
        <f>IFERROR(__xludf.DUMMYFUNCTION("""COMPUTED_VALUE"""),"{}")</f>
        <v>{}</v>
      </c>
      <c r="S8" s="148">
        <f>IFERROR(__xludf.DUMMYFUNCTION("""COMPUTED_VALUE"""),180000.0)</f>
        <v>180000</v>
      </c>
      <c r="T8" s="148" t="str">
        <f>IFERROR(__xludf.DUMMYFUNCTION("""COMPUTED_VALUE"""),"[{""typ"":""rss"",""id"":11141001,""val"":600},{""typ"":""rss"",""id"":11141003,""val"":600},{""typ"":""rss"",""id"":11141041,""val"":80}]")</f>
        <v>[{"typ":"rss","id":11141001,"val":600},{"typ":"rss","id":11141003,"val":600},{"typ":"rss","id":11141041,"val":80}]</v>
      </c>
      <c r="U8" s="148">
        <f>IFERROR(__xludf.DUMMYFUNCTION("""COMPUTED_VALUE"""),0.0)</f>
        <v>0</v>
      </c>
      <c r="V8" s="148" t="str">
        <f>IFERROR(__xludf.DUMMYFUNCTION("""COMPUTED_VALUE"""),"{""op"":""and"",""args"":[{""op"":""ge"",""typ"":""research"",""id"":111918701,""val"":1},{""op"":""ge"",""typ"":""building"",""id"":111816,""val"":1}]}")</f>
        <v>{"op":"and","args":[{"op":"ge","typ":"research","id":111918701,"val":1},{"op":"ge","typ":"building","id":111816,"val":1}]}</v>
      </c>
      <c r="W8" s="148" t="str">
        <f>IFERROR(__xludf.DUMMYFUNCTION("""COMPUTED_VALUE"""),"[]")</f>
        <v>[]</v>
      </c>
      <c r="X8" s="148" t="str">
        <f>IFERROR(__xludf.DUMMYFUNCTION("""COMPUTED_VALUE"""),"[{""typ"":""power"",""id"":12141002,""val"":20}]")</f>
        <v>[{"typ":"power","id":12141002,"val":20}]</v>
      </c>
      <c r="Y8" s="148" t="str">
        <f>IFERROR(__xludf.DUMMYFUNCTION("""COMPUTED_VALUE"""),"[{""typ"":""atk"",""val"":285},{""typ"":""def"",""val"":265},{""typ"":""hp"",""val"":240},{""typ"":""speed"",""val"":27},{""typ"":""load"",""val"":18},{""typ"":""backcoef"",""val"":0.5},{""typ"":""atkcoef"",""val"":1.0},{""typ"":""atkcd"",""val"":0}]")</f>
        <v>[{"typ":"atk","val":285},{"typ":"def","val":265},{"typ":"hp","val":240},{"typ":"speed","val":27},{"typ":"load","val":18},{"typ":"backcoef","val":0.5},{"typ":"atkcoef","val":1.0},{"typ":"atkcd","val":0}]</v>
      </c>
      <c r="Z8" s="148" t="str">
        <f>IFERROR(__xludf.DUMMYFUNCTION("""COMPUTED_VALUE"""),"[]")</f>
        <v>[]</v>
      </c>
    </row>
    <row r="9">
      <c r="A9" s="148">
        <f>IFERROR(__xludf.DUMMYFUNCTION("""COMPUTED_VALUE"""),1.1211011E7)</f>
        <v>11211011</v>
      </c>
      <c r="B9" s="148" t="str">
        <f>IFERROR(__xludf.DUMMYFUNCTION("""COMPUTED_VALUE"""),"步兵-lv1-1")</f>
        <v>步兵-lv1-1</v>
      </c>
      <c r="C9" s="148">
        <f>IFERROR(__xludf.DUMMYFUNCTION("""COMPUTED_VALUE"""),1.1221001E7)</f>
        <v>11221001</v>
      </c>
      <c r="D9" s="148">
        <f>IFERROR(__xludf.DUMMYFUNCTION("""COMPUTED_VALUE"""),1.5110052E7)</f>
        <v>15110052</v>
      </c>
      <c r="E9" s="148" t="str">
        <f>IFERROR(__xludf.DUMMYFUNCTION("""COMPUTED_VALUE"""),"{""typ"":""lc"",""txt"":""LC_SOLDIER_hitter_name_1""}")</f>
        <v>{"typ":"lc","txt":"LC_SOLDIER_hitter_name_1"}</v>
      </c>
      <c r="F9" s="148" t="str">
        <f>IFERROR(__xludf.DUMMYFUNCTION("""COMPUTED_VALUE"""),"{""typ"":""lc"",""txt"":""LC_SOLDIER_hitter_desc_1""}")</f>
        <v>{"typ":"lc","txt":"LC_SOLDIER_hitter_desc_1"}</v>
      </c>
      <c r="G9" s="148">
        <f>IFERROR(__xludf.DUMMYFUNCTION("""COMPUTED_VALUE"""),1.0)</f>
        <v>1</v>
      </c>
      <c r="H9" s="148">
        <f>IFERROR(__xludf.DUMMYFUNCTION("""COMPUTED_VALUE"""),3.0)</f>
        <v>3</v>
      </c>
      <c r="I9" s="148">
        <f>IFERROR(__xludf.DUMMYFUNCTION("""COMPUTED_VALUE"""),10010.0)</f>
        <v>10010</v>
      </c>
      <c r="J9" s="148">
        <f>IFERROR(__xludf.DUMMYFUNCTION("""COMPUTED_VALUE"""),1.0)</f>
        <v>1</v>
      </c>
      <c r="K9" s="148">
        <f>IFERROR(__xludf.DUMMYFUNCTION("""COMPUTED_VALUE"""),1.0)</f>
        <v>1</v>
      </c>
      <c r="L9" s="148">
        <f>IFERROR(__xludf.DUMMYFUNCTION("""COMPUTED_VALUE"""),6.0)</f>
        <v>6</v>
      </c>
      <c r="M9" s="148">
        <f>IFERROR(__xludf.DUMMYFUNCTION("""COMPUTED_VALUE"""),13000.0)</f>
        <v>13000</v>
      </c>
      <c r="N9" s="148" t="str">
        <f>IFERROR(__xludf.DUMMYFUNCTION("""COMPUTED_VALUE"""),"[{""typ"":""rss"",""id"":11141001,""val"":50},{""typ"":""rss"",""id"":11141003,""val"":50}]")</f>
        <v>[{"typ":"rss","id":11141001,"val":50},{"typ":"rss","id":11141003,"val":50}]</v>
      </c>
      <c r="O9" s="148" t="str">
        <f>IFERROR(__xludf.DUMMYFUNCTION("""COMPUTED_VALUE"""),"{""op"":""and"",""args"":[{""op"":""ge"",""typ"":""arms_group"",""id"":11672002,""val"":1}]}")</f>
        <v>{"op":"and","args":[{"op":"ge","typ":"arms_group","id":11672002,"val":1}]}</v>
      </c>
      <c r="P9" s="148">
        <f>IFERROR(__xludf.DUMMYFUNCTION("""COMPUTED_VALUE"""),65.0)</f>
        <v>65</v>
      </c>
      <c r="Q9" s="148" t="str">
        <f>IFERROR(__xludf.DUMMYFUNCTION("""COMPUTED_VALUE"""),"[{""typ"":""rss"",""id"":11141001,""val"":20},{""typ"":""rss"",""id"":11141003,""val"":20}]")</f>
        <v>[{"typ":"rss","id":11141001,"val":20},{"typ":"rss","id":11141003,"val":20}]</v>
      </c>
      <c r="R9" s="148" t="str">
        <f>IFERROR(__xludf.DUMMYFUNCTION("""COMPUTED_VALUE"""),"{}")</f>
        <v>{}</v>
      </c>
      <c r="S9" s="148">
        <f>IFERROR(__xludf.DUMMYFUNCTION("""COMPUTED_VALUE"""),0.0)</f>
        <v>0</v>
      </c>
      <c r="T9" s="148" t="str">
        <f>IFERROR(__xludf.DUMMYFUNCTION("""COMPUTED_VALUE"""),"[]")</f>
        <v>[]</v>
      </c>
      <c r="U9" s="148">
        <f>IFERROR(__xludf.DUMMYFUNCTION("""COMPUTED_VALUE"""),0.0)</f>
        <v>0</v>
      </c>
      <c r="V9" s="148" t="str">
        <f>IFERROR(__xludf.DUMMYFUNCTION("""COMPUTED_VALUE"""),"{""op"":""and"",""args"":[{""op"":""ge"",""typ"":""arms_group"",""id"":11672002,""val"":1}]}")</f>
        <v>{"op":"and","args":[{"op":"ge","typ":"arms_group","id":11672002,"val":1}]}</v>
      </c>
      <c r="W9" s="148" t="str">
        <f>IFERROR(__xludf.DUMMYFUNCTION("""COMPUTED_VALUE"""),"[]")</f>
        <v>[]</v>
      </c>
      <c r="X9" s="148" t="str">
        <f>IFERROR(__xludf.DUMMYFUNCTION("""COMPUTED_VALUE"""),"[{""typ"":""power"",""id"":12141002,""val"":1}]")</f>
        <v>[{"typ":"power","id":12141002,"val":1}]</v>
      </c>
      <c r="Y9" s="148" t="str">
        <f>IFERROR(__xludf.DUMMYFUNCTION("""COMPUTED_VALUE"""),"[{""typ"":""atk"",""val"":63},{""typ"":""def"",""val"":131},{""typ"":""hp"",""val"":121},{""typ"":""speed"",""val"":40},{""typ"":""load"",""val"":7},{""typ"":""backcoef"",""val"":0.5},{""typ"":""atkcoef"",""val"":1.0},{""typ"":""atkcd"",""val"":0}]")</f>
        <v>[{"typ":"atk","val":63},{"typ":"def","val":131},{"typ":"hp","val":121},{"typ":"speed","val":40},{"typ":"load","val":7},{"typ":"backcoef","val":0.5},{"typ":"atkcoef","val":1.0},{"typ":"atkcd","val":0}]</v>
      </c>
      <c r="Z9" s="148" t="str">
        <f>IFERROR(__xludf.DUMMYFUNCTION("""COMPUTED_VALUE"""),"[]")</f>
        <v>[]</v>
      </c>
    </row>
    <row r="10">
      <c r="A10" s="148">
        <f>IFERROR(__xludf.DUMMYFUNCTION("""COMPUTED_VALUE"""),1.1211012E7)</f>
        <v>11211012</v>
      </c>
      <c r="B10" s="148" t="str">
        <f>IFERROR(__xludf.DUMMYFUNCTION("""COMPUTED_VALUE"""),"步兵-lv1-2")</f>
        <v>步兵-lv1-2</v>
      </c>
      <c r="C10" s="148">
        <f>IFERROR(__xludf.DUMMYFUNCTION("""COMPUTED_VALUE"""),1.1221001E7)</f>
        <v>11221001</v>
      </c>
      <c r="D10" s="148">
        <f>IFERROR(__xludf.DUMMYFUNCTION("""COMPUTED_VALUE"""),1.5110052E7)</f>
        <v>15110052</v>
      </c>
      <c r="E10" s="148" t="str">
        <f>IFERROR(__xludf.DUMMYFUNCTION("""COMPUTED_VALUE"""),"{""typ"":""lc"",""txt"":""LC_SOLDIER_hitter_name_1""}")</f>
        <v>{"typ":"lc","txt":"LC_SOLDIER_hitter_name_1"}</v>
      </c>
      <c r="F10" s="148" t="str">
        <f>IFERROR(__xludf.DUMMYFUNCTION("""COMPUTED_VALUE"""),"{""typ"":""lc"",""txt"":""LC_SOLDIER_hitter_desc_1""}")</f>
        <v>{"typ":"lc","txt":"LC_SOLDIER_hitter_desc_1"}</v>
      </c>
      <c r="G10" s="148">
        <f>IFERROR(__xludf.DUMMYFUNCTION("""COMPUTED_VALUE"""),1.0)</f>
        <v>1</v>
      </c>
      <c r="H10" s="148">
        <f>IFERROR(__xludf.DUMMYFUNCTION("""COMPUTED_VALUE"""),3.0)</f>
        <v>3</v>
      </c>
      <c r="I10" s="148">
        <f>IFERROR(__xludf.DUMMYFUNCTION("""COMPUTED_VALUE"""),10010.0)</f>
        <v>10010</v>
      </c>
      <c r="J10" s="148">
        <f>IFERROR(__xludf.DUMMYFUNCTION("""COMPUTED_VALUE"""),1.0)</f>
        <v>1</v>
      </c>
      <c r="K10" s="148">
        <f>IFERROR(__xludf.DUMMYFUNCTION("""COMPUTED_VALUE"""),1.0)</f>
        <v>1</v>
      </c>
      <c r="L10" s="148">
        <f>IFERROR(__xludf.DUMMYFUNCTION("""COMPUTED_VALUE"""),6.0)</f>
        <v>6</v>
      </c>
      <c r="M10" s="148">
        <f>IFERROR(__xludf.DUMMYFUNCTION("""COMPUTED_VALUE"""),13000.0)</f>
        <v>13000</v>
      </c>
      <c r="N10" s="148" t="str">
        <f>IFERROR(__xludf.DUMMYFUNCTION("""COMPUTED_VALUE"""),"[{""typ"":""rss"",""id"":11141001,""val"":50},{""typ"":""rss"",""id"":11141003,""val"":50}]")</f>
        <v>[{"typ":"rss","id":11141001,"val":50},{"typ":"rss","id":11141003,"val":50}]</v>
      </c>
      <c r="O10" s="148" t="str">
        <f>IFERROR(__xludf.DUMMYFUNCTION("""COMPUTED_VALUE"""),"{""op"":""and"",""args"":[{""op"":""ge"",""typ"":""arms_group"",""id"":11672003,""val"":1}]}")</f>
        <v>{"op":"and","args":[{"op":"ge","typ":"arms_group","id":11672003,"val":1}]}</v>
      </c>
      <c r="P10" s="148">
        <f>IFERROR(__xludf.DUMMYFUNCTION("""COMPUTED_VALUE"""),65.0)</f>
        <v>65</v>
      </c>
      <c r="Q10" s="148" t="str">
        <f>IFERROR(__xludf.DUMMYFUNCTION("""COMPUTED_VALUE"""),"[{""typ"":""rss"",""id"":11141001,""val"":20},{""typ"":""rss"",""id"":11141003,""val"":20}]")</f>
        <v>[{"typ":"rss","id":11141001,"val":20},{"typ":"rss","id":11141003,"val":20}]</v>
      </c>
      <c r="R10" s="148" t="str">
        <f>IFERROR(__xludf.DUMMYFUNCTION("""COMPUTED_VALUE"""),"{}")</f>
        <v>{}</v>
      </c>
      <c r="S10" s="148">
        <f>IFERROR(__xludf.DUMMYFUNCTION("""COMPUTED_VALUE"""),0.0)</f>
        <v>0</v>
      </c>
      <c r="T10" s="148" t="str">
        <f>IFERROR(__xludf.DUMMYFUNCTION("""COMPUTED_VALUE"""),"[]")</f>
        <v>[]</v>
      </c>
      <c r="U10" s="148">
        <f>IFERROR(__xludf.DUMMYFUNCTION("""COMPUTED_VALUE"""),0.0)</f>
        <v>0</v>
      </c>
      <c r="V10" s="148" t="str">
        <f>IFERROR(__xludf.DUMMYFUNCTION("""COMPUTED_VALUE"""),"{""op"":""and"",""args"":[{""op"":""ge"",""typ"":""arms_group"",""id"":11672003,""val"":1}]}")</f>
        <v>{"op":"and","args":[{"op":"ge","typ":"arms_group","id":11672003,"val":1}]}</v>
      </c>
      <c r="W10" s="148" t="str">
        <f>IFERROR(__xludf.DUMMYFUNCTION("""COMPUTED_VALUE"""),"[]")</f>
        <v>[]</v>
      </c>
      <c r="X10" s="148" t="str">
        <f>IFERROR(__xludf.DUMMYFUNCTION("""COMPUTED_VALUE"""),"[{""typ"":""power"",""id"":12141002,""val"":1}]")</f>
        <v>[{"typ":"power","id":12141002,"val":1}]</v>
      </c>
      <c r="Y10" s="148" t="str">
        <f>IFERROR(__xludf.DUMMYFUNCTION("""COMPUTED_VALUE"""),"[{""typ"":""atk"",""val"":68},{""typ"":""def"",""val"":132},{""typ"":""hp"",""val"":122},{""typ"":""speed"",""val"":40},{""typ"":""load"",""val"":7},{""typ"":""backcoef"",""val"":0.5},{""typ"":""atkcoef"",""val"":1.0},{""typ"":""atkcd"",""val"":0}]")</f>
        <v>[{"typ":"atk","val":68},{"typ":"def","val":132},{"typ":"hp","val":122},{"typ":"speed","val":40},{"typ":"load","val":7},{"typ":"backcoef","val":0.5},{"typ":"atkcoef","val":1.0},{"typ":"atkcd","val":0}]</v>
      </c>
      <c r="Z10" s="148" t="str">
        <f>IFERROR(__xludf.DUMMYFUNCTION("""COMPUTED_VALUE"""),"[]")</f>
        <v>[]</v>
      </c>
    </row>
    <row r="11">
      <c r="A11" s="148">
        <f>IFERROR(__xludf.DUMMYFUNCTION("""COMPUTED_VALUE"""),1.1211013E7)</f>
        <v>11211013</v>
      </c>
      <c r="B11" s="148" t="str">
        <f>IFERROR(__xludf.DUMMYFUNCTION("""COMPUTED_VALUE"""),"步兵-lv2-1")</f>
        <v>步兵-lv2-1</v>
      </c>
      <c r="C11" s="148">
        <f>IFERROR(__xludf.DUMMYFUNCTION("""COMPUTED_VALUE"""),1.1221001E7)</f>
        <v>11221001</v>
      </c>
      <c r="D11" s="148">
        <f>IFERROR(__xludf.DUMMYFUNCTION("""COMPUTED_VALUE"""),1.5110053E7)</f>
        <v>15110053</v>
      </c>
      <c r="E11" s="148" t="str">
        <f>IFERROR(__xludf.DUMMYFUNCTION("""COMPUTED_VALUE"""),"{""typ"":""lc"",""txt"":""LC_SOLDIER_hitter_name_2""}")</f>
        <v>{"typ":"lc","txt":"LC_SOLDIER_hitter_name_2"}</v>
      </c>
      <c r="F11" s="148" t="str">
        <f>IFERROR(__xludf.DUMMYFUNCTION("""COMPUTED_VALUE"""),"{""typ"":""lc"",""txt"":""LC_SOLDIER_hitter_desc_2""}")</f>
        <v>{"typ":"lc","txt":"LC_SOLDIER_hitter_desc_2"}</v>
      </c>
      <c r="G11" s="148">
        <f>IFERROR(__xludf.DUMMYFUNCTION("""COMPUTED_VALUE"""),2.0)</f>
        <v>2</v>
      </c>
      <c r="H11" s="148">
        <f>IFERROR(__xludf.DUMMYFUNCTION("""COMPUTED_VALUE"""),7.0)</f>
        <v>7</v>
      </c>
      <c r="I11" s="148">
        <f>IFERROR(__xludf.DUMMYFUNCTION("""COMPUTED_VALUE"""),10008.0)</f>
        <v>10008</v>
      </c>
      <c r="J11" s="148">
        <f>IFERROR(__xludf.DUMMYFUNCTION("""COMPUTED_VALUE"""),3.0)</f>
        <v>3</v>
      </c>
      <c r="K11" s="148">
        <f>IFERROR(__xludf.DUMMYFUNCTION("""COMPUTED_VALUE"""),2.0)</f>
        <v>2</v>
      </c>
      <c r="L11" s="148">
        <f>IFERROR(__xludf.DUMMYFUNCTION("""COMPUTED_VALUE"""),6.0)</f>
        <v>6</v>
      </c>
      <c r="M11" s="148">
        <f>IFERROR(__xludf.DUMMYFUNCTION("""COMPUTED_VALUE"""),30000.0)</f>
        <v>30000</v>
      </c>
      <c r="N11" s="148" t="str">
        <f>IFERROR(__xludf.DUMMYFUNCTION("""COMPUTED_VALUE"""),"[{""typ"":""rss"",""id"":11141001,""val"":100},{""typ"":""rss"",""id"":11141003,""val"":100}]")</f>
        <v>[{"typ":"rss","id":11141001,"val":100},{"typ":"rss","id":11141003,"val":100}]</v>
      </c>
      <c r="O11" s="148" t="str">
        <f>IFERROR(__xludf.DUMMYFUNCTION("""COMPUTED_VALUE"""),"{""op"":""and"",""args"":[{""op"":""ge"",""typ"":""arms_group"",""id"":11672102,""val"":1}]}")</f>
        <v>{"op":"and","args":[{"op":"ge","typ":"arms_group","id":11672102,"val":1}]}</v>
      </c>
      <c r="P11" s="148">
        <f>IFERROR(__xludf.DUMMYFUNCTION("""COMPUTED_VALUE"""),1000.0)</f>
        <v>1000</v>
      </c>
      <c r="Q11" s="148" t="str">
        <f>IFERROR(__xludf.DUMMYFUNCTION("""COMPUTED_VALUE"""),"[{""typ"":""rss"",""id"":11141001,""val"":40},{""typ"":""rss"",""id"":11141003,""val"":40}]")</f>
        <v>[{"typ":"rss","id":11141001,"val":40},{"typ":"rss","id":11141003,"val":40}]</v>
      </c>
      <c r="R11" s="148" t="str">
        <f>IFERROR(__xludf.DUMMYFUNCTION("""COMPUTED_VALUE"""),"{}")</f>
        <v>{}</v>
      </c>
      <c r="S11" s="148">
        <f>IFERROR(__xludf.DUMMYFUNCTION("""COMPUTED_VALUE"""),17000.0)</f>
        <v>17000</v>
      </c>
      <c r="T11" s="148" t="str">
        <f>IFERROR(__xludf.DUMMYFUNCTION("""COMPUTED_VALUE"""),"[{""typ"":""rss"",""id"":11141001,""val"":50},{""typ"":""rss"",""id"":11141003,""val"":50}]")</f>
        <v>[{"typ":"rss","id":11141001,"val":50},{"typ":"rss","id":11141003,"val":50}]</v>
      </c>
      <c r="U11" s="148">
        <f>IFERROR(__xludf.DUMMYFUNCTION("""COMPUTED_VALUE"""),0.0)</f>
        <v>0</v>
      </c>
      <c r="V11" s="148" t="str">
        <f>IFERROR(__xludf.DUMMYFUNCTION("""COMPUTED_VALUE"""),"{""op"":""and"",""args"":[{""op"":""ge"",""typ"":""arms_group"",""id"":11672102,""val"":1}]}")</f>
        <v>{"op":"and","args":[{"op":"ge","typ":"arms_group","id":11672102,"val":1}]}</v>
      </c>
      <c r="W11" s="148" t="str">
        <f>IFERROR(__xludf.DUMMYFUNCTION("""COMPUTED_VALUE"""),"[]")</f>
        <v>[]</v>
      </c>
      <c r="X11" s="148" t="str">
        <f>IFERROR(__xludf.DUMMYFUNCTION("""COMPUTED_VALUE"""),"[{""typ"":""power"",""id"":12141002,""val"":2}]")</f>
        <v>[{"typ":"power","id":12141002,"val":2}]</v>
      </c>
      <c r="Y11" s="148" t="str">
        <f>IFERROR(__xludf.DUMMYFUNCTION("""COMPUTED_VALUE"""),"[{""typ"":""atk"",""val"":119},{""typ"":""def"",""val"":138},{""typ"":""hp"",""val"":129},{""typ"":""speed"",""val"":38},{""typ"":""load"",""val"":11},{""typ"":""backcoef"",""val"":0.5},{""typ"":""atkcoef"",""val"":1.0},{""typ"":""atkcd"",""val"":0}]")</f>
        <v>[{"typ":"atk","val":119},{"typ":"def","val":138},{"typ":"hp","val":129},{"typ":"speed","val":38},{"typ":"load","val":11},{"typ":"backcoef","val":0.5},{"typ":"atkcoef","val":1.0},{"typ":"atkcd","val":0}]</v>
      </c>
      <c r="Z11" s="148" t="str">
        <f>IFERROR(__xludf.DUMMYFUNCTION("""COMPUTED_VALUE"""),"[]")</f>
        <v>[]</v>
      </c>
    </row>
    <row r="12">
      <c r="A12" s="148">
        <f>IFERROR(__xludf.DUMMYFUNCTION("""COMPUTED_VALUE"""),1.1211014E7)</f>
        <v>11211014</v>
      </c>
      <c r="B12" s="148" t="str">
        <f>IFERROR(__xludf.DUMMYFUNCTION("""COMPUTED_VALUE"""),"步兵-lv2-2")</f>
        <v>步兵-lv2-2</v>
      </c>
      <c r="C12" s="148">
        <f>IFERROR(__xludf.DUMMYFUNCTION("""COMPUTED_VALUE"""),1.1221001E7)</f>
        <v>11221001</v>
      </c>
      <c r="D12" s="148">
        <f>IFERROR(__xludf.DUMMYFUNCTION("""COMPUTED_VALUE"""),1.5110053E7)</f>
        <v>15110053</v>
      </c>
      <c r="E12" s="148" t="str">
        <f>IFERROR(__xludf.DUMMYFUNCTION("""COMPUTED_VALUE"""),"{""typ"":""lc"",""txt"":""LC_SOLDIER_hitter_name_2""}")</f>
        <v>{"typ":"lc","txt":"LC_SOLDIER_hitter_name_2"}</v>
      </c>
      <c r="F12" s="148" t="str">
        <f>IFERROR(__xludf.DUMMYFUNCTION("""COMPUTED_VALUE"""),"{""typ"":""lc"",""txt"":""LC_SOLDIER_hitter_desc_2""}")</f>
        <v>{"typ":"lc","txt":"LC_SOLDIER_hitter_desc_2"}</v>
      </c>
      <c r="G12" s="148">
        <f>IFERROR(__xludf.DUMMYFUNCTION("""COMPUTED_VALUE"""),2.0)</f>
        <v>2</v>
      </c>
      <c r="H12" s="148">
        <f>IFERROR(__xludf.DUMMYFUNCTION("""COMPUTED_VALUE"""),7.0)</f>
        <v>7</v>
      </c>
      <c r="I12" s="148">
        <f>IFERROR(__xludf.DUMMYFUNCTION("""COMPUTED_VALUE"""),10008.0)</f>
        <v>10008</v>
      </c>
      <c r="J12" s="148">
        <f>IFERROR(__xludf.DUMMYFUNCTION("""COMPUTED_VALUE"""),3.0)</f>
        <v>3</v>
      </c>
      <c r="K12" s="148">
        <f>IFERROR(__xludf.DUMMYFUNCTION("""COMPUTED_VALUE"""),2.0)</f>
        <v>2</v>
      </c>
      <c r="L12" s="148">
        <f>IFERROR(__xludf.DUMMYFUNCTION("""COMPUTED_VALUE"""),6.0)</f>
        <v>6</v>
      </c>
      <c r="M12" s="148">
        <f>IFERROR(__xludf.DUMMYFUNCTION("""COMPUTED_VALUE"""),30000.0)</f>
        <v>30000</v>
      </c>
      <c r="N12" s="148" t="str">
        <f>IFERROR(__xludf.DUMMYFUNCTION("""COMPUTED_VALUE"""),"[{""typ"":""rss"",""id"":11141001,""val"":100},{""typ"":""rss"",""id"":11141003,""val"":100}]")</f>
        <v>[{"typ":"rss","id":11141001,"val":100},{"typ":"rss","id":11141003,"val":100}]</v>
      </c>
      <c r="O12" s="148" t="str">
        <f>IFERROR(__xludf.DUMMYFUNCTION("""COMPUTED_VALUE"""),"{""op"":""and"",""args"":[{""op"":""ge"",""typ"":""arms_group"",""id"":11672103,""val"":1}]}")</f>
        <v>{"op":"and","args":[{"op":"ge","typ":"arms_group","id":11672103,"val":1}]}</v>
      </c>
      <c r="P12" s="148">
        <f>IFERROR(__xludf.DUMMYFUNCTION("""COMPUTED_VALUE"""),1000.0)</f>
        <v>1000</v>
      </c>
      <c r="Q12" s="148" t="str">
        <f>IFERROR(__xludf.DUMMYFUNCTION("""COMPUTED_VALUE"""),"[{""typ"":""rss"",""id"":11141001,""val"":40},{""typ"":""rss"",""id"":11141003,""val"":40}]")</f>
        <v>[{"typ":"rss","id":11141001,"val":40},{"typ":"rss","id":11141003,"val":40}]</v>
      </c>
      <c r="R12" s="148" t="str">
        <f>IFERROR(__xludf.DUMMYFUNCTION("""COMPUTED_VALUE"""),"{}")</f>
        <v>{}</v>
      </c>
      <c r="S12" s="148">
        <f>IFERROR(__xludf.DUMMYFUNCTION("""COMPUTED_VALUE"""),17000.0)</f>
        <v>17000</v>
      </c>
      <c r="T12" s="148" t="str">
        <f>IFERROR(__xludf.DUMMYFUNCTION("""COMPUTED_VALUE"""),"[{""typ"":""rss"",""id"":11141001,""val"":50},{""typ"":""rss"",""id"":11141003,""val"":50}]")</f>
        <v>[{"typ":"rss","id":11141001,"val":50},{"typ":"rss","id":11141003,"val":50}]</v>
      </c>
      <c r="U12" s="148">
        <f>IFERROR(__xludf.DUMMYFUNCTION("""COMPUTED_VALUE"""),0.0)</f>
        <v>0</v>
      </c>
      <c r="V12" s="148" t="str">
        <f>IFERROR(__xludf.DUMMYFUNCTION("""COMPUTED_VALUE"""),"{""op"":""and"",""args"":[{""op"":""ge"",""typ"":""arms_group"",""id"":11672103,""val"":1}]}")</f>
        <v>{"op":"and","args":[{"op":"ge","typ":"arms_group","id":11672103,"val":1}]}</v>
      </c>
      <c r="W12" s="148" t="str">
        <f>IFERROR(__xludf.DUMMYFUNCTION("""COMPUTED_VALUE"""),"[]")</f>
        <v>[]</v>
      </c>
      <c r="X12" s="148" t="str">
        <f>IFERROR(__xludf.DUMMYFUNCTION("""COMPUTED_VALUE"""),"[{""typ"":""power"",""id"":12141002,""val"":2}]")</f>
        <v>[{"typ":"power","id":12141002,"val":2}]</v>
      </c>
      <c r="Y12" s="148" t="str">
        <f>IFERROR(__xludf.DUMMYFUNCTION("""COMPUTED_VALUE"""),"[{""typ"":""atk"",""val"":122},{""typ"":""def"",""val"":141},{""typ"":""hp"",""val"":130},{""typ"":""speed"",""val"":38},{""typ"":""load"",""val"":11},{""typ"":""backcoef"",""val"":0.5},{""typ"":""atkcoef"",""val"":1.0},{""typ"":""atkcd"",""val"":0}]")</f>
        <v>[{"typ":"atk","val":122},{"typ":"def","val":141},{"typ":"hp","val":130},{"typ":"speed","val":38},{"typ":"load","val":11},{"typ":"backcoef","val":0.5},{"typ":"atkcoef","val":1.0},{"typ":"atkcd","val":0}]</v>
      </c>
      <c r="Z12" s="148" t="str">
        <f>IFERROR(__xludf.DUMMYFUNCTION("""COMPUTED_VALUE"""),"[]")</f>
        <v>[]</v>
      </c>
    </row>
    <row r="13">
      <c r="A13" s="148">
        <f>IFERROR(__xludf.DUMMYFUNCTION("""COMPUTED_VALUE"""),1.1211015E7)</f>
        <v>11211015</v>
      </c>
      <c r="B13" s="148" t="str">
        <f>IFERROR(__xludf.DUMMYFUNCTION("""COMPUTED_VALUE"""),"步兵-lv2-3")</f>
        <v>步兵-lv2-3</v>
      </c>
      <c r="C13" s="148">
        <f>IFERROR(__xludf.DUMMYFUNCTION("""COMPUTED_VALUE"""),1.1221001E7)</f>
        <v>11221001</v>
      </c>
      <c r="D13" s="148">
        <f>IFERROR(__xludf.DUMMYFUNCTION("""COMPUTED_VALUE"""),1.5110053E7)</f>
        <v>15110053</v>
      </c>
      <c r="E13" s="148" t="str">
        <f>IFERROR(__xludf.DUMMYFUNCTION("""COMPUTED_VALUE"""),"{""typ"":""lc"",""txt"":""LC_SOLDIER_hitter_name_2""}")</f>
        <v>{"typ":"lc","txt":"LC_SOLDIER_hitter_name_2"}</v>
      </c>
      <c r="F13" s="148" t="str">
        <f>IFERROR(__xludf.DUMMYFUNCTION("""COMPUTED_VALUE"""),"{""typ"":""lc"",""txt"":""LC_SOLDIER_hitter_desc_2""}")</f>
        <v>{"typ":"lc","txt":"LC_SOLDIER_hitter_desc_2"}</v>
      </c>
      <c r="G13" s="148">
        <f>IFERROR(__xludf.DUMMYFUNCTION("""COMPUTED_VALUE"""),2.0)</f>
        <v>2</v>
      </c>
      <c r="H13" s="148">
        <f>IFERROR(__xludf.DUMMYFUNCTION("""COMPUTED_VALUE"""),7.0)</f>
        <v>7</v>
      </c>
      <c r="I13" s="148">
        <f>IFERROR(__xludf.DUMMYFUNCTION("""COMPUTED_VALUE"""),10008.0)</f>
        <v>10008</v>
      </c>
      <c r="J13" s="148">
        <f>IFERROR(__xludf.DUMMYFUNCTION("""COMPUTED_VALUE"""),3.0)</f>
        <v>3</v>
      </c>
      <c r="K13" s="148">
        <f>IFERROR(__xludf.DUMMYFUNCTION("""COMPUTED_VALUE"""),2.0)</f>
        <v>2</v>
      </c>
      <c r="L13" s="148">
        <f>IFERROR(__xludf.DUMMYFUNCTION("""COMPUTED_VALUE"""),6.0)</f>
        <v>6</v>
      </c>
      <c r="M13" s="148">
        <f>IFERROR(__xludf.DUMMYFUNCTION("""COMPUTED_VALUE"""),30000.0)</f>
        <v>30000</v>
      </c>
      <c r="N13" s="148" t="str">
        <f>IFERROR(__xludf.DUMMYFUNCTION("""COMPUTED_VALUE"""),"[{""typ"":""rss"",""id"":11141001,""val"":100},{""typ"":""rss"",""id"":11141003,""val"":100}]")</f>
        <v>[{"typ":"rss","id":11141001,"val":100},{"typ":"rss","id":11141003,"val":100}]</v>
      </c>
      <c r="O13" s="148" t="str">
        <f>IFERROR(__xludf.DUMMYFUNCTION("""COMPUTED_VALUE"""),"{""op"":""and"",""args"":[{""op"":""ge"",""typ"":""arms_group"",""id"":11672104,""val"":1}]}")</f>
        <v>{"op":"and","args":[{"op":"ge","typ":"arms_group","id":11672104,"val":1}]}</v>
      </c>
      <c r="P13" s="148">
        <f>IFERROR(__xludf.DUMMYFUNCTION("""COMPUTED_VALUE"""),1000.0)</f>
        <v>1000</v>
      </c>
      <c r="Q13" s="148" t="str">
        <f>IFERROR(__xludf.DUMMYFUNCTION("""COMPUTED_VALUE"""),"[{""typ"":""rss"",""id"":11141001,""val"":40},{""typ"":""rss"",""id"":11141003,""val"":40}]")</f>
        <v>[{"typ":"rss","id":11141001,"val":40},{"typ":"rss","id":11141003,"val":40}]</v>
      </c>
      <c r="R13" s="148" t="str">
        <f>IFERROR(__xludf.DUMMYFUNCTION("""COMPUTED_VALUE"""),"{}")</f>
        <v>{}</v>
      </c>
      <c r="S13" s="148">
        <f>IFERROR(__xludf.DUMMYFUNCTION("""COMPUTED_VALUE"""),17000.0)</f>
        <v>17000</v>
      </c>
      <c r="T13" s="148" t="str">
        <f>IFERROR(__xludf.DUMMYFUNCTION("""COMPUTED_VALUE"""),"[{""typ"":""rss"",""id"":11141001,""val"":50},{""typ"":""rss"",""id"":11141003,""val"":50}]")</f>
        <v>[{"typ":"rss","id":11141001,"val":50},{"typ":"rss","id":11141003,"val":50}]</v>
      </c>
      <c r="U13" s="148">
        <f>IFERROR(__xludf.DUMMYFUNCTION("""COMPUTED_VALUE"""),0.0)</f>
        <v>0</v>
      </c>
      <c r="V13" s="148" t="str">
        <f>IFERROR(__xludf.DUMMYFUNCTION("""COMPUTED_VALUE"""),"{""op"":""and"",""args"":[{""op"":""ge"",""typ"":""arms_group"",""id"":11672104,""val"":1}]}")</f>
        <v>{"op":"and","args":[{"op":"ge","typ":"arms_group","id":11672104,"val":1}]}</v>
      </c>
      <c r="W13" s="148" t="str">
        <f>IFERROR(__xludf.DUMMYFUNCTION("""COMPUTED_VALUE"""),"[]")</f>
        <v>[]</v>
      </c>
      <c r="X13" s="148" t="str">
        <f>IFERROR(__xludf.DUMMYFUNCTION("""COMPUTED_VALUE"""),"[{""typ"":""power"",""id"":12141002,""val"":2}]")</f>
        <v>[{"typ":"power","id":12141002,"val":2}]</v>
      </c>
      <c r="Y13" s="148" t="str">
        <f>IFERROR(__xludf.DUMMYFUNCTION("""COMPUTED_VALUE"""),"[{""typ"":""atk"",""val"":125},{""typ"":""def"",""val"":144},{""typ"":""hp"",""val"":131},{""typ"":""speed"",""val"":38},{""typ"":""load"",""val"":11},{""typ"":""backcoef"",""val"":0.5},{""typ"":""atkcoef"",""val"":1.0},{""typ"":""atkcd"",""val"":0}]")</f>
        <v>[{"typ":"atk","val":125},{"typ":"def","val":144},{"typ":"hp","val":131},{"typ":"speed","val":38},{"typ":"load","val":11},{"typ":"backcoef","val":0.5},{"typ":"atkcoef","val":1.0},{"typ":"atkcd","val":0}]</v>
      </c>
      <c r="Z13" s="148" t="str">
        <f>IFERROR(__xludf.DUMMYFUNCTION("""COMPUTED_VALUE"""),"[]")</f>
        <v>[]</v>
      </c>
    </row>
    <row r="14">
      <c r="A14" s="148">
        <f>IFERROR(__xludf.DUMMYFUNCTION("""COMPUTED_VALUE"""),1.1211016E7)</f>
        <v>11211016</v>
      </c>
      <c r="B14" s="148" t="str">
        <f>IFERROR(__xludf.DUMMYFUNCTION("""COMPUTED_VALUE"""),"步兵-lv3-1")</f>
        <v>步兵-lv3-1</v>
      </c>
      <c r="C14" s="148">
        <f>IFERROR(__xludf.DUMMYFUNCTION("""COMPUTED_VALUE"""),1.1221001E7)</f>
        <v>11221001</v>
      </c>
      <c r="D14" s="148">
        <f>IFERROR(__xludf.DUMMYFUNCTION("""COMPUTED_VALUE"""),1.5110054E7)</f>
        <v>15110054</v>
      </c>
      <c r="E14" s="148" t="str">
        <f>IFERROR(__xludf.DUMMYFUNCTION("""COMPUTED_VALUE"""),"{""typ"":""lc"",""txt"":""LC_SOLDIER_hitter_name_3""}")</f>
        <v>{"typ":"lc","txt":"LC_SOLDIER_hitter_name_3"}</v>
      </c>
      <c r="F14" s="148" t="str">
        <f>IFERROR(__xludf.DUMMYFUNCTION("""COMPUTED_VALUE"""),"{""typ"":""lc"",""txt"":""LC_SOLDIER_hitter_desc_3""}")</f>
        <v>{"typ":"lc","txt":"LC_SOLDIER_hitter_desc_3"}</v>
      </c>
      <c r="G14" s="148">
        <f>IFERROR(__xludf.DUMMYFUNCTION("""COMPUTED_VALUE"""),4.0)</f>
        <v>4</v>
      </c>
      <c r="H14" s="148">
        <f>IFERROR(__xludf.DUMMYFUNCTION("""COMPUTED_VALUE"""),11.0)</f>
        <v>11</v>
      </c>
      <c r="I14" s="148">
        <f>IFERROR(__xludf.DUMMYFUNCTION("""COMPUTED_VALUE"""),10006.0)</f>
        <v>10006</v>
      </c>
      <c r="J14" s="148">
        <f>IFERROR(__xludf.DUMMYFUNCTION("""COMPUTED_VALUE"""),5.0)</f>
        <v>5</v>
      </c>
      <c r="K14" s="148">
        <f>IFERROR(__xludf.DUMMYFUNCTION("""COMPUTED_VALUE"""),3.0)</f>
        <v>3</v>
      </c>
      <c r="L14" s="148">
        <f>IFERROR(__xludf.DUMMYFUNCTION("""COMPUTED_VALUE"""),6.0)</f>
        <v>6</v>
      </c>
      <c r="M14" s="148">
        <f>IFERROR(__xludf.DUMMYFUNCTION("""COMPUTED_VALUE"""),60000.0)</f>
        <v>60000</v>
      </c>
      <c r="N14" s="148" t="str">
        <f>IFERROR(__xludf.DUMMYFUNCTION("""COMPUTED_VALUE"""),"[{""typ"":""rss"",""id"":11141001,""val"":200},{""typ"":""rss"",""id"":11141003,""val"":200}]")</f>
        <v>[{"typ":"rss","id":11141001,"val":200},{"typ":"rss","id":11141003,"val":200}]</v>
      </c>
      <c r="O14" s="148" t="str">
        <f>IFERROR(__xludf.DUMMYFUNCTION("""COMPUTED_VALUE"""),"{""op"":""and"",""args"":[{""op"":""ge"",""typ"":""arms_group"",""id"":11672202,""val"":1}]}")</f>
        <v>{"op":"and","args":[{"op":"ge","typ":"arms_group","id":11672202,"val":1}]}</v>
      </c>
      <c r="P14" s="148">
        <f>IFERROR(__xludf.DUMMYFUNCTION("""COMPUTED_VALUE"""),2000.0)</f>
        <v>2000</v>
      </c>
      <c r="Q14" s="148" t="str">
        <f>IFERROR(__xludf.DUMMYFUNCTION("""COMPUTED_VALUE"""),"[{""typ"":""rss"",""id"":11141001,""val"":80},{""typ"":""rss"",""id"":11141003,""val"":80}]")</f>
        <v>[{"typ":"rss","id":11141001,"val":80},{"typ":"rss","id":11141003,"val":80}]</v>
      </c>
      <c r="R14" s="148" t="str">
        <f>IFERROR(__xludf.DUMMYFUNCTION("""COMPUTED_VALUE"""),"{}")</f>
        <v>{}</v>
      </c>
      <c r="S14" s="148">
        <f>IFERROR(__xludf.DUMMYFUNCTION("""COMPUTED_VALUE"""),30000.0)</f>
        <v>30000</v>
      </c>
      <c r="T14" s="148" t="str">
        <f>IFERROR(__xludf.DUMMYFUNCTION("""COMPUTED_VALUE"""),"[{""typ"":""rss"",""id"":11141001,""val"":100},{""typ"":""rss"",""id"":11141003,""val"":100}]")</f>
        <v>[{"typ":"rss","id":11141001,"val":100},{"typ":"rss","id":11141003,"val":100}]</v>
      </c>
      <c r="U14" s="148">
        <f>IFERROR(__xludf.DUMMYFUNCTION("""COMPUTED_VALUE"""),0.0)</f>
        <v>0</v>
      </c>
      <c r="V14" s="148" t="str">
        <f>IFERROR(__xludf.DUMMYFUNCTION("""COMPUTED_VALUE"""),"{""op"":""and"",""args"":[{""op"":""ge"",""typ"":""arms_group"",""id"":11672202,""val"":1}]}")</f>
        <v>{"op":"and","args":[{"op":"ge","typ":"arms_group","id":11672202,"val":1}]}</v>
      </c>
      <c r="W14" s="148" t="str">
        <f>IFERROR(__xludf.DUMMYFUNCTION("""COMPUTED_VALUE"""),"[]")</f>
        <v>[]</v>
      </c>
      <c r="X14" s="148" t="str">
        <f>IFERROR(__xludf.DUMMYFUNCTION("""COMPUTED_VALUE"""),"[{""typ"":""power"",""id"":12141002,""val"":4}]")</f>
        <v>[{"typ":"power","id":12141002,"val":4}]</v>
      </c>
      <c r="Y14" s="148" t="str">
        <f>IFERROR(__xludf.DUMMYFUNCTION("""COMPUTED_VALUE"""),"[{""typ"":""atk"",""val"":161},{""typ"":""def"",""val"":168},{""typ"":""hp"",""val"":155},{""typ"":""speed"",""val"":35},{""typ"":""load"",""val"":12},{""typ"":""backcoef"",""val"":0.5},{""typ"":""atkcoef"",""val"":1.0},{""typ"":""atkcd"",""val"":0}]")</f>
        <v>[{"typ":"atk","val":161},{"typ":"def","val":168},{"typ":"hp","val":155},{"typ":"speed","val":35},{"typ":"load","val":12},{"typ":"backcoef","val":0.5},{"typ":"atkcoef","val":1.0},{"typ":"atkcd","val":0}]</v>
      </c>
      <c r="Z14" s="148" t="str">
        <f>IFERROR(__xludf.DUMMYFUNCTION("""COMPUTED_VALUE"""),"[]")</f>
        <v>[]</v>
      </c>
    </row>
    <row r="15">
      <c r="A15" s="148">
        <f>IFERROR(__xludf.DUMMYFUNCTION("""COMPUTED_VALUE"""),1.1211017E7)</f>
        <v>11211017</v>
      </c>
      <c r="B15" s="148" t="str">
        <f>IFERROR(__xludf.DUMMYFUNCTION("""COMPUTED_VALUE"""),"步兵-lv3-2")</f>
        <v>步兵-lv3-2</v>
      </c>
      <c r="C15" s="148">
        <f>IFERROR(__xludf.DUMMYFUNCTION("""COMPUTED_VALUE"""),1.1221001E7)</f>
        <v>11221001</v>
      </c>
      <c r="D15" s="148">
        <f>IFERROR(__xludf.DUMMYFUNCTION("""COMPUTED_VALUE"""),1.5110054E7)</f>
        <v>15110054</v>
      </c>
      <c r="E15" s="148" t="str">
        <f>IFERROR(__xludf.DUMMYFUNCTION("""COMPUTED_VALUE"""),"{""typ"":""lc"",""txt"":""LC_SOLDIER_hitter_name_3""}")</f>
        <v>{"typ":"lc","txt":"LC_SOLDIER_hitter_name_3"}</v>
      </c>
      <c r="F15" s="148" t="str">
        <f>IFERROR(__xludf.DUMMYFUNCTION("""COMPUTED_VALUE"""),"{""typ"":""lc"",""txt"":""LC_SOLDIER_hitter_desc_3""}")</f>
        <v>{"typ":"lc","txt":"LC_SOLDIER_hitter_desc_3"}</v>
      </c>
      <c r="G15" s="148">
        <f>IFERROR(__xludf.DUMMYFUNCTION("""COMPUTED_VALUE"""),4.0)</f>
        <v>4</v>
      </c>
      <c r="H15" s="148">
        <f>IFERROR(__xludf.DUMMYFUNCTION("""COMPUTED_VALUE"""),11.0)</f>
        <v>11</v>
      </c>
      <c r="I15" s="148">
        <f>IFERROR(__xludf.DUMMYFUNCTION("""COMPUTED_VALUE"""),10006.0)</f>
        <v>10006</v>
      </c>
      <c r="J15" s="148">
        <f>IFERROR(__xludf.DUMMYFUNCTION("""COMPUTED_VALUE"""),5.0)</f>
        <v>5</v>
      </c>
      <c r="K15" s="148">
        <f>IFERROR(__xludf.DUMMYFUNCTION("""COMPUTED_VALUE"""),3.0)</f>
        <v>3</v>
      </c>
      <c r="L15" s="148">
        <f>IFERROR(__xludf.DUMMYFUNCTION("""COMPUTED_VALUE"""),6.0)</f>
        <v>6</v>
      </c>
      <c r="M15" s="148">
        <f>IFERROR(__xludf.DUMMYFUNCTION("""COMPUTED_VALUE"""),60000.0)</f>
        <v>60000</v>
      </c>
      <c r="N15" s="148" t="str">
        <f>IFERROR(__xludf.DUMMYFUNCTION("""COMPUTED_VALUE"""),"[{""typ"":""rss"",""id"":11141001,""val"":200},{""typ"":""rss"",""id"":11141003,""val"":200}]")</f>
        <v>[{"typ":"rss","id":11141001,"val":200},{"typ":"rss","id":11141003,"val":200}]</v>
      </c>
      <c r="O15" s="148" t="str">
        <f>IFERROR(__xludf.DUMMYFUNCTION("""COMPUTED_VALUE"""),"{""op"":""and"",""args"":[{""op"":""ge"",""typ"":""arms_group"",""id"":11672203,""val"":1}]}")</f>
        <v>{"op":"and","args":[{"op":"ge","typ":"arms_group","id":11672203,"val":1}]}</v>
      </c>
      <c r="P15" s="148">
        <f>IFERROR(__xludf.DUMMYFUNCTION("""COMPUTED_VALUE"""),2000.0)</f>
        <v>2000</v>
      </c>
      <c r="Q15" s="148" t="str">
        <f>IFERROR(__xludf.DUMMYFUNCTION("""COMPUTED_VALUE"""),"[{""typ"":""rss"",""id"":11141001,""val"":80},{""typ"":""rss"",""id"":11141003,""val"":80}]")</f>
        <v>[{"typ":"rss","id":11141001,"val":80},{"typ":"rss","id":11141003,"val":80}]</v>
      </c>
      <c r="R15" s="148" t="str">
        <f>IFERROR(__xludf.DUMMYFUNCTION("""COMPUTED_VALUE"""),"{}")</f>
        <v>{}</v>
      </c>
      <c r="S15" s="148">
        <f>IFERROR(__xludf.DUMMYFUNCTION("""COMPUTED_VALUE"""),30000.0)</f>
        <v>30000</v>
      </c>
      <c r="T15" s="148" t="str">
        <f>IFERROR(__xludf.DUMMYFUNCTION("""COMPUTED_VALUE"""),"[{""typ"":""rss"",""id"":11141001,""val"":100},{""typ"":""rss"",""id"":11141003,""val"":100}]")</f>
        <v>[{"typ":"rss","id":11141001,"val":100},{"typ":"rss","id":11141003,"val":100}]</v>
      </c>
      <c r="U15" s="148">
        <f>IFERROR(__xludf.DUMMYFUNCTION("""COMPUTED_VALUE"""),0.0)</f>
        <v>0</v>
      </c>
      <c r="V15" s="148" t="str">
        <f>IFERROR(__xludf.DUMMYFUNCTION("""COMPUTED_VALUE"""),"{""op"":""and"",""args"":[{""op"":""ge"",""typ"":""arms_group"",""id"":11672203,""val"":1}]}")</f>
        <v>{"op":"and","args":[{"op":"ge","typ":"arms_group","id":11672203,"val":1}]}</v>
      </c>
      <c r="W15" s="148" t="str">
        <f>IFERROR(__xludf.DUMMYFUNCTION("""COMPUTED_VALUE"""),"[]")</f>
        <v>[]</v>
      </c>
      <c r="X15" s="148" t="str">
        <f>IFERROR(__xludf.DUMMYFUNCTION("""COMPUTED_VALUE"""),"[{""typ"":""power"",""id"":12141002,""val"":4}]")</f>
        <v>[{"typ":"power","id":12141002,"val":4}]</v>
      </c>
      <c r="Y15" s="148" t="str">
        <f>IFERROR(__xludf.DUMMYFUNCTION("""COMPUTED_VALUE"""),"[{""typ"":""atk"",""val"":164},{""typ"":""def"",""val"":171},{""typ"":""hp"",""val"":156},{""typ"":""speed"",""val"":35},{""typ"":""load"",""val"":12},{""typ"":""backcoef"",""val"":0.5},{""typ"":""atkcoef"",""val"":1.0},{""typ"":""atkcd"",""val"":0}]")</f>
        <v>[{"typ":"atk","val":164},{"typ":"def","val":171},{"typ":"hp","val":156},{"typ":"speed","val":35},{"typ":"load","val":12},{"typ":"backcoef","val":0.5},{"typ":"atkcoef","val":1.0},{"typ":"atkcd","val":0}]</v>
      </c>
      <c r="Z15" s="148" t="str">
        <f>IFERROR(__xludf.DUMMYFUNCTION("""COMPUTED_VALUE"""),"[]")</f>
        <v>[]</v>
      </c>
    </row>
    <row r="16">
      <c r="A16" s="148">
        <f>IFERROR(__xludf.DUMMYFUNCTION("""COMPUTED_VALUE"""),1.1211018E7)</f>
        <v>11211018</v>
      </c>
      <c r="B16" s="148" t="str">
        <f>IFERROR(__xludf.DUMMYFUNCTION("""COMPUTED_VALUE"""),"步兵-lv3-3")</f>
        <v>步兵-lv3-3</v>
      </c>
      <c r="C16" s="148">
        <f>IFERROR(__xludf.DUMMYFUNCTION("""COMPUTED_VALUE"""),1.1221001E7)</f>
        <v>11221001</v>
      </c>
      <c r="D16" s="148">
        <f>IFERROR(__xludf.DUMMYFUNCTION("""COMPUTED_VALUE"""),1.5110054E7)</f>
        <v>15110054</v>
      </c>
      <c r="E16" s="148" t="str">
        <f>IFERROR(__xludf.DUMMYFUNCTION("""COMPUTED_VALUE"""),"{""typ"":""lc"",""txt"":""LC_SOLDIER_hitter_name_3""}")</f>
        <v>{"typ":"lc","txt":"LC_SOLDIER_hitter_name_3"}</v>
      </c>
      <c r="F16" s="148" t="str">
        <f>IFERROR(__xludf.DUMMYFUNCTION("""COMPUTED_VALUE"""),"{""typ"":""lc"",""txt"":""LC_SOLDIER_hitter_desc_3""}")</f>
        <v>{"typ":"lc","txt":"LC_SOLDIER_hitter_desc_3"}</v>
      </c>
      <c r="G16" s="148">
        <f>IFERROR(__xludf.DUMMYFUNCTION("""COMPUTED_VALUE"""),4.0)</f>
        <v>4</v>
      </c>
      <c r="H16" s="148">
        <f>IFERROR(__xludf.DUMMYFUNCTION("""COMPUTED_VALUE"""),11.0)</f>
        <v>11</v>
      </c>
      <c r="I16" s="148">
        <f>IFERROR(__xludf.DUMMYFUNCTION("""COMPUTED_VALUE"""),10006.0)</f>
        <v>10006</v>
      </c>
      <c r="J16" s="148">
        <f>IFERROR(__xludf.DUMMYFUNCTION("""COMPUTED_VALUE"""),5.0)</f>
        <v>5</v>
      </c>
      <c r="K16" s="148">
        <f>IFERROR(__xludf.DUMMYFUNCTION("""COMPUTED_VALUE"""),3.0)</f>
        <v>3</v>
      </c>
      <c r="L16" s="148">
        <f>IFERROR(__xludf.DUMMYFUNCTION("""COMPUTED_VALUE"""),6.0)</f>
        <v>6</v>
      </c>
      <c r="M16" s="148">
        <f>IFERROR(__xludf.DUMMYFUNCTION("""COMPUTED_VALUE"""),60000.0)</f>
        <v>60000</v>
      </c>
      <c r="N16" s="148" t="str">
        <f>IFERROR(__xludf.DUMMYFUNCTION("""COMPUTED_VALUE"""),"[{""typ"":""rss"",""id"":11141001,""val"":200},{""typ"":""rss"",""id"":11141003,""val"":200}]")</f>
        <v>[{"typ":"rss","id":11141001,"val":200},{"typ":"rss","id":11141003,"val":200}]</v>
      </c>
      <c r="O16" s="148" t="str">
        <f>IFERROR(__xludf.DUMMYFUNCTION("""COMPUTED_VALUE"""),"{""op"":""and"",""args"":[{""op"":""ge"",""typ"":""arms_group"",""id"":11672204,""val"":1}]}")</f>
        <v>{"op":"and","args":[{"op":"ge","typ":"arms_group","id":11672204,"val":1}]}</v>
      </c>
      <c r="P16" s="148">
        <f>IFERROR(__xludf.DUMMYFUNCTION("""COMPUTED_VALUE"""),2000.0)</f>
        <v>2000</v>
      </c>
      <c r="Q16" s="148" t="str">
        <f>IFERROR(__xludf.DUMMYFUNCTION("""COMPUTED_VALUE"""),"[{""typ"":""rss"",""id"":11141001,""val"":80},{""typ"":""rss"",""id"":11141003,""val"":80}]")</f>
        <v>[{"typ":"rss","id":11141001,"val":80},{"typ":"rss","id":11141003,"val":80}]</v>
      </c>
      <c r="R16" s="148" t="str">
        <f>IFERROR(__xludf.DUMMYFUNCTION("""COMPUTED_VALUE"""),"{}")</f>
        <v>{}</v>
      </c>
      <c r="S16" s="148">
        <f>IFERROR(__xludf.DUMMYFUNCTION("""COMPUTED_VALUE"""),30000.0)</f>
        <v>30000</v>
      </c>
      <c r="T16" s="148" t="str">
        <f>IFERROR(__xludf.DUMMYFUNCTION("""COMPUTED_VALUE"""),"[{""typ"":""rss"",""id"":11141001,""val"":100},{""typ"":""rss"",""id"":11141003,""val"":100}]")</f>
        <v>[{"typ":"rss","id":11141001,"val":100},{"typ":"rss","id":11141003,"val":100}]</v>
      </c>
      <c r="U16" s="148">
        <f>IFERROR(__xludf.DUMMYFUNCTION("""COMPUTED_VALUE"""),0.0)</f>
        <v>0</v>
      </c>
      <c r="V16" s="148" t="str">
        <f>IFERROR(__xludf.DUMMYFUNCTION("""COMPUTED_VALUE"""),"{""op"":""and"",""args"":[{""op"":""ge"",""typ"":""arms_group"",""id"":11672204,""val"":1}]}")</f>
        <v>{"op":"and","args":[{"op":"ge","typ":"arms_group","id":11672204,"val":1}]}</v>
      </c>
      <c r="W16" s="148" t="str">
        <f>IFERROR(__xludf.DUMMYFUNCTION("""COMPUTED_VALUE"""),"[]")</f>
        <v>[]</v>
      </c>
      <c r="X16" s="148" t="str">
        <f>IFERROR(__xludf.DUMMYFUNCTION("""COMPUTED_VALUE"""),"[{""typ"":""power"",""id"":12141002,""val"":4}]")</f>
        <v>[{"typ":"power","id":12141002,"val":4}]</v>
      </c>
      <c r="Y16" s="148" t="str">
        <f>IFERROR(__xludf.DUMMYFUNCTION("""COMPUTED_VALUE"""),"[{""typ"":""atk"",""val"":167},{""typ"":""def"",""val"":174},{""typ"":""hp"",""val"":157},{""typ"":""speed"",""val"":35},{""typ"":""load"",""val"":12},{""typ"":""backcoef"",""val"":0.5},{""typ"":""atkcoef"",""val"":1.0},{""typ"":""atkcd"",""val"":0}]")</f>
        <v>[{"typ":"atk","val":167},{"typ":"def","val":174},{"typ":"hp","val":157},{"typ":"speed","val":35},{"typ":"load","val":12},{"typ":"backcoef","val":0.5},{"typ":"atkcoef","val":1.0},{"typ":"atkcd","val":0}]</v>
      </c>
      <c r="Z16" s="148" t="str">
        <f>IFERROR(__xludf.DUMMYFUNCTION("""COMPUTED_VALUE"""),"[]")</f>
        <v>[]</v>
      </c>
    </row>
    <row r="17">
      <c r="A17" s="148">
        <f>IFERROR(__xludf.DUMMYFUNCTION("""COMPUTED_VALUE"""),1.1211019E7)</f>
        <v>11211019</v>
      </c>
      <c r="B17" s="148" t="str">
        <f>IFERROR(__xludf.DUMMYFUNCTION("""COMPUTED_VALUE"""),"步兵-lv3-4")</f>
        <v>步兵-lv3-4</v>
      </c>
      <c r="C17" s="148">
        <f>IFERROR(__xludf.DUMMYFUNCTION("""COMPUTED_VALUE"""),1.1221001E7)</f>
        <v>11221001</v>
      </c>
      <c r="D17" s="148">
        <f>IFERROR(__xludf.DUMMYFUNCTION("""COMPUTED_VALUE"""),1.5110054E7)</f>
        <v>15110054</v>
      </c>
      <c r="E17" s="148" t="str">
        <f>IFERROR(__xludf.DUMMYFUNCTION("""COMPUTED_VALUE"""),"{""typ"":""lc"",""txt"":""LC_SOLDIER_hitter_name_3""}")</f>
        <v>{"typ":"lc","txt":"LC_SOLDIER_hitter_name_3"}</v>
      </c>
      <c r="F17" s="148" t="str">
        <f>IFERROR(__xludf.DUMMYFUNCTION("""COMPUTED_VALUE"""),"{""typ"":""lc"",""txt"":""LC_SOLDIER_hitter_desc_3""}")</f>
        <v>{"typ":"lc","txt":"LC_SOLDIER_hitter_desc_3"}</v>
      </c>
      <c r="G17" s="148">
        <f>IFERROR(__xludf.DUMMYFUNCTION("""COMPUTED_VALUE"""),4.0)</f>
        <v>4</v>
      </c>
      <c r="H17" s="148">
        <f>IFERROR(__xludf.DUMMYFUNCTION("""COMPUTED_VALUE"""),11.0)</f>
        <v>11</v>
      </c>
      <c r="I17" s="148">
        <f>IFERROR(__xludf.DUMMYFUNCTION("""COMPUTED_VALUE"""),10006.0)</f>
        <v>10006</v>
      </c>
      <c r="J17" s="148">
        <f>IFERROR(__xludf.DUMMYFUNCTION("""COMPUTED_VALUE"""),5.0)</f>
        <v>5</v>
      </c>
      <c r="K17" s="148">
        <f>IFERROR(__xludf.DUMMYFUNCTION("""COMPUTED_VALUE"""),3.0)</f>
        <v>3</v>
      </c>
      <c r="L17" s="148">
        <f>IFERROR(__xludf.DUMMYFUNCTION("""COMPUTED_VALUE"""),6.0)</f>
        <v>6</v>
      </c>
      <c r="M17" s="148">
        <f>IFERROR(__xludf.DUMMYFUNCTION("""COMPUTED_VALUE"""),60000.0)</f>
        <v>60000</v>
      </c>
      <c r="N17" s="148" t="str">
        <f>IFERROR(__xludf.DUMMYFUNCTION("""COMPUTED_VALUE"""),"[{""typ"":""rss"",""id"":11141001,""val"":200},{""typ"":""rss"",""id"":11141003,""val"":200}]")</f>
        <v>[{"typ":"rss","id":11141001,"val":200},{"typ":"rss","id":11141003,"val":200}]</v>
      </c>
      <c r="O17" s="148" t="str">
        <f>IFERROR(__xludf.DUMMYFUNCTION("""COMPUTED_VALUE"""),"{""op"":""and"",""args"":[{""op"":""ge"",""typ"":""arms_group"",""id"":11672205,""val"":1}]}")</f>
        <v>{"op":"and","args":[{"op":"ge","typ":"arms_group","id":11672205,"val":1}]}</v>
      </c>
      <c r="P17" s="148">
        <f>IFERROR(__xludf.DUMMYFUNCTION("""COMPUTED_VALUE"""),2000.0)</f>
        <v>2000</v>
      </c>
      <c r="Q17" s="148" t="str">
        <f>IFERROR(__xludf.DUMMYFUNCTION("""COMPUTED_VALUE"""),"[{""typ"":""rss"",""id"":11141001,""val"":80},{""typ"":""rss"",""id"":11141003,""val"":80}]")</f>
        <v>[{"typ":"rss","id":11141001,"val":80},{"typ":"rss","id":11141003,"val":80}]</v>
      </c>
      <c r="R17" s="148" t="str">
        <f>IFERROR(__xludf.DUMMYFUNCTION("""COMPUTED_VALUE"""),"{}")</f>
        <v>{}</v>
      </c>
      <c r="S17" s="148">
        <f>IFERROR(__xludf.DUMMYFUNCTION("""COMPUTED_VALUE"""),30000.0)</f>
        <v>30000</v>
      </c>
      <c r="T17" s="148" t="str">
        <f>IFERROR(__xludf.DUMMYFUNCTION("""COMPUTED_VALUE"""),"[{""typ"":""rss"",""id"":11141001,""val"":100},{""typ"":""rss"",""id"":11141003,""val"":100}]")</f>
        <v>[{"typ":"rss","id":11141001,"val":100},{"typ":"rss","id":11141003,"val":100}]</v>
      </c>
      <c r="U17" s="148">
        <f>IFERROR(__xludf.DUMMYFUNCTION("""COMPUTED_VALUE"""),0.0)</f>
        <v>0</v>
      </c>
      <c r="V17" s="148" t="str">
        <f>IFERROR(__xludf.DUMMYFUNCTION("""COMPUTED_VALUE"""),"{""op"":""and"",""args"":[{""op"":""ge"",""typ"":""arms_group"",""id"":11672205,""val"":1}]}")</f>
        <v>{"op":"and","args":[{"op":"ge","typ":"arms_group","id":11672205,"val":1}]}</v>
      </c>
      <c r="W17" s="148" t="str">
        <f>IFERROR(__xludf.DUMMYFUNCTION("""COMPUTED_VALUE"""),"[]")</f>
        <v>[]</v>
      </c>
      <c r="X17" s="148" t="str">
        <f>IFERROR(__xludf.DUMMYFUNCTION("""COMPUTED_VALUE"""),"[{""typ"":""power"",""id"":12141002,""val"":4}]")</f>
        <v>[{"typ":"power","id":12141002,"val":4}]</v>
      </c>
      <c r="Y17" s="148" t="str">
        <f>IFERROR(__xludf.DUMMYFUNCTION("""COMPUTED_VALUE"""),"[{""typ"":""atk"",""val"":170},{""typ"":""def"",""val"":177},{""typ"":""hp"",""val"":158},{""typ"":""speed"",""val"":35},{""typ"":""load"",""val"":12},{""typ"":""backcoef"",""val"":0.5},{""typ"":""atkcoef"",""val"":1.0},{""typ"":""atkcd"",""val"":0}]")</f>
        <v>[{"typ":"atk","val":170},{"typ":"def","val":177},{"typ":"hp","val":158},{"typ":"speed","val":35},{"typ":"load","val":12},{"typ":"backcoef","val":0.5},{"typ":"atkcoef","val":1.0},{"typ":"atkcd","val":0}]</v>
      </c>
      <c r="Z17" s="148" t="str">
        <f>IFERROR(__xludf.DUMMYFUNCTION("""COMPUTED_VALUE"""),"[]")</f>
        <v>[]</v>
      </c>
    </row>
    <row r="18">
      <c r="A18" s="148">
        <f>IFERROR(__xludf.DUMMYFUNCTION("""COMPUTED_VALUE"""),1.121102E7)</f>
        <v>11211020</v>
      </c>
      <c r="B18" s="148" t="str">
        <f>IFERROR(__xludf.DUMMYFUNCTION("""COMPUTED_VALUE"""),"步兵-lv4-1")</f>
        <v>步兵-lv4-1</v>
      </c>
      <c r="C18" s="148">
        <f>IFERROR(__xludf.DUMMYFUNCTION("""COMPUTED_VALUE"""),1.1221001E7)</f>
        <v>11221001</v>
      </c>
      <c r="D18" s="148">
        <f>IFERROR(__xludf.DUMMYFUNCTION("""COMPUTED_VALUE"""),1.5110055E7)</f>
        <v>15110055</v>
      </c>
      <c r="E18" s="148" t="str">
        <f>IFERROR(__xludf.DUMMYFUNCTION("""COMPUTED_VALUE"""),"{""typ"":""lc"",""txt"":""LC_SOLDIER_hitter_name_4""}")</f>
        <v>{"typ":"lc","txt":"LC_SOLDIER_hitter_name_4"}</v>
      </c>
      <c r="F18" s="148" t="str">
        <f>IFERROR(__xludf.DUMMYFUNCTION("""COMPUTED_VALUE"""),"{""typ"":""lc"",""txt"":""LC_SOLDIER_hitter_desc_4""}")</f>
        <v>{"typ":"lc","txt":"LC_SOLDIER_hitter_desc_4"}</v>
      </c>
      <c r="G18" s="148">
        <f>IFERROR(__xludf.DUMMYFUNCTION("""COMPUTED_VALUE"""),8.0)</f>
        <v>8</v>
      </c>
      <c r="H18" s="148">
        <f>IFERROR(__xludf.DUMMYFUNCTION("""COMPUTED_VALUE"""),15.0)</f>
        <v>15</v>
      </c>
      <c r="I18" s="148">
        <f>IFERROR(__xludf.DUMMYFUNCTION("""COMPUTED_VALUE"""),10004.0)</f>
        <v>10004</v>
      </c>
      <c r="J18" s="148">
        <f>IFERROR(__xludf.DUMMYFUNCTION("""COMPUTED_VALUE"""),7.0)</f>
        <v>7</v>
      </c>
      <c r="K18" s="148">
        <f>IFERROR(__xludf.DUMMYFUNCTION("""COMPUTED_VALUE"""),4.0)</f>
        <v>4</v>
      </c>
      <c r="L18" s="148">
        <f>IFERROR(__xludf.DUMMYFUNCTION("""COMPUTED_VALUE"""),6.0)</f>
        <v>6</v>
      </c>
      <c r="M18" s="148">
        <f>IFERROR(__xludf.DUMMYFUNCTION("""COMPUTED_VALUE"""),90000.0)</f>
        <v>90000</v>
      </c>
      <c r="N18" s="148" t="str">
        <f>IFERROR(__xludf.DUMMYFUNCTION("""COMPUTED_VALUE"""),"[{""typ"":""rss"",""id"":11141001,""val"":400},{""typ"":""rss"",""id"":11141003,""val"":400}]")</f>
        <v>[{"typ":"rss","id":11141001,"val":400},{"typ":"rss","id":11141003,"val":400}]</v>
      </c>
      <c r="O18" s="148" t="str">
        <f>IFERROR(__xludf.DUMMYFUNCTION("""COMPUTED_VALUE"""),"{""op"":""and"",""args"":[{""op"":""ge"",""typ"":""arms_group"",""id"":11672302,""val"":1}]}")</f>
        <v>{"op":"and","args":[{"op":"ge","typ":"arms_group","id":11672302,"val":1}]}</v>
      </c>
      <c r="P18" s="148">
        <f>IFERROR(__xludf.DUMMYFUNCTION("""COMPUTED_VALUE"""),3000.0)</f>
        <v>3000</v>
      </c>
      <c r="Q18" s="148" t="str">
        <f>IFERROR(__xludf.DUMMYFUNCTION("""COMPUTED_VALUE"""),"[{""typ"":""rss"",""id"":11141001,""val"":160},{""typ"":""rss"",""id"":11141003,""val"":160}]")</f>
        <v>[{"typ":"rss","id":11141001,"val":160},{"typ":"rss","id":11141003,"val":160}]</v>
      </c>
      <c r="R18" s="148" t="str">
        <f>IFERROR(__xludf.DUMMYFUNCTION("""COMPUTED_VALUE"""),"{}")</f>
        <v>{}</v>
      </c>
      <c r="S18" s="148">
        <f>IFERROR(__xludf.DUMMYFUNCTION("""COMPUTED_VALUE"""),30000.0)</f>
        <v>30000</v>
      </c>
      <c r="T18" s="148" t="str">
        <f>IFERROR(__xludf.DUMMYFUNCTION("""COMPUTED_VALUE"""),"[{""typ"":""rss"",""id"":11141001,""val"":200},{""typ"":""rss"",""id"":11141003,""val"":200}]")</f>
        <v>[{"typ":"rss","id":11141001,"val":200},{"typ":"rss","id":11141003,"val":200}]</v>
      </c>
      <c r="U18" s="148">
        <f>IFERROR(__xludf.DUMMYFUNCTION("""COMPUTED_VALUE"""),0.0)</f>
        <v>0</v>
      </c>
      <c r="V18" s="148" t="str">
        <f>IFERROR(__xludf.DUMMYFUNCTION("""COMPUTED_VALUE"""),"{""op"":""and"",""args"":[{""op"":""ge"",""typ"":""arms_group"",""id"":11672302,""val"":1}]}")</f>
        <v>{"op":"and","args":[{"op":"ge","typ":"arms_group","id":11672302,"val":1}]}</v>
      </c>
      <c r="W18" s="148" t="str">
        <f>IFERROR(__xludf.DUMMYFUNCTION("""COMPUTED_VALUE"""),"[]")</f>
        <v>[]</v>
      </c>
      <c r="X18" s="148" t="str">
        <f>IFERROR(__xludf.DUMMYFUNCTION("""COMPUTED_VALUE"""),"[{""typ"":""power"",""id"":12141002,""val"":6}]")</f>
        <v>[{"typ":"power","id":12141002,"val":6}]</v>
      </c>
      <c r="Y18" s="148" t="str">
        <f>IFERROR(__xludf.DUMMYFUNCTION("""COMPUTED_VALUE"""),"[{""typ"":""atk"",""val"":197},{""typ"":""def"",""val"":198},{""typ"":""hp"",""val"":179},{""typ"":""speed"",""val"":33},{""typ"":""load"",""val"":13},{""typ"":""backcoef"",""val"":0.5},{""typ"":""atkcoef"",""val"":1.0},{""typ"":""atkcd"",""val"":0}]")</f>
        <v>[{"typ":"atk","val":197},{"typ":"def","val":198},{"typ":"hp","val":179},{"typ":"speed","val":33},{"typ":"load","val":13},{"typ":"backcoef","val":0.5},{"typ":"atkcoef","val":1.0},{"typ":"atkcd","val":0}]</v>
      </c>
      <c r="Z18" s="148" t="str">
        <f>IFERROR(__xludf.DUMMYFUNCTION("""COMPUTED_VALUE"""),"[]")</f>
        <v>[]</v>
      </c>
    </row>
    <row r="19">
      <c r="A19" s="148">
        <f>IFERROR(__xludf.DUMMYFUNCTION("""COMPUTED_VALUE"""),1.1211021E7)</f>
        <v>11211021</v>
      </c>
      <c r="B19" s="148" t="str">
        <f>IFERROR(__xludf.DUMMYFUNCTION("""COMPUTED_VALUE"""),"步兵-lv4-2")</f>
        <v>步兵-lv4-2</v>
      </c>
      <c r="C19" s="148">
        <f>IFERROR(__xludf.DUMMYFUNCTION("""COMPUTED_VALUE"""),1.1221001E7)</f>
        <v>11221001</v>
      </c>
      <c r="D19" s="148">
        <f>IFERROR(__xludf.DUMMYFUNCTION("""COMPUTED_VALUE"""),1.5110055E7)</f>
        <v>15110055</v>
      </c>
      <c r="E19" s="148" t="str">
        <f>IFERROR(__xludf.DUMMYFUNCTION("""COMPUTED_VALUE"""),"{""typ"":""lc"",""txt"":""LC_SOLDIER_hitter_name_4""}")</f>
        <v>{"typ":"lc","txt":"LC_SOLDIER_hitter_name_4"}</v>
      </c>
      <c r="F19" s="148" t="str">
        <f>IFERROR(__xludf.DUMMYFUNCTION("""COMPUTED_VALUE"""),"{""typ"":""lc"",""txt"":""LC_SOLDIER_hitter_desc_4""}")</f>
        <v>{"typ":"lc","txt":"LC_SOLDIER_hitter_desc_4"}</v>
      </c>
      <c r="G19" s="148">
        <f>IFERROR(__xludf.DUMMYFUNCTION("""COMPUTED_VALUE"""),8.0)</f>
        <v>8</v>
      </c>
      <c r="H19" s="148">
        <f>IFERROR(__xludf.DUMMYFUNCTION("""COMPUTED_VALUE"""),15.0)</f>
        <v>15</v>
      </c>
      <c r="I19" s="148">
        <f>IFERROR(__xludf.DUMMYFUNCTION("""COMPUTED_VALUE"""),10004.0)</f>
        <v>10004</v>
      </c>
      <c r="J19" s="148">
        <f>IFERROR(__xludf.DUMMYFUNCTION("""COMPUTED_VALUE"""),7.0)</f>
        <v>7</v>
      </c>
      <c r="K19" s="148">
        <f>IFERROR(__xludf.DUMMYFUNCTION("""COMPUTED_VALUE"""),4.0)</f>
        <v>4</v>
      </c>
      <c r="L19" s="148">
        <f>IFERROR(__xludf.DUMMYFUNCTION("""COMPUTED_VALUE"""),6.0)</f>
        <v>6</v>
      </c>
      <c r="M19" s="148">
        <f>IFERROR(__xludf.DUMMYFUNCTION("""COMPUTED_VALUE"""),90000.0)</f>
        <v>90000</v>
      </c>
      <c r="N19" s="148" t="str">
        <f>IFERROR(__xludf.DUMMYFUNCTION("""COMPUTED_VALUE"""),"[{""typ"":""rss"",""id"":11141001,""val"":400},{""typ"":""rss"",""id"":11141003,""val"":400}]")</f>
        <v>[{"typ":"rss","id":11141001,"val":400},{"typ":"rss","id":11141003,"val":400}]</v>
      </c>
      <c r="O19" s="148" t="str">
        <f>IFERROR(__xludf.DUMMYFUNCTION("""COMPUTED_VALUE"""),"{""op"":""and"",""args"":[{""op"":""ge"",""typ"":""arms_group"",""id"":11672303,""val"":1}]}")</f>
        <v>{"op":"and","args":[{"op":"ge","typ":"arms_group","id":11672303,"val":1}]}</v>
      </c>
      <c r="P19" s="148">
        <f>IFERROR(__xludf.DUMMYFUNCTION("""COMPUTED_VALUE"""),3000.0)</f>
        <v>3000</v>
      </c>
      <c r="Q19" s="148" t="str">
        <f>IFERROR(__xludf.DUMMYFUNCTION("""COMPUTED_VALUE"""),"[{""typ"":""rss"",""id"":11141001,""val"":160},{""typ"":""rss"",""id"":11141003,""val"":160}]")</f>
        <v>[{"typ":"rss","id":11141001,"val":160},{"typ":"rss","id":11141003,"val":160}]</v>
      </c>
      <c r="R19" s="148" t="str">
        <f>IFERROR(__xludf.DUMMYFUNCTION("""COMPUTED_VALUE"""),"{}")</f>
        <v>{}</v>
      </c>
      <c r="S19" s="148">
        <f>IFERROR(__xludf.DUMMYFUNCTION("""COMPUTED_VALUE"""),30000.0)</f>
        <v>30000</v>
      </c>
      <c r="T19" s="148" t="str">
        <f>IFERROR(__xludf.DUMMYFUNCTION("""COMPUTED_VALUE"""),"[{""typ"":""rss"",""id"":11141001,""val"":200},{""typ"":""rss"",""id"":11141003,""val"":200}]")</f>
        <v>[{"typ":"rss","id":11141001,"val":200},{"typ":"rss","id":11141003,"val":200}]</v>
      </c>
      <c r="U19" s="148">
        <f>IFERROR(__xludf.DUMMYFUNCTION("""COMPUTED_VALUE"""),0.0)</f>
        <v>0</v>
      </c>
      <c r="V19" s="148" t="str">
        <f>IFERROR(__xludf.DUMMYFUNCTION("""COMPUTED_VALUE"""),"{""op"":""and"",""args"":[{""op"":""ge"",""typ"":""arms_group"",""id"":11672303,""val"":1}]}")</f>
        <v>{"op":"and","args":[{"op":"ge","typ":"arms_group","id":11672303,"val":1}]}</v>
      </c>
      <c r="W19" s="148" t="str">
        <f>IFERROR(__xludf.DUMMYFUNCTION("""COMPUTED_VALUE"""),"[]")</f>
        <v>[]</v>
      </c>
      <c r="X19" s="148" t="str">
        <f>IFERROR(__xludf.DUMMYFUNCTION("""COMPUTED_VALUE"""),"[{""typ"":""power"",""id"":12141002,""val"":6}]")</f>
        <v>[{"typ":"power","id":12141002,"val":6}]</v>
      </c>
      <c r="Y19" s="148" t="str">
        <f>IFERROR(__xludf.DUMMYFUNCTION("""COMPUTED_VALUE"""),"[{""typ"":""atk"",""val"":200},{""typ"":""def"",""val"":201},{""typ"":""hp"",""val"":180},{""typ"":""speed"",""val"":33},{""typ"":""load"",""val"":13},{""typ"":""backcoef"",""val"":0.5},{""typ"":""atkcoef"",""val"":1.0},{""typ"":""atkcd"",""val"":0}]")</f>
        <v>[{"typ":"atk","val":200},{"typ":"def","val":201},{"typ":"hp","val":180},{"typ":"speed","val":33},{"typ":"load","val":13},{"typ":"backcoef","val":0.5},{"typ":"atkcoef","val":1.0},{"typ":"atkcd","val":0}]</v>
      </c>
      <c r="Z19" s="148" t="str">
        <f>IFERROR(__xludf.DUMMYFUNCTION("""COMPUTED_VALUE"""),"[]")</f>
        <v>[]</v>
      </c>
    </row>
    <row r="20">
      <c r="A20" s="148">
        <f>IFERROR(__xludf.DUMMYFUNCTION("""COMPUTED_VALUE"""),1.1211022E7)</f>
        <v>11211022</v>
      </c>
      <c r="B20" s="148" t="str">
        <f>IFERROR(__xludf.DUMMYFUNCTION("""COMPUTED_VALUE"""),"步兵-lv4-3")</f>
        <v>步兵-lv4-3</v>
      </c>
      <c r="C20" s="148">
        <f>IFERROR(__xludf.DUMMYFUNCTION("""COMPUTED_VALUE"""),1.1221001E7)</f>
        <v>11221001</v>
      </c>
      <c r="D20" s="148">
        <f>IFERROR(__xludf.DUMMYFUNCTION("""COMPUTED_VALUE"""),1.5110055E7)</f>
        <v>15110055</v>
      </c>
      <c r="E20" s="148" t="str">
        <f>IFERROR(__xludf.DUMMYFUNCTION("""COMPUTED_VALUE"""),"{""typ"":""lc"",""txt"":""LC_SOLDIER_hitter_name_4""}")</f>
        <v>{"typ":"lc","txt":"LC_SOLDIER_hitter_name_4"}</v>
      </c>
      <c r="F20" s="148" t="str">
        <f>IFERROR(__xludf.DUMMYFUNCTION("""COMPUTED_VALUE"""),"{""typ"":""lc"",""txt"":""LC_SOLDIER_hitter_desc_4""}")</f>
        <v>{"typ":"lc","txt":"LC_SOLDIER_hitter_desc_4"}</v>
      </c>
      <c r="G20" s="148">
        <f>IFERROR(__xludf.DUMMYFUNCTION("""COMPUTED_VALUE"""),8.0)</f>
        <v>8</v>
      </c>
      <c r="H20" s="148">
        <f>IFERROR(__xludf.DUMMYFUNCTION("""COMPUTED_VALUE"""),15.0)</f>
        <v>15</v>
      </c>
      <c r="I20" s="148">
        <f>IFERROR(__xludf.DUMMYFUNCTION("""COMPUTED_VALUE"""),10004.0)</f>
        <v>10004</v>
      </c>
      <c r="J20" s="148">
        <f>IFERROR(__xludf.DUMMYFUNCTION("""COMPUTED_VALUE"""),7.0)</f>
        <v>7</v>
      </c>
      <c r="K20" s="148">
        <f>IFERROR(__xludf.DUMMYFUNCTION("""COMPUTED_VALUE"""),4.0)</f>
        <v>4</v>
      </c>
      <c r="L20" s="148">
        <f>IFERROR(__xludf.DUMMYFUNCTION("""COMPUTED_VALUE"""),6.0)</f>
        <v>6</v>
      </c>
      <c r="M20" s="148">
        <f>IFERROR(__xludf.DUMMYFUNCTION("""COMPUTED_VALUE"""),90000.0)</f>
        <v>90000</v>
      </c>
      <c r="N20" s="148" t="str">
        <f>IFERROR(__xludf.DUMMYFUNCTION("""COMPUTED_VALUE"""),"[{""typ"":""rss"",""id"":11141001,""val"":400},{""typ"":""rss"",""id"":11141003,""val"":400}]")</f>
        <v>[{"typ":"rss","id":11141001,"val":400},{"typ":"rss","id":11141003,"val":400}]</v>
      </c>
      <c r="O20" s="148" t="str">
        <f>IFERROR(__xludf.DUMMYFUNCTION("""COMPUTED_VALUE"""),"{""op"":""and"",""args"":[{""op"":""ge"",""typ"":""arms_group"",""id"":11672304,""val"":1}]}")</f>
        <v>{"op":"and","args":[{"op":"ge","typ":"arms_group","id":11672304,"val":1}]}</v>
      </c>
      <c r="P20" s="148">
        <f>IFERROR(__xludf.DUMMYFUNCTION("""COMPUTED_VALUE"""),3000.0)</f>
        <v>3000</v>
      </c>
      <c r="Q20" s="148" t="str">
        <f>IFERROR(__xludf.DUMMYFUNCTION("""COMPUTED_VALUE"""),"[{""typ"":""rss"",""id"":11141001,""val"":160},{""typ"":""rss"",""id"":11141003,""val"":160}]")</f>
        <v>[{"typ":"rss","id":11141001,"val":160},{"typ":"rss","id":11141003,"val":160}]</v>
      </c>
      <c r="R20" s="148" t="str">
        <f>IFERROR(__xludf.DUMMYFUNCTION("""COMPUTED_VALUE"""),"{}")</f>
        <v>{}</v>
      </c>
      <c r="S20" s="148">
        <f>IFERROR(__xludf.DUMMYFUNCTION("""COMPUTED_VALUE"""),30000.0)</f>
        <v>30000</v>
      </c>
      <c r="T20" s="148" t="str">
        <f>IFERROR(__xludf.DUMMYFUNCTION("""COMPUTED_VALUE"""),"[{""typ"":""rss"",""id"":11141001,""val"":200},{""typ"":""rss"",""id"":11141003,""val"":200}]")</f>
        <v>[{"typ":"rss","id":11141001,"val":200},{"typ":"rss","id":11141003,"val":200}]</v>
      </c>
      <c r="U20" s="148">
        <f>IFERROR(__xludf.DUMMYFUNCTION("""COMPUTED_VALUE"""),0.0)</f>
        <v>0</v>
      </c>
      <c r="V20" s="148" t="str">
        <f>IFERROR(__xludf.DUMMYFUNCTION("""COMPUTED_VALUE"""),"{""op"":""and"",""args"":[{""op"":""ge"",""typ"":""arms_group"",""id"":11672304,""val"":1}]}")</f>
        <v>{"op":"and","args":[{"op":"ge","typ":"arms_group","id":11672304,"val":1}]}</v>
      </c>
      <c r="W20" s="148" t="str">
        <f>IFERROR(__xludf.DUMMYFUNCTION("""COMPUTED_VALUE"""),"[]")</f>
        <v>[]</v>
      </c>
      <c r="X20" s="148" t="str">
        <f>IFERROR(__xludf.DUMMYFUNCTION("""COMPUTED_VALUE"""),"[{""typ"":""power"",""id"":12141002,""val"":6}]")</f>
        <v>[{"typ":"power","id":12141002,"val":6}]</v>
      </c>
      <c r="Y20" s="148" t="str">
        <f>IFERROR(__xludf.DUMMYFUNCTION("""COMPUTED_VALUE"""),"[{""typ"":""atk"",""val"":203},{""typ"":""def"",""val"":204},{""typ"":""hp"",""val"":181},{""typ"":""speed"",""val"":33},{""typ"":""load"",""val"":13},{""typ"":""backcoef"",""val"":0.5},{""typ"":""atkcoef"",""val"":1.0},{""typ"":""atkcd"",""val"":0}]")</f>
        <v>[{"typ":"atk","val":203},{"typ":"def","val":204},{"typ":"hp","val":181},{"typ":"speed","val":33},{"typ":"load","val":13},{"typ":"backcoef","val":0.5},{"typ":"atkcoef","val":1.0},{"typ":"atkcd","val":0}]</v>
      </c>
      <c r="Z20" s="148" t="str">
        <f>IFERROR(__xludf.DUMMYFUNCTION("""COMPUTED_VALUE"""),"[]")</f>
        <v>[]</v>
      </c>
    </row>
    <row r="21">
      <c r="A21" s="148">
        <f>IFERROR(__xludf.DUMMYFUNCTION("""COMPUTED_VALUE"""),1.1211023E7)</f>
        <v>11211023</v>
      </c>
      <c r="B21" s="148" t="str">
        <f>IFERROR(__xludf.DUMMYFUNCTION("""COMPUTED_VALUE"""),"步兵-lv4-4")</f>
        <v>步兵-lv4-4</v>
      </c>
      <c r="C21" s="148">
        <f>IFERROR(__xludf.DUMMYFUNCTION("""COMPUTED_VALUE"""),1.1221001E7)</f>
        <v>11221001</v>
      </c>
      <c r="D21" s="148">
        <f>IFERROR(__xludf.DUMMYFUNCTION("""COMPUTED_VALUE"""),1.5110055E7)</f>
        <v>15110055</v>
      </c>
      <c r="E21" s="148" t="str">
        <f>IFERROR(__xludf.DUMMYFUNCTION("""COMPUTED_VALUE"""),"{""typ"":""lc"",""txt"":""LC_SOLDIER_hitter_name_4""}")</f>
        <v>{"typ":"lc","txt":"LC_SOLDIER_hitter_name_4"}</v>
      </c>
      <c r="F21" s="148" t="str">
        <f>IFERROR(__xludf.DUMMYFUNCTION("""COMPUTED_VALUE"""),"{""typ"":""lc"",""txt"":""LC_SOLDIER_hitter_desc_4""}")</f>
        <v>{"typ":"lc","txt":"LC_SOLDIER_hitter_desc_4"}</v>
      </c>
      <c r="G21" s="148">
        <f>IFERROR(__xludf.DUMMYFUNCTION("""COMPUTED_VALUE"""),8.0)</f>
        <v>8</v>
      </c>
      <c r="H21" s="148">
        <f>IFERROR(__xludf.DUMMYFUNCTION("""COMPUTED_VALUE"""),15.0)</f>
        <v>15</v>
      </c>
      <c r="I21" s="148">
        <f>IFERROR(__xludf.DUMMYFUNCTION("""COMPUTED_VALUE"""),10004.0)</f>
        <v>10004</v>
      </c>
      <c r="J21" s="148">
        <f>IFERROR(__xludf.DUMMYFUNCTION("""COMPUTED_VALUE"""),7.0)</f>
        <v>7</v>
      </c>
      <c r="K21" s="148">
        <f>IFERROR(__xludf.DUMMYFUNCTION("""COMPUTED_VALUE"""),4.0)</f>
        <v>4</v>
      </c>
      <c r="L21" s="148">
        <f>IFERROR(__xludf.DUMMYFUNCTION("""COMPUTED_VALUE"""),6.0)</f>
        <v>6</v>
      </c>
      <c r="M21" s="148">
        <f>IFERROR(__xludf.DUMMYFUNCTION("""COMPUTED_VALUE"""),90000.0)</f>
        <v>90000</v>
      </c>
      <c r="N21" s="148" t="str">
        <f>IFERROR(__xludf.DUMMYFUNCTION("""COMPUTED_VALUE"""),"[{""typ"":""rss"",""id"":11141001,""val"":400},{""typ"":""rss"",""id"":11141003,""val"":400}]")</f>
        <v>[{"typ":"rss","id":11141001,"val":400},{"typ":"rss","id":11141003,"val":400}]</v>
      </c>
      <c r="O21" s="148" t="str">
        <f>IFERROR(__xludf.DUMMYFUNCTION("""COMPUTED_VALUE"""),"{""op"":""and"",""args"":[{""op"":""ge"",""typ"":""arms_group"",""id"":11672305,""val"":1}]}")</f>
        <v>{"op":"and","args":[{"op":"ge","typ":"arms_group","id":11672305,"val":1}]}</v>
      </c>
      <c r="P21" s="148">
        <f>IFERROR(__xludf.DUMMYFUNCTION("""COMPUTED_VALUE"""),3000.0)</f>
        <v>3000</v>
      </c>
      <c r="Q21" s="148" t="str">
        <f>IFERROR(__xludf.DUMMYFUNCTION("""COMPUTED_VALUE"""),"[{""typ"":""rss"",""id"":11141001,""val"":160},{""typ"":""rss"",""id"":11141003,""val"":160}]")</f>
        <v>[{"typ":"rss","id":11141001,"val":160},{"typ":"rss","id":11141003,"val":160}]</v>
      </c>
      <c r="R21" s="148" t="str">
        <f>IFERROR(__xludf.DUMMYFUNCTION("""COMPUTED_VALUE"""),"{}")</f>
        <v>{}</v>
      </c>
      <c r="S21" s="148">
        <f>IFERROR(__xludf.DUMMYFUNCTION("""COMPUTED_VALUE"""),30000.0)</f>
        <v>30000</v>
      </c>
      <c r="T21" s="148" t="str">
        <f>IFERROR(__xludf.DUMMYFUNCTION("""COMPUTED_VALUE"""),"[{""typ"":""rss"",""id"":11141001,""val"":200},{""typ"":""rss"",""id"":11141003,""val"":200}]")</f>
        <v>[{"typ":"rss","id":11141001,"val":200},{"typ":"rss","id":11141003,"val":200}]</v>
      </c>
      <c r="U21" s="148">
        <f>IFERROR(__xludf.DUMMYFUNCTION("""COMPUTED_VALUE"""),0.0)</f>
        <v>0</v>
      </c>
      <c r="V21" s="148" t="str">
        <f>IFERROR(__xludf.DUMMYFUNCTION("""COMPUTED_VALUE"""),"{""op"":""and"",""args"":[{""op"":""ge"",""typ"":""arms_group"",""id"":11672305,""val"":1}]}")</f>
        <v>{"op":"and","args":[{"op":"ge","typ":"arms_group","id":11672305,"val":1}]}</v>
      </c>
      <c r="W21" s="148" t="str">
        <f>IFERROR(__xludf.DUMMYFUNCTION("""COMPUTED_VALUE"""),"[]")</f>
        <v>[]</v>
      </c>
      <c r="X21" s="148" t="str">
        <f>IFERROR(__xludf.DUMMYFUNCTION("""COMPUTED_VALUE"""),"[{""typ"":""power"",""id"":12141002,""val"":6}]")</f>
        <v>[{"typ":"power","id":12141002,"val":6}]</v>
      </c>
      <c r="Y21" s="148" t="str">
        <f>IFERROR(__xludf.DUMMYFUNCTION("""COMPUTED_VALUE"""),"[{""typ"":""atk"",""val"":206},{""typ"":""def"",""val"":207},{""typ"":""hp"",""val"":182},{""typ"":""speed"",""val"":33},{""typ"":""load"",""val"":13},{""typ"":""backcoef"",""val"":0.5},{""typ"":""atkcoef"",""val"":1.0},{""typ"":""atkcd"",""val"":0}]")</f>
        <v>[{"typ":"atk","val":206},{"typ":"def","val":207},{"typ":"hp","val":182},{"typ":"speed","val":33},{"typ":"load","val":13},{"typ":"backcoef","val":0.5},{"typ":"atkcoef","val":1.0},{"typ":"atkcd","val":0}]</v>
      </c>
      <c r="Z21" s="148" t="str">
        <f>IFERROR(__xludf.DUMMYFUNCTION("""COMPUTED_VALUE"""),"[]")</f>
        <v>[]</v>
      </c>
    </row>
    <row r="22">
      <c r="A22" s="148">
        <f>IFERROR(__xludf.DUMMYFUNCTION("""COMPUTED_VALUE"""),1.1211024E7)</f>
        <v>11211024</v>
      </c>
      <c r="B22" s="148" t="str">
        <f>IFERROR(__xludf.DUMMYFUNCTION("""COMPUTED_VALUE"""),"步兵-lv4-5")</f>
        <v>步兵-lv4-5</v>
      </c>
      <c r="C22" s="148">
        <f>IFERROR(__xludf.DUMMYFUNCTION("""COMPUTED_VALUE"""),1.1221001E7)</f>
        <v>11221001</v>
      </c>
      <c r="D22" s="148">
        <f>IFERROR(__xludf.DUMMYFUNCTION("""COMPUTED_VALUE"""),1.5110055E7)</f>
        <v>15110055</v>
      </c>
      <c r="E22" s="148" t="str">
        <f>IFERROR(__xludf.DUMMYFUNCTION("""COMPUTED_VALUE"""),"{""typ"":""lc"",""txt"":""LC_SOLDIER_hitter_name_4""}")</f>
        <v>{"typ":"lc","txt":"LC_SOLDIER_hitter_name_4"}</v>
      </c>
      <c r="F22" s="148" t="str">
        <f>IFERROR(__xludf.DUMMYFUNCTION("""COMPUTED_VALUE"""),"{""typ"":""lc"",""txt"":""LC_SOLDIER_hitter_desc_4""}")</f>
        <v>{"typ":"lc","txt":"LC_SOLDIER_hitter_desc_4"}</v>
      </c>
      <c r="G22" s="148">
        <f>IFERROR(__xludf.DUMMYFUNCTION("""COMPUTED_VALUE"""),8.0)</f>
        <v>8</v>
      </c>
      <c r="H22" s="148">
        <f>IFERROR(__xludf.DUMMYFUNCTION("""COMPUTED_VALUE"""),15.0)</f>
        <v>15</v>
      </c>
      <c r="I22" s="148">
        <f>IFERROR(__xludf.DUMMYFUNCTION("""COMPUTED_VALUE"""),10004.0)</f>
        <v>10004</v>
      </c>
      <c r="J22" s="148">
        <f>IFERROR(__xludf.DUMMYFUNCTION("""COMPUTED_VALUE"""),7.0)</f>
        <v>7</v>
      </c>
      <c r="K22" s="148">
        <f>IFERROR(__xludf.DUMMYFUNCTION("""COMPUTED_VALUE"""),4.0)</f>
        <v>4</v>
      </c>
      <c r="L22" s="148">
        <f>IFERROR(__xludf.DUMMYFUNCTION("""COMPUTED_VALUE"""),6.0)</f>
        <v>6</v>
      </c>
      <c r="M22" s="148">
        <f>IFERROR(__xludf.DUMMYFUNCTION("""COMPUTED_VALUE"""),90000.0)</f>
        <v>90000</v>
      </c>
      <c r="N22" s="148" t="str">
        <f>IFERROR(__xludf.DUMMYFUNCTION("""COMPUTED_VALUE"""),"[{""typ"":""rss"",""id"":11141001,""val"":400},{""typ"":""rss"",""id"":11141003,""val"":400}]")</f>
        <v>[{"typ":"rss","id":11141001,"val":400},{"typ":"rss","id":11141003,"val":400}]</v>
      </c>
      <c r="O22" s="148" t="str">
        <f>IFERROR(__xludf.DUMMYFUNCTION("""COMPUTED_VALUE"""),"{""op"":""and"",""args"":[{""op"":""ge"",""typ"":""arms_group"",""id"":11672306,""val"":1}]}")</f>
        <v>{"op":"and","args":[{"op":"ge","typ":"arms_group","id":11672306,"val":1}]}</v>
      </c>
      <c r="P22" s="148">
        <f>IFERROR(__xludf.DUMMYFUNCTION("""COMPUTED_VALUE"""),3000.0)</f>
        <v>3000</v>
      </c>
      <c r="Q22" s="148" t="str">
        <f>IFERROR(__xludf.DUMMYFUNCTION("""COMPUTED_VALUE"""),"[{""typ"":""rss"",""id"":11141001,""val"":160},{""typ"":""rss"",""id"":11141003,""val"":160}]")</f>
        <v>[{"typ":"rss","id":11141001,"val":160},{"typ":"rss","id":11141003,"val":160}]</v>
      </c>
      <c r="R22" s="148" t="str">
        <f>IFERROR(__xludf.DUMMYFUNCTION("""COMPUTED_VALUE"""),"{}")</f>
        <v>{}</v>
      </c>
      <c r="S22" s="148">
        <f>IFERROR(__xludf.DUMMYFUNCTION("""COMPUTED_VALUE"""),30000.0)</f>
        <v>30000</v>
      </c>
      <c r="T22" s="148" t="str">
        <f>IFERROR(__xludf.DUMMYFUNCTION("""COMPUTED_VALUE"""),"[{""typ"":""rss"",""id"":11141001,""val"":200},{""typ"":""rss"",""id"":11141003,""val"":200}]")</f>
        <v>[{"typ":"rss","id":11141001,"val":200},{"typ":"rss","id":11141003,"val":200}]</v>
      </c>
      <c r="U22" s="148">
        <f>IFERROR(__xludf.DUMMYFUNCTION("""COMPUTED_VALUE"""),0.0)</f>
        <v>0</v>
      </c>
      <c r="V22" s="148" t="str">
        <f>IFERROR(__xludf.DUMMYFUNCTION("""COMPUTED_VALUE"""),"{""op"":""and"",""args"":[{""op"":""ge"",""typ"":""arms_group"",""id"":11672306,""val"":1}]}")</f>
        <v>{"op":"and","args":[{"op":"ge","typ":"arms_group","id":11672306,"val":1}]}</v>
      </c>
      <c r="W22" s="148" t="str">
        <f>IFERROR(__xludf.DUMMYFUNCTION("""COMPUTED_VALUE"""),"[]")</f>
        <v>[]</v>
      </c>
      <c r="X22" s="148" t="str">
        <f>IFERROR(__xludf.DUMMYFUNCTION("""COMPUTED_VALUE"""),"[{""typ"":""power"",""id"":12141002,""val"":6}]")</f>
        <v>[{"typ":"power","id":12141002,"val":6}]</v>
      </c>
      <c r="Y22" s="148" t="str">
        <f>IFERROR(__xludf.DUMMYFUNCTION("""COMPUTED_VALUE"""),"[{""typ"":""atk"",""val"":209},{""typ"":""def"",""val"":210},{""typ"":""hp"",""val"":183},{""typ"":""speed"",""val"":33},{""typ"":""load"",""val"":13},{""typ"":""backcoef"",""val"":0.5},{""typ"":""atkcoef"",""val"":1.0},{""typ"":""atkcd"",""val"":0}]")</f>
        <v>[{"typ":"atk","val":209},{"typ":"def","val":210},{"typ":"hp","val":183},{"typ":"speed","val":33},{"typ":"load","val":13},{"typ":"backcoef","val":0.5},{"typ":"atkcoef","val":1.0},{"typ":"atkcd","val":0}]</v>
      </c>
      <c r="Z22" s="148" t="str">
        <f>IFERROR(__xludf.DUMMYFUNCTION("""COMPUTED_VALUE"""),"[]")</f>
        <v>[]</v>
      </c>
    </row>
    <row r="23">
      <c r="A23" s="148">
        <f>IFERROR(__xludf.DUMMYFUNCTION("""COMPUTED_VALUE"""),1.1211025E7)</f>
        <v>11211025</v>
      </c>
      <c r="B23" s="148" t="str">
        <f>IFERROR(__xludf.DUMMYFUNCTION("""COMPUTED_VALUE"""),"步兵-lv5-1")</f>
        <v>步兵-lv5-1</v>
      </c>
      <c r="C23" s="148">
        <f>IFERROR(__xludf.DUMMYFUNCTION("""COMPUTED_VALUE"""),1.1221001E7)</f>
        <v>11221001</v>
      </c>
      <c r="D23" s="148">
        <f>IFERROR(__xludf.DUMMYFUNCTION("""COMPUTED_VALUE"""),1.5110056E7)</f>
        <v>15110056</v>
      </c>
      <c r="E23" s="148" t="str">
        <f>IFERROR(__xludf.DUMMYFUNCTION("""COMPUTED_VALUE"""),"{""typ"":""lc"",""txt"":""LC_SOLDIER_hitter_name_5""}")</f>
        <v>{"typ":"lc","txt":"LC_SOLDIER_hitter_name_5"}</v>
      </c>
      <c r="F23" s="148" t="str">
        <f>IFERROR(__xludf.DUMMYFUNCTION("""COMPUTED_VALUE"""),"{""typ"":""lc"",""txt"":""LC_SOLDIER_hitter_desc_5""}")</f>
        <v>{"typ":"lc","txt":"LC_SOLDIER_hitter_desc_5"}</v>
      </c>
      <c r="G23" s="148">
        <f>IFERROR(__xludf.DUMMYFUNCTION("""COMPUTED_VALUE"""),15.0)</f>
        <v>15</v>
      </c>
      <c r="H23" s="148">
        <f>IFERROR(__xludf.DUMMYFUNCTION("""COMPUTED_VALUE"""),19.0)</f>
        <v>19</v>
      </c>
      <c r="I23" s="148">
        <f>IFERROR(__xludf.DUMMYFUNCTION("""COMPUTED_VALUE"""),10002.0)</f>
        <v>10002</v>
      </c>
      <c r="J23" s="148">
        <f>IFERROR(__xludf.DUMMYFUNCTION("""COMPUTED_VALUE"""),9.0)</f>
        <v>9</v>
      </c>
      <c r="K23" s="148">
        <f>IFERROR(__xludf.DUMMYFUNCTION("""COMPUTED_VALUE"""),5.0)</f>
        <v>5</v>
      </c>
      <c r="L23" s="148">
        <f>IFERROR(__xludf.DUMMYFUNCTION("""COMPUTED_VALUE"""),6.0)</f>
        <v>6</v>
      </c>
      <c r="M23" s="148">
        <f>IFERROR(__xludf.DUMMYFUNCTION("""COMPUTED_VALUE"""),180000.0)</f>
        <v>180000</v>
      </c>
      <c r="N23" s="148" t="str">
        <f>IFERROR(__xludf.DUMMYFUNCTION("""COMPUTED_VALUE"""),"[{""typ"":""rss"",""id"":11141001,""val"":1000},{""typ"":""rss"",""id"":11141003,""val"":1000}]")</f>
        <v>[{"typ":"rss","id":11141001,"val":1000},{"typ":"rss","id":11141003,"val":1000}]</v>
      </c>
      <c r="O23" s="148" t="str">
        <f>IFERROR(__xludf.DUMMYFUNCTION("""COMPUTED_VALUE"""),"{""op"":""and"",""args"":[{""op"":""ge"",""typ"":""arms_group"",""id"":11672402,""val"":1}]}")</f>
        <v>{"op":"and","args":[{"op":"ge","typ":"arms_group","id":11672402,"val":1}]}</v>
      </c>
      <c r="P23" s="148">
        <f>IFERROR(__xludf.DUMMYFUNCTION("""COMPUTED_VALUE"""),6000.0)</f>
        <v>6000</v>
      </c>
      <c r="Q23" s="148" t="str">
        <f>IFERROR(__xludf.DUMMYFUNCTION("""COMPUTED_VALUE"""),"[{""typ"":""rss"",""id"":11141001,""val"":400},{""typ"":""rss"",""id"":11141003,""val"":400}]")</f>
        <v>[{"typ":"rss","id":11141001,"val":400},{"typ":"rss","id":11141003,"val":400}]</v>
      </c>
      <c r="R23" s="148" t="str">
        <f>IFERROR(__xludf.DUMMYFUNCTION("""COMPUTED_VALUE"""),"{}")</f>
        <v>{}</v>
      </c>
      <c r="S23" s="148">
        <f>IFERROR(__xludf.DUMMYFUNCTION("""COMPUTED_VALUE"""),90000.0)</f>
        <v>90000</v>
      </c>
      <c r="T23" s="148" t="str">
        <f>IFERROR(__xludf.DUMMYFUNCTION("""COMPUTED_VALUE"""),"[{""typ"":""rss"",""id"":11141001,""val"":600},{""typ"":""rss"",""id"":11141003,""val"":600}]")</f>
        <v>[{"typ":"rss","id":11141001,"val":600},{"typ":"rss","id":11141003,"val":600}]</v>
      </c>
      <c r="U23" s="148">
        <f>IFERROR(__xludf.DUMMYFUNCTION("""COMPUTED_VALUE"""),0.0)</f>
        <v>0</v>
      </c>
      <c r="V23" s="148" t="str">
        <f>IFERROR(__xludf.DUMMYFUNCTION("""COMPUTED_VALUE"""),"{""op"":""and"",""args"":[{""op"":""ge"",""typ"":""arms_group"",""id"":11672402,""val"":1}]}")</f>
        <v>{"op":"and","args":[{"op":"ge","typ":"arms_group","id":11672402,"val":1}]}</v>
      </c>
      <c r="W23" s="148" t="str">
        <f>IFERROR(__xludf.DUMMYFUNCTION("""COMPUTED_VALUE"""),"[]")</f>
        <v>[]</v>
      </c>
      <c r="X23" s="148" t="str">
        <f>IFERROR(__xludf.DUMMYFUNCTION("""COMPUTED_VALUE"""),"[{""typ"":""power"",""id"":12141002,""val"":10}]")</f>
        <v>[{"typ":"power","id":12141002,"val":10}]</v>
      </c>
      <c r="Y23" s="148" t="str">
        <f>IFERROR(__xludf.DUMMYFUNCTION("""COMPUTED_VALUE"""),"[{""typ"":""atk"",""val"":233},{""typ"":""def"",""val"":218},{""typ"":""hp"",""val"":206},{""typ"":""speed"",""val"":30},{""typ"":""load"",""val"":15},{""typ"":""backcoef"",""val"":0.5},{""typ"":""atkcoef"",""val"":1.0},{""typ"":""atkcd"",""val"":0}]")</f>
        <v>[{"typ":"atk","val":233},{"typ":"def","val":218},{"typ":"hp","val":206},{"typ":"speed","val":30},{"typ":"load","val":15},{"typ":"backcoef","val":0.5},{"typ":"atkcoef","val":1.0},{"typ":"atkcd","val":0}]</v>
      </c>
      <c r="Z23" s="148" t="str">
        <f>IFERROR(__xludf.DUMMYFUNCTION("""COMPUTED_VALUE"""),"[]")</f>
        <v>[]</v>
      </c>
    </row>
    <row r="24">
      <c r="A24" s="148">
        <f>IFERROR(__xludf.DUMMYFUNCTION("""COMPUTED_VALUE"""),1.1211026E7)</f>
        <v>11211026</v>
      </c>
      <c r="B24" s="148" t="str">
        <f>IFERROR(__xludf.DUMMYFUNCTION("""COMPUTED_VALUE"""),"步兵-lv5-2")</f>
        <v>步兵-lv5-2</v>
      </c>
      <c r="C24" s="148">
        <f>IFERROR(__xludf.DUMMYFUNCTION("""COMPUTED_VALUE"""),1.1221001E7)</f>
        <v>11221001</v>
      </c>
      <c r="D24" s="148">
        <f>IFERROR(__xludf.DUMMYFUNCTION("""COMPUTED_VALUE"""),1.5110056E7)</f>
        <v>15110056</v>
      </c>
      <c r="E24" s="148" t="str">
        <f>IFERROR(__xludf.DUMMYFUNCTION("""COMPUTED_VALUE"""),"{""typ"":""lc"",""txt"":""LC_SOLDIER_hitter_name_5""}")</f>
        <v>{"typ":"lc","txt":"LC_SOLDIER_hitter_name_5"}</v>
      </c>
      <c r="F24" s="148" t="str">
        <f>IFERROR(__xludf.DUMMYFUNCTION("""COMPUTED_VALUE"""),"{""typ"":""lc"",""txt"":""LC_SOLDIER_hitter_desc_5""}")</f>
        <v>{"typ":"lc","txt":"LC_SOLDIER_hitter_desc_5"}</v>
      </c>
      <c r="G24" s="148">
        <f>IFERROR(__xludf.DUMMYFUNCTION("""COMPUTED_VALUE"""),15.0)</f>
        <v>15</v>
      </c>
      <c r="H24" s="148">
        <f>IFERROR(__xludf.DUMMYFUNCTION("""COMPUTED_VALUE"""),19.0)</f>
        <v>19</v>
      </c>
      <c r="I24" s="148">
        <f>IFERROR(__xludf.DUMMYFUNCTION("""COMPUTED_VALUE"""),10002.0)</f>
        <v>10002</v>
      </c>
      <c r="J24" s="148">
        <f>IFERROR(__xludf.DUMMYFUNCTION("""COMPUTED_VALUE"""),9.0)</f>
        <v>9</v>
      </c>
      <c r="K24" s="148">
        <f>IFERROR(__xludf.DUMMYFUNCTION("""COMPUTED_VALUE"""),5.0)</f>
        <v>5</v>
      </c>
      <c r="L24" s="148">
        <f>IFERROR(__xludf.DUMMYFUNCTION("""COMPUTED_VALUE"""),6.0)</f>
        <v>6</v>
      </c>
      <c r="M24" s="148">
        <f>IFERROR(__xludf.DUMMYFUNCTION("""COMPUTED_VALUE"""),180000.0)</f>
        <v>180000</v>
      </c>
      <c r="N24" s="148" t="str">
        <f>IFERROR(__xludf.DUMMYFUNCTION("""COMPUTED_VALUE"""),"[{""typ"":""rss"",""id"":11141001,""val"":1000},{""typ"":""rss"",""id"":11141003,""val"":1000}]")</f>
        <v>[{"typ":"rss","id":11141001,"val":1000},{"typ":"rss","id":11141003,"val":1000}]</v>
      </c>
      <c r="O24" s="148" t="str">
        <f>IFERROR(__xludf.DUMMYFUNCTION("""COMPUTED_VALUE"""),"{""op"":""and"",""args"":[{""op"":""ge"",""typ"":""arms_group"",""id"":11672403,""val"":1}]}")</f>
        <v>{"op":"and","args":[{"op":"ge","typ":"arms_group","id":11672403,"val":1}]}</v>
      </c>
      <c r="P24" s="148">
        <f>IFERROR(__xludf.DUMMYFUNCTION("""COMPUTED_VALUE"""),6000.0)</f>
        <v>6000</v>
      </c>
      <c r="Q24" s="148" t="str">
        <f>IFERROR(__xludf.DUMMYFUNCTION("""COMPUTED_VALUE"""),"[{""typ"":""rss"",""id"":11141001,""val"":400},{""typ"":""rss"",""id"":11141003,""val"":400}]")</f>
        <v>[{"typ":"rss","id":11141001,"val":400},{"typ":"rss","id":11141003,"val":400}]</v>
      </c>
      <c r="R24" s="148" t="str">
        <f>IFERROR(__xludf.DUMMYFUNCTION("""COMPUTED_VALUE"""),"{}")</f>
        <v>{}</v>
      </c>
      <c r="S24" s="148">
        <f>IFERROR(__xludf.DUMMYFUNCTION("""COMPUTED_VALUE"""),90000.0)</f>
        <v>90000</v>
      </c>
      <c r="T24" s="148" t="str">
        <f>IFERROR(__xludf.DUMMYFUNCTION("""COMPUTED_VALUE"""),"[{""typ"":""rss"",""id"":11141001,""val"":600},{""typ"":""rss"",""id"":11141003,""val"":600}]")</f>
        <v>[{"typ":"rss","id":11141001,"val":600},{"typ":"rss","id":11141003,"val":600}]</v>
      </c>
      <c r="U24" s="148">
        <f>IFERROR(__xludf.DUMMYFUNCTION("""COMPUTED_VALUE"""),0.0)</f>
        <v>0</v>
      </c>
      <c r="V24" s="148" t="str">
        <f>IFERROR(__xludf.DUMMYFUNCTION("""COMPUTED_VALUE"""),"{""op"":""and"",""args"":[{""op"":""ge"",""typ"":""arms_group"",""id"":11672403,""val"":1}]}")</f>
        <v>{"op":"and","args":[{"op":"ge","typ":"arms_group","id":11672403,"val":1}]}</v>
      </c>
      <c r="W24" s="148" t="str">
        <f>IFERROR(__xludf.DUMMYFUNCTION("""COMPUTED_VALUE"""),"[]")</f>
        <v>[]</v>
      </c>
      <c r="X24" s="148" t="str">
        <f>IFERROR(__xludf.DUMMYFUNCTION("""COMPUTED_VALUE"""),"[{""typ"":""power"",""id"":12141002,""val"":10}]")</f>
        <v>[{"typ":"power","id":12141002,"val":10}]</v>
      </c>
      <c r="Y24" s="148" t="str">
        <f>IFERROR(__xludf.DUMMYFUNCTION("""COMPUTED_VALUE"""),"[{""typ"":""atk"",""val"":236},{""typ"":""def"",""val"":221},{""typ"":""hp"",""val"":207},{""typ"":""speed"",""val"":30},{""typ"":""load"",""val"":15},{""typ"":""backcoef"",""val"":0.5},{""typ"":""atkcoef"",""val"":1.0},{""typ"":""atkcd"",""val"":0}]")</f>
        <v>[{"typ":"atk","val":236},{"typ":"def","val":221},{"typ":"hp","val":207},{"typ":"speed","val":30},{"typ":"load","val":15},{"typ":"backcoef","val":0.5},{"typ":"atkcoef","val":1.0},{"typ":"atkcd","val":0}]</v>
      </c>
      <c r="Z24" s="148" t="str">
        <f>IFERROR(__xludf.DUMMYFUNCTION("""COMPUTED_VALUE"""),"[]")</f>
        <v>[]</v>
      </c>
    </row>
    <row r="25">
      <c r="A25" s="148">
        <f>IFERROR(__xludf.DUMMYFUNCTION("""COMPUTED_VALUE"""),1.1211027E7)</f>
        <v>11211027</v>
      </c>
      <c r="B25" s="148" t="str">
        <f>IFERROR(__xludf.DUMMYFUNCTION("""COMPUTED_VALUE"""),"步兵-lv5-3")</f>
        <v>步兵-lv5-3</v>
      </c>
      <c r="C25" s="148">
        <f>IFERROR(__xludf.DUMMYFUNCTION("""COMPUTED_VALUE"""),1.1221001E7)</f>
        <v>11221001</v>
      </c>
      <c r="D25" s="148">
        <f>IFERROR(__xludf.DUMMYFUNCTION("""COMPUTED_VALUE"""),1.5110056E7)</f>
        <v>15110056</v>
      </c>
      <c r="E25" s="148" t="str">
        <f>IFERROR(__xludf.DUMMYFUNCTION("""COMPUTED_VALUE"""),"{""typ"":""lc"",""txt"":""LC_SOLDIER_hitter_name_5""}")</f>
        <v>{"typ":"lc","txt":"LC_SOLDIER_hitter_name_5"}</v>
      </c>
      <c r="F25" s="148" t="str">
        <f>IFERROR(__xludf.DUMMYFUNCTION("""COMPUTED_VALUE"""),"{""typ"":""lc"",""txt"":""LC_SOLDIER_hitter_desc_5""}")</f>
        <v>{"typ":"lc","txt":"LC_SOLDIER_hitter_desc_5"}</v>
      </c>
      <c r="G25" s="148">
        <f>IFERROR(__xludf.DUMMYFUNCTION("""COMPUTED_VALUE"""),15.0)</f>
        <v>15</v>
      </c>
      <c r="H25" s="148">
        <f>IFERROR(__xludf.DUMMYFUNCTION("""COMPUTED_VALUE"""),19.0)</f>
        <v>19</v>
      </c>
      <c r="I25" s="148">
        <f>IFERROR(__xludf.DUMMYFUNCTION("""COMPUTED_VALUE"""),10002.0)</f>
        <v>10002</v>
      </c>
      <c r="J25" s="148">
        <f>IFERROR(__xludf.DUMMYFUNCTION("""COMPUTED_VALUE"""),9.0)</f>
        <v>9</v>
      </c>
      <c r="K25" s="148">
        <f>IFERROR(__xludf.DUMMYFUNCTION("""COMPUTED_VALUE"""),5.0)</f>
        <v>5</v>
      </c>
      <c r="L25" s="148">
        <f>IFERROR(__xludf.DUMMYFUNCTION("""COMPUTED_VALUE"""),6.0)</f>
        <v>6</v>
      </c>
      <c r="M25" s="148">
        <f>IFERROR(__xludf.DUMMYFUNCTION("""COMPUTED_VALUE"""),180000.0)</f>
        <v>180000</v>
      </c>
      <c r="N25" s="148" t="str">
        <f>IFERROR(__xludf.DUMMYFUNCTION("""COMPUTED_VALUE"""),"[{""typ"":""rss"",""id"":11141001,""val"":1000},{""typ"":""rss"",""id"":11141003,""val"":1000}]")</f>
        <v>[{"typ":"rss","id":11141001,"val":1000},{"typ":"rss","id":11141003,"val":1000}]</v>
      </c>
      <c r="O25" s="148" t="str">
        <f>IFERROR(__xludf.DUMMYFUNCTION("""COMPUTED_VALUE"""),"{""op"":""and"",""args"":[{""op"":""ge"",""typ"":""arms_group"",""id"":11672404,""val"":1}]}")</f>
        <v>{"op":"and","args":[{"op":"ge","typ":"arms_group","id":11672404,"val":1}]}</v>
      </c>
      <c r="P25" s="148">
        <f>IFERROR(__xludf.DUMMYFUNCTION("""COMPUTED_VALUE"""),6000.0)</f>
        <v>6000</v>
      </c>
      <c r="Q25" s="148" t="str">
        <f>IFERROR(__xludf.DUMMYFUNCTION("""COMPUTED_VALUE"""),"[{""typ"":""rss"",""id"":11141001,""val"":400},{""typ"":""rss"",""id"":11141003,""val"":400}]")</f>
        <v>[{"typ":"rss","id":11141001,"val":400},{"typ":"rss","id":11141003,"val":400}]</v>
      </c>
      <c r="R25" s="148" t="str">
        <f>IFERROR(__xludf.DUMMYFUNCTION("""COMPUTED_VALUE"""),"{}")</f>
        <v>{}</v>
      </c>
      <c r="S25" s="148">
        <f>IFERROR(__xludf.DUMMYFUNCTION("""COMPUTED_VALUE"""),90000.0)</f>
        <v>90000</v>
      </c>
      <c r="T25" s="148" t="str">
        <f>IFERROR(__xludf.DUMMYFUNCTION("""COMPUTED_VALUE"""),"[{""typ"":""rss"",""id"":11141001,""val"":600},{""typ"":""rss"",""id"":11141003,""val"":600}]")</f>
        <v>[{"typ":"rss","id":11141001,"val":600},{"typ":"rss","id":11141003,"val":600}]</v>
      </c>
      <c r="U25" s="148">
        <f>IFERROR(__xludf.DUMMYFUNCTION("""COMPUTED_VALUE"""),0.0)</f>
        <v>0</v>
      </c>
      <c r="V25" s="148" t="str">
        <f>IFERROR(__xludf.DUMMYFUNCTION("""COMPUTED_VALUE"""),"{""op"":""and"",""args"":[{""op"":""ge"",""typ"":""arms_group"",""id"":11672404,""val"":1}]}")</f>
        <v>{"op":"and","args":[{"op":"ge","typ":"arms_group","id":11672404,"val":1}]}</v>
      </c>
      <c r="W25" s="148" t="str">
        <f>IFERROR(__xludf.DUMMYFUNCTION("""COMPUTED_VALUE"""),"[]")</f>
        <v>[]</v>
      </c>
      <c r="X25" s="148" t="str">
        <f>IFERROR(__xludf.DUMMYFUNCTION("""COMPUTED_VALUE"""),"[{""typ"":""power"",""id"":12141002,""val"":10}]")</f>
        <v>[{"typ":"power","id":12141002,"val":10}]</v>
      </c>
      <c r="Y25" s="148" t="str">
        <f>IFERROR(__xludf.DUMMYFUNCTION("""COMPUTED_VALUE"""),"[{""typ"":""atk"",""val"":239},{""typ"":""def"",""val"":224},{""typ"":""hp"",""val"":208},{""typ"":""speed"",""val"":30},{""typ"":""load"",""val"":15},{""typ"":""backcoef"",""val"":0.5},{""typ"":""atkcoef"",""val"":1.0},{""typ"":""atkcd"",""val"":0}]")</f>
        <v>[{"typ":"atk","val":239},{"typ":"def","val":224},{"typ":"hp","val":208},{"typ":"speed","val":30},{"typ":"load","val":15},{"typ":"backcoef","val":0.5},{"typ":"atkcoef","val":1.0},{"typ":"atkcd","val":0}]</v>
      </c>
      <c r="Z25" s="148" t="str">
        <f>IFERROR(__xludf.DUMMYFUNCTION("""COMPUTED_VALUE"""),"[]")</f>
        <v>[]</v>
      </c>
    </row>
    <row r="26">
      <c r="A26" s="148">
        <f>IFERROR(__xludf.DUMMYFUNCTION("""COMPUTED_VALUE"""),1.1211028E7)</f>
        <v>11211028</v>
      </c>
      <c r="B26" s="148" t="str">
        <f>IFERROR(__xludf.DUMMYFUNCTION("""COMPUTED_VALUE"""),"步兵-lv5-4")</f>
        <v>步兵-lv5-4</v>
      </c>
      <c r="C26" s="148">
        <f>IFERROR(__xludf.DUMMYFUNCTION("""COMPUTED_VALUE"""),1.1221001E7)</f>
        <v>11221001</v>
      </c>
      <c r="D26" s="148">
        <f>IFERROR(__xludf.DUMMYFUNCTION("""COMPUTED_VALUE"""),1.5110056E7)</f>
        <v>15110056</v>
      </c>
      <c r="E26" s="148" t="str">
        <f>IFERROR(__xludf.DUMMYFUNCTION("""COMPUTED_VALUE"""),"{""typ"":""lc"",""txt"":""LC_SOLDIER_hitter_name_5""}")</f>
        <v>{"typ":"lc","txt":"LC_SOLDIER_hitter_name_5"}</v>
      </c>
      <c r="F26" s="148" t="str">
        <f>IFERROR(__xludf.DUMMYFUNCTION("""COMPUTED_VALUE"""),"{""typ"":""lc"",""txt"":""LC_SOLDIER_hitter_desc_5""}")</f>
        <v>{"typ":"lc","txt":"LC_SOLDIER_hitter_desc_5"}</v>
      </c>
      <c r="G26" s="148">
        <f>IFERROR(__xludf.DUMMYFUNCTION("""COMPUTED_VALUE"""),15.0)</f>
        <v>15</v>
      </c>
      <c r="H26" s="148">
        <f>IFERROR(__xludf.DUMMYFUNCTION("""COMPUTED_VALUE"""),19.0)</f>
        <v>19</v>
      </c>
      <c r="I26" s="148">
        <f>IFERROR(__xludf.DUMMYFUNCTION("""COMPUTED_VALUE"""),10002.0)</f>
        <v>10002</v>
      </c>
      <c r="J26" s="148">
        <f>IFERROR(__xludf.DUMMYFUNCTION("""COMPUTED_VALUE"""),9.0)</f>
        <v>9</v>
      </c>
      <c r="K26" s="148">
        <f>IFERROR(__xludf.DUMMYFUNCTION("""COMPUTED_VALUE"""),5.0)</f>
        <v>5</v>
      </c>
      <c r="L26" s="148">
        <f>IFERROR(__xludf.DUMMYFUNCTION("""COMPUTED_VALUE"""),6.0)</f>
        <v>6</v>
      </c>
      <c r="M26" s="148">
        <f>IFERROR(__xludf.DUMMYFUNCTION("""COMPUTED_VALUE"""),180000.0)</f>
        <v>180000</v>
      </c>
      <c r="N26" s="148" t="str">
        <f>IFERROR(__xludf.DUMMYFUNCTION("""COMPUTED_VALUE"""),"[{""typ"":""rss"",""id"":11141001,""val"":1000},{""typ"":""rss"",""id"":11141003,""val"":1000}]")</f>
        <v>[{"typ":"rss","id":11141001,"val":1000},{"typ":"rss","id":11141003,"val":1000}]</v>
      </c>
      <c r="O26" s="148" t="str">
        <f>IFERROR(__xludf.DUMMYFUNCTION("""COMPUTED_VALUE"""),"{""op"":""and"",""args"":[{""op"":""ge"",""typ"":""arms_group"",""id"":11672405,""val"":1}]}")</f>
        <v>{"op":"and","args":[{"op":"ge","typ":"arms_group","id":11672405,"val":1}]}</v>
      </c>
      <c r="P26" s="148">
        <f>IFERROR(__xludf.DUMMYFUNCTION("""COMPUTED_VALUE"""),6000.0)</f>
        <v>6000</v>
      </c>
      <c r="Q26" s="148" t="str">
        <f>IFERROR(__xludf.DUMMYFUNCTION("""COMPUTED_VALUE"""),"[{""typ"":""rss"",""id"":11141001,""val"":400},{""typ"":""rss"",""id"":11141003,""val"":400}]")</f>
        <v>[{"typ":"rss","id":11141001,"val":400},{"typ":"rss","id":11141003,"val":400}]</v>
      </c>
      <c r="R26" s="148" t="str">
        <f>IFERROR(__xludf.DUMMYFUNCTION("""COMPUTED_VALUE"""),"{}")</f>
        <v>{}</v>
      </c>
      <c r="S26" s="148">
        <f>IFERROR(__xludf.DUMMYFUNCTION("""COMPUTED_VALUE"""),90000.0)</f>
        <v>90000</v>
      </c>
      <c r="T26" s="148" t="str">
        <f>IFERROR(__xludf.DUMMYFUNCTION("""COMPUTED_VALUE"""),"[{""typ"":""rss"",""id"":11141001,""val"":600},{""typ"":""rss"",""id"":11141003,""val"":600}]")</f>
        <v>[{"typ":"rss","id":11141001,"val":600},{"typ":"rss","id":11141003,"val":600}]</v>
      </c>
      <c r="U26" s="148">
        <f>IFERROR(__xludf.DUMMYFUNCTION("""COMPUTED_VALUE"""),0.0)</f>
        <v>0</v>
      </c>
      <c r="V26" s="148" t="str">
        <f>IFERROR(__xludf.DUMMYFUNCTION("""COMPUTED_VALUE"""),"{""op"":""and"",""args"":[{""op"":""ge"",""typ"":""arms_group"",""id"":11672405,""val"":1}]}")</f>
        <v>{"op":"and","args":[{"op":"ge","typ":"arms_group","id":11672405,"val":1}]}</v>
      </c>
      <c r="W26" s="148" t="str">
        <f>IFERROR(__xludf.DUMMYFUNCTION("""COMPUTED_VALUE"""),"[]")</f>
        <v>[]</v>
      </c>
      <c r="X26" s="148" t="str">
        <f>IFERROR(__xludf.DUMMYFUNCTION("""COMPUTED_VALUE"""),"[{""typ"":""power"",""id"":12141002,""val"":10}]")</f>
        <v>[{"typ":"power","id":12141002,"val":10}]</v>
      </c>
      <c r="Y26" s="148" t="str">
        <f>IFERROR(__xludf.DUMMYFUNCTION("""COMPUTED_VALUE"""),"[{""typ"":""atk"",""val"":242},{""typ"":""def"",""val"":227},{""typ"":""hp"",""val"":209},{""typ"":""speed"",""val"":30},{""typ"":""load"",""val"":15},{""typ"":""backcoef"",""val"":0.5},{""typ"":""atkcoef"",""val"":1.0},{""typ"":""atkcd"",""val"":0}]")</f>
        <v>[{"typ":"atk","val":242},{"typ":"def","val":227},{"typ":"hp","val":209},{"typ":"speed","val":30},{"typ":"load","val":15},{"typ":"backcoef","val":0.5},{"typ":"atkcoef","val":1.0},{"typ":"atkcd","val":0}]</v>
      </c>
      <c r="Z26" s="148" t="str">
        <f>IFERROR(__xludf.DUMMYFUNCTION("""COMPUTED_VALUE"""),"[]")</f>
        <v>[]</v>
      </c>
    </row>
    <row r="27">
      <c r="A27" s="148">
        <f>IFERROR(__xludf.DUMMYFUNCTION("""COMPUTED_VALUE"""),1.1211029E7)</f>
        <v>11211029</v>
      </c>
      <c r="B27" s="148" t="str">
        <f>IFERROR(__xludf.DUMMYFUNCTION("""COMPUTED_VALUE"""),"步兵-lv5-5")</f>
        <v>步兵-lv5-5</v>
      </c>
      <c r="C27" s="148">
        <f>IFERROR(__xludf.DUMMYFUNCTION("""COMPUTED_VALUE"""),1.1221001E7)</f>
        <v>11221001</v>
      </c>
      <c r="D27" s="148">
        <f>IFERROR(__xludf.DUMMYFUNCTION("""COMPUTED_VALUE"""),1.5110056E7)</f>
        <v>15110056</v>
      </c>
      <c r="E27" s="148" t="str">
        <f>IFERROR(__xludf.DUMMYFUNCTION("""COMPUTED_VALUE"""),"{""typ"":""lc"",""txt"":""LC_SOLDIER_hitter_name_5""}")</f>
        <v>{"typ":"lc","txt":"LC_SOLDIER_hitter_name_5"}</v>
      </c>
      <c r="F27" s="148" t="str">
        <f>IFERROR(__xludf.DUMMYFUNCTION("""COMPUTED_VALUE"""),"{""typ"":""lc"",""txt"":""LC_SOLDIER_hitter_desc_5""}")</f>
        <v>{"typ":"lc","txt":"LC_SOLDIER_hitter_desc_5"}</v>
      </c>
      <c r="G27" s="148">
        <f>IFERROR(__xludf.DUMMYFUNCTION("""COMPUTED_VALUE"""),15.0)</f>
        <v>15</v>
      </c>
      <c r="H27" s="148">
        <f>IFERROR(__xludf.DUMMYFUNCTION("""COMPUTED_VALUE"""),19.0)</f>
        <v>19</v>
      </c>
      <c r="I27" s="148">
        <f>IFERROR(__xludf.DUMMYFUNCTION("""COMPUTED_VALUE"""),10002.0)</f>
        <v>10002</v>
      </c>
      <c r="J27" s="148">
        <f>IFERROR(__xludf.DUMMYFUNCTION("""COMPUTED_VALUE"""),9.0)</f>
        <v>9</v>
      </c>
      <c r="K27" s="148">
        <f>IFERROR(__xludf.DUMMYFUNCTION("""COMPUTED_VALUE"""),5.0)</f>
        <v>5</v>
      </c>
      <c r="L27" s="148">
        <f>IFERROR(__xludf.DUMMYFUNCTION("""COMPUTED_VALUE"""),6.0)</f>
        <v>6</v>
      </c>
      <c r="M27" s="148">
        <f>IFERROR(__xludf.DUMMYFUNCTION("""COMPUTED_VALUE"""),180000.0)</f>
        <v>180000</v>
      </c>
      <c r="N27" s="148" t="str">
        <f>IFERROR(__xludf.DUMMYFUNCTION("""COMPUTED_VALUE"""),"[{""typ"":""rss"",""id"":11141001,""val"":1000},{""typ"":""rss"",""id"":11141003,""val"":1000}]")</f>
        <v>[{"typ":"rss","id":11141001,"val":1000},{"typ":"rss","id":11141003,"val":1000}]</v>
      </c>
      <c r="O27" s="148" t="str">
        <f>IFERROR(__xludf.DUMMYFUNCTION("""COMPUTED_VALUE"""),"{""op"":""and"",""args"":[{""op"":""ge"",""typ"":""arms_group"",""id"":11672406,""val"":1}]}")</f>
        <v>{"op":"and","args":[{"op":"ge","typ":"arms_group","id":11672406,"val":1}]}</v>
      </c>
      <c r="P27" s="148">
        <f>IFERROR(__xludf.DUMMYFUNCTION("""COMPUTED_VALUE"""),6000.0)</f>
        <v>6000</v>
      </c>
      <c r="Q27" s="148" t="str">
        <f>IFERROR(__xludf.DUMMYFUNCTION("""COMPUTED_VALUE"""),"[{""typ"":""rss"",""id"":11141001,""val"":400},{""typ"":""rss"",""id"":11141003,""val"":400}]")</f>
        <v>[{"typ":"rss","id":11141001,"val":400},{"typ":"rss","id":11141003,"val":400}]</v>
      </c>
      <c r="R27" s="148" t="str">
        <f>IFERROR(__xludf.DUMMYFUNCTION("""COMPUTED_VALUE"""),"{}")</f>
        <v>{}</v>
      </c>
      <c r="S27" s="148">
        <f>IFERROR(__xludf.DUMMYFUNCTION("""COMPUTED_VALUE"""),90000.0)</f>
        <v>90000</v>
      </c>
      <c r="T27" s="148" t="str">
        <f>IFERROR(__xludf.DUMMYFUNCTION("""COMPUTED_VALUE"""),"[{""typ"":""rss"",""id"":11141001,""val"":600},{""typ"":""rss"",""id"":11141003,""val"":600}]")</f>
        <v>[{"typ":"rss","id":11141001,"val":600},{"typ":"rss","id":11141003,"val":600}]</v>
      </c>
      <c r="U27" s="148">
        <f>IFERROR(__xludf.DUMMYFUNCTION("""COMPUTED_VALUE"""),0.0)</f>
        <v>0</v>
      </c>
      <c r="V27" s="148" t="str">
        <f>IFERROR(__xludf.DUMMYFUNCTION("""COMPUTED_VALUE"""),"{""op"":""and"",""args"":[{""op"":""ge"",""typ"":""arms_group"",""id"":11672406,""val"":1}]}")</f>
        <v>{"op":"and","args":[{"op":"ge","typ":"arms_group","id":11672406,"val":1}]}</v>
      </c>
      <c r="W27" s="148" t="str">
        <f>IFERROR(__xludf.DUMMYFUNCTION("""COMPUTED_VALUE"""),"[]")</f>
        <v>[]</v>
      </c>
      <c r="X27" s="148" t="str">
        <f>IFERROR(__xludf.DUMMYFUNCTION("""COMPUTED_VALUE"""),"[{""typ"":""power"",""id"":12141002,""val"":10}]")</f>
        <v>[{"typ":"power","id":12141002,"val":10}]</v>
      </c>
      <c r="Y27" s="148" t="str">
        <f>IFERROR(__xludf.DUMMYFUNCTION("""COMPUTED_VALUE"""),"[{""typ"":""atk"",""val"":245},{""typ"":""def"",""val"":230},{""typ"":""hp"",""val"":210},{""typ"":""speed"",""val"":30},{""typ"":""load"",""val"":15},{""typ"":""backcoef"",""val"":0.5},{""typ"":""atkcoef"",""val"":1.0},{""typ"":""atkcd"",""val"":0}]")</f>
        <v>[{"typ":"atk","val":245},{"typ":"def","val":230},{"typ":"hp","val":210},{"typ":"speed","val":30},{"typ":"load","val":15},{"typ":"backcoef","val":0.5},{"typ":"atkcoef","val":1.0},{"typ":"atkcd","val":0}]</v>
      </c>
      <c r="Z27" s="148" t="str">
        <f>IFERROR(__xludf.DUMMYFUNCTION("""COMPUTED_VALUE"""),"[]")</f>
        <v>[]</v>
      </c>
    </row>
    <row r="28">
      <c r="A28" s="148">
        <f>IFERROR(__xludf.DUMMYFUNCTION("""COMPUTED_VALUE"""),1.121103E7)</f>
        <v>11211030</v>
      </c>
      <c r="B28" s="148" t="str">
        <f>IFERROR(__xludf.DUMMYFUNCTION("""COMPUTED_VALUE"""),"步兵-lv5-6")</f>
        <v>步兵-lv5-6</v>
      </c>
      <c r="C28" s="148">
        <f>IFERROR(__xludf.DUMMYFUNCTION("""COMPUTED_VALUE"""),1.1221001E7)</f>
        <v>11221001</v>
      </c>
      <c r="D28" s="148">
        <f>IFERROR(__xludf.DUMMYFUNCTION("""COMPUTED_VALUE"""),1.5110056E7)</f>
        <v>15110056</v>
      </c>
      <c r="E28" s="148" t="str">
        <f>IFERROR(__xludf.DUMMYFUNCTION("""COMPUTED_VALUE"""),"{""typ"":""lc"",""txt"":""LC_SOLDIER_hitter_name_5""}")</f>
        <v>{"typ":"lc","txt":"LC_SOLDIER_hitter_name_5"}</v>
      </c>
      <c r="F28" s="148" t="str">
        <f>IFERROR(__xludf.DUMMYFUNCTION("""COMPUTED_VALUE"""),"{""typ"":""lc"",""txt"":""LC_SOLDIER_hitter_desc_5""}")</f>
        <v>{"typ":"lc","txt":"LC_SOLDIER_hitter_desc_5"}</v>
      </c>
      <c r="G28" s="148">
        <f>IFERROR(__xludf.DUMMYFUNCTION("""COMPUTED_VALUE"""),15.0)</f>
        <v>15</v>
      </c>
      <c r="H28" s="148">
        <f>IFERROR(__xludf.DUMMYFUNCTION("""COMPUTED_VALUE"""),19.0)</f>
        <v>19</v>
      </c>
      <c r="I28" s="148">
        <f>IFERROR(__xludf.DUMMYFUNCTION("""COMPUTED_VALUE"""),10002.0)</f>
        <v>10002</v>
      </c>
      <c r="J28" s="148">
        <f>IFERROR(__xludf.DUMMYFUNCTION("""COMPUTED_VALUE"""),9.0)</f>
        <v>9</v>
      </c>
      <c r="K28" s="148">
        <f>IFERROR(__xludf.DUMMYFUNCTION("""COMPUTED_VALUE"""),5.0)</f>
        <v>5</v>
      </c>
      <c r="L28" s="148">
        <f>IFERROR(__xludf.DUMMYFUNCTION("""COMPUTED_VALUE"""),6.0)</f>
        <v>6</v>
      </c>
      <c r="M28" s="148">
        <f>IFERROR(__xludf.DUMMYFUNCTION("""COMPUTED_VALUE"""),180000.0)</f>
        <v>180000</v>
      </c>
      <c r="N28" s="148" t="str">
        <f>IFERROR(__xludf.DUMMYFUNCTION("""COMPUTED_VALUE"""),"[{""typ"":""rss"",""id"":11141001,""val"":1000},{""typ"":""rss"",""id"":11141003,""val"":1000}]")</f>
        <v>[{"typ":"rss","id":11141001,"val":1000},{"typ":"rss","id":11141003,"val":1000}]</v>
      </c>
      <c r="O28" s="148" t="str">
        <f>IFERROR(__xludf.DUMMYFUNCTION("""COMPUTED_VALUE"""),"{""op"":""and"",""args"":[{""op"":""ge"",""typ"":""arms_group"",""id"":11672407,""val"":1}]}")</f>
        <v>{"op":"and","args":[{"op":"ge","typ":"arms_group","id":11672407,"val":1}]}</v>
      </c>
      <c r="P28" s="148">
        <f>IFERROR(__xludf.DUMMYFUNCTION("""COMPUTED_VALUE"""),6000.0)</f>
        <v>6000</v>
      </c>
      <c r="Q28" s="148" t="str">
        <f>IFERROR(__xludf.DUMMYFUNCTION("""COMPUTED_VALUE"""),"[{""typ"":""rss"",""id"":11141001,""val"":400},{""typ"":""rss"",""id"":11141003,""val"":400}]")</f>
        <v>[{"typ":"rss","id":11141001,"val":400},{"typ":"rss","id":11141003,"val":400}]</v>
      </c>
      <c r="R28" s="148" t="str">
        <f>IFERROR(__xludf.DUMMYFUNCTION("""COMPUTED_VALUE"""),"{}")</f>
        <v>{}</v>
      </c>
      <c r="S28" s="148">
        <f>IFERROR(__xludf.DUMMYFUNCTION("""COMPUTED_VALUE"""),90000.0)</f>
        <v>90000</v>
      </c>
      <c r="T28" s="148" t="str">
        <f>IFERROR(__xludf.DUMMYFUNCTION("""COMPUTED_VALUE"""),"[{""typ"":""rss"",""id"":11141001,""val"":600},{""typ"":""rss"",""id"":11141003,""val"":600}]")</f>
        <v>[{"typ":"rss","id":11141001,"val":600},{"typ":"rss","id":11141003,"val":600}]</v>
      </c>
      <c r="U28" s="148">
        <f>IFERROR(__xludf.DUMMYFUNCTION("""COMPUTED_VALUE"""),0.0)</f>
        <v>0</v>
      </c>
      <c r="V28" s="148" t="str">
        <f>IFERROR(__xludf.DUMMYFUNCTION("""COMPUTED_VALUE"""),"{""op"":""and"",""args"":[{""op"":""ge"",""typ"":""arms_group"",""id"":11672407,""val"":1}]}")</f>
        <v>{"op":"and","args":[{"op":"ge","typ":"arms_group","id":11672407,"val":1}]}</v>
      </c>
      <c r="W28" s="148" t="str">
        <f>IFERROR(__xludf.DUMMYFUNCTION("""COMPUTED_VALUE"""),"[]")</f>
        <v>[]</v>
      </c>
      <c r="X28" s="148" t="str">
        <f>IFERROR(__xludf.DUMMYFUNCTION("""COMPUTED_VALUE"""),"[{""typ"":""power"",""id"":12141002,""val"":10}]")</f>
        <v>[{"typ":"power","id":12141002,"val":10}]</v>
      </c>
      <c r="Y28" s="148" t="str">
        <f>IFERROR(__xludf.DUMMYFUNCTION("""COMPUTED_VALUE"""),"[{""typ"":""atk"",""val"":248},{""typ"":""def"",""val"":233},{""typ"":""hp"",""val"":211},{""typ"":""speed"",""val"":30},{""typ"":""load"",""val"":15},{""typ"":""backcoef"",""val"":0.5},{""typ"":""atkcoef"",""val"":1.0},{""typ"":""atkcd"",""val"":0}]")</f>
        <v>[{"typ":"atk","val":248},{"typ":"def","val":233},{"typ":"hp","val":211},{"typ":"speed","val":30},{"typ":"load","val":15},{"typ":"backcoef","val":0.5},{"typ":"atkcoef","val":1.0},{"typ":"atkcd","val":0}]</v>
      </c>
      <c r="Z28" s="148" t="str">
        <f>IFERROR(__xludf.DUMMYFUNCTION("""COMPUTED_VALUE"""),"[]")</f>
        <v>[]</v>
      </c>
    </row>
    <row r="29">
      <c r="A29" s="148">
        <f>IFERROR(__xludf.DUMMYFUNCTION("""COMPUTED_VALUE"""),1.1211031E7)</f>
        <v>11211031</v>
      </c>
      <c r="B29" s="148" t="str">
        <f>IFERROR(__xludf.DUMMYFUNCTION("""COMPUTED_VALUE"""),"步兵-lv6-1-A")</f>
        <v>步兵-lv6-1-A</v>
      </c>
      <c r="C29" s="148">
        <f>IFERROR(__xludf.DUMMYFUNCTION("""COMPUTED_VALUE"""),1.1221001E7)</f>
        <v>11221001</v>
      </c>
      <c r="D29" s="148">
        <f>IFERROR(__xludf.DUMMYFUNCTION("""COMPUTED_VALUE"""),1.5117138E7)</f>
        <v>15117138</v>
      </c>
      <c r="E29" s="148" t="str">
        <f>IFERROR(__xludf.DUMMYFUNCTION("""COMPUTED_VALUE"""),"{""typ"":""lc"",""txt"":""LC_SOLDIER_hitter_name_6""}")</f>
        <v>{"typ":"lc","txt":"LC_SOLDIER_hitter_name_6"}</v>
      </c>
      <c r="F29" s="148" t="str">
        <f>IFERROR(__xludf.DUMMYFUNCTION("""COMPUTED_VALUE"""),"{""typ"":""lc"",""txt"":""LC_SOLDIER_hitter_desc_6""}")</f>
        <v>{"typ":"lc","txt":"LC_SOLDIER_hitter_desc_6"}</v>
      </c>
      <c r="G29" s="148">
        <f>IFERROR(__xludf.DUMMYFUNCTION("""COMPUTED_VALUE"""),25.0)</f>
        <v>25</v>
      </c>
      <c r="H29" s="148">
        <f>IFERROR(__xludf.DUMMYFUNCTION("""COMPUTED_VALUE"""),23.0)</f>
        <v>23</v>
      </c>
      <c r="I29" s="148">
        <f>IFERROR(__xludf.DUMMYFUNCTION("""COMPUTED_VALUE"""),10001.0)</f>
        <v>10001</v>
      </c>
      <c r="J29" s="148">
        <f>IFERROR(__xludf.DUMMYFUNCTION("""COMPUTED_VALUE"""),11.0)</f>
        <v>11</v>
      </c>
      <c r="K29" s="148">
        <f>IFERROR(__xludf.DUMMYFUNCTION("""COMPUTED_VALUE"""),6.0)</f>
        <v>6</v>
      </c>
      <c r="L29" s="148">
        <f>IFERROR(__xludf.DUMMYFUNCTION("""COMPUTED_VALUE"""),6.0)</f>
        <v>6</v>
      </c>
      <c r="M29" s="148">
        <f>IFERROR(__xludf.DUMMYFUNCTION("""COMPUTED_VALUE"""),360000.0)</f>
        <v>360000</v>
      </c>
      <c r="N29" s="148" t="str">
        <f>IFERROR(__xludf.DUMMYFUNCTION("""COMPUTED_VALUE"""),"[{""typ"":""rss"",""id"":11141001,""val"":1600},{""typ"":""rss"",""id"":11141003,""val"":1600},{""typ"":""rss"",""id"":11141041,""val"":80}]")</f>
        <v>[{"typ":"rss","id":11141001,"val":1600},{"typ":"rss","id":11141003,"val":1600},{"typ":"rss","id":11141041,"val":80}]</v>
      </c>
      <c r="O29" s="148" t="str">
        <f>IFERROR(__xludf.DUMMYFUNCTION("""COMPUTED_VALUE"""),"{""op"":""and"",""args"":[{""op"":""ge"",""typ"":""arms_group"",""id"":11672502,""val"":1}]}")</f>
        <v>{"op":"and","args":[{"op":"ge","typ":"arms_group","id":11672502,"val":1}]}</v>
      </c>
      <c r="P29" s="148">
        <f>IFERROR(__xludf.DUMMYFUNCTION("""COMPUTED_VALUE"""),12000.0)</f>
        <v>12000</v>
      </c>
      <c r="Q29" s="148" t="str">
        <f>IFERROR(__xludf.DUMMYFUNCTION("""COMPUTED_VALUE"""),"[{""typ"":""rss"",""id"":11141001,""val"":640},{""typ"":""rss"",""id"":11141003,""val"":640},{""typ"":""rss"",""id"":11141041,""val"":16}]")</f>
        <v>[{"typ":"rss","id":11141001,"val":640},{"typ":"rss","id":11141003,"val":640},{"typ":"rss","id":11141041,"val":16}]</v>
      </c>
      <c r="R29" s="148" t="str">
        <f>IFERROR(__xludf.DUMMYFUNCTION("""COMPUTED_VALUE"""),"{}")</f>
        <v>{}</v>
      </c>
      <c r="S29" s="148">
        <f>IFERROR(__xludf.DUMMYFUNCTION("""COMPUTED_VALUE"""),180000.0)</f>
        <v>180000</v>
      </c>
      <c r="T29" s="148" t="str">
        <f>IFERROR(__xludf.DUMMYFUNCTION("""COMPUTED_VALUE"""),"[{""typ"":""rss"",""id"":11141001,""val"":600},{""typ"":""rss"",""id"":11141003,""val"":600},{""typ"":""rss"",""id"":11141041,""val"":80}]")</f>
        <v>[{"typ":"rss","id":11141001,"val":600},{"typ":"rss","id":11141003,"val":600},{"typ":"rss","id":11141041,"val":80}]</v>
      </c>
      <c r="U29" s="148">
        <f>IFERROR(__xludf.DUMMYFUNCTION("""COMPUTED_VALUE"""),0.0)</f>
        <v>0</v>
      </c>
      <c r="V29" s="148" t="str">
        <f>IFERROR(__xludf.DUMMYFUNCTION("""COMPUTED_VALUE"""),"{""op"":""and"",""args"":[{""op"":""ge"",""typ"":""arms_group"",""id"":11672502,""val"":1}]}")</f>
        <v>{"op":"and","args":[{"op":"ge","typ":"arms_group","id":11672502,"val":1}]}</v>
      </c>
      <c r="W29" s="148" t="str">
        <f>IFERROR(__xludf.DUMMYFUNCTION("""COMPUTED_VALUE"""),"[]")</f>
        <v>[]</v>
      </c>
      <c r="X29" s="148" t="str">
        <f>IFERROR(__xludf.DUMMYFUNCTION("""COMPUTED_VALUE"""),"[{""typ"":""power"",""id"":12141002,""val"":20}]")</f>
        <v>[{"typ":"power","id":12141002,"val":20}]</v>
      </c>
      <c r="Y29" s="148" t="str">
        <f>IFERROR(__xludf.DUMMYFUNCTION("""COMPUTED_VALUE"""),"[{""typ"":""atk"",""val"":288},{""typ"":""def"",""val"":268},{""typ"":""hp"",""val"":241},{""typ"":""speed"",""val"":27},{""typ"":""load"",""val"":18},{""typ"":""backcoef"",""val"":0.5},{""typ"":""atkcoef"",""val"":1.0},{""typ"":""atkcd"",""val"":0}]")</f>
        <v>[{"typ":"atk","val":288},{"typ":"def","val":268},{"typ":"hp","val":241},{"typ":"speed","val":27},{"typ":"load","val":18},{"typ":"backcoef","val":0.5},{"typ":"atkcoef","val":1.0},{"typ":"atkcd","val":0}]</v>
      </c>
      <c r="Z29" s="148" t="str">
        <f>IFERROR(__xludf.DUMMYFUNCTION("""COMPUTED_VALUE"""),"[]")</f>
        <v>[]</v>
      </c>
    </row>
    <row r="30">
      <c r="A30" s="148">
        <f>IFERROR(__xludf.DUMMYFUNCTION("""COMPUTED_VALUE"""),1.1211032E7)</f>
        <v>11211032</v>
      </c>
      <c r="B30" s="148" t="str">
        <f>IFERROR(__xludf.DUMMYFUNCTION("""COMPUTED_VALUE"""),"步兵-lv6-2-A")</f>
        <v>步兵-lv6-2-A</v>
      </c>
      <c r="C30" s="148">
        <f>IFERROR(__xludf.DUMMYFUNCTION("""COMPUTED_VALUE"""),1.1221001E7)</f>
        <v>11221001</v>
      </c>
      <c r="D30" s="148">
        <f>IFERROR(__xludf.DUMMYFUNCTION("""COMPUTED_VALUE"""),1.5117138E7)</f>
        <v>15117138</v>
      </c>
      <c r="E30" s="148" t="str">
        <f>IFERROR(__xludf.DUMMYFUNCTION("""COMPUTED_VALUE"""),"{""typ"":""lc"",""txt"":""LC_SOLDIER_hitter_name_6""}")</f>
        <v>{"typ":"lc","txt":"LC_SOLDIER_hitter_name_6"}</v>
      </c>
      <c r="F30" s="148" t="str">
        <f>IFERROR(__xludf.DUMMYFUNCTION("""COMPUTED_VALUE"""),"{""typ"":""lc"",""txt"":""LC_SOLDIER_hitter_desc_6""}")</f>
        <v>{"typ":"lc","txt":"LC_SOLDIER_hitter_desc_6"}</v>
      </c>
      <c r="G30" s="148">
        <f>IFERROR(__xludf.DUMMYFUNCTION("""COMPUTED_VALUE"""),25.0)</f>
        <v>25</v>
      </c>
      <c r="H30" s="148">
        <f>IFERROR(__xludf.DUMMYFUNCTION("""COMPUTED_VALUE"""),23.0)</f>
        <v>23</v>
      </c>
      <c r="I30" s="148">
        <f>IFERROR(__xludf.DUMMYFUNCTION("""COMPUTED_VALUE"""),10001.0)</f>
        <v>10001</v>
      </c>
      <c r="J30" s="148">
        <f>IFERROR(__xludf.DUMMYFUNCTION("""COMPUTED_VALUE"""),11.0)</f>
        <v>11</v>
      </c>
      <c r="K30" s="148">
        <f>IFERROR(__xludf.DUMMYFUNCTION("""COMPUTED_VALUE"""),6.0)</f>
        <v>6</v>
      </c>
      <c r="L30" s="148">
        <f>IFERROR(__xludf.DUMMYFUNCTION("""COMPUTED_VALUE"""),6.0)</f>
        <v>6</v>
      </c>
      <c r="M30" s="148">
        <f>IFERROR(__xludf.DUMMYFUNCTION("""COMPUTED_VALUE"""),360000.0)</f>
        <v>360000</v>
      </c>
      <c r="N30" s="148" t="str">
        <f>IFERROR(__xludf.DUMMYFUNCTION("""COMPUTED_VALUE"""),"[{""typ"":""rss"",""id"":11141001,""val"":1600},{""typ"":""rss"",""id"":11141003,""val"":1600},{""typ"":""rss"",""id"":11141041,""val"":80}]")</f>
        <v>[{"typ":"rss","id":11141001,"val":1600},{"typ":"rss","id":11141003,"val":1600},{"typ":"rss","id":11141041,"val":80}]</v>
      </c>
      <c r="O30" s="148" t="str">
        <f>IFERROR(__xludf.DUMMYFUNCTION("""COMPUTED_VALUE"""),"{""op"":""and"",""args"":[{""op"":""ge"",""typ"":""arms_group"",""id"":11672503,""val"":1}]}")</f>
        <v>{"op":"and","args":[{"op":"ge","typ":"arms_group","id":11672503,"val":1}]}</v>
      </c>
      <c r="P30" s="148">
        <f>IFERROR(__xludf.DUMMYFUNCTION("""COMPUTED_VALUE"""),12000.0)</f>
        <v>12000</v>
      </c>
      <c r="Q30" s="148" t="str">
        <f>IFERROR(__xludf.DUMMYFUNCTION("""COMPUTED_VALUE"""),"[{""typ"":""rss"",""id"":11141001,""val"":640},{""typ"":""rss"",""id"":11141003,""val"":640},{""typ"":""rss"",""id"":11141041,""val"":16}]")</f>
        <v>[{"typ":"rss","id":11141001,"val":640},{"typ":"rss","id":11141003,"val":640},{"typ":"rss","id":11141041,"val":16}]</v>
      </c>
      <c r="R30" s="148" t="str">
        <f>IFERROR(__xludf.DUMMYFUNCTION("""COMPUTED_VALUE"""),"{}")</f>
        <v>{}</v>
      </c>
      <c r="S30" s="148">
        <f>IFERROR(__xludf.DUMMYFUNCTION("""COMPUTED_VALUE"""),180000.0)</f>
        <v>180000</v>
      </c>
      <c r="T30" s="148" t="str">
        <f>IFERROR(__xludf.DUMMYFUNCTION("""COMPUTED_VALUE"""),"[{""typ"":""rss"",""id"":11141001,""val"":600},{""typ"":""rss"",""id"":11141003,""val"":600},{""typ"":""rss"",""id"":11141041,""val"":80}]")</f>
        <v>[{"typ":"rss","id":11141001,"val":600},{"typ":"rss","id":11141003,"val":600},{"typ":"rss","id":11141041,"val":80}]</v>
      </c>
      <c r="U30" s="148">
        <f>IFERROR(__xludf.DUMMYFUNCTION("""COMPUTED_VALUE"""),0.0)</f>
        <v>0</v>
      </c>
      <c r="V30" s="148" t="str">
        <f>IFERROR(__xludf.DUMMYFUNCTION("""COMPUTED_VALUE"""),"{""op"":""and"",""args"":[{""op"":""ge"",""typ"":""arms_group"",""id"":11672503,""val"":1}]}")</f>
        <v>{"op":"and","args":[{"op":"ge","typ":"arms_group","id":11672503,"val":1}]}</v>
      </c>
      <c r="W30" s="148" t="str">
        <f>IFERROR(__xludf.DUMMYFUNCTION("""COMPUTED_VALUE"""),"[]")</f>
        <v>[]</v>
      </c>
      <c r="X30" s="148" t="str">
        <f>IFERROR(__xludf.DUMMYFUNCTION("""COMPUTED_VALUE"""),"[{""typ"":""power"",""id"":12141002,""val"":20}]")</f>
        <v>[{"typ":"power","id":12141002,"val":20}]</v>
      </c>
      <c r="Y30" s="148" t="str">
        <f>IFERROR(__xludf.DUMMYFUNCTION("""COMPUTED_VALUE"""),"[{""typ"":""atk"",""val"":291},{""typ"":""def"",""val"":271},{""typ"":""hp"",""val"":242},{""typ"":""speed"",""val"":27},{""typ"":""load"",""val"":18},{""typ"":""backcoef"",""val"":0.5},{""typ"":""atkcoef"",""val"":1.0},{""typ"":""atkcd"",""val"":0}]")</f>
        <v>[{"typ":"atk","val":291},{"typ":"def","val":271},{"typ":"hp","val":242},{"typ":"speed","val":27},{"typ":"load","val":18},{"typ":"backcoef","val":0.5},{"typ":"atkcoef","val":1.0},{"typ":"atkcd","val":0}]</v>
      </c>
      <c r="Z30" s="148" t="str">
        <f>IFERROR(__xludf.DUMMYFUNCTION("""COMPUTED_VALUE"""),"[]")</f>
        <v>[]</v>
      </c>
    </row>
    <row r="31">
      <c r="A31" s="148">
        <f>IFERROR(__xludf.DUMMYFUNCTION("""COMPUTED_VALUE"""),1.1211033E7)</f>
        <v>11211033</v>
      </c>
      <c r="B31" s="148" t="str">
        <f>IFERROR(__xludf.DUMMYFUNCTION("""COMPUTED_VALUE"""),"步兵-lv6-3-A")</f>
        <v>步兵-lv6-3-A</v>
      </c>
      <c r="C31" s="148">
        <f>IFERROR(__xludf.DUMMYFUNCTION("""COMPUTED_VALUE"""),1.1221001E7)</f>
        <v>11221001</v>
      </c>
      <c r="D31" s="148">
        <f>IFERROR(__xludf.DUMMYFUNCTION("""COMPUTED_VALUE"""),1.5117138E7)</f>
        <v>15117138</v>
      </c>
      <c r="E31" s="148" t="str">
        <f>IFERROR(__xludf.DUMMYFUNCTION("""COMPUTED_VALUE"""),"{""typ"":""lc"",""txt"":""LC_SOLDIER_hitter_name_6""}")</f>
        <v>{"typ":"lc","txt":"LC_SOLDIER_hitter_name_6"}</v>
      </c>
      <c r="F31" s="148" t="str">
        <f>IFERROR(__xludf.DUMMYFUNCTION("""COMPUTED_VALUE"""),"{""typ"":""lc"",""txt"":""LC_SOLDIER_hitter_desc_6""}")</f>
        <v>{"typ":"lc","txt":"LC_SOLDIER_hitter_desc_6"}</v>
      </c>
      <c r="G31" s="148">
        <f>IFERROR(__xludf.DUMMYFUNCTION("""COMPUTED_VALUE"""),25.0)</f>
        <v>25</v>
      </c>
      <c r="H31" s="148">
        <f>IFERROR(__xludf.DUMMYFUNCTION("""COMPUTED_VALUE"""),23.0)</f>
        <v>23</v>
      </c>
      <c r="I31" s="148">
        <f>IFERROR(__xludf.DUMMYFUNCTION("""COMPUTED_VALUE"""),10001.0)</f>
        <v>10001</v>
      </c>
      <c r="J31" s="148">
        <f>IFERROR(__xludf.DUMMYFUNCTION("""COMPUTED_VALUE"""),11.0)</f>
        <v>11</v>
      </c>
      <c r="K31" s="148">
        <f>IFERROR(__xludf.DUMMYFUNCTION("""COMPUTED_VALUE"""),6.0)</f>
        <v>6</v>
      </c>
      <c r="L31" s="148">
        <f>IFERROR(__xludf.DUMMYFUNCTION("""COMPUTED_VALUE"""),6.0)</f>
        <v>6</v>
      </c>
      <c r="M31" s="148">
        <f>IFERROR(__xludf.DUMMYFUNCTION("""COMPUTED_VALUE"""),360000.0)</f>
        <v>360000</v>
      </c>
      <c r="N31" s="148" t="str">
        <f>IFERROR(__xludf.DUMMYFUNCTION("""COMPUTED_VALUE"""),"[{""typ"":""rss"",""id"":11141001,""val"":1600},{""typ"":""rss"",""id"":11141003,""val"":1600},{""typ"":""rss"",""id"":11141041,""val"":80}]")</f>
        <v>[{"typ":"rss","id":11141001,"val":1600},{"typ":"rss","id":11141003,"val":1600},{"typ":"rss","id":11141041,"val":80}]</v>
      </c>
      <c r="O31" s="148" t="str">
        <f>IFERROR(__xludf.DUMMYFUNCTION("""COMPUTED_VALUE"""),"{""op"":""and"",""args"":[{""op"":""ge"",""typ"":""arms_group"",""id"":11672504,""val"":1}]}")</f>
        <v>{"op":"and","args":[{"op":"ge","typ":"arms_group","id":11672504,"val":1}]}</v>
      </c>
      <c r="P31" s="148">
        <f>IFERROR(__xludf.DUMMYFUNCTION("""COMPUTED_VALUE"""),12000.0)</f>
        <v>12000</v>
      </c>
      <c r="Q31" s="148" t="str">
        <f>IFERROR(__xludf.DUMMYFUNCTION("""COMPUTED_VALUE"""),"[{""typ"":""rss"",""id"":11141001,""val"":640},{""typ"":""rss"",""id"":11141003,""val"":640},{""typ"":""rss"",""id"":11141041,""val"":16}]")</f>
        <v>[{"typ":"rss","id":11141001,"val":640},{"typ":"rss","id":11141003,"val":640},{"typ":"rss","id":11141041,"val":16}]</v>
      </c>
      <c r="R31" s="148" t="str">
        <f>IFERROR(__xludf.DUMMYFUNCTION("""COMPUTED_VALUE"""),"{}")</f>
        <v>{}</v>
      </c>
      <c r="S31" s="148">
        <f>IFERROR(__xludf.DUMMYFUNCTION("""COMPUTED_VALUE"""),180000.0)</f>
        <v>180000</v>
      </c>
      <c r="T31" s="148" t="str">
        <f>IFERROR(__xludf.DUMMYFUNCTION("""COMPUTED_VALUE"""),"[{""typ"":""rss"",""id"":11141001,""val"":600},{""typ"":""rss"",""id"":11141003,""val"":600},{""typ"":""rss"",""id"":11141041,""val"":80}]")</f>
        <v>[{"typ":"rss","id":11141001,"val":600},{"typ":"rss","id":11141003,"val":600},{"typ":"rss","id":11141041,"val":80}]</v>
      </c>
      <c r="U31" s="148">
        <f>IFERROR(__xludf.DUMMYFUNCTION("""COMPUTED_VALUE"""),0.0)</f>
        <v>0</v>
      </c>
      <c r="V31" s="148" t="str">
        <f>IFERROR(__xludf.DUMMYFUNCTION("""COMPUTED_VALUE"""),"{""op"":""and"",""args"":[{""op"":""ge"",""typ"":""arms_group"",""id"":11672504,""val"":1}]}")</f>
        <v>{"op":"and","args":[{"op":"ge","typ":"arms_group","id":11672504,"val":1}]}</v>
      </c>
      <c r="W31" s="148" t="str">
        <f>IFERROR(__xludf.DUMMYFUNCTION("""COMPUTED_VALUE"""),"[]")</f>
        <v>[]</v>
      </c>
      <c r="X31" s="148" t="str">
        <f>IFERROR(__xludf.DUMMYFUNCTION("""COMPUTED_VALUE"""),"[{""typ"":""power"",""id"":12141002,""val"":20}]")</f>
        <v>[{"typ":"power","id":12141002,"val":20}]</v>
      </c>
      <c r="Y31" s="148" t="str">
        <f>IFERROR(__xludf.DUMMYFUNCTION("""COMPUTED_VALUE"""),"[{""typ"":""atk"",""val"":295},{""typ"":""def"",""val"":275},{""typ"":""hp"",""val"":244},{""typ"":""speed"",""val"":27},{""typ"":""load"",""val"":18},{""typ"":""backcoef"",""val"":0.5},{""typ"":""atkcoef"",""val"":1.0},{""typ"":""atkcd"",""val"":0}]")</f>
        <v>[{"typ":"atk","val":295},{"typ":"def","val":275},{"typ":"hp","val":244},{"typ":"speed","val":27},{"typ":"load","val":18},{"typ":"backcoef","val":0.5},{"typ":"atkcoef","val":1.0},{"typ":"atkcd","val":0}]</v>
      </c>
      <c r="Z31" s="148" t="str">
        <f>IFERROR(__xludf.DUMMYFUNCTION("""COMPUTED_VALUE"""),"[]")</f>
        <v>[]</v>
      </c>
    </row>
    <row r="32">
      <c r="A32" s="148">
        <f>IFERROR(__xludf.DUMMYFUNCTION("""COMPUTED_VALUE"""),1.1211034E7)</f>
        <v>11211034</v>
      </c>
      <c r="B32" s="148" t="str">
        <f>IFERROR(__xludf.DUMMYFUNCTION("""COMPUTED_VALUE"""),"步兵-lv6-4-A")</f>
        <v>步兵-lv6-4-A</v>
      </c>
      <c r="C32" s="148">
        <f>IFERROR(__xludf.DUMMYFUNCTION("""COMPUTED_VALUE"""),1.1221001E7)</f>
        <v>11221001</v>
      </c>
      <c r="D32" s="148">
        <f>IFERROR(__xludf.DUMMYFUNCTION("""COMPUTED_VALUE"""),1.5117138E7)</f>
        <v>15117138</v>
      </c>
      <c r="E32" s="148" t="str">
        <f>IFERROR(__xludf.DUMMYFUNCTION("""COMPUTED_VALUE"""),"{""typ"":""lc"",""txt"":""LC_SOLDIER_hitter_name_6""}")</f>
        <v>{"typ":"lc","txt":"LC_SOLDIER_hitter_name_6"}</v>
      </c>
      <c r="F32" s="148" t="str">
        <f>IFERROR(__xludf.DUMMYFUNCTION("""COMPUTED_VALUE"""),"{""typ"":""lc"",""txt"":""LC_SOLDIER_hitter_desc_6""}")</f>
        <v>{"typ":"lc","txt":"LC_SOLDIER_hitter_desc_6"}</v>
      </c>
      <c r="G32" s="148">
        <f>IFERROR(__xludf.DUMMYFUNCTION("""COMPUTED_VALUE"""),25.0)</f>
        <v>25</v>
      </c>
      <c r="H32" s="148">
        <f>IFERROR(__xludf.DUMMYFUNCTION("""COMPUTED_VALUE"""),23.0)</f>
        <v>23</v>
      </c>
      <c r="I32" s="148">
        <f>IFERROR(__xludf.DUMMYFUNCTION("""COMPUTED_VALUE"""),10001.0)</f>
        <v>10001</v>
      </c>
      <c r="J32" s="148">
        <f>IFERROR(__xludf.DUMMYFUNCTION("""COMPUTED_VALUE"""),11.0)</f>
        <v>11</v>
      </c>
      <c r="K32" s="148">
        <f>IFERROR(__xludf.DUMMYFUNCTION("""COMPUTED_VALUE"""),6.0)</f>
        <v>6</v>
      </c>
      <c r="L32" s="148">
        <f>IFERROR(__xludf.DUMMYFUNCTION("""COMPUTED_VALUE"""),6.0)</f>
        <v>6</v>
      </c>
      <c r="M32" s="148">
        <f>IFERROR(__xludf.DUMMYFUNCTION("""COMPUTED_VALUE"""),360000.0)</f>
        <v>360000</v>
      </c>
      <c r="N32" s="148" t="str">
        <f>IFERROR(__xludf.DUMMYFUNCTION("""COMPUTED_VALUE"""),"[{""typ"":""rss"",""id"":11141001,""val"":1600},{""typ"":""rss"",""id"":11141003,""val"":1600},{""typ"":""rss"",""id"":11141041,""val"":80}]")</f>
        <v>[{"typ":"rss","id":11141001,"val":1600},{"typ":"rss","id":11141003,"val":1600},{"typ":"rss","id":11141041,"val":80}]</v>
      </c>
      <c r="O32" s="148" t="str">
        <f>IFERROR(__xludf.DUMMYFUNCTION("""COMPUTED_VALUE"""),"{""op"":""and"",""args"":[{""op"":""ge"",""typ"":""arms_group"",""id"":11672505,""val"":1}]}")</f>
        <v>{"op":"and","args":[{"op":"ge","typ":"arms_group","id":11672505,"val":1}]}</v>
      </c>
      <c r="P32" s="148">
        <f>IFERROR(__xludf.DUMMYFUNCTION("""COMPUTED_VALUE"""),12000.0)</f>
        <v>12000</v>
      </c>
      <c r="Q32" s="148" t="str">
        <f>IFERROR(__xludf.DUMMYFUNCTION("""COMPUTED_VALUE"""),"[{""typ"":""rss"",""id"":11141001,""val"":640},{""typ"":""rss"",""id"":11141003,""val"":640},{""typ"":""rss"",""id"":11141041,""val"":16}]")</f>
        <v>[{"typ":"rss","id":11141001,"val":640},{"typ":"rss","id":11141003,"val":640},{"typ":"rss","id":11141041,"val":16}]</v>
      </c>
      <c r="R32" s="148" t="str">
        <f>IFERROR(__xludf.DUMMYFUNCTION("""COMPUTED_VALUE"""),"{}")</f>
        <v>{}</v>
      </c>
      <c r="S32" s="148">
        <f>IFERROR(__xludf.DUMMYFUNCTION("""COMPUTED_VALUE"""),180000.0)</f>
        <v>180000</v>
      </c>
      <c r="T32" s="148" t="str">
        <f>IFERROR(__xludf.DUMMYFUNCTION("""COMPUTED_VALUE"""),"[{""typ"":""rss"",""id"":11141001,""val"":600},{""typ"":""rss"",""id"":11141003,""val"":600},{""typ"":""rss"",""id"":11141041,""val"":80}]")</f>
        <v>[{"typ":"rss","id":11141001,"val":600},{"typ":"rss","id":11141003,"val":600},{"typ":"rss","id":11141041,"val":80}]</v>
      </c>
      <c r="U32" s="148">
        <f>IFERROR(__xludf.DUMMYFUNCTION("""COMPUTED_VALUE"""),0.0)</f>
        <v>0</v>
      </c>
      <c r="V32" s="148" t="str">
        <f>IFERROR(__xludf.DUMMYFUNCTION("""COMPUTED_VALUE"""),"{""op"":""and"",""args"":[{""op"":""ge"",""typ"":""arms_group"",""id"":11672505,""val"":1}]}")</f>
        <v>{"op":"and","args":[{"op":"ge","typ":"arms_group","id":11672505,"val":1}]}</v>
      </c>
      <c r="W32" s="148" t="str">
        <f>IFERROR(__xludf.DUMMYFUNCTION("""COMPUTED_VALUE"""),"[]")</f>
        <v>[]</v>
      </c>
      <c r="X32" s="148" t="str">
        <f>IFERROR(__xludf.DUMMYFUNCTION("""COMPUTED_VALUE"""),"[{""typ"":""power"",""id"":12141002,""val"":20}]")</f>
        <v>[{"typ":"power","id":12141002,"val":20}]</v>
      </c>
      <c r="Y32" s="148" t="str">
        <f>IFERROR(__xludf.DUMMYFUNCTION("""COMPUTED_VALUE"""),"[{""typ"":""atk"",""val"":299},{""typ"":""def"",""val"":279},{""typ"":""hp"",""val"":246},{""typ"":""speed"",""val"":27},{""typ"":""load"",""val"":18},{""typ"":""backcoef"",""val"":0.5},{""typ"":""atkcoef"",""val"":1.0},{""typ"":""atkcd"",""val"":0}]")</f>
        <v>[{"typ":"atk","val":299},{"typ":"def","val":279},{"typ":"hp","val":246},{"typ":"speed","val":27},{"typ":"load","val":18},{"typ":"backcoef","val":0.5},{"typ":"atkcoef","val":1.0},{"typ":"atkcd","val":0}]</v>
      </c>
      <c r="Z32" s="148" t="str">
        <f>IFERROR(__xludf.DUMMYFUNCTION("""COMPUTED_VALUE"""),"[]")</f>
        <v>[]</v>
      </c>
    </row>
    <row r="33">
      <c r="A33" s="148">
        <f>IFERROR(__xludf.DUMMYFUNCTION("""COMPUTED_VALUE"""),1.1211035E7)</f>
        <v>11211035</v>
      </c>
      <c r="B33" s="148" t="str">
        <f>IFERROR(__xludf.DUMMYFUNCTION("""COMPUTED_VALUE"""),"步兵-lv6-5-A")</f>
        <v>步兵-lv6-5-A</v>
      </c>
      <c r="C33" s="148">
        <f>IFERROR(__xludf.DUMMYFUNCTION("""COMPUTED_VALUE"""),1.1221001E7)</f>
        <v>11221001</v>
      </c>
      <c r="D33" s="148">
        <f>IFERROR(__xludf.DUMMYFUNCTION("""COMPUTED_VALUE"""),1.5117138E7)</f>
        <v>15117138</v>
      </c>
      <c r="E33" s="148" t="str">
        <f>IFERROR(__xludf.DUMMYFUNCTION("""COMPUTED_VALUE"""),"{""typ"":""lc"",""txt"":""LC_SOLDIER_hitter_name_6""}")</f>
        <v>{"typ":"lc","txt":"LC_SOLDIER_hitter_name_6"}</v>
      </c>
      <c r="F33" s="148" t="str">
        <f>IFERROR(__xludf.DUMMYFUNCTION("""COMPUTED_VALUE"""),"{""typ"":""lc"",""txt"":""LC_SOLDIER_hitter_desc_6""}")</f>
        <v>{"typ":"lc","txt":"LC_SOLDIER_hitter_desc_6"}</v>
      </c>
      <c r="G33" s="148">
        <f>IFERROR(__xludf.DUMMYFUNCTION("""COMPUTED_VALUE"""),25.0)</f>
        <v>25</v>
      </c>
      <c r="H33" s="148">
        <f>IFERROR(__xludf.DUMMYFUNCTION("""COMPUTED_VALUE"""),23.0)</f>
        <v>23</v>
      </c>
      <c r="I33" s="148">
        <f>IFERROR(__xludf.DUMMYFUNCTION("""COMPUTED_VALUE"""),10001.0)</f>
        <v>10001</v>
      </c>
      <c r="J33" s="148">
        <f>IFERROR(__xludf.DUMMYFUNCTION("""COMPUTED_VALUE"""),11.0)</f>
        <v>11</v>
      </c>
      <c r="K33" s="148">
        <f>IFERROR(__xludf.DUMMYFUNCTION("""COMPUTED_VALUE"""),6.0)</f>
        <v>6</v>
      </c>
      <c r="L33" s="148">
        <f>IFERROR(__xludf.DUMMYFUNCTION("""COMPUTED_VALUE"""),6.0)</f>
        <v>6</v>
      </c>
      <c r="M33" s="148">
        <f>IFERROR(__xludf.DUMMYFUNCTION("""COMPUTED_VALUE"""),360000.0)</f>
        <v>360000</v>
      </c>
      <c r="N33" s="148" t="str">
        <f>IFERROR(__xludf.DUMMYFUNCTION("""COMPUTED_VALUE"""),"[{""typ"":""rss"",""id"":11141001,""val"":1600},{""typ"":""rss"",""id"":11141003,""val"":1600},{""typ"":""rss"",""id"":11141041,""val"":80}]")</f>
        <v>[{"typ":"rss","id":11141001,"val":1600},{"typ":"rss","id":11141003,"val":1600},{"typ":"rss","id":11141041,"val":80}]</v>
      </c>
      <c r="O33" s="148" t="str">
        <f>IFERROR(__xludf.DUMMYFUNCTION("""COMPUTED_VALUE"""),"{""op"":""and"",""args"":[{""op"":""ge"",""typ"":""arms_group"",""id"":11672506,""val"":1}]}")</f>
        <v>{"op":"and","args":[{"op":"ge","typ":"arms_group","id":11672506,"val":1}]}</v>
      </c>
      <c r="P33" s="148">
        <f>IFERROR(__xludf.DUMMYFUNCTION("""COMPUTED_VALUE"""),12000.0)</f>
        <v>12000</v>
      </c>
      <c r="Q33" s="148" t="str">
        <f>IFERROR(__xludf.DUMMYFUNCTION("""COMPUTED_VALUE"""),"[{""typ"":""rss"",""id"":11141001,""val"":640},{""typ"":""rss"",""id"":11141003,""val"":640},{""typ"":""rss"",""id"":11141041,""val"":16}]")</f>
        <v>[{"typ":"rss","id":11141001,"val":640},{"typ":"rss","id":11141003,"val":640},{"typ":"rss","id":11141041,"val":16}]</v>
      </c>
      <c r="R33" s="148" t="str">
        <f>IFERROR(__xludf.DUMMYFUNCTION("""COMPUTED_VALUE"""),"{}")</f>
        <v>{}</v>
      </c>
      <c r="S33" s="148">
        <f>IFERROR(__xludf.DUMMYFUNCTION("""COMPUTED_VALUE"""),180000.0)</f>
        <v>180000</v>
      </c>
      <c r="T33" s="148" t="str">
        <f>IFERROR(__xludf.DUMMYFUNCTION("""COMPUTED_VALUE"""),"[{""typ"":""rss"",""id"":11141001,""val"":600},{""typ"":""rss"",""id"":11141003,""val"":600},{""typ"":""rss"",""id"":11141041,""val"":80}]")</f>
        <v>[{"typ":"rss","id":11141001,"val":600},{"typ":"rss","id":11141003,"val":600},{"typ":"rss","id":11141041,"val":80}]</v>
      </c>
      <c r="U33" s="148">
        <f>IFERROR(__xludf.DUMMYFUNCTION("""COMPUTED_VALUE"""),0.0)</f>
        <v>0</v>
      </c>
      <c r="V33" s="148" t="str">
        <f>IFERROR(__xludf.DUMMYFUNCTION("""COMPUTED_VALUE"""),"{""op"":""and"",""args"":[{""op"":""ge"",""typ"":""arms_group"",""id"":11672506,""val"":1}]}")</f>
        <v>{"op":"and","args":[{"op":"ge","typ":"arms_group","id":11672506,"val":1}]}</v>
      </c>
      <c r="W33" s="148" t="str">
        <f>IFERROR(__xludf.DUMMYFUNCTION("""COMPUTED_VALUE"""),"[]")</f>
        <v>[]</v>
      </c>
      <c r="X33" s="148" t="str">
        <f>IFERROR(__xludf.DUMMYFUNCTION("""COMPUTED_VALUE"""),"[{""typ"":""power"",""id"":12141002,""val"":20}]")</f>
        <v>[{"typ":"power","id":12141002,"val":20}]</v>
      </c>
      <c r="Y33" s="148" t="str">
        <f>IFERROR(__xludf.DUMMYFUNCTION("""COMPUTED_VALUE"""),"[{""typ"":""atk"",""val"":304},{""typ"":""def"",""val"":284},{""typ"":""hp"",""val"":248},{""typ"":""speed"",""val"":27},{""typ"":""load"",""val"":18},{""typ"":""backcoef"",""val"":0.5},{""typ"":""atkcoef"",""val"":1.0},{""typ"":""atkcd"",""val"":0}]")</f>
        <v>[{"typ":"atk","val":304},{"typ":"def","val":284},{"typ":"hp","val":248},{"typ":"speed","val":27},{"typ":"load","val":18},{"typ":"backcoef","val":0.5},{"typ":"atkcoef","val":1.0},{"typ":"atkcd","val":0}]</v>
      </c>
      <c r="Z33" s="148" t="str">
        <f>IFERROR(__xludf.DUMMYFUNCTION("""COMPUTED_VALUE"""),"[]")</f>
        <v>[]</v>
      </c>
    </row>
    <row r="34">
      <c r="A34" s="148">
        <f>IFERROR(__xludf.DUMMYFUNCTION("""COMPUTED_VALUE"""),1.1211036E7)</f>
        <v>11211036</v>
      </c>
      <c r="B34" s="148" t="str">
        <f>IFERROR(__xludf.DUMMYFUNCTION("""COMPUTED_VALUE"""),"步兵-lv6-6-A")</f>
        <v>步兵-lv6-6-A</v>
      </c>
      <c r="C34" s="148">
        <f>IFERROR(__xludf.DUMMYFUNCTION("""COMPUTED_VALUE"""),1.1221001E7)</f>
        <v>11221001</v>
      </c>
      <c r="D34" s="148">
        <f>IFERROR(__xludf.DUMMYFUNCTION("""COMPUTED_VALUE"""),1.5117138E7)</f>
        <v>15117138</v>
      </c>
      <c r="E34" s="148" t="str">
        <f>IFERROR(__xludf.DUMMYFUNCTION("""COMPUTED_VALUE"""),"{""typ"":""lc"",""txt"":""LC_SOLDIER_hitter_name_6""}")</f>
        <v>{"typ":"lc","txt":"LC_SOLDIER_hitter_name_6"}</v>
      </c>
      <c r="F34" s="148" t="str">
        <f>IFERROR(__xludf.DUMMYFUNCTION("""COMPUTED_VALUE"""),"{""typ"":""lc"",""txt"":""LC_SOLDIER_hitter_desc_6""}")</f>
        <v>{"typ":"lc","txt":"LC_SOLDIER_hitter_desc_6"}</v>
      </c>
      <c r="G34" s="148">
        <f>IFERROR(__xludf.DUMMYFUNCTION("""COMPUTED_VALUE"""),25.0)</f>
        <v>25</v>
      </c>
      <c r="H34" s="148">
        <f>IFERROR(__xludf.DUMMYFUNCTION("""COMPUTED_VALUE"""),23.0)</f>
        <v>23</v>
      </c>
      <c r="I34" s="148">
        <f>IFERROR(__xludf.DUMMYFUNCTION("""COMPUTED_VALUE"""),10001.0)</f>
        <v>10001</v>
      </c>
      <c r="J34" s="148">
        <f>IFERROR(__xludf.DUMMYFUNCTION("""COMPUTED_VALUE"""),11.0)</f>
        <v>11</v>
      </c>
      <c r="K34" s="148">
        <f>IFERROR(__xludf.DUMMYFUNCTION("""COMPUTED_VALUE"""),6.0)</f>
        <v>6</v>
      </c>
      <c r="L34" s="148">
        <f>IFERROR(__xludf.DUMMYFUNCTION("""COMPUTED_VALUE"""),6.0)</f>
        <v>6</v>
      </c>
      <c r="M34" s="148">
        <f>IFERROR(__xludf.DUMMYFUNCTION("""COMPUTED_VALUE"""),360000.0)</f>
        <v>360000</v>
      </c>
      <c r="N34" s="148" t="str">
        <f>IFERROR(__xludf.DUMMYFUNCTION("""COMPUTED_VALUE"""),"[{""typ"":""rss"",""id"":11141001,""val"":1600},{""typ"":""rss"",""id"":11141003,""val"":1600},{""typ"":""rss"",""id"":11141041,""val"":80}]")</f>
        <v>[{"typ":"rss","id":11141001,"val":1600},{"typ":"rss","id":11141003,"val":1600},{"typ":"rss","id":11141041,"val":80}]</v>
      </c>
      <c r="O34" s="148" t="str">
        <f>IFERROR(__xludf.DUMMYFUNCTION("""COMPUTED_VALUE"""),"{""op"":""and"",""args"":[{""op"":""ge"",""typ"":""arms_group"",""id"":11672507,""val"":1}]}")</f>
        <v>{"op":"and","args":[{"op":"ge","typ":"arms_group","id":11672507,"val":1}]}</v>
      </c>
      <c r="P34" s="148">
        <f>IFERROR(__xludf.DUMMYFUNCTION("""COMPUTED_VALUE"""),12000.0)</f>
        <v>12000</v>
      </c>
      <c r="Q34" s="148" t="str">
        <f>IFERROR(__xludf.DUMMYFUNCTION("""COMPUTED_VALUE"""),"[{""typ"":""rss"",""id"":11141001,""val"":640},{""typ"":""rss"",""id"":11141003,""val"":640},{""typ"":""rss"",""id"":11141041,""val"":16}]")</f>
        <v>[{"typ":"rss","id":11141001,"val":640},{"typ":"rss","id":11141003,"val":640},{"typ":"rss","id":11141041,"val":16}]</v>
      </c>
      <c r="R34" s="148" t="str">
        <f>IFERROR(__xludf.DUMMYFUNCTION("""COMPUTED_VALUE"""),"{}")</f>
        <v>{}</v>
      </c>
      <c r="S34" s="148">
        <f>IFERROR(__xludf.DUMMYFUNCTION("""COMPUTED_VALUE"""),180000.0)</f>
        <v>180000</v>
      </c>
      <c r="T34" s="148" t="str">
        <f>IFERROR(__xludf.DUMMYFUNCTION("""COMPUTED_VALUE"""),"[{""typ"":""rss"",""id"":11141001,""val"":600},{""typ"":""rss"",""id"":11141003,""val"":600},{""typ"":""rss"",""id"":11141041,""val"":80}]")</f>
        <v>[{"typ":"rss","id":11141001,"val":600},{"typ":"rss","id":11141003,"val":600},{"typ":"rss","id":11141041,"val":80}]</v>
      </c>
      <c r="U34" s="148">
        <f>IFERROR(__xludf.DUMMYFUNCTION("""COMPUTED_VALUE"""),0.0)</f>
        <v>0</v>
      </c>
      <c r="V34" s="148" t="str">
        <f>IFERROR(__xludf.DUMMYFUNCTION("""COMPUTED_VALUE"""),"{""op"":""and"",""args"":[{""op"":""ge"",""typ"":""arms_group"",""id"":11672507,""val"":1}]}")</f>
        <v>{"op":"and","args":[{"op":"ge","typ":"arms_group","id":11672507,"val":1}]}</v>
      </c>
      <c r="W34" s="148" t="str">
        <f>IFERROR(__xludf.DUMMYFUNCTION("""COMPUTED_VALUE"""),"[]")</f>
        <v>[]</v>
      </c>
      <c r="X34" s="148" t="str">
        <f>IFERROR(__xludf.DUMMYFUNCTION("""COMPUTED_VALUE"""),"[{""typ"":""power"",""id"":12141002,""val"":20}]")</f>
        <v>[{"typ":"power","id":12141002,"val":20}]</v>
      </c>
      <c r="Y34" s="148" t="str">
        <f>IFERROR(__xludf.DUMMYFUNCTION("""COMPUTED_VALUE"""),"[{""typ"":""atk"",""val"":309},{""typ"":""def"",""val"":289},{""typ"":""hp"",""val"":250},{""typ"":""speed"",""val"":27},{""typ"":""load"",""val"":18},{""typ"":""backcoef"",""val"":0.5},{""typ"":""atkcoef"",""val"":1.0},{""typ"":""atkcd"",""val"":0}]")</f>
        <v>[{"typ":"atk","val":309},{"typ":"def","val":289},{"typ":"hp","val":250},{"typ":"speed","val":27},{"typ":"load","val":18},{"typ":"backcoef","val":0.5},{"typ":"atkcoef","val":1.0},{"typ":"atkcd","val":0}]</v>
      </c>
      <c r="Z34" s="148" t="str">
        <f>IFERROR(__xludf.DUMMYFUNCTION("""COMPUTED_VALUE"""),"[]")</f>
        <v>[]</v>
      </c>
    </row>
    <row r="35">
      <c r="A35" s="148">
        <f>IFERROR(__xludf.DUMMYFUNCTION("""COMPUTED_VALUE"""),1.1211037E7)</f>
        <v>11211037</v>
      </c>
      <c r="B35" s="148" t="str">
        <f>IFERROR(__xludf.DUMMYFUNCTION("""COMPUTED_VALUE"""),"步兵-lv6-1-B")</f>
        <v>步兵-lv6-1-B</v>
      </c>
      <c r="C35" s="148">
        <f>IFERROR(__xludf.DUMMYFUNCTION("""COMPUTED_VALUE"""),1.1221001E7)</f>
        <v>11221001</v>
      </c>
      <c r="D35" s="148">
        <f>IFERROR(__xludf.DUMMYFUNCTION("""COMPUTED_VALUE"""),1.5117138E7)</f>
        <v>15117138</v>
      </c>
      <c r="E35" s="148" t="str">
        <f>IFERROR(__xludf.DUMMYFUNCTION("""COMPUTED_VALUE"""),"{""typ"":""lc"",""txt"":""LC_SOLDIER_hitter_name_6""}")</f>
        <v>{"typ":"lc","txt":"LC_SOLDIER_hitter_name_6"}</v>
      </c>
      <c r="F35" s="148" t="str">
        <f>IFERROR(__xludf.DUMMYFUNCTION("""COMPUTED_VALUE"""),"{""typ"":""lc"",""txt"":""LC_SOLDIER_hitter_desc_6""}")</f>
        <v>{"typ":"lc","txt":"LC_SOLDIER_hitter_desc_6"}</v>
      </c>
      <c r="G35" s="148">
        <f>IFERROR(__xludf.DUMMYFUNCTION("""COMPUTED_VALUE"""),25.0)</f>
        <v>25</v>
      </c>
      <c r="H35" s="148">
        <f>IFERROR(__xludf.DUMMYFUNCTION("""COMPUTED_VALUE"""),23.0)</f>
        <v>23</v>
      </c>
      <c r="I35" s="148">
        <f>IFERROR(__xludf.DUMMYFUNCTION("""COMPUTED_VALUE"""),10001.0)</f>
        <v>10001</v>
      </c>
      <c r="J35" s="148">
        <f>IFERROR(__xludf.DUMMYFUNCTION("""COMPUTED_VALUE"""),11.0)</f>
        <v>11</v>
      </c>
      <c r="K35" s="148">
        <f>IFERROR(__xludf.DUMMYFUNCTION("""COMPUTED_VALUE"""),6.0)</f>
        <v>6</v>
      </c>
      <c r="L35" s="148">
        <f>IFERROR(__xludf.DUMMYFUNCTION("""COMPUTED_VALUE"""),6.0)</f>
        <v>6</v>
      </c>
      <c r="M35" s="148">
        <f>IFERROR(__xludf.DUMMYFUNCTION("""COMPUTED_VALUE"""),360000.0)</f>
        <v>360000</v>
      </c>
      <c r="N35" s="148" t="str">
        <f>IFERROR(__xludf.DUMMYFUNCTION("""COMPUTED_VALUE"""),"[{""typ"":""rss"",""id"":11141001,""val"":1600},{""typ"":""rss"",""id"":11141003,""val"":1600},{""typ"":""rss"",""id"":11141041,""val"":80}]")</f>
        <v>[{"typ":"rss","id":11141001,"val":1600},{"typ":"rss","id":11141003,"val":1600},{"typ":"rss","id":11141041,"val":80}]</v>
      </c>
      <c r="O35" s="148" t="str">
        <f>IFERROR(__xludf.DUMMYFUNCTION("""COMPUTED_VALUE"""),"{""op"":""and"",""args"":[{""op"":""ge"",""typ"":""arms_group"",""id"":11672601,""val"":1}]}")</f>
        <v>{"op":"and","args":[{"op":"ge","typ":"arms_group","id":11672601,"val":1}]}</v>
      </c>
      <c r="P35" s="148">
        <f>IFERROR(__xludf.DUMMYFUNCTION("""COMPUTED_VALUE"""),12000.0)</f>
        <v>12000</v>
      </c>
      <c r="Q35" s="148" t="str">
        <f>IFERROR(__xludf.DUMMYFUNCTION("""COMPUTED_VALUE"""),"[{""typ"":""rss"",""id"":11141001,""val"":640},{""typ"":""rss"",""id"":11141003,""val"":640},{""typ"":""rss"",""id"":11141041,""val"":16}]")</f>
        <v>[{"typ":"rss","id":11141001,"val":640},{"typ":"rss","id":11141003,"val":640},{"typ":"rss","id":11141041,"val":16}]</v>
      </c>
      <c r="R35" s="148" t="str">
        <f>IFERROR(__xludf.DUMMYFUNCTION("""COMPUTED_VALUE"""),"{}")</f>
        <v>{}</v>
      </c>
      <c r="S35" s="148">
        <f>IFERROR(__xludf.DUMMYFUNCTION("""COMPUTED_VALUE"""),180000.0)</f>
        <v>180000</v>
      </c>
      <c r="T35" s="148" t="str">
        <f>IFERROR(__xludf.DUMMYFUNCTION("""COMPUTED_VALUE"""),"[{""typ"":""rss"",""id"":11141001,""val"":600},{""typ"":""rss"",""id"":11141003,""val"":600},{""typ"":""rss"",""id"":11141041,""val"":80}]")</f>
        <v>[{"typ":"rss","id":11141001,"val":600},{"typ":"rss","id":11141003,"val":600},{"typ":"rss","id":11141041,"val":80}]</v>
      </c>
      <c r="U35" s="148">
        <f>IFERROR(__xludf.DUMMYFUNCTION("""COMPUTED_VALUE"""),0.0)</f>
        <v>0</v>
      </c>
      <c r="V35" s="148" t="str">
        <f>IFERROR(__xludf.DUMMYFUNCTION("""COMPUTED_VALUE"""),"{""op"":""and"",""args"":[{""op"":""ge"",""typ"":""arms_group"",""id"":11672601,""val"":1}]}")</f>
        <v>{"op":"and","args":[{"op":"ge","typ":"arms_group","id":11672601,"val":1}]}</v>
      </c>
      <c r="W35" s="148" t="str">
        <f>IFERROR(__xludf.DUMMYFUNCTION("""COMPUTED_VALUE"""),"[]")</f>
        <v>[]</v>
      </c>
      <c r="X35" s="148" t="str">
        <f>IFERROR(__xludf.DUMMYFUNCTION("""COMPUTED_VALUE"""),"[{""typ"":""power"",""id"":12141002,""val"":20}]")</f>
        <v>[{"typ":"power","id":12141002,"val":20}]</v>
      </c>
      <c r="Y35" s="148" t="str">
        <f>IFERROR(__xludf.DUMMYFUNCTION("""COMPUTED_VALUE"""),"[{""typ"":""atk"",""val"":291},{""typ"":""def"",""val"":268},{""typ"":""hp"",""val"":241},{""typ"":""speed"",""val"":27},{""typ"":""load"",""val"":18},{""typ"":""backcoef"",""val"":0.5},{""typ"":""atkcoef"",""val"":1.0},{""typ"":""atkcd"",""val"":0}]")</f>
        <v>[{"typ":"atk","val":291},{"typ":"def","val":268},{"typ":"hp","val":241},{"typ":"speed","val":27},{"typ":"load","val":18},{"typ":"backcoef","val":0.5},{"typ":"atkcoef","val":1.0},{"typ":"atkcd","val":0}]</v>
      </c>
      <c r="Z35" s="148" t="str">
        <f>IFERROR(__xludf.DUMMYFUNCTION("""COMPUTED_VALUE"""),"[]")</f>
        <v>[]</v>
      </c>
    </row>
    <row r="36">
      <c r="A36" s="148">
        <f>IFERROR(__xludf.DUMMYFUNCTION("""COMPUTED_VALUE"""),1.1211038E7)</f>
        <v>11211038</v>
      </c>
      <c r="B36" s="148" t="str">
        <f>IFERROR(__xludf.DUMMYFUNCTION("""COMPUTED_VALUE"""),"步兵-lv6-2-B")</f>
        <v>步兵-lv6-2-B</v>
      </c>
      <c r="C36" s="148">
        <f>IFERROR(__xludf.DUMMYFUNCTION("""COMPUTED_VALUE"""),1.1221001E7)</f>
        <v>11221001</v>
      </c>
      <c r="D36" s="148">
        <f>IFERROR(__xludf.DUMMYFUNCTION("""COMPUTED_VALUE"""),1.5117138E7)</f>
        <v>15117138</v>
      </c>
      <c r="E36" s="148" t="str">
        <f>IFERROR(__xludf.DUMMYFUNCTION("""COMPUTED_VALUE"""),"{""typ"":""lc"",""txt"":""LC_SOLDIER_hitter_name_6""}")</f>
        <v>{"typ":"lc","txt":"LC_SOLDIER_hitter_name_6"}</v>
      </c>
      <c r="F36" s="148" t="str">
        <f>IFERROR(__xludf.DUMMYFUNCTION("""COMPUTED_VALUE"""),"{""typ"":""lc"",""txt"":""LC_SOLDIER_hitter_desc_6""}")</f>
        <v>{"typ":"lc","txt":"LC_SOLDIER_hitter_desc_6"}</v>
      </c>
      <c r="G36" s="148">
        <f>IFERROR(__xludf.DUMMYFUNCTION("""COMPUTED_VALUE"""),25.0)</f>
        <v>25</v>
      </c>
      <c r="H36" s="148">
        <f>IFERROR(__xludf.DUMMYFUNCTION("""COMPUTED_VALUE"""),23.0)</f>
        <v>23</v>
      </c>
      <c r="I36" s="148">
        <f>IFERROR(__xludf.DUMMYFUNCTION("""COMPUTED_VALUE"""),10001.0)</f>
        <v>10001</v>
      </c>
      <c r="J36" s="148">
        <f>IFERROR(__xludf.DUMMYFUNCTION("""COMPUTED_VALUE"""),11.0)</f>
        <v>11</v>
      </c>
      <c r="K36" s="148">
        <f>IFERROR(__xludf.DUMMYFUNCTION("""COMPUTED_VALUE"""),6.0)</f>
        <v>6</v>
      </c>
      <c r="L36" s="148">
        <f>IFERROR(__xludf.DUMMYFUNCTION("""COMPUTED_VALUE"""),6.0)</f>
        <v>6</v>
      </c>
      <c r="M36" s="148">
        <f>IFERROR(__xludf.DUMMYFUNCTION("""COMPUTED_VALUE"""),360000.0)</f>
        <v>360000</v>
      </c>
      <c r="N36" s="148" t="str">
        <f>IFERROR(__xludf.DUMMYFUNCTION("""COMPUTED_VALUE"""),"[{""typ"":""rss"",""id"":11141001,""val"":1600},{""typ"":""rss"",""id"":11141003,""val"":1600},{""typ"":""rss"",""id"":11141041,""val"":80}]")</f>
        <v>[{"typ":"rss","id":11141001,"val":1600},{"typ":"rss","id":11141003,"val":1600},{"typ":"rss","id":11141041,"val":80}]</v>
      </c>
      <c r="O36" s="148" t="str">
        <f>IFERROR(__xludf.DUMMYFUNCTION("""COMPUTED_VALUE"""),"{""op"":""and"",""args"":[{""op"":""ge"",""typ"":""arms_group"",""id"":11672602,""val"":1}]}")</f>
        <v>{"op":"and","args":[{"op":"ge","typ":"arms_group","id":11672602,"val":1}]}</v>
      </c>
      <c r="P36" s="148">
        <f>IFERROR(__xludf.DUMMYFUNCTION("""COMPUTED_VALUE"""),12000.0)</f>
        <v>12000</v>
      </c>
      <c r="Q36" s="148" t="str">
        <f>IFERROR(__xludf.DUMMYFUNCTION("""COMPUTED_VALUE"""),"[{""typ"":""rss"",""id"":11141001,""val"":640},{""typ"":""rss"",""id"":11141003,""val"":640},{""typ"":""rss"",""id"":11141041,""val"":16}]")</f>
        <v>[{"typ":"rss","id":11141001,"val":640},{"typ":"rss","id":11141003,"val":640},{"typ":"rss","id":11141041,"val":16}]</v>
      </c>
      <c r="R36" s="148" t="str">
        <f>IFERROR(__xludf.DUMMYFUNCTION("""COMPUTED_VALUE"""),"{}")</f>
        <v>{}</v>
      </c>
      <c r="S36" s="148">
        <f>IFERROR(__xludf.DUMMYFUNCTION("""COMPUTED_VALUE"""),180000.0)</f>
        <v>180000</v>
      </c>
      <c r="T36" s="148" t="str">
        <f>IFERROR(__xludf.DUMMYFUNCTION("""COMPUTED_VALUE"""),"[{""typ"":""rss"",""id"":11141001,""val"":600},{""typ"":""rss"",""id"":11141003,""val"":600},{""typ"":""rss"",""id"":11141041,""val"":80}]")</f>
        <v>[{"typ":"rss","id":11141001,"val":600},{"typ":"rss","id":11141003,"val":600},{"typ":"rss","id":11141041,"val":80}]</v>
      </c>
      <c r="U36" s="148">
        <f>IFERROR(__xludf.DUMMYFUNCTION("""COMPUTED_VALUE"""),0.0)</f>
        <v>0</v>
      </c>
      <c r="V36" s="148" t="str">
        <f>IFERROR(__xludf.DUMMYFUNCTION("""COMPUTED_VALUE"""),"{""op"":""and"",""args"":[{""op"":""ge"",""typ"":""arms_group"",""id"":11672602,""val"":1}]}")</f>
        <v>{"op":"and","args":[{"op":"ge","typ":"arms_group","id":11672602,"val":1}]}</v>
      </c>
      <c r="W36" s="148" t="str">
        <f>IFERROR(__xludf.DUMMYFUNCTION("""COMPUTED_VALUE"""),"[]")</f>
        <v>[]</v>
      </c>
      <c r="X36" s="148" t="str">
        <f>IFERROR(__xludf.DUMMYFUNCTION("""COMPUTED_VALUE"""),"[{""typ"":""power"",""id"":12141002,""val"":20}]")</f>
        <v>[{"typ":"power","id":12141002,"val":20}]</v>
      </c>
      <c r="Y36" s="148" t="str">
        <f>IFERROR(__xludf.DUMMYFUNCTION("""COMPUTED_VALUE"""),"[{""typ"":""atk"",""val"":298},{""typ"":""def"",""val"":272},{""typ"":""hp"",""val"":243},{""typ"":""speed"",""val"":27},{""typ"":""load"",""val"":18},{""typ"":""backcoef"",""val"":0.5},{""typ"":""atkcoef"",""val"":1.0},{""typ"":""atkcd"",""val"":0}]")</f>
        <v>[{"typ":"atk","val":298},{"typ":"def","val":272},{"typ":"hp","val":243},{"typ":"speed","val":27},{"typ":"load","val":18},{"typ":"backcoef","val":0.5},{"typ":"atkcoef","val":1.0},{"typ":"atkcd","val":0}]</v>
      </c>
      <c r="Z36" s="148" t="str">
        <f>IFERROR(__xludf.DUMMYFUNCTION("""COMPUTED_VALUE"""),"[]")</f>
        <v>[]</v>
      </c>
    </row>
    <row r="37">
      <c r="A37" s="148">
        <f>IFERROR(__xludf.DUMMYFUNCTION("""COMPUTED_VALUE"""),1.1211039E7)</f>
        <v>11211039</v>
      </c>
      <c r="B37" s="148" t="str">
        <f>IFERROR(__xludf.DUMMYFUNCTION("""COMPUTED_VALUE"""),"步兵-lv6-3-B")</f>
        <v>步兵-lv6-3-B</v>
      </c>
      <c r="C37" s="148">
        <f>IFERROR(__xludf.DUMMYFUNCTION("""COMPUTED_VALUE"""),1.1221001E7)</f>
        <v>11221001</v>
      </c>
      <c r="D37" s="148">
        <f>IFERROR(__xludf.DUMMYFUNCTION("""COMPUTED_VALUE"""),1.5117138E7)</f>
        <v>15117138</v>
      </c>
      <c r="E37" s="148" t="str">
        <f>IFERROR(__xludf.DUMMYFUNCTION("""COMPUTED_VALUE"""),"{""typ"":""lc"",""txt"":""LC_SOLDIER_hitter_name_6""}")</f>
        <v>{"typ":"lc","txt":"LC_SOLDIER_hitter_name_6"}</v>
      </c>
      <c r="F37" s="148" t="str">
        <f>IFERROR(__xludf.DUMMYFUNCTION("""COMPUTED_VALUE"""),"{""typ"":""lc"",""txt"":""LC_SOLDIER_hitter_desc_6""}")</f>
        <v>{"typ":"lc","txt":"LC_SOLDIER_hitter_desc_6"}</v>
      </c>
      <c r="G37" s="148">
        <f>IFERROR(__xludf.DUMMYFUNCTION("""COMPUTED_VALUE"""),25.0)</f>
        <v>25</v>
      </c>
      <c r="H37" s="148">
        <f>IFERROR(__xludf.DUMMYFUNCTION("""COMPUTED_VALUE"""),23.0)</f>
        <v>23</v>
      </c>
      <c r="I37" s="148">
        <f>IFERROR(__xludf.DUMMYFUNCTION("""COMPUTED_VALUE"""),10001.0)</f>
        <v>10001</v>
      </c>
      <c r="J37" s="148">
        <f>IFERROR(__xludf.DUMMYFUNCTION("""COMPUTED_VALUE"""),11.0)</f>
        <v>11</v>
      </c>
      <c r="K37" s="148">
        <f>IFERROR(__xludf.DUMMYFUNCTION("""COMPUTED_VALUE"""),6.0)</f>
        <v>6</v>
      </c>
      <c r="L37" s="148">
        <f>IFERROR(__xludf.DUMMYFUNCTION("""COMPUTED_VALUE"""),6.0)</f>
        <v>6</v>
      </c>
      <c r="M37" s="148">
        <f>IFERROR(__xludf.DUMMYFUNCTION("""COMPUTED_VALUE"""),360000.0)</f>
        <v>360000</v>
      </c>
      <c r="N37" s="148" t="str">
        <f>IFERROR(__xludf.DUMMYFUNCTION("""COMPUTED_VALUE"""),"[{""typ"":""rss"",""id"":11141001,""val"":1600},{""typ"":""rss"",""id"":11141003,""val"":1600},{""typ"":""rss"",""id"":11141041,""val"":80}]")</f>
        <v>[{"typ":"rss","id":11141001,"val":1600},{"typ":"rss","id":11141003,"val":1600},{"typ":"rss","id":11141041,"val":80}]</v>
      </c>
      <c r="O37" s="148" t="str">
        <f>IFERROR(__xludf.DUMMYFUNCTION("""COMPUTED_VALUE"""),"{""op"":""and"",""args"":[{""op"":""ge"",""typ"":""arms_group"",""id"":11672603,""val"":1}]}")</f>
        <v>{"op":"and","args":[{"op":"ge","typ":"arms_group","id":11672603,"val":1}]}</v>
      </c>
      <c r="P37" s="148">
        <f>IFERROR(__xludf.DUMMYFUNCTION("""COMPUTED_VALUE"""),12000.0)</f>
        <v>12000</v>
      </c>
      <c r="Q37" s="148" t="str">
        <f>IFERROR(__xludf.DUMMYFUNCTION("""COMPUTED_VALUE"""),"[{""typ"":""rss"",""id"":11141001,""val"":640},{""typ"":""rss"",""id"":11141003,""val"":640},{""typ"":""rss"",""id"":11141041,""val"":16}]")</f>
        <v>[{"typ":"rss","id":11141001,"val":640},{"typ":"rss","id":11141003,"val":640},{"typ":"rss","id":11141041,"val":16}]</v>
      </c>
      <c r="R37" s="148" t="str">
        <f>IFERROR(__xludf.DUMMYFUNCTION("""COMPUTED_VALUE"""),"{}")</f>
        <v>{}</v>
      </c>
      <c r="S37" s="148">
        <f>IFERROR(__xludf.DUMMYFUNCTION("""COMPUTED_VALUE"""),180000.0)</f>
        <v>180000</v>
      </c>
      <c r="T37" s="148" t="str">
        <f>IFERROR(__xludf.DUMMYFUNCTION("""COMPUTED_VALUE"""),"[{""typ"":""rss"",""id"":11141001,""val"":600},{""typ"":""rss"",""id"":11141003,""val"":600},{""typ"":""rss"",""id"":11141041,""val"":80}]")</f>
        <v>[{"typ":"rss","id":11141001,"val":600},{"typ":"rss","id":11141003,"val":600},{"typ":"rss","id":11141041,"val":80}]</v>
      </c>
      <c r="U37" s="148">
        <f>IFERROR(__xludf.DUMMYFUNCTION("""COMPUTED_VALUE"""),0.0)</f>
        <v>0</v>
      </c>
      <c r="V37" s="148" t="str">
        <f>IFERROR(__xludf.DUMMYFUNCTION("""COMPUTED_VALUE"""),"{""op"":""and"",""args"":[{""op"":""ge"",""typ"":""arms_group"",""id"":11672603,""val"":1}]}")</f>
        <v>{"op":"and","args":[{"op":"ge","typ":"arms_group","id":11672603,"val":1}]}</v>
      </c>
      <c r="W37" s="148" t="str">
        <f>IFERROR(__xludf.DUMMYFUNCTION("""COMPUTED_VALUE"""),"[]")</f>
        <v>[]</v>
      </c>
      <c r="X37" s="148" t="str">
        <f>IFERROR(__xludf.DUMMYFUNCTION("""COMPUTED_VALUE"""),"[{""typ"":""power"",""id"":12141002,""val"":20}]")</f>
        <v>[{"typ":"power","id":12141002,"val":20}]</v>
      </c>
      <c r="Y37" s="148" t="str">
        <f>IFERROR(__xludf.DUMMYFUNCTION("""COMPUTED_VALUE"""),"[{""typ"":""atk"",""val"":307},{""typ"":""def"",""val"":276},{""typ"":""hp"",""val"":245},{""typ"":""speed"",""val"":27},{""typ"":""load"",""val"":18},{""typ"":""backcoef"",""val"":0.5},{""typ"":""atkcoef"",""val"":1.0},{""typ"":""atkcd"",""val"":0}]")</f>
        <v>[{"typ":"atk","val":307},{"typ":"def","val":276},{"typ":"hp","val":245},{"typ":"speed","val":27},{"typ":"load","val":18},{"typ":"backcoef","val":0.5},{"typ":"atkcoef","val":1.0},{"typ":"atkcd","val":0}]</v>
      </c>
      <c r="Z37" s="148" t="str">
        <f>IFERROR(__xludf.DUMMYFUNCTION("""COMPUTED_VALUE"""),"[]")</f>
        <v>[]</v>
      </c>
    </row>
    <row r="38">
      <c r="A38" s="148">
        <f>IFERROR(__xludf.DUMMYFUNCTION("""COMPUTED_VALUE"""),1.121104E7)</f>
        <v>11211040</v>
      </c>
      <c r="B38" s="148" t="str">
        <f>IFERROR(__xludf.DUMMYFUNCTION("""COMPUTED_VALUE"""),"步兵-lv6-4-B")</f>
        <v>步兵-lv6-4-B</v>
      </c>
      <c r="C38" s="148">
        <f>IFERROR(__xludf.DUMMYFUNCTION("""COMPUTED_VALUE"""),1.1221001E7)</f>
        <v>11221001</v>
      </c>
      <c r="D38" s="148">
        <f>IFERROR(__xludf.DUMMYFUNCTION("""COMPUTED_VALUE"""),1.5117138E7)</f>
        <v>15117138</v>
      </c>
      <c r="E38" s="148" t="str">
        <f>IFERROR(__xludf.DUMMYFUNCTION("""COMPUTED_VALUE"""),"{""typ"":""lc"",""txt"":""LC_SOLDIER_hitter_name_6""}")</f>
        <v>{"typ":"lc","txt":"LC_SOLDIER_hitter_name_6"}</v>
      </c>
      <c r="F38" s="148" t="str">
        <f>IFERROR(__xludf.DUMMYFUNCTION("""COMPUTED_VALUE"""),"{""typ"":""lc"",""txt"":""LC_SOLDIER_hitter_desc_6""}")</f>
        <v>{"typ":"lc","txt":"LC_SOLDIER_hitter_desc_6"}</v>
      </c>
      <c r="G38" s="148">
        <f>IFERROR(__xludf.DUMMYFUNCTION("""COMPUTED_VALUE"""),25.0)</f>
        <v>25</v>
      </c>
      <c r="H38" s="148">
        <f>IFERROR(__xludf.DUMMYFUNCTION("""COMPUTED_VALUE"""),23.0)</f>
        <v>23</v>
      </c>
      <c r="I38" s="148">
        <f>IFERROR(__xludf.DUMMYFUNCTION("""COMPUTED_VALUE"""),10001.0)</f>
        <v>10001</v>
      </c>
      <c r="J38" s="148">
        <f>IFERROR(__xludf.DUMMYFUNCTION("""COMPUTED_VALUE"""),11.0)</f>
        <v>11</v>
      </c>
      <c r="K38" s="148">
        <f>IFERROR(__xludf.DUMMYFUNCTION("""COMPUTED_VALUE"""),6.0)</f>
        <v>6</v>
      </c>
      <c r="L38" s="148">
        <f>IFERROR(__xludf.DUMMYFUNCTION("""COMPUTED_VALUE"""),6.0)</f>
        <v>6</v>
      </c>
      <c r="M38" s="148">
        <f>IFERROR(__xludf.DUMMYFUNCTION("""COMPUTED_VALUE"""),360000.0)</f>
        <v>360000</v>
      </c>
      <c r="N38" s="148" t="str">
        <f>IFERROR(__xludf.DUMMYFUNCTION("""COMPUTED_VALUE"""),"[{""typ"":""rss"",""id"":11141001,""val"":1600},{""typ"":""rss"",""id"":11141003,""val"":1600},{""typ"":""rss"",""id"":11141041,""val"":80}]")</f>
        <v>[{"typ":"rss","id":11141001,"val":1600},{"typ":"rss","id":11141003,"val":1600},{"typ":"rss","id":11141041,"val":80}]</v>
      </c>
      <c r="O38" s="148" t="str">
        <f>IFERROR(__xludf.DUMMYFUNCTION("""COMPUTED_VALUE"""),"{""op"":""and"",""args"":[{""op"":""ge"",""typ"":""arms_group"",""id"":11672604,""val"":1}]}")</f>
        <v>{"op":"and","args":[{"op":"ge","typ":"arms_group","id":11672604,"val":1}]}</v>
      </c>
      <c r="P38" s="148">
        <f>IFERROR(__xludf.DUMMYFUNCTION("""COMPUTED_VALUE"""),12000.0)</f>
        <v>12000</v>
      </c>
      <c r="Q38" s="148" t="str">
        <f>IFERROR(__xludf.DUMMYFUNCTION("""COMPUTED_VALUE"""),"[{""typ"":""rss"",""id"":11141001,""val"":640},{""typ"":""rss"",""id"":11141003,""val"":640},{""typ"":""rss"",""id"":11141041,""val"":16}]")</f>
        <v>[{"typ":"rss","id":11141001,"val":640},{"typ":"rss","id":11141003,"val":640},{"typ":"rss","id":11141041,"val":16}]</v>
      </c>
      <c r="R38" s="148" t="str">
        <f>IFERROR(__xludf.DUMMYFUNCTION("""COMPUTED_VALUE"""),"{}")</f>
        <v>{}</v>
      </c>
      <c r="S38" s="148">
        <f>IFERROR(__xludf.DUMMYFUNCTION("""COMPUTED_VALUE"""),180000.0)</f>
        <v>180000</v>
      </c>
      <c r="T38" s="148" t="str">
        <f>IFERROR(__xludf.DUMMYFUNCTION("""COMPUTED_VALUE"""),"[{""typ"":""rss"",""id"":11141001,""val"":600},{""typ"":""rss"",""id"":11141003,""val"":600},{""typ"":""rss"",""id"":11141041,""val"":80}]")</f>
        <v>[{"typ":"rss","id":11141001,"val":600},{"typ":"rss","id":11141003,"val":600},{"typ":"rss","id":11141041,"val":80}]</v>
      </c>
      <c r="U38" s="148">
        <f>IFERROR(__xludf.DUMMYFUNCTION("""COMPUTED_VALUE"""),0.0)</f>
        <v>0</v>
      </c>
      <c r="V38" s="148" t="str">
        <f>IFERROR(__xludf.DUMMYFUNCTION("""COMPUTED_VALUE"""),"{""op"":""and"",""args"":[{""op"":""ge"",""typ"":""arms_group"",""id"":11672604,""val"":1}]}")</f>
        <v>{"op":"and","args":[{"op":"ge","typ":"arms_group","id":11672604,"val":1}]}</v>
      </c>
      <c r="W38" s="148" t="str">
        <f>IFERROR(__xludf.DUMMYFUNCTION("""COMPUTED_VALUE"""),"[]")</f>
        <v>[]</v>
      </c>
      <c r="X38" s="148" t="str">
        <f>IFERROR(__xludf.DUMMYFUNCTION("""COMPUTED_VALUE"""),"[{""typ"":""power"",""id"":12141002,""val"":20}]")</f>
        <v>[{"typ":"power","id":12141002,"val":20}]</v>
      </c>
      <c r="Y38" s="148" t="str">
        <f>IFERROR(__xludf.DUMMYFUNCTION("""COMPUTED_VALUE"""),"[{""typ"":""atk"",""val"":318},{""typ"":""def"",""val"":281},{""typ"":""hp"",""val"":247},{""typ"":""speed"",""val"":27},{""typ"":""load"",""val"":18},{""typ"":""backcoef"",""val"":0.5},{""typ"":""atkcoef"",""val"":1.0},{""typ"":""atkcd"",""val"":0}]")</f>
        <v>[{"typ":"atk","val":318},{"typ":"def","val":281},{"typ":"hp","val":247},{"typ":"speed","val":27},{"typ":"load","val":18},{"typ":"backcoef","val":0.5},{"typ":"atkcoef","val":1.0},{"typ":"atkcd","val":0}]</v>
      </c>
      <c r="Z38" s="148" t="str">
        <f>IFERROR(__xludf.DUMMYFUNCTION("""COMPUTED_VALUE"""),"[]")</f>
        <v>[]</v>
      </c>
    </row>
    <row r="39">
      <c r="A39" s="148">
        <f>IFERROR(__xludf.DUMMYFUNCTION("""COMPUTED_VALUE"""),1.1211041E7)</f>
        <v>11211041</v>
      </c>
      <c r="B39" s="148" t="str">
        <f>IFERROR(__xludf.DUMMYFUNCTION("""COMPUTED_VALUE"""),"步兵-lv6-5-B")</f>
        <v>步兵-lv6-5-B</v>
      </c>
      <c r="C39" s="148">
        <f>IFERROR(__xludf.DUMMYFUNCTION("""COMPUTED_VALUE"""),1.1221001E7)</f>
        <v>11221001</v>
      </c>
      <c r="D39" s="148">
        <f>IFERROR(__xludf.DUMMYFUNCTION("""COMPUTED_VALUE"""),1.5117138E7)</f>
        <v>15117138</v>
      </c>
      <c r="E39" s="148" t="str">
        <f>IFERROR(__xludf.DUMMYFUNCTION("""COMPUTED_VALUE"""),"{""typ"":""lc"",""txt"":""LC_SOLDIER_hitter_name_6""}")</f>
        <v>{"typ":"lc","txt":"LC_SOLDIER_hitter_name_6"}</v>
      </c>
      <c r="F39" s="148" t="str">
        <f>IFERROR(__xludf.DUMMYFUNCTION("""COMPUTED_VALUE"""),"{""typ"":""lc"",""txt"":""LC_SOLDIER_hitter_desc_6""}")</f>
        <v>{"typ":"lc","txt":"LC_SOLDIER_hitter_desc_6"}</v>
      </c>
      <c r="G39" s="148">
        <f>IFERROR(__xludf.DUMMYFUNCTION("""COMPUTED_VALUE"""),25.0)</f>
        <v>25</v>
      </c>
      <c r="H39" s="148">
        <f>IFERROR(__xludf.DUMMYFUNCTION("""COMPUTED_VALUE"""),23.0)</f>
        <v>23</v>
      </c>
      <c r="I39" s="148">
        <f>IFERROR(__xludf.DUMMYFUNCTION("""COMPUTED_VALUE"""),10001.0)</f>
        <v>10001</v>
      </c>
      <c r="J39" s="148">
        <f>IFERROR(__xludf.DUMMYFUNCTION("""COMPUTED_VALUE"""),11.0)</f>
        <v>11</v>
      </c>
      <c r="K39" s="148">
        <f>IFERROR(__xludf.DUMMYFUNCTION("""COMPUTED_VALUE"""),6.0)</f>
        <v>6</v>
      </c>
      <c r="L39" s="148">
        <f>IFERROR(__xludf.DUMMYFUNCTION("""COMPUTED_VALUE"""),6.0)</f>
        <v>6</v>
      </c>
      <c r="M39" s="148">
        <f>IFERROR(__xludf.DUMMYFUNCTION("""COMPUTED_VALUE"""),360000.0)</f>
        <v>360000</v>
      </c>
      <c r="N39" s="148" t="str">
        <f>IFERROR(__xludf.DUMMYFUNCTION("""COMPUTED_VALUE"""),"[{""typ"":""rss"",""id"":11141001,""val"":1600},{""typ"":""rss"",""id"":11141003,""val"":1600},{""typ"":""rss"",""id"":11141041,""val"":80}]")</f>
        <v>[{"typ":"rss","id":11141001,"val":1600},{"typ":"rss","id":11141003,"val":1600},{"typ":"rss","id":11141041,"val":80}]</v>
      </c>
      <c r="O39" s="148" t="str">
        <f>IFERROR(__xludf.DUMMYFUNCTION("""COMPUTED_VALUE"""),"{""op"":""and"",""args"":[{""op"":""ge"",""typ"":""arms_group"",""id"":11672605,""val"":1}]}")</f>
        <v>{"op":"and","args":[{"op":"ge","typ":"arms_group","id":11672605,"val":1}]}</v>
      </c>
      <c r="P39" s="148">
        <f>IFERROR(__xludf.DUMMYFUNCTION("""COMPUTED_VALUE"""),12000.0)</f>
        <v>12000</v>
      </c>
      <c r="Q39" s="148" t="str">
        <f>IFERROR(__xludf.DUMMYFUNCTION("""COMPUTED_VALUE"""),"[{""typ"":""rss"",""id"":11141001,""val"":640},{""typ"":""rss"",""id"":11141003,""val"":640},{""typ"":""rss"",""id"":11141041,""val"":16}]")</f>
        <v>[{"typ":"rss","id":11141001,"val":640},{"typ":"rss","id":11141003,"val":640},{"typ":"rss","id":11141041,"val":16}]</v>
      </c>
      <c r="R39" s="148" t="str">
        <f>IFERROR(__xludf.DUMMYFUNCTION("""COMPUTED_VALUE"""),"{}")</f>
        <v>{}</v>
      </c>
      <c r="S39" s="148">
        <f>IFERROR(__xludf.DUMMYFUNCTION("""COMPUTED_VALUE"""),180000.0)</f>
        <v>180000</v>
      </c>
      <c r="T39" s="148" t="str">
        <f>IFERROR(__xludf.DUMMYFUNCTION("""COMPUTED_VALUE"""),"[{""typ"":""rss"",""id"":11141001,""val"":600},{""typ"":""rss"",""id"":11141003,""val"":600},{""typ"":""rss"",""id"":11141041,""val"":80}]")</f>
        <v>[{"typ":"rss","id":11141001,"val":600},{"typ":"rss","id":11141003,"val":600},{"typ":"rss","id":11141041,"val":80}]</v>
      </c>
      <c r="U39" s="148">
        <f>IFERROR(__xludf.DUMMYFUNCTION("""COMPUTED_VALUE"""),0.0)</f>
        <v>0</v>
      </c>
      <c r="V39" s="148" t="str">
        <f>IFERROR(__xludf.DUMMYFUNCTION("""COMPUTED_VALUE"""),"{""op"":""and"",""args"":[{""op"":""ge"",""typ"":""arms_group"",""id"":11672605,""val"":1}]}")</f>
        <v>{"op":"and","args":[{"op":"ge","typ":"arms_group","id":11672605,"val":1}]}</v>
      </c>
      <c r="W39" s="148" t="str">
        <f>IFERROR(__xludf.DUMMYFUNCTION("""COMPUTED_VALUE"""),"[]")</f>
        <v>[]</v>
      </c>
      <c r="X39" s="148" t="str">
        <f>IFERROR(__xludf.DUMMYFUNCTION("""COMPUTED_VALUE"""),"[{""typ"":""power"",""id"":12141002,""val"":20}]")</f>
        <v>[{"typ":"power","id":12141002,"val":20}]</v>
      </c>
      <c r="Y39" s="148" t="str">
        <f>IFERROR(__xludf.DUMMYFUNCTION("""COMPUTED_VALUE"""),"[{""typ"":""atk"",""val"":331},{""typ"":""def"",""val"":287},{""typ"":""hp"",""val"":250},{""typ"":""speed"",""val"":27},{""typ"":""load"",""val"":18},{""typ"":""backcoef"",""val"":0.5},{""typ"":""atkcoef"",""val"":1.0},{""typ"":""atkcd"",""val"":0}]")</f>
        <v>[{"typ":"atk","val":331},{"typ":"def","val":287},{"typ":"hp","val":250},{"typ":"speed","val":27},{"typ":"load","val":18},{"typ":"backcoef","val":0.5},{"typ":"atkcoef","val":1.0},{"typ":"atkcd","val":0}]</v>
      </c>
      <c r="Z39" s="148" t="str">
        <f>IFERROR(__xludf.DUMMYFUNCTION("""COMPUTED_VALUE"""),"[]")</f>
        <v>[]</v>
      </c>
    </row>
    <row r="40">
      <c r="A40" s="148">
        <f>IFERROR(__xludf.DUMMYFUNCTION("""COMPUTED_VALUE"""),1.1211042E7)</f>
        <v>11211042</v>
      </c>
      <c r="B40" s="148" t="str">
        <f>IFERROR(__xludf.DUMMYFUNCTION("""COMPUTED_VALUE"""),"步兵-lv6-6-B")</f>
        <v>步兵-lv6-6-B</v>
      </c>
      <c r="C40" s="148">
        <f>IFERROR(__xludf.DUMMYFUNCTION("""COMPUTED_VALUE"""),1.1221001E7)</f>
        <v>11221001</v>
      </c>
      <c r="D40" s="148">
        <f>IFERROR(__xludf.DUMMYFUNCTION("""COMPUTED_VALUE"""),1.5117138E7)</f>
        <v>15117138</v>
      </c>
      <c r="E40" s="148" t="str">
        <f>IFERROR(__xludf.DUMMYFUNCTION("""COMPUTED_VALUE"""),"{""typ"":""lc"",""txt"":""LC_SOLDIER_hitter_name_6""}")</f>
        <v>{"typ":"lc","txt":"LC_SOLDIER_hitter_name_6"}</v>
      </c>
      <c r="F40" s="148" t="str">
        <f>IFERROR(__xludf.DUMMYFUNCTION("""COMPUTED_VALUE"""),"{""typ"":""lc"",""txt"":""LC_SOLDIER_hitter_desc_6""}")</f>
        <v>{"typ":"lc","txt":"LC_SOLDIER_hitter_desc_6"}</v>
      </c>
      <c r="G40" s="148">
        <f>IFERROR(__xludf.DUMMYFUNCTION("""COMPUTED_VALUE"""),25.0)</f>
        <v>25</v>
      </c>
      <c r="H40" s="148">
        <f>IFERROR(__xludf.DUMMYFUNCTION("""COMPUTED_VALUE"""),23.0)</f>
        <v>23</v>
      </c>
      <c r="I40" s="148">
        <f>IFERROR(__xludf.DUMMYFUNCTION("""COMPUTED_VALUE"""),10001.0)</f>
        <v>10001</v>
      </c>
      <c r="J40" s="148">
        <f>IFERROR(__xludf.DUMMYFUNCTION("""COMPUTED_VALUE"""),11.0)</f>
        <v>11</v>
      </c>
      <c r="K40" s="148">
        <f>IFERROR(__xludf.DUMMYFUNCTION("""COMPUTED_VALUE"""),6.0)</f>
        <v>6</v>
      </c>
      <c r="L40" s="148">
        <f>IFERROR(__xludf.DUMMYFUNCTION("""COMPUTED_VALUE"""),6.0)</f>
        <v>6</v>
      </c>
      <c r="M40" s="148">
        <f>IFERROR(__xludf.DUMMYFUNCTION("""COMPUTED_VALUE"""),360000.0)</f>
        <v>360000</v>
      </c>
      <c r="N40" s="148" t="str">
        <f>IFERROR(__xludf.DUMMYFUNCTION("""COMPUTED_VALUE"""),"[{""typ"":""rss"",""id"":11141001,""val"":1600},{""typ"":""rss"",""id"":11141003,""val"":1600},{""typ"":""rss"",""id"":11141041,""val"":80}]")</f>
        <v>[{"typ":"rss","id":11141001,"val":1600},{"typ":"rss","id":11141003,"val":1600},{"typ":"rss","id":11141041,"val":80}]</v>
      </c>
      <c r="O40" s="148" t="str">
        <f>IFERROR(__xludf.DUMMYFUNCTION("""COMPUTED_VALUE"""),"{""op"":""and"",""args"":[{""op"":""ge"",""typ"":""arms_group"",""id"":11672606,""val"":1}]}")</f>
        <v>{"op":"and","args":[{"op":"ge","typ":"arms_group","id":11672606,"val":1}]}</v>
      </c>
      <c r="P40" s="148">
        <f>IFERROR(__xludf.DUMMYFUNCTION("""COMPUTED_VALUE"""),12000.0)</f>
        <v>12000</v>
      </c>
      <c r="Q40" s="148" t="str">
        <f>IFERROR(__xludf.DUMMYFUNCTION("""COMPUTED_VALUE"""),"[{""typ"":""rss"",""id"":11141001,""val"":640},{""typ"":""rss"",""id"":11141003,""val"":640},{""typ"":""rss"",""id"":11141041,""val"":16}]")</f>
        <v>[{"typ":"rss","id":11141001,"val":640},{"typ":"rss","id":11141003,"val":640},{"typ":"rss","id":11141041,"val":16}]</v>
      </c>
      <c r="R40" s="148" t="str">
        <f>IFERROR(__xludf.DUMMYFUNCTION("""COMPUTED_VALUE"""),"{}")</f>
        <v>{}</v>
      </c>
      <c r="S40" s="148">
        <f>IFERROR(__xludf.DUMMYFUNCTION("""COMPUTED_VALUE"""),180000.0)</f>
        <v>180000</v>
      </c>
      <c r="T40" s="148" t="str">
        <f>IFERROR(__xludf.DUMMYFUNCTION("""COMPUTED_VALUE"""),"[{""typ"":""rss"",""id"":11141001,""val"":600},{""typ"":""rss"",""id"":11141003,""val"":600},{""typ"":""rss"",""id"":11141041,""val"":80}]")</f>
        <v>[{"typ":"rss","id":11141001,"val":600},{"typ":"rss","id":11141003,"val":600},{"typ":"rss","id":11141041,"val":80}]</v>
      </c>
      <c r="U40" s="148">
        <f>IFERROR(__xludf.DUMMYFUNCTION("""COMPUTED_VALUE"""),0.0)</f>
        <v>0</v>
      </c>
      <c r="V40" s="148" t="str">
        <f>IFERROR(__xludf.DUMMYFUNCTION("""COMPUTED_VALUE"""),"{""op"":""and"",""args"":[{""op"":""ge"",""typ"":""arms_group"",""id"":11672606,""val"":1}]}")</f>
        <v>{"op":"and","args":[{"op":"ge","typ":"arms_group","id":11672606,"val":1}]}</v>
      </c>
      <c r="W40" s="148" t="str">
        <f>IFERROR(__xludf.DUMMYFUNCTION("""COMPUTED_VALUE"""),"[]")</f>
        <v>[]</v>
      </c>
      <c r="X40" s="148" t="str">
        <f>IFERROR(__xludf.DUMMYFUNCTION("""COMPUTED_VALUE"""),"[{""typ"":""power"",""id"":12141002,""val"":20}]")</f>
        <v>[{"typ":"power","id":12141002,"val":20}]</v>
      </c>
      <c r="Y40" s="148" t="str">
        <f>IFERROR(__xludf.DUMMYFUNCTION("""COMPUTED_VALUE"""),"[{""typ"":""atk"",""val"":347},{""typ"":""def"",""val"":295},{""typ"":""hp"",""val"":253},{""typ"":""speed"",""val"":27},{""typ"":""load"",""val"":18},{""typ"":""backcoef"",""val"":0.5},{""typ"":""atkcoef"",""val"":1.0},{""typ"":""atkcd"",""val"":0}]")</f>
        <v>[{"typ":"atk","val":347},{"typ":"def","val":295},{"typ":"hp","val":253},{"typ":"speed","val":27},{"typ":"load","val":18},{"typ":"backcoef","val":0.5},{"typ":"atkcoef","val":1.0},{"typ":"atkcd","val":0}]</v>
      </c>
      <c r="Z40" s="148" t="str">
        <f>IFERROR(__xludf.DUMMYFUNCTION("""COMPUTED_VALUE"""),"[]")</f>
        <v>[]</v>
      </c>
    </row>
    <row r="41">
      <c r="A41" s="148">
        <f>IFERROR(__xludf.DUMMYFUNCTION("""COMPUTED_VALUE"""),1.1211101E7)</f>
        <v>11211101</v>
      </c>
      <c r="B41" s="148" t="str">
        <f>IFERROR(__xludf.DUMMYFUNCTION("""COMPUTED_VALUE"""),"骑兵 lv1")</f>
        <v>骑兵 lv1</v>
      </c>
      <c r="C41" s="148">
        <f>IFERROR(__xludf.DUMMYFUNCTION("""COMPUTED_VALUE"""),1.1221002E7)</f>
        <v>11221002</v>
      </c>
      <c r="D41" s="148">
        <f>IFERROR(__xludf.DUMMYFUNCTION("""COMPUTED_VALUE"""),1.5110057E7)</f>
        <v>15110057</v>
      </c>
      <c r="E41" s="148" t="str">
        <f>IFERROR(__xludf.DUMMYFUNCTION("""COMPUTED_VALUE"""),"{""typ"":""lc"",""txt"":""LC_SOLDIER_pilot_name_1""}")</f>
        <v>{"typ":"lc","txt":"LC_SOLDIER_pilot_name_1"}</v>
      </c>
      <c r="F41" s="148" t="str">
        <f>IFERROR(__xludf.DUMMYFUNCTION("""COMPUTED_VALUE"""),"{""typ"":""lc"",""txt"":""LC_SOLDIER_pilot_desc_1""}")</f>
        <v>{"typ":"lc","txt":"LC_SOLDIER_pilot_desc_1"}</v>
      </c>
      <c r="G41" s="148">
        <f>IFERROR(__xludf.DUMMYFUNCTION("""COMPUTED_VALUE"""),1.0)</f>
        <v>1</v>
      </c>
      <c r="H41" s="148">
        <f>IFERROR(__xludf.DUMMYFUNCTION("""COMPUTED_VALUE"""),4.0)</f>
        <v>4</v>
      </c>
      <c r="I41" s="148">
        <f>IFERROR(__xludf.DUMMYFUNCTION("""COMPUTED_VALUE"""),10010.0)</f>
        <v>10010</v>
      </c>
      <c r="J41" s="148">
        <f>IFERROR(__xludf.DUMMYFUNCTION("""COMPUTED_VALUE"""),2.0)</f>
        <v>2</v>
      </c>
      <c r="K41" s="148">
        <f>IFERROR(__xludf.DUMMYFUNCTION("""COMPUTED_VALUE"""),1.0)</f>
        <v>1</v>
      </c>
      <c r="L41" s="148">
        <f>IFERROR(__xludf.DUMMYFUNCTION("""COMPUTED_VALUE"""),6.0)</f>
        <v>6</v>
      </c>
      <c r="M41" s="148">
        <f>IFERROR(__xludf.DUMMYFUNCTION("""COMPUTED_VALUE"""),13000.0)</f>
        <v>13000</v>
      </c>
      <c r="N41" s="148" t="str">
        <f>IFERROR(__xludf.DUMMYFUNCTION("""COMPUTED_VALUE"""),"[{""typ"":""rss"",""id"":11141001,""val"":40},{""typ"":""rss"",""id"":11141003,""val"":60}]")</f>
        <v>[{"typ":"rss","id":11141001,"val":40},{"typ":"rss","id":11141003,"val":60}]</v>
      </c>
      <c r="O41" s="148" t="str">
        <f>IFERROR(__xludf.DUMMYFUNCTION("""COMPUTED_VALUE"""),"{""op"":""and"",""args"":[{""op"":""ge"",""typ"":""building"",""id"":111817,""val"":1}]}")</f>
        <v>{"op":"and","args":[{"op":"ge","typ":"building","id":111817,"val":1}]}</v>
      </c>
      <c r="P41" s="148">
        <f>IFERROR(__xludf.DUMMYFUNCTION("""COMPUTED_VALUE"""),65.0)</f>
        <v>65</v>
      </c>
      <c r="Q41" s="148" t="str">
        <f>IFERROR(__xludf.DUMMYFUNCTION("""COMPUTED_VALUE"""),"[{""typ"":""rss"",""id"":11141001,""val"":16},{""typ"":""rss"",""id"":11141003,""val"":24}]")</f>
        <v>[{"typ":"rss","id":11141001,"val":16},{"typ":"rss","id":11141003,"val":24}]</v>
      </c>
      <c r="R41" s="148" t="str">
        <f>IFERROR(__xludf.DUMMYFUNCTION("""COMPUTED_VALUE"""),"{}")</f>
        <v>{}</v>
      </c>
      <c r="S41" s="148">
        <f>IFERROR(__xludf.DUMMYFUNCTION("""COMPUTED_VALUE"""),0.0)</f>
        <v>0</v>
      </c>
      <c r="T41" s="148" t="str">
        <f>IFERROR(__xludf.DUMMYFUNCTION("""COMPUTED_VALUE"""),"[]")</f>
        <v>[]</v>
      </c>
      <c r="U41" s="148">
        <f>IFERROR(__xludf.DUMMYFUNCTION("""COMPUTED_VALUE"""),0.0)</f>
        <v>0</v>
      </c>
      <c r="V41" s="148" t="str">
        <f>IFERROR(__xludf.DUMMYFUNCTION("""COMPUTED_VALUE"""),"{""op"":""and"",""args"":[{""op"":""ge"",""typ"":""building"",""id"":111817,""val"":1}]}")</f>
        <v>{"op":"and","args":[{"op":"ge","typ":"building","id":111817,"val":1}]}</v>
      </c>
      <c r="W41" s="148" t="str">
        <f>IFERROR(__xludf.DUMMYFUNCTION("""COMPUTED_VALUE"""),"[]")</f>
        <v>[]</v>
      </c>
      <c r="X41" s="148" t="str">
        <f>IFERROR(__xludf.DUMMYFUNCTION("""COMPUTED_VALUE"""),"[{""typ"":""power"",""id"":12141002,""val"":1}]")</f>
        <v>[{"typ":"power","id":12141002,"val":1}]</v>
      </c>
      <c r="Y41" s="148" t="str">
        <f>IFERROR(__xludf.DUMMYFUNCTION("""COMPUTED_VALUE"""),"[{""typ"":""atk"",""val"":60},{""typ"":""def"",""val"":125},{""typ"":""hp"",""val"":120},{""typ"":""speed"",""val"":47},{""typ"":""load"",""val"":5},{""typ"":""backcoef"",""val"":0.5},{""typ"":""atkcoef"",""val"":1.0},{""typ"":""atkcd"",""val"":0}]")</f>
        <v>[{"typ":"atk","val":60},{"typ":"def","val":125},{"typ":"hp","val":120},{"typ":"speed","val":47},{"typ":"load","val":5},{"typ":"backcoef","val":0.5},{"typ":"atkcoef","val":1.0},{"typ":"atkcd","val":0}]</v>
      </c>
      <c r="Z41" s="148" t="str">
        <f>IFERROR(__xludf.DUMMYFUNCTION("""COMPUTED_VALUE"""),"[]")</f>
        <v>[]</v>
      </c>
    </row>
    <row r="42">
      <c r="A42" s="148">
        <f>IFERROR(__xludf.DUMMYFUNCTION("""COMPUTED_VALUE"""),1.1211102E7)</f>
        <v>11211102</v>
      </c>
      <c r="B42" s="148" t="str">
        <f>IFERROR(__xludf.DUMMYFUNCTION("""COMPUTED_VALUE"""),"骑兵 lv2")</f>
        <v>骑兵 lv2</v>
      </c>
      <c r="C42" s="148">
        <f>IFERROR(__xludf.DUMMYFUNCTION("""COMPUTED_VALUE"""),1.1221002E7)</f>
        <v>11221002</v>
      </c>
      <c r="D42" s="148">
        <f>IFERROR(__xludf.DUMMYFUNCTION("""COMPUTED_VALUE"""),1.5110058E7)</f>
        <v>15110058</v>
      </c>
      <c r="E42" s="148" t="str">
        <f>IFERROR(__xludf.DUMMYFUNCTION("""COMPUTED_VALUE"""),"{""typ"":""lc"",""txt"":""LC_SOLDIER_pilot_name_2""}")</f>
        <v>{"typ":"lc","txt":"LC_SOLDIER_pilot_name_2"}</v>
      </c>
      <c r="F42" s="148" t="str">
        <f>IFERROR(__xludf.DUMMYFUNCTION("""COMPUTED_VALUE"""),"{""typ"":""lc"",""txt"":""LC_SOLDIER_pilot_desc_2""}")</f>
        <v>{"typ":"lc","txt":"LC_SOLDIER_pilot_desc_2"}</v>
      </c>
      <c r="G42" s="148">
        <f>IFERROR(__xludf.DUMMYFUNCTION("""COMPUTED_VALUE"""),2.0)</f>
        <v>2</v>
      </c>
      <c r="H42" s="148">
        <f>IFERROR(__xludf.DUMMYFUNCTION("""COMPUTED_VALUE"""),8.0)</f>
        <v>8</v>
      </c>
      <c r="I42" s="148">
        <f>IFERROR(__xludf.DUMMYFUNCTION("""COMPUTED_VALUE"""),10008.0)</f>
        <v>10008</v>
      </c>
      <c r="J42" s="148">
        <f>IFERROR(__xludf.DUMMYFUNCTION("""COMPUTED_VALUE"""),4.0)</f>
        <v>4</v>
      </c>
      <c r="K42" s="148">
        <f>IFERROR(__xludf.DUMMYFUNCTION("""COMPUTED_VALUE"""),2.0)</f>
        <v>2</v>
      </c>
      <c r="L42" s="148">
        <f>IFERROR(__xludf.DUMMYFUNCTION("""COMPUTED_VALUE"""),6.0)</f>
        <v>6</v>
      </c>
      <c r="M42" s="148">
        <f>IFERROR(__xludf.DUMMYFUNCTION("""COMPUTED_VALUE"""),30000.0)</f>
        <v>30000</v>
      </c>
      <c r="N42" s="148" t="str">
        <f>IFERROR(__xludf.DUMMYFUNCTION("""COMPUTED_VALUE"""),"[{""typ"":""rss"",""id"":11141001,""val"":80},{""typ"":""rss"",""id"":11141003,""val"":120}]")</f>
        <v>[{"typ":"rss","id":11141001,"val":80},{"typ":"rss","id":11141003,"val":120}]</v>
      </c>
      <c r="O42" s="148" t="str">
        <f>IFERROR(__xludf.DUMMYFUNCTION("""COMPUTED_VALUE"""),"{""op"":""and"",""args"":[{""op"":""ge"",""typ"":""research"",""id"":111935,""val"":1},{""op"":""ge"",""typ"":""building"",""id"":111817,""val"":1}]}")</f>
        <v>{"op":"and","args":[{"op":"ge","typ":"research","id":111935,"val":1},{"op":"ge","typ":"building","id":111817,"val":1}]}</v>
      </c>
      <c r="P42" s="148">
        <f>IFERROR(__xludf.DUMMYFUNCTION("""COMPUTED_VALUE"""),1000.0)</f>
        <v>1000</v>
      </c>
      <c r="Q42" s="148" t="str">
        <f>IFERROR(__xludf.DUMMYFUNCTION("""COMPUTED_VALUE"""),"[{""typ"":""rss"",""id"":11141001,""val"":32},{""typ"":""rss"",""id"":11141003,""val"":48}]")</f>
        <v>[{"typ":"rss","id":11141001,"val":32},{"typ":"rss","id":11141003,"val":48}]</v>
      </c>
      <c r="R42" s="148" t="str">
        <f>IFERROR(__xludf.DUMMYFUNCTION("""COMPUTED_VALUE"""),"{}")</f>
        <v>{}</v>
      </c>
      <c r="S42" s="148">
        <f>IFERROR(__xludf.DUMMYFUNCTION("""COMPUTED_VALUE"""),17000.0)</f>
        <v>17000</v>
      </c>
      <c r="T42" s="148" t="str">
        <f>IFERROR(__xludf.DUMMYFUNCTION("""COMPUTED_VALUE"""),"[{""typ"":""rss"",""id"":11141001,""val"":40},{""typ"":""rss"",""id"":11141003,""val"":60}]")</f>
        <v>[{"typ":"rss","id":11141001,"val":40},{"typ":"rss","id":11141003,"val":60}]</v>
      </c>
      <c r="U42" s="148">
        <f>IFERROR(__xludf.DUMMYFUNCTION("""COMPUTED_VALUE"""),0.0)</f>
        <v>0</v>
      </c>
      <c r="V42" s="148" t="str">
        <f>IFERROR(__xludf.DUMMYFUNCTION("""COMPUTED_VALUE"""),"{""op"":""and"",""args"":[{""op"":""ge"",""typ"":""research"",""id"":11193501,""val"":1},{""op"":""ge"",""typ"":""building"",""id"":111817,""val"":1}]}")</f>
        <v>{"op":"and","args":[{"op":"ge","typ":"research","id":11193501,"val":1},{"op":"ge","typ":"building","id":111817,"val":1}]}</v>
      </c>
      <c r="W42" s="148" t="str">
        <f>IFERROR(__xludf.DUMMYFUNCTION("""COMPUTED_VALUE"""),"[]")</f>
        <v>[]</v>
      </c>
      <c r="X42" s="148" t="str">
        <f>IFERROR(__xludf.DUMMYFUNCTION("""COMPUTED_VALUE"""),"[{""typ"":""power"",""id"":12141002,""val"":2}]")</f>
        <v>[{"typ":"power","id":12141002,"val":2}]</v>
      </c>
      <c r="Y42" s="148" t="str">
        <f>IFERROR(__xludf.DUMMYFUNCTION("""COMPUTED_VALUE"""),"[{""typ"":""atk"",""val"":116},{""typ"":""def"",""val"":127},{""typ"":""hp"",""val"":135},{""typ"":""speed"",""val"":45},{""typ"":""load"",""val"":7},{""typ"":""backcoef"",""val"":0.5},{""typ"":""atkcoef"",""val"":1.0},{""typ"":""atkcd"",""val"":0}]")</f>
        <v>[{"typ":"atk","val":116},{"typ":"def","val":127},{"typ":"hp","val":135},{"typ":"speed","val":45},{"typ":"load","val":7},{"typ":"backcoef","val":0.5},{"typ":"atkcoef","val":1.0},{"typ":"atkcd","val":0}]</v>
      </c>
      <c r="Z42" s="148" t="str">
        <f>IFERROR(__xludf.DUMMYFUNCTION("""COMPUTED_VALUE"""),"[]")</f>
        <v>[]</v>
      </c>
    </row>
    <row r="43">
      <c r="A43" s="148">
        <f>IFERROR(__xludf.DUMMYFUNCTION("""COMPUTED_VALUE"""),1.1211103E7)</f>
        <v>11211103</v>
      </c>
      <c r="B43" s="148" t="str">
        <f>IFERROR(__xludf.DUMMYFUNCTION("""COMPUTED_VALUE"""),"骑兵 lv3")</f>
        <v>骑兵 lv3</v>
      </c>
      <c r="C43" s="148">
        <f>IFERROR(__xludf.DUMMYFUNCTION("""COMPUTED_VALUE"""),1.1221002E7)</f>
        <v>11221002</v>
      </c>
      <c r="D43" s="148">
        <f>IFERROR(__xludf.DUMMYFUNCTION("""COMPUTED_VALUE"""),1.5110059E7)</f>
        <v>15110059</v>
      </c>
      <c r="E43" s="148" t="str">
        <f>IFERROR(__xludf.DUMMYFUNCTION("""COMPUTED_VALUE"""),"{""typ"":""lc"",""txt"":""LC_SOLDIER_pilot_name_3""}")</f>
        <v>{"typ":"lc","txt":"LC_SOLDIER_pilot_name_3"}</v>
      </c>
      <c r="F43" s="148" t="str">
        <f>IFERROR(__xludf.DUMMYFUNCTION("""COMPUTED_VALUE"""),"{""typ"":""lc"",""txt"":""LC_SOLDIER_pilot_desc_3""}")</f>
        <v>{"typ":"lc","txt":"LC_SOLDIER_pilot_desc_3"}</v>
      </c>
      <c r="G43" s="148">
        <f>IFERROR(__xludf.DUMMYFUNCTION("""COMPUTED_VALUE"""),4.0)</f>
        <v>4</v>
      </c>
      <c r="H43" s="148">
        <f>IFERROR(__xludf.DUMMYFUNCTION("""COMPUTED_VALUE"""),12.0)</f>
        <v>12</v>
      </c>
      <c r="I43" s="148">
        <f>IFERROR(__xludf.DUMMYFUNCTION("""COMPUTED_VALUE"""),10006.0)</f>
        <v>10006</v>
      </c>
      <c r="J43" s="148">
        <f>IFERROR(__xludf.DUMMYFUNCTION("""COMPUTED_VALUE"""),6.0)</f>
        <v>6</v>
      </c>
      <c r="K43" s="148">
        <f>IFERROR(__xludf.DUMMYFUNCTION("""COMPUTED_VALUE"""),3.0)</f>
        <v>3</v>
      </c>
      <c r="L43" s="148">
        <f>IFERROR(__xludf.DUMMYFUNCTION("""COMPUTED_VALUE"""),6.0)</f>
        <v>6</v>
      </c>
      <c r="M43" s="148">
        <f>IFERROR(__xludf.DUMMYFUNCTION("""COMPUTED_VALUE"""),60000.0)</f>
        <v>60000</v>
      </c>
      <c r="N43" s="148" t="str">
        <f>IFERROR(__xludf.DUMMYFUNCTION("""COMPUTED_VALUE"""),"[{""typ"":""rss"",""id"":11141001,""val"":160},{""typ"":""rss"",""id"":11141003,""val"":240}]")</f>
        <v>[{"typ":"rss","id":11141001,"val":160},{"typ":"rss","id":11141003,"val":240}]</v>
      </c>
      <c r="O43" s="148" t="str">
        <f>IFERROR(__xludf.DUMMYFUNCTION("""COMPUTED_VALUE"""),"{""op"":""and"",""args"":[{""op"":""ge"",""typ"":""research"",""id"":111945,""val"":1},{""op"":""ge"",""typ"":""building"",""id"":111817,""val"":1}]}")</f>
        <v>{"op":"and","args":[{"op":"ge","typ":"research","id":111945,"val":1},{"op":"ge","typ":"building","id":111817,"val":1}]}</v>
      </c>
      <c r="P43" s="148">
        <f>IFERROR(__xludf.DUMMYFUNCTION("""COMPUTED_VALUE"""),2000.0)</f>
        <v>2000</v>
      </c>
      <c r="Q43" s="148" t="str">
        <f>IFERROR(__xludf.DUMMYFUNCTION("""COMPUTED_VALUE"""),"[{""typ"":""rss"",""id"":11141001,""val"":64},{""typ"":""rss"",""id"":11141003,""val"":96}]")</f>
        <v>[{"typ":"rss","id":11141001,"val":64},{"typ":"rss","id":11141003,"val":96}]</v>
      </c>
      <c r="R43" s="148" t="str">
        <f>IFERROR(__xludf.DUMMYFUNCTION("""COMPUTED_VALUE"""),"{}")</f>
        <v>{}</v>
      </c>
      <c r="S43" s="148">
        <f>IFERROR(__xludf.DUMMYFUNCTION("""COMPUTED_VALUE"""),30000.0)</f>
        <v>30000</v>
      </c>
      <c r="T43" s="148" t="str">
        <f>IFERROR(__xludf.DUMMYFUNCTION("""COMPUTED_VALUE"""),"[{""typ"":""rss"",""id"":11141001,""val"":80},{""typ"":""rss"",""id"":11141003,""val"":120}]")</f>
        <v>[{"typ":"rss","id":11141001,"val":80},{"typ":"rss","id":11141003,"val":120}]</v>
      </c>
      <c r="U43" s="148">
        <f>IFERROR(__xludf.DUMMYFUNCTION("""COMPUTED_VALUE"""),0.0)</f>
        <v>0</v>
      </c>
      <c r="V43" s="148" t="str">
        <f>IFERROR(__xludf.DUMMYFUNCTION("""COMPUTED_VALUE"""),"{""op"":""and"",""args"":[{""op"":""ge"",""typ"":""research"",""id"":11194501,""val"":1},{""op"":""ge"",""typ"":""building"",""id"":111817,""val"":1}]}")</f>
        <v>{"op":"and","args":[{"op":"ge","typ":"research","id":11194501,"val":1},{"op":"ge","typ":"building","id":111817,"val":1}]}</v>
      </c>
      <c r="W43" s="148" t="str">
        <f>IFERROR(__xludf.DUMMYFUNCTION("""COMPUTED_VALUE"""),"[]")</f>
        <v>[]</v>
      </c>
      <c r="X43" s="148" t="str">
        <f>IFERROR(__xludf.DUMMYFUNCTION("""COMPUTED_VALUE"""),"[{""typ"":""power"",""id"":12141002,""val"":4}]")</f>
        <v>[{"typ":"power","id":12141002,"val":4}]</v>
      </c>
      <c r="Y43" s="148" t="str">
        <f>IFERROR(__xludf.DUMMYFUNCTION("""COMPUTED_VALUE"""),"[{""typ"":""atk"",""val"":158},{""typ"":""def"",""val"":154},{""typ"":""hp"",""val"":165},{""typ"":""speed"",""val"":42},{""typ"":""load"",""val"":8},{""typ"":""backcoef"",""val"":0.5},{""typ"":""atkcoef"",""val"":1.0},{""typ"":""atkcd"",""val"":0}]")</f>
        <v>[{"typ":"atk","val":158},{"typ":"def","val":154},{"typ":"hp","val":165},{"typ":"speed","val":42},{"typ":"load","val":8},{"typ":"backcoef","val":0.5},{"typ":"atkcoef","val":1.0},{"typ":"atkcd","val":0}]</v>
      </c>
      <c r="Z43" s="148" t="str">
        <f>IFERROR(__xludf.DUMMYFUNCTION("""COMPUTED_VALUE"""),"[]")</f>
        <v>[]</v>
      </c>
    </row>
    <row r="44">
      <c r="A44" s="148">
        <f>IFERROR(__xludf.DUMMYFUNCTION("""COMPUTED_VALUE"""),1.1211104E7)</f>
        <v>11211104</v>
      </c>
      <c r="B44" s="148" t="str">
        <f>IFERROR(__xludf.DUMMYFUNCTION("""COMPUTED_VALUE"""),"骑兵 lv4")</f>
        <v>骑兵 lv4</v>
      </c>
      <c r="C44" s="148">
        <f>IFERROR(__xludf.DUMMYFUNCTION("""COMPUTED_VALUE"""),1.1221002E7)</f>
        <v>11221002</v>
      </c>
      <c r="D44" s="148">
        <f>IFERROR(__xludf.DUMMYFUNCTION("""COMPUTED_VALUE"""),1.511006E7)</f>
        <v>15110060</v>
      </c>
      <c r="E44" s="148" t="str">
        <f>IFERROR(__xludf.DUMMYFUNCTION("""COMPUTED_VALUE"""),"{""typ"":""lc"",""txt"":""LC_SOLDIER_pilot_name_4""}")</f>
        <v>{"typ":"lc","txt":"LC_SOLDIER_pilot_name_4"}</v>
      </c>
      <c r="F44" s="148" t="str">
        <f>IFERROR(__xludf.DUMMYFUNCTION("""COMPUTED_VALUE"""),"{""typ"":""lc"",""txt"":""LC_SOLDIER_pilot_desc_4""}")</f>
        <v>{"typ":"lc","txt":"LC_SOLDIER_pilot_desc_4"}</v>
      </c>
      <c r="G44" s="148">
        <f>IFERROR(__xludf.DUMMYFUNCTION("""COMPUTED_VALUE"""),8.0)</f>
        <v>8</v>
      </c>
      <c r="H44" s="148">
        <f>IFERROR(__xludf.DUMMYFUNCTION("""COMPUTED_VALUE"""),16.0)</f>
        <v>16</v>
      </c>
      <c r="I44" s="148">
        <f>IFERROR(__xludf.DUMMYFUNCTION("""COMPUTED_VALUE"""),10004.0)</f>
        <v>10004</v>
      </c>
      <c r="J44" s="148">
        <f>IFERROR(__xludf.DUMMYFUNCTION("""COMPUTED_VALUE"""),8.0)</f>
        <v>8</v>
      </c>
      <c r="K44" s="148">
        <f>IFERROR(__xludf.DUMMYFUNCTION("""COMPUTED_VALUE"""),4.0)</f>
        <v>4</v>
      </c>
      <c r="L44" s="148">
        <f>IFERROR(__xludf.DUMMYFUNCTION("""COMPUTED_VALUE"""),6.0)</f>
        <v>6</v>
      </c>
      <c r="M44" s="148">
        <f>IFERROR(__xludf.DUMMYFUNCTION("""COMPUTED_VALUE"""),90000.0)</f>
        <v>90000</v>
      </c>
      <c r="N44" s="148" t="str">
        <f>IFERROR(__xludf.DUMMYFUNCTION("""COMPUTED_VALUE"""),"[{""typ"":""rss"",""id"":11141001,""val"":320},{""typ"":""rss"",""id"":11141003,""val"":480}]")</f>
        <v>[{"typ":"rss","id":11141001,"val":320},{"typ":"rss","id":11141003,"val":480}]</v>
      </c>
      <c r="O44" s="148" t="str">
        <f>IFERROR(__xludf.DUMMYFUNCTION("""COMPUTED_VALUE"""),"{""op"":""and"",""args"":[{""op"":""ge"",""typ"":""research"",""id"":111954,""val"":1},{""op"":""ge"",""typ"":""building"",""id"":111817,""val"":1}]}")</f>
        <v>{"op":"and","args":[{"op":"ge","typ":"research","id":111954,"val":1},{"op":"ge","typ":"building","id":111817,"val":1}]}</v>
      </c>
      <c r="P44" s="148">
        <f>IFERROR(__xludf.DUMMYFUNCTION("""COMPUTED_VALUE"""),3000.0)</f>
        <v>3000</v>
      </c>
      <c r="Q44" s="148" t="str">
        <f>IFERROR(__xludf.DUMMYFUNCTION("""COMPUTED_VALUE"""),"[{""typ"":""rss"",""id"":11141001,""val"":128},{""typ"":""rss"",""id"":11141003,""val"":192}]")</f>
        <v>[{"typ":"rss","id":11141001,"val":128},{"typ":"rss","id":11141003,"val":192}]</v>
      </c>
      <c r="R44" s="148" t="str">
        <f>IFERROR(__xludf.DUMMYFUNCTION("""COMPUTED_VALUE"""),"{}")</f>
        <v>{}</v>
      </c>
      <c r="S44" s="148">
        <f>IFERROR(__xludf.DUMMYFUNCTION("""COMPUTED_VALUE"""),30000.0)</f>
        <v>30000</v>
      </c>
      <c r="T44" s="148" t="str">
        <f>IFERROR(__xludf.DUMMYFUNCTION("""COMPUTED_VALUE"""),"[{""typ"":""rss"",""id"":11141001,""val"":160},{""typ"":""rss"",""id"":11141003,""val"":240}]")</f>
        <v>[{"typ":"rss","id":11141001,"val":160},{"typ":"rss","id":11141003,"val":240}]</v>
      </c>
      <c r="U44" s="148">
        <f>IFERROR(__xludf.DUMMYFUNCTION("""COMPUTED_VALUE"""),0.0)</f>
        <v>0</v>
      </c>
      <c r="V44" s="148" t="str">
        <f>IFERROR(__xludf.DUMMYFUNCTION("""COMPUTED_VALUE"""),"{""op"":""and"",""args"":[{""op"":""ge"",""typ"":""research"",""id"":11195401,""val"":1},{""op"":""ge"",""typ"":""building"",""id"":111817,""val"":1}]}")</f>
        <v>{"op":"and","args":[{"op":"ge","typ":"research","id":11195401,"val":1},{"op":"ge","typ":"building","id":111817,"val":1}]}</v>
      </c>
      <c r="W44" s="148" t="str">
        <f>IFERROR(__xludf.DUMMYFUNCTION("""COMPUTED_VALUE"""),"[]")</f>
        <v>[]</v>
      </c>
      <c r="X44" s="148" t="str">
        <f>IFERROR(__xludf.DUMMYFUNCTION("""COMPUTED_VALUE"""),"[{""typ"":""power"",""id"":12141002,""val"":6}]")</f>
        <v>[{"typ":"power","id":12141002,"val":6}]</v>
      </c>
      <c r="Y44" s="148" t="str">
        <f>IFERROR(__xludf.DUMMYFUNCTION("""COMPUTED_VALUE"""),"[{""typ"":""atk"",""val"":198},{""typ"":""def"",""val"":184},{""typ"":""hp"",""val"":185},{""typ"":""speed"",""val"":40},{""typ"":""load"",""val"":10},{""typ"":""backcoef"",""val"":0.5},{""typ"":""atkcoef"",""val"":1.0},{""typ"":""atkcd"",""val"":0}]")</f>
        <v>[{"typ":"atk","val":198},{"typ":"def","val":184},{"typ":"hp","val":185},{"typ":"speed","val":40},{"typ":"load","val":10},{"typ":"backcoef","val":0.5},{"typ":"atkcoef","val":1.0},{"typ":"atkcd","val":0}]</v>
      </c>
      <c r="Z44" s="148" t="str">
        <f>IFERROR(__xludf.DUMMYFUNCTION("""COMPUTED_VALUE"""),"[]")</f>
        <v>[]</v>
      </c>
    </row>
    <row r="45">
      <c r="A45" s="148">
        <f>IFERROR(__xludf.DUMMYFUNCTION("""COMPUTED_VALUE"""),1.1211105E7)</f>
        <v>11211105</v>
      </c>
      <c r="B45" s="148" t="str">
        <f>IFERROR(__xludf.DUMMYFUNCTION("""COMPUTED_VALUE"""),"骑兵 lv5")</f>
        <v>骑兵 lv5</v>
      </c>
      <c r="C45" s="148">
        <f>IFERROR(__xludf.DUMMYFUNCTION("""COMPUTED_VALUE"""),1.1221002E7)</f>
        <v>11221002</v>
      </c>
      <c r="D45" s="148">
        <f>IFERROR(__xludf.DUMMYFUNCTION("""COMPUTED_VALUE"""),1.5110061E7)</f>
        <v>15110061</v>
      </c>
      <c r="E45" s="148" t="str">
        <f>IFERROR(__xludf.DUMMYFUNCTION("""COMPUTED_VALUE"""),"{""typ"":""lc"",""txt"":""LC_SOLDIER_pilot_name_5""}")</f>
        <v>{"typ":"lc","txt":"LC_SOLDIER_pilot_name_5"}</v>
      </c>
      <c r="F45" s="148" t="str">
        <f>IFERROR(__xludf.DUMMYFUNCTION("""COMPUTED_VALUE"""),"{""typ"":""lc"",""txt"":""LC_SOLDIER_pilot_desc_5""}")</f>
        <v>{"typ":"lc","txt":"LC_SOLDIER_pilot_desc_5"}</v>
      </c>
      <c r="G45" s="148">
        <f>IFERROR(__xludf.DUMMYFUNCTION("""COMPUTED_VALUE"""),15.0)</f>
        <v>15</v>
      </c>
      <c r="H45" s="148">
        <f>IFERROR(__xludf.DUMMYFUNCTION("""COMPUTED_VALUE"""),20.0)</f>
        <v>20</v>
      </c>
      <c r="I45" s="148">
        <f>IFERROR(__xludf.DUMMYFUNCTION("""COMPUTED_VALUE"""),10002.0)</f>
        <v>10002</v>
      </c>
      <c r="J45" s="148">
        <f>IFERROR(__xludf.DUMMYFUNCTION("""COMPUTED_VALUE"""),10.0)</f>
        <v>10</v>
      </c>
      <c r="K45" s="148">
        <f>IFERROR(__xludf.DUMMYFUNCTION("""COMPUTED_VALUE"""),5.0)</f>
        <v>5</v>
      </c>
      <c r="L45" s="148">
        <f>IFERROR(__xludf.DUMMYFUNCTION("""COMPUTED_VALUE"""),6.0)</f>
        <v>6</v>
      </c>
      <c r="M45" s="148">
        <f>IFERROR(__xludf.DUMMYFUNCTION("""COMPUTED_VALUE"""),180000.0)</f>
        <v>180000</v>
      </c>
      <c r="N45" s="148" t="str">
        <f>IFERROR(__xludf.DUMMYFUNCTION("""COMPUTED_VALUE"""),"[{""typ"":""rss"",""id"":11141001,""val"":800},{""typ"":""rss"",""id"":11141003,""val"":1200}]")</f>
        <v>[{"typ":"rss","id":11141001,"val":800},{"typ":"rss","id":11141003,"val":1200}]</v>
      </c>
      <c r="O45" s="148" t="str">
        <f>IFERROR(__xludf.DUMMYFUNCTION("""COMPUTED_VALUE"""),"{""op"":""and"",""args"":[{""op"":""ge"",""typ"":""research"",""id"":111969,""val"":1},{""op"":""ge"",""typ"":""building"",""id"":111817,""val"":1}]}")</f>
        <v>{"op":"and","args":[{"op":"ge","typ":"research","id":111969,"val":1},{"op":"ge","typ":"building","id":111817,"val":1}]}</v>
      </c>
      <c r="P45" s="148">
        <f>IFERROR(__xludf.DUMMYFUNCTION("""COMPUTED_VALUE"""),6000.0)</f>
        <v>6000</v>
      </c>
      <c r="Q45" s="148" t="str">
        <f>IFERROR(__xludf.DUMMYFUNCTION("""COMPUTED_VALUE"""),"[{""typ"":""rss"",""id"":11141001,""val"":320},{""typ"":""rss"",""id"":11141003,""val"":480}]")</f>
        <v>[{"typ":"rss","id":11141001,"val":320},{"typ":"rss","id":11141003,"val":480}]</v>
      </c>
      <c r="R45" s="148" t="str">
        <f>IFERROR(__xludf.DUMMYFUNCTION("""COMPUTED_VALUE"""),"{}")</f>
        <v>{}</v>
      </c>
      <c r="S45" s="148">
        <f>IFERROR(__xludf.DUMMYFUNCTION("""COMPUTED_VALUE"""),90000.0)</f>
        <v>90000</v>
      </c>
      <c r="T45" s="148" t="str">
        <f>IFERROR(__xludf.DUMMYFUNCTION("""COMPUTED_VALUE"""),"[{""typ"":""rss"",""id"":11141001,""val"":480},{""typ"":""rss"",""id"":11141003,""val"":720}]")</f>
        <v>[{"typ":"rss","id":11141001,"val":480},{"typ":"rss","id":11141003,"val":720}]</v>
      </c>
      <c r="U45" s="148">
        <f>IFERROR(__xludf.DUMMYFUNCTION("""COMPUTED_VALUE"""),0.0)</f>
        <v>0</v>
      </c>
      <c r="V45" s="148" t="str">
        <f>IFERROR(__xludf.DUMMYFUNCTION("""COMPUTED_VALUE"""),"{""op"":""and"",""args"":[{""op"":""ge"",""typ"":""research"",""id"":11196901,""val"":1},{""op"":""ge"",""typ"":""building"",""id"":111817,""val"":1}]}")</f>
        <v>{"op":"and","args":[{"op":"ge","typ":"research","id":11196901,"val":1},{"op":"ge","typ":"building","id":111817,"val":1}]}</v>
      </c>
      <c r="W45" s="148" t="str">
        <f>IFERROR(__xludf.DUMMYFUNCTION("""COMPUTED_VALUE"""),"[]")</f>
        <v>[]</v>
      </c>
      <c r="X45" s="148" t="str">
        <f>IFERROR(__xludf.DUMMYFUNCTION("""COMPUTED_VALUE"""),"[{""typ"":""power"",""id"":12141002,""val"":10}]")</f>
        <v>[{"typ":"power","id":12141002,"val":10}]</v>
      </c>
      <c r="Y45" s="148" t="str">
        <f>IFERROR(__xludf.DUMMYFUNCTION("""COMPUTED_VALUE"""),"[{""typ"":""atk"",""val"":225},{""typ"":""def"",""val"":210},{""typ"":""hp"",""val"":215},{""typ"":""speed"",""val"":37},{""typ"":""load"",""val"":12},{""typ"":""backcoef"",""val"":0.5},{""typ"":""atkcoef"",""val"":1.0},{""typ"":""atkcd"",""val"":0}]")</f>
        <v>[{"typ":"atk","val":225},{"typ":"def","val":210},{"typ":"hp","val":215},{"typ":"speed","val":37},{"typ":"load","val":12},{"typ":"backcoef","val":0.5},{"typ":"atkcoef","val":1.0},{"typ":"atkcd","val":0}]</v>
      </c>
      <c r="Z45" s="148" t="str">
        <f>IFERROR(__xludf.DUMMYFUNCTION("""COMPUTED_VALUE"""),"[]")</f>
        <v>[]</v>
      </c>
    </row>
    <row r="46">
      <c r="A46" s="148">
        <f>IFERROR(__xludf.DUMMYFUNCTION("""COMPUTED_VALUE"""),1.1211106E7)</f>
        <v>11211106</v>
      </c>
      <c r="B46" s="148" t="str">
        <f>IFERROR(__xludf.DUMMYFUNCTION("""COMPUTED_VALUE"""),"骑兵 lv6")</f>
        <v>骑兵 lv6</v>
      </c>
      <c r="C46" s="148">
        <f>IFERROR(__xludf.DUMMYFUNCTION("""COMPUTED_VALUE"""),1.1221002E7)</f>
        <v>11221002</v>
      </c>
      <c r="D46" s="148">
        <f>IFERROR(__xludf.DUMMYFUNCTION("""COMPUTED_VALUE"""),1.5117137E7)</f>
        <v>15117137</v>
      </c>
      <c r="E46" s="148" t="str">
        <f>IFERROR(__xludf.DUMMYFUNCTION("""COMPUTED_VALUE"""),"{""typ"":""lc"",""txt"":""LC_SOLDIER_pilot_name_6""}")</f>
        <v>{"typ":"lc","txt":"LC_SOLDIER_pilot_name_6"}</v>
      </c>
      <c r="F46" s="148" t="str">
        <f>IFERROR(__xludf.DUMMYFUNCTION("""COMPUTED_VALUE"""),"{""typ"":""lc"",""txt"":""LC_SOLDIER_pilot_desc_6""}")</f>
        <v>{"typ":"lc","txt":"LC_SOLDIER_pilot_desc_6"}</v>
      </c>
      <c r="G46" s="148">
        <f>IFERROR(__xludf.DUMMYFUNCTION("""COMPUTED_VALUE"""),25.0)</f>
        <v>25</v>
      </c>
      <c r="H46" s="148">
        <f>IFERROR(__xludf.DUMMYFUNCTION("""COMPUTED_VALUE"""),24.0)</f>
        <v>24</v>
      </c>
      <c r="I46" s="148">
        <f>IFERROR(__xludf.DUMMYFUNCTION("""COMPUTED_VALUE"""),10001.0)</f>
        <v>10001</v>
      </c>
      <c r="J46" s="148">
        <f>IFERROR(__xludf.DUMMYFUNCTION("""COMPUTED_VALUE"""),11.0)</f>
        <v>11</v>
      </c>
      <c r="K46" s="148">
        <f>IFERROR(__xludf.DUMMYFUNCTION("""COMPUTED_VALUE"""),6.0)</f>
        <v>6</v>
      </c>
      <c r="L46" s="148">
        <f>IFERROR(__xludf.DUMMYFUNCTION("""COMPUTED_VALUE"""),6.0)</f>
        <v>6</v>
      </c>
      <c r="M46" s="148">
        <f>IFERROR(__xludf.DUMMYFUNCTION("""COMPUTED_VALUE"""),360000.0)</f>
        <v>360000</v>
      </c>
      <c r="N46" s="148" t="str">
        <f>IFERROR(__xludf.DUMMYFUNCTION("""COMPUTED_VALUE"""),"[{""typ"":""rss"",""id"":11141001,""val"":1280},{""typ"":""rss"",""id"":11141003,""val"":1920},{""typ"":""rss"",""id"":11141041,""val"":80}]")</f>
        <v>[{"typ":"rss","id":11141001,"val":1280},{"typ":"rss","id":11141003,"val":1920},{"typ":"rss","id":11141041,"val":80}]</v>
      </c>
      <c r="O46" s="148" t="str">
        <f>IFERROR(__xludf.DUMMYFUNCTION("""COMPUTED_VALUE"""),"{""op"":""and"",""args"":[{""op"":""ge"",""typ"":""research"",""id"":1119185,""val"":1},{""op"":""ge"",""typ"":""building"",""id"":111817,""val"":1}]}")</f>
        <v>{"op":"and","args":[{"op":"ge","typ":"research","id":1119185,"val":1},{"op":"ge","typ":"building","id":111817,"val":1}]}</v>
      </c>
      <c r="P46" s="148">
        <f>IFERROR(__xludf.DUMMYFUNCTION("""COMPUTED_VALUE"""),12000.0)</f>
        <v>12000</v>
      </c>
      <c r="Q46" s="148" t="str">
        <f>IFERROR(__xludf.DUMMYFUNCTION("""COMPUTED_VALUE"""),"[{""typ"":""rss"",""id"":11141001,""val"":512},{""typ"":""rss"",""id"":11141003,""val"":768},{""typ"":""rss"",""id"":11141041,""val"":16}]")</f>
        <v>[{"typ":"rss","id":11141001,"val":512},{"typ":"rss","id":11141003,"val":768},{"typ":"rss","id":11141041,"val":16}]</v>
      </c>
      <c r="R46" s="148" t="str">
        <f>IFERROR(__xludf.DUMMYFUNCTION("""COMPUTED_VALUE"""),"{}")</f>
        <v>{}</v>
      </c>
      <c r="S46" s="148">
        <f>IFERROR(__xludf.DUMMYFUNCTION("""COMPUTED_VALUE"""),180000.0)</f>
        <v>180000</v>
      </c>
      <c r="T46" s="148" t="str">
        <f>IFERROR(__xludf.DUMMYFUNCTION("""COMPUTED_VALUE"""),"[{""typ"":""rss"",""id"":11141001,""val"":480},{""typ"":""rss"",""id"":11141003,""val"":720},{""typ"":""rss"",""id"":11141041,""val"":80}]")</f>
        <v>[{"typ":"rss","id":11141001,"val":480},{"typ":"rss","id":11141003,"val":720},{"typ":"rss","id":11141041,"val":80}]</v>
      </c>
      <c r="U46" s="148">
        <f>IFERROR(__xludf.DUMMYFUNCTION("""COMPUTED_VALUE"""),0.0)</f>
        <v>0</v>
      </c>
      <c r="V46" s="148" t="str">
        <f>IFERROR(__xludf.DUMMYFUNCTION("""COMPUTED_VALUE"""),"{""op"":""and"",""args"":[{""op"":""ge"",""typ"":""research"",""id"":111918501,""val"":1},{""op"":""ge"",""typ"":""building"",""id"":111817,""val"":1}]}")</f>
        <v>{"op":"and","args":[{"op":"ge","typ":"research","id":111918501,"val":1},{"op":"ge","typ":"building","id":111817,"val":1}]}</v>
      </c>
      <c r="W46" s="148" t="str">
        <f>IFERROR(__xludf.DUMMYFUNCTION("""COMPUTED_VALUE"""),"[]")</f>
        <v>[]</v>
      </c>
      <c r="X46" s="148" t="str">
        <f>IFERROR(__xludf.DUMMYFUNCTION("""COMPUTED_VALUE"""),"[{""typ"":""power"",""id"":12141002,""val"":20}]")</f>
        <v>[{"typ":"power","id":12141002,"val":20}]</v>
      </c>
      <c r="Y46" s="148" t="str">
        <f>IFERROR(__xludf.DUMMYFUNCTION("""COMPUTED_VALUE"""),"[{""typ"":""atk"",""val"":280},{""typ"":""def"",""val"":260},{""typ"":""hp"",""val"":250},{""typ"":""speed"",""val"":34},{""typ"":""load"",""val"":15},{""typ"":""backcoef"",""val"":0.5},{""typ"":""atkcoef"",""val"":1.0},{""typ"":""atkcd"",""val"":0}]")</f>
        <v>[{"typ":"atk","val":280},{"typ":"def","val":260},{"typ":"hp","val":250},{"typ":"speed","val":34},{"typ":"load","val":15},{"typ":"backcoef","val":0.5},{"typ":"atkcoef","val":1.0},{"typ":"atkcd","val":0}]</v>
      </c>
      <c r="Z46" s="148" t="str">
        <f>IFERROR(__xludf.DUMMYFUNCTION("""COMPUTED_VALUE"""),"[]")</f>
        <v>[]</v>
      </c>
    </row>
    <row r="47">
      <c r="A47" s="148">
        <f>IFERROR(__xludf.DUMMYFUNCTION("""COMPUTED_VALUE"""),1.1211111E7)</f>
        <v>11211111</v>
      </c>
      <c r="B47" s="148" t="str">
        <f>IFERROR(__xludf.DUMMYFUNCTION("""COMPUTED_VALUE"""),"骑兵-lv1-1")</f>
        <v>骑兵-lv1-1</v>
      </c>
      <c r="C47" s="148">
        <f>IFERROR(__xludf.DUMMYFUNCTION("""COMPUTED_VALUE"""),1.1221002E7)</f>
        <v>11221002</v>
      </c>
      <c r="D47" s="148">
        <f>IFERROR(__xludf.DUMMYFUNCTION("""COMPUTED_VALUE"""),1.5110057E7)</f>
        <v>15110057</v>
      </c>
      <c r="E47" s="148" t="str">
        <f>IFERROR(__xludf.DUMMYFUNCTION("""COMPUTED_VALUE"""),"{""typ"":""lc"",""txt"":""LC_SOLDIER_pilot_name_1""}")</f>
        <v>{"typ":"lc","txt":"LC_SOLDIER_pilot_name_1"}</v>
      </c>
      <c r="F47" s="148" t="str">
        <f>IFERROR(__xludf.DUMMYFUNCTION("""COMPUTED_VALUE"""),"{""typ"":""lc"",""txt"":""LC_SOLDIER_pilot_desc_1""}")</f>
        <v>{"typ":"lc","txt":"LC_SOLDIER_pilot_desc_1"}</v>
      </c>
      <c r="G47" s="148">
        <f>IFERROR(__xludf.DUMMYFUNCTION("""COMPUTED_VALUE"""),1.0)</f>
        <v>1</v>
      </c>
      <c r="H47" s="148">
        <f>IFERROR(__xludf.DUMMYFUNCTION("""COMPUTED_VALUE"""),4.0)</f>
        <v>4</v>
      </c>
      <c r="I47" s="148">
        <f>IFERROR(__xludf.DUMMYFUNCTION("""COMPUTED_VALUE"""),10010.0)</f>
        <v>10010</v>
      </c>
      <c r="J47" s="148">
        <f>IFERROR(__xludf.DUMMYFUNCTION("""COMPUTED_VALUE"""),2.0)</f>
        <v>2</v>
      </c>
      <c r="K47" s="148">
        <f>IFERROR(__xludf.DUMMYFUNCTION("""COMPUTED_VALUE"""),1.0)</f>
        <v>1</v>
      </c>
      <c r="L47" s="148">
        <f>IFERROR(__xludf.DUMMYFUNCTION("""COMPUTED_VALUE"""),6.0)</f>
        <v>6</v>
      </c>
      <c r="M47" s="148">
        <f>IFERROR(__xludf.DUMMYFUNCTION("""COMPUTED_VALUE"""),13000.0)</f>
        <v>13000</v>
      </c>
      <c r="N47" s="148" t="str">
        <f>IFERROR(__xludf.DUMMYFUNCTION("""COMPUTED_VALUE"""),"[{""typ"":""rss"",""id"":11141001,""val"":40},{""typ"":""rss"",""id"":11141003,""val"":60}]")</f>
        <v>[{"typ":"rss","id":11141001,"val":40},{"typ":"rss","id":11141003,"val":60}]</v>
      </c>
      <c r="O47" s="148" t="str">
        <f>IFERROR(__xludf.DUMMYFUNCTION("""COMPUTED_VALUE"""),"{""op"":""and"",""args"":[{""op"":""ge"",""typ"":""arms_group"",""id"":11671002,""val"":1}]}")</f>
        <v>{"op":"and","args":[{"op":"ge","typ":"arms_group","id":11671002,"val":1}]}</v>
      </c>
      <c r="P47" s="148">
        <f>IFERROR(__xludf.DUMMYFUNCTION("""COMPUTED_VALUE"""),65.0)</f>
        <v>65</v>
      </c>
      <c r="Q47" s="148" t="str">
        <f>IFERROR(__xludf.DUMMYFUNCTION("""COMPUTED_VALUE"""),"[{""typ"":""rss"",""id"":11141001,""val"":16},{""typ"":""rss"",""id"":11141003,""val"":24}]")</f>
        <v>[{"typ":"rss","id":11141001,"val":16},{"typ":"rss","id":11141003,"val":24}]</v>
      </c>
      <c r="R47" s="148" t="str">
        <f>IFERROR(__xludf.DUMMYFUNCTION("""COMPUTED_VALUE"""),"{}")</f>
        <v>{}</v>
      </c>
      <c r="S47" s="148">
        <f>IFERROR(__xludf.DUMMYFUNCTION("""COMPUTED_VALUE"""),0.0)</f>
        <v>0</v>
      </c>
      <c r="T47" s="148" t="str">
        <f>IFERROR(__xludf.DUMMYFUNCTION("""COMPUTED_VALUE"""),"[]")</f>
        <v>[]</v>
      </c>
      <c r="U47" s="148">
        <f>IFERROR(__xludf.DUMMYFUNCTION("""COMPUTED_VALUE"""),0.0)</f>
        <v>0</v>
      </c>
      <c r="V47" s="148" t="str">
        <f>IFERROR(__xludf.DUMMYFUNCTION("""COMPUTED_VALUE"""),"{""op"":""and"",""args"":[{""op"":""ge"",""typ"":""arms_group"",""id"":11671002,""val"":1}]}")</f>
        <v>{"op":"and","args":[{"op":"ge","typ":"arms_group","id":11671002,"val":1}]}</v>
      </c>
      <c r="W47" s="148" t="str">
        <f>IFERROR(__xludf.DUMMYFUNCTION("""COMPUTED_VALUE"""),"[]")</f>
        <v>[]</v>
      </c>
      <c r="X47" s="148" t="str">
        <f>IFERROR(__xludf.DUMMYFUNCTION("""COMPUTED_VALUE"""),"[{""typ"":""power"",""id"":12141002,""val"":1}]")</f>
        <v>[{"typ":"power","id":12141002,"val":1}]</v>
      </c>
      <c r="Y47" s="148" t="str">
        <f>IFERROR(__xludf.DUMMYFUNCTION("""COMPUTED_VALUE"""),"[{""typ"":""atk"",""val"":65},{""typ"":""def"",""val"":126},{""typ"":""hp"",""val"":121},{""typ"":""speed"",""val"":47},{""typ"":""load"",""val"":5},{""typ"":""backcoef"",""val"":0.5},{""typ"":""atkcoef"",""val"":1.0},{""typ"":""atkcd"",""val"":0}]")</f>
        <v>[{"typ":"atk","val":65},{"typ":"def","val":126},{"typ":"hp","val":121},{"typ":"speed","val":47},{"typ":"load","val":5},{"typ":"backcoef","val":0.5},{"typ":"atkcoef","val":1.0},{"typ":"atkcd","val":0}]</v>
      </c>
      <c r="Z47" s="148" t="str">
        <f>IFERROR(__xludf.DUMMYFUNCTION("""COMPUTED_VALUE"""),"[]")</f>
        <v>[]</v>
      </c>
    </row>
    <row r="48">
      <c r="A48" s="148">
        <f>IFERROR(__xludf.DUMMYFUNCTION("""COMPUTED_VALUE"""),1.1211112E7)</f>
        <v>11211112</v>
      </c>
      <c r="B48" s="148" t="str">
        <f>IFERROR(__xludf.DUMMYFUNCTION("""COMPUTED_VALUE"""),"骑兵-lv1-2")</f>
        <v>骑兵-lv1-2</v>
      </c>
      <c r="C48" s="148">
        <f>IFERROR(__xludf.DUMMYFUNCTION("""COMPUTED_VALUE"""),1.1221002E7)</f>
        <v>11221002</v>
      </c>
      <c r="D48" s="148">
        <f>IFERROR(__xludf.DUMMYFUNCTION("""COMPUTED_VALUE"""),1.5110057E7)</f>
        <v>15110057</v>
      </c>
      <c r="E48" s="148" t="str">
        <f>IFERROR(__xludf.DUMMYFUNCTION("""COMPUTED_VALUE"""),"{""typ"":""lc"",""txt"":""LC_SOLDIER_pilot_name_1""}")</f>
        <v>{"typ":"lc","txt":"LC_SOLDIER_pilot_name_1"}</v>
      </c>
      <c r="F48" s="148" t="str">
        <f>IFERROR(__xludf.DUMMYFUNCTION("""COMPUTED_VALUE"""),"{""typ"":""lc"",""txt"":""LC_SOLDIER_pilot_desc_1""}")</f>
        <v>{"typ":"lc","txt":"LC_SOLDIER_pilot_desc_1"}</v>
      </c>
      <c r="G48" s="148">
        <f>IFERROR(__xludf.DUMMYFUNCTION("""COMPUTED_VALUE"""),1.0)</f>
        <v>1</v>
      </c>
      <c r="H48" s="148">
        <f>IFERROR(__xludf.DUMMYFUNCTION("""COMPUTED_VALUE"""),4.0)</f>
        <v>4</v>
      </c>
      <c r="I48" s="148">
        <f>IFERROR(__xludf.DUMMYFUNCTION("""COMPUTED_VALUE"""),10010.0)</f>
        <v>10010</v>
      </c>
      <c r="J48" s="148">
        <f>IFERROR(__xludf.DUMMYFUNCTION("""COMPUTED_VALUE"""),2.0)</f>
        <v>2</v>
      </c>
      <c r="K48" s="148">
        <f>IFERROR(__xludf.DUMMYFUNCTION("""COMPUTED_VALUE"""),1.0)</f>
        <v>1</v>
      </c>
      <c r="L48" s="148">
        <f>IFERROR(__xludf.DUMMYFUNCTION("""COMPUTED_VALUE"""),6.0)</f>
        <v>6</v>
      </c>
      <c r="M48" s="148">
        <f>IFERROR(__xludf.DUMMYFUNCTION("""COMPUTED_VALUE"""),13000.0)</f>
        <v>13000</v>
      </c>
      <c r="N48" s="148" t="str">
        <f>IFERROR(__xludf.DUMMYFUNCTION("""COMPUTED_VALUE"""),"[{""typ"":""rss"",""id"":11141001,""val"":40},{""typ"":""rss"",""id"":11141003,""val"":60}]")</f>
        <v>[{"typ":"rss","id":11141001,"val":40},{"typ":"rss","id":11141003,"val":60}]</v>
      </c>
      <c r="O48" s="148" t="str">
        <f>IFERROR(__xludf.DUMMYFUNCTION("""COMPUTED_VALUE"""),"{""op"":""and"",""args"":[{""op"":""ge"",""typ"":""arms_group"",""id"":11671003,""val"":1}]}")</f>
        <v>{"op":"and","args":[{"op":"ge","typ":"arms_group","id":11671003,"val":1}]}</v>
      </c>
      <c r="P48" s="148">
        <f>IFERROR(__xludf.DUMMYFUNCTION("""COMPUTED_VALUE"""),65.0)</f>
        <v>65</v>
      </c>
      <c r="Q48" s="148" t="str">
        <f>IFERROR(__xludf.DUMMYFUNCTION("""COMPUTED_VALUE"""),"[{""typ"":""rss"",""id"":11141001,""val"":16},{""typ"":""rss"",""id"":11141003,""val"":24}]")</f>
        <v>[{"typ":"rss","id":11141001,"val":16},{"typ":"rss","id":11141003,"val":24}]</v>
      </c>
      <c r="R48" s="148" t="str">
        <f>IFERROR(__xludf.DUMMYFUNCTION("""COMPUTED_VALUE"""),"{}")</f>
        <v>{}</v>
      </c>
      <c r="S48" s="148">
        <f>IFERROR(__xludf.DUMMYFUNCTION("""COMPUTED_VALUE"""),0.0)</f>
        <v>0</v>
      </c>
      <c r="T48" s="148" t="str">
        <f>IFERROR(__xludf.DUMMYFUNCTION("""COMPUTED_VALUE"""),"[]")</f>
        <v>[]</v>
      </c>
      <c r="U48" s="148">
        <f>IFERROR(__xludf.DUMMYFUNCTION("""COMPUTED_VALUE"""),0.0)</f>
        <v>0</v>
      </c>
      <c r="V48" s="148" t="str">
        <f>IFERROR(__xludf.DUMMYFUNCTION("""COMPUTED_VALUE"""),"{""op"":""and"",""args"":[{""op"":""ge"",""typ"":""arms_group"",""id"":11671003,""val"":1}]}")</f>
        <v>{"op":"and","args":[{"op":"ge","typ":"arms_group","id":11671003,"val":1}]}</v>
      </c>
      <c r="W48" s="148" t="str">
        <f>IFERROR(__xludf.DUMMYFUNCTION("""COMPUTED_VALUE"""),"[]")</f>
        <v>[]</v>
      </c>
      <c r="X48" s="148" t="str">
        <f>IFERROR(__xludf.DUMMYFUNCTION("""COMPUTED_VALUE"""),"[{""typ"":""power"",""id"":12141002,""val"":1}]")</f>
        <v>[{"typ":"power","id":12141002,"val":1}]</v>
      </c>
      <c r="Y48" s="148" t="str">
        <f>IFERROR(__xludf.DUMMYFUNCTION("""COMPUTED_VALUE"""),"[{""typ"":""atk"",""val"":70},{""typ"":""def"",""val"":127},{""typ"":""hp"",""val"":122},{""typ"":""speed"",""val"":47},{""typ"":""load"",""val"":5},{""typ"":""backcoef"",""val"":0.5},{""typ"":""atkcoef"",""val"":1.0},{""typ"":""atkcd"",""val"":0}]")</f>
        <v>[{"typ":"atk","val":70},{"typ":"def","val":127},{"typ":"hp","val":122},{"typ":"speed","val":47},{"typ":"load","val":5},{"typ":"backcoef","val":0.5},{"typ":"atkcoef","val":1.0},{"typ":"atkcd","val":0}]</v>
      </c>
      <c r="Z48" s="148" t="str">
        <f>IFERROR(__xludf.DUMMYFUNCTION("""COMPUTED_VALUE"""),"[]")</f>
        <v>[]</v>
      </c>
    </row>
    <row r="49">
      <c r="A49" s="148">
        <f>IFERROR(__xludf.DUMMYFUNCTION("""COMPUTED_VALUE"""),1.1211113E7)</f>
        <v>11211113</v>
      </c>
      <c r="B49" s="148" t="str">
        <f>IFERROR(__xludf.DUMMYFUNCTION("""COMPUTED_VALUE"""),"骑兵-lv2-1")</f>
        <v>骑兵-lv2-1</v>
      </c>
      <c r="C49" s="148">
        <f>IFERROR(__xludf.DUMMYFUNCTION("""COMPUTED_VALUE"""),1.1221002E7)</f>
        <v>11221002</v>
      </c>
      <c r="D49" s="148">
        <f>IFERROR(__xludf.DUMMYFUNCTION("""COMPUTED_VALUE"""),1.5110058E7)</f>
        <v>15110058</v>
      </c>
      <c r="E49" s="148" t="str">
        <f>IFERROR(__xludf.DUMMYFUNCTION("""COMPUTED_VALUE"""),"{""typ"":""lc"",""txt"":""LC_SOLDIER_pilot_name_2""}")</f>
        <v>{"typ":"lc","txt":"LC_SOLDIER_pilot_name_2"}</v>
      </c>
      <c r="F49" s="148" t="str">
        <f>IFERROR(__xludf.DUMMYFUNCTION("""COMPUTED_VALUE"""),"{""typ"":""lc"",""txt"":""LC_SOLDIER_pilot_desc_2""}")</f>
        <v>{"typ":"lc","txt":"LC_SOLDIER_pilot_desc_2"}</v>
      </c>
      <c r="G49" s="148">
        <f>IFERROR(__xludf.DUMMYFUNCTION("""COMPUTED_VALUE"""),2.0)</f>
        <v>2</v>
      </c>
      <c r="H49" s="148">
        <f>IFERROR(__xludf.DUMMYFUNCTION("""COMPUTED_VALUE"""),8.0)</f>
        <v>8</v>
      </c>
      <c r="I49" s="148">
        <f>IFERROR(__xludf.DUMMYFUNCTION("""COMPUTED_VALUE"""),10008.0)</f>
        <v>10008</v>
      </c>
      <c r="J49" s="148">
        <f>IFERROR(__xludf.DUMMYFUNCTION("""COMPUTED_VALUE"""),4.0)</f>
        <v>4</v>
      </c>
      <c r="K49" s="148">
        <f>IFERROR(__xludf.DUMMYFUNCTION("""COMPUTED_VALUE"""),2.0)</f>
        <v>2</v>
      </c>
      <c r="L49" s="148">
        <f>IFERROR(__xludf.DUMMYFUNCTION("""COMPUTED_VALUE"""),6.0)</f>
        <v>6</v>
      </c>
      <c r="M49" s="148">
        <f>IFERROR(__xludf.DUMMYFUNCTION("""COMPUTED_VALUE"""),30000.0)</f>
        <v>30000</v>
      </c>
      <c r="N49" s="148" t="str">
        <f>IFERROR(__xludf.DUMMYFUNCTION("""COMPUTED_VALUE"""),"[{""typ"":""rss"",""id"":11141001,""val"":80},{""typ"":""rss"",""id"":11141003,""val"":120}]")</f>
        <v>[{"typ":"rss","id":11141001,"val":80},{"typ":"rss","id":11141003,"val":120}]</v>
      </c>
      <c r="O49" s="148" t="str">
        <f>IFERROR(__xludf.DUMMYFUNCTION("""COMPUTED_VALUE"""),"{""op"":""and"",""args"":[{""op"":""ge"",""typ"":""arms_group"",""id"":11671102,""val"":1}]}")</f>
        <v>{"op":"and","args":[{"op":"ge","typ":"arms_group","id":11671102,"val":1}]}</v>
      </c>
      <c r="P49" s="148">
        <f>IFERROR(__xludf.DUMMYFUNCTION("""COMPUTED_VALUE"""),1000.0)</f>
        <v>1000</v>
      </c>
      <c r="Q49" s="148" t="str">
        <f>IFERROR(__xludf.DUMMYFUNCTION("""COMPUTED_VALUE"""),"[{""typ"":""rss"",""id"":11141001,""val"":32},{""typ"":""rss"",""id"":11141003,""val"":48}]")</f>
        <v>[{"typ":"rss","id":11141001,"val":32},{"typ":"rss","id":11141003,"val":48}]</v>
      </c>
      <c r="R49" s="148" t="str">
        <f>IFERROR(__xludf.DUMMYFUNCTION("""COMPUTED_VALUE"""),"{}")</f>
        <v>{}</v>
      </c>
      <c r="S49" s="148">
        <f>IFERROR(__xludf.DUMMYFUNCTION("""COMPUTED_VALUE"""),17000.0)</f>
        <v>17000</v>
      </c>
      <c r="T49" s="148" t="str">
        <f>IFERROR(__xludf.DUMMYFUNCTION("""COMPUTED_VALUE"""),"[{""typ"":""rss"",""id"":11141001,""val"":40},{""typ"":""rss"",""id"":11141003,""val"":60}]")</f>
        <v>[{"typ":"rss","id":11141001,"val":40},{"typ":"rss","id":11141003,"val":60}]</v>
      </c>
      <c r="U49" s="148">
        <f>IFERROR(__xludf.DUMMYFUNCTION("""COMPUTED_VALUE"""),0.0)</f>
        <v>0</v>
      </c>
      <c r="V49" s="148" t="str">
        <f>IFERROR(__xludf.DUMMYFUNCTION("""COMPUTED_VALUE"""),"{""op"":""and"",""args"":[{""op"":""ge"",""typ"":""arms_group"",""id"":11671102,""val"":1}]}")</f>
        <v>{"op":"and","args":[{"op":"ge","typ":"arms_group","id":11671102,"val":1}]}</v>
      </c>
      <c r="W49" s="148" t="str">
        <f>IFERROR(__xludf.DUMMYFUNCTION("""COMPUTED_VALUE"""),"[]")</f>
        <v>[]</v>
      </c>
      <c r="X49" s="148" t="str">
        <f>IFERROR(__xludf.DUMMYFUNCTION("""COMPUTED_VALUE"""),"[{""typ"":""power"",""id"":12141002,""val"":2}]")</f>
        <v>[{"typ":"power","id":12141002,"val":2}]</v>
      </c>
      <c r="Y49" s="148" t="str">
        <f>IFERROR(__xludf.DUMMYFUNCTION("""COMPUTED_VALUE"""),"[{""typ"":""atk"",""val"":119},{""typ"":""def"",""val"":130},{""typ"":""hp"",""val"":136},{""typ"":""speed"",""val"":45},{""typ"":""load"",""val"":7},{""typ"":""backcoef"",""val"":0.5},{""typ"":""atkcoef"",""val"":1.0},{""typ"":""atkcd"",""val"":0}]")</f>
        <v>[{"typ":"atk","val":119},{"typ":"def","val":130},{"typ":"hp","val":136},{"typ":"speed","val":45},{"typ":"load","val":7},{"typ":"backcoef","val":0.5},{"typ":"atkcoef","val":1.0},{"typ":"atkcd","val":0}]</v>
      </c>
      <c r="Z49" s="148" t="str">
        <f>IFERROR(__xludf.DUMMYFUNCTION("""COMPUTED_VALUE"""),"[]")</f>
        <v>[]</v>
      </c>
    </row>
    <row r="50">
      <c r="A50" s="148">
        <f>IFERROR(__xludf.DUMMYFUNCTION("""COMPUTED_VALUE"""),1.1211114E7)</f>
        <v>11211114</v>
      </c>
      <c r="B50" s="148" t="str">
        <f>IFERROR(__xludf.DUMMYFUNCTION("""COMPUTED_VALUE"""),"骑兵-lv2-2")</f>
        <v>骑兵-lv2-2</v>
      </c>
      <c r="C50" s="148">
        <f>IFERROR(__xludf.DUMMYFUNCTION("""COMPUTED_VALUE"""),1.1221002E7)</f>
        <v>11221002</v>
      </c>
      <c r="D50" s="148">
        <f>IFERROR(__xludf.DUMMYFUNCTION("""COMPUTED_VALUE"""),1.5110058E7)</f>
        <v>15110058</v>
      </c>
      <c r="E50" s="148" t="str">
        <f>IFERROR(__xludf.DUMMYFUNCTION("""COMPUTED_VALUE"""),"{""typ"":""lc"",""txt"":""LC_SOLDIER_pilot_name_2""}")</f>
        <v>{"typ":"lc","txt":"LC_SOLDIER_pilot_name_2"}</v>
      </c>
      <c r="F50" s="148" t="str">
        <f>IFERROR(__xludf.DUMMYFUNCTION("""COMPUTED_VALUE"""),"{""typ"":""lc"",""txt"":""LC_SOLDIER_pilot_desc_2""}")</f>
        <v>{"typ":"lc","txt":"LC_SOLDIER_pilot_desc_2"}</v>
      </c>
      <c r="G50" s="148">
        <f>IFERROR(__xludf.DUMMYFUNCTION("""COMPUTED_VALUE"""),2.0)</f>
        <v>2</v>
      </c>
      <c r="H50" s="148">
        <f>IFERROR(__xludf.DUMMYFUNCTION("""COMPUTED_VALUE"""),8.0)</f>
        <v>8</v>
      </c>
      <c r="I50" s="148">
        <f>IFERROR(__xludf.DUMMYFUNCTION("""COMPUTED_VALUE"""),10008.0)</f>
        <v>10008</v>
      </c>
      <c r="J50" s="148">
        <f>IFERROR(__xludf.DUMMYFUNCTION("""COMPUTED_VALUE"""),4.0)</f>
        <v>4</v>
      </c>
      <c r="K50" s="148">
        <f>IFERROR(__xludf.DUMMYFUNCTION("""COMPUTED_VALUE"""),2.0)</f>
        <v>2</v>
      </c>
      <c r="L50" s="148">
        <f>IFERROR(__xludf.DUMMYFUNCTION("""COMPUTED_VALUE"""),6.0)</f>
        <v>6</v>
      </c>
      <c r="M50" s="148">
        <f>IFERROR(__xludf.DUMMYFUNCTION("""COMPUTED_VALUE"""),30000.0)</f>
        <v>30000</v>
      </c>
      <c r="N50" s="148" t="str">
        <f>IFERROR(__xludf.DUMMYFUNCTION("""COMPUTED_VALUE"""),"[{""typ"":""rss"",""id"":11141001,""val"":80},{""typ"":""rss"",""id"":11141003,""val"":120}]")</f>
        <v>[{"typ":"rss","id":11141001,"val":80},{"typ":"rss","id":11141003,"val":120}]</v>
      </c>
      <c r="O50" s="148" t="str">
        <f>IFERROR(__xludf.DUMMYFUNCTION("""COMPUTED_VALUE"""),"{""op"":""and"",""args"":[{""op"":""ge"",""typ"":""arms_group"",""id"":11671103,""val"":1}]}")</f>
        <v>{"op":"and","args":[{"op":"ge","typ":"arms_group","id":11671103,"val":1}]}</v>
      </c>
      <c r="P50" s="148">
        <f>IFERROR(__xludf.DUMMYFUNCTION("""COMPUTED_VALUE"""),1000.0)</f>
        <v>1000</v>
      </c>
      <c r="Q50" s="148" t="str">
        <f>IFERROR(__xludf.DUMMYFUNCTION("""COMPUTED_VALUE"""),"[{""typ"":""rss"",""id"":11141001,""val"":32},{""typ"":""rss"",""id"":11141003,""val"":48}]")</f>
        <v>[{"typ":"rss","id":11141001,"val":32},{"typ":"rss","id":11141003,"val":48}]</v>
      </c>
      <c r="R50" s="148" t="str">
        <f>IFERROR(__xludf.DUMMYFUNCTION("""COMPUTED_VALUE"""),"{}")</f>
        <v>{}</v>
      </c>
      <c r="S50" s="148">
        <f>IFERROR(__xludf.DUMMYFUNCTION("""COMPUTED_VALUE"""),17000.0)</f>
        <v>17000</v>
      </c>
      <c r="T50" s="148" t="str">
        <f>IFERROR(__xludf.DUMMYFUNCTION("""COMPUTED_VALUE"""),"[{""typ"":""rss"",""id"":11141001,""val"":40},{""typ"":""rss"",""id"":11141003,""val"":60}]")</f>
        <v>[{"typ":"rss","id":11141001,"val":40},{"typ":"rss","id":11141003,"val":60}]</v>
      </c>
      <c r="U50" s="148">
        <f>IFERROR(__xludf.DUMMYFUNCTION("""COMPUTED_VALUE"""),0.0)</f>
        <v>0</v>
      </c>
      <c r="V50" s="148" t="str">
        <f>IFERROR(__xludf.DUMMYFUNCTION("""COMPUTED_VALUE"""),"{""op"":""and"",""args"":[{""op"":""ge"",""typ"":""arms_group"",""id"":11671103,""val"":1}]}")</f>
        <v>{"op":"and","args":[{"op":"ge","typ":"arms_group","id":11671103,"val":1}]}</v>
      </c>
      <c r="W50" s="148" t="str">
        <f>IFERROR(__xludf.DUMMYFUNCTION("""COMPUTED_VALUE"""),"[]")</f>
        <v>[]</v>
      </c>
      <c r="X50" s="148" t="str">
        <f>IFERROR(__xludf.DUMMYFUNCTION("""COMPUTED_VALUE"""),"[{""typ"":""power"",""id"":12141002,""val"":2}]")</f>
        <v>[{"typ":"power","id":12141002,"val":2}]</v>
      </c>
      <c r="Y50" s="148" t="str">
        <f>IFERROR(__xludf.DUMMYFUNCTION("""COMPUTED_VALUE"""),"[{""typ"":""atk"",""val"":122},{""typ"":""def"",""val"":133},{""typ"":""hp"",""val"":137},{""typ"":""speed"",""val"":45},{""typ"":""load"",""val"":7},{""typ"":""backcoef"",""val"":0.5},{""typ"":""atkcoef"",""val"":1.0},{""typ"":""atkcd"",""val"":0}]")</f>
        <v>[{"typ":"atk","val":122},{"typ":"def","val":133},{"typ":"hp","val":137},{"typ":"speed","val":45},{"typ":"load","val":7},{"typ":"backcoef","val":0.5},{"typ":"atkcoef","val":1.0},{"typ":"atkcd","val":0}]</v>
      </c>
      <c r="Z50" s="148" t="str">
        <f>IFERROR(__xludf.DUMMYFUNCTION("""COMPUTED_VALUE"""),"[]")</f>
        <v>[]</v>
      </c>
    </row>
    <row r="51">
      <c r="A51" s="148">
        <f>IFERROR(__xludf.DUMMYFUNCTION("""COMPUTED_VALUE"""),1.1211115E7)</f>
        <v>11211115</v>
      </c>
      <c r="B51" s="148" t="str">
        <f>IFERROR(__xludf.DUMMYFUNCTION("""COMPUTED_VALUE"""),"骑兵-lv2-3")</f>
        <v>骑兵-lv2-3</v>
      </c>
      <c r="C51" s="148">
        <f>IFERROR(__xludf.DUMMYFUNCTION("""COMPUTED_VALUE"""),1.1221002E7)</f>
        <v>11221002</v>
      </c>
      <c r="D51" s="148">
        <f>IFERROR(__xludf.DUMMYFUNCTION("""COMPUTED_VALUE"""),1.5110058E7)</f>
        <v>15110058</v>
      </c>
      <c r="E51" s="148" t="str">
        <f>IFERROR(__xludf.DUMMYFUNCTION("""COMPUTED_VALUE"""),"{""typ"":""lc"",""txt"":""LC_SOLDIER_pilot_name_2""}")</f>
        <v>{"typ":"lc","txt":"LC_SOLDIER_pilot_name_2"}</v>
      </c>
      <c r="F51" s="148" t="str">
        <f>IFERROR(__xludf.DUMMYFUNCTION("""COMPUTED_VALUE"""),"{""typ"":""lc"",""txt"":""LC_SOLDIER_pilot_desc_2""}")</f>
        <v>{"typ":"lc","txt":"LC_SOLDIER_pilot_desc_2"}</v>
      </c>
      <c r="G51" s="148">
        <f>IFERROR(__xludf.DUMMYFUNCTION("""COMPUTED_VALUE"""),2.0)</f>
        <v>2</v>
      </c>
      <c r="H51" s="148">
        <f>IFERROR(__xludf.DUMMYFUNCTION("""COMPUTED_VALUE"""),8.0)</f>
        <v>8</v>
      </c>
      <c r="I51" s="148">
        <f>IFERROR(__xludf.DUMMYFUNCTION("""COMPUTED_VALUE"""),10008.0)</f>
        <v>10008</v>
      </c>
      <c r="J51" s="148">
        <f>IFERROR(__xludf.DUMMYFUNCTION("""COMPUTED_VALUE"""),4.0)</f>
        <v>4</v>
      </c>
      <c r="K51" s="148">
        <f>IFERROR(__xludf.DUMMYFUNCTION("""COMPUTED_VALUE"""),2.0)</f>
        <v>2</v>
      </c>
      <c r="L51" s="148">
        <f>IFERROR(__xludf.DUMMYFUNCTION("""COMPUTED_VALUE"""),6.0)</f>
        <v>6</v>
      </c>
      <c r="M51" s="148">
        <f>IFERROR(__xludf.DUMMYFUNCTION("""COMPUTED_VALUE"""),30000.0)</f>
        <v>30000</v>
      </c>
      <c r="N51" s="148" t="str">
        <f>IFERROR(__xludf.DUMMYFUNCTION("""COMPUTED_VALUE"""),"[{""typ"":""rss"",""id"":11141001,""val"":80},{""typ"":""rss"",""id"":11141003,""val"":120}]")</f>
        <v>[{"typ":"rss","id":11141001,"val":80},{"typ":"rss","id":11141003,"val":120}]</v>
      </c>
      <c r="O51" s="148" t="str">
        <f>IFERROR(__xludf.DUMMYFUNCTION("""COMPUTED_VALUE"""),"{""op"":""and"",""args"":[{""op"":""ge"",""typ"":""arms_group"",""id"":11671104,""val"":1}]}")</f>
        <v>{"op":"and","args":[{"op":"ge","typ":"arms_group","id":11671104,"val":1}]}</v>
      </c>
      <c r="P51" s="148">
        <f>IFERROR(__xludf.DUMMYFUNCTION("""COMPUTED_VALUE"""),1000.0)</f>
        <v>1000</v>
      </c>
      <c r="Q51" s="148" t="str">
        <f>IFERROR(__xludf.DUMMYFUNCTION("""COMPUTED_VALUE"""),"[{""typ"":""rss"",""id"":11141001,""val"":32},{""typ"":""rss"",""id"":11141003,""val"":48}]")</f>
        <v>[{"typ":"rss","id":11141001,"val":32},{"typ":"rss","id":11141003,"val":48}]</v>
      </c>
      <c r="R51" s="148" t="str">
        <f>IFERROR(__xludf.DUMMYFUNCTION("""COMPUTED_VALUE"""),"{}")</f>
        <v>{}</v>
      </c>
      <c r="S51" s="148">
        <f>IFERROR(__xludf.DUMMYFUNCTION("""COMPUTED_VALUE"""),17000.0)</f>
        <v>17000</v>
      </c>
      <c r="T51" s="148" t="str">
        <f>IFERROR(__xludf.DUMMYFUNCTION("""COMPUTED_VALUE"""),"[{""typ"":""rss"",""id"":11141001,""val"":40},{""typ"":""rss"",""id"":11141003,""val"":60}]")</f>
        <v>[{"typ":"rss","id":11141001,"val":40},{"typ":"rss","id":11141003,"val":60}]</v>
      </c>
      <c r="U51" s="148">
        <f>IFERROR(__xludf.DUMMYFUNCTION("""COMPUTED_VALUE"""),0.0)</f>
        <v>0</v>
      </c>
      <c r="V51" s="148" t="str">
        <f>IFERROR(__xludf.DUMMYFUNCTION("""COMPUTED_VALUE"""),"{""op"":""and"",""args"":[{""op"":""ge"",""typ"":""arms_group"",""id"":11671104,""val"":1}]}")</f>
        <v>{"op":"and","args":[{"op":"ge","typ":"arms_group","id":11671104,"val":1}]}</v>
      </c>
      <c r="W51" s="148" t="str">
        <f>IFERROR(__xludf.DUMMYFUNCTION("""COMPUTED_VALUE"""),"[]")</f>
        <v>[]</v>
      </c>
      <c r="X51" s="148" t="str">
        <f>IFERROR(__xludf.DUMMYFUNCTION("""COMPUTED_VALUE"""),"[{""typ"":""power"",""id"":12141002,""val"":2}]")</f>
        <v>[{"typ":"power","id":12141002,"val":2}]</v>
      </c>
      <c r="Y51" s="148" t="str">
        <f>IFERROR(__xludf.DUMMYFUNCTION("""COMPUTED_VALUE"""),"[{""typ"":""atk"",""val"":125},{""typ"":""def"",""val"":136},{""typ"":""hp"",""val"":138},{""typ"":""speed"",""val"":45},{""typ"":""load"",""val"":7},{""typ"":""backcoef"",""val"":0.5},{""typ"":""atkcoef"",""val"":1.0},{""typ"":""atkcd"",""val"":0}]")</f>
        <v>[{"typ":"atk","val":125},{"typ":"def","val":136},{"typ":"hp","val":138},{"typ":"speed","val":45},{"typ":"load","val":7},{"typ":"backcoef","val":0.5},{"typ":"atkcoef","val":1.0},{"typ":"atkcd","val":0}]</v>
      </c>
      <c r="Z51" s="148" t="str">
        <f>IFERROR(__xludf.DUMMYFUNCTION("""COMPUTED_VALUE"""),"[]")</f>
        <v>[]</v>
      </c>
    </row>
    <row r="52">
      <c r="A52" s="148">
        <f>IFERROR(__xludf.DUMMYFUNCTION("""COMPUTED_VALUE"""),1.1211116E7)</f>
        <v>11211116</v>
      </c>
      <c r="B52" s="148" t="str">
        <f>IFERROR(__xludf.DUMMYFUNCTION("""COMPUTED_VALUE"""),"骑兵-lv3-1")</f>
        <v>骑兵-lv3-1</v>
      </c>
      <c r="C52" s="148">
        <f>IFERROR(__xludf.DUMMYFUNCTION("""COMPUTED_VALUE"""),1.1221002E7)</f>
        <v>11221002</v>
      </c>
      <c r="D52" s="148">
        <f>IFERROR(__xludf.DUMMYFUNCTION("""COMPUTED_VALUE"""),1.5110059E7)</f>
        <v>15110059</v>
      </c>
      <c r="E52" s="148" t="str">
        <f>IFERROR(__xludf.DUMMYFUNCTION("""COMPUTED_VALUE"""),"{""typ"":""lc"",""txt"":""LC_SOLDIER_pilot_name_3""}")</f>
        <v>{"typ":"lc","txt":"LC_SOLDIER_pilot_name_3"}</v>
      </c>
      <c r="F52" s="148" t="str">
        <f>IFERROR(__xludf.DUMMYFUNCTION("""COMPUTED_VALUE"""),"{""typ"":""lc"",""txt"":""LC_SOLDIER_pilot_desc_3""}")</f>
        <v>{"typ":"lc","txt":"LC_SOLDIER_pilot_desc_3"}</v>
      </c>
      <c r="G52" s="148">
        <f>IFERROR(__xludf.DUMMYFUNCTION("""COMPUTED_VALUE"""),4.0)</f>
        <v>4</v>
      </c>
      <c r="H52" s="148">
        <f>IFERROR(__xludf.DUMMYFUNCTION("""COMPUTED_VALUE"""),12.0)</f>
        <v>12</v>
      </c>
      <c r="I52" s="148">
        <f>IFERROR(__xludf.DUMMYFUNCTION("""COMPUTED_VALUE"""),10006.0)</f>
        <v>10006</v>
      </c>
      <c r="J52" s="148">
        <f>IFERROR(__xludf.DUMMYFUNCTION("""COMPUTED_VALUE"""),6.0)</f>
        <v>6</v>
      </c>
      <c r="K52" s="148">
        <f>IFERROR(__xludf.DUMMYFUNCTION("""COMPUTED_VALUE"""),3.0)</f>
        <v>3</v>
      </c>
      <c r="L52" s="148">
        <f>IFERROR(__xludf.DUMMYFUNCTION("""COMPUTED_VALUE"""),6.0)</f>
        <v>6</v>
      </c>
      <c r="M52" s="148">
        <f>IFERROR(__xludf.DUMMYFUNCTION("""COMPUTED_VALUE"""),60000.0)</f>
        <v>60000</v>
      </c>
      <c r="N52" s="148" t="str">
        <f>IFERROR(__xludf.DUMMYFUNCTION("""COMPUTED_VALUE"""),"[{""typ"":""rss"",""id"":11141001,""val"":160},{""typ"":""rss"",""id"":11141003,""val"":240}]")</f>
        <v>[{"typ":"rss","id":11141001,"val":160},{"typ":"rss","id":11141003,"val":240}]</v>
      </c>
      <c r="O52" s="148" t="str">
        <f>IFERROR(__xludf.DUMMYFUNCTION("""COMPUTED_VALUE"""),"{""op"":""and"",""args"":[{""op"":""ge"",""typ"":""arms_group"",""id"":11671202,""val"":1}]}")</f>
        <v>{"op":"and","args":[{"op":"ge","typ":"arms_group","id":11671202,"val":1}]}</v>
      </c>
      <c r="P52" s="148">
        <f>IFERROR(__xludf.DUMMYFUNCTION("""COMPUTED_VALUE"""),2000.0)</f>
        <v>2000</v>
      </c>
      <c r="Q52" s="148" t="str">
        <f>IFERROR(__xludf.DUMMYFUNCTION("""COMPUTED_VALUE"""),"[{""typ"":""rss"",""id"":11141001,""val"":64},{""typ"":""rss"",""id"":11141003,""val"":96}]")</f>
        <v>[{"typ":"rss","id":11141001,"val":64},{"typ":"rss","id":11141003,"val":96}]</v>
      </c>
      <c r="R52" s="148" t="str">
        <f>IFERROR(__xludf.DUMMYFUNCTION("""COMPUTED_VALUE"""),"{}")</f>
        <v>{}</v>
      </c>
      <c r="S52" s="148">
        <f>IFERROR(__xludf.DUMMYFUNCTION("""COMPUTED_VALUE"""),30000.0)</f>
        <v>30000</v>
      </c>
      <c r="T52" s="148" t="str">
        <f>IFERROR(__xludf.DUMMYFUNCTION("""COMPUTED_VALUE"""),"[{""typ"":""rss"",""id"":11141001,""val"":80},{""typ"":""rss"",""id"":11141003,""val"":120}]")</f>
        <v>[{"typ":"rss","id":11141001,"val":80},{"typ":"rss","id":11141003,"val":120}]</v>
      </c>
      <c r="U52" s="148">
        <f>IFERROR(__xludf.DUMMYFUNCTION("""COMPUTED_VALUE"""),0.0)</f>
        <v>0</v>
      </c>
      <c r="V52" s="148" t="str">
        <f>IFERROR(__xludf.DUMMYFUNCTION("""COMPUTED_VALUE"""),"{""op"":""and"",""args"":[{""op"":""ge"",""typ"":""arms_group"",""id"":11671202,""val"":1}]}")</f>
        <v>{"op":"and","args":[{"op":"ge","typ":"arms_group","id":11671202,"val":1}]}</v>
      </c>
      <c r="W52" s="148" t="str">
        <f>IFERROR(__xludf.DUMMYFUNCTION("""COMPUTED_VALUE"""),"[]")</f>
        <v>[]</v>
      </c>
      <c r="X52" s="148" t="str">
        <f>IFERROR(__xludf.DUMMYFUNCTION("""COMPUTED_VALUE"""),"[{""typ"":""power"",""id"":12141002,""val"":4}]")</f>
        <v>[{"typ":"power","id":12141002,"val":4}]</v>
      </c>
      <c r="Y52" s="148" t="str">
        <f>IFERROR(__xludf.DUMMYFUNCTION("""COMPUTED_VALUE"""),"[{""typ"":""atk"",""val"":161},{""typ"":""def"",""val"":157},{""typ"":""hp"",""val"":166},{""typ"":""speed"",""val"":42},{""typ"":""load"",""val"":8},{""typ"":""backcoef"",""val"":0.5},{""typ"":""atkcoef"",""val"":1.0},{""typ"":""atkcd"",""val"":0}]")</f>
        <v>[{"typ":"atk","val":161},{"typ":"def","val":157},{"typ":"hp","val":166},{"typ":"speed","val":42},{"typ":"load","val":8},{"typ":"backcoef","val":0.5},{"typ":"atkcoef","val":1.0},{"typ":"atkcd","val":0}]</v>
      </c>
      <c r="Z52" s="148" t="str">
        <f>IFERROR(__xludf.DUMMYFUNCTION("""COMPUTED_VALUE"""),"[]")</f>
        <v>[]</v>
      </c>
    </row>
    <row r="53">
      <c r="A53" s="148">
        <f>IFERROR(__xludf.DUMMYFUNCTION("""COMPUTED_VALUE"""),1.1211117E7)</f>
        <v>11211117</v>
      </c>
      <c r="B53" s="148" t="str">
        <f>IFERROR(__xludf.DUMMYFUNCTION("""COMPUTED_VALUE"""),"骑兵-lv3-2")</f>
        <v>骑兵-lv3-2</v>
      </c>
      <c r="C53" s="148">
        <f>IFERROR(__xludf.DUMMYFUNCTION("""COMPUTED_VALUE"""),1.1221002E7)</f>
        <v>11221002</v>
      </c>
      <c r="D53" s="148">
        <f>IFERROR(__xludf.DUMMYFUNCTION("""COMPUTED_VALUE"""),1.5110059E7)</f>
        <v>15110059</v>
      </c>
      <c r="E53" s="148" t="str">
        <f>IFERROR(__xludf.DUMMYFUNCTION("""COMPUTED_VALUE"""),"{""typ"":""lc"",""txt"":""LC_SOLDIER_pilot_name_3""}")</f>
        <v>{"typ":"lc","txt":"LC_SOLDIER_pilot_name_3"}</v>
      </c>
      <c r="F53" s="148" t="str">
        <f>IFERROR(__xludf.DUMMYFUNCTION("""COMPUTED_VALUE"""),"{""typ"":""lc"",""txt"":""LC_SOLDIER_pilot_desc_3""}")</f>
        <v>{"typ":"lc","txt":"LC_SOLDIER_pilot_desc_3"}</v>
      </c>
      <c r="G53" s="148">
        <f>IFERROR(__xludf.DUMMYFUNCTION("""COMPUTED_VALUE"""),4.0)</f>
        <v>4</v>
      </c>
      <c r="H53" s="148">
        <f>IFERROR(__xludf.DUMMYFUNCTION("""COMPUTED_VALUE"""),12.0)</f>
        <v>12</v>
      </c>
      <c r="I53" s="148">
        <f>IFERROR(__xludf.DUMMYFUNCTION("""COMPUTED_VALUE"""),10006.0)</f>
        <v>10006</v>
      </c>
      <c r="J53" s="148">
        <f>IFERROR(__xludf.DUMMYFUNCTION("""COMPUTED_VALUE"""),6.0)</f>
        <v>6</v>
      </c>
      <c r="K53" s="148">
        <f>IFERROR(__xludf.DUMMYFUNCTION("""COMPUTED_VALUE"""),3.0)</f>
        <v>3</v>
      </c>
      <c r="L53" s="148">
        <f>IFERROR(__xludf.DUMMYFUNCTION("""COMPUTED_VALUE"""),6.0)</f>
        <v>6</v>
      </c>
      <c r="M53" s="148">
        <f>IFERROR(__xludf.DUMMYFUNCTION("""COMPUTED_VALUE"""),60000.0)</f>
        <v>60000</v>
      </c>
      <c r="N53" s="148" t="str">
        <f>IFERROR(__xludf.DUMMYFUNCTION("""COMPUTED_VALUE"""),"[{""typ"":""rss"",""id"":11141001,""val"":160},{""typ"":""rss"",""id"":11141003,""val"":240}]")</f>
        <v>[{"typ":"rss","id":11141001,"val":160},{"typ":"rss","id":11141003,"val":240}]</v>
      </c>
      <c r="O53" s="148" t="str">
        <f>IFERROR(__xludf.DUMMYFUNCTION("""COMPUTED_VALUE"""),"{""op"":""and"",""args"":[{""op"":""ge"",""typ"":""arms_group"",""id"":11671203,""val"":1}]}")</f>
        <v>{"op":"and","args":[{"op":"ge","typ":"arms_group","id":11671203,"val":1}]}</v>
      </c>
      <c r="P53" s="148">
        <f>IFERROR(__xludf.DUMMYFUNCTION("""COMPUTED_VALUE"""),2000.0)</f>
        <v>2000</v>
      </c>
      <c r="Q53" s="148" t="str">
        <f>IFERROR(__xludf.DUMMYFUNCTION("""COMPUTED_VALUE"""),"[{""typ"":""rss"",""id"":11141001,""val"":64},{""typ"":""rss"",""id"":11141003,""val"":96}]")</f>
        <v>[{"typ":"rss","id":11141001,"val":64},{"typ":"rss","id":11141003,"val":96}]</v>
      </c>
      <c r="R53" s="148" t="str">
        <f>IFERROR(__xludf.DUMMYFUNCTION("""COMPUTED_VALUE"""),"{}")</f>
        <v>{}</v>
      </c>
      <c r="S53" s="148">
        <f>IFERROR(__xludf.DUMMYFUNCTION("""COMPUTED_VALUE"""),30000.0)</f>
        <v>30000</v>
      </c>
      <c r="T53" s="148" t="str">
        <f>IFERROR(__xludf.DUMMYFUNCTION("""COMPUTED_VALUE"""),"[{""typ"":""rss"",""id"":11141001,""val"":80},{""typ"":""rss"",""id"":11141003,""val"":120}]")</f>
        <v>[{"typ":"rss","id":11141001,"val":80},{"typ":"rss","id":11141003,"val":120}]</v>
      </c>
      <c r="U53" s="148">
        <f>IFERROR(__xludf.DUMMYFUNCTION("""COMPUTED_VALUE"""),0.0)</f>
        <v>0</v>
      </c>
      <c r="V53" s="148" t="str">
        <f>IFERROR(__xludf.DUMMYFUNCTION("""COMPUTED_VALUE"""),"{""op"":""and"",""args"":[{""op"":""ge"",""typ"":""arms_group"",""id"":11671203,""val"":1}]}")</f>
        <v>{"op":"and","args":[{"op":"ge","typ":"arms_group","id":11671203,"val":1}]}</v>
      </c>
      <c r="W53" s="148" t="str">
        <f>IFERROR(__xludf.DUMMYFUNCTION("""COMPUTED_VALUE"""),"[]")</f>
        <v>[]</v>
      </c>
      <c r="X53" s="148" t="str">
        <f>IFERROR(__xludf.DUMMYFUNCTION("""COMPUTED_VALUE"""),"[{""typ"":""power"",""id"":12141002,""val"":4}]")</f>
        <v>[{"typ":"power","id":12141002,"val":4}]</v>
      </c>
      <c r="Y53" s="148" t="str">
        <f>IFERROR(__xludf.DUMMYFUNCTION("""COMPUTED_VALUE"""),"[{""typ"":""atk"",""val"":164},{""typ"":""def"",""val"":160},{""typ"":""hp"",""val"":167},{""typ"":""speed"",""val"":42},{""typ"":""load"",""val"":8},{""typ"":""backcoef"",""val"":0.5},{""typ"":""atkcoef"",""val"":1.0},{""typ"":""atkcd"",""val"":0}]")</f>
        <v>[{"typ":"atk","val":164},{"typ":"def","val":160},{"typ":"hp","val":167},{"typ":"speed","val":42},{"typ":"load","val":8},{"typ":"backcoef","val":0.5},{"typ":"atkcoef","val":1.0},{"typ":"atkcd","val":0}]</v>
      </c>
      <c r="Z53" s="148" t="str">
        <f>IFERROR(__xludf.DUMMYFUNCTION("""COMPUTED_VALUE"""),"[]")</f>
        <v>[]</v>
      </c>
    </row>
    <row r="54">
      <c r="A54" s="148">
        <f>IFERROR(__xludf.DUMMYFUNCTION("""COMPUTED_VALUE"""),1.1211118E7)</f>
        <v>11211118</v>
      </c>
      <c r="B54" s="148" t="str">
        <f>IFERROR(__xludf.DUMMYFUNCTION("""COMPUTED_VALUE"""),"骑兵-lv3-3")</f>
        <v>骑兵-lv3-3</v>
      </c>
      <c r="C54" s="148">
        <f>IFERROR(__xludf.DUMMYFUNCTION("""COMPUTED_VALUE"""),1.1221002E7)</f>
        <v>11221002</v>
      </c>
      <c r="D54" s="148">
        <f>IFERROR(__xludf.DUMMYFUNCTION("""COMPUTED_VALUE"""),1.5110059E7)</f>
        <v>15110059</v>
      </c>
      <c r="E54" s="148" t="str">
        <f>IFERROR(__xludf.DUMMYFUNCTION("""COMPUTED_VALUE"""),"{""typ"":""lc"",""txt"":""LC_SOLDIER_pilot_name_3""}")</f>
        <v>{"typ":"lc","txt":"LC_SOLDIER_pilot_name_3"}</v>
      </c>
      <c r="F54" s="148" t="str">
        <f>IFERROR(__xludf.DUMMYFUNCTION("""COMPUTED_VALUE"""),"{""typ"":""lc"",""txt"":""LC_SOLDIER_pilot_desc_3""}")</f>
        <v>{"typ":"lc","txt":"LC_SOLDIER_pilot_desc_3"}</v>
      </c>
      <c r="G54" s="148">
        <f>IFERROR(__xludf.DUMMYFUNCTION("""COMPUTED_VALUE"""),4.0)</f>
        <v>4</v>
      </c>
      <c r="H54" s="148">
        <f>IFERROR(__xludf.DUMMYFUNCTION("""COMPUTED_VALUE"""),12.0)</f>
        <v>12</v>
      </c>
      <c r="I54" s="148">
        <f>IFERROR(__xludf.DUMMYFUNCTION("""COMPUTED_VALUE"""),10006.0)</f>
        <v>10006</v>
      </c>
      <c r="J54" s="148">
        <f>IFERROR(__xludf.DUMMYFUNCTION("""COMPUTED_VALUE"""),6.0)</f>
        <v>6</v>
      </c>
      <c r="K54" s="148">
        <f>IFERROR(__xludf.DUMMYFUNCTION("""COMPUTED_VALUE"""),3.0)</f>
        <v>3</v>
      </c>
      <c r="L54" s="148">
        <f>IFERROR(__xludf.DUMMYFUNCTION("""COMPUTED_VALUE"""),6.0)</f>
        <v>6</v>
      </c>
      <c r="M54" s="148">
        <f>IFERROR(__xludf.DUMMYFUNCTION("""COMPUTED_VALUE"""),60000.0)</f>
        <v>60000</v>
      </c>
      <c r="N54" s="148" t="str">
        <f>IFERROR(__xludf.DUMMYFUNCTION("""COMPUTED_VALUE"""),"[{""typ"":""rss"",""id"":11141001,""val"":160},{""typ"":""rss"",""id"":11141003,""val"":240}]")</f>
        <v>[{"typ":"rss","id":11141001,"val":160},{"typ":"rss","id":11141003,"val":240}]</v>
      </c>
      <c r="O54" s="148" t="str">
        <f>IFERROR(__xludf.DUMMYFUNCTION("""COMPUTED_VALUE"""),"{""op"":""and"",""args"":[{""op"":""ge"",""typ"":""arms_group"",""id"":11671204,""val"":1}]}")</f>
        <v>{"op":"and","args":[{"op":"ge","typ":"arms_group","id":11671204,"val":1}]}</v>
      </c>
      <c r="P54" s="148">
        <f>IFERROR(__xludf.DUMMYFUNCTION("""COMPUTED_VALUE"""),2000.0)</f>
        <v>2000</v>
      </c>
      <c r="Q54" s="148" t="str">
        <f>IFERROR(__xludf.DUMMYFUNCTION("""COMPUTED_VALUE"""),"[{""typ"":""rss"",""id"":11141001,""val"":64},{""typ"":""rss"",""id"":11141003,""val"":96}]")</f>
        <v>[{"typ":"rss","id":11141001,"val":64},{"typ":"rss","id":11141003,"val":96}]</v>
      </c>
      <c r="R54" s="148" t="str">
        <f>IFERROR(__xludf.DUMMYFUNCTION("""COMPUTED_VALUE"""),"{}")</f>
        <v>{}</v>
      </c>
      <c r="S54" s="148">
        <f>IFERROR(__xludf.DUMMYFUNCTION("""COMPUTED_VALUE"""),30000.0)</f>
        <v>30000</v>
      </c>
      <c r="T54" s="148" t="str">
        <f>IFERROR(__xludf.DUMMYFUNCTION("""COMPUTED_VALUE"""),"[{""typ"":""rss"",""id"":11141001,""val"":80},{""typ"":""rss"",""id"":11141003,""val"":120}]")</f>
        <v>[{"typ":"rss","id":11141001,"val":80},{"typ":"rss","id":11141003,"val":120}]</v>
      </c>
      <c r="U54" s="148">
        <f>IFERROR(__xludf.DUMMYFUNCTION("""COMPUTED_VALUE"""),0.0)</f>
        <v>0</v>
      </c>
      <c r="V54" s="148" t="str">
        <f>IFERROR(__xludf.DUMMYFUNCTION("""COMPUTED_VALUE"""),"{""op"":""and"",""args"":[{""op"":""ge"",""typ"":""arms_group"",""id"":11671204,""val"":1}]}")</f>
        <v>{"op":"and","args":[{"op":"ge","typ":"arms_group","id":11671204,"val":1}]}</v>
      </c>
      <c r="W54" s="148" t="str">
        <f>IFERROR(__xludf.DUMMYFUNCTION("""COMPUTED_VALUE"""),"[]")</f>
        <v>[]</v>
      </c>
      <c r="X54" s="148" t="str">
        <f>IFERROR(__xludf.DUMMYFUNCTION("""COMPUTED_VALUE"""),"[{""typ"":""power"",""id"":12141002,""val"":4}]")</f>
        <v>[{"typ":"power","id":12141002,"val":4}]</v>
      </c>
      <c r="Y54" s="148" t="str">
        <f>IFERROR(__xludf.DUMMYFUNCTION("""COMPUTED_VALUE"""),"[{""typ"":""atk"",""val"":167},{""typ"":""def"",""val"":163},{""typ"":""hp"",""val"":168},{""typ"":""speed"",""val"":42},{""typ"":""load"",""val"":8},{""typ"":""backcoef"",""val"":0.5},{""typ"":""atkcoef"",""val"":1.0},{""typ"":""atkcd"",""val"":0}]")</f>
        <v>[{"typ":"atk","val":167},{"typ":"def","val":163},{"typ":"hp","val":168},{"typ":"speed","val":42},{"typ":"load","val":8},{"typ":"backcoef","val":0.5},{"typ":"atkcoef","val":1.0},{"typ":"atkcd","val":0}]</v>
      </c>
      <c r="Z54" s="148" t="str">
        <f>IFERROR(__xludf.DUMMYFUNCTION("""COMPUTED_VALUE"""),"[]")</f>
        <v>[]</v>
      </c>
    </row>
    <row r="55">
      <c r="A55" s="148">
        <f>IFERROR(__xludf.DUMMYFUNCTION("""COMPUTED_VALUE"""),1.1211119E7)</f>
        <v>11211119</v>
      </c>
      <c r="B55" s="148" t="str">
        <f>IFERROR(__xludf.DUMMYFUNCTION("""COMPUTED_VALUE"""),"骑兵-lv3-4")</f>
        <v>骑兵-lv3-4</v>
      </c>
      <c r="C55" s="148">
        <f>IFERROR(__xludf.DUMMYFUNCTION("""COMPUTED_VALUE"""),1.1221002E7)</f>
        <v>11221002</v>
      </c>
      <c r="D55" s="148">
        <f>IFERROR(__xludf.DUMMYFUNCTION("""COMPUTED_VALUE"""),1.5110059E7)</f>
        <v>15110059</v>
      </c>
      <c r="E55" s="148" t="str">
        <f>IFERROR(__xludf.DUMMYFUNCTION("""COMPUTED_VALUE"""),"{""typ"":""lc"",""txt"":""LC_SOLDIER_pilot_name_3""}")</f>
        <v>{"typ":"lc","txt":"LC_SOLDIER_pilot_name_3"}</v>
      </c>
      <c r="F55" s="148" t="str">
        <f>IFERROR(__xludf.DUMMYFUNCTION("""COMPUTED_VALUE"""),"{""typ"":""lc"",""txt"":""LC_SOLDIER_pilot_desc_3""}")</f>
        <v>{"typ":"lc","txt":"LC_SOLDIER_pilot_desc_3"}</v>
      </c>
      <c r="G55" s="148">
        <f>IFERROR(__xludf.DUMMYFUNCTION("""COMPUTED_VALUE"""),4.0)</f>
        <v>4</v>
      </c>
      <c r="H55" s="148">
        <f>IFERROR(__xludf.DUMMYFUNCTION("""COMPUTED_VALUE"""),12.0)</f>
        <v>12</v>
      </c>
      <c r="I55" s="148">
        <f>IFERROR(__xludf.DUMMYFUNCTION("""COMPUTED_VALUE"""),10006.0)</f>
        <v>10006</v>
      </c>
      <c r="J55" s="148">
        <f>IFERROR(__xludf.DUMMYFUNCTION("""COMPUTED_VALUE"""),6.0)</f>
        <v>6</v>
      </c>
      <c r="K55" s="148">
        <f>IFERROR(__xludf.DUMMYFUNCTION("""COMPUTED_VALUE"""),3.0)</f>
        <v>3</v>
      </c>
      <c r="L55" s="148">
        <f>IFERROR(__xludf.DUMMYFUNCTION("""COMPUTED_VALUE"""),6.0)</f>
        <v>6</v>
      </c>
      <c r="M55" s="148">
        <f>IFERROR(__xludf.DUMMYFUNCTION("""COMPUTED_VALUE"""),60000.0)</f>
        <v>60000</v>
      </c>
      <c r="N55" s="148" t="str">
        <f>IFERROR(__xludf.DUMMYFUNCTION("""COMPUTED_VALUE"""),"[{""typ"":""rss"",""id"":11141001,""val"":160},{""typ"":""rss"",""id"":11141003,""val"":240}]")</f>
        <v>[{"typ":"rss","id":11141001,"val":160},{"typ":"rss","id":11141003,"val":240}]</v>
      </c>
      <c r="O55" s="148" t="str">
        <f>IFERROR(__xludf.DUMMYFUNCTION("""COMPUTED_VALUE"""),"{""op"":""and"",""args"":[{""op"":""ge"",""typ"":""arms_group"",""id"":11671205,""val"":1}]}")</f>
        <v>{"op":"and","args":[{"op":"ge","typ":"arms_group","id":11671205,"val":1}]}</v>
      </c>
      <c r="P55" s="148">
        <f>IFERROR(__xludf.DUMMYFUNCTION("""COMPUTED_VALUE"""),2000.0)</f>
        <v>2000</v>
      </c>
      <c r="Q55" s="148" t="str">
        <f>IFERROR(__xludf.DUMMYFUNCTION("""COMPUTED_VALUE"""),"[{""typ"":""rss"",""id"":11141001,""val"":64},{""typ"":""rss"",""id"":11141003,""val"":96}]")</f>
        <v>[{"typ":"rss","id":11141001,"val":64},{"typ":"rss","id":11141003,"val":96}]</v>
      </c>
      <c r="R55" s="148" t="str">
        <f>IFERROR(__xludf.DUMMYFUNCTION("""COMPUTED_VALUE"""),"{}")</f>
        <v>{}</v>
      </c>
      <c r="S55" s="148">
        <f>IFERROR(__xludf.DUMMYFUNCTION("""COMPUTED_VALUE"""),30000.0)</f>
        <v>30000</v>
      </c>
      <c r="T55" s="148" t="str">
        <f>IFERROR(__xludf.DUMMYFUNCTION("""COMPUTED_VALUE"""),"[{""typ"":""rss"",""id"":11141001,""val"":80},{""typ"":""rss"",""id"":11141003,""val"":120}]")</f>
        <v>[{"typ":"rss","id":11141001,"val":80},{"typ":"rss","id":11141003,"val":120}]</v>
      </c>
      <c r="U55" s="148">
        <f>IFERROR(__xludf.DUMMYFUNCTION("""COMPUTED_VALUE"""),0.0)</f>
        <v>0</v>
      </c>
      <c r="V55" s="148" t="str">
        <f>IFERROR(__xludf.DUMMYFUNCTION("""COMPUTED_VALUE"""),"{""op"":""and"",""args"":[{""op"":""ge"",""typ"":""arms_group"",""id"":11671205,""val"":1}]}")</f>
        <v>{"op":"and","args":[{"op":"ge","typ":"arms_group","id":11671205,"val":1}]}</v>
      </c>
      <c r="W55" s="148" t="str">
        <f>IFERROR(__xludf.DUMMYFUNCTION("""COMPUTED_VALUE"""),"[]")</f>
        <v>[]</v>
      </c>
      <c r="X55" s="148" t="str">
        <f>IFERROR(__xludf.DUMMYFUNCTION("""COMPUTED_VALUE"""),"[{""typ"":""power"",""id"":12141002,""val"":4}]")</f>
        <v>[{"typ":"power","id":12141002,"val":4}]</v>
      </c>
      <c r="Y55" s="148" t="str">
        <f>IFERROR(__xludf.DUMMYFUNCTION("""COMPUTED_VALUE"""),"[{""typ"":""atk"",""val"":170},{""typ"":""def"",""val"":166},{""typ"":""hp"",""val"":169},{""typ"":""speed"",""val"":42},{""typ"":""load"",""val"":8},{""typ"":""backcoef"",""val"":0.5},{""typ"":""atkcoef"",""val"":1.0},{""typ"":""atkcd"",""val"":0}]")</f>
        <v>[{"typ":"atk","val":170},{"typ":"def","val":166},{"typ":"hp","val":169},{"typ":"speed","val":42},{"typ":"load","val":8},{"typ":"backcoef","val":0.5},{"typ":"atkcoef","val":1.0},{"typ":"atkcd","val":0}]</v>
      </c>
      <c r="Z55" s="148" t="str">
        <f>IFERROR(__xludf.DUMMYFUNCTION("""COMPUTED_VALUE"""),"[]")</f>
        <v>[]</v>
      </c>
    </row>
    <row r="56">
      <c r="A56" s="148">
        <f>IFERROR(__xludf.DUMMYFUNCTION("""COMPUTED_VALUE"""),1.121112E7)</f>
        <v>11211120</v>
      </c>
      <c r="B56" s="148" t="str">
        <f>IFERROR(__xludf.DUMMYFUNCTION("""COMPUTED_VALUE"""),"骑兵-lv4-1")</f>
        <v>骑兵-lv4-1</v>
      </c>
      <c r="C56" s="148">
        <f>IFERROR(__xludf.DUMMYFUNCTION("""COMPUTED_VALUE"""),1.1221002E7)</f>
        <v>11221002</v>
      </c>
      <c r="D56" s="148">
        <f>IFERROR(__xludf.DUMMYFUNCTION("""COMPUTED_VALUE"""),1.511006E7)</f>
        <v>15110060</v>
      </c>
      <c r="E56" s="148" t="str">
        <f>IFERROR(__xludf.DUMMYFUNCTION("""COMPUTED_VALUE"""),"{""typ"":""lc"",""txt"":""LC_SOLDIER_pilot_name_4""}")</f>
        <v>{"typ":"lc","txt":"LC_SOLDIER_pilot_name_4"}</v>
      </c>
      <c r="F56" s="148" t="str">
        <f>IFERROR(__xludf.DUMMYFUNCTION("""COMPUTED_VALUE"""),"{""typ"":""lc"",""txt"":""LC_SOLDIER_pilot_desc_4""}")</f>
        <v>{"typ":"lc","txt":"LC_SOLDIER_pilot_desc_4"}</v>
      </c>
      <c r="G56" s="148">
        <f>IFERROR(__xludf.DUMMYFUNCTION("""COMPUTED_VALUE"""),8.0)</f>
        <v>8</v>
      </c>
      <c r="H56" s="148">
        <f>IFERROR(__xludf.DUMMYFUNCTION("""COMPUTED_VALUE"""),16.0)</f>
        <v>16</v>
      </c>
      <c r="I56" s="148">
        <f>IFERROR(__xludf.DUMMYFUNCTION("""COMPUTED_VALUE"""),10004.0)</f>
        <v>10004</v>
      </c>
      <c r="J56" s="148">
        <f>IFERROR(__xludf.DUMMYFUNCTION("""COMPUTED_VALUE"""),8.0)</f>
        <v>8</v>
      </c>
      <c r="K56" s="148">
        <f>IFERROR(__xludf.DUMMYFUNCTION("""COMPUTED_VALUE"""),4.0)</f>
        <v>4</v>
      </c>
      <c r="L56" s="148">
        <f>IFERROR(__xludf.DUMMYFUNCTION("""COMPUTED_VALUE"""),6.0)</f>
        <v>6</v>
      </c>
      <c r="M56" s="148">
        <f>IFERROR(__xludf.DUMMYFUNCTION("""COMPUTED_VALUE"""),90000.0)</f>
        <v>90000</v>
      </c>
      <c r="N56" s="148" t="str">
        <f>IFERROR(__xludf.DUMMYFUNCTION("""COMPUTED_VALUE"""),"[{""typ"":""rss"",""id"":11141001,""val"":320},{""typ"":""rss"",""id"":11141003,""val"":480}]")</f>
        <v>[{"typ":"rss","id":11141001,"val":320},{"typ":"rss","id":11141003,"val":480}]</v>
      </c>
      <c r="O56" s="148" t="str">
        <f>IFERROR(__xludf.DUMMYFUNCTION("""COMPUTED_VALUE"""),"{""op"":""and"",""args"":[{""op"":""ge"",""typ"":""arms_group"",""id"":11671302,""val"":1}]}")</f>
        <v>{"op":"and","args":[{"op":"ge","typ":"arms_group","id":11671302,"val":1}]}</v>
      </c>
      <c r="P56" s="148">
        <f>IFERROR(__xludf.DUMMYFUNCTION("""COMPUTED_VALUE"""),3000.0)</f>
        <v>3000</v>
      </c>
      <c r="Q56" s="148" t="str">
        <f>IFERROR(__xludf.DUMMYFUNCTION("""COMPUTED_VALUE"""),"[{""typ"":""rss"",""id"":11141001,""val"":128},{""typ"":""rss"",""id"":11141003,""val"":192}]")</f>
        <v>[{"typ":"rss","id":11141001,"val":128},{"typ":"rss","id":11141003,"val":192}]</v>
      </c>
      <c r="R56" s="148" t="str">
        <f>IFERROR(__xludf.DUMMYFUNCTION("""COMPUTED_VALUE"""),"{}")</f>
        <v>{}</v>
      </c>
      <c r="S56" s="148">
        <f>IFERROR(__xludf.DUMMYFUNCTION("""COMPUTED_VALUE"""),30000.0)</f>
        <v>30000</v>
      </c>
      <c r="T56" s="148" t="str">
        <f>IFERROR(__xludf.DUMMYFUNCTION("""COMPUTED_VALUE"""),"[{""typ"":""rss"",""id"":11141001,""val"":160},{""typ"":""rss"",""id"":11141003,""val"":240}]")</f>
        <v>[{"typ":"rss","id":11141001,"val":160},{"typ":"rss","id":11141003,"val":240}]</v>
      </c>
      <c r="U56" s="148">
        <f>IFERROR(__xludf.DUMMYFUNCTION("""COMPUTED_VALUE"""),0.0)</f>
        <v>0</v>
      </c>
      <c r="V56" s="148" t="str">
        <f>IFERROR(__xludf.DUMMYFUNCTION("""COMPUTED_VALUE"""),"{""op"":""and"",""args"":[{""op"":""ge"",""typ"":""arms_group"",""id"":11671302,""val"":1}]}")</f>
        <v>{"op":"and","args":[{"op":"ge","typ":"arms_group","id":11671302,"val":1}]}</v>
      </c>
      <c r="W56" s="148" t="str">
        <f>IFERROR(__xludf.DUMMYFUNCTION("""COMPUTED_VALUE"""),"[]")</f>
        <v>[]</v>
      </c>
      <c r="X56" s="148" t="str">
        <f>IFERROR(__xludf.DUMMYFUNCTION("""COMPUTED_VALUE"""),"[{""typ"":""power"",""id"":12141002,""val"":6}]")</f>
        <v>[{"typ":"power","id":12141002,"val":6}]</v>
      </c>
      <c r="Y56" s="148" t="str">
        <f>IFERROR(__xludf.DUMMYFUNCTION("""COMPUTED_VALUE"""),"[{""typ"":""atk"",""val"":201},{""typ"":""def"",""val"":187},{""typ"":""hp"",""val"":186},{""typ"":""speed"",""val"":40},{""typ"":""load"",""val"":10},{""typ"":""backcoef"",""val"":0.5},{""typ"":""atkcoef"",""val"":1.0},{""typ"":""atkcd"",""val"":0}]")</f>
        <v>[{"typ":"atk","val":201},{"typ":"def","val":187},{"typ":"hp","val":186},{"typ":"speed","val":40},{"typ":"load","val":10},{"typ":"backcoef","val":0.5},{"typ":"atkcoef","val":1.0},{"typ":"atkcd","val":0}]</v>
      </c>
      <c r="Z56" s="148" t="str">
        <f>IFERROR(__xludf.DUMMYFUNCTION("""COMPUTED_VALUE"""),"[]")</f>
        <v>[]</v>
      </c>
    </row>
    <row r="57">
      <c r="A57" s="148">
        <f>IFERROR(__xludf.DUMMYFUNCTION("""COMPUTED_VALUE"""),1.1211121E7)</f>
        <v>11211121</v>
      </c>
      <c r="B57" s="148" t="str">
        <f>IFERROR(__xludf.DUMMYFUNCTION("""COMPUTED_VALUE"""),"骑兵-lv4-2")</f>
        <v>骑兵-lv4-2</v>
      </c>
      <c r="C57" s="148">
        <f>IFERROR(__xludf.DUMMYFUNCTION("""COMPUTED_VALUE"""),1.1221002E7)</f>
        <v>11221002</v>
      </c>
      <c r="D57" s="148">
        <f>IFERROR(__xludf.DUMMYFUNCTION("""COMPUTED_VALUE"""),1.511006E7)</f>
        <v>15110060</v>
      </c>
      <c r="E57" s="148" t="str">
        <f>IFERROR(__xludf.DUMMYFUNCTION("""COMPUTED_VALUE"""),"{""typ"":""lc"",""txt"":""LC_SOLDIER_pilot_name_4""}")</f>
        <v>{"typ":"lc","txt":"LC_SOLDIER_pilot_name_4"}</v>
      </c>
      <c r="F57" s="148" t="str">
        <f>IFERROR(__xludf.DUMMYFUNCTION("""COMPUTED_VALUE"""),"{""typ"":""lc"",""txt"":""LC_SOLDIER_pilot_desc_4""}")</f>
        <v>{"typ":"lc","txt":"LC_SOLDIER_pilot_desc_4"}</v>
      </c>
      <c r="G57" s="148">
        <f>IFERROR(__xludf.DUMMYFUNCTION("""COMPUTED_VALUE"""),8.0)</f>
        <v>8</v>
      </c>
      <c r="H57" s="148">
        <f>IFERROR(__xludf.DUMMYFUNCTION("""COMPUTED_VALUE"""),16.0)</f>
        <v>16</v>
      </c>
      <c r="I57" s="148">
        <f>IFERROR(__xludf.DUMMYFUNCTION("""COMPUTED_VALUE"""),10004.0)</f>
        <v>10004</v>
      </c>
      <c r="J57" s="148">
        <f>IFERROR(__xludf.DUMMYFUNCTION("""COMPUTED_VALUE"""),8.0)</f>
        <v>8</v>
      </c>
      <c r="K57" s="148">
        <f>IFERROR(__xludf.DUMMYFUNCTION("""COMPUTED_VALUE"""),4.0)</f>
        <v>4</v>
      </c>
      <c r="L57" s="148">
        <f>IFERROR(__xludf.DUMMYFUNCTION("""COMPUTED_VALUE"""),6.0)</f>
        <v>6</v>
      </c>
      <c r="M57" s="148">
        <f>IFERROR(__xludf.DUMMYFUNCTION("""COMPUTED_VALUE"""),90000.0)</f>
        <v>90000</v>
      </c>
      <c r="N57" s="148" t="str">
        <f>IFERROR(__xludf.DUMMYFUNCTION("""COMPUTED_VALUE"""),"[{""typ"":""rss"",""id"":11141001,""val"":320},{""typ"":""rss"",""id"":11141003,""val"":480}]")</f>
        <v>[{"typ":"rss","id":11141001,"val":320},{"typ":"rss","id":11141003,"val":480}]</v>
      </c>
      <c r="O57" s="148" t="str">
        <f>IFERROR(__xludf.DUMMYFUNCTION("""COMPUTED_VALUE"""),"{""op"":""and"",""args"":[{""op"":""ge"",""typ"":""arms_group"",""id"":11671303,""val"":1}]}")</f>
        <v>{"op":"and","args":[{"op":"ge","typ":"arms_group","id":11671303,"val":1}]}</v>
      </c>
      <c r="P57" s="148">
        <f>IFERROR(__xludf.DUMMYFUNCTION("""COMPUTED_VALUE"""),3000.0)</f>
        <v>3000</v>
      </c>
      <c r="Q57" s="148" t="str">
        <f>IFERROR(__xludf.DUMMYFUNCTION("""COMPUTED_VALUE"""),"[{""typ"":""rss"",""id"":11141001,""val"":128},{""typ"":""rss"",""id"":11141003,""val"":192}]")</f>
        <v>[{"typ":"rss","id":11141001,"val":128},{"typ":"rss","id":11141003,"val":192}]</v>
      </c>
      <c r="R57" s="148" t="str">
        <f>IFERROR(__xludf.DUMMYFUNCTION("""COMPUTED_VALUE"""),"{}")</f>
        <v>{}</v>
      </c>
      <c r="S57" s="148">
        <f>IFERROR(__xludf.DUMMYFUNCTION("""COMPUTED_VALUE"""),30000.0)</f>
        <v>30000</v>
      </c>
      <c r="T57" s="148" t="str">
        <f>IFERROR(__xludf.DUMMYFUNCTION("""COMPUTED_VALUE"""),"[{""typ"":""rss"",""id"":11141001,""val"":160},{""typ"":""rss"",""id"":11141003,""val"":240}]")</f>
        <v>[{"typ":"rss","id":11141001,"val":160},{"typ":"rss","id":11141003,"val":240}]</v>
      </c>
      <c r="U57" s="148">
        <f>IFERROR(__xludf.DUMMYFUNCTION("""COMPUTED_VALUE"""),0.0)</f>
        <v>0</v>
      </c>
      <c r="V57" s="148" t="str">
        <f>IFERROR(__xludf.DUMMYFUNCTION("""COMPUTED_VALUE"""),"{""op"":""and"",""args"":[{""op"":""ge"",""typ"":""arms_group"",""id"":11671303,""val"":1}]}")</f>
        <v>{"op":"and","args":[{"op":"ge","typ":"arms_group","id":11671303,"val":1}]}</v>
      </c>
      <c r="W57" s="148" t="str">
        <f>IFERROR(__xludf.DUMMYFUNCTION("""COMPUTED_VALUE"""),"[]")</f>
        <v>[]</v>
      </c>
      <c r="X57" s="148" t="str">
        <f>IFERROR(__xludf.DUMMYFUNCTION("""COMPUTED_VALUE"""),"[{""typ"":""power"",""id"":12141002,""val"":6}]")</f>
        <v>[{"typ":"power","id":12141002,"val":6}]</v>
      </c>
      <c r="Y57" s="148" t="str">
        <f>IFERROR(__xludf.DUMMYFUNCTION("""COMPUTED_VALUE"""),"[{""typ"":""atk"",""val"":204},{""typ"":""def"",""val"":190},{""typ"":""hp"",""val"":187},{""typ"":""speed"",""val"":40},{""typ"":""load"",""val"":10},{""typ"":""backcoef"",""val"":0.5},{""typ"":""atkcoef"",""val"":1.0},{""typ"":""atkcd"",""val"":0}]")</f>
        <v>[{"typ":"atk","val":204},{"typ":"def","val":190},{"typ":"hp","val":187},{"typ":"speed","val":40},{"typ":"load","val":10},{"typ":"backcoef","val":0.5},{"typ":"atkcoef","val":1.0},{"typ":"atkcd","val":0}]</v>
      </c>
      <c r="Z57" s="148" t="str">
        <f>IFERROR(__xludf.DUMMYFUNCTION("""COMPUTED_VALUE"""),"[]")</f>
        <v>[]</v>
      </c>
    </row>
    <row r="58">
      <c r="A58" s="148">
        <f>IFERROR(__xludf.DUMMYFUNCTION("""COMPUTED_VALUE"""),1.1211122E7)</f>
        <v>11211122</v>
      </c>
      <c r="B58" s="148" t="str">
        <f>IFERROR(__xludf.DUMMYFUNCTION("""COMPUTED_VALUE"""),"骑兵-lv4-3")</f>
        <v>骑兵-lv4-3</v>
      </c>
      <c r="C58" s="148">
        <f>IFERROR(__xludf.DUMMYFUNCTION("""COMPUTED_VALUE"""),1.1221002E7)</f>
        <v>11221002</v>
      </c>
      <c r="D58" s="148">
        <f>IFERROR(__xludf.DUMMYFUNCTION("""COMPUTED_VALUE"""),1.511006E7)</f>
        <v>15110060</v>
      </c>
      <c r="E58" s="148" t="str">
        <f>IFERROR(__xludf.DUMMYFUNCTION("""COMPUTED_VALUE"""),"{""typ"":""lc"",""txt"":""LC_SOLDIER_pilot_name_4""}")</f>
        <v>{"typ":"lc","txt":"LC_SOLDIER_pilot_name_4"}</v>
      </c>
      <c r="F58" s="148" t="str">
        <f>IFERROR(__xludf.DUMMYFUNCTION("""COMPUTED_VALUE"""),"{""typ"":""lc"",""txt"":""LC_SOLDIER_pilot_desc_4""}")</f>
        <v>{"typ":"lc","txt":"LC_SOLDIER_pilot_desc_4"}</v>
      </c>
      <c r="G58" s="148">
        <f>IFERROR(__xludf.DUMMYFUNCTION("""COMPUTED_VALUE"""),8.0)</f>
        <v>8</v>
      </c>
      <c r="H58" s="148">
        <f>IFERROR(__xludf.DUMMYFUNCTION("""COMPUTED_VALUE"""),16.0)</f>
        <v>16</v>
      </c>
      <c r="I58" s="148">
        <f>IFERROR(__xludf.DUMMYFUNCTION("""COMPUTED_VALUE"""),10004.0)</f>
        <v>10004</v>
      </c>
      <c r="J58" s="148">
        <f>IFERROR(__xludf.DUMMYFUNCTION("""COMPUTED_VALUE"""),8.0)</f>
        <v>8</v>
      </c>
      <c r="K58" s="148">
        <f>IFERROR(__xludf.DUMMYFUNCTION("""COMPUTED_VALUE"""),4.0)</f>
        <v>4</v>
      </c>
      <c r="L58" s="148">
        <f>IFERROR(__xludf.DUMMYFUNCTION("""COMPUTED_VALUE"""),6.0)</f>
        <v>6</v>
      </c>
      <c r="M58" s="148">
        <f>IFERROR(__xludf.DUMMYFUNCTION("""COMPUTED_VALUE"""),90000.0)</f>
        <v>90000</v>
      </c>
      <c r="N58" s="148" t="str">
        <f>IFERROR(__xludf.DUMMYFUNCTION("""COMPUTED_VALUE"""),"[{""typ"":""rss"",""id"":11141001,""val"":320},{""typ"":""rss"",""id"":11141003,""val"":480}]")</f>
        <v>[{"typ":"rss","id":11141001,"val":320},{"typ":"rss","id":11141003,"val":480}]</v>
      </c>
      <c r="O58" s="148" t="str">
        <f>IFERROR(__xludf.DUMMYFUNCTION("""COMPUTED_VALUE"""),"{""op"":""and"",""args"":[{""op"":""ge"",""typ"":""arms_group"",""id"":11671304,""val"":1}]}")</f>
        <v>{"op":"and","args":[{"op":"ge","typ":"arms_group","id":11671304,"val":1}]}</v>
      </c>
      <c r="P58" s="148">
        <f>IFERROR(__xludf.DUMMYFUNCTION("""COMPUTED_VALUE"""),3000.0)</f>
        <v>3000</v>
      </c>
      <c r="Q58" s="148" t="str">
        <f>IFERROR(__xludf.DUMMYFUNCTION("""COMPUTED_VALUE"""),"[{""typ"":""rss"",""id"":11141001,""val"":128},{""typ"":""rss"",""id"":11141003,""val"":192}]")</f>
        <v>[{"typ":"rss","id":11141001,"val":128},{"typ":"rss","id":11141003,"val":192}]</v>
      </c>
      <c r="R58" s="148" t="str">
        <f>IFERROR(__xludf.DUMMYFUNCTION("""COMPUTED_VALUE"""),"{}")</f>
        <v>{}</v>
      </c>
      <c r="S58" s="148">
        <f>IFERROR(__xludf.DUMMYFUNCTION("""COMPUTED_VALUE"""),30000.0)</f>
        <v>30000</v>
      </c>
      <c r="T58" s="148" t="str">
        <f>IFERROR(__xludf.DUMMYFUNCTION("""COMPUTED_VALUE"""),"[{""typ"":""rss"",""id"":11141001,""val"":160},{""typ"":""rss"",""id"":11141003,""val"":240}]")</f>
        <v>[{"typ":"rss","id":11141001,"val":160},{"typ":"rss","id":11141003,"val":240}]</v>
      </c>
      <c r="U58" s="148">
        <f>IFERROR(__xludf.DUMMYFUNCTION("""COMPUTED_VALUE"""),0.0)</f>
        <v>0</v>
      </c>
      <c r="V58" s="148" t="str">
        <f>IFERROR(__xludf.DUMMYFUNCTION("""COMPUTED_VALUE"""),"{""op"":""and"",""args"":[{""op"":""ge"",""typ"":""arms_group"",""id"":11671304,""val"":1}]}")</f>
        <v>{"op":"and","args":[{"op":"ge","typ":"arms_group","id":11671304,"val":1}]}</v>
      </c>
      <c r="W58" s="148" t="str">
        <f>IFERROR(__xludf.DUMMYFUNCTION("""COMPUTED_VALUE"""),"[]")</f>
        <v>[]</v>
      </c>
      <c r="X58" s="148" t="str">
        <f>IFERROR(__xludf.DUMMYFUNCTION("""COMPUTED_VALUE"""),"[{""typ"":""power"",""id"":12141002,""val"":6}]")</f>
        <v>[{"typ":"power","id":12141002,"val":6}]</v>
      </c>
      <c r="Y58" s="148" t="str">
        <f>IFERROR(__xludf.DUMMYFUNCTION("""COMPUTED_VALUE"""),"[{""typ"":""atk"",""val"":207},{""typ"":""def"",""val"":193},{""typ"":""hp"",""val"":188},{""typ"":""speed"",""val"":40},{""typ"":""load"",""val"":10},{""typ"":""backcoef"",""val"":0.5},{""typ"":""atkcoef"",""val"":1.0},{""typ"":""atkcd"",""val"":0}]")</f>
        <v>[{"typ":"atk","val":207},{"typ":"def","val":193},{"typ":"hp","val":188},{"typ":"speed","val":40},{"typ":"load","val":10},{"typ":"backcoef","val":0.5},{"typ":"atkcoef","val":1.0},{"typ":"atkcd","val":0}]</v>
      </c>
      <c r="Z58" s="148" t="str">
        <f>IFERROR(__xludf.DUMMYFUNCTION("""COMPUTED_VALUE"""),"[]")</f>
        <v>[]</v>
      </c>
    </row>
    <row r="59">
      <c r="A59" s="148">
        <f>IFERROR(__xludf.DUMMYFUNCTION("""COMPUTED_VALUE"""),1.1211123E7)</f>
        <v>11211123</v>
      </c>
      <c r="B59" s="148" t="str">
        <f>IFERROR(__xludf.DUMMYFUNCTION("""COMPUTED_VALUE"""),"骑兵-lv4-4")</f>
        <v>骑兵-lv4-4</v>
      </c>
      <c r="C59" s="148">
        <f>IFERROR(__xludf.DUMMYFUNCTION("""COMPUTED_VALUE"""),1.1221002E7)</f>
        <v>11221002</v>
      </c>
      <c r="D59" s="148">
        <f>IFERROR(__xludf.DUMMYFUNCTION("""COMPUTED_VALUE"""),1.511006E7)</f>
        <v>15110060</v>
      </c>
      <c r="E59" s="148" t="str">
        <f>IFERROR(__xludf.DUMMYFUNCTION("""COMPUTED_VALUE"""),"{""typ"":""lc"",""txt"":""LC_SOLDIER_pilot_name_4""}")</f>
        <v>{"typ":"lc","txt":"LC_SOLDIER_pilot_name_4"}</v>
      </c>
      <c r="F59" s="148" t="str">
        <f>IFERROR(__xludf.DUMMYFUNCTION("""COMPUTED_VALUE"""),"{""typ"":""lc"",""txt"":""LC_SOLDIER_pilot_desc_4""}")</f>
        <v>{"typ":"lc","txt":"LC_SOLDIER_pilot_desc_4"}</v>
      </c>
      <c r="G59" s="148">
        <f>IFERROR(__xludf.DUMMYFUNCTION("""COMPUTED_VALUE"""),8.0)</f>
        <v>8</v>
      </c>
      <c r="H59" s="148">
        <f>IFERROR(__xludf.DUMMYFUNCTION("""COMPUTED_VALUE"""),16.0)</f>
        <v>16</v>
      </c>
      <c r="I59" s="148">
        <f>IFERROR(__xludf.DUMMYFUNCTION("""COMPUTED_VALUE"""),10004.0)</f>
        <v>10004</v>
      </c>
      <c r="J59" s="148">
        <f>IFERROR(__xludf.DUMMYFUNCTION("""COMPUTED_VALUE"""),8.0)</f>
        <v>8</v>
      </c>
      <c r="K59" s="148">
        <f>IFERROR(__xludf.DUMMYFUNCTION("""COMPUTED_VALUE"""),4.0)</f>
        <v>4</v>
      </c>
      <c r="L59" s="148">
        <f>IFERROR(__xludf.DUMMYFUNCTION("""COMPUTED_VALUE"""),6.0)</f>
        <v>6</v>
      </c>
      <c r="M59" s="148">
        <f>IFERROR(__xludf.DUMMYFUNCTION("""COMPUTED_VALUE"""),90000.0)</f>
        <v>90000</v>
      </c>
      <c r="N59" s="148" t="str">
        <f>IFERROR(__xludf.DUMMYFUNCTION("""COMPUTED_VALUE"""),"[{""typ"":""rss"",""id"":11141001,""val"":320},{""typ"":""rss"",""id"":11141003,""val"":480}]")</f>
        <v>[{"typ":"rss","id":11141001,"val":320},{"typ":"rss","id":11141003,"val":480}]</v>
      </c>
      <c r="O59" s="148" t="str">
        <f>IFERROR(__xludf.DUMMYFUNCTION("""COMPUTED_VALUE"""),"{""op"":""and"",""args"":[{""op"":""ge"",""typ"":""arms_group"",""id"":11671305,""val"":1}]}")</f>
        <v>{"op":"and","args":[{"op":"ge","typ":"arms_group","id":11671305,"val":1}]}</v>
      </c>
      <c r="P59" s="148">
        <f>IFERROR(__xludf.DUMMYFUNCTION("""COMPUTED_VALUE"""),3000.0)</f>
        <v>3000</v>
      </c>
      <c r="Q59" s="148" t="str">
        <f>IFERROR(__xludf.DUMMYFUNCTION("""COMPUTED_VALUE"""),"[{""typ"":""rss"",""id"":11141001,""val"":128},{""typ"":""rss"",""id"":11141003,""val"":192}]")</f>
        <v>[{"typ":"rss","id":11141001,"val":128},{"typ":"rss","id":11141003,"val":192}]</v>
      </c>
      <c r="R59" s="148" t="str">
        <f>IFERROR(__xludf.DUMMYFUNCTION("""COMPUTED_VALUE"""),"{}")</f>
        <v>{}</v>
      </c>
      <c r="S59" s="148">
        <f>IFERROR(__xludf.DUMMYFUNCTION("""COMPUTED_VALUE"""),30000.0)</f>
        <v>30000</v>
      </c>
      <c r="T59" s="148" t="str">
        <f>IFERROR(__xludf.DUMMYFUNCTION("""COMPUTED_VALUE"""),"[{""typ"":""rss"",""id"":11141001,""val"":160},{""typ"":""rss"",""id"":11141003,""val"":240}]")</f>
        <v>[{"typ":"rss","id":11141001,"val":160},{"typ":"rss","id":11141003,"val":240}]</v>
      </c>
      <c r="U59" s="148">
        <f>IFERROR(__xludf.DUMMYFUNCTION("""COMPUTED_VALUE"""),0.0)</f>
        <v>0</v>
      </c>
      <c r="V59" s="148" t="str">
        <f>IFERROR(__xludf.DUMMYFUNCTION("""COMPUTED_VALUE"""),"{""op"":""and"",""args"":[{""op"":""ge"",""typ"":""arms_group"",""id"":11671305,""val"":1}]}")</f>
        <v>{"op":"and","args":[{"op":"ge","typ":"arms_group","id":11671305,"val":1}]}</v>
      </c>
      <c r="W59" s="148" t="str">
        <f>IFERROR(__xludf.DUMMYFUNCTION("""COMPUTED_VALUE"""),"[]")</f>
        <v>[]</v>
      </c>
      <c r="X59" s="148" t="str">
        <f>IFERROR(__xludf.DUMMYFUNCTION("""COMPUTED_VALUE"""),"[{""typ"":""power"",""id"":12141002,""val"":6}]")</f>
        <v>[{"typ":"power","id":12141002,"val":6}]</v>
      </c>
      <c r="Y59" s="148" t="str">
        <f>IFERROR(__xludf.DUMMYFUNCTION("""COMPUTED_VALUE"""),"[{""typ"":""atk"",""val"":210},{""typ"":""def"",""val"":196},{""typ"":""hp"",""val"":189},{""typ"":""speed"",""val"":40},{""typ"":""load"",""val"":10},{""typ"":""backcoef"",""val"":0.5},{""typ"":""atkcoef"",""val"":1.0},{""typ"":""atkcd"",""val"":0}]")</f>
        <v>[{"typ":"atk","val":210},{"typ":"def","val":196},{"typ":"hp","val":189},{"typ":"speed","val":40},{"typ":"load","val":10},{"typ":"backcoef","val":0.5},{"typ":"atkcoef","val":1.0},{"typ":"atkcd","val":0}]</v>
      </c>
      <c r="Z59" s="148" t="str">
        <f>IFERROR(__xludf.DUMMYFUNCTION("""COMPUTED_VALUE"""),"[]")</f>
        <v>[]</v>
      </c>
    </row>
    <row r="60">
      <c r="A60" s="148">
        <f>IFERROR(__xludf.DUMMYFUNCTION("""COMPUTED_VALUE"""),1.1211124E7)</f>
        <v>11211124</v>
      </c>
      <c r="B60" s="148" t="str">
        <f>IFERROR(__xludf.DUMMYFUNCTION("""COMPUTED_VALUE"""),"骑兵-lv4-5")</f>
        <v>骑兵-lv4-5</v>
      </c>
      <c r="C60" s="148">
        <f>IFERROR(__xludf.DUMMYFUNCTION("""COMPUTED_VALUE"""),1.1221002E7)</f>
        <v>11221002</v>
      </c>
      <c r="D60" s="148">
        <f>IFERROR(__xludf.DUMMYFUNCTION("""COMPUTED_VALUE"""),1.511006E7)</f>
        <v>15110060</v>
      </c>
      <c r="E60" s="148" t="str">
        <f>IFERROR(__xludf.DUMMYFUNCTION("""COMPUTED_VALUE"""),"{""typ"":""lc"",""txt"":""LC_SOLDIER_pilot_name_4""}")</f>
        <v>{"typ":"lc","txt":"LC_SOLDIER_pilot_name_4"}</v>
      </c>
      <c r="F60" s="148" t="str">
        <f>IFERROR(__xludf.DUMMYFUNCTION("""COMPUTED_VALUE"""),"{""typ"":""lc"",""txt"":""LC_SOLDIER_pilot_desc_4""}")</f>
        <v>{"typ":"lc","txt":"LC_SOLDIER_pilot_desc_4"}</v>
      </c>
      <c r="G60" s="148">
        <f>IFERROR(__xludf.DUMMYFUNCTION("""COMPUTED_VALUE"""),8.0)</f>
        <v>8</v>
      </c>
      <c r="H60" s="148">
        <f>IFERROR(__xludf.DUMMYFUNCTION("""COMPUTED_VALUE"""),16.0)</f>
        <v>16</v>
      </c>
      <c r="I60" s="148">
        <f>IFERROR(__xludf.DUMMYFUNCTION("""COMPUTED_VALUE"""),10004.0)</f>
        <v>10004</v>
      </c>
      <c r="J60" s="148">
        <f>IFERROR(__xludf.DUMMYFUNCTION("""COMPUTED_VALUE"""),8.0)</f>
        <v>8</v>
      </c>
      <c r="K60" s="148">
        <f>IFERROR(__xludf.DUMMYFUNCTION("""COMPUTED_VALUE"""),4.0)</f>
        <v>4</v>
      </c>
      <c r="L60" s="148">
        <f>IFERROR(__xludf.DUMMYFUNCTION("""COMPUTED_VALUE"""),6.0)</f>
        <v>6</v>
      </c>
      <c r="M60" s="148">
        <f>IFERROR(__xludf.DUMMYFUNCTION("""COMPUTED_VALUE"""),90000.0)</f>
        <v>90000</v>
      </c>
      <c r="N60" s="148" t="str">
        <f>IFERROR(__xludf.DUMMYFUNCTION("""COMPUTED_VALUE"""),"[{""typ"":""rss"",""id"":11141001,""val"":320},{""typ"":""rss"",""id"":11141003,""val"":480}]")</f>
        <v>[{"typ":"rss","id":11141001,"val":320},{"typ":"rss","id":11141003,"val":480}]</v>
      </c>
      <c r="O60" s="148" t="str">
        <f>IFERROR(__xludf.DUMMYFUNCTION("""COMPUTED_VALUE"""),"{""op"":""and"",""args"":[{""op"":""ge"",""typ"":""arms_group"",""id"":11671306,""val"":1}]}")</f>
        <v>{"op":"and","args":[{"op":"ge","typ":"arms_group","id":11671306,"val":1}]}</v>
      </c>
      <c r="P60" s="148">
        <f>IFERROR(__xludf.DUMMYFUNCTION("""COMPUTED_VALUE"""),3000.0)</f>
        <v>3000</v>
      </c>
      <c r="Q60" s="148" t="str">
        <f>IFERROR(__xludf.DUMMYFUNCTION("""COMPUTED_VALUE"""),"[{""typ"":""rss"",""id"":11141001,""val"":128},{""typ"":""rss"",""id"":11141003,""val"":192}]")</f>
        <v>[{"typ":"rss","id":11141001,"val":128},{"typ":"rss","id":11141003,"val":192}]</v>
      </c>
      <c r="R60" s="148" t="str">
        <f>IFERROR(__xludf.DUMMYFUNCTION("""COMPUTED_VALUE"""),"{}")</f>
        <v>{}</v>
      </c>
      <c r="S60" s="148">
        <f>IFERROR(__xludf.DUMMYFUNCTION("""COMPUTED_VALUE"""),30000.0)</f>
        <v>30000</v>
      </c>
      <c r="T60" s="148" t="str">
        <f>IFERROR(__xludf.DUMMYFUNCTION("""COMPUTED_VALUE"""),"[{""typ"":""rss"",""id"":11141001,""val"":160},{""typ"":""rss"",""id"":11141003,""val"":240}]")</f>
        <v>[{"typ":"rss","id":11141001,"val":160},{"typ":"rss","id":11141003,"val":240}]</v>
      </c>
      <c r="U60" s="148">
        <f>IFERROR(__xludf.DUMMYFUNCTION("""COMPUTED_VALUE"""),0.0)</f>
        <v>0</v>
      </c>
      <c r="V60" s="148" t="str">
        <f>IFERROR(__xludf.DUMMYFUNCTION("""COMPUTED_VALUE"""),"{""op"":""and"",""args"":[{""op"":""ge"",""typ"":""arms_group"",""id"":11671306,""val"":1}]}")</f>
        <v>{"op":"and","args":[{"op":"ge","typ":"arms_group","id":11671306,"val":1}]}</v>
      </c>
      <c r="W60" s="148" t="str">
        <f>IFERROR(__xludf.DUMMYFUNCTION("""COMPUTED_VALUE"""),"[]")</f>
        <v>[]</v>
      </c>
      <c r="X60" s="148" t="str">
        <f>IFERROR(__xludf.DUMMYFUNCTION("""COMPUTED_VALUE"""),"[{""typ"":""power"",""id"":12141002,""val"":6}]")</f>
        <v>[{"typ":"power","id":12141002,"val":6}]</v>
      </c>
      <c r="Y60" s="148" t="str">
        <f>IFERROR(__xludf.DUMMYFUNCTION("""COMPUTED_VALUE"""),"[{""typ"":""atk"",""val"":213},{""typ"":""def"",""val"":199},{""typ"":""hp"",""val"":190},{""typ"":""speed"",""val"":40},{""typ"":""load"",""val"":10},{""typ"":""backcoef"",""val"":0.5},{""typ"":""atkcoef"",""val"":1.0},{""typ"":""atkcd"",""val"":0}]")</f>
        <v>[{"typ":"atk","val":213},{"typ":"def","val":199},{"typ":"hp","val":190},{"typ":"speed","val":40},{"typ":"load","val":10},{"typ":"backcoef","val":0.5},{"typ":"atkcoef","val":1.0},{"typ":"atkcd","val":0}]</v>
      </c>
      <c r="Z60" s="148" t="str">
        <f>IFERROR(__xludf.DUMMYFUNCTION("""COMPUTED_VALUE"""),"[]")</f>
        <v>[]</v>
      </c>
    </row>
    <row r="61">
      <c r="A61" s="148">
        <f>IFERROR(__xludf.DUMMYFUNCTION("""COMPUTED_VALUE"""),1.1211125E7)</f>
        <v>11211125</v>
      </c>
      <c r="B61" s="148" t="str">
        <f>IFERROR(__xludf.DUMMYFUNCTION("""COMPUTED_VALUE"""),"骑兵-lv5-1")</f>
        <v>骑兵-lv5-1</v>
      </c>
      <c r="C61" s="148">
        <f>IFERROR(__xludf.DUMMYFUNCTION("""COMPUTED_VALUE"""),1.1221002E7)</f>
        <v>11221002</v>
      </c>
      <c r="D61" s="148">
        <f>IFERROR(__xludf.DUMMYFUNCTION("""COMPUTED_VALUE"""),1.5110061E7)</f>
        <v>15110061</v>
      </c>
      <c r="E61" s="148" t="str">
        <f>IFERROR(__xludf.DUMMYFUNCTION("""COMPUTED_VALUE"""),"{""typ"":""lc"",""txt"":""LC_SOLDIER_pilot_name_5""}")</f>
        <v>{"typ":"lc","txt":"LC_SOLDIER_pilot_name_5"}</v>
      </c>
      <c r="F61" s="148" t="str">
        <f>IFERROR(__xludf.DUMMYFUNCTION("""COMPUTED_VALUE"""),"{""typ"":""lc"",""txt"":""LC_SOLDIER_pilot_desc_5""}")</f>
        <v>{"typ":"lc","txt":"LC_SOLDIER_pilot_desc_5"}</v>
      </c>
      <c r="G61" s="148">
        <f>IFERROR(__xludf.DUMMYFUNCTION("""COMPUTED_VALUE"""),15.0)</f>
        <v>15</v>
      </c>
      <c r="H61" s="148">
        <f>IFERROR(__xludf.DUMMYFUNCTION("""COMPUTED_VALUE"""),20.0)</f>
        <v>20</v>
      </c>
      <c r="I61" s="148">
        <f>IFERROR(__xludf.DUMMYFUNCTION("""COMPUTED_VALUE"""),10002.0)</f>
        <v>10002</v>
      </c>
      <c r="J61" s="148">
        <f>IFERROR(__xludf.DUMMYFUNCTION("""COMPUTED_VALUE"""),10.0)</f>
        <v>10</v>
      </c>
      <c r="K61" s="148">
        <f>IFERROR(__xludf.DUMMYFUNCTION("""COMPUTED_VALUE"""),5.0)</f>
        <v>5</v>
      </c>
      <c r="L61" s="148">
        <f>IFERROR(__xludf.DUMMYFUNCTION("""COMPUTED_VALUE"""),6.0)</f>
        <v>6</v>
      </c>
      <c r="M61" s="148">
        <f>IFERROR(__xludf.DUMMYFUNCTION("""COMPUTED_VALUE"""),180000.0)</f>
        <v>180000</v>
      </c>
      <c r="N61" s="148" t="str">
        <f>IFERROR(__xludf.DUMMYFUNCTION("""COMPUTED_VALUE"""),"[{""typ"":""rss"",""id"":11141001,""val"":800},{""typ"":""rss"",""id"":11141003,""val"":1200}]")</f>
        <v>[{"typ":"rss","id":11141001,"val":800},{"typ":"rss","id":11141003,"val":1200}]</v>
      </c>
      <c r="O61" s="148" t="str">
        <f>IFERROR(__xludf.DUMMYFUNCTION("""COMPUTED_VALUE"""),"{""op"":""and"",""args"":[{""op"":""ge"",""typ"":""arms_group"",""id"":11671402,""val"":1}]}")</f>
        <v>{"op":"and","args":[{"op":"ge","typ":"arms_group","id":11671402,"val":1}]}</v>
      </c>
      <c r="P61" s="148">
        <f>IFERROR(__xludf.DUMMYFUNCTION("""COMPUTED_VALUE"""),6000.0)</f>
        <v>6000</v>
      </c>
      <c r="Q61" s="148" t="str">
        <f>IFERROR(__xludf.DUMMYFUNCTION("""COMPUTED_VALUE"""),"[{""typ"":""rss"",""id"":11141001,""val"":320},{""typ"":""rss"",""id"":11141003,""val"":480}]")</f>
        <v>[{"typ":"rss","id":11141001,"val":320},{"typ":"rss","id":11141003,"val":480}]</v>
      </c>
      <c r="R61" s="148" t="str">
        <f>IFERROR(__xludf.DUMMYFUNCTION("""COMPUTED_VALUE"""),"{}")</f>
        <v>{}</v>
      </c>
      <c r="S61" s="148">
        <f>IFERROR(__xludf.DUMMYFUNCTION("""COMPUTED_VALUE"""),90000.0)</f>
        <v>90000</v>
      </c>
      <c r="T61" s="148" t="str">
        <f>IFERROR(__xludf.DUMMYFUNCTION("""COMPUTED_VALUE"""),"[{""typ"":""rss"",""id"":11141001,""val"":480},{""typ"":""rss"",""id"":11141003,""val"":720}]")</f>
        <v>[{"typ":"rss","id":11141001,"val":480},{"typ":"rss","id":11141003,"val":720}]</v>
      </c>
      <c r="U61" s="148">
        <f>IFERROR(__xludf.DUMMYFUNCTION("""COMPUTED_VALUE"""),0.0)</f>
        <v>0</v>
      </c>
      <c r="V61" s="148" t="str">
        <f>IFERROR(__xludf.DUMMYFUNCTION("""COMPUTED_VALUE"""),"{""op"":""and"",""args"":[{""op"":""ge"",""typ"":""arms_group"",""id"":11671402,""val"":1}]}")</f>
        <v>{"op":"and","args":[{"op":"ge","typ":"arms_group","id":11671402,"val":1}]}</v>
      </c>
      <c r="W61" s="148" t="str">
        <f>IFERROR(__xludf.DUMMYFUNCTION("""COMPUTED_VALUE"""),"[]")</f>
        <v>[]</v>
      </c>
      <c r="X61" s="148" t="str">
        <f>IFERROR(__xludf.DUMMYFUNCTION("""COMPUTED_VALUE"""),"[{""typ"":""power"",""id"":12141002,""val"":10}]")</f>
        <v>[{"typ":"power","id":12141002,"val":10}]</v>
      </c>
      <c r="Y61" s="148" t="str">
        <f>IFERROR(__xludf.DUMMYFUNCTION("""COMPUTED_VALUE"""),"[{""typ"":""atk"",""val"":228},{""typ"":""def"",""val"":213},{""typ"":""hp"",""val"":216},{""typ"":""speed"",""val"":37},{""typ"":""load"",""val"":12},{""typ"":""backcoef"",""val"":0.5},{""typ"":""atkcoef"",""val"":1.0},{""typ"":""atkcd"",""val"":0}]")</f>
        <v>[{"typ":"atk","val":228},{"typ":"def","val":213},{"typ":"hp","val":216},{"typ":"speed","val":37},{"typ":"load","val":12},{"typ":"backcoef","val":0.5},{"typ":"atkcoef","val":1.0},{"typ":"atkcd","val":0}]</v>
      </c>
      <c r="Z61" s="148" t="str">
        <f>IFERROR(__xludf.DUMMYFUNCTION("""COMPUTED_VALUE"""),"[]")</f>
        <v>[]</v>
      </c>
    </row>
    <row r="62">
      <c r="A62" s="148">
        <f>IFERROR(__xludf.DUMMYFUNCTION("""COMPUTED_VALUE"""),1.1211126E7)</f>
        <v>11211126</v>
      </c>
      <c r="B62" s="148" t="str">
        <f>IFERROR(__xludf.DUMMYFUNCTION("""COMPUTED_VALUE"""),"骑兵-lv5-2")</f>
        <v>骑兵-lv5-2</v>
      </c>
      <c r="C62" s="148">
        <f>IFERROR(__xludf.DUMMYFUNCTION("""COMPUTED_VALUE"""),1.1221002E7)</f>
        <v>11221002</v>
      </c>
      <c r="D62" s="148">
        <f>IFERROR(__xludf.DUMMYFUNCTION("""COMPUTED_VALUE"""),1.5110061E7)</f>
        <v>15110061</v>
      </c>
      <c r="E62" s="148" t="str">
        <f>IFERROR(__xludf.DUMMYFUNCTION("""COMPUTED_VALUE"""),"{""typ"":""lc"",""txt"":""LC_SOLDIER_pilot_name_5""}")</f>
        <v>{"typ":"lc","txt":"LC_SOLDIER_pilot_name_5"}</v>
      </c>
      <c r="F62" s="148" t="str">
        <f>IFERROR(__xludf.DUMMYFUNCTION("""COMPUTED_VALUE"""),"{""typ"":""lc"",""txt"":""LC_SOLDIER_pilot_desc_5""}")</f>
        <v>{"typ":"lc","txt":"LC_SOLDIER_pilot_desc_5"}</v>
      </c>
      <c r="G62" s="148">
        <f>IFERROR(__xludf.DUMMYFUNCTION("""COMPUTED_VALUE"""),15.0)</f>
        <v>15</v>
      </c>
      <c r="H62" s="148">
        <f>IFERROR(__xludf.DUMMYFUNCTION("""COMPUTED_VALUE"""),20.0)</f>
        <v>20</v>
      </c>
      <c r="I62" s="148">
        <f>IFERROR(__xludf.DUMMYFUNCTION("""COMPUTED_VALUE"""),10002.0)</f>
        <v>10002</v>
      </c>
      <c r="J62" s="148">
        <f>IFERROR(__xludf.DUMMYFUNCTION("""COMPUTED_VALUE"""),10.0)</f>
        <v>10</v>
      </c>
      <c r="K62" s="148">
        <f>IFERROR(__xludf.DUMMYFUNCTION("""COMPUTED_VALUE"""),5.0)</f>
        <v>5</v>
      </c>
      <c r="L62" s="148">
        <f>IFERROR(__xludf.DUMMYFUNCTION("""COMPUTED_VALUE"""),6.0)</f>
        <v>6</v>
      </c>
      <c r="M62" s="148">
        <f>IFERROR(__xludf.DUMMYFUNCTION("""COMPUTED_VALUE"""),180000.0)</f>
        <v>180000</v>
      </c>
      <c r="N62" s="148" t="str">
        <f>IFERROR(__xludf.DUMMYFUNCTION("""COMPUTED_VALUE"""),"[{""typ"":""rss"",""id"":11141001,""val"":800},{""typ"":""rss"",""id"":11141003,""val"":1200}]")</f>
        <v>[{"typ":"rss","id":11141001,"val":800},{"typ":"rss","id":11141003,"val":1200}]</v>
      </c>
      <c r="O62" s="148" t="str">
        <f>IFERROR(__xludf.DUMMYFUNCTION("""COMPUTED_VALUE"""),"{""op"":""and"",""args"":[{""op"":""ge"",""typ"":""arms_group"",""id"":11671403,""val"":1}]}")</f>
        <v>{"op":"and","args":[{"op":"ge","typ":"arms_group","id":11671403,"val":1}]}</v>
      </c>
      <c r="P62" s="148">
        <f>IFERROR(__xludf.DUMMYFUNCTION("""COMPUTED_VALUE"""),6000.0)</f>
        <v>6000</v>
      </c>
      <c r="Q62" s="148" t="str">
        <f>IFERROR(__xludf.DUMMYFUNCTION("""COMPUTED_VALUE"""),"[{""typ"":""rss"",""id"":11141001,""val"":320},{""typ"":""rss"",""id"":11141003,""val"":480}]")</f>
        <v>[{"typ":"rss","id":11141001,"val":320},{"typ":"rss","id":11141003,"val":480}]</v>
      </c>
      <c r="R62" s="148" t="str">
        <f>IFERROR(__xludf.DUMMYFUNCTION("""COMPUTED_VALUE"""),"{}")</f>
        <v>{}</v>
      </c>
      <c r="S62" s="148">
        <f>IFERROR(__xludf.DUMMYFUNCTION("""COMPUTED_VALUE"""),90000.0)</f>
        <v>90000</v>
      </c>
      <c r="T62" s="148" t="str">
        <f>IFERROR(__xludf.DUMMYFUNCTION("""COMPUTED_VALUE"""),"[{""typ"":""rss"",""id"":11141001,""val"":480},{""typ"":""rss"",""id"":11141003,""val"":720}]")</f>
        <v>[{"typ":"rss","id":11141001,"val":480},{"typ":"rss","id":11141003,"val":720}]</v>
      </c>
      <c r="U62" s="148">
        <f>IFERROR(__xludf.DUMMYFUNCTION("""COMPUTED_VALUE"""),0.0)</f>
        <v>0</v>
      </c>
      <c r="V62" s="148" t="str">
        <f>IFERROR(__xludf.DUMMYFUNCTION("""COMPUTED_VALUE"""),"{""op"":""and"",""args"":[{""op"":""ge"",""typ"":""arms_group"",""id"":11671403,""val"":1}]}")</f>
        <v>{"op":"and","args":[{"op":"ge","typ":"arms_group","id":11671403,"val":1}]}</v>
      </c>
      <c r="W62" s="148" t="str">
        <f>IFERROR(__xludf.DUMMYFUNCTION("""COMPUTED_VALUE"""),"[]")</f>
        <v>[]</v>
      </c>
      <c r="X62" s="148" t="str">
        <f>IFERROR(__xludf.DUMMYFUNCTION("""COMPUTED_VALUE"""),"[{""typ"":""power"",""id"":12141002,""val"":10}]")</f>
        <v>[{"typ":"power","id":12141002,"val":10}]</v>
      </c>
      <c r="Y62" s="148" t="str">
        <f>IFERROR(__xludf.DUMMYFUNCTION("""COMPUTED_VALUE"""),"[{""typ"":""atk"",""val"":231},{""typ"":""def"",""val"":216},{""typ"":""hp"",""val"":217},{""typ"":""speed"",""val"":37},{""typ"":""load"",""val"":12},{""typ"":""backcoef"",""val"":0.5},{""typ"":""atkcoef"",""val"":1.0},{""typ"":""atkcd"",""val"":0}]")</f>
        <v>[{"typ":"atk","val":231},{"typ":"def","val":216},{"typ":"hp","val":217},{"typ":"speed","val":37},{"typ":"load","val":12},{"typ":"backcoef","val":0.5},{"typ":"atkcoef","val":1.0},{"typ":"atkcd","val":0}]</v>
      </c>
      <c r="Z62" s="148" t="str">
        <f>IFERROR(__xludf.DUMMYFUNCTION("""COMPUTED_VALUE"""),"[]")</f>
        <v>[]</v>
      </c>
    </row>
    <row r="63">
      <c r="A63" s="148">
        <f>IFERROR(__xludf.DUMMYFUNCTION("""COMPUTED_VALUE"""),1.1211127E7)</f>
        <v>11211127</v>
      </c>
      <c r="B63" s="148" t="str">
        <f>IFERROR(__xludf.DUMMYFUNCTION("""COMPUTED_VALUE"""),"骑兵-lv5-3")</f>
        <v>骑兵-lv5-3</v>
      </c>
      <c r="C63" s="148">
        <f>IFERROR(__xludf.DUMMYFUNCTION("""COMPUTED_VALUE"""),1.1221002E7)</f>
        <v>11221002</v>
      </c>
      <c r="D63" s="148">
        <f>IFERROR(__xludf.DUMMYFUNCTION("""COMPUTED_VALUE"""),1.5110061E7)</f>
        <v>15110061</v>
      </c>
      <c r="E63" s="148" t="str">
        <f>IFERROR(__xludf.DUMMYFUNCTION("""COMPUTED_VALUE"""),"{""typ"":""lc"",""txt"":""LC_SOLDIER_pilot_name_5""}")</f>
        <v>{"typ":"lc","txt":"LC_SOLDIER_pilot_name_5"}</v>
      </c>
      <c r="F63" s="148" t="str">
        <f>IFERROR(__xludf.DUMMYFUNCTION("""COMPUTED_VALUE"""),"{""typ"":""lc"",""txt"":""LC_SOLDIER_pilot_desc_5""}")</f>
        <v>{"typ":"lc","txt":"LC_SOLDIER_pilot_desc_5"}</v>
      </c>
      <c r="G63" s="148">
        <f>IFERROR(__xludf.DUMMYFUNCTION("""COMPUTED_VALUE"""),15.0)</f>
        <v>15</v>
      </c>
      <c r="H63" s="148">
        <f>IFERROR(__xludf.DUMMYFUNCTION("""COMPUTED_VALUE"""),20.0)</f>
        <v>20</v>
      </c>
      <c r="I63" s="148">
        <f>IFERROR(__xludf.DUMMYFUNCTION("""COMPUTED_VALUE"""),10002.0)</f>
        <v>10002</v>
      </c>
      <c r="J63" s="148">
        <f>IFERROR(__xludf.DUMMYFUNCTION("""COMPUTED_VALUE"""),10.0)</f>
        <v>10</v>
      </c>
      <c r="K63" s="148">
        <f>IFERROR(__xludf.DUMMYFUNCTION("""COMPUTED_VALUE"""),5.0)</f>
        <v>5</v>
      </c>
      <c r="L63" s="148">
        <f>IFERROR(__xludf.DUMMYFUNCTION("""COMPUTED_VALUE"""),6.0)</f>
        <v>6</v>
      </c>
      <c r="M63" s="148">
        <f>IFERROR(__xludf.DUMMYFUNCTION("""COMPUTED_VALUE"""),180000.0)</f>
        <v>180000</v>
      </c>
      <c r="N63" s="148" t="str">
        <f>IFERROR(__xludf.DUMMYFUNCTION("""COMPUTED_VALUE"""),"[{""typ"":""rss"",""id"":11141001,""val"":800},{""typ"":""rss"",""id"":11141003,""val"":1200}]")</f>
        <v>[{"typ":"rss","id":11141001,"val":800},{"typ":"rss","id":11141003,"val":1200}]</v>
      </c>
      <c r="O63" s="148" t="str">
        <f>IFERROR(__xludf.DUMMYFUNCTION("""COMPUTED_VALUE"""),"{""op"":""and"",""args"":[{""op"":""ge"",""typ"":""arms_group"",""id"":11671404,""val"":1}]}")</f>
        <v>{"op":"and","args":[{"op":"ge","typ":"arms_group","id":11671404,"val":1}]}</v>
      </c>
      <c r="P63" s="148">
        <f>IFERROR(__xludf.DUMMYFUNCTION("""COMPUTED_VALUE"""),6000.0)</f>
        <v>6000</v>
      </c>
      <c r="Q63" s="148" t="str">
        <f>IFERROR(__xludf.DUMMYFUNCTION("""COMPUTED_VALUE"""),"[{""typ"":""rss"",""id"":11141001,""val"":320},{""typ"":""rss"",""id"":11141003,""val"":480}]")</f>
        <v>[{"typ":"rss","id":11141001,"val":320},{"typ":"rss","id":11141003,"val":480}]</v>
      </c>
      <c r="R63" s="148" t="str">
        <f>IFERROR(__xludf.DUMMYFUNCTION("""COMPUTED_VALUE"""),"{}")</f>
        <v>{}</v>
      </c>
      <c r="S63" s="148">
        <f>IFERROR(__xludf.DUMMYFUNCTION("""COMPUTED_VALUE"""),90000.0)</f>
        <v>90000</v>
      </c>
      <c r="T63" s="148" t="str">
        <f>IFERROR(__xludf.DUMMYFUNCTION("""COMPUTED_VALUE"""),"[{""typ"":""rss"",""id"":11141001,""val"":480},{""typ"":""rss"",""id"":11141003,""val"":720}]")</f>
        <v>[{"typ":"rss","id":11141001,"val":480},{"typ":"rss","id":11141003,"val":720}]</v>
      </c>
      <c r="U63" s="148">
        <f>IFERROR(__xludf.DUMMYFUNCTION("""COMPUTED_VALUE"""),0.0)</f>
        <v>0</v>
      </c>
      <c r="V63" s="148" t="str">
        <f>IFERROR(__xludf.DUMMYFUNCTION("""COMPUTED_VALUE"""),"{""op"":""and"",""args"":[{""op"":""ge"",""typ"":""arms_group"",""id"":11671404,""val"":1}]}")</f>
        <v>{"op":"and","args":[{"op":"ge","typ":"arms_group","id":11671404,"val":1}]}</v>
      </c>
      <c r="W63" s="148" t="str">
        <f>IFERROR(__xludf.DUMMYFUNCTION("""COMPUTED_VALUE"""),"[]")</f>
        <v>[]</v>
      </c>
      <c r="X63" s="148" t="str">
        <f>IFERROR(__xludf.DUMMYFUNCTION("""COMPUTED_VALUE"""),"[{""typ"":""power"",""id"":12141002,""val"":10}]")</f>
        <v>[{"typ":"power","id":12141002,"val":10}]</v>
      </c>
      <c r="Y63" s="148" t="str">
        <f>IFERROR(__xludf.DUMMYFUNCTION("""COMPUTED_VALUE"""),"[{""typ"":""atk"",""val"":234},{""typ"":""def"",""val"":219},{""typ"":""hp"",""val"":218},{""typ"":""speed"",""val"":37},{""typ"":""load"",""val"":12},{""typ"":""backcoef"",""val"":0.5},{""typ"":""atkcoef"",""val"":1.0},{""typ"":""atkcd"",""val"":0}]")</f>
        <v>[{"typ":"atk","val":234},{"typ":"def","val":219},{"typ":"hp","val":218},{"typ":"speed","val":37},{"typ":"load","val":12},{"typ":"backcoef","val":0.5},{"typ":"atkcoef","val":1.0},{"typ":"atkcd","val":0}]</v>
      </c>
      <c r="Z63" s="148" t="str">
        <f>IFERROR(__xludf.DUMMYFUNCTION("""COMPUTED_VALUE"""),"[]")</f>
        <v>[]</v>
      </c>
    </row>
    <row r="64">
      <c r="A64" s="148">
        <f>IFERROR(__xludf.DUMMYFUNCTION("""COMPUTED_VALUE"""),1.1211128E7)</f>
        <v>11211128</v>
      </c>
      <c r="B64" s="148" t="str">
        <f>IFERROR(__xludf.DUMMYFUNCTION("""COMPUTED_VALUE"""),"骑兵-lv5-4")</f>
        <v>骑兵-lv5-4</v>
      </c>
      <c r="C64" s="148">
        <f>IFERROR(__xludf.DUMMYFUNCTION("""COMPUTED_VALUE"""),1.1221002E7)</f>
        <v>11221002</v>
      </c>
      <c r="D64" s="148">
        <f>IFERROR(__xludf.DUMMYFUNCTION("""COMPUTED_VALUE"""),1.5110061E7)</f>
        <v>15110061</v>
      </c>
      <c r="E64" s="148" t="str">
        <f>IFERROR(__xludf.DUMMYFUNCTION("""COMPUTED_VALUE"""),"{""typ"":""lc"",""txt"":""LC_SOLDIER_pilot_name_5""}")</f>
        <v>{"typ":"lc","txt":"LC_SOLDIER_pilot_name_5"}</v>
      </c>
      <c r="F64" s="148" t="str">
        <f>IFERROR(__xludf.DUMMYFUNCTION("""COMPUTED_VALUE"""),"{""typ"":""lc"",""txt"":""LC_SOLDIER_pilot_desc_5""}")</f>
        <v>{"typ":"lc","txt":"LC_SOLDIER_pilot_desc_5"}</v>
      </c>
      <c r="G64" s="148">
        <f>IFERROR(__xludf.DUMMYFUNCTION("""COMPUTED_VALUE"""),15.0)</f>
        <v>15</v>
      </c>
      <c r="H64" s="148">
        <f>IFERROR(__xludf.DUMMYFUNCTION("""COMPUTED_VALUE"""),20.0)</f>
        <v>20</v>
      </c>
      <c r="I64" s="148">
        <f>IFERROR(__xludf.DUMMYFUNCTION("""COMPUTED_VALUE"""),10002.0)</f>
        <v>10002</v>
      </c>
      <c r="J64" s="148">
        <f>IFERROR(__xludf.DUMMYFUNCTION("""COMPUTED_VALUE"""),10.0)</f>
        <v>10</v>
      </c>
      <c r="K64" s="148">
        <f>IFERROR(__xludf.DUMMYFUNCTION("""COMPUTED_VALUE"""),5.0)</f>
        <v>5</v>
      </c>
      <c r="L64" s="148">
        <f>IFERROR(__xludf.DUMMYFUNCTION("""COMPUTED_VALUE"""),6.0)</f>
        <v>6</v>
      </c>
      <c r="M64" s="148">
        <f>IFERROR(__xludf.DUMMYFUNCTION("""COMPUTED_VALUE"""),180000.0)</f>
        <v>180000</v>
      </c>
      <c r="N64" s="148" t="str">
        <f>IFERROR(__xludf.DUMMYFUNCTION("""COMPUTED_VALUE"""),"[{""typ"":""rss"",""id"":11141001,""val"":800},{""typ"":""rss"",""id"":11141003,""val"":1200}]")</f>
        <v>[{"typ":"rss","id":11141001,"val":800},{"typ":"rss","id":11141003,"val":1200}]</v>
      </c>
      <c r="O64" s="148" t="str">
        <f>IFERROR(__xludf.DUMMYFUNCTION("""COMPUTED_VALUE"""),"{""op"":""and"",""args"":[{""op"":""ge"",""typ"":""arms_group"",""id"":11671405,""val"":1}]}")</f>
        <v>{"op":"and","args":[{"op":"ge","typ":"arms_group","id":11671405,"val":1}]}</v>
      </c>
      <c r="P64" s="148">
        <f>IFERROR(__xludf.DUMMYFUNCTION("""COMPUTED_VALUE"""),6000.0)</f>
        <v>6000</v>
      </c>
      <c r="Q64" s="148" t="str">
        <f>IFERROR(__xludf.DUMMYFUNCTION("""COMPUTED_VALUE"""),"[{""typ"":""rss"",""id"":11141001,""val"":320},{""typ"":""rss"",""id"":11141003,""val"":480}]")</f>
        <v>[{"typ":"rss","id":11141001,"val":320},{"typ":"rss","id":11141003,"val":480}]</v>
      </c>
      <c r="R64" s="148" t="str">
        <f>IFERROR(__xludf.DUMMYFUNCTION("""COMPUTED_VALUE"""),"{}")</f>
        <v>{}</v>
      </c>
      <c r="S64" s="148">
        <f>IFERROR(__xludf.DUMMYFUNCTION("""COMPUTED_VALUE"""),90000.0)</f>
        <v>90000</v>
      </c>
      <c r="T64" s="148" t="str">
        <f>IFERROR(__xludf.DUMMYFUNCTION("""COMPUTED_VALUE"""),"[{""typ"":""rss"",""id"":11141001,""val"":480},{""typ"":""rss"",""id"":11141003,""val"":720}]")</f>
        <v>[{"typ":"rss","id":11141001,"val":480},{"typ":"rss","id":11141003,"val":720}]</v>
      </c>
      <c r="U64" s="148">
        <f>IFERROR(__xludf.DUMMYFUNCTION("""COMPUTED_VALUE"""),0.0)</f>
        <v>0</v>
      </c>
      <c r="V64" s="148" t="str">
        <f>IFERROR(__xludf.DUMMYFUNCTION("""COMPUTED_VALUE"""),"{""op"":""and"",""args"":[{""op"":""ge"",""typ"":""arms_group"",""id"":11671405,""val"":1}]}")</f>
        <v>{"op":"and","args":[{"op":"ge","typ":"arms_group","id":11671405,"val":1}]}</v>
      </c>
      <c r="W64" s="148" t="str">
        <f>IFERROR(__xludf.DUMMYFUNCTION("""COMPUTED_VALUE"""),"[]")</f>
        <v>[]</v>
      </c>
      <c r="X64" s="148" t="str">
        <f>IFERROR(__xludf.DUMMYFUNCTION("""COMPUTED_VALUE"""),"[{""typ"":""power"",""id"":12141002,""val"":10}]")</f>
        <v>[{"typ":"power","id":12141002,"val":10}]</v>
      </c>
      <c r="Y64" s="148" t="str">
        <f>IFERROR(__xludf.DUMMYFUNCTION("""COMPUTED_VALUE"""),"[{""typ"":""atk"",""val"":237},{""typ"":""def"",""val"":222},{""typ"":""hp"",""val"":219},{""typ"":""speed"",""val"":37},{""typ"":""load"",""val"":12},{""typ"":""backcoef"",""val"":0.5},{""typ"":""atkcoef"",""val"":1.0},{""typ"":""atkcd"",""val"":0}]")</f>
        <v>[{"typ":"atk","val":237},{"typ":"def","val":222},{"typ":"hp","val":219},{"typ":"speed","val":37},{"typ":"load","val":12},{"typ":"backcoef","val":0.5},{"typ":"atkcoef","val":1.0},{"typ":"atkcd","val":0}]</v>
      </c>
      <c r="Z64" s="148" t="str">
        <f>IFERROR(__xludf.DUMMYFUNCTION("""COMPUTED_VALUE"""),"[]")</f>
        <v>[]</v>
      </c>
    </row>
    <row r="65">
      <c r="A65" s="148">
        <f>IFERROR(__xludf.DUMMYFUNCTION("""COMPUTED_VALUE"""),1.1211129E7)</f>
        <v>11211129</v>
      </c>
      <c r="B65" s="148" t="str">
        <f>IFERROR(__xludf.DUMMYFUNCTION("""COMPUTED_VALUE"""),"骑兵-lv5-5")</f>
        <v>骑兵-lv5-5</v>
      </c>
      <c r="C65" s="148">
        <f>IFERROR(__xludf.DUMMYFUNCTION("""COMPUTED_VALUE"""),1.1221002E7)</f>
        <v>11221002</v>
      </c>
      <c r="D65" s="148">
        <f>IFERROR(__xludf.DUMMYFUNCTION("""COMPUTED_VALUE"""),1.5110061E7)</f>
        <v>15110061</v>
      </c>
      <c r="E65" s="148" t="str">
        <f>IFERROR(__xludf.DUMMYFUNCTION("""COMPUTED_VALUE"""),"{""typ"":""lc"",""txt"":""LC_SOLDIER_pilot_name_5""}")</f>
        <v>{"typ":"lc","txt":"LC_SOLDIER_pilot_name_5"}</v>
      </c>
      <c r="F65" s="148" t="str">
        <f>IFERROR(__xludf.DUMMYFUNCTION("""COMPUTED_VALUE"""),"{""typ"":""lc"",""txt"":""LC_SOLDIER_pilot_desc_5""}")</f>
        <v>{"typ":"lc","txt":"LC_SOLDIER_pilot_desc_5"}</v>
      </c>
      <c r="G65" s="148">
        <f>IFERROR(__xludf.DUMMYFUNCTION("""COMPUTED_VALUE"""),15.0)</f>
        <v>15</v>
      </c>
      <c r="H65" s="148">
        <f>IFERROR(__xludf.DUMMYFUNCTION("""COMPUTED_VALUE"""),20.0)</f>
        <v>20</v>
      </c>
      <c r="I65" s="148">
        <f>IFERROR(__xludf.DUMMYFUNCTION("""COMPUTED_VALUE"""),10002.0)</f>
        <v>10002</v>
      </c>
      <c r="J65" s="148">
        <f>IFERROR(__xludf.DUMMYFUNCTION("""COMPUTED_VALUE"""),10.0)</f>
        <v>10</v>
      </c>
      <c r="K65" s="148">
        <f>IFERROR(__xludf.DUMMYFUNCTION("""COMPUTED_VALUE"""),5.0)</f>
        <v>5</v>
      </c>
      <c r="L65" s="148">
        <f>IFERROR(__xludf.DUMMYFUNCTION("""COMPUTED_VALUE"""),6.0)</f>
        <v>6</v>
      </c>
      <c r="M65" s="148">
        <f>IFERROR(__xludf.DUMMYFUNCTION("""COMPUTED_VALUE"""),180000.0)</f>
        <v>180000</v>
      </c>
      <c r="N65" s="148" t="str">
        <f>IFERROR(__xludf.DUMMYFUNCTION("""COMPUTED_VALUE"""),"[{""typ"":""rss"",""id"":11141001,""val"":800},{""typ"":""rss"",""id"":11141003,""val"":1200}]")</f>
        <v>[{"typ":"rss","id":11141001,"val":800},{"typ":"rss","id":11141003,"val":1200}]</v>
      </c>
      <c r="O65" s="148" t="str">
        <f>IFERROR(__xludf.DUMMYFUNCTION("""COMPUTED_VALUE"""),"{""op"":""and"",""args"":[{""op"":""ge"",""typ"":""arms_group"",""id"":11671406,""val"":1}]}")</f>
        <v>{"op":"and","args":[{"op":"ge","typ":"arms_group","id":11671406,"val":1}]}</v>
      </c>
      <c r="P65" s="148">
        <f>IFERROR(__xludf.DUMMYFUNCTION("""COMPUTED_VALUE"""),6000.0)</f>
        <v>6000</v>
      </c>
      <c r="Q65" s="148" t="str">
        <f>IFERROR(__xludf.DUMMYFUNCTION("""COMPUTED_VALUE"""),"[{""typ"":""rss"",""id"":11141001,""val"":320},{""typ"":""rss"",""id"":11141003,""val"":480}]")</f>
        <v>[{"typ":"rss","id":11141001,"val":320},{"typ":"rss","id":11141003,"val":480}]</v>
      </c>
      <c r="R65" s="148" t="str">
        <f>IFERROR(__xludf.DUMMYFUNCTION("""COMPUTED_VALUE"""),"{}")</f>
        <v>{}</v>
      </c>
      <c r="S65" s="148">
        <f>IFERROR(__xludf.DUMMYFUNCTION("""COMPUTED_VALUE"""),90000.0)</f>
        <v>90000</v>
      </c>
      <c r="T65" s="148" t="str">
        <f>IFERROR(__xludf.DUMMYFUNCTION("""COMPUTED_VALUE"""),"[{""typ"":""rss"",""id"":11141001,""val"":480},{""typ"":""rss"",""id"":11141003,""val"":720}]")</f>
        <v>[{"typ":"rss","id":11141001,"val":480},{"typ":"rss","id":11141003,"val":720}]</v>
      </c>
      <c r="U65" s="148">
        <f>IFERROR(__xludf.DUMMYFUNCTION("""COMPUTED_VALUE"""),0.0)</f>
        <v>0</v>
      </c>
      <c r="V65" s="148" t="str">
        <f>IFERROR(__xludf.DUMMYFUNCTION("""COMPUTED_VALUE"""),"{""op"":""and"",""args"":[{""op"":""ge"",""typ"":""arms_group"",""id"":11671406,""val"":1}]}")</f>
        <v>{"op":"and","args":[{"op":"ge","typ":"arms_group","id":11671406,"val":1}]}</v>
      </c>
      <c r="W65" s="148" t="str">
        <f>IFERROR(__xludf.DUMMYFUNCTION("""COMPUTED_VALUE"""),"[]")</f>
        <v>[]</v>
      </c>
      <c r="X65" s="148" t="str">
        <f>IFERROR(__xludf.DUMMYFUNCTION("""COMPUTED_VALUE"""),"[{""typ"":""power"",""id"":12141002,""val"":10}]")</f>
        <v>[{"typ":"power","id":12141002,"val":10}]</v>
      </c>
      <c r="Y65" s="148" t="str">
        <f>IFERROR(__xludf.DUMMYFUNCTION("""COMPUTED_VALUE"""),"[{""typ"":""atk"",""val"":240},{""typ"":""def"",""val"":225},{""typ"":""hp"",""val"":220},{""typ"":""speed"",""val"":37},{""typ"":""load"",""val"":12},{""typ"":""backcoef"",""val"":0.5},{""typ"":""atkcoef"",""val"":1.0},{""typ"":""atkcd"",""val"":0}]")</f>
        <v>[{"typ":"atk","val":240},{"typ":"def","val":225},{"typ":"hp","val":220},{"typ":"speed","val":37},{"typ":"load","val":12},{"typ":"backcoef","val":0.5},{"typ":"atkcoef","val":1.0},{"typ":"atkcd","val":0}]</v>
      </c>
      <c r="Z65" s="148" t="str">
        <f>IFERROR(__xludf.DUMMYFUNCTION("""COMPUTED_VALUE"""),"[]")</f>
        <v>[]</v>
      </c>
    </row>
    <row r="66">
      <c r="A66" s="148">
        <f>IFERROR(__xludf.DUMMYFUNCTION("""COMPUTED_VALUE"""),1.121113E7)</f>
        <v>11211130</v>
      </c>
      <c r="B66" s="148" t="str">
        <f>IFERROR(__xludf.DUMMYFUNCTION("""COMPUTED_VALUE"""),"骑兵-lv5-6")</f>
        <v>骑兵-lv5-6</v>
      </c>
      <c r="C66" s="148">
        <f>IFERROR(__xludf.DUMMYFUNCTION("""COMPUTED_VALUE"""),1.1221002E7)</f>
        <v>11221002</v>
      </c>
      <c r="D66" s="148">
        <f>IFERROR(__xludf.DUMMYFUNCTION("""COMPUTED_VALUE"""),1.5110061E7)</f>
        <v>15110061</v>
      </c>
      <c r="E66" s="148" t="str">
        <f>IFERROR(__xludf.DUMMYFUNCTION("""COMPUTED_VALUE"""),"{""typ"":""lc"",""txt"":""LC_SOLDIER_pilot_name_5""}")</f>
        <v>{"typ":"lc","txt":"LC_SOLDIER_pilot_name_5"}</v>
      </c>
      <c r="F66" s="148" t="str">
        <f>IFERROR(__xludf.DUMMYFUNCTION("""COMPUTED_VALUE"""),"{""typ"":""lc"",""txt"":""LC_SOLDIER_pilot_desc_5""}")</f>
        <v>{"typ":"lc","txt":"LC_SOLDIER_pilot_desc_5"}</v>
      </c>
      <c r="G66" s="148">
        <f>IFERROR(__xludf.DUMMYFUNCTION("""COMPUTED_VALUE"""),15.0)</f>
        <v>15</v>
      </c>
      <c r="H66" s="148">
        <f>IFERROR(__xludf.DUMMYFUNCTION("""COMPUTED_VALUE"""),20.0)</f>
        <v>20</v>
      </c>
      <c r="I66" s="148">
        <f>IFERROR(__xludf.DUMMYFUNCTION("""COMPUTED_VALUE"""),10002.0)</f>
        <v>10002</v>
      </c>
      <c r="J66" s="148">
        <f>IFERROR(__xludf.DUMMYFUNCTION("""COMPUTED_VALUE"""),10.0)</f>
        <v>10</v>
      </c>
      <c r="K66" s="148">
        <f>IFERROR(__xludf.DUMMYFUNCTION("""COMPUTED_VALUE"""),5.0)</f>
        <v>5</v>
      </c>
      <c r="L66" s="148">
        <f>IFERROR(__xludf.DUMMYFUNCTION("""COMPUTED_VALUE"""),6.0)</f>
        <v>6</v>
      </c>
      <c r="M66" s="148">
        <f>IFERROR(__xludf.DUMMYFUNCTION("""COMPUTED_VALUE"""),180000.0)</f>
        <v>180000</v>
      </c>
      <c r="N66" s="148" t="str">
        <f>IFERROR(__xludf.DUMMYFUNCTION("""COMPUTED_VALUE"""),"[{""typ"":""rss"",""id"":11141001,""val"":800},{""typ"":""rss"",""id"":11141003,""val"":1200}]")</f>
        <v>[{"typ":"rss","id":11141001,"val":800},{"typ":"rss","id":11141003,"val":1200}]</v>
      </c>
      <c r="O66" s="148" t="str">
        <f>IFERROR(__xludf.DUMMYFUNCTION("""COMPUTED_VALUE"""),"{""op"":""and"",""args"":[{""op"":""ge"",""typ"":""arms_group"",""id"":11671407,""val"":1}]}")</f>
        <v>{"op":"and","args":[{"op":"ge","typ":"arms_group","id":11671407,"val":1}]}</v>
      </c>
      <c r="P66" s="148">
        <f>IFERROR(__xludf.DUMMYFUNCTION("""COMPUTED_VALUE"""),6000.0)</f>
        <v>6000</v>
      </c>
      <c r="Q66" s="148" t="str">
        <f>IFERROR(__xludf.DUMMYFUNCTION("""COMPUTED_VALUE"""),"[{""typ"":""rss"",""id"":11141001,""val"":320},{""typ"":""rss"",""id"":11141003,""val"":480}]")</f>
        <v>[{"typ":"rss","id":11141001,"val":320},{"typ":"rss","id":11141003,"val":480}]</v>
      </c>
      <c r="R66" s="148" t="str">
        <f>IFERROR(__xludf.DUMMYFUNCTION("""COMPUTED_VALUE"""),"{}")</f>
        <v>{}</v>
      </c>
      <c r="S66" s="148">
        <f>IFERROR(__xludf.DUMMYFUNCTION("""COMPUTED_VALUE"""),90000.0)</f>
        <v>90000</v>
      </c>
      <c r="T66" s="148" t="str">
        <f>IFERROR(__xludf.DUMMYFUNCTION("""COMPUTED_VALUE"""),"[{""typ"":""rss"",""id"":11141001,""val"":480},{""typ"":""rss"",""id"":11141003,""val"":720}]")</f>
        <v>[{"typ":"rss","id":11141001,"val":480},{"typ":"rss","id":11141003,"val":720}]</v>
      </c>
      <c r="U66" s="148">
        <f>IFERROR(__xludf.DUMMYFUNCTION("""COMPUTED_VALUE"""),0.0)</f>
        <v>0</v>
      </c>
      <c r="V66" s="148" t="str">
        <f>IFERROR(__xludf.DUMMYFUNCTION("""COMPUTED_VALUE"""),"{""op"":""and"",""args"":[{""op"":""ge"",""typ"":""arms_group"",""id"":11671407,""val"":1}]}")</f>
        <v>{"op":"and","args":[{"op":"ge","typ":"arms_group","id":11671407,"val":1}]}</v>
      </c>
      <c r="W66" s="148" t="str">
        <f>IFERROR(__xludf.DUMMYFUNCTION("""COMPUTED_VALUE"""),"[]")</f>
        <v>[]</v>
      </c>
      <c r="X66" s="148" t="str">
        <f>IFERROR(__xludf.DUMMYFUNCTION("""COMPUTED_VALUE"""),"[{""typ"":""power"",""id"":12141002,""val"":10}]")</f>
        <v>[{"typ":"power","id":12141002,"val":10}]</v>
      </c>
      <c r="Y66" s="148" t="str">
        <f>IFERROR(__xludf.DUMMYFUNCTION("""COMPUTED_VALUE"""),"[{""typ"":""atk"",""val"":243},{""typ"":""def"",""val"":228},{""typ"":""hp"",""val"":221},{""typ"":""speed"",""val"":37},{""typ"":""load"",""val"":12},{""typ"":""backcoef"",""val"":0.5},{""typ"":""atkcoef"",""val"":1.0},{""typ"":""atkcd"",""val"":0}]")</f>
        <v>[{"typ":"atk","val":243},{"typ":"def","val":228},{"typ":"hp","val":221},{"typ":"speed","val":37},{"typ":"load","val":12},{"typ":"backcoef","val":0.5},{"typ":"atkcoef","val":1.0},{"typ":"atkcd","val":0}]</v>
      </c>
      <c r="Z66" s="148" t="str">
        <f>IFERROR(__xludf.DUMMYFUNCTION("""COMPUTED_VALUE"""),"[]")</f>
        <v>[]</v>
      </c>
    </row>
    <row r="67">
      <c r="A67" s="148">
        <f>IFERROR(__xludf.DUMMYFUNCTION("""COMPUTED_VALUE"""),1.1211131E7)</f>
        <v>11211131</v>
      </c>
      <c r="B67" s="148" t="str">
        <f>IFERROR(__xludf.DUMMYFUNCTION("""COMPUTED_VALUE"""),"骑兵-lv6-1-A")</f>
        <v>骑兵-lv6-1-A</v>
      </c>
      <c r="C67" s="148">
        <f>IFERROR(__xludf.DUMMYFUNCTION("""COMPUTED_VALUE"""),1.1221002E7)</f>
        <v>11221002</v>
      </c>
      <c r="D67" s="148">
        <f>IFERROR(__xludf.DUMMYFUNCTION("""COMPUTED_VALUE"""),1.5117137E7)</f>
        <v>15117137</v>
      </c>
      <c r="E67" s="148" t="str">
        <f>IFERROR(__xludf.DUMMYFUNCTION("""COMPUTED_VALUE"""),"{""typ"":""lc"",""txt"":""LC_SOLDIER_pilot_name_6""}")</f>
        <v>{"typ":"lc","txt":"LC_SOLDIER_pilot_name_6"}</v>
      </c>
      <c r="F67" s="148" t="str">
        <f>IFERROR(__xludf.DUMMYFUNCTION("""COMPUTED_VALUE"""),"{""typ"":""lc"",""txt"":""LC_SOLDIER_pilot_desc_6""}")</f>
        <v>{"typ":"lc","txt":"LC_SOLDIER_pilot_desc_6"}</v>
      </c>
      <c r="G67" s="148">
        <f>IFERROR(__xludf.DUMMYFUNCTION("""COMPUTED_VALUE"""),25.0)</f>
        <v>25</v>
      </c>
      <c r="H67" s="148">
        <f>IFERROR(__xludf.DUMMYFUNCTION("""COMPUTED_VALUE"""),24.0)</f>
        <v>24</v>
      </c>
      <c r="I67" s="148">
        <f>IFERROR(__xludf.DUMMYFUNCTION("""COMPUTED_VALUE"""),10001.0)</f>
        <v>10001</v>
      </c>
      <c r="J67" s="148">
        <f>IFERROR(__xludf.DUMMYFUNCTION("""COMPUTED_VALUE"""),11.0)</f>
        <v>11</v>
      </c>
      <c r="K67" s="148">
        <f>IFERROR(__xludf.DUMMYFUNCTION("""COMPUTED_VALUE"""),6.0)</f>
        <v>6</v>
      </c>
      <c r="L67" s="148">
        <f>IFERROR(__xludf.DUMMYFUNCTION("""COMPUTED_VALUE"""),6.0)</f>
        <v>6</v>
      </c>
      <c r="M67" s="148">
        <f>IFERROR(__xludf.DUMMYFUNCTION("""COMPUTED_VALUE"""),360000.0)</f>
        <v>360000</v>
      </c>
      <c r="N67" s="148" t="str">
        <f>IFERROR(__xludf.DUMMYFUNCTION("""COMPUTED_VALUE"""),"[{""typ"":""rss"",""id"":11141001,""val"":1280},{""typ"":""rss"",""id"":11141003,""val"":1920},{""typ"":""rss"",""id"":11141041,""val"":80}]")</f>
        <v>[{"typ":"rss","id":11141001,"val":1280},{"typ":"rss","id":11141003,"val":1920},{"typ":"rss","id":11141041,"val":80}]</v>
      </c>
      <c r="O67" s="148" t="str">
        <f>IFERROR(__xludf.DUMMYFUNCTION("""COMPUTED_VALUE"""),"{""op"":""and"",""args"":[{""op"":""ge"",""typ"":""arms_group"",""id"":11671502,""val"":1}]}")</f>
        <v>{"op":"and","args":[{"op":"ge","typ":"arms_group","id":11671502,"val":1}]}</v>
      </c>
      <c r="P67" s="148">
        <f>IFERROR(__xludf.DUMMYFUNCTION("""COMPUTED_VALUE"""),12000.0)</f>
        <v>12000</v>
      </c>
      <c r="Q67" s="148" t="str">
        <f>IFERROR(__xludf.DUMMYFUNCTION("""COMPUTED_VALUE"""),"[{""typ"":""rss"",""id"":11141001,""val"":512},{""typ"":""rss"",""id"":11141003,""val"":768},{""typ"":""rss"",""id"":11141041,""val"":16}]")</f>
        <v>[{"typ":"rss","id":11141001,"val":512},{"typ":"rss","id":11141003,"val":768},{"typ":"rss","id":11141041,"val":16}]</v>
      </c>
      <c r="R67" s="148" t="str">
        <f>IFERROR(__xludf.DUMMYFUNCTION("""COMPUTED_VALUE"""),"{}")</f>
        <v>{}</v>
      </c>
      <c r="S67" s="148">
        <f>IFERROR(__xludf.DUMMYFUNCTION("""COMPUTED_VALUE"""),180000.0)</f>
        <v>180000</v>
      </c>
      <c r="T67" s="148" t="str">
        <f>IFERROR(__xludf.DUMMYFUNCTION("""COMPUTED_VALUE"""),"[{""typ"":""rss"",""id"":11141001,""val"":480},{""typ"":""rss"",""id"":11141003,""val"":720},{""typ"":""rss"",""id"":11141041,""val"":80}]")</f>
        <v>[{"typ":"rss","id":11141001,"val":480},{"typ":"rss","id":11141003,"val":720},{"typ":"rss","id":11141041,"val":80}]</v>
      </c>
      <c r="U67" s="148">
        <f>IFERROR(__xludf.DUMMYFUNCTION("""COMPUTED_VALUE"""),0.0)</f>
        <v>0</v>
      </c>
      <c r="V67" s="148" t="str">
        <f>IFERROR(__xludf.DUMMYFUNCTION("""COMPUTED_VALUE"""),"{""op"":""and"",""args"":[{""op"":""ge"",""typ"":""arms_group"",""id"":11671502,""val"":1}]}")</f>
        <v>{"op":"and","args":[{"op":"ge","typ":"arms_group","id":11671502,"val":1}]}</v>
      </c>
      <c r="W67" s="148" t="str">
        <f>IFERROR(__xludf.DUMMYFUNCTION("""COMPUTED_VALUE"""),"[]")</f>
        <v>[]</v>
      </c>
      <c r="X67" s="148" t="str">
        <f>IFERROR(__xludf.DUMMYFUNCTION("""COMPUTED_VALUE"""),"[{""typ"":""power"",""id"":12141002,""val"":20}]")</f>
        <v>[{"typ":"power","id":12141002,"val":20}]</v>
      </c>
      <c r="Y67" s="148" t="str">
        <f>IFERROR(__xludf.DUMMYFUNCTION("""COMPUTED_VALUE"""),"[{""typ"":""atk"",""val"":283},{""typ"":""def"",""val"":262},{""typ"":""hp"",""val"":252},{""typ"":""speed"",""val"":34},{""typ"":""load"",""val"":15},{""typ"":""backcoef"",""val"":0.5},{""typ"":""atkcoef"",""val"":1.0},{""typ"":""atkcd"",""val"":0}]")</f>
        <v>[{"typ":"atk","val":283},{"typ":"def","val":262},{"typ":"hp","val":252},{"typ":"speed","val":34},{"typ":"load","val":15},{"typ":"backcoef","val":0.5},{"typ":"atkcoef","val":1.0},{"typ":"atkcd","val":0}]</v>
      </c>
      <c r="Z67" s="148" t="str">
        <f>IFERROR(__xludf.DUMMYFUNCTION("""COMPUTED_VALUE"""),"[]")</f>
        <v>[]</v>
      </c>
    </row>
    <row r="68">
      <c r="A68" s="148">
        <f>IFERROR(__xludf.DUMMYFUNCTION("""COMPUTED_VALUE"""),1.1211132E7)</f>
        <v>11211132</v>
      </c>
      <c r="B68" s="148" t="str">
        <f>IFERROR(__xludf.DUMMYFUNCTION("""COMPUTED_VALUE"""),"骑兵-lv6-2-A")</f>
        <v>骑兵-lv6-2-A</v>
      </c>
      <c r="C68" s="148">
        <f>IFERROR(__xludf.DUMMYFUNCTION("""COMPUTED_VALUE"""),1.1221002E7)</f>
        <v>11221002</v>
      </c>
      <c r="D68" s="148">
        <f>IFERROR(__xludf.DUMMYFUNCTION("""COMPUTED_VALUE"""),1.5117137E7)</f>
        <v>15117137</v>
      </c>
      <c r="E68" s="148" t="str">
        <f>IFERROR(__xludf.DUMMYFUNCTION("""COMPUTED_VALUE"""),"{""typ"":""lc"",""txt"":""LC_SOLDIER_pilot_name_6""}")</f>
        <v>{"typ":"lc","txt":"LC_SOLDIER_pilot_name_6"}</v>
      </c>
      <c r="F68" s="148" t="str">
        <f>IFERROR(__xludf.DUMMYFUNCTION("""COMPUTED_VALUE"""),"{""typ"":""lc"",""txt"":""LC_SOLDIER_pilot_desc_6""}")</f>
        <v>{"typ":"lc","txt":"LC_SOLDIER_pilot_desc_6"}</v>
      </c>
      <c r="G68" s="148">
        <f>IFERROR(__xludf.DUMMYFUNCTION("""COMPUTED_VALUE"""),25.0)</f>
        <v>25</v>
      </c>
      <c r="H68" s="148">
        <f>IFERROR(__xludf.DUMMYFUNCTION("""COMPUTED_VALUE"""),24.0)</f>
        <v>24</v>
      </c>
      <c r="I68" s="148">
        <f>IFERROR(__xludf.DUMMYFUNCTION("""COMPUTED_VALUE"""),10001.0)</f>
        <v>10001</v>
      </c>
      <c r="J68" s="148">
        <f>IFERROR(__xludf.DUMMYFUNCTION("""COMPUTED_VALUE"""),11.0)</f>
        <v>11</v>
      </c>
      <c r="K68" s="148">
        <f>IFERROR(__xludf.DUMMYFUNCTION("""COMPUTED_VALUE"""),6.0)</f>
        <v>6</v>
      </c>
      <c r="L68" s="148">
        <f>IFERROR(__xludf.DUMMYFUNCTION("""COMPUTED_VALUE"""),6.0)</f>
        <v>6</v>
      </c>
      <c r="M68" s="148">
        <f>IFERROR(__xludf.DUMMYFUNCTION("""COMPUTED_VALUE"""),360000.0)</f>
        <v>360000</v>
      </c>
      <c r="N68" s="148" t="str">
        <f>IFERROR(__xludf.DUMMYFUNCTION("""COMPUTED_VALUE"""),"[{""typ"":""rss"",""id"":11141001,""val"":1280},{""typ"":""rss"",""id"":11141003,""val"":1920},{""typ"":""rss"",""id"":11141041,""val"":80}]")</f>
        <v>[{"typ":"rss","id":11141001,"val":1280},{"typ":"rss","id":11141003,"val":1920},{"typ":"rss","id":11141041,"val":80}]</v>
      </c>
      <c r="O68" s="148" t="str">
        <f>IFERROR(__xludf.DUMMYFUNCTION("""COMPUTED_VALUE"""),"{""op"":""and"",""args"":[{""op"":""ge"",""typ"":""arms_group"",""id"":11671503,""val"":1}]}")</f>
        <v>{"op":"and","args":[{"op":"ge","typ":"arms_group","id":11671503,"val":1}]}</v>
      </c>
      <c r="P68" s="148">
        <f>IFERROR(__xludf.DUMMYFUNCTION("""COMPUTED_VALUE"""),12000.0)</f>
        <v>12000</v>
      </c>
      <c r="Q68" s="148" t="str">
        <f>IFERROR(__xludf.DUMMYFUNCTION("""COMPUTED_VALUE"""),"[{""typ"":""rss"",""id"":11141001,""val"":512},{""typ"":""rss"",""id"":11141003,""val"":768},{""typ"":""rss"",""id"":11141041,""val"":16}]")</f>
        <v>[{"typ":"rss","id":11141001,"val":512},{"typ":"rss","id":11141003,"val":768},{"typ":"rss","id":11141041,"val":16}]</v>
      </c>
      <c r="R68" s="148" t="str">
        <f>IFERROR(__xludf.DUMMYFUNCTION("""COMPUTED_VALUE"""),"{}")</f>
        <v>{}</v>
      </c>
      <c r="S68" s="148">
        <f>IFERROR(__xludf.DUMMYFUNCTION("""COMPUTED_VALUE"""),180000.0)</f>
        <v>180000</v>
      </c>
      <c r="T68" s="148" t="str">
        <f>IFERROR(__xludf.DUMMYFUNCTION("""COMPUTED_VALUE"""),"[{""typ"":""rss"",""id"":11141001,""val"":480},{""typ"":""rss"",""id"":11141003,""val"":720},{""typ"":""rss"",""id"":11141041,""val"":80}]")</f>
        <v>[{"typ":"rss","id":11141001,"val":480},{"typ":"rss","id":11141003,"val":720},{"typ":"rss","id":11141041,"val":80}]</v>
      </c>
      <c r="U68" s="148">
        <f>IFERROR(__xludf.DUMMYFUNCTION("""COMPUTED_VALUE"""),0.0)</f>
        <v>0</v>
      </c>
      <c r="V68" s="148" t="str">
        <f>IFERROR(__xludf.DUMMYFUNCTION("""COMPUTED_VALUE"""),"{""op"":""and"",""args"":[{""op"":""ge"",""typ"":""arms_group"",""id"":11671503,""val"":1}]}")</f>
        <v>{"op":"and","args":[{"op":"ge","typ":"arms_group","id":11671503,"val":1}]}</v>
      </c>
      <c r="W68" s="148" t="str">
        <f>IFERROR(__xludf.DUMMYFUNCTION("""COMPUTED_VALUE"""),"[]")</f>
        <v>[]</v>
      </c>
      <c r="X68" s="148" t="str">
        <f>IFERROR(__xludf.DUMMYFUNCTION("""COMPUTED_VALUE"""),"[{""typ"":""power"",""id"":12141002,""val"":20}]")</f>
        <v>[{"typ":"power","id":12141002,"val":20}]</v>
      </c>
      <c r="Y68" s="148" t="str">
        <f>IFERROR(__xludf.DUMMYFUNCTION("""COMPUTED_VALUE"""),"[{""typ"":""atk"",""val"":286},{""typ"":""def"",""val"":265},{""typ"":""hp"",""val"":254},{""typ"":""speed"",""val"":34},{""typ"":""load"",""val"":15},{""typ"":""backcoef"",""val"":0.5},{""typ"":""atkcoef"",""val"":1.0},{""typ"":""atkcd"",""val"":0}]")</f>
        <v>[{"typ":"atk","val":286},{"typ":"def","val":265},{"typ":"hp","val":254},{"typ":"speed","val":34},{"typ":"load","val":15},{"typ":"backcoef","val":0.5},{"typ":"atkcoef","val":1.0},{"typ":"atkcd","val":0}]</v>
      </c>
      <c r="Z68" s="148" t="str">
        <f>IFERROR(__xludf.DUMMYFUNCTION("""COMPUTED_VALUE"""),"[]")</f>
        <v>[]</v>
      </c>
    </row>
    <row r="69">
      <c r="A69" s="148">
        <f>IFERROR(__xludf.DUMMYFUNCTION("""COMPUTED_VALUE"""),1.1211133E7)</f>
        <v>11211133</v>
      </c>
      <c r="B69" s="148" t="str">
        <f>IFERROR(__xludf.DUMMYFUNCTION("""COMPUTED_VALUE"""),"骑兵-lv6-3-A")</f>
        <v>骑兵-lv6-3-A</v>
      </c>
      <c r="C69" s="148">
        <f>IFERROR(__xludf.DUMMYFUNCTION("""COMPUTED_VALUE"""),1.1221002E7)</f>
        <v>11221002</v>
      </c>
      <c r="D69" s="148">
        <f>IFERROR(__xludf.DUMMYFUNCTION("""COMPUTED_VALUE"""),1.5117137E7)</f>
        <v>15117137</v>
      </c>
      <c r="E69" s="148" t="str">
        <f>IFERROR(__xludf.DUMMYFUNCTION("""COMPUTED_VALUE"""),"{""typ"":""lc"",""txt"":""LC_SOLDIER_pilot_name_6""}")</f>
        <v>{"typ":"lc","txt":"LC_SOLDIER_pilot_name_6"}</v>
      </c>
      <c r="F69" s="148" t="str">
        <f>IFERROR(__xludf.DUMMYFUNCTION("""COMPUTED_VALUE"""),"{""typ"":""lc"",""txt"":""LC_SOLDIER_pilot_desc_6""}")</f>
        <v>{"typ":"lc","txt":"LC_SOLDIER_pilot_desc_6"}</v>
      </c>
      <c r="G69" s="148">
        <f>IFERROR(__xludf.DUMMYFUNCTION("""COMPUTED_VALUE"""),25.0)</f>
        <v>25</v>
      </c>
      <c r="H69" s="148">
        <f>IFERROR(__xludf.DUMMYFUNCTION("""COMPUTED_VALUE"""),24.0)</f>
        <v>24</v>
      </c>
      <c r="I69" s="148">
        <f>IFERROR(__xludf.DUMMYFUNCTION("""COMPUTED_VALUE"""),10001.0)</f>
        <v>10001</v>
      </c>
      <c r="J69" s="148">
        <f>IFERROR(__xludf.DUMMYFUNCTION("""COMPUTED_VALUE"""),11.0)</f>
        <v>11</v>
      </c>
      <c r="K69" s="148">
        <f>IFERROR(__xludf.DUMMYFUNCTION("""COMPUTED_VALUE"""),6.0)</f>
        <v>6</v>
      </c>
      <c r="L69" s="148">
        <f>IFERROR(__xludf.DUMMYFUNCTION("""COMPUTED_VALUE"""),6.0)</f>
        <v>6</v>
      </c>
      <c r="M69" s="148">
        <f>IFERROR(__xludf.DUMMYFUNCTION("""COMPUTED_VALUE"""),360000.0)</f>
        <v>360000</v>
      </c>
      <c r="N69" s="148" t="str">
        <f>IFERROR(__xludf.DUMMYFUNCTION("""COMPUTED_VALUE"""),"[{""typ"":""rss"",""id"":11141001,""val"":1280},{""typ"":""rss"",""id"":11141003,""val"":1920},{""typ"":""rss"",""id"":11141041,""val"":80}]")</f>
        <v>[{"typ":"rss","id":11141001,"val":1280},{"typ":"rss","id":11141003,"val":1920},{"typ":"rss","id":11141041,"val":80}]</v>
      </c>
      <c r="O69" s="148" t="str">
        <f>IFERROR(__xludf.DUMMYFUNCTION("""COMPUTED_VALUE"""),"{""op"":""and"",""args"":[{""op"":""ge"",""typ"":""arms_group"",""id"":11671504,""val"":1}]}")</f>
        <v>{"op":"and","args":[{"op":"ge","typ":"arms_group","id":11671504,"val":1}]}</v>
      </c>
      <c r="P69" s="148">
        <f>IFERROR(__xludf.DUMMYFUNCTION("""COMPUTED_VALUE"""),12000.0)</f>
        <v>12000</v>
      </c>
      <c r="Q69" s="148" t="str">
        <f>IFERROR(__xludf.DUMMYFUNCTION("""COMPUTED_VALUE"""),"[{""typ"":""rss"",""id"":11141001,""val"":512},{""typ"":""rss"",""id"":11141003,""val"":768},{""typ"":""rss"",""id"":11141041,""val"":16}]")</f>
        <v>[{"typ":"rss","id":11141001,"val":512},{"typ":"rss","id":11141003,"val":768},{"typ":"rss","id":11141041,"val":16}]</v>
      </c>
      <c r="R69" s="148" t="str">
        <f>IFERROR(__xludf.DUMMYFUNCTION("""COMPUTED_VALUE"""),"{}")</f>
        <v>{}</v>
      </c>
      <c r="S69" s="148">
        <f>IFERROR(__xludf.DUMMYFUNCTION("""COMPUTED_VALUE"""),180000.0)</f>
        <v>180000</v>
      </c>
      <c r="T69" s="148" t="str">
        <f>IFERROR(__xludf.DUMMYFUNCTION("""COMPUTED_VALUE"""),"[{""typ"":""rss"",""id"":11141001,""val"":480},{""typ"":""rss"",""id"":11141003,""val"":720},{""typ"":""rss"",""id"":11141041,""val"":80}]")</f>
        <v>[{"typ":"rss","id":11141001,"val":480},{"typ":"rss","id":11141003,"val":720},{"typ":"rss","id":11141041,"val":80}]</v>
      </c>
      <c r="U69" s="148">
        <f>IFERROR(__xludf.DUMMYFUNCTION("""COMPUTED_VALUE"""),0.0)</f>
        <v>0</v>
      </c>
      <c r="V69" s="148" t="str">
        <f>IFERROR(__xludf.DUMMYFUNCTION("""COMPUTED_VALUE"""),"{""op"":""and"",""args"":[{""op"":""ge"",""typ"":""arms_group"",""id"":11671504,""val"":1}]}")</f>
        <v>{"op":"and","args":[{"op":"ge","typ":"arms_group","id":11671504,"val":1}]}</v>
      </c>
      <c r="W69" s="148" t="str">
        <f>IFERROR(__xludf.DUMMYFUNCTION("""COMPUTED_VALUE"""),"[]")</f>
        <v>[]</v>
      </c>
      <c r="X69" s="148" t="str">
        <f>IFERROR(__xludf.DUMMYFUNCTION("""COMPUTED_VALUE"""),"[{""typ"":""power"",""id"":12141002,""val"":20}]")</f>
        <v>[{"typ":"power","id":12141002,"val":20}]</v>
      </c>
      <c r="Y69" s="148" t="str">
        <f>IFERROR(__xludf.DUMMYFUNCTION("""COMPUTED_VALUE"""),"[{""typ"":""atk"",""val"":290},{""typ"":""def"",""val"":268},{""typ"":""hp"",""val"":257},{""typ"":""speed"",""val"":34},{""typ"":""load"",""val"":15},{""typ"":""backcoef"",""val"":0.5},{""typ"":""atkcoef"",""val"":1.0},{""typ"":""atkcd"",""val"":0}]")</f>
        <v>[{"typ":"atk","val":290},{"typ":"def","val":268},{"typ":"hp","val":257},{"typ":"speed","val":34},{"typ":"load","val":15},{"typ":"backcoef","val":0.5},{"typ":"atkcoef","val":1.0},{"typ":"atkcd","val":0}]</v>
      </c>
      <c r="Z69" s="148" t="str">
        <f>IFERROR(__xludf.DUMMYFUNCTION("""COMPUTED_VALUE"""),"[]")</f>
        <v>[]</v>
      </c>
    </row>
    <row r="70">
      <c r="A70" s="148">
        <f>IFERROR(__xludf.DUMMYFUNCTION("""COMPUTED_VALUE"""),1.1211134E7)</f>
        <v>11211134</v>
      </c>
      <c r="B70" s="148" t="str">
        <f>IFERROR(__xludf.DUMMYFUNCTION("""COMPUTED_VALUE"""),"骑兵-lv6-4-A")</f>
        <v>骑兵-lv6-4-A</v>
      </c>
      <c r="C70" s="148">
        <f>IFERROR(__xludf.DUMMYFUNCTION("""COMPUTED_VALUE"""),1.1221002E7)</f>
        <v>11221002</v>
      </c>
      <c r="D70" s="148">
        <f>IFERROR(__xludf.DUMMYFUNCTION("""COMPUTED_VALUE"""),1.5117137E7)</f>
        <v>15117137</v>
      </c>
      <c r="E70" s="148" t="str">
        <f>IFERROR(__xludf.DUMMYFUNCTION("""COMPUTED_VALUE"""),"{""typ"":""lc"",""txt"":""LC_SOLDIER_pilot_name_6""}")</f>
        <v>{"typ":"lc","txt":"LC_SOLDIER_pilot_name_6"}</v>
      </c>
      <c r="F70" s="148" t="str">
        <f>IFERROR(__xludf.DUMMYFUNCTION("""COMPUTED_VALUE"""),"{""typ"":""lc"",""txt"":""LC_SOLDIER_pilot_desc_6""}")</f>
        <v>{"typ":"lc","txt":"LC_SOLDIER_pilot_desc_6"}</v>
      </c>
      <c r="G70" s="148">
        <f>IFERROR(__xludf.DUMMYFUNCTION("""COMPUTED_VALUE"""),25.0)</f>
        <v>25</v>
      </c>
      <c r="H70" s="148">
        <f>IFERROR(__xludf.DUMMYFUNCTION("""COMPUTED_VALUE"""),24.0)</f>
        <v>24</v>
      </c>
      <c r="I70" s="148">
        <f>IFERROR(__xludf.DUMMYFUNCTION("""COMPUTED_VALUE"""),10001.0)</f>
        <v>10001</v>
      </c>
      <c r="J70" s="148">
        <f>IFERROR(__xludf.DUMMYFUNCTION("""COMPUTED_VALUE"""),11.0)</f>
        <v>11</v>
      </c>
      <c r="K70" s="148">
        <f>IFERROR(__xludf.DUMMYFUNCTION("""COMPUTED_VALUE"""),6.0)</f>
        <v>6</v>
      </c>
      <c r="L70" s="148">
        <f>IFERROR(__xludf.DUMMYFUNCTION("""COMPUTED_VALUE"""),6.0)</f>
        <v>6</v>
      </c>
      <c r="M70" s="148">
        <f>IFERROR(__xludf.DUMMYFUNCTION("""COMPUTED_VALUE"""),360000.0)</f>
        <v>360000</v>
      </c>
      <c r="N70" s="148" t="str">
        <f>IFERROR(__xludf.DUMMYFUNCTION("""COMPUTED_VALUE"""),"[{""typ"":""rss"",""id"":11141001,""val"":1280},{""typ"":""rss"",""id"":11141003,""val"":1920},{""typ"":""rss"",""id"":11141041,""val"":80}]")</f>
        <v>[{"typ":"rss","id":11141001,"val":1280},{"typ":"rss","id":11141003,"val":1920},{"typ":"rss","id":11141041,"val":80}]</v>
      </c>
      <c r="O70" s="148" t="str">
        <f>IFERROR(__xludf.DUMMYFUNCTION("""COMPUTED_VALUE"""),"{""op"":""and"",""args"":[{""op"":""ge"",""typ"":""arms_group"",""id"":11671505,""val"":1}]}")</f>
        <v>{"op":"and","args":[{"op":"ge","typ":"arms_group","id":11671505,"val":1}]}</v>
      </c>
      <c r="P70" s="148">
        <f>IFERROR(__xludf.DUMMYFUNCTION("""COMPUTED_VALUE"""),12000.0)</f>
        <v>12000</v>
      </c>
      <c r="Q70" s="148" t="str">
        <f>IFERROR(__xludf.DUMMYFUNCTION("""COMPUTED_VALUE"""),"[{""typ"":""rss"",""id"":11141001,""val"":512},{""typ"":""rss"",""id"":11141003,""val"":768},{""typ"":""rss"",""id"":11141041,""val"":16}]")</f>
        <v>[{"typ":"rss","id":11141001,"val":512},{"typ":"rss","id":11141003,"val":768},{"typ":"rss","id":11141041,"val":16}]</v>
      </c>
      <c r="R70" s="148" t="str">
        <f>IFERROR(__xludf.DUMMYFUNCTION("""COMPUTED_VALUE"""),"{}")</f>
        <v>{}</v>
      </c>
      <c r="S70" s="148">
        <f>IFERROR(__xludf.DUMMYFUNCTION("""COMPUTED_VALUE"""),180000.0)</f>
        <v>180000</v>
      </c>
      <c r="T70" s="148" t="str">
        <f>IFERROR(__xludf.DUMMYFUNCTION("""COMPUTED_VALUE"""),"[{""typ"":""rss"",""id"":11141001,""val"":480},{""typ"":""rss"",""id"":11141003,""val"":720},{""typ"":""rss"",""id"":11141041,""val"":80}]")</f>
        <v>[{"typ":"rss","id":11141001,"val":480},{"typ":"rss","id":11141003,"val":720},{"typ":"rss","id":11141041,"val":80}]</v>
      </c>
      <c r="U70" s="148">
        <f>IFERROR(__xludf.DUMMYFUNCTION("""COMPUTED_VALUE"""),0.0)</f>
        <v>0</v>
      </c>
      <c r="V70" s="148" t="str">
        <f>IFERROR(__xludf.DUMMYFUNCTION("""COMPUTED_VALUE"""),"{""op"":""and"",""args"":[{""op"":""ge"",""typ"":""arms_group"",""id"":11671505,""val"":1}]}")</f>
        <v>{"op":"and","args":[{"op":"ge","typ":"arms_group","id":11671505,"val":1}]}</v>
      </c>
      <c r="W70" s="148" t="str">
        <f>IFERROR(__xludf.DUMMYFUNCTION("""COMPUTED_VALUE"""),"[]")</f>
        <v>[]</v>
      </c>
      <c r="X70" s="148" t="str">
        <f>IFERROR(__xludf.DUMMYFUNCTION("""COMPUTED_VALUE"""),"[{""typ"":""power"",""id"":12141002,""val"":20}]")</f>
        <v>[{"typ":"power","id":12141002,"val":20}]</v>
      </c>
      <c r="Y70" s="148" t="str">
        <f>IFERROR(__xludf.DUMMYFUNCTION("""COMPUTED_VALUE"""),"[{""typ"":""atk"",""val"":294},{""typ"":""def"",""val"":271},{""typ"":""hp"",""val"":260},{""typ"":""speed"",""val"":34},{""typ"":""load"",""val"":15},{""typ"":""backcoef"",""val"":0.5},{""typ"":""atkcoef"",""val"":1.0},{""typ"":""atkcd"",""val"":0}]")</f>
        <v>[{"typ":"atk","val":294},{"typ":"def","val":271},{"typ":"hp","val":260},{"typ":"speed","val":34},{"typ":"load","val":15},{"typ":"backcoef","val":0.5},{"typ":"atkcoef","val":1.0},{"typ":"atkcd","val":0}]</v>
      </c>
      <c r="Z70" s="148" t="str">
        <f>IFERROR(__xludf.DUMMYFUNCTION("""COMPUTED_VALUE"""),"[]")</f>
        <v>[]</v>
      </c>
    </row>
    <row r="71">
      <c r="A71" s="148">
        <f>IFERROR(__xludf.DUMMYFUNCTION("""COMPUTED_VALUE"""),1.1211135E7)</f>
        <v>11211135</v>
      </c>
      <c r="B71" s="148" t="str">
        <f>IFERROR(__xludf.DUMMYFUNCTION("""COMPUTED_VALUE"""),"骑兵-lv6-5-A")</f>
        <v>骑兵-lv6-5-A</v>
      </c>
      <c r="C71" s="148">
        <f>IFERROR(__xludf.DUMMYFUNCTION("""COMPUTED_VALUE"""),1.1221002E7)</f>
        <v>11221002</v>
      </c>
      <c r="D71" s="148">
        <f>IFERROR(__xludf.DUMMYFUNCTION("""COMPUTED_VALUE"""),1.5117137E7)</f>
        <v>15117137</v>
      </c>
      <c r="E71" s="148" t="str">
        <f>IFERROR(__xludf.DUMMYFUNCTION("""COMPUTED_VALUE"""),"{""typ"":""lc"",""txt"":""LC_SOLDIER_pilot_name_6""}")</f>
        <v>{"typ":"lc","txt":"LC_SOLDIER_pilot_name_6"}</v>
      </c>
      <c r="F71" s="148" t="str">
        <f>IFERROR(__xludf.DUMMYFUNCTION("""COMPUTED_VALUE"""),"{""typ"":""lc"",""txt"":""LC_SOLDIER_pilot_desc_6""}")</f>
        <v>{"typ":"lc","txt":"LC_SOLDIER_pilot_desc_6"}</v>
      </c>
      <c r="G71" s="148">
        <f>IFERROR(__xludf.DUMMYFUNCTION("""COMPUTED_VALUE"""),25.0)</f>
        <v>25</v>
      </c>
      <c r="H71" s="148">
        <f>IFERROR(__xludf.DUMMYFUNCTION("""COMPUTED_VALUE"""),24.0)</f>
        <v>24</v>
      </c>
      <c r="I71" s="148">
        <f>IFERROR(__xludf.DUMMYFUNCTION("""COMPUTED_VALUE"""),10001.0)</f>
        <v>10001</v>
      </c>
      <c r="J71" s="148">
        <f>IFERROR(__xludf.DUMMYFUNCTION("""COMPUTED_VALUE"""),11.0)</f>
        <v>11</v>
      </c>
      <c r="K71" s="148">
        <f>IFERROR(__xludf.DUMMYFUNCTION("""COMPUTED_VALUE"""),6.0)</f>
        <v>6</v>
      </c>
      <c r="L71" s="148">
        <f>IFERROR(__xludf.DUMMYFUNCTION("""COMPUTED_VALUE"""),6.0)</f>
        <v>6</v>
      </c>
      <c r="M71" s="148">
        <f>IFERROR(__xludf.DUMMYFUNCTION("""COMPUTED_VALUE"""),360000.0)</f>
        <v>360000</v>
      </c>
      <c r="N71" s="148" t="str">
        <f>IFERROR(__xludf.DUMMYFUNCTION("""COMPUTED_VALUE"""),"[{""typ"":""rss"",""id"":11141001,""val"":1280},{""typ"":""rss"",""id"":11141003,""val"":1920},{""typ"":""rss"",""id"":11141041,""val"":80}]")</f>
        <v>[{"typ":"rss","id":11141001,"val":1280},{"typ":"rss","id":11141003,"val":1920},{"typ":"rss","id":11141041,"val":80}]</v>
      </c>
      <c r="O71" s="148" t="str">
        <f>IFERROR(__xludf.DUMMYFUNCTION("""COMPUTED_VALUE"""),"{""op"":""and"",""args"":[{""op"":""ge"",""typ"":""arms_group"",""id"":11671506,""val"":1}]}")</f>
        <v>{"op":"and","args":[{"op":"ge","typ":"arms_group","id":11671506,"val":1}]}</v>
      </c>
      <c r="P71" s="148">
        <f>IFERROR(__xludf.DUMMYFUNCTION("""COMPUTED_VALUE"""),12000.0)</f>
        <v>12000</v>
      </c>
      <c r="Q71" s="148" t="str">
        <f>IFERROR(__xludf.DUMMYFUNCTION("""COMPUTED_VALUE"""),"[{""typ"":""rss"",""id"":11141001,""val"":512},{""typ"":""rss"",""id"":11141003,""val"":768},{""typ"":""rss"",""id"":11141041,""val"":16}]")</f>
        <v>[{"typ":"rss","id":11141001,"val":512},{"typ":"rss","id":11141003,"val":768},{"typ":"rss","id":11141041,"val":16}]</v>
      </c>
      <c r="R71" s="148" t="str">
        <f>IFERROR(__xludf.DUMMYFUNCTION("""COMPUTED_VALUE"""),"{}")</f>
        <v>{}</v>
      </c>
      <c r="S71" s="148">
        <f>IFERROR(__xludf.DUMMYFUNCTION("""COMPUTED_VALUE"""),180000.0)</f>
        <v>180000</v>
      </c>
      <c r="T71" s="148" t="str">
        <f>IFERROR(__xludf.DUMMYFUNCTION("""COMPUTED_VALUE"""),"[{""typ"":""rss"",""id"":11141001,""val"":480},{""typ"":""rss"",""id"":11141003,""val"":720},{""typ"":""rss"",""id"":11141041,""val"":80}]")</f>
        <v>[{"typ":"rss","id":11141001,"val":480},{"typ":"rss","id":11141003,"val":720},{"typ":"rss","id":11141041,"val":80}]</v>
      </c>
      <c r="U71" s="148">
        <f>IFERROR(__xludf.DUMMYFUNCTION("""COMPUTED_VALUE"""),0.0)</f>
        <v>0</v>
      </c>
      <c r="V71" s="148" t="str">
        <f>IFERROR(__xludf.DUMMYFUNCTION("""COMPUTED_VALUE"""),"{""op"":""and"",""args"":[{""op"":""ge"",""typ"":""arms_group"",""id"":11671506,""val"":1}]}")</f>
        <v>{"op":"and","args":[{"op":"ge","typ":"arms_group","id":11671506,"val":1}]}</v>
      </c>
      <c r="W71" s="148" t="str">
        <f>IFERROR(__xludf.DUMMYFUNCTION("""COMPUTED_VALUE"""),"[]")</f>
        <v>[]</v>
      </c>
      <c r="X71" s="148" t="str">
        <f>IFERROR(__xludf.DUMMYFUNCTION("""COMPUTED_VALUE"""),"[{""typ"":""power"",""id"":12141002,""val"":20}]")</f>
        <v>[{"typ":"power","id":12141002,"val":20}]</v>
      </c>
      <c r="Y71" s="148" t="str">
        <f>IFERROR(__xludf.DUMMYFUNCTION("""COMPUTED_VALUE"""),"[{""typ"":""atk"",""val"":299},{""typ"":""def"",""val"":275},{""typ"":""hp"",""val"":264},{""typ"":""speed"",""val"":34},{""typ"":""load"",""val"":15},{""typ"":""backcoef"",""val"":0.5},{""typ"":""atkcoef"",""val"":1.0},{""typ"":""atkcd"",""val"":0}]")</f>
        <v>[{"typ":"atk","val":299},{"typ":"def","val":275},{"typ":"hp","val":264},{"typ":"speed","val":34},{"typ":"load","val":15},{"typ":"backcoef","val":0.5},{"typ":"atkcoef","val":1.0},{"typ":"atkcd","val":0}]</v>
      </c>
      <c r="Z71" s="148" t="str">
        <f>IFERROR(__xludf.DUMMYFUNCTION("""COMPUTED_VALUE"""),"[]")</f>
        <v>[]</v>
      </c>
    </row>
    <row r="72">
      <c r="A72" s="148">
        <f>IFERROR(__xludf.DUMMYFUNCTION("""COMPUTED_VALUE"""),1.1211136E7)</f>
        <v>11211136</v>
      </c>
      <c r="B72" s="148" t="str">
        <f>IFERROR(__xludf.DUMMYFUNCTION("""COMPUTED_VALUE"""),"骑兵-lv6-6-A")</f>
        <v>骑兵-lv6-6-A</v>
      </c>
      <c r="C72" s="148">
        <f>IFERROR(__xludf.DUMMYFUNCTION("""COMPUTED_VALUE"""),1.1221002E7)</f>
        <v>11221002</v>
      </c>
      <c r="D72" s="148">
        <f>IFERROR(__xludf.DUMMYFUNCTION("""COMPUTED_VALUE"""),1.5117137E7)</f>
        <v>15117137</v>
      </c>
      <c r="E72" s="148" t="str">
        <f>IFERROR(__xludf.DUMMYFUNCTION("""COMPUTED_VALUE"""),"{""typ"":""lc"",""txt"":""LC_SOLDIER_pilot_name_6""}")</f>
        <v>{"typ":"lc","txt":"LC_SOLDIER_pilot_name_6"}</v>
      </c>
      <c r="F72" s="148" t="str">
        <f>IFERROR(__xludf.DUMMYFUNCTION("""COMPUTED_VALUE"""),"{""typ"":""lc"",""txt"":""LC_SOLDIER_pilot_desc_6""}")</f>
        <v>{"typ":"lc","txt":"LC_SOLDIER_pilot_desc_6"}</v>
      </c>
      <c r="G72" s="148">
        <f>IFERROR(__xludf.DUMMYFUNCTION("""COMPUTED_VALUE"""),25.0)</f>
        <v>25</v>
      </c>
      <c r="H72" s="148">
        <f>IFERROR(__xludf.DUMMYFUNCTION("""COMPUTED_VALUE"""),24.0)</f>
        <v>24</v>
      </c>
      <c r="I72" s="148">
        <f>IFERROR(__xludf.DUMMYFUNCTION("""COMPUTED_VALUE"""),10001.0)</f>
        <v>10001</v>
      </c>
      <c r="J72" s="148">
        <f>IFERROR(__xludf.DUMMYFUNCTION("""COMPUTED_VALUE"""),11.0)</f>
        <v>11</v>
      </c>
      <c r="K72" s="148">
        <f>IFERROR(__xludf.DUMMYFUNCTION("""COMPUTED_VALUE"""),6.0)</f>
        <v>6</v>
      </c>
      <c r="L72" s="148">
        <f>IFERROR(__xludf.DUMMYFUNCTION("""COMPUTED_VALUE"""),6.0)</f>
        <v>6</v>
      </c>
      <c r="M72" s="148">
        <f>IFERROR(__xludf.DUMMYFUNCTION("""COMPUTED_VALUE"""),360000.0)</f>
        <v>360000</v>
      </c>
      <c r="N72" s="148" t="str">
        <f>IFERROR(__xludf.DUMMYFUNCTION("""COMPUTED_VALUE"""),"[{""typ"":""rss"",""id"":11141001,""val"":1280},{""typ"":""rss"",""id"":11141003,""val"":1920},{""typ"":""rss"",""id"":11141041,""val"":80}]")</f>
        <v>[{"typ":"rss","id":11141001,"val":1280},{"typ":"rss","id":11141003,"val":1920},{"typ":"rss","id":11141041,"val":80}]</v>
      </c>
      <c r="O72" s="148" t="str">
        <f>IFERROR(__xludf.DUMMYFUNCTION("""COMPUTED_VALUE"""),"{""op"":""and"",""args"":[{""op"":""ge"",""typ"":""arms_group"",""id"":11671507,""val"":1}]}")</f>
        <v>{"op":"and","args":[{"op":"ge","typ":"arms_group","id":11671507,"val":1}]}</v>
      </c>
      <c r="P72" s="148">
        <f>IFERROR(__xludf.DUMMYFUNCTION("""COMPUTED_VALUE"""),12000.0)</f>
        <v>12000</v>
      </c>
      <c r="Q72" s="148" t="str">
        <f>IFERROR(__xludf.DUMMYFUNCTION("""COMPUTED_VALUE"""),"[{""typ"":""rss"",""id"":11141001,""val"":512},{""typ"":""rss"",""id"":11141003,""val"":768},{""typ"":""rss"",""id"":11141041,""val"":16}]")</f>
        <v>[{"typ":"rss","id":11141001,"val":512},{"typ":"rss","id":11141003,"val":768},{"typ":"rss","id":11141041,"val":16}]</v>
      </c>
      <c r="R72" s="148" t="str">
        <f>IFERROR(__xludf.DUMMYFUNCTION("""COMPUTED_VALUE"""),"{}")</f>
        <v>{}</v>
      </c>
      <c r="S72" s="148">
        <f>IFERROR(__xludf.DUMMYFUNCTION("""COMPUTED_VALUE"""),180000.0)</f>
        <v>180000</v>
      </c>
      <c r="T72" s="148" t="str">
        <f>IFERROR(__xludf.DUMMYFUNCTION("""COMPUTED_VALUE"""),"[{""typ"":""rss"",""id"":11141001,""val"":480},{""typ"":""rss"",""id"":11141003,""val"":720},{""typ"":""rss"",""id"":11141041,""val"":80}]")</f>
        <v>[{"typ":"rss","id":11141001,"val":480},{"typ":"rss","id":11141003,"val":720},{"typ":"rss","id":11141041,"val":80}]</v>
      </c>
      <c r="U72" s="148">
        <f>IFERROR(__xludf.DUMMYFUNCTION("""COMPUTED_VALUE"""),0.0)</f>
        <v>0</v>
      </c>
      <c r="V72" s="148" t="str">
        <f>IFERROR(__xludf.DUMMYFUNCTION("""COMPUTED_VALUE"""),"{""op"":""and"",""args"":[{""op"":""ge"",""typ"":""arms_group"",""id"":11671507,""val"":1}]}")</f>
        <v>{"op":"and","args":[{"op":"ge","typ":"arms_group","id":11671507,"val":1}]}</v>
      </c>
      <c r="W72" s="148" t="str">
        <f>IFERROR(__xludf.DUMMYFUNCTION("""COMPUTED_VALUE"""),"[]")</f>
        <v>[]</v>
      </c>
      <c r="X72" s="148" t="str">
        <f>IFERROR(__xludf.DUMMYFUNCTION("""COMPUTED_VALUE"""),"[{""typ"":""power"",""id"":12141002,""val"":20}]")</f>
        <v>[{"typ":"power","id":12141002,"val":20}]</v>
      </c>
      <c r="Y72" s="148" t="str">
        <f>IFERROR(__xludf.DUMMYFUNCTION("""COMPUTED_VALUE"""),"[{""typ"":""atk"",""val"":305},{""typ"":""def"",""val"":279},{""typ"":""hp"",""val"":268},{""typ"":""speed"",""val"":34},{""typ"":""load"",""val"":15},{""typ"":""backcoef"",""val"":0.5},{""typ"":""atkcoef"",""val"":1.0},{""typ"":""atkcd"",""val"":0}]")</f>
        <v>[{"typ":"atk","val":305},{"typ":"def","val":279},{"typ":"hp","val":268},{"typ":"speed","val":34},{"typ":"load","val":15},{"typ":"backcoef","val":0.5},{"typ":"atkcoef","val":1.0},{"typ":"atkcd","val":0}]</v>
      </c>
      <c r="Z72" s="148" t="str">
        <f>IFERROR(__xludf.DUMMYFUNCTION("""COMPUTED_VALUE"""),"[]")</f>
        <v>[]</v>
      </c>
    </row>
    <row r="73">
      <c r="A73" s="148">
        <f>IFERROR(__xludf.DUMMYFUNCTION("""COMPUTED_VALUE"""),1.1211137E7)</f>
        <v>11211137</v>
      </c>
      <c r="B73" s="148" t="str">
        <f>IFERROR(__xludf.DUMMYFUNCTION("""COMPUTED_VALUE"""),"骑兵-lv6-1-B")</f>
        <v>骑兵-lv6-1-B</v>
      </c>
      <c r="C73" s="148">
        <f>IFERROR(__xludf.DUMMYFUNCTION("""COMPUTED_VALUE"""),1.1221002E7)</f>
        <v>11221002</v>
      </c>
      <c r="D73" s="148">
        <f>IFERROR(__xludf.DUMMYFUNCTION("""COMPUTED_VALUE"""),1.5117137E7)</f>
        <v>15117137</v>
      </c>
      <c r="E73" s="148" t="str">
        <f>IFERROR(__xludf.DUMMYFUNCTION("""COMPUTED_VALUE"""),"{""typ"":""lc"",""txt"":""LC_SOLDIER_pilot_name_6""}")</f>
        <v>{"typ":"lc","txt":"LC_SOLDIER_pilot_name_6"}</v>
      </c>
      <c r="F73" s="148" t="str">
        <f>IFERROR(__xludf.DUMMYFUNCTION("""COMPUTED_VALUE"""),"{""typ"":""lc"",""txt"":""LC_SOLDIER_pilot_desc_6""}")</f>
        <v>{"typ":"lc","txt":"LC_SOLDIER_pilot_desc_6"}</v>
      </c>
      <c r="G73" s="148">
        <f>IFERROR(__xludf.DUMMYFUNCTION("""COMPUTED_VALUE"""),25.0)</f>
        <v>25</v>
      </c>
      <c r="H73" s="148">
        <f>IFERROR(__xludf.DUMMYFUNCTION("""COMPUTED_VALUE"""),24.0)</f>
        <v>24</v>
      </c>
      <c r="I73" s="148">
        <f>IFERROR(__xludf.DUMMYFUNCTION("""COMPUTED_VALUE"""),10001.0)</f>
        <v>10001</v>
      </c>
      <c r="J73" s="148">
        <f>IFERROR(__xludf.DUMMYFUNCTION("""COMPUTED_VALUE"""),11.0)</f>
        <v>11</v>
      </c>
      <c r="K73" s="148">
        <f>IFERROR(__xludf.DUMMYFUNCTION("""COMPUTED_VALUE"""),6.0)</f>
        <v>6</v>
      </c>
      <c r="L73" s="148">
        <f>IFERROR(__xludf.DUMMYFUNCTION("""COMPUTED_VALUE"""),6.0)</f>
        <v>6</v>
      </c>
      <c r="M73" s="148">
        <f>IFERROR(__xludf.DUMMYFUNCTION("""COMPUTED_VALUE"""),360000.0)</f>
        <v>360000</v>
      </c>
      <c r="N73" s="148" t="str">
        <f>IFERROR(__xludf.DUMMYFUNCTION("""COMPUTED_VALUE"""),"[{""typ"":""rss"",""id"":11141001,""val"":1280},{""typ"":""rss"",""id"":11141003,""val"":1920},{""typ"":""rss"",""id"":11141041,""val"":80}]")</f>
        <v>[{"typ":"rss","id":11141001,"val":1280},{"typ":"rss","id":11141003,"val":1920},{"typ":"rss","id":11141041,"val":80}]</v>
      </c>
      <c r="O73" s="148" t="str">
        <f>IFERROR(__xludf.DUMMYFUNCTION("""COMPUTED_VALUE"""),"{""op"":""and"",""args"":[{""op"":""ge"",""typ"":""arms_group"",""id"":11671601,""val"":1}]}")</f>
        <v>{"op":"and","args":[{"op":"ge","typ":"arms_group","id":11671601,"val":1}]}</v>
      </c>
      <c r="P73" s="148">
        <f>IFERROR(__xludf.DUMMYFUNCTION("""COMPUTED_VALUE"""),12000.0)</f>
        <v>12000</v>
      </c>
      <c r="Q73" s="148" t="str">
        <f>IFERROR(__xludf.DUMMYFUNCTION("""COMPUTED_VALUE"""),"[{""typ"":""rss"",""id"":11141001,""val"":512},{""typ"":""rss"",""id"":11141003,""val"":768},{""typ"":""rss"",""id"":11141041,""val"":16}]")</f>
        <v>[{"typ":"rss","id":11141001,"val":512},{"typ":"rss","id":11141003,"val":768},{"typ":"rss","id":11141041,"val":16}]</v>
      </c>
      <c r="R73" s="148" t="str">
        <f>IFERROR(__xludf.DUMMYFUNCTION("""COMPUTED_VALUE"""),"{}")</f>
        <v>{}</v>
      </c>
      <c r="S73" s="148">
        <f>IFERROR(__xludf.DUMMYFUNCTION("""COMPUTED_VALUE"""),180000.0)</f>
        <v>180000</v>
      </c>
      <c r="T73" s="148" t="str">
        <f>IFERROR(__xludf.DUMMYFUNCTION("""COMPUTED_VALUE"""),"[{""typ"":""rss"",""id"":11141001,""val"":480},{""typ"":""rss"",""id"":11141003,""val"":720},{""typ"":""rss"",""id"":11141041,""val"":80}]")</f>
        <v>[{"typ":"rss","id":11141001,"val":480},{"typ":"rss","id":11141003,"val":720},{"typ":"rss","id":11141041,"val":80}]</v>
      </c>
      <c r="U73" s="148">
        <f>IFERROR(__xludf.DUMMYFUNCTION("""COMPUTED_VALUE"""),0.0)</f>
        <v>0</v>
      </c>
      <c r="V73" s="148" t="str">
        <f>IFERROR(__xludf.DUMMYFUNCTION("""COMPUTED_VALUE"""),"{""op"":""and"",""args"":[{""op"":""ge"",""typ"":""arms_group"",""id"":11671601,""val"":1}]}")</f>
        <v>{"op":"and","args":[{"op":"ge","typ":"arms_group","id":11671601,"val":1}]}</v>
      </c>
      <c r="W73" s="148" t="str">
        <f>IFERROR(__xludf.DUMMYFUNCTION("""COMPUTED_VALUE"""),"[]")</f>
        <v>[]</v>
      </c>
      <c r="X73" s="148" t="str">
        <f>IFERROR(__xludf.DUMMYFUNCTION("""COMPUTED_VALUE"""),"[{""typ"":""power"",""id"":12141002,""val"":20}]")</f>
        <v>[{"typ":"power","id":12141002,"val":20}]</v>
      </c>
      <c r="Y73" s="148" t="str">
        <f>IFERROR(__xludf.DUMMYFUNCTION("""COMPUTED_VALUE"""),"[{""typ"":""atk"",""val"":283},{""typ"":""def"",""val"":265},{""typ"":""hp"",""val"":252},{""typ"":""speed"",""val"":34},{""typ"":""load"",""val"":15},{""typ"":""backcoef"",""val"":0.5},{""typ"":""atkcoef"",""val"":1.0},{""typ"":""atkcd"",""val"":0}]")</f>
        <v>[{"typ":"atk","val":283},{"typ":"def","val":265},{"typ":"hp","val":252},{"typ":"speed","val":34},{"typ":"load","val":15},{"typ":"backcoef","val":0.5},{"typ":"atkcoef","val":1.0},{"typ":"atkcd","val":0}]</v>
      </c>
      <c r="Z73" s="148" t="str">
        <f>IFERROR(__xludf.DUMMYFUNCTION("""COMPUTED_VALUE"""),"[]")</f>
        <v>[]</v>
      </c>
    </row>
    <row r="74">
      <c r="A74" s="148">
        <f>IFERROR(__xludf.DUMMYFUNCTION("""COMPUTED_VALUE"""),1.1211138E7)</f>
        <v>11211138</v>
      </c>
      <c r="B74" s="148" t="str">
        <f>IFERROR(__xludf.DUMMYFUNCTION("""COMPUTED_VALUE"""),"骑兵-lv6-2-B")</f>
        <v>骑兵-lv6-2-B</v>
      </c>
      <c r="C74" s="148">
        <f>IFERROR(__xludf.DUMMYFUNCTION("""COMPUTED_VALUE"""),1.1221002E7)</f>
        <v>11221002</v>
      </c>
      <c r="D74" s="148">
        <f>IFERROR(__xludf.DUMMYFUNCTION("""COMPUTED_VALUE"""),1.5117137E7)</f>
        <v>15117137</v>
      </c>
      <c r="E74" s="148" t="str">
        <f>IFERROR(__xludf.DUMMYFUNCTION("""COMPUTED_VALUE"""),"{""typ"":""lc"",""txt"":""LC_SOLDIER_pilot_name_6""}")</f>
        <v>{"typ":"lc","txt":"LC_SOLDIER_pilot_name_6"}</v>
      </c>
      <c r="F74" s="148" t="str">
        <f>IFERROR(__xludf.DUMMYFUNCTION("""COMPUTED_VALUE"""),"{""typ"":""lc"",""txt"":""LC_SOLDIER_pilot_desc_6""}")</f>
        <v>{"typ":"lc","txt":"LC_SOLDIER_pilot_desc_6"}</v>
      </c>
      <c r="G74" s="148">
        <f>IFERROR(__xludf.DUMMYFUNCTION("""COMPUTED_VALUE"""),25.0)</f>
        <v>25</v>
      </c>
      <c r="H74" s="148">
        <f>IFERROR(__xludf.DUMMYFUNCTION("""COMPUTED_VALUE"""),24.0)</f>
        <v>24</v>
      </c>
      <c r="I74" s="148">
        <f>IFERROR(__xludf.DUMMYFUNCTION("""COMPUTED_VALUE"""),10001.0)</f>
        <v>10001</v>
      </c>
      <c r="J74" s="148">
        <f>IFERROR(__xludf.DUMMYFUNCTION("""COMPUTED_VALUE"""),11.0)</f>
        <v>11</v>
      </c>
      <c r="K74" s="148">
        <f>IFERROR(__xludf.DUMMYFUNCTION("""COMPUTED_VALUE"""),6.0)</f>
        <v>6</v>
      </c>
      <c r="L74" s="148">
        <f>IFERROR(__xludf.DUMMYFUNCTION("""COMPUTED_VALUE"""),6.0)</f>
        <v>6</v>
      </c>
      <c r="M74" s="148">
        <f>IFERROR(__xludf.DUMMYFUNCTION("""COMPUTED_VALUE"""),360000.0)</f>
        <v>360000</v>
      </c>
      <c r="N74" s="148" t="str">
        <f>IFERROR(__xludf.DUMMYFUNCTION("""COMPUTED_VALUE"""),"[{""typ"":""rss"",""id"":11141001,""val"":1280},{""typ"":""rss"",""id"":11141003,""val"":1920},{""typ"":""rss"",""id"":11141041,""val"":80}]")</f>
        <v>[{"typ":"rss","id":11141001,"val":1280},{"typ":"rss","id":11141003,"val":1920},{"typ":"rss","id":11141041,"val":80}]</v>
      </c>
      <c r="O74" s="148" t="str">
        <f>IFERROR(__xludf.DUMMYFUNCTION("""COMPUTED_VALUE"""),"{""op"":""and"",""args"":[{""op"":""ge"",""typ"":""arms_group"",""id"":11671602,""val"":1}]}")</f>
        <v>{"op":"and","args":[{"op":"ge","typ":"arms_group","id":11671602,"val":1}]}</v>
      </c>
      <c r="P74" s="148">
        <f>IFERROR(__xludf.DUMMYFUNCTION("""COMPUTED_VALUE"""),12000.0)</f>
        <v>12000</v>
      </c>
      <c r="Q74" s="148" t="str">
        <f>IFERROR(__xludf.DUMMYFUNCTION("""COMPUTED_VALUE"""),"[{""typ"":""rss"",""id"":11141001,""val"":512},{""typ"":""rss"",""id"":11141003,""val"":768},{""typ"":""rss"",""id"":11141041,""val"":16}]")</f>
        <v>[{"typ":"rss","id":11141001,"val":512},{"typ":"rss","id":11141003,"val":768},{"typ":"rss","id":11141041,"val":16}]</v>
      </c>
      <c r="R74" s="148" t="str">
        <f>IFERROR(__xludf.DUMMYFUNCTION("""COMPUTED_VALUE"""),"{}")</f>
        <v>{}</v>
      </c>
      <c r="S74" s="148">
        <f>IFERROR(__xludf.DUMMYFUNCTION("""COMPUTED_VALUE"""),180000.0)</f>
        <v>180000</v>
      </c>
      <c r="T74" s="148" t="str">
        <f>IFERROR(__xludf.DUMMYFUNCTION("""COMPUTED_VALUE"""),"[{""typ"":""rss"",""id"":11141001,""val"":480},{""typ"":""rss"",""id"":11141003,""val"":720},{""typ"":""rss"",""id"":11141041,""val"":80}]")</f>
        <v>[{"typ":"rss","id":11141001,"val":480},{"typ":"rss","id":11141003,"val":720},{"typ":"rss","id":11141041,"val":80}]</v>
      </c>
      <c r="U74" s="148">
        <f>IFERROR(__xludf.DUMMYFUNCTION("""COMPUTED_VALUE"""),0.0)</f>
        <v>0</v>
      </c>
      <c r="V74" s="148" t="str">
        <f>IFERROR(__xludf.DUMMYFUNCTION("""COMPUTED_VALUE"""),"{""op"":""and"",""args"":[{""op"":""ge"",""typ"":""arms_group"",""id"":11671602,""val"":1}]}")</f>
        <v>{"op":"and","args":[{"op":"ge","typ":"arms_group","id":11671602,"val":1}]}</v>
      </c>
      <c r="W74" s="148" t="str">
        <f>IFERROR(__xludf.DUMMYFUNCTION("""COMPUTED_VALUE"""),"[]")</f>
        <v>[]</v>
      </c>
      <c r="X74" s="148" t="str">
        <f>IFERROR(__xludf.DUMMYFUNCTION("""COMPUTED_VALUE"""),"[{""typ"":""power"",""id"":12141002,""val"":20}]")</f>
        <v>[{"typ":"power","id":12141002,"val":20}]</v>
      </c>
      <c r="Y74" s="148" t="str">
        <f>IFERROR(__xludf.DUMMYFUNCTION("""COMPUTED_VALUE"""),"[{""typ"":""atk"",""val"":287},{""typ"":""def"",""val"":270},{""typ"":""hp"",""val"":255},{""typ"":""speed"",""val"":34},{""typ"":""load"",""val"":15},{""typ"":""backcoef"",""val"":0.5},{""typ"":""atkcoef"",""val"":1.0},{""typ"":""atkcd"",""val"":0}]")</f>
        <v>[{"typ":"atk","val":287},{"typ":"def","val":270},{"typ":"hp","val":255},{"typ":"speed","val":34},{"typ":"load","val":15},{"typ":"backcoef","val":0.5},{"typ":"atkcoef","val":1.0},{"typ":"atkcd","val":0}]</v>
      </c>
      <c r="Z74" s="148" t="str">
        <f>IFERROR(__xludf.DUMMYFUNCTION("""COMPUTED_VALUE"""),"[]")</f>
        <v>[]</v>
      </c>
    </row>
    <row r="75">
      <c r="A75" s="148">
        <f>IFERROR(__xludf.DUMMYFUNCTION("""COMPUTED_VALUE"""),1.1211139E7)</f>
        <v>11211139</v>
      </c>
      <c r="B75" s="148" t="str">
        <f>IFERROR(__xludf.DUMMYFUNCTION("""COMPUTED_VALUE"""),"骑兵-lv6-3-B")</f>
        <v>骑兵-lv6-3-B</v>
      </c>
      <c r="C75" s="148">
        <f>IFERROR(__xludf.DUMMYFUNCTION("""COMPUTED_VALUE"""),1.1221002E7)</f>
        <v>11221002</v>
      </c>
      <c r="D75" s="148">
        <f>IFERROR(__xludf.DUMMYFUNCTION("""COMPUTED_VALUE"""),1.5117137E7)</f>
        <v>15117137</v>
      </c>
      <c r="E75" s="148" t="str">
        <f>IFERROR(__xludf.DUMMYFUNCTION("""COMPUTED_VALUE"""),"{""typ"":""lc"",""txt"":""LC_SOLDIER_pilot_name_6""}")</f>
        <v>{"typ":"lc","txt":"LC_SOLDIER_pilot_name_6"}</v>
      </c>
      <c r="F75" s="148" t="str">
        <f>IFERROR(__xludf.DUMMYFUNCTION("""COMPUTED_VALUE"""),"{""typ"":""lc"",""txt"":""LC_SOLDIER_pilot_desc_6""}")</f>
        <v>{"typ":"lc","txt":"LC_SOLDIER_pilot_desc_6"}</v>
      </c>
      <c r="G75" s="148">
        <f>IFERROR(__xludf.DUMMYFUNCTION("""COMPUTED_VALUE"""),25.0)</f>
        <v>25</v>
      </c>
      <c r="H75" s="148">
        <f>IFERROR(__xludf.DUMMYFUNCTION("""COMPUTED_VALUE"""),24.0)</f>
        <v>24</v>
      </c>
      <c r="I75" s="148">
        <f>IFERROR(__xludf.DUMMYFUNCTION("""COMPUTED_VALUE"""),10001.0)</f>
        <v>10001</v>
      </c>
      <c r="J75" s="148">
        <f>IFERROR(__xludf.DUMMYFUNCTION("""COMPUTED_VALUE"""),11.0)</f>
        <v>11</v>
      </c>
      <c r="K75" s="148">
        <f>IFERROR(__xludf.DUMMYFUNCTION("""COMPUTED_VALUE"""),6.0)</f>
        <v>6</v>
      </c>
      <c r="L75" s="148">
        <f>IFERROR(__xludf.DUMMYFUNCTION("""COMPUTED_VALUE"""),6.0)</f>
        <v>6</v>
      </c>
      <c r="M75" s="148">
        <f>IFERROR(__xludf.DUMMYFUNCTION("""COMPUTED_VALUE"""),360000.0)</f>
        <v>360000</v>
      </c>
      <c r="N75" s="148" t="str">
        <f>IFERROR(__xludf.DUMMYFUNCTION("""COMPUTED_VALUE"""),"[{""typ"":""rss"",""id"":11141001,""val"":1280},{""typ"":""rss"",""id"":11141003,""val"":1920},{""typ"":""rss"",""id"":11141041,""val"":80}]")</f>
        <v>[{"typ":"rss","id":11141001,"val":1280},{"typ":"rss","id":11141003,"val":1920},{"typ":"rss","id":11141041,"val":80}]</v>
      </c>
      <c r="O75" s="148" t="str">
        <f>IFERROR(__xludf.DUMMYFUNCTION("""COMPUTED_VALUE"""),"{""op"":""and"",""args"":[{""op"":""ge"",""typ"":""arms_group"",""id"":11671603,""val"":1}]}")</f>
        <v>{"op":"and","args":[{"op":"ge","typ":"arms_group","id":11671603,"val":1}]}</v>
      </c>
      <c r="P75" s="148">
        <f>IFERROR(__xludf.DUMMYFUNCTION("""COMPUTED_VALUE"""),12000.0)</f>
        <v>12000</v>
      </c>
      <c r="Q75" s="148" t="str">
        <f>IFERROR(__xludf.DUMMYFUNCTION("""COMPUTED_VALUE"""),"[{""typ"":""rss"",""id"":11141001,""val"":512},{""typ"":""rss"",""id"":11141003,""val"":768},{""typ"":""rss"",""id"":11141041,""val"":16}]")</f>
        <v>[{"typ":"rss","id":11141001,"val":512},{"typ":"rss","id":11141003,"val":768},{"typ":"rss","id":11141041,"val":16}]</v>
      </c>
      <c r="R75" s="148" t="str">
        <f>IFERROR(__xludf.DUMMYFUNCTION("""COMPUTED_VALUE"""),"{}")</f>
        <v>{}</v>
      </c>
      <c r="S75" s="148">
        <f>IFERROR(__xludf.DUMMYFUNCTION("""COMPUTED_VALUE"""),180000.0)</f>
        <v>180000</v>
      </c>
      <c r="T75" s="148" t="str">
        <f>IFERROR(__xludf.DUMMYFUNCTION("""COMPUTED_VALUE"""),"[{""typ"":""rss"",""id"":11141001,""val"":480},{""typ"":""rss"",""id"":11141003,""val"":720},{""typ"":""rss"",""id"":11141041,""val"":80}]")</f>
        <v>[{"typ":"rss","id":11141001,"val":480},{"typ":"rss","id":11141003,"val":720},{"typ":"rss","id":11141041,"val":80}]</v>
      </c>
      <c r="U75" s="148">
        <f>IFERROR(__xludf.DUMMYFUNCTION("""COMPUTED_VALUE"""),0.0)</f>
        <v>0</v>
      </c>
      <c r="V75" s="148" t="str">
        <f>IFERROR(__xludf.DUMMYFUNCTION("""COMPUTED_VALUE"""),"{""op"":""and"",""args"":[{""op"":""ge"",""typ"":""arms_group"",""id"":11671603,""val"":1}]}")</f>
        <v>{"op":"and","args":[{"op":"ge","typ":"arms_group","id":11671603,"val":1}]}</v>
      </c>
      <c r="W75" s="148" t="str">
        <f>IFERROR(__xludf.DUMMYFUNCTION("""COMPUTED_VALUE"""),"[]")</f>
        <v>[]</v>
      </c>
      <c r="X75" s="148" t="str">
        <f>IFERROR(__xludf.DUMMYFUNCTION("""COMPUTED_VALUE"""),"[{""typ"":""power"",""id"":12141002,""val"":20}]")</f>
        <v>[{"typ":"power","id":12141002,"val":20}]</v>
      </c>
      <c r="Y75" s="148" t="str">
        <f>IFERROR(__xludf.DUMMYFUNCTION("""COMPUTED_VALUE"""),"[{""typ"":""atk"",""val"":291},{""typ"":""def"",""val"":276},{""typ"":""hp"",""val"":258},{""typ"":""speed"",""val"":34},{""typ"":""load"",""val"":15},{""typ"":""backcoef"",""val"":0.5},{""typ"":""atkcoef"",""val"":1.0},{""typ"":""atkcd"",""val"":0}]")</f>
        <v>[{"typ":"atk","val":291},{"typ":"def","val":276},{"typ":"hp","val":258},{"typ":"speed","val":34},{"typ":"load","val":15},{"typ":"backcoef","val":0.5},{"typ":"atkcoef","val":1.0},{"typ":"atkcd","val":0}]</v>
      </c>
      <c r="Z75" s="148" t="str">
        <f>IFERROR(__xludf.DUMMYFUNCTION("""COMPUTED_VALUE"""),"[]")</f>
        <v>[]</v>
      </c>
    </row>
    <row r="76">
      <c r="A76" s="148">
        <f>IFERROR(__xludf.DUMMYFUNCTION("""COMPUTED_VALUE"""),1.121114E7)</f>
        <v>11211140</v>
      </c>
      <c r="B76" s="148" t="str">
        <f>IFERROR(__xludf.DUMMYFUNCTION("""COMPUTED_VALUE"""),"骑兵-lv6-4-B")</f>
        <v>骑兵-lv6-4-B</v>
      </c>
      <c r="C76" s="148">
        <f>IFERROR(__xludf.DUMMYFUNCTION("""COMPUTED_VALUE"""),1.1221002E7)</f>
        <v>11221002</v>
      </c>
      <c r="D76" s="148">
        <f>IFERROR(__xludf.DUMMYFUNCTION("""COMPUTED_VALUE"""),1.5117137E7)</f>
        <v>15117137</v>
      </c>
      <c r="E76" s="148" t="str">
        <f>IFERROR(__xludf.DUMMYFUNCTION("""COMPUTED_VALUE"""),"{""typ"":""lc"",""txt"":""LC_SOLDIER_pilot_name_6""}")</f>
        <v>{"typ":"lc","txt":"LC_SOLDIER_pilot_name_6"}</v>
      </c>
      <c r="F76" s="148" t="str">
        <f>IFERROR(__xludf.DUMMYFUNCTION("""COMPUTED_VALUE"""),"{""typ"":""lc"",""txt"":""LC_SOLDIER_pilot_desc_6""}")</f>
        <v>{"typ":"lc","txt":"LC_SOLDIER_pilot_desc_6"}</v>
      </c>
      <c r="G76" s="148">
        <f>IFERROR(__xludf.DUMMYFUNCTION("""COMPUTED_VALUE"""),25.0)</f>
        <v>25</v>
      </c>
      <c r="H76" s="148">
        <f>IFERROR(__xludf.DUMMYFUNCTION("""COMPUTED_VALUE"""),24.0)</f>
        <v>24</v>
      </c>
      <c r="I76" s="148">
        <f>IFERROR(__xludf.DUMMYFUNCTION("""COMPUTED_VALUE"""),10001.0)</f>
        <v>10001</v>
      </c>
      <c r="J76" s="148">
        <f>IFERROR(__xludf.DUMMYFUNCTION("""COMPUTED_VALUE"""),11.0)</f>
        <v>11</v>
      </c>
      <c r="K76" s="148">
        <f>IFERROR(__xludf.DUMMYFUNCTION("""COMPUTED_VALUE"""),6.0)</f>
        <v>6</v>
      </c>
      <c r="L76" s="148">
        <f>IFERROR(__xludf.DUMMYFUNCTION("""COMPUTED_VALUE"""),6.0)</f>
        <v>6</v>
      </c>
      <c r="M76" s="148">
        <f>IFERROR(__xludf.DUMMYFUNCTION("""COMPUTED_VALUE"""),360000.0)</f>
        <v>360000</v>
      </c>
      <c r="N76" s="148" t="str">
        <f>IFERROR(__xludf.DUMMYFUNCTION("""COMPUTED_VALUE"""),"[{""typ"":""rss"",""id"":11141001,""val"":1280},{""typ"":""rss"",""id"":11141003,""val"":1920},{""typ"":""rss"",""id"":11141041,""val"":80}]")</f>
        <v>[{"typ":"rss","id":11141001,"val":1280},{"typ":"rss","id":11141003,"val":1920},{"typ":"rss","id":11141041,"val":80}]</v>
      </c>
      <c r="O76" s="148" t="str">
        <f>IFERROR(__xludf.DUMMYFUNCTION("""COMPUTED_VALUE"""),"{""op"":""and"",""args"":[{""op"":""ge"",""typ"":""arms_group"",""id"":11671604,""val"":1}]}")</f>
        <v>{"op":"and","args":[{"op":"ge","typ":"arms_group","id":11671604,"val":1}]}</v>
      </c>
      <c r="P76" s="148">
        <f>IFERROR(__xludf.DUMMYFUNCTION("""COMPUTED_VALUE"""),12000.0)</f>
        <v>12000</v>
      </c>
      <c r="Q76" s="148" t="str">
        <f>IFERROR(__xludf.DUMMYFUNCTION("""COMPUTED_VALUE"""),"[{""typ"":""rss"",""id"":11141001,""val"":512},{""typ"":""rss"",""id"":11141003,""val"":768},{""typ"":""rss"",""id"":11141041,""val"":16}]")</f>
        <v>[{"typ":"rss","id":11141001,"val":512},{"typ":"rss","id":11141003,"val":768},{"typ":"rss","id":11141041,"val":16}]</v>
      </c>
      <c r="R76" s="148" t="str">
        <f>IFERROR(__xludf.DUMMYFUNCTION("""COMPUTED_VALUE"""),"{}")</f>
        <v>{}</v>
      </c>
      <c r="S76" s="148">
        <f>IFERROR(__xludf.DUMMYFUNCTION("""COMPUTED_VALUE"""),180000.0)</f>
        <v>180000</v>
      </c>
      <c r="T76" s="148" t="str">
        <f>IFERROR(__xludf.DUMMYFUNCTION("""COMPUTED_VALUE"""),"[{""typ"":""rss"",""id"":11141001,""val"":480},{""typ"":""rss"",""id"":11141003,""val"":720},{""typ"":""rss"",""id"":11141041,""val"":80}]")</f>
        <v>[{"typ":"rss","id":11141001,"val":480},{"typ":"rss","id":11141003,"val":720},{"typ":"rss","id":11141041,"val":80}]</v>
      </c>
      <c r="U76" s="148">
        <f>IFERROR(__xludf.DUMMYFUNCTION("""COMPUTED_VALUE"""),0.0)</f>
        <v>0</v>
      </c>
      <c r="V76" s="148" t="str">
        <f>IFERROR(__xludf.DUMMYFUNCTION("""COMPUTED_VALUE"""),"{""op"":""and"",""args"":[{""op"":""ge"",""typ"":""arms_group"",""id"":11671604,""val"":1}]}")</f>
        <v>{"op":"and","args":[{"op":"ge","typ":"arms_group","id":11671604,"val":1}]}</v>
      </c>
      <c r="W76" s="148" t="str">
        <f>IFERROR(__xludf.DUMMYFUNCTION("""COMPUTED_VALUE"""),"[]")</f>
        <v>[]</v>
      </c>
      <c r="X76" s="148" t="str">
        <f>IFERROR(__xludf.DUMMYFUNCTION("""COMPUTED_VALUE"""),"[{""typ"":""power"",""id"":12141002,""val"":20}]")</f>
        <v>[{"typ":"power","id":12141002,"val":20}]</v>
      </c>
      <c r="Y76" s="148" t="str">
        <f>IFERROR(__xludf.DUMMYFUNCTION("""COMPUTED_VALUE"""),"[{""typ"":""atk"",""val"":296},{""typ"":""def"",""val"":284},{""typ"":""hp"",""val"":261},{""typ"":""speed"",""val"":34},{""typ"":""load"",""val"":15},{""typ"":""backcoef"",""val"":0.5},{""typ"":""atkcoef"",""val"":1.0},{""typ"":""atkcd"",""val"":0}]")</f>
        <v>[{"typ":"atk","val":296},{"typ":"def","val":284},{"typ":"hp","val":261},{"typ":"speed","val":34},{"typ":"load","val":15},{"typ":"backcoef","val":0.5},{"typ":"atkcoef","val":1.0},{"typ":"atkcd","val":0}]</v>
      </c>
      <c r="Z76" s="148" t="str">
        <f>IFERROR(__xludf.DUMMYFUNCTION("""COMPUTED_VALUE"""),"[]")</f>
        <v>[]</v>
      </c>
    </row>
    <row r="77">
      <c r="A77" s="148">
        <f>IFERROR(__xludf.DUMMYFUNCTION("""COMPUTED_VALUE"""),1.1211141E7)</f>
        <v>11211141</v>
      </c>
      <c r="B77" s="148" t="str">
        <f>IFERROR(__xludf.DUMMYFUNCTION("""COMPUTED_VALUE"""),"骑兵-lv6-5-B")</f>
        <v>骑兵-lv6-5-B</v>
      </c>
      <c r="C77" s="148">
        <f>IFERROR(__xludf.DUMMYFUNCTION("""COMPUTED_VALUE"""),1.1221002E7)</f>
        <v>11221002</v>
      </c>
      <c r="D77" s="148">
        <f>IFERROR(__xludf.DUMMYFUNCTION("""COMPUTED_VALUE"""),1.5117137E7)</f>
        <v>15117137</v>
      </c>
      <c r="E77" s="148" t="str">
        <f>IFERROR(__xludf.DUMMYFUNCTION("""COMPUTED_VALUE"""),"{""typ"":""lc"",""txt"":""LC_SOLDIER_pilot_name_6""}")</f>
        <v>{"typ":"lc","txt":"LC_SOLDIER_pilot_name_6"}</v>
      </c>
      <c r="F77" s="148" t="str">
        <f>IFERROR(__xludf.DUMMYFUNCTION("""COMPUTED_VALUE"""),"{""typ"":""lc"",""txt"":""LC_SOLDIER_pilot_desc_6""}")</f>
        <v>{"typ":"lc","txt":"LC_SOLDIER_pilot_desc_6"}</v>
      </c>
      <c r="G77" s="148">
        <f>IFERROR(__xludf.DUMMYFUNCTION("""COMPUTED_VALUE"""),25.0)</f>
        <v>25</v>
      </c>
      <c r="H77" s="148">
        <f>IFERROR(__xludf.DUMMYFUNCTION("""COMPUTED_VALUE"""),24.0)</f>
        <v>24</v>
      </c>
      <c r="I77" s="148">
        <f>IFERROR(__xludf.DUMMYFUNCTION("""COMPUTED_VALUE"""),10001.0)</f>
        <v>10001</v>
      </c>
      <c r="J77" s="148">
        <f>IFERROR(__xludf.DUMMYFUNCTION("""COMPUTED_VALUE"""),11.0)</f>
        <v>11</v>
      </c>
      <c r="K77" s="148">
        <f>IFERROR(__xludf.DUMMYFUNCTION("""COMPUTED_VALUE"""),6.0)</f>
        <v>6</v>
      </c>
      <c r="L77" s="148">
        <f>IFERROR(__xludf.DUMMYFUNCTION("""COMPUTED_VALUE"""),6.0)</f>
        <v>6</v>
      </c>
      <c r="M77" s="148">
        <f>IFERROR(__xludf.DUMMYFUNCTION("""COMPUTED_VALUE"""),360000.0)</f>
        <v>360000</v>
      </c>
      <c r="N77" s="148" t="str">
        <f>IFERROR(__xludf.DUMMYFUNCTION("""COMPUTED_VALUE"""),"[{""typ"":""rss"",""id"":11141001,""val"":1280},{""typ"":""rss"",""id"":11141003,""val"":1920},{""typ"":""rss"",""id"":11141041,""val"":80}]")</f>
        <v>[{"typ":"rss","id":11141001,"val":1280},{"typ":"rss","id":11141003,"val":1920},{"typ":"rss","id":11141041,"val":80}]</v>
      </c>
      <c r="O77" s="148" t="str">
        <f>IFERROR(__xludf.DUMMYFUNCTION("""COMPUTED_VALUE"""),"{""op"":""and"",""args"":[{""op"":""ge"",""typ"":""arms_group"",""id"":11671605,""val"":1}]}")</f>
        <v>{"op":"and","args":[{"op":"ge","typ":"arms_group","id":11671605,"val":1}]}</v>
      </c>
      <c r="P77" s="148">
        <f>IFERROR(__xludf.DUMMYFUNCTION("""COMPUTED_VALUE"""),12000.0)</f>
        <v>12000</v>
      </c>
      <c r="Q77" s="148" t="str">
        <f>IFERROR(__xludf.DUMMYFUNCTION("""COMPUTED_VALUE"""),"[{""typ"":""rss"",""id"":11141001,""val"":512},{""typ"":""rss"",""id"":11141003,""val"":768},{""typ"":""rss"",""id"":11141041,""val"":16}]")</f>
        <v>[{"typ":"rss","id":11141001,"val":512},{"typ":"rss","id":11141003,"val":768},{"typ":"rss","id":11141041,"val":16}]</v>
      </c>
      <c r="R77" s="148" t="str">
        <f>IFERROR(__xludf.DUMMYFUNCTION("""COMPUTED_VALUE"""),"{}")</f>
        <v>{}</v>
      </c>
      <c r="S77" s="148">
        <f>IFERROR(__xludf.DUMMYFUNCTION("""COMPUTED_VALUE"""),180000.0)</f>
        <v>180000</v>
      </c>
      <c r="T77" s="148" t="str">
        <f>IFERROR(__xludf.DUMMYFUNCTION("""COMPUTED_VALUE"""),"[{""typ"":""rss"",""id"":11141001,""val"":480},{""typ"":""rss"",""id"":11141003,""val"":720},{""typ"":""rss"",""id"":11141041,""val"":80}]")</f>
        <v>[{"typ":"rss","id":11141001,"val":480},{"typ":"rss","id":11141003,"val":720},{"typ":"rss","id":11141041,"val":80}]</v>
      </c>
      <c r="U77" s="148">
        <f>IFERROR(__xludf.DUMMYFUNCTION("""COMPUTED_VALUE"""),0.0)</f>
        <v>0</v>
      </c>
      <c r="V77" s="148" t="str">
        <f>IFERROR(__xludf.DUMMYFUNCTION("""COMPUTED_VALUE"""),"{""op"":""and"",""args"":[{""op"":""ge"",""typ"":""arms_group"",""id"":11671605,""val"":1}]}")</f>
        <v>{"op":"and","args":[{"op":"ge","typ":"arms_group","id":11671605,"val":1}]}</v>
      </c>
      <c r="W77" s="148" t="str">
        <f>IFERROR(__xludf.DUMMYFUNCTION("""COMPUTED_VALUE"""),"[]")</f>
        <v>[]</v>
      </c>
      <c r="X77" s="148" t="str">
        <f>IFERROR(__xludf.DUMMYFUNCTION("""COMPUTED_VALUE"""),"[{""typ"":""power"",""id"":12141002,""val"":20}]")</f>
        <v>[{"typ":"power","id":12141002,"val":20}]</v>
      </c>
      <c r="Y77" s="148" t="str">
        <f>IFERROR(__xludf.DUMMYFUNCTION("""COMPUTED_VALUE"""),"[{""typ"":""atk"",""val"":303},{""typ"":""def"",""val"":293},{""typ"":""hp"",""val"":265},{""typ"":""speed"",""val"":34},{""typ"":""load"",""val"":15},{""typ"":""backcoef"",""val"":0.5},{""typ"":""atkcoef"",""val"":1.0},{""typ"":""atkcd"",""val"":0}]")</f>
        <v>[{"typ":"atk","val":303},{"typ":"def","val":293},{"typ":"hp","val":265},{"typ":"speed","val":34},{"typ":"load","val":15},{"typ":"backcoef","val":0.5},{"typ":"atkcoef","val":1.0},{"typ":"atkcd","val":0}]</v>
      </c>
      <c r="Z77" s="148" t="str">
        <f>IFERROR(__xludf.DUMMYFUNCTION("""COMPUTED_VALUE"""),"[]")</f>
        <v>[]</v>
      </c>
    </row>
    <row r="78">
      <c r="A78" s="148">
        <f>IFERROR(__xludf.DUMMYFUNCTION("""COMPUTED_VALUE"""),1.1211142E7)</f>
        <v>11211142</v>
      </c>
      <c r="B78" s="148" t="str">
        <f>IFERROR(__xludf.DUMMYFUNCTION("""COMPUTED_VALUE"""),"骑兵-lv6-6-B")</f>
        <v>骑兵-lv6-6-B</v>
      </c>
      <c r="C78" s="148">
        <f>IFERROR(__xludf.DUMMYFUNCTION("""COMPUTED_VALUE"""),1.1221002E7)</f>
        <v>11221002</v>
      </c>
      <c r="D78" s="148">
        <f>IFERROR(__xludf.DUMMYFUNCTION("""COMPUTED_VALUE"""),1.5117137E7)</f>
        <v>15117137</v>
      </c>
      <c r="E78" s="148" t="str">
        <f>IFERROR(__xludf.DUMMYFUNCTION("""COMPUTED_VALUE"""),"{""typ"":""lc"",""txt"":""LC_SOLDIER_pilot_name_6""}")</f>
        <v>{"typ":"lc","txt":"LC_SOLDIER_pilot_name_6"}</v>
      </c>
      <c r="F78" s="148" t="str">
        <f>IFERROR(__xludf.DUMMYFUNCTION("""COMPUTED_VALUE"""),"{""typ"":""lc"",""txt"":""LC_SOLDIER_pilot_desc_6""}")</f>
        <v>{"typ":"lc","txt":"LC_SOLDIER_pilot_desc_6"}</v>
      </c>
      <c r="G78" s="148">
        <f>IFERROR(__xludf.DUMMYFUNCTION("""COMPUTED_VALUE"""),25.0)</f>
        <v>25</v>
      </c>
      <c r="H78" s="148">
        <f>IFERROR(__xludf.DUMMYFUNCTION("""COMPUTED_VALUE"""),24.0)</f>
        <v>24</v>
      </c>
      <c r="I78" s="148">
        <f>IFERROR(__xludf.DUMMYFUNCTION("""COMPUTED_VALUE"""),10001.0)</f>
        <v>10001</v>
      </c>
      <c r="J78" s="148">
        <f>IFERROR(__xludf.DUMMYFUNCTION("""COMPUTED_VALUE"""),11.0)</f>
        <v>11</v>
      </c>
      <c r="K78" s="148">
        <f>IFERROR(__xludf.DUMMYFUNCTION("""COMPUTED_VALUE"""),6.0)</f>
        <v>6</v>
      </c>
      <c r="L78" s="148">
        <f>IFERROR(__xludf.DUMMYFUNCTION("""COMPUTED_VALUE"""),6.0)</f>
        <v>6</v>
      </c>
      <c r="M78" s="148">
        <f>IFERROR(__xludf.DUMMYFUNCTION("""COMPUTED_VALUE"""),360000.0)</f>
        <v>360000</v>
      </c>
      <c r="N78" s="148" t="str">
        <f>IFERROR(__xludf.DUMMYFUNCTION("""COMPUTED_VALUE"""),"[{""typ"":""rss"",""id"":11141001,""val"":1280},{""typ"":""rss"",""id"":11141003,""val"":1920},{""typ"":""rss"",""id"":11141041,""val"":80}]")</f>
        <v>[{"typ":"rss","id":11141001,"val":1280},{"typ":"rss","id":11141003,"val":1920},{"typ":"rss","id":11141041,"val":80}]</v>
      </c>
      <c r="O78" s="148" t="str">
        <f>IFERROR(__xludf.DUMMYFUNCTION("""COMPUTED_VALUE"""),"{""op"":""and"",""args"":[{""op"":""ge"",""typ"":""arms_group"",""id"":11671606,""val"":1}]}")</f>
        <v>{"op":"and","args":[{"op":"ge","typ":"arms_group","id":11671606,"val":1}]}</v>
      </c>
      <c r="P78" s="148">
        <f>IFERROR(__xludf.DUMMYFUNCTION("""COMPUTED_VALUE"""),12000.0)</f>
        <v>12000</v>
      </c>
      <c r="Q78" s="148" t="str">
        <f>IFERROR(__xludf.DUMMYFUNCTION("""COMPUTED_VALUE"""),"[{""typ"":""rss"",""id"":11141001,""val"":512},{""typ"":""rss"",""id"":11141003,""val"":768},{""typ"":""rss"",""id"":11141041,""val"":16}]")</f>
        <v>[{"typ":"rss","id":11141001,"val":512},{"typ":"rss","id":11141003,"val":768},{"typ":"rss","id":11141041,"val":16}]</v>
      </c>
      <c r="R78" s="148" t="str">
        <f>IFERROR(__xludf.DUMMYFUNCTION("""COMPUTED_VALUE"""),"{}")</f>
        <v>{}</v>
      </c>
      <c r="S78" s="148">
        <f>IFERROR(__xludf.DUMMYFUNCTION("""COMPUTED_VALUE"""),180000.0)</f>
        <v>180000</v>
      </c>
      <c r="T78" s="148" t="str">
        <f>IFERROR(__xludf.DUMMYFUNCTION("""COMPUTED_VALUE"""),"[{""typ"":""rss"",""id"":11141001,""val"":480},{""typ"":""rss"",""id"":11141003,""val"":720},{""typ"":""rss"",""id"":11141041,""val"":80}]")</f>
        <v>[{"typ":"rss","id":11141001,"val":480},{"typ":"rss","id":11141003,"val":720},{"typ":"rss","id":11141041,"val":80}]</v>
      </c>
      <c r="U78" s="148">
        <f>IFERROR(__xludf.DUMMYFUNCTION("""COMPUTED_VALUE"""),0.0)</f>
        <v>0</v>
      </c>
      <c r="V78" s="148" t="str">
        <f>IFERROR(__xludf.DUMMYFUNCTION("""COMPUTED_VALUE"""),"{""op"":""and"",""args"":[{""op"":""ge"",""typ"":""arms_group"",""id"":11671606,""val"":1}]}")</f>
        <v>{"op":"and","args":[{"op":"ge","typ":"arms_group","id":11671606,"val":1}]}</v>
      </c>
      <c r="W78" s="148" t="str">
        <f>IFERROR(__xludf.DUMMYFUNCTION("""COMPUTED_VALUE"""),"[]")</f>
        <v>[]</v>
      </c>
      <c r="X78" s="148" t="str">
        <f>IFERROR(__xludf.DUMMYFUNCTION("""COMPUTED_VALUE"""),"[{""typ"":""power"",""id"":12141002,""val"":20}]")</f>
        <v>[{"typ":"power","id":12141002,"val":20}]</v>
      </c>
      <c r="Y78" s="148" t="str">
        <f>IFERROR(__xludf.DUMMYFUNCTION("""COMPUTED_VALUE"""),"[{""typ"":""atk"",""val"":311},{""typ"":""def"",""val"":305},{""typ"":""hp"",""val"":270},{""typ"":""speed"",""val"":34},{""typ"":""load"",""val"":15},{""typ"":""backcoef"",""val"":0.5},{""typ"":""atkcoef"",""val"":1.0},{""typ"":""atkcd"",""val"":0}]")</f>
        <v>[{"typ":"atk","val":311},{"typ":"def","val":305},{"typ":"hp","val":270},{"typ":"speed","val":34},{"typ":"load","val":15},{"typ":"backcoef","val":0.5},{"typ":"atkcoef","val":1.0},{"typ":"atkcd","val":0}]</v>
      </c>
      <c r="Z78" s="148" t="str">
        <f>IFERROR(__xludf.DUMMYFUNCTION("""COMPUTED_VALUE"""),"[]")</f>
        <v>[]</v>
      </c>
    </row>
    <row r="79">
      <c r="A79" s="148">
        <f>IFERROR(__xludf.DUMMYFUNCTION("""COMPUTED_VALUE"""),1.1211201E7)</f>
        <v>11211201</v>
      </c>
      <c r="B79" s="148" t="str">
        <f>IFERROR(__xludf.DUMMYFUNCTION("""COMPUTED_VALUE"""),"弓兵 lv1")</f>
        <v>弓兵 lv1</v>
      </c>
      <c r="C79" s="148">
        <f>IFERROR(__xludf.DUMMYFUNCTION("""COMPUTED_VALUE"""),1.1221003E7)</f>
        <v>11221003</v>
      </c>
      <c r="D79" s="148">
        <f>IFERROR(__xludf.DUMMYFUNCTION("""COMPUTED_VALUE"""),1.5110062E7)</f>
        <v>15110062</v>
      </c>
      <c r="E79" s="148" t="str">
        <f>IFERROR(__xludf.DUMMYFUNCTION("""COMPUTED_VALUE"""),"{""typ"":""lc"",""txt"":""LC_SOLDIER_shooter_name_1""}")</f>
        <v>{"typ":"lc","txt":"LC_SOLDIER_shooter_name_1"}</v>
      </c>
      <c r="F79" s="148" t="str">
        <f>IFERROR(__xludf.DUMMYFUNCTION("""COMPUTED_VALUE"""),"{""typ"":""lc"",""txt"":""LC_SOLDIER_shooter_desc_1""}")</f>
        <v>{"typ":"lc","txt":"LC_SOLDIER_shooter_desc_1"}</v>
      </c>
      <c r="G79" s="148">
        <f>IFERROR(__xludf.DUMMYFUNCTION("""COMPUTED_VALUE"""),1.0)</f>
        <v>1</v>
      </c>
      <c r="H79" s="148">
        <f>IFERROR(__xludf.DUMMYFUNCTION("""COMPUTED_VALUE"""),2.0)</f>
        <v>2</v>
      </c>
      <c r="I79" s="148">
        <f>IFERROR(__xludf.DUMMYFUNCTION("""COMPUTED_VALUE"""),10010.0)</f>
        <v>10010</v>
      </c>
      <c r="J79" s="148">
        <f>IFERROR(__xludf.DUMMYFUNCTION("""COMPUTED_VALUE"""),1.0)</f>
        <v>1</v>
      </c>
      <c r="K79" s="148">
        <f>IFERROR(__xludf.DUMMYFUNCTION("""COMPUTED_VALUE"""),1.0)</f>
        <v>1</v>
      </c>
      <c r="L79" s="148">
        <f>IFERROR(__xludf.DUMMYFUNCTION("""COMPUTED_VALUE"""),6.0)</f>
        <v>6</v>
      </c>
      <c r="M79" s="148">
        <f>IFERROR(__xludf.DUMMYFUNCTION("""COMPUTED_VALUE"""),13000.0)</f>
        <v>13000</v>
      </c>
      <c r="N79" s="148" t="str">
        <f>IFERROR(__xludf.DUMMYFUNCTION("""COMPUTED_VALUE"""),"[{""typ"":""rss"",""id"":11141001,""val"":70},{""typ"":""rss"",""id"":11141003,""val"":30}]")</f>
        <v>[{"typ":"rss","id":11141001,"val":70},{"typ":"rss","id":11141003,"val":30}]</v>
      </c>
      <c r="O79" s="148" t="str">
        <f>IFERROR(__xludf.DUMMYFUNCTION("""COMPUTED_VALUE"""),"{""op"":""and"",""args"":[{""op"":""ge"",""typ"":""building"",""id"":111818,""val"":1}]}")</f>
        <v>{"op":"and","args":[{"op":"ge","typ":"building","id":111818,"val":1}]}</v>
      </c>
      <c r="P79" s="148">
        <f>IFERROR(__xludf.DUMMYFUNCTION("""COMPUTED_VALUE"""),65.0)</f>
        <v>65</v>
      </c>
      <c r="Q79" s="148" t="str">
        <f>IFERROR(__xludf.DUMMYFUNCTION("""COMPUTED_VALUE"""),"[{""typ"":""rss"",""id"":11141001,""val"":28},{""typ"":""rss"",""id"":11141003,""val"":12}]")</f>
        <v>[{"typ":"rss","id":11141001,"val":28},{"typ":"rss","id":11141003,"val":12}]</v>
      </c>
      <c r="R79" s="148" t="str">
        <f>IFERROR(__xludf.DUMMYFUNCTION("""COMPUTED_VALUE"""),"{}")</f>
        <v>{}</v>
      </c>
      <c r="S79" s="148">
        <f>IFERROR(__xludf.DUMMYFUNCTION("""COMPUTED_VALUE"""),0.0)</f>
        <v>0</v>
      </c>
      <c r="T79" s="148" t="str">
        <f>IFERROR(__xludf.DUMMYFUNCTION("""COMPUTED_VALUE"""),"[]")</f>
        <v>[]</v>
      </c>
      <c r="U79" s="148">
        <f>IFERROR(__xludf.DUMMYFUNCTION("""COMPUTED_VALUE"""),0.0)</f>
        <v>0</v>
      </c>
      <c r="V79" s="148" t="str">
        <f>IFERROR(__xludf.DUMMYFUNCTION("""COMPUTED_VALUE"""),"{""op"":""and"",""args"":[{""op"":""ge"",""typ"":""building"",""id"":111818,""val"":1}]}")</f>
        <v>{"op":"and","args":[{"op":"ge","typ":"building","id":111818,"val":1}]}</v>
      </c>
      <c r="W79" s="148" t="str">
        <f>IFERROR(__xludf.DUMMYFUNCTION("""COMPUTED_VALUE"""),"[]")</f>
        <v>[]</v>
      </c>
      <c r="X79" s="148" t="str">
        <f>IFERROR(__xludf.DUMMYFUNCTION("""COMPUTED_VALUE"""),"[{""typ"":""power"",""id"":12141002,""val"":1}]")</f>
        <v>[{"typ":"power","id":12141002,"val":1}]</v>
      </c>
      <c r="Y79" s="148" t="str">
        <f>IFERROR(__xludf.DUMMYFUNCTION("""COMPUTED_VALUE"""),"[{""typ"":""atk"",""val"":62},{""typ"":""def"",""val"":124},{""typ"":""hp"",""val"":119},{""typ"":""speed"",""val"":42},{""typ"":""load"",""val"":6},{""typ"":""backcoef"",""val"":0.5},{""typ"":""atkcoef"",""val"":1.0},{""typ"":""atkcd"",""val"":0}]")</f>
        <v>[{"typ":"atk","val":62},{"typ":"def","val":124},{"typ":"hp","val":119},{"typ":"speed","val":42},{"typ":"load","val":6},{"typ":"backcoef","val":0.5},{"typ":"atkcoef","val":1.0},{"typ":"atkcd","val":0}]</v>
      </c>
      <c r="Z79" s="148" t="str">
        <f>IFERROR(__xludf.DUMMYFUNCTION("""COMPUTED_VALUE"""),"[]")</f>
        <v>[]</v>
      </c>
    </row>
    <row r="80">
      <c r="A80" s="148">
        <f>IFERROR(__xludf.DUMMYFUNCTION("""COMPUTED_VALUE"""),1.1211202E7)</f>
        <v>11211202</v>
      </c>
      <c r="B80" s="148" t="str">
        <f>IFERROR(__xludf.DUMMYFUNCTION("""COMPUTED_VALUE"""),"弓兵 lv2")</f>
        <v>弓兵 lv2</v>
      </c>
      <c r="C80" s="148">
        <f>IFERROR(__xludf.DUMMYFUNCTION("""COMPUTED_VALUE"""),1.1221003E7)</f>
        <v>11221003</v>
      </c>
      <c r="D80" s="148">
        <f>IFERROR(__xludf.DUMMYFUNCTION("""COMPUTED_VALUE"""),1.5110063E7)</f>
        <v>15110063</v>
      </c>
      <c r="E80" s="148" t="str">
        <f>IFERROR(__xludf.DUMMYFUNCTION("""COMPUTED_VALUE"""),"{""typ"":""lc"",""txt"":""LC_SOLDIER_shooter_name_2""}")</f>
        <v>{"typ":"lc","txt":"LC_SOLDIER_shooter_name_2"}</v>
      </c>
      <c r="F80" s="148" t="str">
        <f>IFERROR(__xludf.DUMMYFUNCTION("""COMPUTED_VALUE"""),"{""typ"":""lc"",""txt"":""LC_SOLDIER_shooter_desc_2""}")</f>
        <v>{"typ":"lc","txt":"LC_SOLDIER_shooter_desc_2"}</v>
      </c>
      <c r="G80" s="148">
        <f>IFERROR(__xludf.DUMMYFUNCTION("""COMPUTED_VALUE"""),2.0)</f>
        <v>2</v>
      </c>
      <c r="H80" s="148">
        <f>IFERROR(__xludf.DUMMYFUNCTION("""COMPUTED_VALUE"""),6.0)</f>
        <v>6</v>
      </c>
      <c r="I80" s="148">
        <f>IFERROR(__xludf.DUMMYFUNCTION("""COMPUTED_VALUE"""),10008.0)</f>
        <v>10008</v>
      </c>
      <c r="J80" s="148">
        <f>IFERROR(__xludf.DUMMYFUNCTION("""COMPUTED_VALUE"""),3.0)</f>
        <v>3</v>
      </c>
      <c r="K80" s="148">
        <f>IFERROR(__xludf.DUMMYFUNCTION("""COMPUTED_VALUE"""),2.0)</f>
        <v>2</v>
      </c>
      <c r="L80" s="148">
        <f>IFERROR(__xludf.DUMMYFUNCTION("""COMPUTED_VALUE"""),6.0)</f>
        <v>6</v>
      </c>
      <c r="M80" s="148">
        <f>IFERROR(__xludf.DUMMYFUNCTION("""COMPUTED_VALUE"""),30000.0)</f>
        <v>30000</v>
      </c>
      <c r="N80" s="148" t="str">
        <f>IFERROR(__xludf.DUMMYFUNCTION("""COMPUTED_VALUE"""),"[{""typ"":""rss"",""id"":11141001,""val"":140},{""typ"":""rss"",""id"":11141003,""val"":60}]")</f>
        <v>[{"typ":"rss","id":11141001,"val":140},{"typ":"rss","id":11141003,"val":60}]</v>
      </c>
      <c r="O80" s="148" t="str">
        <f>IFERROR(__xludf.DUMMYFUNCTION("""COMPUTED_VALUE"""),"{""op"":""and"",""args"":[{""op"":""ge"",""typ"":""research"",""id"":111936,""val"":1},{""op"":""ge"",""typ"":""building"",""id"":111818,""val"":1}]}")</f>
        <v>{"op":"and","args":[{"op":"ge","typ":"research","id":111936,"val":1},{"op":"ge","typ":"building","id":111818,"val":1}]}</v>
      </c>
      <c r="P80" s="148">
        <f>IFERROR(__xludf.DUMMYFUNCTION("""COMPUTED_VALUE"""),1000.0)</f>
        <v>1000</v>
      </c>
      <c r="Q80" s="148" t="str">
        <f>IFERROR(__xludf.DUMMYFUNCTION("""COMPUTED_VALUE"""),"[{""typ"":""rss"",""id"":11141001,""val"":56},{""typ"":""rss"",""id"":11141003,""val"":24}]")</f>
        <v>[{"typ":"rss","id":11141001,"val":56},{"typ":"rss","id":11141003,"val":24}]</v>
      </c>
      <c r="R80" s="148" t="str">
        <f>IFERROR(__xludf.DUMMYFUNCTION("""COMPUTED_VALUE"""),"{}")</f>
        <v>{}</v>
      </c>
      <c r="S80" s="148">
        <f>IFERROR(__xludf.DUMMYFUNCTION("""COMPUTED_VALUE"""),17000.0)</f>
        <v>17000</v>
      </c>
      <c r="T80" s="148" t="str">
        <f>IFERROR(__xludf.DUMMYFUNCTION("""COMPUTED_VALUE"""),"[{""typ"":""rss"",""id"":11141001,""val"":70},{""typ"":""rss"",""id"":11141003,""val"":30}]")</f>
        <v>[{"typ":"rss","id":11141001,"val":70},{"typ":"rss","id":11141003,"val":30}]</v>
      </c>
      <c r="U80" s="148">
        <f>IFERROR(__xludf.DUMMYFUNCTION("""COMPUTED_VALUE"""),0.0)</f>
        <v>0</v>
      </c>
      <c r="V80" s="148" t="str">
        <f>IFERROR(__xludf.DUMMYFUNCTION("""COMPUTED_VALUE"""),"{""op"":""and"",""args"":[{""op"":""ge"",""typ"":""research"",""id"":11193601,""val"":1},{""op"":""ge"",""typ"":""building"",""id"":111818,""val"":1}]}")</f>
        <v>{"op":"and","args":[{"op":"ge","typ":"research","id":11193601,"val":1},{"op":"ge","typ":"building","id":111818,"val":1}]}</v>
      </c>
      <c r="W80" s="148" t="str">
        <f>IFERROR(__xludf.DUMMYFUNCTION("""COMPUTED_VALUE"""),"[]")</f>
        <v>[]</v>
      </c>
      <c r="X80" s="148" t="str">
        <f>IFERROR(__xludf.DUMMYFUNCTION("""COMPUTED_VALUE"""),"[{""typ"":""power"",""id"":12141002,""val"":2}]")</f>
        <v>[{"typ":"power","id":12141002,"val":2}]</v>
      </c>
      <c r="Y80" s="148" t="str">
        <f>IFERROR(__xludf.DUMMYFUNCTION("""COMPUTED_VALUE"""),"[{""typ"":""atk"",""val"":125},{""typ"":""def"",""val"":127},{""typ"":""hp"",""val"":127},{""typ"":""speed"",""val"":40},{""typ"":""load"",""val"":8},{""typ"":""backcoef"",""val"":0.5},{""typ"":""atkcoef"",""val"":1.0},{""typ"":""atkcd"",""val"":0}]")</f>
        <v>[{"typ":"atk","val":125},{"typ":"def","val":127},{"typ":"hp","val":127},{"typ":"speed","val":40},{"typ":"load","val":8},{"typ":"backcoef","val":0.5},{"typ":"atkcoef","val":1.0},{"typ":"atkcd","val":0}]</v>
      </c>
      <c r="Z80" s="148" t="str">
        <f>IFERROR(__xludf.DUMMYFUNCTION("""COMPUTED_VALUE"""),"[]")</f>
        <v>[]</v>
      </c>
    </row>
    <row r="81">
      <c r="A81" s="148">
        <f>IFERROR(__xludf.DUMMYFUNCTION("""COMPUTED_VALUE"""),1.1211203E7)</f>
        <v>11211203</v>
      </c>
      <c r="B81" s="148" t="str">
        <f>IFERROR(__xludf.DUMMYFUNCTION("""COMPUTED_VALUE"""),"弓兵 lv3")</f>
        <v>弓兵 lv3</v>
      </c>
      <c r="C81" s="148">
        <f>IFERROR(__xludf.DUMMYFUNCTION("""COMPUTED_VALUE"""),1.1221003E7)</f>
        <v>11221003</v>
      </c>
      <c r="D81" s="148">
        <f>IFERROR(__xludf.DUMMYFUNCTION("""COMPUTED_VALUE"""),1.5110064E7)</f>
        <v>15110064</v>
      </c>
      <c r="E81" s="148" t="str">
        <f>IFERROR(__xludf.DUMMYFUNCTION("""COMPUTED_VALUE"""),"{""typ"":""lc"",""txt"":""LC_SOLDIER_shooter_name_3""}")</f>
        <v>{"typ":"lc","txt":"LC_SOLDIER_shooter_name_3"}</v>
      </c>
      <c r="F81" s="148" t="str">
        <f>IFERROR(__xludf.DUMMYFUNCTION("""COMPUTED_VALUE"""),"{""typ"":""lc"",""txt"":""LC_SOLDIER_shooter_desc_3""}")</f>
        <v>{"typ":"lc","txt":"LC_SOLDIER_shooter_desc_3"}</v>
      </c>
      <c r="G81" s="148">
        <f>IFERROR(__xludf.DUMMYFUNCTION("""COMPUTED_VALUE"""),4.0)</f>
        <v>4</v>
      </c>
      <c r="H81" s="148">
        <f>IFERROR(__xludf.DUMMYFUNCTION("""COMPUTED_VALUE"""),10.0)</f>
        <v>10</v>
      </c>
      <c r="I81" s="148">
        <f>IFERROR(__xludf.DUMMYFUNCTION("""COMPUTED_VALUE"""),10006.0)</f>
        <v>10006</v>
      </c>
      <c r="J81" s="148">
        <f>IFERROR(__xludf.DUMMYFUNCTION("""COMPUTED_VALUE"""),5.0)</f>
        <v>5</v>
      </c>
      <c r="K81" s="148">
        <f>IFERROR(__xludf.DUMMYFUNCTION("""COMPUTED_VALUE"""),3.0)</f>
        <v>3</v>
      </c>
      <c r="L81" s="148">
        <f>IFERROR(__xludf.DUMMYFUNCTION("""COMPUTED_VALUE"""),6.0)</f>
        <v>6</v>
      </c>
      <c r="M81" s="148">
        <f>IFERROR(__xludf.DUMMYFUNCTION("""COMPUTED_VALUE"""),60000.0)</f>
        <v>60000</v>
      </c>
      <c r="N81" s="148" t="str">
        <f>IFERROR(__xludf.DUMMYFUNCTION("""COMPUTED_VALUE"""),"[{""typ"":""rss"",""id"":11141001,""val"":280},{""typ"":""rss"",""id"":11141003,""val"":120}]")</f>
        <v>[{"typ":"rss","id":11141001,"val":280},{"typ":"rss","id":11141003,"val":120}]</v>
      </c>
      <c r="O81" s="148" t="str">
        <f>IFERROR(__xludf.DUMMYFUNCTION("""COMPUTED_VALUE"""),"{""op"":""and"",""args"":[{""op"":""ge"",""typ"":""research"",""id"":111946,""val"":1},{""op"":""ge"",""typ"":""building"",""id"":111818,""val"":1}]}")</f>
        <v>{"op":"and","args":[{"op":"ge","typ":"research","id":111946,"val":1},{"op":"ge","typ":"building","id":111818,"val":1}]}</v>
      </c>
      <c r="P81" s="148">
        <f>IFERROR(__xludf.DUMMYFUNCTION("""COMPUTED_VALUE"""),2000.0)</f>
        <v>2000</v>
      </c>
      <c r="Q81" s="148" t="str">
        <f>IFERROR(__xludf.DUMMYFUNCTION("""COMPUTED_VALUE"""),"[{""typ"":""rss"",""id"":11141001,""val"":112},{""typ"":""rss"",""id"":11141003,""val"":48}]")</f>
        <v>[{"typ":"rss","id":11141001,"val":112},{"typ":"rss","id":11141003,"val":48}]</v>
      </c>
      <c r="R81" s="148" t="str">
        <f>IFERROR(__xludf.DUMMYFUNCTION("""COMPUTED_VALUE"""),"{}")</f>
        <v>{}</v>
      </c>
      <c r="S81" s="148">
        <f>IFERROR(__xludf.DUMMYFUNCTION("""COMPUTED_VALUE"""),30000.0)</f>
        <v>30000</v>
      </c>
      <c r="T81" s="148" t="str">
        <f>IFERROR(__xludf.DUMMYFUNCTION("""COMPUTED_VALUE"""),"[{""typ"":""rss"",""id"":11141001,""val"":140},{""typ"":""rss"",""id"":11141003,""val"":60}]")</f>
        <v>[{"typ":"rss","id":11141001,"val":140},{"typ":"rss","id":11141003,"val":60}]</v>
      </c>
      <c r="U81" s="148">
        <f>IFERROR(__xludf.DUMMYFUNCTION("""COMPUTED_VALUE"""),0.0)</f>
        <v>0</v>
      </c>
      <c r="V81" s="148" t="str">
        <f>IFERROR(__xludf.DUMMYFUNCTION("""COMPUTED_VALUE"""),"{""op"":""and"",""args"":[{""op"":""ge"",""typ"":""research"",""id"":11194601,""val"":1},{""op"":""ge"",""typ"":""building"",""id"":111818,""val"":1}]}")</f>
        <v>{"op":"and","args":[{"op":"ge","typ":"research","id":11194601,"val":1},{"op":"ge","typ":"building","id":111818,"val":1}]}</v>
      </c>
      <c r="W81" s="148" t="str">
        <f>IFERROR(__xludf.DUMMYFUNCTION("""COMPUTED_VALUE"""),"[]")</f>
        <v>[]</v>
      </c>
      <c r="X81" s="148" t="str">
        <f>IFERROR(__xludf.DUMMYFUNCTION("""COMPUTED_VALUE"""),"[{""typ"":""power"",""id"":12141002,""val"":4}]")</f>
        <v>[{"typ":"power","id":12141002,"val":4}]</v>
      </c>
      <c r="Y81" s="148" t="str">
        <f>IFERROR(__xludf.DUMMYFUNCTION("""COMPUTED_VALUE"""),"[{""typ"":""atk"",""val"":165},{""typ"":""def"",""val"":154},{""typ"":""hp"",""val"":158},{""typ"":""speed"",""val"":37},{""typ"":""load"",""val"":9},{""typ"":""backcoef"",""val"":0.5},{""typ"":""atkcoef"",""val"":1.0},{""typ"":""atkcd"",""val"":0}]")</f>
        <v>[{"typ":"atk","val":165},{"typ":"def","val":154},{"typ":"hp","val":158},{"typ":"speed","val":37},{"typ":"load","val":9},{"typ":"backcoef","val":0.5},{"typ":"atkcoef","val":1.0},{"typ":"atkcd","val":0}]</v>
      </c>
      <c r="Z81" s="148" t="str">
        <f>IFERROR(__xludf.DUMMYFUNCTION("""COMPUTED_VALUE"""),"[]")</f>
        <v>[]</v>
      </c>
    </row>
    <row r="82">
      <c r="A82" s="148">
        <f>IFERROR(__xludf.DUMMYFUNCTION("""COMPUTED_VALUE"""),1.1211204E7)</f>
        <v>11211204</v>
      </c>
      <c r="B82" s="148" t="str">
        <f>IFERROR(__xludf.DUMMYFUNCTION("""COMPUTED_VALUE"""),"弓兵 lv4")</f>
        <v>弓兵 lv4</v>
      </c>
      <c r="C82" s="148">
        <f>IFERROR(__xludf.DUMMYFUNCTION("""COMPUTED_VALUE"""),1.1221003E7)</f>
        <v>11221003</v>
      </c>
      <c r="D82" s="148">
        <f>IFERROR(__xludf.DUMMYFUNCTION("""COMPUTED_VALUE"""),1.5110065E7)</f>
        <v>15110065</v>
      </c>
      <c r="E82" s="148" t="str">
        <f>IFERROR(__xludf.DUMMYFUNCTION("""COMPUTED_VALUE"""),"{""typ"":""lc"",""txt"":""LC_SOLDIER_shooter_name_4""}")</f>
        <v>{"typ":"lc","txt":"LC_SOLDIER_shooter_name_4"}</v>
      </c>
      <c r="F82" s="148" t="str">
        <f>IFERROR(__xludf.DUMMYFUNCTION("""COMPUTED_VALUE"""),"{""typ"":""lc"",""txt"":""LC_SOLDIER_shooter_desc_4""}")</f>
        <v>{"typ":"lc","txt":"LC_SOLDIER_shooter_desc_4"}</v>
      </c>
      <c r="G82" s="148">
        <f>IFERROR(__xludf.DUMMYFUNCTION("""COMPUTED_VALUE"""),8.0)</f>
        <v>8</v>
      </c>
      <c r="H82" s="148">
        <f>IFERROR(__xludf.DUMMYFUNCTION("""COMPUTED_VALUE"""),14.0)</f>
        <v>14</v>
      </c>
      <c r="I82" s="148">
        <f>IFERROR(__xludf.DUMMYFUNCTION("""COMPUTED_VALUE"""),10004.0)</f>
        <v>10004</v>
      </c>
      <c r="J82" s="148">
        <f>IFERROR(__xludf.DUMMYFUNCTION("""COMPUTED_VALUE"""),7.0)</f>
        <v>7</v>
      </c>
      <c r="K82" s="148">
        <f>IFERROR(__xludf.DUMMYFUNCTION("""COMPUTED_VALUE"""),4.0)</f>
        <v>4</v>
      </c>
      <c r="L82" s="148">
        <f>IFERROR(__xludf.DUMMYFUNCTION("""COMPUTED_VALUE"""),6.0)</f>
        <v>6</v>
      </c>
      <c r="M82" s="148">
        <f>IFERROR(__xludf.DUMMYFUNCTION("""COMPUTED_VALUE"""),90000.0)</f>
        <v>90000</v>
      </c>
      <c r="N82" s="148" t="str">
        <f>IFERROR(__xludf.DUMMYFUNCTION("""COMPUTED_VALUE"""),"[{""typ"":""rss"",""id"":11141001,""val"":560},{""typ"":""rss"",""id"":11141003,""val"":240}]")</f>
        <v>[{"typ":"rss","id":11141001,"val":560},{"typ":"rss","id":11141003,"val":240}]</v>
      </c>
      <c r="O82" s="148" t="str">
        <f>IFERROR(__xludf.DUMMYFUNCTION("""COMPUTED_VALUE"""),"{""op"":""and"",""args"":[{""op"":""ge"",""typ"":""research"",""id"":111955,""val"":1},{""op"":""ge"",""typ"":""building"",""id"":111818,""val"":1}]}")</f>
        <v>{"op":"and","args":[{"op":"ge","typ":"research","id":111955,"val":1},{"op":"ge","typ":"building","id":111818,"val":1}]}</v>
      </c>
      <c r="P82" s="148">
        <f>IFERROR(__xludf.DUMMYFUNCTION("""COMPUTED_VALUE"""),3000.0)</f>
        <v>3000</v>
      </c>
      <c r="Q82" s="148" t="str">
        <f>IFERROR(__xludf.DUMMYFUNCTION("""COMPUTED_VALUE"""),"[{""typ"":""rss"",""id"":11141001,""val"":224},{""typ"":""rss"",""id"":11141003,""val"":96}]")</f>
        <v>[{"typ":"rss","id":11141001,"val":224},{"typ":"rss","id":11141003,"val":96}]</v>
      </c>
      <c r="R82" s="148" t="str">
        <f>IFERROR(__xludf.DUMMYFUNCTION("""COMPUTED_VALUE"""),"{}")</f>
        <v>{}</v>
      </c>
      <c r="S82" s="148">
        <f>IFERROR(__xludf.DUMMYFUNCTION("""COMPUTED_VALUE"""),30000.0)</f>
        <v>30000</v>
      </c>
      <c r="T82" s="148" t="str">
        <f>IFERROR(__xludf.DUMMYFUNCTION("""COMPUTED_VALUE"""),"[{""typ"":""rss"",""id"":11141001,""val"":280},{""typ"":""rss"",""id"":11141003,""val"":120}]")</f>
        <v>[{"typ":"rss","id":11141001,"val":280},{"typ":"rss","id":11141003,"val":120}]</v>
      </c>
      <c r="U82" s="148">
        <f>IFERROR(__xludf.DUMMYFUNCTION("""COMPUTED_VALUE"""),0.0)</f>
        <v>0</v>
      </c>
      <c r="V82" s="148" t="str">
        <f>IFERROR(__xludf.DUMMYFUNCTION("""COMPUTED_VALUE"""),"{""op"":""and"",""args"":[{""op"":""ge"",""typ"":""research"",""id"":11195501,""val"":1},{""op"":""ge"",""typ"":""building"",""id"":111818,""val"":1}]}")</f>
        <v>{"op":"and","args":[{"op":"ge","typ":"research","id":11195501,"val":1},{"op":"ge","typ":"building","id":111818,"val":1}]}</v>
      </c>
      <c r="W82" s="148" t="str">
        <f>IFERROR(__xludf.DUMMYFUNCTION("""COMPUTED_VALUE"""),"[]")</f>
        <v>[]</v>
      </c>
      <c r="X82" s="148" t="str">
        <f>IFERROR(__xludf.DUMMYFUNCTION("""COMPUTED_VALUE"""),"[{""typ"":""power"",""id"":12141002,""val"":6}]")</f>
        <v>[{"typ":"power","id":12141002,"val":6}]</v>
      </c>
      <c r="Y82" s="148" t="str">
        <f>IFERROR(__xludf.DUMMYFUNCTION("""COMPUTED_VALUE"""),"[{""typ"":""atk"",""val"":205},{""typ"":""def"",""val"":188},{""typ"":""hp"",""val"":175},{""typ"":""speed"",""val"":35},{""typ"":""load"",""val"":11},{""typ"":""backcoef"",""val"":0.5},{""typ"":""atkcoef"",""val"":1.0},{""typ"":""atkcd"",""val"":0}]")</f>
        <v>[{"typ":"atk","val":205},{"typ":"def","val":188},{"typ":"hp","val":175},{"typ":"speed","val":35},{"typ":"load","val":11},{"typ":"backcoef","val":0.5},{"typ":"atkcoef","val":1.0},{"typ":"atkcd","val":0}]</v>
      </c>
      <c r="Z82" s="148" t="str">
        <f>IFERROR(__xludf.DUMMYFUNCTION("""COMPUTED_VALUE"""),"[]")</f>
        <v>[]</v>
      </c>
    </row>
    <row r="83">
      <c r="A83" s="148">
        <f>IFERROR(__xludf.DUMMYFUNCTION("""COMPUTED_VALUE"""),1.1211205E7)</f>
        <v>11211205</v>
      </c>
      <c r="B83" s="148" t="str">
        <f>IFERROR(__xludf.DUMMYFUNCTION("""COMPUTED_VALUE"""),"弓兵 lv5")</f>
        <v>弓兵 lv5</v>
      </c>
      <c r="C83" s="148">
        <f>IFERROR(__xludf.DUMMYFUNCTION("""COMPUTED_VALUE"""),1.1221003E7)</f>
        <v>11221003</v>
      </c>
      <c r="D83" s="148">
        <f>IFERROR(__xludf.DUMMYFUNCTION("""COMPUTED_VALUE"""),1.5110066E7)</f>
        <v>15110066</v>
      </c>
      <c r="E83" s="148" t="str">
        <f>IFERROR(__xludf.DUMMYFUNCTION("""COMPUTED_VALUE"""),"{""typ"":""lc"",""txt"":""LC_SOLDIER_shooter_name_5""}")</f>
        <v>{"typ":"lc","txt":"LC_SOLDIER_shooter_name_5"}</v>
      </c>
      <c r="F83" s="148" t="str">
        <f>IFERROR(__xludf.DUMMYFUNCTION("""COMPUTED_VALUE"""),"{""typ"":""lc"",""txt"":""LC_SOLDIER_shooter_desc_5""}")</f>
        <v>{"typ":"lc","txt":"LC_SOLDIER_shooter_desc_5"}</v>
      </c>
      <c r="G83" s="148">
        <f>IFERROR(__xludf.DUMMYFUNCTION("""COMPUTED_VALUE"""),15.0)</f>
        <v>15</v>
      </c>
      <c r="H83" s="148">
        <f>IFERROR(__xludf.DUMMYFUNCTION("""COMPUTED_VALUE"""),18.0)</f>
        <v>18</v>
      </c>
      <c r="I83" s="148">
        <f>IFERROR(__xludf.DUMMYFUNCTION("""COMPUTED_VALUE"""),10002.0)</f>
        <v>10002</v>
      </c>
      <c r="J83" s="148">
        <f>IFERROR(__xludf.DUMMYFUNCTION("""COMPUTED_VALUE"""),9.0)</f>
        <v>9</v>
      </c>
      <c r="K83" s="148">
        <f>IFERROR(__xludf.DUMMYFUNCTION("""COMPUTED_VALUE"""),5.0)</f>
        <v>5</v>
      </c>
      <c r="L83" s="148">
        <f>IFERROR(__xludf.DUMMYFUNCTION("""COMPUTED_VALUE"""),6.0)</f>
        <v>6</v>
      </c>
      <c r="M83" s="148">
        <f>IFERROR(__xludf.DUMMYFUNCTION("""COMPUTED_VALUE"""),180000.0)</f>
        <v>180000</v>
      </c>
      <c r="N83" s="148" t="str">
        <f>IFERROR(__xludf.DUMMYFUNCTION("""COMPUTED_VALUE"""),"[{""typ"":""rss"",""id"":11141001,""val"":1400},{""typ"":""rss"",""id"":11141003,""val"":600}]")</f>
        <v>[{"typ":"rss","id":11141001,"val":1400},{"typ":"rss","id":11141003,"val":600}]</v>
      </c>
      <c r="O83" s="148" t="str">
        <f>IFERROR(__xludf.DUMMYFUNCTION("""COMPUTED_VALUE"""),"{""op"":""and"",""args"":[{""op"":""ge"",""typ"":""research"",""id"":111970,""val"":1},{""op"":""ge"",""typ"":""building"",""id"":111818,""val"":1}]}")</f>
        <v>{"op":"and","args":[{"op":"ge","typ":"research","id":111970,"val":1},{"op":"ge","typ":"building","id":111818,"val":1}]}</v>
      </c>
      <c r="P83" s="148">
        <f>IFERROR(__xludf.DUMMYFUNCTION("""COMPUTED_VALUE"""),6000.0)</f>
        <v>6000</v>
      </c>
      <c r="Q83" s="148" t="str">
        <f>IFERROR(__xludf.DUMMYFUNCTION("""COMPUTED_VALUE"""),"[{""typ"":""rss"",""id"":11141001,""val"":560},{""typ"":""rss"",""id"":11141003,""val"":240}]")</f>
        <v>[{"typ":"rss","id":11141001,"val":560},{"typ":"rss","id":11141003,"val":240}]</v>
      </c>
      <c r="R83" s="148" t="str">
        <f>IFERROR(__xludf.DUMMYFUNCTION("""COMPUTED_VALUE"""),"{}")</f>
        <v>{}</v>
      </c>
      <c r="S83" s="148">
        <f>IFERROR(__xludf.DUMMYFUNCTION("""COMPUTED_VALUE"""),90000.0)</f>
        <v>90000</v>
      </c>
      <c r="T83" s="148" t="str">
        <f>IFERROR(__xludf.DUMMYFUNCTION("""COMPUTED_VALUE"""),"[{""typ"":""rss"",""id"":11141001,""val"":840},{""typ"":""rss"",""id"":11141003,""val"":360}]")</f>
        <v>[{"typ":"rss","id":11141001,"val":840},{"typ":"rss","id":11141003,"val":360}]</v>
      </c>
      <c r="U83" s="148">
        <f>IFERROR(__xludf.DUMMYFUNCTION("""COMPUTED_VALUE"""),0.0)</f>
        <v>0</v>
      </c>
      <c r="V83" s="148" t="str">
        <f>IFERROR(__xludf.DUMMYFUNCTION("""COMPUTED_VALUE"""),"{""op"":""and"",""args"":[{""op"":""ge"",""typ"":""research"",""id"":11197001,""val"":1},{""op"":""ge"",""typ"":""building"",""id"":111818,""val"":1}]}")</f>
        <v>{"op":"and","args":[{"op":"ge","typ":"research","id":11197001,"val":1},{"op":"ge","typ":"building","id":111818,"val":1}]}</v>
      </c>
      <c r="W83" s="148" t="str">
        <f>IFERROR(__xludf.DUMMYFUNCTION("""COMPUTED_VALUE"""),"[]")</f>
        <v>[]</v>
      </c>
      <c r="X83" s="148" t="str">
        <f>IFERROR(__xludf.DUMMYFUNCTION("""COMPUTED_VALUE"""),"[{""typ"":""power"",""id"":12141002,""val"":10}]")</f>
        <v>[{"typ":"power","id":12141002,"val":10}]</v>
      </c>
      <c r="Y83" s="148" t="str">
        <f>IFERROR(__xludf.DUMMYFUNCTION("""COMPUTED_VALUE"""),"[{""typ"":""atk"",""val"":235},{""typ"":""def"",""val"":205},{""typ"":""hp"",""val"":210},{""typ"":""speed"",""val"":33},{""typ"":""load"",""val"":13},{""typ"":""backcoef"",""val"":0.5},{""typ"":""atkcoef"",""val"":1.0},{""typ"":""atkcd"",""val"":0}]")</f>
        <v>[{"typ":"atk","val":235},{"typ":"def","val":205},{"typ":"hp","val":210},{"typ":"speed","val":33},{"typ":"load","val":13},{"typ":"backcoef","val":0.5},{"typ":"atkcoef","val":1.0},{"typ":"atkcd","val":0}]</v>
      </c>
      <c r="Z83" s="148" t="str">
        <f>IFERROR(__xludf.DUMMYFUNCTION("""COMPUTED_VALUE"""),"[]")</f>
        <v>[]</v>
      </c>
    </row>
    <row r="84">
      <c r="A84" s="148">
        <f>IFERROR(__xludf.DUMMYFUNCTION("""COMPUTED_VALUE"""),1.1211206E7)</f>
        <v>11211206</v>
      </c>
      <c r="B84" s="148" t="str">
        <f>IFERROR(__xludf.DUMMYFUNCTION("""COMPUTED_VALUE"""),"弓兵 lv6")</f>
        <v>弓兵 lv6</v>
      </c>
      <c r="C84" s="148">
        <f>IFERROR(__xludf.DUMMYFUNCTION("""COMPUTED_VALUE"""),1.1221003E7)</f>
        <v>11221003</v>
      </c>
      <c r="D84" s="148">
        <f>IFERROR(__xludf.DUMMYFUNCTION("""COMPUTED_VALUE"""),1.5117139E7)</f>
        <v>15117139</v>
      </c>
      <c r="E84" s="148" t="str">
        <f>IFERROR(__xludf.DUMMYFUNCTION("""COMPUTED_VALUE"""),"{""typ"":""lc"",""txt"":""LC_SOLDIER_shooter_name_6""}")</f>
        <v>{"typ":"lc","txt":"LC_SOLDIER_shooter_name_6"}</v>
      </c>
      <c r="F84" s="148" t="str">
        <f>IFERROR(__xludf.DUMMYFUNCTION("""COMPUTED_VALUE"""),"{""typ"":""lc"",""txt"":""LC_SOLDIER_shooter_desc_6""}")</f>
        <v>{"typ":"lc","txt":"LC_SOLDIER_shooter_desc_6"}</v>
      </c>
      <c r="G84" s="148">
        <f>IFERROR(__xludf.DUMMYFUNCTION("""COMPUTED_VALUE"""),25.0)</f>
        <v>25</v>
      </c>
      <c r="H84" s="148">
        <f>IFERROR(__xludf.DUMMYFUNCTION("""COMPUTED_VALUE"""),22.0)</f>
        <v>22</v>
      </c>
      <c r="I84" s="148">
        <f>IFERROR(__xludf.DUMMYFUNCTION("""COMPUTED_VALUE"""),10001.0)</f>
        <v>10001</v>
      </c>
      <c r="J84" s="148">
        <f>IFERROR(__xludf.DUMMYFUNCTION("""COMPUTED_VALUE"""),9.0)</f>
        <v>9</v>
      </c>
      <c r="K84" s="148">
        <f>IFERROR(__xludf.DUMMYFUNCTION("""COMPUTED_VALUE"""),6.0)</f>
        <v>6</v>
      </c>
      <c r="L84" s="148">
        <f>IFERROR(__xludf.DUMMYFUNCTION("""COMPUTED_VALUE"""),6.0)</f>
        <v>6</v>
      </c>
      <c r="M84" s="148">
        <f>IFERROR(__xludf.DUMMYFUNCTION("""COMPUTED_VALUE"""),360000.0)</f>
        <v>360000</v>
      </c>
      <c r="N84" s="148" t="str">
        <f>IFERROR(__xludf.DUMMYFUNCTION("""COMPUTED_VALUE"""),"[{""typ"":""rss"",""id"":11141001,""val"":2240},{""typ"":""rss"",""id"":11141003,""val"":960},{""typ"":""rss"",""id"":11141041,""val"":80}]")</f>
        <v>[{"typ":"rss","id":11141001,"val":2240},{"typ":"rss","id":11141003,"val":960},{"typ":"rss","id":11141041,"val":80}]</v>
      </c>
      <c r="O84" s="148" t="str">
        <f>IFERROR(__xludf.DUMMYFUNCTION("""COMPUTED_VALUE"""),"{""op"":""and"",""args"":[{""op"":""ge"",""typ"":""research"",""id"":1119186,""val"":1},{""op"":""ge"",""typ"":""building"",""id"":111818,""val"":1}]}")</f>
        <v>{"op":"and","args":[{"op":"ge","typ":"research","id":1119186,"val":1},{"op":"ge","typ":"building","id":111818,"val":1}]}</v>
      </c>
      <c r="P84" s="148">
        <f>IFERROR(__xludf.DUMMYFUNCTION("""COMPUTED_VALUE"""),12000.0)</f>
        <v>12000</v>
      </c>
      <c r="Q84" s="148" t="str">
        <f>IFERROR(__xludf.DUMMYFUNCTION("""COMPUTED_VALUE"""),"[{""typ"":""rss"",""id"":11141001,""val"":896},{""typ"":""rss"",""id"":11141003,""val"":384},{""typ"":""rss"",""id"":11141041,""val"":16}]")</f>
        <v>[{"typ":"rss","id":11141001,"val":896},{"typ":"rss","id":11141003,"val":384},{"typ":"rss","id":11141041,"val":16}]</v>
      </c>
      <c r="R84" s="148" t="str">
        <f>IFERROR(__xludf.DUMMYFUNCTION("""COMPUTED_VALUE"""),"{}")</f>
        <v>{}</v>
      </c>
      <c r="S84" s="148">
        <f>IFERROR(__xludf.DUMMYFUNCTION("""COMPUTED_VALUE"""),180000.0)</f>
        <v>180000</v>
      </c>
      <c r="T84" s="148" t="str">
        <f>IFERROR(__xludf.DUMMYFUNCTION("""COMPUTED_VALUE"""),"[{""typ"":""rss"",""id"":11141001,""val"":840},{""typ"":""rss"",""id"":11141003,""val"":360},{""typ"":""rss"",""id"":11141041,""val"":80}]")</f>
        <v>[{"typ":"rss","id":11141001,"val":840},{"typ":"rss","id":11141003,"val":360},{"typ":"rss","id":11141041,"val":80}]</v>
      </c>
      <c r="U84" s="148">
        <f>IFERROR(__xludf.DUMMYFUNCTION("""COMPUTED_VALUE"""),0.0)</f>
        <v>0</v>
      </c>
      <c r="V84" s="148" t="str">
        <f>IFERROR(__xludf.DUMMYFUNCTION("""COMPUTED_VALUE"""),"{""op"":""and"",""args"":[{""op"":""ge"",""typ"":""research"",""id"":111918601,""val"":1},{""op"":""ge"",""typ"":""building"",""id"":111818,""val"":1}]}")</f>
        <v>{"op":"and","args":[{"op":"ge","typ":"research","id":111918601,"val":1},{"op":"ge","typ":"building","id":111818,"val":1}]}</v>
      </c>
      <c r="W84" s="148" t="str">
        <f>IFERROR(__xludf.DUMMYFUNCTION("""COMPUTED_VALUE"""),"[]")</f>
        <v>[]</v>
      </c>
      <c r="X84" s="148" t="str">
        <f>IFERROR(__xludf.DUMMYFUNCTION("""COMPUTED_VALUE"""),"[{""typ"":""power"",""id"":12141002,""val"":20}]")</f>
        <v>[{"typ":"power","id":12141002,"val":20}]</v>
      </c>
      <c r="Y84" s="148" t="str">
        <f>IFERROR(__xludf.DUMMYFUNCTION("""COMPUTED_VALUE"""),"[{""typ"":""atk"",""val"":290},{""typ"":""def"",""val"":255},{""typ"":""hp"",""val"":245},{""typ"":""speed"",""val"":31},{""typ"":""load"",""val"":18},{""typ"":""backcoef"",""val"":0.5},{""typ"":""atkcoef"",""val"":1.0},{""typ"":""atkcd"",""val"":0}]")</f>
        <v>[{"typ":"atk","val":290},{"typ":"def","val":255},{"typ":"hp","val":245},{"typ":"speed","val":31},{"typ":"load","val":18},{"typ":"backcoef","val":0.5},{"typ":"atkcoef","val":1.0},{"typ":"atkcd","val":0}]</v>
      </c>
      <c r="Z84" s="148" t="str">
        <f>IFERROR(__xludf.DUMMYFUNCTION("""COMPUTED_VALUE"""),"[]")</f>
        <v>[]</v>
      </c>
    </row>
    <row r="85">
      <c r="A85" s="148">
        <f>IFERROR(__xludf.DUMMYFUNCTION("""COMPUTED_VALUE"""),1.1211211E7)</f>
        <v>11211211</v>
      </c>
      <c r="B85" s="148" t="str">
        <f>IFERROR(__xludf.DUMMYFUNCTION("""COMPUTED_VALUE"""),"弓兵-lv1-1")</f>
        <v>弓兵-lv1-1</v>
      </c>
      <c r="C85" s="148">
        <f>IFERROR(__xludf.DUMMYFUNCTION("""COMPUTED_VALUE"""),1.1221003E7)</f>
        <v>11221003</v>
      </c>
      <c r="D85" s="148">
        <f>IFERROR(__xludf.DUMMYFUNCTION("""COMPUTED_VALUE"""),1.5110062E7)</f>
        <v>15110062</v>
      </c>
      <c r="E85" s="148" t="str">
        <f>IFERROR(__xludf.DUMMYFUNCTION("""COMPUTED_VALUE"""),"{""typ"":""lc"",""txt"":""LC_SOLDIER_shooter_name_1""}")</f>
        <v>{"typ":"lc","txt":"LC_SOLDIER_shooter_name_1"}</v>
      </c>
      <c r="F85" s="148" t="str">
        <f>IFERROR(__xludf.DUMMYFUNCTION("""COMPUTED_VALUE"""),"{""typ"":""lc"",""txt"":""LC_SOLDIER_shooter_desc_1""}")</f>
        <v>{"typ":"lc","txt":"LC_SOLDIER_shooter_desc_1"}</v>
      </c>
      <c r="G85" s="148">
        <f>IFERROR(__xludf.DUMMYFUNCTION("""COMPUTED_VALUE"""),1.0)</f>
        <v>1</v>
      </c>
      <c r="H85" s="148">
        <f>IFERROR(__xludf.DUMMYFUNCTION("""COMPUTED_VALUE"""),2.0)</f>
        <v>2</v>
      </c>
      <c r="I85" s="148">
        <f>IFERROR(__xludf.DUMMYFUNCTION("""COMPUTED_VALUE"""),10010.0)</f>
        <v>10010</v>
      </c>
      <c r="J85" s="148">
        <f>IFERROR(__xludf.DUMMYFUNCTION("""COMPUTED_VALUE"""),1.0)</f>
        <v>1</v>
      </c>
      <c r="K85" s="148">
        <f>IFERROR(__xludf.DUMMYFUNCTION("""COMPUTED_VALUE"""),1.0)</f>
        <v>1</v>
      </c>
      <c r="L85" s="148">
        <f>IFERROR(__xludf.DUMMYFUNCTION("""COMPUTED_VALUE"""),6.0)</f>
        <v>6</v>
      </c>
      <c r="M85" s="148">
        <f>IFERROR(__xludf.DUMMYFUNCTION("""COMPUTED_VALUE"""),13000.0)</f>
        <v>13000</v>
      </c>
      <c r="N85" s="148" t="str">
        <f>IFERROR(__xludf.DUMMYFUNCTION("""COMPUTED_VALUE"""),"[{""typ"":""rss"",""id"":11141001,""val"":70},{""typ"":""rss"",""id"":11141003,""val"":30}]")</f>
        <v>[{"typ":"rss","id":11141001,"val":70},{"typ":"rss","id":11141003,"val":30}]</v>
      </c>
      <c r="O85" s="148" t="str">
        <f>IFERROR(__xludf.DUMMYFUNCTION("""COMPUTED_VALUE"""),"{""op"":""and"",""args"":[{""op"":""ge"",""typ"":""arms_group"",""id"":11673002,""val"":1}]}")</f>
        <v>{"op":"and","args":[{"op":"ge","typ":"arms_group","id":11673002,"val":1}]}</v>
      </c>
      <c r="P85" s="148">
        <f>IFERROR(__xludf.DUMMYFUNCTION("""COMPUTED_VALUE"""),65.0)</f>
        <v>65</v>
      </c>
      <c r="Q85" s="148" t="str">
        <f>IFERROR(__xludf.DUMMYFUNCTION("""COMPUTED_VALUE"""),"[{""typ"":""rss"",""id"":11141001,""val"":28},{""typ"":""rss"",""id"":11141003,""val"":12}]")</f>
        <v>[{"typ":"rss","id":11141001,"val":28},{"typ":"rss","id":11141003,"val":12}]</v>
      </c>
      <c r="R85" s="148" t="str">
        <f>IFERROR(__xludf.DUMMYFUNCTION("""COMPUTED_VALUE"""),"{}")</f>
        <v>{}</v>
      </c>
      <c r="S85" s="148">
        <f>IFERROR(__xludf.DUMMYFUNCTION("""COMPUTED_VALUE"""),0.0)</f>
        <v>0</v>
      </c>
      <c r="T85" s="148" t="str">
        <f>IFERROR(__xludf.DUMMYFUNCTION("""COMPUTED_VALUE"""),"[]")</f>
        <v>[]</v>
      </c>
      <c r="U85" s="148">
        <f>IFERROR(__xludf.DUMMYFUNCTION("""COMPUTED_VALUE"""),0.0)</f>
        <v>0</v>
      </c>
      <c r="V85" s="148" t="str">
        <f>IFERROR(__xludf.DUMMYFUNCTION("""COMPUTED_VALUE"""),"{""op"":""and"",""args"":[{""op"":""ge"",""typ"":""arms_group"",""id"":11673002,""val"":1}]}")</f>
        <v>{"op":"and","args":[{"op":"ge","typ":"arms_group","id":11673002,"val":1}]}</v>
      </c>
      <c r="W85" s="148" t="str">
        <f>IFERROR(__xludf.DUMMYFUNCTION("""COMPUTED_VALUE"""),"[]")</f>
        <v>[]</v>
      </c>
      <c r="X85" s="148" t="str">
        <f>IFERROR(__xludf.DUMMYFUNCTION("""COMPUTED_VALUE"""),"[{""typ"":""power"",""id"":12141002,""val"":1}]")</f>
        <v>[{"typ":"power","id":12141002,"val":1}]</v>
      </c>
      <c r="Y85" s="148" t="str">
        <f>IFERROR(__xludf.DUMMYFUNCTION("""COMPUTED_VALUE"""),"[{""typ"":""atk"",""val"":67},{""typ"":""def"",""val"":125},{""typ"":""hp"",""val"":120},{""typ"":""speed"",""val"":42},{""typ"":""load"",""val"":6},{""typ"":""backcoef"",""val"":0.5},{""typ"":""atkcoef"",""val"":1.0},{""typ"":""atkcd"",""val"":0}]")</f>
        <v>[{"typ":"atk","val":67},{"typ":"def","val":125},{"typ":"hp","val":120},{"typ":"speed","val":42},{"typ":"load","val":6},{"typ":"backcoef","val":0.5},{"typ":"atkcoef","val":1.0},{"typ":"atkcd","val":0}]</v>
      </c>
      <c r="Z85" s="148" t="str">
        <f>IFERROR(__xludf.DUMMYFUNCTION("""COMPUTED_VALUE"""),"[]")</f>
        <v>[]</v>
      </c>
    </row>
    <row r="86">
      <c r="A86" s="148">
        <f>IFERROR(__xludf.DUMMYFUNCTION("""COMPUTED_VALUE"""),1.1211212E7)</f>
        <v>11211212</v>
      </c>
      <c r="B86" s="148" t="str">
        <f>IFERROR(__xludf.DUMMYFUNCTION("""COMPUTED_VALUE"""),"弓兵-lv1-2")</f>
        <v>弓兵-lv1-2</v>
      </c>
      <c r="C86" s="148">
        <f>IFERROR(__xludf.DUMMYFUNCTION("""COMPUTED_VALUE"""),1.1221003E7)</f>
        <v>11221003</v>
      </c>
      <c r="D86" s="148">
        <f>IFERROR(__xludf.DUMMYFUNCTION("""COMPUTED_VALUE"""),1.5110062E7)</f>
        <v>15110062</v>
      </c>
      <c r="E86" s="148" t="str">
        <f>IFERROR(__xludf.DUMMYFUNCTION("""COMPUTED_VALUE"""),"{""typ"":""lc"",""txt"":""LC_SOLDIER_shooter_name_1""}")</f>
        <v>{"typ":"lc","txt":"LC_SOLDIER_shooter_name_1"}</v>
      </c>
      <c r="F86" s="148" t="str">
        <f>IFERROR(__xludf.DUMMYFUNCTION("""COMPUTED_VALUE"""),"{""typ"":""lc"",""txt"":""LC_SOLDIER_shooter_desc_1""}")</f>
        <v>{"typ":"lc","txt":"LC_SOLDIER_shooter_desc_1"}</v>
      </c>
      <c r="G86" s="148">
        <f>IFERROR(__xludf.DUMMYFUNCTION("""COMPUTED_VALUE"""),1.0)</f>
        <v>1</v>
      </c>
      <c r="H86" s="148">
        <f>IFERROR(__xludf.DUMMYFUNCTION("""COMPUTED_VALUE"""),2.0)</f>
        <v>2</v>
      </c>
      <c r="I86" s="148">
        <f>IFERROR(__xludf.DUMMYFUNCTION("""COMPUTED_VALUE"""),10010.0)</f>
        <v>10010</v>
      </c>
      <c r="J86" s="148">
        <f>IFERROR(__xludf.DUMMYFUNCTION("""COMPUTED_VALUE"""),1.0)</f>
        <v>1</v>
      </c>
      <c r="K86" s="148">
        <f>IFERROR(__xludf.DUMMYFUNCTION("""COMPUTED_VALUE"""),1.0)</f>
        <v>1</v>
      </c>
      <c r="L86" s="148">
        <f>IFERROR(__xludf.DUMMYFUNCTION("""COMPUTED_VALUE"""),6.0)</f>
        <v>6</v>
      </c>
      <c r="M86" s="148">
        <f>IFERROR(__xludf.DUMMYFUNCTION("""COMPUTED_VALUE"""),13000.0)</f>
        <v>13000</v>
      </c>
      <c r="N86" s="148" t="str">
        <f>IFERROR(__xludf.DUMMYFUNCTION("""COMPUTED_VALUE"""),"[{""typ"":""rss"",""id"":11141001,""val"":70},{""typ"":""rss"",""id"":11141003,""val"":30}]")</f>
        <v>[{"typ":"rss","id":11141001,"val":70},{"typ":"rss","id":11141003,"val":30}]</v>
      </c>
      <c r="O86" s="148" t="str">
        <f>IFERROR(__xludf.DUMMYFUNCTION("""COMPUTED_VALUE"""),"{""op"":""and"",""args"":[{""op"":""ge"",""typ"":""arms_group"",""id"":11673003,""val"":1}]}")</f>
        <v>{"op":"and","args":[{"op":"ge","typ":"arms_group","id":11673003,"val":1}]}</v>
      </c>
      <c r="P86" s="148">
        <f>IFERROR(__xludf.DUMMYFUNCTION("""COMPUTED_VALUE"""),65.0)</f>
        <v>65</v>
      </c>
      <c r="Q86" s="148" t="str">
        <f>IFERROR(__xludf.DUMMYFUNCTION("""COMPUTED_VALUE"""),"[{""typ"":""rss"",""id"":11141001,""val"":28},{""typ"":""rss"",""id"":11141003,""val"":12}]")</f>
        <v>[{"typ":"rss","id":11141001,"val":28},{"typ":"rss","id":11141003,"val":12}]</v>
      </c>
      <c r="R86" s="148" t="str">
        <f>IFERROR(__xludf.DUMMYFUNCTION("""COMPUTED_VALUE"""),"{}")</f>
        <v>{}</v>
      </c>
      <c r="S86" s="148">
        <f>IFERROR(__xludf.DUMMYFUNCTION("""COMPUTED_VALUE"""),0.0)</f>
        <v>0</v>
      </c>
      <c r="T86" s="148" t="str">
        <f>IFERROR(__xludf.DUMMYFUNCTION("""COMPUTED_VALUE"""),"[]")</f>
        <v>[]</v>
      </c>
      <c r="U86" s="148">
        <f>IFERROR(__xludf.DUMMYFUNCTION("""COMPUTED_VALUE"""),0.0)</f>
        <v>0</v>
      </c>
      <c r="V86" s="148" t="str">
        <f>IFERROR(__xludf.DUMMYFUNCTION("""COMPUTED_VALUE"""),"{""op"":""and"",""args"":[{""op"":""ge"",""typ"":""arms_group"",""id"":11673003,""val"":1}]}")</f>
        <v>{"op":"and","args":[{"op":"ge","typ":"arms_group","id":11673003,"val":1}]}</v>
      </c>
      <c r="W86" s="148" t="str">
        <f>IFERROR(__xludf.DUMMYFUNCTION("""COMPUTED_VALUE"""),"[]")</f>
        <v>[]</v>
      </c>
      <c r="X86" s="148" t="str">
        <f>IFERROR(__xludf.DUMMYFUNCTION("""COMPUTED_VALUE"""),"[{""typ"":""power"",""id"":12141002,""val"":1}]")</f>
        <v>[{"typ":"power","id":12141002,"val":1}]</v>
      </c>
      <c r="Y86" s="148" t="str">
        <f>IFERROR(__xludf.DUMMYFUNCTION("""COMPUTED_VALUE"""),"[{""typ"":""atk"",""val"":72},{""typ"":""def"",""val"":126},{""typ"":""hp"",""val"":121},{""typ"":""speed"",""val"":42},{""typ"":""load"",""val"":6},{""typ"":""backcoef"",""val"":0.5},{""typ"":""atkcoef"",""val"":1.0},{""typ"":""atkcd"",""val"":0}]")</f>
        <v>[{"typ":"atk","val":72},{"typ":"def","val":126},{"typ":"hp","val":121},{"typ":"speed","val":42},{"typ":"load","val":6},{"typ":"backcoef","val":0.5},{"typ":"atkcoef","val":1.0},{"typ":"atkcd","val":0}]</v>
      </c>
      <c r="Z86" s="148" t="str">
        <f>IFERROR(__xludf.DUMMYFUNCTION("""COMPUTED_VALUE"""),"[]")</f>
        <v>[]</v>
      </c>
    </row>
    <row r="87">
      <c r="A87" s="148">
        <f>IFERROR(__xludf.DUMMYFUNCTION("""COMPUTED_VALUE"""),1.1211213E7)</f>
        <v>11211213</v>
      </c>
      <c r="B87" s="148" t="str">
        <f>IFERROR(__xludf.DUMMYFUNCTION("""COMPUTED_VALUE"""),"弓兵-lv2-1")</f>
        <v>弓兵-lv2-1</v>
      </c>
      <c r="C87" s="148">
        <f>IFERROR(__xludf.DUMMYFUNCTION("""COMPUTED_VALUE"""),1.1221003E7)</f>
        <v>11221003</v>
      </c>
      <c r="D87" s="148">
        <f>IFERROR(__xludf.DUMMYFUNCTION("""COMPUTED_VALUE"""),1.5110063E7)</f>
        <v>15110063</v>
      </c>
      <c r="E87" s="148" t="str">
        <f>IFERROR(__xludf.DUMMYFUNCTION("""COMPUTED_VALUE"""),"{""typ"":""lc"",""txt"":""LC_SOLDIER_shooter_name_2""}")</f>
        <v>{"typ":"lc","txt":"LC_SOLDIER_shooter_name_2"}</v>
      </c>
      <c r="F87" s="148" t="str">
        <f>IFERROR(__xludf.DUMMYFUNCTION("""COMPUTED_VALUE"""),"{""typ"":""lc"",""txt"":""LC_SOLDIER_shooter_desc_2""}")</f>
        <v>{"typ":"lc","txt":"LC_SOLDIER_shooter_desc_2"}</v>
      </c>
      <c r="G87" s="148">
        <f>IFERROR(__xludf.DUMMYFUNCTION("""COMPUTED_VALUE"""),2.0)</f>
        <v>2</v>
      </c>
      <c r="H87" s="148">
        <f>IFERROR(__xludf.DUMMYFUNCTION("""COMPUTED_VALUE"""),6.0)</f>
        <v>6</v>
      </c>
      <c r="I87" s="148">
        <f>IFERROR(__xludf.DUMMYFUNCTION("""COMPUTED_VALUE"""),10008.0)</f>
        <v>10008</v>
      </c>
      <c r="J87" s="148">
        <f>IFERROR(__xludf.DUMMYFUNCTION("""COMPUTED_VALUE"""),3.0)</f>
        <v>3</v>
      </c>
      <c r="K87" s="148">
        <f>IFERROR(__xludf.DUMMYFUNCTION("""COMPUTED_VALUE"""),2.0)</f>
        <v>2</v>
      </c>
      <c r="L87" s="148">
        <f>IFERROR(__xludf.DUMMYFUNCTION("""COMPUTED_VALUE"""),6.0)</f>
        <v>6</v>
      </c>
      <c r="M87" s="148">
        <f>IFERROR(__xludf.DUMMYFUNCTION("""COMPUTED_VALUE"""),30000.0)</f>
        <v>30000</v>
      </c>
      <c r="N87" s="148" t="str">
        <f>IFERROR(__xludf.DUMMYFUNCTION("""COMPUTED_VALUE"""),"[{""typ"":""rss"",""id"":11141001,""val"":140},{""typ"":""rss"",""id"":11141003,""val"":60}]")</f>
        <v>[{"typ":"rss","id":11141001,"val":140},{"typ":"rss","id":11141003,"val":60}]</v>
      </c>
      <c r="O87" s="148" t="str">
        <f>IFERROR(__xludf.DUMMYFUNCTION("""COMPUTED_VALUE"""),"{""op"":""and"",""args"":[{""op"":""ge"",""typ"":""arms_group"",""id"":11673102,""val"":1}]}")</f>
        <v>{"op":"and","args":[{"op":"ge","typ":"arms_group","id":11673102,"val":1}]}</v>
      </c>
      <c r="P87" s="148">
        <f>IFERROR(__xludf.DUMMYFUNCTION("""COMPUTED_VALUE"""),1000.0)</f>
        <v>1000</v>
      </c>
      <c r="Q87" s="148" t="str">
        <f>IFERROR(__xludf.DUMMYFUNCTION("""COMPUTED_VALUE"""),"[{""typ"":""rss"",""id"":11141001,""val"":56},{""typ"":""rss"",""id"":11141003,""val"":24}]")</f>
        <v>[{"typ":"rss","id":11141001,"val":56},{"typ":"rss","id":11141003,"val":24}]</v>
      </c>
      <c r="R87" s="148" t="str">
        <f>IFERROR(__xludf.DUMMYFUNCTION("""COMPUTED_VALUE"""),"{}")</f>
        <v>{}</v>
      </c>
      <c r="S87" s="148">
        <f>IFERROR(__xludf.DUMMYFUNCTION("""COMPUTED_VALUE"""),17000.0)</f>
        <v>17000</v>
      </c>
      <c r="T87" s="148" t="str">
        <f>IFERROR(__xludf.DUMMYFUNCTION("""COMPUTED_VALUE"""),"[{""typ"":""rss"",""id"":11141001,""val"":70},{""typ"":""rss"",""id"":11141003,""val"":30}]")</f>
        <v>[{"typ":"rss","id":11141001,"val":70},{"typ":"rss","id":11141003,"val":30}]</v>
      </c>
      <c r="U87" s="148">
        <f>IFERROR(__xludf.DUMMYFUNCTION("""COMPUTED_VALUE"""),0.0)</f>
        <v>0</v>
      </c>
      <c r="V87" s="148" t="str">
        <f>IFERROR(__xludf.DUMMYFUNCTION("""COMPUTED_VALUE"""),"{""op"":""and"",""args"":[{""op"":""ge"",""typ"":""arms_group"",""id"":11673102,""val"":1}]}")</f>
        <v>{"op":"and","args":[{"op":"ge","typ":"arms_group","id":11673102,"val":1}]}</v>
      </c>
      <c r="W87" s="148" t="str">
        <f>IFERROR(__xludf.DUMMYFUNCTION("""COMPUTED_VALUE"""),"[]")</f>
        <v>[]</v>
      </c>
      <c r="X87" s="148" t="str">
        <f>IFERROR(__xludf.DUMMYFUNCTION("""COMPUTED_VALUE"""),"[{""typ"":""power"",""id"":12141002,""val"":2}]")</f>
        <v>[{"typ":"power","id":12141002,"val":2}]</v>
      </c>
      <c r="Y87" s="148" t="str">
        <f>IFERROR(__xludf.DUMMYFUNCTION("""COMPUTED_VALUE"""),"[{""typ"":""atk"",""val"":128},{""typ"":""def"",""val"":130},{""typ"":""hp"",""val"":128},{""typ"":""speed"",""val"":40},{""typ"":""load"",""val"":8},{""typ"":""backcoef"",""val"":0.5},{""typ"":""atkcoef"",""val"":1.0},{""typ"":""atkcd"",""val"":0}]")</f>
        <v>[{"typ":"atk","val":128},{"typ":"def","val":130},{"typ":"hp","val":128},{"typ":"speed","val":40},{"typ":"load","val":8},{"typ":"backcoef","val":0.5},{"typ":"atkcoef","val":1.0},{"typ":"atkcd","val":0}]</v>
      </c>
      <c r="Z87" s="148" t="str">
        <f>IFERROR(__xludf.DUMMYFUNCTION("""COMPUTED_VALUE"""),"[]")</f>
        <v>[]</v>
      </c>
    </row>
    <row r="88">
      <c r="A88" s="148">
        <f>IFERROR(__xludf.DUMMYFUNCTION("""COMPUTED_VALUE"""),1.1211214E7)</f>
        <v>11211214</v>
      </c>
      <c r="B88" s="148" t="str">
        <f>IFERROR(__xludf.DUMMYFUNCTION("""COMPUTED_VALUE"""),"弓兵-lv2-2")</f>
        <v>弓兵-lv2-2</v>
      </c>
      <c r="C88" s="148">
        <f>IFERROR(__xludf.DUMMYFUNCTION("""COMPUTED_VALUE"""),1.1221003E7)</f>
        <v>11221003</v>
      </c>
      <c r="D88" s="148">
        <f>IFERROR(__xludf.DUMMYFUNCTION("""COMPUTED_VALUE"""),1.5110063E7)</f>
        <v>15110063</v>
      </c>
      <c r="E88" s="148" t="str">
        <f>IFERROR(__xludf.DUMMYFUNCTION("""COMPUTED_VALUE"""),"{""typ"":""lc"",""txt"":""LC_SOLDIER_shooter_name_2""}")</f>
        <v>{"typ":"lc","txt":"LC_SOLDIER_shooter_name_2"}</v>
      </c>
      <c r="F88" s="148" t="str">
        <f>IFERROR(__xludf.DUMMYFUNCTION("""COMPUTED_VALUE"""),"{""typ"":""lc"",""txt"":""LC_SOLDIER_shooter_desc_2""}")</f>
        <v>{"typ":"lc","txt":"LC_SOLDIER_shooter_desc_2"}</v>
      </c>
      <c r="G88" s="148">
        <f>IFERROR(__xludf.DUMMYFUNCTION("""COMPUTED_VALUE"""),2.0)</f>
        <v>2</v>
      </c>
      <c r="H88" s="148">
        <f>IFERROR(__xludf.DUMMYFUNCTION("""COMPUTED_VALUE"""),6.0)</f>
        <v>6</v>
      </c>
      <c r="I88" s="148">
        <f>IFERROR(__xludf.DUMMYFUNCTION("""COMPUTED_VALUE"""),10008.0)</f>
        <v>10008</v>
      </c>
      <c r="J88" s="148">
        <f>IFERROR(__xludf.DUMMYFUNCTION("""COMPUTED_VALUE"""),3.0)</f>
        <v>3</v>
      </c>
      <c r="K88" s="148">
        <f>IFERROR(__xludf.DUMMYFUNCTION("""COMPUTED_VALUE"""),2.0)</f>
        <v>2</v>
      </c>
      <c r="L88" s="148">
        <f>IFERROR(__xludf.DUMMYFUNCTION("""COMPUTED_VALUE"""),6.0)</f>
        <v>6</v>
      </c>
      <c r="M88" s="148">
        <f>IFERROR(__xludf.DUMMYFUNCTION("""COMPUTED_VALUE"""),30000.0)</f>
        <v>30000</v>
      </c>
      <c r="N88" s="148" t="str">
        <f>IFERROR(__xludf.DUMMYFUNCTION("""COMPUTED_VALUE"""),"[{""typ"":""rss"",""id"":11141001,""val"":140},{""typ"":""rss"",""id"":11141003,""val"":60}]")</f>
        <v>[{"typ":"rss","id":11141001,"val":140},{"typ":"rss","id":11141003,"val":60}]</v>
      </c>
      <c r="O88" s="148" t="str">
        <f>IFERROR(__xludf.DUMMYFUNCTION("""COMPUTED_VALUE"""),"{""op"":""and"",""args"":[{""op"":""ge"",""typ"":""arms_group"",""id"":11673103,""val"":1}]}")</f>
        <v>{"op":"and","args":[{"op":"ge","typ":"arms_group","id":11673103,"val":1}]}</v>
      </c>
      <c r="P88" s="148">
        <f>IFERROR(__xludf.DUMMYFUNCTION("""COMPUTED_VALUE"""),1000.0)</f>
        <v>1000</v>
      </c>
      <c r="Q88" s="148" t="str">
        <f>IFERROR(__xludf.DUMMYFUNCTION("""COMPUTED_VALUE"""),"[{""typ"":""rss"",""id"":11141001,""val"":56},{""typ"":""rss"",""id"":11141003,""val"":24}]")</f>
        <v>[{"typ":"rss","id":11141001,"val":56},{"typ":"rss","id":11141003,"val":24}]</v>
      </c>
      <c r="R88" s="148" t="str">
        <f>IFERROR(__xludf.DUMMYFUNCTION("""COMPUTED_VALUE"""),"{}")</f>
        <v>{}</v>
      </c>
      <c r="S88" s="148">
        <f>IFERROR(__xludf.DUMMYFUNCTION("""COMPUTED_VALUE"""),17000.0)</f>
        <v>17000</v>
      </c>
      <c r="T88" s="148" t="str">
        <f>IFERROR(__xludf.DUMMYFUNCTION("""COMPUTED_VALUE"""),"[{""typ"":""rss"",""id"":11141001,""val"":70},{""typ"":""rss"",""id"":11141003,""val"":30}]")</f>
        <v>[{"typ":"rss","id":11141001,"val":70},{"typ":"rss","id":11141003,"val":30}]</v>
      </c>
      <c r="U88" s="148">
        <f>IFERROR(__xludf.DUMMYFUNCTION("""COMPUTED_VALUE"""),0.0)</f>
        <v>0</v>
      </c>
      <c r="V88" s="148" t="str">
        <f>IFERROR(__xludf.DUMMYFUNCTION("""COMPUTED_VALUE"""),"{""op"":""and"",""args"":[{""op"":""ge"",""typ"":""arms_group"",""id"":11673103,""val"":1}]}")</f>
        <v>{"op":"and","args":[{"op":"ge","typ":"arms_group","id":11673103,"val":1}]}</v>
      </c>
      <c r="W88" s="148" t="str">
        <f>IFERROR(__xludf.DUMMYFUNCTION("""COMPUTED_VALUE"""),"[]")</f>
        <v>[]</v>
      </c>
      <c r="X88" s="148" t="str">
        <f>IFERROR(__xludf.DUMMYFUNCTION("""COMPUTED_VALUE"""),"[{""typ"":""power"",""id"":12141002,""val"":2}]")</f>
        <v>[{"typ":"power","id":12141002,"val":2}]</v>
      </c>
      <c r="Y88" s="148" t="str">
        <f>IFERROR(__xludf.DUMMYFUNCTION("""COMPUTED_VALUE"""),"[{""typ"":""atk"",""val"":131},{""typ"":""def"",""val"":133},{""typ"":""hp"",""val"":129},{""typ"":""speed"",""val"":40},{""typ"":""load"",""val"":8},{""typ"":""backcoef"",""val"":0.5},{""typ"":""atkcoef"",""val"":1.0},{""typ"":""atkcd"",""val"":0}]")</f>
        <v>[{"typ":"atk","val":131},{"typ":"def","val":133},{"typ":"hp","val":129},{"typ":"speed","val":40},{"typ":"load","val":8},{"typ":"backcoef","val":0.5},{"typ":"atkcoef","val":1.0},{"typ":"atkcd","val":0}]</v>
      </c>
      <c r="Z88" s="148" t="str">
        <f>IFERROR(__xludf.DUMMYFUNCTION("""COMPUTED_VALUE"""),"[]")</f>
        <v>[]</v>
      </c>
    </row>
    <row r="89">
      <c r="A89" s="148">
        <f>IFERROR(__xludf.DUMMYFUNCTION("""COMPUTED_VALUE"""),1.1211215E7)</f>
        <v>11211215</v>
      </c>
      <c r="B89" s="148" t="str">
        <f>IFERROR(__xludf.DUMMYFUNCTION("""COMPUTED_VALUE"""),"弓兵-lv2-3")</f>
        <v>弓兵-lv2-3</v>
      </c>
      <c r="C89" s="148">
        <f>IFERROR(__xludf.DUMMYFUNCTION("""COMPUTED_VALUE"""),1.1221003E7)</f>
        <v>11221003</v>
      </c>
      <c r="D89" s="148">
        <f>IFERROR(__xludf.DUMMYFUNCTION("""COMPUTED_VALUE"""),1.5110063E7)</f>
        <v>15110063</v>
      </c>
      <c r="E89" s="148" t="str">
        <f>IFERROR(__xludf.DUMMYFUNCTION("""COMPUTED_VALUE"""),"{""typ"":""lc"",""txt"":""LC_SOLDIER_shooter_name_2""}")</f>
        <v>{"typ":"lc","txt":"LC_SOLDIER_shooter_name_2"}</v>
      </c>
      <c r="F89" s="148" t="str">
        <f>IFERROR(__xludf.DUMMYFUNCTION("""COMPUTED_VALUE"""),"{""typ"":""lc"",""txt"":""LC_SOLDIER_shooter_desc_2""}")</f>
        <v>{"typ":"lc","txt":"LC_SOLDIER_shooter_desc_2"}</v>
      </c>
      <c r="G89" s="148">
        <f>IFERROR(__xludf.DUMMYFUNCTION("""COMPUTED_VALUE"""),2.0)</f>
        <v>2</v>
      </c>
      <c r="H89" s="148">
        <f>IFERROR(__xludf.DUMMYFUNCTION("""COMPUTED_VALUE"""),6.0)</f>
        <v>6</v>
      </c>
      <c r="I89" s="148">
        <f>IFERROR(__xludf.DUMMYFUNCTION("""COMPUTED_VALUE"""),10008.0)</f>
        <v>10008</v>
      </c>
      <c r="J89" s="148">
        <f>IFERROR(__xludf.DUMMYFUNCTION("""COMPUTED_VALUE"""),3.0)</f>
        <v>3</v>
      </c>
      <c r="K89" s="148">
        <f>IFERROR(__xludf.DUMMYFUNCTION("""COMPUTED_VALUE"""),2.0)</f>
        <v>2</v>
      </c>
      <c r="L89" s="148">
        <f>IFERROR(__xludf.DUMMYFUNCTION("""COMPUTED_VALUE"""),6.0)</f>
        <v>6</v>
      </c>
      <c r="M89" s="148">
        <f>IFERROR(__xludf.DUMMYFUNCTION("""COMPUTED_VALUE"""),30000.0)</f>
        <v>30000</v>
      </c>
      <c r="N89" s="148" t="str">
        <f>IFERROR(__xludf.DUMMYFUNCTION("""COMPUTED_VALUE"""),"[{""typ"":""rss"",""id"":11141001,""val"":140},{""typ"":""rss"",""id"":11141003,""val"":60}]")</f>
        <v>[{"typ":"rss","id":11141001,"val":140},{"typ":"rss","id":11141003,"val":60}]</v>
      </c>
      <c r="O89" s="148" t="str">
        <f>IFERROR(__xludf.DUMMYFUNCTION("""COMPUTED_VALUE"""),"{""op"":""and"",""args"":[{""op"":""ge"",""typ"":""arms_group"",""id"":11673104,""val"":1}]}")</f>
        <v>{"op":"and","args":[{"op":"ge","typ":"arms_group","id":11673104,"val":1}]}</v>
      </c>
      <c r="P89" s="148">
        <f>IFERROR(__xludf.DUMMYFUNCTION("""COMPUTED_VALUE"""),1000.0)</f>
        <v>1000</v>
      </c>
      <c r="Q89" s="148" t="str">
        <f>IFERROR(__xludf.DUMMYFUNCTION("""COMPUTED_VALUE"""),"[{""typ"":""rss"",""id"":11141001,""val"":56},{""typ"":""rss"",""id"":11141003,""val"":24}]")</f>
        <v>[{"typ":"rss","id":11141001,"val":56},{"typ":"rss","id":11141003,"val":24}]</v>
      </c>
      <c r="R89" s="148" t="str">
        <f>IFERROR(__xludf.DUMMYFUNCTION("""COMPUTED_VALUE"""),"{}")</f>
        <v>{}</v>
      </c>
      <c r="S89" s="148">
        <f>IFERROR(__xludf.DUMMYFUNCTION("""COMPUTED_VALUE"""),17000.0)</f>
        <v>17000</v>
      </c>
      <c r="T89" s="148" t="str">
        <f>IFERROR(__xludf.DUMMYFUNCTION("""COMPUTED_VALUE"""),"[{""typ"":""rss"",""id"":11141001,""val"":70},{""typ"":""rss"",""id"":11141003,""val"":30}]")</f>
        <v>[{"typ":"rss","id":11141001,"val":70},{"typ":"rss","id":11141003,"val":30}]</v>
      </c>
      <c r="U89" s="148">
        <f>IFERROR(__xludf.DUMMYFUNCTION("""COMPUTED_VALUE"""),0.0)</f>
        <v>0</v>
      </c>
      <c r="V89" s="148" t="str">
        <f>IFERROR(__xludf.DUMMYFUNCTION("""COMPUTED_VALUE"""),"{""op"":""and"",""args"":[{""op"":""ge"",""typ"":""arms_group"",""id"":11673104,""val"":1}]}")</f>
        <v>{"op":"and","args":[{"op":"ge","typ":"arms_group","id":11673104,"val":1}]}</v>
      </c>
      <c r="W89" s="148" t="str">
        <f>IFERROR(__xludf.DUMMYFUNCTION("""COMPUTED_VALUE"""),"[]")</f>
        <v>[]</v>
      </c>
      <c r="X89" s="148" t="str">
        <f>IFERROR(__xludf.DUMMYFUNCTION("""COMPUTED_VALUE"""),"[{""typ"":""power"",""id"":12141002,""val"":2}]")</f>
        <v>[{"typ":"power","id":12141002,"val":2}]</v>
      </c>
      <c r="Y89" s="148" t="str">
        <f>IFERROR(__xludf.DUMMYFUNCTION("""COMPUTED_VALUE"""),"[{""typ"":""atk"",""val"":134},{""typ"":""def"",""val"":136},{""typ"":""hp"",""val"":130},{""typ"":""speed"",""val"":40},{""typ"":""load"",""val"":8},{""typ"":""backcoef"",""val"":0.5},{""typ"":""atkcoef"",""val"":1.0},{""typ"":""atkcd"",""val"":0}]")</f>
        <v>[{"typ":"atk","val":134},{"typ":"def","val":136},{"typ":"hp","val":130},{"typ":"speed","val":40},{"typ":"load","val":8},{"typ":"backcoef","val":0.5},{"typ":"atkcoef","val":1.0},{"typ":"atkcd","val":0}]</v>
      </c>
      <c r="Z89" s="148" t="str">
        <f>IFERROR(__xludf.DUMMYFUNCTION("""COMPUTED_VALUE"""),"[]")</f>
        <v>[]</v>
      </c>
    </row>
    <row r="90">
      <c r="A90" s="148">
        <f>IFERROR(__xludf.DUMMYFUNCTION("""COMPUTED_VALUE"""),1.1211216E7)</f>
        <v>11211216</v>
      </c>
      <c r="B90" s="148" t="str">
        <f>IFERROR(__xludf.DUMMYFUNCTION("""COMPUTED_VALUE"""),"弓兵-lv3-1")</f>
        <v>弓兵-lv3-1</v>
      </c>
      <c r="C90" s="148">
        <f>IFERROR(__xludf.DUMMYFUNCTION("""COMPUTED_VALUE"""),1.1221003E7)</f>
        <v>11221003</v>
      </c>
      <c r="D90" s="148">
        <f>IFERROR(__xludf.DUMMYFUNCTION("""COMPUTED_VALUE"""),1.5110064E7)</f>
        <v>15110064</v>
      </c>
      <c r="E90" s="148" t="str">
        <f>IFERROR(__xludf.DUMMYFUNCTION("""COMPUTED_VALUE"""),"{""typ"":""lc"",""txt"":""LC_SOLDIER_shooter_name_3""}")</f>
        <v>{"typ":"lc","txt":"LC_SOLDIER_shooter_name_3"}</v>
      </c>
      <c r="F90" s="148" t="str">
        <f>IFERROR(__xludf.DUMMYFUNCTION("""COMPUTED_VALUE"""),"{""typ"":""lc"",""txt"":""LC_SOLDIER_shooter_desc_3""}")</f>
        <v>{"typ":"lc","txt":"LC_SOLDIER_shooter_desc_3"}</v>
      </c>
      <c r="G90" s="148">
        <f>IFERROR(__xludf.DUMMYFUNCTION("""COMPUTED_VALUE"""),4.0)</f>
        <v>4</v>
      </c>
      <c r="H90" s="148">
        <f>IFERROR(__xludf.DUMMYFUNCTION("""COMPUTED_VALUE"""),10.0)</f>
        <v>10</v>
      </c>
      <c r="I90" s="148">
        <f>IFERROR(__xludf.DUMMYFUNCTION("""COMPUTED_VALUE"""),10006.0)</f>
        <v>10006</v>
      </c>
      <c r="J90" s="148">
        <f>IFERROR(__xludf.DUMMYFUNCTION("""COMPUTED_VALUE"""),5.0)</f>
        <v>5</v>
      </c>
      <c r="K90" s="148">
        <f>IFERROR(__xludf.DUMMYFUNCTION("""COMPUTED_VALUE"""),3.0)</f>
        <v>3</v>
      </c>
      <c r="L90" s="148">
        <f>IFERROR(__xludf.DUMMYFUNCTION("""COMPUTED_VALUE"""),6.0)</f>
        <v>6</v>
      </c>
      <c r="M90" s="148">
        <f>IFERROR(__xludf.DUMMYFUNCTION("""COMPUTED_VALUE"""),60000.0)</f>
        <v>60000</v>
      </c>
      <c r="N90" s="148" t="str">
        <f>IFERROR(__xludf.DUMMYFUNCTION("""COMPUTED_VALUE"""),"[{""typ"":""rss"",""id"":11141001,""val"":280},{""typ"":""rss"",""id"":11141003,""val"":120}]")</f>
        <v>[{"typ":"rss","id":11141001,"val":280},{"typ":"rss","id":11141003,"val":120}]</v>
      </c>
      <c r="O90" s="148" t="str">
        <f>IFERROR(__xludf.DUMMYFUNCTION("""COMPUTED_VALUE"""),"{""op"":""and"",""args"":[{""op"":""ge"",""typ"":""arms_group"",""id"":11673202,""val"":1}]}")</f>
        <v>{"op":"and","args":[{"op":"ge","typ":"arms_group","id":11673202,"val":1}]}</v>
      </c>
      <c r="P90" s="148">
        <f>IFERROR(__xludf.DUMMYFUNCTION("""COMPUTED_VALUE"""),2000.0)</f>
        <v>2000</v>
      </c>
      <c r="Q90" s="148" t="str">
        <f>IFERROR(__xludf.DUMMYFUNCTION("""COMPUTED_VALUE"""),"[{""typ"":""rss"",""id"":11141001,""val"":112},{""typ"":""rss"",""id"":11141003,""val"":48}]")</f>
        <v>[{"typ":"rss","id":11141001,"val":112},{"typ":"rss","id":11141003,"val":48}]</v>
      </c>
      <c r="R90" s="148" t="str">
        <f>IFERROR(__xludf.DUMMYFUNCTION("""COMPUTED_VALUE"""),"{}")</f>
        <v>{}</v>
      </c>
      <c r="S90" s="148">
        <f>IFERROR(__xludf.DUMMYFUNCTION("""COMPUTED_VALUE"""),30000.0)</f>
        <v>30000</v>
      </c>
      <c r="T90" s="148" t="str">
        <f>IFERROR(__xludf.DUMMYFUNCTION("""COMPUTED_VALUE"""),"[{""typ"":""rss"",""id"":11141001,""val"":140},{""typ"":""rss"",""id"":11141003,""val"":60}]")</f>
        <v>[{"typ":"rss","id":11141001,"val":140},{"typ":"rss","id":11141003,"val":60}]</v>
      </c>
      <c r="U90" s="148">
        <f>IFERROR(__xludf.DUMMYFUNCTION("""COMPUTED_VALUE"""),0.0)</f>
        <v>0</v>
      </c>
      <c r="V90" s="148" t="str">
        <f>IFERROR(__xludf.DUMMYFUNCTION("""COMPUTED_VALUE"""),"{""op"":""and"",""args"":[{""op"":""ge"",""typ"":""arms_group"",""id"":11673202,""val"":1}]}")</f>
        <v>{"op":"and","args":[{"op":"ge","typ":"arms_group","id":11673202,"val":1}]}</v>
      </c>
      <c r="W90" s="148" t="str">
        <f>IFERROR(__xludf.DUMMYFUNCTION("""COMPUTED_VALUE"""),"[]")</f>
        <v>[]</v>
      </c>
      <c r="X90" s="148" t="str">
        <f>IFERROR(__xludf.DUMMYFUNCTION("""COMPUTED_VALUE"""),"[{""typ"":""power"",""id"":12141002,""val"":4}]")</f>
        <v>[{"typ":"power","id":12141002,"val":4}]</v>
      </c>
      <c r="Y90" s="148" t="str">
        <f>IFERROR(__xludf.DUMMYFUNCTION("""COMPUTED_VALUE"""),"[{""typ"":""atk"",""val"":168},{""typ"":""def"",""val"":157},{""typ"":""hp"",""val"":159},{""typ"":""speed"",""val"":37},{""typ"":""load"",""val"":9},{""typ"":""backcoef"",""val"":0.5},{""typ"":""atkcoef"",""val"":1.0},{""typ"":""atkcd"",""val"":0}]")</f>
        <v>[{"typ":"atk","val":168},{"typ":"def","val":157},{"typ":"hp","val":159},{"typ":"speed","val":37},{"typ":"load","val":9},{"typ":"backcoef","val":0.5},{"typ":"atkcoef","val":1.0},{"typ":"atkcd","val":0}]</v>
      </c>
      <c r="Z90" s="148" t="str">
        <f>IFERROR(__xludf.DUMMYFUNCTION("""COMPUTED_VALUE"""),"[]")</f>
        <v>[]</v>
      </c>
    </row>
    <row r="91">
      <c r="A91" s="148">
        <f>IFERROR(__xludf.DUMMYFUNCTION("""COMPUTED_VALUE"""),1.1211217E7)</f>
        <v>11211217</v>
      </c>
      <c r="B91" s="148" t="str">
        <f>IFERROR(__xludf.DUMMYFUNCTION("""COMPUTED_VALUE"""),"弓兵-lv3-2")</f>
        <v>弓兵-lv3-2</v>
      </c>
      <c r="C91" s="148">
        <f>IFERROR(__xludf.DUMMYFUNCTION("""COMPUTED_VALUE"""),1.1221003E7)</f>
        <v>11221003</v>
      </c>
      <c r="D91" s="148">
        <f>IFERROR(__xludf.DUMMYFUNCTION("""COMPUTED_VALUE"""),1.5110064E7)</f>
        <v>15110064</v>
      </c>
      <c r="E91" s="148" t="str">
        <f>IFERROR(__xludf.DUMMYFUNCTION("""COMPUTED_VALUE"""),"{""typ"":""lc"",""txt"":""LC_SOLDIER_shooter_name_3""}")</f>
        <v>{"typ":"lc","txt":"LC_SOLDIER_shooter_name_3"}</v>
      </c>
      <c r="F91" s="148" t="str">
        <f>IFERROR(__xludf.DUMMYFUNCTION("""COMPUTED_VALUE"""),"{""typ"":""lc"",""txt"":""LC_SOLDIER_shooter_desc_3""}")</f>
        <v>{"typ":"lc","txt":"LC_SOLDIER_shooter_desc_3"}</v>
      </c>
      <c r="G91" s="148">
        <f>IFERROR(__xludf.DUMMYFUNCTION("""COMPUTED_VALUE"""),4.0)</f>
        <v>4</v>
      </c>
      <c r="H91" s="148">
        <f>IFERROR(__xludf.DUMMYFUNCTION("""COMPUTED_VALUE"""),10.0)</f>
        <v>10</v>
      </c>
      <c r="I91" s="148">
        <f>IFERROR(__xludf.DUMMYFUNCTION("""COMPUTED_VALUE"""),10006.0)</f>
        <v>10006</v>
      </c>
      <c r="J91" s="148">
        <f>IFERROR(__xludf.DUMMYFUNCTION("""COMPUTED_VALUE"""),5.0)</f>
        <v>5</v>
      </c>
      <c r="K91" s="148">
        <f>IFERROR(__xludf.DUMMYFUNCTION("""COMPUTED_VALUE"""),3.0)</f>
        <v>3</v>
      </c>
      <c r="L91" s="148">
        <f>IFERROR(__xludf.DUMMYFUNCTION("""COMPUTED_VALUE"""),6.0)</f>
        <v>6</v>
      </c>
      <c r="M91" s="148">
        <f>IFERROR(__xludf.DUMMYFUNCTION("""COMPUTED_VALUE"""),60000.0)</f>
        <v>60000</v>
      </c>
      <c r="N91" s="148" t="str">
        <f>IFERROR(__xludf.DUMMYFUNCTION("""COMPUTED_VALUE"""),"[{""typ"":""rss"",""id"":11141001,""val"":280},{""typ"":""rss"",""id"":11141003,""val"":120}]")</f>
        <v>[{"typ":"rss","id":11141001,"val":280},{"typ":"rss","id":11141003,"val":120}]</v>
      </c>
      <c r="O91" s="148" t="str">
        <f>IFERROR(__xludf.DUMMYFUNCTION("""COMPUTED_VALUE"""),"{""op"":""and"",""args"":[{""op"":""ge"",""typ"":""arms_group"",""id"":11673203,""val"":1}]}")</f>
        <v>{"op":"and","args":[{"op":"ge","typ":"arms_group","id":11673203,"val":1}]}</v>
      </c>
      <c r="P91" s="148">
        <f>IFERROR(__xludf.DUMMYFUNCTION("""COMPUTED_VALUE"""),2000.0)</f>
        <v>2000</v>
      </c>
      <c r="Q91" s="148" t="str">
        <f>IFERROR(__xludf.DUMMYFUNCTION("""COMPUTED_VALUE"""),"[{""typ"":""rss"",""id"":11141001,""val"":112},{""typ"":""rss"",""id"":11141003,""val"":48}]")</f>
        <v>[{"typ":"rss","id":11141001,"val":112},{"typ":"rss","id":11141003,"val":48}]</v>
      </c>
      <c r="R91" s="148" t="str">
        <f>IFERROR(__xludf.DUMMYFUNCTION("""COMPUTED_VALUE"""),"{}")</f>
        <v>{}</v>
      </c>
      <c r="S91" s="148">
        <f>IFERROR(__xludf.DUMMYFUNCTION("""COMPUTED_VALUE"""),30000.0)</f>
        <v>30000</v>
      </c>
      <c r="T91" s="148" t="str">
        <f>IFERROR(__xludf.DUMMYFUNCTION("""COMPUTED_VALUE"""),"[{""typ"":""rss"",""id"":11141001,""val"":140},{""typ"":""rss"",""id"":11141003,""val"":60}]")</f>
        <v>[{"typ":"rss","id":11141001,"val":140},{"typ":"rss","id":11141003,"val":60}]</v>
      </c>
      <c r="U91" s="148">
        <f>IFERROR(__xludf.DUMMYFUNCTION("""COMPUTED_VALUE"""),0.0)</f>
        <v>0</v>
      </c>
      <c r="V91" s="148" t="str">
        <f>IFERROR(__xludf.DUMMYFUNCTION("""COMPUTED_VALUE"""),"{""op"":""and"",""args"":[{""op"":""ge"",""typ"":""arms_group"",""id"":11673203,""val"":1}]}")</f>
        <v>{"op":"and","args":[{"op":"ge","typ":"arms_group","id":11673203,"val":1}]}</v>
      </c>
      <c r="W91" s="148" t="str">
        <f>IFERROR(__xludf.DUMMYFUNCTION("""COMPUTED_VALUE"""),"[]")</f>
        <v>[]</v>
      </c>
      <c r="X91" s="148" t="str">
        <f>IFERROR(__xludf.DUMMYFUNCTION("""COMPUTED_VALUE"""),"[{""typ"":""power"",""id"":12141002,""val"":4}]")</f>
        <v>[{"typ":"power","id":12141002,"val":4}]</v>
      </c>
      <c r="Y91" s="148" t="str">
        <f>IFERROR(__xludf.DUMMYFUNCTION("""COMPUTED_VALUE"""),"[{""typ"":""atk"",""val"":171},{""typ"":""def"",""val"":160},{""typ"":""hp"",""val"":160},{""typ"":""speed"",""val"":37},{""typ"":""load"",""val"":9},{""typ"":""backcoef"",""val"":0.5},{""typ"":""atkcoef"",""val"":1.0},{""typ"":""atkcd"",""val"":0}]")</f>
        <v>[{"typ":"atk","val":171},{"typ":"def","val":160},{"typ":"hp","val":160},{"typ":"speed","val":37},{"typ":"load","val":9},{"typ":"backcoef","val":0.5},{"typ":"atkcoef","val":1.0},{"typ":"atkcd","val":0}]</v>
      </c>
      <c r="Z91" s="148" t="str">
        <f>IFERROR(__xludf.DUMMYFUNCTION("""COMPUTED_VALUE"""),"[]")</f>
        <v>[]</v>
      </c>
    </row>
    <row r="92">
      <c r="A92" s="148">
        <f>IFERROR(__xludf.DUMMYFUNCTION("""COMPUTED_VALUE"""),1.1211218E7)</f>
        <v>11211218</v>
      </c>
      <c r="B92" s="148" t="str">
        <f>IFERROR(__xludf.DUMMYFUNCTION("""COMPUTED_VALUE"""),"弓兵-lv3-3")</f>
        <v>弓兵-lv3-3</v>
      </c>
      <c r="C92" s="148">
        <f>IFERROR(__xludf.DUMMYFUNCTION("""COMPUTED_VALUE"""),1.1221003E7)</f>
        <v>11221003</v>
      </c>
      <c r="D92" s="148">
        <f>IFERROR(__xludf.DUMMYFUNCTION("""COMPUTED_VALUE"""),1.5110064E7)</f>
        <v>15110064</v>
      </c>
      <c r="E92" s="148" t="str">
        <f>IFERROR(__xludf.DUMMYFUNCTION("""COMPUTED_VALUE"""),"{""typ"":""lc"",""txt"":""LC_SOLDIER_shooter_name_3""}")</f>
        <v>{"typ":"lc","txt":"LC_SOLDIER_shooter_name_3"}</v>
      </c>
      <c r="F92" s="148" t="str">
        <f>IFERROR(__xludf.DUMMYFUNCTION("""COMPUTED_VALUE"""),"{""typ"":""lc"",""txt"":""LC_SOLDIER_shooter_desc_3""}")</f>
        <v>{"typ":"lc","txt":"LC_SOLDIER_shooter_desc_3"}</v>
      </c>
      <c r="G92" s="148">
        <f>IFERROR(__xludf.DUMMYFUNCTION("""COMPUTED_VALUE"""),4.0)</f>
        <v>4</v>
      </c>
      <c r="H92" s="148">
        <f>IFERROR(__xludf.DUMMYFUNCTION("""COMPUTED_VALUE"""),10.0)</f>
        <v>10</v>
      </c>
      <c r="I92" s="148">
        <f>IFERROR(__xludf.DUMMYFUNCTION("""COMPUTED_VALUE"""),10006.0)</f>
        <v>10006</v>
      </c>
      <c r="J92" s="148">
        <f>IFERROR(__xludf.DUMMYFUNCTION("""COMPUTED_VALUE"""),5.0)</f>
        <v>5</v>
      </c>
      <c r="K92" s="148">
        <f>IFERROR(__xludf.DUMMYFUNCTION("""COMPUTED_VALUE"""),3.0)</f>
        <v>3</v>
      </c>
      <c r="L92" s="148">
        <f>IFERROR(__xludf.DUMMYFUNCTION("""COMPUTED_VALUE"""),6.0)</f>
        <v>6</v>
      </c>
      <c r="M92" s="148">
        <f>IFERROR(__xludf.DUMMYFUNCTION("""COMPUTED_VALUE"""),60000.0)</f>
        <v>60000</v>
      </c>
      <c r="N92" s="148" t="str">
        <f>IFERROR(__xludf.DUMMYFUNCTION("""COMPUTED_VALUE"""),"[{""typ"":""rss"",""id"":11141001,""val"":280},{""typ"":""rss"",""id"":11141003,""val"":120}]")</f>
        <v>[{"typ":"rss","id":11141001,"val":280},{"typ":"rss","id":11141003,"val":120}]</v>
      </c>
      <c r="O92" s="148" t="str">
        <f>IFERROR(__xludf.DUMMYFUNCTION("""COMPUTED_VALUE"""),"{""op"":""and"",""args"":[{""op"":""ge"",""typ"":""arms_group"",""id"":11673204,""val"":1}]}")</f>
        <v>{"op":"and","args":[{"op":"ge","typ":"arms_group","id":11673204,"val":1}]}</v>
      </c>
      <c r="P92" s="148">
        <f>IFERROR(__xludf.DUMMYFUNCTION("""COMPUTED_VALUE"""),2000.0)</f>
        <v>2000</v>
      </c>
      <c r="Q92" s="148" t="str">
        <f>IFERROR(__xludf.DUMMYFUNCTION("""COMPUTED_VALUE"""),"[{""typ"":""rss"",""id"":11141001,""val"":112},{""typ"":""rss"",""id"":11141003,""val"":48}]")</f>
        <v>[{"typ":"rss","id":11141001,"val":112},{"typ":"rss","id":11141003,"val":48}]</v>
      </c>
      <c r="R92" s="148" t="str">
        <f>IFERROR(__xludf.DUMMYFUNCTION("""COMPUTED_VALUE"""),"{}")</f>
        <v>{}</v>
      </c>
      <c r="S92" s="148">
        <f>IFERROR(__xludf.DUMMYFUNCTION("""COMPUTED_VALUE"""),30000.0)</f>
        <v>30000</v>
      </c>
      <c r="T92" s="148" t="str">
        <f>IFERROR(__xludf.DUMMYFUNCTION("""COMPUTED_VALUE"""),"[{""typ"":""rss"",""id"":11141001,""val"":140},{""typ"":""rss"",""id"":11141003,""val"":60}]")</f>
        <v>[{"typ":"rss","id":11141001,"val":140},{"typ":"rss","id":11141003,"val":60}]</v>
      </c>
      <c r="U92" s="148">
        <f>IFERROR(__xludf.DUMMYFUNCTION("""COMPUTED_VALUE"""),0.0)</f>
        <v>0</v>
      </c>
      <c r="V92" s="148" t="str">
        <f>IFERROR(__xludf.DUMMYFUNCTION("""COMPUTED_VALUE"""),"{""op"":""and"",""args"":[{""op"":""ge"",""typ"":""arms_group"",""id"":11673204,""val"":1}]}")</f>
        <v>{"op":"and","args":[{"op":"ge","typ":"arms_group","id":11673204,"val":1}]}</v>
      </c>
      <c r="W92" s="148" t="str">
        <f>IFERROR(__xludf.DUMMYFUNCTION("""COMPUTED_VALUE"""),"[]")</f>
        <v>[]</v>
      </c>
      <c r="X92" s="148" t="str">
        <f>IFERROR(__xludf.DUMMYFUNCTION("""COMPUTED_VALUE"""),"[{""typ"":""power"",""id"":12141002,""val"":4}]")</f>
        <v>[{"typ":"power","id":12141002,"val":4}]</v>
      </c>
      <c r="Y92" s="148" t="str">
        <f>IFERROR(__xludf.DUMMYFUNCTION("""COMPUTED_VALUE"""),"[{""typ"":""atk"",""val"":174},{""typ"":""def"",""val"":163},{""typ"":""hp"",""val"":161},{""typ"":""speed"",""val"":37},{""typ"":""load"",""val"":9},{""typ"":""backcoef"",""val"":0.5},{""typ"":""atkcoef"",""val"":1.0},{""typ"":""atkcd"",""val"":0}]")</f>
        <v>[{"typ":"atk","val":174},{"typ":"def","val":163},{"typ":"hp","val":161},{"typ":"speed","val":37},{"typ":"load","val":9},{"typ":"backcoef","val":0.5},{"typ":"atkcoef","val":1.0},{"typ":"atkcd","val":0}]</v>
      </c>
      <c r="Z92" s="148" t="str">
        <f>IFERROR(__xludf.DUMMYFUNCTION("""COMPUTED_VALUE"""),"[]")</f>
        <v>[]</v>
      </c>
    </row>
    <row r="93">
      <c r="A93" s="148">
        <f>IFERROR(__xludf.DUMMYFUNCTION("""COMPUTED_VALUE"""),1.1211219E7)</f>
        <v>11211219</v>
      </c>
      <c r="B93" s="148" t="str">
        <f>IFERROR(__xludf.DUMMYFUNCTION("""COMPUTED_VALUE"""),"弓兵-lv3-4")</f>
        <v>弓兵-lv3-4</v>
      </c>
      <c r="C93" s="148">
        <f>IFERROR(__xludf.DUMMYFUNCTION("""COMPUTED_VALUE"""),1.1221003E7)</f>
        <v>11221003</v>
      </c>
      <c r="D93" s="148">
        <f>IFERROR(__xludf.DUMMYFUNCTION("""COMPUTED_VALUE"""),1.5110064E7)</f>
        <v>15110064</v>
      </c>
      <c r="E93" s="148" t="str">
        <f>IFERROR(__xludf.DUMMYFUNCTION("""COMPUTED_VALUE"""),"{""typ"":""lc"",""txt"":""LC_SOLDIER_shooter_name_3""}")</f>
        <v>{"typ":"lc","txt":"LC_SOLDIER_shooter_name_3"}</v>
      </c>
      <c r="F93" s="148" t="str">
        <f>IFERROR(__xludf.DUMMYFUNCTION("""COMPUTED_VALUE"""),"{""typ"":""lc"",""txt"":""LC_SOLDIER_shooter_desc_3""}")</f>
        <v>{"typ":"lc","txt":"LC_SOLDIER_shooter_desc_3"}</v>
      </c>
      <c r="G93" s="148">
        <f>IFERROR(__xludf.DUMMYFUNCTION("""COMPUTED_VALUE"""),4.0)</f>
        <v>4</v>
      </c>
      <c r="H93" s="148">
        <f>IFERROR(__xludf.DUMMYFUNCTION("""COMPUTED_VALUE"""),10.0)</f>
        <v>10</v>
      </c>
      <c r="I93" s="148">
        <f>IFERROR(__xludf.DUMMYFUNCTION("""COMPUTED_VALUE"""),10006.0)</f>
        <v>10006</v>
      </c>
      <c r="J93" s="148">
        <f>IFERROR(__xludf.DUMMYFUNCTION("""COMPUTED_VALUE"""),5.0)</f>
        <v>5</v>
      </c>
      <c r="K93" s="148">
        <f>IFERROR(__xludf.DUMMYFUNCTION("""COMPUTED_VALUE"""),3.0)</f>
        <v>3</v>
      </c>
      <c r="L93" s="148">
        <f>IFERROR(__xludf.DUMMYFUNCTION("""COMPUTED_VALUE"""),6.0)</f>
        <v>6</v>
      </c>
      <c r="M93" s="148">
        <f>IFERROR(__xludf.DUMMYFUNCTION("""COMPUTED_VALUE"""),60000.0)</f>
        <v>60000</v>
      </c>
      <c r="N93" s="148" t="str">
        <f>IFERROR(__xludf.DUMMYFUNCTION("""COMPUTED_VALUE"""),"[{""typ"":""rss"",""id"":11141001,""val"":280},{""typ"":""rss"",""id"":11141003,""val"":120}]")</f>
        <v>[{"typ":"rss","id":11141001,"val":280},{"typ":"rss","id":11141003,"val":120}]</v>
      </c>
      <c r="O93" s="148" t="str">
        <f>IFERROR(__xludf.DUMMYFUNCTION("""COMPUTED_VALUE"""),"{""op"":""and"",""args"":[{""op"":""ge"",""typ"":""arms_group"",""id"":11673205,""val"":1}]}")</f>
        <v>{"op":"and","args":[{"op":"ge","typ":"arms_group","id":11673205,"val":1}]}</v>
      </c>
      <c r="P93" s="148">
        <f>IFERROR(__xludf.DUMMYFUNCTION("""COMPUTED_VALUE"""),2000.0)</f>
        <v>2000</v>
      </c>
      <c r="Q93" s="148" t="str">
        <f>IFERROR(__xludf.DUMMYFUNCTION("""COMPUTED_VALUE"""),"[{""typ"":""rss"",""id"":11141001,""val"":112},{""typ"":""rss"",""id"":11141003,""val"":48}]")</f>
        <v>[{"typ":"rss","id":11141001,"val":112},{"typ":"rss","id":11141003,"val":48}]</v>
      </c>
      <c r="R93" s="148" t="str">
        <f>IFERROR(__xludf.DUMMYFUNCTION("""COMPUTED_VALUE"""),"{}")</f>
        <v>{}</v>
      </c>
      <c r="S93" s="148">
        <f>IFERROR(__xludf.DUMMYFUNCTION("""COMPUTED_VALUE"""),30000.0)</f>
        <v>30000</v>
      </c>
      <c r="T93" s="148" t="str">
        <f>IFERROR(__xludf.DUMMYFUNCTION("""COMPUTED_VALUE"""),"[{""typ"":""rss"",""id"":11141001,""val"":140},{""typ"":""rss"",""id"":11141003,""val"":60}]")</f>
        <v>[{"typ":"rss","id":11141001,"val":140},{"typ":"rss","id":11141003,"val":60}]</v>
      </c>
      <c r="U93" s="148">
        <f>IFERROR(__xludf.DUMMYFUNCTION("""COMPUTED_VALUE"""),0.0)</f>
        <v>0</v>
      </c>
      <c r="V93" s="148" t="str">
        <f>IFERROR(__xludf.DUMMYFUNCTION("""COMPUTED_VALUE"""),"{""op"":""and"",""args"":[{""op"":""ge"",""typ"":""arms_group"",""id"":11673205,""val"":1}]}")</f>
        <v>{"op":"and","args":[{"op":"ge","typ":"arms_group","id":11673205,"val":1}]}</v>
      </c>
      <c r="W93" s="148" t="str">
        <f>IFERROR(__xludf.DUMMYFUNCTION("""COMPUTED_VALUE"""),"[]")</f>
        <v>[]</v>
      </c>
      <c r="X93" s="148" t="str">
        <f>IFERROR(__xludf.DUMMYFUNCTION("""COMPUTED_VALUE"""),"[{""typ"":""power"",""id"":12141002,""val"":4}]")</f>
        <v>[{"typ":"power","id":12141002,"val":4}]</v>
      </c>
      <c r="Y93" s="148" t="str">
        <f>IFERROR(__xludf.DUMMYFUNCTION("""COMPUTED_VALUE"""),"[{""typ"":""atk"",""val"":177},{""typ"":""def"",""val"":166},{""typ"":""hp"",""val"":162},{""typ"":""speed"",""val"":37},{""typ"":""load"",""val"":9},{""typ"":""backcoef"",""val"":0.5},{""typ"":""atkcoef"",""val"":1.0},{""typ"":""atkcd"",""val"":0}]")</f>
        <v>[{"typ":"atk","val":177},{"typ":"def","val":166},{"typ":"hp","val":162},{"typ":"speed","val":37},{"typ":"load","val":9},{"typ":"backcoef","val":0.5},{"typ":"atkcoef","val":1.0},{"typ":"atkcd","val":0}]</v>
      </c>
      <c r="Z93" s="148" t="str">
        <f>IFERROR(__xludf.DUMMYFUNCTION("""COMPUTED_VALUE"""),"[]")</f>
        <v>[]</v>
      </c>
    </row>
    <row r="94">
      <c r="A94" s="148">
        <f>IFERROR(__xludf.DUMMYFUNCTION("""COMPUTED_VALUE"""),1.121122E7)</f>
        <v>11211220</v>
      </c>
      <c r="B94" s="148" t="str">
        <f>IFERROR(__xludf.DUMMYFUNCTION("""COMPUTED_VALUE"""),"弓兵-lv4-1")</f>
        <v>弓兵-lv4-1</v>
      </c>
      <c r="C94" s="148">
        <f>IFERROR(__xludf.DUMMYFUNCTION("""COMPUTED_VALUE"""),1.1221003E7)</f>
        <v>11221003</v>
      </c>
      <c r="D94" s="148">
        <f>IFERROR(__xludf.DUMMYFUNCTION("""COMPUTED_VALUE"""),1.5110065E7)</f>
        <v>15110065</v>
      </c>
      <c r="E94" s="148" t="str">
        <f>IFERROR(__xludf.DUMMYFUNCTION("""COMPUTED_VALUE"""),"{""typ"":""lc"",""txt"":""LC_SOLDIER_shooter_name_4""}")</f>
        <v>{"typ":"lc","txt":"LC_SOLDIER_shooter_name_4"}</v>
      </c>
      <c r="F94" s="148" t="str">
        <f>IFERROR(__xludf.DUMMYFUNCTION("""COMPUTED_VALUE"""),"{""typ"":""lc"",""txt"":""LC_SOLDIER_shooter_desc_4""}")</f>
        <v>{"typ":"lc","txt":"LC_SOLDIER_shooter_desc_4"}</v>
      </c>
      <c r="G94" s="148">
        <f>IFERROR(__xludf.DUMMYFUNCTION("""COMPUTED_VALUE"""),8.0)</f>
        <v>8</v>
      </c>
      <c r="H94" s="148">
        <f>IFERROR(__xludf.DUMMYFUNCTION("""COMPUTED_VALUE"""),14.0)</f>
        <v>14</v>
      </c>
      <c r="I94" s="148">
        <f>IFERROR(__xludf.DUMMYFUNCTION("""COMPUTED_VALUE"""),10004.0)</f>
        <v>10004</v>
      </c>
      <c r="J94" s="148">
        <f>IFERROR(__xludf.DUMMYFUNCTION("""COMPUTED_VALUE"""),7.0)</f>
        <v>7</v>
      </c>
      <c r="K94" s="148">
        <f>IFERROR(__xludf.DUMMYFUNCTION("""COMPUTED_VALUE"""),4.0)</f>
        <v>4</v>
      </c>
      <c r="L94" s="148">
        <f>IFERROR(__xludf.DUMMYFUNCTION("""COMPUTED_VALUE"""),6.0)</f>
        <v>6</v>
      </c>
      <c r="M94" s="148">
        <f>IFERROR(__xludf.DUMMYFUNCTION("""COMPUTED_VALUE"""),90000.0)</f>
        <v>90000</v>
      </c>
      <c r="N94" s="148" t="str">
        <f>IFERROR(__xludf.DUMMYFUNCTION("""COMPUTED_VALUE"""),"[{""typ"":""rss"",""id"":11141001,""val"":560},{""typ"":""rss"",""id"":11141003,""val"":240}]")</f>
        <v>[{"typ":"rss","id":11141001,"val":560},{"typ":"rss","id":11141003,"val":240}]</v>
      </c>
      <c r="O94" s="148" t="str">
        <f>IFERROR(__xludf.DUMMYFUNCTION("""COMPUTED_VALUE"""),"{""op"":""and"",""args"":[{""op"":""ge"",""typ"":""arms_group"",""id"":11673302,""val"":1}]}")</f>
        <v>{"op":"and","args":[{"op":"ge","typ":"arms_group","id":11673302,"val":1}]}</v>
      </c>
      <c r="P94" s="148">
        <f>IFERROR(__xludf.DUMMYFUNCTION("""COMPUTED_VALUE"""),3000.0)</f>
        <v>3000</v>
      </c>
      <c r="Q94" s="148" t="str">
        <f>IFERROR(__xludf.DUMMYFUNCTION("""COMPUTED_VALUE"""),"[{""typ"":""rss"",""id"":11141001,""val"":224},{""typ"":""rss"",""id"":11141003,""val"":96}]")</f>
        <v>[{"typ":"rss","id":11141001,"val":224},{"typ":"rss","id":11141003,"val":96}]</v>
      </c>
      <c r="R94" s="148" t="str">
        <f>IFERROR(__xludf.DUMMYFUNCTION("""COMPUTED_VALUE"""),"{}")</f>
        <v>{}</v>
      </c>
      <c r="S94" s="148">
        <f>IFERROR(__xludf.DUMMYFUNCTION("""COMPUTED_VALUE"""),30000.0)</f>
        <v>30000</v>
      </c>
      <c r="T94" s="148" t="str">
        <f>IFERROR(__xludf.DUMMYFUNCTION("""COMPUTED_VALUE"""),"[{""typ"":""rss"",""id"":11141001,""val"":280},{""typ"":""rss"",""id"":11141003,""val"":120}]")</f>
        <v>[{"typ":"rss","id":11141001,"val":280},{"typ":"rss","id":11141003,"val":120}]</v>
      </c>
      <c r="U94" s="148">
        <f>IFERROR(__xludf.DUMMYFUNCTION("""COMPUTED_VALUE"""),0.0)</f>
        <v>0</v>
      </c>
      <c r="V94" s="148" t="str">
        <f>IFERROR(__xludf.DUMMYFUNCTION("""COMPUTED_VALUE"""),"{""op"":""and"",""args"":[{""op"":""ge"",""typ"":""arms_group"",""id"":11673302,""val"":1}]}")</f>
        <v>{"op":"and","args":[{"op":"ge","typ":"arms_group","id":11673302,"val":1}]}</v>
      </c>
      <c r="W94" s="148" t="str">
        <f>IFERROR(__xludf.DUMMYFUNCTION("""COMPUTED_VALUE"""),"[]")</f>
        <v>[]</v>
      </c>
      <c r="X94" s="148" t="str">
        <f>IFERROR(__xludf.DUMMYFUNCTION("""COMPUTED_VALUE"""),"[{""typ"":""power"",""id"":12141002,""val"":6}]")</f>
        <v>[{"typ":"power","id":12141002,"val":6}]</v>
      </c>
      <c r="Y94" s="148" t="str">
        <f>IFERROR(__xludf.DUMMYFUNCTION("""COMPUTED_VALUE"""),"[{""typ"":""atk"",""val"":208},{""typ"":""def"",""val"":191},{""typ"":""hp"",""val"":176},{""typ"":""speed"",""val"":35},{""typ"":""load"",""val"":11},{""typ"":""backcoef"",""val"":0.5},{""typ"":""atkcoef"",""val"":1.0},{""typ"":""atkcd"",""val"":0}]")</f>
        <v>[{"typ":"atk","val":208},{"typ":"def","val":191},{"typ":"hp","val":176},{"typ":"speed","val":35},{"typ":"load","val":11},{"typ":"backcoef","val":0.5},{"typ":"atkcoef","val":1.0},{"typ":"atkcd","val":0}]</v>
      </c>
      <c r="Z94" s="148" t="str">
        <f>IFERROR(__xludf.DUMMYFUNCTION("""COMPUTED_VALUE"""),"[]")</f>
        <v>[]</v>
      </c>
    </row>
    <row r="95">
      <c r="A95" s="148">
        <f>IFERROR(__xludf.DUMMYFUNCTION("""COMPUTED_VALUE"""),1.1211221E7)</f>
        <v>11211221</v>
      </c>
      <c r="B95" s="148" t="str">
        <f>IFERROR(__xludf.DUMMYFUNCTION("""COMPUTED_VALUE"""),"弓兵-lv4-2")</f>
        <v>弓兵-lv4-2</v>
      </c>
      <c r="C95" s="148">
        <f>IFERROR(__xludf.DUMMYFUNCTION("""COMPUTED_VALUE"""),1.1221003E7)</f>
        <v>11221003</v>
      </c>
      <c r="D95" s="148">
        <f>IFERROR(__xludf.DUMMYFUNCTION("""COMPUTED_VALUE"""),1.5110065E7)</f>
        <v>15110065</v>
      </c>
      <c r="E95" s="148" t="str">
        <f>IFERROR(__xludf.DUMMYFUNCTION("""COMPUTED_VALUE"""),"{""typ"":""lc"",""txt"":""LC_SOLDIER_shooter_name_4""}")</f>
        <v>{"typ":"lc","txt":"LC_SOLDIER_shooter_name_4"}</v>
      </c>
      <c r="F95" s="148" t="str">
        <f>IFERROR(__xludf.DUMMYFUNCTION("""COMPUTED_VALUE"""),"{""typ"":""lc"",""txt"":""LC_SOLDIER_shooter_desc_4""}")</f>
        <v>{"typ":"lc","txt":"LC_SOLDIER_shooter_desc_4"}</v>
      </c>
      <c r="G95" s="148">
        <f>IFERROR(__xludf.DUMMYFUNCTION("""COMPUTED_VALUE"""),8.0)</f>
        <v>8</v>
      </c>
      <c r="H95" s="148">
        <f>IFERROR(__xludf.DUMMYFUNCTION("""COMPUTED_VALUE"""),14.0)</f>
        <v>14</v>
      </c>
      <c r="I95" s="148">
        <f>IFERROR(__xludf.DUMMYFUNCTION("""COMPUTED_VALUE"""),10004.0)</f>
        <v>10004</v>
      </c>
      <c r="J95" s="148">
        <f>IFERROR(__xludf.DUMMYFUNCTION("""COMPUTED_VALUE"""),7.0)</f>
        <v>7</v>
      </c>
      <c r="K95" s="148">
        <f>IFERROR(__xludf.DUMMYFUNCTION("""COMPUTED_VALUE"""),4.0)</f>
        <v>4</v>
      </c>
      <c r="L95" s="148">
        <f>IFERROR(__xludf.DUMMYFUNCTION("""COMPUTED_VALUE"""),6.0)</f>
        <v>6</v>
      </c>
      <c r="M95" s="148">
        <f>IFERROR(__xludf.DUMMYFUNCTION("""COMPUTED_VALUE"""),90000.0)</f>
        <v>90000</v>
      </c>
      <c r="N95" s="148" t="str">
        <f>IFERROR(__xludf.DUMMYFUNCTION("""COMPUTED_VALUE"""),"[{""typ"":""rss"",""id"":11141001,""val"":560},{""typ"":""rss"",""id"":11141003,""val"":240}]")</f>
        <v>[{"typ":"rss","id":11141001,"val":560},{"typ":"rss","id":11141003,"val":240}]</v>
      </c>
      <c r="O95" s="148" t="str">
        <f>IFERROR(__xludf.DUMMYFUNCTION("""COMPUTED_VALUE"""),"{""op"":""and"",""args"":[{""op"":""ge"",""typ"":""arms_group"",""id"":11673303,""val"":1}]}")</f>
        <v>{"op":"and","args":[{"op":"ge","typ":"arms_group","id":11673303,"val":1}]}</v>
      </c>
      <c r="P95" s="148">
        <f>IFERROR(__xludf.DUMMYFUNCTION("""COMPUTED_VALUE"""),3000.0)</f>
        <v>3000</v>
      </c>
      <c r="Q95" s="148" t="str">
        <f>IFERROR(__xludf.DUMMYFUNCTION("""COMPUTED_VALUE"""),"[{""typ"":""rss"",""id"":11141001,""val"":224},{""typ"":""rss"",""id"":11141003,""val"":96}]")</f>
        <v>[{"typ":"rss","id":11141001,"val":224},{"typ":"rss","id":11141003,"val":96}]</v>
      </c>
      <c r="R95" s="148" t="str">
        <f>IFERROR(__xludf.DUMMYFUNCTION("""COMPUTED_VALUE"""),"{}")</f>
        <v>{}</v>
      </c>
      <c r="S95" s="148">
        <f>IFERROR(__xludf.DUMMYFUNCTION("""COMPUTED_VALUE"""),30000.0)</f>
        <v>30000</v>
      </c>
      <c r="T95" s="148" t="str">
        <f>IFERROR(__xludf.DUMMYFUNCTION("""COMPUTED_VALUE"""),"[{""typ"":""rss"",""id"":11141001,""val"":280},{""typ"":""rss"",""id"":11141003,""val"":120}]")</f>
        <v>[{"typ":"rss","id":11141001,"val":280},{"typ":"rss","id":11141003,"val":120}]</v>
      </c>
      <c r="U95" s="148">
        <f>IFERROR(__xludf.DUMMYFUNCTION("""COMPUTED_VALUE"""),0.0)</f>
        <v>0</v>
      </c>
      <c r="V95" s="148" t="str">
        <f>IFERROR(__xludf.DUMMYFUNCTION("""COMPUTED_VALUE"""),"{""op"":""and"",""args"":[{""op"":""ge"",""typ"":""arms_group"",""id"":11673303,""val"":1}]}")</f>
        <v>{"op":"and","args":[{"op":"ge","typ":"arms_group","id":11673303,"val":1}]}</v>
      </c>
      <c r="W95" s="148" t="str">
        <f>IFERROR(__xludf.DUMMYFUNCTION("""COMPUTED_VALUE"""),"[]")</f>
        <v>[]</v>
      </c>
      <c r="X95" s="148" t="str">
        <f>IFERROR(__xludf.DUMMYFUNCTION("""COMPUTED_VALUE"""),"[{""typ"":""power"",""id"":12141002,""val"":6}]")</f>
        <v>[{"typ":"power","id":12141002,"val":6}]</v>
      </c>
      <c r="Y95" s="148" t="str">
        <f>IFERROR(__xludf.DUMMYFUNCTION("""COMPUTED_VALUE"""),"[{""typ"":""atk"",""val"":211},{""typ"":""def"",""val"":194},{""typ"":""hp"",""val"":177},{""typ"":""speed"",""val"":35},{""typ"":""load"",""val"":11},{""typ"":""backcoef"",""val"":0.5},{""typ"":""atkcoef"",""val"":1.0},{""typ"":""atkcd"",""val"":0}]")</f>
        <v>[{"typ":"atk","val":211},{"typ":"def","val":194},{"typ":"hp","val":177},{"typ":"speed","val":35},{"typ":"load","val":11},{"typ":"backcoef","val":0.5},{"typ":"atkcoef","val":1.0},{"typ":"atkcd","val":0}]</v>
      </c>
      <c r="Z95" s="148" t="str">
        <f>IFERROR(__xludf.DUMMYFUNCTION("""COMPUTED_VALUE"""),"[]")</f>
        <v>[]</v>
      </c>
    </row>
    <row r="96">
      <c r="A96" s="148">
        <f>IFERROR(__xludf.DUMMYFUNCTION("""COMPUTED_VALUE"""),1.1211222E7)</f>
        <v>11211222</v>
      </c>
      <c r="B96" s="148" t="str">
        <f>IFERROR(__xludf.DUMMYFUNCTION("""COMPUTED_VALUE"""),"弓兵-lv4-3")</f>
        <v>弓兵-lv4-3</v>
      </c>
      <c r="C96" s="148">
        <f>IFERROR(__xludf.DUMMYFUNCTION("""COMPUTED_VALUE"""),1.1221003E7)</f>
        <v>11221003</v>
      </c>
      <c r="D96" s="148">
        <f>IFERROR(__xludf.DUMMYFUNCTION("""COMPUTED_VALUE"""),1.5110065E7)</f>
        <v>15110065</v>
      </c>
      <c r="E96" s="148" t="str">
        <f>IFERROR(__xludf.DUMMYFUNCTION("""COMPUTED_VALUE"""),"{""typ"":""lc"",""txt"":""LC_SOLDIER_shooter_name_4""}")</f>
        <v>{"typ":"lc","txt":"LC_SOLDIER_shooter_name_4"}</v>
      </c>
      <c r="F96" s="148" t="str">
        <f>IFERROR(__xludf.DUMMYFUNCTION("""COMPUTED_VALUE"""),"{""typ"":""lc"",""txt"":""LC_SOLDIER_shooter_desc_4""}")</f>
        <v>{"typ":"lc","txt":"LC_SOLDIER_shooter_desc_4"}</v>
      </c>
      <c r="G96" s="148">
        <f>IFERROR(__xludf.DUMMYFUNCTION("""COMPUTED_VALUE"""),8.0)</f>
        <v>8</v>
      </c>
      <c r="H96" s="148">
        <f>IFERROR(__xludf.DUMMYFUNCTION("""COMPUTED_VALUE"""),14.0)</f>
        <v>14</v>
      </c>
      <c r="I96" s="148">
        <f>IFERROR(__xludf.DUMMYFUNCTION("""COMPUTED_VALUE"""),10004.0)</f>
        <v>10004</v>
      </c>
      <c r="J96" s="148">
        <f>IFERROR(__xludf.DUMMYFUNCTION("""COMPUTED_VALUE"""),7.0)</f>
        <v>7</v>
      </c>
      <c r="K96" s="148">
        <f>IFERROR(__xludf.DUMMYFUNCTION("""COMPUTED_VALUE"""),4.0)</f>
        <v>4</v>
      </c>
      <c r="L96" s="148">
        <f>IFERROR(__xludf.DUMMYFUNCTION("""COMPUTED_VALUE"""),6.0)</f>
        <v>6</v>
      </c>
      <c r="M96" s="148">
        <f>IFERROR(__xludf.DUMMYFUNCTION("""COMPUTED_VALUE"""),90000.0)</f>
        <v>90000</v>
      </c>
      <c r="N96" s="148" t="str">
        <f>IFERROR(__xludf.DUMMYFUNCTION("""COMPUTED_VALUE"""),"[{""typ"":""rss"",""id"":11141001,""val"":560},{""typ"":""rss"",""id"":11141003,""val"":240}]")</f>
        <v>[{"typ":"rss","id":11141001,"val":560},{"typ":"rss","id":11141003,"val":240}]</v>
      </c>
      <c r="O96" s="148" t="str">
        <f>IFERROR(__xludf.DUMMYFUNCTION("""COMPUTED_VALUE"""),"{""op"":""and"",""args"":[{""op"":""ge"",""typ"":""arms_group"",""id"":11673304,""val"":1}]}")</f>
        <v>{"op":"and","args":[{"op":"ge","typ":"arms_group","id":11673304,"val":1}]}</v>
      </c>
      <c r="P96" s="148">
        <f>IFERROR(__xludf.DUMMYFUNCTION("""COMPUTED_VALUE"""),3000.0)</f>
        <v>3000</v>
      </c>
      <c r="Q96" s="148" t="str">
        <f>IFERROR(__xludf.DUMMYFUNCTION("""COMPUTED_VALUE"""),"[{""typ"":""rss"",""id"":11141001,""val"":224},{""typ"":""rss"",""id"":11141003,""val"":96}]")</f>
        <v>[{"typ":"rss","id":11141001,"val":224},{"typ":"rss","id":11141003,"val":96}]</v>
      </c>
      <c r="R96" s="148" t="str">
        <f>IFERROR(__xludf.DUMMYFUNCTION("""COMPUTED_VALUE"""),"{}")</f>
        <v>{}</v>
      </c>
      <c r="S96" s="148">
        <f>IFERROR(__xludf.DUMMYFUNCTION("""COMPUTED_VALUE"""),30000.0)</f>
        <v>30000</v>
      </c>
      <c r="T96" s="148" t="str">
        <f>IFERROR(__xludf.DUMMYFUNCTION("""COMPUTED_VALUE"""),"[{""typ"":""rss"",""id"":11141001,""val"":280},{""typ"":""rss"",""id"":11141003,""val"":120}]")</f>
        <v>[{"typ":"rss","id":11141001,"val":280},{"typ":"rss","id":11141003,"val":120}]</v>
      </c>
      <c r="U96" s="148">
        <f>IFERROR(__xludf.DUMMYFUNCTION("""COMPUTED_VALUE"""),0.0)</f>
        <v>0</v>
      </c>
      <c r="V96" s="148" t="str">
        <f>IFERROR(__xludf.DUMMYFUNCTION("""COMPUTED_VALUE"""),"{""op"":""and"",""args"":[{""op"":""ge"",""typ"":""arms_group"",""id"":11673304,""val"":1}]}")</f>
        <v>{"op":"and","args":[{"op":"ge","typ":"arms_group","id":11673304,"val":1}]}</v>
      </c>
      <c r="W96" s="148" t="str">
        <f>IFERROR(__xludf.DUMMYFUNCTION("""COMPUTED_VALUE"""),"[]")</f>
        <v>[]</v>
      </c>
      <c r="X96" s="148" t="str">
        <f>IFERROR(__xludf.DUMMYFUNCTION("""COMPUTED_VALUE"""),"[{""typ"":""power"",""id"":12141002,""val"":6}]")</f>
        <v>[{"typ":"power","id":12141002,"val":6}]</v>
      </c>
      <c r="Y96" s="148" t="str">
        <f>IFERROR(__xludf.DUMMYFUNCTION("""COMPUTED_VALUE"""),"[{""typ"":""atk"",""val"":214},{""typ"":""def"",""val"":197},{""typ"":""hp"",""val"":178},{""typ"":""speed"",""val"":35},{""typ"":""load"",""val"":11},{""typ"":""backcoef"",""val"":0.5},{""typ"":""atkcoef"",""val"":1.0},{""typ"":""atkcd"",""val"":0}]")</f>
        <v>[{"typ":"atk","val":214},{"typ":"def","val":197},{"typ":"hp","val":178},{"typ":"speed","val":35},{"typ":"load","val":11},{"typ":"backcoef","val":0.5},{"typ":"atkcoef","val":1.0},{"typ":"atkcd","val":0}]</v>
      </c>
      <c r="Z96" s="148" t="str">
        <f>IFERROR(__xludf.DUMMYFUNCTION("""COMPUTED_VALUE"""),"[]")</f>
        <v>[]</v>
      </c>
    </row>
    <row r="97">
      <c r="A97" s="148">
        <f>IFERROR(__xludf.DUMMYFUNCTION("""COMPUTED_VALUE"""),1.1211223E7)</f>
        <v>11211223</v>
      </c>
      <c r="B97" s="148" t="str">
        <f>IFERROR(__xludf.DUMMYFUNCTION("""COMPUTED_VALUE"""),"弓兵-lv4-4")</f>
        <v>弓兵-lv4-4</v>
      </c>
      <c r="C97" s="148">
        <f>IFERROR(__xludf.DUMMYFUNCTION("""COMPUTED_VALUE"""),1.1221003E7)</f>
        <v>11221003</v>
      </c>
      <c r="D97" s="148">
        <f>IFERROR(__xludf.DUMMYFUNCTION("""COMPUTED_VALUE"""),1.5110065E7)</f>
        <v>15110065</v>
      </c>
      <c r="E97" s="148" t="str">
        <f>IFERROR(__xludf.DUMMYFUNCTION("""COMPUTED_VALUE"""),"{""typ"":""lc"",""txt"":""LC_SOLDIER_shooter_name_4""}")</f>
        <v>{"typ":"lc","txt":"LC_SOLDIER_shooter_name_4"}</v>
      </c>
      <c r="F97" s="148" t="str">
        <f>IFERROR(__xludf.DUMMYFUNCTION("""COMPUTED_VALUE"""),"{""typ"":""lc"",""txt"":""LC_SOLDIER_shooter_desc_4""}")</f>
        <v>{"typ":"lc","txt":"LC_SOLDIER_shooter_desc_4"}</v>
      </c>
      <c r="G97" s="148">
        <f>IFERROR(__xludf.DUMMYFUNCTION("""COMPUTED_VALUE"""),8.0)</f>
        <v>8</v>
      </c>
      <c r="H97" s="148">
        <f>IFERROR(__xludf.DUMMYFUNCTION("""COMPUTED_VALUE"""),14.0)</f>
        <v>14</v>
      </c>
      <c r="I97" s="148">
        <f>IFERROR(__xludf.DUMMYFUNCTION("""COMPUTED_VALUE"""),10004.0)</f>
        <v>10004</v>
      </c>
      <c r="J97" s="148">
        <f>IFERROR(__xludf.DUMMYFUNCTION("""COMPUTED_VALUE"""),7.0)</f>
        <v>7</v>
      </c>
      <c r="K97" s="148">
        <f>IFERROR(__xludf.DUMMYFUNCTION("""COMPUTED_VALUE"""),4.0)</f>
        <v>4</v>
      </c>
      <c r="L97" s="148">
        <f>IFERROR(__xludf.DUMMYFUNCTION("""COMPUTED_VALUE"""),6.0)</f>
        <v>6</v>
      </c>
      <c r="M97" s="148">
        <f>IFERROR(__xludf.DUMMYFUNCTION("""COMPUTED_VALUE"""),90000.0)</f>
        <v>90000</v>
      </c>
      <c r="N97" s="148" t="str">
        <f>IFERROR(__xludf.DUMMYFUNCTION("""COMPUTED_VALUE"""),"[{""typ"":""rss"",""id"":11141001,""val"":560},{""typ"":""rss"",""id"":11141003,""val"":240}]")</f>
        <v>[{"typ":"rss","id":11141001,"val":560},{"typ":"rss","id":11141003,"val":240}]</v>
      </c>
      <c r="O97" s="148" t="str">
        <f>IFERROR(__xludf.DUMMYFUNCTION("""COMPUTED_VALUE"""),"{""op"":""and"",""args"":[{""op"":""ge"",""typ"":""arms_group"",""id"":11673305,""val"":1}]}")</f>
        <v>{"op":"and","args":[{"op":"ge","typ":"arms_group","id":11673305,"val":1}]}</v>
      </c>
      <c r="P97" s="148">
        <f>IFERROR(__xludf.DUMMYFUNCTION("""COMPUTED_VALUE"""),3000.0)</f>
        <v>3000</v>
      </c>
      <c r="Q97" s="148" t="str">
        <f>IFERROR(__xludf.DUMMYFUNCTION("""COMPUTED_VALUE"""),"[{""typ"":""rss"",""id"":11141001,""val"":224},{""typ"":""rss"",""id"":11141003,""val"":96}]")</f>
        <v>[{"typ":"rss","id":11141001,"val":224},{"typ":"rss","id":11141003,"val":96}]</v>
      </c>
      <c r="R97" s="148" t="str">
        <f>IFERROR(__xludf.DUMMYFUNCTION("""COMPUTED_VALUE"""),"{}")</f>
        <v>{}</v>
      </c>
      <c r="S97" s="148">
        <f>IFERROR(__xludf.DUMMYFUNCTION("""COMPUTED_VALUE"""),30000.0)</f>
        <v>30000</v>
      </c>
      <c r="T97" s="148" t="str">
        <f>IFERROR(__xludf.DUMMYFUNCTION("""COMPUTED_VALUE"""),"[{""typ"":""rss"",""id"":11141001,""val"":280},{""typ"":""rss"",""id"":11141003,""val"":120}]")</f>
        <v>[{"typ":"rss","id":11141001,"val":280},{"typ":"rss","id":11141003,"val":120}]</v>
      </c>
      <c r="U97" s="148">
        <f>IFERROR(__xludf.DUMMYFUNCTION("""COMPUTED_VALUE"""),0.0)</f>
        <v>0</v>
      </c>
      <c r="V97" s="148" t="str">
        <f>IFERROR(__xludf.DUMMYFUNCTION("""COMPUTED_VALUE"""),"{""op"":""and"",""args"":[{""op"":""ge"",""typ"":""arms_group"",""id"":11673305,""val"":1}]}")</f>
        <v>{"op":"and","args":[{"op":"ge","typ":"arms_group","id":11673305,"val":1}]}</v>
      </c>
      <c r="W97" s="148" t="str">
        <f>IFERROR(__xludf.DUMMYFUNCTION("""COMPUTED_VALUE"""),"[]")</f>
        <v>[]</v>
      </c>
      <c r="X97" s="148" t="str">
        <f>IFERROR(__xludf.DUMMYFUNCTION("""COMPUTED_VALUE"""),"[{""typ"":""power"",""id"":12141002,""val"":6}]")</f>
        <v>[{"typ":"power","id":12141002,"val":6}]</v>
      </c>
      <c r="Y97" s="148" t="str">
        <f>IFERROR(__xludf.DUMMYFUNCTION("""COMPUTED_VALUE"""),"[{""typ"":""atk"",""val"":217},{""typ"":""def"",""val"":200},{""typ"":""hp"",""val"":179},{""typ"":""speed"",""val"":35},{""typ"":""load"",""val"":11},{""typ"":""backcoef"",""val"":0.5},{""typ"":""atkcoef"",""val"":1.0},{""typ"":""atkcd"",""val"":0}]")</f>
        <v>[{"typ":"atk","val":217},{"typ":"def","val":200},{"typ":"hp","val":179},{"typ":"speed","val":35},{"typ":"load","val":11},{"typ":"backcoef","val":0.5},{"typ":"atkcoef","val":1.0},{"typ":"atkcd","val":0}]</v>
      </c>
      <c r="Z97" s="148" t="str">
        <f>IFERROR(__xludf.DUMMYFUNCTION("""COMPUTED_VALUE"""),"[]")</f>
        <v>[]</v>
      </c>
    </row>
    <row r="98">
      <c r="A98" s="148">
        <f>IFERROR(__xludf.DUMMYFUNCTION("""COMPUTED_VALUE"""),1.1211224E7)</f>
        <v>11211224</v>
      </c>
      <c r="B98" s="148" t="str">
        <f>IFERROR(__xludf.DUMMYFUNCTION("""COMPUTED_VALUE"""),"弓兵-lv4-5")</f>
        <v>弓兵-lv4-5</v>
      </c>
      <c r="C98" s="148">
        <f>IFERROR(__xludf.DUMMYFUNCTION("""COMPUTED_VALUE"""),1.1221003E7)</f>
        <v>11221003</v>
      </c>
      <c r="D98" s="148">
        <f>IFERROR(__xludf.DUMMYFUNCTION("""COMPUTED_VALUE"""),1.5110065E7)</f>
        <v>15110065</v>
      </c>
      <c r="E98" s="148" t="str">
        <f>IFERROR(__xludf.DUMMYFUNCTION("""COMPUTED_VALUE"""),"{""typ"":""lc"",""txt"":""LC_SOLDIER_shooter_name_4""}")</f>
        <v>{"typ":"lc","txt":"LC_SOLDIER_shooter_name_4"}</v>
      </c>
      <c r="F98" s="148" t="str">
        <f>IFERROR(__xludf.DUMMYFUNCTION("""COMPUTED_VALUE"""),"{""typ"":""lc"",""txt"":""LC_SOLDIER_shooter_desc_4""}")</f>
        <v>{"typ":"lc","txt":"LC_SOLDIER_shooter_desc_4"}</v>
      </c>
      <c r="G98" s="148">
        <f>IFERROR(__xludf.DUMMYFUNCTION("""COMPUTED_VALUE"""),8.0)</f>
        <v>8</v>
      </c>
      <c r="H98" s="148">
        <f>IFERROR(__xludf.DUMMYFUNCTION("""COMPUTED_VALUE"""),14.0)</f>
        <v>14</v>
      </c>
      <c r="I98" s="148">
        <f>IFERROR(__xludf.DUMMYFUNCTION("""COMPUTED_VALUE"""),10004.0)</f>
        <v>10004</v>
      </c>
      <c r="J98" s="148">
        <f>IFERROR(__xludf.DUMMYFUNCTION("""COMPUTED_VALUE"""),7.0)</f>
        <v>7</v>
      </c>
      <c r="K98" s="148">
        <f>IFERROR(__xludf.DUMMYFUNCTION("""COMPUTED_VALUE"""),4.0)</f>
        <v>4</v>
      </c>
      <c r="L98" s="148">
        <f>IFERROR(__xludf.DUMMYFUNCTION("""COMPUTED_VALUE"""),6.0)</f>
        <v>6</v>
      </c>
      <c r="M98" s="148">
        <f>IFERROR(__xludf.DUMMYFUNCTION("""COMPUTED_VALUE"""),90000.0)</f>
        <v>90000</v>
      </c>
      <c r="N98" s="148" t="str">
        <f>IFERROR(__xludf.DUMMYFUNCTION("""COMPUTED_VALUE"""),"[{""typ"":""rss"",""id"":11141001,""val"":560},{""typ"":""rss"",""id"":11141003,""val"":240}]")</f>
        <v>[{"typ":"rss","id":11141001,"val":560},{"typ":"rss","id":11141003,"val":240}]</v>
      </c>
      <c r="O98" s="148" t="str">
        <f>IFERROR(__xludf.DUMMYFUNCTION("""COMPUTED_VALUE"""),"{""op"":""and"",""args"":[{""op"":""ge"",""typ"":""arms_group"",""id"":11673306,""val"":1}]}")</f>
        <v>{"op":"and","args":[{"op":"ge","typ":"arms_group","id":11673306,"val":1}]}</v>
      </c>
      <c r="P98" s="148">
        <f>IFERROR(__xludf.DUMMYFUNCTION("""COMPUTED_VALUE"""),3000.0)</f>
        <v>3000</v>
      </c>
      <c r="Q98" s="148" t="str">
        <f>IFERROR(__xludf.DUMMYFUNCTION("""COMPUTED_VALUE"""),"[{""typ"":""rss"",""id"":11141001,""val"":224},{""typ"":""rss"",""id"":11141003,""val"":96}]")</f>
        <v>[{"typ":"rss","id":11141001,"val":224},{"typ":"rss","id":11141003,"val":96}]</v>
      </c>
      <c r="R98" s="148" t="str">
        <f>IFERROR(__xludf.DUMMYFUNCTION("""COMPUTED_VALUE"""),"{}")</f>
        <v>{}</v>
      </c>
      <c r="S98" s="148">
        <f>IFERROR(__xludf.DUMMYFUNCTION("""COMPUTED_VALUE"""),30000.0)</f>
        <v>30000</v>
      </c>
      <c r="T98" s="148" t="str">
        <f>IFERROR(__xludf.DUMMYFUNCTION("""COMPUTED_VALUE"""),"[{""typ"":""rss"",""id"":11141001,""val"":280},{""typ"":""rss"",""id"":11141003,""val"":120}]")</f>
        <v>[{"typ":"rss","id":11141001,"val":280},{"typ":"rss","id":11141003,"val":120}]</v>
      </c>
      <c r="U98" s="148">
        <f>IFERROR(__xludf.DUMMYFUNCTION("""COMPUTED_VALUE"""),0.0)</f>
        <v>0</v>
      </c>
      <c r="V98" s="148" t="str">
        <f>IFERROR(__xludf.DUMMYFUNCTION("""COMPUTED_VALUE"""),"{""op"":""and"",""args"":[{""op"":""ge"",""typ"":""arms_group"",""id"":11673306,""val"":1}]}")</f>
        <v>{"op":"and","args":[{"op":"ge","typ":"arms_group","id":11673306,"val":1}]}</v>
      </c>
      <c r="W98" s="148" t="str">
        <f>IFERROR(__xludf.DUMMYFUNCTION("""COMPUTED_VALUE"""),"[]")</f>
        <v>[]</v>
      </c>
      <c r="X98" s="148" t="str">
        <f>IFERROR(__xludf.DUMMYFUNCTION("""COMPUTED_VALUE"""),"[{""typ"":""power"",""id"":12141002,""val"":6}]")</f>
        <v>[{"typ":"power","id":12141002,"val":6}]</v>
      </c>
      <c r="Y98" s="148" t="str">
        <f>IFERROR(__xludf.DUMMYFUNCTION("""COMPUTED_VALUE"""),"[{""typ"":""atk"",""val"":220},{""typ"":""def"",""val"":203},{""typ"":""hp"",""val"":180},{""typ"":""speed"",""val"":35},{""typ"":""load"",""val"":11},{""typ"":""backcoef"",""val"":0.5},{""typ"":""atkcoef"",""val"":1.0},{""typ"":""atkcd"",""val"":0}]")</f>
        <v>[{"typ":"atk","val":220},{"typ":"def","val":203},{"typ":"hp","val":180},{"typ":"speed","val":35},{"typ":"load","val":11},{"typ":"backcoef","val":0.5},{"typ":"atkcoef","val":1.0},{"typ":"atkcd","val":0}]</v>
      </c>
      <c r="Z98" s="148" t="str">
        <f>IFERROR(__xludf.DUMMYFUNCTION("""COMPUTED_VALUE"""),"[]")</f>
        <v>[]</v>
      </c>
    </row>
    <row r="99">
      <c r="A99" s="148">
        <f>IFERROR(__xludf.DUMMYFUNCTION("""COMPUTED_VALUE"""),1.1211225E7)</f>
        <v>11211225</v>
      </c>
      <c r="B99" s="148" t="str">
        <f>IFERROR(__xludf.DUMMYFUNCTION("""COMPUTED_VALUE"""),"弓兵-lv5-1")</f>
        <v>弓兵-lv5-1</v>
      </c>
      <c r="C99" s="148">
        <f>IFERROR(__xludf.DUMMYFUNCTION("""COMPUTED_VALUE"""),1.1221003E7)</f>
        <v>11221003</v>
      </c>
      <c r="D99" s="148">
        <f>IFERROR(__xludf.DUMMYFUNCTION("""COMPUTED_VALUE"""),1.5110066E7)</f>
        <v>15110066</v>
      </c>
      <c r="E99" s="148" t="str">
        <f>IFERROR(__xludf.DUMMYFUNCTION("""COMPUTED_VALUE"""),"{""typ"":""lc"",""txt"":""LC_SOLDIER_shooter_name_5""}")</f>
        <v>{"typ":"lc","txt":"LC_SOLDIER_shooter_name_5"}</v>
      </c>
      <c r="F99" s="148" t="str">
        <f>IFERROR(__xludf.DUMMYFUNCTION("""COMPUTED_VALUE"""),"{""typ"":""lc"",""txt"":""LC_SOLDIER_shooter_desc_5""}")</f>
        <v>{"typ":"lc","txt":"LC_SOLDIER_shooter_desc_5"}</v>
      </c>
      <c r="G99" s="148">
        <f>IFERROR(__xludf.DUMMYFUNCTION("""COMPUTED_VALUE"""),15.0)</f>
        <v>15</v>
      </c>
      <c r="H99" s="148">
        <f>IFERROR(__xludf.DUMMYFUNCTION("""COMPUTED_VALUE"""),18.0)</f>
        <v>18</v>
      </c>
      <c r="I99" s="148">
        <f>IFERROR(__xludf.DUMMYFUNCTION("""COMPUTED_VALUE"""),10002.0)</f>
        <v>10002</v>
      </c>
      <c r="J99" s="148">
        <f>IFERROR(__xludf.DUMMYFUNCTION("""COMPUTED_VALUE"""),9.0)</f>
        <v>9</v>
      </c>
      <c r="K99" s="148">
        <f>IFERROR(__xludf.DUMMYFUNCTION("""COMPUTED_VALUE"""),5.0)</f>
        <v>5</v>
      </c>
      <c r="L99" s="148">
        <f>IFERROR(__xludf.DUMMYFUNCTION("""COMPUTED_VALUE"""),6.0)</f>
        <v>6</v>
      </c>
      <c r="M99" s="148">
        <f>IFERROR(__xludf.DUMMYFUNCTION("""COMPUTED_VALUE"""),180000.0)</f>
        <v>180000</v>
      </c>
      <c r="N99" s="148" t="str">
        <f>IFERROR(__xludf.DUMMYFUNCTION("""COMPUTED_VALUE"""),"[{""typ"":""rss"",""id"":11141001,""val"":1400},{""typ"":""rss"",""id"":11141003,""val"":600}]")</f>
        <v>[{"typ":"rss","id":11141001,"val":1400},{"typ":"rss","id":11141003,"val":600}]</v>
      </c>
      <c r="O99" s="148" t="str">
        <f>IFERROR(__xludf.DUMMYFUNCTION("""COMPUTED_VALUE"""),"{""op"":""and"",""args"":[{""op"":""ge"",""typ"":""arms_group"",""id"":11673402,""val"":1}]}")</f>
        <v>{"op":"and","args":[{"op":"ge","typ":"arms_group","id":11673402,"val":1}]}</v>
      </c>
      <c r="P99" s="148">
        <f>IFERROR(__xludf.DUMMYFUNCTION("""COMPUTED_VALUE"""),6000.0)</f>
        <v>6000</v>
      </c>
      <c r="Q99" s="148" t="str">
        <f>IFERROR(__xludf.DUMMYFUNCTION("""COMPUTED_VALUE"""),"[{""typ"":""rss"",""id"":11141001,""val"":560},{""typ"":""rss"",""id"":11141003,""val"":240}]")</f>
        <v>[{"typ":"rss","id":11141001,"val":560},{"typ":"rss","id":11141003,"val":240}]</v>
      </c>
      <c r="R99" s="148" t="str">
        <f>IFERROR(__xludf.DUMMYFUNCTION("""COMPUTED_VALUE"""),"{}")</f>
        <v>{}</v>
      </c>
      <c r="S99" s="148">
        <f>IFERROR(__xludf.DUMMYFUNCTION("""COMPUTED_VALUE"""),90000.0)</f>
        <v>90000</v>
      </c>
      <c r="T99" s="148" t="str">
        <f>IFERROR(__xludf.DUMMYFUNCTION("""COMPUTED_VALUE"""),"[{""typ"":""rss"",""id"":11141001,""val"":840},{""typ"":""rss"",""id"":11141003,""val"":360}]")</f>
        <v>[{"typ":"rss","id":11141001,"val":840},{"typ":"rss","id":11141003,"val":360}]</v>
      </c>
      <c r="U99" s="148">
        <f>IFERROR(__xludf.DUMMYFUNCTION("""COMPUTED_VALUE"""),0.0)</f>
        <v>0</v>
      </c>
      <c r="V99" s="148" t="str">
        <f>IFERROR(__xludf.DUMMYFUNCTION("""COMPUTED_VALUE"""),"{""op"":""and"",""args"":[{""op"":""ge"",""typ"":""arms_group"",""id"":11673402,""val"":1}]}")</f>
        <v>{"op":"and","args":[{"op":"ge","typ":"arms_group","id":11673402,"val":1}]}</v>
      </c>
      <c r="W99" s="148" t="str">
        <f>IFERROR(__xludf.DUMMYFUNCTION("""COMPUTED_VALUE"""),"[]")</f>
        <v>[]</v>
      </c>
      <c r="X99" s="148" t="str">
        <f>IFERROR(__xludf.DUMMYFUNCTION("""COMPUTED_VALUE"""),"[{""typ"":""power"",""id"":12141002,""val"":10}]")</f>
        <v>[{"typ":"power","id":12141002,"val":10}]</v>
      </c>
      <c r="Y99" s="148" t="str">
        <f>IFERROR(__xludf.DUMMYFUNCTION("""COMPUTED_VALUE"""),"[{""typ"":""atk"",""val"":238},{""typ"":""def"",""val"":208},{""typ"":""hp"",""val"":211},{""typ"":""speed"",""val"":33},{""typ"":""load"",""val"":13},{""typ"":""backcoef"",""val"":0.5},{""typ"":""atkcoef"",""val"":1.0},{""typ"":""atkcd"",""val"":0}]")</f>
        <v>[{"typ":"atk","val":238},{"typ":"def","val":208},{"typ":"hp","val":211},{"typ":"speed","val":33},{"typ":"load","val":13},{"typ":"backcoef","val":0.5},{"typ":"atkcoef","val":1.0},{"typ":"atkcd","val":0}]</v>
      </c>
      <c r="Z99" s="148" t="str">
        <f>IFERROR(__xludf.DUMMYFUNCTION("""COMPUTED_VALUE"""),"[]")</f>
        <v>[]</v>
      </c>
    </row>
    <row r="100">
      <c r="A100" s="148">
        <f>IFERROR(__xludf.DUMMYFUNCTION("""COMPUTED_VALUE"""),1.1211226E7)</f>
        <v>11211226</v>
      </c>
      <c r="B100" s="148" t="str">
        <f>IFERROR(__xludf.DUMMYFUNCTION("""COMPUTED_VALUE"""),"弓兵-lv5-2")</f>
        <v>弓兵-lv5-2</v>
      </c>
      <c r="C100" s="148">
        <f>IFERROR(__xludf.DUMMYFUNCTION("""COMPUTED_VALUE"""),1.1221003E7)</f>
        <v>11221003</v>
      </c>
      <c r="D100" s="148">
        <f>IFERROR(__xludf.DUMMYFUNCTION("""COMPUTED_VALUE"""),1.5110066E7)</f>
        <v>15110066</v>
      </c>
      <c r="E100" s="148" t="str">
        <f>IFERROR(__xludf.DUMMYFUNCTION("""COMPUTED_VALUE"""),"{""typ"":""lc"",""txt"":""LC_SOLDIER_shooter_name_5""}")</f>
        <v>{"typ":"lc","txt":"LC_SOLDIER_shooter_name_5"}</v>
      </c>
      <c r="F100" s="148" t="str">
        <f>IFERROR(__xludf.DUMMYFUNCTION("""COMPUTED_VALUE"""),"{""typ"":""lc"",""txt"":""LC_SOLDIER_shooter_desc_5""}")</f>
        <v>{"typ":"lc","txt":"LC_SOLDIER_shooter_desc_5"}</v>
      </c>
      <c r="G100" s="148">
        <f>IFERROR(__xludf.DUMMYFUNCTION("""COMPUTED_VALUE"""),15.0)</f>
        <v>15</v>
      </c>
      <c r="H100" s="148">
        <f>IFERROR(__xludf.DUMMYFUNCTION("""COMPUTED_VALUE"""),18.0)</f>
        <v>18</v>
      </c>
      <c r="I100" s="148">
        <f>IFERROR(__xludf.DUMMYFUNCTION("""COMPUTED_VALUE"""),10002.0)</f>
        <v>10002</v>
      </c>
      <c r="J100" s="148">
        <f>IFERROR(__xludf.DUMMYFUNCTION("""COMPUTED_VALUE"""),9.0)</f>
        <v>9</v>
      </c>
      <c r="K100" s="148">
        <f>IFERROR(__xludf.DUMMYFUNCTION("""COMPUTED_VALUE"""),5.0)</f>
        <v>5</v>
      </c>
      <c r="L100" s="148">
        <f>IFERROR(__xludf.DUMMYFUNCTION("""COMPUTED_VALUE"""),6.0)</f>
        <v>6</v>
      </c>
      <c r="M100" s="148">
        <f>IFERROR(__xludf.DUMMYFUNCTION("""COMPUTED_VALUE"""),180000.0)</f>
        <v>180000</v>
      </c>
      <c r="N100" s="148" t="str">
        <f>IFERROR(__xludf.DUMMYFUNCTION("""COMPUTED_VALUE"""),"[{""typ"":""rss"",""id"":11141001,""val"":1400},{""typ"":""rss"",""id"":11141003,""val"":600}]")</f>
        <v>[{"typ":"rss","id":11141001,"val":1400},{"typ":"rss","id":11141003,"val":600}]</v>
      </c>
      <c r="O100" s="148" t="str">
        <f>IFERROR(__xludf.DUMMYFUNCTION("""COMPUTED_VALUE"""),"{""op"":""and"",""args"":[{""op"":""ge"",""typ"":""arms_group"",""id"":11673403,""val"":1}]}")</f>
        <v>{"op":"and","args":[{"op":"ge","typ":"arms_group","id":11673403,"val":1}]}</v>
      </c>
      <c r="P100" s="148">
        <f>IFERROR(__xludf.DUMMYFUNCTION("""COMPUTED_VALUE"""),6000.0)</f>
        <v>6000</v>
      </c>
      <c r="Q100" s="148" t="str">
        <f>IFERROR(__xludf.DUMMYFUNCTION("""COMPUTED_VALUE"""),"[{""typ"":""rss"",""id"":11141001,""val"":560},{""typ"":""rss"",""id"":11141003,""val"":240}]")</f>
        <v>[{"typ":"rss","id":11141001,"val":560},{"typ":"rss","id":11141003,"val":240}]</v>
      </c>
      <c r="R100" s="148" t="str">
        <f>IFERROR(__xludf.DUMMYFUNCTION("""COMPUTED_VALUE"""),"{}")</f>
        <v>{}</v>
      </c>
      <c r="S100" s="148">
        <f>IFERROR(__xludf.DUMMYFUNCTION("""COMPUTED_VALUE"""),90000.0)</f>
        <v>90000</v>
      </c>
      <c r="T100" s="148" t="str">
        <f>IFERROR(__xludf.DUMMYFUNCTION("""COMPUTED_VALUE"""),"[{""typ"":""rss"",""id"":11141001,""val"":840},{""typ"":""rss"",""id"":11141003,""val"":360}]")</f>
        <v>[{"typ":"rss","id":11141001,"val":840},{"typ":"rss","id":11141003,"val":360}]</v>
      </c>
      <c r="U100" s="148">
        <f>IFERROR(__xludf.DUMMYFUNCTION("""COMPUTED_VALUE"""),0.0)</f>
        <v>0</v>
      </c>
      <c r="V100" s="148" t="str">
        <f>IFERROR(__xludf.DUMMYFUNCTION("""COMPUTED_VALUE"""),"{""op"":""and"",""args"":[{""op"":""ge"",""typ"":""arms_group"",""id"":11673403,""val"":1}]}")</f>
        <v>{"op":"and","args":[{"op":"ge","typ":"arms_group","id":11673403,"val":1}]}</v>
      </c>
      <c r="W100" s="148" t="str">
        <f>IFERROR(__xludf.DUMMYFUNCTION("""COMPUTED_VALUE"""),"[]")</f>
        <v>[]</v>
      </c>
      <c r="X100" s="148" t="str">
        <f>IFERROR(__xludf.DUMMYFUNCTION("""COMPUTED_VALUE"""),"[{""typ"":""power"",""id"":12141002,""val"":10}]")</f>
        <v>[{"typ":"power","id":12141002,"val":10}]</v>
      </c>
      <c r="Y100" s="148" t="str">
        <f>IFERROR(__xludf.DUMMYFUNCTION("""COMPUTED_VALUE"""),"[{""typ"":""atk"",""val"":241},{""typ"":""def"",""val"":211},{""typ"":""hp"",""val"":212},{""typ"":""speed"",""val"":33},{""typ"":""load"",""val"":13},{""typ"":""backcoef"",""val"":0.5},{""typ"":""atkcoef"",""val"":1.0},{""typ"":""atkcd"",""val"":0}]")</f>
        <v>[{"typ":"atk","val":241},{"typ":"def","val":211},{"typ":"hp","val":212},{"typ":"speed","val":33},{"typ":"load","val":13},{"typ":"backcoef","val":0.5},{"typ":"atkcoef","val":1.0},{"typ":"atkcd","val":0}]</v>
      </c>
      <c r="Z100" s="148" t="str">
        <f>IFERROR(__xludf.DUMMYFUNCTION("""COMPUTED_VALUE"""),"[]")</f>
        <v>[]</v>
      </c>
    </row>
    <row r="101">
      <c r="A101" s="148">
        <f>IFERROR(__xludf.DUMMYFUNCTION("""COMPUTED_VALUE"""),1.1211227E7)</f>
        <v>11211227</v>
      </c>
      <c r="B101" s="148" t="str">
        <f>IFERROR(__xludf.DUMMYFUNCTION("""COMPUTED_VALUE"""),"弓兵-lv5-3")</f>
        <v>弓兵-lv5-3</v>
      </c>
      <c r="C101" s="148">
        <f>IFERROR(__xludf.DUMMYFUNCTION("""COMPUTED_VALUE"""),1.1221003E7)</f>
        <v>11221003</v>
      </c>
      <c r="D101" s="148">
        <f>IFERROR(__xludf.DUMMYFUNCTION("""COMPUTED_VALUE"""),1.5110066E7)</f>
        <v>15110066</v>
      </c>
      <c r="E101" s="148" t="str">
        <f>IFERROR(__xludf.DUMMYFUNCTION("""COMPUTED_VALUE"""),"{""typ"":""lc"",""txt"":""LC_SOLDIER_shooter_name_5""}")</f>
        <v>{"typ":"lc","txt":"LC_SOLDIER_shooter_name_5"}</v>
      </c>
      <c r="F101" s="148" t="str">
        <f>IFERROR(__xludf.DUMMYFUNCTION("""COMPUTED_VALUE"""),"{""typ"":""lc"",""txt"":""LC_SOLDIER_shooter_desc_5""}")</f>
        <v>{"typ":"lc","txt":"LC_SOLDIER_shooter_desc_5"}</v>
      </c>
      <c r="G101" s="148">
        <f>IFERROR(__xludf.DUMMYFUNCTION("""COMPUTED_VALUE"""),15.0)</f>
        <v>15</v>
      </c>
      <c r="H101" s="148">
        <f>IFERROR(__xludf.DUMMYFUNCTION("""COMPUTED_VALUE"""),18.0)</f>
        <v>18</v>
      </c>
      <c r="I101" s="148">
        <f>IFERROR(__xludf.DUMMYFUNCTION("""COMPUTED_VALUE"""),10002.0)</f>
        <v>10002</v>
      </c>
      <c r="J101" s="148">
        <f>IFERROR(__xludf.DUMMYFUNCTION("""COMPUTED_VALUE"""),9.0)</f>
        <v>9</v>
      </c>
      <c r="K101" s="148">
        <f>IFERROR(__xludf.DUMMYFUNCTION("""COMPUTED_VALUE"""),5.0)</f>
        <v>5</v>
      </c>
      <c r="L101" s="148">
        <f>IFERROR(__xludf.DUMMYFUNCTION("""COMPUTED_VALUE"""),6.0)</f>
        <v>6</v>
      </c>
      <c r="M101" s="148">
        <f>IFERROR(__xludf.DUMMYFUNCTION("""COMPUTED_VALUE"""),180000.0)</f>
        <v>180000</v>
      </c>
      <c r="N101" s="148" t="str">
        <f>IFERROR(__xludf.DUMMYFUNCTION("""COMPUTED_VALUE"""),"[{""typ"":""rss"",""id"":11141001,""val"":1400},{""typ"":""rss"",""id"":11141003,""val"":600}]")</f>
        <v>[{"typ":"rss","id":11141001,"val":1400},{"typ":"rss","id":11141003,"val":600}]</v>
      </c>
      <c r="O101" s="148" t="str">
        <f>IFERROR(__xludf.DUMMYFUNCTION("""COMPUTED_VALUE"""),"{""op"":""and"",""args"":[{""op"":""ge"",""typ"":""arms_group"",""id"":11673404,""val"":1}]}")</f>
        <v>{"op":"and","args":[{"op":"ge","typ":"arms_group","id":11673404,"val":1}]}</v>
      </c>
      <c r="P101" s="148">
        <f>IFERROR(__xludf.DUMMYFUNCTION("""COMPUTED_VALUE"""),6000.0)</f>
        <v>6000</v>
      </c>
      <c r="Q101" s="148" t="str">
        <f>IFERROR(__xludf.DUMMYFUNCTION("""COMPUTED_VALUE"""),"[{""typ"":""rss"",""id"":11141001,""val"":560},{""typ"":""rss"",""id"":11141003,""val"":240}]")</f>
        <v>[{"typ":"rss","id":11141001,"val":560},{"typ":"rss","id":11141003,"val":240}]</v>
      </c>
      <c r="R101" s="148" t="str">
        <f>IFERROR(__xludf.DUMMYFUNCTION("""COMPUTED_VALUE"""),"{}")</f>
        <v>{}</v>
      </c>
      <c r="S101" s="148">
        <f>IFERROR(__xludf.DUMMYFUNCTION("""COMPUTED_VALUE"""),90000.0)</f>
        <v>90000</v>
      </c>
      <c r="T101" s="148" t="str">
        <f>IFERROR(__xludf.DUMMYFUNCTION("""COMPUTED_VALUE"""),"[{""typ"":""rss"",""id"":11141001,""val"":840},{""typ"":""rss"",""id"":11141003,""val"":360}]")</f>
        <v>[{"typ":"rss","id":11141001,"val":840},{"typ":"rss","id":11141003,"val":360}]</v>
      </c>
      <c r="U101" s="148">
        <f>IFERROR(__xludf.DUMMYFUNCTION("""COMPUTED_VALUE"""),0.0)</f>
        <v>0</v>
      </c>
      <c r="V101" s="148" t="str">
        <f>IFERROR(__xludf.DUMMYFUNCTION("""COMPUTED_VALUE"""),"{""op"":""and"",""args"":[{""op"":""ge"",""typ"":""arms_group"",""id"":11673404,""val"":1}]}")</f>
        <v>{"op":"and","args":[{"op":"ge","typ":"arms_group","id":11673404,"val":1}]}</v>
      </c>
      <c r="W101" s="148" t="str">
        <f>IFERROR(__xludf.DUMMYFUNCTION("""COMPUTED_VALUE"""),"[]")</f>
        <v>[]</v>
      </c>
      <c r="X101" s="148" t="str">
        <f>IFERROR(__xludf.DUMMYFUNCTION("""COMPUTED_VALUE"""),"[{""typ"":""power"",""id"":12141002,""val"":10}]")</f>
        <v>[{"typ":"power","id":12141002,"val":10}]</v>
      </c>
      <c r="Y101" s="148" t="str">
        <f>IFERROR(__xludf.DUMMYFUNCTION("""COMPUTED_VALUE"""),"[{""typ"":""atk"",""val"":244},{""typ"":""def"",""val"":214},{""typ"":""hp"",""val"":213},{""typ"":""speed"",""val"":33},{""typ"":""load"",""val"":13},{""typ"":""backcoef"",""val"":0.5},{""typ"":""atkcoef"",""val"":1.0},{""typ"":""atkcd"",""val"":0}]")</f>
        <v>[{"typ":"atk","val":244},{"typ":"def","val":214},{"typ":"hp","val":213},{"typ":"speed","val":33},{"typ":"load","val":13},{"typ":"backcoef","val":0.5},{"typ":"atkcoef","val":1.0},{"typ":"atkcd","val":0}]</v>
      </c>
      <c r="Z101" s="148" t="str">
        <f>IFERROR(__xludf.DUMMYFUNCTION("""COMPUTED_VALUE"""),"[]")</f>
        <v>[]</v>
      </c>
    </row>
    <row r="102">
      <c r="A102" s="148">
        <f>IFERROR(__xludf.DUMMYFUNCTION("""COMPUTED_VALUE"""),1.1211228E7)</f>
        <v>11211228</v>
      </c>
      <c r="B102" s="148" t="str">
        <f>IFERROR(__xludf.DUMMYFUNCTION("""COMPUTED_VALUE"""),"弓兵-lv5-4")</f>
        <v>弓兵-lv5-4</v>
      </c>
      <c r="C102" s="148">
        <f>IFERROR(__xludf.DUMMYFUNCTION("""COMPUTED_VALUE"""),1.1221003E7)</f>
        <v>11221003</v>
      </c>
      <c r="D102" s="148">
        <f>IFERROR(__xludf.DUMMYFUNCTION("""COMPUTED_VALUE"""),1.5110066E7)</f>
        <v>15110066</v>
      </c>
      <c r="E102" s="148" t="str">
        <f>IFERROR(__xludf.DUMMYFUNCTION("""COMPUTED_VALUE"""),"{""typ"":""lc"",""txt"":""LC_SOLDIER_shooter_name_5""}")</f>
        <v>{"typ":"lc","txt":"LC_SOLDIER_shooter_name_5"}</v>
      </c>
      <c r="F102" s="148" t="str">
        <f>IFERROR(__xludf.DUMMYFUNCTION("""COMPUTED_VALUE"""),"{""typ"":""lc"",""txt"":""LC_SOLDIER_shooter_desc_5""}")</f>
        <v>{"typ":"lc","txt":"LC_SOLDIER_shooter_desc_5"}</v>
      </c>
      <c r="G102" s="148">
        <f>IFERROR(__xludf.DUMMYFUNCTION("""COMPUTED_VALUE"""),15.0)</f>
        <v>15</v>
      </c>
      <c r="H102" s="148">
        <f>IFERROR(__xludf.DUMMYFUNCTION("""COMPUTED_VALUE"""),18.0)</f>
        <v>18</v>
      </c>
      <c r="I102" s="148">
        <f>IFERROR(__xludf.DUMMYFUNCTION("""COMPUTED_VALUE"""),10002.0)</f>
        <v>10002</v>
      </c>
      <c r="J102" s="148">
        <f>IFERROR(__xludf.DUMMYFUNCTION("""COMPUTED_VALUE"""),9.0)</f>
        <v>9</v>
      </c>
      <c r="K102" s="148">
        <f>IFERROR(__xludf.DUMMYFUNCTION("""COMPUTED_VALUE"""),5.0)</f>
        <v>5</v>
      </c>
      <c r="L102" s="148">
        <f>IFERROR(__xludf.DUMMYFUNCTION("""COMPUTED_VALUE"""),6.0)</f>
        <v>6</v>
      </c>
      <c r="M102" s="148">
        <f>IFERROR(__xludf.DUMMYFUNCTION("""COMPUTED_VALUE"""),180000.0)</f>
        <v>180000</v>
      </c>
      <c r="N102" s="148" t="str">
        <f>IFERROR(__xludf.DUMMYFUNCTION("""COMPUTED_VALUE"""),"[{""typ"":""rss"",""id"":11141001,""val"":1400},{""typ"":""rss"",""id"":11141003,""val"":600}]")</f>
        <v>[{"typ":"rss","id":11141001,"val":1400},{"typ":"rss","id":11141003,"val":600}]</v>
      </c>
      <c r="O102" s="148" t="str">
        <f>IFERROR(__xludf.DUMMYFUNCTION("""COMPUTED_VALUE"""),"{""op"":""and"",""args"":[{""op"":""ge"",""typ"":""arms_group"",""id"":11673405,""val"":1}]}")</f>
        <v>{"op":"and","args":[{"op":"ge","typ":"arms_group","id":11673405,"val":1}]}</v>
      </c>
      <c r="P102" s="148">
        <f>IFERROR(__xludf.DUMMYFUNCTION("""COMPUTED_VALUE"""),6000.0)</f>
        <v>6000</v>
      </c>
      <c r="Q102" s="148" t="str">
        <f>IFERROR(__xludf.DUMMYFUNCTION("""COMPUTED_VALUE"""),"[{""typ"":""rss"",""id"":11141001,""val"":560},{""typ"":""rss"",""id"":11141003,""val"":240}]")</f>
        <v>[{"typ":"rss","id":11141001,"val":560},{"typ":"rss","id":11141003,"val":240}]</v>
      </c>
      <c r="R102" s="148" t="str">
        <f>IFERROR(__xludf.DUMMYFUNCTION("""COMPUTED_VALUE"""),"{}")</f>
        <v>{}</v>
      </c>
      <c r="S102" s="148">
        <f>IFERROR(__xludf.DUMMYFUNCTION("""COMPUTED_VALUE"""),90000.0)</f>
        <v>90000</v>
      </c>
      <c r="T102" s="148" t="str">
        <f>IFERROR(__xludf.DUMMYFUNCTION("""COMPUTED_VALUE"""),"[{""typ"":""rss"",""id"":11141001,""val"":840},{""typ"":""rss"",""id"":11141003,""val"":360}]")</f>
        <v>[{"typ":"rss","id":11141001,"val":840},{"typ":"rss","id":11141003,"val":360}]</v>
      </c>
      <c r="U102" s="148">
        <f>IFERROR(__xludf.DUMMYFUNCTION("""COMPUTED_VALUE"""),0.0)</f>
        <v>0</v>
      </c>
      <c r="V102" s="148" t="str">
        <f>IFERROR(__xludf.DUMMYFUNCTION("""COMPUTED_VALUE"""),"{""op"":""and"",""args"":[{""op"":""ge"",""typ"":""arms_group"",""id"":11673405,""val"":1}]}")</f>
        <v>{"op":"and","args":[{"op":"ge","typ":"arms_group","id":11673405,"val":1}]}</v>
      </c>
      <c r="W102" s="148" t="str">
        <f>IFERROR(__xludf.DUMMYFUNCTION("""COMPUTED_VALUE"""),"[]")</f>
        <v>[]</v>
      </c>
      <c r="X102" s="148" t="str">
        <f>IFERROR(__xludf.DUMMYFUNCTION("""COMPUTED_VALUE"""),"[{""typ"":""power"",""id"":12141002,""val"":10}]")</f>
        <v>[{"typ":"power","id":12141002,"val":10}]</v>
      </c>
      <c r="Y102" s="148" t="str">
        <f>IFERROR(__xludf.DUMMYFUNCTION("""COMPUTED_VALUE"""),"[{""typ"":""atk"",""val"":247},{""typ"":""def"",""val"":217},{""typ"":""hp"",""val"":214},{""typ"":""speed"",""val"":33},{""typ"":""load"",""val"":13},{""typ"":""backcoef"",""val"":0.5},{""typ"":""atkcoef"",""val"":1.0},{""typ"":""atkcd"",""val"":0}]")</f>
        <v>[{"typ":"atk","val":247},{"typ":"def","val":217},{"typ":"hp","val":214},{"typ":"speed","val":33},{"typ":"load","val":13},{"typ":"backcoef","val":0.5},{"typ":"atkcoef","val":1.0},{"typ":"atkcd","val":0}]</v>
      </c>
      <c r="Z102" s="148" t="str">
        <f>IFERROR(__xludf.DUMMYFUNCTION("""COMPUTED_VALUE"""),"[]")</f>
        <v>[]</v>
      </c>
    </row>
    <row r="103">
      <c r="A103" s="148">
        <f>IFERROR(__xludf.DUMMYFUNCTION("""COMPUTED_VALUE"""),1.1211229E7)</f>
        <v>11211229</v>
      </c>
      <c r="B103" s="148" t="str">
        <f>IFERROR(__xludf.DUMMYFUNCTION("""COMPUTED_VALUE"""),"弓兵-lv5-5")</f>
        <v>弓兵-lv5-5</v>
      </c>
      <c r="C103" s="148">
        <f>IFERROR(__xludf.DUMMYFUNCTION("""COMPUTED_VALUE"""),1.1221003E7)</f>
        <v>11221003</v>
      </c>
      <c r="D103" s="148">
        <f>IFERROR(__xludf.DUMMYFUNCTION("""COMPUTED_VALUE"""),1.5110066E7)</f>
        <v>15110066</v>
      </c>
      <c r="E103" s="148" t="str">
        <f>IFERROR(__xludf.DUMMYFUNCTION("""COMPUTED_VALUE"""),"{""typ"":""lc"",""txt"":""LC_SOLDIER_shooter_name_5""}")</f>
        <v>{"typ":"lc","txt":"LC_SOLDIER_shooter_name_5"}</v>
      </c>
      <c r="F103" s="148" t="str">
        <f>IFERROR(__xludf.DUMMYFUNCTION("""COMPUTED_VALUE"""),"{""typ"":""lc"",""txt"":""LC_SOLDIER_shooter_desc_5""}")</f>
        <v>{"typ":"lc","txt":"LC_SOLDIER_shooter_desc_5"}</v>
      </c>
      <c r="G103" s="148">
        <f>IFERROR(__xludf.DUMMYFUNCTION("""COMPUTED_VALUE"""),15.0)</f>
        <v>15</v>
      </c>
      <c r="H103" s="148">
        <f>IFERROR(__xludf.DUMMYFUNCTION("""COMPUTED_VALUE"""),18.0)</f>
        <v>18</v>
      </c>
      <c r="I103" s="148">
        <f>IFERROR(__xludf.DUMMYFUNCTION("""COMPUTED_VALUE"""),10002.0)</f>
        <v>10002</v>
      </c>
      <c r="J103" s="148">
        <f>IFERROR(__xludf.DUMMYFUNCTION("""COMPUTED_VALUE"""),9.0)</f>
        <v>9</v>
      </c>
      <c r="K103" s="148">
        <f>IFERROR(__xludf.DUMMYFUNCTION("""COMPUTED_VALUE"""),5.0)</f>
        <v>5</v>
      </c>
      <c r="L103" s="148">
        <f>IFERROR(__xludf.DUMMYFUNCTION("""COMPUTED_VALUE"""),6.0)</f>
        <v>6</v>
      </c>
      <c r="M103" s="148">
        <f>IFERROR(__xludf.DUMMYFUNCTION("""COMPUTED_VALUE"""),180000.0)</f>
        <v>180000</v>
      </c>
      <c r="N103" s="148" t="str">
        <f>IFERROR(__xludf.DUMMYFUNCTION("""COMPUTED_VALUE"""),"[{""typ"":""rss"",""id"":11141001,""val"":1400},{""typ"":""rss"",""id"":11141003,""val"":600}]")</f>
        <v>[{"typ":"rss","id":11141001,"val":1400},{"typ":"rss","id":11141003,"val":600}]</v>
      </c>
      <c r="O103" s="148" t="str">
        <f>IFERROR(__xludf.DUMMYFUNCTION("""COMPUTED_VALUE"""),"{""op"":""and"",""args"":[{""op"":""ge"",""typ"":""arms_group"",""id"":11673406,""val"":1}]}")</f>
        <v>{"op":"and","args":[{"op":"ge","typ":"arms_group","id":11673406,"val":1}]}</v>
      </c>
      <c r="P103" s="148">
        <f>IFERROR(__xludf.DUMMYFUNCTION("""COMPUTED_VALUE"""),6000.0)</f>
        <v>6000</v>
      </c>
      <c r="Q103" s="148" t="str">
        <f>IFERROR(__xludf.DUMMYFUNCTION("""COMPUTED_VALUE"""),"[{""typ"":""rss"",""id"":11141001,""val"":560},{""typ"":""rss"",""id"":11141003,""val"":240}]")</f>
        <v>[{"typ":"rss","id":11141001,"val":560},{"typ":"rss","id":11141003,"val":240}]</v>
      </c>
      <c r="R103" s="148" t="str">
        <f>IFERROR(__xludf.DUMMYFUNCTION("""COMPUTED_VALUE"""),"{}")</f>
        <v>{}</v>
      </c>
      <c r="S103" s="148">
        <f>IFERROR(__xludf.DUMMYFUNCTION("""COMPUTED_VALUE"""),90000.0)</f>
        <v>90000</v>
      </c>
      <c r="T103" s="148" t="str">
        <f>IFERROR(__xludf.DUMMYFUNCTION("""COMPUTED_VALUE"""),"[{""typ"":""rss"",""id"":11141001,""val"":840},{""typ"":""rss"",""id"":11141003,""val"":360}]")</f>
        <v>[{"typ":"rss","id":11141001,"val":840},{"typ":"rss","id":11141003,"val":360}]</v>
      </c>
      <c r="U103" s="148">
        <f>IFERROR(__xludf.DUMMYFUNCTION("""COMPUTED_VALUE"""),0.0)</f>
        <v>0</v>
      </c>
      <c r="V103" s="148" t="str">
        <f>IFERROR(__xludf.DUMMYFUNCTION("""COMPUTED_VALUE"""),"{""op"":""and"",""args"":[{""op"":""ge"",""typ"":""arms_group"",""id"":11673406,""val"":1}]}")</f>
        <v>{"op":"and","args":[{"op":"ge","typ":"arms_group","id":11673406,"val":1}]}</v>
      </c>
      <c r="W103" s="148" t="str">
        <f>IFERROR(__xludf.DUMMYFUNCTION("""COMPUTED_VALUE"""),"[]")</f>
        <v>[]</v>
      </c>
      <c r="X103" s="148" t="str">
        <f>IFERROR(__xludf.DUMMYFUNCTION("""COMPUTED_VALUE"""),"[{""typ"":""power"",""id"":12141002,""val"":10}]")</f>
        <v>[{"typ":"power","id":12141002,"val":10}]</v>
      </c>
      <c r="Y103" s="148" t="str">
        <f>IFERROR(__xludf.DUMMYFUNCTION("""COMPUTED_VALUE"""),"[{""typ"":""atk"",""val"":250},{""typ"":""def"",""val"":220},{""typ"":""hp"",""val"":215},{""typ"":""speed"",""val"":33},{""typ"":""load"",""val"":13},{""typ"":""backcoef"",""val"":0.5},{""typ"":""atkcoef"",""val"":1.0},{""typ"":""atkcd"",""val"":0}]")</f>
        <v>[{"typ":"atk","val":250},{"typ":"def","val":220},{"typ":"hp","val":215},{"typ":"speed","val":33},{"typ":"load","val":13},{"typ":"backcoef","val":0.5},{"typ":"atkcoef","val":1.0},{"typ":"atkcd","val":0}]</v>
      </c>
      <c r="Z103" s="148" t="str">
        <f>IFERROR(__xludf.DUMMYFUNCTION("""COMPUTED_VALUE"""),"[]")</f>
        <v>[]</v>
      </c>
    </row>
    <row r="104">
      <c r="A104" s="148">
        <f>IFERROR(__xludf.DUMMYFUNCTION("""COMPUTED_VALUE"""),1.121123E7)</f>
        <v>11211230</v>
      </c>
      <c r="B104" s="148" t="str">
        <f>IFERROR(__xludf.DUMMYFUNCTION("""COMPUTED_VALUE"""),"弓兵-lv5-6")</f>
        <v>弓兵-lv5-6</v>
      </c>
      <c r="C104" s="148">
        <f>IFERROR(__xludf.DUMMYFUNCTION("""COMPUTED_VALUE"""),1.1221003E7)</f>
        <v>11221003</v>
      </c>
      <c r="D104" s="148">
        <f>IFERROR(__xludf.DUMMYFUNCTION("""COMPUTED_VALUE"""),1.5110066E7)</f>
        <v>15110066</v>
      </c>
      <c r="E104" s="148" t="str">
        <f>IFERROR(__xludf.DUMMYFUNCTION("""COMPUTED_VALUE"""),"{""typ"":""lc"",""txt"":""LC_SOLDIER_shooter_name_5""}")</f>
        <v>{"typ":"lc","txt":"LC_SOLDIER_shooter_name_5"}</v>
      </c>
      <c r="F104" s="148" t="str">
        <f>IFERROR(__xludf.DUMMYFUNCTION("""COMPUTED_VALUE"""),"{""typ"":""lc"",""txt"":""LC_SOLDIER_shooter_desc_5""}")</f>
        <v>{"typ":"lc","txt":"LC_SOLDIER_shooter_desc_5"}</v>
      </c>
      <c r="G104" s="148">
        <f>IFERROR(__xludf.DUMMYFUNCTION("""COMPUTED_VALUE"""),15.0)</f>
        <v>15</v>
      </c>
      <c r="H104" s="148">
        <f>IFERROR(__xludf.DUMMYFUNCTION("""COMPUTED_VALUE"""),18.0)</f>
        <v>18</v>
      </c>
      <c r="I104" s="148">
        <f>IFERROR(__xludf.DUMMYFUNCTION("""COMPUTED_VALUE"""),10002.0)</f>
        <v>10002</v>
      </c>
      <c r="J104" s="148">
        <f>IFERROR(__xludf.DUMMYFUNCTION("""COMPUTED_VALUE"""),9.0)</f>
        <v>9</v>
      </c>
      <c r="K104" s="148">
        <f>IFERROR(__xludf.DUMMYFUNCTION("""COMPUTED_VALUE"""),5.0)</f>
        <v>5</v>
      </c>
      <c r="L104" s="148">
        <f>IFERROR(__xludf.DUMMYFUNCTION("""COMPUTED_VALUE"""),6.0)</f>
        <v>6</v>
      </c>
      <c r="M104" s="148">
        <f>IFERROR(__xludf.DUMMYFUNCTION("""COMPUTED_VALUE"""),180000.0)</f>
        <v>180000</v>
      </c>
      <c r="N104" s="148" t="str">
        <f>IFERROR(__xludf.DUMMYFUNCTION("""COMPUTED_VALUE"""),"[{""typ"":""rss"",""id"":11141001,""val"":1400},{""typ"":""rss"",""id"":11141003,""val"":600}]")</f>
        <v>[{"typ":"rss","id":11141001,"val":1400},{"typ":"rss","id":11141003,"val":600}]</v>
      </c>
      <c r="O104" s="148" t="str">
        <f>IFERROR(__xludf.DUMMYFUNCTION("""COMPUTED_VALUE"""),"{""op"":""and"",""args"":[{""op"":""ge"",""typ"":""arms_group"",""id"":11673407,""val"":1}]}")</f>
        <v>{"op":"and","args":[{"op":"ge","typ":"arms_group","id":11673407,"val":1}]}</v>
      </c>
      <c r="P104" s="148">
        <f>IFERROR(__xludf.DUMMYFUNCTION("""COMPUTED_VALUE"""),6000.0)</f>
        <v>6000</v>
      </c>
      <c r="Q104" s="148" t="str">
        <f>IFERROR(__xludf.DUMMYFUNCTION("""COMPUTED_VALUE"""),"[{""typ"":""rss"",""id"":11141001,""val"":560},{""typ"":""rss"",""id"":11141003,""val"":240}]")</f>
        <v>[{"typ":"rss","id":11141001,"val":560},{"typ":"rss","id":11141003,"val":240}]</v>
      </c>
      <c r="R104" s="148" t="str">
        <f>IFERROR(__xludf.DUMMYFUNCTION("""COMPUTED_VALUE"""),"{}")</f>
        <v>{}</v>
      </c>
      <c r="S104" s="148">
        <f>IFERROR(__xludf.DUMMYFUNCTION("""COMPUTED_VALUE"""),90000.0)</f>
        <v>90000</v>
      </c>
      <c r="T104" s="148" t="str">
        <f>IFERROR(__xludf.DUMMYFUNCTION("""COMPUTED_VALUE"""),"[{""typ"":""rss"",""id"":11141001,""val"":840},{""typ"":""rss"",""id"":11141003,""val"":360}]")</f>
        <v>[{"typ":"rss","id":11141001,"val":840},{"typ":"rss","id":11141003,"val":360}]</v>
      </c>
      <c r="U104" s="148">
        <f>IFERROR(__xludf.DUMMYFUNCTION("""COMPUTED_VALUE"""),0.0)</f>
        <v>0</v>
      </c>
      <c r="V104" s="148" t="str">
        <f>IFERROR(__xludf.DUMMYFUNCTION("""COMPUTED_VALUE"""),"{""op"":""and"",""args"":[{""op"":""ge"",""typ"":""arms_group"",""id"":11673407,""val"":1}]}")</f>
        <v>{"op":"and","args":[{"op":"ge","typ":"arms_group","id":11673407,"val":1}]}</v>
      </c>
      <c r="W104" s="148" t="str">
        <f>IFERROR(__xludf.DUMMYFUNCTION("""COMPUTED_VALUE"""),"[]")</f>
        <v>[]</v>
      </c>
      <c r="X104" s="148" t="str">
        <f>IFERROR(__xludf.DUMMYFUNCTION("""COMPUTED_VALUE"""),"[{""typ"":""power"",""id"":12141002,""val"":10}]")</f>
        <v>[{"typ":"power","id":12141002,"val":10}]</v>
      </c>
      <c r="Y104" s="148" t="str">
        <f>IFERROR(__xludf.DUMMYFUNCTION("""COMPUTED_VALUE"""),"[{""typ"":""atk"",""val"":253},{""typ"":""def"",""val"":223},{""typ"":""hp"",""val"":216},{""typ"":""speed"",""val"":33},{""typ"":""load"",""val"":13},{""typ"":""backcoef"",""val"":0.5},{""typ"":""atkcoef"",""val"":1.0},{""typ"":""atkcd"",""val"":0}]")</f>
        <v>[{"typ":"atk","val":253},{"typ":"def","val":223},{"typ":"hp","val":216},{"typ":"speed","val":33},{"typ":"load","val":13},{"typ":"backcoef","val":0.5},{"typ":"atkcoef","val":1.0},{"typ":"atkcd","val":0}]</v>
      </c>
      <c r="Z104" s="148" t="str">
        <f>IFERROR(__xludf.DUMMYFUNCTION("""COMPUTED_VALUE"""),"[]")</f>
        <v>[]</v>
      </c>
    </row>
    <row r="105">
      <c r="A105" s="148">
        <f>IFERROR(__xludf.DUMMYFUNCTION("""COMPUTED_VALUE"""),1.1211231E7)</f>
        <v>11211231</v>
      </c>
      <c r="B105" s="148" t="str">
        <f>IFERROR(__xludf.DUMMYFUNCTION("""COMPUTED_VALUE"""),"弓兵-lv6-1-A")</f>
        <v>弓兵-lv6-1-A</v>
      </c>
      <c r="C105" s="148">
        <f>IFERROR(__xludf.DUMMYFUNCTION("""COMPUTED_VALUE"""),1.1221003E7)</f>
        <v>11221003</v>
      </c>
      <c r="D105" s="148">
        <f>IFERROR(__xludf.DUMMYFUNCTION("""COMPUTED_VALUE"""),1.5117139E7)</f>
        <v>15117139</v>
      </c>
      <c r="E105" s="148" t="str">
        <f>IFERROR(__xludf.DUMMYFUNCTION("""COMPUTED_VALUE"""),"{""typ"":""lc"",""txt"":""LC_SOLDIER_shooter_name_6""}")</f>
        <v>{"typ":"lc","txt":"LC_SOLDIER_shooter_name_6"}</v>
      </c>
      <c r="F105" s="148" t="str">
        <f>IFERROR(__xludf.DUMMYFUNCTION("""COMPUTED_VALUE"""),"{""typ"":""lc"",""txt"":""LC_SOLDIER_shooter_desc_6""}")</f>
        <v>{"typ":"lc","txt":"LC_SOLDIER_shooter_desc_6"}</v>
      </c>
      <c r="G105" s="148">
        <f>IFERROR(__xludf.DUMMYFUNCTION("""COMPUTED_VALUE"""),25.0)</f>
        <v>25</v>
      </c>
      <c r="H105" s="148">
        <f>IFERROR(__xludf.DUMMYFUNCTION("""COMPUTED_VALUE"""),22.0)</f>
        <v>22</v>
      </c>
      <c r="I105" s="148">
        <f>IFERROR(__xludf.DUMMYFUNCTION("""COMPUTED_VALUE"""),10001.0)</f>
        <v>10001</v>
      </c>
      <c r="J105" s="148">
        <f>IFERROR(__xludf.DUMMYFUNCTION("""COMPUTED_VALUE"""),11.0)</f>
        <v>11</v>
      </c>
      <c r="K105" s="148">
        <f>IFERROR(__xludf.DUMMYFUNCTION("""COMPUTED_VALUE"""),6.0)</f>
        <v>6</v>
      </c>
      <c r="L105" s="148">
        <f>IFERROR(__xludf.DUMMYFUNCTION("""COMPUTED_VALUE"""),6.0)</f>
        <v>6</v>
      </c>
      <c r="M105" s="148">
        <f>IFERROR(__xludf.DUMMYFUNCTION("""COMPUTED_VALUE"""),360000.0)</f>
        <v>360000</v>
      </c>
      <c r="N105" s="148" t="str">
        <f>IFERROR(__xludf.DUMMYFUNCTION("""COMPUTED_VALUE"""),"[{""typ"":""rss"",""id"":11141001,""val"":2240},{""typ"":""rss"",""id"":11141003,""val"":960},{""typ"":""rss"",""id"":11141041,""val"":80}]")</f>
        <v>[{"typ":"rss","id":11141001,"val":2240},{"typ":"rss","id":11141003,"val":960},{"typ":"rss","id":11141041,"val":80}]</v>
      </c>
      <c r="O105" s="148" t="str">
        <f>IFERROR(__xludf.DUMMYFUNCTION("""COMPUTED_VALUE"""),"{""op"":""and"",""args"":[{""op"":""ge"",""typ"":""arms_group"",""id"":11673502,""val"":1}]}")</f>
        <v>{"op":"and","args":[{"op":"ge","typ":"arms_group","id":11673502,"val":1}]}</v>
      </c>
      <c r="P105" s="148">
        <f>IFERROR(__xludf.DUMMYFUNCTION("""COMPUTED_VALUE"""),12000.0)</f>
        <v>12000</v>
      </c>
      <c r="Q105" s="148" t="str">
        <f>IFERROR(__xludf.DUMMYFUNCTION("""COMPUTED_VALUE"""),"[{""typ"":""rss"",""id"":11141001,""val"":896},{""typ"":""rss"",""id"":11141003,""val"":384},{""typ"":""rss"",""id"":11141041,""val"":16}]")</f>
        <v>[{"typ":"rss","id":11141001,"val":896},{"typ":"rss","id":11141003,"val":384},{"typ":"rss","id":11141041,"val":16}]</v>
      </c>
      <c r="R105" s="148" t="str">
        <f>IFERROR(__xludf.DUMMYFUNCTION("""COMPUTED_VALUE"""),"{}")</f>
        <v>{}</v>
      </c>
      <c r="S105" s="148">
        <f>IFERROR(__xludf.DUMMYFUNCTION("""COMPUTED_VALUE"""),180000.0)</f>
        <v>180000</v>
      </c>
      <c r="T105" s="148" t="str">
        <f>IFERROR(__xludf.DUMMYFUNCTION("""COMPUTED_VALUE"""),"[{""typ"":""rss"",""id"":11141001,""val"":840},{""typ"":""rss"",""id"":11141003,""val"":360},{""typ"":""rss"",""id"":11141041,""val"":80}]")</f>
        <v>[{"typ":"rss","id":11141001,"val":840},{"typ":"rss","id":11141003,"val":360},{"typ":"rss","id":11141041,"val":80}]</v>
      </c>
      <c r="U105" s="148">
        <f>IFERROR(__xludf.DUMMYFUNCTION("""COMPUTED_VALUE"""),0.0)</f>
        <v>0</v>
      </c>
      <c r="V105" s="148" t="str">
        <f>IFERROR(__xludf.DUMMYFUNCTION("""COMPUTED_VALUE"""),"{""op"":""and"",""args"":[{""op"":""ge"",""typ"":""arms_group"",""id"":11673502,""val"":1}]}")</f>
        <v>{"op":"and","args":[{"op":"ge","typ":"arms_group","id":11673502,"val":1}]}</v>
      </c>
      <c r="W105" s="148" t="str">
        <f>IFERROR(__xludf.DUMMYFUNCTION("""COMPUTED_VALUE"""),"[]")</f>
        <v>[]</v>
      </c>
      <c r="X105" s="148" t="str">
        <f>IFERROR(__xludf.DUMMYFUNCTION("""COMPUTED_VALUE"""),"[{""typ"":""power"",""id"":12141002,""val"":20}]")</f>
        <v>[{"typ":"power","id":12141002,"val":20}]</v>
      </c>
      <c r="Y105" s="148" t="str">
        <f>IFERROR(__xludf.DUMMYFUNCTION("""COMPUTED_VALUE"""),"[{""typ"":""atk"",""val"":293},{""typ"":""def"",""val"":258},{""typ"":""hp"",""val"":246},{""typ"":""speed"",""val"":31},{""typ"":""load"",""val"":16},{""typ"":""backcoef"",""val"":0.5},{""typ"":""atkcoef"",""val"":1.0},{""typ"":""atkcd"",""val"":0}]")</f>
        <v>[{"typ":"atk","val":293},{"typ":"def","val":258},{"typ":"hp","val":246},{"typ":"speed","val":31},{"typ":"load","val":16},{"typ":"backcoef","val":0.5},{"typ":"atkcoef","val":1.0},{"typ":"atkcd","val":0}]</v>
      </c>
      <c r="Z105" s="148" t="str">
        <f>IFERROR(__xludf.DUMMYFUNCTION("""COMPUTED_VALUE"""),"[]")</f>
        <v>[]</v>
      </c>
    </row>
    <row r="106">
      <c r="A106" s="148">
        <f>IFERROR(__xludf.DUMMYFUNCTION("""COMPUTED_VALUE"""),1.1211232E7)</f>
        <v>11211232</v>
      </c>
      <c r="B106" s="148" t="str">
        <f>IFERROR(__xludf.DUMMYFUNCTION("""COMPUTED_VALUE"""),"弓兵-lv6-2-A")</f>
        <v>弓兵-lv6-2-A</v>
      </c>
      <c r="C106" s="148">
        <f>IFERROR(__xludf.DUMMYFUNCTION("""COMPUTED_VALUE"""),1.1221003E7)</f>
        <v>11221003</v>
      </c>
      <c r="D106" s="148">
        <f>IFERROR(__xludf.DUMMYFUNCTION("""COMPUTED_VALUE"""),1.5117139E7)</f>
        <v>15117139</v>
      </c>
      <c r="E106" s="148" t="str">
        <f>IFERROR(__xludf.DUMMYFUNCTION("""COMPUTED_VALUE"""),"{""typ"":""lc"",""txt"":""LC_SOLDIER_shooter_name_6""}")</f>
        <v>{"typ":"lc","txt":"LC_SOLDIER_shooter_name_6"}</v>
      </c>
      <c r="F106" s="148" t="str">
        <f>IFERROR(__xludf.DUMMYFUNCTION("""COMPUTED_VALUE"""),"{""typ"":""lc"",""txt"":""LC_SOLDIER_shooter_desc_6""}")</f>
        <v>{"typ":"lc","txt":"LC_SOLDIER_shooter_desc_6"}</v>
      </c>
      <c r="G106" s="148">
        <f>IFERROR(__xludf.DUMMYFUNCTION("""COMPUTED_VALUE"""),25.0)</f>
        <v>25</v>
      </c>
      <c r="H106" s="148">
        <f>IFERROR(__xludf.DUMMYFUNCTION("""COMPUTED_VALUE"""),22.0)</f>
        <v>22</v>
      </c>
      <c r="I106" s="148">
        <f>IFERROR(__xludf.DUMMYFUNCTION("""COMPUTED_VALUE"""),10001.0)</f>
        <v>10001</v>
      </c>
      <c r="J106" s="148">
        <f>IFERROR(__xludf.DUMMYFUNCTION("""COMPUTED_VALUE"""),11.0)</f>
        <v>11</v>
      </c>
      <c r="K106" s="148">
        <f>IFERROR(__xludf.DUMMYFUNCTION("""COMPUTED_VALUE"""),6.0)</f>
        <v>6</v>
      </c>
      <c r="L106" s="148">
        <f>IFERROR(__xludf.DUMMYFUNCTION("""COMPUTED_VALUE"""),6.0)</f>
        <v>6</v>
      </c>
      <c r="M106" s="148">
        <f>IFERROR(__xludf.DUMMYFUNCTION("""COMPUTED_VALUE"""),360000.0)</f>
        <v>360000</v>
      </c>
      <c r="N106" s="148" t="str">
        <f>IFERROR(__xludf.DUMMYFUNCTION("""COMPUTED_VALUE"""),"[{""typ"":""rss"",""id"":11141001,""val"":2240},{""typ"":""rss"",""id"":11141003,""val"":960},{""typ"":""rss"",""id"":11141041,""val"":80}]")</f>
        <v>[{"typ":"rss","id":11141001,"val":2240},{"typ":"rss","id":11141003,"val":960},{"typ":"rss","id":11141041,"val":80}]</v>
      </c>
      <c r="O106" s="148" t="str">
        <f>IFERROR(__xludf.DUMMYFUNCTION("""COMPUTED_VALUE"""),"{""op"":""and"",""args"":[{""op"":""ge"",""typ"":""arms_group"",""id"":11673503,""val"":1}]}")</f>
        <v>{"op":"and","args":[{"op":"ge","typ":"arms_group","id":11673503,"val":1}]}</v>
      </c>
      <c r="P106" s="148">
        <f>IFERROR(__xludf.DUMMYFUNCTION("""COMPUTED_VALUE"""),12000.0)</f>
        <v>12000</v>
      </c>
      <c r="Q106" s="148" t="str">
        <f>IFERROR(__xludf.DUMMYFUNCTION("""COMPUTED_VALUE"""),"[{""typ"":""rss"",""id"":11141001,""val"":896},{""typ"":""rss"",""id"":11141003,""val"":384},{""typ"":""rss"",""id"":11141041,""val"":16}]")</f>
        <v>[{"typ":"rss","id":11141001,"val":896},{"typ":"rss","id":11141003,"val":384},{"typ":"rss","id":11141041,"val":16}]</v>
      </c>
      <c r="R106" s="148" t="str">
        <f>IFERROR(__xludf.DUMMYFUNCTION("""COMPUTED_VALUE"""),"{}")</f>
        <v>{}</v>
      </c>
      <c r="S106" s="148">
        <f>IFERROR(__xludf.DUMMYFUNCTION("""COMPUTED_VALUE"""),180000.0)</f>
        <v>180000</v>
      </c>
      <c r="T106" s="148" t="str">
        <f>IFERROR(__xludf.DUMMYFUNCTION("""COMPUTED_VALUE"""),"[{""typ"":""rss"",""id"":11141001,""val"":840},{""typ"":""rss"",""id"":11141003,""val"":360},{""typ"":""rss"",""id"":11141041,""val"":80}]")</f>
        <v>[{"typ":"rss","id":11141001,"val":840},{"typ":"rss","id":11141003,"val":360},{"typ":"rss","id":11141041,"val":80}]</v>
      </c>
      <c r="U106" s="148">
        <f>IFERROR(__xludf.DUMMYFUNCTION("""COMPUTED_VALUE"""),0.0)</f>
        <v>0</v>
      </c>
      <c r="V106" s="148" t="str">
        <f>IFERROR(__xludf.DUMMYFUNCTION("""COMPUTED_VALUE"""),"{""op"":""and"",""args"":[{""op"":""ge"",""typ"":""arms_group"",""id"":11673503,""val"":1}]}")</f>
        <v>{"op":"and","args":[{"op":"ge","typ":"arms_group","id":11673503,"val":1}]}</v>
      </c>
      <c r="W106" s="148" t="str">
        <f>IFERROR(__xludf.DUMMYFUNCTION("""COMPUTED_VALUE"""),"[]")</f>
        <v>[]</v>
      </c>
      <c r="X106" s="148" t="str">
        <f>IFERROR(__xludf.DUMMYFUNCTION("""COMPUTED_VALUE"""),"[{""typ"":""power"",""id"":12141002,""val"":20}]")</f>
        <v>[{"typ":"power","id":12141002,"val":20}]</v>
      </c>
      <c r="Y106" s="148" t="str">
        <f>IFERROR(__xludf.DUMMYFUNCTION("""COMPUTED_VALUE"""),"[{""typ"":""atk"",""val"":296},{""typ"":""def"",""val"":261},{""typ"":""hp"",""val"":247},{""typ"":""speed"",""val"":31},{""typ"":""load"",""val"":16},{""typ"":""backcoef"",""val"":0.5},{""typ"":""atkcoef"",""val"":1.0},{""typ"":""atkcd"",""val"":0}]")</f>
        <v>[{"typ":"atk","val":296},{"typ":"def","val":261},{"typ":"hp","val":247},{"typ":"speed","val":31},{"typ":"load","val":16},{"typ":"backcoef","val":0.5},{"typ":"atkcoef","val":1.0},{"typ":"atkcd","val":0}]</v>
      </c>
      <c r="Z106" s="148" t="str">
        <f>IFERROR(__xludf.DUMMYFUNCTION("""COMPUTED_VALUE"""),"[]")</f>
        <v>[]</v>
      </c>
    </row>
    <row r="107">
      <c r="A107" s="148">
        <f>IFERROR(__xludf.DUMMYFUNCTION("""COMPUTED_VALUE"""),1.1211233E7)</f>
        <v>11211233</v>
      </c>
      <c r="B107" s="148" t="str">
        <f>IFERROR(__xludf.DUMMYFUNCTION("""COMPUTED_VALUE"""),"弓兵-lv6-3-A")</f>
        <v>弓兵-lv6-3-A</v>
      </c>
      <c r="C107" s="148">
        <f>IFERROR(__xludf.DUMMYFUNCTION("""COMPUTED_VALUE"""),1.1221003E7)</f>
        <v>11221003</v>
      </c>
      <c r="D107" s="148">
        <f>IFERROR(__xludf.DUMMYFUNCTION("""COMPUTED_VALUE"""),1.5117139E7)</f>
        <v>15117139</v>
      </c>
      <c r="E107" s="148" t="str">
        <f>IFERROR(__xludf.DUMMYFUNCTION("""COMPUTED_VALUE"""),"{""typ"":""lc"",""txt"":""LC_SOLDIER_shooter_name_6""}")</f>
        <v>{"typ":"lc","txt":"LC_SOLDIER_shooter_name_6"}</v>
      </c>
      <c r="F107" s="148" t="str">
        <f>IFERROR(__xludf.DUMMYFUNCTION("""COMPUTED_VALUE"""),"{""typ"":""lc"",""txt"":""LC_SOLDIER_shooter_desc_6""}")</f>
        <v>{"typ":"lc","txt":"LC_SOLDIER_shooter_desc_6"}</v>
      </c>
      <c r="G107" s="148">
        <f>IFERROR(__xludf.DUMMYFUNCTION("""COMPUTED_VALUE"""),25.0)</f>
        <v>25</v>
      </c>
      <c r="H107" s="148">
        <f>IFERROR(__xludf.DUMMYFUNCTION("""COMPUTED_VALUE"""),22.0)</f>
        <v>22</v>
      </c>
      <c r="I107" s="148">
        <f>IFERROR(__xludf.DUMMYFUNCTION("""COMPUTED_VALUE"""),10001.0)</f>
        <v>10001</v>
      </c>
      <c r="J107" s="148">
        <f>IFERROR(__xludf.DUMMYFUNCTION("""COMPUTED_VALUE"""),11.0)</f>
        <v>11</v>
      </c>
      <c r="K107" s="148">
        <f>IFERROR(__xludf.DUMMYFUNCTION("""COMPUTED_VALUE"""),6.0)</f>
        <v>6</v>
      </c>
      <c r="L107" s="148">
        <f>IFERROR(__xludf.DUMMYFUNCTION("""COMPUTED_VALUE"""),6.0)</f>
        <v>6</v>
      </c>
      <c r="M107" s="148">
        <f>IFERROR(__xludf.DUMMYFUNCTION("""COMPUTED_VALUE"""),360000.0)</f>
        <v>360000</v>
      </c>
      <c r="N107" s="148" t="str">
        <f>IFERROR(__xludf.DUMMYFUNCTION("""COMPUTED_VALUE"""),"[{""typ"":""rss"",""id"":11141001,""val"":2240},{""typ"":""rss"",""id"":11141003,""val"":960},{""typ"":""rss"",""id"":11141041,""val"":80}]")</f>
        <v>[{"typ":"rss","id":11141001,"val":2240},{"typ":"rss","id":11141003,"val":960},{"typ":"rss","id":11141041,"val":80}]</v>
      </c>
      <c r="O107" s="148" t="str">
        <f>IFERROR(__xludf.DUMMYFUNCTION("""COMPUTED_VALUE"""),"{""op"":""and"",""args"":[{""op"":""ge"",""typ"":""arms_group"",""id"":11673504,""val"":1}]}")</f>
        <v>{"op":"and","args":[{"op":"ge","typ":"arms_group","id":11673504,"val":1}]}</v>
      </c>
      <c r="P107" s="148">
        <f>IFERROR(__xludf.DUMMYFUNCTION("""COMPUTED_VALUE"""),12000.0)</f>
        <v>12000</v>
      </c>
      <c r="Q107" s="148" t="str">
        <f>IFERROR(__xludf.DUMMYFUNCTION("""COMPUTED_VALUE"""),"[{""typ"":""rss"",""id"":11141001,""val"":896},{""typ"":""rss"",""id"":11141003,""val"":384},{""typ"":""rss"",""id"":11141041,""val"":16}]")</f>
        <v>[{"typ":"rss","id":11141001,"val":896},{"typ":"rss","id":11141003,"val":384},{"typ":"rss","id":11141041,"val":16}]</v>
      </c>
      <c r="R107" s="148" t="str">
        <f>IFERROR(__xludf.DUMMYFUNCTION("""COMPUTED_VALUE"""),"{}")</f>
        <v>{}</v>
      </c>
      <c r="S107" s="148">
        <f>IFERROR(__xludf.DUMMYFUNCTION("""COMPUTED_VALUE"""),180000.0)</f>
        <v>180000</v>
      </c>
      <c r="T107" s="148" t="str">
        <f>IFERROR(__xludf.DUMMYFUNCTION("""COMPUTED_VALUE"""),"[{""typ"":""rss"",""id"":11141001,""val"":840},{""typ"":""rss"",""id"":11141003,""val"":360},{""typ"":""rss"",""id"":11141041,""val"":80}]")</f>
        <v>[{"typ":"rss","id":11141001,"val":840},{"typ":"rss","id":11141003,"val":360},{"typ":"rss","id":11141041,"val":80}]</v>
      </c>
      <c r="U107" s="148">
        <f>IFERROR(__xludf.DUMMYFUNCTION("""COMPUTED_VALUE"""),0.0)</f>
        <v>0</v>
      </c>
      <c r="V107" s="148" t="str">
        <f>IFERROR(__xludf.DUMMYFUNCTION("""COMPUTED_VALUE"""),"{""op"":""and"",""args"":[{""op"":""ge"",""typ"":""arms_group"",""id"":11673504,""val"":1}]}")</f>
        <v>{"op":"and","args":[{"op":"ge","typ":"arms_group","id":11673504,"val":1}]}</v>
      </c>
      <c r="W107" s="148" t="str">
        <f>IFERROR(__xludf.DUMMYFUNCTION("""COMPUTED_VALUE"""),"[]")</f>
        <v>[]</v>
      </c>
      <c r="X107" s="148" t="str">
        <f>IFERROR(__xludf.DUMMYFUNCTION("""COMPUTED_VALUE"""),"[{""typ"":""power"",""id"":12141002,""val"":20}]")</f>
        <v>[{"typ":"power","id":12141002,"val":20}]</v>
      </c>
      <c r="Y107" s="148" t="str">
        <f>IFERROR(__xludf.DUMMYFUNCTION("""COMPUTED_VALUE"""),"[{""typ"":""atk"",""val"":299},{""typ"":""def"",""val"":265},{""typ"":""hp"",""val"":249},{""typ"":""speed"",""val"":31},{""typ"":""load"",""val"":16},{""typ"":""backcoef"",""val"":0.5},{""typ"":""atkcoef"",""val"":1.0},{""typ"":""atkcd"",""val"":0}]")</f>
        <v>[{"typ":"atk","val":299},{"typ":"def","val":265},{"typ":"hp","val":249},{"typ":"speed","val":31},{"typ":"load","val":16},{"typ":"backcoef","val":0.5},{"typ":"atkcoef","val":1.0},{"typ":"atkcd","val":0}]</v>
      </c>
      <c r="Z107" s="148" t="str">
        <f>IFERROR(__xludf.DUMMYFUNCTION("""COMPUTED_VALUE"""),"[]")</f>
        <v>[]</v>
      </c>
    </row>
    <row r="108">
      <c r="A108" s="148">
        <f>IFERROR(__xludf.DUMMYFUNCTION("""COMPUTED_VALUE"""),1.1211234E7)</f>
        <v>11211234</v>
      </c>
      <c r="B108" s="148" t="str">
        <f>IFERROR(__xludf.DUMMYFUNCTION("""COMPUTED_VALUE"""),"弓兵-lv6-4-A")</f>
        <v>弓兵-lv6-4-A</v>
      </c>
      <c r="C108" s="148">
        <f>IFERROR(__xludf.DUMMYFUNCTION("""COMPUTED_VALUE"""),1.1221003E7)</f>
        <v>11221003</v>
      </c>
      <c r="D108" s="148">
        <f>IFERROR(__xludf.DUMMYFUNCTION("""COMPUTED_VALUE"""),1.5117139E7)</f>
        <v>15117139</v>
      </c>
      <c r="E108" s="148" t="str">
        <f>IFERROR(__xludf.DUMMYFUNCTION("""COMPUTED_VALUE"""),"{""typ"":""lc"",""txt"":""LC_SOLDIER_shooter_name_6""}")</f>
        <v>{"typ":"lc","txt":"LC_SOLDIER_shooter_name_6"}</v>
      </c>
      <c r="F108" s="148" t="str">
        <f>IFERROR(__xludf.DUMMYFUNCTION("""COMPUTED_VALUE"""),"{""typ"":""lc"",""txt"":""LC_SOLDIER_shooter_desc_6""}")</f>
        <v>{"typ":"lc","txt":"LC_SOLDIER_shooter_desc_6"}</v>
      </c>
      <c r="G108" s="148">
        <f>IFERROR(__xludf.DUMMYFUNCTION("""COMPUTED_VALUE"""),25.0)</f>
        <v>25</v>
      </c>
      <c r="H108" s="148">
        <f>IFERROR(__xludf.DUMMYFUNCTION("""COMPUTED_VALUE"""),22.0)</f>
        <v>22</v>
      </c>
      <c r="I108" s="148">
        <f>IFERROR(__xludf.DUMMYFUNCTION("""COMPUTED_VALUE"""),10001.0)</f>
        <v>10001</v>
      </c>
      <c r="J108" s="148">
        <f>IFERROR(__xludf.DUMMYFUNCTION("""COMPUTED_VALUE"""),11.0)</f>
        <v>11</v>
      </c>
      <c r="K108" s="148">
        <f>IFERROR(__xludf.DUMMYFUNCTION("""COMPUTED_VALUE"""),6.0)</f>
        <v>6</v>
      </c>
      <c r="L108" s="148">
        <f>IFERROR(__xludf.DUMMYFUNCTION("""COMPUTED_VALUE"""),6.0)</f>
        <v>6</v>
      </c>
      <c r="M108" s="148">
        <f>IFERROR(__xludf.DUMMYFUNCTION("""COMPUTED_VALUE"""),360000.0)</f>
        <v>360000</v>
      </c>
      <c r="N108" s="148" t="str">
        <f>IFERROR(__xludf.DUMMYFUNCTION("""COMPUTED_VALUE"""),"[{""typ"":""rss"",""id"":11141001,""val"":2240},{""typ"":""rss"",""id"":11141003,""val"":960},{""typ"":""rss"",""id"":11141041,""val"":80}]")</f>
        <v>[{"typ":"rss","id":11141001,"val":2240},{"typ":"rss","id":11141003,"val":960},{"typ":"rss","id":11141041,"val":80}]</v>
      </c>
      <c r="O108" s="148" t="str">
        <f>IFERROR(__xludf.DUMMYFUNCTION("""COMPUTED_VALUE"""),"{""op"":""and"",""args"":[{""op"":""ge"",""typ"":""arms_group"",""id"":11673505,""val"":1}]}")</f>
        <v>{"op":"and","args":[{"op":"ge","typ":"arms_group","id":11673505,"val":1}]}</v>
      </c>
      <c r="P108" s="148">
        <f>IFERROR(__xludf.DUMMYFUNCTION("""COMPUTED_VALUE"""),12000.0)</f>
        <v>12000</v>
      </c>
      <c r="Q108" s="148" t="str">
        <f>IFERROR(__xludf.DUMMYFUNCTION("""COMPUTED_VALUE"""),"[{""typ"":""rss"",""id"":11141001,""val"":896},{""typ"":""rss"",""id"":11141003,""val"":384},{""typ"":""rss"",""id"":11141041,""val"":16}]")</f>
        <v>[{"typ":"rss","id":11141001,"val":896},{"typ":"rss","id":11141003,"val":384},{"typ":"rss","id":11141041,"val":16}]</v>
      </c>
      <c r="R108" s="148" t="str">
        <f>IFERROR(__xludf.DUMMYFUNCTION("""COMPUTED_VALUE"""),"{}")</f>
        <v>{}</v>
      </c>
      <c r="S108" s="148">
        <f>IFERROR(__xludf.DUMMYFUNCTION("""COMPUTED_VALUE"""),180000.0)</f>
        <v>180000</v>
      </c>
      <c r="T108" s="148" t="str">
        <f>IFERROR(__xludf.DUMMYFUNCTION("""COMPUTED_VALUE"""),"[{""typ"":""rss"",""id"":11141001,""val"":840},{""typ"":""rss"",""id"":11141003,""val"":360},{""typ"":""rss"",""id"":11141041,""val"":80}]")</f>
        <v>[{"typ":"rss","id":11141001,"val":840},{"typ":"rss","id":11141003,"val":360},{"typ":"rss","id":11141041,"val":80}]</v>
      </c>
      <c r="U108" s="148">
        <f>IFERROR(__xludf.DUMMYFUNCTION("""COMPUTED_VALUE"""),0.0)</f>
        <v>0</v>
      </c>
      <c r="V108" s="148" t="str">
        <f>IFERROR(__xludf.DUMMYFUNCTION("""COMPUTED_VALUE"""),"{""op"":""and"",""args"":[{""op"":""ge"",""typ"":""arms_group"",""id"":11673505,""val"":1}]}")</f>
        <v>{"op":"and","args":[{"op":"ge","typ":"arms_group","id":11673505,"val":1}]}</v>
      </c>
      <c r="W108" s="148" t="str">
        <f>IFERROR(__xludf.DUMMYFUNCTION("""COMPUTED_VALUE"""),"[]")</f>
        <v>[]</v>
      </c>
      <c r="X108" s="148" t="str">
        <f>IFERROR(__xludf.DUMMYFUNCTION("""COMPUTED_VALUE"""),"[{""typ"":""power"",""id"":12141002,""val"":20}]")</f>
        <v>[{"typ":"power","id":12141002,"val":20}]</v>
      </c>
      <c r="Y108" s="148" t="str">
        <f>IFERROR(__xludf.DUMMYFUNCTION("""COMPUTED_VALUE"""),"[{""typ"":""atk"",""val"":303},{""typ"":""def"",""val"":269},{""typ"":""hp"",""val"":251},{""typ"":""speed"",""val"":31},{""typ"":""load"",""val"":16},{""typ"":""backcoef"",""val"":0.5},{""typ"":""atkcoef"",""val"":1.0},{""typ"":""atkcd"",""val"":0}]")</f>
        <v>[{"typ":"atk","val":303},{"typ":"def","val":269},{"typ":"hp","val":251},{"typ":"speed","val":31},{"typ":"load","val":16},{"typ":"backcoef","val":0.5},{"typ":"atkcoef","val":1.0},{"typ":"atkcd","val":0}]</v>
      </c>
      <c r="Z108" s="148" t="str">
        <f>IFERROR(__xludf.DUMMYFUNCTION("""COMPUTED_VALUE"""),"[]")</f>
        <v>[]</v>
      </c>
    </row>
    <row r="109">
      <c r="A109" s="148">
        <f>IFERROR(__xludf.DUMMYFUNCTION("""COMPUTED_VALUE"""),1.1211235E7)</f>
        <v>11211235</v>
      </c>
      <c r="B109" s="148" t="str">
        <f>IFERROR(__xludf.DUMMYFUNCTION("""COMPUTED_VALUE"""),"弓兵-lv6-5-A")</f>
        <v>弓兵-lv6-5-A</v>
      </c>
      <c r="C109" s="148">
        <f>IFERROR(__xludf.DUMMYFUNCTION("""COMPUTED_VALUE"""),1.1221003E7)</f>
        <v>11221003</v>
      </c>
      <c r="D109" s="148">
        <f>IFERROR(__xludf.DUMMYFUNCTION("""COMPUTED_VALUE"""),1.5117139E7)</f>
        <v>15117139</v>
      </c>
      <c r="E109" s="148" t="str">
        <f>IFERROR(__xludf.DUMMYFUNCTION("""COMPUTED_VALUE"""),"{""typ"":""lc"",""txt"":""LC_SOLDIER_shooter_name_6""}")</f>
        <v>{"typ":"lc","txt":"LC_SOLDIER_shooter_name_6"}</v>
      </c>
      <c r="F109" s="148" t="str">
        <f>IFERROR(__xludf.DUMMYFUNCTION("""COMPUTED_VALUE"""),"{""typ"":""lc"",""txt"":""LC_SOLDIER_shooter_desc_6""}")</f>
        <v>{"typ":"lc","txt":"LC_SOLDIER_shooter_desc_6"}</v>
      </c>
      <c r="G109" s="148">
        <f>IFERROR(__xludf.DUMMYFUNCTION("""COMPUTED_VALUE"""),25.0)</f>
        <v>25</v>
      </c>
      <c r="H109" s="148">
        <f>IFERROR(__xludf.DUMMYFUNCTION("""COMPUTED_VALUE"""),22.0)</f>
        <v>22</v>
      </c>
      <c r="I109" s="148">
        <f>IFERROR(__xludf.DUMMYFUNCTION("""COMPUTED_VALUE"""),10001.0)</f>
        <v>10001</v>
      </c>
      <c r="J109" s="148">
        <f>IFERROR(__xludf.DUMMYFUNCTION("""COMPUTED_VALUE"""),11.0)</f>
        <v>11</v>
      </c>
      <c r="K109" s="148">
        <f>IFERROR(__xludf.DUMMYFUNCTION("""COMPUTED_VALUE"""),6.0)</f>
        <v>6</v>
      </c>
      <c r="L109" s="148">
        <f>IFERROR(__xludf.DUMMYFUNCTION("""COMPUTED_VALUE"""),6.0)</f>
        <v>6</v>
      </c>
      <c r="M109" s="148">
        <f>IFERROR(__xludf.DUMMYFUNCTION("""COMPUTED_VALUE"""),360000.0)</f>
        <v>360000</v>
      </c>
      <c r="N109" s="148" t="str">
        <f>IFERROR(__xludf.DUMMYFUNCTION("""COMPUTED_VALUE"""),"[{""typ"":""rss"",""id"":11141001,""val"":2240},{""typ"":""rss"",""id"":11141003,""val"":960},{""typ"":""rss"",""id"":11141041,""val"":80}]")</f>
        <v>[{"typ":"rss","id":11141001,"val":2240},{"typ":"rss","id":11141003,"val":960},{"typ":"rss","id":11141041,"val":80}]</v>
      </c>
      <c r="O109" s="148" t="str">
        <f>IFERROR(__xludf.DUMMYFUNCTION("""COMPUTED_VALUE"""),"{""op"":""and"",""args"":[{""op"":""ge"",""typ"":""arms_group"",""id"":11673506,""val"":1}]}")</f>
        <v>{"op":"and","args":[{"op":"ge","typ":"arms_group","id":11673506,"val":1}]}</v>
      </c>
      <c r="P109" s="148">
        <f>IFERROR(__xludf.DUMMYFUNCTION("""COMPUTED_VALUE"""),12000.0)</f>
        <v>12000</v>
      </c>
      <c r="Q109" s="148" t="str">
        <f>IFERROR(__xludf.DUMMYFUNCTION("""COMPUTED_VALUE"""),"[{""typ"":""rss"",""id"":11141001,""val"":896},{""typ"":""rss"",""id"":11141003,""val"":384},{""typ"":""rss"",""id"":11141041,""val"":16}]")</f>
        <v>[{"typ":"rss","id":11141001,"val":896},{"typ":"rss","id":11141003,"val":384},{"typ":"rss","id":11141041,"val":16}]</v>
      </c>
      <c r="R109" s="148" t="str">
        <f>IFERROR(__xludf.DUMMYFUNCTION("""COMPUTED_VALUE"""),"{}")</f>
        <v>{}</v>
      </c>
      <c r="S109" s="148">
        <f>IFERROR(__xludf.DUMMYFUNCTION("""COMPUTED_VALUE"""),180000.0)</f>
        <v>180000</v>
      </c>
      <c r="T109" s="148" t="str">
        <f>IFERROR(__xludf.DUMMYFUNCTION("""COMPUTED_VALUE"""),"[{""typ"":""rss"",""id"":11141001,""val"":840},{""typ"":""rss"",""id"":11141003,""val"":360},{""typ"":""rss"",""id"":11141041,""val"":80}]")</f>
        <v>[{"typ":"rss","id":11141001,"val":840},{"typ":"rss","id":11141003,"val":360},{"typ":"rss","id":11141041,"val":80}]</v>
      </c>
      <c r="U109" s="148">
        <f>IFERROR(__xludf.DUMMYFUNCTION("""COMPUTED_VALUE"""),0.0)</f>
        <v>0</v>
      </c>
      <c r="V109" s="148" t="str">
        <f>IFERROR(__xludf.DUMMYFUNCTION("""COMPUTED_VALUE"""),"{""op"":""and"",""args"":[{""op"":""ge"",""typ"":""arms_group"",""id"":11673506,""val"":1}]}")</f>
        <v>{"op":"and","args":[{"op":"ge","typ":"arms_group","id":11673506,"val":1}]}</v>
      </c>
      <c r="W109" s="148" t="str">
        <f>IFERROR(__xludf.DUMMYFUNCTION("""COMPUTED_VALUE"""),"[]")</f>
        <v>[]</v>
      </c>
      <c r="X109" s="148" t="str">
        <f>IFERROR(__xludf.DUMMYFUNCTION("""COMPUTED_VALUE"""),"[{""typ"":""power"",""id"":12141002,""val"":20}]")</f>
        <v>[{"typ":"power","id":12141002,"val":20}]</v>
      </c>
      <c r="Y109" s="148" t="str">
        <f>IFERROR(__xludf.DUMMYFUNCTION("""COMPUTED_VALUE"""),"[{""typ"":""atk"",""val"":307},{""typ"":""def"",""val"":274},{""typ"":""hp"",""val"":253},{""typ"":""speed"",""val"":31},{""typ"":""load"",""val"":16},{""typ"":""backcoef"",""val"":0.5},{""typ"":""atkcoef"",""val"":1.0},{""typ"":""atkcd"",""val"":0}]")</f>
        <v>[{"typ":"atk","val":307},{"typ":"def","val":274},{"typ":"hp","val":253},{"typ":"speed","val":31},{"typ":"load","val":16},{"typ":"backcoef","val":0.5},{"typ":"atkcoef","val":1.0},{"typ":"atkcd","val":0}]</v>
      </c>
      <c r="Z109" s="148" t="str">
        <f>IFERROR(__xludf.DUMMYFUNCTION("""COMPUTED_VALUE"""),"[]")</f>
        <v>[]</v>
      </c>
    </row>
    <row r="110">
      <c r="A110" s="148">
        <f>IFERROR(__xludf.DUMMYFUNCTION("""COMPUTED_VALUE"""),1.1211236E7)</f>
        <v>11211236</v>
      </c>
      <c r="B110" s="148" t="str">
        <f>IFERROR(__xludf.DUMMYFUNCTION("""COMPUTED_VALUE"""),"弓兵-lv6-6-A")</f>
        <v>弓兵-lv6-6-A</v>
      </c>
      <c r="C110" s="148">
        <f>IFERROR(__xludf.DUMMYFUNCTION("""COMPUTED_VALUE"""),1.1221003E7)</f>
        <v>11221003</v>
      </c>
      <c r="D110" s="148">
        <f>IFERROR(__xludf.DUMMYFUNCTION("""COMPUTED_VALUE"""),1.5117139E7)</f>
        <v>15117139</v>
      </c>
      <c r="E110" s="148" t="str">
        <f>IFERROR(__xludf.DUMMYFUNCTION("""COMPUTED_VALUE"""),"{""typ"":""lc"",""txt"":""LC_SOLDIER_shooter_name_6""}")</f>
        <v>{"typ":"lc","txt":"LC_SOLDIER_shooter_name_6"}</v>
      </c>
      <c r="F110" s="148" t="str">
        <f>IFERROR(__xludf.DUMMYFUNCTION("""COMPUTED_VALUE"""),"{""typ"":""lc"",""txt"":""LC_SOLDIER_shooter_desc_6""}")</f>
        <v>{"typ":"lc","txt":"LC_SOLDIER_shooter_desc_6"}</v>
      </c>
      <c r="G110" s="148">
        <f>IFERROR(__xludf.DUMMYFUNCTION("""COMPUTED_VALUE"""),25.0)</f>
        <v>25</v>
      </c>
      <c r="H110" s="148">
        <f>IFERROR(__xludf.DUMMYFUNCTION("""COMPUTED_VALUE"""),22.0)</f>
        <v>22</v>
      </c>
      <c r="I110" s="148">
        <f>IFERROR(__xludf.DUMMYFUNCTION("""COMPUTED_VALUE"""),10001.0)</f>
        <v>10001</v>
      </c>
      <c r="J110" s="148">
        <f>IFERROR(__xludf.DUMMYFUNCTION("""COMPUTED_VALUE"""),11.0)</f>
        <v>11</v>
      </c>
      <c r="K110" s="148">
        <f>IFERROR(__xludf.DUMMYFUNCTION("""COMPUTED_VALUE"""),6.0)</f>
        <v>6</v>
      </c>
      <c r="L110" s="148">
        <f>IFERROR(__xludf.DUMMYFUNCTION("""COMPUTED_VALUE"""),6.0)</f>
        <v>6</v>
      </c>
      <c r="M110" s="148">
        <f>IFERROR(__xludf.DUMMYFUNCTION("""COMPUTED_VALUE"""),360000.0)</f>
        <v>360000</v>
      </c>
      <c r="N110" s="148" t="str">
        <f>IFERROR(__xludf.DUMMYFUNCTION("""COMPUTED_VALUE"""),"[{""typ"":""rss"",""id"":11141001,""val"":2240},{""typ"":""rss"",""id"":11141003,""val"":960},{""typ"":""rss"",""id"":11141041,""val"":80}]")</f>
        <v>[{"typ":"rss","id":11141001,"val":2240},{"typ":"rss","id":11141003,"val":960},{"typ":"rss","id":11141041,"val":80}]</v>
      </c>
      <c r="O110" s="148" t="str">
        <f>IFERROR(__xludf.DUMMYFUNCTION("""COMPUTED_VALUE"""),"{""op"":""and"",""args"":[{""op"":""ge"",""typ"":""arms_group"",""id"":11673507,""val"":1}]}")</f>
        <v>{"op":"and","args":[{"op":"ge","typ":"arms_group","id":11673507,"val":1}]}</v>
      </c>
      <c r="P110" s="148">
        <f>IFERROR(__xludf.DUMMYFUNCTION("""COMPUTED_VALUE"""),12000.0)</f>
        <v>12000</v>
      </c>
      <c r="Q110" s="148" t="str">
        <f>IFERROR(__xludf.DUMMYFUNCTION("""COMPUTED_VALUE"""),"[{""typ"":""rss"",""id"":11141001,""val"":896},{""typ"":""rss"",""id"":11141003,""val"":384},{""typ"":""rss"",""id"":11141041,""val"":16}]")</f>
        <v>[{"typ":"rss","id":11141001,"val":896},{"typ":"rss","id":11141003,"val":384},{"typ":"rss","id":11141041,"val":16}]</v>
      </c>
      <c r="R110" s="148" t="str">
        <f>IFERROR(__xludf.DUMMYFUNCTION("""COMPUTED_VALUE"""),"{}")</f>
        <v>{}</v>
      </c>
      <c r="S110" s="148">
        <f>IFERROR(__xludf.DUMMYFUNCTION("""COMPUTED_VALUE"""),180000.0)</f>
        <v>180000</v>
      </c>
      <c r="T110" s="148" t="str">
        <f>IFERROR(__xludf.DUMMYFUNCTION("""COMPUTED_VALUE"""),"[{""typ"":""rss"",""id"":11141001,""val"":840},{""typ"":""rss"",""id"":11141003,""val"":360},{""typ"":""rss"",""id"":11141041,""val"":80}]")</f>
        <v>[{"typ":"rss","id":11141001,"val":840},{"typ":"rss","id":11141003,"val":360},{"typ":"rss","id":11141041,"val":80}]</v>
      </c>
      <c r="U110" s="148">
        <f>IFERROR(__xludf.DUMMYFUNCTION("""COMPUTED_VALUE"""),0.0)</f>
        <v>0</v>
      </c>
      <c r="V110" s="148" t="str">
        <f>IFERROR(__xludf.DUMMYFUNCTION("""COMPUTED_VALUE"""),"{""op"":""and"",""args"":[{""op"":""ge"",""typ"":""arms_group"",""id"":11673507,""val"":1}]}")</f>
        <v>{"op":"and","args":[{"op":"ge","typ":"arms_group","id":11673507,"val":1}]}</v>
      </c>
      <c r="W110" s="148" t="str">
        <f>IFERROR(__xludf.DUMMYFUNCTION("""COMPUTED_VALUE"""),"[]")</f>
        <v>[]</v>
      </c>
      <c r="X110" s="148" t="str">
        <f>IFERROR(__xludf.DUMMYFUNCTION("""COMPUTED_VALUE"""),"[{""typ"":""power"",""id"":12141002,""val"":20}]")</f>
        <v>[{"typ":"power","id":12141002,"val":20}]</v>
      </c>
      <c r="Y110" s="148" t="str">
        <f>IFERROR(__xludf.DUMMYFUNCTION("""COMPUTED_VALUE"""),"[{""typ"":""atk"",""val"":312},{""typ"":""def"",""val"":279},{""typ"":""hp"",""val"":255},{""typ"":""speed"",""val"":31},{""typ"":""load"",""val"":16},{""typ"":""backcoef"",""val"":0.5},{""typ"":""atkcoef"",""val"":1.0},{""typ"":""atkcd"",""val"":0}]")</f>
        <v>[{"typ":"atk","val":312},{"typ":"def","val":279},{"typ":"hp","val":255},{"typ":"speed","val":31},{"typ":"load","val":16},{"typ":"backcoef","val":0.5},{"typ":"atkcoef","val":1.0},{"typ":"atkcd","val":0}]</v>
      </c>
      <c r="Z110" s="148" t="str">
        <f>IFERROR(__xludf.DUMMYFUNCTION("""COMPUTED_VALUE"""),"[]")</f>
        <v>[]</v>
      </c>
    </row>
    <row r="111">
      <c r="A111" s="148">
        <f>IFERROR(__xludf.DUMMYFUNCTION("""COMPUTED_VALUE"""),1.1211237E7)</f>
        <v>11211237</v>
      </c>
      <c r="B111" s="148" t="str">
        <f>IFERROR(__xludf.DUMMYFUNCTION("""COMPUTED_VALUE"""),"弓兵-lv6-1-B")</f>
        <v>弓兵-lv6-1-B</v>
      </c>
      <c r="C111" s="148">
        <f>IFERROR(__xludf.DUMMYFUNCTION("""COMPUTED_VALUE"""),1.1221003E7)</f>
        <v>11221003</v>
      </c>
      <c r="D111" s="148">
        <f>IFERROR(__xludf.DUMMYFUNCTION("""COMPUTED_VALUE"""),1.5117139E7)</f>
        <v>15117139</v>
      </c>
      <c r="E111" s="148" t="str">
        <f>IFERROR(__xludf.DUMMYFUNCTION("""COMPUTED_VALUE"""),"{""typ"":""lc"",""txt"":""LC_SOLDIER_shooter_name_6""}")</f>
        <v>{"typ":"lc","txt":"LC_SOLDIER_shooter_name_6"}</v>
      </c>
      <c r="F111" s="148" t="str">
        <f>IFERROR(__xludf.DUMMYFUNCTION("""COMPUTED_VALUE"""),"{""typ"":""lc"",""txt"":""LC_SOLDIER_shooter_desc_6""}")</f>
        <v>{"typ":"lc","txt":"LC_SOLDIER_shooter_desc_6"}</v>
      </c>
      <c r="G111" s="148">
        <f>IFERROR(__xludf.DUMMYFUNCTION("""COMPUTED_VALUE"""),25.0)</f>
        <v>25</v>
      </c>
      <c r="H111" s="148">
        <f>IFERROR(__xludf.DUMMYFUNCTION("""COMPUTED_VALUE"""),22.0)</f>
        <v>22</v>
      </c>
      <c r="I111" s="148">
        <f>IFERROR(__xludf.DUMMYFUNCTION("""COMPUTED_VALUE"""),10001.0)</f>
        <v>10001</v>
      </c>
      <c r="J111" s="148">
        <f>IFERROR(__xludf.DUMMYFUNCTION("""COMPUTED_VALUE"""),11.0)</f>
        <v>11</v>
      </c>
      <c r="K111" s="148">
        <f>IFERROR(__xludf.DUMMYFUNCTION("""COMPUTED_VALUE"""),6.0)</f>
        <v>6</v>
      </c>
      <c r="L111" s="148">
        <f>IFERROR(__xludf.DUMMYFUNCTION("""COMPUTED_VALUE"""),6.0)</f>
        <v>6</v>
      </c>
      <c r="M111" s="148">
        <f>IFERROR(__xludf.DUMMYFUNCTION("""COMPUTED_VALUE"""),360000.0)</f>
        <v>360000</v>
      </c>
      <c r="N111" s="148" t="str">
        <f>IFERROR(__xludf.DUMMYFUNCTION("""COMPUTED_VALUE"""),"[{""typ"":""rss"",""id"":11141001,""val"":2240},{""typ"":""rss"",""id"":11141003,""val"":960},{""typ"":""rss"",""id"":11141041,""val"":80}]")</f>
        <v>[{"typ":"rss","id":11141001,"val":2240},{"typ":"rss","id":11141003,"val":960},{"typ":"rss","id":11141041,"val":80}]</v>
      </c>
      <c r="O111" s="148" t="str">
        <f>IFERROR(__xludf.DUMMYFUNCTION("""COMPUTED_VALUE"""),"{""op"":""and"",""args"":[{""op"":""ge"",""typ"":""arms_group"",""id"":11673601,""val"":1}]}")</f>
        <v>{"op":"and","args":[{"op":"ge","typ":"arms_group","id":11673601,"val":1}]}</v>
      </c>
      <c r="P111" s="148">
        <f>IFERROR(__xludf.DUMMYFUNCTION("""COMPUTED_VALUE"""),12000.0)</f>
        <v>12000</v>
      </c>
      <c r="Q111" s="148" t="str">
        <f>IFERROR(__xludf.DUMMYFUNCTION("""COMPUTED_VALUE"""),"[{""typ"":""rss"",""id"":11141001,""val"":896},{""typ"":""rss"",""id"":11141003,""val"":384},{""typ"":""rss"",""id"":11141041,""val"":16}]")</f>
        <v>[{"typ":"rss","id":11141001,"val":896},{"typ":"rss","id":11141003,"val":384},{"typ":"rss","id":11141041,"val":16}]</v>
      </c>
      <c r="R111" s="148" t="str">
        <f>IFERROR(__xludf.DUMMYFUNCTION("""COMPUTED_VALUE"""),"{}")</f>
        <v>{}</v>
      </c>
      <c r="S111" s="148">
        <f>IFERROR(__xludf.DUMMYFUNCTION("""COMPUTED_VALUE"""),180000.0)</f>
        <v>180000</v>
      </c>
      <c r="T111" s="148" t="str">
        <f>IFERROR(__xludf.DUMMYFUNCTION("""COMPUTED_VALUE"""),"[{""typ"":""rss"",""id"":11141001,""val"":840},{""typ"":""rss"",""id"":11141003,""val"":360},{""typ"":""rss"",""id"":11141041,""val"":80}]")</f>
        <v>[{"typ":"rss","id":11141001,"val":840},{"typ":"rss","id":11141003,"val":360},{"typ":"rss","id":11141041,"val":80}]</v>
      </c>
      <c r="U111" s="148">
        <f>IFERROR(__xludf.DUMMYFUNCTION("""COMPUTED_VALUE"""),0.0)</f>
        <v>0</v>
      </c>
      <c r="V111" s="148" t="str">
        <f>IFERROR(__xludf.DUMMYFUNCTION("""COMPUTED_VALUE"""),"{""op"":""and"",""args"":[{""op"":""ge"",""typ"":""arms_group"",""id"":11673601,""val"":1}]}")</f>
        <v>{"op":"and","args":[{"op":"ge","typ":"arms_group","id":11673601,"val":1}]}</v>
      </c>
      <c r="W111" s="148" t="str">
        <f>IFERROR(__xludf.DUMMYFUNCTION("""COMPUTED_VALUE"""),"[]")</f>
        <v>[]</v>
      </c>
      <c r="X111" s="148" t="str">
        <f>IFERROR(__xludf.DUMMYFUNCTION("""COMPUTED_VALUE"""),"[{""typ"":""power"",""id"":12141002,""val"":20}]")</f>
        <v>[{"typ":"power","id":12141002,"val":20}]</v>
      </c>
      <c r="Y111" s="148" t="str">
        <f>IFERROR(__xludf.DUMMYFUNCTION("""COMPUTED_VALUE"""),"[{""typ"":""atk"",""val"":295},{""typ"":""def"",""val"":259},{""typ"":""hp"",""val"":246},{""typ"":""speed"",""val"":31},{""typ"":""load"",""val"":16},{""typ"":""backcoef"",""val"":0.5},{""typ"":""atkcoef"",""val"":1.0},{""typ"":""atkcd"",""val"":0}]")</f>
        <v>[{"typ":"atk","val":295},{"typ":"def","val":259},{"typ":"hp","val":246},{"typ":"speed","val":31},{"typ":"load","val":16},{"typ":"backcoef","val":0.5},{"typ":"atkcoef","val":1.0},{"typ":"atkcd","val":0}]</v>
      </c>
      <c r="Z111" s="148" t="str">
        <f>IFERROR(__xludf.DUMMYFUNCTION("""COMPUTED_VALUE"""),"[]")</f>
        <v>[]</v>
      </c>
    </row>
    <row r="112">
      <c r="A112" s="148">
        <f>IFERROR(__xludf.DUMMYFUNCTION("""COMPUTED_VALUE"""),1.1211238E7)</f>
        <v>11211238</v>
      </c>
      <c r="B112" s="148" t="str">
        <f>IFERROR(__xludf.DUMMYFUNCTION("""COMPUTED_VALUE"""),"弓兵-lv6-2-B")</f>
        <v>弓兵-lv6-2-B</v>
      </c>
      <c r="C112" s="148">
        <f>IFERROR(__xludf.DUMMYFUNCTION("""COMPUTED_VALUE"""),1.1221003E7)</f>
        <v>11221003</v>
      </c>
      <c r="D112" s="148">
        <f>IFERROR(__xludf.DUMMYFUNCTION("""COMPUTED_VALUE"""),1.5117139E7)</f>
        <v>15117139</v>
      </c>
      <c r="E112" s="148" t="str">
        <f>IFERROR(__xludf.DUMMYFUNCTION("""COMPUTED_VALUE"""),"{""typ"":""lc"",""txt"":""LC_SOLDIER_shooter_name_6""}")</f>
        <v>{"typ":"lc","txt":"LC_SOLDIER_shooter_name_6"}</v>
      </c>
      <c r="F112" s="148" t="str">
        <f>IFERROR(__xludf.DUMMYFUNCTION("""COMPUTED_VALUE"""),"{""typ"":""lc"",""txt"":""LC_SOLDIER_shooter_desc_6""}")</f>
        <v>{"typ":"lc","txt":"LC_SOLDIER_shooter_desc_6"}</v>
      </c>
      <c r="G112" s="148">
        <f>IFERROR(__xludf.DUMMYFUNCTION("""COMPUTED_VALUE"""),25.0)</f>
        <v>25</v>
      </c>
      <c r="H112" s="148">
        <f>IFERROR(__xludf.DUMMYFUNCTION("""COMPUTED_VALUE"""),22.0)</f>
        <v>22</v>
      </c>
      <c r="I112" s="148">
        <f>IFERROR(__xludf.DUMMYFUNCTION("""COMPUTED_VALUE"""),10001.0)</f>
        <v>10001</v>
      </c>
      <c r="J112" s="148">
        <f>IFERROR(__xludf.DUMMYFUNCTION("""COMPUTED_VALUE"""),11.0)</f>
        <v>11</v>
      </c>
      <c r="K112" s="148">
        <f>IFERROR(__xludf.DUMMYFUNCTION("""COMPUTED_VALUE"""),6.0)</f>
        <v>6</v>
      </c>
      <c r="L112" s="148">
        <f>IFERROR(__xludf.DUMMYFUNCTION("""COMPUTED_VALUE"""),6.0)</f>
        <v>6</v>
      </c>
      <c r="M112" s="148">
        <f>IFERROR(__xludf.DUMMYFUNCTION("""COMPUTED_VALUE"""),360000.0)</f>
        <v>360000</v>
      </c>
      <c r="N112" s="148" t="str">
        <f>IFERROR(__xludf.DUMMYFUNCTION("""COMPUTED_VALUE"""),"[{""typ"":""rss"",""id"":11141001,""val"":2240},{""typ"":""rss"",""id"":11141003,""val"":960},{""typ"":""rss"",""id"":11141041,""val"":80}]")</f>
        <v>[{"typ":"rss","id":11141001,"val":2240},{"typ":"rss","id":11141003,"val":960},{"typ":"rss","id":11141041,"val":80}]</v>
      </c>
      <c r="O112" s="148" t="str">
        <f>IFERROR(__xludf.DUMMYFUNCTION("""COMPUTED_VALUE"""),"{""op"":""and"",""args"":[{""op"":""ge"",""typ"":""arms_group"",""id"":11673602,""val"":1}]}")</f>
        <v>{"op":"and","args":[{"op":"ge","typ":"arms_group","id":11673602,"val":1}]}</v>
      </c>
      <c r="P112" s="148">
        <f>IFERROR(__xludf.DUMMYFUNCTION("""COMPUTED_VALUE"""),12000.0)</f>
        <v>12000</v>
      </c>
      <c r="Q112" s="148" t="str">
        <f>IFERROR(__xludf.DUMMYFUNCTION("""COMPUTED_VALUE"""),"[{""typ"":""rss"",""id"":11141001,""val"":896},{""typ"":""rss"",""id"":11141003,""val"":384},{""typ"":""rss"",""id"":11141041,""val"":16}]")</f>
        <v>[{"typ":"rss","id":11141001,"val":896},{"typ":"rss","id":11141003,"val":384},{"typ":"rss","id":11141041,"val":16}]</v>
      </c>
      <c r="R112" s="148" t="str">
        <f>IFERROR(__xludf.DUMMYFUNCTION("""COMPUTED_VALUE"""),"{}")</f>
        <v>{}</v>
      </c>
      <c r="S112" s="148">
        <f>IFERROR(__xludf.DUMMYFUNCTION("""COMPUTED_VALUE"""),180000.0)</f>
        <v>180000</v>
      </c>
      <c r="T112" s="148" t="str">
        <f>IFERROR(__xludf.DUMMYFUNCTION("""COMPUTED_VALUE"""),"[{""typ"":""rss"",""id"":11141001,""val"":840},{""typ"":""rss"",""id"":11141003,""val"":360},{""typ"":""rss"",""id"":11141041,""val"":80}]")</f>
        <v>[{"typ":"rss","id":11141001,"val":840},{"typ":"rss","id":11141003,"val":360},{"typ":"rss","id":11141041,"val":80}]</v>
      </c>
      <c r="U112" s="148">
        <f>IFERROR(__xludf.DUMMYFUNCTION("""COMPUTED_VALUE"""),0.0)</f>
        <v>0</v>
      </c>
      <c r="V112" s="148" t="str">
        <f>IFERROR(__xludf.DUMMYFUNCTION("""COMPUTED_VALUE"""),"{""op"":""and"",""args"":[{""op"":""ge"",""typ"":""arms_group"",""id"":11673602,""val"":1}]}")</f>
        <v>{"op":"and","args":[{"op":"ge","typ":"arms_group","id":11673602,"val":1}]}</v>
      </c>
      <c r="W112" s="148" t="str">
        <f>IFERROR(__xludf.DUMMYFUNCTION("""COMPUTED_VALUE"""),"[]")</f>
        <v>[]</v>
      </c>
      <c r="X112" s="148" t="str">
        <f>IFERROR(__xludf.DUMMYFUNCTION("""COMPUTED_VALUE"""),"[{""typ"":""power"",""id"":12141002,""val"":20}]")</f>
        <v>[{"typ":"power","id":12141002,"val":20}]</v>
      </c>
      <c r="Y112" s="148" t="str">
        <f>IFERROR(__xludf.DUMMYFUNCTION("""COMPUTED_VALUE"""),"[{""typ"":""atk"",""val"":301},{""typ"":""def"",""val"":263},{""typ"":""hp"",""val"":248},{""typ"":""speed"",""val"":31},{""typ"":""load"",""val"":16},{""typ"":""backcoef"",""val"":0.5},{""typ"":""atkcoef"",""val"":1.0},{""typ"":""atkcd"",""val"":0}]")</f>
        <v>[{"typ":"atk","val":301},{"typ":"def","val":263},{"typ":"hp","val":248},{"typ":"speed","val":31},{"typ":"load","val":16},{"typ":"backcoef","val":0.5},{"typ":"atkcoef","val":1.0},{"typ":"atkcd","val":0}]</v>
      </c>
      <c r="Z112" s="148" t="str">
        <f>IFERROR(__xludf.DUMMYFUNCTION("""COMPUTED_VALUE"""),"[]")</f>
        <v>[]</v>
      </c>
    </row>
    <row r="113">
      <c r="A113" s="148">
        <f>IFERROR(__xludf.DUMMYFUNCTION("""COMPUTED_VALUE"""),1.1211239E7)</f>
        <v>11211239</v>
      </c>
      <c r="B113" s="148" t="str">
        <f>IFERROR(__xludf.DUMMYFUNCTION("""COMPUTED_VALUE"""),"弓兵-lv6-3-B")</f>
        <v>弓兵-lv6-3-B</v>
      </c>
      <c r="C113" s="148">
        <f>IFERROR(__xludf.DUMMYFUNCTION("""COMPUTED_VALUE"""),1.1221003E7)</f>
        <v>11221003</v>
      </c>
      <c r="D113" s="148">
        <f>IFERROR(__xludf.DUMMYFUNCTION("""COMPUTED_VALUE"""),1.5117139E7)</f>
        <v>15117139</v>
      </c>
      <c r="E113" s="148" t="str">
        <f>IFERROR(__xludf.DUMMYFUNCTION("""COMPUTED_VALUE"""),"{""typ"":""lc"",""txt"":""LC_SOLDIER_shooter_name_6""}")</f>
        <v>{"typ":"lc","txt":"LC_SOLDIER_shooter_name_6"}</v>
      </c>
      <c r="F113" s="148" t="str">
        <f>IFERROR(__xludf.DUMMYFUNCTION("""COMPUTED_VALUE"""),"{""typ"":""lc"",""txt"":""LC_SOLDIER_shooter_desc_6""}")</f>
        <v>{"typ":"lc","txt":"LC_SOLDIER_shooter_desc_6"}</v>
      </c>
      <c r="G113" s="148">
        <f>IFERROR(__xludf.DUMMYFUNCTION("""COMPUTED_VALUE"""),25.0)</f>
        <v>25</v>
      </c>
      <c r="H113" s="148">
        <f>IFERROR(__xludf.DUMMYFUNCTION("""COMPUTED_VALUE"""),22.0)</f>
        <v>22</v>
      </c>
      <c r="I113" s="148">
        <f>IFERROR(__xludf.DUMMYFUNCTION("""COMPUTED_VALUE"""),10001.0)</f>
        <v>10001</v>
      </c>
      <c r="J113" s="148">
        <f>IFERROR(__xludf.DUMMYFUNCTION("""COMPUTED_VALUE"""),11.0)</f>
        <v>11</v>
      </c>
      <c r="K113" s="148">
        <f>IFERROR(__xludf.DUMMYFUNCTION("""COMPUTED_VALUE"""),6.0)</f>
        <v>6</v>
      </c>
      <c r="L113" s="148">
        <f>IFERROR(__xludf.DUMMYFUNCTION("""COMPUTED_VALUE"""),6.0)</f>
        <v>6</v>
      </c>
      <c r="M113" s="148">
        <f>IFERROR(__xludf.DUMMYFUNCTION("""COMPUTED_VALUE"""),360000.0)</f>
        <v>360000</v>
      </c>
      <c r="N113" s="148" t="str">
        <f>IFERROR(__xludf.DUMMYFUNCTION("""COMPUTED_VALUE"""),"[{""typ"":""rss"",""id"":11141001,""val"":2240},{""typ"":""rss"",""id"":11141003,""val"":960},{""typ"":""rss"",""id"":11141041,""val"":80}]")</f>
        <v>[{"typ":"rss","id":11141001,"val":2240},{"typ":"rss","id":11141003,"val":960},{"typ":"rss","id":11141041,"val":80}]</v>
      </c>
      <c r="O113" s="148" t="str">
        <f>IFERROR(__xludf.DUMMYFUNCTION("""COMPUTED_VALUE"""),"{""op"":""and"",""args"":[{""op"":""ge"",""typ"":""arms_group"",""id"":11673603,""val"":1}]}")</f>
        <v>{"op":"and","args":[{"op":"ge","typ":"arms_group","id":11673603,"val":1}]}</v>
      </c>
      <c r="P113" s="148">
        <f>IFERROR(__xludf.DUMMYFUNCTION("""COMPUTED_VALUE"""),12000.0)</f>
        <v>12000</v>
      </c>
      <c r="Q113" s="148" t="str">
        <f>IFERROR(__xludf.DUMMYFUNCTION("""COMPUTED_VALUE"""),"[{""typ"":""rss"",""id"":11141001,""val"":896},{""typ"":""rss"",""id"":11141003,""val"":384},{""typ"":""rss"",""id"":11141041,""val"":16}]")</f>
        <v>[{"typ":"rss","id":11141001,"val":896},{"typ":"rss","id":11141003,"val":384},{"typ":"rss","id":11141041,"val":16}]</v>
      </c>
      <c r="R113" s="148" t="str">
        <f>IFERROR(__xludf.DUMMYFUNCTION("""COMPUTED_VALUE"""),"{}")</f>
        <v>{}</v>
      </c>
      <c r="S113" s="148">
        <f>IFERROR(__xludf.DUMMYFUNCTION("""COMPUTED_VALUE"""),180000.0)</f>
        <v>180000</v>
      </c>
      <c r="T113" s="148" t="str">
        <f>IFERROR(__xludf.DUMMYFUNCTION("""COMPUTED_VALUE"""),"[{""typ"":""rss"",""id"":11141001,""val"":840},{""typ"":""rss"",""id"":11141003,""val"":360},{""typ"":""rss"",""id"":11141041,""val"":80}]")</f>
        <v>[{"typ":"rss","id":11141001,"val":840},{"typ":"rss","id":11141003,"val":360},{"typ":"rss","id":11141041,"val":80}]</v>
      </c>
      <c r="U113" s="148">
        <f>IFERROR(__xludf.DUMMYFUNCTION("""COMPUTED_VALUE"""),0.0)</f>
        <v>0</v>
      </c>
      <c r="V113" s="148" t="str">
        <f>IFERROR(__xludf.DUMMYFUNCTION("""COMPUTED_VALUE"""),"{""op"":""and"",""args"":[{""op"":""ge"",""typ"":""arms_group"",""id"":11673603,""val"":1}]}")</f>
        <v>{"op":"and","args":[{"op":"ge","typ":"arms_group","id":11673603,"val":1}]}</v>
      </c>
      <c r="W113" s="148" t="str">
        <f>IFERROR(__xludf.DUMMYFUNCTION("""COMPUTED_VALUE"""),"[]")</f>
        <v>[]</v>
      </c>
      <c r="X113" s="148" t="str">
        <f>IFERROR(__xludf.DUMMYFUNCTION("""COMPUTED_VALUE"""),"[{""typ"":""power"",""id"":12141002,""val"":20}]")</f>
        <v>[{"typ":"power","id":12141002,"val":20}]</v>
      </c>
      <c r="Y113" s="148" t="str">
        <f>IFERROR(__xludf.DUMMYFUNCTION("""COMPUTED_VALUE"""),"[{""typ"":""atk"",""val"":308},{""typ"":""def"",""val"":268},{""typ"":""hp"",""val"":250},{""typ"":""speed"",""val"":31},{""typ"":""load"",""val"":16},{""typ"":""backcoef"",""val"":0.5},{""typ"":""atkcoef"",""val"":1.0},{""typ"":""atkcd"",""val"":0}]")</f>
        <v>[{"typ":"atk","val":308},{"typ":"def","val":268},{"typ":"hp","val":250},{"typ":"speed","val":31},{"typ":"load","val":16},{"typ":"backcoef","val":0.5},{"typ":"atkcoef","val":1.0},{"typ":"atkcd","val":0}]</v>
      </c>
      <c r="Z113" s="148" t="str">
        <f>IFERROR(__xludf.DUMMYFUNCTION("""COMPUTED_VALUE"""),"[]")</f>
        <v>[]</v>
      </c>
    </row>
    <row r="114">
      <c r="A114" s="148">
        <f>IFERROR(__xludf.DUMMYFUNCTION("""COMPUTED_VALUE"""),1.121124E7)</f>
        <v>11211240</v>
      </c>
      <c r="B114" s="148" t="str">
        <f>IFERROR(__xludf.DUMMYFUNCTION("""COMPUTED_VALUE"""),"弓兵-lv6-4-B")</f>
        <v>弓兵-lv6-4-B</v>
      </c>
      <c r="C114" s="148">
        <f>IFERROR(__xludf.DUMMYFUNCTION("""COMPUTED_VALUE"""),1.1221003E7)</f>
        <v>11221003</v>
      </c>
      <c r="D114" s="148">
        <f>IFERROR(__xludf.DUMMYFUNCTION("""COMPUTED_VALUE"""),1.5117139E7)</f>
        <v>15117139</v>
      </c>
      <c r="E114" s="148" t="str">
        <f>IFERROR(__xludf.DUMMYFUNCTION("""COMPUTED_VALUE"""),"{""typ"":""lc"",""txt"":""LC_SOLDIER_shooter_name_6""}")</f>
        <v>{"typ":"lc","txt":"LC_SOLDIER_shooter_name_6"}</v>
      </c>
      <c r="F114" s="148" t="str">
        <f>IFERROR(__xludf.DUMMYFUNCTION("""COMPUTED_VALUE"""),"{""typ"":""lc"",""txt"":""LC_SOLDIER_shooter_desc_6""}")</f>
        <v>{"typ":"lc","txt":"LC_SOLDIER_shooter_desc_6"}</v>
      </c>
      <c r="G114" s="148">
        <f>IFERROR(__xludf.DUMMYFUNCTION("""COMPUTED_VALUE"""),25.0)</f>
        <v>25</v>
      </c>
      <c r="H114" s="148">
        <f>IFERROR(__xludf.DUMMYFUNCTION("""COMPUTED_VALUE"""),22.0)</f>
        <v>22</v>
      </c>
      <c r="I114" s="148">
        <f>IFERROR(__xludf.DUMMYFUNCTION("""COMPUTED_VALUE"""),10001.0)</f>
        <v>10001</v>
      </c>
      <c r="J114" s="148">
        <f>IFERROR(__xludf.DUMMYFUNCTION("""COMPUTED_VALUE"""),11.0)</f>
        <v>11</v>
      </c>
      <c r="K114" s="148">
        <f>IFERROR(__xludf.DUMMYFUNCTION("""COMPUTED_VALUE"""),6.0)</f>
        <v>6</v>
      </c>
      <c r="L114" s="148">
        <f>IFERROR(__xludf.DUMMYFUNCTION("""COMPUTED_VALUE"""),6.0)</f>
        <v>6</v>
      </c>
      <c r="M114" s="148">
        <f>IFERROR(__xludf.DUMMYFUNCTION("""COMPUTED_VALUE"""),360000.0)</f>
        <v>360000</v>
      </c>
      <c r="N114" s="148" t="str">
        <f>IFERROR(__xludf.DUMMYFUNCTION("""COMPUTED_VALUE"""),"[{""typ"":""rss"",""id"":11141001,""val"":2240},{""typ"":""rss"",""id"":11141003,""val"":960},{""typ"":""rss"",""id"":11141041,""val"":80}]")</f>
        <v>[{"typ":"rss","id":11141001,"val":2240},{"typ":"rss","id":11141003,"val":960},{"typ":"rss","id":11141041,"val":80}]</v>
      </c>
      <c r="O114" s="148" t="str">
        <f>IFERROR(__xludf.DUMMYFUNCTION("""COMPUTED_VALUE"""),"{""op"":""and"",""args"":[{""op"":""ge"",""typ"":""arms_group"",""id"":11673604,""val"":1}]}")</f>
        <v>{"op":"and","args":[{"op":"ge","typ":"arms_group","id":11673604,"val":1}]}</v>
      </c>
      <c r="P114" s="148">
        <f>IFERROR(__xludf.DUMMYFUNCTION("""COMPUTED_VALUE"""),12000.0)</f>
        <v>12000</v>
      </c>
      <c r="Q114" s="148" t="str">
        <f>IFERROR(__xludf.DUMMYFUNCTION("""COMPUTED_VALUE"""),"[{""typ"":""rss"",""id"":11141001,""val"":896},{""typ"":""rss"",""id"":11141003,""val"":384},{""typ"":""rss"",""id"":11141041,""val"":16}]")</f>
        <v>[{"typ":"rss","id":11141001,"val":896},{"typ":"rss","id":11141003,"val":384},{"typ":"rss","id":11141041,"val":16}]</v>
      </c>
      <c r="R114" s="148" t="str">
        <f>IFERROR(__xludf.DUMMYFUNCTION("""COMPUTED_VALUE"""),"{}")</f>
        <v>{}</v>
      </c>
      <c r="S114" s="148">
        <f>IFERROR(__xludf.DUMMYFUNCTION("""COMPUTED_VALUE"""),180000.0)</f>
        <v>180000</v>
      </c>
      <c r="T114" s="148" t="str">
        <f>IFERROR(__xludf.DUMMYFUNCTION("""COMPUTED_VALUE"""),"[{""typ"":""rss"",""id"":11141001,""val"":840},{""typ"":""rss"",""id"":11141003,""val"":360},{""typ"":""rss"",""id"":11141041,""val"":80}]")</f>
        <v>[{"typ":"rss","id":11141001,"val":840},{"typ":"rss","id":11141003,"val":360},{"typ":"rss","id":11141041,"val":80}]</v>
      </c>
      <c r="U114" s="148">
        <f>IFERROR(__xludf.DUMMYFUNCTION("""COMPUTED_VALUE"""),0.0)</f>
        <v>0</v>
      </c>
      <c r="V114" s="148" t="str">
        <f>IFERROR(__xludf.DUMMYFUNCTION("""COMPUTED_VALUE"""),"{""op"":""and"",""args"":[{""op"":""ge"",""typ"":""arms_group"",""id"":11673604,""val"":1}]}")</f>
        <v>{"op":"and","args":[{"op":"ge","typ":"arms_group","id":11673604,"val":1}]}</v>
      </c>
      <c r="W114" s="148" t="str">
        <f>IFERROR(__xludf.DUMMYFUNCTION("""COMPUTED_VALUE"""),"[]")</f>
        <v>[]</v>
      </c>
      <c r="X114" s="148" t="str">
        <f>IFERROR(__xludf.DUMMYFUNCTION("""COMPUTED_VALUE"""),"[{""typ"":""power"",""id"":12141002,""val"":20}]")</f>
        <v>[{"typ":"power","id":12141002,"val":20}]</v>
      </c>
      <c r="Y114" s="148" t="str">
        <f>IFERROR(__xludf.DUMMYFUNCTION("""COMPUTED_VALUE"""),"[{""typ"":""atk"",""val"":316},{""typ"":""def"",""val"":274},{""typ"":""hp"",""val"":252},{""typ"":""speed"",""val"":31},{""typ"":""load"",""val"":16},{""typ"":""backcoef"",""val"":0.5},{""typ"":""atkcoef"",""val"":1.0},{""typ"":""atkcd"",""val"":0}]")</f>
        <v>[{"typ":"atk","val":316},{"typ":"def","val":274},{"typ":"hp","val":252},{"typ":"speed","val":31},{"typ":"load","val":16},{"typ":"backcoef","val":0.5},{"typ":"atkcoef","val":1.0},{"typ":"atkcd","val":0}]</v>
      </c>
      <c r="Z114" s="148" t="str">
        <f>IFERROR(__xludf.DUMMYFUNCTION("""COMPUTED_VALUE"""),"[]")</f>
        <v>[]</v>
      </c>
    </row>
    <row r="115">
      <c r="A115" s="148">
        <f>IFERROR(__xludf.DUMMYFUNCTION("""COMPUTED_VALUE"""),1.1211241E7)</f>
        <v>11211241</v>
      </c>
      <c r="B115" s="148" t="str">
        <f>IFERROR(__xludf.DUMMYFUNCTION("""COMPUTED_VALUE"""),"弓兵-lv6-5-B")</f>
        <v>弓兵-lv6-5-B</v>
      </c>
      <c r="C115" s="148">
        <f>IFERROR(__xludf.DUMMYFUNCTION("""COMPUTED_VALUE"""),1.1221003E7)</f>
        <v>11221003</v>
      </c>
      <c r="D115" s="148">
        <f>IFERROR(__xludf.DUMMYFUNCTION("""COMPUTED_VALUE"""),1.5117139E7)</f>
        <v>15117139</v>
      </c>
      <c r="E115" s="148" t="str">
        <f>IFERROR(__xludf.DUMMYFUNCTION("""COMPUTED_VALUE"""),"{""typ"":""lc"",""txt"":""LC_SOLDIER_shooter_name_6""}")</f>
        <v>{"typ":"lc","txt":"LC_SOLDIER_shooter_name_6"}</v>
      </c>
      <c r="F115" s="148" t="str">
        <f>IFERROR(__xludf.DUMMYFUNCTION("""COMPUTED_VALUE"""),"{""typ"":""lc"",""txt"":""LC_SOLDIER_shooter_desc_6""}")</f>
        <v>{"typ":"lc","txt":"LC_SOLDIER_shooter_desc_6"}</v>
      </c>
      <c r="G115" s="148">
        <f>IFERROR(__xludf.DUMMYFUNCTION("""COMPUTED_VALUE"""),25.0)</f>
        <v>25</v>
      </c>
      <c r="H115" s="148">
        <f>IFERROR(__xludf.DUMMYFUNCTION("""COMPUTED_VALUE"""),22.0)</f>
        <v>22</v>
      </c>
      <c r="I115" s="148">
        <f>IFERROR(__xludf.DUMMYFUNCTION("""COMPUTED_VALUE"""),10001.0)</f>
        <v>10001</v>
      </c>
      <c r="J115" s="148">
        <f>IFERROR(__xludf.DUMMYFUNCTION("""COMPUTED_VALUE"""),11.0)</f>
        <v>11</v>
      </c>
      <c r="K115" s="148">
        <f>IFERROR(__xludf.DUMMYFUNCTION("""COMPUTED_VALUE"""),6.0)</f>
        <v>6</v>
      </c>
      <c r="L115" s="148">
        <f>IFERROR(__xludf.DUMMYFUNCTION("""COMPUTED_VALUE"""),6.0)</f>
        <v>6</v>
      </c>
      <c r="M115" s="148">
        <f>IFERROR(__xludf.DUMMYFUNCTION("""COMPUTED_VALUE"""),360000.0)</f>
        <v>360000</v>
      </c>
      <c r="N115" s="148" t="str">
        <f>IFERROR(__xludf.DUMMYFUNCTION("""COMPUTED_VALUE"""),"[{""typ"":""rss"",""id"":11141001,""val"":2240},{""typ"":""rss"",""id"":11141003,""val"":960},{""typ"":""rss"",""id"":11141041,""val"":80}]")</f>
        <v>[{"typ":"rss","id":11141001,"val":2240},{"typ":"rss","id":11141003,"val":960},{"typ":"rss","id":11141041,"val":80}]</v>
      </c>
      <c r="O115" s="148" t="str">
        <f>IFERROR(__xludf.DUMMYFUNCTION("""COMPUTED_VALUE"""),"{""op"":""and"",""args"":[{""op"":""ge"",""typ"":""arms_group"",""id"":11673605,""val"":1}]}")</f>
        <v>{"op":"and","args":[{"op":"ge","typ":"arms_group","id":11673605,"val":1}]}</v>
      </c>
      <c r="P115" s="148">
        <f>IFERROR(__xludf.DUMMYFUNCTION("""COMPUTED_VALUE"""),12000.0)</f>
        <v>12000</v>
      </c>
      <c r="Q115" s="148" t="str">
        <f>IFERROR(__xludf.DUMMYFUNCTION("""COMPUTED_VALUE"""),"[{""typ"":""rss"",""id"":11141001,""val"":896},{""typ"":""rss"",""id"":11141003,""val"":384},{""typ"":""rss"",""id"":11141041,""val"":16}]")</f>
        <v>[{"typ":"rss","id":11141001,"val":896},{"typ":"rss","id":11141003,"val":384},{"typ":"rss","id":11141041,"val":16}]</v>
      </c>
      <c r="R115" s="148" t="str">
        <f>IFERROR(__xludf.DUMMYFUNCTION("""COMPUTED_VALUE"""),"{}")</f>
        <v>{}</v>
      </c>
      <c r="S115" s="148">
        <f>IFERROR(__xludf.DUMMYFUNCTION("""COMPUTED_VALUE"""),180000.0)</f>
        <v>180000</v>
      </c>
      <c r="T115" s="148" t="str">
        <f>IFERROR(__xludf.DUMMYFUNCTION("""COMPUTED_VALUE"""),"[{""typ"":""rss"",""id"":11141001,""val"":840},{""typ"":""rss"",""id"":11141003,""val"":360},{""typ"":""rss"",""id"":11141041,""val"":80}]")</f>
        <v>[{"typ":"rss","id":11141001,"val":840},{"typ":"rss","id":11141003,"val":360},{"typ":"rss","id":11141041,"val":80}]</v>
      </c>
      <c r="U115" s="148">
        <f>IFERROR(__xludf.DUMMYFUNCTION("""COMPUTED_VALUE"""),0.0)</f>
        <v>0</v>
      </c>
      <c r="V115" s="148" t="str">
        <f>IFERROR(__xludf.DUMMYFUNCTION("""COMPUTED_VALUE"""),"{""op"":""and"",""args"":[{""op"":""ge"",""typ"":""arms_group"",""id"":11673605,""val"":1}]}")</f>
        <v>{"op":"and","args":[{"op":"ge","typ":"arms_group","id":11673605,"val":1}]}</v>
      </c>
      <c r="W115" s="148" t="str">
        <f>IFERROR(__xludf.DUMMYFUNCTION("""COMPUTED_VALUE"""),"[]")</f>
        <v>[]</v>
      </c>
      <c r="X115" s="148" t="str">
        <f>IFERROR(__xludf.DUMMYFUNCTION("""COMPUTED_VALUE"""),"[{""typ"":""power"",""id"":12141002,""val"":20}]")</f>
        <v>[{"typ":"power","id":12141002,"val":20}]</v>
      </c>
      <c r="Y115" s="148" t="str">
        <f>IFERROR(__xludf.DUMMYFUNCTION("""COMPUTED_VALUE"""),"[{""typ"":""atk"",""val"":326},{""typ"":""def"",""val"":282},{""typ"":""hp"",""val"":255},{""typ"":""speed"",""val"":31},{""typ"":""load"",""val"":16},{""typ"":""backcoef"",""val"":0.5},{""typ"":""atkcoef"",""val"":1.0},{""typ"":""atkcd"",""val"":0}]")</f>
        <v>[{"typ":"atk","val":326},{"typ":"def","val":282},{"typ":"hp","val":255},{"typ":"speed","val":31},{"typ":"load","val":16},{"typ":"backcoef","val":0.5},{"typ":"atkcoef","val":1.0},{"typ":"atkcd","val":0}]</v>
      </c>
      <c r="Z115" s="148" t="str">
        <f>IFERROR(__xludf.DUMMYFUNCTION("""COMPUTED_VALUE"""),"[]")</f>
        <v>[]</v>
      </c>
    </row>
    <row r="116">
      <c r="A116" s="148">
        <f>IFERROR(__xludf.DUMMYFUNCTION("""COMPUTED_VALUE"""),1.1211242E7)</f>
        <v>11211242</v>
      </c>
      <c r="B116" s="148" t="str">
        <f>IFERROR(__xludf.DUMMYFUNCTION("""COMPUTED_VALUE"""),"弓兵-lv6-6-B")</f>
        <v>弓兵-lv6-6-B</v>
      </c>
      <c r="C116" s="148">
        <f>IFERROR(__xludf.DUMMYFUNCTION("""COMPUTED_VALUE"""),1.1221003E7)</f>
        <v>11221003</v>
      </c>
      <c r="D116" s="148">
        <f>IFERROR(__xludf.DUMMYFUNCTION("""COMPUTED_VALUE"""),1.5117139E7)</f>
        <v>15117139</v>
      </c>
      <c r="E116" s="148" t="str">
        <f>IFERROR(__xludf.DUMMYFUNCTION("""COMPUTED_VALUE"""),"{""typ"":""lc"",""txt"":""LC_SOLDIER_shooter_name_6""}")</f>
        <v>{"typ":"lc","txt":"LC_SOLDIER_shooter_name_6"}</v>
      </c>
      <c r="F116" s="148" t="str">
        <f>IFERROR(__xludf.DUMMYFUNCTION("""COMPUTED_VALUE"""),"{""typ"":""lc"",""txt"":""LC_SOLDIER_shooter_desc_6""}")</f>
        <v>{"typ":"lc","txt":"LC_SOLDIER_shooter_desc_6"}</v>
      </c>
      <c r="G116" s="148">
        <f>IFERROR(__xludf.DUMMYFUNCTION("""COMPUTED_VALUE"""),25.0)</f>
        <v>25</v>
      </c>
      <c r="H116" s="148">
        <f>IFERROR(__xludf.DUMMYFUNCTION("""COMPUTED_VALUE"""),22.0)</f>
        <v>22</v>
      </c>
      <c r="I116" s="148">
        <f>IFERROR(__xludf.DUMMYFUNCTION("""COMPUTED_VALUE"""),10001.0)</f>
        <v>10001</v>
      </c>
      <c r="J116" s="148">
        <f>IFERROR(__xludf.DUMMYFUNCTION("""COMPUTED_VALUE"""),11.0)</f>
        <v>11</v>
      </c>
      <c r="K116" s="148">
        <f>IFERROR(__xludf.DUMMYFUNCTION("""COMPUTED_VALUE"""),6.0)</f>
        <v>6</v>
      </c>
      <c r="L116" s="148">
        <f>IFERROR(__xludf.DUMMYFUNCTION("""COMPUTED_VALUE"""),6.0)</f>
        <v>6</v>
      </c>
      <c r="M116" s="148">
        <f>IFERROR(__xludf.DUMMYFUNCTION("""COMPUTED_VALUE"""),360000.0)</f>
        <v>360000</v>
      </c>
      <c r="N116" s="148" t="str">
        <f>IFERROR(__xludf.DUMMYFUNCTION("""COMPUTED_VALUE"""),"[{""typ"":""rss"",""id"":11141001,""val"":2240},{""typ"":""rss"",""id"":11141003,""val"":960},{""typ"":""rss"",""id"":11141041,""val"":80}]")</f>
        <v>[{"typ":"rss","id":11141001,"val":2240},{"typ":"rss","id":11141003,"val":960},{"typ":"rss","id":11141041,"val":80}]</v>
      </c>
      <c r="O116" s="148" t="str">
        <f>IFERROR(__xludf.DUMMYFUNCTION("""COMPUTED_VALUE"""),"{""op"":""and"",""args"":[{""op"":""ge"",""typ"":""arms_group"",""id"":11673606,""val"":1}]}")</f>
        <v>{"op":"and","args":[{"op":"ge","typ":"arms_group","id":11673606,"val":1}]}</v>
      </c>
      <c r="P116" s="148">
        <f>IFERROR(__xludf.DUMMYFUNCTION("""COMPUTED_VALUE"""),12000.0)</f>
        <v>12000</v>
      </c>
      <c r="Q116" s="148" t="str">
        <f>IFERROR(__xludf.DUMMYFUNCTION("""COMPUTED_VALUE"""),"[{""typ"":""rss"",""id"":11141001,""val"":896},{""typ"":""rss"",""id"":11141003,""val"":384},{""typ"":""rss"",""id"":11141041,""val"":16}]")</f>
        <v>[{"typ":"rss","id":11141001,"val":896},{"typ":"rss","id":11141003,"val":384},{"typ":"rss","id":11141041,"val":16}]</v>
      </c>
      <c r="R116" s="148" t="str">
        <f>IFERROR(__xludf.DUMMYFUNCTION("""COMPUTED_VALUE"""),"{}")</f>
        <v>{}</v>
      </c>
      <c r="S116" s="148">
        <f>IFERROR(__xludf.DUMMYFUNCTION("""COMPUTED_VALUE"""),180000.0)</f>
        <v>180000</v>
      </c>
      <c r="T116" s="148" t="str">
        <f>IFERROR(__xludf.DUMMYFUNCTION("""COMPUTED_VALUE"""),"[{""typ"":""rss"",""id"":11141001,""val"":840},{""typ"":""rss"",""id"":11141003,""val"":360},{""typ"":""rss"",""id"":11141041,""val"":80}]")</f>
        <v>[{"typ":"rss","id":11141001,"val":840},{"typ":"rss","id":11141003,"val":360},{"typ":"rss","id":11141041,"val":80}]</v>
      </c>
      <c r="U116" s="148">
        <f>IFERROR(__xludf.DUMMYFUNCTION("""COMPUTED_VALUE"""),0.0)</f>
        <v>0</v>
      </c>
      <c r="V116" s="148" t="str">
        <f>IFERROR(__xludf.DUMMYFUNCTION("""COMPUTED_VALUE"""),"{""op"":""and"",""args"":[{""op"":""ge"",""typ"":""arms_group"",""id"":11673606,""val"":1}]}")</f>
        <v>{"op":"and","args":[{"op":"ge","typ":"arms_group","id":11673606,"val":1}]}</v>
      </c>
      <c r="W116" s="148" t="str">
        <f>IFERROR(__xludf.DUMMYFUNCTION("""COMPUTED_VALUE"""),"[]")</f>
        <v>[]</v>
      </c>
      <c r="X116" s="148" t="str">
        <f>IFERROR(__xludf.DUMMYFUNCTION("""COMPUTED_VALUE"""),"[{""typ"":""power"",""id"":12141002,""val"":20}]")</f>
        <v>[{"typ":"power","id":12141002,"val":20}]</v>
      </c>
      <c r="Y116" s="148" t="str">
        <f>IFERROR(__xludf.DUMMYFUNCTION("""COMPUTED_VALUE"""),"[{""typ"":""atk"",""val"":339},{""typ"":""def"",""val"":291},{""typ"":""hp"",""val"":258},{""typ"":""speed"",""val"":31},{""typ"":""load"",""val"":16},{""typ"":""backcoef"",""val"":0.5},{""typ"":""atkcoef"",""val"":1.0},{""typ"":""atkcd"",""val"":0}]")</f>
        <v>[{"typ":"atk","val":339},{"typ":"def","val":291},{"typ":"hp","val":258},{"typ":"speed","val":31},{"typ":"load","val":16},{"typ":"backcoef","val":0.5},{"typ":"atkcoef","val":1.0},{"typ":"atkcd","val":0}]</v>
      </c>
      <c r="Z116" s="148" t="str">
        <f>IFERROR(__xludf.DUMMYFUNCTION("""COMPUTED_VALUE"""),"[]")</f>
        <v>[]</v>
      </c>
    </row>
    <row r="117">
      <c r="A117" s="148">
        <f>IFERROR(__xludf.DUMMYFUNCTION("""COMPUTED_VALUE"""),1.1211301E7)</f>
        <v>11211301</v>
      </c>
      <c r="B117" s="148" t="str">
        <f>IFERROR(__xludf.DUMMYFUNCTION("""COMPUTED_VALUE"""),"攻城车 lv1")</f>
        <v>攻城车 lv1</v>
      </c>
      <c r="C117" s="148">
        <f>IFERROR(__xludf.DUMMYFUNCTION("""COMPUTED_VALUE"""),1.1221004E7)</f>
        <v>11221004</v>
      </c>
      <c r="D117" s="148">
        <f>IFERROR(__xludf.DUMMYFUNCTION("""COMPUTED_VALUE"""),1.5110067E7)</f>
        <v>15110067</v>
      </c>
      <c r="E117" s="148" t="str">
        <f>IFERROR(__xludf.DUMMYFUNCTION("""COMPUTED_VALUE"""),"{""typ"":""lc"",""txt"":""LC_SOLDIER_wall_breaker_name_1""}")</f>
        <v>{"typ":"lc","txt":"LC_SOLDIER_wall_breaker_name_1"}</v>
      </c>
      <c r="F117" s="148" t="str">
        <f>IFERROR(__xludf.DUMMYFUNCTION("""COMPUTED_VALUE"""),"{""typ"":""lc"",""txt"":""LC_SOLDIER_wall_breaker_desc_1""}")</f>
        <v>{"typ":"lc","txt":"LC_SOLDIER_wall_breaker_desc_1"}</v>
      </c>
      <c r="G117" s="148">
        <f>IFERROR(__xludf.DUMMYFUNCTION("""COMPUTED_VALUE"""),1.0)</f>
        <v>1</v>
      </c>
      <c r="H117" s="148">
        <f>IFERROR(__xludf.DUMMYFUNCTION("""COMPUTED_VALUE"""),1.0)</f>
        <v>1</v>
      </c>
      <c r="I117" s="148">
        <f>IFERROR(__xludf.DUMMYFUNCTION("""COMPUTED_VALUE"""),10010.0)</f>
        <v>10010</v>
      </c>
      <c r="J117" s="148">
        <f>IFERROR(__xludf.DUMMYFUNCTION("""COMPUTED_VALUE"""),2.0)</f>
        <v>2</v>
      </c>
      <c r="K117" s="148">
        <f>IFERROR(__xludf.DUMMYFUNCTION("""COMPUTED_VALUE"""),1.0)</f>
        <v>1</v>
      </c>
      <c r="L117" s="148">
        <f>IFERROR(__xludf.DUMMYFUNCTION("""COMPUTED_VALUE"""),6.0)</f>
        <v>6</v>
      </c>
      <c r="M117" s="148">
        <f>IFERROR(__xludf.DUMMYFUNCTION("""COMPUTED_VALUE"""),13000.0)</f>
        <v>13000</v>
      </c>
      <c r="N117" s="148" t="str">
        <f>IFERROR(__xludf.DUMMYFUNCTION("""COMPUTED_VALUE"""),"[{""typ"":""rss"",""id"":11141001,""val"":70},{""typ"":""rss"",""id"":11141003,""val"":50}]")</f>
        <v>[{"typ":"rss","id":11141001,"val":70},{"typ":"rss","id":11141003,"val":50}]</v>
      </c>
      <c r="O117" s="148" t="str">
        <f>IFERROR(__xludf.DUMMYFUNCTION("""COMPUTED_VALUE"""),"{""op"":""and"",""args"":[{""op"":""ge"",""typ"":""building"",""id"":111819,""val"":1}]}")</f>
        <v>{"op":"and","args":[{"op":"ge","typ":"building","id":111819,"val":1}]}</v>
      </c>
      <c r="P117" s="148">
        <f>IFERROR(__xludf.DUMMYFUNCTION("""COMPUTED_VALUE"""),65.0)</f>
        <v>65</v>
      </c>
      <c r="Q117" s="148" t="str">
        <f>IFERROR(__xludf.DUMMYFUNCTION("""COMPUTED_VALUE"""),"[{""typ"":""rss"",""id"":11141001,""val"":28},{""typ"":""rss"",""id"":11141003,""val"":20}]")</f>
        <v>[{"typ":"rss","id":11141001,"val":28},{"typ":"rss","id":11141003,"val":20}]</v>
      </c>
      <c r="R117" s="148" t="str">
        <f>IFERROR(__xludf.DUMMYFUNCTION("""COMPUTED_VALUE"""),"{}")</f>
        <v>{}</v>
      </c>
      <c r="S117" s="148">
        <f>IFERROR(__xludf.DUMMYFUNCTION("""COMPUTED_VALUE"""),0.0)</f>
        <v>0</v>
      </c>
      <c r="T117" s="148" t="str">
        <f>IFERROR(__xludf.DUMMYFUNCTION("""COMPUTED_VALUE"""),"[]")</f>
        <v>[]</v>
      </c>
      <c r="U117" s="148">
        <f>IFERROR(__xludf.DUMMYFUNCTION("""COMPUTED_VALUE"""),0.0)</f>
        <v>0</v>
      </c>
      <c r="V117" s="148" t="str">
        <f>IFERROR(__xludf.DUMMYFUNCTION("""COMPUTED_VALUE"""),"{""op"":""and"",""args"":[{""op"":""ge"",""typ"":""building"",""id"":111819,""val"":1}]}")</f>
        <v>{"op":"and","args":[{"op":"ge","typ":"building","id":111819,"val":1}]}</v>
      </c>
      <c r="W117" s="148" t="str">
        <f>IFERROR(__xludf.DUMMYFUNCTION("""COMPUTED_VALUE"""),"[]")</f>
        <v>[]</v>
      </c>
      <c r="X117" s="148" t="str">
        <f>IFERROR(__xludf.DUMMYFUNCTION("""COMPUTED_VALUE"""),"[{""typ"":""power"",""id"":12141002,""val"":1}]")</f>
        <v>[{"typ":"power","id":12141002,"val":1}]</v>
      </c>
      <c r="Y117" s="148" t="str">
        <f>IFERROR(__xludf.DUMMYFUNCTION("""COMPUTED_VALUE"""),"[{""typ"":""atk"",""val"":60},{""typ"":""def"",""val"":125},{""typ"":""hp"",""val"":120},{""typ"":""speed"",""val"":37},{""typ"":""load"",""val"":20},{""typ"":""backcoef"",""val"":0.5},{""typ"":""atkcoef"",""val"":1.0},{""typ"":""atkcd"",""val"":0}]")</f>
        <v>[{"typ":"atk","val":60},{"typ":"def","val":125},{"typ":"hp","val":120},{"typ":"speed","val":37},{"typ":"load","val":20},{"typ":"backcoef","val":0.5},{"typ":"atkcoef","val":1.0},{"typ":"atkcd","val":0}]</v>
      </c>
      <c r="Z117" s="148" t="str">
        <f>IFERROR(__xludf.DUMMYFUNCTION("""COMPUTED_VALUE"""),"[]")</f>
        <v>[]</v>
      </c>
    </row>
    <row r="118">
      <c r="A118" s="148">
        <f>IFERROR(__xludf.DUMMYFUNCTION("""COMPUTED_VALUE"""),1.1211302E7)</f>
        <v>11211302</v>
      </c>
      <c r="B118" s="148" t="str">
        <f>IFERROR(__xludf.DUMMYFUNCTION("""COMPUTED_VALUE"""),"攻城车 lv2")</f>
        <v>攻城车 lv2</v>
      </c>
      <c r="C118" s="148">
        <f>IFERROR(__xludf.DUMMYFUNCTION("""COMPUTED_VALUE"""),1.1221004E7)</f>
        <v>11221004</v>
      </c>
      <c r="D118" s="148">
        <f>IFERROR(__xludf.DUMMYFUNCTION("""COMPUTED_VALUE"""),1.5110068E7)</f>
        <v>15110068</v>
      </c>
      <c r="E118" s="148" t="str">
        <f>IFERROR(__xludf.DUMMYFUNCTION("""COMPUTED_VALUE"""),"{""typ"":""lc"",""txt"":""LC_SOLDIER_wall_breaker_name_2""}")</f>
        <v>{"typ":"lc","txt":"LC_SOLDIER_wall_breaker_name_2"}</v>
      </c>
      <c r="F118" s="148" t="str">
        <f>IFERROR(__xludf.DUMMYFUNCTION("""COMPUTED_VALUE"""),"{""typ"":""lc"",""txt"":""LC_SOLDIER_wall_breaker_desc_2""}")</f>
        <v>{"typ":"lc","txt":"LC_SOLDIER_wall_breaker_desc_2"}</v>
      </c>
      <c r="G118" s="148">
        <f>IFERROR(__xludf.DUMMYFUNCTION("""COMPUTED_VALUE"""),2.0)</f>
        <v>2</v>
      </c>
      <c r="H118" s="148">
        <f>IFERROR(__xludf.DUMMYFUNCTION("""COMPUTED_VALUE"""),5.0)</f>
        <v>5</v>
      </c>
      <c r="I118" s="148">
        <f>IFERROR(__xludf.DUMMYFUNCTION("""COMPUTED_VALUE"""),10008.0)</f>
        <v>10008</v>
      </c>
      <c r="J118" s="148">
        <f>IFERROR(__xludf.DUMMYFUNCTION("""COMPUTED_VALUE"""),4.0)</f>
        <v>4</v>
      </c>
      <c r="K118" s="148">
        <f>IFERROR(__xludf.DUMMYFUNCTION("""COMPUTED_VALUE"""),2.0)</f>
        <v>2</v>
      </c>
      <c r="L118" s="148">
        <f>IFERROR(__xludf.DUMMYFUNCTION("""COMPUTED_VALUE"""),6.0)</f>
        <v>6</v>
      </c>
      <c r="M118" s="148">
        <f>IFERROR(__xludf.DUMMYFUNCTION("""COMPUTED_VALUE"""),30000.0)</f>
        <v>30000</v>
      </c>
      <c r="N118" s="148" t="str">
        <f>IFERROR(__xludf.DUMMYFUNCTION("""COMPUTED_VALUE"""),"[{""typ"":""rss"",""id"":11141001,""val"":140},{""typ"":""rss"",""id"":11141003,""val"":100}]")</f>
        <v>[{"typ":"rss","id":11141001,"val":140},{"typ":"rss","id":11141003,"val":100}]</v>
      </c>
      <c r="O118" s="148" t="str">
        <f>IFERROR(__xludf.DUMMYFUNCTION("""COMPUTED_VALUE"""),"{""op"":""and"",""args"":[{""op"":""ge"",""typ"":""research"",""id"":111937,""val"":1},{""op"":""ge"",""typ"":""building"",""id"":111819,""val"":1}]}")</f>
        <v>{"op":"and","args":[{"op":"ge","typ":"research","id":111937,"val":1},{"op":"ge","typ":"building","id":111819,"val":1}]}</v>
      </c>
      <c r="P118" s="148">
        <f>IFERROR(__xludf.DUMMYFUNCTION("""COMPUTED_VALUE"""),1000.0)</f>
        <v>1000</v>
      </c>
      <c r="Q118" s="148" t="str">
        <f>IFERROR(__xludf.DUMMYFUNCTION("""COMPUTED_VALUE"""),"[{""typ"":""rss"",""id"":11141001,""val"":56},{""typ"":""rss"",""id"":11141003,""val"":40}]")</f>
        <v>[{"typ":"rss","id":11141001,"val":56},{"typ":"rss","id":11141003,"val":40}]</v>
      </c>
      <c r="R118" s="148" t="str">
        <f>IFERROR(__xludf.DUMMYFUNCTION("""COMPUTED_VALUE"""),"{}")</f>
        <v>{}</v>
      </c>
      <c r="S118" s="148">
        <f>IFERROR(__xludf.DUMMYFUNCTION("""COMPUTED_VALUE"""),17000.0)</f>
        <v>17000</v>
      </c>
      <c r="T118" s="148" t="str">
        <f>IFERROR(__xludf.DUMMYFUNCTION("""COMPUTED_VALUE"""),"[{""typ"":""rss"",""id"":11141001,""val"":70},{""typ"":""rss"",""id"":11141003,""val"":50}]")</f>
        <v>[{"typ":"rss","id":11141001,"val":70},{"typ":"rss","id":11141003,"val":50}]</v>
      </c>
      <c r="U118" s="148">
        <f>IFERROR(__xludf.DUMMYFUNCTION("""COMPUTED_VALUE"""),0.0)</f>
        <v>0</v>
      </c>
      <c r="V118" s="148" t="str">
        <f>IFERROR(__xludf.DUMMYFUNCTION("""COMPUTED_VALUE"""),"{""op"":""and"",""args"":[{""op"":""ge"",""typ"":""research"",""id"":11193701,""val"":1},{""op"":""ge"",""typ"":""building"",""id"":111819,""val"":1}]}")</f>
        <v>{"op":"and","args":[{"op":"ge","typ":"research","id":11193701,"val":1},{"op":"ge","typ":"building","id":111819,"val":1}]}</v>
      </c>
      <c r="W118" s="148" t="str">
        <f>IFERROR(__xludf.DUMMYFUNCTION("""COMPUTED_VALUE"""),"[]")</f>
        <v>[]</v>
      </c>
      <c r="X118" s="148" t="str">
        <f>IFERROR(__xludf.DUMMYFUNCTION("""COMPUTED_VALUE"""),"[{""typ"":""power"",""id"":12141002,""val"":2}]")</f>
        <v>[{"typ":"power","id":12141002,"val":2}]</v>
      </c>
      <c r="Y118" s="148" t="str">
        <f>IFERROR(__xludf.DUMMYFUNCTION("""COMPUTED_VALUE"""),"[{""typ"":""atk"",""val"":118},{""typ"":""def"",""val"":132},{""typ"":""hp"",""val"":128},{""typ"":""speed"",""val"":35},{""typ"":""load"",""val"":22},{""typ"":""backcoef"",""val"":0.5},{""typ"":""atkcoef"",""val"":1.0},{""typ"":""atkcd"",""val"":0}]")</f>
        <v>[{"typ":"atk","val":118},{"typ":"def","val":132},{"typ":"hp","val":128},{"typ":"speed","val":35},{"typ":"load","val":22},{"typ":"backcoef","val":0.5},{"typ":"atkcoef","val":1.0},{"typ":"atkcd","val":0}]</v>
      </c>
      <c r="Z118" s="148" t="str">
        <f>IFERROR(__xludf.DUMMYFUNCTION("""COMPUTED_VALUE"""),"[]")</f>
        <v>[]</v>
      </c>
    </row>
    <row r="119">
      <c r="A119" s="148">
        <f>IFERROR(__xludf.DUMMYFUNCTION("""COMPUTED_VALUE"""),1.1211303E7)</f>
        <v>11211303</v>
      </c>
      <c r="B119" s="148" t="str">
        <f>IFERROR(__xludf.DUMMYFUNCTION("""COMPUTED_VALUE"""),"攻城车 lv3")</f>
        <v>攻城车 lv3</v>
      </c>
      <c r="C119" s="148">
        <f>IFERROR(__xludf.DUMMYFUNCTION("""COMPUTED_VALUE"""),1.1221004E7)</f>
        <v>11221004</v>
      </c>
      <c r="D119" s="148">
        <f>IFERROR(__xludf.DUMMYFUNCTION("""COMPUTED_VALUE"""),1.5110069E7)</f>
        <v>15110069</v>
      </c>
      <c r="E119" s="148" t="str">
        <f>IFERROR(__xludf.DUMMYFUNCTION("""COMPUTED_VALUE"""),"{""typ"":""lc"",""txt"":""LC_SOLDIER_wall_breaker_name_3""}")</f>
        <v>{"typ":"lc","txt":"LC_SOLDIER_wall_breaker_name_3"}</v>
      </c>
      <c r="F119" s="148" t="str">
        <f>IFERROR(__xludf.DUMMYFUNCTION("""COMPUTED_VALUE"""),"{""typ"":""lc"",""txt"":""LC_SOLDIER_wall_breaker_desc_3""}")</f>
        <v>{"typ":"lc","txt":"LC_SOLDIER_wall_breaker_desc_3"}</v>
      </c>
      <c r="G119" s="148">
        <f>IFERROR(__xludf.DUMMYFUNCTION("""COMPUTED_VALUE"""),4.0)</f>
        <v>4</v>
      </c>
      <c r="H119" s="148">
        <f>IFERROR(__xludf.DUMMYFUNCTION("""COMPUTED_VALUE"""),9.0)</f>
        <v>9</v>
      </c>
      <c r="I119" s="148">
        <f>IFERROR(__xludf.DUMMYFUNCTION("""COMPUTED_VALUE"""),10006.0)</f>
        <v>10006</v>
      </c>
      <c r="J119" s="148">
        <f>IFERROR(__xludf.DUMMYFUNCTION("""COMPUTED_VALUE"""),6.0)</f>
        <v>6</v>
      </c>
      <c r="K119" s="148">
        <f>IFERROR(__xludf.DUMMYFUNCTION("""COMPUTED_VALUE"""),3.0)</f>
        <v>3</v>
      </c>
      <c r="L119" s="148">
        <f>IFERROR(__xludf.DUMMYFUNCTION("""COMPUTED_VALUE"""),6.0)</f>
        <v>6</v>
      </c>
      <c r="M119" s="148">
        <f>IFERROR(__xludf.DUMMYFUNCTION("""COMPUTED_VALUE"""),60000.0)</f>
        <v>60000</v>
      </c>
      <c r="N119" s="148" t="str">
        <f>IFERROR(__xludf.DUMMYFUNCTION("""COMPUTED_VALUE"""),"[{""typ"":""rss"",""id"":11141001,""val"":280},{""typ"":""rss"",""id"":11141003,""val"":200}]")</f>
        <v>[{"typ":"rss","id":11141001,"val":280},{"typ":"rss","id":11141003,"val":200}]</v>
      </c>
      <c r="O119" s="148" t="str">
        <f>IFERROR(__xludf.DUMMYFUNCTION("""COMPUTED_VALUE"""),"{""op"":""and"",""args"":[{""op"":""ge"",""typ"":""research"",""id"":111947,""val"":1},{""op"":""ge"",""typ"":""building"",""id"":111819,""val"":1}]}")</f>
        <v>{"op":"and","args":[{"op":"ge","typ":"research","id":111947,"val":1},{"op":"ge","typ":"building","id":111819,"val":1}]}</v>
      </c>
      <c r="P119" s="148">
        <f>IFERROR(__xludf.DUMMYFUNCTION("""COMPUTED_VALUE"""),2000.0)</f>
        <v>2000</v>
      </c>
      <c r="Q119" s="148" t="str">
        <f>IFERROR(__xludf.DUMMYFUNCTION("""COMPUTED_VALUE"""),"[{""typ"":""rss"",""id"":11141001,""val"":112},{""typ"":""rss"",""id"":11141003,""val"":80}]")</f>
        <v>[{"typ":"rss","id":11141001,"val":112},{"typ":"rss","id":11141003,"val":80}]</v>
      </c>
      <c r="R119" s="148" t="str">
        <f>IFERROR(__xludf.DUMMYFUNCTION("""COMPUTED_VALUE"""),"{}")</f>
        <v>{}</v>
      </c>
      <c r="S119" s="148">
        <f>IFERROR(__xludf.DUMMYFUNCTION("""COMPUTED_VALUE"""),30000.0)</f>
        <v>30000</v>
      </c>
      <c r="T119" s="148" t="str">
        <f>IFERROR(__xludf.DUMMYFUNCTION("""COMPUTED_VALUE"""),"[{""typ"":""rss"",""id"":11141001,""val"":140},{""typ"":""rss"",""id"":11141003,""val"":100}]")</f>
        <v>[{"typ":"rss","id":11141001,"val":140},{"typ":"rss","id":11141003,"val":100}]</v>
      </c>
      <c r="U119" s="148">
        <f>IFERROR(__xludf.DUMMYFUNCTION("""COMPUTED_VALUE"""),0.0)</f>
        <v>0</v>
      </c>
      <c r="V119" s="148" t="str">
        <f>IFERROR(__xludf.DUMMYFUNCTION("""COMPUTED_VALUE"""),"{""op"":""and"",""args"":[{""op"":""ge"",""typ"":""research"",""id"":11194701,""val"":1},{""op"":""ge"",""typ"":""building"",""id"":111819,""val"":1}]}")</f>
        <v>{"op":"and","args":[{"op":"ge","typ":"research","id":11194701,"val":1},{"op":"ge","typ":"building","id":111819,"val":1}]}</v>
      </c>
      <c r="W119" s="148" t="str">
        <f>IFERROR(__xludf.DUMMYFUNCTION("""COMPUTED_VALUE"""),"[]")</f>
        <v>[]</v>
      </c>
      <c r="X119" s="148" t="str">
        <f>IFERROR(__xludf.DUMMYFUNCTION("""COMPUTED_VALUE"""),"[{""typ"":""power"",""id"":12141002,""val"":4}]")</f>
        <v>[{"typ":"power","id":12141002,"val":4}]</v>
      </c>
      <c r="Y119" s="148" t="str">
        <f>IFERROR(__xludf.DUMMYFUNCTION("""COMPUTED_VALUE"""),"[{""typ"":""atk"",""val"":161},{""typ"":""def"",""val"":156},{""typ"":""hp"",""val"":160},{""typ"":""speed"",""val"":33},{""typ"":""load"",""val"":24},{""typ"":""backcoef"",""val"":0.5},{""typ"":""atkcoef"",""val"":1.0},{""typ"":""atkcd"",""val"":0}]")</f>
        <v>[{"typ":"atk","val":161},{"typ":"def","val":156},{"typ":"hp","val":160},{"typ":"speed","val":33},{"typ":"load","val":24},{"typ":"backcoef","val":0.5},{"typ":"atkcoef","val":1.0},{"typ":"atkcd","val":0}]</v>
      </c>
      <c r="Z119" s="148" t="str">
        <f>IFERROR(__xludf.DUMMYFUNCTION("""COMPUTED_VALUE"""),"[]")</f>
        <v>[]</v>
      </c>
    </row>
    <row r="120">
      <c r="A120" s="148">
        <f>IFERROR(__xludf.DUMMYFUNCTION("""COMPUTED_VALUE"""),1.1211304E7)</f>
        <v>11211304</v>
      </c>
      <c r="B120" s="148" t="str">
        <f>IFERROR(__xludf.DUMMYFUNCTION("""COMPUTED_VALUE"""),"攻城车 lv4")</f>
        <v>攻城车 lv4</v>
      </c>
      <c r="C120" s="148">
        <f>IFERROR(__xludf.DUMMYFUNCTION("""COMPUTED_VALUE"""),1.1221004E7)</f>
        <v>11221004</v>
      </c>
      <c r="D120" s="148">
        <f>IFERROR(__xludf.DUMMYFUNCTION("""COMPUTED_VALUE"""),1.511007E7)</f>
        <v>15110070</v>
      </c>
      <c r="E120" s="148" t="str">
        <f>IFERROR(__xludf.DUMMYFUNCTION("""COMPUTED_VALUE"""),"{""typ"":""lc"",""txt"":""LC_SOLDIER_wall_breaker_name_4""}")</f>
        <v>{"typ":"lc","txt":"LC_SOLDIER_wall_breaker_name_4"}</v>
      </c>
      <c r="F120" s="148" t="str">
        <f>IFERROR(__xludf.DUMMYFUNCTION("""COMPUTED_VALUE"""),"{""typ"":""lc"",""txt"":""LC_SOLDIER_wall_breaker_desc_4""}")</f>
        <v>{"typ":"lc","txt":"LC_SOLDIER_wall_breaker_desc_4"}</v>
      </c>
      <c r="G120" s="148">
        <f>IFERROR(__xludf.DUMMYFUNCTION("""COMPUTED_VALUE"""),8.0)</f>
        <v>8</v>
      </c>
      <c r="H120" s="148">
        <f>IFERROR(__xludf.DUMMYFUNCTION("""COMPUTED_VALUE"""),13.0)</f>
        <v>13</v>
      </c>
      <c r="I120" s="148">
        <f>IFERROR(__xludf.DUMMYFUNCTION("""COMPUTED_VALUE"""),10004.0)</f>
        <v>10004</v>
      </c>
      <c r="J120" s="148">
        <f>IFERROR(__xludf.DUMMYFUNCTION("""COMPUTED_VALUE"""),8.0)</f>
        <v>8</v>
      </c>
      <c r="K120" s="148">
        <f>IFERROR(__xludf.DUMMYFUNCTION("""COMPUTED_VALUE"""),4.0)</f>
        <v>4</v>
      </c>
      <c r="L120" s="148">
        <f>IFERROR(__xludf.DUMMYFUNCTION("""COMPUTED_VALUE"""),6.0)</f>
        <v>6</v>
      </c>
      <c r="M120" s="148">
        <f>IFERROR(__xludf.DUMMYFUNCTION("""COMPUTED_VALUE"""),90000.0)</f>
        <v>90000</v>
      </c>
      <c r="N120" s="148" t="str">
        <f>IFERROR(__xludf.DUMMYFUNCTION("""COMPUTED_VALUE"""),"[{""typ"":""rss"",""id"":11141001,""val"":560},{""typ"":""rss"",""id"":11141003,""val"":400}]")</f>
        <v>[{"typ":"rss","id":11141001,"val":560},{"typ":"rss","id":11141003,"val":400}]</v>
      </c>
      <c r="O120" s="148" t="str">
        <f>IFERROR(__xludf.DUMMYFUNCTION("""COMPUTED_VALUE"""),"{""op"":""and"",""args"":[{""op"":""ge"",""typ"":""research"",""id"":111956,""val"":1},{""op"":""ge"",""typ"":""building"",""id"":111819,""val"":1}]}")</f>
        <v>{"op":"and","args":[{"op":"ge","typ":"research","id":111956,"val":1},{"op":"ge","typ":"building","id":111819,"val":1}]}</v>
      </c>
      <c r="P120" s="148">
        <f>IFERROR(__xludf.DUMMYFUNCTION("""COMPUTED_VALUE"""),3000.0)</f>
        <v>3000</v>
      </c>
      <c r="Q120" s="148" t="str">
        <f>IFERROR(__xludf.DUMMYFUNCTION("""COMPUTED_VALUE"""),"[{""typ"":""rss"",""id"":11141001,""val"":224},{""typ"":""rss"",""id"":11141003,""val"":160}]")</f>
        <v>[{"typ":"rss","id":11141001,"val":224},{"typ":"rss","id":11141003,"val":160}]</v>
      </c>
      <c r="R120" s="148" t="str">
        <f>IFERROR(__xludf.DUMMYFUNCTION("""COMPUTED_VALUE"""),"{}")</f>
        <v>{}</v>
      </c>
      <c r="S120" s="148">
        <f>IFERROR(__xludf.DUMMYFUNCTION("""COMPUTED_VALUE"""),30000.0)</f>
        <v>30000</v>
      </c>
      <c r="T120" s="148" t="str">
        <f>IFERROR(__xludf.DUMMYFUNCTION("""COMPUTED_VALUE"""),"[{""typ"":""rss"",""id"":11141001,""val"":280},{""typ"":""rss"",""id"":11141003,""val"":200}]")</f>
        <v>[{"typ":"rss","id":11141001,"val":280},{"typ":"rss","id":11141003,"val":200}]</v>
      </c>
      <c r="U120" s="148">
        <f>IFERROR(__xludf.DUMMYFUNCTION("""COMPUTED_VALUE"""),0.0)</f>
        <v>0</v>
      </c>
      <c r="V120" s="148" t="str">
        <f>IFERROR(__xludf.DUMMYFUNCTION("""COMPUTED_VALUE"""),"{""op"":""and"",""args"":[{""op"":""ge"",""typ"":""research"",""id"":11195601,""val"":1},{""op"":""ge"",""typ"":""building"",""id"":111819,""val"":1}]}")</f>
        <v>{"op":"and","args":[{"op":"ge","typ":"research","id":11195601,"val":1},{"op":"ge","typ":"building","id":111819,"val":1}]}</v>
      </c>
      <c r="W120" s="148" t="str">
        <f>IFERROR(__xludf.DUMMYFUNCTION("""COMPUTED_VALUE"""),"[]")</f>
        <v>[]</v>
      </c>
      <c r="X120" s="148" t="str">
        <f>IFERROR(__xludf.DUMMYFUNCTION("""COMPUTED_VALUE"""),"[{""typ"":""power"",""id"":12141002,""val"":6}]")</f>
        <v>[{"typ":"power","id":12141002,"val":6}]</v>
      </c>
      <c r="Y120" s="148" t="str">
        <f>IFERROR(__xludf.DUMMYFUNCTION("""COMPUTED_VALUE"""),"[{""typ"":""atk"",""val"":201},{""typ"":""def"",""val"":186},{""typ"":""hp"",""val"":180},{""typ"":""speed"",""val"":30},{""typ"":""load"",""val"":26},{""typ"":""backcoef"",""val"":0.5},{""typ"":""atkcoef"",""val"":1.0},{""typ"":""atkcd"",""val"":0}]")</f>
        <v>[{"typ":"atk","val":201},{"typ":"def","val":186},{"typ":"hp","val":180},{"typ":"speed","val":30},{"typ":"load","val":26},{"typ":"backcoef","val":0.5},{"typ":"atkcoef","val":1.0},{"typ":"atkcd","val":0}]</v>
      </c>
      <c r="Z120" s="148" t="str">
        <f>IFERROR(__xludf.DUMMYFUNCTION("""COMPUTED_VALUE"""),"[]")</f>
        <v>[]</v>
      </c>
    </row>
    <row r="121">
      <c r="A121" s="148">
        <f>IFERROR(__xludf.DUMMYFUNCTION("""COMPUTED_VALUE"""),1.1211305E7)</f>
        <v>11211305</v>
      </c>
      <c r="B121" s="148" t="str">
        <f>IFERROR(__xludf.DUMMYFUNCTION("""COMPUTED_VALUE"""),"攻城车 lv5")</f>
        <v>攻城车 lv5</v>
      </c>
      <c r="C121" s="148">
        <f>IFERROR(__xludf.DUMMYFUNCTION("""COMPUTED_VALUE"""),1.1221004E7)</f>
        <v>11221004</v>
      </c>
      <c r="D121" s="148">
        <f>IFERROR(__xludf.DUMMYFUNCTION("""COMPUTED_VALUE"""),1.5110071E7)</f>
        <v>15110071</v>
      </c>
      <c r="E121" s="148" t="str">
        <f>IFERROR(__xludf.DUMMYFUNCTION("""COMPUTED_VALUE"""),"{""typ"":""lc"",""txt"":""LC_SOLDIER_wall_breaker_name_5""}")</f>
        <v>{"typ":"lc","txt":"LC_SOLDIER_wall_breaker_name_5"}</v>
      </c>
      <c r="F121" s="148" t="str">
        <f>IFERROR(__xludf.DUMMYFUNCTION("""COMPUTED_VALUE"""),"{""typ"":""lc"",""txt"":""LC_SOLDIER_wall_breaker_desc_5""}")</f>
        <v>{"typ":"lc","txt":"LC_SOLDIER_wall_breaker_desc_5"}</v>
      </c>
      <c r="G121" s="148">
        <f>IFERROR(__xludf.DUMMYFUNCTION("""COMPUTED_VALUE"""),15.0)</f>
        <v>15</v>
      </c>
      <c r="H121" s="148">
        <f>IFERROR(__xludf.DUMMYFUNCTION("""COMPUTED_VALUE"""),17.0)</f>
        <v>17</v>
      </c>
      <c r="I121" s="148">
        <f>IFERROR(__xludf.DUMMYFUNCTION("""COMPUTED_VALUE"""),10002.0)</f>
        <v>10002</v>
      </c>
      <c r="J121" s="148">
        <f>IFERROR(__xludf.DUMMYFUNCTION("""COMPUTED_VALUE"""),10.0)</f>
        <v>10</v>
      </c>
      <c r="K121" s="148">
        <f>IFERROR(__xludf.DUMMYFUNCTION("""COMPUTED_VALUE"""),5.0)</f>
        <v>5</v>
      </c>
      <c r="L121" s="148">
        <f>IFERROR(__xludf.DUMMYFUNCTION("""COMPUTED_VALUE"""),6.0)</f>
        <v>6</v>
      </c>
      <c r="M121" s="148">
        <f>IFERROR(__xludf.DUMMYFUNCTION("""COMPUTED_VALUE"""),180000.0)</f>
        <v>180000</v>
      </c>
      <c r="N121" s="148" t="str">
        <f>IFERROR(__xludf.DUMMYFUNCTION("""COMPUTED_VALUE"""),"[{""typ"":""rss"",""id"":11141001,""val"":1400},{""typ"":""rss"",""id"":11141003,""val"":1000}]")</f>
        <v>[{"typ":"rss","id":11141001,"val":1400},{"typ":"rss","id":11141003,"val":1000}]</v>
      </c>
      <c r="O121" s="148" t="str">
        <f>IFERROR(__xludf.DUMMYFUNCTION("""COMPUTED_VALUE"""),"{""op"":""and"",""args"":[{""op"":""ge"",""typ"":""research"",""id"":111971,""val"":1},{""op"":""ge"",""typ"":""building"",""id"":111819,""val"":1}]}")</f>
        <v>{"op":"and","args":[{"op":"ge","typ":"research","id":111971,"val":1},{"op":"ge","typ":"building","id":111819,"val":1}]}</v>
      </c>
      <c r="P121" s="148">
        <f>IFERROR(__xludf.DUMMYFUNCTION("""COMPUTED_VALUE"""),6000.0)</f>
        <v>6000</v>
      </c>
      <c r="Q121" s="148" t="str">
        <f>IFERROR(__xludf.DUMMYFUNCTION("""COMPUTED_VALUE"""),"[{""typ"":""rss"",""id"":11141001,""val"":560},{""typ"":""rss"",""id"":11141003,""val"":400}]")</f>
        <v>[{"typ":"rss","id":11141001,"val":560},{"typ":"rss","id":11141003,"val":400}]</v>
      </c>
      <c r="R121" s="148" t="str">
        <f>IFERROR(__xludf.DUMMYFUNCTION("""COMPUTED_VALUE"""),"{}")</f>
        <v>{}</v>
      </c>
      <c r="S121" s="148">
        <f>IFERROR(__xludf.DUMMYFUNCTION("""COMPUTED_VALUE"""),90000.0)</f>
        <v>90000</v>
      </c>
      <c r="T121" s="148" t="str">
        <f>IFERROR(__xludf.DUMMYFUNCTION("""COMPUTED_VALUE"""),"[{""typ"":""rss"",""id"":11141001,""val"":840},{""typ"":""rss"",""id"":11141003,""val"":600}]")</f>
        <v>[{"typ":"rss","id":11141001,"val":840},{"typ":"rss","id":11141003,"val":600}]</v>
      </c>
      <c r="U121" s="148">
        <f>IFERROR(__xludf.DUMMYFUNCTION("""COMPUTED_VALUE"""),0.0)</f>
        <v>0</v>
      </c>
      <c r="V121" s="148" t="str">
        <f>IFERROR(__xludf.DUMMYFUNCTION("""COMPUTED_VALUE"""),"{""op"":""and"",""args"":[{""op"":""ge"",""typ"":""research"",""id"":11197101,""val"":1},{""op"":""ge"",""typ"":""building"",""id"":111819,""val"":1}]}")</f>
        <v>{"op":"and","args":[{"op":"ge","typ":"research","id":11197101,"val":1},{"op":"ge","typ":"building","id":111819,"val":1}]}</v>
      </c>
      <c r="W121" s="148" t="str">
        <f>IFERROR(__xludf.DUMMYFUNCTION("""COMPUTED_VALUE"""),"[]")</f>
        <v>[]</v>
      </c>
      <c r="X121" s="148" t="str">
        <f>IFERROR(__xludf.DUMMYFUNCTION("""COMPUTED_VALUE"""),"[{""typ"":""power"",""id"":12141002,""val"":10}]")</f>
        <v>[{"typ":"power","id":12141002,"val":10}]</v>
      </c>
      <c r="Y121" s="148" t="str">
        <f>IFERROR(__xludf.DUMMYFUNCTION("""COMPUTED_VALUE"""),"[{""typ"":""atk"",""val"":231},{""typ"":""def"",""val"":210},{""typ"":""hp"",""val"":208},{""typ"":""speed"",""val"":28},{""typ"":""load"",""val"":30},{""typ"":""backcoef"",""val"":0.5},{""typ"":""atkcoef"",""val"":1.0},{""typ"":""atkcd"",""val"":0}]")</f>
        <v>[{"typ":"atk","val":231},{"typ":"def","val":210},{"typ":"hp","val":208},{"typ":"speed","val":28},{"typ":"load","val":30},{"typ":"backcoef","val":0.5},{"typ":"atkcoef","val":1.0},{"typ":"atkcd","val":0}]</v>
      </c>
      <c r="Z121" s="148" t="str">
        <f>IFERROR(__xludf.DUMMYFUNCTION("""COMPUTED_VALUE"""),"[]")</f>
        <v>[]</v>
      </c>
    </row>
    <row r="122">
      <c r="A122" s="148">
        <f>IFERROR(__xludf.DUMMYFUNCTION("""COMPUTED_VALUE"""),1.1211306E7)</f>
        <v>11211306</v>
      </c>
      <c r="B122" s="148" t="str">
        <f>IFERROR(__xludf.DUMMYFUNCTION("""COMPUTED_VALUE"""),"攻城车 lv6")</f>
        <v>攻城车 lv6</v>
      </c>
      <c r="C122" s="148">
        <f>IFERROR(__xludf.DUMMYFUNCTION("""COMPUTED_VALUE"""),1.1221004E7)</f>
        <v>11221004</v>
      </c>
      <c r="D122" s="148">
        <f>IFERROR(__xludf.DUMMYFUNCTION("""COMPUTED_VALUE"""),1.511714E7)</f>
        <v>15117140</v>
      </c>
      <c r="E122" s="148" t="str">
        <f>IFERROR(__xludf.DUMMYFUNCTION("""COMPUTED_VALUE"""),"{""typ"":""lc"",""txt"":""LC_SOLDIER_wall_breaker_name_6""}")</f>
        <v>{"typ":"lc","txt":"LC_SOLDIER_wall_breaker_name_6"}</v>
      </c>
      <c r="F122" s="148" t="str">
        <f>IFERROR(__xludf.DUMMYFUNCTION("""COMPUTED_VALUE"""),"{""typ"":""lc"",""txt"":""LC_SOLDIER_wall_breaker_desc_6""}")</f>
        <v>{"typ":"lc","txt":"LC_SOLDIER_wall_breaker_desc_6"}</v>
      </c>
      <c r="G122" s="148">
        <f>IFERROR(__xludf.DUMMYFUNCTION("""COMPUTED_VALUE"""),25.0)</f>
        <v>25</v>
      </c>
      <c r="H122" s="148">
        <f>IFERROR(__xludf.DUMMYFUNCTION("""COMPUTED_VALUE"""),21.0)</f>
        <v>21</v>
      </c>
      <c r="I122" s="148">
        <f>IFERROR(__xludf.DUMMYFUNCTION("""COMPUTED_VALUE"""),10001.0)</f>
        <v>10001</v>
      </c>
      <c r="J122" s="148">
        <f>IFERROR(__xludf.DUMMYFUNCTION("""COMPUTED_VALUE"""),10.0)</f>
        <v>10</v>
      </c>
      <c r="K122" s="148">
        <f>IFERROR(__xludf.DUMMYFUNCTION("""COMPUTED_VALUE"""),6.0)</f>
        <v>6</v>
      </c>
      <c r="L122" s="148">
        <f>IFERROR(__xludf.DUMMYFUNCTION("""COMPUTED_VALUE"""),6.0)</f>
        <v>6</v>
      </c>
      <c r="M122" s="148">
        <f>IFERROR(__xludf.DUMMYFUNCTION("""COMPUTED_VALUE"""),360000.0)</f>
        <v>360000</v>
      </c>
      <c r="N122" s="148" t="str">
        <f>IFERROR(__xludf.DUMMYFUNCTION("""COMPUTED_VALUE"""),"[{""typ"":""rss"",""id"":11141001,""val"":2240},{""typ"":""rss"",""id"":11141003,""val"":1600},{""typ"":""rss"",""id"":11141041,""val"":80}]")</f>
        <v>[{"typ":"rss","id":11141001,"val":2240},{"typ":"rss","id":11141003,"val":1600},{"typ":"rss","id":11141041,"val":80}]</v>
      </c>
      <c r="O122" s="148" t="str">
        <f>IFERROR(__xludf.DUMMYFUNCTION("""COMPUTED_VALUE"""),"{""op"":""and"",""args"":[{""op"":""ge"",""typ"":""research"",""id"":1119188,""val"":1},{""op"":""ge"",""typ"":""building"",""id"":111819,""val"":1}]}")</f>
        <v>{"op":"and","args":[{"op":"ge","typ":"research","id":1119188,"val":1},{"op":"ge","typ":"building","id":111819,"val":1}]}</v>
      </c>
      <c r="P122" s="148">
        <f>IFERROR(__xludf.DUMMYFUNCTION("""COMPUTED_VALUE"""),12000.0)</f>
        <v>12000</v>
      </c>
      <c r="Q122" s="148" t="str">
        <f>IFERROR(__xludf.DUMMYFUNCTION("""COMPUTED_VALUE"""),"[{""typ"":""rss"",""id"":11141001,""val"":896},{""typ"":""rss"",""id"":11141003,""val"":640},{""typ"":""rss"",""id"":11141041,""val"":16}]")</f>
        <v>[{"typ":"rss","id":11141001,"val":896},{"typ":"rss","id":11141003,"val":640},{"typ":"rss","id":11141041,"val":16}]</v>
      </c>
      <c r="R122" s="148" t="str">
        <f>IFERROR(__xludf.DUMMYFUNCTION("""COMPUTED_VALUE"""),"{}")</f>
        <v>{}</v>
      </c>
      <c r="S122" s="148">
        <f>IFERROR(__xludf.DUMMYFUNCTION("""COMPUTED_VALUE"""),180000.0)</f>
        <v>180000</v>
      </c>
      <c r="T122" s="148" t="str">
        <f>IFERROR(__xludf.DUMMYFUNCTION("""COMPUTED_VALUE"""),"[{""typ"":""rss"",""id"":11141001,""val"":840},{""typ"":""rss"",""id"":11141003,""val"":600},{""typ"":""rss"",""id"":11141041,""val"":80}]")</f>
        <v>[{"typ":"rss","id":11141001,"val":840},{"typ":"rss","id":11141003,"val":600},{"typ":"rss","id":11141041,"val":80}]</v>
      </c>
      <c r="U122" s="148">
        <f>IFERROR(__xludf.DUMMYFUNCTION("""COMPUTED_VALUE"""),0.0)</f>
        <v>0</v>
      </c>
      <c r="V122" s="148" t="str">
        <f>IFERROR(__xludf.DUMMYFUNCTION("""COMPUTED_VALUE"""),"{""op"":""and"",""args"":[{""op"":""ge"",""typ"":""research"",""id"":111918801,""val"":1},{""op"":""ge"",""typ"":""building"",""id"":111819,""val"":1}]}")</f>
        <v>{"op":"and","args":[{"op":"ge","typ":"research","id":111918801,"val":1},{"op":"ge","typ":"building","id":111819,"val":1}]}</v>
      </c>
      <c r="W122" s="148" t="str">
        <f>IFERROR(__xludf.DUMMYFUNCTION("""COMPUTED_VALUE"""),"[]")</f>
        <v>[]</v>
      </c>
      <c r="X122" s="148" t="str">
        <f>IFERROR(__xludf.DUMMYFUNCTION("""COMPUTED_VALUE"""),"[{""typ"":""power"",""id"":12141002,""val"":20}]")</f>
        <v>[{"typ":"power","id":12141002,"val":20}]</v>
      </c>
      <c r="Y122" s="148" t="str">
        <f>IFERROR(__xludf.DUMMYFUNCTION("""COMPUTED_VALUE"""),"[{""typ"":""atk"",""val"":286},{""typ"":""def"",""val"":260},{""typ"":""hp"",""val"":243},{""typ"":""speed"",""val"":26},{""typ"":""load"",""val"":35},{""typ"":""backcoef"",""val"":0.5},{""typ"":""atkcoef"",""val"":1.0},{""typ"":""atkcd"",""val"":0}]")</f>
        <v>[{"typ":"atk","val":286},{"typ":"def","val":260},{"typ":"hp","val":243},{"typ":"speed","val":26},{"typ":"load","val":35},{"typ":"backcoef","val":0.5},{"typ":"atkcoef","val":1.0},{"typ":"atkcd","val":0}]</v>
      </c>
      <c r="Z122" s="148" t="str">
        <f>IFERROR(__xludf.DUMMYFUNCTION("""COMPUTED_VALUE"""),"[]")</f>
        <v>[]</v>
      </c>
    </row>
    <row r="123">
      <c r="A123" s="148">
        <f>IFERROR(__xludf.DUMMYFUNCTION("""COMPUTED_VALUE"""),1.1211311E7)</f>
        <v>11211311</v>
      </c>
      <c r="B123" s="148" t="str">
        <f>IFERROR(__xludf.DUMMYFUNCTION("""COMPUTED_VALUE"""),"车兵-lv3-1")</f>
        <v>车兵-lv3-1</v>
      </c>
      <c r="C123" s="148">
        <f>IFERROR(__xludf.DUMMYFUNCTION("""COMPUTED_VALUE"""),1.1221004E7)</f>
        <v>11221004</v>
      </c>
      <c r="D123" s="148">
        <f>IFERROR(__xludf.DUMMYFUNCTION("""COMPUTED_VALUE"""),1.5110069E7)</f>
        <v>15110069</v>
      </c>
      <c r="E123" s="148" t="str">
        <f>IFERROR(__xludf.DUMMYFUNCTION("""COMPUTED_VALUE"""),"{""typ"":""lc"",""txt"":""LC_SOLDIER_wall_breaker_name_3""}")</f>
        <v>{"typ":"lc","txt":"LC_SOLDIER_wall_breaker_name_3"}</v>
      </c>
      <c r="F123" s="148" t="str">
        <f>IFERROR(__xludf.DUMMYFUNCTION("""COMPUTED_VALUE"""),"{""typ"":""lc"",""txt"":""LC_SOLDIER_wall_breaker_desc_3""}")</f>
        <v>{"typ":"lc","txt":"LC_SOLDIER_wall_breaker_desc_3"}</v>
      </c>
      <c r="G123" s="148">
        <f>IFERROR(__xludf.DUMMYFUNCTION("""COMPUTED_VALUE"""),4.0)</f>
        <v>4</v>
      </c>
      <c r="H123" s="148">
        <f>IFERROR(__xludf.DUMMYFUNCTION("""COMPUTED_VALUE"""),9.0)</f>
        <v>9</v>
      </c>
      <c r="I123" s="148">
        <f>IFERROR(__xludf.DUMMYFUNCTION("""COMPUTED_VALUE"""),10005.0)</f>
        <v>10005</v>
      </c>
      <c r="J123" s="148">
        <f>IFERROR(__xludf.DUMMYFUNCTION("""COMPUTED_VALUE"""),6.0)</f>
        <v>6</v>
      </c>
      <c r="K123" s="148">
        <f>IFERROR(__xludf.DUMMYFUNCTION("""COMPUTED_VALUE"""),3.0)</f>
        <v>3</v>
      </c>
      <c r="L123" s="148">
        <f>IFERROR(__xludf.DUMMYFUNCTION("""COMPUTED_VALUE"""),6.0)</f>
        <v>6</v>
      </c>
      <c r="M123" s="148">
        <f>IFERROR(__xludf.DUMMYFUNCTION("""COMPUTED_VALUE"""),60000.0)</f>
        <v>60000</v>
      </c>
      <c r="N123" s="148" t="str">
        <f>IFERROR(__xludf.DUMMYFUNCTION("""COMPUTED_VALUE"""),"[{""typ"":""rss"",""id"":11141001,""val"":280},{""typ"":""rss"",""id"":11141003,""val"":200}]")</f>
        <v>[{"typ":"rss","id":11141001,"val":280},{"typ":"rss","id":11141003,"val":200}]</v>
      </c>
      <c r="O123" s="148" t="str">
        <f>IFERROR(__xludf.DUMMYFUNCTION("""COMPUTED_VALUE"""),"{""op"":""and"",""args"":[{""op"":""ge"",""typ"":""arms_group"",""id"":11674102,""val"":1}]}")</f>
        <v>{"op":"and","args":[{"op":"ge","typ":"arms_group","id":11674102,"val":1}]}</v>
      </c>
      <c r="P123" s="148">
        <f>IFERROR(__xludf.DUMMYFUNCTION("""COMPUTED_VALUE"""),2000.0)</f>
        <v>2000</v>
      </c>
      <c r="Q123" s="148" t="str">
        <f>IFERROR(__xludf.DUMMYFUNCTION("""COMPUTED_VALUE"""),"[{""typ"":""rss"",""id"":11141001,""val"":112},{""typ"":""rss"",""id"":11141003,""val"":80}]")</f>
        <v>[{"typ":"rss","id":11141001,"val":112},{"typ":"rss","id":11141003,"val":80}]</v>
      </c>
      <c r="R123" s="148" t="str">
        <f>IFERROR(__xludf.DUMMYFUNCTION("""COMPUTED_VALUE"""),"{}")</f>
        <v>{}</v>
      </c>
      <c r="S123" s="148">
        <f>IFERROR(__xludf.DUMMYFUNCTION("""COMPUTED_VALUE"""),30000.0)</f>
        <v>30000</v>
      </c>
      <c r="T123" s="148" t="str">
        <f>IFERROR(__xludf.DUMMYFUNCTION("""COMPUTED_VALUE"""),"[{""typ"":""rss"",""id"":11141001,""val"":140},{""typ"":""rss"",""id"":11141003,""val"":100}]")</f>
        <v>[{"typ":"rss","id":11141001,"val":140},{"typ":"rss","id":11141003,"val":100}]</v>
      </c>
      <c r="U123" s="148">
        <f>IFERROR(__xludf.DUMMYFUNCTION("""COMPUTED_VALUE"""),0.0)</f>
        <v>0</v>
      </c>
      <c r="V123" s="148" t="str">
        <f>IFERROR(__xludf.DUMMYFUNCTION("""COMPUTED_VALUE"""),"{""op"":""and"",""args"":[{""op"":""ge"",""typ"":""research"",""id"":11194701,""val"":1},{""op"":""ge"",""typ"":""building"",""id"":111819,""val"":1}]}")</f>
        <v>{"op":"and","args":[{"op":"ge","typ":"research","id":11194701,"val":1},{"op":"ge","typ":"building","id":111819,"val":1}]}</v>
      </c>
      <c r="W123" s="148" t="str">
        <f>IFERROR(__xludf.DUMMYFUNCTION("""COMPUTED_VALUE"""),"[]")</f>
        <v>[]</v>
      </c>
      <c r="X123" s="148" t="str">
        <f>IFERROR(__xludf.DUMMYFUNCTION("""COMPUTED_VALUE"""),"[{""typ"":""power"",""id"":12141002,""val"":4}]")</f>
        <v>[{"typ":"power","id":12141002,"val":4}]</v>
      </c>
      <c r="Y123" s="148" t="str">
        <f>IFERROR(__xludf.DUMMYFUNCTION("""COMPUTED_VALUE"""),"[{""typ"":""atk"",""val"":164},{""typ"":""def"",""val"":159},{""typ"":""hp"",""val"":161},{""typ"":""speed"",""val"":33},{""typ"":""load"",""val"":24},{""typ"":""backcoef"",""val"":0.5},{""typ"":""atkcoef"",""val"":1.0},{""typ"":""atkcd"",""val"":0}]")</f>
        <v>[{"typ":"atk","val":164},{"typ":"def","val":159},{"typ":"hp","val":161},{"typ":"speed","val":33},{"typ":"load","val":24},{"typ":"backcoef","val":0.5},{"typ":"atkcoef","val":1.0},{"typ":"atkcd","val":0}]</v>
      </c>
      <c r="Z123" s="148" t="str">
        <f>IFERROR(__xludf.DUMMYFUNCTION("""COMPUTED_VALUE"""),"[]")</f>
        <v>[]</v>
      </c>
    </row>
    <row r="124">
      <c r="A124" s="148">
        <f>IFERROR(__xludf.DUMMYFUNCTION("""COMPUTED_VALUE"""),1.1211312E7)</f>
        <v>11211312</v>
      </c>
      <c r="B124" s="148" t="str">
        <f>IFERROR(__xludf.DUMMYFUNCTION("""COMPUTED_VALUE"""),"车兵-lv3-2")</f>
        <v>车兵-lv3-2</v>
      </c>
      <c r="C124" s="148">
        <f>IFERROR(__xludf.DUMMYFUNCTION("""COMPUTED_VALUE"""),1.1221004E7)</f>
        <v>11221004</v>
      </c>
      <c r="D124" s="148">
        <f>IFERROR(__xludf.DUMMYFUNCTION("""COMPUTED_VALUE"""),1.5110069E7)</f>
        <v>15110069</v>
      </c>
      <c r="E124" s="148" t="str">
        <f>IFERROR(__xludf.DUMMYFUNCTION("""COMPUTED_VALUE"""),"{""typ"":""lc"",""txt"":""LC_SOLDIER_wall_breaker_name_3""}")</f>
        <v>{"typ":"lc","txt":"LC_SOLDIER_wall_breaker_name_3"}</v>
      </c>
      <c r="F124" s="148" t="str">
        <f>IFERROR(__xludf.DUMMYFUNCTION("""COMPUTED_VALUE"""),"{""typ"":""lc"",""txt"":""LC_SOLDIER_wall_breaker_desc_3""}")</f>
        <v>{"typ":"lc","txt":"LC_SOLDIER_wall_breaker_desc_3"}</v>
      </c>
      <c r="G124" s="148">
        <f>IFERROR(__xludf.DUMMYFUNCTION("""COMPUTED_VALUE"""),4.0)</f>
        <v>4</v>
      </c>
      <c r="H124" s="148">
        <f>IFERROR(__xludf.DUMMYFUNCTION("""COMPUTED_VALUE"""),9.0)</f>
        <v>9</v>
      </c>
      <c r="I124" s="148">
        <f>IFERROR(__xludf.DUMMYFUNCTION("""COMPUTED_VALUE"""),10005.0)</f>
        <v>10005</v>
      </c>
      <c r="J124" s="148">
        <f>IFERROR(__xludf.DUMMYFUNCTION("""COMPUTED_VALUE"""),6.0)</f>
        <v>6</v>
      </c>
      <c r="K124" s="148">
        <f>IFERROR(__xludf.DUMMYFUNCTION("""COMPUTED_VALUE"""),3.0)</f>
        <v>3</v>
      </c>
      <c r="L124" s="148">
        <f>IFERROR(__xludf.DUMMYFUNCTION("""COMPUTED_VALUE"""),6.0)</f>
        <v>6</v>
      </c>
      <c r="M124" s="148">
        <f>IFERROR(__xludf.DUMMYFUNCTION("""COMPUTED_VALUE"""),60000.0)</f>
        <v>60000</v>
      </c>
      <c r="N124" s="148" t="str">
        <f>IFERROR(__xludf.DUMMYFUNCTION("""COMPUTED_VALUE"""),"[{""typ"":""rss"",""id"":11141001,""val"":280},{""typ"":""rss"",""id"":11141003,""val"":200}]")</f>
        <v>[{"typ":"rss","id":11141001,"val":280},{"typ":"rss","id":11141003,"val":200}]</v>
      </c>
      <c r="O124" s="148" t="str">
        <f>IFERROR(__xludf.DUMMYFUNCTION("""COMPUTED_VALUE"""),"{""op"":""and"",""args"":[{""op"":""ge"",""typ"":""arms_group"",""id"":11674103,""val"":1}]}")</f>
        <v>{"op":"and","args":[{"op":"ge","typ":"arms_group","id":11674103,"val":1}]}</v>
      </c>
      <c r="P124" s="148">
        <f>IFERROR(__xludf.DUMMYFUNCTION("""COMPUTED_VALUE"""),2000.0)</f>
        <v>2000</v>
      </c>
      <c r="Q124" s="148" t="str">
        <f>IFERROR(__xludf.DUMMYFUNCTION("""COMPUTED_VALUE"""),"[{""typ"":""rss"",""id"":11141001,""val"":112},{""typ"":""rss"",""id"":11141003,""val"":80}]")</f>
        <v>[{"typ":"rss","id":11141001,"val":112},{"typ":"rss","id":11141003,"val":80}]</v>
      </c>
      <c r="R124" s="148" t="str">
        <f>IFERROR(__xludf.DUMMYFUNCTION("""COMPUTED_VALUE"""),"{}")</f>
        <v>{}</v>
      </c>
      <c r="S124" s="148">
        <f>IFERROR(__xludf.DUMMYFUNCTION("""COMPUTED_VALUE"""),30000.0)</f>
        <v>30000</v>
      </c>
      <c r="T124" s="148" t="str">
        <f>IFERROR(__xludf.DUMMYFUNCTION("""COMPUTED_VALUE"""),"[{""typ"":""rss"",""id"":11141001,""val"":140},{""typ"":""rss"",""id"":11141003,""val"":100}]")</f>
        <v>[{"typ":"rss","id":11141001,"val":140},{"typ":"rss","id":11141003,"val":100}]</v>
      </c>
      <c r="U124" s="148">
        <f>IFERROR(__xludf.DUMMYFUNCTION("""COMPUTED_VALUE"""),0.0)</f>
        <v>0</v>
      </c>
      <c r="V124" s="148" t="str">
        <f>IFERROR(__xludf.DUMMYFUNCTION("""COMPUTED_VALUE"""),"{""op"":""and"",""args"":[{""op"":""ge"",""typ"":""research"",""id"":11194701,""val"":1},{""op"":""ge"",""typ"":""building"",""id"":111819,""val"":1}]}")</f>
        <v>{"op":"and","args":[{"op":"ge","typ":"research","id":11194701,"val":1},{"op":"ge","typ":"building","id":111819,"val":1}]}</v>
      </c>
      <c r="W124" s="148" t="str">
        <f>IFERROR(__xludf.DUMMYFUNCTION("""COMPUTED_VALUE"""),"[]")</f>
        <v>[]</v>
      </c>
      <c r="X124" s="148" t="str">
        <f>IFERROR(__xludf.DUMMYFUNCTION("""COMPUTED_VALUE"""),"[{""typ"":""power"",""id"":12141002,""val"":4}]")</f>
        <v>[{"typ":"power","id":12141002,"val":4}]</v>
      </c>
      <c r="Y124" s="148" t="str">
        <f>IFERROR(__xludf.DUMMYFUNCTION("""COMPUTED_VALUE"""),"[{""typ"":""atk"",""val"":167},{""typ"":""def"",""val"":162},{""typ"":""hp"",""val"":162},{""typ"":""speed"",""val"":33},{""typ"":""load"",""val"":24},{""typ"":""backcoef"",""val"":0.5},{""typ"":""atkcoef"",""val"":1.0},{""typ"":""atkcd"",""val"":0}]")</f>
        <v>[{"typ":"atk","val":167},{"typ":"def","val":162},{"typ":"hp","val":162},{"typ":"speed","val":33},{"typ":"load","val":24},{"typ":"backcoef","val":0.5},{"typ":"atkcoef","val":1.0},{"typ":"atkcd","val":0}]</v>
      </c>
      <c r="Z124" s="148" t="str">
        <f>IFERROR(__xludf.DUMMYFUNCTION("""COMPUTED_VALUE"""),"[]")</f>
        <v>[]</v>
      </c>
    </row>
    <row r="125">
      <c r="A125" s="148">
        <f>IFERROR(__xludf.DUMMYFUNCTION("""COMPUTED_VALUE"""),1.1211313E7)</f>
        <v>11211313</v>
      </c>
      <c r="B125" s="148" t="str">
        <f>IFERROR(__xludf.DUMMYFUNCTION("""COMPUTED_VALUE"""),"车兵-lv3-3")</f>
        <v>车兵-lv3-3</v>
      </c>
      <c r="C125" s="148">
        <f>IFERROR(__xludf.DUMMYFUNCTION("""COMPUTED_VALUE"""),1.1221004E7)</f>
        <v>11221004</v>
      </c>
      <c r="D125" s="148">
        <f>IFERROR(__xludf.DUMMYFUNCTION("""COMPUTED_VALUE"""),1.5110069E7)</f>
        <v>15110069</v>
      </c>
      <c r="E125" s="148" t="str">
        <f>IFERROR(__xludf.DUMMYFUNCTION("""COMPUTED_VALUE"""),"{""typ"":""lc"",""txt"":""LC_SOLDIER_wall_breaker_name_3""}")</f>
        <v>{"typ":"lc","txt":"LC_SOLDIER_wall_breaker_name_3"}</v>
      </c>
      <c r="F125" s="148" t="str">
        <f>IFERROR(__xludf.DUMMYFUNCTION("""COMPUTED_VALUE"""),"{""typ"":""lc"",""txt"":""LC_SOLDIER_wall_breaker_desc_3""}")</f>
        <v>{"typ":"lc","txt":"LC_SOLDIER_wall_breaker_desc_3"}</v>
      </c>
      <c r="G125" s="148">
        <f>IFERROR(__xludf.DUMMYFUNCTION("""COMPUTED_VALUE"""),4.0)</f>
        <v>4</v>
      </c>
      <c r="H125" s="148">
        <f>IFERROR(__xludf.DUMMYFUNCTION("""COMPUTED_VALUE"""),9.0)</f>
        <v>9</v>
      </c>
      <c r="I125" s="148">
        <f>IFERROR(__xludf.DUMMYFUNCTION("""COMPUTED_VALUE"""),10005.0)</f>
        <v>10005</v>
      </c>
      <c r="J125" s="148">
        <f>IFERROR(__xludf.DUMMYFUNCTION("""COMPUTED_VALUE"""),6.0)</f>
        <v>6</v>
      </c>
      <c r="K125" s="148">
        <f>IFERROR(__xludf.DUMMYFUNCTION("""COMPUTED_VALUE"""),3.0)</f>
        <v>3</v>
      </c>
      <c r="L125" s="148">
        <f>IFERROR(__xludf.DUMMYFUNCTION("""COMPUTED_VALUE"""),6.0)</f>
        <v>6</v>
      </c>
      <c r="M125" s="148">
        <f>IFERROR(__xludf.DUMMYFUNCTION("""COMPUTED_VALUE"""),60000.0)</f>
        <v>60000</v>
      </c>
      <c r="N125" s="148" t="str">
        <f>IFERROR(__xludf.DUMMYFUNCTION("""COMPUTED_VALUE"""),"[{""typ"":""rss"",""id"":11141001,""val"":280},{""typ"":""rss"",""id"":11141003,""val"":200}]")</f>
        <v>[{"typ":"rss","id":11141001,"val":280},{"typ":"rss","id":11141003,"val":200}]</v>
      </c>
      <c r="O125" s="148" t="str">
        <f>IFERROR(__xludf.DUMMYFUNCTION("""COMPUTED_VALUE"""),"{""op"":""and"",""args"":[{""op"":""ge"",""typ"":""arms_group"",""id"":11674104,""val"":1}]}")</f>
        <v>{"op":"and","args":[{"op":"ge","typ":"arms_group","id":11674104,"val":1}]}</v>
      </c>
      <c r="P125" s="148">
        <f>IFERROR(__xludf.DUMMYFUNCTION("""COMPUTED_VALUE"""),2000.0)</f>
        <v>2000</v>
      </c>
      <c r="Q125" s="148" t="str">
        <f>IFERROR(__xludf.DUMMYFUNCTION("""COMPUTED_VALUE"""),"[{""typ"":""rss"",""id"":11141001,""val"":112},{""typ"":""rss"",""id"":11141003,""val"":80}]")</f>
        <v>[{"typ":"rss","id":11141001,"val":112},{"typ":"rss","id":11141003,"val":80}]</v>
      </c>
      <c r="R125" s="148" t="str">
        <f>IFERROR(__xludf.DUMMYFUNCTION("""COMPUTED_VALUE"""),"{}")</f>
        <v>{}</v>
      </c>
      <c r="S125" s="148">
        <f>IFERROR(__xludf.DUMMYFUNCTION("""COMPUTED_VALUE"""),30000.0)</f>
        <v>30000</v>
      </c>
      <c r="T125" s="148" t="str">
        <f>IFERROR(__xludf.DUMMYFUNCTION("""COMPUTED_VALUE"""),"[{""typ"":""rss"",""id"":11141001,""val"":140},{""typ"":""rss"",""id"":11141003,""val"":100}]")</f>
        <v>[{"typ":"rss","id":11141001,"val":140},{"typ":"rss","id":11141003,"val":100}]</v>
      </c>
      <c r="U125" s="148">
        <f>IFERROR(__xludf.DUMMYFUNCTION("""COMPUTED_VALUE"""),0.0)</f>
        <v>0</v>
      </c>
      <c r="V125" s="148" t="str">
        <f>IFERROR(__xludf.DUMMYFUNCTION("""COMPUTED_VALUE"""),"{""op"":""and"",""args"":[{""op"":""ge"",""typ"":""research"",""id"":11194701,""val"":1},{""op"":""ge"",""typ"":""building"",""id"":111819,""val"":1}]}")</f>
        <v>{"op":"and","args":[{"op":"ge","typ":"research","id":11194701,"val":1},{"op":"ge","typ":"building","id":111819,"val":1}]}</v>
      </c>
      <c r="W125" s="148" t="str">
        <f>IFERROR(__xludf.DUMMYFUNCTION("""COMPUTED_VALUE"""),"[]")</f>
        <v>[]</v>
      </c>
      <c r="X125" s="148" t="str">
        <f>IFERROR(__xludf.DUMMYFUNCTION("""COMPUTED_VALUE"""),"[{""typ"":""power"",""id"":12141002,""val"":4}]")</f>
        <v>[{"typ":"power","id":12141002,"val":4}]</v>
      </c>
      <c r="Y125" s="148" t="str">
        <f>IFERROR(__xludf.DUMMYFUNCTION("""COMPUTED_VALUE"""),"[{""typ"":""atk"",""val"":170},{""typ"":""def"",""val"":165},{""typ"":""hp"",""val"":163},{""typ"":""speed"",""val"":33},{""typ"":""load"",""val"":24},{""typ"":""backcoef"",""val"":0.5},{""typ"":""atkcoef"",""val"":1.0},{""typ"":""atkcd"",""val"":0}]")</f>
        <v>[{"typ":"atk","val":170},{"typ":"def","val":165},{"typ":"hp","val":163},{"typ":"speed","val":33},{"typ":"load","val":24},{"typ":"backcoef","val":0.5},{"typ":"atkcoef","val":1.0},{"typ":"atkcd","val":0}]</v>
      </c>
      <c r="Z125" s="148" t="str">
        <f>IFERROR(__xludf.DUMMYFUNCTION("""COMPUTED_VALUE"""),"[]")</f>
        <v>[]</v>
      </c>
    </row>
    <row r="126">
      <c r="A126" s="148">
        <f>IFERROR(__xludf.DUMMYFUNCTION("""COMPUTED_VALUE"""),1.1211314E7)</f>
        <v>11211314</v>
      </c>
      <c r="B126" s="148" t="str">
        <f>IFERROR(__xludf.DUMMYFUNCTION("""COMPUTED_VALUE"""),"车兵-lv3-4")</f>
        <v>车兵-lv3-4</v>
      </c>
      <c r="C126" s="148">
        <f>IFERROR(__xludf.DUMMYFUNCTION("""COMPUTED_VALUE"""),1.1221004E7)</f>
        <v>11221004</v>
      </c>
      <c r="D126" s="148">
        <f>IFERROR(__xludf.DUMMYFUNCTION("""COMPUTED_VALUE"""),1.5110069E7)</f>
        <v>15110069</v>
      </c>
      <c r="E126" s="148" t="str">
        <f>IFERROR(__xludf.DUMMYFUNCTION("""COMPUTED_VALUE"""),"{""typ"":""lc"",""txt"":""LC_SOLDIER_wall_breaker_name_3""}")</f>
        <v>{"typ":"lc","txt":"LC_SOLDIER_wall_breaker_name_3"}</v>
      </c>
      <c r="F126" s="148" t="str">
        <f>IFERROR(__xludf.DUMMYFUNCTION("""COMPUTED_VALUE"""),"{""typ"":""lc"",""txt"":""LC_SOLDIER_wall_breaker_desc_3""}")</f>
        <v>{"typ":"lc","txt":"LC_SOLDIER_wall_breaker_desc_3"}</v>
      </c>
      <c r="G126" s="148">
        <f>IFERROR(__xludf.DUMMYFUNCTION("""COMPUTED_VALUE"""),4.0)</f>
        <v>4</v>
      </c>
      <c r="H126" s="148">
        <f>IFERROR(__xludf.DUMMYFUNCTION("""COMPUTED_VALUE"""),9.0)</f>
        <v>9</v>
      </c>
      <c r="I126" s="148">
        <f>IFERROR(__xludf.DUMMYFUNCTION("""COMPUTED_VALUE"""),10005.0)</f>
        <v>10005</v>
      </c>
      <c r="J126" s="148">
        <f>IFERROR(__xludf.DUMMYFUNCTION("""COMPUTED_VALUE"""),6.0)</f>
        <v>6</v>
      </c>
      <c r="K126" s="148">
        <f>IFERROR(__xludf.DUMMYFUNCTION("""COMPUTED_VALUE"""),3.0)</f>
        <v>3</v>
      </c>
      <c r="L126" s="148">
        <f>IFERROR(__xludf.DUMMYFUNCTION("""COMPUTED_VALUE"""),6.0)</f>
        <v>6</v>
      </c>
      <c r="M126" s="148">
        <f>IFERROR(__xludf.DUMMYFUNCTION("""COMPUTED_VALUE"""),60000.0)</f>
        <v>60000</v>
      </c>
      <c r="N126" s="148" t="str">
        <f>IFERROR(__xludf.DUMMYFUNCTION("""COMPUTED_VALUE"""),"[{""typ"":""rss"",""id"":11141001,""val"":280},{""typ"":""rss"",""id"":11141003,""val"":200}]")</f>
        <v>[{"typ":"rss","id":11141001,"val":280},{"typ":"rss","id":11141003,"val":200}]</v>
      </c>
      <c r="O126" s="148" t="str">
        <f>IFERROR(__xludf.DUMMYFUNCTION("""COMPUTED_VALUE"""),"{""op"":""and"",""args"":[{""op"":""ge"",""typ"":""arms_group"",""id"":11674105,""val"":1}]}")</f>
        <v>{"op":"and","args":[{"op":"ge","typ":"arms_group","id":11674105,"val":1}]}</v>
      </c>
      <c r="P126" s="148">
        <f>IFERROR(__xludf.DUMMYFUNCTION("""COMPUTED_VALUE"""),2000.0)</f>
        <v>2000</v>
      </c>
      <c r="Q126" s="148" t="str">
        <f>IFERROR(__xludf.DUMMYFUNCTION("""COMPUTED_VALUE"""),"[{""typ"":""rss"",""id"":11141001,""val"":112},{""typ"":""rss"",""id"":11141003,""val"":80}]")</f>
        <v>[{"typ":"rss","id":11141001,"val":112},{"typ":"rss","id":11141003,"val":80}]</v>
      </c>
      <c r="R126" s="148" t="str">
        <f>IFERROR(__xludf.DUMMYFUNCTION("""COMPUTED_VALUE"""),"{}")</f>
        <v>{}</v>
      </c>
      <c r="S126" s="148">
        <f>IFERROR(__xludf.DUMMYFUNCTION("""COMPUTED_VALUE"""),30000.0)</f>
        <v>30000</v>
      </c>
      <c r="T126" s="148" t="str">
        <f>IFERROR(__xludf.DUMMYFUNCTION("""COMPUTED_VALUE"""),"[{""typ"":""rss"",""id"":11141001,""val"":140},{""typ"":""rss"",""id"":11141003,""val"":100}]")</f>
        <v>[{"typ":"rss","id":11141001,"val":140},{"typ":"rss","id":11141003,"val":100}]</v>
      </c>
      <c r="U126" s="148">
        <f>IFERROR(__xludf.DUMMYFUNCTION("""COMPUTED_VALUE"""),0.0)</f>
        <v>0</v>
      </c>
      <c r="V126" s="148" t="str">
        <f>IFERROR(__xludf.DUMMYFUNCTION("""COMPUTED_VALUE"""),"{""op"":""and"",""args"":[{""op"":""ge"",""typ"":""research"",""id"":11194701,""val"":1},{""op"":""ge"",""typ"":""building"",""id"":111819,""val"":1}]}")</f>
        <v>{"op":"and","args":[{"op":"ge","typ":"research","id":11194701,"val":1},{"op":"ge","typ":"building","id":111819,"val":1}]}</v>
      </c>
      <c r="W126" s="148" t="str">
        <f>IFERROR(__xludf.DUMMYFUNCTION("""COMPUTED_VALUE"""),"[]")</f>
        <v>[]</v>
      </c>
      <c r="X126" s="148" t="str">
        <f>IFERROR(__xludf.DUMMYFUNCTION("""COMPUTED_VALUE"""),"[{""typ"":""power"",""id"":12141002,""val"":4}]")</f>
        <v>[{"typ":"power","id":12141002,"val":4}]</v>
      </c>
      <c r="Y126" s="148" t="str">
        <f>IFERROR(__xludf.DUMMYFUNCTION("""COMPUTED_VALUE"""),"[{""typ"":""atk"",""val"":173},{""typ"":""def"",""val"":168},{""typ"":""hp"",""val"":164},{""typ"":""speed"",""val"":33},{""typ"":""load"",""val"":24},{""typ"":""backcoef"",""val"":0.5},{""typ"":""atkcoef"",""val"":1.0},{""typ"":""atkcd"",""val"":0}]")</f>
        <v>[{"typ":"atk","val":173},{"typ":"def","val":168},{"typ":"hp","val":164},{"typ":"speed","val":33},{"typ":"load","val":24},{"typ":"backcoef","val":0.5},{"typ":"atkcoef","val":1.0},{"typ":"atkcd","val":0}]</v>
      </c>
      <c r="Z126" s="148" t="str">
        <f>IFERROR(__xludf.DUMMYFUNCTION("""COMPUTED_VALUE"""),"[]")</f>
        <v>[]</v>
      </c>
    </row>
    <row r="127">
      <c r="A127" s="148">
        <f>IFERROR(__xludf.DUMMYFUNCTION("""COMPUTED_VALUE"""),1.1211315E7)</f>
        <v>11211315</v>
      </c>
      <c r="B127" s="148" t="str">
        <f>IFERROR(__xludf.DUMMYFUNCTION("""COMPUTED_VALUE"""),"车兵-lv4-1")</f>
        <v>车兵-lv4-1</v>
      </c>
      <c r="C127" s="148">
        <f>IFERROR(__xludf.DUMMYFUNCTION("""COMPUTED_VALUE"""),1.1221004E7)</f>
        <v>11221004</v>
      </c>
      <c r="D127" s="148">
        <f>IFERROR(__xludf.DUMMYFUNCTION("""COMPUTED_VALUE"""),1.511007E7)</f>
        <v>15110070</v>
      </c>
      <c r="E127" s="148" t="str">
        <f>IFERROR(__xludf.DUMMYFUNCTION("""COMPUTED_VALUE"""),"{""typ"":""lc"",""txt"":""LC_SOLDIER_wall_breaker_name_4""}")</f>
        <v>{"typ":"lc","txt":"LC_SOLDIER_wall_breaker_name_4"}</v>
      </c>
      <c r="F127" s="148" t="str">
        <f>IFERROR(__xludf.DUMMYFUNCTION("""COMPUTED_VALUE"""),"{""typ"":""lc"",""txt"":""LC_SOLDIER_wall_breaker_desc_4""}")</f>
        <v>{"typ":"lc","txt":"LC_SOLDIER_wall_breaker_desc_4"}</v>
      </c>
      <c r="G127" s="148">
        <f>IFERROR(__xludf.DUMMYFUNCTION("""COMPUTED_VALUE"""),8.0)</f>
        <v>8</v>
      </c>
      <c r="H127" s="148">
        <f>IFERROR(__xludf.DUMMYFUNCTION("""COMPUTED_VALUE"""),13.0)</f>
        <v>13</v>
      </c>
      <c r="I127" s="148">
        <f>IFERROR(__xludf.DUMMYFUNCTION("""COMPUTED_VALUE"""),10003.0)</f>
        <v>10003</v>
      </c>
      <c r="J127" s="148">
        <f>IFERROR(__xludf.DUMMYFUNCTION("""COMPUTED_VALUE"""),8.0)</f>
        <v>8</v>
      </c>
      <c r="K127" s="148">
        <f>IFERROR(__xludf.DUMMYFUNCTION("""COMPUTED_VALUE"""),4.0)</f>
        <v>4</v>
      </c>
      <c r="L127" s="148">
        <f>IFERROR(__xludf.DUMMYFUNCTION("""COMPUTED_VALUE"""),6.0)</f>
        <v>6</v>
      </c>
      <c r="M127" s="148">
        <f>IFERROR(__xludf.DUMMYFUNCTION("""COMPUTED_VALUE"""),90000.0)</f>
        <v>90000</v>
      </c>
      <c r="N127" s="148" t="str">
        <f>IFERROR(__xludf.DUMMYFUNCTION("""COMPUTED_VALUE"""),"[{""typ"":""rss"",""id"":11141001,""val"":560},{""typ"":""rss"",""id"":11141003,""val"":400}]")</f>
        <v>[{"typ":"rss","id":11141001,"val":560},{"typ":"rss","id":11141003,"val":400}]</v>
      </c>
      <c r="O127" s="148" t="str">
        <f>IFERROR(__xludf.DUMMYFUNCTION("""COMPUTED_VALUE"""),"{""op"":""and"",""args"":[{""op"":""ge"",""typ"":""arms_group"",""id"":11674202,""val"":1}]}")</f>
        <v>{"op":"and","args":[{"op":"ge","typ":"arms_group","id":11674202,"val":1}]}</v>
      </c>
      <c r="P127" s="148">
        <f>IFERROR(__xludf.DUMMYFUNCTION("""COMPUTED_VALUE"""),3000.0)</f>
        <v>3000</v>
      </c>
      <c r="Q127" s="148" t="str">
        <f>IFERROR(__xludf.DUMMYFUNCTION("""COMPUTED_VALUE"""),"[{""typ"":""rss"",""id"":11141001,""val"":224},{""typ"":""rss"",""id"":11141003,""val"":160}]")</f>
        <v>[{"typ":"rss","id":11141001,"val":224},{"typ":"rss","id":11141003,"val":160}]</v>
      </c>
      <c r="R127" s="148" t="str">
        <f>IFERROR(__xludf.DUMMYFUNCTION("""COMPUTED_VALUE"""),"{}")</f>
        <v>{}</v>
      </c>
      <c r="S127" s="148">
        <f>IFERROR(__xludf.DUMMYFUNCTION("""COMPUTED_VALUE"""),30000.0)</f>
        <v>30000</v>
      </c>
      <c r="T127" s="148" t="str">
        <f>IFERROR(__xludf.DUMMYFUNCTION("""COMPUTED_VALUE"""),"[{""typ"":""rss"",""id"":11141001,""val"":280},{""typ"":""rss"",""id"":11141003,""val"":200}]")</f>
        <v>[{"typ":"rss","id":11141001,"val":280},{"typ":"rss","id":11141003,"val":200}]</v>
      </c>
      <c r="U127" s="148">
        <f>IFERROR(__xludf.DUMMYFUNCTION("""COMPUTED_VALUE"""),0.0)</f>
        <v>0</v>
      </c>
      <c r="V127" s="148" t="str">
        <f>IFERROR(__xludf.DUMMYFUNCTION("""COMPUTED_VALUE"""),"{""op"":""and"",""args"":[{""op"":""ge"",""typ"":""research"",""id"":11195601,""val"":1},{""op"":""ge"",""typ"":""building"",""id"":111819,""val"":1}]}")</f>
        <v>{"op":"and","args":[{"op":"ge","typ":"research","id":11195601,"val":1},{"op":"ge","typ":"building","id":111819,"val":1}]}</v>
      </c>
      <c r="W127" s="148" t="str">
        <f>IFERROR(__xludf.DUMMYFUNCTION("""COMPUTED_VALUE"""),"[]")</f>
        <v>[]</v>
      </c>
      <c r="X127" s="148" t="str">
        <f>IFERROR(__xludf.DUMMYFUNCTION("""COMPUTED_VALUE"""),"[{""typ"":""power"",""id"":12141002,""val"":6}]")</f>
        <v>[{"typ":"power","id":12141002,"val":6}]</v>
      </c>
      <c r="Y127" s="148" t="str">
        <f>IFERROR(__xludf.DUMMYFUNCTION("""COMPUTED_VALUE"""),"[{""typ"":""atk"",""val"":204},{""typ"":""def"",""val"":189},{""typ"":""hp"",""val"":181},{""typ"":""speed"",""val"":30},{""typ"":""load"",""val"":26},{""typ"":""backcoef"",""val"":0.5},{""typ"":""atkcoef"",""val"":1.0},{""typ"":""atkcd"",""val"":0}]")</f>
        <v>[{"typ":"atk","val":204},{"typ":"def","val":189},{"typ":"hp","val":181},{"typ":"speed","val":30},{"typ":"load","val":26},{"typ":"backcoef","val":0.5},{"typ":"atkcoef","val":1.0},{"typ":"atkcd","val":0}]</v>
      </c>
      <c r="Z127" s="148" t="str">
        <f>IFERROR(__xludf.DUMMYFUNCTION("""COMPUTED_VALUE"""),"[]")</f>
        <v>[]</v>
      </c>
    </row>
    <row r="128">
      <c r="A128" s="148">
        <f>IFERROR(__xludf.DUMMYFUNCTION("""COMPUTED_VALUE"""),1.1211316E7)</f>
        <v>11211316</v>
      </c>
      <c r="B128" s="148" t="str">
        <f>IFERROR(__xludf.DUMMYFUNCTION("""COMPUTED_VALUE"""),"车兵-lv4-2")</f>
        <v>车兵-lv4-2</v>
      </c>
      <c r="C128" s="148">
        <f>IFERROR(__xludf.DUMMYFUNCTION("""COMPUTED_VALUE"""),1.1221004E7)</f>
        <v>11221004</v>
      </c>
      <c r="D128" s="148">
        <f>IFERROR(__xludf.DUMMYFUNCTION("""COMPUTED_VALUE"""),1.511007E7)</f>
        <v>15110070</v>
      </c>
      <c r="E128" s="148" t="str">
        <f>IFERROR(__xludf.DUMMYFUNCTION("""COMPUTED_VALUE"""),"{""typ"":""lc"",""txt"":""LC_SOLDIER_wall_breaker_name_4""}")</f>
        <v>{"typ":"lc","txt":"LC_SOLDIER_wall_breaker_name_4"}</v>
      </c>
      <c r="F128" s="148" t="str">
        <f>IFERROR(__xludf.DUMMYFUNCTION("""COMPUTED_VALUE"""),"{""typ"":""lc"",""txt"":""LC_SOLDIER_wall_breaker_desc_4""}")</f>
        <v>{"typ":"lc","txt":"LC_SOLDIER_wall_breaker_desc_4"}</v>
      </c>
      <c r="G128" s="148">
        <f>IFERROR(__xludf.DUMMYFUNCTION("""COMPUTED_VALUE"""),8.0)</f>
        <v>8</v>
      </c>
      <c r="H128" s="148">
        <f>IFERROR(__xludf.DUMMYFUNCTION("""COMPUTED_VALUE"""),13.0)</f>
        <v>13</v>
      </c>
      <c r="I128" s="148">
        <f>IFERROR(__xludf.DUMMYFUNCTION("""COMPUTED_VALUE"""),10003.0)</f>
        <v>10003</v>
      </c>
      <c r="J128" s="148">
        <f>IFERROR(__xludf.DUMMYFUNCTION("""COMPUTED_VALUE"""),8.0)</f>
        <v>8</v>
      </c>
      <c r="K128" s="148">
        <f>IFERROR(__xludf.DUMMYFUNCTION("""COMPUTED_VALUE"""),4.0)</f>
        <v>4</v>
      </c>
      <c r="L128" s="148">
        <f>IFERROR(__xludf.DUMMYFUNCTION("""COMPUTED_VALUE"""),6.0)</f>
        <v>6</v>
      </c>
      <c r="M128" s="148">
        <f>IFERROR(__xludf.DUMMYFUNCTION("""COMPUTED_VALUE"""),90000.0)</f>
        <v>90000</v>
      </c>
      <c r="N128" s="148" t="str">
        <f>IFERROR(__xludf.DUMMYFUNCTION("""COMPUTED_VALUE"""),"[{""typ"":""rss"",""id"":11141001,""val"":560},{""typ"":""rss"",""id"":11141003,""val"":400}]")</f>
        <v>[{"typ":"rss","id":11141001,"val":560},{"typ":"rss","id":11141003,"val":400}]</v>
      </c>
      <c r="O128" s="148" t="str">
        <f>IFERROR(__xludf.DUMMYFUNCTION("""COMPUTED_VALUE"""),"{""op"":""and"",""args"":[{""op"":""ge"",""typ"":""arms_group"",""id"":11674203,""val"":1}]}")</f>
        <v>{"op":"and","args":[{"op":"ge","typ":"arms_group","id":11674203,"val":1}]}</v>
      </c>
      <c r="P128" s="148">
        <f>IFERROR(__xludf.DUMMYFUNCTION("""COMPUTED_VALUE"""),3000.0)</f>
        <v>3000</v>
      </c>
      <c r="Q128" s="148" t="str">
        <f>IFERROR(__xludf.DUMMYFUNCTION("""COMPUTED_VALUE"""),"[{""typ"":""rss"",""id"":11141001,""val"":224},{""typ"":""rss"",""id"":11141003,""val"":160}]")</f>
        <v>[{"typ":"rss","id":11141001,"val":224},{"typ":"rss","id":11141003,"val":160}]</v>
      </c>
      <c r="R128" s="148" t="str">
        <f>IFERROR(__xludf.DUMMYFUNCTION("""COMPUTED_VALUE"""),"{}")</f>
        <v>{}</v>
      </c>
      <c r="S128" s="148">
        <f>IFERROR(__xludf.DUMMYFUNCTION("""COMPUTED_VALUE"""),30000.0)</f>
        <v>30000</v>
      </c>
      <c r="T128" s="148" t="str">
        <f>IFERROR(__xludf.DUMMYFUNCTION("""COMPUTED_VALUE"""),"[{""typ"":""rss"",""id"":11141001,""val"":280},{""typ"":""rss"",""id"":11141003,""val"":200}]")</f>
        <v>[{"typ":"rss","id":11141001,"val":280},{"typ":"rss","id":11141003,"val":200}]</v>
      </c>
      <c r="U128" s="148">
        <f>IFERROR(__xludf.DUMMYFUNCTION("""COMPUTED_VALUE"""),0.0)</f>
        <v>0</v>
      </c>
      <c r="V128" s="148" t="str">
        <f>IFERROR(__xludf.DUMMYFUNCTION("""COMPUTED_VALUE"""),"{""op"":""and"",""args"":[{""op"":""ge"",""typ"":""research"",""id"":11195601,""val"":1},{""op"":""ge"",""typ"":""building"",""id"":111819,""val"":1}]}")</f>
        <v>{"op":"and","args":[{"op":"ge","typ":"research","id":11195601,"val":1},{"op":"ge","typ":"building","id":111819,"val":1}]}</v>
      </c>
      <c r="W128" s="148" t="str">
        <f>IFERROR(__xludf.DUMMYFUNCTION("""COMPUTED_VALUE"""),"[]")</f>
        <v>[]</v>
      </c>
      <c r="X128" s="148" t="str">
        <f>IFERROR(__xludf.DUMMYFUNCTION("""COMPUTED_VALUE"""),"[{""typ"":""power"",""id"":12141002,""val"":6}]")</f>
        <v>[{"typ":"power","id":12141002,"val":6}]</v>
      </c>
      <c r="Y128" s="148" t="str">
        <f>IFERROR(__xludf.DUMMYFUNCTION("""COMPUTED_VALUE"""),"[{""typ"":""atk"",""val"":207},{""typ"":""def"",""val"":192},{""typ"":""hp"",""val"":182},{""typ"":""speed"",""val"":30},{""typ"":""load"",""val"":26},{""typ"":""backcoef"",""val"":0.5},{""typ"":""atkcoef"",""val"":1.0},{""typ"":""atkcd"",""val"":0}]")</f>
        <v>[{"typ":"atk","val":207},{"typ":"def","val":192},{"typ":"hp","val":182},{"typ":"speed","val":30},{"typ":"load","val":26},{"typ":"backcoef","val":0.5},{"typ":"atkcoef","val":1.0},{"typ":"atkcd","val":0}]</v>
      </c>
      <c r="Z128" s="148" t="str">
        <f>IFERROR(__xludf.DUMMYFUNCTION("""COMPUTED_VALUE"""),"[]")</f>
        <v>[]</v>
      </c>
    </row>
    <row r="129">
      <c r="A129" s="148">
        <f>IFERROR(__xludf.DUMMYFUNCTION("""COMPUTED_VALUE"""),1.1211317E7)</f>
        <v>11211317</v>
      </c>
      <c r="B129" s="148" t="str">
        <f>IFERROR(__xludf.DUMMYFUNCTION("""COMPUTED_VALUE"""),"车兵-lv4-3")</f>
        <v>车兵-lv4-3</v>
      </c>
      <c r="C129" s="148">
        <f>IFERROR(__xludf.DUMMYFUNCTION("""COMPUTED_VALUE"""),1.1221004E7)</f>
        <v>11221004</v>
      </c>
      <c r="D129" s="148">
        <f>IFERROR(__xludf.DUMMYFUNCTION("""COMPUTED_VALUE"""),1.511007E7)</f>
        <v>15110070</v>
      </c>
      <c r="E129" s="148" t="str">
        <f>IFERROR(__xludf.DUMMYFUNCTION("""COMPUTED_VALUE"""),"{""typ"":""lc"",""txt"":""LC_SOLDIER_wall_breaker_name_4""}")</f>
        <v>{"typ":"lc","txt":"LC_SOLDIER_wall_breaker_name_4"}</v>
      </c>
      <c r="F129" s="148" t="str">
        <f>IFERROR(__xludf.DUMMYFUNCTION("""COMPUTED_VALUE"""),"{""typ"":""lc"",""txt"":""LC_SOLDIER_wall_breaker_desc_4""}")</f>
        <v>{"typ":"lc","txt":"LC_SOLDIER_wall_breaker_desc_4"}</v>
      </c>
      <c r="G129" s="148">
        <f>IFERROR(__xludf.DUMMYFUNCTION("""COMPUTED_VALUE"""),8.0)</f>
        <v>8</v>
      </c>
      <c r="H129" s="148">
        <f>IFERROR(__xludf.DUMMYFUNCTION("""COMPUTED_VALUE"""),13.0)</f>
        <v>13</v>
      </c>
      <c r="I129" s="148">
        <f>IFERROR(__xludf.DUMMYFUNCTION("""COMPUTED_VALUE"""),10003.0)</f>
        <v>10003</v>
      </c>
      <c r="J129" s="148">
        <f>IFERROR(__xludf.DUMMYFUNCTION("""COMPUTED_VALUE"""),8.0)</f>
        <v>8</v>
      </c>
      <c r="K129" s="148">
        <f>IFERROR(__xludf.DUMMYFUNCTION("""COMPUTED_VALUE"""),4.0)</f>
        <v>4</v>
      </c>
      <c r="L129" s="148">
        <f>IFERROR(__xludf.DUMMYFUNCTION("""COMPUTED_VALUE"""),6.0)</f>
        <v>6</v>
      </c>
      <c r="M129" s="148">
        <f>IFERROR(__xludf.DUMMYFUNCTION("""COMPUTED_VALUE"""),90000.0)</f>
        <v>90000</v>
      </c>
      <c r="N129" s="148" t="str">
        <f>IFERROR(__xludf.DUMMYFUNCTION("""COMPUTED_VALUE"""),"[{""typ"":""rss"",""id"":11141001,""val"":560},{""typ"":""rss"",""id"":11141003,""val"":400}]")</f>
        <v>[{"typ":"rss","id":11141001,"val":560},{"typ":"rss","id":11141003,"val":400}]</v>
      </c>
      <c r="O129" s="148" t="str">
        <f>IFERROR(__xludf.DUMMYFUNCTION("""COMPUTED_VALUE"""),"{""op"":""and"",""args"":[{""op"":""ge"",""typ"":""arms_group"",""id"":11674204,""val"":1}]}")</f>
        <v>{"op":"and","args":[{"op":"ge","typ":"arms_group","id":11674204,"val":1}]}</v>
      </c>
      <c r="P129" s="148">
        <f>IFERROR(__xludf.DUMMYFUNCTION("""COMPUTED_VALUE"""),3000.0)</f>
        <v>3000</v>
      </c>
      <c r="Q129" s="148" t="str">
        <f>IFERROR(__xludf.DUMMYFUNCTION("""COMPUTED_VALUE"""),"[{""typ"":""rss"",""id"":11141001,""val"":224},{""typ"":""rss"",""id"":11141003,""val"":160}]")</f>
        <v>[{"typ":"rss","id":11141001,"val":224},{"typ":"rss","id":11141003,"val":160}]</v>
      </c>
      <c r="R129" s="148" t="str">
        <f>IFERROR(__xludf.DUMMYFUNCTION("""COMPUTED_VALUE"""),"{}")</f>
        <v>{}</v>
      </c>
      <c r="S129" s="148">
        <f>IFERROR(__xludf.DUMMYFUNCTION("""COMPUTED_VALUE"""),30000.0)</f>
        <v>30000</v>
      </c>
      <c r="T129" s="148" t="str">
        <f>IFERROR(__xludf.DUMMYFUNCTION("""COMPUTED_VALUE"""),"[{""typ"":""rss"",""id"":11141001,""val"":280},{""typ"":""rss"",""id"":11141003,""val"":200}]")</f>
        <v>[{"typ":"rss","id":11141001,"val":280},{"typ":"rss","id":11141003,"val":200}]</v>
      </c>
      <c r="U129" s="148">
        <f>IFERROR(__xludf.DUMMYFUNCTION("""COMPUTED_VALUE"""),0.0)</f>
        <v>0</v>
      </c>
      <c r="V129" s="148" t="str">
        <f>IFERROR(__xludf.DUMMYFUNCTION("""COMPUTED_VALUE"""),"{""op"":""and"",""args"":[{""op"":""ge"",""typ"":""research"",""id"":11195601,""val"":1},{""op"":""ge"",""typ"":""building"",""id"":111819,""val"":1}]}")</f>
        <v>{"op":"and","args":[{"op":"ge","typ":"research","id":11195601,"val":1},{"op":"ge","typ":"building","id":111819,"val":1}]}</v>
      </c>
      <c r="W129" s="148" t="str">
        <f>IFERROR(__xludf.DUMMYFUNCTION("""COMPUTED_VALUE"""),"[]")</f>
        <v>[]</v>
      </c>
      <c r="X129" s="148" t="str">
        <f>IFERROR(__xludf.DUMMYFUNCTION("""COMPUTED_VALUE"""),"[{""typ"":""power"",""id"":12141002,""val"":6}]")</f>
        <v>[{"typ":"power","id":12141002,"val":6}]</v>
      </c>
      <c r="Y129" s="148" t="str">
        <f>IFERROR(__xludf.DUMMYFUNCTION("""COMPUTED_VALUE"""),"[{""typ"":""atk"",""val"":210},{""typ"":""def"",""val"":195},{""typ"":""hp"",""val"":183},{""typ"":""speed"",""val"":30},{""typ"":""load"",""val"":26},{""typ"":""backcoef"",""val"":0.5},{""typ"":""atkcoef"",""val"":1.0},{""typ"":""atkcd"",""val"":0}]")</f>
        <v>[{"typ":"atk","val":210},{"typ":"def","val":195},{"typ":"hp","val":183},{"typ":"speed","val":30},{"typ":"load","val":26},{"typ":"backcoef","val":0.5},{"typ":"atkcoef","val":1.0},{"typ":"atkcd","val":0}]</v>
      </c>
      <c r="Z129" s="148" t="str">
        <f>IFERROR(__xludf.DUMMYFUNCTION("""COMPUTED_VALUE"""),"[]")</f>
        <v>[]</v>
      </c>
    </row>
    <row r="130">
      <c r="A130" s="148">
        <f>IFERROR(__xludf.DUMMYFUNCTION("""COMPUTED_VALUE"""),1.1211318E7)</f>
        <v>11211318</v>
      </c>
      <c r="B130" s="148" t="str">
        <f>IFERROR(__xludf.DUMMYFUNCTION("""COMPUTED_VALUE"""),"车兵-lv4-4")</f>
        <v>车兵-lv4-4</v>
      </c>
      <c r="C130" s="148">
        <f>IFERROR(__xludf.DUMMYFUNCTION("""COMPUTED_VALUE"""),1.1221004E7)</f>
        <v>11221004</v>
      </c>
      <c r="D130" s="148">
        <f>IFERROR(__xludf.DUMMYFUNCTION("""COMPUTED_VALUE"""),1.511007E7)</f>
        <v>15110070</v>
      </c>
      <c r="E130" s="148" t="str">
        <f>IFERROR(__xludf.DUMMYFUNCTION("""COMPUTED_VALUE"""),"{""typ"":""lc"",""txt"":""LC_SOLDIER_wall_breaker_name_4""}")</f>
        <v>{"typ":"lc","txt":"LC_SOLDIER_wall_breaker_name_4"}</v>
      </c>
      <c r="F130" s="148" t="str">
        <f>IFERROR(__xludf.DUMMYFUNCTION("""COMPUTED_VALUE"""),"{""typ"":""lc"",""txt"":""LC_SOLDIER_wall_breaker_desc_4""}")</f>
        <v>{"typ":"lc","txt":"LC_SOLDIER_wall_breaker_desc_4"}</v>
      </c>
      <c r="G130" s="148">
        <f>IFERROR(__xludf.DUMMYFUNCTION("""COMPUTED_VALUE"""),8.0)</f>
        <v>8</v>
      </c>
      <c r="H130" s="148">
        <f>IFERROR(__xludf.DUMMYFUNCTION("""COMPUTED_VALUE"""),13.0)</f>
        <v>13</v>
      </c>
      <c r="I130" s="148">
        <f>IFERROR(__xludf.DUMMYFUNCTION("""COMPUTED_VALUE"""),10003.0)</f>
        <v>10003</v>
      </c>
      <c r="J130" s="148">
        <f>IFERROR(__xludf.DUMMYFUNCTION("""COMPUTED_VALUE"""),8.0)</f>
        <v>8</v>
      </c>
      <c r="K130" s="148">
        <f>IFERROR(__xludf.DUMMYFUNCTION("""COMPUTED_VALUE"""),4.0)</f>
        <v>4</v>
      </c>
      <c r="L130" s="148">
        <f>IFERROR(__xludf.DUMMYFUNCTION("""COMPUTED_VALUE"""),6.0)</f>
        <v>6</v>
      </c>
      <c r="M130" s="148">
        <f>IFERROR(__xludf.DUMMYFUNCTION("""COMPUTED_VALUE"""),90000.0)</f>
        <v>90000</v>
      </c>
      <c r="N130" s="148" t="str">
        <f>IFERROR(__xludf.DUMMYFUNCTION("""COMPUTED_VALUE"""),"[{""typ"":""rss"",""id"":11141001,""val"":560},{""typ"":""rss"",""id"":11141003,""val"":400}]")</f>
        <v>[{"typ":"rss","id":11141001,"val":560},{"typ":"rss","id":11141003,"val":400}]</v>
      </c>
      <c r="O130" s="148" t="str">
        <f>IFERROR(__xludf.DUMMYFUNCTION("""COMPUTED_VALUE"""),"{""op"":""and"",""args"":[{""op"":""ge"",""typ"":""arms_group"",""id"":11674205,""val"":1}]}")</f>
        <v>{"op":"and","args":[{"op":"ge","typ":"arms_group","id":11674205,"val":1}]}</v>
      </c>
      <c r="P130" s="148">
        <f>IFERROR(__xludf.DUMMYFUNCTION("""COMPUTED_VALUE"""),3000.0)</f>
        <v>3000</v>
      </c>
      <c r="Q130" s="148" t="str">
        <f>IFERROR(__xludf.DUMMYFUNCTION("""COMPUTED_VALUE"""),"[{""typ"":""rss"",""id"":11141001,""val"":224},{""typ"":""rss"",""id"":11141003,""val"":160}]")</f>
        <v>[{"typ":"rss","id":11141001,"val":224},{"typ":"rss","id":11141003,"val":160}]</v>
      </c>
      <c r="R130" s="148" t="str">
        <f>IFERROR(__xludf.DUMMYFUNCTION("""COMPUTED_VALUE"""),"{}")</f>
        <v>{}</v>
      </c>
      <c r="S130" s="148">
        <f>IFERROR(__xludf.DUMMYFUNCTION("""COMPUTED_VALUE"""),30000.0)</f>
        <v>30000</v>
      </c>
      <c r="T130" s="148" t="str">
        <f>IFERROR(__xludf.DUMMYFUNCTION("""COMPUTED_VALUE"""),"[{""typ"":""rss"",""id"":11141001,""val"":280},{""typ"":""rss"",""id"":11141003,""val"":200}]")</f>
        <v>[{"typ":"rss","id":11141001,"val":280},{"typ":"rss","id":11141003,"val":200}]</v>
      </c>
      <c r="U130" s="148">
        <f>IFERROR(__xludf.DUMMYFUNCTION("""COMPUTED_VALUE"""),0.0)</f>
        <v>0</v>
      </c>
      <c r="V130" s="148" t="str">
        <f>IFERROR(__xludf.DUMMYFUNCTION("""COMPUTED_VALUE"""),"{""op"":""and"",""args"":[{""op"":""ge"",""typ"":""research"",""id"":11195601,""val"":1},{""op"":""ge"",""typ"":""building"",""id"":111819,""val"":1}]}")</f>
        <v>{"op":"and","args":[{"op":"ge","typ":"research","id":11195601,"val":1},{"op":"ge","typ":"building","id":111819,"val":1}]}</v>
      </c>
      <c r="W130" s="148" t="str">
        <f>IFERROR(__xludf.DUMMYFUNCTION("""COMPUTED_VALUE"""),"[]")</f>
        <v>[]</v>
      </c>
      <c r="X130" s="148" t="str">
        <f>IFERROR(__xludf.DUMMYFUNCTION("""COMPUTED_VALUE"""),"[{""typ"":""power"",""id"":12141002,""val"":6}]")</f>
        <v>[{"typ":"power","id":12141002,"val":6}]</v>
      </c>
      <c r="Y130" s="148" t="str">
        <f>IFERROR(__xludf.DUMMYFUNCTION("""COMPUTED_VALUE"""),"[{""typ"":""atk"",""val"":213},{""typ"":""def"",""val"":198},{""typ"":""hp"",""val"":184},{""typ"":""speed"",""val"":30},{""typ"":""load"",""val"":26},{""typ"":""backcoef"",""val"":0.5},{""typ"":""atkcoef"",""val"":1.0},{""typ"":""atkcd"",""val"":0}]")</f>
        <v>[{"typ":"atk","val":213},{"typ":"def","val":198},{"typ":"hp","val":184},{"typ":"speed","val":30},{"typ":"load","val":26},{"typ":"backcoef","val":0.5},{"typ":"atkcoef","val":1.0},{"typ":"atkcd","val":0}]</v>
      </c>
      <c r="Z130" s="148" t="str">
        <f>IFERROR(__xludf.DUMMYFUNCTION("""COMPUTED_VALUE"""),"[]")</f>
        <v>[]</v>
      </c>
    </row>
    <row r="131">
      <c r="A131" s="148">
        <f>IFERROR(__xludf.DUMMYFUNCTION("""COMPUTED_VALUE"""),1.1211319E7)</f>
        <v>11211319</v>
      </c>
      <c r="B131" s="148" t="str">
        <f>IFERROR(__xludf.DUMMYFUNCTION("""COMPUTED_VALUE"""),"车兵-lv4-5")</f>
        <v>车兵-lv4-5</v>
      </c>
      <c r="C131" s="148">
        <f>IFERROR(__xludf.DUMMYFUNCTION("""COMPUTED_VALUE"""),1.1221004E7)</f>
        <v>11221004</v>
      </c>
      <c r="D131" s="148">
        <f>IFERROR(__xludf.DUMMYFUNCTION("""COMPUTED_VALUE"""),1.511007E7)</f>
        <v>15110070</v>
      </c>
      <c r="E131" s="148" t="str">
        <f>IFERROR(__xludf.DUMMYFUNCTION("""COMPUTED_VALUE"""),"{""typ"":""lc"",""txt"":""LC_SOLDIER_wall_breaker_name_4""}")</f>
        <v>{"typ":"lc","txt":"LC_SOLDIER_wall_breaker_name_4"}</v>
      </c>
      <c r="F131" s="148" t="str">
        <f>IFERROR(__xludf.DUMMYFUNCTION("""COMPUTED_VALUE"""),"{""typ"":""lc"",""txt"":""LC_SOLDIER_wall_breaker_desc_4""}")</f>
        <v>{"typ":"lc","txt":"LC_SOLDIER_wall_breaker_desc_4"}</v>
      </c>
      <c r="G131" s="148">
        <f>IFERROR(__xludf.DUMMYFUNCTION("""COMPUTED_VALUE"""),8.0)</f>
        <v>8</v>
      </c>
      <c r="H131" s="148">
        <f>IFERROR(__xludf.DUMMYFUNCTION("""COMPUTED_VALUE"""),13.0)</f>
        <v>13</v>
      </c>
      <c r="I131" s="148">
        <f>IFERROR(__xludf.DUMMYFUNCTION("""COMPUTED_VALUE"""),10003.0)</f>
        <v>10003</v>
      </c>
      <c r="J131" s="148">
        <f>IFERROR(__xludf.DUMMYFUNCTION("""COMPUTED_VALUE"""),8.0)</f>
        <v>8</v>
      </c>
      <c r="K131" s="148">
        <f>IFERROR(__xludf.DUMMYFUNCTION("""COMPUTED_VALUE"""),4.0)</f>
        <v>4</v>
      </c>
      <c r="L131" s="148">
        <f>IFERROR(__xludf.DUMMYFUNCTION("""COMPUTED_VALUE"""),6.0)</f>
        <v>6</v>
      </c>
      <c r="M131" s="148">
        <f>IFERROR(__xludf.DUMMYFUNCTION("""COMPUTED_VALUE"""),90000.0)</f>
        <v>90000</v>
      </c>
      <c r="N131" s="148" t="str">
        <f>IFERROR(__xludf.DUMMYFUNCTION("""COMPUTED_VALUE"""),"[{""typ"":""rss"",""id"":11141001,""val"":560},{""typ"":""rss"",""id"":11141003,""val"":400}]")</f>
        <v>[{"typ":"rss","id":11141001,"val":560},{"typ":"rss","id":11141003,"val":400}]</v>
      </c>
      <c r="O131" s="148" t="str">
        <f>IFERROR(__xludf.DUMMYFUNCTION("""COMPUTED_VALUE"""),"{""op"":""and"",""args"":[{""op"":""ge"",""typ"":""arms_group"",""id"":11674206,""val"":1}]}")</f>
        <v>{"op":"and","args":[{"op":"ge","typ":"arms_group","id":11674206,"val":1}]}</v>
      </c>
      <c r="P131" s="148">
        <f>IFERROR(__xludf.DUMMYFUNCTION("""COMPUTED_VALUE"""),3000.0)</f>
        <v>3000</v>
      </c>
      <c r="Q131" s="148" t="str">
        <f>IFERROR(__xludf.DUMMYFUNCTION("""COMPUTED_VALUE"""),"[{""typ"":""rss"",""id"":11141001,""val"":224},{""typ"":""rss"",""id"":11141003,""val"":160}]")</f>
        <v>[{"typ":"rss","id":11141001,"val":224},{"typ":"rss","id":11141003,"val":160}]</v>
      </c>
      <c r="R131" s="148" t="str">
        <f>IFERROR(__xludf.DUMMYFUNCTION("""COMPUTED_VALUE"""),"{}")</f>
        <v>{}</v>
      </c>
      <c r="S131" s="148">
        <f>IFERROR(__xludf.DUMMYFUNCTION("""COMPUTED_VALUE"""),30000.0)</f>
        <v>30000</v>
      </c>
      <c r="T131" s="148" t="str">
        <f>IFERROR(__xludf.DUMMYFUNCTION("""COMPUTED_VALUE"""),"[{""typ"":""rss"",""id"":11141001,""val"":280},{""typ"":""rss"",""id"":11141003,""val"":200}]")</f>
        <v>[{"typ":"rss","id":11141001,"val":280},{"typ":"rss","id":11141003,"val":200}]</v>
      </c>
      <c r="U131" s="148">
        <f>IFERROR(__xludf.DUMMYFUNCTION("""COMPUTED_VALUE"""),0.0)</f>
        <v>0</v>
      </c>
      <c r="V131" s="148" t="str">
        <f>IFERROR(__xludf.DUMMYFUNCTION("""COMPUTED_VALUE"""),"{""op"":""and"",""args"":[{""op"":""ge"",""typ"":""research"",""id"":11195601,""val"":1},{""op"":""ge"",""typ"":""building"",""id"":111819,""val"":1}]}")</f>
        <v>{"op":"and","args":[{"op":"ge","typ":"research","id":11195601,"val":1},{"op":"ge","typ":"building","id":111819,"val":1}]}</v>
      </c>
      <c r="W131" s="148" t="str">
        <f>IFERROR(__xludf.DUMMYFUNCTION("""COMPUTED_VALUE"""),"[]")</f>
        <v>[]</v>
      </c>
      <c r="X131" s="148" t="str">
        <f>IFERROR(__xludf.DUMMYFUNCTION("""COMPUTED_VALUE"""),"[{""typ"":""power"",""id"":12141002,""val"":6}]")</f>
        <v>[{"typ":"power","id":12141002,"val":6}]</v>
      </c>
      <c r="Y131" s="148" t="str">
        <f>IFERROR(__xludf.DUMMYFUNCTION("""COMPUTED_VALUE"""),"[{""typ"":""atk"",""val"":216},{""typ"":""def"",""val"":201},{""typ"":""hp"",""val"":185},{""typ"":""speed"",""val"":30},{""typ"":""load"",""val"":26},{""typ"":""backcoef"",""val"":0.5},{""typ"":""atkcoef"",""val"":1.0},{""typ"":""atkcd"",""val"":0}]")</f>
        <v>[{"typ":"atk","val":216},{"typ":"def","val":201},{"typ":"hp","val":185},{"typ":"speed","val":30},{"typ":"load","val":26},{"typ":"backcoef","val":0.5},{"typ":"atkcoef","val":1.0},{"typ":"atkcd","val":0}]</v>
      </c>
      <c r="Z131" s="148" t="str">
        <f>IFERROR(__xludf.DUMMYFUNCTION("""COMPUTED_VALUE"""),"[]")</f>
        <v>[]</v>
      </c>
    </row>
    <row r="132">
      <c r="A132" s="148">
        <f>IFERROR(__xludf.DUMMYFUNCTION("""COMPUTED_VALUE"""),1.121132E7)</f>
        <v>11211320</v>
      </c>
      <c r="B132" s="148" t="str">
        <f>IFERROR(__xludf.DUMMYFUNCTION("""COMPUTED_VALUE"""),"车兵-lv5-1")</f>
        <v>车兵-lv5-1</v>
      </c>
      <c r="C132" s="148">
        <f>IFERROR(__xludf.DUMMYFUNCTION("""COMPUTED_VALUE"""),1.1221004E7)</f>
        <v>11221004</v>
      </c>
      <c r="D132" s="148">
        <f>IFERROR(__xludf.DUMMYFUNCTION("""COMPUTED_VALUE"""),1.5110071E7)</f>
        <v>15110071</v>
      </c>
      <c r="E132" s="148" t="str">
        <f>IFERROR(__xludf.DUMMYFUNCTION("""COMPUTED_VALUE"""),"{""typ"":""lc"",""txt"":""LC_SOLDIER_wall_breaker_name_5""}")</f>
        <v>{"typ":"lc","txt":"LC_SOLDIER_wall_breaker_name_5"}</v>
      </c>
      <c r="F132" s="148" t="str">
        <f>IFERROR(__xludf.DUMMYFUNCTION("""COMPUTED_VALUE"""),"{""typ"":""lc"",""txt"":""LC_SOLDIER_wall_breaker_desc_5""}")</f>
        <v>{"typ":"lc","txt":"LC_SOLDIER_wall_breaker_desc_5"}</v>
      </c>
      <c r="G132" s="148">
        <f>IFERROR(__xludf.DUMMYFUNCTION("""COMPUTED_VALUE"""),15.0)</f>
        <v>15</v>
      </c>
      <c r="H132" s="148">
        <f>IFERROR(__xludf.DUMMYFUNCTION("""COMPUTED_VALUE"""),17.0)</f>
        <v>17</v>
      </c>
      <c r="I132" s="148">
        <f>IFERROR(__xludf.DUMMYFUNCTION("""COMPUTED_VALUE"""),10001.0)</f>
        <v>10001</v>
      </c>
      <c r="J132" s="148">
        <f>IFERROR(__xludf.DUMMYFUNCTION("""COMPUTED_VALUE"""),10.0)</f>
        <v>10</v>
      </c>
      <c r="K132" s="148">
        <f>IFERROR(__xludf.DUMMYFUNCTION("""COMPUTED_VALUE"""),5.0)</f>
        <v>5</v>
      </c>
      <c r="L132" s="148">
        <f>IFERROR(__xludf.DUMMYFUNCTION("""COMPUTED_VALUE"""),6.0)</f>
        <v>6</v>
      </c>
      <c r="M132" s="148">
        <f>IFERROR(__xludf.DUMMYFUNCTION("""COMPUTED_VALUE"""),180000.0)</f>
        <v>180000</v>
      </c>
      <c r="N132" s="148" t="str">
        <f>IFERROR(__xludf.DUMMYFUNCTION("""COMPUTED_VALUE"""),"[{""typ"":""rss"",""id"":11141001,""val"":1400},{""typ"":""rss"",""id"":11141003,""val"":1000}]")</f>
        <v>[{"typ":"rss","id":11141001,"val":1400},{"typ":"rss","id":11141003,"val":1000}]</v>
      </c>
      <c r="O132" s="148" t="str">
        <f>IFERROR(__xludf.DUMMYFUNCTION("""COMPUTED_VALUE"""),"{""op"":""and"",""args"":[{""op"":""ge"",""typ"":""arms_group"",""id"":11674302,""val"":1}]}")</f>
        <v>{"op":"and","args":[{"op":"ge","typ":"arms_group","id":11674302,"val":1}]}</v>
      </c>
      <c r="P132" s="148">
        <f>IFERROR(__xludf.DUMMYFUNCTION("""COMPUTED_VALUE"""),6000.0)</f>
        <v>6000</v>
      </c>
      <c r="Q132" s="148" t="str">
        <f>IFERROR(__xludf.DUMMYFUNCTION("""COMPUTED_VALUE"""),"[{""typ"":""rss"",""id"":11141001,""val"":560},{""typ"":""rss"",""id"":11141003,""val"":400}]")</f>
        <v>[{"typ":"rss","id":11141001,"val":560},{"typ":"rss","id":11141003,"val":400}]</v>
      </c>
      <c r="R132" s="148" t="str">
        <f>IFERROR(__xludf.DUMMYFUNCTION("""COMPUTED_VALUE"""),"{}")</f>
        <v>{}</v>
      </c>
      <c r="S132" s="148">
        <f>IFERROR(__xludf.DUMMYFUNCTION("""COMPUTED_VALUE"""),90000.0)</f>
        <v>90000</v>
      </c>
      <c r="T132" s="148" t="str">
        <f>IFERROR(__xludf.DUMMYFUNCTION("""COMPUTED_VALUE"""),"[{""typ"":""rss"",""id"":11141001,""val"":840},{""typ"":""rss"",""id"":11141003,""val"":600}]")</f>
        <v>[{"typ":"rss","id":11141001,"val":840},{"typ":"rss","id":11141003,"val":600}]</v>
      </c>
      <c r="U132" s="148">
        <f>IFERROR(__xludf.DUMMYFUNCTION("""COMPUTED_VALUE"""),0.0)</f>
        <v>0</v>
      </c>
      <c r="V132" s="148" t="str">
        <f>IFERROR(__xludf.DUMMYFUNCTION("""COMPUTED_VALUE"""),"{""op"":""and"",""args"":[{""op"":""ge"",""typ"":""research"",""id"":11197101,""val"":1},{""op"":""ge"",""typ"":""building"",""id"":111819,""val"":1}]}")</f>
        <v>{"op":"and","args":[{"op":"ge","typ":"research","id":11197101,"val":1},{"op":"ge","typ":"building","id":111819,"val":1}]}</v>
      </c>
      <c r="W132" s="148" t="str">
        <f>IFERROR(__xludf.DUMMYFUNCTION("""COMPUTED_VALUE"""),"[]")</f>
        <v>[]</v>
      </c>
      <c r="X132" s="148" t="str">
        <f>IFERROR(__xludf.DUMMYFUNCTION("""COMPUTED_VALUE"""),"[{""typ"":""power"",""id"":12141002,""val"":10}]")</f>
        <v>[{"typ":"power","id":12141002,"val":10}]</v>
      </c>
      <c r="Y132" s="148" t="str">
        <f>IFERROR(__xludf.DUMMYFUNCTION("""COMPUTED_VALUE"""),"[{""typ"":""atk"",""val"":234},{""typ"":""def"",""val"":213},{""typ"":""hp"",""val"":209},{""typ"":""speed"",""val"":28},{""typ"":""load"",""val"":30},{""typ"":""backcoef"",""val"":0.5},{""typ"":""atkcoef"",""val"":1.0},{""typ"":""atkcd"",""val"":0}]")</f>
        <v>[{"typ":"atk","val":234},{"typ":"def","val":213},{"typ":"hp","val":209},{"typ":"speed","val":28},{"typ":"load","val":30},{"typ":"backcoef","val":0.5},{"typ":"atkcoef","val":1.0},{"typ":"atkcd","val":0}]</v>
      </c>
      <c r="Z132" s="148" t="str">
        <f>IFERROR(__xludf.DUMMYFUNCTION("""COMPUTED_VALUE"""),"[]")</f>
        <v>[]</v>
      </c>
    </row>
    <row r="133">
      <c r="A133" s="148">
        <f>IFERROR(__xludf.DUMMYFUNCTION("""COMPUTED_VALUE"""),1.1211321E7)</f>
        <v>11211321</v>
      </c>
      <c r="B133" s="148" t="str">
        <f>IFERROR(__xludf.DUMMYFUNCTION("""COMPUTED_VALUE"""),"车兵-lv5-2")</f>
        <v>车兵-lv5-2</v>
      </c>
      <c r="C133" s="148">
        <f>IFERROR(__xludf.DUMMYFUNCTION("""COMPUTED_VALUE"""),1.1221004E7)</f>
        <v>11221004</v>
      </c>
      <c r="D133" s="148">
        <f>IFERROR(__xludf.DUMMYFUNCTION("""COMPUTED_VALUE"""),1.5110071E7)</f>
        <v>15110071</v>
      </c>
      <c r="E133" s="148" t="str">
        <f>IFERROR(__xludf.DUMMYFUNCTION("""COMPUTED_VALUE"""),"{""typ"":""lc"",""txt"":""LC_SOLDIER_wall_breaker_name_5""}")</f>
        <v>{"typ":"lc","txt":"LC_SOLDIER_wall_breaker_name_5"}</v>
      </c>
      <c r="F133" s="148" t="str">
        <f>IFERROR(__xludf.DUMMYFUNCTION("""COMPUTED_VALUE"""),"{""typ"":""lc"",""txt"":""LC_SOLDIER_wall_breaker_desc_5""}")</f>
        <v>{"typ":"lc","txt":"LC_SOLDIER_wall_breaker_desc_5"}</v>
      </c>
      <c r="G133" s="148">
        <f>IFERROR(__xludf.DUMMYFUNCTION("""COMPUTED_VALUE"""),15.0)</f>
        <v>15</v>
      </c>
      <c r="H133" s="148">
        <f>IFERROR(__xludf.DUMMYFUNCTION("""COMPUTED_VALUE"""),17.0)</f>
        <v>17</v>
      </c>
      <c r="I133" s="148">
        <f>IFERROR(__xludf.DUMMYFUNCTION("""COMPUTED_VALUE"""),10001.0)</f>
        <v>10001</v>
      </c>
      <c r="J133" s="148">
        <f>IFERROR(__xludf.DUMMYFUNCTION("""COMPUTED_VALUE"""),10.0)</f>
        <v>10</v>
      </c>
      <c r="K133" s="148">
        <f>IFERROR(__xludf.DUMMYFUNCTION("""COMPUTED_VALUE"""),5.0)</f>
        <v>5</v>
      </c>
      <c r="L133" s="148">
        <f>IFERROR(__xludf.DUMMYFUNCTION("""COMPUTED_VALUE"""),6.0)</f>
        <v>6</v>
      </c>
      <c r="M133" s="148">
        <f>IFERROR(__xludf.DUMMYFUNCTION("""COMPUTED_VALUE"""),180000.0)</f>
        <v>180000</v>
      </c>
      <c r="N133" s="148" t="str">
        <f>IFERROR(__xludf.DUMMYFUNCTION("""COMPUTED_VALUE"""),"[{""typ"":""rss"",""id"":11141001,""val"":1400},{""typ"":""rss"",""id"":11141003,""val"":1000}]")</f>
        <v>[{"typ":"rss","id":11141001,"val":1400},{"typ":"rss","id":11141003,"val":1000}]</v>
      </c>
      <c r="O133" s="148" t="str">
        <f>IFERROR(__xludf.DUMMYFUNCTION("""COMPUTED_VALUE"""),"{""op"":""and"",""args"":[{""op"":""ge"",""typ"":""arms_group"",""id"":11674303,""val"":1}]}")</f>
        <v>{"op":"and","args":[{"op":"ge","typ":"arms_group","id":11674303,"val":1}]}</v>
      </c>
      <c r="P133" s="148">
        <f>IFERROR(__xludf.DUMMYFUNCTION("""COMPUTED_VALUE"""),6000.0)</f>
        <v>6000</v>
      </c>
      <c r="Q133" s="148" t="str">
        <f>IFERROR(__xludf.DUMMYFUNCTION("""COMPUTED_VALUE"""),"[{""typ"":""rss"",""id"":11141001,""val"":560},{""typ"":""rss"",""id"":11141003,""val"":400}]")</f>
        <v>[{"typ":"rss","id":11141001,"val":560},{"typ":"rss","id":11141003,"val":400}]</v>
      </c>
      <c r="R133" s="148" t="str">
        <f>IFERROR(__xludf.DUMMYFUNCTION("""COMPUTED_VALUE"""),"{}")</f>
        <v>{}</v>
      </c>
      <c r="S133" s="148">
        <f>IFERROR(__xludf.DUMMYFUNCTION("""COMPUTED_VALUE"""),90000.0)</f>
        <v>90000</v>
      </c>
      <c r="T133" s="148" t="str">
        <f>IFERROR(__xludf.DUMMYFUNCTION("""COMPUTED_VALUE"""),"[{""typ"":""rss"",""id"":11141001,""val"":840},{""typ"":""rss"",""id"":11141003,""val"":600}]")</f>
        <v>[{"typ":"rss","id":11141001,"val":840},{"typ":"rss","id":11141003,"val":600}]</v>
      </c>
      <c r="U133" s="148">
        <f>IFERROR(__xludf.DUMMYFUNCTION("""COMPUTED_VALUE"""),0.0)</f>
        <v>0</v>
      </c>
      <c r="V133" s="148" t="str">
        <f>IFERROR(__xludf.DUMMYFUNCTION("""COMPUTED_VALUE"""),"{""op"":""and"",""args"":[{""op"":""ge"",""typ"":""research"",""id"":11197101,""val"":1},{""op"":""ge"",""typ"":""building"",""id"":111819,""val"":1}]}")</f>
        <v>{"op":"and","args":[{"op":"ge","typ":"research","id":11197101,"val":1},{"op":"ge","typ":"building","id":111819,"val":1}]}</v>
      </c>
      <c r="W133" s="148" t="str">
        <f>IFERROR(__xludf.DUMMYFUNCTION("""COMPUTED_VALUE"""),"[]")</f>
        <v>[]</v>
      </c>
      <c r="X133" s="148" t="str">
        <f>IFERROR(__xludf.DUMMYFUNCTION("""COMPUTED_VALUE"""),"[{""typ"":""power"",""id"":12141002,""val"":10}]")</f>
        <v>[{"typ":"power","id":12141002,"val":10}]</v>
      </c>
      <c r="Y133" s="148" t="str">
        <f>IFERROR(__xludf.DUMMYFUNCTION("""COMPUTED_VALUE"""),"[{""typ"":""atk"",""val"":237},{""typ"":""def"",""val"":216},{""typ"":""hp"",""val"":210},{""typ"":""speed"",""val"":28},{""typ"":""load"",""val"":30},{""typ"":""backcoef"",""val"":0.5},{""typ"":""atkcoef"",""val"":1.0},{""typ"":""atkcd"",""val"":0}]")</f>
        <v>[{"typ":"atk","val":237},{"typ":"def","val":216},{"typ":"hp","val":210},{"typ":"speed","val":28},{"typ":"load","val":30},{"typ":"backcoef","val":0.5},{"typ":"atkcoef","val":1.0},{"typ":"atkcd","val":0}]</v>
      </c>
      <c r="Z133" s="148" t="str">
        <f>IFERROR(__xludf.DUMMYFUNCTION("""COMPUTED_VALUE"""),"[]")</f>
        <v>[]</v>
      </c>
    </row>
    <row r="134">
      <c r="A134" s="148">
        <f>IFERROR(__xludf.DUMMYFUNCTION("""COMPUTED_VALUE"""),1.1211322E7)</f>
        <v>11211322</v>
      </c>
      <c r="B134" s="148" t="str">
        <f>IFERROR(__xludf.DUMMYFUNCTION("""COMPUTED_VALUE"""),"车兵-lv5-3")</f>
        <v>车兵-lv5-3</v>
      </c>
      <c r="C134" s="148">
        <f>IFERROR(__xludf.DUMMYFUNCTION("""COMPUTED_VALUE"""),1.1221004E7)</f>
        <v>11221004</v>
      </c>
      <c r="D134" s="148">
        <f>IFERROR(__xludf.DUMMYFUNCTION("""COMPUTED_VALUE"""),1.5110071E7)</f>
        <v>15110071</v>
      </c>
      <c r="E134" s="148" t="str">
        <f>IFERROR(__xludf.DUMMYFUNCTION("""COMPUTED_VALUE"""),"{""typ"":""lc"",""txt"":""LC_SOLDIER_wall_breaker_name_5""}")</f>
        <v>{"typ":"lc","txt":"LC_SOLDIER_wall_breaker_name_5"}</v>
      </c>
      <c r="F134" s="148" t="str">
        <f>IFERROR(__xludf.DUMMYFUNCTION("""COMPUTED_VALUE"""),"{""typ"":""lc"",""txt"":""LC_SOLDIER_wall_breaker_desc_5""}")</f>
        <v>{"typ":"lc","txt":"LC_SOLDIER_wall_breaker_desc_5"}</v>
      </c>
      <c r="G134" s="148">
        <f>IFERROR(__xludf.DUMMYFUNCTION("""COMPUTED_VALUE"""),15.0)</f>
        <v>15</v>
      </c>
      <c r="H134" s="148">
        <f>IFERROR(__xludf.DUMMYFUNCTION("""COMPUTED_VALUE"""),17.0)</f>
        <v>17</v>
      </c>
      <c r="I134" s="148">
        <f>IFERROR(__xludf.DUMMYFUNCTION("""COMPUTED_VALUE"""),10001.0)</f>
        <v>10001</v>
      </c>
      <c r="J134" s="148">
        <f>IFERROR(__xludf.DUMMYFUNCTION("""COMPUTED_VALUE"""),10.0)</f>
        <v>10</v>
      </c>
      <c r="K134" s="148">
        <f>IFERROR(__xludf.DUMMYFUNCTION("""COMPUTED_VALUE"""),5.0)</f>
        <v>5</v>
      </c>
      <c r="L134" s="148">
        <f>IFERROR(__xludf.DUMMYFUNCTION("""COMPUTED_VALUE"""),6.0)</f>
        <v>6</v>
      </c>
      <c r="M134" s="148">
        <f>IFERROR(__xludf.DUMMYFUNCTION("""COMPUTED_VALUE"""),180000.0)</f>
        <v>180000</v>
      </c>
      <c r="N134" s="148" t="str">
        <f>IFERROR(__xludf.DUMMYFUNCTION("""COMPUTED_VALUE"""),"[{""typ"":""rss"",""id"":11141001,""val"":1400},{""typ"":""rss"",""id"":11141003,""val"":1000}]")</f>
        <v>[{"typ":"rss","id":11141001,"val":1400},{"typ":"rss","id":11141003,"val":1000}]</v>
      </c>
      <c r="O134" s="148" t="str">
        <f>IFERROR(__xludf.DUMMYFUNCTION("""COMPUTED_VALUE"""),"{""op"":""and"",""args"":[{""op"":""ge"",""typ"":""arms_group"",""id"":11674304,""val"":1}]}")</f>
        <v>{"op":"and","args":[{"op":"ge","typ":"arms_group","id":11674304,"val":1}]}</v>
      </c>
      <c r="P134" s="148">
        <f>IFERROR(__xludf.DUMMYFUNCTION("""COMPUTED_VALUE"""),6000.0)</f>
        <v>6000</v>
      </c>
      <c r="Q134" s="148" t="str">
        <f>IFERROR(__xludf.DUMMYFUNCTION("""COMPUTED_VALUE"""),"[{""typ"":""rss"",""id"":11141001,""val"":560},{""typ"":""rss"",""id"":11141003,""val"":400}]")</f>
        <v>[{"typ":"rss","id":11141001,"val":560},{"typ":"rss","id":11141003,"val":400}]</v>
      </c>
      <c r="R134" s="148" t="str">
        <f>IFERROR(__xludf.DUMMYFUNCTION("""COMPUTED_VALUE"""),"{}")</f>
        <v>{}</v>
      </c>
      <c r="S134" s="148">
        <f>IFERROR(__xludf.DUMMYFUNCTION("""COMPUTED_VALUE"""),90000.0)</f>
        <v>90000</v>
      </c>
      <c r="T134" s="148" t="str">
        <f>IFERROR(__xludf.DUMMYFUNCTION("""COMPUTED_VALUE"""),"[{""typ"":""rss"",""id"":11141001,""val"":840},{""typ"":""rss"",""id"":11141003,""val"":600}]")</f>
        <v>[{"typ":"rss","id":11141001,"val":840},{"typ":"rss","id":11141003,"val":600}]</v>
      </c>
      <c r="U134" s="148">
        <f>IFERROR(__xludf.DUMMYFUNCTION("""COMPUTED_VALUE"""),0.0)</f>
        <v>0</v>
      </c>
      <c r="V134" s="148" t="str">
        <f>IFERROR(__xludf.DUMMYFUNCTION("""COMPUTED_VALUE"""),"{""op"":""and"",""args"":[{""op"":""ge"",""typ"":""research"",""id"":11197101,""val"":1},{""op"":""ge"",""typ"":""building"",""id"":111819,""val"":1}]}")</f>
        <v>{"op":"and","args":[{"op":"ge","typ":"research","id":11197101,"val":1},{"op":"ge","typ":"building","id":111819,"val":1}]}</v>
      </c>
      <c r="W134" s="148" t="str">
        <f>IFERROR(__xludf.DUMMYFUNCTION("""COMPUTED_VALUE"""),"[]")</f>
        <v>[]</v>
      </c>
      <c r="X134" s="148" t="str">
        <f>IFERROR(__xludf.DUMMYFUNCTION("""COMPUTED_VALUE"""),"[{""typ"":""power"",""id"":12141002,""val"":10}]")</f>
        <v>[{"typ":"power","id":12141002,"val":10}]</v>
      </c>
      <c r="Y134" s="148" t="str">
        <f>IFERROR(__xludf.DUMMYFUNCTION("""COMPUTED_VALUE"""),"[{""typ"":""atk"",""val"":240},{""typ"":""def"",""val"":219},{""typ"":""hp"",""val"":211},{""typ"":""speed"",""val"":28},{""typ"":""load"",""val"":30},{""typ"":""backcoef"",""val"":0.5},{""typ"":""atkcoef"",""val"":1.0},{""typ"":""atkcd"",""val"":0}]")</f>
        <v>[{"typ":"atk","val":240},{"typ":"def","val":219},{"typ":"hp","val":211},{"typ":"speed","val":28},{"typ":"load","val":30},{"typ":"backcoef","val":0.5},{"typ":"atkcoef","val":1.0},{"typ":"atkcd","val":0}]</v>
      </c>
      <c r="Z134" s="148" t="str">
        <f>IFERROR(__xludf.DUMMYFUNCTION("""COMPUTED_VALUE"""),"[]")</f>
        <v>[]</v>
      </c>
    </row>
    <row r="135">
      <c r="A135" s="148">
        <f>IFERROR(__xludf.DUMMYFUNCTION("""COMPUTED_VALUE"""),1.1211323E7)</f>
        <v>11211323</v>
      </c>
      <c r="B135" s="148" t="str">
        <f>IFERROR(__xludf.DUMMYFUNCTION("""COMPUTED_VALUE"""),"车兵-lv5-4")</f>
        <v>车兵-lv5-4</v>
      </c>
      <c r="C135" s="148">
        <f>IFERROR(__xludf.DUMMYFUNCTION("""COMPUTED_VALUE"""),1.1221004E7)</f>
        <v>11221004</v>
      </c>
      <c r="D135" s="148">
        <f>IFERROR(__xludf.DUMMYFUNCTION("""COMPUTED_VALUE"""),1.5110071E7)</f>
        <v>15110071</v>
      </c>
      <c r="E135" s="148" t="str">
        <f>IFERROR(__xludf.DUMMYFUNCTION("""COMPUTED_VALUE"""),"{""typ"":""lc"",""txt"":""LC_SOLDIER_wall_breaker_name_5""}")</f>
        <v>{"typ":"lc","txt":"LC_SOLDIER_wall_breaker_name_5"}</v>
      </c>
      <c r="F135" s="148" t="str">
        <f>IFERROR(__xludf.DUMMYFUNCTION("""COMPUTED_VALUE"""),"{""typ"":""lc"",""txt"":""LC_SOLDIER_wall_breaker_desc_5""}")</f>
        <v>{"typ":"lc","txt":"LC_SOLDIER_wall_breaker_desc_5"}</v>
      </c>
      <c r="G135" s="148">
        <f>IFERROR(__xludf.DUMMYFUNCTION("""COMPUTED_VALUE"""),15.0)</f>
        <v>15</v>
      </c>
      <c r="H135" s="148">
        <f>IFERROR(__xludf.DUMMYFUNCTION("""COMPUTED_VALUE"""),17.0)</f>
        <v>17</v>
      </c>
      <c r="I135" s="148">
        <f>IFERROR(__xludf.DUMMYFUNCTION("""COMPUTED_VALUE"""),10001.0)</f>
        <v>10001</v>
      </c>
      <c r="J135" s="148">
        <f>IFERROR(__xludf.DUMMYFUNCTION("""COMPUTED_VALUE"""),10.0)</f>
        <v>10</v>
      </c>
      <c r="K135" s="148">
        <f>IFERROR(__xludf.DUMMYFUNCTION("""COMPUTED_VALUE"""),5.0)</f>
        <v>5</v>
      </c>
      <c r="L135" s="148">
        <f>IFERROR(__xludf.DUMMYFUNCTION("""COMPUTED_VALUE"""),6.0)</f>
        <v>6</v>
      </c>
      <c r="M135" s="148">
        <f>IFERROR(__xludf.DUMMYFUNCTION("""COMPUTED_VALUE"""),180000.0)</f>
        <v>180000</v>
      </c>
      <c r="N135" s="148" t="str">
        <f>IFERROR(__xludf.DUMMYFUNCTION("""COMPUTED_VALUE"""),"[{""typ"":""rss"",""id"":11141001,""val"":1400},{""typ"":""rss"",""id"":11141003,""val"":1000}]")</f>
        <v>[{"typ":"rss","id":11141001,"val":1400},{"typ":"rss","id":11141003,"val":1000}]</v>
      </c>
      <c r="O135" s="148" t="str">
        <f>IFERROR(__xludf.DUMMYFUNCTION("""COMPUTED_VALUE"""),"{""op"":""and"",""args"":[{""op"":""ge"",""typ"":""arms_group"",""id"":11674305,""val"":1}]}")</f>
        <v>{"op":"and","args":[{"op":"ge","typ":"arms_group","id":11674305,"val":1}]}</v>
      </c>
      <c r="P135" s="148">
        <f>IFERROR(__xludf.DUMMYFUNCTION("""COMPUTED_VALUE"""),6000.0)</f>
        <v>6000</v>
      </c>
      <c r="Q135" s="148" t="str">
        <f>IFERROR(__xludf.DUMMYFUNCTION("""COMPUTED_VALUE"""),"[{""typ"":""rss"",""id"":11141001,""val"":560},{""typ"":""rss"",""id"":11141003,""val"":400}]")</f>
        <v>[{"typ":"rss","id":11141001,"val":560},{"typ":"rss","id":11141003,"val":400}]</v>
      </c>
      <c r="R135" s="148" t="str">
        <f>IFERROR(__xludf.DUMMYFUNCTION("""COMPUTED_VALUE"""),"{}")</f>
        <v>{}</v>
      </c>
      <c r="S135" s="148">
        <f>IFERROR(__xludf.DUMMYFUNCTION("""COMPUTED_VALUE"""),90000.0)</f>
        <v>90000</v>
      </c>
      <c r="T135" s="148" t="str">
        <f>IFERROR(__xludf.DUMMYFUNCTION("""COMPUTED_VALUE"""),"[{""typ"":""rss"",""id"":11141001,""val"":840},{""typ"":""rss"",""id"":11141003,""val"":600}]")</f>
        <v>[{"typ":"rss","id":11141001,"val":840},{"typ":"rss","id":11141003,"val":600}]</v>
      </c>
      <c r="U135" s="148">
        <f>IFERROR(__xludf.DUMMYFUNCTION("""COMPUTED_VALUE"""),0.0)</f>
        <v>0</v>
      </c>
      <c r="V135" s="148" t="str">
        <f>IFERROR(__xludf.DUMMYFUNCTION("""COMPUTED_VALUE"""),"{""op"":""and"",""args"":[{""op"":""ge"",""typ"":""research"",""id"":11197101,""val"":1},{""op"":""ge"",""typ"":""building"",""id"":111819,""val"":1}]}")</f>
        <v>{"op":"and","args":[{"op":"ge","typ":"research","id":11197101,"val":1},{"op":"ge","typ":"building","id":111819,"val":1}]}</v>
      </c>
      <c r="W135" s="148" t="str">
        <f>IFERROR(__xludf.DUMMYFUNCTION("""COMPUTED_VALUE"""),"[]")</f>
        <v>[]</v>
      </c>
      <c r="X135" s="148" t="str">
        <f>IFERROR(__xludf.DUMMYFUNCTION("""COMPUTED_VALUE"""),"[{""typ"":""power"",""id"":12141002,""val"":10}]")</f>
        <v>[{"typ":"power","id":12141002,"val":10}]</v>
      </c>
      <c r="Y135" s="148" t="str">
        <f>IFERROR(__xludf.DUMMYFUNCTION("""COMPUTED_VALUE"""),"[{""typ"":""atk"",""val"":243},{""typ"":""def"",""val"":222},{""typ"":""hp"",""val"":212},{""typ"":""speed"",""val"":28},{""typ"":""load"",""val"":30},{""typ"":""backcoef"",""val"":0.5},{""typ"":""atkcoef"",""val"":1.0},{""typ"":""atkcd"",""val"":0}]")</f>
        <v>[{"typ":"atk","val":243},{"typ":"def","val":222},{"typ":"hp","val":212},{"typ":"speed","val":28},{"typ":"load","val":30},{"typ":"backcoef","val":0.5},{"typ":"atkcoef","val":1.0},{"typ":"atkcd","val":0}]</v>
      </c>
      <c r="Z135" s="148" t="str">
        <f>IFERROR(__xludf.DUMMYFUNCTION("""COMPUTED_VALUE"""),"[]")</f>
        <v>[]</v>
      </c>
    </row>
    <row r="136">
      <c r="A136" s="148">
        <f>IFERROR(__xludf.DUMMYFUNCTION("""COMPUTED_VALUE"""),1.1211324E7)</f>
        <v>11211324</v>
      </c>
      <c r="B136" s="148" t="str">
        <f>IFERROR(__xludf.DUMMYFUNCTION("""COMPUTED_VALUE"""),"车兵-lv5-5")</f>
        <v>车兵-lv5-5</v>
      </c>
      <c r="C136" s="148">
        <f>IFERROR(__xludf.DUMMYFUNCTION("""COMPUTED_VALUE"""),1.1221004E7)</f>
        <v>11221004</v>
      </c>
      <c r="D136" s="148">
        <f>IFERROR(__xludf.DUMMYFUNCTION("""COMPUTED_VALUE"""),1.5110071E7)</f>
        <v>15110071</v>
      </c>
      <c r="E136" s="148" t="str">
        <f>IFERROR(__xludf.DUMMYFUNCTION("""COMPUTED_VALUE"""),"{""typ"":""lc"",""txt"":""LC_SOLDIER_wall_breaker_name_5""}")</f>
        <v>{"typ":"lc","txt":"LC_SOLDIER_wall_breaker_name_5"}</v>
      </c>
      <c r="F136" s="148" t="str">
        <f>IFERROR(__xludf.DUMMYFUNCTION("""COMPUTED_VALUE"""),"{""typ"":""lc"",""txt"":""LC_SOLDIER_wall_breaker_desc_5""}")</f>
        <v>{"typ":"lc","txt":"LC_SOLDIER_wall_breaker_desc_5"}</v>
      </c>
      <c r="G136" s="148">
        <f>IFERROR(__xludf.DUMMYFUNCTION("""COMPUTED_VALUE"""),15.0)</f>
        <v>15</v>
      </c>
      <c r="H136" s="148">
        <f>IFERROR(__xludf.DUMMYFUNCTION("""COMPUTED_VALUE"""),17.0)</f>
        <v>17</v>
      </c>
      <c r="I136" s="148">
        <f>IFERROR(__xludf.DUMMYFUNCTION("""COMPUTED_VALUE"""),10001.0)</f>
        <v>10001</v>
      </c>
      <c r="J136" s="148">
        <f>IFERROR(__xludf.DUMMYFUNCTION("""COMPUTED_VALUE"""),10.0)</f>
        <v>10</v>
      </c>
      <c r="K136" s="148">
        <f>IFERROR(__xludf.DUMMYFUNCTION("""COMPUTED_VALUE"""),5.0)</f>
        <v>5</v>
      </c>
      <c r="L136" s="148">
        <f>IFERROR(__xludf.DUMMYFUNCTION("""COMPUTED_VALUE"""),6.0)</f>
        <v>6</v>
      </c>
      <c r="M136" s="148">
        <f>IFERROR(__xludf.DUMMYFUNCTION("""COMPUTED_VALUE"""),180000.0)</f>
        <v>180000</v>
      </c>
      <c r="N136" s="148" t="str">
        <f>IFERROR(__xludf.DUMMYFUNCTION("""COMPUTED_VALUE"""),"[{""typ"":""rss"",""id"":11141001,""val"":1400},{""typ"":""rss"",""id"":11141003,""val"":1000}]")</f>
        <v>[{"typ":"rss","id":11141001,"val":1400},{"typ":"rss","id":11141003,"val":1000}]</v>
      </c>
      <c r="O136" s="148" t="str">
        <f>IFERROR(__xludf.DUMMYFUNCTION("""COMPUTED_VALUE"""),"{""op"":""and"",""args"":[{""op"":""ge"",""typ"":""arms_group"",""id"":11674306,""val"":1}]}")</f>
        <v>{"op":"and","args":[{"op":"ge","typ":"arms_group","id":11674306,"val":1}]}</v>
      </c>
      <c r="P136" s="148">
        <f>IFERROR(__xludf.DUMMYFUNCTION("""COMPUTED_VALUE"""),6000.0)</f>
        <v>6000</v>
      </c>
      <c r="Q136" s="148" t="str">
        <f>IFERROR(__xludf.DUMMYFUNCTION("""COMPUTED_VALUE"""),"[{""typ"":""rss"",""id"":11141001,""val"":560},{""typ"":""rss"",""id"":11141003,""val"":400}]")</f>
        <v>[{"typ":"rss","id":11141001,"val":560},{"typ":"rss","id":11141003,"val":400}]</v>
      </c>
      <c r="R136" s="148" t="str">
        <f>IFERROR(__xludf.DUMMYFUNCTION("""COMPUTED_VALUE"""),"{}")</f>
        <v>{}</v>
      </c>
      <c r="S136" s="148">
        <f>IFERROR(__xludf.DUMMYFUNCTION("""COMPUTED_VALUE"""),90000.0)</f>
        <v>90000</v>
      </c>
      <c r="T136" s="148" t="str">
        <f>IFERROR(__xludf.DUMMYFUNCTION("""COMPUTED_VALUE"""),"[{""typ"":""rss"",""id"":11141001,""val"":840},{""typ"":""rss"",""id"":11141003,""val"":600}]")</f>
        <v>[{"typ":"rss","id":11141001,"val":840},{"typ":"rss","id":11141003,"val":600}]</v>
      </c>
      <c r="U136" s="148">
        <f>IFERROR(__xludf.DUMMYFUNCTION("""COMPUTED_VALUE"""),0.0)</f>
        <v>0</v>
      </c>
      <c r="V136" s="148" t="str">
        <f>IFERROR(__xludf.DUMMYFUNCTION("""COMPUTED_VALUE"""),"{""op"":""and"",""args"":[{""op"":""ge"",""typ"":""research"",""id"":11197101,""val"":1},{""op"":""ge"",""typ"":""building"",""id"":111819,""val"":1}]}")</f>
        <v>{"op":"and","args":[{"op":"ge","typ":"research","id":11197101,"val":1},{"op":"ge","typ":"building","id":111819,"val":1}]}</v>
      </c>
      <c r="W136" s="148" t="str">
        <f>IFERROR(__xludf.DUMMYFUNCTION("""COMPUTED_VALUE"""),"[]")</f>
        <v>[]</v>
      </c>
      <c r="X136" s="148" t="str">
        <f>IFERROR(__xludf.DUMMYFUNCTION("""COMPUTED_VALUE"""),"[{""typ"":""power"",""id"":12141002,""val"":10}]")</f>
        <v>[{"typ":"power","id":12141002,"val":10}]</v>
      </c>
      <c r="Y136" s="148" t="str">
        <f>IFERROR(__xludf.DUMMYFUNCTION("""COMPUTED_VALUE"""),"[{""typ"":""atk"",""val"":246},{""typ"":""def"",""val"":225},{""typ"":""hp"",""val"":213},{""typ"":""speed"",""val"":28},{""typ"":""load"",""val"":30},{""typ"":""backcoef"",""val"":0.5},{""typ"":""atkcoef"",""val"":1.0},{""typ"":""atkcd"",""val"":0}]")</f>
        <v>[{"typ":"atk","val":246},{"typ":"def","val":225},{"typ":"hp","val":213},{"typ":"speed","val":28},{"typ":"load","val":30},{"typ":"backcoef","val":0.5},{"typ":"atkcoef","val":1.0},{"typ":"atkcd","val":0}]</v>
      </c>
      <c r="Z136" s="148" t="str">
        <f>IFERROR(__xludf.DUMMYFUNCTION("""COMPUTED_VALUE"""),"[]")</f>
        <v>[]</v>
      </c>
    </row>
    <row r="137">
      <c r="A137" s="148">
        <f>IFERROR(__xludf.DUMMYFUNCTION("""COMPUTED_VALUE"""),1.1211325E7)</f>
        <v>11211325</v>
      </c>
      <c r="B137" s="148" t="str">
        <f>IFERROR(__xludf.DUMMYFUNCTION("""COMPUTED_VALUE"""),"车兵-lv5-6")</f>
        <v>车兵-lv5-6</v>
      </c>
      <c r="C137" s="148">
        <f>IFERROR(__xludf.DUMMYFUNCTION("""COMPUTED_VALUE"""),1.1221004E7)</f>
        <v>11221004</v>
      </c>
      <c r="D137" s="148">
        <f>IFERROR(__xludf.DUMMYFUNCTION("""COMPUTED_VALUE"""),1.5110071E7)</f>
        <v>15110071</v>
      </c>
      <c r="E137" s="148" t="str">
        <f>IFERROR(__xludf.DUMMYFUNCTION("""COMPUTED_VALUE"""),"{""typ"":""lc"",""txt"":""LC_SOLDIER_wall_breaker_name_5""}")</f>
        <v>{"typ":"lc","txt":"LC_SOLDIER_wall_breaker_name_5"}</v>
      </c>
      <c r="F137" s="148" t="str">
        <f>IFERROR(__xludf.DUMMYFUNCTION("""COMPUTED_VALUE"""),"{""typ"":""lc"",""txt"":""LC_SOLDIER_wall_breaker_desc_5""}")</f>
        <v>{"typ":"lc","txt":"LC_SOLDIER_wall_breaker_desc_5"}</v>
      </c>
      <c r="G137" s="148">
        <f>IFERROR(__xludf.DUMMYFUNCTION("""COMPUTED_VALUE"""),15.0)</f>
        <v>15</v>
      </c>
      <c r="H137" s="148">
        <f>IFERROR(__xludf.DUMMYFUNCTION("""COMPUTED_VALUE"""),17.0)</f>
        <v>17</v>
      </c>
      <c r="I137" s="148">
        <f>IFERROR(__xludf.DUMMYFUNCTION("""COMPUTED_VALUE"""),10001.0)</f>
        <v>10001</v>
      </c>
      <c r="J137" s="148">
        <f>IFERROR(__xludf.DUMMYFUNCTION("""COMPUTED_VALUE"""),10.0)</f>
        <v>10</v>
      </c>
      <c r="K137" s="148">
        <f>IFERROR(__xludf.DUMMYFUNCTION("""COMPUTED_VALUE"""),5.0)</f>
        <v>5</v>
      </c>
      <c r="L137" s="148">
        <f>IFERROR(__xludf.DUMMYFUNCTION("""COMPUTED_VALUE"""),6.0)</f>
        <v>6</v>
      </c>
      <c r="M137" s="148">
        <f>IFERROR(__xludf.DUMMYFUNCTION("""COMPUTED_VALUE"""),180000.0)</f>
        <v>180000</v>
      </c>
      <c r="N137" s="148" t="str">
        <f>IFERROR(__xludf.DUMMYFUNCTION("""COMPUTED_VALUE"""),"[{""typ"":""rss"",""id"":11141001,""val"":1400},{""typ"":""rss"",""id"":11141003,""val"":1000}]")</f>
        <v>[{"typ":"rss","id":11141001,"val":1400},{"typ":"rss","id":11141003,"val":1000}]</v>
      </c>
      <c r="O137" s="148" t="str">
        <f>IFERROR(__xludf.DUMMYFUNCTION("""COMPUTED_VALUE"""),"{""op"":""and"",""args"":[{""op"":""ge"",""typ"":""arms_group"",""id"":11674307,""val"":1}]}")</f>
        <v>{"op":"and","args":[{"op":"ge","typ":"arms_group","id":11674307,"val":1}]}</v>
      </c>
      <c r="P137" s="148">
        <f>IFERROR(__xludf.DUMMYFUNCTION("""COMPUTED_VALUE"""),6000.0)</f>
        <v>6000</v>
      </c>
      <c r="Q137" s="148" t="str">
        <f>IFERROR(__xludf.DUMMYFUNCTION("""COMPUTED_VALUE"""),"[{""typ"":""rss"",""id"":11141001,""val"":560},{""typ"":""rss"",""id"":11141003,""val"":400}]")</f>
        <v>[{"typ":"rss","id":11141001,"val":560},{"typ":"rss","id":11141003,"val":400}]</v>
      </c>
      <c r="R137" s="148" t="str">
        <f>IFERROR(__xludf.DUMMYFUNCTION("""COMPUTED_VALUE"""),"{}")</f>
        <v>{}</v>
      </c>
      <c r="S137" s="148">
        <f>IFERROR(__xludf.DUMMYFUNCTION("""COMPUTED_VALUE"""),90000.0)</f>
        <v>90000</v>
      </c>
      <c r="T137" s="148" t="str">
        <f>IFERROR(__xludf.DUMMYFUNCTION("""COMPUTED_VALUE"""),"[{""typ"":""rss"",""id"":11141001,""val"":840},{""typ"":""rss"",""id"":11141003,""val"":600}]")</f>
        <v>[{"typ":"rss","id":11141001,"val":840},{"typ":"rss","id":11141003,"val":600}]</v>
      </c>
      <c r="U137" s="148">
        <f>IFERROR(__xludf.DUMMYFUNCTION("""COMPUTED_VALUE"""),0.0)</f>
        <v>0</v>
      </c>
      <c r="V137" s="148" t="str">
        <f>IFERROR(__xludf.DUMMYFUNCTION("""COMPUTED_VALUE"""),"{""op"":""and"",""args"":[{""op"":""ge"",""typ"":""research"",""id"":11197101,""val"":1},{""op"":""ge"",""typ"":""building"",""id"":111819,""val"":1}]}")</f>
        <v>{"op":"and","args":[{"op":"ge","typ":"research","id":11197101,"val":1},{"op":"ge","typ":"building","id":111819,"val":1}]}</v>
      </c>
      <c r="W137" s="148" t="str">
        <f>IFERROR(__xludf.DUMMYFUNCTION("""COMPUTED_VALUE"""),"[]")</f>
        <v>[]</v>
      </c>
      <c r="X137" s="148" t="str">
        <f>IFERROR(__xludf.DUMMYFUNCTION("""COMPUTED_VALUE"""),"[{""typ"":""power"",""id"":12141002,""val"":10}]")</f>
        <v>[{"typ":"power","id":12141002,"val":10}]</v>
      </c>
      <c r="Y137" s="148" t="str">
        <f>IFERROR(__xludf.DUMMYFUNCTION("""COMPUTED_VALUE"""),"[{""typ"":""atk"",""val"":249},{""typ"":""def"",""val"":228},{""typ"":""hp"",""val"":214},{""typ"":""speed"",""val"":28},{""typ"":""load"",""val"":30},{""typ"":""backcoef"",""val"":0.5},{""typ"":""atkcoef"",""val"":1.0},{""typ"":""atkcd"",""val"":0}]")</f>
        <v>[{"typ":"atk","val":249},{"typ":"def","val":228},{"typ":"hp","val":214},{"typ":"speed","val":28},{"typ":"load","val":30},{"typ":"backcoef","val":0.5},{"typ":"atkcoef","val":1.0},{"typ":"atkcd","val":0}]</v>
      </c>
      <c r="Z137" s="148" t="str">
        <f>IFERROR(__xludf.DUMMYFUNCTION("""COMPUTED_VALUE"""),"[]")</f>
        <v>[]</v>
      </c>
    </row>
    <row r="138">
      <c r="A138" s="148">
        <f>IFERROR(__xludf.DUMMYFUNCTION("""COMPUTED_VALUE"""),1.1211331E7)</f>
        <v>11211331</v>
      </c>
      <c r="B138" s="148" t="str">
        <f>IFERROR(__xludf.DUMMYFUNCTION("""COMPUTED_VALUE"""),"车兵-lv6-1-A")</f>
        <v>车兵-lv6-1-A</v>
      </c>
      <c r="C138" s="148">
        <f>IFERROR(__xludf.DUMMYFUNCTION("""COMPUTED_VALUE"""),1.1221004E7)</f>
        <v>11221004</v>
      </c>
      <c r="D138" s="148">
        <f>IFERROR(__xludf.DUMMYFUNCTION("""COMPUTED_VALUE"""),1.511714E7)</f>
        <v>15117140</v>
      </c>
      <c r="E138" s="148" t="str">
        <f>IFERROR(__xludf.DUMMYFUNCTION("""COMPUTED_VALUE"""),"{""typ"":""lc"",""txt"":""LC_SOLDIER_wall_breaker_name_6""}")</f>
        <v>{"typ":"lc","txt":"LC_SOLDIER_wall_breaker_name_6"}</v>
      </c>
      <c r="F138" s="148" t="str">
        <f>IFERROR(__xludf.DUMMYFUNCTION("""COMPUTED_VALUE"""),"{""typ"":""lc"",""txt"":""LC_SOLDIER_wall_breaker_desc_6""}")</f>
        <v>{"typ":"lc","txt":"LC_SOLDIER_wall_breaker_desc_6"}</v>
      </c>
      <c r="G138" s="148">
        <f>IFERROR(__xludf.DUMMYFUNCTION("""COMPUTED_VALUE"""),25.0)</f>
        <v>25</v>
      </c>
      <c r="H138" s="148">
        <f>IFERROR(__xludf.DUMMYFUNCTION("""COMPUTED_VALUE"""),21.0)</f>
        <v>21</v>
      </c>
      <c r="I138" s="148">
        <f>IFERROR(__xludf.DUMMYFUNCTION("""COMPUTED_VALUE"""),10001.0)</f>
        <v>10001</v>
      </c>
      <c r="J138" s="148">
        <f>IFERROR(__xludf.DUMMYFUNCTION("""COMPUTED_VALUE"""),11.0)</f>
        <v>11</v>
      </c>
      <c r="K138" s="148">
        <f>IFERROR(__xludf.DUMMYFUNCTION("""COMPUTED_VALUE"""),6.0)</f>
        <v>6</v>
      </c>
      <c r="L138" s="148">
        <f>IFERROR(__xludf.DUMMYFUNCTION("""COMPUTED_VALUE"""),6.0)</f>
        <v>6</v>
      </c>
      <c r="M138" s="148">
        <f>IFERROR(__xludf.DUMMYFUNCTION("""COMPUTED_VALUE"""),360000.0)</f>
        <v>360000</v>
      </c>
      <c r="N138" s="148" t="str">
        <f>IFERROR(__xludf.DUMMYFUNCTION("""COMPUTED_VALUE"""),"[{""typ"":""rss"",""id"":11141001,""val"":2240},{""typ"":""rss"",""id"":11141003,""val"":1600},{""typ"":""rss"",""id"":11141041,""val"":80}]")</f>
        <v>[{"typ":"rss","id":11141001,"val":2240},{"typ":"rss","id":11141003,"val":1600},{"typ":"rss","id":11141041,"val":80}]</v>
      </c>
      <c r="O138" s="148" t="str">
        <f>IFERROR(__xludf.DUMMYFUNCTION("""COMPUTED_VALUE"""),"{""op"":""and"",""args"":[{""op"":""ge"",""typ"":""arms_group"",""id"":11674402,""val"":1}]}")</f>
        <v>{"op":"and","args":[{"op":"ge","typ":"arms_group","id":11674402,"val":1}]}</v>
      </c>
      <c r="P138" s="148">
        <f>IFERROR(__xludf.DUMMYFUNCTION("""COMPUTED_VALUE"""),12000.0)</f>
        <v>12000</v>
      </c>
      <c r="Q138" s="148" t="str">
        <f>IFERROR(__xludf.DUMMYFUNCTION("""COMPUTED_VALUE"""),"[{""typ"":""rss"",""id"":11141001,""val"":896},{""typ"":""rss"",""id"":11141003,""val"":640},{""typ"":""rss"",""id"":11141041,""val"":16}]")</f>
        <v>[{"typ":"rss","id":11141001,"val":896},{"typ":"rss","id":11141003,"val":640},{"typ":"rss","id":11141041,"val":16}]</v>
      </c>
      <c r="R138" s="148" t="str">
        <f>IFERROR(__xludf.DUMMYFUNCTION("""COMPUTED_VALUE"""),"{}")</f>
        <v>{}</v>
      </c>
      <c r="S138" s="148">
        <f>IFERROR(__xludf.DUMMYFUNCTION("""COMPUTED_VALUE"""),180000.0)</f>
        <v>180000</v>
      </c>
      <c r="T138" s="148" t="str">
        <f>IFERROR(__xludf.DUMMYFUNCTION("""COMPUTED_VALUE"""),"[{""typ"":""rss"",""id"":11141001,""val"":840},{""typ"":""rss"",""id"":11141003,""val"":600},{""typ"":""rss"",""id"":11141041,""val"":80}]")</f>
        <v>[{"typ":"rss","id":11141001,"val":840},{"typ":"rss","id":11141003,"val":600},{"typ":"rss","id":11141041,"val":80}]</v>
      </c>
      <c r="U138" s="148">
        <f>IFERROR(__xludf.DUMMYFUNCTION("""COMPUTED_VALUE"""),0.0)</f>
        <v>0</v>
      </c>
      <c r="V138" s="148" t="str">
        <f>IFERROR(__xludf.DUMMYFUNCTION("""COMPUTED_VALUE"""),"{""op"":""and"",""args"":[{""op"":""ge"",""typ"":""arms_group"",""id"":11674402,""val"":1}]}")</f>
        <v>{"op":"and","args":[{"op":"ge","typ":"arms_group","id":11674402,"val":1}]}</v>
      </c>
      <c r="W138" s="148" t="str">
        <f>IFERROR(__xludf.DUMMYFUNCTION("""COMPUTED_VALUE"""),"[]")</f>
        <v>[]</v>
      </c>
      <c r="X138" s="148" t="str">
        <f>IFERROR(__xludf.DUMMYFUNCTION("""COMPUTED_VALUE"""),"[{""typ"":""power"",""id"":12141002,""val"":20}]")</f>
        <v>[{"typ":"power","id":12141002,"val":20}]</v>
      </c>
      <c r="Y138" s="148" t="str">
        <f>IFERROR(__xludf.DUMMYFUNCTION("""COMPUTED_VALUE"""),"[{""typ"":""atk"",""val"":289},{""typ"":""def"",""val"":263},{""typ"":""hp"",""val"":244},{""typ"":""speed"",""val"":26},{""typ"":""load"",""val"":35},{""typ"":""backcoef"",""val"":0.5},{""typ"":""atkcoef"",""val"":1.0},{""typ"":""atkcd"",""val"":0}]")</f>
        <v>[{"typ":"atk","val":289},{"typ":"def","val":263},{"typ":"hp","val":244},{"typ":"speed","val":26},{"typ":"load","val":35},{"typ":"backcoef","val":0.5},{"typ":"atkcoef","val":1.0},{"typ":"atkcd","val":0}]</v>
      </c>
      <c r="Z138" s="148" t="str">
        <f>IFERROR(__xludf.DUMMYFUNCTION("""COMPUTED_VALUE"""),"[]")</f>
        <v>[]</v>
      </c>
    </row>
    <row r="139">
      <c r="A139" s="148">
        <f>IFERROR(__xludf.DUMMYFUNCTION("""COMPUTED_VALUE"""),1.1211332E7)</f>
        <v>11211332</v>
      </c>
      <c r="B139" s="148" t="str">
        <f>IFERROR(__xludf.DUMMYFUNCTION("""COMPUTED_VALUE"""),"车兵-lv6-2-A")</f>
        <v>车兵-lv6-2-A</v>
      </c>
      <c r="C139" s="148">
        <f>IFERROR(__xludf.DUMMYFUNCTION("""COMPUTED_VALUE"""),1.1221004E7)</f>
        <v>11221004</v>
      </c>
      <c r="D139" s="148">
        <f>IFERROR(__xludf.DUMMYFUNCTION("""COMPUTED_VALUE"""),1.511714E7)</f>
        <v>15117140</v>
      </c>
      <c r="E139" s="148" t="str">
        <f>IFERROR(__xludf.DUMMYFUNCTION("""COMPUTED_VALUE"""),"{""typ"":""lc"",""txt"":""LC_SOLDIER_wall_breaker_name_6""}")</f>
        <v>{"typ":"lc","txt":"LC_SOLDIER_wall_breaker_name_6"}</v>
      </c>
      <c r="F139" s="148" t="str">
        <f>IFERROR(__xludf.DUMMYFUNCTION("""COMPUTED_VALUE"""),"{""typ"":""lc"",""txt"":""LC_SOLDIER_wall_breaker_desc_6""}")</f>
        <v>{"typ":"lc","txt":"LC_SOLDIER_wall_breaker_desc_6"}</v>
      </c>
      <c r="G139" s="148">
        <f>IFERROR(__xludf.DUMMYFUNCTION("""COMPUTED_VALUE"""),25.0)</f>
        <v>25</v>
      </c>
      <c r="H139" s="148">
        <f>IFERROR(__xludf.DUMMYFUNCTION("""COMPUTED_VALUE"""),21.0)</f>
        <v>21</v>
      </c>
      <c r="I139" s="148">
        <f>IFERROR(__xludf.DUMMYFUNCTION("""COMPUTED_VALUE"""),10001.0)</f>
        <v>10001</v>
      </c>
      <c r="J139" s="148">
        <f>IFERROR(__xludf.DUMMYFUNCTION("""COMPUTED_VALUE"""),11.0)</f>
        <v>11</v>
      </c>
      <c r="K139" s="148">
        <f>IFERROR(__xludf.DUMMYFUNCTION("""COMPUTED_VALUE"""),6.0)</f>
        <v>6</v>
      </c>
      <c r="L139" s="148">
        <f>IFERROR(__xludf.DUMMYFUNCTION("""COMPUTED_VALUE"""),6.0)</f>
        <v>6</v>
      </c>
      <c r="M139" s="148">
        <f>IFERROR(__xludf.DUMMYFUNCTION("""COMPUTED_VALUE"""),360000.0)</f>
        <v>360000</v>
      </c>
      <c r="N139" s="148" t="str">
        <f>IFERROR(__xludf.DUMMYFUNCTION("""COMPUTED_VALUE"""),"[{""typ"":""rss"",""id"":11141001,""val"":2240},{""typ"":""rss"",""id"":11141003,""val"":1600},{""typ"":""rss"",""id"":11141041,""val"":80}]")</f>
        <v>[{"typ":"rss","id":11141001,"val":2240},{"typ":"rss","id":11141003,"val":1600},{"typ":"rss","id":11141041,"val":80}]</v>
      </c>
      <c r="O139" s="148" t="str">
        <f>IFERROR(__xludf.DUMMYFUNCTION("""COMPUTED_VALUE"""),"{""op"":""and"",""args"":[{""op"":""ge"",""typ"":""arms_group"",""id"":11674403,""val"":1}]}")</f>
        <v>{"op":"and","args":[{"op":"ge","typ":"arms_group","id":11674403,"val":1}]}</v>
      </c>
      <c r="P139" s="148">
        <f>IFERROR(__xludf.DUMMYFUNCTION("""COMPUTED_VALUE"""),12000.0)</f>
        <v>12000</v>
      </c>
      <c r="Q139" s="148" t="str">
        <f>IFERROR(__xludf.DUMMYFUNCTION("""COMPUTED_VALUE"""),"[{""typ"":""rss"",""id"":11141001,""val"":896},{""typ"":""rss"",""id"":11141003,""val"":640},{""typ"":""rss"",""id"":11141041,""val"":16}]")</f>
        <v>[{"typ":"rss","id":11141001,"val":896},{"typ":"rss","id":11141003,"val":640},{"typ":"rss","id":11141041,"val":16}]</v>
      </c>
      <c r="R139" s="148" t="str">
        <f>IFERROR(__xludf.DUMMYFUNCTION("""COMPUTED_VALUE"""),"{}")</f>
        <v>{}</v>
      </c>
      <c r="S139" s="148">
        <f>IFERROR(__xludf.DUMMYFUNCTION("""COMPUTED_VALUE"""),180000.0)</f>
        <v>180000</v>
      </c>
      <c r="T139" s="148" t="str">
        <f>IFERROR(__xludf.DUMMYFUNCTION("""COMPUTED_VALUE"""),"[{""typ"":""rss"",""id"":11141001,""val"":840},{""typ"":""rss"",""id"":11141003,""val"":600},{""typ"":""rss"",""id"":11141041,""val"":80}]")</f>
        <v>[{"typ":"rss","id":11141001,"val":840},{"typ":"rss","id":11141003,"val":600},{"typ":"rss","id":11141041,"val":80}]</v>
      </c>
      <c r="U139" s="148">
        <f>IFERROR(__xludf.DUMMYFUNCTION("""COMPUTED_VALUE"""),0.0)</f>
        <v>0</v>
      </c>
      <c r="V139" s="148" t="str">
        <f>IFERROR(__xludf.DUMMYFUNCTION("""COMPUTED_VALUE"""),"{""op"":""and"",""args"":[{""op"":""ge"",""typ"":""arms_group"",""id"":11674403,""val"":1}]}")</f>
        <v>{"op":"and","args":[{"op":"ge","typ":"arms_group","id":11674403,"val":1}]}</v>
      </c>
      <c r="W139" s="148" t="str">
        <f>IFERROR(__xludf.DUMMYFUNCTION("""COMPUTED_VALUE"""),"[]")</f>
        <v>[]</v>
      </c>
      <c r="X139" s="148" t="str">
        <f>IFERROR(__xludf.DUMMYFUNCTION("""COMPUTED_VALUE"""),"[{""typ"":""power"",""id"":12141002,""val"":20}]")</f>
        <v>[{"typ":"power","id":12141002,"val":20}]</v>
      </c>
      <c r="Y139" s="148" t="str">
        <f>IFERROR(__xludf.DUMMYFUNCTION("""COMPUTED_VALUE"""),"[{""typ"":""atk"",""val"":292},{""typ"":""def"",""val"":266},{""typ"":""hp"",""val"":245},{""typ"":""speed"",""val"":26},{""typ"":""load"",""val"":35},{""typ"":""backcoef"",""val"":0.5},{""typ"":""atkcoef"",""val"":1.0},{""typ"":""atkcd"",""val"":0}]")</f>
        <v>[{"typ":"atk","val":292},{"typ":"def","val":266},{"typ":"hp","val":245},{"typ":"speed","val":26},{"typ":"load","val":35},{"typ":"backcoef","val":0.5},{"typ":"atkcoef","val":1.0},{"typ":"atkcd","val":0}]</v>
      </c>
      <c r="Z139" s="148" t="str">
        <f>IFERROR(__xludf.DUMMYFUNCTION("""COMPUTED_VALUE"""),"[]")</f>
        <v>[]</v>
      </c>
    </row>
    <row r="140">
      <c r="A140" s="148">
        <f>IFERROR(__xludf.DUMMYFUNCTION("""COMPUTED_VALUE"""),1.1211333E7)</f>
        <v>11211333</v>
      </c>
      <c r="B140" s="148" t="str">
        <f>IFERROR(__xludf.DUMMYFUNCTION("""COMPUTED_VALUE"""),"车兵-lv6-3-A")</f>
        <v>车兵-lv6-3-A</v>
      </c>
      <c r="C140" s="148">
        <f>IFERROR(__xludf.DUMMYFUNCTION("""COMPUTED_VALUE"""),1.1221004E7)</f>
        <v>11221004</v>
      </c>
      <c r="D140" s="148">
        <f>IFERROR(__xludf.DUMMYFUNCTION("""COMPUTED_VALUE"""),1.511714E7)</f>
        <v>15117140</v>
      </c>
      <c r="E140" s="148" t="str">
        <f>IFERROR(__xludf.DUMMYFUNCTION("""COMPUTED_VALUE"""),"{""typ"":""lc"",""txt"":""LC_SOLDIER_wall_breaker_name_6""}")</f>
        <v>{"typ":"lc","txt":"LC_SOLDIER_wall_breaker_name_6"}</v>
      </c>
      <c r="F140" s="148" t="str">
        <f>IFERROR(__xludf.DUMMYFUNCTION("""COMPUTED_VALUE"""),"{""typ"":""lc"",""txt"":""LC_SOLDIER_wall_breaker_desc_6""}")</f>
        <v>{"typ":"lc","txt":"LC_SOLDIER_wall_breaker_desc_6"}</v>
      </c>
      <c r="G140" s="148">
        <f>IFERROR(__xludf.DUMMYFUNCTION("""COMPUTED_VALUE"""),25.0)</f>
        <v>25</v>
      </c>
      <c r="H140" s="148">
        <f>IFERROR(__xludf.DUMMYFUNCTION("""COMPUTED_VALUE"""),21.0)</f>
        <v>21</v>
      </c>
      <c r="I140" s="148">
        <f>IFERROR(__xludf.DUMMYFUNCTION("""COMPUTED_VALUE"""),10001.0)</f>
        <v>10001</v>
      </c>
      <c r="J140" s="148">
        <f>IFERROR(__xludf.DUMMYFUNCTION("""COMPUTED_VALUE"""),11.0)</f>
        <v>11</v>
      </c>
      <c r="K140" s="148">
        <f>IFERROR(__xludf.DUMMYFUNCTION("""COMPUTED_VALUE"""),6.0)</f>
        <v>6</v>
      </c>
      <c r="L140" s="148">
        <f>IFERROR(__xludf.DUMMYFUNCTION("""COMPUTED_VALUE"""),6.0)</f>
        <v>6</v>
      </c>
      <c r="M140" s="148">
        <f>IFERROR(__xludf.DUMMYFUNCTION("""COMPUTED_VALUE"""),360000.0)</f>
        <v>360000</v>
      </c>
      <c r="N140" s="148" t="str">
        <f>IFERROR(__xludf.DUMMYFUNCTION("""COMPUTED_VALUE"""),"[{""typ"":""rss"",""id"":11141001,""val"":2240},{""typ"":""rss"",""id"":11141003,""val"":1600},{""typ"":""rss"",""id"":11141041,""val"":80}]")</f>
        <v>[{"typ":"rss","id":11141001,"val":2240},{"typ":"rss","id":11141003,"val":1600},{"typ":"rss","id":11141041,"val":80}]</v>
      </c>
      <c r="O140" s="148" t="str">
        <f>IFERROR(__xludf.DUMMYFUNCTION("""COMPUTED_VALUE"""),"{""op"":""and"",""args"":[{""op"":""ge"",""typ"":""arms_group"",""id"":11674404,""val"":1}]}")</f>
        <v>{"op":"and","args":[{"op":"ge","typ":"arms_group","id":11674404,"val":1}]}</v>
      </c>
      <c r="P140" s="148">
        <f>IFERROR(__xludf.DUMMYFUNCTION("""COMPUTED_VALUE"""),12000.0)</f>
        <v>12000</v>
      </c>
      <c r="Q140" s="148" t="str">
        <f>IFERROR(__xludf.DUMMYFUNCTION("""COMPUTED_VALUE"""),"[{""typ"":""rss"",""id"":11141001,""val"":896},{""typ"":""rss"",""id"":11141003,""val"":640},{""typ"":""rss"",""id"":11141041,""val"":16}]")</f>
        <v>[{"typ":"rss","id":11141001,"val":896},{"typ":"rss","id":11141003,"val":640},{"typ":"rss","id":11141041,"val":16}]</v>
      </c>
      <c r="R140" s="148" t="str">
        <f>IFERROR(__xludf.DUMMYFUNCTION("""COMPUTED_VALUE"""),"{}")</f>
        <v>{}</v>
      </c>
      <c r="S140" s="148">
        <f>IFERROR(__xludf.DUMMYFUNCTION("""COMPUTED_VALUE"""),180000.0)</f>
        <v>180000</v>
      </c>
      <c r="T140" s="148" t="str">
        <f>IFERROR(__xludf.DUMMYFUNCTION("""COMPUTED_VALUE"""),"[{""typ"":""rss"",""id"":11141001,""val"":840},{""typ"":""rss"",""id"":11141003,""val"":600},{""typ"":""rss"",""id"":11141041,""val"":80}]")</f>
        <v>[{"typ":"rss","id":11141001,"val":840},{"typ":"rss","id":11141003,"val":600},{"typ":"rss","id":11141041,"val":80}]</v>
      </c>
      <c r="U140" s="148">
        <f>IFERROR(__xludf.DUMMYFUNCTION("""COMPUTED_VALUE"""),0.0)</f>
        <v>0</v>
      </c>
      <c r="V140" s="148" t="str">
        <f>IFERROR(__xludf.DUMMYFUNCTION("""COMPUTED_VALUE"""),"{""op"":""and"",""args"":[{""op"":""ge"",""typ"":""arms_group"",""id"":11674404,""val"":1}]}")</f>
        <v>{"op":"and","args":[{"op":"ge","typ":"arms_group","id":11674404,"val":1}]}</v>
      </c>
      <c r="W140" s="148" t="str">
        <f>IFERROR(__xludf.DUMMYFUNCTION("""COMPUTED_VALUE"""),"[]")</f>
        <v>[]</v>
      </c>
      <c r="X140" s="148" t="str">
        <f>IFERROR(__xludf.DUMMYFUNCTION("""COMPUTED_VALUE"""),"[{""typ"":""power"",""id"":12141002,""val"":20}]")</f>
        <v>[{"typ":"power","id":12141002,"val":20}]</v>
      </c>
      <c r="Y140" s="148" t="str">
        <f>IFERROR(__xludf.DUMMYFUNCTION("""COMPUTED_VALUE"""),"[{""typ"":""atk"",""val"":296},{""typ"":""def"",""val"":270},{""typ"":""hp"",""val"":247},{""typ"":""speed"",""val"":26},{""typ"":""load"",""val"":35},{""typ"":""backcoef"",""val"":0.5},{""typ"":""atkcoef"",""val"":1.0},{""typ"":""atkcd"",""val"":0}]")</f>
        <v>[{"typ":"atk","val":296},{"typ":"def","val":270},{"typ":"hp","val":247},{"typ":"speed","val":26},{"typ":"load","val":35},{"typ":"backcoef","val":0.5},{"typ":"atkcoef","val":1.0},{"typ":"atkcd","val":0}]</v>
      </c>
      <c r="Z140" s="148" t="str">
        <f>IFERROR(__xludf.DUMMYFUNCTION("""COMPUTED_VALUE"""),"[]")</f>
        <v>[]</v>
      </c>
    </row>
    <row r="141">
      <c r="A141" s="148">
        <f>IFERROR(__xludf.DUMMYFUNCTION("""COMPUTED_VALUE"""),1.1211334E7)</f>
        <v>11211334</v>
      </c>
      <c r="B141" s="148" t="str">
        <f>IFERROR(__xludf.DUMMYFUNCTION("""COMPUTED_VALUE"""),"车兵-lv6-4-A")</f>
        <v>车兵-lv6-4-A</v>
      </c>
      <c r="C141" s="148">
        <f>IFERROR(__xludf.DUMMYFUNCTION("""COMPUTED_VALUE"""),1.1221004E7)</f>
        <v>11221004</v>
      </c>
      <c r="D141" s="148">
        <f>IFERROR(__xludf.DUMMYFUNCTION("""COMPUTED_VALUE"""),1.511714E7)</f>
        <v>15117140</v>
      </c>
      <c r="E141" s="148" t="str">
        <f>IFERROR(__xludf.DUMMYFUNCTION("""COMPUTED_VALUE"""),"{""typ"":""lc"",""txt"":""LC_SOLDIER_wall_breaker_name_6""}")</f>
        <v>{"typ":"lc","txt":"LC_SOLDIER_wall_breaker_name_6"}</v>
      </c>
      <c r="F141" s="148" t="str">
        <f>IFERROR(__xludf.DUMMYFUNCTION("""COMPUTED_VALUE"""),"{""typ"":""lc"",""txt"":""LC_SOLDIER_wall_breaker_desc_6""}")</f>
        <v>{"typ":"lc","txt":"LC_SOLDIER_wall_breaker_desc_6"}</v>
      </c>
      <c r="G141" s="148">
        <f>IFERROR(__xludf.DUMMYFUNCTION("""COMPUTED_VALUE"""),25.0)</f>
        <v>25</v>
      </c>
      <c r="H141" s="148">
        <f>IFERROR(__xludf.DUMMYFUNCTION("""COMPUTED_VALUE"""),21.0)</f>
        <v>21</v>
      </c>
      <c r="I141" s="148">
        <f>IFERROR(__xludf.DUMMYFUNCTION("""COMPUTED_VALUE"""),10001.0)</f>
        <v>10001</v>
      </c>
      <c r="J141" s="148">
        <f>IFERROR(__xludf.DUMMYFUNCTION("""COMPUTED_VALUE"""),11.0)</f>
        <v>11</v>
      </c>
      <c r="K141" s="148">
        <f>IFERROR(__xludf.DUMMYFUNCTION("""COMPUTED_VALUE"""),6.0)</f>
        <v>6</v>
      </c>
      <c r="L141" s="148">
        <f>IFERROR(__xludf.DUMMYFUNCTION("""COMPUTED_VALUE"""),6.0)</f>
        <v>6</v>
      </c>
      <c r="M141" s="148">
        <f>IFERROR(__xludf.DUMMYFUNCTION("""COMPUTED_VALUE"""),360000.0)</f>
        <v>360000</v>
      </c>
      <c r="N141" s="148" t="str">
        <f>IFERROR(__xludf.DUMMYFUNCTION("""COMPUTED_VALUE"""),"[{""typ"":""rss"",""id"":11141001,""val"":2240},{""typ"":""rss"",""id"":11141003,""val"":1600},{""typ"":""rss"",""id"":11141041,""val"":80}]")</f>
        <v>[{"typ":"rss","id":11141001,"val":2240},{"typ":"rss","id":11141003,"val":1600},{"typ":"rss","id":11141041,"val":80}]</v>
      </c>
      <c r="O141" s="148" t="str">
        <f>IFERROR(__xludf.DUMMYFUNCTION("""COMPUTED_VALUE"""),"{""op"":""and"",""args"":[{""op"":""ge"",""typ"":""arms_group"",""id"":11674405,""val"":1}]}")</f>
        <v>{"op":"and","args":[{"op":"ge","typ":"arms_group","id":11674405,"val":1}]}</v>
      </c>
      <c r="P141" s="148">
        <f>IFERROR(__xludf.DUMMYFUNCTION("""COMPUTED_VALUE"""),12000.0)</f>
        <v>12000</v>
      </c>
      <c r="Q141" s="148" t="str">
        <f>IFERROR(__xludf.DUMMYFUNCTION("""COMPUTED_VALUE"""),"[{""typ"":""rss"",""id"":11141001,""val"":896},{""typ"":""rss"",""id"":11141003,""val"":640},{""typ"":""rss"",""id"":11141041,""val"":16}]")</f>
        <v>[{"typ":"rss","id":11141001,"val":896},{"typ":"rss","id":11141003,"val":640},{"typ":"rss","id":11141041,"val":16}]</v>
      </c>
      <c r="R141" s="148" t="str">
        <f>IFERROR(__xludf.DUMMYFUNCTION("""COMPUTED_VALUE"""),"{}")</f>
        <v>{}</v>
      </c>
      <c r="S141" s="148">
        <f>IFERROR(__xludf.DUMMYFUNCTION("""COMPUTED_VALUE"""),180000.0)</f>
        <v>180000</v>
      </c>
      <c r="T141" s="148" t="str">
        <f>IFERROR(__xludf.DUMMYFUNCTION("""COMPUTED_VALUE"""),"[{""typ"":""rss"",""id"":11141001,""val"":840},{""typ"":""rss"",""id"":11141003,""val"":600},{""typ"":""rss"",""id"":11141041,""val"":80}]")</f>
        <v>[{"typ":"rss","id":11141001,"val":840},{"typ":"rss","id":11141003,"val":600},{"typ":"rss","id":11141041,"val":80}]</v>
      </c>
      <c r="U141" s="148">
        <f>IFERROR(__xludf.DUMMYFUNCTION("""COMPUTED_VALUE"""),0.0)</f>
        <v>0</v>
      </c>
      <c r="V141" s="148" t="str">
        <f>IFERROR(__xludf.DUMMYFUNCTION("""COMPUTED_VALUE"""),"{""op"":""and"",""args"":[{""op"":""ge"",""typ"":""arms_group"",""id"":11674405,""val"":1}]}")</f>
        <v>{"op":"and","args":[{"op":"ge","typ":"arms_group","id":11674405,"val":1}]}</v>
      </c>
      <c r="W141" s="148" t="str">
        <f>IFERROR(__xludf.DUMMYFUNCTION("""COMPUTED_VALUE"""),"[]")</f>
        <v>[]</v>
      </c>
      <c r="X141" s="148" t="str">
        <f>IFERROR(__xludf.DUMMYFUNCTION("""COMPUTED_VALUE"""),"[{""typ"":""power"",""id"":12141002,""val"":20}]")</f>
        <v>[{"typ":"power","id":12141002,"val":20}]</v>
      </c>
      <c r="Y141" s="148" t="str">
        <f>IFERROR(__xludf.DUMMYFUNCTION("""COMPUTED_VALUE"""),"[{""typ"":""atk"",""val"":300},{""typ"":""def"",""val"":274},{""typ"":""hp"",""val"":249},{""typ"":""speed"",""val"":26},{""typ"":""load"",""val"":35},{""typ"":""backcoef"",""val"":0.5},{""typ"":""atkcoef"",""val"":1.0},{""typ"":""atkcd"",""val"":0}]")</f>
        <v>[{"typ":"atk","val":300},{"typ":"def","val":274},{"typ":"hp","val":249},{"typ":"speed","val":26},{"typ":"load","val":35},{"typ":"backcoef","val":0.5},{"typ":"atkcoef","val":1.0},{"typ":"atkcd","val":0}]</v>
      </c>
      <c r="Z141" s="148" t="str">
        <f>IFERROR(__xludf.DUMMYFUNCTION("""COMPUTED_VALUE"""),"[]")</f>
        <v>[]</v>
      </c>
    </row>
    <row r="142">
      <c r="A142" s="148">
        <f>IFERROR(__xludf.DUMMYFUNCTION("""COMPUTED_VALUE"""),1.1211335E7)</f>
        <v>11211335</v>
      </c>
      <c r="B142" s="148" t="str">
        <f>IFERROR(__xludf.DUMMYFUNCTION("""COMPUTED_VALUE"""),"车兵-lv6-5-A")</f>
        <v>车兵-lv6-5-A</v>
      </c>
      <c r="C142" s="148">
        <f>IFERROR(__xludf.DUMMYFUNCTION("""COMPUTED_VALUE"""),1.1221004E7)</f>
        <v>11221004</v>
      </c>
      <c r="D142" s="148">
        <f>IFERROR(__xludf.DUMMYFUNCTION("""COMPUTED_VALUE"""),1.511714E7)</f>
        <v>15117140</v>
      </c>
      <c r="E142" s="148" t="str">
        <f>IFERROR(__xludf.DUMMYFUNCTION("""COMPUTED_VALUE"""),"{""typ"":""lc"",""txt"":""LC_SOLDIER_wall_breaker_name_6""}")</f>
        <v>{"typ":"lc","txt":"LC_SOLDIER_wall_breaker_name_6"}</v>
      </c>
      <c r="F142" s="148" t="str">
        <f>IFERROR(__xludf.DUMMYFUNCTION("""COMPUTED_VALUE"""),"{""typ"":""lc"",""txt"":""LC_SOLDIER_wall_breaker_desc_6""}")</f>
        <v>{"typ":"lc","txt":"LC_SOLDIER_wall_breaker_desc_6"}</v>
      </c>
      <c r="G142" s="148">
        <f>IFERROR(__xludf.DUMMYFUNCTION("""COMPUTED_VALUE"""),25.0)</f>
        <v>25</v>
      </c>
      <c r="H142" s="148">
        <f>IFERROR(__xludf.DUMMYFUNCTION("""COMPUTED_VALUE"""),21.0)</f>
        <v>21</v>
      </c>
      <c r="I142" s="148">
        <f>IFERROR(__xludf.DUMMYFUNCTION("""COMPUTED_VALUE"""),10001.0)</f>
        <v>10001</v>
      </c>
      <c r="J142" s="148">
        <f>IFERROR(__xludf.DUMMYFUNCTION("""COMPUTED_VALUE"""),11.0)</f>
        <v>11</v>
      </c>
      <c r="K142" s="148">
        <f>IFERROR(__xludf.DUMMYFUNCTION("""COMPUTED_VALUE"""),6.0)</f>
        <v>6</v>
      </c>
      <c r="L142" s="148">
        <f>IFERROR(__xludf.DUMMYFUNCTION("""COMPUTED_VALUE"""),6.0)</f>
        <v>6</v>
      </c>
      <c r="M142" s="148">
        <f>IFERROR(__xludf.DUMMYFUNCTION("""COMPUTED_VALUE"""),360000.0)</f>
        <v>360000</v>
      </c>
      <c r="N142" s="148" t="str">
        <f>IFERROR(__xludf.DUMMYFUNCTION("""COMPUTED_VALUE"""),"[{""typ"":""rss"",""id"":11141001,""val"":2240},{""typ"":""rss"",""id"":11141003,""val"":1600},{""typ"":""rss"",""id"":11141041,""val"":80}]")</f>
        <v>[{"typ":"rss","id":11141001,"val":2240},{"typ":"rss","id":11141003,"val":1600},{"typ":"rss","id":11141041,"val":80}]</v>
      </c>
      <c r="O142" s="148" t="str">
        <f>IFERROR(__xludf.DUMMYFUNCTION("""COMPUTED_VALUE"""),"{""op"":""and"",""args"":[{""op"":""ge"",""typ"":""arms_group"",""id"":11674406,""val"":1}]}")</f>
        <v>{"op":"and","args":[{"op":"ge","typ":"arms_group","id":11674406,"val":1}]}</v>
      </c>
      <c r="P142" s="148">
        <f>IFERROR(__xludf.DUMMYFUNCTION("""COMPUTED_VALUE"""),12000.0)</f>
        <v>12000</v>
      </c>
      <c r="Q142" s="148" t="str">
        <f>IFERROR(__xludf.DUMMYFUNCTION("""COMPUTED_VALUE"""),"[{""typ"":""rss"",""id"":11141001,""val"":896},{""typ"":""rss"",""id"":11141003,""val"":640},{""typ"":""rss"",""id"":11141041,""val"":16}]")</f>
        <v>[{"typ":"rss","id":11141001,"val":896},{"typ":"rss","id":11141003,"val":640},{"typ":"rss","id":11141041,"val":16}]</v>
      </c>
      <c r="R142" s="148" t="str">
        <f>IFERROR(__xludf.DUMMYFUNCTION("""COMPUTED_VALUE"""),"{}")</f>
        <v>{}</v>
      </c>
      <c r="S142" s="148">
        <f>IFERROR(__xludf.DUMMYFUNCTION("""COMPUTED_VALUE"""),180000.0)</f>
        <v>180000</v>
      </c>
      <c r="T142" s="148" t="str">
        <f>IFERROR(__xludf.DUMMYFUNCTION("""COMPUTED_VALUE"""),"[{""typ"":""rss"",""id"":11141001,""val"":840},{""typ"":""rss"",""id"":11141003,""val"":600},{""typ"":""rss"",""id"":11141041,""val"":80}]")</f>
        <v>[{"typ":"rss","id":11141001,"val":840},{"typ":"rss","id":11141003,"val":600},{"typ":"rss","id":11141041,"val":80}]</v>
      </c>
      <c r="U142" s="148">
        <f>IFERROR(__xludf.DUMMYFUNCTION("""COMPUTED_VALUE"""),0.0)</f>
        <v>0</v>
      </c>
      <c r="V142" s="148" t="str">
        <f>IFERROR(__xludf.DUMMYFUNCTION("""COMPUTED_VALUE"""),"{""op"":""and"",""args"":[{""op"":""ge"",""typ"":""arms_group"",""id"":11674406,""val"":1}]}")</f>
        <v>{"op":"and","args":[{"op":"ge","typ":"arms_group","id":11674406,"val":1}]}</v>
      </c>
      <c r="W142" s="148" t="str">
        <f>IFERROR(__xludf.DUMMYFUNCTION("""COMPUTED_VALUE"""),"[]")</f>
        <v>[]</v>
      </c>
      <c r="X142" s="148" t="str">
        <f>IFERROR(__xludf.DUMMYFUNCTION("""COMPUTED_VALUE"""),"[{""typ"":""power"",""id"":12141002,""val"":20}]")</f>
        <v>[{"typ":"power","id":12141002,"val":20}]</v>
      </c>
      <c r="Y142" s="148" t="str">
        <f>IFERROR(__xludf.DUMMYFUNCTION("""COMPUTED_VALUE"""),"[{""typ"":""atk"",""val"":305},{""typ"":""def"",""val"":279},{""typ"":""hp"",""val"":251},{""typ"":""speed"",""val"":26},{""typ"":""load"",""val"":35},{""typ"":""backcoef"",""val"":0.5},{""typ"":""atkcoef"",""val"":1.0},{""typ"":""atkcd"",""val"":0}]")</f>
        <v>[{"typ":"atk","val":305},{"typ":"def","val":279},{"typ":"hp","val":251},{"typ":"speed","val":26},{"typ":"load","val":35},{"typ":"backcoef","val":0.5},{"typ":"atkcoef","val":1.0},{"typ":"atkcd","val":0}]</v>
      </c>
      <c r="Z142" s="148" t="str">
        <f>IFERROR(__xludf.DUMMYFUNCTION("""COMPUTED_VALUE"""),"[]")</f>
        <v>[]</v>
      </c>
    </row>
    <row r="143">
      <c r="A143" s="148">
        <f>IFERROR(__xludf.DUMMYFUNCTION("""COMPUTED_VALUE"""),1.1211336E7)</f>
        <v>11211336</v>
      </c>
      <c r="B143" s="148" t="str">
        <f>IFERROR(__xludf.DUMMYFUNCTION("""COMPUTED_VALUE"""),"车兵-lv6-6-A")</f>
        <v>车兵-lv6-6-A</v>
      </c>
      <c r="C143" s="148">
        <f>IFERROR(__xludf.DUMMYFUNCTION("""COMPUTED_VALUE"""),1.1221004E7)</f>
        <v>11221004</v>
      </c>
      <c r="D143" s="148">
        <f>IFERROR(__xludf.DUMMYFUNCTION("""COMPUTED_VALUE"""),1.511714E7)</f>
        <v>15117140</v>
      </c>
      <c r="E143" s="148" t="str">
        <f>IFERROR(__xludf.DUMMYFUNCTION("""COMPUTED_VALUE"""),"{""typ"":""lc"",""txt"":""LC_SOLDIER_wall_breaker_name_6""}")</f>
        <v>{"typ":"lc","txt":"LC_SOLDIER_wall_breaker_name_6"}</v>
      </c>
      <c r="F143" s="148" t="str">
        <f>IFERROR(__xludf.DUMMYFUNCTION("""COMPUTED_VALUE"""),"{""typ"":""lc"",""txt"":""LC_SOLDIER_wall_breaker_desc_6""}")</f>
        <v>{"typ":"lc","txt":"LC_SOLDIER_wall_breaker_desc_6"}</v>
      </c>
      <c r="G143" s="148">
        <f>IFERROR(__xludf.DUMMYFUNCTION("""COMPUTED_VALUE"""),25.0)</f>
        <v>25</v>
      </c>
      <c r="H143" s="148">
        <f>IFERROR(__xludf.DUMMYFUNCTION("""COMPUTED_VALUE"""),21.0)</f>
        <v>21</v>
      </c>
      <c r="I143" s="148">
        <f>IFERROR(__xludf.DUMMYFUNCTION("""COMPUTED_VALUE"""),10001.0)</f>
        <v>10001</v>
      </c>
      <c r="J143" s="148">
        <f>IFERROR(__xludf.DUMMYFUNCTION("""COMPUTED_VALUE"""),11.0)</f>
        <v>11</v>
      </c>
      <c r="K143" s="148">
        <f>IFERROR(__xludf.DUMMYFUNCTION("""COMPUTED_VALUE"""),6.0)</f>
        <v>6</v>
      </c>
      <c r="L143" s="148">
        <f>IFERROR(__xludf.DUMMYFUNCTION("""COMPUTED_VALUE"""),6.0)</f>
        <v>6</v>
      </c>
      <c r="M143" s="148">
        <f>IFERROR(__xludf.DUMMYFUNCTION("""COMPUTED_VALUE"""),360000.0)</f>
        <v>360000</v>
      </c>
      <c r="N143" s="148" t="str">
        <f>IFERROR(__xludf.DUMMYFUNCTION("""COMPUTED_VALUE"""),"[{""typ"":""rss"",""id"":11141001,""val"":2240},{""typ"":""rss"",""id"":11141003,""val"":1600},{""typ"":""rss"",""id"":11141041,""val"":80}]")</f>
        <v>[{"typ":"rss","id":11141001,"val":2240},{"typ":"rss","id":11141003,"val":1600},{"typ":"rss","id":11141041,"val":80}]</v>
      </c>
      <c r="O143" s="148" t="str">
        <f>IFERROR(__xludf.DUMMYFUNCTION("""COMPUTED_VALUE"""),"{""op"":""and"",""args"":[{""op"":""ge"",""typ"":""arms_group"",""id"":11674407,""val"":1}]}")</f>
        <v>{"op":"and","args":[{"op":"ge","typ":"arms_group","id":11674407,"val":1}]}</v>
      </c>
      <c r="P143" s="148">
        <f>IFERROR(__xludf.DUMMYFUNCTION("""COMPUTED_VALUE"""),12000.0)</f>
        <v>12000</v>
      </c>
      <c r="Q143" s="148" t="str">
        <f>IFERROR(__xludf.DUMMYFUNCTION("""COMPUTED_VALUE"""),"[{""typ"":""rss"",""id"":11141001,""val"":896},{""typ"":""rss"",""id"":11141003,""val"":640},{""typ"":""rss"",""id"":11141041,""val"":16}]")</f>
        <v>[{"typ":"rss","id":11141001,"val":896},{"typ":"rss","id":11141003,"val":640},{"typ":"rss","id":11141041,"val":16}]</v>
      </c>
      <c r="R143" s="148" t="str">
        <f>IFERROR(__xludf.DUMMYFUNCTION("""COMPUTED_VALUE"""),"{}")</f>
        <v>{}</v>
      </c>
      <c r="S143" s="148">
        <f>IFERROR(__xludf.DUMMYFUNCTION("""COMPUTED_VALUE"""),180000.0)</f>
        <v>180000</v>
      </c>
      <c r="T143" s="148" t="str">
        <f>IFERROR(__xludf.DUMMYFUNCTION("""COMPUTED_VALUE"""),"[{""typ"":""rss"",""id"":11141001,""val"":840},{""typ"":""rss"",""id"":11141003,""val"":600},{""typ"":""rss"",""id"":11141041,""val"":80}]")</f>
        <v>[{"typ":"rss","id":11141001,"val":840},{"typ":"rss","id":11141003,"val":600},{"typ":"rss","id":11141041,"val":80}]</v>
      </c>
      <c r="U143" s="148">
        <f>IFERROR(__xludf.DUMMYFUNCTION("""COMPUTED_VALUE"""),0.0)</f>
        <v>0</v>
      </c>
      <c r="V143" s="148" t="str">
        <f>IFERROR(__xludf.DUMMYFUNCTION("""COMPUTED_VALUE"""),"{""op"":""and"",""args"":[{""op"":""ge"",""typ"":""arms_group"",""id"":11674407,""val"":1}]}")</f>
        <v>{"op":"and","args":[{"op":"ge","typ":"arms_group","id":11674407,"val":1}]}</v>
      </c>
      <c r="W143" s="148" t="str">
        <f>IFERROR(__xludf.DUMMYFUNCTION("""COMPUTED_VALUE"""),"[]")</f>
        <v>[]</v>
      </c>
      <c r="X143" s="148" t="str">
        <f>IFERROR(__xludf.DUMMYFUNCTION("""COMPUTED_VALUE"""),"[{""typ"":""power"",""id"":12141002,""val"":20}]")</f>
        <v>[{"typ":"power","id":12141002,"val":20}]</v>
      </c>
      <c r="Y143" s="148" t="str">
        <f>IFERROR(__xludf.DUMMYFUNCTION("""COMPUTED_VALUE"""),"[{""typ"":""atk"",""val"":311},{""typ"":""def"",""val"":284},{""typ"":""hp"",""val"":253},{""typ"":""speed"",""val"":26},{""typ"":""load"",""val"":35},{""typ"":""backcoef"",""val"":0.5},{""typ"":""atkcoef"",""val"":1.0},{""typ"":""atkcd"",""val"":0}]")</f>
        <v>[{"typ":"atk","val":311},{"typ":"def","val":284},{"typ":"hp","val":253},{"typ":"speed","val":26},{"typ":"load","val":35},{"typ":"backcoef","val":0.5},{"typ":"atkcoef","val":1.0},{"typ":"atkcd","val":0}]</v>
      </c>
      <c r="Z143" s="148" t="str">
        <f>IFERROR(__xludf.DUMMYFUNCTION("""COMPUTED_VALUE"""),"[]")</f>
        <v>[]</v>
      </c>
    </row>
    <row r="144">
      <c r="A144" s="148">
        <f>IFERROR(__xludf.DUMMYFUNCTION("""COMPUTED_VALUE"""),1.1211337E7)</f>
        <v>11211337</v>
      </c>
      <c r="B144" s="148" t="str">
        <f>IFERROR(__xludf.DUMMYFUNCTION("""COMPUTED_VALUE"""),"车兵-lv6-1-B")</f>
        <v>车兵-lv6-1-B</v>
      </c>
      <c r="C144" s="148">
        <f>IFERROR(__xludf.DUMMYFUNCTION("""COMPUTED_VALUE"""),1.1221004E7)</f>
        <v>11221004</v>
      </c>
      <c r="D144" s="148">
        <f>IFERROR(__xludf.DUMMYFUNCTION("""COMPUTED_VALUE"""),1.511714E7)</f>
        <v>15117140</v>
      </c>
      <c r="E144" s="148" t="str">
        <f>IFERROR(__xludf.DUMMYFUNCTION("""COMPUTED_VALUE"""),"{""typ"":""lc"",""txt"":""LC_SOLDIER_wall_breaker_name_6""}")</f>
        <v>{"typ":"lc","txt":"LC_SOLDIER_wall_breaker_name_6"}</v>
      </c>
      <c r="F144" s="148" t="str">
        <f>IFERROR(__xludf.DUMMYFUNCTION("""COMPUTED_VALUE"""),"{""typ"":""lc"",""txt"":""LC_SOLDIER_wall_breaker_desc_6""}")</f>
        <v>{"typ":"lc","txt":"LC_SOLDIER_wall_breaker_desc_6"}</v>
      </c>
      <c r="G144" s="148">
        <f>IFERROR(__xludf.DUMMYFUNCTION("""COMPUTED_VALUE"""),25.0)</f>
        <v>25</v>
      </c>
      <c r="H144" s="148">
        <f>IFERROR(__xludf.DUMMYFUNCTION("""COMPUTED_VALUE"""),21.0)</f>
        <v>21</v>
      </c>
      <c r="I144" s="148">
        <f>IFERROR(__xludf.DUMMYFUNCTION("""COMPUTED_VALUE"""),10001.0)</f>
        <v>10001</v>
      </c>
      <c r="J144" s="148">
        <f>IFERROR(__xludf.DUMMYFUNCTION("""COMPUTED_VALUE"""),11.0)</f>
        <v>11</v>
      </c>
      <c r="K144" s="148">
        <f>IFERROR(__xludf.DUMMYFUNCTION("""COMPUTED_VALUE"""),6.0)</f>
        <v>6</v>
      </c>
      <c r="L144" s="148">
        <f>IFERROR(__xludf.DUMMYFUNCTION("""COMPUTED_VALUE"""),6.0)</f>
        <v>6</v>
      </c>
      <c r="M144" s="148">
        <f>IFERROR(__xludf.DUMMYFUNCTION("""COMPUTED_VALUE"""),360000.0)</f>
        <v>360000</v>
      </c>
      <c r="N144" s="148" t="str">
        <f>IFERROR(__xludf.DUMMYFUNCTION("""COMPUTED_VALUE"""),"[{""typ"":""rss"",""id"":11141001,""val"":2240},{""typ"":""rss"",""id"":11141003,""val"":1600},{""typ"":""rss"",""id"":11141041,""val"":80}]")</f>
        <v>[{"typ":"rss","id":11141001,"val":2240},{"typ":"rss","id":11141003,"val":1600},{"typ":"rss","id":11141041,"val":80}]</v>
      </c>
      <c r="O144" s="148" t="str">
        <f>IFERROR(__xludf.DUMMYFUNCTION("""COMPUTED_VALUE"""),"{""op"":""and"",""args"":[{""op"":""ge"",""typ"":""arms_group"",""id"":11674501,""val"":1}]}")</f>
        <v>{"op":"and","args":[{"op":"ge","typ":"arms_group","id":11674501,"val":1}]}</v>
      </c>
      <c r="P144" s="148">
        <f>IFERROR(__xludf.DUMMYFUNCTION("""COMPUTED_VALUE"""),12000.0)</f>
        <v>12000</v>
      </c>
      <c r="Q144" s="148" t="str">
        <f>IFERROR(__xludf.DUMMYFUNCTION("""COMPUTED_VALUE"""),"[{""typ"":""rss"",""id"":11141001,""val"":896},{""typ"":""rss"",""id"":11141003,""val"":640},{""typ"":""rss"",""id"":11141041,""val"":16}]")</f>
        <v>[{"typ":"rss","id":11141001,"val":896},{"typ":"rss","id":11141003,"val":640},{"typ":"rss","id":11141041,"val":16}]</v>
      </c>
      <c r="R144" s="148" t="str">
        <f>IFERROR(__xludf.DUMMYFUNCTION("""COMPUTED_VALUE"""),"{}")</f>
        <v>{}</v>
      </c>
      <c r="S144" s="148">
        <f>IFERROR(__xludf.DUMMYFUNCTION("""COMPUTED_VALUE"""),180000.0)</f>
        <v>180000</v>
      </c>
      <c r="T144" s="148" t="str">
        <f>IFERROR(__xludf.DUMMYFUNCTION("""COMPUTED_VALUE"""),"[{""typ"":""rss"",""id"":11141001,""val"":840},{""typ"":""rss"",""id"":11141003,""val"":600},{""typ"":""rss"",""id"":11141041,""val"":80}]")</f>
        <v>[{"typ":"rss","id":11141001,"val":840},{"typ":"rss","id":11141003,"val":600},{"typ":"rss","id":11141041,"val":80}]</v>
      </c>
      <c r="U144" s="148">
        <f>IFERROR(__xludf.DUMMYFUNCTION("""COMPUTED_VALUE"""),0.0)</f>
        <v>0</v>
      </c>
      <c r="V144" s="148" t="str">
        <f>IFERROR(__xludf.DUMMYFUNCTION("""COMPUTED_VALUE"""),"{""op"":""and"",""args"":[{""op"":""ge"",""typ"":""arms_group"",""id"":11674501,""val"":1}]}")</f>
        <v>{"op":"and","args":[{"op":"ge","typ":"arms_group","id":11674501,"val":1}]}</v>
      </c>
      <c r="W144" s="148" t="str">
        <f>IFERROR(__xludf.DUMMYFUNCTION("""COMPUTED_VALUE"""),"[]")</f>
        <v>[]</v>
      </c>
      <c r="X144" s="148" t="str">
        <f>IFERROR(__xludf.DUMMYFUNCTION("""COMPUTED_VALUE"""),"[{""typ"":""power"",""id"":12141002,""val"":20}]")</f>
        <v>[{"typ":"power","id":12141002,"val":20}]</v>
      </c>
      <c r="Y144" s="148" t="str">
        <f>IFERROR(__xludf.DUMMYFUNCTION("""COMPUTED_VALUE"""),"[{""typ"":""atk"",""val"":291},{""typ"":""def"",""val"":264},{""typ"":""hp"",""val"":244},{""typ"":""speed"",""val"":26},{""typ"":""load"",""val"":35},{""typ"":""backcoef"",""val"":0.5},{""typ"":""atkcoef"",""val"":1.0},{""typ"":""atkcd"",""val"":0}]")</f>
        <v>[{"typ":"atk","val":291},{"typ":"def","val":264},{"typ":"hp","val":244},{"typ":"speed","val":26},{"typ":"load","val":35},{"typ":"backcoef","val":0.5},{"typ":"atkcoef","val":1.0},{"typ":"atkcd","val":0}]</v>
      </c>
      <c r="Z144" s="148" t="str">
        <f>IFERROR(__xludf.DUMMYFUNCTION("""COMPUTED_VALUE"""),"[]")</f>
        <v>[]</v>
      </c>
    </row>
    <row r="145">
      <c r="A145" s="148">
        <f>IFERROR(__xludf.DUMMYFUNCTION("""COMPUTED_VALUE"""),1.1211338E7)</f>
        <v>11211338</v>
      </c>
      <c r="B145" s="148" t="str">
        <f>IFERROR(__xludf.DUMMYFUNCTION("""COMPUTED_VALUE"""),"车兵-lv6-2-B")</f>
        <v>车兵-lv6-2-B</v>
      </c>
      <c r="C145" s="148">
        <f>IFERROR(__xludf.DUMMYFUNCTION("""COMPUTED_VALUE"""),1.1221004E7)</f>
        <v>11221004</v>
      </c>
      <c r="D145" s="148">
        <f>IFERROR(__xludf.DUMMYFUNCTION("""COMPUTED_VALUE"""),1.511714E7)</f>
        <v>15117140</v>
      </c>
      <c r="E145" s="148" t="str">
        <f>IFERROR(__xludf.DUMMYFUNCTION("""COMPUTED_VALUE"""),"{""typ"":""lc"",""txt"":""LC_SOLDIER_wall_breaker_name_6""}")</f>
        <v>{"typ":"lc","txt":"LC_SOLDIER_wall_breaker_name_6"}</v>
      </c>
      <c r="F145" s="148" t="str">
        <f>IFERROR(__xludf.DUMMYFUNCTION("""COMPUTED_VALUE"""),"{""typ"":""lc"",""txt"":""LC_SOLDIER_wall_breaker_desc_6""}")</f>
        <v>{"typ":"lc","txt":"LC_SOLDIER_wall_breaker_desc_6"}</v>
      </c>
      <c r="G145" s="148">
        <f>IFERROR(__xludf.DUMMYFUNCTION("""COMPUTED_VALUE"""),25.0)</f>
        <v>25</v>
      </c>
      <c r="H145" s="148">
        <f>IFERROR(__xludf.DUMMYFUNCTION("""COMPUTED_VALUE"""),21.0)</f>
        <v>21</v>
      </c>
      <c r="I145" s="148">
        <f>IFERROR(__xludf.DUMMYFUNCTION("""COMPUTED_VALUE"""),10001.0)</f>
        <v>10001</v>
      </c>
      <c r="J145" s="148">
        <f>IFERROR(__xludf.DUMMYFUNCTION("""COMPUTED_VALUE"""),11.0)</f>
        <v>11</v>
      </c>
      <c r="K145" s="148">
        <f>IFERROR(__xludf.DUMMYFUNCTION("""COMPUTED_VALUE"""),6.0)</f>
        <v>6</v>
      </c>
      <c r="L145" s="148">
        <f>IFERROR(__xludf.DUMMYFUNCTION("""COMPUTED_VALUE"""),6.0)</f>
        <v>6</v>
      </c>
      <c r="M145" s="148">
        <f>IFERROR(__xludf.DUMMYFUNCTION("""COMPUTED_VALUE"""),360000.0)</f>
        <v>360000</v>
      </c>
      <c r="N145" s="148" t="str">
        <f>IFERROR(__xludf.DUMMYFUNCTION("""COMPUTED_VALUE"""),"[{""typ"":""rss"",""id"":11141001,""val"":2240},{""typ"":""rss"",""id"":11141003,""val"":1600},{""typ"":""rss"",""id"":11141041,""val"":80}]")</f>
        <v>[{"typ":"rss","id":11141001,"val":2240},{"typ":"rss","id":11141003,"val":1600},{"typ":"rss","id":11141041,"val":80}]</v>
      </c>
      <c r="O145" s="148" t="str">
        <f>IFERROR(__xludf.DUMMYFUNCTION("""COMPUTED_VALUE"""),"{""op"":""and"",""args"":[{""op"":""ge"",""typ"":""arms_group"",""id"":11674502,""val"":1}]}")</f>
        <v>{"op":"and","args":[{"op":"ge","typ":"arms_group","id":11674502,"val":1}]}</v>
      </c>
      <c r="P145" s="148">
        <f>IFERROR(__xludf.DUMMYFUNCTION("""COMPUTED_VALUE"""),12000.0)</f>
        <v>12000</v>
      </c>
      <c r="Q145" s="148" t="str">
        <f>IFERROR(__xludf.DUMMYFUNCTION("""COMPUTED_VALUE"""),"[{""typ"":""rss"",""id"":11141001,""val"":896},{""typ"":""rss"",""id"":11141003,""val"":640},{""typ"":""rss"",""id"":11141041,""val"":16}]")</f>
        <v>[{"typ":"rss","id":11141001,"val":896},{"typ":"rss","id":11141003,"val":640},{"typ":"rss","id":11141041,"val":16}]</v>
      </c>
      <c r="R145" s="148" t="str">
        <f>IFERROR(__xludf.DUMMYFUNCTION("""COMPUTED_VALUE"""),"{}")</f>
        <v>{}</v>
      </c>
      <c r="S145" s="148">
        <f>IFERROR(__xludf.DUMMYFUNCTION("""COMPUTED_VALUE"""),180000.0)</f>
        <v>180000</v>
      </c>
      <c r="T145" s="148" t="str">
        <f>IFERROR(__xludf.DUMMYFUNCTION("""COMPUTED_VALUE"""),"[{""typ"":""rss"",""id"":11141001,""val"":840},{""typ"":""rss"",""id"":11141003,""val"":600},{""typ"":""rss"",""id"":11141041,""val"":80}]")</f>
        <v>[{"typ":"rss","id":11141001,"val":840},{"typ":"rss","id":11141003,"val":600},{"typ":"rss","id":11141041,"val":80}]</v>
      </c>
      <c r="U145" s="148">
        <f>IFERROR(__xludf.DUMMYFUNCTION("""COMPUTED_VALUE"""),0.0)</f>
        <v>0</v>
      </c>
      <c r="V145" s="148" t="str">
        <f>IFERROR(__xludf.DUMMYFUNCTION("""COMPUTED_VALUE"""),"{""op"":""and"",""args"":[{""op"":""ge"",""typ"":""arms_group"",""id"":11674502,""val"":1}]}")</f>
        <v>{"op":"and","args":[{"op":"ge","typ":"arms_group","id":11674502,"val":1}]}</v>
      </c>
      <c r="W145" s="148" t="str">
        <f>IFERROR(__xludf.DUMMYFUNCTION("""COMPUTED_VALUE"""),"[]")</f>
        <v>[]</v>
      </c>
      <c r="X145" s="148" t="str">
        <f>IFERROR(__xludf.DUMMYFUNCTION("""COMPUTED_VALUE"""),"[{""typ"":""power"",""id"":12141002,""val"":20}]")</f>
        <v>[{"typ":"power","id":12141002,"val":20}]</v>
      </c>
      <c r="Y145" s="148" t="str">
        <f>IFERROR(__xludf.DUMMYFUNCTION("""COMPUTED_VALUE"""),"[{""typ"":""atk"",""val"":297},{""typ"":""def"",""val"":268},{""typ"":""hp"",""val"":246},{""typ"":""speed"",""val"":26},{""typ"":""load"",""val"":35},{""typ"":""backcoef"",""val"":0.5},{""typ"":""atkcoef"",""val"":1.0},{""typ"":""atkcd"",""val"":0}]")</f>
        <v>[{"typ":"atk","val":297},{"typ":"def","val":268},{"typ":"hp","val":246},{"typ":"speed","val":26},{"typ":"load","val":35},{"typ":"backcoef","val":0.5},{"typ":"atkcoef","val":1.0},{"typ":"atkcd","val":0}]</v>
      </c>
      <c r="Z145" s="148" t="str">
        <f>IFERROR(__xludf.DUMMYFUNCTION("""COMPUTED_VALUE"""),"[]")</f>
        <v>[]</v>
      </c>
    </row>
    <row r="146">
      <c r="A146" s="148">
        <f>IFERROR(__xludf.DUMMYFUNCTION("""COMPUTED_VALUE"""),1.1211339E7)</f>
        <v>11211339</v>
      </c>
      <c r="B146" s="148" t="str">
        <f>IFERROR(__xludf.DUMMYFUNCTION("""COMPUTED_VALUE"""),"车兵-lv6-3-B")</f>
        <v>车兵-lv6-3-B</v>
      </c>
      <c r="C146" s="148">
        <f>IFERROR(__xludf.DUMMYFUNCTION("""COMPUTED_VALUE"""),1.1221004E7)</f>
        <v>11221004</v>
      </c>
      <c r="D146" s="148">
        <f>IFERROR(__xludf.DUMMYFUNCTION("""COMPUTED_VALUE"""),1.511714E7)</f>
        <v>15117140</v>
      </c>
      <c r="E146" s="148" t="str">
        <f>IFERROR(__xludf.DUMMYFUNCTION("""COMPUTED_VALUE"""),"{""typ"":""lc"",""txt"":""LC_SOLDIER_wall_breaker_name_6""}")</f>
        <v>{"typ":"lc","txt":"LC_SOLDIER_wall_breaker_name_6"}</v>
      </c>
      <c r="F146" s="148" t="str">
        <f>IFERROR(__xludf.DUMMYFUNCTION("""COMPUTED_VALUE"""),"{""typ"":""lc"",""txt"":""LC_SOLDIER_wall_breaker_desc_6""}")</f>
        <v>{"typ":"lc","txt":"LC_SOLDIER_wall_breaker_desc_6"}</v>
      </c>
      <c r="G146" s="148">
        <f>IFERROR(__xludf.DUMMYFUNCTION("""COMPUTED_VALUE"""),25.0)</f>
        <v>25</v>
      </c>
      <c r="H146" s="148">
        <f>IFERROR(__xludf.DUMMYFUNCTION("""COMPUTED_VALUE"""),21.0)</f>
        <v>21</v>
      </c>
      <c r="I146" s="148">
        <f>IFERROR(__xludf.DUMMYFUNCTION("""COMPUTED_VALUE"""),10001.0)</f>
        <v>10001</v>
      </c>
      <c r="J146" s="148">
        <f>IFERROR(__xludf.DUMMYFUNCTION("""COMPUTED_VALUE"""),11.0)</f>
        <v>11</v>
      </c>
      <c r="K146" s="148">
        <f>IFERROR(__xludf.DUMMYFUNCTION("""COMPUTED_VALUE"""),6.0)</f>
        <v>6</v>
      </c>
      <c r="L146" s="148">
        <f>IFERROR(__xludf.DUMMYFUNCTION("""COMPUTED_VALUE"""),6.0)</f>
        <v>6</v>
      </c>
      <c r="M146" s="148">
        <f>IFERROR(__xludf.DUMMYFUNCTION("""COMPUTED_VALUE"""),360000.0)</f>
        <v>360000</v>
      </c>
      <c r="N146" s="148" t="str">
        <f>IFERROR(__xludf.DUMMYFUNCTION("""COMPUTED_VALUE"""),"[{""typ"":""rss"",""id"":11141001,""val"":2240},{""typ"":""rss"",""id"":11141003,""val"":1600},{""typ"":""rss"",""id"":11141041,""val"":80}]")</f>
        <v>[{"typ":"rss","id":11141001,"val":2240},{"typ":"rss","id":11141003,"val":1600},{"typ":"rss","id":11141041,"val":80}]</v>
      </c>
      <c r="O146" s="148" t="str">
        <f>IFERROR(__xludf.DUMMYFUNCTION("""COMPUTED_VALUE"""),"{""op"":""and"",""args"":[{""op"":""ge"",""typ"":""arms_group"",""id"":11674503,""val"":1}]}")</f>
        <v>{"op":"and","args":[{"op":"ge","typ":"arms_group","id":11674503,"val":1}]}</v>
      </c>
      <c r="P146" s="148">
        <f>IFERROR(__xludf.DUMMYFUNCTION("""COMPUTED_VALUE"""),12000.0)</f>
        <v>12000</v>
      </c>
      <c r="Q146" s="148" t="str">
        <f>IFERROR(__xludf.DUMMYFUNCTION("""COMPUTED_VALUE"""),"[{""typ"":""rss"",""id"":11141001,""val"":896},{""typ"":""rss"",""id"":11141003,""val"":640},{""typ"":""rss"",""id"":11141041,""val"":16}]")</f>
        <v>[{"typ":"rss","id":11141001,"val":896},{"typ":"rss","id":11141003,"val":640},{"typ":"rss","id":11141041,"val":16}]</v>
      </c>
      <c r="R146" s="148" t="str">
        <f>IFERROR(__xludf.DUMMYFUNCTION("""COMPUTED_VALUE"""),"{}")</f>
        <v>{}</v>
      </c>
      <c r="S146" s="148">
        <f>IFERROR(__xludf.DUMMYFUNCTION("""COMPUTED_VALUE"""),180000.0)</f>
        <v>180000</v>
      </c>
      <c r="T146" s="148" t="str">
        <f>IFERROR(__xludf.DUMMYFUNCTION("""COMPUTED_VALUE"""),"[{""typ"":""rss"",""id"":11141001,""val"":840},{""typ"":""rss"",""id"":11141003,""val"":600},{""typ"":""rss"",""id"":11141041,""val"":80}]")</f>
        <v>[{"typ":"rss","id":11141001,"val":840},{"typ":"rss","id":11141003,"val":600},{"typ":"rss","id":11141041,"val":80}]</v>
      </c>
      <c r="U146" s="148">
        <f>IFERROR(__xludf.DUMMYFUNCTION("""COMPUTED_VALUE"""),0.0)</f>
        <v>0</v>
      </c>
      <c r="V146" s="148" t="str">
        <f>IFERROR(__xludf.DUMMYFUNCTION("""COMPUTED_VALUE"""),"{""op"":""and"",""args"":[{""op"":""ge"",""typ"":""arms_group"",""id"":11674503,""val"":1}]}")</f>
        <v>{"op":"and","args":[{"op":"ge","typ":"arms_group","id":11674503,"val":1}]}</v>
      </c>
      <c r="W146" s="148" t="str">
        <f>IFERROR(__xludf.DUMMYFUNCTION("""COMPUTED_VALUE"""),"[]")</f>
        <v>[]</v>
      </c>
      <c r="X146" s="148" t="str">
        <f>IFERROR(__xludf.DUMMYFUNCTION("""COMPUTED_VALUE"""),"[{""typ"":""power"",""id"":12141002,""val"":20}]")</f>
        <v>[{"typ":"power","id":12141002,"val":20}]</v>
      </c>
      <c r="Y146" s="148" t="str">
        <f>IFERROR(__xludf.DUMMYFUNCTION("""COMPUTED_VALUE"""),"[{""typ"":""atk"",""val"":304},{""typ"":""def"",""val"":273},{""typ"":""hp"",""val"":248},{""typ"":""speed"",""val"":26},{""typ"":""load"",""val"":35},{""typ"":""backcoef"",""val"":0.5},{""typ"":""atkcoef"",""val"":1.0},{""typ"":""atkcd"",""val"":0}]")</f>
        <v>[{"typ":"atk","val":304},{"typ":"def","val":273},{"typ":"hp","val":248},{"typ":"speed","val":26},{"typ":"load","val":35},{"typ":"backcoef","val":0.5},{"typ":"atkcoef","val":1.0},{"typ":"atkcd","val":0}]</v>
      </c>
      <c r="Z146" s="148" t="str">
        <f>IFERROR(__xludf.DUMMYFUNCTION("""COMPUTED_VALUE"""),"[]")</f>
        <v>[]</v>
      </c>
    </row>
    <row r="147">
      <c r="A147" s="148">
        <f>IFERROR(__xludf.DUMMYFUNCTION("""COMPUTED_VALUE"""),1.121134E7)</f>
        <v>11211340</v>
      </c>
      <c r="B147" s="148" t="str">
        <f>IFERROR(__xludf.DUMMYFUNCTION("""COMPUTED_VALUE"""),"车兵-lv6-4-B")</f>
        <v>车兵-lv6-4-B</v>
      </c>
      <c r="C147" s="148">
        <f>IFERROR(__xludf.DUMMYFUNCTION("""COMPUTED_VALUE"""),1.1221004E7)</f>
        <v>11221004</v>
      </c>
      <c r="D147" s="148">
        <f>IFERROR(__xludf.DUMMYFUNCTION("""COMPUTED_VALUE"""),1.511714E7)</f>
        <v>15117140</v>
      </c>
      <c r="E147" s="148" t="str">
        <f>IFERROR(__xludf.DUMMYFUNCTION("""COMPUTED_VALUE"""),"{""typ"":""lc"",""txt"":""LC_SOLDIER_wall_breaker_name_6""}")</f>
        <v>{"typ":"lc","txt":"LC_SOLDIER_wall_breaker_name_6"}</v>
      </c>
      <c r="F147" s="148" t="str">
        <f>IFERROR(__xludf.DUMMYFUNCTION("""COMPUTED_VALUE"""),"{""typ"":""lc"",""txt"":""LC_SOLDIER_wall_breaker_desc_6""}")</f>
        <v>{"typ":"lc","txt":"LC_SOLDIER_wall_breaker_desc_6"}</v>
      </c>
      <c r="G147" s="148">
        <f>IFERROR(__xludf.DUMMYFUNCTION("""COMPUTED_VALUE"""),25.0)</f>
        <v>25</v>
      </c>
      <c r="H147" s="148">
        <f>IFERROR(__xludf.DUMMYFUNCTION("""COMPUTED_VALUE"""),21.0)</f>
        <v>21</v>
      </c>
      <c r="I147" s="148">
        <f>IFERROR(__xludf.DUMMYFUNCTION("""COMPUTED_VALUE"""),10001.0)</f>
        <v>10001</v>
      </c>
      <c r="J147" s="148">
        <f>IFERROR(__xludf.DUMMYFUNCTION("""COMPUTED_VALUE"""),11.0)</f>
        <v>11</v>
      </c>
      <c r="K147" s="148">
        <f>IFERROR(__xludf.DUMMYFUNCTION("""COMPUTED_VALUE"""),6.0)</f>
        <v>6</v>
      </c>
      <c r="L147" s="148">
        <f>IFERROR(__xludf.DUMMYFUNCTION("""COMPUTED_VALUE"""),6.0)</f>
        <v>6</v>
      </c>
      <c r="M147" s="148">
        <f>IFERROR(__xludf.DUMMYFUNCTION("""COMPUTED_VALUE"""),360000.0)</f>
        <v>360000</v>
      </c>
      <c r="N147" s="148" t="str">
        <f>IFERROR(__xludf.DUMMYFUNCTION("""COMPUTED_VALUE"""),"[{""typ"":""rss"",""id"":11141001,""val"":2240},{""typ"":""rss"",""id"":11141003,""val"":1600},{""typ"":""rss"",""id"":11141041,""val"":80}]")</f>
        <v>[{"typ":"rss","id":11141001,"val":2240},{"typ":"rss","id":11141003,"val":1600},{"typ":"rss","id":11141041,"val":80}]</v>
      </c>
      <c r="O147" s="148" t="str">
        <f>IFERROR(__xludf.DUMMYFUNCTION("""COMPUTED_VALUE"""),"{""op"":""and"",""args"":[{""op"":""ge"",""typ"":""arms_group"",""id"":11674504,""val"":1}]}")</f>
        <v>{"op":"and","args":[{"op":"ge","typ":"arms_group","id":11674504,"val":1}]}</v>
      </c>
      <c r="P147" s="148">
        <f>IFERROR(__xludf.DUMMYFUNCTION("""COMPUTED_VALUE"""),12000.0)</f>
        <v>12000</v>
      </c>
      <c r="Q147" s="148" t="str">
        <f>IFERROR(__xludf.DUMMYFUNCTION("""COMPUTED_VALUE"""),"[{""typ"":""rss"",""id"":11141001,""val"":896},{""typ"":""rss"",""id"":11141003,""val"":640},{""typ"":""rss"",""id"":11141041,""val"":16}]")</f>
        <v>[{"typ":"rss","id":11141001,"val":896},{"typ":"rss","id":11141003,"val":640},{"typ":"rss","id":11141041,"val":16}]</v>
      </c>
      <c r="R147" s="148" t="str">
        <f>IFERROR(__xludf.DUMMYFUNCTION("""COMPUTED_VALUE"""),"{}")</f>
        <v>{}</v>
      </c>
      <c r="S147" s="148">
        <f>IFERROR(__xludf.DUMMYFUNCTION("""COMPUTED_VALUE"""),180000.0)</f>
        <v>180000</v>
      </c>
      <c r="T147" s="148" t="str">
        <f>IFERROR(__xludf.DUMMYFUNCTION("""COMPUTED_VALUE"""),"[{""typ"":""rss"",""id"":11141001,""val"":840},{""typ"":""rss"",""id"":11141003,""val"":600},{""typ"":""rss"",""id"":11141041,""val"":80}]")</f>
        <v>[{"typ":"rss","id":11141001,"val":840},{"typ":"rss","id":11141003,"val":600},{"typ":"rss","id":11141041,"val":80}]</v>
      </c>
      <c r="U147" s="148">
        <f>IFERROR(__xludf.DUMMYFUNCTION("""COMPUTED_VALUE"""),0.0)</f>
        <v>0</v>
      </c>
      <c r="V147" s="148" t="str">
        <f>IFERROR(__xludf.DUMMYFUNCTION("""COMPUTED_VALUE"""),"{""op"":""and"",""args"":[{""op"":""ge"",""typ"":""arms_group"",""id"":11674504,""val"":1}]}")</f>
        <v>{"op":"and","args":[{"op":"ge","typ":"arms_group","id":11674504,"val":1}]}</v>
      </c>
      <c r="W147" s="148" t="str">
        <f>IFERROR(__xludf.DUMMYFUNCTION("""COMPUTED_VALUE"""),"[]")</f>
        <v>[]</v>
      </c>
      <c r="X147" s="148" t="str">
        <f>IFERROR(__xludf.DUMMYFUNCTION("""COMPUTED_VALUE"""),"[{""typ"":""power"",""id"":12141002,""val"":20}]")</f>
        <v>[{"typ":"power","id":12141002,"val":20}]</v>
      </c>
      <c r="Y147" s="148" t="str">
        <f>IFERROR(__xludf.DUMMYFUNCTION("""COMPUTED_VALUE"""),"[{""typ"":""atk"",""val"":313},{""typ"":""def"",""val"":279},{""typ"":""hp"",""val"":250},{""typ"":""speed"",""val"":26},{""typ"":""load"",""val"":35},{""typ"":""backcoef"",""val"":0.5},{""typ"":""atkcoef"",""val"":1.0},{""typ"":""atkcd"",""val"":0}]")</f>
        <v>[{"typ":"atk","val":313},{"typ":"def","val":279},{"typ":"hp","val":250},{"typ":"speed","val":26},{"typ":"load","val":35},{"typ":"backcoef","val":0.5},{"typ":"atkcoef","val":1.0},{"typ":"atkcd","val":0}]</v>
      </c>
      <c r="Z147" s="148" t="str">
        <f>IFERROR(__xludf.DUMMYFUNCTION("""COMPUTED_VALUE"""),"[]")</f>
        <v>[]</v>
      </c>
    </row>
    <row r="148">
      <c r="A148" s="148">
        <f>IFERROR(__xludf.DUMMYFUNCTION("""COMPUTED_VALUE"""),1.1211341E7)</f>
        <v>11211341</v>
      </c>
      <c r="B148" s="148" t="str">
        <f>IFERROR(__xludf.DUMMYFUNCTION("""COMPUTED_VALUE"""),"车兵-lv6-5-B")</f>
        <v>车兵-lv6-5-B</v>
      </c>
      <c r="C148" s="148">
        <f>IFERROR(__xludf.DUMMYFUNCTION("""COMPUTED_VALUE"""),1.1221004E7)</f>
        <v>11221004</v>
      </c>
      <c r="D148" s="148">
        <f>IFERROR(__xludf.DUMMYFUNCTION("""COMPUTED_VALUE"""),1.511714E7)</f>
        <v>15117140</v>
      </c>
      <c r="E148" s="148" t="str">
        <f>IFERROR(__xludf.DUMMYFUNCTION("""COMPUTED_VALUE"""),"{""typ"":""lc"",""txt"":""LC_SOLDIER_wall_breaker_name_6""}")</f>
        <v>{"typ":"lc","txt":"LC_SOLDIER_wall_breaker_name_6"}</v>
      </c>
      <c r="F148" s="148" t="str">
        <f>IFERROR(__xludf.DUMMYFUNCTION("""COMPUTED_VALUE"""),"{""typ"":""lc"",""txt"":""LC_SOLDIER_wall_breaker_desc_6""}")</f>
        <v>{"typ":"lc","txt":"LC_SOLDIER_wall_breaker_desc_6"}</v>
      </c>
      <c r="G148" s="148">
        <f>IFERROR(__xludf.DUMMYFUNCTION("""COMPUTED_VALUE"""),25.0)</f>
        <v>25</v>
      </c>
      <c r="H148" s="148">
        <f>IFERROR(__xludf.DUMMYFUNCTION("""COMPUTED_VALUE"""),21.0)</f>
        <v>21</v>
      </c>
      <c r="I148" s="148">
        <f>IFERROR(__xludf.DUMMYFUNCTION("""COMPUTED_VALUE"""),10001.0)</f>
        <v>10001</v>
      </c>
      <c r="J148" s="148">
        <f>IFERROR(__xludf.DUMMYFUNCTION("""COMPUTED_VALUE"""),11.0)</f>
        <v>11</v>
      </c>
      <c r="K148" s="148">
        <f>IFERROR(__xludf.DUMMYFUNCTION("""COMPUTED_VALUE"""),6.0)</f>
        <v>6</v>
      </c>
      <c r="L148" s="148">
        <f>IFERROR(__xludf.DUMMYFUNCTION("""COMPUTED_VALUE"""),6.0)</f>
        <v>6</v>
      </c>
      <c r="M148" s="148">
        <f>IFERROR(__xludf.DUMMYFUNCTION("""COMPUTED_VALUE"""),360000.0)</f>
        <v>360000</v>
      </c>
      <c r="N148" s="148" t="str">
        <f>IFERROR(__xludf.DUMMYFUNCTION("""COMPUTED_VALUE"""),"[{""typ"":""rss"",""id"":11141001,""val"":2240},{""typ"":""rss"",""id"":11141003,""val"":1600},{""typ"":""rss"",""id"":11141041,""val"":80}]")</f>
        <v>[{"typ":"rss","id":11141001,"val":2240},{"typ":"rss","id":11141003,"val":1600},{"typ":"rss","id":11141041,"val":80}]</v>
      </c>
      <c r="O148" s="148" t="str">
        <f>IFERROR(__xludf.DUMMYFUNCTION("""COMPUTED_VALUE"""),"{""op"":""and"",""args"":[{""op"":""ge"",""typ"":""arms_group"",""id"":11674505,""val"":1}]}")</f>
        <v>{"op":"and","args":[{"op":"ge","typ":"arms_group","id":11674505,"val":1}]}</v>
      </c>
      <c r="P148" s="148">
        <f>IFERROR(__xludf.DUMMYFUNCTION("""COMPUTED_VALUE"""),12000.0)</f>
        <v>12000</v>
      </c>
      <c r="Q148" s="148" t="str">
        <f>IFERROR(__xludf.DUMMYFUNCTION("""COMPUTED_VALUE"""),"[{""typ"":""rss"",""id"":11141001,""val"":896},{""typ"":""rss"",""id"":11141003,""val"":640},{""typ"":""rss"",""id"":11141041,""val"":16}]")</f>
        <v>[{"typ":"rss","id":11141001,"val":896},{"typ":"rss","id":11141003,"val":640},{"typ":"rss","id":11141041,"val":16}]</v>
      </c>
      <c r="R148" s="148" t="str">
        <f>IFERROR(__xludf.DUMMYFUNCTION("""COMPUTED_VALUE"""),"{}")</f>
        <v>{}</v>
      </c>
      <c r="S148" s="148">
        <f>IFERROR(__xludf.DUMMYFUNCTION("""COMPUTED_VALUE"""),180000.0)</f>
        <v>180000</v>
      </c>
      <c r="T148" s="148" t="str">
        <f>IFERROR(__xludf.DUMMYFUNCTION("""COMPUTED_VALUE"""),"[{""typ"":""rss"",""id"":11141001,""val"":840},{""typ"":""rss"",""id"":11141003,""val"":600},{""typ"":""rss"",""id"":11141041,""val"":80}]")</f>
        <v>[{"typ":"rss","id":11141001,"val":840},{"typ":"rss","id":11141003,"val":600},{"typ":"rss","id":11141041,"val":80}]</v>
      </c>
      <c r="U148" s="148">
        <f>IFERROR(__xludf.DUMMYFUNCTION("""COMPUTED_VALUE"""),0.0)</f>
        <v>0</v>
      </c>
      <c r="V148" s="148" t="str">
        <f>IFERROR(__xludf.DUMMYFUNCTION("""COMPUTED_VALUE"""),"{""op"":""and"",""args"":[{""op"":""ge"",""typ"":""arms_group"",""id"":11674505,""val"":1}]}")</f>
        <v>{"op":"and","args":[{"op":"ge","typ":"arms_group","id":11674505,"val":1}]}</v>
      </c>
      <c r="W148" s="148" t="str">
        <f>IFERROR(__xludf.DUMMYFUNCTION("""COMPUTED_VALUE"""),"[]")</f>
        <v>[]</v>
      </c>
      <c r="X148" s="148" t="str">
        <f>IFERROR(__xludf.DUMMYFUNCTION("""COMPUTED_VALUE"""),"[{""typ"":""power"",""id"":12141002,""val"":20}]")</f>
        <v>[{"typ":"power","id":12141002,"val":20}]</v>
      </c>
      <c r="Y148" s="148" t="str">
        <f>IFERROR(__xludf.DUMMYFUNCTION("""COMPUTED_VALUE"""),"[{""typ"":""atk"",""val"":324},{""typ"":""def"",""val"":286},{""typ"":""hp"",""val"":253},{""typ"":""speed"",""val"":26},{""typ"":""load"",""val"":35},{""typ"":""backcoef"",""val"":0.5},{""typ"":""atkcoef"",""val"":1.0},{""typ"":""atkcd"",""val"":0}]")</f>
        <v>[{"typ":"atk","val":324},{"typ":"def","val":286},{"typ":"hp","val":253},{"typ":"speed","val":26},{"typ":"load","val":35},{"typ":"backcoef","val":0.5},{"typ":"atkcoef","val":1.0},{"typ":"atkcd","val":0}]</v>
      </c>
      <c r="Z148" s="148" t="str">
        <f>IFERROR(__xludf.DUMMYFUNCTION("""COMPUTED_VALUE"""),"[]")</f>
        <v>[]</v>
      </c>
    </row>
    <row r="149">
      <c r="A149" s="148">
        <f>IFERROR(__xludf.DUMMYFUNCTION("""COMPUTED_VALUE"""),1.1211342E7)</f>
        <v>11211342</v>
      </c>
      <c r="B149" s="148" t="str">
        <f>IFERROR(__xludf.DUMMYFUNCTION("""COMPUTED_VALUE"""),"车兵-lv6-6-B")</f>
        <v>车兵-lv6-6-B</v>
      </c>
      <c r="C149" s="148">
        <f>IFERROR(__xludf.DUMMYFUNCTION("""COMPUTED_VALUE"""),1.1221004E7)</f>
        <v>11221004</v>
      </c>
      <c r="D149" s="148">
        <f>IFERROR(__xludf.DUMMYFUNCTION("""COMPUTED_VALUE"""),1.511714E7)</f>
        <v>15117140</v>
      </c>
      <c r="E149" s="148" t="str">
        <f>IFERROR(__xludf.DUMMYFUNCTION("""COMPUTED_VALUE"""),"{""typ"":""lc"",""txt"":""LC_SOLDIER_wall_breaker_name_6""}")</f>
        <v>{"typ":"lc","txt":"LC_SOLDIER_wall_breaker_name_6"}</v>
      </c>
      <c r="F149" s="148" t="str">
        <f>IFERROR(__xludf.DUMMYFUNCTION("""COMPUTED_VALUE"""),"{""typ"":""lc"",""txt"":""LC_SOLDIER_wall_breaker_desc_6""}")</f>
        <v>{"typ":"lc","txt":"LC_SOLDIER_wall_breaker_desc_6"}</v>
      </c>
      <c r="G149" s="148">
        <f>IFERROR(__xludf.DUMMYFUNCTION("""COMPUTED_VALUE"""),25.0)</f>
        <v>25</v>
      </c>
      <c r="H149" s="148">
        <f>IFERROR(__xludf.DUMMYFUNCTION("""COMPUTED_VALUE"""),21.0)</f>
        <v>21</v>
      </c>
      <c r="I149" s="148">
        <f>IFERROR(__xludf.DUMMYFUNCTION("""COMPUTED_VALUE"""),10001.0)</f>
        <v>10001</v>
      </c>
      <c r="J149" s="148">
        <f>IFERROR(__xludf.DUMMYFUNCTION("""COMPUTED_VALUE"""),11.0)</f>
        <v>11</v>
      </c>
      <c r="K149" s="148">
        <f>IFERROR(__xludf.DUMMYFUNCTION("""COMPUTED_VALUE"""),6.0)</f>
        <v>6</v>
      </c>
      <c r="L149" s="148">
        <f>IFERROR(__xludf.DUMMYFUNCTION("""COMPUTED_VALUE"""),6.0)</f>
        <v>6</v>
      </c>
      <c r="M149" s="148">
        <f>IFERROR(__xludf.DUMMYFUNCTION("""COMPUTED_VALUE"""),360000.0)</f>
        <v>360000</v>
      </c>
      <c r="N149" s="148" t="str">
        <f>IFERROR(__xludf.DUMMYFUNCTION("""COMPUTED_VALUE"""),"[{""typ"":""rss"",""id"":11141001,""val"":2240},{""typ"":""rss"",""id"":11141003,""val"":1600},{""typ"":""rss"",""id"":11141041,""val"":80}]")</f>
        <v>[{"typ":"rss","id":11141001,"val":2240},{"typ":"rss","id":11141003,"val":1600},{"typ":"rss","id":11141041,"val":80}]</v>
      </c>
      <c r="O149" s="148" t="str">
        <f>IFERROR(__xludf.DUMMYFUNCTION("""COMPUTED_VALUE"""),"{""op"":""and"",""args"":[{""op"":""ge"",""typ"":""arms_group"",""id"":11674506,""val"":1}]}")</f>
        <v>{"op":"and","args":[{"op":"ge","typ":"arms_group","id":11674506,"val":1}]}</v>
      </c>
      <c r="P149" s="148">
        <f>IFERROR(__xludf.DUMMYFUNCTION("""COMPUTED_VALUE"""),12000.0)</f>
        <v>12000</v>
      </c>
      <c r="Q149" s="148" t="str">
        <f>IFERROR(__xludf.DUMMYFUNCTION("""COMPUTED_VALUE"""),"[{""typ"":""rss"",""id"":11141001,""val"":896},{""typ"":""rss"",""id"":11141003,""val"":640},{""typ"":""rss"",""id"":11141041,""val"":16}]")</f>
        <v>[{"typ":"rss","id":11141001,"val":896},{"typ":"rss","id":11141003,"val":640},{"typ":"rss","id":11141041,"val":16}]</v>
      </c>
      <c r="R149" s="148" t="str">
        <f>IFERROR(__xludf.DUMMYFUNCTION("""COMPUTED_VALUE"""),"{}")</f>
        <v>{}</v>
      </c>
      <c r="S149" s="148">
        <f>IFERROR(__xludf.DUMMYFUNCTION("""COMPUTED_VALUE"""),180000.0)</f>
        <v>180000</v>
      </c>
      <c r="T149" s="148" t="str">
        <f>IFERROR(__xludf.DUMMYFUNCTION("""COMPUTED_VALUE"""),"[{""typ"":""rss"",""id"":11141001,""val"":840},{""typ"":""rss"",""id"":11141003,""val"":600},{""typ"":""rss"",""id"":11141041,""val"":80}]")</f>
        <v>[{"typ":"rss","id":11141001,"val":840},{"typ":"rss","id":11141003,"val":600},{"typ":"rss","id":11141041,"val":80}]</v>
      </c>
      <c r="U149" s="148">
        <f>IFERROR(__xludf.DUMMYFUNCTION("""COMPUTED_VALUE"""),0.0)</f>
        <v>0</v>
      </c>
      <c r="V149" s="148" t="str">
        <f>IFERROR(__xludf.DUMMYFUNCTION("""COMPUTED_VALUE"""),"{""op"":""and"",""args"":[{""op"":""ge"",""typ"":""arms_group"",""id"":11674506,""val"":1}]}")</f>
        <v>{"op":"and","args":[{"op":"ge","typ":"arms_group","id":11674506,"val":1}]}</v>
      </c>
      <c r="W149" s="148" t="str">
        <f>IFERROR(__xludf.DUMMYFUNCTION("""COMPUTED_VALUE"""),"[]")</f>
        <v>[]</v>
      </c>
      <c r="X149" s="148" t="str">
        <f>IFERROR(__xludf.DUMMYFUNCTION("""COMPUTED_VALUE"""),"[{""typ"":""power"",""id"":12141002,""val"":20}]")</f>
        <v>[{"typ":"power","id":12141002,"val":20}]</v>
      </c>
      <c r="Y149" s="148" t="str">
        <f>IFERROR(__xludf.DUMMYFUNCTION("""COMPUTED_VALUE"""),"[{""typ"":""atk"",""val"":337},{""typ"":""def"",""val"":295},{""typ"":""hp"",""val"":256},{""typ"":""speed"",""val"":26},{""typ"":""load"",""val"":35},{""typ"":""backcoef"",""val"":0.5},{""typ"":""atkcoef"",""val"":1.0},{""typ"":""atkcd"",""val"":0}]")</f>
        <v>[{"typ":"atk","val":337},{"typ":"def","val":295},{"typ":"hp","val":256},{"typ":"speed","val":26},{"typ":"load","val":35},{"typ":"backcoef","val":0.5},{"typ":"atkcoef","val":1.0},{"typ":"atkcd","val":0}]</v>
      </c>
      <c r="Z149" s="148" t="str">
        <f>IFERROR(__xludf.DUMMYFUNCTION("""COMPUTED_VALUE"""),"[]")</f>
        <v>[]</v>
      </c>
    </row>
    <row r="150">
      <c r="A150" s="148">
        <f>IFERROR(__xludf.DUMMYFUNCTION("""COMPUTED_VALUE"""),1.1212001E7)</f>
        <v>11212001</v>
      </c>
      <c r="B150" s="148" t="str">
        <f>IFERROR(__xludf.DUMMYFUNCTION("""COMPUTED_VALUE"""),"防御塔单位虚拟兵力")</f>
        <v>防御塔单位虚拟兵力</v>
      </c>
      <c r="C150" s="148">
        <f>IFERROR(__xludf.DUMMYFUNCTION("""COMPUTED_VALUE"""),1.1221005E7)</f>
        <v>11221005</v>
      </c>
      <c r="D150" s="148">
        <f>IFERROR(__xludf.DUMMYFUNCTION("""COMPUTED_VALUE"""),1.5110071E7)</f>
        <v>15110071</v>
      </c>
      <c r="E150" s="148" t="str">
        <f>IFERROR(__xludf.DUMMYFUNCTION("""COMPUTED_VALUE"""),"{""typ"":""lc"",""txt"":""LC_UNION_gang_flag_tower_name""}")</f>
        <v>{"typ":"lc","txt":"LC_UNION_gang_flag_tower_name"}</v>
      </c>
      <c r="F150" s="148" t="str">
        <f>IFERROR(__xludf.DUMMYFUNCTION("""COMPUTED_VALUE"""),"{""typ"":""lc"",""txt"":""LC_UNION_gang_flag_tower_desc""}")</f>
        <v>{"typ":"lc","txt":"LC_UNION_gang_flag_tower_desc"}</v>
      </c>
      <c r="G150" s="148">
        <f>IFERROR(__xludf.DUMMYFUNCTION("""COMPUTED_VALUE"""),1.0)</f>
        <v>1</v>
      </c>
      <c r="H150" s="148">
        <f>IFERROR(__xludf.DUMMYFUNCTION("""COMPUTED_VALUE"""),0.0)</f>
        <v>0</v>
      </c>
      <c r="I150" s="148">
        <f>IFERROR(__xludf.DUMMYFUNCTION("""COMPUTED_VALUE"""),10011.0)</f>
        <v>10011</v>
      </c>
      <c r="J150" s="148">
        <f>IFERROR(__xludf.DUMMYFUNCTION("""COMPUTED_VALUE"""),1.0)</f>
        <v>1</v>
      </c>
      <c r="K150" s="148">
        <f>IFERROR(__xludf.DUMMYFUNCTION("""COMPUTED_VALUE"""),1.0)</f>
        <v>1</v>
      </c>
      <c r="L150" s="148">
        <f>IFERROR(__xludf.DUMMYFUNCTION("""COMPUTED_VALUE"""),1.0)</f>
        <v>1</v>
      </c>
      <c r="M150" s="148">
        <f>IFERROR(__xludf.DUMMYFUNCTION("""COMPUTED_VALUE"""),0.0)</f>
        <v>0</v>
      </c>
      <c r="N150" s="148" t="str">
        <f>IFERROR(__xludf.DUMMYFUNCTION("""COMPUTED_VALUE"""),"[]")</f>
        <v>[]</v>
      </c>
      <c r="O150" s="148" t="str">
        <f>IFERROR(__xludf.DUMMYFUNCTION("""COMPUTED_VALUE"""),"{}")</f>
        <v>{}</v>
      </c>
      <c r="P150" s="148">
        <f>IFERROR(__xludf.DUMMYFUNCTION("""COMPUTED_VALUE"""),1250.0)</f>
        <v>1250</v>
      </c>
      <c r="Q150" s="148" t="str">
        <f>IFERROR(__xludf.DUMMYFUNCTION("""COMPUTED_VALUE"""),"[{""typ"":""rss"",""id"":11141001,""val"":4},{""typ"":""rss"",""id"":11141003,""val"":18}]")</f>
        <v>[{"typ":"rss","id":11141001,"val":4},{"typ":"rss","id":11141003,"val":18}]</v>
      </c>
      <c r="R150" s="148" t="str">
        <f>IFERROR(__xludf.DUMMYFUNCTION("""COMPUTED_VALUE"""),"{}")</f>
        <v>{}</v>
      </c>
      <c r="S150" s="148">
        <f>IFERROR(__xludf.DUMMYFUNCTION("""COMPUTED_VALUE"""),0.0)</f>
        <v>0</v>
      </c>
      <c r="T150" s="148" t="str">
        <f>IFERROR(__xludf.DUMMYFUNCTION("""COMPUTED_VALUE"""),"[]")</f>
        <v>[]</v>
      </c>
      <c r="U150" s="148">
        <f>IFERROR(__xludf.DUMMYFUNCTION("""COMPUTED_VALUE"""),0.0)</f>
        <v>0</v>
      </c>
      <c r="V150" s="148" t="str">
        <f>IFERROR(__xludf.DUMMYFUNCTION("""COMPUTED_VALUE"""),"{}")</f>
        <v>{}</v>
      </c>
      <c r="W150" s="148" t="str">
        <f>IFERROR(__xludf.DUMMYFUNCTION("""COMPUTED_VALUE"""),"[{""typ"":""rss"",""id"":11141001,""val"":1}]")</f>
        <v>[{"typ":"rss","id":11141001,"val":1}]</v>
      </c>
      <c r="X150" s="148" t="str">
        <f>IFERROR(__xludf.DUMMYFUNCTION("""COMPUTED_VALUE"""),"[{""typ"":""power"",""id"":12141002,""val"":1}]")</f>
        <v>[{"typ":"power","id":12141002,"val":1}]</v>
      </c>
      <c r="Y150" s="148" t="str">
        <f>IFERROR(__xludf.DUMMYFUNCTION("""COMPUTED_VALUE"""),"[{""typ"":""atk"",""val"":60},{""typ"":""def"",""val"":120},{""typ"":""hp"",""val"":120},{""typ"":""speed"",""val"":40},{""typ"":""load"",""val"":20},{""typ"":""backcoef"",""val"":0.5},{""typ"":""atkcoef"",""val"":1.0},{""typ"":""atkcd"",""val"":0}]")</f>
        <v>[{"typ":"atk","val":60},{"typ":"def","val":120},{"typ":"hp","val":120},{"typ":"speed","val":40},{"typ":"load","val":20},{"typ":"backcoef","val":0.5},{"typ":"atkcoef","val":1.0},{"typ":"atkcd","val":0}]</v>
      </c>
      <c r="Z150" s="148" t="str">
        <f>IFERROR(__xludf.DUMMYFUNCTION("""COMPUTED_VALUE"""),"[]")</f>
        <v>[]</v>
      </c>
    </row>
    <row r="151">
      <c r="A151" s="148">
        <f>IFERROR(__xludf.DUMMYFUNCTION("""COMPUTED_VALUE"""),1.1212011E7)</f>
        <v>11212011</v>
      </c>
      <c r="B151" s="148" t="str">
        <f>IFERROR(__xludf.DUMMYFUNCTION("""COMPUTED_VALUE"""),"射击手远程士兵-纯客户端调用动作特效用")</f>
        <v>射击手远程士兵-纯客户端调用动作特效用</v>
      </c>
      <c r="C151" s="148">
        <f>IFERROR(__xludf.DUMMYFUNCTION("""COMPUTED_VALUE"""),0.0)</f>
        <v>0</v>
      </c>
      <c r="D151" s="148">
        <f>IFERROR(__xludf.DUMMYFUNCTION("""COMPUTED_VALUE"""),1.5115223E7)</f>
        <v>15115223</v>
      </c>
      <c r="E151" s="148" t="str">
        <f>IFERROR(__xludf.DUMMYFUNCTION("""COMPUTED_VALUE"""),"{""typ"":""lc"",""txt"":""LC_SOLDIER_shooter_name_4""}")</f>
        <v>{"typ":"lc","txt":"LC_SOLDIER_shooter_name_4"}</v>
      </c>
      <c r="F151" s="148" t="str">
        <f>IFERROR(__xludf.DUMMYFUNCTION("""COMPUTED_VALUE"""),"{""typ"":""lc"",""txt"":""LC_SOLDIER_shooter_desc_4""}")</f>
        <v>{"typ":"lc","txt":"LC_SOLDIER_shooter_desc_4"}</v>
      </c>
      <c r="G151" s="148">
        <f>IFERROR(__xludf.DUMMYFUNCTION("""COMPUTED_VALUE"""),8.0)</f>
        <v>8</v>
      </c>
      <c r="H151" s="148">
        <f>IFERROR(__xludf.DUMMYFUNCTION("""COMPUTED_VALUE"""),14.0)</f>
        <v>14</v>
      </c>
      <c r="I151" s="148">
        <f>IFERROR(__xludf.DUMMYFUNCTION("""COMPUTED_VALUE"""),10004.0)</f>
        <v>10004</v>
      </c>
      <c r="J151" s="148">
        <f>IFERROR(__xludf.DUMMYFUNCTION("""COMPUTED_VALUE"""),99.0)</f>
        <v>99</v>
      </c>
      <c r="K151" s="148">
        <f>IFERROR(__xludf.DUMMYFUNCTION("""COMPUTED_VALUE"""),5.0)</f>
        <v>5</v>
      </c>
      <c r="L151" s="148">
        <f>IFERROR(__xludf.DUMMYFUNCTION("""COMPUTED_VALUE"""),5.0)</f>
        <v>5</v>
      </c>
      <c r="M151" s="148">
        <f>IFERROR(__xludf.DUMMYFUNCTION("""COMPUTED_VALUE"""),90000.0)</f>
        <v>90000</v>
      </c>
      <c r="N151" s="148" t="str">
        <f>IFERROR(__xludf.DUMMYFUNCTION("""COMPUTED_VALUE"""),"[]")</f>
        <v>[]</v>
      </c>
      <c r="O151" s="148" t="str">
        <f>IFERROR(__xludf.DUMMYFUNCTION("""COMPUTED_VALUE"""),"{}")</f>
        <v>{}</v>
      </c>
      <c r="P151" s="148">
        <f>IFERROR(__xludf.DUMMYFUNCTION("""COMPUTED_VALUE"""),0.0)</f>
        <v>0</v>
      </c>
      <c r="Q151" s="148" t="str">
        <f>IFERROR(__xludf.DUMMYFUNCTION("""COMPUTED_VALUE"""),"[]")</f>
        <v>[]</v>
      </c>
      <c r="R151" s="148" t="str">
        <f>IFERROR(__xludf.DUMMYFUNCTION("""COMPUTED_VALUE"""),"{}")</f>
        <v>{}</v>
      </c>
      <c r="S151" s="148">
        <f>IFERROR(__xludf.DUMMYFUNCTION("""COMPUTED_VALUE"""),0.0)</f>
        <v>0</v>
      </c>
      <c r="T151" s="148" t="str">
        <f>IFERROR(__xludf.DUMMYFUNCTION("""COMPUTED_VALUE"""),"[{""typ"":""rss"",""id"":11141001,""val"":280},{""typ"":""rss"",""id"":11141003,""val"":120}]")</f>
        <v>[{"typ":"rss","id":11141001,"val":280},{"typ":"rss","id":11141003,"val":120}]</v>
      </c>
      <c r="U151" s="148">
        <f>IFERROR(__xludf.DUMMYFUNCTION("""COMPUTED_VALUE"""),0.0)</f>
        <v>0</v>
      </c>
      <c r="V151" s="148" t="str">
        <f>IFERROR(__xludf.DUMMYFUNCTION("""COMPUTED_VALUE"""),"{}")</f>
        <v>{}</v>
      </c>
      <c r="W151" s="148" t="str">
        <f>IFERROR(__xludf.DUMMYFUNCTION("""COMPUTED_VALUE"""),"[]")</f>
        <v>[]</v>
      </c>
      <c r="X151" s="148" t="str">
        <f>IFERROR(__xludf.DUMMYFUNCTION("""COMPUTED_VALUE"""),"[{""typ"":""power"",""id"":12141002,""val"":6}]")</f>
        <v>[{"typ":"power","id":12141002,"val":6}]</v>
      </c>
      <c r="Y151" s="148" t="str">
        <f>IFERROR(__xludf.DUMMYFUNCTION("""COMPUTED_VALUE"""),"[{""typ"":""atk"",""val"":205},{""typ"":""def"",""val"":188},{""typ"":""hp"",""val"":175},{""typ"":""speed"",""val"":35},{""typ"":""load"",""val"":11},{""typ"":""backcoef"",""val"":0.5},{""typ"":""atkcoef"",""val"":1.0},{""typ"":""atkcd"",""val"":0}]")</f>
        <v>[{"typ":"atk","val":205},{"typ":"def","val":188},{"typ":"hp","val":175},{"typ":"speed","val":35},{"typ":"load","val":11},{"typ":"backcoef","val":0.5},{"typ":"atkcoef","val":1.0},{"typ":"atkcd","val":0}]</v>
      </c>
      <c r="Z151" s="148" t="str">
        <f>IFERROR(__xludf.DUMMYFUNCTION("""COMPUTED_VALUE"""),"[]")</f>
        <v>[]</v>
      </c>
    </row>
    <row r="152">
      <c r="A152" s="148">
        <f>IFERROR(__xludf.DUMMYFUNCTION("""COMPUTED_VALUE"""),1.1212012E7)</f>
        <v>11212012</v>
      </c>
      <c r="B152" s="148" t="str">
        <f>IFERROR(__xludf.DUMMYFUNCTION("""COMPUTED_VALUE"""),"攻城车远程士兵-纯客户端调用动作特效用")</f>
        <v>攻城车远程士兵-纯客户端调用动作特效用</v>
      </c>
      <c r="C152" s="148">
        <f>IFERROR(__xludf.DUMMYFUNCTION("""COMPUTED_VALUE"""),0.0)</f>
        <v>0</v>
      </c>
      <c r="D152" s="148">
        <f>IFERROR(__xludf.DUMMYFUNCTION("""COMPUTED_VALUE"""),1.5115224E7)</f>
        <v>15115224</v>
      </c>
      <c r="E152" s="148" t="str">
        <f>IFERROR(__xludf.DUMMYFUNCTION("""COMPUTED_VALUE"""),"{""typ"":""lc"",""txt"":""LC_SOLDIER_wall_breaker_name_4""}")</f>
        <v>{"typ":"lc","txt":"LC_SOLDIER_wall_breaker_name_4"}</v>
      </c>
      <c r="F152" s="148" t="str">
        <f>IFERROR(__xludf.DUMMYFUNCTION("""COMPUTED_VALUE"""),"{""typ"":""lc"",""txt"":""LC_SOLDIER_wall_breaker_desc_4""}")</f>
        <v>{"typ":"lc","txt":"LC_SOLDIER_wall_breaker_desc_4"}</v>
      </c>
      <c r="G152" s="148">
        <f>IFERROR(__xludf.DUMMYFUNCTION("""COMPUTED_VALUE"""),8.0)</f>
        <v>8</v>
      </c>
      <c r="H152" s="148">
        <f>IFERROR(__xludf.DUMMYFUNCTION("""COMPUTED_VALUE"""),13.0)</f>
        <v>13</v>
      </c>
      <c r="I152" s="148">
        <f>IFERROR(__xludf.DUMMYFUNCTION("""COMPUTED_VALUE"""),10003.0)</f>
        <v>10003</v>
      </c>
      <c r="J152" s="148">
        <f>IFERROR(__xludf.DUMMYFUNCTION("""COMPUTED_VALUE"""),99.0)</f>
        <v>99</v>
      </c>
      <c r="K152" s="148">
        <f>IFERROR(__xludf.DUMMYFUNCTION("""COMPUTED_VALUE"""),5.0)</f>
        <v>5</v>
      </c>
      <c r="L152" s="148">
        <f>IFERROR(__xludf.DUMMYFUNCTION("""COMPUTED_VALUE"""),5.0)</f>
        <v>5</v>
      </c>
      <c r="M152" s="148">
        <f>IFERROR(__xludf.DUMMYFUNCTION("""COMPUTED_VALUE"""),90000.0)</f>
        <v>90000</v>
      </c>
      <c r="N152" s="148" t="str">
        <f>IFERROR(__xludf.DUMMYFUNCTION("""COMPUTED_VALUE"""),"[]")</f>
        <v>[]</v>
      </c>
      <c r="O152" s="148" t="str">
        <f>IFERROR(__xludf.DUMMYFUNCTION("""COMPUTED_VALUE"""),"{}")</f>
        <v>{}</v>
      </c>
      <c r="P152" s="148">
        <f>IFERROR(__xludf.DUMMYFUNCTION("""COMPUTED_VALUE"""),0.0)</f>
        <v>0</v>
      </c>
      <c r="Q152" s="148" t="str">
        <f>IFERROR(__xludf.DUMMYFUNCTION("""COMPUTED_VALUE"""),"[]")</f>
        <v>[]</v>
      </c>
      <c r="R152" s="148" t="str">
        <f>IFERROR(__xludf.DUMMYFUNCTION("""COMPUTED_VALUE"""),"{}")</f>
        <v>{}</v>
      </c>
      <c r="S152" s="148">
        <f>IFERROR(__xludf.DUMMYFUNCTION("""COMPUTED_VALUE"""),0.0)</f>
        <v>0</v>
      </c>
      <c r="T152" s="148" t="str">
        <f>IFERROR(__xludf.DUMMYFUNCTION("""COMPUTED_VALUE"""),"[{""typ"":""rss"",""id"":11141001,""val"":280},{""typ"":""rss"",""id"":11141003,""val"":200}]")</f>
        <v>[{"typ":"rss","id":11141001,"val":280},{"typ":"rss","id":11141003,"val":200}]</v>
      </c>
      <c r="U152" s="148">
        <f>IFERROR(__xludf.DUMMYFUNCTION("""COMPUTED_VALUE"""),0.0)</f>
        <v>0</v>
      </c>
      <c r="V152" s="148" t="str">
        <f>IFERROR(__xludf.DUMMYFUNCTION("""COMPUTED_VALUE"""),"{}")</f>
        <v>{}</v>
      </c>
      <c r="W152" s="148" t="str">
        <f>IFERROR(__xludf.DUMMYFUNCTION("""COMPUTED_VALUE"""),"[]")</f>
        <v>[]</v>
      </c>
      <c r="X152" s="148" t="str">
        <f>IFERROR(__xludf.DUMMYFUNCTION("""COMPUTED_VALUE"""),"[{""typ"":""power"",""id"":12141002,""val"":6}]")</f>
        <v>[{"typ":"power","id":12141002,"val":6}]</v>
      </c>
      <c r="Y152" s="148" t="str">
        <f>IFERROR(__xludf.DUMMYFUNCTION("""COMPUTED_VALUE"""),"[{""typ"":""atk"",""val"":201},{""typ"":""def"",""val"":186},{""typ"":""hp"",""val"":180},{""typ"":""speed"",""val"":30},{""typ"":""load"",""val"":26},{""typ"":""backcoef"",""val"":0.5},{""typ"":""atkcoef"",""val"":1.0},{""typ"":""atkcd"",""val"":0}]")</f>
        <v>[{"typ":"atk","val":201},{"typ":"def","val":186},{"typ":"hp","val":180},{"typ":"speed","val":30},{"typ":"load","val":26},{"typ":"backcoef","val":0.5},{"typ":"atkcoef","val":1.0},{"typ":"atkcd","val":0}]</v>
      </c>
      <c r="Z152" s="148" t="str">
        <f>IFERROR(__xludf.DUMMYFUNCTION("""COMPUTED_VALUE"""),"[]")</f>
        <v>[]</v>
      </c>
    </row>
    <row r="153">
      <c r="A153" s="148">
        <f>IFERROR(__xludf.DUMMYFUNCTION("""COMPUTED_VALUE"""),1.1212013E7)</f>
        <v>11212013</v>
      </c>
      <c r="B153" s="148" t="str">
        <f>IFERROR(__xludf.DUMMYFUNCTION("""COMPUTED_VALUE"""),"T6-B射击手远程士兵-纯客户端调用动作特效用")</f>
        <v>T6-B射击手远程士兵-纯客户端调用动作特效用</v>
      </c>
      <c r="C153" s="148">
        <f>IFERROR(__xludf.DUMMYFUNCTION("""COMPUTED_VALUE"""),0.0)</f>
        <v>0</v>
      </c>
      <c r="D153" s="148">
        <f>IFERROR(__xludf.DUMMYFUNCTION("""COMPUTED_VALUE"""),1.5117221E7)</f>
        <v>15117221</v>
      </c>
      <c r="E153" s="148" t="str">
        <f>IFERROR(__xludf.DUMMYFUNCTION("""COMPUTED_VALUE"""),"{""typ"":""lc"",""txt"":""LC_SOLDIER_shooter_name_4""}")</f>
        <v>{"typ":"lc","txt":"LC_SOLDIER_shooter_name_4"}</v>
      </c>
      <c r="F153" s="148" t="str">
        <f>IFERROR(__xludf.DUMMYFUNCTION("""COMPUTED_VALUE"""),"{""typ"":""lc"",""txt"":""LC_SOLDIER_shooter_desc_4""}")</f>
        <v>{"typ":"lc","txt":"LC_SOLDIER_shooter_desc_4"}</v>
      </c>
      <c r="G153" s="148">
        <f>IFERROR(__xludf.DUMMYFUNCTION("""COMPUTED_VALUE"""),8.0)</f>
        <v>8</v>
      </c>
      <c r="H153" s="148">
        <f>IFERROR(__xludf.DUMMYFUNCTION("""COMPUTED_VALUE"""),14.0)</f>
        <v>14</v>
      </c>
      <c r="I153" s="148">
        <f>IFERROR(__xludf.DUMMYFUNCTION("""COMPUTED_VALUE"""),10004.0)</f>
        <v>10004</v>
      </c>
      <c r="J153" s="148">
        <f>IFERROR(__xludf.DUMMYFUNCTION("""COMPUTED_VALUE"""),99.0)</f>
        <v>99</v>
      </c>
      <c r="K153" s="148">
        <f>IFERROR(__xludf.DUMMYFUNCTION("""COMPUTED_VALUE"""),5.0)</f>
        <v>5</v>
      </c>
      <c r="L153" s="148">
        <f>IFERROR(__xludf.DUMMYFUNCTION("""COMPUTED_VALUE"""),5.0)</f>
        <v>5</v>
      </c>
      <c r="M153" s="148">
        <f>IFERROR(__xludf.DUMMYFUNCTION("""COMPUTED_VALUE"""),90000.0)</f>
        <v>90000</v>
      </c>
      <c r="N153" s="148" t="str">
        <f>IFERROR(__xludf.DUMMYFUNCTION("""COMPUTED_VALUE"""),"[]")</f>
        <v>[]</v>
      </c>
      <c r="O153" s="148" t="str">
        <f>IFERROR(__xludf.DUMMYFUNCTION("""COMPUTED_VALUE"""),"{}")</f>
        <v>{}</v>
      </c>
      <c r="P153" s="148">
        <f>IFERROR(__xludf.DUMMYFUNCTION("""COMPUTED_VALUE"""),0.0)</f>
        <v>0</v>
      </c>
      <c r="Q153" s="148" t="str">
        <f>IFERROR(__xludf.DUMMYFUNCTION("""COMPUTED_VALUE"""),"[]")</f>
        <v>[]</v>
      </c>
      <c r="R153" s="148" t="str">
        <f>IFERROR(__xludf.DUMMYFUNCTION("""COMPUTED_VALUE"""),"{}")</f>
        <v>{}</v>
      </c>
      <c r="S153" s="148">
        <f>IFERROR(__xludf.DUMMYFUNCTION("""COMPUTED_VALUE"""),0.0)</f>
        <v>0</v>
      </c>
      <c r="T153" s="148" t="str">
        <f>IFERROR(__xludf.DUMMYFUNCTION("""COMPUTED_VALUE"""),"[{""typ"":""rss"",""id"":11141001,""val"":280},{""typ"":""rss"",""id"":11141003,""val"":120}]")</f>
        <v>[{"typ":"rss","id":11141001,"val":280},{"typ":"rss","id":11141003,"val":120}]</v>
      </c>
      <c r="U153" s="148">
        <f>IFERROR(__xludf.DUMMYFUNCTION("""COMPUTED_VALUE"""),0.0)</f>
        <v>0</v>
      </c>
      <c r="V153" s="148" t="str">
        <f>IFERROR(__xludf.DUMMYFUNCTION("""COMPUTED_VALUE"""),"{}")</f>
        <v>{}</v>
      </c>
      <c r="W153" s="148" t="str">
        <f>IFERROR(__xludf.DUMMYFUNCTION("""COMPUTED_VALUE"""),"[]")</f>
        <v>[]</v>
      </c>
      <c r="X153" s="148" t="str">
        <f>IFERROR(__xludf.DUMMYFUNCTION("""COMPUTED_VALUE"""),"[{""typ"":""power"",""id"":12141002,""val"":6}]")</f>
        <v>[{"typ":"power","id":12141002,"val":6}]</v>
      </c>
      <c r="Y153" s="148" t="str">
        <f>IFERROR(__xludf.DUMMYFUNCTION("""COMPUTED_VALUE"""),"[{""typ"":""atk"",""val"":205},{""typ"":""def"",""val"":188},{""typ"":""hp"",""val"":175},{""typ"":""speed"",""val"":35},{""typ"":""load"",""val"":11},{""typ"":""backcoef"",""val"":0.5},{""typ"":""atkcoef"",""val"":1.0},{""typ"":""atkcd"",""val"":0}]")</f>
        <v>[{"typ":"atk","val":205},{"typ":"def","val":188},{"typ":"hp","val":175},{"typ":"speed","val":35},{"typ":"load","val":11},{"typ":"backcoef","val":0.5},{"typ":"atkcoef","val":1.0},{"typ":"atkcd","val":0}]</v>
      </c>
      <c r="Z153" s="148" t="str">
        <f>IFERROR(__xludf.DUMMYFUNCTION("""COMPUTED_VALUE"""),"[]")</f>
        <v>[]</v>
      </c>
    </row>
    <row r="154">
      <c r="A154" s="148">
        <f>IFERROR(__xludf.DUMMYFUNCTION("""COMPUTED_VALUE"""),1.1212014E7)</f>
        <v>11212014</v>
      </c>
      <c r="B154" s="148" t="str">
        <f>IFERROR(__xludf.DUMMYFUNCTION("""COMPUTED_VALUE"""),"T6-B攻城车远程士兵-纯客户端调用动作特效用")</f>
        <v>T6-B攻城车远程士兵-纯客户端调用动作特效用</v>
      </c>
      <c r="C154" s="148">
        <f>IFERROR(__xludf.DUMMYFUNCTION("""COMPUTED_VALUE"""),0.0)</f>
        <v>0</v>
      </c>
      <c r="D154" s="148">
        <f>IFERROR(__xludf.DUMMYFUNCTION("""COMPUTED_VALUE"""),1.5117222E7)</f>
        <v>15117222</v>
      </c>
      <c r="E154" s="148" t="str">
        <f>IFERROR(__xludf.DUMMYFUNCTION("""COMPUTED_VALUE"""),"{""typ"":""lc"",""txt"":""LC_SOLDIER_wall_breaker_name_4""}")</f>
        <v>{"typ":"lc","txt":"LC_SOLDIER_wall_breaker_name_4"}</v>
      </c>
      <c r="F154" s="148" t="str">
        <f>IFERROR(__xludf.DUMMYFUNCTION("""COMPUTED_VALUE"""),"{""typ"":""lc"",""txt"":""LC_SOLDIER_wall_breaker_desc_4""}")</f>
        <v>{"typ":"lc","txt":"LC_SOLDIER_wall_breaker_desc_4"}</v>
      </c>
      <c r="G154" s="148">
        <f>IFERROR(__xludf.DUMMYFUNCTION("""COMPUTED_VALUE"""),8.0)</f>
        <v>8</v>
      </c>
      <c r="H154" s="148">
        <f>IFERROR(__xludf.DUMMYFUNCTION("""COMPUTED_VALUE"""),13.0)</f>
        <v>13</v>
      </c>
      <c r="I154" s="148">
        <f>IFERROR(__xludf.DUMMYFUNCTION("""COMPUTED_VALUE"""),10003.0)</f>
        <v>10003</v>
      </c>
      <c r="J154" s="148">
        <f>IFERROR(__xludf.DUMMYFUNCTION("""COMPUTED_VALUE"""),99.0)</f>
        <v>99</v>
      </c>
      <c r="K154" s="148">
        <f>IFERROR(__xludf.DUMMYFUNCTION("""COMPUTED_VALUE"""),5.0)</f>
        <v>5</v>
      </c>
      <c r="L154" s="148">
        <f>IFERROR(__xludf.DUMMYFUNCTION("""COMPUTED_VALUE"""),5.0)</f>
        <v>5</v>
      </c>
      <c r="M154" s="148">
        <f>IFERROR(__xludf.DUMMYFUNCTION("""COMPUTED_VALUE"""),90000.0)</f>
        <v>90000</v>
      </c>
      <c r="N154" s="148" t="str">
        <f>IFERROR(__xludf.DUMMYFUNCTION("""COMPUTED_VALUE"""),"[]")</f>
        <v>[]</v>
      </c>
      <c r="O154" s="148" t="str">
        <f>IFERROR(__xludf.DUMMYFUNCTION("""COMPUTED_VALUE"""),"{}")</f>
        <v>{}</v>
      </c>
      <c r="P154" s="148">
        <f>IFERROR(__xludf.DUMMYFUNCTION("""COMPUTED_VALUE"""),0.0)</f>
        <v>0</v>
      </c>
      <c r="Q154" s="148" t="str">
        <f>IFERROR(__xludf.DUMMYFUNCTION("""COMPUTED_VALUE"""),"[]")</f>
        <v>[]</v>
      </c>
      <c r="R154" s="148" t="str">
        <f>IFERROR(__xludf.DUMMYFUNCTION("""COMPUTED_VALUE"""),"{}")</f>
        <v>{}</v>
      </c>
      <c r="S154" s="148">
        <f>IFERROR(__xludf.DUMMYFUNCTION("""COMPUTED_VALUE"""),0.0)</f>
        <v>0</v>
      </c>
      <c r="T154" s="148" t="str">
        <f>IFERROR(__xludf.DUMMYFUNCTION("""COMPUTED_VALUE"""),"[{""typ"":""rss"",""id"":11141001,""val"":280},{""typ"":""rss"",""id"":11141003,""val"":200}]")</f>
        <v>[{"typ":"rss","id":11141001,"val":280},{"typ":"rss","id":11141003,"val":200}]</v>
      </c>
      <c r="U154" s="148">
        <f>IFERROR(__xludf.DUMMYFUNCTION("""COMPUTED_VALUE"""),0.0)</f>
        <v>0</v>
      </c>
      <c r="V154" s="148" t="str">
        <f>IFERROR(__xludf.DUMMYFUNCTION("""COMPUTED_VALUE"""),"{}")</f>
        <v>{}</v>
      </c>
      <c r="W154" s="148" t="str">
        <f>IFERROR(__xludf.DUMMYFUNCTION("""COMPUTED_VALUE"""),"[]")</f>
        <v>[]</v>
      </c>
      <c r="X154" s="148" t="str">
        <f>IFERROR(__xludf.DUMMYFUNCTION("""COMPUTED_VALUE"""),"[{""typ"":""power"",""id"":12141002,""val"":6}]")</f>
        <v>[{"typ":"power","id":12141002,"val":6}]</v>
      </c>
      <c r="Y154" s="148" t="str">
        <f>IFERROR(__xludf.DUMMYFUNCTION("""COMPUTED_VALUE"""),"[{""typ"":""atk"",""val"":201},{""typ"":""def"",""val"":186},{""typ"":""hp"",""val"":180},{""typ"":""speed"",""val"":30},{""typ"":""load"",""val"":26},{""typ"":""backcoef"",""val"":0.5},{""typ"":""atkcoef"",""val"":1.0},{""typ"":""atkcd"",""val"":0}]")</f>
        <v>[{"typ":"atk","val":201},{"typ":"def","val":186},{"typ":"hp","val":180},{"typ":"speed","val":30},{"typ":"load","val":26},{"typ":"backcoef","val":0.5},{"typ":"atkcoef","val":1.0},{"typ":"atkcd","val":0}]</v>
      </c>
      <c r="Z154" s="148" t="str">
        <f>IFERROR(__xludf.DUMMYFUNCTION("""COMPUTED_VALUE"""),"[]")</f>
        <v>[]</v>
      </c>
    </row>
    <row r="155">
      <c r="A155" s="148">
        <f>IFERROR(__xludf.DUMMYFUNCTION("""COMPUTED_VALUE"""),1.1213006E7)</f>
        <v>11213006</v>
      </c>
      <c r="B155" s="148" t="str">
        <f>IFERROR(__xludf.DUMMYFUNCTION("""COMPUTED_VALUE"""),"大地图单位-变异猴T1")</f>
        <v>大地图单位-变异猴T1</v>
      </c>
      <c r="C155" s="148">
        <f>IFERROR(__xludf.DUMMYFUNCTION("""COMPUTED_VALUE"""),1.1221004E7)</f>
        <v>11221004</v>
      </c>
      <c r="D155" s="148">
        <f>IFERROR(__xludf.DUMMYFUNCTION("""COMPUTED_VALUE"""),1.5110234E7)</f>
        <v>15110234</v>
      </c>
      <c r="E155" s="148" t="str">
        <f>IFERROR(__xludf.DUMMYFUNCTION("""COMPUTED_VALUE"""),"{""typ"":""lc"",""txt"":""LC_SOLDIER_npc_name_1""}")</f>
        <v>{"typ":"lc","txt":"LC_SOLDIER_npc_name_1"}</v>
      </c>
      <c r="F155" s="148" t="str">
        <f>IFERROR(__xludf.DUMMYFUNCTION("""COMPUTED_VALUE"""),"{}")</f>
        <v>{}</v>
      </c>
      <c r="G155" s="148">
        <f>IFERROR(__xludf.DUMMYFUNCTION("""COMPUTED_VALUE"""),10.0)</f>
        <v>10</v>
      </c>
      <c r="H155" s="148">
        <f>IFERROR(__xludf.DUMMYFUNCTION("""COMPUTED_VALUE"""),10099.0)</f>
        <v>10099</v>
      </c>
      <c r="I155" s="148">
        <f>IFERROR(__xludf.DUMMYFUNCTION("""COMPUTED_VALUE"""),10099.0)</f>
        <v>10099</v>
      </c>
      <c r="J155" s="148">
        <f>IFERROR(__xludf.DUMMYFUNCTION("""COMPUTED_VALUE"""),0.0)</f>
        <v>0</v>
      </c>
      <c r="K155" s="148">
        <f>IFERROR(__xludf.DUMMYFUNCTION("""COMPUTED_VALUE"""),10.0)</f>
        <v>10</v>
      </c>
      <c r="L155" s="148">
        <f>IFERROR(__xludf.DUMMYFUNCTION("""COMPUTED_VALUE"""),99.0)</f>
        <v>99</v>
      </c>
      <c r="M155" s="148">
        <f>IFERROR(__xludf.DUMMYFUNCTION("""COMPUTED_VALUE"""),0.0)</f>
        <v>0</v>
      </c>
      <c r="N155" s="148" t="str">
        <f>IFERROR(__xludf.DUMMYFUNCTION("""COMPUTED_VALUE"""),"[]")</f>
        <v>[]</v>
      </c>
      <c r="O155" s="148" t="str">
        <f>IFERROR(__xludf.DUMMYFUNCTION("""COMPUTED_VALUE"""),"{}")</f>
        <v>{}</v>
      </c>
      <c r="P155" s="148">
        <f>IFERROR(__xludf.DUMMYFUNCTION("""COMPUTED_VALUE"""),0.0)</f>
        <v>0</v>
      </c>
      <c r="Q155" s="148" t="str">
        <f>IFERROR(__xludf.DUMMYFUNCTION("""COMPUTED_VALUE"""),"[]")</f>
        <v>[]</v>
      </c>
      <c r="R155" s="148" t="str">
        <f>IFERROR(__xludf.DUMMYFUNCTION("""COMPUTED_VALUE"""),"{}")</f>
        <v>{}</v>
      </c>
      <c r="S155" s="148">
        <f>IFERROR(__xludf.DUMMYFUNCTION("""COMPUTED_VALUE"""),0.0)</f>
        <v>0</v>
      </c>
      <c r="T155" s="148" t="str">
        <f>IFERROR(__xludf.DUMMYFUNCTION("""COMPUTED_VALUE"""),"[]")</f>
        <v>[]</v>
      </c>
      <c r="U155" s="148">
        <f>IFERROR(__xludf.DUMMYFUNCTION("""COMPUTED_VALUE"""),0.0)</f>
        <v>0</v>
      </c>
      <c r="V155" s="148" t="str">
        <f>IFERROR(__xludf.DUMMYFUNCTION("""COMPUTED_VALUE"""),"{}")</f>
        <v>{}</v>
      </c>
      <c r="W155" s="148" t="str">
        <f>IFERROR(__xludf.DUMMYFUNCTION("""COMPUTED_VALUE"""),"[]")</f>
        <v>[]</v>
      </c>
      <c r="X155" s="148" t="str">
        <f>IFERROR(__xludf.DUMMYFUNCTION("""COMPUTED_VALUE"""),"[{""typ"":""power"",""id"":12141002,""val"":1}]")</f>
        <v>[{"typ":"power","id":12141002,"val":1}]</v>
      </c>
      <c r="Y155" s="148" t="str">
        <f>IFERROR(__xludf.DUMMYFUNCTION("""COMPUTED_VALUE"""),"[{""typ"":""atk"",""val"":60},{""typ"":""def"",""val"":125},{""typ"":""hp"",""val"":135},{""typ"":""speed"",""val"":40},{""typ"":""load"",""val"":20},{""typ"":""backcoef"",""val"":0.5},{""typ"":""atkcoef"",""val"":1.0},{""typ"":""atkcd"",""val"":0}]")</f>
        <v>[{"typ":"atk","val":60},{"typ":"def","val":125},{"typ":"hp","val":135},{"typ":"speed","val":40},{"typ":"load","val":20},{"typ":"backcoef","val":0.5},{"typ":"atkcoef","val":1.0},{"typ":"atkcd","val":0}]</v>
      </c>
      <c r="Z155" s="148" t="str">
        <f>IFERROR(__xludf.DUMMYFUNCTION("""COMPUTED_VALUE"""),"[{""typ"":""battle_skill"",""id"":16121101}]")</f>
        <v>[{"typ":"battle_skill","id":16121101}]</v>
      </c>
    </row>
    <row r="156">
      <c r="A156" s="148">
        <f>IFERROR(__xludf.DUMMYFUNCTION("""COMPUTED_VALUE"""),1.1213007E7)</f>
        <v>11213007</v>
      </c>
      <c r="B156" s="148" t="str">
        <f>IFERROR(__xludf.DUMMYFUNCTION("""COMPUTED_VALUE"""),"大地图单位-变异猴T2")</f>
        <v>大地图单位-变异猴T2</v>
      </c>
      <c r="C156" s="148">
        <f>IFERROR(__xludf.DUMMYFUNCTION("""COMPUTED_VALUE"""),1.1221004E7)</f>
        <v>11221004</v>
      </c>
      <c r="D156" s="148">
        <f>IFERROR(__xludf.DUMMYFUNCTION("""COMPUTED_VALUE"""),1.5110234E7)</f>
        <v>15110234</v>
      </c>
      <c r="E156" s="148" t="str">
        <f>IFERROR(__xludf.DUMMYFUNCTION("""COMPUTED_VALUE"""),"{""typ"":""lc"",""txt"":""LC_SOLDIER_npc_name_1""}")</f>
        <v>{"typ":"lc","txt":"LC_SOLDIER_npc_name_1"}</v>
      </c>
      <c r="F156" s="148" t="str">
        <f>IFERROR(__xludf.DUMMYFUNCTION("""COMPUTED_VALUE"""),"{}")</f>
        <v>{}</v>
      </c>
      <c r="G156" s="148">
        <f>IFERROR(__xludf.DUMMYFUNCTION("""COMPUTED_VALUE"""),10.0)</f>
        <v>10</v>
      </c>
      <c r="H156" s="148">
        <f>IFERROR(__xludf.DUMMYFUNCTION("""COMPUTED_VALUE"""),10099.0)</f>
        <v>10099</v>
      </c>
      <c r="I156" s="148">
        <f>IFERROR(__xludf.DUMMYFUNCTION("""COMPUTED_VALUE"""),10099.0)</f>
        <v>10099</v>
      </c>
      <c r="J156" s="148">
        <f>IFERROR(__xludf.DUMMYFUNCTION("""COMPUTED_VALUE"""),0.0)</f>
        <v>0</v>
      </c>
      <c r="K156" s="148">
        <f>IFERROR(__xludf.DUMMYFUNCTION("""COMPUTED_VALUE"""),10.0)</f>
        <v>10</v>
      </c>
      <c r="L156" s="148">
        <f>IFERROR(__xludf.DUMMYFUNCTION("""COMPUTED_VALUE"""),99.0)</f>
        <v>99</v>
      </c>
      <c r="M156" s="148">
        <f>IFERROR(__xludf.DUMMYFUNCTION("""COMPUTED_VALUE"""),0.0)</f>
        <v>0</v>
      </c>
      <c r="N156" s="148" t="str">
        <f>IFERROR(__xludf.DUMMYFUNCTION("""COMPUTED_VALUE"""),"[]")</f>
        <v>[]</v>
      </c>
      <c r="O156" s="148" t="str">
        <f>IFERROR(__xludf.DUMMYFUNCTION("""COMPUTED_VALUE"""),"{}")</f>
        <v>{}</v>
      </c>
      <c r="P156" s="148">
        <f>IFERROR(__xludf.DUMMYFUNCTION("""COMPUTED_VALUE"""),0.0)</f>
        <v>0</v>
      </c>
      <c r="Q156" s="148" t="str">
        <f>IFERROR(__xludf.DUMMYFUNCTION("""COMPUTED_VALUE"""),"[]")</f>
        <v>[]</v>
      </c>
      <c r="R156" s="148" t="str">
        <f>IFERROR(__xludf.DUMMYFUNCTION("""COMPUTED_VALUE"""),"{}")</f>
        <v>{}</v>
      </c>
      <c r="S156" s="148">
        <f>IFERROR(__xludf.DUMMYFUNCTION("""COMPUTED_VALUE"""),0.0)</f>
        <v>0</v>
      </c>
      <c r="T156" s="148" t="str">
        <f>IFERROR(__xludf.DUMMYFUNCTION("""COMPUTED_VALUE"""),"[]")</f>
        <v>[]</v>
      </c>
      <c r="U156" s="148">
        <f>IFERROR(__xludf.DUMMYFUNCTION("""COMPUTED_VALUE"""),0.0)</f>
        <v>0</v>
      </c>
      <c r="V156" s="148" t="str">
        <f>IFERROR(__xludf.DUMMYFUNCTION("""COMPUTED_VALUE"""),"{}")</f>
        <v>{}</v>
      </c>
      <c r="W156" s="148" t="str">
        <f>IFERROR(__xludf.DUMMYFUNCTION("""COMPUTED_VALUE"""),"[]")</f>
        <v>[]</v>
      </c>
      <c r="X156" s="148" t="str">
        <f>IFERROR(__xludf.DUMMYFUNCTION("""COMPUTED_VALUE"""),"[{""typ"":""power"",""id"":12141002,""val"":2}]")</f>
        <v>[{"typ":"power","id":12141002,"val":2}]</v>
      </c>
      <c r="Y156" s="148" t="str">
        <f>IFERROR(__xludf.DUMMYFUNCTION("""COMPUTED_VALUE"""),"[{""typ"":""atk"",""val"":120},{""typ"":""def"",""val"":130},{""typ"":""hp"",""val"":145},{""typ"":""speed"",""val"":40},{""typ"":""load"",""val"":20},{""typ"":""backcoef"",""val"":0.5},{""typ"":""atkcoef"",""val"":1.0},{""typ"":""atkcd"",""val"":0}]")</f>
        <v>[{"typ":"atk","val":120},{"typ":"def","val":130},{"typ":"hp","val":145},{"typ":"speed","val":40},{"typ":"load","val":20},{"typ":"backcoef","val":0.5},{"typ":"atkcoef","val":1.0},{"typ":"atkcd","val":0}]</v>
      </c>
      <c r="Z156" s="148" t="str">
        <f>IFERROR(__xludf.DUMMYFUNCTION("""COMPUTED_VALUE"""),"[]")</f>
        <v>[]</v>
      </c>
    </row>
    <row r="157">
      <c r="A157" s="148">
        <f>IFERROR(__xludf.DUMMYFUNCTION("""COMPUTED_VALUE"""),1.1213008E7)</f>
        <v>11213008</v>
      </c>
      <c r="B157" s="148" t="str">
        <f>IFERROR(__xludf.DUMMYFUNCTION("""COMPUTED_VALUE"""),"大地图单位-野怪-臭鼬-Lv3")</f>
        <v>大地图单位-野怪-臭鼬-Lv3</v>
      </c>
      <c r="C157" s="148">
        <f>IFERROR(__xludf.DUMMYFUNCTION("""COMPUTED_VALUE"""),1.1221004E7)</f>
        <v>11221004</v>
      </c>
      <c r="D157" s="148">
        <f>IFERROR(__xludf.DUMMYFUNCTION("""COMPUTED_VALUE"""),1.5110234E7)</f>
        <v>15110234</v>
      </c>
      <c r="E157" s="148" t="str">
        <f>IFERROR(__xludf.DUMMYFUNCTION("""COMPUTED_VALUE"""),"{""typ"":""lc"",""txt"":""LC_SOLDIER_npc_name_1""}")</f>
        <v>{"typ":"lc","txt":"LC_SOLDIER_npc_name_1"}</v>
      </c>
      <c r="F157" s="148" t="str">
        <f>IFERROR(__xludf.DUMMYFUNCTION("""COMPUTED_VALUE"""),"{}")</f>
        <v>{}</v>
      </c>
      <c r="G157" s="148">
        <f>IFERROR(__xludf.DUMMYFUNCTION("""COMPUTED_VALUE"""),10.0)</f>
        <v>10</v>
      </c>
      <c r="H157" s="148">
        <f>IFERROR(__xludf.DUMMYFUNCTION("""COMPUTED_VALUE"""),10099.0)</f>
        <v>10099</v>
      </c>
      <c r="I157" s="148">
        <f>IFERROR(__xludf.DUMMYFUNCTION("""COMPUTED_VALUE"""),10099.0)</f>
        <v>10099</v>
      </c>
      <c r="J157" s="148">
        <f>IFERROR(__xludf.DUMMYFUNCTION("""COMPUTED_VALUE"""),0.0)</f>
        <v>0</v>
      </c>
      <c r="K157" s="148">
        <f>IFERROR(__xludf.DUMMYFUNCTION("""COMPUTED_VALUE"""),10.0)</f>
        <v>10</v>
      </c>
      <c r="L157" s="148">
        <f>IFERROR(__xludf.DUMMYFUNCTION("""COMPUTED_VALUE"""),99.0)</f>
        <v>99</v>
      </c>
      <c r="M157" s="148">
        <f>IFERROR(__xludf.DUMMYFUNCTION("""COMPUTED_VALUE"""),0.0)</f>
        <v>0</v>
      </c>
      <c r="N157" s="148" t="str">
        <f>IFERROR(__xludf.DUMMYFUNCTION("""COMPUTED_VALUE"""),"[]")</f>
        <v>[]</v>
      </c>
      <c r="O157" s="148" t="str">
        <f>IFERROR(__xludf.DUMMYFUNCTION("""COMPUTED_VALUE"""),"{}")</f>
        <v>{}</v>
      </c>
      <c r="P157" s="148">
        <f>IFERROR(__xludf.DUMMYFUNCTION("""COMPUTED_VALUE"""),0.0)</f>
        <v>0</v>
      </c>
      <c r="Q157" s="148" t="str">
        <f>IFERROR(__xludf.DUMMYFUNCTION("""COMPUTED_VALUE"""),"[]")</f>
        <v>[]</v>
      </c>
      <c r="R157" s="148" t="str">
        <f>IFERROR(__xludf.DUMMYFUNCTION("""COMPUTED_VALUE"""),"{}")</f>
        <v>{}</v>
      </c>
      <c r="S157" s="148">
        <f>IFERROR(__xludf.DUMMYFUNCTION("""COMPUTED_VALUE"""),0.0)</f>
        <v>0</v>
      </c>
      <c r="T157" s="148" t="str">
        <f>IFERROR(__xludf.DUMMYFUNCTION("""COMPUTED_VALUE"""),"[]")</f>
        <v>[]</v>
      </c>
      <c r="U157" s="148">
        <f>IFERROR(__xludf.DUMMYFUNCTION("""COMPUTED_VALUE"""),0.0)</f>
        <v>0</v>
      </c>
      <c r="V157" s="148" t="str">
        <f>IFERROR(__xludf.DUMMYFUNCTION("""COMPUTED_VALUE"""),"{}")</f>
        <v>{}</v>
      </c>
      <c r="W157" s="148" t="str">
        <f>IFERROR(__xludf.DUMMYFUNCTION("""COMPUTED_VALUE"""),"[]")</f>
        <v>[]</v>
      </c>
      <c r="X157" s="148" t="str">
        <f>IFERROR(__xludf.DUMMYFUNCTION("""COMPUTED_VALUE"""),"[{""typ"":""power"",""id"":12141002,""val"":1}]")</f>
        <v>[{"typ":"power","id":12141002,"val":1}]</v>
      </c>
      <c r="Y157" s="148" t="str">
        <f>IFERROR(__xludf.DUMMYFUNCTION("""COMPUTED_VALUE"""),"[{""typ"":""atk"",""val"":60},{""typ"":""def"",""val"":125},{""typ"":""hp"",""val"":135},{""typ"":""speed"",""val"":40},{""typ"":""load"",""val"":20},{""typ"":""backcoef"",""val"":0.5},{""typ"":""atkcoef"",""val"":1.0},{""typ"":""atkcd"",""val"":0}]")</f>
        <v>[{"typ":"atk","val":60},{"typ":"def","val":125},{"typ":"hp","val":135},{"typ":"speed","val":40},{"typ":"load","val":20},{"typ":"backcoef","val":0.5},{"typ":"atkcoef","val":1.0},{"typ":"atkcd","val":0}]</v>
      </c>
      <c r="Z157" s="148" t="str">
        <f>IFERROR(__xludf.DUMMYFUNCTION("""COMPUTED_VALUE"""),"[]")</f>
        <v>[]</v>
      </c>
    </row>
    <row r="158">
      <c r="A158" s="148">
        <f>IFERROR(__xludf.DUMMYFUNCTION("""COMPUTED_VALUE"""),1.1213009E7)</f>
        <v>11213009</v>
      </c>
      <c r="B158" s="148" t="str">
        <f>IFERROR(__xludf.DUMMYFUNCTION("""COMPUTED_VALUE"""),"大地图单位-野怪-臭鼬-Lv4")</f>
        <v>大地图单位-野怪-臭鼬-Lv4</v>
      </c>
      <c r="C158" s="148">
        <f>IFERROR(__xludf.DUMMYFUNCTION("""COMPUTED_VALUE"""),1.1221004E7)</f>
        <v>11221004</v>
      </c>
      <c r="D158" s="148">
        <f>IFERROR(__xludf.DUMMYFUNCTION("""COMPUTED_VALUE"""),1.5110234E7)</f>
        <v>15110234</v>
      </c>
      <c r="E158" s="148" t="str">
        <f>IFERROR(__xludf.DUMMYFUNCTION("""COMPUTED_VALUE"""),"{""typ"":""lc"",""txt"":""LC_SOLDIER_npc_name_1""}")</f>
        <v>{"typ":"lc","txt":"LC_SOLDIER_npc_name_1"}</v>
      </c>
      <c r="F158" s="148" t="str">
        <f>IFERROR(__xludf.DUMMYFUNCTION("""COMPUTED_VALUE"""),"{}")</f>
        <v>{}</v>
      </c>
      <c r="G158" s="148">
        <f>IFERROR(__xludf.DUMMYFUNCTION("""COMPUTED_VALUE"""),10.0)</f>
        <v>10</v>
      </c>
      <c r="H158" s="148">
        <f>IFERROR(__xludf.DUMMYFUNCTION("""COMPUTED_VALUE"""),10099.0)</f>
        <v>10099</v>
      </c>
      <c r="I158" s="148">
        <f>IFERROR(__xludf.DUMMYFUNCTION("""COMPUTED_VALUE"""),10099.0)</f>
        <v>10099</v>
      </c>
      <c r="J158" s="148">
        <f>IFERROR(__xludf.DUMMYFUNCTION("""COMPUTED_VALUE"""),0.0)</f>
        <v>0</v>
      </c>
      <c r="K158" s="148">
        <f>IFERROR(__xludf.DUMMYFUNCTION("""COMPUTED_VALUE"""),10.0)</f>
        <v>10</v>
      </c>
      <c r="L158" s="148">
        <f>IFERROR(__xludf.DUMMYFUNCTION("""COMPUTED_VALUE"""),99.0)</f>
        <v>99</v>
      </c>
      <c r="M158" s="148">
        <f>IFERROR(__xludf.DUMMYFUNCTION("""COMPUTED_VALUE"""),0.0)</f>
        <v>0</v>
      </c>
      <c r="N158" s="148" t="str">
        <f>IFERROR(__xludf.DUMMYFUNCTION("""COMPUTED_VALUE"""),"[]")</f>
        <v>[]</v>
      </c>
      <c r="O158" s="148" t="str">
        <f>IFERROR(__xludf.DUMMYFUNCTION("""COMPUTED_VALUE"""),"{}")</f>
        <v>{}</v>
      </c>
      <c r="P158" s="148">
        <f>IFERROR(__xludf.DUMMYFUNCTION("""COMPUTED_VALUE"""),0.0)</f>
        <v>0</v>
      </c>
      <c r="Q158" s="148" t="str">
        <f>IFERROR(__xludf.DUMMYFUNCTION("""COMPUTED_VALUE"""),"[]")</f>
        <v>[]</v>
      </c>
      <c r="R158" s="148" t="str">
        <f>IFERROR(__xludf.DUMMYFUNCTION("""COMPUTED_VALUE"""),"{}")</f>
        <v>{}</v>
      </c>
      <c r="S158" s="148">
        <f>IFERROR(__xludf.DUMMYFUNCTION("""COMPUTED_VALUE"""),0.0)</f>
        <v>0</v>
      </c>
      <c r="T158" s="148" t="str">
        <f>IFERROR(__xludf.DUMMYFUNCTION("""COMPUTED_VALUE"""),"[]")</f>
        <v>[]</v>
      </c>
      <c r="U158" s="148">
        <f>IFERROR(__xludf.DUMMYFUNCTION("""COMPUTED_VALUE"""),0.0)</f>
        <v>0</v>
      </c>
      <c r="V158" s="148" t="str">
        <f>IFERROR(__xludf.DUMMYFUNCTION("""COMPUTED_VALUE"""),"{}")</f>
        <v>{}</v>
      </c>
      <c r="W158" s="148" t="str">
        <f>IFERROR(__xludf.DUMMYFUNCTION("""COMPUTED_VALUE"""),"[]")</f>
        <v>[]</v>
      </c>
      <c r="X158" s="148" t="str">
        <f>IFERROR(__xludf.DUMMYFUNCTION("""COMPUTED_VALUE"""),"[{""typ"":""power"",""id"":12141002,""val"":1}]")</f>
        <v>[{"typ":"power","id":12141002,"val":1}]</v>
      </c>
      <c r="Y158" s="148" t="str">
        <f>IFERROR(__xludf.DUMMYFUNCTION("""COMPUTED_VALUE"""),"[{""typ"":""atk"",""val"":60},{""typ"":""def"",""val"":125},{""typ"":""hp"",""val"":135},{""typ"":""speed"",""val"":40},{""typ"":""load"",""val"":20},{""typ"":""backcoef"",""val"":0.5},{""typ"":""atkcoef"",""val"":1.0},{""typ"":""atkcd"",""val"":0}]")</f>
        <v>[{"typ":"atk","val":60},{"typ":"def","val":125},{"typ":"hp","val":135},{"typ":"speed","val":40},{"typ":"load","val":20},{"typ":"backcoef","val":0.5},{"typ":"atkcoef","val":1.0},{"typ":"atkcd","val":0}]</v>
      </c>
      <c r="Z158" s="148" t="str">
        <f>IFERROR(__xludf.DUMMYFUNCTION("""COMPUTED_VALUE"""),"[]")</f>
        <v>[]</v>
      </c>
    </row>
    <row r="159">
      <c r="A159" s="148">
        <f>IFERROR(__xludf.DUMMYFUNCTION("""COMPUTED_VALUE"""),1.121301E7)</f>
        <v>11213010</v>
      </c>
      <c r="B159" s="148" t="str">
        <f>IFERROR(__xludf.DUMMYFUNCTION("""COMPUTED_VALUE"""),"大地图单位-野怪-臭鼬-Lv5")</f>
        <v>大地图单位-野怪-臭鼬-Lv5</v>
      </c>
      <c r="C159" s="148">
        <f>IFERROR(__xludf.DUMMYFUNCTION("""COMPUTED_VALUE"""),1.1221004E7)</f>
        <v>11221004</v>
      </c>
      <c r="D159" s="148">
        <f>IFERROR(__xludf.DUMMYFUNCTION("""COMPUTED_VALUE"""),1.5110234E7)</f>
        <v>15110234</v>
      </c>
      <c r="E159" s="148" t="str">
        <f>IFERROR(__xludf.DUMMYFUNCTION("""COMPUTED_VALUE"""),"{""typ"":""lc"",""txt"":""LC_SOLDIER_npc_name_1""}")</f>
        <v>{"typ":"lc","txt":"LC_SOLDIER_npc_name_1"}</v>
      </c>
      <c r="F159" s="148" t="str">
        <f>IFERROR(__xludf.DUMMYFUNCTION("""COMPUTED_VALUE"""),"{}")</f>
        <v>{}</v>
      </c>
      <c r="G159" s="148">
        <f>IFERROR(__xludf.DUMMYFUNCTION("""COMPUTED_VALUE"""),10.0)</f>
        <v>10</v>
      </c>
      <c r="H159" s="148">
        <f>IFERROR(__xludf.DUMMYFUNCTION("""COMPUTED_VALUE"""),10099.0)</f>
        <v>10099</v>
      </c>
      <c r="I159" s="148">
        <f>IFERROR(__xludf.DUMMYFUNCTION("""COMPUTED_VALUE"""),10099.0)</f>
        <v>10099</v>
      </c>
      <c r="J159" s="148">
        <f>IFERROR(__xludf.DUMMYFUNCTION("""COMPUTED_VALUE"""),0.0)</f>
        <v>0</v>
      </c>
      <c r="K159" s="148">
        <f>IFERROR(__xludf.DUMMYFUNCTION("""COMPUTED_VALUE"""),10.0)</f>
        <v>10</v>
      </c>
      <c r="L159" s="148">
        <f>IFERROR(__xludf.DUMMYFUNCTION("""COMPUTED_VALUE"""),99.0)</f>
        <v>99</v>
      </c>
      <c r="M159" s="148">
        <f>IFERROR(__xludf.DUMMYFUNCTION("""COMPUTED_VALUE"""),0.0)</f>
        <v>0</v>
      </c>
      <c r="N159" s="148" t="str">
        <f>IFERROR(__xludf.DUMMYFUNCTION("""COMPUTED_VALUE"""),"[]")</f>
        <v>[]</v>
      </c>
      <c r="O159" s="148" t="str">
        <f>IFERROR(__xludf.DUMMYFUNCTION("""COMPUTED_VALUE"""),"{}")</f>
        <v>{}</v>
      </c>
      <c r="P159" s="148">
        <f>IFERROR(__xludf.DUMMYFUNCTION("""COMPUTED_VALUE"""),0.0)</f>
        <v>0</v>
      </c>
      <c r="Q159" s="148" t="str">
        <f>IFERROR(__xludf.DUMMYFUNCTION("""COMPUTED_VALUE"""),"[]")</f>
        <v>[]</v>
      </c>
      <c r="R159" s="148" t="str">
        <f>IFERROR(__xludf.DUMMYFUNCTION("""COMPUTED_VALUE"""),"{}")</f>
        <v>{}</v>
      </c>
      <c r="S159" s="148">
        <f>IFERROR(__xludf.DUMMYFUNCTION("""COMPUTED_VALUE"""),0.0)</f>
        <v>0</v>
      </c>
      <c r="T159" s="148" t="str">
        <f>IFERROR(__xludf.DUMMYFUNCTION("""COMPUTED_VALUE"""),"[]")</f>
        <v>[]</v>
      </c>
      <c r="U159" s="148">
        <f>IFERROR(__xludf.DUMMYFUNCTION("""COMPUTED_VALUE"""),0.0)</f>
        <v>0</v>
      </c>
      <c r="V159" s="148" t="str">
        <f>IFERROR(__xludf.DUMMYFUNCTION("""COMPUTED_VALUE"""),"{}")</f>
        <v>{}</v>
      </c>
      <c r="W159" s="148" t="str">
        <f>IFERROR(__xludf.DUMMYFUNCTION("""COMPUTED_VALUE"""),"[]")</f>
        <v>[]</v>
      </c>
      <c r="X159" s="148" t="str">
        <f>IFERROR(__xludf.DUMMYFUNCTION("""COMPUTED_VALUE"""),"[{""typ"":""power"",""id"":12141002,""val"":1}]")</f>
        <v>[{"typ":"power","id":12141002,"val":1}]</v>
      </c>
      <c r="Y159" s="148" t="str">
        <f>IFERROR(__xludf.DUMMYFUNCTION("""COMPUTED_VALUE"""),"[{""typ"":""atk"",""val"":60},{""typ"":""def"",""val"":125},{""typ"":""hp"",""val"":135},{""typ"":""speed"",""val"":40},{""typ"":""load"",""val"":20},{""typ"":""backcoef"",""val"":0.5},{""typ"":""atkcoef"",""val"":1.0},{""typ"":""atkcd"",""val"":0}]")</f>
        <v>[{"typ":"atk","val":60},{"typ":"def","val":125},{"typ":"hp","val":135},{"typ":"speed","val":40},{"typ":"load","val":20},{"typ":"backcoef","val":0.5},{"typ":"atkcoef","val":1.0},{"typ":"atkcd","val":0}]</v>
      </c>
      <c r="Z159" s="148" t="str">
        <f>IFERROR(__xludf.DUMMYFUNCTION("""COMPUTED_VALUE"""),"[]")</f>
        <v>[]</v>
      </c>
    </row>
    <row r="160">
      <c r="A160" s="148">
        <f>IFERROR(__xludf.DUMMYFUNCTION("""COMPUTED_VALUE"""),1.1213011E7)</f>
        <v>11213011</v>
      </c>
      <c r="B160" s="148" t="str">
        <f>IFERROR(__xludf.DUMMYFUNCTION("""COMPUTED_VALUE"""),"大地图单位-无人机-T3")</f>
        <v>大地图单位-无人机-T3</v>
      </c>
      <c r="C160" s="148">
        <f>IFERROR(__xludf.DUMMYFUNCTION("""COMPUTED_VALUE"""),1.1221004E7)</f>
        <v>11221004</v>
      </c>
      <c r="D160" s="148">
        <f>IFERROR(__xludf.DUMMYFUNCTION("""COMPUTED_VALUE"""),1.5113763E7)</f>
        <v>15113763</v>
      </c>
      <c r="E160" s="148" t="str">
        <f>IFERROR(__xludf.DUMMYFUNCTION("""COMPUTED_VALUE"""),"{""typ"":""lc"",""txt"":""LC_SOLDIER_npc_name_kvk_normal""}")</f>
        <v>{"typ":"lc","txt":"LC_SOLDIER_npc_name_kvk_normal"}</v>
      </c>
      <c r="F160" s="148" t="str">
        <f>IFERROR(__xludf.DUMMYFUNCTION("""COMPUTED_VALUE"""),"{}")</f>
        <v>{}</v>
      </c>
      <c r="G160" s="148">
        <f>IFERROR(__xludf.DUMMYFUNCTION("""COMPUTED_VALUE"""),4.0)</f>
        <v>4</v>
      </c>
      <c r="H160" s="148">
        <f>IFERROR(__xludf.DUMMYFUNCTION("""COMPUTED_VALUE"""),10099.0)</f>
        <v>10099</v>
      </c>
      <c r="I160" s="148">
        <f>IFERROR(__xludf.DUMMYFUNCTION("""COMPUTED_VALUE"""),10099.0)</f>
        <v>10099</v>
      </c>
      <c r="J160" s="148">
        <f>IFERROR(__xludf.DUMMYFUNCTION("""COMPUTED_VALUE"""),0.0)</f>
        <v>0</v>
      </c>
      <c r="K160" s="148">
        <f>IFERROR(__xludf.DUMMYFUNCTION("""COMPUTED_VALUE"""),10.0)</f>
        <v>10</v>
      </c>
      <c r="L160" s="148">
        <f>IFERROR(__xludf.DUMMYFUNCTION("""COMPUTED_VALUE"""),99.0)</f>
        <v>99</v>
      </c>
      <c r="M160" s="148">
        <f>IFERROR(__xludf.DUMMYFUNCTION("""COMPUTED_VALUE"""),0.0)</f>
        <v>0</v>
      </c>
      <c r="N160" s="148" t="str">
        <f>IFERROR(__xludf.DUMMYFUNCTION("""COMPUTED_VALUE"""),"[]")</f>
        <v>[]</v>
      </c>
      <c r="O160" s="148" t="str">
        <f>IFERROR(__xludf.DUMMYFUNCTION("""COMPUTED_VALUE"""),"{}")</f>
        <v>{}</v>
      </c>
      <c r="P160" s="148">
        <f>IFERROR(__xludf.DUMMYFUNCTION("""COMPUTED_VALUE"""),0.0)</f>
        <v>0</v>
      </c>
      <c r="Q160" s="148" t="str">
        <f>IFERROR(__xludf.DUMMYFUNCTION("""COMPUTED_VALUE"""),"[]")</f>
        <v>[]</v>
      </c>
      <c r="R160" s="148" t="str">
        <f>IFERROR(__xludf.DUMMYFUNCTION("""COMPUTED_VALUE"""),"{}")</f>
        <v>{}</v>
      </c>
      <c r="S160" s="148">
        <f>IFERROR(__xludf.DUMMYFUNCTION("""COMPUTED_VALUE"""),0.0)</f>
        <v>0</v>
      </c>
      <c r="T160" s="148" t="str">
        <f>IFERROR(__xludf.DUMMYFUNCTION("""COMPUTED_VALUE"""),"[]")</f>
        <v>[]</v>
      </c>
      <c r="U160" s="148">
        <f>IFERROR(__xludf.DUMMYFUNCTION("""COMPUTED_VALUE"""),0.0)</f>
        <v>0</v>
      </c>
      <c r="V160" s="148" t="str">
        <f>IFERROR(__xludf.DUMMYFUNCTION("""COMPUTED_VALUE"""),"{}")</f>
        <v>{}</v>
      </c>
      <c r="W160" s="148" t="str">
        <f>IFERROR(__xludf.DUMMYFUNCTION("""COMPUTED_VALUE"""),"[]")</f>
        <v>[]</v>
      </c>
      <c r="X160" s="148" t="str">
        <f>IFERROR(__xludf.DUMMYFUNCTION("""COMPUTED_VALUE"""),"[{""typ"":""power"",""id"":12141002,""val"":4}]")</f>
        <v>[{"typ":"power","id":12141002,"val":4}]</v>
      </c>
      <c r="Y160" s="148" t="str">
        <f>IFERROR(__xludf.DUMMYFUNCTION("""COMPUTED_VALUE"""),"[{""typ"":""atk"",""val"":160},{""typ"":""def"",""val"":160},{""typ"":""hp"",""val"":160},{""typ"":""speed"",""val"":40},{""typ"":""load"",""val"":20},{""typ"":""backcoef"",""val"":0.5},{""typ"":""atkcoef"",""val"":1.0},{""typ"":""atkcd"",""val"":0}]")</f>
        <v>[{"typ":"atk","val":160},{"typ":"def","val":160},{"typ":"hp","val":160},{"typ":"speed","val":40},{"typ":"load","val":20},{"typ":"backcoef","val":0.5},{"typ":"atkcoef","val":1.0},{"typ":"atkcd","val":0}]</v>
      </c>
      <c r="Z160" s="148" t="str">
        <f>IFERROR(__xludf.DUMMYFUNCTION("""COMPUTED_VALUE"""),"[]")</f>
        <v>[]</v>
      </c>
    </row>
    <row r="161">
      <c r="A161" s="148">
        <f>IFERROR(__xludf.DUMMYFUNCTION("""COMPUTED_VALUE"""),1.1213012E7)</f>
        <v>11213012</v>
      </c>
      <c r="B161" s="148" t="str">
        <f>IFERROR(__xludf.DUMMYFUNCTION("""COMPUTED_VALUE"""),"大地图单位-自走炮车加强-T3")</f>
        <v>大地图单位-自走炮车加强-T3</v>
      </c>
      <c r="C161" s="148">
        <f>IFERROR(__xludf.DUMMYFUNCTION("""COMPUTED_VALUE"""),1.1221004E7)</f>
        <v>11221004</v>
      </c>
      <c r="D161" s="148">
        <f>IFERROR(__xludf.DUMMYFUNCTION("""COMPUTED_VALUE"""),1.5113764E7)</f>
        <v>15113764</v>
      </c>
      <c r="E161" s="148" t="str">
        <f>IFERROR(__xludf.DUMMYFUNCTION("""COMPUTED_VALUE"""),"{""typ"":""lc"",""txt"":""LC_SOLDIER_npc_name_kvk_boss""}")</f>
        <v>{"typ":"lc","txt":"LC_SOLDIER_npc_name_kvk_boss"}</v>
      </c>
      <c r="F161" s="148" t="str">
        <f>IFERROR(__xludf.DUMMYFUNCTION("""COMPUTED_VALUE"""),"{}")</f>
        <v>{}</v>
      </c>
      <c r="G161" s="148">
        <f>IFERROR(__xludf.DUMMYFUNCTION("""COMPUTED_VALUE"""),4.0)</f>
        <v>4</v>
      </c>
      <c r="H161" s="148">
        <f>IFERROR(__xludf.DUMMYFUNCTION("""COMPUTED_VALUE"""),10099.0)</f>
        <v>10099</v>
      </c>
      <c r="I161" s="148">
        <f>IFERROR(__xludf.DUMMYFUNCTION("""COMPUTED_VALUE"""),10099.0)</f>
        <v>10099</v>
      </c>
      <c r="J161" s="148">
        <f>IFERROR(__xludf.DUMMYFUNCTION("""COMPUTED_VALUE"""),0.0)</f>
        <v>0</v>
      </c>
      <c r="K161" s="148">
        <f>IFERROR(__xludf.DUMMYFUNCTION("""COMPUTED_VALUE"""),10.0)</f>
        <v>10</v>
      </c>
      <c r="L161" s="148">
        <f>IFERROR(__xludf.DUMMYFUNCTION("""COMPUTED_VALUE"""),99.0)</f>
        <v>99</v>
      </c>
      <c r="M161" s="148">
        <f>IFERROR(__xludf.DUMMYFUNCTION("""COMPUTED_VALUE"""),0.0)</f>
        <v>0</v>
      </c>
      <c r="N161" s="148" t="str">
        <f>IFERROR(__xludf.DUMMYFUNCTION("""COMPUTED_VALUE"""),"[]")</f>
        <v>[]</v>
      </c>
      <c r="O161" s="148" t="str">
        <f>IFERROR(__xludf.DUMMYFUNCTION("""COMPUTED_VALUE"""),"{}")</f>
        <v>{}</v>
      </c>
      <c r="P161" s="148">
        <f>IFERROR(__xludf.DUMMYFUNCTION("""COMPUTED_VALUE"""),0.0)</f>
        <v>0</v>
      </c>
      <c r="Q161" s="148" t="str">
        <f>IFERROR(__xludf.DUMMYFUNCTION("""COMPUTED_VALUE"""),"[]")</f>
        <v>[]</v>
      </c>
      <c r="R161" s="148" t="str">
        <f>IFERROR(__xludf.DUMMYFUNCTION("""COMPUTED_VALUE"""),"{}")</f>
        <v>{}</v>
      </c>
      <c r="S161" s="148">
        <f>IFERROR(__xludf.DUMMYFUNCTION("""COMPUTED_VALUE"""),0.0)</f>
        <v>0</v>
      </c>
      <c r="T161" s="148" t="str">
        <f>IFERROR(__xludf.DUMMYFUNCTION("""COMPUTED_VALUE"""),"[]")</f>
        <v>[]</v>
      </c>
      <c r="U161" s="148">
        <f>IFERROR(__xludf.DUMMYFUNCTION("""COMPUTED_VALUE"""),0.0)</f>
        <v>0</v>
      </c>
      <c r="V161" s="148" t="str">
        <f>IFERROR(__xludf.DUMMYFUNCTION("""COMPUTED_VALUE"""),"{}")</f>
        <v>{}</v>
      </c>
      <c r="W161" s="148" t="str">
        <f>IFERROR(__xludf.DUMMYFUNCTION("""COMPUTED_VALUE"""),"[]")</f>
        <v>[]</v>
      </c>
      <c r="X161" s="148" t="str">
        <f>IFERROR(__xludf.DUMMYFUNCTION("""COMPUTED_VALUE"""),"[{""typ"":""power"",""id"":12141002,""val"":4}]")</f>
        <v>[{"typ":"power","id":12141002,"val":4}]</v>
      </c>
      <c r="Y161" s="148" t="str">
        <f>IFERROR(__xludf.DUMMYFUNCTION("""COMPUTED_VALUE"""),"[{""typ"":""atk"",""val"":160},{""typ"":""def"",""val"":160},{""typ"":""hp"",""val"":160},{""typ"":""speed"",""val"":40},{""typ"":""load"",""val"":20},{""typ"":""backcoef"",""val"":0.5},{""typ"":""atkcoef"",""val"":1.0},{""typ"":""atkcd"",""val"":0}]")</f>
        <v>[{"typ":"atk","val":160},{"typ":"def","val":160},{"typ":"hp","val":160},{"typ":"speed","val":40},{"typ":"load","val":20},{"typ":"backcoef","val":0.5},{"typ":"atkcoef","val":1.0},{"typ":"atkcd","val":0}]</v>
      </c>
      <c r="Z161" s="148" t="str">
        <f>IFERROR(__xludf.DUMMYFUNCTION("""COMPUTED_VALUE"""),"[]")</f>
        <v>[]</v>
      </c>
    </row>
    <row r="162">
      <c r="A162" s="148">
        <f>IFERROR(__xludf.DUMMYFUNCTION("""COMPUTED_VALUE"""),1.1213013E7)</f>
        <v>11213013</v>
      </c>
      <c r="B162" s="148" t="str">
        <f>IFERROR(__xludf.DUMMYFUNCTION("""COMPUTED_VALUE"""),"大地图单位-自走炮车加强-T4")</f>
        <v>大地图单位-自走炮车加强-T4</v>
      </c>
      <c r="C162" s="148">
        <f>IFERROR(__xludf.DUMMYFUNCTION("""COMPUTED_VALUE"""),1.1221004E7)</f>
        <v>11221004</v>
      </c>
      <c r="D162" s="148">
        <f>IFERROR(__xludf.DUMMYFUNCTION("""COMPUTED_VALUE"""),1.5113764E7)</f>
        <v>15113764</v>
      </c>
      <c r="E162" s="148" t="str">
        <f>IFERROR(__xludf.DUMMYFUNCTION("""COMPUTED_VALUE"""),"{""typ"":""lc"",""txt"":""LC_SOLDIER_npc_name_kvk_boss""}")</f>
        <v>{"typ":"lc","txt":"LC_SOLDIER_npc_name_kvk_boss"}</v>
      </c>
      <c r="F162" s="148" t="str">
        <f>IFERROR(__xludf.DUMMYFUNCTION("""COMPUTED_VALUE"""),"{}")</f>
        <v>{}</v>
      </c>
      <c r="G162" s="148">
        <f>IFERROR(__xludf.DUMMYFUNCTION("""COMPUTED_VALUE"""),4.0)</f>
        <v>4</v>
      </c>
      <c r="H162" s="148">
        <f>IFERROR(__xludf.DUMMYFUNCTION("""COMPUTED_VALUE"""),10099.0)</f>
        <v>10099</v>
      </c>
      <c r="I162" s="148">
        <f>IFERROR(__xludf.DUMMYFUNCTION("""COMPUTED_VALUE"""),10099.0)</f>
        <v>10099</v>
      </c>
      <c r="J162" s="148">
        <f>IFERROR(__xludf.DUMMYFUNCTION("""COMPUTED_VALUE"""),0.0)</f>
        <v>0</v>
      </c>
      <c r="K162" s="148">
        <f>IFERROR(__xludf.DUMMYFUNCTION("""COMPUTED_VALUE"""),10.0)</f>
        <v>10</v>
      </c>
      <c r="L162" s="148">
        <f>IFERROR(__xludf.DUMMYFUNCTION("""COMPUTED_VALUE"""),99.0)</f>
        <v>99</v>
      </c>
      <c r="M162" s="148">
        <f>IFERROR(__xludf.DUMMYFUNCTION("""COMPUTED_VALUE"""),0.0)</f>
        <v>0</v>
      </c>
      <c r="N162" s="148" t="str">
        <f>IFERROR(__xludf.DUMMYFUNCTION("""COMPUTED_VALUE"""),"[]")</f>
        <v>[]</v>
      </c>
      <c r="O162" s="148" t="str">
        <f>IFERROR(__xludf.DUMMYFUNCTION("""COMPUTED_VALUE"""),"{}")</f>
        <v>{}</v>
      </c>
      <c r="P162" s="148">
        <f>IFERROR(__xludf.DUMMYFUNCTION("""COMPUTED_VALUE"""),0.0)</f>
        <v>0</v>
      </c>
      <c r="Q162" s="148" t="str">
        <f>IFERROR(__xludf.DUMMYFUNCTION("""COMPUTED_VALUE"""),"[]")</f>
        <v>[]</v>
      </c>
      <c r="R162" s="148" t="str">
        <f>IFERROR(__xludf.DUMMYFUNCTION("""COMPUTED_VALUE"""),"{}")</f>
        <v>{}</v>
      </c>
      <c r="S162" s="148">
        <f>IFERROR(__xludf.DUMMYFUNCTION("""COMPUTED_VALUE"""),0.0)</f>
        <v>0</v>
      </c>
      <c r="T162" s="148" t="str">
        <f>IFERROR(__xludf.DUMMYFUNCTION("""COMPUTED_VALUE"""),"[]")</f>
        <v>[]</v>
      </c>
      <c r="U162" s="148">
        <f>IFERROR(__xludf.DUMMYFUNCTION("""COMPUTED_VALUE"""),0.0)</f>
        <v>0</v>
      </c>
      <c r="V162" s="148" t="str">
        <f>IFERROR(__xludf.DUMMYFUNCTION("""COMPUTED_VALUE"""),"{}")</f>
        <v>{}</v>
      </c>
      <c r="W162" s="148" t="str">
        <f>IFERROR(__xludf.DUMMYFUNCTION("""COMPUTED_VALUE"""),"[]")</f>
        <v>[]</v>
      </c>
      <c r="X162" s="148" t="str">
        <f>IFERROR(__xludf.DUMMYFUNCTION("""COMPUTED_VALUE"""),"[{""typ"":""power"",""id"":12141002,""val"":6}]")</f>
        <v>[{"typ":"power","id":12141002,"val":6}]</v>
      </c>
      <c r="Y162" s="148" t="str">
        <f>IFERROR(__xludf.DUMMYFUNCTION("""COMPUTED_VALUE"""),"[{""typ"":""atk"",""val"":200},{""typ"":""def"",""val"":190},{""typ"":""hp"",""val"":180},{""typ"":""speed"",""val"":40},{""typ"":""load"",""val"":20},{""typ"":""backcoef"",""val"":0.5},{""typ"":""atkcoef"",""val"":1.0},{""typ"":""atkcd"",""val"":0}]")</f>
        <v>[{"typ":"atk","val":200},{"typ":"def","val":190},{"typ":"hp","val":180},{"typ":"speed","val":40},{"typ":"load","val":20},{"typ":"backcoef","val":0.5},{"typ":"atkcoef","val":1.0},{"typ":"atkcd","val":0}]</v>
      </c>
      <c r="Z162" s="148" t="str">
        <f>IFERROR(__xludf.DUMMYFUNCTION("""COMPUTED_VALUE"""),"[]")</f>
        <v>[]</v>
      </c>
    </row>
    <row r="163">
      <c r="A163" s="148">
        <f>IFERROR(__xludf.DUMMYFUNCTION("""COMPUTED_VALUE"""),1.1213014E7)</f>
        <v>11213014</v>
      </c>
      <c r="B163" s="148" t="str">
        <f>IFERROR(__xludf.DUMMYFUNCTION("""COMPUTED_VALUE"""),"大地图单位-自走炮车加强-T5")</f>
        <v>大地图单位-自走炮车加强-T5</v>
      </c>
      <c r="C163" s="148">
        <f>IFERROR(__xludf.DUMMYFUNCTION("""COMPUTED_VALUE"""),1.1221004E7)</f>
        <v>11221004</v>
      </c>
      <c r="D163" s="148">
        <f>IFERROR(__xludf.DUMMYFUNCTION("""COMPUTED_VALUE"""),1.5113764E7)</f>
        <v>15113764</v>
      </c>
      <c r="E163" s="148" t="str">
        <f>IFERROR(__xludf.DUMMYFUNCTION("""COMPUTED_VALUE"""),"{""typ"":""lc"",""txt"":""LC_SOLDIER_npc_name_kvk_boss""}")</f>
        <v>{"typ":"lc","txt":"LC_SOLDIER_npc_name_kvk_boss"}</v>
      </c>
      <c r="F163" s="148" t="str">
        <f>IFERROR(__xludf.DUMMYFUNCTION("""COMPUTED_VALUE"""),"{}")</f>
        <v>{}</v>
      </c>
      <c r="G163" s="148">
        <f>IFERROR(__xludf.DUMMYFUNCTION("""COMPUTED_VALUE"""),4.0)</f>
        <v>4</v>
      </c>
      <c r="H163" s="148">
        <f>IFERROR(__xludf.DUMMYFUNCTION("""COMPUTED_VALUE"""),10099.0)</f>
        <v>10099</v>
      </c>
      <c r="I163" s="148">
        <f>IFERROR(__xludf.DUMMYFUNCTION("""COMPUTED_VALUE"""),10099.0)</f>
        <v>10099</v>
      </c>
      <c r="J163" s="148">
        <f>IFERROR(__xludf.DUMMYFUNCTION("""COMPUTED_VALUE"""),0.0)</f>
        <v>0</v>
      </c>
      <c r="K163" s="148">
        <f>IFERROR(__xludf.DUMMYFUNCTION("""COMPUTED_VALUE"""),10.0)</f>
        <v>10</v>
      </c>
      <c r="L163" s="148">
        <f>IFERROR(__xludf.DUMMYFUNCTION("""COMPUTED_VALUE"""),99.0)</f>
        <v>99</v>
      </c>
      <c r="M163" s="148">
        <f>IFERROR(__xludf.DUMMYFUNCTION("""COMPUTED_VALUE"""),0.0)</f>
        <v>0</v>
      </c>
      <c r="N163" s="148" t="str">
        <f>IFERROR(__xludf.DUMMYFUNCTION("""COMPUTED_VALUE"""),"[]")</f>
        <v>[]</v>
      </c>
      <c r="O163" s="148" t="str">
        <f>IFERROR(__xludf.DUMMYFUNCTION("""COMPUTED_VALUE"""),"{}")</f>
        <v>{}</v>
      </c>
      <c r="P163" s="148">
        <f>IFERROR(__xludf.DUMMYFUNCTION("""COMPUTED_VALUE"""),0.0)</f>
        <v>0</v>
      </c>
      <c r="Q163" s="148" t="str">
        <f>IFERROR(__xludf.DUMMYFUNCTION("""COMPUTED_VALUE"""),"[]")</f>
        <v>[]</v>
      </c>
      <c r="R163" s="148" t="str">
        <f>IFERROR(__xludf.DUMMYFUNCTION("""COMPUTED_VALUE"""),"{}")</f>
        <v>{}</v>
      </c>
      <c r="S163" s="148">
        <f>IFERROR(__xludf.DUMMYFUNCTION("""COMPUTED_VALUE"""),0.0)</f>
        <v>0</v>
      </c>
      <c r="T163" s="148" t="str">
        <f>IFERROR(__xludf.DUMMYFUNCTION("""COMPUTED_VALUE"""),"[]")</f>
        <v>[]</v>
      </c>
      <c r="U163" s="148">
        <f>IFERROR(__xludf.DUMMYFUNCTION("""COMPUTED_VALUE"""),0.0)</f>
        <v>0</v>
      </c>
      <c r="V163" s="148" t="str">
        <f>IFERROR(__xludf.DUMMYFUNCTION("""COMPUTED_VALUE"""),"{}")</f>
        <v>{}</v>
      </c>
      <c r="W163" s="148" t="str">
        <f>IFERROR(__xludf.DUMMYFUNCTION("""COMPUTED_VALUE"""),"[]")</f>
        <v>[]</v>
      </c>
      <c r="X163" s="148" t="str">
        <f>IFERROR(__xludf.DUMMYFUNCTION("""COMPUTED_VALUE"""),"[{""typ"":""power"",""id"":12141002,""val"":10}]")</f>
        <v>[{"typ":"power","id":12141002,"val":10}]</v>
      </c>
      <c r="Y163" s="148" t="str">
        <f>IFERROR(__xludf.DUMMYFUNCTION("""COMPUTED_VALUE"""),"[{""typ"":""atk"",""val"":230},{""typ"":""def"",""val"":210},{""typ"":""hp"",""val"":210},{""typ"":""speed"",""val"":40},{""typ"":""load"",""val"":20},{""typ"":""backcoef"",""val"":0.5},{""typ"":""atkcoef"",""val"":1.0},{""typ"":""atkcd"",""val"":0}]")</f>
        <v>[{"typ":"atk","val":230},{"typ":"def","val":210},{"typ":"hp","val":210},{"typ":"speed","val":40},{"typ":"load","val":20},{"typ":"backcoef","val":0.5},{"typ":"atkcoef","val":1.0},{"typ":"atkcd","val":0}]</v>
      </c>
      <c r="Z163" s="148" t="str">
        <f>IFERROR(__xludf.DUMMYFUNCTION("""COMPUTED_VALUE"""),"[]")</f>
        <v>[]</v>
      </c>
    </row>
    <row r="164">
      <c r="A164" s="148">
        <f>IFERROR(__xludf.DUMMYFUNCTION("""COMPUTED_VALUE"""),1.1213015E7)</f>
        <v>11213015</v>
      </c>
      <c r="B164" s="148" t="str">
        <f>IFERROR(__xludf.DUMMYFUNCTION("""COMPUTED_VALUE"""),"大地图单位-kvk2-昆虫勘探机-T3")</f>
        <v>大地图单位-kvk2-昆虫勘探机-T3</v>
      </c>
      <c r="C164" s="148">
        <f>IFERROR(__xludf.DUMMYFUNCTION("""COMPUTED_VALUE"""),1.1221004E7)</f>
        <v>11221004</v>
      </c>
      <c r="D164" s="148">
        <f>IFERROR(__xludf.DUMMYFUNCTION("""COMPUTED_VALUE"""),1.5114811E7)</f>
        <v>15114811</v>
      </c>
      <c r="E164" s="148" t="str">
        <f>IFERROR(__xludf.DUMMYFUNCTION("""COMPUTED_VALUE"""),"{""typ"":""lc"",""txt"":""LC_NPC_kvk2_npc_reg_name""}")</f>
        <v>{"typ":"lc","txt":"LC_NPC_kvk2_npc_reg_name"}</v>
      </c>
      <c r="F164" s="148" t="str">
        <f>IFERROR(__xludf.DUMMYFUNCTION("""COMPUTED_VALUE"""),"{""typ"":""lc"",""txt"":""LC_NPC_kvk2_npc_reg_desc""}")</f>
        <v>{"typ":"lc","txt":"LC_NPC_kvk2_npc_reg_desc"}</v>
      </c>
      <c r="G164" s="148">
        <f>IFERROR(__xludf.DUMMYFUNCTION("""COMPUTED_VALUE"""),4.0)</f>
        <v>4</v>
      </c>
      <c r="H164" s="148">
        <f>IFERROR(__xludf.DUMMYFUNCTION("""COMPUTED_VALUE"""),10099.0)</f>
        <v>10099</v>
      </c>
      <c r="I164" s="148">
        <f>IFERROR(__xludf.DUMMYFUNCTION("""COMPUTED_VALUE"""),10099.0)</f>
        <v>10099</v>
      </c>
      <c r="J164" s="148">
        <f>IFERROR(__xludf.DUMMYFUNCTION("""COMPUTED_VALUE"""),0.0)</f>
        <v>0</v>
      </c>
      <c r="K164" s="148">
        <f>IFERROR(__xludf.DUMMYFUNCTION("""COMPUTED_VALUE"""),10.0)</f>
        <v>10</v>
      </c>
      <c r="L164" s="148">
        <f>IFERROR(__xludf.DUMMYFUNCTION("""COMPUTED_VALUE"""),99.0)</f>
        <v>99</v>
      </c>
      <c r="M164" s="148">
        <f>IFERROR(__xludf.DUMMYFUNCTION("""COMPUTED_VALUE"""),0.0)</f>
        <v>0</v>
      </c>
      <c r="N164" s="148" t="str">
        <f>IFERROR(__xludf.DUMMYFUNCTION("""COMPUTED_VALUE"""),"[]")</f>
        <v>[]</v>
      </c>
      <c r="O164" s="148" t="str">
        <f>IFERROR(__xludf.DUMMYFUNCTION("""COMPUTED_VALUE"""),"{}")</f>
        <v>{}</v>
      </c>
      <c r="P164" s="148">
        <f>IFERROR(__xludf.DUMMYFUNCTION("""COMPUTED_VALUE"""),0.0)</f>
        <v>0</v>
      </c>
      <c r="Q164" s="148" t="str">
        <f>IFERROR(__xludf.DUMMYFUNCTION("""COMPUTED_VALUE"""),"[]")</f>
        <v>[]</v>
      </c>
      <c r="R164" s="148" t="str">
        <f>IFERROR(__xludf.DUMMYFUNCTION("""COMPUTED_VALUE"""),"{}")</f>
        <v>{}</v>
      </c>
      <c r="S164" s="148">
        <f>IFERROR(__xludf.DUMMYFUNCTION("""COMPUTED_VALUE"""),0.0)</f>
        <v>0</v>
      </c>
      <c r="T164" s="148" t="str">
        <f>IFERROR(__xludf.DUMMYFUNCTION("""COMPUTED_VALUE"""),"[]")</f>
        <v>[]</v>
      </c>
      <c r="U164" s="148">
        <f>IFERROR(__xludf.DUMMYFUNCTION("""COMPUTED_VALUE"""),0.0)</f>
        <v>0</v>
      </c>
      <c r="V164" s="148" t="str">
        <f>IFERROR(__xludf.DUMMYFUNCTION("""COMPUTED_VALUE"""),"{}")</f>
        <v>{}</v>
      </c>
      <c r="W164" s="148" t="str">
        <f>IFERROR(__xludf.DUMMYFUNCTION("""COMPUTED_VALUE"""),"[]")</f>
        <v>[]</v>
      </c>
      <c r="X164" s="148" t="str">
        <f>IFERROR(__xludf.DUMMYFUNCTION("""COMPUTED_VALUE"""),"[{""typ"":""power"",""id"":12141002,""val"":4}]")</f>
        <v>[{"typ":"power","id":12141002,"val":4}]</v>
      </c>
      <c r="Y164" s="148" t="str">
        <f>IFERROR(__xludf.DUMMYFUNCTION("""COMPUTED_VALUE"""),"[{""typ"":""atk"",""val"":160},{""typ"":""def"",""val"":160},{""typ"":""hp"",""val"":160},{""typ"":""speed"",""val"":40},{""typ"":""load"",""val"":20},{""typ"":""backcoef"",""val"":0.5},{""typ"":""atkcoef"",""val"":1.0},{""typ"":""atkcd"",""val"":0}]")</f>
        <v>[{"typ":"atk","val":160},{"typ":"def","val":160},{"typ":"hp","val":160},{"typ":"speed","val":40},{"typ":"load","val":20},{"typ":"backcoef","val":0.5},{"typ":"atkcoef","val":1.0},{"typ":"atkcd","val":0}]</v>
      </c>
      <c r="Z164" s="148" t="str">
        <f>IFERROR(__xludf.DUMMYFUNCTION("""COMPUTED_VALUE"""),"[]")</f>
        <v>[]</v>
      </c>
    </row>
    <row r="165">
      <c r="A165" s="148">
        <f>IFERROR(__xludf.DUMMYFUNCTION("""COMPUTED_VALUE"""),1.1213016E7)</f>
        <v>11213016</v>
      </c>
      <c r="B165" s="148" t="str">
        <f>IFERROR(__xludf.DUMMYFUNCTION("""COMPUTED_VALUE"""),"大地图单位-kvk2-钻探机器人-T3")</f>
        <v>大地图单位-kvk2-钻探机器人-T3</v>
      </c>
      <c r="C165" s="148">
        <f>IFERROR(__xludf.DUMMYFUNCTION("""COMPUTED_VALUE"""),1.1221004E7)</f>
        <v>11221004</v>
      </c>
      <c r="D165" s="148">
        <f>IFERROR(__xludf.DUMMYFUNCTION("""COMPUTED_VALUE"""),1.5114812E7)</f>
        <v>15114812</v>
      </c>
      <c r="E165" s="148" t="str">
        <f>IFERROR(__xludf.DUMMYFUNCTION("""COMPUTED_VALUE"""),"{""typ"":""lc"",""txt"":""LC_NPC_kvk2_npc_boss_name""}")</f>
        <v>{"typ":"lc","txt":"LC_NPC_kvk2_npc_boss_name"}</v>
      </c>
      <c r="F165" s="148" t="str">
        <f>IFERROR(__xludf.DUMMYFUNCTION("""COMPUTED_VALUE"""),"{""typ"":""lc"",""txt"":""LC_NPC_kvk2_npc_boss_desc""}")</f>
        <v>{"typ":"lc","txt":"LC_NPC_kvk2_npc_boss_desc"}</v>
      </c>
      <c r="G165" s="148">
        <f>IFERROR(__xludf.DUMMYFUNCTION("""COMPUTED_VALUE"""),4.0)</f>
        <v>4</v>
      </c>
      <c r="H165" s="148">
        <f>IFERROR(__xludf.DUMMYFUNCTION("""COMPUTED_VALUE"""),10099.0)</f>
        <v>10099</v>
      </c>
      <c r="I165" s="148">
        <f>IFERROR(__xludf.DUMMYFUNCTION("""COMPUTED_VALUE"""),10099.0)</f>
        <v>10099</v>
      </c>
      <c r="J165" s="148">
        <f>IFERROR(__xludf.DUMMYFUNCTION("""COMPUTED_VALUE"""),0.0)</f>
        <v>0</v>
      </c>
      <c r="K165" s="148">
        <f>IFERROR(__xludf.DUMMYFUNCTION("""COMPUTED_VALUE"""),10.0)</f>
        <v>10</v>
      </c>
      <c r="L165" s="148">
        <f>IFERROR(__xludf.DUMMYFUNCTION("""COMPUTED_VALUE"""),99.0)</f>
        <v>99</v>
      </c>
      <c r="M165" s="148">
        <f>IFERROR(__xludf.DUMMYFUNCTION("""COMPUTED_VALUE"""),0.0)</f>
        <v>0</v>
      </c>
      <c r="N165" s="148" t="str">
        <f>IFERROR(__xludf.DUMMYFUNCTION("""COMPUTED_VALUE"""),"[]")</f>
        <v>[]</v>
      </c>
      <c r="O165" s="148" t="str">
        <f>IFERROR(__xludf.DUMMYFUNCTION("""COMPUTED_VALUE"""),"{}")</f>
        <v>{}</v>
      </c>
      <c r="P165" s="148">
        <f>IFERROR(__xludf.DUMMYFUNCTION("""COMPUTED_VALUE"""),0.0)</f>
        <v>0</v>
      </c>
      <c r="Q165" s="148" t="str">
        <f>IFERROR(__xludf.DUMMYFUNCTION("""COMPUTED_VALUE"""),"[]")</f>
        <v>[]</v>
      </c>
      <c r="R165" s="148" t="str">
        <f>IFERROR(__xludf.DUMMYFUNCTION("""COMPUTED_VALUE"""),"{}")</f>
        <v>{}</v>
      </c>
      <c r="S165" s="148">
        <f>IFERROR(__xludf.DUMMYFUNCTION("""COMPUTED_VALUE"""),0.0)</f>
        <v>0</v>
      </c>
      <c r="T165" s="148" t="str">
        <f>IFERROR(__xludf.DUMMYFUNCTION("""COMPUTED_VALUE"""),"[]")</f>
        <v>[]</v>
      </c>
      <c r="U165" s="148">
        <f>IFERROR(__xludf.DUMMYFUNCTION("""COMPUTED_VALUE"""),0.0)</f>
        <v>0</v>
      </c>
      <c r="V165" s="148" t="str">
        <f>IFERROR(__xludf.DUMMYFUNCTION("""COMPUTED_VALUE"""),"{}")</f>
        <v>{}</v>
      </c>
      <c r="W165" s="148" t="str">
        <f>IFERROR(__xludf.DUMMYFUNCTION("""COMPUTED_VALUE"""),"[]")</f>
        <v>[]</v>
      </c>
      <c r="X165" s="148" t="str">
        <f>IFERROR(__xludf.DUMMYFUNCTION("""COMPUTED_VALUE"""),"[{""typ"":""power"",""id"":12141002,""val"":4}]")</f>
        <v>[{"typ":"power","id":12141002,"val":4}]</v>
      </c>
      <c r="Y165" s="148" t="str">
        <f>IFERROR(__xludf.DUMMYFUNCTION("""COMPUTED_VALUE"""),"[{""typ"":""atk"",""val"":160},{""typ"":""def"",""val"":160},{""typ"":""hp"",""val"":160},{""typ"":""speed"",""val"":40},{""typ"":""load"",""val"":20},{""typ"":""backcoef"",""val"":0.5},{""typ"":""atkcoef"",""val"":1.0},{""typ"":""atkcd"",""val"":0}]")</f>
        <v>[{"typ":"atk","val":160},{"typ":"def","val":160},{"typ":"hp","val":160},{"typ":"speed","val":40},{"typ":"load","val":20},{"typ":"backcoef","val":0.5},{"typ":"atkcoef","val":1.0},{"typ":"atkcd","val":0}]</v>
      </c>
      <c r="Z165" s="148" t="str">
        <f>IFERROR(__xludf.DUMMYFUNCTION("""COMPUTED_VALUE"""),"[]")</f>
        <v>[]</v>
      </c>
    </row>
    <row r="166">
      <c r="A166" s="148">
        <f>IFERROR(__xludf.DUMMYFUNCTION("""COMPUTED_VALUE"""),1.1213017E7)</f>
        <v>11213017</v>
      </c>
      <c r="B166" s="148" t="str">
        <f>IFERROR(__xludf.DUMMYFUNCTION("""COMPUTED_VALUE"""),"大地图单位-kvk2-钻探机器人-T4")</f>
        <v>大地图单位-kvk2-钻探机器人-T4</v>
      </c>
      <c r="C166" s="148">
        <f>IFERROR(__xludf.DUMMYFUNCTION("""COMPUTED_VALUE"""),1.1221004E7)</f>
        <v>11221004</v>
      </c>
      <c r="D166" s="148">
        <f>IFERROR(__xludf.DUMMYFUNCTION("""COMPUTED_VALUE"""),1.5114812E7)</f>
        <v>15114812</v>
      </c>
      <c r="E166" s="148" t="str">
        <f>IFERROR(__xludf.DUMMYFUNCTION("""COMPUTED_VALUE"""),"{""typ"":""lc"",""txt"":""LC_NPC_kvk2_npc_boss_name""}")</f>
        <v>{"typ":"lc","txt":"LC_NPC_kvk2_npc_boss_name"}</v>
      </c>
      <c r="F166" s="148" t="str">
        <f>IFERROR(__xludf.DUMMYFUNCTION("""COMPUTED_VALUE"""),"{""typ"":""lc"",""txt"":""LC_NPC_kvk2_npc_boss_desc""}")</f>
        <v>{"typ":"lc","txt":"LC_NPC_kvk2_npc_boss_desc"}</v>
      </c>
      <c r="G166" s="148">
        <f>IFERROR(__xludf.DUMMYFUNCTION("""COMPUTED_VALUE"""),4.0)</f>
        <v>4</v>
      </c>
      <c r="H166" s="148">
        <f>IFERROR(__xludf.DUMMYFUNCTION("""COMPUTED_VALUE"""),10099.0)</f>
        <v>10099</v>
      </c>
      <c r="I166" s="148">
        <f>IFERROR(__xludf.DUMMYFUNCTION("""COMPUTED_VALUE"""),10099.0)</f>
        <v>10099</v>
      </c>
      <c r="J166" s="148">
        <f>IFERROR(__xludf.DUMMYFUNCTION("""COMPUTED_VALUE"""),0.0)</f>
        <v>0</v>
      </c>
      <c r="K166" s="148">
        <f>IFERROR(__xludf.DUMMYFUNCTION("""COMPUTED_VALUE"""),10.0)</f>
        <v>10</v>
      </c>
      <c r="L166" s="148">
        <f>IFERROR(__xludf.DUMMYFUNCTION("""COMPUTED_VALUE"""),99.0)</f>
        <v>99</v>
      </c>
      <c r="M166" s="148">
        <f>IFERROR(__xludf.DUMMYFUNCTION("""COMPUTED_VALUE"""),0.0)</f>
        <v>0</v>
      </c>
      <c r="N166" s="148" t="str">
        <f>IFERROR(__xludf.DUMMYFUNCTION("""COMPUTED_VALUE"""),"[]")</f>
        <v>[]</v>
      </c>
      <c r="O166" s="148" t="str">
        <f>IFERROR(__xludf.DUMMYFUNCTION("""COMPUTED_VALUE"""),"{}")</f>
        <v>{}</v>
      </c>
      <c r="P166" s="148">
        <f>IFERROR(__xludf.DUMMYFUNCTION("""COMPUTED_VALUE"""),0.0)</f>
        <v>0</v>
      </c>
      <c r="Q166" s="148" t="str">
        <f>IFERROR(__xludf.DUMMYFUNCTION("""COMPUTED_VALUE"""),"[]")</f>
        <v>[]</v>
      </c>
      <c r="R166" s="148" t="str">
        <f>IFERROR(__xludf.DUMMYFUNCTION("""COMPUTED_VALUE"""),"{}")</f>
        <v>{}</v>
      </c>
      <c r="S166" s="148">
        <f>IFERROR(__xludf.DUMMYFUNCTION("""COMPUTED_VALUE"""),0.0)</f>
        <v>0</v>
      </c>
      <c r="T166" s="148" t="str">
        <f>IFERROR(__xludf.DUMMYFUNCTION("""COMPUTED_VALUE"""),"[]")</f>
        <v>[]</v>
      </c>
      <c r="U166" s="148">
        <f>IFERROR(__xludf.DUMMYFUNCTION("""COMPUTED_VALUE"""),0.0)</f>
        <v>0</v>
      </c>
      <c r="V166" s="148" t="str">
        <f>IFERROR(__xludf.DUMMYFUNCTION("""COMPUTED_VALUE"""),"{}")</f>
        <v>{}</v>
      </c>
      <c r="W166" s="148" t="str">
        <f>IFERROR(__xludf.DUMMYFUNCTION("""COMPUTED_VALUE"""),"[]")</f>
        <v>[]</v>
      </c>
      <c r="X166" s="148" t="str">
        <f>IFERROR(__xludf.DUMMYFUNCTION("""COMPUTED_VALUE"""),"[{""typ"":""power"",""id"":12141002,""val"":6}]")</f>
        <v>[{"typ":"power","id":12141002,"val":6}]</v>
      </c>
      <c r="Y166" s="148" t="str">
        <f>IFERROR(__xludf.DUMMYFUNCTION("""COMPUTED_VALUE"""),"[{""typ"":""atk"",""val"":200},{""typ"":""def"",""val"":190},{""typ"":""hp"",""val"":180},{""typ"":""speed"",""val"":40},{""typ"":""load"",""val"":20},{""typ"":""backcoef"",""val"":0.5},{""typ"":""atkcoef"",""val"":1.0},{""typ"":""atkcd"",""val"":0}]")</f>
        <v>[{"typ":"atk","val":200},{"typ":"def","val":190},{"typ":"hp","val":180},{"typ":"speed","val":40},{"typ":"load","val":20},{"typ":"backcoef","val":0.5},{"typ":"atkcoef","val":1.0},{"typ":"atkcd","val":0}]</v>
      </c>
      <c r="Z166" s="148" t="str">
        <f>IFERROR(__xludf.DUMMYFUNCTION("""COMPUTED_VALUE"""),"[]")</f>
        <v>[]</v>
      </c>
    </row>
    <row r="167">
      <c r="A167" s="148">
        <f>IFERROR(__xludf.DUMMYFUNCTION("""COMPUTED_VALUE"""),1.1213018E7)</f>
        <v>11213018</v>
      </c>
      <c r="B167" s="148" t="str">
        <f>IFERROR(__xludf.DUMMYFUNCTION("""COMPUTED_VALUE"""),"大地图单位-kvk2-钻探机器人-T5")</f>
        <v>大地图单位-kvk2-钻探机器人-T5</v>
      </c>
      <c r="C167" s="148">
        <f>IFERROR(__xludf.DUMMYFUNCTION("""COMPUTED_VALUE"""),1.1221004E7)</f>
        <v>11221004</v>
      </c>
      <c r="D167" s="148">
        <f>IFERROR(__xludf.DUMMYFUNCTION("""COMPUTED_VALUE"""),1.5114812E7)</f>
        <v>15114812</v>
      </c>
      <c r="E167" s="148" t="str">
        <f>IFERROR(__xludf.DUMMYFUNCTION("""COMPUTED_VALUE"""),"{""typ"":""lc"",""txt"":""LC_NPC_kvk2_npc_boss_name""}")</f>
        <v>{"typ":"lc","txt":"LC_NPC_kvk2_npc_boss_name"}</v>
      </c>
      <c r="F167" s="148" t="str">
        <f>IFERROR(__xludf.DUMMYFUNCTION("""COMPUTED_VALUE"""),"{""typ"":""lc"",""txt"":""LC_NPC_kvk2_npc_boss_desc""}")</f>
        <v>{"typ":"lc","txt":"LC_NPC_kvk2_npc_boss_desc"}</v>
      </c>
      <c r="G167" s="148">
        <f>IFERROR(__xludf.DUMMYFUNCTION("""COMPUTED_VALUE"""),4.0)</f>
        <v>4</v>
      </c>
      <c r="H167" s="148">
        <f>IFERROR(__xludf.DUMMYFUNCTION("""COMPUTED_VALUE"""),10099.0)</f>
        <v>10099</v>
      </c>
      <c r="I167" s="148">
        <f>IFERROR(__xludf.DUMMYFUNCTION("""COMPUTED_VALUE"""),10099.0)</f>
        <v>10099</v>
      </c>
      <c r="J167" s="148">
        <f>IFERROR(__xludf.DUMMYFUNCTION("""COMPUTED_VALUE"""),0.0)</f>
        <v>0</v>
      </c>
      <c r="K167" s="148">
        <f>IFERROR(__xludf.DUMMYFUNCTION("""COMPUTED_VALUE"""),10.0)</f>
        <v>10</v>
      </c>
      <c r="L167" s="148">
        <f>IFERROR(__xludf.DUMMYFUNCTION("""COMPUTED_VALUE"""),99.0)</f>
        <v>99</v>
      </c>
      <c r="M167" s="148">
        <f>IFERROR(__xludf.DUMMYFUNCTION("""COMPUTED_VALUE"""),0.0)</f>
        <v>0</v>
      </c>
      <c r="N167" s="148" t="str">
        <f>IFERROR(__xludf.DUMMYFUNCTION("""COMPUTED_VALUE"""),"[]")</f>
        <v>[]</v>
      </c>
      <c r="O167" s="148" t="str">
        <f>IFERROR(__xludf.DUMMYFUNCTION("""COMPUTED_VALUE"""),"{}")</f>
        <v>{}</v>
      </c>
      <c r="P167" s="148">
        <f>IFERROR(__xludf.DUMMYFUNCTION("""COMPUTED_VALUE"""),0.0)</f>
        <v>0</v>
      </c>
      <c r="Q167" s="148" t="str">
        <f>IFERROR(__xludf.DUMMYFUNCTION("""COMPUTED_VALUE"""),"[]")</f>
        <v>[]</v>
      </c>
      <c r="R167" s="148" t="str">
        <f>IFERROR(__xludf.DUMMYFUNCTION("""COMPUTED_VALUE"""),"{}")</f>
        <v>{}</v>
      </c>
      <c r="S167" s="148">
        <f>IFERROR(__xludf.DUMMYFUNCTION("""COMPUTED_VALUE"""),0.0)</f>
        <v>0</v>
      </c>
      <c r="T167" s="148" t="str">
        <f>IFERROR(__xludf.DUMMYFUNCTION("""COMPUTED_VALUE"""),"[]")</f>
        <v>[]</v>
      </c>
      <c r="U167" s="148">
        <f>IFERROR(__xludf.DUMMYFUNCTION("""COMPUTED_VALUE"""),0.0)</f>
        <v>0</v>
      </c>
      <c r="V167" s="148" t="str">
        <f>IFERROR(__xludf.DUMMYFUNCTION("""COMPUTED_VALUE"""),"{}")</f>
        <v>{}</v>
      </c>
      <c r="W167" s="148" t="str">
        <f>IFERROR(__xludf.DUMMYFUNCTION("""COMPUTED_VALUE"""),"[]")</f>
        <v>[]</v>
      </c>
      <c r="X167" s="148" t="str">
        <f>IFERROR(__xludf.DUMMYFUNCTION("""COMPUTED_VALUE"""),"[{""typ"":""power"",""id"":12141002,""val"":10}]")</f>
        <v>[{"typ":"power","id":12141002,"val":10}]</v>
      </c>
      <c r="Y167" s="148" t="str">
        <f>IFERROR(__xludf.DUMMYFUNCTION("""COMPUTED_VALUE"""),"[{""typ"":""atk"",""val"":230},{""typ"":""def"",""val"":210},{""typ"":""hp"",""val"":210},{""typ"":""speed"",""val"":40},{""typ"":""load"",""val"":20},{""typ"":""backcoef"",""val"":0.5},{""typ"":""atkcoef"",""val"":1.0},{""typ"":""atkcd"",""val"":0}]")</f>
        <v>[{"typ":"atk","val":230},{"typ":"def","val":210},{"typ":"hp","val":210},{"typ":"speed","val":40},{"typ":"load","val":20},{"typ":"backcoef","val":0.5},{"typ":"atkcoef","val":1.0},{"typ":"atkcd","val":0}]</v>
      </c>
      <c r="Z167" s="148" t="str">
        <f>IFERROR(__xludf.DUMMYFUNCTION("""COMPUTED_VALUE"""),"[]")</f>
        <v>[]</v>
      </c>
    </row>
    <row r="168">
      <c r="A168" s="148">
        <f>IFERROR(__xludf.DUMMYFUNCTION("""COMPUTED_VALUE"""),1.1213019E7)</f>
        <v>11213019</v>
      </c>
      <c r="B168" s="148" t="str">
        <f>IFERROR(__xludf.DUMMYFUNCTION("""COMPUTED_VALUE"""),"大地图单位-kvk2中立建筑-T5")</f>
        <v>大地图单位-kvk2中立建筑-T5</v>
      </c>
      <c r="C168" s="148">
        <f>IFERROR(__xludf.DUMMYFUNCTION("""COMPUTED_VALUE"""),1.1221004E7)</f>
        <v>11221004</v>
      </c>
      <c r="D168" s="148">
        <f>IFERROR(__xludf.DUMMYFUNCTION("""COMPUTED_VALUE"""),1.5114812E7)</f>
        <v>15114812</v>
      </c>
      <c r="E168" s="148" t="str">
        <f>IFERROR(__xludf.DUMMYFUNCTION("""COMPUTED_VALUE"""),"{""typ"":""lc"",""txt"":""LC_NPC_npc_ruin_name_kvk""}")</f>
        <v>{"typ":"lc","txt":"LC_NPC_npc_ruin_name_kvk"}</v>
      </c>
      <c r="F168" s="148" t="str">
        <f>IFERROR(__xludf.DUMMYFUNCTION("""COMPUTED_VALUE"""),"{}")</f>
        <v>{}</v>
      </c>
      <c r="G168" s="148">
        <f>IFERROR(__xludf.DUMMYFUNCTION("""COMPUTED_VALUE"""),10.0)</f>
        <v>10</v>
      </c>
      <c r="H168" s="148">
        <f>IFERROR(__xludf.DUMMYFUNCTION("""COMPUTED_VALUE"""),10099.0)</f>
        <v>10099</v>
      </c>
      <c r="I168" s="148">
        <f>IFERROR(__xludf.DUMMYFUNCTION("""COMPUTED_VALUE"""),10099.0)</f>
        <v>10099</v>
      </c>
      <c r="J168" s="148">
        <f>IFERROR(__xludf.DUMMYFUNCTION("""COMPUTED_VALUE"""),0.0)</f>
        <v>0</v>
      </c>
      <c r="K168" s="148">
        <f>IFERROR(__xludf.DUMMYFUNCTION("""COMPUTED_VALUE"""),10.0)</f>
        <v>10</v>
      </c>
      <c r="L168" s="148">
        <f>IFERROR(__xludf.DUMMYFUNCTION("""COMPUTED_VALUE"""),99.0)</f>
        <v>99</v>
      </c>
      <c r="M168" s="148">
        <f>IFERROR(__xludf.DUMMYFUNCTION("""COMPUTED_VALUE"""),0.0)</f>
        <v>0</v>
      </c>
      <c r="N168" s="148" t="str">
        <f>IFERROR(__xludf.DUMMYFUNCTION("""COMPUTED_VALUE"""),"[]")</f>
        <v>[]</v>
      </c>
      <c r="O168" s="148" t="str">
        <f>IFERROR(__xludf.DUMMYFUNCTION("""COMPUTED_VALUE"""),"{}")</f>
        <v>{}</v>
      </c>
      <c r="P168" s="148">
        <f>IFERROR(__xludf.DUMMYFUNCTION("""COMPUTED_VALUE"""),0.0)</f>
        <v>0</v>
      </c>
      <c r="Q168" s="148" t="str">
        <f>IFERROR(__xludf.DUMMYFUNCTION("""COMPUTED_VALUE"""),"[]")</f>
        <v>[]</v>
      </c>
      <c r="R168" s="148" t="str">
        <f>IFERROR(__xludf.DUMMYFUNCTION("""COMPUTED_VALUE"""),"{}")</f>
        <v>{}</v>
      </c>
      <c r="S168" s="148">
        <f>IFERROR(__xludf.DUMMYFUNCTION("""COMPUTED_VALUE"""),0.0)</f>
        <v>0</v>
      </c>
      <c r="T168" s="148" t="str">
        <f>IFERROR(__xludf.DUMMYFUNCTION("""COMPUTED_VALUE"""),"[]")</f>
        <v>[]</v>
      </c>
      <c r="U168" s="148">
        <f>IFERROR(__xludf.DUMMYFUNCTION("""COMPUTED_VALUE"""),0.0)</f>
        <v>0</v>
      </c>
      <c r="V168" s="148" t="str">
        <f>IFERROR(__xludf.DUMMYFUNCTION("""COMPUTED_VALUE"""),"{}")</f>
        <v>{}</v>
      </c>
      <c r="W168" s="148" t="str">
        <f>IFERROR(__xludf.DUMMYFUNCTION("""COMPUTED_VALUE"""),"[]")</f>
        <v>[]</v>
      </c>
      <c r="X168" s="148" t="str">
        <f>IFERROR(__xludf.DUMMYFUNCTION("""COMPUTED_VALUE"""),"[{""typ"":""power"",""id"":12141002,""val"":10}]")</f>
        <v>[{"typ":"power","id":12141002,"val":10}]</v>
      </c>
      <c r="Y168" s="148" t="str">
        <f>IFERROR(__xludf.DUMMYFUNCTION("""COMPUTED_VALUE"""),"[{""typ"":""atk"",""val"":230},{""typ"":""def"",""val"":210},{""typ"":""hp"",""val"":210},{""typ"":""speed"",""val"":40},{""typ"":""load"",""val"":20},{""typ"":""backcoef"",""val"":0.5},{""typ"":""atkcoef"",""val"":1.0},{""typ"":""atkcd"",""val"":0}]")</f>
        <v>[{"typ":"atk","val":230},{"typ":"def","val":210},{"typ":"hp","val":210},{"typ":"speed","val":40},{"typ":"load","val":20},{"typ":"backcoef","val":0.5},{"typ":"atkcoef","val":1.0},{"typ":"atkcd","val":0}]</v>
      </c>
      <c r="Z168" s="148" t="str">
        <f>IFERROR(__xludf.DUMMYFUNCTION("""COMPUTED_VALUE"""),"[]")</f>
        <v>[]</v>
      </c>
    </row>
    <row r="169">
      <c r="A169" s="148">
        <f>IFERROR(__xludf.DUMMYFUNCTION("""COMPUTED_VALUE"""),1.121302E7)</f>
        <v>11213020</v>
      </c>
      <c r="B169" s="148" t="str">
        <f>IFERROR(__xludf.DUMMYFUNCTION("""COMPUTED_VALUE"""),"大地图单位-kvk2关卡-T5")</f>
        <v>大地图单位-kvk2关卡-T5</v>
      </c>
      <c r="C169" s="148">
        <f>IFERROR(__xludf.DUMMYFUNCTION("""COMPUTED_VALUE"""),1.1221004E7)</f>
        <v>11221004</v>
      </c>
      <c r="D169" s="148">
        <f>IFERROR(__xludf.DUMMYFUNCTION("""COMPUTED_VALUE"""),1.5114812E7)</f>
        <v>15114812</v>
      </c>
      <c r="E169" s="148" t="str">
        <f>IFERROR(__xludf.DUMMYFUNCTION("""COMPUTED_VALUE"""),"{""typ"":""lc"",""txt"":""LC_NPC_npc_ruin_name_kvk""}")</f>
        <v>{"typ":"lc","txt":"LC_NPC_npc_ruin_name_kvk"}</v>
      </c>
      <c r="F169" s="148" t="str">
        <f>IFERROR(__xludf.DUMMYFUNCTION("""COMPUTED_VALUE"""),"{}")</f>
        <v>{}</v>
      </c>
      <c r="G169" s="148">
        <f>IFERROR(__xludf.DUMMYFUNCTION("""COMPUTED_VALUE"""),10.0)</f>
        <v>10</v>
      </c>
      <c r="H169" s="148">
        <f>IFERROR(__xludf.DUMMYFUNCTION("""COMPUTED_VALUE"""),10099.0)</f>
        <v>10099</v>
      </c>
      <c r="I169" s="148">
        <f>IFERROR(__xludf.DUMMYFUNCTION("""COMPUTED_VALUE"""),10099.0)</f>
        <v>10099</v>
      </c>
      <c r="J169" s="148">
        <f>IFERROR(__xludf.DUMMYFUNCTION("""COMPUTED_VALUE"""),0.0)</f>
        <v>0</v>
      </c>
      <c r="K169" s="148">
        <f>IFERROR(__xludf.DUMMYFUNCTION("""COMPUTED_VALUE"""),10.0)</f>
        <v>10</v>
      </c>
      <c r="L169" s="148">
        <f>IFERROR(__xludf.DUMMYFUNCTION("""COMPUTED_VALUE"""),99.0)</f>
        <v>99</v>
      </c>
      <c r="M169" s="148">
        <f>IFERROR(__xludf.DUMMYFUNCTION("""COMPUTED_VALUE"""),0.0)</f>
        <v>0</v>
      </c>
      <c r="N169" s="148" t="str">
        <f>IFERROR(__xludf.DUMMYFUNCTION("""COMPUTED_VALUE"""),"[]")</f>
        <v>[]</v>
      </c>
      <c r="O169" s="148" t="str">
        <f>IFERROR(__xludf.DUMMYFUNCTION("""COMPUTED_VALUE"""),"{}")</f>
        <v>{}</v>
      </c>
      <c r="P169" s="148">
        <f>IFERROR(__xludf.DUMMYFUNCTION("""COMPUTED_VALUE"""),0.0)</f>
        <v>0</v>
      </c>
      <c r="Q169" s="148" t="str">
        <f>IFERROR(__xludf.DUMMYFUNCTION("""COMPUTED_VALUE"""),"[]")</f>
        <v>[]</v>
      </c>
      <c r="R169" s="148" t="str">
        <f>IFERROR(__xludf.DUMMYFUNCTION("""COMPUTED_VALUE"""),"{}")</f>
        <v>{}</v>
      </c>
      <c r="S169" s="148">
        <f>IFERROR(__xludf.DUMMYFUNCTION("""COMPUTED_VALUE"""),0.0)</f>
        <v>0</v>
      </c>
      <c r="T169" s="148" t="str">
        <f>IFERROR(__xludf.DUMMYFUNCTION("""COMPUTED_VALUE"""),"[]")</f>
        <v>[]</v>
      </c>
      <c r="U169" s="148">
        <f>IFERROR(__xludf.DUMMYFUNCTION("""COMPUTED_VALUE"""),0.0)</f>
        <v>0</v>
      </c>
      <c r="V169" s="148" t="str">
        <f>IFERROR(__xludf.DUMMYFUNCTION("""COMPUTED_VALUE"""),"{}")</f>
        <v>{}</v>
      </c>
      <c r="W169" s="148" t="str">
        <f>IFERROR(__xludf.DUMMYFUNCTION("""COMPUTED_VALUE"""),"[]")</f>
        <v>[]</v>
      </c>
      <c r="X169" s="148" t="str">
        <f>IFERROR(__xludf.DUMMYFUNCTION("""COMPUTED_VALUE"""),"[{""typ"":""power"",""id"":12141002,""val"":10}]")</f>
        <v>[{"typ":"power","id":12141002,"val":10}]</v>
      </c>
      <c r="Y169" s="148" t="str">
        <f>IFERROR(__xludf.DUMMYFUNCTION("""COMPUTED_VALUE"""),"[{""typ"":""atk"",""val"":230},{""typ"":""def"",""val"":210},{""typ"":""hp"",""val"":210},{""typ"":""speed"",""val"":40},{""typ"":""load"",""val"":20},{""typ"":""backcoef"",""val"":0.5},{""typ"":""atkcoef"",""val"":1.0},{""typ"":""atkcd"",""val"":0}]")</f>
        <v>[{"typ":"atk","val":230},{"typ":"def","val":210},{"typ":"hp","val":210},{"typ":"speed","val":40},{"typ":"load","val":20},{"typ":"backcoef","val":0.5},{"typ":"atkcoef","val":1.0},{"typ":"atkcd","val":0}]</v>
      </c>
      <c r="Z169" s="148" t="str">
        <f>IFERROR(__xludf.DUMMYFUNCTION("""COMPUTED_VALUE"""),"[]")</f>
        <v>[]</v>
      </c>
    </row>
    <row r="170">
      <c r="A170" s="148">
        <f>IFERROR(__xludf.DUMMYFUNCTION("""COMPUTED_VALUE"""),1.1213021E7)</f>
        <v>11213021</v>
      </c>
      <c r="B170" s="148" t="str">
        <f>IFERROR(__xludf.DUMMYFUNCTION("""COMPUTED_VALUE"""),"大地图单位-kvk中立建筑-T5")</f>
        <v>大地图单位-kvk中立建筑-T5</v>
      </c>
      <c r="C170" s="148">
        <f>IFERROR(__xludf.DUMMYFUNCTION("""COMPUTED_VALUE"""),1.1221004E7)</f>
        <v>11221004</v>
      </c>
      <c r="D170" s="148">
        <f>IFERROR(__xludf.DUMMYFUNCTION("""COMPUTED_VALUE"""),1.5113764E7)</f>
        <v>15113764</v>
      </c>
      <c r="E170" s="148" t="str">
        <f>IFERROR(__xludf.DUMMYFUNCTION("""COMPUTED_VALUE"""),"{""typ"":""lc"",""txt"":""LC_NPC_npc_ruin_name_kvk""}")</f>
        <v>{"typ":"lc","txt":"LC_NPC_npc_ruin_name_kvk"}</v>
      </c>
      <c r="F170" s="148" t="str">
        <f>IFERROR(__xludf.DUMMYFUNCTION("""COMPUTED_VALUE"""),"{}")</f>
        <v>{}</v>
      </c>
      <c r="G170" s="148">
        <f>IFERROR(__xludf.DUMMYFUNCTION("""COMPUTED_VALUE"""),10.0)</f>
        <v>10</v>
      </c>
      <c r="H170" s="148">
        <f>IFERROR(__xludf.DUMMYFUNCTION("""COMPUTED_VALUE"""),10099.0)</f>
        <v>10099</v>
      </c>
      <c r="I170" s="148">
        <f>IFERROR(__xludf.DUMMYFUNCTION("""COMPUTED_VALUE"""),10099.0)</f>
        <v>10099</v>
      </c>
      <c r="J170" s="148">
        <f>IFERROR(__xludf.DUMMYFUNCTION("""COMPUTED_VALUE"""),0.0)</f>
        <v>0</v>
      </c>
      <c r="K170" s="148">
        <f>IFERROR(__xludf.DUMMYFUNCTION("""COMPUTED_VALUE"""),10.0)</f>
        <v>10</v>
      </c>
      <c r="L170" s="148">
        <f>IFERROR(__xludf.DUMMYFUNCTION("""COMPUTED_VALUE"""),99.0)</f>
        <v>99</v>
      </c>
      <c r="M170" s="148">
        <f>IFERROR(__xludf.DUMMYFUNCTION("""COMPUTED_VALUE"""),0.0)</f>
        <v>0</v>
      </c>
      <c r="N170" s="148" t="str">
        <f>IFERROR(__xludf.DUMMYFUNCTION("""COMPUTED_VALUE"""),"[]")</f>
        <v>[]</v>
      </c>
      <c r="O170" s="148" t="str">
        <f>IFERROR(__xludf.DUMMYFUNCTION("""COMPUTED_VALUE"""),"{}")</f>
        <v>{}</v>
      </c>
      <c r="P170" s="148">
        <f>IFERROR(__xludf.DUMMYFUNCTION("""COMPUTED_VALUE"""),0.0)</f>
        <v>0</v>
      </c>
      <c r="Q170" s="148" t="str">
        <f>IFERROR(__xludf.DUMMYFUNCTION("""COMPUTED_VALUE"""),"[]")</f>
        <v>[]</v>
      </c>
      <c r="R170" s="148" t="str">
        <f>IFERROR(__xludf.DUMMYFUNCTION("""COMPUTED_VALUE"""),"{}")</f>
        <v>{}</v>
      </c>
      <c r="S170" s="148">
        <f>IFERROR(__xludf.DUMMYFUNCTION("""COMPUTED_VALUE"""),0.0)</f>
        <v>0</v>
      </c>
      <c r="T170" s="148" t="str">
        <f>IFERROR(__xludf.DUMMYFUNCTION("""COMPUTED_VALUE"""),"[]")</f>
        <v>[]</v>
      </c>
      <c r="U170" s="148">
        <f>IFERROR(__xludf.DUMMYFUNCTION("""COMPUTED_VALUE"""),0.0)</f>
        <v>0</v>
      </c>
      <c r="V170" s="148" t="str">
        <f>IFERROR(__xludf.DUMMYFUNCTION("""COMPUTED_VALUE"""),"{}")</f>
        <v>{}</v>
      </c>
      <c r="W170" s="148" t="str">
        <f>IFERROR(__xludf.DUMMYFUNCTION("""COMPUTED_VALUE"""),"[]")</f>
        <v>[]</v>
      </c>
      <c r="X170" s="148" t="str">
        <f>IFERROR(__xludf.DUMMYFUNCTION("""COMPUTED_VALUE"""),"[{""typ"":""power"",""id"":12141002,""val"":10}]")</f>
        <v>[{"typ":"power","id":12141002,"val":10}]</v>
      </c>
      <c r="Y170" s="148" t="str">
        <f>IFERROR(__xludf.DUMMYFUNCTION("""COMPUTED_VALUE"""),"[{""typ"":""atk"",""val"":230},{""typ"":""def"",""val"":210},{""typ"":""hp"",""val"":210},{""typ"":""speed"",""val"":40},{""typ"":""load"",""val"":20},{""typ"":""backcoef"",""val"":0.5},{""typ"":""atkcoef"",""val"":1.0},{""typ"":""atkcd"",""val"":0}]")</f>
        <v>[{"typ":"atk","val":230},{"typ":"def","val":210},{"typ":"hp","val":210},{"typ":"speed","val":40},{"typ":"load","val":20},{"typ":"backcoef","val":0.5},{"typ":"atkcoef","val":1.0},{"typ":"atkcd","val":0}]</v>
      </c>
      <c r="Z170" s="148" t="str">
        <f>IFERROR(__xludf.DUMMYFUNCTION("""COMPUTED_VALUE"""),"[]")</f>
        <v>[]</v>
      </c>
    </row>
    <row r="171">
      <c r="A171" s="148">
        <f>IFERROR(__xludf.DUMMYFUNCTION("""COMPUTED_VALUE"""),1.1213022E7)</f>
        <v>11213022</v>
      </c>
      <c r="B171" s="148" t="str">
        <f>IFERROR(__xludf.DUMMYFUNCTION("""COMPUTED_VALUE"""),"大地图单位-kvk关卡-T5")</f>
        <v>大地图单位-kvk关卡-T5</v>
      </c>
      <c r="C171" s="148">
        <f>IFERROR(__xludf.DUMMYFUNCTION("""COMPUTED_VALUE"""),1.1221004E7)</f>
        <v>11221004</v>
      </c>
      <c r="D171" s="148">
        <f>IFERROR(__xludf.DUMMYFUNCTION("""COMPUTED_VALUE"""),1.5113764E7)</f>
        <v>15113764</v>
      </c>
      <c r="E171" s="148" t="str">
        <f>IFERROR(__xludf.DUMMYFUNCTION("""COMPUTED_VALUE"""),"{""typ"":""lc"",""txt"":""LC_NPC_npc_ruin_name_kvk""}")</f>
        <v>{"typ":"lc","txt":"LC_NPC_npc_ruin_name_kvk"}</v>
      </c>
      <c r="F171" s="148" t="str">
        <f>IFERROR(__xludf.DUMMYFUNCTION("""COMPUTED_VALUE"""),"{}")</f>
        <v>{}</v>
      </c>
      <c r="G171" s="148">
        <f>IFERROR(__xludf.DUMMYFUNCTION("""COMPUTED_VALUE"""),10.0)</f>
        <v>10</v>
      </c>
      <c r="H171" s="148">
        <f>IFERROR(__xludf.DUMMYFUNCTION("""COMPUTED_VALUE"""),10099.0)</f>
        <v>10099</v>
      </c>
      <c r="I171" s="148">
        <f>IFERROR(__xludf.DUMMYFUNCTION("""COMPUTED_VALUE"""),10099.0)</f>
        <v>10099</v>
      </c>
      <c r="J171" s="148">
        <f>IFERROR(__xludf.DUMMYFUNCTION("""COMPUTED_VALUE"""),0.0)</f>
        <v>0</v>
      </c>
      <c r="K171" s="148">
        <f>IFERROR(__xludf.DUMMYFUNCTION("""COMPUTED_VALUE"""),10.0)</f>
        <v>10</v>
      </c>
      <c r="L171" s="148">
        <f>IFERROR(__xludf.DUMMYFUNCTION("""COMPUTED_VALUE"""),99.0)</f>
        <v>99</v>
      </c>
      <c r="M171" s="148">
        <f>IFERROR(__xludf.DUMMYFUNCTION("""COMPUTED_VALUE"""),0.0)</f>
        <v>0</v>
      </c>
      <c r="N171" s="148" t="str">
        <f>IFERROR(__xludf.DUMMYFUNCTION("""COMPUTED_VALUE"""),"[]")</f>
        <v>[]</v>
      </c>
      <c r="O171" s="148" t="str">
        <f>IFERROR(__xludf.DUMMYFUNCTION("""COMPUTED_VALUE"""),"{}")</f>
        <v>{}</v>
      </c>
      <c r="P171" s="148">
        <f>IFERROR(__xludf.DUMMYFUNCTION("""COMPUTED_VALUE"""),0.0)</f>
        <v>0</v>
      </c>
      <c r="Q171" s="148" t="str">
        <f>IFERROR(__xludf.DUMMYFUNCTION("""COMPUTED_VALUE"""),"[]")</f>
        <v>[]</v>
      </c>
      <c r="R171" s="148" t="str">
        <f>IFERROR(__xludf.DUMMYFUNCTION("""COMPUTED_VALUE"""),"{}")</f>
        <v>{}</v>
      </c>
      <c r="S171" s="148">
        <f>IFERROR(__xludf.DUMMYFUNCTION("""COMPUTED_VALUE"""),0.0)</f>
        <v>0</v>
      </c>
      <c r="T171" s="148" t="str">
        <f>IFERROR(__xludf.DUMMYFUNCTION("""COMPUTED_VALUE"""),"[]")</f>
        <v>[]</v>
      </c>
      <c r="U171" s="148">
        <f>IFERROR(__xludf.DUMMYFUNCTION("""COMPUTED_VALUE"""),0.0)</f>
        <v>0</v>
      </c>
      <c r="V171" s="148" t="str">
        <f>IFERROR(__xludf.DUMMYFUNCTION("""COMPUTED_VALUE"""),"{}")</f>
        <v>{}</v>
      </c>
      <c r="W171" s="148" t="str">
        <f>IFERROR(__xludf.DUMMYFUNCTION("""COMPUTED_VALUE"""),"[]")</f>
        <v>[]</v>
      </c>
      <c r="X171" s="148" t="str">
        <f>IFERROR(__xludf.DUMMYFUNCTION("""COMPUTED_VALUE"""),"[{""typ"":""power"",""id"":12141002,""val"":10}]")</f>
        <v>[{"typ":"power","id":12141002,"val":10}]</v>
      </c>
      <c r="Y171" s="148" t="str">
        <f>IFERROR(__xludf.DUMMYFUNCTION("""COMPUTED_VALUE"""),"[{""typ"":""atk"",""val"":230},{""typ"":""def"",""val"":210},{""typ"":""hp"",""val"":210},{""typ"":""speed"",""val"":40},{""typ"":""load"",""val"":20},{""typ"":""backcoef"",""val"":0.5},{""typ"":""atkcoef"",""val"":1.0},{""typ"":""atkcd"",""val"":0}]")</f>
        <v>[{"typ":"atk","val":230},{"typ":"def","val":210},{"typ":"hp","val":210},{"typ":"speed","val":40},{"typ":"load","val":20},{"typ":"backcoef","val":0.5},{"typ":"atkcoef","val":1.0},{"typ":"atkcd","val":0}]</v>
      </c>
      <c r="Z171" s="148" t="str">
        <f>IFERROR(__xludf.DUMMYFUNCTION("""COMPUTED_VALUE"""),"[]")</f>
        <v>[]</v>
      </c>
    </row>
    <row r="172">
      <c r="A172" s="148">
        <f>IFERROR(__xludf.DUMMYFUNCTION("""COMPUTED_VALUE"""),1.1213023E7)</f>
        <v>11213023</v>
      </c>
      <c r="B172" s="148" t="str">
        <f>IFERROR(__xludf.DUMMYFUNCTION("""COMPUTED_VALUE"""),"大地图单位-kvk3-灯泡鱼白-T3")</f>
        <v>大地图单位-kvk3-灯泡鱼白-T3</v>
      </c>
      <c r="C172" s="148">
        <f>IFERROR(__xludf.DUMMYFUNCTION("""COMPUTED_VALUE"""),1.1221004E7)</f>
        <v>11221004</v>
      </c>
      <c r="D172" s="148">
        <f>IFERROR(__xludf.DUMMYFUNCTION("""COMPUTED_VALUE"""),1.5116422E7)</f>
        <v>15116422</v>
      </c>
      <c r="E172" s="148" t="str">
        <f>IFERROR(__xludf.DUMMYFUNCTION("""COMPUTED_VALUE"""),"{""typ"":""lc"",""txt"":""LC_NPC_kvk3_npc_reg_name""}")</f>
        <v>{"typ":"lc","txt":"LC_NPC_kvk3_npc_reg_name"}</v>
      </c>
      <c r="F172" s="148" t="str">
        <f>IFERROR(__xludf.DUMMYFUNCTION("""COMPUTED_VALUE"""),"{""typ"":""lc"",""txt"":""LC_NPC_kvk3_npc_reg_desc""}")</f>
        <v>{"typ":"lc","txt":"LC_NPC_kvk3_npc_reg_desc"}</v>
      </c>
      <c r="G172" s="148">
        <f>IFERROR(__xludf.DUMMYFUNCTION("""COMPUTED_VALUE"""),4.0)</f>
        <v>4</v>
      </c>
      <c r="H172" s="148">
        <f>IFERROR(__xludf.DUMMYFUNCTION("""COMPUTED_VALUE"""),10099.0)</f>
        <v>10099</v>
      </c>
      <c r="I172" s="148">
        <f>IFERROR(__xludf.DUMMYFUNCTION("""COMPUTED_VALUE"""),10099.0)</f>
        <v>10099</v>
      </c>
      <c r="J172" s="148">
        <f>IFERROR(__xludf.DUMMYFUNCTION("""COMPUTED_VALUE"""),0.0)</f>
        <v>0</v>
      </c>
      <c r="K172" s="148">
        <f>IFERROR(__xludf.DUMMYFUNCTION("""COMPUTED_VALUE"""),10.0)</f>
        <v>10</v>
      </c>
      <c r="L172" s="148">
        <f>IFERROR(__xludf.DUMMYFUNCTION("""COMPUTED_VALUE"""),99.0)</f>
        <v>99</v>
      </c>
      <c r="M172" s="148">
        <f>IFERROR(__xludf.DUMMYFUNCTION("""COMPUTED_VALUE"""),0.0)</f>
        <v>0</v>
      </c>
      <c r="N172" s="148" t="str">
        <f>IFERROR(__xludf.DUMMYFUNCTION("""COMPUTED_VALUE"""),"[]")</f>
        <v>[]</v>
      </c>
      <c r="O172" s="148" t="str">
        <f>IFERROR(__xludf.DUMMYFUNCTION("""COMPUTED_VALUE"""),"{}")</f>
        <v>{}</v>
      </c>
      <c r="P172" s="148">
        <f>IFERROR(__xludf.DUMMYFUNCTION("""COMPUTED_VALUE"""),0.0)</f>
        <v>0</v>
      </c>
      <c r="Q172" s="148" t="str">
        <f>IFERROR(__xludf.DUMMYFUNCTION("""COMPUTED_VALUE"""),"[]")</f>
        <v>[]</v>
      </c>
      <c r="R172" s="148" t="str">
        <f>IFERROR(__xludf.DUMMYFUNCTION("""COMPUTED_VALUE"""),"{}")</f>
        <v>{}</v>
      </c>
      <c r="S172" s="148">
        <f>IFERROR(__xludf.DUMMYFUNCTION("""COMPUTED_VALUE"""),0.0)</f>
        <v>0</v>
      </c>
      <c r="T172" s="148" t="str">
        <f>IFERROR(__xludf.DUMMYFUNCTION("""COMPUTED_VALUE"""),"[]")</f>
        <v>[]</v>
      </c>
      <c r="U172" s="148">
        <f>IFERROR(__xludf.DUMMYFUNCTION("""COMPUTED_VALUE"""),0.0)</f>
        <v>0</v>
      </c>
      <c r="V172" s="148" t="str">
        <f>IFERROR(__xludf.DUMMYFUNCTION("""COMPUTED_VALUE"""),"{}")</f>
        <v>{}</v>
      </c>
      <c r="W172" s="148" t="str">
        <f>IFERROR(__xludf.DUMMYFUNCTION("""COMPUTED_VALUE"""),"[]")</f>
        <v>[]</v>
      </c>
      <c r="X172" s="148" t="str">
        <f>IFERROR(__xludf.DUMMYFUNCTION("""COMPUTED_VALUE"""),"[{""typ"":""power"",""id"":12141002,""val"":4}]")</f>
        <v>[{"typ":"power","id":12141002,"val":4}]</v>
      </c>
      <c r="Y172" s="148" t="str">
        <f>IFERROR(__xludf.DUMMYFUNCTION("""COMPUTED_VALUE"""),"[{""typ"":""atk"",""val"":160},{""typ"":""def"",""val"":160},{""typ"":""hp"",""val"":160},{""typ"":""speed"",""val"":40},{""typ"":""load"",""val"":20},{""typ"":""backcoef"",""val"":0.5},{""typ"":""atkcoef"",""val"":1.0},{""typ"":""atkcd"",""val"":0}]")</f>
        <v>[{"typ":"atk","val":160},{"typ":"def","val":160},{"typ":"hp","val":160},{"typ":"speed","val":40},{"typ":"load","val":20},{"typ":"backcoef","val":0.5},{"typ":"atkcoef","val":1.0},{"typ":"atkcd","val":0}]</v>
      </c>
      <c r="Z172" s="148" t="str">
        <f>IFERROR(__xludf.DUMMYFUNCTION("""COMPUTED_VALUE"""),"[]")</f>
        <v>[]</v>
      </c>
    </row>
    <row r="173">
      <c r="A173" s="148">
        <f>IFERROR(__xludf.DUMMYFUNCTION("""COMPUTED_VALUE"""),1.1213024E7)</f>
        <v>11213024</v>
      </c>
      <c r="B173" s="148" t="str">
        <f>IFERROR(__xludf.DUMMYFUNCTION("""COMPUTED_VALUE"""),"大地图单位-kvk3-变异巨蟹白-T3")</f>
        <v>大地图单位-kvk3-变异巨蟹白-T3</v>
      </c>
      <c r="C173" s="148">
        <f>IFERROR(__xludf.DUMMYFUNCTION("""COMPUTED_VALUE"""),1.1221004E7)</f>
        <v>11221004</v>
      </c>
      <c r="D173" s="148">
        <f>IFERROR(__xludf.DUMMYFUNCTION("""COMPUTED_VALUE"""),1.511643E7)</f>
        <v>15116430</v>
      </c>
      <c r="E173" s="148" t="str">
        <f>IFERROR(__xludf.DUMMYFUNCTION("""COMPUTED_VALUE"""),"{""typ"":""lc"",""txt"":""LC_NPC_kvk3_npc_boss_name""}")</f>
        <v>{"typ":"lc","txt":"LC_NPC_kvk3_npc_boss_name"}</v>
      </c>
      <c r="F173" s="148" t="str">
        <f>IFERROR(__xludf.DUMMYFUNCTION("""COMPUTED_VALUE"""),"{""typ"":""lc"",""txt"":""LC_NPC_kvk3_npc_boss_desc""}")</f>
        <v>{"typ":"lc","txt":"LC_NPC_kvk3_npc_boss_desc"}</v>
      </c>
      <c r="G173" s="148">
        <f>IFERROR(__xludf.DUMMYFUNCTION("""COMPUTED_VALUE"""),4.0)</f>
        <v>4</v>
      </c>
      <c r="H173" s="148">
        <f>IFERROR(__xludf.DUMMYFUNCTION("""COMPUTED_VALUE"""),10099.0)</f>
        <v>10099</v>
      </c>
      <c r="I173" s="148">
        <f>IFERROR(__xludf.DUMMYFUNCTION("""COMPUTED_VALUE"""),10099.0)</f>
        <v>10099</v>
      </c>
      <c r="J173" s="148">
        <f>IFERROR(__xludf.DUMMYFUNCTION("""COMPUTED_VALUE"""),0.0)</f>
        <v>0</v>
      </c>
      <c r="K173" s="148">
        <f>IFERROR(__xludf.DUMMYFUNCTION("""COMPUTED_VALUE"""),10.0)</f>
        <v>10</v>
      </c>
      <c r="L173" s="148">
        <f>IFERROR(__xludf.DUMMYFUNCTION("""COMPUTED_VALUE"""),99.0)</f>
        <v>99</v>
      </c>
      <c r="M173" s="148">
        <f>IFERROR(__xludf.DUMMYFUNCTION("""COMPUTED_VALUE"""),0.0)</f>
        <v>0</v>
      </c>
      <c r="N173" s="148" t="str">
        <f>IFERROR(__xludf.DUMMYFUNCTION("""COMPUTED_VALUE"""),"[]")</f>
        <v>[]</v>
      </c>
      <c r="O173" s="148" t="str">
        <f>IFERROR(__xludf.DUMMYFUNCTION("""COMPUTED_VALUE"""),"{}")</f>
        <v>{}</v>
      </c>
      <c r="P173" s="148">
        <f>IFERROR(__xludf.DUMMYFUNCTION("""COMPUTED_VALUE"""),0.0)</f>
        <v>0</v>
      </c>
      <c r="Q173" s="148" t="str">
        <f>IFERROR(__xludf.DUMMYFUNCTION("""COMPUTED_VALUE"""),"[]")</f>
        <v>[]</v>
      </c>
      <c r="R173" s="148" t="str">
        <f>IFERROR(__xludf.DUMMYFUNCTION("""COMPUTED_VALUE"""),"{}")</f>
        <v>{}</v>
      </c>
      <c r="S173" s="148">
        <f>IFERROR(__xludf.DUMMYFUNCTION("""COMPUTED_VALUE"""),0.0)</f>
        <v>0</v>
      </c>
      <c r="T173" s="148" t="str">
        <f>IFERROR(__xludf.DUMMYFUNCTION("""COMPUTED_VALUE"""),"[]")</f>
        <v>[]</v>
      </c>
      <c r="U173" s="148">
        <f>IFERROR(__xludf.DUMMYFUNCTION("""COMPUTED_VALUE"""),0.0)</f>
        <v>0</v>
      </c>
      <c r="V173" s="148" t="str">
        <f>IFERROR(__xludf.DUMMYFUNCTION("""COMPUTED_VALUE"""),"{}")</f>
        <v>{}</v>
      </c>
      <c r="W173" s="148" t="str">
        <f>IFERROR(__xludf.DUMMYFUNCTION("""COMPUTED_VALUE"""),"[]")</f>
        <v>[]</v>
      </c>
      <c r="X173" s="148" t="str">
        <f>IFERROR(__xludf.DUMMYFUNCTION("""COMPUTED_VALUE"""),"[{""typ"":""power"",""id"":12141002,""val"":4}]")</f>
        <v>[{"typ":"power","id":12141002,"val":4}]</v>
      </c>
      <c r="Y173" s="148" t="str">
        <f>IFERROR(__xludf.DUMMYFUNCTION("""COMPUTED_VALUE"""),"[{""typ"":""atk"",""val"":160},{""typ"":""def"",""val"":160},{""typ"":""hp"",""val"":160},{""typ"":""speed"",""val"":40},{""typ"":""load"",""val"":20},{""typ"":""backcoef"",""val"":0.5},{""typ"":""atkcoef"",""val"":1.0},{""typ"":""atkcd"",""val"":0}]")</f>
        <v>[{"typ":"atk","val":160},{"typ":"def","val":160},{"typ":"hp","val":160},{"typ":"speed","val":40},{"typ":"load","val":20},{"typ":"backcoef","val":0.5},{"typ":"atkcoef","val":1.0},{"typ":"atkcd","val":0}]</v>
      </c>
      <c r="Z173" s="148" t="str">
        <f>IFERROR(__xludf.DUMMYFUNCTION("""COMPUTED_VALUE"""),"[]")</f>
        <v>[]</v>
      </c>
    </row>
    <row r="174">
      <c r="A174" s="148">
        <f>IFERROR(__xludf.DUMMYFUNCTION("""COMPUTED_VALUE"""),1.1213025E7)</f>
        <v>11213025</v>
      </c>
      <c r="B174" s="148" t="str">
        <f>IFERROR(__xludf.DUMMYFUNCTION("""COMPUTED_VALUE"""),"大地图单位-kvk3-变异巨蟹白-T4")</f>
        <v>大地图单位-kvk3-变异巨蟹白-T4</v>
      </c>
      <c r="C174" s="148">
        <f>IFERROR(__xludf.DUMMYFUNCTION("""COMPUTED_VALUE"""),1.1221004E7)</f>
        <v>11221004</v>
      </c>
      <c r="D174" s="148">
        <f>IFERROR(__xludf.DUMMYFUNCTION("""COMPUTED_VALUE"""),1.5116427E7)</f>
        <v>15116427</v>
      </c>
      <c r="E174" s="148" t="str">
        <f>IFERROR(__xludf.DUMMYFUNCTION("""COMPUTED_VALUE"""),"{""typ"":""lc"",""txt"":""LC_NPC_kvk3_npc_boss_name""}")</f>
        <v>{"typ":"lc","txt":"LC_NPC_kvk3_npc_boss_name"}</v>
      </c>
      <c r="F174" s="148" t="str">
        <f>IFERROR(__xludf.DUMMYFUNCTION("""COMPUTED_VALUE"""),"{""typ"":""lc"",""txt"":""LC_NPC_kvk3_npc_boss_desc""}")</f>
        <v>{"typ":"lc","txt":"LC_NPC_kvk3_npc_boss_desc"}</v>
      </c>
      <c r="G174" s="148">
        <f>IFERROR(__xludf.DUMMYFUNCTION("""COMPUTED_VALUE"""),4.0)</f>
        <v>4</v>
      </c>
      <c r="H174" s="148">
        <f>IFERROR(__xludf.DUMMYFUNCTION("""COMPUTED_VALUE"""),10099.0)</f>
        <v>10099</v>
      </c>
      <c r="I174" s="148">
        <f>IFERROR(__xludf.DUMMYFUNCTION("""COMPUTED_VALUE"""),10099.0)</f>
        <v>10099</v>
      </c>
      <c r="J174" s="148">
        <f>IFERROR(__xludf.DUMMYFUNCTION("""COMPUTED_VALUE"""),0.0)</f>
        <v>0</v>
      </c>
      <c r="K174" s="148">
        <f>IFERROR(__xludf.DUMMYFUNCTION("""COMPUTED_VALUE"""),10.0)</f>
        <v>10</v>
      </c>
      <c r="L174" s="148">
        <f>IFERROR(__xludf.DUMMYFUNCTION("""COMPUTED_VALUE"""),99.0)</f>
        <v>99</v>
      </c>
      <c r="M174" s="148">
        <f>IFERROR(__xludf.DUMMYFUNCTION("""COMPUTED_VALUE"""),0.0)</f>
        <v>0</v>
      </c>
      <c r="N174" s="148" t="str">
        <f>IFERROR(__xludf.DUMMYFUNCTION("""COMPUTED_VALUE"""),"[]")</f>
        <v>[]</v>
      </c>
      <c r="O174" s="148" t="str">
        <f>IFERROR(__xludf.DUMMYFUNCTION("""COMPUTED_VALUE"""),"{}")</f>
        <v>{}</v>
      </c>
      <c r="P174" s="148">
        <f>IFERROR(__xludf.DUMMYFUNCTION("""COMPUTED_VALUE"""),0.0)</f>
        <v>0</v>
      </c>
      <c r="Q174" s="148" t="str">
        <f>IFERROR(__xludf.DUMMYFUNCTION("""COMPUTED_VALUE"""),"[]")</f>
        <v>[]</v>
      </c>
      <c r="R174" s="148" t="str">
        <f>IFERROR(__xludf.DUMMYFUNCTION("""COMPUTED_VALUE"""),"{}")</f>
        <v>{}</v>
      </c>
      <c r="S174" s="148">
        <f>IFERROR(__xludf.DUMMYFUNCTION("""COMPUTED_VALUE"""),0.0)</f>
        <v>0</v>
      </c>
      <c r="T174" s="148" t="str">
        <f>IFERROR(__xludf.DUMMYFUNCTION("""COMPUTED_VALUE"""),"[]")</f>
        <v>[]</v>
      </c>
      <c r="U174" s="148">
        <f>IFERROR(__xludf.DUMMYFUNCTION("""COMPUTED_VALUE"""),0.0)</f>
        <v>0</v>
      </c>
      <c r="V174" s="148" t="str">
        <f>IFERROR(__xludf.DUMMYFUNCTION("""COMPUTED_VALUE"""),"{}")</f>
        <v>{}</v>
      </c>
      <c r="W174" s="148" t="str">
        <f>IFERROR(__xludf.DUMMYFUNCTION("""COMPUTED_VALUE"""),"[]")</f>
        <v>[]</v>
      </c>
      <c r="X174" s="148" t="str">
        <f>IFERROR(__xludf.DUMMYFUNCTION("""COMPUTED_VALUE"""),"[{""typ"":""power"",""id"":12141002,""val"":6}]")</f>
        <v>[{"typ":"power","id":12141002,"val":6}]</v>
      </c>
      <c r="Y174" s="148" t="str">
        <f>IFERROR(__xludf.DUMMYFUNCTION("""COMPUTED_VALUE"""),"[{""typ"":""atk"",""val"":200},{""typ"":""def"",""val"":190},{""typ"":""hp"",""val"":180},{""typ"":""speed"",""val"":40},{""typ"":""load"",""val"":20},{""typ"":""backcoef"",""val"":0.5},{""typ"":""atkcoef"",""val"":1.0},{""typ"":""atkcd"",""val"":0}]")</f>
        <v>[{"typ":"atk","val":200},{"typ":"def","val":190},{"typ":"hp","val":180},{"typ":"speed","val":40},{"typ":"load","val":20},{"typ":"backcoef","val":0.5},{"typ":"atkcoef","val":1.0},{"typ":"atkcd","val":0}]</v>
      </c>
      <c r="Z174" s="148" t="str">
        <f>IFERROR(__xludf.DUMMYFUNCTION("""COMPUTED_VALUE"""),"[]")</f>
        <v>[]</v>
      </c>
    </row>
    <row r="175">
      <c r="A175" s="148">
        <f>IFERROR(__xludf.DUMMYFUNCTION("""COMPUTED_VALUE"""),1.1213026E7)</f>
        <v>11213026</v>
      </c>
      <c r="B175" s="148" t="str">
        <f>IFERROR(__xludf.DUMMYFUNCTION("""COMPUTED_VALUE"""),"大地图单位-kvk3-变异巨蟹绿-T5")</f>
        <v>大地图单位-kvk3-变异巨蟹绿-T5</v>
      </c>
      <c r="C175" s="148">
        <f>IFERROR(__xludf.DUMMYFUNCTION("""COMPUTED_VALUE"""),1.1221004E7)</f>
        <v>11221004</v>
      </c>
      <c r="D175" s="148">
        <f>IFERROR(__xludf.DUMMYFUNCTION("""COMPUTED_VALUE"""),1.5116428E7)</f>
        <v>15116428</v>
      </c>
      <c r="E175" s="148" t="str">
        <f>IFERROR(__xludf.DUMMYFUNCTION("""COMPUTED_VALUE"""),"{""typ"":""lc"",""txt"":""LC_NPC_kvk3_npc_boss_name""}")</f>
        <v>{"typ":"lc","txt":"LC_NPC_kvk3_npc_boss_name"}</v>
      </c>
      <c r="F175" s="148" t="str">
        <f>IFERROR(__xludf.DUMMYFUNCTION("""COMPUTED_VALUE"""),"{""typ"":""lc"",""txt"":""LC_NPC_kvk3_npc_boss_desc""}")</f>
        <v>{"typ":"lc","txt":"LC_NPC_kvk3_npc_boss_desc"}</v>
      </c>
      <c r="G175" s="148">
        <f>IFERROR(__xludf.DUMMYFUNCTION("""COMPUTED_VALUE"""),4.0)</f>
        <v>4</v>
      </c>
      <c r="H175" s="148">
        <f>IFERROR(__xludf.DUMMYFUNCTION("""COMPUTED_VALUE"""),10099.0)</f>
        <v>10099</v>
      </c>
      <c r="I175" s="148">
        <f>IFERROR(__xludf.DUMMYFUNCTION("""COMPUTED_VALUE"""),10099.0)</f>
        <v>10099</v>
      </c>
      <c r="J175" s="148">
        <f>IFERROR(__xludf.DUMMYFUNCTION("""COMPUTED_VALUE"""),0.0)</f>
        <v>0</v>
      </c>
      <c r="K175" s="148">
        <f>IFERROR(__xludf.DUMMYFUNCTION("""COMPUTED_VALUE"""),10.0)</f>
        <v>10</v>
      </c>
      <c r="L175" s="148">
        <f>IFERROR(__xludf.DUMMYFUNCTION("""COMPUTED_VALUE"""),99.0)</f>
        <v>99</v>
      </c>
      <c r="M175" s="148">
        <f>IFERROR(__xludf.DUMMYFUNCTION("""COMPUTED_VALUE"""),0.0)</f>
        <v>0</v>
      </c>
      <c r="N175" s="148" t="str">
        <f>IFERROR(__xludf.DUMMYFUNCTION("""COMPUTED_VALUE"""),"[]")</f>
        <v>[]</v>
      </c>
      <c r="O175" s="148" t="str">
        <f>IFERROR(__xludf.DUMMYFUNCTION("""COMPUTED_VALUE"""),"{}")</f>
        <v>{}</v>
      </c>
      <c r="P175" s="148">
        <f>IFERROR(__xludf.DUMMYFUNCTION("""COMPUTED_VALUE"""),0.0)</f>
        <v>0</v>
      </c>
      <c r="Q175" s="148" t="str">
        <f>IFERROR(__xludf.DUMMYFUNCTION("""COMPUTED_VALUE"""),"[]")</f>
        <v>[]</v>
      </c>
      <c r="R175" s="148" t="str">
        <f>IFERROR(__xludf.DUMMYFUNCTION("""COMPUTED_VALUE"""),"{}")</f>
        <v>{}</v>
      </c>
      <c r="S175" s="148">
        <f>IFERROR(__xludf.DUMMYFUNCTION("""COMPUTED_VALUE"""),0.0)</f>
        <v>0</v>
      </c>
      <c r="T175" s="148" t="str">
        <f>IFERROR(__xludf.DUMMYFUNCTION("""COMPUTED_VALUE"""),"[]")</f>
        <v>[]</v>
      </c>
      <c r="U175" s="148">
        <f>IFERROR(__xludf.DUMMYFUNCTION("""COMPUTED_VALUE"""),0.0)</f>
        <v>0</v>
      </c>
      <c r="V175" s="148" t="str">
        <f>IFERROR(__xludf.DUMMYFUNCTION("""COMPUTED_VALUE"""),"{}")</f>
        <v>{}</v>
      </c>
      <c r="W175" s="148" t="str">
        <f>IFERROR(__xludf.DUMMYFUNCTION("""COMPUTED_VALUE"""),"[]")</f>
        <v>[]</v>
      </c>
      <c r="X175" s="148" t="str">
        <f>IFERROR(__xludf.DUMMYFUNCTION("""COMPUTED_VALUE"""),"[{""typ"":""power"",""id"":12141002,""val"":10}]")</f>
        <v>[{"typ":"power","id":12141002,"val":10}]</v>
      </c>
      <c r="Y175" s="148" t="str">
        <f>IFERROR(__xludf.DUMMYFUNCTION("""COMPUTED_VALUE"""),"[{""typ"":""atk"",""val"":230},{""typ"":""def"",""val"":210},{""typ"":""hp"",""val"":210},{""typ"":""speed"",""val"":40},{""typ"":""load"",""val"":20},{""typ"":""backcoef"",""val"":0.5},{""typ"":""atkcoef"",""val"":1.0},{""typ"":""atkcd"",""val"":0}]")</f>
        <v>[{"typ":"atk","val":230},{"typ":"def","val":210},{"typ":"hp","val":210},{"typ":"speed","val":40},{"typ":"load","val":20},{"typ":"backcoef","val":0.5},{"typ":"atkcoef","val":1.0},{"typ":"atkcd","val":0}]</v>
      </c>
      <c r="Z175" s="148" t="str">
        <f>IFERROR(__xludf.DUMMYFUNCTION("""COMPUTED_VALUE"""),"[]")</f>
        <v>[]</v>
      </c>
    </row>
    <row r="176">
      <c r="A176" s="148">
        <f>IFERROR(__xludf.DUMMYFUNCTION("""COMPUTED_VALUE"""),1.1213027E7)</f>
        <v>11213027</v>
      </c>
      <c r="B176" s="148" t="str">
        <f>IFERROR(__xludf.DUMMYFUNCTION("""COMPUTED_VALUE"""),"大地图单位-kvk3-变异巨蟹橙-特殊怪-T3")</f>
        <v>大地图单位-kvk3-变异巨蟹橙-特殊怪-T3</v>
      </c>
      <c r="C176" s="148">
        <f>IFERROR(__xludf.DUMMYFUNCTION("""COMPUTED_VALUE"""),1.1221004E7)</f>
        <v>11221004</v>
      </c>
      <c r="D176" s="148">
        <f>IFERROR(__xludf.DUMMYFUNCTION("""COMPUTED_VALUE"""),1.5116431E7)</f>
        <v>15116431</v>
      </c>
      <c r="E176" s="148" t="str">
        <f>IFERROR(__xludf.DUMMYFUNCTION("""COMPUTED_VALUE"""),"{""typ"":""lc"",""txt"":""LC_NPC_kvk3_npc_boss_name""}")</f>
        <v>{"typ":"lc","txt":"LC_NPC_kvk3_npc_boss_name"}</v>
      </c>
      <c r="F176" s="148" t="str">
        <f>IFERROR(__xludf.DUMMYFUNCTION("""COMPUTED_VALUE"""),"{""typ"":""lc"",""txt"":""LC_NPC_kvk3_npc_boss_desc""}")</f>
        <v>{"typ":"lc","txt":"LC_NPC_kvk3_npc_boss_desc"}</v>
      </c>
      <c r="G176" s="148">
        <f>IFERROR(__xludf.DUMMYFUNCTION("""COMPUTED_VALUE"""),4.0)</f>
        <v>4</v>
      </c>
      <c r="H176" s="148">
        <f>IFERROR(__xludf.DUMMYFUNCTION("""COMPUTED_VALUE"""),10099.0)</f>
        <v>10099</v>
      </c>
      <c r="I176" s="148">
        <f>IFERROR(__xludf.DUMMYFUNCTION("""COMPUTED_VALUE"""),10099.0)</f>
        <v>10099</v>
      </c>
      <c r="J176" s="148">
        <f>IFERROR(__xludf.DUMMYFUNCTION("""COMPUTED_VALUE"""),0.0)</f>
        <v>0</v>
      </c>
      <c r="K176" s="148">
        <f>IFERROR(__xludf.DUMMYFUNCTION("""COMPUTED_VALUE"""),10.0)</f>
        <v>10</v>
      </c>
      <c r="L176" s="148">
        <f>IFERROR(__xludf.DUMMYFUNCTION("""COMPUTED_VALUE"""),99.0)</f>
        <v>99</v>
      </c>
      <c r="M176" s="148">
        <f>IFERROR(__xludf.DUMMYFUNCTION("""COMPUTED_VALUE"""),0.0)</f>
        <v>0</v>
      </c>
      <c r="N176" s="148" t="str">
        <f>IFERROR(__xludf.DUMMYFUNCTION("""COMPUTED_VALUE"""),"[]")</f>
        <v>[]</v>
      </c>
      <c r="O176" s="148" t="str">
        <f>IFERROR(__xludf.DUMMYFUNCTION("""COMPUTED_VALUE"""),"{}")</f>
        <v>{}</v>
      </c>
      <c r="P176" s="148">
        <f>IFERROR(__xludf.DUMMYFUNCTION("""COMPUTED_VALUE"""),0.0)</f>
        <v>0</v>
      </c>
      <c r="Q176" s="148" t="str">
        <f>IFERROR(__xludf.DUMMYFUNCTION("""COMPUTED_VALUE"""),"[]")</f>
        <v>[]</v>
      </c>
      <c r="R176" s="148" t="str">
        <f>IFERROR(__xludf.DUMMYFUNCTION("""COMPUTED_VALUE"""),"{}")</f>
        <v>{}</v>
      </c>
      <c r="S176" s="148">
        <f>IFERROR(__xludf.DUMMYFUNCTION("""COMPUTED_VALUE"""),0.0)</f>
        <v>0</v>
      </c>
      <c r="T176" s="148" t="str">
        <f>IFERROR(__xludf.DUMMYFUNCTION("""COMPUTED_VALUE"""),"[]")</f>
        <v>[]</v>
      </c>
      <c r="U176" s="148">
        <f>IFERROR(__xludf.DUMMYFUNCTION("""COMPUTED_VALUE"""),0.0)</f>
        <v>0</v>
      </c>
      <c r="V176" s="148" t="str">
        <f>IFERROR(__xludf.DUMMYFUNCTION("""COMPUTED_VALUE"""),"{}")</f>
        <v>{}</v>
      </c>
      <c r="W176" s="148" t="str">
        <f>IFERROR(__xludf.DUMMYFUNCTION("""COMPUTED_VALUE"""),"[]")</f>
        <v>[]</v>
      </c>
      <c r="X176" s="148" t="str">
        <f>IFERROR(__xludf.DUMMYFUNCTION("""COMPUTED_VALUE"""),"[{""typ"":""power"",""id"":12141002,""val"":4}]")</f>
        <v>[{"typ":"power","id":12141002,"val":4}]</v>
      </c>
      <c r="Y176" s="148" t="str">
        <f>IFERROR(__xludf.DUMMYFUNCTION("""COMPUTED_VALUE"""),"[{""typ"":""atk"",""val"":160},{""typ"":""def"",""val"":160},{""typ"":""hp"",""val"":160},{""typ"":""speed"",""val"":40},{""typ"":""load"",""val"":20},{""typ"":""backcoef"",""val"":0.5},{""typ"":""atkcoef"",""val"":1.0},{""typ"":""atkcd"",""val"":0}]")</f>
        <v>[{"typ":"atk","val":160},{"typ":"def","val":160},{"typ":"hp","val":160},{"typ":"speed","val":40},{"typ":"load","val":20},{"typ":"backcoef","val":0.5},{"typ":"atkcoef","val":1.0},{"typ":"atkcd","val":0}]</v>
      </c>
      <c r="Z176" s="148" t="str">
        <f>IFERROR(__xludf.DUMMYFUNCTION("""COMPUTED_VALUE"""),"[]")</f>
        <v>[]</v>
      </c>
    </row>
    <row r="177">
      <c r="A177" s="148">
        <f>IFERROR(__xludf.DUMMYFUNCTION("""COMPUTED_VALUE"""),1.1213028E7)</f>
        <v>11213028</v>
      </c>
      <c r="B177" s="148" t="str">
        <f>IFERROR(__xludf.DUMMYFUNCTION("""COMPUTED_VALUE"""),"大地图单位-kvk3中立建筑-T5")</f>
        <v>大地图单位-kvk3中立建筑-T5</v>
      </c>
      <c r="C177" s="148">
        <f>IFERROR(__xludf.DUMMYFUNCTION("""COMPUTED_VALUE"""),1.1221004E7)</f>
        <v>11221004</v>
      </c>
      <c r="D177" s="148">
        <f>IFERROR(__xludf.DUMMYFUNCTION("""COMPUTED_VALUE"""),1.5114812E7)</f>
        <v>15114812</v>
      </c>
      <c r="E177" s="148" t="str">
        <f>IFERROR(__xludf.DUMMYFUNCTION("""COMPUTED_VALUE"""),"{""typ"":""lc"",""txt"":""LC_NPC_npc_ruin_name_kvk""}")</f>
        <v>{"typ":"lc","txt":"LC_NPC_npc_ruin_name_kvk"}</v>
      </c>
      <c r="F177" s="148" t="str">
        <f>IFERROR(__xludf.DUMMYFUNCTION("""COMPUTED_VALUE"""),"{}")</f>
        <v>{}</v>
      </c>
      <c r="G177" s="148">
        <f>IFERROR(__xludf.DUMMYFUNCTION("""COMPUTED_VALUE"""),10.0)</f>
        <v>10</v>
      </c>
      <c r="H177" s="148">
        <f>IFERROR(__xludf.DUMMYFUNCTION("""COMPUTED_VALUE"""),10099.0)</f>
        <v>10099</v>
      </c>
      <c r="I177" s="148">
        <f>IFERROR(__xludf.DUMMYFUNCTION("""COMPUTED_VALUE"""),10099.0)</f>
        <v>10099</v>
      </c>
      <c r="J177" s="148">
        <f>IFERROR(__xludf.DUMMYFUNCTION("""COMPUTED_VALUE"""),0.0)</f>
        <v>0</v>
      </c>
      <c r="K177" s="148">
        <f>IFERROR(__xludf.DUMMYFUNCTION("""COMPUTED_VALUE"""),10.0)</f>
        <v>10</v>
      </c>
      <c r="L177" s="148">
        <f>IFERROR(__xludf.DUMMYFUNCTION("""COMPUTED_VALUE"""),99.0)</f>
        <v>99</v>
      </c>
      <c r="M177" s="148">
        <f>IFERROR(__xludf.DUMMYFUNCTION("""COMPUTED_VALUE"""),0.0)</f>
        <v>0</v>
      </c>
      <c r="N177" s="148" t="str">
        <f>IFERROR(__xludf.DUMMYFUNCTION("""COMPUTED_VALUE"""),"[]")</f>
        <v>[]</v>
      </c>
      <c r="O177" s="148" t="str">
        <f>IFERROR(__xludf.DUMMYFUNCTION("""COMPUTED_VALUE"""),"{}")</f>
        <v>{}</v>
      </c>
      <c r="P177" s="148">
        <f>IFERROR(__xludf.DUMMYFUNCTION("""COMPUTED_VALUE"""),0.0)</f>
        <v>0</v>
      </c>
      <c r="Q177" s="148" t="str">
        <f>IFERROR(__xludf.DUMMYFUNCTION("""COMPUTED_VALUE"""),"[]")</f>
        <v>[]</v>
      </c>
      <c r="R177" s="148" t="str">
        <f>IFERROR(__xludf.DUMMYFUNCTION("""COMPUTED_VALUE"""),"{}")</f>
        <v>{}</v>
      </c>
      <c r="S177" s="148">
        <f>IFERROR(__xludf.DUMMYFUNCTION("""COMPUTED_VALUE"""),0.0)</f>
        <v>0</v>
      </c>
      <c r="T177" s="148" t="str">
        <f>IFERROR(__xludf.DUMMYFUNCTION("""COMPUTED_VALUE"""),"[]")</f>
        <v>[]</v>
      </c>
      <c r="U177" s="148">
        <f>IFERROR(__xludf.DUMMYFUNCTION("""COMPUTED_VALUE"""),0.0)</f>
        <v>0</v>
      </c>
      <c r="V177" s="148" t="str">
        <f>IFERROR(__xludf.DUMMYFUNCTION("""COMPUTED_VALUE"""),"{}")</f>
        <v>{}</v>
      </c>
      <c r="W177" s="148" t="str">
        <f>IFERROR(__xludf.DUMMYFUNCTION("""COMPUTED_VALUE"""),"[]")</f>
        <v>[]</v>
      </c>
      <c r="X177" s="148" t="str">
        <f>IFERROR(__xludf.DUMMYFUNCTION("""COMPUTED_VALUE"""),"[{""typ"":""power"",""id"":12141002,""val"":10}]")</f>
        <v>[{"typ":"power","id":12141002,"val":10}]</v>
      </c>
      <c r="Y177" s="148" t="str">
        <f>IFERROR(__xludf.DUMMYFUNCTION("""COMPUTED_VALUE"""),"[{""typ"":""atk"",""val"":230},{""typ"":""def"",""val"":210},{""typ"":""hp"",""val"":210},{""typ"":""speed"",""val"":40},{""typ"":""load"",""val"":20},{""typ"":""backcoef"",""val"":0.5},{""typ"":""atkcoef"",""val"":1.0},{""typ"":""atkcd"",""val"":0}]")</f>
        <v>[{"typ":"atk","val":230},{"typ":"def","val":210},{"typ":"hp","val":210},{"typ":"speed","val":40},{"typ":"load","val":20},{"typ":"backcoef","val":0.5},{"typ":"atkcoef","val":1.0},{"typ":"atkcd","val":0}]</v>
      </c>
      <c r="Z177" s="148" t="str">
        <f>IFERROR(__xludf.DUMMYFUNCTION("""COMPUTED_VALUE"""),"[]")</f>
        <v>[]</v>
      </c>
    </row>
    <row r="178">
      <c r="A178" s="148">
        <f>IFERROR(__xludf.DUMMYFUNCTION("""COMPUTED_VALUE"""),1.1213029E7)</f>
        <v>11213029</v>
      </c>
      <c r="B178" s="148" t="str">
        <f>IFERROR(__xludf.DUMMYFUNCTION("""COMPUTED_VALUE"""),"大地图单位-kvk3-灯泡鱼绿-T3")</f>
        <v>大地图单位-kvk3-灯泡鱼绿-T3</v>
      </c>
      <c r="C178" s="148">
        <f>IFERROR(__xludf.DUMMYFUNCTION("""COMPUTED_VALUE"""),1.1221004E7)</f>
        <v>11221004</v>
      </c>
      <c r="D178" s="148">
        <f>IFERROR(__xludf.DUMMYFUNCTION("""COMPUTED_VALUE"""),1.5116423E7)</f>
        <v>15116423</v>
      </c>
      <c r="E178" s="148" t="str">
        <f>IFERROR(__xludf.DUMMYFUNCTION("""COMPUTED_VALUE"""),"{""typ"":""lc"",""txt"":""LC_NPC_kvk3_npc_reg_name""}")</f>
        <v>{"typ":"lc","txt":"LC_NPC_kvk3_npc_reg_name"}</v>
      </c>
      <c r="F178" s="148" t="str">
        <f>IFERROR(__xludf.DUMMYFUNCTION("""COMPUTED_VALUE"""),"{""typ"":""lc"",""txt"":""LC_NPC_kvk3_npc_reg_desc""}")</f>
        <v>{"typ":"lc","txt":"LC_NPC_kvk3_npc_reg_desc"}</v>
      </c>
      <c r="G178" s="148">
        <f>IFERROR(__xludf.DUMMYFUNCTION("""COMPUTED_VALUE"""),4.0)</f>
        <v>4</v>
      </c>
      <c r="H178" s="148">
        <f>IFERROR(__xludf.DUMMYFUNCTION("""COMPUTED_VALUE"""),10099.0)</f>
        <v>10099</v>
      </c>
      <c r="I178" s="148">
        <f>IFERROR(__xludf.DUMMYFUNCTION("""COMPUTED_VALUE"""),10099.0)</f>
        <v>10099</v>
      </c>
      <c r="J178" s="148">
        <f>IFERROR(__xludf.DUMMYFUNCTION("""COMPUTED_VALUE"""),0.0)</f>
        <v>0</v>
      </c>
      <c r="K178" s="148">
        <f>IFERROR(__xludf.DUMMYFUNCTION("""COMPUTED_VALUE"""),10.0)</f>
        <v>10</v>
      </c>
      <c r="L178" s="148">
        <f>IFERROR(__xludf.DUMMYFUNCTION("""COMPUTED_VALUE"""),99.0)</f>
        <v>99</v>
      </c>
      <c r="M178" s="148">
        <f>IFERROR(__xludf.DUMMYFUNCTION("""COMPUTED_VALUE"""),0.0)</f>
        <v>0</v>
      </c>
      <c r="N178" s="148" t="str">
        <f>IFERROR(__xludf.DUMMYFUNCTION("""COMPUTED_VALUE"""),"[]")</f>
        <v>[]</v>
      </c>
      <c r="O178" s="148" t="str">
        <f>IFERROR(__xludf.DUMMYFUNCTION("""COMPUTED_VALUE"""),"{}")</f>
        <v>{}</v>
      </c>
      <c r="P178" s="148">
        <f>IFERROR(__xludf.DUMMYFUNCTION("""COMPUTED_VALUE"""),0.0)</f>
        <v>0</v>
      </c>
      <c r="Q178" s="148" t="str">
        <f>IFERROR(__xludf.DUMMYFUNCTION("""COMPUTED_VALUE"""),"[]")</f>
        <v>[]</v>
      </c>
      <c r="R178" s="148" t="str">
        <f>IFERROR(__xludf.DUMMYFUNCTION("""COMPUTED_VALUE"""),"{}")</f>
        <v>{}</v>
      </c>
      <c r="S178" s="148">
        <f>IFERROR(__xludf.DUMMYFUNCTION("""COMPUTED_VALUE"""),0.0)</f>
        <v>0</v>
      </c>
      <c r="T178" s="148" t="str">
        <f>IFERROR(__xludf.DUMMYFUNCTION("""COMPUTED_VALUE"""),"[]")</f>
        <v>[]</v>
      </c>
      <c r="U178" s="148">
        <f>IFERROR(__xludf.DUMMYFUNCTION("""COMPUTED_VALUE"""),0.0)</f>
        <v>0</v>
      </c>
      <c r="V178" s="148" t="str">
        <f>IFERROR(__xludf.DUMMYFUNCTION("""COMPUTED_VALUE"""),"{}")</f>
        <v>{}</v>
      </c>
      <c r="W178" s="148" t="str">
        <f>IFERROR(__xludf.DUMMYFUNCTION("""COMPUTED_VALUE"""),"[]")</f>
        <v>[]</v>
      </c>
      <c r="X178" s="148" t="str">
        <f>IFERROR(__xludf.DUMMYFUNCTION("""COMPUTED_VALUE"""),"[{""typ"":""power"",""id"":12141002,""val"":4}]")</f>
        <v>[{"typ":"power","id":12141002,"val":4}]</v>
      </c>
      <c r="Y178" s="148" t="str">
        <f>IFERROR(__xludf.DUMMYFUNCTION("""COMPUTED_VALUE"""),"[{""typ"":""atk"",""val"":160},{""typ"":""def"",""val"":160},{""typ"":""hp"",""val"":160},{""typ"":""speed"",""val"":40},{""typ"":""load"",""val"":20},{""typ"":""backcoef"",""val"":0.5},{""typ"":""atkcoef"",""val"":1.0},{""typ"":""atkcd"",""val"":0}]")</f>
        <v>[{"typ":"atk","val":160},{"typ":"def","val":160},{"typ":"hp","val":160},{"typ":"speed","val":40},{"typ":"load","val":20},{"typ":"backcoef","val":0.5},{"typ":"atkcoef","val":1.0},{"typ":"atkcd","val":0}]</v>
      </c>
      <c r="Z178" s="148" t="str">
        <f>IFERROR(__xludf.DUMMYFUNCTION("""COMPUTED_VALUE"""),"[]")</f>
        <v>[]</v>
      </c>
    </row>
    <row r="179">
      <c r="A179" s="148">
        <f>IFERROR(__xludf.DUMMYFUNCTION("""COMPUTED_VALUE"""),1.121303E7)</f>
        <v>11213030</v>
      </c>
      <c r="B179" s="148" t="str">
        <f>IFERROR(__xludf.DUMMYFUNCTION("""COMPUTED_VALUE"""),"大地图单位-kvk3-灯泡鱼蓝-T3")</f>
        <v>大地图单位-kvk3-灯泡鱼蓝-T3</v>
      </c>
      <c r="C179" s="148">
        <f>IFERROR(__xludf.DUMMYFUNCTION("""COMPUTED_VALUE"""),1.1221004E7)</f>
        <v>11221004</v>
      </c>
      <c r="D179" s="148">
        <f>IFERROR(__xludf.DUMMYFUNCTION("""COMPUTED_VALUE"""),1.5116424E7)</f>
        <v>15116424</v>
      </c>
      <c r="E179" s="148" t="str">
        <f>IFERROR(__xludf.DUMMYFUNCTION("""COMPUTED_VALUE"""),"{""typ"":""lc"",""txt"":""LC_NPC_kvk3_npc_reg_name""}")</f>
        <v>{"typ":"lc","txt":"LC_NPC_kvk3_npc_reg_name"}</v>
      </c>
      <c r="F179" s="148" t="str">
        <f>IFERROR(__xludf.DUMMYFUNCTION("""COMPUTED_VALUE"""),"{""typ"":""lc"",""txt"":""LC_NPC_kvk3_npc_reg_desc""}")</f>
        <v>{"typ":"lc","txt":"LC_NPC_kvk3_npc_reg_desc"}</v>
      </c>
      <c r="G179" s="148">
        <f>IFERROR(__xludf.DUMMYFUNCTION("""COMPUTED_VALUE"""),4.0)</f>
        <v>4</v>
      </c>
      <c r="H179" s="148">
        <f>IFERROR(__xludf.DUMMYFUNCTION("""COMPUTED_VALUE"""),10099.0)</f>
        <v>10099</v>
      </c>
      <c r="I179" s="148">
        <f>IFERROR(__xludf.DUMMYFUNCTION("""COMPUTED_VALUE"""),10099.0)</f>
        <v>10099</v>
      </c>
      <c r="J179" s="148">
        <f>IFERROR(__xludf.DUMMYFUNCTION("""COMPUTED_VALUE"""),0.0)</f>
        <v>0</v>
      </c>
      <c r="K179" s="148">
        <f>IFERROR(__xludf.DUMMYFUNCTION("""COMPUTED_VALUE"""),10.0)</f>
        <v>10</v>
      </c>
      <c r="L179" s="148">
        <f>IFERROR(__xludf.DUMMYFUNCTION("""COMPUTED_VALUE"""),99.0)</f>
        <v>99</v>
      </c>
      <c r="M179" s="148">
        <f>IFERROR(__xludf.DUMMYFUNCTION("""COMPUTED_VALUE"""),0.0)</f>
        <v>0</v>
      </c>
      <c r="N179" s="148" t="str">
        <f>IFERROR(__xludf.DUMMYFUNCTION("""COMPUTED_VALUE"""),"[]")</f>
        <v>[]</v>
      </c>
      <c r="O179" s="148" t="str">
        <f>IFERROR(__xludf.DUMMYFUNCTION("""COMPUTED_VALUE"""),"{}")</f>
        <v>{}</v>
      </c>
      <c r="P179" s="148">
        <f>IFERROR(__xludf.DUMMYFUNCTION("""COMPUTED_VALUE"""),0.0)</f>
        <v>0</v>
      </c>
      <c r="Q179" s="148" t="str">
        <f>IFERROR(__xludf.DUMMYFUNCTION("""COMPUTED_VALUE"""),"[]")</f>
        <v>[]</v>
      </c>
      <c r="R179" s="148" t="str">
        <f>IFERROR(__xludf.DUMMYFUNCTION("""COMPUTED_VALUE"""),"{}")</f>
        <v>{}</v>
      </c>
      <c r="S179" s="148">
        <f>IFERROR(__xludf.DUMMYFUNCTION("""COMPUTED_VALUE"""),0.0)</f>
        <v>0</v>
      </c>
      <c r="T179" s="148" t="str">
        <f>IFERROR(__xludf.DUMMYFUNCTION("""COMPUTED_VALUE"""),"[]")</f>
        <v>[]</v>
      </c>
      <c r="U179" s="148">
        <f>IFERROR(__xludf.DUMMYFUNCTION("""COMPUTED_VALUE"""),0.0)</f>
        <v>0</v>
      </c>
      <c r="V179" s="148" t="str">
        <f>IFERROR(__xludf.DUMMYFUNCTION("""COMPUTED_VALUE"""),"{}")</f>
        <v>{}</v>
      </c>
      <c r="W179" s="148" t="str">
        <f>IFERROR(__xludf.DUMMYFUNCTION("""COMPUTED_VALUE"""),"[]")</f>
        <v>[]</v>
      </c>
      <c r="X179" s="148" t="str">
        <f>IFERROR(__xludf.DUMMYFUNCTION("""COMPUTED_VALUE"""),"[{""typ"":""power"",""id"":12141002,""val"":4}]")</f>
        <v>[{"typ":"power","id":12141002,"val":4}]</v>
      </c>
      <c r="Y179" s="148" t="str">
        <f>IFERROR(__xludf.DUMMYFUNCTION("""COMPUTED_VALUE"""),"[{""typ"":""atk"",""val"":160},{""typ"":""def"",""val"":160},{""typ"":""hp"",""val"":160},{""typ"":""speed"",""val"":40},{""typ"":""load"",""val"":20},{""typ"":""backcoef"",""val"":0.5},{""typ"":""atkcoef"",""val"":1.0},{""typ"":""atkcd"",""val"":0}]")</f>
        <v>[{"typ":"atk","val":160},{"typ":"def","val":160},{"typ":"hp","val":160},{"typ":"speed","val":40},{"typ":"load","val":20},{"typ":"backcoef","val":0.5},{"typ":"atkcoef","val":1.0},{"typ":"atkcd","val":0}]</v>
      </c>
      <c r="Z179" s="148" t="str">
        <f>IFERROR(__xludf.DUMMYFUNCTION("""COMPUTED_VALUE"""),"[]")</f>
        <v>[]</v>
      </c>
    </row>
    <row r="180">
      <c r="A180" s="148">
        <f>IFERROR(__xludf.DUMMYFUNCTION("""COMPUTED_VALUE"""),1.1213031E7)</f>
        <v>11213031</v>
      </c>
      <c r="B180" s="148" t="str">
        <f>IFERROR(__xludf.DUMMYFUNCTION("""COMPUTED_VALUE"""),"大地图单位-kvk3-灯泡鱼紫-T3")</f>
        <v>大地图单位-kvk3-灯泡鱼紫-T3</v>
      </c>
      <c r="C180" s="148">
        <f>IFERROR(__xludf.DUMMYFUNCTION("""COMPUTED_VALUE"""),1.1221004E7)</f>
        <v>11221004</v>
      </c>
      <c r="D180" s="148">
        <f>IFERROR(__xludf.DUMMYFUNCTION("""COMPUTED_VALUE"""),1.5116425E7)</f>
        <v>15116425</v>
      </c>
      <c r="E180" s="148" t="str">
        <f>IFERROR(__xludf.DUMMYFUNCTION("""COMPUTED_VALUE"""),"{""typ"":""lc"",""txt"":""LC_NPC_kvk3_npc_reg_name""}")</f>
        <v>{"typ":"lc","txt":"LC_NPC_kvk3_npc_reg_name"}</v>
      </c>
      <c r="F180" s="148" t="str">
        <f>IFERROR(__xludf.DUMMYFUNCTION("""COMPUTED_VALUE"""),"{""typ"":""lc"",""txt"":""LC_NPC_kvk3_npc_reg_desc""}")</f>
        <v>{"typ":"lc","txt":"LC_NPC_kvk3_npc_reg_desc"}</v>
      </c>
      <c r="G180" s="148">
        <f>IFERROR(__xludf.DUMMYFUNCTION("""COMPUTED_VALUE"""),4.0)</f>
        <v>4</v>
      </c>
      <c r="H180" s="148">
        <f>IFERROR(__xludf.DUMMYFUNCTION("""COMPUTED_VALUE"""),10099.0)</f>
        <v>10099</v>
      </c>
      <c r="I180" s="148">
        <f>IFERROR(__xludf.DUMMYFUNCTION("""COMPUTED_VALUE"""),10099.0)</f>
        <v>10099</v>
      </c>
      <c r="J180" s="148">
        <f>IFERROR(__xludf.DUMMYFUNCTION("""COMPUTED_VALUE"""),0.0)</f>
        <v>0</v>
      </c>
      <c r="K180" s="148">
        <f>IFERROR(__xludf.DUMMYFUNCTION("""COMPUTED_VALUE"""),10.0)</f>
        <v>10</v>
      </c>
      <c r="L180" s="148">
        <f>IFERROR(__xludf.DUMMYFUNCTION("""COMPUTED_VALUE"""),99.0)</f>
        <v>99</v>
      </c>
      <c r="M180" s="148">
        <f>IFERROR(__xludf.DUMMYFUNCTION("""COMPUTED_VALUE"""),0.0)</f>
        <v>0</v>
      </c>
      <c r="N180" s="148" t="str">
        <f>IFERROR(__xludf.DUMMYFUNCTION("""COMPUTED_VALUE"""),"[]")</f>
        <v>[]</v>
      </c>
      <c r="O180" s="148" t="str">
        <f>IFERROR(__xludf.DUMMYFUNCTION("""COMPUTED_VALUE"""),"{}")</f>
        <v>{}</v>
      </c>
      <c r="P180" s="148">
        <f>IFERROR(__xludf.DUMMYFUNCTION("""COMPUTED_VALUE"""),0.0)</f>
        <v>0</v>
      </c>
      <c r="Q180" s="148" t="str">
        <f>IFERROR(__xludf.DUMMYFUNCTION("""COMPUTED_VALUE"""),"[]")</f>
        <v>[]</v>
      </c>
      <c r="R180" s="148" t="str">
        <f>IFERROR(__xludf.DUMMYFUNCTION("""COMPUTED_VALUE"""),"{}")</f>
        <v>{}</v>
      </c>
      <c r="S180" s="148">
        <f>IFERROR(__xludf.DUMMYFUNCTION("""COMPUTED_VALUE"""),0.0)</f>
        <v>0</v>
      </c>
      <c r="T180" s="148" t="str">
        <f>IFERROR(__xludf.DUMMYFUNCTION("""COMPUTED_VALUE"""),"[]")</f>
        <v>[]</v>
      </c>
      <c r="U180" s="148">
        <f>IFERROR(__xludf.DUMMYFUNCTION("""COMPUTED_VALUE"""),0.0)</f>
        <v>0</v>
      </c>
      <c r="V180" s="148" t="str">
        <f>IFERROR(__xludf.DUMMYFUNCTION("""COMPUTED_VALUE"""),"{}")</f>
        <v>{}</v>
      </c>
      <c r="W180" s="148" t="str">
        <f>IFERROR(__xludf.DUMMYFUNCTION("""COMPUTED_VALUE"""),"[]")</f>
        <v>[]</v>
      </c>
      <c r="X180" s="148" t="str">
        <f>IFERROR(__xludf.DUMMYFUNCTION("""COMPUTED_VALUE"""),"[{""typ"":""power"",""id"":12141002,""val"":4}]")</f>
        <v>[{"typ":"power","id":12141002,"val":4}]</v>
      </c>
      <c r="Y180" s="148" t="str">
        <f>IFERROR(__xludf.DUMMYFUNCTION("""COMPUTED_VALUE"""),"[{""typ"":""atk"",""val"":160},{""typ"":""def"",""val"":160},{""typ"":""hp"",""val"":160},{""typ"":""speed"",""val"":40},{""typ"":""load"",""val"":20},{""typ"":""backcoef"",""val"":0.5},{""typ"":""atkcoef"",""val"":1.0},{""typ"":""atkcd"",""val"":0}]")</f>
        <v>[{"typ":"atk","val":160},{"typ":"def","val":160},{"typ":"hp","val":160},{"typ":"speed","val":40},{"typ":"load","val":20},{"typ":"backcoef","val":0.5},{"typ":"atkcoef","val":1.0},{"typ":"atkcd","val":0}]</v>
      </c>
      <c r="Z180" s="148" t="str">
        <f>IFERROR(__xludf.DUMMYFUNCTION("""COMPUTED_VALUE"""),"[]")</f>
        <v>[]</v>
      </c>
    </row>
    <row r="181">
      <c r="A181" s="148">
        <f>IFERROR(__xludf.DUMMYFUNCTION("""COMPUTED_VALUE"""),1.1213032E7)</f>
        <v>11213032</v>
      </c>
      <c r="B181" s="148" t="str">
        <f>IFERROR(__xludf.DUMMYFUNCTION("""COMPUTED_VALUE"""),"大地图单位-kvk3-灯泡鱼橙-T3")</f>
        <v>大地图单位-kvk3-灯泡鱼橙-T3</v>
      </c>
      <c r="C181" s="148">
        <f>IFERROR(__xludf.DUMMYFUNCTION("""COMPUTED_VALUE"""),1.1221004E7)</f>
        <v>11221004</v>
      </c>
      <c r="D181" s="148">
        <f>IFERROR(__xludf.DUMMYFUNCTION("""COMPUTED_VALUE"""),1.5116426E7)</f>
        <v>15116426</v>
      </c>
      <c r="E181" s="148" t="str">
        <f>IFERROR(__xludf.DUMMYFUNCTION("""COMPUTED_VALUE"""),"{""typ"":""lc"",""txt"":""LC_NPC_kvk3_npc_reg_name""}")</f>
        <v>{"typ":"lc","txt":"LC_NPC_kvk3_npc_reg_name"}</v>
      </c>
      <c r="F181" s="148" t="str">
        <f>IFERROR(__xludf.DUMMYFUNCTION("""COMPUTED_VALUE"""),"{""typ"":""lc"",""txt"":""LC_NPC_kvk3_npc_reg_desc""}")</f>
        <v>{"typ":"lc","txt":"LC_NPC_kvk3_npc_reg_desc"}</v>
      </c>
      <c r="G181" s="148">
        <f>IFERROR(__xludf.DUMMYFUNCTION("""COMPUTED_VALUE"""),4.0)</f>
        <v>4</v>
      </c>
      <c r="H181" s="148">
        <f>IFERROR(__xludf.DUMMYFUNCTION("""COMPUTED_VALUE"""),10099.0)</f>
        <v>10099</v>
      </c>
      <c r="I181" s="148">
        <f>IFERROR(__xludf.DUMMYFUNCTION("""COMPUTED_VALUE"""),10099.0)</f>
        <v>10099</v>
      </c>
      <c r="J181" s="148">
        <f>IFERROR(__xludf.DUMMYFUNCTION("""COMPUTED_VALUE"""),0.0)</f>
        <v>0</v>
      </c>
      <c r="K181" s="148">
        <f>IFERROR(__xludf.DUMMYFUNCTION("""COMPUTED_VALUE"""),10.0)</f>
        <v>10</v>
      </c>
      <c r="L181" s="148">
        <f>IFERROR(__xludf.DUMMYFUNCTION("""COMPUTED_VALUE"""),99.0)</f>
        <v>99</v>
      </c>
      <c r="M181" s="148">
        <f>IFERROR(__xludf.DUMMYFUNCTION("""COMPUTED_VALUE"""),0.0)</f>
        <v>0</v>
      </c>
      <c r="N181" s="148" t="str">
        <f>IFERROR(__xludf.DUMMYFUNCTION("""COMPUTED_VALUE"""),"[]")</f>
        <v>[]</v>
      </c>
      <c r="O181" s="148" t="str">
        <f>IFERROR(__xludf.DUMMYFUNCTION("""COMPUTED_VALUE"""),"{}")</f>
        <v>{}</v>
      </c>
      <c r="P181" s="148">
        <f>IFERROR(__xludf.DUMMYFUNCTION("""COMPUTED_VALUE"""),0.0)</f>
        <v>0</v>
      </c>
      <c r="Q181" s="148" t="str">
        <f>IFERROR(__xludf.DUMMYFUNCTION("""COMPUTED_VALUE"""),"[]")</f>
        <v>[]</v>
      </c>
      <c r="R181" s="148" t="str">
        <f>IFERROR(__xludf.DUMMYFUNCTION("""COMPUTED_VALUE"""),"{}")</f>
        <v>{}</v>
      </c>
      <c r="S181" s="148">
        <f>IFERROR(__xludf.DUMMYFUNCTION("""COMPUTED_VALUE"""),0.0)</f>
        <v>0</v>
      </c>
      <c r="T181" s="148" t="str">
        <f>IFERROR(__xludf.DUMMYFUNCTION("""COMPUTED_VALUE"""),"[]")</f>
        <v>[]</v>
      </c>
      <c r="U181" s="148">
        <f>IFERROR(__xludf.DUMMYFUNCTION("""COMPUTED_VALUE"""),0.0)</f>
        <v>0</v>
      </c>
      <c r="V181" s="148" t="str">
        <f>IFERROR(__xludf.DUMMYFUNCTION("""COMPUTED_VALUE"""),"{}")</f>
        <v>{}</v>
      </c>
      <c r="W181" s="148" t="str">
        <f>IFERROR(__xludf.DUMMYFUNCTION("""COMPUTED_VALUE"""),"[]")</f>
        <v>[]</v>
      </c>
      <c r="X181" s="148" t="str">
        <f>IFERROR(__xludf.DUMMYFUNCTION("""COMPUTED_VALUE"""),"[{""typ"":""power"",""id"":12141002,""val"":4}]")</f>
        <v>[{"typ":"power","id":12141002,"val":4}]</v>
      </c>
      <c r="Y181" s="148" t="str">
        <f>IFERROR(__xludf.DUMMYFUNCTION("""COMPUTED_VALUE"""),"[{""typ"":""atk"",""val"":160},{""typ"":""def"",""val"":160},{""typ"":""hp"",""val"":160},{""typ"":""speed"",""val"":40},{""typ"":""load"",""val"":20},{""typ"":""backcoef"",""val"":0.5},{""typ"":""atkcoef"",""val"":1.0},{""typ"":""atkcd"",""val"":0}]")</f>
        <v>[{"typ":"atk","val":160},{"typ":"def","val":160},{"typ":"hp","val":160},{"typ":"speed","val":40},{"typ":"load","val":20},{"typ":"backcoef","val":0.5},{"typ":"atkcoef","val":1.0},{"typ":"atkcd","val":0}]</v>
      </c>
      <c r="Z181" s="148" t="str">
        <f>IFERROR(__xludf.DUMMYFUNCTION("""COMPUTED_VALUE"""),"[]")</f>
        <v>[]</v>
      </c>
    </row>
    <row r="182">
      <c r="A182" s="148">
        <f>IFERROR(__xludf.DUMMYFUNCTION("""COMPUTED_VALUE"""),1.1213033E7)</f>
        <v>11213033</v>
      </c>
      <c r="B182" s="148" t="str">
        <f>IFERROR(__xludf.DUMMYFUNCTION("""COMPUTED_VALUE"""),"大地图单位-kvk3-变异巨蟹蓝-T5")</f>
        <v>大地图单位-kvk3-变异巨蟹蓝-T5</v>
      </c>
      <c r="C182" s="148">
        <f>IFERROR(__xludf.DUMMYFUNCTION("""COMPUTED_VALUE"""),1.1221004E7)</f>
        <v>11221004</v>
      </c>
      <c r="D182" s="148">
        <f>IFERROR(__xludf.DUMMYFUNCTION("""COMPUTED_VALUE"""),1.5116429E7)</f>
        <v>15116429</v>
      </c>
      <c r="E182" s="148" t="str">
        <f>IFERROR(__xludf.DUMMYFUNCTION("""COMPUTED_VALUE"""),"{""typ"":""lc"",""txt"":""LC_NPC_kvk3_npc_boss_name""}")</f>
        <v>{"typ":"lc","txt":"LC_NPC_kvk3_npc_boss_name"}</v>
      </c>
      <c r="F182" s="148" t="str">
        <f>IFERROR(__xludf.DUMMYFUNCTION("""COMPUTED_VALUE"""),"{""typ"":""lc"",""txt"":""LC_NPC_kvk3_npc_boss_desc""}")</f>
        <v>{"typ":"lc","txt":"LC_NPC_kvk3_npc_boss_desc"}</v>
      </c>
      <c r="G182" s="148">
        <f>IFERROR(__xludf.DUMMYFUNCTION("""COMPUTED_VALUE"""),4.0)</f>
        <v>4</v>
      </c>
      <c r="H182" s="148">
        <f>IFERROR(__xludf.DUMMYFUNCTION("""COMPUTED_VALUE"""),10099.0)</f>
        <v>10099</v>
      </c>
      <c r="I182" s="148">
        <f>IFERROR(__xludf.DUMMYFUNCTION("""COMPUTED_VALUE"""),10099.0)</f>
        <v>10099</v>
      </c>
      <c r="J182" s="148">
        <f>IFERROR(__xludf.DUMMYFUNCTION("""COMPUTED_VALUE"""),0.0)</f>
        <v>0</v>
      </c>
      <c r="K182" s="148">
        <f>IFERROR(__xludf.DUMMYFUNCTION("""COMPUTED_VALUE"""),10.0)</f>
        <v>10</v>
      </c>
      <c r="L182" s="148">
        <f>IFERROR(__xludf.DUMMYFUNCTION("""COMPUTED_VALUE"""),99.0)</f>
        <v>99</v>
      </c>
      <c r="M182" s="148">
        <f>IFERROR(__xludf.DUMMYFUNCTION("""COMPUTED_VALUE"""),0.0)</f>
        <v>0</v>
      </c>
      <c r="N182" s="148" t="str">
        <f>IFERROR(__xludf.DUMMYFUNCTION("""COMPUTED_VALUE"""),"[]")</f>
        <v>[]</v>
      </c>
      <c r="O182" s="148" t="str">
        <f>IFERROR(__xludf.DUMMYFUNCTION("""COMPUTED_VALUE"""),"{}")</f>
        <v>{}</v>
      </c>
      <c r="P182" s="148">
        <f>IFERROR(__xludf.DUMMYFUNCTION("""COMPUTED_VALUE"""),0.0)</f>
        <v>0</v>
      </c>
      <c r="Q182" s="148" t="str">
        <f>IFERROR(__xludf.DUMMYFUNCTION("""COMPUTED_VALUE"""),"[]")</f>
        <v>[]</v>
      </c>
      <c r="R182" s="148" t="str">
        <f>IFERROR(__xludf.DUMMYFUNCTION("""COMPUTED_VALUE"""),"{}")</f>
        <v>{}</v>
      </c>
      <c r="S182" s="148">
        <f>IFERROR(__xludf.DUMMYFUNCTION("""COMPUTED_VALUE"""),0.0)</f>
        <v>0</v>
      </c>
      <c r="T182" s="148" t="str">
        <f>IFERROR(__xludf.DUMMYFUNCTION("""COMPUTED_VALUE"""),"[]")</f>
        <v>[]</v>
      </c>
      <c r="U182" s="148">
        <f>IFERROR(__xludf.DUMMYFUNCTION("""COMPUTED_VALUE"""),0.0)</f>
        <v>0</v>
      </c>
      <c r="V182" s="148" t="str">
        <f>IFERROR(__xludf.DUMMYFUNCTION("""COMPUTED_VALUE"""),"{}")</f>
        <v>{}</v>
      </c>
      <c r="W182" s="148" t="str">
        <f>IFERROR(__xludf.DUMMYFUNCTION("""COMPUTED_VALUE"""),"[]")</f>
        <v>[]</v>
      </c>
      <c r="X182" s="148" t="str">
        <f>IFERROR(__xludf.DUMMYFUNCTION("""COMPUTED_VALUE"""),"[{""typ"":""power"",""id"":12141002,""val"":10}]")</f>
        <v>[{"typ":"power","id":12141002,"val":10}]</v>
      </c>
      <c r="Y182" s="148" t="str">
        <f>IFERROR(__xludf.DUMMYFUNCTION("""COMPUTED_VALUE"""),"[{""typ"":""atk"",""val"":230},{""typ"":""def"",""val"":210},{""typ"":""hp"",""val"":210},{""typ"":""speed"",""val"":40},{""typ"":""load"",""val"":20},{""typ"":""backcoef"",""val"":0.5},{""typ"":""atkcoef"",""val"":1.0},{""typ"":""atkcd"",""val"":0}]")</f>
        <v>[{"typ":"atk","val":230},{"typ":"def","val":210},{"typ":"hp","val":210},{"typ":"speed","val":40},{"typ":"load","val":20},{"typ":"backcoef","val":0.5},{"typ":"atkcoef","val":1.0},{"typ":"atkcd","val":0}]</v>
      </c>
      <c r="Z182" s="148" t="str">
        <f>IFERROR(__xludf.DUMMYFUNCTION("""COMPUTED_VALUE"""),"[]")</f>
        <v>[]</v>
      </c>
    </row>
    <row r="183">
      <c r="A183" s="148">
        <f>IFERROR(__xludf.DUMMYFUNCTION("""COMPUTED_VALUE"""),1.1213034E7)</f>
        <v>11213034</v>
      </c>
      <c r="B183" s="148" t="str">
        <f>IFERROR(__xludf.DUMMYFUNCTION("""COMPUTED_VALUE"""),"大地图单位-kvk3-变异巨蟹紫-T5")</f>
        <v>大地图单位-kvk3-变异巨蟹紫-T5</v>
      </c>
      <c r="C183" s="148">
        <f>IFERROR(__xludf.DUMMYFUNCTION("""COMPUTED_VALUE"""),1.1221004E7)</f>
        <v>11221004</v>
      </c>
      <c r="D183" s="148">
        <f>IFERROR(__xludf.DUMMYFUNCTION("""COMPUTED_VALUE"""),1.511643E7)</f>
        <v>15116430</v>
      </c>
      <c r="E183" s="148" t="str">
        <f>IFERROR(__xludf.DUMMYFUNCTION("""COMPUTED_VALUE"""),"{""typ"":""lc"",""txt"":""LC_NPC_kvk3_npc_boss_name""}")</f>
        <v>{"typ":"lc","txt":"LC_NPC_kvk3_npc_boss_name"}</v>
      </c>
      <c r="F183" s="148" t="str">
        <f>IFERROR(__xludf.DUMMYFUNCTION("""COMPUTED_VALUE"""),"{""typ"":""lc"",""txt"":""LC_NPC_kvk3_npc_boss_desc""}")</f>
        <v>{"typ":"lc","txt":"LC_NPC_kvk3_npc_boss_desc"}</v>
      </c>
      <c r="G183" s="148">
        <f>IFERROR(__xludf.DUMMYFUNCTION("""COMPUTED_VALUE"""),4.0)</f>
        <v>4</v>
      </c>
      <c r="H183" s="148">
        <f>IFERROR(__xludf.DUMMYFUNCTION("""COMPUTED_VALUE"""),10099.0)</f>
        <v>10099</v>
      </c>
      <c r="I183" s="148">
        <f>IFERROR(__xludf.DUMMYFUNCTION("""COMPUTED_VALUE"""),10099.0)</f>
        <v>10099</v>
      </c>
      <c r="J183" s="148">
        <f>IFERROR(__xludf.DUMMYFUNCTION("""COMPUTED_VALUE"""),0.0)</f>
        <v>0</v>
      </c>
      <c r="K183" s="148">
        <f>IFERROR(__xludf.DUMMYFUNCTION("""COMPUTED_VALUE"""),10.0)</f>
        <v>10</v>
      </c>
      <c r="L183" s="148">
        <f>IFERROR(__xludf.DUMMYFUNCTION("""COMPUTED_VALUE"""),99.0)</f>
        <v>99</v>
      </c>
      <c r="M183" s="148">
        <f>IFERROR(__xludf.DUMMYFUNCTION("""COMPUTED_VALUE"""),0.0)</f>
        <v>0</v>
      </c>
      <c r="N183" s="148" t="str">
        <f>IFERROR(__xludf.DUMMYFUNCTION("""COMPUTED_VALUE"""),"[]")</f>
        <v>[]</v>
      </c>
      <c r="O183" s="148" t="str">
        <f>IFERROR(__xludf.DUMMYFUNCTION("""COMPUTED_VALUE"""),"{}")</f>
        <v>{}</v>
      </c>
      <c r="P183" s="148">
        <f>IFERROR(__xludf.DUMMYFUNCTION("""COMPUTED_VALUE"""),0.0)</f>
        <v>0</v>
      </c>
      <c r="Q183" s="148" t="str">
        <f>IFERROR(__xludf.DUMMYFUNCTION("""COMPUTED_VALUE"""),"[]")</f>
        <v>[]</v>
      </c>
      <c r="R183" s="148" t="str">
        <f>IFERROR(__xludf.DUMMYFUNCTION("""COMPUTED_VALUE"""),"{}")</f>
        <v>{}</v>
      </c>
      <c r="S183" s="148">
        <f>IFERROR(__xludf.DUMMYFUNCTION("""COMPUTED_VALUE"""),0.0)</f>
        <v>0</v>
      </c>
      <c r="T183" s="148" t="str">
        <f>IFERROR(__xludf.DUMMYFUNCTION("""COMPUTED_VALUE"""),"[]")</f>
        <v>[]</v>
      </c>
      <c r="U183" s="148">
        <f>IFERROR(__xludf.DUMMYFUNCTION("""COMPUTED_VALUE"""),0.0)</f>
        <v>0</v>
      </c>
      <c r="V183" s="148" t="str">
        <f>IFERROR(__xludf.DUMMYFUNCTION("""COMPUTED_VALUE"""),"{}")</f>
        <v>{}</v>
      </c>
      <c r="W183" s="148" t="str">
        <f>IFERROR(__xludf.DUMMYFUNCTION("""COMPUTED_VALUE"""),"[]")</f>
        <v>[]</v>
      </c>
      <c r="X183" s="148" t="str">
        <f>IFERROR(__xludf.DUMMYFUNCTION("""COMPUTED_VALUE"""),"[{""typ"":""power"",""id"":12141002,""val"":10}]")</f>
        <v>[{"typ":"power","id":12141002,"val":10}]</v>
      </c>
      <c r="Y183" s="148" t="str">
        <f>IFERROR(__xludf.DUMMYFUNCTION("""COMPUTED_VALUE"""),"[{""typ"":""atk"",""val"":230},{""typ"":""def"",""val"":210},{""typ"":""hp"",""val"":210},{""typ"":""speed"",""val"":40},{""typ"":""load"",""val"":20},{""typ"":""backcoef"",""val"":0.5},{""typ"":""atkcoef"",""val"":1.0},{""typ"":""atkcd"",""val"":0}]")</f>
        <v>[{"typ":"atk","val":230},{"typ":"def","val":210},{"typ":"hp","val":210},{"typ":"speed","val":40},{"typ":"load","val":20},{"typ":"backcoef","val":0.5},{"typ":"atkcoef","val":1.0},{"typ":"atkcd","val":0}]</v>
      </c>
      <c r="Z183" s="148" t="str">
        <f>IFERROR(__xludf.DUMMYFUNCTION("""COMPUTED_VALUE"""),"[]")</f>
        <v>[]</v>
      </c>
    </row>
    <row r="184">
      <c r="A184" s="148">
        <f>IFERROR(__xludf.DUMMYFUNCTION("""COMPUTED_VALUE"""),1.1213035E7)</f>
        <v>11213035</v>
      </c>
      <c r="B184" s="148" t="str">
        <f>IFERROR(__xludf.DUMMYFUNCTION("""COMPUTED_VALUE"""),"大地图单位-kvk4--冰霜兽--白-T3")</f>
        <v>大地图单位-kvk4--冰霜兽--白-T3</v>
      </c>
      <c r="C184" s="148">
        <f>IFERROR(__xludf.DUMMYFUNCTION("""COMPUTED_VALUE"""),1.1221004E7)</f>
        <v>11221004</v>
      </c>
      <c r="D184" s="148">
        <f>IFERROR(__xludf.DUMMYFUNCTION("""COMPUTED_VALUE"""),1.5118705E7)</f>
        <v>15118705</v>
      </c>
      <c r="E184" s="148" t="str">
        <f>IFERROR(__xludf.DUMMYFUNCTION("""COMPUTED_VALUE"""),"{""typ"":""lc"",""txt"":""LC_KVK_kvk4_monster_name_1""}")</f>
        <v>{"typ":"lc","txt":"LC_KVK_kvk4_monster_name_1"}</v>
      </c>
      <c r="F184" s="148" t="str">
        <f>IFERROR(__xludf.DUMMYFUNCTION("""COMPUTED_VALUE"""),"{""typ"":""lc"",""txt"":""LC_KVK_kvk4_monster_desc_1""}")</f>
        <v>{"typ":"lc","txt":"LC_KVK_kvk4_monster_desc_1"}</v>
      </c>
      <c r="G184" s="148">
        <f>IFERROR(__xludf.DUMMYFUNCTION("""COMPUTED_VALUE"""),4.0)</f>
        <v>4</v>
      </c>
      <c r="H184" s="148">
        <f>IFERROR(__xludf.DUMMYFUNCTION("""COMPUTED_VALUE"""),10099.0)</f>
        <v>10099</v>
      </c>
      <c r="I184" s="148">
        <f>IFERROR(__xludf.DUMMYFUNCTION("""COMPUTED_VALUE"""),10099.0)</f>
        <v>10099</v>
      </c>
      <c r="J184" s="148">
        <f>IFERROR(__xludf.DUMMYFUNCTION("""COMPUTED_VALUE"""),0.0)</f>
        <v>0</v>
      </c>
      <c r="K184" s="148">
        <f>IFERROR(__xludf.DUMMYFUNCTION("""COMPUTED_VALUE"""),10.0)</f>
        <v>10</v>
      </c>
      <c r="L184" s="148">
        <f>IFERROR(__xludf.DUMMYFUNCTION("""COMPUTED_VALUE"""),99.0)</f>
        <v>99</v>
      </c>
      <c r="M184" s="148">
        <f>IFERROR(__xludf.DUMMYFUNCTION("""COMPUTED_VALUE"""),0.0)</f>
        <v>0</v>
      </c>
      <c r="N184" s="148" t="str">
        <f>IFERROR(__xludf.DUMMYFUNCTION("""COMPUTED_VALUE"""),"[]")</f>
        <v>[]</v>
      </c>
      <c r="O184" s="148" t="str">
        <f>IFERROR(__xludf.DUMMYFUNCTION("""COMPUTED_VALUE"""),"{}")</f>
        <v>{}</v>
      </c>
      <c r="P184" s="148">
        <f>IFERROR(__xludf.DUMMYFUNCTION("""COMPUTED_VALUE"""),0.0)</f>
        <v>0</v>
      </c>
      <c r="Q184" s="148" t="str">
        <f>IFERROR(__xludf.DUMMYFUNCTION("""COMPUTED_VALUE"""),"[]")</f>
        <v>[]</v>
      </c>
      <c r="R184" s="148" t="str">
        <f>IFERROR(__xludf.DUMMYFUNCTION("""COMPUTED_VALUE"""),"{}")</f>
        <v>{}</v>
      </c>
      <c r="S184" s="148">
        <f>IFERROR(__xludf.DUMMYFUNCTION("""COMPUTED_VALUE"""),0.0)</f>
        <v>0</v>
      </c>
      <c r="T184" s="148" t="str">
        <f>IFERROR(__xludf.DUMMYFUNCTION("""COMPUTED_VALUE"""),"[]")</f>
        <v>[]</v>
      </c>
      <c r="U184" s="148">
        <f>IFERROR(__xludf.DUMMYFUNCTION("""COMPUTED_VALUE"""),0.0)</f>
        <v>0</v>
      </c>
      <c r="V184" s="148" t="str">
        <f>IFERROR(__xludf.DUMMYFUNCTION("""COMPUTED_VALUE"""),"{}")</f>
        <v>{}</v>
      </c>
      <c r="W184" s="148" t="str">
        <f>IFERROR(__xludf.DUMMYFUNCTION("""COMPUTED_VALUE"""),"[]")</f>
        <v>[]</v>
      </c>
      <c r="X184" s="148" t="str">
        <f>IFERROR(__xludf.DUMMYFUNCTION("""COMPUTED_VALUE"""),"[{""typ"":""power"",""id"":12141002,""val"":4}]")</f>
        <v>[{"typ":"power","id":12141002,"val":4}]</v>
      </c>
      <c r="Y184" s="148" t="str">
        <f>IFERROR(__xludf.DUMMYFUNCTION("""COMPUTED_VALUE"""),"[{""typ"":""atk"",""val"":160},{""typ"":""def"",""val"":160},{""typ"":""hp"",""val"":160},{""typ"":""speed"",""val"":40},{""typ"":""load"",""val"":20},{""typ"":""backcoef"",""val"":0.5},{""typ"":""atkcoef"",""val"":1.0},{""typ"":""atkcd"",""val"":0}]")</f>
        <v>[{"typ":"atk","val":160},{"typ":"def","val":160},{"typ":"hp","val":160},{"typ":"speed","val":40},{"typ":"load","val":20},{"typ":"backcoef","val":0.5},{"typ":"atkcoef","val":1.0},{"typ":"atkcd","val":0}]</v>
      </c>
      <c r="Z184" s="148" t="str">
        <f>IFERROR(__xludf.DUMMYFUNCTION("""COMPUTED_VALUE"""),"[]")</f>
        <v>[]</v>
      </c>
    </row>
    <row r="185">
      <c r="A185" s="148">
        <f>IFERROR(__xludf.DUMMYFUNCTION("""COMPUTED_VALUE"""),1.1213036E7)</f>
        <v>11213036</v>
      </c>
      <c r="B185" s="148" t="str">
        <f>IFERROR(__xludf.DUMMYFUNCTION("""COMPUTED_VALUE"""),"大地图单位-kvk4--冰霜兽--绿-T3")</f>
        <v>大地图单位-kvk4--冰霜兽--绿-T3</v>
      </c>
      <c r="C185" s="148">
        <f>IFERROR(__xludf.DUMMYFUNCTION("""COMPUTED_VALUE"""),1.1221004E7)</f>
        <v>11221004</v>
      </c>
      <c r="D185" s="148">
        <f>IFERROR(__xludf.DUMMYFUNCTION("""COMPUTED_VALUE"""),1.5118706E7)</f>
        <v>15118706</v>
      </c>
      <c r="E185" s="148" t="str">
        <f>IFERROR(__xludf.DUMMYFUNCTION("""COMPUTED_VALUE"""),"{""typ"":""lc"",""txt"":""LC_KVK_kvk4_monster_name_1""}")</f>
        <v>{"typ":"lc","txt":"LC_KVK_kvk4_monster_name_1"}</v>
      </c>
      <c r="F185" s="148" t="str">
        <f>IFERROR(__xludf.DUMMYFUNCTION("""COMPUTED_VALUE"""),"{""typ"":""lc"",""txt"":""LC_KVK_kvk4_monster_desc_1""}")</f>
        <v>{"typ":"lc","txt":"LC_KVK_kvk4_monster_desc_1"}</v>
      </c>
      <c r="G185" s="148">
        <f>IFERROR(__xludf.DUMMYFUNCTION("""COMPUTED_VALUE"""),4.0)</f>
        <v>4</v>
      </c>
      <c r="H185" s="148">
        <f>IFERROR(__xludf.DUMMYFUNCTION("""COMPUTED_VALUE"""),10099.0)</f>
        <v>10099</v>
      </c>
      <c r="I185" s="148">
        <f>IFERROR(__xludf.DUMMYFUNCTION("""COMPUTED_VALUE"""),10099.0)</f>
        <v>10099</v>
      </c>
      <c r="J185" s="148">
        <f>IFERROR(__xludf.DUMMYFUNCTION("""COMPUTED_VALUE"""),0.0)</f>
        <v>0</v>
      </c>
      <c r="K185" s="148">
        <f>IFERROR(__xludf.DUMMYFUNCTION("""COMPUTED_VALUE"""),10.0)</f>
        <v>10</v>
      </c>
      <c r="L185" s="148">
        <f>IFERROR(__xludf.DUMMYFUNCTION("""COMPUTED_VALUE"""),99.0)</f>
        <v>99</v>
      </c>
      <c r="M185" s="148">
        <f>IFERROR(__xludf.DUMMYFUNCTION("""COMPUTED_VALUE"""),0.0)</f>
        <v>0</v>
      </c>
      <c r="N185" s="148" t="str">
        <f>IFERROR(__xludf.DUMMYFUNCTION("""COMPUTED_VALUE"""),"[]")</f>
        <v>[]</v>
      </c>
      <c r="O185" s="148" t="str">
        <f>IFERROR(__xludf.DUMMYFUNCTION("""COMPUTED_VALUE"""),"{}")</f>
        <v>{}</v>
      </c>
      <c r="P185" s="148">
        <f>IFERROR(__xludf.DUMMYFUNCTION("""COMPUTED_VALUE"""),0.0)</f>
        <v>0</v>
      </c>
      <c r="Q185" s="148" t="str">
        <f>IFERROR(__xludf.DUMMYFUNCTION("""COMPUTED_VALUE"""),"[]")</f>
        <v>[]</v>
      </c>
      <c r="R185" s="148" t="str">
        <f>IFERROR(__xludf.DUMMYFUNCTION("""COMPUTED_VALUE"""),"{}")</f>
        <v>{}</v>
      </c>
      <c r="S185" s="148">
        <f>IFERROR(__xludf.DUMMYFUNCTION("""COMPUTED_VALUE"""),0.0)</f>
        <v>0</v>
      </c>
      <c r="T185" s="148" t="str">
        <f>IFERROR(__xludf.DUMMYFUNCTION("""COMPUTED_VALUE"""),"[]")</f>
        <v>[]</v>
      </c>
      <c r="U185" s="148">
        <f>IFERROR(__xludf.DUMMYFUNCTION("""COMPUTED_VALUE"""),0.0)</f>
        <v>0</v>
      </c>
      <c r="V185" s="148" t="str">
        <f>IFERROR(__xludf.DUMMYFUNCTION("""COMPUTED_VALUE"""),"{}")</f>
        <v>{}</v>
      </c>
      <c r="W185" s="148" t="str">
        <f>IFERROR(__xludf.DUMMYFUNCTION("""COMPUTED_VALUE"""),"[]")</f>
        <v>[]</v>
      </c>
      <c r="X185" s="148" t="str">
        <f>IFERROR(__xludf.DUMMYFUNCTION("""COMPUTED_VALUE"""),"[{""typ"":""power"",""id"":12141002,""val"":4}]")</f>
        <v>[{"typ":"power","id":12141002,"val":4}]</v>
      </c>
      <c r="Y185" s="148" t="str">
        <f>IFERROR(__xludf.DUMMYFUNCTION("""COMPUTED_VALUE"""),"[{""typ"":""atk"",""val"":160},{""typ"":""def"",""val"":160},{""typ"":""hp"",""val"":160},{""typ"":""speed"",""val"":40},{""typ"":""load"",""val"":20},{""typ"":""backcoef"",""val"":0.5},{""typ"":""atkcoef"",""val"":1.0},{""typ"":""atkcd"",""val"":0}]")</f>
        <v>[{"typ":"atk","val":160},{"typ":"def","val":160},{"typ":"hp","val":160},{"typ":"speed","val":40},{"typ":"load","val":20},{"typ":"backcoef","val":0.5},{"typ":"atkcoef","val":1.0},{"typ":"atkcd","val":0}]</v>
      </c>
      <c r="Z185" s="148" t="str">
        <f>IFERROR(__xludf.DUMMYFUNCTION("""COMPUTED_VALUE"""),"[]")</f>
        <v>[]</v>
      </c>
    </row>
    <row r="186">
      <c r="A186" s="148">
        <f>IFERROR(__xludf.DUMMYFUNCTION("""COMPUTED_VALUE"""),1.1213037E7)</f>
        <v>11213037</v>
      </c>
      <c r="B186" s="148" t="str">
        <f>IFERROR(__xludf.DUMMYFUNCTION("""COMPUTED_VALUE"""),"大地图单位-kvk4--冰霜兽--蓝-T3")</f>
        <v>大地图单位-kvk4--冰霜兽--蓝-T3</v>
      </c>
      <c r="C186" s="148">
        <f>IFERROR(__xludf.DUMMYFUNCTION("""COMPUTED_VALUE"""),1.1221004E7)</f>
        <v>11221004</v>
      </c>
      <c r="D186" s="148">
        <f>IFERROR(__xludf.DUMMYFUNCTION("""COMPUTED_VALUE"""),1.5118707E7)</f>
        <v>15118707</v>
      </c>
      <c r="E186" s="148" t="str">
        <f>IFERROR(__xludf.DUMMYFUNCTION("""COMPUTED_VALUE"""),"{""typ"":""lc"",""txt"":""LC_KVK_kvk4_monster_name_1""}")</f>
        <v>{"typ":"lc","txt":"LC_KVK_kvk4_monster_name_1"}</v>
      </c>
      <c r="F186" s="148" t="str">
        <f>IFERROR(__xludf.DUMMYFUNCTION("""COMPUTED_VALUE"""),"{""typ"":""lc"",""txt"":""LC_KVK_kvk4_monster_desc_1""}")</f>
        <v>{"typ":"lc","txt":"LC_KVK_kvk4_monster_desc_1"}</v>
      </c>
      <c r="G186" s="148">
        <f>IFERROR(__xludf.DUMMYFUNCTION("""COMPUTED_VALUE"""),4.0)</f>
        <v>4</v>
      </c>
      <c r="H186" s="148">
        <f>IFERROR(__xludf.DUMMYFUNCTION("""COMPUTED_VALUE"""),10099.0)</f>
        <v>10099</v>
      </c>
      <c r="I186" s="148">
        <f>IFERROR(__xludf.DUMMYFUNCTION("""COMPUTED_VALUE"""),10099.0)</f>
        <v>10099</v>
      </c>
      <c r="J186" s="148">
        <f>IFERROR(__xludf.DUMMYFUNCTION("""COMPUTED_VALUE"""),0.0)</f>
        <v>0</v>
      </c>
      <c r="K186" s="148">
        <f>IFERROR(__xludf.DUMMYFUNCTION("""COMPUTED_VALUE"""),10.0)</f>
        <v>10</v>
      </c>
      <c r="L186" s="148">
        <f>IFERROR(__xludf.DUMMYFUNCTION("""COMPUTED_VALUE"""),99.0)</f>
        <v>99</v>
      </c>
      <c r="M186" s="148">
        <f>IFERROR(__xludf.DUMMYFUNCTION("""COMPUTED_VALUE"""),0.0)</f>
        <v>0</v>
      </c>
      <c r="N186" s="148" t="str">
        <f>IFERROR(__xludf.DUMMYFUNCTION("""COMPUTED_VALUE"""),"[]")</f>
        <v>[]</v>
      </c>
      <c r="O186" s="148" t="str">
        <f>IFERROR(__xludf.DUMMYFUNCTION("""COMPUTED_VALUE"""),"{}")</f>
        <v>{}</v>
      </c>
      <c r="P186" s="148">
        <f>IFERROR(__xludf.DUMMYFUNCTION("""COMPUTED_VALUE"""),0.0)</f>
        <v>0</v>
      </c>
      <c r="Q186" s="148" t="str">
        <f>IFERROR(__xludf.DUMMYFUNCTION("""COMPUTED_VALUE"""),"[]")</f>
        <v>[]</v>
      </c>
      <c r="R186" s="148" t="str">
        <f>IFERROR(__xludf.DUMMYFUNCTION("""COMPUTED_VALUE"""),"{}")</f>
        <v>{}</v>
      </c>
      <c r="S186" s="148">
        <f>IFERROR(__xludf.DUMMYFUNCTION("""COMPUTED_VALUE"""),0.0)</f>
        <v>0</v>
      </c>
      <c r="T186" s="148" t="str">
        <f>IFERROR(__xludf.DUMMYFUNCTION("""COMPUTED_VALUE"""),"[]")</f>
        <v>[]</v>
      </c>
      <c r="U186" s="148">
        <f>IFERROR(__xludf.DUMMYFUNCTION("""COMPUTED_VALUE"""),0.0)</f>
        <v>0</v>
      </c>
      <c r="V186" s="148" t="str">
        <f>IFERROR(__xludf.DUMMYFUNCTION("""COMPUTED_VALUE"""),"{}")</f>
        <v>{}</v>
      </c>
      <c r="W186" s="148" t="str">
        <f>IFERROR(__xludf.DUMMYFUNCTION("""COMPUTED_VALUE"""),"[]")</f>
        <v>[]</v>
      </c>
      <c r="X186" s="148" t="str">
        <f>IFERROR(__xludf.DUMMYFUNCTION("""COMPUTED_VALUE"""),"[{""typ"":""power"",""id"":12141002,""val"":4}]")</f>
        <v>[{"typ":"power","id":12141002,"val":4}]</v>
      </c>
      <c r="Y186" s="148" t="str">
        <f>IFERROR(__xludf.DUMMYFUNCTION("""COMPUTED_VALUE"""),"[{""typ"":""atk"",""val"":160},{""typ"":""def"",""val"":160},{""typ"":""hp"",""val"":160},{""typ"":""speed"",""val"":40},{""typ"":""load"",""val"":20},{""typ"":""backcoef"",""val"":0.5},{""typ"":""atkcoef"",""val"":1.0},{""typ"":""atkcd"",""val"":0}]")</f>
        <v>[{"typ":"atk","val":160},{"typ":"def","val":160},{"typ":"hp","val":160},{"typ":"speed","val":40},{"typ":"load","val":20},{"typ":"backcoef","val":0.5},{"typ":"atkcoef","val":1.0},{"typ":"atkcd","val":0}]</v>
      </c>
      <c r="Z186" s="148" t="str">
        <f>IFERROR(__xludf.DUMMYFUNCTION("""COMPUTED_VALUE"""),"[]")</f>
        <v>[]</v>
      </c>
    </row>
    <row r="187">
      <c r="A187" s="148">
        <f>IFERROR(__xludf.DUMMYFUNCTION("""COMPUTED_VALUE"""),1.1213038E7)</f>
        <v>11213038</v>
      </c>
      <c r="B187" s="148" t="str">
        <f>IFERROR(__xludf.DUMMYFUNCTION("""COMPUTED_VALUE"""),"大地图单位-kvk4--冰霜兽--紫-T3")</f>
        <v>大地图单位-kvk4--冰霜兽--紫-T3</v>
      </c>
      <c r="C187" s="148">
        <f>IFERROR(__xludf.DUMMYFUNCTION("""COMPUTED_VALUE"""),1.1221004E7)</f>
        <v>11221004</v>
      </c>
      <c r="D187" s="148">
        <f>IFERROR(__xludf.DUMMYFUNCTION("""COMPUTED_VALUE"""),1.5118708E7)</f>
        <v>15118708</v>
      </c>
      <c r="E187" s="148" t="str">
        <f>IFERROR(__xludf.DUMMYFUNCTION("""COMPUTED_VALUE"""),"{""typ"":""lc"",""txt"":""LC_KVK_kvk4_monster_name_1""}")</f>
        <v>{"typ":"lc","txt":"LC_KVK_kvk4_monster_name_1"}</v>
      </c>
      <c r="F187" s="148" t="str">
        <f>IFERROR(__xludf.DUMMYFUNCTION("""COMPUTED_VALUE"""),"{""typ"":""lc"",""txt"":""LC_KVK_kvk4_monster_desc_1""}")</f>
        <v>{"typ":"lc","txt":"LC_KVK_kvk4_monster_desc_1"}</v>
      </c>
      <c r="G187" s="148">
        <f>IFERROR(__xludf.DUMMYFUNCTION("""COMPUTED_VALUE"""),4.0)</f>
        <v>4</v>
      </c>
      <c r="H187" s="148">
        <f>IFERROR(__xludf.DUMMYFUNCTION("""COMPUTED_VALUE"""),10099.0)</f>
        <v>10099</v>
      </c>
      <c r="I187" s="148">
        <f>IFERROR(__xludf.DUMMYFUNCTION("""COMPUTED_VALUE"""),10099.0)</f>
        <v>10099</v>
      </c>
      <c r="J187" s="148">
        <f>IFERROR(__xludf.DUMMYFUNCTION("""COMPUTED_VALUE"""),0.0)</f>
        <v>0</v>
      </c>
      <c r="K187" s="148">
        <f>IFERROR(__xludf.DUMMYFUNCTION("""COMPUTED_VALUE"""),10.0)</f>
        <v>10</v>
      </c>
      <c r="L187" s="148">
        <f>IFERROR(__xludf.DUMMYFUNCTION("""COMPUTED_VALUE"""),99.0)</f>
        <v>99</v>
      </c>
      <c r="M187" s="148">
        <f>IFERROR(__xludf.DUMMYFUNCTION("""COMPUTED_VALUE"""),0.0)</f>
        <v>0</v>
      </c>
      <c r="N187" s="148" t="str">
        <f>IFERROR(__xludf.DUMMYFUNCTION("""COMPUTED_VALUE"""),"[]")</f>
        <v>[]</v>
      </c>
      <c r="O187" s="148" t="str">
        <f>IFERROR(__xludf.DUMMYFUNCTION("""COMPUTED_VALUE"""),"{}")</f>
        <v>{}</v>
      </c>
      <c r="P187" s="148">
        <f>IFERROR(__xludf.DUMMYFUNCTION("""COMPUTED_VALUE"""),0.0)</f>
        <v>0</v>
      </c>
      <c r="Q187" s="148" t="str">
        <f>IFERROR(__xludf.DUMMYFUNCTION("""COMPUTED_VALUE"""),"[]")</f>
        <v>[]</v>
      </c>
      <c r="R187" s="148" t="str">
        <f>IFERROR(__xludf.DUMMYFUNCTION("""COMPUTED_VALUE"""),"{}")</f>
        <v>{}</v>
      </c>
      <c r="S187" s="148">
        <f>IFERROR(__xludf.DUMMYFUNCTION("""COMPUTED_VALUE"""),0.0)</f>
        <v>0</v>
      </c>
      <c r="T187" s="148" t="str">
        <f>IFERROR(__xludf.DUMMYFUNCTION("""COMPUTED_VALUE"""),"[]")</f>
        <v>[]</v>
      </c>
      <c r="U187" s="148">
        <f>IFERROR(__xludf.DUMMYFUNCTION("""COMPUTED_VALUE"""),0.0)</f>
        <v>0</v>
      </c>
      <c r="V187" s="148" t="str">
        <f>IFERROR(__xludf.DUMMYFUNCTION("""COMPUTED_VALUE"""),"{}")</f>
        <v>{}</v>
      </c>
      <c r="W187" s="148" t="str">
        <f>IFERROR(__xludf.DUMMYFUNCTION("""COMPUTED_VALUE"""),"[]")</f>
        <v>[]</v>
      </c>
      <c r="X187" s="148" t="str">
        <f>IFERROR(__xludf.DUMMYFUNCTION("""COMPUTED_VALUE"""),"[{""typ"":""power"",""id"":12141002,""val"":4}]")</f>
        <v>[{"typ":"power","id":12141002,"val":4}]</v>
      </c>
      <c r="Y187" s="148" t="str">
        <f>IFERROR(__xludf.DUMMYFUNCTION("""COMPUTED_VALUE"""),"[{""typ"":""atk"",""val"":160},{""typ"":""def"",""val"":160},{""typ"":""hp"",""val"":160},{""typ"":""speed"",""val"":40},{""typ"":""load"",""val"":20},{""typ"":""backcoef"",""val"":0.5},{""typ"":""atkcoef"",""val"":1.0},{""typ"":""atkcd"",""val"":0}]")</f>
        <v>[{"typ":"atk","val":160},{"typ":"def","val":160},{"typ":"hp","val":160},{"typ":"speed","val":40},{"typ":"load","val":20},{"typ":"backcoef","val":0.5},{"typ":"atkcoef","val":1.0},{"typ":"atkcd","val":0}]</v>
      </c>
      <c r="Z187" s="148" t="str">
        <f>IFERROR(__xludf.DUMMYFUNCTION("""COMPUTED_VALUE"""),"[]")</f>
        <v>[]</v>
      </c>
    </row>
    <row r="188">
      <c r="A188" s="148">
        <f>IFERROR(__xludf.DUMMYFUNCTION("""COMPUTED_VALUE"""),1.1213039E7)</f>
        <v>11213039</v>
      </c>
      <c r="B188" s="148" t="str">
        <f>IFERROR(__xludf.DUMMYFUNCTION("""COMPUTED_VALUE"""),"大地图单位-kvk4--冰霜兽--橙-T3")</f>
        <v>大地图单位-kvk4--冰霜兽--橙-T3</v>
      </c>
      <c r="C188" s="148">
        <f>IFERROR(__xludf.DUMMYFUNCTION("""COMPUTED_VALUE"""),1.1221004E7)</f>
        <v>11221004</v>
      </c>
      <c r="D188" s="148">
        <f>IFERROR(__xludf.DUMMYFUNCTION("""COMPUTED_VALUE"""),1.5118709E7)</f>
        <v>15118709</v>
      </c>
      <c r="E188" s="148" t="str">
        <f>IFERROR(__xludf.DUMMYFUNCTION("""COMPUTED_VALUE"""),"{""typ"":""lc"",""txt"":""LC_KVK_kvk4_monster_name_1""}")</f>
        <v>{"typ":"lc","txt":"LC_KVK_kvk4_monster_name_1"}</v>
      </c>
      <c r="F188" s="148" t="str">
        <f>IFERROR(__xludf.DUMMYFUNCTION("""COMPUTED_VALUE"""),"{""typ"":""lc"",""txt"":""LC_KVK_kvk4_monster_desc_1""}")</f>
        <v>{"typ":"lc","txt":"LC_KVK_kvk4_monster_desc_1"}</v>
      </c>
      <c r="G188" s="148">
        <f>IFERROR(__xludf.DUMMYFUNCTION("""COMPUTED_VALUE"""),4.0)</f>
        <v>4</v>
      </c>
      <c r="H188" s="148">
        <f>IFERROR(__xludf.DUMMYFUNCTION("""COMPUTED_VALUE"""),10099.0)</f>
        <v>10099</v>
      </c>
      <c r="I188" s="148">
        <f>IFERROR(__xludf.DUMMYFUNCTION("""COMPUTED_VALUE"""),10099.0)</f>
        <v>10099</v>
      </c>
      <c r="J188" s="148">
        <f>IFERROR(__xludf.DUMMYFUNCTION("""COMPUTED_VALUE"""),0.0)</f>
        <v>0</v>
      </c>
      <c r="K188" s="148">
        <f>IFERROR(__xludf.DUMMYFUNCTION("""COMPUTED_VALUE"""),10.0)</f>
        <v>10</v>
      </c>
      <c r="L188" s="148">
        <f>IFERROR(__xludf.DUMMYFUNCTION("""COMPUTED_VALUE"""),99.0)</f>
        <v>99</v>
      </c>
      <c r="M188" s="148">
        <f>IFERROR(__xludf.DUMMYFUNCTION("""COMPUTED_VALUE"""),0.0)</f>
        <v>0</v>
      </c>
      <c r="N188" s="148" t="str">
        <f>IFERROR(__xludf.DUMMYFUNCTION("""COMPUTED_VALUE"""),"[]")</f>
        <v>[]</v>
      </c>
      <c r="O188" s="148" t="str">
        <f>IFERROR(__xludf.DUMMYFUNCTION("""COMPUTED_VALUE"""),"{}")</f>
        <v>{}</v>
      </c>
      <c r="P188" s="148">
        <f>IFERROR(__xludf.DUMMYFUNCTION("""COMPUTED_VALUE"""),0.0)</f>
        <v>0</v>
      </c>
      <c r="Q188" s="148" t="str">
        <f>IFERROR(__xludf.DUMMYFUNCTION("""COMPUTED_VALUE"""),"[]")</f>
        <v>[]</v>
      </c>
      <c r="R188" s="148" t="str">
        <f>IFERROR(__xludf.DUMMYFUNCTION("""COMPUTED_VALUE"""),"{}")</f>
        <v>{}</v>
      </c>
      <c r="S188" s="148">
        <f>IFERROR(__xludf.DUMMYFUNCTION("""COMPUTED_VALUE"""),0.0)</f>
        <v>0</v>
      </c>
      <c r="T188" s="148" t="str">
        <f>IFERROR(__xludf.DUMMYFUNCTION("""COMPUTED_VALUE"""),"[]")</f>
        <v>[]</v>
      </c>
      <c r="U188" s="148">
        <f>IFERROR(__xludf.DUMMYFUNCTION("""COMPUTED_VALUE"""),0.0)</f>
        <v>0</v>
      </c>
      <c r="V188" s="148" t="str">
        <f>IFERROR(__xludf.DUMMYFUNCTION("""COMPUTED_VALUE"""),"{}")</f>
        <v>{}</v>
      </c>
      <c r="W188" s="148" t="str">
        <f>IFERROR(__xludf.DUMMYFUNCTION("""COMPUTED_VALUE"""),"[]")</f>
        <v>[]</v>
      </c>
      <c r="X188" s="148" t="str">
        <f>IFERROR(__xludf.DUMMYFUNCTION("""COMPUTED_VALUE"""),"[{""typ"":""power"",""id"":12141002,""val"":4}]")</f>
        <v>[{"typ":"power","id":12141002,"val":4}]</v>
      </c>
      <c r="Y188" s="148" t="str">
        <f>IFERROR(__xludf.DUMMYFUNCTION("""COMPUTED_VALUE"""),"[{""typ"":""atk"",""val"":160},{""typ"":""def"",""val"":160},{""typ"":""hp"",""val"":160},{""typ"":""speed"",""val"":40},{""typ"":""load"",""val"":20},{""typ"":""backcoef"",""val"":0.5},{""typ"":""atkcoef"",""val"":1.0},{""typ"":""atkcd"",""val"":0}]")</f>
        <v>[{"typ":"atk","val":160},{"typ":"def","val":160},{"typ":"hp","val":160},{"typ":"speed","val":40},{"typ":"load","val":20},{"typ":"backcoef","val":0.5},{"typ":"atkcoef","val":1.0},{"typ":"atkcd","val":0}]</v>
      </c>
      <c r="Z188" s="148" t="str">
        <f>IFERROR(__xludf.DUMMYFUNCTION("""COMPUTED_VALUE"""),"[]")</f>
        <v>[]</v>
      </c>
    </row>
    <row r="189">
      <c r="A189" s="148">
        <f>IFERROR(__xludf.DUMMYFUNCTION("""COMPUTED_VALUE"""),1.121304E7)</f>
        <v>11213040</v>
      </c>
      <c r="B189" s="148" t="str">
        <f>IFERROR(__xludf.DUMMYFUNCTION("""COMPUTED_VALUE"""),"大地图单位-kvk4--雪地巨魇--白-T5")</f>
        <v>大地图单位-kvk4--雪地巨魇--白-T5</v>
      </c>
      <c r="C189" s="148">
        <f>IFERROR(__xludf.DUMMYFUNCTION("""COMPUTED_VALUE"""),1.1221004E7)</f>
        <v>11221004</v>
      </c>
      <c r="D189" s="148">
        <f>IFERROR(__xludf.DUMMYFUNCTION("""COMPUTED_VALUE"""),1.5118715E7)</f>
        <v>15118715</v>
      </c>
      <c r="E189" s="148" t="str">
        <f>IFERROR(__xludf.DUMMYFUNCTION("""COMPUTED_VALUE"""),"{""typ"":""lc"",""txt"":""LC_KVK_kvk4_monster_name_2""}")</f>
        <v>{"typ":"lc","txt":"LC_KVK_kvk4_monster_name_2"}</v>
      </c>
      <c r="F189" s="148" t="str">
        <f>IFERROR(__xludf.DUMMYFUNCTION("""COMPUTED_VALUE"""),"{""typ"":""lc"",""txt"":""LC_KVK_kvk4_monster_desc_2""}")</f>
        <v>{"typ":"lc","txt":"LC_KVK_kvk4_monster_desc_2"}</v>
      </c>
      <c r="G189" s="148">
        <f>IFERROR(__xludf.DUMMYFUNCTION("""COMPUTED_VALUE"""),4.0)</f>
        <v>4</v>
      </c>
      <c r="H189" s="148">
        <f>IFERROR(__xludf.DUMMYFUNCTION("""COMPUTED_VALUE"""),10099.0)</f>
        <v>10099</v>
      </c>
      <c r="I189" s="148">
        <f>IFERROR(__xludf.DUMMYFUNCTION("""COMPUTED_VALUE"""),10099.0)</f>
        <v>10099</v>
      </c>
      <c r="J189" s="148">
        <f>IFERROR(__xludf.DUMMYFUNCTION("""COMPUTED_VALUE"""),0.0)</f>
        <v>0</v>
      </c>
      <c r="K189" s="148">
        <f>IFERROR(__xludf.DUMMYFUNCTION("""COMPUTED_VALUE"""),10.0)</f>
        <v>10</v>
      </c>
      <c r="L189" s="148">
        <f>IFERROR(__xludf.DUMMYFUNCTION("""COMPUTED_VALUE"""),99.0)</f>
        <v>99</v>
      </c>
      <c r="M189" s="148">
        <f>IFERROR(__xludf.DUMMYFUNCTION("""COMPUTED_VALUE"""),0.0)</f>
        <v>0</v>
      </c>
      <c r="N189" s="148" t="str">
        <f>IFERROR(__xludf.DUMMYFUNCTION("""COMPUTED_VALUE"""),"[]")</f>
        <v>[]</v>
      </c>
      <c r="O189" s="148" t="str">
        <f>IFERROR(__xludf.DUMMYFUNCTION("""COMPUTED_VALUE"""),"{}")</f>
        <v>{}</v>
      </c>
      <c r="P189" s="148">
        <f>IFERROR(__xludf.DUMMYFUNCTION("""COMPUTED_VALUE"""),0.0)</f>
        <v>0</v>
      </c>
      <c r="Q189" s="148" t="str">
        <f>IFERROR(__xludf.DUMMYFUNCTION("""COMPUTED_VALUE"""),"[]")</f>
        <v>[]</v>
      </c>
      <c r="R189" s="148" t="str">
        <f>IFERROR(__xludf.DUMMYFUNCTION("""COMPUTED_VALUE"""),"{}")</f>
        <v>{}</v>
      </c>
      <c r="S189" s="148">
        <f>IFERROR(__xludf.DUMMYFUNCTION("""COMPUTED_VALUE"""),0.0)</f>
        <v>0</v>
      </c>
      <c r="T189" s="148" t="str">
        <f>IFERROR(__xludf.DUMMYFUNCTION("""COMPUTED_VALUE"""),"[]")</f>
        <v>[]</v>
      </c>
      <c r="U189" s="148">
        <f>IFERROR(__xludf.DUMMYFUNCTION("""COMPUTED_VALUE"""),0.0)</f>
        <v>0</v>
      </c>
      <c r="V189" s="148" t="str">
        <f>IFERROR(__xludf.DUMMYFUNCTION("""COMPUTED_VALUE"""),"{}")</f>
        <v>{}</v>
      </c>
      <c r="W189" s="148" t="str">
        <f>IFERROR(__xludf.DUMMYFUNCTION("""COMPUTED_VALUE"""),"[]")</f>
        <v>[]</v>
      </c>
      <c r="X189" s="148" t="str">
        <f>IFERROR(__xludf.DUMMYFUNCTION("""COMPUTED_VALUE"""),"[{""typ"":""power"",""id"":12141002,""val"":10}]")</f>
        <v>[{"typ":"power","id":12141002,"val":10}]</v>
      </c>
      <c r="Y189" s="148" t="str">
        <f>IFERROR(__xludf.DUMMYFUNCTION("""COMPUTED_VALUE"""),"[{""typ"":""atk"",""val"":230},{""typ"":""def"",""val"":210},{""typ"":""hp"",""val"":210},{""typ"":""speed"",""val"":40},{""typ"":""load"",""val"":20},{""typ"":""backcoef"",""val"":0.5},{""typ"":""atkcoef"",""val"":1.0},{""typ"":""atkcd"",""val"":0}]")</f>
        <v>[{"typ":"atk","val":230},{"typ":"def","val":210},{"typ":"hp","val":210},{"typ":"speed","val":40},{"typ":"load","val":20},{"typ":"backcoef","val":0.5},{"typ":"atkcoef","val":1.0},{"typ":"atkcd","val":0}]</v>
      </c>
      <c r="Z189" s="148" t="str">
        <f>IFERROR(__xludf.DUMMYFUNCTION("""COMPUTED_VALUE"""),"[]")</f>
        <v>[]</v>
      </c>
    </row>
    <row r="190">
      <c r="A190" s="148">
        <f>IFERROR(__xludf.DUMMYFUNCTION("""COMPUTED_VALUE"""),1.1213042E7)</f>
        <v>11213042</v>
      </c>
      <c r="B190" s="148" t="str">
        <f>IFERROR(__xludf.DUMMYFUNCTION("""COMPUTED_VALUE"""),"大地图单位-kvk4--雪地巨魇--蓝-T5")</f>
        <v>大地图单位-kvk4--雪地巨魇--蓝-T5</v>
      </c>
      <c r="C190" s="148">
        <f>IFERROR(__xludf.DUMMYFUNCTION("""COMPUTED_VALUE"""),1.1221004E7)</f>
        <v>11221004</v>
      </c>
      <c r="D190" s="148">
        <f>IFERROR(__xludf.DUMMYFUNCTION("""COMPUTED_VALUE"""),1.5118717E7)</f>
        <v>15118717</v>
      </c>
      <c r="E190" s="148" t="str">
        <f>IFERROR(__xludf.DUMMYFUNCTION("""COMPUTED_VALUE"""),"{""typ"":""lc"",""txt"":""LC_KVK_kvk4_monster_name_2""}")</f>
        <v>{"typ":"lc","txt":"LC_KVK_kvk4_monster_name_2"}</v>
      </c>
      <c r="F190" s="148" t="str">
        <f>IFERROR(__xludf.DUMMYFUNCTION("""COMPUTED_VALUE"""),"{""typ"":""lc"",""txt"":""LC_KVK_kvk4_monster_desc_2""}")</f>
        <v>{"typ":"lc","txt":"LC_KVK_kvk4_monster_desc_2"}</v>
      </c>
      <c r="G190" s="148">
        <f>IFERROR(__xludf.DUMMYFUNCTION("""COMPUTED_VALUE"""),4.0)</f>
        <v>4</v>
      </c>
      <c r="H190" s="148">
        <f>IFERROR(__xludf.DUMMYFUNCTION("""COMPUTED_VALUE"""),10099.0)</f>
        <v>10099</v>
      </c>
      <c r="I190" s="148">
        <f>IFERROR(__xludf.DUMMYFUNCTION("""COMPUTED_VALUE"""),10099.0)</f>
        <v>10099</v>
      </c>
      <c r="J190" s="148">
        <f>IFERROR(__xludf.DUMMYFUNCTION("""COMPUTED_VALUE"""),0.0)</f>
        <v>0</v>
      </c>
      <c r="K190" s="148">
        <f>IFERROR(__xludf.DUMMYFUNCTION("""COMPUTED_VALUE"""),10.0)</f>
        <v>10</v>
      </c>
      <c r="L190" s="148">
        <f>IFERROR(__xludf.DUMMYFUNCTION("""COMPUTED_VALUE"""),99.0)</f>
        <v>99</v>
      </c>
      <c r="M190" s="148">
        <f>IFERROR(__xludf.DUMMYFUNCTION("""COMPUTED_VALUE"""),0.0)</f>
        <v>0</v>
      </c>
      <c r="N190" s="148" t="str">
        <f>IFERROR(__xludf.DUMMYFUNCTION("""COMPUTED_VALUE"""),"[]")</f>
        <v>[]</v>
      </c>
      <c r="O190" s="148" t="str">
        <f>IFERROR(__xludf.DUMMYFUNCTION("""COMPUTED_VALUE"""),"{}")</f>
        <v>{}</v>
      </c>
      <c r="P190" s="148">
        <f>IFERROR(__xludf.DUMMYFUNCTION("""COMPUTED_VALUE"""),0.0)</f>
        <v>0</v>
      </c>
      <c r="Q190" s="148" t="str">
        <f>IFERROR(__xludf.DUMMYFUNCTION("""COMPUTED_VALUE"""),"[]")</f>
        <v>[]</v>
      </c>
      <c r="R190" s="148" t="str">
        <f>IFERROR(__xludf.DUMMYFUNCTION("""COMPUTED_VALUE"""),"{}")</f>
        <v>{}</v>
      </c>
      <c r="S190" s="148">
        <f>IFERROR(__xludf.DUMMYFUNCTION("""COMPUTED_VALUE"""),0.0)</f>
        <v>0</v>
      </c>
      <c r="T190" s="148" t="str">
        <f>IFERROR(__xludf.DUMMYFUNCTION("""COMPUTED_VALUE"""),"[]")</f>
        <v>[]</v>
      </c>
      <c r="U190" s="148">
        <f>IFERROR(__xludf.DUMMYFUNCTION("""COMPUTED_VALUE"""),0.0)</f>
        <v>0</v>
      </c>
      <c r="V190" s="148" t="str">
        <f>IFERROR(__xludf.DUMMYFUNCTION("""COMPUTED_VALUE"""),"{}")</f>
        <v>{}</v>
      </c>
      <c r="W190" s="148" t="str">
        <f>IFERROR(__xludf.DUMMYFUNCTION("""COMPUTED_VALUE"""),"[]")</f>
        <v>[]</v>
      </c>
      <c r="X190" s="148" t="str">
        <f>IFERROR(__xludf.DUMMYFUNCTION("""COMPUTED_VALUE"""),"[{""typ"":""power"",""id"":12141002,""val"":10}]")</f>
        <v>[{"typ":"power","id":12141002,"val":10}]</v>
      </c>
      <c r="Y190" s="148" t="str">
        <f>IFERROR(__xludf.DUMMYFUNCTION("""COMPUTED_VALUE"""),"[{""typ"":""atk"",""val"":230},{""typ"":""def"",""val"":210},{""typ"":""hp"",""val"":210},{""typ"":""speed"",""val"":40},{""typ"":""load"",""val"":20},{""typ"":""backcoef"",""val"":0.5},{""typ"":""atkcoef"",""val"":1.0},{""typ"":""atkcd"",""val"":0}]")</f>
        <v>[{"typ":"atk","val":230},{"typ":"def","val":210},{"typ":"hp","val":210},{"typ":"speed","val":40},{"typ":"load","val":20},{"typ":"backcoef","val":0.5},{"typ":"atkcoef","val":1.0},{"typ":"atkcd","val":0}]</v>
      </c>
      <c r="Z190" s="148" t="str">
        <f>IFERROR(__xludf.DUMMYFUNCTION("""COMPUTED_VALUE"""),"[]")</f>
        <v>[]</v>
      </c>
    </row>
    <row r="191">
      <c r="A191" s="148">
        <f>IFERROR(__xludf.DUMMYFUNCTION("""COMPUTED_VALUE"""),1.1213043E7)</f>
        <v>11213043</v>
      </c>
      <c r="B191" s="148" t="str">
        <f>IFERROR(__xludf.DUMMYFUNCTION("""COMPUTED_VALUE"""),"大地图单位-kvk4--雪地巨魇--紫-T5")</f>
        <v>大地图单位-kvk4--雪地巨魇--紫-T5</v>
      </c>
      <c r="C191" s="148">
        <f>IFERROR(__xludf.DUMMYFUNCTION("""COMPUTED_VALUE"""),1.1221004E7)</f>
        <v>11221004</v>
      </c>
      <c r="D191" s="148">
        <f>IFERROR(__xludf.DUMMYFUNCTION("""COMPUTED_VALUE"""),1.5118718E7)</f>
        <v>15118718</v>
      </c>
      <c r="E191" s="148" t="str">
        <f>IFERROR(__xludf.DUMMYFUNCTION("""COMPUTED_VALUE"""),"{""typ"":""lc"",""txt"":""LC_KVK_kvk4_monster_name_2""}")</f>
        <v>{"typ":"lc","txt":"LC_KVK_kvk4_monster_name_2"}</v>
      </c>
      <c r="F191" s="148" t="str">
        <f>IFERROR(__xludf.DUMMYFUNCTION("""COMPUTED_VALUE"""),"{""typ"":""lc"",""txt"":""LC_KVK_kvk4_monster_desc_2""}")</f>
        <v>{"typ":"lc","txt":"LC_KVK_kvk4_monster_desc_2"}</v>
      </c>
      <c r="G191" s="148">
        <f>IFERROR(__xludf.DUMMYFUNCTION("""COMPUTED_VALUE"""),4.0)</f>
        <v>4</v>
      </c>
      <c r="H191" s="148">
        <f>IFERROR(__xludf.DUMMYFUNCTION("""COMPUTED_VALUE"""),10099.0)</f>
        <v>10099</v>
      </c>
      <c r="I191" s="148">
        <f>IFERROR(__xludf.DUMMYFUNCTION("""COMPUTED_VALUE"""),10099.0)</f>
        <v>10099</v>
      </c>
      <c r="J191" s="148">
        <f>IFERROR(__xludf.DUMMYFUNCTION("""COMPUTED_VALUE"""),0.0)</f>
        <v>0</v>
      </c>
      <c r="K191" s="148">
        <f>IFERROR(__xludf.DUMMYFUNCTION("""COMPUTED_VALUE"""),10.0)</f>
        <v>10</v>
      </c>
      <c r="L191" s="148">
        <f>IFERROR(__xludf.DUMMYFUNCTION("""COMPUTED_VALUE"""),99.0)</f>
        <v>99</v>
      </c>
      <c r="M191" s="148">
        <f>IFERROR(__xludf.DUMMYFUNCTION("""COMPUTED_VALUE"""),0.0)</f>
        <v>0</v>
      </c>
      <c r="N191" s="148" t="str">
        <f>IFERROR(__xludf.DUMMYFUNCTION("""COMPUTED_VALUE"""),"[]")</f>
        <v>[]</v>
      </c>
      <c r="O191" s="148" t="str">
        <f>IFERROR(__xludf.DUMMYFUNCTION("""COMPUTED_VALUE"""),"{}")</f>
        <v>{}</v>
      </c>
      <c r="P191" s="148">
        <f>IFERROR(__xludf.DUMMYFUNCTION("""COMPUTED_VALUE"""),0.0)</f>
        <v>0</v>
      </c>
      <c r="Q191" s="148" t="str">
        <f>IFERROR(__xludf.DUMMYFUNCTION("""COMPUTED_VALUE"""),"[]")</f>
        <v>[]</v>
      </c>
      <c r="R191" s="148" t="str">
        <f>IFERROR(__xludf.DUMMYFUNCTION("""COMPUTED_VALUE"""),"{}")</f>
        <v>{}</v>
      </c>
      <c r="S191" s="148">
        <f>IFERROR(__xludf.DUMMYFUNCTION("""COMPUTED_VALUE"""),0.0)</f>
        <v>0</v>
      </c>
      <c r="T191" s="148" t="str">
        <f>IFERROR(__xludf.DUMMYFUNCTION("""COMPUTED_VALUE"""),"[]")</f>
        <v>[]</v>
      </c>
      <c r="U191" s="148">
        <f>IFERROR(__xludf.DUMMYFUNCTION("""COMPUTED_VALUE"""),0.0)</f>
        <v>0</v>
      </c>
      <c r="V191" s="148" t="str">
        <f>IFERROR(__xludf.DUMMYFUNCTION("""COMPUTED_VALUE"""),"{}")</f>
        <v>{}</v>
      </c>
      <c r="W191" s="148" t="str">
        <f>IFERROR(__xludf.DUMMYFUNCTION("""COMPUTED_VALUE"""),"[]")</f>
        <v>[]</v>
      </c>
      <c r="X191" s="148" t="str">
        <f>IFERROR(__xludf.DUMMYFUNCTION("""COMPUTED_VALUE"""),"[{""typ"":""power"",""id"":12141002,""val"":10}]")</f>
        <v>[{"typ":"power","id":12141002,"val":10}]</v>
      </c>
      <c r="Y191" s="148" t="str">
        <f>IFERROR(__xludf.DUMMYFUNCTION("""COMPUTED_VALUE"""),"[{""typ"":""atk"",""val"":230},{""typ"":""def"",""val"":210},{""typ"":""hp"",""val"":210},{""typ"":""speed"",""val"":40},{""typ"":""load"",""val"":20},{""typ"":""backcoef"",""val"":0.5},{""typ"":""atkcoef"",""val"":1.0},{""typ"":""atkcd"",""val"":0}]")</f>
        <v>[{"typ":"atk","val":230},{"typ":"def","val":210},{"typ":"hp","val":210},{"typ":"speed","val":40},{"typ":"load","val":20},{"typ":"backcoef","val":0.5},{"typ":"atkcoef","val":1.0},{"typ":"atkcd","val":0}]</v>
      </c>
      <c r="Z191" s="148" t="str">
        <f>IFERROR(__xludf.DUMMYFUNCTION("""COMPUTED_VALUE"""),"[]")</f>
        <v>[]</v>
      </c>
    </row>
    <row r="192">
      <c r="A192" s="148">
        <f>IFERROR(__xludf.DUMMYFUNCTION("""COMPUTED_VALUE"""),1.1213044E7)</f>
        <v>11213044</v>
      </c>
      <c r="B192" s="148" t="str">
        <f>IFERROR(__xludf.DUMMYFUNCTION("""COMPUTED_VALUE"""),"大地图单位-kvk4--雪地巨魇--橙-T5")</f>
        <v>大地图单位-kvk4--雪地巨魇--橙-T5</v>
      </c>
      <c r="C192" s="148">
        <f>IFERROR(__xludf.DUMMYFUNCTION("""COMPUTED_VALUE"""),1.1221004E7)</f>
        <v>11221004</v>
      </c>
      <c r="D192" s="148">
        <f>IFERROR(__xludf.DUMMYFUNCTION("""COMPUTED_VALUE"""),1.5118719E7)</f>
        <v>15118719</v>
      </c>
      <c r="E192" s="148" t="str">
        <f>IFERROR(__xludf.DUMMYFUNCTION("""COMPUTED_VALUE"""),"{""typ"":""lc"",""txt"":""LC_KVK_kvk4_monster_name_2""}")</f>
        <v>{"typ":"lc","txt":"LC_KVK_kvk4_monster_name_2"}</v>
      </c>
      <c r="F192" s="148" t="str">
        <f>IFERROR(__xludf.DUMMYFUNCTION("""COMPUTED_VALUE"""),"{""typ"":""lc"",""txt"":""LC_KVK_kvk4_monster_desc_2""}")</f>
        <v>{"typ":"lc","txt":"LC_KVK_kvk4_monster_desc_2"}</v>
      </c>
      <c r="G192" s="148">
        <f>IFERROR(__xludf.DUMMYFUNCTION("""COMPUTED_VALUE"""),4.0)</f>
        <v>4</v>
      </c>
      <c r="H192" s="148">
        <f>IFERROR(__xludf.DUMMYFUNCTION("""COMPUTED_VALUE"""),10099.0)</f>
        <v>10099</v>
      </c>
      <c r="I192" s="148">
        <f>IFERROR(__xludf.DUMMYFUNCTION("""COMPUTED_VALUE"""),10099.0)</f>
        <v>10099</v>
      </c>
      <c r="J192" s="148">
        <f>IFERROR(__xludf.DUMMYFUNCTION("""COMPUTED_VALUE"""),0.0)</f>
        <v>0</v>
      </c>
      <c r="K192" s="148">
        <f>IFERROR(__xludf.DUMMYFUNCTION("""COMPUTED_VALUE"""),10.0)</f>
        <v>10</v>
      </c>
      <c r="L192" s="148">
        <f>IFERROR(__xludf.DUMMYFUNCTION("""COMPUTED_VALUE"""),99.0)</f>
        <v>99</v>
      </c>
      <c r="M192" s="148">
        <f>IFERROR(__xludf.DUMMYFUNCTION("""COMPUTED_VALUE"""),0.0)</f>
        <v>0</v>
      </c>
      <c r="N192" s="148" t="str">
        <f>IFERROR(__xludf.DUMMYFUNCTION("""COMPUTED_VALUE"""),"[]")</f>
        <v>[]</v>
      </c>
      <c r="O192" s="148" t="str">
        <f>IFERROR(__xludf.DUMMYFUNCTION("""COMPUTED_VALUE"""),"{}")</f>
        <v>{}</v>
      </c>
      <c r="P192" s="148">
        <f>IFERROR(__xludf.DUMMYFUNCTION("""COMPUTED_VALUE"""),0.0)</f>
        <v>0</v>
      </c>
      <c r="Q192" s="148" t="str">
        <f>IFERROR(__xludf.DUMMYFUNCTION("""COMPUTED_VALUE"""),"[]")</f>
        <v>[]</v>
      </c>
      <c r="R192" s="148" t="str">
        <f>IFERROR(__xludf.DUMMYFUNCTION("""COMPUTED_VALUE"""),"{}")</f>
        <v>{}</v>
      </c>
      <c r="S192" s="148">
        <f>IFERROR(__xludf.DUMMYFUNCTION("""COMPUTED_VALUE"""),0.0)</f>
        <v>0</v>
      </c>
      <c r="T192" s="148" t="str">
        <f>IFERROR(__xludf.DUMMYFUNCTION("""COMPUTED_VALUE"""),"[]")</f>
        <v>[]</v>
      </c>
      <c r="U192" s="148">
        <f>IFERROR(__xludf.DUMMYFUNCTION("""COMPUTED_VALUE"""),0.0)</f>
        <v>0</v>
      </c>
      <c r="V192" s="148" t="str">
        <f>IFERROR(__xludf.DUMMYFUNCTION("""COMPUTED_VALUE"""),"{}")</f>
        <v>{}</v>
      </c>
      <c r="W192" s="148" t="str">
        <f>IFERROR(__xludf.DUMMYFUNCTION("""COMPUTED_VALUE"""),"[]")</f>
        <v>[]</v>
      </c>
      <c r="X192" s="148" t="str">
        <f>IFERROR(__xludf.DUMMYFUNCTION("""COMPUTED_VALUE"""),"[{""typ"":""power"",""id"":12141002,""val"":10}]")</f>
        <v>[{"typ":"power","id":12141002,"val":10}]</v>
      </c>
      <c r="Y192" s="148" t="str">
        <f>IFERROR(__xludf.DUMMYFUNCTION("""COMPUTED_VALUE"""),"[{""typ"":""atk"",""val"":230},{""typ"":""def"",""val"":210},{""typ"":""hp"",""val"":210},{""typ"":""speed"",""val"":40},{""typ"":""load"",""val"":20},{""typ"":""backcoef"",""val"":0.5},{""typ"":""atkcoef"",""val"":1.0},{""typ"":""atkcd"",""val"":0}]")</f>
        <v>[{"typ":"atk","val":230},{"typ":"def","val":210},{"typ":"hp","val":210},{"typ":"speed","val":40},{"typ":"load","val":20},{"typ":"backcoef","val":0.5},{"typ":"atkcoef","val":1.0},{"typ":"atkcd","val":0}]</v>
      </c>
      <c r="Z192" s="148" t="str">
        <f>IFERROR(__xludf.DUMMYFUNCTION("""COMPUTED_VALUE"""),"[]")</f>
        <v>[]</v>
      </c>
    </row>
    <row r="193">
      <c r="A193" s="148">
        <f>IFERROR(__xludf.DUMMYFUNCTION("""COMPUTED_VALUE"""),1.1213045E7)</f>
        <v>11213045</v>
      </c>
      <c r="B193" s="148" t="str">
        <f>IFERROR(__xludf.DUMMYFUNCTION("""COMPUTED_VALUE"""),"大地图单位-kvk4-中立建筑-T5")</f>
        <v>大地图单位-kvk4-中立建筑-T5</v>
      </c>
      <c r="C193" s="148">
        <f>IFERROR(__xludf.DUMMYFUNCTION("""COMPUTED_VALUE"""),1.1221004E7)</f>
        <v>11221004</v>
      </c>
      <c r="D193" s="148">
        <f>IFERROR(__xludf.DUMMYFUNCTION("""COMPUTED_VALUE"""),1.5118718E7)</f>
        <v>15118718</v>
      </c>
      <c r="E193" s="148" t="str">
        <f>IFERROR(__xludf.DUMMYFUNCTION("""COMPUTED_VALUE"""),"{""typ"":""lc"",""txt"":""LC_NPC_npc_ruin_name_kvk""}")</f>
        <v>{"typ":"lc","txt":"LC_NPC_npc_ruin_name_kvk"}</v>
      </c>
      <c r="F193" s="148" t="str">
        <f>IFERROR(__xludf.DUMMYFUNCTION("""COMPUTED_VALUE"""),"{}")</f>
        <v>{}</v>
      </c>
      <c r="G193" s="148">
        <f>IFERROR(__xludf.DUMMYFUNCTION("""COMPUTED_VALUE"""),10.0)</f>
        <v>10</v>
      </c>
      <c r="H193" s="148">
        <f>IFERROR(__xludf.DUMMYFUNCTION("""COMPUTED_VALUE"""),10099.0)</f>
        <v>10099</v>
      </c>
      <c r="I193" s="148">
        <f>IFERROR(__xludf.DUMMYFUNCTION("""COMPUTED_VALUE"""),10099.0)</f>
        <v>10099</v>
      </c>
      <c r="J193" s="148">
        <f>IFERROR(__xludf.DUMMYFUNCTION("""COMPUTED_VALUE"""),0.0)</f>
        <v>0</v>
      </c>
      <c r="K193" s="148">
        <f>IFERROR(__xludf.DUMMYFUNCTION("""COMPUTED_VALUE"""),10.0)</f>
        <v>10</v>
      </c>
      <c r="L193" s="148">
        <f>IFERROR(__xludf.DUMMYFUNCTION("""COMPUTED_VALUE"""),99.0)</f>
        <v>99</v>
      </c>
      <c r="M193" s="148">
        <f>IFERROR(__xludf.DUMMYFUNCTION("""COMPUTED_VALUE"""),0.0)</f>
        <v>0</v>
      </c>
      <c r="N193" s="148" t="str">
        <f>IFERROR(__xludf.DUMMYFUNCTION("""COMPUTED_VALUE"""),"[]")</f>
        <v>[]</v>
      </c>
      <c r="O193" s="148" t="str">
        <f>IFERROR(__xludf.DUMMYFUNCTION("""COMPUTED_VALUE"""),"{}")</f>
        <v>{}</v>
      </c>
      <c r="P193" s="148">
        <f>IFERROR(__xludf.DUMMYFUNCTION("""COMPUTED_VALUE"""),0.0)</f>
        <v>0</v>
      </c>
      <c r="Q193" s="148" t="str">
        <f>IFERROR(__xludf.DUMMYFUNCTION("""COMPUTED_VALUE"""),"[]")</f>
        <v>[]</v>
      </c>
      <c r="R193" s="148" t="str">
        <f>IFERROR(__xludf.DUMMYFUNCTION("""COMPUTED_VALUE"""),"{}")</f>
        <v>{}</v>
      </c>
      <c r="S193" s="148">
        <f>IFERROR(__xludf.DUMMYFUNCTION("""COMPUTED_VALUE"""),0.0)</f>
        <v>0</v>
      </c>
      <c r="T193" s="148" t="str">
        <f>IFERROR(__xludf.DUMMYFUNCTION("""COMPUTED_VALUE"""),"[]")</f>
        <v>[]</v>
      </c>
      <c r="U193" s="148">
        <f>IFERROR(__xludf.DUMMYFUNCTION("""COMPUTED_VALUE"""),0.0)</f>
        <v>0</v>
      </c>
      <c r="V193" s="148" t="str">
        <f>IFERROR(__xludf.DUMMYFUNCTION("""COMPUTED_VALUE"""),"{}")</f>
        <v>{}</v>
      </c>
      <c r="W193" s="148" t="str">
        <f>IFERROR(__xludf.DUMMYFUNCTION("""COMPUTED_VALUE"""),"[]")</f>
        <v>[]</v>
      </c>
      <c r="X193" s="148" t="str">
        <f>IFERROR(__xludf.DUMMYFUNCTION("""COMPUTED_VALUE"""),"[{""typ"":""power"",""id"":12141002,""val"":10}]")</f>
        <v>[{"typ":"power","id":12141002,"val":10}]</v>
      </c>
      <c r="Y193" s="148" t="str">
        <f>IFERROR(__xludf.DUMMYFUNCTION("""COMPUTED_VALUE"""),"[{""typ"":""atk"",""val"":230},{""typ"":""def"",""val"":210},{""typ"":""hp"",""val"":210},{""typ"":""speed"",""val"":40},{""typ"":""load"",""val"":20},{""typ"":""backcoef"",""val"":0.5},{""typ"":""atkcoef"",""val"":1.0},{""typ"":""atkcd"",""val"":0}]")</f>
        <v>[{"typ":"atk","val":230},{"typ":"def","val":210},{"typ":"hp","val":210},{"typ":"speed","val":40},{"typ":"load","val":20},{"typ":"backcoef","val":0.5},{"typ":"atkcoef","val":1.0},{"typ":"atkcd","val":0}]</v>
      </c>
      <c r="Z193" s="148" t="str">
        <f>IFERROR(__xludf.DUMMYFUNCTION("""COMPUTED_VALUE"""),"[]")</f>
        <v>[]</v>
      </c>
    </row>
    <row r="194">
      <c r="A194" s="148">
        <f>IFERROR(__xludf.DUMMYFUNCTION("""COMPUTED_VALUE"""),1.1213046E7)</f>
        <v>11213046</v>
      </c>
      <c r="B194" s="148" t="str">
        <f>IFERROR(__xludf.DUMMYFUNCTION("""COMPUTED_VALUE"""),"大地图单位-kvk5-野怪-大恐龙-蓝")</f>
        <v>大地图单位-kvk5-野怪-大恐龙-蓝</v>
      </c>
      <c r="C194" s="148">
        <f>IFERROR(__xludf.DUMMYFUNCTION("""COMPUTED_VALUE"""),1.1221004E7)</f>
        <v>11221004</v>
      </c>
      <c r="D194" s="148">
        <f>IFERROR(__xludf.DUMMYFUNCTION("""COMPUTED_VALUE"""),1.51101069E8)</f>
        <v>151101069</v>
      </c>
      <c r="E194" s="148" t="str">
        <f>IFERROR(__xludf.DUMMYFUNCTION("""COMPUTED_VALUE"""),"{""typ"":""lc"",""txt"":""LC_KVK_kvk5_monster_name_2""}")</f>
        <v>{"typ":"lc","txt":"LC_KVK_kvk5_monster_name_2"}</v>
      </c>
      <c r="F194" s="148" t="str">
        <f>IFERROR(__xludf.DUMMYFUNCTION("""COMPUTED_VALUE"""),"{""typ"":""lc"",""txt"":""LC_KVK_kvk5_monster_desc_2""}")</f>
        <v>{"typ":"lc","txt":"LC_KVK_kvk5_monster_desc_2"}</v>
      </c>
      <c r="G194" s="148">
        <f>IFERROR(__xludf.DUMMYFUNCTION("""COMPUTED_VALUE"""),4.0)</f>
        <v>4</v>
      </c>
      <c r="H194" s="148">
        <f>IFERROR(__xludf.DUMMYFUNCTION("""COMPUTED_VALUE"""),10099.0)</f>
        <v>10099</v>
      </c>
      <c r="I194" s="148">
        <f>IFERROR(__xludf.DUMMYFUNCTION("""COMPUTED_VALUE"""),10099.0)</f>
        <v>10099</v>
      </c>
      <c r="J194" s="148">
        <f>IFERROR(__xludf.DUMMYFUNCTION("""COMPUTED_VALUE"""),0.0)</f>
        <v>0</v>
      </c>
      <c r="K194" s="148">
        <f>IFERROR(__xludf.DUMMYFUNCTION("""COMPUTED_VALUE"""),10.0)</f>
        <v>10</v>
      </c>
      <c r="L194" s="148">
        <f>IFERROR(__xludf.DUMMYFUNCTION("""COMPUTED_VALUE"""),99.0)</f>
        <v>99</v>
      </c>
      <c r="M194" s="148">
        <f>IFERROR(__xludf.DUMMYFUNCTION("""COMPUTED_VALUE"""),0.0)</f>
        <v>0</v>
      </c>
      <c r="N194" s="148" t="str">
        <f>IFERROR(__xludf.DUMMYFUNCTION("""COMPUTED_VALUE"""),"[]")</f>
        <v>[]</v>
      </c>
      <c r="O194" s="148" t="str">
        <f>IFERROR(__xludf.DUMMYFUNCTION("""COMPUTED_VALUE"""),"{}")</f>
        <v>{}</v>
      </c>
      <c r="P194" s="148">
        <f>IFERROR(__xludf.DUMMYFUNCTION("""COMPUTED_VALUE"""),0.0)</f>
        <v>0</v>
      </c>
      <c r="Q194" s="148" t="str">
        <f>IFERROR(__xludf.DUMMYFUNCTION("""COMPUTED_VALUE"""),"[]")</f>
        <v>[]</v>
      </c>
      <c r="R194" s="148" t="str">
        <f>IFERROR(__xludf.DUMMYFUNCTION("""COMPUTED_VALUE"""),"{}")</f>
        <v>{}</v>
      </c>
      <c r="S194" s="148">
        <f>IFERROR(__xludf.DUMMYFUNCTION("""COMPUTED_VALUE"""),0.0)</f>
        <v>0</v>
      </c>
      <c r="T194" s="148" t="str">
        <f>IFERROR(__xludf.DUMMYFUNCTION("""COMPUTED_VALUE"""),"[]")</f>
        <v>[]</v>
      </c>
      <c r="U194" s="148">
        <f>IFERROR(__xludf.DUMMYFUNCTION("""COMPUTED_VALUE"""),0.0)</f>
        <v>0</v>
      </c>
      <c r="V194" s="148" t="str">
        <f>IFERROR(__xludf.DUMMYFUNCTION("""COMPUTED_VALUE"""),"{}")</f>
        <v>{}</v>
      </c>
      <c r="W194" s="148" t="str">
        <f>IFERROR(__xludf.DUMMYFUNCTION("""COMPUTED_VALUE"""),"[]")</f>
        <v>[]</v>
      </c>
      <c r="X194" s="148" t="str">
        <f>IFERROR(__xludf.DUMMYFUNCTION("""COMPUTED_VALUE"""),"[{""typ"":""power"",""id"":12141002,""val"":10}]")</f>
        <v>[{"typ":"power","id":12141002,"val":10}]</v>
      </c>
      <c r="Y194" s="148" t="str">
        <f>IFERROR(__xludf.DUMMYFUNCTION("""COMPUTED_VALUE"""),"[{""typ"":""atk"",""val"":230},{""typ"":""def"",""val"":210},{""typ"":""hp"",""val"":210},{""typ"":""speed"",""val"":40},{""typ"":""load"",""val"":20},{""typ"":""backcoef"",""val"":0.5},{""typ"":""atkcoef"",""val"":1.0},{""typ"":""atkcd"",""val"":0}]")</f>
        <v>[{"typ":"atk","val":230},{"typ":"def","val":210},{"typ":"hp","val":210},{"typ":"speed","val":40},{"typ":"load","val":20},{"typ":"backcoef","val":0.5},{"typ":"atkcoef","val":1.0},{"typ":"atkcd","val":0}]</v>
      </c>
      <c r="Z194" s="148" t="str">
        <f>IFERROR(__xludf.DUMMYFUNCTION("""COMPUTED_VALUE"""),"[]")</f>
        <v>[]</v>
      </c>
    </row>
    <row r="195">
      <c r="A195" s="148">
        <f>IFERROR(__xludf.DUMMYFUNCTION("""COMPUTED_VALUE"""),1.1213047E7)</f>
        <v>11213047</v>
      </c>
      <c r="B195" s="148" t="str">
        <f>IFERROR(__xludf.DUMMYFUNCTION("""COMPUTED_VALUE"""),"大地图单位-kvk5-野怪-大恐龙-黄")</f>
        <v>大地图单位-kvk5-野怪-大恐龙-黄</v>
      </c>
      <c r="C195" s="148">
        <f>IFERROR(__xludf.DUMMYFUNCTION("""COMPUTED_VALUE"""),1.1221004E7)</f>
        <v>11221004</v>
      </c>
      <c r="D195" s="148">
        <f>IFERROR(__xludf.DUMMYFUNCTION("""COMPUTED_VALUE"""),1.5110107E8)</f>
        <v>151101070</v>
      </c>
      <c r="E195" s="148" t="str">
        <f>IFERROR(__xludf.DUMMYFUNCTION("""COMPUTED_VALUE"""),"{""typ"":""lc"",""txt"":""LC_KVK_kvk5_monster_name_2""}")</f>
        <v>{"typ":"lc","txt":"LC_KVK_kvk5_monster_name_2"}</v>
      </c>
      <c r="F195" s="148" t="str">
        <f>IFERROR(__xludf.DUMMYFUNCTION("""COMPUTED_VALUE"""),"{""typ"":""lc"",""txt"":""LC_KVK_kvk5_monster_desc_2""}")</f>
        <v>{"typ":"lc","txt":"LC_KVK_kvk5_monster_desc_2"}</v>
      </c>
      <c r="G195" s="148">
        <f>IFERROR(__xludf.DUMMYFUNCTION("""COMPUTED_VALUE"""),4.0)</f>
        <v>4</v>
      </c>
      <c r="H195" s="148">
        <f>IFERROR(__xludf.DUMMYFUNCTION("""COMPUTED_VALUE"""),10099.0)</f>
        <v>10099</v>
      </c>
      <c r="I195" s="148">
        <f>IFERROR(__xludf.DUMMYFUNCTION("""COMPUTED_VALUE"""),10099.0)</f>
        <v>10099</v>
      </c>
      <c r="J195" s="148">
        <f>IFERROR(__xludf.DUMMYFUNCTION("""COMPUTED_VALUE"""),0.0)</f>
        <v>0</v>
      </c>
      <c r="K195" s="148">
        <f>IFERROR(__xludf.DUMMYFUNCTION("""COMPUTED_VALUE"""),10.0)</f>
        <v>10</v>
      </c>
      <c r="L195" s="148">
        <f>IFERROR(__xludf.DUMMYFUNCTION("""COMPUTED_VALUE"""),99.0)</f>
        <v>99</v>
      </c>
      <c r="M195" s="148">
        <f>IFERROR(__xludf.DUMMYFUNCTION("""COMPUTED_VALUE"""),0.0)</f>
        <v>0</v>
      </c>
      <c r="N195" s="148" t="str">
        <f>IFERROR(__xludf.DUMMYFUNCTION("""COMPUTED_VALUE"""),"[]")</f>
        <v>[]</v>
      </c>
      <c r="O195" s="148" t="str">
        <f>IFERROR(__xludf.DUMMYFUNCTION("""COMPUTED_VALUE"""),"{}")</f>
        <v>{}</v>
      </c>
      <c r="P195" s="148">
        <f>IFERROR(__xludf.DUMMYFUNCTION("""COMPUTED_VALUE"""),0.0)</f>
        <v>0</v>
      </c>
      <c r="Q195" s="148" t="str">
        <f>IFERROR(__xludf.DUMMYFUNCTION("""COMPUTED_VALUE"""),"[]")</f>
        <v>[]</v>
      </c>
      <c r="R195" s="148" t="str">
        <f>IFERROR(__xludf.DUMMYFUNCTION("""COMPUTED_VALUE"""),"{}")</f>
        <v>{}</v>
      </c>
      <c r="S195" s="148">
        <f>IFERROR(__xludf.DUMMYFUNCTION("""COMPUTED_VALUE"""),0.0)</f>
        <v>0</v>
      </c>
      <c r="T195" s="148" t="str">
        <f>IFERROR(__xludf.DUMMYFUNCTION("""COMPUTED_VALUE"""),"[]")</f>
        <v>[]</v>
      </c>
      <c r="U195" s="148">
        <f>IFERROR(__xludf.DUMMYFUNCTION("""COMPUTED_VALUE"""),0.0)</f>
        <v>0</v>
      </c>
      <c r="V195" s="148" t="str">
        <f>IFERROR(__xludf.DUMMYFUNCTION("""COMPUTED_VALUE"""),"{}")</f>
        <v>{}</v>
      </c>
      <c r="W195" s="148" t="str">
        <f>IFERROR(__xludf.DUMMYFUNCTION("""COMPUTED_VALUE"""),"[]")</f>
        <v>[]</v>
      </c>
      <c r="X195" s="148" t="str">
        <f>IFERROR(__xludf.DUMMYFUNCTION("""COMPUTED_VALUE"""),"[{""typ"":""power"",""id"":12141002,""val"":10}]")</f>
        <v>[{"typ":"power","id":12141002,"val":10}]</v>
      </c>
      <c r="Y195" s="148" t="str">
        <f>IFERROR(__xludf.DUMMYFUNCTION("""COMPUTED_VALUE"""),"[{""typ"":""atk"",""val"":230},{""typ"":""def"",""val"":210},{""typ"":""hp"",""val"":210},{""typ"":""speed"",""val"":40},{""typ"":""load"",""val"":20},{""typ"":""backcoef"",""val"":0.5},{""typ"":""atkcoef"",""val"":1.0},{""typ"":""atkcd"",""val"":0}]")</f>
        <v>[{"typ":"atk","val":230},{"typ":"def","val":210},{"typ":"hp","val":210},{"typ":"speed","val":40},{"typ":"load","val":20},{"typ":"backcoef","val":0.5},{"typ":"atkcoef","val":1.0},{"typ":"atkcd","val":0}]</v>
      </c>
      <c r="Z195" s="148" t="str">
        <f>IFERROR(__xludf.DUMMYFUNCTION("""COMPUTED_VALUE"""),"[]")</f>
        <v>[]</v>
      </c>
    </row>
    <row r="196">
      <c r="A196" s="148">
        <f>IFERROR(__xludf.DUMMYFUNCTION("""COMPUTED_VALUE"""),1.1213048E7)</f>
        <v>11213048</v>
      </c>
      <c r="B196" s="148" t="str">
        <f>IFERROR(__xludf.DUMMYFUNCTION("""COMPUTED_VALUE"""),"大地图单位-kvk5-野怪-大恐龙-紫")</f>
        <v>大地图单位-kvk5-野怪-大恐龙-紫</v>
      </c>
      <c r="C196" s="148">
        <f>IFERROR(__xludf.DUMMYFUNCTION("""COMPUTED_VALUE"""),1.1221004E7)</f>
        <v>11221004</v>
      </c>
      <c r="D196" s="148">
        <f>IFERROR(__xludf.DUMMYFUNCTION("""COMPUTED_VALUE"""),1.51101071E8)</f>
        <v>151101071</v>
      </c>
      <c r="E196" s="148" t="str">
        <f>IFERROR(__xludf.DUMMYFUNCTION("""COMPUTED_VALUE"""),"{""typ"":""lc"",""txt"":""LC_KVK_kvk5_monster_name_2""}")</f>
        <v>{"typ":"lc","txt":"LC_KVK_kvk5_monster_name_2"}</v>
      </c>
      <c r="F196" s="148" t="str">
        <f>IFERROR(__xludf.DUMMYFUNCTION("""COMPUTED_VALUE"""),"{""typ"":""lc"",""txt"":""LC_KVK_kvk5_monster_desc_2""}")</f>
        <v>{"typ":"lc","txt":"LC_KVK_kvk5_monster_desc_2"}</v>
      </c>
      <c r="G196" s="148">
        <f>IFERROR(__xludf.DUMMYFUNCTION("""COMPUTED_VALUE"""),4.0)</f>
        <v>4</v>
      </c>
      <c r="H196" s="148">
        <f>IFERROR(__xludf.DUMMYFUNCTION("""COMPUTED_VALUE"""),10099.0)</f>
        <v>10099</v>
      </c>
      <c r="I196" s="148">
        <f>IFERROR(__xludf.DUMMYFUNCTION("""COMPUTED_VALUE"""),10099.0)</f>
        <v>10099</v>
      </c>
      <c r="J196" s="148">
        <f>IFERROR(__xludf.DUMMYFUNCTION("""COMPUTED_VALUE"""),0.0)</f>
        <v>0</v>
      </c>
      <c r="K196" s="148">
        <f>IFERROR(__xludf.DUMMYFUNCTION("""COMPUTED_VALUE"""),10.0)</f>
        <v>10</v>
      </c>
      <c r="L196" s="148">
        <f>IFERROR(__xludf.DUMMYFUNCTION("""COMPUTED_VALUE"""),99.0)</f>
        <v>99</v>
      </c>
      <c r="M196" s="148">
        <f>IFERROR(__xludf.DUMMYFUNCTION("""COMPUTED_VALUE"""),0.0)</f>
        <v>0</v>
      </c>
      <c r="N196" s="148" t="str">
        <f>IFERROR(__xludf.DUMMYFUNCTION("""COMPUTED_VALUE"""),"[]")</f>
        <v>[]</v>
      </c>
      <c r="O196" s="148" t="str">
        <f>IFERROR(__xludf.DUMMYFUNCTION("""COMPUTED_VALUE"""),"{}")</f>
        <v>{}</v>
      </c>
      <c r="P196" s="148">
        <f>IFERROR(__xludf.DUMMYFUNCTION("""COMPUTED_VALUE"""),0.0)</f>
        <v>0</v>
      </c>
      <c r="Q196" s="148" t="str">
        <f>IFERROR(__xludf.DUMMYFUNCTION("""COMPUTED_VALUE"""),"[]")</f>
        <v>[]</v>
      </c>
      <c r="R196" s="148" t="str">
        <f>IFERROR(__xludf.DUMMYFUNCTION("""COMPUTED_VALUE"""),"{}")</f>
        <v>{}</v>
      </c>
      <c r="S196" s="148">
        <f>IFERROR(__xludf.DUMMYFUNCTION("""COMPUTED_VALUE"""),0.0)</f>
        <v>0</v>
      </c>
      <c r="T196" s="148" t="str">
        <f>IFERROR(__xludf.DUMMYFUNCTION("""COMPUTED_VALUE"""),"[]")</f>
        <v>[]</v>
      </c>
      <c r="U196" s="148">
        <f>IFERROR(__xludf.DUMMYFUNCTION("""COMPUTED_VALUE"""),0.0)</f>
        <v>0</v>
      </c>
      <c r="V196" s="148" t="str">
        <f>IFERROR(__xludf.DUMMYFUNCTION("""COMPUTED_VALUE"""),"{}")</f>
        <v>{}</v>
      </c>
      <c r="W196" s="148" t="str">
        <f>IFERROR(__xludf.DUMMYFUNCTION("""COMPUTED_VALUE"""),"[]")</f>
        <v>[]</v>
      </c>
      <c r="X196" s="148" t="str">
        <f>IFERROR(__xludf.DUMMYFUNCTION("""COMPUTED_VALUE"""),"[{""typ"":""power"",""id"":12141002,""val"":10}]")</f>
        <v>[{"typ":"power","id":12141002,"val":10}]</v>
      </c>
      <c r="Y196" s="148" t="str">
        <f>IFERROR(__xludf.DUMMYFUNCTION("""COMPUTED_VALUE"""),"[{""typ"":""atk"",""val"":230},{""typ"":""def"",""val"":210},{""typ"":""hp"",""val"":210},{""typ"":""speed"",""val"":40},{""typ"":""load"",""val"":20},{""typ"":""backcoef"",""val"":0.5},{""typ"":""atkcoef"",""val"":1.0},{""typ"":""atkcd"",""val"":0}]")</f>
        <v>[{"typ":"atk","val":230},{"typ":"def","val":210},{"typ":"hp","val":210},{"typ":"speed","val":40},{"typ":"load","val":20},{"typ":"backcoef","val":0.5},{"typ":"atkcoef","val":1.0},{"typ":"atkcd","val":0}]</v>
      </c>
      <c r="Z196" s="148" t="str">
        <f>IFERROR(__xludf.DUMMYFUNCTION("""COMPUTED_VALUE"""),"[]")</f>
        <v>[]</v>
      </c>
    </row>
    <row r="197">
      <c r="A197" s="148">
        <f>IFERROR(__xludf.DUMMYFUNCTION("""COMPUTED_VALUE"""),1.1213049E7)</f>
        <v>11213049</v>
      </c>
      <c r="B197" s="148" t="str">
        <f>IFERROR(__xludf.DUMMYFUNCTION("""COMPUTED_VALUE"""),"大地图单位-kvk5-野怪-小恐龙-蓝")</f>
        <v>大地图单位-kvk5-野怪-小恐龙-蓝</v>
      </c>
      <c r="C197" s="148">
        <f>IFERROR(__xludf.DUMMYFUNCTION("""COMPUTED_VALUE"""),1.1221004E7)</f>
        <v>11221004</v>
      </c>
      <c r="D197" s="148">
        <f>IFERROR(__xludf.DUMMYFUNCTION("""COMPUTED_VALUE"""),1.51101065E8)</f>
        <v>151101065</v>
      </c>
      <c r="E197" s="148" t="str">
        <f>IFERROR(__xludf.DUMMYFUNCTION("""COMPUTED_VALUE"""),"{""typ"":""lc"",""txt"":""LC_KVK_kvk5_monster_name_1""}")</f>
        <v>{"typ":"lc","txt":"LC_KVK_kvk5_monster_name_1"}</v>
      </c>
      <c r="F197" s="148" t="str">
        <f>IFERROR(__xludf.DUMMYFUNCTION("""COMPUTED_VALUE"""),"{""typ"":""lc"",""txt"":""LC_KVK_kvk5_monster_desc_1""}")</f>
        <v>{"typ":"lc","txt":"LC_KVK_kvk5_monster_desc_1"}</v>
      </c>
      <c r="G197" s="148">
        <f>IFERROR(__xludf.DUMMYFUNCTION("""COMPUTED_VALUE"""),4.0)</f>
        <v>4</v>
      </c>
      <c r="H197" s="148">
        <f>IFERROR(__xludf.DUMMYFUNCTION("""COMPUTED_VALUE"""),10099.0)</f>
        <v>10099</v>
      </c>
      <c r="I197" s="148">
        <f>IFERROR(__xludf.DUMMYFUNCTION("""COMPUTED_VALUE"""),10099.0)</f>
        <v>10099</v>
      </c>
      <c r="J197" s="148">
        <f>IFERROR(__xludf.DUMMYFUNCTION("""COMPUTED_VALUE"""),0.0)</f>
        <v>0</v>
      </c>
      <c r="K197" s="148">
        <f>IFERROR(__xludf.DUMMYFUNCTION("""COMPUTED_VALUE"""),10.0)</f>
        <v>10</v>
      </c>
      <c r="L197" s="148">
        <f>IFERROR(__xludf.DUMMYFUNCTION("""COMPUTED_VALUE"""),99.0)</f>
        <v>99</v>
      </c>
      <c r="M197" s="148">
        <f>IFERROR(__xludf.DUMMYFUNCTION("""COMPUTED_VALUE"""),0.0)</f>
        <v>0</v>
      </c>
      <c r="N197" s="148" t="str">
        <f>IFERROR(__xludf.DUMMYFUNCTION("""COMPUTED_VALUE"""),"[]")</f>
        <v>[]</v>
      </c>
      <c r="O197" s="148" t="str">
        <f>IFERROR(__xludf.DUMMYFUNCTION("""COMPUTED_VALUE"""),"{}")</f>
        <v>{}</v>
      </c>
      <c r="P197" s="148">
        <f>IFERROR(__xludf.DUMMYFUNCTION("""COMPUTED_VALUE"""),0.0)</f>
        <v>0</v>
      </c>
      <c r="Q197" s="148" t="str">
        <f>IFERROR(__xludf.DUMMYFUNCTION("""COMPUTED_VALUE"""),"[]")</f>
        <v>[]</v>
      </c>
      <c r="R197" s="148" t="str">
        <f>IFERROR(__xludf.DUMMYFUNCTION("""COMPUTED_VALUE"""),"{}")</f>
        <v>{}</v>
      </c>
      <c r="S197" s="148">
        <f>IFERROR(__xludf.DUMMYFUNCTION("""COMPUTED_VALUE"""),0.0)</f>
        <v>0</v>
      </c>
      <c r="T197" s="148" t="str">
        <f>IFERROR(__xludf.DUMMYFUNCTION("""COMPUTED_VALUE"""),"[]")</f>
        <v>[]</v>
      </c>
      <c r="U197" s="148">
        <f>IFERROR(__xludf.DUMMYFUNCTION("""COMPUTED_VALUE"""),0.0)</f>
        <v>0</v>
      </c>
      <c r="V197" s="148" t="str">
        <f>IFERROR(__xludf.DUMMYFUNCTION("""COMPUTED_VALUE"""),"{}")</f>
        <v>{}</v>
      </c>
      <c r="W197" s="148" t="str">
        <f>IFERROR(__xludf.DUMMYFUNCTION("""COMPUTED_VALUE"""),"[]")</f>
        <v>[]</v>
      </c>
      <c r="X197" s="148" t="str">
        <f>IFERROR(__xludf.DUMMYFUNCTION("""COMPUTED_VALUE"""),"[{""typ"":""power"",""id"":12141002,""val"":4}]")</f>
        <v>[{"typ":"power","id":12141002,"val":4}]</v>
      </c>
      <c r="Y197" s="148" t="str">
        <f>IFERROR(__xludf.DUMMYFUNCTION("""COMPUTED_VALUE"""),"[{""typ"":""atk"",""val"":160},{""typ"":""def"",""val"":160},{""typ"":""hp"",""val"":160},{""typ"":""speed"",""val"":40},{""typ"":""load"",""val"":20},{""typ"":""backcoef"",""val"":0.5},{""typ"":""atkcoef"",""val"":1.0},{""typ"":""atkcd"",""val"":0}]")</f>
        <v>[{"typ":"atk","val":160},{"typ":"def","val":160},{"typ":"hp","val":160},{"typ":"speed","val":40},{"typ":"load","val":20},{"typ":"backcoef","val":0.5},{"typ":"atkcoef","val":1.0},{"typ":"atkcd","val":0}]</v>
      </c>
      <c r="Z197" s="148" t="str">
        <f>IFERROR(__xludf.DUMMYFUNCTION("""COMPUTED_VALUE"""),"[]")</f>
        <v>[]</v>
      </c>
    </row>
    <row r="198">
      <c r="A198" s="148">
        <f>IFERROR(__xludf.DUMMYFUNCTION("""COMPUTED_VALUE"""),1.121305E7)</f>
        <v>11213050</v>
      </c>
      <c r="B198" s="148" t="str">
        <f>IFERROR(__xludf.DUMMYFUNCTION("""COMPUTED_VALUE"""),"大地图单位-kvk5-野怪-小恐龙-黄")</f>
        <v>大地图单位-kvk5-野怪-小恐龙-黄</v>
      </c>
      <c r="C198" s="148">
        <f>IFERROR(__xludf.DUMMYFUNCTION("""COMPUTED_VALUE"""),1.1221004E7)</f>
        <v>11221004</v>
      </c>
      <c r="D198" s="148">
        <f>IFERROR(__xludf.DUMMYFUNCTION("""COMPUTED_VALUE"""),1.51101066E8)</f>
        <v>151101066</v>
      </c>
      <c r="E198" s="148" t="str">
        <f>IFERROR(__xludf.DUMMYFUNCTION("""COMPUTED_VALUE"""),"{""typ"":""lc"",""txt"":""LC_KVK_kvk5_monster_name_1""}")</f>
        <v>{"typ":"lc","txt":"LC_KVK_kvk5_monster_name_1"}</v>
      </c>
      <c r="F198" s="148" t="str">
        <f>IFERROR(__xludf.DUMMYFUNCTION("""COMPUTED_VALUE"""),"{""typ"":""lc"",""txt"":""LC_KVK_kvk5_monster_desc_1""}")</f>
        <v>{"typ":"lc","txt":"LC_KVK_kvk5_monster_desc_1"}</v>
      </c>
      <c r="G198" s="148">
        <f>IFERROR(__xludf.DUMMYFUNCTION("""COMPUTED_VALUE"""),4.0)</f>
        <v>4</v>
      </c>
      <c r="H198" s="148">
        <f>IFERROR(__xludf.DUMMYFUNCTION("""COMPUTED_VALUE"""),10099.0)</f>
        <v>10099</v>
      </c>
      <c r="I198" s="148">
        <f>IFERROR(__xludf.DUMMYFUNCTION("""COMPUTED_VALUE"""),10099.0)</f>
        <v>10099</v>
      </c>
      <c r="J198" s="148">
        <f>IFERROR(__xludf.DUMMYFUNCTION("""COMPUTED_VALUE"""),0.0)</f>
        <v>0</v>
      </c>
      <c r="K198" s="148">
        <f>IFERROR(__xludf.DUMMYFUNCTION("""COMPUTED_VALUE"""),10.0)</f>
        <v>10</v>
      </c>
      <c r="L198" s="148">
        <f>IFERROR(__xludf.DUMMYFUNCTION("""COMPUTED_VALUE"""),99.0)</f>
        <v>99</v>
      </c>
      <c r="M198" s="148">
        <f>IFERROR(__xludf.DUMMYFUNCTION("""COMPUTED_VALUE"""),0.0)</f>
        <v>0</v>
      </c>
      <c r="N198" s="148" t="str">
        <f>IFERROR(__xludf.DUMMYFUNCTION("""COMPUTED_VALUE"""),"[]")</f>
        <v>[]</v>
      </c>
      <c r="O198" s="148" t="str">
        <f>IFERROR(__xludf.DUMMYFUNCTION("""COMPUTED_VALUE"""),"{}")</f>
        <v>{}</v>
      </c>
      <c r="P198" s="148">
        <f>IFERROR(__xludf.DUMMYFUNCTION("""COMPUTED_VALUE"""),0.0)</f>
        <v>0</v>
      </c>
      <c r="Q198" s="148" t="str">
        <f>IFERROR(__xludf.DUMMYFUNCTION("""COMPUTED_VALUE"""),"[]")</f>
        <v>[]</v>
      </c>
      <c r="R198" s="148" t="str">
        <f>IFERROR(__xludf.DUMMYFUNCTION("""COMPUTED_VALUE"""),"{}")</f>
        <v>{}</v>
      </c>
      <c r="S198" s="148">
        <f>IFERROR(__xludf.DUMMYFUNCTION("""COMPUTED_VALUE"""),0.0)</f>
        <v>0</v>
      </c>
      <c r="T198" s="148" t="str">
        <f>IFERROR(__xludf.DUMMYFUNCTION("""COMPUTED_VALUE"""),"[]")</f>
        <v>[]</v>
      </c>
      <c r="U198" s="148">
        <f>IFERROR(__xludf.DUMMYFUNCTION("""COMPUTED_VALUE"""),0.0)</f>
        <v>0</v>
      </c>
      <c r="V198" s="148" t="str">
        <f>IFERROR(__xludf.DUMMYFUNCTION("""COMPUTED_VALUE"""),"{}")</f>
        <v>{}</v>
      </c>
      <c r="W198" s="148" t="str">
        <f>IFERROR(__xludf.DUMMYFUNCTION("""COMPUTED_VALUE"""),"[]")</f>
        <v>[]</v>
      </c>
      <c r="X198" s="148" t="str">
        <f>IFERROR(__xludf.DUMMYFUNCTION("""COMPUTED_VALUE"""),"[{""typ"":""power"",""id"":12141002,""val"":4}]")</f>
        <v>[{"typ":"power","id":12141002,"val":4}]</v>
      </c>
      <c r="Y198" s="148" t="str">
        <f>IFERROR(__xludf.DUMMYFUNCTION("""COMPUTED_VALUE"""),"[{""typ"":""atk"",""val"":160},{""typ"":""def"",""val"":160},{""typ"":""hp"",""val"":160},{""typ"":""speed"",""val"":40},{""typ"":""load"",""val"":20},{""typ"":""backcoef"",""val"":0.5},{""typ"":""atkcoef"",""val"":1.0},{""typ"":""atkcd"",""val"":0}]")</f>
        <v>[{"typ":"atk","val":160},{"typ":"def","val":160},{"typ":"hp","val":160},{"typ":"speed","val":40},{"typ":"load","val":20},{"typ":"backcoef","val":0.5},{"typ":"atkcoef","val":1.0},{"typ":"atkcd","val":0}]</v>
      </c>
      <c r="Z198" s="148" t="str">
        <f>IFERROR(__xludf.DUMMYFUNCTION("""COMPUTED_VALUE"""),"[]")</f>
        <v>[]</v>
      </c>
    </row>
    <row r="199">
      <c r="A199" s="148">
        <f>IFERROR(__xludf.DUMMYFUNCTION("""COMPUTED_VALUE"""),1.1213051E7)</f>
        <v>11213051</v>
      </c>
      <c r="B199" s="148" t="str">
        <f>IFERROR(__xludf.DUMMYFUNCTION("""COMPUTED_VALUE"""),"大地图单位-kvk5-野怪-小恐龙-紫")</f>
        <v>大地图单位-kvk5-野怪-小恐龙-紫</v>
      </c>
      <c r="C199" s="148">
        <f>IFERROR(__xludf.DUMMYFUNCTION("""COMPUTED_VALUE"""),1.1221004E7)</f>
        <v>11221004</v>
      </c>
      <c r="D199" s="148">
        <f>IFERROR(__xludf.DUMMYFUNCTION("""COMPUTED_VALUE"""),1.51101067E8)</f>
        <v>151101067</v>
      </c>
      <c r="E199" s="148" t="str">
        <f>IFERROR(__xludf.DUMMYFUNCTION("""COMPUTED_VALUE"""),"{""typ"":""lc"",""txt"":""LC_KVK_kvk5_monster_name_1""}")</f>
        <v>{"typ":"lc","txt":"LC_KVK_kvk5_monster_name_1"}</v>
      </c>
      <c r="F199" s="148" t="str">
        <f>IFERROR(__xludf.DUMMYFUNCTION("""COMPUTED_VALUE"""),"{""typ"":""lc"",""txt"":""LC_KVK_kvk5_monster_desc_1""}")</f>
        <v>{"typ":"lc","txt":"LC_KVK_kvk5_monster_desc_1"}</v>
      </c>
      <c r="G199" s="148">
        <f>IFERROR(__xludf.DUMMYFUNCTION("""COMPUTED_VALUE"""),4.0)</f>
        <v>4</v>
      </c>
      <c r="H199" s="148">
        <f>IFERROR(__xludf.DUMMYFUNCTION("""COMPUTED_VALUE"""),10099.0)</f>
        <v>10099</v>
      </c>
      <c r="I199" s="148">
        <f>IFERROR(__xludf.DUMMYFUNCTION("""COMPUTED_VALUE"""),10099.0)</f>
        <v>10099</v>
      </c>
      <c r="J199" s="148">
        <f>IFERROR(__xludf.DUMMYFUNCTION("""COMPUTED_VALUE"""),0.0)</f>
        <v>0</v>
      </c>
      <c r="K199" s="148">
        <f>IFERROR(__xludf.DUMMYFUNCTION("""COMPUTED_VALUE"""),10.0)</f>
        <v>10</v>
      </c>
      <c r="L199" s="148">
        <f>IFERROR(__xludf.DUMMYFUNCTION("""COMPUTED_VALUE"""),99.0)</f>
        <v>99</v>
      </c>
      <c r="M199" s="148">
        <f>IFERROR(__xludf.DUMMYFUNCTION("""COMPUTED_VALUE"""),0.0)</f>
        <v>0</v>
      </c>
      <c r="N199" s="148" t="str">
        <f>IFERROR(__xludf.DUMMYFUNCTION("""COMPUTED_VALUE"""),"[]")</f>
        <v>[]</v>
      </c>
      <c r="O199" s="148" t="str">
        <f>IFERROR(__xludf.DUMMYFUNCTION("""COMPUTED_VALUE"""),"{}")</f>
        <v>{}</v>
      </c>
      <c r="P199" s="148">
        <f>IFERROR(__xludf.DUMMYFUNCTION("""COMPUTED_VALUE"""),0.0)</f>
        <v>0</v>
      </c>
      <c r="Q199" s="148" t="str">
        <f>IFERROR(__xludf.DUMMYFUNCTION("""COMPUTED_VALUE"""),"[]")</f>
        <v>[]</v>
      </c>
      <c r="R199" s="148" t="str">
        <f>IFERROR(__xludf.DUMMYFUNCTION("""COMPUTED_VALUE"""),"{}")</f>
        <v>{}</v>
      </c>
      <c r="S199" s="148">
        <f>IFERROR(__xludf.DUMMYFUNCTION("""COMPUTED_VALUE"""),0.0)</f>
        <v>0</v>
      </c>
      <c r="T199" s="148" t="str">
        <f>IFERROR(__xludf.DUMMYFUNCTION("""COMPUTED_VALUE"""),"[]")</f>
        <v>[]</v>
      </c>
      <c r="U199" s="148">
        <f>IFERROR(__xludf.DUMMYFUNCTION("""COMPUTED_VALUE"""),0.0)</f>
        <v>0</v>
      </c>
      <c r="V199" s="148" t="str">
        <f>IFERROR(__xludf.DUMMYFUNCTION("""COMPUTED_VALUE"""),"{}")</f>
        <v>{}</v>
      </c>
      <c r="W199" s="148" t="str">
        <f>IFERROR(__xludf.DUMMYFUNCTION("""COMPUTED_VALUE"""),"[]")</f>
        <v>[]</v>
      </c>
      <c r="X199" s="148" t="str">
        <f>IFERROR(__xludf.DUMMYFUNCTION("""COMPUTED_VALUE"""),"[{""typ"":""power"",""id"":12141002,""val"":4}]")</f>
        <v>[{"typ":"power","id":12141002,"val":4}]</v>
      </c>
      <c r="Y199" s="148" t="str">
        <f>IFERROR(__xludf.DUMMYFUNCTION("""COMPUTED_VALUE"""),"[{""typ"":""atk"",""val"":160},{""typ"":""def"",""val"":160},{""typ"":""hp"",""val"":160},{""typ"":""speed"",""val"":40},{""typ"":""load"",""val"":20},{""typ"":""backcoef"",""val"":0.5},{""typ"":""atkcoef"",""val"":1.0},{""typ"":""atkcd"",""val"":0}]")</f>
        <v>[{"typ":"atk","val":160},{"typ":"def","val":160},{"typ":"hp","val":160},{"typ":"speed","val":40},{"typ":"load","val":20},{"typ":"backcoef","val":0.5},{"typ":"atkcoef","val":1.0},{"typ":"atkcd","val":0}]</v>
      </c>
      <c r="Z199" s="148" t="str">
        <f>IFERROR(__xludf.DUMMYFUNCTION("""COMPUTED_VALUE"""),"[]")</f>
        <v>[]</v>
      </c>
    </row>
    <row r="200">
      <c r="A200" s="148">
        <f>IFERROR(__xludf.DUMMYFUNCTION("""COMPUTED_VALUE"""),1.1213111E7)</f>
        <v>11213111</v>
      </c>
      <c r="B200" s="148" t="str">
        <f>IFERROR(__xludf.DUMMYFUNCTION("""COMPUTED_VALUE"""),"人类遗迹-变异猴-打击手-T1")</f>
        <v>人类遗迹-变异猴-打击手-T1</v>
      </c>
      <c r="C200" s="148">
        <f>IFERROR(__xludf.DUMMYFUNCTION("""COMPUTED_VALUE"""),1.1222001E7)</f>
        <v>11222001</v>
      </c>
      <c r="D200" s="148">
        <f>IFERROR(__xludf.DUMMYFUNCTION("""COMPUTED_VALUE"""),1.5110234E7)</f>
        <v>15110234</v>
      </c>
      <c r="E200" s="148" t="str">
        <f>IFERROR(__xludf.DUMMYFUNCTION("""COMPUTED_VALUE"""),"{""typ"":""lc"",""txt"":""LC_SOLDIER_npc_slodier_name_1""}")</f>
        <v>{"typ":"lc","txt":"LC_SOLDIER_npc_slodier_name_1"}</v>
      </c>
      <c r="F200" s="148" t="str">
        <f>IFERROR(__xludf.DUMMYFUNCTION("""COMPUTED_VALUE"""),"{}")</f>
        <v>{}</v>
      </c>
      <c r="G200" s="148">
        <f>IFERROR(__xludf.DUMMYFUNCTION("""COMPUTED_VALUE"""),10.0)</f>
        <v>10</v>
      </c>
      <c r="H200" s="148">
        <f>IFERROR(__xludf.DUMMYFUNCTION("""COMPUTED_VALUE"""),10099.0)</f>
        <v>10099</v>
      </c>
      <c r="I200" s="148">
        <f>IFERROR(__xludf.DUMMYFUNCTION("""COMPUTED_VALUE"""),10099.0)</f>
        <v>10099</v>
      </c>
      <c r="J200" s="148">
        <f>IFERROR(__xludf.DUMMYFUNCTION("""COMPUTED_VALUE"""),0.0)</f>
        <v>0</v>
      </c>
      <c r="K200" s="148">
        <f>IFERROR(__xludf.DUMMYFUNCTION("""COMPUTED_VALUE"""),10.0)</f>
        <v>10</v>
      </c>
      <c r="L200" s="148">
        <f>IFERROR(__xludf.DUMMYFUNCTION("""COMPUTED_VALUE"""),99.0)</f>
        <v>99</v>
      </c>
      <c r="M200" s="148">
        <f>IFERROR(__xludf.DUMMYFUNCTION("""COMPUTED_VALUE"""),0.0)</f>
        <v>0</v>
      </c>
      <c r="N200" s="148" t="str">
        <f>IFERROR(__xludf.DUMMYFUNCTION("""COMPUTED_VALUE"""),"[]")</f>
        <v>[]</v>
      </c>
      <c r="O200" s="148" t="str">
        <f>IFERROR(__xludf.DUMMYFUNCTION("""COMPUTED_VALUE"""),"{}")</f>
        <v>{}</v>
      </c>
      <c r="P200" s="148">
        <f>IFERROR(__xludf.DUMMYFUNCTION("""COMPUTED_VALUE"""),0.0)</f>
        <v>0</v>
      </c>
      <c r="Q200" s="148" t="str">
        <f>IFERROR(__xludf.DUMMYFUNCTION("""COMPUTED_VALUE"""),"[]")</f>
        <v>[]</v>
      </c>
      <c r="R200" s="148" t="str">
        <f>IFERROR(__xludf.DUMMYFUNCTION("""COMPUTED_VALUE"""),"{}")</f>
        <v>{}</v>
      </c>
      <c r="S200" s="148">
        <f>IFERROR(__xludf.DUMMYFUNCTION("""COMPUTED_VALUE"""),0.0)</f>
        <v>0</v>
      </c>
      <c r="T200" s="148" t="str">
        <f>IFERROR(__xludf.DUMMYFUNCTION("""COMPUTED_VALUE"""),"[]")</f>
        <v>[]</v>
      </c>
      <c r="U200" s="148">
        <f>IFERROR(__xludf.DUMMYFUNCTION("""COMPUTED_VALUE"""),0.0)</f>
        <v>0</v>
      </c>
      <c r="V200" s="148" t="str">
        <f>IFERROR(__xludf.DUMMYFUNCTION("""COMPUTED_VALUE"""),"{}")</f>
        <v>{}</v>
      </c>
      <c r="W200" s="148" t="str">
        <f>IFERROR(__xludf.DUMMYFUNCTION("""COMPUTED_VALUE"""),"[]")</f>
        <v>[]</v>
      </c>
      <c r="X200" s="148" t="str">
        <f>IFERROR(__xludf.DUMMYFUNCTION("""COMPUTED_VALUE"""),"[{""typ"":""power"",""id"":12141002,""val"":1}]")</f>
        <v>[{"typ":"power","id":12141002,"val":1}]</v>
      </c>
      <c r="Y200" s="148" t="str">
        <f>IFERROR(__xludf.DUMMYFUNCTION("""COMPUTED_VALUE"""),"[{""typ"":""atk"",""val"":60},{""typ"":""def"",""val"":125},{""typ"":""hp"",""val"":135},{""typ"":""speed"",""val"":40},{""typ"":""load"",""val"":20},{""typ"":""backcoef"",""val"":0.5},{""typ"":""atkcoef"",""val"":1.0},{""typ"":""atkcd"",""val"":0}]")</f>
        <v>[{"typ":"atk","val":60},{"typ":"def","val":125},{"typ":"hp","val":135},{"typ":"speed","val":40},{"typ":"load","val":20},{"typ":"backcoef","val":0.5},{"typ":"atkcoef","val":1.0},{"typ":"atkcd","val":0}]</v>
      </c>
      <c r="Z200" s="148" t="str">
        <f>IFERROR(__xludf.DUMMYFUNCTION("""COMPUTED_VALUE"""),"[{""typ"":""battle_skill"",""id"":16121101}]")</f>
        <v>[{"typ":"battle_skill","id":16121101}]</v>
      </c>
    </row>
    <row r="201">
      <c r="A201" s="148">
        <f>IFERROR(__xludf.DUMMYFUNCTION("""COMPUTED_VALUE"""),1.1213112E7)</f>
        <v>11213112</v>
      </c>
      <c r="B201" s="148" t="str">
        <f>IFERROR(__xludf.DUMMYFUNCTION("""COMPUTED_VALUE"""),"人类遗迹-变异猴-打击手-T2")</f>
        <v>人类遗迹-变异猴-打击手-T2</v>
      </c>
      <c r="C201" s="148">
        <f>IFERROR(__xludf.DUMMYFUNCTION("""COMPUTED_VALUE"""),1.1222001E7)</f>
        <v>11222001</v>
      </c>
      <c r="D201" s="148">
        <f>IFERROR(__xludf.DUMMYFUNCTION("""COMPUTED_VALUE"""),1.5110234E7)</f>
        <v>15110234</v>
      </c>
      <c r="E201" s="148" t="str">
        <f>IFERROR(__xludf.DUMMYFUNCTION("""COMPUTED_VALUE"""),"{""typ"":""lc"",""txt"":""LC_SOLDIER_npc_slodier_name_1""}")</f>
        <v>{"typ":"lc","txt":"LC_SOLDIER_npc_slodier_name_1"}</v>
      </c>
      <c r="F201" s="148" t="str">
        <f>IFERROR(__xludf.DUMMYFUNCTION("""COMPUTED_VALUE"""),"{}")</f>
        <v>{}</v>
      </c>
      <c r="G201" s="148">
        <f>IFERROR(__xludf.DUMMYFUNCTION("""COMPUTED_VALUE"""),10.0)</f>
        <v>10</v>
      </c>
      <c r="H201" s="148">
        <f>IFERROR(__xludf.DUMMYFUNCTION("""COMPUTED_VALUE"""),10099.0)</f>
        <v>10099</v>
      </c>
      <c r="I201" s="148">
        <f>IFERROR(__xludf.DUMMYFUNCTION("""COMPUTED_VALUE"""),10099.0)</f>
        <v>10099</v>
      </c>
      <c r="J201" s="148">
        <f>IFERROR(__xludf.DUMMYFUNCTION("""COMPUTED_VALUE"""),0.0)</f>
        <v>0</v>
      </c>
      <c r="K201" s="148">
        <f>IFERROR(__xludf.DUMMYFUNCTION("""COMPUTED_VALUE"""),10.0)</f>
        <v>10</v>
      </c>
      <c r="L201" s="148">
        <f>IFERROR(__xludf.DUMMYFUNCTION("""COMPUTED_VALUE"""),99.0)</f>
        <v>99</v>
      </c>
      <c r="M201" s="148">
        <f>IFERROR(__xludf.DUMMYFUNCTION("""COMPUTED_VALUE"""),0.0)</f>
        <v>0</v>
      </c>
      <c r="N201" s="148" t="str">
        <f>IFERROR(__xludf.DUMMYFUNCTION("""COMPUTED_VALUE"""),"[]")</f>
        <v>[]</v>
      </c>
      <c r="O201" s="148" t="str">
        <f>IFERROR(__xludf.DUMMYFUNCTION("""COMPUTED_VALUE"""),"{}")</f>
        <v>{}</v>
      </c>
      <c r="P201" s="148">
        <f>IFERROR(__xludf.DUMMYFUNCTION("""COMPUTED_VALUE"""),0.0)</f>
        <v>0</v>
      </c>
      <c r="Q201" s="148" t="str">
        <f>IFERROR(__xludf.DUMMYFUNCTION("""COMPUTED_VALUE"""),"[]")</f>
        <v>[]</v>
      </c>
      <c r="R201" s="148" t="str">
        <f>IFERROR(__xludf.DUMMYFUNCTION("""COMPUTED_VALUE"""),"{}")</f>
        <v>{}</v>
      </c>
      <c r="S201" s="148">
        <f>IFERROR(__xludf.DUMMYFUNCTION("""COMPUTED_VALUE"""),0.0)</f>
        <v>0</v>
      </c>
      <c r="T201" s="148" t="str">
        <f>IFERROR(__xludf.DUMMYFUNCTION("""COMPUTED_VALUE"""),"[]")</f>
        <v>[]</v>
      </c>
      <c r="U201" s="148">
        <f>IFERROR(__xludf.DUMMYFUNCTION("""COMPUTED_VALUE"""),0.0)</f>
        <v>0</v>
      </c>
      <c r="V201" s="148" t="str">
        <f>IFERROR(__xludf.DUMMYFUNCTION("""COMPUTED_VALUE"""),"{}")</f>
        <v>{}</v>
      </c>
      <c r="W201" s="148" t="str">
        <f>IFERROR(__xludf.DUMMYFUNCTION("""COMPUTED_VALUE"""),"[]")</f>
        <v>[]</v>
      </c>
      <c r="X201" s="148" t="str">
        <f>IFERROR(__xludf.DUMMYFUNCTION("""COMPUTED_VALUE"""),"[{""typ"":""power"",""id"":12141002,""val"":1}]")</f>
        <v>[{"typ":"power","id":12141002,"val":1}]</v>
      </c>
      <c r="Y201" s="148" t="str">
        <f>IFERROR(__xludf.DUMMYFUNCTION("""COMPUTED_VALUE"""),"[{""typ"":""atk"",""val"":60},{""typ"":""def"",""val"":125},{""typ"":""hp"",""val"":135},{""typ"":""speed"",""val"":40},{""typ"":""load"",""val"":20},{""typ"":""backcoef"",""val"":0.5},{""typ"":""atkcoef"",""val"":1.0},{""typ"":""atkcd"",""val"":0}]")</f>
        <v>[{"typ":"atk","val":60},{"typ":"def","val":125},{"typ":"hp","val":135},{"typ":"speed","val":40},{"typ":"load","val":20},{"typ":"backcoef","val":0.5},{"typ":"atkcoef","val":1.0},{"typ":"atkcd","val":0}]</v>
      </c>
      <c r="Z201" s="148" t="str">
        <f>IFERROR(__xludf.DUMMYFUNCTION("""COMPUTED_VALUE"""),"[{""typ"":""battle_skill"",""id"":16121101}]")</f>
        <v>[{"typ":"battle_skill","id":16121101}]</v>
      </c>
    </row>
    <row r="202">
      <c r="A202" s="148">
        <f>IFERROR(__xludf.DUMMYFUNCTION("""COMPUTED_VALUE"""),1.1213113E7)</f>
        <v>11213113</v>
      </c>
      <c r="B202" s="148" t="str">
        <f>IFERROR(__xludf.DUMMYFUNCTION("""COMPUTED_VALUE"""),"人类遗迹-变异猴-打击手-T3")</f>
        <v>人类遗迹-变异猴-打击手-T3</v>
      </c>
      <c r="C202" s="148">
        <f>IFERROR(__xludf.DUMMYFUNCTION("""COMPUTED_VALUE"""),1.1222001E7)</f>
        <v>11222001</v>
      </c>
      <c r="D202" s="148">
        <f>IFERROR(__xludf.DUMMYFUNCTION("""COMPUTED_VALUE"""),1.5110234E7)</f>
        <v>15110234</v>
      </c>
      <c r="E202" s="148" t="str">
        <f>IFERROR(__xludf.DUMMYFUNCTION("""COMPUTED_VALUE"""),"{""typ"":""lc"",""txt"":""LC_SOLDIER_npc_slodier_name_1""}")</f>
        <v>{"typ":"lc","txt":"LC_SOLDIER_npc_slodier_name_1"}</v>
      </c>
      <c r="F202" s="148" t="str">
        <f>IFERROR(__xludf.DUMMYFUNCTION("""COMPUTED_VALUE"""),"{}")</f>
        <v>{}</v>
      </c>
      <c r="G202" s="148">
        <f>IFERROR(__xludf.DUMMYFUNCTION("""COMPUTED_VALUE"""),10.0)</f>
        <v>10</v>
      </c>
      <c r="H202" s="148">
        <f>IFERROR(__xludf.DUMMYFUNCTION("""COMPUTED_VALUE"""),10099.0)</f>
        <v>10099</v>
      </c>
      <c r="I202" s="148">
        <f>IFERROR(__xludf.DUMMYFUNCTION("""COMPUTED_VALUE"""),10099.0)</f>
        <v>10099</v>
      </c>
      <c r="J202" s="148">
        <f>IFERROR(__xludf.DUMMYFUNCTION("""COMPUTED_VALUE"""),0.0)</f>
        <v>0</v>
      </c>
      <c r="K202" s="148">
        <f>IFERROR(__xludf.DUMMYFUNCTION("""COMPUTED_VALUE"""),10.0)</f>
        <v>10</v>
      </c>
      <c r="L202" s="148">
        <f>IFERROR(__xludf.DUMMYFUNCTION("""COMPUTED_VALUE"""),99.0)</f>
        <v>99</v>
      </c>
      <c r="M202" s="148">
        <f>IFERROR(__xludf.DUMMYFUNCTION("""COMPUTED_VALUE"""),0.0)</f>
        <v>0</v>
      </c>
      <c r="N202" s="148" t="str">
        <f>IFERROR(__xludf.DUMMYFUNCTION("""COMPUTED_VALUE"""),"[]")</f>
        <v>[]</v>
      </c>
      <c r="O202" s="148" t="str">
        <f>IFERROR(__xludf.DUMMYFUNCTION("""COMPUTED_VALUE"""),"{}")</f>
        <v>{}</v>
      </c>
      <c r="P202" s="148">
        <f>IFERROR(__xludf.DUMMYFUNCTION("""COMPUTED_VALUE"""),0.0)</f>
        <v>0</v>
      </c>
      <c r="Q202" s="148" t="str">
        <f>IFERROR(__xludf.DUMMYFUNCTION("""COMPUTED_VALUE"""),"[]")</f>
        <v>[]</v>
      </c>
      <c r="R202" s="148" t="str">
        <f>IFERROR(__xludf.DUMMYFUNCTION("""COMPUTED_VALUE"""),"{}")</f>
        <v>{}</v>
      </c>
      <c r="S202" s="148">
        <f>IFERROR(__xludf.DUMMYFUNCTION("""COMPUTED_VALUE"""),0.0)</f>
        <v>0</v>
      </c>
      <c r="T202" s="148" t="str">
        <f>IFERROR(__xludf.DUMMYFUNCTION("""COMPUTED_VALUE"""),"[]")</f>
        <v>[]</v>
      </c>
      <c r="U202" s="148">
        <f>IFERROR(__xludf.DUMMYFUNCTION("""COMPUTED_VALUE"""),0.0)</f>
        <v>0</v>
      </c>
      <c r="V202" s="148" t="str">
        <f>IFERROR(__xludf.DUMMYFUNCTION("""COMPUTED_VALUE"""),"{}")</f>
        <v>{}</v>
      </c>
      <c r="W202" s="148" t="str">
        <f>IFERROR(__xludf.DUMMYFUNCTION("""COMPUTED_VALUE"""),"[]")</f>
        <v>[]</v>
      </c>
      <c r="X202" s="148" t="str">
        <f>IFERROR(__xludf.DUMMYFUNCTION("""COMPUTED_VALUE"""),"[{""typ"":""power"",""id"":12141002,""val"":1}]")</f>
        <v>[{"typ":"power","id":12141002,"val":1}]</v>
      </c>
      <c r="Y202" s="148" t="str">
        <f>IFERROR(__xludf.DUMMYFUNCTION("""COMPUTED_VALUE"""),"[{""typ"":""atk"",""val"":60},{""typ"":""def"",""val"":125},{""typ"":""hp"",""val"":135},{""typ"":""speed"",""val"":40},{""typ"":""load"",""val"":20},{""typ"":""backcoef"",""val"":0.5},{""typ"":""atkcoef"",""val"":1.0},{""typ"":""atkcd"",""val"":0}]")</f>
        <v>[{"typ":"atk","val":60},{"typ":"def","val":125},{"typ":"hp","val":135},{"typ":"speed","val":40},{"typ":"load","val":20},{"typ":"backcoef","val":0.5},{"typ":"atkcoef","val":1.0},{"typ":"atkcd","val":0}]</v>
      </c>
      <c r="Z202" s="148" t="str">
        <f>IFERROR(__xludf.DUMMYFUNCTION("""COMPUTED_VALUE"""),"[{""typ"":""battle_skill"",""id"":16121101}]")</f>
        <v>[{"typ":"battle_skill","id":16121101}]</v>
      </c>
    </row>
    <row r="203">
      <c r="A203" s="148">
        <f>IFERROR(__xludf.DUMMYFUNCTION("""COMPUTED_VALUE"""),1.1213114E7)</f>
        <v>11213114</v>
      </c>
      <c r="B203" s="148" t="str">
        <f>IFERROR(__xludf.DUMMYFUNCTION("""COMPUTED_VALUE"""),"人类遗迹-变异猴-打击手-T4")</f>
        <v>人类遗迹-变异猴-打击手-T4</v>
      </c>
      <c r="C203" s="148">
        <f>IFERROR(__xludf.DUMMYFUNCTION("""COMPUTED_VALUE"""),1.1222001E7)</f>
        <v>11222001</v>
      </c>
      <c r="D203" s="148">
        <f>IFERROR(__xludf.DUMMYFUNCTION("""COMPUTED_VALUE"""),1.5110234E7)</f>
        <v>15110234</v>
      </c>
      <c r="E203" s="148" t="str">
        <f>IFERROR(__xludf.DUMMYFUNCTION("""COMPUTED_VALUE"""),"{""typ"":""lc"",""txt"":""LC_SOLDIER_npc_slodier_name_1""}")</f>
        <v>{"typ":"lc","txt":"LC_SOLDIER_npc_slodier_name_1"}</v>
      </c>
      <c r="F203" s="148" t="str">
        <f>IFERROR(__xludf.DUMMYFUNCTION("""COMPUTED_VALUE"""),"{}")</f>
        <v>{}</v>
      </c>
      <c r="G203" s="148">
        <f>IFERROR(__xludf.DUMMYFUNCTION("""COMPUTED_VALUE"""),10.0)</f>
        <v>10</v>
      </c>
      <c r="H203" s="148">
        <f>IFERROR(__xludf.DUMMYFUNCTION("""COMPUTED_VALUE"""),10099.0)</f>
        <v>10099</v>
      </c>
      <c r="I203" s="148">
        <f>IFERROR(__xludf.DUMMYFUNCTION("""COMPUTED_VALUE"""),10099.0)</f>
        <v>10099</v>
      </c>
      <c r="J203" s="148">
        <f>IFERROR(__xludf.DUMMYFUNCTION("""COMPUTED_VALUE"""),0.0)</f>
        <v>0</v>
      </c>
      <c r="K203" s="148">
        <f>IFERROR(__xludf.DUMMYFUNCTION("""COMPUTED_VALUE"""),10.0)</f>
        <v>10</v>
      </c>
      <c r="L203" s="148">
        <f>IFERROR(__xludf.DUMMYFUNCTION("""COMPUTED_VALUE"""),99.0)</f>
        <v>99</v>
      </c>
      <c r="M203" s="148">
        <f>IFERROR(__xludf.DUMMYFUNCTION("""COMPUTED_VALUE"""),0.0)</f>
        <v>0</v>
      </c>
      <c r="N203" s="148" t="str">
        <f>IFERROR(__xludf.DUMMYFUNCTION("""COMPUTED_VALUE"""),"[]")</f>
        <v>[]</v>
      </c>
      <c r="O203" s="148" t="str">
        <f>IFERROR(__xludf.DUMMYFUNCTION("""COMPUTED_VALUE"""),"{}")</f>
        <v>{}</v>
      </c>
      <c r="P203" s="148">
        <f>IFERROR(__xludf.DUMMYFUNCTION("""COMPUTED_VALUE"""),0.0)</f>
        <v>0</v>
      </c>
      <c r="Q203" s="148" t="str">
        <f>IFERROR(__xludf.DUMMYFUNCTION("""COMPUTED_VALUE"""),"[]")</f>
        <v>[]</v>
      </c>
      <c r="R203" s="148" t="str">
        <f>IFERROR(__xludf.DUMMYFUNCTION("""COMPUTED_VALUE"""),"{}")</f>
        <v>{}</v>
      </c>
      <c r="S203" s="148">
        <f>IFERROR(__xludf.DUMMYFUNCTION("""COMPUTED_VALUE"""),0.0)</f>
        <v>0</v>
      </c>
      <c r="T203" s="148" t="str">
        <f>IFERROR(__xludf.DUMMYFUNCTION("""COMPUTED_VALUE"""),"[]")</f>
        <v>[]</v>
      </c>
      <c r="U203" s="148">
        <f>IFERROR(__xludf.DUMMYFUNCTION("""COMPUTED_VALUE"""),0.0)</f>
        <v>0</v>
      </c>
      <c r="V203" s="148" t="str">
        <f>IFERROR(__xludf.DUMMYFUNCTION("""COMPUTED_VALUE"""),"{}")</f>
        <v>{}</v>
      </c>
      <c r="W203" s="148" t="str">
        <f>IFERROR(__xludf.DUMMYFUNCTION("""COMPUTED_VALUE"""),"[]")</f>
        <v>[]</v>
      </c>
      <c r="X203" s="148" t="str">
        <f>IFERROR(__xludf.DUMMYFUNCTION("""COMPUTED_VALUE"""),"[{""typ"":""power"",""id"":12141002,""val"":1}]")</f>
        <v>[{"typ":"power","id":12141002,"val":1}]</v>
      </c>
      <c r="Y203" s="148" t="str">
        <f>IFERROR(__xludf.DUMMYFUNCTION("""COMPUTED_VALUE"""),"[{""typ"":""atk"",""val"":60},{""typ"":""def"",""val"":125},{""typ"":""hp"",""val"":135},{""typ"":""speed"",""val"":40},{""typ"":""load"",""val"":20},{""typ"":""backcoef"",""val"":0.5},{""typ"":""atkcoef"",""val"":1.0},{""typ"":""atkcd"",""val"":0}]")</f>
        <v>[{"typ":"atk","val":60},{"typ":"def","val":125},{"typ":"hp","val":135},{"typ":"speed","val":40},{"typ":"load","val":20},{"typ":"backcoef","val":0.5},{"typ":"atkcoef","val":1.0},{"typ":"atkcd","val":0}]</v>
      </c>
      <c r="Z203" s="148" t="str">
        <f>IFERROR(__xludf.DUMMYFUNCTION("""COMPUTED_VALUE"""),"[{""typ"":""battle_skill"",""id"":16121101}]")</f>
        <v>[{"typ":"battle_skill","id":16121101}]</v>
      </c>
    </row>
    <row r="204">
      <c r="A204" s="148">
        <f>IFERROR(__xludf.DUMMYFUNCTION("""COMPUTED_VALUE"""),1.1213115E7)</f>
        <v>11213115</v>
      </c>
      <c r="B204" s="148" t="str">
        <f>IFERROR(__xludf.DUMMYFUNCTION("""COMPUTED_VALUE"""),"人类遗迹-变异猴-打击手-T5")</f>
        <v>人类遗迹-变异猴-打击手-T5</v>
      </c>
      <c r="C204" s="148">
        <f>IFERROR(__xludf.DUMMYFUNCTION("""COMPUTED_VALUE"""),1.1222001E7)</f>
        <v>11222001</v>
      </c>
      <c r="D204" s="148">
        <f>IFERROR(__xludf.DUMMYFUNCTION("""COMPUTED_VALUE"""),1.5110234E7)</f>
        <v>15110234</v>
      </c>
      <c r="E204" s="148" t="str">
        <f>IFERROR(__xludf.DUMMYFUNCTION("""COMPUTED_VALUE"""),"{""typ"":""lc"",""txt"":""LC_SOLDIER_npc_slodier_name_1""}")</f>
        <v>{"typ":"lc","txt":"LC_SOLDIER_npc_slodier_name_1"}</v>
      </c>
      <c r="F204" s="148" t="str">
        <f>IFERROR(__xludf.DUMMYFUNCTION("""COMPUTED_VALUE"""),"{}")</f>
        <v>{}</v>
      </c>
      <c r="G204" s="148">
        <f>IFERROR(__xludf.DUMMYFUNCTION("""COMPUTED_VALUE"""),10.0)</f>
        <v>10</v>
      </c>
      <c r="H204" s="148">
        <f>IFERROR(__xludf.DUMMYFUNCTION("""COMPUTED_VALUE"""),10099.0)</f>
        <v>10099</v>
      </c>
      <c r="I204" s="148">
        <f>IFERROR(__xludf.DUMMYFUNCTION("""COMPUTED_VALUE"""),10099.0)</f>
        <v>10099</v>
      </c>
      <c r="J204" s="148">
        <f>IFERROR(__xludf.DUMMYFUNCTION("""COMPUTED_VALUE"""),0.0)</f>
        <v>0</v>
      </c>
      <c r="K204" s="148">
        <f>IFERROR(__xludf.DUMMYFUNCTION("""COMPUTED_VALUE"""),10.0)</f>
        <v>10</v>
      </c>
      <c r="L204" s="148">
        <f>IFERROR(__xludf.DUMMYFUNCTION("""COMPUTED_VALUE"""),99.0)</f>
        <v>99</v>
      </c>
      <c r="M204" s="148">
        <f>IFERROR(__xludf.DUMMYFUNCTION("""COMPUTED_VALUE"""),0.0)</f>
        <v>0</v>
      </c>
      <c r="N204" s="148" t="str">
        <f>IFERROR(__xludf.DUMMYFUNCTION("""COMPUTED_VALUE"""),"[]")</f>
        <v>[]</v>
      </c>
      <c r="O204" s="148" t="str">
        <f>IFERROR(__xludf.DUMMYFUNCTION("""COMPUTED_VALUE"""),"{}")</f>
        <v>{}</v>
      </c>
      <c r="P204" s="148">
        <f>IFERROR(__xludf.DUMMYFUNCTION("""COMPUTED_VALUE"""),0.0)</f>
        <v>0</v>
      </c>
      <c r="Q204" s="148" t="str">
        <f>IFERROR(__xludf.DUMMYFUNCTION("""COMPUTED_VALUE"""),"[]")</f>
        <v>[]</v>
      </c>
      <c r="R204" s="148" t="str">
        <f>IFERROR(__xludf.DUMMYFUNCTION("""COMPUTED_VALUE"""),"{}")</f>
        <v>{}</v>
      </c>
      <c r="S204" s="148">
        <f>IFERROR(__xludf.DUMMYFUNCTION("""COMPUTED_VALUE"""),0.0)</f>
        <v>0</v>
      </c>
      <c r="T204" s="148" t="str">
        <f>IFERROR(__xludf.DUMMYFUNCTION("""COMPUTED_VALUE"""),"[]")</f>
        <v>[]</v>
      </c>
      <c r="U204" s="148">
        <f>IFERROR(__xludf.DUMMYFUNCTION("""COMPUTED_VALUE"""),0.0)</f>
        <v>0</v>
      </c>
      <c r="V204" s="148" t="str">
        <f>IFERROR(__xludf.DUMMYFUNCTION("""COMPUTED_VALUE"""),"{}")</f>
        <v>{}</v>
      </c>
      <c r="W204" s="148" t="str">
        <f>IFERROR(__xludf.DUMMYFUNCTION("""COMPUTED_VALUE"""),"[]")</f>
        <v>[]</v>
      </c>
      <c r="X204" s="148" t="str">
        <f>IFERROR(__xludf.DUMMYFUNCTION("""COMPUTED_VALUE"""),"[{""typ"":""power"",""id"":12141002,""val"":1}]")</f>
        <v>[{"typ":"power","id":12141002,"val":1}]</v>
      </c>
      <c r="Y204" s="148" t="str">
        <f>IFERROR(__xludf.DUMMYFUNCTION("""COMPUTED_VALUE"""),"[{""typ"":""atk"",""val"":60},{""typ"":""def"",""val"":125},{""typ"":""hp"",""val"":135},{""typ"":""speed"",""val"":40},{""typ"":""load"",""val"":20},{""typ"":""backcoef"",""val"":0.5},{""typ"":""atkcoef"",""val"":1.0},{""typ"":""atkcd"",""val"":0}]")</f>
        <v>[{"typ":"atk","val":60},{"typ":"def","val":125},{"typ":"hp","val":135},{"typ":"speed","val":40},{"typ":"load","val":20},{"typ":"backcoef","val":0.5},{"typ":"atkcoef","val":1.0},{"typ":"atkcd","val":0}]</v>
      </c>
      <c r="Z204" s="148" t="str">
        <f>IFERROR(__xludf.DUMMYFUNCTION("""COMPUTED_VALUE"""),"[{""typ"":""battle_skill"",""id"":16121101}]")</f>
        <v>[{"typ":"battle_skill","id":16121101}]</v>
      </c>
    </row>
    <row r="205">
      <c r="A205" s="148">
        <f>IFERROR(__xludf.DUMMYFUNCTION("""COMPUTED_VALUE"""),1.1213121E7)</f>
        <v>11213121</v>
      </c>
      <c r="B205" s="148" t="str">
        <f>IFERROR(__xludf.DUMMYFUNCTION("""COMPUTED_VALUE"""),"人类遗迹-变异猴-飙车族-T1")</f>
        <v>人类遗迹-变异猴-飙车族-T1</v>
      </c>
      <c r="C205" s="148">
        <f>IFERROR(__xludf.DUMMYFUNCTION("""COMPUTED_VALUE"""),1.1222002E7)</f>
        <v>11222002</v>
      </c>
      <c r="D205" s="148">
        <f>IFERROR(__xludf.DUMMYFUNCTION("""COMPUTED_VALUE"""),1.5110234E7)</f>
        <v>15110234</v>
      </c>
      <c r="E205" s="148" t="str">
        <f>IFERROR(__xludf.DUMMYFUNCTION("""COMPUTED_VALUE"""),"{""typ"":""lc"",""txt"":""LC_SOLDIER_npc_slodier_name_2""}")</f>
        <v>{"typ":"lc","txt":"LC_SOLDIER_npc_slodier_name_2"}</v>
      </c>
      <c r="F205" s="148" t="str">
        <f>IFERROR(__xludf.DUMMYFUNCTION("""COMPUTED_VALUE"""),"{}")</f>
        <v>{}</v>
      </c>
      <c r="G205" s="148">
        <f>IFERROR(__xludf.DUMMYFUNCTION("""COMPUTED_VALUE"""),10.0)</f>
        <v>10</v>
      </c>
      <c r="H205" s="148">
        <f>IFERROR(__xludf.DUMMYFUNCTION("""COMPUTED_VALUE"""),10099.0)</f>
        <v>10099</v>
      </c>
      <c r="I205" s="148">
        <f>IFERROR(__xludf.DUMMYFUNCTION("""COMPUTED_VALUE"""),10099.0)</f>
        <v>10099</v>
      </c>
      <c r="J205" s="148">
        <f>IFERROR(__xludf.DUMMYFUNCTION("""COMPUTED_VALUE"""),0.0)</f>
        <v>0</v>
      </c>
      <c r="K205" s="148">
        <f>IFERROR(__xludf.DUMMYFUNCTION("""COMPUTED_VALUE"""),10.0)</f>
        <v>10</v>
      </c>
      <c r="L205" s="148">
        <f>IFERROR(__xludf.DUMMYFUNCTION("""COMPUTED_VALUE"""),99.0)</f>
        <v>99</v>
      </c>
      <c r="M205" s="148">
        <f>IFERROR(__xludf.DUMMYFUNCTION("""COMPUTED_VALUE"""),0.0)</f>
        <v>0</v>
      </c>
      <c r="N205" s="148" t="str">
        <f>IFERROR(__xludf.DUMMYFUNCTION("""COMPUTED_VALUE"""),"[]")</f>
        <v>[]</v>
      </c>
      <c r="O205" s="148" t="str">
        <f>IFERROR(__xludf.DUMMYFUNCTION("""COMPUTED_VALUE"""),"{}")</f>
        <v>{}</v>
      </c>
      <c r="P205" s="148">
        <f>IFERROR(__xludf.DUMMYFUNCTION("""COMPUTED_VALUE"""),0.0)</f>
        <v>0</v>
      </c>
      <c r="Q205" s="148" t="str">
        <f>IFERROR(__xludf.DUMMYFUNCTION("""COMPUTED_VALUE"""),"[]")</f>
        <v>[]</v>
      </c>
      <c r="R205" s="148" t="str">
        <f>IFERROR(__xludf.DUMMYFUNCTION("""COMPUTED_VALUE"""),"{}")</f>
        <v>{}</v>
      </c>
      <c r="S205" s="148">
        <f>IFERROR(__xludf.DUMMYFUNCTION("""COMPUTED_VALUE"""),0.0)</f>
        <v>0</v>
      </c>
      <c r="T205" s="148" t="str">
        <f>IFERROR(__xludf.DUMMYFUNCTION("""COMPUTED_VALUE"""),"[]")</f>
        <v>[]</v>
      </c>
      <c r="U205" s="148">
        <f>IFERROR(__xludf.DUMMYFUNCTION("""COMPUTED_VALUE"""),0.0)</f>
        <v>0</v>
      </c>
      <c r="V205" s="148" t="str">
        <f>IFERROR(__xludf.DUMMYFUNCTION("""COMPUTED_VALUE"""),"{}")</f>
        <v>{}</v>
      </c>
      <c r="W205" s="148" t="str">
        <f>IFERROR(__xludf.DUMMYFUNCTION("""COMPUTED_VALUE"""),"[]")</f>
        <v>[]</v>
      </c>
      <c r="X205" s="148" t="str">
        <f>IFERROR(__xludf.DUMMYFUNCTION("""COMPUTED_VALUE"""),"[{""typ"":""power"",""id"":12141002,""val"":1}]")</f>
        <v>[{"typ":"power","id":12141002,"val":1}]</v>
      </c>
      <c r="Y205" s="148" t="str">
        <f>IFERROR(__xludf.DUMMYFUNCTION("""COMPUTED_VALUE"""),"[{""typ"":""atk"",""val"":60},{""typ"":""def"",""val"":125},{""typ"":""hp"",""val"":135},{""typ"":""speed"",""val"":40},{""typ"":""load"",""val"":20},{""typ"":""backcoef"",""val"":0.5},{""typ"":""atkcoef"",""val"":1.0},{""typ"":""atkcd"",""val"":0}]")</f>
        <v>[{"typ":"atk","val":60},{"typ":"def","val":125},{"typ":"hp","val":135},{"typ":"speed","val":40},{"typ":"load","val":20},{"typ":"backcoef","val":0.5},{"typ":"atkcoef","val":1.0},{"typ":"atkcd","val":0}]</v>
      </c>
      <c r="Z205" s="148" t="str">
        <f>IFERROR(__xludf.DUMMYFUNCTION("""COMPUTED_VALUE"""),"[{""typ"":""battle_skill"",""id"":16121101}]")</f>
        <v>[{"typ":"battle_skill","id":16121101}]</v>
      </c>
    </row>
    <row r="206">
      <c r="A206" s="148">
        <f>IFERROR(__xludf.DUMMYFUNCTION("""COMPUTED_VALUE"""),1.1213122E7)</f>
        <v>11213122</v>
      </c>
      <c r="B206" s="148" t="str">
        <f>IFERROR(__xludf.DUMMYFUNCTION("""COMPUTED_VALUE"""),"人类遗迹-变异猴-飙车族-T2")</f>
        <v>人类遗迹-变异猴-飙车族-T2</v>
      </c>
      <c r="C206" s="148">
        <f>IFERROR(__xludf.DUMMYFUNCTION("""COMPUTED_VALUE"""),1.1222002E7)</f>
        <v>11222002</v>
      </c>
      <c r="D206" s="148">
        <f>IFERROR(__xludf.DUMMYFUNCTION("""COMPUTED_VALUE"""),1.5110234E7)</f>
        <v>15110234</v>
      </c>
      <c r="E206" s="148" t="str">
        <f>IFERROR(__xludf.DUMMYFUNCTION("""COMPUTED_VALUE"""),"{""typ"":""lc"",""txt"":""LC_SOLDIER_npc_slodier_name_2""}")</f>
        <v>{"typ":"lc","txt":"LC_SOLDIER_npc_slodier_name_2"}</v>
      </c>
      <c r="F206" s="148" t="str">
        <f>IFERROR(__xludf.DUMMYFUNCTION("""COMPUTED_VALUE"""),"{}")</f>
        <v>{}</v>
      </c>
      <c r="G206" s="148">
        <f>IFERROR(__xludf.DUMMYFUNCTION("""COMPUTED_VALUE"""),10.0)</f>
        <v>10</v>
      </c>
      <c r="H206" s="148">
        <f>IFERROR(__xludf.DUMMYFUNCTION("""COMPUTED_VALUE"""),10099.0)</f>
        <v>10099</v>
      </c>
      <c r="I206" s="148">
        <f>IFERROR(__xludf.DUMMYFUNCTION("""COMPUTED_VALUE"""),10099.0)</f>
        <v>10099</v>
      </c>
      <c r="J206" s="148">
        <f>IFERROR(__xludf.DUMMYFUNCTION("""COMPUTED_VALUE"""),0.0)</f>
        <v>0</v>
      </c>
      <c r="K206" s="148">
        <f>IFERROR(__xludf.DUMMYFUNCTION("""COMPUTED_VALUE"""),10.0)</f>
        <v>10</v>
      </c>
      <c r="L206" s="148">
        <f>IFERROR(__xludf.DUMMYFUNCTION("""COMPUTED_VALUE"""),99.0)</f>
        <v>99</v>
      </c>
      <c r="M206" s="148">
        <f>IFERROR(__xludf.DUMMYFUNCTION("""COMPUTED_VALUE"""),0.0)</f>
        <v>0</v>
      </c>
      <c r="N206" s="148" t="str">
        <f>IFERROR(__xludf.DUMMYFUNCTION("""COMPUTED_VALUE"""),"[]")</f>
        <v>[]</v>
      </c>
      <c r="O206" s="148" t="str">
        <f>IFERROR(__xludf.DUMMYFUNCTION("""COMPUTED_VALUE"""),"{}")</f>
        <v>{}</v>
      </c>
      <c r="P206" s="148">
        <f>IFERROR(__xludf.DUMMYFUNCTION("""COMPUTED_VALUE"""),0.0)</f>
        <v>0</v>
      </c>
      <c r="Q206" s="148" t="str">
        <f>IFERROR(__xludf.DUMMYFUNCTION("""COMPUTED_VALUE"""),"[]")</f>
        <v>[]</v>
      </c>
      <c r="R206" s="148" t="str">
        <f>IFERROR(__xludf.DUMMYFUNCTION("""COMPUTED_VALUE"""),"{}")</f>
        <v>{}</v>
      </c>
      <c r="S206" s="148">
        <f>IFERROR(__xludf.DUMMYFUNCTION("""COMPUTED_VALUE"""),0.0)</f>
        <v>0</v>
      </c>
      <c r="T206" s="148" t="str">
        <f>IFERROR(__xludf.DUMMYFUNCTION("""COMPUTED_VALUE"""),"[]")</f>
        <v>[]</v>
      </c>
      <c r="U206" s="148">
        <f>IFERROR(__xludf.DUMMYFUNCTION("""COMPUTED_VALUE"""),0.0)</f>
        <v>0</v>
      </c>
      <c r="V206" s="148" t="str">
        <f>IFERROR(__xludf.DUMMYFUNCTION("""COMPUTED_VALUE"""),"{}")</f>
        <v>{}</v>
      </c>
      <c r="W206" s="148" t="str">
        <f>IFERROR(__xludf.DUMMYFUNCTION("""COMPUTED_VALUE"""),"[]")</f>
        <v>[]</v>
      </c>
      <c r="X206" s="148" t="str">
        <f>IFERROR(__xludf.DUMMYFUNCTION("""COMPUTED_VALUE"""),"[{""typ"":""power"",""id"":12141002,""val"":1}]")</f>
        <v>[{"typ":"power","id":12141002,"val":1}]</v>
      </c>
      <c r="Y206" s="148" t="str">
        <f>IFERROR(__xludf.DUMMYFUNCTION("""COMPUTED_VALUE"""),"[{""typ"":""atk"",""val"":60},{""typ"":""def"",""val"":125},{""typ"":""hp"",""val"":135},{""typ"":""speed"",""val"":40},{""typ"":""load"",""val"":20},{""typ"":""backcoef"",""val"":0.5},{""typ"":""atkcoef"",""val"":1.0},{""typ"":""atkcd"",""val"":0}]")</f>
        <v>[{"typ":"atk","val":60},{"typ":"def","val":125},{"typ":"hp","val":135},{"typ":"speed","val":40},{"typ":"load","val":20},{"typ":"backcoef","val":0.5},{"typ":"atkcoef","val":1.0},{"typ":"atkcd","val":0}]</v>
      </c>
      <c r="Z206" s="148" t="str">
        <f>IFERROR(__xludf.DUMMYFUNCTION("""COMPUTED_VALUE"""),"[{""typ"":""battle_skill"",""id"":16121101}]")</f>
        <v>[{"typ":"battle_skill","id":16121101}]</v>
      </c>
    </row>
    <row r="207">
      <c r="A207" s="148">
        <f>IFERROR(__xludf.DUMMYFUNCTION("""COMPUTED_VALUE"""),1.1213123E7)</f>
        <v>11213123</v>
      </c>
      <c r="B207" s="148" t="str">
        <f>IFERROR(__xludf.DUMMYFUNCTION("""COMPUTED_VALUE"""),"人类遗迹-变异猴-飙车族-T3")</f>
        <v>人类遗迹-变异猴-飙车族-T3</v>
      </c>
      <c r="C207" s="148">
        <f>IFERROR(__xludf.DUMMYFUNCTION("""COMPUTED_VALUE"""),1.1222002E7)</f>
        <v>11222002</v>
      </c>
      <c r="D207" s="148">
        <f>IFERROR(__xludf.DUMMYFUNCTION("""COMPUTED_VALUE"""),1.5110234E7)</f>
        <v>15110234</v>
      </c>
      <c r="E207" s="148" t="str">
        <f>IFERROR(__xludf.DUMMYFUNCTION("""COMPUTED_VALUE"""),"{""typ"":""lc"",""txt"":""LC_SOLDIER_npc_slodier_name_2""}")</f>
        <v>{"typ":"lc","txt":"LC_SOLDIER_npc_slodier_name_2"}</v>
      </c>
      <c r="F207" s="148" t="str">
        <f>IFERROR(__xludf.DUMMYFUNCTION("""COMPUTED_VALUE"""),"{}")</f>
        <v>{}</v>
      </c>
      <c r="G207" s="148">
        <f>IFERROR(__xludf.DUMMYFUNCTION("""COMPUTED_VALUE"""),10.0)</f>
        <v>10</v>
      </c>
      <c r="H207" s="148">
        <f>IFERROR(__xludf.DUMMYFUNCTION("""COMPUTED_VALUE"""),10099.0)</f>
        <v>10099</v>
      </c>
      <c r="I207" s="148">
        <f>IFERROR(__xludf.DUMMYFUNCTION("""COMPUTED_VALUE"""),10099.0)</f>
        <v>10099</v>
      </c>
      <c r="J207" s="148">
        <f>IFERROR(__xludf.DUMMYFUNCTION("""COMPUTED_VALUE"""),0.0)</f>
        <v>0</v>
      </c>
      <c r="K207" s="148">
        <f>IFERROR(__xludf.DUMMYFUNCTION("""COMPUTED_VALUE"""),10.0)</f>
        <v>10</v>
      </c>
      <c r="L207" s="148">
        <f>IFERROR(__xludf.DUMMYFUNCTION("""COMPUTED_VALUE"""),99.0)</f>
        <v>99</v>
      </c>
      <c r="M207" s="148">
        <f>IFERROR(__xludf.DUMMYFUNCTION("""COMPUTED_VALUE"""),0.0)</f>
        <v>0</v>
      </c>
      <c r="N207" s="148" t="str">
        <f>IFERROR(__xludf.DUMMYFUNCTION("""COMPUTED_VALUE"""),"[]")</f>
        <v>[]</v>
      </c>
      <c r="O207" s="148" t="str">
        <f>IFERROR(__xludf.DUMMYFUNCTION("""COMPUTED_VALUE"""),"{}")</f>
        <v>{}</v>
      </c>
      <c r="P207" s="148">
        <f>IFERROR(__xludf.DUMMYFUNCTION("""COMPUTED_VALUE"""),0.0)</f>
        <v>0</v>
      </c>
      <c r="Q207" s="148" t="str">
        <f>IFERROR(__xludf.DUMMYFUNCTION("""COMPUTED_VALUE"""),"[]")</f>
        <v>[]</v>
      </c>
      <c r="R207" s="148" t="str">
        <f>IFERROR(__xludf.DUMMYFUNCTION("""COMPUTED_VALUE"""),"{}")</f>
        <v>{}</v>
      </c>
      <c r="S207" s="148">
        <f>IFERROR(__xludf.DUMMYFUNCTION("""COMPUTED_VALUE"""),0.0)</f>
        <v>0</v>
      </c>
      <c r="T207" s="148" t="str">
        <f>IFERROR(__xludf.DUMMYFUNCTION("""COMPUTED_VALUE"""),"[]")</f>
        <v>[]</v>
      </c>
      <c r="U207" s="148">
        <f>IFERROR(__xludf.DUMMYFUNCTION("""COMPUTED_VALUE"""),0.0)</f>
        <v>0</v>
      </c>
      <c r="V207" s="148" t="str">
        <f>IFERROR(__xludf.DUMMYFUNCTION("""COMPUTED_VALUE"""),"{}")</f>
        <v>{}</v>
      </c>
      <c r="W207" s="148" t="str">
        <f>IFERROR(__xludf.DUMMYFUNCTION("""COMPUTED_VALUE"""),"[]")</f>
        <v>[]</v>
      </c>
      <c r="X207" s="148" t="str">
        <f>IFERROR(__xludf.DUMMYFUNCTION("""COMPUTED_VALUE"""),"[{""typ"":""power"",""id"":12141002,""val"":1}]")</f>
        <v>[{"typ":"power","id":12141002,"val":1}]</v>
      </c>
      <c r="Y207" s="148" t="str">
        <f>IFERROR(__xludf.DUMMYFUNCTION("""COMPUTED_VALUE"""),"[{""typ"":""atk"",""val"":60},{""typ"":""def"",""val"":125},{""typ"":""hp"",""val"":135},{""typ"":""speed"",""val"":40},{""typ"":""load"",""val"":20},{""typ"":""backcoef"",""val"":0.5},{""typ"":""atkcoef"",""val"":1.0},{""typ"":""atkcd"",""val"":0}]")</f>
        <v>[{"typ":"atk","val":60},{"typ":"def","val":125},{"typ":"hp","val":135},{"typ":"speed","val":40},{"typ":"load","val":20},{"typ":"backcoef","val":0.5},{"typ":"atkcoef","val":1.0},{"typ":"atkcd","val":0}]</v>
      </c>
      <c r="Z207" s="148" t="str">
        <f>IFERROR(__xludf.DUMMYFUNCTION("""COMPUTED_VALUE"""),"[{""typ"":""battle_skill"",""id"":16121101}]")</f>
        <v>[{"typ":"battle_skill","id":16121101}]</v>
      </c>
    </row>
    <row r="208">
      <c r="A208" s="148">
        <f>IFERROR(__xludf.DUMMYFUNCTION("""COMPUTED_VALUE"""),1.1213124E7)</f>
        <v>11213124</v>
      </c>
      <c r="B208" s="148" t="str">
        <f>IFERROR(__xludf.DUMMYFUNCTION("""COMPUTED_VALUE"""),"人类遗迹-变异猴-飙车族-T4")</f>
        <v>人类遗迹-变异猴-飙车族-T4</v>
      </c>
      <c r="C208" s="148">
        <f>IFERROR(__xludf.DUMMYFUNCTION("""COMPUTED_VALUE"""),1.1222002E7)</f>
        <v>11222002</v>
      </c>
      <c r="D208" s="148">
        <f>IFERROR(__xludf.DUMMYFUNCTION("""COMPUTED_VALUE"""),1.5110234E7)</f>
        <v>15110234</v>
      </c>
      <c r="E208" s="148" t="str">
        <f>IFERROR(__xludf.DUMMYFUNCTION("""COMPUTED_VALUE"""),"{""typ"":""lc"",""txt"":""LC_SOLDIER_npc_slodier_name_2""}")</f>
        <v>{"typ":"lc","txt":"LC_SOLDIER_npc_slodier_name_2"}</v>
      </c>
      <c r="F208" s="148" t="str">
        <f>IFERROR(__xludf.DUMMYFUNCTION("""COMPUTED_VALUE"""),"{}")</f>
        <v>{}</v>
      </c>
      <c r="G208" s="148">
        <f>IFERROR(__xludf.DUMMYFUNCTION("""COMPUTED_VALUE"""),10.0)</f>
        <v>10</v>
      </c>
      <c r="H208" s="148">
        <f>IFERROR(__xludf.DUMMYFUNCTION("""COMPUTED_VALUE"""),10099.0)</f>
        <v>10099</v>
      </c>
      <c r="I208" s="148">
        <f>IFERROR(__xludf.DUMMYFUNCTION("""COMPUTED_VALUE"""),10099.0)</f>
        <v>10099</v>
      </c>
      <c r="J208" s="148">
        <f>IFERROR(__xludf.DUMMYFUNCTION("""COMPUTED_VALUE"""),0.0)</f>
        <v>0</v>
      </c>
      <c r="K208" s="148">
        <f>IFERROR(__xludf.DUMMYFUNCTION("""COMPUTED_VALUE"""),10.0)</f>
        <v>10</v>
      </c>
      <c r="L208" s="148">
        <f>IFERROR(__xludf.DUMMYFUNCTION("""COMPUTED_VALUE"""),99.0)</f>
        <v>99</v>
      </c>
      <c r="M208" s="148">
        <f>IFERROR(__xludf.DUMMYFUNCTION("""COMPUTED_VALUE"""),0.0)</f>
        <v>0</v>
      </c>
      <c r="N208" s="148" t="str">
        <f>IFERROR(__xludf.DUMMYFUNCTION("""COMPUTED_VALUE"""),"[]")</f>
        <v>[]</v>
      </c>
      <c r="O208" s="148" t="str">
        <f>IFERROR(__xludf.DUMMYFUNCTION("""COMPUTED_VALUE"""),"{}")</f>
        <v>{}</v>
      </c>
      <c r="P208" s="148">
        <f>IFERROR(__xludf.DUMMYFUNCTION("""COMPUTED_VALUE"""),0.0)</f>
        <v>0</v>
      </c>
      <c r="Q208" s="148" t="str">
        <f>IFERROR(__xludf.DUMMYFUNCTION("""COMPUTED_VALUE"""),"[]")</f>
        <v>[]</v>
      </c>
      <c r="R208" s="148" t="str">
        <f>IFERROR(__xludf.DUMMYFUNCTION("""COMPUTED_VALUE"""),"{}")</f>
        <v>{}</v>
      </c>
      <c r="S208" s="148">
        <f>IFERROR(__xludf.DUMMYFUNCTION("""COMPUTED_VALUE"""),0.0)</f>
        <v>0</v>
      </c>
      <c r="T208" s="148" t="str">
        <f>IFERROR(__xludf.DUMMYFUNCTION("""COMPUTED_VALUE"""),"[]")</f>
        <v>[]</v>
      </c>
      <c r="U208" s="148">
        <f>IFERROR(__xludf.DUMMYFUNCTION("""COMPUTED_VALUE"""),0.0)</f>
        <v>0</v>
      </c>
      <c r="V208" s="148" t="str">
        <f>IFERROR(__xludf.DUMMYFUNCTION("""COMPUTED_VALUE"""),"{}")</f>
        <v>{}</v>
      </c>
      <c r="W208" s="148" t="str">
        <f>IFERROR(__xludf.DUMMYFUNCTION("""COMPUTED_VALUE"""),"[]")</f>
        <v>[]</v>
      </c>
      <c r="X208" s="148" t="str">
        <f>IFERROR(__xludf.DUMMYFUNCTION("""COMPUTED_VALUE"""),"[{""typ"":""power"",""id"":12141002,""val"":1}]")</f>
        <v>[{"typ":"power","id":12141002,"val":1}]</v>
      </c>
      <c r="Y208" s="148" t="str">
        <f>IFERROR(__xludf.DUMMYFUNCTION("""COMPUTED_VALUE"""),"[{""typ"":""atk"",""val"":60},{""typ"":""def"",""val"":125},{""typ"":""hp"",""val"":135},{""typ"":""speed"",""val"":40},{""typ"":""load"",""val"":20},{""typ"":""backcoef"",""val"":0.5},{""typ"":""atkcoef"",""val"":1.0},{""typ"":""atkcd"",""val"":0}]")</f>
        <v>[{"typ":"atk","val":60},{"typ":"def","val":125},{"typ":"hp","val":135},{"typ":"speed","val":40},{"typ":"load","val":20},{"typ":"backcoef","val":0.5},{"typ":"atkcoef","val":1.0},{"typ":"atkcd","val":0}]</v>
      </c>
      <c r="Z208" s="148" t="str">
        <f>IFERROR(__xludf.DUMMYFUNCTION("""COMPUTED_VALUE"""),"[{""typ"":""battle_skill"",""id"":16121101}]")</f>
        <v>[{"typ":"battle_skill","id":16121101}]</v>
      </c>
    </row>
    <row r="209">
      <c r="A209" s="148">
        <f>IFERROR(__xludf.DUMMYFUNCTION("""COMPUTED_VALUE"""),1.1213125E7)</f>
        <v>11213125</v>
      </c>
      <c r="B209" s="148" t="str">
        <f>IFERROR(__xludf.DUMMYFUNCTION("""COMPUTED_VALUE"""),"人类遗迹-变异猴-飙车族-T5")</f>
        <v>人类遗迹-变异猴-飙车族-T5</v>
      </c>
      <c r="C209" s="148">
        <f>IFERROR(__xludf.DUMMYFUNCTION("""COMPUTED_VALUE"""),1.1222002E7)</f>
        <v>11222002</v>
      </c>
      <c r="D209" s="148">
        <f>IFERROR(__xludf.DUMMYFUNCTION("""COMPUTED_VALUE"""),1.5110234E7)</f>
        <v>15110234</v>
      </c>
      <c r="E209" s="148" t="str">
        <f>IFERROR(__xludf.DUMMYFUNCTION("""COMPUTED_VALUE"""),"{""typ"":""lc"",""txt"":""LC_SOLDIER_npc_slodier_name_2""}")</f>
        <v>{"typ":"lc","txt":"LC_SOLDIER_npc_slodier_name_2"}</v>
      </c>
      <c r="F209" s="148" t="str">
        <f>IFERROR(__xludf.DUMMYFUNCTION("""COMPUTED_VALUE"""),"{}")</f>
        <v>{}</v>
      </c>
      <c r="G209" s="148">
        <f>IFERROR(__xludf.DUMMYFUNCTION("""COMPUTED_VALUE"""),10.0)</f>
        <v>10</v>
      </c>
      <c r="H209" s="148">
        <f>IFERROR(__xludf.DUMMYFUNCTION("""COMPUTED_VALUE"""),10099.0)</f>
        <v>10099</v>
      </c>
      <c r="I209" s="148">
        <f>IFERROR(__xludf.DUMMYFUNCTION("""COMPUTED_VALUE"""),10099.0)</f>
        <v>10099</v>
      </c>
      <c r="J209" s="148">
        <f>IFERROR(__xludf.DUMMYFUNCTION("""COMPUTED_VALUE"""),0.0)</f>
        <v>0</v>
      </c>
      <c r="K209" s="148">
        <f>IFERROR(__xludf.DUMMYFUNCTION("""COMPUTED_VALUE"""),10.0)</f>
        <v>10</v>
      </c>
      <c r="L209" s="148">
        <f>IFERROR(__xludf.DUMMYFUNCTION("""COMPUTED_VALUE"""),99.0)</f>
        <v>99</v>
      </c>
      <c r="M209" s="148">
        <f>IFERROR(__xludf.DUMMYFUNCTION("""COMPUTED_VALUE"""),0.0)</f>
        <v>0</v>
      </c>
      <c r="N209" s="148" t="str">
        <f>IFERROR(__xludf.DUMMYFUNCTION("""COMPUTED_VALUE"""),"[]")</f>
        <v>[]</v>
      </c>
      <c r="O209" s="148" t="str">
        <f>IFERROR(__xludf.DUMMYFUNCTION("""COMPUTED_VALUE"""),"{}")</f>
        <v>{}</v>
      </c>
      <c r="P209" s="148">
        <f>IFERROR(__xludf.DUMMYFUNCTION("""COMPUTED_VALUE"""),0.0)</f>
        <v>0</v>
      </c>
      <c r="Q209" s="148" t="str">
        <f>IFERROR(__xludf.DUMMYFUNCTION("""COMPUTED_VALUE"""),"[]")</f>
        <v>[]</v>
      </c>
      <c r="R209" s="148" t="str">
        <f>IFERROR(__xludf.DUMMYFUNCTION("""COMPUTED_VALUE"""),"{}")</f>
        <v>{}</v>
      </c>
      <c r="S209" s="148">
        <f>IFERROR(__xludf.DUMMYFUNCTION("""COMPUTED_VALUE"""),0.0)</f>
        <v>0</v>
      </c>
      <c r="T209" s="148" t="str">
        <f>IFERROR(__xludf.DUMMYFUNCTION("""COMPUTED_VALUE"""),"[]")</f>
        <v>[]</v>
      </c>
      <c r="U209" s="148">
        <f>IFERROR(__xludf.DUMMYFUNCTION("""COMPUTED_VALUE"""),0.0)</f>
        <v>0</v>
      </c>
      <c r="V209" s="148" t="str">
        <f>IFERROR(__xludf.DUMMYFUNCTION("""COMPUTED_VALUE"""),"{}")</f>
        <v>{}</v>
      </c>
      <c r="W209" s="148" t="str">
        <f>IFERROR(__xludf.DUMMYFUNCTION("""COMPUTED_VALUE"""),"[]")</f>
        <v>[]</v>
      </c>
      <c r="X209" s="148" t="str">
        <f>IFERROR(__xludf.DUMMYFUNCTION("""COMPUTED_VALUE"""),"[{""typ"":""power"",""id"":12141002,""val"":1}]")</f>
        <v>[{"typ":"power","id":12141002,"val":1}]</v>
      </c>
      <c r="Y209" s="148" t="str">
        <f>IFERROR(__xludf.DUMMYFUNCTION("""COMPUTED_VALUE"""),"[{""typ"":""atk"",""val"":60},{""typ"":""def"",""val"":125},{""typ"":""hp"",""val"":135},{""typ"":""speed"",""val"":40},{""typ"":""load"",""val"":20},{""typ"":""backcoef"",""val"":0.5},{""typ"":""atkcoef"",""val"":1.0},{""typ"":""atkcd"",""val"":0}]")</f>
        <v>[{"typ":"atk","val":60},{"typ":"def","val":125},{"typ":"hp","val":135},{"typ":"speed","val":40},{"typ":"load","val":20},{"typ":"backcoef","val":0.5},{"typ":"atkcoef","val":1.0},{"typ":"atkcd","val":0}]</v>
      </c>
      <c r="Z209" s="148" t="str">
        <f>IFERROR(__xludf.DUMMYFUNCTION("""COMPUTED_VALUE"""),"[{""typ"":""battle_skill"",""id"":16121101}]")</f>
        <v>[{"typ":"battle_skill","id":16121101}]</v>
      </c>
    </row>
    <row r="210">
      <c r="A210" s="148">
        <f>IFERROR(__xludf.DUMMYFUNCTION("""COMPUTED_VALUE"""),1.1213131E7)</f>
        <v>11213131</v>
      </c>
      <c r="B210" s="148" t="str">
        <f>IFERROR(__xludf.DUMMYFUNCTION("""COMPUTED_VALUE"""),"人类遗迹-变异猴-射击手-T1")</f>
        <v>人类遗迹-变异猴-射击手-T1</v>
      </c>
      <c r="C210" s="148">
        <f>IFERROR(__xludf.DUMMYFUNCTION("""COMPUTED_VALUE"""),1.1222003E7)</f>
        <v>11222003</v>
      </c>
      <c r="D210" s="148">
        <f>IFERROR(__xludf.DUMMYFUNCTION("""COMPUTED_VALUE"""),1.5110234E7)</f>
        <v>15110234</v>
      </c>
      <c r="E210" s="148" t="str">
        <f>IFERROR(__xludf.DUMMYFUNCTION("""COMPUTED_VALUE"""),"{""typ"":""lc"",""txt"":""LC_SOLDIER_npc_slodier_name_3""}")</f>
        <v>{"typ":"lc","txt":"LC_SOLDIER_npc_slodier_name_3"}</v>
      </c>
      <c r="F210" s="148" t="str">
        <f>IFERROR(__xludf.DUMMYFUNCTION("""COMPUTED_VALUE"""),"{}")</f>
        <v>{}</v>
      </c>
      <c r="G210" s="148">
        <f>IFERROR(__xludf.DUMMYFUNCTION("""COMPUTED_VALUE"""),10.0)</f>
        <v>10</v>
      </c>
      <c r="H210" s="148">
        <f>IFERROR(__xludf.DUMMYFUNCTION("""COMPUTED_VALUE"""),10099.0)</f>
        <v>10099</v>
      </c>
      <c r="I210" s="148">
        <f>IFERROR(__xludf.DUMMYFUNCTION("""COMPUTED_VALUE"""),10099.0)</f>
        <v>10099</v>
      </c>
      <c r="J210" s="148">
        <f>IFERROR(__xludf.DUMMYFUNCTION("""COMPUTED_VALUE"""),0.0)</f>
        <v>0</v>
      </c>
      <c r="K210" s="148">
        <f>IFERROR(__xludf.DUMMYFUNCTION("""COMPUTED_VALUE"""),10.0)</f>
        <v>10</v>
      </c>
      <c r="L210" s="148">
        <f>IFERROR(__xludf.DUMMYFUNCTION("""COMPUTED_VALUE"""),99.0)</f>
        <v>99</v>
      </c>
      <c r="M210" s="148">
        <f>IFERROR(__xludf.DUMMYFUNCTION("""COMPUTED_VALUE"""),0.0)</f>
        <v>0</v>
      </c>
      <c r="N210" s="148" t="str">
        <f>IFERROR(__xludf.DUMMYFUNCTION("""COMPUTED_VALUE"""),"[]")</f>
        <v>[]</v>
      </c>
      <c r="O210" s="148" t="str">
        <f>IFERROR(__xludf.DUMMYFUNCTION("""COMPUTED_VALUE"""),"{}")</f>
        <v>{}</v>
      </c>
      <c r="P210" s="148">
        <f>IFERROR(__xludf.DUMMYFUNCTION("""COMPUTED_VALUE"""),0.0)</f>
        <v>0</v>
      </c>
      <c r="Q210" s="148" t="str">
        <f>IFERROR(__xludf.DUMMYFUNCTION("""COMPUTED_VALUE"""),"[]")</f>
        <v>[]</v>
      </c>
      <c r="R210" s="148" t="str">
        <f>IFERROR(__xludf.DUMMYFUNCTION("""COMPUTED_VALUE"""),"{}")</f>
        <v>{}</v>
      </c>
      <c r="S210" s="148">
        <f>IFERROR(__xludf.DUMMYFUNCTION("""COMPUTED_VALUE"""),0.0)</f>
        <v>0</v>
      </c>
      <c r="T210" s="148" t="str">
        <f>IFERROR(__xludf.DUMMYFUNCTION("""COMPUTED_VALUE"""),"[]")</f>
        <v>[]</v>
      </c>
      <c r="U210" s="148">
        <f>IFERROR(__xludf.DUMMYFUNCTION("""COMPUTED_VALUE"""),0.0)</f>
        <v>0</v>
      </c>
      <c r="V210" s="148" t="str">
        <f>IFERROR(__xludf.DUMMYFUNCTION("""COMPUTED_VALUE"""),"{}")</f>
        <v>{}</v>
      </c>
      <c r="W210" s="148" t="str">
        <f>IFERROR(__xludf.DUMMYFUNCTION("""COMPUTED_VALUE"""),"[]")</f>
        <v>[]</v>
      </c>
      <c r="X210" s="148" t="str">
        <f>IFERROR(__xludf.DUMMYFUNCTION("""COMPUTED_VALUE"""),"[{""typ"":""power"",""id"":12141002,""val"":1}]")</f>
        <v>[{"typ":"power","id":12141002,"val":1}]</v>
      </c>
      <c r="Y210" s="148" t="str">
        <f>IFERROR(__xludf.DUMMYFUNCTION("""COMPUTED_VALUE"""),"[{""typ"":""atk"",""val"":60},{""typ"":""def"",""val"":125},{""typ"":""hp"",""val"":135},{""typ"":""speed"",""val"":40},{""typ"":""load"",""val"":20},{""typ"":""backcoef"",""val"":0.5},{""typ"":""atkcoef"",""val"":1.0},{""typ"":""atkcd"",""val"":0}]")</f>
        <v>[{"typ":"atk","val":60},{"typ":"def","val":125},{"typ":"hp","val":135},{"typ":"speed","val":40},{"typ":"load","val":20},{"typ":"backcoef","val":0.5},{"typ":"atkcoef","val":1.0},{"typ":"atkcd","val":0}]</v>
      </c>
      <c r="Z210" s="148" t="str">
        <f>IFERROR(__xludf.DUMMYFUNCTION("""COMPUTED_VALUE"""),"[{""typ"":""battle_skill"",""id"":16121101}]")</f>
        <v>[{"typ":"battle_skill","id":16121101}]</v>
      </c>
    </row>
    <row r="211">
      <c r="A211" s="148">
        <f>IFERROR(__xludf.DUMMYFUNCTION("""COMPUTED_VALUE"""),1.1213132E7)</f>
        <v>11213132</v>
      </c>
      <c r="B211" s="148" t="str">
        <f>IFERROR(__xludf.DUMMYFUNCTION("""COMPUTED_VALUE"""),"人类遗迹-变异猴-射击手-T2")</f>
        <v>人类遗迹-变异猴-射击手-T2</v>
      </c>
      <c r="C211" s="148">
        <f>IFERROR(__xludf.DUMMYFUNCTION("""COMPUTED_VALUE"""),1.1222003E7)</f>
        <v>11222003</v>
      </c>
      <c r="D211" s="148">
        <f>IFERROR(__xludf.DUMMYFUNCTION("""COMPUTED_VALUE"""),1.5110234E7)</f>
        <v>15110234</v>
      </c>
      <c r="E211" s="148" t="str">
        <f>IFERROR(__xludf.DUMMYFUNCTION("""COMPUTED_VALUE"""),"{""typ"":""lc"",""txt"":""LC_SOLDIER_npc_slodier_name_3""}")</f>
        <v>{"typ":"lc","txt":"LC_SOLDIER_npc_slodier_name_3"}</v>
      </c>
      <c r="F211" s="148" t="str">
        <f>IFERROR(__xludf.DUMMYFUNCTION("""COMPUTED_VALUE"""),"{}")</f>
        <v>{}</v>
      </c>
      <c r="G211" s="148">
        <f>IFERROR(__xludf.DUMMYFUNCTION("""COMPUTED_VALUE"""),10.0)</f>
        <v>10</v>
      </c>
      <c r="H211" s="148">
        <f>IFERROR(__xludf.DUMMYFUNCTION("""COMPUTED_VALUE"""),10099.0)</f>
        <v>10099</v>
      </c>
      <c r="I211" s="148">
        <f>IFERROR(__xludf.DUMMYFUNCTION("""COMPUTED_VALUE"""),10099.0)</f>
        <v>10099</v>
      </c>
      <c r="J211" s="148">
        <f>IFERROR(__xludf.DUMMYFUNCTION("""COMPUTED_VALUE"""),0.0)</f>
        <v>0</v>
      </c>
      <c r="K211" s="148">
        <f>IFERROR(__xludf.DUMMYFUNCTION("""COMPUTED_VALUE"""),10.0)</f>
        <v>10</v>
      </c>
      <c r="L211" s="148">
        <f>IFERROR(__xludf.DUMMYFUNCTION("""COMPUTED_VALUE"""),99.0)</f>
        <v>99</v>
      </c>
      <c r="M211" s="148">
        <f>IFERROR(__xludf.DUMMYFUNCTION("""COMPUTED_VALUE"""),0.0)</f>
        <v>0</v>
      </c>
      <c r="N211" s="148" t="str">
        <f>IFERROR(__xludf.DUMMYFUNCTION("""COMPUTED_VALUE"""),"[]")</f>
        <v>[]</v>
      </c>
      <c r="O211" s="148" t="str">
        <f>IFERROR(__xludf.DUMMYFUNCTION("""COMPUTED_VALUE"""),"{}")</f>
        <v>{}</v>
      </c>
      <c r="P211" s="148">
        <f>IFERROR(__xludf.DUMMYFUNCTION("""COMPUTED_VALUE"""),0.0)</f>
        <v>0</v>
      </c>
      <c r="Q211" s="148" t="str">
        <f>IFERROR(__xludf.DUMMYFUNCTION("""COMPUTED_VALUE"""),"[]")</f>
        <v>[]</v>
      </c>
      <c r="R211" s="148" t="str">
        <f>IFERROR(__xludf.DUMMYFUNCTION("""COMPUTED_VALUE"""),"{}")</f>
        <v>{}</v>
      </c>
      <c r="S211" s="148">
        <f>IFERROR(__xludf.DUMMYFUNCTION("""COMPUTED_VALUE"""),0.0)</f>
        <v>0</v>
      </c>
      <c r="T211" s="148" t="str">
        <f>IFERROR(__xludf.DUMMYFUNCTION("""COMPUTED_VALUE"""),"[]")</f>
        <v>[]</v>
      </c>
      <c r="U211" s="148">
        <f>IFERROR(__xludf.DUMMYFUNCTION("""COMPUTED_VALUE"""),0.0)</f>
        <v>0</v>
      </c>
      <c r="V211" s="148" t="str">
        <f>IFERROR(__xludf.DUMMYFUNCTION("""COMPUTED_VALUE"""),"{}")</f>
        <v>{}</v>
      </c>
      <c r="W211" s="148" t="str">
        <f>IFERROR(__xludf.DUMMYFUNCTION("""COMPUTED_VALUE"""),"[]")</f>
        <v>[]</v>
      </c>
      <c r="X211" s="148" t="str">
        <f>IFERROR(__xludf.DUMMYFUNCTION("""COMPUTED_VALUE"""),"[{""typ"":""power"",""id"":12141002,""val"":1}]")</f>
        <v>[{"typ":"power","id":12141002,"val":1}]</v>
      </c>
      <c r="Y211" s="148" t="str">
        <f>IFERROR(__xludf.DUMMYFUNCTION("""COMPUTED_VALUE"""),"[{""typ"":""atk"",""val"":60},{""typ"":""def"",""val"":125},{""typ"":""hp"",""val"":135},{""typ"":""speed"",""val"":40},{""typ"":""load"",""val"":20},{""typ"":""backcoef"",""val"":0.5},{""typ"":""atkcoef"",""val"":1.0},{""typ"":""atkcd"",""val"":0}]")</f>
        <v>[{"typ":"atk","val":60},{"typ":"def","val":125},{"typ":"hp","val":135},{"typ":"speed","val":40},{"typ":"load","val":20},{"typ":"backcoef","val":0.5},{"typ":"atkcoef","val":1.0},{"typ":"atkcd","val":0}]</v>
      </c>
      <c r="Z211" s="148" t="str">
        <f>IFERROR(__xludf.DUMMYFUNCTION("""COMPUTED_VALUE"""),"[{""typ"":""battle_skill"",""id"":16121101}]")</f>
        <v>[{"typ":"battle_skill","id":16121101}]</v>
      </c>
    </row>
    <row r="212">
      <c r="A212" s="148">
        <f>IFERROR(__xludf.DUMMYFUNCTION("""COMPUTED_VALUE"""),1.1213133E7)</f>
        <v>11213133</v>
      </c>
      <c r="B212" s="148" t="str">
        <f>IFERROR(__xludf.DUMMYFUNCTION("""COMPUTED_VALUE"""),"人类遗迹-变异猴-射击手-T3")</f>
        <v>人类遗迹-变异猴-射击手-T3</v>
      </c>
      <c r="C212" s="148">
        <f>IFERROR(__xludf.DUMMYFUNCTION("""COMPUTED_VALUE"""),1.1222003E7)</f>
        <v>11222003</v>
      </c>
      <c r="D212" s="148">
        <f>IFERROR(__xludf.DUMMYFUNCTION("""COMPUTED_VALUE"""),1.5110234E7)</f>
        <v>15110234</v>
      </c>
      <c r="E212" s="148" t="str">
        <f>IFERROR(__xludf.DUMMYFUNCTION("""COMPUTED_VALUE"""),"{""typ"":""lc"",""txt"":""LC_SOLDIER_npc_slodier_name_3""}")</f>
        <v>{"typ":"lc","txt":"LC_SOLDIER_npc_slodier_name_3"}</v>
      </c>
      <c r="F212" s="148" t="str">
        <f>IFERROR(__xludf.DUMMYFUNCTION("""COMPUTED_VALUE"""),"{}")</f>
        <v>{}</v>
      </c>
      <c r="G212" s="148">
        <f>IFERROR(__xludf.DUMMYFUNCTION("""COMPUTED_VALUE"""),10.0)</f>
        <v>10</v>
      </c>
      <c r="H212" s="148">
        <f>IFERROR(__xludf.DUMMYFUNCTION("""COMPUTED_VALUE"""),10099.0)</f>
        <v>10099</v>
      </c>
      <c r="I212" s="148">
        <f>IFERROR(__xludf.DUMMYFUNCTION("""COMPUTED_VALUE"""),10099.0)</f>
        <v>10099</v>
      </c>
      <c r="J212" s="148">
        <f>IFERROR(__xludf.DUMMYFUNCTION("""COMPUTED_VALUE"""),0.0)</f>
        <v>0</v>
      </c>
      <c r="K212" s="148">
        <f>IFERROR(__xludf.DUMMYFUNCTION("""COMPUTED_VALUE"""),10.0)</f>
        <v>10</v>
      </c>
      <c r="L212" s="148">
        <f>IFERROR(__xludf.DUMMYFUNCTION("""COMPUTED_VALUE"""),99.0)</f>
        <v>99</v>
      </c>
      <c r="M212" s="148">
        <f>IFERROR(__xludf.DUMMYFUNCTION("""COMPUTED_VALUE"""),0.0)</f>
        <v>0</v>
      </c>
      <c r="N212" s="148" t="str">
        <f>IFERROR(__xludf.DUMMYFUNCTION("""COMPUTED_VALUE"""),"[]")</f>
        <v>[]</v>
      </c>
      <c r="O212" s="148" t="str">
        <f>IFERROR(__xludf.DUMMYFUNCTION("""COMPUTED_VALUE"""),"{}")</f>
        <v>{}</v>
      </c>
      <c r="P212" s="148">
        <f>IFERROR(__xludf.DUMMYFUNCTION("""COMPUTED_VALUE"""),0.0)</f>
        <v>0</v>
      </c>
      <c r="Q212" s="148" t="str">
        <f>IFERROR(__xludf.DUMMYFUNCTION("""COMPUTED_VALUE"""),"[]")</f>
        <v>[]</v>
      </c>
      <c r="R212" s="148" t="str">
        <f>IFERROR(__xludf.DUMMYFUNCTION("""COMPUTED_VALUE"""),"{}")</f>
        <v>{}</v>
      </c>
      <c r="S212" s="148">
        <f>IFERROR(__xludf.DUMMYFUNCTION("""COMPUTED_VALUE"""),0.0)</f>
        <v>0</v>
      </c>
      <c r="T212" s="148" t="str">
        <f>IFERROR(__xludf.DUMMYFUNCTION("""COMPUTED_VALUE"""),"[]")</f>
        <v>[]</v>
      </c>
      <c r="U212" s="148">
        <f>IFERROR(__xludf.DUMMYFUNCTION("""COMPUTED_VALUE"""),0.0)</f>
        <v>0</v>
      </c>
      <c r="V212" s="148" t="str">
        <f>IFERROR(__xludf.DUMMYFUNCTION("""COMPUTED_VALUE"""),"{}")</f>
        <v>{}</v>
      </c>
      <c r="W212" s="148" t="str">
        <f>IFERROR(__xludf.DUMMYFUNCTION("""COMPUTED_VALUE"""),"[]")</f>
        <v>[]</v>
      </c>
      <c r="X212" s="148" t="str">
        <f>IFERROR(__xludf.DUMMYFUNCTION("""COMPUTED_VALUE"""),"[{""typ"":""power"",""id"":12141002,""val"":1}]")</f>
        <v>[{"typ":"power","id":12141002,"val":1}]</v>
      </c>
      <c r="Y212" s="148" t="str">
        <f>IFERROR(__xludf.DUMMYFUNCTION("""COMPUTED_VALUE"""),"[{""typ"":""atk"",""val"":60},{""typ"":""def"",""val"":125},{""typ"":""hp"",""val"":135},{""typ"":""speed"",""val"":40},{""typ"":""load"",""val"":20},{""typ"":""backcoef"",""val"":0.5},{""typ"":""atkcoef"",""val"":1.0},{""typ"":""atkcd"",""val"":0}]")</f>
        <v>[{"typ":"atk","val":60},{"typ":"def","val":125},{"typ":"hp","val":135},{"typ":"speed","val":40},{"typ":"load","val":20},{"typ":"backcoef","val":0.5},{"typ":"atkcoef","val":1.0},{"typ":"atkcd","val":0}]</v>
      </c>
      <c r="Z212" s="148" t="str">
        <f>IFERROR(__xludf.DUMMYFUNCTION("""COMPUTED_VALUE"""),"[{""typ"":""battle_skill"",""id"":16121101}]")</f>
        <v>[{"typ":"battle_skill","id":16121101}]</v>
      </c>
    </row>
    <row r="213">
      <c r="A213" s="148">
        <f>IFERROR(__xludf.DUMMYFUNCTION("""COMPUTED_VALUE"""),1.1213134E7)</f>
        <v>11213134</v>
      </c>
      <c r="B213" s="148" t="str">
        <f>IFERROR(__xludf.DUMMYFUNCTION("""COMPUTED_VALUE"""),"人类遗迹-变异猴-射击手-T4")</f>
        <v>人类遗迹-变异猴-射击手-T4</v>
      </c>
      <c r="C213" s="148">
        <f>IFERROR(__xludf.DUMMYFUNCTION("""COMPUTED_VALUE"""),1.1222003E7)</f>
        <v>11222003</v>
      </c>
      <c r="D213" s="148">
        <f>IFERROR(__xludf.DUMMYFUNCTION("""COMPUTED_VALUE"""),1.5110234E7)</f>
        <v>15110234</v>
      </c>
      <c r="E213" s="148" t="str">
        <f>IFERROR(__xludf.DUMMYFUNCTION("""COMPUTED_VALUE"""),"{""typ"":""lc"",""txt"":""LC_SOLDIER_npc_slodier_name_3""}")</f>
        <v>{"typ":"lc","txt":"LC_SOLDIER_npc_slodier_name_3"}</v>
      </c>
      <c r="F213" s="148" t="str">
        <f>IFERROR(__xludf.DUMMYFUNCTION("""COMPUTED_VALUE"""),"{}")</f>
        <v>{}</v>
      </c>
      <c r="G213" s="148">
        <f>IFERROR(__xludf.DUMMYFUNCTION("""COMPUTED_VALUE"""),10.0)</f>
        <v>10</v>
      </c>
      <c r="H213" s="148">
        <f>IFERROR(__xludf.DUMMYFUNCTION("""COMPUTED_VALUE"""),10099.0)</f>
        <v>10099</v>
      </c>
      <c r="I213" s="148">
        <f>IFERROR(__xludf.DUMMYFUNCTION("""COMPUTED_VALUE"""),10099.0)</f>
        <v>10099</v>
      </c>
      <c r="J213" s="148">
        <f>IFERROR(__xludf.DUMMYFUNCTION("""COMPUTED_VALUE"""),0.0)</f>
        <v>0</v>
      </c>
      <c r="K213" s="148">
        <f>IFERROR(__xludf.DUMMYFUNCTION("""COMPUTED_VALUE"""),10.0)</f>
        <v>10</v>
      </c>
      <c r="L213" s="148">
        <f>IFERROR(__xludf.DUMMYFUNCTION("""COMPUTED_VALUE"""),99.0)</f>
        <v>99</v>
      </c>
      <c r="M213" s="148">
        <f>IFERROR(__xludf.DUMMYFUNCTION("""COMPUTED_VALUE"""),0.0)</f>
        <v>0</v>
      </c>
      <c r="N213" s="148" t="str">
        <f>IFERROR(__xludf.DUMMYFUNCTION("""COMPUTED_VALUE"""),"[]")</f>
        <v>[]</v>
      </c>
      <c r="O213" s="148" t="str">
        <f>IFERROR(__xludf.DUMMYFUNCTION("""COMPUTED_VALUE"""),"{}")</f>
        <v>{}</v>
      </c>
      <c r="P213" s="148">
        <f>IFERROR(__xludf.DUMMYFUNCTION("""COMPUTED_VALUE"""),0.0)</f>
        <v>0</v>
      </c>
      <c r="Q213" s="148" t="str">
        <f>IFERROR(__xludf.DUMMYFUNCTION("""COMPUTED_VALUE"""),"[]")</f>
        <v>[]</v>
      </c>
      <c r="R213" s="148" t="str">
        <f>IFERROR(__xludf.DUMMYFUNCTION("""COMPUTED_VALUE"""),"{}")</f>
        <v>{}</v>
      </c>
      <c r="S213" s="148">
        <f>IFERROR(__xludf.DUMMYFUNCTION("""COMPUTED_VALUE"""),0.0)</f>
        <v>0</v>
      </c>
      <c r="T213" s="148" t="str">
        <f>IFERROR(__xludf.DUMMYFUNCTION("""COMPUTED_VALUE"""),"[]")</f>
        <v>[]</v>
      </c>
      <c r="U213" s="148">
        <f>IFERROR(__xludf.DUMMYFUNCTION("""COMPUTED_VALUE"""),0.0)</f>
        <v>0</v>
      </c>
      <c r="V213" s="148" t="str">
        <f>IFERROR(__xludf.DUMMYFUNCTION("""COMPUTED_VALUE"""),"{}")</f>
        <v>{}</v>
      </c>
      <c r="W213" s="148" t="str">
        <f>IFERROR(__xludf.DUMMYFUNCTION("""COMPUTED_VALUE"""),"[]")</f>
        <v>[]</v>
      </c>
      <c r="X213" s="148" t="str">
        <f>IFERROR(__xludf.DUMMYFUNCTION("""COMPUTED_VALUE"""),"[{""typ"":""power"",""id"":12141002,""val"":1}]")</f>
        <v>[{"typ":"power","id":12141002,"val":1}]</v>
      </c>
      <c r="Y213" s="148" t="str">
        <f>IFERROR(__xludf.DUMMYFUNCTION("""COMPUTED_VALUE"""),"[{""typ"":""atk"",""val"":60},{""typ"":""def"",""val"":125},{""typ"":""hp"",""val"":135},{""typ"":""speed"",""val"":40},{""typ"":""load"",""val"":20},{""typ"":""backcoef"",""val"":0.5},{""typ"":""atkcoef"",""val"":1.0},{""typ"":""atkcd"",""val"":0}]")</f>
        <v>[{"typ":"atk","val":60},{"typ":"def","val":125},{"typ":"hp","val":135},{"typ":"speed","val":40},{"typ":"load","val":20},{"typ":"backcoef","val":0.5},{"typ":"atkcoef","val":1.0},{"typ":"atkcd","val":0}]</v>
      </c>
      <c r="Z213" s="148" t="str">
        <f>IFERROR(__xludf.DUMMYFUNCTION("""COMPUTED_VALUE"""),"[{""typ"":""battle_skill"",""id"":16121101}]")</f>
        <v>[{"typ":"battle_skill","id":16121101}]</v>
      </c>
    </row>
    <row r="214">
      <c r="A214" s="148">
        <f>IFERROR(__xludf.DUMMYFUNCTION("""COMPUTED_VALUE"""),1.1213135E7)</f>
        <v>11213135</v>
      </c>
      <c r="B214" s="148" t="str">
        <f>IFERROR(__xludf.DUMMYFUNCTION("""COMPUTED_VALUE"""),"人类遗迹-变异猴-射击手-T5")</f>
        <v>人类遗迹-变异猴-射击手-T5</v>
      </c>
      <c r="C214" s="148">
        <f>IFERROR(__xludf.DUMMYFUNCTION("""COMPUTED_VALUE"""),1.1222003E7)</f>
        <v>11222003</v>
      </c>
      <c r="D214" s="148">
        <f>IFERROR(__xludf.DUMMYFUNCTION("""COMPUTED_VALUE"""),1.5110234E7)</f>
        <v>15110234</v>
      </c>
      <c r="E214" s="148" t="str">
        <f>IFERROR(__xludf.DUMMYFUNCTION("""COMPUTED_VALUE"""),"{""typ"":""lc"",""txt"":""LC_SOLDIER_npc_slodier_name_3""}")</f>
        <v>{"typ":"lc","txt":"LC_SOLDIER_npc_slodier_name_3"}</v>
      </c>
      <c r="F214" s="148" t="str">
        <f>IFERROR(__xludf.DUMMYFUNCTION("""COMPUTED_VALUE"""),"{}")</f>
        <v>{}</v>
      </c>
      <c r="G214" s="148">
        <f>IFERROR(__xludf.DUMMYFUNCTION("""COMPUTED_VALUE"""),10.0)</f>
        <v>10</v>
      </c>
      <c r="H214" s="148">
        <f>IFERROR(__xludf.DUMMYFUNCTION("""COMPUTED_VALUE"""),10099.0)</f>
        <v>10099</v>
      </c>
      <c r="I214" s="148">
        <f>IFERROR(__xludf.DUMMYFUNCTION("""COMPUTED_VALUE"""),10099.0)</f>
        <v>10099</v>
      </c>
      <c r="J214" s="148">
        <f>IFERROR(__xludf.DUMMYFUNCTION("""COMPUTED_VALUE"""),0.0)</f>
        <v>0</v>
      </c>
      <c r="K214" s="148">
        <f>IFERROR(__xludf.DUMMYFUNCTION("""COMPUTED_VALUE"""),10.0)</f>
        <v>10</v>
      </c>
      <c r="L214" s="148">
        <f>IFERROR(__xludf.DUMMYFUNCTION("""COMPUTED_VALUE"""),99.0)</f>
        <v>99</v>
      </c>
      <c r="M214" s="148">
        <f>IFERROR(__xludf.DUMMYFUNCTION("""COMPUTED_VALUE"""),0.0)</f>
        <v>0</v>
      </c>
      <c r="N214" s="148" t="str">
        <f>IFERROR(__xludf.DUMMYFUNCTION("""COMPUTED_VALUE"""),"[]")</f>
        <v>[]</v>
      </c>
      <c r="O214" s="148" t="str">
        <f>IFERROR(__xludf.DUMMYFUNCTION("""COMPUTED_VALUE"""),"{}")</f>
        <v>{}</v>
      </c>
      <c r="P214" s="148">
        <f>IFERROR(__xludf.DUMMYFUNCTION("""COMPUTED_VALUE"""),0.0)</f>
        <v>0</v>
      </c>
      <c r="Q214" s="148" t="str">
        <f>IFERROR(__xludf.DUMMYFUNCTION("""COMPUTED_VALUE"""),"[]")</f>
        <v>[]</v>
      </c>
      <c r="R214" s="148" t="str">
        <f>IFERROR(__xludf.DUMMYFUNCTION("""COMPUTED_VALUE"""),"{}")</f>
        <v>{}</v>
      </c>
      <c r="S214" s="148">
        <f>IFERROR(__xludf.DUMMYFUNCTION("""COMPUTED_VALUE"""),0.0)</f>
        <v>0</v>
      </c>
      <c r="T214" s="148" t="str">
        <f>IFERROR(__xludf.DUMMYFUNCTION("""COMPUTED_VALUE"""),"[]")</f>
        <v>[]</v>
      </c>
      <c r="U214" s="148">
        <f>IFERROR(__xludf.DUMMYFUNCTION("""COMPUTED_VALUE"""),0.0)</f>
        <v>0</v>
      </c>
      <c r="V214" s="148" t="str">
        <f>IFERROR(__xludf.DUMMYFUNCTION("""COMPUTED_VALUE"""),"{}")</f>
        <v>{}</v>
      </c>
      <c r="W214" s="148" t="str">
        <f>IFERROR(__xludf.DUMMYFUNCTION("""COMPUTED_VALUE"""),"[]")</f>
        <v>[]</v>
      </c>
      <c r="X214" s="148" t="str">
        <f>IFERROR(__xludf.DUMMYFUNCTION("""COMPUTED_VALUE"""),"[{""typ"":""power"",""id"":12141002,""val"":1}]")</f>
        <v>[{"typ":"power","id":12141002,"val":1}]</v>
      </c>
      <c r="Y214" s="148" t="str">
        <f>IFERROR(__xludf.DUMMYFUNCTION("""COMPUTED_VALUE"""),"[{""typ"":""atk"",""val"":60},{""typ"":""def"",""val"":125},{""typ"":""hp"",""val"":135},{""typ"":""speed"",""val"":40},{""typ"":""load"",""val"":20},{""typ"":""backcoef"",""val"":0.5},{""typ"":""atkcoef"",""val"":1.0},{""typ"":""atkcd"",""val"":0}]")</f>
        <v>[{"typ":"atk","val":60},{"typ":"def","val":125},{"typ":"hp","val":135},{"typ":"speed","val":40},{"typ":"load","val":20},{"typ":"backcoef","val":0.5},{"typ":"atkcoef","val":1.0},{"typ":"atkcd","val":0}]</v>
      </c>
      <c r="Z214" s="148" t="str">
        <f>IFERROR(__xludf.DUMMYFUNCTION("""COMPUTED_VALUE"""),"[{""typ"":""battle_skill"",""id"":16121101}]")</f>
        <v>[{"typ":"battle_skill","id":16121101}]</v>
      </c>
    </row>
    <row r="215">
      <c r="A215" s="148">
        <f>IFERROR(__xludf.DUMMYFUNCTION("""COMPUTED_VALUE"""),1.1213141E7)</f>
        <v>11213141</v>
      </c>
      <c r="B215" s="148" t="str">
        <f>IFERROR(__xludf.DUMMYFUNCTION("""COMPUTED_VALUE"""),"人类遗迹-变异猴-攻城车-T1")</f>
        <v>人类遗迹-变异猴-攻城车-T1</v>
      </c>
      <c r="C215" s="148">
        <f>IFERROR(__xludf.DUMMYFUNCTION("""COMPUTED_VALUE"""),1.1222004E7)</f>
        <v>11222004</v>
      </c>
      <c r="D215" s="148">
        <f>IFERROR(__xludf.DUMMYFUNCTION("""COMPUTED_VALUE"""),1.5110234E7)</f>
        <v>15110234</v>
      </c>
      <c r="E215" s="148" t="str">
        <f>IFERROR(__xludf.DUMMYFUNCTION("""COMPUTED_VALUE"""),"{""typ"":""lc"",""txt"":""LC_SOLDIER_npc_slodier_name_4""}")</f>
        <v>{"typ":"lc","txt":"LC_SOLDIER_npc_slodier_name_4"}</v>
      </c>
      <c r="F215" s="148" t="str">
        <f>IFERROR(__xludf.DUMMYFUNCTION("""COMPUTED_VALUE"""),"{}")</f>
        <v>{}</v>
      </c>
      <c r="G215" s="148">
        <f>IFERROR(__xludf.DUMMYFUNCTION("""COMPUTED_VALUE"""),10.0)</f>
        <v>10</v>
      </c>
      <c r="H215" s="148">
        <f>IFERROR(__xludf.DUMMYFUNCTION("""COMPUTED_VALUE"""),10099.0)</f>
        <v>10099</v>
      </c>
      <c r="I215" s="148">
        <f>IFERROR(__xludf.DUMMYFUNCTION("""COMPUTED_VALUE"""),10099.0)</f>
        <v>10099</v>
      </c>
      <c r="J215" s="148">
        <f>IFERROR(__xludf.DUMMYFUNCTION("""COMPUTED_VALUE"""),0.0)</f>
        <v>0</v>
      </c>
      <c r="K215" s="148">
        <f>IFERROR(__xludf.DUMMYFUNCTION("""COMPUTED_VALUE"""),10.0)</f>
        <v>10</v>
      </c>
      <c r="L215" s="148">
        <f>IFERROR(__xludf.DUMMYFUNCTION("""COMPUTED_VALUE"""),99.0)</f>
        <v>99</v>
      </c>
      <c r="M215" s="148">
        <f>IFERROR(__xludf.DUMMYFUNCTION("""COMPUTED_VALUE"""),0.0)</f>
        <v>0</v>
      </c>
      <c r="N215" s="148" t="str">
        <f>IFERROR(__xludf.DUMMYFUNCTION("""COMPUTED_VALUE"""),"[]")</f>
        <v>[]</v>
      </c>
      <c r="O215" s="148" t="str">
        <f>IFERROR(__xludf.DUMMYFUNCTION("""COMPUTED_VALUE"""),"{}")</f>
        <v>{}</v>
      </c>
      <c r="P215" s="148">
        <f>IFERROR(__xludf.DUMMYFUNCTION("""COMPUTED_VALUE"""),0.0)</f>
        <v>0</v>
      </c>
      <c r="Q215" s="148" t="str">
        <f>IFERROR(__xludf.DUMMYFUNCTION("""COMPUTED_VALUE"""),"[]")</f>
        <v>[]</v>
      </c>
      <c r="R215" s="148" t="str">
        <f>IFERROR(__xludf.DUMMYFUNCTION("""COMPUTED_VALUE"""),"{}")</f>
        <v>{}</v>
      </c>
      <c r="S215" s="148">
        <f>IFERROR(__xludf.DUMMYFUNCTION("""COMPUTED_VALUE"""),0.0)</f>
        <v>0</v>
      </c>
      <c r="T215" s="148" t="str">
        <f>IFERROR(__xludf.DUMMYFUNCTION("""COMPUTED_VALUE"""),"[]")</f>
        <v>[]</v>
      </c>
      <c r="U215" s="148">
        <f>IFERROR(__xludf.DUMMYFUNCTION("""COMPUTED_VALUE"""),0.0)</f>
        <v>0</v>
      </c>
      <c r="V215" s="148" t="str">
        <f>IFERROR(__xludf.DUMMYFUNCTION("""COMPUTED_VALUE"""),"{}")</f>
        <v>{}</v>
      </c>
      <c r="W215" s="148" t="str">
        <f>IFERROR(__xludf.DUMMYFUNCTION("""COMPUTED_VALUE"""),"[]")</f>
        <v>[]</v>
      </c>
      <c r="X215" s="148" t="str">
        <f>IFERROR(__xludf.DUMMYFUNCTION("""COMPUTED_VALUE"""),"[{""typ"":""power"",""id"":12141002,""val"":1}]")</f>
        <v>[{"typ":"power","id":12141002,"val":1}]</v>
      </c>
      <c r="Y215" s="148" t="str">
        <f>IFERROR(__xludf.DUMMYFUNCTION("""COMPUTED_VALUE"""),"[{""typ"":""atk"",""val"":60},{""typ"":""def"",""val"":125},{""typ"":""hp"",""val"":135},{""typ"":""speed"",""val"":40},{""typ"":""load"",""val"":20},{""typ"":""backcoef"",""val"":0.5},{""typ"":""atkcoef"",""val"":1.0},{""typ"":""atkcd"",""val"":0}]")</f>
        <v>[{"typ":"atk","val":60},{"typ":"def","val":125},{"typ":"hp","val":135},{"typ":"speed","val":40},{"typ":"load","val":20},{"typ":"backcoef","val":0.5},{"typ":"atkcoef","val":1.0},{"typ":"atkcd","val":0}]</v>
      </c>
      <c r="Z215" s="148" t="str">
        <f>IFERROR(__xludf.DUMMYFUNCTION("""COMPUTED_VALUE"""),"[{""typ"":""battle_skill"",""id"":16121101}]")</f>
        <v>[{"typ":"battle_skill","id":16121101}]</v>
      </c>
    </row>
    <row r="216">
      <c r="A216" s="148">
        <f>IFERROR(__xludf.DUMMYFUNCTION("""COMPUTED_VALUE"""),1.1213142E7)</f>
        <v>11213142</v>
      </c>
      <c r="B216" s="148" t="str">
        <f>IFERROR(__xludf.DUMMYFUNCTION("""COMPUTED_VALUE"""),"人类遗迹-变异猴-攻城车-T2")</f>
        <v>人类遗迹-变异猴-攻城车-T2</v>
      </c>
      <c r="C216" s="148">
        <f>IFERROR(__xludf.DUMMYFUNCTION("""COMPUTED_VALUE"""),1.1222004E7)</f>
        <v>11222004</v>
      </c>
      <c r="D216" s="148">
        <f>IFERROR(__xludf.DUMMYFUNCTION("""COMPUTED_VALUE"""),1.5110234E7)</f>
        <v>15110234</v>
      </c>
      <c r="E216" s="148" t="str">
        <f>IFERROR(__xludf.DUMMYFUNCTION("""COMPUTED_VALUE"""),"{""typ"":""lc"",""txt"":""LC_SOLDIER_npc_slodier_name_4""}")</f>
        <v>{"typ":"lc","txt":"LC_SOLDIER_npc_slodier_name_4"}</v>
      </c>
      <c r="F216" s="148" t="str">
        <f>IFERROR(__xludf.DUMMYFUNCTION("""COMPUTED_VALUE"""),"{}")</f>
        <v>{}</v>
      </c>
      <c r="G216" s="148">
        <f>IFERROR(__xludf.DUMMYFUNCTION("""COMPUTED_VALUE"""),10.0)</f>
        <v>10</v>
      </c>
      <c r="H216" s="148">
        <f>IFERROR(__xludf.DUMMYFUNCTION("""COMPUTED_VALUE"""),10099.0)</f>
        <v>10099</v>
      </c>
      <c r="I216" s="148">
        <f>IFERROR(__xludf.DUMMYFUNCTION("""COMPUTED_VALUE"""),10099.0)</f>
        <v>10099</v>
      </c>
      <c r="J216" s="148">
        <f>IFERROR(__xludf.DUMMYFUNCTION("""COMPUTED_VALUE"""),0.0)</f>
        <v>0</v>
      </c>
      <c r="K216" s="148">
        <f>IFERROR(__xludf.DUMMYFUNCTION("""COMPUTED_VALUE"""),10.0)</f>
        <v>10</v>
      </c>
      <c r="L216" s="148">
        <f>IFERROR(__xludf.DUMMYFUNCTION("""COMPUTED_VALUE"""),99.0)</f>
        <v>99</v>
      </c>
      <c r="M216" s="148">
        <f>IFERROR(__xludf.DUMMYFUNCTION("""COMPUTED_VALUE"""),0.0)</f>
        <v>0</v>
      </c>
      <c r="N216" s="148" t="str">
        <f>IFERROR(__xludf.DUMMYFUNCTION("""COMPUTED_VALUE"""),"[]")</f>
        <v>[]</v>
      </c>
      <c r="O216" s="148" t="str">
        <f>IFERROR(__xludf.DUMMYFUNCTION("""COMPUTED_VALUE"""),"{}")</f>
        <v>{}</v>
      </c>
      <c r="P216" s="148">
        <f>IFERROR(__xludf.DUMMYFUNCTION("""COMPUTED_VALUE"""),0.0)</f>
        <v>0</v>
      </c>
      <c r="Q216" s="148" t="str">
        <f>IFERROR(__xludf.DUMMYFUNCTION("""COMPUTED_VALUE"""),"[]")</f>
        <v>[]</v>
      </c>
      <c r="R216" s="148" t="str">
        <f>IFERROR(__xludf.DUMMYFUNCTION("""COMPUTED_VALUE"""),"{}")</f>
        <v>{}</v>
      </c>
      <c r="S216" s="148">
        <f>IFERROR(__xludf.DUMMYFUNCTION("""COMPUTED_VALUE"""),0.0)</f>
        <v>0</v>
      </c>
      <c r="T216" s="148" t="str">
        <f>IFERROR(__xludf.DUMMYFUNCTION("""COMPUTED_VALUE"""),"[]")</f>
        <v>[]</v>
      </c>
      <c r="U216" s="148">
        <f>IFERROR(__xludf.DUMMYFUNCTION("""COMPUTED_VALUE"""),0.0)</f>
        <v>0</v>
      </c>
      <c r="V216" s="148" t="str">
        <f>IFERROR(__xludf.DUMMYFUNCTION("""COMPUTED_VALUE"""),"{}")</f>
        <v>{}</v>
      </c>
      <c r="W216" s="148" t="str">
        <f>IFERROR(__xludf.DUMMYFUNCTION("""COMPUTED_VALUE"""),"[]")</f>
        <v>[]</v>
      </c>
      <c r="X216" s="148" t="str">
        <f>IFERROR(__xludf.DUMMYFUNCTION("""COMPUTED_VALUE"""),"[{""typ"":""power"",""id"":12141002,""val"":1}]")</f>
        <v>[{"typ":"power","id":12141002,"val":1}]</v>
      </c>
      <c r="Y216" s="148" t="str">
        <f>IFERROR(__xludf.DUMMYFUNCTION("""COMPUTED_VALUE"""),"[{""typ"":""atk"",""val"":60},{""typ"":""def"",""val"":125},{""typ"":""hp"",""val"":135},{""typ"":""speed"",""val"":40},{""typ"":""load"",""val"":20},{""typ"":""backcoef"",""val"":0.5},{""typ"":""atkcoef"",""val"":1.0},{""typ"":""atkcd"",""val"":0}]")</f>
        <v>[{"typ":"atk","val":60},{"typ":"def","val":125},{"typ":"hp","val":135},{"typ":"speed","val":40},{"typ":"load","val":20},{"typ":"backcoef","val":0.5},{"typ":"atkcoef","val":1.0},{"typ":"atkcd","val":0}]</v>
      </c>
      <c r="Z216" s="148" t="str">
        <f>IFERROR(__xludf.DUMMYFUNCTION("""COMPUTED_VALUE"""),"[{""typ"":""battle_skill"",""id"":16121101}]")</f>
        <v>[{"typ":"battle_skill","id":16121101}]</v>
      </c>
    </row>
    <row r="217">
      <c r="A217" s="148">
        <f>IFERROR(__xludf.DUMMYFUNCTION("""COMPUTED_VALUE"""),1.1213143E7)</f>
        <v>11213143</v>
      </c>
      <c r="B217" s="148" t="str">
        <f>IFERROR(__xludf.DUMMYFUNCTION("""COMPUTED_VALUE"""),"人类遗迹-变异猴-攻城车-T3")</f>
        <v>人类遗迹-变异猴-攻城车-T3</v>
      </c>
      <c r="C217" s="148">
        <f>IFERROR(__xludf.DUMMYFUNCTION("""COMPUTED_VALUE"""),1.1222004E7)</f>
        <v>11222004</v>
      </c>
      <c r="D217" s="148">
        <f>IFERROR(__xludf.DUMMYFUNCTION("""COMPUTED_VALUE"""),1.5110234E7)</f>
        <v>15110234</v>
      </c>
      <c r="E217" s="148" t="str">
        <f>IFERROR(__xludf.DUMMYFUNCTION("""COMPUTED_VALUE"""),"{""typ"":""lc"",""txt"":""LC_SOLDIER_npc_slodier_name_4""}")</f>
        <v>{"typ":"lc","txt":"LC_SOLDIER_npc_slodier_name_4"}</v>
      </c>
      <c r="F217" s="148" t="str">
        <f>IFERROR(__xludf.DUMMYFUNCTION("""COMPUTED_VALUE"""),"{}")</f>
        <v>{}</v>
      </c>
      <c r="G217" s="148">
        <f>IFERROR(__xludf.DUMMYFUNCTION("""COMPUTED_VALUE"""),10.0)</f>
        <v>10</v>
      </c>
      <c r="H217" s="148">
        <f>IFERROR(__xludf.DUMMYFUNCTION("""COMPUTED_VALUE"""),10099.0)</f>
        <v>10099</v>
      </c>
      <c r="I217" s="148">
        <f>IFERROR(__xludf.DUMMYFUNCTION("""COMPUTED_VALUE"""),10099.0)</f>
        <v>10099</v>
      </c>
      <c r="J217" s="148">
        <f>IFERROR(__xludf.DUMMYFUNCTION("""COMPUTED_VALUE"""),0.0)</f>
        <v>0</v>
      </c>
      <c r="K217" s="148">
        <f>IFERROR(__xludf.DUMMYFUNCTION("""COMPUTED_VALUE"""),10.0)</f>
        <v>10</v>
      </c>
      <c r="L217" s="148">
        <f>IFERROR(__xludf.DUMMYFUNCTION("""COMPUTED_VALUE"""),99.0)</f>
        <v>99</v>
      </c>
      <c r="M217" s="148">
        <f>IFERROR(__xludf.DUMMYFUNCTION("""COMPUTED_VALUE"""),0.0)</f>
        <v>0</v>
      </c>
      <c r="N217" s="148" t="str">
        <f>IFERROR(__xludf.DUMMYFUNCTION("""COMPUTED_VALUE"""),"[]")</f>
        <v>[]</v>
      </c>
      <c r="O217" s="148" t="str">
        <f>IFERROR(__xludf.DUMMYFUNCTION("""COMPUTED_VALUE"""),"{}")</f>
        <v>{}</v>
      </c>
      <c r="P217" s="148">
        <f>IFERROR(__xludf.DUMMYFUNCTION("""COMPUTED_VALUE"""),0.0)</f>
        <v>0</v>
      </c>
      <c r="Q217" s="148" t="str">
        <f>IFERROR(__xludf.DUMMYFUNCTION("""COMPUTED_VALUE"""),"[]")</f>
        <v>[]</v>
      </c>
      <c r="R217" s="148" t="str">
        <f>IFERROR(__xludf.DUMMYFUNCTION("""COMPUTED_VALUE"""),"{}")</f>
        <v>{}</v>
      </c>
      <c r="S217" s="148">
        <f>IFERROR(__xludf.DUMMYFUNCTION("""COMPUTED_VALUE"""),0.0)</f>
        <v>0</v>
      </c>
      <c r="T217" s="148" t="str">
        <f>IFERROR(__xludf.DUMMYFUNCTION("""COMPUTED_VALUE"""),"[]")</f>
        <v>[]</v>
      </c>
      <c r="U217" s="148">
        <f>IFERROR(__xludf.DUMMYFUNCTION("""COMPUTED_VALUE"""),0.0)</f>
        <v>0</v>
      </c>
      <c r="V217" s="148" t="str">
        <f>IFERROR(__xludf.DUMMYFUNCTION("""COMPUTED_VALUE"""),"{}")</f>
        <v>{}</v>
      </c>
      <c r="W217" s="148" t="str">
        <f>IFERROR(__xludf.DUMMYFUNCTION("""COMPUTED_VALUE"""),"[]")</f>
        <v>[]</v>
      </c>
      <c r="X217" s="148" t="str">
        <f>IFERROR(__xludf.DUMMYFUNCTION("""COMPUTED_VALUE"""),"[{""typ"":""power"",""id"":12141002,""val"":1}]")</f>
        <v>[{"typ":"power","id":12141002,"val":1}]</v>
      </c>
      <c r="Y217" s="148" t="str">
        <f>IFERROR(__xludf.DUMMYFUNCTION("""COMPUTED_VALUE"""),"[{""typ"":""atk"",""val"":60},{""typ"":""def"",""val"":125},{""typ"":""hp"",""val"":135},{""typ"":""speed"",""val"":40},{""typ"":""load"",""val"":20},{""typ"":""backcoef"",""val"":0.5},{""typ"":""atkcoef"",""val"":1.0},{""typ"":""atkcd"",""val"":0}]")</f>
        <v>[{"typ":"atk","val":60},{"typ":"def","val":125},{"typ":"hp","val":135},{"typ":"speed","val":40},{"typ":"load","val":20},{"typ":"backcoef","val":0.5},{"typ":"atkcoef","val":1.0},{"typ":"atkcd","val":0}]</v>
      </c>
      <c r="Z217" s="148" t="str">
        <f>IFERROR(__xludf.DUMMYFUNCTION("""COMPUTED_VALUE"""),"[{""typ"":""battle_skill"",""id"":16121101}]")</f>
        <v>[{"typ":"battle_skill","id":16121101}]</v>
      </c>
    </row>
    <row r="218">
      <c r="A218" s="148">
        <f>IFERROR(__xludf.DUMMYFUNCTION("""COMPUTED_VALUE"""),1.1213144E7)</f>
        <v>11213144</v>
      </c>
      <c r="B218" s="148" t="str">
        <f>IFERROR(__xludf.DUMMYFUNCTION("""COMPUTED_VALUE"""),"人类遗迹-变异猴-攻城车-T4")</f>
        <v>人类遗迹-变异猴-攻城车-T4</v>
      </c>
      <c r="C218" s="148">
        <f>IFERROR(__xludf.DUMMYFUNCTION("""COMPUTED_VALUE"""),1.1222004E7)</f>
        <v>11222004</v>
      </c>
      <c r="D218" s="148">
        <f>IFERROR(__xludf.DUMMYFUNCTION("""COMPUTED_VALUE"""),1.5110234E7)</f>
        <v>15110234</v>
      </c>
      <c r="E218" s="148" t="str">
        <f>IFERROR(__xludf.DUMMYFUNCTION("""COMPUTED_VALUE"""),"{""typ"":""lc"",""txt"":""LC_SOLDIER_npc_slodier_name_4""}")</f>
        <v>{"typ":"lc","txt":"LC_SOLDIER_npc_slodier_name_4"}</v>
      </c>
      <c r="F218" s="148" t="str">
        <f>IFERROR(__xludf.DUMMYFUNCTION("""COMPUTED_VALUE"""),"{}")</f>
        <v>{}</v>
      </c>
      <c r="G218" s="148">
        <f>IFERROR(__xludf.DUMMYFUNCTION("""COMPUTED_VALUE"""),10.0)</f>
        <v>10</v>
      </c>
      <c r="H218" s="148">
        <f>IFERROR(__xludf.DUMMYFUNCTION("""COMPUTED_VALUE"""),10099.0)</f>
        <v>10099</v>
      </c>
      <c r="I218" s="148">
        <f>IFERROR(__xludf.DUMMYFUNCTION("""COMPUTED_VALUE"""),10099.0)</f>
        <v>10099</v>
      </c>
      <c r="J218" s="148">
        <f>IFERROR(__xludf.DUMMYFUNCTION("""COMPUTED_VALUE"""),0.0)</f>
        <v>0</v>
      </c>
      <c r="K218" s="148">
        <f>IFERROR(__xludf.DUMMYFUNCTION("""COMPUTED_VALUE"""),10.0)</f>
        <v>10</v>
      </c>
      <c r="L218" s="148">
        <f>IFERROR(__xludf.DUMMYFUNCTION("""COMPUTED_VALUE"""),99.0)</f>
        <v>99</v>
      </c>
      <c r="M218" s="148">
        <f>IFERROR(__xludf.DUMMYFUNCTION("""COMPUTED_VALUE"""),0.0)</f>
        <v>0</v>
      </c>
      <c r="N218" s="148" t="str">
        <f>IFERROR(__xludf.DUMMYFUNCTION("""COMPUTED_VALUE"""),"[]")</f>
        <v>[]</v>
      </c>
      <c r="O218" s="148" t="str">
        <f>IFERROR(__xludf.DUMMYFUNCTION("""COMPUTED_VALUE"""),"{}")</f>
        <v>{}</v>
      </c>
      <c r="P218" s="148">
        <f>IFERROR(__xludf.DUMMYFUNCTION("""COMPUTED_VALUE"""),0.0)</f>
        <v>0</v>
      </c>
      <c r="Q218" s="148" t="str">
        <f>IFERROR(__xludf.DUMMYFUNCTION("""COMPUTED_VALUE"""),"[]")</f>
        <v>[]</v>
      </c>
      <c r="R218" s="148" t="str">
        <f>IFERROR(__xludf.DUMMYFUNCTION("""COMPUTED_VALUE"""),"{}")</f>
        <v>{}</v>
      </c>
      <c r="S218" s="148">
        <f>IFERROR(__xludf.DUMMYFUNCTION("""COMPUTED_VALUE"""),0.0)</f>
        <v>0</v>
      </c>
      <c r="T218" s="148" t="str">
        <f>IFERROR(__xludf.DUMMYFUNCTION("""COMPUTED_VALUE"""),"[]")</f>
        <v>[]</v>
      </c>
      <c r="U218" s="148">
        <f>IFERROR(__xludf.DUMMYFUNCTION("""COMPUTED_VALUE"""),0.0)</f>
        <v>0</v>
      </c>
      <c r="V218" s="148" t="str">
        <f>IFERROR(__xludf.DUMMYFUNCTION("""COMPUTED_VALUE"""),"{}")</f>
        <v>{}</v>
      </c>
      <c r="W218" s="148" t="str">
        <f>IFERROR(__xludf.DUMMYFUNCTION("""COMPUTED_VALUE"""),"[]")</f>
        <v>[]</v>
      </c>
      <c r="X218" s="148" t="str">
        <f>IFERROR(__xludf.DUMMYFUNCTION("""COMPUTED_VALUE"""),"[{""typ"":""power"",""id"":12141002,""val"":1}]")</f>
        <v>[{"typ":"power","id":12141002,"val":1}]</v>
      </c>
      <c r="Y218" s="148" t="str">
        <f>IFERROR(__xludf.DUMMYFUNCTION("""COMPUTED_VALUE"""),"[{""typ"":""atk"",""val"":60},{""typ"":""def"",""val"":125},{""typ"":""hp"",""val"":135},{""typ"":""speed"",""val"":40},{""typ"":""load"",""val"":20},{""typ"":""backcoef"",""val"":0.5},{""typ"":""atkcoef"",""val"":1.0},{""typ"":""atkcd"",""val"":0}]")</f>
        <v>[{"typ":"atk","val":60},{"typ":"def","val":125},{"typ":"hp","val":135},{"typ":"speed","val":40},{"typ":"load","val":20},{"typ":"backcoef","val":0.5},{"typ":"atkcoef","val":1.0},{"typ":"atkcd","val":0}]</v>
      </c>
      <c r="Z218" s="148" t="str">
        <f>IFERROR(__xludf.DUMMYFUNCTION("""COMPUTED_VALUE"""),"[{""typ"":""battle_skill"",""id"":16121101}]")</f>
        <v>[{"typ":"battle_skill","id":16121101}]</v>
      </c>
    </row>
    <row r="219">
      <c r="A219" s="148">
        <f>IFERROR(__xludf.DUMMYFUNCTION("""COMPUTED_VALUE"""),1.1213145E7)</f>
        <v>11213145</v>
      </c>
      <c r="B219" s="148" t="str">
        <f>IFERROR(__xludf.DUMMYFUNCTION("""COMPUTED_VALUE"""),"人类遗迹-变异猴-攻城车-T5")</f>
        <v>人类遗迹-变异猴-攻城车-T5</v>
      </c>
      <c r="C219" s="148">
        <f>IFERROR(__xludf.DUMMYFUNCTION("""COMPUTED_VALUE"""),1.1222004E7)</f>
        <v>11222004</v>
      </c>
      <c r="D219" s="148">
        <f>IFERROR(__xludf.DUMMYFUNCTION("""COMPUTED_VALUE"""),1.5110234E7)</f>
        <v>15110234</v>
      </c>
      <c r="E219" s="148" t="str">
        <f>IFERROR(__xludf.DUMMYFUNCTION("""COMPUTED_VALUE"""),"{""typ"":""lc"",""txt"":""LC_SOLDIER_npc_slodier_name_4""}")</f>
        <v>{"typ":"lc","txt":"LC_SOLDIER_npc_slodier_name_4"}</v>
      </c>
      <c r="F219" s="148" t="str">
        <f>IFERROR(__xludf.DUMMYFUNCTION("""COMPUTED_VALUE"""),"{}")</f>
        <v>{}</v>
      </c>
      <c r="G219" s="148">
        <f>IFERROR(__xludf.DUMMYFUNCTION("""COMPUTED_VALUE"""),10.0)</f>
        <v>10</v>
      </c>
      <c r="H219" s="148">
        <f>IFERROR(__xludf.DUMMYFUNCTION("""COMPUTED_VALUE"""),10099.0)</f>
        <v>10099</v>
      </c>
      <c r="I219" s="148">
        <f>IFERROR(__xludf.DUMMYFUNCTION("""COMPUTED_VALUE"""),10099.0)</f>
        <v>10099</v>
      </c>
      <c r="J219" s="148">
        <f>IFERROR(__xludf.DUMMYFUNCTION("""COMPUTED_VALUE"""),0.0)</f>
        <v>0</v>
      </c>
      <c r="K219" s="148">
        <f>IFERROR(__xludf.DUMMYFUNCTION("""COMPUTED_VALUE"""),10.0)</f>
        <v>10</v>
      </c>
      <c r="L219" s="148">
        <f>IFERROR(__xludf.DUMMYFUNCTION("""COMPUTED_VALUE"""),99.0)</f>
        <v>99</v>
      </c>
      <c r="M219" s="148">
        <f>IFERROR(__xludf.DUMMYFUNCTION("""COMPUTED_VALUE"""),0.0)</f>
        <v>0</v>
      </c>
      <c r="N219" s="148" t="str">
        <f>IFERROR(__xludf.DUMMYFUNCTION("""COMPUTED_VALUE"""),"[]")</f>
        <v>[]</v>
      </c>
      <c r="O219" s="148" t="str">
        <f>IFERROR(__xludf.DUMMYFUNCTION("""COMPUTED_VALUE"""),"{}")</f>
        <v>{}</v>
      </c>
      <c r="P219" s="148">
        <f>IFERROR(__xludf.DUMMYFUNCTION("""COMPUTED_VALUE"""),0.0)</f>
        <v>0</v>
      </c>
      <c r="Q219" s="148" t="str">
        <f>IFERROR(__xludf.DUMMYFUNCTION("""COMPUTED_VALUE"""),"[]")</f>
        <v>[]</v>
      </c>
      <c r="R219" s="148" t="str">
        <f>IFERROR(__xludf.DUMMYFUNCTION("""COMPUTED_VALUE"""),"{}")</f>
        <v>{}</v>
      </c>
      <c r="S219" s="148">
        <f>IFERROR(__xludf.DUMMYFUNCTION("""COMPUTED_VALUE"""),0.0)</f>
        <v>0</v>
      </c>
      <c r="T219" s="148" t="str">
        <f>IFERROR(__xludf.DUMMYFUNCTION("""COMPUTED_VALUE"""),"[]")</f>
        <v>[]</v>
      </c>
      <c r="U219" s="148">
        <f>IFERROR(__xludf.DUMMYFUNCTION("""COMPUTED_VALUE"""),0.0)</f>
        <v>0</v>
      </c>
      <c r="V219" s="148" t="str">
        <f>IFERROR(__xludf.DUMMYFUNCTION("""COMPUTED_VALUE"""),"{}")</f>
        <v>{}</v>
      </c>
      <c r="W219" s="148" t="str">
        <f>IFERROR(__xludf.DUMMYFUNCTION("""COMPUTED_VALUE"""),"[]")</f>
        <v>[]</v>
      </c>
      <c r="X219" s="148" t="str">
        <f>IFERROR(__xludf.DUMMYFUNCTION("""COMPUTED_VALUE"""),"[{""typ"":""power"",""id"":12141002,""val"":1}]")</f>
        <v>[{"typ":"power","id":12141002,"val":1}]</v>
      </c>
      <c r="Y219" s="148" t="str">
        <f>IFERROR(__xludf.DUMMYFUNCTION("""COMPUTED_VALUE"""),"[{""typ"":""atk"",""val"":60},{""typ"":""def"",""val"":125},{""typ"":""hp"",""val"":135},{""typ"":""speed"",""val"":40},{""typ"":""load"",""val"":20},{""typ"":""backcoef"",""val"":0.5},{""typ"":""atkcoef"",""val"":1.0},{""typ"":""atkcd"",""val"":0}]")</f>
        <v>[{"typ":"atk","val":60},{"typ":"def","val":125},{"typ":"hp","val":135},{"typ":"speed","val":40},{"typ":"load","val":20},{"typ":"backcoef","val":0.5},{"typ":"atkcoef","val":1.0},{"typ":"atkcd","val":0}]</v>
      </c>
      <c r="Z219" s="148" t="str">
        <f>IFERROR(__xludf.DUMMYFUNCTION("""COMPUTED_VALUE"""),"[{""typ"":""battle_skill"",""id"":16121101}]")</f>
        <v>[{"typ":"battle_skill","id":16121101}]</v>
      </c>
    </row>
    <row r="220">
      <c r="A220" s="148">
        <f>IFERROR(__xludf.DUMMYFUNCTION("""COMPUTED_VALUE"""),1.1214001E7)</f>
        <v>11214001</v>
      </c>
      <c r="B220" s="148" t="str">
        <f>IFERROR(__xludf.DUMMYFUNCTION("""COMPUTED_VALUE"""),"大地图单位-野怪-精英怪-Lv1")</f>
        <v>大地图单位-野怪-精英怪-Lv1</v>
      </c>
      <c r="C220" s="148">
        <f>IFERROR(__xludf.DUMMYFUNCTION("""COMPUTED_VALUE"""),1.1221004E7)</f>
        <v>11221004</v>
      </c>
      <c r="D220" s="148">
        <f>IFERROR(__xludf.DUMMYFUNCTION("""COMPUTED_VALUE"""),1.5111041E7)</f>
        <v>15111041</v>
      </c>
      <c r="E220" s="148" t="str">
        <f>IFERROR(__xludf.DUMMYFUNCTION("""COMPUTED_VALUE"""),"{""typ"":""lc"",""txt"":""LC_SOLDIER_npc_name_1""}")</f>
        <v>{"typ":"lc","txt":"LC_SOLDIER_npc_name_1"}</v>
      </c>
      <c r="F220" s="148" t="str">
        <f>IFERROR(__xludf.DUMMYFUNCTION("""COMPUTED_VALUE"""),"{}")</f>
        <v>{}</v>
      </c>
      <c r="G220" s="148">
        <f>IFERROR(__xludf.DUMMYFUNCTION("""COMPUTED_VALUE"""),10.0)</f>
        <v>10</v>
      </c>
      <c r="H220" s="148">
        <f>IFERROR(__xludf.DUMMYFUNCTION("""COMPUTED_VALUE"""),10099.0)</f>
        <v>10099</v>
      </c>
      <c r="I220" s="148">
        <f>IFERROR(__xludf.DUMMYFUNCTION("""COMPUTED_VALUE"""),10099.0)</f>
        <v>10099</v>
      </c>
      <c r="J220" s="148">
        <f>IFERROR(__xludf.DUMMYFUNCTION("""COMPUTED_VALUE"""),0.0)</f>
        <v>0</v>
      </c>
      <c r="K220" s="148">
        <f>IFERROR(__xludf.DUMMYFUNCTION("""COMPUTED_VALUE"""),10.0)</f>
        <v>10</v>
      </c>
      <c r="L220" s="148">
        <f>IFERROR(__xludf.DUMMYFUNCTION("""COMPUTED_VALUE"""),99.0)</f>
        <v>99</v>
      </c>
      <c r="M220" s="148">
        <f>IFERROR(__xludf.DUMMYFUNCTION("""COMPUTED_VALUE"""),0.0)</f>
        <v>0</v>
      </c>
      <c r="N220" s="148" t="str">
        <f>IFERROR(__xludf.DUMMYFUNCTION("""COMPUTED_VALUE"""),"[]")</f>
        <v>[]</v>
      </c>
      <c r="O220" s="148" t="str">
        <f>IFERROR(__xludf.DUMMYFUNCTION("""COMPUTED_VALUE"""),"{}")</f>
        <v>{}</v>
      </c>
      <c r="P220" s="148">
        <f>IFERROR(__xludf.DUMMYFUNCTION("""COMPUTED_VALUE"""),0.0)</f>
        <v>0</v>
      </c>
      <c r="Q220" s="148" t="str">
        <f>IFERROR(__xludf.DUMMYFUNCTION("""COMPUTED_VALUE"""),"[]")</f>
        <v>[]</v>
      </c>
      <c r="R220" s="148" t="str">
        <f>IFERROR(__xludf.DUMMYFUNCTION("""COMPUTED_VALUE"""),"{}")</f>
        <v>{}</v>
      </c>
      <c r="S220" s="148">
        <f>IFERROR(__xludf.DUMMYFUNCTION("""COMPUTED_VALUE"""),0.0)</f>
        <v>0</v>
      </c>
      <c r="T220" s="148" t="str">
        <f>IFERROR(__xludf.DUMMYFUNCTION("""COMPUTED_VALUE"""),"[]")</f>
        <v>[]</v>
      </c>
      <c r="U220" s="148">
        <f>IFERROR(__xludf.DUMMYFUNCTION("""COMPUTED_VALUE"""),0.0)</f>
        <v>0</v>
      </c>
      <c r="V220" s="148" t="str">
        <f>IFERROR(__xludf.DUMMYFUNCTION("""COMPUTED_VALUE"""),"{}")</f>
        <v>{}</v>
      </c>
      <c r="W220" s="148" t="str">
        <f>IFERROR(__xludf.DUMMYFUNCTION("""COMPUTED_VALUE"""),"[]")</f>
        <v>[]</v>
      </c>
      <c r="X220" s="148" t="str">
        <f>IFERROR(__xludf.DUMMYFUNCTION("""COMPUTED_VALUE"""),"[{""typ"":""power"",""id"":12141002,""val"":1}]")</f>
        <v>[{"typ":"power","id":12141002,"val":1}]</v>
      </c>
      <c r="Y220" s="148" t="str">
        <f>IFERROR(__xludf.DUMMYFUNCTION("""COMPUTED_VALUE"""),"[{""typ"":""atk"",""val"":60},{""typ"":""def"",""val"":125},{""typ"":""hp"",""val"":135},{""typ"":""speed"",""val"":40},{""typ"":""load"",""val"":20},{""typ"":""backcoef"",""val"":0.5},{""typ"":""atkcoef"",""val"":1.0},{""typ"":""atkcd"",""val"":0}]")</f>
        <v>[{"typ":"atk","val":60},{"typ":"def","val":125},{"typ":"hp","val":135},{"typ":"speed","val":40},{"typ":"load","val":20},{"typ":"backcoef","val":0.5},{"typ":"atkcoef","val":1.0},{"typ":"atkcd","val":0}]</v>
      </c>
      <c r="Z220" s="148" t="str">
        <f>IFERROR(__xludf.DUMMYFUNCTION("""COMPUTED_VALUE"""),"[]")</f>
        <v>[]</v>
      </c>
    </row>
    <row r="221">
      <c r="A221" s="148">
        <f>IFERROR(__xludf.DUMMYFUNCTION("""COMPUTED_VALUE"""),1.1214002E7)</f>
        <v>11214002</v>
      </c>
      <c r="B221" s="148" t="str">
        <f>IFERROR(__xludf.DUMMYFUNCTION("""COMPUTED_VALUE"""),"世界BOSS单位")</f>
        <v>世界BOSS单位</v>
      </c>
      <c r="C221" s="148">
        <f>IFERROR(__xludf.DUMMYFUNCTION("""COMPUTED_VALUE"""),1.1221004E7)</f>
        <v>11221004</v>
      </c>
      <c r="D221" s="148">
        <f>IFERROR(__xludf.DUMMYFUNCTION("""COMPUTED_VALUE"""),0.0)</f>
        <v>0</v>
      </c>
      <c r="E221" s="148" t="str">
        <f>IFERROR(__xludf.DUMMYFUNCTION("""COMPUTED_VALUE"""),"{""typ"":""lc"",""txt"":""LC_NPC_npc_world_boss_name""}")</f>
        <v>{"typ":"lc","txt":"LC_NPC_npc_world_boss_name"}</v>
      </c>
      <c r="F221" s="148" t="str">
        <f>IFERROR(__xludf.DUMMYFUNCTION("""COMPUTED_VALUE"""),"{""typ"":""lc"",""txt"":""LC_NPC_npc_world_boss_desc""}")</f>
        <v>{"typ":"lc","txt":"LC_NPC_npc_world_boss_desc"}</v>
      </c>
      <c r="G221" s="148">
        <f>IFERROR(__xludf.DUMMYFUNCTION("""COMPUTED_VALUE"""),4.0)</f>
        <v>4</v>
      </c>
      <c r="H221" s="148">
        <f>IFERROR(__xludf.DUMMYFUNCTION("""COMPUTED_VALUE"""),10099.0)</f>
        <v>10099</v>
      </c>
      <c r="I221" s="148">
        <f>IFERROR(__xludf.DUMMYFUNCTION("""COMPUTED_VALUE"""),10099.0)</f>
        <v>10099</v>
      </c>
      <c r="J221" s="148">
        <f>IFERROR(__xludf.DUMMYFUNCTION("""COMPUTED_VALUE"""),0.0)</f>
        <v>0</v>
      </c>
      <c r="K221" s="148">
        <f>IFERROR(__xludf.DUMMYFUNCTION("""COMPUTED_VALUE"""),10.0)</f>
        <v>10</v>
      </c>
      <c r="L221" s="148">
        <f>IFERROR(__xludf.DUMMYFUNCTION("""COMPUTED_VALUE"""),99.0)</f>
        <v>99</v>
      </c>
      <c r="M221" s="148">
        <f>IFERROR(__xludf.DUMMYFUNCTION("""COMPUTED_VALUE"""),0.0)</f>
        <v>0</v>
      </c>
      <c r="N221" s="148" t="str">
        <f>IFERROR(__xludf.DUMMYFUNCTION("""COMPUTED_VALUE"""),"[]")</f>
        <v>[]</v>
      </c>
      <c r="O221" s="148" t="str">
        <f>IFERROR(__xludf.DUMMYFUNCTION("""COMPUTED_VALUE"""),"{}")</f>
        <v>{}</v>
      </c>
      <c r="P221" s="148">
        <f>IFERROR(__xludf.DUMMYFUNCTION("""COMPUTED_VALUE"""),0.0)</f>
        <v>0</v>
      </c>
      <c r="Q221" s="148" t="str">
        <f>IFERROR(__xludf.DUMMYFUNCTION("""COMPUTED_VALUE"""),"[]")</f>
        <v>[]</v>
      </c>
      <c r="R221" s="148" t="str">
        <f>IFERROR(__xludf.DUMMYFUNCTION("""COMPUTED_VALUE"""),"{}")</f>
        <v>{}</v>
      </c>
      <c r="S221" s="148">
        <f>IFERROR(__xludf.DUMMYFUNCTION("""COMPUTED_VALUE"""),0.0)</f>
        <v>0</v>
      </c>
      <c r="T221" s="148" t="str">
        <f>IFERROR(__xludf.DUMMYFUNCTION("""COMPUTED_VALUE"""),"[]")</f>
        <v>[]</v>
      </c>
      <c r="U221" s="148">
        <f>IFERROR(__xludf.DUMMYFUNCTION("""COMPUTED_VALUE"""),0.0)</f>
        <v>0</v>
      </c>
      <c r="V221" s="148" t="str">
        <f>IFERROR(__xludf.DUMMYFUNCTION("""COMPUTED_VALUE"""),"{}")</f>
        <v>{}</v>
      </c>
      <c r="W221" s="148" t="str">
        <f>IFERROR(__xludf.DUMMYFUNCTION("""COMPUTED_VALUE"""),"[]")</f>
        <v>[]</v>
      </c>
      <c r="X221" s="148" t="str">
        <f>IFERROR(__xludf.DUMMYFUNCTION("""COMPUTED_VALUE"""),"[{""typ"":""power"",""id"":12141002,""val"":4}]")</f>
        <v>[{"typ":"power","id":12141002,"val":4}]</v>
      </c>
      <c r="Y221" s="148" t="str">
        <f>IFERROR(__xludf.DUMMYFUNCTION("""COMPUTED_VALUE"""),"[{""typ"":""atk"",""val"":137},{""typ"":""def"",""val"":160},{""typ"":""hp"",""val"":160},{""typ"":""speed"",""val"":40},{""typ"":""load"",""val"":20},{""typ"":""backcoef"",""val"":0.5},{""typ"":""atkcoef"",""val"":1.0},{""typ"":""atkcd"",""val"":0}]")</f>
        <v>[{"typ":"atk","val":137},{"typ":"def","val":160},{"typ":"hp","val":160},{"typ":"speed","val":40},{"typ":"load","val":20},{"typ":"backcoef","val":0.5},{"typ":"atkcoef","val":1.0},{"typ":"atkcd","val":0}]</v>
      </c>
      <c r="Z221" s="148" t="str">
        <f>IFERROR(__xludf.DUMMYFUNCTION("""COMPUTED_VALUE"""),"[]")</f>
        <v>[]</v>
      </c>
    </row>
    <row r="222">
      <c r="A222" s="148">
        <f>IFERROR(__xludf.DUMMYFUNCTION("""COMPUTED_VALUE"""),1.1214101E7)</f>
        <v>11214101</v>
      </c>
      <c r="B222" s="148" t="str">
        <f>IFERROR(__xludf.DUMMYFUNCTION("""COMPUTED_VALUE"""),"雷达挑战怪T1")</f>
        <v>雷达挑战怪T1</v>
      </c>
      <c r="C222" s="148">
        <f>IFERROR(__xludf.DUMMYFUNCTION("""COMPUTED_VALUE"""),1.1221004E7)</f>
        <v>11221004</v>
      </c>
      <c r="D222" s="148">
        <f>IFERROR(__xludf.DUMMYFUNCTION("""COMPUTED_VALUE"""),1.5114053E7)</f>
        <v>15114053</v>
      </c>
      <c r="E222" s="148" t="str">
        <f>IFERROR(__xludf.DUMMYFUNCTION("""COMPUTED_VALUE"""),"{""typ"":""lc"",""txt"":""LC_NPC_monster_elite_boxing""}")</f>
        <v>{"typ":"lc","txt":"LC_NPC_monster_elite_boxing"}</v>
      </c>
      <c r="F222" s="148" t="str">
        <f>IFERROR(__xludf.DUMMYFUNCTION("""COMPUTED_VALUE"""),"{}")</f>
        <v>{}</v>
      </c>
      <c r="G222" s="148">
        <f>IFERROR(__xludf.DUMMYFUNCTION("""COMPUTED_VALUE"""),10.0)</f>
        <v>10</v>
      </c>
      <c r="H222" s="148">
        <f>IFERROR(__xludf.DUMMYFUNCTION("""COMPUTED_VALUE"""),10099.0)</f>
        <v>10099</v>
      </c>
      <c r="I222" s="148">
        <f>IFERROR(__xludf.DUMMYFUNCTION("""COMPUTED_VALUE"""),10099.0)</f>
        <v>10099</v>
      </c>
      <c r="J222" s="148">
        <f>IFERROR(__xludf.DUMMYFUNCTION("""COMPUTED_VALUE"""),0.0)</f>
        <v>0</v>
      </c>
      <c r="K222" s="148">
        <f>IFERROR(__xludf.DUMMYFUNCTION("""COMPUTED_VALUE"""),10.0)</f>
        <v>10</v>
      </c>
      <c r="L222" s="148">
        <f>IFERROR(__xludf.DUMMYFUNCTION("""COMPUTED_VALUE"""),99.0)</f>
        <v>99</v>
      </c>
      <c r="M222" s="148">
        <f>IFERROR(__xludf.DUMMYFUNCTION("""COMPUTED_VALUE"""),0.0)</f>
        <v>0</v>
      </c>
      <c r="N222" s="148" t="str">
        <f>IFERROR(__xludf.DUMMYFUNCTION("""COMPUTED_VALUE"""),"[]")</f>
        <v>[]</v>
      </c>
      <c r="O222" s="148" t="str">
        <f>IFERROR(__xludf.DUMMYFUNCTION("""COMPUTED_VALUE"""),"{}")</f>
        <v>{}</v>
      </c>
      <c r="P222" s="148">
        <f>IFERROR(__xludf.DUMMYFUNCTION("""COMPUTED_VALUE"""),0.0)</f>
        <v>0</v>
      </c>
      <c r="Q222" s="148" t="str">
        <f>IFERROR(__xludf.DUMMYFUNCTION("""COMPUTED_VALUE"""),"[]")</f>
        <v>[]</v>
      </c>
      <c r="R222" s="148" t="str">
        <f>IFERROR(__xludf.DUMMYFUNCTION("""COMPUTED_VALUE"""),"{}")</f>
        <v>{}</v>
      </c>
      <c r="S222" s="148">
        <f>IFERROR(__xludf.DUMMYFUNCTION("""COMPUTED_VALUE"""),0.0)</f>
        <v>0</v>
      </c>
      <c r="T222" s="148" t="str">
        <f>IFERROR(__xludf.DUMMYFUNCTION("""COMPUTED_VALUE"""),"[]")</f>
        <v>[]</v>
      </c>
      <c r="U222" s="148">
        <f>IFERROR(__xludf.DUMMYFUNCTION("""COMPUTED_VALUE"""),0.0)</f>
        <v>0</v>
      </c>
      <c r="V222" s="148" t="str">
        <f>IFERROR(__xludf.DUMMYFUNCTION("""COMPUTED_VALUE"""),"{}")</f>
        <v>{}</v>
      </c>
      <c r="W222" s="148" t="str">
        <f>IFERROR(__xludf.DUMMYFUNCTION("""COMPUTED_VALUE"""),"[]")</f>
        <v>[]</v>
      </c>
      <c r="X222" s="148" t="str">
        <f>IFERROR(__xludf.DUMMYFUNCTION("""COMPUTED_VALUE"""),"[{""typ"":""power"",""id"":12141002,""val"":1}]")</f>
        <v>[{"typ":"power","id":12141002,"val":1}]</v>
      </c>
      <c r="Y222" s="148" t="str">
        <f>IFERROR(__xludf.DUMMYFUNCTION("""COMPUTED_VALUE"""),"[{""typ"":""atk"",""val"":60},{""typ"":""def"",""val"":125},{""typ"":""hp"",""val"":120},{""typ"":""speed"",""val"":40},{""typ"":""load"",""val"":20},{""typ"":""backcoef"",""val"":0.5},{""typ"":""atkcoef"",""val"":1.0},{""typ"":""atkcd"",""val"":0}]")</f>
        <v>[{"typ":"atk","val":60},{"typ":"def","val":125},{"typ":"hp","val":120},{"typ":"speed","val":40},{"typ":"load","val":20},{"typ":"backcoef","val":0.5},{"typ":"atkcoef","val":1.0},{"typ":"atkcd","val":0}]</v>
      </c>
      <c r="Z222" s="148" t="str">
        <f>IFERROR(__xludf.DUMMYFUNCTION("""COMPUTED_VALUE"""),"[]")</f>
        <v>[]</v>
      </c>
    </row>
    <row r="223">
      <c r="A223" s="148">
        <f>IFERROR(__xludf.DUMMYFUNCTION("""COMPUTED_VALUE"""),1.1214102E7)</f>
        <v>11214102</v>
      </c>
      <c r="B223" s="148" t="str">
        <f>IFERROR(__xludf.DUMMYFUNCTION("""COMPUTED_VALUE"""),"雷达挑战怪T2")</f>
        <v>雷达挑战怪T2</v>
      </c>
      <c r="C223" s="148">
        <f>IFERROR(__xludf.DUMMYFUNCTION("""COMPUTED_VALUE"""),1.1221004E7)</f>
        <v>11221004</v>
      </c>
      <c r="D223" s="148">
        <f>IFERROR(__xludf.DUMMYFUNCTION("""COMPUTED_VALUE"""),1.5114053E7)</f>
        <v>15114053</v>
      </c>
      <c r="E223" s="148" t="str">
        <f>IFERROR(__xludf.DUMMYFUNCTION("""COMPUTED_VALUE"""),"{""typ"":""lc"",""txt"":""LC_NPC_monster_elite_boxing""}")</f>
        <v>{"typ":"lc","txt":"LC_NPC_monster_elite_boxing"}</v>
      </c>
      <c r="F223" s="148" t="str">
        <f>IFERROR(__xludf.DUMMYFUNCTION("""COMPUTED_VALUE"""),"{}")</f>
        <v>{}</v>
      </c>
      <c r="G223" s="148">
        <f>IFERROR(__xludf.DUMMYFUNCTION("""COMPUTED_VALUE"""),10.0)</f>
        <v>10</v>
      </c>
      <c r="H223" s="148">
        <f>IFERROR(__xludf.DUMMYFUNCTION("""COMPUTED_VALUE"""),10099.0)</f>
        <v>10099</v>
      </c>
      <c r="I223" s="148">
        <f>IFERROR(__xludf.DUMMYFUNCTION("""COMPUTED_VALUE"""),10099.0)</f>
        <v>10099</v>
      </c>
      <c r="J223" s="148">
        <f>IFERROR(__xludf.DUMMYFUNCTION("""COMPUTED_VALUE"""),0.0)</f>
        <v>0</v>
      </c>
      <c r="K223" s="148">
        <f>IFERROR(__xludf.DUMMYFUNCTION("""COMPUTED_VALUE"""),10.0)</f>
        <v>10</v>
      </c>
      <c r="L223" s="148">
        <f>IFERROR(__xludf.DUMMYFUNCTION("""COMPUTED_VALUE"""),99.0)</f>
        <v>99</v>
      </c>
      <c r="M223" s="148">
        <f>IFERROR(__xludf.DUMMYFUNCTION("""COMPUTED_VALUE"""),0.0)</f>
        <v>0</v>
      </c>
      <c r="N223" s="148" t="str">
        <f>IFERROR(__xludf.DUMMYFUNCTION("""COMPUTED_VALUE"""),"[]")</f>
        <v>[]</v>
      </c>
      <c r="O223" s="148" t="str">
        <f>IFERROR(__xludf.DUMMYFUNCTION("""COMPUTED_VALUE"""),"{}")</f>
        <v>{}</v>
      </c>
      <c r="P223" s="148">
        <f>IFERROR(__xludf.DUMMYFUNCTION("""COMPUTED_VALUE"""),0.0)</f>
        <v>0</v>
      </c>
      <c r="Q223" s="148" t="str">
        <f>IFERROR(__xludf.DUMMYFUNCTION("""COMPUTED_VALUE"""),"[]")</f>
        <v>[]</v>
      </c>
      <c r="R223" s="148" t="str">
        <f>IFERROR(__xludf.DUMMYFUNCTION("""COMPUTED_VALUE"""),"{}")</f>
        <v>{}</v>
      </c>
      <c r="S223" s="148">
        <f>IFERROR(__xludf.DUMMYFUNCTION("""COMPUTED_VALUE"""),0.0)</f>
        <v>0</v>
      </c>
      <c r="T223" s="148" t="str">
        <f>IFERROR(__xludf.DUMMYFUNCTION("""COMPUTED_VALUE"""),"[]")</f>
        <v>[]</v>
      </c>
      <c r="U223" s="148">
        <f>IFERROR(__xludf.DUMMYFUNCTION("""COMPUTED_VALUE"""),0.0)</f>
        <v>0</v>
      </c>
      <c r="V223" s="148" t="str">
        <f>IFERROR(__xludf.DUMMYFUNCTION("""COMPUTED_VALUE"""),"{}")</f>
        <v>{}</v>
      </c>
      <c r="W223" s="148" t="str">
        <f>IFERROR(__xludf.DUMMYFUNCTION("""COMPUTED_VALUE"""),"[]")</f>
        <v>[]</v>
      </c>
      <c r="X223" s="148" t="str">
        <f>IFERROR(__xludf.DUMMYFUNCTION("""COMPUTED_VALUE"""),"[{""typ"":""power"",""id"":12141002,""val"":2}]")</f>
        <v>[{"typ":"power","id":12141002,"val":2}]</v>
      </c>
      <c r="Y223" s="148" t="str">
        <f>IFERROR(__xludf.DUMMYFUNCTION("""COMPUTED_VALUE"""),"[{""typ"":""atk"",""val"":120},{""typ"":""def"",""val"":130},{""typ"":""hp"",""val"":130},{""typ"":""speed"",""val"":40},{""typ"":""load"",""val"":20},{""typ"":""backcoef"",""val"":0.5},{""typ"":""atkcoef"",""val"":1.0},{""typ"":""atkcd"",""val"":0}]")</f>
        <v>[{"typ":"atk","val":120},{"typ":"def","val":130},{"typ":"hp","val":130},{"typ":"speed","val":40},{"typ":"load","val":20},{"typ":"backcoef","val":0.5},{"typ":"atkcoef","val":1.0},{"typ":"atkcd","val":0}]</v>
      </c>
      <c r="Z223" s="148" t="str">
        <f>IFERROR(__xludf.DUMMYFUNCTION("""COMPUTED_VALUE"""),"[]")</f>
        <v>[]</v>
      </c>
    </row>
    <row r="224">
      <c r="A224" s="148">
        <f>IFERROR(__xludf.DUMMYFUNCTION("""COMPUTED_VALUE"""),1.1214103E7)</f>
        <v>11214103</v>
      </c>
      <c r="B224" s="148" t="str">
        <f>IFERROR(__xludf.DUMMYFUNCTION("""COMPUTED_VALUE"""),"雷达挑战怪T1-kvk")</f>
        <v>雷达挑战怪T1-kvk</v>
      </c>
      <c r="C224" s="148">
        <f>IFERROR(__xludf.DUMMYFUNCTION("""COMPUTED_VALUE"""),1.1221004E7)</f>
        <v>11221004</v>
      </c>
      <c r="D224" s="148">
        <f>IFERROR(__xludf.DUMMYFUNCTION("""COMPUTED_VALUE"""),1.5113966E7)</f>
        <v>15113966</v>
      </c>
      <c r="E224" s="148" t="str">
        <f>IFERROR(__xludf.DUMMYFUNCTION("""COMPUTED_VALUE"""),"{""typ"":""lc"",""txt"":""LC_SOLDIER_npc_name_kvk_boss""}")</f>
        <v>{"typ":"lc","txt":"LC_SOLDIER_npc_name_kvk_boss"}</v>
      </c>
      <c r="F224" s="148" t="str">
        <f>IFERROR(__xludf.DUMMYFUNCTION("""COMPUTED_VALUE"""),"{}")</f>
        <v>{}</v>
      </c>
      <c r="G224" s="148">
        <f>IFERROR(__xludf.DUMMYFUNCTION("""COMPUTED_VALUE"""),10.0)</f>
        <v>10</v>
      </c>
      <c r="H224" s="148">
        <f>IFERROR(__xludf.DUMMYFUNCTION("""COMPUTED_VALUE"""),10099.0)</f>
        <v>10099</v>
      </c>
      <c r="I224" s="148">
        <f>IFERROR(__xludf.DUMMYFUNCTION("""COMPUTED_VALUE"""),10099.0)</f>
        <v>10099</v>
      </c>
      <c r="J224" s="148">
        <f>IFERROR(__xludf.DUMMYFUNCTION("""COMPUTED_VALUE"""),0.0)</f>
        <v>0</v>
      </c>
      <c r="K224" s="148">
        <f>IFERROR(__xludf.DUMMYFUNCTION("""COMPUTED_VALUE"""),10.0)</f>
        <v>10</v>
      </c>
      <c r="L224" s="148">
        <f>IFERROR(__xludf.DUMMYFUNCTION("""COMPUTED_VALUE"""),99.0)</f>
        <v>99</v>
      </c>
      <c r="M224" s="148">
        <f>IFERROR(__xludf.DUMMYFUNCTION("""COMPUTED_VALUE"""),0.0)</f>
        <v>0</v>
      </c>
      <c r="N224" s="148" t="str">
        <f>IFERROR(__xludf.DUMMYFUNCTION("""COMPUTED_VALUE"""),"[]")</f>
        <v>[]</v>
      </c>
      <c r="O224" s="148" t="str">
        <f>IFERROR(__xludf.DUMMYFUNCTION("""COMPUTED_VALUE"""),"{}")</f>
        <v>{}</v>
      </c>
      <c r="P224" s="148">
        <f>IFERROR(__xludf.DUMMYFUNCTION("""COMPUTED_VALUE"""),0.0)</f>
        <v>0</v>
      </c>
      <c r="Q224" s="148" t="str">
        <f>IFERROR(__xludf.DUMMYFUNCTION("""COMPUTED_VALUE"""),"[]")</f>
        <v>[]</v>
      </c>
      <c r="R224" s="148" t="str">
        <f>IFERROR(__xludf.DUMMYFUNCTION("""COMPUTED_VALUE"""),"{}")</f>
        <v>{}</v>
      </c>
      <c r="S224" s="148">
        <f>IFERROR(__xludf.DUMMYFUNCTION("""COMPUTED_VALUE"""),0.0)</f>
        <v>0</v>
      </c>
      <c r="T224" s="148" t="str">
        <f>IFERROR(__xludf.DUMMYFUNCTION("""COMPUTED_VALUE"""),"[]")</f>
        <v>[]</v>
      </c>
      <c r="U224" s="148">
        <f>IFERROR(__xludf.DUMMYFUNCTION("""COMPUTED_VALUE"""),0.0)</f>
        <v>0</v>
      </c>
      <c r="V224" s="148" t="str">
        <f>IFERROR(__xludf.DUMMYFUNCTION("""COMPUTED_VALUE"""),"{}")</f>
        <v>{}</v>
      </c>
      <c r="W224" s="148" t="str">
        <f>IFERROR(__xludf.DUMMYFUNCTION("""COMPUTED_VALUE"""),"[]")</f>
        <v>[]</v>
      </c>
      <c r="X224" s="148" t="str">
        <f>IFERROR(__xludf.DUMMYFUNCTION("""COMPUTED_VALUE"""),"[{""typ"":""power"",""id"":12141002,""val"":1}]")</f>
        <v>[{"typ":"power","id":12141002,"val":1}]</v>
      </c>
      <c r="Y224" s="148" t="str">
        <f>IFERROR(__xludf.DUMMYFUNCTION("""COMPUTED_VALUE"""),"[{""typ"":""atk"",""val"":60},{""typ"":""def"",""val"":125},{""typ"":""hp"",""val"":120},{""typ"":""speed"",""val"":40},{""typ"":""load"",""val"":20},{""typ"":""backcoef"",""val"":0.5},{""typ"":""atkcoef"",""val"":1.0},{""typ"":""atkcd"",""val"":0}]")</f>
        <v>[{"typ":"atk","val":60},{"typ":"def","val":125},{"typ":"hp","val":120},{"typ":"speed","val":40},{"typ":"load","val":20},{"typ":"backcoef","val":0.5},{"typ":"atkcoef","val":1.0},{"typ":"atkcd","val":0}]</v>
      </c>
      <c r="Z224" s="148" t="str">
        <f>IFERROR(__xludf.DUMMYFUNCTION("""COMPUTED_VALUE"""),"[]")</f>
        <v>[]</v>
      </c>
    </row>
    <row r="225">
      <c r="A225" s="148">
        <f>IFERROR(__xludf.DUMMYFUNCTION("""COMPUTED_VALUE"""),1.1214104E7)</f>
        <v>11214104</v>
      </c>
      <c r="B225" s="148" t="str">
        <f>IFERROR(__xludf.DUMMYFUNCTION("""COMPUTED_VALUE"""),"雷达挑战怪T2-kvk")</f>
        <v>雷达挑战怪T2-kvk</v>
      </c>
      <c r="C225" s="148">
        <f>IFERROR(__xludf.DUMMYFUNCTION("""COMPUTED_VALUE"""),1.1221004E7)</f>
        <v>11221004</v>
      </c>
      <c r="D225" s="148">
        <f>IFERROR(__xludf.DUMMYFUNCTION("""COMPUTED_VALUE"""),1.5113966E7)</f>
        <v>15113966</v>
      </c>
      <c r="E225" s="148" t="str">
        <f>IFERROR(__xludf.DUMMYFUNCTION("""COMPUTED_VALUE"""),"{""typ"":""lc"",""txt"":""LC_SOLDIER_npc_name_kvk_boss""}")</f>
        <v>{"typ":"lc","txt":"LC_SOLDIER_npc_name_kvk_boss"}</v>
      </c>
      <c r="F225" s="148" t="str">
        <f>IFERROR(__xludf.DUMMYFUNCTION("""COMPUTED_VALUE"""),"{}")</f>
        <v>{}</v>
      </c>
      <c r="G225" s="148">
        <f>IFERROR(__xludf.DUMMYFUNCTION("""COMPUTED_VALUE"""),10.0)</f>
        <v>10</v>
      </c>
      <c r="H225" s="148">
        <f>IFERROR(__xludf.DUMMYFUNCTION("""COMPUTED_VALUE"""),10099.0)</f>
        <v>10099</v>
      </c>
      <c r="I225" s="148">
        <f>IFERROR(__xludf.DUMMYFUNCTION("""COMPUTED_VALUE"""),10099.0)</f>
        <v>10099</v>
      </c>
      <c r="J225" s="148">
        <f>IFERROR(__xludf.DUMMYFUNCTION("""COMPUTED_VALUE"""),0.0)</f>
        <v>0</v>
      </c>
      <c r="K225" s="148">
        <f>IFERROR(__xludf.DUMMYFUNCTION("""COMPUTED_VALUE"""),10.0)</f>
        <v>10</v>
      </c>
      <c r="L225" s="148">
        <f>IFERROR(__xludf.DUMMYFUNCTION("""COMPUTED_VALUE"""),99.0)</f>
        <v>99</v>
      </c>
      <c r="M225" s="148">
        <f>IFERROR(__xludf.DUMMYFUNCTION("""COMPUTED_VALUE"""),0.0)</f>
        <v>0</v>
      </c>
      <c r="N225" s="148" t="str">
        <f>IFERROR(__xludf.DUMMYFUNCTION("""COMPUTED_VALUE"""),"[]")</f>
        <v>[]</v>
      </c>
      <c r="O225" s="148" t="str">
        <f>IFERROR(__xludf.DUMMYFUNCTION("""COMPUTED_VALUE"""),"{}")</f>
        <v>{}</v>
      </c>
      <c r="P225" s="148">
        <f>IFERROR(__xludf.DUMMYFUNCTION("""COMPUTED_VALUE"""),0.0)</f>
        <v>0</v>
      </c>
      <c r="Q225" s="148" t="str">
        <f>IFERROR(__xludf.DUMMYFUNCTION("""COMPUTED_VALUE"""),"[]")</f>
        <v>[]</v>
      </c>
      <c r="R225" s="148" t="str">
        <f>IFERROR(__xludf.DUMMYFUNCTION("""COMPUTED_VALUE"""),"{}")</f>
        <v>{}</v>
      </c>
      <c r="S225" s="148">
        <f>IFERROR(__xludf.DUMMYFUNCTION("""COMPUTED_VALUE"""),0.0)</f>
        <v>0</v>
      </c>
      <c r="T225" s="148" t="str">
        <f>IFERROR(__xludf.DUMMYFUNCTION("""COMPUTED_VALUE"""),"[]")</f>
        <v>[]</v>
      </c>
      <c r="U225" s="148">
        <f>IFERROR(__xludf.DUMMYFUNCTION("""COMPUTED_VALUE"""),0.0)</f>
        <v>0</v>
      </c>
      <c r="V225" s="148" t="str">
        <f>IFERROR(__xludf.DUMMYFUNCTION("""COMPUTED_VALUE"""),"{}")</f>
        <v>{}</v>
      </c>
      <c r="W225" s="148" t="str">
        <f>IFERROR(__xludf.DUMMYFUNCTION("""COMPUTED_VALUE"""),"[]")</f>
        <v>[]</v>
      </c>
      <c r="X225" s="148" t="str">
        <f>IFERROR(__xludf.DUMMYFUNCTION("""COMPUTED_VALUE"""),"[{""typ"":""power"",""id"":12141002,""val"":2}]")</f>
        <v>[{"typ":"power","id":12141002,"val":2}]</v>
      </c>
      <c r="Y225" s="148" t="str">
        <f>IFERROR(__xludf.DUMMYFUNCTION("""COMPUTED_VALUE"""),"[{""typ"":""atk"",""val"":120},{""typ"":""def"",""val"":130},{""typ"":""hp"",""val"":130},{""typ"":""speed"",""val"":40},{""typ"":""load"",""val"":20},{""typ"":""backcoef"",""val"":0.5},{""typ"":""atkcoef"",""val"":1.0},{""typ"":""atkcd"",""val"":0}]")</f>
        <v>[{"typ":"atk","val":120},{"typ":"def","val":130},{"typ":"hp","val":130},{"typ":"speed","val":40},{"typ":"load","val":20},{"typ":"backcoef","val":0.5},{"typ":"atkcoef","val":1.0},{"typ":"atkcd","val":0}]</v>
      </c>
      <c r="Z225" s="148" t="str">
        <f>IFERROR(__xludf.DUMMYFUNCTION("""COMPUTED_VALUE"""),"[]")</f>
        <v>[]</v>
      </c>
    </row>
    <row r="226">
      <c r="A226" s="148">
        <f>IFERROR(__xludf.DUMMYFUNCTION("""COMPUTED_VALUE"""),1.1214105E7)</f>
        <v>11214105</v>
      </c>
      <c r="B226" s="148" t="str">
        <f>IFERROR(__xludf.DUMMYFUNCTION("""COMPUTED_VALUE"""),"雷达挑战怪T3")</f>
        <v>雷达挑战怪T3</v>
      </c>
      <c r="C226" s="148">
        <f>IFERROR(__xludf.DUMMYFUNCTION("""COMPUTED_VALUE"""),1.1221004E7)</f>
        <v>11221004</v>
      </c>
      <c r="D226" s="148">
        <f>IFERROR(__xludf.DUMMYFUNCTION("""COMPUTED_VALUE"""),1.5114053E7)</f>
        <v>15114053</v>
      </c>
      <c r="E226" s="148" t="str">
        <f>IFERROR(__xludf.DUMMYFUNCTION("""COMPUTED_VALUE"""),"{""typ"":""lc"",""txt"":""LC_NPC_monster_elite_boxing""}")</f>
        <v>{"typ":"lc","txt":"LC_NPC_monster_elite_boxing"}</v>
      </c>
      <c r="F226" s="148" t="str">
        <f>IFERROR(__xludf.DUMMYFUNCTION("""COMPUTED_VALUE"""),"{}")</f>
        <v>{}</v>
      </c>
      <c r="G226" s="148">
        <f>IFERROR(__xludf.DUMMYFUNCTION("""COMPUTED_VALUE"""),10.0)</f>
        <v>10</v>
      </c>
      <c r="H226" s="148">
        <f>IFERROR(__xludf.DUMMYFUNCTION("""COMPUTED_VALUE"""),10099.0)</f>
        <v>10099</v>
      </c>
      <c r="I226" s="148">
        <f>IFERROR(__xludf.DUMMYFUNCTION("""COMPUTED_VALUE"""),10099.0)</f>
        <v>10099</v>
      </c>
      <c r="J226" s="148">
        <f>IFERROR(__xludf.DUMMYFUNCTION("""COMPUTED_VALUE"""),0.0)</f>
        <v>0</v>
      </c>
      <c r="K226" s="148">
        <f>IFERROR(__xludf.DUMMYFUNCTION("""COMPUTED_VALUE"""),10.0)</f>
        <v>10</v>
      </c>
      <c r="L226" s="148">
        <f>IFERROR(__xludf.DUMMYFUNCTION("""COMPUTED_VALUE"""),99.0)</f>
        <v>99</v>
      </c>
      <c r="M226" s="148">
        <f>IFERROR(__xludf.DUMMYFUNCTION("""COMPUTED_VALUE"""),0.0)</f>
        <v>0</v>
      </c>
      <c r="N226" s="148" t="str">
        <f>IFERROR(__xludf.DUMMYFUNCTION("""COMPUTED_VALUE"""),"[]")</f>
        <v>[]</v>
      </c>
      <c r="O226" s="148" t="str">
        <f>IFERROR(__xludf.DUMMYFUNCTION("""COMPUTED_VALUE"""),"{}")</f>
        <v>{}</v>
      </c>
      <c r="P226" s="148">
        <f>IFERROR(__xludf.DUMMYFUNCTION("""COMPUTED_VALUE"""),0.0)</f>
        <v>0</v>
      </c>
      <c r="Q226" s="148" t="str">
        <f>IFERROR(__xludf.DUMMYFUNCTION("""COMPUTED_VALUE"""),"[]")</f>
        <v>[]</v>
      </c>
      <c r="R226" s="148" t="str">
        <f>IFERROR(__xludf.DUMMYFUNCTION("""COMPUTED_VALUE"""),"{}")</f>
        <v>{}</v>
      </c>
      <c r="S226" s="148">
        <f>IFERROR(__xludf.DUMMYFUNCTION("""COMPUTED_VALUE"""),0.0)</f>
        <v>0</v>
      </c>
      <c r="T226" s="148" t="str">
        <f>IFERROR(__xludf.DUMMYFUNCTION("""COMPUTED_VALUE"""),"[]")</f>
        <v>[]</v>
      </c>
      <c r="U226" s="148">
        <f>IFERROR(__xludf.DUMMYFUNCTION("""COMPUTED_VALUE"""),0.0)</f>
        <v>0</v>
      </c>
      <c r="V226" s="148" t="str">
        <f>IFERROR(__xludf.DUMMYFUNCTION("""COMPUTED_VALUE"""),"{}")</f>
        <v>{}</v>
      </c>
      <c r="W226" s="148" t="str">
        <f>IFERROR(__xludf.DUMMYFUNCTION("""COMPUTED_VALUE"""),"[]")</f>
        <v>[]</v>
      </c>
      <c r="X226" s="148" t="str">
        <f>IFERROR(__xludf.DUMMYFUNCTION("""COMPUTED_VALUE"""),"[{""typ"":""power"",""id"":12141002,""val"":4}]")</f>
        <v>[{"typ":"power","id":12141002,"val":4}]</v>
      </c>
      <c r="Y226" s="148" t="str">
        <f>IFERROR(__xludf.DUMMYFUNCTION("""COMPUTED_VALUE"""),"[{""typ"":""atk"",""val"":160},{""typ"":""def"",""val"":160},{""typ"":""hp"",""val"":160},{""typ"":""speed"",""val"":40},{""typ"":""load"",""val"":20},{""typ"":""backcoef"",""val"":0.5},{""typ"":""atkcoef"",""val"":1.0},{""typ"":""atkcd"",""val"":0}]")</f>
        <v>[{"typ":"atk","val":160},{"typ":"def","val":160},{"typ":"hp","val":160},{"typ":"speed","val":40},{"typ":"load","val":20},{"typ":"backcoef","val":0.5},{"typ":"atkcoef","val":1.0},{"typ":"atkcd","val":0}]</v>
      </c>
      <c r="Z226" s="148" t="str">
        <f>IFERROR(__xludf.DUMMYFUNCTION("""COMPUTED_VALUE"""),"[]")</f>
        <v>[]</v>
      </c>
    </row>
    <row r="227">
      <c r="A227" s="148">
        <f>IFERROR(__xludf.DUMMYFUNCTION("""COMPUTED_VALUE"""),1.1214106E7)</f>
        <v>11214106</v>
      </c>
      <c r="B227" s="148" t="str">
        <f>IFERROR(__xludf.DUMMYFUNCTION("""COMPUTED_VALUE"""),"雷达挑战怪T4")</f>
        <v>雷达挑战怪T4</v>
      </c>
      <c r="C227" s="148">
        <f>IFERROR(__xludf.DUMMYFUNCTION("""COMPUTED_VALUE"""),1.1221004E7)</f>
        <v>11221004</v>
      </c>
      <c r="D227" s="148">
        <f>IFERROR(__xludf.DUMMYFUNCTION("""COMPUTED_VALUE"""),1.5114053E7)</f>
        <v>15114053</v>
      </c>
      <c r="E227" s="148" t="str">
        <f>IFERROR(__xludf.DUMMYFUNCTION("""COMPUTED_VALUE"""),"{""typ"":""lc"",""txt"":""LC_NPC_monster_elite_boxing""}")</f>
        <v>{"typ":"lc","txt":"LC_NPC_monster_elite_boxing"}</v>
      </c>
      <c r="F227" s="148" t="str">
        <f>IFERROR(__xludf.DUMMYFUNCTION("""COMPUTED_VALUE"""),"{}")</f>
        <v>{}</v>
      </c>
      <c r="G227" s="148">
        <f>IFERROR(__xludf.DUMMYFUNCTION("""COMPUTED_VALUE"""),10.0)</f>
        <v>10</v>
      </c>
      <c r="H227" s="148">
        <f>IFERROR(__xludf.DUMMYFUNCTION("""COMPUTED_VALUE"""),10099.0)</f>
        <v>10099</v>
      </c>
      <c r="I227" s="148">
        <f>IFERROR(__xludf.DUMMYFUNCTION("""COMPUTED_VALUE"""),10099.0)</f>
        <v>10099</v>
      </c>
      <c r="J227" s="148">
        <f>IFERROR(__xludf.DUMMYFUNCTION("""COMPUTED_VALUE"""),0.0)</f>
        <v>0</v>
      </c>
      <c r="K227" s="148">
        <f>IFERROR(__xludf.DUMMYFUNCTION("""COMPUTED_VALUE"""),10.0)</f>
        <v>10</v>
      </c>
      <c r="L227" s="148">
        <f>IFERROR(__xludf.DUMMYFUNCTION("""COMPUTED_VALUE"""),99.0)</f>
        <v>99</v>
      </c>
      <c r="M227" s="148">
        <f>IFERROR(__xludf.DUMMYFUNCTION("""COMPUTED_VALUE"""),0.0)</f>
        <v>0</v>
      </c>
      <c r="N227" s="148" t="str">
        <f>IFERROR(__xludf.DUMMYFUNCTION("""COMPUTED_VALUE"""),"[]")</f>
        <v>[]</v>
      </c>
      <c r="O227" s="148" t="str">
        <f>IFERROR(__xludf.DUMMYFUNCTION("""COMPUTED_VALUE"""),"{}")</f>
        <v>{}</v>
      </c>
      <c r="P227" s="148">
        <f>IFERROR(__xludf.DUMMYFUNCTION("""COMPUTED_VALUE"""),0.0)</f>
        <v>0</v>
      </c>
      <c r="Q227" s="148" t="str">
        <f>IFERROR(__xludf.DUMMYFUNCTION("""COMPUTED_VALUE"""),"[]")</f>
        <v>[]</v>
      </c>
      <c r="R227" s="148" t="str">
        <f>IFERROR(__xludf.DUMMYFUNCTION("""COMPUTED_VALUE"""),"{}")</f>
        <v>{}</v>
      </c>
      <c r="S227" s="148">
        <f>IFERROR(__xludf.DUMMYFUNCTION("""COMPUTED_VALUE"""),0.0)</f>
        <v>0</v>
      </c>
      <c r="T227" s="148" t="str">
        <f>IFERROR(__xludf.DUMMYFUNCTION("""COMPUTED_VALUE"""),"[]")</f>
        <v>[]</v>
      </c>
      <c r="U227" s="148">
        <f>IFERROR(__xludf.DUMMYFUNCTION("""COMPUTED_VALUE"""),0.0)</f>
        <v>0</v>
      </c>
      <c r="V227" s="148" t="str">
        <f>IFERROR(__xludf.DUMMYFUNCTION("""COMPUTED_VALUE"""),"{}")</f>
        <v>{}</v>
      </c>
      <c r="W227" s="148" t="str">
        <f>IFERROR(__xludf.DUMMYFUNCTION("""COMPUTED_VALUE"""),"[]")</f>
        <v>[]</v>
      </c>
      <c r="X227" s="148" t="str">
        <f>IFERROR(__xludf.DUMMYFUNCTION("""COMPUTED_VALUE"""),"[{""typ"":""power"",""id"":12141002,""val"":6}]")</f>
        <v>[{"typ":"power","id":12141002,"val":6}]</v>
      </c>
      <c r="Y227" s="148" t="str">
        <f>IFERROR(__xludf.DUMMYFUNCTION("""COMPUTED_VALUE"""),"[{""typ"":""atk"",""val"":200},{""typ"":""def"",""val"":190},{""typ"":""hp"",""val"":180},{""typ"":""speed"",""val"":40},{""typ"":""load"",""val"":20},{""typ"":""backcoef"",""val"":0.5},{""typ"":""atkcoef"",""val"":1.0},{""typ"":""atkcd"",""val"":0}]")</f>
        <v>[{"typ":"atk","val":200},{"typ":"def","val":190},{"typ":"hp","val":180},{"typ":"speed","val":40},{"typ":"load","val":20},{"typ":"backcoef","val":0.5},{"typ":"atkcoef","val":1.0},{"typ":"atkcd","val":0}]</v>
      </c>
      <c r="Z227" s="148" t="str">
        <f>IFERROR(__xludf.DUMMYFUNCTION("""COMPUTED_VALUE"""),"[]")</f>
        <v>[]</v>
      </c>
    </row>
    <row r="228">
      <c r="A228" s="148">
        <f>IFERROR(__xludf.DUMMYFUNCTION("""COMPUTED_VALUE"""),1.1214107E7)</f>
        <v>11214107</v>
      </c>
      <c r="B228" s="148" t="str">
        <f>IFERROR(__xludf.DUMMYFUNCTION("""COMPUTED_VALUE"""),"雷达挑战怪T5")</f>
        <v>雷达挑战怪T5</v>
      </c>
      <c r="C228" s="148">
        <f>IFERROR(__xludf.DUMMYFUNCTION("""COMPUTED_VALUE"""),1.1221004E7)</f>
        <v>11221004</v>
      </c>
      <c r="D228" s="148">
        <f>IFERROR(__xludf.DUMMYFUNCTION("""COMPUTED_VALUE"""),1.5114053E7)</f>
        <v>15114053</v>
      </c>
      <c r="E228" s="148" t="str">
        <f>IFERROR(__xludf.DUMMYFUNCTION("""COMPUTED_VALUE"""),"{""typ"":""lc"",""txt"":""LC_NPC_monster_elite_boxing""}")</f>
        <v>{"typ":"lc","txt":"LC_NPC_monster_elite_boxing"}</v>
      </c>
      <c r="F228" s="148" t="str">
        <f>IFERROR(__xludf.DUMMYFUNCTION("""COMPUTED_VALUE"""),"{}")</f>
        <v>{}</v>
      </c>
      <c r="G228" s="148">
        <f>IFERROR(__xludf.DUMMYFUNCTION("""COMPUTED_VALUE"""),10.0)</f>
        <v>10</v>
      </c>
      <c r="H228" s="148">
        <f>IFERROR(__xludf.DUMMYFUNCTION("""COMPUTED_VALUE"""),10099.0)</f>
        <v>10099</v>
      </c>
      <c r="I228" s="148">
        <f>IFERROR(__xludf.DUMMYFUNCTION("""COMPUTED_VALUE"""),10099.0)</f>
        <v>10099</v>
      </c>
      <c r="J228" s="148">
        <f>IFERROR(__xludf.DUMMYFUNCTION("""COMPUTED_VALUE"""),0.0)</f>
        <v>0</v>
      </c>
      <c r="K228" s="148">
        <f>IFERROR(__xludf.DUMMYFUNCTION("""COMPUTED_VALUE"""),10.0)</f>
        <v>10</v>
      </c>
      <c r="L228" s="148">
        <f>IFERROR(__xludf.DUMMYFUNCTION("""COMPUTED_VALUE"""),99.0)</f>
        <v>99</v>
      </c>
      <c r="M228" s="148">
        <f>IFERROR(__xludf.DUMMYFUNCTION("""COMPUTED_VALUE"""),0.0)</f>
        <v>0</v>
      </c>
      <c r="N228" s="148" t="str">
        <f>IFERROR(__xludf.DUMMYFUNCTION("""COMPUTED_VALUE"""),"[]")</f>
        <v>[]</v>
      </c>
      <c r="O228" s="148" t="str">
        <f>IFERROR(__xludf.DUMMYFUNCTION("""COMPUTED_VALUE"""),"{}")</f>
        <v>{}</v>
      </c>
      <c r="P228" s="148">
        <f>IFERROR(__xludf.DUMMYFUNCTION("""COMPUTED_VALUE"""),0.0)</f>
        <v>0</v>
      </c>
      <c r="Q228" s="148" t="str">
        <f>IFERROR(__xludf.DUMMYFUNCTION("""COMPUTED_VALUE"""),"[]")</f>
        <v>[]</v>
      </c>
      <c r="R228" s="148" t="str">
        <f>IFERROR(__xludf.DUMMYFUNCTION("""COMPUTED_VALUE"""),"{}")</f>
        <v>{}</v>
      </c>
      <c r="S228" s="148">
        <f>IFERROR(__xludf.DUMMYFUNCTION("""COMPUTED_VALUE"""),0.0)</f>
        <v>0</v>
      </c>
      <c r="T228" s="148" t="str">
        <f>IFERROR(__xludf.DUMMYFUNCTION("""COMPUTED_VALUE"""),"[]")</f>
        <v>[]</v>
      </c>
      <c r="U228" s="148">
        <f>IFERROR(__xludf.DUMMYFUNCTION("""COMPUTED_VALUE"""),0.0)</f>
        <v>0</v>
      </c>
      <c r="V228" s="148" t="str">
        <f>IFERROR(__xludf.DUMMYFUNCTION("""COMPUTED_VALUE"""),"{}")</f>
        <v>{}</v>
      </c>
      <c r="W228" s="148" t="str">
        <f>IFERROR(__xludf.DUMMYFUNCTION("""COMPUTED_VALUE"""),"[]")</f>
        <v>[]</v>
      </c>
      <c r="X228" s="148" t="str">
        <f>IFERROR(__xludf.DUMMYFUNCTION("""COMPUTED_VALUE"""),"[{""typ"":""power"",""id"":12141002,""val"":10}]")</f>
        <v>[{"typ":"power","id":12141002,"val":10}]</v>
      </c>
      <c r="Y228" s="148" t="str">
        <f>IFERROR(__xludf.DUMMYFUNCTION("""COMPUTED_VALUE"""),"[{""typ"":""atk"",""val"":230},{""typ"":""def"",""val"":210},{""typ"":""hp"",""val"":210},{""typ"":""speed"",""val"":40},{""typ"":""load"",""val"":20},{""typ"":""backcoef"",""val"":0.5},{""typ"":""atkcoef"",""val"":1.0},{""typ"":""atkcd"",""val"":0}]")</f>
        <v>[{"typ":"atk","val":230},{"typ":"def","val":210},{"typ":"hp","val":210},{"typ":"speed","val":40},{"typ":"load","val":20},{"typ":"backcoef","val":0.5},{"typ":"atkcoef","val":1.0},{"typ":"atkcd","val":0}]</v>
      </c>
      <c r="Z228" s="148" t="str">
        <f>IFERROR(__xludf.DUMMYFUNCTION("""COMPUTED_VALUE"""),"[]")</f>
        <v>[]</v>
      </c>
    </row>
    <row r="229">
      <c r="A229" s="148">
        <f>IFERROR(__xludf.DUMMYFUNCTION("""COMPUTED_VALUE"""),1.1214108E7)</f>
        <v>11214108</v>
      </c>
      <c r="B229" s="148" t="str">
        <f>IFERROR(__xludf.DUMMYFUNCTION("""COMPUTED_VALUE"""),"雷达挑战怪T3-kvk")</f>
        <v>雷达挑战怪T3-kvk</v>
      </c>
      <c r="C229" s="148">
        <f>IFERROR(__xludf.DUMMYFUNCTION("""COMPUTED_VALUE"""),1.1221004E7)</f>
        <v>11221004</v>
      </c>
      <c r="D229" s="148">
        <f>IFERROR(__xludf.DUMMYFUNCTION("""COMPUTED_VALUE"""),1.5113966E7)</f>
        <v>15113966</v>
      </c>
      <c r="E229" s="148" t="str">
        <f>IFERROR(__xludf.DUMMYFUNCTION("""COMPUTED_VALUE"""),"{""typ"":""lc"",""txt"":""LC_SOLDIER_npc_name_kvk_boss""}")</f>
        <v>{"typ":"lc","txt":"LC_SOLDIER_npc_name_kvk_boss"}</v>
      </c>
      <c r="F229" s="148" t="str">
        <f>IFERROR(__xludf.DUMMYFUNCTION("""COMPUTED_VALUE"""),"{}")</f>
        <v>{}</v>
      </c>
      <c r="G229" s="148">
        <f>IFERROR(__xludf.DUMMYFUNCTION("""COMPUTED_VALUE"""),10.0)</f>
        <v>10</v>
      </c>
      <c r="H229" s="148">
        <f>IFERROR(__xludf.DUMMYFUNCTION("""COMPUTED_VALUE"""),10099.0)</f>
        <v>10099</v>
      </c>
      <c r="I229" s="148">
        <f>IFERROR(__xludf.DUMMYFUNCTION("""COMPUTED_VALUE"""),10099.0)</f>
        <v>10099</v>
      </c>
      <c r="J229" s="148">
        <f>IFERROR(__xludf.DUMMYFUNCTION("""COMPUTED_VALUE"""),0.0)</f>
        <v>0</v>
      </c>
      <c r="K229" s="148">
        <f>IFERROR(__xludf.DUMMYFUNCTION("""COMPUTED_VALUE"""),10.0)</f>
        <v>10</v>
      </c>
      <c r="L229" s="148">
        <f>IFERROR(__xludf.DUMMYFUNCTION("""COMPUTED_VALUE"""),99.0)</f>
        <v>99</v>
      </c>
      <c r="M229" s="148">
        <f>IFERROR(__xludf.DUMMYFUNCTION("""COMPUTED_VALUE"""),0.0)</f>
        <v>0</v>
      </c>
      <c r="N229" s="148" t="str">
        <f>IFERROR(__xludf.DUMMYFUNCTION("""COMPUTED_VALUE"""),"[]")</f>
        <v>[]</v>
      </c>
      <c r="O229" s="148" t="str">
        <f>IFERROR(__xludf.DUMMYFUNCTION("""COMPUTED_VALUE"""),"{}")</f>
        <v>{}</v>
      </c>
      <c r="P229" s="148">
        <f>IFERROR(__xludf.DUMMYFUNCTION("""COMPUTED_VALUE"""),0.0)</f>
        <v>0</v>
      </c>
      <c r="Q229" s="148" t="str">
        <f>IFERROR(__xludf.DUMMYFUNCTION("""COMPUTED_VALUE"""),"[]")</f>
        <v>[]</v>
      </c>
      <c r="R229" s="148" t="str">
        <f>IFERROR(__xludf.DUMMYFUNCTION("""COMPUTED_VALUE"""),"{}")</f>
        <v>{}</v>
      </c>
      <c r="S229" s="148">
        <f>IFERROR(__xludf.DUMMYFUNCTION("""COMPUTED_VALUE"""),0.0)</f>
        <v>0</v>
      </c>
      <c r="T229" s="148" t="str">
        <f>IFERROR(__xludf.DUMMYFUNCTION("""COMPUTED_VALUE"""),"[]")</f>
        <v>[]</v>
      </c>
      <c r="U229" s="148">
        <f>IFERROR(__xludf.DUMMYFUNCTION("""COMPUTED_VALUE"""),0.0)</f>
        <v>0</v>
      </c>
      <c r="V229" s="148" t="str">
        <f>IFERROR(__xludf.DUMMYFUNCTION("""COMPUTED_VALUE"""),"{}")</f>
        <v>{}</v>
      </c>
      <c r="W229" s="148" t="str">
        <f>IFERROR(__xludf.DUMMYFUNCTION("""COMPUTED_VALUE"""),"[]")</f>
        <v>[]</v>
      </c>
      <c r="X229" s="148" t="str">
        <f>IFERROR(__xludf.DUMMYFUNCTION("""COMPUTED_VALUE"""),"[{""typ"":""power"",""id"":12141002,""val"":4}]")</f>
        <v>[{"typ":"power","id":12141002,"val":4}]</v>
      </c>
      <c r="Y229" s="148" t="str">
        <f>IFERROR(__xludf.DUMMYFUNCTION("""COMPUTED_VALUE"""),"[{""typ"":""atk"",""val"":160},{""typ"":""def"",""val"":160},{""typ"":""hp"",""val"":160},{""typ"":""speed"",""val"":40},{""typ"":""load"",""val"":20},{""typ"":""backcoef"",""val"":0.5},{""typ"":""atkcoef"",""val"":1.0},{""typ"":""atkcd"",""val"":0}]")</f>
        <v>[{"typ":"atk","val":160},{"typ":"def","val":160},{"typ":"hp","val":160},{"typ":"speed","val":40},{"typ":"load","val":20},{"typ":"backcoef","val":0.5},{"typ":"atkcoef","val":1.0},{"typ":"atkcd","val":0}]</v>
      </c>
      <c r="Z229" s="148" t="str">
        <f>IFERROR(__xludf.DUMMYFUNCTION("""COMPUTED_VALUE"""),"[]")</f>
        <v>[]</v>
      </c>
    </row>
    <row r="230">
      <c r="A230" s="148">
        <f>IFERROR(__xludf.DUMMYFUNCTION("""COMPUTED_VALUE"""),1.1214109E7)</f>
        <v>11214109</v>
      </c>
      <c r="B230" s="148" t="str">
        <f>IFERROR(__xludf.DUMMYFUNCTION("""COMPUTED_VALUE"""),"雷达挑战怪T4-kvk")</f>
        <v>雷达挑战怪T4-kvk</v>
      </c>
      <c r="C230" s="148">
        <f>IFERROR(__xludf.DUMMYFUNCTION("""COMPUTED_VALUE"""),1.1221004E7)</f>
        <v>11221004</v>
      </c>
      <c r="D230" s="148">
        <f>IFERROR(__xludf.DUMMYFUNCTION("""COMPUTED_VALUE"""),1.5113966E7)</f>
        <v>15113966</v>
      </c>
      <c r="E230" s="148" t="str">
        <f>IFERROR(__xludf.DUMMYFUNCTION("""COMPUTED_VALUE"""),"{""typ"":""lc"",""txt"":""LC_SOLDIER_npc_name_kvk_boss""}")</f>
        <v>{"typ":"lc","txt":"LC_SOLDIER_npc_name_kvk_boss"}</v>
      </c>
      <c r="F230" s="148" t="str">
        <f>IFERROR(__xludf.DUMMYFUNCTION("""COMPUTED_VALUE"""),"{}")</f>
        <v>{}</v>
      </c>
      <c r="G230" s="148">
        <f>IFERROR(__xludf.DUMMYFUNCTION("""COMPUTED_VALUE"""),10.0)</f>
        <v>10</v>
      </c>
      <c r="H230" s="148">
        <f>IFERROR(__xludf.DUMMYFUNCTION("""COMPUTED_VALUE"""),10099.0)</f>
        <v>10099</v>
      </c>
      <c r="I230" s="148">
        <f>IFERROR(__xludf.DUMMYFUNCTION("""COMPUTED_VALUE"""),10099.0)</f>
        <v>10099</v>
      </c>
      <c r="J230" s="148">
        <f>IFERROR(__xludf.DUMMYFUNCTION("""COMPUTED_VALUE"""),0.0)</f>
        <v>0</v>
      </c>
      <c r="K230" s="148">
        <f>IFERROR(__xludf.DUMMYFUNCTION("""COMPUTED_VALUE"""),10.0)</f>
        <v>10</v>
      </c>
      <c r="L230" s="148">
        <f>IFERROR(__xludf.DUMMYFUNCTION("""COMPUTED_VALUE"""),99.0)</f>
        <v>99</v>
      </c>
      <c r="M230" s="148">
        <f>IFERROR(__xludf.DUMMYFUNCTION("""COMPUTED_VALUE"""),0.0)</f>
        <v>0</v>
      </c>
      <c r="N230" s="148" t="str">
        <f>IFERROR(__xludf.DUMMYFUNCTION("""COMPUTED_VALUE"""),"[]")</f>
        <v>[]</v>
      </c>
      <c r="O230" s="148" t="str">
        <f>IFERROR(__xludf.DUMMYFUNCTION("""COMPUTED_VALUE"""),"{}")</f>
        <v>{}</v>
      </c>
      <c r="P230" s="148">
        <f>IFERROR(__xludf.DUMMYFUNCTION("""COMPUTED_VALUE"""),0.0)</f>
        <v>0</v>
      </c>
      <c r="Q230" s="148" t="str">
        <f>IFERROR(__xludf.DUMMYFUNCTION("""COMPUTED_VALUE"""),"[]")</f>
        <v>[]</v>
      </c>
      <c r="R230" s="148" t="str">
        <f>IFERROR(__xludf.DUMMYFUNCTION("""COMPUTED_VALUE"""),"{}")</f>
        <v>{}</v>
      </c>
      <c r="S230" s="148">
        <f>IFERROR(__xludf.DUMMYFUNCTION("""COMPUTED_VALUE"""),0.0)</f>
        <v>0</v>
      </c>
      <c r="T230" s="148" t="str">
        <f>IFERROR(__xludf.DUMMYFUNCTION("""COMPUTED_VALUE"""),"[]")</f>
        <v>[]</v>
      </c>
      <c r="U230" s="148">
        <f>IFERROR(__xludf.DUMMYFUNCTION("""COMPUTED_VALUE"""),0.0)</f>
        <v>0</v>
      </c>
      <c r="V230" s="148" t="str">
        <f>IFERROR(__xludf.DUMMYFUNCTION("""COMPUTED_VALUE"""),"{}")</f>
        <v>{}</v>
      </c>
      <c r="W230" s="148" t="str">
        <f>IFERROR(__xludf.DUMMYFUNCTION("""COMPUTED_VALUE"""),"[]")</f>
        <v>[]</v>
      </c>
      <c r="X230" s="148" t="str">
        <f>IFERROR(__xludf.DUMMYFUNCTION("""COMPUTED_VALUE"""),"[{""typ"":""power"",""id"":12141002,""val"":6}]")</f>
        <v>[{"typ":"power","id":12141002,"val":6}]</v>
      </c>
      <c r="Y230" s="148" t="str">
        <f>IFERROR(__xludf.DUMMYFUNCTION("""COMPUTED_VALUE"""),"[{""typ"":""atk"",""val"":200},{""typ"":""def"",""val"":190},{""typ"":""hp"",""val"":180},{""typ"":""speed"",""val"":40},{""typ"":""load"",""val"":20},{""typ"":""backcoef"",""val"":0.5},{""typ"":""atkcoef"",""val"":1.0},{""typ"":""atkcd"",""val"":0}]")</f>
        <v>[{"typ":"atk","val":200},{"typ":"def","val":190},{"typ":"hp","val":180},{"typ":"speed","val":40},{"typ":"load","val":20},{"typ":"backcoef","val":0.5},{"typ":"atkcoef","val":1.0},{"typ":"atkcd","val":0}]</v>
      </c>
      <c r="Z230" s="148" t="str">
        <f>IFERROR(__xludf.DUMMYFUNCTION("""COMPUTED_VALUE"""),"[]")</f>
        <v>[]</v>
      </c>
    </row>
    <row r="231">
      <c r="A231" s="148">
        <f>IFERROR(__xludf.DUMMYFUNCTION("""COMPUTED_VALUE"""),1.121411E7)</f>
        <v>11214110</v>
      </c>
      <c r="B231" s="148" t="str">
        <f>IFERROR(__xludf.DUMMYFUNCTION("""COMPUTED_VALUE"""),"雷达挑战怪T5-kvk")</f>
        <v>雷达挑战怪T5-kvk</v>
      </c>
      <c r="C231" s="148">
        <f>IFERROR(__xludf.DUMMYFUNCTION("""COMPUTED_VALUE"""),1.1221004E7)</f>
        <v>11221004</v>
      </c>
      <c r="D231" s="148">
        <f>IFERROR(__xludf.DUMMYFUNCTION("""COMPUTED_VALUE"""),1.5113966E7)</f>
        <v>15113966</v>
      </c>
      <c r="E231" s="148" t="str">
        <f>IFERROR(__xludf.DUMMYFUNCTION("""COMPUTED_VALUE"""),"{""typ"":""lc"",""txt"":""LC_SOLDIER_npc_name_kvk_boss""}")</f>
        <v>{"typ":"lc","txt":"LC_SOLDIER_npc_name_kvk_boss"}</v>
      </c>
      <c r="F231" s="148" t="str">
        <f>IFERROR(__xludf.DUMMYFUNCTION("""COMPUTED_VALUE"""),"{}")</f>
        <v>{}</v>
      </c>
      <c r="G231" s="148">
        <f>IFERROR(__xludf.DUMMYFUNCTION("""COMPUTED_VALUE"""),10.0)</f>
        <v>10</v>
      </c>
      <c r="H231" s="148">
        <f>IFERROR(__xludf.DUMMYFUNCTION("""COMPUTED_VALUE"""),10099.0)</f>
        <v>10099</v>
      </c>
      <c r="I231" s="148">
        <f>IFERROR(__xludf.DUMMYFUNCTION("""COMPUTED_VALUE"""),10099.0)</f>
        <v>10099</v>
      </c>
      <c r="J231" s="148">
        <f>IFERROR(__xludf.DUMMYFUNCTION("""COMPUTED_VALUE"""),0.0)</f>
        <v>0</v>
      </c>
      <c r="K231" s="148">
        <f>IFERROR(__xludf.DUMMYFUNCTION("""COMPUTED_VALUE"""),10.0)</f>
        <v>10</v>
      </c>
      <c r="L231" s="148">
        <f>IFERROR(__xludf.DUMMYFUNCTION("""COMPUTED_VALUE"""),99.0)</f>
        <v>99</v>
      </c>
      <c r="M231" s="148">
        <f>IFERROR(__xludf.DUMMYFUNCTION("""COMPUTED_VALUE"""),0.0)</f>
        <v>0</v>
      </c>
      <c r="N231" s="148" t="str">
        <f>IFERROR(__xludf.DUMMYFUNCTION("""COMPUTED_VALUE"""),"[]")</f>
        <v>[]</v>
      </c>
      <c r="O231" s="148" t="str">
        <f>IFERROR(__xludf.DUMMYFUNCTION("""COMPUTED_VALUE"""),"{}")</f>
        <v>{}</v>
      </c>
      <c r="P231" s="148">
        <f>IFERROR(__xludf.DUMMYFUNCTION("""COMPUTED_VALUE"""),0.0)</f>
        <v>0</v>
      </c>
      <c r="Q231" s="148" t="str">
        <f>IFERROR(__xludf.DUMMYFUNCTION("""COMPUTED_VALUE"""),"[]")</f>
        <v>[]</v>
      </c>
      <c r="R231" s="148" t="str">
        <f>IFERROR(__xludf.DUMMYFUNCTION("""COMPUTED_VALUE"""),"{}")</f>
        <v>{}</v>
      </c>
      <c r="S231" s="148">
        <f>IFERROR(__xludf.DUMMYFUNCTION("""COMPUTED_VALUE"""),0.0)</f>
        <v>0</v>
      </c>
      <c r="T231" s="148" t="str">
        <f>IFERROR(__xludf.DUMMYFUNCTION("""COMPUTED_VALUE"""),"[]")</f>
        <v>[]</v>
      </c>
      <c r="U231" s="148">
        <f>IFERROR(__xludf.DUMMYFUNCTION("""COMPUTED_VALUE"""),0.0)</f>
        <v>0</v>
      </c>
      <c r="V231" s="148" t="str">
        <f>IFERROR(__xludf.DUMMYFUNCTION("""COMPUTED_VALUE"""),"{}")</f>
        <v>{}</v>
      </c>
      <c r="W231" s="148" t="str">
        <f>IFERROR(__xludf.DUMMYFUNCTION("""COMPUTED_VALUE"""),"[]")</f>
        <v>[]</v>
      </c>
      <c r="X231" s="148" t="str">
        <f>IFERROR(__xludf.DUMMYFUNCTION("""COMPUTED_VALUE"""),"[{""typ"":""power"",""id"":12141002,""val"":10}]")</f>
        <v>[{"typ":"power","id":12141002,"val":10}]</v>
      </c>
      <c r="Y231" s="148" t="str">
        <f>IFERROR(__xludf.DUMMYFUNCTION("""COMPUTED_VALUE"""),"[{""typ"":""atk"",""val"":230},{""typ"":""def"",""val"":210},{""typ"":""hp"",""val"":210},{""typ"":""speed"",""val"":40},{""typ"":""load"",""val"":20},{""typ"":""backcoef"",""val"":0.5},{""typ"":""atkcoef"",""val"":1.0},{""typ"":""atkcd"",""val"":0}]")</f>
        <v>[{"typ":"atk","val":230},{"typ":"def","val":210},{"typ":"hp","val":210},{"typ":"speed","val":40},{"typ":"load","val":20},{"typ":"backcoef","val":0.5},{"typ":"atkcoef","val":1.0},{"typ":"atkcd","val":0}]</v>
      </c>
      <c r="Z231" s="148" t="str">
        <f>IFERROR(__xludf.DUMMYFUNCTION("""COMPUTED_VALUE"""),"[]")</f>
        <v>[]</v>
      </c>
    </row>
    <row r="232">
      <c r="A232" s="148">
        <f>IFERROR(__xludf.DUMMYFUNCTION("""COMPUTED_VALUE"""),1.1214111E7)</f>
        <v>11214111</v>
      </c>
      <c r="B232" s="148" t="str">
        <f>IFERROR(__xludf.DUMMYFUNCTION("""COMPUTED_VALUE"""),"雷达挑战怪T1-kvk2")</f>
        <v>雷达挑战怪T1-kvk2</v>
      </c>
      <c r="C232" s="148">
        <f>IFERROR(__xludf.DUMMYFUNCTION("""COMPUTED_VALUE"""),1.1221004E7)</f>
        <v>11221004</v>
      </c>
      <c r="D232" s="148">
        <f>IFERROR(__xludf.DUMMYFUNCTION("""COMPUTED_VALUE"""),1.5114819E7)</f>
        <v>15114819</v>
      </c>
      <c r="E232" s="148" t="str">
        <f>IFERROR(__xludf.DUMMYFUNCTION("""COMPUTED_VALUE"""),"{""typ"":""lc"",""txt"":""LC_SOLDIER_npc_name_kvk_boss""}")</f>
        <v>{"typ":"lc","txt":"LC_SOLDIER_npc_name_kvk_boss"}</v>
      </c>
      <c r="F232" s="148" t="str">
        <f>IFERROR(__xludf.DUMMYFUNCTION("""COMPUTED_VALUE"""),"{}")</f>
        <v>{}</v>
      </c>
      <c r="G232" s="148">
        <f>IFERROR(__xludf.DUMMYFUNCTION("""COMPUTED_VALUE"""),10.0)</f>
        <v>10</v>
      </c>
      <c r="H232" s="148">
        <f>IFERROR(__xludf.DUMMYFUNCTION("""COMPUTED_VALUE"""),10099.0)</f>
        <v>10099</v>
      </c>
      <c r="I232" s="148">
        <f>IFERROR(__xludf.DUMMYFUNCTION("""COMPUTED_VALUE"""),10099.0)</f>
        <v>10099</v>
      </c>
      <c r="J232" s="148">
        <f>IFERROR(__xludf.DUMMYFUNCTION("""COMPUTED_VALUE"""),0.0)</f>
        <v>0</v>
      </c>
      <c r="K232" s="148">
        <f>IFERROR(__xludf.DUMMYFUNCTION("""COMPUTED_VALUE"""),10.0)</f>
        <v>10</v>
      </c>
      <c r="L232" s="148">
        <f>IFERROR(__xludf.DUMMYFUNCTION("""COMPUTED_VALUE"""),99.0)</f>
        <v>99</v>
      </c>
      <c r="M232" s="148">
        <f>IFERROR(__xludf.DUMMYFUNCTION("""COMPUTED_VALUE"""),0.0)</f>
        <v>0</v>
      </c>
      <c r="N232" s="148" t="str">
        <f>IFERROR(__xludf.DUMMYFUNCTION("""COMPUTED_VALUE"""),"[]")</f>
        <v>[]</v>
      </c>
      <c r="O232" s="148" t="str">
        <f>IFERROR(__xludf.DUMMYFUNCTION("""COMPUTED_VALUE"""),"{}")</f>
        <v>{}</v>
      </c>
      <c r="P232" s="148">
        <f>IFERROR(__xludf.DUMMYFUNCTION("""COMPUTED_VALUE"""),0.0)</f>
        <v>0</v>
      </c>
      <c r="Q232" s="148" t="str">
        <f>IFERROR(__xludf.DUMMYFUNCTION("""COMPUTED_VALUE"""),"[]")</f>
        <v>[]</v>
      </c>
      <c r="R232" s="148" t="str">
        <f>IFERROR(__xludf.DUMMYFUNCTION("""COMPUTED_VALUE"""),"{}")</f>
        <v>{}</v>
      </c>
      <c r="S232" s="148">
        <f>IFERROR(__xludf.DUMMYFUNCTION("""COMPUTED_VALUE"""),0.0)</f>
        <v>0</v>
      </c>
      <c r="T232" s="148" t="str">
        <f>IFERROR(__xludf.DUMMYFUNCTION("""COMPUTED_VALUE"""),"[]")</f>
        <v>[]</v>
      </c>
      <c r="U232" s="148">
        <f>IFERROR(__xludf.DUMMYFUNCTION("""COMPUTED_VALUE"""),0.0)</f>
        <v>0</v>
      </c>
      <c r="V232" s="148" t="str">
        <f>IFERROR(__xludf.DUMMYFUNCTION("""COMPUTED_VALUE"""),"{}")</f>
        <v>{}</v>
      </c>
      <c r="W232" s="148" t="str">
        <f>IFERROR(__xludf.DUMMYFUNCTION("""COMPUTED_VALUE"""),"[]")</f>
        <v>[]</v>
      </c>
      <c r="X232" s="148" t="str">
        <f>IFERROR(__xludf.DUMMYFUNCTION("""COMPUTED_VALUE"""),"[{""typ"":""power"",""id"":12141002,""val"":1}]")</f>
        <v>[{"typ":"power","id":12141002,"val":1}]</v>
      </c>
      <c r="Y232" s="148" t="str">
        <f>IFERROR(__xludf.DUMMYFUNCTION("""COMPUTED_VALUE"""),"[{""typ"":""atk"",""val"":60},{""typ"":""def"",""val"":125},{""typ"":""hp"",""val"":120},{""typ"":""speed"",""val"":40},{""typ"":""load"",""val"":20},{""typ"":""backcoef"",""val"":0.5},{""typ"":""atkcoef"",""val"":1.0},{""typ"":""atkcd"",""val"":0}]")</f>
        <v>[{"typ":"atk","val":60},{"typ":"def","val":125},{"typ":"hp","val":120},{"typ":"speed","val":40},{"typ":"load","val":20},{"typ":"backcoef","val":0.5},{"typ":"atkcoef","val":1.0},{"typ":"atkcd","val":0}]</v>
      </c>
      <c r="Z232" s="148" t="str">
        <f>IFERROR(__xludf.DUMMYFUNCTION("""COMPUTED_VALUE"""),"[]")</f>
        <v>[]</v>
      </c>
    </row>
    <row r="233">
      <c r="A233" s="148">
        <f>IFERROR(__xludf.DUMMYFUNCTION("""COMPUTED_VALUE"""),1.1214112E7)</f>
        <v>11214112</v>
      </c>
      <c r="B233" s="148" t="str">
        <f>IFERROR(__xludf.DUMMYFUNCTION("""COMPUTED_VALUE"""),"雷达挑战怪T2-kvk2")</f>
        <v>雷达挑战怪T2-kvk2</v>
      </c>
      <c r="C233" s="148">
        <f>IFERROR(__xludf.DUMMYFUNCTION("""COMPUTED_VALUE"""),1.1221004E7)</f>
        <v>11221004</v>
      </c>
      <c r="D233" s="148">
        <f>IFERROR(__xludf.DUMMYFUNCTION("""COMPUTED_VALUE"""),1.5114819E7)</f>
        <v>15114819</v>
      </c>
      <c r="E233" s="148" t="str">
        <f>IFERROR(__xludf.DUMMYFUNCTION("""COMPUTED_VALUE"""),"{""typ"":""lc"",""txt"":""LC_SOLDIER_npc_name_kvk_boss""}")</f>
        <v>{"typ":"lc","txt":"LC_SOLDIER_npc_name_kvk_boss"}</v>
      </c>
      <c r="F233" s="148" t="str">
        <f>IFERROR(__xludf.DUMMYFUNCTION("""COMPUTED_VALUE"""),"{}")</f>
        <v>{}</v>
      </c>
      <c r="G233" s="148">
        <f>IFERROR(__xludf.DUMMYFUNCTION("""COMPUTED_VALUE"""),10.0)</f>
        <v>10</v>
      </c>
      <c r="H233" s="148">
        <f>IFERROR(__xludf.DUMMYFUNCTION("""COMPUTED_VALUE"""),10099.0)</f>
        <v>10099</v>
      </c>
      <c r="I233" s="148">
        <f>IFERROR(__xludf.DUMMYFUNCTION("""COMPUTED_VALUE"""),10099.0)</f>
        <v>10099</v>
      </c>
      <c r="J233" s="148">
        <f>IFERROR(__xludf.DUMMYFUNCTION("""COMPUTED_VALUE"""),0.0)</f>
        <v>0</v>
      </c>
      <c r="K233" s="148">
        <f>IFERROR(__xludf.DUMMYFUNCTION("""COMPUTED_VALUE"""),10.0)</f>
        <v>10</v>
      </c>
      <c r="L233" s="148">
        <f>IFERROR(__xludf.DUMMYFUNCTION("""COMPUTED_VALUE"""),99.0)</f>
        <v>99</v>
      </c>
      <c r="M233" s="148">
        <f>IFERROR(__xludf.DUMMYFUNCTION("""COMPUTED_VALUE"""),0.0)</f>
        <v>0</v>
      </c>
      <c r="N233" s="148" t="str">
        <f>IFERROR(__xludf.DUMMYFUNCTION("""COMPUTED_VALUE"""),"[]")</f>
        <v>[]</v>
      </c>
      <c r="O233" s="148" t="str">
        <f>IFERROR(__xludf.DUMMYFUNCTION("""COMPUTED_VALUE"""),"{}")</f>
        <v>{}</v>
      </c>
      <c r="P233" s="148">
        <f>IFERROR(__xludf.DUMMYFUNCTION("""COMPUTED_VALUE"""),0.0)</f>
        <v>0</v>
      </c>
      <c r="Q233" s="148" t="str">
        <f>IFERROR(__xludf.DUMMYFUNCTION("""COMPUTED_VALUE"""),"[]")</f>
        <v>[]</v>
      </c>
      <c r="R233" s="148" t="str">
        <f>IFERROR(__xludf.DUMMYFUNCTION("""COMPUTED_VALUE"""),"{}")</f>
        <v>{}</v>
      </c>
      <c r="S233" s="148">
        <f>IFERROR(__xludf.DUMMYFUNCTION("""COMPUTED_VALUE"""),0.0)</f>
        <v>0</v>
      </c>
      <c r="T233" s="148" t="str">
        <f>IFERROR(__xludf.DUMMYFUNCTION("""COMPUTED_VALUE"""),"[]")</f>
        <v>[]</v>
      </c>
      <c r="U233" s="148">
        <f>IFERROR(__xludf.DUMMYFUNCTION("""COMPUTED_VALUE"""),0.0)</f>
        <v>0</v>
      </c>
      <c r="V233" s="148" t="str">
        <f>IFERROR(__xludf.DUMMYFUNCTION("""COMPUTED_VALUE"""),"{}")</f>
        <v>{}</v>
      </c>
      <c r="W233" s="148" t="str">
        <f>IFERROR(__xludf.DUMMYFUNCTION("""COMPUTED_VALUE"""),"[]")</f>
        <v>[]</v>
      </c>
      <c r="X233" s="148" t="str">
        <f>IFERROR(__xludf.DUMMYFUNCTION("""COMPUTED_VALUE"""),"[{""typ"":""power"",""id"":12141002,""val"":2}]")</f>
        <v>[{"typ":"power","id":12141002,"val":2}]</v>
      </c>
      <c r="Y233" s="148" t="str">
        <f>IFERROR(__xludf.DUMMYFUNCTION("""COMPUTED_VALUE"""),"[{""typ"":""atk"",""val"":120},{""typ"":""def"",""val"":130},{""typ"":""hp"",""val"":130},{""typ"":""speed"",""val"":40},{""typ"":""load"",""val"":20},{""typ"":""backcoef"",""val"":0.5},{""typ"":""atkcoef"",""val"":1.0},{""typ"":""atkcd"",""val"":0}]")</f>
        <v>[{"typ":"atk","val":120},{"typ":"def","val":130},{"typ":"hp","val":130},{"typ":"speed","val":40},{"typ":"load","val":20},{"typ":"backcoef","val":0.5},{"typ":"atkcoef","val":1.0},{"typ":"atkcd","val":0}]</v>
      </c>
      <c r="Z233" s="148" t="str">
        <f>IFERROR(__xludf.DUMMYFUNCTION("""COMPUTED_VALUE"""),"[]")</f>
        <v>[]</v>
      </c>
    </row>
    <row r="234">
      <c r="A234" s="148">
        <f>IFERROR(__xludf.DUMMYFUNCTION("""COMPUTED_VALUE"""),1.1214113E7)</f>
        <v>11214113</v>
      </c>
      <c r="B234" s="148" t="str">
        <f>IFERROR(__xludf.DUMMYFUNCTION("""COMPUTED_VALUE"""),"雷达挑战怪T3-kvk2")</f>
        <v>雷达挑战怪T3-kvk2</v>
      </c>
      <c r="C234" s="148">
        <f>IFERROR(__xludf.DUMMYFUNCTION("""COMPUTED_VALUE"""),1.1221004E7)</f>
        <v>11221004</v>
      </c>
      <c r="D234" s="148">
        <f>IFERROR(__xludf.DUMMYFUNCTION("""COMPUTED_VALUE"""),1.5114819E7)</f>
        <v>15114819</v>
      </c>
      <c r="E234" s="148" t="str">
        <f>IFERROR(__xludf.DUMMYFUNCTION("""COMPUTED_VALUE"""),"{""typ"":""lc"",""txt"":""LC_SOLDIER_npc_name_kvk_boss""}")</f>
        <v>{"typ":"lc","txt":"LC_SOLDIER_npc_name_kvk_boss"}</v>
      </c>
      <c r="F234" s="148" t="str">
        <f>IFERROR(__xludf.DUMMYFUNCTION("""COMPUTED_VALUE"""),"{}")</f>
        <v>{}</v>
      </c>
      <c r="G234" s="148">
        <f>IFERROR(__xludf.DUMMYFUNCTION("""COMPUTED_VALUE"""),10.0)</f>
        <v>10</v>
      </c>
      <c r="H234" s="148">
        <f>IFERROR(__xludf.DUMMYFUNCTION("""COMPUTED_VALUE"""),10099.0)</f>
        <v>10099</v>
      </c>
      <c r="I234" s="148">
        <f>IFERROR(__xludf.DUMMYFUNCTION("""COMPUTED_VALUE"""),10099.0)</f>
        <v>10099</v>
      </c>
      <c r="J234" s="148">
        <f>IFERROR(__xludf.DUMMYFUNCTION("""COMPUTED_VALUE"""),0.0)</f>
        <v>0</v>
      </c>
      <c r="K234" s="148">
        <f>IFERROR(__xludf.DUMMYFUNCTION("""COMPUTED_VALUE"""),10.0)</f>
        <v>10</v>
      </c>
      <c r="L234" s="148">
        <f>IFERROR(__xludf.DUMMYFUNCTION("""COMPUTED_VALUE"""),99.0)</f>
        <v>99</v>
      </c>
      <c r="M234" s="148">
        <f>IFERROR(__xludf.DUMMYFUNCTION("""COMPUTED_VALUE"""),0.0)</f>
        <v>0</v>
      </c>
      <c r="N234" s="148" t="str">
        <f>IFERROR(__xludf.DUMMYFUNCTION("""COMPUTED_VALUE"""),"[]")</f>
        <v>[]</v>
      </c>
      <c r="O234" s="148" t="str">
        <f>IFERROR(__xludf.DUMMYFUNCTION("""COMPUTED_VALUE"""),"{}")</f>
        <v>{}</v>
      </c>
      <c r="P234" s="148">
        <f>IFERROR(__xludf.DUMMYFUNCTION("""COMPUTED_VALUE"""),0.0)</f>
        <v>0</v>
      </c>
      <c r="Q234" s="148" t="str">
        <f>IFERROR(__xludf.DUMMYFUNCTION("""COMPUTED_VALUE"""),"[]")</f>
        <v>[]</v>
      </c>
      <c r="R234" s="148" t="str">
        <f>IFERROR(__xludf.DUMMYFUNCTION("""COMPUTED_VALUE"""),"{}")</f>
        <v>{}</v>
      </c>
      <c r="S234" s="148">
        <f>IFERROR(__xludf.DUMMYFUNCTION("""COMPUTED_VALUE"""),0.0)</f>
        <v>0</v>
      </c>
      <c r="T234" s="148" t="str">
        <f>IFERROR(__xludf.DUMMYFUNCTION("""COMPUTED_VALUE"""),"[]")</f>
        <v>[]</v>
      </c>
      <c r="U234" s="148">
        <f>IFERROR(__xludf.DUMMYFUNCTION("""COMPUTED_VALUE"""),0.0)</f>
        <v>0</v>
      </c>
      <c r="V234" s="148" t="str">
        <f>IFERROR(__xludf.DUMMYFUNCTION("""COMPUTED_VALUE"""),"{}")</f>
        <v>{}</v>
      </c>
      <c r="W234" s="148" t="str">
        <f>IFERROR(__xludf.DUMMYFUNCTION("""COMPUTED_VALUE"""),"[]")</f>
        <v>[]</v>
      </c>
      <c r="X234" s="148" t="str">
        <f>IFERROR(__xludf.DUMMYFUNCTION("""COMPUTED_VALUE"""),"[{""typ"":""power"",""id"":12141002,""val"":4}]")</f>
        <v>[{"typ":"power","id":12141002,"val":4}]</v>
      </c>
      <c r="Y234" s="148" t="str">
        <f>IFERROR(__xludf.DUMMYFUNCTION("""COMPUTED_VALUE"""),"[{""typ"":""atk"",""val"":160},{""typ"":""def"",""val"":160},{""typ"":""hp"",""val"":160},{""typ"":""speed"",""val"":40},{""typ"":""load"",""val"":20},{""typ"":""backcoef"",""val"":0.5},{""typ"":""atkcoef"",""val"":1.0},{""typ"":""atkcd"",""val"":0}]")</f>
        <v>[{"typ":"atk","val":160},{"typ":"def","val":160},{"typ":"hp","val":160},{"typ":"speed","val":40},{"typ":"load","val":20},{"typ":"backcoef","val":0.5},{"typ":"atkcoef","val":1.0},{"typ":"atkcd","val":0}]</v>
      </c>
      <c r="Z234" s="148" t="str">
        <f>IFERROR(__xludf.DUMMYFUNCTION("""COMPUTED_VALUE"""),"[]")</f>
        <v>[]</v>
      </c>
    </row>
    <row r="235">
      <c r="A235" s="148">
        <f>IFERROR(__xludf.DUMMYFUNCTION("""COMPUTED_VALUE"""),1.1214114E7)</f>
        <v>11214114</v>
      </c>
      <c r="B235" s="148" t="str">
        <f>IFERROR(__xludf.DUMMYFUNCTION("""COMPUTED_VALUE"""),"雷达挑战怪T4-kvk2")</f>
        <v>雷达挑战怪T4-kvk2</v>
      </c>
      <c r="C235" s="148">
        <f>IFERROR(__xludf.DUMMYFUNCTION("""COMPUTED_VALUE"""),1.1221004E7)</f>
        <v>11221004</v>
      </c>
      <c r="D235" s="148">
        <f>IFERROR(__xludf.DUMMYFUNCTION("""COMPUTED_VALUE"""),1.5114819E7)</f>
        <v>15114819</v>
      </c>
      <c r="E235" s="148" t="str">
        <f>IFERROR(__xludf.DUMMYFUNCTION("""COMPUTED_VALUE"""),"{""typ"":""lc"",""txt"":""LC_SOLDIER_npc_name_kvk_boss""}")</f>
        <v>{"typ":"lc","txt":"LC_SOLDIER_npc_name_kvk_boss"}</v>
      </c>
      <c r="F235" s="148" t="str">
        <f>IFERROR(__xludf.DUMMYFUNCTION("""COMPUTED_VALUE"""),"{}")</f>
        <v>{}</v>
      </c>
      <c r="G235" s="148">
        <f>IFERROR(__xludf.DUMMYFUNCTION("""COMPUTED_VALUE"""),10.0)</f>
        <v>10</v>
      </c>
      <c r="H235" s="148">
        <f>IFERROR(__xludf.DUMMYFUNCTION("""COMPUTED_VALUE"""),10099.0)</f>
        <v>10099</v>
      </c>
      <c r="I235" s="148">
        <f>IFERROR(__xludf.DUMMYFUNCTION("""COMPUTED_VALUE"""),10099.0)</f>
        <v>10099</v>
      </c>
      <c r="J235" s="148">
        <f>IFERROR(__xludf.DUMMYFUNCTION("""COMPUTED_VALUE"""),0.0)</f>
        <v>0</v>
      </c>
      <c r="K235" s="148">
        <f>IFERROR(__xludf.DUMMYFUNCTION("""COMPUTED_VALUE"""),10.0)</f>
        <v>10</v>
      </c>
      <c r="L235" s="148">
        <f>IFERROR(__xludf.DUMMYFUNCTION("""COMPUTED_VALUE"""),99.0)</f>
        <v>99</v>
      </c>
      <c r="M235" s="148">
        <f>IFERROR(__xludf.DUMMYFUNCTION("""COMPUTED_VALUE"""),0.0)</f>
        <v>0</v>
      </c>
      <c r="N235" s="148" t="str">
        <f>IFERROR(__xludf.DUMMYFUNCTION("""COMPUTED_VALUE"""),"[]")</f>
        <v>[]</v>
      </c>
      <c r="O235" s="148" t="str">
        <f>IFERROR(__xludf.DUMMYFUNCTION("""COMPUTED_VALUE"""),"{}")</f>
        <v>{}</v>
      </c>
      <c r="P235" s="148">
        <f>IFERROR(__xludf.DUMMYFUNCTION("""COMPUTED_VALUE"""),0.0)</f>
        <v>0</v>
      </c>
      <c r="Q235" s="148" t="str">
        <f>IFERROR(__xludf.DUMMYFUNCTION("""COMPUTED_VALUE"""),"[]")</f>
        <v>[]</v>
      </c>
      <c r="R235" s="148" t="str">
        <f>IFERROR(__xludf.DUMMYFUNCTION("""COMPUTED_VALUE"""),"{}")</f>
        <v>{}</v>
      </c>
      <c r="S235" s="148">
        <f>IFERROR(__xludf.DUMMYFUNCTION("""COMPUTED_VALUE"""),0.0)</f>
        <v>0</v>
      </c>
      <c r="T235" s="148" t="str">
        <f>IFERROR(__xludf.DUMMYFUNCTION("""COMPUTED_VALUE"""),"[]")</f>
        <v>[]</v>
      </c>
      <c r="U235" s="148">
        <f>IFERROR(__xludf.DUMMYFUNCTION("""COMPUTED_VALUE"""),0.0)</f>
        <v>0</v>
      </c>
      <c r="V235" s="148" t="str">
        <f>IFERROR(__xludf.DUMMYFUNCTION("""COMPUTED_VALUE"""),"{}")</f>
        <v>{}</v>
      </c>
      <c r="W235" s="148" t="str">
        <f>IFERROR(__xludf.DUMMYFUNCTION("""COMPUTED_VALUE"""),"[]")</f>
        <v>[]</v>
      </c>
      <c r="X235" s="148" t="str">
        <f>IFERROR(__xludf.DUMMYFUNCTION("""COMPUTED_VALUE"""),"[{""typ"":""power"",""id"":12141002,""val"":6}]")</f>
        <v>[{"typ":"power","id":12141002,"val":6}]</v>
      </c>
      <c r="Y235" s="148" t="str">
        <f>IFERROR(__xludf.DUMMYFUNCTION("""COMPUTED_VALUE"""),"[{""typ"":""atk"",""val"":200},{""typ"":""def"",""val"":190},{""typ"":""hp"",""val"":180},{""typ"":""speed"",""val"":40},{""typ"":""load"",""val"":20},{""typ"":""backcoef"",""val"":0.5},{""typ"":""atkcoef"",""val"":1.0},{""typ"":""atkcd"",""val"":0}]")</f>
        <v>[{"typ":"atk","val":200},{"typ":"def","val":190},{"typ":"hp","val":180},{"typ":"speed","val":40},{"typ":"load","val":20},{"typ":"backcoef","val":0.5},{"typ":"atkcoef","val":1.0},{"typ":"atkcd","val":0}]</v>
      </c>
      <c r="Z235" s="148" t="str">
        <f>IFERROR(__xludf.DUMMYFUNCTION("""COMPUTED_VALUE"""),"[]")</f>
        <v>[]</v>
      </c>
    </row>
    <row r="236">
      <c r="A236" s="148">
        <f>IFERROR(__xludf.DUMMYFUNCTION("""COMPUTED_VALUE"""),1.1214115E7)</f>
        <v>11214115</v>
      </c>
      <c r="B236" s="148" t="str">
        <f>IFERROR(__xludf.DUMMYFUNCTION("""COMPUTED_VALUE"""),"雷达挑战怪T5-kvk2")</f>
        <v>雷达挑战怪T5-kvk2</v>
      </c>
      <c r="C236" s="148">
        <f>IFERROR(__xludf.DUMMYFUNCTION("""COMPUTED_VALUE"""),1.1221004E7)</f>
        <v>11221004</v>
      </c>
      <c r="D236" s="148">
        <f>IFERROR(__xludf.DUMMYFUNCTION("""COMPUTED_VALUE"""),1.5114819E7)</f>
        <v>15114819</v>
      </c>
      <c r="E236" s="148" t="str">
        <f>IFERROR(__xludf.DUMMYFUNCTION("""COMPUTED_VALUE"""),"{""typ"":""lc"",""txt"":""LC_SOLDIER_npc_name_kvk_boss""}")</f>
        <v>{"typ":"lc","txt":"LC_SOLDIER_npc_name_kvk_boss"}</v>
      </c>
      <c r="F236" s="148" t="str">
        <f>IFERROR(__xludf.DUMMYFUNCTION("""COMPUTED_VALUE"""),"{}")</f>
        <v>{}</v>
      </c>
      <c r="G236" s="148">
        <f>IFERROR(__xludf.DUMMYFUNCTION("""COMPUTED_VALUE"""),10.0)</f>
        <v>10</v>
      </c>
      <c r="H236" s="148">
        <f>IFERROR(__xludf.DUMMYFUNCTION("""COMPUTED_VALUE"""),10099.0)</f>
        <v>10099</v>
      </c>
      <c r="I236" s="148">
        <f>IFERROR(__xludf.DUMMYFUNCTION("""COMPUTED_VALUE"""),10099.0)</f>
        <v>10099</v>
      </c>
      <c r="J236" s="148">
        <f>IFERROR(__xludf.DUMMYFUNCTION("""COMPUTED_VALUE"""),0.0)</f>
        <v>0</v>
      </c>
      <c r="K236" s="148">
        <f>IFERROR(__xludf.DUMMYFUNCTION("""COMPUTED_VALUE"""),10.0)</f>
        <v>10</v>
      </c>
      <c r="L236" s="148">
        <f>IFERROR(__xludf.DUMMYFUNCTION("""COMPUTED_VALUE"""),99.0)</f>
        <v>99</v>
      </c>
      <c r="M236" s="148">
        <f>IFERROR(__xludf.DUMMYFUNCTION("""COMPUTED_VALUE"""),0.0)</f>
        <v>0</v>
      </c>
      <c r="N236" s="148" t="str">
        <f>IFERROR(__xludf.DUMMYFUNCTION("""COMPUTED_VALUE"""),"[]")</f>
        <v>[]</v>
      </c>
      <c r="O236" s="148" t="str">
        <f>IFERROR(__xludf.DUMMYFUNCTION("""COMPUTED_VALUE"""),"{}")</f>
        <v>{}</v>
      </c>
      <c r="P236" s="148">
        <f>IFERROR(__xludf.DUMMYFUNCTION("""COMPUTED_VALUE"""),0.0)</f>
        <v>0</v>
      </c>
      <c r="Q236" s="148" t="str">
        <f>IFERROR(__xludf.DUMMYFUNCTION("""COMPUTED_VALUE"""),"[]")</f>
        <v>[]</v>
      </c>
      <c r="R236" s="148" t="str">
        <f>IFERROR(__xludf.DUMMYFUNCTION("""COMPUTED_VALUE"""),"{}")</f>
        <v>{}</v>
      </c>
      <c r="S236" s="148">
        <f>IFERROR(__xludf.DUMMYFUNCTION("""COMPUTED_VALUE"""),0.0)</f>
        <v>0</v>
      </c>
      <c r="T236" s="148" t="str">
        <f>IFERROR(__xludf.DUMMYFUNCTION("""COMPUTED_VALUE"""),"[]")</f>
        <v>[]</v>
      </c>
      <c r="U236" s="148">
        <f>IFERROR(__xludf.DUMMYFUNCTION("""COMPUTED_VALUE"""),0.0)</f>
        <v>0</v>
      </c>
      <c r="V236" s="148" t="str">
        <f>IFERROR(__xludf.DUMMYFUNCTION("""COMPUTED_VALUE"""),"{}")</f>
        <v>{}</v>
      </c>
      <c r="W236" s="148" t="str">
        <f>IFERROR(__xludf.DUMMYFUNCTION("""COMPUTED_VALUE"""),"[]")</f>
        <v>[]</v>
      </c>
      <c r="X236" s="148" t="str">
        <f>IFERROR(__xludf.DUMMYFUNCTION("""COMPUTED_VALUE"""),"[{""typ"":""power"",""id"":12141002,""val"":10}]")</f>
        <v>[{"typ":"power","id":12141002,"val":10}]</v>
      </c>
      <c r="Y236" s="148" t="str">
        <f>IFERROR(__xludf.DUMMYFUNCTION("""COMPUTED_VALUE"""),"[{""typ"":""atk"",""val"":230},{""typ"":""def"",""val"":210},{""typ"":""hp"",""val"":210},{""typ"":""speed"",""val"":40},{""typ"":""load"",""val"":20},{""typ"":""backcoef"",""val"":0.5},{""typ"":""atkcoef"",""val"":1.0},{""typ"":""atkcd"",""val"":0}]")</f>
        <v>[{"typ":"atk","val":230},{"typ":"def","val":210},{"typ":"hp","val":210},{"typ":"speed","val":40},{"typ":"load","val":20},{"typ":"backcoef","val":0.5},{"typ":"atkcoef","val":1.0},{"typ":"atkcd","val":0}]</v>
      </c>
      <c r="Z236" s="148" t="str">
        <f>IFERROR(__xludf.DUMMYFUNCTION("""COMPUTED_VALUE"""),"[]")</f>
        <v>[]</v>
      </c>
    </row>
    <row r="237">
      <c r="A237" s="148">
        <f>IFERROR(__xludf.DUMMYFUNCTION("""COMPUTED_VALUE"""),1.1214201E7)</f>
        <v>11214201</v>
      </c>
      <c r="B237" s="148" t="str">
        <f>IFERROR(__xludf.DUMMYFUNCTION("""COMPUTED_VALUE"""),"雷达普通怪T1")</f>
        <v>雷达普通怪T1</v>
      </c>
      <c r="C237" s="148">
        <f>IFERROR(__xludf.DUMMYFUNCTION("""COMPUTED_VALUE"""),1.1221004E7)</f>
        <v>11221004</v>
      </c>
      <c r="D237" s="148">
        <f>IFERROR(__xludf.DUMMYFUNCTION("""COMPUTED_VALUE"""),1.5114052E7)</f>
        <v>15114052</v>
      </c>
      <c r="E237" s="148" t="str">
        <f>IFERROR(__xludf.DUMMYFUNCTION("""COMPUTED_VALUE"""),"{""typ"":""lc"",""txt"":""LC_NPC_monster_shoot_hard""}")</f>
        <v>{"typ":"lc","txt":"LC_NPC_monster_shoot_hard"}</v>
      </c>
      <c r="F237" s="148" t="str">
        <f>IFERROR(__xludf.DUMMYFUNCTION("""COMPUTED_VALUE"""),"{}")</f>
        <v>{}</v>
      </c>
      <c r="G237" s="148">
        <f>IFERROR(__xludf.DUMMYFUNCTION("""COMPUTED_VALUE"""),10.0)</f>
        <v>10</v>
      </c>
      <c r="H237" s="148">
        <f>IFERROR(__xludf.DUMMYFUNCTION("""COMPUTED_VALUE"""),10099.0)</f>
        <v>10099</v>
      </c>
      <c r="I237" s="148">
        <f>IFERROR(__xludf.DUMMYFUNCTION("""COMPUTED_VALUE"""),10099.0)</f>
        <v>10099</v>
      </c>
      <c r="J237" s="148">
        <f>IFERROR(__xludf.DUMMYFUNCTION("""COMPUTED_VALUE"""),0.0)</f>
        <v>0</v>
      </c>
      <c r="K237" s="148">
        <f>IFERROR(__xludf.DUMMYFUNCTION("""COMPUTED_VALUE"""),10.0)</f>
        <v>10</v>
      </c>
      <c r="L237" s="148">
        <f>IFERROR(__xludf.DUMMYFUNCTION("""COMPUTED_VALUE"""),99.0)</f>
        <v>99</v>
      </c>
      <c r="M237" s="148">
        <f>IFERROR(__xludf.DUMMYFUNCTION("""COMPUTED_VALUE"""),0.0)</f>
        <v>0</v>
      </c>
      <c r="N237" s="148" t="str">
        <f>IFERROR(__xludf.DUMMYFUNCTION("""COMPUTED_VALUE"""),"[]")</f>
        <v>[]</v>
      </c>
      <c r="O237" s="148" t="str">
        <f>IFERROR(__xludf.DUMMYFUNCTION("""COMPUTED_VALUE"""),"{}")</f>
        <v>{}</v>
      </c>
      <c r="P237" s="148">
        <f>IFERROR(__xludf.DUMMYFUNCTION("""COMPUTED_VALUE"""),0.0)</f>
        <v>0</v>
      </c>
      <c r="Q237" s="148" t="str">
        <f>IFERROR(__xludf.DUMMYFUNCTION("""COMPUTED_VALUE"""),"[]")</f>
        <v>[]</v>
      </c>
      <c r="R237" s="148" t="str">
        <f>IFERROR(__xludf.DUMMYFUNCTION("""COMPUTED_VALUE"""),"{}")</f>
        <v>{}</v>
      </c>
      <c r="S237" s="148">
        <f>IFERROR(__xludf.DUMMYFUNCTION("""COMPUTED_VALUE"""),0.0)</f>
        <v>0</v>
      </c>
      <c r="T237" s="148" t="str">
        <f>IFERROR(__xludf.DUMMYFUNCTION("""COMPUTED_VALUE"""),"[]")</f>
        <v>[]</v>
      </c>
      <c r="U237" s="148">
        <f>IFERROR(__xludf.DUMMYFUNCTION("""COMPUTED_VALUE"""),0.0)</f>
        <v>0</v>
      </c>
      <c r="V237" s="148" t="str">
        <f>IFERROR(__xludf.DUMMYFUNCTION("""COMPUTED_VALUE"""),"{}")</f>
        <v>{}</v>
      </c>
      <c r="W237" s="148" t="str">
        <f>IFERROR(__xludf.DUMMYFUNCTION("""COMPUTED_VALUE"""),"[]")</f>
        <v>[]</v>
      </c>
      <c r="X237" s="148" t="str">
        <f>IFERROR(__xludf.DUMMYFUNCTION("""COMPUTED_VALUE"""),"[{""typ"":""power"",""id"":12141002,""val"":1}]")</f>
        <v>[{"typ":"power","id":12141002,"val":1}]</v>
      </c>
      <c r="Y237" s="148" t="str">
        <f>IFERROR(__xludf.DUMMYFUNCTION("""COMPUTED_VALUE"""),"[{""typ"":""atk"",""val"":60},{""typ"":""def"",""val"":125},{""typ"":""hp"",""val"":120},{""typ"":""speed"",""val"":40},{""typ"":""load"",""val"":20},{""typ"":""backcoef"",""val"":0.5},{""typ"":""atkcoef"",""val"":1.0},{""typ"":""atkcd"",""val"":0}]")</f>
        <v>[{"typ":"atk","val":60},{"typ":"def","val":125},{"typ":"hp","val":120},{"typ":"speed","val":40},{"typ":"load","val":20},{"typ":"backcoef","val":0.5},{"typ":"atkcoef","val":1.0},{"typ":"atkcd","val":0}]</v>
      </c>
      <c r="Z237" s="148" t="str">
        <f>IFERROR(__xludf.DUMMYFUNCTION("""COMPUTED_VALUE"""),"[]")</f>
        <v>[]</v>
      </c>
    </row>
    <row r="238">
      <c r="A238" s="148">
        <f>IFERROR(__xludf.DUMMYFUNCTION("""COMPUTED_VALUE"""),1.1214202E7)</f>
        <v>11214202</v>
      </c>
      <c r="B238" s="148" t="str">
        <f>IFERROR(__xludf.DUMMYFUNCTION("""COMPUTED_VALUE"""),"雷达普通怪T2")</f>
        <v>雷达普通怪T2</v>
      </c>
      <c r="C238" s="148">
        <f>IFERROR(__xludf.DUMMYFUNCTION("""COMPUTED_VALUE"""),1.1221004E7)</f>
        <v>11221004</v>
      </c>
      <c r="D238" s="148">
        <f>IFERROR(__xludf.DUMMYFUNCTION("""COMPUTED_VALUE"""),1.5114052E7)</f>
        <v>15114052</v>
      </c>
      <c r="E238" s="148" t="str">
        <f>IFERROR(__xludf.DUMMYFUNCTION("""COMPUTED_VALUE"""),"{""typ"":""lc"",""txt"":""LC_NPC_monster_shoot_hard""}")</f>
        <v>{"typ":"lc","txt":"LC_NPC_monster_shoot_hard"}</v>
      </c>
      <c r="F238" s="148" t="str">
        <f>IFERROR(__xludf.DUMMYFUNCTION("""COMPUTED_VALUE"""),"{}")</f>
        <v>{}</v>
      </c>
      <c r="G238" s="148">
        <f>IFERROR(__xludf.DUMMYFUNCTION("""COMPUTED_VALUE"""),10.0)</f>
        <v>10</v>
      </c>
      <c r="H238" s="148">
        <f>IFERROR(__xludf.DUMMYFUNCTION("""COMPUTED_VALUE"""),10099.0)</f>
        <v>10099</v>
      </c>
      <c r="I238" s="148">
        <f>IFERROR(__xludf.DUMMYFUNCTION("""COMPUTED_VALUE"""),10099.0)</f>
        <v>10099</v>
      </c>
      <c r="J238" s="148">
        <f>IFERROR(__xludf.DUMMYFUNCTION("""COMPUTED_VALUE"""),0.0)</f>
        <v>0</v>
      </c>
      <c r="K238" s="148">
        <f>IFERROR(__xludf.DUMMYFUNCTION("""COMPUTED_VALUE"""),10.0)</f>
        <v>10</v>
      </c>
      <c r="L238" s="148">
        <f>IFERROR(__xludf.DUMMYFUNCTION("""COMPUTED_VALUE"""),99.0)</f>
        <v>99</v>
      </c>
      <c r="M238" s="148">
        <f>IFERROR(__xludf.DUMMYFUNCTION("""COMPUTED_VALUE"""),0.0)</f>
        <v>0</v>
      </c>
      <c r="N238" s="148" t="str">
        <f>IFERROR(__xludf.DUMMYFUNCTION("""COMPUTED_VALUE"""),"[]")</f>
        <v>[]</v>
      </c>
      <c r="O238" s="148" t="str">
        <f>IFERROR(__xludf.DUMMYFUNCTION("""COMPUTED_VALUE"""),"{}")</f>
        <v>{}</v>
      </c>
      <c r="P238" s="148">
        <f>IFERROR(__xludf.DUMMYFUNCTION("""COMPUTED_VALUE"""),0.0)</f>
        <v>0</v>
      </c>
      <c r="Q238" s="148" t="str">
        <f>IFERROR(__xludf.DUMMYFUNCTION("""COMPUTED_VALUE"""),"[]")</f>
        <v>[]</v>
      </c>
      <c r="R238" s="148" t="str">
        <f>IFERROR(__xludf.DUMMYFUNCTION("""COMPUTED_VALUE"""),"{}")</f>
        <v>{}</v>
      </c>
      <c r="S238" s="148">
        <f>IFERROR(__xludf.DUMMYFUNCTION("""COMPUTED_VALUE"""),0.0)</f>
        <v>0</v>
      </c>
      <c r="T238" s="148" t="str">
        <f>IFERROR(__xludf.DUMMYFUNCTION("""COMPUTED_VALUE"""),"[]")</f>
        <v>[]</v>
      </c>
      <c r="U238" s="148">
        <f>IFERROR(__xludf.DUMMYFUNCTION("""COMPUTED_VALUE"""),0.0)</f>
        <v>0</v>
      </c>
      <c r="V238" s="148" t="str">
        <f>IFERROR(__xludf.DUMMYFUNCTION("""COMPUTED_VALUE"""),"{}")</f>
        <v>{}</v>
      </c>
      <c r="W238" s="148" t="str">
        <f>IFERROR(__xludf.DUMMYFUNCTION("""COMPUTED_VALUE"""),"[]")</f>
        <v>[]</v>
      </c>
      <c r="X238" s="148" t="str">
        <f>IFERROR(__xludf.DUMMYFUNCTION("""COMPUTED_VALUE"""),"[{""typ"":""power"",""id"":12141002,""val"":2}]")</f>
        <v>[{"typ":"power","id":12141002,"val":2}]</v>
      </c>
      <c r="Y238" s="148" t="str">
        <f>IFERROR(__xludf.DUMMYFUNCTION("""COMPUTED_VALUE"""),"[{""typ"":""atk"",""val"":120},{""typ"":""def"",""val"":130},{""typ"":""hp"",""val"":130},{""typ"":""speed"",""val"":40},{""typ"":""load"",""val"":20},{""typ"":""backcoef"",""val"":0.5},{""typ"":""atkcoef"",""val"":1.0},{""typ"":""atkcd"",""val"":0}]")</f>
        <v>[{"typ":"atk","val":120},{"typ":"def","val":130},{"typ":"hp","val":130},{"typ":"speed","val":40},{"typ":"load","val":20},{"typ":"backcoef","val":0.5},{"typ":"atkcoef","val":1.0},{"typ":"atkcd","val":0}]</v>
      </c>
      <c r="Z238" s="148" t="str">
        <f>IFERROR(__xludf.DUMMYFUNCTION("""COMPUTED_VALUE"""),"[]")</f>
        <v>[]</v>
      </c>
    </row>
    <row r="239">
      <c r="A239" s="148">
        <f>IFERROR(__xludf.DUMMYFUNCTION("""COMPUTED_VALUE"""),1.1214203E7)</f>
        <v>11214203</v>
      </c>
      <c r="B239" s="148" t="str">
        <f>IFERROR(__xludf.DUMMYFUNCTION("""COMPUTED_VALUE"""),"雷达普通怪T1-kvk")</f>
        <v>雷达普通怪T1-kvk</v>
      </c>
      <c r="C239" s="148">
        <f>IFERROR(__xludf.DUMMYFUNCTION("""COMPUTED_VALUE"""),1.1221004E7)</f>
        <v>11221004</v>
      </c>
      <c r="D239" s="148">
        <f>IFERROR(__xludf.DUMMYFUNCTION("""COMPUTED_VALUE"""),1.5113964E7)</f>
        <v>15113964</v>
      </c>
      <c r="E239" s="148" t="str">
        <f>IFERROR(__xludf.DUMMYFUNCTION("""COMPUTED_VALUE"""),"{""typ"":""lc"",""txt"":""LC_SOLDIER_npc_name_kvk_normal""}")</f>
        <v>{"typ":"lc","txt":"LC_SOLDIER_npc_name_kvk_normal"}</v>
      </c>
      <c r="F239" s="148" t="str">
        <f>IFERROR(__xludf.DUMMYFUNCTION("""COMPUTED_VALUE"""),"{}")</f>
        <v>{}</v>
      </c>
      <c r="G239" s="148">
        <f>IFERROR(__xludf.DUMMYFUNCTION("""COMPUTED_VALUE"""),10.0)</f>
        <v>10</v>
      </c>
      <c r="H239" s="148">
        <f>IFERROR(__xludf.DUMMYFUNCTION("""COMPUTED_VALUE"""),10099.0)</f>
        <v>10099</v>
      </c>
      <c r="I239" s="148">
        <f>IFERROR(__xludf.DUMMYFUNCTION("""COMPUTED_VALUE"""),10099.0)</f>
        <v>10099</v>
      </c>
      <c r="J239" s="148">
        <f>IFERROR(__xludf.DUMMYFUNCTION("""COMPUTED_VALUE"""),0.0)</f>
        <v>0</v>
      </c>
      <c r="K239" s="148">
        <f>IFERROR(__xludf.DUMMYFUNCTION("""COMPUTED_VALUE"""),10.0)</f>
        <v>10</v>
      </c>
      <c r="L239" s="148">
        <f>IFERROR(__xludf.DUMMYFUNCTION("""COMPUTED_VALUE"""),99.0)</f>
        <v>99</v>
      </c>
      <c r="M239" s="148">
        <f>IFERROR(__xludf.DUMMYFUNCTION("""COMPUTED_VALUE"""),0.0)</f>
        <v>0</v>
      </c>
      <c r="N239" s="148" t="str">
        <f>IFERROR(__xludf.DUMMYFUNCTION("""COMPUTED_VALUE"""),"[]")</f>
        <v>[]</v>
      </c>
      <c r="O239" s="148" t="str">
        <f>IFERROR(__xludf.DUMMYFUNCTION("""COMPUTED_VALUE"""),"{}")</f>
        <v>{}</v>
      </c>
      <c r="P239" s="148">
        <f>IFERROR(__xludf.DUMMYFUNCTION("""COMPUTED_VALUE"""),0.0)</f>
        <v>0</v>
      </c>
      <c r="Q239" s="148" t="str">
        <f>IFERROR(__xludf.DUMMYFUNCTION("""COMPUTED_VALUE"""),"[]")</f>
        <v>[]</v>
      </c>
      <c r="R239" s="148" t="str">
        <f>IFERROR(__xludf.DUMMYFUNCTION("""COMPUTED_VALUE"""),"{}")</f>
        <v>{}</v>
      </c>
      <c r="S239" s="148">
        <f>IFERROR(__xludf.DUMMYFUNCTION("""COMPUTED_VALUE"""),0.0)</f>
        <v>0</v>
      </c>
      <c r="T239" s="148" t="str">
        <f>IFERROR(__xludf.DUMMYFUNCTION("""COMPUTED_VALUE"""),"[]")</f>
        <v>[]</v>
      </c>
      <c r="U239" s="148">
        <f>IFERROR(__xludf.DUMMYFUNCTION("""COMPUTED_VALUE"""),0.0)</f>
        <v>0</v>
      </c>
      <c r="V239" s="148" t="str">
        <f>IFERROR(__xludf.DUMMYFUNCTION("""COMPUTED_VALUE"""),"{}")</f>
        <v>{}</v>
      </c>
      <c r="W239" s="148" t="str">
        <f>IFERROR(__xludf.DUMMYFUNCTION("""COMPUTED_VALUE"""),"[]")</f>
        <v>[]</v>
      </c>
      <c r="X239" s="148" t="str">
        <f>IFERROR(__xludf.DUMMYFUNCTION("""COMPUTED_VALUE"""),"[{""typ"":""power"",""id"":12141002,""val"":1}]")</f>
        <v>[{"typ":"power","id":12141002,"val":1}]</v>
      </c>
      <c r="Y239" s="148" t="str">
        <f>IFERROR(__xludf.DUMMYFUNCTION("""COMPUTED_VALUE"""),"[{""typ"":""atk"",""val"":60},{""typ"":""def"",""val"":125},{""typ"":""hp"",""val"":120},{""typ"":""speed"",""val"":40},{""typ"":""load"",""val"":20},{""typ"":""backcoef"",""val"":0.5},{""typ"":""atkcoef"",""val"":1.0},{""typ"":""atkcd"",""val"":0}]")</f>
        <v>[{"typ":"atk","val":60},{"typ":"def","val":125},{"typ":"hp","val":120},{"typ":"speed","val":40},{"typ":"load","val":20},{"typ":"backcoef","val":0.5},{"typ":"atkcoef","val":1.0},{"typ":"atkcd","val":0}]</v>
      </c>
      <c r="Z239" s="148" t="str">
        <f>IFERROR(__xludf.DUMMYFUNCTION("""COMPUTED_VALUE"""),"[]")</f>
        <v>[]</v>
      </c>
    </row>
    <row r="240">
      <c r="A240" s="148">
        <f>IFERROR(__xludf.DUMMYFUNCTION("""COMPUTED_VALUE"""),1.1214204E7)</f>
        <v>11214204</v>
      </c>
      <c r="B240" s="148" t="str">
        <f>IFERROR(__xludf.DUMMYFUNCTION("""COMPUTED_VALUE"""),"雷达普通怪T2-kvk")</f>
        <v>雷达普通怪T2-kvk</v>
      </c>
      <c r="C240" s="148">
        <f>IFERROR(__xludf.DUMMYFUNCTION("""COMPUTED_VALUE"""),1.1221004E7)</f>
        <v>11221004</v>
      </c>
      <c r="D240" s="148">
        <f>IFERROR(__xludf.DUMMYFUNCTION("""COMPUTED_VALUE"""),1.5113964E7)</f>
        <v>15113964</v>
      </c>
      <c r="E240" s="148" t="str">
        <f>IFERROR(__xludf.DUMMYFUNCTION("""COMPUTED_VALUE"""),"{""typ"":""lc"",""txt"":""LC_SOLDIER_npc_name_kvk_normal""}")</f>
        <v>{"typ":"lc","txt":"LC_SOLDIER_npc_name_kvk_normal"}</v>
      </c>
      <c r="F240" s="148" t="str">
        <f>IFERROR(__xludf.DUMMYFUNCTION("""COMPUTED_VALUE"""),"{}")</f>
        <v>{}</v>
      </c>
      <c r="G240" s="148">
        <f>IFERROR(__xludf.DUMMYFUNCTION("""COMPUTED_VALUE"""),10.0)</f>
        <v>10</v>
      </c>
      <c r="H240" s="148">
        <f>IFERROR(__xludf.DUMMYFUNCTION("""COMPUTED_VALUE"""),10099.0)</f>
        <v>10099</v>
      </c>
      <c r="I240" s="148">
        <f>IFERROR(__xludf.DUMMYFUNCTION("""COMPUTED_VALUE"""),10099.0)</f>
        <v>10099</v>
      </c>
      <c r="J240" s="148">
        <f>IFERROR(__xludf.DUMMYFUNCTION("""COMPUTED_VALUE"""),0.0)</f>
        <v>0</v>
      </c>
      <c r="K240" s="148">
        <f>IFERROR(__xludf.DUMMYFUNCTION("""COMPUTED_VALUE"""),10.0)</f>
        <v>10</v>
      </c>
      <c r="L240" s="148">
        <f>IFERROR(__xludf.DUMMYFUNCTION("""COMPUTED_VALUE"""),99.0)</f>
        <v>99</v>
      </c>
      <c r="M240" s="148">
        <f>IFERROR(__xludf.DUMMYFUNCTION("""COMPUTED_VALUE"""),0.0)</f>
        <v>0</v>
      </c>
      <c r="N240" s="148" t="str">
        <f>IFERROR(__xludf.DUMMYFUNCTION("""COMPUTED_VALUE"""),"[]")</f>
        <v>[]</v>
      </c>
      <c r="O240" s="148" t="str">
        <f>IFERROR(__xludf.DUMMYFUNCTION("""COMPUTED_VALUE"""),"{}")</f>
        <v>{}</v>
      </c>
      <c r="P240" s="148">
        <f>IFERROR(__xludf.DUMMYFUNCTION("""COMPUTED_VALUE"""),0.0)</f>
        <v>0</v>
      </c>
      <c r="Q240" s="148" t="str">
        <f>IFERROR(__xludf.DUMMYFUNCTION("""COMPUTED_VALUE"""),"[]")</f>
        <v>[]</v>
      </c>
      <c r="R240" s="148" t="str">
        <f>IFERROR(__xludf.DUMMYFUNCTION("""COMPUTED_VALUE"""),"{}")</f>
        <v>{}</v>
      </c>
      <c r="S240" s="148">
        <f>IFERROR(__xludf.DUMMYFUNCTION("""COMPUTED_VALUE"""),0.0)</f>
        <v>0</v>
      </c>
      <c r="T240" s="148" t="str">
        <f>IFERROR(__xludf.DUMMYFUNCTION("""COMPUTED_VALUE"""),"[]")</f>
        <v>[]</v>
      </c>
      <c r="U240" s="148">
        <f>IFERROR(__xludf.DUMMYFUNCTION("""COMPUTED_VALUE"""),0.0)</f>
        <v>0</v>
      </c>
      <c r="V240" s="148" t="str">
        <f>IFERROR(__xludf.DUMMYFUNCTION("""COMPUTED_VALUE"""),"{}")</f>
        <v>{}</v>
      </c>
      <c r="W240" s="148" t="str">
        <f>IFERROR(__xludf.DUMMYFUNCTION("""COMPUTED_VALUE"""),"[]")</f>
        <v>[]</v>
      </c>
      <c r="X240" s="148" t="str">
        <f>IFERROR(__xludf.DUMMYFUNCTION("""COMPUTED_VALUE"""),"[{""typ"":""power"",""id"":12141002,""val"":2}]")</f>
        <v>[{"typ":"power","id":12141002,"val":2}]</v>
      </c>
      <c r="Y240" s="148" t="str">
        <f>IFERROR(__xludf.DUMMYFUNCTION("""COMPUTED_VALUE"""),"[{""typ"":""atk"",""val"":120},{""typ"":""def"",""val"":130},{""typ"":""hp"",""val"":130},{""typ"":""speed"",""val"":40},{""typ"":""load"",""val"":20},{""typ"":""backcoef"",""val"":0.5},{""typ"":""atkcoef"",""val"":1.0},{""typ"":""atkcd"",""val"":0}]")</f>
        <v>[{"typ":"atk","val":120},{"typ":"def","val":130},{"typ":"hp","val":130},{"typ":"speed","val":40},{"typ":"load","val":20},{"typ":"backcoef","val":0.5},{"typ":"atkcoef","val":1.0},{"typ":"atkcd","val":0}]</v>
      </c>
      <c r="Z240" s="148" t="str">
        <f>IFERROR(__xludf.DUMMYFUNCTION("""COMPUTED_VALUE"""),"[]")</f>
        <v>[]</v>
      </c>
    </row>
    <row r="241">
      <c r="A241" s="148">
        <f>IFERROR(__xludf.DUMMYFUNCTION("""COMPUTED_VALUE"""),1.1214205E7)</f>
        <v>11214205</v>
      </c>
      <c r="B241" s="148" t="str">
        <f>IFERROR(__xludf.DUMMYFUNCTION("""COMPUTED_VALUE"""),"雷达普通怪T3")</f>
        <v>雷达普通怪T3</v>
      </c>
      <c r="C241" s="148">
        <f>IFERROR(__xludf.DUMMYFUNCTION("""COMPUTED_VALUE"""),1.1221004E7)</f>
        <v>11221004</v>
      </c>
      <c r="D241" s="148">
        <f>IFERROR(__xludf.DUMMYFUNCTION("""COMPUTED_VALUE"""),1.5114052E7)</f>
        <v>15114052</v>
      </c>
      <c r="E241" s="148" t="str">
        <f>IFERROR(__xludf.DUMMYFUNCTION("""COMPUTED_VALUE"""),"{""typ"":""lc"",""txt"":""LC_NPC_monster_shoot_hard""}")</f>
        <v>{"typ":"lc","txt":"LC_NPC_monster_shoot_hard"}</v>
      </c>
      <c r="F241" s="148" t="str">
        <f>IFERROR(__xludf.DUMMYFUNCTION("""COMPUTED_VALUE"""),"{}")</f>
        <v>{}</v>
      </c>
      <c r="G241" s="148">
        <f>IFERROR(__xludf.DUMMYFUNCTION("""COMPUTED_VALUE"""),10.0)</f>
        <v>10</v>
      </c>
      <c r="H241" s="148">
        <f>IFERROR(__xludf.DUMMYFUNCTION("""COMPUTED_VALUE"""),10099.0)</f>
        <v>10099</v>
      </c>
      <c r="I241" s="148">
        <f>IFERROR(__xludf.DUMMYFUNCTION("""COMPUTED_VALUE"""),10099.0)</f>
        <v>10099</v>
      </c>
      <c r="J241" s="148">
        <f>IFERROR(__xludf.DUMMYFUNCTION("""COMPUTED_VALUE"""),0.0)</f>
        <v>0</v>
      </c>
      <c r="K241" s="148">
        <f>IFERROR(__xludf.DUMMYFUNCTION("""COMPUTED_VALUE"""),10.0)</f>
        <v>10</v>
      </c>
      <c r="L241" s="148">
        <f>IFERROR(__xludf.DUMMYFUNCTION("""COMPUTED_VALUE"""),99.0)</f>
        <v>99</v>
      </c>
      <c r="M241" s="148">
        <f>IFERROR(__xludf.DUMMYFUNCTION("""COMPUTED_VALUE"""),0.0)</f>
        <v>0</v>
      </c>
      <c r="N241" s="148" t="str">
        <f>IFERROR(__xludf.DUMMYFUNCTION("""COMPUTED_VALUE"""),"[]")</f>
        <v>[]</v>
      </c>
      <c r="O241" s="148" t="str">
        <f>IFERROR(__xludf.DUMMYFUNCTION("""COMPUTED_VALUE"""),"{}")</f>
        <v>{}</v>
      </c>
      <c r="P241" s="148">
        <f>IFERROR(__xludf.DUMMYFUNCTION("""COMPUTED_VALUE"""),0.0)</f>
        <v>0</v>
      </c>
      <c r="Q241" s="148" t="str">
        <f>IFERROR(__xludf.DUMMYFUNCTION("""COMPUTED_VALUE"""),"[]")</f>
        <v>[]</v>
      </c>
      <c r="R241" s="148" t="str">
        <f>IFERROR(__xludf.DUMMYFUNCTION("""COMPUTED_VALUE"""),"{}")</f>
        <v>{}</v>
      </c>
      <c r="S241" s="148">
        <f>IFERROR(__xludf.DUMMYFUNCTION("""COMPUTED_VALUE"""),0.0)</f>
        <v>0</v>
      </c>
      <c r="T241" s="148" t="str">
        <f>IFERROR(__xludf.DUMMYFUNCTION("""COMPUTED_VALUE"""),"[]")</f>
        <v>[]</v>
      </c>
      <c r="U241" s="148">
        <f>IFERROR(__xludf.DUMMYFUNCTION("""COMPUTED_VALUE"""),0.0)</f>
        <v>0</v>
      </c>
      <c r="V241" s="148" t="str">
        <f>IFERROR(__xludf.DUMMYFUNCTION("""COMPUTED_VALUE"""),"{}")</f>
        <v>{}</v>
      </c>
      <c r="W241" s="148" t="str">
        <f>IFERROR(__xludf.DUMMYFUNCTION("""COMPUTED_VALUE"""),"[]")</f>
        <v>[]</v>
      </c>
      <c r="X241" s="148" t="str">
        <f>IFERROR(__xludf.DUMMYFUNCTION("""COMPUTED_VALUE"""),"[{""typ"":""power"",""id"":12141002,""val"":4}]")</f>
        <v>[{"typ":"power","id":12141002,"val":4}]</v>
      </c>
      <c r="Y241" s="148" t="str">
        <f>IFERROR(__xludf.DUMMYFUNCTION("""COMPUTED_VALUE"""),"[{""typ"":""atk"",""val"":160},{""typ"":""def"",""val"":160},{""typ"":""hp"",""val"":160},{""typ"":""speed"",""val"":40},{""typ"":""load"",""val"":20},{""typ"":""backcoef"",""val"":0.5},{""typ"":""atkcoef"",""val"":1.0},{""typ"":""atkcd"",""val"":0}]")</f>
        <v>[{"typ":"atk","val":160},{"typ":"def","val":160},{"typ":"hp","val":160},{"typ":"speed","val":40},{"typ":"load","val":20},{"typ":"backcoef","val":0.5},{"typ":"atkcoef","val":1.0},{"typ":"atkcd","val":0}]</v>
      </c>
      <c r="Z241" s="148" t="str">
        <f>IFERROR(__xludf.DUMMYFUNCTION("""COMPUTED_VALUE"""),"[]")</f>
        <v>[]</v>
      </c>
    </row>
    <row r="242">
      <c r="A242" s="148">
        <f>IFERROR(__xludf.DUMMYFUNCTION("""COMPUTED_VALUE"""),1.1214206E7)</f>
        <v>11214206</v>
      </c>
      <c r="B242" s="148" t="str">
        <f>IFERROR(__xludf.DUMMYFUNCTION("""COMPUTED_VALUE"""),"雷达普通怪T4")</f>
        <v>雷达普通怪T4</v>
      </c>
      <c r="C242" s="148">
        <f>IFERROR(__xludf.DUMMYFUNCTION("""COMPUTED_VALUE"""),1.1221004E7)</f>
        <v>11221004</v>
      </c>
      <c r="D242" s="148">
        <f>IFERROR(__xludf.DUMMYFUNCTION("""COMPUTED_VALUE"""),1.5114052E7)</f>
        <v>15114052</v>
      </c>
      <c r="E242" s="148" t="str">
        <f>IFERROR(__xludf.DUMMYFUNCTION("""COMPUTED_VALUE"""),"{""typ"":""lc"",""txt"":""LC_NPC_monster_shoot_hard""}")</f>
        <v>{"typ":"lc","txt":"LC_NPC_monster_shoot_hard"}</v>
      </c>
      <c r="F242" s="148" t="str">
        <f>IFERROR(__xludf.DUMMYFUNCTION("""COMPUTED_VALUE"""),"{}")</f>
        <v>{}</v>
      </c>
      <c r="G242" s="148">
        <f>IFERROR(__xludf.DUMMYFUNCTION("""COMPUTED_VALUE"""),10.0)</f>
        <v>10</v>
      </c>
      <c r="H242" s="148">
        <f>IFERROR(__xludf.DUMMYFUNCTION("""COMPUTED_VALUE"""),10099.0)</f>
        <v>10099</v>
      </c>
      <c r="I242" s="148">
        <f>IFERROR(__xludf.DUMMYFUNCTION("""COMPUTED_VALUE"""),10099.0)</f>
        <v>10099</v>
      </c>
      <c r="J242" s="148">
        <f>IFERROR(__xludf.DUMMYFUNCTION("""COMPUTED_VALUE"""),0.0)</f>
        <v>0</v>
      </c>
      <c r="K242" s="148">
        <f>IFERROR(__xludf.DUMMYFUNCTION("""COMPUTED_VALUE"""),10.0)</f>
        <v>10</v>
      </c>
      <c r="L242" s="148">
        <f>IFERROR(__xludf.DUMMYFUNCTION("""COMPUTED_VALUE"""),99.0)</f>
        <v>99</v>
      </c>
      <c r="M242" s="148">
        <f>IFERROR(__xludf.DUMMYFUNCTION("""COMPUTED_VALUE"""),0.0)</f>
        <v>0</v>
      </c>
      <c r="N242" s="148" t="str">
        <f>IFERROR(__xludf.DUMMYFUNCTION("""COMPUTED_VALUE"""),"[]")</f>
        <v>[]</v>
      </c>
      <c r="O242" s="148" t="str">
        <f>IFERROR(__xludf.DUMMYFUNCTION("""COMPUTED_VALUE"""),"{}")</f>
        <v>{}</v>
      </c>
      <c r="P242" s="148">
        <f>IFERROR(__xludf.DUMMYFUNCTION("""COMPUTED_VALUE"""),0.0)</f>
        <v>0</v>
      </c>
      <c r="Q242" s="148" t="str">
        <f>IFERROR(__xludf.DUMMYFUNCTION("""COMPUTED_VALUE"""),"[]")</f>
        <v>[]</v>
      </c>
      <c r="R242" s="148" t="str">
        <f>IFERROR(__xludf.DUMMYFUNCTION("""COMPUTED_VALUE"""),"{}")</f>
        <v>{}</v>
      </c>
      <c r="S242" s="148">
        <f>IFERROR(__xludf.DUMMYFUNCTION("""COMPUTED_VALUE"""),0.0)</f>
        <v>0</v>
      </c>
      <c r="T242" s="148" t="str">
        <f>IFERROR(__xludf.DUMMYFUNCTION("""COMPUTED_VALUE"""),"[]")</f>
        <v>[]</v>
      </c>
      <c r="U242" s="148">
        <f>IFERROR(__xludf.DUMMYFUNCTION("""COMPUTED_VALUE"""),0.0)</f>
        <v>0</v>
      </c>
      <c r="V242" s="148" t="str">
        <f>IFERROR(__xludf.DUMMYFUNCTION("""COMPUTED_VALUE"""),"{}")</f>
        <v>{}</v>
      </c>
      <c r="W242" s="148" t="str">
        <f>IFERROR(__xludf.DUMMYFUNCTION("""COMPUTED_VALUE"""),"[]")</f>
        <v>[]</v>
      </c>
      <c r="X242" s="148" t="str">
        <f>IFERROR(__xludf.DUMMYFUNCTION("""COMPUTED_VALUE"""),"[{""typ"":""power"",""id"":12141002,""val"":6}]")</f>
        <v>[{"typ":"power","id":12141002,"val":6}]</v>
      </c>
      <c r="Y242" s="148" t="str">
        <f>IFERROR(__xludf.DUMMYFUNCTION("""COMPUTED_VALUE"""),"[{""typ"":""atk"",""val"":200},{""typ"":""def"",""val"":190},{""typ"":""hp"",""val"":180},{""typ"":""speed"",""val"":40},{""typ"":""load"",""val"":20},{""typ"":""backcoef"",""val"":0.5},{""typ"":""atkcoef"",""val"":1.0},{""typ"":""atkcd"",""val"":0}]")</f>
        <v>[{"typ":"atk","val":200},{"typ":"def","val":190},{"typ":"hp","val":180},{"typ":"speed","val":40},{"typ":"load","val":20},{"typ":"backcoef","val":0.5},{"typ":"atkcoef","val":1.0},{"typ":"atkcd","val":0}]</v>
      </c>
      <c r="Z242" s="148" t="str">
        <f>IFERROR(__xludf.DUMMYFUNCTION("""COMPUTED_VALUE"""),"[]")</f>
        <v>[]</v>
      </c>
    </row>
    <row r="243">
      <c r="A243" s="148">
        <f>IFERROR(__xludf.DUMMYFUNCTION("""COMPUTED_VALUE"""),1.1214207E7)</f>
        <v>11214207</v>
      </c>
      <c r="B243" s="148" t="str">
        <f>IFERROR(__xludf.DUMMYFUNCTION("""COMPUTED_VALUE"""),"雷达普通怪T5")</f>
        <v>雷达普通怪T5</v>
      </c>
      <c r="C243" s="148">
        <f>IFERROR(__xludf.DUMMYFUNCTION("""COMPUTED_VALUE"""),1.1221004E7)</f>
        <v>11221004</v>
      </c>
      <c r="D243" s="148">
        <f>IFERROR(__xludf.DUMMYFUNCTION("""COMPUTED_VALUE"""),1.5114052E7)</f>
        <v>15114052</v>
      </c>
      <c r="E243" s="148" t="str">
        <f>IFERROR(__xludf.DUMMYFUNCTION("""COMPUTED_VALUE"""),"{""typ"":""lc"",""txt"":""LC_NPC_monster_shoot_hard""}")</f>
        <v>{"typ":"lc","txt":"LC_NPC_monster_shoot_hard"}</v>
      </c>
      <c r="F243" s="148" t="str">
        <f>IFERROR(__xludf.DUMMYFUNCTION("""COMPUTED_VALUE"""),"{}")</f>
        <v>{}</v>
      </c>
      <c r="G243" s="148">
        <f>IFERROR(__xludf.DUMMYFUNCTION("""COMPUTED_VALUE"""),10.0)</f>
        <v>10</v>
      </c>
      <c r="H243" s="148">
        <f>IFERROR(__xludf.DUMMYFUNCTION("""COMPUTED_VALUE"""),10099.0)</f>
        <v>10099</v>
      </c>
      <c r="I243" s="148">
        <f>IFERROR(__xludf.DUMMYFUNCTION("""COMPUTED_VALUE"""),10099.0)</f>
        <v>10099</v>
      </c>
      <c r="J243" s="148">
        <f>IFERROR(__xludf.DUMMYFUNCTION("""COMPUTED_VALUE"""),0.0)</f>
        <v>0</v>
      </c>
      <c r="K243" s="148">
        <f>IFERROR(__xludf.DUMMYFUNCTION("""COMPUTED_VALUE"""),10.0)</f>
        <v>10</v>
      </c>
      <c r="L243" s="148">
        <f>IFERROR(__xludf.DUMMYFUNCTION("""COMPUTED_VALUE"""),99.0)</f>
        <v>99</v>
      </c>
      <c r="M243" s="148">
        <f>IFERROR(__xludf.DUMMYFUNCTION("""COMPUTED_VALUE"""),0.0)</f>
        <v>0</v>
      </c>
      <c r="N243" s="148" t="str">
        <f>IFERROR(__xludf.DUMMYFUNCTION("""COMPUTED_VALUE"""),"[]")</f>
        <v>[]</v>
      </c>
      <c r="O243" s="148" t="str">
        <f>IFERROR(__xludf.DUMMYFUNCTION("""COMPUTED_VALUE"""),"{}")</f>
        <v>{}</v>
      </c>
      <c r="P243" s="148">
        <f>IFERROR(__xludf.DUMMYFUNCTION("""COMPUTED_VALUE"""),0.0)</f>
        <v>0</v>
      </c>
      <c r="Q243" s="148" t="str">
        <f>IFERROR(__xludf.DUMMYFUNCTION("""COMPUTED_VALUE"""),"[]")</f>
        <v>[]</v>
      </c>
      <c r="R243" s="148" t="str">
        <f>IFERROR(__xludf.DUMMYFUNCTION("""COMPUTED_VALUE"""),"{}")</f>
        <v>{}</v>
      </c>
      <c r="S243" s="148">
        <f>IFERROR(__xludf.DUMMYFUNCTION("""COMPUTED_VALUE"""),0.0)</f>
        <v>0</v>
      </c>
      <c r="T243" s="148" t="str">
        <f>IFERROR(__xludf.DUMMYFUNCTION("""COMPUTED_VALUE"""),"[]")</f>
        <v>[]</v>
      </c>
      <c r="U243" s="148">
        <f>IFERROR(__xludf.DUMMYFUNCTION("""COMPUTED_VALUE"""),0.0)</f>
        <v>0</v>
      </c>
      <c r="V243" s="148" t="str">
        <f>IFERROR(__xludf.DUMMYFUNCTION("""COMPUTED_VALUE"""),"{}")</f>
        <v>{}</v>
      </c>
      <c r="W243" s="148" t="str">
        <f>IFERROR(__xludf.DUMMYFUNCTION("""COMPUTED_VALUE"""),"[]")</f>
        <v>[]</v>
      </c>
      <c r="X243" s="148" t="str">
        <f>IFERROR(__xludf.DUMMYFUNCTION("""COMPUTED_VALUE"""),"[{""typ"":""power"",""id"":12141002,""val"":10}]")</f>
        <v>[{"typ":"power","id":12141002,"val":10}]</v>
      </c>
      <c r="Y243" s="148" t="str">
        <f>IFERROR(__xludf.DUMMYFUNCTION("""COMPUTED_VALUE"""),"[{""typ"":""atk"",""val"":230},{""typ"":""def"",""val"":210},{""typ"":""hp"",""val"":210},{""typ"":""speed"",""val"":40},{""typ"":""load"",""val"":20},{""typ"":""backcoef"",""val"":0.5},{""typ"":""atkcoef"",""val"":1.0},{""typ"":""atkcd"",""val"":0}]")</f>
        <v>[{"typ":"atk","val":230},{"typ":"def","val":210},{"typ":"hp","val":210},{"typ":"speed","val":40},{"typ":"load","val":20},{"typ":"backcoef","val":0.5},{"typ":"atkcoef","val":1.0},{"typ":"atkcd","val":0}]</v>
      </c>
      <c r="Z243" s="148" t="str">
        <f>IFERROR(__xludf.DUMMYFUNCTION("""COMPUTED_VALUE"""),"[]")</f>
        <v>[]</v>
      </c>
    </row>
    <row r="244">
      <c r="A244" s="148">
        <f>IFERROR(__xludf.DUMMYFUNCTION("""COMPUTED_VALUE"""),1.1214208E7)</f>
        <v>11214208</v>
      </c>
      <c r="B244" s="148" t="str">
        <f>IFERROR(__xludf.DUMMYFUNCTION("""COMPUTED_VALUE"""),"雷达普通怪T3-kvk")</f>
        <v>雷达普通怪T3-kvk</v>
      </c>
      <c r="C244" s="148">
        <f>IFERROR(__xludf.DUMMYFUNCTION("""COMPUTED_VALUE"""),1.1221004E7)</f>
        <v>11221004</v>
      </c>
      <c r="D244" s="148">
        <f>IFERROR(__xludf.DUMMYFUNCTION("""COMPUTED_VALUE"""),1.5113964E7)</f>
        <v>15113964</v>
      </c>
      <c r="E244" s="148" t="str">
        <f>IFERROR(__xludf.DUMMYFUNCTION("""COMPUTED_VALUE"""),"{""typ"":""lc"",""txt"":""LC_SOLDIER_npc_name_kvk_normal""}")</f>
        <v>{"typ":"lc","txt":"LC_SOLDIER_npc_name_kvk_normal"}</v>
      </c>
      <c r="F244" s="148" t="str">
        <f>IFERROR(__xludf.DUMMYFUNCTION("""COMPUTED_VALUE"""),"{}")</f>
        <v>{}</v>
      </c>
      <c r="G244" s="148">
        <f>IFERROR(__xludf.DUMMYFUNCTION("""COMPUTED_VALUE"""),10.0)</f>
        <v>10</v>
      </c>
      <c r="H244" s="148">
        <f>IFERROR(__xludf.DUMMYFUNCTION("""COMPUTED_VALUE"""),10099.0)</f>
        <v>10099</v>
      </c>
      <c r="I244" s="148">
        <f>IFERROR(__xludf.DUMMYFUNCTION("""COMPUTED_VALUE"""),10099.0)</f>
        <v>10099</v>
      </c>
      <c r="J244" s="148">
        <f>IFERROR(__xludf.DUMMYFUNCTION("""COMPUTED_VALUE"""),0.0)</f>
        <v>0</v>
      </c>
      <c r="K244" s="148">
        <f>IFERROR(__xludf.DUMMYFUNCTION("""COMPUTED_VALUE"""),10.0)</f>
        <v>10</v>
      </c>
      <c r="L244" s="148">
        <f>IFERROR(__xludf.DUMMYFUNCTION("""COMPUTED_VALUE"""),99.0)</f>
        <v>99</v>
      </c>
      <c r="M244" s="148">
        <f>IFERROR(__xludf.DUMMYFUNCTION("""COMPUTED_VALUE"""),0.0)</f>
        <v>0</v>
      </c>
      <c r="N244" s="148" t="str">
        <f>IFERROR(__xludf.DUMMYFUNCTION("""COMPUTED_VALUE"""),"[]")</f>
        <v>[]</v>
      </c>
      <c r="O244" s="148" t="str">
        <f>IFERROR(__xludf.DUMMYFUNCTION("""COMPUTED_VALUE"""),"{}")</f>
        <v>{}</v>
      </c>
      <c r="P244" s="148">
        <f>IFERROR(__xludf.DUMMYFUNCTION("""COMPUTED_VALUE"""),0.0)</f>
        <v>0</v>
      </c>
      <c r="Q244" s="148" t="str">
        <f>IFERROR(__xludf.DUMMYFUNCTION("""COMPUTED_VALUE"""),"[]")</f>
        <v>[]</v>
      </c>
      <c r="R244" s="148" t="str">
        <f>IFERROR(__xludf.DUMMYFUNCTION("""COMPUTED_VALUE"""),"{}")</f>
        <v>{}</v>
      </c>
      <c r="S244" s="148">
        <f>IFERROR(__xludf.DUMMYFUNCTION("""COMPUTED_VALUE"""),0.0)</f>
        <v>0</v>
      </c>
      <c r="T244" s="148" t="str">
        <f>IFERROR(__xludf.DUMMYFUNCTION("""COMPUTED_VALUE"""),"[]")</f>
        <v>[]</v>
      </c>
      <c r="U244" s="148">
        <f>IFERROR(__xludf.DUMMYFUNCTION("""COMPUTED_VALUE"""),0.0)</f>
        <v>0</v>
      </c>
      <c r="V244" s="148" t="str">
        <f>IFERROR(__xludf.DUMMYFUNCTION("""COMPUTED_VALUE"""),"{}")</f>
        <v>{}</v>
      </c>
      <c r="W244" s="148" t="str">
        <f>IFERROR(__xludf.DUMMYFUNCTION("""COMPUTED_VALUE"""),"[]")</f>
        <v>[]</v>
      </c>
      <c r="X244" s="148" t="str">
        <f>IFERROR(__xludf.DUMMYFUNCTION("""COMPUTED_VALUE"""),"[{""typ"":""power"",""id"":12141002,""val"":4}]")</f>
        <v>[{"typ":"power","id":12141002,"val":4}]</v>
      </c>
      <c r="Y244" s="148" t="str">
        <f>IFERROR(__xludf.DUMMYFUNCTION("""COMPUTED_VALUE"""),"[{""typ"":""atk"",""val"":160},{""typ"":""def"",""val"":160},{""typ"":""hp"",""val"":160},{""typ"":""speed"",""val"":40},{""typ"":""load"",""val"":20},{""typ"":""backcoef"",""val"":0.5},{""typ"":""atkcoef"",""val"":1.0},{""typ"":""atkcd"",""val"":0}]")</f>
        <v>[{"typ":"atk","val":160},{"typ":"def","val":160},{"typ":"hp","val":160},{"typ":"speed","val":40},{"typ":"load","val":20},{"typ":"backcoef","val":0.5},{"typ":"atkcoef","val":1.0},{"typ":"atkcd","val":0}]</v>
      </c>
      <c r="Z244" s="148" t="str">
        <f>IFERROR(__xludf.DUMMYFUNCTION("""COMPUTED_VALUE"""),"[]")</f>
        <v>[]</v>
      </c>
    </row>
    <row r="245">
      <c r="A245" s="148">
        <f>IFERROR(__xludf.DUMMYFUNCTION("""COMPUTED_VALUE"""),1.1214209E7)</f>
        <v>11214209</v>
      </c>
      <c r="B245" s="148" t="str">
        <f>IFERROR(__xludf.DUMMYFUNCTION("""COMPUTED_VALUE"""),"雷达普通怪T4-kvk")</f>
        <v>雷达普通怪T4-kvk</v>
      </c>
      <c r="C245" s="148">
        <f>IFERROR(__xludf.DUMMYFUNCTION("""COMPUTED_VALUE"""),1.1221004E7)</f>
        <v>11221004</v>
      </c>
      <c r="D245" s="148">
        <f>IFERROR(__xludf.DUMMYFUNCTION("""COMPUTED_VALUE"""),1.5113964E7)</f>
        <v>15113964</v>
      </c>
      <c r="E245" s="148" t="str">
        <f>IFERROR(__xludf.DUMMYFUNCTION("""COMPUTED_VALUE"""),"{""typ"":""lc"",""txt"":""LC_SOLDIER_npc_name_kvk_normal""}")</f>
        <v>{"typ":"lc","txt":"LC_SOLDIER_npc_name_kvk_normal"}</v>
      </c>
      <c r="F245" s="148" t="str">
        <f>IFERROR(__xludf.DUMMYFUNCTION("""COMPUTED_VALUE"""),"{}")</f>
        <v>{}</v>
      </c>
      <c r="G245" s="148">
        <f>IFERROR(__xludf.DUMMYFUNCTION("""COMPUTED_VALUE"""),10.0)</f>
        <v>10</v>
      </c>
      <c r="H245" s="148">
        <f>IFERROR(__xludf.DUMMYFUNCTION("""COMPUTED_VALUE"""),10099.0)</f>
        <v>10099</v>
      </c>
      <c r="I245" s="148">
        <f>IFERROR(__xludf.DUMMYFUNCTION("""COMPUTED_VALUE"""),10099.0)</f>
        <v>10099</v>
      </c>
      <c r="J245" s="148">
        <f>IFERROR(__xludf.DUMMYFUNCTION("""COMPUTED_VALUE"""),0.0)</f>
        <v>0</v>
      </c>
      <c r="K245" s="148">
        <f>IFERROR(__xludf.DUMMYFUNCTION("""COMPUTED_VALUE"""),10.0)</f>
        <v>10</v>
      </c>
      <c r="L245" s="148">
        <f>IFERROR(__xludf.DUMMYFUNCTION("""COMPUTED_VALUE"""),99.0)</f>
        <v>99</v>
      </c>
      <c r="M245" s="148">
        <f>IFERROR(__xludf.DUMMYFUNCTION("""COMPUTED_VALUE"""),0.0)</f>
        <v>0</v>
      </c>
      <c r="N245" s="148" t="str">
        <f>IFERROR(__xludf.DUMMYFUNCTION("""COMPUTED_VALUE"""),"[]")</f>
        <v>[]</v>
      </c>
      <c r="O245" s="148" t="str">
        <f>IFERROR(__xludf.DUMMYFUNCTION("""COMPUTED_VALUE"""),"{}")</f>
        <v>{}</v>
      </c>
      <c r="P245" s="148">
        <f>IFERROR(__xludf.DUMMYFUNCTION("""COMPUTED_VALUE"""),0.0)</f>
        <v>0</v>
      </c>
      <c r="Q245" s="148" t="str">
        <f>IFERROR(__xludf.DUMMYFUNCTION("""COMPUTED_VALUE"""),"[]")</f>
        <v>[]</v>
      </c>
      <c r="R245" s="148" t="str">
        <f>IFERROR(__xludf.DUMMYFUNCTION("""COMPUTED_VALUE"""),"{}")</f>
        <v>{}</v>
      </c>
      <c r="S245" s="148">
        <f>IFERROR(__xludf.DUMMYFUNCTION("""COMPUTED_VALUE"""),0.0)</f>
        <v>0</v>
      </c>
      <c r="T245" s="148" t="str">
        <f>IFERROR(__xludf.DUMMYFUNCTION("""COMPUTED_VALUE"""),"[]")</f>
        <v>[]</v>
      </c>
      <c r="U245" s="148">
        <f>IFERROR(__xludf.DUMMYFUNCTION("""COMPUTED_VALUE"""),0.0)</f>
        <v>0</v>
      </c>
      <c r="V245" s="148" t="str">
        <f>IFERROR(__xludf.DUMMYFUNCTION("""COMPUTED_VALUE"""),"{}")</f>
        <v>{}</v>
      </c>
      <c r="W245" s="148" t="str">
        <f>IFERROR(__xludf.DUMMYFUNCTION("""COMPUTED_VALUE"""),"[]")</f>
        <v>[]</v>
      </c>
      <c r="X245" s="148" t="str">
        <f>IFERROR(__xludf.DUMMYFUNCTION("""COMPUTED_VALUE"""),"[{""typ"":""power"",""id"":12141002,""val"":6}]")</f>
        <v>[{"typ":"power","id":12141002,"val":6}]</v>
      </c>
      <c r="Y245" s="148" t="str">
        <f>IFERROR(__xludf.DUMMYFUNCTION("""COMPUTED_VALUE"""),"[{""typ"":""atk"",""val"":200},{""typ"":""def"",""val"":190},{""typ"":""hp"",""val"":180},{""typ"":""speed"",""val"":40},{""typ"":""load"",""val"":20},{""typ"":""backcoef"",""val"":0.5},{""typ"":""atkcoef"",""val"":1.0},{""typ"":""atkcd"",""val"":0}]")</f>
        <v>[{"typ":"atk","val":200},{"typ":"def","val":190},{"typ":"hp","val":180},{"typ":"speed","val":40},{"typ":"load","val":20},{"typ":"backcoef","val":0.5},{"typ":"atkcoef","val":1.0},{"typ":"atkcd","val":0}]</v>
      </c>
      <c r="Z245" s="148" t="str">
        <f>IFERROR(__xludf.DUMMYFUNCTION("""COMPUTED_VALUE"""),"[]")</f>
        <v>[]</v>
      </c>
    </row>
    <row r="246">
      <c r="A246" s="148">
        <f>IFERROR(__xludf.DUMMYFUNCTION("""COMPUTED_VALUE"""),1.121421E7)</f>
        <v>11214210</v>
      </c>
      <c r="B246" s="148" t="str">
        <f>IFERROR(__xludf.DUMMYFUNCTION("""COMPUTED_VALUE"""),"雷达普通怪T5-kvk")</f>
        <v>雷达普通怪T5-kvk</v>
      </c>
      <c r="C246" s="148">
        <f>IFERROR(__xludf.DUMMYFUNCTION("""COMPUTED_VALUE"""),1.1221004E7)</f>
        <v>11221004</v>
      </c>
      <c r="D246" s="148">
        <f>IFERROR(__xludf.DUMMYFUNCTION("""COMPUTED_VALUE"""),1.5113964E7)</f>
        <v>15113964</v>
      </c>
      <c r="E246" s="148" t="str">
        <f>IFERROR(__xludf.DUMMYFUNCTION("""COMPUTED_VALUE"""),"{""typ"":""lc"",""txt"":""LC_SOLDIER_npc_name_kvk_normal""}")</f>
        <v>{"typ":"lc","txt":"LC_SOLDIER_npc_name_kvk_normal"}</v>
      </c>
      <c r="F246" s="148" t="str">
        <f>IFERROR(__xludf.DUMMYFUNCTION("""COMPUTED_VALUE"""),"{}")</f>
        <v>{}</v>
      </c>
      <c r="G246" s="148">
        <f>IFERROR(__xludf.DUMMYFUNCTION("""COMPUTED_VALUE"""),10.0)</f>
        <v>10</v>
      </c>
      <c r="H246" s="148">
        <f>IFERROR(__xludf.DUMMYFUNCTION("""COMPUTED_VALUE"""),10099.0)</f>
        <v>10099</v>
      </c>
      <c r="I246" s="148">
        <f>IFERROR(__xludf.DUMMYFUNCTION("""COMPUTED_VALUE"""),10099.0)</f>
        <v>10099</v>
      </c>
      <c r="J246" s="148">
        <f>IFERROR(__xludf.DUMMYFUNCTION("""COMPUTED_VALUE"""),0.0)</f>
        <v>0</v>
      </c>
      <c r="K246" s="148">
        <f>IFERROR(__xludf.DUMMYFUNCTION("""COMPUTED_VALUE"""),10.0)</f>
        <v>10</v>
      </c>
      <c r="L246" s="148">
        <f>IFERROR(__xludf.DUMMYFUNCTION("""COMPUTED_VALUE"""),99.0)</f>
        <v>99</v>
      </c>
      <c r="M246" s="148">
        <f>IFERROR(__xludf.DUMMYFUNCTION("""COMPUTED_VALUE"""),0.0)</f>
        <v>0</v>
      </c>
      <c r="N246" s="148" t="str">
        <f>IFERROR(__xludf.DUMMYFUNCTION("""COMPUTED_VALUE"""),"[]")</f>
        <v>[]</v>
      </c>
      <c r="O246" s="148" t="str">
        <f>IFERROR(__xludf.DUMMYFUNCTION("""COMPUTED_VALUE"""),"{}")</f>
        <v>{}</v>
      </c>
      <c r="P246" s="148">
        <f>IFERROR(__xludf.DUMMYFUNCTION("""COMPUTED_VALUE"""),0.0)</f>
        <v>0</v>
      </c>
      <c r="Q246" s="148" t="str">
        <f>IFERROR(__xludf.DUMMYFUNCTION("""COMPUTED_VALUE"""),"[]")</f>
        <v>[]</v>
      </c>
      <c r="R246" s="148" t="str">
        <f>IFERROR(__xludf.DUMMYFUNCTION("""COMPUTED_VALUE"""),"{}")</f>
        <v>{}</v>
      </c>
      <c r="S246" s="148">
        <f>IFERROR(__xludf.DUMMYFUNCTION("""COMPUTED_VALUE"""),0.0)</f>
        <v>0</v>
      </c>
      <c r="T246" s="148" t="str">
        <f>IFERROR(__xludf.DUMMYFUNCTION("""COMPUTED_VALUE"""),"[]")</f>
        <v>[]</v>
      </c>
      <c r="U246" s="148">
        <f>IFERROR(__xludf.DUMMYFUNCTION("""COMPUTED_VALUE"""),0.0)</f>
        <v>0</v>
      </c>
      <c r="V246" s="148" t="str">
        <f>IFERROR(__xludf.DUMMYFUNCTION("""COMPUTED_VALUE"""),"{}")</f>
        <v>{}</v>
      </c>
      <c r="W246" s="148" t="str">
        <f>IFERROR(__xludf.DUMMYFUNCTION("""COMPUTED_VALUE"""),"[]")</f>
        <v>[]</v>
      </c>
      <c r="X246" s="148" t="str">
        <f>IFERROR(__xludf.DUMMYFUNCTION("""COMPUTED_VALUE"""),"[{""typ"":""power"",""id"":12141002,""val"":10}]")</f>
        <v>[{"typ":"power","id":12141002,"val":10}]</v>
      </c>
      <c r="Y246" s="148" t="str">
        <f>IFERROR(__xludf.DUMMYFUNCTION("""COMPUTED_VALUE"""),"[{""typ"":""atk"",""val"":230},{""typ"":""def"",""val"":210},{""typ"":""hp"",""val"":210},{""typ"":""speed"",""val"":40},{""typ"":""load"",""val"":20},{""typ"":""backcoef"",""val"":0.5},{""typ"":""atkcoef"",""val"":1.0},{""typ"":""atkcd"",""val"":0}]")</f>
        <v>[{"typ":"atk","val":230},{"typ":"def","val":210},{"typ":"hp","val":210},{"typ":"speed","val":40},{"typ":"load","val":20},{"typ":"backcoef","val":0.5},{"typ":"atkcoef","val":1.0},{"typ":"atkcd","val":0}]</v>
      </c>
      <c r="Z246" s="148" t="str">
        <f>IFERROR(__xludf.DUMMYFUNCTION("""COMPUTED_VALUE"""),"[]")</f>
        <v>[]</v>
      </c>
    </row>
    <row r="247">
      <c r="A247" s="148">
        <f>IFERROR(__xludf.DUMMYFUNCTION("""COMPUTED_VALUE"""),1.1214211E7)</f>
        <v>11214211</v>
      </c>
      <c r="B247" s="148" t="str">
        <f>IFERROR(__xludf.DUMMYFUNCTION("""COMPUTED_VALUE"""),"雷达普通怪T1-kvk2")</f>
        <v>雷达普通怪T1-kvk2</v>
      </c>
      <c r="C247" s="148">
        <f>IFERROR(__xludf.DUMMYFUNCTION("""COMPUTED_VALUE"""),1.1221004E7)</f>
        <v>11221004</v>
      </c>
      <c r="D247" s="148">
        <f>IFERROR(__xludf.DUMMYFUNCTION("""COMPUTED_VALUE"""),1.5114815E7)</f>
        <v>15114815</v>
      </c>
      <c r="E247" s="148" t="str">
        <f>IFERROR(__xludf.DUMMYFUNCTION("""COMPUTED_VALUE"""),"{""typ"":""lc"",""txt"":""LC_SOLDIER_npc_name_kvk_normal""}")</f>
        <v>{"typ":"lc","txt":"LC_SOLDIER_npc_name_kvk_normal"}</v>
      </c>
      <c r="F247" s="148" t="str">
        <f>IFERROR(__xludf.DUMMYFUNCTION("""COMPUTED_VALUE"""),"{}")</f>
        <v>{}</v>
      </c>
      <c r="G247" s="148">
        <f>IFERROR(__xludf.DUMMYFUNCTION("""COMPUTED_VALUE"""),10.0)</f>
        <v>10</v>
      </c>
      <c r="H247" s="148">
        <f>IFERROR(__xludf.DUMMYFUNCTION("""COMPUTED_VALUE"""),10099.0)</f>
        <v>10099</v>
      </c>
      <c r="I247" s="148">
        <f>IFERROR(__xludf.DUMMYFUNCTION("""COMPUTED_VALUE"""),10099.0)</f>
        <v>10099</v>
      </c>
      <c r="J247" s="148">
        <f>IFERROR(__xludf.DUMMYFUNCTION("""COMPUTED_VALUE"""),0.0)</f>
        <v>0</v>
      </c>
      <c r="K247" s="148">
        <f>IFERROR(__xludf.DUMMYFUNCTION("""COMPUTED_VALUE"""),10.0)</f>
        <v>10</v>
      </c>
      <c r="L247" s="148">
        <f>IFERROR(__xludf.DUMMYFUNCTION("""COMPUTED_VALUE"""),99.0)</f>
        <v>99</v>
      </c>
      <c r="M247" s="148">
        <f>IFERROR(__xludf.DUMMYFUNCTION("""COMPUTED_VALUE"""),0.0)</f>
        <v>0</v>
      </c>
      <c r="N247" s="148" t="str">
        <f>IFERROR(__xludf.DUMMYFUNCTION("""COMPUTED_VALUE"""),"[]")</f>
        <v>[]</v>
      </c>
      <c r="O247" s="148" t="str">
        <f>IFERROR(__xludf.DUMMYFUNCTION("""COMPUTED_VALUE"""),"{}")</f>
        <v>{}</v>
      </c>
      <c r="P247" s="148">
        <f>IFERROR(__xludf.DUMMYFUNCTION("""COMPUTED_VALUE"""),0.0)</f>
        <v>0</v>
      </c>
      <c r="Q247" s="148" t="str">
        <f>IFERROR(__xludf.DUMMYFUNCTION("""COMPUTED_VALUE"""),"[]")</f>
        <v>[]</v>
      </c>
      <c r="R247" s="148" t="str">
        <f>IFERROR(__xludf.DUMMYFUNCTION("""COMPUTED_VALUE"""),"{}")</f>
        <v>{}</v>
      </c>
      <c r="S247" s="148">
        <f>IFERROR(__xludf.DUMMYFUNCTION("""COMPUTED_VALUE"""),0.0)</f>
        <v>0</v>
      </c>
      <c r="T247" s="148" t="str">
        <f>IFERROR(__xludf.DUMMYFUNCTION("""COMPUTED_VALUE"""),"[]")</f>
        <v>[]</v>
      </c>
      <c r="U247" s="148">
        <f>IFERROR(__xludf.DUMMYFUNCTION("""COMPUTED_VALUE"""),0.0)</f>
        <v>0</v>
      </c>
      <c r="V247" s="148" t="str">
        <f>IFERROR(__xludf.DUMMYFUNCTION("""COMPUTED_VALUE"""),"{}")</f>
        <v>{}</v>
      </c>
      <c r="W247" s="148" t="str">
        <f>IFERROR(__xludf.DUMMYFUNCTION("""COMPUTED_VALUE"""),"[]")</f>
        <v>[]</v>
      </c>
      <c r="X247" s="148" t="str">
        <f>IFERROR(__xludf.DUMMYFUNCTION("""COMPUTED_VALUE"""),"[{""typ"":""power"",""id"":12141002,""val"":1}]")</f>
        <v>[{"typ":"power","id":12141002,"val":1}]</v>
      </c>
      <c r="Y247" s="148" t="str">
        <f>IFERROR(__xludf.DUMMYFUNCTION("""COMPUTED_VALUE"""),"[{""typ"":""atk"",""val"":60},{""typ"":""def"",""val"":125},{""typ"":""hp"",""val"":120},{""typ"":""speed"",""val"":40},{""typ"":""load"",""val"":20},{""typ"":""backcoef"",""val"":0.5},{""typ"":""atkcoef"",""val"":1.0},{""typ"":""atkcd"",""val"":0}]")</f>
        <v>[{"typ":"atk","val":60},{"typ":"def","val":125},{"typ":"hp","val":120},{"typ":"speed","val":40},{"typ":"load","val":20},{"typ":"backcoef","val":0.5},{"typ":"atkcoef","val":1.0},{"typ":"atkcd","val":0}]</v>
      </c>
      <c r="Z247" s="148" t="str">
        <f>IFERROR(__xludf.DUMMYFUNCTION("""COMPUTED_VALUE"""),"[]")</f>
        <v>[]</v>
      </c>
    </row>
    <row r="248">
      <c r="A248" s="148">
        <f>IFERROR(__xludf.DUMMYFUNCTION("""COMPUTED_VALUE"""),1.1214212E7)</f>
        <v>11214212</v>
      </c>
      <c r="B248" s="148" t="str">
        <f>IFERROR(__xludf.DUMMYFUNCTION("""COMPUTED_VALUE"""),"雷达普通怪T2-kvk2")</f>
        <v>雷达普通怪T2-kvk2</v>
      </c>
      <c r="C248" s="148">
        <f>IFERROR(__xludf.DUMMYFUNCTION("""COMPUTED_VALUE"""),1.1221004E7)</f>
        <v>11221004</v>
      </c>
      <c r="D248" s="148">
        <f>IFERROR(__xludf.DUMMYFUNCTION("""COMPUTED_VALUE"""),1.5114815E7)</f>
        <v>15114815</v>
      </c>
      <c r="E248" s="148" t="str">
        <f>IFERROR(__xludf.DUMMYFUNCTION("""COMPUTED_VALUE"""),"{""typ"":""lc"",""txt"":""LC_SOLDIER_npc_name_kvk_normal""}")</f>
        <v>{"typ":"lc","txt":"LC_SOLDIER_npc_name_kvk_normal"}</v>
      </c>
      <c r="F248" s="148" t="str">
        <f>IFERROR(__xludf.DUMMYFUNCTION("""COMPUTED_VALUE"""),"{}")</f>
        <v>{}</v>
      </c>
      <c r="G248" s="148">
        <f>IFERROR(__xludf.DUMMYFUNCTION("""COMPUTED_VALUE"""),10.0)</f>
        <v>10</v>
      </c>
      <c r="H248" s="148">
        <f>IFERROR(__xludf.DUMMYFUNCTION("""COMPUTED_VALUE"""),10099.0)</f>
        <v>10099</v>
      </c>
      <c r="I248" s="148">
        <f>IFERROR(__xludf.DUMMYFUNCTION("""COMPUTED_VALUE"""),10099.0)</f>
        <v>10099</v>
      </c>
      <c r="J248" s="148">
        <f>IFERROR(__xludf.DUMMYFUNCTION("""COMPUTED_VALUE"""),0.0)</f>
        <v>0</v>
      </c>
      <c r="K248" s="148">
        <f>IFERROR(__xludf.DUMMYFUNCTION("""COMPUTED_VALUE"""),10.0)</f>
        <v>10</v>
      </c>
      <c r="L248" s="148">
        <f>IFERROR(__xludf.DUMMYFUNCTION("""COMPUTED_VALUE"""),99.0)</f>
        <v>99</v>
      </c>
      <c r="M248" s="148">
        <f>IFERROR(__xludf.DUMMYFUNCTION("""COMPUTED_VALUE"""),0.0)</f>
        <v>0</v>
      </c>
      <c r="N248" s="148" t="str">
        <f>IFERROR(__xludf.DUMMYFUNCTION("""COMPUTED_VALUE"""),"[]")</f>
        <v>[]</v>
      </c>
      <c r="O248" s="148" t="str">
        <f>IFERROR(__xludf.DUMMYFUNCTION("""COMPUTED_VALUE"""),"{}")</f>
        <v>{}</v>
      </c>
      <c r="P248" s="148">
        <f>IFERROR(__xludf.DUMMYFUNCTION("""COMPUTED_VALUE"""),0.0)</f>
        <v>0</v>
      </c>
      <c r="Q248" s="148" t="str">
        <f>IFERROR(__xludf.DUMMYFUNCTION("""COMPUTED_VALUE"""),"[]")</f>
        <v>[]</v>
      </c>
      <c r="R248" s="148" t="str">
        <f>IFERROR(__xludf.DUMMYFUNCTION("""COMPUTED_VALUE"""),"{}")</f>
        <v>{}</v>
      </c>
      <c r="S248" s="148">
        <f>IFERROR(__xludf.DUMMYFUNCTION("""COMPUTED_VALUE"""),0.0)</f>
        <v>0</v>
      </c>
      <c r="T248" s="148" t="str">
        <f>IFERROR(__xludf.DUMMYFUNCTION("""COMPUTED_VALUE"""),"[]")</f>
        <v>[]</v>
      </c>
      <c r="U248" s="148">
        <f>IFERROR(__xludf.DUMMYFUNCTION("""COMPUTED_VALUE"""),0.0)</f>
        <v>0</v>
      </c>
      <c r="V248" s="148" t="str">
        <f>IFERROR(__xludf.DUMMYFUNCTION("""COMPUTED_VALUE"""),"{}")</f>
        <v>{}</v>
      </c>
      <c r="W248" s="148" t="str">
        <f>IFERROR(__xludf.DUMMYFUNCTION("""COMPUTED_VALUE"""),"[]")</f>
        <v>[]</v>
      </c>
      <c r="X248" s="148" t="str">
        <f>IFERROR(__xludf.DUMMYFUNCTION("""COMPUTED_VALUE"""),"[{""typ"":""power"",""id"":12141002,""val"":2}]")</f>
        <v>[{"typ":"power","id":12141002,"val":2}]</v>
      </c>
      <c r="Y248" s="148" t="str">
        <f>IFERROR(__xludf.DUMMYFUNCTION("""COMPUTED_VALUE"""),"[{""typ"":""atk"",""val"":120},{""typ"":""def"",""val"":130},{""typ"":""hp"",""val"":130},{""typ"":""speed"",""val"":40},{""typ"":""load"",""val"":20},{""typ"":""backcoef"",""val"":0.5},{""typ"":""atkcoef"",""val"":1.0},{""typ"":""atkcd"",""val"":0}]")</f>
        <v>[{"typ":"atk","val":120},{"typ":"def","val":130},{"typ":"hp","val":130},{"typ":"speed","val":40},{"typ":"load","val":20},{"typ":"backcoef","val":0.5},{"typ":"atkcoef","val":1.0},{"typ":"atkcd","val":0}]</v>
      </c>
      <c r="Z248" s="148" t="str">
        <f>IFERROR(__xludf.DUMMYFUNCTION("""COMPUTED_VALUE"""),"[]")</f>
        <v>[]</v>
      </c>
    </row>
    <row r="249">
      <c r="A249" s="148">
        <f>IFERROR(__xludf.DUMMYFUNCTION("""COMPUTED_VALUE"""),1.1214213E7)</f>
        <v>11214213</v>
      </c>
      <c r="B249" s="148" t="str">
        <f>IFERROR(__xludf.DUMMYFUNCTION("""COMPUTED_VALUE"""),"雷达普通怪T3-kvk2")</f>
        <v>雷达普通怪T3-kvk2</v>
      </c>
      <c r="C249" s="148">
        <f>IFERROR(__xludf.DUMMYFUNCTION("""COMPUTED_VALUE"""),1.1221004E7)</f>
        <v>11221004</v>
      </c>
      <c r="D249" s="148">
        <f>IFERROR(__xludf.DUMMYFUNCTION("""COMPUTED_VALUE"""),1.5114815E7)</f>
        <v>15114815</v>
      </c>
      <c r="E249" s="148" t="str">
        <f>IFERROR(__xludf.DUMMYFUNCTION("""COMPUTED_VALUE"""),"{""typ"":""lc"",""txt"":""LC_SOLDIER_npc_name_kvk_normal""}")</f>
        <v>{"typ":"lc","txt":"LC_SOLDIER_npc_name_kvk_normal"}</v>
      </c>
      <c r="F249" s="148" t="str">
        <f>IFERROR(__xludf.DUMMYFUNCTION("""COMPUTED_VALUE"""),"{}")</f>
        <v>{}</v>
      </c>
      <c r="G249" s="148">
        <f>IFERROR(__xludf.DUMMYFUNCTION("""COMPUTED_VALUE"""),10.0)</f>
        <v>10</v>
      </c>
      <c r="H249" s="148">
        <f>IFERROR(__xludf.DUMMYFUNCTION("""COMPUTED_VALUE"""),10099.0)</f>
        <v>10099</v>
      </c>
      <c r="I249" s="148">
        <f>IFERROR(__xludf.DUMMYFUNCTION("""COMPUTED_VALUE"""),10099.0)</f>
        <v>10099</v>
      </c>
      <c r="J249" s="148">
        <f>IFERROR(__xludf.DUMMYFUNCTION("""COMPUTED_VALUE"""),0.0)</f>
        <v>0</v>
      </c>
      <c r="K249" s="148">
        <f>IFERROR(__xludf.DUMMYFUNCTION("""COMPUTED_VALUE"""),10.0)</f>
        <v>10</v>
      </c>
      <c r="L249" s="148">
        <f>IFERROR(__xludf.DUMMYFUNCTION("""COMPUTED_VALUE"""),99.0)</f>
        <v>99</v>
      </c>
      <c r="M249" s="148">
        <f>IFERROR(__xludf.DUMMYFUNCTION("""COMPUTED_VALUE"""),0.0)</f>
        <v>0</v>
      </c>
      <c r="N249" s="148" t="str">
        <f>IFERROR(__xludf.DUMMYFUNCTION("""COMPUTED_VALUE"""),"[]")</f>
        <v>[]</v>
      </c>
      <c r="O249" s="148" t="str">
        <f>IFERROR(__xludf.DUMMYFUNCTION("""COMPUTED_VALUE"""),"{}")</f>
        <v>{}</v>
      </c>
      <c r="P249" s="148">
        <f>IFERROR(__xludf.DUMMYFUNCTION("""COMPUTED_VALUE"""),0.0)</f>
        <v>0</v>
      </c>
      <c r="Q249" s="148" t="str">
        <f>IFERROR(__xludf.DUMMYFUNCTION("""COMPUTED_VALUE"""),"[]")</f>
        <v>[]</v>
      </c>
      <c r="R249" s="148" t="str">
        <f>IFERROR(__xludf.DUMMYFUNCTION("""COMPUTED_VALUE"""),"{}")</f>
        <v>{}</v>
      </c>
      <c r="S249" s="148">
        <f>IFERROR(__xludf.DUMMYFUNCTION("""COMPUTED_VALUE"""),0.0)</f>
        <v>0</v>
      </c>
      <c r="T249" s="148" t="str">
        <f>IFERROR(__xludf.DUMMYFUNCTION("""COMPUTED_VALUE"""),"[]")</f>
        <v>[]</v>
      </c>
      <c r="U249" s="148">
        <f>IFERROR(__xludf.DUMMYFUNCTION("""COMPUTED_VALUE"""),0.0)</f>
        <v>0</v>
      </c>
      <c r="V249" s="148" t="str">
        <f>IFERROR(__xludf.DUMMYFUNCTION("""COMPUTED_VALUE"""),"{}")</f>
        <v>{}</v>
      </c>
      <c r="W249" s="148" t="str">
        <f>IFERROR(__xludf.DUMMYFUNCTION("""COMPUTED_VALUE"""),"[]")</f>
        <v>[]</v>
      </c>
      <c r="X249" s="148" t="str">
        <f>IFERROR(__xludf.DUMMYFUNCTION("""COMPUTED_VALUE"""),"[{""typ"":""power"",""id"":12141002,""val"":4}]")</f>
        <v>[{"typ":"power","id":12141002,"val":4}]</v>
      </c>
      <c r="Y249" s="148" t="str">
        <f>IFERROR(__xludf.DUMMYFUNCTION("""COMPUTED_VALUE"""),"[{""typ"":""atk"",""val"":160},{""typ"":""def"",""val"":160},{""typ"":""hp"",""val"":160},{""typ"":""speed"",""val"":40},{""typ"":""load"",""val"":20},{""typ"":""backcoef"",""val"":0.5},{""typ"":""atkcoef"",""val"":1.0},{""typ"":""atkcd"",""val"":0}]")</f>
        <v>[{"typ":"atk","val":160},{"typ":"def","val":160},{"typ":"hp","val":160},{"typ":"speed","val":40},{"typ":"load","val":20},{"typ":"backcoef","val":0.5},{"typ":"atkcoef","val":1.0},{"typ":"atkcd","val":0}]</v>
      </c>
      <c r="Z249" s="148" t="str">
        <f>IFERROR(__xludf.DUMMYFUNCTION("""COMPUTED_VALUE"""),"[]")</f>
        <v>[]</v>
      </c>
    </row>
    <row r="250">
      <c r="A250" s="148">
        <f>IFERROR(__xludf.DUMMYFUNCTION("""COMPUTED_VALUE"""),1.1214214E7)</f>
        <v>11214214</v>
      </c>
      <c r="B250" s="148" t="str">
        <f>IFERROR(__xludf.DUMMYFUNCTION("""COMPUTED_VALUE"""),"雷达普通怪T4-kvk2")</f>
        <v>雷达普通怪T4-kvk2</v>
      </c>
      <c r="C250" s="148">
        <f>IFERROR(__xludf.DUMMYFUNCTION("""COMPUTED_VALUE"""),1.1221004E7)</f>
        <v>11221004</v>
      </c>
      <c r="D250" s="148">
        <f>IFERROR(__xludf.DUMMYFUNCTION("""COMPUTED_VALUE"""),1.5114815E7)</f>
        <v>15114815</v>
      </c>
      <c r="E250" s="148" t="str">
        <f>IFERROR(__xludf.DUMMYFUNCTION("""COMPUTED_VALUE"""),"{""typ"":""lc"",""txt"":""LC_SOLDIER_npc_name_kvk_normal""}")</f>
        <v>{"typ":"lc","txt":"LC_SOLDIER_npc_name_kvk_normal"}</v>
      </c>
      <c r="F250" s="148" t="str">
        <f>IFERROR(__xludf.DUMMYFUNCTION("""COMPUTED_VALUE"""),"{}")</f>
        <v>{}</v>
      </c>
      <c r="G250" s="148">
        <f>IFERROR(__xludf.DUMMYFUNCTION("""COMPUTED_VALUE"""),10.0)</f>
        <v>10</v>
      </c>
      <c r="H250" s="148">
        <f>IFERROR(__xludf.DUMMYFUNCTION("""COMPUTED_VALUE"""),10099.0)</f>
        <v>10099</v>
      </c>
      <c r="I250" s="148">
        <f>IFERROR(__xludf.DUMMYFUNCTION("""COMPUTED_VALUE"""),10099.0)</f>
        <v>10099</v>
      </c>
      <c r="J250" s="148">
        <f>IFERROR(__xludf.DUMMYFUNCTION("""COMPUTED_VALUE"""),0.0)</f>
        <v>0</v>
      </c>
      <c r="K250" s="148">
        <f>IFERROR(__xludf.DUMMYFUNCTION("""COMPUTED_VALUE"""),10.0)</f>
        <v>10</v>
      </c>
      <c r="L250" s="148">
        <f>IFERROR(__xludf.DUMMYFUNCTION("""COMPUTED_VALUE"""),99.0)</f>
        <v>99</v>
      </c>
      <c r="M250" s="148">
        <f>IFERROR(__xludf.DUMMYFUNCTION("""COMPUTED_VALUE"""),0.0)</f>
        <v>0</v>
      </c>
      <c r="N250" s="148" t="str">
        <f>IFERROR(__xludf.DUMMYFUNCTION("""COMPUTED_VALUE"""),"[]")</f>
        <v>[]</v>
      </c>
      <c r="O250" s="148" t="str">
        <f>IFERROR(__xludf.DUMMYFUNCTION("""COMPUTED_VALUE"""),"{}")</f>
        <v>{}</v>
      </c>
      <c r="P250" s="148">
        <f>IFERROR(__xludf.DUMMYFUNCTION("""COMPUTED_VALUE"""),0.0)</f>
        <v>0</v>
      </c>
      <c r="Q250" s="148" t="str">
        <f>IFERROR(__xludf.DUMMYFUNCTION("""COMPUTED_VALUE"""),"[]")</f>
        <v>[]</v>
      </c>
      <c r="R250" s="148" t="str">
        <f>IFERROR(__xludf.DUMMYFUNCTION("""COMPUTED_VALUE"""),"{}")</f>
        <v>{}</v>
      </c>
      <c r="S250" s="148">
        <f>IFERROR(__xludf.DUMMYFUNCTION("""COMPUTED_VALUE"""),0.0)</f>
        <v>0</v>
      </c>
      <c r="T250" s="148" t="str">
        <f>IFERROR(__xludf.DUMMYFUNCTION("""COMPUTED_VALUE"""),"[]")</f>
        <v>[]</v>
      </c>
      <c r="U250" s="148">
        <f>IFERROR(__xludf.DUMMYFUNCTION("""COMPUTED_VALUE"""),0.0)</f>
        <v>0</v>
      </c>
      <c r="V250" s="148" t="str">
        <f>IFERROR(__xludf.DUMMYFUNCTION("""COMPUTED_VALUE"""),"{}")</f>
        <v>{}</v>
      </c>
      <c r="W250" s="148" t="str">
        <f>IFERROR(__xludf.DUMMYFUNCTION("""COMPUTED_VALUE"""),"[]")</f>
        <v>[]</v>
      </c>
      <c r="X250" s="148" t="str">
        <f>IFERROR(__xludf.DUMMYFUNCTION("""COMPUTED_VALUE"""),"[{""typ"":""power"",""id"":12141002,""val"":6}]")</f>
        <v>[{"typ":"power","id":12141002,"val":6}]</v>
      </c>
      <c r="Y250" s="148" t="str">
        <f>IFERROR(__xludf.DUMMYFUNCTION("""COMPUTED_VALUE"""),"[{""typ"":""atk"",""val"":200},{""typ"":""def"",""val"":190},{""typ"":""hp"",""val"":180},{""typ"":""speed"",""val"":40},{""typ"":""load"",""val"":20},{""typ"":""backcoef"",""val"":0.5},{""typ"":""atkcoef"",""val"":1.0},{""typ"":""atkcd"",""val"":0}]")</f>
        <v>[{"typ":"atk","val":200},{"typ":"def","val":190},{"typ":"hp","val":180},{"typ":"speed","val":40},{"typ":"load","val":20},{"typ":"backcoef","val":0.5},{"typ":"atkcoef","val":1.0},{"typ":"atkcd","val":0}]</v>
      </c>
      <c r="Z250" s="148" t="str">
        <f>IFERROR(__xludf.DUMMYFUNCTION("""COMPUTED_VALUE"""),"[]")</f>
        <v>[]</v>
      </c>
    </row>
    <row r="251">
      <c r="A251" s="148">
        <f>IFERROR(__xludf.DUMMYFUNCTION("""COMPUTED_VALUE"""),1.1214215E7)</f>
        <v>11214215</v>
      </c>
      <c r="B251" s="148" t="str">
        <f>IFERROR(__xludf.DUMMYFUNCTION("""COMPUTED_VALUE"""),"雷达普通怪T5-kvk2")</f>
        <v>雷达普通怪T5-kvk2</v>
      </c>
      <c r="C251" s="148">
        <f>IFERROR(__xludf.DUMMYFUNCTION("""COMPUTED_VALUE"""),1.1221004E7)</f>
        <v>11221004</v>
      </c>
      <c r="D251" s="148">
        <f>IFERROR(__xludf.DUMMYFUNCTION("""COMPUTED_VALUE"""),1.5114815E7)</f>
        <v>15114815</v>
      </c>
      <c r="E251" s="148" t="str">
        <f>IFERROR(__xludf.DUMMYFUNCTION("""COMPUTED_VALUE"""),"{""typ"":""lc"",""txt"":""LC_SOLDIER_npc_name_kvk_normal""}")</f>
        <v>{"typ":"lc","txt":"LC_SOLDIER_npc_name_kvk_normal"}</v>
      </c>
      <c r="F251" s="148" t="str">
        <f>IFERROR(__xludf.DUMMYFUNCTION("""COMPUTED_VALUE"""),"{}")</f>
        <v>{}</v>
      </c>
      <c r="G251" s="148">
        <f>IFERROR(__xludf.DUMMYFUNCTION("""COMPUTED_VALUE"""),10.0)</f>
        <v>10</v>
      </c>
      <c r="H251" s="148">
        <f>IFERROR(__xludf.DUMMYFUNCTION("""COMPUTED_VALUE"""),10099.0)</f>
        <v>10099</v>
      </c>
      <c r="I251" s="148">
        <f>IFERROR(__xludf.DUMMYFUNCTION("""COMPUTED_VALUE"""),10099.0)</f>
        <v>10099</v>
      </c>
      <c r="J251" s="148">
        <f>IFERROR(__xludf.DUMMYFUNCTION("""COMPUTED_VALUE"""),0.0)</f>
        <v>0</v>
      </c>
      <c r="K251" s="148">
        <f>IFERROR(__xludf.DUMMYFUNCTION("""COMPUTED_VALUE"""),10.0)</f>
        <v>10</v>
      </c>
      <c r="L251" s="148">
        <f>IFERROR(__xludf.DUMMYFUNCTION("""COMPUTED_VALUE"""),99.0)</f>
        <v>99</v>
      </c>
      <c r="M251" s="148">
        <f>IFERROR(__xludf.DUMMYFUNCTION("""COMPUTED_VALUE"""),0.0)</f>
        <v>0</v>
      </c>
      <c r="N251" s="148" t="str">
        <f>IFERROR(__xludf.DUMMYFUNCTION("""COMPUTED_VALUE"""),"[]")</f>
        <v>[]</v>
      </c>
      <c r="O251" s="148" t="str">
        <f>IFERROR(__xludf.DUMMYFUNCTION("""COMPUTED_VALUE"""),"{}")</f>
        <v>{}</v>
      </c>
      <c r="P251" s="148">
        <f>IFERROR(__xludf.DUMMYFUNCTION("""COMPUTED_VALUE"""),0.0)</f>
        <v>0</v>
      </c>
      <c r="Q251" s="148" t="str">
        <f>IFERROR(__xludf.DUMMYFUNCTION("""COMPUTED_VALUE"""),"[]")</f>
        <v>[]</v>
      </c>
      <c r="R251" s="148" t="str">
        <f>IFERROR(__xludf.DUMMYFUNCTION("""COMPUTED_VALUE"""),"{}")</f>
        <v>{}</v>
      </c>
      <c r="S251" s="148">
        <f>IFERROR(__xludf.DUMMYFUNCTION("""COMPUTED_VALUE"""),0.0)</f>
        <v>0</v>
      </c>
      <c r="T251" s="148" t="str">
        <f>IFERROR(__xludf.DUMMYFUNCTION("""COMPUTED_VALUE"""),"[]")</f>
        <v>[]</v>
      </c>
      <c r="U251" s="148">
        <f>IFERROR(__xludf.DUMMYFUNCTION("""COMPUTED_VALUE"""),0.0)</f>
        <v>0</v>
      </c>
      <c r="V251" s="148" t="str">
        <f>IFERROR(__xludf.DUMMYFUNCTION("""COMPUTED_VALUE"""),"{}")</f>
        <v>{}</v>
      </c>
      <c r="W251" s="148" t="str">
        <f>IFERROR(__xludf.DUMMYFUNCTION("""COMPUTED_VALUE"""),"[]")</f>
        <v>[]</v>
      </c>
      <c r="X251" s="148" t="str">
        <f>IFERROR(__xludf.DUMMYFUNCTION("""COMPUTED_VALUE"""),"[{""typ"":""power"",""id"":12141002,""val"":10}]")</f>
        <v>[{"typ":"power","id":12141002,"val":10}]</v>
      </c>
      <c r="Y251" s="148" t="str">
        <f>IFERROR(__xludf.DUMMYFUNCTION("""COMPUTED_VALUE"""),"[{""typ"":""atk"",""val"":230},{""typ"":""def"",""val"":210},{""typ"":""hp"",""val"":210},{""typ"":""speed"",""val"":40},{""typ"":""load"",""val"":20},{""typ"":""backcoef"",""val"":0.5},{""typ"":""atkcoef"",""val"":1.0},{""typ"":""atkcd"",""val"":0}]")</f>
        <v>[{"typ":"atk","val":230},{"typ":"def","val":210},{"typ":"hp","val":210},{"typ":"speed","val":40},{"typ":"load","val":20},{"typ":"backcoef","val":0.5},{"typ":"atkcoef","val":1.0},{"typ":"atkcd","val":0}]</v>
      </c>
      <c r="Z251" s="148" t="str">
        <f>IFERROR(__xludf.DUMMYFUNCTION("""COMPUTED_VALUE"""),"[]")</f>
        <v>[]</v>
      </c>
    </row>
    <row r="252">
      <c r="A252" s="148">
        <f>IFERROR(__xludf.DUMMYFUNCTION("""COMPUTED_VALUE"""),1.1214301E7)</f>
        <v>11214301</v>
      </c>
      <c r="B252" s="148" t="str">
        <f>IFERROR(__xludf.DUMMYFUNCTION("""COMPUTED_VALUE"""),"兵种战场小兵")</f>
        <v>兵种战场小兵</v>
      </c>
      <c r="C252" s="148">
        <f>IFERROR(__xludf.DUMMYFUNCTION("""COMPUTED_VALUE"""),1.1221004E7)</f>
        <v>11221004</v>
      </c>
      <c r="D252" s="148">
        <f>IFERROR(__xludf.DUMMYFUNCTION("""COMPUTED_VALUE"""),1.5117317E7)</f>
        <v>15117317</v>
      </c>
      <c r="E252" s="148" t="str">
        <f>IFERROR(__xludf.DUMMYFUNCTION("""COMPUTED_VALUE"""),"{""typ"":""lc"",""txt"":""LC_SOLDIER_wall_breaker_name_3""}")</f>
        <v>{"typ":"lc","txt":"LC_SOLDIER_wall_breaker_name_3"}</v>
      </c>
      <c r="F252" s="148" t="str">
        <f>IFERROR(__xludf.DUMMYFUNCTION("""COMPUTED_VALUE"""),"{""typ"":""lc"",""txt"":""LC_SOLDIER_wall_breaker_desc_3""}")</f>
        <v>{"typ":"lc","txt":"LC_SOLDIER_wall_breaker_desc_3"}</v>
      </c>
      <c r="G252" s="148">
        <f>IFERROR(__xludf.DUMMYFUNCTION("""COMPUTED_VALUE"""),4.0)</f>
        <v>4</v>
      </c>
      <c r="H252" s="148">
        <f>IFERROR(__xludf.DUMMYFUNCTION("""COMPUTED_VALUE"""),9.0)</f>
        <v>9</v>
      </c>
      <c r="I252" s="148">
        <f>IFERROR(__xludf.DUMMYFUNCTION("""COMPUTED_VALUE"""),10006.0)</f>
        <v>10006</v>
      </c>
      <c r="J252" s="148">
        <f>IFERROR(__xludf.DUMMYFUNCTION("""COMPUTED_VALUE"""),6.0)</f>
        <v>6</v>
      </c>
      <c r="K252" s="148">
        <f>IFERROR(__xludf.DUMMYFUNCTION("""COMPUTED_VALUE"""),10.0)</f>
        <v>10</v>
      </c>
      <c r="L252" s="148">
        <f>IFERROR(__xludf.DUMMYFUNCTION("""COMPUTED_VALUE"""),6.0)</f>
        <v>6</v>
      </c>
      <c r="M252" s="148">
        <f>IFERROR(__xludf.DUMMYFUNCTION("""COMPUTED_VALUE"""),0.0)</f>
        <v>0</v>
      </c>
      <c r="N252" s="148" t="str">
        <f>IFERROR(__xludf.DUMMYFUNCTION("""COMPUTED_VALUE"""),"[]")</f>
        <v>[]</v>
      </c>
      <c r="O252" s="148" t="str">
        <f>IFERROR(__xludf.DUMMYFUNCTION("""COMPUTED_VALUE"""),"{}")</f>
        <v>{}</v>
      </c>
      <c r="P252" s="148">
        <f>IFERROR(__xludf.DUMMYFUNCTION("""COMPUTED_VALUE"""),0.0)</f>
        <v>0</v>
      </c>
      <c r="Q252" s="148" t="str">
        <f>IFERROR(__xludf.DUMMYFUNCTION("""COMPUTED_VALUE"""),"[]")</f>
        <v>[]</v>
      </c>
      <c r="R252" s="148" t="str">
        <f>IFERROR(__xludf.DUMMYFUNCTION("""COMPUTED_VALUE"""),"{}")</f>
        <v>{}</v>
      </c>
      <c r="S252" s="148">
        <f>IFERROR(__xludf.DUMMYFUNCTION("""COMPUTED_VALUE"""),0.0)</f>
        <v>0</v>
      </c>
      <c r="T252" s="148" t="str">
        <f>IFERROR(__xludf.DUMMYFUNCTION("""COMPUTED_VALUE"""),"[]")</f>
        <v>[]</v>
      </c>
      <c r="U252" s="148">
        <f>IFERROR(__xludf.DUMMYFUNCTION("""COMPUTED_VALUE"""),0.0)</f>
        <v>0</v>
      </c>
      <c r="V252" s="148" t="str">
        <f>IFERROR(__xludf.DUMMYFUNCTION("""COMPUTED_VALUE"""),"{}")</f>
        <v>{}</v>
      </c>
      <c r="W252" s="148" t="str">
        <f>IFERROR(__xludf.DUMMYFUNCTION("""COMPUTED_VALUE"""),"[]")</f>
        <v>[]</v>
      </c>
      <c r="X252" s="148" t="str">
        <f>IFERROR(__xludf.DUMMYFUNCTION("""COMPUTED_VALUE"""),"[{""typ"":""power"",""id"":12141002,""val"":4}]")</f>
        <v>[{"typ":"power","id":12141002,"val":4}]</v>
      </c>
      <c r="Y252" s="148" t="str">
        <f>IFERROR(__xludf.DUMMYFUNCTION("""COMPUTED_VALUE"""),"[{""typ"":""atk"",""val"":161},{""typ"":""def"",""val"":156},{""typ"":""hp"",""val"":160},{""typ"":""speed"",""val"":33},{""typ"":""load"",""val"":24},{""typ"":""backcoef"",""val"":0.5},{""typ"":""atkcoef"",""val"":1.0},{""typ"":""atkcd"",""val"":0}]")</f>
        <v>[{"typ":"atk","val":161},{"typ":"def","val":156},{"typ":"hp","val":160},{"typ":"speed","val":33},{"typ":"load","val":24},{"typ":"backcoef","val":0.5},{"typ":"atkcoef","val":1.0},{"typ":"atkcd","val":0}]</v>
      </c>
      <c r="Z252" s="148" t="str">
        <f>IFERROR(__xludf.DUMMYFUNCTION("""COMPUTED_VALUE"""),"[]")</f>
        <v>[]</v>
      </c>
    </row>
    <row r="253">
      <c r="A253" s="148">
        <f>IFERROR(__xludf.DUMMYFUNCTION("""COMPUTED_VALUE"""),1.1214302E7)</f>
        <v>11214302</v>
      </c>
      <c r="B253" s="148" t="str">
        <f>IFERROR(__xludf.DUMMYFUNCTION("""COMPUTED_VALUE"""),"机甲战场小兵")</f>
        <v>机甲战场小兵</v>
      </c>
      <c r="C253" s="148">
        <f>IFERROR(__xludf.DUMMYFUNCTION("""COMPUTED_VALUE"""),1.1221004E7)</f>
        <v>11221004</v>
      </c>
      <c r="D253" s="148">
        <f>IFERROR(__xludf.DUMMYFUNCTION("""COMPUTED_VALUE"""),1.5117317E7)</f>
        <v>15117317</v>
      </c>
      <c r="E253" s="148" t="str">
        <f>IFERROR(__xludf.DUMMYFUNCTION("""COMPUTED_VALUE"""),"{""typ"":""lc"",""txt"":""LC_SOLDIER_wall_breaker_name_3""}")</f>
        <v>{"typ":"lc","txt":"LC_SOLDIER_wall_breaker_name_3"}</v>
      </c>
      <c r="F253" s="148" t="str">
        <f>IFERROR(__xludf.DUMMYFUNCTION("""COMPUTED_VALUE"""),"{""typ"":""lc"",""txt"":""LC_SOLDIER_wall_breaker_desc_3""}")</f>
        <v>{"typ":"lc","txt":"LC_SOLDIER_wall_breaker_desc_3"}</v>
      </c>
      <c r="G253" s="148">
        <f>IFERROR(__xludf.DUMMYFUNCTION("""COMPUTED_VALUE"""),4.0)</f>
        <v>4</v>
      </c>
      <c r="H253" s="148">
        <f>IFERROR(__xludf.DUMMYFUNCTION("""COMPUTED_VALUE"""),9.0)</f>
        <v>9</v>
      </c>
      <c r="I253" s="148">
        <f>IFERROR(__xludf.DUMMYFUNCTION("""COMPUTED_VALUE"""),10006.0)</f>
        <v>10006</v>
      </c>
      <c r="J253" s="148">
        <f>IFERROR(__xludf.DUMMYFUNCTION("""COMPUTED_VALUE"""),6.0)</f>
        <v>6</v>
      </c>
      <c r="K253" s="148">
        <f>IFERROR(__xludf.DUMMYFUNCTION("""COMPUTED_VALUE"""),10.0)</f>
        <v>10</v>
      </c>
      <c r="L253" s="148">
        <f>IFERROR(__xludf.DUMMYFUNCTION("""COMPUTED_VALUE"""),6.0)</f>
        <v>6</v>
      </c>
      <c r="M253" s="148">
        <f>IFERROR(__xludf.DUMMYFUNCTION("""COMPUTED_VALUE"""),0.0)</f>
        <v>0</v>
      </c>
      <c r="N253" s="148" t="str">
        <f>IFERROR(__xludf.DUMMYFUNCTION("""COMPUTED_VALUE"""),"[]")</f>
        <v>[]</v>
      </c>
      <c r="O253" s="148" t="str">
        <f>IFERROR(__xludf.DUMMYFUNCTION("""COMPUTED_VALUE"""),"{}")</f>
        <v>{}</v>
      </c>
      <c r="P253" s="148">
        <f>IFERROR(__xludf.DUMMYFUNCTION("""COMPUTED_VALUE"""),0.0)</f>
        <v>0</v>
      </c>
      <c r="Q253" s="148" t="str">
        <f>IFERROR(__xludf.DUMMYFUNCTION("""COMPUTED_VALUE"""),"[]")</f>
        <v>[]</v>
      </c>
      <c r="R253" s="148" t="str">
        <f>IFERROR(__xludf.DUMMYFUNCTION("""COMPUTED_VALUE"""),"{}")</f>
        <v>{}</v>
      </c>
      <c r="S253" s="148">
        <f>IFERROR(__xludf.DUMMYFUNCTION("""COMPUTED_VALUE"""),0.0)</f>
        <v>0</v>
      </c>
      <c r="T253" s="148" t="str">
        <f>IFERROR(__xludf.DUMMYFUNCTION("""COMPUTED_VALUE"""),"[]")</f>
        <v>[]</v>
      </c>
      <c r="U253" s="148">
        <f>IFERROR(__xludf.DUMMYFUNCTION("""COMPUTED_VALUE"""),0.0)</f>
        <v>0</v>
      </c>
      <c r="V253" s="148" t="str">
        <f>IFERROR(__xludf.DUMMYFUNCTION("""COMPUTED_VALUE"""),"{}")</f>
        <v>{}</v>
      </c>
      <c r="W253" s="148" t="str">
        <f>IFERROR(__xludf.DUMMYFUNCTION("""COMPUTED_VALUE"""),"[]")</f>
        <v>[]</v>
      </c>
      <c r="X253" s="148" t="str">
        <f>IFERROR(__xludf.DUMMYFUNCTION("""COMPUTED_VALUE"""),"[{""typ"":""power"",""id"":12141002,""val"":4}]")</f>
        <v>[{"typ":"power","id":12141002,"val":4}]</v>
      </c>
      <c r="Y253" s="148" t="str">
        <f>IFERROR(__xludf.DUMMYFUNCTION("""COMPUTED_VALUE"""),"[{""typ"":""atk"",""val"":200},{""typ"":""def"",""val"":200},{""typ"":""hp"",""val"":200},{""typ"":""speed"",""val"":27},{""typ"":""load"",""val"":24},{""typ"":""backcoef"",""val"":0.5},{""typ"":""atkcoef"",""val"":1.0},{""typ"":""atkcd"",""val"":0}]")</f>
        <v>[{"typ":"atk","val":200},{"typ":"def","val":200},{"typ":"hp","val":200},{"typ":"speed","val":27},{"typ":"load","val":24},{"typ":"backcoef","val":0.5},{"typ":"atkcoef","val":1.0},{"typ":"atkcd","val":0}]</v>
      </c>
      <c r="Z253" s="148" t="str">
        <f>IFERROR(__xludf.DUMMYFUNCTION("""COMPUTED_VALUE"""),"[]")</f>
        <v>[]</v>
      </c>
    </row>
    <row r="254">
      <c r="A254" s="148">
        <f>IFERROR(__xludf.DUMMYFUNCTION("""COMPUTED_VALUE"""),1.1214303E7)</f>
        <v>11214303</v>
      </c>
      <c r="B254" s="148" t="str">
        <f>IFERROR(__xludf.DUMMYFUNCTION("""COMPUTED_VALUE"""),"高级机甲战场-小兵-LV1")</f>
        <v>高级机甲战场-小兵-LV1</v>
      </c>
      <c r="C254" s="148">
        <f>IFERROR(__xludf.DUMMYFUNCTION("""COMPUTED_VALUE"""),1.1221004E7)</f>
        <v>11221004</v>
      </c>
      <c r="D254" s="148">
        <f>IFERROR(__xludf.DUMMYFUNCTION("""COMPUTED_VALUE"""),1.5110053E7)</f>
        <v>15110053</v>
      </c>
      <c r="E254" s="148" t="str">
        <f>IFERROR(__xludf.DUMMYFUNCTION("""COMPUTED_VALUE"""),"{""typ"":""lc"",""txt"":""LC_SOLDIER_hitter_name_2""}")</f>
        <v>{"typ":"lc","txt":"LC_SOLDIER_hitter_name_2"}</v>
      </c>
      <c r="F254" s="148" t="str">
        <f>IFERROR(__xludf.DUMMYFUNCTION("""COMPUTED_VALUE"""),"{""typ"":""lc"",""txt"":""LC_SOLDIER_hitter_desc_2""}")</f>
        <v>{"typ":"lc","txt":"LC_SOLDIER_hitter_desc_2"}</v>
      </c>
      <c r="G254" s="148">
        <f>IFERROR(__xludf.DUMMYFUNCTION("""COMPUTED_VALUE"""),4.0)</f>
        <v>4</v>
      </c>
      <c r="H254" s="148">
        <f>IFERROR(__xludf.DUMMYFUNCTION("""COMPUTED_VALUE"""),9.0)</f>
        <v>9</v>
      </c>
      <c r="I254" s="148">
        <f>IFERROR(__xludf.DUMMYFUNCTION("""COMPUTED_VALUE"""),10006.0)</f>
        <v>10006</v>
      </c>
      <c r="J254" s="148">
        <f>IFERROR(__xludf.DUMMYFUNCTION("""COMPUTED_VALUE"""),6.0)</f>
        <v>6</v>
      </c>
      <c r="K254" s="148">
        <f>IFERROR(__xludf.DUMMYFUNCTION("""COMPUTED_VALUE"""),10.0)</f>
        <v>10</v>
      </c>
      <c r="L254" s="148">
        <f>IFERROR(__xludf.DUMMYFUNCTION("""COMPUTED_VALUE"""),6.0)</f>
        <v>6</v>
      </c>
      <c r="M254" s="148">
        <f>IFERROR(__xludf.DUMMYFUNCTION("""COMPUTED_VALUE"""),0.0)</f>
        <v>0</v>
      </c>
      <c r="N254" s="148" t="str">
        <f>IFERROR(__xludf.DUMMYFUNCTION("""COMPUTED_VALUE"""),"[]")</f>
        <v>[]</v>
      </c>
      <c r="O254" s="148" t="str">
        <f>IFERROR(__xludf.DUMMYFUNCTION("""COMPUTED_VALUE"""),"{}")</f>
        <v>{}</v>
      </c>
      <c r="P254" s="148">
        <f>IFERROR(__xludf.DUMMYFUNCTION("""COMPUTED_VALUE"""),0.0)</f>
        <v>0</v>
      </c>
      <c r="Q254" s="148" t="str">
        <f>IFERROR(__xludf.DUMMYFUNCTION("""COMPUTED_VALUE"""),"[]")</f>
        <v>[]</v>
      </c>
      <c r="R254" s="148" t="str">
        <f>IFERROR(__xludf.DUMMYFUNCTION("""COMPUTED_VALUE"""),"{}")</f>
        <v>{}</v>
      </c>
      <c r="S254" s="148">
        <f>IFERROR(__xludf.DUMMYFUNCTION("""COMPUTED_VALUE"""),0.0)</f>
        <v>0</v>
      </c>
      <c r="T254" s="148" t="str">
        <f>IFERROR(__xludf.DUMMYFUNCTION("""COMPUTED_VALUE"""),"[]")</f>
        <v>[]</v>
      </c>
      <c r="U254" s="148">
        <f>IFERROR(__xludf.DUMMYFUNCTION("""COMPUTED_VALUE"""),0.0)</f>
        <v>0</v>
      </c>
      <c r="V254" s="148" t="str">
        <f>IFERROR(__xludf.DUMMYFUNCTION("""COMPUTED_VALUE"""),"{}")</f>
        <v>{}</v>
      </c>
      <c r="W254" s="148" t="str">
        <f>IFERROR(__xludf.DUMMYFUNCTION("""COMPUTED_VALUE"""),"[]")</f>
        <v>[]</v>
      </c>
      <c r="X254" s="148" t="str">
        <f>IFERROR(__xludf.DUMMYFUNCTION("""COMPUTED_VALUE"""),"[{""typ"":""power"",""id"":12141002,""val"":4}]")</f>
        <v>[{"typ":"power","id":12141002,"val":4}]</v>
      </c>
      <c r="Y254" s="148" t="str">
        <f>IFERROR(__xludf.DUMMYFUNCTION("""COMPUTED_VALUE"""),"[{""typ"":""atk"",""val"":200},{""typ"":""def"",""val"":200},{""typ"":""hp"",""val"":200},{""typ"":""speed"",""val"":27},{""typ"":""load"",""val"":24},{""typ"":""backcoef"",""val"":0.5},{""typ"":""atkcoef"",""val"":1.0},{""typ"":""atkcd"",""val"":0}]")</f>
        <v>[{"typ":"atk","val":200},{"typ":"def","val":200},{"typ":"hp","val":200},{"typ":"speed","val":27},{"typ":"load","val":24},{"typ":"backcoef","val":0.5},{"typ":"atkcoef","val":1.0},{"typ":"atkcd","val":0}]</v>
      </c>
      <c r="Z254" s="148" t="str">
        <f>IFERROR(__xludf.DUMMYFUNCTION("""COMPUTED_VALUE"""),"[]")</f>
        <v>[]</v>
      </c>
    </row>
    <row r="255">
      <c r="A255" s="148">
        <f>IFERROR(__xludf.DUMMYFUNCTION("""COMPUTED_VALUE"""),1.1214304E7)</f>
        <v>11214304</v>
      </c>
      <c r="B255" s="148" t="str">
        <f>IFERROR(__xludf.DUMMYFUNCTION("""COMPUTED_VALUE"""),"高级机甲战场-小兵-LV2")</f>
        <v>高级机甲战场-小兵-LV2</v>
      </c>
      <c r="C255" s="148">
        <f>IFERROR(__xludf.DUMMYFUNCTION("""COMPUTED_VALUE"""),1.1221004E7)</f>
        <v>11221004</v>
      </c>
      <c r="D255" s="148">
        <f>IFERROR(__xludf.DUMMYFUNCTION("""COMPUTED_VALUE"""),1.5110053E7)</f>
        <v>15110053</v>
      </c>
      <c r="E255" s="148" t="str">
        <f>IFERROR(__xludf.DUMMYFUNCTION("""COMPUTED_VALUE"""),"{""typ"":""lc"",""txt"":""LC_SOLDIER_hitter_name_2""}")</f>
        <v>{"typ":"lc","txt":"LC_SOLDIER_hitter_name_2"}</v>
      </c>
      <c r="F255" s="148" t="str">
        <f>IFERROR(__xludf.DUMMYFUNCTION("""COMPUTED_VALUE"""),"{""typ"":""lc"",""txt"":""LC_SOLDIER_hitter_desc_2""}")</f>
        <v>{"typ":"lc","txt":"LC_SOLDIER_hitter_desc_2"}</v>
      </c>
      <c r="G255" s="148">
        <f>IFERROR(__xludf.DUMMYFUNCTION("""COMPUTED_VALUE"""),4.0)</f>
        <v>4</v>
      </c>
      <c r="H255" s="148">
        <f>IFERROR(__xludf.DUMMYFUNCTION("""COMPUTED_VALUE"""),9.0)</f>
        <v>9</v>
      </c>
      <c r="I255" s="148">
        <f>IFERROR(__xludf.DUMMYFUNCTION("""COMPUTED_VALUE"""),10006.0)</f>
        <v>10006</v>
      </c>
      <c r="J255" s="148">
        <f>IFERROR(__xludf.DUMMYFUNCTION("""COMPUTED_VALUE"""),6.0)</f>
        <v>6</v>
      </c>
      <c r="K255" s="148">
        <f>IFERROR(__xludf.DUMMYFUNCTION("""COMPUTED_VALUE"""),10.0)</f>
        <v>10</v>
      </c>
      <c r="L255" s="148">
        <f>IFERROR(__xludf.DUMMYFUNCTION("""COMPUTED_VALUE"""),6.0)</f>
        <v>6</v>
      </c>
      <c r="M255" s="148">
        <f>IFERROR(__xludf.DUMMYFUNCTION("""COMPUTED_VALUE"""),0.0)</f>
        <v>0</v>
      </c>
      <c r="N255" s="148" t="str">
        <f>IFERROR(__xludf.DUMMYFUNCTION("""COMPUTED_VALUE"""),"[]")</f>
        <v>[]</v>
      </c>
      <c r="O255" s="148" t="str">
        <f>IFERROR(__xludf.DUMMYFUNCTION("""COMPUTED_VALUE"""),"{}")</f>
        <v>{}</v>
      </c>
      <c r="P255" s="148">
        <f>IFERROR(__xludf.DUMMYFUNCTION("""COMPUTED_VALUE"""),0.0)</f>
        <v>0</v>
      </c>
      <c r="Q255" s="148" t="str">
        <f>IFERROR(__xludf.DUMMYFUNCTION("""COMPUTED_VALUE"""),"[]")</f>
        <v>[]</v>
      </c>
      <c r="R255" s="148" t="str">
        <f>IFERROR(__xludf.DUMMYFUNCTION("""COMPUTED_VALUE"""),"{}")</f>
        <v>{}</v>
      </c>
      <c r="S255" s="148">
        <f>IFERROR(__xludf.DUMMYFUNCTION("""COMPUTED_VALUE"""),0.0)</f>
        <v>0</v>
      </c>
      <c r="T255" s="148" t="str">
        <f>IFERROR(__xludf.DUMMYFUNCTION("""COMPUTED_VALUE"""),"[]")</f>
        <v>[]</v>
      </c>
      <c r="U255" s="148">
        <f>IFERROR(__xludf.DUMMYFUNCTION("""COMPUTED_VALUE"""),0.0)</f>
        <v>0</v>
      </c>
      <c r="V255" s="148" t="str">
        <f>IFERROR(__xludf.DUMMYFUNCTION("""COMPUTED_VALUE"""),"{}")</f>
        <v>{}</v>
      </c>
      <c r="W255" s="148" t="str">
        <f>IFERROR(__xludf.DUMMYFUNCTION("""COMPUTED_VALUE"""),"[]")</f>
        <v>[]</v>
      </c>
      <c r="X255" s="148" t="str">
        <f>IFERROR(__xludf.DUMMYFUNCTION("""COMPUTED_VALUE"""),"[{""typ"":""power"",""id"":12141002,""val"":4}]")</f>
        <v>[{"typ":"power","id":12141002,"val":4}]</v>
      </c>
      <c r="Y255" s="148" t="str">
        <f>IFERROR(__xludf.DUMMYFUNCTION("""COMPUTED_VALUE"""),"[{""typ"":""atk"",""val"":225},{""typ"":""def"",""val"":225},{""typ"":""hp"",""val"":225},{""typ"":""speed"",""val"":27},{""typ"":""load"",""val"":24},{""typ"":""backcoef"",""val"":0.5},{""typ"":""atkcoef"",""val"":1.0},{""typ"":""atkcd"",""val"":0}]")</f>
        <v>[{"typ":"atk","val":225},{"typ":"def","val":225},{"typ":"hp","val":225},{"typ":"speed","val":27},{"typ":"load","val":24},{"typ":"backcoef","val":0.5},{"typ":"atkcoef","val":1.0},{"typ":"atkcd","val":0}]</v>
      </c>
      <c r="Z255" s="148" t="str">
        <f>IFERROR(__xludf.DUMMYFUNCTION("""COMPUTED_VALUE"""),"[]")</f>
        <v>[]</v>
      </c>
    </row>
    <row r="256">
      <c r="A256" s="148">
        <f>IFERROR(__xludf.DUMMYFUNCTION("""COMPUTED_VALUE"""),1.1214305E7)</f>
        <v>11214305</v>
      </c>
      <c r="B256" s="148" t="str">
        <f>IFERROR(__xludf.DUMMYFUNCTION("""COMPUTED_VALUE"""),"高级机甲战场-小兵-LV3")</f>
        <v>高级机甲战场-小兵-LV3</v>
      </c>
      <c r="C256" s="148">
        <f>IFERROR(__xludf.DUMMYFUNCTION("""COMPUTED_VALUE"""),1.1221004E7)</f>
        <v>11221004</v>
      </c>
      <c r="D256" s="148">
        <f>IFERROR(__xludf.DUMMYFUNCTION("""COMPUTED_VALUE"""),1.5110053E7)</f>
        <v>15110053</v>
      </c>
      <c r="E256" s="148" t="str">
        <f>IFERROR(__xludf.DUMMYFUNCTION("""COMPUTED_VALUE"""),"{""typ"":""lc"",""txt"":""LC_SOLDIER_hitter_name_2""}")</f>
        <v>{"typ":"lc","txt":"LC_SOLDIER_hitter_name_2"}</v>
      </c>
      <c r="F256" s="148" t="str">
        <f>IFERROR(__xludf.DUMMYFUNCTION("""COMPUTED_VALUE"""),"{""typ"":""lc"",""txt"":""LC_SOLDIER_hitter_desc_2""}")</f>
        <v>{"typ":"lc","txt":"LC_SOLDIER_hitter_desc_2"}</v>
      </c>
      <c r="G256" s="148">
        <f>IFERROR(__xludf.DUMMYFUNCTION("""COMPUTED_VALUE"""),4.0)</f>
        <v>4</v>
      </c>
      <c r="H256" s="148">
        <f>IFERROR(__xludf.DUMMYFUNCTION("""COMPUTED_VALUE"""),9.0)</f>
        <v>9</v>
      </c>
      <c r="I256" s="148">
        <f>IFERROR(__xludf.DUMMYFUNCTION("""COMPUTED_VALUE"""),10006.0)</f>
        <v>10006</v>
      </c>
      <c r="J256" s="148">
        <f>IFERROR(__xludf.DUMMYFUNCTION("""COMPUTED_VALUE"""),6.0)</f>
        <v>6</v>
      </c>
      <c r="K256" s="148">
        <f>IFERROR(__xludf.DUMMYFUNCTION("""COMPUTED_VALUE"""),10.0)</f>
        <v>10</v>
      </c>
      <c r="L256" s="148">
        <f>IFERROR(__xludf.DUMMYFUNCTION("""COMPUTED_VALUE"""),6.0)</f>
        <v>6</v>
      </c>
      <c r="M256" s="148">
        <f>IFERROR(__xludf.DUMMYFUNCTION("""COMPUTED_VALUE"""),0.0)</f>
        <v>0</v>
      </c>
      <c r="N256" s="148" t="str">
        <f>IFERROR(__xludf.DUMMYFUNCTION("""COMPUTED_VALUE"""),"[]")</f>
        <v>[]</v>
      </c>
      <c r="O256" s="148" t="str">
        <f>IFERROR(__xludf.DUMMYFUNCTION("""COMPUTED_VALUE"""),"{}")</f>
        <v>{}</v>
      </c>
      <c r="P256" s="148">
        <f>IFERROR(__xludf.DUMMYFUNCTION("""COMPUTED_VALUE"""),0.0)</f>
        <v>0</v>
      </c>
      <c r="Q256" s="148" t="str">
        <f>IFERROR(__xludf.DUMMYFUNCTION("""COMPUTED_VALUE"""),"[]")</f>
        <v>[]</v>
      </c>
      <c r="R256" s="148" t="str">
        <f>IFERROR(__xludf.DUMMYFUNCTION("""COMPUTED_VALUE"""),"{}")</f>
        <v>{}</v>
      </c>
      <c r="S256" s="148">
        <f>IFERROR(__xludf.DUMMYFUNCTION("""COMPUTED_VALUE"""),0.0)</f>
        <v>0</v>
      </c>
      <c r="T256" s="148" t="str">
        <f>IFERROR(__xludf.DUMMYFUNCTION("""COMPUTED_VALUE"""),"[]")</f>
        <v>[]</v>
      </c>
      <c r="U256" s="148">
        <f>IFERROR(__xludf.DUMMYFUNCTION("""COMPUTED_VALUE"""),0.0)</f>
        <v>0</v>
      </c>
      <c r="V256" s="148" t="str">
        <f>IFERROR(__xludf.DUMMYFUNCTION("""COMPUTED_VALUE"""),"{}")</f>
        <v>{}</v>
      </c>
      <c r="W256" s="148" t="str">
        <f>IFERROR(__xludf.DUMMYFUNCTION("""COMPUTED_VALUE"""),"[]")</f>
        <v>[]</v>
      </c>
      <c r="X256" s="148" t="str">
        <f>IFERROR(__xludf.DUMMYFUNCTION("""COMPUTED_VALUE"""),"[{""typ"":""power"",""id"":12141002,""val"":4}]")</f>
        <v>[{"typ":"power","id":12141002,"val":4}]</v>
      </c>
      <c r="Y256" s="148" t="str">
        <f>IFERROR(__xludf.DUMMYFUNCTION("""COMPUTED_VALUE"""),"[{""typ"":""atk"",""val"":240},{""typ"":""def"",""val"":240},{""typ"":""hp"",""val"":240},{""typ"":""speed"",""val"":27},{""typ"":""load"",""val"":24},{""typ"":""backcoef"",""val"":0.5},{""typ"":""atkcoef"",""val"":1.0},{""typ"":""atkcd"",""val"":0}]")</f>
        <v>[{"typ":"atk","val":240},{"typ":"def","val":240},{"typ":"hp","val":240},{"typ":"speed","val":27},{"typ":"load","val":24},{"typ":"backcoef","val":0.5},{"typ":"atkcoef","val":1.0},{"typ":"atkcd","val":0}]</v>
      </c>
      <c r="Z256" s="148" t="str">
        <f>IFERROR(__xludf.DUMMYFUNCTION("""COMPUTED_VALUE"""),"[]")</f>
        <v>[]</v>
      </c>
    </row>
    <row r="257">
      <c r="A257" s="148">
        <f>IFERROR(__xludf.DUMMYFUNCTION("""COMPUTED_VALUE"""),1.1214306E7)</f>
        <v>11214306</v>
      </c>
      <c r="B257" s="148" t="str">
        <f>IFERROR(__xludf.DUMMYFUNCTION("""COMPUTED_VALUE"""),"高级机甲战场-小兵-LV4")</f>
        <v>高级机甲战场-小兵-LV4</v>
      </c>
      <c r="C257" s="148">
        <f>IFERROR(__xludf.DUMMYFUNCTION("""COMPUTED_VALUE"""),1.1221004E7)</f>
        <v>11221004</v>
      </c>
      <c r="D257" s="148">
        <f>IFERROR(__xludf.DUMMYFUNCTION("""COMPUTED_VALUE"""),1.5110053E7)</f>
        <v>15110053</v>
      </c>
      <c r="E257" s="148" t="str">
        <f>IFERROR(__xludf.DUMMYFUNCTION("""COMPUTED_VALUE"""),"{""typ"":""lc"",""txt"":""LC_SOLDIER_hitter_name_2""}")</f>
        <v>{"typ":"lc","txt":"LC_SOLDIER_hitter_name_2"}</v>
      </c>
      <c r="F257" s="148" t="str">
        <f>IFERROR(__xludf.DUMMYFUNCTION("""COMPUTED_VALUE"""),"{""typ"":""lc"",""txt"":""LC_SOLDIER_hitter_desc_2""}")</f>
        <v>{"typ":"lc","txt":"LC_SOLDIER_hitter_desc_2"}</v>
      </c>
      <c r="G257" s="148">
        <f>IFERROR(__xludf.DUMMYFUNCTION("""COMPUTED_VALUE"""),4.0)</f>
        <v>4</v>
      </c>
      <c r="H257" s="148">
        <f>IFERROR(__xludf.DUMMYFUNCTION("""COMPUTED_VALUE"""),9.0)</f>
        <v>9</v>
      </c>
      <c r="I257" s="148">
        <f>IFERROR(__xludf.DUMMYFUNCTION("""COMPUTED_VALUE"""),10006.0)</f>
        <v>10006</v>
      </c>
      <c r="J257" s="148">
        <f>IFERROR(__xludf.DUMMYFUNCTION("""COMPUTED_VALUE"""),6.0)</f>
        <v>6</v>
      </c>
      <c r="K257" s="148">
        <f>IFERROR(__xludf.DUMMYFUNCTION("""COMPUTED_VALUE"""),10.0)</f>
        <v>10</v>
      </c>
      <c r="L257" s="148">
        <f>IFERROR(__xludf.DUMMYFUNCTION("""COMPUTED_VALUE"""),6.0)</f>
        <v>6</v>
      </c>
      <c r="M257" s="148">
        <f>IFERROR(__xludf.DUMMYFUNCTION("""COMPUTED_VALUE"""),0.0)</f>
        <v>0</v>
      </c>
      <c r="N257" s="148" t="str">
        <f>IFERROR(__xludf.DUMMYFUNCTION("""COMPUTED_VALUE"""),"[]")</f>
        <v>[]</v>
      </c>
      <c r="O257" s="148" t="str">
        <f>IFERROR(__xludf.DUMMYFUNCTION("""COMPUTED_VALUE"""),"{}")</f>
        <v>{}</v>
      </c>
      <c r="P257" s="148">
        <f>IFERROR(__xludf.DUMMYFUNCTION("""COMPUTED_VALUE"""),0.0)</f>
        <v>0</v>
      </c>
      <c r="Q257" s="148" t="str">
        <f>IFERROR(__xludf.DUMMYFUNCTION("""COMPUTED_VALUE"""),"[]")</f>
        <v>[]</v>
      </c>
      <c r="R257" s="148" t="str">
        <f>IFERROR(__xludf.DUMMYFUNCTION("""COMPUTED_VALUE"""),"{}")</f>
        <v>{}</v>
      </c>
      <c r="S257" s="148">
        <f>IFERROR(__xludf.DUMMYFUNCTION("""COMPUTED_VALUE"""),0.0)</f>
        <v>0</v>
      </c>
      <c r="T257" s="148" t="str">
        <f>IFERROR(__xludf.DUMMYFUNCTION("""COMPUTED_VALUE"""),"[]")</f>
        <v>[]</v>
      </c>
      <c r="U257" s="148">
        <f>IFERROR(__xludf.DUMMYFUNCTION("""COMPUTED_VALUE"""),0.0)</f>
        <v>0</v>
      </c>
      <c r="V257" s="148" t="str">
        <f>IFERROR(__xludf.DUMMYFUNCTION("""COMPUTED_VALUE"""),"{}")</f>
        <v>{}</v>
      </c>
      <c r="W257" s="148" t="str">
        <f>IFERROR(__xludf.DUMMYFUNCTION("""COMPUTED_VALUE"""),"[]")</f>
        <v>[]</v>
      </c>
      <c r="X257" s="148" t="str">
        <f>IFERROR(__xludf.DUMMYFUNCTION("""COMPUTED_VALUE"""),"[{""typ"":""power"",""id"":12141002,""val"":4}]")</f>
        <v>[{"typ":"power","id":12141002,"val":4}]</v>
      </c>
      <c r="Y257" s="148" t="str">
        <f>IFERROR(__xludf.DUMMYFUNCTION("""COMPUTED_VALUE"""),"[{""typ"":""atk"",""val"":270},{""typ"":""def"",""val"":270},{""typ"":""hp"",""val"":270},{""typ"":""speed"",""val"":27},{""typ"":""load"",""val"":24},{""typ"":""backcoef"",""val"":0.5},{""typ"":""atkcoef"",""val"":1.0},{""typ"":""atkcd"",""val"":0}]")</f>
        <v>[{"typ":"atk","val":270},{"typ":"def","val":270},{"typ":"hp","val":270},{"typ":"speed","val":27},{"typ":"load","val":24},{"typ":"backcoef","val":0.5},{"typ":"atkcoef","val":1.0},{"typ":"atkcd","val":0}]</v>
      </c>
      <c r="Z257" s="148" t="str">
        <f>IFERROR(__xludf.DUMMYFUNCTION("""COMPUTED_VALUE"""),"[]")</f>
        <v>[]</v>
      </c>
    </row>
    <row r="258">
      <c r="A258" s="148">
        <f>IFERROR(__xludf.DUMMYFUNCTION("""COMPUTED_VALUE"""),1.1214307E7)</f>
        <v>11214307</v>
      </c>
      <c r="B258" s="148" t="str">
        <f>IFERROR(__xludf.DUMMYFUNCTION("""COMPUTED_VALUE"""),"高级机甲战场-小兵-LV5")</f>
        <v>高级机甲战场-小兵-LV5</v>
      </c>
      <c r="C258" s="148">
        <f>IFERROR(__xludf.DUMMYFUNCTION("""COMPUTED_VALUE"""),1.1221004E7)</f>
        <v>11221004</v>
      </c>
      <c r="D258" s="148">
        <f>IFERROR(__xludf.DUMMYFUNCTION("""COMPUTED_VALUE"""),1.5110053E7)</f>
        <v>15110053</v>
      </c>
      <c r="E258" s="148" t="str">
        <f>IFERROR(__xludf.DUMMYFUNCTION("""COMPUTED_VALUE"""),"{""typ"":""lc"",""txt"":""LC_SOLDIER_hitter_name_2""}")</f>
        <v>{"typ":"lc","txt":"LC_SOLDIER_hitter_name_2"}</v>
      </c>
      <c r="F258" s="148" t="str">
        <f>IFERROR(__xludf.DUMMYFUNCTION("""COMPUTED_VALUE"""),"{""typ"":""lc"",""txt"":""LC_SOLDIER_hitter_desc_2""}")</f>
        <v>{"typ":"lc","txt":"LC_SOLDIER_hitter_desc_2"}</v>
      </c>
      <c r="G258" s="148">
        <f>IFERROR(__xludf.DUMMYFUNCTION("""COMPUTED_VALUE"""),4.0)</f>
        <v>4</v>
      </c>
      <c r="H258" s="148">
        <f>IFERROR(__xludf.DUMMYFUNCTION("""COMPUTED_VALUE"""),9.0)</f>
        <v>9</v>
      </c>
      <c r="I258" s="148">
        <f>IFERROR(__xludf.DUMMYFUNCTION("""COMPUTED_VALUE"""),10006.0)</f>
        <v>10006</v>
      </c>
      <c r="J258" s="148">
        <f>IFERROR(__xludf.DUMMYFUNCTION("""COMPUTED_VALUE"""),6.0)</f>
        <v>6</v>
      </c>
      <c r="K258" s="148">
        <f>IFERROR(__xludf.DUMMYFUNCTION("""COMPUTED_VALUE"""),10.0)</f>
        <v>10</v>
      </c>
      <c r="L258" s="148">
        <f>IFERROR(__xludf.DUMMYFUNCTION("""COMPUTED_VALUE"""),6.0)</f>
        <v>6</v>
      </c>
      <c r="M258" s="148">
        <f>IFERROR(__xludf.DUMMYFUNCTION("""COMPUTED_VALUE"""),0.0)</f>
        <v>0</v>
      </c>
      <c r="N258" s="148" t="str">
        <f>IFERROR(__xludf.DUMMYFUNCTION("""COMPUTED_VALUE"""),"[]")</f>
        <v>[]</v>
      </c>
      <c r="O258" s="148" t="str">
        <f>IFERROR(__xludf.DUMMYFUNCTION("""COMPUTED_VALUE"""),"{}")</f>
        <v>{}</v>
      </c>
      <c r="P258" s="148">
        <f>IFERROR(__xludf.DUMMYFUNCTION("""COMPUTED_VALUE"""),0.0)</f>
        <v>0</v>
      </c>
      <c r="Q258" s="148" t="str">
        <f>IFERROR(__xludf.DUMMYFUNCTION("""COMPUTED_VALUE"""),"[]")</f>
        <v>[]</v>
      </c>
      <c r="R258" s="148" t="str">
        <f>IFERROR(__xludf.DUMMYFUNCTION("""COMPUTED_VALUE"""),"{}")</f>
        <v>{}</v>
      </c>
      <c r="S258" s="148">
        <f>IFERROR(__xludf.DUMMYFUNCTION("""COMPUTED_VALUE"""),0.0)</f>
        <v>0</v>
      </c>
      <c r="T258" s="148" t="str">
        <f>IFERROR(__xludf.DUMMYFUNCTION("""COMPUTED_VALUE"""),"[]")</f>
        <v>[]</v>
      </c>
      <c r="U258" s="148">
        <f>IFERROR(__xludf.DUMMYFUNCTION("""COMPUTED_VALUE"""),0.0)</f>
        <v>0</v>
      </c>
      <c r="V258" s="148" t="str">
        <f>IFERROR(__xludf.DUMMYFUNCTION("""COMPUTED_VALUE"""),"{}")</f>
        <v>{}</v>
      </c>
      <c r="W258" s="148" t="str">
        <f>IFERROR(__xludf.DUMMYFUNCTION("""COMPUTED_VALUE"""),"[]")</f>
        <v>[]</v>
      </c>
      <c r="X258" s="148" t="str">
        <f>IFERROR(__xludf.DUMMYFUNCTION("""COMPUTED_VALUE"""),"[{""typ"":""power"",""id"":12141002,""val"":4}]")</f>
        <v>[{"typ":"power","id":12141002,"val":4}]</v>
      </c>
      <c r="Y258" s="148" t="str">
        <f>IFERROR(__xludf.DUMMYFUNCTION("""COMPUTED_VALUE"""),"[{""typ"":""atk"",""val"":300},{""typ"":""def"",""val"":300},{""typ"":""hp"",""val"":300},{""typ"":""speed"",""val"":27},{""typ"":""load"",""val"":24},{""typ"":""backcoef"",""val"":0.5},{""typ"":""atkcoef"",""val"":1.0},{""typ"":""atkcd"",""val"":0}]")</f>
        <v>[{"typ":"atk","val":300},{"typ":"def","val":300},{"typ":"hp","val":300},{"typ":"speed","val":27},{"typ":"load","val":24},{"typ":"backcoef","val":0.5},{"typ":"atkcoef","val":1.0},{"typ":"atkcd","val":0}]</v>
      </c>
      <c r="Z258" s="148" t="str">
        <f>IFERROR(__xludf.DUMMYFUNCTION("""COMPUTED_VALUE"""),"[]")</f>
        <v>[]</v>
      </c>
    </row>
    <row r="259">
      <c r="A259" s="148">
        <f>IFERROR(__xludf.DUMMYFUNCTION("""COMPUTED_VALUE"""),1.1214308E7)</f>
        <v>11214308</v>
      </c>
      <c r="B259" s="148" t="str">
        <f>IFERROR(__xludf.DUMMYFUNCTION("""COMPUTED_VALUE"""),"高级机甲战场-炮车兵-LV1")</f>
        <v>高级机甲战场-炮车兵-LV1</v>
      </c>
      <c r="C259" s="148">
        <f>IFERROR(__xludf.DUMMYFUNCTION("""COMPUTED_VALUE"""),1.1221004E7)</f>
        <v>11221004</v>
      </c>
      <c r="D259" s="148">
        <f>IFERROR(__xludf.DUMMYFUNCTION("""COMPUTED_VALUE"""),1.5119789E7)</f>
        <v>15119789</v>
      </c>
      <c r="E259" s="148" t="str">
        <f>IFERROR(__xludf.DUMMYFUNCTION("""COMPUTED_VALUE"""),"{""typ"":""lc"",""txt"":""LC_SOLDIER_hitter_name_6""}")</f>
        <v>{"typ":"lc","txt":"LC_SOLDIER_hitter_name_6"}</v>
      </c>
      <c r="F259" s="148" t="str">
        <f>IFERROR(__xludf.DUMMYFUNCTION("""COMPUTED_VALUE"""),"{""typ"":""lc"",""txt"":""LC_SOLDIER_hitter_desc_6""}")</f>
        <v>{"typ":"lc","txt":"LC_SOLDIER_hitter_desc_6"}</v>
      </c>
      <c r="G259" s="148">
        <f>IFERROR(__xludf.DUMMYFUNCTION("""COMPUTED_VALUE"""),4.0)</f>
        <v>4</v>
      </c>
      <c r="H259" s="148">
        <f>IFERROR(__xludf.DUMMYFUNCTION("""COMPUTED_VALUE"""),9.0)</f>
        <v>9</v>
      </c>
      <c r="I259" s="148">
        <f>IFERROR(__xludf.DUMMYFUNCTION("""COMPUTED_VALUE"""),10006.0)</f>
        <v>10006</v>
      </c>
      <c r="J259" s="148">
        <f>IFERROR(__xludf.DUMMYFUNCTION("""COMPUTED_VALUE"""),6.0)</f>
        <v>6</v>
      </c>
      <c r="K259" s="148">
        <f>IFERROR(__xludf.DUMMYFUNCTION("""COMPUTED_VALUE"""),10.0)</f>
        <v>10</v>
      </c>
      <c r="L259" s="148">
        <f>IFERROR(__xludf.DUMMYFUNCTION("""COMPUTED_VALUE"""),6.0)</f>
        <v>6</v>
      </c>
      <c r="M259" s="148">
        <f>IFERROR(__xludf.DUMMYFUNCTION("""COMPUTED_VALUE"""),0.0)</f>
        <v>0</v>
      </c>
      <c r="N259" s="148" t="str">
        <f>IFERROR(__xludf.DUMMYFUNCTION("""COMPUTED_VALUE"""),"[]")</f>
        <v>[]</v>
      </c>
      <c r="O259" s="148" t="str">
        <f>IFERROR(__xludf.DUMMYFUNCTION("""COMPUTED_VALUE"""),"{}")</f>
        <v>{}</v>
      </c>
      <c r="P259" s="148">
        <f>IFERROR(__xludf.DUMMYFUNCTION("""COMPUTED_VALUE"""),0.0)</f>
        <v>0</v>
      </c>
      <c r="Q259" s="148" t="str">
        <f>IFERROR(__xludf.DUMMYFUNCTION("""COMPUTED_VALUE"""),"[]")</f>
        <v>[]</v>
      </c>
      <c r="R259" s="148" t="str">
        <f>IFERROR(__xludf.DUMMYFUNCTION("""COMPUTED_VALUE"""),"{}")</f>
        <v>{}</v>
      </c>
      <c r="S259" s="148">
        <f>IFERROR(__xludf.DUMMYFUNCTION("""COMPUTED_VALUE"""),0.0)</f>
        <v>0</v>
      </c>
      <c r="T259" s="148" t="str">
        <f>IFERROR(__xludf.DUMMYFUNCTION("""COMPUTED_VALUE"""),"[]")</f>
        <v>[]</v>
      </c>
      <c r="U259" s="148">
        <f>IFERROR(__xludf.DUMMYFUNCTION("""COMPUTED_VALUE"""),0.0)</f>
        <v>0</v>
      </c>
      <c r="V259" s="148" t="str">
        <f>IFERROR(__xludf.DUMMYFUNCTION("""COMPUTED_VALUE"""),"{}")</f>
        <v>{}</v>
      </c>
      <c r="W259" s="148" t="str">
        <f>IFERROR(__xludf.DUMMYFUNCTION("""COMPUTED_VALUE"""),"[]")</f>
        <v>[]</v>
      </c>
      <c r="X259" s="148" t="str">
        <f>IFERROR(__xludf.DUMMYFUNCTION("""COMPUTED_VALUE"""),"[{""typ"":""power"",""id"":12141002,""val"":4}]")</f>
        <v>[{"typ":"power","id":12141002,"val":4}]</v>
      </c>
      <c r="Y259" s="148" t="str">
        <f>IFERROR(__xludf.DUMMYFUNCTION("""COMPUTED_VALUE"""),"[{""typ"":""atk"",""val"":200},{""typ"":""def"",""val"":200},{""typ"":""hp"",""val"":200},{""typ"":""speed"",""val"":27},{""typ"":""load"",""val"":24},{""typ"":""backcoef"",""val"":0.5},{""typ"":""atkcoef"",""val"":1.0},{""typ"":""atkcd"",""val"":0}]")</f>
        <v>[{"typ":"atk","val":200},{"typ":"def","val":200},{"typ":"hp","val":200},{"typ":"speed","val":27},{"typ":"load","val":24},{"typ":"backcoef","val":0.5},{"typ":"atkcoef","val":1.0},{"typ":"atkcd","val":0}]</v>
      </c>
      <c r="Z259" s="148" t="str">
        <f>IFERROR(__xludf.DUMMYFUNCTION("""COMPUTED_VALUE"""),"[]")</f>
        <v>[]</v>
      </c>
    </row>
    <row r="260">
      <c r="A260" s="148">
        <f>IFERROR(__xludf.DUMMYFUNCTION("""COMPUTED_VALUE"""),1.1214309E7)</f>
        <v>11214309</v>
      </c>
      <c r="B260" s="148" t="str">
        <f>IFERROR(__xludf.DUMMYFUNCTION("""COMPUTED_VALUE"""),"高级机甲战场-炮车兵-LV2")</f>
        <v>高级机甲战场-炮车兵-LV2</v>
      </c>
      <c r="C260" s="148">
        <f>IFERROR(__xludf.DUMMYFUNCTION("""COMPUTED_VALUE"""),1.1221004E7)</f>
        <v>11221004</v>
      </c>
      <c r="D260" s="148">
        <f>IFERROR(__xludf.DUMMYFUNCTION("""COMPUTED_VALUE"""),1.5119789E7)</f>
        <v>15119789</v>
      </c>
      <c r="E260" s="148" t="str">
        <f>IFERROR(__xludf.DUMMYFUNCTION("""COMPUTED_VALUE"""),"{""typ"":""lc"",""txt"":""LC_SOLDIER_hitter_name_6""}")</f>
        <v>{"typ":"lc","txt":"LC_SOLDIER_hitter_name_6"}</v>
      </c>
      <c r="F260" s="148" t="str">
        <f>IFERROR(__xludf.DUMMYFUNCTION("""COMPUTED_VALUE"""),"{""typ"":""lc"",""txt"":""LC_SOLDIER_hitter_desc_6""}")</f>
        <v>{"typ":"lc","txt":"LC_SOLDIER_hitter_desc_6"}</v>
      </c>
      <c r="G260" s="148">
        <f>IFERROR(__xludf.DUMMYFUNCTION("""COMPUTED_VALUE"""),4.0)</f>
        <v>4</v>
      </c>
      <c r="H260" s="148">
        <f>IFERROR(__xludf.DUMMYFUNCTION("""COMPUTED_VALUE"""),9.0)</f>
        <v>9</v>
      </c>
      <c r="I260" s="148">
        <f>IFERROR(__xludf.DUMMYFUNCTION("""COMPUTED_VALUE"""),10006.0)</f>
        <v>10006</v>
      </c>
      <c r="J260" s="148">
        <f>IFERROR(__xludf.DUMMYFUNCTION("""COMPUTED_VALUE"""),6.0)</f>
        <v>6</v>
      </c>
      <c r="K260" s="148">
        <f>IFERROR(__xludf.DUMMYFUNCTION("""COMPUTED_VALUE"""),10.0)</f>
        <v>10</v>
      </c>
      <c r="L260" s="148">
        <f>IFERROR(__xludf.DUMMYFUNCTION("""COMPUTED_VALUE"""),6.0)</f>
        <v>6</v>
      </c>
      <c r="M260" s="148">
        <f>IFERROR(__xludf.DUMMYFUNCTION("""COMPUTED_VALUE"""),0.0)</f>
        <v>0</v>
      </c>
      <c r="N260" s="148" t="str">
        <f>IFERROR(__xludf.DUMMYFUNCTION("""COMPUTED_VALUE"""),"[]")</f>
        <v>[]</v>
      </c>
      <c r="O260" s="148" t="str">
        <f>IFERROR(__xludf.DUMMYFUNCTION("""COMPUTED_VALUE"""),"{}")</f>
        <v>{}</v>
      </c>
      <c r="P260" s="148">
        <f>IFERROR(__xludf.DUMMYFUNCTION("""COMPUTED_VALUE"""),0.0)</f>
        <v>0</v>
      </c>
      <c r="Q260" s="148" t="str">
        <f>IFERROR(__xludf.DUMMYFUNCTION("""COMPUTED_VALUE"""),"[]")</f>
        <v>[]</v>
      </c>
      <c r="R260" s="148" t="str">
        <f>IFERROR(__xludf.DUMMYFUNCTION("""COMPUTED_VALUE"""),"{}")</f>
        <v>{}</v>
      </c>
      <c r="S260" s="148">
        <f>IFERROR(__xludf.DUMMYFUNCTION("""COMPUTED_VALUE"""),0.0)</f>
        <v>0</v>
      </c>
      <c r="T260" s="148" t="str">
        <f>IFERROR(__xludf.DUMMYFUNCTION("""COMPUTED_VALUE"""),"[]")</f>
        <v>[]</v>
      </c>
      <c r="U260" s="148">
        <f>IFERROR(__xludf.DUMMYFUNCTION("""COMPUTED_VALUE"""),0.0)</f>
        <v>0</v>
      </c>
      <c r="V260" s="148" t="str">
        <f>IFERROR(__xludf.DUMMYFUNCTION("""COMPUTED_VALUE"""),"{}")</f>
        <v>{}</v>
      </c>
      <c r="W260" s="148" t="str">
        <f>IFERROR(__xludf.DUMMYFUNCTION("""COMPUTED_VALUE"""),"[]")</f>
        <v>[]</v>
      </c>
      <c r="X260" s="148" t="str">
        <f>IFERROR(__xludf.DUMMYFUNCTION("""COMPUTED_VALUE"""),"[{""typ"":""power"",""id"":12141002,""val"":4}]")</f>
        <v>[{"typ":"power","id":12141002,"val":4}]</v>
      </c>
      <c r="Y260" s="148" t="str">
        <f>IFERROR(__xludf.DUMMYFUNCTION("""COMPUTED_VALUE"""),"[{""typ"":""atk"",""val"":225},{""typ"":""def"",""val"":225},{""typ"":""hp"",""val"":225},{""typ"":""speed"",""val"":27},{""typ"":""load"",""val"":24},{""typ"":""backcoef"",""val"":0.5},{""typ"":""atkcoef"",""val"":1.0},{""typ"":""atkcd"",""val"":0}]")</f>
        <v>[{"typ":"atk","val":225},{"typ":"def","val":225},{"typ":"hp","val":225},{"typ":"speed","val":27},{"typ":"load","val":24},{"typ":"backcoef","val":0.5},{"typ":"atkcoef","val":1.0},{"typ":"atkcd","val":0}]</v>
      </c>
      <c r="Z260" s="148" t="str">
        <f>IFERROR(__xludf.DUMMYFUNCTION("""COMPUTED_VALUE"""),"[]")</f>
        <v>[]</v>
      </c>
    </row>
    <row r="261">
      <c r="A261" s="148">
        <f>IFERROR(__xludf.DUMMYFUNCTION("""COMPUTED_VALUE"""),1.121431E7)</f>
        <v>11214310</v>
      </c>
      <c r="B261" s="148" t="str">
        <f>IFERROR(__xludf.DUMMYFUNCTION("""COMPUTED_VALUE"""),"高级机甲战场-炮车兵-LV3")</f>
        <v>高级机甲战场-炮车兵-LV3</v>
      </c>
      <c r="C261" s="148">
        <f>IFERROR(__xludf.DUMMYFUNCTION("""COMPUTED_VALUE"""),1.1221004E7)</f>
        <v>11221004</v>
      </c>
      <c r="D261" s="148">
        <f>IFERROR(__xludf.DUMMYFUNCTION("""COMPUTED_VALUE"""),1.5119789E7)</f>
        <v>15119789</v>
      </c>
      <c r="E261" s="148" t="str">
        <f>IFERROR(__xludf.DUMMYFUNCTION("""COMPUTED_VALUE"""),"{""typ"":""lc"",""txt"":""LC_SOLDIER_hitter_name_6""}")</f>
        <v>{"typ":"lc","txt":"LC_SOLDIER_hitter_name_6"}</v>
      </c>
      <c r="F261" s="148" t="str">
        <f>IFERROR(__xludf.DUMMYFUNCTION("""COMPUTED_VALUE"""),"{""typ"":""lc"",""txt"":""LC_SOLDIER_hitter_desc_6""}")</f>
        <v>{"typ":"lc","txt":"LC_SOLDIER_hitter_desc_6"}</v>
      </c>
      <c r="G261" s="148">
        <f>IFERROR(__xludf.DUMMYFUNCTION("""COMPUTED_VALUE"""),4.0)</f>
        <v>4</v>
      </c>
      <c r="H261" s="148">
        <f>IFERROR(__xludf.DUMMYFUNCTION("""COMPUTED_VALUE"""),9.0)</f>
        <v>9</v>
      </c>
      <c r="I261" s="148">
        <f>IFERROR(__xludf.DUMMYFUNCTION("""COMPUTED_VALUE"""),10006.0)</f>
        <v>10006</v>
      </c>
      <c r="J261" s="148">
        <f>IFERROR(__xludf.DUMMYFUNCTION("""COMPUTED_VALUE"""),6.0)</f>
        <v>6</v>
      </c>
      <c r="K261" s="148">
        <f>IFERROR(__xludf.DUMMYFUNCTION("""COMPUTED_VALUE"""),10.0)</f>
        <v>10</v>
      </c>
      <c r="L261" s="148">
        <f>IFERROR(__xludf.DUMMYFUNCTION("""COMPUTED_VALUE"""),6.0)</f>
        <v>6</v>
      </c>
      <c r="M261" s="148">
        <f>IFERROR(__xludf.DUMMYFUNCTION("""COMPUTED_VALUE"""),0.0)</f>
        <v>0</v>
      </c>
      <c r="N261" s="148" t="str">
        <f>IFERROR(__xludf.DUMMYFUNCTION("""COMPUTED_VALUE"""),"[]")</f>
        <v>[]</v>
      </c>
      <c r="O261" s="148" t="str">
        <f>IFERROR(__xludf.DUMMYFUNCTION("""COMPUTED_VALUE"""),"{}")</f>
        <v>{}</v>
      </c>
      <c r="P261" s="148">
        <f>IFERROR(__xludf.DUMMYFUNCTION("""COMPUTED_VALUE"""),0.0)</f>
        <v>0</v>
      </c>
      <c r="Q261" s="148" t="str">
        <f>IFERROR(__xludf.DUMMYFUNCTION("""COMPUTED_VALUE"""),"[]")</f>
        <v>[]</v>
      </c>
      <c r="R261" s="148" t="str">
        <f>IFERROR(__xludf.DUMMYFUNCTION("""COMPUTED_VALUE"""),"{}")</f>
        <v>{}</v>
      </c>
      <c r="S261" s="148">
        <f>IFERROR(__xludf.DUMMYFUNCTION("""COMPUTED_VALUE"""),0.0)</f>
        <v>0</v>
      </c>
      <c r="T261" s="148" t="str">
        <f>IFERROR(__xludf.DUMMYFUNCTION("""COMPUTED_VALUE"""),"[]")</f>
        <v>[]</v>
      </c>
      <c r="U261" s="148">
        <f>IFERROR(__xludf.DUMMYFUNCTION("""COMPUTED_VALUE"""),0.0)</f>
        <v>0</v>
      </c>
      <c r="V261" s="148" t="str">
        <f>IFERROR(__xludf.DUMMYFUNCTION("""COMPUTED_VALUE"""),"{}")</f>
        <v>{}</v>
      </c>
      <c r="W261" s="148" t="str">
        <f>IFERROR(__xludf.DUMMYFUNCTION("""COMPUTED_VALUE"""),"[]")</f>
        <v>[]</v>
      </c>
      <c r="X261" s="148" t="str">
        <f>IFERROR(__xludf.DUMMYFUNCTION("""COMPUTED_VALUE"""),"[{""typ"":""power"",""id"":12141002,""val"":4}]")</f>
        <v>[{"typ":"power","id":12141002,"val":4}]</v>
      </c>
      <c r="Y261" s="148" t="str">
        <f>IFERROR(__xludf.DUMMYFUNCTION("""COMPUTED_VALUE"""),"[{""typ"":""atk"",""val"":240},{""typ"":""def"",""val"":240},{""typ"":""hp"",""val"":240},{""typ"":""speed"",""val"":27},{""typ"":""load"",""val"":24},{""typ"":""backcoef"",""val"":0.5},{""typ"":""atkcoef"",""val"":1.0},{""typ"":""atkcd"",""val"":0}]")</f>
        <v>[{"typ":"atk","val":240},{"typ":"def","val":240},{"typ":"hp","val":240},{"typ":"speed","val":27},{"typ":"load","val":24},{"typ":"backcoef","val":0.5},{"typ":"atkcoef","val":1.0},{"typ":"atkcd","val":0}]</v>
      </c>
      <c r="Z261" s="148" t="str">
        <f>IFERROR(__xludf.DUMMYFUNCTION("""COMPUTED_VALUE"""),"[]")</f>
        <v>[]</v>
      </c>
    </row>
    <row r="262">
      <c r="A262" s="148">
        <f>IFERROR(__xludf.DUMMYFUNCTION("""COMPUTED_VALUE"""),1.1214311E7)</f>
        <v>11214311</v>
      </c>
      <c r="B262" s="148" t="str">
        <f>IFERROR(__xludf.DUMMYFUNCTION("""COMPUTED_VALUE"""),"高级机甲战场-炮车兵-LV4")</f>
        <v>高级机甲战场-炮车兵-LV4</v>
      </c>
      <c r="C262" s="148">
        <f>IFERROR(__xludf.DUMMYFUNCTION("""COMPUTED_VALUE"""),1.1221004E7)</f>
        <v>11221004</v>
      </c>
      <c r="D262" s="148">
        <f>IFERROR(__xludf.DUMMYFUNCTION("""COMPUTED_VALUE"""),1.5119789E7)</f>
        <v>15119789</v>
      </c>
      <c r="E262" s="148" t="str">
        <f>IFERROR(__xludf.DUMMYFUNCTION("""COMPUTED_VALUE"""),"{""typ"":""lc"",""txt"":""LC_SOLDIER_hitter_name_6""}")</f>
        <v>{"typ":"lc","txt":"LC_SOLDIER_hitter_name_6"}</v>
      </c>
      <c r="F262" s="148" t="str">
        <f>IFERROR(__xludf.DUMMYFUNCTION("""COMPUTED_VALUE"""),"{""typ"":""lc"",""txt"":""LC_SOLDIER_hitter_desc_6""}")</f>
        <v>{"typ":"lc","txt":"LC_SOLDIER_hitter_desc_6"}</v>
      </c>
      <c r="G262" s="148">
        <f>IFERROR(__xludf.DUMMYFUNCTION("""COMPUTED_VALUE"""),4.0)</f>
        <v>4</v>
      </c>
      <c r="H262" s="148">
        <f>IFERROR(__xludf.DUMMYFUNCTION("""COMPUTED_VALUE"""),9.0)</f>
        <v>9</v>
      </c>
      <c r="I262" s="148">
        <f>IFERROR(__xludf.DUMMYFUNCTION("""COMPUTED_VALUE"""),10006.0)</f>
        <v>10006</v>
      </c>
      <c r="J262" s="148">
        <f>IFERROR(__xludf.DUMMYFUNCTION("""COMPUTED_VALUE"""),6.0)</f>
        <v>6</v>
      </c>
      <c r="K262" s="148">
        <f>IFERROR(__xludf.DUMMYFUNCTION("""COMPUTED_VALUE"""),10.0)</f>
        <v>10</v>
      </c>
      <c r="L262" s="148">
        <f>IFERROR(__xludf.DUMMYFUNCTION("""COMPUTED_VALUE"""),6.0)</f>
        <v>6</v>
      </c>
      <c r="M262" s="148">
        <f>IFERROR(__xludf.DUMMYFUNCTION("""COMPUTED_VALUE"""),0.0)</f>
        <v>0</v>
      </c>
      <c r="N262" s="148" t="str">
        <f>IFERROR(__xludf.DUMMYFUNCTION("""COMPUTED_VALUE"""),"[]")</f>
        <v>[]</v>
      </c>
      <c r="O262" s="148" t="str">
        <f>IFERROR(__xludf.DUMMYFUNCTION("""COMPUTED_VALUE"""),"{}")</f>
        <v>{}</v>
      </c>
      <c r="P262" s="148">
        <f>IFERROR(__xludf.DUMMYFUNCTION("""COMPUTED_VALUE"""),0.0)</f>
        <v>0</v>
      </c>
      <c r="Q262" s="148" t="str">
        <f>IFERROR(__xludf.DUMMYFUNCTION("""COMPUTED_VALUE"""),"[]")</f>
        <v>[]</v>
      </c>
      <c r="R262" s="148" t="str">
        <f>IFERROR(__xludf.DUMMYFUNCTION("""COMPUTED_VALUE"""),"{}")</f>
        <v>{}</v>
      </c>
      <c r="S262" s="148">
        <f>IFERROR(__xludf.DUMMYFUNCTION("""COMPUTED_VALUE"""),0.0)</f>
        <v>0</v>
      </c>
      <c r="T262" s="148" t="str">
        <f>IFERROR(__xludf.DUMMYFUNCTION("""COMPUTED_VALUE"""),"[]")</f>
        <v>[]</v>
      </c>
      <c r="U262" s="148">
        <f>IFERROR(__xludf.DUMMYFUNCTION("""COMPUTED_VALUE"""),0.0)</f>
        <v>0</v>
      </c>
      <c r="V262" s="148" t="str">
        <f>IFERROR(__xludf.DUMMYFUNCTION("""COMPUTED_VALUE"""),"{}")</f>
        <v>{}</v>
      </c>
      <c r="W262" s="148" t="str">
        <f>IFERROR(__xludf.DUMMYFUNCTION("""COMPUTED_VALUE"""),"[]")</f>
        <v>[]</v>
      </c>
      <c r="X262" s="148" t="str">
        <f>IFERROR(__xludf.DUMMYFUNCTION("""COMPUTED_VALUE"""),"[{""typ"":""power"",""id"":12141002,""val"":4}]")</f>
        <v>[{"typ":"power","id":12141002,"val":4}]</v>
      </c>
      <c r="Y262" s="148" t="str">
        <f>IFERROR(__xludf.DUMMYFUNCTION("""COMPUTED_VALUE"""),"[{""typ"":""atk"",""val"":270},{""typ"":""def"",""val"":270},{""typ"":""hp"",""val"":270},{""typ"":""speed"",""val"":27},{""typ"":""load"",""val"":24},{""typ"":""backcoef"",""val"":0.5},{""typ"":""atkcoef"",""val"":1.0},{""typ"":""atkcd"",""val"":0}]")</f>
        <v>[{"typ":"atk","val":270},{"typ":"def","val":270},{"typ":"hp","val":270},{"typ":"speed","val":27},{"typ":"load","val":24},{"typ":"backcoef","val":0.5},{"typ":"atkcoef","val":1.0},{"typ":"atkcd","val":0}]</v>
      </c>
      <c r="Z262" s="148" t="str">
        <f>IFERROR(__xludf.DUMMYFUNCTION("""COMPUTED_VALUE"""),"[]")</f>
        <v>[]</v>
      </c>
    </row>
    <row r="263">
      <c r="A263" s="148">
        <f>IFERROR(__xludf.DUMMYFUNCTION("""COMPUTED_VALUE"""),1.1214312E7)</f>
        <v>11214312</v>
      </c>
      <c r="B263" s="148" t="str">
        <f>IFERROR(__xludf.DUMMYFUNCTION("""COMPUTED_VALUE"""),"高级机甲战场-炮车兵-LV5")</f>
        <v>高级机甲战场-炮车兵-LV5</v>
      </c>
      <c r="C263" s="148">
        <f>IFERROR(__xludf.DUMMYFUNCTION("""COMPUTED_VALUE"""),1.1221004E7)</f>
        <v>11221004</v>
      </c>
      <c r="D263" s="148">
        <f>IFERROR(__xludf.DUMMYFUNCTION("""COMPUTED_VALUE"""),1.5119789E7)</f>
        <v>15119789</v>
      </c>
      <c r="E263" s="148" t="str">
        <f>IFERROR(__xludf.DUMMYFUNCTION("""COMPUTED_VALUE"""),"{""typ"":""lc"",""txt"":""LC_SOLDIER_hitter_name_6""}")</f>
        <v>{"typ":"lc","txt":"LC_SOLDIER_hitter_name_6"}</v>
      </c>
      <c r="F263" s="148" t="str">
        <f>IFERROR(__xludf.DUMMYFUNCTION("""COMPUTED_VALUE"""),"{""typ"":""lc"",""txt"":""LC_SOLDIER_hitter_desc_6""}")</f>
        <v>{"typ":"lc","txt":"LC_SOLDIER_hitter_desc_6"}</v>
      </c>
      <c r="G263" s="148">
        <f>IFERROR(__xludf.DUMMYFUNCTION("""COMPUTED_VALUE"""),4.0)</f>
        <v>4</v>
      </c>
      <c r="H263" s="148">
        <f>IFERROR(__xludf.DUMMYFUNCTION("""COMPUTED_VALUE"""),9.0)</f>
        <v>9</v>
      </c>
      <c r="I263" s="148">
        <f>IFERROR(__xludf.DUMMYFUNCTION("""COMPUTED_VALUE"""),10006.0)</f>
        <v>10006</v>
      </c>
      <c r="J263" s="148">
        <f>IFERROR(__xludf.DUMMYFUNCTION("""COMPUTED_VALUE"""),6.0)</f>
        <v>6</v>
      </c>
      <c r="K263" s="148">
        <f>IFERROR(__xludf.DUMMYFUNCTION("""COMPUTED_VALUE"""),10.0)</f>
        <v>10</v>
      </c>
      <c r="L263" s="148">
        <f>IFERROR(__xludf.DUMMYFUNCTION("""COMPUTED_VALUE"""),6.0)</f>
        <v>6</v>
      </c>
      <c r="M263" s="148">
        <f>IFERROR(__xludf.DUMMYFUNCTION("""COMPUTED_VALUE"""),0.0)</f>
        <v>0</v>
      </c>
      <c r="N263" s="148" t="str">
        <f>IFERROR(__xludf.DUMMYFUNCTION("""COMPUTED_VALUE"""),"[]")</f>
        <v>[]</v>
      </c>
      <c r="O263" s="148" t="str">
        <f>IFERROR(__xludf.DUMMYFUNCTION("""COMPUTED_VALUE"""),"{}")</f>
        <v>{}</v>
      </c>
      <c r="P263" s="148">
        <f>IFERROR(__xludf.DUMMYFUNCTION("""COMPUTED_VALUE"""),0.0)</f>
        <v>0</v>
      </c>
      <c r="Q263" s="148" t="str">
        <f>IFERROR(__xludf.DUMMYFUNCTION("""COMPUTED_VALUE"""),"[]")</f>
        <v>[]</v>
      </c>
      <c r="R263" s="148" t="str">
        <f>IFERROR(__xludf.DUMMYFUNCTION("""COMPUTED_VALUE"""),"{}")</f>
        <v>{}</v>
      </c>
      <c r="S263" s="148">
        <f>IFERROR(__xludf.DUMMYFUNCTION("""COMPUTED_VALUE"""),0.0)</f>
        <v>0</v>
      </c>
      <c r="T263" s="148" t="str">
        <f>IFERROR(__xludf.DUMMYFUNCTION("""COMPUTED_VALUE"""),"[]")</f>
        <v>[]</v>
      </c>
      <c r="U263" s="148">
        <f>IFERROR(__xludf.DUMMYFUNCTION("""COMPUTED_VALUE"""),0.0)</f>
        <v>0</v>
      </c>
      <c r="V263" s="148" t="str">
        <f>IFERROR(__xludf.DUMMYFUNCTION("""COMPUTED_VALUE"""),"{}")</f>
        <v>{}</v>
      </c>
      <c r="W263" s="148" t="str">
        <f>IFERROR(__xludf.DUMMYFUNCTION("""COMPUTED_VALUE"""),"[]")</f>
        <v>[]</v>
      </c>
      <c r="X263" s="148" t="str">
        <f>IFERROR(__xludf.DUMMYFUNCTION("""COMPUTED_VALUE"""),"[{""typ"":""power"",""id"":12141002,""val"":4}]")</f>
        <v>[{"typ":"power","id":12141002,"val":4}]</v>
      </c>
      <c r="Y263" s="148" t="str">
        <f>IFERROR(__xludf.DUMMYFUNCTION("""COMPUTED_VALUE"""),"[{""typ"":""atk"",""val"":300},{""typ"":""def"",""val"":300},{""typ"":""hp"",""val"":300},{""typ"":""speed"",""val"":27},{""typ"":""load"",""val"":24},{""typ"":""backcoef"",""val"":0.5},{""typ"":""atkcoef"",""val"":1.0},{""typ"":""atkcd"",""val"":0}]")</f>
        <v>[{"typ":"atk","val":300},{"typ":"def","val":300},{"typ":"hp","val":300},{"typ":"speed","val":27},{"typ":"load","val":24},{"typ":"backcoef","val":0.5},{"typ":"atkcoef","val":1.0},{"typ":"atkcd","val":0}]</v>
      </c>
      <c r="Z263" s="148" t="str">
        <f>IFERROR(__xludf.DUMMYFUNCTION("""COMPUTED_VALUE"""),"[]")</f>
        <v>[]</v>
      </c>
    </row>
    <row r="264">
      <c r="A264" s="148">
        <f>IFERROR(__xludf.DUMMYFUNCTION("""COMPUTED_VALUE"""),1.1214313E7)</f>
        <v>11214313</v>
      </c>
      <c r="B264" s="148" t="str">
        <f>IFERROR(__xludf.DUMMYFUNCTION("""COMPUTED_VALUE"""),"高级机甲战场-机甲战场建筑部队")</f>
        <v>高级机甲战场-机甲战场建筑部队</v>
      </c>
      <c r="C264" s="148">
        <f>IFERROR(__xludf.DUMMYFUNCTION("""COMPUTED_VALUE"""),1.1221004E7)</f>
        <v>11221004</v>
      </c>
      <c r="D264" s="148">
        <f>IFERROR(__xludf.DUMMYFUNCTION("""COMPUTED_VALUE"""),1.5110234E7)</f>
        <v>15110234</v>
      </c>
      <c r="E264" s="148" t="str">
        <f>IFERROR(__xludf.DUMMYFUNCTION("""COMPUTED_VALUE"""),"{""typ"":""lc"",""txt"":""LC_SOLDIER_npc_name_1""}")</f>
        <v>{"typ":"lc","txt":"LC_SOLDIER_npc_name_1"}</v>
      </c>
      <c r="F264" s="148" t="str">
        <f>IFERROR(__xludf.DUMMYFUNCTION("""COMPUTED_VALUE"""),"{}")</f>
        <v>{}</v>
      </c>
      <c r="G264" s="148">
        <f>IFERROR(__xludf.DUMMYFUNCTION("""COMPUTED_VALUE"""),10.0)</f>
        <v>10</v>
      </c>
      <c r="H264" s="148">
        <f>IFERROR(__xludf.DUMMYFUNCTION("""COMPUTED_VALUE"""),10099.0)</f>
        <v>10099</v>
      </c>
      <c r="I264" s="148">
        <f>IFERROR(__xludf.DUMMYFUNCTION("""COMPUTED_VALUE"""),10099.0)</f>
        <v>10099</v>
      </c>
      <c r="J264" s="148">
        <f>IFERROR(__xludf.DUMMYFUNCTION("""COMPUTED_VALUE"""),0.0)</f>
        <v>0</v>
      </c>
      <c r="K264" s="148">
        <f>IFERROR(__xludf.DUMMYFUNCTION("""COMPUTED_VALUE"""),10.0)</f>
        <v>10</v>
      </c>
      <c r="L264" s="148">
        <f>IFERROR(__xludf.DUMMYFUNCTION("""COMPUTED_VALUE"""),99.0)</f>
        <v>99</v>
      </c>
      <c r="M264" s="148">
        <f>IFERROR(__xludf.DUMMYFUNCTION("""COMPUTED_VALUE"""),0.0)</f>
        <v>0</v>
      </c>
      <c r="N264" s="148" t="str">
        <f>IFERROR(__xludf.DUMMYFUNCTION("""COMPUTED_VALUE"""),"[]")</f>
        <v>[]</v>
      </c>
      <c r="O264" s="148" t="str">
        <f>IFERROR(__xludf.DUMMYFUNCTION("""COMPUTED_VALUE"""),"{}")</f>
        <v>{}</v>
      </c>
      <c r="P264" s="148">
        <f>IFERROR(__xludf.DUMMYFUNCTION("""COMPUTED_VALUE"""),0.0)</f>
        <v>0</v>
      </c>
      <c r="Q264" s="148" t="str">
        <f>IFERROR(__xludf.DUMMYFUNCTION("""COMPUTED_VALUE"""),"[]")</f>
        <v>[]</v>
      </c>
      <c r="R264" s="148" t="str">
        <f>IFERROR(__xludf.DUMMYFUNCTION("""COMPUTED_VALUE"""),"{}")</f>
        <v>{}</v>
      </c>
      <c r="S264" s="148">
        <f>IFERROR(__xludf.DUMMYFUNCTION("""COMPUTED_VALUE"""),0.0)</f>
        <v>0</v>
      </c>
      <c r="T264" s="148" t="str">
        <f>IFERROR(__xludf.DUMMYFUNCTION("""COMPUTED_VALUE"""),"[]")</f>
        <v>[]</v>
      </c>
      <c r="U264" s="148">
        <f>IFERROR(__xludf.DUMMYFUNCTION("""COMPUTED_VALUE"""),0.0)</f>
        <v>0</v>
      </c>
      <c r="V264" s="148" t="str">
        <f>IFERROR(__xludf.DUMMYFUNCTION("""COMPUTED_VALUE"""),"{}")</f>
        <v>{}</v>
      </c>
      <c r="W264" s="148" t="str">
        <f>IFERROR(__xludf.DUMMYFUNCTION("""COMPUTED_VALUE"""),"[]")</f>
        <v>[]</v>
      </c>
      <c r="X264" s="148" t="str">
        <f>IFERROR(__xludf.DUMMYFUNCTION("""COMPUTED_VALUE"""),"[{""typ"":""power"",""id"":12141002,""val"":6}]")</f>
        <v>[{"typ":"power","id":12141002,"val":6}]</v>
      </c>
      <c r="Y264" s="148" t="str">
        <f>IFERROR(__xludf.DUMMYFUNCTION("""COMPUTED_VALUE"""),"[{""typ"":""atk"",""val"":0},{""typ"":""def"",""val"":1000000},{""typ"":""hp"",""val"":1000000},{""typ"":""speed"",""val"":0},{""typ"":""load"",""val"":20},{""typ"":""backcoef"",""val"":0.5},{""typ"":""atkcoef"",""val"":1.0},{""typ"":""atkcd"",""val"":0}]")</f>
        <v>[{"typ":"atk","val":0},{"typ":"def","val":1000000},{"typ":"hp","val":1000000},{"typ":"speed","val":0},{"typ":"load","val":20},{"typ":"backcoef","val":0.5},{"typ":"atkcoef","val":1.0},{"typ":"atkcd","val":0}]</v>
      </c>
      <c r="Z264" s="148" t="str">
        <f>IFERROR(__xludf.DUMMYFUNCTION("""COMPUTED_VALUE"""),"[]")</f>
        <v>[]</v>
      </c>
    </row>
    <row r="265">
      <c r="A265" s="148">
        <f>IFERROR(__xludf.DUMMYFUNCTION("""COMPUTED_VALUE"""),1.1214401E7)</f>
        <v>11214401</v>
      </c>
      <c r="B265" s="148" t="str">
        <f>IFERROR(__xludf.DUMMYFUNCTION("""COMPUTED_VALUE"""),"边境普通怪")</f>
        <v>边境普通怪</v>
      </c>
      <c r="C265" s="148">
        <f>IFERROR(__xludf.DUMMYFUNCTION("""COMPUTED_VALUE"""),1.1221004E7)</f>
        <v>11221004</v>
      </c>
      <c r="D265" s="148">
        <f>IFERROR(__xludf.DUMMYFUNCTION("""COMPUTED_VALUE"""),1.511871E7)</f>
        <v>15118710</v>
      </c>
      <c r="E265" s="148" t="str">
        <f>IFERROR(__xludf.DUMMYFUNCTION("""COMPUTED_VALUE"""),"{""typ"":""lc"",""txt"":""LC_NPC_kvk4_npc_frontier_name""}")</f>
        <v>{"typ":"lc","txt":"LC_NPC_kvk4_npc_frontier_name"}</v>
      </c>
      <c r="F265" s="148" t="str">
        <f>IFERROR(__xludf.DUMMYFUNCTION("""COMPUTED_VALUE"""),"{""typ"":""lc"",""txt"":""LC_NPC_kvk4_npc_frontier_desc""}")</f>
        <v>{"typ":"lc","txt":"LC_NPC_kvk4_npc_frontier_desc"}</v>
      </c>
      <c r="G265" s="148">
        <f>IFERROR(__xludf.DUMMYFUNCTION("""COMPUTED_VALUE"""),4.0)</f>
        <v>4</v>
      </c>
      <c r="H265" s="148">
        <f>IFERROR(__xludf.DUMMYFUNCTION("""COMPUTED_VALUE"""),9.0)</f>
        <v>9</v>
      </c>
      <c r="I265" s="148">
        <f>IFERROR(__xludf.DUMMYFUNCTION("""COMPUTED_VALUE"""),10006.0)</f>
        <v>10006</v>
      </c>
      <c r="J265" s="148">
        <f>IFERROR(__xludf.DUMMYFUNCTION("""COMPUTED_VALUE"""),6.0)</f>
        <v>6</v>
      </c>
      <c r="K265" s="148">
        <f>IFERROR(__xludf.DUMMYFUNCTION("""COMPUTED_VALUE"""),10.0)</f>
        <v>10</v>
      </c>
      <c r="L265" s="148">
        <f>IFERROR(__xludf.DUMMYFUNCTION("""COMPUTED_VALUE"""),6.0)</f>
        <v>6</v>
      </c>
      <c r="M265" s="148">
        <f>IFERROR(__xludf.DUMMYFUNCTION("""COMPUTED_VALUE"""),0.0)</f>
        <v>0</v>
      </c>
      <c r="N265" s="148" t="str">
        <f>IFERROR(__xludf.DUMMYFUNCTION("""COMPUTED_VALUE"""),"[]")</f>
        <v>[]</v>
      </c>
      <c r="O265" s="148" t="str">
        <f>IFERROR(__xludf.DUMMYFUNCTION("""COMPUTED_VALUE"""),"{}")</f>
        <v>{}</v>
      </c>
      <c r="P265" s="148">
        <f>IFERROR(__xludf.DUMMYFUNCTION("""COMPUTED_VALUE"""),0.0)</f>
        <v>0</v>
      </c>
      <c r="Q265" s="148" t="str">
        <f>IFERROR(__xludf.DUMMYFUNCTION("""COMPUTED_VALUE"""),"[]")</f>
        <v>[]</v>
      </c>
      <c r="R265" s="148" t="str">
        <f>IFERROR(__xludf.DUMMYFUNCTION("""COMPUTED_VALUE"""),"{}")</f>
        <v>{}</v>
      </c>
      <c r="S265" s="148">
        <f>IFERROR(__xludf.DUMMYFUNCTION("""COMPUTED_VALUE"""),0.0)</f>
        <v>0</v>
      </c>
      <c r="T265" s="148" t="str">
        <f>IFERROR(__xludf.DUMMYFUNCTION("""COMPUTED_VALUE"""),"[]")</f>
        <v>[]</v>
      </c>
      <c r="U265" s="148">
        <f>IFERROR(__xludf.DUMMYFUNCTION("""COMPUTED_VALUE"""),0.0)</f>
        <v>0</v>
      </c>
      <c r="V265" s="148" t="str">
        <f>IFERROR(__xludf.DUMMYFUNCTION("""COMPUTED_VALUE"""),"{}")</f>
        <v>{}</v>
      </c>
      <c r="W265" s="148" t="str">
        <f>IFERROR(__xludf.DUMMYFUNCTION("""COMPUTED_VALUE"""),"[]")</f>
        <v>[]</v>
      </c>
      <c r="X265" s="148" t="str">
        <f>IFERROR(__xludf.DUMMYFUNCTION("""COMPUTED_VALUE"""),"[{""typ"":""power"",""id"":12141002,""val"":4}]")</f>
        <v>[{"typ":"power","id":12141002,"val":4}]</v>
      </c>
      <c r="Y265" s="148" t="str">
        <f>IFERROR(__xludf.DUMMYFUNCTION("""COMPUTED_VALUE"""),"[{""typ"":""atk"",""val"":160},{""typ"":""def"",""val"":160},{""typ"":""hp"",""val"":160},{""typ"":""speed"",""val"":40},{""typ"":""load"",""val"":20},{""typ"":""backcoef"",""val"":0.5},{""typ"":""atkcoef"",""val"":1.0},{""typ"":""atkcd"",""val"":0}]")</f>
        <v>[{"typ":"atk","val":160},{"typ":"def","val":160},{"typ":"hp","val":160},{"typ":"speed","val":40},{"typ":"load","val":20},{"typ":"backcoef","val":0.5},{"typ":"atkcoef","val":1.0},{"typ":"atkcd","val":0}]</v>
      </c>
      <c r="Z265" s="148" t="str">
        <f>IFERROR(__xludf.DUMMYFUNCTION("""COMPUTED_VALUE"""),"[]")</f>
        <v>[]</v>
      </c>
    </row>
    <row r="266">
      <c r="A266" s="148">
        <f>IFERROR(__xludf.DUMMYFUNCTION("""COMPUTED_VALUE"""),1.1214402E7)</f>
        <v>11214402</v>
      </c>
      <c r="B266" s="148" t="str">
        <f>IFERROR(__xludf.DUMMYFUNCTION("""COMPUTED_VALUE"""),"边境特殊怪大")</f>
        <v>边境特殊怪大</v>
      </c>
      <c r="C266" s="148">
        <f>IFERROR(__xludf.DUMMYFUNCTION("""COMPUTED_VALUE"""),1.1221004E7)</f>
        <v>11221004</v>
      </c>
      <c r="D266" s="148">
        <f>IFERROR(__xludf.DUMMYFUNCTION("""COMPUTED_VALUE"""),1.5118714E7)</f>
        <v>15118714</v>
      </c>
      <c r="E266" s="148" t="str">
        <f>IFERROR(__xludf.DUMMYFUNCTION("""COMPUTED_VALUE"""),"{""typ"":""lc"",""txt"":""LC_NPC_kvk4_npc_frontier_big_1_name""}")</f>
        <v>{"typ":"lc","txt":"LC_NPC_kvk4_npc_frontier_big_1_name"}</v>
      </c>
      <c r="F266" s="148" t="str">
        <f>IFERROR(__xludf.DUMMYFUNCTION("""COMPUTED_VALUE"""),"{""typ"":""lc"",""txt"":""LC_NPC_kvk4_npc_frontier_big_desc""}")</f>
        <v>{"typ":"lc","txt":"LC_NPC_kvk4_npc_frontier_big_desc"}</v>
      </c>
      <c r="G266" s="148">
        <f>IFERROR(__xludf.DUMMYFUNCTION("""COMPUTED_VALUE"""),4.0)</f>
        <v>4</v>
      </c>
      <c r="H266" s="148">
        <f>IFERROR(__xludf.DUMMYFUNCTION("""COMPUTED_VALUE"""),9.0)</f>
        <v>9</v>
      </c>
      <c r="I266" s="148">
        <f>IFERROR(__xludf.DUMMYFUNCTION("""COMPUTED_VALUE"""),10006.0)</f>
        <v>10006</v>
      </c>
      <c r="J266" s="148">
        <f>IFERROR(__xludf.DUMMYFUNCTION("""COMPUTED_VALUE"""),6.0)</f>
        <v>6</v>
      </c>
      <c r="K266" s="148">
        <f>IFERROR(__xludf.DUMMYFUNCTION("""COMPUTED_VALUE"""),10.0)</f>
        <v>10</v>
      </c>
      <c r="L266" s="148">
        <f>IFERROR(__xludf.DUMMYFUNCTION("""COMPUTED_VALUE"""),6.0)</f>
        <v>6</v>
      </c>
      <c r="M266" s="148">
        <f>IFERROR(__xludf.DUMMYFUNCTION("""COMPUTED_VALUE"""),0.0)</f>
        <v>0</v>
      </c>
      <c r="N266" s="148" t="str">
        <f>IFERROR(__xludf.DUMMYFUNCTION("""COMPUTED_VALUE"""),"[]")</f>
        <v>[]</v>
      </c>
      <c r="O266" s="148" t="str">
        <f>IFERROR(__xludf.DUMMYFUNCTION("""COMPUTED_VALUE"""),"{}")</f>
        <v>{}</v>
      </c>
      <c r="P266" s="148">
        <f>IFERROR(__xludf.DUMMYFUNCTION("""COMPUTED_VALUE"""),0.0)</f>
        <v>0</v>
      </c>
      <c r="Q266" s="148" t="str">
        <f>IFERROR(__xludf.DUMMYFUNCTION("""COMPUTED_VALUE"""),"[]")</f>
        <v>[]</v>
      </c>
      <c r="R266" s="148" t="str">
        <f>IFERROR(__xludf.DUMMYFUNCTION("""COMPUTED_VALUE"""),"{}")</f>
        <v>{}</v>
      </c>
      <c r="S266" s="148">
        <f>IFERROR(__xludf.DUMMYFUNCTION("""COMPUTED_VALUE"""),0.0)</f>
        <v>0</v>
      </c>
      <c r="T266" s="148" t="str">
        <f>IFERROR(__xludf.DUMMYFUNCTION("""COMPUTED_VALUE"""),"[]")</f>
        <v>[]</v>
      </c>
      <c r="U266" s="148">
        <f>IFERROR(__xludf.DUMMYFUNCTION("""COMPUTED_VALUE"""),0.0)</f>
        <v>0</v>
      </c>
      <c r="V266" s="148" t="str">
        <f>IFERROR(__xludf.DUMMYFUNCTION("""COMPUTED_VALUE"""),"{}")</f>
        <v>{}</v>
      </c>
      <c r="W266" s="148" t="str">
        <f>IFERROR(__xludf.DUMMYFUNCTION("""COMPUTED_VALUE"""),"[]")</f>
        <v>[]</v>
      </c>
      <c r="X266" s="148" t="str">
        <f>IFERROR(__xludf.DUMMYFUNCTION("""COMPUTED_VALUE"""),"[{""typ"":""power"",""id"":12141002,""val"":4}]")</f>
        <v>[{"typ":"power","id":12141002,"val":4}]</v>
      </c>
      <c r="Y266" s="148" t="str">
        <f>IFERROR(__xludf.DUMMYFUNCTION("""COMPUTED_VALUE"""),"[{""typ"":""atk"",""val"":230},{""typ"":""def"",""val"":210},{""typ"":""hp"",""val"":210},{""typ"":""speed"",""val"":40},{""typ"":""load"",""val"":20},{""typ"":""backcoef"",""val"":0.5},{""typ"":""atkcoef"",""val"":1.0},{""typ"":""atkcd"",""val"":0}]")</f>
        <v>[{"typ":"atk","val":230},{"typ":"def","val":210},{"typ":"hp","val":210},{"typ":"speed","val":40},{"typ":"load","val":20},{"typ":"backcoef","val":0.5},{"typ":"atkcoef","val":1.0},{"typ":"atkcd","val":0}]</v>
      </c>
      <c r="Z266" s="148" t="str">
        <f>IFERROR(__xludf.DUMMYFUNCTION("""COMPUTED_VALUE"""),"[]")</f>
        <v>[]</v>
      </c>
    </row>
    <row r="267">
      <c r="A267" s="148">
        <f>IFERROR(__xludf.DUMMYFUNCTION("""COMPUTED_VALUE"""),1.1214403E7)</f>
        <v>11214403</v>
      </c>
      <c r="B267" s="148" t="str">
        <f>IFERROR(__xludf.DUMMYFUNCTION("""COMPUTED_VALUE"""),"边境特殊怪中")</f>
        <v>边境特殊怪中</v>
      </c>
      <c r="C267" s="148">
        <f>IFERROR(__xludf.DUMMYFUNCTION("""COMPUTED_VALUE"""),1.1221004E7)</f>
        <v>11221004</v>
      </c>
      <c r="D267" s="148">
        <f>IFERROR(__xludf.DUMMYFUNCTION("""COMPUTED_VALUE"""),1.5118713E7)</f>
        <v>15118713</v>
      </c>
      <c r="E267" s="148" t="str">
        <f>IFERROR(__xludf.DUMMYFUNCTION("""COMPUTED_VALUE"""),"{""typ"":""lc"",""txt"":""LC_NPC_kvk4_npc_frontier_big_name""}")</f>
        <v>{"typ":"lc","txt":"LC_NPC_kvk4_npc_frontier_big_name"}</v>
      </c>
      <c r="F267" s="148" t="str">
        <f>IFERROR(__xludf.DUMMYFUNCTION("""COMPUTED_VALUE"""),"{""typ"":""lc"",""txt"":""LC_NPC_kvk4_npc_frontier_big_desc""}")</f>
        <v>{"typ":"lc","txt":"LC_NPC_kvk4_npc_frontier_big_desc"}</v>
      </c>
      <c r="G267" s="148">
        <f>IFERROR(__xludf.DUMMYFUNCTION("""COMPUTED_VALUE"""),4.0)</f>
        <v>4</v>
      </c>
      <c r="H267" s="148">
        <f>IFERROR(__xludf.DUMMYFUNCTION("""COMPUTED_VALUE"""),9.0)</f>
        <v>9</v>
      </c>
      <c r="I267" s="148">
        <f>IFERROR(__xludf.DUMMYFUNCTION("""COMPUTED_VALUE"""),10006.0)</f>
        <v>10006</v>
      </c>
      <c r="J267" s="148">
        <f>IFERROR(__xludf.DUMMYFUNCTION("""COMPUTED_VALUE"""),6.0)</f>
        <v>6</v>
      </c>
      <c r="K267" s="148">
        <f>IFERROR(__xludf.DUMMYFUNCTION("""COMPUTED_VALUE"""),10.0)</f>
        <v>10</v>
      </c>
      <c r="L267" s="148">
        <f>IFERROR(__xludf.DUMMYFUNCTION("""COMPUTED_VALUE"""),6.0)</f>
        <v>6</v>
      </c>
      <c r="M267" s="148">
        <f>IFERROR(__xludf.DUMMYFUNCTION("""COMPUTED_VALUE"""),0.0)</f>
        <v>0</v>
      </c>
      <c r="N267" s="148" t="str">
        <f>IFERROR(__xludf.DUMMYFUNCTION("""COMPUTED_VALUE"""),"[]")</f>
        <v>[]</v>
      </c>
      <c r="O267" s="148" t="str">
        <f>IFERROR(__xludf.DUMMYFUNCTION("""COMPUTED_VALUE"""),"{}")</f>
        <v>{}</v>
      </c>
      <c r="P267" s="148">
        <f>IFERROR(__xludf.DUMMYFUNCTION("""COMPUTED_VALUE"""),0.0)</f>
        <v>0</v>
      </c>
      <c r="Q267" s="148" t="str">
        <f>IFERROR(__xludf.DUMMYFUNCTION("""COMPUTED_VALUE"""),"[]")</f>
        <v>[]</v>
      </c>
      <c r="R267" s="148" t="str">
        <f>IFERROR(__xludf.DUMMYFUNCTION("""COMPUTED_VALUE"""),"{}")</f>
        <v>{}</v>
      </c>
      <c r="S267" s="148">
        <f>IFERROR(__xludf.DUMMYFUNCTION("""COMPUTED_VALUE"""),0.0)</f>
        <v>0</v>
      </c>
      <c r="T267" s="148" t="str">
        <f>IFERROR(__xludf.DUMMYFUNCTION("""COMPUTED_VALUE"""),"[]")</f>
        <v>[]</v>
      </c>
      <c r="U267" s="148">
        <f>IFERROR(__xludf.DUMMYFUNCTION("""COMPUTED_VALUE"""),0.0)</f>
        <v>0</v>
      </c>
      <c r="V267" s="148" t="str">
        <f>IFERROR(__xludf.DUMMYFUNCTION("""COMPUTED_VALUE"""),"{}")</f>
        <v>{}</v>
      </c>
      <c r="W267" s="148" t="str">
        <f>IFERROR(__xludf.DUMMYFUNCTION("""COMPUTED_VALUE"""),"[]")</f>
        <v>[]</v>
      </c>
      <c r="X267" s="148" t="str">
        <f>IFERROR(__xludf.DUMMYFUNCTION("""COMPUTED_VALUE"""),"[{""typ"":""power"",""id"":12141002,""val"":4}]")</f>
        <v>[{"typ":"power","id":12141002,"val":4}]</v>
      </c>
      <c r="Y267" s="148" t="str">
        <f>IFERROR(__xludf.DUMMYFUNCTION("""COMPUTED_VALUE"""),"[{""typ"":""atk"",""val"":200},{""typ"":""def"",""val"":190},{""typ"":""hp"",""val"":180},{""typ"":""speed"",""val"":40},{""typ"":""load"",""val"":20},{""typ"":""backcoef"",""val"":0.5},{""typ"":""atkcoef"",""val"":1.0},{""typ"":""atkcd"",""val"":0}]")</f>
        <v>[{"typ":"atk","val":200},{"typ":"def","val":190},{"typ":"hp","val":180},{"typ":"speed","val":40},{"typ":"load","val":20},{"typ":"backcoef","val":0.5},{"typ":"atkcoef","val":1.0},{"typ":"atkcd","val":0}]</v>
      </c>
      <c r="Z267" s="148" t="str">
        <f>IFERROR(__xludf.DUMMYFUNCTION("""COMPUTED_VALUE"""),"[]")</f>
        <v>[]</v>
      </c>
    </row>
    <row r="268">
      <c r="A268" s="148">
        <f>IFERROR(__xludf.DUMMYFUNCTION("""COMPUTED_VALUE"""),1.1214404E7)</f>
        <v>11214404</v>
      </c>
      <c r="B268" s="148" t="str">
        <f>IFERROR(__xludf.DUMMYFUNCTION("""COMPUTED_VALUE"""),"边境特殊怪小")</f>
        <v>边境特殊怪小</v>
      </c>
      <c r="C268" s="148">
        <f>IFERROR(__xludf.DUMMYFUNCTION("""COMPUTED_VALUE"""),1.1221004E7)</f>
        <v>11221004</v>
      </c>
      <c r="D268" s="148">
        <f>IFERROR(__xludf.DUMMYFUNCTION("""COMPUTED_VALUE"""),1.5118712E7)</f>
        <v>15118712</v>
      </c>
      <c r="E268" s="148" t="str">
        <f>IFERROR(__xludf.DUMMYFUNCTION("""COMPUTED_VALUE"""),"{""typ"":""lc"",""txt"":""LC_NPC_kvk4_npc_frontier_big_name""}")</f>
        <v>{"typ":"lc","txt":"LC_NPC_kvk4_npc_frontier_big_name"}</v>
      </c>
      <c r="F268" s="148" t="str">
        <f>IFERROR(__xludf.DUMMYFUNCTION("""COMPUTED_VALUE"""),"{""typ"":""lc"",""txt"":""LC_NPC_kvk4_npc_frontier_big_desc""}")</f>
        <v>{"typ":"lc","txt":"LC_NPC_kvk4_npc_frontier_big_desc"}</v>
      </c>
      <c r="G268" s="148">
        <f>IFERROR(__xludf.DUMMYFUNCTION("""COMPUTED_VALUE"""),4.0)</f>
        <v>4</v>
      </c>
      <c r="H268" s="148">
        <f>IFERROR(__xludf.DUMMYFUNCTION("""COMPUTED_VALUE"""),9.0)</f>
        <v>9</v>
      </c>
      <c r="I268" s="148">
        <f>IFERROR(__xludf.DUMMYFUNCTION("""COMPUTED_VALUE"""),10006.0)</f>
        <v>10006</v>
      </c>
      <c r="J268" s="148">
        <f>IFERROR(__xludf.DUMMYFUNCTION("""COMPUTED_VALUE"""),6.0)</f>
        <v>6</v>
      </c>
      <c r="K268" s="148">
        <f>IFERROR(__xludf.DUMMYFUNCTION("""COMPUTED_VALUE"""),10.0)</f>
        <v>10</v>
      </c>
      <c r="L268" s="148">
        <f>IFERROR(__xludf.DUMMYFUNCTION("""COMPUTED_VALUE"""),6.0)</f>
        <v>6</v>
      </c>
      <c r="M268" s="148">
        <f>IFERROR(__xludf.DUMMYFUNCTION("""COMPUTED_VALUE"""),0.0)</f>
        <v>0</v>
      </c>
      <c r="N268" s="148" t="str">
        <f>IFERROR(__xludf.DUMMYFUNCTION("""COMPUTED_VALUE"""),"[]")</f>
        <v>[]</v>
      </c>
      <c r="O268" s="148" t="str">
        <f>IFERROR(__xludf.DUMMYFUNCTION("""COMPUTED_VALUE"""),"{}")</f>
        <v>{}</v>
      </c>
      <c r="P268" s="148">
        <f>IFERROR(__xludf.DUMMYFUNCTION("""COMPUTED_VALUE"""),0.0)</f>
        <v>0</v>
      </c>
      <c r="Q268" s="148" t="str">
        <f>IFERROR(__xludf.DUMMYFUNCTION("""COMPUTED_VALUE"""),"[]")</f>
        <v>[]</v>
      </c>
      <c r="R268" s="148" t="str">
        <f>IFERROR(__xludf.DUMMYFUNCTION("""COMPUTED_VALUE"""),"{}")</f>
        <v>{}</v>
      </c>
      <c r="S268" s="148">
        <f>IFERROR(__xludf.DUMMYFUNCTION("""COMPUTED_VALUE"""),0.0)</f>
        <v>0</v>
      </c>
      <c r="T268" s="148" t="str">
        <f>IFERROR(__xludf.DUMMYFUNCTION("""COMPUTED_VALUE"""),"[]")</f>
        <v>[]</v>
      </c>
      <c r="U268" s="148">
        <f>IFERROR(__xludf.DUMMYFUNCTION("""COMPUTED_VALUE"""),0.0)</f>
        <v>0</v>
      </c>
      <c r="V268" s="148" t="str">
        <f>IFERROR(__xludf.DUMMYFUNCTION("""COMPUTED_VALUE"""),"{}")</f>
        <v>{}</v>
      </c>
      <c r="W268" s="148" t="str">
        <f>IFERROR(__xludf.DUMMYFUNCTION("""COMPUTED_VALUE"""),"[]")</f>
        <v>[]</v>
      </c>
      <c r="X268" s="148" t="str">
        <f>IFERROR(__xludf.DUMMYFUNCTION("""COMPUTED_VALUE"""),"[{""typ"":""power"",""id"":12141002,""val"":4}]")</f>
        <v>[{"typ":"power","id":12141002,"val":4}]</v>
      </c>
      <c r="Y268" s="148" t="str">
        <f>IFERROR(__xludf.DUMMYFUNCTION("""COMPUTED_VALUE"""),"[{""typ"":""atk"",""val"":160},{""typ"":""def"",""val"":160},{""typ"":""hp"",""val"":160},{""typ"":""speed"",""val"":40},{""typ"":""load"",""val"":20},{""typ"":""backcoef"",""val"":0.5},{""typ"":""atkcoef"",""val"":1.0},{""typ"":""atkcd"",""val"":0}]")</f>
        <v>[{"typ":"atk","val":160},{"typ":"def","val":160},{"typ":"hp","val":160},{"typ":"speed","val":40},{"typ":"load","val":20},{"typ":"backcoef","val":0.5},{"typ":"atkcoef","val":1.0},{"typ":"atkcd","val":0}]</v>
      </c>
      <c r="Z268" s="148" t="str">
        <f>IFERROR(__xludf.DUMMYFUNCTION("""COMPUTED_VALUE"""),"[]")</f>
        <v>[]</v>
      </c>
    </row>
    <row r="269">
      <c r="A269" s="148">
        <f>IFERROR(__xludf.DUMMYFUNCTION("""COMPUTED_VALUE"""),1.1214405E7)</f>
        <v>11214405</v>
      </c>
      <c r="B269" s="148" t="str">
        <f>IFERROR(__xludf.DUMMYFUNCTION("""COMPUTED_VALUE"""),"边境特殊怪小小")</f>
        <v>边境特殊怪小小</v>
      </c>
      <c r="C269" s="148">
        <f>IFERROR(__xludf.DUMMYFUNCTION("""COMPUTED_VALUE"""),1.1221004E7)</f>
        <v>11221004</v>
      </c>
      <c r="D269" s="148">
        <f>IFERROR(__xludf.DUMMYFUNCTION("""COMPUTED_VALUE"""),1.5118711E7)</f>
        <v>15118711</v>
      </c>
      <c r="E269" s="148" t="str">
        <f>IFERROR(__xludf.DUMMYFUNCTION("""COMPUTED_VALUE"""),"{""typ"":""lc"",""txt"":""LC_NPC_kvk4_npc_frontier_big_name""}")</f>
        <v>{"typ":"lc","txt":"LC_NPC_kvk4_npc_frontier_big_name"}</v>
      </c>
      <c r="F269" s="148" t="str">
        <f>IFERROR(__xludf.DUMMYFUNCTION("""COMPUTED_VALUE"""),"{""typ"":""lc"",""txt"":""LC_NPC_kvk4_npc_frontier_big_desc""}")</f>
        <v>{"typ":"lc","txt":"LC_NPC_kvk4_npc_frontier_big_desc"}</v>
      </c>
      <c r="G269" s="148">
        <f>IFERROR(__xludf.DUMMYFUNCTION("""COMPUTED_VALUE"""),4.0)</f>
        <v>4</v>
      </c>
      <c r="H269" s="148">
        <f>IFERROR(__xludf.DUMMYFUNCTION("""COMPUTED_VALUE"""),9.0)</f>
        <v>9</v>
      </c>
      <c r="I269" s="148">
        <f>IFERROR(__xludf.DUMMYFUNCTION("""COMPUTED_VALUE"""),10006.0)</f>
        <v>10006</v>
      </c>
      <c r="J269" s="148">
        <f>IFERROR(__xludf.DUMMYFUNCTION("""COMPUTED_VALUE"""),6.0)</f>
        <v>6</v>
      </c>
      <c r="K269" s="148">
        <f>IFERROR(__xludf.DUMMYFUNCTION("""COMPUTED_VALUE"""),10.0)</f>
        <v>10</v>
      </c>
      <c r="L269" s="148">
        <f>IFERROR(__xludf.DUMMYFUNCTION("""COMPUTED_VALUE"""),6.0)</f>
        <v>6</v>
      </c>
      <c r="M269" s="148">
        <f>IFERROR(__xludf.DUMMYFUNCTION("""COMPUTED_VALUE"""),0.0)</f>
        <v>0</v>
      </c>
      <c r="N269" s="148" t="str">
        <f>IFERROR(__xludf.DUMMYFUNCTION("""COMPUTED_VALUE"""),"[]")</f>
        <v>[]</v>
      </c>
      <c r="O269" s="148" t="str">
        <f>IFERROR(__xludf.DUMMYFUNCTION("""COMPUTED_VALUE"""),"{}")</f>
        <v>{}</v>
      </c>
      <c r="P269" s="148">
        <f>IFERROR(__xludf.DUMMYFUNCTION("""COMPUTED_VALUE"""),0.0)</f>
        <v>0</v>
      </c>
      <c r="Q269" s="148" t="str">
        <f>IFERROR(__xludf.DUMMYFUNCTION("""COMPUTED_VALUE"""),"[]")</f>
        <v>[]</v>
      </c>
      <c r="R269" s="148" t="str">
        <f>IFERROR(__xludf.DUMMYFUNCTION("""COMPUTED_VALUE"""),"{}")</f>
        <v>{}</v>
      </c>
      <c r="S269" s="148">
        <f>IFERROR(__xludf.DUMMYFUNCTION("""COMPUTED_VALUE"""),0.0)</f>
        <v>0</v>
      </c>
      <c r="T269" s="148" t="str">
        <f>IFERROR(__xludf.DUMMYFUNCTION("""COMPUTED_VALUE"""),"[]")</f>
        <v>[]</v>
      </c>
      <c r="U269" s="148">
        <f>IFERROR(__xludf.DUMMYFUNCTION("""COMPUTED_VALUE"""),0.0)</f>
        <v>0</v>
      </c>
      <c r="V269" s="148" t="str">
        <f>IFERROR(__xludf.DUMMYFUNCTION("""COMPUTED_VALUE"""),"{}")</f>
        <v>{}</v>
      </c>
      <c r="W269" s="148" t="str">
        <f>IFERROR(__xludf.DUMMYFUNCTION("""COMPUTED_VALUE"""),"[]")</f>
        <v>[]</v>
      </c>
      <c r="X269" s="148" t="str">
        <f>IFERROR(__xludf.DUMMYFUNCTION("""COMPUTED_VALUE"""),"[{""typ"":""power"",""id"":12141002,""val"":4}]")</f>
        <v>[{"typ":"power","id":12141002,"val":4}]</v>
      </c>
      <c r="Y269" s="148" t="str">
        <f>IFERROR(__xludf.DUMMYFUNCTION("""COMPUTED_VALUE"""),"[{""typ"":""atk"",""val"":160},{""typ"":""def"",""val"":160},{""typ"":""hp"",""val"":160},{""typ"":""speed"",""val"":40},{""typ"":""load"",""val"":20},{""typ"":""backcoef"",""val"":0.5},{""typ"":""atkcoef"",""val"":1.0},{""typ"":""atkcd"",""val"":0}]")</f>
        <v>[{"typ":"atk","val":160},{"typ":"def","val":160},{"typ":"hp","val":160},{"typ":"speed","val":40},{"typ":"load","val":20},{"typ":"backcoef","val":0.5},{"typ":"atkcoef","val":1.0},{"typ":"atkcd","val":0}]</v>
      </c>
      <c r="Z269" s="148" t="str">
        <f>IFERROR(__xludf.DUMMYFUNCTION("""COMPUTED_VALUE"""),"[]")</f>
        <v>[]</v>
      </c>
    </row>
    <row r="270">
      <c r="A270" s="148">
        <f>IFERROR(__xludf.DUMMYFUNCTION("""COMPUTED_VALUE"""),1.1215001E7)</f>
        <v>11215001</v>
      </c>
      <c r="B270" s="148" t="str">
        <f>IFERROR(__xludf.DUMMYFUNCTION("""COMPUTED_VALUE"""),"大地图单位-野怪-变异怪")</f>
        <v>大地图单位-野怪-变异怪</v>
      </c>
      <c r="C270" s="148">
        <f>IFERROR(__xludf.DUMMYFUNCTION("""COMPUTED_VALUE"""),1.1221004E7)</f>
        <v>11221004</v>
      </c>
      <c r="D270" s="148">
        <f>IFERROR(__xludf.DUMMYFUNCTION("""COMPUTED_VALUE"""),1.5111314E7)</f>
        <v>15111314</v>
      </c>
      <c r="E270" s="148" t="str">
        <f>IFERROR(__xludf.DUMMYFUNCTION("""COMPUTED_VALUE"""),"{""typ"":""lc"",""txt"":""LC_SOLDIER_npc_name_1""}")</f>
        <v>{"typ":"lc","txt":"LC_SOLDIER_npc_name_1"}</v>
      </c>
      <c r="F270" s="148" t="str">
        <f>IFERROR(__xludf.DUMMYFUNCTION("""COMPUTED_VALUE"""),"{}")</f>
        <v>{}</v>
      </c>
      <c r="G270" s="148">
        <f>IFERROR(__xludf.DUMMYFUNCTION("""COMPUTED_VALUE"""),10.0)</f>
        <v>10</v>
      </c>
      <c r="H270" s="148">
        <f>IFERROR(__xludf.DUMMYFUNCTION("""COMPUTED_VALUE"""),10099.0)</f>
        <v>10099</v>
      </c>
      <c r="I270" s="148">
        <f>IFERROR(__xludf.DUMMYFUNCTION("""COMPUTED_VALUE"""),10099.0)</f>
        <v>10099</v>
      </c>
      <c r="J270" s="148">
        <f>IFERROR(__xludf.DUMMYFUNCTION("""COMPUTED_VALUE"""),0.0)</f>
        <v>0</v>
      </c>
      <c r="K270" s="148">
        <f>IFERROR(__xludf.DUMMYFUNCTION("""COMPUTED_VALUE"""),10.0)</f>
        <v>10</v>
      </c>
      <c r="L270" s="148">
        <f>IFERROR(__xludf.DUMMYFUNCTION("""COMPUTED_VALUE"""),99.0)</f>
        <v>99</v>
      </c>
      <c r="M270" s="148">
        <f>IFERROR(__xludf.DUMMYFUNCTION("""COMPUTED_VALUE"""),0.0)</f>
        <v>0</v>
      </c>
      <c r="N270" s="148" t="str">
        <f>IFERROR(__xludf.DUMMYFUNCTION("""COMPUTED_VALUE"""),"[]")</f>
        <v>[]</v>
      </c>
      <c r="O270" s="148" t="str">
        <f>IFERROR(__xludf.DUMMYFUNCTION("""COMPUTED_VALUE"""),"{}")</f>
        <v>{}</v>
      </c>
      <c r="P270" s="148">
        <f>IFERROR(__xludf.DUMMYFUNCTION("""COMPUTED_VALUE"""),0.0)</f>
        <v>0</v>
      </c>
      <c r="Q270" s="148" t="str">
        <f>IFERROR(__xludf.DUMMYFUNCTION("""COMPUTED_VALUE"""),"[]")</f>
        <v>[]</v>
      </c>
      <c r="R270" s="148" t="str">
        <f>IFERROR(__xludf.DUMMYFUNCTION("""COMPUTED_VALUE"""),"{}")</f>
        <v>{}</v>
      </c>
      <c r="S270" s="148">
        <f>IFERROR(__xludf.DUMMYFUNCTION("""COMPUTED_VALUE"""),0.0)</f>
        <v>0</v>
      </c>
      <c r="T270" s="148" t="str">
        <f>IFERROR(__xludf.DUMMYFUNCTION("""COMPUTED_VALUE"""),"[]")</f>
        <v>[]</v>
      </c>
      <c r="U270" s="148">
        <f>IFERROR(__xludf.DUMMYFUNCTION("""COMPUTED_VALUE"""),0.0)</f>
        <v>0</v>
      </c>
      <c r="V270" s="148" t="str">
        <f>IFERROR(__xludf.DUMMYFUNCTION("""COMPUTED_VALUE"""),"{}")</f>
        <v>{}</v>
      </c>
      <c r="W270" s="148" t="str">
        <f>IFERROR(__xludf.DUMMYFUNCTION("""COMPUTED_VALUE"""),"[]")</f>
        <v>[]</v>
      </c>
      <c r="X270" s="148" t="str">
        <f>IFERROR(__xludf.DUMMYFUNCTION("""COMPUTED_VALUE"""),"[{""typ"":""power"",""id"":12141002,""val"":1}]")</f>
        <v>[{"typ":"power","id":12141002,"val":1}]</v>
      </c>
      <c r="Y270" s="148" t="str">
        <f>IFERROR(__xludf.DUMMYFUNCTION("""COMPUTED_VALUE"""),"[{""typ"":""atk"",""val"":60},{""typ"":""def"",""val"":125},{""typ"":""hp"",""val"":135},{""typ"":""speed"",""val"":40},{""typ"":""load"",""val"":20},{""typ"":""backcoef"",""val"":0.5},{""typ"":""atkcoef"",""val"":1.0},{""typ"":""atkcd"",""val"":0}]")</f>
        <v>[{"typ":"atk","val":60},{"typ":"def","val":125},{"typ":"hp","val":135},{"typ":"speed","val":40},{"typ":"load","val":20},{"typ":"backcoef","val":0.5},{"typ":"atkcoef","val":1.0},{"typ":"atkcd","val":0}]</v>
      </c>
      <c r="Z270" s="148" t="str">
        <f>IFERROR(__xludf.DUMMYFUNCTION("""COMPUTED_VALUE"""),"[]")</f>
        <v>[]</v>
      </c>
    </row>
    <row r="271">
      <c r="A271" s="148">
        <f>IFERROR(__xludf.DUMMYFUNCTION("""COMPUTED_VALUE"""),1.1216001E7)</f>
        <v>11216001</v>
      </c>
      <c r="B271" s="148" t="str">
        <f>IFERROR(__xludf.DUMMYFUNCTION("""COMPUTED_VALUE"""),"大地图单位-野怪-boss-T1")</f>
        <v>大地图单位-野怪-boss-T1</v>
      </c>
      <c r="C271" s="148">
        <f>IFERROR(__xludf.DUMMYFUNCTION("""COMPUTED_VALUE"""),1.1221004E7)</f>
        <v>11221004</v>
      </c>
      <c r="D271" s="148">
        <f>IFERROR(__xludf.DUMMYFUNCTION("""COMPUTED_VALUE"""),1.5111315E7)</f>
        <v>15111315</v>
      </c>
      <c r="E271" s="148" t="str">
        <f>IFERROR(__xludf.DUMMYFUNCTION("""COMPUTED_VALUE"""),"{""typ"":""lc"",""txt"":""LC_SOLDIER_npc_name_1""}")</f>
        <v>{"typ":"lc","txt":"LC_SOLDIER_npc_name_1"}</v>
      </c>
      <c r="F271" s="148" t="str">
        <f>IFERROR(__xludf.DUMMYFUNCTION("""COMPUTED_VALUE"""),"{}")</f>
        <v>{}</v>
      </c>
      <c r="G271" s="148">
        <f>IFERROR(__xludf.DUMMYFUNCTION("""COMPUTED_VALUE"""),10.0)</f>
        <v>10</v>
      </c>
      <c r="H271" s="148">
        <f>IFERROR(__xludf.DUMMYFUNCTION("""COMPUTED_VALUE"""),10099.0)</f>
        <v>10099</v>
      </c>
      <c r="I271" s="148">
        <f>IFERROR(__xludf.DUMMYFUNCTION("""COMPUTED_VALUE"""),10099.0)</f>
        <v>10099</v>
      </c>
      <c r="J271" s="148">
        <f>IFERROR(__xludf.DUMMYFUNCTION("""COMPUTED_VALUE"""),0.0)</f>
        <v>0</v>
      </c>
      <c r="K271" s="148">
        <f>IFERROR(__xludf.DUMMYFUNCTION("""COMPUTED_VALUE"""),10.0)</f>
        <v>10</v>
      </c>
      <c r="L271" s="148">
        <f>IFERROR(__xludf.DUMMYFUNCTION("""COMPUTED_VALUE"""),99.0)</f>
        <v>99</v>
      </c>
      <c r="M271" s="148">
        <f>IFERROR(__xludf.DUMMYFUNCTION("""COMPUTED_VALUE"""),0.0)</f>
        <v>0</v>
      </c>
      <c r="N271" s="148" t="str">
        <f>IFERROR(__xludf.DUMMYFUNCTION("""COMPUTED_VALUE"""),"[]")</f>
        <v>[]</v>
      </c>
      <c r="O271" s="148" t="str">
        <f>IFERROR(__xludf.DUMMYFUNCTION("""COMPUTED_VALUE"""),"{}")</f>
        <v>{}</v>
      </c>
      <c r="P271" s="148">
        <f>IFERROR(__xludf.DUMMYFUNCTION("""COMPUTED_VALUE"""),0.0)</f>
        <v>0</v>
      </c>
      <c r="Q271" s="148" t="str">
        <f>IFERROR(__xludf.DUMMYFUNCTION("""COMPUTED_VALUE"""),"[]")</f>
        <v>[]</v>
      </c>
      <c r="R271" s="148" t="str">
        <f>IFERROR(__xludf.DUMMYFUNCTION("""COMPUTED_VALUE"""),"{}")</f>
        <v>{}</v>
      </c>
      <c r="S271" s="148">
        <f>IFERROR(__xludf.DUMMYFUNCTION("""COMPUTED_VALUE"""),0.0)</f>
        <v>0</v>
      </c>
      <c r="T271" s="148" t="str">
        <f>IFERROR(__xludf.DUMMYFUNCTION("""COMPUTED_VALUE"""),"[]")</f>
        <v>[]</v>
      </c>
      <c r="U271" s="148">
        <f>IFERROR(__xludf.DUMMYFUNCTION("""COMPUTED_VALUE"""),0.0)</f>
        <v>0</v>
      </c>
      <c r="V271" s="148" t="str">
        <f>IFERROR(__xludf.DUMMYFUNCTION("""COMPUTED_VALUE"""),"{}")</f>
        <v>{}</v>
      </c>
      <c r="W271" s="148" t="str">
        <f>IFERROR(__xludf.DUMMYFUNCTION("""COMPUTED_VALUE"""),"[]")</f>
        <v>[]</v>
      </c>
      <c r="X271" s="148" t="str">
        <f>IFERROR(__xludf.DUMMYFUNCTION("""COMPUTED_VALUE"""),"[{""typ"":""power"",""id"":12141002,""val"":1}]")</f>
        <v>[{"typ":"power","id":12141002,"val":1}]</v>
      </c>
      <c r="Y271" s="148" t="str">
        <f>IFERROR(__xludf.DUMMYFUNCTION("""COMPUTED_VALUE"""),"[{""typ"":""atk"",""val"":60},{""typ"":""def"",""val"":125},{""typ"":""hp"",""val"":120},{""typ"":""speed"",""val"":40},{""typ"":""load"",""val"":20},{""typ"":""backcoef"",""val"":0.5},{""typ"":""atkcoef"",""val"":1.0},{""typ"":""atkcd"",""val"":0}]")</f>
        <v>[{"typ":"atk","val":60},{"typ":"def","val":125},{"typ":"hp","val":120},{"typ":"speed","val":40},{"typ":"load","val":20},{"typ":"backcoef","val":0.5},{"typ":"atkcoef","val":1.0},{"typ":"atkcd","val":0}]</v>
      </c>
      <c r="Z271" s="148" t="str">
        <f>IFERROR(__xludf.DUMMYFUNCTION("""COMPUTED_VALUE"""),"[]")</f>
        <v>[]</v>
      </c>
    </row>
    <row r="272">
      <c r="A272" s="148">
        <f>IFERROR(__xludf.DUMMYFUNCTION("""COMPUTED_VALUE"""),1.1216002E7)</f>
        <v>11216002</v>
      </c>
      <c r="B272" s="148" t="str">
        <f>IFERROR(__xludf.DUMMYFUNCTION("""COMPUTED_VALUE"""),"大地图单位-野怪-boss-T2")</f>
        <v>大地图单位-野怪-boss-T2</v>
      </c>
      <c r="C272" s="148">
        <f>IFERROR(__xludf.DUMMYFUNCTION("""COMPUTED_VALUE"""),1.1221004E7)</f>
        <v>11221004</v>
      </c>
      <c r="D272" s="148">
        <f>IFERROR(__xludf.DUMMYFUNCTION("""COMPUTED_VALUE"""),1.5111315E7)</f>
        <v>15111315</v>
      </c>
      <c r="E272" s="148" t="str">
        <f>IFERROR(__xludf.DUMMYFUNCTION("""COMPUTED_VALUE"""),"{""typ"":""lc"",""txt"":""LC_SOLDIER_npc_name_1""}")</f>
        <v>{"typ":"lc","txt":"LC_SOLDIER_npc_name_1"}</v>
      </c>
      <c r="F272" s="148" t="str">
        <f>IFERROR(__xludf.DUMMYFUNCTION("""COMPUTED_VALUE"""),"{}")</f>
        <v>{}</v>
      </c>
      <c r="G272" s="148">
        <f>IFERROR(__xludf.DUMMYFUNCTION("""COMPUTED_VALUE"""),10.0)</f>
        <v>10</v>
      </c>
      <c r="H272" s="148">
        <f>IFERROR(__xludf.DUMMYFUNCTION("""COMPUTED_VALUE"""),10099.0)</f>
        <v>10099</v>
      </c>
      <c r="I272" s="148">
        <f>IFERROR(__xludf.DUMMYFUNCTION("""COMPUTED_VALUE"""),10099.0)</f>
        <v>10099</v>
      </c>
      <c r="J272" s="148">
        <f>IFERROR(__xludf.DUMMYFUNCTION("""COMPUTED_VALUE"""),0.0)</f>
        <v>0</v>
      </c>
      <c r="K272" s="148">
        <f>IFERROR(__xludf.DUMMYFUNCTION("""COMPUTED_VALUE"""),10.0)</f>
        <v>10</v>
      </c>
      <c r="L272" s="148">
        <f>IFERROR(__xludf.DUMMYFUNCTION("""COMPUTED_VALUE"""),99.0)</f>
        <v>99</v>
      </c>
      <c r="M272" s="148">
        <f>IFERROR(__xludf.DUMMYFUNCTION("""COMPUTED_VALUE"""),0.0)</f>
        <v>0</v>
      </c>
      <c r="N272" s="148" t="str">
        <f>IFERROR(__xludf.DUMMYFUNCTION("""COMPUTED_VALUE"""),"[]")</f>
        <v>[]</v>
      </c>
      <c r="O272" s="148" t="str">
        <f>IFERROR(__xludf.DUMMYFUNCTION("""COMPUTED_VALUE"""),"{}")</f>
        <v>{}</v>
      </c>
      <c r="P272" s="148">
        <f>IFERROR(__xludf.DUMMYFUNCTION("""COMPUTED_VALUE"""),0.0)</f>
        <v>0</v>
      </c>
      <c r="Q272" s="148" t="str">
        <f>IFERROR(__xludf.DUMMYFUNCTION("""COMPUTED_VALUE"""),"[]")</f>
        <v>[]</v>
      </c>
      <c r="R272" s="148" t="str">
        <f>IFERROR(__xludf.DUMMYFUNCTION("""COMPUTED_VALUE"""),"{}")</f>
        <v>{}</v>
      </c>
      <c r="S272" s="148">
        <f>IFERROR(__xludf.DUMMYFUNCTION("""COMPUTED_VALUE"""),0.0)</f>
        <v>0</v>
      </c>
      <c r="T272" s="148" t="str">
        <f>IFERROR(__xludf.DUMMYFUNCTION("""COMPUTED_VALUE"""),"[]")</f>
        <v>[]</v>
      </c>
      <c r="U272" s="148">
        <f>IFERROR(__xludf.DUMMYFUNCTION("""COMPUTED_VALUE"""),0.0)</f>
        <v>0</v>
      </c>
      <c r="V272" s="148" t="str">
        <f>IFERROR(__xludf.DUMMYFUNCTION("""COMPUTED_VALUE"""),"{}")</f>
        <v>{}</v>
      </c>
      <c r="W272" s="148" t="str">
        <f>IFERROR(__xludf.DUMMYFUNCTION("""COMPUTED_VALUE"""),"[]")</f>
        <v>[]</v>
      </c>
      <c r="X272" s="148" t="str">
        <f>IFERROR(__xludf.DUMMYFUNCTION("""COMPUTED_VALUE"""),"[{""typ"":""power"",""id"":12141002,""val"":2}]")</f>
        <v>[{"typ":"power","id":12141002,"val":2}]</v>
      </c>
      <c r="Y272" s="148" t="str">
        <f>IFERROR(__xludf.DUMMYFUNCTION("""COMPUTED_VALUE"""),"[{""typ"":""atk"",""val"":120},{""typ"":""def"",""val"":130},{""typ"":""hp"",""val"":130},{""typ"":""speed"",""val"":40},{""typ"":""load"",""val"":20},{""typ"":""backcoef"",""val"":0.5},{""typ"":""atkcoef"",""val"":1.0},{""typ"":""atkcd"",""val"":0}]")</f>
        <v>[{"typ":"atk","val":120},{"typ":"def","val":130},{"typ":"hp","val":130},{"typ":"speed","val":40},{"typ":"load","val":20},{"typ":"backcoef","val":0.5},{"typ":"atkcoef","val":1.0},{"typ":"atkcd","val":0}]</v>
      </c>
      <c r="Z272" s="148" t="str">
        <f>IFERROR(__xludf.DUMMYFUNCTION("""COMPUTED_VALUE"""),"[]")</f>
        <v>[]</v>
      </c>
    </row>
    <row r="273">
      <c r="A273" s="148">
        <f>IFERROR(__xludf.DUMMYFUNCTION("""COMPUTED_VALUE"""),1.1216003E7)</f>
        <v>11216003</v>
      </c>
      <c r="B273" s="148" t="str">
        <f>IFERROR(__xludf.DUMMYFUNCTION("""COMPUTED_VALUE"""),"大地图单位-野怪-boss-T3")</f>
        <v>大地图单位-野怪-boss-T3</v>
      </c>
      <c r="C273" s="148">
        <f>IFERROR(__xludf.DUMMYFUNCTION("""COMPUTED_VALUE"""),1.1221004E7)</f>
        <v>11221004</v>
      </c>
      <c r="D273" s="148">
        <f>IFERROR(__xludf.DUMMYFUNCTION("""COMPUTED_VALUE"""),1.5111315E7)</f>
        <v>15111315</v>
      </c>
      <c r="E273" s="148" t="str">
        <f>IFERROR(__xludf.DUMMYFUNCTION("""COMPUTED_VALUE"""),"{""typ"":""lc"",""txt"":""LC_SOLDIER_npc_name_1""}")</f>
        <v>{"typ":"lc","txt":"LC_SOLDIER_npc_name_1"}</v>
      </c>
      <c r="F273" s="148" t="str">
        <f>IFERROR(__xludf.DUMMYFUNCTION("""COMPUTED_VALUE"""),"{}")</f>
        <v>{}</v>
      </c>
      <c r="G273" s="148">
        <f>IFERROR(__xludf.DUMMYFUNCTION("""COMPUTED_VALUE"""),10.0)</f>
        <v>10</v>
      </c>
      <c r="H273" s="148">
        <f>IFERROR(__xludf.DUMMYFUNCTION("""COMPUTED_VALUE"""),10099.0)</f>
        <v>10099</v>
      </c>
      <c r="I273" s="148">
        <f>IFERROR(__xludf.DUMMYFUNCTION("""COMPUTED_VALUE"""),10099.0)</f>
        <v>10099</v>
      </c>
      <c r="J273" s="148">
        <f>IFERROR(__xludf.DUMMYFUNCTION("""COMPUTED_VALUE"""),0.0)</f>
        <v>0</v>
      </c>
      <c r="K273" s="148">
        <f>IFERROR(__xludf.DUMMYFUNCTION("""COMPUTED_VALUE"""),10.0)</f>
        <v>10</v>
      </c>
      <c r="L273" s="148">
        <f>IFERROR(__xludf.DUMMYFUNCTION("""COMPUTED_VALUE"""),99.0)</f>
        <v>99</v>
      </c>
      <c r="M273" s="148">
        <f>IFERROR(__xludf.DUMMYFUNCTION("""COMPUTED_VALUE"""),0.0)</f>
        <v>0</v>
      </c>
      <c r="N273" s="148" t="str">
        <f>IFERROR(__xludf.DUMMYFUNCTION("""COMPUTED_VALUE"""),"[]")</f>
        <v>[]</v>
      </c>
      <c r="O273" s="148" t="str">
        <f>IFERROR(__xludf.DUMMYFUNCTION("""COMPUTED_VALUE"""),"{}")</f>
        <v>{}</v>
      </c>
      <c r="P273" s="148">
        <f>IFERROR(__xludf.DUMMYFUNCTION("""COMPUTED_VALUE"""),0.0)</f>
        <v>0</v>
      </c>
      <c r="Q273" s="148" t="str">
        <f>IFERROR(__xludf.DUMMYFUNCTION("""COMPUTED_VALUE"""),"[]")</f>
        <v>[]</v>
      </c>
      <c r="R273" s="148" t="str">
        <f>IFERROR(__xludf.DUMMYFUNCTION("""COMPUTED_VALUE"""),"{}")</f>
        <v>{}</v>
      </c>
      <c r="S273" s="148">
        <f>IFERROR(__xludf.DUMMYFUNCTION("""COMPUTED_VALUE"""),0.0)</f>
        <v>0</v>
      </c>
      <c r="T273" s="148" t="str">
        <f>IFERROR(__xludf.DUMMYFUNCTION("""COMPUTED_VALUE"""),"[]")</f>
        <v>[]</v>
      </c>
      <c r="U273" s="148">
        <f>IFERROR(__xludf.DUMMYFUNCTION("""COMPUTED_VALUE"""),0.0)</f>
        <v>0</v>
      </c>
      <c r="V273" s="148" t="str">
        <f>IFERROR(__xludf.DUMMYFUNCTION("""COMPUTED_VALUE"""),"{}")</f>
        <v>{}</v>
      </c>
      <c r="W273" s="148" t="str">
        <f>IFERROR(__xludf.DUMMYFUNCTION("""COMPUTED_VALUE"""),"[]")</f>
        <v>[]</v>
      </c>
      <c r="X273" s="148" t="str">
        <f>IFERROR(__xludf.DUMMYFUNCTION("""COMPUTED_VALUE"""),"[{""typ"":""power"",""id"":12141002,""val"":4}]")</f>
        <v>[{"typ":"power","id":12141002,"val":4}]</v>
      </c>
      <c r="Y273" s="148" t="str">
        <f>IFERROR(__xludf.DUMMYFUNCTION("""COMPUTED_VALUE"""),"[{""typ"":""atk"",""val"":160},{""typ"":""def"",""val"":160},{""typ"":""hp"",""val"":160},{""typ"":""speed"",""val"":40},{""typ"":""load"",""val"":20},{""typ"":""backcoef"",""val"":0.5},{""typ"":""atkcoef"",""val"":1.0},{""typ"":""atkcd"",""val"":0}]")</f>
        <v>[{"typ":"atk","val":160},{"typ":"def","val":160},{"typ":"hp","val":160},{"typ":"speed","val":40},{"typ":"load","val":20},{"typ":"backcoef","val":0.5},{"typ":"atkcoef","val":1.0},{"typ":"atkcd","val":0}]</v>
      </c>
      <c r="Z273" s="148" t="str">
        <f>IFERROR(__xludf.DUMMYFUNCTION("""COMPUTED_VALUE"""),"[]")</f>
        <v>[]</v>
      </c>
    </row>
    <row r="274">
      <c r="A274" s="148">
        <f>IFERROR(__xludf.DUMMYFUNCTION("""COMPUTED_VALUE"""),1.1216004E7)</f>
        <v>11216004</v>
      </c>
      <c r="B274" s="148" t="str">
        <f>IFERROR(__xludf.DUMMYFUNCTION("""COMPUTED_VALUE"""),"大地图单位-野怪-boss-T4")</f>
        <v>大地图单位-野怪-boss-T4</v>
      </c>
      <c r="C274" s="148">
        <f>IFERROR(__xludf.DUMMYFUNCTION("""COMPUTED_VALUE"""),1.1221004E7)</f>
        <v>11221004</v>
      </c>
      <c r="D274" s="148">
        <f>IFERROR(__xludf.DUMMYFUNCTION("""COMPUTED_VALUE"""),1.5111315E7)</f>
        <v>15111315</v>
      </c>
      <c r="E274" s="148" t="str">
        <f>IFERROR(__xludf.DUMMYFUNCTION("""COMPUTED_VALUE"""),"{""typ"":""lc"",""txt"":""LC_SOLDIER_npc_name_1""}")</f>
        <v>{"typ":"lc","txt":"LC_SOLDIER_npc_name_1"}</v>
      </c>
      <c r="F274" s="148" t="str">
        <f>IFERROR(__xludf.DUMMYFUNCTION("""COMPUTED_VALUE"""),"{}")</f>
        <v>{}</v>
      </c>
      <c r="G274" s="148">
        <f>IFERROR(__xludf.DUMMYFUNCTION("""COMPUTED_VALUE"""),10.0)</f>
        <v>10</v>
      </c>
      <c r="H274" s="148">
        <f>IFERROR(__xludf.DUMMYFUNCTION("""COMPUTED_VALUE"""),10099.0)</f>
        <v>10099</v>
      </c>
      <c r="I274" s="148">
        <f>IFERROR(__xludf.DUMMYFUNCTION("""COMPUTED_VALUE"""),10099.0)</f>
        <v>10099</v>
      </c>
      <c r="J274" s="148">
        <f>IFERROR(__xludf.DUMMYFUNCTION("""COMPUTED_VALUE"""),0.0)</f>
        <v>0</v>
      </c>
      <c r="K274" s="148">
        <f>IFERROR(__xludf.DUMMYFUNCTION("""COMPUTED_VALUE"""),10.0)</f>
        <v>10</v>
      </c>
      <c r="L274" s="148">
        <f>IFERROR(__xludf.DUMMYFUNCTION("""COMPUTED_VALUE"""),99.0)</f>
        <v>99</v>
      </c>
      <c r="M274" s="148">
        <f>IFERROR(__xludf.DUMMYFUNCTION("""COMPUTED_VALUE"""),0.0)</f>
        <v>0</v>
      </c>
      <c r="N274" s="148" t="str">
        <f>IFERROR(__xludf.DUMMYFUNCTION("""COMPUTED_VALUE"""),"[]")</f>
        <v>[]</v>
      </c>
      <c r="O274" s="148" t="str">
        <f>IFERROR(__xludf.DUMMYFUNCTION("""COMPUTED_VALUE"""),"{}")</f>
        <v>{}</v>
      </c>
      <c r="P274" s="148">
        <f>IFERROR(__xludf.DUMMYFUNCTION("""COMPUTED_VALUE"""),0.0)</f>
        <v>0</v>
      </c>
      <c r="Q274" s="148" t="str">
        <f>IFERROR(__xludf.DUMMYFUNCTION("""COMPUTED_VALUE"""),"[]")</f>
        <v>[]</v>
      </c>
      <c r="R274" s="148" t="str">
        <f>IFERROR(__xludf.DUMMYFUNCTION("""COMPUTED_VALUE"""),"{}")</f>
        <v>{}</v>
      </c>
      <c r="S274" s="148">
        <f>IFERROR(__xludf.DUMMYFUNCTION("""COMPUTED_VALUE"""),0.0)</f>
        <v>0</v>
      </c>
      <c r="T274" s="148" t="str">
        <f>IFERROR(__xludf.DUMMYFUNCTION("""COMPUTED_VALUE"""),"[]")</f>
        <v>[]</v>
      </c>
      <c r="U274" s="148">
        <f>IFERROR(__xludf.DUMMYFUNCTION("""COMPUTED_VALUE"""),0.0)</f>
        <v>0</v>
      </c>
      <c r="V274" s="148" t="str">
        <f>IFERROR(__xludf.DUMMYFUNCTION("""COMPUTED_VALUE"""),"{}")</f>
        <v>{}</v>
      </c>
      <c r="W274" s="148" t="str">
        <f>IFERROR(__xludf.DUMMYFUNCTION("""COMPUTED_VALUE"""),"[]")</f>
        <v>[]</v>
      </c>
      <c r="X274" s="148" t="str">
        <f>IFERROR(__xludf.DUMMYFUNCTION("""COMPUTED_VALUE"""),"[{""typ"":""power"",""id"":12141002,""val"":6}]")</f>
        <v>[{"typ":"power","id":12141002,"val":6}]</v>
      </c>
      <c r="Y274" s="148" t="str">
        <f>IFERROR(__xludf.DUMMYFUNCTION("""COMPUTED_VALUE"""),"[{""typ"":""atk"",""val"":200},{""typ"":""def"",""val"":190},{""typ"":""hp"",""val"":180},{""typ"":""speed"",""val"":40},{""typ"":""load"",""val"":20},{""typ"":""backcoef"",""val"":0.5},{""typ"":""atkcoef"",""val"":1.0},{""typ"":""atkcd"",""val"":0}]")</f>
        <v>[{"typ":"atk","val":200},{"typ":"def","val":190},{"typ":"hp","val":180},{"typ":"speed","val":40},{"typ":"load","val":20},{"typ":"backcoef","val":0.5},{"typ":"atkcoef","val":1.0},{"typ":"atkcd","val":0}]</v>
      </c>
      <c r="Z274" s="148" t="str">
        <f>IFERROR(__xludf.DUMMYFUNCTION("""COMPUTED_VALUE"""),"[]")</f>
        <v>[]</v>
      </c>
    </row>
    <row r="275">
      <c r="A275" s="148">
        <f>IFERROR(__xludf.DUMMYFUNCTION("""COMPUTED_VALUE"""),1.1216005E7)</f>
        <v>11216005</v>
      </c>
      <c r="B275" s="148" t="str">
        <f>IFERROR(__xludf.DUMMYFUNCTION("""COMPUTED_VALUE"""),"大地图单位-野怪-boss-T5")</f>
        <v>大地图单位-野怪-boss-T5</v>
      </c>
      <c r="C275" s="148">
        <f>IFERROR(__xludf.DUMMYFUNCTION("""COMPUTED_VALUE"""),1.1221004E7)</f>
        <v>11221004</v>
      </c>
      <c r="D275" s="148">
        <f>IFERROR(__xludf.DUMMYFUNCTION("""COMPUTED_VALUE"""),1.5111315E7)</f>
        <v>15111315</v>
      </c>
      <c r="E275" s="148" t="str">
        <f>IFERROR(__xludf.DUMMYFUNCTION("""COMPUTED_VALUE"""),"{""typ"":""lc"",""txt"":""LC_SOLDIER_npc_name_1""}")</f>
        <v>{"typ":"lc","txt":"LC_SOLDIER_npc_name_1"}</v>
      </c>
      <c r="F275" s="148" t="str">
        <f>IFERROR(__xludf.DUMMYFUNCTION("""COMPUTED_VALUE"""),"{}")</f>
        <v>{}</v>
      </c>
      <c r="G275" s="148">
        <f>IFERROR(__xludf.DUMMYFUNCTION("""COMPUTED_VALUE"""),10.0)</f>
        <v>10</v>
      </c>
      <c r="H275" s="148">
        <f>IFERROR(__xludf.DUMMYFUNCTION("""COMPUTED_VALUE"""),10099.0)</f>
        <v>10099</v>
      </c>
      <c r="I275" s="148">
        <f>IFERROR(__xludf.DUMMYFUNCTION("""COMPUTED_VALUE"""),10099.0)</f>
        <v>10099</v>
      </c>
      <c r="J275" s="148">
        <f>IFERROR(__xludf.DUMMYFUNCTION("""COMPUTED_VALUE"""),0.0)</f>
        <v>0</v>
      </c>
      <c r="K275" s="148">
        <f>IFERROR(__xludf.DUMMYFUNCTION("""COMPUTED_VALUE"""),10.0)</f>
        <v>10</v>
      </c>
      <c r="L275" s="148">
        <f>IFERROR(__xludf.DUMMYFUNCTION("""COMPUTED_VALUE"""),99.0)</f>
        <v>99</v>
      </c>
      <c r="M275" s="148">
        <f>IFERROR(__xludf.DUMMYFUNCTION("""COMPUTED_VALUE"""),0.0)</f>
        <v>0</v>
      </c>
      <c r="N275" s="148" t="str">
        <f>IFERROR(__xludf.DUMMYFUNCTION("""COMPUTED_VALUE"""),"[]")</f>
        <v>[]</v>
      </c>
      <c r="O275" s="148" t="str">
        <f>IFERROR(__xludf.DUMMYFUNCTION("""COMPUTED_VALUE"""),"{}")</f>
        <v>{}</v>
      </c>
      <c r="P275" s="148">
        <f>IFERROR(__xludf.DUMMYFUNCTION("""COMPUTED_VALUE"""),0.0)</f>
        <v>0</v>
      </c>
      <c r="Q275" s="148" t="str">
        <f>IFERROR(__xludf.DUMMYFUNCTION("""COMPUTED_VALUE"""),"[]")</f>
        <v>[]</v>
      </c>
      <c r="R275" s="148" t="str">
        <f>IFERROR(__xludf.DUMMYFUNCTION("""COMPUTED_VALUE"""),"{}")</f>
        <v>{}</v>
      </c>
      <c r="S275" s="148">
        <f>IFERROR(__xludf.DUMMYFUNCTION("""COMPUTED_VALUE"""),0.0)</f>
        <v>0</v>
      </c>
      <c r="T275" s="148" t="str">
        <f>IFERROR(__xludf.DUMMYFUNCTION("""COMPUTED_VALUE"""),"[]")</f>
        <v>[]</v>
      </c>
      <c r="U275" s="148">
        <f>IFERROR(__xludf.DUMMYFUNCTION("""COMPUTED_VALUE"""),0.0)</f>
        <v>0</v>
      </c>
      <c r="V275" s="148" t="str">
        <f>IFERROR(__xludf.DUMMYFUNCTION("""COMPUTED_VALUE"""),"{}")</f>
        <v>{}</v>
      </c>
      <c r="W275" s="148" t="str">
        <f>IFERROR(__xludf.DUMMYFUNCTION("""COMPUTED_VALUE"""),"[]")</f>
        <v>[]</v>
      </c>
      <c r="X275" s="148" t="str">
        <f>IFERROR(__xludf.DUMMYFUNCTION("""COMPUTED_VALUE"""),"[{""typ"":""power"",""id"":12141002,""val"":10}]")</f>
        <v>[{"typ":"power","id":12141002,"val":10}]</v>
      </c>
      <c r="Y275" s="148" t="str">
        <f>IFERROR(__xludf.DUMMYFUNCTION("""COMPUTED_VALUE"""),"[{""typ"":""atk"",""val"":230},{""typ"":""def"",""val"":210},{""typ"":""hp"",""val"":210},{""typ"":""speed"",""val"":40},{""typ"":""load"",""val"":20},{""typ"":""backcoef"",""val"":0.5},{""typ"":""atkcoef"",""val"":1.0},{""typ"":""atkcd"",""val"":0}]")</f>
        <v>[{"typ":"atk","val":230},{"typ":"def","val":210},{"typ":"hp","val":210},{"typ":"speed","val":40},{"typ":"load","val":20},{"typ":"backcoef","val":0.5},{"typ":"atkcoef","val":1.0},{"typ":"atkcd","val":0}]</v>
      </c>
      <c r="Z275" s="148" t="str">
        <f>IFERROR(__xludf.DUMMYFUNCTION("""COMPUTED_VALUE"""),"[]")</f>
        <v>[]</v>
      </c>
    </row>
    <row r="276">
      <c r="A276" s="148">
        <f>IFERROR(__xludf.DUMMYFUNCTION("""COMPUTED_VALUE"""),1.1217001E7)</f>
        <v>11217001</v>
      </c>
      <c r="B276" s="148" t="str">
        <f>IFERROR(__xludf.DUMMYFUNCTION("""COMPUTED_VALUE"""),"大地图单位-野怪-变异猴王（柯兹摩）")</f>
        <v>大地图单位-野怪-变异猴王（柯兹摩）</v>
      </c>
      <c r="C276" s="148">
        <f>IFERROR(__xludf.DUMMYFUNCTION("""COMPUTED_VALUE"""),1.1221004E7)</f>
        <v>11221004</v>
      </c>
      <c r="D276" s="148">
        <f>IFERROR(__xludf.DUMMYFUNCTION("""COMPUTED_VALUE"""),1.5113313E7)</f>
        <v>15113313</v>
      </c>
      <c r="E276" s="148" t="str">
        <f>IFERROR(__xludf.DUMMYFUNCTION("""COMPUTED_VALUE"""),"{""typ"":""lc"",""txt"":""LC_SOLDIER_baby_name_26""}")</f>
        <v>{"typ":"lc","txt":"LC_SOLDIER_baby_name_26"}</v>
      </c>
      <c r="F276" s="148" t="str">
        <f>IFERROR(__xludf.DUMMYFUNCTION("""COMPUTED_VALUE"""),"{}")</f>
        <v>{}</v>
      </c>
      <c r="G276" s="148">
        <f>IFERROR(__xludf.DUMMYFUNCTION("""COMPUTED_VALUE"""),1.0)</f>
        <v>1</v>
      </c>
      <c r="H276" s="148">
        <f>IFERROR(__xludf.DUMMYFUNCTION("""COMPUTED_VALUE"""),10099.0)</f>
        <v>10099</v>
      </c>
      <c r="I276" s="148">
        <f>IFERROR(__xludf.DUMMYFUNCTION("""COMPUTED_VALUE"""),10099.0)</f>
        <v>10099</v>
      </c>
      <c r="J276" s="148">
        <f>IFERROR(__xludf.DUMMYFUNCTION("""COMPUTED_VALUE"""),0.0)</f>
        <v>0</v>
      </c>
      <c r="K276" s="148">
        <f>IFERROR(__xludf.DUMMYFUNCTION("""COMPUTED_VALUE"""),10.0)</f>
        <v>10</v>
      </c>
      <c r="L276" s="148">
        <f>IFERROR(__xludf.DUMMYFUNCTION("""COMPUTED_VALUE"""),99.0)</f>
        <v>99</v>
      </c>
      <c r="M276" s="148">
        <f>IFERROR(__xludf.DUMMYFUNCTION("""COMPUTED_VALUE"""),0.0)</f>
        <v>0</v>
      </c>
      <c r="N276" s="148" t="str">
        <f>IFERROR(__xludf.DUMMYFUNCTION("""COMPUTED_VALUE"""),"[]")</f>
        <v>[]</v>
      </c>
      <c r="O276" s="148" t="str">
        <f>IFERROR(__xludf.DUMMYFUNCTION("""COMPUTED_VALUE"""),"{}")</f>
        <v>{}</v>
      </c>
      <c r="P276" s="148">
        <f>IFERROR(__xludf.DUMMYFUNCTION("""COMPUTED_VALUE"""),0.0)</f>
        <v>0</v>
      </c>
      <c r="Q276" s="148" t="str">
        <f>IFERROR(__xludf.DUMMYFUNCTION("""COMPUTED_VALUE"""),"[]")</f>
        <v>[]</v>
      </c>
      <c r="R276" s="148" t="str">
        <f>IFERROR(__xludf.DUMMYFUNCTION("""COMPUTED_VALUE"""),"{}")</f>
        <v>{}</v>
      </c>
      <c r="S276" s="148">
        <f>IFERROR(__xludf.DUMMYFUNCTION("""COMPUTED_VALUE"""),0.0)</f>
        <v>0</v>
      </c>
      <c r="T276" s="148" t="str">
        <f>IFERROR(__xludf.DUMMYFUNCTION("""COMPUTED_VALUE"""),"[]")</f>
        <v>[]</v>
      </c>
      <c r="U276" s="148">
        <f>IFERROR(__xludf.DUMMYFUNCTION("""COMPUTED_VALUE"""),0.0)</f>
        <v>0</v>
      </c>
      <c r="V276" s="148" t="str">
        <f>IFERROR(__xludf.DUMMYFUNCTION("""COMPUTED_VALUE"""),"{}")</f>
        <v>{}</v>
      </c>
      <c r="W276" s="148" t="str">
        <f>IFERROR(__xludf.DUMMYFUNCTION("""COMPUTED_VALUE"""),"[]")</f>
        <v>[]</v>
      </c>
      <c r="X276" s="148" t="str">
        <f>IFERROR(__xludf.DUMMYFUNCTION("""COMPUTED_VALUE"""),"[{""typ"":""power"",""id"":12141002,""val"":1}]")</f>
        <v>[{"typ":"power","id":12141002,"val":1}]</v>
      </c>
      <c r="Y276" s="148" t="str">
        <f>IFERROR(__xludf.DUMMYFUNCTION("""COMPUTED_VALUE"""),"[{""typ"":""atk"",""val"":60},{""typ"":""def"",""val"":125},{""typ"":""hp"",""val"":120},{""typ"":""speed"",""val"":40},{""typ"":""load"",""val"":20},{""typ"":""backcoef"",""val"":0.5},{""typ"":""atkcoef"",""val"":1.0},{""typ"":""atkcd"",""val"":0}]")</f>
        <v>[{"typ":"atk","val":60},{"typ":"def","val":125},{"typ":"hp","val":120},{"typ":"speed","val":40},{"typ":"load","val":20},{"typ":"backcoef","val":0.5},{"typ":"atkcoef","val":1.0},{"typ":"atkcd","val":0}]</v>
      </c>
      <c r="Z276" s="148" t="str">
        <f>IFERROR(__xludf.DUMMYFUNCTION("""COMPUTED_VALUE"""),"[]")</f>
        <v>[]</v>
      </c>
    </row>
    <row r="277">
      <c r="A277" s="148">
        <f>IFERROR(__xludf.DUMMYFUNCTION("""COMPUTED_VALUE"""),1.1217002E7)</f>
        <v>11217002</v>
      </c>
      <c r="B277" s="148" t="str">
        <f>IFERROR(__xludf.DUMMYFUNCTION("""COMPUTED_VALUE"""),"大地图单位-野怪-老变异猴王")</f>
        <v>大地图单位-野怪-老变异猴王</v>
      </c>
      <c r="C277" s="148">
        <f>IFERROR(__xludf.DUMMYFUNCTION("""COMPUTED_VALUE"""),1.1221004E7)</f>
        <v>11221004</v>
      </c>
      <c r="D277" s="148">
        <f>IFERROR(__xludf.DUMMYFUNCTION("""COMPUTED_VALUE"""),1.5113E7)</f>
        <v>15113000</v>
      </c>
      <c r="E277" s="148" t="str">
        <f>IFERROR(__xludf.DUMMYFUNCTION("""COMPUTED_VALUE"""),"{""typ"":""lc"",""txt"":""LC_SOLDIER_npc_name_1""}")</f>
        <v>{"typ":"lc","txt":"LC_SOLDIER_npc_name_1"}</v>
      </c>
      <c r="F277" s="148" t="str">
        <f>IFERROR(__xludf.DUMMYFUNCTION("""COMPUTED_VALUE"""),"{}")</f>
        <v>{}</v>
      </c>
      <c r="G277" s="148">
        <f>IFERROR(__xludf.DUMMYFUNCTION("""COMPUTED_VALUE"""),10.0)</f>
        <v>10</v>
      </c>
      <c r="H277" s="148">
        <f>IFERROR(__xludf.DUMMYFUNCTION("""COMPUTED_VALUE"""),10099.0)</f>
        <v>10099</v>
      </c>
      <c r="I277" s="148">
        <f>IFERROR(__xludf.DUMMYFUNCTION("""COMPUTED_VALUE"""),10099.0)</f>
        <v>10099</v>
      </c>
      <c r="J277" s="148">
        <f>IFERROR(__xludf.DUMMYFUNCTION("""COMPUTED_VALUE"""),0.0)</f>
        <v>0</v>
      </c>
      <c r="K277" s="148">
        <f>IFERROR(__xludf.DUMMYFUNCTION("""COMPUTED_VALUE"""),10.0)</f>
        <v>10</v>
      </c>
      <c r="L277" s="148">
        <f>IFERROR(__xludf.DUMMYFUNCTION("""COMPUTED_VALUE"""),99.0)</f>
        <v>99</v>
      </c>
      <c r="M277" s="148">
        <f>IFERROR(__xludf.DUMMYFUNCTION("""COMPUTED_VALUE"""),0.0)</f>
        <v>0</v>
      </c>
      <c r="N277" s="148" t="str">
        <f>IFERROR(__xludf.DUMMYFUNCTION("""COMPUTED_VALUE"""),"[]")</f>
        <v>[]</v>
      </c>
      <c r="O277" s="148" t="str">
        <f>IFERROR(__xludf.DUMMYFUNCTION("""COMPUTED_VALUE"""),"{}")</f>
        <v>{}</v>
      </c>
      <c r="P277" s="148">
        <f>IFERROR(__xludf.DUMMYFUNCTION("""COMPUTED_VALUE"""),0.0)</f>
        <v>0</v>
      </c>
      <c r="Q277" s="148" t="str">
        <f>IFERROR(__xludf.DUMMYFUNCTION("""COMPUTED_VALUE"""),"[]")</f>
        <v>[]</v>
      </c>
      <c r="R277" s="148" t="str">
        <f>IFERROR(__xludf.DUMMYFUNCTION("""COMPUTED_VALUE"""),"{}")</f>
        <v>{}</v>
      </c>
      <c r="S277" s="148">
        <f>IFERROR(__xludf.DUMMYFUNCTION("""COMPUTED_VALUE"""),0.0)</f>
        <v>0</v>
      </c>
      <c r="T277" s="148" t="str">
        <f>IFERROR(__xludf.DUMMYFUNCTION("""COMPUTED_VALUE"""),"[]")</f>
        <v>[]</v>
      </c>
      <c r="U277" s="148">
        <f>IFERROR(__xludf.DUMMYFUNCTION("""COMPUTED_VALUE"""),0.0)</f>
        <v>0</v>
      </c>
      <c r="V277" s="148" t="str">
        <f>IFERROR(__xludf.DUMMYFUNCTION("""COMPUTED_VALUE"""),"{}")</f>
        <v>{}</v>
      </c>
      <c r="W277" s="148" t="str">
        <f>IFERROR(__xludf.DUMMYFUNCTION("""COMPUTED_VALUE"""),"[]")</f>
        <v>[]</v>
      </c>
      <c r="X277" s="148" t="str">
        <f>IFERROR(__xludf.DUMMYFUNCTION("""COMPUTED_VALUE"""),"[{""typ"":""power"",""id"":12141002,""val"":3}]")</f>
        <v>[{"typ":"power","id":12141002,"val":3}]</v>
      </c>
      <c r="Y277" s="148" t="str">
        <f>IFERROR(__xludf.DUMMYFUNCTION("""COMPUTED_VALUE"""),"[{""typ"":""atk"",""val"":100},{""typ"":""def"",""val"":150},{""typ"":""hp"",""val"":350},{""typ"":""speed"",""val"":40},{""typ"":""load"",""val"":20},{""typ"":""backcoef"",""val"":0.5},{""typ"":""atkcoef"",""val"":1.0},{""typ"":""atkcd"",""val"":0}]")</f>
        <v>[{"typ":"atk","val":100},{"typ":"def","val":150},{"typ":"hp","val":350},{"typ":"speed","val":40},{"typ":"load","val":20},{"typ":"backcoef","val":0.5},{"typ":"atkcoef","val":1.0},{"typ":"atkcd","val":0}]</v>
      </c>
      <c r="Z277" s="148" t="str">
        <f>IFERROR(__xludf.DUMMYFUNCTION("""COMPUTED_VALUE"""),"[]")</f>
        <v>[]</v>
      </c>
    </row>
    <row r="278">
      <c r="A278" s="148">
        <f>IFERROR(__xludf.DUMMYFUNCTION("""COMPUTED_VALUE"""),1.1217003E7)</f>
        <v>11217003</v>
      </c>
      <c r="B278" s="148" t="str">
        <f>IFERROR(__xludf.DUMMYFUNCTION("""COMPUTED_VALUE"""),"大地图单位-野怪-异种蛮猴-T1")</f>
        <v>大地图单位-野怪-异种蛮猴-T1</v>
      </c>
      <c r="C278" s="148">
        <f>IFERROR(__xludf.DUMMYFUNCTION("""COMPUTED_VALUE"""),1.1221004E7)</f>
        <v>11221004</v>
      </c>
      <c r="D278" s="148">
        <f>IFERROR(__xludf.DUMMYFUNCTION("""COMPUTED_VALUE"""),1.5114298E7)</f>
        <v>15114298</v>
      </c>
      <c r="E278" s="148" t="str">
        <f>IFERROR(__xludf.DUMMYFUNCTION("""COMPUTED_VALUE"""),"{""typ"":""lc"",""txt"":""LC_SOLDIER_npc_name_1""}")</f>
        <v>{"typ":"lc","txt":"LC_SOLDIER_npc_name_1"}</v>
      </c>
      <c r="F278" s="148" t="str">
        <f>IFERROR(__xludf.DUMMYFUNCTION("""COMPUTED_VALUE"""),"{}")</f>
        <v>{}</v>
      </c>
      <c r="G278" s="148">
        <f>IFERROR(__xludf.DUMMYFUNCTION("""COMPUTED_VALUE"""),2.0)</f>
        <v>2</v>
      </c>
      <c r="H278" s="148">
        <f>IFERROR(__xludf.DUMMYFUNCTION("""COMPUTED_VALUE"""),10099.0)</f>
        <v>10099</v>
      </c>
      <c r="I278" s="148">
        <f>IFERROR(__xludf.DUMMYFUNCTION("""COMPUTED_VALUE"""),10099.0)</f>
        <v>10099</v>
      </c>
      <c r="J278" s="148">
        <f>IFERROR(__xludf.DUMMYFUNCTION("""COMPUTED_VALUE"""),0.0)</f>
        <v>0</v>
      </c>
      <c r="K278" s="148">
        <f>IFERROR(__xludf.DUMMYFUNCTION("""COMPUTED_VALUE"""),10.0)</f>
        <v>10</v>
      </c>
      <c r="L278" s="148">
        <f>IFERROR(__xludf.DUMMYFUNCTION("""COMPUTED_VALUE"""),50.0)</f>
        <v>50</v>
      </c>
      <c r="M278" s="148">
        <f>IFERROR(__xludf.DUMMYFUNCTION("""COMPUTED_VALUE"""),0.0)</f>
        <v>0</v>
      </c>
      <c r="N278" s="148" t="str">
        <f>IFERROR(__xludf.DUMMYFUNCTION("""COMPUTED_VALUE"""),"[]")</f>
        <v>[]</v>
      </c>
      <c r="O278" s="148" t="str">
        <f>IFERROR(__xludf.DUMMYFUNCTION("""COMPUTED_VALUE"""),"{}")</f>
        <v>{}</v>
      </c>
      <c r="P278" s="148">
        <f>IFERROR(__xludf.DUMMYFUNCTION("""COMPUTED_VALUE"""),0.0)</f>
        <v>0</v>
      </c>
      <c r="Q278" s="148" t="str">
        <f>IFERROR(__xludf.DUMMYFUNCTION("""COMPUTED_VALUE"""),"[]")</f>
        <v>[]</v>
      </c>
      <c r="R278" s="148" t="str">
        <f>IFERROR(__xludf.DUMMYFUNCTION("""COMPUTED_VALUE"""),"{}")</f>
        <v>{}</v>
      </c>
      <c r="S278" s="148">
        <f>IFERROR(__xludf.DUMMYFUNCTION("""COMPUTED_VALUE"""),0.0)</f>
        <v>0</v>
      </c>
      <c r="T278" s="148" t="str">
        <f>IFERROR(__xludf.DUMMYFUNCTION("""COMPUTED_VALUE"""),"[]")</f>
        <v>[]</v>
      </c>
      <c r="U278" s="148">
        <f>IFERROR(__xludf.DUMMYFUNCTION("""COMPUTED_VALUE"""),0.0)</f>
        <v>0</v>
      </c>
      <c r="V278" s="148" t="str">
        <f>IFERROR(__xludf.DUMMYFUNCTION("""COMPUTED_VALUE"""),"{}")</f>
        <v>{}</v>
      </c>
      <c r="W278" s="148" t="str">
        <f>IFERROR(__xludf.DUMMYFUNCTION("""COMPUTED_VALUE"""),"[]")</f>
        <v>[]</v>
      </c>
      <c r="X278" s="148" t="str">
        <f>IFERROR(__xludf.DUMMYFUNCTION("""COMPUTED_VALUE"""),"[{""typ"":""power"",""id"":12141002,""val"":1}]")</f>
        <v>[{"typ":"power","id":12141002,"val":1}]</v>
      </c>
      <c r="Y278" s="148" t="str">
        <f>IFERROR(__xludf.DUMMYFUNCTION("""COMPUTED_VALUE"""),"[{""typ"":""atk"",""val"":60},{""typ"":""def"",""val"":125},{""typ"":""hp"",""val"":120},{""typ"":""speed"",""val"":40},{""typ"":""load"",""val"":20},{""typ"":""backcoef"",""val"":0.5},{""typ"":""atkcoef"",""val"":1.0},{""typ"":""atkcd"",""val"":0}]")</f>
        <v>[{"typ":"atk","val":60},{"typ":"def","val":125},{"typ":"hp","val":120},{"typ":"speed","val":40},{"typ":"load","val":20},{"typ":"backcoef","val":0.5},{"typ":"atkcoef","val":1.0},{"typ":"atkcd","val":0}]</v>
      </c>
      <c r="Z278" s="148" t="str">
        <f>IFERROR(__xludf.DUMMYFUNCTION("""COMPUTED_VALUE"""),"[]")</f>
        <v>[]</v>
      </c>
    </row>
    <row r="279">
      <c r="A279" s="148">
        <f>IFERROR(__xludf.DUMMYFUNCTION("""COMPUTED_VALUE"""),1.1217004E7)</f>
        <v>11217004</v>
      </c>
      <c r="B279" s="148" t="str">
        <f>IFERROR(__xludf.DUMMYFUNCTION("""COMPUTED_VALUE"""),"大地图单位-野怪-异种蛮猴-T2")</f>
        <v>大地图单位-野怪-异种蛮猴-T2</v>
      </c>
      <c r="C279" s="148">
        <f>IFERROR(__xludf.DUMMYFUNCTION("""COMPUTED_VALUE"""),1.1221004E7)</f>
        <v>11221004</v>
      </c>
      <c r="D279" s="148">
        <f>IFERROR(__xludf.DUMMYFUNCTION("""COMPUTED_VALUE"""),1.5114298E7)</f>
        <v>15114298</v>
      </c>
      <c r="E279" s="148" t="str">
        <f>IFERROR(__xludf.DUMMYFUNCTION("""COMPUTED_VALUE"""),"{""typ"":""lc"",""txt"":""LC_SOLDIER_npc_name_1""}")</f>
        <v>{"typ":"lc","txt":"LC_SOLDIER_npc_name_1"}</v>
      </c>
      <c r="F279" s="148" t="str">
        <f>IFERROR(__xludf.DUMMYFUNCTION("""COMPUTED_VALUE"""),"{}")</f>
        <v>{}</v>
      </c>
      <c r="G279" s="148">
        <f>IFERROR(__xludf.DUMMYFUNCTION("""COMPUTED_VALUE"""),2.0)</f>
        <v>2</v>
      </c>
      <c r="H279" s="148">
        <f>IFERROR(__xludf.DUMMYFUNCTION("""COMPUTED_VALUE"""),10099.0)</f>
        <v>10099</v>
      </c>
      <c r="I279" s="148">
        <f>IFERROR(__xludf.DUMMYFUNCTION("""COMPUTED_VALUE"""),10099.0)</f>
        <v>10099</v>
      </c>
      <c r="J279" s="148">
        <f>IFERROR(__xludf.DUMMYFUNCTION("""COMPUTED_VALUE"""),0.0)</f>
        <v>0</v>
      </c>
      <c r="K279" s="148">
        <f>IFERROR(__xludf.DUMMYFUNCTION("""COMPUTED_VALUE"""),10.0)</f>
        <v>10</v>
      </c>
      <c r="L279" s="148">
        <f>IFERROR(__xludf.DUMMYFUNCTION("""COMPUTED_VALUE"""),50.0)</f>
        <v>50</v>
      </c>
      <c r="M279" s="148">
        <f>IFERROR(__xludf.DUMMYFUNCTION("""COMPUTED_VALUE"""),0.0)</f>
        <v>0</v>
      </c>
      <c r="N279" s="148" t="str">
        <f>IFERROR(__xludf.DUMMYFUNCTION("""COMPUTED_VALUE"""),"[]")</f>
        <v>[]</v>
      </c>
      <c r="O279" s="148" t="str">
        <f>IFERROR(__xludf.DUMMYFUNCTION("""COMPUTED_VALUE"""),"{}")</f>
        <v>{}</v>
      </c>
      <c r="P279" s="148">
        <f>IFERROR(__xludf.DUMMYFUNCTION("""COMPUTED_VALUE"""),0.0)</f>
        <v>0</v>
      </c>
      <c r="Q279" s="148" t="str">
        <f>IFERROR(__xludf.DUMMYFUNCTION("""COMPUTED_VALUE"""),"[]")</f>
        <v>[]</v>
      </c>
      <c r="R279" s="148" t="str">
        <f>IFERROR(__xludf.DUMMYFUNCTION("""COMPUTED_VALUE"""),"{}")</f>
        <v>{}</v>
      </c>
      <c r="S279" s="148">
        <f>IFERROR(__xludf.DUMMYFUNCTION("""COMPUTED_VALUE"""),0.0)</f>
        <v>0</v>
      </c>
      <c r="T279" s="148" t="str">
        <f>IFERROR(__xludf.DUMMYFUNCTION("""COMPUTED_VALUE"""),"[]")</f>
        <v>[]</v>
      </c>
      <c r="U279" s="148">
        <f>IFERROR(__xludf.DUMMYFUNCTION("""COMPUTED_VALUE"""),0.0)</f>
        <v>0</v>
      </c>
      <c r="V279" s="148" t="str">
        <f>IFERROR(__xludf.DUMMYFUNCTION("""COMPUTED_VALUE"""),"{}")</f>
        <v>{}</v>
      </c>
      <c r="W279" s="148" t="str">
        <f>IFERROR(__xludf.DUMMYFUNCTION("""COMPUTED_VALUE"""),"[]")</f>
        <v>[]</v>
      </c>
      <c r="X279" s="148" t="str">
        <f>IFERROR(__xludf.DUMMYFUNCTION("""COMPUTED_VALUE"""),"[{""typ"":""power"",""id"":12141002,""val"":2}]")</f>
        <v>[{"typ":"power","id":12141002,"val":2}]</v>
      </c>
      <c r="Y279" s="148" t="str">
        <f>IFERROR(__xludf.DUMMYFUNCTION("""COMPUTED_VALUE"""),"[{""typ"":""atk"",""val"":120},{""typ"":""def"",""val"":130},{""typ"":""hp"",""val"":130},{""typ"":""speed"",""val"":40},{""typ"":""load"",""val"":20},{""typ"":""backcoef"",""val"":0.5},{""typ"":""atkcoef"",""val"":1.0},{""typ"":""atkcd"",""val"":0}]")</f>
        <v>[{"typ":"atk","val":120},{"typ":"def","val":130},{"typ":"hp","val":130},{"typ":"speed","val":40},{"typ":"load","val":20},{"typ":"backcoef","val":0.5},{"typ":"atkcoef","val":1.0},{"typ":"atkcd","val":0}]</v>
      </c>
      <c r="Z279" s="148" t="str">
        <f>IFERROR(__xludf.DUMMYFUNCTION("""COMPUTED_VALUE"""),"[]")</f>
        <v>[]</v>
      </c>
    </row>
    <row r="280">
      <c r="A280" s="148">
        <f>IFERROR(__xludf.DUMMYFUNCTION("""COMPUTED_VALUE"""),1.1217005E7)</f>
        <v>11217005</v>
      </c>
      <c r="B280" s="148" t="str">
        <f>IFERROR(__xludf.DUMMYFUNCTION("""COMPUTED_VALUE"""),"大地图单位-野怪-异种蛮猴-T3")</f>
        <v>大地图单位-野怪-异种蛮猴-T3</v>
      </c>
      <c r="C280" s="148">
        <f>IFERROR(__xludf.DUMMYFUNCTION("""COMPUTED_VALUE"""),1.1221004E7)</f>
        <v>11221004</v>
      </c>
      <c r="D280" s="148">
        <f>IFERROR(__xludf.DUMMYFUNCTION("""COMPUTED_VALUE"""),1.5114298E7)</f>
        <v>15114298</v>
      </c>
      <c r="E280" s="148" t="str">
        <f>IFERROR(__xludf.DUMMYFUNCTION("""COMPUTED_VALUE"""),"{""typ"":""lc"",""txt"":""LC_SOLDIER_npc_name_1""}")</f>
        <v>{"typ":"lc","txt":"LC_SOLDIER_npc_name_1"}</v>
      </c>
      <c r="F280" s="148" t="str">
        <f>IFERROR(__xludf.DUMMYFUNCTION("""COMPUTED_VALUE"""),"{}")</f>
        <v>{}</v>
      </c>
      <c r="G280" s="148">
        <f>IFERROR(__xludf.DUMMYFUNCTION("""COMPUTED_VALUE"""),2.0)</f>
        <v>2</v>
      </c>
      <c r="H280" s="148">
        <f>IFERROR(__xludf.DUMMYFUNCTION("""COMPUTED_VALUE"""),10099.0)</f>
        <v>10099</v>
      </c>
      <c r="I280" s="148">
        <f>IFERROR(__xludf.DUMMYFUNCTION("""COMPUTED_VALUE"""),10099.0)</f>
        <v>10099</v>
      </c>
      <c r="J280" s="148">
        <f>IFERROR(__xludf.DUMMYFUNCTION("""COMPUTED_VALUE"""),0.0)</f>
        <v>0</v>
      </c>
      <c r="K280" s="148">
        <f>IFERROR(__xludf.DUMMYFUNCTION("""COMPUTED_VALUE"""),10.0)</f>
        <v>10</v>
      </c>
      <c r="L280" s="148">
        <f>IFERROR(__xludf.DUMMYFUNCTION("""COMPUTED_VALUE"""),50.0)</f>
        <v>50</v>
      </c>
      <c r="M280" s="148">
        <f>IFERROR(__xludf.DUMMYFUNCTION("""COMPUTED_VALUE"""),0.0)</f>
        <v>0</v>
      </c>
      <c r="N280" s="148" t="str">
        <f>IFERROR(__xludf.DUMMYFUNCTION("""COMPUTED_VALUE"""),"[]")</f>
        <v>[]</v>
      </c>
      <c r="O280" s="148" t="str">
        <f>IFERROR(__xludf.DUMMYFUNCTION("""COMPUTED_VALUE"""),"{}")</f>
        <v>{}</v>
      </c>
      <c r="P280" s="148">
        <f>IFERROR(__xludf.DUMMYFUNCTION("""COMPUTED_VALUE"""),0.0)</f>
        <v>0</v>
      </c>
      <c r="Q280" s="148" t="str">
        <f>IFERROR(__xludf.DUMMYFUNCTION("""COMPUTED_VALUE"""),"[]")</f>
        <v>[]</v>
      </c>
      <c r="R280" s="148" t="str">
        <f>IFERROR(__xludf.DUMMYFUNCTION("""COMPUTED_VALUE"""),"{}")</f>
        <v>{}</v>
      </c>
      <c r="S280" s="148">
        <f>IFERROR(__xludf.DUMMYFUNCTION("""COMPUTED_VALUE"""),0.0)</f>
        <v>0</v>
      </c>
      <c r="T280" s="148" t="str">
        <f>IFERROR(__xludf.DUMMYFUNCTION("""COMPUTED_VALUE"""),"[]")</f>
        <v>[]</v>
      </c>
      <c r="U280" s="148">
        <f>IFERROR(__xludf.DUMMYFUNCTION("""COMPUTED_VALUE"""),0.0)</f>
        <v>0</v>
      </c>
      <c r="V280" s="148" t="str">
        <f>IFERROR(__xludf.DUMMYFUNCTION("""COMPUTED_VALUE"""),"{}")</f>
        <v>{}</v>
      </c>
      <c r="W280" s="148" t="str">
        <f>IFERROR(__xludf.DUMMYFUNCTION("""COMPUTED_VALUE"""),"[]")</f>
        <v>[]</v>
      </c>
      <c r="X280" s="148" t="str">
        <f>IFERROR(__xludf.DUMMYFUNCTION("""COMPUTED_VALUE"""),"[{""typ"":""power"",""id"":12141002,""val"":4}]")</f>
        <v>[{"typ":"power","id":12141002,"val":4}]</v>
      </c>
      <c r="Y280" s="148" t="str">
        <f>IFERROR(__xludf.DUMMYFUNCTION("""COMPUTED_VALUE"""),"[{""typ"":""atk"",""val"":160},{""typ"":""def"",""val"":160},{""typ"":""hp"",""val"":160},{""typ"":""speed"",""val"":40},{""typ"":""load"",""val"":20},{""typ"":""backcoef"",""val"":0.5},{""typ"":""atkcoef"",""val"":1.0},{""typ"":""atkcd"",""val"":0}]")</f>
        <v>[{"typ":"atk","val":160},{"typ":"def","val":160},{"typ":"hp","val":160},{"typ":"speed","val":40},{"typ":"load","val":20},{"typ":"backcoef","val":0.5},{"typ":"atkcoef","val":1.0},{"typ":"atkcd","val":0}]</v>
      </c>
      <c r="Z280" s="148" t="str">
        <f>IFERROR(__xludf.DUMMYFUNCTION("""COMPUTED_VALUE"""),"[]")</f>
        <v>[]</v>
      </c>
    </row>
    <row r="281">
      <c r="A281" s="148">
        <f>IFERROR(__xludf.DUMMYFUNCTION("""COMPUTED_VALUE"""),1.1217006E7)</f>
        <v>11217006</v>
      </c>
      <c r="B281" s="148" t="str">
        <f>IFERROR(__xludf.DUMMYFUNCTION("""COMPUTED_VALUE"""),"大地图单位-野怪-异种蛮猴-T4")</f>
        <v>大地图单位-野怪-异种蛮猴-T4</v>
      </c>
      <c r="C281" s="148">
        <f>IFERROR(__xludf.DUMMYFUNCTION("""COMPUTED_VALUE"""),1.1221004E7)</f>
        <v>11221004</v>
      </c>
      <c r="D281" s="148">
        <f>IFERROR(__xludf.DUMMYFUNCTION("""COMPUTED_VALUE"""),1.5114298E7)</f>
        <v>15114298</v>
      </c>
      <c r="E281" s="148" t="str">
        <f>IFERROR(__xludf.DUMMYFUNCTION("""COMPUTED_VALUE"""),"{""typ"":""lc"",""txt"":""LC_SOLDIER_npc_name_1""}")</f>
        <v>{"typ":"lc","txt":"LC_SOLDIER_npc_name_1"}</v>
      </c>
      <c r="F281" s="148" t="str">
        <f>IFERROR(__xludf.DUMMYFUNCTION("""COMPUTED_VALUE"""),"{}")</f>
        <v>{}</v>
      </c>
      <c r="G281" s="148">
        <f>IFERROR(__xludf.DUMMYFUNCTION("""COMPUTED_VALUE"""),2.0)</f>
        <v>2</v>
      </c>
      <c r="H281" s="148">
        <f>IFERROR(__xludf.DUMMYFUNCTION("""COMPUTED_VALUE"""),10099.0)</f>
        <v>10099</v>
      </c>
      <c r="I281" s="148">
        <f>IFERROR(__xludf.DUMMYFUNCTION("""COMPUTED_VALUE"""),10099.0)</f>
        <v>10099</v>
      </c>
      <c r="J281" s="148">
        <f>IFERROR(__xludf.DUMMYFUNCTION("""COMPUTED_VALUE"""),0.0)</f>
        <v>0</v>
      </c>
      <c r="K281" s="148">
        <f>IFERROR(__xludf.DUMMYFUNCTION("""COMPUTED_VALUE"""),10.0)</f>
        <v>10</v>
      </c>
      <c r="L281" s="148">
        <f>IFERROR(__xludf.DUMMYFUNCTION("""COMPUTED_VALUE"""),50.0)</f>
        <v>50</v>
      </c>
      <c r="M281" s="148">
        <f>IFERROR(__xludf.DUMMYFUNCTION("""COMPUTED_VALUE"""),0.0)</f>
        <v>0</v>
      </c>
      <c r="N281" s="148" t="str">
        <f>IFERROR(__xludf.DUMMYFUNCTION("""COMPUTED_VALUE"""),"[]")</f>
        <v>[]</v>
      </c>
      <c r="O281" s="148" t="str">
        <f>IFERROR(__xludf.DUMMYFUNCTION("""COMPUTED_VALUE"""),"{}")</f>
        <v>{}</v>
      </c>
      <c r="P281" s="148">
        <f>IFERROR(__xludf.DUMMYFUNCTION("""COMPUTED_VALUE"""),0.0)</f>
        <v>0</v>
      </c>
      <c r="Q281" s="148" t="str">
        <f>IFERROR(__xludf.DUMMYFUNCTION("""COMPUTED_VALUE"""),"[]")</f>
        <v>[]</v>
      </c>
      <c r="R281" s="148" t="str">
        <f>IFERROR(__xludf.DUMMYFUNCTION("""COMPUTED_VALUE"""),"{}")</f>
        <v>{}</v>
      </c>
      <c r="S281" s="148">
        <f>IFERROR(__xludf.DUMMYFUNCTION("""COMPUTED_VALUE"""),0.0)</f>
        <v>0</v>
      </c>
      <c r="T281" s="148" t="str">
        <f>IFERROR(__xludf.DUMMYFUNCTION("""COMPUTED_VALUE"""),"[]")</f>
        <v>[]</v>
      </c>
      <c r="U281" s="148">
        <f>IFERROR(__xludf.DUMMYFUNCTION("""COMPUTED_VALUE"""),0.0)</f>
        <v>0</v>
      </c>
      <c r="V281" s="148" t="str">
        <f>IFERROR(__xludf.DUMMYFUNCTION("""COMPUTED_VALUE"""),"{}")</f>
        <v>{}</v>
      </c>
      <c r="W281" s="148" t="str">
        <f>IFERROR(__xludf.DUMMYFUNCTION("""COMPUTED_VALUE"""),"[]")</f>
        <v>[]</v>
      </c>
      <c r="X281" s="148" t="str">
        <f>IFERROR(__xludf.DUMMYFUNCTION("""COMPUTED_VALUE"""),"[{""typ"":""power"",""id"":12141002,""val"":6}]")</f>
        <v>[{"typ":"power","id":12141002,"val":6}]</v>
      </c>
      <c r="Y281" s="148" t="str">
        <f>IFERROR(__xludf.DUMMYFUNCTION("""COMPUTED_VALUE"""),"[{""typ"":""atk"",""val"":200},{""typ"":""def"",""val"":190},{""typ"":""hp"",""val"":180},{""typ"":""speed"",""val"":40},{""typ"":""load"",""val"":20},{""typ"":""backcoef"",""val"":0.5},{""typ"":""atkcoef"",""val"":1.0},{""typ"":""atkcd"",""val"":0}]")</f>
        <v>[{"typ":"atk","val":200},{"typ":"def","val":190},{"typ":"hp","val":180},{"typ":"speed","val":40},{"typ":"load","val":20},{"typ":"backcoef","val":0.5},{"typ":"atkcoef","val":1.0},{"typ":"atkcd","val":0}]</v>
      </c>
      <c r="Z281" s="148" t="str">
        <f>IFERROR(__xludf.DUMMYFUNCTION("""COMPUTED_VALUE"""),"[]")</f>
        <v>[]</v>
      </c>
    </row>
    <row r="282">
      <c r="A282" s="148">
        <f>IFERROR(__xludf.DUMMYFUNCTION("""COMPUTED_VALUE"""),1.1217007E7)</f>
        <v>11217007</v>
      </c>
      <c r="B282" s="148" t="str">
        <f>IFERROR(__xludf.DUMMYFUNCTION("""COMPUTED_VALUE"""),"大地图单位-野怪-异种蛮猴-T5")</f>
        <v>大地图单位-野怪-异种蛮猴-T5</v>
      </c>
      <c r="C282" s="148">
        <f>IFERROR(__xludf.DUMMYFUNCTION("""COMPUTED_VALUE"""),1.1221004E7)</f>
        <v>11221004</v>
      </c>
      <c r="D282" s="148">
        <f>IFERROR(__xludf.DUMMYFUNCTION("""COMPUTED_VALUE"""),1.5114298E7)</f>
        <v>15114298</v>
      </c>
      <c r="E282" s="148" t="str">
        <f>IFERROR(__xludf.DUMMYFUNCTION("""COMPUTED_VALUE"""),"{""typ"":""lc"",""txt"":""LC_SOLDIER_npc_name_1""}")</f>
        <v>{"typ":"lc","txt":"LC_SOLDIER_npc_name_1"}</v>
      </c>
      <c r="F282" s="148" t="str">
        <f>IFERROR(__xludf.DUMMYFUNCTION("""COMPUTED_VALUE"""),"{}")</f>
        <v>{}</v>
      </c>
      <c r="G282" s="148">
        <f>IFERROR(__xludf.DUMMYFUNCTION("""COMPUTED_VALUE"""),2.0)</f>
        <v>2</v>
      </c>
      <c r="H282" s="148">
        <f>IFERROR(__xludf.DUMMYFUNCTION("""COMPUTED_VALUE"""),10099.0)</f>
        <v>10099</v>
      </c>
      <c r="I282" s="148">
        <f>IFERROR(__xludf.DUMMYFUNCTION("""COMPUTED_VALUE"""),10099.0)</f>
        <v>10099</v>
      </c>
      <c r="J282" s="148">
        <f>IFERROR(__xludf.DUMMYFUNCTION("""COMPUTED_VALUE"""),0.0)</f>
        <v>0</v>
      </c>
      <c r="K282" s="148">
        <f>IFERROR(__xludf.DUMMYFUNCTION("""COMPUTED_VALUE"""),10.0)</f>
        <v>10</v>
      </c>
      <c r="L282" s="148">
        <f>IFERROR(__xludf.DUMMYFUNCTION("""COMPUTED_VALUE"""),50.0)</f>
        <v>50</v>
      </c>
      <c r="M282" s="148">
        <f>IFERROR(__xludf.DUMMYFUNCTION("""COMPUTED_VALUE"""),0.0)</f>
        <v>0</v>
      </c>
      <c r="N282" s="148" t="str">
        <f>IFERROR(__xludf.DUMMYFUNCTION("""COMPUTED_VALUE"""),"[]")</f>
        <v>[]</v>
      </c>
      <c r="O282" s="148" t="str">
        <f>IFERROR(__xludf.DUMMYFUNCTION("""COMPUTED_VALUE"""),"{}")</f>
        <v>{}</v>
      </c>
      <c r="P282" s="148">
        <f>IFERROR(__xludf.DUMMYFUNCTION("""COMPUTED_VALUE"""),0.0)</f>
        <v>0</v>
      </c>
      <c r="Q282" s="148" t="str">
        <f>IFERROR(__xludf.DUMMYFUNCTION("""COMPUTED_VALUE"""),"[]")</f>
        <v>[]</v>
      </c>
      <c r="R282" s="148" t="str">
        <f>IFERROR(__xludf.DUMMYFUNCTION("""COMPUTED_VALUE"""),"{}")</f>
        <v>{}</v>
      </c>
      <c r="S282" s="148">
        <f>IFERROR(__xludf.DUMMYFUNCTION("""COMPUTED_VALUE"""),0.0)</f>
        <v>0</v>
      </c>
      <c r="T282" s="148" t="str">
        <f>IFERROR(__xludf.DUMMYFUNCTION("""COMPUTED_VALUE"""),"[]")</f>
        <v>[]</v>
      </c>
      <c r="U282" s="148">
        <f>IFERROR(__xludf.DUMMYFUNCTION("""COMPUTED_VALUE"""),0.0)</f>
        <v>0</v>
      </c>
      <c r="V282" s="148" t="str">
        <f>IFERROR(__xludf.DUMMYFUNCTION("""COMPUTED_VALUE"""),"{}")</f>
        <v>{}</v>
      </c>
      <c r="W282" s="148" t="str">
        <f>IFERROR(__xludf.DUMMYFUNCTION("""COMPUTED_VALUE"""),"[]")</f>
        <v>[]</v>
      </c>
      <c r="X282" s="148" t="str">
        <f>IFERROR(__xludf.DUMMYFUNCTION("""COMPUTED_VALUE"""),"[{""typ"":""power"",""id"":12141002,""val"":10}]")</f>
        <v>[{"typ":"power","id":12141002,"val":10}]</v>
      </c>
      <c r="Y282" s="148" t="str">
        <f>IFERROR(__xludf.DUMMYFUNCTION("""COMPUTED_VALUE"""),"[{""typ"":""atk"",""val"":230},{""typ"":""def"",""val"":210},{""typ"":""hp"",""val"":210},{""typ"":""speed"",""val"":40},{""typ"":""load"",""val"":20},{""typ"":""backcoef"",""val"":0.5},{""typ"":""atkcoef"",""val"":1.0},{""typ"":""atkcd"",""val"":0}]")</f>
        <v>[{"typ":"atk","val":230},{"typ":"def","val":210},{"typ":"hp","val":210},{"typ":"speed","val":40},{"typ":"load","val":20},{"typ":"backcoef","val":0.5},{"typ":"atkcoef","val":1.0},{"typ":"atkcd","val":0}]</v>
      </c>
      <c r="Z282" s="148" t="str">
        <f>IFERROR(__xludf.DUMMYFUNCTION("""COMPUTED_VALUE"""),"[]")</f>
        <v>[]</v>
      </c>
    </row>
    <row r="283">
      <c r="A283" s="148">
        <f>IFERROR(__xludf.DUMMYFUNCTION("""COMPUTED_VALUE"""),1.1217008E7)</f>
        <v>11217008</v>
      </c>
      <c r="B283" s="148" t="str">
        <f>IFERROR(__xludf.DUMMYFUNCTION("""COMPUTED_VALUE"""),"大地图单位-野怪-异种蛮猴-T1（集结）")</f>
        <v>大地图单位-野怪-异种蛮猴-T1（集结）</v>
      </c>
      <c r="C283" s="148">
        <f>IFERROR(__xludf.DUMMYFUNCTION("""COMPUTED_VALUE"""),1.1221004E7)</f>
        <v>11221004</v>
      </c>
      <c r="D283" s="148">
        <f>IFERROR(__xludf.DUMMYFUNCTION("""COMPUTED_VALUE"""),1.5114299E7)</f>
        <v>15114299</v>
      </c>
      <c r="E283" s="148" t="str">
        <f>IFERROR(__xludf.DUMMYFUNCTION("""COMPUTED_VALUE"""),"{""typ"":""lc"",""txt"":""LC_SOLDIER_npc_name_1""}")</f>
        <v>{"typ":"lc","txt":"LC_SOLDIER_npc_name_1"}</v>
      </c>
      <c r="F283" s="148" t="str">
        <f>IFERROR(__xludf.DUMMYFUNCTION("""COMPUTED_VALUE"""),"{}")</f>
        <v>{}</v>
      </c>
      <c r="G283" s="148">
        <f>IFERROR(__xludf.DUMMYFUNCTION("""COMPUTED_VALUE"""),2.0)</f>
        <v>2</v>
      </c>
      <c r="H283" s="148">
        <f>IFERROR(__xludf.DUMMYFUNCTION("""COMPUTED_VALUE"""),10099.0)</f>
        <v>10099</v>
      </c>
      <c r="I283" s="148">
        <f>IFERROR(__xludf.DUMMYFUNCTION("""COMPUTED_VALUE"""),10099.0)</f>
        <v>10099</v>
      </c>
      <c r="J283" s="148">
        <f>IFERROR(__xludf.DUMMYFUNCTION("""COMPUTED_VALUE"""),0.0)</f>
        <v>0</v>
      </c>
      <c r="K283" s="148">
        <f>IFERROR(__xludf.DUMMYFUNCTION("""COMPUTED_VALUE"""),10.0)</f>
        <v>10</v>
      </c>
      <c r="L283" s="148">
        <f>IFERROR(__xludf.DUMMYFUNCTION("""COMPUTED_VALUE"""),50.0)</f>
        <v>50</v>
      </c>
      <c r="M283" s="148">
        <f>IFERROR(__xludf.DUMMYFUNCTION("""COMPUTED_VALUE"""),0.0)</f>
        <v>0</v>
      </c>
      <c r="N283" s="148" t="str">
        <f>IFERROR(__xludf.DUMMYFUNCTION("""COMPUTED_VALUE"""),"[]")</f>
        <v>[]</v>
      </c>
      <c r="O283" s="148" t="str">
        <f>IFERROR(__xludf.DUMMYFUNCTION("""COMPUTED_VALUE"""),"{}")</f>
        <v>{}</v>
      </c>
      <c r="P283" s="148">
        <f>IFERROR(__xludf.DUMMYFUNCTION("""COMPUTED_VALUE"""),0.0)</f>
        <v>0</v>
      </c>
      <c r="Q283" s="148" t="str">
        <f>IFERROR(__xludf.DUMMYFUNCTION("""COMPUTED_VALUE"""),"[]")</f>
        <v>[]</v>
      </c>
      <c r="R283" s="148" t="str">
        <f>IFERROR(__xludf.DUMMYFUNCTION("""COMPUTED_VALUE"""),"{}")</f>
        <v>{}</v>
      </c>
      <c r="S283" s="148">
        <f>IFERROR(__xludf.DUMMYFUNCTION("""COMPUTED_VALUE"""),0.0)</f>
        <v>0</v>
      </c>
      <c r="T283" s="148" t="str">
        <f>IFERROR(__xludf.DUMMYFUNCTION("""COMPUTED_VALUE"""),"[]")</f>
        <v>[]</v>
      </c>
      <c r="U283" s="148">
        <f>IFERROR(__xludf.DUMMYFUNCTION("""COMPUTED_VALUE"""),0.0)</f>
        <v>0</v>
      </c>
      <c r="V283" s="148" t="str">
        <f>IFERROR(__xludf.DUMMYFUNCTION("""COMPUTED_VALUE"""),"{}")</f>
        <v>{}</v>
      </c>
      <c r="W283" s="148" t="str">
        <f>IFERROR(__xludf.DUMMYFUNCTION("""COMPUTED_VALUE"""),"[]")</f>
        <v>[]</v>
      </c>
      <c r="X283" s="148" t="str">
        <f>IFERROR(__xludf.DUMMYFUNCTION("""COMPUTED_VALUE"""),"[{""typ"":""power"",""id"":12141002,""val"":1}]")</f>
        <v>[{"typ":"power","id":12141002,"val":1}]</v>
      </c>
      <c r="Y283" s="148" t="str">
        <f>IFERROR(__xludf.DUMMYFUNCTION("""COMPUTED_VALUE"""),"[{""typ"":""atk"",""val"":60},{""typ"":""def"",""val"":125},{""typ"":""hp"",""val"":120},{""typ"":""speed"",""val"":40},{""typ"":""load"",""val"":20},{""typ"":""backcoef"",""val"":0.5},{""typ"":""atkcoef"",""val"":1.0},{""typ"":""atkcd"",""val"":0}]")</f>
        <v>[{"typ":"atk","val":60},{"typ":"def","val":125},{"typ":"hp","val":120},{"typ":"speed","val":40},{"typ":"load","val":20},{"typ":"backcoef","val":0.5},{"typ":"atkcoef","val":1.0},{"typ":"atkcd","val":0}]</v>
      </c>
      <c r="Z283" s="148" t="str">
        <f>IFERROR(__xludf.DUMMYFUNCTION("""COMPUTED_VALUE"""),"[]")</f>
        <v>[]</v>
      </c>
    </row>
    <row r="284">
      <c r="A284" s="148">
        <f>IFERROR(__xludf.DUMMYFUNCTION("""COMPUTED_VALUE"""),1.1217009E7)</f>
        <v>11217009</v>
      </c>
      <c r="B284" s="148" t="str">
        <f>IFERROR(__xludf.DUMMYFUNCTION("""COMPUTED_VALUE"""),"大地图单位-野怪-异种蛮猴-T2（集结）")</f>
        <v>大地图单位-野怪-异种蛮猴-T2（集结）</v>
      </c>
      <c r="C284" s="148">
        <f>IFERROR(__xludf.DUMMYFUNCTION("""COMPUTED_VALUE"""),1.1221004E7)</f>
        <v>11221004</v>
      </c>
      <c r="D284" s="148">
        <f>IFERROR(__xludf.DUMMYFUNCTION("""COMPUTED_VALUE"""),1.5114299E7)</f>
        <v>15114299</v>
      </c>
      <c r="E284" s="148" t="str">
        <f>IFERROR(__xludf.DUMMYFUNCTION("""COMPUTED_VALUE"""),"{""typ"":""lc"",""txt"":""LC_SOLDIER_npc_name_1""}")</f>
        <v>{"typ":"lc","txt":"LC_SOLDIER_npc_name_1"}</v>
      </c>
      <c r="F284" s="148" t="str">
        <f>IFERROR(__xludf.DUMMYFUNCTION("""COMPUTED_VALUE"""),"{}")</f>
        <v>{}</v>
      </c>
      <c r="G284" s="148">
        <f>IFERROR(__xludf.DUMMYFUNCTION("""COMPUTED_VALUE"""),2.0)</f>
        <v>2</v>
      </c>
      <c r="H284" s="148">
        <f>IFERROR(__xludf.DUMMYFUNCTION("""COMPUTED_VALUE"""),10099.0)</f>
        <v>10099</v>
      </c>
      <c r="I284" s="148">
        <f>IFERROR(__xludf.DUMMYFUNCTION("""COMPUTED_VALUE"""),10099.0)</f>
        <v>10099</v>
      </c>
      <c r="J284" s="148">
        <f>IFERROR(__xludf.DUMMYFUNCTION("""COMPUTED_VALUE"""),0.0)</f>
        <v>0</v>
      </c>
      <c r="K284" s="148">
        <f>IFERROR(__xludf.DUMMYFUNCTION("""COMPUTED_VALUE"""),10.0)</f>
        <v>10</v>
      </c>
      <c r="L284" s="148">
        <f>IFERROR(__xludf.DUMMYFUNCTION("""COMPUTED_VALUE"""),50.0)</f>
        <v>50</v>
      </c>
      <c r="M284" s="148">
        <f>IFERROR(__xludf.DUMMYFUNCTION("""COMPUTED_VALUE"""),0.0)</f>
        <v>0</v>
      </c>
      <c r="N284" s="148" t="str">
        <f>IFERROR(__xludf.DUMMYFUNCTION("""COMPUTED_VALUE"""),"[]")</f>
        <v>[]</v>
      </c>
      <c r="O284" s="148" t="str">
        <f>IFERROR(__xludf.DUMMYFUNCTION("""COMPUTED_VALUE"""),"{}")</f>
        <v>{}</v>
      </c>
      <c r="P284" s="148">
        <f>IFERROR(__xludf.DUMMYFUNCTION("""COMPUTED_VALUE"""),0.0)</f>
        <v>0</v>
      </c>
      <c r="Q284" s="148" t="str">
        <f>IFERROR(__xludf.DUMMYFUNCTION("""COMPUTED_VALUE"""),"[]")</f>
        <v>[]</v>
      </c>
      <c r="R284" s="148" t="str">
        <f>IFERROR(__xludf.DUMMYFUNCTION("""COMPUTED_VALUE"""),"{}")</f>
        <v>{}</v>
      </c>
      <c r="S284" s="148">
        <f>IFERROR(__xludf.DUMMYFUNCTION("""COMPUTED_VALUE"""),0.0)</f>
        <v>0</v>
      </c>
      <c r="T284" s="148" t="str">
        <f>IFERROR(__xludf.DUMMYFUNCTION("""COMPUTED_VALUE"""),"[]")</f>
        <v>[]</v>
      </c>
      <c r="U284" s="148">
        <f>IFERROR(__xludf.DUMMYFUNCTION("""COMPUTED_VALUE"""),0.0)</f>
        <v>0</v>
      </c>
      <c r="V284" s="148" t="str">
        <f>IFERROR(__xludf.DUMMYFUNCTION("""COMPUTED_VALUE"""),"{}")</f>
        <v>{}</v>
      </c>
      <c r="W284" s="148" t="str">
        <f>IFERROR(__xludf.DUMMYFUNCTION("""COMPUTED_VALUE"""),"[]")</f>
        <v>[]</v>
      </c>
      <c r="X284" s="148" t="str">
        <f>IFERROR(__xludf.DUMMYFUNCTION("""COMPUTED_VALUE"""),"[{""typ"":""power"",""id"":12141002,""val"":2}]")</f>
        <v>[{"typ":"power","id":12141002,"val":2}]</v>
      </c>
      <c r="Y284" s="148" t="str">
        <f>IFERROR(__xludf.DUMMYFUNCTION("""COMPUTED_VALUE"""),"[{""typ"":""atk"",""val"":120},{""typ"":""def"",""val"":130},{""typ"":""hp"",""val"":130},{""typ"":""speed"",""val"":40},{""typ"":""load"",""val"":20},{""typ"":""backcoef"",""val"":0.5},{""typ"":""atkcoef"",""val"":1.0},{""typ"":""atkcd"",""val"":0}]")</f>
        <v>[{"typ":"atk","val":120},{"typ":"def","val":130},{"typ":"hp","val":130},{"typ":"speed","val":40},{"typ":"load","val":20},{"typ":"backcoef","val":0.5},{"typ":"atkcoef","val":1.0},{"typ":"atkcd","val":0}]</v>
      </c>
      <c r="Z284" s="148" t="str">
        <f>IFERROR(__xludf.DUMMYFUNCTION("""COMPUTED_VALUE"""),"[]")</f>
        <v>[]</v>
      </c>
    </row>
    <row r="285">
      <c r="A285" s="148">
        <f>IFERROR(__xludf.DUMMYFUNCTION("""COMPUTED_VALUE"""),1.121701E7)</f>
        <v>11217010</v>
      </c>
      <c r="B285" s="148" t="str">
        <f>IFERROR(__xludf.DUMMYFUNCTION("""COMPUTED_VALUE"""),"大地图单位-野怪-异种蛮猴-T3（集结）")</f>
        <v>大地图单位-野怪-异种蛮猴-T3（集结）</v>
      </c>
      <c r="C285" s="148">
        <f>IFERROR(__xludf.DUMMYFUNCTION("""COMPUTED_VALUE"""),1.1221004E7)</f>
        <v>11221004</v>
      </c>
      <c r="D285" s="148">
        <f>IFERROR(__xludf.DUMMYFUNCTION("""COMPUTED_VALUE"""),1.5114299E7)</f>
        <v>15114299</v>
      </c>
      <c r="E285" s="148" t="str">
        <f>IFERROR(__xludf.DUMMYFUNCTION("""COMPUTED_VALUE"""),"{""typ"":""lc"",""txt"":""LC_SOLDIER_npc_name_1""}")</f>
        <v>{"typ":"lc","txt":"LC_SOLDIER_npc_name_1"}</v>
      </c>
      <c r="F285" s="148" t="str">
        <f>IFERROR(__xludf.DUMMYFUNCTION("""COMPUTED_VALUE"""),"{}")</f>
        <v>{}</v>
      </c>
      <c r="G285" s="148">
        <f>IFERROR(__xludf.DUMMYFUNCTION("""COMPUTED_VALUE"""),2.0)</f>
        <v>2</v>
      </c>
      <c r="H285" s="148">
        <f>IFERROR(__xludf.DUMMYFUNCTION("""COMPUTED_VALUE"""),10099.0)</f>
        <v>10099</v>
      </c>
      <c r="I285" s="148">
        <f>IFERROR(__xludf.DUMMYFUNCTION("""COMPUTED_VALUE"""),10099.0)</f>
        <v>10099</v>
      </c>
      <c r="J285" s="148">
        <f>IFERROR(__xludf.DUMMYFUNCTION("""COMPUTED_VALUE"""),0.0)</f>
        <v>0</v>
      </c>
      <c r="K285" s="148">
        <f>IFERROR(__xludf.DUMMYFUNCTION("""COMPUTED_VALUE"""),10.0)</f>
        <v>10</v>
      </c>
      <c r="L285" s="148">
        <f>IFERROR(__xludf.DUMMYFUNCTION("""COMPUTED_VALUE"""),50.0)</f>
        <v>50</v>
      </c>
      <c r="M285" s="148">
        <f>IFERROR(__xludf.DUMMYFUNCTION("""COMPUTED_VALUE"""),0.0)</f>
        <v>0</v>
      </c>
      <c r="N285" s="148" t="str">
        <f>IFERROR(__xludf.DUMMYFUNCTION("""COMPUTED_VALUE"""),"[]")</f>
        <v>[]</v>
      </c>
      <c r="O285" s="148" t="str">
        <f>IFERROR(__xludf.DUMMYFUNCTION("""COMPUTED_VALUE"""),"{}")</f>
        <v>{}</v>
      </c>
      <c r="P285" s="148">
        <f>IFERROR(__xludf.DUMMYFUNCTION("""COMPUTED_VALUE"""),0.0)</f>
        <v>0</v>
      </c>
      <c r="Q285" s="148" t="str">
        <f>IFERROR(__xludf.DUMMYFUNCTION("""COMPUTED_VALUE"""),"[]")</f>
        <v>[]</v>
      </c>
      <c r="R285" s="148" t="str">
        <f>IFERROR(__xludf.DUMMYFUNCTION("""COMPUTED_VALUE"""),"{}")</f>
        <v>{}</v>
      </c>
      <c r="S285" s="148">
        <f>IFERROR(__xludf.DUMMYFUNCTION("""COMPUTED_VALUE"""),0.0)</f>
        <v>0</v>
      </c>
      <c r="T285" s="148" t="str">
        <f>IFERROR(__xludf.DUMMYFUNCTION("""COMPUTED_VALUE"""),"[]")</f>
        <v>[]</v>
      </c>
      <c r="U285" s="148">
        <f>IFERROR(__xludf.DUMMYFUNCTION("""COMPUTED_VALUE"""),0.0)</f>
        <v>0</v>
      </c>
      <c r="V285" s="148" t="str">
        <f>IFERROR(__xludf.DUMMYFUNCTION("""COMPUTED_VALUE"""),"{}")</f>
        <v>{}</v>
      </c>
      <c r="W285" s="148" t="str">
        <f>IFERROR(__xludf.DUMMYFUNCTION("""COMPUTED_VALUE"""),"[]")</f>
        <v>[]</v>
      </c>
      <c r="X285" s="148" t="str">
        <f>IFERROR(__xludf.DUMMYFUNCTION("""COMPUTED_VALUE"""),"[{""typ"":""power"",""id"":12141002,""val"":4}]")</f>
        <v>[{"typ":"power","id":12141002,"val":4}]</v>
      </c>
      <c r="Y285" s="148" t="str">
        <f>IFERROR(__xludf.DUMMYFUNCTION("""COMPUTED_VALUE"""),"[{""typ"":""atk"",""val"":160},{""typ"":""def"",""val"":160},{""typ"":""hp"",""val"":160},{""typ"":""speed"",""val"":40},{""typ"":""load"",""val"":20},{""typ"":""backcoef"",""val"":0.5},{""typ"":""atkcoef"",""val"":1.0},{""typ"":""atkcd"",""val"":0}]")</f>
        <v>[{"typ":"atk","val":160},{"typ":"def","val":160},{"typ":"hp","val":160},{"typ":"speed","val":40},{"typ":"load","val":20},{"typ":"backcoef","val":0.5},{"typ":"atkcoef","val":1.0},{"typ":"atkcd","val":0}]</v>
      </c>
      <c r="Z285" s="148" t="str">
        <f>IFERROR(__xludf.DUMMYFUNCTION("""COMPUTED_VALUE"""),"[]")</f>
        <v>[]</v>
      </c>
    </row>
    <row r="286">
      <c r="A286" s="148">
        <f>IFERROR(__xludf.DUMMYFUNCTION("""COMPUTED_VALUE"""),1.1217011E7)</f>
        <v>11217011</v>
      </c>
      <c r="B286" s="148" t="str">
        <f>IFERROR(__xludf.DUMMYFUNCTION("""COMPUTED_VALUE"""),"大地图单位-野怪-异种蛮猴-T4（集结）")</f>
        <v>大地图单位-野怪-异种蛮猴-T4（集结）</v>
      </c>
      <c r="C286" s="148">
        <f>IFERROR(__xludf.DUMMYFUNCTION("""COMPUTED_VALUE"""),1.1221004E7)</f>
        <v>11221004</v>
      </c>
      <c r="D286" s="148">
        <f>IFERROR(__xludf.DUMMYFUNCTION("""COMPUTED_VALUE"""),1.5114299E7)</f>
        <v>15114299</v>
      </c>
      <c r="E286" s="148" t="str">
        <f>IFERROR(__xludf.DUMMYFUNCTION("""COMPUTED_VALUE"""),"{""typ"":""lc"",""txt"":""LC_SOLDIER_npc_name_1""}")</f>
        <v>{"typ":"lc","txt":"LC_SOLDIER_npc_name_1"}</v>
      </c>
      <c r="F286" s="148" t="str">
        <f>IFERROR(__xludf.DUMMYFUNCTION("""COMPUTED_VALUE"""),"{}")</f>
        <v>{}</v>
      </c>
      <c r="G286" s="148">
        <f>IFERROR(__xludf.DUMMYFUNCTION("""COMPUTED_VALUE"""),2.0)</f>
        <v>2</v>
      </c>
      <c r="H286" s="148">
        <f>IFERROR(__xludf.DUMMYFUNCTION("""COMPUTED_VALUE"""),10099.0)</f>
        <v>10099</v>
      </c>
      <c r="I286" s="148">
        <f>IFERROR(__xludf.DUMMYFUNCTION("""COMPUTED_VALUE"""),10099.0)</f>
        <v>10099</v>
      </c>
      <c r="J286" s="148">
        <f>IFERROR(__xludf.DUMMYFUNCTION("""COMPUTED_VALUE"""),0.0)</f>
        <v>0</v>
      </c>
      <c r="K286" s="148">
        <f>IFERROR(__xludf.DUMMYFUNCTION("""COMPUTED_VALUE"""),10.0)</f>
        <v>10</v>
      </c>
      <c r="L286" s="148">
        <f>IFERROR(__xludf.DUMMYFUNCTION("""COMPUTED_VALUE"""),50.0)</f>
        <v>50</v>
      </c>
      <c r="M286" s="148">
        <f>IFERROR(__xludf.DUMMYFUNCTION("""COMPUTED_VALUE"""),0.0)</f>
        <v>0</v>
      </c>
      <c r="N286" s="148" t="str">
        <f>IFERROR(__xludf.DUMMYFUNCTION("""COMPUTED_VALUE"""),"[]")</f>
        <v>[]</v>
      </c>
      <c r="O286" s="148" t="str">
        <f>IFERROR(__xludf.DUMMYFUNCTION("""COMPUTED_VALUE"""),"{}")</f>
        <v>{}</v>
      </c>
      <c r="P286" s="148">
        <f>IFERROR(__xludf.DUMMYFUNCTION("""COMPUTED_VALUE"""),0.0)</f>
        <v>0</v>
      </c>
      <c r="Q286" s="148" t="str">
        <f>IFERROR(__xludf.DUMMYFUNCTION("""COMPUTED_VALUE"""),"[]")</f>
        <v>[]</v>
      </c>
      <c r="R286" s="148" t="str">
        <f>IFERROR(__xludf.DUMMYFUNCTION("""COMPUTED_VALUE"""),"{}")</f>
        <v>{}</v>
      </c>
      <c r="S286" s="148">
        <f>IFERROR(__xludf.DUMMYFUNCTION("""COMPUTED_VALUE"""),0.0)</f>
        <v>0</v>
      </c>
      <c r="T286" s="148" t="str">
        <f>IFERROR(__xludf.DUMMYFUNCTION("""COMPUTED_VALUE"""),"[]")</f>
        <v>[]</v>
      </c>
      <c r="U286" s="148">
        <f>IFERROR(__xludf.DUMMYFUNCTION("""COMPUTED_VALUE"""),0.0)</f>
        <v>0</v>
      </c>
      <c r="V286" s="148" t="str">
        <f>IFERROR(__xludf.DUMMYFUNCTION("""COMPUTED_VALUE"""),"{}")</f>
        <v>{}</v>
      </c>
      <c r="W286" s="148" t="str">
        <f>IFERROR(__xludf.DUMMYFUNCTION("""COMPUTED_VALUE"""),"[]")</f>
        <v>[]</v>
      </c>
      <c r="X286" s="148" t="str">
        <f>IFERROR(__xludf.DUMMYFUNCTION("""COMPUTED_VALUE"""),"[{""typ"":""power"",""id"":12141002,""val"":6}]")</f>
        <v>[{"typ":"power","id":12141002,"val":6}]</v>
      </c>
      <c r="Y286" s="148" t="str">
        <f>IFERROR(__xludf.DUMMYFUNCTION("""COMPUTED_VALUE"""),"[{""typ"":""atk"",""val"":200},{""typ"":""def"",""val"":190},{""typ"":""hp"",""val"":180},{""typ"":""speed"",""val"":40},{""typ"":""load"",""val"":20},{""typ"":""backcoef"",""val"":0.5},{""typ"":""atkcoef"",""val"":1.0},{""typ"":""atkcd"",""val"":0}]")</f>
        <v>[{"typ":"atk","val":200},{"typ":"def","val":190},{"typ":"hp","val":180},{"typ":"speed","val":40},{"typ":"load","val":20},{"typ":"backcoef","val":0.5},{"typ":"atkcoef","val":1.0},{"typ":"atkcd","val":0}]</v>
      </c>
      <c r="Z286" s="148" t="str">
        <f>IFERROR(__xludf.DUMMYFUNCTION("""COMPUTED_VALUE"""),"[]")</f>
        <v>[]</v>
      </c>
    </row>
    <row r="287">
      <c r="A287" s="148">
        <f>IFERROR(__xludf.DUMMYFUNCTION("""COMPUTED_VALUE"""),1.1217012E7)</f>
        <v>11217012</v>
      </c>
      <c r="B287" s="148" t="str">
        <f>IFERROR(__xludf.DUMMYFUNCTION("""COMPUTED_VALUE"""),"大地图单位-野怪-异种蛮猴-T5（集结）")</f>
        <v>大地图单位-野怪-异种蛮猴-T5（集结）</v>
      </c>
      <c r="C287" s="148">
        <f>IFERROR(__xludf.DUMMYFUNCTION("""COMPUTED_VALUE"""),1.1221004E7)</f>
        <v>11221004</v>
      </c>
      <c r="D287" s="148">
        <f>IFERROR(__xludf.DUMMYFUNCTION("""COMPUTED_VALUE"""),1.5114299E7)</f>
        <v>15114299</v>
      </c>
      <c r="E287" s="148" t="str">
        <f>IFERROR(__xludf.DUMMYFUNCTION("""COMPUTED_VALUE"""),"{""typ"":""lc"",""txt"":""LC_SOLDIER_npc_name_1""}")</f>
        <v>{"typ":"lc","txt":"LC_SOLDIER_npc_name_1"}</v>
      </c>
      <c r="F287" s="148" t="str">
        <f>IFERROR(__xludf.DUMMYFUNCTION("""COMPUTED_VALUE"""),"{}")</f>
        <v>{}</v>
      </c>
      <c r="G287" s="148">
        <f>IFERROR(__xludf.DUMMYFUNCTION("""COMPUTED_VALUE"""),2.0)</f>
        <v>2</v>
      </c>
      <c r="H287" s="148">
        <f>IFERROR(__xludf.DUMMYFUNCTION("""COMPUTED_VALUE"""),10099.0)</f>
        <v>10099</v>
      </c>
      <c r="I287" s="148">
        <f>IFERROR(__xludf.DUMMYFUNCTION("""COMPUTED_VALUE"""),10099.0)</f>
        <v>10099</v>
      </c>
      <c r="J287" s="148">
        <f>IFERROR(__xludf.DUMMYFUNCTION("""COMPUTED_VALUE"""),0.0)</f>
        <v>0</v>
      </c>
      <c r="K287" s="148">
        <f>IFERROR(__xludf.DUMMYFUNCTION("""COMPUTED_VALUE"""),10.0)</f>
        <v>10</v>
      </c>
      <c r="L287" s="148">
        <f>IFERROR(__xludf.DUMMYFUNCTION("""COMPUTED_VALUE"""),50.0)</f>
        <v>50</v>
      </c>
      <c r="M287" s="148">
        <f>IFERROR(__xludf.DUMMYFUNCTION("""COMPUTED_VALUE"""),0.0)</f>
        <v>0</v>
      </c>
      <c r="N287" s="148" t="str">
        <f>IFERROR(__xludf.DUMMYFUNCTION("""COMPUTED_VALUE"""),"[]")</f>
        <v>[]</v>
      </c>
      <c r="O287" s="148" t="str">
        <f>IFERROR(__xludf.DUMMYFUNCTION("""COMPUTED_VALUE"""),"{}")</f>
        <v>{}</v>
      </c>
      <c r="P287" s="148">
        <f>IFERROR(__xludf.DUMMYFUNCTION("""COMPUTED_VALUE"""),0.0)</f>
        <v>0</v>
      </c>
      <c r="Q287" s="148" t="str">
        <f>IFERROR(__xludf.DUMMYFUNCTION("""COMPUTED_VALUE"""),"[]")</f>
        <v>[]</v>
      </c>
      <c r="R287" s="148" t="str">
        <f>IFERROR(__xludf.DUMMYFUNCTION("""COMPUTED_VALUE"""),"{}")</f>
        <v>{}</v>
      </c>
      <c r="S287" s="148">
        <f>IFERROR(__xludf.DUMMYFUNCTION("""COMPUTED_VALUE"""),0.0)</f>
        <v>0</v>
      </c>
      <c r="T287" s="148" t="str">
        <f>IFERROR(__xludf.DUMMYFUNCTION("""COMPUTED_VALUE"""),"[]")</f>
        <v>[]</v>
      </c>
      <c r="U287" s="148">
        <f>IFERROR(__xludf.DUMMYFUNCTION("""COMPUTED_VALUE"""),0.0)</f>
        <v>0</v>
      </c>
      <c r="V287" s="148" t="str">
        <f>IFERROR(__xludf.DUMMYFUNCTION("""COMPUTED_VALUE"""),"{}")</f>
        <v>{}</v>
      </c>
      <c r="W287" s="148" t="str">
        <f>IFERROR(__xludf.DUMMYFUNCTION("""COMPUTED_VALUE"""),"[]")</f>
        <v>[]</v>
      </c>
      <c r="X287" s="148" t="str">
        <f>IFERROR(__xludf.DUMMYFUNCTION("""COMPUTED_VALUE"""),"[{""typ"":""power"",""id"":12141002,""val"":10}]")</f>
        <v>[{"typ":"power","id":12141002,"val":10}]</v>
      </c>
      <c r="Y287" s="148" t="str">
        <f>IFERROR(__xludf.DUMMYFUNCTION("""COMPUTED_VALUE"""),"[{""typ"":""atk"",""val"":230},{""typ"":""def"",""val"":210},{""typ"":""hp"",""val"":210},{""typ"":""speed"",""val"":40},{""typ"":""load"",""val"":20},{""typ"":""backcoef"",""val"":0.5},{""typ"":""atkcoef"",""val"":1.0},{""typ"":""atkcd"",""val"":0}]")</f>
        <v>[{"typ":"atk","val":230},{"typ":"def","val":210},{"typ":"hp","val":210},{"typ":"speed","val":40},{"typ":"load","val":20},{"typ":"backcoef","val":0.5},{"typ":"atkcoef","val":1.0},{"typ":"atkcd","val":0}]</v>
      </c>
      <c r="Z287" s="148" t="str">
        <f>IFERROR(__xludf.DUMMYFUNCTION("""COMPUTED_VALUE"""),"[]")</f>
        <v>[]</v>
      </c>
    </row>
    <row r="288">
      <c r="A288" s="148">
        <f>IFERROR(__xludf.DUMMYFUNCTION("""COMPUTED_VALUE"""),1.1217013E7)</f>
        <v>11217013</v>
      </c>
      <c r="B288" s="148" t="str">
        <f>IFERROR(__xludf.DUMMYFUNCTION("""COMPUTED_VALUE"""),"大地图单位-野怪-异种蛮猴-T6")</f>
        <v>大地图单位-野怪-异种蛮猴-T6</v>
      </c>
      <c r="C288" s="148">
        <f>IFERROR(__xludf.DUMMYFUNCTION("""COMPUTED_VALUE"""),1.1221004E7)</f>
        <v>11221004</v>
      </c>
      <c r="D288" s="148">
        <f>IFERROR(__xludf.DUMMYFUNCTION("""COMPUTED_VALUE"""),1.5114298E7)</f>
        <v>15114298</v>
      </c>
      <c r="E288" s="148" t="str">
        <f>IFERROR(__xludf.DUMMYFUNCTION("""COMPUTED_VALUE"""),"{""typ"":""lc"",""txt"":""LC_SOLDIER_npc_name_1""}")</f>
        <v>{"typ":"lc","txt":"LC_SOLDIER_npc_name_1"}</v>
      </c>
      <c r="F288" s="148" t="str">
        <f>IFERROR(__xludf.DUMMYFUNCTION("""COMPUTED_VALUE"""),"{}")</f>
        <v>{}</v>
      </c>
      <c r="G288" s="148">
        <f>IFERROR(__xludf.DUMMYFUNCTION("""COMPUTED_VALUE"""),2.0)</f>
        <v>2</v>
      </c>
      <c r="H288" s="148">
        <f>IFERROR(__xludf.DUMMYFUNCTION("""COMPUTED_VALUE"""),10099.0)</f>
        <v>10099</v>
      </c>
      <c r="I288" s="148">
        <f>IFERROR(__xludf.DUMMYFUNCTION("""COMPUTED_VALUE"""),10099.0)</f>
        <v>10099</v>
      </c>
      <c r="J288" s="148">
        <f>IFERROR(__xludf.DUMMYFUNCTION("""COMPUTED_VALUE"""),0.0)</f>
        <v>0</v>
      </c>
      <c r="K288" s="148">
        <f>IFERROR(__xludf.DUMMYFUNCTION("""COMPUTED_VALUE"""),10.0)</f>
        <v>10</v>
      </c>
      <c r="L288" s="148">
        <f>IFERROR(__xludf.DUMMYFUNCTION("""COMPUTED_VALUE"""),50.0)</f>
        <v>50</v>
      </c>
      <c r="M288" s="148">
        <f>IFERROR(__xludf.DUMMYFUNCTION("""COMPUTED_VALUE"""),0.0)</f>
        <v>0</v>
      </c>
      <c r="N288" s="148" t="str">
        <f>IFERROR(__xludf.DUMMYFUNCTION("""COMPUTED_VALUE"""),"[]")</f>
        <v>[]</v>
      </c>
      <c r="O288" s="148" t="str">
        <f>IFERROR(__xludf.DUMMYFUNCTION("""COMPUTED_VALUE"""),"{}")</f>
        <v>{}</v>
      </c>
      <c r="P288" s="148">
        <f>IFERROR(__xludf.DUMMYFUNCTION("""COMPUTED_VALUE"""),0.0)</f>
        <v>0</v>
      </c>
      <c r="Q288" s="148" t="str">
        <f>IFERROR(__xludf.DUMMYFUNCTION("""COMPUTED_VALUE"""),"[]")</f>
        <v>[]</v>
      </c>
      <c r="R288" s="148" t="str">
        <f>IFERROR(__xludf.DUMMYFUNCTION("""COMPUTED_VALUE"""),"{}")</f>
        <v>{}</v>
      </c>
      <c r="S288" s="148">
        <f>IFERROR(__xludf.DUMMYFUNCTION("""COMPUTED_VALUE"""),0.0)</f>
        <v>0</v>
      </c>
      <c r="T288" s="148" t="str">
        <f>IFERROR(__xludf.DUMMYFUNCTION("""COMPUTED_VALUE"""),"[]")</f>
        <v>[]</v>
      </c>
      <c r="U288" s="148">
        <f>IFERROR(__xludf.DUMMYFUNCTION("""COMPUTED_VALUE"""),0.0)</f>
        <v>0</v>
      </c>
      <c r="V288" s="148" t="str">
        <f>IFERROR(__xludf.DUMMYFUNCTION("""COMPUTED_VALUE"""),"{}")</f>
        <v>{}</v>
      </c>
      <c r="W288" s="148" t="str">
        <f>IFERROR(__xludf.DUMMYFUNCTION("""COMPUTED_VALUE"""),"[]")</f>
        <v>[]</v>
      </c>
      <c r="X288" s="148" t="str">
        <f>IFERROR(__xludf.DUMMYFUNCTION("""COMPUTED_VALUE"""),"[{""typ"":""power"",""id"":12141002,""val"":20}]")</f>
        <v>[{"typ":"power","id":12141002,"val":20}]</v>
      </c>
      <c r="Y288" s="148" t="str">
        <f>IFERROR(__xludf.DUMMYFUNCTION("""COMPUTED_VALUE"""),"[{""typ"":""atk"",""val"":280},{""typ"":""def"",""val"":260},{""typ"":""hp"",""val"":250},{""typ"":""speed"",""val"":40},{""typ"":""load"",""val"":20},{""typ"":""backcoef"",""val"":0.5},{""typ"":""atkcoef"",""val"":1.0},{""typ"":""atkcd"",""val"":0}]")</f>
        <v>[{"typ":"atk","val":280},{"typ":"def","val":260},{"typ":"hp","val":250},{"typ":"speed","val":40},{"typ":"load","val":20},{"typ":"backcoef","val":0.5},{"typ":"atkcoef","val":1.0},{"typ":"atkcd","val":0}]</v>
      </c>
      <c r="Z288" s="148" t="str">
        <f>IFERROR(__xludf.DUMMYFUNCTION("""COMPUTED_VALUE"""),"[]")</f>
        <v>[]</v>
      </c>
    </row>
    <row r="289">
      <c r="A289" s="148">
        <f>IFERROR(__xludf.DUMMYFUNCTION("""COMPUTED_VALUE"""),1.1217014E7)</f>
        <v>11217014</v>
      </c>
      <c r="B289" s="148" t="str">
        <f>IFERROR(__xludf.DUMMYFUNCTION("""COMPUTED_VALUE"""),"大地图单位-野怪-异种蛮猴-T6（集结）")</f>
        <v>大地图单位-野怪-异种蛮猴-T6（集结）</v>
      </c>
      <c r="C289" s="148">
        <f>IFERROR(__xludf.DUMMYFUNCTION("""COMPUTED_VALUE"""),1.1221004E7)</f>
        <v>11221004</v>
      </c>
      <c r="D289" s="148">
        <f>IFERROR(__xludf.DUMMYFUNCTION("""COMPUTED_VALUE"""),1.5114299E7)</f>
        <v>15114299</v>
      </c>
      <c r="E289" s="148" t="str">
        <f>IFERROR(__xludf.DUMMYFUNCTION("""COMPUTED_VALUE"""),"{""typ"":""lc"",""txt"":""LC_SOLDIER_npc_name_1""}")</f>
        <v>{"typ":"lc","txt":"LC_SOLDIER_npc_name_1"}</v>
      </c>
      <c r="F289" s="148" t="str">
        <f>IFERROR(__xludf.DUMMYFUNCTION("""COMPUTED_VALUE"""),"{}")</f>
        <v>{}</v>
      </c>
      <c r="G289" s="148">
        <f>IFERROR(__xludf.DUMMYFUNCTION("""COMPUTED_VALUE"""),2.0)</f>
        <v>2</v>
      </c>
      <c r="H289" s="148">
        <f>IFERROR(__xludf.DUMMYFUNCTION("""COMPUTED_VALUE"""),10099.0)</f>
        <v>10099</v>
      </c>
      <c r="I289" s="148">
        <f>IFERROR(__xludf.DUMMYFUNCTION("""COMPUTED_VALUE"""),10099.0)</f>
        <v>10099</v>
      </c>
      <c r="J289" s="148">
        <f>IFERROR(__xludf.DUMMYFUNCTION("""COMPUTED_VALUE"""),0.0)</f>
        <v>0</v>
      </c>
      <c r="K289" s="148">
        <f>IFERROR(__xludf.DUMMYFUNCTION("""COMPUTED_VALUE"""),10.0)</f>
        <v>10</v>
      </c>
      <c r="L289" s="148">
        <f>IFERROR(__xludf.DUMMYFUNCTION("""COMPUTED_VALUE"""),50.0)</f>
        <v>50</v>
      </c>
      <c r="M289" s="148">
        <f>IFERROR(__xludf.DUMMYFUNCTION("""COMPUTED_VALUE"""),0.0)</f>
        <v>0</v>
      </c>
      <c r="N289" s="148" t="str">
        <f>IFERROR(__xludf.DUMMYFUNCTION("""COMPUTED_VALUE"""),"[]")</f>
        <v>[]</v>
      </c>
      <c r="O289" s="148" t="str">
        <f>IFERROR(__xludf.DUMMYFUNCTION("""COMPUTED_VALUE"""),"{}")</f>
        <v>{}</v>
      </c>
      <c r="P289" s="148">
        <f>IFERROR(__xludf.DUMMYFUNCTION("""COMPUTED_VALUE"""),0.0)</f>
        <v>0</v>
      </c>
      <c r="Q289" s="148" t="str">
        <f>IFERROR(__xludf.DUMMYFUNCTION("""COMPUTED_VALUE"""),"[]")</f>
        <v>[]</v>
      </c>
      <c r="R289" s="148" t="str">
        <f>IFERROR(__xludf.DUMMYFUNCTION("""COMPUTED_VALUE"""),"{}")</f>
        <v>{}</v>
      </c>
      <c r="S289" s="148">
        <f>IFERROR(__xludf.DUMMYFUNCTION("""COMPUTED_VALUE"""),0.0)</f>
        <v>0</v>
      </c>
      <c r="T289" s="148" t="str">
        <f>IFERROR(__xludf.DUMMYFUNCTION("""COMPUTED_VALUE"""),"[]")</f>
        <v>[]</v>
      </c>
      <c r="U289" s="148">
        <f>IFERROR(__xludf.DUMMYFUNCTION("""COMPUTED_VALUE"""),0.0)</f>
        <v>0</v>
      </c>
      <c r="V289" s="148" t="str">
        <f>IFERROR(__xludf.DUMMYFUNCTION("""COMPUTED_VALUE"""),"{}")</f>
        <v>{}</v>
      </c>
      <c r="W289" s="148" t="str">
        <f>IFERROR(__xludf.DUMMYFUNCTION("""COMPUTED_VALUE"""),"[]")</f>
        <v>[]</v>
      </c>
      <c r="X289" s="148" t="str">
        <f>IFERROR(__xludf.DUMMYFUNCTION("""COMPUTED_VALUE"""),"[{""typ"":""power"",""id"":12141002,""val"":20}]")</f>
        <v>[{"typ":"power","id":12141002,"val":20}]</v>
      </c>
      <c r="Y289" s="148" t="str">
        <f>IFERROR(__xludf.DUMMYFUNCTION("""COMPUTED_VALUE"""),"[{""typ"":""atk"",""val"":280},{""typ"":""def"",""val"":260},{""typ"":""hp"",""val"":250},{""typ"":""speed"",""val"":40},{""typ"":""load"",""val"":20},{""typ"":""backcoef"",""val"":0.5},{""typ"":""atkcoef"",""val"":1.0},{""typ"":""atkcd"",""val"":0}]")</f>
        <v>[{"typ":"atk","val":280},{"typ":"def","val":260},{"typ":"hp","val":250},{"typ":"speed","val":40},{"typ":"load","val":20},{"typ":"backcoef","val":0.5},{"typ":"atkcoef","val":1.0},{"typ":"atkcd","val":0}]</v>
      </c>
      <c r="Z289" s="148" t="str">
        <f>IFERROR(__xludf.DUMMYFUNCTION("""COMPUTED_VALUE"""),"[]")</f>
        <v>[]</v>
      </c>
    </row>
    <row r="290">
      <c r="A290" s="148">
        <f>IFERROR(__xludf.DUMMYFUNCTION("""COMPUTED_VALUE"""),1.1217502E7)</f>
        <v>11217502</v>
      </c>
      <c r="B290" s="148" t="str">
        <f>IFERROR(__xludf.DUMMYFUNCTION("""COMPUTED_VALUE"""),"大地图单位-野怪-T2（攻击降低）（变异猴）")</f>
        <v>大地图单位-野怪-T2（攻击降低）（变异猴）</v>
      </c>
      <c r="C290" s="148">
        <f>IFERROR(__xludf.DUMMYFUNCTION("""COMPUTED_VALUE"""),1.1221004E7)</f>
        <v>11221004</v>
      </c>
      <c r="D290" s="148">
        <f>IFERROR(__xludf.DUMMYFUNCTION("""COMPUTED_VALUE"""),1.5110234E7)</f>
        <v>15110234</v>
      </c>
      <c r="E290" s="148" t="str">
        <f>IFERROR(__xludf.DUMMYFUNCTION("""COMPUTED_VALUE"""),"{""typ"":""lc"",""txt"":""LC_SOLDIER_npc_name_1""}")</f>
        <v>{"typ":"lc","txt":"LC_SOLDIER_npc_name_1"}</v>
      </c>
      <c r="F290" s="148" t="str">
        <f>IFERROR(__xludf.DUMMYFUNCTION("""COMPUTED_VALUE"""),"{}")</f>
        <v>{}</v>
      </c>
      <c r="G290" s="148">
        <f>IFERROR(__xludf.DUMMYFUNCTION("""COMPUTED_VALUE"""),10.0)</f>
        <v>10</v>
      </c>
      <c r="H290" s="148">
        <f>IFERROR(__xludf.DUMMYFUNCTION("""COMPUTED_VALUE"""),10099.0)</f>
        <v>10099</v>
      </c>
      <c r="I290" s="148">
        <f>IFERROR(__xludf.DUMMYFUNCTION("""COMPUTED_VALUE"""),10099.0)</f>
        <v>10099</v>
      </c>
      <c r="J290" s="148">
        <f>IFERROR(__xludf.DUMMYFUNCTION("""COMPUTED_VALUE"""),0.0)</f>
        <v>0</v>
      </c>
      <c r="K290" s="148">
        <f>IFERROR(__xludf.DUMMYFUNCTION("""COMPUTED_VALUE"""),10.0)</f>
        <v>10</v>
      </c>
      <c r="L290" s="148">
        <f>IFERROR(__xludf.DUMMYFUNCTION("""COMPUTED_VALUE"""),99.0)</f>
        <v>99</v>
      </c>
      <c r="M290" s="148">
        <f>IFERROR(__xludf.DUMMYFUNCTION("""COMPUTED_VALUE"""),0.0)</f>
        <v>0</v>
      </c>
      <c r="N290" s="148" t="str">
        <f>IFERROR(__xludf.DUMMYFUNCTION("""COMPUTED_VALUE"""),"[]")</f>
        <v>[]</v>
      </c>
      <c r="O290" s="148" t="str">
        <f>IFERROR(__xludf.DUMMYFUNCTION("""COMPUTED_VALUE"""),"{}")</f>
        <v>{}</v>
      </c>
      <c r="P290" s="148">
        <f>IFERROR(__xludf.DUMMYFUNCTION("""COMPUTED_VALUE"""),0.0)</f>
        <v>0</v>
      </c>
      <c r="Q290" s="148" t="str">
        <f>IFERROR(__xludf.DUMMYFUNCTION("""COMPUTED_VALUE"""),"[]")</f>
        <v>[]</v>
      </c>
      <c r="R290" s="148" t="str">
        <f>IFERROR(__xludf.DUMMYFUNCTION("""COMPUTED_VALUE"""),"{}")</f>
        <v>{}</v>
      </c>
      <c r="S290" s="148">
        <f>IFERROR(__xludf.DUMMYFUNCTION("""COMPUTED_VALUE"""),0.0)</f>
        <v>0</v>
      </c>
      <c r="T290" s="148" t="str">
        <f>IFERROR(__xludf.DUMMYFUNCTION("""COMPUTED_VALUE"""),"[]")</f>
        <v>[]</v>
      </c>
      <c r="U290" s="148">
        <f>IFERROR(__xludf.DUMMYFUNCTION("""COMPUTED_VALUE"""),0.0)</f>
        <v>0</v>
      </c>
      <c r="V290" s="148" t="str">
        <f>IFERROR(__xludf.DUMMYFUNCTION("""COMPUTED_VALUE"""),"{}")</f>
        <v>{}</v>
      </c>
      <c r="W290" s="148" t="str">
        <f>IFERROR(__xludf.DUMMYFUNCTION("""COMPUTED_VALUE"""),"[]")</f>
        <v>[]</v>
      </c>
      <c r="X290" s="148" t="str">
        <f>IFERROR(__xludf.DUMMYFUNCTION("""COMPUTED_VALUE"""),"[{""typ"":""power"",""id"":12141002,""val"":2}]")</f>
        <v>[{"typ":"power","id":12141002,"val":2}]</v>
      </c>
      <c r="Y290" s="148" t="str">
        <f>IFERROR(__xludf.DUMMYFUNCTION("""COMPUTED_VALUE"""),"[{""typ"":""atk"",""val"":105},{""typ"":""def"",""val"":130},{""typ"":""hp"",""val"":130},{""typ"":""speed"",""val"":40},{""typ"":""load"",""val"":20},{""typ"":""backcoef"",""val"":0.5},{""typ"":""atkcoef"",""val"":1.0},{""typ"":""atkcd"",""val"":0}]")</f>
        <v>[{"typ":"atk","val":105},{"typ":"def","val":130},{"typ":"hp","val":130},{"typ":"speed","val":40},{"typ":"load","val":20},{"typ":"backcoef","val":0.5},{"typ":"atkcoef","val":1.0},{"typ":"atkcd","val":0}]</v>
      </c>
      <c r="Z290" s="148" t="str">
        <f>IFERROR(__xludf.DUMMYFUNCTION("""COMPUTED_VALUE"""),"[]")</f>
        <v>[]</v>
      </c>
    </row>
    <row r="291">
      <c r="A291" s="148">
        <f>IFERROR(__xludf.DUMMYFUNCTION("""COMPUTED_VALUE"""),1.1217503E7)</f>
        <v>11217503</v>
      </c>
      <c r="B291" s="148" t="str">
        <f>IFERROR(__xludf.DUMMYFUNCTION("""COMPUTED_VALUE"""),"大地图单位-野怪-T3（攻击降低）（变异猴）")</f>
        <v>大地图单位-野怪-T3（攻击降低）（变异猴）</v>
      </c>
      <c r="C291" s="148">
        <f>IFERROR(__xludf.DUMMYFUNCTION("""COMPUTED_VALUE"""),1.1221004E7)</f>
        <v>11221004</v>
      </c>
      <c r="D291" s="148">
        <f>IFERROR(__xludf.DUMMYFUNCTION("""COMPUTED_VALUE"""),1.5110234E7)</f>
        <v>15110234</v>
      </c>
      <c r="E291" s="148" t="str">
        <f>IFERROR(__xludf.DUMMYFUNCTION("""COMPUTED_VALUE"""),"{""typ"":""lc"",""txt"":""LC_SOLDIER_npc_name_1""}")</f>
        <v>{"typ":"lc","txt":"LC_SOLDIER_npc_name_1"}</v>
      </c>
      <c r="F291" s="148" t="str">
        <f>IFERROR(__xludf.DUMMYFUNCTION("""COMPUTED_VALUE"""),"{}")</f>
        <v>{}</v>
      </c>
      <c r="G291" s="148">
        <f>IFERROR(__xludf.DUMMYFUNCTION("""COMPUTED_VALUE"""),10.0)</f>
        <v>10</v>
      </c>
      <c r="H291" s="148">
        <f>IFERROR(__xludf.DUMMYFUNCTION("""COMPUTED_VALUE"""),10099.0)</f>
        <v>10099</v>
      </c>
      <c r="I291" s="148">
        <f>IFERROR(__xludf.DUMMYFUNCTION("""COMPUTED_VALUE"""),10099.0)</f>
        <v>10099</v>
      </c>
      <c r="J291" s="148">
        <f>IFERROR(__xludf.DUMMYFUNCTION("""COMPUTED_VALUE"""),0.0)</f>
        <v>0</v>
      </c>
      <c r="K291" s="148">
        <f>IFERROR(__xludf.DUMMYFUNCTION("""COMPUTED_VALUE"""),10.0)</f>
        <v>10</v>
      </c>
      <c r="L291" s="148">
        <f>IFERROR(__xludf.DUMMYFUNCTION("""COMPUTED_VALUE"""),99.0)</f>
        <v>99</v>
      </c>
      <c r="M291" s="148">
        <f>IFERROR(__xludf.DUMMYFUNCTION("""COMPUTED_VALUE"""),0.0)</f>
        <v>0</v>
      </c>
      <c r="N291" s="148" t="str">
        <f>IFERROR(__xludf.DUMMYFUNCTION("""COMPUTED_VALUE"""),"[]")</f>
        <v>[]</v>
      </c>
      <c r="O291" s="148" t="str">
        <f>IFERROR(__xludf.DUMMYFUNCTION("""COMPUTED_VALUE"""),"{}")</f>
        <v>{}</v>
      </c>
      <c r="P291" s="148">
        <f>IFERROR(__xludf.DUMMYFUNCTION("""COMPUTED_VALUE"""),0.0)</f>
        <v>0</v>
      </c>
      <c r="Q291" s="148" t="str">
        <f>IFERROR(__xludf.DUMMYFUNCTION("""COMPUTED_VALUE"""),"[]")</f>
        <v>[]</v>
      </c>
      <c r="R291" s="148" t="str">
        <f>IFERROR(__xludf.DUMMYFUNCTION("""COMPUTED_VALUE"""),"{}")</f>
        <v>{}</v>
      </c>
      <c r="S291" s="148">
        <f>IFERROR(__xludf.DUMMYFUNCTION("""COMPUTED_VALUE"""),0.0)</f>
        <v>0</v>
      </c>
      <c r="T291" s="148" t="str">
        <f>IFERROR(__xludf.DUMMYFUNCTION("""COMPUTED_VALUE"""),"[]")</f>
        <v>[]</v>
      </c>
      <c r="U291" s="148">
        <f>IFERROR(__xludf.DUMMYFUNCTION("""COMPUTED_VALUE"""),0.0)</f>
        <v>0</v>
      </c>
      <c r="V291" s="148" t="str">
        <f>IFERROR(__xludf.DUMMYFUNCTION("""COMPUTED_VALUE"""),"{}")</f>
        <v>{}</v>
      </c>
      <c r="W291" s="148" t="str">
        <f>IFERROR(__xludf.DUMMYFUNCTION("""COMPUTED_VALUE"""),"[]")</f>
        <v>[]</v>
      </c>
      <c r="X291" s="148" t="str">
        <f>IFERROR(__xludf.DUMMYFUNCTION("""COMPUTED_VALUE"""),"[{""typ"":""power"",""id"":12141002,""val"":4}]")</f>
        <v>[{"typ":"power","id":12141002,"val":4}]</v>
      </c>
      <c r="Y291" s="148" t="str">
        <f>IFERROR(__xludf.DUMMYFUNCTION("""COMPUTED_VALUE"""),"[{""typ"":""atk"",""val"":140},{""typ"":""def"",""val"":160},{""typ"":""hp"",""val"":160},{""typ"":""speed"",""val"":40},{""typ"":""load"",""val"":20},{""typ"":""backcoef"",""val"":0.5},{""typ"":""atkcoef"",""val"":1.0},{""typ"":""atkcd"",""val"":0}]")</f>
        <v>[{"typ":"atk","val":140},{"typ":"def","val":160},{"typ":"hp","val":160},{"typ":"speed","val":40},{"typ":"load","val":20},{"typ":"backcoef","val":0.5},{"typ":"atkcoef","val":1.0},{"typ":"atkcd","val":0}]</v>
      </c>
      <c r="Z291" s="148" t="str">
        <f>IFERROR(__xludf.DUMMYFUNCTION("""COMPUTED_VALUE"""),"[]")</f>
        <v>[]</v>
      </c>
    </row>
    <row r="292">
      <c r="A292" s="148">
        <f>IFERROR(__xludf.DUMMYFUNCTION("""COMPUTED_VALUE"""),1.1217602E7)</f>
        <v>11217602</v>
      </c>
      <c r="B292" s="148" t="str">
        <f>IFERROR(__xludf.DUMMYFUNCTION("""COMPUTED_VALUE"""),"大地图单位-野怪-T2（攻击降低）（投石猴）")</f>
        <v>大地图单位-野怪-T2（攻击降低）（投石猴）</v>
      </c>
      <c r="C292" s="148">
        <f>IFERROR(__xludf.DUMMYFUNCTION("""COMPUTED_VALUE"""),1.1221004E7)</f>
        <v>11221004</v>
      </c>
      <c r="D292" s="148">
        <f>IFERROR(__xludf.DUMMYFUNCTION("""COMPUTED_VALUE"""),1.5114051E7)</f>
        <v>15114051</v>
      </c>
      <c r="E292" s="148" t="str">
        <f>IFERROR(__xludf.DUMMYFUNCTION("""COMPUTED_VALUE"""),"{""typ"":""lc"",""txt"":""LC_SOLDIER_npc_name_1""}")</f>
        <v>{"typ":"lc","txt":"LC_SOLDIER_npc_name_1"}</v>
      </c>
      <c r="F292" s="148" t="str">
        <f>IFERROR(__xludf.DUMMYFUNCTION("""COMPUTED_VALUE"""),"{}")</f>
        <v>{}</v>
      </c>
      <c r="G292" s="148">
        <f>IFERROR(__xludf.DUMMYFUNCTION("""COMPUTED_VALUE"""),10.0)</f>
        <v>10</v>
      </c>
      <c r="H292" s="148">
        <f>IFERROR(__xludf.DUMMYFUNCTION("""COMPUTED_VALUE"""),10099.0)</f>
        <v>10099</v>
      </c>
      <c r="I292" s="148">
        <f>IFERROR(__xludf.DUMMYFUNCTION("""COMPUTED_VALUE"""),10099.0)</f>
        <v>10099</v>
      </c>
      <c r="J292" s="148">
        <f>IFERROR(__xludf.DUMMYFUNCTION("""COMPUTED_VALUE"""),0.0)</f>
        <v>0</v>
      </c>
      <c r="K292" s="148">
        <f>IFERROR(__xludf.DUMMYFUNCTION("""COMPUTED_VALUE"""),10.0)</f>
        <v>10</v>
      </c>
      <c r="L292" s="148">
        <f>IFERROR(__xludf.DUMMYFUNCTION("""COMPUTED_VALUE"""),99.0)</f>
        <v>99</v>
      </c>
      <c r="M292" s="148">
        <f>IFERROR(__xludf.DUMMYFUNCTION("""COMPUTED_VALUE"""),0.0)</f>
        <v>0</v>
      </c>
      <c r="N292" s="148" t="str">
        <f>IFERROR(__xludf.DUMMYFUNCTION("""COMPUTED_VALUE"""),"[]")</f>
        <v>[]</v>
      </c>
      <c r="O292" s="148" t="str">
        <f>IFERROR(__xludf.DUMMYFUNCTION("""COMPUTED_VALUE"""),"{}")</f>
        <v>{}</v>
      </c>
      <c r="P292" s="148">
        <f>IFERROR(__xludf.DUMMYFUNCTION("""COMPUTED_VALUE"""),0.0)</f>
        <v>0</v>
      </c>
      <c r="Q292" s="148" t="str">
        <f>IFERROR(__xludf.DUMMYFUNCTION("""COMPUTED_VALUE"""),"[]")</f>
        <v>[]</v>
      </c>
      <c r="R292" s="148" t="str">
        <f>IFERROR(__xludf.DUMMYFUNCTION("""COMPUTED_VALUE"""),"{}")</f>
        <v>{}</v>
      </c>
      <c r="S292" s="148">
        <f>IFERROR(__xludf.DUMMYFUNCTION("""COMPUTED_VALUE"""),0.0)</f>
        <v>0</v>
      </c>
      <c r="T292" s="148" t="str">
        <f>IFERROR(__xludf.DUMMYFUNCTION("""COMPUTED_VALUE"""),"[]")</f>
        <v>[]</v>
      </c>
      <c r="U292" s="148">
        <f>IFERROR(__xludf.DUMMYFUNCTION("""COMPUTED_VALUE"""),0.0)</f>
        <v>0</v>
      </c>
      <c r="V292" s="148" t="str">
        <f>IFERROR(__xludf.DUMMYFUNCTION("""COMPUTED_VALUE"""),"{}")</f>
        <v>{}</v>
      </c>
      <c r="W292" s="148" t="str">
        <f>IFERROR(__xludf.DUMMYFUNCTION("""COMPUTED_VALUE"""),"[]")</f>
        <v>[]</v>
      </c>
      <c r="X292" s="148" t="str">
        <f>IFERROR(__xludf.DUMMYFUNCTION("""COMPUTED_VALUE"""),"[{""typ"":""power"",""id"":12141002,""val"":2}]")</f>
        <v>[{"typ":"power","id":12141002,"val":2}]</v>
      </c>
      <c r="Y292" s="148" t="str">
        <f>IFERROR(__xludf.DUMMYFUNCTION("""COMPUTED_VALUE"""),"[{""typ"":""atk"",""val"":105},{""typ"":""def"",""val"":130},{""typ"":""hp"",""val"":130},{""typ"":""speed"",""val"":40},{""typ"":""load"",""val"":20},{""typ"":""backcoef"",""val"":0.5},{""typ"":""atkcoef"",""val"":1.0},{""typ"":""atkcd"",""val"":0}]")</f>
        <v>[{"typ":"atk","val":105},{"typ":"def","val":130},{"typ":"hp","val":130},{"typ":"speed","val":40},{"typ":"load","val":20},{"typ":"backcoef","val":0.5},{"typ":"atkcoef","val":1.0},{"typ":"atkcd","val":0}]</v>
      </c>
      <c r="Z292" s="148" t="str">
        <f>IFERROR(__xludf.DUMMYFUNCTION("""COMPUTED_VALUE"""),"[]")</f>
        <v>[]</v>
      </c>
    </row>
    <row r="293">
      <c r="A293" s="148">
        <f>IFERROR(__xludf.DUMMYFUNCTION("""COMPUTED_VALUE"""),1.1217603E7)</f>
        <v>11217603</v>
      </c>
      <c r="B293" s="148" t="str">
        <f>IFERROR(__xludf.DUMMYFUNCTION("""COMPUTED_VALUE"""),"大地图单位-野怪-T3（攻击降低）（投石猴）")</f>
        <v>大地图单位-野怪-T3（攻击降低）（投石猴）</v>
      </c>
      <c r="C293" s="148">
        <f>IFERROR(__xludf.DUMMYFUNCTION("""COMPUTED_VALUE"""),1.1221004E7)</f>
        <v>11221004</v>
      </c>
      <c r="D293" s="148">
        <f>IFERROR(__xludf.DUMMYFUNCTION("""COMPUTED_VALUE"""),1.5114051E7)</f>
        <v>15114051</v>
      </c>
      <c r="E293" s="148" t="str">
        <f>IFERROR(__xludf.DUMMYFUNCTION("""COMPUTED_VALUE"""),"{""typ"":""lc"",""txt"":""LC_SOLDIER_npc_name_1""}")</f>
        <v>{"typ":"lc","txt":"LC_SOLDIER_npc_name_1"}</v>
      </c>
      <c r="F293" s="148" t="str">
        <f>IFERROR(__xludf.DUMMYFUNCTION("""COMPUTED_VALUE"""),"{}")</f>
        <v>{}</v>
      </c>
      <c r="G293" s="148">
        <f>IFERROR(__xludf.DUMMYFUNCTION("""COMPUTED_VALUE"""),10.0)</f>
        <v>10</v>
      </c>
      <c r="H293" s="148">
        <f>IFERROR(__xludf.DUMMYFUNCTION("""COMPUTED_VALUE"""),10099.0)</f>
        <v>10099</v>
      </c>
      <c r="I293" s="148">
        <f>IFERROR(__xludf.DUMMYFUNCTION("""COMPUTED_VALUE"""),10099.0)</f>
        <v>10099</v>
      </c>
      <c r="J293" s="148">
        <f>IFERROR(__xludf.DUMMYFUNCTION("""COMPUTED_VALUE"""),0.0)</f>
        <v>0</v>
      </c>
      <c r="K293" s="148">
        <f>IFERROR(__xludf.DUMMYFUNCTION("""COMPUTED_VALUE"""),10.0)</f>
        <v>10</v>
      </c>
      <c r="L293" s="148">
        <f>IFERROR(__xludf.DUMMYFUNCTION("""COMPUTED_VALUE"""),99.0)</f>
        <v>99</v>
      </c>
      <c r="M293" s="148">
        <f>IFERROR(__xludf.DUMMYFUNCTION("""COMPUTED_VALUE"""),0.0)</f>
        <v>0</v>
      </c>
      <c r="N293" s="148" t="str">
        <f>IFERROR(__xludf.DUMMYFUNCTION("""COMPUTED_VALUE"""),"[]")</f>
        <v>[]</v>
      </c>
      <c r="O293" s="148" t="str">
        <f>IFERROR(__xludf.DUMMYFUNCTION("""COMPUTED_VALUE"""),"{}")</f>
        <v>{}</v>
      </c>
      <c r="P293" s="148">
        <f>IFERROR(__xludf.DUMMYFUNCTION("""COMPUTED_VALUE"""),0.0)</f>
        <v>0</v>
      </c>
      <c r="Q293" s="148" t="str">
        <f>IFERROR(__xludf.DUMMYFUNCTION("""COMPUTED_VALUE"""),"[]")</f>
        <v>[]</v>
      </c>
      <c r="R293" s="148" t="str">
        <f>IFERROR(__xludf.DUMMYFUNCTION("""COMPUTED_VALUE"""),"{}")</f>
        <v>{}</v>
      </c>
      <c r="S293" s="148">
        <f>IFERROR(__xludf.DUMMYFUNCTION("""COMPUTED_VALUE"""),0.0)</f>
        <v>0</v>
      </c>
      <c r="T293" s="148" t="str">
        <f>IFERROR(__xludf.DUMMYFUNCTION("""COMPUTED_VALUE"""),"[]")</f>
        <v>[]</v>
      </c>
      <c r="U293" s="148">
        <f>IFERROR(__xludf.DUMMYFUNCTION("""COMPUTED_VALUE"""),0.0)</f>
        <v>0</v>
      </c>
      <c r="V293" s="148" t="str">
        <f>IFERROR(__xludf.DUMMYFUNCTION("""COMPUTED_VALUE"""),"{}")</f>
        <v>{}</v>
      </c>
      <c r="W293" s="148" t="str">
        <f>IFERROR(__xludf.DUMMYFUNCTION("""COMPUTED_VALUE"""),"[]")</f>
        <v>[]</v>
      </c>
      <c r="X293" s="148" t="str">
        <f>IFERROR(__xludf.DUMMYFUNCTION("""COMPUTED_VALUE"""),"[{""typ"":""power"",""id"":12141002,""val"":4}]")</f>
        <v>[{"typ":"power","id":12141002,"val":4}]</v>
      </c>
      <c r="Y293" s="148" t="str">
        <f>IFERROR(__xludf.DUMMYFUNCTION("""COMPUTED_VALUE"""),"[{""typ"":""atk"",""val"":140},{""typ"":""def"",""val"":160},{""typ"":""hp"",""val"":160},{""typ"":""speed"",""val"":40},{""typ"":""load"",""val"":20},{""typ"":""backcoef"",""val"":0.5},{""typ"":""atkcoef"",""val"":1.0},{""typ"":""atkcd"",""val"":0}]")</f>
        <v>[{"typ":"atk","val":140},{"typ":"def","val":160},{"typ":"hp","val":160},{"typ":"speed","val":40},{"typ":"load","val":20},{"typ":"backcoef","val":0.5},{"typ":"atkcoef","val":1.0},{"typ":"atkcd","val":0}]</v>
      </c>
      <c r="Z293" s="148" t="str">
        <f>IFERROR(__xludf.DUMMYFUNCTION("""COMPUTED_VALUE"""),"[]")</f>
        <v>[]</v>
      </c>
    </row>
    <row r="294">
      <c r="A294" s="148">
        <f>IFERROR(__xludf.DUMMYFUNCTION("""COMPUTED_VALUE"""),1.1218001E7)</f>
        <v>11218001</v>
      </c>
      <c r="B294" s="148" t="str">
        <f>IFERROR(__xludf.DUMMYFUNCTION("""COMPUTED_VALUE"""),"大地图单位-野怪-T1")</f>
        <v>大地图单位-野怪-T1</v>
      </c>
      <c r="C294" s="148">
        <f>IFERROR(__xludf.DUMMYFUNCTION("""COMPUTED_VALUE"""),1.1221004E7)</f>
        <v>11221004</v>
      </c>
      <c r="D294" s="148">
        <f>IFERROR(__xludf.DUMMYFUNCTION("""COMPUTED_VALUE"""),1.5110234E7)</f>
        <v>15110234</v>
      </c>
      <c r="E294" s="148" t="str">
        <f>IFERROR(__xludf.DUMMYFUNCTION("""COMPUTED_VALUE"""),"{""typ"":""lc"",""txt"":""LC_SOLDIER_npc_name_1""}")</f>
        <v>{"typ":"lc","txt":"LC_SOLDIER_npc_name_1"}</v>
      </c>
      <c r="F294" s="148" t="str">
        <f>IFERROR(__xludf.DUMMYFUNCTION("""COMPUTED_VALUE"""),"{}")</f>
        <v>{}</v>
      </c>
      <c r="G294" s="148">
        <f>IFERROR(__xludf.DUMMYFUNCTION("""COMPUTED_VALUE"""),10.0)</f>
        <v>10</v>
      </c>
      <c r="H294" s="148">
        <f>IFERROR(__xludf.DUMMYFUNCTION("""COMPUTED_VALUE"""),10099.0)</f>
        <v>10099</v>
      </c>
      <c r="I294" s="148">
        <f>IFERROR(__xludf.DUMMYFUNCTION("""COMPUTED_VALUE"""),10099.0)</f>
        <v>10099</v>
      </c>
      <c r="J294" s="148">
        <f>IFERROR(__xludf.DUMMYFUNCTION("""COMPUTED_VALUE"""),0.0)</f>
        <v>0</v>
      </c>
      <c r="K294" s="148">
        <f>IFERROR(__xludf.DUMMYFUNCTION("""COMPUTED_VALUE"""),10.0)</f>
        <v>10</v>
      </c>
      <c r="L294" s="148">
        <f>IFERROR(__xludf.DUMMYFUNCTION("""COMPUTED_VALUE"""),99.0)</f>
        <v>99</v>
      </c>
      <c r="M294" s="148">
        <f>IFERROR(__xludf.DUMMYFUNCTION("""COMPUTED_VALUE"""),0.0)</f>
        <v>0</v>
      </c>
      <c r="N294" s="148" t="str">
        <f>IFERROR(__xludf.DUMMYFUNCTION("""COMPUTED_VALUE"""),"[]")</f>
        <v>[]</v>
      </c>
      <c r="O294" s="148" t="str">
        <f>IFERROR(__xludf.DUMMYFUNCTION("""COMPUTED_VALUE"""),"{}")</f>
        <v>{}</v>
      </c>
      <c r="P294" s="148">
        <f>IFERROR(__xludf.DUMMYFUNCTION("""COMPUTED_VALUE"""),0.0)</f>
        <v>0</v>
      </c>
      <c r="Q294" s="148" t="str">
        <f>IFERROR(__xludf.DUMMYFUNCTION("""COMPUTED_VALUE"""),"[]")</f>
        <v>[]</v>
      </c>
      <c r="R294" s="148" t="str">
        <f>IFERROR(__xludf.DUMMYFUNCTION("""COMPUTED_VALUE"""),"{}")</f>
        <v>{}</v>
      </c>
      <c r="S294" s="148">
        <f>IFERROR(__xludf.DUMMYFUNCTION("""COMPUTED_VALUE"""),0.0)</f>
        <v>0</v>
      </c>
      <c r="T294" s="148" t="str">
        <f>IFERROR(__xludf.DUMMYFUNCTION("""COMPUTED_VALUE"""),"[]")</f>
        <v>[]</v>
      </c>
      <c r="U294" s="148">
        <f>IFERROR(__xludf.DUMMYFUNCTION("""COMPUTED_VALUE"""),0.0)</f>
        <v>0</v>
      </c>
      <c r="V294" s="148" t="str">
        <f>IFERROR(__xludf.DUMMYFUNCTION("""COMPUTED_VALUE"""),"{}")</f>
        <v>{}</v>
      </c>
      <c r="W294" s="148" t="str">
        <f>IFERROR(__xludf.DUMMYFUNCTION("""COMPUTED_VALUE"""),"[]")</f>
        <v>[]</v>
      </c>
      <c r="X294" s="148" t="str">
        <f>IFERROR(__xludf.DUMMYFUNCTION("""COMPUTED_VALUE"""),"[{""typ"":""power"",""id"":12141002,""val"":1}]")</f>
        <v>[{"typ":"power","id":12141002,"val":1}]</v>
      </c>
      <c r="Y294" s="148" t="str">
        <f>IFERROR(__xludf.DUMMYFUNCTION("""COMPUTED_VALUE"""),"[{""typ"":""atk"",""val"":60},{""typ"":""def"",""val"":125},{""typ"":""hp"",""val"":120},{""typ"":""speed"",""val"":40},{""typ"":""load"",""val"":20},{""typ"":""backcoef"",""val"":0.5},{""typ"":""atkcoef"",""val"":1.0},{""typ"":""atkcd"",""val"":0}]")</f>
        <v>[{"typ":"atk","val":60},{"typ":"def","val":125},{"typ":"hp","val":120},{"typ":"speed","val":40},{"typ":"load","val":20},{"typ":"backcoef","val":0.5},{"typ":"atkcoef","val":1.0},{"typ":"atkcd","val":0}]</v>
      </c>
      <c r="Z294" s="148" t="str">
        <f>IFERROR(__xludf.DUMMYFUNCTION("""COMPUTED_VALUE"""),"[]")</f>
        <v>[]</v>
      </c>
    </row>
    <row r="295">
      <c r="A295" s="148">
        <f>IFERROR(__xludf.DUMMYFUNCTION("""COMPUTED_VALUE"""),1.1218002E7)</f>
        <v>11218002</v>
      </c>
      <c r="B295" s="148" t="str">
        <f>IFERROR(__xludf.DUMMYFUNCTION("""COMPUTED_VALUE"""),"大地图单位-野怪-T2")</f>
        <v>大地图单位-野怪-T2</v>
      </c>
      <c r="C295" s="148">
        <f>IFERROR(__xludf.DUMMYFUNCTION("""COMPUTED_VALUE"""),1.1221004E7)</f>
        <v>11221004</v>
      </c>
      <c r="D295" s="148">
        <f>IFERROR(__xludf.DUMMYFUNCTION("""COMPUTED_VALUE"""),1.5110234E7)</f>
        <v>15110234</v>
      </c>
      <c r="E295" s="148" t="str">
        <f>IFERROR(__xludf.DUMMYFUNCTION("""COMPUTED_VALUE"""),"{""typ"":""lc"",""txt"":""LC_SOLDIER_npc_name_1""}")</f>
        <v>{"typ":"lc","txt":"LC_SOLDIER_npc_name_1"}</v>
      </c>
      <c r="F295" s="148" t="str">
        <f>IFERROR(__xludf.DUMMYFUNCTION("""COMPUTED_VALUE"""),"{}")</f>
        <v>{}</v>
      </c>
      <c r="G295" s="148">
        <f>IFERROR(__xludf.DUMMYFUNCTION("""COMPUTED_VALUE"""),10.0)</f>
        <v>10</v>
      </c>
      <c r="H295" s="148">
        <f>IFERROR(__xludf.DUMMYFUNCTION("""COMPUTED_VALUE"""),10099.0)</f>
        <v>10099</v>
      </c>
      <c r="I295" s="148">
        <f>IFERROR(__xludf.DUMMYFUNCTION("""COMPUTED_VALUE"""),10099.0)</f>
        <v>10099</v>
      </c>
      <c r="J295" s="148">
        <f>IFERROR(__xludf.DUMMYFUNCTION("""COMPUTED_VALUE"""),0.0)</f>
        <v>0</v>
      </c>
      <c r="K295" s="148">
        <f>IFERROR(__xludf.DUMMYFUNCTION("""COMPUTED_VALUE"""),10.0)</f>
        <v>10</v>
      </c>
      <c r="L295" s="148">
        <f>IFERROR(__xludf.DUMMYFUNCTION("""COMPUTED_VALUE"""),99.0)</f>
        <v>99</v>
      </c>
      <c r="M295" s="148">
        <f>IFERROR(__xludf.DUMMYFUNCTION("""COMPUTED_VALUE"""),0.0)</f>
        <v>0</v>
      </c>
      <c r="N295" s="148" t="str">
        <f>IFERROR(__xludf.DUMMYFUNCTION("""COMPUTED_VALUE"""),"[]")</f>
        <v>[]</v>
      </c>
      <c r="O295" s="148" t="str">
        <f>IFERROR(__xludf.DUMMYFUNCTION("""COMPUTED_VALUE"""),"{}")</f>
        <v>{}</v>
      </c>
      <c r="P295" s="148">
        <f>IFERROR(__xludf.DUMMYFUNCTION("""COMPUTED_VALUE"""),0.0)</f>
        <v>0</v>
      </c>
      <c r="Q295" s="148" t="str">
        <f>IFERROR(__xludf.DUMMYFUNCTION("""COMPUTED_VALUE"""),"[]")</f>
        <v>[]</v>
      </c>
      <c r="R295" s="148" t="str">
        <f>IFERROR(__xludf.DUMMYFUNCTION("""COMPUTED_VALUE"""),"{}")</f>
        <v>{}</v>
      </c>
      <c r="S295" s="148">
        <f>IFERROR(__xludf.DUMMYFUNCTION("""COMPUTED_VALUE"""),0.0)</f>
        <v>0</v>
      </c>
      <c r="T295" s="148" t="str">
        <f>IFERROR(__xludf.DUMMYFUNCTION("""COMPUTED_VALUE"""),"[]")</f>
        <v>[]</v>
      </c>
      <c r="U295" s="148">
        <f>IFERROR(__xludf.DUMMYFUNCTION("""COMPUTED_VALUE"""),0.0)</f>
        <v>0</v>
      </c>
      <c r="V295" s="148" t="str">
        <f>IFERROR(__xludf.DUMMYFUNCTION("""COMPUTED_VALUE"""),"{}")</f>
        <v>{}</v>
      </c>
      <c r="W295" s="148" t="str">
        <f>IFERROR(__xludf.DUMMYFUNCTION("""COMPUTED_VALUE"""),"[]")</f>
        <v>[]</v>
      </c>
      <c r="X295" s="148" t="str">
        <f>IFERROR(__xludf.DUMMYFUNCTION("""COMPUTED_VALUE"""),"[{""typ"":""power"",""id"":12141002,""val"":2}]")</f>
        <v>[{"typ":"power","id":12141002,"val":2}]</v>
      </c>
      <c r="Y295" s="148" t="str">
        <f>IFERROR(__xludf.DUMMYFUNCTION("""COMPUTED_VALUE"""),"[{""typ"":""atk"",""val"":120},{""typ"":""def"",""val"":130},{""typ"":""hp"",""val"":130},{""typ"":""speed"",""val"":40},{""typ"":""load"",""val"":20},{""typ"":""backcoef"",""val"":0.5},{""typ"":""atkcoef"",""val"":1.0},{""typ"":""atkcd"",""val"":0}]")</f>
        <v>[{"typ":"atk","val":120},{"typ":"def","val":130},{"typ":"hp","val":130},{"typ":"speed","val":40},{"typ":"load","val":20},{"typ":"backcoef","val":0.5},{"typ":"atkcoef","val":1.0},{"typ":"atkcd","val":0}]</v>
      </c>
      <c r="Z295" s="148" t="str">
        <f>IFERROR(__xludf.DUMMYFUNCTION("""COMPUTED_VALUE"""),"[]")</f>
        <v>[]</v>
      </c>
    </row>
    <row r="296">
      <c r="A296" s="148">
        <f>IFERROR(__xludf.DUMMYFUNCTION("""COMPUTED_VALUE"""),1.1218003E7)</f>
        <v>11218003</v>
      </c>
      <c r="B296" s="148" t="str">
        <f>IFERROR(__xludf.DUMMYFUNCTION("""COMPUTED_VALUE"""),"大地图单位-野怪-T3")</f>
        <v>大地图单位-野怪-T3</v>
      </c>
      <c r="C296" s="148">
        <f>IFERROR(__xludf.DUMMYFUNCTION("""COMPUTED_VALUE"""),1.1221004E7)</f>
        <v>11221004</v>
      </c>
      <c r="D296" s="148">
        <f>IFERROR(__xludf.DUMMYFUNCTION("""COMPUTED_VALUE"""),1.5110234E7)</f>
        <v>15110234</v>
      </c>
      <c r="E296" s="148" t="str">
        <f>IFERROR(__xludf.DUMMYFUNCTION("""COMPUTED_VALUE"""),"{""typ"":""lc"",""txt"":""LC_SOLDIER_npc_name_1""}")</f>
        <v>{"typ":"lc","txt":"LC_SOLDIER_npc_name_1"}</v>
      </c>
      <c r="F296" s="148" t="str">
        <f>IFERROR(__xludf.DUMMYFUNCTION("""COMPUTED_VALUE"""),"{}")</f>
        <v>{}</v>
      </c>
      <c r="G296" s="148">
        <f>IFERROR(__xludf.DUMMYFUNCTION("""COMPUTED_VALUE"""),10.0)</f>
        <v>10</v>
      </c>
      <c r="H296" s="148">
        <f>IFERROR(__xludf.DUMMYFUNCTION("""COMPUTED_VALUE"""),10099.0)</f>
        <v>10099</v>
      </c>
      <c r="I296" s="148">
        <f>IFERROR(__xludf.DUMMYFUNCTION("""COMPUTED_VALUE"""),10099.0)</f>
        <v>10099</v>
      </c>
      <c r="J296" s="148">
        <f>IFERROR(__xludf.DUMMYFUNCTION("""COMPUTED_VALUE"""),0.0)</f>
        <v>0</v>
      </c>
      <c r="K296" s="148">
        <f>IFERROR(__xludf.DUMMYFUNCTION("""COMPUTED_VALUE"""),10.0)</f>
        <v>10</v>
      </c>
      <c r="L296" s="148">
        <f>IFERROR(__xludf.DUMMYFUNCTION("""COMPUTED_VALUE"""),99.0)</f>
        <v>99</v>
      </c>
      <c r="M296" s="148">
        <f>IFERROR(__xludf.DUMMYFUNCTION("""COMPUTED_VALUE"""),0.0)</f>
        <v>0</v>
      </c>
      <c r="N296" s="148" t="str">
        <f>IFERROR(__xludf.DUMMYFUNCTION("""COMPUTED_VALUE"""),"[]")</f>
        <v>[]</v>
      </c>
      <c r="O296" s="148" t="str">
        <f>IFERROR(__xludf.DUMMYFUNCTION("""COMPUTED_VALUE"""),"{}")</f>
        <v>{}</v>
      </c>
      <c r="P296" s="148">
        <f>IFERROR(__xludf.DUMMYFUNCTION("""COMPUTED_VALUE"""),0.0)</f>
        <v>0</v>
      </c>
      <c r="Q296" s="148" t="str">
        <f>IFERROR(__xludf.DUMMYFUNCTION("""COMPUTED_VALUE"""),"[]")</f>
        <v>[]</v>
      </c>
      <c r="R296" s="148" t="str">
        <f>IFERROR(__xludf.DUMMYFUNCTION("""COMPUTED_VALUE"""),"{}")</f>
        <v>{}</v>
      </c>
      <c r="S296" s="148">
        <f>IFERROR(__xludf.DUMMYFUNCTION("""COMPUTED_VALUE"""),0.0)</f>
        <v>0</v>
      </c>
      <c r="T296" s="148" t="str">
        <f>IFERROR(__xludf.DUMMYFUNCTION("""COMPUTED_VALUE"""),"[]")</f>
        <v>[]</v>
      </c>
      <c r="U296" s="148">
        <f>IFERROR(__xludf.DUMMYFUNCTION("""COMPUTED_VALUE"""),0.0)</f>
        <v>0</v>
      </c>
      <c r="V296" s="148" t="str">
        <f>IFERROR(__xludf.DUMMYFUNCTION("""COMPUTED_VALUE"""),"{}")</f>
        <v>{}</v>
      </c>
      <c r="W296" s="148" t="str">
        <f>IFERROR(__xludf.DUMMYFUNCTION("""COMPUTED_VALUE"""),"[]")</f>
        <v>[]</v>
      </c>
      <c r="X296" s="148" t="str">
        <f>IFERROR(__xludf.DUMMYFUNCTION("""COMPUTED_VALUE"""),"[{""typ"":""power"",""id"":12141002,""val"":4}]")</f>
        <v>[{"typ":"power","id":12141002,"val":4}]</v>
      </c>
      <c r="Y296" s="148" t="str">
        <f>IFERROR(__xludf.DUMMYFUNCTION("""COMPUTED_VALUE"""),"[{""typ"":""atk"",""val"":160},{""typ"":""def"",""val"":160},{""typ"":""hp"",""val"":160},{""typ"":""speed"",""val"":40},{""typ"":""load"",""val"":20},{""typ"":""backcoef"",""val"":0.5},{""typ"":""atkcoef"",""val"":1.0},{""typ"":""atkcd"",""val"":0}]")</f>
        <v>[{"typ":"atk","val":160},{"typ":"def","val":160},{"typ":"hp","val":160},{"typ":"speed","val":40},{"typ":"load","val":20},{"typ":"backcoef","val":0.5},{"typ":"atkcoef","val":1.0},{"typ":"atkcd","val":0}]</v>
      </c>
      <c r="Z296" s="148" t="str">
        <f>IFERROR(__xludf.DUMMYFUNCTION("""COMPUTED_VALUE"""),"[]")</f>
        <v>[]</v>
      </c>
    </row>
    <row r="297">
      <c r="A297" s="148">
        <f>IFERROR(__xludf.DUMMYFUNCTION("""COMPUTED_VALUE"""),1.1218004E7)</f>
        <v>11218004</v>
      </c>
      <c r="B297" s="148" t="str">
        <f>IFERROR(__xludf.DUMMYFUNCTION("""COMPUTED_VALUE"""),"大地图单位-野怪-T4")</f>
        <v>大地图单位-野怪-T4</v>
      </c>
      <c r="C297" s="148">
        <f>IFERROR(__xludf.DUMMYFUNCTION("""COMPUTED_VALUE"""),1.1221004E7)</f>
        <v>11221004</v>
      </c>
      <c r="D297" s="148">
        <f>IFERROR(__xludf.DUMMYFUNCTION("""COMPUTED_VALUE"""),1.5110234E7)</f>
        <v>15110234</v>
      </c>
      <c r="E297" s="148" t="str">
        <f>IFERROR(__xludf.DUMMYFUNCTION("""COMPUTED_VALUE"""),"{""typ"":""lc"",""txt"":""LC_SOLDIER_npc_name_1""}")</f>
        <v>{"typ":"lc","txt":"LC_SOLDIER_npc_name_1"}</v>
      </c>
      <c r="F297" s="148" t="str">
        <f>IFERROR(__xludf.DUMMYFUNCTION("""COMPUTED_VALUE"""),"{}")</f>
        <v>{}</v>
      </c>
      <c r="G297" s="148">
        <f>IFERROR(__xludf.DUMMYFUNCTION("""COMPUTED_VALUE"""),10.0)</f>
        <v>10</v>
      </c>
      <c r="H297" s="148">
        <f>IFERROR(__xludf.DUMMYFUNCTION("""COMPUTED_VALUE"""),10099.0)</f>
        <v>10099</v>
      </c>
      <c r="I297" s="148">
        <f>IFERROR(__xludf.DUMMYFUNCTION("""COMPUTED_VALUE"""),10099.0)</f>
        <v>10099</v>
      </c>
      <c r="J297" s="148">
        <f>IFERROR(__xludf.DUMMYFUNCTION("""COMPUTED_VALUE"""),0.0)</f>
        <v>0</v>
      </c>
      <c r="K297" s="148">
        <f>IFERROR(__xludf.DUMMYFUNCTION("""COMPUTED_VALUE"""),10.0)</f>
        <v>10</v>
      </c>
      <c r="L297" s="148">
        <f>IFERROR(__xludf.DUMMYFUNCTION("""COMPUTED_VALUE"""),99.0)</f>
        <v>99</v>
      </c>
      <c r="M297" s="148">
        <f>IFERROR(__xludf.DUMMYFUNCTION("""COMPUTED_VALUE"""),0.0)</f>
        <v>0</v>
      </c>
      <c r="N297" s="148" t="str">
        <f>IFERROR(__xludf.DUMMYFUNCTION("""COMPUTED_VALUE"""),"[]")</f>
        <v>[]</v>
      </c>
      <c r="O297" s="148" t="str">
        <f>IFERROR(__xludf.DUMMYFUNCTION("""COMPUTED_VALUE"""),"{}")</f>
        <v>{}</v>
      </c>
      <c r="P297" s="148">
        <f>IFERROR(__xludf.DUMMYFUNCTION("""COMPUTED_VALUE"""),0.0)</f>
        <v>0</v>
      </c>
      <c r="Q297" s="148" t="str">
        <f>IFERROR(__xludf.DUMMYFUNCTION("""COMPUTED_VALUE"""),"[]")</f>
        <v>[]</v>
      </c>
      <c r="R297" s="148" t="str">
        <f>IFERROR(__xludf.DUMMYFUNCTION("""COMPUTED_VALUE"""),"{}")</f>
        <v>{}</v>
      </c>
      <c r="S297" s="148">
        <f>IFERROR(__xludf.DUMMYFUNCTION("""COMPUTED_VALUE"""),0.0)</f>
        <v>0</v>
      </c>
      <c r="T297" s="148" t="str">
        <f>IFERROR(__xludf.DUMMYFUNCTION("""COMPUTED_VALUE"""),"[]")</f>
        <v>[]</v>
      </c>
      <c r="U297" s="148">
        <f>IFERROR(__xludf.DUMMYFUNCTION("""COMPUTED_VALUE"""),0.0)</f>
        <v>0</v>
      </c>
      <c r="V297" s="148" t="str">
        <f>IFERROR(__xludf.DUMMYFUNCTION("""COMPUTED_VALUE"""),"{}")</f>
        <v>{}</v>
      </c>
      <c r="W297" s="148" t="str">
        <f>IFERROR(__xludf.DUMMYFUNCTION("""COMPUTED_VALUE"""),"[]")</f>
        <v>[]</v>
      </c>
      <c r="X297" s="148" t="str">
        <f>IFERROR(__xludf.DUMMYFUNCTION("""COMPUTED_VALUE"""),"[{""typ"":""power"",""id"":12141002,""val"":6}]")</f>
        <v>[{"typ":"power","id":12141002,"val":6}]</v>
      </c>
      <c r="Y297" s="148" t="str">
        <f>IFERROR(__xludf.DUMMYFUNCTION("""COMPUTED_VALUE"""),"[{""typ"":""atk"",""val"":200},{""typ"":""def"",""val"":190},{""typ"":""hp"",""val"":180},{""typ"":""speed"",""val"":40},{""typ"":""load"",""val"":20},{""typ"":""backcoef"",""val"":0.5},{""typ"":""atkcoef"",""val"":1.0},{""typ"":""atkcd"",""val"":0}]")</f>
        <v>[{"typ":"atk","val":200},{"typ":"def","val":190},{"typ":"hp","val":180},{"typ":"speed","val":40},{"typ":"load","val":20},{"typ":"backcoef","val":0.5},{"typ":"atkcoef","val":1.0},{"typ":"atkcd","val":0}]</v>
      </c>
      <c r="Z297" s="148" t="str">
        <f>IFERROR(__xludf.DUMMYFUNCTION("""COMPUTED_VALUE"""),"[]")</f>
        <v>[]</v>
      </c>
    </row>
    <row r="298">
      <c r="A298" s="148">
        <f>IFERROR(__xludf.DUMMYFUNCTION("""COMPUTED_VALUE"""),1.1218005E7)</f>
        <v>11218005</v>
      </c>
      <c r="B298" s="148" t="str">
        <f>IFERROR(__xludf.DUMMYFUNCTION("""COMPUTED_VALUE"""),"大地图单位-野怪-T5")</f>
        <v>大地图单位-野怪-T5</v>
      </c>
      <c r="C298" s="148">
        <f>IFERROR(__xludf.DUMMYFUNCTION("""COMPUTED_VALUE"""),1.1221004E7)</f>
        <v>11221004</v>
      </c>
      <c r="D298" s="148">
        <f>IFERROR(__xludf.DUMMYFUNCTION("""COMPUTED_VALUE"""),1.5110234E7)</f>
        <v>15110234</v>
      </c>
      <c r="E298" s="148" t="str">
        <f>IFERROR(__xludf.DUMMYFUNCTION("""COMPUTED_VALUE"""),"{""typ"":""lc"",""txt"":""LC_SOLDIER_npc_name_1""}")</f>
        <v>{"typ":"lc","txt":"LC_SOLDIER_npc_name_1"}</v>
      </c>
      <c r="F298" s="148" t="str">
        <f>IFERROR(__xludf.DUMMYFUNCTION("""COMPUTED_VALUE"""),"{}")</f>
        <v>{}</v>
      </c>
      <c r="G298" s="148">
        <f>IFERROR(__xludf.DUMMYFUNCTION("""COMPUTED_VALUE"""),10.0)</f>
        <v>10</v>
      </c>
      <c r="H298" s="148">
        <f>IFERROR(__xludf.DUMMYFUNCTION("""COMPUTED_VALUE"""),10099.0)</f>
        <v>10099</v>
      </c>
      <c r="I298" s="148">
        <f>IFERROR(__xludf.DUMMYFUNCTION("""COMPUTED_VALUE"""),10099.0)</f>
        <v>10099</v>
      </c>
      <c r="J298" s="148">
        <f>IFERROR(__xludf.DUMMYFUNCTION("""COMPUTED_VALUE"""),0.0)</f>
        <v>0</v>
      </c>
      <c r="K298" s="148">
        <f>IFERROR(__xludf.DUMMYFUNCTION("""COMPUTED_VALUE"""),10.0)</f>
        <v>10</v>
      </c>
      <c r="L298" s="148">
        <f>IFERROR(__xludf.DUMMYFUNCTION("""COMPUTED_VALUE"""),99.0)</f>
        <v>99</v>
      </c>
      <c r="M298" s="148">
        <f>IFERROR(__xludf.DUMMYFUNCTION("""COMPUTED_VALUE"""),0.0)</f>
        <v>0</v>
      </c>
      <c r="N298" s="148" t="str">
        <f>IFERROR(__xludf.DUMMYFUNCTION("""COMPUTED_VALUE"""),"[]")</f>
        <v>[]</v>
      </c>
      <c r="O298" s="148" t="str">
        <f>IFERROR(__xludf.DUMMYFUNCTION("""COMPUTED_VALUE"""),"{}")</f>
        <v>{}</v>
      </c>
      <c r="P298" s="148">
        <f>IFERROR(__xludf.DUMMYFUNCTION("""COMPUTED_VALUE"""),0.0)</f>
        <v>0</v>
      </c>
      <c r="Q298" s="148" t="str">
        <f>IFERROR(__xludf.DUMMYFUNCTION("""COMPUTED_VALUE"""),"[]")</f>
        <v>[]</v>
      </c>
      <c r="R298" s="148" t="str">
        <f>IFERROR(__xludf.DUMMYFUNCTION("""COMPUTED_VALUE"""),"{}")</f>
        <v>{}</v>
      </c>
      <c r="S298" s="148">
        <f>IFERROR(__xludf.DUMMYFUNCTION("""COMPUTED_VALUE"""),0.0)</f>
        <v>0</v>
      </c>
      <c r="T298" s="148" t="str">
        <f>IFERROR(__xludf.DUMMYFUNCTION("""COMPUTED_VALUE"""),"[]")</f>
        <v>[]</v>
      </c>
      <c r="U298" s="148">
        <f>IFERROR(__xludf.DUMMYFUNCTION("""COMPUTED_VALUE"""),0.0)</f>
        <v>0</v>
      </c>
      <c r="V298" s="148" t="str">
        <f>IFERROR(__xludf.DUMMYFUNCTION("""COMPUTED_VALUE"""),"{}")</f>
        <v>{}</v>
      </c>
      <c r="W298" s="148" t="str">
        <f>IFERROR(__xludf.DUMMYFUNCTION("""COMPUTED_VALUE"""),"[]")</f>
        <v>[]</v>
      </c>
      <c r="X298" s="148" t="str">
        <f>IFERROR(__xludf.DUMMYFUNCTION("""COMPUTED_VALUE"""),"[{""typ"":""power"",""id"":12141002,""val"":10}]")</f>
        <v>[{"typ":"power","id":12141002,"val":10}]</v>
      </c>
      <c r="Y298" s="148" t="str">
        <f>IFERROR(__xludf.DUMMYFUNCTION("""COMPUTED_VALUE"""),"[{""typ"":""atk"",""val"":230},{""typ"":""def"",""val"":210},{""typ"":""hp"",""val"":210},{""typ"":""speed"",""val"":40},{""typ"":""load"",""val"":20},{""typ"":""backcoef"",""val"":0.5},{""typ"":""atkcoef"",""val"":1.0},{""typ"":""atkcd"",""val"":0}]")</f>
        <v>[{"typ":"atk","val":230},{"typ":"def","val":210},{"typ":"hp","val":210},{"typ":"speed","val":40},{"typ":"load","val":20},{"typ":"backcoef","val":0.5},{"typ":"atkcoef","val":1.0},{"typ":"atkcd","val":0}]</v>
      </c>
      <c r="Z298" s="148" t="str">
        <f>IFERROR(__xludf.DUMMYFUNCTION("""COMPUTED_VALUE"""),"[]")</f>
        <v>[]</v>
      </c>
    </row>
    <row r="299">
      <c r="A299" s="148">
        <f>IFERROR(__xludf.DUMMYFUNCTION("""COMPUTED_VALUE"""),1.1218006E7)</f>
        <v>11218006</v>
      </c>
      <c r="B299" s="148" t="str">
        <f>IFERROR(__xludf.DUMMYFUNCTION("""COMPUTED_VALUE"""),"KVK地图单位-加强1")</f>
        <v>KVK地图单位-加强1</v>
      </c>
      <c r="C299" s="148">
        <f>IFERROR(__xludf.DUMMYFUNCTION("""COMPUTED_VALUE"""),1.1221004E7)</f>
        <v>11221004</v>
      </c>
      <c r="D299" s="148">
        <f>IFERROR(__xludf.DUMMYFUNCTION("""COMPUTED_VALUE"""),1.5113764E7)</f>
        <v>15113764</v>
      </c>
      <c r="E299" s="148" t="str">
        <f>IFERROR(__xludf.DUMMYFUNCTION("""COMPUTED_VALUE"""),"{""typ"":""lc"",""txt"":""LC_SOLDIER_npc_name_kvk_normal""}")</f>
        <v>{"typ":"lc","txt":"LC_SOLDIER_npc_name_kvk_normal"}</v>
      </c>
      <c r="F299" s="148" t="str">
        <f>IFERROR(__xludf.DUMMYFUNCTION("""COMPUTED_VALUE"""),"{}")</f>
        <v>{}</v>
      </c>
      <c r="G299" s="148">
        <f>IFERROR(__xludf.DUMMYFUNCTION("""COMPUTED_VALUE"""),10.0)</f>
        <v>10</v>
      </c>
      <c r="H299" s="148">
        <f>IFERROR(__xludf.DUMMYFUNCTION("""COMPUTED_VALUE"""),10099.0)</f>
        <v>10099</v>
      </c>
      <c r="I299" s="148">
        <f>IFERROR(__xludf.DUMMYFUNCTION("""COMPUTED_VALUE"""),10099.0)</f>
        <v>10099</v>
      </c>
      <c r="J299" s="148">
        <f>IFERROR(__xludf.DUMMYFUNCTION("""COMPUTED_VALUE"""),0.0)</f>
        <v>0</v>
      </c>
      <c r="K299" s="148">
        <f>IFERROR(__xludf.DUMMYFUNCTION("""COMPUTED_VALUE"""),10.0)</f>
        <v>10</v>
      </c>
      <c r="L299" s="148">
        <f>IFERROR(__xludf.DUMMYFUNCTION("""COMPUTED_VALUE"""),99.0)</f>
        <v>99</v>
      </c>
      <c r="M299" s="148">
        <f>IFERROR(__xludf.DUMMYFUNCTION("""COMPUTED_VALUE"""),0.0)</f>
        <v>0</v>
      </c>
      <c r="N299" s="148" t="str">
        <f>IFERROR(__xludf.DUMMYFUNCTION("""COMPUTED_VALUE"""),"[]")</f>
        <v>[]</v>
      </c>
      <c r="O299" s="148" t="str">
        <f>IFERROR(__xludf.DUMMYFUNCTION("""COMPUTED_VALUE"""),"{}")</f>
        <v>{}</v>
      </c>
      <c r="P299" s="148">
        <f>IFERROR(__xludf.DUMMYFUNCTION("""COMPUTED_VALUE"""),0.0)</f>
        <v>0</v>
      </c>
      <c r="Q299" s="148" t="str">
        <f>IFERROR(__xludf.DUMMYFUNCTION("""COMPUTED_VALUE"""),"[]")</f>
        <v>[]</v>
      </c>
      <c r="R299" s="148" t="str">
        <f>IFERROR(__xludf.DUMMYFUNCTION("""COMPUTED_VALUE"""),"{}")</f>
        <v>{}</v>
      </c>
      <c r="S299" s="148">
        <f>IFERROR(__xludf.DUMMYFUNCTION("""COMPUTED_VALUE"""),0.0)</f>
        <v>0</v>
      </c>
      <c r="T299" s="148" t="str">
        <f>IFERROR(__xludf.DUMMYFUNCTION("""COMPUTED_VALUE"""),"[]")</f>
        <v>[]</v>
      </c>
      <c r="U299" s="148">
        <f>IFERROR(__xludf.DUMMYFUNCTION("""COMPUTED_VALUE"""),0.0)</f>
        <v>0</v>
      </c>
      <c r="V299" s="148" t="str">
        <f>IFERROR(__xludf.DUMMYFUNCTION("""COMPUTED_VALUE"""),"{}")</f>
        <v>{}</v>
      </c>
      <c r="W299" s="148" t="str">
        <f>IFERROR(__xludf.DUMMYFUNCTION("""COMPUTED_VALUE"""),"[]")</f>
        <v>[]</v>
      </c>
      <c r="X299" s="148" t="str">
        <f>IFERROR(__xludf.DUMMYFUNCTION("""COMPUTED_VALUE"""),"[{""typ"":""power"",""id"":12141002,""val"":2}]")</f>
        <v>[{"typ":"power","id":12141002,"val":2}]</v>
      </c>
      <c r="Y299" s="148" t="str">
        <f>IFERROR(__xludf.DUMMYFUNCTION("""COMPUTED_VALUE"""),"[{""typ"":""atk"",""val"":200},{""typ"":""def"",""val"":400},{""typ"":""hp"",""val"":400},{""typ"":""speed"",""val"":40},{""typ"":""load"",""val"":20},{""typ"":""backcoef"",""val"":0.5},{""typ"":""atkcoef"",""val"":1.0},{""typ"":""atkcd"",""val"":0}]")</f>
        <v>[{"typ":"atk","val":200},{"typ":"def","val":400},{"typ":"hp","val":400},{"typ":"speed","val":40},{"typ":"load","val":20},{"typ":"backcoef","val":0.5},{"typ":"atkcoef","val":1.0},{"typ":"atkcd","val":0}]</v>
      </c>
      <c r="Z299" s="148" t="str">
        <f>IFERROR(__xludf.DUMMYFUNCTION("""COMPUTED_VALUE"""),"[]")</f>
        <v>[]</v>
      </c>
    </row>
    <row r="300">
      <c r="A300" s="148">
        <f>IFERROR(__xludf.DUMMYFUNCTION("""COMPUTED_VALUE"""),1.1218007E7)</f>
        <v>11218007</v>
      </c>
      <c r="B300" s="148" t="str">
        <f>IFERROR(__xludf.DUMMYFUNCTION("""COMPUTED_VALUE"""),"KVK地图单位-加强2")</f>
        <v>KVK地图单位-加强2</v>
      </c>
      <c r="C300" s="148">
        <f>IFERROR(__xludf.DUMMYFUNCTION("""COMPUTED_VALUE"""),1.1221004E7)</f>
        <v>11221004</v>
      </c>
      <c r="D300" s="148">
        <f>IFERROR(__xludf.DUMMYFUNCTION("""COMPUTED_VALUE"""),1.5113764E7)</f>
        <v>15113764</v>
      </c>
      <c r="E300" s="148" t="str">
        <f>IFERROR(__xludf.DUMMYFUNCTION("""COMPUTED_VALUE"""),"{""typ"":""lc"",""txt"":""LC_SOLDIER_npc_name_kvk_normal""}")</f>
        <v>{"typ":"lc","txt":"LC_SOLDIER_npc_name_kvk_normal"}</v>
      </c>
      <c r="F300" s="148" t="str">
        <f>IFERROR(__xludf.DUMMYFUNCTION("""COMPUTED_VALUE"""),"{}")</f>
        <v>{}</v>
      </c>
      <c r="G300" s="148">
        <f>IFERROR(__xludf.DUMMYFUNCTION("""COMPUTED_VALUE"""),10.0)</f>
        <v>10</v>
      </c>
      <c r="H300" s="148">
        <f>IFERROR(__xludf.DUMMYFUNCTION("""COMPUTED_VALUE"""),10099.0)</f>
        <v>10099</v>
      </c>
      <c r="I300" s="148">
        <f>IFERROR(__xludf.DUMMYFUNCTION("""COMPUTED_VALUE"""),10099.0)</f>
        <v>10099</v>
      </c>
      <c r="J300" s="148">
        <f>IFERROR(__xludf.DUMMYFUNCTION("""COMPUTED_VALUE"""),0.0)</f>
        <v>0</v>
      </c>
      <c r="K300" s="148">
        <f>IFERROR(__xludf.DUMMYFUNCTION("""COMPUTED_VALUE"""),10.0)</f>
        <v>10</v>
      </c>
      <c r="L300" s="148">
        <f>IFERROR(__xludf.DUMMYFUNCTION("""COMPUTED_VALUE"""),99.0)</f>
        <v>99</v>
      </c>
      <c r="M300" s="148">
        <f>IFERROR(__xludf.DUMMYFUNCTION("""COMPUTED_VALUE"""),0.0)</f>
        <v>0</v>
      </c>
      <c r="N300" s="148" t="str">
        <f>IFERROR(__xludf.DUMMYFUNCTION("""COMPUTED_VALUE"""),"[]")</f>
        <v>[]</v>
      </c>
      <c r="O300" s="148" t="str">
        <f>IFERROR(__xludf.DUMMYFUNCTION("""COMPUTED_VALUE"""),"{}")</f>
        <v>{}</v>
      </c>
      <c r="P300" s="148">
        <f>IFERROR(__xludf.DUMMYFUNCTION("""COMPUTED_VALUE"""),0.0)</f>
        <v>0</v>
      </c>
      <c r="Q300" s="148" t="str">
        <f>IFERROR(__xludf.DUMMYFUNCTION("""COMPUTED_VALUE"""),"[]")</f>
        <v>[]</v>
      </c>
      <c r="R300" s="148" t="str">
        <f>IFERROR(__xludf.DUMMYFUNCTION("""COMPUTED_VALUE"""),"{}")</f>
        <v>{}</v>
      </c>
      <c r="S300" s="148">
        <f>IFERROR(__xludf.DUMMYFUNCTION("""COMPUTED_VALUE"""),0.0)</f>
        <v>0</v>
      </c>
      <c r="T300" s="148" t="str">
        <f>IFERROR(__xludf.DUMMYFUNCTION("""COMPUTED_VALUE"""),"[]")</f>
        <v>[]</v>
      </c>
      <c r="U300" s="148">
        <f>IFERROR(__xludf.DUMMYFUNCTION("""COMPUTED_VALUE"""),0.0)</f>
        <v>0</v>
      </c>
      <c r="V300" s="148" t="str">
        <f>IFERROR(__xludf.DUMMYFUNCTION("""COMPUTED_VALUE"""),"{}")</f>
        <v>{}</v>
      </c>
      <c r="W300" s="148" t="str">
        <f>IFERROR(__xludf.DUMMYFUNCTION("""COMPUTED_VALUE"""),"[]")</f>
        <v>[]</v>
      </c>
      <c r="X300" s="148" t="str">
        <f>IFERROR(__xludf.DUMMYFUNCTION("""COMPUTED_VALUE"""),"[{""typ"":""power"",""id"":12141002,""val"":4}]")</f>
        <v>[{"typ":"power","id":12141002,"val":4}]</v>
      </c>
      <c r="Y300" s="148" t="str">
        <f>IFERROR(__xludf.DUMMYFUNCTION("""COMPUTED_VALUE"""),"[{""typ"":""atk"",""val"":400},{""typ"":""def"",""val"":800},{""typ"":""hp"",""val"":800},{""typ"":""speed"",""val"":40},{""typ"":""load"",""val"":20},{""typ"":""backcoef"",""val"":0.5},{""typ"":""atkcoef"",""val"":1.0},{""typ"":""atkcd"",""val"":0}]")</f>
        <v>[{"typ":"atk","val":400},{"typ":"def","val":800},{"typ":"hp","val":800},{"typ":"speed","val":40},{"typ":"load","val":20},{"typ":"backcoef","val":0.5},{"typ":"atkcoef","val":1.0},{"typ":"atkcd","val":0}]</v>
      </c>
      <c r="Z300" s="148" t="str">
        <f>IFERROR(__xludf.DUMMYFUNCTION("""COMPUTED_VALUE"""),"[]")</f>
        <v>[]</v>
      </c>
    </row>
    <row r="301">
      <c r="A301" s="148">
        <f>IFERROR(__xludf.DUMMYFUNCTION("""COMPUTED_VALUE"""),1.1218008E7)</f>
        <v>11218008</v>
      </c>
      <c r="B301" s="148" t="str">
        <f>IFERROR(__xludf.DUMMYFUNCTION("""COMPUTED_VALUE"""),"KVK地图单位-加强3")</f>
        <v>KVK地图单位-加强3</v>
      </c>
      <c r="C301" s="148">
        <f>IFERROR(__xludf.DUMMYFUNCTION("""COMPUTED_VALUE"""),1.1221004E7)</f>
        <v>11221004</v>
      </c>
      <c r="D301" s="148">
        <f>IFERROR(__xludf.DUMMYFUNCTION("""COMPUTED_VALUE"""),1.5113764E7)</f>
        <v>15113764</v>
      </c>
      <c r="E301" s="148" t="str">
        <f>IFERROR(__xludf.DUMMYFUNCTION("""COMPUTED_VALUE"""),"{""typ"":""lc"",""txt"":""LC_SOLDIER_npc_name_kvk_normal""}")</f>
        <v>{"typ":"lc","txt":"LC_SOLDIER_npc_name_kvk_normal"}</v>
      </c>
      <c r="F301" s="148" t="str">
        <f>IFERROR(__xludf.DUMMYFUNCTION("""COMPUTED_VALUE"""),"{}")</f>
        <v>{}</v>
      </c>
      <c r="G301" s="148">
        <f>IFERROR(__xludf.DUMMYFUNCTION("""COMPUTED_VALUE"""),10.0)</f>
        <v>10</v>
      </c>
      <c r="H301" s="148">
        <f>IFERROR(__xludf.DUMMYFUNCTION("""COMPUTED_VALUE"""),10099.0)</f>
        <v>10099</v>
      </c>
      <c r="I301" s="148">
        <f>IFERROR(__xludf.DUMMYFUNCTION("""COMPUTED_VALUE"""),10099.0)</f>
        <v>10099</v>
      </c>
      <c r="J301" s="148">
        <f>IFERROR(__xludf.DUMMYFUNCTION("""COMPUTED_VALUE"""),0.0)</f>
        <v>0</v>
      </c>
      <c r="K301" s="148">
        <f>IFERROR(__xludf.DUMMYFUNCTION("""COMPUTED_VALUE"""),10.0)</f>
        <v>10</v>
      </c>
      <c r="L301" s="148">
        <f>IFERROR(__xludf.DUMMYFUNCTION("""COMPUTED_VALUE"""),99.0)</f>
        <v>99</v>
      </c>
      <c r="M301" s="148">
        <f>IFERROR(__xludf.DUMMYFUNCTION("""COMPUTED_VALUE"""),0.0)</f>
        <v>0</v>
      </c>
      <c r="N301" s="148" t="str">
        <f>IFERROR(__xludf.DUMMYFUNCTION("""COMPUTED_VALUE"""),"[]")</f>
        <v>[]</v>
      </c>
      <c r="O301" s="148" t="str">
        <f>IFERROR(__xludf.DUMMYFUNCTION("""COMPUTED_VALUE"""),"{}")</f>
        <v>{}</v>
      </c>
      <c r="P301" s="148">
        <f>IFERROR(__xludf.DUMMYFUNCTION("""COMPUTED_VALUE"""),0.0)</f>
        <v>0</v>
      </c>
      <c r="Q301" s="148" t="str">
        <f>IFERROR(__xludf.DUMMYFUNCTION("""COMPUTED_VALUE"""),"[]")</f>
        <v>[]</v>
      </c>
      <c r="R301" s="148" t="str">
        <f>IFERROR(__xludf.DUMMYFUNCTION("""COMPUTED_VALUE"""),"{}")</f>
        <v>{}</v>
      </c>
      <c r="S301" s="148">
        <f>IFERROR(__xludf.DUMMYFUNCTION("""COMPUTED_VALUE"""),0.0)</f>
        <v>0</v>
      </c>
      <c r="T301" s="148" t="str">
        <f>IFERROR(__xludf.DUMMYFUNCTION("""COMPUTED_VALUE"""),"[]")</f>
        <v>[]</v>
      </c>
      <c r="U301" s="148">
        <f>IFERROR(__xludf.DUMMYFUNCTION("""COMPUTED_VALUE"""),0.0)</f>
        <v>0</v>
      </c>
      <c r="V301" s="148" t="str">
        <f>IFERROR(__xludf.DUMMYFUNCTION("""COMPUTED_VALUE"""),"{}")</f>
        <v>{}</v>
      </c>
      <c r="W301" s="148" t="str">
        <f>IFERROR(__xludf.DUMMYFUNCTION("""COMPUTED_VALUE"""),"[]")</f>
        <v>[]</v>
      </c>
      <c r="X301" s="148" t="str">
        <f>IFERROR(__xludf.DUMMYFUNCTION("""COMPUTED_VALUE"""),"[{""typ"":""power"",""id"":12141002,""val"":6}]")</f>
        <v>[{"typ":"power","id":12141002,"val":6}]</v>
      </c>
      <c r="Y301" s="148" t="str">
        <f>IFERROR(__xludf.DUMMYFUNCTION("""COMPUTED_VALUE"""),"[{""typ"":""atk"",""val"":500},{""typ"":""def"",""val"":1000},{""typ"":""hp"",""val"":1000},{""typ"":""speed"",""val"":40},{""typ"":""load"",""val"":20},{""typ"":""backcoef"",""val"":0.5},{""typ"":""atkcoef"",""val"":1.0},{""typ"":""atkcd"",""val"":0}]")</f>
        <v>[{"typ":"atk","val":500},{"typ":"def","val":1000},{"typ":"hp","val":1000},{"typ":"speed","val":40},{"typ":"load","val":20},{"typ":"backcoef","val":0.5},{"typ":"atkcoef","val":1.0},{"typ":"atkcd","val":0}]</v>
      </c>
      <c r="Z301" s="148" t="str">
        <f>IFERROR(__xludf.DUMMYFUNCTION("""COMPUTED_VALUE"""),"[]")</f>
        <v>[]</v>
      </c>
    </row>
    <row r="302">
      <c r="A302" s="148">
        <f>IFERROR(__xludf.DUMMYFUNCTION("""COMPUTED_VALUE"""),1.1218009E7)</f>
        <v>11218009</v>
      </c>
      <c r="B302" s="148" t="str">
        <f>IFERROR(__xludf.DUMMYFUNCTION("""COMPUTED_VALUE"""),"KVK地图单位-加强2-关卡用")</f>
        <v>KVK地图单位-加强2-关卡用</v>
      </c>
      <c r="C302" s="148">
        <f>IFERROR(__xludf.DUMMYFUNCTION("""COMPUTED_VALUE"""),1.1221004E7)</f>
        <v>11221004</v>
      </c>
      <c r="D302" s="148">
        <f>IFERROR(__xludf.DUMMYFUNCTION("""COMPUTED_VALUE"""),1.5113764E7)</f>
        <v>15113764</v>
      </c>
      <c r="E302" s="148" t="str">
        <f>IFERROR(__xludf.DUMMYFUNCTION("""COMPUTED_VALUE"""),"{""typ"":""lc"",""txt"":""LC_SOLDIER_npc_name_kvk_normal""}")</f>
        <v>{"typ":"lc","txt":"LC_SOLDIER_npc_name_kvk_normal"}</v>
      </c>
      <c r="F302" s="148" t="str">
        <f>IFERROR(__xludf.DUMMYFUNCTION("""COMPUTED_VALUE"""),"{}")</f>
        <v>{}</v>
      </c>
      <c r="G302" s="148">
        <f>IFERROR(__xludf.DUMMYFUNCTION("""COMPUTED_VALUE"""),10.0)</f>
        <v>10</v>
      </c>
      <c r="H302" s="148">
        <f>IFERROR(__xludf.DUMMYFUNCTION("""COMPUTED_VALUE"""),10099.0)</f>
        <v>10099</v>
      </c>
      <c r="I302" s="148">
        <f>IFERROR(__xludf.DUMMYFUNCTION("""COMPUTED_VALUE"""),10099.0)</f>
        <v>10099</v>
      </c>
      <c r="J302" s="148">
        <f>IFERROR(__xludf.DUMMYFUNCTION("""COMPUTED_VALUE"""),0.0)</f>
        <v>0</v>
      </c>
      <c r="K302" s="148">
        <f>IFERROR(__xludf.DUMMYFUNCTION("""COMPUTED_VALUE"""),10.0)</f>
        <v>10</v>
      </c>
      <c r="L302" s="148">
        <f>IFERROR(__xludf.DUMMYFUNCTION("""COMPUTED_VALUE"""),99.0)</f>
        <v>99</v>
      </c>
      <c r="M302" s="148">
        <f>IFERROR(__xludf.DUMMYFUNCTION("""COMPUTED_VALUE"""),0.0)</f>
        <v>0</v>
      </c>
      <c r="N302" s="148" t="str">
        <f>IFERROR(__xludf.DUMMYFUNCTION("""COMPUTED_VALUE"""),"[]")</f>
        <v>[]</v>
      </c>
      <c r="O302" s="148" t="str">
        <f>IFERROR(__xludf.DUMMYFUNCTION("""COMPUTED_VALUE"""),"{}")</f>
        <v>{}</v>
      </c>
      <c r="P302" s="148">
        <f>IFERROR(__xludf.DUMMYFUNCTION("""COMPUTED_VALUE"""),0.0)</f>
        <v>0</v>
      </c>
      <c r="Q302" s="148" t="str">
        <f>IFERROR(__xludf.DUMMYFUNCTION("""COMPUTED_VALUE"""),"[]")</f>
        <v>[]</v>
      </c>
      <c r="R302" s="148" t="str">
        <f>IFERROR(__xludf.DUMMYFUNCTION("""COMPUTED_VALUE"""),"{}")</f>
        <v>{}</v>
      </c>
      <c r="S302" s="148">
        <f>IFERROR(__xludf.DUMMYFUNCTION("""COMPUTED_VALUE"""),0.0)</f>
        <v>0</v>
      </c>
      <c r="T302" s="148" t="str">
        <f>IFERROR(__xludf.DUMMYFUNCTION("""COMPUTED_VALUE"""),"[]")</f>
        <v>[]</v>
      </c>
      <c r="U302" s="148">
        <f>IFERROR(__xludf.DUMMYFUNCTION("""COMPUTED_VALUE"""),0.0)</f>
        <v>0</v>
      </c>
      <c r="V302" s="148" t="str">
        <f>IFERROR(__xludf.DUMMYFUNCTION("""COMPUTED_VALUE"""),"{}")</f>
        <v>{}</v>
      </c>
      <c r="W302" s="148" t="str">
        <f>IFERROR(__xludf.DUMMYFUNCTION("""COMPUTED_VALUE"""),"[]")</f>
        <v>[]</v>
      </c>
      <c r="X302" s="148" t="str">
        <f>IFERROR(__xludf.DUMMYFUNCTION("""COMPUTED_VALUE"""),"[{""typ"":""power"",""id"":12141002,""val"":4}]")</f>
        <v>[{"typ":"power","id":12141002,"val":4}]</v>
      </c>
      <c r="Y302" s="148" t="str">
        <f>IFERROR(__xludf.DUMMYFUNCTION("""COMPUTED_VALUE"""),"[{""typ"":""atk"",""val"":400},{""typ"":""def"",""val"":800},{""typ"":""hp"",""val"":800},{""typ"":""speed"",""val"":40},{""typ"":""load"",""val"":20},{""typ"":""backcoef"",""val"":0.5},{""typ"":""atkcoef"",""val"":1.0},{""typ"":""atkcd"",""val"":0}]")</f>
        <v>[{"typ":"atk","val":400},{"typ":"def","val":800},{"typ":"hp","val":800},{"typ":"speed","val":40},{"typ":"load","val":20},{"typ":"backcoef","val":0.5},{"typ":"atkcoef","val":1.0},{"typ":"atkcd","val":0}]</v>
      </c>
      <c r="Z302" s="148" t="str">
        <f>IFERROR(__xludf.DUMMYFUNCTION("""COMPUTED_VALUE"""),"[]")</f>
        <v>[]</v>
      </c>
    </row>
    <row r="303">
      <c r="A303" s="148">
        <f>IFERROR(__xludf.DUMMYFUNCTION("""COMPUTED_VALUE"""),1.121801E7)</f>
        <v>11218010</v>
      </c>
      <c r="B303" s="148" t="str">
        <f>IFERROR(__xludf.DUMMYFUNCTION("""COMPUTED_VALUE"""),"KVK地图单位-加强3-关卡用")</f>
        <v>KVK地图单位-加强3-关卡用</v>
      </c>
      <c r="C303" s="148">
        <f>IFERROR(__xludf.DUMMYFUNCTION("""COMPUTED_VALUE"""),1.1221004E7)</f>
        <v>11221004</v>
      </c>
      <c r="D303" s="148">
        <f>IFERROR(__xludf.DUMMYFUNCTION("""COMPUTED_VALUE"""),1.5113764E7)</f>
        <v>15113764</v>
      </c>
      <c r="E303" s="148" t="str">
        <f>IFERROR(__xludf.DUMMYFUNCTION("""COMPUTED_VALUE"""),"{""typ"":""lc"",""txt"":""LC_SOLDIER_npc_name_kvk_normal""}")</f>
        <v>{"typ":"lc","txt":"LC_SOLDIER_npc_name_kvk_normal"}</v>
      </c>
      <c r="F303" s="148" t="str">
        <f>IFERROR(__xludf.DUMMYFUNCTION("""COMPUTED_VALUE"""),"{}")</f>
        <v>{}</v>
      </c>
      <c r="G303" s="148">
        <f>IFERROR(__xludf.DUMMYFUNCTION("""COMPUTED_VALUE"""),10.0)</f>
        <v>10</v>
      </c>
      <c r="H303" s="148">
        <f>IFERROR(__xludf.DUMMYFUNCTION("""COMPUTED_VALUE"""),10099.0)</f>
        <v>10099</v>
      </c>
      <c r="I303" s="148">
        <f>IFERROR(__xludf.DUMMYFUNCTION("""COMPUTED_VALUE"""),10099.0)</f>
        <v>10099</v>
      </c>
      <c r="J303" s="148">
        <f>IFERROR(__xludf.DUMMYFUNCTION("""COMPUTED_VALUE"""),0.0)</f>
        <v>0</v>
      </c>
      <c r="K303" s="148">
        <f>IFERROR(__xludf.DUMMYFUNCTION("""COMPUTED_VALUE"""),10.0)</f>
        <v>10</v>
      </c>
      <c r="L303" s="148">
        <f>IFERROR(__xludf.DUMMYFUNCTION("""COMPUTED_VALUE"""),99.0)</f>
        <v>99</v>
      </c>
      <c r="M303" s="148">
        <f>IFERROR(__xludf.DUMMYFUNCTION("""COMPUTED_VALUE"""),0.0)</f>
        <v>0</v>
      </c>
      <c r="N303" s="148" t="str">
        <f>IFERROR(__xludf.DUMMYFUNCTION("""COMPUTED_VALUE"""),"[]")</f>
        <v>[]</v>
      </c>
      <c r="O303" s="148" t="str">
        <f>IFERROR(__xludf.DUMMYFUNCTION("""COMPUTED_VALUE"""),"{}")</f>
        <v>{}</v>
      </c>
      <c r="P303" s="148">
        <f>IFERROR(__xludf.DUMMYFUNCTION("""COMPUTED_VALUE"""),0.0)</f>
        <v>0</v>
      </c>
      <c r="Q303" s="148" t="str">
        <f>IFERROR(__xludf.DUMMYFUNCTION("""COMPUTED_VALUE"""),"[]")</f>
        <v>[]</v>
      </c>
      <c r="R303" s="148" t="str">
        <f>IFERROR(__xludf.DUMMYFUNCTION("""COMPUTED_VALUE"""),"{}")</f>
        <v>{}</v>
      </c>
      <c r="S303" s="148">
        <f>IFERROR(__xludf.DUMMYFUNCTION("""COMPUTED_VALUE"""),0.0)</f>
        <v>0</v>
      </c>
      <c r="T303" s="148" t="str">
        <f>IFERROR(__xludf.DUMMYFUNCTION("""COMPUTED_VALUE"""),"[]")</f>
        <v>[]</v>
      </c>
      <c r="U303" s="148">
        <f>IFERROR(__xludf.DUMMYFUNCTION("""COMPUTED_VALUE"""),0.0)</f>
        <v>0</v>
      </c>
      <c r="V303" s="148" t="str">
        <f>IFERROR(__xludf.DUMMYFUNCTION("""COMPUTED_VALUE"""),"{}")</f>
        <v>{}</v>
      </c>
      <c r="W303" s="148" t="str">
        <f>IFERROR(__xludf.DUMMYFUNCTION("""COMPUTED_VALUE"""),"[]")</f>
        <v>[]</v>
      </c>
      <c r="X303" s="148" t="str">
        <f>IFERROR(__xludf.DUMMYFUNCTION("""COMPUTED_VALUE"""),"[{""typ"":""power"",""id"":12141002,""val"":6}]")</f>
        <v>[{"typ":"power","id":12141002,"val":6}]</v>
      </c>
      <c r="Y303" s="148" t="str">
        <f>IFERROR(__xludf.DUMMYFUNCTION("""COMPUTED_VALUE"""),"[{""typ"":""atk"",""val"":500},{""typ"":""def"",""val"":1000},{""typ"":""hp"",""val"":1000},{""typ"":""speed"",""val"":40},{""typ"":""load"",""val"":20},{""typ"":""backcoef"",""val"":0.5},{""typ"":""atkcoef"",""val"":1.0},{""typ"":""atkcd"",""val"":0}]")</f>
        <v>[{"typ":"atk","val":500},{"typ":"def","val":1000},{"typ":"hp","val":1000},{"typ":"speed","val":40},{"typ":"load","val":20},{"typ":"backcoef","val":0.5},{"typ":"atkcoef","val":1.0},{"typ":"atkcd","val":0}]</v>
      </c>
      <c r="Z303" s="148" t="str">
        <f>IFERROR(__xludf.DUMMYFUNCTION("""COMPUTED_VALUE"""),"[]")</f>
        <v>[]</v>
      </c>
    </row>
    <row r="304">
      <c r="A304" s="148">
        <f>IFERROR(__xludf.DUMMYFUNCTION("""COMPUTED_VALUE"""),1.1218011E7)</f>
        <v>11218011</v>
      </c>
      <c r="B304" s="148" t="str">
        <f>IFERROR(__xludf.DUMMYFUNCTION("""COMPUTED_VALUE"""),"卫星战场驻防怪-小白猴能力值")</f>
        <v>卫星战场驻防怪-小白猴能力值</v>
      </c>
      <c r="C304" s="148">
        <f>IFERROR(__xludf.DUMMYFUNCTION("""COMPUTED_VALUE"""),1.1221004E7)</f>
        <v>11221004</v>
      </c>
      <c r="D304" s="148">
        <f>IFERROR(__xludf.DUMMYFUNCTION("""COMPUTED_VALUE"""),1.5110234E7)</f>
        <v>15110234</v>
      </c>
      <c r="E304" s="148" t="str">
        <f>IFERROR(__xludf.DUMMYFUNCTION("""COMPUTED_VALUE"""),"{""typ"":""lc"",""txt"":""LC_SOLDIER_npc_name_1""}")</f>
        <v>{"typ":"lc","txt":"LC_SOLDIER_npc_name_1"}</v>
      </c>
      <c r="F304" s="148" t="str">
        <f>IFERROR(__xludf.DUMMYFUNCTION("""COMPUTED_VALUE"""),"{}")</f>
        <v>{}</v>
      </c>
      <c r="G304" s="148">
        <f>IFERROR(__xludf.DUMMYFUNCTION("""COMPUTED_VALUE"""),10.0)</f>
        <v>10</v>
      </c>
      <c r="H304" s="148">
        <f>IFERROR(__xludf.DUMMYFUNCTION("""COMPUTED_VALUE"""),10099.0)</f>
        <v>10099</v>
      </c>
      <c r="I304" s="148">
        <f>IFERROR(__xludf.DUMMYFUNCTION("""COMPUTED_VALUE"""),10099.0)</f>
        <v>10099</v>
      </c>
      <c r="J304" s="148">
        <f>IFERROR(__xludf.DUMMYFUNCTION("""COMPUTED_VALUE"""),0.0)</f>
        <v>0</v>
      </c>
      <c r="K304" s="148">
        <f>IFERROR(__xludf.DUMMYFUNCTION("""COMPUTED_VALUE"""),10.0)</f>
        <v>10</v>
      </c>
      <c r="L304" s="148">
        <f>IFERROR(__xludf.DUMMYFUNCTION("""COMPUTED_VALUE"""),99.0)</f>
        <v>99</v>
      </c>
      <c r="M304" s="148">
        <f>IFERROR(__xludf.DUMMYFUNCTION("""COMPUTED_VALUE"""),0.0)</f>
        <v>0</v>
      </c>
      <c r="N304" s="148" t="str">
        <f>IFERROR(__xludf.DUMMYFUNCTION("""COMPUTED_VALUE"""),"[]")</f>
        <v>[]</v>
      </c>
      <c r="O304" s="148" t="str">
        <f>IFERROR(__xludf.DUMMYFUNCTION("""COMPUTED_VALUE"""),"{}")</f>
        <v>{}</v>
      </c>
      <c r="P304" s="148">
        <f>IFERROR(__xludf.DUMMYFUNCTION("""COMPUTED_VALUE"""),0.0)</f>
        <v>0</v>
      </c>
      <c r="Q304" s="148" t="str">
        <f>IFERROR(__xludf.DUMMYFUNCTION("""COMPUTED_VALUE"""),"[]")</f>
        <v>[]</v>
      </c>
      <c r="R304" s="148" t="str">
        <f>IFERROR(__xludf.DUMMYFUNCTION("""COMPUTED_VALUE"""),"{}")</f>
        <v>{}</v>
      </c>
      <c r="S304" s="148">
        <f>IFERROR(__xludf.DUMMYFUNCTION("""COMPUTED_VALUE"""),0.0)</f>
        <v>0</v>
      </c>
      <c r="T304" s="148" t="str">
        <f>IFERROR(__xludf.DUMMYFUNCTION("""COMPUTED_VALUE"""),"[]")</f>
        <v>[]</v>
      </c>
      <c r="U304" s="148">
        <f>IFERROR(__xludf.DUMMYFUNCTION("""COMPUTED_VALUE"""),0.0)</f>
        <v>0</v>
      </c>
      <c r="V304" s="148" t="str">
        <f>IFERROR(__xludf.DUMMYFUNCTION("""COMPUTED_VALUE"""),"{}")</f>
        <v>{}</v>
      </c>
      <c r="W304" s="148" t="str">
        <f>IFERROR(__xludf.DUMMYFUNCTION("""COMPUTED_VALUE"""),"[]")</f>
        <v>[]</v>
      </c>
      <c r="X304" s="148" t="str">
        <f>IFERROR(__xludf.DUMMYFUNCTION("""COMPUTED_VALUE"""),"[{""typ"":""power"",""id"":12141002,""val"":1}]")</f>
        <v>[{"typ":"power","id":12141002,"val":1}]</v>
      </c>
      <c r="Y304" s="148" t="str">
        <f>IFERROR(__xludf.DUMMYFUNCTION("""COMPUTED_VALUE"""),"[{""typ"":""atk"",""val"":60},{""typ"":""def"",""val"":125},{""typ"":""hp"",""val"":135},{""typ"":""speed"",""val"":40},{""typ"":""load"",""val"":20},{""typ"":""backcoef"",""val"":0.5},{""typ"":""atkcoef"",""val"":1.0},{""typ"":""atkcd"",""val"":0}]")</f>
        <v>[{"typ":"atk","val":60},{"typ":"def","val":125},{"typ":"hp","val":135},{"typ":"speed","val":40},{"typ":"load","val":20},{"typ":"backcoef","val":0.5},{"typ":"atkcoef","val":1.0},{"typ":"atkcd","val":0}]</v>
      </c>
      <c r="Z304" s="148" t="str">
        <f>IFERROR(__xludf.DUMMYFUNCTION("""COMPUTED_VALUE"""),"[{""typ"":""battle_skill"",""id"":16121101}]")</f>
        <v>[{"typ":"battle_skill","id":16121101}]</v>
      </c>
    </row>
    <row r="305">
      <c r="A305" s="148">
        <f>IFERROR(__xludf.DUMMYFUNCTION("""COMPUTED_VALUE"""),1.1218012E7)</f>
        <v>11218012</v>
      </c>
      <c r="B305" s="148" t="str">
        <f>IFERROR(__xludf.DUMMYFUNCTION("""COMPUTED_VALUE"""),"大地图单位-中立建筑-T1")</f>
        <v>大地图单位-中立建筑-T1</v>
      </c>
      <c r="C305" s="148">
        <f>IFERROR(__xludf.DUMMYFUNCTION("""COMPUTED_VALUE"""),1.1221004E7)</f>
        <v>11221004</v>
      </c>
      <c r="D305" s="148">
        <f>IFERROR(__xludf.DUMMYFUNCTION("""COMPUTED_VALUE"""),1.5110234E7)</f>
        <v>15110234</v>
      </c>
      <c r="E305" s="148" t="str">
        <f>IFERROR(__xludf.DUMMYFUNCTION("""COMPUTED_VALUE"""),"{""typ"":""lc"",""txt"":""LC_SOLDIER_npc_name_1""}")</f>
        <v>{"typ":"lc","txt":"LC_SOLDIER_npc_name_1"}</v>
      </c>
      <c r="F305" s="148" t="str">
        <f>IFERROR(__xludf.DUMMYFUNCTION("""COMPUTED_VALUE"""),"{}")</f>
        <v>{}</v>
      </c>
      <c r="G305" s="148">
        <f>IFERROR(__xludf.DUMMYFUNCTION("""COMPUTED_VALUE"""),10.0)</f>
        <v>10</v>
      </c>
      <c r="H305" s="148">
        <f>IFERROR(__xludf.DUMMYFUNCTION("""COMPUTED_VALUE"""),10099.0)</f>
        <v>10099</v>
      </c>
      <c r="I305" s="148">
        <f>IFERROR(__xludf.DUMMYFUNCTION("""COMPUTED_VALUE"""),10099.0)</f>
        <v>10099</v>
      </c>
      <c r="J305" s="148">
        <f>IFERROR(__xludf.DUMMYFUNCTION("""COMPUTED_VALUE"""),0.0)</f>
        <v>0</v>
      </c>
      <c r="K305" s="148">
        <f>IFERROR(__xludf.DUMMYFUNCTION("""COMPUTED_VALUE"""),10.0)</f>
        <v>10</v>
      </c>
      <c r="L305" s="148">
        <f>IFERROR(__xludf.DUMMYFUNCTION("""COMPUTED_VALUE"""),99.0)</f>
        <v>99</v>
      </c>
      <c r="M305" s="148">
        <f>IFERROR(__xludf.DUMMYFUNCTION("""COMPUTED_VALUE"""),0.0)</f>
        <v>0</v>
      </c>
      <c r="N305" s="148" t="str">
        <f>IFERROR(__xludf.DUMMYFUNCTION("""COMPUTED_VALUE"""),"[]")</f>
        <v>[]</v>
      </c>
      <c r="O305" s="148" t="str">
        <f>IFERROR(__xludf.DUMMYFUNCTION("""COMPUTED_VALUE"""),"{}")</f>
        <v>{}</v>
      </c>
      <c r="P305" s="148">
        <f>IFERROR(__xludf.DUMMYFUNCTION("""COMPUTED_VALUE"""),0.0)</f>
        <v>0</v>
      </c>
      <c r="Q305" s="148" t="str">
        <f>IFERROR(__xludf.DUMMYFUNCTION("""COMPUTED_VALUE"""),"[]")</f>
        <v>[]</v>
      </c>
      <c r="R305" s="148" t="str">
        <f>IFERROR(__xludf.DUMMYFUNCTION("""COMPUTED_VALUE"""),"{}")</f>
        <v>{}</v>
      </c>
      <c r="S305" s="148">
        <f>IFERROR(__xludf.DUMMYFUNCTION("""COMPUTED_VALUE"""),0.0)</f>
        <v>0</v>
      </c>
      <c r="T305" s="148" t="str">
        <f>IFERROR(__xludf.DUMMYFUNCTION("""COMPUTED_VALUE"""),"[]")</f>
        <v>[]</v>
      </c>
      <c r="U305" s="148">
        <f>IFERROR(__xludf.DUMMYFUNCTION("""COMPUTED_VALUE"""),0.0)</f>
        <v>0</v>
      </c>
      <c r="V305" s="148" t="str">
        <f>IFERROR(__xludf.DUMMYFUNCTION("""COMPUTED_VALUE"""),"{}")</f>
        <v>{}</v>
      </c>
      <c r="W305" s="148" t="str">
        <f>IFERROR(__xludf.DUMMYFUNCTION("""COMPUTED_VALUE"""),"[]")</f>
        <v>[]</v>
      </c>
      <c r="X305" s="148" t="str">
        <f>IFERROR(__xludf.DUMMYFUNCTION("""COMPUTED_VALUE"""),"[{""typ"":""power"",""id"":12141002,""val"":1}]")</f>
        <v>[{"typ":"power","id":12141002,"val":1}]</v>
      </c>
      <c r="Y305" s="148" t="str">
        <f>IFERROR(__xludf.DUMMYFUNCTION("""COMPUTED_VALUE"""),"[{""typ"":""atk"",""val"":60},{""typ"":""def"",""val"":125},{""typ"":""hp"",""val"":120},{""typ"":""speed"",""val"":40},{""typ"":""load"",""val"":20},{""typ"":""backcoef"",""val"":0.5},{""typ"":""atkcoef"",""val"":1.0},{""typ"":""atkcd"",""val"":0}]")</f>
        <v>[{"typ":"atk","val":60},{"typ":"def","val":125},{"typ":"hp","val":120},{"typ":"speed","val":40},{"typ":"load","val":20},{"typ":"backcoef","val":0.5},{"typ":"atkcoef","val":1.0},{"typ":"atkcd","val":0}]</v>
      </c>
      <c r="Z305" s="148" t="str">
        <f>IFERROR(__xludf.DUMMYFUNCTION("""COMPUTED_VALUE"""),"[]")</f>
        <v>[]</v>
      </c>
    </row>
    <row r="306">
      <c r="A306" s="148">
        <f>IFERROR(__xludf.DUMMYFUNCTION("""COMPUTED_VALUE"""),1.1218013E7)</f>
        <v>11218013</v>
      </c>
      <c r="B306" s="148" t="str">
        <f>IFERROR(__xludf.DUMMYFUNCTION("""COMPUTED_VALUE"""),"大地图单位-中立建筑-T2")</f>
        <v>大地图单位-中立建筑-T2</v>
      </c>
      <c r="C306" s="148">
        <f>IFERROR(__xludf.DUMMYFUNCTION("""COMPUTED_VALUE"""),1.1221004E7)</f>
        <v>11221004</v>
      </c>
      <c r="D306" s="148">
        <f>IFERROR(__xludf.DUMMYFUNCTION("""COMPUTED_VALUE"""),1.5110234E7)</f>
        <v>15110234</v>
      </c>
      <c r="E306" s="148" t="str">
        <f>IFERROR(__xludf.DUMMYFUNCTION("""COMPUTED_VALUE"""),"{""typ"":""lc"",""txt"":""LC_SOLDIER_npc_name_1""}")</f>
        <v>{"typ":"lc","txt":"LC_SOLDIER_npc_name_1"}</v>
      </c>
      <c r="F306" s="148" t="str">
        <f>IFERROR(__xludf.DUMMYFUNCTION("""COMPUTED_VALUE"""),"{}")</f>
        <v>{}</v>
      </c>
      <c r="G306" s="148">
        <f>IFERROR(__xludf.DUMMYFUNCTION("""COMPUTED_VALUE"""),10.0)</f>
        <v>10</v>
      </c>
      <c r="H306" s="148">
        <f>IFERROR(__xludf.DUMMYFUNCTION("""COMPUTED_VALUE"""),10099.0)</f>
        <v>10099</v>
      </c>
      <c r="I306" s="148">
        <f>IFERROR(__xludf.DUMMYFUNCTION("""COMPUTED_VALUE"""),10099.0)</f>
        <v>10099</v>
      </c>
      <c r="J306" s="148">
        <f>IFERROR(__xludf.DUMMYFUNCTION("""COMPUTED_VALUE"""),0.0)</f>
        <v>0</v>
      </c>
      <c r="K306" s="148">
        <f>IFERROR(__xludf.DUMMYFUNCTION("""COMPUTED_VALUE"""),10.0)</f>
        <v>10</v>
      </c>
      <c r="L306" s="148">
        <f>IFERROR(__xludf.DUMMYFUNCTION("""COMPUTED_VALUE"""),99.0)</f>
        <v>99</v>
      </c>
      <c r="M306" s="148">
        <f>IFERROR(__xludf.DUMMYFUNCTION("""COMPUTED_VALUE"""),0.0)</f>
        <v>0</v>
      </c>
      <c r="N306" s="148" t="str">
        <f>IFERROR(__xludf.DUMMYFUNCTION("""COMPUTED_VALUE"""),"[]")</f>
        <v>[]</v>
      </c>
      <c r="O306" s="148" t="str">
        <f>IFERROR(__xludf.DUMMYFUNCTION("""COMPUTED_VALUE"""),"{}")</f>
        <v>{}</v>
      </c>
      <c r="P306" s="148">
        <f>IFERROR(__xludf.DUMMYFUNCTION("""COMPUTED_VALUE"""),0.0)</f>
        <v>0</v>
      </c>
      <c r="Q306" s="148" t="str">
        <f>IFERROR(__xludf.DUMMYFUNCTION("""COMPUTED_VALUE"""),"[]")</f>
        <v>[]</v>
      </c>
      <c r="R306" s="148" t="str">
        <f>IFERROR(__xludf.DUMMYFUNCTION("""COMPUTED_VALUE"""),"{}")</f>
        <v>{}</v>
      </c>
      <c r="S306" s="148">
        <f>IFERROR(__xludf.DUMMYFUNCTION("""COMPUTED_VALUE"""),0.0)</f>
        <v>0</v>
      </c>
      <c r="T306" s="148" t="str">
        <f>IFERROR(__xludf.DUMMYFUNCTION("""COMPUTED_VALUE"""),"[]")</f>
        <v>[]</v>
      </c>
      <c r="U306" s="148">
        <f>IFERROR(__xludf.DUMMYFUNCTION("""COMPUTED_VALUE"""),0.0)</f>
        <v>0</v>
      </c>
      <c r="V306" s="148" t="str">
        <f>IFERROR(__xludf.DUMMYFUNCTION("""COMPUTED_VALUE"""),"{}")</f>
        <v>{}</v>
      </c>
      <c r="W306" s="148" t="str">
        <f>IFERROR(__xludf.DUMMYFUNCTION("""COMPUTED_VALUE"""),"[]")</f>
        <v>[]</v>
      </c>
      <c r="X306" s="148" t="str">
        <f>IFERROR(__xludf.DUMMYFUNCTION("""COMPUTED_VALUE"""),"[{""typ"":""power"",""id"":12141002,""val"":2}]")</f>
        <v>[{"typ":"power","id":12141002,"val":2}]</v>
      </c>
      <c r="Y306" s="148" t="str">
        <f>IFERROR(__xludf.DUMMYFUNCTION("""COMPUTED_VALUE"""),"[{""typ"":""atk"",""val"":120},{""typ"":""def"",""val"":130},{""typ"":""hp"",""val"":130},{""typ"":""speed"",""val"":40},{""typ"":""load"",""val"":20},{""typ"":""backcoef"",""val"":0.5},{""typ"":""atkcoef"",""val"":1.0},{""typ"":""atkcd"",""val"":0}]")</f>
        <v>[{"typ":"atk","val":120},{"typ":"def","val":130},{"typ":"hp","val":130},{"typ":"speed","val":40},{"typ":"load","val":20},{"typ":"backcoef","val":0.5},{"typ":"atkcoef","val":1.0},{"typ":"atkcd","val":0}]</v>
      </c>
      <c r="Z306" s="148" t="str">
        <f>IFERROR(__xludf.DUMMYFUNCTION("""COMPUTED_VALUE"""),"[]")</f>
        <v>[]</v>
      </c>
    </row>
    <row r="307">
      <c r="A307" s="148">
        <f>IFERROR(__xludf.DUMMYFUNCTION("""COMPUTED_VALUE"""),1.1218014E7)</f>
        <v>11218014</v>
      </c>
      <c r="B307" s="148" t="str">
        <f>IFERROR(__xludf.DUMMYFUNCTION("""COMPUTED_VALUE"""),"大地图单位-中立建筑-T3")</f>
        <v>大地图单位-中立建筑-T3</v>
      </c>
      <c r="C307" s="148">
        <f>IFERROR(__xludf.DUMMYFUNCTION("""COMPUTED_VALUE"""),1.1221004E7)</f>
        <v>11221004</v>
      </c>
      <c r="D307" s="148">
        <f>IFERROR(__xludf.DUMMYFUNCTION("""COMPUTED_VALUE"""),1.5110234E7)</f>
        <v>15110234</v>
      </c>
      <c r="E307" s="148" t="str">
        <f>IFERROR(__xludf.DUMMYFUNCTION("""COMPUTED_VALUE"""),"{""typ"":""lc"",""txt"":""LC_SOLDIER_npc_name_1""}")</f>
        <v>{"typ":"lc","txt":"LC_SOLDIER_npc_name_1"}</v>
      </c>
      <c r="F307" s="148" t="str">
        <f>IFERROR(__xludf.DUMMYFUNCTION("""COMPUTED_VALUE"""),"{}")</f>
        <v>{}</v>
      </c>
      <c r="G307" s="148">
        <f>IFERROR(__xludf.DUMMYFUNCTION("""COMPUTED_VALUE"""),10.0)</f>
        <v>10</v>
      </c>
      <c r="H307" s="148">
        <f>IFERROR(__xludf.DUMMYFUNCTION("""COMPUTED_VALUE"""),10099.0)</f>
        <v>10099</v>
      </c>
      <c r="I307" s="148">
        <f>IFERROR(__xludf.DUMMYFUNCTION("""COMPUTED_VALUE"""),10099.0)</f>
        <v>10099</v>
      </c>
      <c r="J307" s="148">
        <f>IFERROR(__xludf.DUMMYFUNCTION("""COMPUTED_VALUE"""),0.0)</f>
        <v>0</v>
      </c>
      <c r="K307" s="148">
        <f>IFERROR(__xludf.DUMMYFUNCTION("""COMPUTED_VALUE"""),10.0)</f>
        <v>10</v>
      </c>
      <c r="L307" s="148">
        <f>IFERROR(__xludf.DUMMYFUNCTION("""COMPUTED_VALUE"""),99.0)</f>
        <v>99</v>
      </c>
      <c r="M307" s="148">
        <f>IFERROR(__xludf.DUMMYFUNCTION("""COMPUTED_VALUE"""),0.0)</f>
        <v>0</v>
      </c>
      <c r="N307" s="148" t="str">
        <f>IFERROR(__xludf.DUMMYFUNCTION("""COMPUTED_VALUE"""),"[]")</f>
        <v>[]</v>
      </c>
      <c r="O307" s="148" t="str">
        <f>IFERROR(__xludf.DUMMYFUNCTION("""COMPUTED_VALUE"""),"{}")</f>
        <v>{}</v>
      </c>
      <c r="P307" s="148">
        <f>IFERROR(__xludf.DUMMYFUNCTION("""COMPUTED_VALUE"""),0.0)</f>
        <v>0</v>
      </c>
      <c r="Q307" s="148" t="str">
        <f>IFERROR(__xludf.DUMMYFUNCTION("""COMPUTED_VALUE"""),"[]")</f>
        <v>[]</v>
      </c>
      <c r="R307" s="148" t="str">
        <f>IFERROR(__xludf.DUMMYFUNCTION("""COMPUTED_VALUE"""),"{}")</f>
        <v>{}</v>
      </c>
      <c r="S307" s="148">
        <f>IFERROR(__xludf.DUMMYFUNCTION("""COMPUTED_VALUE"""),0.0)</f>
        <v>0</v>
      </c>
      <c r="T307" s="148" t="str">
        <f>IFERROR(__xludf.DUMMYFUNCTION("""COMPUTED_VALUE"""),"[]")</f>
        <v>[]</v>
      </c>
      <c r="U307" s="148">
        <f>IFERROR(__xludf.DUMMYFUNCTION("""COMPUTED_VALUE"""),0.0)</f>
        <v>0</v>
      </c>
      <c r="V307" s="148" t="str">
        <f>IFERROR(__xludf.DUMMYFUNCTION("""COMPUTED_VALUE"""),"{}")</f>
        <v>{}</v>
      </c>
      <c r="W307" s="148" t="str">
        <f>IFERROR(__xludf.DUMMYFUNCTION("""COMPUTED_VALUE"""),"[]")</f>
        <v>[]</v>
      </c>
      <c r="X307" s="148" t="str">
        <f>IFERROR(__xludf.DUMMYFUNCTION("""COMPUTED_VALUE"""),"[{""typ"":""power"",""id"":12141002,""val"":4}]")</f>
        <v>[{"typ":"power","id":12141002,"val":4}]</v>
      </c>
      <c r="Y307" s="148" t="str">
        <f>IFERROR(__xludf.DUMMYFUNCTION("""COMPUTED_VALUE"""),"[{""typ"":""atk"",""val"":160},{""typ"":""def"",""val"":160},{""typ"":""hp"",""val"":160},{""typ"":""speed"",""val"":40},{""typ"":""load"",""val"":20},{""typ"":""backcoef"",""val"":0.5},{""typ"":""atkcoef"",""val"":1.0},{""typ"":""atkcd"",""val"":0}]")</f>
        <v>[{"typ":"atk","val":160},{"typ":"def","val":160},{"typ":"hp","val":160},{"typ":"speed","val":40},{"typ":"load","val":20},{"typ":"backcoef","val":0.5},{"typ":"atkcoef","val":1.0},{"typ":"atkcd","val":0}]</v>
      </c>
      <c r="Z307" s="148" t="str">
        <f>IFERROR(__xludf.DUMMYFUNCTION("""COMPUTED_VALUE"""),"[]")</f>
        <v>[]</v>
      </c>
    </row>
    <row r="308">
      <c r="A308" s="148">
        <f>IFERROR(__xludf.DUMMYFUNCTION("""COMPUTED_VALUE"""),1.1218015E7)</f>
        <v>11218015</v>
      </c>
      <c r="B308" s="148" t="str">
        <f>IFERROR(__xludf.DUMMYFUNCTION("""COMPUTED_VALUE"""),"大地图单位-中立建筑-T4")</f>
        <v>大地图单位-中立建筑-T4</v>
      </c>
      <c r="C308" s="148">
        <f>IFERROR(__xludf.DUMMYFUNCTION("""COMPUTED_VALUE"""),1.1221004E7)</f>
        <v>11221004</v>
      </c>
      <c r="D308" s="148">
        <f>IFERROR(__xludf.DUMMYFUNCTION("""COMPUTED_VALUE"""),1.5110234E7)</f>
        <v>15110234</v>
      </c>
      <c r="E308" s="148" t="str">
        <f>IFERROR(__xludf.DUMMYFUNCTION("""COMPUTED_VALUE"""),"{""typ"":""lc"",""txt"":""LC_SOLDIER_npc_name_1""}")</f>
        <v>{"typ":"lc","txt":"LC_SOLDIER_npc_name_1"}</v>
      </c>
      <c r="F308" s="148" t="str">
        <f>IFERROR(__xludf.DUMMYFUNCTION("""COMPUTED_VALUE"""),"{}")</f>
        <v>{}</v>
      </c>
      <c r="G308" s="148">
        <f>IFERROR(__xludf.DUMMYFUNCTION("""COMPUTED_VALUE"""),10.0)</f>
        <v>10</v>
      </c>
      <c r="H308" s="148">
        <f>IFERROR(__xludf.DUMMYFUNCTION("""COMPUTED_VALUE"""),10099.0)</f>
        <v>10099</v>
      </c>
      <c r="I308" s="148">
        <f>IFERROR(__xludf.DUMMYFUNCTION("""COMPUTED_VALUE"""),10099.0)</f>
        <v>10099</v>
      </c>
      <c r="J308" s="148">
        <f>IFERROR(__xludf.DUMMYFUNCTION("""COMPUTED_VALUE"""),0.0)</f>
        <v>0</v>
      </c>
      <c r="K308" s="148">
        <f>IFERROR(__xludf.DUMMYFUNCTION("""COMPUTED_VALUE"""),10.0)</f>
        <v>10</v>
      </c>
      <c r="L308" s="148">
        <f>IFERROR(__xludf.DUMMYFUNCTION("""COMPUTED_VALUE"""),99.0)</f>
        <v>99</v>
      </c>
      <c r="M308" s="148">
        <f>IFERROR(__xludf.DUMMYFUNCTION("""COMPUTED_VALUE"""),0.0)</f>
        <v>0</v>
      </c>
      <c r="N308" s="148" t="str">
        <f>IFERROR(__xludf.DUMMYFUNCTION("""COMPUTED_VALUE"""),"[]")</f>
        <v>[]</v>
      </c>
      <c r="O308" s="148" t="str">
        <f>IFERROR(__xludf.DUMMYFUNCTION("""COMPUTED_VALUE"""),"{}")</f>
        <v>{}</v>
      </c>
      <c r="P308" s="148">
        <f>IFERROR(__xludf.DUMMYFUNCTION("""COMPUTED_VALUE"""),0.0)</f>
        <v>0</v>
      </c>
      <c r="Q308" s="148" t="str">
        <f>IFERROR(__xludf.DUMMYFUNCTION("""COMPUTED_VALUE"""),"[]")</f>
        <v>[]</v>
      </c>
      <c r="R308" s="148" t="str">
        <f>IFERROR(__xludf.DUMMYFUNCTION("""COMPUTED_VALUE"""),"{}")</f>
        <v>{}</v>
      </c>
      <c r="S308" s="148">
        <f>IFERROR(__xludf.DUMMYFUNCTION("""COMPUTED_VALUE"""),0.0)</f>
        <v>0</v>
      </c>
      <c r="T308" s="148" t="str">
        <f>IFERROR(__xludf.DUMMYFUNCTION("""COMPUTED_VALUE"""),"[]")</f>
        <v>[]</v>
      </c>
      <c r="U308" s="148">
        <f>IFERROR(__xludf.DUMMYFUNCTION("""COMPUTED_VALUE"""),0.0)</f>
        <v>0</v>
      </c>
      <c r="V308" s="148" t="str">
        <f>IFERROR(__xludf.DUMMYFUNCTION("""COMPUTED_VALUE"""),"{}")</f>
        <v>{}</v>
      </c>
      <c r="W308" s="148" t="str">
        <f>IFERROR(__xludf.DUMMYFUNCTION("""COMPUTED_VALUE"""),"[]")</f>
        <v>[]</v>
      </c>
      <c r="X308" s="148" t="str">
        <f>IFERROR(__xludf.DUMMYFUNCTION("""COMPUTED_VALUE"""),"[{""typ"":""power"",""id"":12141002,""val"":6}]")</f>
        <v>[{"typ":"power","id":12141002,"val":6}]</v>
      </c>
      <c r="Y308" s="148" t="str">
        <f>IFERROR(__xludf.DUMMYFUNCTION("""COMPUTED_VALUE"""),"[{""typ"":""atk"",""val"":200},{""typ"":""def"",""val"":190},{""typ"":""hp"",""val"":180},{""typ"":""speed"",""val"":40},{""typ"":""load"",""val"":20},{""typ"":""backcoef"",""val"":0.5},{""typ"":""atkcoef"",""val"":1.0},{""typ"":""atkcd"",""val"":0}]")</f>
        <v>[{"typ":"atk","val":200},{"typ":"def","val":190},{"typ":"hp","val":180},{"typ":"speed","val":40},{"typ":"load","val":20},{"typ":"backcoef","val":0.5},{"typ":"atkcoef","val":1.0},{"typ":"atkcd","val":0}]</v>
      </c>
      <c r="Z308" s="148" t="str">
        <f>IFERROR(__xludf.DUMMYFUNCTION("""COMPUTED_VALUE"""),"[]")</f>
        <v>[]</v>
      </c>
    </row>
    <row r="309">
      <c r="A309" s="148">
        <f>IFERROR(__xludf.DUMMYFUNCTION("""COMPUTED_VALUE"""),1.1218016E7)</f>
        <v>11218016</v>
      </c>
      <c r="B309" s="148" t="str">
        <f>IFERROR(__xludf.DUMMYFUNCTION("""COMPUTED_VALUE"""),"大地图单位-中立建筑-T5")</f>
        <v>大地图单位-中立建筑-T5</v>
      </c>
      <c r="C309" s="148">
        <f>IFERROR(__xludf.DUMMYFUNCTION("""COMPUTED_VALUE"""),1.1221004E7)</f>
        <v>11221004</v>
      </c>
      <c r="D309" s="148">
        <f>IFERROR(__xludf.DUMMYFUNCTION("""COMPUTED_VALUE"""),1.5110234E7)</f>
        <v>15110234</v>
      </c>
      <c r="E309" s="148" t="str">
        <f>IFERROR(__xludf.DUMMYFUNCTION("""COMPUTED_VALUE"""),"{""typ"":""lc"",""txt"":""LC_SOLDIER_npc_name_1""}")</f>
        <v>{"typ":"lc","txt":"LC_SOLDIER_npc_name_1"}</v>
      </c>
      <c r="F309" s="148" t="str">
        <f>IFERROR(__xludf.DUMMYFUNCTION("""COMPUTED_VALUE"""),"{}")</f>
        <v>{}</v>
      </c>
      <c r="G309" s="148">
        <f>IFERROR(__xludf.DUMMYFUNCTION("""COMPUTED_VALUE"""),10.0)</f>
        <v>10</v>
      </c>
      <c r="H309" s="148">
        <f>IFERROR(__xludf.DUMMYFUNCTION("""COMPUTED_VALUE"""),10099.0)</f>
        <v>10099</v>
      </c>
      <c r="I309" s="148">
        <f>IFERROR(__xludf.DUMMYFUNCTION("""COMPUTED_VALUE"""),10099.0)</f>
        <v>10099</v>
      </c>
      <c r="J309" s="148">
        <f>IFERROR(__xludf.DUMMYFUNCTION("""COMPUTED_VALUE"""),0.0)</f>
        <v>0</v>
      </c>
      <c r="K309" s="148">
        <f>IFERROR(__xludf.DUMMYFUNCTION("""COMPUTED_VALUE"""),10.0)</f>
        <v>10</v>
      </c>
      <c r="L309" s="148">
        <f>IFERROR(__xludf.DUMMYFUNCTION("""COMPUTED_VALUE"""),99.0)</f>
        <v>99</v>
      </c>
      <c r="M309" s="148">
        <f>IFERROR(__xludf.DUMMYFUNCTION("""COMPUTED_VALUE"""),0.0)</f>
        <v>0</v>
      </c>
      <c r="N309" s="148" t="str">
        <f>IFERROR(__xludf.DUMMYFUNCTION("""COMPUTED_VALUE"""),"[]")</f>
        <v>[]</v>
      </c>
      <c r="O309" s="148" t="str">
        <f>IFERROR(__xludf.DUMMYFUNCTION("""COMPUTED_VALUE"""),"{}")</f>
        <v>{}</v>
      </c>
      <c r="P309" s="148">
        <f>IFERROR(__xludf.DUMMYFUNCTION("""COMPUTED_VALUE"""),0.0)</f>
        <v>0</v>
      </c>
      <c r="Q309" s="148" t="str">
        <f>IFERROR(__xludf.DUMMYFUNCTION("""COMPUTED_VALUE"""),"[]")</f>
        <v>[]</v>
      </c>
      <c r="R309" s="148" t="str">
        <f>IFERROR(__xludf.DUMMYFUNCTION("""COMPUTED_VALUE"""),"{}")</f>
        <v>{}</v>
      </c>
      <c r="S309" s="148">
        <f>IFERROR(__xludf.DUMMYFUNCTION("""COMPUTED_VALUE"""),0.0)</f>
        <v>0</v>
      </c>
      <c r="T309" s="148" t="str">
        <f>IFERROR(__xludf.DUMMYFUNCTION("""COMPUTED_VALUE"""),"[]")</f>
        <v>[]</v>
      </c>
      <c r="U309" s="148">
        <f>IFERROR(__xludf.DUMMYFUNCTION("""COMPUTED_VALUE"""),0.0)</f>
        <v>0</v>
      </c>
      <c r="V309" s="148" t="str">
        <f>IFERROR(__xludf.DUMMYFUNCTION("""COMPUTED_VALUE"""),"{}")</f>
        <v>{}</v>
      </c>
      <c r="W309" s="148" t="str">
        <f>IFERROR(__xludf.DUMMYFUNCTION("""COMPUTED_VALUE"""),"[]")</f>
        <v>[]</v>
      </c>
      <c r="X309" s="148" t="str">
        <f>IFERROR(__xludf.DUMMYFUNCTION("""COMPUTED_VALUE"""),"[{""typ"":""power"",""id"":12141002,""val"":10}]")</f>
        <v>[{"typ":"power","id":12141002,"val":10}]</v>
      </c>
      <c r="Y309" s="148" t="str">
        <f>IFERROR(__xludf.DUMMYFUNCTION("""COMPUTED_VALUE"""),"[{""typ"":""atk"",""val"":230},{""typ"":""def"",""val"":210},{""typ"":""hp"",""val"":210},{""typ"":""speed"",""val"":40},{""typ"":""load"",""val"":20},{""typ"":""backcoef"",""val"":0.5},{""typ"":""atkcoef"",""val"":1.0},{""typ"":""atkcd"",""val"":0}]")</f>
        <v>[{"typ":"atk","val":230},{"typ":"def","val":210},{"typ":"hp","val":210},{"typ":"speed","val":40},{"typ":"load","val":20},{"typ":"backcoef","val":0.5},{"typ":"atkcoef","val":1.0},{"typ":"atkcd","val":0}]</v>
      </c>
      <c r="Z309" s="148" t="str">
        <f>IFERROR(__xludf.DUMMYFUNCTION("""COMPUTED_VALUE"""),"[]")</f>
        <v>[]</v>
      </c>
    </row>
    <row r="310">
      <c r="A310" s="148">
        <f>IFERROR(__xludf.DUMMYFUNCTION("""COMPUTED_VALUE"""),1.1218017E7)</f>
        <v>11218017</v>
      </c>
      <c r="B310" s="148" t="str">
        <f>IFERROR(__xludf.DUMMYFUNCTION("""COMPUTED_VALUE"""),"大地图单位-关卡-T1")</f>
        <v>大地图单位-关卡-T1</v>
      </c>
      <c r="C310" s="148">
        <f>IFERROR(__xludf.DUMMYFUNCTION("""COMPUTED_VALUE"""),1.1221004E7)</f>
        <v>11221004</v>
      </c>
      <c r="D310" s="148">
        <f>IFERROR(__xludf.DUMMYFUNCTION("""COMPUTED_VALUE"""),1.5110234E7)</f>
        <v>15110234</v>
      </c>
      <c r="E310" s="148" t="str">
        <f>IFERROR(__xludf.DUMMYFUNCTION("""COMPUTED_VALUE"""),"{""typ"":""lc"",""txt"":""LC_SOLDIER_npc_name_1""}")</f>
        <v>{"typ":"lc","txt":"LC_SOLDIER_npc_name_1"}</v>
      </c>
      <c r="F310" s="148" t="str">
        <f>IFERROR(__xludf.DUMMYFUNCTION("""COMPUTED_VALUE"""),"{}")</f>
        <v>{}</v>
      </c>
      <c r="G310" s="148">
        <f>IFERROR(__xludf.DUMMYFUNCTION("""COMPUTED_VALUE"""),10.0)</f>
        <v>10</v>
      </c>
      <c r="H310" s="148">
        <f>IFERROR(__xludf.DUMMYFUNCTION("""COMPUTED_VALUE"""),10099.0)</f>
        <v>10099</v>
      </c>
      <c r="I310" s="148">
        <f>IFERROR(__xludf.DUMMYFUNCTION("""COMPUTED_VALUE"""),10099.0)</f>
        <v>10099</v>
      </c>
      <c r="J310" s="148">
        <f>IFERROR(__xludf.DUMMYFUNCTION("""COMPUTED_VALUE"""),0.0)</f>
        <v>0</v>
      </c>
      <c r="K310" s="148">
        <f>IFERROR(__xludf.DUMMYFUNCTION("""COMPUTED_VALUE"""),10.0)</f>
        <v>10</v>
      </c>
      <c r="L310" s="148">
        <f>IFERROR(__xludf.DUMMYFUNCTION("""COMPUTED_VALUE"""),99.0)</f>
        <v>99</v>
      </c>
      <c r="M310" s="148">
        <f>IFERROR(__xludf.DUMMYFUNCTION("""COMPUTED_VALUE"""),0.0)</f>
        <v>0</v>
      </c>
      <c r="N310" s="148" t="str">
        <f>IFERROR(__xludf.DUMMYFUNCTION("""COMPUTED_VALUE"""),"[]")</f>
        <v>[]</v>
      </c>
      <c r="O310" s="148" t="str">
        <f>IFERROR(__xludf.DUMMYFUNCTION("""COMPUTED_VALUE"""),"{}")</f>
        <v>{}</v>
      </c>
      <c r="P310" s="148">
        <f>IFERROR(__xludf.DUMMYFUNCTION("""COMPUTED_VALUE"""),0.0)</f>
        <v>0</v>
      </c>
      <c r="Q310" s="148" t="str">
        <f>IFERROR(__xludf.DUMMYFUNCTION("""COMPUTED_VALUE"""),"[]")</f>
        <v>[]</v>
      </c>
      <c r="R310" s="148" t="str">
        <f>IFERROR(__xludf.DUMMYFUNCTION("""COMPUTED_VALUE"""),"{}")</f>
        <v>{}</v>
      </c>
      <c r="S310" s="148">
        <f>IFERROR(__xludf.DUMMYFUNCTION("""COMPUTED_VALUE"""),0.0)</f>
        <v>0</v>
      </c>
      <c r="T310" s="148" t="str">
        <f>IFERROR(__xludf.DUMMYFUNCTION("""COMPUTED_VALUE"""),"[]")</f>
        <v>[]</v>
      </c>
      <c r="U310" s="148">
        <f>IFERROR(__xludf.DUMMYFUNCTION("""COMPUTED_VALUE"""),0.0)</f>
        <v>0</v>
      </c>
      <c r="V310" s="148" t="str">
        <f>IFERROR(__xludf.DUMMYFUNCTION("""COMPUTED_VALUE"""),"{}")</f>
        <v>{}</v>
      </c>
      <c r="W310" s="148" t="str">
        <f>IFERROR(__xludf.DUMMYFUNCTION("""COMPUTED_VALUE"""),"[]")</f>
        <v>[]</v>
      </c>
      <c r="X310" s="148" t="str">
        <f>IFERROR(__xludf.DUMMYFUNCTION("""COMPUTED_VALUE"""),"[{""typ"":""power"",""id"":12141002,""val"":1}]")</f>
        <v>[{"typ":"power","id":12141002,"val":1}]</v>
      </c>
      <c r="Y310" s="148" t="str">
        <f>IFERROR(__xludf.DUMMYFUNCTION("""COMPUTED_VALUE"""),"[{""typ"":""atk"",""val"":60},{""typ"":""def"",""val"":125},{""typ"":""hp"",""val"":120},{""typ"":""speed"",""val"":40},{""typ"":""load"",""val"":20},{""typ"":""backcoef"",""val"":0.5},{""typ"":""atkcoef"",""val"":1.0},{""typ"":""atkcd"",""val"":0}]")</f>
        <v>[{"typ":"atk","val":60},{"typ":"def","val":125},{"typ":"hp","val":120},{"typ":"speed","val":40},{"typ":"load","val":20},{"typ":"backcoef","val":0.5},{"typ":"atkcoef","val":1.0},{"typ":"atkcd","val":0}]</v>
      </c>
      <c r="Z310" s="148" t="str">
        <f>IFERROR(__xludf.DUMMYFUNCTION("""COMPUTED_VALUE"""),"[]")</f>
        <v>[]</v>
      </c>
    </row>
    <row r="311">
      <c r="A311" s="148">
        <f>IFERROR(__xludf.DUMMYFUNCTION("""COMPUTED_VALUE"""),1.1218018E7)</f>
        <v>11218018</v>
      </c>
      <c r="B311" s="148" t="str">
        <f>IFERROR(__xludf.DUMMYFUNCTION("""COMPUTED_VALUE"""),"大地图单位-关卡-T2")</f>
        <v>大地图单位-关卡-T2</v>
      </c>
      <c r="C311" s="148">
        <f>IFERROR(__xludf.DUMMYFUNCTION("""COMPUTED_VALUE"""),1.1221004E7)</f>
        <v>11221004</v>
      </c>
      <c r="D311" s="148">
        <f>IFERROR(__xludf.DUMMYFUNCTION("""COMPUTED_VALUE"""),1.5110234E7)</f>
        <v>15110234</v>
      </c>
      <c r="E311" s="148" t="str">
        <f>IFERROR(__xludf.DUMMYFUNCTION("""COMPUTED_VALUE"""),"{""typ"":""lc"",""txt"":""LC_SOLDIER_npc_name_1""}")</f>
        <v>{"typ":"lc","txt":"LC_SOLDIER_npc_name_1"}</v>
      </c>
      <c r="F311" s="148" t="str">
        <f>IFERROR(__xludf.DUMMYFUNCTION("""COMPUTED_VALUE"""),"{}")</f>
        <v>{}</v>
      </c>
      <c r="G311" s="148">
        <f>IFERROR(__xludf.DUMMYFUNCTION("""COMPUTED_VALUE"""),10.0)</f>
        <v>10</v>
      </c>
      <c r="H311" s="148">
        <f>IFERROR(__xludf.DUMMYFUNCTION("""COMPUTED_VALUE"""),10099.0)</f>
        <v>10099</v>
      </c>
      <c r="I311" s="148">
        <f>IFERROR(__xludf.DUMMYFUNCTION("""COMPUTED_VALUE"""),10099.0)</f>
        <v>10099</v>
      </c>
      <c r="J311" s="148">
        <f>IFERROR(__xludf.DUMMYFUNCTION("""COMPUTED_VALUE"""),0.0)</f>
        <v>0</v>
      </c>
      <c r="K311" s="148">
        <f>IFERROR(__xludf.DUMMYFUNCTION("""COMPUTED_VALUE"""),10.0)</f>
        <v>10</v>
      </c>
      <c r="L311" s="148">
        <f>IFERROR(__xludf.DUMMYFUNCTION("""COMPUTED_VALUE"""),99.0)</f>
        <v>99</v>
      </c>
      <c r="M311" s="148">
        <f>IFERROR(__xludf.DUMMYFUNCTION("""COMPUTED_VALUE"""),0.0)</f>
        <v>0</v>
      </c>
      <c r="N311" s="148" t="str">
        <f>IFERROR(__xludf.DUMMYFUNCTION("""COMPUTED_VALUE"""),"[]")</f>
        <v>[]</v>
      </c>
      <c r="O311" s="148" t="str">
        <f>IFERROR(__xludf.DUMMYFUNCTION("""COMPUTED_VALUE"""),"{}")</f>
        <v>{}</v>
      </c>
      <c r="P311" s="148">
        <f>IFERROR(__xludf.DUMMYFUNCTION("""COMPUTED_VALUE"""),0.0)</f>
        <v>0</v>
      </c>
      <c r="Q311" s="148" t="str">
        <f>IFERROR(__xludf.DUMMYFUNCTION("""COMPUTED_VALUE"""),"[]")</f>
        <v>[]</v>
      </c>
      <c r="R311" s="148" t="str">
        <f>IFERROR(__xludf.DUMMYFUNCTION("""COMPUTED_VALUE"""),"{}")</f>
        <v>{}</v>
      </c>
      <c r="S311" s="148">
        <f>IFERROR(__xludf.DUMMYFUNCTION("""COMPUTED_VALUE"""),0.0)</f>
        <v>0</v>
      </c>
      <c r="T311" s="148" t="str">
        <f>IFERROR(__xludf.DUMMYFUNCTION("""COMPUTED_VALUE"""),"[]")</f>
        <v>[]</v>
      </c>
      <c r="U311" s="148">
        <f>IFERROR(__xludf.DUMMYFUNCTION("""COMPUTED_VALUE"""),0.0)</f>
        <v>0</v>
      </c>
      <c r="V311" s="148" t="str">
        <f>IFERROR(__xludf.DUMMYFUNCTION("""COMPUTED_VALUE"""),"{}")</f>
        <v>{}</v>
      </c>
      <c r="W311" s="148" t="str">
        <f>IFERROR(__xludf.DUMMYFUNCTION("""COMPUTED_VALUE"""),"[]")</f>
        <v>[]</v>
      </c>
      <c r="X311" s="148" t="str">
        <f>IFERROR(__xludf.DUMMYFUNCTION("""COMPUTED_VALUE"""),"[{""typ"":""power"",""id"":12141002,""val"":2}]")</f>
        <v>[{"typ":"power","id":12141002,"val":2}]</v>
      </c>
      <c r="Y311" s="148" t="str">
        <f>IFERROR(__xludf.DUMMYFUNCTION("""COMPUTED_VALUE"""),"[{""typ"":""atk"",""val"":120},{""typ"":""def"",""val"":130},{""typ"":""hp"",""val"":130},{""typ"":""speed"",""val"":40},{""typ"":""load"",""val"":20},{""typ"":""backcoef"",""val"":0.5},{""typ"":""atkcoef"",""val"":1.0},{""typ"":""atkcd"",""val"":0}]")</f>
        <v>[{"typ":"atk","val":120},{"typ":"def","val":130},{"typ":"hp","val":130},{"typ":"speed","val":40},{"typ":"load","val":20},{"typ":"backcoef","val":0.5},{"typ":"atkcoef","val":1.0},{"typ":"atkcd","val":0}]</v>
      </c>
      <c r="Z311" s="148" t="str">
        <f>IFERROR(__xludf.DUMMYFUNCTION("""COMPUTED_VALUE"""),"[]")</f>
        <v>[]</v>
      </c>
    </row>
    <row r="312">
      <c r="A312" s="148">
        <f>IFERROR(__xludf.DUMMYFUNCTION("""COMPUTED_VALUE"""),1.1218019E7)</f>
        <v>11218019</v>
      </c>
      <c r="B312" s="148" t="str">
        <f>IFERROR(__xludf.DUMMYFUNCTION("""COMPUTED_VALUE"""),"大地图单位-关卡-T3")</f>
        <v>大地图单位-关卡-T3</v>
      </c>
      <c r="C312" s="148">
        <f>IFERROR(__xludf.DUMMYFUNCTION("""COMPUTED_VALUE"""),1.1221004E7)</f>
        <v>11221004</v>
      </c>
      <c r="D312" s="148">
        <f>IFERROR(__xludf.DUMMYFUNCTION("""COMPUTED_VALUE"""),1.5110234E7)</f>
        <v>15110234</v>
      </c>
      <c r="E312" s="148" t="str">
        <f>IFERROR(__xludf.DUMMYFUNCTION("""COMPUTED_VALUE"""),"{""typ"":""lc"",""txt"":""LC_SOLDIER_npc_name_1""}")</f>
        <v>{"typ":"lc","txt":"LC_SOLDIER_npc_name_1"}</v>
      </c>
      <c r="F312" s="148" t="str">
        <f>IFERROR(__xludf.DUMMYFUNCTION("""COMPUTED_VALUE"""),"{}")</f>
        <v>{}</v>
      </c>
      <c r="G312" s="148">
        <f>IFERROR(__xludf.DUMMYFUNCTION("""COMPUTED_VALUE"""),10.0)</f>
        <v>10</v>
      </c>
      <c r="H312" s="148">
        <f>IFERROR(__xludf.DUMMYFUNCTION("""COMPUTED_VALUE"""),10099.0)</f>
        <v>10099</v>
      </c>
      <c r="I312" s="148">
        <f>IFERROR(__xludf.DUMMYFUNCTION("""COMPUTED_VALUE"""),10099.0)</f>
        <v>10099</v>
      </c>
      <c r="J312" s="148">
        <f>IFERROR(__xludf.DUMMYFUNCTION("""COMPUTED_VALUE"""),0.0)</f>
        <v>0</v>
      </c>
      <c r="K312" s="148">
        <f>IFERROR(__xludf.DUMMYFUNCTION("""COMPUTED_VALUE"""),10.0)</f>
        <v>10</v>
      </c>
      <c r="L312" s="148">
        <f>IFERROR(__xludf.DUMMYFUNCTION("""COMPUTED_VALUE"""),99.0)</f>
        <v>99</v>
      </c>
      <c r="M312" s="148">
        <f>IFERROR(__xludf.DUMMYFUNCTION("""COMPUTED_VALUE"""),0.0)</f>
        <v>0</v>
      </c>
      <c r="N312" s="148" t="str">
        <f>IFERROR(__xludf.DUMMYFUNCTION("""COMPUTED_VALUE"""),"[]")</f>
        <v>[]</v>
      </c>
      <c r="O312" s="148" t="str">
        <f>IFERROR(__xludf.DUMMYFUNCTION("""COMPUTED_VALUE"""),"{}")</f>
        <v>{}</v>
      </c>
      <c r="P312" s="148">
        <f>IFERROR(__xludf.DUMMYFUNCTION("""COMPUTED_VALUE"""),0.0)</f>
        <v>0</v>
      </c>
      <c r="Q312" s="148" t="str">
        <f>IFERROR(__xludf.DUMMYFUNCTION("""COMPUTED_VALUE"""),"[]")</f>
        <v>[]</v>
      </c>
      <c r="R312" s="148" t="str">
        <f>IFERROR(__xludf.DUMMYFUNCTION("""COMPUTED_VALUE"""),"{}")</f>
        <v>{}</v>
      </c>
      <c r="S312" s="148">
        <f>IFERROR(__xludf.DUMMYFUNCTION("""COMPUTED_VALUE"""),0.0)</f>
        <v>0</v>
      </c>
      <c r="T312" s="148" t="str">
        <f>IFERROR(__xludf.DUMMYFUNCTION("""COMPUTED_VALUE"""),"[]")</f>
        <v>[]</v>
      </c>
      <c r="U312" s="148">
        <f>IFERROR(__xludf.DUMMYFUNCTION("""COMPUTED_VALUE"""),0.0)</f>
        <v>0</v>
      </c>
      <c r="V312" s="148" t="str">
        <f>IFERROR(__xludf.DUMMYFUNCTION("""COMPUTED_VALUE"""),"{}")</f>
        <v>{}</v>
      </c>
      <c r="W312" s="148" t="str">
        <f>IFERROR(__xludf.DUMMYFUNCTION("""COMPUTED_VALUE"""),"[]")</f>
        <v>[]</v>
      </c>
      <c r="X312" s="148" t="str">
        <f>IFERROR(__xludf.DUMMYFUNCTION("""COMPUTED_VALUE"""),"[{""typ"":""power"",""id"":12141002,""val"":4}]")</f>
        <v>[{"typ":"power","id":12141002,"val":4}]</v>
      </c>
      <c r="Y312" s="148" t="str">
        <f>IFERROR(__xludf.DUMMYFUNCTION("""COMPUTED_VALUE"""),"[{""typ"":""atk"",""val"":160},{""typ"":""def"",""val"":160},{""typ"":""hp"",""val"":160},{""typ"":""speed"",""val"":40},{""typ"":""load"",""val"":20},{""typ"":""backcoef"",""val"":0.5},{""typ"":""atkcoef"",""val"":1.0},{""typ"":""atkcd"",""val"":0}]")</f>
        <v>[{"typ":"atk","val":160},{"typ":"def","val":160},{"typ":"hp","val":160},{"typ":"speed","val":40},{"typ":"load","val":20},{"typ":"backcoef","val":0.5},{"typ":"atkcoef","val":1.0},{"typ":"atkcd","val":0}]</v>
      </c>
      <c r="Z312" s="148" t="str">
        <f>IFERROR(__xludf.DUMMYFUNCTION("""COMPUTED_VALUE"""),"[]")</f>
        <v>[]</v>
      </c>
    </row>
    <row r="313">
      <c r="A313" s="148">
        <f>IFERROR(__xludf.DUMMYFUNCTION("""COMPUTED_VALUE"""),1.121802E7)</f>
        <v>11218020</v>
      </c>
      <c r="B313" s="148" t="str">
        <f>IFERROR(__xludf.DUMMYFUNCTION("""COMPUTED_VALUE"""),"大地图单位-关卡-T4")</f>
        <v>大地图单位-关卡-T4</v>
      </c>
      <c r="C313" s="148">
        <f>IFERROR(__xludf.DUMMYFUNCTION("""COMPUTED_VALUE"""),1.1221004E7)</f>
        <v>11221004</v>
      </c>
      <c r="D313" s="148">
        <f>IFERROR(__xludf.DUMMYFUNCTION("""COMPUTED_VALUE"""),1.5110234E7)</f>
        <v>15110234</v>
      </c>
      <c r="E313" s="148" t="str">
        <f>IFERROR(__xludf.DUMMYFUNCTION("""COMPUTED_VALUE"""),"{""typ"":""lc"",""txt"":""LC_SOLDIER_npc_name_1""}")</f>
        <v>{"typ":"lc","txt":"LC_SOLDIER_npc_name_1"}</v>
      </c>
      <c r="F313" s="148" t="str">
        <f>IFERROR(__xludf.DUMMYFUNCTION("""COMPUTED_VALUE"""),"{}")</f>
        <v>{}</v>
      </c>
      <c r="G313" s="148">
        <f>IFERROR(__xludf.DUMMYFUNCTION("""COMPUTED_VALUE"""),10.0)</f>
        <v>10</v>
      </c>
      <c r="H313" s="148">
        <f>IFERROR(__xludf.DUMMYFUNCTION("""COMPUTED_VALUE"""),10099.0)</f>
        <v>10099</v>
      </c>
      <c r="I313" s="148">
        <f>IFERROR(__xludf.DUMMYFUNCTION("""COMPUTED_VALUE"""),10099.0)</f>
        <v>10099</v>
      </c>
      <c r="J313" s="148">
        <f>IFERROR(__xludf.DUMMYFUNCTION("""COMPUTED_VALUE"""),0.0)</f>
        <v>0</v>
      </c>
      <c r="K313" s="148">
        <f>IFERROR(__xludf.DUMMYFUNCTION("""COMPUTED_VALUE"""),10.0)</f>
        <v>10</v>
      </c>
      <c r="L313" s="148">
        <f>IFERROR(__xludf.DUMMYFUNCTION("""COMPUTED_VALUE"""),99.0)</f>
        <v>99</v>
      </c>
      <c r="M313" s="148">
        <f>IFERROR(__xludf.DUMMYFUNCTION("""COMPUTED_VALUE"""),0.0)</f>
        <v>0</v>
      </c>
      <c r="N313" s="148" t="str">
        <f>IFERROR(__xludf.DUMMYFUNCTION("""COMPUTED_VALUE"""),"[]")</f>
        <v>[]</v>
      </c>
      <c r="O313" s="148" t="str">
        <f>IFERROR(__xludf.DUMMYFUNCTION("""COMPUTED_VALUE"""),"{}")</f>
        <v>{}</v>
      </c>
      <c r="P313" s="148">
        <f>IFERROR(__xludf.DUMMYFUNCTION("""COMPUTED_VALUE"""),0.0)</f>
        <v>0</v>
      </c>
      <c r="Q313" s="148" t="str">
        <f>IFERROR(__xludf.DUMMYFUNCTION("""COMPUTED_VALUE"""),"[]")</f>
        <v>[]</v>
      </c>
      <c r="R313" s="148" t="str">
        <f>IFERROR(__xludf.DUMMYFUNCTION("""COMPUTED_VALUE"""),"{}")</f>
        <v>{}</v>
      </c>
      <c r="S313" s="148">
        <f>IFERROR(__xludf.DUMMYFUNCTION("""COMPUTED_VALUE"""),0.0)</f>
        <v>0</v>
      </c>
      <c r="T313" s="148" t="str">
        <f>IFERROR(__xludf.DUMMYFUNCTION("""COMPUTED_VALUE"""),"[]")</f>
        <v>[]</v>
      </c>
      <c r="U313" s="148">
        <f>IFERROR(__xludf.DUMMYFUNCTION("""COMPUTED_VALUE"""),0.0)</f>
        <v>0</v>
      </c>
      <c r="V313" s="148" t="str">
        <f>IFERROR(__xludf.DUMMYFUNCTION("""COMPUTED_VALUE"""),"{}")</f>
        <v>{}</v>
      </c>
      <c r="W313" s="148" t="str">
        <f>IFERROR(__xludf.DUMMYFUNCTION("""COMPUTED_VALUE"""),"[]")</f>
        <v>[]</v>
      </c>
      <c r="X313" s="148" t="str">
        <f>IFERROR(__xludf.DUMMYFUNCTION("""COMPUTED_VALUE"""),"[{""typ"":""power"",""id"":12141002,""val"":6}]")</f>
        <v>[{"typ":"power","id":12141002,"val":6}]</v>
      </c>
      <c r="Y313" s="148" t="str">
        <f>IFERROR(__xludf.DUMMYFUNCTION("""COMPUTED_VALUE"""),"[{""typ"":""atk"",""val"":200},{""typ"":""def"",""val"":190},{""typ"":""hp"",""val"":180},{""typ"":""speed"",""val"":40},{""typ"":""load"",""val"":20},{""typ"":""backcoef"",""val"":0.5},{""typ"":""atkcoef"",""val"":1.0},{""typ"":""atkcd"",""val"":0}]")</f>
        <v>[{"typ":"atk","val":200},{"typ":"def","val":190},{"typ":"hp","val":180},{"typ":"speed","val":40},{"typ":"load","val":20},{"typ":"backcoef","val":0.5},{"typ":"atkcoef","val":1.0},{"typ":"atkcd","val":0}]</v>
      </c>
      <c r="Z313" s="148" t="str">
        <f>IFERROR(__xludf.DUMMYFUNCTION("""COMPUTED_VALUE"""),"[]")</f>
        <v>[]</v>
      </c>
    </row>
    <row r="314">
      <c r="A314" s="148">
        <f>IFERROR(__xludf.DUMMYFUNCTION("""COMPUTED_VALUE"""),1.1218021E7)</f>
        <v>11218021</v>
      </c>
      <c r="B314" s="148" t="str">
        <f>IFERROR(__xludf.DUMMYFUNCTION("""COMPUTED_VALUE"""),"大地图单位-关卡-T5")</f>
        <v>大地图单位-关卡-T5</v>
      </c>
      <c r="C314" s="148">
        <f>IFERROR(__xludf.DUMMYFUNCTION("""COMPUTED_VALUE"""),1.1221004E7)</f>
        <v>11221004</v>
      </c>
      <c r="D314" s="148">
        <f>IFERROR(__xludf.DUMMYFUNCTION("""COMPUTED_VALUE"""),1.5110234E7)</f>
        <v>15110234</v>
      </c>
      <c r="E314" s="148" t="str">
        <f>IFERROR(__xludf.DUMMYFUNCTION("""COMPUTED_VALUE"""),"{""typ"":""lc"",""txt"":""LC_SOLDIER_npc_name_1""}")</f>
        <v>{"typ":"lc","txt":"LC_SOLDIER_npc_name_1"}</v>
      </c>
      <c r="F314" s="148" t="str">
        <f>IFERROR(__xludf.DUMMYFUNCTION("""COMPUTED_VALUE"""),"{}")</f>
        <v>{}</v>
      </c>
      <c r="G314" s="148">
        <f>IFERROR(__xludf.DUMMYFUNCTION("""COMPUTED_VALUE"""),10.0)</f>
        <v>10</v>
      </c>
      <c r="H314" s="148">
        <f>IFERROR(__xludf.DUMMYFUNCTION("""COMPUTED_VALUE"""),10099.0)</f>
        <v>10099</v>
      </c>
      <c r="I314" s="148">
        <f>IFERROR(__xludf.DUMMYFUNCTION("""COMPUTED_VALUE"""),10099.0)</f>
        <v>10099</v>
      </c>
      <c r="J314" s="148">
        <f>IFERROR(__xludf.DUMMYFUNCTION("""COMPUTED_VALUE"""),0.0)</f>
        <v>0</v>
      </c>
      <c r="K314" s="148">
        <f>IFERROR(__xludf.DUMMYFUNCTION("""COMPUTED_VALUE"""),10.0)</f>
        <v>10</v>
      </c>
      <c r="L314" s="148">
        <f>IFERROR(__xludf.DUMMYFUNCTION("""COMPUTED_VALUE"""),99.0)</f>
        <v>99</v>
      </c>
      <c r="M314" s="148">
        <f>IFERROR(__xludf.DUMMYFUNCTION("""COMPUTED_VALUE"""),0.0)</f>
        <v>0</v>
      </c>
      <c r="N314" s="148" t="str">
        <f>IFERROR(__xludf.DUMMYFUNCTION("""COMPUTED_VALUE"""),"[]")</f>
        <v>[]</v>
      </c>
      <c r="O314" s="148" t="str">
        <f>IFERROR(__xludf.DUMMYFUNCTION("""COMPUTED_VALUE"""),"{}")</f>
        <v>{}</v>
      </c>
      <c r="P314" s="148">
        <f>IFERROR(__xludf.DUMMYFUNCTION("""COMPUTED_VALUE"""),0.0)</f>
        <v>0</v>
      </c>
      <c r="Q314" s="148" t="str">
        <f>IFERROR(__xludf.DUMMYFUNCTION("""COMPUTED_VALUE"""),"[]")</f>
        <v>[]</v>
      </c>
      <c r="R314" s="148" t="str">
        <f>IFERROR(__xludf.DUMMYFUNCTION("""COMPUTED_VALUE"""),"{}")</f>
        <v>{}</v>
      </c>
      <c r="S314" s="148">
        <f>IFERROR(__xludf.DUMMYFUNCTION("""COMPUTED_VALUE"""),0.0)</f>
        <v>0</v>
      </c>
      <c r="T314" s="148" t="str">
        <f>IFERROR(__xludf.DUMMYFUNCTION("""COMPUTED_VALUE"""),"[]")</f>
        <v>[]</v>
      </c>
      <c r="U314" s="148">
        <f>IFERROR(__xludf.DUMMYFUNCTION("""COMPUTED_VALUE"""),0.0)</f>
        <v>0</v>
      </c>
      <c r="V314" s="148" t="str">
        <f>IFERROR(__xludf.DUMMYFUNCTION("""COMPUTED_VALUE"""),"{}")</f>
        <v>{}</v>
      </c>
      <c r="W314" s="148" t="str">
        <f>IFERROR(__xludf.DUMMYFUNCTION("""COMPUTED_VALUE"""),"[]")</f>
        <v>[]</v>
      </c>
      <c r="X314" s="148" t="str">
        <f>IFERROR(__xludf.DUMMYFUNCTION("""COMPUTED_VALUE"""),"[{""typ"":""power"",""id"":12141002,""val"":10}]")</f>
        <v>[{"typ":"power","id":12141002,"val":10}]</v>
      </c>
      <c r="Y314" s="148" t="str">
        <f>IFERROR(__xludf.DUMMYFUNCTION("""COMPUTED_VALUE"""),"[{""typ"":""atk"",""val"":230},{""typ"":""def"",""val"":210},{""typ"":""hp"",""val"":210},{""typ"":""speed"",""val"":40},{""typ"":""load"",""val"":20},{""typ"":""backcoef"",""val"":0.5},{""typ"":""atkcoef"",""val"":1.0},{""typ"":""atkcd"",""val"":0}]")</f>
        <v>[{"typ":"atk","val":230},{"typ":"def","val":210},{"typ":"hp","val":210},{"typ":"speed","val":40},{"typ":"load","val":20},{"typ":"backcoef","val":0.5},{"typ":"atkcoef","val":1.0},{"typ":"atkcd","val":0}]</v>
      </c>
      <c r="Z314" s="148" t="str">
        <f>IFERROR(__xludf.DUMMYFUNCTION("""COMPUTED_VALUE"""),"[]")</f>
        <v>[]</v>
      </c>
    </row>
    <row r="315">
      <c r="A315" s="148">
        <f>IFERROR(__xludf.DUMMYFUNCTION("""COMPUTED_VALUE"""),1.1218022E7)</f>
        <v>11218022</v>
      </c>
      <c r="B315" s="148" t="str">
        <f>IFERROR(__xludf.DUMMYFUNCTION("""COMPUTED_VALUE"""),"大地图单位-中立建筑-T3-飙车族")</f>
        <v>大地图单位-中立建筑-T3-飙车族</v>
      </c>
      <c r="C315" s="148">
        <f>IFERROR(__xludf.DUMMYFUNCTION("""COMPUTED_VALUE"""),1.1221002E7)</f>
        <v>11221002</v>
      </c>
      <c r="D315" s="148">
        <f>IFERROR(__xludf.DUMMYFUNCTION("""COMPUTED_VALUE"""),1.5110234E7)</f>
        <v>15110234</v>
      </c>
      <c r="E315" s="148" t="str">
        <f>IFERROR(__xludf.DUMMYFUNCTION("""COMPUTED_VALUE"""),"{""typ"":""lc"",""txt"":""LC_SOLDIER_npc_name_1""}")</f>
        <v>{"typ":"lc","txt":"LC_SOLDIER_npc_name_1"}</v>
      </c>
      <c r="F315" s="148" t="str">
        <f>IFERROR(__xludf.DUMMYFUNCTION("""COMPUTED_VALUE"""),"{}")</f>
        <v>{}</v>
      </c>
      <c r="G315" s="148">
        <f>IFERROR(__xludf.DUMMYFUNCTION("""COMPUTED_VALUE"""),10.0)</f>
        <v>10</v>
      </c>
      <c r="H315" s="148">
        <f>IFERROR(__xludf.DUMMYFUNCTION("""COMPUTED_VALUE"""),10099.0)</f>
        <v>10099</v>
      </c>
      <c r="I315" s="148">
        <f>IFERROR(__xludf.DUMMYFUNCTION("""COMPUTED_VALUE"""),10099.0)</f>
        <v>10099</v>
      </c>
      <c r="J315" s="148">
        <f>IFERROR(__xludf.DUMMYFUNCTION("""COMPUTED_VALUE"""),0.0)</f>
        <v>0</v>
      </c>
      <c r="K315" s="148">
        <f>IFERROR(__xludf.DUMMYFUNCTION("""COMPUTED_VALUE"""),10.0)</f>
        <v>10</v>
      </c>
      <c r="L315" s="148">
        <f>IFERROR(__xludf.DUMMYFUNCTION("""COMPUTED_VALUE"""),99.0)</f>
        <v>99</v>
      </c>
      <c r="M315" s="148">
        <f>IFERROR(__xludf.DUMMYFUNCTION("""COMPUTED_VALUE"""),0.0)</f>
        <v>0</v>
      </c>
      <c r="N315" s="148" t="str">
        <f>IFERROR(__xludf.DUMMYFUNCTION("""COMPUTED_VALUE"""),"[]")</f>
        <v>[]</v>
      </c>
      <c r="O315" s="148" t="str">
        <f>IFERROR(__xludf.DUMMYFUNCTION("""COMPUTED_VALUE"""),"{}")</f>
        <v>{}</v>
      </c>
      <c r="P315" s="148">
        <f>IFERROR(__xludf.DUMMYFUNCTION("""COMPUTED_VALUE"""),0.0)</f>
        <v>0</v>
      </c>
      <c r="Q315" s="148" t="str">
        <f>IFERROR(__xludf.DUMMYFUNCTION("""COMPUTED_VALUE"""),"[]")</f>
        <v>[]</v>
      </c>
      <c r="R315" s="148" t="str">
        <f>IFERROR(__xludf.DUMMYFUNCTION("""COMPUTED_VALUE"""),"{}")</f>
        <v>{}</v>
      </c>
      <c r="S315" s="148">
        <f>IFERROR(__xludf.DUMMYFUNCTION("""COMPUTED_VALUE"""),0.0)</f>
        <v>0</v>
      </c>
      <c r="T315" s="148" t="str">
        <f>IFERROR(__xludf.DUMMYFUNCTION("""COMPUTED_VALUE"""),"[]")</f>
        <v>[]</v>
      </c>
      <c r="U315" s="148">
        <f>IFERROR(__xludf.DUMMYFUNCTION("""COMPUTED_VALUE"""),0.0)</f>
        <v>0</v>
      </c>
      <c r="V315" s="148" t="str">
        <f>IFERROR(__xludf.DUMMYFUNCTION("""COMPUTED_VALUE"""),"{}")</f>
        <v>{}</v>
      </c>
      <c r="W315" s="148" t="str">
        <f>IFERROR(__xludf.DUMMYFUNCTION("""COMPUTED_VALUE"""),"[]")</f>
        <v>[]</v>
      </c>
      <c r="X315" s="148" t="str">
        <f>IFERROR(__xludf.DUMMYFUNCTION("""COMPUTED_VALUE"""),"[{""typ"":""power"",""id"":12141002,""val"":4}]")</f>
        <v>[{"typ":"power","id":12141002,"val":4}]</v>
      </c>
      <c r="Y315" s="148" t="str">
        <f>IFERROR(__xludf.DUMMYFUNCTION("""COMPUTED_VALUE"""),"[{""typ"":""atk"",""val"":160},{""typ"":""def"",""val"":160},{""typ"":""hp"",""val"":160},{""typ"":""speed"",""val"":40},{""typ"":""load"",""val"":20},{""typ"":""backcoef"",""val"":0.5},{""typ"":""atkcoef"",""val"":1.0},{""typ"":""atkcd"",""val"":0}]")</f>
        <v>[{"typ":"atk","val":160},{"typ":"def","val":160},{"typ":"hp","val":160},{"typ":"speed","val":40},{"typ":"load","val":20},{"typ":"backcoef","val":0.5},{"typ":"atkcoef","val":1.0},{"typ":"atkcd","val":0}]</v>
      </c>
      <c r="Z315" s="148" t="str">
        <f>IFERROR(__xludf.DUMMYFUNCTION("""COMPUTED_VALUE"""),"[]")</f>
        <v>[]</v>
      </c>
    </row>
    <row r="316">
      <c r="A316" s="148">
        <f>IFERROR(__xludf.DUMMYFUNCTION("""COMPUTED_VALUE"""),1.1218023E7)</f>
        <v>11218023</v>
      </c>
      <c r="B316" s="148" t="str">
        <f>IFERROR(__xludf.DUMMYFUNCTION("""COMPUTED_VALUE"""),"大地图单位-中立建筑-T3-打击手")</f>
        <v>大地图单位-中立建筑-T3-打击手</v>
      </c>
      <c r="C316" s="148">
        <f>IFERROR(__xludf.DUMMYFUNCTION("""COMPUTED_VALUE"""),1.1221001E7)</f>
        <v>11221001</v>
      </c>
      <c r="D316" s="148">
        <f>IFERROR(__xludf.DUMMYFUNCTION("""COMPUTED_VALUE"""),1.5110234E7)</f>
        <v>15110234</v>
      </c>
      <c r="E316" s="148" t="str">
        <f>IFERROR(__xludf.DUMMYFUNCTION("""COMPUTED_VALUE"""),"{""typ"":""lc"",""txt"":""LC_SOLDIER_npc_name_1""}")</f>
        <v>{"typ":"lc","txt":"LC_SOLDIER_npc_name_1"}</v>
      </c>
      <c r="F316" s="148" t="str">
        <f>IFERROR(__xludf.DUMMYFUNCTION("""COMPUTED_VALUE"""),"{}")</f>
        <v>{}</v>
      </c>
      <c r="G316" s="148">
        <f>IFERROR(__xludf.DUMMYFUNCTION("""COMPUTED_VALUE"""),10.0)</f>
        <v>10</v>
      </c>
      <c r="H316" s="148">
        <f>IFERROR(__xludf.DUMMYFUNCTION("""COMPUTED_VALUE"""),10099.0)</f>
        <v>10099</v>
      </c>
      <c r="I316" s="148">
        <f>IFERROR(__xludf.DUMMYFUNCTION("""COMPUTED_VALUE"""),10099.0)</f>
        <v>10099</v>
      </c>
      <c r="J316" s="148">
        <f>IFERROR(__xludf.DUMMYFUNCTION("""COMPUTED_VALUE"""),0.0)</f>
        <v>0</v>
      </c>
      <c r="K316" s="148">
        <f>IFERROR(__xludf.DUMMYFUNCTION("""COMPUTED_VALUE"""),10.0)</f>
        <v>10</v>
      </c>
      <c r="L316" s="148">
        <f>IFERROR(__xludf.DUMMYFUNCTION("""COMPUTED_VALUE"""),99.0)</f>
        <v>99</v>
      </c>
      <c r="M316" s="148">
        <f>IFERROR(__xludf.DUMMYFUNCTION("""COMPUTED_VALUE"""),0.0)</f>
        <v>0</v>
      </c>
      <c r="N316" s="148" t="str">
        <f>IFERROR(__xludf.DUMMYFUNCTION("""COMPUTED_VALUE"""),"[]")</f>
        <v>[]</v>
      </c>
      <c r="O316" s="148" t="str">
        <f>IFERROR(__xludf.DUMMYFUNCTION("""COMPUTED_VALUE"""),"{}")</f>
        <v>{}</v>
      </c>
      <c r="P316" s="148">
        <f>IFERROR(__xludf.DUMMYFUNCTION("""COMPUTED_VALUE"""),0.0)</f>
        <v>0</v>
      </c>
      <c r="Q316" s="148" t="str">
        <f>IFERROR(__xludf.DUMMYFUNCTION("""COMPUTED_VALUE"""),"[]")</f>
        <v>[]</v>
      </c>
      <c r="R316" s="148" t="str">
        <f>IFERROR(__xludf.DUMMYFUNCTION("""COMPUTED_VALUE"""),"{}")</f>
        <v>{}</v>
      </c>
      <c r="S316" s="148">
        <f>IFERROR(__xludf.DUMMYFUNCTION("""COMPUTED_VALUE"""),0.0)</f>
        <v>0</v>
      </c>
      <c r="T316" s="148" t="str">
        <f>IFERROR(__xludf.DUMMYFUNCTION("""COMPUTED_VALUE"""),"[]")</f>
        <v>[]</v>
      </c>
      <c r="U316" s="148">
        <f>IFERROR(__xludf.DUMMYFUNCTION("""COMPUTED_VALUE"""),0.0)</f>
        <v>0</v>
      </c>
      <c r="V316" s="148" t="str">
        <f>IFERROR(__xludf.DUMMYFUNCTION("""COMPUTED_VALUE"""),"{}")</f>
        <v>{}</v>
      </c>
      <c r="W316" s="148" t="str">
        <f>IFERROR(__xludf.DUMMYFUNCTION("""COMPUTED_VALUE"""),"[]")</f>
        <v>[]</v>
      </c>
      <c r="X316" s="148" t="str">
        <f>IFERROR(__xludf.DUMMYFUNCTION("""COMPUTED_VALUE"""),"[{""typ"":""power"",""id"":12141002,""val"":4}]")</f>
        <v>[{"typ":"power","id":12141002,"val":4}]</v>
      </c>
      <c r="Y316" s="148" t="str">
        <f>IFERROR(__xludf.DUMMYFUNCTION("""COMPUTED_VALUE"""),"[{""typ"":""atk"",""val"":160},{""typ"":""def"",""val"":160},{""typ"":""hp"",""val"":160},{""typ"":""speed"",""val"":40},{""typ"":""load"",""val"":20},{""typ"":""backcoef"",""val"":0.5},{""typ"":""atkcoef"",""val"":1.0},{""typ"":""atkcd"",""val"":0}]")</f>
        <v>[{"typ":"atk","val":160},{"typ":"def","val":160},{"typ":"hp","val":160},{"typ":"speed","val":40},{"typ":"load","val":20},{"typ":"backcoef","val":0.5},{"typ":"atkcoef","val":1.0},{"typ":"atkcd","val":0}]</v>
      </c>
      <c r="Z316" s="148" t="str">
        <f>IFERROR(__xludf.DUMMYFUNCTION("""COMPUTED_VALUE"""),"[]")</f>
        <v>[]</v>
      </c>
    </row>
    <row r="317">
      <c r="A317" s="148">
        <f>IFERROR(__xludf.DUMMYFUNCTION("""COMPUTED_VALUE"""),1.1218024E7)</f>
        <v>11218024</v>
      </c>
      <c r="B317" s="148" t="str">
        <f>IFERROR(__xludf.DUMMYFUNCTION("""COMPUTED_VALUE"""),"大地图单位-中立建筑-T3-射击手")</f>
        <v>大地图单位-中立建筑-T3-射击手</v>
      </c>
      <c r="C317" s="148">
        <f>IFERROR(__xludf.DUMMYFUNCTION("""COMPUTED_VALUE"""),1.1221003E7)</f>
        <v>11221003</v>
      </c>
      <c r="D317" s="148">
        <f>IFERROR(__xludf.DUMMYFUNCTION("""COMPUTED_VALUE"""),1.5110234E7)</f>
        <v>15110234</v>
      </c>
      <c r="E317" s="148" t="str">
        <f>IFERROR(__xludf.DUMMYFUNCTION("""COMPUTED_VALUE"""),"{""typ"":""lc"",""txt"":""LC_SOLDIER_npc_name_1""}")</f>
        <v>{"typ":"lc","txt":"LC_SOLDIER_npc_name_1"}</v>
      </c>
      <c r="F317" s="148" t="str">
        <f>IFERROR(__xludf.DUMMYFUNCTION("""COMPUTED_VALUE"""),"{}")</f>
        <v>{}</v>
      </c>
      <c r="G317" s="148">
        <f>IFERROR(__xludf.DUMMYFUNCTION("""COMPUTED_VALUE"""),10.0)</f>
        <v>10</v>
      </c>
      <c r="H317" s="148">
        <f>IFERROR(__xludf.DUMMYFUNCTION("""COMPUTED_VALUE"""),10099.0)</f>
        <v>10099</v>
      </c>
      <c r="I317" s="148">
        <f>IFERROR(__xludf.DUMMYFUNCTION("""COMPUTED_VALUE"""),10099.0)</f>
        <v>10099</v>
      </c>
      <c r="J317" s="148">
        <f>IFERROR(__xludf.DUMMYFUNCTION("""COMPUTED_VALUE"""),0.0)</f>
        <v>0</v>
      </c>
      <c r="K317" s="148">
        <f>IFERROR(__xludf.DUMMYFUNCTION("""COMPUTED_VALUE"""),10.0)</f>
        <v>10</v>
      </c>
      <c r="L317" s="148">
        <f>IFERROR(__xludf.DUMMYFUNCTION("""COMPUTED_VALUE"""),99.0)</f>
        <v>99</v>
      </c>
      <c r="M317" s="148">
        <f>IFERROR(__xludf.DUMMYFUNCTION("""COMPUTED_VALUE"""),0.0)</f>
        <v>0</v>
      </c>
      <c r="N317" s="148" t="str">
        <f>IFERROR(__xludf.DUMMYFUNCTION("""COMPUTED_VALUE"""),"[]")</f>
        <v>[]</v>
      </c>
      <c r="O317" s="148" t="str">
        <f>IFERROR(__xludf.DUMMYFUNCTION("""COMPUTED_VALUE"""),"{}")</f>
        <v>{}</v>
      </c>
      <c r="P317" s="148">
        <f>IFERROR(__xludf.DUMMYFUNCTION("""COMPUTED_VALUE"""),0.0)</f>
        <v>0</v>
      </c>
      <c r="Q317" s="148" t="str">
        <f>IFERROR(__xludf.DUMMYFUNCTION("""COMPUTED_VALUE"""),"[]")</f>
        <v>[]</v>
      </c>
      <c r="R317" s="148" t="str">
        <f>IFERROR(__xludf.DUMMYFUNCTION("""COMPUTED_VALUE"""),"{}")</f>
        <v>{}</v>
      </c>
      <c r="S317" s="148">
        <f>IFERROR(__xludf.DUMMYFUNCTION("""COMPUTED_VALUE"""),0.0)</f>
        <v>0</v>
      </c>
      <c r="T317" s="148" t="str">
        <f>IFERROR(__xludf.DUMMYFUNCTION("""COMPUTED_VALUE"""),"[]")</f>
        <v>[]</v>
      </c>
      <c r="U317" s="148">
        <f>IFERROR(__xludf.DUMMYFUNCTION("""COMPUTED_VALUE"""),0.0)</f>
        <v>0</v>
      </c>
      <c r="V317" s="148" t="str">
        <f>IFERROR(__xludf.DUMMYFUNCTION("""COMPUTED_VALUE"""),"{}")</f>
        <v>{}</v>
      </c>
      <c r="W317" s="148" t="str">
        <f>IFERROR(__xludf.DUMMYFUNCTION("""COMPUTED_VALUE"""),"[]")</f>
        <v>[]</v>
      </c>
      <c r="X317" s="148" t="str">
        <f>IFERROR(__xludf.DUMMYFUNCTION("""COMPUTED_VALUE"""),"[{""typ"":""power"",""id"":12141002,""val"":4}]")</f>
        <v>[{"typ":"power","id":12141002,"val":4}]</v>
      </c>
      <c r="Y317" s="148" t="str">
        <f>IFERROR(__xludf.DUMMYFUNCTION("""COMPUTED_VALUE"""),"[{""typ"":""atk"",""val"":160},{""typ"":""def"",""val"":160},{""typ"":""hp"",""val"":160},{""typ"":""speed"",""val"":40},{""typ"":""load"",""val"":20},{""typ"":""backcoef"",""val"":0.5},{""typ"":""atkcoef"",""val"":1.0},{""typ"":""atkcd"",""val"":0}]")</f>
        <v>[{"typ":"atk","val":160},{"typ":"def","val":160},{"typ":"hp","val":160},{"typ":"speed","val":40},{"typ":"load","val":20},{"typ":"backcoef","val":0.5},{"typ":"atkcoef","val":1.0},{"typ":"atkcd","val":0}]</v>
      </c>
      <c r="Z317" s="148" t="str">
        <f>IFERROR(__xludf.DUMMYFUNCTION("""COMPUTED_VALUE"""),"[]")</f>
        <v>[]</v>
      </c>
    </row>
    <row r="318">
      <c r="A318" s="148">
        <f>IFERROR(__xludf.DUMMYFUNCTION("""COMPUTED_VALUE"""),1.1219001E7)</f>
        <v>11219001</v>
      </c>
      <c r="B318" s="148" t="str">
        <f>IFERROR(__xludf.DUMMYFUNCTION("""COMPUTED_VALUE"""),"押镖单位-白怪1")</f>
        <v>押镖单位-白怪1</v>
      </c>
      <c r="C318" s="148">
        <f>IFERROR(__xludf.DUMMYFUNCTION("""COMPUTED_VALUE"""),1.1221004E7)</f>
        <v>11221004</v>
      </c>
      <c r="D318" s="148">
        <f>IFERROR(__xludf.DUMMYFUNCTION("""COMPUTED_VALUE"""),1.5110234E7)</f>
        <v>15110234</v>
      </c>
      <c r="E318" s="148" t="str">
        <f>IFERROR(__xludf.DUMMYFUNCTION("""COMPUTED_VALUE"""),"{""typ"":""lc"",""txt"":""LC_MAP_escort_monster_name1""}")</f>
        <v>{"typ":"lc","txt":"LC_MAP_escort_monster_name1"}</v>
      </c>
      <c r="F318" s="148" t="str">
        <f>IFERROR(__xludf.DUMMYFUNCTION("""COMPUTED_VALUE"""),"{""typ"":""lc"",""txt"":""LC_MAP_escort_monster_characteristics_desc1""}")</f>
        <v>{"typ":"lc","txt":"LC_MAP_escort_monster_characteristics_desc1"}</v>
      </c>
      <c r="G318" s="148">
        <f>IFERROR(__xludf.DUMMYFUNCTION("""COMPUTED_VALUE"""),10.0)</f>
        <v>10</v>
      </c>
      <c r="H318" s="148">
        <f>IFERROR(__xludf.DUMMYFUNCTION("""COMPUTED_VALUE"""),10099.0)</f>
        <v>10099</v>
      </c>
      <c r="I318" s="148">
        <f>IFERROR(__xludf.DUMMYFUNCTION("""COMPUTED_VALUE"""),10099.0)</f>
        <v>10099</v>
      </c>
      <c r="J318" s="148">
        <f>IFERROR(__xludf.DUMMYFUNCTION("""COMPUTED_VALUE"""),0.0)</f>
        <v>0</v>
      </c>
      <c r="K318" s="148">
        <f>IFERROR(__xludf.DUMMYFUNCTION("""COMPUTED_VALUE"""),10.0)</f>
        <v>10</v>
      </c>
      <c r="L318" s="148">
        <f>IFERROR(__xludf.DUMMYFUNCTION("""COMPUTED_VALUE"""),99.0)</f>
        <v>99</v>
      </c>
      <c r="M318" s="148">
        <f>IFERROR(__xludf.DUMMYFUNCTION("""COMPUTED_VALUE"""),0.0)</f>
        <v>0</v>
      </c>
      <c r="N318" s="148" t="str">
        <f>IFERROR(__xludf.DUMMYFUNCTION("""COMPUTED_VALUE"""),"[]")</f>
        <v>[]</v>
      </c>
      <c r="O318" s="148" t="str">
        <f>IFERROR(__xludf.DUMMYFUNCTION("""COMPUTED_VALUE"""),"{}")</f>
        <v>{}</v>
      </c>
      <c r="P318" s="148">
        <f>IFERROR(__xludf.DUMMYFUNCTION("""COMPUTED_VALUE"""),0.0)</f>
        <v>0</v>
      </c>
      <c r="Q318" s="148" t="str">
        <f>IFERROR(__xludf.DUMMYFUNCTION("""COMPUTED_VALUE"""),"[]")</f>
        <v>[]</v>
      </c>
      <c r="R318" s="148" t="str">
        <f>IFERROR(__xludf.DUMMYFUNCTION("""COMPUTED_VALUE"""),"{}")</f>
        <v>{}</v>
      </c>
      <c r="S318" s="148">
        <f>IFERROR(__xludf.DUMMYFUNCTION("""COMPUTED_VALUE"""),0.0)</f>
        <v>0</v>
      </c>
      <c r="T318" s="148" t="str">
        <f>IFERROR(__xludf.DUMMYFUNCTION("""COMPUTED_VALUE"""),"[]")</f>
        <v>[]</v>
      </c>
      <c r="U318" s="148">
        <f>IFERROR(__xludf.DUMMYFUNCTION("""COMPUTED_VALUE"""),0.0)</f>
        <v>0</v>
      </c>
      <c r="V318" s="148" t="str">
        <f>IFERROR(__xludf.DUMMYFUNCTION("""COMPUTED_VALUE"""),"{}")</f>
        <v>{}</v>
      </c>
      <c r="W318" s="148" t="str">
        <f>IFERROR(__xludf.DUMMYFUNCTION("""COMPUTED_VALUE"""),"[]")</f>
        <v>[]</v>
      </c>
      <c r="X318" s="148" t="str">
        <f>IFERROR(__xludf.DUMMYFUNCTION("""COMPUTED_VALUE"""),"[{""typ"":""power"",""id"":12141002,""val"":1}]")</f>
        <v>[{"typ":"power","id":12141002,"val":1}]</v>
      </c>
      <c r="Y318" s="148" t="str">
        <f>IFERROR(__xludf.DUMMYFUNCTION("""COMPUTED_VALUE"""),"[{""typ"":""atk"",""val"":15},{""typ"":""def"",""val"":125},{""typ"":""hp"",""val"":135},{""typ"":""speed"",""val"":50},{""typ"":""load"",""val"":20},{""typ"":""backcoef"",""val"":0.5},{""typ"":""atkcoef"",""val"":1.0},{""typ"":""atkcd"",""val"":0}]")</f>
        <v>[{"typ":"atk","val":15},{"typ":"def","val":125},{"typ":"hp","val":135},{"typ":"speed","val":50},{"typ":"load","val":20},{"typ":"backcoef","val":0.5},{"typ":"atkcoef","val":1.0},{"typ":"atkcd","val":0}]</v>
      </c>
      <c r="Z318" s="148" t="str">
        <f>IFERROR(__xludf.DUMMYFUNCTION("""COMPUTED_VALUE"""),"[]")</f>
        <v>[]</v>
      </c>
    </row>
    <row r="319">
      <c r="A319" s="148">
        <f>IFERROR(__xludf.DUMMYFUNCTION("""COMPUTED_VALUE"""),1.1219002E7)</f>
        <v>11219002</v>
      </c>
      <c r="B319" s="148" t="str">
        <f>IFERROR(__xludf.DUMMYFUNCTION("""COMPUTED_VALUE"""),"押镖单位-白怪2")</f>
        <v>押镖单位-白怪2</v>
      </c>
      <c r="C319" s="148">
        <f>IFERROR(__xludf.DUMMYFUNCTION("""COMPUTED_VALUE"""),1.1221004E7)</f>
        <v>11221004</v>
      </c>
      <c r="D319" s="148">
        <f>IFERROR(__xludf.DUMMYFUNCTION("""COMPUTED_VALUE"""),1.5110234E7)</f>
        <v>15110234</v>
      </c>
      <c r="E319" s="148" t="str">
        <f>IFERROR(__xludf.DUMMYFUNCTION("""COMPUTED_VALUE"""),"{""typ"":""lc"",""txt"":""LC_MAP_escort_monster_name1""}")</f>
        <v>{"typ":"lc","txt":"LC_MAP_escort_monster_name1"}</v>
      </c>
      <c r="F319" s="148" t="str">
        <f>IFERROR(__xludf.DUMMYFUNCTION("""COMPUTED_VALUE"""),"{""typ"":""lc"",""txt"":""LC_MAP_escort_monster_characteristics_desc1""}")</f>
        <v>{"typ":"lc","txt":"LC_MAP_escort_monster_characteristics_desc1"}</v>
      </c>
      <c r="G319" s="148">
        <f>IFERROR(__xludf.DUMMYFUNCTION("""COMPUTED_VALUE"""),10.0)</f>
        <v>10</v>
      </c>
      <c r="H319" s="148">
        <f>IFERROR(__xludf.DUMMYFUNCTION("""COMPUTED_VALUE"""),10099.0)</f>
        <v>10099</v>
      </c>
      <c r="I319" s="148">
        <f>IFERROR(__xludf.DUMMYFUNCTION("""COMPUTED_VALUE"""),10099.0)</f>
        <v>10099</v>
      </c>
      <c r="J319" s="148">
        <f>IFERROR(__xludf.DUMMYFUNCTION("""COMPUTED_VALUE"""),0.0)</f>
        <v>0</v>
      </c>
      <c r="K319" s="148">
        <f>IFERROR(__xludf.DUMMYFUNCTION("""COMPUTED_VALUE"""),10.0)</f>
        <v>10</v>
      </c>
      <c r="L319" s="148">
        <f>IFERROR(__xludf.DUMMYFUNCTION("""COMPUTED_VALUE"""),99.0)</f>
        <v>99</v>
      </c>
      <c r="M319" s="148">
        <f>IFERROR(__xludf.DUMMYFUNCTION("""COMPUTED_VALUE"""),0.0)</f>
        <v>0</v>
      </c>
      <c r="N319" s="148" t="str">
        <f>IFERROR(__xludf.DUMMYFUNCTION("""COMPUTED_VALUE"""),"[]")</f>
        <v>[]</v>
      </c>
      <c r="O319" s="148" t="str">
        <f>IFERROR(__xludf.DUMMYFUNCTION("""COMPUTED_VALUE"""),"{}")</f>
        <v>{}</v>
      </c>
      <c r="P319" s="148">
        <f>IFERROR(__xludf.DUMMYFUNCTION("""COMPUTED_VALUE"""),0.0)</f>
        <v>0</v>
      </c>
      <c r="Q319" s="148" t="str">
        <f>IFERROR(__xludf.DUMMYFUNCTION("""COMPUTED_VALUE"""),"[]")</f>
        <v>[]</v>
      </c>
      <c r="R319" s="148" t="str">
        <f>IFERROR(__xludf.DUMMYFUNCTION("""COMPUTED_VALUE"""),"{}")</f>
        <v>{}</v>
      </c>
      <c r="S319" s="148">
        <f>IFERROR(__xludf.DUMMYFUNCTION("""COMPUTED_VALUE"""),0.0)</f>
        <v>0</v>
      </c>
      <c r="T319" s="148" t="str">
        <f>IFERROR(__xludf.DUMMYFUNCTION("""COMPUTED_VALUE"""),"[]")</f>
        <v>[]</v>
      </c>
      <c r="U319" s="148">
        <f>IFERROR(__xludf.DUMMYFUNCTION("""COMPUTED_VALUE"""),0.0)</f>
        <v>0</v>
      </c>
      <c r="V319" s="148" t="str">
        <f>IFERROR(__xludf.DUMMYFUNCTION("""COMPUTED_VALUE"""),"{}")</f>
        <v>{}</v>
      </c>
      <c r="W319" s="148" t="str">
        <f>IFERROR(__xludf.DUMMYFUNCTION("""COMPUTED_VALUE"""),"[]")</f>
        <v>[]</v>
      </c>
      <c r="X319" s="148" t="str">
        <f>IFERROR(__xludf.DUMMYFUNCTION("""COMPUTED_VALUE"""),"[{""typ"":""power"",""id"":12141002,""val"":1}]")</f>
        <v>[{"typ":"power","id":12141002,"val":1}]</v>
      </c>
      <c r="Y319" s="148" t="str">
        <f>IFERROR(__xludf.DUMMYFUNCTION("""COMPUTED_VALUE"""),"[{""typ"":""atk"",""val"":30},{""typ"":""def"",""val"":125},{""typ"":""hp"",""val"":135},{""typ"":""speed"",""val"":50},{""typ"":""load"",""val"":20},{""typ"":""backcoef"",""val"":0.5},{""typ"":""atkcoef"",""val"":1.0},{""typ"":""atkcd"",""val"":0}]")</f>
        <v>[{"typ":"atk","val":30},{"typ":"def","val":125},{"typ":"hp","val":135},{"typ":"speed","val":50},{"typ":"load","val":20},{"typ":"backcoef","val":0.5},{"typ":"atkcoef","val":1.0},{"typ":"atkcd","val":0}]</v>
      </c>
      <c r="Z319" s="148" t="str">
        <f>IFERROR(__xludf.DUMMYFUNCTION("""COMPUTED_VALUE"""),"[]")</f>
        <v>[]</v>
      </c>
    </row>
    <row r="320">
      <c r="A320" s="148">
        <f>IFERROR(__xludf.DUMMYFUNCTION("""COMPUTED_VALUE"""),1.1219003E7)</f>
        <v>11219003</v>
      </c>
      <c r="B320" s="148" t="str">
        <f>IFERROR(__xludf.DUMMYFUNCTION("""COMPUTED_VALUE"""),"押镖单位-白怪3")</f>
        <v>押镖单位-白怪3</v>
      </c>
      <c r="C320" s="148">
        <f>IFERROR(__xludf.DUMMYFUNCTION("""COMPUTED_VALUE"""),1.1221004E7)</f>
        <v>11221004</v>
      </c>
      <c r="D320" s="148">
        <f>IFERROR(__xludf.DUMMYFUNCTION("""COMPUTED_VALUE"""),1.5110234E7)</f>
        <v>15110234</v>
      </c>
      <c r="E320" s="148" t="str">
        <f>IFERROR(__xludf.DUMMYFUNCTION("""COMPUTED_VALUE"""),"{""typ"":""lc"",""txt"":""LC_MAP_escort_monster_name1""}")</f>
        <v>{"typ":"lc","txt":"LC_MAP_escort_monster_name1"}</v>
      </c>
      <c r="F320" s="148" t="str">
        <f>IFERROR(__xludf.DUMMYFUNCTION("""COMPUTED_VALUE"""),"{""typ"":""lc"",""txt"":""LC_MAP_escort_monster_characteristics_desc1""}")</f>
        <v>{"typ":"lc","txt":"LC_MAP_escort_monster_characteristics_desc1"}</v>
      </c>
      <c r="G320" s="148">
        <f>IFERROR(__xludf.DUMMYFUNCTION("""COMPUTED_VALUE"""),10.0)</f>
        <v>10</v>
      </c>
      <c r="H320" s="148">
        <f>IFERROR(__xludf.DUMMYFUNCTION("""COMPUTED_VALUE"""),10099.0)</f>
        <v>10099</v>
      </c>
      <c r="I320" s="148">
        <f>IFERROR(__xludf.DUMMYFUNCTION("""COMPUTED_VALUE"""),10099.0)</f>
        <v>10099</v>
      </c>
      <c r="J320" s="148">
        <f>IFERROR(__xludf.DUMMYFUNCTION("""COMPUTED_VALUE"""),0.0)</f>
        <v>0</v>
      </c>
      <c r="K320" s="148">
        <f>IFERROR(__xludf.DUMMYFUNCTION("""COMPUTED_VALUE"""),10.0)</f>
        <v>10</v>
      </c>
      <c r="L320" s="148">
        <f>IFERROR(__xludf.DUMMYFUNCTION("""COMPUTED_VALUE"""),99.0)</f>
        <v>99</v>
      </c>
      <c r="M320" s="148">
        <f>IFERROR(__xludf.DUMMYFUNCTION("""COMPUTED_VALUE"""),0.0)</f>
        <v>0</v>
      </c>
      <c r="N320" s="148" t="str">
        <f>IFERROR(__xludf.DUMMYFUNCTION("""COMPUTED_VALUE"""),"[]")</f>
        <v>[]</v>
      </c>
      <c r="O320" s="148" t="str">
        <f>IFERROR(__xludf.DUMMYFUNCTION("""COMPUTED_VALUE"""),"{}")</f>
        <v>{}</v>
      </c>
      <c r="P320" s="148">
        <f>IFERROR(__xludf.DUMMYFUNCTION("""COMPUTED_VALUE"""),0.0)</f>
        <v>0</v>
      </c>
      <c r="Q320" s="148" t="str">
        <f>IFERROR(__xludf.DUMMYFUNCTION("""COMPUTED_VALUE"""),"[]")</f>
        <v>[]</v>
      </c>
      <c r="R320" s="148" t="str">
        <f>IFERROR(__xludf.DUMMYFUNCTION("""COMPUTED_VALUE"""),"{}")</f>
        <v>{}</v>
      </c>
      <c r="S320" s="148">
        <f>IFERROR(__xludf.DUMMYFUNCTION("""COMPUTED_VALUE"""),0.0)</f>
        <v>0</v>
      </c>
      <c r="T320" s="148" t="str">
        <f>IFERROR(__xludf.DUMMYFUNCTION("""COMPUTED_VALUE"""),"[]")</f>
        <v>[]</v>
      </c>
      <c r="U320" s="148">
        <f>IFERROR(__xludf.DUMMYFUNCTION("""COMPUTED_VALUE"""),0.0)</f>
        <v>0</v>
      </c>
      <c r="V320" s="148" t="str">
        <f>IFERROR(__xludf.DUMMYFUNCTION("""COMPUTED_VALUE"""),"{}")</f>
        <v>{}</v>
      </c>
      <c r="W320" s="148" t="str">
        <f>IFERROR(__xludf.DUMMYFUNCTION("""COMPUTED_VALUE"""),"[]")</f>
        <v>[]</v>
      </c>
      <c r="X320" s="148" t="str">
        <f>IFERROR(__xludf.DUMMYFUNCTION("""COMPUTED_VALUE"""),"[{""typ"":""power"",""id"":12141002,""val"":1}]")</f>
        <v>[{"typ":"power","id":12141002,"val":1}]</v>
      </c>
      <c r="Y320" s="148" t="str">
        <f>IFERROR(__xludf.DUMMYFUNCTION("""COMPUTED_VALUE"""),"[{""typ"":""atk"",""val"":60},{""typ"":""def"",""val"":125},{""typ"":""hp"",""val"":135},{""typ"":""speed"",""val"":50},{""typ"":""load"",""val"":20},{""typ"":""backcoef"",""val"":0.5},{""typ"":""atkcoef"",""val"":1.0},{""typ"":""atkcd"",""val"":0}]")</f>
        <v>[{"typ":"atk","val":60},{"typ":"def","val":125},{"typ":"hp","val":135},{"typ":"speed","val":50},{"typ":"load","val":20},{"typ":"backcoef","val":0.5},{"typ":"atkcoef","val":1.0},{"typ":"atkcd","val":0}]</v>
      </c>
      <c r="Z320" s="148" t="str">
        <f>IFERROR(__xludf.DUMMYFUNCTION("""COMPUTED_VALUE"""),"[]")</f>
        <v>[]</v>
      </c>
    </row>
    <row r="321">
      <c r="A321" s="148">
        <f>IFERROR(__xludf.DUMMYFUNCTION("""COMPUTED_VALUE"""),1.1219004E7)</f>
        <v>11219004</v>
      </c>
      <c r="B321" s="148" t="str">
        <f>IFERROR(__xludf.DUMMYFUNCTION("""COMPUTED_VALUE"""),"押镖单位-白怪4")</f>
        <v>押镖单位-白怪4</v>
      </c>
      <c r="C321" s="148">
        <f>IFERROR(__xludf.DUMMYFUNCTION("""COMPUTED_VALUE"""),1.1221004E7)</f>
        <v>11221004</v>
      </c>
      <c r="D321" s="148">
        <f>IFERROR(__xludf.DUMMYFUNCTION("""COMPUTED_VALUE"""),1.5110234E7)</f>
        <v>15110234</v>
      </c>
      <c r="E321" s="148" t="str">
        <f>IFERROR(__xludf.DUMMYFUNCTION("""COMPUTED_VALUE"""),"{""typ"":""lc"",""txt"":""LC_MAP_escort_monster_name1""}")</f>
        <v>{"typ":"lc","txt":"LC_MAP_escort_monster_name1"}</v>
      </c>
      <c r="F321" s="148" t="str">
        <f>IFERROR(__xludf.DUMMYFUNCTION("""COMPUTED_VALUE"""),"{""typ"":""lc"",""txt"":""LC_MAP_escort_monster_characteristics_desc1""}")</f>
        <v>{"typ":"lc","txt":"LC_MAP_escort_monster_characteristics_desc1"}</v>
      </c>
      <c r="G321" s="148">
        <f>IFERROR(__xludf.DUMMYFUNCTION("""COMPUTED_VALUE"""),10.0)</f>
        <v>10</v>
      </c>
      <c r="H321" s="148">
        <f>IFERROR(__xludf.DUMMYFUNCTION("""COMPUTED_VALUE"""),10099.0)</f>
        <v>10099</v>
      </c>
      <c r="I321" s="148">
        <f>IFERROR(__xludf.DUMMYFUNCTION("""COMPUTED_VALUE"""),10099.0)</f>
        <v>10099</v>
      </c>
      <c r="J321" s="148">
        <f>IFERROR(__xludf.DUMMYFUNCTION("""COMPUTED_VALUE"""),0.0)</f>
        <v>0</v>
      </c>
      <c r="K321" s="148">
        <f>IFERROR(__xludf.DUMMYFUNCTION("""COMPUTED_VALUE"""),10.0)</f>
        <v>10</v>
      </c>
      <c r="L321" s="148">
        <f>IFERROR(__xludf.DUMMYFUNCTION("""COMPUTED_VALUE"""),99.0)</f>
        <v>99</v>
      </c>
      <c r="M321" s="148">
        <f>IFERROR(__xludf.DUMMYFUNCTION("""COMPUTED_VALUE"""),0.0)</f>
        <v>0</v>
      </c>
      <c r="N321" s="148" t="str">
        <f>IFERROR(__xludf.DUMMYFUNCTION("""COMPUTED_VALUE"""),"[]")</f>
        <v>[]</v>
      </c>
      <c r="O321" s="148" t="str">
        <f>IFERROR(__xludf.DUMMYFUNCTION("""COMPUTED_VALUE"""),"{}")</f>
        <v>{}</v>
      </c>
      <c r="P321" s="148">
        <f>IFERROR(__xludf.DUMMYFUNCTION("""COMPUTED_VALUE"""),0.0)</f>
        <v>0</v>
      </c>
      <c r="Q321" s="148" t="str">
        <f>IFERROR(__xludf.DUMMYFUNCTION("""COMPUTED_VALUE"""),"[]")</f>
        <v>[]</v>
      </c>
      <c r="R321" s="148" t="str">
        <f>IFERROR(__xludf.DUMMYFUNCTION("""COMPUTED_VALUE"""),"{}")</f>
        <v>{}</v>
      </c>
      <c r="S321" s="148">
        <f>IFERROR(__xludf.DUMMYFUNCTION("""COMPUTED_VALUE"""),0.0)</f>
        <v>0</v>
      </c>
      <c r="T321" s="148" t="str">
        <f>IFERROR(__xludf.DUMMYFUNCTION("""COMPUTED_VALUE"""),"[]")</f>
        <v>[]</v>
      </c>
      <c r="U321" s="148">
        <f>IFERROR(__xludf.DUMMYFUNCTION("""COMPUTED_VALUE"""),0.0)</f>
        <v>0</v>
      </c>
      <c r="V321" s="148" t="str">
        <f>IFERROR(__xludf.DUMMYFUNCTION("""COMPUTED_VALUE"""),"{}")</f>
        <v>{}</v>
      </c>
      <c r="W321" s="148" t="str">
        <f>IFERROR(__xludf.DUMMYFUNCTION("""COMPUTED_VALUE"""),"[]")</f>
        <v>[]</v>
      </c>
      <c r="X321" s="148" t="str">
        <f>IFERROR(__xludf.DUMMYFUNCTION("""COMPUTED_VALUE"""),"[{""typ"":""power"",""id"":12141002,""val"":1}]")</f>
        <v>[{"typ":"power","id":12141002,"val":1}]</v>
      </c>
      <c r="Y321" s="148" t="str">
        <f>IFERROR(__xludf.DUMMYFUNCTION("""COMPUTED_VALUE"""),"[{""typ"":""atk"",""val"":150},{""typ"":""def"",""val"":125},{""typ"":""hp"",""val"":135},{""typ"":""speed"",""val"":50},{""typ"":""load"",""val"":20},{""typ"":""backcoef"",""val"":0.5},{""typ"":""atkcoef"",""val"":1.0},{""typ"":""atkcd"",""val"":0}]")</f>
        <v>[{"typ":"atk","val":150},{"typ":"def","val":125},{"typ":"hp","val":135},{"typ":"speed","val":50},{"typ":"load","val":20},{"typ":"backcoef","val":0.5},{"typ":"atkcoef","val":1.0},{"typ":"atkcd","val":0}]</v>
      </c>
      <c r="Z321" s="148" t="str">
        <f>IFERROR(__xludf.DUMMYFUNCTION("""COMPUTED_VALUE"""),"[]")</f>
        <v>[]</v>
      </c>
    </row>
    <row r="322">
      <c r="A322" s="148">
        <f>IFERROR(__xludf.DUMMYFUNCTION("""COMPUTED_VALUE"""),1.1219005E7)</f>
        <v>11219005</v>
      </c>
      <c r="B322" s="148" t="str">
        <f>IFERROR(__xludf.DUMMYFUNCTION("""COMPUTED_VALUE"""),"押镖单位-白怪5")</f>
        <v>押镖单位-白怪5</v>
      </c>
      <c r="C322" s="148">
        <f>IFERROR(__xludf.DUMMYFUNCTION("""COMPUTED_VALUE"""),1.1221004E7)</f>
        <v>11221004</v>
      </c>
      <c r="D322" s="148">
        <f>IFERROR(__xludf.DUMMYFUNCTION("""COMPUTED_VALUE"""),1.5110234E7)</f>
        <v>15110234</v>
      </c>
      <c r="E322" s="148" t="str">
        <f>IFERROR(__xludf.DUMMYFUNCTION("""COMPUTED_VALUE"""),"{""typ"":""lc"",""txt"":""LC_MAP_escort_monster_name1""}")</f>
        <v>{"typ":"lc","txt":"LC_MAP_escort_monster_name1"}</v>
      </c>
      <c r="F322" s="148" t="str">
        <f>IFERROR(__xludf.DUMMYFUNCTION("""COMPUTED_VALUE"""),"{""typ"":""lc"",""txt"":""LC_MAP_escort_monster_characteristics_desc1""}")</f>
        <v>{"typ":"lc","txt":"LC_MAP_escort_monster_characteristics_desc1"}</v>
      </c>
      <c r="G322" s="148">
        <f>IFERROR(__xludf.DUMMYFUNCTION("""COMPUTED_VALUE"""),10.0)</f>
        <v>10</v>
      </c>
      <c r="H322" s="148">
        <f>IFERROR(__xludf.DUMMYFUNCTION("""COMPUTED_VALUE"""),10099.0)</f>
        <v>10099</v>
      </c>
      <c r="I322" s="148">
        <f>IFERROR(__xludf.DUMMYFUNCTION("""COMPUTED_VALUE"""),10099.0)</f>
        <v>10099</v>
      </c>
      <c r="J322" s="148">
        <f>IFERROR(__xludf.DUMMYFUNCTION("""COMPUTED_VALUE"""),0.0)</f>
        <v>0</v>
      </c>
      <c r="K322" s="148">
        <f>IFERROR(__xludf.DUMMYFUNCTION("""COMPUTED_VALUE"""),10.0)</f>
        <v>10</v>
      </c>
      <c r="L322" s="148">
        <f>IFERROR(__xludf.DUMMYFUNCTION("""COMPUTED_VALUE"""),99.0)</f>
        <v>99</v>
      </c>
      <c r="M322" s="148">
        <f>IFERROR(__xludf.DUMMYFUNCTION("""COMPUTED_VALUE"""),0.0)</f>
        <v>0</v>
      </c>
      <c r="N322" s="148" t="str">
        <f>IFERROR(__xludf.DUMMYFUNCTION("""COMPUTED_VALUE"""),"[]")</f>
        <v>[]</v>
      </c>
      <c r="O322" s="148" t="str">
        <f>IFERROR(__xludf.DUMMYFUNCTION("""COMPUTED_VALUE"""),"{}")</f>
        <v>{}</v>
      </c>
      <c r="P322" s="148">
        <f>IFERROR(__xludf.DUMMYFUNCTION("""COMPUTED_VALUE"""),0.0)</f>
        <v>0</v>
      </c>
      <c r="Q322" s="148" t="str">
        <f>IFERROR(__xludf.DUMMYFUNCTION("""COMPUTED_VALUE"""),"[]")</f>
        <v>[]</v>
      </c>
      <c r="R322" s="148" t="str">
        <f>IFERROR(__xludf.DUMMYFUNCTION("""COMPUTED_VALUE"""),"{}")</f>
        <v>{}</v>
      </c>
      <c r="S322" s="148">
        <f>IFERROR(__xludf.DUMMYFUNCTION("""COMPUTED_VALUE"""),0.0)</f>
        <v>0</v>
      </c>
      <c r="T322" s="148" t="str">
        <f>IFERROR(__xludf.DUMMYFUNCTION("""COMPUTED_VALUE"""),"[]")</f>
        <v>[]</v>
      </c>
      <c r="U322" s="148">
        <f>IFERROR(__xludf.DUMMYFUNCTION("""COMPUTED_VALUE"""),0.0)</f>
        <v>0</v>
      </c>
      <c r="V322" s="148" t="str">
        <f>IFERROR(__xludf.DUMMYFUNCTION("""COMPUTED_VALUE"""),"{}")</f>
        <v>{}</v>
      </c>
      <c r="W322" s="148" t="str">
        <f>IFERROR(__xludf.DUMMYFUNCTION("""COMPUTED_VALUE"""),"[]")</f>
        <v>[]</v>
      </c>
      <c r="X322" s="148" t="str">
        <f>IFERROR(__xludf.DUMMYFUNCTION("""COMPUTED_VALUE"""),"[{""typ"":""power"",""id"":12141002,""val"":1}]")</f>
        <v>[{"typ":"power","id":12141002,"val":1}]</v>
      </c>
      <c r="Y322" s="148" t="str">
        <f>IFERROR(__xludf.DUMMYFUNCTION("""COMPUTED_VALUE"""),"[{""typ"":""atk"",""val"":200},{""typ"":""def"",""val"":125},{""typ"":""hp"",""val"":135},{""typ"":""speed"",""val"":50},{""typ"":""load"",""val"":20},{""typ"":""backcoef"",""val"":0.5},{""typ"":""atkcoef"",""val"":1.0},{""typ"":""atkcd"",""val"":0}]")</f>
        <v>[{"typ":"atk","val":200},{"typ":"def","val":125},{"typ":"hp","val":135},{"typ":"speed","val":50},{"typ":"load","val":20},{"typ":"backcoef","val":0.5},{"typ":"atkcoef","val":1.0},{"typ":"atkcd","val":0}]</v>
      </c>
      <c r="Z322" s="148" t="str">
        <f>IFERROR(__xludf.DUMMYFUNCTION("""COMPUTED_VALUE"""),"[]")</f>
        <v>[]</v>
      </c>
    </row>
    <row r="323">
      <c r="A323" s="148">
        <f>IFERROR(__xludf.DUMMYFUNCTION("""COMPUTED_VALUE"""),1.1219006E7)</f>
        <v>11219006</v>
      </c>
      <c r="B323" s="148" t="str">
        <f>IFERROR(__xludf.DUMMYFUNCTION("""COMPUTED_VALUE"""),"押镖单位-绿怪1")</f>
        <v>押镖单位-绿怪1</v>
      </c>
      <c r="C323" s="148">
        <f>IFERROR(__xludf.DUMMYFUNCTION("""COMPUTED_VALUE"""),1.1221004E7)</f>
        <v>11221004</v>
      </c>
      <c r="D323" s="148">
        <f>IFERROR(__xludf.DUMMYFUNCTION("""COMPUTED_VALUE"""),1.5113E7)</f>
        <v>15113000</v>
      </c>
      <c r="E323" s="148" t="str">
        <f>IFERROR(__xludf.DUMMYFUNCTION("""COMPUTED_VALUE"""),"{""typ"":""lc"",""txt"":""LC_MAP_escort_monster_name2""}")</f>
        <v>{"typ":"lc","txt":"LC_MAP_escort_monster_name2"}</v>
      </c>
      <c r="F323" s="148" t="str">
        <f>IFERROR(__xludf.DUMMYFUNCTION("""COMPUTED_VALUE"""),"{""typ"":""lc"",""txt"":""LC_MAP_escort_monster_characteristics_desc2""}")</f>
        <v>{"typ":"lc","txt":"LC_MAP_escort_monster_characteristics_desc2"}</v>
      </c>
      <c r="G323" s="148">
        <f>IFERROR(__xludf.DUMMYFUNCTION("""COMPUTED_VALUE"""),10.0)</f>
        <v>10</v>
      </c>
      <c r="H323" s="148">
        <f>IFERROR(__xludf.DUMMYFUNCTION("""COMPUTED_VALUE"""),10099.0)</f>
        <v>10099</v>
      </c>
      <c r="I323" s="148">
        <f>IFERROR(__xludf.DUMMYFUNCTION("""COMPUTED_VALUE"""),10099.0)</f>
        <v>10099</v>
      </c>
      <c r="J323" s="148">
        <f>IFERROR(__xludf.DUMMYFUNCTION("""COMPUTED_VALUE"""),0.0)</f>
        <v>0</v>
      </c>
      <c r="K323" s="148">
        <f>IFERROR(__xludf.DUMMYFUNCTION("""COMPUTED_VALUE"""),10.0)</f>
        <v>10</v>
      </c>
      <c r="L323" s="148">
        <f>IFERROR(__xludf.DUMMYFUNCTION("""COMPUTED_VALUE"""),99.0)</f>
        <v>99</v>
      </c>
      <c r="M323" s="148">
        <f>IFERROR(__xludf.DUMMYFUNCTION("""COMPUTED_VALUE"""),0.0)</f>
        <v>0</v>
      </c>
      <c r="N323" s="148" t="str">
        <f>IFERROR(__xludf.DUMMYFUNCTION("""COMPUTED_VALUE"""),"[]")</f>
        <v>[]</v>
      </c>
      <c r="O323" s="148" t="str">
        <f>IFERROR(__xludf.DUMMYFUNCTION("""COMPUTED_VALUE"""),"{}")</f>
        <v>{}</v>
      </c>
      <c r="P323" s="148">
        <f>IFERROR(__xludf.DUMMYFUNCTION("""COMPUTED_VALUE"""),0.0)</f>
        <v>0</v>
      </c>
      <c r="Q323" s="148" t="str">
        <f>IFERROR(__xludf.DUMMYFUNCTION("""COMPUTED_VALUE"""),"[]")</f>
        <v>[]</v>
      </c>
      <c r="R323" s="148" t="str">
        <f>IFERROR(__xludf.DUMMYFUNCTION("""COMPUTED_VALUE"""),"{}")</f>
        <v>{}</v>
      </c>
      <c r="S323" s="148">
        <f>IFERROR(__xludf.DUMMYFUNCTION("""COMPUTED_VALUE"""),0.0)</f>
        <v>0</v>
      </c>
      <c r="T323" s="148" t="str">
        <f>IFERROR(__xludf.DUMMYFUNCTION("""COMPUTED_VALUE"""),"[]")</f>
        <v>[]</v>
      </c>
      <c r="U323" s="148">
        <f>IFERROR(__xludf.DUMMYFUNCTION("""COMPUTED_VALUE"""),0.0)</f>
        <v>0</v>
      </c>
      <c r="V323" s="148" t="str">
        <f>IFERROR(__xludf.DUMMYFUNCTION("""COMPUTED_VALUE"""),"{}")</f>
        <v>{}</v>
      </c>
      <c r="W323" s="148" t="str">
        <f>IFERROR(__xludf.DUMMYFUNCTION("""COMPUTED_VALUE"""),"[]")</f>
        <v>[]</v>
      </c>
      <c r="X323" s="148" t="str">
        <f>IFERROR(__xludf.DUMMYFUNCTION("""COMPUTED_VALUE"""),"[{""typ"":""power"",""id"":12141002,""val"":2}]")</f>
        <v>[{"typ":"power","id":12141002,"val":2}]</v>
      </c>
      <c r="Y323" s="148" t="str">
        <f>IFERROR(__xludf.DUMMYFUNCTION("""COMPUTED_VALUE"""),"[{""typ"":""atk"",""val"":15},{""typ"":""def"",""val"":125},{""typ"":""hp"",""val"":135},{""typ"":""speed"",""val"":50},{""typ"":""load"",""val"":20},{""typ"":""backcoef"",""val"":0.5},{""typ"":""atkcoef"",""val"":1.0},{""typ"":""atkcd"",""val"":0}]")</f>
        <v>[{"typ":"atk","val":15},{"typ":"def","val":125},{"typ":"hp","val":135},{"typ":"speed","val":50},{"typ":"load","val":20},{"typ":"backcoef","val":0.5},{"typ":"atkcoef","val":1.0},{"typ":"atkcd","val":0}]</v>
      </c>
      <c r="Z323" s="148" t="str">
        <f>IFERROR(__xludf.DUMMYFUNCTION("""COMPUTED_VALUE"""),"[]")</f>
        <v>[]</v>
      </c>
    </row>
    <row r="324">
      <c r="A324" s="148">
        <f>IFERROR(__xludf.DUMMYFUNCTION("""COMPUTED_VALUE"""),1.1219007E7)</f>
        <v>11219007</v>
      </c>
      <c r="B324" s="148" t="str">
        <f>IFERROR(__xludf.DUMMYFUNCTION("""COMPUTED_VALUE"""),"押镖单位-绿怪2")</f>
        <v>押镖单位-绿怪2</v>
      </c>
      <c r="C324" s="148">
        <f>IFERROR(__xludf.DUMMYFUNCTION("""COMPUTED_VALUE"""),1.1221004E7)</f>
        <v>11221004</v>
      </c>
      <c r="D324" s="148">
        <f>IFERROR(__xludf.DUMMYFUNCTION("""COMPUTED_VALUE"""),1.5113E7)</f>
        <v>15113000</v>
      </c>
      <c r="E324" s="148" t="str">
        <f>IFERROR(__xludf.DUMMYFUNCTION("""COMPUTED_VALUE"""),"{""typ"":""lc"",""txt"":""LC_MAP_escort_monster_name2""}")</f>
        <v>{"typ":"lc","txt":"LC_MAP_escort_monster_name2"}</v>
      </c>
      <c r="F324" s="148" t="str">
        <f>IFERROR(__xludf.DUMMYFUNCTION("""COMPUTED_VALUE"""),"{""typ"":""lc"",""txt"":""LC_MAP_escort_monster_characteristics_desc2""}")</f>
        <v>{"typ":"lc","txt":"LC_MAP_escort_monster_characteristics_desc2"}</v>
      </c>
      <c r="G324" s="148">
        <f>IFERROR(__xludf.DUMMYFUNCTION("""COMPUTED_VALUE"""),10.0)</f>
        <v>10</v>
      </c>
      <c r="H324" s="148">
        <f>IFERROR(__xludf.DUMMYFUNCTION("""COMPUTED_VALUE"""),10099.0)</f>
        <v>10099</v>
      </c>
      <c r="I324" s="148">
        <f>IFERROR(__xludf.DUMMYFUNCTION("""COMPUTED_VALUE"""),10099.0)</f>
        <v>10099</v>
      </c>
      <c r="J324" s="148">
        <f>IFERROR(__xludf.DUMMYFUNCTION("""COMPUTED_VALUE"""),0.0)</f>
        <v>0</v>
      </c>
      <c r="K324" s="148">
        <f>IFERROR(__xludf.DUMMYFUNCTION("""COMPUTED_VALUE"""),10.0)</f>
        <v>10</v>
      </c>
      <c r="L324" s="148">
        <f>IFERROR(__xludf.DUMMYFUNCTION("""COMPUTED_VALUE"""),99.0)</f>
        <v>99</v>
      </c>
      <c r="M324" s="148">
        <f>IFERROR(__xludf.DUMMYFUNCTION("""COMPUTED_VALUE"""),0.0)</f>
        <v>0</v>
      </c>
      <c r="N324" s="148" t="str">
        <f>IFERROR(__xludf.DUMMYFUNCTION("""COMPUTED_VALUE"""),"[]")</f>
        <v>[]</v>
      </c>
      <c r="O324" s="148" t="str">
        <f>IFERROR(__xludf.DUMMYFUNCTION("""COMPUTED_VALUE"""),"{}")</f>
        <v>{}</v>
      </c>
      <c r="P324" s="148">
        <f>IFERROR(__xludf.DUMMYFUNCTION("""COMPUTED_VALUE"""),0.0)</f>
        <v>0</v>
      </c>
      <c r="Q324" s="148" t="str">
        <f>IFERROR(__xludf.DUMMYFUNCTION("""COMPUTED_VALUE"""),"[]")</f>
        <v>[]</v>
      </c>
      <c r="R324" s="148" t="str">
        <f>IFERROR(__xludf.DUMMYFUNCTION("""COMPUTED_VALUE"""),"{}")</f>
        <v>{}</v>
      </c>
      <c r="S324" s="148">
        <f>IFERROR(__xludf.DUMMYFUNCTION("""COMPUTED_VALUE"""),0.0)</f>
        <v>0</v>
      </c>
      <c r="T324" s="148" t="str">
        <f>IFERROR(__xludf.DUMMYFUNCTION("""COMPUTED_VALUE"""),"[]")</f>
        <v>[]</v>
      </c>
      <c r="U324" s="148">
        <f>IFERROR(__xludf.DUMMYFUNCTION("""COMPUTED_VALUE"""),0.0)</f>
        <v>0</v>
      </c>
      <c r="V324" s="148" t="str">
        <f>IFERROR(__xludf.DUMMYFUNCTION("""COMPUTED_VALUE"""),"{}")</f>
        <v>{}</v>
      </c>
      <c r="W324" s="148" t="str">
        <f>IFERROR(__xludf.DUMMYFUNCTION("""COMPUTED_VALUE"""),"[]")</f>
        <v>[]</v>
      </c>
      <c r="X324" s="148" t="str">
        <f>IFERROR(__xludf.DUMMYFUNCTION("""COMPUTED_VALUE"""),"[{""typ"":""power"",""id"":12141002,""val"":2}]")</f>
        <v>[{"typ":"power","id":12141002,"val":2}]</v>
      </c>
      <c r="Y324" s="148" t="str">
        <f>IFERROR(__xludf.DUMMYFUNCTION("""COMPUTED_VALUE"""),"[{""typ"":""atk"",""val"":30},{""typ"":""def"",""val"":125},{""typ"":""hp"",""val"":135},{""typ"":""speed"",""val"":50},{""typ"":""load"",""val"":20},{""typ"":""backcoef"",""val"":0.5},{""typ"":""atkcoef"",""val"":1.0},{""typ"":""atkcd"",""val"":0}]")</f>
        <v>[{"typ":"atk","val":30},{"typ":"def","val":125},{"typ":"hp","val":135},{"typ":"speed","val":50},{"typ":"load","val":20},{"typ":"backcoef","val":0.5},{"typ":"atkcoef","val":1.0},{"typ":"atkcd","val":0}]</v>
      </c>
      <c r="Z324" s="148" t="str">
        <f>IFERROR(__xludf.DUMMYFUNCTION("""COMPUTED_VALUE"""),"[]")</f>
        <v>[]</v>
      </c>
    </row>
    <row r="325">
      <c r="A325" s="148">
        <f>IFERROR(__xludf.DUMMYFUNCTION("""COMPUTED_VALUE"""),1.1219008E7)</f>
        <v>11219008</v>
      </c>
      <c r="B325" s="148" t="str">
        <f>IFERROR(__xludf.DUMMYFUNCTION("""COMPUTED_VALUE"""),"押镖单位-绿怪3")</f>
        <v>押镖单位-绿怪3</v>
      </c>
      <c r="C325" s="148">
        <f>IFERROR(__xludf.DUMMYFUNCTION("""COMPUTED_VALUE"""),1.1221004E7)</f>
        <v>11221004</v>
      </c>
      <c r="D325" s="148">
        <f>IFERROR(__xludf.DUMMYFUNCTION("""COMPUTED_VALUE"""),1.5113E7)</f>
        <v>15113000</v>
      </c>
      <c r="E325" s="148" t="str">
        <f>IFERROR(__xludf.DUMMYFUNCTION("""COMPUTED_VALUE"""),"{""typ"":""lc"",""txt"":""LC_MAP_escort_monster_name2""}")</f>
        <v>{"typ":"lc","txt":"LC_MAP_escort_monster_name2"}</v>
      </c>
      <c r="F325" s="148" t="str">
        <f>IFERROR(__xludf.DUMMYFUNCTION("""COMPUTED_VALUE"""),"{""typ"":""lc"",""txt"":""LC_MAP_escort_monster_characteristics_desc2""}")</f>
        <v>{"typ":"lc","txt":"LC_MAP_escort_monster_characteristics_desc2"}</v>
      </c>
      <c r="G325" s="148">
        <f>IFERROR(__xludf.DUMMYFUNCTION("""COMPUTED_VALUE"""),10.0)</f>
        <v>10</v>
      </c>
      <c r="H325" s="148">
        <f>IFERROR(__xludf.DUMMYFUNCTION("""COMPUTED_VALUE"""),10099.0)</f>
        <v>10099</v>
      </c>
      <c r="I325" s="148">
        <f>IFERROR(__xludf.DUMMYFUNCTION("""COMPUTED_VALUE"""),10099.0)</f>
        <v>10099</v>
      </c>
      <c r="J325" s="148">
        <f>IFERROR(__xludf.DUMMYFUNCTION("""COMPUTED_VALUE"""),0.0)</f>
        <v>0</v>
      </c>
      <c r="K325" s="148">
        <f>IFERROR(__xludf.DUMMYFUNCTION("""COMPUTED_VALUE"""),10.0)</f>
        <v>10</v>
      </c>
      <c r="L325" s="148">
        <f>IFERROR(__xludf.DUMMYFUNCTION("""COMPUTED_VALUE"""),99.0)</f>
        <v>99</v>
      </c>
      <c r="M325" s="148">
        <f>IFERROR(__xludf.DUMMYFUNCTION("""COMPUTED_VALUE"""),0.0)</f>
        <v>0</v>
      </c>
      <c r="N325" s="148" t="str">
        <f>IFERROR(__xludf.DUMMYFUNCTION("""COMPUTED_VALUE"""),"[]")</f>
        <v>[]</v>
      </c>
      <c r="O325" s="148" t="str">
        <f>IFERROR(__xludf.DUMMYFUNCTION("""COMPUTED_VALUE"""),"{}")</f>
        <v>{}</v>
      </c>
      <c r="P325" s="148">
        <f>IFERROR(__xludf.DUMMYFUNCTION("""COMPUTED_VALUE"""),0.0)</f>
        <v>0</v>
      </c>
      <c r="Q325" s="148" t="str">
        <f>IFERROR(__xludf.DUMMYFUNCTION("""COMPUTED_VALUE"""),"[]")</f>
        <v>[]</v>
      </c>
      <c r="R325" s="148" t="str">
        <f>IFERROR(__xludf.DUMMYFUNCTION("""COMPUTED_VALUE"""),"{}")</f>
        <v>{}</v>
      </c>
      <c r="S325" s="148">
        <f>IFERROR(__xludf.DUMMYFUNCTION("""COMPUTED_VALUE"""),0.0)</f>
        <v>0</v>
      </c>
      <c r="T325" s="148" t="str">
        <f>IFERROR(__xludf.DUMMYFUNCTION("""COMPUTED_VALUE"""),"[]")</f>
        <v>[]</v>
      </c>
      <c r="U325" s="148">
        <f>IFERROR(__xludf.DUMMYFUNCTION("""COMPUTED_VALUE"""),0.0)</f>
        <v>0</v>
      </c>
      <c r="V325" s="148" t="str">
        <f>IFERROR(__xludf.DUMMYFUNCTION("""COMPUTED_VALUE"""),"{}")</f>
        <v>{}</v>
      </c>
      <c r="W325" s="148" t="str">
        <f>IFERROR(__xludf.DUMMYFUNCTION("""COMPUTED_VALUE"""),"[]")</f>
        <v>[]</v>
      </c>
      <c r="X325" s="148" t="str">
        <f>IFERROR(__xludf.DUMMYFUNCTION("""COMPUTED_VALUE"""),"[{""typ"":""power"",""id"":12141002,""val"":2}]")</f>
        <v>[{"typ":"power","id":12141002,"val":2}]</v>
      </c>
      <c r="Y325" s="148" t="str">
        <f>IFERROR(__xludf.DUMMYFUNCTION("""COMPUTED_VALUE"""),"[{""typ"":""atk"",""val"":60},{""typ"":""def"",""val"":125},{""typ"":""hp"",""val"":135},{""typ"":""speed"",""val"":50},{""typ"":""load"",""val"":20},{""typ"":""backcoef"",""val"":0.5},{""typ"":""atkcoef"",""val"":1.0},{""typ"":""atkcd"",""val"":0}]")</f>
        <v>[{"typ":"atk","val":60},{"typ":"def","val":125},{"typ":"hp","val":135},{"typ":"speed","val":50},{"typ":"load","val":20},{"typ":"backcoef","val":0.5},{"typ":"atkcoef","val":1.0},{"typ":"atkcd","val":0}]</v>
      </c>
      <c r="Z325" s="148" t="str">
        <f>IFERROR(__xludf.DUMMYFUNCTION("""COMPUTED_VALUE"""),"[]")</f>
        <v>[]</v>
      </c>
    </row>
    <row r="326">
      <c r="A326" s="148">
        <f>IFERROR(__xludf.DUMMYFUNCTION("""COMPUTED_VALUE"""),1.1219009E7)</f>
        <v>11219009</v>
      </c>
      <c r="B326" s="148" t="str">
        <f>IFERROR(__xludf.DUMMYFUNCTION("""COMPUTED_VALUE"""),"押镖单位-绿怪4")</f>
        <v>押镖单位-绿怪4</v>
      </c>
      <c r="C326" s="148">
        <f>IFERROR(__xludf.DUMMYFUNCTION("""COMPUTED_VALUE"""),1.1221004E7)</f>
        <v>11221004</v>
      </c>
      <c r="D326" s="148">
        <f>IFERROR(__xludf.DUMMYFUNCTION("""COMPUTED_VALUE"""),1.5113E7)</f>
        <v>15113000</v>
      </c>
      <c r="E326" s="148" t="str">
        <f>IFERROR(__xludf.DUMMYFUNCTION("""COMPUTED_VALUE"""),"{""typ"":""lc"",""txt"":""LC_MAP_escort_monster_name2""}")</f>
        <v>{"typ":"lc","txt":"LC_MAP_escort_monster_name2"}</v>
      </c>
      <c r="F326" s="148" t="str">
        <f>IFERROR(__xludf.DUMMYFUNCTION("""COMPUTED_VALUE"""),"{""typ"":""lc"",""txt"":""LC_MAP_escort_monster_characteristics_desc2""}")</f>
        <v>{"typ":"lc","txt":"LC_MAP_escort_monster_characteristics_desc2"}</v>
      </c>
      <c r="G326" s="148">
        <f>IFERROR(__xludf.DUMMYFUNCTION("""COMPUTED_VALUE"""),10.0)</f>
        <v>10</v>
      </c>
      <c r="H326" s="148">
        <f>IFERROR(__xludf.DUMMYFUNCTION("""COMPUTED_VALUE"""),10099.0)</f>
        <v>10099</v>
      </c>
      <c r="I326" s="148">
        <f>IFERROR(__xludf.DUMMYFUNCTION("""COMPUTED_VALUE"""),10099.0)</f>
        <v>10099</v>
      </c>
      <c r="J326" s="148">
        <f>IFERROR(__xludf.DUMMYFUNCTION("""COMPUTED_VALUE"""),0.0)</f>
        <v>0</v>
      </c>
      <c r="K326" s="148">
        <f>IFERROR(__xludf.DUMMYFUNCTION("""COMPUTED_VALUE"""),10.0)</f>
        <v>10</v>
      </c>
      <c r="L326" s="148">
        <f>IFERROR(__xludf.DUMMYFUNCTION("""COMPUTED_VALUE"""),99.0)</f>
        <v>99</v>
      </c>
      <c r="M326" s="148">
        <f>IFERROR(__xludf.DUMMYFUNCTION("""COMPUTED_VALUE"""),0.0)</f>
        <v>0</v>
      </c>
      <c r="N326" s="148" t="str">
        <f>IFERROR(__xludf.DUMMYFUNCTION("""COMPUTED_VALUE"""),"[]")</f>
        <v>[]</v>
      </c>
      <c r="O326" s="148" t="str">
        <f>IFERROR(__xludf.DUMMYFUNCTION("""COMPUTED_VALUE"""),"{}")</f>
        <v>{}</v>
      </c>
      <c r="P326" s="148">
        <f>IFERROR(__xludf.DUMMYFUNCTION("""COMPUTED_VALUE"""),0.0)</f>
        <v>0</v>
      </c>
      <c r="Q326" s="148" t="str">
        <f>IFERROR(__xludf.DUMMYFUNCTION("""COMPUTED_VALUE"""),"[]")</f>
        <v>[]</v>
      </c>
      <c r="R326" s="148" t="str">
        <f>IFERROR(__xludf.DUMMYFUNCTION("""COMPUTED_VALUE"""),"{}")</f>
        <v>{}</v>
      </c>
      <c r="S326" s="148">
        <f>IFERROR(__xludf.DUMMYFUNCTION("""COMPUTED_VALUE"""),0.0)</f>
        <v>0</v>
      </c>
      <c r="T326" s="148" t="str">
        <f>IFERROR(__xludf.DUMMYFUNCTION("""COMPUTED_VALUE"""),"[]")</f>
        <v>[]</v>
      </c>
      <c r="U326" s="148">
        <f>IFERROR(__xludf.DUMMYFUNCTION("""COMPUTED_VALUE"""),0.0)</f>
        <v>0</v>
      </c>
      <c r="V326" s="148" t="str">
        <f>IFERROR(__xludf.DUMMYFUNCTION("""COMPUTED_VALUE"""),"{}")</f>
        <v>{}</v>
      </c>
      <c r="W326" s="148" t="str">
        <f>IFERROR(__xludf.DUMMYFUNCTION("""COMPUTED_VALUE"""),"[]")</f>
        <v>[]</v>
      </c>
      <c r="X326" s="148" t="str">
        <f>IFERROR(__xludf.DUMMYFUNCTION("""COMPUTED_VALUE"""),"[{""typ"":""power"",""id"":12141002,""val"":2}]")</f>
        <v>[{"typ":"power","id":12141002,"val":2}]</v>
      </c>
      <c r="Y326" s="148" t="str">
        <f>IFERROR(__xludf.DUMMYFUNCTION("""COMPUTED_VALUE"""),"[{""typ"":""atk"",""val"":150},{""typ"":""def"",""val"":125},{""typ"":""hp"",""val"":135},{""typ"":""speed"",""val"":50},{""typ"":""load"",""val"":20},{""typ"":""backcoef"",""val"":0.5},{""typ"":""atkcoef"",""val"":1.0},{""typ"":""atkcd"",""val"":0}]")</f>
        <v>[{"typ":"atk","val":150},{"typ":"def","val":125},{"typ":"hp","val":135},{"typ":"speed","val":50},{"typ":"load","val":20},{"typ":"backcoef","val":0.5},{"typ":"atkcoef","val":1.0},{"typ":"atkcd","val":0}]</v>
      </c>
      <c r="Z326" s="148" t="str">
        <f>IFERROR(__xludf.DUMMYFUNCTION("""COMPUTED_VALUE"""),"[]")</f>
        <v>[]</v>
      </c>
    </row>
    <row r="327">
      <c r="A327" s="148">
        <f>IFERROR(__xludf.DUMMYFUNCTION("""COMPUTED_VALUE"""),1.121901E7)</f>
        <v>11219010</v>
      </c>
      <c r="B327" s="148" t="str">
        <f>IFERROR(__xludf.DUMMYFUNCTION("""COMPUTED_VALUE"""),"押镖单位-绿怪5")</f>
        <v>押镖单位-绿怪5</v>
      </c>
      <c r="C327" s="148">
        <f>IFERROR(__xludf.DUMMYFUNCTION("""COMPUTED_VALUE"""),1.1221004E7)</f>
        <v>11221004</v>
      </c>
      <c r="D327" s="148">
        <f>IFERROR(__xludf.DUMMYFUNCTION("""COMPUTED_VALUE"""),1.5113E7)</f>
        <v>15113000</v>
      </c>
      <c r="E327" s="148" t="str">
        <f>IFERROR(__xludf.DUMMYFUNCTION("""COMPUTED_VALUE"""),"{""typ"":""lc"",""txt"":""LC_MAP_escort_monster_name2""}")</f>
        <v>{"typ":"lc","txt":"LC_MAP_escort_monster_name2"}</v>
      </c>
      <c r="F327" s="148" t="str">
        <f>IFERROR(__xludf.DUMMYFUNCTION("""COMPUTED_VALUE"""),"{""typ"":""lc"",""txt"":""LC_MAP_escort_monster_characteristics_desc2""}")</f>
        <v>{"typ":"lc","txt":"LC_MAP_escort_monster_characteristics_desc2"}</v>
      </c>
      <c r="G327" s="148">
        <f>IFERROR(__xludf.DUMMYFUNCTION("""COMPUTED_VALUE"""),10.0)</f>
        <v>10</v>
      </c>
      <c r="H327" s="148">
        <f>IFERROR(__xludf.DUMMYFUNCTION("""COMPUTED_VALUE"""),10099.0)</f>
        <v>10099</v>
      </c>
      <c r="I327" s="148">
        <f>IFERROR(__xludf.DUMMYFUNCTION("""COMPUTED_VALUE"""),10099.0)</f>
        <v>10099</v>
      </c>
      <c r="J327" s="148">
        <f>IFERROR(__xludf.DUMMYFUNCTION("""COMPUTED_VALUE"""),0.0)</f>
        <v>0</v>
      </c>
      <c r="K327" s="148">
        <f>IFERROR(__xludf.DUMMYFUNCTION("""COMPUTED_VALUE"""),10.0)</f>
        <v>10</v>
      </c>
      <c r="L327" s="148">
        <f>IFERROR(__xludf.DUMMYFUNCTION("""COMPUTED_VALUE"""),99.0)</f>
        <v>99</v>
      </c>
      <c r="M327" s="148">
        <f>IFERROR(__xludf.DUMMYFUNCTION("""COMPUTED_VALUE"""),0.0)</f>
        <v>0</v>
      </c>
      <c r="N327" s="148" t="str">
        <f>IFERROR(__xludf.DUMMYFUNCTION("""COMPUTED_VALUE"""),"[]")</f>
        <v>[]</v>
      </c>
      <c r="O327" s="148" t="str">
        <f>IFERROR(__xludf.DUMMYFUNCTION("""COMPUTED_VALUE"""),"{}")</f>
        <v>{}</v>
      </c>
      <c r="P327" s="148">
        <f>IFERROR(__xludf.DUMMYFUNCTION("""COMPUTED_VALUE"""),0.0)</f>
        <v>0</v>
      </c>
      <c r="Q327" s="148" t="str">
        <f>IFERROR(__xludf.DUMMYFUNCTION("""COMPUTED_VALUE"""),"[]")</f>
        <v>[]</v>
      </c>
      <c r="R327" s="148" t="str">
        <f>IFERROR(__xludf.DUMMYFUNCTION("""COMPUTED_VALUE"""),"{}")</f>
        <v>{}</v>
      </c>
      <c r="S327" s="148">
        <f>IFERROR(__xludf.DUMMYFUNCTION("""COMPUTED_VALUE"""),0.0)</f>
        <v>0</v>
      </c>
      <c r="T327" s="148" t="str">
        <f>IFERROR(__xludf.DUMMYFUNCTION("""COMPUTED_VALUE"""),"[]")</f>
        <v>[]</v>
      </c>
      <c r="U327" s="148">
        <f>IFERROR(__xludf.DUMMYFUNCTION("""COMPUTED_VALUE"""),0.0)</f>
        <v>0</v>
      </c>
      <c r="V327" s="148" t="str">
        <f>IFERROR(__xludf.DUMMYFUNCTION("""COMPUTED_VALUE"""),"{}")</f>
        <v>{}</v>
      </c>
      <c r="W327" s="148" t="str">
        <f>IFERROR(__xludf.DUMMYFUNCTION("""COMPUTED_VALUE"""),"[]")</f>
        <v>[]</v>
      </c>
      <c r="X327" s="148" t="str">
        <f>IFERROR(__xludf.DUMMYFUNCTION("""COMPUTED_VALUE"""),"[{""typ"":""power"",""id"":12141002,""val"":2}]")</f>
        <v>[{"typ":"power","id":12141002,"val":2}]</v>
      </c>
      <c r="Y327" s="148" t="str">
        <f>IFERROR(__xludf.DUMMYFUNCTION("""COMPUTED_VALUE"""),"[{""typ"":""atk"",""val"":200},{""typ"":""def"",""val"":125},{""typ"":""hp"",""val"":135},{""typ"":""speed"",""val"":50},{""typ"":""load"",""val"":20},{""typ"":""backcoef"",""val"":0.5},{""typ"":""atkcoef"",""val"":1.0},{""typ"":""atkcd"",""val"":0}]")</f>
        <v>[{"typ":"atk","val":200},{"typ":"def","val":125},{"typ":"hp","val":135},{"typ":"speed","val":50},{"typ":"load","val":20},{"typ":"backcoef","val":0.5},{"typ":"atkcoef","val":1.0},{"typ":"atkcd","val":0}]</v>
      </c>
      <c r="Z327" s="148" t="str">
        <f>IFERROR(__xludf.DUMMYFUNCTION("""COMPUTED_VALUE"""),"[]")</f>
        <v>[]</v>
      </c>
    </row>
    <row r="328">
      <c r="A328" s="148">
        <f>IFERROR(__xludf.DUMMYFUNCTION("""COMPUTED_VALUE"""),1.1219011E7)</f>
        <v>11219011</v>
      </c>
      <c r="B328" s="148" t="str">
        <f>IFERROR(__xludf.DUMMYFUNCTION("""COMPUTED_VALUE"""),"押镖单位-精英1")</f>
        <v>押镖单位-精英1</v>
      </c>
      <c r="C328" s="148">
        <f>IFERROR(__xludf.DUMMYFUNCTION("""COMPUTED_VALUE"""),1.1221004E7)</f>
        <v>11221004</v>
      </c>
      <c r="D328" s="148">
        <f>IFERROR(__xludf.DUMMYFUNCTION("""COMPUTED_VALUE"""),1.5111041E7)</f>
        <v>15111041</v>
      </c>
      <c r="E328" s="148" t="str">
        <f>IFERROR(__xludf.DUMMYFUNCTION("""COMPUTED_VALUE"""),"{""typ"":""lc"",""txt"":""LC_MAP_escort_monster_name3""}")</f>
        <v>{"typ":"lc","txt":"LC_MAP_escort_monster_name3"}</v>
      </c>
      <c r="F328" s="148" t="str">
        <f>IFERROR(__xludf.DUMMYFUNCTION("""COMPUTED_VALUE"""),"{""typ"":""lc"",""txt"":""LC_MAP_escort_map_pop_ups_desc""}")</f>
        <v>{"typ":"lc","txt":"LC_MAP_escort_map_pop_ups_desc"}</v>
      </c>
      <c r="G328" s="148">
        <f>IFERROR(__xludf.DUMMYFUNCTION("""COMPUTED_VALUE"""),10.0)</f>
        <v>10</v>
      </c>
      <c r="H328" s="148">
        <f>IFERROR(__xludf.DUMMYFUNCTION("""COMPUTED_VALUE"""),10099.0)</f>
        <v>10099</v>
      </c>
      <c r="I328" s="148">
        <f>IFERROR(__xludf.DUMMYFUNCTION("""COMPUTED_VALUE"""),10099.0)</f>
        <v>10099</v>
      </c>
      <c r="J328" s="148">
        <f>IFERROR(__xludf.DUMMYFUNCTION("""COMPUTED_VALUE"""),0.0)</f>
        <v>0</v>
      </c>
      <c r="K328" s="148">
        <f>IFERROR(__xludf.DUMMYFUNCTION("""COMPUTED_VALUE"""),10.0)</f>
        <v>10</v>
      </c>
      <c r="L328" s="148">
        <f>IFERROR(__xludf.DUMMYFUNCTION("""COMPUTED_VALUE"""),99.0)</f>
        <v>99</v>
      </c>
      <c r="M328" s="148">
        <f>IFERROR(__xludf.DUMMYFUNCTION("""COMPUTED_VALUE"""),0.0)</f>
        <v>0</v>
      </c>
      <c r="N328" s="148" t="str">
        <f>IFERROR(__xludf.DUMMYFUNCTION("""COMPUTED_VALUE"""),"[]")</f>
        <v>[]</v>
      </c>
      <c r="O328" s="148" t="str">
        <f>IFERROR(__xludf.DUMMYFUNCTION("""COMPUTED_VALUE"""),"{}")</f>
        <v>{}</v>
      </c>
      <c r="P328" s="148">
        <f>IFERROR(__xludf.DUMMYFUNCTION("""COMPUTED_VALUE"""),0.0)</f>
        <v>0</v>
      </c>
      <c r="Q328" s="148" t="str">
        <f>IFERROR(__xludf.DUMMYFUNCTION("""COMPUTED_VALUE"""),"[]")</f>
        <v>[]</v>
      </c>
      <c r="R328" s="148" t="str">
        <f>IFERROR(__xludf.DUMMYFUNCTION("""COMPUTED_VALUE"""),"{}")</f>
        <v>{}</v>
      </c>
      <c r="S328" s="148">
        <f>IFERROR(__xludf.DUMMYFUNCTION("""COMPUTED_VALUE"""),0.0)</f>
        <v>0</v>
      </c>
      <c r="T328" s="148" t="str">
        <f>IFERROR(__xludf.DUMMYFUNCTION("""COMPUTED_VALUE"""),"[]")</f>
        <v>[]</v>
      </c>
      <c r="U328" s="148">
        <f>IFERROR(__xludf.DUMMYFUNCTION("""COMPUTED_VALUE"""),0.0)</f>
        <v>0</v>
      </c>
      <c r="V328" s="148" t="str">
        <f>IFERROR(__xludf.DUMMYFUNCTION("""COMPUTED_VALUE"""),"{}")</f>
        <v>{}</v>
      </c>
      <c r="W328" s="148" t="str">
        <f>IFERROR(__xludf.DUMMYFUNCTION("""COMPUTED_VALUE"""),"[]")</f>
        <v>[]</v>
      </c>
      <c r="X328" s="148" t="str">
        <f>IFERROR(__xludf.DUMMYFUNCTION("""COMPUTED_VALUE"""),"[{""typ"":""power"",""id"":12141002,""val"":5}]")</f>
        <v>[{"typ":"power","id":12141002,"val":5}]</v>
      </c>
      <c r="Y328" s="148" t="str">
        <f>IFERROR(__xludf.DUMMYFUNCTION("""COMPUTED_VALUE"""),"[{""typ"":""atk"",""val"":18},{""typ"":""def"",""val"":125},{""typ"":""hp"",""val"":135},{""typ"":""speed"",""val"":50},{""typ"":""load"",""val"":20},{""typ"":""backcoef"",""val"":0.5},{""typ"":""atkcoef"",""val"":1.0},{""typ"":""atkcd"",""val"":0}]")</f>
        <v>[{"typ":"atk","val":18},{"typ":"def","val":125},{"typ":"hp","val":135},{"typ":"speed","val":50},{"typ":"load","val":20},{"typ":"backcoef","val":0.5},{"typ":"atkcoef","val":1.0},{"typ":"atkcd","val":0}]</v>
      </c>
      <c r="Z328" s="148" t="str">
        <f>IFERROR(__xludf.DUMMYFUNCTION("""COMPUTED_VALUE"""),"[]")</f>
        <v>[]</v>
      </c>
    </row>
    <row r="329">
      <c r="A329" s="148">
        <f>IFERROR(__xludf.DUMMYFUNCTION("""COMPUTED_VALUE"""),1.1219012E7)</f>
        <v>11219012</v>
      </c>
      <c r="B329" s="148" t="str">
        <f>IFERROR(__xludf.DUMMYFUNCTION("""COMPUTED_VALUE"""),"押镖单位-精英2")</f>
        <v>押镖单位-精英2</v>
      </c>
      <c r="C329" s="148">
        <f>IFERROR(__xludf.DUMMYFUNCTION("""COMPUTED_VALUE"""),1.1221004E7)</f>
        <v>11221004</v>
      </c>
      <c r="D329" s="148">
        <f>IFERROR(__xludf.DUMMYFUNCTION("""COMPUTED_VALUE"""),1.5111041E7)</f>
        <v>15111041</v>
      </c>
      <c r="E329" s="148" t="str">
        <f>IFERROR(__xludf.DUMMYFUNCTION("""COMPUTED_VALUE"""),"{""typ"":""lc"",""txt"":""LC_MAP_escort_monster_name3""}")</f>
        <v>{"typ":"lc","txt":"LC_MAP_escort_monster_name3"}</v>
      </c>
      <c r="F329" s="148" t="str">
        <f>IFERROR(__xludf.DUMMYFUNCTION("""COMPUTED_VALUE"""),"{""typ"":""lc"",""txt"":""LC_MAP_escort_map_pop_ups_desc""}")</f>
        <v>{"typ":"lc","txt":"LC_MAP_escort_map_pop_ups_desc"}</v>
      </c>
      <c r="G329" s="148">
        <f>IFERROR(__xludf.DUMMYFUNCTION("""COMPUTED_VALUE"""),10.0)</f>
        <v>10</v>
      </c>
      <c r="H329" s="148">
        <f>IFERROR(__xludf.DUMMYFUNCTION("""COMPUTED_VALUE"""),10099.0)</f>
        <v>10099</v>
      </c>
      <c r="I329" s="148">
        <f>IFERROR(__xludf.DUMMYFUNCTION("""COMPUTED_VALUE"""),10099.0)</f>
        <v>10099</v>
      </c>
      <c r="J329" s="148">
        <f>IFERROR(__xludf.DUMMYFUNCTION("""COMPUTED_VALUE"""),0.0)</f>
        <v>0</v>
      </c>
      <c r="K329" s="148">
        <f>IFERROR(__xludf.DUMMYFUNCTION("""COMPUTED_VALUE"""),10.0)</f>
        <v>10</v>
      </c>
      <c r="L329" s="148">
        <f>IFERROR(__xludf.DUMMYFUNCTION("""COMPUTED_VALUE"""),99.0)</f>
        <v>99</v>
      </c>
      <c r="M329" s="148">
        <f>IFERROR(__xludf.DUMMYFUNCTION("""COMPUTED_VALUE"""),0.0)</f>
        <v>0</v>
      </c>
      <c r="N329" s="148" t="str">
        <f>IFERROR(__xludf.DUMMYFUNCTION("""COMPUTED_VALUE"""),"[]")</f>
        <v>[]</v>
      </c>
      <c r="O329" s="148" t="str">
        <f>IFERROR(__xludf.DUMMYFUNCTION("""COMPUTED_VALUE"""),"{}")</f>
        <v>{}</v>
      </c>
      <c r="P329" s="148">
        <f>IFERROR(__xludf.DUMMYFUNCTION("""COMPUTED_VALUE"""),0.0)</f>
        <v>0</v>
      </c>
      <c r="Q329" s="148" t="str">
        <f>IFERROR(__xludf.DUMMYFUNCTION("""COMPUTED_VALUE"""),"[]")</f>
        <v>[]</v>
      </c>
      <c r="R329" s="148" t="str">
        <f>IFERROR(__xludf.DUMMYFUNCTION("""COMPUTED_VALUE"""),"{}")</f>
        <v>{}</v>
      </c>
      <c r="S329" s="148">
        <f>IFERROR(__xludf.DUMMYFUNCTION("""COMPUTED_VALUE"""),0.0)</f>
        <v>0</v>
      </c>
      <c r="T329" s="148" t="str">
        <f>IFERROR(__xludf.DUMMYFUNCTION("""COMPUTED_VALUE"""),"[]")</f>
        <v>[]</v>
      </c>
      <c r="U329" s="148">
        <f>IFERROR(__xludf.DUMMYFUNCTION("""COMPUTED_VALUE"""),0.0)</f>
        <v>0</v>
      </c>
      <c r="V329" s="148" t="str">
        <f>IFERROR(__xludf.DUMMYFUNCTION("""COMPUTED_VALUE"""),"{}")</f>
        <v>{}</v>
      </c>
      <c r="W329" s="148" t="str">
        <f>IFERROR(__xludf.DUMMYFUNCTION("""COMPUTED_VALUE"""),"[]")</f>
        <v>[]</v>
      </c>
      <c r="X329" s="148" t="str">
        <f>IFERROR(__xludf.DUMMYFUNCTION("""COMPUTED_VALUE"""),"[{""typ"":""power"",""id"":12141002,""val"":5}]")</f>
        <v>[{"typ":"power","id":12141002,"val":5}]</v>
      </c>
      <c r="Y329" s="148" t="str">
        <f>IFERROR(__xludf.DUMMYFUNCTION("""COMPUTED_VALUE"""),"[{""typ"":""atk"",""val"":36},{""typ"":""def"",""val"":125},{""typ"":""hp"",""val"":135},{""typ"":""speed"",""val"":50},{""typ"":""load"",""val"":20},{""typ"":""backcoef"",""val"":0.5},{""typ"":""atkcoef"",""val"":1.0},{""typ"":""atkcd"",""val"":0}]")</f>
        <v>[{"typ":"atk","val":36},{"typ":"def","val":125},{"typ":"hp","val":135},{"typ":"speed","val":50},{"typ":"load","val":20},{"typ":"backcoef","val":0.5},{"typ":"atkcoef","val":1.0},{"typ":"atkcd","val":0}]</v>
      </c>
      <c r="Z329" s="148" t="str">
        <f>IFERROR(__xludf.DUMMYFUNCTION("""COMPUTED_VALUE"""),"[]")</f>
        <v>[]</v>
      </c>
    </row>
    <row r="330">
      <c r="A330" s="148">
        <f>IFERROR(__xludf.DUMMYFUNCTION("""COMPUTED_VALUE"""),1.1219013E7)</f>
        <v>11219013</v>
      </c>
      <c r="B330" s="148" t="str">
        <f>IFERROR(__xludf.DUMMYFUNCTION("""COMPUTED_VALUE"""),"押镖单位-精英3")</f>
        <v>押镖单位-精英3</v>
      </c>
      <c r="C330" s="148">
        <f>IFERROR(__xludf.DUMMYFUNCTION("""COMPUTED_VALUE"""),1.1221004E7)</f>
        <v>11221004</v>
      </c>
      <c r="D330" s="148">
        <f>IFERROR(__xludf.DUMMYFUNCTION("""COMPUTED_VALUE"""),1.5111041E7)</f>
        <v>15111041</v>
      </c>
      <c r="E330" s="148" t="str">
        <f>IFERROR(__xludf.DUMMYFUNCTION("""COMPUTED_VALUE"""),"{""typ"":""lc"",""txt"":""LC_MAP_escort_monster_name3""}")</f>
        <v>{"typ":"lc","txt":"LC_MAP_escort_monster_name3"}</v>
      </c>
      <c r="F330" s="148" t="str">
        <f>IFERROR(__xludf.DUMMYFUNCTION("""COMPUTED_VALUE"""),"{""typ"":""lc"",""txt"":""LC_MAP_escort_map_pop_ups_desc""}")</f>
        <v>{"typ":"lc","txt":"LC_MAP_escort_map_pop_ups_desc"}</v>
      </c>
      <c r="G330" s="148">
        <f>IFERROR(__xludf.DUMMYFUNCTION("""COMPUTED_VALUE"""),10.0)</f>
        <v>10</v>
      </c>
      <c r="H330" s="148">
        <f>IFERROR(__xludf.DUMMYFUNCTION("""COMPUTED_VALUE"""),10099.0)</f>
        <v>10099</v>
      </c>
      <c r="I330" s="148">
        <f>IFERROR(__xludf.DUMMYFUNCTION("""COMPUTED_VALUE"""),10099.0)</f>
        <v>10099</v>
      </c>
      <c r="J330" s="148">
        <f>IFERROR(__xludf.DUMMYFUNCTION("""COMPUTED_VALUE"""),0.0)</f>
        <v>0</v>
      </c>
      <c r="K330" s="148">
        <f>IFERROR(__xludf.DUMMYFUNCTION("""COMPUTED_VALUE"""),10.0)</f>
        <v>10</v>
      </c>
      <c r="L330" s="148">
        <f>IFERROR(__xludf.DUMMYFUNCTION("""COMPUTED_VALUE"""),99.0)</f>
        <v>99</v>
      </c>
      <c r="M330" s="148">
        <f>IFERROR(__xludf.DUMMYFUNCTION("""COMPUTED_VALUE"""),0.0)</f>
        <v>0</v>
      </c>
      <c r="N330" s="148" t="str">
        <f>IFERROR(__xludf.DUMMYFUNCTION("""COMPUTED_VALUE"""),"[]")</f>
        <v>[]</v>
      </c>
      <c r="O330" s="148" t="str">
        <f>IFERROR(__xludf.DUMMYFUNCTION("""COMPUTED_VALUE"""),"{}")</f>
        <v>{}</v>
      </c>
      <c r="P330" s="148">
        <f>IFERROR(__xludf.DUMMYFUNCTION("""COMPUTED_VALUE"""),0.0)</f>
        <v>0</v>
      </c>
      <c r="Q330" s="148" t="str">
        <f>IFERROR(__xludf.DUMMYFUNCTION("""COMPUTED_VALUE"""),"[]")</f>
        <v>[]</v>
      </c>
      <c r="R330" s="148" t="str">
        <f>IFERROR(__xludf.DUMMYFUNCTION("""COMPUTED_VALUE"""),"{}")</f>
        <v>{}</v>
      </c>
      <c r="S330" s="148">
        <f>IFERROR(__xludf.DUMMYFUNCTION("""COMPUTED_VALUE"""),0.0)</f>
        <v>0</v>
      </c>
      <c r="T330" s="148" t="str">
        <f>IFERROR(__xludf.DUMMYFUNCTION("""COMPUTED_VALUE"""),"[]")</f>
        <v>[]</v>
      </c>
      <c r="U330" s="148">
        <f>IFERROR(__xludf.DUMMYFUNCTION("""COMPUTED_VALUE"""),0.0)</f>
        <v>0</v>
      </c>
      <c r="V330" s="148" t="str">
        <f>IFERROR(__xludf.DUMMYFUNCTION("""COMPUTED_VALUE"""),"{}")</f>
        <v>{}</v>
      </c>
      <c r="W330" s="148" t="str">
        <f>IFERROR(__xludf.DUMMYFUNCTION("""COMPUTED_VALUE"""),"[]")</f>
        <v>[]</v>
      </c>
      <c r="X330" s="148" t="str">
        <f>IFERROR(__xludf.DUMMYFUNCTION("""COMPUTED_VALUE"""),"[{""typ"":""power"",""id"":12141002,""val"":5}]")</f>
        <v>[{"typ":"power","id":12141002,"val":5}]</v>
      </c>
      <c r="Y330" s="148" t="str">
        <f>IFERROR(__xludf.DUMMYFUNCTION("""COMPUTED_VALUE"""),"[{""typ"":""atk"",""val"":72},{""typ"":""def"",""val"":125},{""typ"":""hp"",""val"":135},{""typ"":""speed"",""val"":50},{""typ"":""load"",""val"":20},{""typ"":""backcoef"",""val"":0.5},{""typ"":""atkcoef"",""val"":1.0},{""typ"":""atkcd"",""val"":0}]")</f>
        <v>[{"typ":"atk","val":72},{"typ":"def","val":125},{"typ":"hp","val":135},{"typ":"speed","val":50},{"typ":"load","val":20},{"typ":"backcoef","val":0.5},{"typ":"atkcoef","val":1.0},{"typ":"atkcd","val":0}]</v>
      </c>
      <c r="Z330" s="148" t="str">
        <f>IFERROR(__xludf.DUMMYFUNCTION("""COMPUTED_VALUE"""),"[]")</f>
        <v>[]</v>
      </c>
    </row>
    <row r="331">
      <c r="A331" s="148">
        <f>IFERROR(__xludf.DUMMYFUNCTION("""COMPUTED_VALUE"""),1.1219014E7)</f>
        <v>11219014</v>
      </c>
      <c r="B331" s="148" t="str">
        <f>IFERROR(__xludf.DUMMYFUNCTION("""COMPUTED_VALUE"""),"押镖单位-精英4")</f>
        <v>押镖单位-精英4</v>
      </c>
      <c r="C331" s="148">
        <f>IFERROR(__xludf.DUMMYFUNCTION("""COMPUTED_VALUE"""),1.1221004E7)</f>
        <v>11221004</v>
      </c>
      <c r="D331" s="148">
        <f>IFERROR(__xludf.DUMMYFUNCTION("""COMPUTED_VALUE"""),1.5111041E7)</f>
        <v>15111041</v>
      </c>
      <c r="E331" s="148" t="str">
        <f>IFERROR(__xludf.DUMMYFUNCTION("""COMPUTED_VALUE"""),"{""typ"":""lc"",""txt"":""LC_MAP_escort_monster_name3""}")</f>
        <v>{"typ":"lc","txt":"LC_MAP_escort_monster_name3"}</v>
      </c>
      <c r="F331" s="148" t="str">
        <f>IFERROR(__xludf.DUMMYFUNCTION("""COMPUTED_VALUE"""),"{""typ"":""lc"",""txt"":""LC_MAP_escort_map_pop_ups_desc""}")</f>
        <v>{"typ":"lc","txt":"LC_MAP_escort_map_pop_ups_desc"}</v>
      </c>
      <c r="G331" s="148">
        <f>IFERROR(__xludf.DUMMYFUNCTION("""COMPUTED_VALUE"""),10.0)</f>
        <v>10</v>
      </c>
      <c r="H331" s="148">
        <f>IFERROR(__xludf.DUMMYFUNCTION("""COMPUTED_VALUE"""),10099.0)</f>
        <v>10099</v>
      </c>
      <c r="I331" s="148">
        <f>IFERROR(__xludf.DUMMYFUNCTION("""COMPUTED_VALUE"""),10099.0)</f>
        <v>10099</v>
      </c>
      <c r="J331" s="148">
        <f>IFERROR(__xludf.DUMMYFUNCTION("""COMPUTED_VALUE"""),0.0)</f>
        <v>0</v>
      </c>
      <c r="K331" s="148">
        <f>IFERROR(__xludf.DUMMYFUNCTION("""COMPUTED_VALUE"""),10.0)</f>
        <v>10</v>
      </c>
      <c r="L331" s="148">
        <f>IFERROR(__xludf.DUMMYFUNCTION("""COMPUTED_VALUE"""),99.0)</f>
        <v>99</v>
      </c>
      <c r="M331" s="148">
        <f>IFERROR(__xludf.DUMMYFUNCTION("""COMPUTED_VALUE"""),0.0)</f>
        <v>0</v>
      </c>
      <c r="N331" s="148" t="str">
        <f>IFERROR(__xludf.DUMMYFUNCTION("""COMPUTED_VALUE"""),"[]")</f>
        <v>[]</v>
      </c>
      <c r="O331" s="148" t="str">
        <f>IFERROR(__xludf.DUMMYFUNCTION("""COMPUTED_VALUE"""),"{}")</f>
        <v>{}</v>
      </c>
      <c r="P331" s="148">
        <f>IFERROR(__xludf.DUMMYFUNCTION("""COMPUTED_VALUE"""),0.0)</f>
        <v>0</v>
      </c>
      <c r="Q331" s="148" t="str">
        <f>IFERROR(__xludf.DUMMYFUNCTION("""COMPUTED_VALUE"""),"[]")</f>
        <v>[]</v>
      </c>
      <c r="R331" s="148" t="str">
        <f>IFERROR(__xludf.DUMMYFUNCTION("""COMPUTED_VALUE"""),"{}")</f>
        <v>{}</v>
      </c>
      <c r="S331" s="148">
        <f>IFERROR(__xludf.DUMMYFUNCTION("""COMPUTED_VALUE"""),0.0)</f>
        <v>0</v>
      </c>
      <c r="T331" s="148" t="str">
        <f>IFERROR(__xludf.DUMMYFUNCTION("""COMPUTED_VALUE"""),"[]")</f>
        <v>[]</v>
      </c>
      <c r="U331" s="148">
        <f>IFERROR(__xludf.DUMMYFUNCTION("""COMPUTED_VALUE"""),0.0)</f>
        <v>0</v>
      </c>
      <c r="V331" s="148" t="str">
        <f>IFERROR(__xludf.DUMMYFUNCTION("""COMPUTED_VALUE"""),"{}")</f>
        <v>{}</v>
      </c>
      <c r="W331" s="148" t="str">
        <f>IFERROR(__xludf.DUMMYFUNCTION("""COMPUTED_VALUE"""),"[]")</f>
        <v>[]</v>
      </c>
      <c r="X331" s="148" t="str">
        <f>IFERROR(__xludf.DUMMYFUNCTION("""COMPUTED_VALUE"""),"[{""typ"":""power"",""id"":12141002,""val"":5}]")</f>
        <v>[{"typ":"power","id":12141002,"val":5}]</v>
      </c>
      <c r="Y331" s="148" t="str">
        <f>IFERROR(__xludf.DUMMYFUNCTION("""COMPUTED_VALUE"""),"[{""typ"":""atk"",""val"":180},{""typ"":""def"",""val"":125},{""typ"":""hp"",""val"":135},{""typ"":""speed"",""val"":50},{""typ"":""load"",""val"":20},{""typ"":""backcoef"",""val"":0.5},{""typ"":""atkcoef"",""val"":1.0},{""typ"":""atkcd"",""val"":0}]")</f>
        <v>[{"typ":"atk","val":180},{"typ":"def","val":125},{"typ":"hp","val":135},{"typ":"speed","val":50},{"typ":"load","val":20},{"typ":"backcoef","val":0.5},{"typ":"atkcoef","val":1.0},{"typ":"atkcd","val":0}]</v>
      </c>
      <c r="Z331" s="148" t="str">
        <f>IFERROR(__xludf.DUMMYFUNCTION("""COMPUTED_VALUE"""),"[]")</f>
        <v>[]</v>
      </c>
    </row>
    <row r="332">
      <c r="A332" s="148">
        <f>IFERROR(__xludf.DUMMYFUNCTION("""COMPUTED_VALUE"""),1.1219015E7)</f>
        <v>11219015</v>
      </c>
      <c r="B332" s="148" t="str">
        <f>IFERROR(__xludf.DUMMYFUNCTION("""COMPUTED_VALUE"""),"押镖单位-精英5")</f>
        <v>押镖单位-精英5</v>
      </c>
      <c r="C332" s="148">
        <f>IFERROR(__xludf.DUMMYFUNCTION("""COMPUTED_VALUE"""),1.1221004E7)</f>
        <v>11221004</v>
      </c>
      <c r="D332" s="148">
        <f>IFERROR(__xludf.DUMMYFUNCTION("""COMPUTED_VALUE"""),1.5111041E7)</f>
        <v>15111041</v>
      </c>
      <c r="E332" s="148" t="str">
        <f>IFERROR(__xludf.DUMMYFUNCTION("""COMPUTED_VALUE"""),"{""typ"":""lc"",""txt"":""LC_MAP_escort_monster_name3""}")</f>
        <v>{"typ":"lc","txt":"LC_MAP_escort_monster_name3"}</v>
      </c>
      <c r="F332" s="148" t="str">
        <f>IFERROR(__xludf.DUMMYFUNCTION("""COMPUTED_VALUE"""),"{""typ"":""lc"",""txt"":""LC_MAP_escort_map_pop_ups_desc""}")</f>
        <v>{"typ":"lc","txt":"LC_MAP_escort_map_pop_ups_desc"}</v>
      </c>
      <c r="G332" s="148">
        <f>IFERROR(__xludf.DUMMYFUNCTION("""COMPUTED_VALUE"""),10.0)</f>
        <v>10</v>
      </c>
      <c r="H332" s="148">
        <f>IFERROR(__xludf.DUMMYFUNCTION("""COMPUTED_VALUE"""),10099.0)</f>
        <v>10099</v>
      </c>
      <c r="I332" s="148">
        <f>IFERROR(__xludf.DUMMYFUNCTION("""COMPUTED_VALUE"""),10099.0)</f>
        <v>10099</v>
      </c>
      <c r="J332" s="148">
        <f>IFERROR(__xludf.DUMMYFUNCTION("""COMPUTED_VALUE"""),0.0)</f>
        <v>0</v>
      </c>
      <c r="K332" s="148">
        <f>IFERROR(__xludf.DUMMYFUNCTION("""COMPUTED_VALUE"""),10.0)</f>
        <v>10</v>
      </c>
      <c r="L332" s="148">
        <f>IFERROR(__xludf.DUMMYFUNCTION("""COMPUTED_VALUE"""),99.0)</f>
        <v>99</v>
      </c>
      <c r="M332" s="148">
        <f>IFERROR(__xludf.DUMMYFUNCTION("""COMPUTED_VALUE"""),0.0)</f>
        <v>0</v>
      </c>
      <c r="N332" s="148" t="str">
        <f>IFERROR(__xludf.DUMMYFUNCTION("""COMPUTED_VALUE"""),"[]")</f>
        <v>[]</v>
      </c>
      <c r="O332" s="148" t="str">
        <f>IFERROR(__xludf.DUMMYFUNCTION("""COMPUTED_VALUE"""),"{}")</f>
        <v>{}</v>
      </c>
      <c r="P332" s="148">
        <f>IFERROR(__xludf.DUMMYFUNCTION("""COMPUTED_VALUE"""),0.0)</f>
        <v>0</v>
      </c>
      <c r="Q332" s="148" t="str">
        <f>IFERROR(__xludf.DUMMYFUNCTION("""COMPUTED_VALUE"""),"[]")</f>
        <v>[]</v>
      </c>
      <c r="R332" s="148" t="str">
        <f>IFERROR(__xludf.DUMMYFUNCTION("""COMPUTED_VALUE"""),"{}")</f>
        <v>{}</v>
      </c>
      <c r="S332" s="148">
        <f>IFERROR(__xludf.DUMMYFUNCTION("""COMPUTED_VALUE"""),0.0)</f>
        <v>0</v>
      </c>
      <c r="T332" s="148" t="str">
        <f>IFERROR(__xludf.DUMMYFUNCTION("""COMPUTED_VALUE"""),"[]")</f>
        <v>[]</v>
      </c>
      <c r="U332" s="148">
        <f>IFERROR(__xludf.DUMMYFUNCTION("""COMPUTED_VALUE"""),0.0)</f>
        <v>0</v>
      </c>
      <c r="V332" s="148" t="str">
        <f>IFERROR(__xludf.DUMMYFUNCTION("""COMPUTED_VALUE"""),"{}")</f>
        <v>{}</v>
      </c>
      <c r="W332" s="148" t="str">
        <f>IFERROR(__xludf.DUMMYFUNCTION("""COMPUTED_VALUE"""),"[]")</f>
        <v>[]</v>
      </c>
      <c r="X332" s="148" t="str">
        <f>IFERROR(__xludf.DUMMYFUNCTION("""COMPUTED_VALUE"""),"[{""typ"":""power"",""id"":12141002,""val"":5}]")</f>
        <v>[{"typ":"power","id":12141002,"val":5}]</v>
      </c>
      <c r="Y332" s="148" t="str">
        <f>IFERROR(__xludf.DUMMYFUNCTION("""COMPUTED_VALUE"""),"[{""typ"":""atk"",""val"":240},{""typ"":""def"",""val"":125},{""typ"":""hp"",""val"":135},{""typ"":""speed"",""val"":50},{""typ"":""load"",""val"":20},{""typ"":""backcoef"",""val"":0.5},{""typ"":""atkcoef"",""val"":1.0},{""typ"":""atkcd"",""val"":0}]")</f>
        <v>[{"typ":"atk","val":240},{"typ":"def","val":125},{"typ":"hp","val":135},{"typ":"speed","val":50},{"typ":"load","val":20},{"typ":"backcoef","val":0.5},{"typ":"atkcoef","val":1.0},{"typ":"atkcd","val":0}]</v>
      </c>
      <c r="Z332" s="148" t="str">
        <f>IFERROR(__xludf.DUMMYFUNCTION("""COMPUTED_VALUE"""),"[]")</f>
        <v>[]</v>
      </c>
    </row>
    <row r="333">
      <c r="A333" s="148">
        <f>IFERROR(__xludf.DUMMYFUNCTION("""COMPUTED_VALUE"""),1.1219016E7)</f>
        <v>11219016</v>
      </c>
      <c r="B333" s="148" t="str">
        <f>IFERROR(__xludf.DUMMYFUNCTION("""COMPUTED_VALUE"""),"押镖单位-BOSS1")</f>
        <v>押镖单位-BOSS1</v>
      </c>
      <c r="C333" s="148">
        <f>IFERROR(__xludf.DUMMYFUNCTION("""COMPUTED_VALUE"""),1.1221004E7)</f>
        <v>11221004</v>
      </c>
      <c r="D333" s="148">
        <f>IFERROR(__xludf.DUMMYFUNCTION("""COMPUTED_VALUE"""),1.5111315E7)</f>
        <v>15111315</v>
      </c>
      <c r="E333" s="148" t="str">
        <f>IFERROR(__xludf.DUMMYFUNCTION("""COMPUTED_VALUE"""),"{""typ"":""lc"",""txt"":""LC_MAP_escort_monster_name4""}")</f>
        <v>{"typ":"lc","txt":"LC_MAP_escort_monster_name4"}</v>
      </c>
      <c r="F333" s="148" t="str">
        <f>IFERROR(__xludf.DUMMYFUNCTION("""COMPUTED_VALUE"""),"{""typ"":""lc"",""txt"":""LC_MAP_escort_map_pop_ups_desc""}")</f>
        <v>{"typ":"lc","txt":"LC_MAP_escort_map_pop_ups_desc"}</v>
      </c>
      <c r="G333" s="148">
        <f>IFERROR(__xludf.DUMMYFUNCTION("""COMPUTED_VALUE"""),10.0)</f>
        <v>10</v>
      </c>
      <c r="H333" s="148">
        <f>IFERROR(__xludf.DUMMYFUNCTION("""COMPUTED_VALUE"""),10099.0)</f>
        <v>10099</v>
      </c>
      <c r="I333" s="148">
        <f>IFERROR(__xludf.DUMMYFUNCTION("""COMPUTED_VALUE"""),10099.0)</f>
        <v>10099</v>
      </c>
      <c r="J333" s="148">
        <f>IFERROR(__xludf.DUMMYFUNCTION("""COMPUTED_VALUE"""),0.0)</f>
        <v>0</v>
      </c>
      <c r="K333" s="148">
        <f>IFERROR(__xludf.DUMMYFUNCTION("""COMPUTED_VALUE"""),10.0)</f>
        <v>10</v>
      </c>
      <c r="L333" s="148">
        <f>IFERROR(__xludf.DUMMYFUNCTION("""COMPUTED_VALUE"""),99.0)</f>
        <v>99</v>
      </c>
      <c r="M333" s="148">
        <f>IFERROR(__xludf.DUMMYFUNCTION("""COMPUTED_VALUE"""),0.0)</f>
        <v>0</v>
      </c>
      <c r="N333" s="148" t="str">
        <f>IFERROR(__xludf.DUMMYFUNCTION("""COMPUTED_VALUE"""),"[]")</f>
        <v>[]</v>
      </c>
      <c r="O333" s="148" t="str">
        <f>IFERROR(__xludf.DUMMYFUNCTION("""COMPUTED_VALUE"""),"{}")</f>
        <v>{}</v>
      </c>
      <c r="P333" s="148">
        <f>IFERROR(__xludf.DUMMYFUNCTION("""COMPUTED_VALUE"""),0.0)</f>
        <v>0</v>
      </c>
      <c r="Q333" s="148" t="str">
        <f>IFERROR(__xludf.DUMMYFUNCTION("""COMPUTED_VALUE"""),"[]")</f>
        <v>[]</v>
      </c>
      <c r="R333" s="148" t="str">
        <f>IFERROR(__xludf.DUMMYFUNCTION("""COMPUTED_VALUE"""),"{}")</f>
        <v>{}</v>
      </c>
      <c r="S333" s="148">
        <f>IFERROR(__xludf.DUMMYFUNCTION("""COMPUTED_VALUE"""),0.0)</f>
        <v>0</v>
      </c>
      <c r="T333" s="148" t="str">
        <f>IFERROR(__xludf.DUMMYFUNCTION("""COMPUTED_VALUE"""),"[]")</f>
        <v>[]</v>
      </c>
      <c r="U333" s="148">
        <f>IFERROR(__xludf.DUMMYFUNCTION("""COMPUTED_VALUE"""),0.0)</f>
        <v>0</v>
      </c>
      <c r="V333" s="148" t="str">
        <f>IFERROR(__xludf.DUMMYFUNCTION("""COMPUTED_VALUE"""),"{}")</f>
        <v>{}</v>
      </c>
      <c r="W333" s="148" t="str">
        <f>IFERROR(__xludf.DUMMYFUNCTION("""COMPUTED_VALUE"""),"[]")</f>
        <v>[]</v>
      </c>
      <c r="X333" s="148" t="str">
        <f>IFERROR(__xludf.DUMMYFUNCTION("""COMPUTED_VALUE"""),"[{""typ"":""power"",""id"":12141002,""val"":10}]")</f>
        <v>[{"typ":"power","id":12141002,"val":10}]</v>
      </c>
      <c r="Y333" s="148" t="str">
        <f>IFERROR(__xludf.DUMMYFUNCTION("""COMPUTED_VALUE"""),"[{""typ"":""atk"",""val"":22.5},{""typ"":""def"",""val"":125},{""typ"":""hp"",""val"":135},{""typ"":""speed"",""val"":50},{""typ"":""load"",""val"":20},{""typ"":""backcoef"",""val"":0.5},{""typ"":""atkcoef"",""val"":1.0},{""typ"":""atkcd"",""val"":0}]")</f>
        <v>[{"typ":"atk","val":22.5},{"typ":"def","val":125},{"typ":"hp","val":135},{"typ":"speed","val":50},{"typ":"load","val":20},{"typ":"backcoef","val":0.5},{"typ":"atkcoef","val":1.0},{"typ":"atkcd","val":0}]</v>
      </c>
      <c r="Z333" s="148" t="str">
        <f>IFERROR(__xludf.DUMMYFUNCTION("""COMPUTED_VALUE"""),"[]")</f>
        <v>[]</v>
      </c>
    </row>
    <row r="334">
      <c r="A334" s="148">
        <f>IFERROR(__xludf.DUMMYFUNCTION("""COMPUTED_VALUE"""),1.1219017E7)</f>
        <v>11219017</v>
      </c>
      <c r="B334" s="148" t="str">
        <f>IFERROR(__xludf.DUMMYFUNCTION("""COMPUTED_VALUE"""),"押镖单位-BOSS2")</f>
        <v>押镖单位-BOSS2</v>
      </c>
      <c r="C334" s="148">
        <f>IFERROR(__xludf.DUMMYFUNCTION("""COMPUTED_VALUE"""),1.1221004E7)</f>
        <v>11221004</v>
      </c>
      <c r="D334" s="148">
        <f>IFERROR(__xludf.DUMMYFUNCTION("""COMPUTED_VALUE"""),1.5111315E7)</f>
        <v>15111315</v>
      </c>
      <c r="E334" s="148" t="str">
        <f>IFERROR(__xludf.DUMMYFUNCTION("""COMPUTED_VALUE"""),"{""typ"":""lc"",""txt"":""LC_MAP_escort_monster_name4""}")</f>
        <v>{"typ":"lc","txt":"LC_MAP_escort_monster_name4"}</v>
      </c>
      <c r="F334" s="148" t="str">
        <f>IFERROR(__xludf.DUMMYFUNCTION("""COMPUTED_VALUE"""),"{""typ"":""lc"",""txt"":""LC_MAP_escort_map_pop_ups_desc""}")</f>
        <v>{"typ":"lc","txt":"LC_MAP_escort_map_pop_ups_desc"}</v>
      </c>
      <c r="G334" s="148">
        <f>IFERROR(__xludf.DUMMYFUNCTION("""COMPUTED_VALUE"""),10.0)</f>
        <v>10</v>
      </c>
      <c r="H334" s="148">
        <f>IFERROR(__xludf.DUMMYFUNCTION("""COMPUTED_VALUE"""),10099.0)</f>
        <v>10099</v>
      </c>
      <c r="I334" s="148">
        <f>IFERROR(__xludf.DUMMYFUNCTION("""COMPUTED_VALUE"""),10099.0)</f>
        <v>10099</v>
      </c>
      <c r="J334" s="148">
        <f>IFERROR(__xludf.DUMMYFUNCTION("""COMPUTED_VALUE"""),0.0)</f>
        <v>0</v>
      </c>
      <c r="K334" s="148">
        <f>IFERROR(__xludf.DUMMYFUNCTION("""COMPUTED_VALUE"""),10.0)</f>
        <v>10</v>
      </c>
      <c r="L334" s="148">
        <f>IFERROR(__xludf.DUMMYFUNCTION("""COMPUTED_VALUE"""),99.0)</f>
        <v>99</v>
      </c>
      <c r="M334" s="148">
        <f>IFERROR(__xludf.DUMMYFUNCTION("""COMPUTED_VALUE"""),0.0)</f>
        <v>0</v>
      </c>
      <c r="N334" s="148" t="str">
        <f>IFERROR(__xludf.DUMMYFUNCTION("""COMPUTED_VALUE"""),"[]")</f>
        <v>[]</v>
      </c>
      <c r="O334" s="148" t="str">
        <f>IFERROR(__xludf.DUMMYFUNCTION("""COMPUTED_VALUE"""),"{}")</f>
        <v>{}</v>
      </c>
      <c r="P334" s="148">
        <f>IFERROR(__xludf.DUMMYFUNCTION("""COMPUTED_VALUE"""),0.0)</f>
        <v>0</v>
      </c>
      <c r="Q334" s="148" t="str">
        <f>IFERROR(__xludf.DUMMYFUNCTION("""COMPUTED_VALUE"""),"[]")</f>
        <v>[]</v>
      </c>
      <c r="R334" s="148" t="str">
        <f>IFERROR(__xludf.DUMMYFUNCTION("""COMPUTED_VALUE"""),"{}")</f>
        <v>{}</v>
      </c>
      <c r="S334" s="148">
        <f>IFERROR(__xludf.DUMMYFUNCTION("""COMPUTED_VALUE"""),0.0)</f>
        <v>0</v>
      </c>
      <c r="T334" s="148" t="str">
        <f>IFERROR(__xludf.DUMMYFUNCTION("""COMPUTED_VALUE"""),"[]")</f>
        <v>[]</v>
      </c>
      <c r="U334" s="148">
        <f>IFERROR(__xludf.DUMMYFUNCTION("""COMPUTED_VALUE"""),0.0)</f>
        <v>0</v>
      </c>
      <c r="V334" s="148" t="str">
        <f>IFERROR(__xludf.DUMMYFUNCTION("""COMPUTED_VALUE"""),"{}")</f>
        <v>{}</v>
      </c>
      <c r="W334" s="148" t="str">
        <f>IFERROR(__xludf.DUMMYFUNCTION("""COMPUTED_VALUE"""),"[]")</f>
        <v>[]</v>
      </c>
      <c r="X334" s="148" t="str">
        <f>IFERROR(__xludf.DUMMYFUNCTION("""COMPUTED_VALUE"""),"[{""typ"":""power"",""id"":12141002,""val"":10}]")</f>
        <v>[{"typ":"power","id":12141002,"val":10}]</v>
      </c>
      <c r="Y334" s="148" t="str">
        <f>IFERROR(__xludf.DUMMYFUNCTION("""COMPUTED_VALUE"""),"[{""typ"":""atk"",""val"":45},{""typ"":""def"",""val"":125},{""typ"":""hp"",""val"":135},{""typ"":""speed"",""val"":50},{""typ"":""load"",""val"":20},{""typ"":""backcoef"",""val"":0.5},{""typ"":""atkcoef"",""val"":1.0},{""typ"":""atkcd"",""val"":0}]")</f>
        <v>[{"typ":"atk","val":45},{"typ":"def","val":125},{"typ":"hp","val":135},{"typ":"speed","val":50},{"typ":"load","val":20},{"typ":"backcoef","val":0.5},{"typ":"atkcoef","val":1.0},{"typ":"atkcd","val":0}]</v>
      </c>
      <c r="Z334" s="148" t="str">
        <f>IFERROR(__xludf.DUMMYFUNCTION("""COMPUTED_VALUE"""),"[]")</f>
        <v>[]</v>
      </c>
    </row>
    <row r="335">
      <c r="A335" s="148">
        <f>IFERROR(__xludf.DUMMYFUNCTION("""COMPUTED_VALUE"""),1.1219018E7)</f>
        <v>11219018</v>
      </c>
      <c r="B335" s="148" t="str">
        <f>IFERROR(__xludf.DUMMYFUNCTION("""COMPUTED_VALUE"""),"押镖单位-BOSS3")</f>
        <v>押镖单位-BOSS3</v>
      </c>
      <c r="C335" s="148">
        <f>IFERROR(__xludf.DUMMYFUNCTION("""COMPUTED_VALUE"""),1.1221004E7)</f>
        <v>11221004</v>
      </c>
      <c r="D335" s="148">
        <f>IFERROR(__xludf.DUMMYFUNCTION("""COMPUTED_VALUE"""),1.5111315E7)</f>
        <v>15111315</v>
      </c>
      <c r="E335" s="148" t="str">
        <f>IFERROR(__xludf.DUMMYFUNCTION("""COMPUTED_VALUE"""),"{""typ"":""lc"",""txt"":""LC_MAP_escort_monster_name4""}")</f>
        <v>{"typ":"lc","txt":"LC_MAP_escort_monster_name4"}</v>
      </c>
      <c r="F335" s="148" t="str">
        <f>IFERROR(__xludf.DUMMYFUNCTION("""COMPUTED_VALUE"""),"{""typ"":""lc"",""txt"":""LC_MAP_escort_map_pop_ups_desc""}")</f>
        <v>{"typ":"lc","txt":"LC_MAP_escort_map_pop_ups_desc"}</v>
      </c>
      <c r="G335" s="148">
        <f>IFERROR(__xludf.DUMMYFUNCTION("""COMPUTED_VALUE"""),10.0)</f>
        <v>10</v>
      </c>
      <c r="H335" s="148">
        <f>IFERROR(__xludf.DUMMYFUNCTION("""COMPUTED_VALUE"""),10099.0)</f>
        <v>10099</v>
      </c>
      <c r="I335" s="148">
        <f>IFERROR(__xludf.DUMMYFUNCTION("""COMPUTED_VALUE"""),10099.0)</f>
        <v>10099</v>
      </c>
      <c r="J335" s="148">
        <f>IFERROR(__xludf.DUMMYFUNCTION("""COMPUTED_VALUE"""),0.0)</f>
        <v>0</v>
      </c>
      <c r="K335" s="148">
        <f>IFERROR(__xludf.DUMMYFUNCTION("""COMPUTED_VALUE"""),10.0)</f>
        <v>10</v>
      </c>
      <c r="L335" s="148">
        <f>IFERROR(__xludf.DUMMYFUNCTION("""COMPUTED_VALUE"""),99.0)</f>
        <v>99</v>
      </c>
      <c r="M335" s="148">
        <f>IFERROR(__xludf.DUMMYFUNCTION("""COMPUTED_VALUE"""),0.0)</f>
        <v>0</v>
      </c>
      <c r="N335" s="148" t="str">
        <f>IFERROR(__xludf.DUMMYFUNCTION("""COMPUTED_VALUE"""),"[]")</f>
        <v>[]</v>
      </c>
      <c r="O335" s="148" t="str">
        <f>IFERROR(__xludf.DUMMYFUNCTION("""COMPUTED_VALUE"""),"{}")</f>
        <v>{}</v>
      </c>
      <c r="P335" s="148">
        <f>IFERROR(__xludf.DUMMYFUNCTION("""COMPUTED_VALUE"""),0.0)</f>
        <v>0</v>
      </c>
      <c r="Q335" s="148" t="str">
        <f>IFERROR(__xludf.DUMMYFUNCTION("""COMPUTED_VALUE"""),"[]")</f>
        <v>[]</v>
      </c>
      <c r="R335" s="148" t="str">
        <f>IFERROR(__xludf.DUMMYFUNCTION("""COMPUTED_VALUE"""),"{}")</f>
        <v>{}</v>
      </c>
      <c r="S335" s="148">
        <f>IFERROR(__xludf.DUMMYFUNCTION("""COMPUTED_VALUE"""),0.0)</f>
        <v>0</v>
      </c>
      <c r="T335" s="148" t="str">
        <f>IFERROR(__xludf.DUMMYFUNCTION("""COMPUTED_VALUE"""),"[]")</f>
        <v>[]</v>
      </c>
      <c r="U335" s="148">
        <f>IFERROR(__xludf.DUMMYFUNCTION("""COMPUTED_VALUE"""),0.0)</f>
        <v>0</v>
      </c>
      <c r="V335" s="148" t="str">
        <f>IFERROR(__xludf.DUMMYFUNCTION("""COMPUTED_VALUE"""),"{}")</f>
        <v>{}</v>
      </c>
      <c r="W335" s="148" t="str">
        <f>IFERROR(__xludf.DUMMYFUNCTION("""COMPUTED_VALUE"""),"[]")</f>
        <v>[]</v>
      </c>
      <c r="X335" s="148" t="str">
        <f>IFERROR(__xludf.DUMMYFUNCTION("""COMPUTED_VALUE"""),"[{""typ"":""power"",""id"":12141002,""val"":10}]")</f>
        <v>[{"typ":"power","id":12141002,"val":10}]</v>
      </c>
      <c r="Y335" s="148" t="str">
        <f>IFERROR(__xludf.DUMMYFUNCTION("""COMPUTED_VALUE"""),"[{""typ"":""atk"",""val"":90},{""typ"":""def"",""val"":125},{""typ"":""hp"",""val"":135},{""typ"":""speed"",""val"":50},{""typ"":""load"",""val"":20},{""typ"":""backcoef"",""val"":0.5},{""typ"":""atkcoef"",""val"":1.0},{""typ"":""atkcd"",""val"":0}]")</f>
        <v>[{"typ":"atk","val":90},{"typ":"def","val":125},{"typ":"hp","val":135},{"typ":"speed","val":50},{"typ":"load","val":20},{"typ":"backcoef","val":0.5},{"typ":"atkcoef","val":1.0},{"typ":"atkcd","val":0}]</v>
      </c>
      <c r="Z335" s="148" t="str">
        <f>IFERROR(__xludf.DUMMYFUNCTION("""COMPUTED_VALUE"""),"[]")</f>
        <v>[]</v>
      </c>
    </row>
    <row r="336">
      <c r="A336" s="148">
        <f>IFERROR(__xludf.DUMMYFUNCTION("""COMPUTED_VALUE"""),1.1219019E7)</f>
        <v>11219019</v>
      </c>
      <c r="B336" s="148" t="str">
        <f>IFERROR(__xludf.DUMMYFUNCTION("""COMPUTED_VALUE"""),"押镖单位-BOSS4")</f>
        <v>押镖单位-BOSS4</v>
      </c>
      <c r="C336" s="148">
        <f>IFERROR(__xludf.DUMMYFUNCTION("""COMPUTED_VALUE"""),1.1221004E7)</f>
        <v>11221004</v>
      </c>
      <c r="D336" s="148">
        <f>IFERROR(__xludf.DUMMYFUNCTION("""COMPUTED_VALUE"""),1.5111315E7)</f>
        <v>15111315</v>
      </c>
      <c r="E336" s="148" t="str">
        <f>IFERROR(__xludf.DUMMYFUNCTION("""COMPUTED_VALUE"""),"{""typ"":""lc"",""txt"":""LC_MAP_escort_monster_name4""}")</f>
        <v>{"typ":"lc","txt":"LC_MAP_escort_monster_name4"}</v>
      </c>
      <c r="F336" s="148" t="str">
        <f>IFERROR(__xludf.DUMMYFUNCTION("""COMPUTED_VALUE"""),"{""typ"":""lc"",""txt"":""LC_MAP_escort_map_pop_ups_desc""}")</f>
        <v>{"typ":"lc","txt":"LC_MAP_escort_map_pop_ups_desc"}</v>
      </c>
      <c r="G336" s="148">
        <f>IFERROR(__xludf.DUMMYFUNCTION("""COMPUTED_VALUE"""),10.0)</f>
        <v>10</v>
      </c>
      <c r="H336" s="148">
        <f>IFERROR(__xludf.DUMMYFUNCTION("""COMPUTED_VALUE"""),10099.0)</f>
        <v>10099</v>
      </c>
      <c r="I336" s="148">
        <f>IFERROR(__xludf.DUMMYFUNCTION("""COMPUTED_VALUE"""),10099.0)</f>
        <v>10099</v>
      </c>
      <c r="J336" s="148">
        <f>IFERROR(__xludf.DUMMYFUNCTION("""COMPUTED_VALUE"""),0.0)</f>
        <v>0</v>
      </c>
      <c r="K336" s="148">
        <f>IFERROR(__xludf.DUMMYFUNCTION("""COMPUTED_VALUE"""),10.0)</f>
        <v>10</v>
      </c>
      <c r="L336" s="148">
        <f>IFERROR(__xludf.DUMMYFUNCTION("""COMPUTED_VALUE"""),99.0)</f>
        <v>99</v>
      </c>
      <c r="M336" s="148">
        <f>IFERROR(__xludf.DUMMYFUNCTION("""COMPUTED_VALUE"""),0.0)</f>
        <v>0</v>
      </c>
      <c r="N336" s="148" t="str">
        <f>IFERROR(__xludf.DUMMYFUNCTION("""COMPUTED_VALUE"""),"[]")</f>
        <v>[]</v>
      </c>
      <c r="O336" s="148" t="str">
        <f>IFERROR(__xludf.DUMMYFUNCTION("""COMPUTED_VALUE"""),"{}")</f>
        <v>{}</v>
      </c>
      <c r="P336" s="148">
        <f>IFERROR(__xludf.DUMMYFUNCTION("""COMPUTED_VALUE"""),0.0)</f>
        <v>0</v>
      </c>
      <c r="Q336" s="148" t="str">
        <f>IFERROR(__xludf.DUMMYFUNCTION("""COMPUTED_VALUE"""),"[]")</f>
        <v>[]</v>
      </c>
      <c r="R336" s="148" t="str">
        <f>IFERROR(__xludf.DUMMYFUNCTION("""COMPUTED_VALUE"""),"{}")</f>
        <v>{}</v>
      </c>
      <c r="S336" s="148">
        <f>IFERROR(__xludf.DUMMYFUNCTION("""COMPUTED_VALUE"""),0.0)</f>
        <v>0</v>
      </c>
      <c r="T336" s="148" t="str">
        <f>IFERROR(__xludf.DUMMYFUNCTION("""COMPUTED_VALUE"""),"[]")</f>
        <v>[]</v>
      </c>
      <c r="U336" s="148">
        <f>IFERROR(__xludf.DUMMYFUNCTION("""COMPUTED_VALUE"""),0.0)</f>
        <v>0</v>
      </c>
      <c r="V336" s="148" t="str">
        <f>IFERROR(__xludf.DUMMYFUNCTION("""COMPUTED_VALUE"""),"{}")</f>
        <v>{}</v>
      </c>
      <c r="W336" s="148" t="str">
        <f>IFERROR(__xludf.DUMMYFUNCTION("""COMPUTED_VALUE"""),"[]")</f>
        <v>[]</v>
      </c>
      <c r="X336" s="148" t="str">
        <f>IFERROR(__xludf.DUMMYFUNCTION("""COMPUTED_VALUE"""),"[{""typ"":""power"",""id"":12141002,""val"":10}]")</f>
        <v>[{"typ":"power","id":12141002,"val":10}]</v>
      </c>
      <c r="Y336" s="148" t="str">
        <f>IFERROR(__xludf.DUMMYFUNCTION("""COMPUTED_VALUE"""),"[{""typ"":""atk"",""val"":225},{""typ"":""def"",""val"":125},{""typ"":""hp"",""val"":135},{""typ"":""speed"",""val"":50},{""typ"":""load"",""val"":20},{""typ"":""backcoef"",""val"":0.5},{""typ"":""atkcoef"",""val"":1.0},{""typ"":""atkcd"",""val"":0}]")</f>
        <v>[{"typ":"atk","val":225},{"typ":"def","val":125},{"typ":"hp","val":135},{"typ":"speed","val":50},{"typ":"load","val":20},{"typ":"backcoef","val":0.5},{"typ":"atkcoef","val":1.0},{"typ":"atkcd","val":0}]</v>
      </c>
      <c r="Z336" s="148" t="str">
        <f>IFERROR(__xludf.DUMMYFUNCTION("""COMPUTED_VALUE"""),"[]")</f>
        <v>[]</v>
      </c>
    </row>
    <row r="337">
      <c r="A337" s="148">
        <f>IFERROR(__xludf.DUMMYFUNCTION("""COMPUTED_VALUE"""),1.121902E7)</f>
        <v>11219020</v>
      </c>
      <c r="B337" s="148" t="str">
        <f>IFERROR(__xludf.DUMMYFUNCTION("""COMPUTED_VALUE"""),"押镖单位-BOSS5")</f>
        <v>押镖单位-BOSS5</v>
      </c>
      <c r="C337" s="148">
        <f>IFERROR(__xludf.DUMMYFUNCTION("""COMPUTED_VALUE"""),1.1221004E7)</f>
        <v>11221004</v>
      </c>
      <c r="D337" s="148">
        <f>IFERROR(__xludf.DUMMYFUNCTION("""COMPUTED_VALUE"""),1.5111315E7)</f>
        <v>15111315</v>
      </c>
      <c r="E337" s="148" t="str">
        <f>IFERROR(__xludf.DUMMYFUNCTION("""COMPUTED_VALUE"""),"{""typ"":""lc"",""txt"":""LC_MAP_escort_monster_name4""}")</f>
        <v>{"typ":"lc","txt":"LC_MAP_escort_monster_name4"}</v>
      </c>
      <c r="F337" s="148" t="str">
        <f>IFERROR(__xludf.DUMMYFUNCTION("""COMPUTED_VALUE"""),"{""typ"":""lc"",""txt"":""LC_MAP_escort_map_pop_ups_desc""}")</f>
        <v>{"typ":"lc","txt":"LC_MAP_escort_map_pop_ups_desc"}</v>
      </c>
      <c r="G337" s="148">
        <f>IFERROR(__xludf.DUMMYFUNCTION("""COMPUTED_VALUE"""),10.0)</f>
        <v>10</v>
      </c>
      <c r="H337" s="148">
        <f>IFERROR(__xludf.DUMMYFUNCTION("""COMPUTED_VALUE"""),10099.0)</f>
        <v>10099</v>
      </c>
      <c r="I337" s="148">
        <f>IFERROR(__xludf.DUMMYFUNCTION("""COMPUTED_VALUE"""),10099.0)</f>
        <v>10099</v>
      </c>
      <c r="J337" s="148">
        <f>IFERROR(__xludf.DUMMYFUNCTION("""COMPUTED_VALUE"""),0.0)</f>
        <v>0</v>
      </c>
      <c r="K337" s="148">
        <f>IFERROR(__xludf.DUMMYFUNCTION("""COMPUTED_VALUE"""),10.0)</f>
        <v>10</v>
      </c>
      <c r="L337" s="148">
        <f>IFERROR(__xludf.DUMMYFUNCTION("""COMPUTED_VALUE"""),99.0)</f>
        <v>99</v>
      </c>
      <c r="M337" s="148">
        <f>IFERROR(__xludf.DUMMYFUNCTION("""COMPUTED_VALUE"""),0.0)</f>
        <v>0</v>
      </c>
      <c r="N337" s="148" t="str">
        <f>IFERROR(__xludf.DUMMYFUNCTION("""COMPUTED_VALUE"""),"[]")</f>
        <v>[]</v>
      </c>
      <c r="O337" s="148" t="str">
        <f>IFERROR(__xludf.DUMMYFUNCTION("""COMPUTED_VALUE"""),"{}")</f>
        <v>{}</v>
      </c>
      <c r="P337" s="148">
        <f>IFERROR(__xludf.DUMMYFUNCTION("""COMPUTED_VALUE"""),0.0)</f>
        <v>0</v>
      </c>
      <c r="Q337" s="148" t="str">
        <f>IFERROR(__xludf.DUMMYFUNCTION("""COMPUTED_VALUE"""),"[]")</f>
        <v>[]</v>
      </c>
      <c r="R337" s="148" t="str">
        <f>IFERROR(__xludf.DUMMYFUNCTION("""COMPUTED_VALUE"""),"{}")</f>
        <v>{}</v>
      </c>
      <c r="S337" s="148">
        <f>IFERROR(__xludf.DUMMYFUNCTION("""COMPUTED_VALUE"""),0.0)</f>
        <v>0</v>
      </c>
      <c r="T337" s="148" t="str">
        <f>IFERROR(__xludf.DUMMYFUNCTION("""COMPUTED_VALUE"""),"[]")</f>
        <v>[]</v>
      </c>
      <c r="U337" s="148">
        <f>IFERROR(__xludf.DUMMYFUNCTION("""COMPUTED_VALUE"""),0.0)</f>
        <v>0</v>
      </c>
      <c r="V337" s="148" t="str">
        <f>IFERROR(__xludf.DUMMYFUNCTION("""COMPUTED_VALUE"""),"{}")</f>
        <v>{}</v>
      </c>
      <c r="W337" s="148" t="str">
        <f>IFERROR(__xludf.DUMMYFUNCTION("""COMPUTED_VALUE"""),"[]")</f>
        <v>[]</v>
      </c>
      <c r="X337" s="148" t="str">
        <f>IFERROR(__xludf.DUMMYFUNCTION("""COMPUTED_VALUE"""),"[{""typ"":""power"",""id"":12141002,""val"":10}]")</f>
        <v>[{"typ":"power","id":12141002,"val":10}]</v>
      </c>
      <c r="Y337" s="148" t="str">
        <f>IFERROR(__xludf.DUMMYFUNCTION("""COMPUTED_VALUE"""),"[{""typ"":""atk"",""val"":300},{""typ"":""def"",""val"":125},{""typ"":""hp"",""val"":135},{""typ"":""speed"",""val"":50},{""typ"":""load"",""val"":20},{""typ"":""backcoef"",""val"":0.5},{""typ"":""atkcoef"",""val"":1.0},{""typ"":""atkcd"",""val"":0}]")</f>
        <v>[{"typ":"atk","val":300},{"typ":"def","val":125},{"typ":"hp","val":135},{"typ":"speed","val":50},{"typ":"load","val":20},{"typ":"backcoef","val":0.5},{"typ":"atkcoef","val":1.0},{"typ":"atkcd","val":0}]</v>
      </c>
      <c r="Z337" s="148" t="str">
        <f>IFERROR(__xludf.DUMMYFUNCTION("""COMPUTED_VALUE"""),"[]")</f>
        <v>[]</v>
      </c>
    </row>
    <row r="338">
      <c r="A338" s="148">
        <f>IFERROR(__xludf.DUMMYFUNCTION("""COMPUTED_VALUE"""),1.1219101E7)</f>
        <v>11219101</v>
      </c>
      <c r="B338" s="148" t="str">
        <f>IFERROR(__xludf.DUMMYFUNCTION("""COMPUTED_VALUE"""),"太空争霸wonder怪")</f>
        <v>太空争霸wonder怪</v>
      </c>
      <c r="C338" s="148">
        <f>IFERROR(__xludf.DUMMYFUNCTION("""COMPUTED_VALUE"""),1.1221004E7)</f>
        <v>11221004</v>
      </c>
      <c r="D338" s="148">
        <f>IFERROR(__xludf.DUMMYFUNCTION("""COMPUTED_VALUE"""),1.5111315E7)</f>
        <v>15111315</v>
      </c>
      <c r="E338" s="148" t="str">
        <f>IFERROR(__xludf.DUMMYFUNCTION("""COMPUTED_VALUE"""),"{}")</f>
        <v>{}</v>
      </c>
      <c r="F338" s="148" t="str">
        <f>IFERROR(__xludf.DUMMYFUNCTION("""COMPUTED_VALUE"""),"{}")</f>
        <v>{}</v>
      </c>
      <c r="G338" s="148">
        <f>IFERROR(__xludf.DUMMYFUNCTION("""COMPUTED_VALUE"""),10.0)</f>
        <v>10</v>
      </c>
      <c r="H338" s="148">
        <f>IFERROR(__xludf.DUMMYFUNCTION("""COMPUTED_VALUE"""),10099.0)</f>
        <v>10099</v>
      </c>
      <c r="I338" s="148">
        <f>IFERROR(__xludf.DUMMYFUNCTION("""COMPUTED_VALUE"""),10099.0)</f>
        <v>10099</v>
      </c>
      <c r="J338" s="148">
        <f>IFERROR(__xludf.DUMMYFUNCTION("""COMPUTED_VALUE"""),0.0)</f>
        <v>0</v>
      </c>
      <c r="K338" s="148">
        <f>IFERROR(__xludf.DUMMYFUNCTION("""COMPUTED_VALUE"""),10.0)</f>
        <v>10</v>
      </c>
      <c r="L338" s="148">
        <f>IFERROR(__xludf.DUMMYFUNCTION("""COMPUTED_VALUE"""),99.0)</f>
        <v>99</v>
      </c>
      <c r="M338" s="148">
        <f>IFERROR(__xludf.DUMMYFUNCTION("""COMPUTED_VALUE"""),0.0)</f>
        <v>0</v>
      </c>
      <c r="N338" s="148" t="str">
        <f>IFERROR(__xludf.DUMMYFUNCTION("""COMPUTED_VALUE"""),"[]")</f>
        <v>[]</v>
      </c>
      <c r="O338" s="148" t="str">
        <f>IFERROR(__xludf.DUMMYFUNCTION("""COMPUTED_VALUE"""),"{}")</f>
        <v>{}</v>
      </c>
      <c r="P338" s="148">
        <f>IFERROR(__xludf.DUMMYFUNCTION("""COMPUTED_VALUE"""),0.0)</f>
        <v>0</v>
      </c>
      <c r="Q338" s="148" t="str">
        <f>IFERROR(__xludf.DUMMYFUNCTION("""COMPUTED_VALUE"""),"[]")</f>
        <v>[]</v>
      </c>
      <c r="R338" s="148" t="str">
        <f>IFERROR(__xludf.DUMMYFUNCTION("""COMPUTED_VALUE"""),"{}")</f>
        <v>{}</v>
      </c>
      <c r="S338" s="148">
        <f>IFERROR(__xludf.DUMMYFUNCTION("""COMPUTED_VALUE"""),0.0)</f>
        <v>0</v>
      </c>
      <c r="T338" s="148" t="str">
        <f>IFERROR(__xludf.DUMMYFUNCTION("""COMPUTED_VALUE"""),"[]")</f>
        <v>[]</v>
      </c>
      <c r="U338" s="148">
        <f>IFERROR(__xludf.DUMMYFUNCTION("""COMPUTED_VALUE"""),0.0)</f>
        <v>0</v>
      </c>
      <c r="V338" s="148" t="str">
        <f>IFERROR(__xludf.DUMMYFUNCTION("""COMPUTED_VALUE"""),"{}")</f>
        <v>{}</v>
      </c>
      <c r="W338" s="148" t="str">
        <f>IFERROR(__xludf.DUMMYFUNCTION("""COMPUTED_VALUE"""),"[]")</f>
        <v>[]</v>
      </c>
      <c r="X338" s="148" t="str">
        <f>IFERROR(__xludf.DUMMYFUNCTION("""COMPUTED_VALUE"""),"[{""typ"":""power"",""id"":12141002,""val"":10}]")</f>
        <v>[{"typ":"power","id":12141002,"val":10}]</v>
      </c>
      <c r="Y338" s="148" t="str">
        <f>IFERROR(__xludf.DUMMYFUNCTION("""COMPUTED_VALUE"""),"[{""typ"":""atk"",""val"":230},{""typ"":""def"",""val"":210},{""typ"":""hp"",""val"":240},{""typ"":""speed"",""val"":50},{""typ"":""load"",""val"":20},{""typ"":""backcoef"",""val"":0.5},{""typ"":""atkcoef"",""val"":1.0},{""typ"":""atkcd"",""val"":0}]")</f>
        <v>[{"typ":"atk","val":230},{"typ":"def","val":210},{"typ":"hp","val":240},{"typ":"speed","val":50},{"typ":"load","val":20},{"typ":"backcoef","val":0.5},{"typ":"atkcoef","val":1.0},{"typ":"atkcd","val":0}]</v>
      </c>
      <c r="Z338" s="148" t="str">
        <f>IFERROR(__xludf.DUMMYFUNCTION("""COMPUTED_VALUE"""),"[]")</f>
        <v>[]</v>
      </c>
    </row>
    <row r="339">
      <c r="A339" s="148">
        <f>IFERROR(__xludf.DUMMYFUNCTION("""COMPUTED_VALUE"""),1.1219102E7)</f>
        <v>11219102</v>
      </c>
      <c r="B339" s="148" t="str">
        <f>IFERROR(__xludf.DUMMYFUNCTION("""COMPUTED_VALUE"""),"太空争霸拦路巨猿")</f>
        <v>太空争霸拦路巨猿</v>
      </c>
      <c r="C339" s="148">
        <f>IFERROR(__xludf.DUMMYFUNCTION("""COMPUTED_VALUE"""),1.1221004E7)</f>
        <v>11221004</v>
      </c>
      <c r="D339" s="148">
        <f>IFERROR(__xludf.DUMMYFUNCTION("""COMPUTED_VALUE"""),1.5111315E7)</f>
        <v>15111315</v>
      </c>
      <c r="E339" s="148" t="str">
        <f>IFERROR(__xludf.DUMMYFUNCTION("""COMPUTED_VALUE"""),"{}")</f>
        <v>{}</v>
      </c>
      <c r="F339" s="148" t="str">
        <f>IFERROR(__xludf.DUMMYFUNCTION("""COMPUTED_VALUE"""),"{}")</f>
        <v>{}</v>
      </c>
      <c r="G339" s="148">
        <f>IFERROR(__xludf.DUMMYFUNCTION("""COMPUTED_VALUE"""),10.0)</f>
        <v>10</v>
      </c>
      <c r="H339" s="148">
        <f>IFERROR(__xludf.DUMMYFUNCTION("""COMPUTED_VALUE"""),10099.0)</f>
        <v>10099</v>
      </c>
      <c r="I339" s="148">
        <f>IFERROR(__xludf.DUMMYFUNCTION("""COMPUTED_VALUE"""),10099.0)</f>
        <v>10099</v>
      </c>
      <c r="J339" s="148">
        <f>IFERROR(__xludf.DUMMYFUNCTION("""COMPUTED_VALUE"""),0.0)</f>
        <v>0</v>
      </c>
      <c r="K339" s="148">
        <f>IFERROR(__xludf.DUMMYFUNCTION("""COMPUTED_VALUE"""),10.0)</f>
        <v>10</v>
      </c>
      <c r="L339" s="148">
        <f>IFERROR(__xludf.DUMMYFUNCTION("""COMPUTED_VALUE"""),99.0)</f>
        <v>99</v>
      </c>
      <c r="M339" s="148">
        <f>IFERROR(__xludf.DUMMYFUNCTION("""COMPUTED_VALUE"""),0.0)</f>
        <v>0</v>
      </c>
      <c r="N339" s="148" t="str">
        <f>IFERROR(__xludf.DUMMYFUNCTION("""COMPUTED_VALUE"""),"[]")</f>
        <v>[]</v>
      </c>
      <c r="O339" s="148" t="str">
        <f>IFERROR(__xludf.DUMMYFUNCTION("""COMPUTED_VALUE"""),"{}")</f>
        <v>{}</v>
      </c>
      <c r="P339" s="148">
        <f>IFERROR(__xludf.DUMMYFUNCTION("""COMPUTED_VALUE"""),0.0)</f>
        <v>0</v>
      </c>
      <c r="Q339" s="148" t="str">
        <f>IFERROR(__xludf.DUMMYFUNCTION("""COMPUTED_VALUE"""),"[]")</f>
        <v>[]</v>
      </c>
      <c r="R339" s="148" t="str">
        <f>IFERROR(__xludf.DUMMYFUNCTION("""COMPUTED_VALUE"""),"{}")</f>
        <v>{}</v>
      </c>
      <c r="S339" s="148">
        <f>IFERROR(__xludf.DUMMYFUNCTION("""COMPUTED_VALUE"""),0.0)</f>
        <v>0</v>
      </c>
      <c r="T339" s="148" t="str">
        <f>IFERROR(__xludf.DUMMYFUNCTION("""COMPUTED_VALUE"""),"[]")</f>
        <v>[]</v>
      </c>
      <c r="U339" s="148">
        <f>IFERROR(__xludf.DUMMYFUNCTION("""COMPUTED_VALUE"""),0.0)</f>
        <v>0</v>
      </c>
      <c r="V339" s="148" t="str">
        <f>IFERROR(__xludf.DUMMYFUNCTION("""COMPUTED_VALUE"""),"{}")</f>
        <v>{}</v>
      </c>
      <c r="W339" s="148" t="str">
        <f>IFERROR(__xludf.DUMMYFUNCTION("""COMPUTED_VALUE"""),"[]")</f>
        <v>[]</v>
      </c>
      <c r="X339" s="148" t="str">
        <f>IFERROR(__xludf.DUMMYFUNCTION("""COMPUTED_VALUE"""),"[{""typ"":""power"",""id"":12141002,""val"":60}]")</f>
        <v>[{"typ":"power","id":12141002,"val":60}]</v>
      </c>
      <c r="Y339" s="148" t="str">
        <f>IFERROR(__xludf.DUMMYFUNCTION("""COMPUTED_VALUE"""),"[{""typ"":""atk"",""val"":400},{""typ"":""def"",""val"":380},{""typ"":""hp"",""val"":100},{""typ"":""speed"",""val"":40},{""typ"":""load"",""val"":20},{""typ"":""backcoef"",""val"":0.5},{""typ"":""atkcoef"",""val"":1.0},{""typ"":""atkcd"",""val"":0}]")</f>
        <v>[{"typ":"atk","val":400},{"typ":"def","val":380},{"typ":"hp","val":100},{"typ":"speed","val":40},{"typ":"load","val":20},{"typ":"backcoef","val":0.5},{"typ":"atkcoef","val":1.0},{"typ":"atkcd","val":0}]</v>
      </c>
      <c r="Z339" s="148" t="str">
        <f>IFERROR(__xludf.DUMMYFUNCTION("""COMPUTED_VALUE"""),"[]")</f>
        <v>[]</v>
      </c>
    </row>
    <row r="340">
      <c r="A340" s="148">
        <f>IFERROR(__xludf.DUMMYFUNCTION("""COMPUTED_VALUE"""),1.1219103E7)</f>
        <v>11219103</v>
      </c>
      <c r="B340" s="148" t="str">
        <f>IFERROR(__xludf.DUMMYFUNCTION("""COMPUTED_VALUE"""),"圣诞巨猿")</f>
        <v>圣诞巨猿</v>
      </c>
      <c r="C340" s="148">
        <f>IFERROR(__xludf.DUMMYFUNCTION("""COMPUTED_VALUE"""),1.1221004E7)</f>
        <v>11221004</v>
      </c>
      <c r="D340" s="148">
        <f>IFERROR(__xludf.DUMMYFUNCTION("""COMPUTED_VALUE"""),1.5115711E7)</f>
        <v>15115711</v>
      </c>
      <c r="E340" s="148" t="str">
        <f>IFERROR(__xludf.DUMMYFUNCTION("""COMPUTED_VALUE"""),"{}")</f>
        <v>{}</v>
      </c>
      <c r="F340" s="148" t="str">
        <f>IFERROR(__xludf.DUMMYFUNCTION("""COMPUTED_VALUE"""),"{}")</f>
        <v>{}</v>
      </c>
      <c r="G340" s="148">
        <f>IFERROR(__xludf.DUMMYFUNCTION("""COMPUTED_VALUE"""),10.0)</f>
        <v>10</v>
      </c>
      <c r="H340" s="148">
        <f>IFERROR(__xludf.DUMMYFUNCTION("""COMPUTED_VALUE"""),10099.0)</f>
        <v>10099</v>
      </c>
      <c r="I340" s="148">
        <f>IFERROR(__xludf.DUMMYFUNCTION("""COMPUTED_VALUE"""),10099.0)</f>
        <v>10099</v>
      </c>
      <c r="J340" s="148">
        <f>IFERROR(__xludf.DUMMYFUNCTION("""COMPUTED_VALUE"""),0.0)</f>
        <v>0</v>
      </c>
      <c r="K340" s="148">
        <f>IFERROR(__xludf.DUMMYFUNCTION("""COMPUTED_VALUE"""),10.0)</f>
        <v>10</v>
      </c>
      <c r="L340" s="148">
        <f>IFERROR(__xludf.DUMMYFUNCTION("""COMPUTED_VALUE"""),99.0)</f>
        <v>99</v>
      </c>
      <c r="M340" s="148">
        <f>IFERROR(__xludf.DUMMYFUNCTION("""COMPUTED_VALUE"""),0.0)</f>
        <v>0</v>
      </c>
      <c r="N340" s="148" t="str">
        <f>IFERROR(__xludf.DUMMYFUNCTION("""COMPUTED_VALUE"""),"[]")</f>
        <v>[]</v>
      </c>
      <c r="O340" s="148" t="str">
        <f>IFERROR(__xludf.DUMMYFUNCTION("""COMPUTED_VALUE"""),"{}")</f>
        <v>{}</v>
      </c>
      <c r="P340" s="148">
        <f>IFERROR(__xludf.DUMMYFUNCTION("""COMPUTED_VALUE"""),0.0)</f>
        <v>0</v>
      </c>
      <c r="Q340" s="148" t="str">
        <f>IFERROR(__xludf.DUMMYFUNCTION("""COMPUTED_VALUE"""),"[]")</f>
        <v>[]</v>
      </c>
      <c r="R340" s="148" t="str">
        <f>IFERROR(__xludf.DUMMYFUNCTION("""COMPUTED_VALUE"""),"{}")</f>
        <v>{}</v>
      </c>
      <c r="S340" s="148">
        <f>IFERROR(__xludf.DUMMYFUNCTION("""COMPUTED_VALUE"""),0.0)</f>
        <v>0</v>
      </c>
      <c r="T340" s="148" t="str">
        <f>IFERROR(__xludf.DUMMYFUNCTION("""COMPUTED_VALUE"""),"[]")</f>
        <v>[]</v>
      </c>
      <c r="U340" s="148">
        <f>IFERROR(__xludf.DUMMYFUNCTION("""COMPUTED_VALUE"""),0.0)</f>
        <v>0</v>
      </c>
      <c r="V340" s="148" t="str">
        <f>IFERROR(__xludf.DUMMYFUNCTION("""COMPUTED_VALUE"""),"{}")</f>
        <v>{}</v>
      </c>
      <c r="W340" s="148" t="str">
        <f>IFERROR(__xludf.DUMMYFUNCTION("""COMPUTED_VALUE"""),"[]")</f>
        <v>[]</v>
      </c>
      <c r="X340" s="148" t="str">
        <f>IFERROR(__xludf.DUMMYFUNCTION("""COMPUTED_VALUE"""),"[{""typ"":""power"",""id"":12141002,""val"":60}]")</f>
        <v>[{"typ":"power","id":12141002,"val":60}]</v>
      </c>
      <c r="Y340" s="148" t="str">
        <f>IFERROR(__xludf.DUMMYFUNCTION("""COMPUTED_VALUE"""),"[{""typ"":""atk"",""val"":120},{""typ"":""def"",""val"":200},{""typ"":""hp"",""val"":150},{""typ"":""speed"",""val"":40},{""typ"":""load"",""val"":20},{""typ"":""backcoef"",""val"":0.5},{""typ"":""atkcoef"",""val"":1.0},{""typ"":""atkcd"",""val"":0}]")</f>
        <v>[{"typ":"atk","val":120},{"typ":"def","val":200},{"typ":"hp","val":150},{"typ":"speed","val":40},{"typ":"load","val":20},{"typ":"backcoef","val":0.5},{"typ":"atkcoef","val":1.0},{"typ":"atkcd","val":0}]</v>
      </c>
      <c r="Z340" s="148" t="str">
        <f>IFERROR(__xludf.DUMMYFUNCTION("""COMPUTED_VALUE"""),"[]")</f>
        <v>[]</v>
      </c>
    </row>
    <row r="341">
      <c r="A341" s="148">
        <f>IFERROR(__xludf.DUMMYFUNCTION("""COMPUTED_VALUE"""),1.1219104E7)</f>
        <v>11219104</v>
      </c>
      <c r="B341" s="148" t="str">
        <f>IFERROR(__xludf.DUMMYFUNCTION("""COMPUTED_VALUE"""),"2023春节巨猿")</f>
        <v>2023春节巨猿</v>
      </c>
      <c r="C341" s="148">
        <f>IFERROR(__xludf.DUMMYFUNCTION("""COMPUTED_VALUE"""),1.1221004E7)</f>
        <v>11221004</v>
      </c>
      <c r="D341" s="148">
        <f>IFERROR(__xludf.DUMMYFUNCTION("""COMPUTED_VALUE"""),1.5115821E7)</f>
        <v>15115821</v>
      </c>
      <c r="E341" s="148" t="str">
        <f>IFERROR(__xludf.DUMMYFUNCTION("""COMPUTED_VALUE"""),"{}")</f>
        <v>{}</v>
      </c>
      <c r="F341" s="148" t="str">
        <f>IFERROR(__xludf.DUMMYFUNCTION("""COMPUTED_VALUE"""),"{}")</f>
        <v>{}</v>
      </c>
      <c r="G341" s="148">
        <f>IFERROR(__xludf.DUMMYFUNCTION("""COMPUTED_VALUE"""),10.0)</f>
        <v>10</v>
      </c>
      <c r="H341" s="148">
        <f>IFERROR(__xludf.DUMMYFUNCTION("""COMPUTED_VALUE"""),10099.0)</f>
        <v>10099</v>
      </c>
      <c r="I341" s="148">
        <f>IFERROR(__xludf.DUMMYFUNCTION("""COMPUTED_VALUE"""),10099.0)</f>
        <v>10099</v>
      </c>
      <c r="J341" s="148">
        <f>IFERROR(__xludf.DUMMYFUNCTION("""COMPUTED_VALUE"""),0.0)</f>
        <v>0</v>
      </c>
      <c r="K341" s="148">
        <f>IFERROR(__xludf.DUMMYFUNCTION("""COMPUTED_VALUE"""),10.0)</f>
        <v>10</v>
      </c>
      <c r="L341" s="148">
        <f>IFERROR(__xludf.DUMMYFUNCTION("""COMPUTED_VALUE"""),99.0)</f>
        <v>99</v>
      </c>
      <c r="M341" s="148">
        <f>IFERROR(__xludf.DUMMYFUNCTION("""COMPUTED_VALUE"""),0.0)</f>
        <v>0</v>
      </c>
      <c r="N341" s="148" t="str">
        <f>IFERROR(__xludf.DUMMYFUNCTION("""COMPUTED_VALUE"""),"[]")</f>
        <v>[]</v>
      </c>
      <c r="O341" s="148" t="str">
        <f>IFERROR(__xludf.DUMMYFUNCTION("""COMPUTED_VALUE"""),"{}")</f>
        <v>{}</v>
      </c>
      <c r="P341" s="148">
        <f>IFERROR(__xludf.DUMMYFUNCTION("""COMPUTED_VALUE"""),0.0)</f>
        <v>0</v>
      </c>
      <c r="Q341" s="148" t="str">
        <f>IFERROR(__xludf.DUMMYFUNCTION("""COMPUTED_VALUE"""),"[]")</f>
        <v>[]</v>
      </c>
      <c r="R341" s="148" t="str">
        <f>IFERROR(__xludf.DUMMYFUNCTION("""COMPUTED_VALUE"""),"{}")</f>
        <v>{}</v>
      </c>
      <c r="S341" s="148">
        <f>IFERROR(__xludf.DUMMYFUNCTION("""COMPUTED_VALUE"""),0.0)</f>
        <v>0</v>
      </c>
      <c r="T341" s="148" t="str">
        <f>IFERROR(__xludf.DUMMYFUNCTION("""COMPUTED_VALUE"""),"[]")</f>
        <v>[]</v>
      </c>
      <c r="U341" s="148">
        <f>IFERROR(__xludf.DUMMYFUNCTION("""COMPUTED_VALUE"""),0.0)</f>
        <v>0</v>
      </c>
      <c r="V341" s="148" t="str">
        <f>IFERROR(__xludf.DUMMYFUNCTION("""COMPUTED_VALUE"""),"{}")</f>
        <v>{}</v>
      </c>
      <c r="W341" s="148" t="str">
        <f>IFERROR(__xludf.DUMMYFUNCTION("""COMPUTED_VALUE"""),"[]")</f>
        <v>[]</v>
      </c>
      <c r="X341" s="148" t="str">
        <f>IFERROR(__xludf.DUMMYFUNCTION("""COMPUTED_VALUE"""),"[{""typ"":""power"",""id"":12141002,""val"":60}]")</f>
        <v>[{"typ":"power","id":12141002,"val":60}]</v>
      </c>
      <c r="Y341" s="148" t="str">
        <f>IFERROR(__xludf.DUMMYFUNCTION("""COMPUTED_VALUE"""),"[{""typ"":""atk"",""val"":120},{""typ"":""def"",""val"":200},{""typ"":""hp"",""val"":150},{""typ"":""speed"",""val"":40},{""typ"":""load"",""val"":20},{""typ"":""backcoef"",""val"":0.5},{""typ"":""atkcoef"",""val"":1.0},{""typ"":""atkcd"",""val"":0}]")</f>
        <v>[{"typ":"atk","val":120},{"typ":"def","val":200},{"typ":"hp","val":150},{"typ":"speed","val":40},{"typ":"load","val":20},{"typ":"backcoef","val":0.5},{"typ":"atkcoef","val":1.0},{"typ":"atkcd","val":0}]</v>
      </c>
      <c r="Z341" s="148" t="str">
        <f>IFERROR(__xludf.DUMMYFUNCTION("""COMPUTED_VALUE"""),"[]")</f>
        <v>[]</v>
      </c>
    </row>
    <row r="342">
      <c r="A342" s="148">
        <f>IFERROR(__xludf.DUMMYFUNCTION("""COMPUTED_VALUE"""),1.1219105E7)</f>
        <v>11219105</v>
      </c>
      <c r="B342" s="148" t="str">
        <f>IFERROR(__xludf.DUMMYFUNCTION("""COMPUTED_VALUE"""),"2023科技节巨猿")</f>
        <v>2023科技节巨猿</v>
      </c>
      <c r="C342" s="148">
        <f>IFERROR(__xludf.DUMMYFUNCTION("""COMPUTED_VALUE"""),1.1221004E7)</f>
        <v>11221004</v>
      </c>
      <c r="D342" s="148">
        <f>IFERROR(__xludf.DUMMYFUNCTION("""COMPUTED_VALUE"""),1.5116046E7)</f>
        <v>15116046</v>
      </c>
      <c r="E342" s="148" t="str">
        <f>IFERROR(__xludf.DUMMYFUNCTION("""COMPUTED_VALUE"""),"{}")</f>
        <v>{}</v>
      </c>
      <c r="F342" s="148" t="str">
        <f>IFERROR(__xludf.DUMMYFUNCTION("""COMPUTED_VALUE"""),"{}")</f>
        <v>{}</v>
      </c>
      <c r="G342" s="148">
        <f>IFERROR(__xludf.DUMMYFUNCTION("""COMPUTED_VALUE"""),10.0)</f>
        <v>10</v>
      </c>
      <c r="H342" s="148">
        <f>IFERROR(__xludf.DUMMYFUNCTION("""COMPUTED_VALUE"""),10099.0)</f>
        <v>10099</v>
      </c>
      <c r="I342" s="148">
        <f>IFERROR(__xludf.DUMMYFUNCTION("""COMPUTED_VALUE"""),10099.0)</f>
        <v>10099</v>
      </c>
      <c r="J342" s="148">
        <f>IFERROR(__xludf.DUMMYFUNCTION("""COMPUTED_VALUE"""),0.0)</f>
        <v>0</v>
      </c>
      <c r="K342" s="148">
        <f>IFERROR(__xludf.DUMMYFUNCTION("""COMPUTED_VALUE"""),10.0)</f>
        <v>10</v>
      </c>
      <c r="L342" s="148">
        <f>IFERROR(__xludf.DUMMYFUNCTION("""COMPUTED_VALUE"""),99.0)</f>
        <v>99</v>
      </c>
      <c r="M342" s="148">
        <f>IFERROR(__xludf.DUMMYFUNCTION("""COMPUTED_VALUE"""),0.0)</f>
        <v>0</v>
      </c>
      <c r="N342" s="148" t="str">
        <f>IFERROR(__xludf.DUMMYFUNCTION("""COMPUTED_VALUE"""),"[]")</f>
        <v>[]</v>
      </c>
      <c r="O342" s="148" t="str">
        <f>IFERROR(__xludf.DUMMYFUNCTION("""COMPUTED_VALUE"""),"{}")</f>
        <v>{}</v>
      </c>
      <c r="P342" s="148">
        <f>IFERROR(__xludf.DUMMYFUNCTION("""COMPUTED_VALUE"""),0.0)</f>
        <v>0</v>
      </c>
      <c r="Q342" s="148" t="str">
        <f>IFERROR(__xludf.DUMMYFUNCTION("""COMPUTED_VALUE"""),"[]")</f>
        <v>[]</v>
      </c>
      <c r="R342" s="148" t="str">
        <f>IFERROR(__xludf.DUMMYFUNCTION("""COMPUTED_VALUE"""),"{}")</f>
        <v>{}</v>
      </c>
      <c r="S342" s="148">
        <f>IFERROR(__xludf.DUMMYFUNCTION("""COMPUTED_VALUE"""),0.0)</f>
        <v>0</v>
      </c>
      <c r="T342" s="148" t="str">
        <f>IFERROR(__xludf.DUMMYFUNCTION("""COMPUTED_VALUE"""),"[]")</f>
        <v>[]</v>
      </c>
      <c r="U342" s="148">
        <f>IFERROR(__xludf.DUMMYFUNCTION("""COMPUTED_VALUE"""),0.0)</f>
        <v>0</v>
      </c>
      <c r="V342" s="148" t="str">
        <f>IFERROR(__xludf.DUMMYFUNCTION("""COMPUTED_VALUE"""),"{}")</f>
        <v>{}</v>
      </c>
      <c r="W342" s="148" t="str">
        <f>IFERROR(__xludf.DUMMYFUNCTION("""COMPUTED_VALUE"""),"[]")</f>
        <v>[]</v>
      </c>
      <c r="X342" s="148" t="str">
        <f>IFERROR(__xludf.DUMMYFUNCTION("""COMPUTED_VALUE"""),"[{""typ"":""power"",""id"":12141002,""val"":60}]")</f>
        <v>[{"typ":"power","id":12141002,"val":60}]</v>
      </c>
      <c r="Y342" s="148" t="str">
        <f>IFERROR(__xludf.DUMMYFUNCTION("""COMPUTED_VALUE"""),"[{""typ"":""atk"",""val"":120},{""typ"":""def"",""val"":200},{""typ"":""hp"",""val"":150},{""typ"":""speed"",""val"":40},{""typ"":""load"",""val"":20},{""typ"":""backcoef"",""val"":0.5},{""typ"":""atkcoef"",""val"":1.0},{""typ"":""atkcd"",""val"":0}]")</f>
        <v>[{"typ":"atk","val":120},{"typ":"def","val":200},{"typ":"hp","val":150},{"typ":"speed","val":40},{"typ":"load","val":20},{"typ":"backcoef","val":0.5},{"typ":"atkcoef","val":1.0},{"typ":"atkcd","val":0}]</v>
      </c>
      <c r="Z342" s="148" t="str">
        <f>IFERROR(__xludf.DUMMYFUNCTION("""COMPUTED_VALUE"""),"[]")</f>
        <v>[]</v>
      </c>
    </row>
    <row r="343">
      <c r="A343" s="148">
        <f>IFERROR(__xludf.DUMMYFUNCTION("""COMPUTED_VALUE"""),1.1219106E7)</f>
        <v>11219106</v>
      </c>
      <c r="B343" s="148" t="str">
        <f>IFERROR(__xludf.DUMMYFUNCTION("""COMPUTED_VALUE"""),"2023复活节巨猿")</f>
        <v>2023复活节巨猿</v>
      </c>
      <c r="C343" s="148">
        <f>IFERROR(__xludf.DUMMYFUNCTION("""COMPUTED_VALUE"""),1.1221004E7)</f>
        <v>11221004</v>
      </c>
      <c r="D343" s="148">
        <f>IFERROR(__xludf.DUMMYFUNCTION("""COMPUTED_VALUE"""),1.5116046E7)</f>
        <v>15116046</v>
      </c>
      <c r="E343" s="148" t="str">
        <f>IFERROR(__xludf.DUMMYFUNCTION("""COMPUTED_VALUE"""),"{}")</f>
        <v>{}</v>
      </c>
      <c r="F343" s="148" t="str">
        <f>IFERROR(__xludf.DUMMYFUNCTION("""COMPUTED_VALUE"""),"{}")</f>
        <v>{}</v>
      </c>
      <c r="G343" s="148">
        <f>IFERROR(__xludf.DUMMYFUNCTION("""COMPUTED_VALUE"""),10.0)</f>
        <v>10</v>
      </c>
      <c r="H343" s="148">
        <f>IFERROR(__xludf.DUMMYFUNCTION("""COMPUTED_VALUE"""),10099.0)</f>
        <v>10099</v>
      </c>
      <c r="I343" s="148">
        <f>IFERROR(__xludf.DUMMYFUNCTION("""COMPUTED_VALUE"""),10099.0)</f>
        <v>10099</v>
      </c>
      <c r="J343" s="148">
        <f>IFERROR(__xludf.DUMMYFUNCTION("""COMPUTED_VALUE"""),0.0)</f>
        <v>0</v>
      </c>
      <c r="K343" s="148">
        <f>IFERROR(__xludf.DUMMYFUNCTION("""COMPUTED_VALUE"""),10.0)</f>
        <v>10</v>
      </c>
      <c r="L343" s="148">
        <f>IFERROR(__xludf.DUMMYFUNCTION("""COMPUTED_VALUE"""),99.0)</f>
        <v>99</v>
      </c>
      <c r="M343" s="148">
        <f>IFERROR(__xludf.DUMMYFUNCTION("""COMPUTED_VALUE"""),0.0)</f>
        <v>0</v>
      </c>
      <c r="N343" s="148" t="str">
        <f>IFERROR(__xludf.DUMMYFUNCTION("""COMPUTED_VALUE"""),"[]")</f>
        <v>[]</v>
      </c>
      <c r="O343" s="148" t="str">
        <f>IFERROR(__xludf.DUMMYFUNCTION("""COMPUTED_VALUE"""),"{}")</f>
        <v>{}</v>
      </c>
      <c r="P343" s="148">
        <f>IFERROR(__xludf.DUMMYFUNCTION("""COMPUTED_VALUE"""),0.0)</f>
        <v>0</v>
      </c>
      <c r="Q343" s="148" t="str">
        <f>IFERROR(__xludf.DUMMYFUNCTION("""COMPUTED_VALUE"""),"[]")</f>
        <v>[]</v>
      </c>
      <c r="R343" s="148" t="str">
        <f>IFERROR(__xludf.DUMMYFUNCTION("""COMPUTED_VALUE"""),"{}")</f>
        <v>{}</v>
      </c>
      <c r="S343" s="148">
        <f>IFERROR(__xludf.DUMMYFUNCTION("""COMPUTED_VALUE"""),0.0)</f>
        <v>0</v>
      </c>
      <c r="T343" s="148" t="str">
        <f>IFERROR(__xludf.DUMMYFUNCTION("""COMPUTED_VALUE"""),"[]")</f>
        <v>[]</v>
      </c>
      <c r="U343" s="148">
        <f>IFERROR(__xludf.DUMMYFUNCTION("""COMPUTED_VALUE"""),0.0)</f>
        <v>0</v>
      </c>
      <c r="V343" s="148" t="str">
        <f>IFERROR(__xludf.DUMMYFUNCTION("""COMPUTED_VALUE"""),"{}")</f>
        <v>{}</v>
      </c>
      <c r="W343" s="148" t="str">
        <f>IFERROR(__xludf.DUMMYFUNCTION("""COMPUTED_VALUE"""),"[]")</f>
        <v>[]</v>
      </c>
      <c r="X343" s="148" t="str">
        <f>IFERROR(__xludf.DUMMYFUNCTION("""COMPUTED_VALUE"""),"[{""typ"":""power"",""id"":12141002,""val"":60}]")</f>
        <v>[{"typ":"power","id":12141002,"val":60}]</v>
      </c>
      <c r="Y343" s="148" t="str">
        <f>IFERROR(__xludf.DUMMYFUNCTION("""COMPUTED_VALUE"""),"[{""typ"":""atk"",""val"":120},{""typ"":""def"",""val"":200},{""typ"":""hp"",""val"":150},{""typ"":""speed"",""val"":40},{""typ"":""load"",""val"":20},{""typ"":""backcoef"",""val"":0.5},{""typ"":""atkcoef"",""val"":1.0},{""typ"":""atkcd"",""val"":0}]")</f>
        <v>[{"typ":"atk","val":120},{"typ":"def","val":200},{"typ":"hp","val":150},{"typ":"speed","val":40},{"typ":"load","val":20},{"typ":"backcoef","val":0.5},{"typ":"atkcoef","val":1.0},{"typ":"atkcd","val":0}]</v>
      </c>
      <c r="Z343" s="148" t="str">
        <f>IFERROR(__xludf.DUMMYFUNCTION("""COMPUTED_VALUE"""),"[]")</f>
        <v>[]</v>
      </c>
    </row>
    <row r="344">
      <c r="A344" s="148">
        <f>IFERROR(__xludf.DUMMYFUNCTION("""COMPUTED_VALUE"""),1.1219107E7)</f>
        <v>11219107</v>
      </c>
      <c r="B344" s="148" t="str">
        <f>IFERROR(__xludf.DUMMYFUNCTION("""COMPUTED_VALUE"""),"2023沙滩节巨猿")</f>
        <v>2023沙滩节巨猿</v>
      </c>
      <c r="C344" s="148">
        <f>IFERROR(__xludf.DUMMYFUNCTION("""COMPUTED_VALUE"""),1.1221004E7)</f>
        <v>11221004</v>
      </c>
      <c r="D344" s="148">
        <f>IFERROR(__xludf.DUMMYFUNCTION("""COMPUTED_VALUE"""),1.5116046E7)</f>
        <v>15116046</v>
      </c>
      <c r="E344" s="148" t="str">
        <f>IFERROR(__xludf.DUMMYFUNCTION("""COMPUTED_VALUE"""),"{}")</f>
        <v>{}</v>
      </c>
      <c r="F344" s="148" t="str">
        <f>IFERROR(__xludf.DUMMYFUNCTION("""COMPUTED_VALUE"""),"{}")</f>
        <v>{}</v>
      </c>
      <c r="G344" s="148">
        <f>IFERROR(__xludf.DUMMYFUNCTION("""COMPUTED_VALUE"""),10.0)</f>
        <v>10</v>
      </c>
      <c r="H344" s="148">
        <f>IFERROR(__xludf.DUMMYFUNCTION("""COMPUTED_VALUE"""),10099.0)</f>
        <v>10099</v>
      </c>
      <c r="I344" s="148">
        <f>IFERROR(__xludf.DUMMYFUNCTION("""COMPUTED_VALUE"""),10099.0)</f>
        <v>10099</v>
      </c>
      <c r="J344" s="148">
        <f>IFERROR(__xludf.DUMMYFUNCTION("""COMPUTED_VALUE"""),0.0)</f>
        <v>0</v>
      </c>
      <c r="K344" s="148">
        <f>IFERROR(__xludf.DUMMYFUNCTION("""COMPUTED_VALUE"""),10.0)</f>
        <v>10</v>
      </c>
      <c r="L344" s="148">
        <f>IFERROR(__xludf.DUMMYFUNCTION("""COMPUTED_VALUE"""),99.0)</f>
        <v>99</v>
      </c>
      <c r="M344" s="148">
        <f>IFERROR(__xludf.DUMMYFUNCTION("""COMPUTED_VALUE"""),0.0)</f>
        <v>0</v>
      </c>
      <c r="N344" s="148" t="str">
        <f>IFERROR(__xludf.DUMMYFUNCTION("""COMPUTED_VALUE"""),"[]")</f>
        <v>[]</v>
      </c>
      <c r="O344" s="148" t="str">
        <f>IFERROR(__xludf.DUMMYFUNCTION("""COMPUTED_VALUE"""),"{}")</f>
        <v>{}</v>
      </c>
      <c r="P344" s="148">
        <f>IFERROR(__xludf.DUMMYFUNCTION("""COMPUTED_VALUE"""),0.0)</f>
        <v>0</v>
      </c>
      <c r="Q344" s="148" t="str">
        <f>IFERROR(__xludf.DUMMYFUNCTION("""COMPUTED_VALUE"""),"[]")</f>
        <v>[]</v>
      </c>
      <c r="R344" s="148" t="str">
        <f>IFERROR(__xludf.DUMMYFUNCTION("""COMPUTED_VALUE"""),"{}")</f>
        <v>{}</v>
      </c>
      <c r="S344" s="148">
        <f>IFERROR(__xludf.DUMMYFUNCTION("""COMPUTED_VALUE"""),0.0)</f>
        <v>0</v>
      </c>
      <c r="T344" s="148" t="str">
        <f>IFERROR(__xludf.DUMMYFUNCTION("""COMPUTED_VALUE"""),"[]")</f>
        <v>[]</v>
      </c>
      <c r="U344" s="148">
        <f>IFERROR(__xludf.DUMMYFUNCTION("""COMPUTED_VALUE"""),0.0)</f>
        <v>0</v>
      </c>
      <c r="V344" s="148" t="str">
        <f>IFERROR(__xludf.DUMMYFUNCTION("""COMPUTED_VALUE"""),"{}")</f>
        <v>{}</v>
      </c>
      <c r="W344" s="148" t="str">
        <f>IFERROR(__xludf.DUMMYFUNCTION("""COMPUTED_VALUE"""),"[]")</f>
        <v>[]</v>
      </c>
      <c r="X344" s="148" t="str">
        <f>IFERROR(__xludf.DUMMYFUNCTION("""COMPUTED_VALUE"""),"[{""typ"":""power"",""id"":12141002,""val"":60}]")</f>
        <v>[{"typ":"power","id":12141002,"val":60}]</v>
      </c>
      <c r="Y344" s="148" t="str">
        <f>IFERROR(__xludf.DUMMYFUNCTION("""COMPUTED_VALUE"""),"[{""typ"":""atk"",""val"":800},{""typ"":""def"",""val"":300},{""typ"":""hp"",""val"":100},{""typ"":""speed"",""val"":40},{""typ"":""load"",""val"":20},{""typ"":""backcoef"",""val"":0.5},{""typ"":""atkcoef"",""val"":1.0},{""typ"":""atkcd"",""val"":0}]")</f>
        <v>[{"typ":"atk","val":800},{"typ":"def","val":300},{"typ":"hp","val":100},{"typ":"speed","val":40},{"typ":"load","val":20},{"typ":"backcoef","val":0.5},{"typ":"atkcoef","val":1.0},{"typ":"atkcd","val":0}]</v>
      </c>
      <c r="Z344" s="148" t="str">
        <f>IFERROR(__xludf.DUMMYFUNCTION("""COMPUTED_VALUE"""),"[]")</f>
        <v>[]</v>
      </c>
    </row>
    <row r="345">
      <c r="A345" s="148">
        <f>IFERROR(__xludf.DUMMYFUNCTION("""COMPUTED_VALUE"""),1.1219108E7)</f>
        <v>11219108</v>
      </c>
      <c r="B345" s="148" t="str">
        <f>IFERROR(__xludf.DUMMYFUNCTION("""COMPUTED_VALUE"""),"2023万圣节巨猿")</f>
        <v>2023万圣节巨猿</v>
      </c>
      <c r="C345" s="148">
        <f>IFERROR(__xludf.DUMMYFUNCTION("""COMPUTED_VALUE"""),1.1221004E7)</f>
        <v>11221004</v>
      </c>
      <c r="D345" s="148">
        <f>IFERROR(__xludf.DUMMYFUNCTION("""COMPUTED_VALUE"""),1.511722E7)</f>
        <v>15117220</v>
      </c>
      <c r="E345" s="148" t="str">
        <f>IFERROR(__xludf.DUMMYFUNCTION("""COMPUTED_VALUE"""),"{}")</f>
        <v>{}</v>
      </c>
      <c r="F345" s="148" t="str">
        <f>IFERROR(__xludf.DUMMYFUNCTION("""COMPUTED_VALUE"""),"{}")</f>
        <v>{}</v>
      </c>
      <c r="G345" s="148">
        <f>IFERROR(__xludf.DUMMYFUNCTION("""COMPUTED_VALUE"""),10.0)</f>
        <v>10</v>
      </c>
      <c r="H345" s="148">
        <f>IFERROR(__xludf.DUMMYFUNCTION("""COMPUTED_VALUE"""),10099.0)</f>
        <v>10099</v>
      </c>
      <c r="I345" s="148">
        <f>IFERROR(__xludf.DUMMYFUNCTION("""COMPUTED_VALUE"""),10099.0)</f>
        <v>10099</v>
      </c>
      <c r="J345" s="148">
        <f>IFERROR(__xludf.DUMMYFUNCTION("""COMPUTED_VALUE"""),0.0)</f>
        <v>0</v>
      </c>
      <c r="K345" s="148">
        <f>IFERROR(__xludf.DUMMYFUNCTION("""COMPUTED_VALUE"""),10.0)</f>
        <v>10</v>
      </c>
      <c r="L345" s="148">
        <f>IFERROR(__xludf.DUMMYFUNCTION("""COMPUTED_VALUE"""),99.0)</f>
        <v>99</v>
      </c>
      <c r="M345" s="148">
        <f>IFERROR(__xludf.DUMMYFUNCTION("""COMPUTED_VALUE"""),0.0)</f>
        <v>0</v>
      </c>
      <c r="N345" s="148" t="str">
        <f>IFERROR(__xludf.DUMMYFUNCTION("""COMPUTED_VALUE"""),"[]")</f>
        <v>[]</v>
      </c>
      <c r="O345" s="148" t="str">
        <f>IFERROR(__xludf.DUMMYFUNCTION("""COMPUTED_VALUE"""),"{}")</f>
        <v>{}</v>
      </c>
      <c r="P345" s="148">
        <f>IFERROR(__xludf.DUMMYFUNCTION("""COMPUTED_VALUE"""),0.0)</f>
        <v>0</v>
      </c>
      <c r="Q345" s="148" t="str">
        <f>IFERROR(__xludf.DUMMYFUNCTION("""COMPUTED_VALUE"""),"[]")</f>
        <v>[]</v>
      </c>
      <c r="R345" s="148" t="str">
        <f>IFERROR(__xludf.DUMMYFUNCTION("""COMPUTED_VALUE"""),"{}")</f>
        <v>{}</v>
      </c>
      <c r="S345" s="148">
        <f>IFERROR(__xludf.DUMMYFUNCTION("""COMPUTED_VALUE"""),0.0)</f>
        <v>0</v>
      </c>
      <c r="T345" s="148" t="str">
        <f>IFERROR(__xludf.DUMMYFUNCTION("""COMPUTED_VALUE"""),"[]")</f>
        <v>[]</v>
      </c>
      <c r="U345" s="148">
        <f>IFERROR(__xludf.DUMMYFUNCTION("""COMPUTED_VALUE"""),0.0)</f>
        <v>0</v>
      </c>
      <c r="V345" s="148" t="str">
        <f>IFERROR(__xludf.DUMMYFUNCTION("""COMPUTED_VALUE"""),"{}")</f>
        <v>{}</v>
      </c>
      <c r="W345" s="148" t="str">
        <f>IFERROR(__xludf.DUMMYFUNCTION("""COMPUTED_VALUE"""),"[]")</f>
        <v>[]</v>
      </c>
      <c r="X345" s="148" t="str">
        <f>IFERROR(__xludf.DUMMYFUNCTION("""COMPUTED_VALUE"""),"[{""typ"":""power"",""id"":12141002,""val"":60}]")</f>
        <v>[{"typ":"power","id":12141002,"val":60}]</v>
      </c>
      <c r="Y345" s="148" t="str">
        <f>IFERROR(__xludf.DUMMYFUNCTION("""COMPUTED_VALUE"""),"[{""typ"":""atk"",""val"":120},{""typ"":""def"",""val"":200},{""typ"":""hp"",""val"":150},{""typ"":""speed"",""val"":40},{""typ"":""load"",""val"":20},{""typ"":""backcoef"",""val"":0.5},{""typ"":""atkcoef"",""val"":1.0},{""typ"":""atkcd"",""val"":0}]")</f>
        <v>[{"typ":"atk","val":120},{"typ":"def","val":200},{"typ":"hp","val":150},{"typ":"speed","val":40},{"typ":"load","val":20},{"typ":"backcoef","val":0.5},{"typ":"atkcoef","val":1.0},{"typ":"atkcd","val":0}]</v>
      </c>
      <c r="Z345" s="148" t="str">
        <f>IFERROR(__xludf.DUMMYFUNCTION("""COMPUTED_VALUE"""),"[]")</f>
        <v>[]</v>
      </c>
    </row>
    <row r="346">
      <c r="A346" s="148">
        <f>IFERROR(__xludf.DUMMYFUNCTION("""COMPUTED_VALUE"""),1.1219109E7)</f>
        <v>11219109</v>
      </c>
      <c r="B346" s="148" t="str">
        <f>IFERROR(__xludf.DUMMYFUNCTION("""COMPUTED_VALUE"""),"2024周年庆巨猿")</f>
        <v>2024周年庆巨猿</v>
      </c>
      <c r="C346" s="148">
        <f>IFERROR(__xludf.DUMMYFUNCTION("""COMPUTED_VALUE"""),1.1221004E7)</f>
        <v>11221004</v>
      </c>
      <c r="D346" s="148">
        <f>IFERROR(__xludf.DUMMYFUNCTION("""COMPUTED_VALUE"""),1.5115821E7)</f>
        <v>15115821</v>
      </c>
      <c r="E346" s="148" t="str">
        <f>IFERROR(__xludf.DUMMYFUNCTION("""COMPUTED_VALUE"""),"{}")</f>
        <v>{}</v>
      </c>
      <c r="F346" s="148" t="str">
        <f>IFERROR(__xludf.DUMMYFUNCTION("""COMPUTED_VALUE"""),"{}")</f>
        <v>{}</v>
      </c>
      <c r="G346" s="148">
        <f>IFERROR(__xludf.DUMMYFUNCTION("""COMPUTED_VALUE"""),10.0)</f>
        <v>10</v>
      </c>
      <c r="H346" s="148">
        <f>IFERROR(__xludf.DUMMYFUNCTION("""COMPUTED_VALUE"""),10099.0)</f>
        <v>10099</v>
      </c>
      <c r="I346" s="148">
        <f>IFERROR(__xludf.DUMMYFUNCTION("""COMPUTED_VALUE"""),10099.0)</f>
        <v>10099</v>
      </c>
      <c r="J346" s="148">
        <f>IFERROR(__xludf.DUMMYFUNCTION("""COMPUTED_VALUE"""),0.0)</f>
        <v>0</v>
      </c>
      <c r="K346" s="148">
        <f>IFERROR(__xludf.DUMMYFUNCTION("""COMPUTED_VALUE"""),10.0)</f>
        <v>10</v>
      </c>
      <c r="L346" s="148">
        <f>IFERROR(__xludf.DUMMYFUNCTION("""COMPUTED_VALUE"""),99.0)</f>
        <v>99</v>
      </c>
      <c r="M346" s="148">
        <f>IFERROR(__xludf.DUMMYFUNCTION("""COMPUTED_VALUE"""),0.0)</f>
        <v>0</v>
      </c>
      <c r="N346" s="148" t="str">
        <f>IFERROR(__xludf.DUMMYFUNCTION("""COMPUTED_VALUE"""),"[]")</f>
        <v>[]</v>
      </c>
      <c r="O346" s="148" t="str">
        <f>IFERROR(__xludf.DUMMYFUNCTION("""COMPUTED_VALUE"""),"{}")</f>
        <v>{}</v>
      </c>
      <c r="P346" s="148">
        <f>IFERROR(__xludf.DUMMYFUNCTION("""COMPUTED_VALUE"""),0.0)</f>
        <v>0</v>
      </c>
      <c r="Q346" s="148" t="str">
        <f>IFERROR(__xludf.DUMMYFUNCTION("""COMPUTED_VALUE"""),"[]")</f>
        <v>[]</v>
      </c>
      <c r="R346" s="148" t="str">
        <f>IFERROR(__xludf.DUMMYFUNCTION("""COMPUTED_VALUE"""),"{}")</f>
        <v>{}</v>
      </c>
      <c r="S346" s="148">
        <f>IFERROR(__xludf.DUMMYFUNCTION("""COMPUTED_VALUE"""),0.0)</f>
        <v>0</v>
      </c>
      <c r="T346" s="148" t="str">
        <f>IFERROR(__xludf.DUMMYFUNCTION("""COMPUTED_VALUE"""),"[]")</f>
        <v>[]</v>
      </c>
      <c r="U346" s="148">
        <f>IFERROR(__xludf.DUMMYFUNCTION("""COMPUTED_VALUE"""),0.0)</f>
        <v>0</v>
      </c>
      <c r="V346" s="148" t="str">
        <f>IFERROR(__xludf.DUMMYFUNCTION("""COMPUTED_VALUE"""),"{}")</f>
        <v>{}</v>
      </c>
      <c r="W346" s="148" t="str">
        <f>IFERROR(__xludf.DUMMYFUNCTION("""COMPUTED_VALUE"""),"[]")</f>
        <v>[]</v>
      </c>
      <c r="X346" s="148" t="str">
        <f>IFERROR(__xludf.DUMMYFUNCTION("""COMPUTED_VALUE"""),"[{""typ"":""power"",""id"":12141002,""val"":60}]")</f>
        <v>[{"typ":"power","id":12141002,"val":60}]</v>
      </c>
      <c r="Y346" s="148" t="str">
        <f>IFERROR(__xludf.DUMMYFUNCTION("""COMPUTED_VALUE"""),"[{""typ"":""atk"",""val"":120},{""typ"":""def"",""val"":200},{""typ"":""hp"",""val"":150},{""typ"":""speed"",""val"":40},{""typ"":""load"",""val"":20},{""typ"":""backcoef"",""val"":0.5},{""typ"":""atkcoef"",""val"":1.0},{""typ"":""atkcd"",""val"":0}]")</f>
        <v>[{"typ":"atk","val":120},{"typ":"def","val":200},{"typ":"hp","val":150},{"typ":"speed","val":40},{"typ":"load","val":20},{"typ":"backcoef","val":0.5},{"typ":"atkcoef","val":1.0},{"typ":"atkcd","val":0}]</v>
      </c>
      <c r="Z346" s="148" t="str">
        <f>IFERROR(__xludf.DUMMYFUNCTION("""COMPUTED_VALUE"""),"[]")</f>
        <v>[]</v>
      </c>
    </row>
    <row r="347">
      <c r="A347" s="148">
        <f>IFERROR(__xludf.DUMMYFUNCTION("""COMPUTED_VALUE"""),1.1219201E7)</f>
        <v>11219201</v>
      </c>
      <c r="B347" s="148" t="str">
        <f>IFERROR(__xludf.DUMMYFUNCTION("""COMPUTED_VALUE"""),"英雄验证BOSS怪_攻击")</f>
        <v>英雄验证BOSS怪_攻击</v>
      </c>
      <c r="C347" s="148">
        <f>IFERROR(__xludf.DUMMYFUNCTION("""COMPUTED_VALUE"""),1.1221005E7)</f>
        <v>11221005</v>
      </c>
      <c r="D347" s="148">
        <f>IFERROR(__xludf.DUMMYFUNCTION("""COMPUTED_VALUE"""),1.5111315E7)</f>
        <v>15111315</v>
      </c>
      <c r="E347" s="148" t="str">
        <f>IFERROR(__xludf.DUMMYFUNCTION("""COMPUTED_VALUE"""),"{}")</f>
        <v>{}</v>
      </c>
      <c r="F347" s="148" t="str">
        <f>IFERROR(__xludf.DUMMYFUNCTION("""COMPUTED_VALUE"""),"{}")</f>
        <v>{}</v>
      </c>
      <c r="G347" s="148">
        <f>IFERROR(__xludf.DUMMYFUNCTION("""COMPUTED_VALUE"""),10.0)</f>
        <v>10</v>
      </c>
      <c r="H347" s="148">
        <f>IFERROR(__xludf.DUMMYFUNCTION("""COMPUTED_VALUE"""),10099.0)</f>
        <v>10099</v>
      </c>
      <c r="I347" s="148">
        <f>IFERROR(__xludf.DUMMYFUNCTION("""COMPUTED_VALUE"""),10099.0)</f>
        <v>10099</v>
      </c>
      <c r="J347" s="148">
        <f>IFERROR(__xludf.DUMMYFUNCTION("""COMPUTED_VALUE"""),0.0)</f>
        <v>0</v>
      </c>
      <c r="K347" s="148">
        <f>IFERROR(__xludf.DUMMYFUNCTION("""COMPUTED_VALUE"""),10.0)</f>
        <v>10</v>
      </c>
      <c r="L347" s="148">
        <f>IFERROR(__xludf.DUMMYFUNCTION("""COMPUTED_VALUE"""),99.0)</f>
        <v>99</v>
      </c>
      <c r="M347" s="148">
        <f>IFERROR(__xludf.DUMMYFUNCTION("""COMPUTED_VALUE"""),0.0)</f>
        <v>0</v>
      </c>
      <c r="N347" s="148" t="str">
        <f>IFERROR(__xludf.DUMMYFUNCTION("""COMPUTED_VALUE"""),"[]")</f>
        <v>[]</v>
      </c>
      <c r="O347" s="148" t="str">
        <f>IFERROR(__xludf.DUMMYFUNCTION("""COMPUTED_VALUE"""),"{}")</f>
        <v>{}</v>
      </c>
      <c r="P347" s="148">
        <f>IFERROR(__xludf.DUMMYFUNCTION("""COMPUTED_VALUE"""),0.0)</f>
        <v>0</v>
      </c>
      <c r="Q347" s="148" t="str">
        <f>IFERROR(__xludf.DUMMYFUNCTION("""COMPUTED_VALUE"""),"[]")</f>
        <v>[]</v>
      </c>
      <c r="R347" s="148" t="str">
        <f>IFERROR(__xludf.DUMMYFUNCTION("""COMPUTED_VALUE"""),"{}")</f>
        <v>{}</v>
      </c>
      <c r="S347" s="148">
        <f>IFERROR(__xludf.DUMMYFUNCTION("""COMPUTED_VALUE"""),0.0)</f>
        <v>0</v>
      </c>
      <c r="T347" s="148" t="str">
        <f>IFERROR(__xludf.DUMMYFUNCTION("""COMPUTED_VALUE"""),"[]")</f>
        <v>[]</v>
      </c>
      <c r="U347" s="148">
        <f>IFERROR(__xludf.DUMMYFUNCTION("""COMPUTED_VALUE"""),0.0)</f>
        <v>0</v>
      </c>
      <c r="V347" s="148" t="str">
        <f>IFERROR(__xludf.DUMMYFUNCTION("""COMPUTED_VALUE"""),"{}")</f>
        <v>{}</v>
      </c>
      <c r="W347" s="148" t="str">
        <f>IFERROR(__xludf.DUMMYFUNCTION("""COMPUTED_VALUE"""),"[]")</f>
        <v>[]</v>
      </c>
      <c r="X347" s="148" t="str">
        <f>IFERROR(__xludf.DUMMYFUNCTION("""COMPUTED_VALUE"""),"[{""typ"":""power"",""id"":12141002,""val"":4}]")</f>
        <v>[{"typ":"power","id":12141002,"val":4}]</v>
      </c>
      <c r="Y347" s="148" t="str">
        <f>IFERROR(__xludf.DUMMYFUNCTION("""COMPUTED_VALUE"""),"[{""typ"":""atk"",""val"":160},{""typ"":""def"",""val"":160},{""typ"":""hp"",""val"":160},{""typ"":""speed"",""val"":40},{""typ"":""load"",""val"":20},{""typ"":""backcoef"",""val"":0.5},{""typ"":""atkcoef"",""val"":1.0},{""typ"":""atkcd"",""val"":0}]")</f>
        <v>[{"typ":"atk","val":160},{"typ":"def","val":160},{"typ":"hp","val":160},{"typ":"speed","val":40},{"typ":"load","val":20},{"typ":"backcoef","val":0.5},{"typ":"atkcoef","val":1.0},{"typ":"atkcd","val":0}]</v>
      </c>
      <c r="Z347" s="148" t="str">
        <f>IFERROR(__xludf.DUMMYFUNCTION("""COMPUTED_VALUE"""),"[]")</f>
        <v>[]</v>
      </c>
    </row>
    <row r="348">
      <c r="A348" s="148">
        <f>IFERROR(__xludf.DUMMYFUNCTION("""COMPUTED_VALUE"""),1.1219202E7)</f>
        <v>11219202</v>
      </c>
      <c r="B348" s="148" t="str">
        <f>IFERROR(__xludf.DUMMYFUNCTION("""COMPUTED_VALUE"""),"英雄验证BOSS怪_防御")</f>
        <v>英雄验证BOSS怪_防御</v>
      </c>
      <c r="C348" s="148">
        <f>IFERROR(__xludf.DUMMYFUNCTION("""COMPUTED_VALUE"""),1.1221005E7)</f>
        <v>11221005</v>
      </c>
      <c r="D348" s="148">
        <f>IFERROR(__xludf.DUMMYFUNCTION("""COMPUTED_VALUE"""),1.5111315E7)</f>
        <v>15111315</v>
      </c>
      <c r="E348" s="148" t="str">
        <f>IFERROR(__xludf.DUMMYFUNCTION("""COMPUTED_VALUE"""),"{}")</f>
        <v>{}</v>
      </c>
      <c r="F348" s="148" t="str">
        <f>IFERROR(__xludf.DUMMYFUNCTION("""COMPUTED_VALUE"""),"{}")</f>
        <v>{}</v>
      </c>
      <c r="G348" s="148">
        <f>IFERROR(__xludf.DUMMYFUNCTION("""COMPUTED_VALUE"""),10.0)</f>
        <v>10</v>
      </c>
      <c r="H348" s="148">
        <f>IFERROR(__xludf.DUMMYFUNCTION("""COMPUTED_VALUE"""),10099.0)</f>
        <v>10099</v>
      </c>
      <c r="I348" s="148">
        <f>IFERROR(__xludf.DUMMYFUNCTION("""COMPUTED_VALUE"""),10099.0)</f>
        <v>10099</v>
      </c>
      <c r="J348" s="148">
        <f>IFERROR(__xludf.DUMMYFUNCTION("""COMPUTED_VALUE"""),0.0)</f>
        <v>0</v>
      </c>
      <c r="K348" s="148">
        <f>IFERROR(__xludf.DUMMYFUNCTION("""COMPUTED_VALUE"""),10.0)</f>
        <v>10</v>
      </c>
      <c r="L348" s="148">
        <f>IFERROR(__xludf.DUMMYFUNCTION("""COMPUTED_VALUE"""),99.0)</f>
        <v>99</v>
      </c>
      <c r="M348" s="148">
        <f>IFERROR(__xludf.DUMMYFUNCTION("""COMPUTED_VALUE"""),0.0)</f>
        <v>0</v>
      </c>
      <c r="N348" s="148" t="str">
        <f>IFERROR(__xludf.DUMMYFUNCTION("""COMPUTED_VALUE"""),"[]")</f>
        <v>[]</v>
      </c>
      <c r="O348" s="148" t="str">
        <f>IFERROR(__xludf.DUMMYFUNCTION("""COMPUTED_VALUE"""),"{}")</f>
        <v>{}</v>
      </c>
      <c r="P348" s="148">
        <f>IFERROR(__xludf.DUMMYFUNCTION("""COMPUTED_VALUE"""),0.0)</f>
        <v>0</v>
      </c>
      <c r="Q348" s="148" t="str">
        <f>IFERROR(__xludf.DUMMYFUNCTION("""COMPUTED_VALUE"""),"[]")</f>
        <v>[]</v>
      </c>
      <c r="R348" s="148" t="str">
        <f>IFERROR(__xludf.DUMMYFUNCTION("""COMPUTED_VALUE"""),"{}")</f>
        <v>{}</v>
      </c>
      <c r="S348" s="148">
        <f>IFERROR(__xludf.DUMMYFUNCTION("""COMPUTED_VALUE"""),0.0)</f>
        <v>0</v>
      </c>
      <c r="T348" s="148" t="str">
        <f>IFERROR(__xludf.DUMMYFUNCTION("""COMPUTED_VALUE"""),"[]")</f>
        <v>[]</v>
      </c>
      <c r="U348" s="148">
        <f>IFERROR(__xludf.DUMMYFUNCTION("""COMPUTED_VALUE"""),0.0)</f>
        <v>0</v>
      </c>
      <c r="V348" s="148" t="str">
        <f>IFERROR(__xludf.DUMMYFUNCTION("""COMPUTED_VALUE"""),"{}")</f>
        <v>{}</v>
      </c>
      <c r="W348" s="148" t="str">
        <f>IFERROR(__xludf.DUMMYFUNCTION("""COMPUTED_VALUE"""),"[]")</f>
        <v>[]</v>
      </c>
      <c r="X348" s="148" t="str">
        <f>IFERROR(__xludf.DUMMYFUNCTION("""COMPUTED_VALUE"""),"[{""typ"":""power"",""id"":12141002,""val"":4}]")</f>
        <v>[{"typ":"power","id":12141002,"val":4}]</v>
      </c>
      <c r="Y348" s="148" t="str">
        <f>IFERROR(__xludf.DUMMYFUNCTION("""COMPUTED_VALUE"""),"[{""typ"":""atk"",""val"":160},{""typ"":""def"",""val"":160},{""typ"":""hp"",""val"":160},{""typ"":""speed"",""val"":40},{""typ"":""load"",""val"":20},{""typ"":""backcoef"",""val"":0.5},{""typ"":""atkcoef"",""val"":1.0},{""typ"":""atkcd"",""val"":0}]")</f>
        <v>[{"typ":"atk","val":160},{"typ":"def","val":160},{"typ":"hp","val":160},{"typ":"speed","val":40},{"typ":"load","val":20},{"typ":"backcoef","val":0.5},{"typ":"atkcoef","val":1.0},{"typ":"atkcd","val":0}]</v>
      </c>
      <c r="Z348" s="148" t="str">
        <f>IFERROR(__xludf.DUMMYFUNCTION("""COMPUTED_VALUE"""),"[]")</f>
        <v>[]</v>
      </c>
    </row>
    <row r="349">
      <c r="A349" s="148">
        <f>IFERROR(__xludf.DUMMYFUNCTION("""COMPUTED_VALUE"""),1.1219203E7)</f>
        <v>11219203</v>
      </c>
      <c r="B349" s="148" t="str">
        <f>IFERROR(__xludf.DUMMYFUNCTION("""COMPUTED_VALUE"""),"GVE旗帜--部队")</f>
        <v>GVE旗帜--部队</v>
      </c>
      <c r="C349" s="148">
        <f>IFERROR(__xludf.DUMMYFUNCTION("""COMPUTED_VALUE"""),1.1221001E7)</f>
        <v>11221001</v>
      </c>
      <c r="D349" s="148">
        <f>IFERROR(__xludf.DUMMYFUNCTION("""COMPUTED_VALUE"""),1.5111315E7)</f>
        <v>15111315</v>
      </c>
      <c r="E349" s="148" t="str">
        <f>IFERROR(__xludf.DUMMYFUNCTION("""COMPUTED_VALUE"""),"{}")</f>
        <v>{}</v>
      </c>
      <c r="F349" s="148" t="str">
        <f>IFERROR(__xludf.DUMMYFUNCTION("""COMPUTED_VALUE"""),"{}")</f>
        <v>{}</v>
      </c>
      <c r="G349" s="148">
        <f>IFERROR(__xludf.DUMMYFUNCTION("""COMPUTED_VALUE"""),10.0)</f>
        <v>10</v>
      </c>
      <c r="H349" s="148">
        <f>IFERROR(__xludf.DUMMYFUNCTION("""COMPUTED_VALUE"""),10099.0)</f>
        <v>10099</v>
      </c>
      <c r="I349" s="148">
        <f>IFERROR(__xludf.DUMMYFUNCTION("""COMPUTED_VALUE"""),10099.0)</f>
        <v>10099</v>
      </c>
      <c r="J349" s="148">
        <f>IFERROR(__xludf.DUMMYFUNCTION("""COMPUTED_VALUE"""),0.0)</f>
        <v>0</v>
      </c>
      <c r="K349" s="148">
        <f>IFERROR(__xludf.DUMMYFUNCTION("""COMPUTED_VALUE"""),10.0)</f>
        <v>10</v>
      </c>
      <c r="L349" s="148">
        <f>IFERROR(__xludf.DUMMYFUNCTION("""COMPUTED_VALUE"""),99.0)</f>
        <v>99</v>
      </c>
      <c r="M349" s="148">
        <f>IFERROR(__xludf.DUMMYFUNCTION("""COMPUTED_VALUE"""),0.0)</f>
        <v>0</v>
      </c>
      <c r="N349" s="148" t="str">
        <f>IFERROR(__xludf.DUMMYFUNCTION("""COMPUTED_VALUE"""),"[]")</f>
        <v>[]</v>
      </c>
      <c r="O349" s="148" t="str">
        <f>IFERROR(__xludf.DUMMYFUNCTION("""COMPUTED_VALUE"""),"{}")</f>
        <v>{}</v>
      </c>
      <c r="P349" s="148">
        <f>IFERROR(__xludf.DUMMYFUNCTION("""COMPUTED_VALUE"""),0.0)</f>
        <v>0</v>
      </c>
      <c r="Q349" s="148" t="str">
        <f>IFERROR(__xludf.DUMMYFUNCTION("""COMPUTED_VALUE"""),"[]")</f>
        <v>[]</v>
      </c>
      <c r="R349" s="148" t="str">
        <f>IFERROR(__xludf.DUMMYFUNCTION("""COMPUTED_VALUE"""),"{}")</f>
        <v>{}</v>
      </c>
      <c r="S349" s="148">
        <f>IFERROR(__xludf.DUMMYFUNCTION("""COMPUTED_VALUE"""),0.0)</f>
        <v>0</v>
      </c>
      <c r="T349" s="148" t="str">
        <f>IFERROR(__xludf.DUMMYFUNCTION("""COMPUTED_VALUE"""),"[]")</f>
        <v>[]</v>
      </c>
      <c r="U349" s="148">
        <f>IFERROR(__xludf.DUMMYFUNCTION("""COMPUTED_VALUE"""),0.0)</f>
        <v>0</v>
      </c>
      <c r="V349" s="148" t="str">
        <f>IFERROR(__xludf.DUMMYFUNCTION("""COMPUTED_VALUE"""),"{}")</f>
        <v>{}</v>
      </c>
      <c r="W349" s="148" t="str">
        <f>IFERROR(__xludf.DUMMYFUNCTION("""COMPUTED_VALUE"""),"[]")</f>
        <v>[]</v>
      </c>
      <c r="X349" s="148" t="str">
        <f>IFERROR(__xludf.DUMMYFUNCTION("""COMPUTED_VALUE"""),"[{""typ"":""power"",""id"":12141002,""val"":4}]")</f>
        <v>[{"typ":"power","id":12141002,"val":4}]</v>
      </c>
      <c r="Y349" s="148" t="str">
        <f>IFERROR(__xludf.DUMMYFUNCTION("""COMPUTED_VALUE"""),"[{""typ"":""atk"",""val"":0},{""typ"":""def"",""val"":160},{""typ"":""hp"",""val"":160},{""typ"":""speed"",""val"":0},{""typ"":""load"",""val"":20},{""typ"":""backcoef"",""val"":0.5},{""typ"":""atkcoef"",""val"":1.0},{""typ"":""atkcd"",""val"":0}]")</f>
        <v>[{"typ":"atk","val":0},{"typ":"def","val":160},{"typ":"hp","val":160},{"typ":"speed","val":0},{"typ":"load","val":20},{"typ":"backcoef","val":0.5},{"typ":"atkcoef","val":1.0},{"typ":"atkcd","val":0}]</v>
      </c>
      <c r="Z349" s="148" t="str">
        <f>IFERROR(__xludf.DUMMYFUNCTION("""COMPUTED_VALUE"""),"[]")</f>
        <v>[]</v>
      </c>
    </row>
    <row r="350">
      <c r="A350" s="148">
        <f>IFERROR(__xludf.DUMMYFUNCTION("""COMPUTED_VALUE"""),1.1219204E7)</f>
        <v>11219204</v>
      </c>
      <c r="B350" s="148" t="str">
        <f>IFERROR(__xludf.DUMMYFUNCTION("""COMPUTED_VALUE"""),"GVE怪--无人机白")</f>
        <v>GVE怪--无人机白</v>
      </c>
      <c r="C350" s="148">
        <f>IFERROR(__xludf.DUMMYFUNCTION("""COMPUTED_VALUE"""),1.1221004E7)</f>
        <v>11221004</v>
      </c>
      <c r="D350" s="148">
        <f>IFERROR(__xludf.DUMMYFUNCTION("""COMPUTED_VALUE"""),1.5113832E7)</f>
        <v>15113832</v>
      </c>
      <c r="E350" s="148" t="str">
        <f>IFERROR(__xludf.DUMMYFUNCTION("""COMPUTED_VALUE"""),"{""typ"":""lc"",""txt"":""LC_SOLDIER_npc_name_kvk_normal""}")</f>
        <v>{"typ":"lc","txt":"LC_SOLDIER_npc_name_kvk_normal"}</v>
      </c>
      <c r="F350" s="148" t="str">
        <f>IFERROR(__xludf.DUMMYFUNCTION("""COMPUTED_VALUE"""),"{}")</f>
        <v>{}</v>
      </c>
      <c r="G350" s="148">
        <f>IFERROR(__xludf.DUMMYFUNCTION("""COMPUTED_VALUE"""),10.0)</f>
        <v>10</v>
      </c>
      <c r="H350" s="148">
        <f>IFERROR(__xludf.DUMMYFUNCTION("""COMPUTED_VALUE"""),10099.0)</f>
        <v>10099</v>
      </c>
      <c r="I350" s="148">
        <f>IFERROR(__xludf.DUMMYFUNCTION("""COMPUTED_VALUE"""),10099.0)</f>
        <v>10099</v>
      </c>
      <c r="J350" s="148">
        <f>IFERROR(__xludf.DUMMYFUNCTION("""COMPUTED_VALUE"""),0.0)</f>
        <v>0</v>
      </c>
      <c r="K350" s="148">
        <f>IFERROR(__xludf.DUMMYFUNCTION("""COMPUTED_VALUE"""),10.0)</f>
        <v>10</v>
      </c>
      <c r="L350" s="148">
        <f>IFERROR(__xludf.DUMMYFUNCTION("""COMPUTED_VALUE"""),99.0)</f>
        <v>99</v>
      </c>
      <c r="M350" s="148">
        <f>IFERROR(__xludf.DUMMYFUNCTION("""COMPUTED_VALUE"""),0.0)</f>
        <v>0</v>
      </c>
      <c r="N350" s="148" t="str">
        <f>IFERROR(__xludf.DUMMYFUNCTION("""COMPUTED_VALUE"""),"[]")</f>
        <v>[]</v>
      </c>
      <c r="O350" s="148" t="str">
        <f>IFERROR(__xludf.DUMMYFUNCTION("""COMPUTED_VALUE"""),"{}")</f>
        <v>{}</v>
      </c>
      <c r="P350" s="148">
        <f>IFERROR(__xludf.DUMMYFUNCTION("""COMPUTED_VALUE"""),0.0)</f>
        <v>0</v>
      </c>
      <c r="Q350" s="148" t="str">
        <f>IFERROR(__xludf.DUMMYFUNCTION("""COMPUTED_VALUE"""),"[]")</f>
        <v>[]</v>
      </c>
      <c r="R350" s="148" t="str">
        <f>IFERROR(__xludf.DUMMYFUNCTION("""COMPUTED_VALUE"""),"{}")</f>
        <v>{}</v>
      </c>
      <c r="S350" s="148">
        <f>IFERROR(__xludf.DUMMYFUNCTION("""COMPUTED_VALUE"""),0.0)</f>
        <v>0</v>
      </c>
      <c r="T350" s="148" t="str">
        <f>IFERROR(__xludf.DUMMYFUNCTION("""COMPUTED_VALUE"""),"[]")</f>
        <v>[]</v>
      </c>
      <c r="U350" s="148">
        <f>IFERROR(__xludf.DUMMYFUNCTION("""COMPUTED_VALUE"""),0.0)</f>
        <v>0</v>
      </c>
      <c r="V350" s="148" t="str">
        <f>IFERROR(__xludf.DUMMYFUNCTION("""COMPUTED_VALUE"""),"{}")</f>
        <v>{}</v>
      </c>
      <c r="W350" s="148" t="str">
        <f>IFERROR(__xludf.DUMMYFUNCTION("""COMPUTED_VALUE"""),"[]")</f>
        <v>[]</v>
      </c>
      <c r="X350" s="148" t="str">
        <f>IFERROR(__xludf.DUMMYFUNCTION("""COMPUTED_VALUE"""),"[{""typ"":""power"",""id"":12141002,""val"":5}]")</f>
        <v>[{"typ":"power","id":12141002,"val":5}]</v>
      </c>
      <c r="Y350" s="148" t="str">
        <f>IFERROR(__xludf.DUMMYFUNCTION("""COMPUTED_VALUE"""),"[{""typ"":""atk"",""val"":160},{""typ"":""def"",""val"":160},{""typ"":""hp"",""val"":160},{""typ"":""speed"",""val"":60},{""typ"":""load"",""val"":20},{""typ"":""backcoef"",""val"":0.5},{""typ"":""atkcoef"",""val"":1.0},{""typ"":""atkcd"",""val"":0}]")</f>
        <v>[{"typ":"atk","val":160},{"typ":"def","val":160},{"typ":"hp","val":160},{"typ":"speed","val":60},{"typ":"load","val":20},{"typ":"backcoef","val":0.5},{"typ":"atkcoef","val":1.0},{"typ":"atkcd","val":0}]</v>
      </c>
      <c r="Z350" s="148" t="str">
        <f>IFERROR(__xludf.DUMMYFUNCTION("""COMPUTED_VALUE"""),"[]")</f>
        <v>[]</v>
      </c>
    </row>
    <row r="351">
      <c r="A351" s="148">
        <f>IFERROR(__xludf.DUMMYFUNCTION("""COMPUTED_VALUE"""),1.1219205E7)</f>
        <v>11219205</v>
      </c>
      <c r="B351" s="148" t="str">
        <f>IFERROR(__xludf.DUMMYFUNCTION("""COMPUTED_VALUE"""),"GVE怪--无人机蓝")</f>
        <v>GVE怪--无人机蓝</v>
      </c>
      <c r="C351" s="148">
        <f>IFERROR(__xludf.DUMMYFUNCTION("""COMPUTED_VALUE"""),1.1221004E7)</f>
        <v>11221004</v>
      </c>
      <c r="D351" s="148">
        <f>IFERROR(__xludf.DUMMYFUNCTION("""COMPUTED_VALUE"""),1.5113833E7)</f>
        <v>15113833</v>
      </c>
      <c r="E351" s="148" t="str">
        <f>IFERROR(__xludf.DUMMYFUNCTION("""COMPUTED_VALUE"""),"{""typ"":""lc"",""txt"":""LC_SOLDIER_npc_name_kvk_normal""}")</f>
        <v>{"typ":"lc","txt":"LC_SOLDIER_npc_name_kvk_normal"}</v>
      </c>
      <c r="F351" s="148" t="str">
        <f>IFERROR(__xludf.DUMMYFUNCTION("""COMPUTED_VALUE"""),"{}")</f>
        <v>{}</v>
      </c>
      <c r="G351" s="148">
        <f>IFERROR(__xludf.DUMMYFUNCTION("""COMPUTED_VALUE"""),10.0)</f>
        <v>10</v>
      </c>
      <c r="H351" s="148">
        <f>IFERROR(__xludf.DUMMYFUNCTION("""COMPUTED_VALUE"""),10099.0)</f>
        <v>10099</v>
      </c>
      <c r="I351" s="148">
        <f>IFERROR(__xludf.DUMMYFUNCTION("""COMPUTED_VALUE"""),10099.0)</f>
        <v>10099</v>
      </c>
      <c r="J351" s="148">
        <f>IFERROR(__xludf.DUMMYFUNCTION("""COMPUTED_VALUE"""),0.0)</f>
        <v>0</v>
      </c>
      <c r="K351" s="148">
        <f>IFERROR(__xludf.DUMMYFUNCTION("""COMPUTED_VALUE"""),10.0)</f>
        <v>10</v>
      </c>
      <c r="L351" s="148">
        <f>IFERROR(__xludf.DUMMYFUNCTION("""COMPUTED_VALUE"""),99.0)</f>
        <v>99</v>
      </c>
      <c r="M351" s="148">
        <f>IFERROR(__xludf.DUMMYFUNCTION("""COMPUTED_VALUE"""),0.0)</f>
        <v>0</v>
      </c>
      <c r="N351" s="148" t="str">
        <f>IFERROR(__xludf.DUMMYFUNCTION("""COMPUTED_VALUE"""),"[]")</f>
        <v>[]</v>
      </c>
      <c r="O351" s="148" t="str">
        <f>IFERROR(__xludf.DUMMYFUNCTION("""COMPUTED_VALUE"""),"{}")</f>
        <v>{}</v>
      </c>
      <c r="P351" s="148">
        <f>IFERROR(__xludf.DUMMYFUNCTION("""COMPUTED_VALUE"""),0.0)</f>
        <v>0</v>
      </c>
      <c r="Q351" s="148" t="str">
        <f>IFERROR(__xludf.DUMMYFUNCTION("""COMPUTED_VALUE"""),"[]")</f>
        <v>[]</v>
      </c>
      <c r="R351" s="148" t="str">
        <f>IFERROR(__xludf.DUMMYFUNCTION("""COMPUTED_VALUE"""),"{}")</f>
        <v>{}</v>
      </c>
      <c r="S351" s="148">
        <f>IFERROR(__xludf.DUMMYFUNCTION("""COMPUTED_VALUE"""),0.0)</f>
        <v>0</v>
      </c>
      <c r="T351" s="148" t="str">
        <f>IFERROR(__xludf.DUMMYFUNCTION("""COMPUTED_VALUE"""),"[]")</f>
        <v>[]</v>
      </c>
      <c r="U351" s="148">
        <f>IFERROR(__xludf.DUMMYFUNCTION("""COMPUTED_VALUE"""),0.0)</f>
        <v>0</v>
      </c>
      <c r="V351" s="148" t="str">
        <f>IFERROR(__xludf.DUMMYFUNCTION("""COMPUTED_VALUE"""),"{}")</f>
        <v>{}</v>
      </c>
      <c r="W351" s="148" t="str">
        <f>IFERROR(__xludf.DUMMYFUNCTION("""COMPUTED_VALUE"""),"[]")</f>
        <v>[]</v>
      </c>
      <c r="X351" s="148" t="str">
        <f>IFERROR(__xludf.DUMMYFUNCTION("""COMPUTED_VALUE"""),"[{""typ"":""power"",""id"":12141002,""val"":5}]")</f>
        <v>[{"typ":"power","id":12141002,"val":5}]</v>
      </c>
      <c r="Y351" s="148" t="str">
        <f>IFERROR(__xludf.DUMMYFUNCTION("""COMPUTED_VALUE"""),"[{""typ"":""atk"",""val"":160},{""typ"":""def"",""val"":160},{""typ"":""hp"",""val"":160},{""typ"":""speed"",""val"":45},{""typ"":""load"",""val"":20},{""typ"":""backcoef"",""val"":0.5},{""typ"":""atkcoef"",""val"":1.0},{""typ"":""atkcd"",""val"":0}]")</f>
        <v>[{"typ":"atk","val":160},{"typ":"def","val":160},{"typ":"hp","val":160},{"typ":"speed","val":45},{"typ":"load","val":20},{"typ":"backcoef","val":0.5},{"typ":"atkcoef","val":1.0},{"typ":"atkcd","val":0}]</v>
      </c>
      <c r="Z351" s="148" t="str">
        <f>IFERROR(__xludf.DUMMYFUNCTION("""COMPUTED_VALUE"""),"[]")</f>
        <v>[]</v>
      </c>
    </row>
    <row r="352">
      <c r="A352" s="148">
        <f>IFERROR(__xludf.DUMMYFUNCTION("""COMPUTED_VALUE"""),1.1219206E7)</f>
        <v>11219206</v>
      </c>
      <c r="B352" s="148" t="str">
        <f>IFERROR(__xludf.DUMMYFUNCTION("""COMPUTED_VALUE"""),"GVE怪--无人机紫")</f>
        <v>GVE怪--无人机紫</v>
      </c>
      <c r="C352" s="148">
        <f>IFERROR(__xludf.DUMMYFUNCTION("""COMPUTED_VALUE"""),1.1221004E7)</f>
        <v>11221004</v>
      </c>
      <c r="D352" s="148">
        <f>IFERROR(__xludf.DUMMYFUNCTION("""COMPUTED_VALUE"""),1.5113964E7)</f>
        <v>15113964</v>
      </c>
      <c r="E352" s="148" t="str">
        <f>IFERROR(__xludf.DUMMYFUNCTION("""COMPUTED_VALUE"""),"{""typ"":""lc"",""txt"":""LC_SOLDIER_npc_name_kvk_normal""}")</f>
        <v>{"typ":"lc","txt":"LC_SOLDIER_npc_name_kvk_normal"}</v>
      </c>
      <c r="F352" s="148" t="str">
        <f>IFERROR(__xludf.DUMMYFUNCTION("""COMPUTED_VALUE"""),"{}")</f>
        <v>{}</v>
      </c>
      <c r="G352" s="148">
        <f>IFERROR(__xludf.DUMMYFUNCTION("""COMPUTED_VALUE"""),10.0)</f>
        <v>10</v>
      </c>
      <c r="H352" s="148">
        <f>IFERROR(__xludf.DUMMYFUNCTION("""COMPUTED_VALUE"""),10099.0)</f>
        <v>10099</v>
      </c>
      <c r="I352" s="148">
        <f>IFERROR(__xludf.DUMMYFUNCTION("""COMPUTED_VALUE"""),10099.0)</f>
        <v>10099</v>
      </c>
      <c r="J352" s="148">
        <f>IFERROR(__xludf.DUMMYFUNCTION("""COMPUTED_VALUE"""),0.0)</f>
        <v>0</v>
      </c>
      <c r="K352" s="148">
        <f>IFERROR(__xludf.DUMMYFUNCTION("""COMPUTED_VALUE"""),10.0)</f>
        <v>10</v>
      </c>
      <c r="L352" s="148">
        <f>IFERROR(__xludf.DUMMYFUNCTION("""COMPUTED_VALUE"""),99.0)</f>
        <v>99</v>
      </c>
      <c r="M352" s="148">
        <f>IFERROR(__xludf.DUMMYFUNCTION("""COMPUTED_VALUE"""),0.0)</f>
        <v>0</v>
      </c>
      <c r="N352" s="148" t="str">
        <f>IFERROR(__xludf.DUMMYFUNCTION("""COMPUTED_VALUE"""),"[]")</f>
        <v>[]</v>
      </c>
      <c r="O352" s="148" t="str">
        <f>IFERROR(__xludf.DUMMYFUNCTION("""COMPUTED_VALUE"""),"{}")</f>
        <v>{}</v>
      </c>
      <c r="P352" s="148">
        <f>IFERROR(__xludf.DUMMYFUNCTION("""COMPUTED_VALUE"""),0.0)</f>
        <v>0</v>
      </c>
      <c r="Q352" s="148" t="str">
        <f>IFERROR(__xludf.DUMMYFUNCTION("""COMPUTED_VALUE"""),"[]")</f>
        <v>[]</v>
      </c>
      <c r="R352" s="148" t="str">
        <f>IFERROR(__xludf.DUMMYFUNCTION("""COMPUTED_VALUE"""),"{}")</f>
        <v>{}</v>
      </c>
      <c r="S352" s="148">
        <f>IFERROR(__xludf.DUMMYFUNCTION("""COMPUTED_VALUE"""),0.0)</f>
        <v>0</v>
      </c>
      <c r="T352" s="148" t="str">
        <f>IFERROR(__xludf.DUMMYFUNCTION("""COMPUTED_VALUE"""),"[]")</f>
        <v>[]</v>
      </c>
      <c r="U352" s="148">
        <f>IFERROR(__xludf.DUMMYFUNCTION("""COMPUTED_VALUE"""),0.0)</f>
        <v>0</v>
      </c>
      <c r="V352" s="148" t="str">
        <f>IFERROR(__xludf.DUMMYFUNCTION("""COMPUTED_VALUE"""),"{}")</f>
        <v>{}</v>
      </c>
      <c r="W352" s="148" t="str">
        <f>IFERROR(__xludf.DUMMYFUNCTION("""COMPUTED_VALUE"""),"[]")</f>
        <v>[]</v>
      </c>
      <c r="X352" s="148" t="str">
        <f>IFERROR(__xludf.DUMMYFUNCTION("""COMPUTED_VALUE"""),"[{""typ"":""power"",""id"":12141002,""val"":5}]")</f>
        <v>[{"typ":"power","id":12141002,"val":5}]</v>
      </c>
      <c r="Y352" s="148" t="str">
        <f>IFERROR(__xludf.DUMMYFUNCTION("""COMPUTED_VALUE"""),"[{""typ"":""atk"",""val"":160},{""typ"":""def"",""val"":160},{""typ"":""hp"",""val"":160},{""typ"":""speed"",""val"":120},{""typ"":""load"",""val"":20},{""typ"":""backcoef"",""val"":0.5},{""typ"":""atkcoef"",""val"":1.0},{""typ"":""atkcd"",""val"":0}]")</f>
        <v>[{"typ":"atk","val":160},{"typ":"def","val":160},{"typ":"hp","val":160},{"typ":"speed","val":120},{"typ":"load","val":20},{"typ":"backcoef","val":0.5},{"typ":"atkcoef","val":1.0},{"typ":"atkcd","val":0}]</v>
      </c>
      <c r="Z352" s="148" t="str">
        <f>IFERROR(__xludf.DUMMYFUNCTION("""COMPUTED_VALUE"""),"[]")</f>
        <v>[]</v>
      </c>
    </row>
    <row r="353">
      <c r="A353" s="148">
        <f>IFERROR(__xludf.DUMMYFUNCTION("""COMPUTED_VALUE"""),1.1219207E7)</f>
        <v>11219207</v>
      </c>
      <c r="B353" s="148" t="str">
        <f>IFERROR(__xludf.DUMMYFUNCTION("""COMPUTED_VALUE"""),"GVE怪--无人机橙")</f>
        <v>GVE怪--无人机橙</v>
      </c>
      <c r="C353" s="148">
        <f>IFERROR(__xludf.DUMMYFUNCTION("""COMPUTED_VALUE"""),1.1221004E7)</f>
        <v>11221004</v>
      </c>
      <c r="D353" s="148">
        <f>IFERROR(__xludf.DUMMYFUNCTION("""COMPUTED_VALUE"""),1.5113965E7)</f>
        <v>15113965</v>
      </c>
      <c r="E353" s="148" t="str">
        <f>IFERROR(__xludf.DUMMYFUNCTION("""COMPUTED_VALUE"""),"{""typ"":""lc"",""txt"":""LC_SOLDIER_npc_name_kvk_normal""}")</f>
        <v>{"typ":"lc","txt":"LC_SOLDIER_npc_name_kvk_normal"}</v>
      </c>
      <c r="F353" s="148" t="str">
        <f>IFERROR(__xludf.DUMMYFUNCTION("""COMPUTED_VALUE"""),"{}")</f>
        <v>{}</v>
      </c>
      <c r="G353" s="148">
        <f>IFERROR(__xludf.DUMMYFUNCTION("""COMPUTED_VALUE"""),10.0)</f>
        <v>10</v>
      </c>
      <c r="H353" s="148">
        <f>IFERROR(__xludf.DUMMYFUNCTION("""COMPUTED_VALUE"""),10099.0)</f>
        <v>10099</v>
      </c>
      <c r="I353" s="148">
        <f>IFERROR(__xludf.DUMMYFUNCTION("""COMPUTED_VALUE"""),10099.0)</f>
        <v>10099</v>
      </c>
      <c r="J353" s="148">
        <f>IFERROR(__xludf.DUMMYFUNCTION("""COMPUTED_VALUE"""),0.0)</f>
        <v>0</v>
      </c>
      <c r="K353" s="148">
        <f>IFERROR(__xludf.DUMMYFUNCTION("""COMPUTED_VALUE"""),10.0)</f>
        <v>10</v>
      </c>
      <c r="L353" s="148">
        <f>IFERROR(__xludf.DUMMYFUNCTION("""COMPUTED_VALUE"""),99.0)</f>
        <v>99</v>
      </c>
      <c r="M353" s="148">
        <f>IFERROR(__xludf.DUMMYFUNCTION("""COMPUTED_VALUE"""),0.0)</f>
        <v>0</v>
      </c>
      <c r="N353" s="148" t="str">
        <f>IFERROR(__xludf.DUMMYFUNCTION("""COMPUTED_VALUE"""),"[]")</f>
        <v>[]</v>
      </c>
      <c r="O353" s="148" t="str">
        <f>IFERROR(__xludf.DUMMYFUNCTION("""COMPUTED_VALUE"""),"{}")</f>
        <v>{}</v>
      </c>
      <c r="P353" s="148">
        <f>IFERROR(__xludf.DUMMYFUNCTION("""COMPUTED_VALUE"""),0.0)</f>
        <v>0</v>
      </c>
      <c r="Q353" s="148" t="str">
        <f>IFERROR(__xludf.DUMMYFUNCTION("""COMPUTED_VALUE"""),"[]")</f>
        <v>[]</v>
      </c>
      <c r="R353" s="148" t="str">
        <f>IFERROR(__xludf.DUMMYFUNCTION("""COMPUTED_VALUE"""),"{}")</f>
        <v>{}</v>
      </c>
      <c r="S353" s="148">
        <f>IFERROR(__xludf.DUMMYFUNCTION("""COMPUTED_VALUE"""),0.0)</f>
        <v>0</v>
      </c>
      <c r="T353" s="148" t="str">
        <f>IFERROR(__xludf.DUMMYFUNCTION("""COMPUTED_VALUE"""),"[]")</f>
        <v>[]</v>
      </c>
      <c r="U353" s="148">
        <f>IFERROR(__xludf.DUMMYFUNCTION("""COMPUTED_VALUE"""),0.0)</f>
        <v>0</v>
      </c>
      <c r="V353" s="148" t="str">
        <f>IFERROR(__xludf.DUMMYFUNCTION("""COMPUTED_VALUE"""),"{}")</f>
        <v>{}</v>
      </c>
      <c r="W353" s="148" t="str">
        <f>IFERROR(__xludf.DUMMYFUNCTION("""COMPUTED_VALUE"""),"[]")</f>
        <v>[]</v>
      </c>
      <c r="X353" s="148" t="str">
        <f>IFERROR(__xludf.DUMMYFUNCTION("""COMPUTED_VALUE"""),"[{""typ"":""power"",""id"":12141002,""val"":5}]")</f>
        <v>[{"typ":"power","id":12141002,"val":5}]</v>
      </c>
      <c r="Y353" s="148" t="str">
        <f>IFERROR(__xludf.DUMMYFUNCTION("""COMPUTED_VALUE"""),"[{""typ"":""atk"",""val"":160},{""typ"":""def"",""val"":160},{""typ"":""hp"",""val"":160},{""typ"":""speed"",""val"":45},{""typ"":""load"",""val"":20},{""typ"":""backcoef"",""val"":0.5},{""typ"":""atkcoef"",""val"":1.0},{""typ"":""atkcd"",""val"":0}]")</f>
        <v>[{"typ":"atk","val":160},{"typ":"def","val":160},{"typ":"hp","val":160},{"typ":"speed","val":45},{"typ":"load","val":20},{"typ":"backcoef","val":0.5},{"typ":"atkcoef","val":1.0},{"typ":"atkcd","val":0}]</v>
      </c>
      <c r="Z353" s="148" t="str">
        <f>IFERROR(__xludf.DUMMYFUNCTION("""COMPUTED_VALUE"""),"[]")</f>
        <v>[]</v>
      </c>
    </row>
    <row r="354">
      <c r="A354" s="148">
        <f>IFERROR(__xludf.DUMMYFUNCTION("""COMPUTED_VALUE"""),1.1219208E7)</f>
        <v>11219208</v>
      </c>
      <c r="B354" s="148" t="str">
        <f>IFERROR(__xludf.DUMMYFUNCTION("""COMPUTED_VALUE"""),"GVE怪--坦克白")</f>
        <v>GVE怪--坦克白</v>
      </c>
      <c r="C354" s="148">
        <f>IFERROR(__xludf.DUMMYFUNCTION("""COMPUTED_VALUE"""),1.1221004E7)</f>
        <v>11221004</v>
      </c>
      <c r="D354" s="148">
        <f>IFERROR(__xludf.DUMMYFUNCTION("""COMPUTED_VALUE"""),1.5113953E7)</f>
        <v>15113953</v>
      </c>
      <c r="E354" s="148" t="str">
        <f>IFERROR(__xludf.DUMMYFUNCTION("""COMPUTED_VALUE"""),"{""typ"":""lc"",""txt"":""LC_SOLDIER_npc_name_kvk_boss""}")</f>
        <v>{"typ":"lc","txt":"LC_SOLDIER_npc_name_kvk_boss"}</v>
      </c>
      <c r="F354" s="148" t="str">
        <f>IFERROR(__xludf.DUMMYFUNCTION("""COMPUTED_VALUE"""),"{}")</f>
        <v>{}</v>
      </c>
      <c r="G354" s="148">
        <f>IFERROR(__xludf.DUMMYFUNCTION("""COMPUTED_VALUE"""),10.0)</f>
        <v>10</v>
      </c>
      <c r="H354" s="148">
        <f>IFERROR(__xludf.DUMMYFUNCTION("""COMPUTED_VALUE"""),10099.0)</f>
        <v>10099</v>
      </c>
      <c r="I354" s="148">
        <f>IFERROR(__xludf.DUMMYFUNCTION("""COMPUTED_VALUE"""),10099.0)</f>
        <v>10099</v>
      </c>
      <c r="J354" s="148">
        <f>IFERROR(__xludf.DUMMYFUNCTION("""COMPUTED_VALUE"""),0.0)</f>
        <v>0</v>
      </c>
      <c r="K354" s="148">
        <f>IFERROR(__xludf.DUMMYFUNCTION("""COMPUTED_VALUE"""),10.0)</f>
        <v>10</v>
      </c>
      <c r="L354" s="148">
        <f>IFERROR(__xludf.DUMMYFUNCTION("""COMPUTED_VALUE"""),99.0)</f>
        <v>99</v>
      </c>
      <c r="M354" s="148">
        <f>IFERROR(__xludf.DUMMYFUNCTION("""COMPUTED_VALUE"""),0.0)</f>
        <v>0</v>
      </c>
      <c r="N354" s="148" t="str">
        <f>IFERROR(__xludf.DUMMYFUNCTION("""COMPUTED_VALUE"""),"[]")</f>
        <v>[]</v>
      </c>
      <c r="O354" s="148" t="str">
        <f>IFERROR(__xludf.DUMMYFUNCTION("""COMPUTED_VALUE"""),"{}")</f>
        <v>{}</v>
      </c>
      <c r="P354" s="148">
        <f>IFERROR(__xludf.DUMMYFUNCTION("""COMPUTED_VALUE"""),0.0)</f>
        <v>0</v>
      </c>
      <c r="Q354" s="148" t="str">
        <f>IFERROR(__xludf.DUMMYFUNCTION("""COMPUTED_VALUE"""),"[]")</f>
        <v>[]</v>
      </c>
      <c r="R354" s="148" t="str">
        <f>IFERROR(__xludf.DUMMYFUNCTION("""COMPUTED_VALUE"""),"{}")</f>
        <v>{}</v>
      </c>
      <c r="S354" s="148">
        <f>IFERROR(__xludf.DUMMYFUNCTION("""COMPUTED_VALUE"""),0.0)</f>
        <v>0</v>
      </c>
      <c r="T354" s="148" t="str">
        <f>IFERROR(__xludf.DUMMYFUNCTION("""COMPUTED_VALUE"""),"[]")</f>
        <v>[]</v>
      </c>
      <c r="U354" s="148">
        <f>IFERROR(__xludf.DUMMYFUNCTION("""COMPUTED_VALUE"""),0.0)</f>
        <v>0</v>
      </c>
      <c r="V354" s="148" t="str">
        <f>IFERROR(__xludf.DUMMYFUNCTION("""COMPUTED_VALUE"""),"{}")</f>
        <v>{}</v>
      </c>
      <c r="W354" s="148" t="str">
        <f>IFERROR(__xludf.DUMMYFUNCTION("""COMPUTED_VALUE"""),"[]")</f>
        <v>[]</v>
      </c>
      <c r="X354" s="148" t="str">
        <f>IFERROR(__xludf.DUMMYFUNCTION("""COMPUTED_VALUE"""),"[{""typ"":""power"",""id"":12141002,""val"":5}]")</f>
        <v>[{"typ":"power","id":12141002,"val":5}]</v>
      </c>
      <c r="Y354" s="148" t="str">
        <f>IFERROR(__xludf.DUMMYFUNCTION("""COMPUTED_VALUE"""),"[{""typ"":""atk"",""val"":160},{""typ"":""def"",""val"":160},{""typ"":""hp"",""val"":160},{""typ"":""speed"",""val"":30},{""typ"":""load"",""val"":20},{""typ"":""backcoef"",""val"":0.5},{""typ"":""atkcoef"",""val"":1.0},{""typ"":""atkcd"",""val"":0}]")</f>
        <v>[{"typ":"atk","val":160},{"typ":"def","val":160},{"typ":"hp","val":160},{"typ":"speed","val":30},{"typ":"load","val":20},{"typ":"backcoef","val":0.5},{"typ":"atkcoef","val":1.0},{"typ":"atkcd","val":0}]</v>
      </c>
      <c r="Z354" s="148" t="str">
        <f>IFERROR(__xludf.DUMMYFUNCTION("""COMPUTED_VALUE"""),"[]")</f>
        <v>[]</v>
      </c>
    </row>
    <row r="355">
      <c r="A355" s="148">
        <f>IFERROR(__xludf.DUMMYFUNCTION("""COMPUTED_VALUE"""),1.1219209E7)</f>
        <v>11219209</v>
      </c>
      <c r="B355" s="148" t="str">
        <f>IFERROR(__xludf.DUMMYFUNCTION("""COMPUTED_VALUE"""),"GVE怪--坦克蓝")</f>
        <v>GVE怪--坦克蓝</v>
      </c>
      <c r="C355" s="148">
        <f>IFERROR(__xludf.DUMMYFUNCTION("""COMPUTED_VALUE"""),1.1221004E7)</f>
        <v>11221004</v>
      </c>
      <c r="D355" s="148">
        <f>IFERROR(__xludf.DUMMYFUNCTION("""COMPUTED_VALUE"""),1.5113954E7)</f>
        <v>15113954</v>
      </c>
      <c r="E355" s="148" t="str">
        <f>IFERROR(__xludf.DUMMYFUNCTION("""COMPUTED_VALUE"""),"{""typ"":""lc"",""txt"":""LC_SOLDIER_npc_name_kvk_boss""}")</f>
        <v>{"typ":"lc","txt":"LC_SOLDIER_npc_name_kvk_boss"}</v>
      </c>
      <c r="F355" s="148" t="str">
        <f>IFERROR(__xludf.DUMMYFUNCTION("""COMPUTED_VALUE"""),"{}")</f>
        <v>{}</v>
      </c>
      <c r="G355" s="148">
        <f>IFERROR(__xludf.DUMMYFUNCTION("""COMPUTED_VALUE"""),10.0)</f>
        <v>10</v>
      </c>
      <c r="H355" s="148">
        <f>IFERROR(__xludf.DUMMYFUNCTION("""COMPUTED_VALUE"""),10099.0)</f>
        <v>10099</v>
      </c>
      <c r="I355" s="148">
        <f>IFERROR(__xludf.DUMMYFUNCTION("""COMPUTED_VALUE"""),10099.0)</f>
        <v>10099</v>
      </c>
      <c r="J355" s="148">
        <f>IFERROR(__xludf.DUMMYFUNCTION("""COMPUTED_VALUE"""),0.0)</f>
        <v>0</v>
      </c>
      <c r="K355" s="148">
        <f>IFERROR(__xludf.DUMMYFUNCTION("""COMPUTED_VALUE"""),10.0)</f>
        <v>10</v>
      </c>
      <c r="L355" s="148">
        <f>IFERROR(__xludf.DUMMYFUNCTION("""COMPUTED_VALUE"""),99.0)</f>
        <v>99</v>
      </c>
      <c r="M355" s="148">
        <f>IFERROR(__xludf.DUMMYFUNCTION("""COMPUTED_VALUE"""),0.0)</f>
        <v>0</v>
      </c>
      <c r="N355" s="148" t="str">
        <f>IFERROR(__xludf.DUMMYFUNCTION("""COMPUTED_VALUE"""),"[]")</f>
        <v>[]</v>
      </c>
      <c r="O355" s="148" t="str">
        <f>IFERROR(__xludf.DUMMYFUNCTION("""COMPUTED_VALUE"""),"{}")</f>
        <v>{}</v>
      </c>
      <c r="P355" s="148">
        <f>IFERROR(__xludf.DUMMYFUNCTION("""COMPUTED_VALUE"""),0.0)</f>
        <v>0</v>
      </c>
      <c r="Q355" s="148" t="str">
        <f>IFERROR(__xludf.DUMMYFUNCTION("""COMPUTED_VALUE"""),"[]")</f>
        <v>[]</v>
      </c>
      <c r="R355" s="148" t="str">
        <f>IFERROR(__xludf.DUMMYFUNCTION("""COMPUTED_VALUE"""),"{}")</f>
        <v>{}</v>
      </c>
      <c r="S355" s="148">
        <f>IFERROR(__xludf.DUMMYFUNCTION("""COMPUTED_VALUE"""),0.0)</f>
        <v>0</v>
      </c>
      <c r="T355" s="148" t="str">
        <f>IFERROR(__xludf.DUMMYFUNCTION("""COMPUTED_VALUE"""),"[]")</f>
        <v>[]</v>
      </c>
      <c r="U355" s="148">
        <f>IFERROR(__xludf.DUMMYFUNCTION("""COMPUTED_VALUE"""),0.0)</f>
        <v>0</v>
      </c>
      <c r="V355" s="148" t="str">
        <f>IFERROR(__xludf.DUMMYFUNCTION("""COMPUTED_VALUE"""),"{}")</f>
        <v>{}</v>
      </c>
      <c r="W355" s="148" t="str">
        <f>IFERROR(__xludf.DUMMYFUNCTION("""COMPUTED_VALUE"""),"[]")</f>
        <v>[]</v>
      </c>
      <c r="X355" s="148" t="str">
        <f>IFERROR(__xludf.DUMMYFUNCTION("""COMPUTED_VALUE"""),"[{""typ"":""power"",""id"":12141002,""val"":5}]")</f>
        <v>[{"typ":"power","id":12141002,"val":5}]</v>
      </c>
      <c r="Y355" s="148" t="str">
        <f>IFERROR(__xludf.DUMMYFUNCTION("""COMPUTED_VALUE"""),"[{""typ"":""atk"",""val"":160},{""typ"":""def"",""val"":160},{""typ"":""hp"",""val"":160},{""typ"":""speed"",""val"":30},{""typ"":""load"",""val"":20},{""typ"":""backcoef"",""val"":0.5},{""typ"":""atkcoef"",""val"":1.0},{""typ"":""atkcd"",""val"":0}]")</f>
        <v>[{"typ":"atk","val":160},{"typ":"def","val":160},{"typ":"hp","val":160},{"typ":"speed","val":30},{"typ":"load","val":20},{"typ":"backcoef","val":0.5},{"typ":"atkcoef","val":1.0},{"typ":"atkcd","val":0}]</v>
      </c>
      <c r="Z355" s="148" t="str">
        <f>IFERROR(__xludf.DUMMYFUNCTION("""COMPUTED_VALUE"""),"[]")</f>
        <v>[]</v>
      </c>
    </row>
    <row r="356">
      <c r="A356" s="148">
        <f>IFERROR(__xludf.DUMMYFUNCTION("""COMPUTED_VALUE"""),1.121921E7)</f>
        <v>11219210</v>
      </c>
      <c r="B356" s="148" t="str">
        <f>IFERROR(__xludf.DUMMYFUNCTION("""COMPUTED_VALUE"""),"GVE怪--坦克紫")</f>
        <v>GVE怪--坦克紫</v>
      </c>
      <c r="C356" s="148">
        <f>IFERROR(__xludf.DUMMYFUNCTION("""COMPUTED_VALUE"""),1.1221004E7)</f>
        <v>11221004</v>
      </c>
      <c r="D356" s="148">
        <f>IFERROR(__xludf.DUMMYFUNCTION("""COMPUTED_VALUE"""),1.5113966E7)</f>
        <v>15113966</v>
      </c>
      <c r="E356" s="148" t="str">
        <f>IFERROR(__xludf.DUMMYFUNCTION("""COMPUTED_VALUE"""),"{""typ"":""lc"",""txt"":""LC_SOLDIER_npc_name_kvk_boss""}")</f>
        <v>{"typ":"lc","txt":"LC_SOLDIER_npc_name_kvk_boss"}</v>
      </c>
      <c r="F356" s="148" t="str">
        <f>IFERROR(__xludf.DUMMYFUNCTION("""COMPUTED_VALUE"""),"{}")</f>
        <v>{}</v>
      </c>
      <c r="G356" s="148">
        <f>IFERROR(__xludf.DUMMYFUNCTION("""COMPUTED_VALUE"""),10.0)</f>
        <v>10</v>
      </c>
      <c r="H356" s="148">
        <f>IFERROR(__xludf.DUMMYFUNCTION("""COMPUTED_VALUE"""),10099.0)</f>
        <v>10099</v>
      </c>
      <c r="I356" s="148">
        <f>IFERROR(__xludf.DUMMYFUNCTION("""COMPUTED_VALUE"""),10099.0)</f>
        <v>10099</v>
      </c>
      <c r="J356" s="148">
        <f>IFERROR(__xludf.DUMMYFUNCTION("""COMPUTED_VALUE"""),0.0)</f>
        <v>0</v>
      </c>
      <c r="K356" s="148">
        <f>IFERROR(__xludf.DUMMYFUNCTION("""COMPUTED_VALUE"""),10.0)</f>
        <v>10</v>
      </c>
      <c r="L356" s="148">
        <f>IFERROR(__xludf.DUMMYFUNCTION("""COMPUTED_VALUE"""),99.0)</f>
        <v>99</v>
      </c>
      <c r="M356" s="148">
        <f>IFERROR(__xludf.DUMMYFUNCTION("""COMPUTED_VALUE"""),0.0)</f>
        <v>0</v>
      </c>
      <c r="N356" s="148" t="str">
        <f>IFERROR(__xludf.DUMMYFUNCTION("""COMPUTED_VALUE"""),"[]")</f>
        <v>[]</v>
      </c>
      <c r="O356" s="148" t="str">
        <f>IFERROR(__xludf.DUMMYFUNCTION("""COMPUTED_VALUE"""),"{}")</f>
        <v>{}</v>
      </c>
      <c r="P356" s="148">
        <f>IFERROR(__xludf.DUMMYFUNCTION("""COMPUTED_VALUE"""),0.0)</f>
        <v>0</v>
      </c>
      <c r="Q356" s="148" t="str">
        <f>IFERROR(__xludf.DUMMYFUNCTION("""COMPUTED_VALUE"""),"[]")</f>
        <v>[]</v>
      </c>
      <c r="R356" s="148" t="str">
        <f>IFERROR(__xludf.DUMMYFUNCTION("""COMPUTED_VALUE"""),"{}")</f>
        <v>{}</v>
      </c>
      <c r="S356" s="148">
        <f>IFERROR(__xludf.DUMMYFUNCTION("""COMPUTED_VALUE"""),0.0)</f>
        <v>0</v>
      </c>
      <c r="T356" s="148" t="str">
        <f>IFERROR(__xludf.DUMMYFUNCTION("""COMPUTED_VALUE"""),"[]")</f>
        <v>[]</v>
      </c>
      <c r="U356" s="148">
        <f>IFERROR(__xludf.DUMMYFUNCTION("""COMPUTED_VALUE"""),0.0)</f>
        <v>0</v>
      </c>
      <c r="V356" s="148" t="str">
        <f>IFERROR(__xludf.DUMMYFUNCTION("""COMPUTED_VALUE"""),"{}")</f>
        <v>{}</v>
      </c>
      <c r="W356" s="148" t="str">
        <f>IFERROR(__xludf.DUMMYFUNCTION("""COMPUTED_VALUE"""),"[]")</f>
        <v>[]</v>
      </c>
      <c r="X356" s="148" t="str">
        <f>IFERROR(__xludf.DUMMYFUNCTION("""COMPUTED_VALUE"""),"[{""typ"":""power"",""id"":12141002,""val"":5}]")</f>
        <v>[{"typ":"power","id":12141002,"val":5}]</v>
      </c>
      <c r="Y356" s="148" t="str">
        <f>IFERROR(__xludf.DUMMYFUNCTION("""COMPUTED_VALUE"""),"[{""typ"":""atk"",""val"":160},{""typ"":""def"",""val"":160},{""typ"":""hp"",""val"":160},{""typ"":""speed"",""val"":60},{""typ"":""load"",""val"":20},{""typ"":""backcoef"",""val"":0.5},{""typ"":""atkcoef"",""val"":1.0},{""typ"":""atkcd"",""val"":0}]")</f>
        <v>[{"typ":"atk","val":160},{"typ":"def","val":160},{"typ":"hp","val":160},{"typ":"speed","val":60},{"typ":"load","val":20},{"typ":"backcoef","val":0.5},{"typ":"atkcoef","val":1.0},{"typ":"atkcd","val":0}]</v>
      </c>
      <c r="Z356" s="148" t="str">
        <f>IFERROR(__xludf.DUMMYFUNCTION("""COMPUTED_VALUE"""),"[]")</f>
        <v>[]</v>
      </c>
    </row>
    <row r="357">
      <c r="A357" s="148">
        <f>IFERROR(__xludf.DUMMYFUNCTION("""COMPUTED_VALUE"""),1.1219211E7)</f>
        <v>11219211</v>
      </c>
      <c r="B357" s="148" t="str">
        <f>IFERROR(__xludf.DUMMYFUNCTION("""COMPUTED_VALUE"""),"GVE怪--坦克橙")</f>
        <v>GVE怪--坦克橙</v>
      </c>
      <c r="C357" s="148">
        <f>IFERROR(__xludf.DUMMYFUNCTION("""COMPUTED_VALUE"""),1.1221004E7)</f>
        <v>11221004</v>
      </c>
      <c r="D357" s="148">
        <f>IFERROR(__xludf.DUMMYFUNCTION("""COMPUTED_VALUE"""),1.5113967E7)</f>
        <v>15113967</v>
      </c>
      <c r="E357" s="148" t="str">
        <f>IFERROR(__xludf.DUMMYFUNCTION("""COMPUTED_VALUE"""),"{""typ"":""lc"",""txt"":""LC_SOLDIER_npc_name_kvk_boss""}")</f>
        <v>{"typ":"lc","txt":"LC_SOLDIER_npc_name_kvk_boss"}</v>
      </c>
      <c r="F357" s="148" t="str">
        <f>IFERROR(__xludf.DUMMYFUNCTION("""COMPUTED_VALUE"""),"{}")</f>
        <v>{}</v>
      </c>
      <c r="G357" s="148">
        <f>IFERROR(__xludf.DUMMYFUNCTION("""COMPUTED_VALUE"""),10.0)</f>
        <v>10</v>
      </c>
      <c r="H357" s="148">
        <f>IFERROR(__xludf.DUMMYFUNCTION("""COMPUTED_VALUE"""),10099.0)</f>
        <v>10099</v>
      </c>
      <c r="I357" s="148">
        <f>IFERROR(__xludf.DUMMYFUNCTION("""COMPUTED_VALUE"""),10099.0)</f>
        <v>10099</v>
      </c>
      <c r="J357" s="148">
        <f>IFERROR(__xludf.DUMMYFUNCTION("""COMPUTED_VALUE"""),0.0)</f>
        <v>0</v>
      </c>
      <c r="K357" s="148">
        <f>IFERROR(__xludf.DUMMYFUNCTION("""COMPUTED_VALUE"""),10.0)</f>
        <v>10</v>
      </c>
      <c r="L357" s="148">
        <f>IFERROR(__xludf.DUMMYFUNCTION("""COMPUTED_VALUE"""),99.0)</f>
        <v>99</v>
      </c>
      <c r="M357" s="148">
        <f>IFERROR(__xludf.DUMMYFUNCTION("""COMPUTED_VALUE"""),0.0)</f>
        <v>0</v>
      </c>
      <c r="N357" s="148" t="str">
        <f>IFERROR(__xludf.DUMMYFUNCTION("""COMPUTED_VALUE"""),"[]")</f>
        <v>[]</v>
      </c>
      <c r="O357" s="148" t="str">
        <f>IFERROR(__xludf.DUMMYFUNCTION("""COMPUTED_VALUE"""),"{}")</f>
        <v>{}</v>
      </c>
      <c r="P357" s="148">
        <f>IFERROR(__xludf.DUMMYFUNCTION("""COMPUTED_VALUE"""),0.0)</f>
        <v>0</v>
      </c>
      <c r="Q357" s="148" t="str">
        <f>IFERROR(__xludf.DUMMYFUNCTION("""COMPUTED_VALUE"""),"[]")</f>
        <v>[]</v>
      </c>
      <c r="R357" s="148" t="str">
        <f>IFERROR(__xludf.DUMMYFUNCTION("""COMPUTED_VALUE"""),"{}")</f>
        <v>{}</v>
      </c>
      <c r="S357" s="148">
        <f>IFERROR(__xludf.DUMMYFUNCTION("""COMPUTED_VALUE"""),0.0)</f>
        <v>0</v>
      </c>
      <c r="T357" s="148" t="str">
        <f>IFERROR(__xludf.DUMMYFUNCTION("""COMPUTED_VALUE"""),"[]")</f>
        <v>[]</v>
      </c>
      <c r="U357" s="148">
        <f>IFERROR(__xludf.DUMMYFUNCTION("""COMPUTED_VALUE"""),0.0)</f>
        <v>0</v>
      </c>
      <c r="V357" s="148" t="str">
        <f>IFERROR(__xludf.DUMMYFUNCTION("""COMPUTED_VALUE"""),"{}")</f>
        <v>{}</v>
      </c>
      <c r="W357" s="148" t="str">
        <f>IFERROR(__xludf.DUMMYFUNCTION("""COMPUTED_VALUE"""),"[]")</f>
        <v>[]</v>
      </c>
      <c r="X357" s="148" t="str">
        <f>IFERROR(__xludf.DUMMYFUNCTION("""COMPUTED_VALUE"""),"[{""typ"":""power"",""id"":12141002,""val"":5}]")</f>
        <v>[{"typ":"power","id":12141002,"val":5}]</v>
      </c>
      <c r="Y357" s="148" t="str">
        <f>IFERROR(__xludf.DUMMYFUNCTION("""COMPUTED_VALUE"""),"[{""typ"":""atk"",""val"":160},{""typ"":""def"",""val"":160},{""typ"":""hp"",""val"":160},{""typ"":""speed"",""val"":30},{""typ"":""load"",""val"":20},{""typ"":""backcoef"",""val"":0.5},{""typ"":""atkcoef"",""val"":1.0},{""typ"":""atkcd"",""val"":0}]")</f>
        <v>[{"typ":"atk","val":160},{"typ":"def","val":160},{"typ":"hp","val":160},{"typ":"speed","val":30},{"typ":"load","val":20},{"typ":"backcoef","val":0.5},{"typ":"atkcoef","val":1.0},{"typ":"atkcd","val":0}]</v>
      </c>
      <c r="Z357" s="148" t="str">
        <f>IFERROR(__xludf.DUMMYFUNCTION("""COMPUTED_VALUE"""),"[]")</f>
        <v>[]</v>
      </c>
    </row>
    <row r="358">
      <c r="A358" s="148">
        <f>IFERROR(__xludf.DUMMYFUNCTION("""COMPUTED_VALUE"""),1.1219212E7)</f>
        <v>11219212</v>
      </c>
      <c r="B358" s="148" t="str">
        <f>IFERROR(__xludf.DUMMYFUNCTION("""COMPUTED_VALUE"""),"GVE怪--野蛮猴白")</f>
        <v>GVE怪--野蛮猴白</v>
      </c>
      <c r="C358" s="148">
        <f>IFERROR(__xludf.DUMMYFUNCTION("""COMPUTED_VALUE"""),1.1221004E7)</f>
        <v>11221004</v>
      </c>
      <c r="D358" s="148">
        <f>IFERROR(__xludf.DUMMYFUNCTION("""COMPUTED_VALUE"""),1.5110234E7)</f>
        <v>15110234</v>
      </c>
      <c r="E358" s="148" t="str">
        <f>IFERROR(__xludf.DUMMYFUNCTION("""COMPUTED_VALUE"""),"{""typ"":""lc"",""txt"":""LC_NPC_npc_reg_name""}")</f>
        <v>{"typ":"lc","txt":"LC_NPC_npc_reg_name"}</v>
      </c>
      <c r="F358" s="148" t="str">
        <f>IFERROR(__xludf.DUMMYFUNCTION("""COMPUTED_VALUE"""),"{}")</f>
        <v>{}</v>
      </c>
      <c r="G358" s="148">
        <f>IFERROR(__xludf.DUMMYFUNCTION("""COMPUTED_VALUE"""),10.0)</f>
        <v>10</v>
      </c>
      <c r="H358" s="148">
        <f>IFERROR(__xludf.DUMMYFUNCTION("""COMPUTED_VALUE"""),10099.0)</f>
        <v>10099</v>
      </c>
      <c r="I358" s="148">
        <f>IFERROR(__xludf.DUMMYFUNCTION("""COMPUTED_VALUE"""),10099.0)</f>
        <v>10099</v>
      </c>
      <c r="J358" s="148">
        <f>IFERROR(__xludf.DUMMYFUNCTION("""COMPUTED_VALUE"""),0.0)</f>
        <v>0</v>
      </c>
      <c r="K358" s="148">
        <f>IFERROR(__xludf.DUMMYFUNCTION("""COMPUTED_VALUE"""),10.0)</f>
        <v>10</v>
      </c>
      <c r="L358" s="148">
        <f>IFERROR(__xludf.DUMMYFUNCTION("""COMPUTED_VALUE"""),99.0)</f>
        <v>99</v>
      </c>
      <c r="M358" s="148">
        <f>IFERROR(__xludf.DUMMYFUNCTION("""COMPUTED_VALUE"""),0.0)</f>
        <v>0</v>
      </c>
      <c r="N358" s="148" t="str">
        <f>IFERROR(__xludf.DUMMYFUNCTION("""COMPUTED_VALUE"""),"[]")</f>
        <v>[]</v>
      </c>
      <c r="O358" s="148" t="str">
        <f>IFERROR(__xludf.DUMMYFUNCTION("""COMPUTED_VALUE"""),"{}")</f>
        <v>{}</v>
      </c>
      <c r="P358" s="148">
        <f>IFERROR(__xludf.DUMMYFUNCTION("""COMPUTED_VALUE"""),0.0)</f>
        <v>0</v>
      </c>
      <c r="Q358" s="148" t="str">
        <f>IFERROR(__xludf.DUMMYFUNCTION("""COMPUTED_VALUE"""),"[]")</f>
        <v>[]</v>
      </c>
      <c r="R358" s="148" t="str">
        <f>IFERROR(__xludf.DUMMYFUNCTION("""COMPUTED_VALUE"""),"{}")</f>
        <v>{}</v>
      </c>
      <c r="S358" s="148">
        <f>IFERROR(__xludf.DUMMYFUNCTION("""COMPUTED_VALUE"""),0.0)</f>
        <v>0</v>
      </c>
      <c r="T358" s="148" t="str">
        <f>IFERROR(__xludf.DUMMYFUNCTION("""COMPUTED_VALUE"""),"[]")</f>
        <v>[]</v>
      </c>
      <c r="U358" s="148">
        <f>IFERROR(__xludf.DUMMYFUNCTION("""COMPUTED_VALUE"""),0.0)</f>
        <v>0</v>
      </c>
      <c r="V358" s="148" t="str">
        <f>IFERROR(__xludf.DUMMYFUNCTION("""COMPUTED_VALUE"""),"{}")</f>
        <v>{}</v>
      </c>
      <c r="W358" s="148" t="str">
        <f>IFERROR(__xludf.DUMMYFUNCTION("""COMPUTED_VALUE"""),"[]")</f>
        <v>[]</v>
      </c>
      <c r="X358" s="148" t="str">
        <f>IFERROR(__xludf.DUMMYFUNCTION("""COMPUTED_VALUE"""),"[{""typ"":""power"",""id"":12141002,""val"":5}]")</f>
        <v>[{"typ":"power","id":12141002,"val":5}]</v>
      </c>
      <c r="Y358" s="148" t="str">
        <f>IFERROR(__xludf.DUMMYFUNCTION("""COMPUTED_VALUE"""),"[{""typ"":""atk"",""val"":160},{""typ"":""def"",""val"":160},{""typ"":""hp"",""val"":160},{""typ"":""speed"",""val"":60},{""typ"":""load"",""val"":20},{""typ"":""backcoef"",""val"":0.5},{""typ"":""atkcoef"",""val"":1.0},{""typ"":""atkcd"",""val"":0}]")</f>
        <v>[{"typ":"atk","val":160},{"typ":"def","val":160},{"typ":"hp","val":160},{"typ":"speed","val":60},{"typ":"load","val":20},{"typ":"backcoef","val":0.5},{"typ":"atkcoef","val":1.0},{"typ":"atkcd","val":0}]</v>
      </c>
      <c r="Z358" s="148" t="str">
        <f>IFERROR(__xludf.DUMMYFUNCTION("""COMPUTED_VALUE"""),"[]")</f>
        <v>[]</v>
      </c>
    </row>
    <row r="359">
      <c r="A359" s="148">
        <f>IFERROR(__xludf.DUMMYFUNCTION("""COMPUTED_VALUE"""),1.1219213E7)</f>
        <v>11219213</v>
      </c>
      <c r="B359" s="148" t="str">
        <f>IFERROR(__xludf.DUMMYFUNCTION("""COMPUTED_VALUE"""),"GVE怪--野蛮猴蓝")</f>
        <v>GVE怪--野蛮猴蓝</v>
      </c>
      <c r="C359" s="148">
        <f>IFERROR(__xludf.DUMMYFUNCTION("""COMPUTED_VALUE"""),1.1221004E7)</f>
        <v>11221004</v>
      </c>
      <c r="D359" s="148">
        <f>IFERROR(__xludf.DUMMYFUNCTION("""COMPUTED_VALUE"""),1.5114051E7)</f>
        <v>15114051</v>
      </c>
      <c r="E359" s="148" t="str">
        <f>IFERROR(__xludf.DUMMYFUNCTION("""COMPUTED_VALUE"""),"{""typ"":""lc"",""txt"":""LC_NPC_monster_shoot_simple""}")</f>
        <v>{"typ":"lc","txt":"LC_NPC_monster_shoot_simple"}</v>
      </c>
      <c r="F359" s="148" t="str">
        <f>IFERROR(__xludf.DUMMYFUNCTION("""COMPUTED_VALUE"""),"{}")</f>
        <v>{}</v>
      </c>
      <c r="G359" s="148">
        <f>IFERROR(__xludf.DUMMYFUNCTION("""COMPUTED_VALUE"""),10.0)</f>
        <v>10</v>
      </c>
      <c r="H359" s="148">
        <f>IFERROR(__xludf.DUMMYFUNCTION("""COMPUTED_VALUE"""),10099.0)</f>
        <v>10099</v>
      </c>
      <c r="I359" s="148">
        <f>IFERROR(__xludf.DUMMYFUNCTION("""COMPUTED_VALUE"""),10099.0)</f>
        <v>10099</v>
      </c>
      <c r="J359" s="148">
        <f>IFERROR(__xludf.DUMMYFUNCTION("""COMPUTED_VALUE"""),0.0)</f>
        <v>0</v>
      </c>
      <c r="K359" s="148">
        <f>IFERROR(__xludf.DUMMYFUNCTION("""COMPUTED_VALUE"""),10.0)</f>
        <v>10</v>
      </c>
      <c r="L359" s="148">
        <f>IFERROR(__xludf.DUMMYFUNCTION("""COMPUTED_VALUE"""),99.0)</f>
        <v>99</v>
      </c>
      <c r="M359" s="148">
        <f>IFERROR(__xludf.DUMMYFUNCTION("""COMPUTED_VALUE"""),0.0)</f>
        <v>0</v>
      </c>
      <c r="N359" s="148" t="str">
        <f>IFERROR(__xludf.DUMMYFUNCTION("""COMPUTED_VALUE"""),"[]")</f>
        <v>[]</v>
      </c>
      <c r="O359" s="148" t="str">
        <f>IFERROR(__xludf.DUMMYFUNCTION("""COMPUTED_VALUE"""),"{}")</f>
        <v>{}</v>
      </c>
      <c r="P359" s="148">
        <f>IFERROR(__xludf.DUMMYFUNCTION("""COMPUTED_VALUE"""),0.0)</f>
        <v>0</v>
      </c>
      <c r="Q359" s="148" t="str">
        <f>IFERROR(__xludf.DUMMYFUNCTION("""COMPUTED_VALUE"""),"[]")</f>
        <v>[]</v>
      </c>
      <c r="R359" s="148" t="str">
        <f>IFERROR(__xludf.DUMMYFUNCTION("""COMPUTED_VALUE"""),"{}")</f>
        <v>{}</v>
      </c>
      <c r="S359" s="148">
        <f>IFERROR(__xludf.DUMMYFUNCTION("""COMPUTED_VALUE"""),0.0)</f>
        <v>0</v>
      </c>
      <c r="T359" s="148" t="str">
        <f>IFERROR(__xludf.DUMMYFUNCTION("""COMPUTED_VALUE"""),"[]")</f>
        <v>[]</v>
      </c>
      <c r="U359" s="148">
        <f>IFERROR(__xludf.DUMMYFUNCTION("""COMPUTED_VALUE"""),0.0)</f>
        <v>0</v>
      </c>
      <c r="V359" s="148" t="str">
        <f>IFERROR(__xludf.DUMMYFUNCTION("""COMPUTED_VALUE"""),"{}")</f>
        <v>{}</v>
      </c>
      <c r="W359" s="148" t="str">
        <f>IFERROR(__xludf.DUMMYFUNCTION("""COMPUTED_VALUE"""),"[]")</f>
        <v>[]</v>
      </c>
      <c r="X359" s="148" t="str">
        <f>IFERROR(__xludf.DUMMYFUNCTION("""COMPUTED_VALUE"""),"[{""typ"":""power"",""id"":12141002,""val"":5}]")</f>
        <v>[{"typ":"power","id":12141002,"val":5}]</v>
      </c>
      <c r="Y359" s="148" t="str">
        <f>IFERROR(__xludf.DUMMYFUNCTION("""COMPUTED_VALUE"""),"[{""typ"":""atk"",""val"":160},{""typ"":""def"",""val"":160},{""typ"":""hp"",""val"":160},{""typ"":""speed"",""val"":45},{""typ"":""load"",""val"":20},{""typ"":""backcoef"",""val"":0.5},{""typ"":""atkcoef"",""val"":1.0},{""typ"":""atkcd"",""val"":0}]")</f>
        <v>[{"typ":"atk","val":160},{"typ":"def","val":160},{"typ":"hp","val":160},{"typ":"speed","val":45},{"typ":"load","val":20},{"typ":"backcoef","val":0.5},{"typ":"atkcoef","val":1.0},{"typ":"atkcd","val":0}]</v>
      </c>
      <c r="Z359" s="148" t="str">
        <f>IFERROR(__xludf.DUMMYFUNCTION("""COMPUTED_VALUE"""),"[]")</f>
        <v>[]</v>
      </c>
    </row>
    <row r="360">
      <c r="A360" s="148">
        <f>IFERROR(__xludf.DUMMYFUNCTION("""COMPUTED_VALUE"""),1.1219214E7)</f>
        <v>11219214</v>
      </c>
      <c r="B360" s="148" t="str">
        <f>IFERROR(__xludf.DUMMYFUNCTION("""COMPUTED_VALUE"""),"GVE怪--野蛮猴紫")</f>
        <v>GVE怪--野蛮猴紫</v>
      </c>
      <c r="C360" s="148">
        <f>IFERROR(__xludf.DUMMYFUNCTION("""COMPUTED_VALUE"""),1.1221004E7)</f>
        <v>11221004</v>
      </c>
      <c r="D360" s="148">
        <f>IFERROR(__xludf.DUMMYFUNCTION("""COMPUTED_VALUE"""),1.5114051E7)</f>
        <v>15114051</v>
      </c>
      <c r="E360" s="148" t="str">
        <f>IFERROR(__xludf.DUMMYFUNCTION("""COMPUTED_VALUE"""),"{""typ"":""lc"",""txt"":""LC_NPC_monster_shoot_simple""}")</f>
        <v>{"typ":"lc","txt":"LC_NPC_monster_shoot_simple"}</v>
      </c>
      <c r="F360" s="148" t="str">
        <f>IFERROR(__xludf.DUMMYFUNCTION("""COMPUTED_VALUE"""),"{}")</f>
        <v>{}</v>
      </c>
      <c r="G360" s="148">
        <f>IFERROR(__xludf.DUMMYFUNCTION("""COMPUTED_VALUE"""),10.0)</f>
        <v>10</v>
      </c>
      <c r="H360" s="148">
        <f>IFERROR(__xludf.DUMMYFUNCTION("""COMPUTED_VALUE"""),10099.0)</f>
        <v>10099</v>
      </c>
      <c r="I360" s="148">
        <f>IFERROR(__xludf.DUMMYFUNCTION("""COMPUTED_VALUE"""),10099.0)</f>
        <v>10099</v>
      </c>
      <c r="J360" s="148">
        <f>IFERROR(__xludf.DUMMYFUNCTION("""COMPUTED_VALUE"""),0.0)</f>
        <v>0</v>
      </c>
      <c r="K360" s="148">
        <f>IFERROR(__xludf.DUMMYFUNCTION("""COMPUTED_VALUE"""),10.0)</f>
        <v>10</v>
      </c>
      <c r="L360" s="148">
        <f>IFERROR(__xludf.DUMMYFUNCTION("""COMPUTED_VALUE"""),99.0)</f>
        <v>99</v>
      </c>
      <c r="M360" s="148">
        <f>IFERROR(__xludf.DUMMYFUNCTION("""COMPUTED_VALUE"""),0.0)</f>
        <v>0</v>
      </c>
      <c r="N360" s="148" t="str">
        <f>IFERROR(__xludf.DUMMYFUNCTION("""COMPUTED_VALUE"""),"[]")</f>
        <v>[]</v>
      </c>
      <c r="O360" s="148" t="str">
        <f>IFERROR(__xludf.DUMMYFUNCTION("""COMPUTED_VALUE"""),"{}")</f>
        <v>{}</v>
      </c>
      <c r="P360" s="148">
        <f>IFERROR(__xludf.DUMMYFUNCTION("""COMPUTED_VALUE"""),0.0)</f>
        <v>0</v>
      </c>
      <c r="Q360" s="148" t="str">
        <f>IFERROR(__xludf.DUMMYFUNCTION("""COMPUTED_VALUE"""),"[]")</f>
        <v>[]</v>
      </c>
      <c r="R360" s="148" t="str">
        <f>IFERROR(__xludf.DUMMYFUNCTION("""COMPUTED_VALUE"""),"{}")</f>
        <v>{}</v>
      </c>
      <c r="S360" s="148">
        <f>IFERROR(__xludf.DUMMYFUNCTION("""COMPUTED_VALUE"""),0.0)</f>
        <v>0</v>
      </c>
      <c r="T360" s="148" t="str">
        <f>IFERROR(__xludf.DUMMYFUNCTION("""COMPUTED_VALUE"""),"[]")</f>
        <v>[]</v>
      </c>
      <c r="U360" s="148">
        <f>IFERROR(__xludf.DUMMYFUNCTION("""COMPUTED_VALUE"""),0.0)</f>
        <v>0</v>
      </c>
      <c r="V360" s="148" t="str">
        <f>IFERROR(__xludf.DUMMYFUNCTION("""COMPUTED_VALUE"""),"{}")</f>
        <v>{}</v>
      </c>
      <c r="W360" s="148" t="str">
        <f>IFERROR(__xludf.DUMMYFUNCTION("""COMPUTED_VALUE"""),"[]")</f>
        <v>[]</v>
      </c>
      <c r="X360" s="148" t="str">
        <f>IFERROR(__xludf.DUMMYFUNCTION("""COMPUTED_VALUE"""),"[{""typ"":""power"",""id"":12141002,""val"":5}]")</f>
        <v>[{"typ":"power","id":12141002,"val":5}]</v>
      </c>
      <c r="Y360" s="148" t="str">
        <f>IFERROR(__xludf.DUMMYFUNCTION("""COMPUTED_VALUE"""),"[{""typ"":""atk"",""val"":160},{""typ"":""def"",""val"":160},{""typ"":""hp"",""val"":160},{""typ"":""speed"",""val"":120},{""typ"":""load"",""val"":20},{""typ"":""backcoef"",""val"":0.5},{""typ"":""atkcoef"",""val"":1.0},{""typ"":""atkcd"",""val"":0}]")</f>
        <v>[{"typ":"atk","val":160},{"typ":"def","val":160},{"typ":"hp","val":160},{"typ":"speed","val":120},{"typ":"load","val":20},{"typ":"backcoef","val":0.5},{"typ":"atkcoef","val":1.0},{"typ":"atkcd","val":0}]</v>
      </c>
      <c r="Z360" s="148" t="str">
        <f>IFERROR(__xludf.DUMMYFUNCTION("""COMPUTED_VALUE"""),"[]")</f>
        <v>[]</v>
      </c>
    </row>
    <row r="361">
      <c r="A361" s="148">
        <f>IFERROR(__xludf.DUMMYFUNCTION("""COMPUTED_VALUE"""),1.1219215E7)</f>
        <v>11219215</v>
      </c>
      <c r="B361" s="148" t="str">
        <f>IFERROR(__xludf.DUMMYFUNCTION("""COMPUTED_VALUE"""),"GVE怪--野蛮猴橙")</f>
        <v>GVE怪--野蛮猴橙</v>
      </c>
      <c r="C361" s="148">
        <f>IFERROR(__xludf.DUMMYFUNCTION("""COMPUTED_VALUE"""),1.1221004E7)</f>
        <v>11221004</v>
      </c>
      <c r="D361" s="148">
        <f>IFERROR(__xludf.DUMMYFUNCTION("""COMPUTED_VALUE"""),1.5114052E7)</f>
        <v>15114052</v>
      </c>
      <c r="E361" s="148" t="str">
        <f>IFERROR(__xludf.DUMMYFUNCTION("""COMPUTED_VALUE"""),"{""typ"":""lc"",""txt"":""LC_NPC_monster_shoot_hard""}")</f>
        <v>{"typ":"lc","txt":"LC_NPC_monster_shoot_hard"}</v>
      </c>
      <c r="F361" s="148" t="str">
        <f>IFERROR(__xludf.DUMMYFUNCTION("""COMPUTED_VALUE"""),"{}")</f>
        <v>{}</v>
      </c>
      <c r="G361" s="148">
        <f>IFERROR(__xludf.DUMMYFUNCTION("""COMPUTED_VALUE"""),10.0)</f>
        <v>10</v>
      </c>
      <c r="H361" s="148">
        <f>IFERROR(__xludf.DUMMYFUNCTION("""COMPUTED_VALUE"""),10099.0)</f>
        <v>10099</v>
      </c>
      <c r="I361" s="148">
        <f>IFERROR(__xludf.DUMMYFUNCTION("""COMPUTED_VALUE"""),10099.0)</f>
        <v>10099</v>
      </c>
      <c r="J361" s="148">
        <f>IFERROR(__xludf.DUMMYFUNCTION("""COMPUTED_VALUE"""),0.0)</f>
        <v>0</v>
      </c>
      <c r="K361" s="148">
        <f>IFERROR(__xludf.DUMMYFUNCTION("""COMPUTED_VALUE"""),10.0)</f>
        <v>10</v>
      </c>
      <c r="L361" s="148">
        <f>IFERROR(__xludf.DUMMYFUNCTION("""COMPUTED_VALUE"""),99.0)</f>
        <v>99</v>
      </c>
      <c r="M361" s="148">
        <f>IFERROR(__xludf.DUMMYFUNCTION("""COMPUTED_VALUE"""),0.0)</f>
        <v>0</v>
      </c>
      <c r="N361" s="148" t="str">
        <f>IFERROR(__xludf.DUMMYFUNCTION("""COMPUTED_VALUE"""),"[]")</f>
        <v>[]</v>
      </c>
      <c r="O361" s="148" t="str">
        <f>IFERROR(__xludf.DUMMYFUNCTION("""COMPUTED_VALUE"""),"{}")</f>
        <v>{}</v>
      </c>
      <c r="P361" s="148">
        <f>IFERROR(__xludf.DUMMYFUNCTION("""COMPUTED_VALUE"""),0.0)</f>
        <v>0</v>
      </c>
      <c r="Q361" s="148" t="str">
        <f>IFERROR(__xludf.DUMMYFUNCTION("""COMPUTED_VALUE"""),"[]")</f>
        <v>[]</v>
      </c>
      <c r="R361" s="148" t="str">
        <f>IFERROR(__xludf.DUMMYFUNCTION("""COMPUTED_VALUE"""),"{}")</f>
        <v>{}</v>
      </c>
      <c r="S361" s="148">
        <f>IFERROR(__xludf.DUMMYFUNCTION("""COMPUTED_VALUE"""),0.0)</f>
        <v>0</v>
      </c>
      <c r="T361" s="148" t="str">
        <f>IFERROR(__xludf.DUMMYFUNCTION("""COMPUTED_VALUE"""),"[]")</f>
        <v>[]</v>
      </c>
      <c r="U361" s="148">
        <f>IFERROR(__xludf.DUMMYFUNCTION("""COMPUTED_VALUE"""),0.0)</f>
        <v>0</v>
      </c>
      <c r="V361" s="148" t="str">
        <f>IFERROR(__xludf.DUMMYFUNCTION("""COMPUTED_VALUE"""),"{}")</f>
        <v>{}</v>
      </c>
      <c r="W361" s="148" t="str">
        <f>IFERROR(__xludf.DUMMYFUNCTION("""COMPUTED_VALUE"""),"[]")</f>
        <v>[]</v>
      </c>
      <c r="X361" s="148" t="str">
        <f>IFERROR(__xludf.DUMMYFUNCTION("""COMPUTED_VALUE"""),"[{""typ"":""power"",""id"":12141002,""val"":5}]")</f>
        <v>[{"typ":"power","id":12141002,"val":5}]</v>
      </c>
      <c r="Y361" s="148" t="str">
        <f>IFERROR(__xludf.DUMMYFUNCTION("""COMPUTED_VALUE"""),"[{""typ"":""atk"",""val"":160},{""typ"":""def"",""val"":160},{""typ"":""hp"",""val"":160},{""typ"":""speed"",""val"":45},{""typ"":""load"",""val"":20},{""typ"":""backcoef"",""val"":0.5},{""typ"":""atkcoef"",""val"":1.0},{""typ"":""atkcd"",""val"":0}]")</f>
        <v>[{"typ":"atk","val":160},{"typ":"def","val":160},{"typ":"hp","val":160},{"typ":"speed","val":45},{"typ":"load","val":20},{"typ":"backcoef","val":0.5},{"typ":"atkcoef","val":1.0},{"typ":"atkcd","val":0}]</v>
      </c>
      <c r="Z361" s="148" t="str">
        <f>IFERROR(__xludf.DUMMYFUNCTION("""COMPUTED_VALUE"""),"[]")</f>
        <v>[]</v>
      </c>
    </row>
    <row r="362">
      <c r="A362" s="148">
        <f>IFERROR(__xludf.DUMMYFUNCTION("""COMPUTED_VALUE"""),1.1219216E7)</f>
        <v>11219216</v>
      </c>
      <c r="B362" s="148" t="str">
        <f>IFERROR(__xludf.DUMMYFUNCTION("""COMPUTED_VALUE"""),"GVE怪--巨猿白")</f>
        <v>GVE怪--巨猿白</v>
      </c>
      <c r="C362" s="148">
        <f>IFERROR(__xludf.DUMMYFUNCTION("""COMPUTED_VALUE"""),1.1221004E7)</f>
        <v>11221004</v>
      </c>
      <c r="D362" s="148">
        <f>IFERROR(__xludf.DUMMYFUNCTION("""COMPUTED_VALUE"""),1.5114053E7)</f>
        <v>15114053</v>
      </c>
      <c r="E362" s="148" t="str">
        <f>IFERROR(__xludf.DUMMYFUNCTION("""COMPUTED_VALUE"""),"{""typ"":""lc"",""txt"":""LC_NPC_monster_elite_boxing""}")</f>
        <v>{"typ":"lc","txt":"LC_NPC_monster_elite_boxing"}</v>
      </c>
      <c r="F362" s="148" t="str">
        <f>IFERROR(__xludf.DUMMYFUNCTION("""COMPUTED_VALUE"""),"{}")</f>
        <v>{}</v>
      </c>
      <c r="G362" s="148">
        <f>IFERROR(__xludf.DUMMYFUNCTION("""COMPUTED_VALUE"""),10.0)</f>
        <v>10</v>
      </c>
      <c r="H362" s="148">
        <f>IFERROR(__xludf.DUMMYFUNCTION("""COMPUTED_VALUE"""),10099.0)</f>
        <v>10099</v>
      </c>
      <c r="I362" s="148">
        <f>IFERROR(__xludf.DUMMYFUNCTION("""COMPUTED_VALUE"""),10099.0)</f>
        <v>10099</v>
      </c>
      <c r="J362" s="148">
        <f>IFERROR(__xludf.DUMMYFUNCTION("""COMPUTED_VALUE"""),0.0)</f>
        <v>0</v>
      </c>
      <c r="K362" s="148">
        <f>IFERROR(__xludf.DUMMYFUNCTION("""COMPUTED_VALUE"""),10.0)</f>
        <v>10</v>
      </c>
      <c r="L362" s="148">
        <f>IFERROR(__xludf.DUMMYFUNCTION("""COMPUTED_VALUE"""),99.0)</f>
        <v>99</v>
      </c>
      <c r="M362" s="148">
        <f>IFERROR(__xludf.DUMMYFUNCTION("""COMPUTED_VALUE"""),0.0)</f>
        <v>0</v>
      </c>
      <c r="N362" s="148" t="str">
        <f>IFERROR(__xludf.DUMMYFUNCTION("""COMPUTED_VALUE"""),"[]")</f>
        <v>[]</v>
      </c>
      <c r="O362" s="148" t="str">
        <f>IFERROR(__xludf.DUMMYFUNCTION("""COMPUTED_VALUE"""),"{}")</f>
        <v>{}</v>
      </c>
      <c r="P362" s="148">
        <f>IFERROR(__xludf.DUMMYFUNCTION("""COMPUTED_VALUE"""),0.0)</f>
        <v>0</v>
      </c>
      <c r="Q362" s="148" t="str">
        <f>IFERROR(__xludf.DUMMYFUNCTION("""COMPUTED_VALUE"""),"[]")</f>
        <v>[]</v>
      </c>
      <c r="R362" s="148" t="str">
        <f>IFERROR(__xludf.DUMMYFUNCTION("""COMPUTED_VALUE"""),"{}")</f>
        <v>{}</v>
      </c>
      <c r="S362" s="148">
        <f>IFERROR(__xludf.DUMMYFUNCTION("""COMPUTED_VALUE"""),0.0)</f>
        <v>0</v>
      </c>
      <c r="T362" s="148" t="str">
        <f>IFERROR(__xludf.DUMMYFUNCTION("""COMPUTED_VALUE"""),"[]")</f>
        <v>[]</v>
      </c>
      <c r="U362" s="148">
        <f>IFERROR(__xludf.DUMMYFUNCTION("""COMPUTED_VALUE"""),0.0)</f>
        <v>0</v>
      </c>
      <c r="V362" s="148" t="str">
        <f>IFERROR(__xludf.DUMMYFUNCTION("""COMPUTED_VALUE"""),"{}")</f>
        <v>{}</v>
      </c>
      <c r="W362" s="148" t="str">
        <f>IFERROR(__xludf.DUMMYFUNCTION("""COMPUTED_VALUE"""),"[]")</f>
        <v>[]</v>
      </c>
      <c r="X362" s="148" t="str">
        <f>IFERROR(__xludf.DUMMYFUNCTION("""COMPUTED_VALUE"""),"[{""typ"":""power"",""id"":12141002,""val"":5}]")</f>
        <v>[{"typ":"power","id":12141002,"val":5}]</v>
      </c>
      <c r="Y362" s="148" t="str">
        <f>IFERROR(__xludf.DUMMYFUNCTION("""COMPUTED_VALUE"""),"[{""typ"":""atk"",""val"":160},{""typ"":""def"",""val"":160},{""typ"":""hp"",""val"":160},{""typ"":""speed"",""val"":30},{""typ"":""load"",""val"":20},{""typ"":""backcoef"",""val"":0.5},{""typ"":""atkcoef"",""val"":1.0},{""typ"":""atkcd"",""val"":0}]")</f>
        <v>[{"typ":"atk","val":160},{"typ":"def","val":160},{"typ":"hp","val":160},{"typ":"speed","val":30},{"typ":"load","val":20},{"typ":"backcoef","val":0.5},{"typ":"atkcoef","val":1.0},{"typ":"atkcd","val":0}]</v>
      </c>
      <c r="Z362" s="148" t="str">
        <f>IFERROR(__xludf.DUMMYFUNCTION("""COMPUTED_VALUE"""),"[]")</f>
        <v>[]</v>
      </c>
    </row>
    <row r="363">
      <c r="A363" s="148">
        <f>IFERROR(__xludf.DUMMYFUNCTION("""COMPUTED_VALUE"""),1.1219217E7)</f>
        <v>11219217</v>
      </c>
      <c r="B363" s="148" t="str">
        <f>IFERROR(__xludf.DUMMYFUNCTION("""COMPUTED_VALUE"""),"GVE怪--巨猿蓝")</f>
        <v>GVE怪--巨猿蓝</v>
      </c>
      <c r="C363" s="148">
        <f>IFERROR(__xludf.DUMMYFUNCTION("""COMPUTED_VALUE"""),1.1221004E7)</f>
        <v>11221004</v>
      </c>
      <c r="D363" s="148">
        <f>IFERROR(__xludf.DUMMYFUNCTION("""COMPUTED_VALUE"""),1.5114053E7)</f>
        <v>15114053</v>
      </c>
      <c r="E363" s="148" t="str">
        <f>IFERROR(__xludf.DUMMYFUNCTION("""COMPUTED_VALUE"""),"{""typ"":""lc"",""txt"":""LC_NPC_monster_elite_boxing""}")</f>
        <v>{"typ":"lc","txt":"LC_NPC_monster_elite_boxing"}</v>
      </c>
      <c r="F363" s="148" t="str">
        <f>IFERROR(__xludf.DUMMYFUNCTION("""COMPUTED_VALUE"""),"{}")</f>
        <v>{}</v>
      </c>
      <c r="G363" s="148">
        <f>IFERROR(__xludf.DUMMYFUNCTION("""COMPUTED_VALUE"""),10.0)</f>
        <v>10</v>
      </c>
      <c r="H363" s="148">
        <f>IFERROR(__xludf.DUMMYFUNCTION("""COMPUTED_VALUE"""),10099.0)</f>
        <v>10099</v>
      </c>
      <c r="I363" s="148">
        <f>IFERROR(__xludf.DUMMYFUNCTION("""COMPUTED_VALUE"""),10099.0)</f>
        <v>10099</v>
      </c>
      <c r="J363" s="148">
        <f>IFERROR(__xludf.DUMMYFUNCTION("""COMPUTED_VALUE"""),0.0)</f>
        <v>0</v>
      </c>
      <c r="K363" s="148">
        <f>IFERROR(__xludf.DUMMYFUNCTION("""COMPUTED_VALUE"""),10.0)</f>
        <v>10</v>
      </c>
      <c r="L363" s="148">
        <f>IFERROR(__xludf.DUMMYFUNCTION("""COMPUTED_VALUE"""),99.0)</f>
        <v>99</v>
      </c>
      <c r="M363" s="148">
        <f>IFERROR(__xludf.DUMMYFUNCTION("""COMPUTED_VALUE"""),0.0)</f>
        <v>0</v>
      </c>
      <c r="N363" s="148" t="str">
        <f>IFERROR(__xludf.DUMMYFUNCTION("""COMPUTED_VALUE"""),"[]")</f>
        <v>[]</v>
      </c>
      <c r="O363" s="148" t="str">
        <f>IFERROR(__xludf.DUMMYFUNCTION("""COMPUTED_VALUE"""),"{}")</f>
        <v>{}</v>
      </c>
      <c r="P363" s="148">
        <f>IFERROR(__xludf.DUMMYFUNCTION("""COMPUTED_VALUE"""),0.0)</f>
        <v>0</v>
      </c>
      <c r="Q363" s="148" t="str">
        <f>IFERROR(__xludf.DUMMYFUNCTION("""COMPUTED_VALUE"""),"[]")</f>
        <v>[]</v>
      </c>
      <c r="R363" s="148" t="str">
        <f>IFERROR(__xludf.DUMMYFUNCTION("""COMPUTED_VALUE"""),"{}")</f>
        <v>{}</v>
      </c>
      <c r="S363" s="148">
        <f>IFERROR(__xludf.DUMMYFUNCTION("""COMPUTED_VALUE"""),0.0)</f>
        <v>0</v>
      </c>
      <c r="T363" s="148" t="str">
        <f>IFERROR(__xludf.DUMMYFUNCTION("""COMPUTED_VALUE"""),"[]")</f>
        <v>[]</v>
      </c>
      <c r="U363" s="148">
        <f>IFERROR(__xludf.DUMMYFUNCTION("""COMPUTED_VALUE"""),0.0)</f>
        <v>0</v>
      </c>
      <c r="V363" s="148" t="str">
        <f>IFERROR(__xludf.DUMMYFUNCTION("""COMPUTED_VALUE"""),"{}")</f>
        <v>{}</v>
      </c>
      <c r="W363" s="148" t="str">
        <f>IFERROR(__xludf.DUMMYFUNCTION("""COMPUTED_VALUE"""),"[]")</f>
        <v>[]</v>
      </c>
      <c r="X363" s="148" t="str">
        <f>IFERROR(__xludf.DUMMYFUNCTION("""COMPUTED_VALUE"""),"[{""typ"":""power"",""id"":12141002,""val"":5}]")</f>
        <v>[{"typ":"power","id":12141002,"val":5}]</v>
      </c>
      <c r="Y363" s="148" t="str">
        <f>IFERROR(__xludf.DUMMYFUNCTION("""COMPUTED_VALUE"""),"[{""typ"":""atk"",""val"":160},{""typ"":""def"",""val"":160},{""typ"":""hp"",""val"":160},{""typ"":""speed"",""val"":30},{""typ"":""load"",""val"":20},{""typ"":""backcoef"",""val"":0.5},{""typ"":""atkcoef"",""val"":1.0},{""typ"":""atkcd"",""val"":0}]")</f>
        <v>[{"typ":"atk","val":160},{"typ":"def","val":160},{"typ":"hp","val":160},{"typ":"speed","val":30},{"typ":"load","val":20},{"typ":"backcoef","val":0.5},{"typ":"atkcoef","val":1.0},{"typ":"atkcd","val":0}]</v>
      </c>
      <c r="Z363" s="148" t="str">
        <f>IFERROR(__xludf.DUMMYFUNCTION("""COMPUTED_VALUE"""),"[]")</f>
        <v>[]</v>
      </c>
    </row>
    <row r="364">
      <c r="A364" s="148">
        <f>IFERROR(__xludf.DUMMYFUNCTION("""COMPUTED_VALUE"""),1.1219218E7)</f>
        <v>11219218</v>
      </c>
      <c r="B364" s="148" t="str">
        <f>IFERROR(__xludf.DUMMYFUNCTION("""COMPUTED_VALUE"""),"GVE怪--巨猿紫")</f>
        <v>GVE怪--巨猿紫</v>
      </c>
      <c r="C364" s="148">
        <f>IFERROR(__xludf.DUMMYFUNCTION("""COMPUTED_VALUE"""),1.1221004E7)</f>
        <v>11221004</v>
      </c>
      <c r="D364" s="148">
        <f>IFERROR(__xludf.DUMMYFUNCTION("""COMPUTED_VALUE"""),1.5114053E7)</f>
        <v>15114053</v>
      </c>
      <c r="E364" s="148" t="str">
        <f>IFERROR(__xludf.DUMMYFUNCTION("""COMPUTED_VALUE"""),"{""typ"":""lc"",""txt"":""LC_NPC_monster_elite_boxing""}")</f>
        <v>{"typ":"lc","txt":"LC_NPC_monster_elite_boxing"}</v>
      </c>
      <c r="F364" s="148" t="str">
        <f>IFERROR(__xludf.DUMMYFUNCTION("""COMPUTED_VALUE"""),"{}")</f>
        <v>{}</v>
      </c>
      <c r="G364" s="148">
        <f>IFERROR(__xludf.DUMMYFUNCTION("""COMPUTED_VALUE"""),10.0)</f>
        <v>10</v>
      </c>
      <c r="H364" s="148">
        <f>IFERROR(__xludf.DUMMYFUNCTION("""COMPUTED_VALUE"""),10099.0)</f>
        <v>10099</v>
      </c>
      <c r="I364" s="148">
        <f>IFERROR(__xludf.DUMMYFUNCTION("""COMPUTED_VALUE"""),10099.0)</f>
        <v>10099</v>
      </c>
      <c r="J364" s="148">
        <f>IFERROR(__xludf.DUMMYFUNCTION("""COMPUTED_VALUE"""),0.0)</f>
        <v>0</v>
      </c>
      <c r="K364" s="148">
        <f>IFERROR(__xludf.DUMMYFUNCTION("""COMPUTED_VALUE"""),10.0)</f>
        <v>10</v>
      </c>
      <c r="L364" s="148">
        <f>IFERROR(__xludf.DUMMYFUNCTION("""COMPUTED_VALUE"""),99.0)</f>
        <v>99</v>
      </c>
      <c r="M364" s="148">
        <f>IFERROR(__xludf.DUMMYFUNCTION("""COMPUTED_VALUE"""),0.0)</f>
        <v>0</v>
      </c>
      <c r="N364" s="148" t="str">
        <f>IFERROR(__xludf.DUMMYFUNCTION("""COMPUTED_VALUE"""),"[]")</f>
        <v>[]</v>
      </c>
      <c r="O364" s="148" t="str">
        <f>IFERROR(__xludf.DUMMYFUNCTION("""COMPUTED_VALUE"""),"{}")</f>
        <v>{}</v>
      </c>
      <c r="P364" s="148">
        <f>IFERROR(__xludf.DUMMYFUNCTION("""COMPUTED_VALUE"""),0.0)</f>
        <v>0</v>
      </c>
      <c r="Q364" s="148" t="str">
        <f>IFERROR(__xludf.DUMMYFUNCTION("""COMPUTED_VALUE"""),"[]")</f>
        <v>[]</v>
      </c>
      <c r="R364" s="148" t="str">
        <f>IFERROR(__xludf.DUMMYFUNCTION("""COMPUTED_VALUE"""),"{}")</f>
        <v>{}</v>
      </c>
      <c r="S364" s="148">
        <f>IFERROR(__xludf.DUMMYFUNCTION("""COMPUTED_VALUE"""),0.0)</f>
        <v>0</v>
      </c>
      <c r="T364" s="148" t="str">
        <f>IFERROR(__xludf.DUMMYFUNCTION("""COMPUTED_VALUE"""),"[]")</f>
        <v>[]</v>
      </c>
      <c r="U364" s="148">
        <f>IFERROR(__xludf.DUMMYFUNCTION("""COMPUTED_VALUE"""),0.0)</f>
        <v>0</v>
      </c>
      <c r="V364" s="148" t="str">
        <f>IFERROR(__xludf.DUMMYFUNCTION("""COMPUTED_VALUE"""),"{}")</f>
        <v>{}</v>
      </c>
      <c r="W364" s="148" t="str">
        <f>IFERROR(__xludf.DUMMYFUNCTION("""COMPUTED_VALUE"""),"[]")</f>
        <v>[]</v>
      </c>
      <c r="X364" s="148" t="str">
        <f>IFERROR(__xludf.DUMMYFUNCTION("""COMPUTED_VALUE"""),"[{""typ"":""power"",""id"":12141002,""val"":5}]")</f>
        <v>[{"typ":"power","id":12141002,"val":5}]</v>
      </c>
      <c r="Y364" s="148" t="str">
        <f>IFERROR(__xludf.DUMMYFUNCTION("""COMPUTED_VALUE"""),"[{""typ"":""atk"",""val"":160},{""typ"":""def"",""val"":160},{""typ"":""hp"",""val"":160},{""typ"":""speed"",""val"":60},{""typ"":""load"",""val"":20},{""typ"":""backcoef"",""val"":0.5},{""typ"":""atkcoef"",""val"":1.0},{""typ"":""atkcd"",""val"":0}]")</f>
        <v>[{"typ":"atk","val":160},{"typ":"def","val":160},{"typ":"hp","val":160},{"typ":"speed","val":60},{"typ":"load","val":20},{"typ":"backcoef","val":0.5},{"typ":"atkcoef","val":1.0},{"typ":"atkcd","val":0}]</v>
      </c>
      <c r="Z364" s="148" t="str">
        <f>IFERROR(__xludf.DUMMYFUNCTION("""COMPUTED_VALUE"""),"[]")</f>
        <v>[]</v>
      </c>
    </row>
    <row r="365">
      <c r="A365" s="148">
        <f>IFERROR(__xludf.DUMMYFUNCTION("""COMPUTED_VALUE"""),1.1219219E7)</f>
        <v>11219219</v>
      </c>
      <c r="B365" s="148" t="str">
        <f>IFERROR(__xludf.DUMMYFUNCTION("""COMPUTED_VALUE"""),"GVE怪--巨猿橙")</f>
        <v>GVE怪--巨猿橙</v>
      </c>
      <c r="C365" s="148">
        <f>IFERROR(__xludf.DUMMYFUNCTION("""COMPUTED_VALUE"""),1.1221004E7)</f>
        <v>11221004</v>
      </c>
      <c r="D365" s="148">
        <f>IFERROR(__xludf.DUMMYFUNCTION("""COMPUTED_VALUE"""),1.5114053E7)</f>
        <v>15114053</v>
      </c>
      <c r="E365" s="148" t="str">
        <f>IFERROR(__xludf.DUMMYFUNCTION("""COMPUTED_VALUE"""),"{""typ"":""lc"",""txt"":""LC_NPC_monster_elite_boxing""}")</f>
        <v>{"typ":"lc","txt":"LC_NPC_monster_elite_boxing"}</v>
      </c>
      <c r="F365" s="148" t="str">
        <f>IFERROR(__xludf.DUMMYFUNCTION("""COMPUTED_VALUE"""),"{}")</f>
        <v>{}</v>
      </c>
      <c r="G365" s="148">
        <f>IFERROR(__xludf.DUMMYFUNCTION("""COMPUTED_VALUE"""),10.0)</f>
        <v>10</v>
      </c>
      <c r="H365" s="148">
        <f>IFERROR(__xludf.DUMMYFUNCTION("""COMPUTED_VALUE"""),10099.0)</f>
        <v>10099</v>
      </c>
      <c r="I365" s="148">
        <f>IFERROR(__xludf.DUMMYFUNCTION("""COMPUTED_VALUE"""),10099.0)</f>
        <v>10099</v>
      </c>
      <c r="J365" s="148">
        <f>IFERROR(__xludf.DUMMYFUNCTION("""COMPUTED_VALUE"""),0.0)</f>
        <v>0</v>
      </c>
      <c r="K365" s="148">
        <f>IFERROR(__xludf.DUMMYFUNCTION("""COMPUTED_VALUE"""),10.0)</f>
        <v>10</v>
      </c>
      <c r="L365" s="148">
        <f>IFERROR(__xludf.DUMMYFUNCTION("""COMPUTED_VALUE"""),99.0)</f>
        <v>99</v>
      </c>
      <c r="M365" s="148">
        <f>IFERROR(__xludf.DUMMYFUNCTION("""COMPUTED_VALUE"""),0.0)</f>
        <v>0</v>
      </c>
      <c r="N365" s="148" t="str">
        <f>IFERROR(__xludf.DUMMYFUNCTION("""COMPUTED_VALUE"""),"[]")</f>
        <v>[]</v>
      </c>
      <c r="O365" s="148" t="str">
        <f>IFERROR(__xludf.DUMMYFUNCTION("""COMPUTED_VALUE"""),"{}")</f>
        <v>{}</v>
      </c>
      <c r="P365" s="148">
        <f>IFERROR(__xludf.DUMMYFUNCTION("""COMPUTED_VALUE"""),0.0)</f>
        <v>0</v>
      </c>
      <c r="Q365" s="148" t="str">
        <f>IFERROR(__xludf.DUMMYFUNCTION("""COMPUTED_VALUE"""),"[]")</f>
        <v>[]</v>
      </c>
      <c r="R365" s="148" t="str">
        <f>IFERROR(__xludf.DUMMYFUNCTION("""COMPUTED_VALUE"""),"{}")</f>
        <v>{}</v>
      </c>
      <c r="S365" s="148">
        <f>IFERROR(__xludf.DUMMYFUNCTION("""COMPUTED_VALUE"""),0.0)</f>
        <v>0</v>
      </c>
      <c r="T365" s="148" t="str">
        <f>IFERROR(__xludf.DUMMYFUNCTION("""COMPUTED_VALUE"""),"[]")</f>
        <v>[]</v>
      </c>
      <c r="U365" s="148">
        <f>IFERROR(__xludf.DUMMYFUNCTION("""COMPUTED_VALUE"""),0.0)</f>
        <v>0</v>
      </c>
      <c r="V365" s="148" t="str">
        <f>IFERROR(__xludf.DUMMYFUNCTION("""COMPUTED_VALUE"""),"{}")</f>
        <v>{}</v>
      </c>
      <c r="W365" s="148" t="str">
        <f>IFERROR(__xludf.DUMMYFUNCTION("""COMPUTED_VALUE"""),"[]")</f>
        <v>[]</v>
      </c>
      <c r="X365" s="148" t="str">
        <f>IFERROR(__xludf.DUMMYFUNCTION("""COMPUTED_VALUE"""),"[{""typ"":""power"",""id"":12141002,""val"":5}]")</f>
        <v>[{"typ":"power","id":12141002,"val":5}]</v>
      </c>
      <c r="Y365" s="148" t="str">
        <f>IFERROR(__xludf.DUMMYFUNCTION("""COMPUTED_VALUE"""),"[{""typ"":""atk"",""val"":160},{""typ"":""def"",""val"":160},{""typ"":""hp"",""val"":160},{""typ"":""speed"",""val"":30},{""typ"":""load"",""val"":20},{""typ"":""backcoef"",""val"":0.5},{""typ"":""atkcoef"",""val"":1.0},{""typ"":""atkcd"",""val"":0}]")</f>
        <v>[{"typ":"atk","val":160},{"typ":"def","val":160},{"typ":"hp","val":160},{"typ":"speed","val":30},{"typ":"load","val":20},{"typ":"backcoef","val":0.5},{"typ":"atkcoef","val":1.0},{"typ":"atkcd","val":0}]</v>
      </c>
      <c r="Z365" s="148" t="str">
        <f>IFERROR(__xludf.DUMMYFUNCTION("""COMPUTED_VALUE"""),"[]")</f>
        <v>[]</v>
      </c>
    </row>
    <row r="366">
      <c r="A366" s="148">
        <f>IFERROR(__xludf.DUMMYFUNCTION("""COMPUTED_VALUE"""),1.121922E7)</f>
        <v>11219220</v>
      </c>
      <c r="B366" s="148" t="str">
        <f>IFERROR(__xludf.DUMMYFUNCTION("""COMPUTED_VALUE"""),"原服GVE旗帜--部队")</f>
        <v>原服GVE旗帜--部队</v>
      </c>
      <c r="C366" s="148">
        <f>IFERROR(__xludf.DUMMYFUNCTION("""COMPUTED_VALUE"""),1.1221001E7)</f>
        <v>11221001</v>
      </c>
      <c r="D366" s="148">
        <f>IFERROR(__xludf.DUMMYFUNCTION("""COMPUTED_VALUE"""),1.5111315E7)</f>
        <v>15111315</v>
      </c>
      <c r="E366" s="148" t="str">
        <f>IFERROR(__xludf.DUMMYFUNCTION("""COMPUTED_VALUE"""),"{}")</f>
        <v>{}</v>
      </c>
      <c r="F366" s="148" t="str">
        <f>IFERROR(__xludf.DUMMYFUNCTION("""COMPUTED_VALUE"""),"{}")</f>
        <v>{}</v>
      </c>
      <c r="G366" s="148">
        <f>IFERROR(__xludf.DUMMYFUNCTION("""COMPUTED_VALUE"""),10.0)</f>
        <v>10</v>
      </c>
      <c r="H366" s="148">
        <f>IFERROR(__xludf.DUMMYFUNCTION("""COMPUTED_VALUE"""),10099.0)</f>
        <v>10099</v>
      </c>
      <c r="I366" s="148">
        <f>IFERROR(__xludf.DUMMYFUNCTION("""COMPUTED_VALUE"""),10099.0)</f>
        <v>10099</v>
      </c>
      <c r="J366" s="148">
        <f>IFERROR(__xludf.DUMMYFUNCTION("""COMPUTED_VALUE"""),0.0)</f>
        <v>0</v>
      </c>
      <c r="K366" s="148">
        <f>IFERROR(__xludf.DUMMYFUNCTION("""COMPUTED_VALUE"""),10.0)</f>
        <v>10</v>
      </c>
      <c r="L366" s="148">
        <f>IFERROR(__xludf.DUMMYFUNCTION("""COMPUTED_VALUE"""),99.0)</f>
        <v>99</v>
      </c>
      <c r="M366" s="148">
        <f>IFERROR(__xludf.DUMMYFUNCTION("""COMPUTED_VALUE"""),0.0)</f>
        <v>0</v>
      </c>
      <c r="N366" s="148" t="str">
        <f>IFERROR(__xludf.DUMMYFUNCTION("""COMPUTED_VALUE"""),"[]")</f>
        <v>[]</v>
      </c>
      <c r="O366" s="148" t="str">
        <f>IFERROR(__xludf.DUMMYFUNCTION("""COMPUTED_VALUE"""),"{}")</f>
        <v>{}</v>
      </c>
      <c r="P366" s="148">
        <f>IFERROR(__xludf.DUMMYFUNCTION("""COMPUTED_VALUE"""),0.0)</f>
        <v>0</v>
      </c>
      <c r="Q366" s="148" t="str">
        <f>IFERROR(__xludf.DUMMYFUNCTION("""COMPUTED_VALUE"""),"[]")</f>
        <v>[]</v>
      </c>
      <c r="R366" s="148" t="str">
        <f>IFERROR(__xludf.DUMMYFUNCTION("""COMPUTED_VALUE"""),"{}")</f>
        <v>{}</v>
      </c>
      <c r="S366" s="148">
        <f>IFERROR(__xludf.DUMMYFUNCTION("""COMPUTED_VALUE"""),0.0)</f>
        <v>0</v>
      </c>
      <c r="T366" s="148" t="str">
        <f>IFERROR(__xludf.DUMMYFUNCTION("""COMPUTED_VALUE"""),"[]")</f>
        <v>[]</v>
      </c>
      <c r="U366" s="148">
        <f>IFERROR(__xludf.DUMMYFUNCTION("""COMPUTED_VALUE"""),0.0)</f>
        <v>0</v>
      </c>
      <c r="V366" s="148" t="str">
        <f>IFERROR(__xludf.DUMMYFUNCTION("""COMPUTED_VALUE"""),"{}")</f>
        <v>{}</v>
      </c>
      <c r="W366" s="148" t="str">
        <f>IFERROR(__xludf.DUMMYFUNCTION("""COMPUTED_VALUE"""),"[]")</f>
        <v>[]</v>
      </c>
      <c r="X366" s="148" t="str">
        <f>IFERROR(__xludf.DUMMYFUNCTION("""COMPUTED_VALUE"""),"[{""typ"":""power"",""id"":12141002,""val"":4}]")</f>
        <v>[{"typ":"power","id":12141002,"val":4}]</v>
      </c>
      <c r="Y366" s="148" t="str">
        <f>IFERROR(__xludf.DUMMYFUNCTION("""COMPUTED_VALUE"""),"[{""typ"":""atk"",""val"":0},{""typ"":""def"",""val"":160},{""typ"":""hp"",""val"":160},{""typ"":""speed"",""val"":0},{""typ"":""load"",""val"":20},{""typ"":""backcoef"",""val"":0.5},{""typ"":""atkcoef"",""val"":1.0},{""typ"":""atkcd"",""val"":0}]")</f>
        <v>[{"typ":"atk","val":0},{"typ":"def","val":160},{"typ":"hp","val":160},{"typ":"speed","val":0},{"typ":"load","val":20},{"typ":"backcoef","val":0.5},{"typ":"atkcoef","val":1.0},{"typ":"atkcd","val":0}]</v>
      </c>
      <c r="Z366" s="148" t="str">
        <f>IFERROR(__xludf.DUMMYFUNCTION("""COMPUTED_VALUE"""),"[]")</f>
        <v>[]</v>
      </c>
    </row>
    <row r="367">
      <c r="A367" s="148">
        <f>IFERROR(__xludf.DUMMYFUNCTION("""COMPUTED_VALUE"""),1.1219221E7)</f>
        <v>11219221</v>
      </c>
      <c r="B367" s="148" t="str">
        <f>IFERROR(__xludf.DUMMYFUNCTION("""COMPUTED_VALUE"""),"巢穴守卫怪")</f>
        <v>巢穴守卫怪</v>
      </c>
      <c r="C367" s="148">
        <f>IFERROR(__xludf.DUMMYFUNCTION("""COMPUTED_VALUE"""),1.1221004E7)</f>
        <v>11221004</v>
      </c>
      <c r="D367" s="148">
        <f>IFERROR(__xludf.DUMMYFUNCTION("""COMPUTED_VALUE"""),1.5114053E7)</f>
        <v>15114053</v>
      </c>
      <c r="E367" s="148" t="str">
        <f>IFERROR(__xludf.DUMMYFUNCTION("""COMPUTED_VALUE"""),"{""typ"":""lc"",""txt"":""LC_NPC_monster_elite_boxing""}")</f>
        <v>{"typ":"lc","txt":"LC_NPC_monster_elite_boxing"}</v>
      </c>
      <c r="F367" s="148" t="str">
        <f>IFERROR(__xludf.DUMMYFUNCTION("""COMPUTED_VALUE"""),"{}")</f>
        <v>{}</v>
      </c>
      <c r="G367" s="148">
        <f>IFERROR(__xludf.DUMMYFUNCTION("""COMPUTED_VALUE"""),10.0)</f>
        <v>10</v>
      </c>
      <c r="H367" s="148">
        <f>IFERROR(__xludf.DUMMYFUNCTION("""COMPUTED_VALUE"""),10099.0)</f>
        <v>10099</v>
      </c>
      <c r="I367" s="148">
        <f>IFERROR(__xludf.DUMMYFUNCTION("""COMPUTED_VALUE"""),10099.0)</f>
        <v>10099</v>
      </c>
      <c r="J367" s="148">
        <f>IFERROR(__xludf.DUMMYFUNCTION("""COMPUTED_VALUE"""),0.0)</f>
        <v>0</v>
      </c>
      <c r="K367" s="148">
        <f>IFERROR(__xludf.DUMMYFUNCTION("""COMPUTED_VALUE"""),10.0)</f>
        <v>10</v>
      </c>
      <c r="L367" s="148">
        <f>IFERROR(__xludf.DUMMYFUNCTION("""COMPUTED_VALUE"""),99.0)</f>
        <v>99</v>
      </c>
      <c r="M367" s="148">
        <f>IFERROR(__xludf.DUMMYFUNCTION("""COMPUTED_VALUE"""),0.0)</f>
        <v>0</v>
      </c>
      <c r="N367" s="148" t="str">
        <f>IFERROR(__xludf.DUMMYFUNCTION("""COMPUTED_VALUE"""),"[]")</f>
        <v>[]</v>
      </c>
      <c r="O367" s="148" t="str">
        <f>IFERROR(__xludf.DUMMYFUNCTION("""COMPUTED_VALUE"""),"{}")</f>
        <v>{}</v>
      </c>
      <c r="P367" s="148">
        <f>IFERROR(__xludf.DUMMYFUNCTION("""COMPUTED_VALUE"""),0.0)</f>
        <v>0</v>
      </c>
      <c r="Q367" s="148" t="str">
        <f>IFERROR(__xludf.DUMMYFUNCTION("""COMPUTED_VALUE"""),"[]")</f>
        <v>[]</v>
      </c>
      <c r="R367" s="148" t="str">
        <f>IFERROR(__xludf.DUMMYFUNCTION("""COMPUTED_VALUE"""),"{}")</f>
        <v>{}</v>
      </c>
      <c r="S367" s="148">
        <f>IFERROR(__xludf.DUMMYFUNCTION("""COMPUTED_VALUE"""),0.0)</f>
        <v>0</v>
      </c>
      <c r="T367" s="148" t="str">
        <f>IFERROR(__xludf.DUMMYFUNCTION("""COMPUTED_VALUE"""),"[]")</f>
        <v>[]</v>
      </c>
      <c r="U367" s="148">
        <f>IFERROR(__xludf.DUMMYFUNCTION("""COMPUTED_VALUE"""),0.0)</f>
        <v>0</v>
      </c>
      <c r="V367" s="148" t="str">
        <f>IFERROR(__xludf.DUMMYFUNCTION("""COMPUTED_VALUE"""),"{}")</f>
        <v>{}</v>
      </c>
      <c r="W367" s="148" t="str">
        <f>IFERROR(__xludf.DUMMYFUNCTION("""COMPUTED_VALUE"""),"[]")</f>
        <v>[]</v>
      </c>
      <c r="X367" s="148" t="str">
        <f>IFERROR(__xludf.DUMMYFUNCTION("""COMPUTED_VALUE"""),"[{""typ"":""power"",""id"":12141002,""val"":1}]")</f>
        <v>[{"typ":"power","id":12141002,"val":1}]</v>
      </c>
      <c r="Y367" s="148" t="str">
        <f>IFERROR(__xludf.DUMMYFUNCTION("""COMPUTED_VALUE"""),"[{""typ"":""atk"",""val"":4},{""typ"":""def"",""val"":125},{""typ"":""hp"",""val"":135},{""typ"":""speed"",""val"":40},{""typ"":""load"",""val"":20},{""typ"":""backcoef"",""val"":0.5},{""typ"":""atkcoef"",""val"":1.0},{""typ"":""atkcd"",""val"":0}]")</f>
        <v>[{"typ":"atk","val":4},{"typ":"def","val":125},{"typ":"hp","val":135},{"typ":"speed","val":40},{"typ":"load","val":20},{"typ":"backcoef","val":0.5},{"typ":"atkcoef","val":1.0},{"typ":"atkcd","val":0}]</v>
      </c>
      <c r="Z367" s="148" t="str">
        <f>IFERROR(__xludf.DUMMYFUNCTION("""COMPUTED_VALUE"""),"[{""typ"":""battle_skill"",""id"":16121101}]")</f>
        <v>[{"typ":"battle_skill","id":16121101}]</v>
      </c>
    </row>
    <row r="368">
      <c r="A368" s="148">
        <f>IFERROR(__xludf.DUMMYFUNCTION("""COMPUTED_VALUE"""),1.1219222E7)</f>
        <v>11219222</v>
      </c>
      <c r="B368" s="148" t="str">
        <f>IFERROR(__xludf.DUMMYFUNCTION("""COMPUTED_VALUE"""),"避难所守卫怪")</f>
        <v>避难所守卫怪</v>
      </c>
      <c r="C368" s="148">
        <f>IFERROR(__xludf.DUMMYFUNCTION("""COMPUTED_VALUE"""),1.1221004E7)</f>
        <v>11221004</v>
      </c>
      <c r="D368" s="148">
        <f>IFERROR(__xludf.DUMMYFUNCTION("""COMPUTED_VALUE"""),1.5114052E7)</f>
        <v>15114052</v>
      </c>
      <c r="E368" s="148" t="str">
        <f>IFERROR(__xludf.DUMMYFUNCTION("""COMPUTED_VALUE"""),"{""typ"":""lc"",""txt"":""LC_NPC_monster_shoot_hard""}")</f>
        <v>{"typ":"lc","txt":"LC_NPC_monster_shoot_hard"}</v>
      </c>
      <c r="F368" s="148" t="str">
        <f>IFERROR(__xludf.DUMMYFUNCTION("""COMPUTED_VALUE"""),"{""typ"":""lc"",""txt"":""LC_MAP_escort_map_pop_ups_desc""}")</f>
        <v>{"typ":"lc","txt":"LC_MAP_escort_map_pop_ups_desc"}</v>
      </c>
      <c r="G368" s="148">
        <f>IFERROR(__xludf.DUMMYFUNCTION("""COMPUTED_VALUE"""),10.0)</f>
        <v>10</v>
      </c>
      <c r="H368" s="148">
        <f>IFERROR(__xludf.DUMMYFUNCTION("""COMPUTED_VALUE"""),10099.0)</f>
        <v>10099</v>
      </c>
      <c r="I368" s="148">
        <f>IFERROR(__xludf.DUMMYFUNCTION("""COMPUTED_VALUE"""),10099.0)</f>
        <v>10099</v>
      </c>
      <c r="J368" s="148">
        <f>IFERROR(__xludf.DUMMYFUNCTION("""COMPUTED_VALUE"""),0.0)</f>
        <v>0</v>
      </c>
      <c r="K368" s="148">
        <f>IFERROR(__xludf.DUMMYFUNCTION("""COMPUTED_VALUE"""),10.0)</f>
        <v>10</v>
      </c>
      <c r="L368" s="148">
        <f>IFERROR(__xludf.DUMMYFUNCTION("""COMPUTED_VALUE"""),99.0)</f>
        <v>99</v>
      </c>
      <c r="M368" s="148">
        <f>IFERROR(__xludf.DUMMYFUNCTION("""COMPUTED_VALUE"""),0.0)</f>
        <v>0</v>
      </c>
      <c r="N368" s="148" t="str">
        <f>IFERROR(__xludf.DUMMYFUNCTION("""COMPUTED_VALUE"""),"[]")</f>
        <v>[]</v>
      </c>
      <c r="O368" s="148" t="str">
        <f>IFERROR(__xludf.DUMMYFUNCTION("""COMPUTED_VALUE"""),"{}")</f>
        <v>{}</v>
      </c>
      <c r="P368" s="148">
        <f>IFERROR(__xludf.DUMMYFUNCTION("""COMPUTED_VALUE"""),0.0)</f>
        <v>0</v>
      </c>
      <c r="Q368" s="148" t="str">
        <f>IFERROR(__xludf.DUMMYFUNCTION("""COMPUTED_VALUE"""),"[]")</f>
        <v>[]</v>
      </c>
      <c r="R368" s="148" t="str">
        <f>IFERROR(__xludf.DUMMYFUNCTION("""COMPUTED_VALUE"""),"{}")</f>
        <v>{}</v>
      </c>
      <c r="S368" s="148">
        <f>IFERROR(__xludf.DUMMYFUNCTION("""COMPUTED_VALUE"""),0.0)</f>
        <v>0</v>
      </c>
      <c r="T368" s="148" t="str">
        <f>IFERROR(__xludf.DUMMYFUNCTION("""COMPUTED_VALUE"""),"[]")</f>
        <v>[]</v>
      </c>
      <c r="U368" s="148">
        <f>IFERROR(__xludf.DUMMYFUNCTION("""COMPUTED_VALUE"""),0.0)</f>
        <v>0</v>
      </c>
      <c r="V368" s="148" t="str">
        <f>IFERROR(__xludf.DUMMYFUNCTION("""COMPUTED_VALUE"""),"{}")</f>
        <v>{}</v>
      </c>
      <c r="W368" s="148" t="str">
        <f>IFERROR(__xludf.DUMMYFUNCTION("""COMPUTED_VALUE"""),"[]")</f>
        <v>[]</v>
      </c>
      <c r="X368" s="148" t="str">
        <f>IFERROR(__xludf.DUMMYFUNCTION("""COMPUTED_VALUE"""),"[{""typ"":""power"",""id"":12141002,""val"":10}]")</f>
        <v>[{"typ":"power","id":12141002,"val":10}]</v>
      </c>
      <c r="Y368" s="148" t="str">
        <f>IFERROR(__xludf.DUMMYFUNCTION("""COMPUTED_VALUE"""),"[{""typ"":""atk"",""val"":50},{""typ"":""def"",""val"":125},{""typ"":""hp"",""val"":135},{""typ"":""speed"",""val"":50},{""typ"":""load"",""val"":20},{""typ"":""backcoef"",""val"":0.5},{""typ"":""atkcoef"",""val"":1.0},{""typ"":""atkcd"",""val"":0}]")</f>
        <v>[{"typ":"atk","val":50},{"typ":"def","val":125},{"typ":"hp","val":135},{"typ":"speed","val":50},{"typ":"load","val":20},{"typ":"backcoef","val":0.5},{"typ":"atkcoef","val":1.0},{"typ":"atkcd","val":0}]</v>
      </c>
      <c r="Z368" s="148" t="str">
        <f>IFERROR(__xludf.DUMMYFUNCTION("""COMPUTED_VALUE"""),"[]")</f>
        <v>[]</v>
      </c>
    </row>
    <row r="369">
      <c r="A369" s="148">
        <f>IFERROR(__xludf.DUMMYFUNCTION("""COMPUTED_VALUE"""),1.1219223E7)</f>
        <v>11219223</v>
      </c>
      <c r="B369" s="148" t="str">
        <f>IFERROR(__xludf.DUMMYFUNCTION("""COMPUTED_VALUE"""),"GVG火车--部队")</f>
        <v>GVG火车--部队</v>
      </c>
      <c r="C369" s="148">
        <f>IFERROR(__xludf.DUMMYFUNCTION("""COMPUTED_VALUE"""),1.1221001E7)</f>
        <v>11221001</v>
      </c>
      <c r="D369" s="148">
        <f>IFERROR(__xludf.DUMMYFUNCTION("""COMPUTED_VALUE"""),1.5114409E7)</f>
        <v>15114409</v>
      </c>
      <c r="E369" s="148" t="str">
        <f>IFERROR(__xludf.DUMMYFUNCTION("""COMPUTED_VALUE"""),"{}")</f>
        <v>{}</v>
      </c>
      <c r="F369" s="148" t="str">
        <f>IFERROR(__xludf.DUMMYFUNCTION("""COMPUTED_VALUE"""),"{}")</f>
        <v>{}</v>
      </c>
      <c r="G369" s="148">
        <f>IFERROR(__xludf.DUMMYFUNCTION("""COMPUTED_VALUE"""),10.0)</f>
        <v>10</v>
      </c>
      <c r="H369" s="148">
        <f>IFERROR(__xludf.DUMMYFUNCTION("""COMPUTED_VALUE"""),10099.0)</f>
        <v>10099</v>
      </c>
      <c r="I369" s="148">
        <f>IFERROR(__xludf.DUMMYFUNCTION("""COMPUTED_VALUE"""),10099.0)</f>
        <v>10099</v>
      </c>
      <c r="J369" s="148">
        <f>IFERROR(__xludf.DUMMYFUNCTION("""COMPUTED_VALUE"""),0.0)</f>
        <v>0</v>
      </c>
      <c r="K369" s="148">
        <f>IFERROR(__xludf.DUMMYFUNCTION("""COMPUTED_VALUE"""),10.0)</f>
        <v>10</v>
      </c>
      <c r="L369" s="148">
        <f>IFERROR(__xludf.DUMMYFUNCTION("""COMPUTED_VALUE"""),99.0)</f>
        <v>99</v>
      </c>
      <c r="M369" s="148">
        <f>IFERROR(__xludf.DUMMYFUNCTION("""COMPUTED_VALUE"""),0.0)</f>
        <v>0</v>
      </c>
      <c r="N369" s="148" t="str">
        <f>IFERROR(__xludf.DUMMYFUNCTION("""COMPUTED_VALUE"""),"[]")</f>
        <v>[]</v>
      </c>
      <c r="O369" s="148" t="str">
        <f>IFERROR(__xludf.DUMMYFUNCTION("""COMPUTED_VALUE"""),"{}")</f>
        <v>{}</v>
      </c>
      <c r="P369" s="148">
        <f>IFERROR(__xludf.DUMMYFUNCTION("""COMPUTED_VALUE"""),0.0)</f>
        <v>0</v>
      </c>
      <c r="Q369" s="148" t="str">
        <f>IFERROR(__xludf.DUMMYFUNCTION("""COMPUTED_VALUE"""),"[]")</f>
        <v>[]</v>
      </c>
      <c r="R369" s="148" t="str">
        <f>IFERROR(__xludf.DUMMYFUNCTION("""COMPUTED_VALUE"""),"{}")</f>
        <v>{}</v>
      </c>
      <c r="S369" s="148">
        <f>IFERROR(__xludf.DUMMYFUNCTION("""COMPUTED_VALUE"""),0.0)</f>
        <v>0</v>
      </c>
      <c r="T369" s="148" t="str">
        <f>IFERROR(__xludf.DUMMYFUNCTION("""COMPUTED_VALUE"""),"[]")</f>
        <v>[]</v>
      </c>
      <c r="U369" s="148">
        <f>IFERROR(__xludf.DUMMYFUNCTION("""COMPUTED_VALUE"""),0.0)</f>
        <v>0</v>
      </c>
      <c r="V369" s="148" t="str">
        <f>IFERROR(__xludf.DUMMYFUNCTION("""COMPUTED_VALUE"""),"{}")</f>
        <v>{}</v>
      </c>
      <c r="W369" s="148" t="str">
        <f>IFERROR(__xludf.DUMMYFUNCTION("""COMPUTED_VALUE"""),"[]")</f>
        <v>[]</v>
      </c>
      <c r="X369" s="148" t="str">
        <f>IFERROR(__xludf.DUMMYFUNCTION("""COMPUTED_VALUE"""),"[{""typ"":""power"",""id"":12141002,""val"":1}]")</f>
        <v>[{"typ":"power","id":12141002,"val":1}]</v>
      </c>
      <c r="Y369" s="148" t="str">
        <f>IFERROR(__xludf.DUMMYFUNCTION("""COMPUTED_VALUE"""),"[{""typ"":""atk"",""val"":60},{""typ"":""def"",""val"":125},{""typ"":""hp"",""val"":120},{""typ"":""speed"",""val"":0},{""typ"":""load"",""val"":20},{""typ"":""backcoef"",""val"":0.5},{""typ"":""atkcoef"",""val"":1.0},{""typ"":""atkcd"",""val"":0}]")</f>
        <v>[{"typ":"atk","val":60},{"typ":"def","val":125},{"typ":"hp","val":120},{"typ":"speed","val":0},{"typ":"load","val":20},{"typ":"backcoef","val":0.5},{"typ":"atkcoef","val":1.0},{"typ":"atkcd","val":0}]</v>
      </c>
      <c r="Z369" s="148" t="str">
        <f>IFERROR(__xludf.DUMMYFUNCTION("""COMPUTED_VALUE"""),"[]")</f>
        <v>[]</v>
      </c>
    </row>
    <row r="370">
      <c r="A370" s="148">
        <f>IFERROR(__xludf.DUMMYFUNCTION("""COMPUTED_VALUE"""),1.1219224E7)</f>
        <v>11219224</v>
      </c>
      <c r="B370" s="148" t="str">
        <f>IFERROR(__xludf.DUMMYFUNCTION("""COMPUTED_VALUE"""),"GVG火车--部队")</f>
        <v>GVG火车--部队</v>
      </c>
      <c r="C370" s="148">
        <f>IFERROR(__xludf.DUMMYFUNCTION("""COMPUTED_VALUE"""),1.1221001E7)</f>
        <v>11221001</v>
      </c>
      <c r="D370" s="148">
        <f>IFERROR(__xludf.DUMMYFUNCTION("""COMPUTED_VALUE"""),1.5114409E7)</f>
        <v>15114409</v>
      </c>
      <c r="E370" s="148" t="str">
        <f>IFERROR(__xludf.DUMMYFUNCTION("""COMPUTED_VALUE"""),"{}")</f>
        <v>{}</v>
      </c>
      <c r="F370" s="148" t="str">
        <f>IFERROR(__xludf.DUMMYFUNCTION("""COMPUTED_VALUE"""),"{}")</f>
        <v>{}</v>
      </c>
      <c r="G370" s="148">
        <f>IFERROR(__xludf.DUMMYFUNCTION("""COMPUTED_VALUE"""),10.0)</f>
        <v>10</v>
      </c>
      <c r="H370" s="148">
        <f>IFERROR(__xludf.DUMMYFUNCTION("""COMPUTED_VALUE"""),10099.0)</f>
        <v>10099</v>
      </c>
      <c r="I370" s="148">
        <f>IFERROR(__xludf.DUMMYFUNCTION("""COMPUTED_VALUE"""),10099.0)</f>
        <v>10099</v>
      </c>
      <c r="J370" s="148">
        <f>IFERROR(__xludf.DUMMYFUNCTION("""COMPUTED_VALUE"""),0.0)</f>
        <v>0</v>
      </c>
      <c r="K370" s="148">
        <f>IFERROR(__xludf.DUMMYFUNCTION("""COMPUTED_VALUE"""),10.0)</f>
        <v>10</v>
      </c>
      <c r="L370" s="148">
        <f>IFERROR(__xludf.DUMMYFUNCTION("""COMPUTED_VALUE"""),99.0)</f>
        <v>99</v>
      </c>
      <c r="M370" s="148">
        <f>IFERROR(__xludf.DUMMYFUNCTION("""COMPUTED_VALUE"""),0.0)</f>
        <v>0</v>
      </c>
      <c r="N370" s="148" t="str">
        <f>IFERROR(__xludf.DUMMYFUNCTION("""COMPUTED_VALUE"""),"[]")</f>
        <v>[]</v>
      </c>
      <c r="O370" s="148" t="str">
        <f>IFERROR(__xludf.DUMMYFUNCTION("""COMPUTED_VALUE"""),"{}")</f>
        <v>{}</v>
      </c>
      <c r="P370" s="148">
        <f>IFERROR(__xludf.DUMMYFUNCTION("""COMPUTED_VALUE"""),0.0)</f>
        <v>0</v>
      </c>
      <c r="Q370" s="148" t="str">
        <f>IFERROR(__xludf.DUMMYFUNCTION("""COMPUTED_VALUE"""),"[]")</f>
        <v>[]</v>
      </c>
      <c r="R370" s="148" t="str">
        <f>IFERROR(__xludf.DUMMYFUNCTION("""COMPUTED_VALUE"""),"{}")</f>
        <v>{}</v>
      </c>
      <c r="S370" s="148">
        <f>IFERROR(__xludf.DUMMYFUNCTION("""COMPUTED_VALUE"""),0.0)</f>
        <v>0</v>
      </c>
      <c r="T370" s="148" t="str">
        <f>IFERROR(__xludf.DUMMYFUNCTION("""COMPUTED_VALUE"""),"[]")</f>
        <v>[]</v>
      </c>
      <c r="U370" s="148">
        <f>IFERROR(__xludf.DUMMYFUNCTION("""COMPUTED_VALUE"""),0.0)</f>
        <v>0</v>
      </c>
      <c r="V370" s="148" t="str">
        <f>IFERROR(__xludf.DUMMYFUNCTION("""COMPUTED_VALUE"""),"{}")</f>
        <v>{}</v>
      </c>
      <c r="W370" s="148" t="str">
        <f>IFERROR(__xludf.DUMMYFUNCTION("""COMPUTED_VALUE"""),"[]")</f>
        <v>[]</v>
      </c>
      <c r="X370" s="148" t="str">
        <f>IFERROR(__xludf.DUMMYFUNCTION("""COMPUTED_VALUE"""),"[{""typ"":""power"",""id"":12141002,""val"":2}]")</f>
        <v>[{"typ":"power","id":12141002,"val":2}]</v>
      </c>
      <c r="Y370" s="148" t="str">
        <f>IFERROR(__xludf.DUMMYFUNCTION("""COMPUTED_VALUE"""),"[{""typ"":""atk"",""val"":132},{""typ"":""def"",""val"":156},{""typ"":""hp"",""val"":156},{""typ"":""speed"",""val"":0},{""typ"":""load"",""val"":20},{""typ"":""backcoef"",""val"":0.5},{""typ"":""atkcoef"",""val"":1.0},{""typ"":""atkcd"",""val"":0}]")</f>
        <v>[{"typ":"atk","val":132},{"typ":"def","val":156},{"typ":"hp","val":156},{"typ":"speed","val":0},{"typ":"load","val":20},{"typ":"backcoef","val":0.5},{"typ":"atkcoef","val":1.0},{"typ":"atkcd","val":0}]</v>
      </c>
      <c r="Z370" s="148" t="str">
        <f>IFERROR(__xludf.DUMMYFUNCTION("""COMPUTED_VALUE"""),"[]")</f>
        <v>[]</v>
      </c>
    </row>
    <row r="371">
      <c r="A371" s="148">
        <f>IFERROR(__xludf.DUMMYFUNCTION("""COMPUTED_VALUE"""),1.1219225E7)</f>
        <v>11219225</v>
      </c>
      <c r="B371" s="148" t="str">
        <f>IFERROR(__xludf.DUMMYFUNCTION("""COMPUTED_VALUE"""),"GVG火车--部队")</f>
        <v>GVG火车--部队</v>
      </c>
      <c r="C371" s="148">
        <f>IFERROR(__xludf.DUMMYFUNCTION("""COMPUTED_VALUE"""),1.1221001E7)</f>
        <v>11221001</v>
      </c>
      <c r="D371" s="148">
        <f>IFERROR(__xludf.DUMMYFUNCTION("""COMPUTED_VALUE"""),1.5114409E7)</f>
        <v>15114409</v>
      </c>
      <c r="E371" s="148" t="str">
        <f>IFERROR(__xludf.DUMMYFUNCTION("""COMPUTED_VALUE"""),"{}")</f>
        <v>{}</v>
      </c>
      <c r="F371" s="148" t="str">
        <f>IFERROR(__xludf.DUMMYFUNCTION("""COMPUTED_VALUE"""),"{}")</f>
        <v>{}</v>
      </c>
      <c r="G371" s="148">
        <f>IFERROR(__xludf.DUMMYFUNCTION("""COMPUTED_VALUE"""),10.0)</f>
        <v>10</v>
      </c>
      <c r="H371" s="148">
        <f>IFERROR(__xludf.DUMMYFUNCTION("""COMPUTED_VALUE"""),10099.0)</f>
        <v>10099</v>
      </c>
      <c r="I371" s="148">
        <f>IFERROR(__xludf.DUMMYFUNCTION("""COMPUTED_VALUE"""),10099.0)</f>
        <v>10099</v>
      </c>
      <c r="J371" s="148">
        <f>IFERROR(__xludf.DUMMYFUNCTION("""COMPUTED_VALUE"""),0.0)</f>
        <v>0</v>
      </c>
      <c r="K371" s="148">
        <f>IFERROR(__xludf.DUMMYFUNCTION("""COMPUTED_VALUE"""),10.0)</f>
        <v>10</v>
      </c>
      <c r="L371" s="148">
        <f>IFERROR(__xludf.DUMMYFUNCTION("""COMPUTED_VALUE"""),99.0)</f>
        <v>99</v>
      </c>
      <c r="M371" s="148">
        <f>IFERROR(__xludf.DUMMYFUNCTION("""COMPUTED_VALUE"""),0.0)</f>
        <v>0</v>
      </c>
      <c r="N371" s="148" t="str">
        <f>IFERROR(__xludf.DUMMYFUNCTION("""COMPUTED_VALUE"""),"[]")</f>
        <v>[]</v>
      </c>
      <c r="O371" s="148" t="str">
        <f>IFERROR(__xludf.DUMMYFUNCTION("""COMPUTED_VALUE"""),"{}")</f>
        <v>{}</v>
      </c>
      <c r="P371" s="148">
        <f>IFERROR(__xludf.DUMMYFUNCTION("""COMPUTED_VALUE"""),0.0)</f>
        <v>0</v>
      </c>
      <c r="Q371" s="148" t="str">
        <f>IFERROR(__xludf.DUMMYFUNCTION("""COMPUTED_VALUE"""),"[]")</f>
        <v>[]</v>
      </c>
      <c r="R371" s="148" t="str">
        <f>IFERROR(__xludf.DUMMYFUNCTION("""COMPUTED_VALUE"""),"{}")</f>
        <v>{}</v>
      </c>
      <c r="S371" s="148">
        <f>IFERROR(__xludf.DUMMYFUNCTION("""COMPUTED_VALUE"""),0.0)</f>
        <v>0</v>
      </c>
      <c r="T371" s="148" t="str">
        <f>IFERROR(__xludf.DUMMYFUNCTION("""COMPUTED_VALUE"""),"[]")</f>
        <v>[]</v>
      </c>
      <c r="U371" s="148">
        <f>IFERROR(__xludf.DUMMYFUNCTION("""COMPUTED_VALUE"""),0.0)</f>
        <v>0</v>
      </c>
      <c r="V371" s="148" t="str">
        <f>IFERROR(__xludf.DUMMYFUNCTION("""COMPUTED_VALUE"""),"{}")</f>
        <v>{}</v>
      </c>
      <c r="W371" s="148" t="str">
        <f>IFERROR(__xludf.DUMMYFUNCTION("""COMPUTED_VALUE"""),"[]")</f>
        <v>[]</v>
      </c>
      <c r="X371" s="148" t="str">
        <f>IFERROR(__xludf.DUMMYFUNCTION("""COMPUTED_VALUE"""),"[{""typ"":""power"",""id"":12141002,""val"":4}]")</f>
        <v>[{"typ":"power","id":12141002,"val":4}]</v>
      </c>
      <c r="Y371" s="148" t="str">
        <f>IFERROR(__xludf.DUMMYFUNCTION("""COMPUTED_VALUE"""),"[{""typ"":""atk"",""val"":168},{""typ"":""def"",""val"":240},{""typ"":""hp"",""val"":240},{""typ"":""speed"",""val"":0},{""typ"":""load"",""val"":20},{""typ"":""backcoef"",""val"":0.5},{""typ"":""atkcoef"",""val"":1.0},{""typ"":""atkcd"",""val"":0}]")</f>
        <v>[{"typ":"atk","val":168},{"typ":"def","val":240},{"typ":"hp","val":240},{"typ":"speed","val":0},{"typ":"load","val":20},{"typ":"backcoef","val":0.5},{"typ":"atkcoef","val":1.0},{"typ":"atkcd","val":0}]</v>
      </c>
      <c r="Z371" s="148" t="str">
        <f>IFERROR(__xludf.DUMMYFUNCTION("""COMPUTED_VALUE"""),"[]")</f>
        <v>[]</v>
      </c>
    </row>
    <row r="372">
      <c r="A372" s="148">
        <f>IFERROR(__xludf.DUMMYFUNCTION("""COMPUTED_VALUE"""),1.1219226E7)</f>
        <v>11219226</v>
      </c>
      <c r="B372" s="148" t="str">
        <f>IFERROR(__xludf.DUMMYFUNCTION("""COMPUTED_VALUE"""),"GVG火车--部队")</f>
        <v>GVG火车--部队</v>
      </c>
      <c r="C372" s="148">
        <f>IFERROR(__xludf.DUMMYFUNCTION("""COMPUTED_VALUE"""),1.1221001E7)</f>
        <v>11221001</v>
      </c>
      <c r="D372" s="148">
        <f>IFERROR(__xludf.DUMMYFUNCTION("""COMPUTED_VALUE"""),1.5114409E7)</f>
        <v>15114409</v>
      </c>
      <c r="E372" s="148" t="str">
        <f>IFERROR(__xludf.DUMMYFUNCTION("""COMPUTED_VALUE"""),"{}")</f>
        <v>{}</v>
      </c>
      <c r="F372" s="148" t="str">
        <f>IFERROR(__xludf.DUMMYFUNCTION("""COMPUTED_VALUE"""),"{}")</f>
        <v>{}</v>
      </c>
      <c r="G372" s="148">
        <f>IFERROR(__xludf.DUMMYFUNCTION("""COMPUTED_VALUE"""),10.0)</f>
        <v>10</v>
      </c>
      <c r="H372" s="148">
        <f>IFERROR(__xludf.DUMMYFUNCTION("""COMPUTED_VALUE"""),10099.0)</f>
        <v>10099</v>
      </c>
      <c r="I372" s="148">
        <f>IFERROR(__xludf.DUMMYFUNCTION("""COMPUTED_VALUE"""),10099.0)</f>
        <v>10099</v>
      </c>
      <c r="J372" s="148">
        <f>IFERROR(__xludf.DUMMYFUNCTION("""COMPUTED_VALUE"""),0.0)</f>
        <v>0</v>
      </c>
      <c r="K372" s="148">
        <f>IFERROR(__xludf.DUMMYFUNCTION("""COMPUTED_VALUE"""),10.0)</f>
        <v>10</v>
      </c>
      <c r="L372" s="148">
        <f>IFERROR(__xludf.DUMMYFUNCTION("""COMPUTED_VALUE"""),99.0)</f>
        <v>99</v>
      </c>
      <c r="M372" s="148">
        <f>IFERROR(__xludf.DUMMYFUNCTION("""COMPUTED_VALUE"""),0.0)</f>
        <v>0</v>
      </c>
      <c r="N372" s="148" t="str">
        <f>IFERROR(__xludf.DUMMYFUNCTION("""COMPUTED_VALUE"""),"[]")</f>
        <v>[]</v>
      </c>
      <c r="O372" s="148" t="str">
        <f>IFERROR(__xludf.DUMMYFUNCTION("""COMPUTED_VALUE"""),"{}")</f>
        <v>{}</v>
      </c>
      <c r="P372" s="148">
        <f>IFERROR(__xludf.DUMMYFUNCTION("""COMPUTED_VALUE"""),0.0)</f>
        <v>0</v>
      </c>
      <c r="Q372" s="148" t="str">
        <f>IFERROR(__xludf.DUMMYFUNCTION("""COMPUTED_VALUE"""),"[]")</f>
        <v>[]</v>
      </c>
      <c r="R372" s="148" t="str">
        <f>IFERROR(__xludf.DUMMYFUNCTION("""COMPUTED_VALUE"""),"{}")</f>
        <v>{}</v>
      </c>
      <c r="S372" s="148">
        <f>IFERROR(__xludf.DUMMYFUNCTION("""COMPUTED_VALUE"""),0.0)</f>
        <v>0</v>
      </c>
      <c r="T372" s="148" t="str">
        <f>IFERROR(__xludf.DUMMYFUNCTION("""COMPUTED_VALUE"""),"[]")</f>
        <v>[]</v>
      </c>
      <c r="U372" s="148">
        <f>IFERROR(__xludf.DUMMYFUNCTION("""COMPUTED_VALUE"""),0.0)</f>
        <v>0</v>
      </c>
      <c r="V372" s="148" t="str">
        <f>IFERROR(__xludf.DUMMYFUNCTION("""COMPUTED_VALUE"""),"{}")</f>
        <v>{}</v>
      </c>
      <c r="W372" s="148" t="str">
        <f>IFERROR(__xludf.DUMMYFUNCTION("""COMPUTED_VALUE"""),"[]")</f>
        <v>[]</v>
      </c>
      <c r="X372" s="148" t="str">
        <f>IFERROR(__xludf.DUMMYFUNCTION("""COMPUTED_VALUE"""),"[{""typ"":""power"",""id"":12141002,""val"":6}]")</f>
        <v>[{"typ":"power","id":12141002,"val":6}]</v>
      </c>
      <c r="Y372" s="148" t="str">
        <f>IFERROR(__xludf.DUMMYFUNCTION("""COMPUTED_VALUE"""),"[{""typ"":""atk"",""val"":300},{""typ"":""def"",""val"":320},{""typ"":""hp"",""val"":320},{""typ"":""speed"",""val"":0},{""typ"":""load"",""val"":20},{""typ"":""backcoef"",""val"":0.5},{""typ"":""atkcoef"",""val"":1.0},{""typ"":""atkcd"",""val"":0}]")</f>
        <v>[{"typ":"atk","val":300},{"typ":"def","val":320},{"typ":"hp","val":320},{"typ":"speed","val":0},{"typ":"load","val":20},{"typ":"backcoef","val":0.5},{"typ":"atkcoef","val":1.0},{"typ":"atkcd","val":0}]</v>
      </c>
      <c r="Z372" s="148" t="str">
        <f>IFERROR(__xludf.DUMMYFUNCTION("""COMPUTED_VALUE"""),"[]")</f>
        <v>[]</v>
      </c>
    </row>
    <row r="373">
      <c r="A373" s="148">
        <f>IFERROR(__xludf.DUMMYFUNCTION("""COMPUTED_VALUE"""),1.1219227E7)</f>
        <v>11219227</v>
      </c>
      <c r="B373" s="148" t="str">
        <f>IFERROR(__xludf.DUMMYFUNCTION("""COMPUTED_VALUE"""),"英雄验证BOSS怪")</f>
        <v>英雄验证BOSS怪</v>
      </c>
      <c r="C373" s="148">
        <f>IFERROR(__xludf.DUMMYFUNCTION("""COMPUTED_VALUE"""),1.1221006E7)</f>
        <v>11221006</v>
      </c>
      <c r="D373" s="148">
        <f>IFERROR(__xludf.DUMMYFUNCTION("""COMPUTED_VALUE"""),1.5111315E7)</f>
        <v>15111315</v>
      </c>
      <c r="E373" s="148" t="str">
        <f>IFERROR(__xludf.DUMMYFUNCTION("""COMPUTED_VALUE"""),"{}")</f>
        <v>{}</v>
      </c>
      <c r="F373" s="148" t="str">
        <f>IFERROR(__xludf.DUMMYFUNCTION("""COMPUTED_VALUE"""),"{}")</f>
        <v>{}</v>
      </c>
      <c r="G373" s="148">
        <f>IFERROR(__xludf.DUMMYFUNCTION("""COMPUTED_VALUE"""),10.0)</f>
        <v>10</v>
      </c>
      <c r="H373" s="148">
        <f>IFERROR(__xludf.DUMMYFUNCTION("""COMPUTED_VALUE"""),10099.0)</f>
        <v>10099</v>
      </c>
      <c r="I373" s="148">
        <f>IFERROR(__xludf.DUMMYFUNCTION("""COMPUTED_VALUE"""),10099.0)</f>
        <v>10099</v>
      </c>
      <c r="J373" s="148">
        <f>IFERROR(__xludf.DUMMYFUNCTION("""COMPUTED_VALUE"""),0.0)</f>
        <v>0</v>
      </c>
      <c r="K373" s="148">
        <f>IFERROR(__xludf.DUMMYFUNCTION("""COMPUTED_VALUE"""),10.0)</f>
        <v>10</v>
      </c>
      <c r="L373" s="148">
        <f>IFERROR(__xludf.DUMMYFUNCTION("""COMPUTED_VALUE"""),99.0)</f>
        <v>99</v>
      </c>
      <c r="M373" s="148">
        <f>IFERROR(__xludf.DUMMYFUNCTION("""COMPUTED_VALUE"""),0.0)</f>
        <v>0</v>
      </c>
      <c r="N373" s="148" t="str">
        <f>IFERROR(__xludf.DUMMYFUNCTION("""COMPUTED_VALUE"""),"[]")</f>
        <v>[]</v>
      </c>
      <c r="O373" s="148" t="str">
        <f>IFERROR(__xludf.DUMMYFUNCTION("""COMPUTED_VALUE"""),"{}")</f>
        <v>{}</v>
      </c>
      <c r="P373" s="148">
        <f>IFERROR(__xludf.DUMMYFUNCTION("""COMPUTED_VALUE"""),0.0)</f>
        <v>0</v>
      </c>
      <c r="Q373" s="148" t="str">
        <f>IFERROR(__xludf.DUMMYFUNCTION("""COMPUTED_VALUE"""),"[]")</f>
        <v>[]</v>
      </c>
      <c r="R373" s="148" t="str">
        <f>IFERROR(__xludf.DUMMYFUNCTION("""COMPUTED_VALUE"""),"{}")</f>
        <v>{}</v>
      </c>
      <c r="S373" s="148">
        <f>IFERROR(__xludf.DUMMYFUNCTION("""COMPUTED_VALUE"""),0.0)</f>
        <v>0</v>
      </c>
      <c r="T373" s="148" t="str">
        <f>IFERROR(__xludf.DUMMYFUNCTION("""COMPUTED_VALUE"""),"[]")</f>
        <v>[]</v>
      </c>
      <c r="U373" s="148">
        <f>IFERROR(__xludf.DUMMYFUNCTION("""COMPUTED_VALUE"""),0.0)</f>
        <v>0</v>
      </c>
      <c r="V373" s="148" t="str">
        <f>IFERROR(__xludf.DUMMYFUNCTION("""COMPUTED_VALUE"""),"{}")</f>
        <v>{}</v>
      </c>
      <c r="W373" s="148" t="str">
        <f>IFERROR(__xludf.DUMMYFUNCTION("""COMPUTED_VALUE"""),"[]")</f>
        <v>[]</v>
      </c>
      <c r="X373" s="148" t="str">
        <f>IFERROR(__xludf.DUMMYFUNCTION("""COMPUTED_VALUE"""),"[{""typ"":""power"",""id"":12141002,""val"":4}]")</f>
        <v>[{"typ":"power","id":12141002,"val":4}]</v>
      </c>
      <c r="Y373" s="148" t="str">
        <f>IFERROR(__xludf.DUMMYFUNCTION("""COMPUTED_VALUE"""),"[{""typ"":""atk"",""val"":160},{""typ"":""def"",""val"":160},{""typ"":""hp"",""val"":160},{""typ"":""speed"",""val"":40},{""typ"":""load"",""val"":20},{""typ"":""backcoef"",""val"":0.5},{""typ"":""atkcoef"",""val"":1.0},{""typ"":""atkcd"",""val"":0}]")</f>
        <v>[{"typ":"atk","val":160},{"typ":"def","val":160},{"typ":"hp","val":160},{"typ":"speed","val":40},{"typ":"load","val":20},{"typ":"backcoef","val":0.5},{"typ":"atkcoef","val":1.0},{"typ":"atkcd","val":0}]</v>
      </c>
      <c r="Z373" s="148" t="str">
        <f>IFERROR(__xludf.DUMMYFUNCTION("""COMPUTED_VALUE"""),"[]")</f>
        <v>[]</v>
      </c>
    </row>
    <row r="374">
      <c r="A374" s="148">
        <f>IFERROR(__xludf.DUMMYFUNCTION("""COMPUTED_VALUE"""),1.1219228E7)</f>
        <v>11219228</v>
      </c>
      <c r="B374" s="148" t="str">
        <f>IFERROR(__xludf.DUMMYFUNCTION("""COMPUTED_VALUE"""),"GVG驻防部队")</f>
        <v>GVG驻防部队</v>
      </c>
      <c r="C374" s="148">
        <f>IFERROR(__xludf.DUMMYFUNCTION("""COMPUTED_VALUE"""),1.1221004E7)</f>
        <v>11221004</v>
      </c>
      <c r="D374" s="148">
        <f>IFERROR(__xludf.DUMMYFUNCTION("""COMPUTED_VALUE"""),1.5110234E7)</f>
        <v>15110234</v>
      </c>
      <c r="E374" s="148" t="str">
        <f>IFERROR(__xludf.DUMMYFUNCTION("""COMPUTED_VALUE"""),"{""typ"":""lc"",""txt"":""LC_SOLDIER_npc_name_1""}")</f>
        <v>{"typ":"lc","txt":"LC_SOLDIER_npc_name_1"}</v>
      </c>
      <c r="F374" s="148" t="str">
        <f>IFERROR(__xludf.DUMMYFUNCTION("""COMPUTED_VALUE"""),"{}")</f>
        <v>{}</v>
      </c>
      <c r="G374" s="148">
        <f>IFERROR(__xludf.DUMMYFUNCTION("""COMPUTED_VALUE"""),10.0)</f>
        <v>10</v>
      </c>
      <c r="H374" s="148">
        <f>IFERROR(__xludf.DUMMYFUNCTION("""COMPUTED_VALUE"""),10099.0)</f>
        <v>10099</v>
      </c>
      <c r="I374" s="148">
        <f>IFERROR(__xludf.DUMMYFUNCTION("""COMPUTED_VALUE"""),10099.0)</f>
        <v>10099</v>
      </c>
      <c r="J374" s="148">
        <f>IFERROR(__xludf.DUMMYFUNCTION("""COMPUTED_VALUE"""),0.0)</f>
        <v>0</v>
      </c>
      <c r="K374" s="148">
        <f>IFERROR(__xludf.DUMMYFUNCTION("""COMPUTED_VALUE"""),10.0)</f>
        <v>10</v>
      </c>
      <c r="L374" s="148">
        <f>IFERROR(__xludf.DUMMYFUNCTION("""COMPUTED_VALUE"""),99.0)</f>
        <v>99</v>
      </c>
      <c r="M374" s="148">
        <f>IFERROR(__xludf.DUMMYFUNCTION("""COMPUTED_VALUE"""),0.0)</f>
        <v>0</v>
      </c>
      <c r="N374" s="148" t="str">
        <f>IFERROR(__xludf.DUMMYFUNCTION("""COMPUTED_VALUE"""),"[]")</f>
        <v>[]</v>
      </c>
      <c r="O374" s="148" t="str">
        <f>IFERROR(__xludf.DUMMYFUNCTION("""COMPUTED_VALUE"""),"{}")</f>
        <v>{}</v>
      </c>
      <c r="P374" s="148">
        <f>IFERROR(__xludf.DUMMYFUNCTION("""COMPUTED_VALUE"""),0.0)</f>
        <v>0</v>
      </c>
      <c r="Q374" s="148" t="str">
        <f>IFERROR(__xludf.DUMMYFUNCTION("""COMPUTED_VALUE"""),"[]")</f>
        <v>[]</v>
      </c>
      <c r="R374" s="148" t="str">
        <f>IFERROR(__xludf.DUMMYFUNCTION("""COMPUTED_VALUE"""),"{}")</f>
        <v>{}</v>
      </c>
      <c r="S374" s="148">
        <f>IFERROR(__xludf.DUMMYFUNCTION("""COMPUTED_VALUE"""),0.0)</f>
        <v>0</v>
      </c>
      <c r="T374" s="148" t="str">
        <f>IFERROR(__xludf.DUMMYFUNCTION("""COMPUTED_VALUE"""),"[]")</f>
        <v>[]</v>
      </c>
      <c r="U374" s="148">
        <f>IFERROR(__xludf.DUMMYFUNCTION("""COMPUTED_VALUE"""),0.0)</f>
        <v>0</v>
      </c>
      <c r="V374" s="148" t="str">
        <f>IFERROR(__xludf.DUMMYFUNCTION("""COMPUTED_VALUE"""),"{}")</f>
        <v>{}</v>
      </c>
      <c r="W374" s="148" t="str">
        <f>IFERROR(__xludf.DUMMYFUNCTION("""COMPUTED_VALUE"""),"[]")</f>
        <v>[]</v>
      </c>
      <c r="X374" s="148" t="str">
        <f>IFERROR(__xludf.DUMMYFUNCTION("""COMPUTED_VALUE"""),"[{""typ"":""power"",""id"":12141002,""val"":1}]")</f>
        <v>[{"typ":"power","id":12141002,"val":1}]</v>
      </c>
      <c r="Y374" s="148" t="str">
        <f>IFERROR(__xludf.DUMMYFUNCTION("""COMPUTED_VALUE"""),"[{""typ"":""atk"",""val"":60},{""typ"":""def"",""val"":125},{""typ"":""hp"",""val"":120},{""typ"":""speed"",""val"":0},{""typ"":""load"",""val"":20},{""typ"":""backcoef"",""val"":0.5},{""typ"":""atkcoef"",""val"":1.0},{""typ"":""atkcd"",""val"":0}]")</f>
        <v>[{"typ":"atk","val":60},{"typ":"def","val":125},{"typ":"hp","val":120},{"typ":"speed","val":0},{"typ":"load","val":20},{"typ":"backcoef","val":0.5},{"typ":"atkcoef","val":1.0},{"typ":"atkcd","val":0}]</v>
      </c>
      <c r="Z374" s="148" t="str">
        <f>IFERROR(__xludf.DUMMYFUNCTION("""COMPUTED_VALUE"""),"[{""typ"":""battle_skill"",""id"":16121101}]")</f>
        <v>[{"typ":"battle_skill","id":16121101}]</v>
      </c>
    </row>
    <row r="375">
      <c r="A375" s="148">
        <f>IFERROR(__xludf.DUMMYFUNCTION("""COMPUTED_VALUE"""),1.1219229E7)</f>
        <v>11219229</v>
      </c>
      <c r="B375" s="148" t="str">
        <f>IFERROR(__xludf.DUMMYFUNCTION("""COMPUTED_VALUE"""),"GVG驻防部队")</f>
        <v>GVG驻防部队</v>
      </c>
      <c r="C375" s="148">
        <f>IFERROR(__xludf.DUMMYFUNCTION("""COMPUTED_VALUE"""),1.1221004E7)</f>
        <v>11221004</v>
      </c>
      <c r="D375" s="148">
        <f>IFERROR(__xludf.DUMMYFUNCTION("""COMPUTED_VALUE"""),1.5110234E7)</f>
        <v>15110234</v>
      </c>
      <c r="E375" s="148" t="str">
        <f>IFERROR(__xludf.DUMMYFUNCTION("""COMPUTED_VALUE"""),"{""typ"":""lc"",""txt"":""LC_SOLDIER_npc_name_1""}")</f>
        <v>{"typ":"lc","txt":"LC_SOLDIER_npc_name_1"}</v>
      </c>
      <c r="F375" s="148" t="str">
        <f>IFERROR(__xludf.DUMMYFUNCTION("""COMPUTED_VALUE"""),"{}")</f>
        <v>{}</v>
      </c>
      <c r="G375" s="148">
        <f>IFERROR(__xludf.DUMMYFUNCTION("""COMPUTED_VALUE"""),10.0)</f>
        <v>10</v>
      </c>
      <c r="H375" s="148">
        <f>IFERROR(__xludf.DUMMYFUNCTION("""COMPUTED_VALUE"""),10099.0)</f>
        <v>10099</v>
      </c>
      <c r="I375" s="148">
        <f>IFERROR(__xludf.DUMMYFUNCTION("""COMPUTED_VALUE"""),10099.0)</f>
        <v>10099</v>
      </c>
      <c r="J375" s="148">
        <f>IFERROR(__xludf.DUMMYFUNCTION("""COMPUTED_VALUE"""),0.0)</f>
        <v>0</v>
      </c>
      <c r="K375" s="148">
        <f>IFERROR(__xludf.DUMMYFUNCTION("""COMPUTED_VALUE"""),10.0)</f>
        <v>10</v>
      </c>
      <c r="L375" s="148">
        <f>IFERROR(__xludf.DUMMYFUNCTION("""COMPUTED_VALUE"""),99.0)</f>
        <v>99</v>
      </c>
      <c r="M375" s="148">
        <f>IFERROR(__xludf.DUMMYFUNCTION("""COMPUTED_VALUE"""),0.0)</f>
        <v>0</v>
      </c>
      <c r="N375" s="148" t="str">
        <f>IFERROR(__xludf.DUMMYFUNCTION("""COMPUTED_VALUE"""),"[]")</f>
        <v>[]</v>
      </c>
      <c r="O375" s="148" t="str">
        <f>IFERROR(__xludf.DUMMYFUNCTION("""COMPUTED_VALUE"""),"{}")</f>
        <v>{}</v>
      </c>
      <c r="P375" s="148">
        <f>IFERROR(__xludf.DUMMYFUNCTION("""COMPUTED_VALUE"""),0.0)</f>
        <v>0</v>
      </c>
      <c r="Q375" s="148" t="str">
        <f>IFERROR(__xludf.DUMMYFUNCTION("""COMPUTED_VALUE"""),"[]")</f>
        <v>[]</v>
      </c>
      <c r="R375" s="148" t="str">
        <f>IFERROR(__xludf.DUMMYFUNCTION("""COMPUTED_VALUE"""),"{}")</f>
        <v>{}</v>
      </c>
      <c r="S375" s="148">
        <f>IFERROR(__xludf.DUMMYFUNCTION("""COMPUTED_VALUE"""),0.0)</f>
        <v>0</v>
      </c>
      <c r="T375" s="148" t="str">
        <f>IFERROR(__xludf.DUMMYFUNCTION("""COMPUTED_VALUE"""),"[]")</f>
        <v>[]</v>
      </c>
      <c r="U375" s="148">
        <f>IFERROR(__xludf.DUMMYFUNCTION("""COMPUTED_VALUE"""),0.0)</f>
        <v>0</v>
      </c>
      <c r="V375" s="148" t="str">
        <f>IFERROR(__xludf.DUMMYFUNCTION("""COMPUTED_VALUE"""),"{}")</f>
        <v>{}</v>
      </c>
      <c r="W375" s="148" t="str">
        <f>IFERROR(__xludf.DUMMYFUNCTION("""COMPUTED_VALUE"""),"[]")</f>
        <v>[]</v>
      </c>
      <c r="X375" s="148" t="str">
        <f>IFERROR(__xludf.DUMMYFUNCTION("""COMPUTED_VALUE"""),"[{""typ"":""power"",""id"":12141002,""val"":2}]")</f>
        <v>[{"typ":"power","id":12141002,"val":2}]</v>
      </c>
      <c r="Y375" s="148" t="str">
        <f>IFERROR(__xludf.DUMMYFUNCTION("""COMPUTED_VALUE"""),"[{""typ"":""atk"",""val"":132},{""typ"":""def"",""val"":156},{""typ"":""hp"",""val"":156},{""typ"":""speed"",""val"":0},{""typ"":""load"",""val"":20},{""typ"":""backcoef"",""val"":0.5},{""typ"":""atkcoef"",""val"":1.0},{""typ"":""atkcd"",""val"":0}]")</f>
        <v>[{"typ":"atk","val":132},{"typ":"def","val":156},{"typ":"hp","val":156},{"typ":"speed","val":0},{"typ":"load","val":20},{"typ":"backcoef","val":0.5},{"typ":"atkcoef","val":1.0},{"typ":"atkcd","val":0}]</v>
      </c>
      <c r="Z375" s="148" t="str">
        <f>IFERROR(__xludf.DUMMYFUNCTION("""COMPUTED_VALUE"""),"[{""typ"":""battle_skill"",""id"":16121101}]")</f>
        <v>[{"typ":"battle_skill","id":16121101}]</v>
      </c>
    </row>
    <row r="376">
      <c r="A376" s="148">
        <f>IFERROR(__xludf.DUMMYFUNCTION("""COMPUTED_VALUE"""),1.121923E7)</f>
        <v>11219230</v>
      </c>
      <c r="B376" s="148" t="str">
        <f>IFERROR(__xludf.DUMMYFUNCTION("""COMPUTED_VALUE"""),"GVG驻防部队")</f>
        <v>GVG驻防部队</v>
      </c>
      <c r="C376" s="148">
        <f>IFERROR(__xludf.DUMMYFUNCTION("""COMPUTED_VALUE"""),1.1221004E7)</f>
        <v>11221004</v>
      </c>
      <c r="D376" s="148">
        <f>IFERROR(__xludf.DUMMYFUNCTION("""COMPUTED_VALUE"""),1.5110234E7)</f>
        <v>15110234</v>
      </c>
      <c r="E376" s="148" t="str">
        <f>IFERROR(__xludf.DUMMYFUNCTION("""COMPUTED_VALUE"""),"{""typ"":""lc"",""txt"":""LC_SOLDIER_npc_name_1""}")</f>
        <v>{"typ":"lc","txt":"LC_SOLDIER_npc_name_1"}</v>
      </c>
      <c r="F376" s="148" t="str">
        <f>IFERROR(__xludf.DUMMYFUNCTION("""COMPUTED_VALUE"""),"{}")</f>
        <v>{}</v>
      </c>
      <c r="G376" s="148">
        <f>IFERROR(__xludf.DUMMYFUNCTION("""COMPUTED_VALUE"""),10.0)</f>
        <v>10</v>
      </c>
      <c r="H376" s="148">
        <f>IFERROR(__xludf.DUMMYFUNCTION("""COMPUTED_VALUE"""),10099.0)</f>
        <v>10099</v>
      </c>
      <c r="I376" s="148">
        <f>IFERROR(__xludf.DUMMYFUNCTION("""COMPUTED_VALUE"""),10099.0)</f>
        <v>10099</v>
      </c>
      <c r="J376" s="148">
        <f>IFERROR(__xludf.DUMMYFUNCTION("""COMPUTED_VALUE"""),0.0)</f>
        <v>0</v>
      </c>
      <c r="K376" s="148">
        <f>IFERROR(__xludf.DUMMYFUNCTION("""COMPUTED_VALUE"""),10.0)</f>
        <v>10</v>
      </c>
      <c r="L376" s="148">
        <f>IFERROR(__xludf.DUMMYFUNCTION("""COMPUTED_VALUE"""),99.0)</f>
        <v>99</v>
      </c>
      <c r="M376" s="148">
        <f>IFERROR(__xludf.DUMMYFUNCTION("""COMPUTED_VALUE"""),0.0)</f>
        <v>0</v>
      </c>
      <c r="N376" s="148" t="str">
        <f>IFERROR(__xludf.DUMMYFUNCTION("""COMPUTED_VALUE"""),"[]")</f>
        <v>[]</v>
      </c>
      <c r="O376" s="148" t="str">
        <f>IFERROR(__xludf.DUMMYFUNCTION("""COMPUTED_VALUE"""),"{}")</f>
        <v>{}</v>
      </c>
      <c r="P376" s="148">
        <f>IFERROR(__xludf.DUMMYFUNCTION("""COMPUTED_VALUE"""),0.0)</f>
        <v>0</v>
      </c>
      <c r="Q376" s="148" t="str">
        <f>IFERROR(__xludf.DUMMYFUNCTION("""COMPUTED_VALUE"""),"[]")</f>
        <v>[]</v>
      </c>
      <c r="R376" s="148" t="str">
        <f>IFERROR(__xludf.DUMMYFUNCTION("""COMPUTED_VALUE"""),"{}")</f>
        <v>{}</v>
      </c>
      <c r="S376" s="148">
        <f>IFERROR(__xludf.DUMMYFUNCTION("""COMPUTED_VALUE"""),0.0)</f>
        <v>0</v>
      </c>
      <c r="T376" s="148" t="str">
        <f>IFERROR(__xludf.DUMMYFUNCTION("""COMPUTED_VALUE"""),"[]")</f>
        <v>[]</v>
      </c>
      <c r="U376" s="148">
        <f>IFERROR(__xludf.DUMMYFUNCTION("""COMPUTED_VALUE"""),0.0)</f>
        <v>0</v>
      </c>
      <c r="V376" s="148" t="str">
        <f>IFERROR(__xludf.DUMMYFUNCTION("""COMPUTED_VALUE"""),"{}")</f>
        <v>{}</v>
      </c>
      <c r="W376" s="148" t="str">
        <f>IFERROR(__xludf.DUMMYFUNCTION("""COMPUTED_VALUE"""),"[]")</f>
        <v>[]</v>
      </c>
      <c r="X376" s="148" t="str">
        <f>IFERROR(__xludf.DUMMYFUNCTION("""COMPUTED_VALUE"""),"[{""typ"":""power"",""id"":12141002,""val"":4}]")</f>
        <v>[{"typ":"power","id":12141002,"val":4}]</v>
      </c>
      <c r="Y376" s="148" t="str">
        <f>IFERROR(__xludf.DUMMYFUNCTION("""COMPUTED_VALUE"""),"[{""typ"":""atk"",""val"":168},{""typ"":""def"",""val"":240},{""typ"":""hp"",""val"":240},{""typ"":""speed"",""val"":0},{""typ"":""load"",""val"":20},{""typ"":""backcoef"",""val"":0.5},{""typ"":""atkcoef"",""val"":1.0},{""typ"":""atkcd"",""val"":0}]")</f>
        <v>[{"typ":"atk","val":168},{"typ":"def","val":240},{"typ":"hp","val":240},{"typ":"speed","val":0},{"typ":"load","val":20},{"typ":"backcoef","val":0.5},{"typ":"atkcoef","val":1.0},{"typ":"atkcd","val":0}]</v>
      </c>
      <c r="Z376" s="148" t="str">
        <f>IFERROR(__xludf.DUMMYFUNCTION("""COMPUTED_VALUE"""),"[{""typ"":""battle_skill"",""id"":16121101}]")</f>
        <v>[{"typ":"battle_skill","id":16121101}]</v>
      </c>
    </row>
    <row r="377">
      <c r="A377" s="148">
        <f>IFERROR(__xludf.DUMMYFUNCTION("""COMPUTED_VALUE"""),1.1219231E7)</f>
        <v>11219231</v>
      </c>
      <c r="B377" s="148" t="str">
        <f>IFERROR(__xludf.DUMMYFUNCTION("""COMPUTED_VALUE"""),"GVG驻防部队")</f>
        <v>GVG驻防部队</v>
      </c>
      <c r="C377" s="148">
        <f>IFERROR(__xludf.DUMMYFUNCTION("""COMPUTED_VALUE"""),1.1221004E7)</f>
        <v>11221004</v>
      </c>
      <c r="D377" s="148">
        <f>IFERROR(__xludf.DUMMYFUNCTION("""COMPUTED_VALUE"""),1.5110234E7)</f>
        <v>15110234</v>
      </c>
      <c r="E377" s="148" t="str">
        <f>IFERROR(__xludf.DUMMYFUNCTION("""COMPUTED_VALUE"""),"{""typ"":""lc"",""txt"":""LC_SOLDIER_npc_name_1""}")</f>
        <v>{"typ":"lc","txt":"LC_SOLDIER_npc_name_1"}</v>
      </c>
      <c r="F377" s="148" t="str">
        <f>IFERROR(__xludf.DUMMYFUNCTION("""COMPUTED_VALUE"""),"{}")</f>
        <v>{}</v>
      </c>
      <c r="G377" s="148">
        <f>IFERROR(__xludf.DUMMYFUNCTION("""COMPUTED_VALUE"""),10.0)</f>
        <v>10</v>
      </c>
      <c r="H377" s="148">
        <f>IFERROR(__xludf.DUMMYFUNCTION("""COMPUTED_VALUE"""),10099.0)</f>
        <v>10099</v>
      </c>
      <c r="I377" s="148">
        <f>IFERROR(__xludf.DUMMYFUNCTION("""COMPUTED_VALUE"""),10099.0)</f>
        <v>10099</v>
      </c>
      <c r="J377" s="148">
        <f>IFERROR(__xludf.DUMMYFUNCTION("""COMPUTED_VALUE"""),0.0)</f>
        <v>0</v>
      </c>
      <c r="K377" s="148">
        <f>IFERROR(__xludf.DUMMYFUNCTION("""COMPUTED_VALUE"""),10.0)</f>
        <v>10</v>
      </c>
      <c r="L377" s="148">
        <f>IFERROR(__xludf.DUMMYFUNCTION("""COMPUTED_VALUE"""),99.0)</f>
        <v>99</v>
      </c>
      <c r="M377" s="148">
        <f>IFERROR(__xludf.DUMMYFUNCTION("""COMPUTED_VALUE"""),0.0)</f>
        <v>0</v>
      </c>
      <c r="N377" s="148" t="str">
        <f>IFERROR(__xludf.DUMMYFUNCTION("""COMPUTED_VALUE"""),"[]")</f>
        <v>[]</v>
      </c>
      <c r="O377" s="148" t="str">
        <f>IFERROR(__xludf.DUMMYFUNCTION("""COMPUTED_VALUE"""),"{}")</f>
        <v>{}</v>
      </c>
      <c r="P377" s="148">
        <f>IFERROR(__xludf.DUMMYFUNCTION("""COMPUTED_VALUE"""),0.0)</f>
        <v>0</v>
      </c>
      <c r="Q377" s="148" t="str">
        <f>IFERROR(__xludf.DUMMYFUNCTION("""COMPUTED_VALUE"""),"[]")</f>
        <v>[]</v>
      </c>
      <c r="R377" s="148" t="str">
        <f>IFERROR(__xludf.DUMMYFUNCTION("""COMPUTED_VALUE"""),"{}")</f>
        <v>{}</v>
      </c>
      <c r="S377" s="148">
        <f>IFERROR(__xludf.DUMMYFUNCTION("""COMPUTED_VALUE"""),0.0)</f>
        <v>0</v>
      </c>
      <c r="T377" s="148" t="str">
        <f>IFERROR(__xludf.DUMMYFUNCTION("""COMPUTED_VALUE"""),"[]")</f>
        <v>[]</v>
      </c>
      <c r="U377" s="148">
        <f>IFERROR(__xludf.DUMMYFUNCTION("""COMPUTED_VALUE"""),0.0)</f>
        <v>0</v>
      </c>
      <c r="V377" s="148" t="str">
        <f>IFERROR(__xludf.DUMMYFUNCTION("""COMPUTED_VALUE"""),"{}")</f>
        <v>{}</v>
      </c>
      <c r="W377" s="148" t="str">
        <f>IFERROR(__xludf.DUMMYFUNCTION("""COMPUTED_VALUE"""),"[]")</f>
        <v>[]</v>
      </c>
      <c r="X377" s="148" t="str">
        <f>IFERROR(__xludf.DUMMYFUNCTION("""COMPUTED_VALUE"""),"[{""typ"":""power"",""id"":12141002,""val"":6}]")</f>
        <v>[{"typ":"power","id":12141002,"val":6}]</v>
      </c>
      <c r="Y377" s="148" t="str">
        <f>IFERROR(__xludf.DUMMYFUNCTION("""COMPUTED_VALUE"""),"[{""typ"":""atk"",""val"":300},{""typ"":""def"",""val"":320},{""typ"":""hp"",""val"":320},{""typ"":""speed"",""val"":0},{""typ"":""load"",""val"":20},{""typ"":""backcoef"",""val"":0.5},{""typ"":""atkcoef"",""val"":1.0},{""typ"":""atkcd"",""val"":0}]")</f>
        <v>[{"typ":"atk","val":300},{"typ":"def","val":320},{"typ":"hp","val":320},{"typ":"speed","val":0},{"typ":"load","val":20},{"typ":"backcoef","val":0.5},{"typ":"atkcoef","val":1.0},{"typ":"atkcd","val":0}]</v>
      </c>
      <c r="Z377" s="148" t="str">
        <f>IFERROR(__xludf.DUMMYFUNCTION("""COMPUTED_VALUE"""),"[{""typ"":""battle_skill"",""id"":16121101}]")</f>
        <v>[{"typ":"battle_skill","id":16121101}]</v>
      </c>
    </row>
    <row r="378">
      <c r="A378" s="148">
        <f>IFERROR(__xludf.DUMMYFUNCTION("""COMPUTED_VALUE"""),1.1219232E7)</f>
        <v>11219232</v>
      </c>
      <c r="B378" s="148" t="str">
        <f>IFERROR(__xludf.DUMMYFUNCTION("""COMPUTED_VALUE"""),"军备试炼T3标准部队")</f>
        <v>军备试炼T3标准部队</v>
      </c>
      <c r="C378" s="148">
        <f>IFERROR(__xludf.DUMMYFUNCTION("""COMPUTED_VALUE"""),1.1221006E7)</f>
        <v>11221006</v>
      </c>
      <c r="D378" s="148">
        <f>IFERROR(__xludf.DUMMYFUNCTION("""COMPUTED_VALUE"""),1.5110234E7)</f>
        <v>15110234</v>
      </c>
      <c r="E378" s="148" t="str">
        <f>IFERROR(__xludf.DUMMYFUNCTION("""COMPUTED_VALUE"""),"{""typ"":""lc"",""txt"":""LC_SOLDIER_npc_name_1""}")</f>
        <v>{"typ":"lc","txt":"LC_SOLDIER_npc_name_1"}</v>
      </c>
      <c r="F378" s="148" t="str">
        <f>IFERROR(__xludf.DUMMYFUNCTION("""COMPUTED_VALUE"""),"{}")</f>
        <v>{}</v>
      </c>
      <c r="G378" s="148">
        <f>IFERROR(__xludf.DUMMYFUNCTION("""COMPUTED_VALUE"""),10.0)</f>
        <v>10</v>
      </c>
      <c r="H378" s="148">
        <f>IFERROR(__xludf.DUMMYFUNCTION("""COMPUTED_VALUE"""),10099.0)</f>
        <v>10099</v>
      </c>
      <c r="I378" s="148">
        <f>IFERROR(__xludf.DUMMYFUNCTION("""COMPUTED_VALUE"""),10099.0)</f>
        <v>10099</v>
      </c>
      <c r="J378" s="148">
        <f>IFERROR(__xludf.DUMMYFUNCTION("""COMPUTED_VALUE"""),0.0)</f>
        <v>0</v>
      </c>
      <c r="K378" s="148">
        <f>IFERROR(__xludf.DUMMYFUNCTION("""COMPUTED_VALUE"""),10.0)</f>
        <v>10</v>
      </c>
      <c r="L378" s="148">
        <f>IFERROR(__xludf.DUMMYFUNCTION("""COMPUTED_VALUE"""),99.0)</f>
        <v>99</v>
      </c>
      <c r="M378" s="148">
        <f>IFERROR(__xludf.DUMMYFUNCTION("""COMPUTED_VALUE"""),0.0)</f>
        <v>0</v>
      </c>
      <c r="N378" s="148" t="str">
        <f>IFERROR(__xludf.DUMMYFUNCTION("""COMPUTED_VALUE"""),"[]")</f>
        <v>[]</v>
      </c>
      <c r="O378" s="148" t="str">
        <f>IFERROR(__xludf.DUMMYFUNCTION("""COMPUTED_VALUE"""),"{}")</f>
        <v>{}</v>
      </c>
      <c r="P378" s="148">
        <f>IFERROR(__xludf.DUMMYFUNCTION("""COMPUTED_VALUE"""),0.0)</f>
        <v>0</v>
      </c>
      <c r="Q378" s="148" t="str">
        <f>IFERROR(__xludf.DUMMYFUNCTION("""COMPUTED_VALUE"""),"[]")</f>
        <v>[]</v>
      </c>
      <c r="R378" s="148" t="str">
        <f>IFERROR(__xludf.DUMMYFUNCTION("""COMPUTED_VALUE"""),"{}")</f>
        <v>{}</v>
      </c>
      <c r="S378" s="148">
        <f>IFERROR(__xludf.DUMMYFUNCTION("""COMPUTED_VALUE"""),0.0)</f>
        <v>0</v>
      </c>
      <c r="T378" s="148" t="str">
        <f>IFERROR(__xludf.DUMMYFUNCTION("""COMPUTED_VALUE"""),"[]")</f>
        <v>[]</v>
      </c>
      <c r="U378" s="148">
        <f>IFERROR(__xludf.DUMMYFUNCTION("""COMPUTED_VALUE"""),0.0)</f>
        <v>0</v>
      </c>
      <c r="V378" s="148" t="str">
        <f>IFERROR(__xludf.DUMMYFUNCTION("""COMPUTED_VALUE"""),"{}")</f>
        <v>{}</v>
      </c>
      <c r="W378" s="148" t="str">
        <f>IFERROR(__xludf.DUMMYFUNCTION("""COMPUTED_VALUE"""),"[]")</f>
        <v>[]</v>
      </c>
      <c r="X378" s="148" t="str">
        <f>IFERROR(__xludf.DUMMYFUNCTION("""COMPUTED_VALUE"""),"[{""typ"":""power"",""id"":12141002,""val"":4}]")</f>
        <v>[{"typ":"power","id":12141002,"val":4}]</v>
      </c>
      <c r="Y378" s="148" t="str">
        <f>IFERROR(__xludf.DUMMYFUNCTION("""COMPUTED_VALUE"""),"[{""typ"":""atk"",""val"":160},{""typ"":""def"",""val"":160},{""typ"":""hp"",""val"":160},{""typ"":""speed"",""val"":40},{""typ"":""load"",""val"":20},{""typ"":""backcoef"",""val"":0.5},{""typ"":""atkcoef"",""val"":1.0},{""typ"":""atkcd"",""val"":0}]")</f>
        <v>[{"typ":"atk","val":160},{"typ":"def","val":160},{"typ":"hp","val":160},{"typ":"speed","val":40},{"typ":"load","val":20},{"typ":"backcoef","val":0.5},{"typ":"atkcoef","val":1.0},{"typ":"atkcd","val":0}]</v>
      </c>
      <c r="Z378" s="148" t="str">
        <f>IFERROR(__xludf.DUMMYFUNCTION("""COMPUTED_VALUE"""),"[]")</f>
        <v>[]</v>
      </c>
    </row>
    <row r="379">
      <c r="A379" s="148">
        <f>IFERROR(__xludf.DUMMYFUNCTION("""COMPUTED_VALUE"""),1.1219233E7)</f>
        <v>11219233</v>
      </c>
      <c r="B379" s="148" t="str">
        <f>IFERROR(__xludf.DUMMYFUNCTION("""COMPUTED_VALUE"""),"精英竞技场建筑部队")</f>
        <v>精英竞技场建筑部队</v>
      </c>
      <c r="C379" s="148">
        <f>IFERROR(__xludf.DUMMYFUNCTION("""COMPUTED_VALUE"""),1.1221004E7)</f>
        <v>11221004</v>
      </c>
      <c r="D379" s="148">
        <f>IFERROR(__xludf.DUMMYFUNCTION("""COMPUTED_VALUE"""),1.5110234E7)</f>
        <v>15110234</v>
      </c>
      <c r="E379" s="148" t="str">
        <f>IFERROR(__xludf.DUMMYFUNCTION("""COMPUTED_VALUE"""),"{""typ"":""lc"",""txt"":""LC_SOLDIER_npc_name_1""}")</f>
        <v>{"typ":"lc","txt":"LC_SOLDIER_npc_name_1"}</v>
      </c>
      <c r="F379" s="148" t="str">
        <f>IFERROR(__xludf.DUMMYFUNCTION("""COMPUTED_VALUE"""),"{}")</f>
        <v>{}</v>
      </c>
      <c r="G379" s="148">
        <f>IFERROR(__xludf.DUMMYFUNCTION("""COMPUTED_VALUE"""),10.0)</f>
        <v>10</v>
      </c>
      <c r="H379" s="148">
        <f>IFERROR(__xludf.DUMMYFUNCTION("""COMPUTED_VALUE"""),10099.0)</f>
        <v>10099</v>
      </c>
      <c r="I379" s="148">
        <f>IFERROR(__xludf.DUMMYFUNCTION("""COMPUTED_VALUE"""),10099.0)</f>
        <v>10099</v>
      </c>
      <c r="J379" s="148">
        <f>IFERROR(__xludf.DUMMYFUNCTION("""COMPUTED_VALUE"""),0.0)</f>
        <v>0</v>
      </c>
      <c r="K379" s="148">
        <f>IFERROR(__xludf.DUMMYFUNCTION("""COMPUTED_VALUE"""),10.0)</f>
        <v>10</v>
      </c>
      <c r="L379" s="148">
        <f>IFERROR(__xludf.DUMMYFUNCTION("""COMPUTED_VALUE"""),99.0)</f>
        <v>99</v>
      </c>
      <c r="M379" s="148">
        <f>IFERROR(__xludf.DUMMYFUNCTION("""COMPUTED_VALUE"""),0.0)</f>
        <v>0</v>
      </c>
      <c r="N379" s="148" t="str">
        <f>IFERROR(__xludf.DUMMYFUNCTION("""COMPUTED_VALUE"""),"[]")</f>
        <v>[]</v>
      </c>
      <c r="O379" s="148" t="str">
        <f>IFERROR(__xludf.DUMMYFUNCTION("""COMPUTED_VALUE"""),"{}")</f>
        <v>{}</v>
      </c>
      <c r="P379" s="148">
        <f>IFERROR(__xludf.DUMMYFUNCTION("""COMPUTED_VALUE"""),0.0)</f>
        <v>0</v>
      </c>
      <c r="Q379" s="148" t="str">
        <f>IFERROR(__xludf.DUMMYFUNCTION("""COMPUTED_VALUE"""),"[]")</f>
        <v>[]</v>
      </c>
      <c r="R379" s="148" t="str">
        <f>IFERROR(__xludf.DUMMYFUNCTION("""COMPUTED_VALUE"""),"{}")</f>
        <v>{}</v>
      </c>
      <c r="S379" s="148">
        <f>IFERROR(__xludf.DUMMYFUNCTION("""COMPUTED_VALUE"""),0.0)</f>
        <v>0</v>
      </c>
      <c r="T379" s="148" t="str">
        <f>IFERROR(__xludf.DUMMYFUNCTION("""COMPUTED_VALUE"""),"[]")</f>
        <v>[]</v>
      </c>
      <c r="U379" s="148">
        <f>IFERROR(__xludf.DUMMYFUNCTION("""COMPUTED_VALUE"""),0.0)</f>
        <v>0</v>
      </c>
      <c r="V379" s="148" t="str">
        <f>IFERROR(__xludf.DUMMYFUNCTION("""COMPUTED_VALUE"""),"{}")</f>
        <v>{}</v>
      </c>
      <c r="W379" s="148" t="str">
        <f>IFERROR(__xludf.DUMMYFUNCTION("""COMPUTED_VALUE"""),"[]")</f>
        <v>[]</v>
      </c>
      <c r="X379" s="148" t="str">
        <f>IFERROR(__xludf.DUMMYFUNCTION("""COMPUTED_VALUE"""),"[{""typ"":""power"",""id"":12141002,""val"":6}]")</f>
        <v>[{"typ":"power","id":12141002,"val":6}]</v>
      </c>
      <c r="Y379" s="148" t="str">
        <f>IFERROR(__xludf.DUMMYFUNCTION("""COMPUTED_VALUE"""),"[{""typ"":""atk"",""val"":0},{""typ"":""def"",""val"":1000},{""typ"":""hp"",""val"":1000},{""typ"":""speed"",""val"":0},{""typ"":""load"",""val"":20},{""typ"":""backcoef"",""val"":0.5},{""typ"":""atkcoef"",""val"":1.0},{""typ"":""atkcd"",""val"":0}]")</f>
        <v>[{"typ":"atk","val":0},{"typ":"def","val":1000},{"typ":"hp","val":1000},{"typ":"speed","val":0},{"typ":"load","val":20},{"typ":"backcoef","val":0.5},{"typ":"atkcoef","val":1.0},{"typ":"atkcd","val":0}]</v>
      </c>
      <c r="Z379" s="148" t="str">
        <f>IFERROR(__xludf.DUMMYFUNCTION("""COMPUTED_VALUE"""),"[]")</f>
        <v>[]</v>
      </c>
    </row>
    <row r="380">
      <c r="A380" s="148">
        <f>IFERROR(__xludf.DUMMYFUNCTION("""COMPUTED_VALUE"""),1.1219234E7)</f>
        <v>11219234</v>
      </c>
      <c r="B380" s="148" t="str">
        <f>IFERROR(__xludf.DUMMYFUNCTION("""COMPUTED_VALUE"""),"机甲远征部队")</f>
        <v>机甲远征部队</v>
      </c>
      <c r="C380" s="148">
        <f>IFERROR(__xludf.DUMMYFUNCTION("""COMPUTED_VALUE"""),1.1221004E7)</f>
        <v>11221004</v>
      </c>
      <c r="D380" s="148">
        <f>IFERROR(__xludf.DUMMYFUNCTION("""COMPUTED_VALUE"""),1.5110234E7)</f>
        <v>15110234</v>
      </c>
      <c r="E380" s="148" t="str">
        <f>IFERROR(__xludf.DUMMYFUNCTION("""COMPUTED_VALUE"""),"{""typ"":""lc"",""txt"":""LC_SOLDIER_npc_name_1""}")</f>
        <v>{"typ":"lc","txt":"LC_SOLDIER_npc_name_1"}</v>
      </c>
      <c r="F380" s="148" t="str">
        <f>IFERROR(__xludf.DUMMYFUNCTION("""COMPUTED_VALUE"""),"{}")</f>
        <v>{}</v>
      </c>
      <c r="G380" s="148">
        <f>IFERROR(__xludf.DUMMYFUNCTION("""COMPUTED_VALUE"""),10.0)</f>
        <v>10</v>
      </c>
      <c r="H380" s="148">
        <f>IFERROR(__xludf.DUMMYFUNCTION("""COMPUTED_VALUE"""),10099.0)</f>
        <v>10099</v>
      </c>
      <c r="I380" s="148">
        <f>IFERROR(__xludf.DUMMYFUNCTION("""COMPUTED_VALUE"""),10099.0)</f>
        <v>10099</v>
      </c>
      <c r="J380" s="148">
        <f>IFERROR(__xludf.DUMMYFUNCTION("""COMPUTED_VALUE"""),0.0)</f>
        <v>0</v>
      </c>
      <c r="K380" s="148">
        <f>IFERROR(__xludf.DUMMYFUNCTION("""COMPUTED_VALUE"""),10.0)</f>
        <v>10</v>
      </c>
      <c r="L380" s="148">
        <f>IFERROR(__xludf.DUMMYFUNCTION("""COMPUTED_VALUE"""),99.0)</f>
        <v>99</v>
      </c>
      <c r="M380" s="148">
        <f>IFERROR(__xludf.DUMMYFUNCTION("""COMPUTED_VALUE"""),0.0)</f>
        <v>0</v>
      </c>
      <c r="N380" s="148" t="str">
        <f>IFERROR(__xludf.DUMMYFUNCTION("""COMPUTED_VALUE"""),"[]")</f>
        <v>[]</v>
      </c>
      <c r="O380" s="148" t="str">
        <f>IFERROR(__xludf.DUMMYFUNCTION("""COMPUTED_VALUE"""),"{}")</f>
        <v>{}</v>
      </c>
      <c r="P380" s="148">
        <f>IFERROR(__xludf.DUMMYFUNCTION("""COMPUTED_VALUE"""),0.0)</f>
        <v>0</v>
      </c>
      <c r="Q380" s="148" t="str">
        <f>IFERROR(__xludf.DUMMYFUNCTION("""COMPUTED_VALUE"""),"[]")</f>
        <v>[]</v>
      </c>
      <c r="R380" s="148" t="str">
        <f>IFERROR(__xludf.DUMMYFUNCTION("""COMPUTED_VALUE"""),"{}")</f>
        <v>{}</v>
      </c>
      <c r="S380" s="148">
        <f>IFERROR(__xludf.DUMMYFUNCTION("""COMPUTED_VALUE"""),0.0)</f>
        <v>0</v>
      </c>
      <c r="T380" s="148" t="str">
        <f>IFERROR(__xludf.DUMMYFUNCTION("""COMPUTED_VALUE"""),"[]")</f>
        <v>[]</v>
      </c>
      <c r="U380" s="148">
        <f>IFERROR(__xludf.DUMMYFUNCTION("""COMPUTED_VALUE"""),0.0)</f>
        <v>0</v>
      </c>
      <c r="V380" s="148" t="str">
        <f>IFERROR(__xludf.DUMMYFUNCTION("""COMPUTED_VALUE"""),"{}")</f>
        <v>{}</v>
      </c>
      <c r="W380" s="148" t="str">
        <f>IFERROR(__xludf.DUMMYFUNCTION("""COMPUTED_VALUE"""),"[]")</f>
        <v>[]</v>
      </c>
      <c r="X380" s="148" t="str">
        <f>IFERROR(__xludf.DUMMYFUNCTION("""COMPUTED_VALUE"""),"[{""typ"":""power"",""id"":12141002,""val"":4}]")</f>
        <v>[{"typ":"power","id":12141002,"val":4}]</v>
      </c>
      <c r="Y380" s="148" t="str">
        <f>IFERROR(__xludf.DUMMYFUNCTION("""COMPUTED_VALUE"""),"[{""typ"":""atk"",""val"":1030},{""typ"":""def"",""val"":1010},{""typ"":""hp"",""val"":1010},{""typ"":""speed"",""val"":40},{""typ"":""load"",""val"":20},{""typ"":""backcoef"",""val"":0.5},{""typ"":""atkcoef"",""val"":1.0},{""typ"":""atkcd"",""val"":0}]")</f>
        <v>[{"typ":"atk","val":1030},{"typ":"def","val":1010},{"typ":"hp","val":1010},{"typ":"speed","val":40},{"typ":"load","val":20},{"typ":"backcoef","val":0.5},{"typ":"atkcoef","val":1.0},{"typ":"atkcd","val":0}]</v>
      </c>
      <c r="Z380" s="148" t="str">
        <f>IFERROR(__xludf.DUMMYFUNCTION("""COMPUTED_VALUE"""),"[]")</f>
        <v>[]</v>
      </c>
    </row>
    <row r="381">
      <c r="A381" s="148">
        <f>IFERROR(__xludf.DUMMYFUNCTION("""COMPUTED_VALUE"""),1.1219235E7)</f>
        <v>11219235</v>
      </c>
      <c r="B381" s="148" t="str">
        <f>IFERROR(__xludf.DUMMYFUNCTION("""COMPUTED_VALUE"""),"机甲战场建筑部队")</f>
        <v>机甲战场建筑部队</v>
      </c>
      <c r="C381" s="148">
        <f>IFERROR(__xludf.DUMMYFUNCTION("""COMPUTED_VALUE"""),1.1221004E7)</f>
        <v>11221004</v>
      </c>
      <c r="D381" s="148">
        <f>IFERROR(__xludf.DUMMYFUNCTION("""COMPUTED_VALUE"""),1.5110234E7)</f>
        <v>15110234</v>
      </c>
      <c r="E381" s="148" t="str">
        <f>IFERROR(__xludf.DUMMYFUNCTION("""COMPUTED_VALUE"""),"{""typ"":""lc"",""txt"":""LC_SOLDIER_npc_name_1""}")</f>
        <v>{"typ":"lc","txt":"LC_SOLDIER_npc_name_1"}</v>
      </c>
      <c r="F381" s="148" t="str">
        <f>IFERROR(__xludf.DUMMYFUNCTION("""COMPUTED_VALUE"""),"{}")</f>
        <v>{}</v>
      </c>
      <c r="G381" s="148">
        <f>IFERROR(__xludf.DUMMYFUNCTION("""COMPUTED_VALUE"""),10.0)</f>
        <v>10</v>
      </c>
      <c r="H381" s="148">
        <f>IFERROR(__xludf.DUMMYFUNCTION("""COMPUTED_VALUE"""),10099.0)</f>
        <v>10099</v>
      </c>
      <c r="I381" s="148">
        <f>IFERROR(__xludf.DUMMYFUNCTION("""COMPUTED_VALUE"""),10099.0)</f>
        <v>10099</v>
      </c>
      <c r="J381" s="148">
        <f>IFERROR(__xludf.DUMMYFUNCTION("""COMPUTED_VALUE"""),0.0)</f>
        <v>0</v>
      </c>
      <c r="K381" s="148">
        <f>IFERROR(__xludf.DUMMYFUNCTION("""COMPUTED_VALUE"""),10.0)</f>
        <v>10</v>
      </c>
      <c r="L381" s="148">
        <f>IFERROR(__xludf.DUMMYFUNCTION("""COMPUTED_VALUE"""),99.0)</f>
        <v>99</v>
      </c>
      <c r="M381" s="148">
        <f>IFERROR(__xludf.DUMMYFUNCTION("""COMPUTED_VALUE"""),0.0)</f>
        <v>0</v>
      </c>
      <c r="N381" s="148" t="str">
        <f>IFERROR(__xludf.DUMMYFUNCTION("""COMPUTED_VALUE"""),"[]")</f>
        <v>[]</v>
      </c>
      <c r="O381" s="148" t="str">
        <f>IFERROR(__xludf.DUMMYFUNCTION("""COMPUTED_VALUE"""),"{}")</f>
        <v>{}</v>
      </c>
      <c r="P381" s="148">
        <f>IFERROR(__xludf.DUMMYFUNCTION("""COMPUTED_VALUE"""),0.0)</f>
        <v>0</v>
      </c>
      <c r="Q381" s="148" t="str">
        <f>IFERROR(__xludf.DUMMYFUNCTION("""COMPUTED_VALUE"""),"[]")</f>
        <v>[]</v>
      </c>
      <c r="R381" s="148" t="str">
        <f>IFERROR(__xludf.DUMMYFUNCTION("""COMPUTED_VALUE"""),"{}")</f>
        <v>{}</v>
      </c>
      <c r="S381" s="148">
        <f>IFERROR(__xludf.DUMMYFUNCTION("""COMPUTED_VALUE"""),0.0)</f>
        <v>0</v>
      </c>
      <c r="T381" s="148" t="str">
        <f>IFERROR(__xludf.DUMMYFUNCTION("""COMPUTED_VALUE"""),"[]")</f>
        <v>[]</v>
      </c>
      <c r="U381" s="148">
        <f>IFERROR(__xludf.DUMMYFUNCTION("""COMPUTED_VALUE"""),0.0)</f>
        <v>0</v>
      </c>
      <c r="V381" s="148" t="str">
        <f>IFERROR(__xludf.DUMMYFUNCTION("""COMPUTED_VALUE"""),"{}")</f>
        <v>{}</v>
      </c>
      <c r="W381" s="148" t="str">
        <f>IFERROR(__xludf.DUMMYFUNCTION("""COMPUTED_VALUE"""),"[]")</f>
        <v>[]</v>
      </c>
      <c r="X381" s="148" t="str">
        <f>IFERROR(__xludf.DUMMYFUNCTION("""COMPUTED_VALUE"""),"[{""typ"":""power"",""id"":12141002,""val"":6}]")</f>
        <v>[{"typ":"power","id":12141002,"val":6}]</v>
      </c>
      <c r="Y381" s="148" t="str">
        <f>IFERROR(__xludf.DUMMYFUNCTION("""COMPUTED_VALUE"""),"[{""typ"":""atk"",""val"":15},{""typ"":""def"",""val"":1000},{""typ"":""hp"",""val"":1000},{""typ"":""speed"",""val"":0},{""typ"":""load"",""val"":20},{""typ"":""backcoef"",""val"":0.5},{""typ"":""atkcoef"",""val"":1.0},{""typ"":""atkcd"",""val"":0}]")</f>
        <v>[{"typ":"atk","val":15},{"typ":"def","val":1000},{"typ":"hp","val":1000},{"typ":"speed","val":0},{"typ":"load","val":20},{"typ":"backcoef","val":0.5},{"typ":"atkcoef","val":1.0},{"typ":"atkcd","val":0}]</v>
      </c>
      <c r="Z381" s="148" t="str">
        <f>IFERROR(__xludf.DUMMYFUNCTION("""COMPUTED_VALUE"""),"[]")</f>
        <v>[]</v>
      </c>
    </row>
    <row r="382">
      <c r="A382" s="148">
        <f>IFERROR(__xludf.DUMMYFUNCTION("""COMPUTED_VALUE"""),1.1219236E7)</f>
        <v>11219236</v>
      </c>
      <c r="B382" s="148" t="str">
        <f>IFERROR(__xludf.DUMMYFUNCTION("""COMPUTED_VALUE"""),"收藏品远征T3标准部队")</f>
        <v>收藏品远征T3标准部队</v>
      </c>
      <c r="C382" s="148">
        <f>IFERROR(__xludf.DUMMYFUNCTION("""COMPUTED_VALUE"""),1.1221006E7)</f>
        <v>11221006</v>
      </c>
      <c r="D382" s="148">
        <f>IFERROR(__xludf.DUMMYFUNCTION("""COMPUTED_VALUE"""),1.5110234E7)</f>
        <v>15110234</v>
      </c>
      <c r="E382" s="148" t="str">
        <f>IFERROR(__xludf.DUMMYFUNCTION("""COMPUTED_VALUE"""),"{""typ"":""lc"",""txt"":""LC_SOLDIER_npc_name_1""}")</f>
        <v>{"typ":"lc","txt":"LC_SOLDIER_npc_name_1"}</v>
      </c>
      <c r="F382" s="148" t="str">
        <f>IFERROR(__xludf.DUMMYFUNCTION("""COMPUTED_VALUE"""),"{}")</f>
        <v>{}</v>
      </c>
      <c r="G382" s="148">
        <f>IFERROR(__xludf.DUMMYFUNCTION("""COMPUTED_VALUE"""),10.0)</f>
        <v>10</v>
      </c>
      <c r="H382" s="148">
        <f>IFERROR(__xludf.DUMMYFUNCTION("""COMPUTED_VALUE"""),10099.0)</f>
        <v>10099</v>
      </c>
      <c r="I382" s="148">
        <f>IFERROR(__xludf.DUMMYFUNCTION("""COMPUTED_VALUE"""),10099.0)</f>
        <v>10099</v>
      </c>
      <c r="J382" s="148">
        <f>IFERROR(__xludf.DUMMYFUNCTION("""COMPUTED_VALUE"""),0.0)</f>
        <v>0</v>
      </c>
      <c r="K382" s="148">
        <f>IFERROR(__xludf.DUMMYFUNCTION("""COMPUTED_VALUE"""),10.0)</f>
        <v>10</v>
      </c>
      <c r="L382" s="148">
        <f>IFERROR(__xludf.DUMMYFUNCTION("""COMPUTED_VALUE"""),99.0)</f>
        <v>99</v>
      </c>
      <c r="M382" s="148">
        <f>IFERROR(__xludf.DUMMYFUNCTION("""COMPUTED_VALUE"""),0.0)</f>
        <v>0</v>
      </c>
      <c r="N382" s="148" t="str">
        <f>IFERROR(__xludf.DUMMYFUNCTION("""COMPUTED_VALUE"""),"[]")</f>
        <v>[]</v>
      </c>
      <c r="O382" s="148" t="str">
        <f>IFERROR(__xludf.DUMMYFUNCTION("""COMPUTED_VALUE"""),"{}")</f>
        <v>{}</v>
      </c>
      <c r="P382" s="148">
        <f>IFERROR(__xludf.DUMMYFUNCTION("""COMPUTED_VALUE"""),0.0)</f>
        <v>0</v>
      </c>
      <c r="Q382" s="148" t="str">
        <f>IFERROR(__xludf.DUMMYFUNCTION("""COMPUTED_VALUE"""),"[]")</f>
        <v>[]</v>
      </c>
      <c r="R382" s="148" t="str">
        <f>IFERROR(__xludf.DUMMYFUNCTION("""COMPUTED_VALUE"""),"{}")</f>
        <v>{}</v>
      </c>
      <c r="S382" s="148">
        <f>IFERROR(__xludf.DUMMYFUNCTION("""COMPUTED_VALUE"""),0.0)</f>
        <v>0</v>
      </c>
      <c r="T382" s="148" t="str">
        <f>IFERROR(__xludf.DUMMYFUNCTION("""COMPUTED_VALUE"""),"[]")</f>
        <v>[]</v>
      </c>
      <c r="U382" s="148">
        <f>IFERROR(__xludf.DUMMYFUNCTION("""COMPUTED_VALUE"""),0.0)</f>
        <v>0</v>
      </c>
      <c r="V382" s="148" t="str">
        <f>IFERROR(__xludf.DUMMYFUNCTION("""COMPUTED_VALUE"""),"{}")</f>
        <v>{}</v>
      </c>
      <c r="W382" s="148" t="str">
        <f>IFERROR(__xludf.DUMMYFUNCTION("""COMPUTED_VALUE"""),"[]")</f>
        <v>[]</v>
      </c>
      <c r="X382" s="148" t="str">
        <f>IFERROR(__xludf.DUMMYFUNCTION("""COMPUTED_VALUE"""),"[{""typ"":""power"",""id"":12141002,""val"":4}]")</f>
        <v>[{"typ":"power","id":12141002,"val":4}]</v>
      </c>
      <c r="Y382" s="148" t="str">
        <f>IFERROR(__xludf.DUMMYFUNCTION("""COMPUTED_VALUE"""),"[{""typ"":""atk"",""val"":160},{""typ"":""def"",""val"":160},{""typ"":""hp"",""val"":160},{""typ"":""speed"",""val"":40},{""typ"":""load"",""val"":20},{""typ"":""backcoef"",""val"":0.5},{""typ"":""atkcoef"",""val"":1.0},{""typ"":""atkcd"",""val"":0}]")</f>
        <v>[{"typ":"atk","val":160},{"typ":"def","val":160},{"typ":"hp","val":160},{"typ":"speed","val":40},{"typ":"load","val":20},{"typ":"backcoef","val":0.5},{"typ":"atkcoef","val":1.0},{"typ":"atkcd","val":0}]</v>
      </c>
      <c r="Z382" s="148" t="str">
        <f>IFERROR(__xludf.DUMMYFUNCTION("""COMPUTED_VALUE"""),"[]")</f>
        <v>[]</v>
      </c>
    </row>
    <row r="383">
      <c r="A383" s="148">
        <f>IFERROR(__xludf.DUMMYFUNCTION("""COMPUTED_VALUE"""),1.1219237E7)</f>
        <v>11219237</v>
      </c>
      <c r="B383" s="148" t="str">
        <f>IFERROR(__xludf.DUMMYFUNCTION("""COMPUTED_VALUE"""),"机械师远征部队")</f>
        <v>机械师远征部队</v>
      </c>
      <c r="C383" s="148">
        <f>IFERROR(__xludf.DUMMYFUNCTION("""COMPUTED_VALUE"""),1.1221004E7)</f>
        <v>11221004</v>
      </c>
      <c r="D383" s="148">
        <f>IFERROR(__xludf.DUMMYFUNCTION("""COMPUTED_VALUE"""),1.5110234E7)</f>
        <v>15110234</v>
      </c>
      <c r="E383" s="148" t="str">
        <f>IFERROR(__xludf.DUMMYFUNCTION("""COMPUTED_VALUE"""),"{""typ"":""lc"",""txt"":""LC_SOLDIER_npc_name_1""}")</f>
        <v>{"typ":"lc","txt":"LC_SOLDIER_npc_name_1"}</v>
      </c>
      <c r="F383" s="148" t="str">
        <f>IFERROR(__xludf.DUMMYFUNCTION("""COMPUTED_VALUE"""),"{}")</f>
        <v>{}</v>
      </c>
      <c r="G383" s="148">
        <f>IFERROR(__xludf.DUMMYFUNCTION("""COMPUTED_VALUE"""),10.0)</f>
        <v>10</v>
      </c>
      <c r="H383" s="148">
        <f>IFERROR(__xludf.DUMMYFUNCTION("""COMPUTED_VALUE"""),10099.0)</f>
        <v>10099</v>
      </c>
      <c r="I383" s="148">
        <f>IFERROR(__xludf.DUMMYFUNCTION("""COMPUTED_VALUE"""),10099.0)</f>
        <v>10099</v>
      </c>
      <c r="J383" s="148">
        <f>IFERROR(__xludf.DUMMYFUNCTION("""COMPUTED_VALUE"""),0.0)</f>
        <v>0</v>
      </c>
      <c r="K383" s="148">
        <f>IFERROR(__xludf.DUMMYFUNCTION("""COMPUTED_VALUE"""),10.0)</f>
        <v>10</v>
      </c>
      <c r="L383" s="148">
        <f>IFERROR(__xludf.DUMMYFUNCTION("""COMPUTED_VALUE"""),99.0)</f>
        <v>99</v>
      </c>
      <c r="M383" s="148">
        <f>IFERROR(__xludf.DUMMYFUNCTION("""COMPUTED_VALUE"""),0.0)</f>
        <v>0</v>
      </c>
      <c r="N383" s="148" t="str">
        <f>IFERROR(__xludf.DUMMYFUNCTION("""COMPUTED_VALUE"""),"[]")</f>
        <v>[]</v>
      </c>
      <c r="O383" s="148" t="str">
        <f>IFERROR(__xludf.DUMMYFUNCTION("""COMPUTED_VALUE"""),"{}")</f>
        <v>{}</v>
      </c>
      <c r="P383" s="148">
        <f>IFERROR(__xludf.DUMMYFUNCTION("""COMPUTED_VALUE"""),0.0)</f>
        <v>0</v>
      </c>
      <c r="Q383" s="148" t="str">
        <f>IFERROR(__xludf.DUMMYFUNCTION("""COMPUTED_VALUE"""),"[]")</f>
        <v>[]</v>
      </c>
      <c r="R383" s="148" t="str">
        <f>IFERROR(__xludf.DUMMYFUNCTION("""COMPUTED_VALUE"""),"{}")</f>
        <v>{}</v>
      </c>
      <c r="S383" s="148">
        <f>IFERROR(__xludf.DUMMYFUNCTION("""COMPUTED_VALUE"""),0.0)</f>
        <v>0</v>
      </c>
      <c r="T383" s="148" t="str">
        <f>IFERROR(__xludf.DUMMYFUNCTION("""COMPUTED_VALUE"""),"[]")</f>
        <v>[]</v>
      </c>
      <c r="U383" s="148">
        <f>IFERROR(__xludf.DUMMYFUNCTION("""COMPUTED_VALUE"""),0.0)</f>
        <v>0</v>
      </c>
      <c r="V383" s="148" t="str">
        <f>IFERROR(__xludf.DUMMYFUNCTION("""COMPUTED_VALUE"""),"{}")</f>
        <v>{}</v>
      </c>
      <c r="W383" s="148" t="str">
        <f>IFERROR(__xludf.DUMMYFUNCTION("""COMPUTED_VALUE"""),"[]")</f>
        <v>[]</v>
      </c>
      <c r="X383" s="148" t="str">
        <f>IFERROR(__xludf.DUMMYFUNCTION("""COMPUTED_VALUE"""),"[{""typ"":""power"",""id"":12141002,""val"":10}]")</f>
        <v>[{"typ":"power","id":12141002,"val":10}]</v>
      </c>
      <c r="Y383" s="148" t="str">
        <f>IFERROR(__xludf.DUMMYFUNCTION("""COMPUTED_VALUE"""),"[{""typ"":""atk"",""val"":4000},{""typ"":""def"",""val"":500},{""typ"":""hp"",""val"":500},{""typ"":""speed"",""val"":40},{""typ"":""load"",""val"":20},{""typ"":""backcoef"",""val"":0.5},{""typ"":""atkcoef"",""val"":1.0},{""typ"":""atkcd"",""val"":0}]")</f>
        <v>[{"typ":"atk","val":4000},{"typ":"def","val":500},{"typ":"hp","val":500},{"typ":"speed","val":40},{"typ":"load","val":20},{"typ":"backcoef","val":0.5},{"typ":"atkcoef","val":1.0},{"typ":"atkcd","val":0}]</v>
      </c>
      <c r="Z383" s="148" t="str">
        <f>IFERROR(__xludf.DUMMYFUNCTION("""COMPUTED_VALUE"""),"[]")</f>
        <v>[]</v>
      </c>
    </row>
    <row r="384">
      <c r="A384" s="148">
        <f>IFERROR(__xludf.DUMMYFUNCTION("""COMPUTED_VALUE"""),1.1219238E7)</f>
        <v>11219238</v>
      </c>
      <c r="B384" s="148" t="str">
        <f>IFERROR(__xludf.DUMMYFUNCTION("""COMPUTED_VALUE"""),"斗士远征T3标准部队")</f>
        <v>斗士远征T3标准部队</v>
      </c>
      <c r="C384" s="148">
        <f>IFERROR(__xludf.DUMMYFUNCTION("""COMPUTED_VALUE"""),1.1221001E7)</f>
        <v>11221001</v>
      </c>
      <c r="D384" s="148">
        <f>IFERROR(__xludf.DUMMYFUNCTION("""COMPUTED_VALUE"""),1.511473E7)</f>
        <v>15114730</v>
      </c>
      <c r="E384" s="148" t="str">
        <f>IFERROR(__xludf.DUMMYFUNCTION("""COMPUTED_VALUE"""),"{""typ"":""lc"",""txt"":""LC_SOLDIER_npc_name_1""}")</f>
        <v>{"typ":"lc","txt":"LC_SOLDIER_npc_name_1"}</v>
      </c>
      <c r="F384" s="148" t="str">
        <f>IFERROR(__xludf.DUMMYFUNCTION("""COMPUTED_VALUE"""),"{}")</f>
        <v>{}</v>
      </c>
      <c r="G384" s="148">
        <f>IFERROR(__xludf.DUMMYFUNCTION("""COMPUTED_VALUE"""),10.0)</f>
        <v>10</v>
      </c>
      <c r="H384" s="148">
        <f>IFERROR(__xludf.DUMMYFUNCTION("""COMPUTED_VALUE"""),10099.0)</f>
        <v>10099</v>
      </c>
      <c r="I384" s="148">
        <f>IFERROR(__xludf.DUMMYFUNCTION("""COMPUTED_VALUE"""),10099.0)</f>
        <v>10099</v>
      </c>
      <c r="J384" s="148">
        <f>IFERROR(__xludf.DUMMYFUNCTION("""COMPUTED_VALUE"""),0.0)</f>
        <v>0</v>
      </c>
      <c r="K384" s="148">
        <f>IFERROR(__xludf.DUMMYFUNCTION("""COMPUTED_VALUE"""),10.0)</f>
        <v>10</v>
      </c>
      <c r="L384" s="148">
        <f>IFERROR(__xludf.DUMMYFUNCTION("""COMPUTED_VALUE"""),99.0)</f>
        <v>99</v>
      </c>
      <c r="M384" s="148">
        <f>IFERROR(__xludf.DUMMYFUNCTION("""COMPUTED_VALUE"""),0.0)</f>
        <v>0</v>
      </c>
      <c r="N384" s="148" t="str">
        <f>IFERROR(__xludf.DUMMYFUNCTION("""COMPUTED_VALUE"""),"[]")</f>
        <v>[]</v>
      </c>
      <c r="O384" s="148" t="str">
        <f>IFERROR(__xludf.DUMMYFUNCTION("""COMPUTED_VALUE"""),"{}")</f>
        <v>{}</v>
      </c>
      <c r="P384" s="148">
        <f>IFERROR(__xludf.DUMMYFUNCTION("""COMPUTED_VALUE"""),0.0)</f>
        <v>0</v>
      </c>
      <c r="Q384" s="148" t="str">
        <f>IFERROR(__xludf.DUMMYFUNCTION("""COMPUTED_VALUE"""),"[]")</f>
        <v>[]</v>
      </c>
      <c r="R384" s="148" t="str">
        <f>IFERROR(__xludf.DUMMYFUNCTION("""COMPUTED_VALUE"""),"{}")</f>
        <v>{}</v>
      </c>
      <c r="S384" s="148">
        <f>IFERROR(__xludf.DUMMYFUNCTION("""COMPUTED_VALUE"""),0.0)</f>
        <v>0</v>
      </c>
      <c r="T384" s="148" t="str">
        <f>IFERROR(__xludf.DUMMYFUNCTION("""COMPUTED_VALUE"""),"[]")</f>
        <v>[]</v>
      </c>
      <c r="U384" s="148">
        <f>IFERROR(__xludf.DUMMYFUNCTION("""COMPUTED_VALUE"""),0.0)</f>
        <v>0</v>
      </c>
      <c r="V384" s="148" t="str">
        <f>IFERROR(__xludf.DUMMYFUNCTION("""COMPUTED_VALUE"""),"{}")</f>
        <v>{}</v>
      </c>
      <c r="W384" s="148" t="str">
        <f>IFERROR(__xludf.DUMMYFUNCTION("""COMPUTED_VALUE"""),"[]")</f>
        <v>[]</v>
      </c>
      <c r="X384" s="148" t="str">
        <f>IFERROR(__xludf.DUMMYFUNCTION("""COMPUTED_VALUE"""),"[{""typ"":""power"",""id"":12141002,""val"":4}]")</f>
        <v>[{"typ":"power","id":12141002,"val":4}]</v>
      </c>
      <c r="Y384" s="148" t="str">
        <f>IFERROR(__xludf.DUMMYFUNCTION("""COMPUTED_VALUE"""),"[{""typ"":""atk"",""val"":160},{""typ"":""def"",""val"":160},{""typ"":""hp"",""val"":160},{""typ"":""speed"",""val"":40},{""typ"":""load"",""val"":20},{""typ"":""backcoef"",""val"":0.5},{""typ"":""atkcoef"",""val"":1.0},{""typ"":""atkcd"",""val"":0}]")</f>
        <v>[{"typ":"atk","val":160},{"typ":"def","val":160},{"typ":"hp","val":160},{"typ":"speed","val":40},{"typ":"load","val":20},{"typ":"backcoef","val":0.5},{"typ":"atkcoef","val":1.0},{"typ":"atkcd","val":0}]</v>
      </c>
      <c r="Z384" s="148" t="str">
        <f>IFERROR(__xludf.DUMMYFUNCTION("""COMPUTED_VALUE"""),"[]")</f>
        <v>[]</v>
      </c>
    </row>
    <row r="385">
      <c r="A385" s="148">
        <f>IFERROR(__xludf.DUMMYFUNCTION("""COMPUTED_VALUE"""),1.1219239E7)</f>
        <v>11219239</v>
      </c>
      <c r="B385" s="148" t="str">
        <f>IFERROR(__xludf.DUMMYFUNCTION("""COMPUTED_VALUE"""),"斗士远征T3标准部队")</f>
        <v>斗士远征T3标准部队</v>
      </c>
      <c r="C385" s="148">
        <f>IFERROR(__xludf.DUMMYFUNCTION("""COMPUTED_VALUE"""),1.1221002E7)</f>
        <v>11221002</v>
      </c>
      <c r="D385" s="148">
        <f>IFERROR(__xludf.DUMMYFUNCTION("""COMPUTED_VALUE"""),1.511473E7)</f>
        <v>15114730</v>
      </c>
      <c r="E385" s="148" t="str">
        <f>IFERROR(__xludf.DUMMYFUNCTION("""COMPUTED_VALUE"""),"{""typ"":""lc"",""txt"":""LC_SOLDIER_npc_name_1""}")</f>
        <v>{"typ":"lc","txt":"LC_SOLDIER_npc_name_1"}</v>
      </c>
      <c r="F385" s="148" t="str">
        <f>IFERROR(__xludf.DUMMYFUNCTION("""COMPUTED_VALUE"""),"{}")</f>
        <v>{}</v>
      </c>
      <c r="G385" s="148">
        <f>IFERROR(__xludf.DUMMYFUNCTION("""COMPUTED_VALUE"""),10.0)</f>
        <v>10</v>
      </c>
      <c r="H385" s="148">
        <f>IFERROR(__xludf.DUMMYFUNCTION("""COMPUTED_VALUE"""),10099.0)</f>
        <v>10099</v>
      </c>
      <c r="I385" s="148">
        <f>IFERROR(__xludf.DUMMYFUNCTION("""COMPUTED_VALUE"""),10099.0)</f>
        <v>10099</v>
      </c>
      <c r="J385" s="148">
        <f>IFERROR(__xludf.DUMMYFUNCTION("""COMPUTED_VALUE"""),0.0)</f>
        <v>0</v>
      </c>
      <c r="K385" s="148">
        <f>IFERROR(__xludf.DUMMYFUNCTION("""COMPUTED_VALUE"""),10.0)</f>
        <v>10</v>
      </c>
      <c r="L385" s="148">
        <f>IFERROR(__xludf.DUMMYFUNCTION("""COMPUTED_VALUE"""),99.0)</f>
        <v>99</v>
      </c>
      <c r="M385" s="148">
        <f>IFERROR(__xludf.DUMMYFUNCTION("""COMPUTED_VALUE"""),0.0)</f>
        <v>0</v>
      </c>
      <c r="N385" s="148" t="str">
        <f>IFERROR(__xludf.DUMMYFUNCTION("""COMPUTED_VALUE"""),"[]")</f>
        <v>[]</v>
      </c>
      <c r="O385" s="148" t="str">
        <f>IFERROR(__xludf.DUMMYFUNCTION("""COMPUTED_VALUE"""),"{}")</f>
        <v>{}</v>
      </c>
      <c r="P385" s="148">
        <f>IFERROR(__xludf.DUMMYFUNCTION("""COMPUTED_VALUE"""),0.0)</f>
        <v>0</v>
      </c>
      <c r="Q385" s="148" t="str">
        <f>IFERROR(__xludf.DUMMYFUNCTION("""COMPUTED_VALUE"""),"[]")</f>
        <v>[]</v>
      </c>
      <c r="R385" s="148" t="str">
        <f>IFERROR(__xludf.DUMMYFUNCTION("""COMPUTED_VALUE"""),"{}")</f>
        <v>{}</v>
      </c>
      <c r="S385" s="148">
        <f>IFERROR(__xludf.DUMMYFUNCTION("""COMPUTED_VALUE"""),0.0)</f>
        <v>0</v>
      </c>
      <c r="T385" s="148" t="str">
        <f>IFERROR(__xludf.DUMMYFUNCTION("""COMPUTED_VALUE"""),"[]")</f>
        <v>[]</v>
      </c>
      <c r="U385" s="148">
        <f>IFERROR(__xludf.DUMMYFUNCTION("""COMPUTED_VALUE"""),0.0)</f>
        <v>0</v>
      </c>
      <c r="V385" s="148" t="str">
        <f>IFERROR(__xludf.DUMMYFUNCTION("""COMPUTED_VALUE"""),"{}")</f>
        <v>{}</v>
      </c>
      <c r="W385" s="148" t="str">
        <f>IFERROR(__xludf.DUMMYFUNCTION("""COMPUTED_VALUE"""),"[]")</f>
        <v>[]</v>
      </c>
      <c r="X385" s="148" t="str">
        <f>IFERROR(__xludf.DUMMYFUNCTION("""COMPUTED_VALUE"""),"[{""typ"":""power"",""id"":12141002,""val"":4}]")</f>
        <v>[{"typ":"power","id":12141002,"val":4}]</v>
      </c>
      <c r="Y385" s="148" t="str">
        <f>IFERROR(__xludf.DUMMYFUNCTION("""COMPUTED_VALUE"""),"[{""typ"":""atk"",""val"":160},{""typ"":""def"",""val"":160},{""typ"":""hp"",""val"":160},{""typ"":""speed"",""val"":40},{""typ"":""load"",""val"":20},{""typ"":""backcoef"",""val"":0.5},{""typ"":""atkcoef"",""val"":1.0},{""typ"":""atkcd"",""val"":0}]")</f>
        <v>[{"typ":"atk","val":160},{"typ":"def","val":160},{"typ":"hp","val":160},{"typ":"speed","val":40},{"typ":"load","val":20},{"typ":"backcoef","val":0.5},{"typ":"atkcoef","val":1.0},{"typ":"atkcd","val":0}]</v>
      </c>
      <c r="Z385" s="148" t="str">
        <f>IFERROR(__xludf.DUMMYFUNCTION("""COMPUTED_VALUE"""),"[]")</f>
        <v>[]</v>
      </c>
    </row>
    <row r="386">
      <c r="A386" s="148">
        <f>IFERROR(__xludf.DUMMYFUNCTION("""COMPUTED_VALUE"""),1.121924E7)</f>
        <v>11219240</v>
      </c>
      <c r="B386" s="148" t="str">
        <f>IFERROR(__xludf.DUMMYFUNCTION("""COMPUTED_VALUE"""),"斗士远征T3标准部队")</f>
        <v>斗士远征T3标准部队</v>
      </c>
      <c r="C386" s="148">
        <f>IFERROR(__xludf.DUMMYFUNCTION("""COMPUTED_VALUE"""),1.1221003E7)</f>
        <v>11221003</v>
      </c>
      <c r="D386" s="148">
        <f>IFERROR(__xludf.DUMMYFUNCTION("""COMPUTED_VALUE"""),1.511473E7)</f>
        <v>15114730</v>
      </c>
      <c r="E386" s="148" t="str">
        <f>IFERROR(__xludf.DUMMYFUNCTION("""COMPUTED_VALUE"""),"{""typ"":""lc"",""txt"":""LC_SOLDIER_npc_name_1""}")</f>
        <v>{"typ":"lc","txt":"LC_SOLDIER_npc_name_1"}</v>
      </c>
      <c r="F386" s="148" t="str">
        <f>IFERROR(__xludf.DUMMYFUNCTION("""COMPUTED_VALUE"""),"{}")</f>
        <v>{}</v>
      </c>
      <c r="G386" s="148">
        <f>IFERROR(__xludf.DUMMYFUNCTION("""COMPUTED_VALUE"""),10.0)</f>
        <v>10</v>
      </c>
      <c r="H386" s="148">
        <f>IFERROR(__xludf.DUMMYFUNCTION("""COMPUTED_VALUE"""),10099.0)</f>
        <v>10099</v>
      </c>
      <c r="I386" s="148">
        <f>IFERROR(__xludf.DUMMYFUNCTION("""COMPUTED_VALUE"""),10099.0)</f>
        <v>10099</v>
      </c>
      <c r="J386" s="148">
        <f>IFERROR(__xludf.DUMMYFUNCTION("""COMPUTED_VALUE"""),0.0)</f>
        <v>0</v>
      </c>
      <c r="K386" s="148">
        <f>IFERROR(__xludf.DUMMYFUNCTION("""COMPUTED_VALUE"""),10.0)</f>
        <v>10</v>
      </c>
      <c r="L386" s="148">
        <f>IFERROR(__xludf.DUMMYFUNCTION("""COMPUTED_VALUE"""),99.0)</f>
        <v>99</v>
      </c>
      <c r="M386" s="148">
        <f>IFERROR(__xludf.DUMMYFUNCTION("""COMPUTED_VALUE"""),0.0)</f>
        <v>0</v>
      </c>
      <c r="N386" s="148" t="str">
        <f>IFERROR(__xludf.DUMMYFUNCTION("""COMPUTED_VALUE"""),"[]")</f>
        <v>[]</v>
      </c>
      <c r="O386" s="148" t="str">
        <f>IFERROR(__xludf.DUMMYFUNCTION("""COMPUTED_VALUE"""),"{}")</f>
        <v>{}</v>
      </c>
      <c r="P386" s="148">
        <f>IFERROR(__xludf.DUMMYFUNCTION("""COMPUTED_VALUE"""),0.0)</f>
        <v>0</v>
      </c>
      <c r="Q386" s="148" t="str">
        <f>IFERROR(__xludf.DUMMYFUNCTION("""COMPUTED_VALUE"""),"[]")</f>
        <v>[]</v>
      </c>
      <c r="R386" s="148" t="str">
        <f>IFERROR(__xludf.DUMMYFUNCTION("""COMPUTED_VALUE"""),"{}")</f>
        <v>{}</v>
      </c>
      <c r="S386" s="148">
        <f>IFERROR(__xludf.DUMMYFUNCTION("""COMPUTED_VALUE"""),0.0)</f>
        <v>0</v>
      </c>
      <c r="T386" s="148" t="str">
        <f>IFERROR(__xludf.DUMMYFUNCTION("""COMPUTED_VALUE"""),"[]")</f>
        <v>[]</v>
      </c>
      <c r="U386" s="148">
        <f>IFERROR(__xludf.DUMMYFUNCTION("""COMPUTED_VALUE"""),0.0)</f>
        <v>0</v>
      </c>
      <c r="V386" s="148" t="str">
        <f>IFERROR(__xludf.DUMMYFUNCTION("""COMPUTED_VALUE"""),"{}")</f>
        <v>{}</v>
      </c>
      <c r="W386" s="148" t="str">
        <f>IFERROR(__xludf.DUMMYFUNCTION("""COMPUTED_VALUE"""),"[]")</f>
        <v>[]</v>
      </c>
      <c r="X386" s="148" t="str">
        <f>IFERROR(__xludf.DUMMYFUNCTION("""COMPUTED_VALUE"""),"[{""typ"":""power"",""id"":12141002,""val"":4}]")</f>
        <v>[{"typ":"power","id":12141002,"val":4}]</v>
      </c>
      <c r="Y386" s="148" t="str">
        <f>IFERROR(__xludf.DUMMYFUNCTION("""COMPUTED_VALUE"""),"[{""typ"":""atk"",""val"":160},{""typ"":""def"",""val"":160},{""typ"":""hp"",""val"":160},{""typ"":""speed"",""val"":40},{""typ"":""load"",""val"":20},{""typ"":""backcoef"",""val"":0.5},{""typ"":""atkcoef"",""val"":1.0},{""typ"":""atkcd"",""val"":0}]")</f>
        <v>[{"typ":"atk","val":160},{"typ":"def","val":160},{"typ":"hp","val":160},{"typ":"speed","val":40},{"typ":"load","val":20},{"typ":"backcoef","val":0.5},{"typ":"atkcoef","val":1.0},{"typ":"atkcd","val":0}]</v>
      </c>
      <c r="Z386" s="148" t="str">
        <f>IFERROR(__xludf.DUMMYFUNCTION("""COMPUTED_VALUE"""),"[]")</f>
        <v>[]</v>
      </c>
    </row>
    <row r="387">
      <c r="A387" s="148">
        <f>IFERROR(__xludf.DUMMYFUNCTION("""COMPUTED_VALUE"""),1.1219241E7)</f>
        <v>11219241</v>
      </c>
      <c r="B387" s="148" t="str">
        <f>IFERROR(__xludf.DUMMYFUNCTION("""COMPUTED_VALUE"""),"新跨服战场boss")</f>
        <v>新跨服战场boss</v>
      </c>
      <c r="C387" s="148">
        <f>IFERROR(__xludf.DUMMYFUNCTION("""COMPUTED_VALUE"""),1.1221004E7)</f>
        <v>11221004</v>
      </c>
      <c r="D387" s="148">
        <f>IFERROR(__xludf.DUMMYFUNCTION("""COMPUTED_VALUE"""),1.5111315E7)</f>
        <v>15111315</v>
      </c>
      <c r="E387" s="148" t="str">
        <f>IFERROR(__xludf.DUMMYFUNCTION("""COMPUTED_VALUE"""),"{""typ"":""lc"",""txt"":""LC_ARENA_kingbg_war_boss_name""}")</f>
        <v>{"typ":"lc","txt":"LC_ARENA_kingbg_war_boss_name"}</v>
      </c>
      <c r="F387" s="148" t="str">
        <f>IFERROR(__xludf.DUMMYFUNCTION("""COMPUTED_VALUE"""),"{""typ"":""lc"",""txt"":""LC_ARENA_kingbg_war_boss_desc""}")</f>
        <v>{"typ":"lc","txt":"LC_ARENA_kingbg_war_boss_desc"}</v>
      </c>
      <c r="G387" s="148">
        <f>IFERROR(__xludf.DUMMYFUNCTION("""COMPUTED_VALUE"""),10.0)</f>
        <v>10</v>
      </c>
      <c r="H387" s="148">
        <f>IFERROR(__xludf.DUMMYFUNCTION("""COMPUTED_VALUE"""),10099.0)</f>
        <v>10099</v>
      </c>
      <c r="I387" s="148">
        <f>IFERROR(__xludf.DUMMYFUNCTION("""COMPUTED_VALUE"""),10099.0)</f>
        <v>10099</v>
      </c>
      <c r="J387" s="148">
        <f>IFERROR(__xludf.DUMMYFUNCTION("""COMPUTED_VALUE"""),0.0)</f>
        <v>0</v>
      </c>
      <c r="K387" s="148">
        <f>IFERROR(__xludf.DUMMYFUNCTION("""COMPUTED_VALUE"""),10.0)</f>
        <v>10</v>
      </c>
      <c r="L387" s="148">
        <f>IFERROR(__xludf.DUMMYFUNCTION("""COMPUTED_VALUE"""),99.0)</f>
        <v>99</v>
      </c>
      <c r="M387" s="148">
        <f>IFERROR(__xludf.DUMMYFUNCTION("""COMPUTED_VALUE"""),0.0)</f>
        <v>0</v>
      </c>
      <c r="N387" s="148" t="str">
        <f>IFERROR(__xludf.DUMMYFUNCTION("""COMPUTED_VALUE"""),"[]")</f>
        <v>[]</v>
      </c>
      <c r="O387" s="148" t="str">
        <f>IFERROR(__xludf.DUMMYFUNCTION("""COMPUTED_VALUE"""),"{}")</f>
        <v>{}</v>
      </c>
      <c r="P387" s="148">
        <f>IFERROR(__xludf.DUMMYFUNCTION("""COMPUTED_VALUE"""),0.0)</f>
        <v>0</v>
      </c>
      <c r="Q387" s="148" t="str">
        <f>IFERROR(__xludf.DUMMYFUNCTION("""COMPUTED_VALUE"""),"[]")</f>
        <v>[]</v>
      </c>
      <c r="R387" s="148" t="str">
        <f>IFERROR(__xludf.DUMMYFUNCTION("""COMPUTED_VALUE"""),"{}")</f>
        <v>{}</v>
      </c>
      <c r="S387" s="148">
        <f>IFERROR(__xludf.DUMMYFUNCTION("""COMPUTED_VALUE"""),0.0)</f>
        <v>0</v>
      </c>
      <c r="T387" s="148" t="str">
        <f>IFERROR(__xludf.DUMMYFUNCTION("""COMPUTED_VALUE"""),"[]")</f>
        <v>[]</v>
      </c>
      <c r="U387" s="148">
        <f>IFERROR(__xludf.DUMMYFUNCTION("""COMPUTED_VALUE"""),0.0)</f>
        <v>0</v>
      </c>
      <c r="V387" s="148" t="str">
        <f>IFERROR(__xludf.DUMMYFUNCTION("""COMPUTED_VALUE"""),"{}")</f>
        <v>{}</v>
      </c>
      <c r="W387" s="148" t="str">
        <f>IFERROR(__xludf.DUMMYFUNCTION("""COMPUTED_VALUE"""),"[]")</f>
        <v>[]</v>
      </c>
      <c r="X387" s="148" t="str">
        <f>IFERROR(__xludf.DUMMYFUNCTION("""COMPUTED_VALUE"""),"[{""typ"":""power"",""id"":12141002,""val"":4}]")</f>
        <v>[{"typ":"power","id":12141002,"val":4}]</v>
      </c>
      <c r="Y387" s="148" t="str">
        <f>IFERROR(__xludf.DUMMYFUNCTION("""COMPUTED_VALUE"""),"[{""typ"":""atk"",""val"":800},{""typ"":""def"",""val"":100},{""typ"":""hp"",""val"":100},{""typ"":""speed"",""val"":40},{""typ"":""load"",""val"":20},{""typ"":""backcoef"",""val"":0.5},{""typ"":""atkcoef"",""val"":1.0},{""typ"":""atkcd"",""val"":0}]")</f>
        <v>[{"typ":"atk","val":800},{"typ":"def","val":100},{"typ":"hp","val":100},{"typ":"speed","val":40},{"typ":"load","val":20},{"typ":"backcoef","val":0.5},{"typ":"atkcoef","val":1.0},{"typ":"atkcd","val":0}]</v>
      </c>
      <c r="Z387" s="148" t="str">
        <f>IFERROR(__xludf.DUMMYFUNCTION("""COMPUTED_VALUE"""),"[]")</f>
        <v>[]</v>
      </c>
    </row>
    <row r="388">
      <c r="A388" s="148">
        <f>IFERROR(__xludf.DUMMYFUNCTION("""COMPUTED_VALUE"""),1.1219242E7)</f>
        <v>11219242</v>
      </c>
      <c r="B388" s="148" t="str">
        <f>IFERROR(__xludf.DUMMYFUNCTION("""COMPUTED_VALUE"""),"新跨服战场boss")</f>
        <v>新跨服战场boss</v>
      </c>
      <c r="C388" s="148">
        <f>IFERROR(__xludf.DUMMYFUNCTION("""COMPUTED_VALUE"""),1.1221004E7)</f>
        <v>11221004</v>
      </c>
      <c r="D388" s="148">
        <f>IFERROR(__xludf.DUMMYFUNCTION("""COMPUTED_VALUE"""),1.5111315E7)</f>
        <v>15111315</v>
      </c>
      <c r="E388" s="148" t="str">
        <f>IFERROR(__xludf.DUMMYFUNCTION("""COMPUTED_VALUE"""),"{""typ"":""lc"",""txt"":""LC_ARENA_kingbg_war_boss_name""}")</f>
        <v>{"typ":"lc","txt":"LC_ARENA_kingbg_war_boss_name"}</v>
      </c>
      <c r="F388" s="148" t="str">
        <f>IFERROR(__xludf.DUMMYFUNCTION("""COMPUTED_VALUE"""),"{""typ"":""lc"",""txt"":""LC_ARENA_kingbg_war_boss_desc""}")</f>
        <v>{"typ":"lc","txt":"LC_ARENA_kingbg_war_boss_desc"}</v>
      </c>
      <c r="G388" s="148">
        <f>IFERROR(__xludf.DUMMYFUNCTION("""COMPUTED_VALUE"""),10.0)</f>
        <v>10</v>
      </c>
      <c r="H388" s="148">
        <f>IFERROR(__xludf.DUMMYFUNCTION("""COMPUTED_VALUE"""),10099.0)</f>
        <v>10099</v>
      </c>
      <c r="I388" s="148">
        <f>IFERROR(__xludf.DUMMYFUNCTION("""COMPUTED_VALUE"""),10099.0)</f>
        <v>10099</v>
      </c>
      <c r="J388" s="148">
        <f>IFERROR(__xludf.DUMMYFUNCTION("""COMPUTED_VALUE"""),0.0)</f>
        <v>0</v>
      </c>
      <c r="K388" s="148">
        <f>IFERROR(__xludf.DUMMYFUNCTION("""COMPUTED_VALUE"""),10.0)</f>
        <v>10</v>
      </c>
      <c r="L388" s="148">
        <f>IFERROR(__xludf.DUMMYFUNCTION("""COMPUTED_VALUE"""),99.0)</f>
        <v>99</v>
      </c>
      <c r="M388" s="148">
        <f>IFERROR(__xludf.DUMMYFUNCTION("""COMPUTED_VALUE"""),0.0)</f>
        <v>0</v>
      </c>
      <c r="N388" s="148" t="str">
        <f>IFERROR(__xludf.DUMMYFUNCTION("""COMPUTED_VALUE"""),"[]")</f>
        <v>[]</v>
      </c>
      <c r="O388" s="148" t="str">
        <f>IFERROR(__xludf.DUMMYFUNCTION("""COMPUTED_VALUE"""),"{}")</f>
        <v>{}</v>
      </c>
      <c r="P388" s="148">
        <f>IFERROR(__xludf.DUMMYFUNCTION("""COMPUTED_VALUE"""),0.0)</f>
        <v>0</v>
      </c>
      <c r="Q388" s="148" t="str">
        <f>IFERROR(__xludf.DUMMYFUNCTION("""COMPUTED_VALUE"""),"[]")</f>
        <v>[]</v>
      </c>
      <c r="R388" s="148" t="str">
        <f>IFERROR(__xludf.DUMMYFUNCTION("""COMPUTED_VALUE"""),"{}")</f>
        <v>{}</v>
      </c>
      <c r="S388" s="148">
        <f>IFERROR(__xludf.DUMMYFUNCTION("""COMPUTED_VALUE"""),0.0)</f>
        <v>0</v>
      </c>
      <c r="T388" s="148" t="str">
        <f>IFERROR(__xludf.DUMMYFUNCTION("""COMPUTED_VALUE"""),"[]")</f>
        <v>[]</v>
      </c>
      <c r="U388" s="148">
        <f>IFERROR(__xludf.DUMMYFUNCTION("""COMPUTED_VALUE"""),0.0)</f>
        <v>0</v>
      </c>
      <c r="V388" s="148" t="str">
        <f>IFERROR(__xludf.DUMMYFUNCTION("""COMPUTED_VALUE"""),"{}")</f>
        <v>{}</v>
      </c>
      <c r="W388" s="148" t="str">
        <f>IFERROR(__xludf.DUMMYFUNCTION("""COMPUTED_VALUE"""),"[]")</f>
        <v>[]</v>
      </c>
      <c r="X388" s="148" t="str">
        <f>IFERROR(__xludf.DUMMYFUNCTION("""COMPUTED_VALUE"""),"[{""typ"":""power"",""id"":12141002,""val"":4}]")</f>
        <v>[{"typ":"power","id":12141002,"val":4}]</v>
      </c>
      <c r="Y388" s="148" t="str">
        <f>IFERROR(__xludf.DUMMYFUNCTION("""COMPUTED_VALUE"""),"[{""typ"":""atk"",""val"":800},{""typ"":""def"",""val"":100},{""typ"":""hp"",""val"":100},{""typ"":""speed"",""val"":40},{""typ"":""load"",""val"":20},{""typ"":""backcoef"",""val"":0.5},{""typ"":""atkcoef"",""val"":1.0},{""typ"":""atkcd"",""val"":0}]")</f>
        <v>[{"typ":"atk","val":800},{"typ":"def","val":100},{"typ":"hp","val":100},{"typ":"speed","val":40},{"typ":"load","val":20},{"typ":"backcoef","val":0.5},{"typ":"atkcoef","val":1.0},{"typ":"atkcd","val":0}]</v>
      </c>
      <c r="Z388" s="148" t="str">
        <f>IFERROR(__xludf.DUMMYFUNCTION("""COMPUTED_VALUE"""),"[]")</f>
        <v>[]</v>
      </c>
    </row>
    <row r="389">
      <c r="A389" s="148">
        <f>IFERROR(__xludf.DUMMYFUNCTION("""COMPUTED_VALUE"""),1.1219243E7)</f>
        <v>11219243</v>
      </c>
      <c r="B389" s="148" t="str">
        <f>IFERROR(__xludf.DUMMYFUNCTION("""COMPUTED_VALUE"""),"新跨服战场枢纽")</f>
        <v>新跨服战场枢纽</v>
      </c>
      <c r="C389" s="148">
        <f>IFERROR(__xludf.DUMMYFUNCTION("""COMPUTED_VALUE"""),1.1221004E7)</f>
        <v>11221004</v>
      </c>
      <c r="D389" s="148">
        <f>IFERROR(__xludf.DUMMYFUNCTION("""COMPUTED_VALUE"""),1.5110234E7)</f>
        <v>15110234</v>
      </c>
      <c r="E389" s="148" t="str">
        <f>IFERROR(__xludf.DUMMYFUNCTION("""COMPUTED_VALUE"""),"{""typ"":""lc"",""txt"":""LC_ARENA_kingbg_war_building_1_name""}")</f>
        <v>{"typ":"lc","txt":"LC_ARENA_kingbg_war_building_1_name"}</v>
      </c>
      <c r="F389" s="148" t="str">
        <f>IFERROR(__xludf.DUMMYFUNCTION("""COMPUTED_VALUE"""),"{""typ"":""lc"",""txt"":""LC_ARENA_kingbg_war_building_1_desc""}")</f>
        <v>{"typ":"lc","txt":"LC_ARENA_kingbg_war_building_1_desc"}</v>
      </c>
      <c r="G389" s="148">
        <f>IFERROR(__xludf.DUMMYFUNCTION("""COMPUTED_VALUE"""),10.0)</f>
        <v>10</v>
      </c>
      <c r="H389" s="148">
        <f>IFERROR(__xludf.DUMMYFUNCTION("""COMPUTED_VALUE"""),10099.0)</f>
        <v>10099</v>
      </c>
      <c r="I389" s="148">
        <f>IFERROR(__xludf.DUMMYFUNCTION("""COMPUTED_VALUE"""),10099.0)</f>
        <v>10099</v>
      </c>
      <c r="J389" s="148">
        <f>IFERROR(__xludf.DUMMYFUNCTION("""COMPUTED_VALUE"""),0.0)</f>
        <v>0</v>
      </c>
      <c r="K389" s="148">
        <f>IFERROR(__xludf.DUMMYFUNCTION("""COMPUTED_VALUE"""),10.0)</f>
        <v>10</v>
      </c>
      <c r="L389" s="148">
        <f>IFERROR(__xludf.DUMMYFUNCTION("""COMPUTED_VALUE"""),99.0)</f>
        <v>99</v>
      </c>
      <c r="M389" s="148">
        <f>IFERROR(__xludf.DUMMYFUNCTION("""COMPUTED_VALUE"""),0.0)</f>
        <v>0</v>
      </c>
      <c r="N389" s="148" t="str">
        <f>IFERROR(__xludf.DUMMYFUNCTION("""COMPUTED_VALUE"""),"[]")</f>
        <v>[]</v>
      </c>
      <c r="O389" s="148" t="str">
        <f>IFERROR(__xludf.DUMMYFUNCTION("""COMPUTED_VALUE"""),"{}")</f>
        <v>{}</v>
      </c>
      <c r="P389" s="148">
        <f>IFERROR(__xludf.DUMMYFUNCTION("""COMPUTED_VALUE"""),0.0)</f>
        <v>0</v>
      </c>
      <c r="Q389" s="148" t="str">
        <f>IFERROR(__xludf.DUMMYFUNCTION("""COMPUTED_VALUE"""),"[]")</f>
        <v>[]</v>
      </c>
      <c r="R389" s="148" t="str">
        <f>IFERROR(__xludf.DUMMYFUNCTION("""COMPUTED_VALUE"""),"{}")</f>
        <v>{}</v>
      </c>
      <c r="S389" s="148">
        <f>IFERROR(__xludf.DUMMYFUNCTION("""COMPUTED_VALUE"""),0.0)</f>
        <v>0</v>
      </c>
      <c r="T389" s="148" t="str">
        <f>IFERROR(__xludf.DUMMYFUNCTION("""COMPUTED_VALUE"""),"[]")</f>
        <v>[]</v>
      </c>
      <c r="U389" s="148">
        <f>IFERROR(__xludf.DUMMYFUNCTION("""COMPUTED_VALUE"""),0.0)</f>
        <v>0</v>
      </c>
      <c r="V389" s="148" t="str">
        <f>IFERROR(__xludf.DUMMYFUNCTION("""COMPUTED_VALUE"""),"{}")</f>
        <v>{}</v>
      </c>
      <c r="W389" s="148" t="str">
        <f>IFERROR(__xludf.DUMMYFUNCTION("""COMPUTED_VALUE"""),"[]")</f>
        <v>[]</v>
      </c>
      <c r="X389" s="148" t="str">
        <f>IFERROR(__xludf.DUMMYFUNCTION("""COMPUTED_VALUE"""),"[{""typ"":""power"",""id"":12141002,""val"":4}]")</f>
        <v>[{"typ":"power","id":12141002,"val":4}]</v>
      </c>
      <c r="Y389" s="148" t="str">
        <f>IFERROR(__xludf.DUMMYFUNCTION("""COMPUTED_VALUE"""),"[{""typ"":""atk"",""val"":800},{""typ"":""def"",""val"":100},{""typ"":""hp"",""val"":100},{""typ"":""speed"",""val"":40},{""typ"":""load"",""val"":20},{""typ"":""backcoef"",""val"":0.5},{""typ"":""atkcoef"",""val"":1.0},{""typ"":""atkcd"",""val"":0}]")</f>
        <v>[{"typ":"atk","val":800},{"typ":"def","val":100},{"typ":"hp","val":100},{"typ":"speed","val":40},{"typ":"load","val":20},{"typ":"backcoef","val":0.5},{"typ":"atkcoef","val":1.0},{"typ":"atkcd","val":0}]</v>
      </c>
      <c r="Z389" s="148" t="str">
        <f>IFERROR(__xludf.DUMMYFUNCTION("""COMPUTED_VALUE"""),"[]")</f>
        <v>[]</v>
      </c>
    </row>
    <row r="390">
      <c r="A390" s="148">
        <f>IFERROR(__xludf.DUMMYFUNCTION("""COMPUTED_VALUE"""),1.1219244E7)</f>
        <v>11219244</v>
      </c>
      <c r="B390" s="148" t="str">
        <f>IFERROR(__xludf.DUMMYFUNCTION("""COMPUTED_VALUE"""),"新跨服战场buff建筑")</f>
        <v>新跨服战场buff建筑</v>
      </c>
      <c r="C390" s="148">
        <f>IFERROR(__xludf.DUMMYFUNCTION("""COMPUTED_VALUE"""),1.1221004E7)</f>
        <v>11221004</v>
      </c>
      <c r="D390" s="148">
        <f>IFERROR(__xludf.DUMMYFUNCTION("""COMPUTED_VALUE"""),1.5110234E7)</f>
        <v>15110234</v>
      </c>
      <c r="E390" s="148" t="str">
        <f>IFERROR(__xludf.DUMMYFUNCTION("""COMPUTED_VALUE"""),"{""typ"":""lc"",""txt"":""LC_ARENA_kingbg_war_building_2_name""}")</f>
        <v>{"typ":"lc","txt":"LC_ARENA_kingbg_war_building_2_name"}</v>
      </c>
      <c r="F390" s="148" t="str">
        <f>IFERROR(__xludf.DUMMYFUNCTION("""COMPUTED_VALUE"""),"{""typ"":""lc"",""txt"":""LC_ARENA_kingbg_war_building_2_desc""}")</f>
        <v>{"typ":"lc","txt":"LC_ARENA_kingbg_war_building_2_desc"}</v>
      </c>
      <c r="G390" s="148">
        <f>IFERROR(__xludf.DUMMYFUNCTION("""COMPUTED_VALUE"""),10.0)</f>
        <v>10</v>
      </c>
      <c r="H390" s="148">
        <f>IFERROR(__xludf.DUMMYFUNCTION("""COMPUTED_VALUE"""),10099.0)</f>
        <v>10099</v>
      </c>
      <c r="I390" s="148">
        <f>IFERROR(__xludf.DUMMYFUNCTION("""COMPUTED_VALUE"""),10099.0)</f>
        <v>10099</v>
      </c>
      <c r="J390" s="148">
        <f>IFERROR(__xludf.DUMMYFUNCTION("""COMPUTED_VALUE"""),0.0)</f>
        <v>0</v>
      </c>
      <c r="K390" s="148">
        <f>IFERROR(__xludf.DUMMYFUNCTION("""COMPUTED_VALUE"""),10.0)</f>
        <v>10</v>
      </c>
      <c r="L390" s="148">
        <f>IFERROR(__xludf.DUMMYFUNCTION("""COMPUTED_VALUE"""),99.0)</f>
        <v>99</v>
      </c>
      <c r="M390" s="148">
        <f>IFERROR(__xludf.DUMMYFUNCTION("""COMPUTED_VALUE"""),0.0)</f>
        <v>0</v>
      </c>
      <c r="N390" s="148" t="str">
        <f>IFERROR(__xludf.DUMMYFUNCTION("""COMPUTED_VALUE"""),"[]")</f>
        <v>[]</v>
      </c>
      <c r="O390" s="148" t="str">
        <f>IFERROR(__xludf.DUMMYFUNCTION("""COMPUTED_VALUE"""),"{}")</f>
        <v>{}</v>
      </c>
      <c r="P390" s="148">
        <f>IFERROR(__xludf.DUMMYFUNCTION("""COMPUTED_VALUE"""),0.0)</f>
        <v>0</v>
      </c>
      <c r="Q390" s="148" t="str">
        <f>IFERROR(__xludf.DUMMYFUNCTION("""COMPUTED_VALUE"""),"[]")</f>
        <v>[]</v>
      </c>
      <c r="R390" s="148" t="str">
        <f>IFERROR(__xludf.DUMMYFUNCTION("""COMPUTED_VALUE"""),"{}")</f>
        <v>{}</v>
      </c>
      <c r="S390" s="148">
        <f>IFERROR(__xludf.DUMMYFUNCTION("""COMPUTED_VALUE"""),0.0)</f>
        <v>0</v>
      </c>
      <c r="T390" s="148" t="str">
        <f>IFERROR(__xludf.DUMMYFUNCTION("""COMPUTED_VALUE"""),"[]")</f>
        <v>[]</v>
      </c>
      <c r="U390" s="148">
        <f>IFERROR(__xludf.DUMMYFUNCTION("""COMPUTED_VALUE"""),0.0)</f>
        <v>0</v>
      </c>
      <c r="V390" s="148" t="str">
        <f>IFERROR(__xludf.DUMMYFUNCTION("""COMPUTED_VALUE"""),"{}")</f>
        <v>{}</v>
      </c>
      <c r="W390" s="148" t="str">
        <f>IFERROR(__xludf.DUMMYFUNCTION("""COMPUTED_VALUE"""),"[]")</f>
        <v>[]</v>
      </c>
      <c r="X390" s="148" t="str">
        <f>IFERROR(__xludf.DUMMYFUNCTION("""COMPUTED_VALUE"""),"[{""typ"":""power"",""id"":12141002,""val"":4}]")</f>
        <v>[{"typ":"power","id":12141002,"val":4}]</v>
      </c>
      <c r="Y390" s="148" t="str">
        <f>IFERROR(__xludf.DUMMYFUNCTION("""COMPUTED_VALUE"""),"[{""typ"":""atk"",""val"":800},{""typ"":""def"",""val"":100},{""typ"":""hp"",""val"":100},{""typ"":""speed"",""val"":40},{""typ"":""load"",""val"":20},{""typ"":""backcoef"",""val"":0.5},{""typ"":""atkcoef"",""val"":1.0},{""typ"":""atkcd"",""val"":0}]")</f>
        <v>[{"typ":"atk","val":800},{"typ":"def","val":100},{"typ":"hp","val":100},{"typ":"speed","val":40},{"typ":"load","val":20},{"typ":"backcoef","val":0.5},{"typ":"atkcoef","val":1.0},{"typ":"atkcd","val":0}]</v>
      </c>
      <c r="Z390" s="148" t="str">
        <f>IFERROR(__xludf.DUMMYFUNCTION("""COMPUTED_VALUE"""),"[]")</f>
        <v>[]</v>
      </c>
    </row>
    <row r="391">
      <c r="A391" s="148">
        <f>IFERROR(__xludf.DUMMYFUNCTION("""COMPUTED_VALUE"""),1.121925E7)</f>
        <v>11219250</v>
      </c>
      <c r="B391" s="148" t="str">
        <f>IFERROR(__xludf.DUMMYFUNCTION("""COMPUTED_VALUE"""),"战车战场-舱位T4打击手")</f>
        <v>战车战场-舱位T4打击手</v>
      </c>
      <c r="C391" s="148">
        <f>IFERROR(__xludf.DUMMYFUNCTION("""COMPUTED_VALUE"""),1.1221001E7)</f>
        <v>11221001</v>
      </c>
      <c r="D391" s="148">
        <f>IFERROR(__xludf.DUMMYFUNCTION("""COMPUTED_VALUE"""),1.5110055E7)</f>
        <v>15110055</v>
      </c>
      <c r="E391" s="148" t="str">
        <f>IFERROR(__xludf.DUMMYFUNCTION("""COMPUTED_VALUE"""),"{""typ"":""lc"",""txt"":""LC_SOLDIER_npc_name_1""}")</f>
        <v>{"typ":"lc","txt":"LC_SOLDIER_npc_name_1"}</v>
      </c>
      <c r="F391" s="148" t="str">
        <f>IFERROR(__xludf.DUMMYFUNCTION("""COMPUTED_VALUE"""),"{}")</f>
        <v>{}</v>
      </c>
      <c r="G391" s="148">
        <f>IFERROR(__xludf.DUMMYFUNCTION("""COMPUTED_VALUE"""),10.0)</f>
        <v>10</v>
      </c>
      <c r="H391" s="148">
        <f>IFERROR(__xludf.DUMMYFUNCTION("""COMPUTED_VALUE"""),10099.0)</f>
        <v>10099</v>
      </c>
      <c r="I391" s="148">
        <f>IFERROR(__xludf.DUMMYFUNCTION("""COMPUTED_VALUE"""),10099.0)</f>
        <v>10099</v>
      </c>
      <c r="J391" s="148">
        <f>IFERROR(__xludf.DUMMYFUNCTION("""COMPUTED_VALUE"""),0.0)</f>
        <v>0</v>
      </c>
      <c r="K391" s="148">
        <f>IFERROR(__xludf.DUMMYFUNCTION("""COMPUTED_VALUE"""),10.0)</f>
        <v>10</v>
      </c>
      <c r="L391" s="148">
        <f>IFERROR(__xludf.DUMMYFUNCTION("""COMPUTED_VALUE"""),99.0)</f>
        <v>99</v>
      </c>
      <c r="M391" s="148">
        <f>IFERROR(__xludf.DUMMYFUNCTION("""COMPUTED_VALUE"""),0.0)</f>
        <v>0</v>
      </c>
      <c r="N391" s="148" t="str">
        <f>IFERROR(__xludf.DUMMYFUNCTION("""COMPUTED_VALUE"""),"[]")</f>
        <v>[]</v>
      </c>
      <c r="O391" s="148" t="str">
        <f>IFERROR(__xludf.DUMMYFUNCTION("""COMPUTED_VALUE"""),"{}")</f>
        <v>{}</v>
      </c>
      <c r="P391" s="148">
        <f>IFERROR(__xludf.DUMMYFUNCTION("""COMPUTED_VALUE"""),0.0)</f>
        <v>0</v>
      </c>
      <c r="Q391" s="148" t="str">
        <f>IFERROR(__xludf.DUMMYFUNCTION("""COMPUTED_VALUE"""),"[]")</f>
        <v>[]</v>
      </c>
      <c r="R391" s="148" t="str">
        <f>IFERROR(__xludf.DUMMYFUNCTION("""COMPUTED_VALUE"""),"{}")</f>
        <v>{}</v>
      </c>
      <c r="S391" s="148">
        <f>IFERROR(__xludf.DUMMYFUNCTION("""COMPUTED_VALUE"""),0.0)</f>
        <v>0</v>
      </c>
      <c r="T391" s="148" t="str">
        <f>IFERROR(__xludf.DUMMYFUNCTION("""COMPUTED_VALUE"""),"[]")</f>
        <v>[]</v>
      </c>
      <c r="U391" s="148">
        <f>IFERROR(__xludf.DUMMYFUNCTION("""COMPUTED_VALUE"""),0.0)</f>
        <v>0</v>
      </c>
      <c r="V391" s="148" t="str">
        <f>IFERROR(__xludf.DUMMYFUNCTION("""COMPUTED_VALUE"""),"{}")</f>
        <v>{}</v>
      </c>
      <c r="W391" s="148" t="str">
        <f>IFERROR(__xludf.DUMMYFUNCTION("""COMPUTED_VALUE"""),"[]")</f>
        <v>[]</v>
      </c>
      <c r="X391" s="148" t="str">
        <f>IFERROR(__xludf.DUMMYFUNCTION("""COMPUTED_VALUE"""),"[{""typ"":""power"",""id"":12141002,""val"":4}]")</f>
        <v>[{"typ":"power","id":12141002,"val":4}]</v>
      </c>
      <c r="Y391" s="148" t="str">
        <f>IFERROR(__xludf.DUMMYFUNCTION("""COMPUTED_VALUE"""),"[{""typ"":""atk"",""val"":194},{""typ"":""def"",""val"":117},{""typ"":""hp"",""val"":106},{""typ"":""speed"",""val"":60},{""typ"":""load"",""val"":20},{""typ"":""backcoef"",""val"":0.5},{""typ"":""atkcoef"",""val"":1.0},{""typ"":""atkcd"",""val"":0}]")</f>
        <v>[{"typ":"atk","val":194},{"typ":"def","val":117},{"typ":"hp","val":106},{"typ":"speed","val":60},{"typ":"load","val":20},{"typ":"backcoef","val":0.5},{"typ":"atkcoef","val":1.0},{"typ":"atkcd","val":0}]</v>
      </c>
      <c r="Z391" s="148" t="str">
        <f>IFERROR(__xludf.DUMMYFUNCTION("""COMPUTED_VALUE"""),"[]")</f>
        <v>[]</v>
      </c>
    </row>
    <row r="392">
      <c r="A392" s="148">
        <f>IFERROR(__xludf.DUMMYFUNCTION("""COMPUTED_VALUE"""),1.1219251E7)</f>
        <v>11219251</v>
      </c>
      <c r="B392" s="148" t="str">
        <f>IFERROR(__xludf.DUMMYFUNCTION("""COMPUTED_VALUE"""),"战车战场-舱位T4突击手")</f>
        <v>战车战场-舱位T4突击手</v>
      </c>
      <c r="C392" s="148">
        <f>IFERROR(__xludf.DUMMYFUNCTION("""COMPUTED_VALUE"""),1.1221002E7)</f>
        <v>11221002</v>
      </c>
      <c r="D392" s="148">
        <f>IFERROR(__xludf.DUMMYFUNCTION("""COMPUTED_VALUE"""),1.511006E7)</f>
        <v>15110060</v>
      </c>
      <c r="E392" s="148" t="str">
        <f>IFERROR(__xludf.DUMMYFUNCTION("""COMPUTED_VALUE"""),"{""typ"":""lc"",""txt"":""LC_SOLDIER_npc_name_1""}")</f>
        <v>{"typ":"lc","txt":"LC_SOLDIER_npc_name_1"}</v>
      </c>
      <c r="F392" s="148" t="str">
        <f>IFERROR(__xludf.DUMMYFUNCTION("""COMPUTED_VALUE"""),"{}")</f>
        <v>{}</v>
      </c>
      <c r="G392" s="148">
        <f>IFERROR(__xludf.DUMMYFUNCTION("""COMPUTED_VALUE"""),10.0)</f>
        <v>10</v>
      </c>
      <c r="H392" s="148">
        <f>IFERROR(__xludf.DUMMYFUNCTION("""COMPUTED_VALUE"""),10099.0)</f>
        <v>10099</v>
      </c>
      <c r="I392" s="148">
        <f>IFERROR(__xludf.DUMMYFUNCTION("""COMPUTED_VALUE"""),10099.0)</f>
        <v>10099</v>
      </c>
      <c r="J392" s="148">
        <f>IFERROR(__xludf.DUMMYFUNCTION("""COMPUTED_VALUE"""),0.0)</f>
        <v>0</v>
      </c>
      <c r="K392" s="148">
        <f>IFERROR(__xludf.DUMMYFUNCTION("""COMPUTED_VALUE"""),10.0)</f>
        <v>10</v>
      </c>
      <c r="L392" s="148">
        <f>IFERROR(__xludf.DUMMYFUNCTION("""COMPUTED_VALUE"""),99.0)</f>
        <v>99</v>
      </c>
      <c r="M392" s="148">
        <f>IFERROR(__xludf.DUMMYFUNCTION("""COMPUTED_VALUE"""),0.0)</f>
        <v>0</v>
      </c>
      <c r="N392" s="148" t="str">
        <f>IFERROR(__xludf.DUMMYFUNCTION("""COMPUTED_VALUE"""),"[]")</f>
        <v>[]</v>
      </c>
      <c r="O392" s="148" t="str">
        <f>IFERROR(__xludf.DUMMYFUNCTION("""COMPUTED_VALUE"""),"{}")</f>
        <v>{}</v>
      </c>
      <c r="P392" s="148">
        <f>IFERROR(__xludf.DUMMYFUNCTION("""COMPUTED_VALUE"""),0.0)</f>
        <v>0</v>
      </c>
      <c r="Q392" s="148" t="str">
        <f>IFERROR(__xludf.DUMMYFUNCTION("""COMPUTED_VALUE"""),"[]")</f>
        <v>[]</v>
      </c>
      <c r="R392" s="148" t="str">
        <f>IFERROR(__xludf.DUMMYFUNCTION("""COMPUTED_VALUE"""),"{}")</f>
        <v>{}</v>
      </c>
      <c r="S392" s="148">
        <f>IFERROR(__xludf.DUMMYFUNCTION("""COMPUTED_VALUE"""),0.0)</f>
        <v>0</v>
      </c>
      <c r="T392" s="148" t="str">
        <f>IFERROR(__xludf.DUMMYFUNCTION("""COMPUTED_VALUE"""),"[]")</f>
        <v>[]</v>
      </c>
      <c r="U392" s="148">
        <f>IFERROR(__xludf.DUMMYFUNCTION("""COMPUTED_VALUE"""),0.0)</f>
        <v>0</v>
      </c>
      <c r="V392" s="148" t="str">
        <f>IFERROR(__xludf.DUMMYFUNCTION("""COMPUTED_VALUE"""),"{}")</f>
        <v>{}</v>
      </c>
      <c r="W392" s="148" t="str">
        <f>IFERROR(__xludf.DUMMYFUNCTION("""COMPUTED_VALUE"""),"[]")</f>
        <v>[]</v>
      </c>
      <c r="X392" s="148" t="str">
        <f>IFERROR(__xludf.DUMMYFUNCTION("""COMPUTED_VALUE"""),"[{""typ"":""power"",""id"":12141002,""val"":4}]")</f>
        <v>[{"typ":"power","id":12141002,"val":4}]</v>
      </c>
      <c r="Y392" s="148" t="str">
        <f>IFERROR(__xludf.DUMMYFUNCTION("""COMPUTED_VALUE"""),"[{""typ"":""atk"",""val"":198},{""typ"":""def"",""val"":110},{""typ"":""hp"",""val"":111},{""typ"":""speed"",""val"":60},{""typ"":""load"",""val"":20},{""typ"":""backcoef"",""val"":0.5},{""typ"":""atkcoef"",""val"":1.0},{""typ"":""atkcd"",""val"":0}]")</f>
        <v>[{"typ":"atk","val":198},{"typ":"def","val":110},{"typ":"hp","val":111},{"typ":"speed","val":60},{"typ":"load","val":20},{"typ":"backcoef","val":0.5},{"typ":"atkcoef","val":1.0},{"typ":"atkcd","val":0}]</v>
      </c>
      <c r="Z392" s="148" t="str">
        <f>IFERROR(__xludf.DUMMYFUNCTION("""COMPUTED_VALUE"""),"[]")</f>
        <v>[]</v>
      </c>
    </row>
    <row r="393">
      <c r="A393" s="148">
        <f>IFERROR(__xludf.DUMMYFUNCTION("""COMPUTED_VALUE"""),1.1219252E7)</f>
        <v>11219252</v>
      </c>
      <c r="B393" s="148" t="str">
        <f>IFERROR(__xludf.DUMMYFUNCTION("""COMPUTED_VALUE"""),"战车战场-舱位T4射击手")</f>
        <v>战车战场-舱位T4射击手</v>
      </c>
      <c r="C393" s="148">
        <f>IFERROR(__xludf.DUMMYFUNCTION("""COMPUTED_VALUE"""),1.1221003E7)</f>
        <v>11221003</v>
      </c>
      <c r="D393" s="148">
        <f>IFERROR(__xludf.DUMMYFUNCTION("""COMPUTED_VALUE"""),1.5110065E7)</f>
        <v>15110065</v>
      </c>
      <c r="E393" s="148" t="str">
        <f>IFERROR(__xludf.DUMMYFUNCTION("""COMPUTED_VALUE"""),"{""typ"":""lc"",""txt"":""LC_SOLDIER_npc_name_1""}")</f>
        <v>{"typ":"lc","txt":"LC_SOLDIER_npc_name_1"}</v>
      </c>
      <c r="F393" s="148" t="str">
        <f>IFERROR(__xludf.DUMMYFUNCTION("""COMPUTED_VALUE"""),"{}")</f>
        <v>{}</v>
      </c>
      <c r="G393" s="148">
        <f>IFERROR(__xludf.DUMMYFUNCTION("""COMPUTED_VALUE"""),10.0)</f>
        <v>10</v>
      </c>
      <c r="H393" s="148">
        <f>IFERROR(__xludf.DUMMYFUNCTION("""COMPUTED_VALUE"""),10099.0)</f>
        <v>10099</v>
      </c>
      <c r="I393" s="148">
        <f>IFERROR(__xludf.DUMMYFUNCTION("""COMPUTED_VALUE"""),10099.0)</f>
        <v>10099</v>
      </c>
      <c r="J393" s="148">
        <f>IFERROR(__xludf.DUMMYFUNCTION("""COMPUTED_VALUE"""),0.0)</f>
        <v>0</v>
      </c>
      <c r="K393" s="148">
        <f>IFERROR(__xludf.DUMMYFUNCTION("""COMPUTED_VALUE"""),10.0)</f>
        <v>10</v>
      </c>
      <c r="L393" s="148">
        <f>IFERROR(__xludf.DUMMYFUNCTION("""COMPUTED_VALUE"""),99.0)</f>
        <v>99</v>
      </c>
      <c r="M393" s="148">
        <f>IFERROR(__xludf.DUMMYFUNCTION("""COMPUTED_VALUE"""),0.0)</f>
        <v>0</v>
      </c>
      <c r="N393" s="148" t="str">
        <f>IFERROR(__xludf.DUMMYFUNCTION("""COMPUTED_VALUE"""),"[]")</f>
        <v>[]</v>
      </c>
      <c r="O393" s="148" t="str">
        <f>IFERROR(__xludf.DUMMYFUNCTION("""COMPUTED_VALUE"""),"{}")</f>
        <v>{}</v>
      </c>
      <c r="P393" s="148">
        <f>IFERROR(__xludf.DUMMYFUNCTION("""COMPUTED_VALUE"""),0.0)</f>
        <v>0</v>
      </c>
      <c r="Q393" s="148" t="str">
        <f>IFERROR(__xludf.DUMMYFUNCTION("""COMPUTED_VALUE"""),"[]")</f>
        <v>[]</v>
      </c>
      <c r="R393" s="148" t="str">
        <f>IFERROR(__xludf.DUMMYFUNCTION("""COMPUTED_VALUE"""),"{}")</f>
        <v>{}</v>
      </c>
      <c r="S393" s="148">
        <f>IFERROR(__xludf.DUMMYFUNCTION("""COMPUTED_VALUE"""),0.0)</f>
        <v>0</v>
      </c>
      <c r="T393" s="148" t="str">
        <f>IFERROR(__xludf.DUMMYFUNCTION("""COMPUTED_VALUE"""),"[]")</f>
        <v>[]</v>
      </c>
      <c r="U393" s="148">
        <f>IFERROR(__xludf.DUMMYFUNCTION("""COMPUTED_VALUE"""),0.0)</f>
        <v>0</v>
      </c>
      <c r="V393" s="148" t="str">
        <f>IFERROR(__xludf.DUMMYFUNCTION("""COMPUTED_VALUE"""),"{}")</f>
        <v>{}</v>
      </c>
      <c r="W393" s="148" t="str">
        <f>IFERROR(__xludf.DUMMYFUNCTION("""COMPUTED_VALUE"""),"[]")</f>
        <v>[]</v>
      </c>
      <c r="X393" s="148" t="str">
        <f>IFERROR(__xludf.DUMMYFUNCTION("""COMPUTED_VALUE"""),"[{""typ"":""power"",""id"":12141002,""val"":4}]")</f>
        <v>[{"typ":"power","id":12141002,"val":4}]</v>
      </c>
      <c r="Y393" s="148" t="str">
        <f>IFERROR(__xludf.DUMMYFUNCTION("""COMPUTED_VALUE"""),"[{""typ"":""atk"",""val"":205},{""typ"":""def"",""val"":112},{""typ"":""hp"",""val"":105},{""typ"":""speed"",""val"":60},{""typ"":""load"",""val"":20},{""typ"":""backcoef"",""val"":0.5},{""typ"":""atkcoef"",""val"":1.0},{""typ"":""atkcd"",""val"":0}]")</f>
        <v>[{"typ":"atk","val":205},{"typ":"def","val":112},{"typ":"hp","val":105},{"typ":"speed","val":60},{"typ":"load","val":20},{"typ":"backcoef","val":0.5},{"typ":"atkcoef","val":1.0},{"typ":"atkcd","val":0}]</v>
      </c>
      <c r="Z393" s="148" t="str">
        <f>IFERROR(__xludf.DUMMYFUNCTION("""COMPUTED_VALUE"""),"[]")</f>
        <v>[]</v>
      </c>
    </row>
    <row r="394">
      <c r="A394" s="148">
        <f>IFERROR(__xludf.DUMMYFUNCTION("""COMPUTED_VALUE"""),1.1219253E7)</f>
        <v>11219253</v>
      </c>
      <c r="B394" s="148" t="str">
        <f>IFERROR(__xludf.DUMMYFUNCTION("""COMPUTED_VALUE"""),"战车战场-中心建筑T4突击手")</f>
        <v>战车战场-中心建筑T4突击手</v>
      </c>
      <c r="C394" s="148">
        <f>IFERROR(__xludf.DUMMYFUNCTION("""COMPUTED_VALUE"""),1.1221002E7)</f>
        <v>11221002</v>
      </c>
      <c r="D394" s="148">
        <f>IFERROR(__xludf.DUMMYFUNCTION("""COMPUTED_VALUE"""),1.511006E7)</f>
        <v>15110060</v>
      </c>
      <c r="E394" s="148" t="str">
        <f>IFERROR(__xludf.DUMMYFUNCTION("""COMPUTED_VALUE"""),"{""typ"":""lc"",""txt"":""LC_SOLDIER_npc_name_1""}")</f>
        <v>{"typ":"lc","txt":"LC_SOLDIER_npc_name_1"}</v>
      </c>
      <c r="F394" s="148" t="str">
        <f>IFERROR(__xludf.DUMMYFUNCTION("""COMPUTED_VALUE"""),"{}")</f>
        <v>{}</v>
      </c>
      <c r="G394" s="148">
        <f>IFERROR(__xludf.DUMMYFUNCTION("""COMPUTED_VALUE"""),10.0)</f>
        <v>10</v>
      </c>
      <c r="H394" s="148">
        <f>IFERROR(__xludf.DUMMYFUNCTION("""COMPUTED_VALUE"""),10099.0)</f>
        <v>10099</v>
      </c>
      <c r="I394" s="148">
        <f>IFERROR(__xludf.DUMMYFUNCTION("""COMPUTED_VALUE"""),10099.0)</f>
        <v>10099</v>
      </c>
      <c r="J394" s="148">
        <f>IFERROR(__xludf.DUMMYFUNCTION("""COMPUTED_VALUE"""),0.0)</f>
        <v>0</v>
      </c>
      <c r="K394" s="148">
        <f>IFERROR(__xludf.DUMMYFUNCTION("""COMPUTED_VALUE"""),10.0)</f>
        <v>10</v>
      </c>
      <c r="L394" s="148">
        <f>IFERROR(__xludf.DUMMYFUNCTION("""COMPUTED_VALUE"""),99.0)</f>
        <v>99</v>
      </c>
      <c r="M394" s="148">
        <f>IFERROR(__xludf.DUMMYFUNCTION("""COMPUTED_VALUE"""),0.0)</f>
        <v>0</v>
      </c>
      <c r="N394" s="148" t="str">
        <f>IFERROR(__xludf.DUMMYFUNCTION("""COMPUTED_VALUE"""),"[]")</f>
        <v>[]</v>
      </c>
      <c r="O394" s="148" t="str">
        <f>IFERROR(__xludf.DUMMYFUNCTION("""COMPUTED_VALUE"""),"{}")</f>
        <v>{}</v>
      </c>
      <c r="P394" s="148">
        <f>IFERROR(__xludf.DUMMYFUNCTION("""COMPUTED_VALUE"""),0.0)</f>
        <v>0</v>
      </c>
      <c r="Q394" s="148" t="str">
        <f>IFERROR(__xludf.DUMMYFUNCTION("""COMPUTED_VALUE"""),"[]")</f>
        <v>[]</v>
      </c>
      <c r="R394" s="148" t="str">
        <f>IFERROR(__xludf.DUMMYFUNCTION("""COMPUTED_VALUE"""),"{}")</f>
        <v>{}</v>
      </c>
      <c r="S394" s="148">
        <f>IFERROR(__xludf.DUMMYFUNCTION("""COMPUTED_VALUE"""),0.0)</f>
        <v>0</v>
      </c>
      <c r="T394" s="148" t="str">
        <f>IFERROR(__xludf.DUMMYFUNCTION("""COMPUTED_VALUE"""),"[]")</f>
        <v>[]</v>
      </c>
      <c r="U394" s="148">
        <f>IFERROR(__xludf.DUMMYFUNCTION("""COMPUTED_VALUE"""),0.0)</f>
        <v>0</v>
      </c>
      <c r="V394" s="148" t="str">
        <f>IFERROR(__xludf.DUMMYFUNCTION("""COMPUTED_VALUE"""),"{}")</f>
        <v>{}</v>
      </c>
      <c r="W394" s="148" t="str">
        <f>IFERROR(__xludf.DUMMYFUNCTION("""COMPUTED_VALUE"""),"[]")</f>
        <v>[]</v>
      </c>
      <c r="X394" s="148" t="str">
        <f>IFERROR(__xludf.DUMMYFUNCTION("""COMPUTED_VALUE"""),"[{""typ"":""power"",""id"":12141002,""val"":4}]")</f>
        <v>[{"typ":"power","id":12141002,"val":4}]</v>
      </c>
      <c r="Y394" s="148" t="str">
        <f>IFERROR(__xludf.DUMMYFUNCTION("""COMPUTED_VALUE"""),"[{""typ"":""atk"",""val"":198},{""typ"":""def"",""val"":110},{""typ"":""hp"",""val"":111},{""typ"":""speed"",""val"":40},{""typ"":""load"",""val"":20},{""typ"":""backcoef"",""val"":0.5},{""typ"":""atkcoef"",""val"":1.0},{""typ"":""atkcd"",""val"":0}]")</f>
        <v>[{"typ":"atk","val":198},{"typ":"def","val":110},{"typ":"hp","val":111},{"typ":"speed","val":40},{"typ":"load","val":20},{"typ":"backcoef","val":0.5},{"typ":"atkcoef","val":1.0},{"typ":"atkcd","val":0}]</v>
      </c>
      <c r="Z394" s="148" t="str">
        <f>IFERROR(__xludf.DUMMYFUNCTION("""COMPUTED_VALUE"""),"[]")</f>
        <v>[]</v>
      </c>
    </row>
    <row r="395">
      <c r="A395" s="148">
        <f>IFERROR(__xludf.DUMMYFUNCTION("""COMPUTED_VALUE"""),1.1219254E7)</f>
        <v>11219254</v>
      </c>
      <c r="B395" s="148" t="str">
        <f>IFERROR(__xludf.DUMMYFUNCTION("""COMPUTED_VALUE"""),"战车战场-附属建筑T4突击手")</f>
        <v>战车战场-附属建筑T4突击手</v>
      </c>
      <c r="C395" s="148">
        <f>IFERROR(__xludf.DUMMYFUNCTION("""COMPUTED_VALUE"""),1.1221002E7)</f>
        <v>11221002</v>
      </c>
      <c r="D395" s="148">
        <f>IFERROR(__xludf.DUMMYFUNCTION("""COMPUTED_VALUE"""),1.511006E7)</f>
        <v>15110060</v>
      </c>
      <c r="E395" s="148" t="str">
        <f>IFERROR(__xludf.DUMMYFUNCTION("""COMPUTED_VALUE"""),"{""typ"":""lc"",""txt"":""LC_SOLDIER_npc_name_1""}")</f>
        <v>{"typ":"lc","txt":"LC_SOLDIER_npc_name_1"}</v>
      </c>
      <c r="F395" s="148" t="str">
        <f>IFERROR(__xludf.DUMMYFUNCTION("""COMPUTED_VALUE"""),"{}")</f>
        <v>{}</v>
      </c>
      <c r="G395" s="148">
        <f>IFERROR(__xludf.DUMMYFUNCTION("""COMPUTED_VALUE"""),10.0)</f>
        <v>10</v>
      </c>
      <c r="H395" s="148">
        <f>IFERROR(__xludf.DUMMYFUNCTION("""COMPUTED_VALUE"""),10099.0)</f>
        <v>10099</v>
      </c>
      <c r="I395" s="148">
        <f>IFERROR(__xludf.DUMMYFUNCTION("""COMPUTED_VALUE"""),10099.0)</f>
        <v>10099</v>
      </c>
      <c r="J395" s="148">
        <f>IFERROR(__xludf.DUMMYFUNCTION("""COMPUTED_VALUE"""),0.0)</f>
        <v>0</v>
      </c>
      <c r="K395" s="148">
        <f>IFERROR(__xludf.DUMMYFUNCTION("""COMPUTED_VALUE"""),10.0)</f>
        <v>10</v>
      </c>
      <c r="L395" s="148">
        <f>IFERROR(__xludf.DUMMYFUNCTION("""COMPUTED_VALUE"""),99.0)</f>
        <v>99</v>
      </c>
      <c r="M395" s="148">
        <f>IFERROR(__xludf.DUMMYFUNCTION("""COMPUTED_VALUE"""),0.0)</f>
        <v>0</v>
      </c>
      <c r="N395" s="148" t="str">
        <f>IFERROR(__xludf.DUMMYFUNCTION("""COMPUTED_VALUE"""),"[]")</f>
        <v>[]</v>
      </c>
      <c r="O395" s="148" t="str">
        <f>IFERROR(__xludf.DUMMYFUNCTION("""COMPUTED_VALUE"""),"{}")</f>
        <v>{}</v>
      </c>
      <c r="P395" s="148">
        <f>IFERROR(__xludf.DUMMYFUNCTION("""COMPUTED_VALUE"""),0.0)</f>
        <v>0</v>
      </c>
      <c r="Q395" s="148" t="str">
        <f>IFERROR(__xludf.DUMMYFUNCTION("""COMPUTED_VALUE"""),"[]")</f>
        <v>[]</v>
      </c>
      <c r="R395" s="148" t="str">
        <f>IFERROR(__xludf.DUMMYFUNCTION("""COMPUTED_VALUE"""),"{}")</f>
        <v>{}</v>
      </c>
      <c r="S395" s="148">
        <f>IFERROR(__xludf.DUMMYFUNCTION("""COMPUTED_VALUE"""),0.0)</f>
        <v>0</v>
      </c>
      <c r="T395" s="148" t="str">
        <f>IFERROR(__xludf.DUMMYFUNCTION("""COMPUTED_VALUE"""),"[]")</f>
        <v>[]</v>
      </c>
      <c r="U395" s="148">
        <f>IFERROR(__xludf.DUMMYFUNCTION("""COMPUTED_VALUE"""),0.0)</f>
        <v>0</v>
      </c>
      <c r="V395" s="148" t="str">
        <f>IFERROR(__xludf.DUMMYFUNCTION("""COMPUTED_VALUE"""),"{}")</f>
        <v>{}</v>
      </c>
      <c r="W395" s="148" t="str">
        <f>IFERROR(__xludf.DUMMYFUNCTION("""COMPUTED_VALUE"""),"[]")</f>
        <v>[]</v>
      </c>
      <c r="X395" s="148" t="str">
        <f>IFERROR(__xludf.DUMMYFUNCTION("""COMPUTED_VALUE"""),"[{""typ"":""power"",""id"":12141002,""val"":4}]")</f>
        <v>[{"typ":"power","id":12141002,"val":4}]</v>
      </c>
      <c r="Y395" s="148" t="str">
        <f>IFERROR(__xludf.DUMMYFUNCTION("""COMPUTED_VALUE"""),"[{""typ"":""atk"",""val"":198},{""typ"":""def"",""val"":110},{""typ"":""hp"",""val"":111},{""typ"":""speed"",""val"":40},{""typ"":""load"",""val"":20},{""typ"":""backcoef"",""val"":0.5},{""typ"":""atkcoef"",""val"":1.0},{""typ"":""atkcd"",""val"":0}]")</f>
        <v>[{"typ":"atk","val":198},{"typ":"def","val":110},{"typ":"hp","val":111},{"typ":"speed","val":40},{"typ":"load","val":20},{"typ":"backcoef","val":0.5},{"typ":"atkcoef","val":1.0},{"typ":"atkcd","val":0}]</v>
      </c>
      <c r="Z395" s="148" t="str">
        <f>IFERROR(__xludf.DUMMYFUNCTION("""COMPUTED_VALUE"""),"[]")</f>
        <v>[]</v>
      </c>
    </row>
    <row r="396">
      <c r="A396" s="148">
        <f>IFERROR(__xludf.DUMMYFUNCTION("""COMPUTED_VALUE"""),1.1219301E7)</f>
        <v>11219301</v>
      </c>
      <c r="B396" s="148" t="str">
        <f>IFERROR(__xludf.DUMMYFUNCTION("""COMPUTED_VALUE"""),"KVK-押镖单位-白怪1")</f>
        <v>KVK-押镖单位-白怪1</v>
      </c>
      <c r="C396" s="148">
        <f>IFERROR(__xludf.DUMMYFUNCTION("""COMPUTED_VALUE"""),1.1221004E7)</f>
        <v>11221004</v>
      </c>
      <c r="D396" s="148">
        <f>IFERROR(__xludf.DUMMYFUNCTION("""COMPUTED_VALUE"""),1.5113832E7)</f>
        <v>15113832</v>
      </c>
      <c r="E396" s="148" t="str">
        <f>IFERROR(__xludf.DUMMYFUNCTION("""COMPUTED_VALUE"""),"{""typ"":""lc"",""txt"":""LC_NPC_npc_reg_name_kvk""}")</f>
        <v>{"typ":"lc","txt":"LC_NPC_npc_reg_name_kvk"}</v>
      </c>
      <c r="F396" s="148" t="str">
        <f>IFERROR(__xludf.DUMMYFUNCTION("""COMPUTED_VALUE"""),"{""typ"":""lc"",""txt"":""LC_NPC_npc_reg_desc_kvk""}")</f>
        <v>{"typ":"lc","txt":"LC_NPC_npc_reg_desc_kvk"}</v>
      </c>
      <c r="G396" s="148">
        <f>IFERROR(__xludf.DUMMYFUNCTION("""COMPUTED_VALUE"""),10.0)</f>
        <v>10</v>
      </c>
      <c r="H396" s="148">
        <f>IFERROR(__xludf.DUMMYFUNCTION("""COMPUTED_VALUE"""),10099.0)</f>
        <v>10099</v>
      </c>
      <c r="I396" s="148">
        <f>IFERROR(__xludf.DUMMYFUNCTION("""COMPUTED_VALUE"""),10099.0)</f>
        <v>10099</v>
      </c>
      <c r="J396" s="148">
        <f>IFERROR(__xludf.DUMMYFUNCTION("""COMPUTED_VALUE"""),0.0)</f>
        <v>0</v>
      </c>
      <c r="K396" s="148">
        <f>IFERROR(__xludf.DUMMYFUNCTION("""COMPUTED_VALUE"""),10.0)</f>
        <v>10</v>
      </c>
      <c r="L396" s="148">
        <f>IFERROR(__xludf.DUMMYFUNCTION("""COMPUTED_VALUE"""),99.0)</f>
        <v>99</v>
      </c>
      <c r="M396" s="148">
        <f>IFERROR(__xludf.DUMMYFUNCTION("""COMPUTED_VALUE"""),0.0)</f>
        <v>0</v>
      </c>
      <c r="N396" s="148" t="str">
        <f>IFERROR(__xludf.DUMMYFUNCTION("""COMPUTED_VALUE"""),"[]")</f>
        <v>[]</v>
      </c>
      <c r="O396" s="148" t="str">
        <f>IFERROR(__xludf.DUMMYFUNCTION("""COMPUTED_VALUE"""),"{}")</f>
        <v>{}</v>
      </c>
      <c r="P396" s="148">
        <f>IFERROR(__xludf.DUMMYFUNCTION("""COMPUTED_VALUE"""),0.0)</f>
        <v>0</v>
      </c>
      <c r="Q396" s="148" t="str">
        <f>IFERROR(__xludf.DUMMYFUNCTION("""COMPUTED_VALUE"""),"[]")</f>
        <v>[]</v>
      </c>
      <c r="R396" s="148" t="str">
        <f>IFERROR(__xludf.DUMMYFUNCTION("""COMPUTED_VALUE"""),"{}")</f>
        <v>{}</v>
      </c>
      <c r="S396" s="148">
        <f>IFERROR(__xludf.DUMMYFUNCTION("""COMPUTED_VALUE"""),0.0)</f>
        <v>0</v>
      </c>
      <c r="T396" s="148" t="str">
        <f>IFERROR(__xludf.DUMMYFUNCTION("""COMPUTED_VALUE"""),"[]")</f>
        <v>[]</v>
      </c>
      <c r="U396" s="148">
        <f>IFERROR(__xludf.DUMMYFUNCTION("""COMPUTED_VALUE"""),0.0)</f>
        <v>0</v>
      </c>
      <c r="V396" s="148" t="str">
        <f>IFERROR(__xludf.DUMMYFUNCTION("""COMPUTED_VALUE"""),"{}")</f>
        <v>{}</v>
      </c>
      <c r="W396" s="148" t="str">
        <f>IFERROR(__xludf.DUMMYFUNCTION("""COMPUTED_VALUE"""),"[]")</f>
        <v>[]</v>
      </c>
      <c r="X396" s="148" t="str">
        <f>IFERROR(__xludf.DUMMYFUNCTION("""COMPUTED_VALUE"""),"[{""typ"":""power"",""id"":12141002,""val"":1}]")</f>
        <v>[{"typ":"power","id":12141002,"val":1}]</v>
      </c>
      <c r="Y396" s="148" t="str">
        <f>IFERROR(__xludf.DUMMYFUNCTION("""COMPUTED_VALUE"""),"[{""typ"":""atk"",""val"":15},{""typ"":""def"",""val"":125},{""typ"":""hp"",""val"":135},{""typ"":""speed"",""val"":50},{""typ"":""load"",""val"":20},{""typ"":""backcoef"",""val"":0.5},{""typ"":""atkcoef"",""val"":1.0},{""typ"":""atkcd"",""val"":0}]")</f>
        <v>[{"typ":"atk","val":15},{"typ":"def","val":125},{"typ":"hp","val":135},{"typ":"speed","val":50},{"typ":"load","val":20},{"typ":"backcoef","val":0.5},{"typ":"atkcoef","val":1.0},{"typ":"atkcd","val":0}]</v>
      </c>
      <c r="Z396" s="148" t="str">
        <f>IFERROR(__xludf.DUMMYFUNCTION("""COMPUTED_VALUE"""),"[]")</f>
        <v>[]</v>
      </c>
    </row>
    <row r="397">
      <c r="A397" s="148">
        <f>IFERROR(__xludf.DUMMYFUNCTION("""COMPUTED_VALUE"""),1.1219302E7)</f>
        <v>11219302</v>
      </c>
      <c r="B397" s="148" t="str">
        <f>IFERROR(__xludf.DUMMYFUNCTION("""COMPUTED_VALUE"""),"KVK-押镖单位-白怪2")</f>
        <v>KVK-押镖单位-白怪2</v>
      </c>
      <c r="C397" s="148">
        <f>IFERROR(__xludf.DUMMYFUNCTION("""COMPUTED_VALUE"""),1.1221004E7)</f>
        <v>11221004</v>
      </c>
      <c r="D397" s="148">
        <f>IFERROR(__xludf.DUMMYFUNCTION("""COMPUTED_VALUE"""),1.5113832E7)</f>
        <v>15113832</v>
      </c>
      <c r="E397" s="148" t="str">
        <f>IFERROR(__xludf.DUMMYFUNCTION("""COMPUTED_VALUE"""),"{""typ"":""lc"",""txt"":""LC_NPC_npc_reg_name_kvk""}")</f>
        <v>{"typ":"lc","txt":"LC_NPC_npc_reg_name_kvk"}</v>
      </c>
      <c r="F397" s="148" t="str">
        <f>IFERROR(__xludf.DUMMYFUNCTION("""COMPUTED_VALUE"""),"{""typ"":""lc"",""txt"":""LC_NPC_npc_reg_desc_kvk""}")</f>
        <v>{"typ":"lc","txt":"LC_NPC_npc_reg_desc_kvk"}</v>
      </c>
      <c r="G397" s="148">
        <f>IFERROR(__xludf.DUMMYFUNCTION("""COMPUTED_VALUE"""),10.0)</f>
        <v>10</v>
      </c>
      <c r="H397" s="148">
        <f>IFERROR(__xludf.DUMMYFUNCTION("""COMPUTED_VALUE"""),10099.0)</f>
        <v>10099</v>
      </c>
      <c r="I397" s="148">
        <f>IFERROR(__xludf.DUMMYFUNCTION("""COMPUTED_VALUE"""),10099.0)</f>
        <v>10099</v>
      </c>
      <c r="J397" s="148">
        <f>IFERROR(__xludf.DUMMYFUNCTION("""COMPUTED_VALUE"""),0.0)</f>
        <v>0</v>
      </c>
      <c r="K397" s="148">
        <f>IFERROR(__xludf.DUMMYFUNCTION("""COMPUTED_VALUE"""),10.0)</f>
        <v>10</v>
      </c>
      <c r="L397" s="148">
        <f>IFERROR(__xludf.DUMMYFUNCTION("""COMPUTED_VALUE"""),99.0)</f>
        <v>99</v>
      </c>
      <c r="M397" s="148">
        <f>IFERROR(__xludf.DUMMYFUNCTION("""COMPUTED_VALUE"""),0.0)</f>
        <v>0</v>
      </c>
      <c r="N397" s="148" t="str">
        <f>IFERROR(__xludf.DUMMYFUNCTION("""COMPUTED_VALUE"""),"[]")</f>
        <v>[]</v>
      </c>
      <c r="O397" s="148" t="str">
        <f>IFERROR(__xludf.DUMMYFUNCTION("""COMPUTED_VALUE"""),"{}")</f>
        <v>{}</v>
      </c>
      <c r="P397" s="148">
        <f>IFERROR(__xludf.DUMMYFUNCTION("""COMPUTED_VALUE"""),0.0)</f>
        <v>0</v>
      </c>
      <c r="Q397" s="148" t="str">
        <f>IFERROR(__xludf.DUMMYFUNCTION("""COMPUTED_VALUE"""),"[]")</f>
        <v>[]</v>
      </c>
      <c r="R397" s="148" t="str">
        <f>IFERROR(__xludf.DUMMYFUNCTION("""COMPUTED_VALUE"""),"{}")</f>
        <v>{}</v>
      </c>
      <c r="S397" s="148">
        <f>IFERROR(__xludf.DUMMYFUNCTION("""COMPUTED_VALUE"""),0.0)</f>
        <v>0</v>
      </c>
      <c r="T397" s="148" t="str">
        <f>IFERROR(__xludf.DUMMYFUNCTION("""COMPUTED_VALUE"""),"[]")</f>
        <v>[]</v>
      </c>
      <c r="U397" s="148">
        <f>IFERROR(__xludf.DUMMYFUNCTION("""COMPUTED_VALUE"""),0.0)</f>
        <v>0</v>
      </c>
      <c r="V397" s="148" t="str">
        <f>IFERROR(__xludf.DUMMYFUNCTION("""COMPUTED_VALUE"""),"{}")</f>
        <v>{}</v>
      </c>
      <c r="W397" s="148" t="str">
        <f>IFERROR(__xludf.DUMMYFUNCTION("""COMPUTED_VALUE"""),"[]")</f>
        <v>[]</v>
      </c>
      <c r="X397" s="148" t="str">
        <f>IFERROR(__xludf.DUMMYFUNCTION("""COMPUTED_VALUE"""),"[{""typ"":""power"",""id"":12141002,""val"":1}]")</f>
        <v>[{"typ":"power","id":12141002,"val":1}]</v>
      </c>
      <c r="Y397" s="148" t="str">
        <f>IFERROR(__xludf.DUMMYFUNCTION("""COMPUTED_VALUE"""),"[{""typ"":""atk"",""val"":30},{""typ"":""def"",""val"":125},{""typ"":""hp"",""val"":135},{""typ"":""speed"",""val"":50},{""typ"":""load"",""val"":20},{""typ"":""backcoef"",""val"":0.5},{""typ"":""atkcoef"",""val"":1.0},{""typ"":""atkcd"",""val"":0}]")</f>
        <v>[{"typ":"atk","val":30},{"typ":"def","val":125},{"typ":"hp","val":135},{"typ":"speed","val":50},{"typ":"load","val":20},{"typ":"backcoef","val":0.5},{"typ":"atkcoef","val":1.0},{"typ":"atkcd","val":0}]</v>
      </c>
      <c r="Z397" s="148" t="str">
        <f>IFERROR(__xludf.DUMMYFUNCTION("""COMPUTED_VALUE"""),"[]")</f>
        <v>[]</v>
      </c>
    </row>
    <row r="398">
      <c r="A398" s="148">
        <f>IFERROR(__xludf.DUMMYFUNCTION("""COMPUTED_VALUE"""),1.1219303E7)</f>
        <v>11219303</v>
      </c>
      <c r="B398" s="148" t="str">
        <f>IFERROR(__xludf.DUMMYFUNCTION("""COMPUTED_VALUE"""),"KVK-押镖单位-白怪3")</f>
        <v>KVK-押镖单位-白怪3</v>
      </c>
      <c r="C398" s="148">
        <f>IFERROR(__xludf.DUMMYFUNCTION("""COMPUTED_VALUE"""),1.1221004E7)</f>
        <v>11221004</v>
      </c>
      <c r="D398" s="148">
        <f>IFERROR(__xludf.DUMMYFUNCTION("""COMPUTED_VALUE"""),1.5113832E7)</f>
        <v>15113832</v>
      </c>
      <c r="E398" s="148" t="str">
        <f>IFERROR(__xludf.DUMMYFUNCTION("""COMPUTED_VALUE"""),"{""typ"":""lc"",""txt"":""LC_NPC_npc_reg_name_kvk""}")</f>
        <v>{"typ":"lc","txt":"LC_NPC_npc_reg_name_kvk"}</v>
      </c>
      <c r="F398" s="148" t="str">
        <f>IFERROR(__xludf.DUMMYFUNCTION("""COMPUTED_VALUE"""),"{""typ"":""lc"",""txt"":""LC_NPC_npc_reg_desc_kvk""}")</f>
        <v>{"typ":"lc","txt":"LC_NPC_npc_reg_desc_kvk"}</v>
      </c>
      <c r="G398" s="148">
        <f>IFERROR(__xludf.DUMMYFUNCTION("""COMPUTED_VALUE"""),10.0)</f>
        <v>10</v>
      </c>
      <c r="H398" s="148">
        <f>IFERROR(__xludf.DUMMYFUNCTION("""COMPUTED_VALUE"""),10099.0)</f>
        <v>10099</v>
      </c>
      <c r="I398" s="148">
        <f>IFERROR(__xludf.DUMMYFUNCTION("""COMPUTED_VALUE"""),10099.0)</f>
        <v>10099</v>
      </c>
      <c r="J398" s="148">
        <f>IFERROR(__xludf.DUMMYFUNCTION("""COMPUTED_VALUE"""),0.0)</f>
        <v>0</v>
      </c>
      <c r="K398" s="148">
        <f>IFERROR(__xludf.DUMMYFUNCTION("""COMPUTED_VALUE"""),10.0)</f>
        <v>10</v>
      </c>
      <c r="L398" s="148">
        <f>IFERROR(__xludf.DUMMYFUNCTION("""COMPUTED_VALUE"""),99.0)</f>
        <v>99</v>
      </c>
      <c r="M398" s="148">
        <f>IFERROR(__xludf.DUMMYFUNCTION("""COMPUTED_VALUE"""),0.0)</f>
        <v>0</v>
      </c>
      <c r="N398" s="148" t="str">
        <f>IFERROR(__xludf.DUMMYFUNCTION("""COMPUTED_VALUE"""),"[]")</f>
        <v>[]</v>
      </c>
      <c r="O398" s="148" t="str">
        <f>IFERROR(__xludf.DUMMYFUNCTION("""COMPUTED_VALUE"""),"{}")</f>
        <v>{}</v>
      </c>
      <c r="P398" s="148">
        <f>IFERROR(__xludf.DUMMYFUNCTION("""COMPUTED_VALUE"""),0.0)</f>
        <v>0</v>
      </c>
      <c r="Q398" s="148" t="str">
        <f>IFERROR(__xludf.DUMMYFUNCTION("""COMPUTED_VALUE"""),"[]")</f>
        <v>[]</v>
      </c>
      <c r="R398" s="148" t="str">
        <f>IFERROR(__xludf.DUMMYFUNCTION("""COMPUTED_VALUE"""),"{}")</f>
        <v>{}</v>
      </c>
      <c r="S398" s="148">
        <f>IFERROR(__xludf.DUMMYFUNCTION("""COMPUTED_VALUE"""),0.0)</f>
        <v>0</v>
      </c>
      <c r="T398" s="148" t="str">
        <f>IFERROR(__xludf.DUMMYFUNCTION("""COMPUTED_VALUE"""),"[]")</f>
        <v>[]</v>
      </c>
      <c r="U398" s="148">
        <f>IFERROR(__xludf.DUMMYFUNCTION("""COMPUTED_VALUE"""),0.0)</f>
        <v>0</v>
      </c>
      <c r="V398" s="148" t="str">
        <f>IFERROR(__xludf.DUMMYFUNCTION("""COMPUTED_VALUE"""),"{}")</f>
        <v>{}</v>
      </c>
      <c r="W398" s="148" t="str">
        <f>IFERROR(__xludf.DUMMYFUNCTION("""COMPUTED_VALUE"""),"[]")</f>
        <v>[]</v>
      </c>
      <c r="X398" s="148" t="str">
        <f>IFERROR(__xludf.DUMMYFUNCTION("""COMPUTED_VALUE"""),"[{""typ"":""power"",""id"":12141002,""val"":1}]")</f>
        <v>[{"typ":"power","id":12141002,"val":1}]</v>
      </c>
      <c r="Y398" s="148" t="str">
        <f>IFERROR(__xludf.DUMMYFUNCTION("""COMPUTED_VALUE"""),"[{""typ"":""atk"",""val"":60},{""typ"":""def"",""val"":125},{""typ"":""hp"",""val"":135},{""typ"":""speed"",""val"":50},{""typ"":""load"",""val"":20},{""typ"":""backcoef"",""val"":0.5},{""typ"":""atkcoef"",""val"":1.0},{""typ"":""atkcd"",""val"":0}]")</f>
        <v>[{"typ":"atk","val":60},{"typ":"def","val":125},{"typ":"hp","val":135},{"typ":"speed","val":50},{"typ":"load","val":20},{"typ":"backcoef","val":0.5},{"typ":"atkcoef","val":1.0},{"typ":"atkcd","val":0}]</v>
      </c>
      <c r="Z398" s="148" t="str">
        <f>IFERROR(__xludf.DUMMYFUNCTION("""COMPUTED_VALUE"""),"[]")</f>
        <v>[]</v>
      </c>
    </row>
    <row r="399">
      <c r="A399" s="148">
        <f>IFERROR(__xludf.DUMMYFUNCTION("""COMPUTED_VALUE"""),1.1219304E7)</f>
        <v>11219304</v>
      </c>
      <c r="B399" s="148" t="str">
        <f>IFERROR(__xludf.DUMMYFUNCTION("""COMPUTED_VALUE"""),"KVK-押镖单位-白怪4")</f>
        <v>KVK-押镖单位-白怪4</v>
      </c>
      <c r="C399" s="148">
        <f>IFERROR(__xludf.DUMMYFUNCTION("""COMPUTED_VALUE"""),1.1221004E7)</f>
        <v>11221004</v>
      </c>
      <c r="D399" s="148">
        <f>IFERROR(__xludf.DUMMYFUNCTION("""COMPUTED_VALUE"""),1.5113832E7)</f>
        <v>15113832</v>
      </c>
      <c r="E399" s="148" t="str">
        <f>IFERROR(__xludf.DUMMYFUNCTION("""COMPUTED_VALUE"""),"{""typ"":""lc"",""txt"":""LC_NPC_npc_reg_name_kvk""}")</f>
        <v>{"typ":"lc","txt":"LC_NPC_npc_reg_name_kvk"}</v>
      </c>
      <c r="F399" s="148" t="str">
        <f>IFERROR(__xludf.DUMMYFUNCTION("""COMPUTED_VALUE"""),"{""typ"":""lc"",""txt"":""LC_NPC_npc_reg_desc_kvk""}")</f>
        <v>{"typ":"lc","txt":"LC_NPC_npc_reg_desc_kvk"}</v>
      </c>
      <c r="G399" s="148">
        <f>IFERROR(__xludf.DUMMYFUNCTION("""COMPUTED_VALUE"""),10.0)</f>
        <v>10</v>
      </c>
      <c r="H399" s="148">
        <f>IFERROR(__xludf.DUMMYFUNCTION("""COMPUTED_VALUE"""),10099.0)</f>
        <v>10099</v>
      </c>
      <c r="I399" s="148">
        <f>IFERROR(__xludf.DUMMYFUNCTION("""COMPUTED_VALUE"""),10099.0)</f>
        <v>10099</v>
      </c>
      <c r="J399" s="148">
        <f>IFERROR(__xludf.DUMMYFUNCTION("""COMPUTED_VALUE"""),0.0)</f>
        <v>0</v>
      </c>
      <c r="K399" s="148">
        <f>IFERROR(__xludf.DUMMYFUNCTION("""COMPUTED_VALUE"""),10.0)</f>
        <v>10</v>
      </c>
      <c r="L399" s="148">
        <f>IFERROR(__xludf.DUMMYFUNCTION("""COMPUTED_VALUE"""),99.0)</f>
        <v>99</v>
      </c>
      <c r="M399" s="148">
        <f>IFERROR(__xludf.DUMMYFUNCTION("""COMPUTED_VALUE"""),0.0)</f>
        <v>0</v>
      </c>
      <c r="N399" s="148" t="str">
        <f>IFERROR(__xludf.DUMMYFUNCTION("""COMPUTED_VALUE"""),"[]")</f>
        <v>[]</v>
      </c>
      <c r="O399" s="148" t="str">
        <f>IFERROR(__xludf.DUMMYFUNCTION("""COMPUTED_VALUE"""),"{}")</f>
        <v>{}</v>
      </c>
      <c r="P399" s="148">
        <f>IFERROR(__xludf.DUMMYFUNCTION("""COMPUTED_VALUE"""),0.0)</f>
        <v>0</v>
      </c>
      <c r="Q399" s="148" t="str">
        <f>IFERROR(__xludf.DUMMYFUNCTION("""COMPUTED_VALUE"""),"[]")</f>
        <v>[]</v>
      </c>
      <c r="R399" s="148" t="str">
        <f>IFERROR(__xludf.DUMMYFUNCTION("""COMPUTED_VALUE"""),"{}")</f>
        <v>{}</v>
      </c>
      <c r="S399" s="148">
        <f>IFERROR(__xludf.DUMMYFUNCTION("""COMPUTED_VALUE"""),0.0)</f>
        <v>0</v>
      </c>
      <c r="T399" s="148" t="str">
        <f>IFERROR(__xludf.DUMMYFUNCTION("""COMPUTED_VALUE"""),"[]")</f>
        <v>[]</v>
      </c>
      <c r="U399" s="148">
        <f>IFERROR(__xludf.DUMMYFUNCTION("""COMPUTED_VALUE"""),0.0)</f>
        <v>0</v>
      </c>
      <c r="V399" s="148" t="str">
        <f>IFERROR(__xludf.DUMMYFUNCTION("""COMPUTED_VALUE"""),"{}")</f>
        <v>{}</v>
      </c>
      <c r="W399" s="148" t="str">
        <f>IFERROR(__xludf.DUMMYFUNCTION("""COMPUTED_VALUE"""),"[]")</f>
        <v>[]</v>
      </c>
      <c r="X399" s="148" t="str">
        <f>IFERROR(__xludf.DUMMYFUNCTION("""COMPUTED_VALUE"""),"[{""typ"":""power"",""id"":12141002,""val"":1}]")</f>
        <v>[{"typ":"power","id":12141002,"val":1}]</v>
      </c>
      <c r="Y399" s="148" t="str">
        <f>IFERROR(__xludf.DUMMYFUNCTION("""COMPUTED_VALUE"""),"[{""typ"":""atk"",""val"":150},{""typ"":""def"",""val"":125},{""typ"":""hp"",""val"":135},{""typ"":""speed"",""val"":50},{""typ"":""load"",""val"":20},{""typ"":""backcoef"",""val"":0.5},{""typ"":""atkcoef"",""val"":1.0},{""typ"":""atkcd"",""val"":0}]")</f>
        <v>[{"typ":"atk","val":150},{"typ":"def","val":125},{"typ":"hp","val":135},{"typ":"speed","val":50},{"typ":"load","val":20},{"typ":"backcoef","val":0.5},{"typ":"atkcoef","val":1.0},{"typ":"atkcd","val":0}]</v>
      </c>
      <c r="Z399" s="148" t="str">
        <f>IFERROR(__xludf.DUMMYFUNCTION("""COMPUTED_VALUE"""),"[]")</f>
        <v>[]</v>
      </c>
    </row>
    <row r="400">
      <c r="A400" s="148">
        <f>IFERROR(__xludf.DUMMYFUNCTION("""COMPUTED_VALUE"""),1.1219305E7)</f>
        <v>11219305</v>
      </c>
      <c r="B400" s="148" t="str">
        <f>IFERROR(__xludf.DUMMYFUNCTION("""COMPUTED_VALUE"""),"KVK-押镖单位-白怪5")</f>
        <v>KVK-押镖单位-白怪5</v>
      </c>
      <c r="C400" s="148">
        <f>IFERROR(__xludf.DUMMYFUNCTION("""COMPUTED_VALUE"""),1.1221004E7)</f>
        <v>11221004</v>
      </c>
      <c r="D400" s="148">
        <f>IFERROR(__xludf.DUMMYFUNCTION("""COMPUTED_VALUE"""),1.5113832E7)</f>
        <v>15113832</v>
      </c>
      <c r="E400" s="148" t="str">
        <f>IFERROR(__xludf.DUMMYFUNCTION("""COMPUTED_VALUE"""),"{""typ"":""lc"",""txt"":""LC_NPC_npc_reg_name_kvk""}")</f>
        <v>{"typ":"lc","txt":"LC_NPC_npc_reg_name_kvk"}</v>
      </c>
      <c r="F400" s="148" t="str">
        <f>IFERROR(__xludf.DUMMYFUNCTION("""COMPUTED_VALUE"""),"{""typ"":""lc"",""txt"":""LC_NPC_npc_reg_desc_kvk""}")</f>
        <v>{"typ":"lc","txt":"LC_NPC_npc_reg_desc_kvk"}</v>
      </c>
      <c r="G400" s="148">
        <f>IFERROR(__xludf.DUMMYFUNCTION("""COMPUTED_VALUE"""),10.0)</f>
        <v>10</v>
      </c>
      <c r="H400" s="148">
        <f>IFERROR(__xludf.DUMMYFUNCTION("""COMPUTED_VALUE"""),10099.0)</f>
        <v>10099</v>
      </c>
      <c r="I400" s="148">
        <f>IFERROR(__xludf.DUMMYFUNCTION("""COMPUTED_VALUE"""),10099.0)</f>
        <v>10099</v>
      </c>
      <c r="J400" s="148">
        <f>IFERROR(__xludf.DUMMYFUNCTION("""COMPUTED_VALUE"""),0.0)</f>
        <v>0</v>
      </c>
      <c r="K400" s="148">
        <f>IFERROR(__xludf.DUMMYFUNCTION("""COMPUTED_VALUE"""),10.0)</f>
        <v>10</v>
      </c>
      <c r="L400" s="148">
        <f>IFERROR(__xludf.DUMMYFUNCTION("""COMPUTED_VALUE"""),99.0)</f>
        <v>99</v>
      </c>
      <c r="M400" s="148">
        <f>IFERROR(__xludf.DUMMYFUNCTION("""COMPUTED_VALUE"""),0.0)</f>
        <v>0</v>
      </c>
      <c r="N400" s="148" t="str">
        <f>IFERROR(__xludf.DUMMYFUNCTION("""COMPUTED_VALUE"""),"[]")</f>
        <v>[]</v>
      </c>
      <c r="O400" s="148" t="str">
        <f>IFERROR(__xludf.DUMMYFUNCTION("""COMPUTED_VALUE"""),"{}")</f>
        <v>{}</v>
      </c>
      <c r="P400" s="148">
        <f>IFERROR(__xludf.DUMMYFUNCTION("""COMPUTED_VALUE"""),0.0)</f>
        <v>0</v>
      </c>
      <c r="Q400" s="148" t="str">
        <f>IFERROR(__xludf.DUMMYFUNCTION("""COMPUTED_VALUE"""),"[]")</f>
        <v>[]</v>
      </c>
      <c r="R400" s="148" t="str">
        <f>IFERROR(__xludf.DUMMYFUNCTION("""COMPUTED_VALUE"""),"{}")</f>
        <v>{}</v>
      </c>
      <c r="S400" s="148">
        <f>IFERROR(__xludf.DUMMYFUNCTION("""COMPUTED_VALUE"""),0.0)</f>
        <v>0</v>
      </c>
      <c r="T400" s="148" t="str">
        <f>IFERROR(__xludf.DUMMYFUNCTION("""COMPUTED_VALUE"""),"[]")</f>
        <v>[]</v>
      </c>
      <c r="U400" s="148">
        <f>IFERROR(__xludf.DUMMYFUNCTION("""COMPUTED_VALUE"""),0.0)</f>
        <v>0</v>
      </c>
      <c r="V400" s="148" t="str">
        <f>IFERROR(__xludf.DUMMYFUNCTION("""COMPUTED_VALUE"""),"{}")</f>
        <v>{}</v>
      </c>
      <c r="W400" s="148" t="str">
        <f>IFERROR(__xludf.DUMMYFUNCTION("""COMPUTED_VALUE"""),"[]")</f>
        <v>[]</v>
      </c>
      <c r="X400" s="148" t="str">
        <f>IFERROR(__xludf.DUMMYFUNCTION("""COMPUTED_VALUE"""),"[{""typ"":""power"",""id"":12141002,""val"":1}]")</f>
        <v>[{"typ":"power","id":12141002,"val":1}]</v>
      </c>
      <c r="Y400" s="148" t="str">
        <f>IFERROR(__xludf.DUMMYFUNCTION("""COMPUTED_VALUE"""),"[{""typ"":""atk"",""val"":200},{""typ"":""def"",""val"":125},{""typ"":""hp"",""val"":135},{""typ"":""speed"",""val"":50},{""typ"":""load"",""val"":20},{""typ"":""backcoef"",""val"":0.5},{""typ"":""atkcoef"",""val"":1.0},{""typ"":""atkcd"",""val"":0}]")</f>
        <v>[{"typ":"atk","val":200},{"typ":"def","val":125},{"typ":"hp","val":135},{"typ":"speed","val":50},{"typ":"load","val":20},{"typ":"backcoef","val":0.5},{"typ":"atkcoef","val":1.0},{"typ":"atkcd","val":0}]</v>
      </c>
      <c r="Z400" s="148" t="str">
        <f>IFERROR(__xludf.DUMMYFUNCTION("""COMPUTED_VALUE"""),"[]")</f>
        <v>[]</v>
      </c>
    </row>
    <row r="401">
      <c r="A401" s="148">
        <f>IFERROR(__xludf.DUMMYFUNCTION("""COMPUTED_VALUE"""),1.1219306E7)</f>
        <v>11219306</v>
      </c>
      <c r="B401" s="148" t="str">
        <f>IFERROR(__xludf.DUMMYFUNCTION("""COMPUTED_VALUE"""),"KVK-押镖单位-绿怪1")</f>
        <v>KVK-押镖单位-绿怪1</v>
      </c>
      <c r="C401" s="148">
        <f>IFERROR(__xludf.DUMMYFUNCTION("""COMPUTED_VALUE"""),1.1221004E7)</f>
        <v>11221004</v>
      </c>
      <c r="D401" s="148">
        <f>IFERROR(__xludf.DUMMYFUNCTION("""COMPUTED_VALUE"""),1.5113763E7)</f>
        <v>15113763</v>
      </c>
      <c r="E401" s="148" t="str">
        <f>IFERROR(__xludf.DUMMYFUNCTION("""COMPUTED_VALUE"""),"{""typ"":""lc"",""txt"":""LC_NPC_npc_reg_name_kvk""}")</f>
        <v>{"typ":"lc","txt":"LC_NPC_npc_reg_name_kvk"}</v>
      </c>
      <c r="F401" s="148" t="str">
        <f>IFERROR(__xludf.DUMMYFUNCTION("""COMPUTED_VALUE"""),"{""typ"":""lc"",""txt"":""LC_NPC_npc_reg_desc_kvk""}")</f>
        <v>{"typ":"lc","txt":"LC_NPC_npc_reg_desc_kvk"}</v>
      </c>
      <c r="G401" s="148">
        <f>IFERROR(__xludf.DUMMYFUNCTION("""COMPUTED_VALUE"""),10.0)</f>
        <v>10</v>
      </c>
      <c r="H401" s="148">
        <f>IFERROR(__xludf.DUMMYFUNCTION("""COMPUTED_VALUE"""),10099.0)</f>
        <v>10099</v>
      </c>
      <c r="I401" s="148">
        <f>IFERROR(__xludf.DUMMYFUNCTION("""COMPUTED_VALUE"""),10099.0)</f>
        <v>10099</v>
      </c>
      <c r="J401" s="148">
        <f>IFERROR(__xludf.DUMMYFUNCTION("""COMPUTED_VALUE"""),0.0)</f>
        <v>0</v>
      </c>
      <c r="K401" s="148">
        <f>IFERROR(__xludf.DUMMYFUNCTION("""COMPUTED_VALUE"""),10.0)</f>
        <v>10</v>
      </c>
      <c r="L401" s="148">
        <f>IFERROR(__xludf.DUMMYFUNCTION("""COMPUTED_VALUE"""),99.0)</f>
        <v>99</v>
      </c>
      <c r="M401" s="148">
        <f>IFERROR(__xludf.DUMMYFUNCTION("""COMPUTED_VALUE"""),0.0)</f>
        <v>0</v>
      </c>
      <c r="N401" s="148" t="str">
        <f>IFERROR(__xludf.DUMMYFUNCTION("""COMPUTED_VALUE"""),"[]")</f>
        <v>[]</v>
      </c>
      <c r="O401" s="148" t="str">
        <f>IFERROR(__xludf.DUMMYFUNCTION("""COMPUTED_VALUE"""),"{}")</f>
        <v>{}</v>
      </c>
      <c r="P401" s="148">
        <f>IFERROR(__xludf.DUMMYFUNCTION("""COMPUTED_VALUE"""),0.0)</f>
        <v>0</v>
      </c>
      <c r="Q401" s="148" t="str">
        <f>IFERROR(__xludf.DUMMYFUNCTION("""COMPUTED_VALUE"""),"[]")</f>
        <v>[]</v>
      </c>
      <c r="R401" s="148" t="str">
        <f>IFERROR(__xludf.DUMMYFUNCTION("""COMPUTED_VALUE"""),"{}")</f>
        <v>{}</v>
      </c>
      <c r="S401" s="148">
        <f>IFERROR(__xludf.DUMMYFUNCTION("""COMPUTED_VALUE"""),0.0)</f>
        <v>0</v>
      </c>
      <c r="T401" s="148" t="str">
        <f>IFERROR(__xludf.DUMMYFUNCTION("""COMPUTED_VALUE"""),"[]")</f>
        <v>[]</v>
      </c>
      <c r="U401" s="148">
        <f>IFERROR(__xludf.DUMMYFUNCTION("""COMPUTED_VALUE"""),0.0)</f>
        <v>0</v>
      </c>
      <c r="V401" s="148" t="str">
        <f>IFERROR(__xludf.DUMMYFUNCTION("""COMPUTED_VALUE"""),"{}")</f>
        <v>{}</v>
      </c>
      <c r="W401" s="148" t="str">
        <f>IFERROR(__xludf.DUMMYFUNCTION("""COMPUTED_VALUE"""),"[]")</f>
        <v>[]</v>
      </c>
      <c r="X401" s="148" t="str">
        <f>IFERROR(__xludf.DUMMYFUNCTION("""COMPUTED_VALUE"""),"[{""typ"":""power"",""id"":12141002,""val"":2}]")</f>
        <v>[{"typ":"power","id":12141002,"val":2}]</v>
      </c>
      <c r="Y401" s="148" t="str">
        <f>IFERROR(__xludf.DUMMYFUNCTION("""COMPUTED_VALUE"""),"[{""typ"":""atk"",""val"":15},{""typ"":""def"",""val"":125},{""typ"":""hp"",""val"":135},{""typ"":""speed"",""val"":50},{""typ"":""load"",""val"":20},{""typ"":""backcoef"",""val"":0.5},{""typ"":""atkcoef"",""val"":1.0},{""typ"":""atkcd"",""val"":0}]")</f>
        <v>[{"typ":"atk","val":15},{"typ":"def","val":125},{"typ":"hp","val":135},{"typ":"speed","val":50},{"typ":"load","val":20},{"typ":"backcoef","val":0.5},{"typ":"atkcoef","val":1.0},{"typ":"atkcd","val":0}]</v>
      </c>
      <c r="Z401" s="148" t="str">
        <f>IFERROR(__xludf.DUMMYFUNCTION("""COMPUTED_VALUE"""),"[]")</f>
        <v>[]</v>
      </c>
    </row>
    <row r="402">
      <c r="A402" s="148">
        <f>IFERROR(__xludf.DUMMYFUNCTION("""COMPUTED_VALUE"""),1.1219307E7)</f>
        <v>11219307</v>
      </c>
      <c r="B402" s="148" t="str">
        <f>IFERROR(__xludf.DUMMYFUNCTION("""COMPUTED_VALUE"""),"KVK-押镖单位-绿怪2")</f>
        <v>KVK-押镖单位-绿怪2</v>
      </c>
      <c r="C402" s="148">
        <f>IFERROR(__xludf.DUMMYFUNCTION("""COMPUTED_VALUE"""),1.1221004E7)</f>
        <v>11221004</v>
      </c>
      <c r="D402" s="148">
        <f>IFERROR(__xludf.DUMMYFUNCTION("""COMPUTED_VALUE"""),1.5113763E7)</f>
        <v>15113763</v>
      </c>
      <c r="E402" s="148" t="str">
        <f>IFERROR(__xludf.DUMMYFUNCTION("""COMPUTED_VALUE"""),"{""typ"":""lc"",""txt"":""LC_NPC_npc_reg_name_kvk""}")</f>
        <v>{"typ":"lc","txt":"LC_NPC_npc_reg_name_kvk"}</v>
      </c>
      <c r="F402" s="148" t="str">
        <f>IFERROR(__xludf.DUMMYFUNCTION("""COMPUTED_VALUE"""),"{""typ"":""lc"",""txt"":""LC_NPC_npc_reg_desc_kvk""}")</f>
        <v>{"typ":"lc","txt":"LC_NPC_npc_reg_desc_kvk"}</v>
      </c>
      <c r="G402" s="148">
        <f>IFERROR(__xludf.DUMMYFUNCTION("""COMPUTED_VALUE"""),10.0)</f>
        <v>10</v>
      </c>
      <c r="H402" s="148">
        <f>IFERROR(__xludf.DUMMYFUNCTION("""COMPUTED_VALUE"""),10099.0)</f>
        <v>10099</v>
      </c>
      <c r="I402" s="148">
        <f>IFERROR(__xludf.DUMMYFUNCTION("""COMPUTED_VALUE"""),10099.0)</f>
        <v>10099</v>
      </c>
      <c r="J402" s="148">
        <f>IFERROR(__xludf.DUMMYFUNCTION("""COMPUTED_VALUE"""),0.0)</f>
        <v>0</v>
      </c>
      <c r="K402" s="148">
        <f>IFERROR(__xludf.DUMMYFUNCTION("""COMPUTED_VALUE"""),10.0)</f>
        <v>10</v>
      </c>
      <c r="L402" s="148">
        <f>IFERROR(__xludf.DUMMYFUNCTION("""COMPUTED_VALUE"""),99.0)</f>
        <v>99</v>
      </c>
      <c r="M402" s="148">
        <f>IFERROR(__xludf.DUMMYFUNCTION("""COMPUTED_VALUE"""),0.0)</f>
        <v>0</v>
      </c>
      <c r="N402" s="148" t="str">
        <f>IFERROR(__xludf.DUMMYFUNCTION("""COMPUTED_VALUE"""),"[]")</f>
        <v>[]</v>
      </c>
      <c r="O402" s="148" t="str">
        <f>IFERROR(__xludf.DUMMYFUNCTION("""COMPUTED_VALUE"""),"{}")</f>
        <v>{}</v>
      </c>
      <c r="P402" s="148">
        <f>IFERROR(__xludf.DUMMYFUNCTION("""COMPUTED_VALUE"""),0.0)</f>
        <v>0</v>
      </c>
      <c r="Q402" s="148" t="str">
        <f>IFERROR(__xludf.DUMMYFUNCTION("""COMPUTED_VALUE"""),"[]")</f>
        <v>[]</v>
      </c>
      <c r="R402" s="148" t="str">
        <f>IFERROR(__xludf.DUMMYFUNCTION("""COMPUTED_VALUE"""),"{}")</f>
        <v>{}</v>
      </c>
      <c r="S402" s="148">
        <f>IFERROR(__xludf.DUMMYFUNCTION("""COMPUTED_VALUE"""),0.0)</f>
        <v>0</v>
      </c>
      <c r="T402" s="148" t="str">
        <f>IFERROR(__xludf.DUMMYFUNCTION("""COMPUTED_VALUE"""),"[]")</f>
        <v>[]</v>
      </c>
      <c r="U402" s="148">
        <f>IFERROR(__xludf.DUMMYFUNCTION("""COMPUTED_VALUE"""),0.0)</f>
        <v>0</v>
      </c>
      <c r="V402" s="148" t="str">
        <f>IFERROR(__xludf.DUMMYFUNCTION("""COMPUTED_VALUE"""),"{}")</f>
        <v>{}</v>
      </c>
      <c r="W402" s="148" t="str">
        <f>IFERROR(__xludf.DUMMYFUNCTION("""COMPUTED_VALUE"""),"[]")</f>
        <v>[]</v>
      </c>
      <c r="X402" s="148" t="str">
        <f>IFERROR(__xludf.DUMMYFUNCTION("""COMPUTED_VALUE"""),"[{""typ"":""power"",""id"":12141002,""val"":2}]")</f>
        <v>[{"typ":"power","id":12141002,"val":2}]</v>
      </c>
      <c r="Y402" s="148" t="str">
        <f>IFERROR(__xludf.DUMMYFUNCTION("""COMPUTED_VALUE"""),"[{""typ"":""atk"",""val"":30},{""typ"":""def"",""val"":125},{""typ"":""hp"",""val"":135},{""typ"":""speed"",""val"":50},{""typ"":""load"",""val"":20},{""typ"":""backcoef"",""val"":0.5},{""typ"":""atkcoef"",""val"":1.0},{""typ"":""atkcd"",""val"":0}]")</f>
        <v>[{"typ":"atk","val":30},{"typ":"def","val":125},{"typ":"hp","val":135},{"typ":"speed","val":50},{"typ":"load","val":20},{"typ":"backcoef","val":0.5},{"typ":"atkcoef","val":1.0},{"typ":"atkcd","val":0}]</v>
      </c>
      <c r="Z402" s="148" t="str">
        <f>IFERROR(__xludf.DUMMYFUNCTION("""COMPUTED_VALUE"""),"[]")</f>
        <v>[]</v>
      </c>
    </row>
    <row r="403">
      <c r="A403" s="148">
        <f>IFERROR(__xludf.DUMMYFUNCTION("""COMPUTED_VALUE"""),1.1219308E7)</f>
        <v>11219308</v>
      </c>
      <c r="B403" s="148" t="str">
        <f>IFERROR(__xludf.DUMMYFUNCTION("""COMPUTED_VALUE"""),"KVK-押镖单位-绿怪3")</f>
        <v>KVK-押镖单位-绿怪3</v>
      </c>
      <c r="C403" s="148">
        <f>IFERROR(__xludf.DUMMYFUNCTION("""COMPUTED_VALUE"""),1.1221004E7)</f>
        <v>11221004</v>
      </c>
      <c r="D403" s="148">
        <f>IFERROR(__xludf.DUMMYFUNCTION("""COMPUTED_VALUE"""),1.5113763E7)</f>
        <v>15113763</v>
      </c>
      <c r="E403" s="148" t="str">
        <f>IFERROR(__xludf.DUMMYFUNCTION("""COMPUTED_VALUE"""),"{""typ"":""lc"",""txt"":""LC_NPC_npc_reg_name_kvk""}")</f>
        <v>{"typ":"lc","txt":"LC_NPC_npc_reg_name_kvk"}</v>
      </c>
      <c r="F403" s="148" t="str">
        <f>IFERROR(__xludf.DUMMYFUNCTION("""COMPUTED_VALUE"""),"{""typ"":""lc"",""txt"":""LC_NPC_npc_reg_desc_kvk""}")</f>
        <v>{"typ":"lc","txt":"LC_NPC_npc_reg_desc_kvk"}</v>
      </c>
      <c r="G403" s="148">
        <f>IFERROR(__xludf.DUMMYFUNCTION("""COMPUTED_VALUE"""),10.0)</f>
        <v>10</v>
      </c>
      <c r="H403" s="148">
        <f>IFERROR(__xludf.DUMMYFUNCTION("""COMPUTED_VALUE"""),10099.0)</f>
        <v>10099</v>
      </c>
      <c r="I403" s="148">
        <f>IFERROR(__xludf.DUMMYFUNCTION("""COMPUTED_VALUE"""),10099.0)</f>
        <v>10099</v>
      </c>
      <c r="J403" s="148">
        <f>IFERROR(__xludf.DUMMYFUNCTION("""COMPUTED_VALUE"""),0.0)</f>
        <v>0</v>
      </c>
      <c r="K403" s="148">
        <f>IFERROR(__xludf.DUMMYFUNCTION("""COMPUTED_VALUE"""),10.0)</f>
        <v>10</v>
      </c>
      <c r="L403" s="148">
        <f>IFERROR(__xludf.DUMMYFUNCTION("""COMPUTED_VALUE"""),99.0)</f>
        <v>99</v>
      </c>
      <c r="M403" s="148">
        <f>IFERROR(__xludf.DUMMYFUNCTION("""COMPUTED_VALUE"""),0.0)</f>
        <v>0</v>
      </c>
      <c r="N403" s="148" t="str">
        <f>IFERROR(__xludf.DUMMYFUNCTION("""COMPUTED_VALUE"""),"[]")</f>
        <v>[]</v>
      </c>
      <c r="O403" s="148" t="str">
        <f>IFERROR(__xludf.DUMMYFUNCTION("""COMPUTED_VALUE"""),"{}")</f>
        <v>{}</v>
      </c>
      <c r="P403" s="148">
        <f>IFERROR(__xludf.DUMMYFUNCTION("""COMPUTED_VALUE"""),0.0)</f>
        <v>0</v>
      </c>
      <c r="Q403" s="148" t="str">
        <f>IFERROR(__xludf.DUMMYFUNCTION("""COMPUTED_VALUE"""),"[]")</f>
        <v>[]</v>
      </c>
      <c r="R403" s="148" t="str">
        <f>IFERROR(__xludf.DUMMYFUNCTION("""COMPUTED_VALUE"""),"{}")</f>
        <v>{}</v>
      </c>
      <c r="S403" s="148">
        <f>IFERROR(__xludf.DUMMYFUNCTION("""COMPUTED_VALUE"""),0.0)</f>
        <v>0</v>
      </c>
      <c r="T403" s="148" t="str">
        <f>IFERROR(__xludf.DUMMYFUNCTION("""COMPUTED_VALUE"""),"[]")</f>
        <v>[]</v>
      </c>
      <c r="U403" s="148">
        <f>IFERROR(__xludf.DUMMYFUNCTION("""COMPUTED_VALUE"""),0.0)</f>
        <v>0</v>
      </c>
      <c r="V403" s="148" t="str">
        <f>IFERROR(__xludf.DUMMYFUNCTION("""COMPUTED_VALUE"""),"{}")</f>
        <v>{}</v>
      </c>
      <c r="W403" s="148" t="str">
        <f>IFERROR(__xludf.DUMMYFUNCTION("""COMPUTED_VALUE"""),"[]")</f>
        <v>[]</v>
      </c>
      <c r="X403" s="148" t="str">
        <f>IFERROR(__xludf.DUMMYFUNCTION("""COMPUTED_VALUE"""),"[{""typ"":""power"",""id"":12141002,""val"":2}]")</f>
        <v>[{"typ":"power","id":12141002,"val":2}]</v>
      </c>
      <c r="Y403" s="148" t="str">
        <f>IFERROR(__xludf.DUMMYFUNCTION("""COMPUTED_VALUE"""),"[{""typ"":""atk"",""val"":60},{""typ"":""def"",""val"":125},{""typ"":""hp"",""val"":135},{""typ"":""speed"",""val"":50},{""typ"":""load"",""val"":20},{""typ"":""backcoef"",""val"":0.5},{""typ"":""atkcoef"",""val"":1.0},{""typ"":""atkcd"",""val"":0}]")</f>
        <v>[{"typ":"atk","val":60},{"typ":"def","val":125},{"typ":"hp","val":135},{"typ":"speed","val":50},{"typ":"load","val":20},{"typ":"backcoef","val":0.5},{"typ":"atkcoef","val":1.0},{"typ":"atkcd","val":0}]</v>
      </c>
      <c r="Z403" s="148" t="str">
        <f>IFERROR(__xludf.DUMMYFUNCTION("""COMPUTED_VALUE"""),"[]")</f>
        <v>[]</v>
      </c>
    </row>
    <row r="404">
      <c r="A404" s="148">
        <f>IFERROR(__xludf.DUMMYFUNCTION("""COMPUTED_VALUE"""),1.1219309E7)</f>
        <v>11219309</v>
      </c>
      <c r="B404" s="148" t="str">
        <f>IFERROR(__xludf.DUMMYFUNCTION("""COMPUTED_VALUE"""),"KVK-押镖单位-绿怪4")</f>
        <v>KVK-押镖单位-绿怪4</v>
      </c>
      <c r="C404" s="148">
        <f>IFERROR(__xludf.DUMMYFUNCTION("""COMPUTED_VALUE"""),1.1221004E7)</f>
        <v>11221004</v>
      </c>
      <c r="D404" s="148">
        <f>IFERROR(__xludf.DUMMYFUNCTION("""COMPUTED_VALUE"""),1.5113763E7)</f>
        <v>15113763</v>
      </c>
      <c r="E404" s="148" t="str">
        <f>IFERROR(__xludf.DUMMYFUNCTION("""COMPUTED_VALUE"""),"{""typ"":""lc"",""txt"":""LC_NPC_npc_reg_name_kvk""}")</f>
        <v>{"typ":"lc","txt":"LC_NPC_npc_reg_name_kvk"}</v>
      </c>
      <c r="F404" s="148" t="str">
        <f>IFERROR(__xludf.DUMMYFUNCTION("""COMPUTED_VALUE"""),"{""typ"":""lc"",""txt"":""LC_NPC_npc_reg_desc_kvk""}")</f>
        <v>{"typ":"lc","txt":"LC_NPC_npc_reg_desc_kvk"}</v>
      </c>
      <c r="G404" s="148">
        <f>IFERROR(__xludf.DUMMYFUNCTION("""COMPUTED_VALUE"""),10.0)</f>
        <v>10</v>
      </c>
      <c r="H404" s="148">
        <f>IFERROR(__xludf.DUMMYFUNCTION("""COMPUTED_VALUE"""),10099.0)</f>
        <v>10099</v>
      </c>
      <c r="I404" s="148">
        <f>IFERROR(__xludf.DUMMYFUNCTION("""COMPUTED_VALUE"""),10099.0)</f>
        <v>10099</v>
      </c>
      <c r="J404" s="148">
        <f>IFERROR(__xludf.DUMMYFUNCTION("""COMPUTED_VALUE"""),0.0)</f>
        <v>0</v>
      </c>
      <c r="K404" s="148">
        <f>IFERROR(__xludf.DUMMYFUNCTION("""COMPUTED_VALUE"""),10.0)</f>
        <v>10</v>
      </c>
      <c r="L404" s="148">
        <f>IFERROR(__xludf.DUMMYFUNCTION("""COMPUTED_VALUE"""),99.0)</f>
        <v>99</v>
      </c>
      <c r="M404" s="148">
        <f>IFERROR(__xludf.DUMMYFUNCTION("""COMPUTED_VALUE"""),0.0)</f>
        <v>0</v>
      </c>
      <c r="N404" s="148" t="str">
        <f>IFERROR(__xludf.DUMMYFUNCTION("""COMPUTED_VALUE"""),"[]")</f>
        <v>[]</v>
      </c>
      <c r="O404" s="148" t="str">
        <f>IFERROR(__xludf.DUMMYFUNCTION("""COMPUTED_VALUE"""),"{}")</f>
        <v>{}</v>
      </c>
      <c r="P404" s="148">
        <f>IFERROR(__xludf.DUMMYFUNCTION("""COMPUTED_VALUE"""),0.0)</f>
        <v>0</v>
      </c>
      <c r="Q404" s="148" t="str">
        <f>IFERROR(__xludf.DUMMYFUNCTION("""COMPUTED_VALUE"""),"[]")</f>
        <v>[]</v>
      </c>
      <c r="R404" s="148" t="str">
        <f>IFERROR(__xludf.DUMMYFUNCTION("""COMPUTED_VALUE"""),"{}")</f>
        <v>{}</v>
      </c>
      <c r="S404" s="148">
        <f>IFERROR(__xludf.DUMMYFUNCTION("""COMPUTED_VALUE"""),0.0)</f>
        <v>0</v>
      </c>
      <c r="T404" s="148" t="str">
        <f>IFERROR(__xludf.DUMMYFUNCTION("""COMPUTED_VALUE"""),"[]")</f>
        <v>[]</v>
      </c>
      <c r="U404" s="148">
        <f>IFERROR(__xludf.DUMMYFUNCTION("""COMPUTED_VALUE"""),0.0)</f>
        <v>0</v>
      </c>
      <c r="V404" s="148" t="str">
        <f>IFERROR(__xludf.DUMMYFUNCTION("""COMPUTED_VALUE"""),"{}")</f>
        <v>{}</v>
      </c>
      <c r="W404" s="148" t="str">
        <f>IFERROR(__xludf.DUMMYFUNCTION("""COMPUTED_VALUE"""),"[]")</f>
        <v>[]</v>
      </c>
      <c r="X404" s="148" t="str">
        <f>IFERROR(__xludf.DUMMYFUNCTION("""COMPUTED_VALUE"""),"[{""typ"":""power"",""id"":12141002,""val"":2}]")</f>
        <v>[{"typ":"power","id":12141002,"val":2}]</v>
      </c>
      <c r="Y404" s="148" t="str">
        <f>IFERROR(__xludf.DUMMYFUNCTION("""COMPUTED_VALUE"""),"[{""typ"":""atk"",""val"":150},{""typ"":""def"",""val"":125},{""typ"":""hp"",""val"":135},{""typ"":""speed"",""val"":50},{""typ"":""load"",""val"":20},{""typ"":""backcoef"",""val"":0.5},{""typ"":""atkcoef"",""val"":1.0},{""typ"":""atkcd"",""val"":0}]")</f>
        <v>[{"typ":"atk","val":150},{"typ":"def","val":125},{"typ":"hp","val":135},{"typ":"speed","val":50},{"typ":"load","val":20},{"typ":"backcoef","val":0.5},{"typ":"atkcoef","val":1.0},{"typ":"atkcd","val":0}]</v>
      </c>
      <c r="Z404" s="148" t="str">
        <f>IFERROR(__xludf.DUMMYFUNCTION("""COMPUTED_VALUE"""),"[]")</f>
        <v>[]</v>
      </c>
    </row>
    <row r="405">
      <c r="A405" s="148">
        <f>IFERROR(__xludf.DUMMYFUNCTION("""COMPUTED_VALUE"""),1.121931E7)</f>
        <v>11219310</v>
      </c>
      <c r="B405" s="148" t="str">
        <f>IFERROR(__xludf.DUMMYFUNCTION("""COMPUTED_VALUE"""),"KVK-押镖单位-绿怪5")</f>
        <v>KVK-押镖单位-绿怪5</v>
      </c>
      <c r="C405" s="148">
        <f>IFERROR(__xludf.DUMMYFUNCTION("""COMPUTED_VALUE"""),1.1221004E7)</f>
        <v>11221004</v>
      </c>
      <c r="D405" s="148">
        <f>IFERROR(__xludf.DUMMYFUNCTION("""COMPUTED_VALUE"""),1.5113763E7)</f>
        <v>15113763</v>
      </c>
      <c r="E405" s="148" t="str">
        <f>IFERROR(__xludf.DUMMYFUNCTION("""COMPUTED_VALUE"""),"{""typ"":""lc"",""txt"":""LC_NPC_npc_reg_name_kvk""}")</f>
        <v>{"typ":"lc","txt":"LC_NPC_npc_reg_name_kvk"}</v>
      </c>
      <c r="F405" s="148" t="str">
        <f>IFERROR(__xludf.DUMMYFUNCTION("""COMPUTED_VALUE"""),"{""typ"":""lc"",""txt"":""LC_NPC_npc_reg_desc_kvk""}")</f>
        <v>{"typ":"lc","txt":"LC_NPC_npc_reg_desc_kvk"}</v>
      </c>
      <c r="G405" s="148">
        <f>IFERROR(__xludf.DUMMYFUNCTION("""COMPUTED_VALUE"""),10.0)</f>
        <v>10</v>
      </c>
      <c r="H405" s="148">
        <f>IFERROR(__xludf.DUMMYFUNCTION("""COMPUTED_VALUE"""),10099.0)</f>
        <v>10099</v>
      </c>
      <c r="I405" s="148">
        <f>IFERROR(__xludf.DUMMYFUNCTION("""COMPUTED_VALUE"""),10099.0)</f>
        <v>10099</v>
      </c>
      <c r="J405" s="148">
        <f>IFERROR(__xludf.DUMMYFUNCTION("""COMPUTED_VALUE"""),0.0)</f>
        <v>0</v>
      </c>
      <c r="K405" s="148">
        <f>IFERROR(__xludf.DUMMYFUNCTION("""COMPUTED_VALUE"""),10.0)</f>
        <v>10</v>
      </c>
      <c r="L405" s="148">
        <f>IFERROR(__xludf.DUMMYFUNCTION("""COMPUTED_VALUE"""),99.0)</f>
        <v>99</v>
      </c>
      <c r="M405" s="148">
        <f>IFERROR(__xludf.DUMMYFUNCTION("""COMPUTED_VALUE"""),0.0)</f>
        <v>0</v>
      </c>
      <c r="N405" s="148" t="str">
        <f>IFERROR(__xludf.DUMMYFUNCTION("""COMPUTED_VALUE"""),"[]")</f>
        <v>[]</v>
      </c>
      <c r="O405" s="148" t="str">
        <f>IFERROR(__xludf.DUMMYFUNCTION("""COMPUTED_VALUE"""),"{}")</f>
        <v>{}</v>
      </c>
      <c r="P405" s="148">
        <f>IFERROR(__xludf.DUMMYFUNCTION("""COMPUTED_VALUE"""),0.0)</f>
        <v>0</v>
      </c>
      <c r="Q405" s="148" t="str">
        <f>IFERROR(__xludf.DUMMYFUNCTION("""COMPUTED_VALUE"""),"[]")</f>
        <v>[]</v>
      </c>
      <c r="R405" s="148" t="str">
        <f>IFERROR(__xludf.DUMMYFUNCTION("""COMPUTED_VALUE"""),"{}")</f>
        <v>{}</v>
      </c>
      <c r="S405" s="148">
        <f>IFERROR(__xludf.DUMMYFUNCTION("""COMPUTED_VALUE"""),0.0)</f>
        <v>0</v>
      </c>
      <c r="T405" s="148" t="str">
        <f>IFERROR(__xludf.DUMMYFUNCTION("""COMPUTED_VALUE"""),"[]")</f>
        <v>[]</v>
      </c>
      <c r="U405" s="148">
        <f>IFERROR(__xludf.DUMMYFUNCTION("""COMPUTED_VALUE"""),0.0)</f>
        <v>0</v>
      </c>
      <c r="V405" s="148" t="str">
        <f>IFERROR(__xludf.DUMMYFUNCTION("""COMPUTED_VALUE"""),"{}")</f>
        <v>{}</v>
      </c>
      <c r="W405" s="148" t="str">
        <f>IFERROR(__xludf.DUMMYFUNCTION("""COMPUTED_VALUE"""),"[]")</f>
        <v>[]</v>
      </c>
      <c r="X405" s="148" t="str">
        <f>IFERROR(__xludf.DUMMYFUNCTION("""COMPUTED_VALUE"""),"[{""typ"":""power"",""id"":12141002,""val"":2}]")</f>
        <v>[{"typ":"power","id":12141002,"val":2}]</v>
      </c>
      <c r="Y405" s="148" t="str">
        <f>IFERROR(__xludf.DUMMYFUNCTION("""COMPUTED_VALUE"""),"[{""typ"":""atk"",""val"":200},{""typ"":""def"",""val"":125},{""typ"":""hp"",""val"":135},{""typ"":""speed"",""val"":50},{""typ"":""load"",""val"":20},{""typ"":""backcoef"",""val"":0.5},{""typ"":""atkcoef"",""val"":1.0},{""typ"":""atkcd"",""val"":0}]")</f>
        <v>[{"typ":"atk","val":200},{"typ":"def","val":125},{"typ":"hp","val":135},{"typ":"speed","val":50},{"typ":"load","val":20},{"typ":"backcoef","val":0.5},{"typ":"atkcoef","val":1.0},{"typ":"atkcd","val":0}]</v>
      </c>
      <c r="Z405" s="148" t="str">
        <f>IFERROR(__xludf.DUMMYFUNCTION("""COMPUTED_VALUE"""),"[]")</f>
        <v>[]</v>
      </c>
    </row>
    <row r="406">
      <c r="A406" s="148">
        <f>IFERROR(__xludf.DUMMYFUNCTION("""COMPUTED_VALUE"""),1.1219311E7)</f>
        <v>11219311</v>
      </c>
      <c r="B406" s="148" t="str">
        <f>IFERROR(__xludf.DUMMYFUNCTION("""COMPUTED_VALUE"""),"KVK-押镖单位-精英1")</f>
        <v>KVK-押镖单位-精英1</v>
      </c>
      <c r="C406" s="148">
        <f>IFERROR(__xludf.DUMMYFUNCTION("""COMPUTED_VALUE"""),1.1221004E7)</f>
        <v>11221004</v>
      </c>
      <c r="D406" s="148">
        <f>IFERROR(__xludf.DUMMYFUNCTION("""COMPUTED_VALUE"""),1.5113833E7)</f>
        <v>15113833</v>
      </c>
      <c r="E406" s="148" t="str">
        <f>IFERROR(__xludf.DUMMYFUNCTION("""COMPUTED_VALUE"""),"{""typ"":""lc"",""txt"":""LC_NPC_npc_reg_name_kvk""}")</f>
        <v>{"typ":"lc","txt":"LC_NPC_npc_reg_name_kvk"}</v>
      </c>
      <c r="F406" s="148" t="str">
        <f>IFERROR(__xludf.DUMMYFUNCTION("""COMPUTED_VALUE"""),"{""typ"":""lc"",""txt"":""LC_NPC_npc_reg_desc_kvk""}")</f>
        <v>{"typ":"lc","txt":"LC_NPC_npc_reg_desc_kvk"}</v>
      </c>
      <c r="G406" s="148">
        <f>IFERROR(__xludf.DUMMYFUNCTION("""COMPUTED_VALUE"""),10.0)</f>
        <v>10</v>
      </c>
      <c r="H406" s="148">
        <f>IFERROR(__xludf.DUMMYFUNCTION("""COMPUTED_VALUE"""),10099.0)</f>
        <v>10099</v>
      </c>
      <c r="I406" s="148">
        <f>IFERROR(__xludf.DUMMYFUNCTION("""COMPUTED_VALUE"""),10099.0)</f>
        <v>10099</v>
      </c>
      <c r="J406" s="148">
        <f>IFERROR(__xludf.DUMMYFUNCTION("""COMPUTED_VALUE"""),0.0)</f>
        <v>0</v>
      </c>
      <c r="K406" s="148">
        <f>IFERROR(__xludf.DUMMYFUNCTION("""COMPUTED_VALUE"""),10.0)</f>
        <v>10</v>
      </c>
      <c r="L406" s="148">
        <f>IFERROR(__xludf.DUMMYFUNCTION("""COMPUTED_VALUE"""),99.0)</f>
        <v>99</v>
      </c>
      <c r="M406" s="148">
        <f>IFERROR(__xludf.DUMMYFUNCTION("""COMPUTED_VALUE"""),0.0)</f>
        <v>0</v>
      </c>
      <c r="N406" s="148" t="str">
        <f>IFERROR(__xludf.DUMMYFUNCTION("""COMPUTED_VALUE"""),"[]")</f>
        <v>[]</v>
      </c>
      <c r="O406" s="148" t="str">
        <f>IFERROR(__xludf.DUMMYFUNCTION("""COMPUTED_VALUE"""),"{}")</f>
        <v>{}</v>
      </c>
      <c r="P406" s="148">
        <f>IFERROR(__xludf.DUMMYFUNCTION("""COMPUTED_VALUE"""),0.0)</f>
        <v>0</v>
      </c>
      <c r="Q406" s="148" t="str">
        <f>IFERROR(__xludf.DUMMYFUNCTION("""COMPUTED_VALUE"""),"[]")</f>
        <v>[]</v>
      </c>
      <c r="R406" s="148" t="str">
        <f>IFERROR(__xludf.DUMMYFUNCTION("""COMPUTED_VALUE"""),"{}")</f>
        <v>{}</v>
      </c>
      <c r="S406" s="148">
        <f>IFERROR(__xludf.DUMMYFUNCTION("""COMPUTED_VALUE"""),0.0)</f>
        <v>0</v>
      </c>
      <c r="T406" s="148" t="str">
        <f>IFERROR(__xludf.DUMMYFUNCTION("""COMPUTED_VALUE"""),"[]")</f>
        <v>[]</v>
      </c>
      <c r="U406" s="148">
        <f>IFERROR(__xludf.DUMMYFUNCTION("""COMPUTED_VALUE"""),0.0)</f>
        <v>0</v>
      </c>
      <c r="V406" s="148" t="str">
        <f>IFERROR(__xludf.DUMMYFUNCTION("""COMPUTED_VALUE"""),"{}")</f>
        <v>{}</v>
      </c>
      <c r="W406" s="148" t="str">
        <f>IFERROR(__xludf.DUMMYFUNCTION("""COMPUTED_VALUE"""),"[]")</f>
        <v>[]</v>
      </c>
      <c r="X406" s="148" t="str">
        <f>IFERROR(__xludf.DUMMYFUNCTION("""COMPUTED_VALUE"""),"[{""typ"":""power"",""id"":12141002,""val"":5}]")</f>
        <v>[{"typ":"power","id":12141002,"val":5}]</v>
      </c>
      <c r="Y406" s="148" t="str">
        <f>IFERROR(__xludf.DUMMYFUNCTION("""COMPUTED_VALUE"""),"[{""typ"":""atk"",""val"":18},{""typ"":""def"",""val"":125},{""typ"":""hp"",""val"":135},{""typ"":""speed"",""val"":50},{""typ"":""load"",""val"":20},{""typ"":""backcoef"",""val"":0.5},{""typ"":""atkcoef"",""val"":1.0},{""typ"":""atkcd"",""val"":0}]")</f>
        <v>[{"typ":"atk","val":18},{"typ":"def","val":125},{"typ":"hp","val":135},{"typ":"speed","val":50},{"typ":"load","val":20},{"typ":"backcoef","val":0.5},{"typ":"atkcoef","val":1.0},{"typ":"atkcd","val":0}]</v>
      </c>
      <c r="Z406" s="148" t="str">
        <f>IFERROR(__xludf.DUMMYFUNCTION("""COMPUTED_VALUE"""),"[]")</f>
        <v>[]</v>
      </c>
    </row>
    <row r="407">
      <c r="A407" s="148">
        <f>IFERROR(__xludf.DUMMYFUNCTION("""COMPUTED_VALUE"""),1.1219312E7)</f>
        <v>11219312</v>
      </c>
      <c r="B407" s="148" t="str">
        <f>IFERROR(__xludf.DUMMYFUNCTION("""COMPUTED_VALUE"""),"KVK-押镖单位-精英2")</f>
        <v>KVK-押镖单位-精英2</v>
      </c>
      <c r="C407" s="148">
        <f>IFERROR(__xludf.DUMMYFUNCTION("""COMPUTED_VALUE"""),1.1221004E7)</f>
        <v>11221004</v>
      </c>
      <c r="D407" s="148">
        <f>IFERROR(__xludf.DUMMYFUNCTION("""COMPUTED_VALUE"""),1.5113833E7)</f>
        <v>15113833</v>
      </c>
      <c r="E407" s="148" t="str">
        <f>IFERROR(__xludf.DUMMYFUNCTION("""COMPUTED_VALUE"""),"{""typ"":""lc"",""txt"":""LC_NPC_npc_reg_name_kvk""}")</f>
        <v>{"typ":"lc","txt":"LC_NPC_npc_reg_name_kvk"}</v>
      </c>
      <c r="F407" s="148" t="str">
        <f>IFERROR(__xludf.DUMMYFUNCTION("""COMPUTED_VALUE"""),"{""typ"":""lc"",""txt"":""LC_NPC_npc_reg_desc_kvk""}")</f>
        <v>{"typ":"lc","txt":"LC_NPC_npc_reg_desc_kvk"}</v>
      </c>
      <c r="G407" s="148">
        <f>IFERROR(__xludf.DUMMYFUNCTION("""COMPUTED_VALUE"""),10.0)</f>
        <v>10</v>
      </c>
      <c r="H407" s="148">
        <f>IFERROR(__xludf.DUMMYFUNCTION("""COMPUTED_VALUE"""),10099.0)</f>
        <v>10099</v>
      </c>
      <c r="I407" s="148">
        <f>IFERROR(__xludf.DUMMYFUNCTION("""COMPUTED_VALUE"""),10099.0)</f>
        <v>10099</v>
      </c>
      <c r="J407" s="148">
        <f>IFERROR(__xludf.DUMMYFUNCTION("""COMPUTED_VALUE"""),0.0)</f>
        <v>0</v>
      </c>
      <c r="K407" s="148">
        <f>IFERROR(__xludf.DUMMYFUNCTION("""COMPUTED_VALUE"""),10.0)</f>
        <v>10</v>
      </c>
      <c r="L407" s="148">
        <f>IFERROR(__xludf.DUMMYFUNCTION("""COMPUTED_VALUE"""),99.0)</f>
        <v>99</v>
      </c>
      <c r="M407" s="148">
        <f>IFERROR(__xludf.DUMMYFUNCTION("""COMPUTED_VALUE"""),0.0)</f>
        <v>0</v>
      </c>
      <c r="N407" s="148" t="str">
        <f>IFERROR(__xludf.DUMMYFUNCTION("""COMPUTED_VALUE"""),"[]")</f>
        <v>[]</v>
      </c>
      <c r="O407" s="148" t="str">
        <f>IFERROR(__xludf.DUMMYFUNCTION("""COMPUTED_VALUE"""),"{}")</f>
        <v>{}</v>
      </c>
      <c r="P407" s="148">
        <f>IFERROR(__xludf.DUMMYFUNCTION("""COMPUTED_VALUE"""),0.0)</f>
        <v>0</v>
      </c>
      <c r="Q407" s="148" t="str">
        <f>IFERROR(__xludf.DUMMYFUNCTION("""COMPUTED_VALUE"""),"[]")</f>
        <v>[]</v>
      </c>
      <c r="R407" s="148" t="str">
        <f>IFERROR(__xludf.DUMMYFUNCTION("""COMPUTED_VALUE"""),"{}")</f>
        <v>{}</v>
      </c>
      <c r="S407" s="148">
        <f>IFERROR(__xludf.DUMMYFUNCTION("""COMPUTED_VALUE"""),0.0)</f>
        <v>0</v>
      </c>
      <c r="T407" s="148" t="str">
        <f>IFERROR(__xludf.DUMMYFUNCTION("""COMPUTED_VALUE"""),"[]")</f>
        <v>[]</v>
      </c>
      <c r="U407" s="148">
        <f>IFERROR(__xludf.DUMMYFUNCTION("""COMPUTED_VALUE"""),0.0)</f>
        <v>0</v>
      </c>
      <c r="V407" s="148" t="str">
        <f>IFERROR(__xludf.DUMMYFUNCTION("""COMPUTED_VALUE"""),"{}")</f>
        <v>{}</v>
      </c>
      <c r="W407" s="148" t="str">
        <f>IFERROR(__xludf.DUMMYFUNCTION("""COMPUTED_VALUE"""),"[]")</f>
        <v>[]</v>
      </c>
      <c r="X407" s="148" t="str">
        <f>IFERROR(__xludf.DUMMYFUNCTION("""COMPUTED_VALUE"""),"[{""typ"":""power"",""id"":12141002,""val"":5}]")</f>
        <v>[{"typ":"power","id":12141002,"val":5}]</v>
      </c>
      <c r="Y407" s="148" t="str">
        <f>IFERROR(__xludf.DUMMYFUNCTION("""COMPUTED_VALUE"""),"[{""typ"":""atk"",""val"":36},{""typ"":""def"",""val"":125},{""typ"":""hp"",""val"":135},{""typ"":""speed"",""val"":50},{""typ"":""load"",""val"":20},{""typ"":""backcoef"",""val"":0.5},{""typ"":""atkcoef"",""val"":1.0},{""typ"":""atkcd"",""val"":0}]")</f>
        <v>[{"typ":"atk","val":36},{"typ":"def","val":125},{"typ":"hp","val":135},{"typ":"speed","val":50},{"typ":"load","val":20},{"typ":"backcoef","val":0.5},{"typ":"atkcoef","val":1.0},{"typ":"atkcd","val":0}]</v>
      </c>
      <c r="Z407" s="148" t="str">
        <f>IFERROR(__xludf.DUMMYFUNCTION("""COMPUTED_VALUE"""),"[]")</f>
        <v>[]</v>
      </c>
    </row>
    <row r="408">
      <c r="A408" s="148">
        <f>IFERROR(__xludf.DUMMYFUNCTION("""COMPUTED_VALUE"""),1.1219313E7)</f>
        <v>11219313</v>
      </c>
      <c r="B408" s="148" t="str">
        <f>IFERROR(__xludf.DUMMYFUNCTION("""COMPUTED_VALUE"""),"KVK-押镖单位-精英3")</f>
        <v>KVK-押镖单位-精英3</v>
      </c>
      <c r="C408" s="148">
        <f>IFERROR(__xludf.DUMMYFUNCTION("""COMPUTED_VALUE"""),1.1221004E7)</f>
        <v>11221004</v>
      </c>
      <c r="D408" s="148">
        <f>IFERROR(__xludf.DUMMYFUNCTION("""COMPUTED_VALUE"""),1.5113833E7)</f>
        <v>15113833</v>
      </c>
      <c r="E408" s="148" t="str">
        <f>IFERROR(__xludf.DUMMYFUNCTION("""COMPUTED_VALUE"""),"{""typ"":""lc"",""txt"":""LC_NPC_npc_reg_name_kvk""}")</f>
        <v>{"typ":"lc","txt":"LC_NPC_npc_reg_name_kvk"}</v>
      </c>
      <c r="F408" s="148" t="str">
        <f>IFERROR(__xludf.DUMMYFUNCTION("""COMPUTED_VALUE"""),"{""typ"":""lc"",""txt"":""LC_NPC_npc_reg_desc_kvk""}")</f>
        <v>{"typ":"lc","txt":"LC_NPC_npc_reg_desc_kvk"}</v>
      </c>
      <c r="G408" s="148">
        <f>IFERROR(__xludf.DUMMYFUNCTION("""COMPUTED_VALUE"""),10.0)</f>
        <v>10</v>
      </c>
      <c r="H408" s="148">
        <f>IFERROR(__xludf.DUMMYFUNCTION("""COMPUTED_VALUE"""),10099.0)</f>
        <v>10099</v>
      </c>
      <c r="I408" s="148">
        <f>IFERROR(__xludf.DUMMYFUNCTION("""COMPUTED_VALUE"""),10099.0)</f>
        <v>10099</v>
      </c>
      <c r="J408" s="148">
        <f>IFERROR(__xludf.DUMMYFUNCTION("""COMPUTED_VALUE"""),0.0)</f>
        <v>0</v>
      </c>
      <c r="K408" s="148">
        <f>IFERROR(__xludf.DUMMYFUNCTION("""COMPUTED_VALUE"""),10.0)</f>
        <v>10</v>
      </c>
      <c r="L408" s="148">
        <f>IFERROR(__xludf.DUMMYFUNCTION("""COMPUTED_VALUE"""),99.0)</f>
        <v>99</v>
      </c>
      <c r="M408" s="148">
        <f>IFERROR(__xludf.DUMMYFUNCTION("""COMPUTED_VALUE"""),0.0)</f>
        <v>0</v>
      </c>
      <c r="N408" s="148" t="str">
        <f>IFERROR(__xludf.DUMMYFUNCTION("""COMPUTED_VALUE"""),"[]")</f>
        <v>[]</v>
      </c>
      <c r="O408" s="148" t="str">
        <f>IFERROR(__xludf.DUMMYFUNCTION("""COMPUTED_VALUE"""),"{}")</f>
        <v>{}</v>
      </c>
      <c r="P408" s="148">
        <f>IFERROR(__xludf.DUMMYFUNCTION("""COMPUTED_VALUE"""),0.0)</f>
        <v>0</v>
      </c>
      <c r="Q408" s="148" t="str">
        <f>IFERROR(__xludf.DUMMYFUNCTION("""COMPUTED_VALUE"""),"[]")</f>
        <v>[]</v>
      </c>
      <c r="R408" s="148" t="str">
        <f>IFERROR(__xludf.DUMMYFUNCTION("""COMPUTED_VALUE"""),"{}")</f>
        <v>{}</v>
      </c>
      <c r="S408" s="148">
        <f>IFERROR(__xludf.DUMMYFUNCTION("""COMPUTED_VALUE"""),0.0)</f>
        <v>0</v>
      </c>
      <c r="T408" s="148" t="str">
        <f>IFERROR(__xludf.DUMMYFUNCTION("""COMPUTED_VALUE"""),"[]")</f>
        <v>[]</v>
      </c>
      <c r="U408" s="148">
        <f>IFERROR(__xludf.DUMMYFUNCTION("""COMPUTED_VALUE"""),0.0)</f>
        <v>0</v>
      </c>
      <c r="V408" s="148" t="str">
        <f>IFERROR(__xludf.DUMMYFUNCTION("""COMPUTED_VALUE"""),"{}")</f>
        <v>{}</v>
      </c>
      <c r="W408" s="148" t="str">
        <f>IFERROR(__xludf.DUMMYFUNCTION("""COMPUTED_VALUE"""),"[]")</f>
        <v>[]</v>
      </c>
      <c r="X408" s="148" t="str">
        <f>IFERROR(__xludf.DUMMYFUNCTION("""COMPUTED_VALUE"""),"[{""typ"":""power"",""id"":12141002,""val"":5}]")</f>
        <v>[{"typ":"power","id":12141002,"val":5}]</v>
      </c>
      <c r="Y408" s="148" t="str">
        <f>IFERROR(__xludf.DUMMYFUNCTION("""COMPUTED_VALUE"""),"[{""typ"":""atk"",""val"":72},{""typ"":""def"",""val"":125},{""typ"":""hp"",""val"":135},{""typ"":""speed"",""val"":50},{""typ"":""load"",""val"":20},{""typ"":""backcoef"",""val"":0.5},{""typ"":""atkcoef"",""val"":1.0},{""typ"":""atkcd"",""val"":0}]")</f>
        <v>[{"typ":"atk","val":72},{"typ":"def","val":125},{"typ":"hp","val":135},{"typ":"speed","val":50},{"typ":"load","val":20},{"typ":"backcoef","val":0.5},{"typ":"atkcoef","val":1.0},{"typ":"atkcd","val":0}]</v>
      </c>
      <c r="Z408" s="148" t="str">
        <f>IFERROR(__xludf.DUMMYFUNCTION("""COMPUTED_VALUE"""),"[]")</f>
        <v>[]</v>
      </c>
    </row>
    <row r="409">
      <c r="A409" s="148">
        <f>IFERROR(__xludf.DUMMYFUNCTION("""COMPUTED_VALUE"""),1.1219314E7)</f>
        <v>11219314</v>
      </c>
      <c r="B409" s="148" t="str">
        <f>IFERROR(__xludf.DUMMYFUNCTION("""COMPUTED_VALUE"""),"KVK-押镖单位-精英4")</f>
        <v>KVK-押镖单位-精英4</v>
      </c>
      <c r="C409" s="148">
        <f>IFERROR(__xludf.DUMMYFUNCTION("""COMPUTED_VALUE"""),1.1221004E7)</f>
        <v>11221004</v>
      </c>
      <c r="D409" s="148">
        <f>IFERROR(__xludf.DUMMYFUNCTION("""COMPUTED_VALUE"""),1.5113833E7)</f>
        <v>15113833</v>
      </c>
      <c r="E409" s="148" t="str">
        <f>IFERROR(__xludf.DUMMYFUNCTION("""COMPUTED_VALUE"""),"{""typ"":""lc"",""txt"":""LC_NPC_npc_reg_name_kvk""}")</f>
        <v>{"typ":"lc","txt":"LC_NPC_npc_reg_name_kvk"}</v>
      </c>
      <c r="F409" s="148" t="str">
        <f>IFERROR(__xludf.DUMMYFUNCTION("""COMPUTED_VALUE"""),"{""typ"":""lc"",""txt"":""LC_NPC_npc_reg_desc_kvk""}")</f>
        <v>{"typ":"lc","txt":"LC_NPC_npc_reg_desc_kvk"}</v>
      </c>
      <c r="G409" s="148">
        <f>IFERROR(__xludf.DUMMYFUNCTION("""COMPUTED_VALUE"""),10.0)</f>
        <v>10</v>
      </c>
      <c r="H409" s="148">
        <f>IFERROR(__xludf.DUMMYFUNCTION("""COMPUTED_VALUE"""),10099.0)</f>
        <v>10099</v>
      </c>
      <c r="I409" s="148">
        <f>IFERROR(__xludf.DUMMYFUNCTION("""COMPUTED_VALUE"""),10099.0)</f>
        <v>10099</v>
      </c>
      <c r="J409" s="148">
        <f>IFERROR(__xludf.DUMMYFUNCTION("""COMPUTED_VALUE"""),0.0)</f>
        <v>0</v>
      </c>
      <c r="K409" s="148">
        <f>IFERROR(__xludf.DUMMYFUNCTION("""COMPUTED_VALUE"""),10.0)</f>
        <v>10</v>
      </c>
      <c r="L409" s="148">
        <f>IFERROR(__xludf.DUMMYFUNCTION("""COMPUTED_VALUE"""),99.0)</f>
        <v>99</v>
      </c>
      <c r="M409" s="148">
        <f>IFERROR(__xludf.DUMMYFUNCTION("""COMPUTED_VALUE"""),0.0)</f>
        <v>0</v>
      </c>
      <c r="N409" s="148" t="str">
        <f>IFERROR(__xludf.DUMMYFUNCTION("""COMPUTED_VALUE"""),"[]")</f>
        <v>[]</v>
      </c>
      <c r="O409" s="148" t="str">
        <f>IFERROR(__xludf.DUMMYFUNCTION("""COMPUTED_VALUE"""),"{}")</f>
        <v>{}</v>
      </c>
      <c r="P409" s="148">
        <f>IFERROR(__xludf.DUMMYFUNCTION("""COMPUTED_VALUE"""),0.0)</f>
        <v>0</v>
      </c>
      <c r="Q409" s="148" t="str">
        <f>IFERROR(__xludf.DUMMYFUNCTION("""COMPUTED_VALUE"""),"[]")</f>
        <v>[]</v>
      </c>
      <c r="R409" s="148" t="str">
        <f>IFERROR(__xludf.DUMMYFUNCTION("""COMPUTED_VALUE"""),"{}")</f>
        <v>{}</v>
      </c>
      <c r="S409" s="148">
        <f>IFERROR(__xludf.DUMMYFUNCTION("""COMPUTED_VALUE"""),0.0)</f>
        <v>0</v>
      </c>
      <c r="T409" s="148" t="str">
        <f>IFERROR(__xludf.DUMMYFUNCTION("""COMPUTED_VALUE"""),"[]")</f>
        <v>[]</v>
      </c>
      <c r="U409" s="148">
        <f>IFERROR(__xludf.DUMMYFUNCTION("""COMPUTED_VALUE"""),0.0)</f>
        <v>0</v>
      </c>
      <c r="V409" s="148" t="str">
        <f>IFERROR(__xludf.DUMMYFUNCTION("""COMPUTED_VALUE"""),"{}")</f>
        <v>{}</v>
      </c>
      <c r="W409" s="148" t="str">
        <f>IFERROR(__xludf.DUMMYFUNCTION("""COMPUTED_VALUE"""),"[]")</f>
        <v>[]</v>
      </c>
      <c r="X409" s="148" t="str">
        <f>IFERROR(__xludf.DUMMYFUNCTION("""COMPUTED_VALUE"""),"[{""typ"":""power"",""id"":12141002,""val"":5}]")</f>
        <v>[{"typ":"power","id":12141002,"val":5}]</v>
      </c>
      <c r="Y409" s="148" t="str">
        <f>IFERROR(__xludf.DUMMYFUNCTION("""COMPUTED_VALUE"""),"[{""typ"":""atk"",""val"":180},{""typ"":""def"",""val"":125},{""typ"":""hp"",""val"":135},{""typ"":""speed"",""val"":50},{""typ"":""load"",""val"":20},{""typ"":""backcoef"",""val"":0.5},{""typ"":""atkcoef"",""val"":1.0},{""typ"":""atkcd"",""val"":0}]")</f>
        <v>[{"typ":"atk","val":180},{"typ":"def","val":125},{"typ":"hp","val":135},{"typ":"speed","val":50},{"typ":"load","val":20},{"typ":"backcoef","val":0.5},{"typ":"atkcoef","val":1.0},{"typ":"atkcd","val":0}]</v>
      </c>
      <c r="Z409" s="148" t="str">
        <f>IFERROR(__xludf.DUMMYFUNCTION("""COMPUTED_VALUE"""),"[]")</f>
        <v>[]</v>
      </c>
    </row>
    <row r="410">
      <c r="A410" s="148">
        <f>IFERROR(__xludf.DUMMYFUNCTION("""COMPUTED_VALUE"""),1.1219315E7)</f>
        <v>11219315</v>
      </c>
      <c r="B410" s="148" t="str">
        <f>IFERROR(__xludf.DUMMYFUNCTION("""COMPUTED_VALUE"""),"KVK-押镖单位-精英5")</f>
        <v>KVK-押镖单位-精英5</v>
      </c>
      <c r="C410" s="148">
        <f>IFERROR(__xludf.DUMMYFUNCTION("""COMPUTED_VALUE"""),1.1221004E7)</f>
        <v>11221004</v>
      </c>
      <c r="D410" s="148">
        <f>IFERROR(__xludf.DUMMYFUNCTION("""COMPUTED_VALUE"""),1.5113833E7)</f>
        <v>15113833</v>
      </c>
      <c r="E410" s="148" t="str">
        <f>IFERROR(__xludf.DUMMYFUNCTION("""COMPUTED_VALUE"""),"{""typ"":""lc"",""txt"":""LC_NPC_npc_reg_name_kvk""}")</f>
        <v>{"typ":"lc","txt":"LC_NPC_npc_reg_name_kvk"}</v>
      </c>
      <c r="F410" s="148" t="str">
        <f>IFERROR(__xludf.DUMMYFUNCTION("""COMPUTED_VALUE"""),"{""typ"":""lc"",""txt"":""LC_NPC_npc_reg_desc_kvk""}")</f>
        <v>{"typ":"lc","txt":"LC_NPC_npc_reg_desc_kvk"}</v>
      </c>
      <c r="G410" s="148">
        <f>IFERROR(__xludf.DUMMYFUNCTION("""COMPUTED_VALUE"""),10.0)</f>
        <v>10</v>
      </c>
      <c r="H410" s="148">
        <f>IFERROR(__xludf.DUMMYFUNCTION("""COMPUTED_VALUE"""),10099.0)</f>
        <v>10099</v>
      </c>
      <c r="I410" s="148">
        <f>IFERROR(__xludf.DUMMYFUNCTION("""COMPUTED_VALUE"""),10099.0)</f>
        <v>10099</v>
      </c>
      <c r="J410" s="148">
        <f>IFERROR(__xludf.DUMMYFUNCTION("""COMPUTED_VALUE"""),0.0)</f>
        <v>0</v>
      </c>
      <c r="K410" s="148">
        <f>IFERROR(__xludf.DUMMYFUNCTION("""COMPUTED_VALUE"""),10.0)</f>
        <v>10</v>
      </c>
      <c r="L410" s="148">
        <f>IFERROR(__xludf.DUMMYFUNCTION("""COMPUTED_VALUE"""),99.0)</f>
        <v>99</v>
      </c>
      <c r="M410" s="148">
        <f>IFERROR(__xludf.DUMMYFUNCTION("""COMPUTED_VALUE"""),0.0)</f>
        <v>0</v>
      </c>
      <c r="N410" s="148" t="str">
        <f>IFERROR(__xludf.DUMMYFUNCTION("""COMPUTED_VALUE"""),"[]")</f>
        <v>[]</v>
      </c>
      <c r="O410" s="148" t="str">
        <f>IFERROR(__xludf.DUMMYFUNCTION("""COMPUTED_VALUE"""),"{}")</f>
        <v>{}</v>
      </c>
      <c r="P410" s="148">
        <f>IFERROR(__xludf.DUMMYFUNCTION("""COMPUTED_VALUE"""),0.0)</f>
        <v>0</v>
      </c>
      <c r="Q410" s="148" t="str">
        <f>IFERROR(__xludf.DUMMYFUNCTION("""COMPUTED_VALUE"""),"[]")</f>
        <v>[]</v>
      </c>
      <c r="R410" s="148" t="str">
        <f>IFERROR(__xludf.DUMMYFUNCTION("""COMPUTED_VALUE"""),"{}")</f>
        <v>{}</v>
      </c>
      <c r="S410" s="148">
        <f>IFERROR(__xludf.DUMMYFUNCTION("""COMPUTED_VALUE"""),0.0)</f>
        <v>0</v>
      </c>
      <c r="T410" s="148" t="str">
        <f>IFERROR(__xludf.DUMMYFUNCTION("""COMPUTED_VALUE"""),"[]")</f>
        <v>[]</v>
      </c>
      <c r="U410" s="148">
        <f>IFERROR(__xludf.DUMMYFUNCTION("""COMPUTED_VALUE"""),0.0)</f>
        <v>0</v>
      </c>
      <c r="V410" s="148" t="str">
        <f>IFERROR(__xludf.DUMMYFUNCTION("""COMPUTED_VALUE"""),"{}")</f>
        <v>{}</v>
      </c>
      <c r="W410" s="148" t="str">
        <f>IFERROR(__xludf.DUMMYFUNCTION("""COMPUTED_VALUE"""),"[]")</f>
        <v>[]</v>
      </c>
      <c r="X410" s="148" t="str">
        <f>IFERROR(__xludf.DUMMYFUNCTION("""COMPUTED_VALUE"""),"[{""typ"":""power"",""id"":12141002,""val"":5}]")</f>
        <v>[{"typ":"power","id":12141002,"val":5}]</v>
      </c>
      <c r="Y410" s="148" t="str">
        <f>IFERROR(__xludf.DUMMYFUNCTION("""COMPUTED_VALUE"""),"[{""typ"":""atk"",""val"":240},{""typ"":""def"",""val"":125},{""typ"":""hp"",""val"":135},{""typ"":""speed"",""val"":50},{""typ"":""load"",""val"":20},{""typ"":""backcoef"",""val"":0.5},{""typ"":""atkcoef"",""val"":1.0},{""typ"":""atkcd"",""val"":0}]")</f>
        <v>[{"typ":"atk","val":240},{"typ":"def","val":125},{"typ":"hp","val":135},{"typ":"speed","val":50},{"typ":"load","val":20},{"typ":"backcoef","val":0.5},{"typ":"atkcoef","val":1.0},{"typ":"atkcd","val":0}]</v>
      </c>
      <c r="Z410" s="148" t="str">
        <f>IFERROR(__xludf.DUMMYFUNCTION("""COMPUTED_VALUE"""),"[]")</f>
        <v>[]</v>
      </c>
    </row>
    <row r="411">
      <c r="A411" s="148">
        <f>IFERROR(__xludf.DUMMYFUNCTION("""COMPUTED_VALUE"""),1.1219316E7)</f>
        <v>11219316</v>
      </c>
      <c r="B411" s="148" t="str">
        <f>IFERROR(__xludf.DUMMYFUNCTION("""COMPUTED_VALUE"""),"KVK-押镖单位-BOSS1")</f>
        <v>KVK-押镖单位-BOSS1</v>
      </c>
      <c r="C411" s="148">
        <f>IFERROR(__xludf.DUMMYFUNCTION("""COMPUTED_VALUE"""),1.1221004E7)</f>
        <v>11221004</v>
      </c>
      <c r="D411" s="148">
        <f>IFERROR(__xludf.DUMMYFUNCTION("""COMPUTED_VALUE"""),1.5113953E7)</f>
        <v>15113953</v>
      </c>
      <c r="E411" s="148" t="str">
        <f>IFERROR(__xludf.DUMMYFUNCTION("""COMPUTED_VALUE"""),"{""typ"":""lc"",""txt"":""LC_NPC_npc_boss_name_kvk""}")</f>
        <v>{"typ":"lc","txt":"LC_NPC_npc_boss_name_kvk"}</v>
      </c>
      <c r="F411" s="148" t="str">
        <f>IFERROR(__xludf.DUMMYFUNCTION("""COMPUTED_VALUE"""),"{""typ"":""lc"",""txt"":""LC_NPC_npc_boss_desc_kvk""}")</f>
        <v>{"typ":"lc","txt":"LC_NPC_npc_boss_desc_kvk"}</v>
      </c>
      <c r="G411" s="148">
        <f>IFERROR(__xludf.DUMMYFUNCTION("""COMPUTED_VALUE"""),10.0)</f>
        <v>10</v>
      </c>
      <c r="H411" s="148">
        <f>IFERROR(__xludf.DUMMYFUNCTION("""COMPUTED_VALUE"""),10099.0)</f>
        <v>10099</v>
      </c>
      <c r="I411" s="148">
        <f>IFERROR(__xludf.DUMMYFUNCTION("""COMPUTED_VALUE"""),10099.0)</f>
        <v>10099</v>
      </c>
      <c r="J411" s="148">
        <f>IFERROR(__xludf.DUMMYFUNCTION("""COMPUTED_VALUE"""),0.0)</f>
        <v>0</v>
      </c>
      <c r="K411" s="148">
        <f>IFERROR(__xludf.DUMMYFUNCTION("""COMPUTED_VALUE"""),10.0)</f>
        <v>10</v>
      </c>
      <c r="L411" s="148">
        <f>IFERROR(__xludf.DUMMYFUNCTION("""COMPUTED_VALUE"""),99.0)</f>
        <v>99</v>
      </c>
      <c r="M411" s="148">
        <f>IFERROR(__xludf.DUMMYFUNCTION("""COMPUTED_VALUE"""),0.0)</f>
        <v>0</v>
      </c>
      <c r="N411" s="148" t="str">
        <f>IFERROR(__xludf.DUMMYFUNCTION("""COMPUTED_VALUE"""),"[]")</f>
        <v>[]</v>
      </c>
      <c r="O411" s="148" t="str">
        <f>IFERROR(__xludf.DUMMYFUNCTION("""COMPUTED_VALUE"""),"{}")</f>
        <v>{}</v>
      </c>
      <c r="P411" s="148">
        <f>IFERROR(__xludf.DUMMYFUNCTION("""COMPUTED_VALUE"""),0.0)</f>
        <v>0</v>
      </c>
      <c r="Q411" s="148" t="str">
        <f>IFERROR(__xludf.DUMMYFUNCTION("""COMPUTED_VALUE"""),"[]")</f>
        <v>[]</v>
      </c>
      <c r="R411" s="148" t="str">
        <f>IFERROR(__xludf.DUMMYFUNCTION("""COMPUTED_VALUE"""),"{}")</f>
        <v>{}</v>
      </c>
      <c r="S411" s="148">
        <f>IFERROR(__xludf.DUMMYFUNCTION("""COMPUTED_VALUE"""),0.0)</f>
        <v>0</v>
      </c>
      <c r="T411" s="148" t="str">
        <f>IFERROR(__xludf.DUMMYFUNCTION("""COMPUTED_VALUE"""),"[]")</f>
        <v>[]</v>
      </c>
      <c r="U411" s="148">
        <f>IFERROR(__xludf.DUMMYFUNCTION("""COMPUTED_VALUE"""),0.0)</f>
        <v>0</v>
      </c>
      <c r="V411" s="148" t="str">
        <f>IFERROR(__xludf.DUMMYFUNCTION("""COMPUTED_VALUE"""),"{}")</f>
        <v>{}</v>
      </c>
      <c r="W411" s="148" t="str">
        <f>IFERROR(__xludf.DUMMYFUNCTION("""COMPUTED_VALUE"""),"[]")</f>
        <v>[]</v>
      </c>
      <c r="X411" s="148" t="str">
        <f>IFERROR(__xludf.DUMMYFUNCTION("""COMPUTED_VALUE"""),"[{""typ"":""power"",""id"":12141002,""val"":10}]")</f>
        <v>[{"typ":"power","id":12141002,"val":10}]</v>
      </c>
      <c r="Y411" s="148" t="str">
        <f>IFERROR(__xludf.DUMMYFUNCTION("""COMPUTED_VALUE"""),"[{""typ"":""atk"",""val"":22.5},{""typ"":""def"",""val"":125},{""typ"":""hp"",""val"":135},{""typ"":""speed"",""val"":50},{""typ"":""load"",""val"":20},{""typ"":""backcoef"",""val"":0.5},{""typ"":""atkcoef"",""val"":1.0},{""typ"":""atkcd"",""val"":0}]")</f>
        <v>[{"typ":"atk","val":22.5},{"typ":"def","val":125},{"typ":"hp","val":135},{"typ":"speed","val":50},{"typ":"load","val":20},{"typ":"backcoef","val":0.5},{"typ":"atkcoef","val":1.0},{"typ":"atkcd","val":0}]</v>
      </c>
      <c r="Z411" s="148" t="str">
        <f>IFERROR(__xludf.DUMMYFUNCTION("""COMPUTED_VALUE"""),"[]")</f>
        <v>[]</v>
      </c>
    </row>
    <row r="412">
      <c r="A412" s="148">
        <f>IFERROR(__xludf.DUMMYFUNCTION("""COMPUTED_VALUE"""),1.1219317E7)</f>
        <v>11219317</v>
      </c>
      <c r="B412" s="148" t="str">
        <f>IFERROR(__xludf.DUMMYFUNCTION("""COMPUTED_VALUE"""),"KVK-押镖单位-BOSS2")</f>
        <v>KVK-押镖单位-BOSS2</v>
      </c>
      <c r="C412" s="148">
        <f>IFERROR(__xludf.DUMMYFUNCTION("""COMPUTED_VALUE"""),1.1221004E7)</f>
        <v>11221004</v>
      </c>
      <c r="D412" s="148">
        <f>IFERROR(__xludf.DUMMYFUNCTION("""COMPUTED_VALUE"""),1.5113953E7)</f>
        <v>15113953</v>
      </c>
      <c r="E412" s="148" t="str">
        <f>IFERROR(__xludf.DUMMYFUNCTION("""COMPUTED_VALUE"""),"{""typ"":""lc"",""txt"":""LC_NPC_npc_boss_name_kvk""}")</f>
        <v>{"typ":"lc","txt":"LC_NPC_npc_boss_name_kvk"}</v>
      </c>
      <c r="F412" s="148" t="str">
        <f>IFERROR(__xludf.DUMMYFUNCTION("""COMPUTED_VALUE"""),"{""typ"":""lc"",""txt"":""LC_NPC_npc_boss_desc_kvk""}")</f>
        <v>{"typ":"lc","txt":"LC_NPC_npc_boss_desc_kvk"}</v>
      </c>
      <c r="G412" s="148">
        <f>IFERROR(__xludf.DUMMYFUNCTION("""COMPUTED_VALUE"""),10.0)</f>
        <v>10</v>
      </c>
      <c r="H412" s="148">
        <f>IFERROR(__xludf.DUMMYFUNCTION("""COMPUTED_VALUE"""),10099.0)</f>
        <v>10099</v>
      </c>
      <c r="I412" s="148">
        <f>IFERROR(__xludf.DUMMYFUNCTION("""COMPUTED_VALUE"""),10099.0)</f>
        <v>10099</v>
      </c>
      <c r="J412" s="148">
        <f>IFERROR(__xludf.DUMMYFUNCTION("""COMPUTED_VALUE"""),0.0)</f>
        <v>0</v>
      </c>
      <c r="K412" s="148">
        <f>IFERROR(__xludf.DUMMYFUNCTION("""COMPUTED_VALUE"""),10.0)</f>
        <v>10</v>
      </c>
      <c r="L412" s="148">
        <f>IFERROR(__xludf.DUMMYFUNCTION("""COMPUTED_VALUE"""),99.0)</f>
        <v>99</v>
      </c>
      <c r="M412" s="148">
        <f>IFERROR(__xludf.DUMMYFUNCTION("""COMPUTED_VALUE"""),0.0)</f>
        <v>0</v>
      </c>
      <c r="N412" s="148" t="str">
        <f>IFERROR(__xludf.DUMMYFUNCTION("""COMPUTED_VALUE"""),"[]")</f>
        <v>[]</v>
      </c>
      <c r="O412" s="148" t="str">
        <f>IFERROR(__xludf.DUMMYFUNCTION("""COMPUTED_VALUE"""),"{}")</f>
        <v>{}</v>
      </c>
      <c r="P412" s="148">
        <f>IFERROR(__xludf.DUMMYFUNCTION("""COMPUTED_VALUE"""),0.0)</f>
        <v>0</v>
      </c>
      <c r="Q412" s="148" t="str">
        <f>IFERROR(__xludf.DUMMYFUNCTION("""COMPUTED_VALUE"""),"[]")</f>
        <v>[]</v>
      </c>
      <c r="R412" s="148" t="str">
        <f>IFERROR(__xludf.DUMMYFUNCTION("""COMPUTED_VALUE"""),"{}")</f>
        <v>{}</v>
      </c>
      <c r="S412" s="148">
        <f>IFERROR(__xludf.DUMMYFUNCTION("""COMPUTED_VALUE"""),0.0)</f>
        <v>0</v>
      </c>
      <c r="T412" s="148" t="str">
        <f>IFERROR(__xludf.DUMMYFUNCTION("""COMPUTED_VALUE"""),"[]")</f>
        <v>[]</v>
      </c>
      <c r="U412" s="148">
        <f>IFERROR(__xludf.DUMMYFUNCTION("""COMPUTED_VALUE"""),0.0)</f>
        <v>0</v>
      </c>
      <c r="V412" s="148" t="str">
        <f>IFERROR(__xludf.DUMMYFUNCTION("""COMPUTED_VALUE"""),"{}")</f>
        <v>{}</v>
      </c>
      <c r="W412" s="148" t="str">
        <f>IFERROR(__xludf.DUMMYFUNCTION("""COMPUTED_VALUE"""),"[]")</f>
        <v>[]</v>
      </c>
      <c r="X412" s="148" t="str">
        <f>IFERROR(__xludf.DUMMYFUNCTION("""COMPUTED_VALUE"""),"[{""typ"":""power"",""id"":12141002,""val"":10}]")</f>
        <v>[{"typ":"power","id":12141002,"val":10}]</v>
      </c>
      <c r="Y412" s="148" t="str">
        <f>IFERROR(__xludf.DUMMYFUNCTION("""COMPUTED_VALUE"""),"[{""typ"":""atk"",""val"":45},{""typ"":""def"",""val"":125},{""typ"":""hp"",""val"":135},{""typ"":""speed"",""val"":50},{""typ"":""load"",""val"":20},{""typ"":""backcoef"",""val"":0.5},{""typ"":""atkcoef"",""val"":1.0},{""typ"":""atkcd"",""val"":0}]")</f>
        <v>[{"typ":"atk","val":45},{"typ":"def","val":125},{"typ":"hp","val":135},{"typ":"speed","val":50},{"typ":"load","val":20},{"typ":"backcoef","val":0.5},{"typ":"atkcoef","val":1.0},{"typ":"atkcd","val":0}]</v>
      </c>
      <c r="Z412" s="148" t="str">
        <f>IFERROR(__xludf.DUMMYFUNCTION("""COMPUTED_VALUE"""),"[]")</f>
        <v>[]</v>
      </c>
    </row>
    <row r="413">
      <c r="A413" s="148">
        <f>IFERROR(__xludf.DUMMYFUNCTION("""COMPUTED_VALUE"""),1.1219318E7)</f>
        <v>11219318</v>
      </c>
      <c r="B413" s="148" t="str">
        <f>IFERROR(__xludf.DUMMYFUNCTION("""COMPUTED_VALUE"""),"KVK-押镖单位-BOSS3")</f>
        <v>KVK-押镖单位-BOSS3</v>
      </c>
      <c r="C413" s="148">
        <f>IFERROR(__xludf.DUMMYFUNCTION("""COMPUTED_VALUE"""),1.1221004E7)</f>
        <v>11221004</v>
      </c>
      <c r="D413" s="148">
        <f>IFERROR(__xludf.DUMMYFUNCTION("""COMPUTED_VALUE"""),1.5113953E7)</f>
        <v>15113953</v>
      </c>
      <c r="E413" s="148" t="str">
        <f>IFERROR(__xludf.DUMMYFUNCTION("""COMPUTED_VALUE"""),"{""typ"":""lc"",""txt"":""LC_NPC_npc_boss_name_kvk""}")</f>
        <v>{"typ":"lc","txt":"LC_NPC_npc_boss_name_kvk"}</v>
      </c>
      <c r="F413" s="148" t="str">
        <f>IFERROR(__xludf.DUMMYFUNCTION("""COMPUTED_VALUE"""),"{""typ"":""lc"",""txt"":""LC_NPC_npc_boss_desc_kvk""}")</f>
        <v>{"typ":"lc","txt":"LC_NPC_npc_boss_desc_kvk"}</v>
      </c>
      <c r="G413" s="148">
        <f>IFERROR(__xludf.DUMMYFUNCTION("""COMPUTED_VALUE"""),10.0)</f>
        <v>10</v>
      </c>
      <c r="H413" s="148">
        <f>IFERROR(__xludf.DUMMYFUNCTION("""COMPUTED_VALUE"""),10099.0)</f>
        <v>10099</v>
      </c>
      <c r="I413" s="148">
        <f>IFERROR(__xludf.DUMMYFUNCTION("""COMPUTED_VALUE"""),10099.0)</f>
        <v>10099</v>
      </c>
      <c r="J413" s="148">
        <f>IFERROR(__xludf.DUMMYFUNCTION("""COMPUTED_VALUE"""),0.0)</f>
        <v>0</v>
      </c>
      <c r="K413" s="148">
        <f>IFERROR(__xludf.DUMMYFUNCTION("""COMPUTED_VALUE"""),10.0)</f>
        <v>10</v>
      </c>
      <c r="L413" s="148">
        <f>IFERROR(__xludf.DUMMYFUNCTION("""COMPUTED_VALUE"""),99.0)</f>
        <v>99</v>
      </c>
      <c r="M413" s="148">
        <f>IFERROR(__xludf.DUMMYFUNCTION("""COMPUTED_VALUE"""),0.0)</f>
        <v>0</v>
      </c>
      <c r="N413" s="148" t="str">
        <f>IFERROR(__xludf.DUMMYFUNCTION("""COMPUTED_VALUE"""),"[]")</f>
        <v>[]</v>
      </c>
      <c r="O413" s="148" t="str">
        <f>IFERROR(__xludf.DUMMYFUNCTION("""COMPUTED_VALUE"""),"{}")</f>
        <v>{}</v>
      </c>
      <c r="P413" s="148">
        <f>IFERROR(__xludf.DUMMYFUNCTION("""COMPUTED_VALUE"""),0.0)</f>
        <v>0</v>
      </c>
      <c r="Q413" s="148" t="str">
        <f>IFERROR(__xludf.DUMMYFUNCTION("""COMPUTED_VALUE"""),"[]")</f>
        <v>[]</v>
      </c>
      <c r="R413" s="148" t="str">
        <f>IFERROR(__xludf.DUMMYFUNCTION("""COMPUTED_VALUE"""),"{}")</f>
        <v>{}</v>
      </c>
      <c r="S413" s="148">
        <f>IFERROR(__xludf.DUMMYFUNCTION("""COMPUTED_VALUE"""),0.0)</f>
        <v>0</v>
      </c>
      <c r="T413" s="148" t="str">
        <f>IFERROR(__xludf.DUMMYFUNCTION("""COMPUTED_VALUE"""),"[]")</f>
        <v>[]</v>
      </c>
      <c r="U413" s="148">
        <f>IFERROR(__xludf.DUMMYFUNCTION("""COMPUTED_VALUE"""),0.0)</f>
        <v>0</v>
      </c>
      <c r="V413" s="148" t="str">
        <f>IFERROR(__xludf.DUMMYFUNCTION("""COMPUTED_VALUE"""),"{}")</f>
        <v>{}</v>
      </c>
      <c r="W413" s="148" t="str">
        <f>IFERROR(__xludf.DUMMYFUNCTION("""COMPUTED_VALUE"""),"[]")</f>
        <v>[]</v>
      </c>
      <c r="X413" s="148" t="str">
        <f>IFERROR(__xludf.DUMMYFUNCTION("""COMPUTED_VALUE"""),"[{""typ"":""power"",""id"":12141002,""val"":10}]")</f>
        <v>[{"typ":"power","id":12141002,"val":10}]</v>
      </c>
      <c r="Y413" s="148" t="str">
        <f>IFERROR(__xludf.DUMMYFUNCTION("""COMPUTED_VALUE"""),"[{""typ"":""atk"",""val"":90},{""typ"":""def"",""val"":125},{""typ"":""hp"",""val"":135},{""typ"":""speed"",""val"":50},{""typ"":""load"",""val"":20},{""typ"":""backcoef"",""val"":0.5},{""typ"":""atkcoef"",""val"":1.0},{""typ"":""atkcd"",""val"":0}]")</f>
        <v>[{"typ":"atk","val":90},{"typ":"def","val":125},{"typ":"hp","val":135},{"typ":"speed","val":50},{"typ":"load","val":20},{"typ":"backcoef","val":0.5},{"typ":"atkcoef","val":1.0},{"typ":"atkcd","val":0}]</v>
      </c>
      <c r="Z413" s="148" t="str">
        <f>IFERROR(__xludf.DUMMYFUNCTION("""COMPUTED_VALUE"""),"[]")</f>
        <v>[]</v>
      </c>
    </row>
    <row r="414">
      <c r="A414" s="148">
        <f>IFERROR(__xludf.DUMMYFUNCTION("""COMPUTED_VALUE"""),1.1219319E7)</f>
        <v>11219319</v>
      </c>
      <c r="B414" s="148" t="str">
        <f>IFERROR(__xludf.DUMMYFUNCTION("""COMPUTED_VALUE"""),"KVK-押镖单位-BOSS4")</f>
        <v>KVK-押镖单位-BOSS4</v>
      </c>
      <c r="C414" s="148">
        <f>IFERROR(__xludf.DUMMYFUNCTION("""COMPUTED_VALUE"""),1.1221004E7)</f>
        <v>11221004</v>
      </c>
      <c r="D414" s="148">
        <f>IFERROR(__xludf.DUMMYFUNCTION("""COMPUTED_VALUE"""),1.5113953E7)</f>
        <v>15113953</v>
      </c>
      <c r="E414" s="148" t="str">
        <f>IFERROR(__xludf.DUMMYFUNCTION("""COMPUTED_VALUE"""),"{""typ"":""lc"",""txt"":""LC_NPC_npc_boss_name_kvk""}")</f>
        <v>{"typ":"lc","txt":"LC_NPC_npc_boss_name_kvk"}</v>
      </c>
      <c r="F414" s="148" t="str">
        <f>IFERROR(__xludf.DUMMYFUNCTION("""COMPUTED_VALUE"""),"{""typ"":""lc"",""txt"":""LC_NPC_npc_boss_desc_kvk""}")</f>
        <v>{"typ":"lc","txt":"LC_NPC_npc_boss_desc_kvk"}</v>
      </c>
      <c r="G414" s="148">
        <f>IFERROR(__xludf.DUMMYFUNCTION("""COMPUTED_VALUE"""),10.0)</f>
        <v>10</v>
      </c>
      <c r="H414" s="148">
        <f>IFERROR(__xludf.DUMMYFUNCTION("""COMPUTED_VALUE"""),10099.0)</f>
        <v>10099</v>
      </c>
      <c r="I414" s="148">
        <f>IFERROR(__xludf.DUMMYFUNCTION("""COMPUTED_VALUE"""),10099.0)</f>
        <v>10099</v>
      </c>
      <c r="J414" s="148">
        <f>IFERROR(__xludf.DUMMYFUNCTION("""COMPUTED_VALUE"""),0.0)</f>
        <v>0</v>
      </c>
      <c r="K414" s="148">
        <f>IFERROR(__xludf.DUMMYFUNCTION("""COMPUTED_VALUE"""),10.0)</f>
        <v>10</v>
      </c>
      <c r="L414" s="148">
        <f>IFERROR(__xludf.DUMMYFUNCTION("""COMPUTED_VALUE"""),99.0)</f>
        <v>99</v>
      </c>
      <c r="M414" s="148">
        <f>IFERROR(__xludf.DUMMYFUNCTION("""COMPUTED_VALUE"""),0.0)</f>
        <v>0</v>
      </c>
      <c r="N414" s="148" t="str">
        <f>IFERROR(__xludf.DUMMYFUNCTION("""COMPUTED_VALUE"""),"[]")</f>
        <v>[]</v>
      </c>
      <c r="O414" s="148" t="str">
        <f>IFERROR(__xludf.DUMMYFUNCTION("""COMPUTED_VALUE"""),"{}")</f>
        <v>{}</v>
      </c>
      <c r="P414" s="148">
        <f>IFERROR(__xludf.DUMMYFUNCTION("""COMPUTED_VALUE"""),0.0)</f>
        <v>0</v>
      </c>
      <c r="Q414" s="148" t="str">
        <f>IFERROR(__xludf.DUMMYFUNCTION("""COMPUTED_VALUE"""),"[]")</f>
        <v>[]</v>
      </c>
      <c r="R414" s="148" t="str">
        <f>IFERROR(__xludf.DUMMYFUNCTION("""COMPUTED_VALUE"""),"{}")</f>
        <v>{}</v>
      </c>
      <c r="S414" s="148">
        <f>IFERROR(__xludf.DUMMYFUNCTION("""COMPUTED_VALUE"""),0.0)</f>
        <v>0</v>
      </c>
      <c r="T414" s="148" t="str">
        <f>IFERROR(__xludf.DUMMYFUNCTION("""COMPUTED_VALUE"""),"[]")</f>
        <v>[]</v>
      </c>
      <c r="U414" s="148">
        <f>IFERROR(__xludf.DUMMYFUNCTION("""COMPUTED_VALUE"""),0.0)</f>
        <v>0</v>
      </c>
      <c r="V414" s="148" t="str">
        <f>IFERROR(__xludf.DUMMYFUNCTION("""COMPUTED_VALUE"""),"{}")</f>
        <v>{}</v>
      </c>
      <c r="W414" s="148" t="str">
        <f>IFERROR(__xludf.DUMMYFUNCTION("""COMPUTED_VALUE"""),"[]")</f>
        <v>[]</v>
      </c>
      <c r="X414" s="148" t="str">
        <f>IFERROR(__xludf.DUMMYFUNCTION("""COMPUTED_VALUE"""),"[{""typ"":""power"",""id"":12141002,""val"":10}]")</f>
        <v>[{"typ":"power","id":12141002,"val":10}]</v>
      </c>
      <c r="Y414" s="148" t="str">
        <f>IFERROR(__xludf.DUMMYFUNCTION("""COMPUTED_VALUE"""),"[{""typ"":""atk"",""val"":225},{""typ"":""def"",""val"":125},{""typ"":""hp"",""val"":135},{""typ"":""speed"",""val"":50},{""typ"":""load"",""val"":20},{""typ"":""backcoef"",""val"":0.5},{""typ"":""atkcoef"",""val"":1.0},{""typ"":""atkcd"",""val"":0}]")</f>
        <v>[{"typ":"atk","val":225},{"typ":"def","val":125},{"typ":"hp","val":135},{"typ":"speed","val":50},{"typ":"load","val":20},{"typ":"backcoef","val":0.5},{"typ":"atkcoef","val":1.0},{"typ":"atkcd","val":0}]</v>
      </c>
      <c r="Z414" s="148" t="str">
        <f>IFERROR(__xludf.DUMMYFUNCTION("""COMPUTED_VALUE"""),"[]")</f>
        <v>[]</v>
      </c>
    </row>
    <row r="415">
      <c r="A415" s="148">
        <f>IFERROR(__xludf.DUMMYFUNCTION("""COMPUTED_VALUE"""),1.121932E7)</f>
        <v>11219320</v>
      </c>
      <c r="B415" s="148" t="str">
        <f>IFERROR(__xludf.DUMMYFUNCTION("""COMPUTED_VALUE"""),"KVK-押镖单位-BOSS5")</f>
        <v>KVK-押镖单位-BOSS5</v>
      </c>
      <c r="C415" s="148">
        <f>IFERROR(__xludf.DUMMYFUNCTION("""COMPUTED_VALUE"""),1.1221004E7)</f>
        <v>11221004</v>
      </c>
      <c r="D415" s="148">
        <f>IFERROR(__xludf.DUMMYFUNCTION("""COMPUTED_VALUE"""),1.5113953E7)</f>
        <v>15113953</v>
      </c>
      <c r="E415" s="148" t="str">
        <f>IFERROR(__xludf.DUMMYFUNCTION("""COMPUTED_VALUE"""),"{""typ"":""lc"",""txt"":""LC_NPC_npc_boss_name_kvk""}")</f>
        <v>{"typ":"lc","txt":"LC_NPC_npc_boss_name_kvk"}</v>
      </c>
      <c r="F415" s="148" t="str">
        <f>IFERROR(__xludf.DUMMYFUNCTION("""COMPUTED_VALUE"""),"{""typ"":""lc"",""txt"":""LC_NPC_npc_boss_desc_kvk""}")</f>
        <v>{"typ":"lc","txt":"LC_NPC_npc_boss_desc_kvk"}</v>
      </c>
      <c r="G415" s="148">
        <f>IFERROR(__xludf.DUMMYFUNCTION("""COMPUTED_VALUE"""),10.0)</f>
        <v>10</v>
      </c>
      <c r="H415" s="148">
        <f>IFERROR(__xludf.DUMMYFUNCTION("""COMPUTED_VALUE"""),10099.0)</f>
        <v>10099</v>
      </c>
      <c r="I415" s="148">
        <f>IFERROR(__xludf.DUMMYFUNCTION("""COMPUTED_VALUE"""),10099.0)</f>
        <v>10099</v>
      </c>
      <c r="J415" s="148">
        <f>IFERROR(__xludf.DUMMYFUNCTION("""COMPUTED_VALUE"""),0.0)</f>
        <v>0</v>
      </c>
      <c r="K415" s="148">
        <f>IFERROR(__xludf.DUMMYFUNCTION("""COMPUTED_VALUE"""),10.0)</f>
        <v>10</v>
      </c>
      <c r="L415" s="148">
        <f>IFERROR(__xludf.DUMMYFUNCTION("""COMPUTED_VALUE"""),99.0)</f>
        <v>99</v>
      </c>
      <c r="M415" s="148">
        <f>IFERROR(__xludf.DUMMYFUNCTION("""COMPUTED_VALUE"""),0.0)</f>
        <v>0</v>
      </c>
      <c r="N415" s="148" t="str">
        <f>IFERROR(__xludf.DUMMYFUNCTION("""COMPUTED_VALUE"""),"[]")</f>
        <v>[]</v>
      </c>
      <c r="O415" s="148" t="str">
        <f>IFERROR(__xludf.DUMMYFUNCTION("""COMPUTED_VALUE"""),"{}")</f>
        <v>{}</v>
      </c>
      <c r="P415" s="148">
        <f>IFERROR(__xludf.DUMMYFUNCTION("""COMPUTED_VALUE"""),0.0)</f>
        <v>0</v>
      </c>
      <c r="Q415" s="148" t="str">
        <f>IFERROR(__xludf.DUMMYFUNCTION("""COMPUTED_VALUE"""),"[]")</f>
        <v>[]</v>
      </c>
      <c r="R415" s="148" t="str">
        <f>IFERROR(__xludf.DUMMYFUNCTION("""COMPUTED_VALUE"""),"{}")</f>
        <v>{}</v>
      </c>
      <c r="S415" s="148">
        <f>IFERROR(__xludf.DUMMYFUNCTION("""COMPUTED_VALUE"""),0.0)</f>
        <v>0</v>
      </c>
      <c r="T415" s="148" t="str">
        <f>IFERROR(__xludf.DUMMYFUNCTION("""COMPUTED_VALUE"""),"[]")</f>
        <v>[]</v>
      </c>
      <c r="U415" s="148">
        <f>IFERROR(__xludf.DUMMYFUNCTION("""COMPUTED_VALUE"""),0.0)</f>
        <v>0</v>
      </c>
      <c r="V415" s="148" t="str">
        <f>IFERROR(__xludf.DUMMYFUNCTION("""COMPUTED_VALUE"""),"{}")</f>
        <v>{}</v>
      </c>
      <c r="W415" s="148" t="str">
        <f>IFERROR(__xludf.DUMMYFUNCTION("""COMPUTED_VALUE"""),"[]")</f>
        <v>[]</v>
      </c>
      <c r="X415" s="148" t="str">
        <f>IFERROR(__xludf.DUMMYFUNCTION("""COMPUTED_VALUE"""),"[{""typ"":""power"",""id"":12141002,""val"":10}]")</f>
        <v>[{"typ":"power","id":12141002,"val":10}]</v>
      </c>
      <c r="Y415" s="148" t="str">
        <f>IFERROR(__xludf.DUMMYFUNCTION("""COMPUTED_VALUE"""),"[{""typ"":""atk"",""val"":300},{""typ"":""def"",""val"":125},{""typ"":""hp"",""val"":135},{""typ"":""speed"",""val"":50},{""typ"":""load"",""val"":20},{""typ"":""backcoef"",""val"":0.5},{""typ"":""atkcoef"",""val"":1.0},{""typ"":""atkcd"",""val"":0}]")</f>
        <v>[{"typ":"atk","val":300},{"typ":"def","val":125},{"typ":"hp","val":135},{"typ":"speed","val":50},{"typ":"load","val":20},{"typ":"backcoef","val":0.5},{"typ":"atkcoef","val":1.0},{"typ":"atkcd","val":0}]</v>
      </c>
      <c r="Z415" s="148" t="str">
        <f>IFERROR(__xludf.DUMMYFUNCTION("""COMPUTED_VALUE"""),"[]")</f>
        <v>[]</v>
      </c>
    </row>
    <row r="416">
      <c r="A416" s="148">
        <f>IFERROR(__xludf.DUMMYFUNCTION("""COMPUTED_VALUE"""),1.1219321E7)</f>
        <v>11219321</v>
      </c>
      <c r="B416" s="148" t="str">
        <f>IFERROR(__xludf.DUMMYFUNCTION("""COMPUTED_VALUE"""),"KVK4-押镖单位-怪物1")</f>
        <v>KVK4-押镖单位-怪物1</v>
      </c>
      <c r="C416" s="148">
        <f>IFERROR(__xludf.DUMMYFUNCTION("""COMPUTED_VALUE"""),1.1221004E7)</f>
        <v>11221004</v>
      </c>
      <c r="D416" s="148">
        <f>IFERROR(__xludf.DUMMYFUNCTION("""COMPUTED_VALUE"""),1.5118705E7)</f>
        <v>15118705</v>
      </c>
      <c r="E416" s="148" t="str">
        <f>IFERROR(__xludf.DUMMYFUNCTION("""COMPUTED_VALUE"""),"{""typ"":""lc"",""txt"":""LC_KVK_kvk4_monster_name_1""}")</f>
        <v>{"typ":"lc","txt":"LC_KVK_kvk4_monster_name_1"}</v>
      </c>
      <c r="F416" s="148" t="str">
        <f>IFERROR(__xludf.DUMMYFUNCTION("""COMPUTED_VALUE"""),"{""typ"":""lc"",""txt"":""LC_KVK_kvk4_monster_desc_1""}")</f>
        <v>{"typ":"lc","txt":"LC_KVK_kvk4_monster_desc_1"}</v>
      </c>
      <c r="G416" s="148">
        <f>IFERROR(__xludf.DUMMYFUNCTION("""COMPUTED_VALUE"""),10.0)</f>
        <v>10</v>
      </c>
      <c r="H416" s="148">
        <f>IFERROR(__xludf.DUMMYFUNCTION("""COMPUTED_VALUE"""),10099.0)</f>
        <v>10099</v>
      </c>
      <c r="I416" s="148">
        <f>IFERROR(__xludf.DUMMYFUNCTION("""COMPUTED_VALUE"""),10099.0)</f>
        <v>10099</v>
      </c>
      <c r="J416" s="148">
        <f>IFERROR(__xludf.DUMMYFUNCTION("""COMPUTED_VALUE"""),0.0)</f>
        <v>0</v>
      </c>
      <c r="K416" s="148">
        <f>IFERROR(__xludf.DUMMYFUNCTION("""COMPUTED_VALUE"""),10.0)</f>
        <v>10</v>
      </c>
      <c r="L416" s="148">
        <f>IFERROR(__xludf.DUMMYFUNCTION("""COMPUTED_VALUE"""),99.0)</f>
        <v>99</v>
      </c>
      <c r="M416" s="148">
        <f>IFERROR(__xludf.DUMMYFUNCTION("""COMPUTED_VALUE"""),0.0)</f>
        <v>0</v>
      </c>
      <c r="N416" s="148" t="str">
        <f>IFERROR(__xludf.DUMMYFUNCTION("""COMPUTED_VALUE"""),"[]")</f>
        <v>[]</v>
      </c>
      <c r="O416" s="148" t="str">
        <f>IFERROR(__xludf.DUMMYFUNCTION("""COMPUTED_VALUE"""),"{}")</f>
        <v>{}</v>
      </c>
      <c r="P416" s="148">
        <f>IFERROR(__xludf.DUMMYFUNCTION("""COMPUTED_VALUE"""),0.0)</f>
        <v>0</v>
      </c>
      <c r="Q416" s="148" t="str">
        <f>IFERROR(__xludf.DUMMYFUNCTION("""COMPUTED_VALUE"""),"[]")</f>
        <v>[]</v>
      </c>
      <c r="R416" s="148" t="str">
        <f>IFERROR(__xludf.DUMMYFUNCTION("""COMPUTED_VALUE"""),"{}")</f>
        <v>{}</v>
      </c>
      <c r="S416" s="148">
        <f>IFERROR(__xludf.DUMMYFUNCTION("""COMPUTED_VALUE"""),0.0)</f>
        <v>0</v>
      </c>
      <c r="T416" s="148" t="str">
        <f>IFERROR(__xludf.DUMMYFUNCTION("""COMPUTED_VALUE"""),"[]")</f>
        <v>[]</v>
      </c>
      <c r="U416" s="148">
        <f>IFERROR(__xludf.DUMMYFUNCTION("""COMPUTED_VALUE"""),0.0)</f>
        <v>0</v>
      </c>
      <c r="V416" s="148" t="str">
        <f>IFERROR(__xludf.DUMMYFUNCTION("""COMPUTED_VALUE"""),"{}")</f>
        <v>{}</v>
      </c>
      <c r="W416" s="148" t="str">
        <f>IFERROR(__xludf.DUMMYFUNCTION("""COMPUTED_VALUE"""),"[]")</f>
        <v>[]</v>
      </c>
      <c r="X416" s="148" t="str">
        <f>IFERROR(__xludf.DUMMYFUNCTION("""COMPUTED_VALUE"""),"[{""typ"":""power"",""id"":12141002,""val"":10}]")</f>
        <v>[{"typ":"power","id":12141002,"val":10}]</v>
      </c>
      <c r="Y416" s="148" t="str">
        <f>IFERROR(__xludf.DUMMYFUNCTION("""COMPUTED_VALUE"""),"[{""typ"":""atk"",""val"":200},{""typ"":""def"",""val"":125},{""typ"":""hp"",""val"":120},{""typ"":""speed"",""val"":50},{""typ"":""load"",""val"":20},{""typ"":""backcoef"",""val"":0.5},{""typ"":""atkcoef"",""val"":1.0},{""typ"":""atkcd"",""val"":0}]")</f>
        <v>[{"typ":"atk","val":200},{"typ":"def","val":125},{"typ":"hp","val":120},{"typ":"speed","val":50},{"typ":"load","val":20},{"typ":"backcoef","val":0.5},{"typ":"atkcoef","val":1.0},{"typ":"atkcd","val":0}]</v>
      </c>
      <c r="Z416" s="148" t="str">
        <f>IFERROR(__xludf.DUMMYFUNCTION("""COMPUTED_VALUE"""),"[]")</f>
        <v>[]</v>
      </c>
    </row>
    <row r="417">
      <c r="A417" s="148">
        <f>IFERROR(__xludf.DUMMYFUNCTION("""COMPUTED_VALUE"""),1.1219322E7)</f>
        <v>11219322</v>
      </c>
      <c r="B417" s="148" t="str">
        <f>IFERROR(__xludf.DUMMYFUNCTION("""COMPUTED_VALUE"""),"KVK4-押镖单位-怪物2")</f>
        <v>KVK4-押镖单位-怪物2</v>
      </c>
      <c r="C417" s="148">
        <f>IFERROR(__xludf.DUMMYFUNCTION("""COMPUTED_VALUE"""),1.1221004E7)</f>
        <v>11221004</v>
      </c>
      <c r="D417" s="148">
        <f>IFERROR(__xludf.DUMMYFUNCTION("""COMPUTED_VALUE"""),1.5118706E7)</f>
        <v>15118706</v>
      </c>
      <c r="E417" s="148" t="str">
        <f>IFERROR(__xludf.DUMMYFUNCTION("""COMPUTED_VALUE"""),"{""typ"":""lc"",""txt"":""LC_KVK_kvk4_monster_name_1""}")</f>
        <v>{"typ":"lc","txt":"LC_KVK_kvk4_monster_name_1"}</v>
      </c>
      <c r="F417" s="148" t="str">
        <f>IFERROR(__xludf.DUMMYFUNCTION("""COMPUTED_VALUE"""),"{""typ"":""lc"",""txt"":""LC_KVK_kvk4_monster_desc_1""}")</f>
        <v>{"typ":"lc","txt":"LC_KVK_kvk4_monster_desc_1"}</v>
      </c>
      <c r="G417" s="148">
        <f>IFERROR(__xludf.DUMMYFUNCTION("""COMPUTED_VALUE"""),10.0)</f>
        <v>10</v>
      </c>
      <c r="H417" s="148">
        <f>IFERROR(__xludf.DUMMYFUNCTION("""COMPUTED_VALUE"""),10099.0)</f>
        <v>10099</v>
      </c>
      <c r="I417" s="148">
        <f>IFERROR(__xludf.DUMMYFUNCTION("""COMPUTED_VALUE"""),10099.0)</f>
        <v>10099</v>
      </c>
      <c r="J417" s="148">
        <f>IFERROR(__xludf.DUMMYFUNCTION("""COMPUTED_VALUE"""),0.0)</f>
        <v>0</v>
      </c>
      <c r="K417" s="148">
        <f>IFERROR(__xludf.DUMMYFUNCTION("""COMPUTED_VALUE"""),10.0)</f>
        <v>10</v>
      </c>
      <c r="L417" s="148">
        <f>IFERROR(__xludf.DUMMYFUNCTION("""COMPUTED_VALUE"""),99.0)</f>
        <v>99</v>
      </c>
      <c r="M417" s="148">
        <f>IFERROR(__xludf.DUMMYFUNCTION("""COMPUTED_VALUE"""),0.0)</f>
        <v>0</v>
      </c>
      <c r="N417" s="148" t="str">
        <f>IFERROR(__xludf.DUMMYFUNCTION("""COMPUTED_VALUE"""),"[]")</f>
        <v>[]</v>
      </c>
      <c r="O417" s="148" t="str">
        <f>IFERROR(__xludf.DUMMYFUNCTION("""COMPUTED_VALUE"""),"{}")</f>
        <v>{}</v>
      </c>
      <c r="P417" s="148">
        <f>IFERROR(__xludf.DUMMYFUNCTION("""COMPUTED_VALUE"""),0.0)</f>
        <v>0</v>
      </c>
      <c r="Q417" s="148" t="str">
        <f>IFERROR(__xludf.DUMMYFUNCTION("""COMPUTED_VALUE"""),"[]")</f>
        <v>[]</v>
      </c>
      <c r="R417" s="148" t="str">
        <f>IFERROR(__xludf.DUMMYFUNCTION("""COMPUTED_VALUE"""),"{}")</f>
        <v>{}</v>
      </c>
      <c r="S417" s="148">
        <f>IFERROR(__xludf.DUMMYFUNCTION("""COMPUTED_VALUE"""),0.0)</f>
        <v>0</v>
      </c>
      <c r="T417" s="148" t="str">
        <f>IFERROR(__xludf.DUMMYFUNCTION("""COMPUTED_VALUE"""),"[]")</f>
        <v>[]</v>
      </c>
      <c r="U417" s="148">
        <f>IFERROR(__xludf.DUMMYFUNCTION("""COMPUTED_VALUE"""),0.0)</f>
        <v>0</v>
      </c>
      <c r="V417" s="148" t="str">
        <f>IFERROR(__xludf.DUMMYFUNCTION("""COMPUTED_VALUE"""),"{}")</f>
        <v>{}</v>
      </c>
      <c r="W417" s="148" t="str">
        <f>IFERROR(__xludf.DUMMYFUNCTION("""COMPUTED_VALUE"""),"[]")</f>
        <v>[]</v>
      </c>
      <c r="X417" s="148" t="str">
        <f>IFERROR(__xludf.DUMMYFUNCTION("""COMPUTED_VALUE"""),"[{""typ"":""power"",""id"":12141002,""val"":10}]")</f>
        <v>[{"typ":"power","id":12141002,"val":10}]</v>
      </c>
      <c r="Y417" s="148" t="str">
        <f>IFERROR(__xludf.DUMMYFUNCTION("""COMPUTED_VALUE"""),"[{""typ"":""atk"",""val"":200},{""typ"":""def"",""val"":125},{""typ"":""hp"",""val"":120},{""typ"":""speed"",""val"":50},{""typ"":""load"",""val"":20},{""typ"":""backcoef"",""val"":0.5},{""typ"":""atkcoef"",""val"":1.0},{""typ"":""atkcd"",""val"":0}]")</f>
        <v>[{"typ":"atk","val":200},{"typ":"def","val":125},{"typ":"hp","val":120},{"typ":"speed","val":50},{"typ":"load","val":20},{"typ":"backcoef","val":0.5},{"typ":"atkcoef","val":1.0},{"typ":"atkcd","val":0}]</v>
      </c>
      <c r="Z417" s="148" t="str">
        <f>IFERROR(__xludf.DUMMYFUNCTION("""COMPUTED_VALUE"""),"[]")</f>
        <v>[]</v>
      </c>
    </row>
    <row r="418">
      <c r="A418" s="148">
        <f>IFERROR(__xludf.DUMMYFUNCTION("""COMPUTED_VALUE"""),1.1219323E7)</f>
        <v>11219323</v>
      </c>
      <c r="B418" s="148" t="str">
        <f>IFERROR(__xludf.DUMMYFUNCTION("""COMPUTED_VALUE"""),"KVK4-押镖单位-怪物3")</f>
        <v>KVK4-押镖单位-怪物3</v>
      </c>
      <c r="C418" s="148">
        <f>IFERROR(__xludf.DUMMYFUNCTION("""COMPUTED_VALUE"""),1.1221004E7)</f>
        <v>11221004</v>
      </c>
      <c r="D418" s="148">
        <f>IFERROR(__xludf.DUMMYFUNCTION("""COMPUTED_VALUE"""),1.5118708E7)</f>
        <v>15118708</v>
      </c>
      <c r="E418" s="148" t="str">
        <f>IFERROR(__xludf.DUMMYFUNCTION("""COMPUTED_VALUE"""),"{""typ"":""lc"",""txt"":""LC_KVK_kvk4_monster_name_1""}")</f>
        <v>{"typ":"lc","txt":"LC_KVK_kvk4_monster_name_1"}</v>
      </c>
      <c r="F418" s="148" t="str">
        <f>IFERROR(__xludf.DUMMYFUNCTION("""COMPUTED_VALUE"""),"{""typ"":""lc"",""txt"":""LC_KVK_kvk4_monster_desc_1""}")</f>
        <v>{"typ":"lc","txt":"LC_KVK_kvk4_monster_desc_1"}</v>
      </c>
      <c r="G418" s="148">
        <f>IFERROR(__xludf.DUMMYFUNCTION("""COMPUTED_VALUE"""),10.0)</f>
        <v>10</v>
      </c>
      <c r="H418" s="148">
        <f>IFERROR(__xludf.DUMMYFUNCTION("""COMPUTED_VALUE"""),10099.0)</f>
        <v>10099</v>
      </c>
      <c r="I418" s="148">
        <f>IFERROR(__xludf.DUMMYFUNCTION("""COMPUTED_VALUE"""),10099.0)</f>
        <v>10099</v>
      </c>
      <c r="J418" s="148">
        <f>IFERROR(__xludf.DUMMYFUNCTION("""COMPUTED_VALUE"""),0.0)</f>
        <v>0</v>
      </c>
      <c r="K418" s="148">
        <f>IFERROR(__xludf.DUMMYFUNCTION("""COMPUTED_VALUE"""),10.0)</f>
        <v>10</v>
      </c>
      <c r="L418" s="148">
        <f>IFERROR(__xludf.DUMMYFUNCTION("""COMPUTED_VALUE"""),99.0)</f>
        <v>99</v>
      </c>
      <c r="M418" s="148">
        <f>IFERROR(__xludf.DUMMYFUNCTION("""COMPUTED_VALUE"""),0.0)</f>
        <v>0</v>
      </c>
      <c r="N418" s="148" t="str">
        <f>IFERROR(__xludf.DUMMYFUNCTION("""COMPUTED_VALUE"""),"[]")</f>
        <v>[]</v>
      </c>
      <c r="O418" s="148" t="str">
        <f>IFERROR(__xludf.DUMMYFUNCTION("""COMPUTED_VALUE"""),"{}")</f>
        <v>{}</v>
      </c>
      <c r="P418" s="148">
        <f>IFERROR(__xludf.DUMMYFUNCTION("""COMPUTED_VALUE"""),0.0)</f>
        <v>0</v>
      </c>
      <c r="Q418" s="148" t="str">
        <f>IFERROR(__xludf.DUMMYFUNCTION("""COMPUTED_VALUE"""),"[]")</f>
        <v>[]</v>
      </c>
      <c r="R418" s="148" t="str">
        <f>IFERROR(__xludf.DUMMYFUNCTION("""COMPUTED_VALUE"""),"{}")</f>
        <v>{}</v>
      </c>
      <c r="S418" s="148">
        <f>IFERROR(__xludf.DUMMYFUNCTION("""COMPUTED_VALUE"""),0.0)</f>
        <v>0</v>
      </c>
      <c r="T418" s="148" t="str">
        <f>IFERROR(__xludf.DUMMYFUNCTION("""COMPUTED_VALUE"""),"[]")</f>
        <v>[]</v>
      </c>
      <c r="U418" s="148">
        <f>IFERROR(__xludf.DUMMYFUNCTION("""COMPUTED_VALUE"""),0.0)</f>
        <v>0</v>
      </c>
      <c r="V418" s="148" t="str">
        <f>IFERROR(__xludf.DUMMYFUNCTION("""COMPUTED_VALUE"""),"{}")</f>
        <v>{}</v>
      </c>
      <c r="W418" s="148" t="str">
        <f>IFERROR(__xludf.DUMMYFUNCTION("""COMPUTED_VALUE"""),"[]")</f>
        <v>[]</v>
      </c>
      <c r="X418" s="148" t="str">
        <f>IFERROR(__xludf.DUMMYFUNCTION("""COMPUTED_VALUE"""),"[{""typ"":""power"",""id"":12141002,""val"":10}]")</f>
        <v>[{"typ":"power","id":12141002,"val":10}]</v>
      </c>
      <c r="Y418" s="148" t="str">
        <f>IFERROR(__xludf.DUMMYFUNCTION("""COMPUTED_VALUE"""),"[{""typ"":""atk"",""val"":240},{""typ"":""def"",""val"":125},{""typ"":""hp"",""val"":120},{""typ"":""speed"",""val"":50},{""typ"":""load"",""val"":20},{""typ"":""backcoef"",""val"":0.5},{""typ"":""atkcoef"",""val"":1.0},{""typ"":""atkcd"",""val"":0}]")</f>
        <v>[{"typ":"atk","val":240},{"typ":"def","val":125},{"typ":"hp","val":120},{"typ":"speed","val":50},{"typ":"load","val":20},{"typ":"backcoef","val":0.5},{"typ":"atkcoef","val":1.0},{"typ":"atkcd","val":0}]</v>
      </c>
      <c r="Z418" s="148" t="str">
        <f>IFERROR(__xludf.DUMMYFUNCTION("""COMPUTED_VALUE"""),"[]")</f>
        <v>[]</v>
      </c>
    </row>
    <row r="419">
      <c r="A419" s="148">
        <f>IFERROR(__xludf.DUMMYFUNCTION("""COMPUTED_VALUE"""),1.1219324E7)</f>
        <v>11219324</v>
      </c>
      <c r="B419" s="148" t="str">
        <f>IFERROR(__xludf.DUMMYFUNCTION("""COMPUTED_VALUE"""),"KVK4-押镖单位-怪物4")</f>
        <v>KVK4-押镖单位-怪物4</v>
      </c>
      <c r="C419" s="148">
        <f>IFERROR(__xludf.DUMMYFUNCTION("""COMPUTED_VALUE"""),1.1221004E7)</f>
        <v>11221004</v>
      </c>
      <c r="D419" s="148">
        <f>IFERROR(__xludf.DUMMYFUNCTION("""COMPUTED_VALUE"""),1.5118716E7)</f>
        <v>15118716</v>
      </c>
      <c r="E419" s="148" t="str">
        <f>IFERROR(__xludf.DUMMYFUNCTION("""COMPUTED_VALUE"""),"{""typ"":""lc"",""txt"":""LC_KVK_kvk4_monster_name_2""}")</f>
        <v>{"typ":"lc","txt":"LC_KVK_kvk4_monster_name_2"}</v>
      </c>
      <c r="F419" s="148" t="str">
        <f>IFERROR(__xludf.DUMMYFUNCTION("""COMPUTED_VALUE"""),"{""typ"":""lc"",""txt"":""LC_KVK_kvk4_monster_desc_2""}")</f>
        <v>{"typ":"lc","txt":"LC_KVK_kvk4_monster_desc_2"}</v>
      </c>
      <c r="G419" s="148">
        <f>IFERROR(__xludf.DUMMYFUNCTION("""COMPUTED_VALUE"""),10.0)</f>
        <v>10</v>
      </c>
      <c r="H419" s="148">
        <f>IFERROR(__xludf.DUMMYFUNCTION("""COMPUTED_VALUE"""),10099.0)</f>
        <v>10099</v>
      </c>
      <c r="I419" s="148">
        <f>IFERROR(__xludf.DUMMYFUNCTION("""COMPUTED_VALUE"""),10099.0)</f>
        <v>10099</v>
      </c>
      <c r="J419" s="148">
        <f>IFERROR(__xludf.DUMMYFUNCTION("""COMPUTED_VALUE"""),0.0)</f>
        <v>0</v>
      </c>
      <c r="K419" s="148">
        <f>IFERROR(__xludf.DUMMYFUNCTION("""COMPUTED_VALUE"""),10.0)</f>
        <v>10</v>
      </c>
      <c r="L419" s="148">
        <f>IFERROR(__xludf.DUMMYFUNCTION("""COMPUTED_VALUE"""),99.0)</f>
        <v>99</v>
      </c>
      <c r="M419" s="148">
        <f>IFERROR(__xludf.DUMMYFUNCTION("""COMPUTED_VALUE"""),0.0)</f>
        <v>0</v>
      </c>
      <c r="N419" s="148" t="str">
        <f>IFERROR(__xludf.DUMMYFUNCTION("""COMPUTED_VALUE"""),"[]")</f>
        <v>[]</v>
      </c>
      <c r="O419" s="148" t="str">
        <f>IFERROR(__xludf.DUMMYFUNCTION("""COMPUTED_VALUE"""),"{}")</f>
        <v>{}</v>
      </c>
      <c r="P419" s="148">
        <f>IFERROR(__xludf.DUMMYFUNCTION("""COMPUTED_VALUE"""),0.0)</f>
        <v>0</v>
      </c>
      <c r="Q419" s="148" t="str">
        <f>IFERROR(__xludf.DUMMYFUNCTION("""COMPUTED_VALUE"""),"[]")</f>
        <v>[]</v>
      </c>
      <c r="R419" s="148" t="str">
        <f>IFERROR(__xludf.DUMMYFUNCTION("""COMPUTED_VALUE"""),"{}")</f>
        <v>{}</v>
      </c>
      <c r="S419" s="148">
        <f>IFERROR(__xludf.DUMMYFUNCTION("""COMPUTED_VALUE"""),0.0)</f>
        <v>0</v>
      </c>
      <c r="T419" s="148" t="str">
        <f>IFERROR(__xludf.DUMMYFUNCTION("""COMPUTED_VALUE"""),"[]")</f>
        <v>[]</v>
      </c>
      <c r="U419" s="148">
        <f>IFERROR(__xludf.DUMMYFUNCTION("""COMPUTED_VALUE"""),0.0)</f>
        <v>0</v>
      </c>
      <c r="V419" s="148" t="str">
        <f>IFERROR(__xludf.DUMMYFUNCTION("""COMPUTED_VALUE"""),"{}")</f>
        <v>{}</v>
      </c>
      <c r="W419" s="148" t="str">
        <f>IFERROR(__xludf.DUMMYFUNCTION("""COMPUTED_VALUE"""),"[]")</f>
        <v>[]</v>
      </c>
      <c r="X419" s="148" t="str">
        <f>IFERROR(__xludf.DUMMYFUNCTION("""COMPUTED_VALUE"""),"[{""typ"":""power"",""id"":12141002,""val"":10}]")</f>
        <v>[{"typ":"power","id":12141002,"val":10}]</v>
      </c>
      <c r="Y419" s="148" t="str">
        <f>IFERROR(__xludf.DUMMYFUNCTION("""COMPUTED_VALUE"""),"[{""typ"":""atk"",""val"":260},{""typ"":""def"",""val"":125},{""typ"":""hp"",""val"":120},{""typ"":""speed"",""val"":50},{""typ"":""load"",""val"":20},{""typ"":""backcoef"",""val"":0.5},{""typ"":""atkcoef"",""val"":1.0},{""typ"":""atkcd"",""val"":0}]")</f>
        <v>[{"typ":"atk","val":260},{"typ":"def","val":125},{"typ":"hp","val":120},{"typ":"speed","val":50},{"typ":"load","val":20},{"typ":"backcoef","val":0.5},{"typ":"atkcoef","val":1.0},{"typ":"atkcd","val":0}]</v>
      </c>
      <c r="Z419" s="148" t="str">
        <f>IFERROR(__xludf.DUMMYFUNCTION("""COMPUTED_VALUE"""),"[]")</f>
        <v>[]</v>
      </c>
    </row>
    <row r="420">
      <c r="A420" s="148">
        <f>IFERROR(__xludf.DUMMYFUNCTION("""COMPUTED_VALUE"""),1.1219325E7)</f>
        <v>11219325</v>
      </c>
      <c r="B420" s="148" t="str">
        <f>IFERROR(__xludf.DUMMYFUNCTION("""COMPUTED_VALUE"""),"KVK5-GVE小雪怪白-地狱")</f>
        <v>KVK5-GVE小雪怪白-地狱</v>
      </c>
      <c r="C420" s="148">
        <f>IFERROR(__xludf.DUMMYFUNCTION("""COMPUTED_VALUE"""),1.1221004E7)</f>
        <v>11221004</v>
      </c>
      <c r="D420" s="148">
        <f>IFERROR(__xludf.DUMMYFUNCTION("""COMPUTED_VALUE"""),1.51101065E8)</f>
        <v>151101065</v>
      </c>
      <c r="E420" s="148" t="str">
        <f>IFERROR(__xludf.DUMMYFUNCTION("""COMPUTED_VALUE"""),"{""typ"":""lc"",""txt"":""LC_KVK_kvk5_monster_name_1""}")</f>
        <v>{"typ":"lc","txt":"LC_KVK_kvk5_monster_name_1"}</v>
      </c>
      <c r="F420" s="148" t="str">
        <f>IFERROR(__xludf.DUMMYFUNCTION("""COMPUTED_VALUE"""),"{""typ"":""lc"",""txt"":""LC_KVK_kvk5_monster_desc_1""}")</f>
        <v>{"typ":"lc","txt":"LC_KVK_kvk5_monster_desc_1"}</v>
      </c>
      <c r="G420" s="148">
        <f>IFERROR(__xludf.DUMMYFUNCTION("""COMPUTED_VALUE"""),10.0)</f>
        <v>10</v>
      </c>
      <c r="H420" s="148">
        <f>IFERROR(__xludf.DUMMYFUNCTION("""COMPUTED_VALUE"""),10099.0)</f>
        <v>10099</v>
      </c>
      <c r="I420" s="148">
        <f>IFERROR(__xludf.DUMMYFUNCTION("""COMPUTED_VALUE"""),10099.0)</f>
        <v>10099</v>
      </c>
      <c r="J420" s="148">
        <f>IFERROR(__xludf.DUMMYFUNCTION("""COMPUTED_VALUE"""),0.0)</f>
        <v>0</v>
      </c>
      <c r="K420" s="148">
        <f>IFERROR(__xludf.DUMMYFUNCTION("""COMPUTED_VALUE"""),10.0)</f>
        <v>10</v>
      </c>
      <c r="L420" s="148">
        <f>IFERROR(__xludf.DUMMYFUNCTION("""COMPUTED_VALUE"""),99.0)</f>
        <v>99</v>
      </c>
      <c r="M420" s="148">
        <f>IFERROR(__xludf.DUMMYFUNCTION("""COMPUTED_VALUE"""),0.0)</f>
        <v>0</v>
      </c>
      <c r="N420" s="148" t="str">
        <f>IFERROR(__xludf.DUMMYFUNCTION("""COMPUTED_VALUE"""),"[]")</f>
        <v>[]</v>
      </c>
      <c r="O420" s="148" t="str">
        <f>IFERROR(__xludf.DUMMYFUNCTION("""COMPUTED_VALUE"""),"{}")</f>
        <v>{}</v>
      </c>
      <c r="P420" s="148">
        <f>IFERROR(__xludf.DUMMYFUNCTION("""COMPUTED_VALUE"""),0.0)</f>
        <v>0</v>
      </c>
      <c r="Q420" s="148" t="str">
        <f>IFERROR(__xludf.DUMMYFUNCTION("""COMPUTED_VALUE"""),"[]")</f>
        <v>[]</v>
      </c>
      <c r="R420" s="148" t="str">
        <f>IFERROR(__xludf.DUMMYFUNCTION("""COMPUTED_VALUE"""),"{}")</f>
        <v>{}</v>
      </c>
      <c r="S420" s="148">
        <f>IFERROR(__xludf.DUMMYFUNCTION("""COMPUTED_VALUE"""),0.0)</f>
        <v>0</v>
      </c>
      <c r="T420" s="148" t="str">
        <f>IFERROR(__xludf.DUMMYFUNCTION("""COMPUTED_VALUE"""),"[]")</f>
        <v>[]</v>
      </c>
      <c r="U420" s="148">
        <f>IFERROR(__xludf.DUMMYFUNCTION("""COMPUTED_VALUE"""),0.0)</f>
        <v>0</v>
      </c>
      <c r="V420" s="148" t="str">
        <f>IFERROR(__xludf.DUMMYFUNCTION("""COMPUTED_VALUE"""),"{}")</f>
        <v>{}</v>
      </c>
      <c r="W420" s="148" t="str">
        <f>IFERROR(__xludf.DUMMYFUNCTION("""COMPUTED_VALUE"""),"[]")</f>
        <v>[]</v>
      </c>
      <c r="X420" s="148" t="str">
        <f>IFERROR(__xludf.DUMMYFUNCTION("""COMPUTED_VALUE"""),"[{""typ"":""power"",""id"":12141002,""val"":5}]")</f>
        <v>[{"typ":"power","id":12141002,"val":5}]</v>
      </c>
      <c r="Y420" s="148" t="str">
        <f>IFERROR(__xludf.DUMMYFUNCTION("""COMPUTED_VALUE"""),"[{""typ"":""atk"",""val"":160},{""typ"":""def"",""val"":160},{""typ"":""hp"",""val"":160},{""typ"":""speed"",""val"":60},{""typ"":""load"",""val"":20},{""typ"":""backcoef"",""val"":0.5},{""typ"":""atkcoef"",""val"":1.0},{""typ"":""atkcd"",""val"":0}]")</f>
        <v>[{"typ":"atk","val":160},{"typ":"def","val":160},{"typ":"hp","val":160},{"typ":"speed","val":60},{"typ":"load","val":20},{"typ":"backcoef","val":0.5},{"typ":"atkcoef","val":1.0},{"typ":"atkcd","val":0}]</v>
      </c>
      <c r="Z420" s="148" t="str">
        <f>IFERROR(__xludf.DUMMYFUNCTION("""COMPUTED_VALUE"""),"[]")</f>
        <v>[]</v>
      </c>
    </row>
    <row r="421">
      <c r="A421" s="148">
        <f>IFERROR(__xludf.DUMMYFUNCTION("""COMPUTED_VALUE"""),1.1219326E7)</f>
        <v>11219326</v>
      </c>
      <c r="B421" s="148" t="str">
        <f>IFERROR(__xludf.DUMMYFUNCTION("""COMPUTED_VALUE"""),"KVK5-GVE小雪怪蓝-地狱")</f>
        <v>KVK5-GVE小雪怪蓝-地狱</v>
      </c>
      <c r="C421" s="148">
        <f>IFERROR(__xludf.DUMMYFUNCTION("""COMPUTED_VALUE"""),1.1221004E7)</f>
        <v>11221004</v>
      </c>
      <c r="D421" s="148">
        <f>IFERROR(__xludf.DUMMYFUNCTION("""COMPUTED_VALUE"""),1.51101066E8)</f>
        <v>151101066</v>
      </c>
      <c r="E421" s="148" t="str">
        <f>IFERROR(__xludf.DUMMYFUNCTION("""COMPUTED_VALUE"""),"{""typ"":""lc"",""txt"":""LC_KVK_kvk5_monster_name_1""}")</f>
        <v>{"typ":"lc","txt":"LC_KVK_kvk5_monster_name_1"}</v>
      </c>
      <c r="F421" s="148" t="str">
        <f>IFERROR(__xludf.DUMMYFUNCTION("""COMPUTED_VALUE"""),"{""typ"":""lc"",""txt"":""LC_KVK_kvk5_monster_desc_1""}")</f>
        <v>{"typ":"lc","txt":"LC_KVK_kvk5_monster_desc_1"}</v>
      </c>
      <c r="G421" s="148">
        <f>IFERROR(__xludf.DUMMYFUNCTION("""COMPUTED_VALUE"""),10.0)</f>
        <v>10</v>
      </c>
      <c r="H421" s="148">
        <f>IFERROR(__xludf.DUMMYFUNCTION("""COMPUTED_VALUE"""),10099.0)</f>
        <v>10099</v>
      </c>
      <c r="I421" s="148">
        <f>IFERROR(__xludf.DUMMYFUNCTION("""COMPUTED_VALUE"""),10099.0)</f>
        <v>10099</v>
      </c>
      <c r="J421" s="148">
        <f>IFERROR(__xludf.DUMMYFUNCTION("""COMPUTED_VALUE"""),0.0)</f>
        <v>0</v>
      </c>
      <c r="K421" s="148">
        <f>IFERROR(__xludf.DUMMYFUNCTION("""COMPUTED_VALUE"""),10.0)</f>
        <v>10</v>
      </c>
      <c r="L421" s="148">
        <f>IFERROR(__xludf.DUMMYFUNCTION("""COMPUTED_VALUE"""),99.0)</f>
        <v>99</v>
      </c>
      <c r="M421" s="148">
        <f>IFERROR(__xludf.DUMMYFUNCTION("""COMPUTED_VALUE"""),0.0)</f>
        <v>0</v>
      </c>
      <c r="N421" s="148" t="str">
        <f>IFERROR(__xludf.DUMMYFUNCTION("""COMPUTED_VALUE"""),"[]")</f>
        <v>[]</v>
      </c>
      <c r="O421" s="148" t="str">
        <f>IFERROR(__xludf.DUMMYFUNCTION("""COMPUTED_VALUE"""),"{}")</f>
        <v>{}</v>
      </c>
      <c r="P421" s="148">
        <f>IFERROR(__xludf.DUMMYFUNCTION("""COMPUTED_VALUE"""),0.0)</f>
        <v>0</v>
      </c>
      <c r="Q421" s="148" t="str">
        <f>IFERROR(__xludf.DUMMYFUNCTION("""COMPUTED_VALUE"""),"[]")</f>
        <v>[]</v>
      </c>
      <c r="R421" s="148" t="str">
        <f>IFERROR(__xludf.DUMMYFUNCTION("""COMPUTED_VALUE"""),"{}")</f>
        <v>{}</v>
      </c>
      <c r="S421" s="148">
        <f>IFERROR(__xludf.DUMMYFUNCTION("""COMPUTED_VALUE"""),0.0)</f>
        <v>0</v>
      </c>
      <c r="T421" s="148" t="str">
        <f>IFERROR(__xludf.DUMMYFUNCTION("""COMPUTED_VALUE"""),"[]")</f>
        <v>[]</v>
      </c>
      <c r="U421" s="148">
        <f>IFERROR(__xludf.DUMMYFUNCTION("""COMPUTED_VALUE"""),0.0)</f>
        <v>0</v>
      </c>
      <c r="V421" s="148" t="str">
        <f>IFERROR(__xludf.DUMMYFUNCTION("""COMPUTED_VALUE"""),"{}")</f>
        <v>{}</v>
      </c>
      <c r="W421" s="148" t="str">
        <f>IFERROR(__xludf.DUMMYFUNCTION("""COMPUTED_VALUE"""),"[]")</f>
        <v>[]</v>
      </c>
      <c r="X421" s="148" t="str">
        <f>IFERROR(__xludf.DUMMYFUNCTION("""COMPUTED_VALUE"""),"[{""typ"":""power"",""id"":12141002,""val"":5}]")</f>
        <v>[{"typ":"power","id":12141002,"val":5}]</v>
      </c>
      <c r="Y421" s="148" t="str">
        <f>IFERROR(__xludf.DUMMYFUNCTION("""COMPUTED_VALUE"""),"[{""typ"":""atk"",""val"":160},{""typ"":""def"",""val"":160},{""typ"":""hp"",""val"":160},{""typ"":""speed"",""val"":45},{""typ"":""load"",""val"":20},{""typ"":""backcoef"",""val"":0.5},{""typ"":""atkcoef"",""val"":1.0},{""typ"":""atkcd"",""val"":0}]")</f>
        <v>[{"typ":"atk","val":160},{"typ":"def","val":160},{"typ":"hp","val":160},{"typ":"speed","val":45},{"typ":"load","val":20},{"typ":"backcoef","val":0.5},{"typ":"atkcoef","val":1.0},{"typ":"atkcd","val":0}]</v>
      </c>
      <c r="Z421" s="148" t="str">
        <f>IFERROR(__xludf.DUMMYFUNCTION("""COMPUTED_VALUE"""),"[]")</f>
        <v>[]</v>
      </c>
    </row>
    <row r="422">
      <c r="A422" s="148">
        <f>IFERROR(__xludf.DUMMYFUNCTION("""COMPUTED_VALUE"""),1.1219327E7)</f>
        <v>11219327</v>
      </c>
      <c r="B422" s="148" t="str">
        <f>IFERROR(__xludf.DUMMYFUNCTION("""COMPUTED_VALUE"""),"KVK5-GVE小雪怪紫-地狱")</f>
        <v>KVK5-GVE小雪怪紫-地狱</v>
      </c>
      <c r="C422" s="148">
        <f>IFERROR(__xludf.DUMMYFUNCTION("""COMPUTED_VALUE"""),1.1221004E7)</f>
        <v>11221004</v>
      </c>
      <c r="D422" s="148">
        <f>IFERROR(__xludf.DUMMYFUNCTION("""COMPUTED_VALUE"""),1.51101066E8)</f>
        <v>151101066</v>
      </c>
      <c r="E422" s="148" t="str">
        <f>IFERROR(__xludf.DUMMYFUNCTION("""COMPUTED_VALUE"""),"{""typ"":""lc"",""txt"":""LC_KVK_kvk5_monster_name_1""}")</f>
        <v>{"typ":"lc","txt":"LC_KVK_kvk5_monster_name_1"}</v>
      </c>
      <c r="F422" s="148" t="str">
        <f>IFERROR(__xludf.DUMMYFUNCTION("""COMPUTED_VALUE"""),"{""typ"":""lc"",""txt"":""LC_KVK_kvk5_monster_desc_1""}")</f>
        <v>{"typ":"lc","txt":"LC_KVK_kvk5_monster_desc_1"}</v>
      </c>
      <c r="G422" s="148">
        <f>IFERROR(__xludf.DUMMYFUNCTION("""COMPUTED_VALUE"""),10.0)</f>
        <v>10</v>
      </c>
      <c r="H422" s="148">
        <f>IFERROR(__xludf.DUMMYFUNCTION("""COMPUTED_VALUE"""),10099.0)</f>
        <v>10099</v>
      </c>
      <c r="I422" s="148">
        <f>IFERROR(__xludf.DUMMYFUNCTION("""COMPUTED_VALUE"""),10099.0)</f>
        <v>10099</v>
      </c>
      <c r="J422" s="148">
        <f>IFERROR(__xludf.DUMMYFUNCTION("""COMPUTED_VALUE"""),0.0)</f>
        <v>0</v>
      </c>
      <c r="K422" s="148">
        <f>IFERROR(__xludf.DUMMYFUNCTION("""COMPUTED_VALUE"""),10.0)</f>
        <v>10</v>
      </c>
      <c r="L422" s="148">
        <f>IFERROR(__xludf.DUMMYFUNCTION("""COMPUTED_VALUE"""),99.0)</f>
        <v>99</v>
      </c>
      <c r="M422" s="148">
        <f>IFERROR(__xludf.DUMMYFUNCTION("""COMPUTED_VALUE"""),0.0)</f>
        <v>0</v>
      </c>
      <c r="N422" s="148" t="str">
        <f>IFERROR(__xludf.DUMMYFUNCTION("""COMPUTED_VALUE"""),"[]")</f>
        <v>[]</v>
      </c>
      <c r="O422" s="148" t="str">
        <f>IFERROR(__xludf.DUMMYFUNCTION("""COMPUTED_VALUE"""),"{}")</f>
        <v>{}</v>
      </c>
      <c r="P422" s="148">
        <f>IFERROR(__xludf.DUMMYFUNCTION("""COMPUTED_VALUE"""),0.0)</f>
        <v>0</v>
      </c>
      <c r="Q422" s="148" t="str">
        <f>IFERROR(__xludf.DUMMYFUNCTION("""COMPUTED_VALUE"""),"[]")</f>
        <v>[]</v>
      </c>
      <c r="R422" s="148" t="str">
        <f>IFERROR(__xludf.DUMMYFUNCTION("""COMPUTED_VALUE"""),"{}")</f>
        <v>{}</v>
      </c>
      <c r="S422" s="148">
        <f>IFERROR(__xludf.DUMMYFUNCTION("""COMPUTED_VALUE"""),0.0)</f>
        <v>0</v>
      </c>
      <c r="T422" s="148" t="str">
        <f>IFERROR(__xludf.DUMMYFUNCTION("""COMPUTED_VALUE"""),"[]")</f>
        <v>[]</v>
      </c>
      <c r="U422" s="148">
        <f>IFERROR(__xludf.DUMMYFUNCTION("""COMPUTED_VALUE"""),0.0)</f>
        <v>0</v>
      </c>
      <c r="V422" s="148" t="str">
        <f>IFERROR(__xludf.DUMMYFUNCTION("""COMPUTED_VALUE"""),"{}")</f>
        <v>{}</v>
      </c>
      <c r="W422" s="148" t="str">
        <f>IFERROR(__xludf.DUMMYFUNCTION("""COMPUTED_VALUE"""),"[]")</f>
        <v>[]</v>
      </c>
      <c r="X422" s="148" t="str">
        <f>IFERROR(__xludf.DUMMYFUNCTION("""COMPUTED_VALUE"""),"[{""typ"":""power"",""id"":12141002,""val"":5}]")</f>
        <v>[{"typ":"power","id":12141002,"val":5}]</v>
      </c>
      <c r="Y422" s="148" t="str">
        <f>IFERROR(__xludf.DUMMYFUNCTION("""COMPUTED_VALUE"""),"[{""typ"":""atk"",""val"":160},{""typ"":""def"",""val"":160},{""typ"":""hp"",""val"":160},{""typ"":""speed"",""val"":120},{""typ"":""load"",""val"":20},{""typ"":""backcoef"",""val"":0.5},{""typ"":""atkcoef"",""val"":1.0},{""typ"":""atkcd"",""val"":0}]")</f>
        <v>[{"typ":"atk","val":160},{"typ":"def","val":160},{"typ":"hp","val":160},{"typ":"speed","val":120},{"typ":"load","val":20},{"typ":"backcoef","val":0.5},{"typ":"atkcoef","val":1.0},{"typ":"atkcd","val":0}]</v>
      </c>
      <c r="Z422" s="148" t="str">
        <f>IFERROR(__xludf.DUMMYFUNCTION("""COMPUTED_VALUE"""),"[]")</f>
        <v>[]</v>
      </c>
    </row>
    <row r="423">
      <c r="A423" s="148">
        <f>IFERROR(__xludf.DUMMYFUNCTION("""COMPUTED_VALUE"""),1.1219328E7)</f>
        <v>11219328</v>
      </c>
      <c r="B423" s="148" t="str">
        <f>IFERROR(__xludf.DUMMYFUNCTION("""COMPUTED_VALUE"""),"KVK5-GVE小雪怪橙-地狱")</f>
        <v>KVK5-GVE小雪怪橙-地狱</v>
      </c>
      <c r="C423" s="148">
        <f>IFERROR(__xludf.DUMMYFUNCTION("""COMPUTED_VALUE"""),1.1221004E7)</f>
        <v>11221004</v>
      </c>
      <c r="D423" s="148">
        <f>IFERROR(__xludf.DUMMYFUNCTION("""COMPUTED_VALUE"""),1.51101067E8)</f>
        <v>151101067</v>
      </c>
      <c r="E423" s="148" t="str">
        <f>IFERROR(__xludf.DUMMYFUNCTION("""COMPUTED_VALUE"""),"{""typ"":""lc"",""txt"":""LC_KVK_kvk5_monster_name_1""}")</f>
        <v>{"typ":"lc","txt":"LC_KVK_kvk5_monster_name_1"}</v>
      </c>
      <c r="F423" s="148" t="str">
        <f>IFERROR(__xludf.DUMMYFUNCTION("""COMPUTED_VALUE"""),"{""typ"":""lc"",""txt"":""LC_KVK_kvk5_monster_desc_1""}")</f>
        <v>{"typ":"lc","txt":"LC_KVK_kvk5_monster_desc_1"}</v>
      </c>
      <c r="G423" s="148">
        <f>IFERROR(__xludf.DUMMYFUNCTION("""COMPUTED_VALUE"""),10.0)</f>
        <v>10</v>
      </c>
      <c r="H423" s="148">
        <f>IFERROR(__xludf.DUMMYFUNCTION("""COMPUTED_VALUE"""),10099.0)</f>
        <v>10099</v>
      </c>
      <c r="I423" s="148">
        <f>IFERROR(__xludf.DUMMYFUNCTION("""COMPUTED_VALUE"""),10099.0)</f>
        <v>10099</v>
      </c>
      <c r="J423" s="148">
        <f>IFERROR(__xludf.DUMMYFUNCTION("""COMPUTED_VALUE"""),0.0)</f>
        <v>0</v>
      </c>
      <c r="K423" s="148">
        <f>IFERROR(__xludf.DUMMYFUNCTION("""COMPUTED_VALUE"""),10.0)</f>
        <v>10</v>
      </c>
      <c r="L423" s="148">
        <f>IFERROR(__xludf.DUMMYFUNCTION("""COMPUTED_VALUE"""),99.0)</f>
        <v>99</v>
      </c>
      <c r="M423" s="148">
        <f>IFERROR(__xludf.DUMMYFUNCTION("""COMPUTED_VALUE"""),0.0)</f>
        <v>0</v>
      </c>
      <c r="N423" s="148" t="str">
        <f>IFERROR(__xludf.DUMMYFUNCTION("""COMPUTED_VALUE"""),"[]")</f>
        <v>[]</v>
      </c>
      <c r="O423" s="148" t="str">
        <f>IFERROR(__xludf.DUMMYFUNCTION("""COMPUTED_VALUE"""),"{}")</f>
        <v>{}</v>
      </c>
      <c r="P423" s="148">
        <f>IFERROR(__xludf.DUMMYFUNCTION("""COMPUTED_VALUE"""),0.0)</f>
        <v>0</v>
      </c>
      <c r="Q423" s="148" t="str">
        <f>IFERROR(__xludf.DUMMYFUNCTION("""COMPUTED_VALUE"""),"[]")</f>
        <v>[]</v>
      </c>
      <c r="R423" s="148" t="str">
        <f>IFERROR(__xludf.DUMMYFUNCTION("""COMPUTED_VALUE"""),"{}")</f>
        <v>{}</v>
      </c>
      <c r="S423" s="148">
        <f>IFERROR(__xludf.DUMMYFUNCTION("""COMPUTED_VALUE"""),0.0)</f>
        <v>0</v>
      </c>
      <c r="T423" s="148" t="str">
        <f>IFERROR(__xludf.DUMMYFUNCTION("""COMPUTED_VALUE"""),"[]")</f>
        <v>[]</v>
      </c>
      <c r="U423" s="148">
        <f>IFERROR(__xludf.DUMMYFUNCTION("""COMPUTED_VALUE"""),0.0)</f>
        <v>0</v>
      </c>
      <c r="V423" s="148" t="str">
        <f>IFERROR(__xludf.DUMMYFUNCTION("""COMPUTED_VALUE"""),"{}")</f>
        <v>{}</v>
      </c>
      <c r="W423" s="148" t="str">
        <f>IFERROR(__xludf.DUMMYFUNCTION("""COMPUTED_VALUE"""),"[]")</f>
        <v>[]</v>
      </c>
      <c r="X423" s="148" t="str">
        <f>IFERROR(__xludf.DUMMYFUNCTION("""COMPUTED_VALUE"""),"[{""typ"":""power"",""id"":12141002,""val"":5}]")</f>
        <v>[{"typ":"power","id":12141002,"val":5}]</v>
      </c>
      <c r="Y423" s="148" t="str">
        <f>IFERROR(__xludf.DUMMYFUNCTION("""COMPUTED_VALUE"""),"[{""typ"":""atk"",""val"":160},{""typ"":""def"",""val"":160},{""typ"":""hp"",""val"":160},{""typ"":""speed"",""val"":45},{""typ"":""load"",""val"":20},{""typ"":""backcoef"",""val"":0.5},{""typ"":""atkcoef"",""val"":1.0},{""typ"":""atkcd"",""val"":0}]")</f>
        <v>[{"typ":"atk","val":160},{"typ":"def","val":160},{"typ":"hp","val":160},{"typ":"speed","val":45},{"typ":"load","val":20},{"typ":"backcoef","val":0.5},{"typ":"atkcoef","val":1.0},{"typ":"atkcd","val":0}]</v>
      </c>
      <c r="Z423" s="148" t="str">
        <f>IFERROR(__xludf.DUMMYFUNCTION("""COMPUTED_VALUE"""),"[]")</f>
        <v>[]</v>
      </c>
    </row>
    <row r="424">
      <c r="A424" s="148">
        <f>IFERROR(__xludf.DUMMYFUNCTION("""COMPUTED_VALUE"""),1.1219329E7)</f>
        <v>11219329</v>
      </c>
      <c r="B424" s="148" t="str">
        <f>IFERROR(__xludf.DUMMYFUNCTION("""COMPUTED_VALUE"""),"KVK5-GVE大雪怪白-地狱")</f>
        <v>KVK5-GVE大雪怪白-地狱</v>
      </c>
      <c r="C424" s="148">
        <f>IFERROR(__xludf.DUMMYFUNCTION("""COMPUTED_VALUE"""),1.1221004E7)</f>
        <v>11221004</v>
      </c>
      <c r="D424" s="148">
        <f>IFERROR(__xludf.DUMMYFUNCTION("""COMPUTED_VALUE"""),1.51101069E8)</f>
        <v>151101069</v>
      </c>
      <c r="E424" s="148" t="str">
        <f>IFERROR(__xludf.DUMMYFUNCTION("""COMPUTED_VALUE"""),"{""typ"":""lc"",""txt"":""LC_KVK_kvk5_monster_name_2""}")</f>
        <v>{"typ":"lc","txt":"LC_KVK_kvk5_monster_name_2"}</v>
      </c>
      <c r="F424" s="148" t="str">
        <f>IFERROR(__xludf.DUMMYFUNCTION("""COMPUTED_VALUE"""),"{""typ"":""lc"",""txt"":""LC_KVK_kvk5_monster_desc_2""}")</f>
        <v>{"typ":"lc","txt":"LC_KVK_kvk5_monster_desc_2"}</v>
      </c>
      <c r="G424" s="148">
        <f>IFERROR(__xludf.DUMMYFUNCTION("""COMPUTED_VALUE"""),10.0)</f>
        <v>10</v>
      </c>
      <c r="H424" s="148">
        <f>IFERROR(__xludf.DUMMYFUNCTION("""COMPUTED_VALUE"""),10099.0)</f>
        <v>10099</v>
      </c>
      <c r="I424" s="148">
        <f>IFERROR(__xludf.DUMMYFUNCTION("""COMPUTED_VALUE"""),10099.0)</f>
        <v>10099</v>
      </c>
      <c r="J424" s="148">
        <f>IFERROR(__xludf.DUMMYFUNCTION("""COMPUTED_VALUE"""),0.0)</f>
        <v>0</v>
      </c>
      <c r="K424" s="148">
        <f>IFERROR(__xludf.DUMMYFUNCTION("""COMPUTED_VALUE"""),10.0)</f>
        <v>10</v>
      </c>
      <c r="L424" s="148">
        <f>IFERROR(__xludf.DUMMYFUNCTION("""COMPUTED_VALUE"""),99.0)</f>
        <v>99</v>
      </c>
      <c r="M424" s="148">
        <f>IFERROR(__xludf.DUMMYFUNCTION("""COMPUTED_VALUE"""),0.0)</f>
        <v>0</v>
      </c>
      <c r="N424" s="148" t="str">
        <f>IFERROR(__xludf.DUMMYFUNCTION("""COMPUTED_VALUE"""),"[]")</f>
        <v>[]</v>
      </c>
      <c r="O424" s="148" t="str">
        <f>IFERROR(__xludf.DUMMYFUNCTION("""COMPUTED_VALUE"""),"{}")</f>
        <v>{}</v>
      </c>
      <c r="P424" s="148">
        <f>IFERROR(__xludf.DUMMYFUNCTION("""COMPUTED_VALUE"""),0.0)</f>
        <v>0</v>
      </c>
      <c r="Q424" s="148" t="str">
        <f>IFERROR(__xludf.DUMMYFUNCTION("""COMPUTED_VALUE"""),"[]")</f>
        <v>[]</v>
      </c>
      <c r="R424" s="148" t="str">
        <f>IFERROR(__xludf.DUMMYFUNCTION("""COMPUTED_VALUE"""),"{}")</f>
        <v>{}</v>
      </c>
      <c r="S424" s="148">
        <f>IFERROR(__xludf.DUMMYFUNCTION("""COMPUTED_VALUE"""),0.0)</f>
        <v>0</v>
      </c>
      <c r="T424" s="148" t="str">
        <f>IFERROR(__xludf.DUMMYFUNCTION("""COMPUTED_VALUE"""),"[]")</f>
        <v>[]</v>
      </c>
      <c r="U424" s="148">
        <f>IFERROR(__xludf.DUMMYFUNCTION("""COMPUTED_VALUE"""),0.0)</f>
        <v>0</v>
      </c>
      <c r="V424" s="148" t="str">
        <f>IFERROR(__xludf.DUMMYFUNCTION("""COMPUTED_VALUE"""),"{}")</f>
        <v>{}</v>
      </c>
      <c r="W424" s="148" t="str">
        <f>IFERROR(__xludf.DUMMYFUNCTION("""COMPUTED_VALUE"""),"[]")</f>
        <v>[]</v>
      </c>
      <c r="X424" s="148" t="str">
        <f>IFERROR(__xludf.DUMMYFUNCTION("""COMPUTED_VALUE"""),"[{""typ"":""power"",""id"":12141002,""val"":5}]")</f>
        <v>[{"typ":"power","id":12141002,"val":5}]</v>
      </c>
      <c r="Y424" s="148" t="str">
        <f>IFERROR(__xludf.DUMMYFUNCTION("""COMPUTED_VALUE"""),"[{""typ"":""atk"",""val"":160},{""typ"":""def"",""val"":160},{""typ"":""hp"",""val"":160},{""typ"":""speed"",""val"":30},{""typ"":""load"",""val"":20},{""typ"":""backcoef"",""val"":0.5},{""typ"":""atkcoef"",""val"":1.0},{""typ"":""atkcd"",""val"":0}]")</f>
        <v>[{"typ":"atk","val":160},{"typ":"def","val":160},{"typ":"hp","val":160},{"typ":"speed","val":30},{"typ":"load","val":20},{"typ":"backcoef","val":0.5},{"typ":"atkcoef","val":1.0},{"typ":"atkcd","val":0}]</v>
      </c>
      <c r="Z424" s="148" t="str">
        <f>IFERROR(__xludf.DUMMYFUNCTION("""COMPUTED_VALUE"""),"[]")</f>
        <v>[]</v>
      </c>
    </row>
    <row r="425">
      <c r="A425" s="148">
        <f>IFERROR(__xludf.DUMMYFUNCTION("""COMPUTED_VALUE"""),1.121933E7)</f>
        <v>11219330</v>
      </c>
      <c r="B425" s="148" t="str">
        <f>IFERROR(__xludf.DUMMYFUNCTION("""COMPUTED_VALUE"""),"KVK5-GVE大雪怪蓝-地狱")</f>
        <v>KVK5-GVE大雪怪蓝-地狱</v>
      </c>
      <c r="C425" s="148">
        <f>IFERROR(__xludf.DUMMYFUNCTION("""COMPUTED_VALUE"""),1.1221004E7)</f>
        <v>11221004</v>
      </c>
      <c r="D425" s="148">
        <f>IFERROR(__xludf.DUMMYFUNCTION("""COMPUTED_VALUE"""),1.5110107E8)</f>
        <v>151101070</v>
      </c>
      <c r="E425" s="148" t="str">
        <f>IFERROR(__xludf.DUMMYFUNCTION("""COMPUTED_VALUE"""),"{""typ"":""lc"",""txt"":""LC_KVK_kvk5_monster_name_2""}")</f>
        <v>{"typ":"lc","txt":"LC_KVK_kvk5_monster_name_2"}</v>
      </c>
      <c r="F425" s="148" t="str">
        <f>IFERROR(__xludf.DUMMYFUNCTION("""COMPUTED_VALUE"""),"{""typ"":""lc"",""txt"":""LC_KVK_kvk5_monster_desc_2""}")</f>
        <v>{"typ":"lc","txt":"LC_KVK_kvk5_monster_desc_2"}</v>
      </c>
      <c r="G425" s="148">
        <f>IFERROR(__xludf.DUMMYFUNCTION("""COMPUTED_VALUE"""),10.0)</f>
        <v>10</v>
      </c>
      <c r="H425" s="148">
        <f>IFERROR(__xludf.DUMMYFUNCTION("""COMPUTED_VALUE"""),10099.0)</f>
        <v>10099</v>
      </c>
      <c r="I425" s="148">
        <f>IFERROR(__xludf.DUMMYFUNCTION("""COMPUTED_VALUE"""),10099.0)</f>
        <v>10099</v>
      </c>
      <c r="J425" s="148">
        <f>IFERROR(__xludf.DUMMYFUNCTION("""COMPUTED_VALUE"""),0.0)</f>
        <v>0</v>
      </c>
      <c r="K425" s="148">
        <f>IFERROR(__xludf.DUMMYFUNCTION("""COMPUTED_VALUE"""),10.0)</f>
        <v>10</v>
      </c>
      <c r="L425" s="148">
        <f>IFERROR(__xludf.DUMMYFUNCTION("""COMPUTED_VALUE"""),99.0)</f>
        <v>99</v>
      </c>
      <c r="M425" s="148">
        <f>IFERROR(__xludf.DUMMYFUNCTION("""COMPUTED_VALUE"""),0.0)</f>
        <v>0</v>
      </c>
      <c r="N425" s="148" t="str">
        <f>IFERROR(__xludf.DUMMYFUNCTION("""COMPUTED_VALUE"""),"[]")</f>
        <v>[]</v>
      </c>
      <c r="O425" s="148" t="str">
        <f>IFERROR(__xludf.DUMMYFUNCTION("""COMPUTED_VALUE"""),"{}")</f>
        <v>{}</v>
      </c>
      <c r="P425" s="148">
        <f>IFERROR(__xludf.DUMMYFUNCTION("""COMPUTED_VALUE"""),0.0)</f>
        <v>0</v>
      </c>
      <c r="Q425" s="148" t="str">
        <f>IFERROR(__xludf.DUMMYFUNCTION("""COMPUTED_VALUE"""),"[]")</f>
        <v>[]</v>
      </c>
      <c r="R425" s="148" t="str">
        <f>IFERROR(__xludf.DUMMYFUNCTION("""COMPUTED_VALUE"""),"{}")</f>
        <v>{}</v>
      </c>
      <c r="S425" s="148">
        <f>IFERROR(__xludf.DUMMYFUNCTION("""COMPUTED_VALUE"""),0.0)</f>
        <v>0</v>
      </c>
      <c r="T425" s="148" t="str">
        <f>IFERROR(__xludf.DUMMYFUNCTION("""COMPUTED_VALUE"""),"[]")</f>
        <v>[]</v>
      </c>
      <c r="U425" s="148">
        <f>IFERROR(__xludf.DUMMYFUNCTION("""COMPUTED_VALUE"""),0.0)</f>
        <v>0</v>
      </c>
      <c r="V425" s="148" t="str">
        <f>IFERROR(__xludf.DUMMYFUNCTION("""COMPUTED_VALUE"""),"{}")</f>
        <v>{}</v>
      </c>
      <c r="W425" s="148" t="str">
        <f>IFERROR(__xludf.DUMMYFUNCTION("""COMPUTED_VALUE"""),"[]")</f>
        <v>[]</v>
      </c>
      <c r="X425" s="148" t="str">
        <f>IFERROR(__xludf.DUMMYFUNCTION("""COMPUTED_VALUE"""),"[{""typ"":""power"",""id"":12141002,""val"":5}]")</f>
        <v>[{"typ":"power","id":12141002,"val":5}]</v>
      </c>
      <c r="Y425" s="148" t="str">
        <f>IFERROR(__xludf.DUMMYFUNCTION("""COMPUTED_VALUE"""),"[{""typ"":""atk"",""val"":160},{""typ"":""def"",""val"":160},{""typ"":""hp"",""val"":160},{""typ"":""speed"",""val"":30},{""typ"":""load"",""val"":20},{""typ"":""backcoef"",""val"":0.5},{""typ"":""atkcoef"",""val"":1.0},{""typ"":""atkcd"",""val"":0}]")</f>
        <v>[{"typ":"atk","val":160},{"typ":"def","val":160},{"typ":"hp","val":160},{"typ":"speed","val":30},{"typ":"load","val":20},{"typ":"backcoef","val":0.5},{"typ":"atkcoef","val":1.0},{"typ":"atkcd","val":0}]</v>
      </c>
      <c r="Z425" s="148" t="str">
        <f>IFERROR(__xludf.DUMMYFUNCTION("""COMPUTED_VALUE"""),"[]")</f>
        <v>[]</v>
      </c>
    </row>
    <row r="426">
      <c r="A426" s="148">
        <f>IFERROR(__xludf.DUMMYFUNCTION("""COMPUTED_VALUE"""),1.1219331E7)</f>
        <v>11219331</v>
      </c>
      <c r="B426" s="148" t="str">
        <f>IFERROR(__xludf.DUMMYFUNCTION("""COMPUTED_VALUE"""),"KVK5-GVE大雪怪紫-地狱")</f>
        <v>KVK5-GVE大雪怪紫-地狱</v>
      </c>
      <c r="C426" s="148">
        <f>IFERROR(__xludf.DUMMYFUNCTION("""COMPUTED_VALUE"""),1.1221004E7)</f>
        <v>11221004</v>
      </c>
      <c r="D426" s="148">
        <f>IFERROR(__xludf.DUMMYFUNCTION("""COMPUTED_VALUE"""),1.5110107E8)</f>
        <v>151101070</v>
      </c>
      <c r="E426" s="148" t="str">
        <f>IFERROR(__xludf.DUMMYFUNCTION("""COMPUTED_VALUE"""),"{""typ"":""lc"",""txt"":""LC_KVK_kvk5_monster_name_2""}")</f>
        <v>{"typ":"lc","txt":"LC_KVK_kvk5_monster_name_2"}</v>
      </c>
      <c r="F426" s="148" t="str">
        <f>IFERROR(__xludf.DUMMYFUNCTION("""COMPUTED_VALUE"""),"{""typ"":""lc"",""txt"":""LC_KVK_kvk5_monster_desc_2""}")</f>
        <v>{"typ":"lc","txt":"LC_KVK_kvk5_monster_desc_2"}</v>
      </c>
      <c r="G426" s="148">
        <f>IFERROR(__xludf.DUMMYFUNCTION("""COMPUTED_VALUE"""),10.0)</f>
        <v>10</v>
      </c>
      <c r="H426" s="148">
        <f>IFERROR(__xludf.DUMMYFUNCTION("""COMPUTED_VALUE"""),10099.0)</f>
        <v>10099</v>
      </c>
      <c r="I426" s="148">
        <f>IFERROR(__xludf.DUMMYFUNCTION("""COMPUTED_VALUE"""),10099.0)</f>
        <v>10099</v>
      </c>
      <c r="J426" s="148">
        <f>IFERROR(__xludf.DUMMYFUNCTION("""COMPUTED_VALUE"""),0.0)</f>
        <v>0</v>
      </c>
      <c r="K426" s="148">
        <f>IFERROR(__xludf.DUMMYFUNCTION("""COMPUTED_VALUE"""),10.0)</f>
        <v>10</v>
      </c>
      <c r="L426" s="148">
        <f>IFERROR(__xludf.DUMMYFUNCTION("""COMPUTED_VALUE"""),99.0)</f>
        <v>99</v>
      </c>
      <c r="M426" s="148">
        <f>IFERROR(__xludf.DUMMYFUNCTION("""COMPUTED_VALUE"""),0.0)</f>
        <v>0</v>
      </c>
      <c r="N426" s="148" t="str">
        <f>IFERROR(__xludf.DUMMYFUNCTION("""COMPUTED_VALUE"""),"[]")</f>
        <v>[]</v>
      </c>
      <c r="O426" s="148" t="str">
        <f>IFERROR(__xludf.DUMMYFUNCTION("""COMPUTED_VALUE"""),"{}")</f>
        <v>{}</v>
      </c>
      <c r="P426" s="148">
        <f>IFERROR(__xludf.DUMMYFUNCTION("""COMPUTED_VALUE"""),0.0)</f>
        <v>0</v>
      </c>
      <c r="Q426" s="148" t="str">
        <f>IFERROR(__xludf.DUMMYFUNCTION("""COMPUTED_VALUE"""),"[]")</f>
        <v>[]</v>
      </c>
      <c r="R426" s="148" t="str">
        <f>IFERROR(__xludf.DUMMYFUNCTION("""COMPUTED_VALUE"""),"{}")</f>
        <v>{}</v>
      </c>
      <c r="S426" s="148">
        <f>IFERROR(__xludf.DUMMYFUNCTION("""COMPUTED_VALUE"""),0.0)</f>
        <v>0</v>
      </c>
      <c r="T426" s="148" t="str">
        <f>IFERROR(__xludf.DUMMYFUNCTION("""COMPUTED_VALUE"""),"[]")</f>
        <v>[]</v>
      </c>
      <c r="U426" s="148">
        <f>IFERROR(__xludf.DUMMYFUNCTION("""COMPUTED_VALUE"""),0.0)</f>
        <v>0</v>
      </c>
      <c r="V426" s="148" t="str">
        <f>IFERROR(__xludf.DUMMYFUNCTION("""COMPUTED_VALUE"""),"{}")</f>
        <v>{}</v>
      </c>
      <c r="W426" s="148" t="str">
        <f>IFERROR(__xludf.DUMMYFUNCTION("""COMPUTED_VALUE"""),"[]")</f>
        <v>[]</v>
      </c>
      <c r="X426" s="148" t="str">
        <f>IFERROR(__xludf.DUMMYFUNCTION("""COMPUTED_VALUE"""),"[{""typ"":""power"",""id"":12141002,""val"":5}]")</f>
        <v>[{"typ":"power","id":12141002,"val":5}]</v>
      </c>
      <c r="Y426" s="148" t="str">
        <f>IFERROR(__xludf.DUMMYFUNCTION("""COMPUTED_VALUE"""),"[{""typ"":""atk"",""val"":160},{""typ"":""def"",""val"":160},{""typ"":""hp"",""val"":160},{""typ"":""speed"",""val"":60},{""typ"":""load"",""val"":20},{""typ"":""backcoef"",""val"":0.5},{""typ"":""atkcoef"",""val"":1.0},{""typ"":""atkcd"",""val"":0}]")</f>
        <v>[{"typ":"atk","val":160},{"typ":"def","val":160},{"typ":"hp","val":160},{"typ":"speed","val":60},{"typ":"load","val":20},{"typ":"backcoef","val":0.5},{"typ":"atkcoef","val":1.0},{"typ":"atkcd","val":0}]</v>
      </c>
      <c r="Z426" s="148" t="str">
        <f>IFERROR(__xludf.DUMMYFUNCTION("""COMPUTED_VALUE"""),"[]")</f>
        <v>[]</v>
      </c>
    </row>
    <row r="427">
      <c r="A427" s="148">
        <f>IFERROR(__xludf.DUMMYFUNCTION("""COMPUTED_VALUE"""),1.1219332E7)</f>
        <v>11219332</v>
      </c>
      <c r="B427" s="148" t="str">
        <f>IFERROR(__xludf.DUMMYFUNCTION("""COMPUTED_VALUE"""),"KVK5-GVE大雪怪橙-地狱")</f>
        <v>KVK5-GVE大雪怪橙-地狱</v>
      </c>
      <c r="C427" s="148">
        <f>IFERROR(__xludf.DUMMYFUNCTION("""COMPUTED_VALUE"""),1.1221004E7)</f>
        <v>11221004</v>
      </c>
      <c r="D427" s="148">
        <f>IFERROR(__xludf.DUMMYFUNCTION("""COMPUTED_VALUE"""),1.51101071E8)</f>
        <v>151101071</v>
      </c>
      <c r="E427" s="148" t="str">
        <f>IFERROR(__xludf.DUMMYFUNCTION("""COMPUTED_VALUE"""),"{""typ"":""lc"",""txt"":""LC_KVK_kvk5_monster_name_2""}")</f>
        <v>{"typ":"lc","txt":"LC_KVK_kvk5_monster_name_2"}</v>
      </c>
      <c r="F427" s="148" t="str">
        <f>IFERROR(__xludf.DUMMYFUNCTION("""COMPUTED_VALUE"""),"{""typ"":""lc"",""txt"":""LC_KVK_kvk5_monster_desc_2""}")</f>
        <v>{"typ":"lc","txt":"LC_KVK_kvk5_monster_desc_2"}</v>
      </c>
      <c r="G427" s="148">
        <f>IFERROR(__xludf.DUMMYFUNCTION("""COMPUTED_VALUE"""),10.0)</f>
        <v>10</v>
      </c>
      <c r="H427" s="148">
        <f>IFERROR(__xludf.DUMMYFUNCTION("""COMPUTED_VALUE"""),10099.0)</f>
        <v>10099</v>
      </c>
      <c r="I427" s="148">
        <f>IFERROR(__xludf.DUMMYFUNCTION("""COMPUTED_VALUE"""),10099.0)</f>
        <v>10099</v>
      </c>
      <c r="J427" s="148">
        <f>IFERROR(__xludf.DUMMYFUNCTION("""COMPUTED_VALUE"""),0.0)</f>
        <v>0</v>
      </c>
      <c r="K427" s="148">
        <f>IFERROR(__xludf.DUMMYFUNCTION("""COMPUTED_VALUE"""),10.0)</f>
        <v>10</v>
      </c>
      <c r="L427" s="148">
        <f>IFERROR(__xludf.DUMMYFUNCTION("""COMPUTED_VALUE"""),99.0)</f>
        <v>99</v>
      </c>
      <c r="M427" s="148">
        <f>IFERROR(__xludf.DUMMYFUNCTION("""COMPUTED_VALUE"""),0.0)</f>
        <v>0</v>
      </c>
      <c r="N427" s="148" t="str">
        <f>IFERROR(__xludf.DUMMYFUNCTION("""COMPUTED_VALUE"""),"[]")</f>
        <v>[]</v>
      </c>
      <c r="O427" s="148" t="str">
        <f>IFERROR(__xludf.DUMMYFUNCTION("""COMPUTED_VALUE"""),"{}")</f>
        <v>{}</v>
      </c>
      <c r="P427" s="148">
        <f>IFERROR(__xludf.DUMMYFUNCTION("""COMPUTED_VALUE"""),0.0)</f>
        <v>0</v>
      </c>
      <c r="Q427" s="148" t="str">
        <f>IFERROR(__xludf.DUMMYFUNCTION("""COMPUTED_VALUE"""),"[]")</f>
        <v>[]</v>
      </c>
      <c r="R427" s="148" t="str">
        <f>IFERROR(__xludf.DUMMYFUNCTION("""COMPUTED_VALUE"""),"{}")</f>
        <v>{}</v>
      </c>
      <c r="S427" s="148">
        <f>IFERROR(__xludf.DUMMYFUNCTION("""COMPUTED_VALUE"""),0.0)</f>
        <v>0</v>
      </c>
      <c r="T427" s="148" t="str">
        <f>IFERROR(__xludf.DUMMYFUNCTION("""COMPUTED_VALUE"""),"[]")</f>
        <v>[]</v>
      </c>
      <c r="U427" s="148">
        <f>IFERROR(__xludf.DUMMYFUNCTION("""COMPUTED_VALUE"""),0.0)</f>
        <v>0</v>
      </c>
      <c r="V427" s="148" t="str">
        <f>IFERROR(__xludf.DUMMYFUNCTION("""COMPUTED_VALUE"""),"{}")</f>
        <v>{}</v>
      </c>
      <c r="W427" s="148" t="str">
        <f>IFERROR(__xludf.DUMMYFUNCTION("""COMPUTED_VALUE"""),"[]")</f>
        <v>[]</v>
      </c>
      <c r="X427" s="148" t="str">
        <f>IFERROR(__xludf.DUMMYFUNCTION("""COMPUTED_VALUE"""),"[{""typ"":""power"",""id"":12141002,""val"":5}]")</f>
        <v>[{"typ":"power","id":12141002,"val":5}]</v>
      </c>
      <c r="Y427" s="148" t="str">
        <f>IFERROR(__xludf.DUMMYFUNCTION("""COMPUTED_VALUE"""),"[{""typ"":""atk"",""val"":160},{""typ"":""def"",""val"":160},{""typ"":""hp"",""val"":160},{""typ"":""speed"",""val"":30},{""typ"":""load"",""val"":20},{""typ"":""backcoef"",""val"":0.5},{""typ"":""atkcoef"",""val"":1.0},{""typ"":""atkcd"",""val"":0}]")</f>
        <v>[{"typ":"atk","val":160},{"typ":"def","val":160},{"typ":"hp","val":160},{"typ":"speed","val":30},{"typ":"load","val":20},{"typ":"backcoef","val":0.5},{"typ":"atkcoef","val":1.0},{"typ":"atkcd","val":0}]</v>
      </c>
      <c r="Z427" s="148" t="str">
        <f>IFERROR(__xludf.DUMMYFUNCTION("""COMPUTED_VALUE"""),"[]")</f>
        <v>[]</v>
      </c>
    </row>
    <row r="428">
      <c r="A428" s="148">
        <f>IFERROR(__xludf.DUMMYFUNCTION("""COMPUTED_VALUE"""),1.1219401E7)</f>
        <v>11219401</v>
      </c>
      <c r="B428" s="148" t="str">
        <f>IFERROR(__xludf.DUMMYFUNCTION("""COMPUTED_VALUE"""),"关卡部队T1")</f>
        <v>关卡部队T1</v>
      </c>
      <c r="C428" s="148">
        <f>IFERROR(__xludf.DUMMYFUNCTION("""COMPUTED_VALUE"""),1.1221004E7)</f>
        <v>11221004</v>
      </c>
      <c r="D428" s="148">
        <f>IFERROR(__xludf.DUMMYFUNCTION("""COMPUTED_VALUE"""),1.5110234E7)</f>
        <v>15110234</v>
      </c>
      <c r="E428" s="148" t="str">
        <f>IFERROR(__xludf.DUMMYFUNCTION("""COMPUTED_VALUE"""),"{}")</f>
        <v>{}</v>
      </c>
      <c r="F428" s="148" t="str">
        <f>IFERROR(__xludf.DUMMYFUNCTION("""COMPUTED_VALUE"""),"{}")</f>
        <v>{}</v>
      </c>
      <c r="G428" s="148">
        <f>IFERROR(__xludf.DUMMYFUNCTION("""COMPUTED_VALUE"""),2.0)</f>
        <v>2</v>
      </c>
      <c r="H428" s="148">
        <f>IFERROR(__xludf.DUMMYFUNCTION("""COMPUTED_VALUE"""),10099.0)</f>
        <v>10099</v>
      </c>
      <c r="I428" s="148">
        <f>IFERROR(__xludf.DUMMYFUNCTION("""COMPUTED_VALUE"""),10099.0)</f>
        <v>10099</v>
      </c>
      <c r="J428" s="148">
        <f>IFERROR(__xludf.DUMMYFUNCTION("""COMPUTED_VALUE"""),0.0)</f>
        <v>0</v>
      </c>
      <c r="K428" s="148">
        <f>IFERROR(__xludf.DUMMYFUNCTION("""COMPUTED_VALUE"""),10.0)</f>
        <v>10</v>
      </c>
      <c r="L428" s="148">
        <f>IFERROR(__xludf.DUMMYFUNCTION("""COMPUTED_VALUE"""),50.0)</f>
        <v>50</v>
      </c>
      <c r="M428" s="148">
        <f>IFERROR(__xludf.DUMMYFUNCTION("""COMPUTED_VALUE"""),0.0)</f>
        <v>0</v>
      </c>
      <c r="N428" s="148" t="str">
        <f>IFERROR(__xludf.DUMMYFUNCTION("""COMPUTED_VALUE"""),"[]")</f>
        <v>[]</v>
      </c>
      <c r="O428" s="148" t="str">
        <f>IFERROR(__xludf.DUMMYFUNCTION("""COMPUTED_VALUE"""),"{}")</f>
        <v>{}</v>
      </c>
      <c r="P428" s="148">
        <f>IFERROR(__xludf.DUMMYFUNCTION("""COMPUTED_VALUE"""),0.0)</f>
        <v>0</v>
      </c>
      <c r="Q428" s="148" t="str">
        <f>IFERROR(__xludf.DUMMYFUNCTION("""COMPUTED_VALUE"""),"[]")</f>
        <v>[]</v>
      </c>
      <c r="R428" s="148" t="str">
        <f>IFERROR(__xludf.DUMMYFUNCTION("""COMPUTED_VALUE"""),"{}")</f>
        <v>{}</v>
      </c>
      <c r="S428" s="148">
        <f>IFERROR(__xludf.DUMMYFUNCTION("""COMPUTED_VALUE"""),0.0)</f>
        <v>0</v>
      </c>
      <c r="T428" s="148" t="str">
        <f>IFERROR(__xludf.DUMMYFUNCTION("""COMPUTED_VALUE"""),"[]")</f>
        <v>[]</v>
      </c>
      <c r="U428" s="148">
        <f>IFERROR(__xludf.DUMMYFUNCTION("""COMPUTED_VALUE"""),0.0)</f>
        <v>0</v>
      </c>
      <c r="V428" s="148" t="str">
        <f>IFERROR(__xludf.DUMMYFUNCTION("""COMPUTED_VALUE"""),"{}")</f>
        <v>{}</v>
      </c>
      <c r="W428" s="148" t="str">
        <f>IFERROR(__xludf.DUMMYFUNCTION("""COMPUTED_VALUE"""),"[]")</f>
        <v>[]</v>
      </c>
      <c r="X428" s="148" t="str">
        <f>IFERROR(__xludf.DUMMYFUNCTION("""COMPUTED_VALUE"""),"[{""typ"":""power"",""id"":12141002,""val"":1}]")</f>
        <v>[{"typ":"power","id":12141002,"val":1}]</v>
      </c>
      <c r="Y428" s="148" t="str">
        <f>IFERROR(__xludf.DUMMYFUNCTION("""COMPUTED_VALUE"""),"[{""typ"":""atk"",""val"":60},{""typ"":""def"",""val"":125},{""typ"":""hp"",""val"":120},{""typ"":""speed"",""val"":40},{""typ"":""load"",""val"":20},{""typ"":""backcoef"",""val"":0.5},{""typ"":""atkcoef"",""val"":1.0},{""typ"":""atkcd"",""val"":0}]")</f>
        <v>[{"typ":"atk","val":60},{"typ":"def","val":125},{"typ":"hp","val":120},{"typ":"speed","val":40},{"typ":"load","val":20},{"typ":"backcoef","val":0.5},{"typ":"atkcoef","val":1.0},{"typ":"atkcd","val":0}]</v>
      </c>
      <c r="Z428" s="148" t="str">
        <f>IFERROR(__xludf.DUMMYFUNCTION("""COMPUTED_VALUE"""),"[]")</f>
        <v>[]</v>
      </c>
    </row>
    <row r="429">
      <c r="A429" s="148">
        <f>IFERROR(__xludf.DUMMYFUNCTION("""COMPUTED_VALUE"""),1.1219402E7)</f>
        <v>11219402</v>
      </c>
      <c r="B429" s="148" t="str">
        <f>IFERROR(__xludf.DUMMYFUNCTION("""COMPUTED_VALUE"""),"关卡部队T2")</f>
        <v>关卡部队T2</v>
      </c>
      <c r="C429" s="148">
        <f>IFERROR(__xludf.DUMMYFUNCTION("""COMPUTED_VALUE"""),1.1221004E7)</f>
        <v>11221004</v>
      </c>
      <c r="D429" s="148">
        <f>IFERROR(__xludf.DUMMYFUNCTION("""COMPUTED_VALUE"""),1.5110234E7)</f>
        <v>15110234</v>
      </c>
      <c r="E429" s="148" t="str">
        <f>IFERROR(__xludf.DUMMYFUNCTION("""COMPUTED_VALUE"""),"{}")</f>
        <v>{}</v>
      </c>
      <c r="F429" s="148" t="str">
        <f>IFERROR(__xludf.DUMMYFUNCTION("""COMPUTED_VALUE"""),"{}")</f>
        <v>{}</v>
      </c>
      <c r="G429" s="148">
        <f>IFERROR(__xludf.DUMMYFUNCTION("""COMPUTED_VALUE"""),2.0)</f>
        <v>2</v>
      </c>
      <c r="H429" s="148">
        <f>IFERROR(__xludf.DUMMYFUNCTION("""COMPUTED_VALUE"""),10099.0)</f>
        <v>10099</v>
      </c>
      <c r="I429" s="148">
        <f>IFERROR(__xludf.DUMMYFUNCTION("""COMPUTED_VALUE"""),10099.0)</f>
        <v>10099</v>
      </c>
      <c r="J429" s="148">
        <f>IFERROR(__xludf.DUMMYFUNCTION("""COMPUTED_VALUE"""),0.0)</f>
        <v>0</v>
      </c>
      <c r="K429" s="148">
        <f>IFERROR(__xludf.DUMMYFUNCTION("""COMPUTED_VALUE"""),10.0)</f>
        <v>10</v>
      </c>
      <c r="L429" s="148">
        <f>IFERROR(__xludf.DUMMYFUNCTION("""COMPUTED_VALUE"""),50.0)</f>
        <v>50</v>
      </c>
      <c r="M429" s="148">
        <f>IFERROR(__xludf.DUMMYFUNCTION("""COMPUTED_VALUE"""),0.0)</f>
        <v>0</v>
      </c>
      <c r="N429" s="148" t="str">
        <f>IFERROR(__xludf.DUMMYFUNCTION("""COMPUTED_VALUE"""),"[]")</f>
        <v>[]</v>
      </c>
      <c r="O429" s="148" t="str">
        <f>IFERROR(__xludf.DUMMYFUNCTION("""COMPUTED_VALUE"""),"{}")</f>
        <v>{}</v>
      </c>
      <c r="P429" s="148">
        <f>IFERROR(__xludf.DUMMYFUNCTION("""COMPUTED_VALUE"""),0.0)</f>
        <v>0</v>
      </c>
      <c r="Q429" s="148" t="str">
        <f>IFERROR(__xludf.DUMMYFUNCTION("""COMPUTED_VALUE"""),"[]")</f>
        <v>[]</v>
      </c>
      <c r="R429" s="148" t="str">
        <f>IFERROR(__xludf.DUMMYFUNCTION("""COMPUTED_VALUE"""),"{}")</f>
        <v>{}</v>
      </c>
      <c r="S429" s="148">
        <f>IFERROR(__xludf.DUMMYFUNCTION("""COMPUTED_VALUE"""),0.0)</f>
        <v>0</v>
      </c>
      <c r="T429" s="148" t="str">
        <f>IFERROR(__xludf.DUMMYFUNCTION("""COMPUTED_VALUE"""),"[]")</f>
        <v>[]</v>
      </c>
      <c r="U429" s="148">
        <f>IFERROR(__xludf.DUMMYFUNCTION("""COMPUTED_VALUE"""),0.0)</f>
        <v>0</v>
      </c>
      <c r="V429" s="148" t="str">
        <f>IFERROR(__xludf.DUMMYFUNCTION("""COMPUTED_VALUE"""),"{}")</f>
        <v>{}</v>
      </c>
      <c r="W429" s="148" t="str">
        <f>IFERROR(__xludf.DUMMYFUNCTION("""COMPUTED_VALUE"""),"[]")</f>
        <v>[]</v>
      </c>
      <c r="X429" s="148" t="str">
        <f>IFERROR(__xludf.DUMMYFUNCTION("""COMPUTED_VALUE"""),"[{""typ"":""power"",""id"":12141002,""val"":2}]")</f>
        <v>[{"typ":"power","id":12141002,"val":2}]</v>
      </c>
      <c r="Y429" s="148" t="str">
        <f>IFERROR(__xludf.DUMMYFUNCTION("""COMPUTED_VALUE"""),"[{""typ"":""atk"",""val"":120},{""typ"":""def"",""val"":130},{""typ"":""hp"",""val"":130},{""typ"":""speed"",""val"":40},{""typ"":""load"",""val"":20},{""typ"":""backcoef"",""val"":0.5},{""typ"":""atkcoef"",""val"":1.0},{""typ"":""atkcd"",""val"":0}]")</f>
        <v>[{"typ":"atk","val":120},{"typ":"def","val":130},{"typ":"hp","val":130},{"typ":"speed","val":40},{"typ":"load","val":20},{"typ":"backcoef","val":0.5},{"typ":"atkcoef","val":1.0},{"typ":"atkcd","val":0}]</v>
      </c>
      <c r="Z429" s="148" t="str">
        <f>IFERROR(__xludf.DUMMYFUNCTION("""COMPUTED_VALUE"""),"[]")</f>
        <v>[]</v>
      </c>
    </row>
    <row r="430">
      <c r="A430" s="148">
        <f>IFERROR(__xludf.DUMMYFUNCTION("""COMPUTED_VALUE"""),1.1219403E7)</f>
        <v>11219403</v>
      </c>
      <c r="B430" s="148" t="str">
        <f>IFERROR(__xludf.DUMMYFUNCTION("""COMPUTED_VALUE"""),"关卡部队T3")</f>
        <v>关卡部队T3</v>
      </c>
      <c r="C430" s="148">
        <f>IFERROR(__xludf.DUMMYFUNCTION("""COMPUTED_VALUE"""),1.1221004E7)</f>
        <v>11221004</v>
      </c>
      <c r="D430" s="148">
        <f>IFERROR(__xludf.DUMMYFUNCTION("""COMPUTED_VALUE"""),1.5110234E7)</f>
        <v>15110234</v>
      </c>
      <c r="E430" s="148" t="str">
        <f>IFERROR(__xludf.DUMMYFUNCTION("""COMPUTED_VALUE"""),"{}")</f>
        <v>{}</v>
      </c>
      <c r="F430" s="148" t="str">
        <f>IFERROR(__xludf.DUMMYFUNCTION("""COMPUTED_VALUE"""),"{}")</f>
        <v>{}</v>
      </c>
      <c r="G430" s="148">
        <f>IFERROR(__xludf.DUMMYFUNCTION("""COMPUTED_VALUE"""),2.0)</f>
        <v>2</v>
      </c>
      <c r="H430" s="148">
        <f>IFERROR(__xludf.DUMMYFUNCTION("""COMPUTED_VALUE"""),10099.0)</f>
        <v>10099</v>
      </c>
      <c r="I430" s="148">
        <f>IFERROR(__xludf.DUMMYFUNCTION("""COMPUTED_VALUE"""),10099.0)</f>
        <v>10099</v>
      </c>
      <c r="J430" s="148">
        <f>IFERROR(__xludf.DUMMYFUNCTION("""COMPUTED_VALUE"""),0.0)</f>
        <v>0</v>
      </c>
      <c r="K430" s="148">
        <f>IFERROR(__xludf.DUMMYFUNCTION("""COMPUTED_VALUE"""),10.0)</f>
        <v>10</v>
      </c>
      <c r="L430" s="148">
        <f>IFERROR(__xludf.DUMMYFUNCTION("""COMPUTED_VALUE"""),50.0)</f>
        <v>50</v>
      </c>
      <c r="M430" s="148">
        <f>IFERROR(__xludf.DUMMYFUNCTION("""COMPUTED_VALUE"""),0.0)</f>
        <v>0</v>
      </c>
      <c r="N430" s="148" t="str">
        <f>IFERROR(__xludf.DUMMYFUNCTION("""COMPUTED_VALUE"""),"[]")</f>
        <v>[]</v>
      </c>
      <c r="O430" s="148" t="str">
        <f>IFERROR(__xludf.DUMMYFUNCTION("""COMPUTED_VALUE"""),"{}")</f>
        <v>{}</v>
      </c>
      <c r="P430" s="148">
        <f>IFERROR(__xludf.DUMMYFUNCTION("""COMPUTED_VALUE"""),0.0)</f>
        <v>0</v>
      </c>
      <c r="Q430" s="148" t="str">
        <f>IFERROR(__xludf.DUMMYFUNCTION("""COMPUTED_VALUE"""),"[]")</f>
        <v>[]</v>
      </c>
      <c r="R430" s="148" t="str">
        <f>IFERROR(__xludf.DUMMYFUNCTION("""COMPUTED_VALUE"""),"{}")</f>
        <v>{}</v>
      </c>
      <c r="S430" s="148">
        <f>IFERROR(__xludf.DUMMYFUNCTION("""COMPUTED_VALUE"""),0.0)</f>
        <v>0</v>
      </c>
      <c r="T430" s="148" t="str">
        <f>IFERROR(__xludf.DUMMYFUNCTION("""COMPUTED_VALUE"""),"[]")</f>
        <v>[]</v>
      </c>
      <c r="U430" s="148">
        <f>IFERROR(__xludf.DUMMYFUNCTION("""COMPUTED_VALUE"""),0.0)</f>
        <v>0</v>
      </c>
      <c r="V430" s="148" t="str">
        <f>IFERROR(__xludf.DUMMYFUNCTION("""COMPUTED_VALUE"""),"{}")</f>
        <v>{}</v>
      </c>
      <c r="W430" s="148" t="str">
        <f>IFERROR(__xludf.DUMMYFUNCTION("""COMPUTED_VALUE"""),"[]")</f>
        <v>[]</v>
      </c>
      <c r="X430" s="148" t="str">
        <f>IFERROR(__xludf.DUMMYFUNCTION("""COMPUTED_VALUE"""),"[{""typ"":""power"",""id"":12141002,""val"":4}]")</f>
        <v>[{"typ":"power","id":12141002,"val":4}]</v>
      </c>
      <c r="Y430" s="148" t="str">
        <f>IFERROR(__xludf.DUMMYFUNCTION("""COMPUTED_VALUE"""),"[{""typ"":""atk"",""val"":160},{""typ"":""def"",""val"":160},{""typ"":""hp"",""val"":160},{""typ"":""speed"",""val"":40},{""typ"":""load"",""val"":20},{""typ"":""backcoef"",""val"":0.5},{""typ"":""atkcoef"",""val"":1.0},{""typ"":""atkcd"",""val"":0}]")</f>
        <v>[{"typ":"atk","val":160},{"typ":"def","val":160},{"typ":"hp","val":160},{"typ":"speed","val":40},{"typ":"load","val":20},{"typ":"backcoef","val":0.5},{"typ":"atkcoef","val":1.0},{"typ":"atkcd","val":0}]</v>
      </c>
      <c r="Z430" s="148" t="str">
        <f>IFERROR(__xludf.DUMMYFUNCTION("""COMPUTED_VALUE"""),"[]")</f>
        <v>[]</v>
      </c>
    </row>
    <row r="431">
      <c r="A431" s="148">
        <f>IFERROR(__xludf.DUMMYFUNCTION("""COMPUTED_VALUE"""),1.1219404E7)</f>
        <v>11219404</v>
      </c>
      <c r="B431" s="148" t="str">
        <f>IFERROR(__xludf.DUMMYFUNCTION("""COMPUTED_VALUE"""),"关卡部队T4")</f>
        <v>关卡部队T4</v>
      </c>
      <c r="C431" s="148">
        <f>IFERROR(__xludf.DUMMYFUNCTION("""COMPUTED_VALUE"""),1.1221004E7)</f>
        <v>11221004</v>
      </c>
      <c r="D431" s="148">
        <f>IFERROR(__xludf.DUMMYFUNCTION("""COMPUTED_VALUE"""),1.5110234E7)</f>
        <v>15110234</v>
      </c>
      <c r="E431" s="148" t="str">
        <f>IFERROR(__xludf.DUMMYFUNCTION("""COMPUTED_VALUE"""),"{}")</f>
        <v>{}</v>
      </c>
      <c r="F431" s="148" t="str">
        <f>IFERROR(__xludf.DUMMYFUNCTION("""COMPUTED_VALUE"""),"{}")</f>
        <v>{}</v>
      </c>
      <c r="G431" s="148">
        <f>IFERROR(__xludf.DUMMYFUNCTION("""COMPUTED_VALUE"""),2.0)</f>
        <v>2</v>
      </c>
      <c r="H431" s="148">
        <f>IFERROR(__xludf.DUMMYFUNCTION("""COMPUTED_VALUE"""),10099.0)</f>
        <v>10099</v>
      </c>
      <c r="I431" s="148">
        <f>IFERROR(__xludf.DUMMYFUNCTION("""COMPUTED_VALUE"""),10099.0)</f>
        <v>10099</v>
      </c>
      <c r="J431" s="148">
        <f>IFERROR(__xludf.DUMMYFUNCTION("""COMPUTED_VALUE"""),0.0)</f>
        <v>0</v>
      </c>
      <c r="K431" s="148">
        <f>IFERROR(__xludf.DUMMYFUNCTION("""COMPUTED_VALUE"""),10.0)</f>
        <v>10</v>
      </c>
      <c r="L431" s="148">
        <f>IFERROR(__xludf.DUMMYFUNCTION("""COMPUTED_VALUE"""),50.0)</f>
        <v>50</v>
      </c>
      <c r="M431" s="148">
        <f>IFERROR(__xludf.DUMMYFUNCTION("""COMPUTED_VALUE"""),0.0)</f>
        <v>0</v>
      </c>
      <c r="N431" s="148" t="str">
        <f>IFERROR(__xludf.DUMMYFUNCTION("""COMPUTED_VALUE"""),"[]")</f>
        <v>[]</v>
      </c>
      <c r="O431" s="148" t="str">
        <f>IFERROR(__xludf.DUMMYFUNCTION("""COMPUTED_VALUE"""),"{}")</f>
        <v>{}</v>
      </c>
      <c r="P431" s="148">
        <f>IFERROR(__xludf.DUMMYFUNCTION("""COMPUTED_VALUE"""),0.0)</f>
        <v>0</v>
      </c>
      <c r="Q431" s="148" t="str">
        <f>IFERROR(__xludf.DUMMYFUNCTION("""COMPUTED_VALUE"""),"[]")</f>
        <v>[]</v>
      </c>
      <c r="R431" s="148" t="str">
        <f>IFERROR(__xludf.DUMMYFUNCTION("""COMPUTED_VALUE"""),"{}")</f>
        <v>{}</v>
      </c>
      <c r="S431" s="148">
        <f>IFERROR(__xludf.DUMMYFUNCTION("""COMPUTED_VALUE"""),0.0)</f>
        <v>0</v>
      </c>
      <c r="T431" s="148" t="str">
        <f>IFERROR(__xludf.DUMMYFUNCTION("""COMPUTED_VALUE"""),"[]")</f>
        <v>[]</v>
      </c>
      <c r="U431" s="148">
        <f>IFERROR(__xludf.DUMMYFUNCTION("""COMPUTED_VALUE"""),0.0)</f>
        <v>0</v>
      </c>
      <c r="V431" s="148" t="str">
        <f>IFERROR(__xludf.DUMMYFUNCTION("""COMPUTED_VALUE"""),"{}")</f>
        <v>{}</v>
      </c>
      <c r="W431" s="148" t="str">
        <f>IFERROR(__xludf.DUMMYFUNCTION("""COMPUTED_VALUE"""),"[]")</f>
        <v>[]</v>
      </c>
      <c r="X431" s="148" t="str">
        <f>IFERROR(__xludf.DUMMYFUNCTION("""COMPUTED_VALUE"""),"[{""typ"":""power"",""id"":12141002,""val"":6}]")</f>
        <v>[{"typ":"power","id":12141002,"val":6}]</v>
      </c>
      <c r="Y431" s="148" t="str">
        <f>IFERROR(__xludf.DUMMYFUNCTION("""COMPUTED_VALUE"""),"[{""typ"":""atk"",""val"":200},{""typ"":""def"",""val"":190},{""typ"":""hp"",""val"":180},{""typ"":""speed"",""val"":40},{""typ"":""load"",""val"":20},{""typ"":""backcoef"",""val"":0.5},{""typ"":""atkcoef"",""val"":1.0},{""typ"":""atkcd"",""val"":0}]")</f>
        <v>[{"typ":"atk","val":200},{"typ":"def","val":190},{"typ":"hp","val":180},{"typ":"speed","val":40},{"typ":"load","val":20},{"typ":"backcoef","val":0.5},{"typ":"atkcoef","val":1.0},{"typ":"atkcd","val":0}]</v>
      </c>
      <c r="Z431" s="148" t="str">
        <f>IFERROR(__xludf.DUMMYFUNCTION("""COMPUTED_VALUE"""),"[]")</f>
        <v>[]</v>
      </c>
    </row>
    <row r="432">
      <c r="A432" s="148">
        <f>IFERROR(__xludf.DUMMYFUNCTION("""COMPUTED_VALUE"""),1.1219405E7)</f>
        <v>11219405</v>
      </c>
      <c r="B432" s="148" t="str">
        <f>IFERROR(__xludf.DUMMYFUNCTION("""COMPUTED_VALUE"""),"关卡部队T5")</f>
        <v>关卡部队T5</v>
      </c>
      <c r="C432" s="148">
        <f>IFERROR(__xludf.DUMMYFUNCTION("""COMPUTED_VALUE"""),1.1221004E7)</f>
        <v>11221004</v>
      </c>
      <c r="D432" s="148">
        <f>IFERROR(__xludf.DUMMYFUNCTION("""COMPUTED_VALUE"""),1.5110234E7)</f>
        <v>15110234</v>
      </c>
      <c r="E432" s="148" t="str">
        <f>IFERROR(__xludf.DUMMYFUNCTION("""COMPUTED_VALUE"""),"{}")</f>
        <v>{}</v>
      </c>
      <c r="F432" s="148" t="str">
        <f>IFERROR(__xludf.DUMMYFUNCTION("""COMPUTED_VALUE"""),"{}")</f>
        <v>{}</v>
      </c>
      <c r="G432" s="148">
        <f>IFERROR(__xludf.DUMMYFUNCTION("""COMPUTED_VALUE"""),2.0)</f>
        <v>2</v>
      </c>
      <c r="H432" s="148">
        <f>IFERROR(__xludf.DUMMYFUNCTION("""COMPUTED_VALUE"""),10099.0)</f>
        <v>10099</v>
      </c>
      <c r="I432" s="148">
        <f>IFERROR(__xludf.DUMMYFUNCTION("""COMPUTED_VALUE"""),10099.0)</f>
        <v>10099</v>
      </c>
      <c r="J432" s="148">
        <f>IFERROR(__xludf.DUMMYFUNCTION("""COMPUTED_VALUE"""),0.0)</f>
        <v>0</v>
      </c>
      <c r="K432" s="148">
        <f>IFERROR(__xludf.DUMMYFUNCTION("""COMPUTED_VALUE"""),10.0)</f>
        <v>10</v>
      </c>
      <c r="L432" s="148">
        <f>IFERROR(__xludf.DUMMYFUNCTION("""COMPUTED_VALUE"""),50.0)</f>
        <v>50</v>
      </c>
      <c r="M432" s="148">
        <f>IFERROR(__xludf.DUMMYFUNCTION("""COMPUTED_VALUE"""),0.0)</f>
        <v>0</v>
      </c>
      <c r="N432" s="148" t="str">
        <f>IFERROR(__xludf.DUMMYFUNCTION("""COMPUTED_VALUE"""),"[]")</f>
        <v>[]</v>
      </c>
      <c r="O432" s="148" t="str">
        <f>IFERROR(__xludf.DUMMYFUNCTION("""COMPUTED_VALUE"""),"{}")</f>
        <v>{}</v>
      </c>
      <c r="P432" s="148">
        <f>IFERROR(__xludf.DUMMYFUNCTION("""COMPUTED_VALUE"""),0.0)</f>
        <v>0</v>
      </c>
      <c r="Q432" s="148" t="str">
        <f>IFERROR(__xludf.DUMMYFUNCTION("""COMPUTED_VALUE"""),"[]")</f>
        <v>[]</v>
      </c>
      <c r="R432" s="148" t="str">
        <f>IFERROR(__xludf.DUMMYFUNCTION("""COMPUTED_VALUE"""),"{}")</f>
        <v>{}</v>
      </c>
      <c r="S432" s="148">
        <f>IFERROR(__xludf.DUMMYFUNCTION("""COMPUTED_VALUE"""),0.0)</f>
        <v>0</v>
      </c>
      <c r="T432" s="148" t="str">
        <f>IFERROR(__xludf.DUMMYFUNCTION("""COMPUTED_VALUE"""),"[]")</f>
        <v>[]</v>
      </c>
      <c r="U432" s="148">
        <f>IFERROR(__xludf.DUMMYFUNCTION("""COMPUTED_VALUE"""),0.0)</f>
        <v>0</v>
      </c>
      <c r="V432" s="148" t="str">
        <f>IFERROR(__xludf.DUMMYFUNCTION("""COMPUTED_VALUE"""),"{}")</f>
        <v>{}</v>
      </c>
      <c r="W432" s="148" t="str">
        <f>IFERROR(__xludf.DUMMYFUNCTION("""COMPUTED_VALUE"""),"[]")</f>
        <v>[]</v>
      </c>
      <c r="X432" s="148" t="str">
        <f>IFERROR(__xludf.DUMMYFUNCTION("""COMPUTED_VALUE"""),"[{""typ"":""power"",""id"":12141002,""val"":10}]")</f>
        <v>[{"typ":"power","id":12141002,"val":10}]</v>
      </c>
      <c r="Y432" s="148" t="str">
        <f>IFERROR(__xludf.DUMMYFUNCTION("""COMPUTED_VALUE"""),"[{""typ"":""atk"",""val"":230},{""typ"":""def"",""val"":210},{""typ"":""hp"",""val"":210},{""typ"":""speed"",""val"":40},{""typ"":""load"",""val"":20},{""typ"":""backcoef"",""val"":0.5},{""typ"":""atkcoef"",""val"":1.0},{""typ"":""atkcd"",""val"":0}]")</f>
        <v>[{"typ":"atk","val":230},{"typ":"def","val":210},{"typ":"hp","val":210},{"typ":"speed","val":40},{"typ":"load","val":20},{"typ":"backcoef","val":0.5},{"typ":"atkcoef","val":1.0},{"typ":"atkcd","val":0}]</v>
      </c>
      <c r="Z432" s="148" t="str">
        <f>IFERROR(__xludf.DUMMYFUNCTION("""COMPUTED_VALUE"""),"[]")</f>
        <v>[]</v>
      </c>
    </row>
    <row r="433">
      <c r="A433" s="148">
        <f>IFERROR(__xludf.DUMMYFUNCTION("""COMPUTED_VALUE"""),1.1219411E7)</f>
        <v>11219411</v>
      </c>
      <c r="B433" s="148" t="str">
        <f>IFERROR(__xludf.DUMMYFUNCTION("""COMPUTED_VALUE"""),"关卡基地部队T1")</f>
        <v>关卡基地部队T1</v>
      </c>
      <c r="C433" s="148">
        <f>IFERROR(__xludf.DUMMYFUNCTION("""COMPUTED_VALUE"""),1.1221004E7)</f>
        <v>11221004</v>
      </c>
      <c r="D433" s="148">
        <f>IFERROR(__xludf.DUMMYFUNCTION("""COMPUTED_VALUE"""),1.5110234E7)</f>
        <v>15110234</v>
      </c>
      <c r="E433" s="148" t="str">
        <f>IFERROR(__xludf.DUMMYFUNCTION("""COMPUTED_VALUE"""),"{}")</f>
        <v>{}</v>
      </c>
      <c r="F433" s="148" t="str">
        <f>IFERROR(__xludf.DUMMYFUNCTION("""COMPUTED_VALUE"""),"{}")</f>
        <v>{}</v>
      </c>
      <c r="G433" s="148">
        <f>IFERROR(__xludf.DUMMYFUNCTION("""COMPUTED_VALUE"""),2.0)</f>
        <v>2</v>
      </c>
      <c r="H433" s="148">
        <f>IFERROR(__xludf.DUMMYFUNCTION("""COMPUTED_VALUE"""),10099.0)</f>
        <v>10099</v>
      </c>
      <c r="I433" s="148">
        <f>IFERROR(__xludf.DUMMYFUNCTION("""COMPUTED_VALUE"""),10099.0)</f>
        <v>10099</v>
      </c>
      <c r="J433" s="148">
        <f>IFERROR(__xludf.DUMMYFUNCTION("""COMPUTED_VALUE"""),0.0)</f>
        <v>0</v>
      </c>
      <c r="K433" s="148">
        <f>IFERROR(__xludf.DUMMYFUNCTION("""COMPUTED_VALUE"""),10.0)</f>
        <v>10</v>
      </c>
      <c r="L433" s="148">
        <f>IFERROR(__xludf.DUMMYFUNCTION("""COMPUTED_VALUE"""),50.0)</f>
        <v>50</v>
      </c>
      <c r="M433" s="148">
        <f>IFERROR(__xludf.DUMMYFUNCTION("""COMPUTED_VALUE"""),0.0)</f>
        <v>0</v>
      </c>
      <c r="N433" s="148" t="str">
        <f>IFERROR(__xludf.DUMMYFUNCTION("""COMPUTED_VALUE"""),"[]")</f>
        <v>[]</v>
      </c>
      <c r="O433" s="148" t="str">
        <f>IFERROR(__xludf.DUMMYFUNCTION("""COMPUTED_VALUE"""),"{}")</f>
        <v>{}</v>
      </c>
      <c r="P433" s="148">
        <f>IFERROR(__xludf.DUMMYFUNCTION("""COMPUTED_VALUE"""),0.0)</f>
        <v>0</v>
      </c>
      <c r="Q433" s="148" t="str">
        <f>IFERROR(__xludf.DUMMYFUNCTION("""COMPUTED_VALUE"""),"[]")</f>
        <v>[]</v>
      </c>
      <c r="R433" s="148" t="str">
        <f>IFERROR(__xludf.DUMMYFUNCTION("""COMPUTED_VALUE"""),"{}")</f>
        <v>{}</v>
      </c>
      <c r="S433" s="148">
        <f>IFERROR(__xludf.DUMMYFUNCTION("""COMPUTED_VALUE"""),0.0)</f>
        <v>0</v>
      </c>
      <c r="T433" s="148" t="str">
        <f>IFERROR(__xludf.DUMMYFUNCTION("""COMPUTED_VALUE"""),"[]")</f>
        <v>[]</v>
      </c>
      <c r="U433" s="148">
        <f>IFERROR(__xludf.DUMMYFUNCTION("""COMPUTED_VALUE"""),0.0)</f>
        <v>0</v>
      </c>
      <c r="V433" s="148" t="str">
        <f>IFERROR(__xludf.DUMMYFUNCTION("""COMPUTED_VALUE"""),"{}")</f>
        <v>{}</v>
      </c>
      <c r="W433" s="148" t="str">
        <f>IFERROR(__xludf.DUMMYFUNCTION("""COMPUTED_VALUE"""),"[]")</f>
        <v>[]</v>
      </c>
      <c r="X433" s="148" t="str">
        <f>IFERROR(__xludf.DUMMYFUNCTION("""COMPUTED_VALUE"""),"[{""typ"":""power"",""id"":12141002,""val"":1}]")</f>
        <v>[{"typ":"power","id":12141002,"val":1}]</v>
      </c>
      <c r="Y433" s="148" t="str">
        <f>IFERROR(__xludf.DUMMYFUNCTION("""COMPUTED_VALUE"""),"[{""typ"":""atk"",""val"":0},{""typ"":""def"",""val"":125},{""typ"":""hp"",""val"":120},{""typ"":""speed"",""val"":40},{""typ"":""load"",""val"":20},{""typ"":""backcoef"",""val"":0.5},{""typ"":""atkcoef"",""val"":1.0},{""typ"":""atkcd"",""val"":0}]")</f>
        <v>[{"typ":"atk","val":0},{"typ":"def","val":125},{"typ":"hp","val":120},{"typ":"speed","val":40},{"typ":"load","val":20},{"typ":"backcoef","val":0.5},{"typ":"atkcoef","val":1.0},{"typ":"atkcd","val":0}]</v>
      </c>
      <c r="Z433" s="148" t="str">
        <f>IFERROR(__xludf.DUMMYFUNCTION("""COMPUTED_VALUE"""),"[]")</f>
        <v>[]</v>
      </c>
    </row>
    <row r="434">
      <c r="A434" s="148">
        <f>IFERROR(__xludf.DUMMYFUNCTION("""COMPUTED_VALUE"""),1.1219412E7)</f>
        <v>11219412</v>
      </c>
      <c r="B434" s="148" t="str">
        <f>IFERROR(__xludf.DUMMYFUNCTION("""COMPUTED_VALUE"""),"关卡基地部队T2")</f>
        <v>关卡基地部队T2</v>
      </c>
      <c r="C434" s="148">
        <f>IFERROR(__xludf.DUMMYFUNCTION("""COMPUTED_VALUE"""),1.1221004E7)</f>
        <v>11221004</v>
      </c>
      <c r="D434" s="148">
        <f>IFERROR(__xludf.DUMMYFUNCTION("""COMPUTED_VALUE"""),1.5110234E7)</f>
        <v>15110234</v>
      </c>
      <c r="E434" s="148" t="str">
        <f>IFERROR(__xludf.DUMMYFUNCTION("""COMPUTED_VALUE"""),"{}")</f>
        <v>{}</v>
      </c>
      <c r="F434" s="148" t="str">
        <f>IFERROR(__xludf.DUMMYFUNCTION("""COMPUTED_VALUE"""),"{}")</f>
        <v>{}</v>
      </c>
      <c r="G434" s="148">
        <f>IFERROR(__xludf.DUMMYFUNCTION("""COMPUTED_VALUE"""),2.0)</f>
        <v>2</v>
      </c>
      <c r="H434" s="148">
        <f>IFERROR(__xludf.DUMMYFUNCTION("""COMPUTED_VALUE"""),10099.0)</f>
        <v>10099</v>
      </c>
      <c r="I434" s="148">
        <f>IFERROR(__xludf.DUMMYFUNCTION("""COMPUTED_VALUE"""),10099.0)</f>
        <v>10099</v>
      </c>
      <c r="J434" s="148">
        <f>IFERROR(__xludf.DUMMYFUNCTION("""COMPUTED_VALUE"""),0.0)</f>
        <v>0</v>
      </c>
      <c r="K434" s="148">
        <f>IFERROR(__xludf.DUMMYFUNCTION("""COMPUTED_VALUE"""),10.0)</f>
        <v>10</v>
      </c>
      <c r="L434" s="148">
        <f>IFERROR(__xludf.DUMMYFUNCTION("""COMPUTED_VALUE"""),50.0)</f>
        <v>50</v>
      </c>
      <c r="M434" s="148">
        <f>IFERROR(__xludf.DUMMYFUNCTION("""COMPUTED_VALUE"""),0.0)</f>
        <v>0</v>
      </c>
      <c r="N434" s="148" t="str">
        <f>IFERROR(__xludf.DUMMYFUNCTION("""COMPUTED_VALUE"""),"[]")</f>
        <v>[]</v>
      </c>
      <c r="O434" s="148" t="str">
        <f>IFERROR(__xludf.DUMMYFUNCTION("""COMPUTED_VALUE"""),"{}")</f>
        <v>{}</v>
      </c>
      <c r="P434" s="148">
        <f>IFERROR(__xludf.DUMMYFUNCTION("""COMPUTED_VALUE"""),0.0)</f>
        <v>0</v>
      </c>
      <c r="Q434" s="148" t="str">
        <f>IFERROR(__xludf.DUMMYFUNCTION("""COMPUTED_VALUE"""),"[]")</f>
        <v>[]</v>
      </c>
      <c r="R434" s="148" t="str">
        <f>IFERROR(__xludf.DUMMYFUNCTION("""COMPUTED_VALUE"""),"{}")</f>
        <v>{}</v>
      </c>
      <c r="S434" s="148">
        <f>IFERROR(__xludf.DUMMYFUNCTION("""COMPUTED_VALUE"""),0.0)</f>
        <v>0</v>
      </c>
      <c r="T434" s="148" t="str">
        <f>IFERROR(__xludf.DUMMYFUNCTION("""COMPUTED_VALUE"""),"[]")</f>
        <v>[]</v>
      </c>
      <c r="U434" s="148">
        <f>IFERROR(__xludf.DUMMYFUNCTION("""COMPUTED_VALUE"""),0.0)</f>
        <v>0</v>
      </c>
      <c r="V434" s="148" t="str">
        <f>IFERROR(__xludf.DUMMYFUNCTION("""COMPUTED_VALUE"""),"{}")</f>
        <v>{}</v>
      </c>
      <c r="W434" s="148" t="str">
        <f>IFERROR(__xludf.DUMMYFUNCTION("""COMPUTED_VALUE"""),"[]")</f>
        <v>[]</v>
      </c>
      <c r="X434" s="148" t="str">
        <f>IFERROR(__xludf.DUMMYFUNCTION("""COMPUTED_VALUE"""),"[{""typ"":""power"",""id"":12141002,""val"":2}]")</f>
        <v>[{"typ":"power","id":12141002,"val":2}]</v>
      </c>
      <c r="Y434" s="148" t="str">
        <f>IFERROR(__xludf.DUMMYFUNCTION("""COMPUTED_VALUE"""),"[{""typ"":""atk"",""val"":0},{""typ"":""def"",""val"":130},{""typ"":""hp"",""val"":130},{""typ"":""speed"",""val"":40},{""typ"":""load"",""val"":20},{""typ"":""backcoef"",""val"":0.5},{""typ"":""atkcoef"",""val"":1.0},{""typ"":""atkcd"",""val"":0}]")</f>
        <v>[{"typ":"atk","val":0},{"typ":"def","val":130},{"typ":"hp","val":130},{"typ":"speed","val":40},{"typ":"load","val":20},{"typ":"backcoef","val":0.5},{"typ":"atkcoef","val":1.0},{"typ":"atkcd","val":0}]</v>
      </c>
      <c r="Z434" s="148" t="str">
        <f>IFERROR(__xludf.DUMMYFUNCTION("""COMPUTED_VALUE"""),"[]")</f>
        <v>[]</v>
      </c>
    </row>
    <row r="435">
      <c r="A435" s="148">
        <f>IFERROR(__xludf.DUMMYFUNCTION("""COMPUTED_VALUE"""),1.1219413E7)</f>
        <v>11219413</v>
      </c>
      <c r="B435" s="148" t="str">
        <f>IFERROR(__xludf.DUMMYFUNCTION("""COMPUTED_VALUE"""),"关卡基地部队T3")</f>
        <v>关卡基地部队T3</v>
      </c>
      <c r="C435" s="148">
        <f>IFERROR(__xludf.DUMMYFUNCTION("""COMPUTED_VALUE"""),1.1221004E7)</f>
        <v>11221004</v>
      </c>
      <c r="D435" s="148">
        <f>IFERROR(__xludf.DUMMYFUNCTION("""COMPUTED_VALUE"""),1.5110234E7)</f>
        <v>15110234</v>
      </c>
      <c r="E435" s="148" t="str">
        <f>IFERROR(__xludf.DUMMYFUNCTION("""COMPUTED_VALUE"""),"{}")</f>
        <v>{}</v>
      </c>
      <c r="F435" s="148" t="str">
        <f>IFERROR(__xludf.DUMMYFUNCTION("""COMPUTED_VALUE"""),"{}")</f>
        <v>{}</v>
      </c>
      <c r="G435" s="148">
        <f>IFERROR(__xludf.DUMMYFUNCTION("""COMPUTED_VALUE"""),2.0)</f>
        <v>2</v>
      </c>
      <c r="H435" s="148">
        <f>IFERROR(__xludf.DUMMYFUNCTION("""COMPUTED_VALUE"""),10099.0)</f>
        <v>10099</v>
      </c>
      <c r="I435" s="148">
        <f>IFERROR(__xludf.DUMMYFUNCTION("""COMPUTED_VALUE"""),10099.0)</f>
        <v>10099</v>
      </c>
      <c r="J435" s="148">
        <f>IFERROR(__xludf.DUMMYFUNCTION("""COMPUTED_VALUE"""),0.0)</f>
        <v>0</v>
      </c>
      <c r="K435" s="148">
        <f>IFERROR(__xludf.DUMMYFUNCTION("""COMPUTED_VALUE"""),10.0)</f>
        <v>10</v>
      </c>
      <c r="L435" s="148">
        <f>IFERROR(__xludf.DUMMYFUNCTION("""COMPUTED_VALUE"""),50.0)</f>
        <v>50</v>
      </c>
      <c r="M435" s="148">
        <f>IFERROR(__xludf.DUMMYFUNCTION("""COMPUTED_VALUE"""),0.0)</f>
        <v>0</v>
      </c>
      <c r="N435" s="148" t="str">
        <f>IFERROR(__xludf.DUMMYFUNCTION("""COMPUTED_VALUE"""),"[]")</f>
        <v>[]</v>
      </c>
      <c r="O435" s="148" t="str">
        <f>IFERROR(__xludf.DUMMYFUNCTION("""COMPUTED_VALUE"""),"{}")</f>
        <v>{}</v>
      </c>
      <c r="P435" s="148">
        <f>IFERROR(__xludf.DUMMYFUNCTION("""COMPUTED_VALUE"""),0.0)</f>
        <v>0</v>
      </c>
      <c r="Q435" s="148" t="str">
        <f>IFERROR(__xludf.DUMMYFUNCTION("""COMPUTED_VALUE"""),"[]")</f>
        <v>[]</v>
      </c>
      <c r="R435" s="148" t="str">
        <f>IFERROR(__xludf.DUMMYFUNCTION("""COMPUTED_VALUE"""),"{}")</f>
        <v>{}</v>
      </c>
      <c r="S435" s="148">
        <f>IFERROR(__xludf.DUMMYFUNCTION("""COMPUTED_VALUE"""),0.0)</f>
        <v>0</v>
      </c>
      <c r="T435" s="148" t="str">
        <f>IFERROR(__xludf.DUMMYFUNCTION("""COMPUTED_VALUE"""),"[]")</f>
        <v>[]</v>
      </c>
      <c r="U435" s="148">
        <f>IFERROR(__xludf.DUMMYFUNCTION("""COMPUTED_VALUE"""),0.0)</f>
        <v>0</v>
      </c>
      <c r="V435" s="148" t="str">
        <f>IFERROR(__xludf.DUMMYFUNCTION("""COMPUTED_VALUE"""),"{}")</f>
        <v>{}</v>
      </c>
      <c r="W435" s="148" t="str">
        <f>IFERROR(__xludf.DUMMYFUNCTION("""COMPUTED_VALUE"""),"[]")</f>
        <v>[]</v>
      </c>
      <c r="X435" s="148" t="str">
        <f>IFERROR(__xludf.DUMMYFUNCTION("""COMPUTED_VALUE"""),"[{""typ"":""power"",""id"":12141002,""val"":4}]")</f>
        <v>[{"typ":"power","id":12141002,"val":4}]</v>
      </c>
      <c r="Y435" s="148" t="str">
        <f>IFERROR(__xludf.DUMMYFUNCTION("""COMPUTED_VALUE"""),"[{""typ"":""atk"",""val"":0},{""typ"":""def"",""val"":160},{""typ"":""hp"",""val"":160},{""typ"":""speed"",""val"":40},{""typ"":""load"",""val"":20},{""typ"":""backcoef"",""val"":0.5},{""typ"":""atkcoef"",""val"":1.0},{""typ"":""atkcd"",""val"":0}]")</f>
        <v>[{"typ":"atk","val":0},{"typ":"def","val":160},{"typ":"hp","val":160},{"typ":"speed","val":40},{"typ":"load","val":20},{"typ":"backcoef","val":0.5},{"typ":"atkcoef","val":1.0},{"typ":"atkcd","val":0}]</v>
      </c>
      <c r="Z435" s="148" t="str">
        <f>IFERROR(__xludf.DUMMYFUNCTION("""COMPUTED_VALUE"""),"[]")</f>
        <v>[]</v>
      </c>
    </row>
    <row r="436">
      <c r="A436" s="148">
        <f>IFERROR(__xludf.DUMMYFUNCTION("""COMPUTED_VALUE"""),1.1219414E7)</f>
        <v>11219414</v>
      </c>
      <c r="B436" s="148" t="str">
        <f>IFERROR(__xludf.DUMMYFUNCTION("""COMPUTED_VALUE"""),"关卡基地部队T4")</f>
        <v>关卡基地部队T4</v>
      </c>
      <c r="C436" s="148">
        <f>IFERROR(__xludf.DUMMYFUNCTION("""COMPUTED_VALUE"""),1.1221004E7)</f>
        <v>11221004</v>
      </c>
      <c r="D436" s="148">
        <f>IFERROR(__xludf.DUMMYFUNCTION("""COMPUTED_VALUE"""),1.5110234E7)</f>
        <v>15110234</v>
      </c>
      <c r="E436" s="148" t="str">
        <f>IFERROR(__xludf.DUMMYFUNCTION("""COMPUTED_VALUE"""),"{}")</f>
        <v>{}</v>
      </c>
      <c r="F436" s="148" t="str">
        <f>IFERROR(__xludf.DUMMYFUNCTION("""COMPUTED_VALUE"""),"{}")</f>
        <v>{}</v>
      </c>
      <c r="G436" s="148">
        <f>IFERROR(__xludf.DUMMYFUNCTION("""COMPUTED_VALUE"""),2.0)</f>
        <v>2</v>
      </c>
      <c r="H436" s="148">
        <f>IFERROR(__xludf.DUMMYFUNCTION("""COMPUTED_VALUE"""),10099.0)</f>
        <v>10099</v>
      </c>
      <c r="I436" s="148">
        <f>IFERROR(__xludf.DUMMYFUNCTION("""COMPUTED_VALUE"""),10099.0)</f>
        <v>10099</v>
      </c>
      <c r="J436" s="148">
        <f>IFERROR(__xludf.DUMMYFUNCTION("""COMPUTED_VALUE"""),0.0)</f>
        <v>0</v>
      </c>
      <c r="K436" s="148">
        <f>IFERROR(__xludf.DUMMYFUNCTION("""COMPUTED_VALUE"""),10.0)</f>
        <v>10</v>
      </c>
      <c r="L436" s="148">
        <f>IFERROR(__xludf.DUMMYFUNCTION("""COMPUTED_VALUE"""),50.0)</f>
        <v>50</v>
      </c>
      <c r="M436" s="148">
        <f>IFERROR(__xludf.DUMMYFUNCTION("""COMPUTED_VALUE"""),0.0)</f>
        <v>0</v>
      </c>
      <c r="N436" s="148" t="str">
        <f>IFERROR(__xludf.DUMMYFUNCTION("""COMPUTED_VALUE"""),"[]")</f>
        <v>[]</v>
      </c>
      <c r="O436" s="148" t="str">
        <f>IFERROR(__xludf.DUMMYFUNCTION("""COMPUTED_VALUE"""),"{}")</f>
        <v>{}</v>
      </c>
      <c r="P436" s="148">
        <f>IFERROR(__xludf.DUMMYFUNCTION("""COMPUTED_VALUE"""),0.0)</f>
        <v>0</v>
      </c>
      <c r="Q436" s="148" t="str">
        <f>IFERROR(__xludf.DUMMYFUNCTION("""COMPUTED_VALUE"""),"[]")</f>
        <v>[]</v>
      </c>
      <c r="R436" s="148" t="str">
        <f>IFERROR(__xludf.DUMMYFUNCTION("""COMPUTED_VALUE"""),"{}")</f>
        <v>{}</v>
      </c>
      <c r="S436" s="148">
        <f>IFERROR(__xludf.DUMMYFUNCTION("""COMPUTED_VALUE"""),0.0)</f>
        <v>0</v>
      </c>
      <c r="T436" s="148" t="str">
        <f>IFERROR(__xludf.DUMMYFUNCTION("""COMPUTED_VALUE"""),"[]")</f>
        <v>[]</v>
      </c>
      <c r="U436" s="148">
        <f>IFERROR(__xludf.DUMMYFUNCTION("""COMPUTED_VALUE"""),0.0)</f>
        <v>0</v>
      </c>
      <c r="V436" s="148" t="str">
        <f>IFERROR(__xludf.DUMMYFUNCTION("""COMPUTED_VALUE"""),"{}")</f>
        <v>{}</v>
      </c>
      <c r="W436" s="148" t="str">
        <f>IFERROR(__xludf.DUMMYFUNCTION("""COMPUTED_VALUE"""),"[]")</f>
        <v>[]</v>
      </c>
      <c r="X436" s="148" t="str">
        <f>IFERROR(__xludf.DUMMYFUNCTION("""COMPUTED_VALUE"""),"[{""typ"":""power"",""id"":12141002,""val"":6}]")</f>
        <v>[{"typ":"power","id":12141002,"val":6}]</v>
      </c>
      <c r="Y436" s="148" t="str">
        <f>IFERROR(__xludf.DUMMYFUNCTION("""COMPUTED_VALUE"""),"[{""typ"":""atk"",""val"":0},{""typ"":""def"",""val"":190},{""typ"":""hp"",""val"":180},{""typ"":""speed"",""val"":40},{""typ"":""load"",""val"":20},{""typ"":""backcoef"",""val"":0.5},{""typ"":""atkcoef"",""val"":1.0},{""typ"":""atkcd"",""val"":0}]")</f>
        <v>[{"typ":"atk","val":0},{"typ":"def","val":190},{"typ":"hp","val":180},{"typ":"speed","val":40},{"typ":"load","val":20},{"typ":"backcoef","val":0.5},{"typ":"atkcoef","val":1.0},{"typ":"atkcd","val":0}]</v>
      </c>
      <c r="Z436" s="148" t="str">
        <f>IFERROR(__xludf.DUMMYFUNCTION("""COMPUTED_VALUE"""),"[]")</f>
        <v>[]</v>
      </c>
    </row>
    <row r="437">
      <c r="A437" s="148">
        <f>IFERROR(__xludf.DUMMYFUNCTION("""COMPUTED_VALUE"""),1.1219415E7)</f>
        <v>11219415</v>
      </c>
      <c r="B437" s="148" t="str">
        <f>IFERROR(__xludf.DUMMYFUNCTION("""COMPUTED_VALUE"""),"关卡基地部队T5")</f>
        <v>关卡基地部队T5</v>
      </c>
      <c r="C437" s="148">
        <f>IFERROR(__xludf.DUMMYFUNCTION("""COMPUTED_VALUE"""),1.1221004E7)</f>
        <v>11221004</v>
      </c>
      <c r="D437" s="148">
        <f>IFERROR(__xludf.DUMMYFUNCTION("""COMPUTED_VALUE"""),1.5110234E7)</f>
        <v>15110234</v>
      </c>
      <c r="E437" s="148" t="str">
        <f>IFERROR(__xludf.DUMMYFUNCTION("""COMPUTED_VALUE"""),"{}")</f>
        <v>{}</v>
      </c>
      <c r="F437" s="148" t="str">
        <f>IFERROR(__xludf.DUMMYFUNCTION("""COMPUTED_VALUE"""),"{}")</f>
        <v>{}</v>
      </c>
      <c r="G437" s="148">
        <f>IFERROR(__xludf.DUMMYFUNCTION("""COMPUTED_VALUE"""),2.0)</f>
        <v>2</v>
      </c>
      <c r="H437" s="148">
        <f>IFERROR(__xludf.DUMMYFUNCTION("""COMPUTED_VALUE"""),10099.0)</f>
        <v>10099</v>
      </c>
      <c r="I437" s="148">
        <f>IFERROR(__xludf.DUMMYFUNCTION("""COMPUTED_VALUE"""),10099.0)</f>
        <v>10099</v>
      </c>
      <c r="J437" s="148">
        <f>IFERROR(__xludf.DUMMYFUNCTION("""COMPUTED_VALUE"""),0.0)</f>
        <v>0</v>
      </c>
      <c r="K437" s="148">
        <f>IFERROR(__xludf.DUMMYFUNCTION("""COMPUTED_VALUE"""),10.0)</f>
        <v>10</v>
      </c>
      <c r="L437" s="148">
        <f>IFERROR(__xludf.DUMMYFUNCTION("""COMPUTED_VALUE"""),50.0)</f>
        <v>50</v>
      </c>
      <c r="M437" s="148">
        <f>IFERROR(__xludf.DUMMYFUNCTION("""COMPUTED_VALUE"""),0.0)</f>
        <v>0</v>
      </c>
      <c r="N437" s="148" t="str">
        <f>IFERROR(__xludf.DUMMYFUNCTION("""COMPUTED_VALUE"""),"[]")</f>
        <v>[]</v>
      </c>
      <c r="O437" s="148" t="str">
        <f>IFERROR(__xludf.DUMMYFUNCTION("""COMPUTED_VALUE"""),"{}")</f>
        <v>{}</v>
      </c>
      <c r="P437" s="148">
        <f>IFERROR(__xludf.DUMMYFUNCTION("""COMPUTED_VALUE"""),0.0)</f>
        <v>0</v>
      </c>
      <c r="Q437" s="148" t="str">
        <f>IFERROR(__xludf.DUMMYFUNCTION("""COMPUTED_VALUE"""),"[]")</f>
        <v>[]</v>
      </c>
      <c r="R437" s="148" t="str">
        <f>IFERROR(__xludf.DUMMYFUNCTION("""COMPUTED_VALUE"""),"{}")</f>
        <v>{}</v>
      </c>
      <c r="S437" s="148">
        <f>IFERROR(__xludf.DUMMYFUNCTION("""COMPUTED_VALUE"""),0.0)</f>
        <v>0</v>
      </c>
      <c r="T437" s="148" t="str">
        <f>IFERROR(__xludf.DUMMYFUNCTION("""COMPUTED_VALUE"""),"[]")</f>
        <v>[]</v>
      </c>
      <c r="U437" s="148">
        <f>IFERROR(__xludf.DUMMYFUNCTION("""COMPUTED_VALUE"""),0.0)</f>
        <v>0</v>
      </c>
      <c r="V437" s="148" t="str">
        <f>IFERROR(__xludf.DUMMYFUNCTION("""COMPUTED_VALUE"""),"{}")</f>
        <v>{}</v>
      </c>
      <c r="W437" s="148" t="str">
        <f>IFERROR(__xludf.DUMMYFUNCTION("""COMPUTED_VALUE"""),"[]")</f>
        <v>[]</v>
      </c>
      <c r="X437" s="148" t="str">
        <f>IFERROR(__xludf.DUMMYFUNCTION("""COMPUTED_VALUE"""),"[{""typ"":""power"",""id"":12141002,""val"":10}]")</f>
        <v>[{"typ":"power","id":12141002,"val":10}]</v>
      </c>
      <c r="Y437" s="148" t="str">
        <f>IFERROR(__xludf.DUMMYFUNCTION("""COMPUTED_VALUE"""),"[{""typ"":""atk"",""val"":0},{""typ"":""def"",""val"":210},{""typ"":""hp"",""val"":210},{""typ"":""speed"",""val"":40},{""typ"":""load"",""val"":20},{""typ"":""backcoef"",""val"":0.5},{""typ"":""atkcoef"",""val"":1.0},{""typ"":""atkcd"",""val"":0}]")</f>
        <v>[{"typ":"atk","val":0},{"typ":"def","val":210},{"typ":"hp","val":210},{"typ":"speed","val":40},{"typ":"load","val":20},{"typ":"backcoef","val":0.5},{"typ":"atkcoef","val":1.0},{"typ":"atkcd","val":0}]</v>
      </c>
      <c r="Z437" s="148" t="str">
        <f>IFERROR(__xludf.DUMMYFUNCTION("""COMPUTED_VALUE"""),"[]")</f>
        <v>[]</v>
      </c>
    </row>
    <row r="438">
      <c r="A438" s="148">
        <f>IFERROR(__xludf.DUMMYFUNCTION("""COMPUTED_VALUE"""),1.1219421E7)</f>
        <v>11219421</v>
      </c>
      <c r="B438" s="148" t="str">
        <f>IFERROR(__xludf.DUMMYFUNCTION("""COMPUTED_VALUE"""),"关卡中立部队T1")</f>
        <v>关卡中立部队T1</v>
      </c>
      <c r="C438" s="148">
        <f>IFERROR(__xludf.DUMMYFUNCTION("""COMPUTED_VALUE"""),1.1221004E7)</f>
        <v>11221004</v>
      </c>
      <c r="D438" s="148">
        <f>IFERROR(__xludf.DUMMYFUNCTION("""COMPUTED_VALUE"""),1.5110052E7)</f>
        <v>15110052</v>
      </c>
      <c r="E438" s="148" t="str">
        <f>IFERROR(__xludf.DUMMYFUNCTION("""COMPUTED_VALUE"""),"{}")</f>
        <v>{}</v>
      </c>
      <c r="F438" s="148" t="str">
        <f>IFERROR(__xludf.DUMMYFUNCTION("""COMPUTED_VALUE"""),"{}")</f>
        <v>{}</v>
      </c>
      <c r="G438" s="148">
        <f>IFERROR(__xludf.DUMMYFUNCTION("""COMPUTED_VALUE"""),10.0)</f>
        <v>10</v>
      </c>
      <c r="H438" s="148">
        <f>IFERROR(__xludf.DUMMYFUNCTION("""COMPUTED_VALUE"""),10099.0)</f>
        <v>10099</v>
      </c>
      <c r="I438" s="148">
        <f>IFERROR(__xludf.DUMMYFUNCTION("""COMPUTED_VALUE"""),10099.0)</f>
        <v>10099</v>
      </c>
      <c r="J438" s="148">
        <f>IFERROR(__xludf.DUMMYFUNCTION("""COMPUTED_VALUE"""),0.0)</f>
        <v>0</v>
      </c>
      <c r="K438" s="148">
        <f>IFERROR(__xludf.DUMMYFUNCTION("""COMPUTED_VALUE"""),10.0)</f>
        <v>10</v>
      </c>
      <c r="L438" s="148">
        <f>IFERROR(__xludf.DUMMYFUNCTION("""COMPUTED_VALUE"""),99.0)</f>
        <v>99</v>
      </c>
      <c r="M438" s="148">
        <f>IFERROR(__xludf.DUMMYFUNCTION("""COMPUTED_VALUE"""),0.0)</f>
        <v>0</v>
      </c>
      <c r="N438" s="148" t="str">
        <f>IFERROR(__xludf.DUMMYFUNCTION("""COMPUTED_VALUE"""),"[]")</f>
        <v>[]</v>
      </c>
      <c r="O438" s="148" t="str">
        <f>IFERROR(__xludf.DUMMYFUNCTION("""COMPUTED_VALUE"""),"{}")</f>
        <v>{}</v>
      </c>
      <c r="P438" s="148">
        <f>IFERROR(__xludf.DUMMYFUNCTION("""COMPUTED_VALUE"""),0.0)</f>
        <v>0</v>
      </c>
      <c r="Q438" s="148" t="str">
        <f>IFERROR(__xludf.DUMMYFUNCTION("""COMPUTED_VALUE"""),"[]")</f>
        <v>[]</v>
      </c>
      <c r="R438" s="148" t="str">
        <f>IFERROR(__xludf.DUMMYFUNCTION("""COMPUTED_VALUE"""),"{}")</f>
        <v>{}</v>
      </c>
      <c r="S438" s="148">
        <f>IFERROR(__xludf.DUMMYFUNCTION("""COMPUTED_VALUE"""),0.0)</f>
        <v>0</v>
      </c>
      <c r="T438" s="148" t="str">
        <f>IFERROR(__xludf.DUMMYFUNCTION("""COMPUTED_VALUE"""),"[]")</f>
        <v>[]</v>
      </c>
      <c r="U438" s="148">
        <f>IFERROR(__xludf.DUMMYFUNCTION("""COMPUTED_VALUE"""),0.0)</f>
        <v>0</v>
      </c>
      <c r="V438" s="148" t="str">
        <f>IFERROR(__xludf.DUMMYFUNCTION("""COMPUTED_VALUE"""),"{}")</f>
        <v>{}</v>
      </c>
      <c r="W438" s="148" t="str">
        <f>IFERROR(__xludf.DUMMYFUNCTION("""COMPUTED_VALUE"""),"[]")</f>
        <v>[]</v>
      </c>
      <c r="X438" s="148" t="str">
        <f>IFERROR(__xludf.DUMMYFUNCTION("""COMPUTED_VALUE"""),"[{""typ"":""power"",""id"":12141002,""val"":60}]")</f>
        <v>[{"typ":"power","id":12141002,"val":60}]</v>
      </c>
      <c r="Y438" s="148" t="str">
        <f>IFERROR(__xludf.DUMMYFUNCTION("""COMPUTED_VALUE"""),"[{""typ"":""atk"",""val"":60},{""typ"":""def"",""val"":125},{""typ"":""hp"",""val"":120},{""typ"":""speed"",""val"":40},{""typ"":""load"",""val"":20},{""typ"":""backcoef"",""val"":0.5},{""typ"":""atkcoef"",""val"":1.0},{""typ"":""atkcd"",""val"":0}]")</f>
        <v>[{"typ":"atk","val":60},{"typ":"def","val":125},{"typ":"hp","val":120},{"typ":"speed","val":40},{"typ":"load","val":20},{"typ":"backcoef","val":0.5},{"typ":"atkcoef","val":1.0},{"typ":"atkcd","val":0}]</v>
      </c>
      <c r="Z438" s="148" t="str">
        <f>IFERROR(__xludf.DUMMYFUNCTION("""COMPUTED_VALUE"""),"[]")</f>
        <v>[]</v>
      </c>
    </row>
    <row r="439">
      <c r="A439" s="148">
        <f>IFERROR(__xludf.DUMMYFUNCTION("""COMPUTED_VALUE"""),1.1219422E7)</f>
        <v>11219422</v>
      </c>
      <c r="B439" s="148" t="str">
        <f>IFERROR(__xludf.DUMMYFUNCTION("""COMPUTED_VALUE"""),"关卡中立部队T2")</f>
        <v>关卡中立部队T2</v>
      </c>
      <c r="C439" s="148">
        <f>IFERROR(__xludf.DUMMYFUNCTION("""COMPUTED_VALUE"""),1.1221004E7)</f>
        <v>11221004</v>
      </c>
      <c r="D439" s="148">
        <f>IFERROR(__xludf.DUMMYFUNCTION("""COMPUTED_VALUE"""),1.5110053E7)</f>
        <v>15110053</v>
      </c>
      <c r="E439" s="148" t="str">
        <f>IFERROR(__xludf.DUMMYFUNCTION("""COMPUTED_VALUE"""),"{}")</f>
        <v>{}</v>
      </c>
      <c r="F439" s="148" t="str">
        <f>IFERROR(__xludf.DUMMYFUNCTION("""COMPUTED_VALUE"""),"{}")</f>
        <v>{}</v>
      </c>
      <c r="G439" s="148">
        <f>IFERROR(__xludf.DUMMYFUNCTION("""COMPUTED_VALUE"""),10.0)</f>
        <v>10</v>
      </c>
      <c r="H439" s="148">
        <f>IFERROR(__xludf.DUMMYFUNCTION("""COMPUTED_VALUE"""),10099.0)</f>
        <v>10099</v>
      </c>
      <c r="I439" s="148">
        <f>IFERROR(__xludf.DUMMYFUNCTION("""COMPUTED_VALUE"""),10099.0)</f>
        <v>10099</v>
      </c>
      <c r="J439" s="148">
        <f>IFERROR(__xludf.DUMMYFUNCTION("""COMPUTED_VALUE"""),0.0)</f>
        <v>0</v>
      </c>
      <c r="K439" s="148">
        <f>IFERROR(__xludf.DUMMYFUNCTION("""COMPUTED_VALUE"""),10.0)</f>
        <v>10</v>
      </c>
      <c r="L439" s="148">
        <f>IFERROR(__xludf.DUMMYFUNCTION("""COMPUTED_VALUE"""),99.0)</f>
        <v>99</v>
      </c>
      <c r="M439" s="148">
        <f>IFERROR(__xludf.DUMMYFUNCTION("""COMPUTED_VALUE"""),0.0)</f>
        <v>0</v>
      </c>
      <c r="N439" s="148" t="str">
        <f>IFERROR(__xludf.DUMMYFUNCTION("""COMPUTED_VALUE"""),"[]")</f>
        <v>[]</v>
      </c>
      <c r="O439" s="148" t="str">
        <f>IFERROR(__xludf.DUMMYFUNCTION("""COMPUTED_VALUE"""),"{}")</f>
        <v>{}</v>
      </c>
      <c r="P439" s="148">
        <f>IFERROR(__xludf.DUMMYFUNCTION("""COMPUTED_VALUE"""),0.0)</f>
        <v>0</v>
      </c>
      <c r="Q439" s="148" t="str">
        <f>IFERROR(__xludf.DUMMYFUNCTION("""COMPUTED_VALUE"""),"[]")</f>
        <v>[]</v>
      </c>
      <c r="R439" s="148" t="str">
        <f>IFERROR(__xludf.DUMMYFUNCTION("""COMPUTED_VALUE"""),"{}")</f>
        <v>{}</v>
      </c>
      <c r="S439" s="148">
        <f>IFERROR(__xludf.DUMMYFUNCTION("""COMPUTED_VALUE"""),0.0)</f>
        <v>0</v>
      </c>
      <c r="T439" s="148" t="str">
        <f>IFERROR(__xludf.DUMMYFUNCTION("""COMPUTED_VALUE"""),"[]")</f>
        <v>[]</v>
      </c>
      <c r="U439" s="148">
        <f>IFERROR(__xludf.DUMMYFUNCTION("""COMPUTED_VALUE"""),0.0)</f>
        <v>0</v>
      </c>
      <c r="V439" s="148" t="str">
        <f>IFERROR(__xludf.DUMMYFUNCTION("""COMPUTED_VALUE"""),"{}")</f>
        <v>{}</v>
      </c>
      <c r="W439" s="148" t="str">
        <f>IFERROR(__xludf.DUMMYFUNCTION("""COMPUTED_VALUE"""),"[]")</f>
        <v>[]</v>
      </c>
      <c r="X439" s="148" t="str">
        <f>IFERROR(__xludf.DUMMYFUNCTION("""COMPUTED_VALUE"""),"[{""typ"":""power"",""id"":12141002,""val"":60}]")</f>
        <v>[{"typ":"power","id":12141002,"val":60}]</v>
      </c>
      <c r="Y439" s="148" t="str">
        <f>IFERROR(__xludf.DUMMYFUNCTION("""COMPUTED_VALUE"""),"[{""typ"":""atk"",""val"":120},{""typ"":""def"",""val"":130},{""typ"":""hp"",""val"":130},{""typ"":""speed"",""val"":40},{""typ"":""load"",""val"":20},{""typ"":""backcoef"",""val"":0.5},{""typ"":""atkcoef"",""val"":1.0},{""typ"":""atkcd"",""val"":0}]")</f>
        <v>[{"typ":"atk","val":120},{"typ":"def","val":130},{"typ":"hp","val":130},{"typ":"speed","val":40},{"typ":"load","val":20},{"typ":"backcoef","val":0.5},{"typ":"atkcoef","val":1.0},{"typ":"atkcd","val":0}]</v>
      </c>
      <c r="Z439" s="148" t="str">
        <f>IFERROR(__xludf.DUMMYFUNCTION("""COMPUTED_VALUE"""),"[]")</f>
        <v>[]</v>
      </c>
    </row>
    <row r="440">
      <c r="A440" s="148">
        <f>IFERROR(__xludf.DUMMYFUNCTION("""COMPUTED_VALUE"""),1.1219423E7)</f>
        <v>11219423</v>
      </c>
      <c r="B440" s="148" t="str">
        <f>IFERROR(__xludf.DUMMYFUNCTION("""COMPUTED_VALUE"""),"关卡中立部队T3")</f>
        <v>关卡中立部队T3</v>
      </c>
      <c r="C440" s="148">
        <f>IFERROR(__xludf.DUMMYFUNCTION("""COMPUTED_VALUE"""),1.1221004E7)</f>
        <v>11221004</v>
      </c>
      <c r="D440" s="148">
        <f>IFERROR(__xludf.DUMMYFUNCTION("""COMPUTED_VALUE"""),1.5110054E7)</f>
        <v>15110054</v>
      </c>
      <c r="E440" s="148" t="str">
        <f>IFERROR(__xludf.DUMMYFUNCTION("""COMPUTED_VALUE"""),"{}")</f>
        <v>{}</v>
      </c>
      <c r="F440" s="148" t="str">
        <f>IFERROR(__xludf.DUMMYFUNCTION("""COMPUTED_VALUE"""),"{}")</f>
        <v>{}</v>
      </c>
      <c r="G440" s="148">
        <f>IFERROR(__xludf.DUMMYFUNCTION("""COMPUTED_VALUE"""),10.0)</f>
        <v>10</v>
      </c>
      <c r="H440" s="148">
        <f>IFERROR(__xludf.DUMMYFUNCTION("""COMPUTED_VALUE"""),10099.0)</f>
        <v>10099</v>
      </c>
      <c r="I440" s="148">
        <f>IFERROR(__xludf.DUMMYFUNCTION("""COMPUTED_VALUE"""),10099.0)</f>
        <v>10099</v>
      </c>
      <c r="J440" s="148">
        <f>IFERROR(__xludf.DUMMYFUNCTION("""COMPUTED_VALUE"""),0.0)</f>
        <v>0</v>
      </c>
      <c r="K440" s="148">
        <f>IFERROR(__xludf.DUMMYFUNCTION("""COMPUTED_VALUE"""),10.0)</f>
        <v>10</v>
      </c>
      <c r="L440" s="148">
        <f>IFERROR(__xludf.DUMMYFUNCTION("""COMPUTED_VALUE"""),99.0)</f>
        <v>99</v>
      </c>
      <c r="M440" s="148">
        <f>IFERROR(__xludf.DUMMYFUNCTION("""COMPUTED_VALUE"""),0.0)</f>
        <v>0</v>
      </c>
      <c r="N440" s="148" t="str">
        <f>IFERROR(__xludf.DUMMYFUNCTION("""COMPUTED_VALUE"""),"[]")</f>
        <v>[]</v>
      </c>
      <c r="O440" s="148" t="str">
        <f>IFERROR(__xludf.DUMMYFUNCTION("""COMPUTED_VALUE"""),"{}")</f>
        <v>{}</v>
      </c>
      <c r="P440" s="148">
        <f>IFERROR(__xludf.DUMMYFUNCTION("""COMPUTED_VALUE"""),0.0)</f>
        <v>0</v>
      </c>
      <c r="Q440" s="148" t="str">
        <f>IFERROR(__xludf.DUMMYFUNCTION("""COMPUTED_VALUE"""),"[]")</f>
        <v>[]</v>
      </c>
      <c r="R440" s="148" t="str">
        <f>IFERROR(__xludf.DUMMYFUNCTION("""COMPUTED_VALUE"""),"{}")</f>
        <v>{}</v>
      </c>
      <c r="S440" s="148">
        <f>IFERROR(__xludf.DUMMYFUNCTION("""COMPUTED_VALUE"""),0.0)</f>
        <v>0</v>
      </c>
      <c r="T440" s="148" t="str">
        <f>IFERROR(__xludf.DUMMYFUNCTION("""COMPUTED_VALUE"""),"[]")</f>
        <v>[]</v>
      </c>
      <c r="U440" s="148">
        <f>IFERROR(__xludf.DUMMYFUNCTION("""COMPUTED_VALUE"""),0.0)</f>
        <v>0</v>
      </c>
      <c r="V440" s="148" t="str">
        <f>IFERROR(__xludf.DUMMYFUNCTION("""COMPUTED_VALUE"""),"{}")</f>
        <v>{}</v>
      </c>
      <c r="W440" s="148" t="str">
        <f>IFERROR(__xludf.DUMMYFUNCTION("""COMPUTED_VALUE"""),"[]")</f>
        <v>[]</v>
      </c>
      <c r="X440" s="148" t="str">
        <f>IFERROR(__xludf.DUMMYFUNCTION("""COMPUTED_VALUE"""),"[{""typ"":""power"",""id"":12141002,""val"":60}]")</f>
        <v>[{"typ":"power","id":12141002,"val":60}]</v>
      </c>
      <c r="Y440" s="148" t="str">
        <f>IFERROR(__xludf.DUMMYFUNCTION("""COMPUTED_VALUE"""),"[{""typ"":""atk"",""val"":160},{""typ"":""def"",""val"":160},{""typ"":""hp"",""val"":160},{""typ"":""speed"",""val"":40},{""typ"":""load"",""val"":20},{""typ"":""backcoef"",""val"":0.5},{""typ"":""atkcoef"",""val"":1.0},{""typ"":""atkcd"",""val"":0}]")</f>
        <v>[{"typ":"atk","val":160},{"typ":"def","val":160},{"typ":"hp","val":160},{"typ":"speed","val":40},{"typ":"load","val":20},{"typ":"backcoef","val":0.5},{"typ":"atkcoef","val":1.0},{"typ":"atkcd","val":0}]</v>
      </c>
      <c r="Z440" s="148" t="str">
        <f>IFERROR(__xludf.DUMMYFUNCTION("""COMPUTED_VALUE"""),"[]")</f>
        <v>[]</v>
      </c>
    </row>
    <row r="441">
      <c r="A441" s="148">
        <f>IFERROR(__xludf.DUMMYFUNCTION("""COMPUTED_VALUE"""),1.1219424E7)</f>
        <v>11219424</v>
      </c>
      <c r="B441" s="148" t="str">
        <f>IFERROR(__xludf.DUMMYFUNCTION("""COMPUTED_VALUE"""),"关卡中立部队T4")</f>
        <v>关卡中立部队T4</v>
      </c>
      <c r="C441" s="148">
        <f>IFERROR(__xludf.DUMMYFUNCTION("""COMPUTED_VALUE"""),1.1221004E7)</f>
        <v>11221004</v>
      </c>
      <c r="D441" s="148">
        <f>IFERROR(__xludf.DUMMYFUNCTION("""COMPUTED_VALUE"""),1.5110055E7)</f>
        <v>15110055</v>
      </c>
      <c r="E441" s="148" t="str">
        <f>IFERROR(__xludf.DUMMYFUNCTION("""COMPUTED_VALUE"""),"{}")</f>
        <v>{}</v>
      </c>
      <c r="F441" s="148" t="str">
        <f>IFERROR(__xludf.DUMMYFUNCTION("""COMPUTED_VALUE"""),"{}")</f>
        <v>{}</v>
      </c>
      <c r="G441" s="148">
        <f>IFERROR(__xludf.DUMMYFUNCTION("""COMPUTED_VALUE"""),10.0)</f>
        <v>10</v>
      </c>
      <c r="H441" s="148">
        <f>IFERROR(__xludf.DUMMYFUNCTION("""COMPUTED_VALUE"""),10099.0)</f>
        <v>10099</v>
      </c>
      <c r="I441" s="148">
        <f>IFERROR(__xludf.DUMMYFUNCTION("""COMPUTED_VALUE"""),10099.0)</f>
        <v>10099</v>
      </c>
      <c r="J441" s="148">
        <f>IFERROR(__xludf.DUMMYFUNCTION("""COMPUTED_VALUE"""),0.0)</f>
        <v>0</v>
      </c>
      <c r="K441" s="148">
        <f>IFERROR(__xludf.DUMMYFUNCTION("""COMPUTED_VALUE"""),10.0)</f>
        <v>10</v>
      </c>
      <c r="L441" s="148">
        <f>IFERROR(__xludf.DUMMYFUNCTION("""COMPUTED_VALUE"""),99.0)</f>
        <v>99</v>
      </c>
      <c r="M441" s="148">
        <f>IFERROR(__xludf.DUMMYFUNCTION("""COMPUTED_VALUE"""),0.0)</f>
        <v>0</v>
      </c>
      <c r="N441" s="148" t="str">
        <f>IFERROR(__xludf.DUMMYFUNCTION("""COMPUTED_VALUE"""),"[]")</f>
        <v>[]</v>
      </c>
      <c r="O441" s="148" t="str">
        <f>IFERROR(__xludf.DUMMYFUNCTION("""COMPUTED_VALUE"""),"{}")</f>
        <v>{}</v>
      </c>
      <c r="P441" s="148">
        <f>IFERROR(__xludf.DUMMYFUNCTION("""COMPUTED_VALUE"""),0.0)</f>
        <v>0</v>
      </c>
      <c r="Q441" s="148" t="str">
        <f>IFERROR(__xludf.DUMMYFUNCTION("""COMPUTED_VALUE"""),"[]")</f>
        <v>[]</v>
      </c>
      <c r="R441" s="148" t="str">
        <f>IFERROR(__xludf.DUMMYFUNCTION("""COMPUTED_VALUE"""),"{}")</f>
        <v>{}</v>
      </c>
      <c r="S441" s="148">
        <f>IFERROR(__xludf.DUMMYFUNCTION("""COMPUTED_VALUE"""),0.0)</f>
        <v>0</v>
      </c>
      <c r="T441" s="148" t="str">
        <f>IFERROR(__xludf.DUMMYFUNCTION("""COMPUTED_VALUE"""),"[]")</f>
        <v>[]</v>
      </c>
      <c r="U441" s="148">
        <f>IFERROR(__xludf.DUMMYFUNCTION("""COMPUTED_VALUE"""),0.0)</f>
        <v>0</v>
      </c>
      <c r="V441" s="148" t="str">
        <f>IFERROR(__xludf.DUMMYFUNCTION("""COMPUTED_VALUE"""),"{}")</f>
        <v>{}</v>
      </c>
      <c r="W441" s="148" t="str">
        <f>IFERROR(__xludf.DUMMYFUNCTION("""COMPUTED_VALUE"""),"[]")</f>
        <v>[]</v>
      </c>
      <c r="X441" s="148" t="str">
        <f>IFERROR(__xludf.DUMMYFUNCTION("""COMPUTED_VALUE"""),"[{""typ"":""power"",""id"":12141002,""val"":60}]")</f>
        <v>[{"typ":"power","id":12141002,"val":60}]</v>
      </c>
      <c r="Y441" s="148" t="str">
        <f>IFERROR(__xludf.DUMMYFUNCTION("""COMPUTED_VALUE"""),"[{""typ"":""atk"",""val"":200},{""typ"":""def"",""val"":190},{""typ"":""hp"",""val"":180},{""typ"":""speed"",""val"":40},{""typ"":""load"",""val"":20},{""typ"":""backcoef"",""val"":0.5},{""typ"":""atkcoef"",""val"":1.0},{""typ"":""atkcd"",""val"":0}]")</f>
        <v>[{"typ":"atk","val":200},{"typ":"def","val":190},{"typ":"hp","val":180},{"typ":"speed","val":40},{"typ":"load","val":20},{"typ":"backcoef","val":0.5},{"typ":"atkcoef","val":1.0},{"typ":"atkcd","val":0}]</v>
      </c>
      <c r="Z441" s="148" t="str">
        <f>IFERROR(__xludf.DUMMYFUNCTION("""COMPUTED_VALUE"""),"[]")</f>
        <v>[]</v>
      </c>
    </row>
    <row r="442">
      <c r="A442" s="148">
        <f>IFERROR(__xludf.DUMMYFUNCTION("""COMPUTED_VALUE"""),1.1219425E7)</f>
        <v>11219425</v>
      </c>
      <c r="B442" s="148" t="str">
        <f>IFERROR(__xludf.DUMMYFUNCTION("""COMPUTED_VALUE"""),"关卡中立部队T5")</f>
        <v>关卡中立部队T5</v>
      </c>
      <c r="C442" s="148">
        <f>IFERROR(__xludf.DUMMYFUNCTION("""COMPUTED_VALUE"""),1.1221004E7)</f>
        <v>11221004</v>
      </c>
      <c r="D442" s="148">
        <f>IFERROR(__xludf.DUMMYFUNCTION("""COMPUTED_VALUE"""),1.5110056E7)</f>
        <v>15110056</v>
      </c>
      <c r="E442" s="148" t="str">
        <f>IFERROR(__xludf.DUMMYFUNCTION("""COMPUTED_VALUE"""),"{}")</f>
        <v>{}</v>
      </c>
      <c r="F442" s="148" t="str">
        <f>IFERROR(__xludf.DUMMYFUNCTION("""COMPUTED_VALUE"""),"{}")</f>
        <v>{}</v>
      </c>
      <c r="G442" s="148">
        <f>IFERROR(__xludf.DUMMYFUNCTION("""COMPUTED_VALUE"""),10.0)</f>
        <v>10</v>
      </c>
      <c r="H442" s="148">
        <f>IFERROR(__xludf.DUMMYFUNCTION("""COMPUTED_VALUE"""),10099.0)</f>
        <v>10099</v>
      </c>
      <c r="I442" s="148">
        <f>IFERROR(__xludf.DUMMYFUNCTION("""COMPUTED_VALUE"""),10099.0)</f>
        <v>10099</v>
      </c>
      <c r="J442" s="148">
        <f>IFERROR(__xludf.DUMMYFUNCTION("""COMPUTED_VALUE"""),0.0)</f>
        <v>0</v>
      </c>
      <c r="K442" s="148">
        <f>IFERROR(__xludf.DUMMYFUNCTION("""COMPUTED_VALUE"""),10.0)</f>
        <v>10</v>
      </c>
      <c r="L442" s="148">
        <f>IFERROR(__xludf.DUMMYFUNCTION("""COMPUTED_VALUE"""),99.0)</f>
        <v>99</v>
      </c>
      <c r="M442" s="148">
        <f>IFERROR(__xludf.DUMMYFUNCTION("""COMPUTED_VALUE"""),0.0)</f>
        <v>0</v>
      </c>
      <c r="N442" s="148" t="str">
        <f>IFERROR(__xludf.DUMMYFUNCTION("""COMPUTED_VALUE"""),"[]")</f>
        <v>[]</v>
      </c>
      <c r="O442" s="148" t="str">
        <f>IFERROR(__xludf.DUMMYFUNCTION("""COMPUTED_VALUE"""),"{}")</f>
        <v>{}</v>
      </c>
      <c r="P442" s="148">
        <f>IFERROR(__xludf.DUMMYFUNCTION("""COMPUTED_VALUE"""),0.0)</f>
        <v>0</v>
      </c>
      <c r="Q442" s="148" t="str">
        <f>IFERROR(__xludf.DUMMYFUNCTION("""COMPUTED_VALUE"""),"[]")</f>
        <v>[]</v>
      </c>
      <c r="R442" s="148" t="str">
        <f>IFERROR(__xludf.DUMMYFUNCTION("""COMPUTED_VALUE"""),"{}")</f>
        <v>{}</v>
      </c>
      <c r="S442" s="148">
        <f>IFERROR(__xludf.DUMMYFUNCTION("""COMPUTED_VALUE"""),0.0)</f>
        <v>0</v>
      </c>
      <c r="T442" s="148" t="str">
        <f>IFERROR(__xludf.DUMMYFUNCTION("""COMPUTED_VALUE"""),"[]")</f>
        <v>[]</v>
      </c>
      <c r="U442" s="148">
        <f>IFERROR(__xludf.DUMMYFUNCTION("""COMPUTED_VALUE"""),0.0)</f>
        <v>0</v>
      </c>
      <c r="V442" s="148" t="str">
        <f>IFERROR(__xludf.DUMMYFUNCTION("""COMPUTED_VALUE"""),"{}")</f>
        <v>{}</v>
      </c>
      <c r="W442" s="148" t="str">
        <f>IFERROR(__xludf.DUMMYFUNCTION("""COMPUTED_VALUE"""),"[]")</f>
        <v>[]</v>
      </c>
      <c r="X442" s="148" t="str">
        <f>IFERROR(__xludf.DUMMYFUNCTION("""COMPUTED_VALUE"""),"[{""typ"":""power"",""id"":12141002,""val"":60}]")</f>
        <v>[{"typ":"power","id":12141002,"val":60}]</v>
      </c>
      <c r="Y442" s="148" t="str">
        <f>IFERROR(__xludf.DUMMYFUNCTION("""COMPUTED_VALUE"""),"[{""typ"":""atk"",""val"":230},{""typ"":""def"",""val"":210},{""typ"":""hp"",""val"":210},{""typ"":""speed"",""val"":40},{""typ"":""load"",""val"":20},{""typ"":""backcoef"",""val"":0.5},{""typ"":""atkcoef"",""val"":1.0},{""typ"":""atkcd"",""val"":0}]")</f>
        <v>[{"typ":"atk","val":230},{"typ":"def","val":210},{"typ":"hp","val":210},{"typ":"speed","val":40},{"typ":"load","val":20},{"typ":"backcoef","val":0.5},{"typ":"atkcoef","val":1.0},{"typ":"atkcd","val":0}]</v>
      </c>
      <c r="Z442" s="148" t="str">
        <f>IFERROR(__xludf.DUMMYFUNCTION("""COMPUTED_VALUE"""),"[]")</f>
        <v>[]</v>
      </c>
    </row>
    <row r="443">
      <c r="A443" s="148">
        <f>IFERROR(__xludf.DUMMYFUNCTION("""COMPUTED_VALUE"""),1.1219431E7)</f>
        <v>11219431</v>
      </c>
      <c r="B443" s="148" t="str">
        <f>IFERROR(__xludf.DUMMYFUNCTION("""COMPUTED_VALUE"""),"关卡中立建筑部队T1")</f>
        <v>关卡中立建筑部队T1</v>
      </c>
      <c r="C443" s="148">
        <f>IFERROR(__xludf.DUMMYFUNCTION("""COMPUTED_VALUE"""),1.1221004E7)</f>
        <v>11221004</v>
      </c>
      <c r="D443" s="148">
        <f>IFERROR(__xludf.DUMMYFUNCTION("""COMPUTED_VALUE"""),1.5110052E7)</f>
        <v>15110052</v>
      </c>
      <c r="E443" s="148" t="str">
        <f>IFERROR(__xludf.DUMMYFUNCTION("""COMPUTED_VALUE"""),"{}")</f>
        <v>{}</v>
      </c>
      <c r="F443" s="148" t="str">
        <f>IFERROR(__xludf.DUMMYFUNCTION("""COMPUTED_VALUE"""),"{}")</f>
        <v>{}</v>
      </c>
      <c r="G443" s="148">
        <f>IFERROR(__xludf.DUMMYFUNCTION("""COMPUTED_VALUE"""),10.0)</f>
        <v>10</v>
      </c>
      <c r="H443" s="148">
        <f>IFERROR(__xludf.DUMMYFUNCTION("""COMPUTED_VALUE"""),10099.0)</f>
        <v>10099</v>
      </c>
      <c r="I443" s="148">
        <f>IFERROR(__xludf.DUMMYFUNCTION("""COMPUTED_VALUE"""),10099.0)</f>
        <v>10099</v>
      </c>
      <c r="J443" s="148">
        <f>IFERROR(__xludf.DUMMYFUNCTION("""COMPUTED_VALUE"""),0.0)</f>
        <v>0</v>
      </c>
      <c r="K443" s="148">
        <f>IFERROR(__xludf.DUMMYFUNCTION("""COMPUTED_VALUE"""),10.0)</f>
        <v>10</v>
      </c>
      <c r="L443" s="148">
        <f>IFERROR(__xludf.DUMMYFUNCTION("""COMPUTED_VALUE"""),99.0)</f>
        <v>99</v>
      </c>
      <c r="M443" s="148">
        <f>IFERROR(__xludf.DUMMYFUNCTION("""COMPUTED_VALUE"""),0.0)</f>
        <v>0</v>
      </c>
      <c r="N443" s="148" t="str">
        <f>IFERROR(__xludf.DUMMYFUNCTION("""COMPUTED_VALUE"""),"[]")</f>
        <v>[]</v>
      </c>
      <c r="O443" s="148" t="str">
        <f>IFERROR(__xludf.DUMMYFUNCTION("""COMPUTED_VALUE"""),"{}")</f>
        <v>{}</v>
      </c>
      <c r="P443" s="148">
        <f>IFERROR(__xludf.DUMMYFUNCTION("""COMPUTED_VALUE"""),0.0)</f>
        <v>0</v>
      </c>
      <c r="Q443" s="148" t="str">
        <f>IFERROR(__xludf.DUMMYFUNCTION("""COMPUTED_VALUE"""),"[]")</f>
        <v>[]</v>
      </c>
      <c r="R443" s="148" t="str">
        <f>IFERROR(__xludf.DUMMYFUNCTION("""COMPUTED_VALUE"""),"{}")</f>
        <v>{}</v>
      </c>
      <c r="S443" s="148">
        <f>IFERROR(__xludf.DUMMYFUNCTION("""COMPUTED_VALUE"""),0.0)</f>
        <v>0</v>
      </c>
      <c r="T443" s="148" t="str">
        <f>IFERROR(__xludf.DUMMYFUNCTION("""COMPUTED_VALUE"""),"[]")</f>
        <v>[]</v>
      </c>
      <c r="U443" s="148">
        <f>IFERROR(__xludf.DUMMYFUNCTION("""COMPUTED_VALUE"""),0.0)</f>
        <v>0</v>
      </c>
      <c r="V443" s="148" t="str">
        <f>IFERROR(__xludf.DUMMYFUNCTION("""COMPUTED_VALUE"""),"{}")</f>
        <v>{}</v>
      </c>
      <c r="W443" s="148" t="str">
        <f>IFERROR(__xludf.DUMMYFUNCTION("""COMPUTED_VALUE"""),"[]")</f>
        <v>[]</v>
      </c>
      <c r="X443" s="148" t="str">
        <f>IFERROR(__xludf.DUMMYFUNCTION("""COMPUTED_VALUE"""),"[{""typ"":""power"",""id"":12141002,""val"":60}]")</f>
        <v>[{"typ":"power","id":12141002,"val":60}]</v>
      </c>
      <c r="Y443" s="148" t="str">
        <f>IFERROR(__xludf.DUMMYFUNCTION("""COMPUTED_VALUE"""),"[{""typ"":""atk"",""val"":60},{""typ"":""def"",""val"":125},{""typ"":""hp"",""val"":120},{""typ"":""speed"",""val"":40},{""typ"":""load"",""val"":20},{""typ"":""backcoef"",""val"":0.5},{""typ"":""atkcoef"",""val"":1.0},{""typ"":""atkcd"",""val"":0}]")</f>
        <v>[{"typ":"atk","val":60},{"typ":"def","val":125},{"typ":"hp","val":120},{"typ":"speed","val":40},{"typ":"load","val":20},{"typ":"backcoef","val":0.5},{"typ":"atkcoef","val":1.0},{"typ":"atkcd","val":0}]</v>
      </c>
      <c r="Z443" s="148" t="str">
        <f>IFERROR(__xludf.DUMMYFUNCTION("""COMPUTED_VALUE"""),"[]")</f>
        <v>[]</v>
      </c>
    </row>
    <row r="444">
      <c r="A444" s="148">
        <f>IFERROR(__xludf.DUMMYFUNCTION("""COMPUTED_VALUE"""),1.1219432E7)</f>
        <v>11219432</v>
      </c>
      <c r="B444" s="148" t="str">
        <f>IFERROR(__xludf.DUMMYFUNCTION("""COMPUTED_VALUE"""),"关卡中立建筑部队T2")</f>
        <v>关卡中立建筑部队T2</v>
      </c>
      <c r="C444" s="148">
        <f>IFERROR(__xludf.DUMMYFUNCTION("""COMPUTED_VALUE"""),1.1221004E7)</f>
        <v>11221004</v>
      </c>
      <c r="D444" s="148">
        <f>IFERROR(__xludf.DUMMYFUNCTION("""COMPUTED_VALUE"""),1.5110053E7)</f>
        <v>15110053</v>
      </c>
      <c r="E444" s="148" t="str">
        <f>IFERROR(__xludf.DUMMYFUNCTION("""COMPUTED_VALUE"""),"{}")</f>
        <v>{}</v>
      </c>
      <c r="F444" s="148" t="str">
        <f>IFERROR(__xludf.DUMMYFUNCTION("""COMPUTED_VALUE"""),"{}")</f>
        <v>{}</v>
      </c>
      <c r="G444" s="148">
        <f>IFERROR(__xludf.DUMMYFUNCTION("""COMPUTED_VALUE"""),10.0)</f>
        <v>10</v>
      </c>
      <c r="H444" s="148">
        <f>IFERROR(__xludf.DUMMYFUNCTION("""COMPUTED_VALUE"""),10099.0)</f>
        <v>10099</v>
      </c>
      <c r="I444" s="148">
        <f>IFERROR(__xludf.DUMMYFUNCTION("""COMPUTED_VALUE"""),10099.0)</f>
        <v>10099</v>
      </c>
      <c r="J444" s="148">
        <f>IFERROR(__xludf.DUMMYFUNCTION("""COMPUTED_VALUE"""),0.0)</f>
        <v>0</v>
      </c>
      <c r="K444" s="148">
        <f>IFERROR(__xludf.DUMMYFUNCTION("""COMPUTED_VALUE"""),10.0)</f>
        <v>10</v>
      </c>
      <c r="L444" s="148">
        <f>IFERROR(__xludf.DUMMYFUNCTION("""COMPUTED_VALUE"""),99.0)</f>
        <v>99</v>
      </c>
      <c r="M444" s="148">
        <f>IFERROR(__xludf.DUMMYFUNCTION("""COMPUTED_VALUE"""),0.0)</f>
        <v>0</v>
      </c>
      <c r="N444" s="148" t="str">
        <f>IFERROR(__xludf.DUMMYFUNCTION("""COMPUTED_VALUE"""),"[]")</f>
        <v>[]</v>
      </c>
      <c r="O444" s="148" t="str">
        <f>IFERROR(__xludf.DUMMYFUNCTION("""COMPUTED_VALUE"""),"{}")</f>
        <v>{}</v>
      </c>
      <c r="P444" s="148">
        <f>IFERROR(__xludf.DUMMYFUNCTION("""COMPUTED_VALUE"""),0.0)</f>
        <v>0</v>
      </c>
      <c r="Q444" s="148" t="str">
        <f>IFERROR(__xludf.DUMMYFUNCTION("""COMPUTED_VALUE"""),"[]")</f>
        <v>[]</v>
      </c>
      <c r="R444" s="148" t="str">
        <f>IFERROR(__xludf.DUMMYFUNCTION("""COMPUTED_VALUE"""),"{}")</f>
        <v>{}</v>
      </c>
      <c r="S444" s="148">
        <f>IFERROR(__xludf.DUMMYFUNCTION("""COMPUTED_VALUE"""),0.0)</f>
        <v>0</v>
      </c>
      <c r="T444" s="148" t="str">
        <f>IFERROR(__xludf.DUMMYFUNCTION("""COMPUTED_VALUE"""),"[]")</f>
        <v>[]</v>
      </c>
      <c r="U444" s="148">
        <f>IFERROR(__xludf.DUMMYFUNCTION("""COMPUTED_VALUE"""),0.0)</f>
        <v>0</v>
      </c>
      <c r="V444" s="148" t="str">
        <f>IFERROR(__xludf.DUMMYFUNCTION("""COMPUTED_VALUE"""),"{}")</f>
        <v>{}</v>
      </c>
      <c r="W444" s="148" t="str">
        <f>IFERROR(__xludf.DUMMYFUNCTION("""COMPUTED_VALUE"""),"[]")</f>
        <v>[]</v>
      </c>
      <c r="X444" s="148" t="str">
        <f>IFERROR(__xludf.DUMMYFUNCTION("""COMPUTED_VALUE"""),"[{""typ"":""power"",""id"":12141002,""val"":60}]")</f>
        <v>[{"typ":"power","id":12141002,"val":60}]</v>
      </c>
      <c r="Y444" s="148" t="str">
        <f>IFERROR(__xludf.DUMMYFUNCTION("""COMPUTED_VALUE"""),"[{""typ"":""atk"",""val"":120},{""typ"":""def"",""val"":130},{""typ"":""hp"",""val"":130},{""typ"":""speed"",""val"":40},{""typ"":""load"",""val"":20},{""typ"":""backcoef"",""val"":0.5},{""typ"":""atkcoef"",""val"":1.0},{""typ"":""atkcd"",""val"":0}]")</f>
        <v>[{"typ":"atk","val":120},{"typ":"def","val":130},{"typ":"hp","val":130},{"typ":"speed","val":40},{"typ":"load","val":20},{"typ":"backcoef","val":0.5},{"typ":"atkcoef","val":1.0},{"typ":"atkcd","val":0}]</v>
      </c>
      <c r="Z444" s="148" t="str">
        <f>IFERROR(__xludf.DUMMYFUNCTION("""COMPUTED_VALUE"""),"[]")</f>
        <v>[]</v>
      </c>
    </row>
    <row r="445">
      <c r="A445" s="148">
        <f>IFERROR(__xludf.DUMMYFUNCTION("""COMPUTED_VALUE"""),1.1219433E7)</f>
        <v>11219433</v>
      </c>
      <c r="B445" s="148" t="str">
        <f>IFERROR(__xludf.DUMMYFUNCTION("""COMPUTED_VALUE"""),"关卡中立建筑部队T3")</f>
        <v>关卡中立建筑部队T3</v>
      </c>
      <c r="C445" s="148">
        <f>IFERROR(__xludf.DUMMYFUNCTION("""COMPUTED_VALUE"""),1.1221004E7)</f>
        <v>11221004</v>
      </c>
      <c r="D445" s="148">
        <f>IFERROR(__xludf.DUMMYFUNCTION("""COMPUTED_VALUE"""),1.5110054E7)</f>
        <v>15110054</v>
      </c>
      <c r="E445" s="148" t="str">
        <f>IFERROR(__xludf.DUMMYFUNCTION("""COMPUTED_VALUE"""),"{}")</f>
        <v>{}</v>
      </c>
      <c r="F445" s="148" t="str">
        <f>IFERROR(__xludf.DUMMYFUNCTION("""COMPUTED_VALUE"""),"{}")</f>
        <v>{}</v>
      </c>
      <c r="G445" s="148">
        <f>IFERROR(__xludf.DUMMYFUNCTION("""COMPUTED_VALUE"""),10.0)</f>
        <v>10</v>
      </c>
      <c r="H445" s="148">
        <f>IFERROR(__xludf.DUMMYFUNCTION("""COMPUTED_VALUE"""),10099.0)</f>
        <v>10099</v>
      </c>
      <c r="I445" s="148">
        <f>IFERROR(__xludf.DUMMYFUNCTION("""COMPUTED_VALUE"""),10099.0)</f>
        <v>10099</v>
      </c>
      <c r="J445" s="148">
        <f>IFERROR(__xludf.DUMMYFUNCTION("""COMPUTED_VALUE"""),0.0)</f>
        <v>0</v>
      </c>
      <c r="K445" s="148">
        <f>IFERROR(__xludf.DUMMYFUNCTION("""COMPUTED_VALUE"""),10.0)</f>
        <v>10</v>
      </c>
      <c r="L445" s="148">
        <f>IFERROR(__xludf.DUMMYFUNCTION("""COMPUTED_VALUE"""),99.0)</f>
        <v>99</v>
      </c>
      <c r="M445" s="148">
        <f>IFERROR(__xludf.DUMMYFUNCTION("""COMPUTED_VALUE"""),0.0)</f>
        <v>0</v>
      </c>
      <c r="N445" s="148" t="str">
        <f>IFERROR(__xludf.DUMMYFUNCTION("""COMPUTED_VALUE"""),"[]")</f>
        <v>[]</v>
      </c>
      <c r="O445" s="148" t="str">
        <f>IFERROR(__xludf.DUMMYFUNCTION("""COMPUTED_VALUE"""),"{}")</f>
        <v>{}</v>
      </c>
      <c r="P445" s="148">
        <f>IFERROR(__xludf.DUMMYFUNCTION("""COMPUTED_VALUE"""),0.0)</f>
        <v>0</v>
      </c>
      <c r="Q445" s="148" t="str">
        <f>IFERROR(__xludf.DUMMYFUNCTION("""COMPUTED_VALUE"""),"[]")</f>
        <v>[]</v>
      </c>
      <c r="R445" s="148" t="str">
        <f>IFERROR(__xludf.DUMMYFUNCTION("""COMPUTED_VALUE"""),"{}")</f>
        <v>{}</v>
      </c>
      <c r="S445" s="148">
        <f>IFERROR(__xludf.DUMMYFUNCTION("""COMPUTED_VALUE"""),0.0)</f>
        <v>0</v>
      </c>
      <c r="T445" s="148" t="str">
        <f>IFERROR(__xludf.DUMMYFUNCTION("""COMPUTED_VALUE"""),"[]")</f>
        <v>[]</v>
      </c>
      <c r="U445" s="148">
        <f>IFERROR(__xludf.DUMMYFUNCTION("""COMPUTED_VALUE"""),0.0)</f>
        <v>0</v>
      </c>
      <c r="V445" s="148" t="str">
        <f>IFERROR(__xludf.DUMMYFUNCTION("""COMPUTED_VALUE"""),"{}")</f>
        <v>{}</v>
      </c>
      <c r="W445" s="148" t="str">
        <f>IFERROR(__xludf.DUMMYFUNCTION("""COMPUTED_VALUE"""),"[]")</f>
        <v>[]</v>
      </c>
      <c r="X445" s="148" t="str">
        <f>IFERROR(__xludf.DUMMYFUNCTION("""COMPUTED_VALUE"""),"[{""typ"":""power"",""id"":12141002,""val"":60}]")</f>
        <v>[{"typ":"power","id":12141002,"val":60}]</v>
      </c>
      <c r="Y445" s="148" t="str">
        <f>IFERROR(__xludf.DUMMYFUNCTION("""COMPUTED_VALUE"""),"[{""typ"":""atk"",""val"":160},{""typ"":""def"",""val"":160},{""typ"":""hp"",""val"":160},{""typ"":""speed"",""val"":40},{""typ"":""load"",""val"":20},{""typ"":""backcoef"",""val"":0.5},{""typ"":""atkcoef"",""val"":1.0},{""typ"":""atkcd"",""val"":0}]")</f>
        <v>[{"typ":"atk","val":160},{"typ":"def","val":160},{"typ":"hp","val":160},{"typ":"speed","val":40},{"typ":"load","val":20},{"typ":"backcoef","val":0.5},{"typ":"atkcoef","val":1.0},{"typ":"atkcd","val":0}]</v>
      </c>
      <c r="Z445" s="148" t="str">
        <f>IFERROR(__xludf.DUMMYFUNCTION("""COMPUTED_VALUE"""),"[]")</f>
        <v>[]</v>
      </c>
    </row>
    <row r="446">
      <c r="A446" s="148">
        <f>IFERROR(__xludf.DUMMYFUNCTION("""COMPUTED_VALUE"""),1.1219434E7)</f>
        <v>11219434</v>
      </c>
      <c r="B446" s="148" t="str">
        <f>IFERROR(__xludf.DUMMYFUNCTION("""COMPUTED_VALUE"""),"关卡中立建筑部队T4")</f>
        <v>关卡中立建筑部队T4</v>
      </c>
      <c r="C446" s="148">
        <f>IFERROR(__xludf.DUMMYFUNCTION("""COMPUTED_VALUE"""),1.1221004E7)</f>
        <v>11221004</v>
      </c>
      <c r="D446" s="148">
        <f>IFERROR(__xludf.DUMMYFUNCTION("""COMPUTED_VALUE"""),1.5110055E7)</f>
        <v>15110055</v>
      </c>
      <c r="E446" s="148" t="str">
        <f>IFERROR(__xludf.DUMMYFUNCTION("""COMPUTED_VALUE"""),"{}")</f>
        <v>{}</v>
      </c>
      <c r="F446" s="148" t="str">
        <f>IFERROR(__xludf.DUMMYFUNCTION("""COMPUTED_VALUE"""),"{}")</f>
        <v>{}</v>
      </c>
      <c r="G446" s="148">
        <f>IFERROR(__xludf.DUMMYFUNCTION("""COMPUTED_VALUE"""),10.0)</f>
        <v>10</v>
      </c>
      <c r="H446" s="148">
        <f>IFERROR(__xludf.DUMMYFUNCTION("""COMPUTED_VALUE"""),10099.0)</f>
        <v>10099</v>
      </c>
      <c r="I446" s="148">
        <f>IFERROR(__xludf.DUMMYFUNCTION("""COMPUTED_VALUE"""),10099.0)</f>
        <v>10099</v>
      </c>
      <c r="J446" s="148">
        <f>IFERROR(__xludf.DUMMYFUNCTION("""COMPUTED_VALUE"""),0.0)</f>
        <v>0</v>
      </c>
      <c r="K446" s="148">
        <f>IFERROR(__xludf.DUMMYFUNCTION("""COMPUTED_VALUE"""),10.0)</f>
        <v>10</v>
      </c>
      <c r="L446" s="148">
        <f>IFERROR(__xludf.DUMMYFUNCTION("""COMPUTED_VALUE"""),99.0)</f>
        <v>99</v>
      </c>
      <c r="M446" s="148">
        <f>IFERROR(__xludf.DUMMYFUNCTION("""COMPUTED_VALUE"""),0.0)</f>
        <v>0</v>
      </c>
      <c r="N446" s="148" t="str">
        <f>IFERROR(__xludf.DUMMYFUNCTION("""COMPUTED_VALUE"""),"[]")</f>
        <v>[]</v>
      </c>
      <c r="O446" s="148" t="str">
        <f>IFERROR(__xludf.DUMMYFUNCTION("""COMPUTED_VALUE"""),"{}")</f>
        <v>{}</v>
      </c>
      <c r="P446" s="148">
        <f>IFERROR(__xludf.DUMMYFUNCTION("""COMPUTED_VALUE"""),0.0)</f>
        <v>0</v>
      </c>
      <c r="Q446" s="148" t="str">
        <f>IFERROR(__xludf.DUMMYFUNCTION("""COMPUTED_VALUE"""),"[]")</f>
        <v>[]</v>
      </c>
      <c r="R446" s="148" t="str">
        <f>IFERROR(__xludf.DUMMYFUNCTION("""COMPUTED_VALUE"""),"{}")</f>
        <v>{}</v>
      </c>
      <c r="S446" s="148">
        <f>IFERROR(__xludf.DUMMYFUNCTION("""COMPUTED_VALUE"""),0.0)</f>
        <v>0</v>
      </c>
      <c r="T446" s="148" t="str">
        <f>IFERROR(__xludf.DUMMYFUNCTION("""COMPUTED_VALUE"""),"[]")</f>
        <v>[]</v>
      </c>
      <c r="U446" s="148">
        <f>IFERROR(__xludf.DUMMYFUNCTION("""COMPUTED_VALUE"""),0.0)</f>
        <v>0</v>
      </c>
      <c r="V446" s="148" t="str">
        <f>IFERROR(__xludf.DUMMYFUNCTION("""COMPUTED_VALUE"""),"{}")</f>
        <v>{}</v>
      </c>
      <c r="W446" s="148" t="str">
        <f>IFERROR(__xludf.DUMMYFUNCTION("""COMPUTED_VALUE"""),"[]")</f>
        <v>[]</v>
      </c>
      <c r="X446" s="148" t="str">
        <f>IFERROR(__xludf.DUMMYFUNCTION("""COMPUTED_VALUE"""),"[{""typ"":""power"",""id"":12141002,""val"":60}]")</f>
        <v>[{"typ":"power","id":12141002,"val":60}]</v>
      </c>
      <c r="Y446" s="148" t="str">
        <f>IFERROR(__xludf.DUMMYFUNCTION("""COMPUTED_VALUE"""),"[{""typ"":""atk"",""val"":200},{""typ"":""def"",""val"":190},{""typ"":""hp"",""val"":180},{""typ"":""speed"",""val"":40},{""typ"":""load"",""val"":20},{""typ"":""backcoef"",""val"":0.5},{""typ"":""atkcoef"",""val"":1.0},{""typ"":""atkcd"",""val"":0}]")</f>
        <v>[{"typ":"atk","val":200},{"typ":"def","val":190},{"typ":"hp","val":180},{"typ":"speed","val":40},{"typ":"load","val":20},{"typ":"backcoef","val":0.5},{"typ":"atkcoef","val":1.0},{"typ":"atkcd","val":0}]</v>
      </c>
      <c r="Z446" s="148" t="str">
        <f>IFERROR(__xludf.DUMMYFUNCTION("""COMPUTED_VALUE"""),"[]")</f>
        <v>[]</v>
      </c>
    </row>
    <row r="447">
      <c r="A447" s="148">
        <f>IFERROR(__xludf.DUMMYFUNCTION("""COMPUTED_VALUE"""),1.1219435E7)</f>
        <v>11219435</v>
      </c>
      <c r="B447" s="148" t="str">
        <f>IFERROR(__xludf.DUMMYFUNCTION("""COMPUTED_VALUE"""),"关卡中立建筑部队T5")</f>
        <v>关卡中立建筑部队T5</v>
      </c>
      <c r="C447" s="148">
        <f>IFERROR(__xludf.DUMMYFUNCTION("""COMPUTED_VALUE"""),1.1221004E7)</f>
        <v>11221004</v>
      </c>
      <c r="D447" s="148">
        <f>IFERROR(__xludf.DUMMYFUNCTION("""COMPUTED_VALUE"""),1.5110056E7)</f>
        <v>15110056</v>
      </c>
      <c r="E447" s="148" t="str">
        <f>IFERROR(__xludf.DUMMYFUNCTION("""COMPUTED_VALUE"""),"{}")</f>
        <v>{}</v>
      </c>
      <c r="F447" s="148" t="str">
        <f>IFERROR(__xludf.DUMMYFUNCTION("""COMPUTED_VALUE"""),"{}")</f>
        <v>{}</v>
      </c>
      <c r="G447" s="148">
        <f>IFERROR(__xludf.DUMMYFUNCTION("""COMPUTED_VALUE"""),10.0)</f>
        <v>10</v>
      </c>
      <c r="H447" s="148">
        <f>IFERROR(__xludf.DUMMYFUNCTION("""COMPUTED_VALUE"""),10099.0)</f>
        <v>10099</v>
      </c>
      <c r="I447" s="148">
        <f>IFERROR(__xludf.DUMMYFUNCTION("""COMPUTED_VALUE"""),10099.0)</f>
        <v>10099</v>
      </c>
      <c r="J447" s="148">
        <f>IFERROR(__xludf.DUMMYFUNCTION("""COMPUTED_VALUE"""),0.0)</f>
        <v>0</v>
      </c>
      <c r="K447" s="148">
        <f>IFERROR(__xludf.DUMMYFUNCTION("""COMPUTED_VALUE"""),10.0)</f>
        <v>10</v>
      </c>
      <c r="L447" s="148">
        <f>IFERROR(__xludf.DUMMYFUNCTION("""COMPUTED_VALUE"""),99.0)</f>
        <v>99</v>
      </c>
      <c r="M447" s="148">
        <f>IFERROR(__xludf.DUMMYFUNCTION("""COMPUTED_VALUE"""),0.0)</f>
        <v>0</v>
      </c>
      <c r="N447" s="148" t="str">
        <f>IFERROR(__xludf.DUMMYFUNCTION("""COMPUTED_VALUE"""),"[]")</f>
        <v>[]</v>
      </c>
      <c r="O447" s="148" t="str">
        <f>IFERROR(__xludf.DUMMYFUNCTION("""COMPUTED_VALUE"""),"{}")</f>
        <v>{}</v>
      </c>
      <c r="P447" s="148">
        <f>IFERROR(__xludf.DUMMYFUNCTION("""COMPUTED_VALUE"""),0.0)</f>
        <v>0</v>
      </c>
      <c r="Q447" s="148" t="str">
        <f>IFERROR(__xludf.DUMMYFUNCTION("""COMPUTED_VALUE"""),"[]")</f>
        <v>[]</v>
      </c>
      <c r="R447" s="148" t="str">
        <f>IFERROR(__xludf.DUMMYFUNCTION("""COMPUTED_VALUE"""),"{}")</f>
        <v>{}</v>
      </c>
      <c r="S447" s="148">
        <f>IFERROR(__xludf.DUMMYFUNCTION("""COMPUTED_VALUE"""),0.0)</f>
        <v>0</v>
      </c>
      <c r="T447" s="148" t="str">
        <f>IFERROR(__xludf.DUMMYFUNCTION("""COMPUTED_VALUE"""),"[]")</f>
        <v>[]</v>
      </c>
      <c r="U447" s="148">
        <f>IFERROR(__xludf.DUMMYFUNCTION("""COMPUTED_VALUE"""),0.0)</f>
        <v>0</v>
      </c>
      <c r="V447" s="148" t="str">
        <f>IFERROR(__xludf.DUMMYFUNCTION("""COMPUTED_VALUE"""),"{}")</f>
        <v>{}</v>
      </c>
      <c r="W447" s="148" t="str">
        <f>IFERROR(__xludf.DUMMYFUNCTION("""COMPUTED_VALUE"""),"[]")</f>
        <v>[]</v>
      </c>
      <c r="X447" s="148" t="str">
        <f>IFERROR(__xludf.DUMMYFUNCTION("""COMPUTED_VALUE"""),"[{""typ"":""power"",""id"":12141002,""val"":60}]")</f>
        <v>[{"typ":"power","id":12141002,"val":60}]</v>
      </c>
      <c r="Y447" s="148" t="str">
        <f>IFERROR(__xludf.DUMMYFUNCTION("""COMPUTED_VALUE"""),"[{""typ"":""atk"",""val"":230},{""typ"":""def"",""val"":210},{""typ"":""hp"",""val"":210},{""typ"":""speed"",""val"":40},{""typ"":""load"",""val"":20},{""typ"":""backcoef"",""val"":0.5},{""typ"":""atkcoef"",""val"":1.0},{""typ"":""atkcd"",""val"":0}]")</f>
        <v>[{"typ":"atk","val":230},{"typ":"def","val":210},{"typ":"hp","val":210},{"typ":"speed","val":40},{"typ":"load","val":20},{"typ":"backcoef","val":0.5},{"typ":"atkcoef","val":1.0},{"typ":"atkcd","val":0}]</v>
      </c>
      <c r="Z447" s="148" t="str">
        <f>IFERROR(__xludf.DUMMYFUNCTION("""COMPUTED_VALUE"""),"[]")</f>
        <v>[]</v>
      </c>
    </row>
    <row r="448">
      <c r="A448" s="148">
        <f>IFERROR(__xludf.DUMMYFUNCTION("""COMPUTED_VALUE"""),1.1219444E7)</f>
        <v>11219444</v>
      </c>
      <c r="B448" s="148" t="str">
        <f>IFERROR(__xludf.DUMMYFUNCTION("""COMPUTED_VALUE"""),"关卡部队-巨猿T4")</f>
        <v>关卡部队-巨猿T4</v>
      </c>
      <c r="C448" s="148">
        <f>IFERROR(__xludf.DUMMYFUNCTION("""COMPUTED_VALUE"""),1.1221004E7)</f>
        <v>11221004</v>
      </c>
      <c r="D448" s="148">
        <f>IFERROR(__xludf.DUMMYFUNCTION("""COMPUTED_VALUE"""),1.5111315E7)</f>
        <v>15111315</v>
      </c>
      <c r="E448" s="148" t="str">
        <f>IFERROR(__xludf.DUMMYFUNCTION("""COMPUTED_VALUE"""),"{}")</f>
        <v>{}</v>
      </c>
      <c r="F448" s="148" t="str">
        <f>IFERROR(__xludf.DUMMYFUNCTION("""COMPUTED_VALUE"""),"{}")</f>
        <v>{}</v>
      </c>
      <c r="G448" s="148">
        <f>IFERROR(__xludf.DUMMYFUNCTION("""COMPUTED_VALUE"""),2.0)</f>
        <v>2</v>
      </c>
      <c r="H448" s="148">
        <f>IFERROR(__xludf.DUMMYFUNCTION("""COMPUTED_VALUE"""),10099.0)</f>
        <v>10099</v>
      </c>
      <c r="I448" s="148">
        <f>IFERROR(__xludf.DUMMYFUNCTION("""COMPUTED_VALUE"""),10099.0)</f>
        <v>10099</v>
      </c>
      <c r="J448" s="148">
        <f>IFERROR(__xludf.DUMMYFUNCTION("""COMPUTED_VALUE"""),0.0)</f>
        <v>0</v>
      </c>
      <c r="K448" s="148">
        <f>IFERROR(__xludf.DUMMYFUNCTION("""COMPUTED_VALUE"""),10.0)</f>
        <v>10</v>
      </c>
      <c r="L448" s="148">
        <f>IFERROR(__xludf.DUMMYFUNCTION("""COMPUTED_VALUE"""),99.0)</f>
        <v>99</v>
      </c>
      <c r="M448" s="148">
        <f>IFERROR(__xludf.DUMMYFUNCTION("""COMPUTED_VALUE"""),0.0)</f>
        <v>0</v>
      </c>
      <c r="N448" s="148" t="str">
        <f>IFERROR(__xludf.DUMMYFUNCTION("""COMPUTED_VALUE"""),"[]")</f>
        <v>[]</v>
      </c>
      <c r="O448" s="148" t="str">
        <f>IFERROR(__xludf.DUMMYFUNCTION("""COMPUTED_VALUE"""),"{}")</f>
        <v>{}</v>
      </c>
      <c r="P448" s="148">
        <f>IFERROR(__xludf.DUMMYFUNCTION("""COMPUTED_VALUE"""),0.0)</f>
        <v>0</v>
      </c>
      <c r="Q448" s="148" t="str">
        <f>IFERROR(__xludf.DUMMYFUNCTION("""COMPUTED_VALUE"""),"[]")</f>
        <v>[]</v>
      </c>
      <c r="R448" s="148" t="str">
        <f>IFERROR(__xludf.DUMMYFUNCTION("""COMPUTED_VALUE"""),"{}")</f>
        <v>{}</v>
      </c>
      <c r="S448" s="148">
        <f>IFERROR(__xludf.DUMMYFUNCTION("""COMPUTED_VALUE"""),0.0)</f>
        <v>0</v>
      </c>
      <c r="T448" s="148" t="str">
        <f>IFERROR(__xludf.DUMMYFUNCTION("""COMPUTED_VALUE"""),"[]")</f>
        <v>[]</v>
      </c>
      <c r="U448" s="148">
        <f>IFERROR(__xludf.DUMMYFUNCTION("""COMPUTED_VALUE"""),0.0)</f>
        <v>0</v>
      </c>
      <c r="V448" s="148" t="str">
        <f>IFERROR(__xludf.DUMMYFUNCTION("""COMPUTED_VALUE"""),"{}")</f>
        <v>{}</v>
      </c>
      <c r="W448" s="148" t="str">
        <f>IFERROR(__xludf.DUMMYFUNCTION("""COMPUTED_VALUE"""),"[]")</f>
        <v>[]</v>
      </c>
      <c r="X448" s="148" t="str">
        <f>IFERROR(__xludf.DUMMYFUNCTION("""COMPUTED_VALUE"""),"[{""typ"":""power"",""id"":12141002,""val"":6}]")</f>
        <v>[{"typ":"power","id":12141002,"val":6}]</v>
      </c>
      <c r="Y448" s="148" t="str">
        <f>IFERROR(__xludf.DUMMYFUNCTION("""COMPUTED_VALUE"""),"[{""typ"":""atk"",""val"":200},{""typ"":""def"",""val"":190},{""typ"":""hp"",""val"":180},{""typ"":""speed"",""val"":0},{""typ"":""load"",""val"":20},{""typ"":""backcoef"",""val"":0.5},{""typ"":""atkcoef"",""val"":1.0},{""typ"":""atkcd"",""val"":0}]")</f>
        <v>[{"typ":"atk","val":200},{"typ":"def","val":190},{"typ":"hp","val":180},{"typ":"speed","val":0},{"typ":"load","val":20},{"typ":"backcoef","val":0.5},{"typ":"atkcoef","val":1.0},{"typ":"atkcd","val":0}]</v>
      </c>
      <c r="Z448" s="148" t="str">
        <f>IFERROR(__xludf.DUMMYFUNCTION("""COMPUTED_VALUE"""),"[]")</f>
        <v>[]</v>
      </c>
    </row>
    <row r="449">
      <c r="A449" s="148">
        <f>IFERROR(__xludf.DUMMYFUNCTION("""COMPUTED_VALUE"""),1.1219445E7)</f>
        <v>11219445</v>
      </c>
      <c r="B449" s="148" t="str">
        <f>IFERROR(__xludf.DUMMYFUNCTION("""COMPUTED_VALUE"""),"关卡部队-巨猿T5")</f>
        <v>关卡部队-巨猿T5</v>
      </c>
      <c r="C449" s="148">
        <f>IFERROR(__xludf.DUMMYFUNCTION("""COMPUTED_VALUE"""),1.1221004E7)</f>
        <v>11221004</v>
      </c>
      <c r="D449" s="148">
        <f>IFERROR(__xludf.DUMMYFUNCTION("""COMPUTED_VALUE"""),1.5111315E7)</f>
        <v>15111315</v>
      </c>
      <c r="E449" s="148" t="str">
        <f>IFERROR(__xludf.DUMMYFUNCTION("""COMPUTED_VALUE"""),"{}")</f>
        <v>{}</v>
      </c>
      <c r="F449" s="148" t="str">
        <f>IFERROR(__xludf.DUMMYFUNCTION("""COMPUTED_VALUE"""),"{}")</f>
        <v>{}</v>
      </c>
      <c r="G449" s="148">
        <f>IFERROR(__xludf.DUMMYFUNCTION("""COMPUTED_VALUE"""),2.0)</f>
        <v>2</v>
      </c>
      <c r="H449" s="148">
        <f>IFERROR(__xludf.DUMMYFUNCTION("""COMPUTED_VALUE"""),10099.0)</f>
        <v>10099</v>
      </c>
      <c r="I449" s="148">
        <f>IFERROR(__xludf.DUMMYFUNCTION("""COMPUTED_VALUE"""),10099.0)</f>
        <v>10099</v>
      </c>
      <c r="J449" s="148">
        <f>IFERROR(__xludf.DUMMYFUNCTION("""COMPUTED_VALUE"""),0.0)</f>
        <v>0</v>
      </c>
      <c r="K449" s="148">
        <f>IFERROR(__xludf.DUMMYFUNCTION("""COMPUTED_VALUE"""),10.0)</f>
        <v>10</v>
      </c>
      <c r="L449" s="148">
        <f>IFERROR(__xludf.DUMMYFUNCTION("""COMPUTED_VALUE"""),99.0)</f>
        <v>99</v>
      </c>
      <c r="M449" s="148">
        <f>IFERROR(__xludf.DUMMYFUNCTION("""COMPUTED_VALUE"""),0.0)</f>
        <v>0</v>
      </c>
      <c r="N449" s="148" t="str">
        <f>IFERROR(__xludf.DUMMYFUNCTION("""COMPUTED_VALUE"""),"[]")</f>
        <v>[]</v>
      </c>
      <c r="O449" s="148" t="str">
        <f>IFERROR(__xludf.DUMMYFUNCTION("""COMPUTED_VALUE"""),"{}")</f>
        <v>{}</v>
      </c>
      <c r="P449" s="148">
        <f>IFERROR(__xludf.DUMMYFUNCTION("""COMPUTED_VALUE"""),0.0)</f>
        <v>0</v>
      </c>
      <c r="Q449" s="148" t="str">
        <f>IFERROR(__xludf.DUMMYFUNCTION("""COMPUTED_VALUE"""),"[]")</f>
        <v>[]</v>
      </c>
      <c r="R449" s="148" t="str">
        <f>IFERROR(__xludf.DUMMYFUNCTION("""COMPUTED_VALUE"""),"{}")</f>
        <v>{}</v>
      </c>
      <c r="S449" s="148">
        <f>IFERROR(__xludf.DUMMYFUNCTION("""COMPUTED_VALUE"""),0.0)</f>
        <v>0</v>
      </c>
      <c r="T449" s="148" t="str">
        <f>IFERROR(__xludf.DUMMYFUNCTION("""COMPUTED_VALUE"""),"[]")</f>
        <v>[]</v>
      </c>
      <c r="U449" s="148">
        <f>IFERROR(__xludf.DUMMYFUNCTION("""COMPUTED_VALUE"""),0.0)</f>
        <v>0</v>
      </c>
      <c r="V449" s="148" t="str">
        <f>IFERROR(__xludf.DUMMYFUNCTION("""COMPUTED_VALUE"""),"{}")</f>
        <v>{}</v>
      </c>
      <c r="W449" s="148" t="str">
        <f>IFERROR(__xludf.DUMMYFUNCTION("""COMPUTED_VALUE"""),"[]")</f>
        <v>[]</v>
      </c>
      <c r="X449" s="148" t="str">
        <f>IFERROR(__xludf.DUMMYFUNCTION("""COMPUTED_VALUE"""),"[{""typ"":""power"",""id"":12141002,""val"":10}]")</f>
        <v>[{"typ":"power","id":12141002,"val":10}]</v>
      </c>
      <c r="Y449" s="148" t="str">
        <f>IFERROR(__xludf.DUMMYFUNCTION("""COMPUTED_VALUE"""),"[{""typ"":""atk"",""val"":230},{""typ"":""def"",""val"":210},{""typ"":""hp"",""val"":210},{""typ"":""speed"",""val"":0},{""typ"":""load"",""val"":20},{""typ"":""backcoef"",""val"":0.5},{""typ"":""atkcoef"",""val"":1.0},{""typ"":""atkcd"",""val"":0}]")</f>
        <v>[{"typ":"atk","val":230},{"typ":"def","val":210},{"typ":"hp","val":210},{"typ":"speed","val":0},{"typ":"load","val":20},{"typ":"backcoef","val":0.5},{"typ":"atkcoef","val":1.0},{"typ":"atkcd","val":0}]</v>
      </c>
      <c r="Z449" s="148" t="str">
        <f>IFERROR(__xludf.DUMMYFUNCTION("""COMPUTED_VALUE"""),"[]")</f>
        <v>[]</v>
      </c>
    </row>
    <row r="450">
      <c r="A450" s="148">
        <f>IFERROR(__xludf.DUMMYFUNCTION("""COMPUTED_VALUE"""),1.1219446E7)</f>
        <v>11219446</v>
      </c>
      <c r="B450" s="148" t="str">
        <f>IFERROR(__xludf.DUMMYFUNCTION("""COMPUTED_VALUE"""),"关卡部队变异投矛手T1")</f>
        <v>关卡部队变异投矛手T1</v>
      </c>
      <c r="C450" s="148">
        <f>IFERROR(__xludf.DUMMYFUNCTION("""COMPUTED_VALUE"""),1.1221004E7)</f>
        <v>11221004</v>
      </c>
      <c r="D450" s="148">
        <f>IFERROR(__xludf.DUMMYFUNCTION("""COMPUTED_VALUE"""),1.5114052E7)</f>
        <v>15114052</v>
      </c>
      <c r="E450" s="148" t="str">
        <f>IFERROR(__xludf.DUMMYFUNCTION("""COMPUTED_VALUE"""),"{}")</f>
        <v>{}</v>
      </c>
      <c r="F450" s="148" t="str">
        <f>IFERROR(__xludf.DUMMYFUNCTION("""COMPUTED_VALUE"""),"{}")</f>
        <v>{}</v>
      </c>
      <c r="G450" s="148">
        <f>IFERROR(__xludf.DUMMYFUNCTION("""COMPUTED_VALUE"""),2.0)</f>
        <v>2</v>
      </c>
      <c r="H450" s="148">
        <f>IFERROR(__xludf.DUMMYFUNCTION("""COMPUTED_VALUE"""),10099.0)</f>
        <v>10099</v>
      </c>
      <c r="I450" s="148">
        <f>IFERROR(__xludf.DUMMYFUNCTION("""COMPUTED_VALUE"""),10099.0)</f>
        <v>10099</v>
      </c>
      <c r="J450" s="148">
        <f>IFERROR(__xludf.DUMMYFUNCTION("""COMPUTED_VALUE"""),0.0)</f>
        <v>0</v>
      </c>
      <c r="K450" s="148">
        <f>IFERROR(__xludf.DUMMYFUNCTION("""COMPUTED_VALUE"""),10.0)</f>
        <v>10</v>
      </c>
      <c r="L450" s="148">
        <f>IFERROR(__xludf.DUMMYFUNCTION("""COMPUTED_VALUE"""),50.0)</f>
        <v>50</v>
      </c>
      <c r="M450" s="148">
        <f>IFERROR(__xludf.DUMMYFUNCTION("""COMPUTED_VALUE"""),0.0)</f>
        <v>0</v>
      </c>
      <c r="N450" s="148" t="str">
        <f>IFERROR(__xludf.DUMMYFUNCTION("""COMPUTED_VALUE"""),"[]")</f>
        <v>[]</v>
      </c>
      <c r="O450" s="148" t="str">
        <f>IFERROR(__xludf.DUMMYFUNCTION("""COMPUTED_VALUE"""),"{}")</f>
        <v>{}</v>
      </c>
      <c r="P450" s="148">
        <f>IFERROR(__xludf.DUMMYFUNCTION("""COMPUTED_VALUE"""),0.0)</f>
        <v>0</v>
      </c>
      <c r="Q450" s="148" t="str">
        <f>IFERROR(__xludf.DUMMYFUNCTION("""COMPUTED_VALUE"""),"[]")</f>
        <v>[]</v>
      </c>
      <c r="R450" s="148" t="str">
        <f>IFERROR(__xludf.DUMMYFUNCTION("""COMPUTED_VALUE"""),"{}")</f>
        <v>{}</v>
      </c>
      <c r="S450" s="148">
        <f>IFERROR(__xludf.DUMMYFUNCTION("""COMPUTED_VALUE"""),0.0)</f>
        <v>0</v>
      </c>
      <c r="T450" s="148" t="str">
        <f>IFERROR(__xludf.DUMMYFUNCTION("""COMPUTED_VALUE"""),"[]")</f>
        <v>[]</v>
      </c>
      <c r="U450" s="148">
        <f>IFERROR(__xludf.DUMMYFUNCTION("""COMPUTED_VALUE"""),0.0)</f>
        <v>0</v>
      </c>
      <c r="V450" s="148" t="str">
        <f>IFERROR(__xludf.DUMMYFUNCTION("""COMPUTED_VALUE"""),"{}")</f>
        <v>{}</v>
      </c>
      <c r="W450" s="148" t="str">
        <f>IFERROR(__xludf.DUMMYFUNCTION("""COMPUTED_VALUE"""),"[]")</f>
        <v>[]</v>
      </c>
      <c r="X450" s="148" t="str">
        <f>IFERROR(__xludf.DUMMYFUNCTION("""COMPUTED_VALUE"""),"[{""typ"":""power"",""id"":12141002,""val"":1}]")</f>
        <v>[{"typ":"power","id":12141002,"val":1}]</v>
      </c>
      <c r="Y450" s="148" t="str">
        <f>IFERROR(__xludf.DUMMYFUNCTION("""COMPUTED_VALUE"""),"[{""typ"":""atk"",""val"":60},{""typ"":""def"",""val"":125},{""typ"":""hp"",""val"":120},{""typ"":""speed"",""val"":40},{""typ"":""load"",""val"":20},{""typ"":""backcoef"",""val"":0.5},{""typ"":""atkcoef"",""val"":1.0},{""typ"":""atkcd"",""val"":0}]")</f>
        <v>[{"typ":"atk","val":60},{"typ":"def","val":125},{"typ":"hp","val":120},{"typ":"speed","val":40},{"typ":"load","val":20},{"typ":"backcoef","val":0.5},{"typ":"atkcoef","val":1.0},{"typ":"atkcd","val":0}]</v>
      </c>
      <c r="Z450" s="148" t="str">
        <f>IFERROR(__xludf.DUMMYFUNCTION("""COMPUTED_VALUE"""),"[]")</f>
        <v>[]</v>
      </c>
    </row>
    <row r="451">
      <c r="A451" s="148">
        <f>IFERROR(__xludf.DUMMYFUNCTION("""COMPUTED_VALUE"""),1.1219447E7)</f>
        <v>11219447</v>
      </c>
      <c r="B451" s="148" t="str">
        <f>IFERROR(__xludf.DUMMYFUNCTION("""COMPUTED_VALUE"""),"关卡部队变异投矛手T2")</f>
        <v>关卡部队变异投矛手T2</v>
      </c>
      <c r="C451" s="148">
        <f>IFERROR(__xludf.DUMMYFUNCTION("""COMPUTED_VALUE"""),1.1221004E7)</f>
        <v>11221004</v>
      </c>
      <c r="D451" s="148">
        <f>IFERROR(__xludf.DUMMYFUNCTION("""COMPUTED_VALUE"""),1.5114052E7)</f>
        <v>15114052</v>
      </c>
      <c r="E451" s="148" t="str">
        <f>IFERROR(__xludf.DUMMYFUNCTION("""COMPUTED_VALUE"""),"{}")</f>
        <v>{}</v>
      </c>
      <c r="F451" s="148" t="str">
        <f>IFERROR(__xludf.DUMMYFUNCTION("""COMPUTED_VALUE"""),"{}")</f>
        <v>{}</v>
      </c>
      <c r="G451" s="148">
        <f>IFERROR(__xludf.DUMMYFUNCTION("""COMPUTED_VALUE"""),2.0)</f>
        <v>2</v>
      </c>
      <c r="H451" s="148">
        <f>IFERROR(__xludf.DUMMYFUNCTION("""COMPUTED_VALUE"""),10099.0)</f>
        <v>10099</v>
      </c>
      <c r="I451" s="148">
        <f>IFERROR(__xludf.DUMMYFUNCTION("""COMPUTED_VALUE"""),10099.0)</f>
        <v>10099</v>
      </c>
      <c r="J451" s="148">
        <f>IFERROR(__xludf.DUMMYFUNCTION("""COMPUTED_VALUE"""),0.0)</f>
        <v>0</v>
      </c>
      <c r="K451" s="148">
        <f>IFERROR(__xludf.DUMMYFUNCTION("""COMPUTED_VALUE"""),10.0)</f>
        <v>10</v>
      </c>
      <c r="L451" s="148">
        <f>IFERROR(__xludf.DUMMYFUNCTION("""COMPUTED_VALUE"""),50.0)</f>
        <v>50</v>
      </c>
      <c r="M451" s="148">
        <f>IFERROR(__xludf.DUMMYFUNCTION("""COMPUTED_VALUE"""),0.0)</f>
        <v>0</v>
      </c>
      <c r="N451" s="148" t="str">
        <f>IFERROR(__xludf.DUMMYFUNCTION("""COMPUTED_VALUE"""),"[]")</f>
        <v>[]</v>
      </c>
      <c r="O451" s="148" t="str">
        <f>IFERROR(__xludf.DUMMYFUNCTION("""COMPUTED_VALUE"""),"{}")</f>
        <v>{}</v>
      </c>
      <c r="P451" s="148">
        <f>IFERROR(__xludf.DUMMYFUNCTION("""COMPUTED_VALUE"""),0.0)</f>
        <v>0</v>
      </c>
      <c r="Q451" s="148" t="str">
        <f>IFERROR(__xludf.DUMMYFUNCTION("""COMPUTED_VALUE"""),"[]")</f>
        <v>[]</v>
      </c>
      <c r="R451" s="148" t="str">
        <f>IFERROR(__xludf.DUMMYFUNCTION("""COMPUTED_VALUE"""),"{}")</f>
        <v>{}</v>
      </c>
      <c r="S451" s="148">
        <f>IFERROR(__xludf.DUMMYFUNCTION("""COMPUTED_VALUE"""),0.0)</f>
        <v>0</v>
      </c>
      <c r="T451" s="148" t="str">
        <f>IFERROR(__xludf.DUMMYFUNCTION("""COMPUTED_VALUE"""),"[]")</f>
        <v>[]</v>
      </c>
      <c r="U451" s="148">
        <f>IFERROR(__xludf.DUMMYFUNCTION("""COMPUTED_VALUE"""),0.0)</f>
        <v>0</v>
      </c>
      <c r="V451" s="148" t="str">
        <f>IFERROR(__xludf.DUMMYFUNCTION("""COMPUTED_VALUE"""),"{}")</f>
        <v>{}</v>
      </c>
      <c r="W451" s="148" t="str">
        <f>IFERROR(__xludf.DUMMYFUNCTION("""COMPUTED_VALUE"""),"[]")</f>
        <v>[]</v>
      </c>
      <c r="X451" s="148" t="str">
        <f>IFERROR(__xludf.DUMMYFUNCTION("""COMPUTED_VALUE"""),"[{""typ"":""power"",""id"":12141002,""val"":2}]")</f>
        <v>[{"typ":"power","id":12141002,"val":2}]</v>
      </c>
      <c r="Y451" s="148" t="str">
        <f>IFERROR(__xludf.DUMMYFUNCTION("""COMPUTED_VALUE"""),"[{""typ"":""atk"",""val"":120},{""typ"":""def"",""val"":130},{""typ"":""hp"",""val"":130},{""typ"":""speed"",""val"":40},{""typ"":""load"",""val"":20},{""typ"":""backcoef"",""val"":0.5},{""typ"":""atkcoef"",""val"":1.0},{""typ"":""atkcd"",""val"":0}]")</f>
        <v>[{"typ":"atk","val":120},{"typ":"def","val":130},{"typ":"hp","val":130},{"typ":"speed","val":40},{"typ":"load","val":20},{"typ":"backcoef","val":0.5},{"typ":"atkcoef","val":1.0},{"typ":"atkcd","val":0}]</v>
      </c>
      <c r="Z451" s="148" t="str">
        <f>IFERROR(__xludf.DUMMYFUNCTION("""COMPUTED_VALUE"""),"[]")</f>
        <v>[]</v>
      </c>
    </row>
    <row r="452">
      <c r="A452" s="148">
        <f>IFERROR(__xludf.DUMMYFUNCTION("""COMPUTED_VALUE"""),1.1219448E7)</f>
        <v>11219448</v>
      </c>
      <c r="B452" s="148" t="str">
        <f>IFERROR(__xludf.DUMMYFUNCTION("""COMPUTED_VALUE"""),"关卡部队变异投矛手T3")</f>
        <v>关卡部队变异投矛手T3</v>
      </c>
      <c r="C452" s="148">
        <f>IFERROR(__xludf.DUMMYFUNCTION("""COMPUTED_VALUE"""),1.1221004E7)</f>
        <v>11221004</v>
      </c>
      <c r="D452" s="148">
        <f>IFERROR(__xludf.DUMMYFUNCTION("""COMPUTED_VALUE"""),1.5114052E7)</f>
        <v>15114052</v>
      </c>
      <c r="E452" s="148" t="str">
        <f>IFERROR(__xludf.DUMMYFUNCTION("""COMPUTED_VALUE"""),"{}")</f>
        <v>{}</v>
      </c>
      <c r="F452" s="148" t="str">
        <f>IFERROR(__xludf.DUMMYFUNCTION("""COMPUTED_VALUE"""),"{}")</f>
        <v>{}</v>
      </c>
      <c r="G452" s="148">
        <f>IFERROR(__xludf.DUMMYFUNCTION("""COMPUTED_VALUE"""),2.0)</f>
        <v>2</v>
      </c>
      <c r="H452" s="148">
        <f>IFERROR(__xludf.DUMMYFUNCTION("""COMPUTED_VALUE"""),10099.0)</f>
        <v>10099</v>
      </c>
      <c r="I452" s="148">
        <f>IFERROR(__xludf.DUMMYFUNCTION("""COMPUTED_VALUE"""),10099.0)</f>
        <v>10099</v>
      </c>
      <c r="J452" s="148">
        <f>IFERROR(__xludf.DUMMYFUNCTION("""COMPUTED_VALUE"""),0.0)</f>
        <v>0</v>
      </c>
      <c r="K452" s="148">
        <f>IFERROR(__xludf.DUMMYFUNCTION("""COMPUTED_VALUE"""),10.0)</f>
        <v>10</v>
      </c>
      <c r="L452" s="148">
        <f>IFERROR(__xludf.DUMMYFUNCTION("""COMPUTED_VALUE"""),50.0)</f>
        <v>50</v>
      </c>
      <c r="M452" s="148">
        <f>IFERROR(__xludf.DUMMYFUNCTION("""COMPUTED_VALUE"""),0.0)</f>
        <v>0</v>
      </c>
      <c r="N452" s="148" t="str">
        <f>IFERROR(__xludf.DUMMYFUNCTION("""COMPUTED_VALUE"""),"[]")</f>
        <v>[]</v>
      </c>
      <c r="O452" s="148" t="str">
        <f>IFERROR(__xludf.DUMMYFUNCTION("""COMPUTED_VALUE"""),"{}")</f>
        <v>{}</v>
      </c>
      <c r="P452" s="148">
        <f>IFERROR(__xludf.DUMMYFUNCTION("""COMPUTED_VALUE"""),0.0)</f>
        <v>0</v>
      </c>
      <c r="Q452" s="148" t="str">
        <f>IFERROR(__xludf.DUMMYFUNCTION("""COMPUTED_VALUE"""),"[]")</f>
        <v>[]</v>
      </c>
      <c r="R452" s="148" t="str">
        <f>IFERROR(__xludf.DUMMYFUNCTION("""COMPUTED_VALUE"""),"{}")</f>
        <v>{}</v>
      </c>
      <c r="S452" s="148">
        <f>IFERROR(__xludf.DUMMYFUNCTION("""COMPUTED_VALUE"""),0.0)</f>
        <v>0</v>
      </c>
      <c r="T452" s="148" t="str">
        <f>IFERROR(__xludf.DUMMYFUNCTION("""COMPUTED_VALUE"""),"[]")</f>
        <v>[]</v>
      </c>
      <c r="U452" s="148">
        <f>IFERROR(__xludf.DUMMYFUNCTION("""COMPUTED_VALUE"""),0.0)</f>
        <v>0</v>
      </c>
      <c r="V452" s="148" t="str">
        <f>IFERROR(__xludf.DUMMYFUNCTION("""COMPUTED_VALUE"""),"{}")</f>
        <v>{}</v>
      </c>
      <c r="W452" s="148" t="str">
        <f>IFERROR(__xludf.DUMMYFUNCTION("""COMPUTED_VALUE"""),"[]")</f>
        <v>[]</v>
      </c>
      <c r="X452" s="148" t="str">
        <f>IFERROR(__xludf.DUMMYFUNCTION("""COMPUTED_VALUE"""),"[{""typ"":""power"",""id"":12141002,""val"":4}]")</f>
        <v>[{"typ":"power","id":12141002,"val":4}]</v>
      </c>
      <c r="Y452" s="148" t="str">
        <f>IFERROR(__xludf.DUMMYFUNCTION("""COMPUTED_VALUE"""),"[{""typ"":""atk"",""val"":160},{""typ"":""def"",""val"":160},{""typ"":""hp"",""val"":160},{""typ"":""speed"",""val"":40},{""typ"":""load"",""val"":20},{""typ"":""backcoef"",""val"":0.5},{""typ"":""atkcoef"",""val"":1.0},{""typ"":""atkcd"",""val"":0}]")</f>
        <v>[{"typ":"atk","val":160},{"typ":"def","val":160},{"typ":"hp","val":160},{"typ":"speed","val":40},{"typ":"load","val":20},{"typ":"backcoef","val":0.5},{"typ":"atkcoef","val":1.0},{"typ":"atkcd","val":0}]</v>
      </c>
      <c r="Z452" s="148" t="str">
        <f>IFERROR(__xludf.DUMMYFUNCTION("""COMPUTED_VALUE"""),"[]")</f>
        <v>[]</v>
      </c>
    </row>
    <row r="453">
      <c r="A453" s="148">
        <f>IFERROR(__xludf.DUMMYFUNCTION("""COMPUTED_VALUE"""),1.1219449E7)</f>
        <v>11219449</v>
      </c>
      <c r="B453" s="148" t="str">
        <f>IFERROR(__xludf.DUMMYFUNCTION("""COMPUTED_VALUE"""),"关卡部队变异投矛手T4")</f>
        <v>关卡部队变异投矛手T4</v>
      </c>
      <c r="C453" s="148">
        <f>IFERROR(__xludf.DUMMYFUNCTION("""COMPUTED_VALUE"""),1.1221004E7)</f>
        <v>11221004</v>
      </c>
      <c r="D453" s="148">
        <f>IFERROR(__xludf.DUMMYFUNCTION("""COMPUTED_VALUE"""),1.5114052E7)</f>
        <v>15114052</v>
      </c>
      <c r="E453" s="148" t="str">
        <f>IFERROR(__xludf.DUMMYFUNCTION("""COMPUTED_VALUE"""),"{}")</f>
        <v>{}</v>
      </c>
      <c r="F453" s="148" t="str">
        <f>IFERROR(__xludf.DUMMYFUNCTION("""COMPUTED_VALUE"""),"{}")</f>
        <v>{}</v>
      </c>
      <c r="G453" s="148">
        <f>IFERROR(__xludf.DUMMYFUNCTION("""COMPUTED_VALUE"""),2.0)</f>
        <v>2</v>
      </c>
      <c r="H453" s="148">
        <f>IFERROR(__xludf.DUMMYFUNCTION("""COMPUTED_VALUE"""),10099.0)</f>
        <v>10099</v>
      </c>
      <c r="I453" s="148">
        <f>IFERROR(__xludf.DUMMYFUNCTION("""COMPUTED_VALUE"""),10099.0)</f>
        <v>10099</v>
      </c>
      <c r="J453" s="148">
        <f>IFERROR(__xludf.DUMMYFUNCTION("""COMPUTED_VALUE"""),0.0)</f>
        <v>0</v>
      </c>
      <c r="K453" s="148">
        <f>IFERROR(__xludf.DUMMYFUNCTION("""COMPUTED_VALUE"""),10.0)</f>
        <v>10</v>
      </c>
      <c r="L453" s="148">
        <f>IFERROR(__xludf.DUMMYFUNCTION("""COMPUTED_VALUE"""),50.0)</f>
        <v>50</v>
      </c>
      <c r="M453" s="148">
        <f>IFERROR(__xludf.DUMMYFUNCTION("""COMPUTED_VALUE"""),0.0)</f>
        <v>0</v>
      </c>
      <c r="N453" s="148" t="str">
        <f>IFERROR(__xludf.DUMMYFUNCTION("""COMPUTED_VALUE"""),"[]")</f>
        <v>[]</v>
      </c>
      <c r="O453" s="148" t="str">
        <f>IFERROR(__xludf.DUMMYFUNCTION("""COMPUTED_VALUE"""),"{}")</f>
        <v>{}</v>
      </c>
      <c r="P453" s="148">
        <f>IFERROR(__xludf.DUMMYFUNCTION("""COMPUTED_VALUE"""),0.0)</f>
        <v>0</v>
      </c>
      <c r="Q453" s="148" t="str">
        <f>IFERROR(__xludf.DUMMYFUNCTION("""COMPUTED_VALUE"""),"[]")</f>
        <v>[]</v>
      </c>
      <c r="R453" s="148" t="str">
        <f>IFERROR(__xludf.DUMMYFUNCTION("""COMPUTED_VALUE"""),"{}")</f>
        <v>{}</v>
      </c>
      <c r="S453" s="148">
        <f>IFERROR(__xludf.DUMMYFUNCTION("""COMPUTED_VALUE"""),0.0)</f>
        <v>0</v>
      </c>
      <c r="T453" s="148" t="str">
        <f>IFERROR(__xludf.DUMMYFUNCTION("""COMPUTED_VALUE"""),"[]")</f>
        <v>[]</v>
      </c>
      <c r="U453" s="148">
        <f>IFERROR(__xludf.DUMMYFUNCTION("""COMPUTED_VALUE"""),0.0)</f>
        <v>0</v>
      </c>
      <c r="V453" s="148" t="str">
        <f>IFERROR(__xludf.DUMMYFUNCTION("""COMPUTED_VALUE"""),"{}")</f>
        <v>{}</v>
      </c>
      <c r="W453" s="148" t="str">
        <f>IFERROR(__xludf.DUMMYFUNCTION("""COMPUTED_VALUE"""),"[]")</f>
        <v>[]</v>
      </c>
      <c r="X453" s="148" t="str">
        <f>IFERROR(__xludf.DUMMYFUNCTION("""COMPUTED_VALUE"""),"[{""typ"":""power"",""id"":12141002,""val"":6}]")</f>
        <v>[{"typ":"power","id":12141002,"val":6}]</v>
      </c>
      <c r="Y453" s="148" t="str">
        <f>IFERROR(__xludf.DUMMYFUNCTION("""COMPUTED_VALUE"""),"[{""typ"":""atk"",""val"":200},{""typ"":""def"",""val"":190},{""typ"":""hp"",""val"":180},{""typ"":""speed"",""val"":40},{""typ"":""load"",""val"":20},{""typ"":""backcoef"",""val"":0.5},{""typ"":""atkcoef"",""val"":1.0},{""typ"":""atkcd"",""val"":0}]")</f>
        <v>[{"typ":"atk","val":200},{"typ":"def","val":190},{"typ":"hp","val":180},{"typ":"speed","val":40},{"typ":"load","val":20},{"typ":"backcoef","val":0.5},{"typ":"atkcoef","val":1.0},{"typ":"atkcd","val":0}]</v>
      </c>
      <c r="Z453" s="148" t="str">
        <f>IFERROR(__xludf.DUMMYFUNCTION("""COMPUTED_VALUE"""),"[]")</f>
        <v>[]</v>
      </c>
    </row>
    <row r="454">
      <c r="A454" s="148">
        <f>IFERROR(__xludf.DUMMYFUNCTION("""COMPUTED_VALUE"""),1.121945E7)</f>
        <v>11219450</v>
      </c>
      <c r="B454" s="148" t="str">
        <f>IFERROR(__xludf.DUMMYFUNCTION("""COMPUTED_VALUE"""),"关卡部队变异投矛手T5")</f>
        <v>关卡部队变异投矛手T5</v>
      </c>
      <c r="C454" s="148">
        <f>IFERROR(__xludf.DUMMYFUNCTION("""COMPUTED_VALUE"""),1.1221004E7)</f>
        <v>11221004</v>
      </c>
      <c r="D454" s="148">
        <f>IFERROR(__xludf.DUMMYFUNCTION("""COMPUTED_VALUE"""),1.5114052E7)</f>
        <v>15114052</v>
      </c>
      <c r="E454" s="148" t="str">
        <f>IFERROR(__xludf.DUMMYFUNCTION("""COMPUTED_VALUE"""),"{}")</f>
        <v>{}</v>
      </c>
      <c r="F454" s="148" t="str">
        <f>IFERROR(__xludf.DUMMYFUNCTION("""COMPUTED_VALUE"""),"{}")</f>
        <v>{}</v>
      </c>
      <c r="G454" s="148">
        <f>IFERROR(__xludf.DUMMYFUNCTION("""COMPUTED_VALUE"""),2.0)</f>
        <v>2</v>
      </c>
      <c r="H454" s="148">
        <f>IFERROR(__xludf.DUMMYFUNCTION("""COMPUTED_VALUE"""),10099.0)</f>
        <v>10099</v>
      </c>
      <c r="I454" s="148">
        <f>IFERROR(__xludf.DUMMYFUNCTION("""COMPUTED_VALUE"""),10099.0)</f>
        <v>10099</v>
      </c>
      <c r="J454" s="148">
        <f>IFERROR(__xludf.DUMMYFUNCTION("""COMPUTED_VALUE"""),0.0)</f>
        <v>0</v>
      </c>
      <c r="K454" s="148">
        <f>IFERROR(__xludf.DUMMYFUNCTION("""COMPUTED_VALUE"""),10.0)</f>
        <v>10</v>
      </c>
      <c r="L454" s="148">
        <f>IFERROR(__xludf.DUMMYFUNCTION("""COMPUTED_VALUE"""),50.0)</f>
        <v>50</v>
      </c>
      <c r="M454" s="148">
        <f>IFERROR(__xludf.DUMMYFUNCTION("""COMPUTED_VALUE"""),0.0)</f>
        <v>0</v>
      </c>
      <c r="N454" s="148" t="str">
        <f>IFERROR(__xludf.DUMMYFUNCTION("""COMPUTED_VALUE"""),"[]")</f>
        <v>[]</v>
      </c>
      <c r="O454" s="148" t="str">
        <f>IFERROR(__xludf.DUMMYFUNCTION("""COMPUTED_VALUE"""),"{}")</f>
        <v>{}</v>
      </c>
      <c r="P454" s="148">
        <f>IFERROR(__xludf.DUMMYFUNCTION("""COMPUTED_VALUE"""),0.0)</f>
        <v>0</v>
      </c>
      <c r="Q454" s="148" t="str">
        <f>IFERROR(__xludf.DUMMYFUNCTION("""COMPUTED_VALUE"""),"[]")</f>
        <v>[]</v>
      </c>
      <c r="R454" s="148" t="str">
        <f>IFERROR(__xludf.DUMMYFUNCTION("""COMPUTED_VALUE"""),"{}")</f>
        <v>{}</v>
      </c>
      <c r="S454" s="148">
        <f>IFERROR(__xludf.DUMMYFUNCTION("""COMPUTED_VALUE"""),0.0)</f>
        <v>0</v>
      </c>
      <c r="T454" s="148" t="str">
        <f>IFERROR(__xludf.DUMMYFUNCTION("""COMPUTED_VALUE"""),"[]")</f>
        <v>[]</v>
      </c>
      <c r="U454" s="148">
        <f>IFERROR(__xludf.DUMMYFUNCTION("""COMPUTED_VALUE"""),0.0)</f>
        <v>0</v>
      </c>
      <c r="V454" s="148" t="str">
        <f>IFERROR(__xludf.DUMMYFUNCTION("""COMPUTED_VALUE"""),"{}")</f>
        <v>{}</v>
      </c>
      <c r="W454" s="148" t="str">
        <f>IFERROR(__xludf.DUMMYFUNCTION("""COMPUTED_VALUE"""),"[]")</f>
        <v>[]</v>
      </c>
      <c r="X454" s="148" t="str">
        <f>IFERROR(__xludf.DUMMYFUNCTION("""COMPUTED_VALUE"""),"[{""typ"":""power"",""id"":12141002,""val"":10}]")</f>
        <v>[{"typ":"power","id":12141002,"val":10}]</v>
      </c>
      <c r="Y454" s="148" t="str">
        <f>IFERROR(__xludf.DUMMYFUNCTION("""COMPUTED_VALUE"""),"[{""typ"":""atk"",""val"":230},{""typ"":""def"",""val"":210},{""typ"":""hp"",""val"":210},{""typ"":""speed"",""val"":40},{""typ"":""load"",""val"":20},{""typ"":""backcoef"",""val"":0.5},{""typ"":""atkcoef"",""val"":1.0},{""typ"":""atkcd"",""val"":0}]")</f>
        <v>[{"typ":"atk","val":230},{"typ":"def","val":210},{"typ":"hp","val":210},{"typ":"speed","val":40},{"typ":"load","val":20},{"typ":"backcoef","val":0.5},{"typ":"atkcoef","val":1.0},{"typ":"atkcd","val":0}]</v>
      </c>
      <c r="Z454" s="148" t="str">
        <f>IFERROR(__xludf.DUMMYFUNCTION("""COMPUTED_VALUE"""),"[]")</f>
        <v>[]</v>
      </c>
    </row>
    <row r="455">
      <c r="A455" s="148">
        <f>IFERROR(__xludf.DUMMYFUNCTION("""COMPUTED_VALUE"""),1.1219501E7)</f>
        <v>11219501</v>
      </c>
      <c r="B455" s="148" t="str">
        <f>IFERROR(__xludf.DUMMYFUNCTION("""COMPUTED_VALUE"""),"城内野怪-普通怪前三区域")</f>
        <v>城内野怪-普通怪前三区域</v>
      </c>
      <c r="C455" s="148">
        <f>IFERROR(__xludf.DUMMYFUNCTION("""COMPUTED_VALUE"""),1.1221004E7)</f>
        <v>11221004</v>
      </c>
      <c r="D455" s="148">
        <f>IFERROR(__xludf.DUMMYFUNCTION("""COMPUTED_VALUE"""),1.5114052E7)</f>
        <v>15114052</v>
      </c>
      <c r="E455" s="148" t="str">
        <f>IFERROR(__xludf.DUMMYFUNCTION("""COMPUTED_VALUE"""),"{""typ"":""lc"",""txt"":""LC_NPC_city_mutant_name""}")</f>
        <v>{"typ":"lc","txt":"LC_NPC_city_mutant_name"}</v>
      </c>
      <c r="F455" s="148" t="str">
        <f>IFERROR(__xludf.DUMMYFUNCTION("""COMPUTED_VALUE"""),"{}")</f>
        <v>{}</v>
      </c>
      <c r="G455" s="148">
        <f>IFERROR(__xludf.DUMMYFUNCTION("""COMPUTED_VALUE"""),10.0)</f>
        <v>10</v>
      </c>
      <c r="H455" s="148">
        <f>IFERROR(__xludf.DUMMYFUNCTION("""COMPUTED_VALUE"""),10099.0)</f>
        <v>10099</v>
      </c>
      <c r="I455" s="148">
        <f>IFERROR(__xludf.DUMMYFUNCTION("""COMPUTED_VALUE"""),10099.0)</f>
        <v>10099</v>
      </c>
      <c r="J455" s="148">
        <f>IFERROR(__xludf.DUMMYFUNCTION("""COMPUTED_VALUE"""),0.0)</f>
        <v>0</v>
      </c>
      <c r="K455" s="148">
        <f>IFERROR(__xludf.DUMMYFUNCTION("""COMPUTED_VALUE"""),10.0)</f>
        <v>10</v>
      </c>
      <c r="L455" s="148">
        <f>IFERROR(__xludf.DUMMYFUNCTION("""COMPUTED_VALUE"""),99.0)</f>
        <v>99</v>
      </c>
      <c r="M455" s="148">
        <f>IFERROR(__xludf.DUMMYFUNCTION("""COMPUTED_VALUE"""),0.0)</f>
        <v>0</v>
      </c>
      <c r="N455" s="148" t="str">
        <f>IFERROR(__xludf.DUMMYFUNCTION("""COMPUTED_VALUE"""),"[]")</f>
        <v>[]</v>
      </c>
      <c r="O455" s="148" t="str">
        <f>IFERROR(__xludf.DUMMYFUNCTION("""COMPUTED_VALUE"""),"{}")</f>
        <v>{}</v>
      </c>
      <c r="P455" s="148">
        <f>IFERROR(__xludf.DUMMYFUNCTION("""COMPUTED_VALUE"""),0.0)</f>
        <v>0</v>
      </c>
      <c r="Q455" s="148" t="str">
        <f>IFERROR(__xludf.DUMMYFUNCTION("""COMPUTED_VALUE"""),"[]")</f>
        <v>[]</v>
      </c>
      <c r="R455" s="148" t="str">
        <f>IFERROR(__xludf.DUMMYFUNCTION("""COMPUTED_VALUE"""),"{}")</f>
        <v>{}</v>
      </c>
      <c r="S455" s="148">
        <f>IFERROR(__xludf.DUMMYFUNCTION("""COMPUTED_VALUE"""),0.0)</f>
        <v>0</v>
      </c>
      <c r="T455" s="148" t="str">
        <f>IFERROR(__xludf.DUMMYFUNCTION("""COMPUTED_VALUE"""),"[]")</f>
        <v>[]</v>
      </c>
      <c r="U455" s="148">
        <f>IFERROR(__xludf.DUMMYFUNCTION("""COMPUTED_VALUE"""),0.0)</f>
        <v>0</v>
      </c>
      <c r="V455" s="148" t="str">
        <f>IFERROR(__xludf.DUMMYFUNCTION("""COMPUTED_VALUE"""),"{}")</f>
        <v>{}</v>
      </c>
      <c r="W455" s="148" t="str">
        <f>IFERROR(__xludf.DUMMYFUNCTION("""COMPUTED_VALUE"""),"[]")</f>
        <v>[]</v>
      </c>
      <c r="X455" s="148" t="str">
        <f>IFERROR(__xludf.DUMMYFUNCTION("""COMPUTED_VALUE"""),"[{""typ"":""power"",""id"":12141002,""val"":1}]")</f>
        <v>[{"typ":"power","id":12141002,"val":1}]</v>
      </c>
      <c r="Y455" s="148" t="str">
        <f>IFERROR(__xludf.DUMMYFUNCTION("""COMPUTED_VALUE"""),"[{""typ"":""atk"",""val"":55},{""typ"":""def"",""val"":148},{""typ"":""hp"",""val"":148},{""typ"":""speed"",""val"":40},{""typ"":""load"",""val"":20},{""typ"":""backcoef"",""val"":0.5},{""typ"":""atkcoef"",""val"":1.0},{""typ"":""atkcd"",""val"":0}]")</f>
        <v>[{"typ":"atk","val":55},{"typ":"def","val":148},{"typ":"hp","val":148},{"typ":"speed","val":40},{"typ":"load","val":20},{"typ":"backcoef","val":0.5},{"typ":"atkcoef","val":1.0},{"typ":"atkcd","val":0}]</v>
      </c>
      <c r="Z455" s="148" t="str">
        <f>IFERROR(__xludf.DUMMYFUNCTION("""COMPUTED_VALUE"""),"[]")</f>
        <v>[]</v>
      </c>
    </row>
    <row r="456">
      <c r="A456" s="148">
        <f>IFERROR(__xludf.DUMMYFUNCTION("""COMPUTED_VALUE"""),1.1219502E7)</f>
        <v>11219502</v>
      </c>
      <c r="B456" s="148" t="str">
        <f>IFERROR(__xludf.DUMMYFUNCTION("""COMPUTED_VALUE"""),"城内野怪-精英怪")</f>
        <v>城内野怪-精英怪</v>
      </c>
      <c r="C456" s="148">
        <f>IFERROR(__xludf.DUMMYFUNCTION("""COMPUTED_VALUE"""),1.1221004E7)</f>
        <v>11221004</v>
      </c>
      <c r="D456" s="148">
        <f>IFERROR(__xludf.DUMMYFUNCTION("""COMPUTED_VALUE"""),1.5114053E7)</f>
        <v>15114053</v>
      </c>
      <c r="E456" s="148" t="str">
        <f>IFERROR(__xludf.DUMMYFUNCTION("""COMPUTED_VALUE"""),"{""typ"":""lc"",""txt"":""LC_NPC_city_mutant_name""}")</f>
        <v>{"typ":"lc","txt":"LC_NPC_city_mutant_name"}</v>
      </c>
      <c r="F456" s="148" t="str">
        <f>IFERROR(__xludf.DUMMYFUNCTION("""COMPUTED_VALUE"""),"{}")</f>
        <v>{}</v>
      </c>
      <c r="G456" s="148">
        <f>IFERROR(__xludf.DUMMYFUNCTION("""COMPUTED_VALUE"""),10.0)</f>
        <v>10</v>
      </c>
      <c r="H456" s="148">
        <f>IFERROR(__xludf.DUMMYFUNCTION("""COMPUTED_VALUE"""),10099.0)</f>
        <v>10099</v>
      </c>
      <c r="I456" s="148">
        <f>IFERROR(__xludf.DUMMYFUNCTION("""COMPUTED_VALUE"""),10099.0)</f>
        <v>10099</v>
      </c>
      <c r="J456" s="148">
        <f>IFERROR(__xludf.DUMMYFUNCTION("""COMPUTED_VALUE"""),0.0)</f>
        <v>0</v>
      </c>
      <c r="K456" s="148">
        <f>IFERROR(__xludf.DUMMYFUNCTION("""COMPUTED_VALUE"""),10.0)</f>
        <v>10</v>
      </c>
      <c r="L456" s="148">
        <f>IFERROR(__xludf.DUMMYFUNCTION("""COMPUTED_VALUE"""),99.0)</f>
        <v>99</v>
      </c>
      <c r="M456" s="148">
        <f>IFERROR(__xludf.DUMMYFUNCTION("""COMPUTED_VALUE"""),0.0)</f>
        <v>0</v>
      </c>
      <c r="N456" s="148" t="str">
        <f>IFERROR(__xludf.DUMMYFUNCTION("""COMPUTED_VALUE"""),"[]")</f>
        <v>[]</v>
      </c>
      <c r="O456" s="148" t="str">
        <f>IFERROR(__xludf.DUMMYFUNCTION("""COMPUTED_VALUE"""),"{}")</f>
        <v>{}</v>
      </c>
      <c r="P456" s="148">
        <f>IFERROR(__xludf.DUMMYFUNCTION("""COMPUTED_VALUE"""),0.0)</f>
        <v>0</v>
      </c>
      <c r="Q456" s="148" t="str">
        <f>IFERROR(__xludf.DUMMYFUNCTION("""COMPUTED_VALUE"""),"[]")</f>
        <v>[]</v>
      </c>
      <c r="R456" s="148" t="str">
        <f>IFERROR(__xludf.DUMMYFUNCTION("""COMPUTED_VALUE"""),"{}")</f>
        <v>{}</v>
      </c>
      <c r="S456" s="148">
        <f>IFERROR(__xludf.DUMMYFUNCTION("""COMPUTED_VALUE"""),0.0)</f>
        <v>0</v>
      </c>
      <c r="T456" s="148" t="str">
        <f>IFERROR(__xludf.DUMMYFUNCTION("""COMPUTED_VALUE"""),"[]")</f>
        <v>[]</v>
      </c>
      <c r="U456" s="148">
        <f>IFERROR(__xludf.DUMMYFUNCTION("""COMPUTED_VALUE"""),0.0)</f>
        <v>0</v>
      </c>
      <c r="V456" s="148" t="str">
        <f>IFERROR(__xludf.DUMMYFUNCTION("""COMPUTED_VALUE"""),"{}")</f>
        <v>{}</v>
      </c>
      <c r="W456" s="148" t="str">
        <f>IFERROR(__xludf.DUMMYFUNCTION("""COMPUTED_VALUE"""),"[]")</f>
        <v>[]</v>
      </c>
      <c r="X456" s="148" t="str">
        <f>IFERROR(__xludf.DUMMYFUNCTION("""COMPUTED_VALUE"""),"[{""typ"":""power"",""id"":12141002,""val"":1}]")</f>
        <v>[{"typ":"power","id":12141002,"val":1}]</v>
      </c>
      <c r="Y456" s="148" t="str">
        <f>IFERROR(__xludf.DUMMYFUNCTION("""COMPUTED_VALUE"""),"[{""typ"":""atk"",""val"":60},{""typ"":""def"",""val"":130},{""typ"":""hp"",""val"":130},{""typ"":""speed"",""val"":40},{""typ"":""load"",""val"":20},{""typ"":""backcoef"",""val"":0.5},{""typ"":""atkcoef"",""val"":1.0},{""typ"":""atkcd"",""val"":0}]")</f>
        <v>[{"typ":"atk","val":60},{"typ":"def","val":130},{"typ":"hp","val":130},{"typ":"speed","val":40},{"typ":"load","val":20},{"typ":"backcoef","val":0.5},{"typ":"atkcoef","val":1.0},{"typ":"atkcd","val":0}]</v>
      </c>
      <c r="Z456" s="148" t="str">
        <f>IFERROR(__xludf.DUMMYFUNCTION("""COMPUTED_VALUE"""),"[]")</f>
        <v>[]</v>
      </c>
    </row>
    <row r="457">
      <c r="A457" s="148">
        <f>IFERROR(__xludf.DUMMYFUNCTION("""COMPUTED_VALUE"""),1.1219503E7)</f>
        <v>11219503</v>
      </c>
      <c r="B457" s="148" t="str">
        <f>IFERROR(__xludf.DUMMYFUNCTION("""COMPUTED_VALUE"""),"城内野怪-普通怪-区域45")</f>
        <v>城内野怪-普通怪-区域45</v>
      </c>
      <c r="C457" s="148">
        <f>IFERROR(__xludf.DUMMYFUNCTION("""COMPUTED_VALUE"""),1.1221004E7)</f>
        <v>11221004</v>
      </c>
      <c r="D457" s="148">
        <f>IFERROR(__xludf.DUMMYFUNCTION("""COMPUTED_VALUE"""),1.5114052E7)</f>
        <v>15114052</v>
      </c>
      <c r="E457" s="148" t="str">
        <f>IFERROR(__xludf.DUMMYFUNCTION("""COMPUTED_VALUE"""),"{""typ"":""lc"",""txt"":""LC_NPC_city_mutant_name""}")</f>
        <v>{"typ":"lc","txt":"LC_NPC_city_mutant_name"}</v>
      </c>
      <c r="F457" s="148" t="str">
        <f>IFERROR(__xludf.DUMMYFUNCTION("""COMPUTED_VALUE"""),"{}")</f>
        <v>{}</v>
      </c>
      <c r="G457" s="148">
        <f>IFERROR(__xludf.DUMMYFUNCTION("""COMPUTED_VALUE"""),10.0)</f>
        <v>10</v>
      </c>
      <c r="H457" s="148">
        <f>IFERROR(__xludf.DUMMYFUNCTION("""COMPUTED_VALUE"""),10099.0)</f>
        <v>10099</v>
      </c>
      <c r="I457" s="148">
        <f>IFERROR(__xludf.DUMMYFUNCTION("""COMPUTED_VALUE"""),10099.0)</f>
        <v>10099</v>
      </c>
      <c r="J457" s="148">
        <f>IFERROR(__xludf.DUMMYFUNCTION("""COMPUTED_VALUE"""),0.0)</f>
        <v>0</v>
      </c>
      <c r="K457" s="148">
        <f>IFERROR(__xludf.DUMMYFUNCTION("""COMPUTED_VALUE"""),10.0)</f>
        <v>10</v>
      </c>
      <c r="L457" s="148">
        <f>IFERROR(__xludf.DUMMYFUNCTION("""COMPUTED_VALUE"""),99.0)</f>
        <v>99</v>
      </c>
      <c r="M457" s="148">
        <f>IFERROR(__xludf.DUMMYFUNCTION("""COMPUTED_VALUE"""),0.0)</f>
        <v>0</v>
      </c>
      <c r="N457" s="148" t="str">
        <f>IFERROR(__xludf.DUMMYFUNCTION("""COMPUTED_VALUE"""),"[]")</f>
        <v>[]</v>
      </c>
      <c r="O457" s="148" t="str">
        <f>IFERROR(__xludf.DUMMYFUNCTION("""COMPUTED_VALUE"""),"{}")</f>
        <v>{}</v>
      </c>
      <c r="P457" s="148">
        <f>IFERROR(__xludf.DUMMYFUNCTION("""COMPUTED_VALUE"""),0.0)</f>
        <v>0</v>
      </c>
      <c r="Q457" s="148" t="str">
        <f>IFERROR(__xludf.DUMMYFUNCTION("""COMPUTED_VALUE"""),"[]")</f>
        <v>[]</v>
      </c>
      <c r="R457" s="148" t="str">
        <f>IFERROR(__xludf.DUMMYFUNCTION("""COMPUTED_VALUE"""),"{}")</f>
        <v>{}</v>
      </c>
      <c r="S457" s="148">
        <f>IFERROR(__xludf.DUMMYFUNCTION("""COMPUTED_VALUE"""),0.0)</f>
        <v>0</v>
      </c>
      <c r="T457" s="148" t="str">
        <f>IFERROR(__xludf.DUMMYFUNCTION("""COMPUTED_VALUE"""),"[]")</f>
        <v>[]</v>
      </c>
      <c r="U457" s="148">
        <f>IFERROR(__xludf.DUMMYFUNCTION("""COMPUTED_VALUE"""),0.0)</f>
        <v>0</v>
      </c>
      <c r="V457" s="148" t="str">
        <f>IFERROR(__xludf.DUMMYFUNCTION("""COMPUTED_VALUE"""),"{}")</f>
        <v>{}</v>
      </c>
      <c r="W457" s="148" t="str">
        <f>IFERROR(__xludf.DUMMYFUNCTION("""COMPUTED_VALUE"""),"[]")</f>
        <v>[]</v>
      </c>
      <c r="X457" s="148" t="str">
        <f>IFERROR(__xludf.DUMMYFUNCTION("""COMPUTED_VALUE"""),"[{""typ"":""power"",""id"":12141002,""val"":1}]")</f>
        <v>[{"typ":"power","id":12141002,"val":1}]</v>
      </c>
      <c r="Y457" s="148" t="str">
        <f>IFERROR(__xludf.DUMMYFUNCTION("""COMPUTED_VALUE"""),"[{""typ"":""atk"",""val"":75},{""typ"":""def"",""val"":100},{""typ"":""hp"",""val"":120},{""typ"":""speed"",""val"":40},{""typ"":""load"",""val"":20},{""typ"":""backcoef"",""val"":0.5},{""typ"":""atkcoef"",""val"":1.0},{""typ"":""atkcd"",""val"":0}]")</f>
        <v>[{"typ":"atk","val":75},{"typ":"def","val":100},{"typ":"hp","val":120},{"typ":"speed","val":40},{"typ":"load","val":20},{"typ":"backcoef","val":0.5},{"typ":"atkcoef","val":1.0},{"typ":"atkcd","val":0}]</v>
      </c>
      <c r="Z457" s="148" t="str">
        <f>IFERROR(__xludf.DUMMYFUNCTION("""COMPUTED_VALUE"""),"[]")</f>
        <v>[]</v>
      </c>
    </row>
    <row r="458">
      <c r="A458" s="148">
        <f>IFERROR(__xludf.DUMMYFUNCTION("""COMPUTED_VALUE"""),1.1219504E7)</f>
        <v>11219504</v>
      </c>
      <c r="B458" s="148" t="str">
        <f>IFERROR(__xludf.DUMMYFUNCTION("""COMPUTED_VALUE"""),"城内野怪-普通怪-区域6~9")</f>
        <v>城内野怪-普通怪-区域6~9</v>
      </c>
      <c r="C458" s="148">
        <f>IFERROR(__xludf.DUMMYFUNCTION("""COMPUTED_VALUE"""),1.1221004E7)</f>
        <v>11221004</v>
      </c>
      <c r="D458" s="148">
        <f>IFERROR(__xludf.DUMMYFUNCTION("""COMPUTED_VALUE"""),1.5114052E7)</f>
        <v>15114052</v>
      </c>
      <c r="E458" s="148" t="str">
        <f>IFERROR(__xludf.DUMMYFUNCTION("""COMPUTED_VALUE"""),"{""typ"":""lc"",""txt"":""LC_NPC_city_mutant_name""}")</f>
        <v>{"typ":"lc","txt":"LC_NPC_city_mutant_name"}</v>
      </c>
      <c r="F458" s="148" t="str">
        <f>IFERROR(__xludf.DUMMYFUNCTION("""COMPUTED_VALUE"""),"{}")</f>
        <v>{}</v>
      </c>
      <c r="G458" s="148">
        <f>IFERROR(__xludf.DUMMYFUNCTION("""COMPUTED_VALUE"""),10.0)</f>
        <v>10</v>
      </c>
      <c r="H458" s="148">
        <f>IFERROR(__xludf.DUMMYFUNCTION("""COMPUTED_VALUE"""),10099.0)</f>
        <v>10099</v>
      </c>
      <c r="I458" s="148">
        <f>IFERROR(__xludf.DUMMYFUNCTION("""COMPUTED_VALUE"""),10099.0)</f>
        <v>10099</v>
      </c>
      <c r="J458" s="148">
        <f>IFERROR(__xludf.DUMMYFUNCTION("""COMPUTED_VALUE"""),0.0)</f>
        <v>0</v>
      </c>
      <c r="K458" s="148">
        <f>IFERROR(__xludf.DUMMYFUNCTION("""COMPUTED_VALUE"""),10.0)</f>
        <v>10</v>
      </c>
      <c r="L458" s="148">
        <f>IFERROR(__xludf.DUMMYFUNCTION("""COMPUTED_VALUE"""),99.0)</f>
        <v>99</v>
      </c>
      <c r="M458" s="148">
        <f>IFERROR(__xludf.DUMMYFUNCTION("""COMPUTED_VALUE"""),0.0)</f>
        <v>0</v>
      </c>
      <c r="N458" s="148" t="str">
        <f>IFERROR(__xludf.DUMMYFUNCTION("""COMPUTED_VALUE"""),"[]")</f>
        <v>[]</v>
      </c>
      <c r="O458" s="148" t="str">
        <f>IFERROR(__xludf.DUMMYFUNCTION("""COMPUTED_VALUE"""),"{}")</f>
        <v>{}</v>
      </c>
      <c r="P458" s="148">
        <f>IFERROR(__xludf.DUMMYFUNCTION("""COMPUTED_VALUE"""),0.0)</f>
        <v>0</v>
      </c>
      <c r="Q458" s="148" t="str">
        <f>IFERROR(__xludf.DUMMYFUNCTION("""COMPUTED_VALUE"""),"[]")</f>
        <v>[]</v>
      </c>
      <c r="R458" s="148" t="str">
        <f>IFERROR(__xludf.DUMMYFUNCTION("""COMPUTED_VALUE"""),"{}")</f>
        <v>{}</v>
      </c>
      <c r="S458" s="148">
        <f>IFERROR(__xludf.DUMMYFUNCTION("""COMPUTED_VALUE"""),0.0)</f>
        <v>0</v>
      </c>
      <c r="T458" s="148" t="str">
        <f>IFERROR(__xludf.DUMMYFUNCTION("""COMPUTED_VALUE"""),"[]")</f>
        <v>[]</v>
      </c>
      <c r="U458" s="148">
        <f>IFERROR(__xludf.DUMMYFUNCTION("""COMPUTED_VALUE"""),0.0)</f>
        <v>0</v>
      </c>
      <c r="V458" s="148" t="str">
        <f>IFERROR(__xludf.DUMMYFUNCTION("""COMPUTED_VALUE"""),"{}")</f>
        <v>{}</v>
      </c>
      <c r="W458" s="148" t="str">
        <f>IFERROR(__xludf.DUMMYFUNCTION("""COMPUTED_VALUE"""),"[]")</f>
        <v>[]</v>
      </c>
      <c r="X458" s="148" t="str">
        <f>IFERROR(__xludf.DUMMYFUNCTION("""COMPUTED_VALUE"""),"[{""typ"":""power"",""id"":12141002,""val"":1}]")</f>
        <v>[{"typ":"power","id":12141002,"val":1}]</v>
      </c>
      <c r="Y458" s="148" t="str">
        <f>IFERROR(__xludf.DUMMYFUNCTION("""COMPUTED_VALUE"""),"[{""typ"":""atk"",""val"":110},{""typ"":""def"",""val"":85},{""typ"":""hp"",""val"":95},{""typ"":""speed"",""val"":40},{""typ"":""load"",""val"":20},{""typ"":""backcoef"",""val"":0.5},{""typ"":""atkcoef"",""val"":1.0},{""typ"":""atkcd"",""val"":0}]")</f>
        <v>[{"typ":"atk","val":110},{"typ":"def","val":85},{"typ":"hp","val":95},{"typ":"speed","val":40},{"typ":"load","val":20},{"typ":"backcoef","val":0.5},{"typ":"atkcoef","val":1.0},{"typ":"atkcd","val":0}]</v>
      </c>
      <c r="Z458" s="148" t="str">
        <f>IFERROR(__xludf.DUMMYFUNCTION("""COMPUTED_VALUE"""),"[]")</f>
        <v>[]</v>
      </c>
    </row>
    <row r="459">
      <c r="A459" s="148">
        <f>IFERROR(__xludf.DUMMYFUNCTION("""COMPUTED_VALUE"""),1.1219505E7)</f>
        <v>11219505</v>
      </c>
      <c r="B459" s="148" t="str">
        <f>IFERROR(__xludf.DUMMYFUNCTION("""COMPUTED_VALUE"""),"城内野怪-区域2特殊野怪")</f>
        <v>城内野怪-区域2特殊野怪</v>
      </c>
      <c r="C459" s="148">
        <f>IFERROR(__xludf.DUMMYFUNCTION("""COMPUTED_VALUE"""),1.1221004E7)</f>
        <v>11221004</v>
      </c>
      <c r="D459" s="148">
        <f>IFERROR(__xludf.DUMMYFUNCTION("""COMPUTED_VALUE"""),1.5114053E7)</f>
        <v>15114053</v>
      </c>
      <c r="E459" s="148" t="str">
        <f>IFERROR(__xludf.DUMMYFUNCTION("""COMPUTED_VALUE"""),"{""typ"":""lc"",""txt"":""LC_NPC_city_mutant_name""}")</f>
        <v>{"typ":"lc","txt":"LC_NPC_city_mutant_name"}</v>
      </c>
      <c r="F459" s="148" t="str">
        <f>IFERROR(__xludf.DUMMYFUNCTION("""COMPUTED_VALUE"""),"{}")</f>
        <v>{}</v>
      </c>
      <c r="G459" s="148">
        <f>IFERROR(__xludf.DUMMYFUNCTION("""COMPUTED_VALUE"""),10.0)</f>
        <v>10</v>
      </c>
      <c r="H459" s="148">
        <f>IFERROR(__xludf.DUMMYFUNCTION("""COMPUTED_VALUE"""),10099.0)</f>
        <v>10099</v>
      </c>
      <c r="I459" s="148">
        <f>IFERROR(__xludf.DUMMYFUNCTION("""COMPUTED_VALUE"""),10099.0)</f>
        <v>10099</v>
      </c>
      <c r="J459" s="148">
        <f>IFERROR(__xludf.DUMMYFUNCTION("""COMPUTED_VALUE"""),0.0)</f>
        <v>0</v>
      </c>
      <c r="K459" s="148">
        <f>IFERROR(__xludf.DUMMYFUNCTION("""COMPUTED_VALUE"""),10.0)</f>
        <v>10</v>
      </c>
      <c r="L459" s="148">
        <f>IFERROR(__xludf.DUMMYFUNCTION("""COMPUTED_VALUE"""),99.0)</f>
        <v>99</v>
      </c>
      <c r="M459" s="148">
        <f>IFERROR(__xludf.DUMMYFUNCTION("""COMPUTED_VALUE"""),0.0)</f>
        <v>0</v>
      </c>
      <c r="N459" s="148" t="str">
        <f>IFERROR(__xludf.DUMMYFUNCTION("""COMPUTED_VALUE"""),"[]")</f>
        <v>[]</v>
      </c>
      <c r="O459" s="148" t="str">
        <f>IFERROR(__xludf.DUMMYFUNCTION("""COMPUTED_VALUE"""),"{}")</f>
        <v>{}</v>
      </c>
      <c r="P459" s="148">
        <f>IFERROR(__xludf.DUMMYFUNCTION("""COMPUTED_VALUE"""),0.0)</f>
        <v>0</v>
      </c>
      <c r="Q459" s="148" t="str">
        <f>IFERROR(__xludf.DUMMYFUNCTION("""COMPUTED_VALUE"""),"[]")</f>
        <v>[]</v>
      </c>
      <c r="R459" s="148" t="str">
        <f>IFERROR(__xludf.DUMMYFUNCTION("""COMPUTED_VALUE"""),"{}")</f>
        <v>{}</v>
      </c>
      <c r="S459" s="148">
        <f>IFERROR(__xludf.DUMMYFUNCTION("""COMPUTED_VALUE"""),0.0)</f>
        <v>0</v>
      </c>
      <c r="T459" s="148" t="str">
        <f>IFERROR(__xludf.DUMMYFUNCTION("""COMPUTED_VALUE"""),"[]")</f>
        <v>[]</v>
      </c>
      <c r="U459" s="148">
        <f>IFERROR(__xludf.DUMMYFUNCTION("""COMPUTED_VALUE"""),0.0)</f>
        <v>0</v>
      </c>
      <c r="V459" s="148" t="str">
        <f>IFERROR(__xludf.DUMMYFUNCTION("""COMPUTED_VALUE"""),"{}")</f>
        <v>{}</v>
      </c>
      <c r="W459" s="148" t="str">
        <f>IFERROR(__xludf.DUMMYFUNCTION("""COMPUTED_VALUE"""),"[]")</f>
        <v>[]</v>
      </c>
      <c r="X459" s="148" t="str">
        <f>IFERROR(__xludf.DUMMYFUNCTION("""COMPUTED_VALUE"""),"[{""typ"":""power"",""id"":12141002,""val"":1}]")</f>
        <v>[{"typ":"power","id":12141002,"val":1}]</v>
      </c>
      <c r="Y459" s="148" t="str">
        <f>IFERROR(__xludf.DUMMYFUNCTION("""COMPUTED_VALUE"""),"[{""typ"":""atk"",""val"":55},{""typ"":""def"",""val"":148},{""typ"":""hp"",""val"":148},{""typ"":""speed"",""val"":40},{""typ"":""load"",""val"":20},{""typ"":""backcoef"",""val"":0.5},{""typ"":""atkcoef"",""val"":1.0},{""typ"":""atkcd"",""val"":0}]")</f>
        <v>[{"typ":"atk","val":55},{"typ":"def","val":148},{"typ":"hp","val":148},{"typ":"speed","val":40},{"typ":"load","val":20},{"typ":"backcoef","val":0.5},{"typ":"atkcoef","val":1.0},{"typ":"atkcd","val":0}]</v>
      </c>
      <c r="Z459" s="148" t="str">
        <f>IFERROR(__xludf.DUMMYFUNCTION("""COMPUTED_VALUE"""),"[]")</f>
        <v>[]</v>
      </c>
    </row>
    <row r="460">
      <c r="A460" s="148">
        <f>IFERROR(__xludf.DUMMYFUNCTION("""COMPUTED_VALUE"""),1.1219506E7)</f>
        <v>11219506</v>
      </c>
      <c r="B460" s="148" t="str">
        <f>IFERROR(__xludf.DUMMYFUNCTION("""COMPUTED_VALUE"""),"城内野怪-区域9BOSS")</f>
        <v>城内野怪-区域9BOSS</v>
      </c>
      <c r="C460" s="148">
        <f>IFERROR(__xludf.DUMMYFUNCTION("""COMPUTED_VALUE"""),1.1221004E7)</f>
        <v>11221004</v>
      </c>
      <c r="D460" s="148">
        <f>IFERROR(__xludf.DUMMYFUNCTION("""COMPUTED_VALUE"""),1.5116721E7)</f>
        <v>15116721</v>
      </c>
      <c r="E460" s="148" t="str">
        <f>IFERROR(__xludf.DUMMYFUNCTION("""COMPUTED_VALUE"""),"{""typ"":""lc"",""txt"":""LC_NPC_city_mutant_name""}")</f>
        <v>{"typ":"lc","txt":"LC_NPC_city_mutant_name"}</v>
      </c>
      <c r="F460" s="148" t="str">
        <f>IFERROR(__xludf.DUMMYFUNCTION("""COMPUTED_VALUE"""),"{}")</f>
        <v>{}</v>
      </c>
      <c r="G460" s="148">
        <f>IFERROR(__xludf.DUMMYFUNCTION("""COMPUTED_VALUE"""),10.0)</f>
        <v>10</v>
      </c>
      <c r="H460" s="148">
        <f>IFERROR(__xludf.DUMMYFUNCTION("""COMPUTED_VALUE"""),10099.0)</f>
        <v>10099</v>
      </c>
      <c r="I460" s="148">
        <f>IFERROR(__xludf.DUMMYFUNCTION("""COMPUTED_VALUE"""),10099.0)</f>
        <v>10099</v>
      </c>
      <c r="J460" s="148">
        <f>IFERROR(__xludf.DUMMYFUNCTION("""COMPUTED_VALUE"""),0.0)</f>
        <v>0</v>
      </c>
      <c r="K460" s="148">
        <f>IFERROR(__xludf.DUMMYFUNCTION("""COMPUTED_VALUE"""),10.0)</f>
        <v>10</v>
      </c>
      <c r="L460" s="148">
        <f>IFERROR(__xludf.DUMMYFUNCTION("""COMPUTED_VALUE"""),99.0)</f>
        <v>99</v>
      </c>
      <c r="M460" s="148">
        <f>IFERROR(__xludf.DUMMYFUNCTION("""COMPUTED_VALUE"""),0.0)</f>
        <v>0</v>
      </c>
      <c r="N460" s="148" t="str">
        <f>IFERROR(__xludf.DUMMYFUNCTION("""COMPUTED_VALUE"""),"[]")</f>
        <v>[]</v>
      </c>
      <c r="O460" s="148" t="str">
        <f>IFERROR(__xludf.DUMMYFUNCTION("""COMPUTED_VALUE"""),"{}")</f>
        <v>{}</v>
      </c>
      <c r="P460" s="148">
        <f>IFERROR(__xludf.DUMMYFUNCTION("""COMPUTED_VALUE"""),0.0)</f>
        <v>0</v>
      </c>
      <c r="Q460" s="148" t="str">
        <f>IFERROR(__xludf.DUMMYFUNCTION("""COMPUTED_VALUE"""),"[]")</f>
        <v>[]</v>
      </c>
      <c r="R460" s="148" t="str">
        <f>IFERROR(__xludf.DUMMYFUNCTION("""COMPUTED_VALUE"""),"{}")</f>
        <v>{}</v>
      </c>
      <c r="S460" s="148">
        <f>IFERROR(__xludf.DUMMYFUNCTION("""COMPUTED_VALUE"""),0.0)</f>
        <v>0</v>
      </c>
      <c r="T460" s="148" t="str">
        <f>IFERROR(__xludf.DUMMYFUNCTION("""COMPUTED_VALUE"""),"[]")</f>
        <v>[]</v>
      </c>
      <c r="U460" s="148">
        <f>IFERROR(__xludf.DUMMYFUNCTION("""COMPUTED_VALUE"""),0.0)</f>
        <v>0</v>
      </c>
      <c r="V460" s="148" t="str">
        <f>IFERROR(__xludf.DUMMYFUNCTION("""COMPUTED_VALUE"""),"{}")</f>
        <v>{}</v>
      </c>
      <c r="W460" s="148" t="str">
        <f>IFERROR(__xludf.DUMMYFUNCTION("""COMPUTED_VALUE"""),"[]")</f>
        <v>[]</v>
      </c>
      <c r="X460" s="148" t="str">
        <f>IFERROR(__xludf.DUMMYFUNCTION("""COMPUTED_VALUE"""),"[{""typ"":""power"",""id"":12141002,""val"":1}]")</f>
        <v>[{"typ":"power","id":12141002,"val":1}]</v>
      </c>
      <c r="Y460" s="148" t="str">
        <f>IFERROR(__xludf.DUMMYFUNCTION("""COMPUTED_VALUE"""),"[{""typ"":""atk"",""val"":90},{""typ"":""def"",""val"":84},{""typ"":""hp"",""val"":130},{""typ"":""speed"",""val"":40},{""typ"":""load"",""val"":20},{""typ"":""backcoef"",""val"":0.5},{""typ"":""atkcoef"",""val"":1.0},{""typ"":""atkcd"",""val"":0}]")</f>
        <v>[{"typ":"atk","val":90},{"typ":"def","val":84},{"typ":"hp","val":130},{"typ":"speed","val":40},{"typ":"load","val":20},{"typ":"backcoef","val":0.5},{"typ":"atkcoef","val":1.0},{"typ":"atkcd","val":0}]</v>
      </c>
      <c r="Z460" s="148" t="str">
        <f>IFERROR(__xludf.DUMMYFUNCTION("""COMPUTED_VALUE"""),"[]")</f>
        <v>[]</v>
      </c>
    </row>
    <row r="461">
      <c r="A461" s="148">
        <f>IFERROR(__xludf.DUMMYFUNCTION("""COMPUTED_VALUE"""),1.1219507E7)</f>
        <v>11219507</v>
      </c>
      <c r="B461" s="148" t="str">
        <f>IFERROR(__xludf.DUMMYFUNCTION("""COMPUTED_VALUE"""),"城内野怪-区域9BOSS（中猿）")</f>
        <v>城内野怪-区域9BOSS（中猿）</v>
      </c>
      <c r="C461" s="148">
        <f>IFERROR(__xludf.DUMMYFUNCTION("""COMPUTED_VALUE"""),1.1221004E7)</f>
        <v>11221004</v>
      </c>
      <c r="D461" s="148">
        <f>IFERROR(__xludf.DUMMYFUNCTION("""COMPUTED_VALUE"""),1.5117724E7)</f>
        <v>15117724</v>
      </c>
      <c r="E461" s="148" t="str">
        <f>IFERROR(__xludf.DUMMYFUNCTION("""COMPUTED_VALUE"""),"{}")</f>
        <v>{}</v>
      </c>
      <c r="F461" s="148" t="str">
        <f>IFERROR(__xludf.DUMMYFUNCTION("""COMPUTED_VALUE"""),"{}")</f>
        <v>{}</v>
      </c>
      <c r="G461" s="148">
        <f>IFERROR(__xludf.DUMMYFUNCTION("""COMPUTED_VALUE"""),2.0)</f>
        <v>2</v>
      </c>
      <c r="H461" s="148">
        <f>IFERROR(__xludf.DUMMYFUNCTION("""COMPUTED_VALUE"""),10099.0)</f>
        <v>10099</v>
      </c>
      <c r="I461" s="148">
        <f>IFERROR(__xludf.DUMMYFUNCTION("""COMPUTED_VALUE"""),10099.0)</f>
        <v>10099</v>
      </c>
      <c r="J461" s="148">
        <f>IFERROR(__xludf.DUMMYFUNCTION("""COMPUTED_VALUE"""),0.0)</f>
        <v>0</v>
      </c>
      <c r="K461" s="148">
        <f>IFERROR(__xludf.DUMMYFUNCTION("""COMPUTED_VALUE"""),10.0)</f>
        <v>10</v>
      </c>
      <c r="L461" s="148">
        <f>IFERROR(__xludf.DUMMYFUNCTION("""COMPUTED_VALUE"""),50.0)</f>
        <v>50</v>
      </c>
      <c r="M461" s="148">
        <f>IFERROR(__xludf.DUMMYFUNCTION("""COMPUTED_VALUE"""),0.0)</f>
        <v>0</v>
      </c>
      <c r="N461" s="148" t="str">
        <f>IFERROR(__xludf.DUMMYFUNCTION("""COMPUTED_VALUE"""),"[]")</f>
        <v>[]</v>
      </c>
      <c r="O461" s="148" t="str">
        <f>IFERROR(__xludf.DUMMYFUNCTION("""COMPUTED_VALUE"""),"{}")</f>
        <v>{}</v>
      </c>
      <c r="P461" s="148">
        <f>IFERROR(__xludf.DUMMYFUNCTION("""COMPUTED_VALUE"""),0.0)</f>
        <v>0</v>
      </c>
      <c r="Q461" s="148" t="str">
        <f>IFERROR(__xludf.DUMMYFUNCTION("""COMPUTED_VALUE"""),"[]")</f>
        <v>[]</v>
      </c>
      <c r="R461" s="148" t="str">
        <f>IFERROR(__xludf.DUMMYFUNCTION("""COMPUTED_VALUE"""),"{}")</f>
        <v>{}</v>
      </c>
      <c r="S461" s="148">
        <f>IFERROR(__xludf.DUMMYFUNCTION("""COMPUTED_VALUE"""),0.0)</f>
        <v>0</v>
      </c>
      <c r="T461" s="148" t="str">
        <f>IFERROR(__xludf.DUMMYFUNCTION("""COMPUTED_VALUE"""),"[]")</f>
        <v>[]</v>
      </c>
      <c r="U461" s="148">
        <f>IFERROR(__xludf.DUMMYFUNCTION("""COMPUTED_VALUE"""),0.0)</f>
        <v>0</v>
      </c>
      <c r="V461" s="148" t="str">
        <f>IFERROR(__xludf.DUMMYFUNCTION("""COMPUTED_VALUE"""),"{}")</f>
        <v>{}</v>
      </c>
      <c r="W461" s="148" t="str">
        <f>IFERROR(__xludf.DUMMYFUNCTION("""COMPUTED_VALUE"""),"[]")</f>
        <v>[]</v>
      </c>
      <c r="X461" s="148" t="str">
        <f>IFERROR(__xludf.DUMMYFUNCTION("""COMPUTED_VALUE"""),"[{""typ"":""power"",""id"":12141002,""val"":1}]")</f>
        <v>[{"typ":"power","id":12141002,"val":1}]</v>
      </c>
      <c r="Y461" s="148" t="str">
        <f>IFERROR(__xludf.DUMMYFUNCTION("""COMPUTED_VALUE"""),"[{""typ"":""atk"",""val"":60},{""typ"":""def"",""val"":125},{""typ"":""hp"",""val"":120},{""typ"":""speed"",""val"":40},{""typ"":""load"",""val"":20},{""typ"":""backcoef"",""val"":0.5},{""typ"":""atkcoef"",""val"":1.0},{""typ"":""atkcd"",""val"":0}]")</f>
        <v>[{"typ":"atk","val":60},{"typ":"def","val":125},{"typ":"hp","val":120},{"typ":"speed","val":40},{"typ":"load","val":20},{"typ":"backcoef","val":0.5},{"typ":"atkcoef","val":1.0},{"typ":"atkcd","val":0}]</v>
      </c>
      <c r="Z461" s="148" t="str">
        <f>IFERROR(__xludf.DUMMYFUNCTION("""COMPUTED_VALUE"""),"[]")</f>
        <v>[]</v>
      </c>
    </row>
    <row r="462">
      <c r="A462" s="148">
        <f>IFERROR(__xludf.DUMMYFUNCTION("""COMPUTED_VALUE"""),1.1219508E7)</f>
        <v>11219508</v>
      </c>
      <c r="B462" s="148" t="str">
        <f>IFERROR(__xludf.DUMMYFUNCTION("""COMPUTED_VALUE"""),"城内野怪-区域9BOSS（小猿）")</f>
        <v>城内野怪-区域9BOSS（小猿）</v>
      </c>
      <c r="C462" s="148">
        <f>IFERROR(__xludf.DUMMYFUNCTION("""COMPUTED_VALUE"""),1.1221004E7)</f>
        <v>11221004</v>
      </c>
      <c r="D462" s="148">
        <f>IFERROR(__xludf.DUMMYFUNCTION("""COMPUTED_VALUE"""),1.5117725E7)</f>
        <v>15117725</v>
      </c>
      <c r="E462" s="148" t="str">
        <f>IFERROR(__xludf.DUMMYFUNCTION("""COMPUTED_VALUE"""),"{}")</f>
        <v>{}</v>
      </c>
      <c r="F462" s="148" t="str">
        <f>IFERROR(__xludf.DUMMYFUNCTION("""COMPUTED_VALUE"""),"{}")</f>
        <v>{}</v>
      </c>
      <c r="G462" s="148">
        <f>IFERROR(__xludf.DUMMYFUNCTION("""COMPUTED_VALUE"""),2.0)</f>
        <v>2</v>
      </c>
      <c r="H462" s="148">
        <f>IFERROR(__xludf.DUMMYFUNCTION("""COMPUTED_VALUE"""),10099.0)</f>
        <v>10099</v>
      </c>
      <c r="I462" s="148">
        <f>IFERROR(__xludf.DUMMYFUNCTION("""COMPUTED_VALUE"""),10099.0)</f>
        <v>10099</v>
      </c>
      <c r="J462" s="148">
        <f>IFERROR(__xludf.DUMMYFUNCTION("""COMPUTED_VALUE"""),0.0)</f>
        <v>0</v>
      </c>
      <c r="K462" s="148">
        <f>IFERROR(__xludf.DUMMYFUNCTION("""COMPUTED_VALUE"""),10.0)</f>
        <v>10</v>
      </c>
      <c r="L462" s="148">
        <f>IFERROR(__xludf.DUMMYFUNCTION("""COMPUTED_VALUE"""),50.0)</f>
        <v>50</v>
      </c>
      <c r="M462" s="148">
        <f>IFERROR(__xludf.DUMMYFUNCTION("""COMPUTED_VALUE"""),0.0)</f>
        <v>0</v>
      </c>
      <c r="N462" s="148" t="str">
        <f>IFERROR(__xludf.DUMMYFUNCTION("""COMPUTED_VALUE"""),"[]")</f>
        <v>[]</v>
      </c>
      <c r="O462" s="148" t="str">
        <f>IFERROR(__xludf.DUMMYFUNCTION("""COMPUTED_VALUE"""),"{}")</f>
        <v>{}</v>
      </c>
      <c r="P462" s="148">
        <f>IFERROR(__xludf.DUMMYFUNCTION("""COMPUTED_VALUE"""),0.0)</f>
        <v>0</v>
      </c>
      <c r="Q462" s="148" t="str">
        <f>IFERROR(__xludf.DUMMYFUNCTION("""COMPUTED_VALUE"""),"[]")</f>
        <v>[]</v>
      </c>
      <c r="R462" s="148" t="str">
        <f>IFERROR(__xludf.DUMMYFUNCTION("""COMPUTED_VALUE"""),"{}")</f>
        <v>{}</v>
      </c>
      <c r="S462" s="148">
        <f>IFERROR(__xludf.DUMMYFUNCTION("""COMPUTED_VALUE"""),0.0)</f>
        <v>0</v>
      </c>
      <c r="T462" s="148" t="str">
        <f>IFERROR(__xludf.DUMMYFUNCTION("""COMPUTED_VALUE"""),"[]")</f>
        <v>[]</v>
      </c>
      <c r="U462" s="148">
        <f>IFERROR(__xludf.DUMMYFUNCTION("""COMPUTED_VALUE"""),0.0)</f>
        <v>0</v>
      </c>
      <c r="V462" s="148" t="str">
        <f>IFERROR(__xludf.DUMMYFUNCTION("""COMPUTED_VALUE"""),"{}")</f>
        <v>{}</v>
      </c>
      <c r="W462" s="148" t="str">
        <f>IFERROR(__xludf.DUMMYFUNCTION("""COMPUTED_VALUE"""),"[]")</f>
        <v>[]</v>
      </c>
      <c r="X462" s="148" t="str">
        <f>IFERROR(__xludf.DUMMYFUNCTION("""COMPUTED_VALUE"""),"[{""typ"":""power"",""id"":12141002,""val"":1}]")</f>
        <v>[{"typ":"power","id":12141002,"val":1}]</v>
      </c>
      <c r="Y462" s="148" t="str">
        <f>IFERROR(__xludf.DUMMYFUNCTION("""COMPUTED_VALUE"""),"[{""typ"":""atk"",""val"":60},{""typ"":""def"",""val"":125},{""typ"":""hp"",""val"":120},{""typ"":""speed"",""val"":40},{""typ"":""load"",""val"":20},{""typ"":""backcoef"",""val"":0.5},{""typ"":""atkcoef"",""val"":1.0},{""typ"":""atkcd"",""val"":0}]")</f>
        <v>[{"typ":"atk","val":60},{"typ":"def","val":125},{"typ":"hp","val":120},{"typ":"speed","val":40},{"typ":"load","val":20},{"typ":"backcoef","val":0.5},{"typ":"atkcoef","val":1.0},{"typ":"atkcd","val":0}]</v>
      </c>
      <c r="Z462" s="148" t="str">
        <f>IFERROR(__xludf.DUMMYFUNCTION("""COMPUTED_VALUE"""),"[]")</f>
        <v>[]</v>
      </c>
    </row>
    <row r="463">
      <c r="A463" s="148">
        <f>IFERROR(__xludf.DUMMYFUNCTION("""COMPUTED_VALUE"""),1.1219509E7)</f>
        <v>11219509</v>
      </c>
      <c r="B463" s="148" t="str">
        <f>IFERROR(__xludf.DUMMYFUNCTION("""COMPUTED_VALUE"""),"城内野怪-区域9BOSS（科兹摩）")</f>
        <v>城内野怪-区域9BOSS（科兹摩）</v>
      </c>
      <c r="C463" s="148">
        <f>IFERROR(__xludf.DUMMYFUNCTION("""COMPUTED_VALUE"""),1.1221004E7)</f>
        <v>11221004</v>
      </c>
      <c r="D463" s="148">
        <f>IFERROR(__xludf.DUMMYFUNCTION("""COMPUTED_VALUE"""),1.5117726E7)</f>
        <v>15117726</v>
      </c>
      <c r="E463" s="148" t="str">
        <f>IFERROR(__xludf.DUMMYFUNCTION("""COMPUTED_VALUE"""),"{""typ"":""lc"",""txt"":""LC_SOLDIER_baby_name_26""}")</f>
        <v>{"typ":"lc","txt":"LC_SOLDIER_baby_name_26"}</v>
      </c>
      <c r="F463" s="148" t="str">
        <f>IFERROR(__xludf.DUMMYFUNCTION("""COMPUTED_VALUE"""),"{}")</f>
        <v>{}</v>
      </c>
      <c r="G463" s="148">
        <f>IFERROR(__xludf.DUMMYFUNCTION("""COMPUTED_VALUE"""),1.0)</f>
        <v>1</v>
      </c>
      <c r="H463" s="148">
        <f>IFERROR(__xludf.DUMMYFUNCTION("""COMPUTED_VALUE"""),10099.0)</f>
        <v>10099</v>
      </c>
      <c r="I463" s="148">
        <f>IFERROR(__xludf.DUMMYFUNCTION("""COMPUTED_VALUE"""),10099.0)</f>
        <v>10099</v>
      </c>
      <c r="J463" s="148">
        <f>IFERROR(__xludf.DUMMYFUNCTION("""COMPUTED_VALUE"""),0.0)</f>
        <v>0</v>
      </c>
      <c r="K463" s="148">
        <f>IFERROR(__xludf.DUMMYFUNCTION("""COMPUTED_VALUE"""),10.0)</f>
        <v>10</v>
      </c>
      <c r="L463" s="148">
        <f>IFERROR(__xludf.DUMMYFUNCTION("""COMPUTED_VALUE"""),99.0)</f>
        <v>99</v>
      </c>
      <c r="M463" s="148">
        <f>IFERROR(__xludf.DUMMYFUNCTION("""COMPUTED_VALUE"""),0.0)</f>
        <v>0</v>
      </c>
      <c r="N463" s="148" t="str">
        <f>IFERROR(__xludf.DUMMYFUNCTION("""COMPUTED_VALUE"""),"[]")</f>
        <v>[]</v>
      </c>
      <c r="O463" s="148" t="str">
        <f>IFERROR(__xludf.DUMMYFUNCTION("""COMPUTED_VALUE"""),"{}")</f>
        <v>{}</v>
      </c>
      <c r="P463" s="148">
        <f>IFERROR(__xludf.DUMMYFUNCTION("""COMPUTED_VALUE"""),0.0)</f>
        <v>0</v>
      </c>
      <c r="Q463" s="148" t="str">
        <f>IFERROR(__xludf.DUMMYFUNCTION("""COMPUTED_VALUE"""),"[]")</f>
        <v>[]</v>
      </c>
      <c r="R463" s="148" t="str">
        <f>IFERROR(__xludf.DUMMYFUNCTION("""COMPUTED_VALUE"""),"{}")</f>
        <v>{}</v>
      </c>
      <c r="S463" s="148">
        <f>IFERROR(__xludf.DUMMYFUNCTION("""COMPUTED_VALUE"""),0.0)</f>
        <v>0</v>
      </c>
      <c r="T463" s="148" t="str">
        <f>IFERROR(__xludf.DUMMYFUNCTION("""COMPUTED_VALUE"""),"[]")</f>
        <v>[]</v>
      </c>
      <c r="U463" s="148">
        <f>IFERROR(__xludf.DUMMYFUNCTION("""COMPUTED_VALUE"""),0.0)</f>
        <v>0</v>
      </c>
      <c r="V463" s="148" t="str">
        <f>IFERROR(__xludf.DUMMYFUNCTION("""COMPUTED_VALUE"""),"{}")</f>
        <v>{}</v>
      </c>
      <c r="W463" s="148" t="str">
        <f>IFERROR(__xludf.DUMMYFUNCTION("""COMPUTED_VALUE"""),"[]")</f>
        <v>[]</v>
      </c>
      <c r="X463" s="148" t="str">
        <f>IFERROR(__xludf.DUMMYFUNCTION("""COMPUTED_VALUE"""),"[{""typ"":""power"",""id"":12141002,""val"":1}]")</f>
        <v>[{"typ":"power","id":12141002,"val":1}]</v>
      </c>
      <c r="Y463" s="148" t="str">
        <f>IFERROR(__xludf.DUMMYFUNCTION("""COMPUTED_VALUE"""),"[{""typ"":""atk"",""val"":60},{""typ"":""def"",""val"":125},{""typ"":""hp"",""val"":120},{""typ"":""speed"",""val"":40},{""typ"":""load"",""val"":20},{""typ"":""backcoef"",""val"":0.5},{""typ"":""atkcoef"",""val"":1.0},{""typ"":""atkcd"",""val"":0}]")</f>
        <v>[{"typ":"atk","val":60},{"typ":"def","val":125},{"typ":"hp","val":120},{"typ":"speed","val":40},{"typ":"load","val":20},{"typ":"backcoef","val":0.5},{"typ":"atkcoef","val":1.0},{"typ":"atkcd","val":0}]</v>
      </c>
      <c r="Z463" s="148" t="str">
        <f>IFERROR(__xludf.DUMMYFUNCTION("""COMPUTED_VALUE"""),"[]")</f>
        <v>[]</v>
      </c>
    </row>
    <row r="464">
      <c r="A464" s="148">
        <f>IFERROR(__xludf.DUMMYFUNCTION("""COMPUTED_VALUE"""),1.1219601E7)</f>
        <v>11219601</v>
      </c>
      <c r="B464" s="148" t="str">
        <f>IFERROR(__xludf.DUMMYFUNCTION("""COMPUTED_VALUE"""),"重装出击-变异猴-T1")</f>
        <v>重装出击-变异猴-T1</v>
      </c>
      <c r="C464" s="148">
        <f>IFERROR(__xludf.DUMMYFUNCTION("""COMPUTED_VALUE"""),1.1221004E7)</f>
        <v>11221004</v>
      </c>
      <c r="D464" s="148">
        <f>IFERROR(__xludf.DUMMYFUNCTION("""COMPUTED_VALUE"""),1.5110234E7)</f>
        <v>15110234</v>
      </c>
      <c r="E464" s="148" t="str">
        <f>IFERROR(__xludf.DUMMYFUNCTION("""COMPUTED_VALUE"""),"{}")</f>
        <v>{}</v>
      </c>
      <c r="F464" s="148" t="str">
        <f>IFERROR(__xludf.DUMMYFUNCTION("""COMPUTED_VALUE"""),"{}")</f>
        <v>{}</v>
      </c>
      <c r="G464" s="148">
        <f>IFERROR(__xludf.DUMMYFUNCTION("""COMPUTED_VALUE"""),2.0)</f>
        <v>2</v>
      </c>
      <c r="H464" s="148">
        <f>IFERROR(__xludf.DUMMYFUNCTION("""COMPUTED_VALUE"""),10099.0)</f>
        <v>10099</v>
      </c>
      <c r="I464" s="148">
        <f>IFERROR(__xludf.DUMMYFUNCTION("""COMPUTED_VALUE"""),10099.0)</f>
        <v>10099</v>
      </c>
      <c r="J464" s="148">
        <f>IFERROR(__xludf.DUMMYFUNCTION("""COMPUTED_VALUE"""),0.0)</f>
        <v>0</v>
      </c>
      <c r="K464" s="148">
        <f>IFERROR(__xludf.DUMMYFUNCTION("""COMPUTED_VALUE"""),10.0)</f>
        <v>10</v>
      </c>
      <c r="L464" s="148">
        <f>IFERROR(__xludf.DUMMYFUNCTION("""COMPUTED_VALUE"""),50.0)</f>
        <v>50</v>
      </c>
      <c r="M464" s="148">
        <f>IFERROR(__xludf.DUMMYFUNCTION("""COMPUTED_VALUE"""),0.0)</f>
        <v>0</v>
      </c>
      <c r="N464" s="148" t="str">
        <f>IFERROR(__xludf.DUMMYFUNCTION("""COMPUTED_VALUE"""),"[]")</f>
        <v>[]</v>
      </c>
      <c r="O464" s="148" t="str">
        <f>IFERROR(__xludf.DUMMYFUNCTION("""COMPUTED_VALUE"""),"{}")</f>
        <v>{}</v>
      </c>
      <c r="P464" s="148">
        <f>IFERROR(__xludf.DUMMYFUNCTION("""COMPUTED_VALUE"""),0.0)</f>
        <v>0</v>
      </c>
      <c r="Q464" s="148" t="str">
        <f>IFERROR(__xludf.DUMMYFUNCTION("""COMPUTED_VALUE"""),"[]")</f>
        <v>[]</v>
      </c>
      <c r="R464" s="148" t="str">
        <f>IFERROR(__xludf.DUMMYFUNCTION("""COMPUTED_VALUE"""),"{}")</f>
        <v>{}</v>
      </c>
      <c r="S464" s="148">
        <f>IFERROR(__xludf.DUMMYFUNCTION("""COMPUTED_VALUE"""),0.0)</f>
        <v>0</v>
      </c>
      <c r="T464" s="148" t="str">
        <f>IFERROR(__xludf.DUMMYFUNCTION("""COMPUTED_VALUE"""),"[]")</f>
        <v>[]</v>
      </c>
      <c r="U464" s="148">
        <f>IFERROR(__xludf.DUMMYFUNCTION("""COMPUTED_VALUE"""),0.0)</f>
        <v>0</v>
      </c>
      <c r="V464" s="148" t="str">
        <f>IFERROR(__xludf.DUMMYFUNCTION("""COMPUTED_VALUE"""),"{}")</f>
        <v>{}</v>
      </c>
      <c r="W464" s="148" t="str">
        <f>IFERROR(__xludf.DUMMYFUNCTION("""COMPUTED_VALUE"""),"[]")</f>
        <v>[]</v>
      </c>
      <c r="X464" s="148" t="str">
        <f>IFERROR(__xludf.DUMMYFUNCTION("""COMPUTED_VALUE"""),"[{""typ"":""power"",""id"":12141002,""val"":1}]")</f>
        <v>[{"typ":"power","id":12141002,"val":1}]</v>
      </c>
      <c r="Y464" s="148" t="str">
        <f>IFERROR(__xludf.DUMMYFUNCTION("""COMPUTED_VALUE"""),"[{""typ"":""atk"",""val"":60},{""typ"":""def"",""val"":125},{""typ"":""hp"",""val"":120},{""typ"":""speed"",""val"":40},{""typ"":""load"",""val"":20},{""typ"":""backcoef"",""val"":0.5},{""typ"":""atkcoef"",""val"":1.0},{""typ"":""atkcd"",""val"":0}]")</f>
        <v>[{"typ":"atk","val":60},{"typ":"def","val":125},{"typ":"hp","val":120},{"typ":"speed","val":40},{"typ":"load","val":20},{"typ":"backcoef","val":0.5},{"typ":"atkcoef","val":1.0},{"typ":"atkcd","val":0}]</v>
      </c>
      <c r="Z464" s="148" t="str">
        <f>IFERROR(__xludf.DUMMYFUNCTION("""COMPUTED_VALUE"""),"[]")</f>
        <v>[]</v>
      </c>
    </row>
    <row r="465">
      <c r="A465" s="148">
        <f>IFERROR(__xludf.DUMMYFUNCTION("""COMPUTED_VALUE"""),1.1219602E7)</f>
        <v>11219602</v>
      </c>
      <c r="B465" s="148" t="str">
        <f>IFERROR(__xludf.DUMMYFUNCTION("""COMPUTED_VALUE"""),"重装出击-变异猴-T2")</f>
        <v>重装出击-变异猴-T2</v>
      </c>
      <c r="C465" s="148">
        <f>IFERROR(__xludf.DUMMYFUNCTION("""COMPUTED_VALUE"""),1.1221004E7)</f>
        <v>11221004</v>
      </c>
      <c r="D465" s="148">
        <f>IFERROR(__xludf.DUMMYFUNCTION("""COMPUTED_VALUE"""),1.5110234E7)</f>
        <v>15110234</v>
      </c>
      <c r="E465" s="148" t="str">
        <f>IFERROR(__xludf.DUMMYFUNCTION("""COMPUTED_VALUE"""),"{}")</f>
        <v>{}</v>
      </c>
      <c r="F465" s="148" t="str">
        <f>IFERROR(__xludf.DUMMYFUNCTION("""COMPUTED_VALUE"""),"{}")</f>
        <v>{}</v>
      </c>
      <c r="G465" s="148">
        <f>IFERROR(__xludf.DUMMYFUNCTION("""COMPUTED_VALUE"""),2.0)</f>
        <v>2</v>
      </c>
      <c r="H465" s="148">
        <f>IFERROR(__xludf.DUMMYFUNCTION("""COMPUTED_VALUE"""),10099.0)</f>
        <v>10099</v>
      </c>
      <c r="I465" s="148">
        <f>IFERROR(__xludf.DUMMYFUNCTION("""COMPUTED_VALUE"""),10099.0)</f>
        <v>10099</v>
      </c>
      <c r="J465" s="148">
        <f>IFERROR(__xludf.DUMMYFUNCTION("""COMPUTED_VALUE"""),0.0)</f>
        <v>0</v>
      </c>
      <c r="K465" s="148">
        <f>IFERROR(__xludf.DUMMYFUNCTION("""COMPUTED_VALUE"""),10.0)</f>
        <v>10</v>
      </c>
      <c r="L465" s="148">
        <f>IFERROR(__xludf.DUMMYFUNCTION("""COMPUTED_VALUE"""),50.0)</f>
        <v>50</v>
      </c>
      <c r="M465" s="148">
        <f>IFERROR(__xludf.DUMMYFUNCTION("""COMPUTED_VALUE"""),0.0)</f>
        <v>0</v>
      </c>
      <c r="N465" s="148" t="str">
        <f>IFERROR(__xludf.DUMMYFUNCTION("""COMPUTED_VALUE"""),"[]")</f>
        <v>[]</v>
      </c>
      <c r="O465" s="148" t="str">
        <f>IFERROR(__xludf.DUMMYFUNCTION("""COMPUTED_VALUE"""),"{}")</f>
        <v>{}</v>
      </c>
      <c r="P465" s="148">
        <f>IFERROR(__xludf.DUMMYFUNCTION("""COMPUTED_VALUE"""),0.0)</f>
        <v>0</v>
      </c>
      <c r="Q465" s="148" t="str">
        <f>IFERROR(__xludf.DUMMYFUNCTION("""COMPUTED_VALUE"""),"[]")</f>
        <v>[]</v>
      </c>
      <c r="R465" s="148" t="str">
        <f>IFERROR(__xludf.DUMMYFUNCTION("""COMPUTED_VALUE"""),"{}")</f>
        <v>{}</v>
      </c>
      <c r="S465" s="148">
        <f>IFERROR(__xludf.DUMMYFUNCTION("""COMPUTED_VALUE"""),0.0)</f>
        <v>0</v>
      </c>
      <c r="T465" s="148" t="str">
        <f>IFERROR(__xludf.DUMMYFUNCTION("""COMPUTED_VALUE"""),"[]")</f>
        <v>[]</v>
      </c>
      <c r="U465" s="148">
        <f>IFERROR(__xludf.DUMMYFUNCTION("""COMPUTED_VALUE"""),0.0)</f>
        <v>0</v>
      </c>
      <c r="V465" s="148" t="str">
        <f>IFERROR(__xludf.DUMMYFUNCTION("""COMPUTED_VALUE"""),"{}")</f>
        <v>{}</v>
      </c>
      <c r="W465" s="148" t="str">
        <f>IFERROR(__xludf.DUMMYFUNCTION("""COMPUTED_VALUE"""),"[]")</f>
        <v>[]</v>
      </c>
      <c r="X465" s="148" t="str">
        <f>IFERROR(__xludf.DUMMYFUNCTION("""COMPUTED_VALUE"""),"[{""typ"":""power"",""id"":12141002,""val"":2}]")</f>
        <v>[{"typ":"power","id":12141002,"val":2}]</v>
      </c>
      <c r="Y465" s="148" t="str">
        <f>IFERROR(__xludf.DUMMYFUNCTION("""COMPUTED_VALUE"""),"[{""typ"":""atk"",""val"":120},{""typ"":""def"",""val"":130},{""typ"":""hp"",""val"":130},{""typ"":""speed"",""val"":40},{""typ"":""load"",""val"":20},{""typ"":""backcoef"",""val"":0.5},{""typ"":""atkcoef"",""val"":1.0},{""typ"":""atkcd"",""val"":0}]")</f>
        <v>[{"typ":"atk","val":120},{"typ":"def","val":130},{"typ":"hp","val":130},{"typ":"speed","val":40},{"typ":"load","val":20},{"typ":"backcoef","val":0.5},{"typ":"atkcoef","val":1.0},{"typ":"atkcd","val":0}]</v>
      </c>
      <c r="Z465" s="148" t="str">
        <f>IFERROR(__xludf.DUMMYFUNCTION("""COMPUTED_VALUE"""),"[]")</f>
        <v>[]</v>
      </c>
    </row>
    <row r="466">
      <c r="A466" s="148">
        <f>IFERROR(__xludf.DUMMYFUNCTION("""COMPUTED_VALUE"""),1.1219603E7)</f>
        <v>11219603</v>
      </c>
      <c r="B466" s="148" t="str">
        <f>IFERROR(__xludf.DUMMYFUNCTION("""COMPUTED_VALUE"""),"重装出击-变异猴-T3")</f>
        <v>重装出击-变异猴-T3</v>
      </c>
      <c r="C466" s="148">
        <f>IFERROR(__xludf.DUMMYFUNCTION("""COMPUTED_VALUE"""),1.1221004E7)</f>
        <v>11221004</v>
      </c>
      <c r="D466" s="148">
        <f>IFERROR(__xludf.DUMMYFUNCTION("""COMPUTED_VALUE"""),1.5110234E7)</f>
        <v>15110234</v>
      </c>
      <c r="E466" s="148" t="str">
        <f>IFERROR(__xludf.DUMMYFUNCTION("""COMPUTED_VALUE"""),"{}")</f>
        <v>{}</v>
      </c>
      <c r="F466" s="148" t="str">
        <f>IFERROR(__xludf.DUMMYFUNCTION("""COMPUTED_VALUE"""),"{}")</f>
        <v>{}</v>
      </c>
      <c r="G466" s="148">
        <f>IFERROR(__xludf.DUMMYFUNCTION("""COMPUTED_VALUE"""),2.0)</f>
        <v>2</v>
      </c>
      <c r="H466" s="148">
        <f>IFERROR(__xludf.DUMMYFUNCTION("""COMPUTED_VALUE"""),10099.0)</f>
        <v>10099</v>
      </c>
      <c r="I466" s="148">
        <f>IFERROR(__xludf.DUMMYFUNCTION("""COMPUTED_VALUE"""),10099.0)</f>
        <v>10099</v>
      </c>
      <c r="J466" s="148">
        <f>IFERROR(__xludf.DUMMYFUNCTION("""COMPUTED_VALUE"""),0.0)</f>
        <v>0</v>
      </c>
      <c r="K466" s="148">
        <f>IFERROR(__xludf.DUMMYFUNCTION("""COMPUTED_VALUE"""),10.0)</f>
        <v>10</v>
      </c>
      <c r="L466" s="148">
        <f>IFERROR(__xludf.DUMMYFUNCTION("""COMPUTED_VALUE"""),50.0)</f>
        <v>50</v>
      </c>
      <c r="M466" s="148">
        <f>IFERROR(__xludf.DUMMYFUNCTION("""COMPUTED_VALUE"""),0.0)</f>
        <v>0</v>
      </c>
      <c r="N466" s="148" t="str">
        <f>IFERROR(__xludf.DUMMYFUNCTION("""COMPUTED_VALUE"""),"[]")</f>
        <v>[]</v>
      </c>
      <c r="O466" s="148" t="str">
        <f>IFERROR(__xludf.DUMMYFUNCTION("""COMPUTED_VALUE"""),"{}")</f>
        <v>{}</v>
      </c>
      <c r="P466" s="148">
        <f>IFERROR(__xludf.DUMMYFUNCTION("""COMPUTED_VALUE"""),0.0)</f>
        <v>0</v>
      </c>
      <c r="Q466" s="148" t="str">
        <f>IFERROR(__xludf.DUMMYFUNCTION("""COMPUTED_VALUE"""),"[]")</f>
        <v>[]</v>
      </c>
      <c r="R466" s="148" t="str">
        <f>IFERROR(__xludf.DUMMYFUNCTION("""COMPUTED_VALUE"""),"{}")</f>
        <v>{}</v>
      </c>
      <c r="S466" s="148">
        <f>IFERROR(__xludf.DUMMYFUNCTION("""COMPUTED_VALUE"""),0.0)</f>
        <v>0</v>
      </c>
      <c r="T466" s="148" t="str">
        <f>IFERROR(__xludf.DUMMYFUNCTION("""COMPUTED_VALUE"""),"[]")</f>
        <v>[]</v>
      </c>
      <c r="U466" s="148">
        <f>IFERROR(__xludf.DUMMYFUNCTION("""COMPUTED_VALUE"""),0.0)</f>
        <v>0</v>
      </c>
      <c r="V466" s="148" t="str">
        <f>IFERROR(__xludf.DUMMYFUNCTION("""COMPUTED_VALUE"""),"{}")</f>
        <v>{}</v>
      </c>
      <c r="W466" s="148" t="str">
        <f>IFERROR(__xludf.DUMMYFUNCTION("""COMPUTED_VALUE"""),"[]")</f>
        <v>[]</v>
      </c>
      <c r="X466" s="148" t="str">
        <f>IFERROR(__xludf.DUMMYFUNCTION("""COMPUTED_VALUE"""),"[{""typ"":""power"",""id"":12141002,""val"":4}]")</f>
        <v>[{"typ":"power","id":12141002,"val":4}]</v>
      </c>
      <c r="Y466" s="148" t="str">
        <f>IFERROR(__xludf.DUMMYFUNCTION("""COMPUTED_VALUE"""),"[{""typ"":""atk"",""val"":160},{""typ"":""def"",""val"":160},{""typ"":""hp"",""val"":160},{""typ"":""speed"",""val"":40},{""typ"":""load"",""val"":20},{""typ"":""backcoef"",""val"":0.5},{""typ"":""atkcoef"",""val"":1.0},{""typ"":""atkcd"",""val"":0}]")</f>
        <v>[{"typ":"atk","val":160},{"typ":"def","val":160},{"typ":"hp","val":160},{"typ":"speed","val":40},{"typ":"load","val":20},{"typ":"backcoef","val":0.5},{"typ":"atkcoef","val":1.0},{"typ":"atkcd","val":0}]</v>
      </c>
      <c r="Z466" s="148" t="str">
        <f>IFERROR(__xludf.DUMMYFUNCTION("""COMPUTED_VALUE"""),"[]")</f>
        <v>[]</v>
      </c>
    </row>
    <row r="467">
      <c r="A467" s="148">
        <f>IFERROR(__xludf.DUMMYFUNCTION("""COMPUTED_VALUE"""),1.1219604E7)</f>
        <v>11219604</v>
      </c>
      <c r="B467" s="148" t="str">
        <f>IFERROR(__xludf.DUMMYFUNCTION("""COMPUTED_VALUE"""),"重装出击-变异猴-T4")</f>
        <v>重装出击-变异猴-T4</v>
      </c>
      <c r="C467" s="148">
        <f>IFERROR(__xludf.DUMMYFUNCTION("""COMPUTED_VALUE"""),1.1221004E7)</f>
        <v>11221004</v>
      </c>
      <c r="D467" s="148">
        <f>IFERROR(__xludf.DUMMYFUNCTION("""COMPUTED_VALUE"""),1.5110234E7)</f>
        <v>15110234</v>
      </c>
      <c r="E467" s="148" t="str">
        <f>IFERROR(__xludf.DUMMYFUNCTION("""COMPUTED_VALUE"""),"{}")</f>
        <v>{}</v>
      </c>
      <c r="F467" s="148" t="str">
        <f>IFERROR(__xludf.DUMMYFUNCTION("""COMPUTED_VALUE"""),"{}")</f>
        <v>{}</v>
      </c>
      <c r="G467" s="148">
        <f>IFERROR(__xludf.DUMMYFUNCTION("""COMPUTED_VALUE"""),2.0)</f>
        <v>2</v>
      </c>
      <c r="H467" s="148">
        <f>IFERROR(__xludf.DUMMYFUNCTION("""COMPUTED_VALUE"""),10099.0)</f>
        <v>10099</v>
      </c>
      <c r="I467" s="148">
        <f>IFERROR(__xludf.DUMMYFUNCTION("""COMPUTED_VALUE"""),10099.0)</f>
        <v>10099</v>
      </c>
      <c r="J467" s="148">
        <f>IFERROR(__xludf.DUMMYFUNCTION("""COMPUTED_VALUE"""),0.0)</f>
        <v>0</v>
      </c>
      <c r="K467" s="148">
        <f>IFERROR(__xludf.DUMMYFUNCTION("""COMPUTED_VALUE"""),10.0)</f>
        <v>10</v>
      </c>
      <c r="L467" s="148">
        <f>IFERROR(__xludf.DUMMYFUNCTION("""COMPUTED_VALUE"""),50.0)</f>
        <v>50</v>
      </c>
      <c r="M467" s="148">
        <f>IFERROR(__xludf.DUMMYFUNCTION("""COMPUTED_VALUE"""),0.0)</f>
        <v>0</v>
      </c>
      <c r="N467" s="148" t="str">
        <f>IFERROR(__xludf.DUMMYFUNCTION("""COMPUTED_VALUE"""),"[]")</f>
        <v>[]</v>
      </c>
      <c r="O467" s="148" t="str">
        <f>IFERROR(__xludf.DUMMYFUNCTION("""COMPUTED_VALUE"""),"{}")</f>
        <v>{}</v>
      </c>
      <c r="P467" s="148">
        <f>IFERROR(__xludf.DUMMYFUNCTION("""COMPUTED_VALUE"""),0.0)</f>
        <v>0</v>
      </c>
      <c r="Q467" s="148" t="str">
        <f>IFERROR(__xludf.DUMMYFUNCTION("""COMPUTED_VALUE"""),"[]")</f>
        <v>[]</v>
      </c>
      <c r="R467" s="148" t="str">
        <f>IFERROR(__xludf.DUMMYFUNCTION("""COMPUTED_VALUE"""),"{}")</f>
        <v>{}</v>
      </c>
      <c r="S467" s="148">
        <f>IFERROR(__xludf.DUMMYFUNCTION("""COMPUTED_VALUE"""),0.0)</f>
        <v>0</v>
      </c>
      <c r="T467" s="148" t="str">
        <f>IFERROR(__xludf.DUMMYFUNCTION("""COMPUTED_VALUE"""),"[]")</f>
        <v>[]</v>
      </c>
      <c r="U467" s="148">
        <f>IFERROR(__xludf.DUMMYFUNCTION("""COMPUTED_VALUE"""),0.0)</f>
        <v>0</v>
      </c>
      <c r="V467" s="148" t="str">
        <f>IFERROR(__xludf.DUMMYFUNCTION("""COMPUTED_VALUE"""),"{}")</f>
        <v>{}</v>
      </c>
      <c r="W467" s="148" t="str">
        <f>IFERROR(__xludf.DUMMYFUNCTION("""COMPUTED_VALUE"""),"[]")</f>
        <v>[]</v>
      </c>
      <c r="X467" s="148" t="str">
        <f>IFERROR(__xludf.DUMMYFUNCTION("""COMPUTED_VALUE"""),"[{""typ"":""power"",""id"":12141002,""val"":6}]")</f>
        <v>[{"typ":"power","id":12141002,"val":6}]</v>
      </c>
      <c r="Y467" s="148" t="str">
        <f>IFERROR(__xludf.DUMMYFUNCTION("""COMPUTED_VALUE"""),"[{""typ"":""atk"",""val"":200},{""typ"":""def"",""val"":190},{""typ"":""hp"",""val"":180},{""typ"":""speed"",""val"":40},{""typ"":""load"",""val"":20},{""typ"":""backcoef"",""val"":0.5},{""typ"":""atkcoef"",""val"":1.0},{""typ"":""atkcd"",""val"":0}]")</f>
        <v>[{"typ":"atk","val":200},{"typ":"def","val":190},{"typ":"hp","val":180},{"typ":"speed","val":40},{"typ":"load","val":20},{"typ":"backcoef","val":0.5},{"typ":"atkcoef","val":1.0},{"typ":"atkcd","val":0}]</v>
      </c>
      <c r="Z467" s="148" t="str">
        <f>IFERROR(__xludf.DUMMYFUNCTION("""COMPUTED_VALUE"""),"[]")</f>
        <v>[]</v>
      </c>
    </row>
    <row r="468">
      <c r="A468" s="148">
        <f>IFERROR(__xludf.DUMMYFUNCTION("""COMPUTED_VALUE"""),1.1219605E7)</f>
        <v>11219605</v>
      </c>
      <c r="B468" s="148" t="str">
        <f>IFERROR(__xludf.DUMMYFUNCTION("""COMPUTED_VALUE"""),"重装出击-变异猴-T5")</f>
        <v>重装出击-变异猴-T5</v>
      </c>
      <c r="C468" s="148">
        <f>IFERROR(__xludf.DUMMYFUNCTION("""COMPUTED_VALUE"""),1.1221004E7)</f>
        <v>11221004</v>
      </c>
      <c r="D468" s="148">
        <f>IFERROR(__xludf.DUMMYFUNCTION("""COMPUTED_VALUE"""),1.5110234E7)</f>
        <v>15110234</v>
      </c>
      <c r="E468" s="148" t="str">
        <f>IFERROR(__xludf.DUMMYFUNCTION("""COMPUTED_VALUE"""),"{}")</f>
        <v>{}</v>
      </c>
      <c r="F468" s="148" t="str">
        <f>IFERROR(__xludf.DUMMYFUNCTION("""COMPUTED_VALUE"""),"{}")</f>
        <v>{}</v>
      </c>
      <c r="G468" s="148">
        <f>IFERROR(__xludf.DUMMYFUNCTION("""COMPUTED_VALUE"""),2.0)</f>
        <v>2</v>
      </c>
      <c r="H468" s="148">
        <f>IFERROR(__xludf.DUMMYFUNCTION("""COMPUTED_VALUE"""),10099.0)</f>
        <v>10099</v>
      </c>
      <c r="I468" s="148">
        <f>IFERROR(__xludf.DUMMYFUNCTION("""COMPUTED_VALUE"""),10099.0)</f>
        <v>10099</v>
      </c>
      <c r="J468" s="148">
        <f>IFERROR(__xludf.DUMMYFUNCTION("""COMPUTED_VALUE"""),0.0)</f>
        <v>0</v>
      </c>
      <c r="K468" s="148">
        <f>IFERROR(__xludf.DUMMYFUNCTION("""COMPUTED_VALUE"""),10.0)</f>
        <v>10</v>
      </c>
      <c r="L468" s="148">
        <f>IFERROR(__xludf.DUMMYFUNCTION("""COMPUTED_VALUE"""),50.0)</f>
        <v>50</v>
      </c>
      <c r="M468" s="148">
        <f>IFERROR(__xludf.DUMMYFUNCTION("""COMPUTED_VALUE"""),0.0)</f>
        <v>0</v>
      </c>
      <c r="N468" s="148" t="str">
        <f>IFERROR(__xludf.DUMMYFUNCTION("""COMPUTED_VALUE"""),"[]")</f>
        <v>[]</v>
      </c>
      <c r="O468" s="148" t="str">
        <f>IFERROR(__xludf.DUMMYFUNCTION("""COMPUTED_VALUE"""),"{}")</f>
        <v>{}</v>
      </c>
      <c r="P468" s="148">
        <f>IFERROR(__xludf.DUMMYFUNCTION("""COMPUTED_VALUE"""),0.0)</f>
        <v>0</v>
      </c>
      <c r="Q468" s="148" t="str">
        <f>IFERROR(__xludf.DUMMYFUNCTION("""COMPUTED_VALUE"""),"[]")</f>
        <v>[]</v>
      </c>
      <c r="R468" s="148" t="str">
        <f>IFERROR(__xludf.DUMMYFUNCTION("""COMPUTED_VALUE"""),"{}")</f>
        <v>{}</v>
      </c>
      <c r="S468" s="148">
        <f>IFERROR(__xludf.DUMMYFUNCTION("""COMPUTED_VALUE"""),0.0)</f>
        <v>0</v>
      </c>
      <c r="T468" s="148" t="str">
        <f>IFERROR(__xludf.DUMMYFUNCTION("""COMPUTED_VALUE"""),"[]")</f>
        <v>[]</v>
      </c>
      <c r="U468" s="148">
        <f>IFERROR(__xludf.DUMMYFUNCTION("""COMPUTED_VALUE"""),0.0)</f>
        <v>0</v>
      </c>
      <c r="V468" s="148" t="str">
        <f>IFERROR(__xludf.DUMMYFUNCTION("""COMPUTED_VALUE"""),"{}")</f>
        <v>{}</v>
      </c>
      <c r="W468" s="148" t="str">
        <f>IFERROR(__xludf.DUMMYFUNCTION("""COMPUTED_VALUE"""),"[]")</f>
        <v>[]</v>
      </c>
      <c r="X468" s="148" t="str">
        <f>IFERROR(__xludf.DUMMYFUNCTION("""COMPUTED_VALUE"""),"[{""typ"":""power"",""id"":12141002,""val"":10}]")</f>
        <v>[{"typ":"power","id":12141002,"val":10}]</v>
      </c>
      <c r="Y468" s="148" t="str">
        <f>IFERROR(__xludf.DUMMYFUNCTION("""COMPUTED_VALUE"""),"[{""typ"":""atk"",""val"":230},{""typ"":""def"",""val"":210},{""typ"":""hp"",""val"":210},{""typ"":""speed"",""val"":40},{""typ"":""load"",""val"":20},{""typ"":""backcoef"",""val"":0.5},{""typ"":""atkcoef"",""val"":1.0},{""typ"":""atkcd"",""val"":0}]")</f>
        <v>[{"typ":"atk","val":230},{"typ":"def","val":210},{"typ":"hp","val":210},{"typ":"speed","val":40},{"typ":"load","val":20},{"typ":"backcoef","val":0.5},{"typ":"atkcoef","val":1.0},{"typ":"atkcd","val":0}]</v>
      </c>
      <c r="Z468" s="148" t="str">
        <f>IFERROR(__xludf.DUMMYFUNCTION("""COMPUTED_VALUE"""),"[]")</f>
        <v>[]</v>
      </c>
    </row>
    <row r="469">
      <c r="A469" s="148">
        <f>IFERROR(__xludf.DUMMYFUNCTION("""COMPUTED_VALUE"""),1.1219606E7)</f>
        <v>11219606</v>
      </c>
      <c r="B469" s="148" t="str">
        <f>IFERROR(__xludf.DUMMYFUNCTION("""COMPUTED_VALUE"""),"重装出击-变异巨猿-T1")</f>
        <v>重装出击-变异巨猿-T1</v>
      </c>
      <c r="C469" s="148">
        <f>IFERROR(__xludf.DUMMYFUNCTION("""COMPUTED_VALUE"""),1.1221004E7)</f>
        <v>11221004</v>
      </c>
      <c r="D469" s="148">
        <f>IFERROR(__xludf.DUMMYFUNCTION("""COMPUTED_VALUE"""),1.5111315E7)</f>
        <v>15111315</v>
      </c>
      <c r="E469" s="148" t="str">
        <f>IFERROR(__xludf.DUMMYFUNCTION("""COMPUTED_VALUE"""),"{}")</f>
        <v>{}</v>
      </c>
      <c r="F469" s="148" t="str">
        <f>IFERROR(__xludf.DUMMYFUNCTION("""COMPUTED_VALUE"""),"{}")</f>
        <v>{}</v>
      </c>
      <c r="G469" s="148">
        <f>IFERROR(__xludf.DUMMYFUNCTION("""COMPUTED_VALUE"""),2.0)</f>
        <v>2</v>
      </c>
      <c r="H469" s="148">
        <f>IFERROR(__xludf.DUMMYFUNCTION("""COMPUTED_VALUE"""),10099.0)</f>
        <v>10099</v>
      </c>
      <c r="I469" s="148">
        <f>IFERROR(__xludf.DUMMYFUNCTION("""COMPUTED_VALUE"""),10099.0)</f>
        <v>10099</v>
      </c>
      <c r="J469" s="148">
        <f>IFERROR(__xludf.DUMMYFUNCTION("""COMPUTED_VALUE"""),0.0)</f>
        <v>0</v>
      </c>
      <c r="K469" s="148">
        <f>IFERROR(__xludf.DUMMYFUNCTION("""COMPUTED_VALUE"""),10.0)</f>
        <v>10</v>
      </c>
      <c r="L469" s="148">
        <f>IFERROR(__xludf.DUMMYFUNCTION("""COMPUTED_VALUE"""),50.0)</f>
        <v>50</v>
      </c>
      <c r="M469" s="148">
        <f>IFERROR(__xludf.DUMMYFUNCTION("""COMPUTED_VALUE"""),0.0)</f>
        <v>0</v>
      </c>
      <c r="N469" s="148" t="str">
        <f>IFERROR(__xludf.DUMMYFUNCTION("""COMPUTED_VALUE"""),"[]")</f>
        <v>[]</v>
      </c>
      <c r="O469" s="148" t="str">
        <f>IFERROR(__xludf.DUMMYFUNCTION("""COMPUTED_VALUE"""),"{}")</f>
        <v>{}</v>
      </c>
      <c r="P469" s="148">
        <f>IFERROR(__xludf.DUMMYFUNCTION("""COMPUTED_VALUE"""),0.0)</f>
        <v>0</v>
      </c>
      <c r="Q469" s="148" t="str">
        <f>IFERROR(__xludf.DUMMYFUNCTION("""COMPUTED_VALUE"""),"[]")</f>
        <v>[]</v>
      </c>
      <c r="R469" s="148" t="str">
        <f>IFERROR(__xludf.DUMMYFUNCTION("""COMPUTED_VALUE"""),"{}")</f>
        <v>{}</v>
      </c>
      <c r="S469" s="148">
        <f>IFERROR(__xludf.DUMMYFUNCTION("""COMPUTED_VALUE"""),0.0)</f>
        <v>0</v>
      </c>
      <c r="T469" s="148" t="str">
        <f>IFERROR(__xludf.DUMMYFUNCTION("""COMPUTED_VALUE"""),"[]")</f>
        <v>[]</v>
      </c>
      <c r="U469" s="148">
        <f>IFERROR(__xludf.DUMMYFUNCTION("""COMPUTED_VALUE"""),0.0)</f>
        <v>0</v>
      </c>
      <c r="V469" s="148" t="str">
        <f>IFERROR(__xludf.DUMMYFUNCTION("""COMPUTED_VALUE"""),"{}")</f>
        <v>{}</v>
      </c>
      <c r="W469" s="148" t="str">
        <f>IFERROR(__xludf.DUMMYFUNCTION("""COMPUTED_VALUE"""),"[]")</f>
        <v>[]</v>
      </c>
      <c r="X469" s="148" t="str">
        <f>IFERROR(__xludf.DUMMYFUNCTION("""COMPUTED_VALUE"""),"[{""typ"":""power"",""id"":12141002,""val"":1}]")</f>
        <v>[{"typ":"power","id":12141002,"val":1}]</v>
      </c>
      <c r="Y469" s="148" t="str">
        <f>IFERROR(__xludf.DUMMYFUNCTION("""COMPUTED_VALUE"""),"[{""typ"":""atk"",""val"":60},{""typ"":""def"",""val"":125},{""typ"":""hp"",""val"":120},{""typ"":""speed"",""val"":40},{""typ"":""load"",""val"":20},{""typ"":""backcoef"",""val"":0.5},{""typ"":""atkcoef"",""val"":1.0},{""typ"":""atkcd"",""val"":0}]")</f>
        <v>[{"typ":"atk","val":60},{"typ":"def","val":125},{"typ":"hp","val":120},{"typ":"speed","val":40},{"typ":"load","val":20},{"typ":"backcoef","val":0.5},{"typ":"atkcoef","val":1.0},{"typ":"atkcd","val":0}]</v>
      </c>
      <c r="Z469" s="148" t="str">
        <f>IFERROR(__xludf.DUMMYFUNCTION("""COMPUTED_VALUE"""),"[]")</f>
        <v>[]</v>
      </c>
    </row>
    <row r="470">
      <c r="A470" s="148">
        <f>IFERROR(__xludf.DUMMYFUNCTION("""COMPUTED_VALUE"""),1.1219607E7)</f>
        <v>11219607</v>
      </c>
      <c r="B470" s="148" t="str">
        <f>IFERROR(__xludf.DUMMYFUNCTION("""COMPUTED_VALUE"""),"重装出击-变异巨猿-T2")</f>
        <v>重装出击-变异巨猿-T2</v>
      </c>
      <c r="C470" s="148">
        <f>IFERROR(__xludf.DUMMYFUNCTION("""COMPUTED_VALUE"""),1.1221004E7)</f>
        <v>11221004</v>
      </c>
      <c r="D470" s="148">
        <f>IFERROR(__xludf.DUMMYFUNCTION("""COMPUTED_VALUE"""),1.5111315E7)</f>
        <v>15111315</v>
      </c>
      <c r="E470" s="148" t="str">
        <f>IFERROR(__xludf.DUMMYFUNCTION("""COMPUTED_VALUE"""),"{}")</f>
        <v>{}</v>
      </c>
      <c r="F470" s="148" t="str">
        <f>IFERROR(__xludf.DUMMYFUNCTION("""COMPUTED_VALUE"""),"{}")</f>
        <v>{}</v>
      </c>
      <c r="G470" s="148">
        <f>IFERROR(__xludf.DUMMYFUNCTION("""COMPUTED_VALUE"""),2.0)</f>
        <v>2</v>
      </c>
      <c r="H470" s="148">
        <f>IFERROR(__xludf.DUMMYFUNCTION("""COMPUTED_VALUE"""),10099.0)</f>
        <v>10099</v>
      </c>
      <c r="I470" s="148">
        <f>IFERROR(__xludf.DUMMYFUNCTION("""COMPUTED_VALUE"""),10099.0)</f>
        <v>10099</v>
      </c>
      <c r="J470" s="148">
        <f>IFERROR(__xludf.DUMMYFUNCTION("""COMPUTED_VALUE"""),0.0)</f>
        <v>0</v>
      </c>
      <c r="K470" s="148">
        <f>IFERROR(__xludf.DUMMYFUNCTION("""COMPUTED_VALUE"""),10.0)</f>
        <v>10</v>
      </c>
      <c r="L470" s="148">
        <f>IFERROR(__xludf.DUMMYFUNCTION("""COMPUTED_VALUE"""),50.0)</f>
        <v>50</v>
      </c>
      <c r="M470" s="148">
        <f>IFERROR(__xludf.DUMMYFUNCTION("""COMPUTED_VALUE"""),0.0)</f>
        <v>0</v>
      </c>
      <c r="N470" s="148" t="str">
        <f>IFERROR(__xludf.DUMMYFUNCTION("""COMPUTED_VALUE"""),"[]")</f>
        <v>[]</v>
      </c>
      <c r="O470" s="148" t="str">
        <f>IFERROR(__xludf.DUMMYFUNCTION("""COMPUTED_VALUE"""),"{}")</f>
        <v>{}</v>
      </c>
      <c r="P470" s="148">
        <f>IFERROR(__xludf.DUMMYFUNCTION("""COMPUTED_VALUE"""),0.0)</f>
        <v>0</v>
      </c>
      <c r="Q470" s="148" t="str">
        <f>IFERROR(__xludf.DUMMYFUNCTION("""COMPUTED_VALUE"""),"[]")</f>
        <v>[]</v>
      </c>
      <c r="R470" s="148" t="str">
        <f>IFERROR(__xludf.DUMMYFUNCTION("""COMPUTED_VALUE"""),"{}")</f>
        <v>{}</v>
      </c>
      <c r="S470" s="148">
        <f>IFERROR(__xludf.DUMMYFUNCTION("""COMPUTED_VALUE"""),0.0)</f>
        <v>0</v>
      </c>
      <c r="T470" s="148" t="str">
        <f>IFERROR(__xludf.DUMMYFUNCTION("""COMPUTED_VALUE"""),"[]")</f>
        <v>[]</v>
      </c>
      <c r="U470" s="148">
        <f>IFERROR(__xludf.DUMMYFUNCTION("""COMPUTED_VALUE"""),0.0)</f>
        <v>0</v>
      </c>
      <c r="V470" s="148" t="str">
        <f>IFERROR(__xludf.DUMMYFUNCTION("""COMPUTED_VALUE"""),"{}")</f>
        <v>{}</v>
      </c>
      <c r="W470" s="148" t="str">
        <f>IFERROR(__xludf.DUMMYFUNCTION("""COMPUTED_VALUE"""),"[]")</f>
        <v>[]</v>
      </c>
      <c r="X470" s="148" t="str">
        <f>IFERROR(__xludf.DUMMYFUNCTION("""COMPUTED_VALUE"""),"[{""typ"":""power"",""id"":12141002,""val"":2}]")</f>
        <v>[{"typ":"power","id":12141002,"val":2}]</v>
      </c>
      <c r="Y470" s="148" t="str">
        <f>IFERROR(__xludf.DUMMYFUNCTION("""COMPUTED_VALUE"""),"[{""typ"":""atk"",""val"":120},{""typ"":""def"",""val"":130},{""typ"":""hp"",""val"":130},{""typ"":""speed"",""val"":40},{""typ"":""load"",""val"":20},{""typ"":""backcoef"",""val"":0.5},{""typ"":""atkcoef"",""val"":1.0},{""typ"":""atkcd"",""val"":0}]")</f>
        <v>[{"typ":"atk","val":120},{"typ":"def","val":130},{"typ":"hp","val":130},{"typ":"speed","val":40},{"typ":"load","val":20},{"typ":"backcoef","val":0.5},{"typ":"atkcoef","val":1.0},{"typ":"atkcd","val":0}]</v>
      </c>
      <c r="Z470" s="148" t="str">
        <f>IFERROR(__xludf.DUMMYFUNCTION("""COMPUTED_VALUE"""),"[]")</f>
        <v>[]</v>
      </c>
    </row>
    <row r="471">
      <c r="A471" s="148">
        <f>IFERROR(__xludf.DUMMYFUNCTION("""COMPUTED_VALUE"""),1.1219608E7)</f>
        <v>11219608</v>
      </c>
      <c r="B471" s="148" t="str">
        <f>IFERROR(__xludf.DUMMYFUNCTION("""COMPUTED_VALUE"""),"重装出击-变异巨猿-T3")</f>
        <v>重装出击-变异巨猿-T3</v>
      </c>
      <c r="C471" s="148">
        <f>IFERROR(__xludf.DUMMYFUNCTION("""COMPUTED_VALUE"""),1.1221004E7)</f>
        <v>11221004</v>
      </c>
      <c r="D471" s="148">
        <f>IFERROR(__xludf.DUMMYFUNCTION("""COMPUTED_VALUE"""),1.5111315E7)</f>
        <v>15111315</v>
      </c>
      <c r="E471" s="148" t="str">
        <f>IFERROR(__xludf.DUMMYFUNCTION("""COMPUTED_VALUE"""),"{}")</f>
        <v>{}</v>
      </c>
      <c r="F471" s="148" t="str">
        <f>IFERROR(__xludf.DUMMYFUNCTION("""COMPUTED_VALUE"""),"{}")</f>
        <v>{}</v>
      </c>
      <c r="G471" s="148">
        <f>IFERROR(__xludf.DUMMYFUNCTION("""COMPUTED_VALUE"""),2.0)</f>
        <v>2</v>
      </c>
      <c r="H471" s="148">
        <f>IFERROR(__xludf.DUMMYFUNCTION("""COMPUTED_VALUE"""),10099.0)</f>
        <v>10099</v>
      </c>
      <c r="I471" s="148">
        <f>IFERROR(__xludf.DUMMYFUNCTION("""COMPUTED_VALUE"""),10099.0)</f>
        <v>10099</v>
      </c>
      <c r="J471" s="148">
        <f>IFERROR(__xludf.DUMMYFUNCTION("""COMPUTED_VALUE"""),0.0)</f>
        <v>0</v>
      </c>
      <c r="K471" s="148">
        <f>IFERROR(__xludf.DUMMYFUNCTION("""COMPUTED_VALUE"""),10.0)</f>
        <v>10</v>
      </c>
      <c r="L471" s="148">
        <f>IFERROR(__xludf.DUMMYFUNCTION("""COMPUTED_VALUE"""),50.0)</f>
        <v>50</v>
      </c>
      <c r="M471" s="148">
        <f>IFERROR(__xludf.DUMMYFUNCTION("""COMPUTED_VALUE"""),0.0)</f>
        <v>0</v>
      </c>
      <c r="N471" s="148" t="str">
        <f>IFERROR(__xludf.DUMMYFUNCTION("""COMPUTED_VALUE"""),"[]")</f>
        <v>[]</v>
      </c>
      <c r="O471" s="148" t="str">
        <f>IFERROR(__xludf.DUMMYFUNCTION("""COMPUTED_VALUE"""),"{}")</f>
        <v>{}</v>
      </c>
      <c r="P471" s="148">
        <f>IFERROR(__xludf.DUMMYFUNCTION("""COMPUTED_VALUE"""),0.0)</f>
        <v>0</v>
      </c>
      <c r="Q471" s="148" t="str">
        <f>IFERROR(__xludf.DUMMYFUNCTION("""COMPUTED_VALUE"""),"[]")</f>
        <v>[]</v>
      </c>
      <c r="R471" s="148" t="str">
        <f>IFERROR(__xludf.DUMMYFUNCTION("""COMPUTED_VALUE"""),"{}")</f>
        <v>{}</v>
      </c>
      <c r="S471" s="148">
        <f>IFERROR(__xludf.DUMMYFUNCTION("""COMPUTED_VALUE"""),0.0)</f>
        <v>0</v>
      </c>
      <c r="T471" s="148" t="str">
        <f>IFERROR(__xludf.DUMMYFUNCTION("""COMPUTED_VALUE"""),"[]")</f>
        <v>[]</v>
      </c>
      <c r="U471" s="148">
        <f>IFERROR(__xludf.DUMMYFUNCTION("""COMPUTED_VALUE"""),0.0)</f>
        <v>0</v>
      </c>
      <c r="V471" s="148" t="str">
        <f>IFERROR(__xludf.DUMMYFUNCTION("""COMPUTED_VALUE"""),"{}")</f>
        <v>{}</v>
      </c>
      <c r="W471" s="148" t="str">
        <f>IFERROR(__xludf.DUMMYFUNCTION("""COMPUTED_VALUE"""),"[]")</f>
        <v>[]</v>
      </c>
      <c r="X471" s="148" t="str">
        <f>IFERROR(__xludf.DUMMYFUNCTION("""COMPUTED_VALUE"""),"[{""typ"":""power"",""id"":12141002,""val"":4}]")</f>
        <v>[{"typ":"power","id":12141002,"val":4}]</v>
      </c>
      <c r="Y471" s="148" t="str">
        <f>IFERROR(__xludf.DUMMYFUNCTION("""COMPUTED_VALUE"""),"[{""typ"":""atk"",""val"":160},{""typ"":""def"",""val"":160},{""typ"":""hp"",""val"":160},{""typ"":""speed"",""val"":40},{""typ"":""load"",""val"":20},{""typ"":""backcoef"",""val"":0.5},{""typ"":""atkcoef"",""val"":1.0},{""typ"":""atkcd"",""val"":0}]")</f>
        <v>[{"typ":"atk","val":160},{"typ":"def","val":160},{"typ":"hp","val":160},{"typ":"speed","val":40},{"typ":"load","val":20},{"typ":"backcoef","val":0.5},{"typ":"atkcoef","val":1.0},{"typ":"atkcd","val":0}]</v>
      </c>
      <c r="Z471" s="148" t="str">
        <f>IFERROR(__xludf.DUMMYFUNCTION("""COMPUTED_VALUE"""),"[]")</f>
        <v>[]</v>
      </c>
    </row>
    <row r="472">
      <c r="A472" s="148">
        <f>IFERROR(__xludf.DUMMYFUNCTION("""COMPUTED_VALUE"""),1.1219609E7)</f>
        <v>11219609</v>
      </c>
      <c r="B472" s="148" t="str">
        <f>IFERROR(__xludf.DUMMYFUNCTION("""COMPUTED_VALUE"""),"重装出击-变异巨猿-T4")</f>
        <v>重装出击-变异巨猿-T4</v>
      </c>
      <c r="C472" s="148">
        <f>IFERROR(__xludf.DUMMYFUNCTION("""COMPUTED_VALUE"""),1.1221004E7)</f>
        <v>11221004</v>
      </c>
      <c r="D472" s="148">
        <f>IFERROR(__xludf.DUMMYFUNCTION("""COMPUTED_VALUE"""),1.5111315E7)</f>
        <v>15111315</v>
      </c>
      <c r="E472" s="148" t="str">
        <f>IFERROR(__xludf.DUMMYFUNCTION("""COMPUTED_VALUE"""),"{}")</f>
        <v>{}</v>
      </c>
      <c r="F472" s="148" t="str">
        <f>IFERROR(__xludf.DUMMYFUNCTION("""COMPUTED_VALUE"""),"{}")</f>
        <v>{}</v>
      </c>
      <c r="G472" s="148">
        <f>IFERROR(__xludf.DUMMYFUNCTION("""COMPUTED_VALUE"""),2.0)</f>
        <v>2</v>
      </c>
      <c r="H472" s="148">
        <f>IFERROR(__xludf.DUMMYFUNCTION("""COMPUTED_VALUE"""),10099.0)</f>
        <v>10099</v>
      </c>
      <c r="I472" s="148">
        <f>IFERROR(__xludf.DUMMYFUNCTION("""COMPUTED_VALUE"""),10099.0)</f>
        <v>10099</v>
      </c>
      <c r="J472" s="148">
        <f>IFERROR(__xludf.DUMMYFUNCTION("""COMPUTED_VALUE"""),0.0)</f>
        <v>0</v>
      </c>
      <c r="K472" s="148">
        <f>IFERROR(__xludf.DUMMYFUNCTION("""COMPUTED_VALUE"""),10.0)</f>
        <v>10</v>
      </c>
      <c r="L472" s="148">
        <f>IFERROR(__xludf.DUMMYFUNCTION("""COMPUTED_VALUE"""),50.0)</f>
        <v>50</v>
      </c>
      <c r="M472" s="148">
        <f>IFERROR(__xludf.DUMMYFUNCTION("""COMPUTED_VALUE"""),0.0)</f>
        <v>0</v>
      </c>
      <c r="N472" s="148" t="str">
        <f>IFERROR(__xludf.DUMMYFUNCTION("""COMPUTED_VALUE"""),"[]")</f>
        <v>[]</v>
      </c>
      <c r="O472" s="148" t="str">
        <f>IFERROR(__xludf.DUMMYFUNCTION("""COMPUTED_VALUE"""),"{}")</f>
        <v>{}</v>
      </c>
      <c r="P472" s="148">
        <f>IFERROR(__xludf.DUMMYFUNCTION("""COMPUTED_VALUE"""),0.0)</f>
        <v>0</v>
      </c>
      <c r="Q472" s="148" t="str">
        <f>IFERROR(__xludf.DUMMYFUNCTION("""COMPUTED_VALUE"""),"[]")</f>
        <v>[]</v>
      </c>
      <c r="R472" s="148" t="str">
        <f>IFERROR(__xludf.DUMMYFUNCTION("""COMPUTED_VALUE"""),"{}")</f>
        <v>{}</v>
      </c>
      <c r="S472" s="148">
        <f>IFERROR(__xludf.DUMMYFUNCTION("""COMPUTED_VALUE"""),0.0)</f>
        <v>0</v>
      </c>
      <c r="T472" s="148" t="str">
        <f>IFERROR(__xludf.DUMMYFUNCTION("""COMPUTED_VALUE"""),"[]")</f>
        <v>[]</v>
      </c>
      <c r="U472" s="148">
        <f>IFERROR(__xludf.DUMMYFUNCTION("""COMPUTED_VALUE"""),0.0)</f>
        <v>0</v>
      </c>
      <c r="V472" s="148" t="str">
        <f>IFERROR(__xludf.DUMMYFUNCTION("""COMPUTED_VALUE"""),"{}")</f>
        <v>{}</v>
      </c>
      <c r="W472" s="148" t="str">
        <f>IFERROR(__xludf.DUMMYFUNCTION("""COMPUTED_VALUE"""),"[]")</f>
        <v>[]</v>
      </c>
      <c r="X472" s="148" t="str">
        <f>IFERROR(__xludf.DUMMYFUNCTION("""COMPUTED_VALUE"""),"[{""typ"":""power"",""id"":12141002,""val"":6}]")</f>
        <v>[{"typ":"power","id":12141002,"val":6}]</v>
      </c>
      <c r="Y472" s="148" t="str">
        <f>IFERROR(__xludf.DUMMYFUNCTION("""COMPUTED_VALUE"""),"[{""typ"":""atk"",""val"":200},{""typ"":""def"",""val"":190},{""typ"":""hp"",""val"":180},{""typ"":""speed"",""val"":40},{""typ"":""load"",""val"":20},{""typ"":""backcoef"",""val"":0.5},{""typ"":""atkcoef"",""val"":1.0},{""typ"":""atkcd"",""val"":0}]")</f>
        <v>[{"typ":"atk","val":200},{"typ":"def","val":190},{"typ":"hp","val":180},{"typ":"speed","val":40},{"typ":"load","val":20},{"typ":"backcoef","val":0.5},{"typ":"atkcoef","val":1.0},{"typ":"atkcd","val":0}]</v>
      </c>
      <c r="Z472" s="148" t="str">
        <f>IFERROR(__xludf.DUMMYFUNCTION("""COMPUTED_VALUE"""),"[]")</f>
        <v>[]</v>
      </c>
    </row>
    <row r="473">
      <c r="A473" s="148">
        <f>IFERROR(__xludf.DUMMYFUNCTION("""COMPUTED_VALUE"""),1.121961E7)</f>
        <v>11219610</v>
      </c>
      <c r="B473" s="148" t="str">
        <f>IFERROR(__xludf.DUMMYFUNCTION("""COMPUTED_VALUE"""),"重装出击-变异巨猿-T5")</f>
        <v>重装出击-变异巨猿-T5</v>
      </c>
      <c r="C473" s="148">
        <f>IFERROR(__xludf.DUMMYFUNCTION("""COMPUTED_VALUE"""),1.1221004E7)</f>
        <v>11221004</v>
      </c>
      <c r="D473" s="148">
        <f>IFERROR(__xludf.DUMMYFUNCTION("""COMPUTED_VALUE"""),1.5111315E7)</f>
        <v>15111315</v>
      </c>
      <c r="E473" s="148" t="str">
        <f>IFERROR(__xludf.DUMMYFUNCTION("""COMPUTED_VALUE"""),"{}")</f>
        <v>{}</v>
      </c>
      <c r="F473" s="148" t="str">
        <f>IFERROR(__xludf.DUMMYFUNCTION("""COMPUTED_VALUE"""),"{}")</f>
        <v>{}</v>
      </c>
      <c r="G473" s="148">
        <f>IFERROR(__xludf.DUMMYFUNCTION("""COMPUTED_VALUE"""),2.0)</f>
        <v>2</v>
      </c>
      <c r="H473" s="148">
        <f>IFERROR(__xludf.DUMMYFUNCTION("""COMPUTED_VALUE"""),10099.0)</f>
        <v>10099</v>
      </c>
      <c r="I473" s="148">
        <f>IFERROR(__xludf.DUMMYFUNCTION("""COMPUTED_VALUE"""),10099.0)</f>
        <v>10099</v>
      </c>
      <c r="J473" s="148">
        <f>IFERROR(__xludf.DUMMYFUNCTION("""COMPUTED_VALUE"""),0.0)</f>
        <v>0</v>
      </c>
      <c r="K473" s="148">
        <f>IFERROR(__xludf.DUMMYFUNCTION("""COMPUTED_VALUE"""),10.0)</f>
        <v>10</v>
      </c>
      <c r="L473" s="148">
        <f>IFERROR(__xludf.DUMMYFUNCTION("""COMPUTED_VALUE"""),50.0)</f>
        <v>50</v>
      </c>
      <c r="M473" s="148">
        <f>IFERROR(__xludf.DUMMYFUNCTION("""COMPUTED_VALUE"""),0.0)</f>
        <v>0</v>
      </c>
      <c r="N473" s="148" t="str">
        <f>IFERROR(__xludf.DUMMYFUNCTION("""COMPUTED_VALUE"""),"[]")</f>
        <v>[]</v>
      </c>
      <c r="O473" s="148" t="str">
        <f>IFERROR(__xludf.DUMMYFUNCTION("""COMPUTED_VALUE"""),"{}")</f>
        <v>{}</v>
      </c>
      <c r="P473" s="148">
        <f>IFERROR(__xludf.DUMMYFUNCTION("""COMPUTED_VALUE"""),0.0)</f>
        <v>0</v>
      </c>
      <c r="Q473" s="148" t="str">
        <f>IFERROR(__xludf.DUMMYFUNCTION("""COMPUTED_VALUE"""),"[]")</f>
        <v>[]</v>
      </c>
      <c r="R473" s="148" t="str">
        <f>IFERROR(__xludf.DUMMYFUNCTION("""COMPUTED_VALUE"""),"{}")</f>
        <v>{}</v>
      </c>
      <c r="S473" s="148">
        <f>IFERROR(__xludf.DUMMYFUNCTION("""COMPUTED_VALUE"""),0.0)</f>
        <v>0</v>
      </c>
      <c r="T473" s="148" t="str">
        <f>IFERROR(__xludf.DUMMYFUNCTION("""COMPUTED_VALUE"""),"[]")</f>
        <v>[]</v>
      </c>
      <c r="U473" s="148">
        <f>IFERROR(__xludf.DUMMYFUNCTION("""COMPUTED_VALUE"""),0.0)</f>
        <v>0</v>
      </c>
      <c r="V473" s="148" t="str">
        <f>IFERROR(__xludf.DUMMYFUNCTION("""COMPUTED_VALUE"""),"{}")</f>
        <v>{}</v>
      </c>
      <c r="W473" s="148" t="str">
        <f>IFERROR(__xludf.DUMMYFUNCTION("""COMPUTED_VALUE"""),"[]")</f>
        <v>[]</v>
      </c>
      <c r="X473" s="148" t="str">
        <f>IFERROR(__xludf.DUMMYFUNCTION("""COMPUTED_VALUE"""),"[{""typ"":""power"",""id"":12141002,""val"":10}]")</f>
        <v>[{"typ":"power","id":12141002,"val":10}]</v>
      </c>
      <c r="Y473" s="148" t="str">
        <f>IFERROR(__xludf.DUMMYFUNCTION("""COMPUTED_VALUE"""),"[{""typ"":""atk"",""val"":230},{""typ"":""def"",""val"":210},{""typ"":""hp"",""val"":210},{""typ"":""speed"",""val"":40},{""typ"":""load"",""val"":20},{""typ"":""backcoef"",""val"":0.5},{""typ"":""atkcoef"",""val"":1.0},{""typ"":""atkcd"",""val"":0}]")</f>
        <v>[{"typ":"atk","val":230},{"typ":"def","val":210},{"typ":"hp","val":210},{"typ":"speed","val":40},{"typ":"load","val":20},{"typ":"backcoef","val":0.5},{"typ":"atkcoef","val":1.0},{"typ":"atkcd","val":0}]</v>
      </c>
      <c r="Z473" s="148" t="str">
        <f>IFERROR(__xludf.DUMMYFUNCTION("""COMPUTED_VALUE"""),"[]")</f>
        <v>[]</v>
      </c>
    </row>
    <row r="474">
      <c r="A474" s="148">
        <f>IFERROR(__xludf.DUMMYFUNCTION("""COMPUTED_VALUE"""),1.1219611E7)</f>
        <v>11219611</v>
      </c>
      <c r="B474" s="148" t="str">
        <f>IFERROR(__xludf.DUMMYFUNCTION("""COMPUTED_VALUE"""),"重装出击-变异投矛手-T1")</f>
        <v>重装出击-变异投矛手-T1</v>
      </c>
      <c r="C474" s="148">
        <f>IFERROR(__xludf.DUMMYFUNCTION("""COMPUTED_VALUE"""),1.1221004E7)</f>
        <v>11221004</v>
      </c>
      <c r="D474" s="148">
        <f>IFERROR(__xludf.DUMMYFUNCTION("""COMPUTED_VALUE"""),1.5114052E7)</f>
        <v>15114052</v>
      </c>
      <c r="E474" s="148" t="str">
        <f>IFERROR(__xludf.DUMMYFUNCTION("""COMPUTED_VALUE"""),"{}")</f>
        <v>{}</v>
      </c>
      <c r="F474" s="148" t="str">
        <f>IFERROR(__xludf.DUMMYFUNCTION("""COMPUTED_VALUE"""),"{}")</f>
        <v>{}</v>
      </c>
      <c r="G474" s="148">
        <f>IFERROR(__xludf.DUMMYFUNCTION("""COMPUTED_VALUE"""),2.0)</f>
        <v>2</v>
      </c>
      <c r="H474" s="148">
        <f>IFERROR(__xludf.DUMMYFUNCTION("""COMPUTED_VALUE"""),10099.0)</f>
        <v>10099</v>
      </c>
      <c r="I474" s="148">
        <f>IFERROR(__xludf.DUMMYFUNCTION("""COMPUTED_VALUE"""),10099.0)</f>
        <v>10099</v>
      </c>
      <c r="J474" s="148">
        <f>IFERROR(__xludf.DUMMYFUNCTION("""COMPUTED_VALUE"""),0.0)</f>
        <v>0</v>
      </c>
      <c r="K474" s="148">
        <f>IFERROR(__xludf.DUMMYFUNCTION("""COMPUTED_VALUE"""),10.0)</f>
        <v>10</v>
      </c>
      <c r="L474" s="148">
        <f>IFERROR(__xludf.DUMMYFUNCTION("""COMPUTED_VALUE"""),50.0)</f>
        <v>50</v>
      </c>
      <c r="M474" s="148">
        <f>IFERROR(__xludf.DUMMYFUNCTION("""COMPUTED_VALUE"""),0.0)</f>
        <v>0</v>
      </c>
      <c r="N474" s="148" t="str">
        <f>IFERROR(__xludf.DUMMYFUNCTION("""COMPUTED_VALUE"""),"[]")</f>
        <v>[]</v>
      </c>
      <c r="O474" s="148" t="str">
        <f>IFERROR(__xludf.DUMMYFUNCTION("""COMPUTED_VALUE"""),"{}")</f>
        <v>{}</v>
      </c>
      <c r="P474" s="148">
        <f>IFERROR(__xludf.DUMMYFUNCTION("""COMPUTED_VALUE"""),0.0)</f>
        <v>0</v>
      </c>
      <c r="Q474" s="148" t="str">
        <f>IFERROR(__xludf.DUMMYFUNCTION("""COMPUTED_VALUE"""),"[]")</f>
        <v>[]</v>
      </c>
      <c r="R474" s="148" t="str">
        <f>IFERROR(__xludf.DUMMYFUNCTION("""COMPUTED_VALUE"""),"{}")</f>
        <v>{}</v>
      </c>
      <c r="S474" s="148">
        <f>IFERROR(__xludf.DUMMYFUNCTION("""COMPUTED_VALUE"""),0.0)</f>
        <v>0</v>
      </c>
      <c r="T474" s="148" t="str">
        <f>IFERROR(__xludf.DUMMYFUNCTION("""COMPUTED_VALUE"""),"[]")</f>
        <v>[]</v>
      </c>
      <c r="U474" s="148">
        <f>IFERROR(__xludf.DUMMYFUNCTION("""COMPUTED_VALUE"""),0.0)</f>
        <v>0</v>
      </c>
      <c r="V474" s="148" t="str">
        <f>IFERROR(__xludf.DUMMYFUNCTION("""COMPUTED_VALUE"""),"{}")</f>
        <v>{}</v>
      </c>
      <c r="W474" s="148" t="str">
        <f>IFERROR(__xludf.DUMMYFUNCTION("""COMPUTED_VALUE"""),"[]")</f>
        <v>[]</v>
      </c>
      <c r="X474" s="148" t="str">
        <f>IFERROR(__xludf.DUMMYFUNCTION("""COMPUTED_VALUE"""),"[{""typ"":""power"",""id"":12141002,""val"":1}]")</f>
        <v>[{"typ":"power","id":12141002,"val":1}]</v>
      </c>
      <c r="Y474" s="148" t="str">
        <f>IFERROR(__xludf.DUMMYFUNCTION("""COMPUTED_VALUE"""),"[{""typ"":""atk"",""val"":60},{""typ"":""def"",""val"":125},{""typ"":""hp"",""val"":120},{""typ"":""speed"",""val"":40},{""typ"":""load"",""val"":20},{""typ"":""backcoef"",""val"":0.5},{""typ"":""atkcoef"",""val"":1.0},{""typ"":""atkcd"",""val"":0}]")</f>
        <v>[{"typ":"atk","val":60},{"typ":"def","val":125},{"typ":"hp","val":120},{"typ":"speed","val":40},{"typ":"load","val":20},{"typ":"backcoef","val":0.5},{"typ":"atkcoef","val":1.0},{"typ":"atkcd","val":0}]</v>
      </c>
      <c r="Z474" s="148" t="str">
        <f>IFERROR(__xludf.DUMMYFUNCTION("""COMPUTED_VALUE"""),"[]")</f>
        <v>[]</v>
      </c>
    </row>
    <row r="475">
      <c r="A475" s="148">
        <f>IFERROR(__xludf.DUMMYFUNCTION("""COMPUTED_VALUE"""),1.1219612E7)</f>
        <v>11219612</v>
      </c>
      <c r="B475" s="148" t="str">
        <f>IFERROR(__xludf.DUMMYFUNCTION("""COMPUTED_VALUE"""),"重装出击-变异投矛手-T2")</f>
        <v>重装出击-变异投矛手-T2</v>
      </c>
      <c r="C475" s="148">
        <f>IFERROR(__xludf.DUMMYFUNCTION("""COMPUTED_VALUE"""),1.1221004E7)</f>
        <v>11221004</v>
      </c>
      <c r="D475" s="148">
        <f>IFERROR(__xludf.DUMMYFUNCTION("""COMPUTED_VALUE"""),1.5114052E7)</f>
        <v>15114052</v>
      </c>
      <c r="E475" s="148" t="str">
        <f>IFERROR(__xludf.DUMMYFUNCTION("""COMPUTED_VALUE"""),"{}")</f>
        <v>{}</v>
      </c>
      <c r="F475" s="148" t="str">
        <f>IFERROR(__xludf.DUMMYFUNCTION("""COMPUTED_VALUE"""),"{}")</f>
        <v>{}</v>
      </c>
      <c r="G475" s="148">
        <f>IFERROR(__xludf.DUMMYFUNCTION("""COMPUTED_VALUE"""),2.0)</f>
        <v>2</v>
      </c>
      <c r="H475" s="148">
        <f>IFERROR(__xludf.DUMMYFUNCTION("""COMPUTED_VALUE"""),10099.0)</f>
        <v>10099</v>
      </c>
      <c r="I475" s="148">
        <f>IFERROR(__xludf.DUMMYFUNCTION("""COMPUTED_VALUE"""),10099.0)</f>
        <v>10099</v>
      </c>
      <c r="J475" s="148">
        <f>IFERROR(__xludf.DUMMYFUNCTION("""COMPUTED_VALUE"""),0.0)</f>
        <v>0</v>
      </c>
      <c r="K475" s="148">
        <f>IFERROR(__xludf.DUMMYFUNCTION("""COMPUTED_VALUE"""),10.0)</f>
        <v>10</v>
      </c>
      <c r="L475" s="148">
        <f>IFERROR(__xludf.DUMMYFUNCTION("""COMPUTED_VALUE"""),50.0)</f>
        <v>50</v>
      </c>
      <c r="M475" s="148">
        <f>IFERROR(__xludf.DUMMYFUNCTION("""COMPUTED_VALUE"""),0.0)</f>
        <v>0</v>
      </c>
      <c r="N475" s="148" t="str">
        <f>IFERROR(__xludf.DUMMYFUNCTION("""COMPUTED_VALUE"""),"[]")</f>
        <v>[]</v>
      </c>
      <c r="O475" s="148" t="str">
        <f>IFERROR(__xludf.DUMMYFUNCTION("""COMPUTED_VALUE"""),"{}")</f>
        <v>{}</v>
      </c>
      <c r="P475" s="148">
        <f>IFERROR(__xludf.DUMMYFUNCTION("""COMPUTED_VALUE"""),0.0)</f>
        <v>0</v>
      </c>
      <c r="Q475" s="148" t="str">
        <f>IFERROR(__xludf.DUMMYFUNCTION("""COMPUTED_VALUE"""),"[]")</f>
        <v>[]</v>
      </c>
      <c r="R475" s="148" t="str">
        <f>IFERROR(__xludf.DUMMYFUNCTION("""COMPUTED_VALUE"""),"{}")</f>
        <v>{}</v>
      </c>
      <c r="S475" s="148">
        <f>IFERROR(__xludf.DUMMYFUNCTION("""COMPUTED_VALUE"""),0.0)</f>
        <v>0</v>
      </c>
      <c r="T475" s="148" t="str">
        <f>IFERROR(__xludf.DUMMYFUNCTION("""COMPUTED_VALUE"""),"[]")</f>
        <v>[]</v>
      </c>
      <c r="U475" s="148">
        <f>IFERROR(__xludf.DUMMYFUNCTION("""COMPUTED_VALUE"""),0.0)</f>
        <v>0</v>
      </c>
      <c r="V475" s="148" t="str">
        <f>IFERROR(__xludf.DUMMYFUNCTION("""COMPUTED_VALUE"""),"{}")</f>
        <v>{}</v>
      </c>
      <c r="W475" s="148" t="str">
        <f>IFERROR(__xludf.DUMMYFUNCTION("""COMPUTED_VALUE"""),"[]")</f>
        <v>[]</v>
      </c>
      <c r="X475" s="148" t="str">
        <f>IFERROR(__xludf.DUMMYFUNCTION("""COMPUTED_VALUE"""),"[{""typ"":""power"",""id"":12141002,""val"":2}]")</f>
        <v>[{"typ":"power","id":12141002,"val":2}]</v>
      </c>
      <c r="Y475" s="148" t="str">
        <f>IFERROR(__xludf.DUMMYFUNCTION("""COMPUTED_VALUE"""),"[{""typ"":""atk"",""val"":120},{""typ"":""def"",""val"":130},{""typ"":""hp"",""val"":130},{""typ"":""speed"",""val"":40},{""typ"":""load"",""val"":20},{""typ"":""backcoef"",""val"":0.5},{""typ"":""atkcoef"",""val"":1.0},{""typ"":""atkcd"",""val"":0}]")</f>
        <v>[{"typ":"atk","val":120},{"typ":"def","val":130},{"typ":"hp","val":130},{"typ":"speed","val":40},{"typ":"load","val":20},{"typ":"backcoef","val":0.5},{"typ":"atkcoef","val":1.0},{"typ":"atkcd","val":0}]</v>
      </c>
      <c r="Z475" s="148" t="str">
        <f>IFERROR(__xludf.DUMMYFUNCTION("""COMPUTED_VALUE"""),"[]")</f>
        <v>[]</v>
      </c>
    </row>
    <row r="476">
      <c r="A476" s="148">
        <f>IFERROR(__xludf.DUMMYFUNCTION("""COMPUTED_VALUE"""),1.1219613E7)</f>
        <v>11219613</v>
      </c>
      <c r="B476" s="148" t="str">
        <f>IFERROR(__xludf.DUMMYFUNCTION("""COMPUTED_VALUE"""),"重装出击-变异投矛手-T3")</f>
        <v>重装出击-变异投矛手-T3</v>
      </c>
      <c r="C476" s="148">
        <f>IFERROR(__xludf.DUMMYFUNCTION("""COMPUTED_VALUE"""),1.1221004E7)</f>
        <v>11221004</v>
      </c>
      <c r="D476" s="148">
        <f>IFERROR(__xludf.DUMMYFUNCTION("""COMPUTED_VALUE"""),1.5114052E7)</f>
        <v>15114052</v>
      </c>
      <c r="E476" s="148" t="str">
        <f>IFERROR(__xludf.DUMMYFUNCTION("""COMPUTED_VALUE"""),"{}")</f>
        <v>{}</v>
      </c>
      <c r="F476" s="148" t="str">
        <f>IFERROR(__xludf.DUMMYFUNCTION("""COMPUTED_VALUE"""),"{}")</f>
        <v>{}</v>
      </c>
      <c r="G476" s="148">
        <f>IFERROR(__xludf.DUMMYFUNCTION("""COMPUTED_VALUE"""),2.0)</f>
        <v>2</v>
      </c>
      <c r="H476" s="148">
        <f>IFERROR(__xludf.DUMMYFUNCTION("""COMPUTED_VALUE"""),10099.0)</f>
        <v>10099</v>
      </c>
      <c r="I476" s="148">
        <f>IFERROR(__xludf.DUMMYFUNCTION("""COMPUTED_VALUE"""),10099.0)</f>
        <v>10099</v>
      </c>
      <c r="J476" s="148">
        <f>IFERROR(__xludf.DUMMYFUNCTION("""COMPUTED_VALUE"""),0.0)</f>
        <v>0</v>
      </c>
      <c r="K476" s="148">
        <f>IFERROR(__xludf.DUMMYFUNCTION("""COMPUTED_VALUE"""),10.0)</f>
        <v>10</v>
      </c>
      <c r="L476" s="148">
        <f>IFERROR(__xludf.DUMMYFUNCTION("""COMPUTED_VALUE"""),50.0)</f>
        <v>50</v>
      </c>
      <c r="M476" s="148">
        <f>IFERROR(__xludf.DUMMYFUNCTION("""COMPUTED_VALUE"""),0.0)</f>
        <v>0</v>
      </c>
      <c r="N476" s="148" t="str">
        <f>IFERROR(__xludf.DUMMYFUNCTION("""COMPUTED_VALUE"""),"[]")</f>
        <v>[]</v>
      </c>
      <c r="O476" s="148" t="str">
        <f>IFERROR(__xludf.DUMMYFUNCTION("""COMPUTED_VALUE"""),"{}")</f>
        <v>{}</v>
      </c>
      <c r="P476" s="148">
        <f>IFERROR(__xludf.DUMMYFUNCTION("""COMPUTED_VALUE"""),0.0)</f>
        <v>0</v>
      </c>
      <c r="Q476" s="148" t="str">
        <f>IFERROR(__xludf.DUMMYFUNCTION("""COMPUTED_VALUE"""),"[]")</f>
        <v>[]</v>
      </c>
      <c r="R476" s="148" t="str">
        <f>IFERROR(__xludf.DUMMYFUNCTION("""COMPUTED_VALUE"""),"{}")</f>
        <v>{}</v>
      </c>
      <c r="S476" s="148">
        <f>IFERROR(__xludf.DUMMYFUNCTION("""COMPUTED_VALUE"""),0.0)</f>
        <v>0</v>
      </c>
      <c r="T476" s="148" t="str">
        <f>IFERROR(__xludf.DUMMYFUNCTION("""COMPUTED_VALUE"""),"[]")</f>
        <v>[]</v>
      </c>
      <c r="U476" s="148">
        <f>IFERROR(__xludf.DUMMYFUNCTION("""COMPUTED_VALUE"""),0.0)</f>
        <v>0</v>
      </c>
      <c r="V476" s="148" t="str">
        <f>IFERROR(__xludf.DUMMYFUNCTION("""COMPUTED_VALUE"""),"{}")</f>
        <v>{}</v>
      </c>
      <c r="W476" s="148" t="str">
        <f>IFERROR(__xludf.DUMMYFUNCTION("""COMPUTED_VALUE"""),"[]")</f>
        <v>[]</v>
      </c>
      <c r="X476" s="148" t="str">
        <f>IFERROR(__xludf.DUMMYFUNCTION("""COMPUTED_VALUE"""),"[{""typ"":""power"",""id"":12141002,""val"":4}]")</f>
        <v>[{"typ":"power","id":12141002,"val":4}]</v>
      </c>
      <c r="Y476" s="148" t="str">
        <f>IFERROR(__xludf.DUMMYFUNCTION("""COMPUTED_VALUE"""),"[{""typ"":""atk"",""val"":160},{""typ"":""def"",""val"":160},{""typ"":""hp"",""val"":160},{""typ"":""speed"",""val"":40},{""typ"":""load"",""val"":20},{""typ"":""backcoef"",""val"":0.5},{""typ"":""atkcoef"",""val"":1.0},{""typ"":""atkcd"",""val"":0}]")</f>
        <v>[{"typ":"atk","val":160},{"typ":"def","val":160},{"typ":"hp","val":160},{"typ":"speed","val":40},{"typ":"load","val":20},{"typ":"backcoef","val":0.5},{"typ":"atkcoef","val":1.0},{"typ":"atkcd","val":0}]</v>
      </c>
      <c r="Z476" s="148" t="str">
        <f>IFERROR(__xludf.DUMMYFUNCTION("""COMPUTED_VALUE"""),"[]")</f>
        <v>[]</v>
      </c>
    </row>
    <row r="477">
      <c r="A477" s="148">
        <f>IFERROR(__xludf.DUMMYFUNCTION("""COMPUTED_VALUE"""),1.1219614E7)</f>
        <v>11219614</v>
      </c>
      <c r="B477" s="148" t="str">
        <f>IFERROR(__xludf.DUMMYFUNCTION("""COMPUTED_VALUE"""),"重装出击-变异投矛手-T4")</f>
        <v>重装出击-变异投矛手-T4</v>
      </c>
      <c r="C477" s="148">
        <f>IFERROR(__xludf.DUMMYFUNCTION("""COMPUTED_VALUE"""),1.1221004E7)</f>
        <v>11221004</v>
      </c>
      <c r="D477" s="148">
        <f>IFERROR(__xludf.DUMMYFUNCTION("""COMPUTED_VALUE"""),1.5114052E7)</f>
        <v>15114052</v>
      </c>
      <c r="E477" s="148" t="str">
        <f>IFERROR(__xludf.DUMMYFUNCTION("""COMPUTED_VALUE"""),"{}")</f>
        <v>{}</v>
      </c>
      <c r="F477" s="148" t="str">
        <f>IFERROR(__xludf.DUMMYFUNCTION("""COMPUTED_VALUE"""),"{}")</f>
        <v>{}</v>
      </c>
      <c r="G477" s="148">
        <f>IFERROR(__xludf.DUMMYFUNCTION("""COMPUTED_VALUE"""),2.0)</f>
        <v>2</v>
      </c>
      <c r="H477" s="148">
        <f>IFERROR(__xludf.DUMMYFUNCTION("""COMPUTED_VALUE"""),10099.0)</f>
        <v>10099</v>
      </c>
      <c r="I477" s="148">
        <f>IFERROR(__xludf.DUMMYFUNCTION("""COMPUTED_VALUE"""),10099.0)</f>
        <v>10099</v>
      </c>
      <c r="J477" s="148">
        <f>IFERROR(__xludf.DUMMYFUNCTION("""COMPUTED_VALUE"""),0.0)</f>
        <v>0</v>
      </c>
      <c r="K477" s="148">
        <f>IFERROR(__xludf.DUMMYFUNCTION("""COMPUTED_VALUE"""),10.0)</f>
        <v>10</v>
      </c>
      <c r="L477" s="148">
        <f>IFERROR(__xludf.DUMMYFUNCTION("""COMPUTED_VALUE"""),50.0)</f>
        <v>50</v>
      </c>
      <c r="M477" s="148">
        <f>IFERROR(__xludf.DUMMYFUNCTION("""COMPUTED_VALUE"""),0.0)</f>
        <v>0</v>
      </c>
      <c r="N477" s="148" t="str">
        <f>IFERROR(__xludf.DUMMYFUNCTION("""COMPUTED_VALUE"""),"[]")</f>
        <v>[]</v>
      </c>
      <c r="O477" s="148" t="str">
        <f>IFERROR(__xludf.DUMMYFUNCTION("""COMPUTED_VALUE"""),"{}")</f>
        <v>{}</v>
      </c>
      <c r="P477" s="148">
        <f>IFERROR(__xludf.DUMMYFUNCTION("""COMPUTED_VALUE"""),0.0)</f>
        <v>0</v>
      </c>
      <c r="Q477" s="148" t="str">
        <f>IFERROR(__xludf.DUMMYFUNCTION("""COMPUTED_VALUE"""),"[]")</f>
        <v>[]</v>
      </c>
      <c r="R477" s="148" t="str">
        <f>IFERROR(__xludf.DUMMYFUNCTION("""COMPUTED_VALUE"""),"{}")</f>
        <v>{}</v>
      </c>
      <c r="S477" s="148">
        <f>IFERROR(__xludf.DUMMYFUNCTION("""COMPUTED_VALUE"""),0.0)</f>
        <v>0</v>
      </c>
      <c r="T477" s="148" t="str">
        <f>IFERROR(__xludf.DUMMYFUNCTION("""COMPUTED_VALUE"""),"[]")</f>
        <v>[]</v>
      </c>
      <c r="U477" s="148">
        <f>IFERROR(__xludf.DUMMYFUNCTION("""COMPUTED_VALUE"""),0.0)</f>
        <v>0</v>
      </c>
      <c r="V477" s="148" t="str">
        <f>IFERROR(__xludf.DUMMYFUNCTION("""COMPUTED_VALUE"""),"{}")</f>
        <v>{}</v>
      </c>
      <c r="W477" s="148" t="str">
        <f>IFERROR(__xludf.DUMMYFUNCTION("""COMPUTED_VALUE"""),"[]")</f>
        <v>[]</v>
      </c>
      <c r="X477" s="148" t="str">
        <f>IFERROR(__xludf.DUMMYFUNCTION("""COMPUTED_VALUE"""),"[{""typ"":""power"",""id"":12141002,""val"":6}]")</f>
        <v>[{"typ":"power","id":12141002,"val":6}]</v>
      </c>
      <c r="Y477" s="148" t="str">
        <f>IFERROR(__xludf.DUMMYFUNCTION("""COMPUTED_VALUE"""),"[{""typ"":""atk"",""val"":200},{""typ"":""def"",""val"":190},{""typ"":""hp"",""val"":180},{""typ"":""speed"",""val"":40},{""typ"":""load"",""val"":20},{""typ"":""backcoef"",""val"":0.5},{""typ"":""atkcoef"",""val"":1.0},{""typ"":""atkcd"",""val"":0}]")</f>
        <v>[{"typ":"atk","val":200},{"typ":"def","val":190},{"typ":"hp","val":180},{"typ":"speed","val":40},{"typ":"load","val":20},{"typ":"backcoef","val":0.5},{"typ":"atkcoef","val":1.0},{"typ":"atkcd","val":0}]</v>
      </c>
      <c r="Z477" s="148" t="str">
        <f>IFERROR(__xludf.DUMMYFUNCTION("""COMPUTED_VALUE"""),"[]")</f>
        <v>[]</v>
      </c>
    </row>
    <row r="478">
      <c r="A478" s="148">
        <f>IFERROR(__xludf.DUMMYFUNCTION("""COMPUTED_VALUE"""),1.1219615E7)</f>
        <v>11219615</v>
      </c>
      <c r="B478" s="148" t="str">
        <f>IFERROR(__xludf.DUMMYFUNCTION("""COMPUTED_VALUE"""),"重装出击-变异投矛手-T5")</f>
        <v>重装出击-变异投矛手-T5</v>
      </c>
      <c r="C478" s="148">
        <f>IFERROR(__xludf.DUMMYFUNCTION("""COMPUTED_VALUE"""),1.1221004E7)</f>
        <v>11221004</v>
      </c>
      <c r="D478" s="148">
        <f>IFERROR(__xludf.DUMMYFUNCTION("""COMPUTED_VALUE"""),1.5114052E7)</f>
        <v>15114052</v>
      </c>
      <c r="E478" s="148" t="str">
        <f>IFERROR(__xludf.DUMMYFUNCTION("""COMPUTED_VALUE"""),"{}")</f>
        <v>{}</v>
      </c>
      <c r="F478" s="148" t="str">
        <f>IFERROR(__xludf.DUMMYFUNCTION("""COMPUTED_VALUE"""),"{}")</f>
        <v>{}</v>
      </c>
      <c r="G478" s="148">
        <f>IFERROR(__xludf.DUMMYFUNCTION("""COMPUTED_VALUE"""),2.0)</f>
        <v>2</v>
      </c>
      <c r="H478" s="148">
        <f>IFERROR(__xludf.DUMMYFUNCTION("""COMPUTED_VALUE"""),10099.0)</f>
        <v>10099</v>
      </c>
      <c r="I478" s="148">
        <f>IFERROR(__xludf.DUMMYFUNCTION("""COMPUTED_VALUE"""),10099.0)</f>
        <v>10099</v>
      </c>
      <c r="J478" s="148">
        <f>IFERROR(__xludf.DUMMYFUNCTION("""COMPUTED_VALUE"""),0.0)</f>
        <v>0</v>
      </c>
      <c r="K478" s="148">
        <f>IFERROR(__xludf.DUMMYFUNCTION("""COMPUTED_VALUE"""),10.0)</f>
        <v>10</v>
      </c>
      <c r="L478" s="148">
        <f>IFERROR(__xludf.DUMMYFUNCTION("""COMPUTED_VALUE"""),50.0)</f>
        <v>50</v>
      </c>
      <c r="M478" s="148">
        <f>IFERROR(__xludf.DUMMYFUNCTION("""COMPUTED_VALUE"""),0.0)</f>
        <v>0</v>
      </c>
      <c r="N478" s="148" t="str">
        <f>IFERROR(__xludf.DUMMYFUNCTION("""COMPUTED_VALUE"""),"[]")</f>
        <v>[]</v>
      </c>
      <c r="O478" s="148" t="str">
        <f>IFERROR(__xludf.DUMMYFUNCTION("""COMPUTED_VALUE"""),"{}")</f>
        <v>{}</v>
      </c>
      <c r="P478" s="148">
        <f>IFERROR(__xludf.DUMMYFUNCTION("""COMPUTED_VALUE"""),0.0)</f>
        <v>0</v>
      </c>
      <c r="Q478" s="148" t="str">
        <f>IFERROR(__xludf.DUMMYFUNCTION("""COMPUTED_VALUE"""),"[]")</f>
        <v>[]</v>
      </c>
      <c r="R478" s="148" t="str">
        <f>IFERROR(__xludf.DUMMYFUNCTION("""COMPUTED_VALUE"""),"{}")</f>
        <v>{}</v>
      </c>
      <c r="S478" s="148">
        <f>IFERROR(__xludf.DUMMYFUNCTION("""COMPUTED_VALUE"""),0.0)</f>
        <v>0</v>
      </c>
      <c r="T478" s="148" t="str">
        <f>IFERROR(__xludf.DUMMYFUNCTION("""COMPUTED_VALUE"""),"[]")</f>
        <v>[]</v>
      </c>
      <c r="U478" s="148">
        <f>IFERROR(__xludf.DUMMYFUNCTION("""COMPUTED_VALUE"""),0.0)</f>
        <v>0</v>
      </c>
      <c r="V478" s="148" t="str">
        <f>IFERROR(__xludf.DUMMYFUNCTION("""COMPUTED_VALUE"""),"{}")</f>
        <v>{}</v>
      </c>
      <c r="W478" s="148" t="str">
        <f>IFERROR(__xludf.DUMMYFUNCTION("""COMPUTED_VALUE"""),"[]")</f>
        <v>[]</v>
      </c>
      <c r="X478" s="148" t="str">
        <f>IFERROR(__xludf.DUMMYFUNCTION("""COMPUTED_VALUE"""),"[{""typ"":""power"",""id"":12141002,""val"":10}]")</f>
        <v>[{"typ":"power","id":12141002,"val":10}]</v>
      </c>
      <c r="Y478" s="148" t="str">
        <f>IFERROR(__xludf.DUMMYFUNCTION("""COMPUTED_VALUE"""),"[{""typ"":""atk"",""val"":230},{""typ"":""def"",""val"":210},{""typ"":""hp"",""val"":210},{""typ"":""speed"",""val"":40},{""typ"":""load"",""val"":20},{""typ"":""backcoef"",""val"":0.5},{""typ"":""atkcoef"",""val"":1.0},{""typ"":""atkcd"",""val"":0}]")</f>
        <v>[{"typ":"atk","val":230},{"typ":"def","val":210},{"typ":"hp","val":210},{"typ":"speed","val":40},{"typ":"load","val":20},{"typ":"backcoef","val":0.5},{"typ":"atkcoef","val":1.0},{"typ":"atkcd","val":0}]</v>
      </c>
      <c r="Z478" s="148" t="str">
        <f>IFERROR(__xludf.DUMMYFUNCTION("""COMPUTED_VALUE"""),"[]")</f>
        <v>[]</v>
      </c>
    </row>
    <row r="479">
      <c r="A479" s="148">
        <f>IFERROR(__xludf.DUMMYFUNCTION("""COMPUTED_VALUE"""),1.1219616E7)</f>
        <v>11219616</v>
      </c>
      <c r="B479" s="148" t="str">
        <f>IFERROR(__xludf.DUMMYFUNCTION("""COMPUTED_VALUE"""),"重装出击-变异猴队长-T1")</f>
        <v>重装出击-变异猴队长-T1</v>
      </c>
      <c r="C479" s="148">
        <f>IFERROR(__xludf.DUMMYFUNCTION("""COMPUTED_VALUE"""),1.1221004E7)</f>
        <v>11221004</v>
      </c>
      <c r="D479" s="148">
        <f>IFERROR(__xludf.DUMMYFUNCTION("""COMPUTED_VALUE"""),1.5111043E7)</f>
        <v>15111043</v>
      </c>
      <c r="E479" s="148" t="str">
        <f>IFERROR(__xludf.DUMMYFUNCTION("""COMPUTED_VALUE"""),"{}")</f>
        <v>{}</v>
      </c>
      <c r="F479" s="148" t="str">
        <f>IFERROR(__xludf.DUMMYFUNCTION("""COMPUTED_VALUE"""),"{}")</f>
        <v>{}</v>
      </c>
      <c r="G479" s="148">
        <f>IFERROR(__xludf.DUMMYFUNCTION("""COMPUTED_VALUE"""),2.0)</f>
        <v>2</v>
      </c>
      <c r="H479" s="148">
        <f>IFERROR(__xludf.DUMMYFUNCTION("""COMPUTED_VALUE"""),10099.0)</f>
        <v>10099</v>
      </c>
      <c r="I479" s="148">
        <f>IFERROR(__xludf.DUMMYFUNCTION("""COMPUTED_VALUE"""),10099.0)</f>
        <v>10099</v>
      </c>
      <c r="J479" s="148">
        <f>IFERROR(__xludf.DUMMYFUNCTION("""COMPUTED_VALUE"""),0.0)</f>
        <v>0</v>
      </c>
      <c r="K479" s="148">
        <f>IFERROR(__xludf.DUMMYFUNCTION("""COMPUTED_VALUE"""),10.0)</f>
        <v>10</v>
      </c>
      <c r="L479" s="148">
        <f>IFERROR(__xludf.DUMMYFUNCTION("""COMPUTED_VALUE"""),50.0)</f>
        <v>50</v>
      </c>
      <c r="M479" s="148">
        <f>IFERROR(__xludf.DUMMYFUNCTION("""COMPUTED_VALUE"""),0.0)</f>
        <v>0</v>
      </c>
      <c r="N479" s="148" t="str">
        <f>IFERROR(__xludf.DUMMYFUNCTION("""COMPUTED_VALUE"""),"[]")</f>
        <v>[]</v>
      </c>
      <c r="O479" s="148" t="str">
        <f>IFERROR(__xludf.DUMMYFUNCTION("""COMPUTED_VALUE"""),"{}")</f>
        <v>{}</v>
      </c>
      <c r="P479" s="148">
        <f>IFERROR(__xludf.DUMMYFUNCTION("""COMPUTED_VALUE"""),0.0)</f>
        <v>0</v>
      </c>
      <c r="Q479" s="148" t="str">
        <f>IFERROR(__xludf.DUMMYFUNCTION("""COMPUTED_VALUE"""),"[]")</f>
        <v>[]</v>
      </c>
      <c r="R479" s="148" t="str">
        <f>IFERROR(__xludf.DUMMYFUNCTION("""COMPUTED_VALUE"""),"{}")</f>
        <v>{}</v>
      </c>
      <c r="S479" s="148">
        <f>IFERROR(__xludf.DUMMYFUNCTION("""COMPUTED_VALUE"""),0.0)</f>
        <v>0</v>
      </c>
      <c r="T479" s="148" t="str">
        <f>IFERROR(__xludf.DUMMYFUNCTION("""COMPUTED_VALUE"""),"[]")</f>
        <v>[]</v>
      </c>
      <c r="U479" s="148">
        <f>IFERROR(__xludf.DUMMYFUNCTION("""COMPUTED_VALUE"""),0.0)</f>
        <v>0</v>
      </c>
      <c r="V479" s="148" t="str">
        <f>IFERROR(__xludf.DUMMYFUNCTION("""COMPUTED_VALUE"""),"{}")</f>
        <v>{}</v>
      </c>
      <c r="W479" s="148" t="str">
        <f>IFERROR(__xludf.DUMMYFUNCTION("""COMPUTED_VALUE"""),"[]")</f>
        <v>[]</v>
      </c>
      <c r="X479" s="148" t="str">
        <f>IFERROR(__xludf.DUMMYFUNCTION("""COMPUTED_VALUE"""),"[{""typ"":""power"",""id"":12141002,""val"":1}]")</f>
        <v>[{"typ":"power","id":12141002,"val":1}]</v>
      </c>
      <c r="Y479" s="148" t="str">
        <f>IFERROR(__xludf.DUMMYFUNCTION("""COMPUTED_VALUE"""),"[{""typ"":""atk"",""val"":60},{""typ"":""def"",""val"":125},{""typ"":""hp"",""val"":120},{""typ"":""speed"",""val"":40},{""typ"":""load"",""val"":20},{""typ"":""backcoef"",""val"":0.5},{""typ"":""atkcoef"",""val"":1.0},{""typ"":""atkcd"",""val"":0}]")</f>
        <v>[{"typ":"atk","val":60},{"typ":"def","val":125},{"typ":"hp","val":120},{"typ":"speed","val":40},{"typ":"load","val":20},{"typ":"backcoef","val":0.5},{"typ":"atkcoef","val":1.0},{"typ":"atkcd","val":0}]</v>
      </c>
      <c r="Z479" s="148" t="str">
        <f>IFERROR(__xludf.DUMMYFUNCTION("""COMPUTED_VALUE"""),"[]")</f>
        <v>[]</v>
      </c>
    </row>
    <row r="480">
      <c r="A480" s="148">
        <f>IFERROR(__xludf.DUMMYFUNCTION("""COMPUTED_VALUE"""),1.1219617E7)</f>
        <v>11219617</v>
      </c>
      <c r="B480" s="148" t="str">
        <f>IFERROR(__xludf.DUMMYFUNCTION("""COMPUTED_VALUE"""),"重装出击-变异猴队长-T2")</f>
        <v>重装出击-变异猴队长-T2</v>
      </c>
      <c r="C480" s="148">
        <f>IFERROR(__xludf.DUMMYFUNCTION("""COMPUTED_VALUE"""),1.1221004E7)</f>
        <v>11221004</v>
      </c>
      <c r="D480" s="148">
        <f>IFERROR(__xludf.DUMMYFUNCTION("""COMPUTED_VALUE"""),1.5111043E7)</f>
        <v>15111043</v>
      </c>
      <c r="E480" s="148" t="str">
        <f>IFERROR(__xludf.DUMMYFUNCTION("""COMPUTED_VALUE"""),"{}")</f>
        <v>{}</v>
      </c>
      <c r="F480" s="148" t="str">
        <f>IFERROR(__xludf.DUMMYFUNCTION("""COMPUTED_VALUE"""),"{}")</f>
        <v>{}</v>
      </c>
      <c r="G480" s="148">
        <f>IFERROR(__xludf.DUMMYFUNCTION("""COMPUTED_VALUE"""),2.0)</f>
        <v>2</v>
      </c>
      <c r="H480" s="148">
        <f>IFERROR(__xludf.DUMMYFUNCTION("""COMPUTED_VALUE"""),10099.0)</f>
        <v>10099</v>
      </c>
      <c r="I480" s="148">
        <f>IFERROR(__xludf.DUMMYFUNCTION("""COMPUTED_VALUE"""),10099.0)</f>
        <v>10099</v>
      </c>
      <c r="J480" s="148">
        <f>IFERROR(__xludf.DUMMYFUNCTION("""COMPUTED_VALUE"""),0.0)</f>
        <v>0</v>
      </c>
      <c r="K480" s="148">
        <f>IFERROR(__xludf.DUMMYFUNCTION("""COMPUTED_VALUE"""),10.0)</f>
        <v>10</v>
      </c>
      <c r="L480" s="148">
        <f>IFERROR(__xludf.DUMMYFUNCTION("""COMPUTED_VALUE"""),50.0)</f>
        <v>50</v>
      </c>
      <c r="M480" s="148">
        <f>IFERROR(__xludf.DUMMYFUNCTION("""COMPUTED_VALUE"""),0.0)</f>
        <v>0</v>
      </c>
      <c r="N480" s="148" t="str">
        <f>IFERROR(__xludf.DUMMYFUNCTION("""COMPUTED_VALUE"""),"[]")</f>
        <v>[]</v>
      </c>
      <c r="O480" s="148" t="str">
        <f>IFERROR(__xludf.DUMMYFUNCTION("""COMPUTED_VALUE"""),"{}")</f>
        <v>{}</v>
      </c>
      <c r="P480" s="148">
        <f>IFERROR(__xludf.DUMMYFUNCTION("""COMPUTED_VALUE"""),0.0)</f>
        <v>0</v>
      </c>
      <c r="Q480" s="148" t="str">
        <f>IFERROR(__xludf.DUMMYFUNCTION("""COMPUTED_VALUE"""),"[]")</f>
        <v>[]</v>
      </c>
      <c r="R480" s="148" t="str">
        <f>IFERROR(__xludf.DUMMYFUNCTION("""COMPUTED_VALUE"""),"{}")</f>
        <v>{}</v>
      </c>
      <c r="S480" s="148">
        <f>IFERROR(__xludf.DUMMYFUNCTION("""COMPUTED_VALUE"""),0.0)</f>
        <v>0</v>
      </c>
      <c r="T480" s="148" t="str">
        <f>IFERROR(__xludf.DUMMYFUNCTION("""COMPUTED_VALUE"""),"[]")</f>
        <v>[]</v>
      </c>
      <c r="U480" s="148">
        <f>IFERROR(__xludf.DUMMYFUNCTION("""COMPUTED_VALUE"""),0.0)</f>
        <v>0</v>
      </c>
      <c r="V480" s="148" t="str">
        <f>IFERROR(__xludf.DUMMYFUNCTION("""COMPUTED_VALUE"""),"{}")</f>
        <v>{}</v>
      </c>
      <c r="W480" s="148" t="str">
        <f>IFERROR(__xludf.DUMMYFUNCTION("""COMPUTED_VALUE"""),"[]")</f>
        <v>[]</v>
      </c>
      <c r="X480" s="148" t="str">
        <f>IFERROR(__xludf.DUMMYFUNCTION("""COMPUTED_VALUE"""),"[{""typ"":""power"",""id"":12141002,""val"":2}]")</f>
        <v>[{"typ":"power","id":12141002,"val":2}]</v>
      </c>
      <c r="Y480" s="148" t="str">
        <f>IFERROR(__xludf.DUMMYFUNCTION("""COMPUTED_VALUE"""),"[{""typ"":""atk"",""val"":120},{""typ"":""def"",""val"":130},{""typ"":""hp"",""val"":130},{""typ"":""speed"",""val"":40},{""typ"":""load"",""val"":20},{""typ"":""backcoef"",""val"":0.5},{""typ"":""atkcoef"",""val"":1.0},{""typ"":""atkcd"",""val"":0}]")</f>
        <v>[{"typ":"atk","val":120},{"typ":"def","val":130},{"typ":"hp","val":130},{"typ":"speed","val":40},{"typ":"load","val":20},{"typ":"backcoef","val":0.5},{"typ":"atkcoef","val":1.0},{"typ":"atkcd","val":0}]</v>
      </c>
      <c r="Z480" s="148" t="str">
        <f>IFERROR(__xludf.DUMMYFUNCTION("""COMPUTED_VALUE"""),"[]")</f>
        <v>[]</v>
      </c>
    </row>
    <row r="481">
      <c r="A481" s="148">
        <f>IFERROR(__xludf.DUMMYFUNCTION("""COMPUTED_VALUE"""),1.1219618E7)</f>
        <v>11219618</v>
      </c>
      <c r="B481" s="148" t="str">
        <f>IFERROR(__xludf.DUMMYFUNCTION("""COMPUTED_VALUE"""),"重装出击-变异猴队长-T3")</f>
        <v>重装出击-变异猴队长-T3</v>
      </c>
      <c r="C481" s="148">
        <f>IFERROR(__xludf.DUMMYFUNCTION("""COMPUTED_VALUE"""),1.1221004E7)</f>
        <v>11221004</v>
      </c>
      <c r="D481" s="148">
        <f>IFERROR(__xludf.DUMMYFUNCTION("""COMPUTED_VALUE"""),1.5111043E7)</f>
        <v>15111043</v>
      </c>
      <c r="E481" s="148" t="str">
        <f>IFERROR(__xludf.DUMMYFUNCTION("""COMPUTED_VALUE"""),"{}")</f>
        <v>{}</v>
      </c>
      <c r="F481" s="148" t="str">
        <f>IFERROR(__xludf.DUMMYFUNCTION("""COMPUTED_VALUE"""),"{}")</f>
        <v>{}</v>
      </c>
      <c r="G481" s="148">
        <f>IFERROR(__xludf.DUMMYFUNCTION("""COMPUTED_VALUE"""),2.0)</f>
        <v>2</v>
      </c>
      <c r="H481" s="148">
        <f>IFERROR(__xludf.DUMMYFUNCTION("""COMPUTED_VALUE"""),10099.0)</f>
        <v>10099</v>
      </c>
      <c r="I481" s="148">
        <f>IFERROR(__xludf.DUMMYFUNCTION("""COMPUTED_VALUE"""),10099.0)</f>
        <v>10099</v>
      </c>
      <c r="J481" s="148">
        <f>IFERROR(__xludf.DUMMYFUNCTION("""COMPUTED_VALUE"""),0.0)</f>
        <v>0</v>
      </c>
      <c r="K481" s="148">
        <f>IFERROR(__xludf.DUMMYFUNCTION("""COMPUTED_VALUE"""),10.0)</f>
        <v>10</v>
      </c>
      <c r="L481" s="148">
        <f>IFERROR(__xludf.DUMMYFUNCTION("""COMPUTED_VALUE"""),50.0)</f>
        <v>50</v>
      </c>
      <c r="M481" s="148">
        <f>IFERROR(__xludf.DUMMYFUNCTION("""COMPUTED_VALUE"""),0.0)</f>
        <v>0</v>
      </c>
      <c r="N481" s="148" t="str">
        <f>IFERROR(__xludf.DUMMYFUNCTION("""COMPUTED_VALUE"""),"[]")</f>
        <v>[]</v>
      </c>
      <c r="O481" s="148" t="str">
        <f>IFERROR(__xludf.DUMMYFUNCTION("""COMPUTED_VALUE"""),"{}")</f>
        <v>{}</v>
      </c>
      <c r="P481" s="148">
        <f>IFERROR(__xludf.DUMMYFUNCTION("""COMPUTED_VALUE"""),0.0)</f>
        <v>0</v>
      </c>
      <c r="Q481" s="148" t="str">
        <f>IFERROR(__xludf.DUMMYFUNCTION("""COMPUTED_VALUE"""),"[]")</f>
        <v>[]</v>
      </c>
      <c r="R481" s="148" t="str">
        <f>IFERROR(__xludf.DUMMYFUNCTION("""COMPUTED_VALUE"""),"{}")</f>
        <v>{}</v>
      </c>
      <c r="S481" s="148">
        <f>IFERROR(__xludf.DUMMYFUNCTION("""COMPUTED_VALUE"""),0.0)</f>
        <v>0</v>
      </c>
      <c r="T481" s="148" t="str">
        <f>IFERROR(__xludf.DUMMYFUNCTION("""COMPUTED_VALUE"""),"[]")</f>
        <v>[]</v>
      </c>
      <c r="U481" s="148">
        <f>IFERROR(__xludf.DUMMYFUNCTION("""COMPUTED_VALUE"""),0.0)</f>
        <v>0</v>
      </c>
      <c r="V481" s="148" t="str">
        <f>IFERROR(__xludf.DUMMYFUNCTION("""COMPUTED_VALUE"""),"{}")</f>
        <v>{}</v>
      </c>
      <c r="W481" s="148" t="str">
        <f>IFERROR(__xludf.DUMMYFUNCTION("""COMPUTED_VALUE"""),"[]")</f>
        <v>[]</v>
      </c>
      <c r="X481" s="148" t="str">
        <f>IFERROR(__xludf.DUMMYFUNCTION("""COMPUTED_VALUE"""),"[{""typ"":""power"",""id"":12141002,""val"":4}]")</f>
        <v>[{"typ":"power","id":12141002,"val":4}]</v>
      </c>
      <c r="Y481" s="148" t="str">
        <f>IFERROR(__xludf.DUMMYFUNCTION("""COMPUTED_VALUE"""),"[{""typ"":""atk"",""val"":160},{""typ"":""def"",""val"":160},{""typ"":""hp"",""val"":160},{""typ"":""speed"",""val"":40},{""typ"":""load"",""val"":20},{""typ"":""backcoef"",""val"":0.5},{""typ"":""atkcoef"",""val"":1.0},{""typ"":""atkcd"",""val"":0}]")</f>
        <v>[{"typ":"atk","val":160},{"typ":"def","val":160},{"typ":"hp","val":160},{"typ":"speed","val":40},{"typ":"load","val":20},{"typ":"backcoef","val":0.5},{"typ":"atkcoef","val":1.0},{"typ":"atkcd","val":0}]</v>
      </c>
      <c r="Z481" s="148" t="str">
        <f>IFERROR(__xludf.DUMMYFUNCTION("""COMPUTED_VALUE"""),"[]")</f>
        <v>[]</v>
      </c>
    </row>
    <row r="482">
      <c r="A482" s="148">
        <f>IFERROR(__xludf.DUMMYFUNCTION("""COMPUTED_VALUE"""),1.1219619E7)</f>
        <v>11219619</v>
      </c>
      <c r="B482" s="148" t="str">
        <f>IFERROR(__xludf.DUMMYFUNCTION("""COMPUTED_VALUE"""),"重装出击-变异猴队长-T4")</f>
        <v>重装出击-变异猴队长-T4</v>
      </c>
      <c r="C482" s="148">
        <f>IFERROR(__xludf.DUMMYFUNCTION("""COMPUTED_VALUE"""),1.1221004E7)</f>
        <v>11221004</v>
      </c>
      <c r="D482" s="148">
        <f>IFERROR(__xludf.DUMMYFUNCTION("""COMPUTED_VALUE"""),1.5111043E7)</f>
        <v>15111043</v>
      </c>
      <c r="E482" s="148" t="str">
        <f>IFERROR(__xludf.DUMMYFUNCTION("""COMPUTED_VALUE"""),"{}")</f>
        <v>{}</v>
      </c>
      <c r="F482" s="148" t="str">
        <f>IFERROR(__xludf.DUMMYFUNCTION("""COMPUTED_VALUE"""),"{}")</f>
        <v>{}</v>
      </c>
      <c r="G482" s="148">
        <f>IFERROR(__xludf.DUMMYFUNCTION("""COMPUTED_VALUE"""),2.0)</f>
        <v>2</v>
      </c>
      <c r="H482" s="148">
        <f>IFERROR(__xludf.DUMMYFUNCTION("""COMPUTED_VALUE"""),10099.0)</f>
        <v>10099</v>
      </c>
      <c r="I482" s="148">
        <f>IFERROR(__xludf.DUMMYFUNCTION("""COMPUTED_VALUE"""),10099.0)</f>
        <v>10099</v>
      </c>
      <c r="J482" s="148">
        <f>IFERROR(__xludf.DUMMYFUNCTION("""COMPUTED_VALUE"""),0.0)</f>
        <v>0</v>
      </c>
      <c r="K482" s="148">
        <f>IFERROR(__xludf.DUMMYFUNCTION("""COMPUTED_VALUE"""),10.0)</f>
        <v>10</v>
      </c>
      <c r="L482" s="148">
        <f>IFERROR(__xludf.DUMMYFUNCTION("""COMPUTED_VALUE"""),50.0)</f>
        <v>50</v>
      </c>
      <c r="M482" s="148">
        <f>IFERROR(__xludf.DUMMYFUNCTION("""COMPUTED_VALUE"""),0.0)</f>
        <v>0</v>
      </c>
      <c r="N482" s="148" t="str">
        <f>IFERROR(__xludf.DUMMYFUNCTION("""COMPUTED_VALUE"""),"[]")</f>
        <v>[]</v>
      </c>
      <c r="O482" s="148" t="str">
        <f>IFERROR(__xludf.DUMMYFUNCTION("""COMPUTED_VALUE"""),"{}")</f>
        <v>{}</v>
      </c>
      <c r="P482" s="148">
        <f>IFERROR(__xludf.DUMMYFUNCTION("""COMPUTED_VALUE"""),0.0)</f>
        <v>0</v>
      </c>
      <c r="Q482" s="148" t="str">
        <f>IFERROR(__xludf.DUMMYFUNCTION("""COMPUTED_VALUE"""),"[]")</f>
        <v>[]</v>
      </c>
      <c r="R482" s="148" t="str">
        <f>IFERROR(__xludf.DUMMYFUNCTION("""COMPUTED_VALUE"""),"{}")</f>
        <v>{}</v>
      </c>
      <c r="S482" s="148">
        <f>IFERROR(__xludf.DUMMYFUNCTION("""COMPUTED_VALUE"""),0.0)</f>
        <v>0</v>
      </c>
      <c r="T482" s="148" t="str">
        <f>IFERROR(__xludf.DUMMYFUNCTION("""COMPUTED_VALUE"""),"[]")</f>
        <v>[]</v>
      </c>
      <c r="U482" s="148">
        <f>IFERROR(__xludf.DUMMYFUNCTION("""COMPUTED_VALUE"""),0.0)</f>
        <v>0</v>
      </c>
      <c r="V482" s="148" t="str">
        <f>IFERROR(__xludf.DUMMYFUNCTION("""COMPUTED_VALUE"""),"{}")</f>
        <v>{}</v>
      </c>
      <c r="W482" s="148" t="str">
        <f>IFERROR(__xludf.DUMMYFUNCTION("""COMPUTED_VALUE"""),"[]")</f>
        <v>[]</v>
      </c>
      <c r="X482" s="148" t="str">
        <f>IFERROR(__xludf.DUMMYFUNCTION("""COMPUTED_VALUE"""),"[{""typ"":""power"",""id"":12141002,""val"":6}]")</f>
        <v>[{"typ":"power","id":12141002,"val":6}]</v>
      </c>
      <c r="Y482" s="148" t="str">
        <f>IFERROR(__xludf.DUMMYFUNCTION("""COMPUTED_VALUE"""),"[{""typ"":""atk"",""val"":200},{""typ"":""def"",""val"":190},{""typ"":""hp"",""val"":180},{""typ"":""speed"",""val"":40},{""typ"":""load"",""val"":20},{""typ"":""backcoef"",""val"":0.5},{""typ"":""atkcoef"",""val"":1.0},{""typ"":""atkcd"",""val"":0}]")</f>
        <v>[{"typ":"atk","val":200},{"typ":"def","val":190},{"typ":"hp","val":180},{"typ":"speed","val":40},{"typ":"load","val":20},{"typ":"backcoef","val":0.5},{"typ":"atkcoef","val":1.0},{"typ":"atkcd","val":0}]</v>
      </c>
      <c r="Z482" s="148" t="str">
        <f>IFERROR(__xludf.DUMMYFUNCTION("""COMPUTED_VALUE"""),"[]")</f>
        <v>[]</v>
      </c>
    </row>
    <row r="483">
      <c r="A483" s="148">
        <f>IFERROR(__xludf.DUMMYFUNCTION("""COMPUTED_VALUE"""),1.121962E7)</f>
        <v>11219620</v>
      </c>
      <c r="B483" s="148" t="str">
        <f>IFERROR(__xludf.DUMMYFUNCTION("""COMPUTED_VALUE"""),"重装出击-变异猴队长-T5")</f>
        <v>重装出击-变异猴队长-T5</v>
      </c>
      <c r="C483" s="148">
        <f>IFERROR(__xludf.DUMMYFUNCTION("""COMPUTED_VALUE"""),1.1221004E7)</f>
        <v>11221004</v>
      </c>
      <c r="D483" s="148">
        <f>IFERROR(__xludf.DUMMYFUNCTION("""COMPUTED_VALUE"""),1.5111043E7)</f>
        <v>15111043</v>
      </c>
      <c r="E483" s="148" t="str">
        <f>IFERROR(__xludf.DUMMYFUNCTION("""COMPUTED_VALUE"""),"{}")</f>
        <v>{}</v>
      </c>
      <c r="F483" s="148" t="str">
        <f>IFERROR(__xludf.DUMMYFUNCTION("""COMPUTED_VALUE"""),"{}")</f>
        <v>{}</v>
      </c>
      <c r="G483" s="148">
        <f>IFERROR(__xludf.DUMMYFUNCTION("""COMPUTED_VALUE"""),2.0)</f>
        <v>2</v>
      </c>
      <c r="H483" s="148">
        <f>IFERROR(__xludf.DUMMYFUNCTION("""COMPUTED_VALUE"""),10099.0)</f>
        <v>10099</v>
      </c>
      <c r="I483" s="148">
        <f>IFERROR(__xludf.DUMMYFUNCTION("""COMPUTED_VALUE"""),10099.0)</f>
        <v>10099</v>
      </c>
      <c r="J483" s="148">
        <f>IFERROR(__xludf.DUMMYFUNCTION("""COMPUTED_VALUE"""),0.0)</f>
        <v>0</v>
      </c>
      <c r="K483" s="148">
        <f>IFERROR(__xludf.DUMMYFUNCTION("""COMPUTED_VALUE"""),10.0)</f>
        <v>10</v>
      </c>
      <c r="L483" s="148">
        <f>IFERROR(__xludf.DUMMYFUNCTION("""COMPUTED_VALUE"""),50.0)</f>
        <v>50</v>
      </c>
      <c r="M483" s="148">
        <f>IFERROR(__xludf.DUMMYFUNCTION("""COMPUTED_VALUE"""),0.0)</f>
        <v>0</v>
      </c>
      <c r="N483" s="148" t="str">
        <f>IFERROR(__xludf.DUMMYFUNCTION("""COMPUTED_VALUE"""),"[]")</f>
        <v>[]</v>
      </c>
      <c r="O483" s="148" t="str">
        <f>IFERROR(__xludf.DUMMYFUNCTION("""COMPUTED_VALUE"""),"{}")</f>
        <v>{}</v>
      </c>
      <c r="P483" s="148">
        <f>IFERROR(__xludf.DUMMYFUNCTION("""COMPUTED_VALUE"""),0.0)</f>
        <v>0</v>
      </c>
      <c r="Q483" s="148" t="str">
        <f>IFERROR(__xludf.DUMMYFUNCTION("""COMPUTED_VALUE"""),"[]")</f>
        <v>[]</v>
      </c>
      <c r="R483" s="148" t="str">
        <f>IFERROR(__xludf.DUMMYFUNCTION("""COMPUTED_VALUE"""),"{}")</f>
        <v>{}</v>
      </c>
      <c r="S483" s="148">
        <f>IFERROR(__xludf.DUMMYFUNCTION("""COMPUTED_VALUE"""),0.0)</f>
        <v>0</v>
      </c>
      <c r="T483" s="148" t="str">
        <f>IFERROR(__xludf.DUMMYFUNCTION("""COMPUTED_VALUE"""),"[]")</f>
        <v>[]</v>
      </c>
      <c r="U483" s="148">
        <f>IFERROR(__xludf.DUMMYFUNCTION("""COMPUTED_VALUE"""),0.0)</f>
        <v>0</v>
      </c>
      <c r="V483" s="148" t="str">
        <f>IFERROR(__xludf.DUMMYFUNCTION("""COMPUTED_VALUE"""),"{}")</f>
        <v>{}</v>
      </c>
      <c r="W483" s="148" t="str">
        <f>IFERROR(__xludf.DUMMYFUNCTION("""COMPUTED_VALUE"""),"[]")</f>
        <v>[]</v>
      </c>
      <c r="X483" s="148" t="str">
        <f>IFERROR(__xludf.DUMMYFUNCTION("""COMPUTED_VALUE"""),"[{""typ"":""power"",""id"":12141002,""val"":10}]")</f>
        <v>[{"typ":"power","id":12141002,"val":10}]</v>
      </c>
      <c r="Y483" s="148" t="str">
        <f>IFERROR(__xludf.DUMMYFUNCTION("""COMPUTED_VALUE"""),"[{""typ"":""atk"",""val"":230},{""typ"":""def"",""val"":210},{""typ"":""hp"",""val"":210},{""typ"":""speed"",""val"":40},{""typ"":""load"",""val"":20},{""typ"":""backcoef"",""val"":0.5},{""typ"":""atkcoef"",""val"":1.0},{""typ"":""atkcd"",""val"":0}]")</f>
        <v>[{"typ":"atk","val":230},{"typ":"def","val":210},{"typ":"hp","val":210},{"typ":"speed","val":40},{"typ":"load","val":20},{"typ":"backcoef","val":0.5},{"typ":"atkcoef","val":1.0},{"typ":"atkcd","val":0}]</v>
      </c>
      <c r="Z483" s="148" t="str">
        <f>IFERROR(__xludf.DUMMYFUNCTION("""COMPUTED_VALUE"""),"[]")</f>
        <v>[]</v>
      </c>
    </row>
    <row r="484">
      <c r="A484" s="148">
        <f>IFERROR(__xludf.DUMMYFUNCTION("""COMPUTED_VALUE"""),1.1219621E7)</f>
        <v>11219621</v>
      </c>
      <c r="B484" s="148" t="str">
        <f>IFERROR(__xludf.DUMMYFUNCTION("""COMPUTED_VALUE"""),"重装出击-变异投石者-T1")</f>
        <v>重装出击-变异投石者-T1</v>
      </c>
      <c r="C484" s="148">
        <f>IFERROR(__xludf.DUMMYFUNCTION("""COMPUTED_VALUE"""),1.1221004E7)</f>
        <v>11221004</v>
      </c>
      <c r="D484" s="148">
        <f>IFERROR(__xludf.DUMMYFUNCTION("""COMPUTED_VALUE"""),1.5114051E7)</f>
        <v>15114051</v>
      </c>
      <c r="E484" s="148" t="str">
        <f>IFERROR(__xludf.DUMMYFUNCTION("""COMPUTED_VALUE"""),"{}")</f>
        <v>{}</v>
      </c>
      <c r="F484" s="148" t="str">
        <f>IFERROR(__xludf.DUMMYFUNCTION("""COMPUTED_VALUE"""),"{}")</f>
        <v>{}</v>
      </c>
      <c r="G484" s="148">
        <f>IFERROR(__xludf.DUMMYFUNCTION("""COMPUTED_VALUE"""),2.0)</f>
        <v>2</v>
      </c>
      <c r="H484" s="148">
        <f>IFERROR(__xludf.DUMMYFUNCTION("""COMPUTED_VALUE"""),10099.0)</f>
        <v>10099</v>
      </c>
      <c r="I484" s="148">
        <f>IFERROR(__xludf.DUMMYFUNCTION("""COMPUTED_VALUE"""),10099.0)</f>
        <v>10099</v>
      </c>
      <c r="J484" s="148">
        <f>IFERROR(__xludf.DUMMYFUNCTION("""COMPUTED_VALUE"""),0.0)</f>
        <v>0</v>
      </c>
      <c r="K484" s="148">
        <f>IFERROR(__xludf.DUMMYFUNCTION("""COMPUTED_VALUE"""),10.0)</f>
        <v>10</v>
      </c>
      <c r="L484" s="148">
        <f>IFERROR(__xludf.DUMMYFUNCTION("""COMPUTED_VALUE"""),50.0)</f>
        <v>50</v>
      </c>
      <c r="M484" s="148">
        <f>IFERROR(__xludf.DUMMYFUNCTION("""COMPUTED_VALUE"""),0.0)</f>
        <v>0</v>
      </c>
      <c r="N484" s="148" t="str">
        <f>IFERROR(__xludf.DUMMYFUNCTION("""COMPUTED_VALUE"""),"[]")</f>
        <v>[]</v>
      </c>
      <c r="O484" s="148" t="str">
        <f>IFERROR(__xludf.DUMMYFUNCTION("""COMPUTED_VALUE"""),"{}")</f>
        <v>{}</v>
      </c>
      <c r="P484" s="148">
        <f>IFERROR(__xludf.DUMMYFUNCTION("""COMPUTED_VALUE"""),0.0)</f>
        <v>0</v>
      </c>
      <c r="Q484" s="148" t="str">
        <f>IFERROR(__xludf.DUMMYFUNCTION("""COMPUTED_VALUE"""),"[]")</f>
        <v>[]</v>
      </c>
      <c r="R484" s="148" t="str">
        <f>IFERROR(__xludf.DUMMYFUNCTION("""COMPUTED_VALUE"""),"{}")</f>
        <v>{}</v>
      </c>
      <c r="S484" s="148">
        <f>IFERROR(__xludf.DUMMYFUNCTION("""COMPUTED_VALUE"""),0.0)</f>
        <v>0</v>
      </c>
      <c r="T484" s="148" t="str">
        <f>IFERROR(__xludf.DUMMYFUNCTION("""COMPUTED_VALUE"""),"[]")</f>
        <v>[]</v>
      </c>
      <c r="U484" s="148">
        <f>IFERROR(__xludf.DUMMYFUNCTION("""COMPUTED_VALUE"""),0.0)</f>
        <v>0</v>
      </c>
      <c r="V484" s="148" t="str">
        <f>IFERROR(__xludf.DUMMYFUNCTION("""COMPUTED_VALUE"""),"{}")</f>
        <v>{}</v>
      </c>
      <c r="W484" s="148" t="str">
        <f>IFERROR(__xludf.DUMMYFUNCTION("""COMPUTED_VALUE"""),"[]")</f>
        <v>[]</v>
      </c>
      <c r="X484" s="148" t="str">
        <f>IFERROR(__xludf.DUMMYFUNCTION("""COMPUTED_VALUE"""),"[{""typ"":""power"",""id"":12141002,""val"":1}]")</f>
        <v>[{"typ":"power","id":12141002,"val":1}]</v>
      </c>
      <c r="Y484" s="148" t="str">
        <f>IFERROR(__xludf.DUMMYFUNCTION("""COMPUTED_VALUE"""),"[{""typ"":""atk"",""val"":60},{""typ"":""def"",""val"":125},{""typ"":""hp"",""val"":120},{""typ"":""speed"",""val"":40},{""typ"":""load"",""val"":20},{""typ"":""backcoef"",""val"":0.5},{""typ"":""atkcoef"",""val"":1.0},{""typ"":""atkcd"",""val"":0}]")</f>
        <v>[{"typ":"atk","val":60},{"typ":"def","val":125},{"typ":"hp","val":120},{"typ":"speed","val":40},{"typ":"load","val":20},{"typ":"backcoef","val":0.5},{"typ":"atkcoef","val":1.0},{"typ":"atkcd","val":0}]</v>
      </c>
      <c r="Z484" s="148" t="str">
        <f>IFERROR(__xludf.DUMMYFUNCTION("""COMPUTED_VALUE"""),"[]")</f>
        <v>[]</v>
      </c>
    </row>
    <row r="485">
      <c r="A485" s="148">
        <f>IFERROR(__xludf.DUMMYFUNCTION("""COMPUTED_VALUE"""),1.1219622E7)</f>
        <v>11219622</v>
      </c>
      <c r="B485" s="148" t="str">
        <f>IFERROR(__xludf.DUMMYFUNCTION("""COMPUTED_VALUE"""),"重装出击-变异投石者-T2")</f>
        <v>重装出击-变异投石者-T2</v>
      </c>
      <c r="C485" s="148">
        <f>IFERROR(__xludf.DUMMYFUNCTION("""COMPUTED_VALUE"""),1.1221004E7)</f>
        <v>11221004</v>
      </c>
      <c r="D485" s="148">
        <f>IFERROR(__xludf.DUMMYFUNCTION("""COMPUTED_VALUE"""),1.5114051E7)</f>
        <v>15114051</v>
      </c>
      <c r="E485" s="148" t="str">
        <f>IFERROR(__xludf.DUMMYFUNCTION("""COMPUTED_VALUE"""),"{}")</f>
        <v>{}</v>
      </c>
      <c r="F485" s="148" t="str">
        <f>IFERROR(__xludf.DUMMYFUNCTION("""COMPUTED_VALUE"""),"{}")</f>
        <v>{}</v>
      </c>
      <c r="G485" s="148">
        <f>IFERROR(__xludf.DUMMYFUNCTION("""COMPUTED_VALUE"""),2.0)</f>
        <v>2</v>
      </c>
      <c r="H485" s="148">
        <f>IFERROR(__xludf.DUMMYFUNCTION("""COMPUTED_VALUE"""),10099.0)</f>
        <v>10099</v>
      </c>
      <c r="I485" s="148">
        <f>IFERROR(__xludf.DUMMYFUNCTION("""COMPUTED_VALUE"""),10099.0)</f>
        <v>10099</v>
      </c>
      <c r="J485" s="148">
        <f>IFERROR(__xludf.DUMMYFUNCTION("""COMPUTED_VALUE"""),0.0)</f>
        <v>0</v>
      </c>
      <c r="K485" s="148">
        <f>IFERROR(__xludf.DUMMYFUNCTION("""COMPUTED_VALUE"""),10.0)</f>
        <v>10</v>
      </c>
      <c r="L485" s="148">
        <f>IFERROR(__xludf.DUMMYFUNCTION("""COMPUTED_VALUE"""),50.0)</f>
        <v>50</v>
      </c>
      <c r="M485" s="148">
        <f>IFERROR(__xludf.DUMMYFUNCTION("""COMPUTED_VALUE"""),0.0)</f>
        <v>0</v>
      </c>
      <c r="N485" s="148" t="str">
        <f>IFERROR(__xludf.DUMMYFUNCTION("""COMPUTED_VALUE"""),"[]")</f>
        <v>[]</v>
      </c>
      <c r="O485" s="148" t="str">
        <f>IFERROR(__xludf.DUMMYFUNCTION("""COMPUTED_VALUE"""),"{}")</f>
        <v>{}</v>
      </c>
      <c r="P485" s="148">
        <f>IFERROR(__xludf.DUMMYFUNCTION("""COMPUTED_VALUE"""),0.0)</f>
        <v>0</v>
      </c>
      <c r="Q485" s="148" t="str">
        <f>IFERROR(__xludf.DUMMYFUNCTION("""COMPUTED_VALUE"""),"[]")</f>
        <v>[]</v>
      </c>
      <c r="R485" s="148" t="str">
        <f>IFERROR(__xludf.DUMMYFUNCTION("""COMPUTED_VALUE"""),"{}")</f>
        <v>{}</v>
      </c>
      <c r="S485" s="148">
        <f>IFERROR(__xludf.DUMMYFUNCTION("""COMPUTED_VALUE"""),0.0)</f>
        <v>0</v>
      </c>
      <c r="T485" s="148" t="str">
        <f>IFERROR(__xludf.DUMMYFUNCTION("""COMPUTED_VALUE"""),"[]")</f>
        <v>[]</v>
      </c>
      <c r="U485" s="148">
        <f>IFERROR(__xludf.DUMMYFUNCTION("""COMPUTED_VALUE"""),0.0)</f>
        <v>0</v>
      </c>
      <c r="V485" s="148" t="str">
        <f>IFERROR(__xludf.DUMMYFUNCTION("""COMPUTED_VALUE"""),"{}")</f>
        <v>{}</v>
      </c>
      <c r="W485" s="148" t="str">
        <f>IFERROR(__xludf.DUMMYFUNCTION("""COMPUTED_VALUE"""),"[]")</f>
        <v>[]</v>
      </c>
      <c r="X485" s="148" t="str">
        <f>IFERROR(__xludf.DUMMYFUNCTION("""COMPUTED_VALUE"""),"[{""typ"":""power"",""id"":12141002,""val"":2}]")</f>
        <v>[{"typ":"power","id":12141002,"val":2}]</v>
      </c>
      <c r="Y485" s="148" t="str">
        <f>IFERROR(__xludf.DUMMYFUNCTION("""COMPUTED_VALUE"""),"[{""typ"":""atk"",""val"":120},{""typ"":""def"",""val"":130},{""typ"":""hp"",""val"":130},{""typ"":""speed"",""val"":40},{""typ"":""load"",""val"":20},{""typ"":""backcoef"",""val"":0.5},{""typ"":""atkcoef"",""val"":1.0},{""typ"":""atkcd"",""val"":0}]")</f>
        <v>[{"typ":"atk","val":120},{"typ":"def","val":130},{"typ":"hp","val":130},{"typ":"speed","val":40},{"typ":"load","val":20},{"typ":"backcoef","val":0.5},{"typ":"atkcoef","val":1.0},{"typ":"atkcd","val":0}]</v>
      </c>
      <c r="Z485" s="148" t="str">
        <f>IFERROR(__xludf.DUMMYFUNCTION("""COMPUTED_VALUE"""),"[]")</f>
        <v>[]</v>
      </c>
    </row>
    <row r="486">
      <c r="A486" s="148">
        <f>IFERROR(__xludf.DUMMYFUNCTION("""COMPUTED_VALUE"""),1.1219623E7)</f>
        <v>11219623</v>
      </c>
      <c r="B486" s="148" t="str">
        <f>IFERROR(__xludf.DUMMYFUNCTION("""COMPUTED_VALUE"""),"重装出击-变异投石者-T3")</f>
        <v>重装出击-变异投石者-T3</v>
      </c>
      <c r="C486" s="148">
        <f>IFERROR(__xludf.DUMMYFUNCTION("""COMPUTED_VALUE"""),1.1221004E7)</f>
        <v>11221004</v>
      </c>
      <c r="D486" s="148">
        <f>IFERROR(__xludf.DUMMYFUNCTION("""COMPUTED_VALUE"""),1.5114051E7)</f>
        <v>15114051</v>
      </c>
      <c r="E486" s="148" t="str">
        <f>IFERROR(__xludf.DUMMYFUNCTION("""COMPUTED_VALUE"""),"{}")</f>
        <v>{}</v>
      </c>
      <c r="F486" s="148" t="str">
        <f>IFERROR(__xludf.DUMMYFUNCTION("""COMPUTED_VALUE"""),"{}")</f>
        <v>{}</v>
      </c>
      <c r="G486" s="148">
        <f>IFERROR(__xludf.DUMMYFUNCTION("""COMPUTED_VALUE"""),2.0)</f>
        <v>2</v>
      </c>
      <c r="H486" s="148">
        <f>IFERROR(__xludf.DUMMYFUNCTION("""COMPUTED_VALUE"""),10099.0)</f>
        <v>10099</v>
      </c>
      <c r="I486" s="148">
        <f>IFERROR(__xludf.DUMMYFUNCTION("""COMPUTED_VALUE"""),10099.0)</f>
        <v>10099</v>
      </c>
      <c r="J486" s="148">
        <f>IFERROR(__xludf.DUMMYFUNCTION("""COMPUTED_VALUE"""),0.0)</f>
        <v>0</v>
      </c>
      <c r="K486" s="148">
        <f>IFERROR(__xludf.DUMMYFUNCTION("""COMPUTED_VALUE"""),10.0)</f>
        <v>10</v>
      </c>
      <c r="L486" s="148">
        <f>IFERROR(__xludf.DUMMYFUNCTION("""COMPUTED_VALUE"""),50.0)</f>
        <v>50</v>
      </c>
      <c r="M486" s="148">
        <f>IFERROR(__xludf.DUMMYFUNCTION("""COMPUTED_VALUE"""),0.0)</f>
        <v>0</v>
      </c>
      <c r="N486" s="148" t="str">
        <f>IFERROR(__xludf.DUMMYFUNCTION("""COMPUTED_VALUE"""),"[]")</f>
        <v>[]</v>
      </c>
      <c r="O486" s="148" t="str">
        <f>IFERROR(__xludf.DUMMYFUNCTION("""COMPUTED_VALUE"""),"{}")</f>
        <v>{}</v>
      </c>
      <c r="P486" s="148">
        <f>IFERROR(__xludf.DUMMYFUNCTION("""COMPUTED_VALUE"""),0.0)</f>
        <v>0</v>
      </c>
      <c r="Q486" s="148" t="str">
        <f>IFERROR(__xludf.DUMMYFUNCTION("""COMPUTED_VALUE"""),"[]")</f>
        <v>[]</v>
      </c>
      <c r="R486" s="148" t="str">
        <f>IFERROR(__xludf.DUMMYFUNCTION("""COMPUTED_VALUE"""),"{}")</f>
        <v>{}</v>
      </c>
      <c r="S486" s="148">
        <f>IFERROR(__xludf.DUMMYFUNCTION("""COMPUTED_VALUE"""),0.0)</f>
        <v>0</v>
      </c>
      <c r="T486" s="148" t="str">
        <f>IFERROR(__xludf.DUMMYFUNCTION("""COMPUTED_VALUE"""),"[]")</f>
        <v>[]</v>
      </c>
      <c r="U486" s="148">
        <f>IFERROR(__xludf.DUMMYFUNCTION("""COMPUTED_VALUE"""),0.0)</f>
        <v>0</v>
      </c>
      <c r="V486" s="148" t="str">
        <f>IFERROR(__xludf.DUMMYFUNCTION("""COMPUTED_VALUE"""),"{}")</f>
        <v>{}</v>
      </c>
      <c r="W486" s="148" t="str">
        <f>IFERROR(__xludf.DUMMYFUNCTION("""COMPUTED_VALUE"""),"[]")</f>
        <v>[]</v>
      </c>
      <c r="X486" s="148" t="str">
        <f>IFERROR(__xludf.DUMMYFUNCTION("""COMPUTED_VALUE"""),"[{""typ"":""power"",""id"":12141002,""val"":4}]")</f>
        <v>[{"typ":"power","id":12141002,"val":4}]</v>
      </c>
      <c r="Y486" s="148" t="str">
        <f>IFERROR(__xludf.DUMMYFUNCTION("""COMPUTED_VALUE"""),"[{""typ"":""atk"",""val"":160},{""typ"":""def"",""val"":160},{""typ"":""hp"",""val"":160},{""typ"":""speed"",""val"":40},{""typ"":""load"",""val"":20},{""typ"":""backcoef"",""val"":0.5},{""typ"":""atkcoef"",""val"":1.0},{""typ"":""atkcd"",""val"":0}]")</f>
        <v>[{"typ":"atk","val":160},{"typ":"def","val":160},{"typ":"hp","val":160},{"typ":"speed","val":40},{"typ":"load","val":20},{"typ":"backcoef","val":0.5},{"typ":"atkcoef","val":1.0},{"typ":"atkcd","val":0}]</v>
      </c>
      <c r="Z486" s="148" t="str">
        <f>IFERROR(__xludf.DUMMYFUNCTION("""COMPUTED_VALUE"""),"[]")</f>
        <v>[]</v>
      </c>
    </row>
    <row r="487">
      <c r="A487" s="148">
        <f>IFERROR(__xludf.DUMMYFUNCTION("""COMPUTED_VALUE"""),1.1219624E7)</f>
        <v>11219624</v>
      </c>
      <c r="B487" s="148" t="str">
        <f>IFERROR(__xludf.DUMMYFUNCTION("""COMPUTED_VALUE"""),"重装出击-变异投石者-T4")</f>
        <v>重装出击-变异投石者-T4</v>
      </c>
      <c r="C487" s="148">
        <f>IFERROR(__xludf.DUMMYFUNCTION("""COMPUTED_VALUE"""),1.1221004E7)</f>
        <v>11221004</v>
      </c>
      <c r="D487" s="148">
        <f>IFERROR(__xludf.DUMMYFUNCTION("""COMPUTED_VALUE"""),1.5114051E7)</f>
        <v>15114051</v>
      </c>
      <c r="E487" s="148" t="str">
        <f>IFERROR(__xludf.DUMMYFUNCTION("""COMPUTED_VALUE"""),"{}")</f>
        <v>{}</v>
      </c>
      <c r="F487" s="148" t="str">
        <f>IFERROR(__xludf.DUMMYFUNCTION("""COMPUTED_VALUE"""),"{}")</f>
        <v>{}</v>
      </c>
      <c r="G487" s="148">
        <f>IFERROR(__xludf.DUMMYFUNCTION("""COMPUTED_VALUE"""),2.0)</f>
        <v>2</v>
      </c>
      <c r="H487" s="148">
        <f>IFERROR(__xludf.DUMMYFUNCTION("""COMPUTED_VALUE"""),10099.0)</f>
        <v>10099</v>
      </c>
      <c r="I487" s="148">
        <f>IFERROR(__xludf.DUMMYFUNCTION("""COMPUTED_VALUE"""),10099.0)</f>
        <v>10099</v>
      </c>
      <c r="J487" s="148">
        <f>IFERROR(__xludf.DUMMYFUNCTION("""COMPUTED_VALUE"""),0.0)</f>
        <v>0</v>
      </c>
      <c r="K487" s="148">
        <f>IFERROR(__xludf.DUMMYFUNCTION("""COMPUTED_VALUE"""),10.0)</f>
        <v>10</v>
      </c>
      <c r="L487" s="148">
        <f>IFERROR(__xludf.DUMMYFUNCTION("""COMPUTED_VALUE"""),50.0)</f>
        <v>50</v>
      </c>
      <c r="M487" s="148">
        <f>IFERROR(__xludf.DUMMYFUNCTION("""COMPUTED_VALUE"""),0.0)</f>
        <v>0</v>
      </c>
      <c r="N487" s="148" t="str">
        <f>IFERROR(__xludf.DUMMYFUNCTION("""COMPUTED_VALUE"""),"[]")</f>
        <v>[]</v>
      </c>
      <c r="O487" s="148" t="str">
        <f>IFERROR(__xludf.DUMMYFUNCTION("""COMPUTED_VALUE"""),"{}")</f>
        <v>{}</v>
      </c>
      <c r="P487" s="148">
        <f>IFERROR(__xludf.DUMMYFUNCTION("""COMPUTED_VALUE"""),0.0)</f>
        <v>0</v>
      </c>
      <c r="Q487" s="148" t="str">
        <f>IFERROR(__xludf.DUMMYFUNCTION("""COMPUTED_VALUE"""),"[]")</f>
        <v>[]</v>
      </c>
      <c r="R487" s="148" t="str">
        <f>IFERROR(__xludf.DUMMYFUNCTION("""COMPUTED_VALUE"""),"{}")</f>
        <v>{}</v>
      </c>
      <c r="S487" s="148">
        <f>IFERROR(__xludf.DUMMYFUNCTION("""COMPUTED_VALUE"""),0.0)</f>
        <v>0</v>
      </c>
      <c r="T487" s="148" t="str">
        <f>IFERROR(__xludf.DUMMYFUNCTION("""COMPUTED_VALUE"""),"[]")</f>
        <v>[]</v>
      </c>
      <c r="U487" s="148">
        <f>IFERROR(__xludf.DUMMYFUNCTION("""COMPUTED_VALUE"""),0.0)</f>
        <v>0</v>
      </c>
      <c r="V487" s="148" t="str">
        <f>IFERROR(__xludf.DUMMYFUNCTION("""COMPUTED_VALUE"""),"{}")</f>
        <v>{}</v>
      </c>
      <c r="W487" s="148" t="str">
        <f>IFERROR(__xludf.DUMMYFUNCTION("""COMPUTED_VALUE"""),"[]")</f>
        <v>[]</v>
      </c>
      <c r="X487" s="148" t="str">
        <f>IFERROR(__xludf.DUMMYFUNCTION("""COMPUTED_VALUE"""),"[{""typ"":""power"",""id"":12141002,""val"":6}]")</f>
        <v>[{"typ":"power","id":12141002,"val":6}]</v>
      </c>
      <c r="Y487" s="148" t="str">
        <f>IFERROR(__xludf.DUMMYFUNCTION("""COMPUTED_VALUE"""),"[{""typ"":""atk"",""val"":200},{""typ"":""def"",""val"":190},{""typ"":""hp"",""val"":180},{""typ"":""speed"",""val"":40},{""typ"":""load"",""val"":20},{""typ"":""backcoef"",""val"":0.5},{""typ"":""atkcoef"",""val"":1.0},{""typ"":""atkcd"",""val"":0}]")</f>
        <v>[{"typ":"atk","val":200},{"typ":"def","val":190},{"typ":"hp","val":180},{"typ":"speed","val":40},{"typ":"load","val":20},{"typ":"backcoef","val":0.5},{"typ":"atkcoef","val":1.0},{"typ":"atkcd","val":0}]</v>
      </c>
      <c r="Z487" s="148" t="str">
        <f>IFERROR(__xludf.DUMMYFUNCTION("""COMPUTED_VALUE"""),"[]")</f>
        <v>[]</v>
      </c>
    </row>
    <row r="488">
      <c r="A488" s="148">
        <f>IFERROR(__xludf.DUMMYFUNCTION("""COMPUTED_VALUE"""),1.1219625E7)</f>
        <v>11219625</v>
      </c>
      <c r="B488" s="148" t="str">
        <f>IFERROR(__xludf.DUMMYFUNCTION("""COMPUTED_VALUE"""),"重装出击-变异投石者-T5")</f>
        <v>重装出击-变异投石者-T5</v>
      </c>
      <c r="C488" s="148">
        <f>IFERROR(__xludf.DUMMYFUNCTION("""COMPUTED_VALUE"""),1.1221004E7)</f>
        <v>11221004</v>
      </c>
      <c r="D488" s="148">
        <f>IFERROR(__xludf.DUMMYFUNCTION("""COMPUTED_VALUE"""),1.5114051E7)</f>
        <v>15114051</v>
      </c>
      <c r="E488" s="148" t="str">
        <f>IFERROR(__xludf.DUMMYFUNCTION("""COMPUTED_VALUE"""),"{}")</f>
        <v>{}</v>
      </c>
      <c r="F488" s="148" t="str">
        <f>IFERROR(__xludf.DUMMYFUNCTION("""COMPUTED_VALUE"""),"{}")</f>
        <v>{}</v>
      </c>
      <c r="G488" s="148">
        <f>IFERROR(__xludf.DUMMYFUNCTION("""COMPUTED_VALUE"""),2.0)</f>
        <v>2</v>
      </c>
      <c r="H488" s="148">
        <f>IFERROR(__xludf.DUMMYFUNCTION("""COMPUTED_VALUE"""),10099.0)</f>
        <v>10099</v>
      </c>
      <c r="I488" s="148">
        <f>IFERROR(__xludf.DUMMYFUNCTION("""COMPUTED_VALUE"""),10099.0)</f>
        <v>10099</v>
      </c>
      <c r="J488" s="148">
        <f>IFERROR(__xludf.DUMMYFUNCTION("""COMPUTED_VALUE"""),0.0)</f>
        <v>0</v>
      </c>
      <c r="K488" s="148">
        <f>IFERROR(__xludf.DUMMYFUNCTION("""COMPUTED_VALUE"""),10.0)</f>
        <v>10</v>
      </c>
      <c r="L488" s="148">
        <f>IFERROR(__xludf.DUMMYFUNCTION("""COMPUTED_VALUE"""),50.0)</f>
        <v>50</v>
      </c>
      <c r="M488" s="148">
        <f>IFERROR(__xludf.DUMMYFUNCTION("""COMPUTED_VALUE"""),0.0)</f>
        <v>0</v>
      </c>
      <c r="N488" s="148" t="str">
        <f>IFERROR(__xludf.DUMMYFUNCTION("""COMPUTED_VALUE"""),"[]")</f>
        <v>[]</v>
      </c>
      <c r="O488" s="148" t="str">
        <f>IFERROR(__xludf.DUMMYFUNCTION("""COMPUTED_VALUE"""),"{}")</f>
        <v>{}</v>
      </c>
      <c r="P488" s="148">
        <f>IFERROR(__xludf.DUMMYFUNCTION("""COMPUTED_VALUE"""),0.0)</f>
        <v>0</v>
      </c>
      <c r="Q488" s="148" t="str">
        <f>IFERROR(__xludf.DUMMYFUNCTION("""COMPUTED_VALUE"""),"[]")</f>
        <v>[]</v>
      </c>
      <c r="R488" s="148" t="str">
        <f>IFERROR(__xludf.DUMMYFUNCTION("""COMPUTED_VALUE"""),"{}")</f>
        <v>{}</v>
      </c>
      <c r="S488" s="148">
        <f>IFERROR(__xludf.DUMMYFUNCTION("""COMPUTED_VALUE"""),0.0)</f>
        <v>0</v>
      </c>
      <c r="T488" s="148" t="str">
        <f>IFERROR(__xludf.DUMMYFUNCTION("""COMPUTED_VALUE"""),"[]")</f>
        <v>[]</v>
      </c>
      <c r="U488" s="148">
        <f>IFERROR(__xludf.DUMMYFUNCTION("""COMPUTED_VALUE"""),0.0)</f>
        <v>0</v>
      </c>
      <c r="V488" s="148" t="str">
        <f>IFERROR(__xludf.DUMMYFUNCTION("""COMPUTED_VALUE"""),"{}")</f>
        <v>{}</v>
      </c>
      <c r="W488" s="148" t="str">
        <f>IFERROR(__xludf.DUMMYFUNCTION("""COMPUTED_VALUE"""),"[]")</f>
        <v>[]</v>
      </c>
      <c r="X488" s="148" t="str">
        <f>IFERROR(__xludf.DUMMYFUNCTION("""COMPUTED_VALUE"""),"[{""typ"":""power"",""id"":12141002,""val"":10}]")</f>
        <v>[{"typ":"power","id":12141002,"val":10}]</v>
      </c>
      <c r="Y488" s="148" t="str">
        <f>IFERROR(__xludf.DUMMYFUNCTION("""COMPUTED_VALUE"""),"[{""typ"":""atk"",""val"":230},{""typ"":""def"",""val"":210},{""typ"":""hp"",""val"":210},{""typ"":""speed"",""val"":40},{""typ"":""load"",""val"":20},{""typ"":""backcoef"",""val"":0.5},{""typ"":""atkcoef"",""val"":1.0},{""typ"":""atkcd"",""val"":0}]")</f>
        <v>[{"typ":"atk","val":230},{"typ":"def","val":210},{"typ":"hp","val":210},{"typ":"speed","val":40},{"typ":"load","val":20},{"typ":"backcoef","val":0.5},{"typ":"atkcoef","val":1.0},{"typ":"atkcd","val":0}]</v>
      </c>
      <c r="Z488" s="148" t="str">
        <f>IFERROR(__xludf.DUMMYFUNCTION("""COMPUTED_VALUE"""),"[]")</f>
        <v>[]</v>
      </c>
    </row>
    <row r="489">
      <c r="A489" s="148">
        <f>IFERROR(__xludf.DUMMYFUNCTION("""COMPUTED_VALUE"""),1.1219626E7)</f>
        <v>11219626</v>
      </c>
      <c r="B489" s="148" t="str">
        <f>IFERROR(__xludf.DUMMYFUNCTION("""COMPUTED_VALUE"""),"重装出击-改造猴实验体-T1")</f>
        <v>重装出击-改造猴实验体-T1</v>
      </c>
      <c r="C489" s="148">
        <f>IFERROR(__xludf.DUMMYFUNCTION("""COMPUTED_VALUE"""),1.1221004E7)</f>
        <v>11221004</v>
      </c>
      <c r="D489" s="148">
        <f>IFERROR(__xludf.DUMMYFUNCTION("""COMPUTED_VALUE"""),1.5114298E7)</f>
        <v>15114298</v>
      </c>
      <c r="E489" s="148" t="str">
        <f>IFERROR(__xludf.DUMMYFUNCTION("""COMPUTED_VALUE"""),"{}")</f>
        <v>{}</v>
      </c>
      <c r="F489" s="148" t="str">
        <f>IFERROR(__xludf.DUMMYFUNCTION("""COMPUTED_VALUE"""),"{}")</f>
        <v>{}</v>
      </c>
      <c r="G489" s="148">
        <f>IFERROR(__xludf.DUMMYFUNCTION("""COMPUTED_VALUE"""),2.0)</f>
        <v>2</v>
      </c>
      <c r="H489" s="148">
        <f>IFERROR(__xludf.DUMMYFUNCTION("""COMPUTED_VALUE"""),10099.0)</f>
        <v>10099</v>
      </c>
      <c r="I489" s="148">
        <f>IFERROR(__xludf.DUMMYFUNCTION("""COMPUTED_VALUE"""),10099.0)</f>
        <v>10099</v>
      </c>
      <c r="J489" s="148">
        <f>IFERROR(__xludf.DUMMYFUNCTION("""COMPUTED_VALUE"""),0.0)</f>
        <v>0</v>
      </c>
      <c r="K489" s="148">
        <f>IFERROR(__xludf.DUMMYFUNCTION("""COMPUTED_VALUE"""),10.0)</f>
        <v>10</v>
      </c>
      <c r="L489" s="148">
        <f>IFERROR(__xludf.DUMMYFUNCTION("""COMPUTED_VALUE"""),50.0)</f>
        <v>50</v>
      </c>
      <c r="M489" s="148">
        <f>IFERROR(__xludf.DUMMYFUNCTION("""COMPUTED_VALUE"""),0.0)</f>
        <v>0</v>
      </c>
      <c r="N489" s="148" t="str">
        <f>IFERROR(__xludf.DUMMYFUNCTION("""COMPUTED_VALUE"""),"[]")</f>
        <v>[]</v>
      </c>
      <c r="O489" s="148" t="str">
        <f>IFERROR(__xludf.DUMMYFUNCTION("""COMPUTED_VALUE"""),"{}")</f>
        <v>{}</v>
      </c>
      <c r="P489" s="148">
        <f>IFERROR(__xludf.DUMMYFUNCTION("""COMPUTED_VALUE"""),0.0)</f>
        <v>0</v>
      </c>
      <c r="Q489" s="148" t="str">
        <f>IFERROR(__xludf.DUMMYFUNCTION("""COMPUTED_VALUE"""),"[]")</f>
        <v>[]</v>
      </c>
      <c r="R489" s="148" t="str">
        <f>IFERROR(__xludf.DUMMYFUNCTION("""COMPUTED_VALUE"""),"{}")</f>
        <v>{}</v>
      </c>
      <c r="S489" s="148">
        <f>IFERROR(__xludf.DUMMYFUNCTION("""COMPUTED_VALUE"""),0.0)</f>
        <v>0</v>
      </c>
      <c r="T489" s="148" t="str">
        <f>IFERROR(__xludf.DUMMYFUNCTION("""COMPUTED_VALUE"""),"[]")</f>
        <v>[]</v>
      </c>
      <c r="U489" s="148">
        <f>IFERROR(__xludf.DUMMYFUNCTION("""COMPUTED_VALUE"""),0.0)</f>
        <v>0</v>
      </c>
      <c r="V489" s="148" t="str">
        <f>IFERROR(__xludf.DUMMYFUNCTION("""COMPUTED_VALUE"""),"{}")</f>
        <v>{}</v>
      </c>
      <c r="W489" s="148" t="str">
        <f>IFERROR(__xludf.DUMMYFUNCTION("""COMPUTED_VALUE"""),"[]")</f>
        <v>[]</v>
      </c>
      <c r="X489" s="148" t="str">
        <f>IFERROR(__xludf.DUMMYFUNCTION("""COMPUTED_VALUE"""),"[{""typ"":""power"",""id"":12141002,""val"":1}]")</f>
        <v>[{"typ":"power","id":12141002,"val":1}]</v>
      </c>
      <c r="Y489" s="148" t="str">
        <f>IFERROR(__xludf.DUMMYFUNCTION("""COMPUTED_VALUE"""),"[{""typ"":""atk"",""val"":60},{""typ"":""def"",""val"":125},{""typ"":""hp"",""val"":120},{""typ"":""speed"",""val"":40},{""typ"":""load"",""val"":20},{""typ"":""backcoef"",""val"":0.5},{""typ"":""atkcoef"",""val"":1.0},{""typ"":""atkcd"",""val"":0}]")</f>
        <v>[{"typ":"atk","val":60},{"typ":"def","val":125},{"typ":"hp","val":120},{"typ":"speed","val":40},{"typ":"load","val":20},{"typ":"backcoef","val":0.5},{"typ":"atkcoef","val":1.0},{"typ":"atkcd","val":0}]</v>
      </c>
      <c r="Z489" s="148" t="str">
        <f>IFERROR(__xludf.DUMMYFUNCTION("""COMPUTED_VALUE"""),"[]")</f>
        <v>[]</v>
      </c>
    </row>
    <row r="490">
      <c r="A490" s="148">
        <f>IFERROR(__xludf.DUMMYFUNCTION("""COMPUTED_VALUE"""),1.1219627E7)</f>
        <v>11219627</v>
      </c>
      <c r="B490" s="148" t="str">
        <f>IFERROR(__xludf.DUMMYFUNCTION("""COMPUTED_VALUE"""),"重装出击-改造猴实验体-T2")</f>
        <v>重装出击-改造猴实验体-T2</v>
      </c>
      <c r="C490" s="148">
        <f>IFERROR(__xludf.DUMMYFUNCTION("""COMPUTED_VALUE"""),1.1221004E7)</f>
        <v>11221004</v>
      </c>
      <c r="D490" s="148">
        <f>IFERROR(__xludf.DUMMYFUNCTION("""COMPUTED_VALUE"""),1.5114298E7)</f>
        <v>15114298</v>
      </c>
      <c r="E490" s="148" t="str">
        <f>IFERROR(__xludf.DUMMYFUNCTION("""COMPUTED_VALUE"""),"{}")</f>
        <v>{}</v>
      </c>
      <c r="F490" s="148" t="str">
        <f>IFERROR(__xludf.DUMMYFUNCTION("""COMPUTED_VALUE"""),"{}")</f>
        <v>{}</v>
      </c>
      <c r="G490" s="148">
        <f>IFERROR(__xludf.DUMMYFUNCTION("""COMPUTED_VALUE"""),2.0)</f>
        <v>2</v>
      </c>
      <c r="H490" s="148">
        <f>IFERROR(__xludf.DUMMYFUNCTION("""COMPUTED_VALUE"""),10099.0)</f>
        <v>10099</v>
      </c>
      <c r="I490" s="148">
        <f>IFERROR(__xludf.DUMMYFUNCTION("""COMPUTED_VALUE"""),10099.0)</f>
        <v>10099</v>
      </c>
      <c r="J490" s="148">
        <f>IFERROR(__xludf.DUMMYFUNCTION("""COMPUTED_VALUE"""),0.0)</f>
        <v>0</v>
      </c>
      <c r="K490" s="148">
        <f>IFERROR(__xludf.DUMMYFUNCTION("""COMPUTED_VALUE"""),10.0)</f>
        <v>10</v>
      </c>
      <c r="L490" s="148">
        <f>IFERROR(__xludf.DUMMYFUNCTION("""COMPUTED_VALUE"""),50.0)</f>
        <v>50</v>
      </c>
      <c r="M490" s="148">
        <f>IFERROR(__xludf.DUMMYFUNCTION("""COMPUTED_VALUE"""),0.0)</f>
        <v>0</v>
      </c>
      <c r="N490" s="148" t="str">
        <f>IFERROR(__xludf.DUMMYFUNCTION("""COMPUTED_VALUE"""),"[]")</f>
        <v>[]</v>
      </c>
      <c r="O490" s="148" t="str">
        <f>IFERROR(__xludf.DUMMYFUNCTION("""COMPUTED_VALUE"""),"{}")</f>
        <v>{}</v>
      </c>
      <c r="P490" s="148">
        <f>IFERROR(__xludf.DUMMYFUNCTION("""COMPUTED_VALUE"""),0.0)</f>
        <v>0</v>
      </c>
      <c r="Q490" s="148" t="str">
        <f>IFERROR(__xludf.DUMMYFUNCTION("""COMPUTED_VALUE"""),"[]")</f>
        <v>[]</v>
      </c>
      <c r="R490" s="148" t="str">
        <f>IFERROR(__xludf.DUMMYFUNCTION("""COMPUTED_VALUE"""),"{}")</f>
        <v>{}</v>
      </c>
      <c r="S490" s="148">
        <f>IFERROR(__xludf.DUMMYFUNCTION("""COMPUTED_VALUE"""),0.0)</f>
        <v>0</v>
      </c>
      <c r="T490" s="148" t="str">
        <f>IFERROR(__xludf.DUMMYFUNCTION("""COMPUTED_VALUE"""),"[]")</f>
        <v>[]</v>
      </c>
      <c r="U490" s="148">
        <f>IFERROR(__xludf.DUMMYFUNCTION("""COMPUTED_VALUE"""),0.0)</f>
        <v>0</v>
      </c>
      <c r="V490" s="148" t="str">
        <f>IFERROR(__xludf.DUMMYFUNCTION("""COMPUTED_VALUE"""),"{}")</f>
        <v>{}</v>
      </c>
      <c r="W490" s="148" t="str">
        <f>IFERROR(__xludf.DUMMYFUNCTION("""COMPUTED_VALUE"""),"[]")</f>
        <v>[]</v>
      </c>
      <c r="X490" s="148" t="str">
        <f>IFERROR(__xludf.DUMMYFUNCTION("""COMPUTED_VALUE"""),"[{""typ"":""power"",""id"":12141002,""val"":2}]")</f>
        <v>[{"typ":"power","id":12141002,"val":2}]</v>
      </c>
      <c r="Y490" s="148" t="str">
        <f>IFERROR(__xludf.DUMMYFUNCTION("""COMPUTED_VALUE"""),"[{""typ"":""atk"",""val"":120},{""typ"":""def"",""val"":130},{""typ"":""hp"",""val"":130},{""typ"":""speed"",""val"":40},{""typ"":""load"",""val"":20},{""typ"":""backcoef"",""val"":0.5},{""typ"":""atkcoef"",""val"":1.0},{""typ"":""atkcd"",""val"":0}]")</f>
        <v>[{"typ":"atk","val":120},{"typ":"def","val":130},{"typ":"hp","val":130},{"typ":"speed","val":40},{"typ":"load","val":20},{"typ":"backcoef","val":0.5},{"typ":"atkcoef","val":1.0},{"typ":"atkcd","val":0}]</v>
      </c>
      <c r="Z490" s="148" t="str">
        <f>IFERROR(__xludf.DUMMYFUNCTION("""COMPUTED_VALUE"""),"[]")</f>
        <v>[]</v>
      </c>
    </row>
    <row r="491">
      <c r="A491" s="148">
        <f>IFERROR(__xludf.DUMMYFUNCTION("""COMPUTED_VALUE"""),1.1219628E7)</f>
        <v>11219628</v>
      </c>
      <c r="B491" s="148" t="str">
        <f>IFERROR(__xludf.DUMMYFUNCTION("""COMPUTED_VALUE"""),"重装出击-改造猴实验体-T3")</f>
        <v>重装出击-改造猴实验体-T3</v>
      </c>
      <c r="C491" s="148">
        <f>IFERROR(__xludf.DUMMYFUNCTION("""COMPUTED_VALUE"""),1.1221004E7)</f>
        <v>11221004</v>
      </c>
      <c r="D491" s="148">
        <f>IFERROR(__xludf.DUMMYFUNCTION("""COMPUTED_VALUE"""),1.5114298E7)</f>
        <v>15114298</v>
      </c>
      <c r="E491" s="148" t="str">
        <f>IFERROR(__xludf.DUMMYFUNCTION("""COMPUTED_VALUE"""),"{}")</f>
        <v>{}</v>
      </c>
      <c r="F491" s="148" t="str">
        <f>IFERROR(__xludf.DUMMYFUNCTION("""COMPUTED_VALUE"""),"{}")</f>
        <v>{}</v>
      </c>
      <c r="G491" s="148">
        <f>IFERROR(__xludf.DUMMYFUNCTION("""COMPUTED_VALUE"""),2.0)</f>
        <v>2</v>
      </c>
      <c r="H491" s="148">
        <f>IFERROR(__xludf.DUMMYFUNCTION("""COMPUTED_VALUE"""),10099.0)</f>
        <v>10099</v>
      </c>
      <c r="I491" s="148">
        <f>IFERROR(__xludf.DUMMYFUNCTION("""COMPUTED_VALUE"""),10099.0)</f>
        <v>10099</v>
      </c>
      <c r="J491" s="148">
        <f>IFERROR(__xludf.DUMMYFUNCTION("""COMPUTED_VALUE"""),0.0)</f>
        <v>0</v>
      </c>
      <c r="K491" s="148">
        <f>IFERROR(__xludf.DUMMYFUNCTION("""COMPUTED_VALUE"""),10.0)</f>
        <v>10</v>
      </c>
      <c r="L491" s="148">
        <f>IFERROR(__xludf.DUMMYFUNCTION("""COMPUTED_VALUE"""),50.0)</f>
        <v>50</v>
      </c>
      <c r="M491" s="148">
        <f>IFERROR(__xludf.DUMMYFUNCTION("""COMPUTED_VALUE"""),0.0)</f>
        <v>0</v>
      </c>
      <c r="N491" s="148" t="str">
        <f>IFERROR(__xludf.DUMMYFUNCTION("""COMPUTED_VALUE"""),"[]")</f>
        <v>[]</v>
      </c>
      <c r="O491" s="148" t="str">
        <f>IFERROR(__xludf.DUMMYFUNCTION("""COMPUTED_VALUE"""),"{}")</f>
        <v>{}</v>
      </c>
      <c r="P491" s="148">
        <f>IFERROR(__xludf.DUMMYFUNCTION("""COMPUTED_VALUE"""),0.0)</f>
        <v>0</v>
      </c>
      <c r="Q491" s="148" t="str">
        <f>IFERROR(__xludf.DUMMYFUNCTION("""COMPUTED_VALUE"""),"[]")</f>
        <v>[]</v>
      </c>
      <c r="R491" s="148" t="str">
        <f>IFERROR(__xludf.DUMMYFUNCTION("""COMPUTED_VALUE"""),"{}")</f>
        <v>{}</v>
      </c>
      <c r="S491" s="148">
        <f>IFERROR(__xludf.DUMMYFUNCTION("""COMPUTED_VALUE"""),0.0)</f>
        <v>0</v>
      </c>
      <c r="T491" s="148" t="str">
        <f>IFERROR(__xludf.DUMMYFUNCTION("""COMPUTED_VALUE"""),"[]")</f>
        <v>[]</v>
      </c>
      <c r="U491" s="148">
        <f>IFERROR(__xludf.DUMMYFUNCTION("""COMPUTED_VALUE"""),0.0)</f>
        <v>0</v>
      </c>
      <c r="V491" s="148" t="str">
        <f>IFERROR(__xludf.DUMMYFUNCTION("""COMPUTED_VALUE"""),"{}")</f>
        <v>{}</v>
      </c>
      <c r="W491" s="148" t="str">
        <f>IFERROR(__xludf.DUMMYFUNCTION("""COMPUTED_VALUE"""),"[]")</f>
        <v>[]</v>
      </c>
      <c r="X491" s="148" t="str">
        <f>IFERROR(__xludf.DUMMYFUNCTION("""COMPUTED_VALUE"""),"[{""typ"":""power"",""id"":12141002,""val"":4}]")</f>
        <v>[{"typ":"power","id":12141002,"val":4}]</v>
      </c>
      <c r="Y491" s="148" t="str">
        <f>IFERROR(__xludf.DUMMYFUNCTION("""COMPUTED_VALUE"""),"[{""typ"":""atk"",""val"":160},{""typ"":""def"",""val"":160},{""typ"":""hp"",""val"":160},{""typ"":""speed"",""val"":40},{""typ"":""load"",""val"":20},{""typ"":""backcoef"",""val"":0.5},{""typ"":""atkcoef"",""val"":1.0},{""typ"":""atkcd"",""val"":0}]")</f>
        <v>[{"typ":"atk","val":160},{"typ":"def","val":160},{"typ":"hp","val":160},{"typ":"speed","val":40},{"typ":"load","val":20},{"typ":"backcoef","val":0.5},{"typ":"atkcoef","val":1.0},{"typ":"atkcd","val":0}]</v>
      </c>
      <c r="Z491" s="148" t="str">
        <f>IFERROR(__xludf.DUMMYFUNCTION("""COMPUTED_VALUE"""),"[]")</f>
        <v>[]</v>
      </c>
    </row>
    <row r="492">
      <c r="A492" s="148">
        <f>IFERROR(__xludf.DUMMYFUNCTION("""COMPUTED_VALUE"""),1.1219629E7)</f>
        <v>11219629</v>
      </c>
      <c r="B492" s="148" t="str">
        <f>IFERROR(__xludf.DUMMYFUNCTION("""COMPUTED_VALUE"""),"重装出击-改造猴实验体-T4")</f>
        <v>重装出击-改造猴实验体-T4</v>
      </c>
      <c r="C492" s="148">
        <f>IFERROR(__xludf.DUMMYFUNCTION("""COMPUTED_VALUE"""),1.1221004E7)</f>
        <v>11221004</v>
      </c>
      <c r="D492" s="148">
        <f>IFERROR(__xludf.DUMMYFUNCTION("""COMPUTED_VALUE"""),1.5114298E7)</f>
        <v>15114298</v>
      </c>
      <c r="E492" s="148" t="str">
        <f>IFERROR(__xludf.DUMMYFUNCTION("""COMPUTED_VALUE"""),"{}")</f>
        <v>{}</v>
      </c>
      <c r="F492" s="148" t="str">
        <f>IFERROR(__xludf.DUMMYFUNCTION("""COMPUTED_VALUE"""),"{}")</f>
        <v>{}</v>
      </c>
      <c r="G492" s="148">
        <f>IFERROR(__xludf.DUMMYFUNCTION("""COMPUTED_VALUE"""),2.0)</f>
        <v>2</v>
      </c>
      <c r="H492" s="148">
        <f>IFERROR(__xludf.DUMMYFUNCTION("""COMPUTED_VALUE"""),10099.0)</f>
        <v>10099</v>
      </c>
      <c r="I492" s="148">
        <f>IFERROR(__xludf.DUMMYFUNCTION("""COMPUTED_VALUE"""),10099.0)</f>
        <v>10099</v>
      </c>
      <c r="J492" s="148">
        <f>IFERROR(__xludf.DUMMYFUNCTION("""COMPUTED_VALUE"""),0.0)</f>
        <v>0</v>
      </c>
      <c r="K492" s="148">
        <f>IFERROR(__xludf.DUMMYFUNCTION("""COMPUTED_VALUE"""),10.0)</f>
        <v>10</v>
      </c>
      <c r="L492" s="148">
        <f>IFERROR(__xludf.DUMMYFUNCTION("""COMPUTED_VALUE"""),50.0)</f>
        <v>50</v>
      </c>
      <c r="M492" s="148">
        <f>IFERROR(__xludf.DUMMYFUNCTION("""COMPUTED_VALUE"""),0.0)</f>
        <v>0</v>
      </c>
      <c r="N492" s="148" t="str">
        <f>IFERROR(__xludf.DUMMYFUNCTION("""COMPUTED_VALUE"""),"[]")</f>
        <v>[]</v>
      </c>
      <c r="O492" s="148" t="str">
        <f>IFERROR(__xludf.DUMMYFUNCTION("""COMPUTED_VALUE"""),"{}")</f>
        <v>{}</v>
      </c>
      <c r="P492" s="148">
        <f>IFERROR(__xludf.DUMMYFUNCTION("""COMPUTED_VALUE"""),0.0)</f>
        <v>0</v>
      </c>
      <c r="Q492" s="148" t="str">
        <f>IFERROR(__xludf.DUMMYFUNCTION("""COMPUTED_VALUE"""),"[]")</f>
        <v>[]</v>
      </c>
      <c r="R492" s="148" t="str">
        <f>IFERROR(__xludf.DUMMYFUNCTION("""COMPUTED_VALUE"""),"{}")</f>
        <v>{}</v>
      </c>
      <c r="S492" s="148">
        <f>IFERROR(__xludf.DUMMYFUNCTION("""COMPUTED_VALUE"""),0.0)</f>
        <v>0</v>
      </c>
      <c r="T492" s="148" t="str">
        <f>IFERROR(__xludf.DUMMYFUNCTION("""COMPUTED_VALUE"""),"[]")</f>
        <v>[]</v>
      </c>
      <c r="U492" s="148">
        <f>IFERROR(__xludf.DUMMYFUNCTION("""COMPUTED_VALUE"""),0.0)</f>
        <v>0</v>
      </c>
      <c r="V492" s="148" t="str">
        <f>IFERROR(__xludf.DUMMYFUNCTION("""COMPUTED_VALUE"""),"{}")</f>
        <v>{}</v>
      </c>
      <c r="W492" s="148" t="str">
        <f>IFERROR(__xludf.DUMMYFUNCTION("""COMPUTED_VALUE"""),"[]")</f>
        <v>[]</v>
      </c>
      <c r="X492" s="148" t="str">
        <f>IFERROR(__xludf.DUMMYFUNCTION("""COMPUTED_VALUE"""),"[{""typ"":""power"",""id"":12141002,""val"":6}]")</f>
        <v>[{"typ":"power","id":12141002,"val":6}]</v>
      </c>
      <c r="Y492" s="148" t="str">
        <f>IFERROR(__xludf.DUMMYFUNCTION("""COMPUTED_VALUE"""),"[{""typ"":""atk"",""val"":200},{""typ"":""def"",""val"":190},{""typ"":""hp"",""val"":180},{""typ"":""speed"",""val"":40},{""typ"":""load"",""val"":20},{""typ"":""backcoef"",""val"":0.5},{""typ"":""atkcoef"",""val"":1.0},{""typ"":""atkcd"",""val"":0}]")</f>
        <v>[{"typ":"atk","val":200},{"typ":"def","val":190},{"typ":"hp","val":180},{"typ":"speed","val":40},{"typ":"load","val":20},{"typ":"backcoef","val":0.5},{"typ":"atkcoef","val":1.0},{"typ":"atkcd","val":0}]</v>
      </c>
      <c r="Z492" s="148" t="str">
        <f>IFERROR(__xludf.DUMMYFUNCTION("""COMPUTED_VALUE"""),"[]")</f>
        <v>[]</v>
      </c>
    </row>
    <row r="493">
      <c r="A493" s="148">
        <f>IFERROR(__xludf.DUMMYFUNCTION("""COMPUTED_VALUE"""),1.121963E7)</f>
        <v>11219630</v>
      </c>
      <c r="B493" s="148" t="str">
        <f>IFERROR(__xludf.DUMMYFUNCTION("""COMPUTED_VALUE"""),"重装出击-改造猴实验体-T5")</f>
        <v>重装出击-改造猴实验体-T5</v>
      </c>
      <c r="C493" s="148">
        <f>IFERROR(__xludf.DUMMYFUNCTION("""COMPUTED_VALUE"""),1.1221004E7)</f>
        <v>11221004</v>
      </c>
      <c r="D493" s="148">
        <f>IFERROR(__xludf.DUMMYFUNCTION("""COMPUTED_VALUE"""),1.5114298E7)</f>
        <v>15114298</v>
      </c>
      <c r="E493" s="148" t="str">
        <f>IFERROR(__xludf.DUMMYFUNCTION("""COMPUTED_VALUE"""),"{}")</f>
        <v>{}</v>
      </c>
      <c r="F493" s="148" t="str">
        <f>IFERROR(__xludf.DUMMYFUNCTION("""COMPUTED_VALUE"""),"{}")</f>
        <v>{}</v>
      </c>
      <c r="G493" s="148">
        <f>IFERROR(__xludf.DUMMYFUNCTION("""COMPUTED_VALUE"""),2.0)</f>
        <v>2</v>
      </c>
      <c r="H493" s="148">
        <f>IFERROR(__xludf.DUMMYFUNCTION("""COMPUTED_VALUE"""),10099.0)</f>
        <v>10099</v>
      </c>
      <c r="I493" s="148">
        <f>IFERROR(__xludf.DUMMYFUNCTION("""COMPUTED_VALUE"""),10099.0)</f>
        <v>10099</v>
      </c>
      <c r="J493" s="148">
        <f>IFERROR(__xludf.DUMMYFUNCTION("""COMPUTED_VALUE"""),0.0)</f>
        <v>0</v>
      </c>
      <c r="K493" s="148">
        <f>IFERROR(__xludf.DUMMYFUNCTION("""COMPUTED_VALUE"""),10.0)</f>
        <v>10</v>
      </c>
      <c r="L493" s="148">
        <f>IFERROR(__xludf.DUMMYFUNCTION("""COMPUTED_VALUE"""),50.0)</f>
        <v>50</v>
      </c>
      <c r="M493" s="148">
        <f>IFERROR(__xludf.DUMMYFUNCTION("""COMPUTED_VALUE"""),0.0)</f>
        <v>0</v>
      </c>
      <c r="N493" s="148" t="str">
        <f>IFERROR(__xludf.DUMMYFUNCTION("""COMPUTED_VALUE"""),"[]")</f>
        <v>[]</v>
      </c>
      <c r="O493" s="148" t="str">
        <f>IFERROR(__xludf.DUMMYFUNCTION("""COMPUTED_VALUE"""),"{}")</f>
        <v>{}</v>
      </c>
      <c r="P493" s="148">
        <f>IFERROR(__xludf.DUMMYFUNCTION("""COMPUTED_VALUE"""),0.0)</f>
        <v>0</v>
      </c>
      <c r="Q493" s="148" t="str">
        <f>IFERROR(__xludf.DUMMYFUNCTION("""COMPUTED_VALUE"""),"[]")</f>
        <v>[]</v>
      </c>
      <c r="R493" s="148" t="str">
        <f>IFERROR(__xludf.DUMMYFUNCTION("""COMPUTED_VALUE"""),"{}")</f>
        <v>{}</v>
      </c>
      <c r="S493" s="148">
        <f>IFERROR(__xludf.DUMMYFUNCTION("""COMPUTED_VALUE"""),0.0)</f>
        <v>0</v>
      </c>
      <c r="T493" s="148" t="str">
        <f>IFERROR(__xludf.DUMMYFUNCTION("""COMPUTED_VALUE"""),"[]")</f>
        <v>[]</v>
      </c>
      <c r="U493" s="148">
        <f>IFERROR(__xludf.DUMMYFUNCTION("""COMPUTED_VALUE"""),0.0)</f>
        <v>0</v>
      </c>
      <c r="V493" s="148" t="str">
        <f>IFERROR(__xludf.DUMMYFUNCTION("""COMPUTED_VALUE"""),"{}")</f>
        <v>{}</v>
      </c>
      <c r="W493" s="148" t="str">
        <f>IFERROR(__xludf.DUMMYFUNCTION("""COMPUTED_VALUE"""),"[]")</f>
        <v>[]</v>
      </c>
      <c r="X493" s="148" t="str">
        <f>IFERROR(__xludf.DUMMYFUNCTION("""COMPUTED_VALUE"""),"[{""typ"":""power"",""id"":12141002,""val"":10}]")</f>
        <v>[{"typ":"power","id":12141002,"val":10}]</v>
      </c>
      <c r="Y493" s="148" t="str">
        <f>IFERROR(__xludf.DUMMYFUNCTION("""COMPUTED_VALUE"""),"[{""typ"":""atk"",""val"":230},{""typ"":""def"",""val"":210},{""typ"":""hp"",""val"":210},{""typ"":""speed"",""val"":40},{""typ"":""load"",""val"":20},{""typ"":""backcoef"",""val"":0.5},{""typ"":""atkcoef"",""val"":1.0},{""typ"":""atkcd"",""val"":0}]")</f>
        <v>[{"typ":"atk","val":230},{"typ":"def","val":210},{"typ":"hp","val":210},{"typ":"speed","val":40},{"typ":"load","val":20},{"typ":"backcoef","val":0.5},{"typ":"atkcoef","val":1.0},{"typ":"atkcd","val":0}]</v>
      </c>
      <c r="Z493" s="148" t="str">
        <f>IFERROR(__xludf.DUMMYFUNCTION("""COMPUTED_VALUE"""),"[]")</f>
        <v>[]</v>
      </c>
    </row>
    <row r="494">
      <c r="A494" s="148">
        <f>IFERROR(__xludf.DUMMYFUNCTION("""COMPUTED_VALUE"""),1.1219631E7)</f>
        <v>11219631</v>
      </c>
      <c r="B494" s="148" t="str">
        <f>IFERROR(__xludf.DUMMYFUNCTION("""COMPUTED_VALUE"""),"重装出击-钢拳队长-T1")</f>
        <v>重装出击-钢拳队长-T1</v>
      </c>
      <c r="C494" s="148">
        <f>IFERROR(__xludf.DUMMYFUNCTION("""COMPUTED_VALUE"""),1.1221004E7)</f>
        <v>11221004</v>
      </c>
      <c r="D494" s="148">
        <f>IFERROR(__xludf.DUMMYFUNCTION("""COMPUTED_VALUE"""),1.5114053E7)</f>
        <v>15114053</v>
      </c>
      <c r="E494" s="148" t="str">
        <f>IFERROR(__xludf.DUMMYFUNCTION("""COMPUTED_VALUE"""),"{}")</f>
        <v>{}</v>
      </c>
      <c r="F494" s="148" t="str">
        <f>IFERROR(__xludf.DUMMYFUNCTION("""COMPUTED_VALUE"""),"{}")</f>
        <v>{}</v>
      </c>
      <c r="G494" s="148">
        <f>IFERROR(__xludf.DUMMYFUNCTION("""COMPUTED_VALUE"""),2.0)</f>
        <v>2</v>
      </c>
      <c r="H494" s="148">
        <f>IFERROR(__xludf.DUMMYFUNCTION("""COMPUTED_VALUE"""),10099.0)</f>
        <v>10099</v>
      </c>
      <c r="I494" s="148">
        <f>IFERROR(__xludf.DUMMYFUNCTION("""COMPUTED_VALUE"""),10099.0)</f>
        <v>10099</v>
      </c>
      <c r="J494" s="148">
        <f>IFERROR(__xludf.DUMMYFUNCTION("""COMPUTED_VALUE"""),0.0)</f>
        <v>0</v>
      </c>
      <c r="K494" s="148">
        <f>IFERROR(__xludf.DUMMYFUNCTION("""COMPUTED_VALUE"""),10.0)</f>
        <v>10</v>
      </c>
      <c r="L494" s="148">
        <f>IFERROR(__xludf.DUMMYFUNCTION("""COMPUTED_VALUE"""),50.0)</f>
        <v>50</v>
      </c>
      <c r="M494" s="148">
        <f>IFERROR(__xludf.DUMMYFUNCTION("""COMPUTED_VALUE"""),0.0)</f>
        <v>0</v>
      </c>
      <c r="N494" s="148" t="str">
        <f>IFERROR(__xludf.DUMMYFUNCTION("""COMPUTED_VALUE"""),"[]")</f>
        <v>[]</v>
      </c>
      <c r="O494" s="148" t="str">
        <f>IFERROR(__xludf.DUMMYFUNCTION("""COMPUTED_VALUE"""),"{}")</f>
        <v>{}</v>
      </c>
      <c r="P494" s="148">
        <f>IFERROR(__xludf.DUMMYFUNCTION("""COMPUTED_VALUE"""),0.0)</f>
        <v>0</v>
      </c>
      <c r="Q494" s="148" t="str">
        <f>IFERROR(__xludf.DUMMYFUNCTION("""COMPUTED_VALUE"""),"[]")</f>
        <v>[]</v>
      </c>
      <c r="R494" s="148" t="str">
        <f>IFERROR(__xludf.DUMMYFUNCTION("""COMPUTED_VALUE"""),"{}")</f>
        <v>{}</v>
      </c>
      <c r="S494" s="148">
        <f>IFERROR(__xludf.DUMMYFUNCTION("""COMPUTED_VALUE"""),0.0)</f>
        <v>0</v>
      </c>
      <c r="T494" s="148" t="str">
        <f>IFERROR(__xludf.DUMMYFUNCTION("""COMPUTED_VALUE"""),"[]")</f>
        <v>[]</v>
      </c>
      <c r="U494" s="148">
        <f>IFERROR(__xludf.DUMMYFUNCTION("""COMPUTED_VALUE"""),0.0)</f>
        <v>0</v>
      </c>
      <c r="V494" s="148" t="str">
        <f>IFERROR(__xludf.DUMMYFUNCTION("""COMPUTED_VALUE"""),"{}")</f>
        <v>{}</v>
      </c>
      <c r="W494" s="148" t="str">
        <f>IFERROR(__xludf.DUMMYFUNCTION("""COMPUTED_VALUE"""),"[]")</f>
        <v>[]</v>
      </c>
      <c r="X494" s="148" t="str">
        <f>IFERROR(__xludf.DUMMYFUNCTION("""COMPUTED_VALUE"""),"[{""typ"":""power"",""id"":12141002,""val"":1}]")</f>
        <v>[{"typ":"power","id":12141002,"val":1}]</v>
      </c>
      <c r="Y494" s="148" t="str">
        <f>IFERROR(__xludf.DUMMYFUNCTION("""COMPUTED_VALUE"""),"[{""typ"":""atk"",""val"":60},{""typ"":""def"",""val"":125},{""typ"":""hp"",""val"":120},{""typ"":""speed"",""val"":40},{""typ"":""load"",""val"":20},{""typ"":""backcoef"",""val"":0.5},{""typ"":""atkcoef"",""val"":1.0},{""typ"":""atkcd"",""val"":0}]")</f>
        <v>[{"typ":"atk","val":60},{"typ":"def","val":125},{"typ":"hp","val":120},{"typ":"speed","val":40},{"typ":"load","val":20},{"typ":"backcoef","val":0.5},{"typ":"atkcoef","val":1.0},{"typ":"atkcd","val":0}]</v>
      </c>
      <c r="Z494" s="148" t="str">
        <f>IFERROR(__xludf.DUMMYFUNCTION("""COMPUTED_VALUE"""),"[]")</f>
        <v>[]</v>
      </c>
    </row>
    <row r="495">
      <c r="A495" s="148">
        <f>IFERROR(__xludf.DUMMYFUNCTION("""COMPUTED_VALUE"""),1.1219632E7)</f>
        <v>11219632</v>
      </c>
      <c r="B495" s="148" t="str">
        <f>IFERROR(__xludf.DUMMYFUNCTION("""COMPUTED_VALUE"""),"重装出击-钢拳队长-T2")</f>
        <v>重装出击-钢拳队长-T2</v>
      </c>
      <c r="C495" s="148">
        <f>IFERROR(__xludf.DUMMYFUNCTION("""COMPUTED_VALUE"""),1.1221004E7)</f>
        <v>11221004</v>
      </c>
      <c r="D495" s="148">
        <f>IFERROR(__xludf.DUMMYFUNCTION("""COMPUTED_VALUE"""),1.5114053E7)</f>
        <v>15114053</v>
      </c>
      <c r="E495" s="148" t="str">
        <f>IFERROR(__xludf.DUMMYFUNCTION("""COMPUTED_VALUE"""),"{}")</f>
        <v>{}</v>
      </c>
      <c r="F495" s="148" t="str">
        <f>IFERROR(__xludf.DUMMYFUNCTION("""COMPUTED_VALUE"""),"{}")</f>
        <v>{}</v>
      </c>
      <c r="G495" s="148">
        <f>IFERROR(__xludf.DUMMYFUNCTION("""COMPUTED_VALUE"""),2.0)</f>
        <v>2</v>
      </c>
      <c r="H495" s="148">
        <f>IFERROR(__xludf.DUMMYFUNCTION("""COMPUTED_VALUE"""),10099.0)</f>
        <v>10099</v>
      </c>
      <c r="I495" s="148">
        <f>IFERROR(__xludf.DUMMYFUNCTION("""COMPUTED_VALUE"""),10099.0)</f>
        <v>10099</v>
      </c>
      <c r="J495" s="148">
        <f>IFERROR(__xludf.DUMMYFUNCTION("""COMPUTED_VALUE"""),0.0)</f>
        <v>0</v>
      </c>
      <c r="K495" s="148">
        <f>IFERROR(__xludf.DUMMYFUNCTION("""COMPUTED_VALUE"""),10.0)</f>
        <v>10</v>
      </c>
      <c r="L495" s="148">
        <f>IFERROR(__xludf.DUMMYFUNCTION("""COMPUTED_VALUE"""),50.0)</f>
        <v>50</v>
      </c>
      <c r="M495" s="148">
        <f>IFERROR(__xludf.DUMMYFUNCTION("""COMPUTED_VALUE"""),0.0)</f>
        <v>0</v>
      </c>
      <c r="N495" s="148" t="str">
        <f>IFERROR(__xludf.DUMMYFUNCTION("""COMPUTED_VALUE"""),"[]")</f>
        <v>[]</v>
      </c>
      <c r="O495" s="148" t="str">
        <f>IFERROR(__xludf.DUMMYFUNCTION("""COMPUTED_VALUE"""),"{}")</f>
        <v>{}</v>
      </c>
      <c r="P495" s="148">
        <f>IFERROR(__xludf.DUMMYFUNCTION("""COMPUTED_VALUE"""),0.0)</f>
        <v>0</v>
      </c>
      <c r="Q495" s="148" t="str">
        <f>IFERROR(__xludf.DUMMYFUNCTION("""COMPUTED_VALUE"""),"[]")</f>
        <v>[]</v>
      </c>
      <c r="R495" s="148" t="str">
        <f>IFERROR(__xludf.DUMMYFUNCTION("""COMPUTED_VALUE"""),"{}")</f>
        <v>{}</v>
      </c>
      <c r="S495" s="148">
        <f>IFERROR(__xludf.DUMMYFUNCTION("""COMPUTED_VALUE"""),0.0)</f>
        <v>0</v>
      </c>
      <c r="T495" s="148" t="str">
        <f>IFERROR(__xludf.DUMMYFUNCTION("""COMPUTED_VALUE"""),"[]")</f>
        <v>[]</v>
      </c>
      <c r="U495" s="148">
        <f>IFERROR(__xludf.DUMMYFUNCTION("""COMPUTED_VALUE"""),0.0)</f>
        <v>0</v>
      </c>
      <c r="V495" s="148" t="str">
        <f>IFERROR(__xludf.DUMMYFUNCTION("""COMPUTED_VALUE"""),"{}")</f>
        <v>{}</v>
      </c>
      <c r="W495" s="148" t="str">
        <f>IFERROR(__xludf.DUMMYFUNCTION("""COMPUTED_VALUE"""),"[]")</f>
        <v>[]</v>
      </c>
      <c r="X495" s="148" t="str">
        <f>IFERROR(__xludf.DUMMYFUNCTION("""COMPUTED_VALUE"""),"[{""typ"":""power"",""id"":12141002,""val"":2}]")</f>
        <v>[{"typ":"power","id":12141002,"val":2}]</v>
      </c>
      <c r="Y495" s="148" t="str">
        <f>IFERROR(__xludf.DUMMYFUNCTION("""COMPUTED_VALUE"""),"[{""typ"":""atk"",""val"":120},{""typ"":""def"",""val"":130},{""typ"":""hp"",""val"":130},{""typ"":""speed"",""val"":40},{""typ"":""load"",""val"":20},{""typ"":""backcoef"",""val"":0.5},{""typ"":""atkcoef"",""val"":1.0},{""typ"":""atkcd"",""val"":0}]")</f>
        <v>[{"typ":"atk","val":120},{"typ":"def","val":130},{"typ":"hp","val":130},{"typ":"speed","val":40},{"typ":"load","val":20},{"typ":"backcoef","val":0.5},{"typ":"atkcoef","val":1.0},{"typ":"atkcd","val":0}]</v>
      </c>
      <c r="Z495" s="148" t="str">
        <f>IFERROR(__xludf.DUMMYFUNCTION("""COMPUTED_VALUE"""),"[]")</f>
        <v>[]</v>
      </c>
    </row>
    <row r="496">
      <c r="A496" s="148">
        <f>IFERROR(__xludf.DUMMYFUNCTION("""COMPUTED_VALUE"""),1.1219633E7)</f>
        <v>11219633</v>
      </c>
      <c r="B496" s="148" t="str">
        <f>IFERROR(__xludf.DUMMYFUNCTION("""COMPUTED_VALUE"""),"重装出击-钢拳队长-T3")</f>
        <v>重装出击-钢拳队长-T3</v>
      </c>
      <c r="C496" s="148">
        <f>IFERROR(__xludf.DUMMYFUNCTION("""COMPUTED_VALUE"""),1.1221004E7)</f>
        <v>11221004</v>
      </c>
      <c r="D496" s="148">
        <f>IFERROR(__xludf.DUMMYFUNCTION("""COMPUTED_VALUE"""),1.5114053E7)</f>
        <v>15114053</v>
      </c>
      <c r="E496" s="148" t="str">
        <f>IFERROR(__xludf.DUMMYFUNCTION("""COMPUTED_VALUE"""),"{}")</f>
        <v>{}</v>
      </c>
      <c r="F496" s="148" t="str">
        <f>IFERROR(__xludf.DUMMYFUNCTION("""COMPUTED_VALUE"""),"{}")</f>
        <v>{}</v>
      </c>
      <c r="G496" s="148">
        <f>IFERROR(__xludf.DUMMYFUNCTION("""COMPUTED_VALUE"""),2.0)</f>
        <v>2</v>
      </c>
      <c r="H496" s="148">
        <f>IFERROR(__xludf.DUMMYFUNCTION("""COMPUTED_VALUE"""),10099.0)</f>
        <v>10099</v>
      </c>
      <c r="I496" s="148">
        <f>IFERROR(__xludf.DUMMYFUNCTION("""COMPUTED_VALUE"""),10099.0)</f>
        <v>10099</v>
      </c>
      <c r="J496" s="148">
        <f>IFERROR(__xludf.DUMMYFUNCTION("""COMPUTED_VALUE"""),0.0)</f>
        <v>0</v>
      </c>
      <c r="K496" s="148">
        <f>IFERROR(__xludf.DUMMYFUNCTION("""COMPUTED_VALUE"""),10.0)</f>
        <v>10</v>
      </c>
      <c r="L496" s="148">
        <f>IFERROR(__xludf.DUMMYFUNCTION("""COMPUTED_VALUE"""),50.0)</f>
        <v>50</v>
      </c>
      <c r="M496" s="148">
        <f>IFERROR(__xludf.DUMMYFUNCTION("""COMPUTED_VALUE"""),0.0)</f>
        <v>0</v>
      </c>
      <c r="N496" s="148" t="str">
        <f>IFERROR(__xludf.DUMMYFUNCTION("""COMPUTED_VALUE"""),"[]")</f>
        <v>[]</v>
      </c>
      <c r="O496" s="148" t="str">
        <f>IFERROR(__xludf.DUMMYFUNCTION("""COMPUTED_VALUE"""),"{}")</f>
        <v>{}</v>
      </c>
      <c r="P496" s="148">
        <f>IFERROR(__xludf.DUMMYFUNCTION("""COMPUTED_VALUE"""),0.0)</f>
        <v>0</v>
      </c>
      <c r="Q496" s="148" t="str">
        <f>IFERROR(__xludf.DUMMYFUNCTION("""COMPUTED_VALUE"""),"[]")</f>
        <v>[]</v>
      </c>
      <c r="R496" s="148" t="str">
        <f>IFERROR(__xludf.DUMMYFUNCTION("""COMPUTED_VALUE"""),"{}")</f>
        <v>{}</v>
      </c>
      <c r="S496" s="148">
        <f>IFERROR(__xludf.DUMMYFUNCTION("""COMPUTED_VALUE"""),0.0)</f>
        <v>0</v>
      </c>
      <c r="T496" s="148" t="str">
        <f>IFERROR(__xludf.DUMMYFUNCTION("""COMPUTED_VALUE"""),"[]")</f>
        <v>[]</v>
      </c>
      <c r="U496" s="148">
        <f>IFERROR(__xludf.DUMMYFUNCTION("""COMPUTED_VALUE"""),0.0)</f>
        <v>0</v>
      </c>
      <c r="V496" s="148" t="str">
        <f>IFERROR(__xludf.DUMMYFUNCTION("""COMPUTED_VALUE"""),"{}")</f>
        <v>{}</v>
      </c>
      <c r="W496" s="148" t="str">
        <f>IFERROR(__xludf.DUMMYFUNCTION("""COMPUTED_VALUE"""),"[]")</f>
        <v>[]</v>
      </c>
      <c r="X496" s="148" t="str">
        <f>IFERROR(__xludf.DUMMYFUNCTION("""COMPUTED_VALUE"""),"[{""typ"":""power"",""id"":12141002,""val"":4}]")</f>
        <v>[{"typ":"power","id":12141002,"val":4}]</v>
      </c>
      <c r="Y496" s="148" t="str">
        <f>IFERROR(__xludf.DUMMYFUNCTION("""COMPUTED_VALUE"""),"[{""typ"":""atk"",""val"":160},{""typ"":""def"",""val"":160},{""typ"":""hp"",""val"":160},{""typ"":""speed"",""val"":40},{""typ"":""load"",""val"":20},{""typ"":""backcoef"",""val"":0.5},{""typ"":""atkcoef"",""val"":1.0},{""typ"":""atkcd"",""val"":0}]")</f>
        <v>[{"typ":"atk","val":160},{"typ":"def","val":160},{"typ":"hp","val":160},{"typ":"speed","val":40},{"typ":"load","val":20},{"typ":"backcoef","val":0.5},{"typ":"atkcoef","val":1.0},{"typ":"atkcd","val":0}]</v>
      </c>
      <c r="Z496" s="148" t="str">
        <f>IFERROR(__xludf.DUMMYFUNCTION("""COMPUTED_VALUE"""),"[]")</f>
        <v>[]</v>
      </c>
    </row>
    <row r="497">
      <c r="A497" s="148">
        <f>IFERROR(__xludf.DUMMYFUNCTION("""COMPUTED_VALUE"""),1.1219634E7)</f>
        <v>11219634</v>
      </c>
      <c r="B497" s="148" t="str">
        <f>IFERROR(__xludf.DUMMYFUNCTION("""COMPUTED_VALUE"""),"重装出击-钢拳队长-T4")</f>
        <v>重装出击-钢拳队长-T4</v>
      </c>
      <c r="C497" s="148">
        <f>IFERROR(__xludf.DUMMYFUNCTION("""COMPUTED_VALUE"""),1.1221004E7)</f>
        <v>11221004</v>
      </c>
      <c r="D497" s="148">
        <f>IFERROR(__xludf.DUMMYFUNCTION("""COMPUTED_VALUE"""),1.5114053E7)</f>
        <v>15114053</v>
      </c>
      <c r="E497" s="148" t="str">
        <f>IFERROR(__xludf.DUMMYFUNCTION("""COMPUTED_VALUE"""),"{}")</f>
        <v>{}</v>
      </c>
      <c r="F497" s="148" t="str">
        <f>IFERROR(__xludf.DUMMYFUNCTION("""COMPUTED_VALUE"""),"{}")</f>
        <v>{}</v>
      </c>
      <c r="G497" s="148">
        <f>IFERROR(__xludf.DUMMYFUNCTION("""COMPUTED_VALUE"""),2.0)</f>
        <v>2</v>
      </c>
      <c r="H497" s="148">
        <f>IFERROR(__xludf.DUMMYFUNCTION("""COMPUTED_VALUE"""),10099.0)</f>
        <v>10099</v>
      </c>
      <c r="I497" s="148">
        <f>IFERROR(__xludf.DUMMYFUNCTION("""COMPUTED_VALUE"""),10099.0)</f>
        <v>10099</v>
      </c>
      <c r="J497" s="148">
        <f>IFERROR(__xludf.DUMMYFUNCTION("""COMPUTED_VALUE"""),0.0)</f>
        <v>0</v>
      </c>
      <c r="K497" s="148">
        <f>IFERROR(__xludf.DUMMYFUNCTION("""COMPUTED_VALUE"""),10.0)</f>
        <v>10</v>
      </c>
      <c r="L497" s="148">
        <f>IFERROR(__xludf.DUMMYFUNCTION("""COMPUTED_VALUE"""),50.0)</f>
        <v>50</v>
      </c>
      <c r="M497" s="148">
        <f>IFERROR(__xludf.DUMMYFUNCTION("""COMPUTED_VALUE"""),0.0)</f>
        <v>0</v>
      </c>
      <c r="N497" s="148" t="str">
        <f>IFERROR(__xludf.DUMMYFUNCTION("""COMPUTED_VALUE"""),"[]")</f>
        <v>[]</v>
      </c>
      <c r="O497" s="148" t="str">
        <f>IFERROR(__xludf.DUMMYFUNCTION("""COMPUTED_VALUE"""),"{}")</f>
        <v>{}</v>
      </c>
      <c r="P497" s="148">
        <f>IFERROR(__xludf.DUMMYFUNCTION("""COMPUTED_VALUE"""),0.0)</f>
        <v>0</v>
      </c>
      <c r="Q497" s="148" t="str">
        <f>IFERROR(__xludf.DUMMYFUNCTION("""COMPUTED_VALUE"""),"[]")</f>
        <v>[]</v>
      </c>
      <c r="R497" s="148" t="str">
        <f>IFERROR(__xludf.DUMMYFUNCTION("""COMPUTED_VALUE"""),"{}")</f>
        <v>{}</v>
      </c>
      <c r="S497" s="148">
        <f>IFERROR(__xludf.DUMMYFUNCTION("""COMPUTED_VALUE"""),0.0)</f>
        <v>0</v>
      </c>
      <c r="T497" s="148" t="str">
        <f>IFERROR(__xludf.DUMMYFUNCTION("""COMPUTED_VALUE"""),"[]")</f>
        <v>[]</v>
      </c>
      <c r="U497" s="148">
        <f>IFERROR(__xludf.DUMMYFUNCTION("""COMPUTED_VALUE"""),0.0)</f>
        <v>0</v>
      </c>
      <c r="V497" s="148" t="str">
        <f>IFERROR(__xludf.DUMMYFUNCTION("""COMPUTED_VALUE"""),"{}")</f>
        <v>{}</v>
      </c>
      <c r="W497" s="148" t="str">
        <f>IFERROR(__xludf.DUMMYFUNCTION("""COMPUTED_VALUE"""),"[]")</f>
        <v>[]</v>
      </c>
      <c r="X497" s="148" t="str">
        <f>IFERROR(__xludf.DUMMYFUNCTION("""COMPUTED_VALUE"""),"[{""typ"":""power"",""id"":12141002,""val"":6}]")</f>
        <v>[{"typ":"power","id":12141002,"val":6}]</v>
      </c>
      <c r="Y497" s="148" t="str">
        <f>IFERROR(__xludf.DUMMYFUNCTION("""COMPUTED_VALUE"""),"[{""typ"":""atk"",""val"":200},{""typ"":""def"",""val"":190},{""typ"":""hp"",""val"":180},{""typ"":""speed"",""val"":40},{""typ"":""load"",""val"":20},{""typ"":""backcoef"",""val"":0.5},{""typ"":""atkcoef"",""val"":1.0},{""typ"":""atkcd"",""val"":0}]")</f>
        <v>[{"typ":"atk","val":200},{"typ":"def","val":190},{"typ":"hp","val":180},{"typ":"speed","val":40},{"typ":"load","val":20},{"typ":"backcoef","val":0.5},{"typ":"atkcoef","val":1.0},{"typ":"atkcd","val":0}]</v>
      </c>
      <c r="Z497" s="148" t="str">
        <f>IFERROR(__xludf.DUMMYFUNCTION("""COMPUTED_VALUE"""),"[]")</f>
        <v>[]</v>
      </c>
    </row>
    <row r="498">
      <c r="A498" s="148">
        <f>IFERROR(__xludf.DUMMYFUNCTION("""COMPUTED_VALUE"""),1.1219635E7)</f>
        <v>11219635</v>
      </c>
      <c r="B498" s="148" t="str">
        <f>IFERROR(__xludf.DUMMYFUNCTION("""COMPUTED_VALUE"""),"重装出击-钢拳队长-T5")</f>
        <v>重装出击-钢拳队长-T5</v>
      </c>
      <c r="C498" s="148">
        <f>IFERROR(__xludf.DUMMYFUNCTION("""COMPUTED_VALUE"""),1.1221004E7)</f>
        <v>11221004</v>
      </c>
      <c r="D498" s="148">
        <f>IFERROR(__xludf.DUMMYFUNCTION("""COMPUTED_VALUE"""),1.5114053E7)</f>
        <v>15114053</v>
      </c>
      <c r="E498" s="148" t="str">
        <f>IFERROR(__xludf.DUMMYFUNCTION("""COMPUTED_VALUE"""),"{}")</f>
        <v>{}</v>
      </c>
      <c r="F498" s="148" t="str">
        <f>IFERROR(__xludf.DUMMYFUNCTION("""COMPUTED_VALUE"""),"{}")</f>
        <v>{}</v>
      </c>
      <c r="G498" s="148">
        <f>IFERROR(__xludf.DUMMYFUNCTION("""COMPUTED_VALUE"""),2.0)</f>
        <v>2</v>
      </c>
      <c r="H498" s="148">
        <f>IFERROR(__xludf.DUMMYFUNCTION("""COMPUTED_VALUE"""),10099.0)</f>
        <v>10099</v>
      </c>
      <c r="I498" s="148">
        <f>IFERROR(__xludf.DUMMYFUNCTION("""COMPUTED_VALUE"""),10099.0)</f>
        <v>10099</v>
      </c>
      <c r="J498" s="148">
        <f>IFERROR(__xludf.DUMMYFUNCTION("""COMPUTED_VALUE"""),0.0)</f>
        <v>0</v>
      </c>
      <c r="K498" s="148">
        <f>IFERROR(__xludf.DUMMYFUNCTION("""COMPUTED_VALUE"""),10.0)</f>
        <v>10</v>
      </c>
      <c r="L498" s="148">
        <f>IFERROR(__xludf.DUMMYFUNCTION("""COMPUTED_VALUE"""),50.0)</f>
        <v>50</v>
      </c>
      <c r="M498" s="148">
        <f>IFERROR(__xludf.DUMMYFUNCTION("""COMPUTED_VALUE"""),0.0)</f>
        <v>0</v>
      </c>
      <c r="N498" s="148" t="str">
        <f>IFERROR(__xludf.DUMMYFUNCTION("""COMPUTED_VALUE"""),"[]")</f>
        <v>[]</v>
      </c>
      <c r="O498" s="148" t="str">
        <f>IFERROR(__xludf.DUMMYFUNCTION("""COMPUTED_VALUE"""),"{}")</f>
        <v>{}</v>
      </c>
      <c r="P498" s="148">
        <f>IFERROR(__xludf.DUMMYFUNCTION("""COMPUTED_VALUE"""),0.0)</f>
        <v>0</v>
      </c>
      <c r="Q498" s="148" t="str">
        <f>IFERROR(__xludf.DUMMYFUNCTION("""COMPUTED_VALUE"""),"[]")</f>
        <v>[]</v>
      </c>
      <c r="R498" s="148" t="str">
        <f>IFERROR(__xludf.DUMMYFUNCTION("""COMPUTED_VALUE"""),"{}")</f>
        <v>{}</v>
      </c>
      <c r="S498" s="148">
        <f>IFERROR(__xludf.DUMMYFUNCTION("""COMPUTED_VALUE"""),0.0)</f>
        <v>0</v>
      </c>
      <c r="T498" s="148" t="str">
        <f>IFERROR(__xludf.DUMMYFUNCTION("""COMPUTED_VALUE"""),"[]")</f>
        <v>[]</v>
      </c>
      <c r="U498" s="148">
        <f>IFERROR(__xludf.DUMMYFUNCTION("""COMPUTED_VALUE"""),0.0)</f>
        <v>0</v>
      </c>
      <c r="V498" s="148" t="str">
        <f>IFERROR(__xludf.DUMMYFUNCTION("""COMPUTED_VALUE"""),"{}")</f>
        <v>{}</v>
      </c>
      <c r="W498" s="148" t="str">
        <f>IFERROR(__xludf.DUMMYFUNCTION("""COMPUTED_VALUE"""),"[]")</f>
        <v>[]</v>
      </c>
      <c r="X498" s="148" t="str">
        <f>IFERROR(__xludf.DUMMYFUNCTION("""COMPUTED_VALUE"""),"[{""typ"":""power"",""id"":12141002,""val"":10}]")</f>
        <v>[{"typ":"power","id":12141002,"val":10}]</v>
      </c>
      <c r="Y498" s="148" t="str">
        <f>IFERROR(__xludf.DUMMYFUNCTION("""COMPUTED_VALUE"""),"[{""typ"":""atk"",""val"":230},{""typ"":""def"",""val"":210},{""typ"":""hp"",""val"":210},{""typ"":""speed"",""val"":40},{""typ"":""load"",""val"":20},{""typ"":""backcoef"",""val"":0.5},{""typ"":""atkcoef"",""val"":1.0},{""typ"":""atkcd"",""val"":0}]")</f>
        <v>[{"typ":"atk","val":230},{"typ":"def","val":210},{"typ":"hp","val":210},{"typ":"speed","val":40},{"typ":"load","val":20},{"typ":"backcoef","val":0.5},{"typ":"atkcoef","val":1.0},{"typ":"atkcd","val":0}]</v>
      </c>
      <c r="Z498" s="148" t="str">
        <f>IFERROR(__xludf.DUMMYFUNCTION("""COMPUTED_VALUE"""),"[]")</f>
        <v>[]</v>
      </c>
    </row>
    <row r="499">
      <c r="A499" s="148">
        <f>IFERROR(__xludf.DUMMYFUNCTION("""COMPUTED_VALUE"""),1.1219636E7)</f>
        <v>11219636</v>
      </c>
      <c r="B499" s="148" t="str">
        <f>IFERROR(__xludf.DUMMYFUNCTION("""COMPUTED_VALUE"""),"重装出击-改造猴暴君-T1")</f>
        <v>重装出击-改造猴暴君-T1</v>
      </c>
      <c r="C499" s="148">
        <f>IFERROR(__xludf.DUMMYFUNCTION("""COMPUTED_VALUE"""),1.1221004E7)</f>
        <v>11221004</v>
      </c>
      <c r="D499" s="148">
        <f>IFERROR(__xludf.DUMMYFUNCTION("""COMPUTED_VALUE"""),1.5114299E7)</f>
        <v>15114299</v>
      </c>
      <c r="E499" s="148" t="str">
        <f>IFERROR(__xludf.DUMMYFUNCTION("""COMPUTED_VALUE"""),"{}")</f>
        <v>{}</v>
      </c>
      <c r="F499" s="148" t="str">
        <f>IFERROR(__xludf.DUMMYFUNCTION("""COMPUTED_VALUE"""),"{}")</f>
        <v>{}</v>
      </c>
      <c r="G499" s="148">
        <f>IFERROR(__xludf.DUMMYFUNCTION("""COMPUTED_VALUE"""),2.0)</f>
        <v>2</v>
      </c>
      <c r="H499" s="148">
        <f>IFERROR(__xludf.DUMMYFUNCTION("""COMPUTED_VALUE"""),10099.0)</f>
        <v>10099</v>
      </c>
      <c r="I499" s="148">
        <f>IFERROR(__xludf.DUMMYFUNCTION("""COMPUTED_VALUE"""),10099.0)</f>
        <v>10099</v>
      </c>
      <c r="J499" s="148">
        <f>IFERROR(__xludf.DUMMYFUNCTION("""COMPUTED_VALUE"""),0.0)</f>
        <v>0</v>
      </c>
      <c r="K499" s="148">
        <f>IFERROR(__xludf.DUMMYFUNCTION("""COMPUTED_VALUE"""),10.0)</f>
        <v>10</v>
      </c>
      <c r="L499" s="148">
        <f>IFERROR(__xludf.DUMMYFUNCTION("""COMPUTED_VALUE"""),50.0)</f>
        <v>50</v>
      </c>
      <c r="M499" s="148">
        <f>IFERROR(__xludf.DUMMYFUNCTION("""COMPUTED_VALUE"""),0.0)</f>
        <v>0</v>
      </c>
      <c r="N499" s="148" t="str">
        <f>IFERROR(__xludf.DUMMYFUNCTION("""COMPUTED_VALUE"""),"[]")</f>
        <v>[]</v>
      </c>
      <c r="O499" s="148" t="str">
        <f>IFERROR(__xludf.DUMMYFUNCTION("""COMPUTED_VALUE"""),"{}")</f>
        <v>{}</v>
      </c>
      <c r="P499" s="148">
        <f>IFERROR(__xludf.DUMMYFUNCTION("""COMPUTED_VALUE"""),0.0)</f>
        <v>0</v>
      </c>
      <c r="Q499" s="148" t="str">
        <f>IFERROR(__xludf.DUMMYFUNCTION("""COMPUTED_VALUE"""),"[]")</f>
        <v>[]</v>
      </c>
      <c r="R499" s="148" t="str">
        <f>IFERROR(__xludf.DUMMYFUNCTION("""COMPUTED_VALUE"""),"{}")</f>
        <v>{}</v>
      </c>
      <c r="S499" s="148">
        <f>IFERROR(__xludf.DUMMYFUNCTION("""COMPUTED_VALUE"""),0.0)</f>
        <v>0</v>
      </c>
      <c r="T499" s="148" t="str">
        <f>IFERROR(__xludf.DUMMYFUNCTION("""COMPUTED_VALUE"""),"[]")</f>
        <v>[]</v>
      </c>
      <c r="U499" s="148">
        <f>IFERROR(__xludf.DUMMYFUNCTION("""COMPUTED_VALUE"""),0.0)</f>
        <v>0</v>
      </c>
      <c r="V499" s="148" t="str">
        <f>IFERROR(__xludf.DUMMYFUNCTION("""COMPUTED_VALUE"""),"{}")</f>
        <v>{}</v>
      </c>
      <c r="W499" s="148" t="str">
        <f>IFERROR(__xludf.DUMMYFUNCTION("""COMPUTED_VALUE"""),"[]")</f>
        <v>[]</v>
      </c>
      <c r="X499" s="148" t="str">
        <f>IFERROR(__xludf.DUMMYFUNCTION("""COMPUTED_VALUE"""),"[{""typ"":""power"",""id"":12141002,""val"":1}]")</f>
        <v>[{"typ":"power","id":12141002,"val":1}]</v>
      </c>
      <c r="Y499" s="148" t="str">
        <f>IFERROR(__xludf.DUMMYFUNCTION("""COMPUTED_VALUE"""),"[{""typ"":""atk"",""val"":60},{""typ"":""def"",""val"":125},{""typ"":""hp"",""val"":120},{""typ"":""speed"",""val"":40},{""typ"":""load"",""val"":20},{""typ"":""backcoef"",""val"":0.5},{""typ"":""atkcoef"",""val"":1.0},{""typ"":""atkcd"",""val"":0}]")</f>
        <v>[{"typ":"atk","val":60},{"typ":"def","val":125},{"typ":"hp","val":120},{"typ":"speed","val":40},{"typ":"load","val":20},{"typ":"backcoef","val":0.5},{"typ":"atkcoef","val":1.0},{"typ":"atkcd","val":0}]</v>
      </c>
      <c r="Z499" s="148" t="str">
        <f>IFERROR(__xludf.DUMMYFUNCTION("""COMPUTED_VALUE"""),"[]")</f>
        <v>[]</v>
      </c>
    </row>
    <row r="500">
      <c r="A500" s="148">
        <f>IFERROR(__xludf.DUMMYFUNCTION("""COMPUTED_VALUE"""),1.1219637E7)</f>
        <v>11219637</v>
      </c>
      <c r="B500" s="148" t="str">
        <f>IFERROR(__xludf.DUMMYFUNCTION("""COMPUTED_VALUE"""),"重装出击-改造猴暴君-T2")</f>
        <v>重装出击-改造猴暴君-T2</v>
      </c>
      <c r="C500" s="148">
        <f>IFERROR(__xludf.DUMMYFUNCTION("""COMPUTED_VALUE"""),1.1221004E7)</f>
        <v>11221004</v>
      </c>
      <c r="D500" s="148">
        <f>IFERROR(__xludf.DUMMYFUNCTION("""COMPUTED_VALUE"""),1.5114299E7)</f>
        <v>15114299</v>
      </c>
      <c r="E500" s="148" t="str">
        <f>IFERROR(__xludf.DUMMYFUNCTION("""COMPUTED_VALUE"""),"{}")</f>
        <v>{}</v>
      </c>
      <c r="F500" s="148" t="str">
        <f>IFERROR(__xludf.DUMMYFUNCTION("""COMPUTED_VALUE"""),"{}")</f>
        <v>{}</v>
      </c>
      <c r="G500" s="148">
        <f>IFERROR(__xludf.DUMMYFUNCTION("""COMPUTED_VALUE"""),2.0)</f>
        <v>2</v>
      </c>
      <c r="H500" s="148">
        <f>IFERROR(__xludf.DUMMYFUNCTION("""COMPUTED_VALUE"""),10099.0)</f>
        <v>10099</v>
      </c>
      <c r="I500" s="148">
        <f>IFERROR(__xludf.DUMMYFUNCTION("""COMPUTED_VALUE"""),10099.0)</f>
        <v>10099</v>
      </c>
      <c r="J500" s="148">
        <f>IFERROR(__xludf.DUMMYFUNCTION("""COMPUTED_VALUE"""),0.0)</f>
        <v>0</v>
      </c>
      <c r="K500" s="148">
        <f>IFERROR(__xludf.DUMMYFUNCTION("""COMPUTED_VALUE"""),10.0)</f>
        <v>10</v>
      </c>
      <c r="L500" s="148">
        <f>IFERROR(__xludf.DUMMYFUNCTION("""COMPUTED_VALUE"""),50.0)</f>
        <v>50</v>
      </c>
      <c r="M500" s="148">
        <f>IFERROR(__xludf.DUMMYFUNCTION("""COMPUTED_VALUE"""),0.0)</f>
        <v>0</v>
      </c>
      <c r="N500" s="148" t="str">
        <f>IFERROR(__xludf.DUMMYFUNCTION("""COMPUTED_VALUE"""),"[]")</f>
        <v>[]</v>
      </c>
      <c r="O500" s="148" t="str">
        <f>IFERROR(__xludf.DUMMYFUNCTION("""COMPUTED_VALUE"""),"{}")</f>
        <v>{}</v>
      </c>
      <c r="P500" s="148">
        <f>IFERROR(__xludf.DUMMYFUNCTION("""COMPUTED_VALUE"""),0.0)</f>
        <v>0</v>
      </c>
      <c r="Q500" s="148" t="str">
        <f>IFERROR(__xludf.DUMMYFUNCTION("""COMPUTED_VALUE"""),"[]")</f>
        <v>[]</v>
      </c>
      <c r="R500" s="148" t="str">
        <f>IFERROR(__xludf.DUMMYFUNCTION("""COMPUTED_VALUE"""),"{}")</f>
        <v>{}</v>
      </c>
      <c r="S500" s="148">
        <f>IFERROR(__xludf.DUMMYFUNCTION("""COMPUTED_VALUE"""),0.0)</f>
        <v>0</v>
      </c>
      <c r="T500" s="148" t="str">
        <f>IFERROR(__xludf.DUMMYFUNCTION("""COMPUTED_VALUE"""),"[]")</f>
        <v>[]</v>
      </c>
      <c r="U500" s="148">
        <f>IFERROR(__xludf.DUMMYFUNCTION("""COMPUTED_VALUE"""),0.0)</f>
        <v>0</v>
      </c>
      <c r="V500" s="148" t="str">
        <f>IFERROR(__xludf.DUMMYFUNCTION("""COMPUTED_VALUE"""),"{}")</f>
        <v>{}</v>
      </c>
      <c r="W500" s="148" t="str">
        <f>IFERROR(__xludf.DUMMYFUNCTION("""COMPUTED_VALUE"""),"[]")</f>
        <v>[]</v>
      </c>
      <c r="X500" s="148" t="str">
        <f>IFERROR(__xludf.DUMMYFUNCTION("""COMPUTED_VALUE"""),"[{""typ"":""power"",""id"":12141002,""val"":2}]")</f>
        <v>[{"typ":"power","id":12141002,"val":2}]</v>
      </c>
      <c r="Y500" s="148" t="str">
        <f>IFERROR(__xludf.DUMMYFUNCTION("""COMPUTED_VALUE"""),"[{""typ"":""atk"",""val"":120},{""typ"":""def"",""val"":130},{""typ"":""hp"",""val"":130},{""typ"":""speed"",""val"":40},{""typ"":""load"",""val"":20},{""typ"":""backcoef"",""val"":0.5},{""typ"":""atkcoef"",""val"":1.0},{""typ"":""atkcd"",""val"":0}]")</f>
        <v>[{"typ":"atk","val":120},{"typ":"def","val":130},{"typ":"hp","val":130},{"typ":"speed","val":40},{"typ":"load","val":20},{"typ":"backcoef","val":0.5},{"typ":"atkcoef","val":1.0},{"typ":"atkcd","val":0}]</v>
      </c>
      <c r="Z500" s="148" t="str">
        <f>IFERROR(__xludf.DUMMYFUNCTION("""COMPUTED_VALUE"""),"[]")</f>
        <v>[]</v>
      </c>
    </row>
    <row r="501">
      <c r="A501" s="148">
        <f>IFERROR(__xludf.DUMMYFUNCTION("""COMPUTED_VALUE"""),1.1219638E7)</f>
        <v>11219638</v>
      </c>
      <c r="B501" s="148" t="str">
        <f>IFERROR(__xludf.DUMMYFUNCTION("""COMPUTED_VALUE"""),"重装出击-改造猴暴君-T3")</f>
        <v>重装出击-改造猴暴君-T3</v>
      </c>
      <c r="C501" s="148">
        <f>IFERROR(__xludf.DUMMYFUNCTION("""COMPUTED_VALUE"""),1.1221004E7)</f>
        <v>11221004</v>
      </c>
      <c r="D501" s="148">
        <f>IFERROR(__xludf.DUMMYFUNCTION("""COMPUTED_VALUE"""),1.5114299E7)</f>
        <v>15114299</v>
      </c>
      <c r="E501" s="148" t="str">
        <f>IFERROR(__xludf.DUMMYFUNCTION("""COMPUTED_VALUE"""),"{}")</f>
        <v>{}</v>
      </c>
      <c r="F501" s="148" t="str">
        <f>IFERROR(__xludf.DUMMYFUNCTION("""COMPUTED_VALUE"""),"{}")</f>
        <v>{}</v>
      </c>
      <c r="G501" s="148">
        <f>IFERROR(__xludf.DUMMYFUNCTION("""COMPUTED_VALUE"""),2.0)</f>
        <v>2</v>
      </c>
      <c r="H501" s="148">
        <f>IFERROR(__xludf.DUMMYFUNCTION("""COMPUTED_VALUE"""),10099.0)</f>
        <v>10099</v>
      </c>
      <c r="I501" s="148">
        <f>IFERROR(__xludf.DUMMYFUNCTION("""COMPUTED_VALUE"""),10099.0)</f>
        <v>10099</v>
      </c>
      <c r="J501" s="148">
        <f>IFERROR(__xludf.DUMMYFUNCTION("""COMPUTED_VALUE"""),0.0)</f>
        <v>0</v>
      </c>
      <c r="K501" s="148">
        <f>IFERROR(__xludf.DUMMYFUNCTION("""COMPUTED_VALUE"""),10.0)</f>
        <v>10</v>
      </c>
      <c r="L501" s="148">
        <f>IFERROR(__xludf.DUMMYFUNCTION("""COMPUTED_VALUE"""),50.0)</f>
        <v>50</v>
      </c>
      <c r="M501" s="148">
        <f>IFERROR(__xludf.DUMMYFUNCTION("""COMPUTED_VALUE"""),0.0)</f>
        <v>0</v>
      </c>
      <c r="N501" s="148" t="str">
        <f>IFERROR(__xludf.DUMMYFUNCTION("""COMPUTED_VALUE"""),"[]")</f>
        <v>[]</v>
      </c>
      <c r="O501" s="148" t="str">
        <f>IFERROR(__xludf.DUMMYFUNCTION("""COMPUTED_VALUE"""),"{}")</f>
        <v>{}</v>
      </c>
      <c r="P501" s="148">
        <f>IFERROR(__xludf.DUMMYFUNCTION("""COMPUTED_VALUE"""),0.0)</f>
        <v>0</v>
      </c>
      <c r="Q501" s="148" t="str">
        <f>IFERROR(__xludf.DUMMYFUNCTION("""COMPUTED_VALUE"""),"[]")</f>
        <v>[]</v>
      </c>
      <c r="R501" s="148" t="str">
        <f>IFERROR(__xludf.DUMMYFUNCTION("""COMPUTED_VALUE"""),"{}")</f>
        <v>{}</v>
      </c>
      <c r="S501" s="148">
        <f>IFERROR(__xludf.DUMMYFUNCTION("""COMPUTED_VALUE"""),0.0)</f>
        <v>0</v>
      </c>
      <c r="T501" s="148" t="str">
        <f>IFERROR(__xludf.DUMMYFUNCTION("""COMPUTED_VALUE"""),"[]")</f>
        <v>[]</v>
      </c>
      <c r="U501" s="148">
        <f>IFERROR(__xludf.DUMMYFUNCTION("""COMPUTED_VALUE"""),0.0)</f>
        <v>0</v>
      </c>
      <c r="V501" s="148" t="str">
        <f>IFERROR(__xludf.DUMMYFUNCTION("""COMPUTED_VALUE"""),"{}")</f>
        <v>{}</v>
      </c>
      <c r="W501" s="148" t="str">
        <f>IFERROR(__xludf.DUMMYFUNCTION("""COMPUTED_VALUE"""),"[]")</f>
        <v>[]</v>
      </c>
      <c r="X501" s="148" t="str">
        <f>IFERROR(__xludf.DUMMYFUNCTION("""COMPUTED_VALUE"""),"[{""typ"":""power"",""id"":12141002,""val"":4}]")</f>
        <v>[{"typ":"power","id":12141002,"val":4}]</v>
      </c>
      <c r="Y501" s="148" t="str">
        <f>IFERROR(__xludf.DUMMYFUNCTION("""COMPUTED_VALUE"""),"[{""typ"":""atk"",""val"":160},{""typ"":""def"",""val"":160},{""typ"":""hp"",""val"":160},{""typ"":""speed"",""val"":40},{""typ"":""load"",""val"":20},{""typ"":""backcoef"",""val"":0.5},{""typ"":""atkcoef"",""val"":1.0},{""typ"":""atkcd"",""val"":0}]")</f>
        <v>[{"typ":"atk","val":160},{"typ":"def","val":160},{"typ":"hp","val":160},{"typ":"speed","val":40},{"typ":"load","val":20},{"typ":"backcoef","val":0.5},{"typ":"atkcoef","val":1.0},{"typ":"atkcd","val":0}]</v>
      </c>
      <c r="Z501" s="148" t="str">
        <f>IFERROR(__xludf.DUMMYFUNCTION("""COMPUTED_VALUE"""),"[]")</f>
        <v>[]</v>
      </c>
    </row>
    <row r="502">
      <c r="A502" s="148">
        <f>IFERROR(__xludf.DUMMYFUNCTION("""COMPUTED_VALUE"""),1.1219639E7)</f>
        <v>11219639</v>
      </c>
      <c r="B502" s="148" t="str">
        <f>IFERROR(__xludf.DUMMYFUNCTION("""COMPUTED_VALUE"""),"重装出击-改造猴暴君-T4")</f>
        <v>重装出击-改造猴暴君-T4</v>
      </c>
      <c r="C502" s="148">
        <f>IFERROR(__xludf.DUMMYFUNCTION("""COMPUTED_VALUE"""),1.1221004E7)</f>
        <v>11221004</v>
      </c>
      <c r="D502" s="148">
        <f>IFERROR(__xludf.DUMMYFUNCTION("""COMPUTED_VALUE"""),1.5114299E7)</f>
        <v>15114299</v>
      </c>
      <c r="E502" s="148" t="str">
        <f>IFERROR(__xludf.DUMMYFUNCTION("""COMPUTED_VALUE"""),"{}")</f>
        <v>{}</v>
      </c>
      <c r="F502" s="148" t="str">
        <f>IFERROR(__xludf.DUMMYFUNCTION("""COMPUTED_VALUE"""),"{}")</f>
        <v>{}</v>
      </c>
      <c r="G502" s="148">
        <f>IFERROR(__xludf.DUMMYFUNCTION("""COMPUTED_VALUE"""),2.0)</f>
        <v>2</v>
      </c>
      <c r="H502" s="148">
        <f>IFERROR(__xludf.DUMMYFUNCTION("""COMPUTED_VALUE"""),10099.0)</f>
        <v>10099</v>
      </c>
      <c r="I502" s="148">
        <f>IFERROR(__xludf.DUMMYFUNCTION("""COMPUTED_VALUE"""),10099.0)</f>
        <v>10099</v>
      </c>
      <c r="J502" s="148">
        <f>IFERROR(__xludf.DUMMYFUNCTION("""COMPUTED_VALUE"""),0.0)</f>
        <v>0</v>
      </c>
      <c r="K502" s="148">
        <f>IFERROR(__xludf.DUMMYFUNCTION("""COMPUTED_VALUE"""),10.0)</f>
        <v>10</v>
      </c>
      <c r="L502" s="148">
        <f>IFERROR(__xludf.DUMMYFUNCTION("""COMPUTED_VALUE"""),50.0)</f>
        <v>50</v>
      </c>
      <c r="M502" s="148">
        <f>IFERROR(__xludf.DUMMYFUNCTION("""COMPUTED_VALUE"""),0.0)</f>
        <v>0</v>
      </c>
      <c r="N502" s="148" t="str">
        <f>IFERROR(__xludf.DUMMYFUNCTION("""COMPUTED_VALUE"""),"[]")</f>
        <v>[]</v>
      </c>
      <c r="O502" s="148" t="str">
        <f>IFERROR(__xludf.DUMMYFUNCTION("""COMPUTED_VALUE"""),"{}")</f>
        <v>{}</v>
      </c>
      <c r="P502" s="148">
        <f>IFERROR(__xludf.DUMMYFUNCTION("""COMPUTED_VALUE"""),0.0)</f>
        <v>0</v>
      </c>
      <c r="Q502" s="148" t="str">
        <f>IFERROR(__xludf.DUMMYFUNCTION("""COMPUTED_VALUE"""),"[]")</f>
        <v>[]</v>
      </c>
      <c r="R502" s="148" t="str">
        <f>IFERROR(__xludf.DUMMYFUNCTION("""COMPUTED_VALUE"""),"{}")</f>
        <v>{}</v>
      </c>
      <c r="S502" s="148">
        <f>IFERROR(__xludf.DUMMYFUNCTION("""COMPUTED_VALUE"""),0.0)</f>
        <v>0</v>
      </c>
      <c r="T502" s="148" t="str">
        <f>IFERROR(__xludf.DUMMYFUNCTION("""COMPUTED_VALUE"""),"[]")</f>
        <v>[]</v>
      </c>
      <c r="U502" s="148">
        <f>IFERROR(__xludf.DUMMYFUNCTION("""COMPUTED_VALUE"""),0.0)</f>
        <v>0</v>
      </c>
      <c r="V502" s="148" t="str">
        <f>IFERROR(__xludf.DUMMYFUNCTION("""COMPUTED_VALUE"""),"{}")</f>
        <v>{}</v>
      </c>
      <c r="W502" s="148" t="str">
        <f>IFERROR(__xludf.DUMMYFUNCTION("""COMPUTED_VALUE"""),"[]")</f>
        <v>[]</v>
      </c>
      <c r="X502" s="148" t="str">
        <f>IFERROR(__xludf.DUMMYFUNCTION("""COMPUTED_VALUE"""),"[{""typ"":""power"",""id"":12141002,""val"":6}]")</f>
        <v>[{"typ":"power","id":12141002,"val":6}]</v>
      </c>
      <c r="Y502" s="148" t="str">
        <f>IFERROR(__xludf.DUMMYFUNCTION("""COMPUTED_VALUE"""),"[{""typ"":""atk"",""val"":200},{""typ"":""def"",""val"":190},{""typ"":""hp"",""val"":180},{""typ"":""speed"",""val"":40},{""typ"":""load"",""val"":20},{""typ"":""backcoef"",""val"":0.5},{""typ"":""atkcoef"",""val"":1.0},{""typ"":""atkcd"",""val"":0}]")</f>
        <v>[{"typ":"atk","val":200},{"typ":"def","val":190},{"typ":"hp","val":180},{"typ":"speed","val":40},{"typ":"load","val":20},{"typ":"backcoef","val":0.5},{"typ":"atkcoef","val":1.0},{"typ":"atkcd","val":0}]</v>
      </c>
      <c r="Z502" s="148" t="str">
        <f>IFERROR(__xludf.DUMMYFUNCTION("""COMPUTED_VALUE"""),"[]")</f>
        <v>[]</v>
      </c>
    </row>
    <row r="503">
      <c r="A503" s="148">
        <f>IFERROR(__xludf.DUMMYFUNCTION("""COMPUTED_VALUE"""),1.121964E7)</f>
        <v>11219640</v>
      </c>
      <c r="B503" s="148" t="str">
        <f>IFERROR(__xludf.DUMMYFUNCTION("""COMPUTED_VALUE"""),"重装出击-改造猴暴君-T5")</f>
        <v>重装出击-改造猴暴君-T5</v>
      </c>
      <c r="C503" s="148">
        <f>IFERROR(__xludf.DUMMYFUNCTION("""COMPUTED_VALUE"""),1.1221004E7)</f>
        <v>11221004</v>
      </c>
      <c r="D503" s="148">
        <f>IFERROR(__xludf.DUMMYFUNCTION("""COMPUTED_VALUE"""),1.5114299E7)</f>
        <v>15114299</v>
      </c>
      <c r="E503" s="148" t="str">
        <f>IFERROR(__xludf.DUMMYFUNCTION("""COMPUTED_VALUE"""),"{}")</f>
        <v>{}</v>
      </c>
      <c r="F503" s="148" t="str">
        <f>IFERROR(__xludf.DUMMYFUNCTION("""COMPUTED_VALUE"""),"{}")</f>
        <v>{}</v>
      </c>
      <c r="G503" s="148">
        <f>IFERROR(__xludf.DUMMYFUNCTION("""COMPUTED_VALUE"""),2.0)</f>
        <v>2</v>
      </c>
      <c r="H503" s="148">
        <f>IFERROR(__xludf.DUMMYFUNCTION("""COMPUTED_VALUE"""),10099.0)</f>
        <v>10099</v>
      </c>
      <c r="I503" s="148">
        <f>IFERROR(__xludf.DUMMYFUNCTION("""COMPUTED_VALUE"""),10099.0)</f>
        <v>10099</v>
      </c>
      <c r="J503" s="148">
        <f>IFERROR(__xludf.DUMMYFUNCTION("""COMPUTED_VALUE"""),0.0)</f>
        <v>0</v>
      </c>
      <c r="K503" s="148">
        <f>IFERROR(__xludf.DUMMYFUNCTION("""COMPUTED_VALUE"""),10.0)</f>
        <v>10</v>
      </c>
      <c r="L503" s="148">
        <f>IFERROR(__xludf.DUMMYFUNCTION("""COMPUTED_VALUE"""),50.0)</f>
        <v>50</v>
      </c>
      <c r="M503" s="148">
        <f>IFERROR(__xludf.DUMMYFUNCTION("""COMPUTED_VALUE"""),0.0)</f>
        <v>0</v>
      </c>
      <c r="N503" s="148" t="str">
        <f>IFERROR(__xludf.DUMMYFUNCTION("""COMPUTED_VALUE"""),"[]")</f>
        <v>[]</v>
      </c>
      <c r="O503" s="148" t="str">
        <f>IFERROR(__xludf.DUMMYFUNCTION("""COMPUTED_VALUE"""),"{}")</f>
        <v>{}</v>
      </c>
      <c r="P503" s="148">
        <f>IFERROR(__xludf.DUMMYFUNCTION("""COMPUTED_VALUE"""),0.0)</f>
        <v>0</v>
      </c>
      <c r="Q503" s="148" t="str">
        <f>IFERROR(__xludf.DUMMYFUNCTION("""COMPUTED_VALUE"""),"[]")</f>
        <v>[]</v>
      </c>
      <c r="R503" s="148" t="str">
        <f>IFERROR(__xludf.DUMMYFUNCTION("""COMPUTED_VALUE"""),"{}")</f>
        <v>{}</v>
      </c>
      <c r="S503" s="148">
        <f>IFERROR(__xludf.DUMMYFUNCTION("""COMPUTED_VALUE"""),0.0)</f>
        <v>0</v>
      </c>
      <c r="T503" s="148" t="str">
        <f>IFERROR(__xludf.DUMMYFUNCTION("""COMPUTED_VALUE"""),"[]")</f>
        <v>[]</v>
      </c>
      <c r="U503" s="148">
        <f>IFERROR(__xludf.DUMMYFUNCTION("""COMPUTED_VALUE"""),0.0)</f>
        <v>0</v>
      </c>
      <c r="V503" s="148" t="str">
        <f>IFERROR(__xludf.DUMMYFUNCTION("""COMPUTED_VALUE"""),"{}")</f>
        <v>{}</v>
      </c>
      <c r="W503" s="148" t="str">
        <f>IFERROR(__xludf.DUMMYFUNCTION("""COMPUTED_VALUE"""),"[]")</f>
        <v>[]</v>
      </c>
      <c r="X503" s="148" t="str">
        <f>IFERROR(__xludf.DUMMYFUNCTION("""COMPUTED_VALUE"""),"[{""typ"":""power"",""id"":12141002,""val"":10}]")</f>
        <v>[{"typ":"power","id":12141002,"val":10}]</v>
      </c>
      <c r="Y503" s="148" t="str">
        <f>IFERROR(__xludf.DUMMYFUNCTION("""COMPUTED_VALUE"""),"[{""typ"":""atk"",""val"":230},{""typ"":""def"",""val"":210},{""typ"":""hp"",""val"":210},{""typ"":""speed"",""val"":40},{""typ"":""load"",""val"":20},{""typ"":""backcoef"",""val"":0.5},{""typ"":""atkcoef"",""val"":1.0},{""typ"":""atkcd"",""val"":0}]")</f>
        <v>[{"typ":"atk","val":230},{"typ":"def","val":210},{"typ":"hp","val":210},{"typ":"speed","val":40},{"typ":"load","val":20},{"typ":"backcoef","val":0.5},{"typ":"atkcoef","val":1.0},{"typ":"atkcd","val":0}]</v>
      </c>
      <c r="Z503" s="148" t="str">
        <f>IFERROR(__xludf.DUMMYFUNCTION("""COMPUTED_VALUE"""),"[]")</f>
        <v>[]</v>
      </c>
    </row>
    <row r="504">
      <c r="A504" s="148">
        <f>IFERROR(__xludf.DUMMYFUNCTION("""COMPUTED_VALUE"""),1.1219641E7)</f>
        <v>11219641</v>
      </c>
      <c r="B504" s="148" t="str">
        <f>IFERROR(__xludf.DUMMYFUNCTION("""COMPUTED_VALUE"""),"重装出击-失控无人机-T1")</f>
        <v>重装出击-失控无人机-T1</v>
      </c>
      <c r="C504" s="148">
        <f>IFERROR(__xludf.DUMMYFUNCTION("""COMPUTED_VALUE"""),1.1221004E7)</f>
        <v>11221004</v>
      </c>
      <c r="D504" s="148">
        <f>IFERROR(__xludf.DUMMYFUNCTION("""COMPUTED_VALUE"""),1.5113832E7)</f>
        <v>15113832</v>
      </c>
      <c r="E504" s="148" t="str">
        <f>IFERROR(__xludf.DUMMYFUNCTION("""COMPUTED_VALUE"""),"{}")</f>
        <v>{}</v>
      </c>
      <c r="F504" s="148" t="str">
        <f>IFERROR(__xludf.DUMMYFUNCTION("""COMPUTED_VALUE"""),"{}")</f>
        <v>{}</v>
      </c>
      <c r="G504" s="148">
        <f>IFERROR(__xludf.DUMMYFUNCTION("""COMPUTED_VALUE"""),2.0)</f>
        <v>2</v>
      </c>
      <c r="H504" s="148">
        <f>IFERROR(__xludf.DUMMYFUNCTION("""COMPUTED_VALUE"""),10099.0)</f>
        <v>10099</v>
      </c>
      <c r="I504" s="148">
        <f>IFERROR(__xludf.DUMMYFUNCTION("""COMPUTED_VALUE"""),10099.0)</f>
        <v>10099</v>
      </c>
      <c r="J504" s="148">
        <f>IFERROR(__xludf.DUMMYFUNCTION("""COMPUTED_VALUE"""),0.0)</f>
        <v>0</v>
      </c>
      <c r="K504" s="148">
        <f>IFERROR(__xludf.DUMMYFUNCTION("""COMPUTED_VALUE"""),10.0)</f>
        <v>10</v>
      </c>
      <c r="L504" s="148">
        <f>IFERROR(__xludf.DUMMYFUNCTION("""COMPUTED_VALUE"""),50.0)</f>
        <v>50</v>
      </c>
      <c r="M504" s="148">
        <f>IFERROR(__xludf.DUMMYFUNCTION("""COMPUTED_VALUE"""),0.0)</f>
        <v>0</v>
      </c>
      <c r="N504" s="148" t="str">
        <f>IFERROR(__xludf.DUMMYFUNCTION("""COMPUTED_VALUE"""),"[]")</f>
        <v>[]</v>
      </c>
      <c r="O504" s="148" t="str">
        <f>IFERROR(__xludf.DUMMYFUNCTION("""COMPUTED_VALUE"""),"{}")</f>
        <v>{}</v>
      </c>
      <c r="P504" s="148">
        <f>IFERROR(__xludf.DUMMYFUNCTION("""COMPUTED_VALUE"""),0.0)</f>
        <v>0</v>
      </c>
      <c r="Q504" s="148" t="str">
        <f>IFERROR(__xludf.DUMMYFUNCTION("""COMPUTED_VALUE"""),"[]")</f>
        <v>[]</v>
      </c>
      <c r="R504" s="148" t="str">
        <f>IFERROR(__xludf.DUMMYFUNCTION("""COMPUTED_VALUE"""),"{}")</f>
        <v>{}</v>
      </c>
      <c r="S504" s="148">
        <f>IFERROR(__xludf.DUMMYFUNCTION("""COMPUTED_VALUE"""),0.0)</f>
        <v>0</v>
      </c>
      <c r="T504" s="148" t="str">
        <f>IFERROR(__xludf.DUMMYFUNCTION("""COMPUTED_VALUE"""),"[]")</f>
        <v>[]</v>
      </c>
      <c r="U504" s="148">
        <f>IFERROR(__xludf.DUMMYFUNCTION("""COMPUTED_VALUE"""),0.0)</f>
        <v>0</v>
      </c>
      <c r="V504" s="148" t="str">
        <f>IFERROR(__xludf.DUMMYFUNCTION("""COMPUTED_VALUE"""),"{}")</f>
        <v>{}</v>
      </c>
      <c r="W504" s="148" t="str">
        <f>IFERROR(__xludf.DUMMYFUNCTION("""COMPUTED_VALUE"""),"[]")</f>
        <v>[]</v>
      </c>
      <c r="X504" s="148" t="str">
        <f>IFERROR(__xludf.DUMMYFUNCTION("""COMPUTED_VALUE"""),"[{""typ"":""power"",""id"":12141002,""val"":1}]")</f>
        <v>[{"typ":"power","id":12141002,"val":1}]</v>
      </c>
      <c r="Y504" s="148" t="str">
        <f>IFERROR(__xludf.DUMMYFUNCTION("""COMPUTED_VALUE"""),"[{""typ"":""atk"",""val"":60},{""typ"":""def"",""val"":125},{""typ"":""hp"",""val"":120},{""typ"":""speed"",""val"":40},{""typ"":""load"",""val"":20},{""typ"":""backcoef"",""val"":0.5},{""typ"":""atkcoef"",""val"":1.0},{""typ"":""atkcd"",""val"":0}]")</f>
        <v>[{"typ":"atk","val":60},{"typ":"def","val":125},{"typ":"hp","val":120},{"typ":"speed","val":40},{"typ":"load","val":20},{"typ":"backcoef","val":0.5},{"typ":"atkcoef","val":1.0},{"typ":"atkcd","val":0}]</v>
      </c>
      <c r="Z504" s="148" t="str">
        <f>IFERROR(__xludf.DUMMYFUNCTION("""COMPUTED_VALUE"""),"[]")</f>
        <v>[]</v>
      </c>
    </row>
    <row r="505">
      <c r="A505" s="148">
        <f>IFERROR(__xludf.DUMMYFUNCTION("""COMPUTED_VALUE"""),1.1219642E7)</f>
        <v>11219642</v>
      </c>
      <c r="B505" s="148" t="str">
        <f>IFERROR(__xludf.DUMMYFUNCTION("""COMPUTED_VALUE"""),"重装出击-失控无人机-T2")</f>
        <v>重装出击-失控无人机-T2</v>
      </c>
      <c r="C505" s="148">
        <f>IFERROR(__xludf.DUMMYFUNCTION("""COMPUTED_VALUE"""),1.1221004E7)</f>
        <v>11221004</v>
      </c>
      <c r="D505" s="148">
        <f>IFERROR(__xludf.DUMMYFUNCTION("""COMPUTED_VALUE"""),1.5113832E7)</f>
        <v>15113832</v>
      </c>
      <c r="E505" s="148" t="str">
        <f>IFERROR(__xludf.DUMMYFUNCTION("""COMPUTED_VALUE"""),"{}")</f>
        <v>{}</v>
      </c>
      <c r="F505" s="148" t="str">
        <f>IFERROR(__xludf.DUMMYFUNCTION("""COMPUTED_VALUE"""),"{}")</f>
        <v>{}</v>
      </c>
      <c r="G505" s="148">
        <f>IFERROR(__xludf.DUMMYFUNCTION("""COMPUTED_VALUE"""),2.0)</f>
        <v>2</v>
      </c>
      <c r="H505" s="148">
        <f>IFERROR(__xludf.DUMMYFUNCTION("""COMPUTED_VALUE"""),10099.0)</f>
        <v>10099</v>
      </c>
      <c r="I505" s="148">
        <f>IFERROR(__xludf.DUMMYFUNCTION("""COMPUTED_VALUE"""),10099.0)</f>
        <v>10099</v>
      </c>
      <c r="J505" s="148">
        <f>IFERROR(__xludf.DUMMYFUNCTION("""COMPUTED_VALUE"""),0.0)</f>
        <v>0</v>
      </c>
      <c r="K505" s="148">
        <f>IFERROR(__xludf.DUMMYFUNCTION("""COMPUTED_VALUE"""),10.0)</f>
        <v>10</v>
      </c>
      <c r="L505" s="148">
        <f>IFERROR(__xludf.DUMMYFUNCTION("""COMPUTED_VALUE"""),50.0)</f>
        <v>50</v>
      </c>
      <c r="M505" s="148">
        <f>IFERROR(__xludf.DUMMYFUNCTION("""COMPUTED_VALUE"""),0.0)</f>
        <v>0</v>
      </c>
      <c r="N505" s="148" t="str">
        <f>IFERROR(__xludf.DUMMYFUNCTION("""COMPUTED_VALUE"""),"[]")</f>
        <v>[]</v>
      </c>
      <c r="O505" s="148" t="str">
        <f>IFERROR(__xludf.DUMMYFUNCTION("""COMPUTED_VALUE"""),"{}")</f>
        <v>{}</v>
      </c>
      <c r="P505" s="148">
        <f>IFERROR(__xludf.DUMMYFUNCTION("""COMPUTED_VALUE"""),0.0)</f>
        <v>0</v>
      </c>
      <c r="Q505" s="148" t="str">
        <f>IFERROR(__xludf.DUMMYFUNCTION("""COMPUTED_VALUE"""),"[]")</f>
        <v>[]</v>
      </c>
      <c r="R505" s="148" t="str">
        <f>IFERROR(__xludf.DUMMYFUNCTION("""COMPUTED_VALUE"""),"{}")</f>
        <v>{}</v>
      </c>
      <c r="S505" s="148">
        <f>IFERROR(__xludf.DUMMYFUNCTION("""COMPUTED_VALUE"""),0.0)</f>
        <v>0</v>
      </c>
      <c r="T505" s="148" t="str">
        <f>IFERROR(__xludf.DUMMYFUNCTION("""COMPUTED_VALUE"""),"[]")</f>
        <v>[]</v>
      </c>
      <c r="U505" s="148">
        <f>IFERROR(__xludf.DUMMYFUNCTION("""COMPUTED_VALUE"""),0.0)</f>
        <v>0</v>
      </c>
      <c r="V505" s="148" t="str">
        <f>IFERROR(__xludf.DUMMYFUNCTION("""COMPUTED_VALUE"""),"{}")</f>
        <v>{}</v>
      </c>
      <c r="W505" s="148" t="str">
        <f>IFERROR(__xludf.DUMMYFUNCTION("""COMPUTED_VALUE"""),"[]")</f>
        <v>[]</v>
      </c>
      <c r="X505" s="148" t="str">
        <f>IFERROR(__xludf.DUMMYFUNCTION("""COMPUTED_VALUE"""),"[{""typ"":""power"",""id"":12141002,""val"":2}]")</f>
        <v>[{"typ":"power","id":12141002,"val":2}]</v>
      </c>
      <c r="Y505" s="148" t="str">
        <f>IFERROR(__xludf.DUMMYFUNCTION("""COMPUTED_VALUE"""),"[{""typ"":""atk"",""val"":120},{""typ"":""def"",""val"":130},{""typ"":""hp"",""val"":130},{""typ"":""speed"",""val"":40},{""typ"":""load"",""val"":20},{""typ"":""backcoef"",""val"":0.5},{""typ"":""atkcoef"",""val"":1.0},{""typ"":""atkcd"",""val"":0}]")</f>
        <v>[{"typ":"atk","val":120},{"typ":"def","val":130},{"typ":"hp","val":130},{"typ":"speed","val":40},{"typ":"load","val":20},{"typ":"backcoef","val":0.5},{"typ":"atkcoef","val":1.0},{"typ":"atkcd","val":0}]</v>
      </c>
      <c r="Z505" s="148" t="str">
        <f>IFERROR(__xludf.DUMMYFUNCTION("""COMPUTED_VALUE"""),"[]")</f>
        <v>[]</v>
      </c>
    </row>
    <row r="506">
      <c r="A506" s="148">
        <f>IFERROR(__xludf.DUMMYFUNCTION("""COMPUTED_VALUE"""),1.1219643E7)</f>
        <v>11219643</v>
      </c>
      <c r="B506" s="148" t="str">
        <f>IFERROR(__xludf.DUMMYFUNCTION("""COMPUTED_VALUE"""),"重装出击-失控无人机-T3")</f>
        <v>重装出击-失控无人机-T3</v>
      </c>
      <c r="C506" s="148">
        <f>IFERROR(__xludf.DUMMYFUNCTION("""COMPUTED_VALUE"""),1.1221004E7)</f>
        <v>11221004</v>
      </c>
      <c r="D506" s="148">
        <f>IFERROR(__xludf.DUMMYFUNCTION("""COMPUTED_VALUE"""),1.5113832E7)</f>
        <v>15113832</v>
      </c>
      <c r="E506" s="148" t="str">
        <f>IFERROR(__xludf.DUMMYFUNCTION("""COMPUTED_VALUE"""),"{}")</f>
        <v>{}</v>
      </c>
      <c r="F506" s="148" t="str">
        <f>IFERROR(__xludf.DUMMYFUNCTION("""COMPUTED_VALUE"""),"{}")</f>
        <v>{}</v>
      </c>
      <c r="G506" s="148">
        <f>IFERROR(__xludf.DUMMYFUNCTION("""COMPUTED_VALUE"""),2.0)</f>
        <v>2</v>
      </c>
      <c r="H506" s="148">
        <f>IFERROR(__xludf.DUMMYFUNCTION("""COMPUTED_VALUE"""),10099.0)</f>
        <v>10099</v>
      </c>
      <c r="I506" s="148">
        <f>IFERROR(__xludf.DUMMYFUNCTION("""COMPUTED_VALUE"""),10099.0)</f>
        <v>10099</v>
      </c>
      <c r="J506" s="148">
        <f>IFERROR(__xludf.DUMMYFUNCTION("""COMPUTED_VALUE"""),0.0)</f>
        <v>0</v>
      </c>
      <c r="K506" s="148">
        <f>IFERROR(__xludf.DUMMYFUNCTION("""COMPUTED_VALUE"""),10.0)</f>
        <v>10</v>
      </c>
      <c r="L506" s="148">
        <f>IFERROR(__xludf.DUMMYFUNCTION("""COMPUTED_VALUE"""),50.0)</f>
        <v>50</v>
      </c>
      <c r="M506" s="148">
        <f>IFERROR(__xludf.DUMMYFUNCTION("""COMPUTED_VALUE"""),0.0)</f>
        <v>0</v>
      </c>
      <c r="N506" s="148" t="str">
        <f>IFERROR(__xludf.DUMMYFUNCTION("""COMPUTED_VALUE"""),"[]")</f>
        <v>[]</v>
      </c>
      <c r="O506" s="148" t="str">
        <f>IFERROR(__xludf.DUMMYFUNCTION("""COMPUTED_VALUE"""),"{}")</f>
        <v>{}</v>
      </c>
      <c r="P506" s="148">
        <f>IFERROR(__xludf.DUMMYFUNCTION("""COMPUTED_VALUE"""),0.0)</f>
        <v>0</v>
      </c>
      <c r="Q506" s="148" t="str">
        <f>IFERROR(__xludf.DUMMYFUNCTION("""COMPUTED_VALUE"""),"[]")</f>
        <v>[]</v>
      </c>
      <c r="R506" s="148" t="str">
        <f>IFERROR(__xludf.DUMMYFUNCTION("""COMPUTED_VALUE"""),"{}")</f>
        <v>{}</v>
      </c>
      <c r="S506" s="148">
        <f>IFERROR(__xludf.DUMMYFUNCTION("""COMPUTED_VALUE"""),0.0)</f>
        <v>0</v>
      </c>
      <c r="T506" s="148" t="str">
        <f>IFERROR(__xludf.DUMMYFUNCTION("""COMPUTED_VALUE"""),"[]")</f>
        <v>[]</v>
      </c>
      <c r="U506" s="148">
        <f>IFERROR(__xludf.DUMMYFUNCTION("""COMPUTED_VALUE"""),0.0)</f>
        <v>0</v>
      </c>
      <c r="V506" s="148" t="str">
        <f>IFERROR(__xludf.DUMMYFUNCTION("""COMPUTED_VALUE"""),"{}")</f>
        <v>{}</v>
      </c>
      <c r="W506" s="148" t="str">
        <f>IFERROR(__xludf.DUMMYFUNCTION("""COMPUTED_VALUE"""),"[]")</f>
        <v>[]</v>
      </c>
      <c r="X506" s="148" t="str">
        <f>IFERROR(__xludf.DUMMYFUNCTION("""COMPUTED_VALUE"""),"[{""typ"":""power"",""id"":12141002,""val"":4}]")</f>
        <v>[{"typ":"power","id":12141002,"val":4}]</v>
      </c>
      <c r="Y506" s="148" t="str">
        <f>IFERROR(__xludf.DUMMYFUNCTION("""COMPUTED_VALUE"""),"[{""typ"":""atk"",""val"":160},{""typ"":""def"",""val"":160},{""typ"":""hp"",""val"":160},{""typ"":""speed"",""val"":40},{""typ"":""load"",""val"":20},{""typ"":""backcoef"",""val"":0.5},{""typ"":""atkcoef"",""val"":1.0},{""typ"":""atkcd"",""val"":0}]")</f>
        <v>[{"typ":"atk","val":160},{"typ":"def","val":160},{"typ":"hp","val":160},{"typ":"speed","val":40},{"typ":"load","val":20},{"typ":"backcoef","val":0.5},{"typ":"atkcoef","val":1.0},{"typ":"atkcd","val":0}]</v>
      </c>
      <c r="Z506" s="148" t="str">
        <f>IFERROR(__xludf.DUMMYFUNCTION("""COMPUTED_VALUE"""),"[]")</f>
        <v>[]</v>
      </c>
    </row>
    <row r="507">
      <c r="A507" s="148">
        <f>IFERROR(__xludf.DUMMYFUNCTION("""COMPUTED_VALUE"""),1.1219644E7)</f>
        <v>11219644</v>
      </c>
      <c r="B507" s="148" t="str">
        <f>IFERROR(__xludf.DUMMYFUNCTION("""COMPUTED_VALUE"""),"重装出击-失控无人机-T4")</f>
        <v>重装出击-失控无人机-T4</v>
      </c>
      <c r="C507" s="148">
        <f>IFERROR(__xludf.DUMMYFUNCTION("""COMPUTED_VALUE"""),1.1221004E7)</f>
        <v>11221004</v>
      </c>
      <c r="D507" s="148">
        <f>IFERROR(__xludf.DUMMYFUNCTION("""COMPUTED_VALUE"""),1.5113832E7)</f>
        <v>15113832</v>
      </c>
      <c r="E507" s="148" t="str">
        <f>IFERROR(__xludf.DUMMYFUNCTION("""COMPUTED_VALUE"""),"{}")</f>
        <v>{}</v>
      </c>
      <c r="F507" s="148" t="str">
        <f>IFERROR(__xludf.DUMMYFUNCTION("""COMPUTED_VALUE"""),"{}")</f>
        <v>{}</v>
      </c>
      <c r="G507" s="148">
        <f>IFERROR(__xludf.DUMMYFUNCTION("""COMPUTED_VALUE"""),2.0)</f>
        <v>2</v>
      </c>
      <c r="H507" s="148">
        <f>IFERROR(__xludf.DUMMYFUNCTION("""COMPUTED_VALUE"""),10099.0)</f>
        <v>10099</v>
      </c>
      <c r="I507" s="148">
        <f>IFERROR(__xludf.DUMMYFUNCTION("""COMPUTED_VALUE"""),10099.0)</f>
        <v>10099</v>
      </c>
      <c r="J507" s="148">
        <f>IFERROR(__xludf.DUMMYFUNCTION("""COMPUTED_VALUE"""),0.0)</f>
        <v>0</v>
      </c>
      <c r="K507" s="148">
        <f>IFERROR(__xludf.DUMMYFUNCTION("""COMPUTED_VALUE"""),10.0)</f>
        <v>10</v>
      </c>
      <c r="L507" s="148">
        <f>IFERROR(__xludf.DUMMYFUNCTION("""COMPUTED_VALUE"""),50.0)</f>
        <v>50</v>
      </c>
      <c r="M507" s="148">
        <f>IFERROR(__xludf.DUMMYFUNCTION("""COMPUTED_VALUE"""),0.0)</f>
        <v>0</v>
      </c>
      <c r="N507" s="148" t="str">
        <f>IFERROR(__xludf.DUMMYFUNCTION("""COMPUTED_VALUE"""),"[]")</f>
        <v>[]</v>
      </c>
      <c r="O507" s="148" t="str">
        <f>IFERROR(__xludf.DUMMYFUNCTION("""COMPUTED_VALUE"""),"{}")</f>
        <v>{}</v>
      </c>
      <c r="P507" s="148">
        <f>IFERROR(__xludf.DUMMYFUNCTION("""COMPUTED_VALUE"""),0.0)</f>
        <v>0</v>
      </c>
      <c r="Q507" s="148" t="str">
        <f>IFERROR(__xludf.DUMMYFUNCTION("""COMPUTED_VALUE"""),"[]")</f>
        <v>[]</v>
      </c>
      <c r="R507" s="148" t="str">
        <f>IFERROR(__xludf.DUMMYFUNCTION("""COMPUTED_VALUE"""),"{}")</f>
        <v>{}</v>
      </c>
      <c r="S507" s="148">
        <f>IFERROR(__xludf.DUMMYFUNCTION("""COMPUTED_VALUE"""),0.0)</f>
        <v>0</v>
      </c>
      <c r="T507" s="148" t="str">
        <f>IFERROR(__xludf.DUMMYFUNCTION("""COMPUTED_VALUE"""),"[]")</f>
        <v>[]</v>
      </c>
      <c r="U507" s="148">
        <f>IFERROR(__xludf.DUMMYFUNCTION("""COMPUTED_VALUE"""),0.0)</f>
        <v>0</v>
      </c>
      <c r="V507" s="148" t="str">
        <f>IFERROR(__xludf.DUMMYFUNCTION("""COMPUTED_VALUE"""),"{}")</f>
        <v>{}</v>
      </c>
      <c r="W507" s="148" t="str">
        <f>IFERROR(__xludf.DUMMYFUNCTION("""COMPUTED_VALUE"""),"[]")</f>
        <v>[]</v>
      </c>
      <c r="X507" s="148" t="str">
        <f>IFERROR(__xludf.DUMMYFUNCTION("""COMPUTED_VALUE"""),"[{""typ"":""power"",""id"":12141002,""val"":6}]")</f>
        <v>[{"typ":"power","id":12141002,"val":6}]</v>
      </c>
      <c r="Y507" s="148" t="str">
        <f>IFERROR(__xludf.DUMMYFUNCTION("""COMPUTED_VALUE"""),"[{""typ"":""atk"",""val"":200},{""typ"":""def"",""val"":190},{""typ"":""hp"",""val"":180},{""typ"":""speed"",""val"":40},{""typ"":""load"",""val"":20},{""typ"":""backcoef"",""val"":0.5},{""typ"":""atkcoef"",""val"":1.0},{""typ"":""atkcd"",""val"":0}]")</f>
        <v>[{"typ":"atk","val":200},{"typ":"def","val":190},{"typ":"hp","val":180},{"typ":"speed","val":40},{"typ":"load","val":20},{"typ":"backcoef","val":0.5},{"typ":"atkcoef","val":1.0},{"typ":"atkcd","val":0}]</v>
      </c>
      <c r="Z507" s="148" t="str">
        <f>IFERROR(__xludf.DUMMYFUNCTION("""COMPUTED_VALUE"""),"[]")</f>
        <v>[]</v>
      </c>
    </row>
    <row r="508">
      <c r="A508" s="148">
        <f>IFERROR(__xludf.DUMMYFUNCTION("""COMPUTED_VALUE"""),1.1219645E7)</f>
        <v>11219645</v>
      </c>
      <c r="B508" s="148" t="str">
        <f>IFERROR(__xludf.DUMMYFUNCTION("""COMPUTED_VALUE"""),"重装出击-失控无人机-T5")</f>
        <v>重装出击-失控无人机-T5</v>
      </c>
      <c r="C508" s="148">
        <f>IFERROR(__xludf.DUMMYFUNCTION("""COMPUTED_VALUE"""),1.1221004E7)</f>
        <v>11221004</v>
      </c>
      <c r="D508" s="148">
        <f>IFERROR(__xludf.DUMMYFUNCTION("""COMPUTED_VALUE"""),1.5113832E7)</f>
        <v>15113832</v>
      </c>
      <c r="E508" s="148" t="str">
        <f>IFERROR(__xludf.DUMMYFUNCTION("""COMPUTED_VALUE"""),"{}")</f>
        <v>{}</v>
      </c>
      <c r="F508" s="148" t="str">
        <f>IFERROR(__xludf.DUMMYFUNCTION("""COMPUTED_VALUE"""),"{}")</f>
        <v>{}</v>
      </c>
      <c r="G508" s="148">
        <f>IFERROR(__xludf.DUMMYFUNCTION("""COMPUTED_VALUE"""),2.0)</f>
        <v>2</v>
      </c>
      <c r="H508" s="148">
        <f>IFERROR(__xludf.DUMMYFUNCTION("""COMPUTED_VALUE"""),10099.0)</f>
        <v>10099</v>
      </c>
      <c r="I508" s="148">
        <f>IFERROR(__xludf.DUMMYFUNCTION("""COMPUTED_VALUE"""),10099.0)</f>
        <v>10099</v>
      </c>
      <c r="J508" s="148">
        <f>IFERROR(__xludf.DUMMYFUNCTION("""COMPUTED_VALUE"""),0.0)</f>
        <v>0</v>
      </c>
      <c r="K508" s="148">
        <f>IFERROR(__xludf.DUMMYFUNCTION("""COMPUTED_VALUE"""),10.0)</f>
        <v>10</v>
      </c>
      <c r="L508" s="148">
        <f>IFERROR(__xludf.DUMMYFUNCTION("""COMPUTED_VALUE"""),50.0)</f>
        <v>50</v>
      </c>
      <c r="M508" s="148">
        <f>IFERROR(__xludf.DUMMYFUNCTION("""COMPUTED_VALUE"""),0.0)</f>
        <v>0</v>
      </c>
      <c r="N508" s="148" t="str">
        <f>IFERROR(__xludf.DUMMYFUNCTION("""COMPUTED_VALUE"""),"[]")</f>
        <v>[]</v>
      </c>
      <c r="O508" s="148" t="str">
        <f>IFERROR(__xludf.DUMMYFUNCTION("""COMPUTED_VALUE"""),"{}")</f>
        <v>{}</v>
      </c>
      <c r="P508" s="148">
        <f>IFERROR(__xludf.DUMMYFUNCTION("""COMPUTED_VALUE"""),0.0)</f>
        <v>0</v>
      </c>
      <c r="Q508" s="148" t="str">
        <f>IFERROR(__xludf.DUMMYFUNCTION("""COMPUTED_VALUE"""),"[]")</f>
        <v>[]</v>
      </c>
      <c r="R508" s="148" t="str">
        <f>IFERROR(__xludf.DUMMYFUNCTION("""COMPUTED_VALUE"""),"{}")</f>
        <v>{}</v>
      </c>
      <c r="S508" s="148">
        <f>IFERROR(__xludf.DUMMYFUNCTION("""COMPUTED_VALUE"""),0.0)</f>
        <v>0</v>
      </c>
      <c r="T508" s="148" t="str">
        <f>IFERROR(__xludf.DUMMYFUNCTION("""COMPUTED_VALUE"""),"[]")</f>
        <v>[]</v>
      </c>
      <c r="U508" s="148">
        <f>IFERROR(__xludf.DUMMYFUNCTION("""COMPUTED_VALUE"""),0.0)</f>
        <v>0</v>
      </c>
      <c r="V508" s="148" t="str">
        <f>IFERROR(__xludf.DUMMYFUNCTION("""COMPUTED_VALUE"""),"{}")</f>
        <v>{}</v>
      </c>
      <c r="W508" s="148" t="str">
        <f>IFERROR(__xludf.DUMMYFUNCTION("""COMPUTED_VALUE"""),"[]")</f>
        <v>[]</v>
      </c>
      <c r="X508" s="148" t="str">
        <f>IFERROR(__xludf.DUMMYFUNCTION("""COMPUTED_VALUE"""),"[{""typ"":""power"",""id"":12141002,""val"":10}]")</f>
        <v>[{"typ":"power","id":12141002,"val":10}]</v>
      </c>
      <c r="Y508" s="148" t="str">
        <f>IFERROR(__xludf.DUMMYFUNCTION("""COMPUTED_VALUE"""),"[{""typ"":""atk"",""val"":230},{""typ"":""def"",""val"":210},{""typ"":""hp"",""val"":210},{""typ"":""speed"",""val"":40},{""typ"":""load"",""val"":20},{""typ"":""backcoef"",""val"":0.5},{""typ"":""atkcoef"",""val"":1.0},{""typ"":""atkcd"",""val"":0}]")</f>
        <v>[{"typ":"atk","val":230},{"typ":"def","val":210},{"typ":"hp","val":210},{"typ":"speed","val":40},{"typ":"load","val":20},{"typ":"backcoef","val":0.5},{"typ":"atkcoef","val":1.0},{"typ":"atkcd","val":0}]</v>
      </c>
      <c r="Z508" s="148" t="str">
        <f>IFERROR(__xludf.DUMMYFUNCTION("""COMPUTED_VALUE"""),"[]")</f>
        <v>[]</v>
      </c>
    </row>
    <row r="509">
      <c r="A509" s="148">
        <f>IFERROR(__xludf.DUMMYFUNCTION("""COMPUTED_VALUE"""),1.1219646E7)</f>
        <v>11219646</v>
      </c>
      <c r="B509" s="148" t="str">
        <f>IFERROR(__xludf.DUMMYFUNCTION("""COMPUTED_VALUE"""),"重装出击-失控炮车-T1")</f>
        <v>重装出击-失控炮车-T1</v>
      </c>
      <c r="C509" s="148">
        <f>IFERROR(__xludf.DUMMYFUNCTION("""COMPUTED_VALUE"""),1.1221004E7)</f>
        <v>11221004</v>
      </c>
      <c r="D509" s="148">
        <f>IFERROR(__xludf.DUMMYFUNCTION("""COMPUTED_VALUE"""),1.5113953E7)</f>
        <v>15113953</v>
      </c>
      <c r="E509" s="148" t="str">
        <f>IFERROR(__xludf.DUMMYFUNCTION("""COMPUTED_VALUE"""),"{}")</f>
        <v>{}</v>
      </c>
      <c r="F509" s="148" t="str">
        <f>IFERROR(__xludf.DUMMYFUNCTION("""COMPUTED_VALUE"""),"{}")</f>
        <v>{}</v>
      </c>
      <c r="G509" s="148">
        <f>IFERROR(__xludf.DUMMYFUNCTION("""COMPUTED_VALUE"""),2.0)</f>
        <v>2</v>
      </c>
      <c r="H509" s="148">
        <f>IFERROR(__xludf.DUMMYFUNCTION("""COMPUTED_VALUE"""),10099.0)</f>
        <v>10099</v>
      </c>
      <c r="I509" s="148">
        <f>IFERROR(__xludf.DUMMYFUNCTION("""COMPUTED_VALUE"""),10099.0)</f>
        <v>10099</v>
      </c>
      <c r="J509" s="148">
        <f>IFERROR(__xludf.DUMMYFUNCTION("""COMPUTED_VALUE"""),0.0)</f>
        <v>0</v>
      </c>
      <c r="K509" s="148">
        <f>IFERROR(__xludf.DUMMYFUNCTION("""COMPUTED_VALUE"""),10.0)</f>
        <v>10</v>
      </c>
      <c r="L509" s="148">
        <f>IFERROR(__xludf.DUMMYFUNCTION("""COMPUTED_VALUE"""),50.0)</f>
        <v>50</v>
      </c>
      <c r="M509" s="148">
        <f>IFERROR(__xludf.DUMMYFUNCTION("""COMPUTED_VALUE"""),0.0)</f>
        <v>0</v>
      </c>
      <c r="N509" s="148" t="str">
        <f>IFERROR(__xludf.DUMMYFUNCTION("""COMPUTED_VALUE"""),"[]")</f>
        <v>[]</v>
      </c>
      <c r="O509" s="148" t="str">
        <f>IFERROR(__xludf.DUMMYFUNCTION("""COMPUTED_VALUE"""),"{}")</f>
        <v>{}</v>
      </c>
      <c r="P509" s="148">
        <f>IFERROR(__xludf.DUMMYFUNCTION("""COMPUTED_VALUE"""),0.0)</f>
        <v>0</v>
      </c>
      <c r="Q509" s="148" t="str">
        <f>IFERROR(__xludf.DUMMYFUNCTION("""COMPUTED_VALUE"""),"[]")</f>
        <v>[]</v>
      </c>
      <c r="R509" s="148" t="str">
        <f>IFERROR(__xludf.DUMMYFUNCTION("""COMPUTED_VALUE"""),"{}")</f>
        <v>{}</v>
      </c>
      <c r="S509" s="148">
        <f>IFERROR(__xludf.DUMMYFUNCTION("""COMPUTED_VALUE"""),0.0)</f>
        <v>0</v>
      </c>
      <c r="T509" s="148" t="str">
        <f>IFERROR(__xludf.DUMMYFUNCTION("""COMPUTED_VALUE"""),"[]")</f>
        <v>[]</v>
      </c>
      <c r="U509" s="148">
        <f>IFERROR(__xludf.DUMMYFUNCTION("""COMPUTED_VALUE"""),0.0)</f>
        <v>0</v>
      </c>
      <c r="V509" s="148" t="str">
        <f>IFERROR(__xludf.DUMMYFUNCTION("""COMPUTED_VALUE"""),"{}")</f>
        <v>{}</v>
      </c>
      <c r="W509" s="148" t="str">
        <f>IFERROR(__xludf.DUMMYFUNCTION("""COMPUTED_VALUE"""),"[]")</f>
        <v>[]</v>
      </c>
      <c r="X509" s="148" t="str">
        <f>IFERROR(__xludf.DUMMYFUNCTION("""COMPUTED_VALUE"""),"[{""typ"":""power"",""id"":12141002,""val"":1}]")</f>
        <v>[{"typ":"power","id":12141002,"val":1}]</v>
      </c>
      <c r="Y509" s="148" t="str">
        <f>IFERROR(__xludf.DUMMYFUNCTION("""COMPUTED_VALUE"""),"[{""typ"":""atk"",""val"":60},{""typ"":""def"",""val"":125},{""typ"":""hp"",""val"":120},{""typ"":""speed"",""val"":40},{""typ"":""load"",""val"":20},{""typ"":""backcoef"",""val"":0.5},{""typ"":""atkcoef"",""val"":1.0},{""typ"":""atkcd"",""val"":0}]")</f>
        <v>[{"typ":"atk","val":60},{"typ":"def","val":125},{"typ":"hp","val":120},{"typ":"speed","val":40},{"typ":"load","val":20},{"typ":"backcoef","val":0.5},{"typ":"atkcoef","val":1.0},{"typ":"atkcd","val":0}]</v>
      </c>
      <c r="Z509" s="148" t="str">
        <f>IFERROR(__xludf.DUMMYFUNCTION("""COMPUTED_VALUE"""),"[]")</f>
        <v>[]</v>
      </c>
    </row>
    <row r="510">
      <c r="A510" s="148">
        <f>IFERROR(__xludf.DUMMYFUNCTION("""COMPUTED_VALUE"""),1.1219647E7)</f>
        <v>11219647</v>
      </c>
      <c r="B510" s="148" t="str">
        <f>IFERROR(__xludf.DUMMYFUNCTION("""COMPUTED_VALUE"""),"重装出击-失控炮车-T2")</f>
        <v>重装出击-失控炮车-T2</v>
      </c>
      <c r="C510" s="148">
        <f>IFERROR(__xludf.DUMMYFUNCTION("""COMPUTED_VALUE"""),1.1221004E7)</f>
        <v>11221004</v>
      </c>
      <c r="D510" s="148">
        <f>IFERROR(__xludf.DUMMYFUNCTION("""COMPUTED_VALUE"""),1.5113953E7)</f>
        <v>15113953</v>
      </c>
      <c r="E510" s="148" t="str">
        <f>IFERROR(__xludf.DUMMYFUNCTION("""COMPUTED_VALUE"""),"{}")</f>
        <v>{}</v>
      </c>
      <c r="F510" s="148" t="str">
        <f>IFERROR(__xludf.DUMMYFUNCTION("""COMPUTED_VALUE"""),"{}")</f>
        <v>{}</v>
      </c>
      <c r="G510" s="148">
        <f>IFERROR(__xludf.DUMMYFUNCTION("""COMPUTED_VALUE"""),2.0)</f>
        <v>2</v>
      </c>
      <c r="H510" s="148">
        <f>IFERROR(__xludf.DUMMYFUNCTION("""COMPUTED_VALUE"""),10099.0)</f>
        <v>10099</v>
      </c>
      <c r="I510" s="148">
        <f>IFERROR(__xludf.DUMMYFUNCTION("""COMPUTED_VALUE"""),10099.0)</f>
        <v>10099</v>
      </c>
      <c r="J510" s="148">
        <f>IFERROR(__xludf.DUMMYFUNCTION("""COMPUTED_VALUE"""),0.0)</f>
        <v>0</v>
      </c>
      <c r="K510" s="148">
        <f>IFERROR(__xludf.DUMMYFUNCTION("""COMPUTED_VALUE"""),10.0)</f>
        <v>10</v>
      </c>
      <c r="L510" s="148">
        <f>IFERROR(__xludf.DUMMYFUNCTION("""COMPUTED_VALUE"""),50.0)</f>
        <v>50</v>
      </c>
      <c r="M510" s="148">
        <f>IFERROR(__xludf.DUMMYFUNCTION("""COMPUTED_VALUE"""),0.0)</f>
        <v>0</v>
      </c>
      <c r="N510" s="148" t="str">
        <f>IFERROR(__xludf.DUMMYFUNCTION("""COMPUTED_VALUE"""),"[]")</f>
        <v>[]</v>
      </c>
      <c r="O510" s="148" t="str">
        <f>IFERROR(__xludf.DUMMYFUNCTION("""COMPUTED_VALUE"""),"{}")</f>
        <v>{}</v>
      </c>
      <c r="P510" s="148">
        <f>IFERROR(__xludf.DUMMYFUNCTION("""COMPUTED_VALUE"""),0.0)</f>
        <v>0</v>
      </c>
      <c r="Q510" s="148" t="str">
        <f>IFERROR(__xludf.DUMMYFUNCTION("""COMPUTED_VALUE"""),"[]")</f>
        <v>[]</v>
      </c>
      <c r="R510" s="148" t="str">
        <f>IFERROR(__xludf.DUMMYFUNCTION("""COMPUTED_VALUE"""),"{}")</f>
        <v>{}</v>
      </c>
      <c r="S510" s="148">
        <f>IFERROR(__xludf.DUMMYFUNCTION("""COMPUTED_VALUE"""),0.0)</f>
        <v>0</v>
      </c>
      <c r="T510" s="148" t="str">
        <f>IFERROR(__xludf.DUMMYFUNCTION("""COMPUTED_VALUE"""),"[]")</f>
        <v>[]</v>
      </c>
      <c r="U510" s="148">
        <f>IFERROR(__xludf.DUMMYFUNCTION("""COMPUTED_VALUE"""),0.0)</f>
        <v>0</v>
      </c>
      <c r="V510" s="148" t="str">
        <f>IFERROR(__xludf.DUMMYFUNCTION("""COMPUTED_VALUE"""),"{}")</f>
        <v>{}</v>
      </c>
      <c r="W510" s="148" t="str">
        <f>IFERROR(__xludf.DUMMYFUNCTION("""COMPUTED_VALUE"""),"[]")</f>
        <v>[]</v>
      </c>
      <c r="X510" s="148" t="str">
        <f>IFERROR(__xludf.DUMMYFUNCTION("""COMPUTED_VALUE"""),"[{""typ"":""power"",""id"":12141002,""val"":2}]")</f>
        <v>[{"typ":"power","id":12141002,"val":2}]</v>
      </c>
      <c r="Y510" s="148" t="str">
        <f>IFERROR(__xludf.DUMMYFUNCTION("""COMPUTED_VALUE"""),"[{""typ"":""atk"",""val"":120},{""typ"":""def"",""val"":130},{""typ"":""hp"",""val"":130},{""typ"":""speed"",""val"":40},{""typ"":""load"",""val"":20},{""typ"":""backcoef"",""val"":0.5},{""typ"":""atkcoef"",""val"":1.0},{""typ"":""atkcd"",""val"":0}]")</f>
        <v>[{"typ":"atk","val":120},{"typ":"def","val":130},{"typ":"hp","val":130},{"typ":"speed","val":40},{"typ":"load","val":20},{"typ":"backcoef","val":0.5},{"typ":"atkcoef","val":1.0},{"typ":"atkcd","val":0}]</v>
      </c>
      <c r="Z510" s="148" t="str">
        <f>IFERROR(__xludf.DUMMYFUNCTION("""COMPUTED_VALUE"""),"[]")</f>
        <v>[]</v>
      </c>
    </row>
    <row r="511">
      <c r="A511" s="148">
        <f>IFERROR(__xludf.DUMMYFUNCTION("""COMPUTED_VALUE"""),1.1219648E7)</f>
        <v>11219648</v>
      </c>
      <c r="B511" s="148" t="str">
        <f>IFERROR(__xludf.DUMMYFUNCTION("""COMPUTED_VALUE"""),"重装出击-失控炮车-T3")</f>
        <v>重装出击-失控炮车-T3</v>
      </c>
      <c r="C511" s="148">
        <f>IFERROR(__xludf.DUMMYFUNCTION("""COMPUTED_VALUE"""),1.1221004E7)</f>
        <v>11221004</v>
      </c>
      <c r="D511" s="148">
        <f>IFERROR(__xludf.DUMMYFUNCTION("""COMPUTED_VALUE"""),1.5113953E7)</f>
        <v>15113953</v>
      </c>
      <c r="E511" s="148" t="str">
        <f>IFERROR(__xludf.DUMMYFUNCTION("""COMPUTED_VALUE"""),"{}")</f>
        <v>{}</v>
      </c>
      <c r="F511" s="148" t="str">
        <f>IFERROR(__xludf.DUMMYFUNCTION("""COMPUTED_VALUE"""),"{}")</f>
        <v>{}</v>
      </c>
      <c r="G511" s="148">
        <f>IFERROR(__xludf.DUMMYFUNCTION("""COMPUTED_VALUE"""),2.0)</f>
        <v>2</v>
      </c>
      <c r="H511" s="148">
        <f>IFERROR(__xludf.DUMMYFUNCTION("""COMPUTED_VALUE"""),10099.0)</f>
        <v>10099</v>
      </c>
      <c r="I511" s="148">
        <f>IFERROR(__xludf.DUMMYFUNCTION("""COMPUTED_VALUE"""),10099.0)</f>
        <v>10099</v>
      </c>
      <c r="J511" s="148">
        <f>IFERROR(__xludf.DUMMYFUNCTION("""COMPUTED_VALUE"""),0.0)</f>
        <v>0</v>
      </c>
      <c r="K511" s="148">
        <f>IFERROR(__xludf.DUMMYFUNCTION("""COMPUTED_VALUE"""),10.0)</f>
        <v>10</v>
      </c>
      <c r="L511" s="148">
        <f>IFERROR(__xludf.DUMMYFUNCTION("""COMPUTED_VALUE"""),50.0)</f>
        <v>50</v>
      </c>
      <c r="M511" s="148">
        <f>IFERROR(__xludf.DUMMYFUNCTION("""COMPUTED_VALUE"""),0.0)</f>
        <v>0</v>
      </c>
      <c r="N511" s="148" t="str">
        <f>IFERROR(__xludf.DUMMYFUNCTION("""COMPUTED_VALUE"""),"[]")</f>
        <v>[]</v>
      </c>
      <c r="O511" s="148" t="str">
        <f>IFERROR(__xludf.DUMMYFUNCTION("""COMPUTED_VALUE"""),"{}")</f>
        <v>{}</v>
      </c>
      <c r="P511" s="148">
        <f>IFERROR(__xludf.DUMMYFUNCTION("""COMPUTED_VALUE"""),0.0)</f>
        <v>0</v>
      </c>
      <c r="Q511" s="148" t="str">
        <f>IFERROR(__xludf.DUMMYFUNCTION("""COMPUTED_VALUE"""),"[]")</f>
        <v>[]</v>
      </c>
      <c r="R511" s="148" t="str">
        <f>IFERROR(__xludf.DUMMYFUNCTION("""COMPUTED_VALUE"""),"{}")</f>
        <v>{}</v>
      </c>
      <c r="S511" s="148">
        <f>IFERROR(__xludf.DUMMYFUNCTION("""COMPUTED_VALUE"""),0.0)</f>
        <v>0</v>
      </c>
      <c r="T511" s="148" t="str">
        <f>IFERROR(__xludf.DUMMYFUNCTION("""COMPUTED_VALUE"""),"[]")</f>
        <v>[]</v>
      </c>
      <c r="U511" s="148">
        <f>IFERROR(__xludf.DUMMYFUNCTION("""COMPUTED_VALUE"""),0.0)</f>
        <v>0</v>
      </c>
      <c r="V511" s="148" t="str">
        <f>IFERROR(__xludf.DUMMYFUNCTION("""COMPUTED_VALUE"""),"{}")</f>
        <v>{}</v>
      </c>
      <c r="W511" s="148" t="str">
        <f>IFERROR(__xludf.DUMMYFUNCTION("""COMPUTED_VALUE"""),"[]")</f>
        <v>[]</v>
      </c>
      <c r="X511" s="148" t="str">
        <f>IFERROR(__xludf.DUMMYFUNCTION("""COMPUTED_VALUE"""),"[{""typ"":""power"",""id"":12141002,""val"":4}]")</f>
        <v>[{"typ":"power","id":12141002,"val":4}]</v>
      </c>
      <c r="Y511" s="148" t="str">
        <f>IFERROR(__xludf.DUMMYFUNCTION("""COMPUTED_VALUE"""),"[{""typ"":""atk"",""val"":160},{""typ"":""def"",""val"":160},{""typ"":""hp"",""val"":160},{""typ"":""speed"",""val"":40},{""typ"":""load"",""val"":20},{""typ"":""backcoef"",""val"":0.5},{""typ"":""atkcoef"",""val"":1.0},{""typ"":""atkcd"",""val"":0}]")</f>
        <v>[{"typ":"atk","val":160},{"typ":"def","val":160},{"typ":"hp","val":160},{"typ":"speed","val":40},{"typ":"load","val":20},{"typ":"backcoef","val":0.5},{"typ":"atkcoef","val":1.0},{"typ":"atkcd","val":0}]</v>
      </c>
      <c r="Z511" s="148" t="str">
        <f>IFERROR(__xludf.DUMMYFUNCTION("""COMPUTED_VALUE"""),"[]")</f>
        <v>[]</v>
      </c>
    </row>
    <row r="512">
      <c r="A512" s="148">
        <f>IFERROR(__xludf.DUMMYFUNCTION("""COMPUTED_VALUE"""),1.1219649E7)</f>
        <v>11219649</v>
      </c>
      <c r="B512" s="148" t="str">
        <f>IFERROR(__xludf.DUMMYFUNCTION("""COMPUTED_VALUE"""),"重装出击-失控炮车-T4")</f>
        <v>重装出击-失控炮车-T4</v>
      </c>
      <c r="C512" s="148">
        <f>IFERROR(__xludf.DUMMYFUNCTION("""COMPUTED_VALUE"""),1.1221004E7)</f>
        <v>11221004</v>
      </c>
      <c r="D512" s="148">
        <f>IFERROR(__xludf.DUMMYFUNCTION("""COMPUTED_VALUE"""),1.5113953E7)</f>
        <v>15113953</v>
      </c>
      <c r="E512" s="148" t="str">
        <f>IFERROR(__xludf.DUMMYFUNCTION("""COMPUTED_VALUE"""),"{}")</f>
        <v>{}</v>
      </c>
      <c r="F512" s="148" t="str">
        <f>IFERROR(__xludf.DUMMYFUNCTION("""COMPUTED_VALUE"""),"{}")</f>
        <v>{}</v>
      </c>
      <c r="G512" s="148">
        <f>IFERROR(__xludf.DUMMYFUNCTION("""COMPUTED_VALUE"""),2.0)</f>
        <v>2</v>
      </c>
      <c r="H512" s="148">
        <f>IFERROR(__xludf.DUMMYFUNCTION("""COMPUTED_VALUE"""),10099.0)</f>
        <v>10099</v>
      </c>
      <c r="I512" s="148">
        <f>IFERROR(__xludf.DUMMYFUNCTION("""COMPUTED_VALUE"""),10099.0)</f>
        <v>10099</v>
      </c>
      <c r="J512" s="148">
        <f>IFERROR(__xludf.DUMMYFUNCTION("""COMPUTED_VALUE"""),0.0)</f>
        <v>0</v>
      </c>
      <c r="K512" s="148">
        <f>IFERROR(__xludf.DUMMYFUNCTION("""COMPUTED_VALUE"""),10.0)</f>
        <v>10</v>
      </c>
      <c r="L512" s="148">
        <f>IFERROR(__xludf.DUMMYFUNCTION("""COMPUTED_VALUE"""),50.0)</f>
        <v>50</v>
      </c>
      <c r="M512" s="148">
        <f>IFERROR(__xludf.DUMMYFUNCTION("""COMPUTED_VALUE"""),0.0)</f>
        <v>0</v>
      </c>
      <c r="N512" s="148" t="str">
        <f>IFERROR(__xludf.DUMMYFUNCTION("""COMPUTED_VALUE"""),"[]")</f>
        <v>[]</v>
      </c>
      <c r="O512" s="148" t="str">
        <f>IFERROR(__xludf.DUMMYFUNCTION("""COMPUTED_VALUE"""),"{}")</f>
        <v>{}</v>
      </c>
      <c r="P512" s="148">
        <f>IFERROR(__xludf.DUMMYFUNCTION("""COMPUTED_VALUE"""),0.0)</f>
        <v>0</v>
      </c>
      <c r="Q512" s="148" t="str">
        <f>IFERROR(__xludf.DUMMYFUNCTION("""COMPUTED_VALUE"""),"[]")</f>
        <v>[]</v>
      </c>
      <c r="R512" s="148" t="str">
        <f>IFERROR(__xludf.DUMMYFUNCTION("""COMPUTED_VALUE"""),"{}")</f>
        <v>{}</v>
      </c>
      <c r="S512" s="148">
        <f>IFERROR(__xludf.DUMMYFUNCTION("""COMPUTED_VALUE"""),0.0)</f>
        <v>0</v>
      </c>
      <c r="T512" s="148" t="str">
        <f>IFERROR(__xludf.DUMMYFUNCTION("""COMPUTED_VALUE"""),"[]")</f>
        <v>[]</v>
      </c>
      <c r="U512" s="148">
        <f>IFERROR(__xludf.DUMMYFUNCTION("""COMPUTED_VALUE"""),0.0)</f>
        <v>0</v>
      </c>
      <c r="V512" s="148" t="str">
        <f>IFERROR(__xludf.DUMMYFUNCTION("""COMPUTED_VALUE"""),"{}")</f>
        <v>{}</v>
      </c>
      <c r="W512" s="148" t="str">
        <f>IFERROR(__xludf.DUMMYFUNCTION("""COMPUTED_VALUE"""),"[]")</f>
        <v>[]</v>
      </c>
      <c r="X512" s="148" t="str">
        <f>IFERROR(__xludf.DUMMYFUNCTION("""COMPUTED_VALUE"""),"[{""typ"":""power"",""id"":12141002,""val"":6}]")</f>
        <v>[{"typ":"power","id":12141002,"val":6}]</v>
      </c>
      <c r="Y512" s="148" t="str">
        <f>IFERROR(__xludf.DUMMYFUNCTION("""COMPUTED_VALUE"""),"[{""typ"":""atk"",""val"":200},{""typ"":""def"",""val"":190},{""typ"":""hp"",""val"":180},{""typ"":""speed"",""val"":40},{""typ"":""load"",""val"":20},{""typ"":""backcoef"",""val"":0.5},{""typ"":""atkcoef"",""val"":1.0},{""typ"":""atkcd"",""val"":0}]")</f>
        <v>[{"typ":"atk","val":200},{"typ":"def","val":190},{"typ":"hp","val":180},{"typ":"speed","val":40},{"typ":"load","val":20},{"typ":"backcoef","val":0.5},{"typ":"atkcoef","val":1.0},{"typ":"atkcd","val":0}]</v>
      </c>
      <c r="Z512" s="148" t="str">
        <f>IFERROR(__xludf.DUMMYFUNCTION("""COMPUTED_VALUE"""),"[]")</f>
        <v>[]</v>
      </c>
    </row>
    <row r="513">
      <c r="A513" s="148">
        <f>IFERROR(__xludf.DUMMYFUNCTION("""COMPUTED_VALUE"""),1.121965E7)</f>
        <v>11219650</v>
      </c>
      <c r="B513" s="148" t="str">
        <f>IFERROR(__xludf.DUMMYFUNCTION("""COMPUTED_VALUE"""),"重装出击-失控炮车-T5")</f>
        <v>重装出击-失控炮车-T5</v>
      </c>
      <c r="C513" s="148">
        <f>IFERROR(__xludf.DUMMYFUNCTION("""COMPUTED_VALUE"""),1.1221004E7)</f>
        <v>11221004</v>
      </c>
      <c r="D513" s="148">
        <f>IFERROR(__xludf.DUMMYFUNCTION("""COMPUTED_VALUE"""),1.5113953E7)</f>
        <v>15113953</v>
      </c>
      <c r="E513" s="148" t="str">
        <f>IFERROR(__xludf.DUMMYFUNCTION("""COMPUTED_VALUE"""),"{}")</f>
        <v>{}</v>
      </c>
      <c r="F513" s="148" t="str">
        <f>IFERROR(__xludf.DUMMYFUNCTION("""COMPUTED_VALUE"""),"{}")</f>
        <v>{}</v>
      </c>
      <c r="G513" s="148">
        <f>IFERROR(__xludf.DUMMYFUNCTION("""COMPUTED_VALUE"""),2.0)</f>
        <v>2</v>
      </c>
      <c r="H513" s="148">
        <f>IFERROR(__xludf.DUMMYFUNCTION("""COMPUTED_VALUE"""),10099.0)</f>
        <v>10099</v>
      </c>
      <c r="I513" s="148">
        <f>IFERROR(__xludf.DUMMYFUNCTION("""COMPUTED_VALUE"""),10099.0)</f>
        <v>10099</v>
      </c>
      <c r="J513" s="148">
        <f>IFERROR(__xludf.DUMMYFUNCTION("""COMPUTED_VALUE"""),0.0)</f>
        <v>0</v>
      </c>
      <c r="K513" s="148">
        <f>IFERROR(__xludf.DUMMYFUNCTION("""COMPUTED_VALUE"""),10.0)</f>
        <v>10</v>
      </c>
      <c r="L513" s="148">
        <f>IFERROR(__xludf.DUMMYFUNCTION("""COMPUTED_VALUE"""),50.0)</f>
        <v>50</v>
      </c>
      <c r="M513" s="148">
        <f>IFERROR(__xludf.DUMMYFUNCTION("""COMPUTED_VALUE"""),0.0)</f>
        <v>0</v>
      </c>
      <c r="N513" s="148" t="str">
        <f>IFERROR(__xludf.DUMMYFUNCTION("""COMPUTED_VALUE"""),"[]")</f>
        <v>[]</v>
      </c>
      <c r="O513" s="148" t="str">
        <f>IFERROR(__xludf.DUMMYFUNCTION("""COMPUTED_VALUE"""),"{}")</f>
        <v>{}</v>
      </c>
      <c r="P513" s="148">
        <f>IFERROR(__xludf.DUMMYFUNCTION("""COMPUTED_VALUE"""),0.0)</f>
        <v>0</v>
      </c>
      <c r="Q513" s="148" t="str">
        <f>IFERROR(__xludf.DUMMYFUNCTION("""COMPUTED_VALUE"""),"[]")</f>
        <v>[]</v>
      </c>
      <c r="R513" s="148" t="str">
        <f>IFERROR(__xludf.DUMMYFUNCTION("""COMPUTED_VALUE"""),"{}")</f>
        <v>{}</v>
      </c>
      <c r="S513" s="148">
        <f>IFERROR(__xludf.DUMMYFUNCTION("""COMPUTED_VALUE"""),0.0)</f>
        <v>0</v>
      </c>
      <c r="T513" s="148" t="str">
        <f>IFERROR(__xludf.DUMMYFUNCTION("""COMPUTED_VALUE"""),"[]")</f>
        <v>[]</v>
      </c>
      <c r="U513" s="148">
        <f>IFERROR(__xludf.DUMMYFUNCTION("""COMPUTED_VALUE"""),0.0)</f>
        <v>0</v>
      </c>
      <c r="V513" s="148" t="str">
        <f>IFERROR(__xludf.DUMMYFUNCTION("""COMPUTED_VALUE"""),"{}")</f>
        <v>{}</v>
      </c>
      <c r="W513" s="148" t="str">
        <f>IFERROR(__xludf.DUMMYFUNCTION("""COMPUTED_VALUE"""),"[]")</f>
        <v>[]</v>
      </c>
      <c r="X513" s="148" t="str">
        <f>IFERROR(__xludf.DUMMYFUNCTION("""COMPUTED_VALUE"""),"[{""typ"":""power"",""id"":12141002,""val"":10}]")</f>
        <v>[{"typ":"power","id":12141002,"val":10}]</v>
      </c>
      <c r="Y513" s="148" t="str">
        <f>IFERROR(__xludf.DUMMYFUNCTION("""COMPUTED_VALUE"""),"[{""typ"":""atk"",""val"":230},{""typ"":""def"",""val"":210},{""typ"":""hp"",""val"":210},{""typ"":""speed"",""val"":40},{""typ"":""load"",""val"":20},{""typ"":""backcoef"",""val"":0.5},{""typ"":""atkcoef"",""val"":1.0},{""typ"":""atkcd"",""val"":0}]")</f>
        <v>[{"typ":"atk","val":230},{"typ":"def","val":210},{"typ":"hp","val":210},{"typ":"speed","val":40},{"typ":"load","val":20},{"typ":"backcoef","val":0.5},{"typ":"atkcoef","val":1.0},{"typ":"atkcd","val":0}]</v>
      </c>
      <c r="Z513" s="148" t="str">
        <f>IFERROR(__xludf.DUMMYFUNCTION("""COMPUTED_VALUE"""),"[]")</f>
        <v>[]</v>
      </c>
    </row>
    <row r="514">
      <c r="A514" s="148">
        <f>IFERROR(__xludf.DUMMYFUNCTION("""COMPUTED_VALUE"""),1.1219701E7)</f>
        <v>11219701</v>
      </c>
      <c r="B514" s="148" t="str">
        <f>IFERROR(__xludf.DUMMYFUNCTION("""COMPUTED_VALUE"""),"GVEkvk2旗帜--部队")</f>
        <v>GVEkvk2旗帜--部队</v>
      </c>
      <c r="C514" s="148">
        <f>IFERROR(__xludf.DUMMYFUNCTION("""COMPUTED_VALUE"""),1.1221001E7)</f>
        <v>11221001</v>
      </c>
      <c r="D514" s="148">
        <f>IFERROR(__xludf.DUMMYFUNCTION("""COMPUTED_VALUE"""),1.5111315E7)</f>
        <v>15111315</v>
      </c>
      <c r="E514" s="148" t="str">
        <f>IFERROR(__xludf.DUMMYFUNCTION("""COMPUTED_VALUE"""),"{}")</f>
        <v>{}</v>
      </c>
      <c r="F514" s="148" t="str">
        <f>IFERROR(__xludf.DUMMYFUNCTION("""COMPUTED_VALUE"""),"{}")</f>
        <v>{}</v>
      </c>
      <c r="G514" s="148">
        <f>IFERROR(__xludf.DUMMYFUNCTION("""COMPUTED_VALUE"""),10.0)</f>
        <v>10</v>
      </c>
      <c r="H514" s="148">
        <f>IFERROR(__xludf.DUMMYFUNCTION("""COMPUTED_VALUE"""),10099.0)</f>
        <v>10099</v>
      </c>
      <c r="I514" s="148">
        <f>IFERROR(__xludf.DUMMYFUNCTION("""COMPUTED_VALUE"""),10099.0)</f>
        <v>10099</v>
      </c>
      <c r="J514" s="148">
        <f>IFERROR(__xludf.DUMMYFUNCTION("""COMPUTED_VALUE"""),0.0)</f>
        <v>0</v>
      </c>
      <c r="K514" s="148">
        <f>IFERROR(__xludf.DUMMYFUNCTION("""COMPUTED_VALUE"""),10.0)</f>
        <v>10</v>
      </c>
      <c r="L514" s="148">
        <f>IFERROR(__xludf.DUMMYFUNCTION("""COMPUTED_VALUE"""),99.0)</f>
        <v>99</v>
      </c>
      <c r="M514" s="148">
        <f>IFERROR(__xludf.DUMMYFUNCTION("""COMPUTED_VALUE"""),0.0)</f>
        <v>0</v>
      </c>
      <c r="N514" s="148" t="str">
        <f>IFERROR(__xludf.DUMMYFUNCTION("""COMPUTED_VALUE"""),"[]")</f>
        <v>[]</v>
      </c>
      <c r="O514" s="148" t="str">
        <f>IFERROR(__xludf.DUMMYFUNCTION("""COMPUTED_VALUE"""),"{}")</f>
        <v>{}</v>
      </c>
      <c r="P514" s="148">
        <f>IFERROR(__xludf.DUMMYFUNCTION("""COMPUTED_VALUE"""),0.0)</f>
        <v>0</v>
      </c>
      <c r="Q514" s="148" t="str">
        <f>IFERROR(__xludf.DUMMYFUNCTION("""COMPUTED_VALUE"""),"[]")</f>
        <v>[]</v>
      </c>
      <c r="R514" s="148" t="str">
        <f>IFERROR(__xludf.DUMMYFUNCTION("""COMPUTED_VALUE"""),"{}")</f>
        <v>{}</v>
      </c>
      <c r="S514" s="148">
        <f>IFERROR(__xludf.DUMMYFUNCTION("""COMPUTED_VALUE"""),0.0)</f>
        <v>0</v>
      </c>
      <c r="T514" s="148" t="str">
        <f>IFERROR(__xludf.DUMMYFUNCTION("""COMPUTED_VALUE"""),"[]")</f>
        <v>[]</v>
      </c>
      <c r="U514" s="148">
        <f>IFERROR(__xludf.DUMMYFUNCTION("""COMPUTED_VALUE"""),0.0)</f>
        <v>0</v>
      </c>
      <c r="V514" s="148" t="str">
        <f>IFERROR(__xludf.DUMMYFUNCTION("""COMPUTED_VALUE"""),"{}")</f>
        <v>{}</v>
      </c>
      <c r="W514" s="148" t="str">
        <f>IFERROR(__xludf.DUMMYFUNCTION("""COMPUTED_VALUE"""),"[]")</f>
        <v>[]</v>
      </c>
      <c r="X514" s="148" t="str">
        <f>IFERROR(__xludf.DUMMYFUNCTION("""COMPUTED_VALUE"""),"[{""typ"":""power"",""id"":12141002,""val"":4}]")</f>
        <v>[{"typ":"power","id":12141002,"val":4}]</v>
      </c>
      <c r="Y514" s="148" t="str">
        <f>IFERROR(__xludf.DUMMYFUNCTION("""COMPUTED_VALUE"""),"[{""typ"":""atk"",""val"":0},{""typ"":""def"",""val"":160},{""typ"":""hp"",""val"":160},{""typ"":""speed"",""val"":0},{""typ"":""load"",""val"":20},{""typ"":""backcoef"",""val"":0.5},{""typ"":""atkcoef"",""val"":1.0},{""typ"":""atkcd"",""val"":0}]")</f>
        <v>[{"typ":"atk","val":0},{"typ":"def","val":160},{"typ":"hp","val":160},{"typ":"speed","val":0},{"typ":"load","val":20},{"typ":"backcoef","val":0.5},{"typ":"atkcoef","val":1.0},{"typ":"atkcd","val":0}]</v>
      </c>
      <c r="Z514" s="148" t="str">
        <f>IFERROR(__xludf.DUMMYFUNCTION("""COMPUTED_VALUE"""),"[]")</f>
        <v>[]</v>
      </c>
    </row>
    <row r="515">
      <c r="A515" s="148">
        <f>IFERROR(__xludf.DUMMYFUNCTION("""COMPUTED_VALUE"""),1.1219702E7)</f>
        <v>11219702</v>
      </c>
      <c r="B515" s="148" t="str">
        <f>IFERROR(__xludf.DUMMYFUNCTION("""COMPUTED_VALUE"""),"GVE怪--昆虫勘探机白")</f>
        <v>GVE怪--昆虫勘探机白</v>
      </c>
      <c r="C515" s="148">
        <f>IFERROR(__xludf.DUMMYFUNCTION("""COMPUTED_VALUE"""),1.1221004E7)</f>
        <v>11221004</v>
      </c>
      <c r="D515" s="148">
        <f>IFERROR(__xludf.DUMMYFUNCTION("""COMPUTED_VALUE"""),1.5114813E7)</f>
        <v>15114813</v>
      </c>
      <c r="E515" s="148" t="str">
        <f>IFERROR(__xludf.DUMMYFUNCTION("""COMPUTED_VALUE"""),"{""typ"":""lc"",""txt"":""LC_NPC_kvk2_npc_reg_name""}")</f>
        <v>{"typ":"lc","txt":"LC_NPC_kvk2_npc_reg_name"}</v>
      </c>
      <c r="F515" s="148" t="str">
        <f>IFERROR(__xludf.DUMMYFUNCTION("""COMPUTED_VALUE"""),"{}")</f>
        <v>{}</v>
      </c>
      <c r="G515" s="148">
        <f>IFERROR(__xludf.DUMMYFUNCTION("""COMPUTED_VALUE"""),10.0)</f>
        <v>10</v>
      </c>
      <c r="H515" s="148">
        <f>IFERROR(__xludf.DUMMYFUNCTION("""COMPUTED_VALUE"""),10099.0)</f>
        <v>10099</v>
      </c>
      <c r="I515" s="148">
        <f>IFERROR(__xludf.DUMMYFUNCTION("""COMPUTED_VALUE"""),10099.0)</f>
        <v>10099</v>
      </c>
      <c r="J515" s="148">
        <f>IFERROR(__xludf.DUMMYFUNCTION("""COMPUTED_VALUE"""),0.0)</f>
        <v>0</v>
      </c>
      <c r="K515" s="148">
        <f>IFERROR(__xludf.DUMMYFUNCTION("""COMPUTED_VALUE"""),10.0)</f>
        <v>10</v>
      </c>
      <c r="L515" s="148">
        <f>IFERROR(__xludf.DUMMYFUNCTION("""COMPUTED_VALUE"""),99.0)</f>
        <v>99</v>
      </c>
      <c r="M515" s="148">
        <f>IFERROR(__xludf.DUMMYFUNCTION("""COMPUTED_VALUE"""),0.0)</f>
        <v>0</v>
      </c>
      <c r="N515" s="148" t="str">
        <f>IFERROR(__xludf.DUMMYFUNCTION("""COMPUTED_VALUE"""),"[]")</f>
        <v>[]</v>
      </c>
      <c r="O515" s="148" t="str">
        <f>IFERROR(__xludf.DUMMYFUNCTION("""COMPUTED_VALUE"""),"{}")</f>
        <v>{}</v>
      </c>
      <c r="P515" s="148">
        <f>IFERROR(__xludf.DUMMYFUNCTION("""COMPUTED_VALUE"""),0.0)</f>
        <v>0</v>
      </c>
      <c r="Q515" s="148" t="str">
        <f>IFERROR(__xludf.DUMMYFUNCTION("""COMPUTED_VALUE"""),"[]")</f>
        <v>[]</v>
      </c>
      <c r="R515" s="148" t="str">
        <f>IFERROR(__xludf.DUMMYFUNCTION("""COMPUTED_VALUE"""),"{}")</f>
        <v>{}</v>
      </c>
      <c r="S515" s="148">
        <f>IFERROR(__xludf.DUMMYFUNCTION("""COMPUTED_VALUE"""),0.0)</f>
        <v>0</v>
      </c>
      <c r="T515" s="148" t="str">
        <f>IFERROR(__xludf.DUMMYFUNCTION("""COMPUTED_VALUE"""),"[]")</f>
        <v>[]</v>
      </c>
      <c r="U515" s="148">
        <f>IFERROR(__xludf.DUMMYFUNCTION("""COMPUTED_VALUE"""),0.0)</f>
        <v>0</v>
      </c>
      <c r="V515" s="148" t="str">
        <f>IFERROR(__xludf.DUMMYFUNCTION("""COMPUTED_VALUE"""),"{}")</f>
        <v>{}</v>
      </c>
      <c r="W515" s="148" t="str">
        <f>IFERROR(__xludf.DUMMYFUNCTION("""COMPUTED_VALUE"""),"[]")</f>
        <v>[]</v>
      </c>
      <c r="X515" s="148" t="str">
        <f>IFERROR(__xludf.DUMMYFUNCTION("""COMPUTED_VALUE"""),"[{""typ"":""power"",""id"":12141002,""val"":5}]")</f>
        <v>[{"typ":"power","id":12141002,"val":5}]</v>
      </c>
      <c r="Y515" s="148" t="str">
        <f>IFERROR(__xludf.DUMMYFUNCTION("""COMPUTED_VALUE"""),"[{""typ"":""atk"",""val"":160},{""typ"":""def"",""val"":160},{""typ"":""hp"",""val"":160},{""typ"":""speed"",""val"":60},{""typ"":""load"",""val"":20},{""typ"":""backcoef"",""val"":0.5},{""typ"":""atkcoef"",""val"":1.0},{""typ"":""atkcd"",""val"":0}]")</f>
        <v>[{"typ":"atk","val":160},{"typ":"def","val":160},{"typ":"hp","val":160},{"typ":"speed","val":60},{"typ":"load","val":20},{"typ":"backcoef","val":0.5},{"typ":"atkcoef","val":1.0},{"typ":"atkcd","val":0}]</v>
      </c>
      <c r="Z515" s="148" t="str">
        <f>IFERROR(__xludf.DUMMYFUNCTION("""COMPUTED_VALUE"""),"[]")</f>
        <v>[]</v>
      </c>
    </row>
    <row r="516">
      <c r="A516" s="148">
        <f>IFERROR(__xludf.DUMMYFUNCTION("""COMPUTED_VALUE"""),1.1219703E7)</f>
        <v>11219703</v>
      </c>
      <c r="B516" s="148" t="str">
        <f>IFERROR(__xludf.DUMMYFUNCTION("""COMPUTED_VALUE"""),"GVE怪--昆虫勘探机蓝")</f>
        <v>GVE怪--昆虫勘探机蓝</v>
      </c>
      <c r="C516" s="148">
        <f>IFERROR(__xludf.DUMMYFUNCTION("""COMPUTED_VALUE"""),1.1221004E7)</f>
        <v>11221004</v>
      </c>
      <c r="D516" s="148">
        <f>IFERROR(__xludf.DUMMYFUNCTION("""COMPUTED_VALUE"""),1.5114814E7)</f>
        <v>15114814</v>
      </c>
      <c r="E516" s="148" t="str">
        <f>IFERROR(__xludf.DUMMYFUNCTION("""COMPUTED_VALUE"""),"{""typ"":""lc"",""txt"":""LC_NPC_kvk2_npc_reg_name""}")</f>
        <v>{"typ":"lc","txt":"LC_NPC_kvk2_npc_reg_name"}</v>
      </c>
      <c r="F516" s="148" t="str">
        <f>IFERROR(__xludf.DUMMYFUNCTION("""COMPUTED_VALUE"""),"{}")</f>
        <v>{}</v>
      </c>
      <c r="G516" s="148">
        <f>IFERROR(__xludf.DUMMYFUNCTION("""COMPUTED_VALUE"""),10.0)</f>
        <v>10</v>
      </c>
      <c r="H516" s="148">
        <f>IFERROR(__xludf.DUMMYFUNCTION("""COMPUTED_VALUE"""),10099.0)</f>
        <v>10099</v>
      </c>
      <c r="I516" s="148">
        <f>IFERROR(__xludf.DUMMYFUNCTION("""COMPUTED_VALUE"""),10099.0)</f>
        <v>10099</v>
      </c>
      <c r="J516" s="148">
        <f>IFERROR(__xludf.DUMMYFUNCTION("""COMPUTED_VALUE"""),0.0)</f>
        <v>0</v>
      </c>
      <c r="K516" s="148">
        <f>IFERROR(__xludf.DUMMYFUNCTION("""COMPUTED_VALUE"""),10.0)</f>
        <v>10</v>
      </c>
      <c r="L516" s="148">
        <f>IFERROR(__xludf.DUMMYFUNCTION("""COMPUTED_VALUE"""),99.0)</f>
        <v>99</v>
      </c>
      <c r="M516" s="148">
        <f>IFERROR(__xludf.DUMMYFUNCTION("""COMPUTED_VALUE"""),0.0)</f>
        <v>0</v>
      </c>
      <c r="N516" s="148" t="str">
        <f>IFERROR(__xludf.DUMMYFUNCTION("""COMPUTED_VALUE"""),"[]")</f>
        <v>[]</v>
      </c>
      <c r="O516" s="148" t="str">
        <f>IFERROR(__xludf.DUMMYFUNCTION("""COMPUTED_VALUE"""),"{}")</f>
        <v>{}</v>
      </c>
      <c r="P516" s="148">
        <f>IFERROR(__xludf.DUMMYFUNCTION("""COMPUTED_VALUE"""),0.0)</f>
        <v>0</v>
      </c>
      <c r="Q516" s="148" t="str">
        <f>IFERROR(__xludf.DUMMYFUNCTION("""COMPUTED_VALUE"""),"[]")</f>
        <v>[]</v>
      </c>
      <c r="R516" s="148" t="str">
        <f>IFERROR(__xludf.DUMMYFUNCTION("""COMPUTED_VALUE"""),"{}")</f>
        <v>{}</v>
      </c>
      <c r="S516" s="148">
        <f>IFERROR(__xludf.DUMMYFUNCTION("""COMPUTED_VALUE"""),0.0)</f>
        <v>0</v>
      </c>
      <c r="T516" s="148" t="str">
        <f>IFERROR(__xludf.DUMMYFUNCTION("""COMPUTED_VALUE"""),"[]")</f>
        <v>[]</v>
      </c>
      <c r="U516" s="148">
        <f>IFERROR(__xludf.DUMMYFUNCTION("""COMPUTED_VALUE"""),0.0)</f>
        <v>0</v>
      </c>
      <c r="V516" s="148" t="str">
        <f>IFERROR(__xludf.DUMMYFUNCTION("""COMPUTED_VALUE"""),"{}")</f>
        <v>{}</v>
      </c>
      <c r="W516" s="148" t="str">
        <f>IFERROR(__xludf.DUMMYFUNCTION("""COMPUTED_VALUE"""),"[]")</f>
        <v>[]</v>
      </c>
      <c r="X516" s="148" t="str">
        <f>IFERROR(__xludf.DUMMYFUNCTION("""COMPUTED_VALUE"""),"[{""typ"":""power"",""id"":12141002,""val"":5}]")</f>
        <v>[{"typ":"power","id":12141002,"val":5}]</v>
      </c>
      <c r="Y516" s="148" t="str">
        <f>IFERROR(__xludf.DUMMYFUNCTION("""COMPUTED_VALUE"""),"[{""typ"":""atk"",""val"":160},{""typ"":""def"",""val"":160},{""typ"":""hp"",""val"":160},{""typ"":""speed"",""val"":45},{""typ"":""load"",""val"":20},{""typ"":""backcoef"",""val"":0.5},{""typ"":""atkcoef"",""val"":1.0},{""typ"":""atkcd"",""val"":0}]")</f>
        <v>[{"typ":"atk","val":160},{"typ":"def","val":160},{"typ":"hp","val":160},{"typ":"speed","val":45},{"typ":"load","val":20},{"typ":"backcoef","val":0.5},{"typ":"atkcoef","val":1.0},{"typ":"atkcd","val":0}]</v>
      </c>
      <c r="Z516" s="148" t="str">
        <f>IFERROR(__xludf.DUMMYFUNCTION("""COMPUTED_VALUE"""),"[]")</f>
        <v>[]</v>
      </c>
    </row>
    <row r="517">
      <c r="A517" s="148">
        <f>IFERROR(__xludf.DUMMYFUNCTION("""COMPUTED_VALUE"""),1.1219704E7)</f>
        <v>11219704</v>
      </c>
      <c r="B517" s="148" t="str">
        <f>IFERROR(__xludf.DUMMYFUNCTION("""COMPUTED_VALUE"""),"GVE怪--昆虫勘探机紫")</f>
        <v>GVE怪--昆虫勘探机紫</v>
      </c>
      <c r="C517" s="148">
        <f>IFERROR(__xludf.DUMMYFUNCTION("""COMPUTED_VALUE"""),1.1221004E7)</f>
        <v>11221004</v>
      </c>
      <c r="D517" s="148">
        <f>IFERROR(__xludf.DUMMYFUNCTION("""COMPUTED_VALUE"""),1.5114815E7)</f>
        <v>15114815</v>
      </c>
      <c r="E517" s="148" t="str">
        <f>IFERROR(__xludf.DUMMYFUNCTION("""COMPUTED_VALUE"""),"{""typ"":""lc"",""txt"":""LC_NPC_kvk2_npc_reg_name""}")</f>
        <v>{"typ":"lc","txt":"LC_NPC_kvk2_npc_reg_name"}</v>
      </c>
      <c r="F517" s="148" t="str">
        <f>IFERROR(__xludf.DUMMYFUNCTION("""COMPUTED_VALUE"""),"{}")</f>
        <v>{}</v>
      </c>
      <c r="G517" s="148">
        <f>IFERROR(__xludf.DUMMYFUNCTION("""COMPUTED_VALUE"""),10.0)</f>
        <v>10</v>
      </c>
      <c r="H517" s="148">
        <f>IFERROR(__xludf.DUMMYFUNCTION("""COMPUTED_VALUE"""),10099.0)</f>
        <v>10099</v>
      </c>
      <c r="I517" s="148">
        <f>IFERROR(__xludf.DUMMYFUNCTION("""COMPUTED_VALUE"""),10099.0)</f>
        <v>10099</v>
      </c>
      <c r="J517" s="148">
        <f>IFERROR(__xludf.DUMMYFUNCTION("""COMPUTED_VALUE"""),0.0)</f>
        <v>0</v>
      </c>
      <c r="K517" s="148">
        <f>IFERROR(__xludf.DUMMYFUNCTION("""COMPUTED_VALUE"""),10.0)</f>
        <v>10</v>
      </c>
      <c r="L517" s="148">
        <f>IFERROR(__xludf.DUMMYFUNCTION("""COMPUTED_VALUE"""),99.0)</f>
        <v>99</v>
      </c>
      <c r="M517" s="148">
        <f>IFERROR(__xludf.DUMMYFUNCTION("""COMPUTED_VALUE"""),0.0)</f>
        <v>0</v>
      </c>
      <c r="N517" s="148" t="str">
        <f>IFERROR(__xludf.DUMMYFUNCTION("""COMPUTED_VALUE"""),"[]")</f>
        <v>[]</v>
      </c>
      <c r="O517" s="148" t="str">
        <f>IFERROR(__xludf.DUMMYFUNCTION("""COMPUTED_VALUE"""),"{}")</f>
        <v>{}</v>
      </c>
      <c r="P517" s="148">
        <f>IFERROR(__xludf.DUMMYFUNCTION("""COMPUTED_VALUE"""),0.0)</f>
        <v>0</v>
      </c>
      <c r="Q517" s="148" t="str">
        <f>IFERROR(__xludf.DUMMYFUNCTION("""COMPUTED_VALUE"""),"[]")</f>
        <v>[]</v>
      </c>
      <c r="R517" s="148" t="str">
        <f>IFERROR(__xludf.DUMMYFUNCTION("""COMPUTED_VALUE"""),"{}")</f>
        <v>{}</v>
      </c>
      <c r="S517" s="148">
        <f>IFERROR(__xludf.DUMMYFUNCTION("""COMPUTED_VALUE"""),0.0)</f>
        <v>0</v>
      </c>
      <c r="T517" s="148" t="str">
        <f>IFERROR(__xludf.DUMMYFUNCTION("""COMPUTED_VALUE"""),"[]")</f>
        <v>[]</v>
      </c>
      <c r="U517" s="148">
        <f>IFERROR(__xludf.DUMMYFUNCTION("""COMPUTED_VALUE"""),0.0)</f>
        <v>0</v>
      </c>
      <c r="V517" s="148" t="str">
        <f>IFERROR(__xludf.DUMMYFUNCTION("""COMPUTED_VALUE"""),"{}")</f>
        <v>{}</v>
      </c>
      <c r="W517" s="148" t="str">
        <f>IFERROR(__xludf.DUMMYFUNCTION("""COMPUTED_VALUE"""),"[]")</f>
        <v>[]</v>
      </c>
      <c r="X517" s="148" t="str">
        <f>IFERROR(__xludf.DUMMYFUNCTION("""COMPUTED_VALUE"""),"[{""typ"":""power"",""id"":12141002,""val"":5}]")</f>
        <v>[{"typ":"power","id":12141002,"val":5}]</v>
      </c>
      <c r="Y517" s="148" t="str">
        <f>IFERROR(__xludf.DUMMYFUNCTION("""COMPUTED_VALUE"""),"[{""typ"":""atk"",""val"":160},{""typ"":""def"",""val"":160},{""typ"":""hp"",""val"":160},{""typ"":""speed"",""val"":120},{""typ"":""load"",""val"":20},{""typ"":""backcoef"",""val"":0.5},{""typ"":""atkcoef"",""val"":1.0},{""typ"":""atkcd"",""val"":0}]")</f>
        <v>[{"typ":"atk","val":160},{"typ":"def","val":160},{"typ":"hp","val":160},{"typ":"speed","val":120},{"typ":"load","val":20},{"typ":"backcoef","val":0.5},{"typ":"atkcoef","val":1.0},{"typ":"atkcd","val":0}]</v>
      </c>
      <c r="Z517" s="148" t="str">
        <f>IFERROR(__xludf.DUMMYFUNCTION("""COMPUTED_VALUE"""),"[]")</f>
        <v>[]</v>
      </c>
    </row>
    <row r="518">
      <c r="A518" s="148">
        <f>IFERROR(__xludf.DUMMYFUNCTION("""COMPUTED_VALUE"""),1.1219705E7)</f>
        <v>11219705</v>
      </c>
      <c r="B518" s="148" t="str">
        <f>IFERROR(__xludf.DUMMYFUNCTION("""COMPUTED_VALUE"""),"GVE怪--昆虫勘探机橙")</f>
        <v>GVE怪--昆虫勘探机橙</v>
      </c>
      <c r="C518" s="148">
        <f>IFERROR(__xludf.DUMMYFUNCTION("""COMPUTED_VALUE"""),1.1221004E7)</f>
        <v>11221004</v>
      </c>
      <c r="D518" s="148">
        <f>IFERROR(__xludf.DUMMYFUNCTION("""COMPUTED_VALUE"""),1.5114816E7)</f>
        <v>15114816</v>
      </c>
      <c r="E518" s="148" t="str">
        <f>IFERROR(__xludf.DUMMYFUNCTION("""COMPUTED_VALUE"""),"{""typ"":""lc"",""txt"":""LC_NPC_kvk2_npc_reg_name""}")</f>
        <v>{"typ":"lc","txt":"LC_NPC_kvk2_npc_reg_name"}</v>
      </c>
      <c r="F518" s="148" t="str">
        <f>IFERROR(__xludf.DUMMYFUNCTION("""COMPUTED_VALUE"""),"{}")</f>
        <v>{}</v>
      </c>
      <c r="G518" s="148">
        <f>IFERROR(__xludf.DUMMYFUNCTION("""COMPUTED_VALUE"""),10.0)</f>
        <v>10</v>
      </c>
      <c r="H518" s="148">
        <f>IFERROR(__xludf.DUMMYFUNCTION("""COMPUTED_VALUE"""),10099.0)</f>
        <v>10099</v>
      </c>
      <c r="I518" s="148">
        <f>IFERROR(__xludf.DUMMYFUNCTION("""COMPUTED_VALUE"""),10099.0)</f>
        <v>10099</v>
      </c>
      <c r="J518" s="148">
        <f>IFERROR(__xludf.DUMMYFUNCTION("""COMPUTED_VALUE"""),0.0)</f>
        <v>0</v>
      </c>
      <c r="K518" s="148">
        <f>IFERROR(__xludf.DUMMYFUNCTION("""COMPUTED_VALUE"""),10.0)</f>
        <v>10</v>
      </c>
      <c r="L518" s="148">
        <f>IFERROR(__xludf.DUMMYFUNCTION("""COMPUTED_VALUE"""),99.0)</f>
        <v>99</v>
      </c>
      <c r="M518" s="148">
        <f>IFERROR(__xludf.DUMMYFUNCTION("""COMPUTED_VALUE"""),0.0)</f>
        <v>0</v>
      </c>
      <c r="N518" s="148" t="str">
        <f>IFERROR(__xludf.DUMMYFUNCTION("""COMPUTED_VALUE"""),"[]")</f>
        <v>[]</v>
      </c>
      <c r="O518" s="148" t="str">
        <f>IFERROR(__xludf.DUMMYFUNCTION("""COMPUTED_VALUE"""),"{}")</f>
        <v>{}</v>
      </c>
      <c r="P518" s="148">
        <f>IFERROR(__xludf.DUMMYFUNCTION("""COMPUTED_VALUE"""),0.0)</f>
        <v>0</v>
      </c>
      <c r="Q518" s="148" t="str">
        <f>IFERROR(__xludf.DUMMYFUNCTION("""COMPUTED_VALUE"""),"[]")</f>
        <v>[]</v>
      </c>
      <c r="R518" s="148" t="str">
        <f>IFERROR(__xludf.DUMMYFUNCTION("""COMPUTED_VALUE"""),"{}")</f>
        <v>{}</v>
      </c>
      <c r="S518" s="148">
        <f>IFERROR(__xludf.DUMMYFUNCTION("""COMPUTED_VALUE"""),0.0)</f>
        <v>0</v>
      </c>
      <c r="T518" s="148" t="str">
        <f>IFERROR(__xludf.DUMMYFUNCTION("""COMPUTED_VALUE"""),"[]")</f>
        <v>[]</v>
      </c>
      <c r="U518" s="148">
        <f>IFERROR(__xludf.DUMMYFUNCTION("""COMPUTED_VALUE"""),0.0)</f>
        <v>0</v>
      </c>
      <c r="V518" s="148" t="str">
        <f>IFERROR(__xludf.DUMMYFUNCTION("""COMPUTED_VALUE"""),"{}")</f>
        <v>{}</v>
      </c>
      <c r="W518" s="148" t="str">
        <f>IFERROR(__xludf.DUMMYFUNCTION("""COMPUTED_VALUE"""),"[]")</f>
        <v>[]</v>
      </c>
      <c r="X518" s="148" t="str">
        <f>IFERROR(__xludf.DUMMYFUNCTION("""COMPUTED_VALUE"""),"[{""typ"":""power"",""id"":12141002,""val"":5}]")</f>
        <v>[{"typ":"power","id":12141002,"val":5}]</v>
      </c>
      <c r="Y518" s="148" t="str">
        <f>IFERROR(__xludf.DUMMYFUNCTION("""COMPUTED_VALUE"""),"[{""typ"":""atk"",""val"":160},{""typ"":""def"",""val"":160},{""typ"":""hp"",""val"":160},{""typ"":""speed"",""val"":45},{""typ"":""load"",""val"":20},{""typ"":""backcoef"",""val"":0.5},{""typ"":""atkcoef"",""val"":1.0},{""typ"":""atkcd"",""val"":0}]")</f>
        <v>[{"typ":"atk","val":160},{"typ":"def","val":160},{"typ":"hp","val":160},{"typ":"speed","val":45},{"typ":"load","val":20},{"typ":"backcoef","val":0.5},{"typ":"atkcoef","val":1.0},{"typ":"atkcd","val":0}]</v>
      </c>
      <c r="Z518" s="148" t="str">
        <f>IFERROR(__xludf.DUMMYFUNCTION("""COMPUTED_VALUE"""),"[]")</f>
        <v>[]</v>
      </c>
    </row>
    <row r="519">
      <c r="A519" s="148">
        <f>IFERROR(__xludf.DUMMYFUNCTION("""COMPUTED_VALUE"""),1.1219706E7)</f>
        <v>11219706</v>
      </c>
      <c r="B519" s="148" t="str">
        <f>IFERROR(__xludf.DUMMYFUNCTION("""COMPUTED_VALUE"""),"GVE怪--钻探机器人白")</f>
        <v>GVE怪--钻探机器人白</v>
      </c>
      <c r="C519" s="148">
        <f>IFERROR(__xludf.DUMMYFUNCTION("""COMPUTED_VALUE"""),1.1221004E7)</f>
        <v>11221004</v>
      </c>
      <c r="D519" s="148">
        <f>IFERROR(__xludf.DUMMYFUNCTION("""COMPUTED_VALUE"""),1.5114817E7)</f>
        <v>15114817</v>
      </c>
      <c r="E519" s="148" t="str">
        <f>IFERROR(__xludf.DUMMYFUNCTION("""COMPUTED_VALUE"""),"{""typ"":""lc"",""txt"":""LC_NPC_kvk2_npc_boss_name""}")</f>
        <v>{"typ":"lc","txt":"LC_NPC_kvk2_npc_boss_name"}</v>
      </c>
      <c r="F519" s="148" t="str">
        <f>IFERROR(__xludf.DUMMYFUNCTION("""COMPUTED_VALUE"""),"{}")</f>
        <v>{}</v>
      </c>
      <c r="G519" s="148">
        <f>IFERROR(__xludf.DUMMYFUNCTION("""COMPUTED_VALUE"""),10.0)</f>
        <v>10</v>
      </c>
      <c r="H519" s="148">
        <f>IFERROR(__xludf.DUMMYFUNCTION("""COMPUTED_VALUE"""),10099.0)</f>
        <v>10099</v>
      </c>
      <c r="I519" s="148">
        <f>IFERROR(__xludf.DUMMYFUNCTION("""COMPUTED_VALUE"""),10099.0)</f>
        <v>10099</v>
      </c>
      <c r="J519" s="148">
        <f>IFERROR(__xludf.DUMMYFUNCTION("""COMPUTED_VALUE"""),0.0)</f>
        <v>0</v>
      </c>
      <c r="K519" s="148">
        <f>IFERROR(__xludf.DUMMYFUNCTION("""COMPUTED_VALUE"""),10.0)</f>
        <v>10</v>
      </c>
      <c r="L519" s="148">
        <f>IFERROR(__xludf.DUMMYFUNCTION("""COMPUTED_VALUE"""),99.0)</f>
        <v>99</v>
      </c>
      <c r="M519" s="148">
        <f>IFERROR(__xludf.DUMMYFUNCTION("""COMPUTED_VALUE"""),0.0)</f>
        <v>0</v>
      </c>
      <c r="N519" s="148" t="str">
        <f>IFERROR(__xludf.DUMMYFUNCTION("""COMPUTED_VALUE"""),"[]")</f>
        <v>[]</v>
      </c>
      <c r="O519" s="148" t="str">
        <f>IFERROR(__xludf.DUMMYFUNCTION("""COMPUTED_VALUE"""),"{}")</f>
        <v>{}</v>
      </c>
      <c r="P519" s="148">
        <f>IFERROR(__xludf.DUMMYFUNCTION("""COMPUTED_VALUE"""),0.0)</f>
        <v>0</v>
      </c>
      <c r="Q519" s="148" t="str">
        <f>IFERROR(__xludf.DUMMYFUNCTION("""COMPUTED_VALUE"""),"[]")</f>
        <v>[]</v>
      </c>
      <c r="R519" s="148" t="str">
        <f>IFERROR(__xludf.DUMMYFUNCTION("""COMPUTED_VALUE"""),"{}")</f>
        <v>{}</v>
      </c>
      <c r="S519" s="148">
        <f>IFERROR(__xludf.DUMMYFUNCTION("""COMPUTED_VALUE"""),0.0)</f>
        <v>0</v>
      </c>
      <c r="T519" s="148" t="str">
        <f>IFERROR(__xludf.DUMMYFUNCTION("""COMPUTED_VALUE"""),"[]")</f>
        <v>[]</v>
      </c>
      <c r="U519" s="148">
        <f>IFERROR(__xludf.DUMMYFUNCTION("""COMPUTED_VALUE"""),0.0)</f>
        <v>0</v>
      </c>
      <c r="V519" s="148" t="str">
        <f>IFERROR(__xludf.DUMMYFUNCTION("""COMPUTED_VALUE"""),"{}")</f>
        <v>{}</v>
      </c>
      <c r="W519" s="148" t="str">
        <f>IFERROR(__xludf.DUMMYFUNCTION("""COMPUTED_VALUE"""),"[]")</f>
        <v>[]</v>
      </c>
      <c r="X519" s="148" t="str">
        <f>IFERROR(__xludf.DUMMYFUNCTION("""COMPUTED_VALUE"""),"[{""typ"":""power"",""id"":12141002,""val"":5}]")</f>
        <v>[{"typ":"power","id":12141002,"val":5}]</v>
      </c>
      <c r="Y519" s="148" t="str">
        <f>IFERROR(__xludf.DUMMYFUNCTION("""COMPUTED_VALUE"""),"[{""typ"":""atk"",""val"":160},{""typ"":""def"",""val"":160},{""typ"":""hp"",""val"":160},{""typ"":""speed"",""val"":30},{""typ"":""load"",""val"":20},{""typ"":""backcoef"",""val"":0.5},{""typ"":""atkcoef"",""val"":1.0},{""typ"":""atkcd"",""val"":0}]")</f>
        <v>[{"typ":"atk","val":160},{"typ":"def","val":160},{"typ":"hp","val":160},{"typ":"speed","val":30},{"typ":"load","val":20},{"typ":"backcoef","val":0.5},{"typ":"atkcoef","val":1.0},{"typ":"atkcd","val":0}]</v>
      </c>
      <c r="Z519" s="148" t="str">
        <f>IFERROR(__xludf.DUMMYFUNCTION("""COMPUTED_VALUE"""),"[]")</f>
        <v>[]</v>
      </c>
    </row>
    <row r="520">
      <c r="A520" s="148">
        <f>IFERROR(__xludf.DUMMYFUNCTION("""COMPUTED_VALUE"""),1.1219707E7)</f>
        <v>11219707</v>
      </c>
      <c r="B520" s="148" t="str">
        <f>IFERROR(__xludf.DUMMYFUNCTION("""COMPUTED_VALUE"""),"GVE怪--钻探机器人蓝")</f>
        <v>GVE怪--钻探机器人蓝</v>
      </c>
      <c r="C520" s="148">
        <f>IFERROR(__xludf.DUMMYFUNCTION("""COMPUTED_VALUE"""),1.1221004E7)</f>
        <v>11221004</v>
      </c>
      <c r="D520" s="148">
        <f>IFERROR(__xludf.DUMMYFUNCTION("""COMPUTED_VALUE"""),1.5114818E7)</f>
        <v>15114818</v>
      </c>
      <c r="E520" s="148" t="str">
        <f>IFERROR(__xludf.DUMMYFUNCTION("""COMPUTED_VALUE"""),"{""typ"":""lc"",""txt"":""LC_NPC_kvk2_npc_boss_name""}")</f>
        <v>{"typ":"lc","txt":"LC_NPC_kvk2_npc_boss_name"}</v>
      </c>
      <c r="F520" s="148" t="str">
        <f>IFERROR(__xludf.DUMMYFUNCTION("""COMPUTED_VALUE"""),"{}")</f>
        <v>{}</v>
      </c>
      <c r="G520" s="148">
        <f>IFERROR(__xludf.DUMMYFUNCTION("""COMPUTED_VALUE"""),10.0)</f>
        <v>10</v>
      </c>
      <c r="H520" s="148">
        <f>IFERROR(__xludf.DUMMYFUNCTION("""COMPUTED_VALUE"""),10099.0)</f>
        <v>10099</v>
      </c>
      <c r="I520" s="148">
        <f>IFERROR(__xludf.DUMMYFUNCTION("""COMPUTED_VALUE"""),10099.0)</f>
        <v>10099</v>
      </c>
      <c r="J520" s="148">
        <f>IFERROR(__xludf.DUMMYFUNCTION("""COMPUTED_VALUE"""),0.0)</f>
        <v>0</v>
      </c>
      <c r="K520" s="148">
        <f>IFERROR(__xludf.DUMMYFUNCTION("""COMPUTED_VALUE"""),10.0)</f>
        <v>10</v>
      </c>
      <c r="L520" s="148">
        <f>IFERROR(__xludf.DUMMYFUNCTION("""COMPUTED_VALUE"""),99.0)</f>
        <v>99</v>
      </c>
      <c r="M520" s="148">
        <f>IFERROR(__xludf.DUMMYFUNCTION("""COMPUTED_VALUE"""),0.0)</f>
        <v>0</v>
      </c>
      <c r="N520" s="148" t="str">
        <f>IFERROR(__xludf.DUMMYFUNCTION("""COMPUTED_VALUE"""),"[]")</f>
        <v>[]</v>
      </c>
      <c r="O520" s="148" t="str">
        <f>IFERROR(__xludf.DUMMYFUNCTION("""COMPUTED_VALUE"""),"{}")</f>
        <v>{}</v>
      </c>
      <c r="P520" s="148">
        <f>IFERROR(__xludf.DUMMYFUNCTION("""COMPUTED_VALUE"""),0.0)</f>
        <v>0</v>
      </c>
      <c r="Q520" s="148" t="str">
        <f>IFERROR(__xludf.DUMMYFUNCTION("""COMPUTED_VALUE"""),"[]")</f>
        <v>[]</v>
      </c>
      <c r="R520" s="148" t="str">
        <f>IFERROR(__xludf.DUMMYFUNCTION("""COMPUTED_VALUE"""),"{}")</f>
        <v>{}</v>
      </c>
      <c r="S520" s="148">
        <f>IFERROR(__xludf.DUMMYFUNCTION("""COMPUTED_VALUE"""),0.0)</f>
        <v>0</v>
      </c>
      <c r="T520" s="148" t="str">
        <f>IFERROR(__xludf.DUMMYFUNCTION("""COMPUTED_VALUE"""),"[]")</f>
        <v>[]</v>
      </c>
      <c r="U520" s="148">
        <f>IFERROR(__xludf.DUMMYFUNCTION("""COMPUTED_VALUE"""),0.0)</f>
        <v>0</v>
      </c>
      <c r="V520" s="148" t="str">
        <f>IFERROR(__xludf.DUMMYFUNCTION("""COMPUTED_VALUE"""),"{}")</f>
        <v>{}</v>
      </c>
      <c r="W520" s="148" t="str">
        <f>IFERROR(__xludf.DUMMYFUNCTION("""COMPUTED_VALUE"""),"[]")</f>
        <v>[]</v>
      </c>
      <c r="X520" s="148" t="str">
        <f>IFERROR(__xludf.DUMMYFUNCTION("""COMPUTED_VALUE"""),"[{""typ"":""power"",""id"":12141002,""val"":5}]")</f>
        <v>[{"typ":"power","id":12141002,"val":5}]</v>
      </c>
      <c r="Y520" s="148" t="str">
        <f>IFERROR(__xludf.DUMMYFUNCTION("""COMPUTED_VALUE"""),"[{""typ"":""atk"",""val"":160},{""typ"":""def"",""val"":160},{""typ"":""hp"",""val"":160},{""typ"":""speed"",""val"":30},{""typ"":""load"",""val"":20},{""typ"":""backcoef"",""val"":0.5},{""typ"":""atkcoef"",""val"":1.0},{""typ"":""atkcd"",""val"":0}]")</f>
        <v>[{"typ":"atk","val":160},{"typ":"def","val":160},{"typ":"hp","val":160},{"typ":"speed","val":30},{"typ":"load","val":20},{"typ":"backcoef","val":0.5},{"typ":"atkcoef","val":1.0},{"typ":"atkcd","val":0}]</v>
      </c>
      <c r="Z520" s="148" t="str">
        <f>IFERROR(__xludf.DUMMYFUNCTION("""COMPUTED_VALUE"""),"[]")</f>
        <v>[]</v>
      </c>
    </row>
    <row r="521">
      <c r="A521" s="148">
        <f>IFERROR(__xludf.DUMMYFUNCTION("""COMPUTED_VALUE"""),1.1219708E7)</f>
        <v>11219708</v>
      </c>
      <c r="B521" s="148" t="str">
        <f>IFERROR(__xludf.DUMMYFUNCTION("""COMPUTED_VALUE"""),"GVE怪--钻探机器人紫")</f>
        <v>GVE怪--钻探机器人紫</v>
      </c>
      <c r="C521" s="148">
        <f>IFERROR(__xludf.DUMMYFUNCTION("""COMPUTED_VALUE"""),1.1221004E7)</f>
        <v>11221004</v>
      </c>
      <c r="D521" s="148">
        <f>IFERROR(__xludf.DUMMYFUNCTION("""COMPUTED_VALUE"""),1.5114819E7)</f>
        <v>15114819</v>
      </c>
      <c r="E521" s="148" t="str">
        <f>IFERROR(__xludf.DUMMYFUNCTION("""COMPUTED_VALUE"""),"{""typ"":""lc"",""txt"":""LC_NPC_kvk2_npc_boss_name""}")</f>
        <v>{"typ":"lc","txt":"LC_NPC_kvk2_npc_boss_name"}</v>
      </c>
      <c r="F521" s="148" t="str">
        <f>IFERROR(__xludf.DUMMYFUNCTION("""COMPUTED_VALUE"""),"{}")</f>
        <v>{}</v>
      </c>
      <c r="G521" s="148">
        <f>IFERROR(__xludf.DUMMYFUNCTION("""COMPUTED_VALUE"""),10.0)</f>
        <v>10</v>
      </c>
      <c r="H521" s="148">
        <f>IFERROR(__xludf.DUMMYFUNCTION("""COMPUTED_VALUE"""),10099.0)</f>
        <v>10099</v>
      </c>
      <c r="I521" s="148">
        <f>IFERROR(__xludf.DUMMYFUNCTION("""COMPUTED_VALUE"""),10099.0)</f>
        <v>10099</v>
      </c>
      <c r="J521" s="148">
        <f>IFERROR(__xludf.DUMMYFUNCTION("""COMPUTED_VALUE"""),0.0)</f>
        <v>0</v>
      </c>
      <c r="K521" s="148">
        <f>IFERROR(__xludf.DUMMYFUNCTION("""COMPUTED_VALUE"""),10.0)</f>
        <v>10</v>
      </c>
      <c r="L521" s="148">
        <f>IFERROR(__xludf.DUMMYFUNCTION("""COMPUTED_VALUE"""),99.0)</f>
        <v>99</v>
      </c>
      <c r="M521" s="148">
        <f>IFERROR(__xludf.DUMMYFUNCTION("""COMPUTED_VALUE"""),0.0)</f>
        <v>0</v>
      </c>
      <c r="N521" s="148" t="str">
        <f>IFERROR(__xludf.DUMMYFUNCTION("""COMPUTED_VALUE"""),"[]")</f>
        <v>[]</v>
      </c>
      <c r="O521" s="148" t="str">
        <f>IFERROR(__xludf.DUMMYFUNCTION("""COMPUTED_VALUE"""),"{}")</f>
        <v>{}</v>
      </c>
      <c r="P521" s="148">
        <f>IFERROR(__xludf.DUMMYFUNCTION("""COMPUTED_VALUE"""),0.0)</f>
        <v>0</v>
      </c>
      <c r="Q521" s="148" t="str">
        <f>IFERROR(__xludf.DUMMYFUNCTION("""COMPUTED_VALUE"""),"[]")</f>
        <v>[]</v>
      </c>
      <c r="R521" s="148" t="str">
        <f>IFERROR(__xludf.DUMMYFUNCTION("""COMPUTED_VALUE"""),"{}")</f>
        <v>{}</v>
      </c>
      <c r="S521" s="148">
        <f>IFERROR(__xludf.DUMMYFUNCTION("""COMPUTED_VALUE"""),0.0)</f>
        <v>0</v>
      </c>
      <c r="T521" s="148" t="str">
        <f>IFERROR(__xludf.DUMMYFUNCTION("""COMPUTED_VALUE"""),"[]")</f>
        <v>[]</v>
      </c>
      <c r="U521" s="148">
        <f>IFERROR(__xludf.DUMMYFUNCTION("""COMPUTED_VALUE"""),0.0)</f>
        <v>0</v>
      </c>
      <c r="V521" s="148" t="str">
        <f>IFERROR(__xludf.DUMMYFUNCTION("""COMPUTED_VALUE"""),"{}")</f>
        <v>{}</v>
      </c>
      <c r="W521" s="148" t="str">
        <f>IFERROR(__xludf.DUMMYFUNCTION("""COMPUTED_VALUE"""),"[]")</f>
        <v>[]</v>
      </c>
      <c r="X521" s="148" t="str">
        <f>IFERROR(__xludf.DUMMYFUNCTION("""COMPUTED_VALUE"""),"[{""typ"":""power"",""id"":12141002,""val"":5}]")</f>
        <v>[{"typ":"power","id":12141002,"val":5}]</v>
      </c>
      <c r="Y521" s="148" t="str">
        <f>IFERROR(__xludf.DUMMYFUNCTION("""COMPUTED_VALUE"""),"[{""typ"":""atk"",""val"":160},{""typ"":""def"",""val"":160},{""typ"":""hp"",""val"":160},{""typ"":""speed"",""val"":60},{""typ"":""load"",""val"":20},{""typ"":""backcoef"",""val"":0.5},{""typ"":""atkcoef"",""val"":1.0},{""typ"":""atkcd"",""val"":0}]")</f>
        <v>[{"typ":"atk","val":160},{"typ":"def","val":160},{"typ":"hp","val":160},{"typ":"speed","val":60},{"typ":"load","val":20},{"typ":"backcoef","val":0.5},{"typ":"atkcoef","val":1.0},{"typ":"atkcd","val":0}]</v>
      </c>
      <c r="Z521" s="148" t="str">
        <f>IFERROR(__xludf.DUMMYFUNCTION("""COMPUTED_VALUE"""),"[]")</f>
        <v>[]</v>
      </c>
    </row>
    <row r="522">
      <c r="A522" s="148">
        <f>IFERROR(__xludf.DUMMYFUNCTION("""COMPUTED_VALUE"""),1.1219709E7)</f>
        <v>11219709</v>
      </c>
      <c r="B522" s="148" t="str">
        <f>IFERROR(__xludf.DUMMYFUNCTION("""COMPUTED_VALUE"""),"GVE怪--钻探机器人橙")</f>
        <v>GVE怪--钻探机器人橙</v>
      </c>
      <c r="C522" s="148">
        <f>IFERROR(__xludf.DUMMYFUNCTION("""COMPUTED_VALUE"""),1.1221004E7)</f>
        <v>11221004</v>
      </c>
      <c r="D522" s="148">
        <f>IFERROR(__xludf.DUMMYFUNCTION("""COMPUTED_VALUE"""),1.511482E7)</f>
        <v>15114820</v>
      </c>
      <c r="E522" s="148" t="str">
        <f>IFERROR(__xludf.DUMMYFUNCTION("""COMPUTED_VALUE"""),"{""typ"":""lc"",""txt"":""LC_NPC_kvk2_npc_boss_name""}")</f>
        <v>{"typ":"lc","txt":"LC_NPC_kvk2_npc_boss_name"}</v>
      </c>
      <c r="F522" s="148" t="str">
        <f>IFERROR(__xludf.DUMMYFUNCTION("""COMPUTED_VALUE"""),"{}")</f>
        <v>{}</v>
      </c>
      <c r="G522" s="148">
        <f>IFERROR(__xludf.DUMMYFUNCTION("""COMPUTED_VALUE"""),10.0)</f>
        <v>10</v>
      </c>
      <c r="H522" s="148">
        <f>IFERROR(__xludf.DUMMYFUNCTION("""COMPUTED_VALUE"""),10099.0)</f>
        <v>10099</v>
      </c>
      <c r="I522" s="148">
        <f>IFERROR(__xludf.DUMMYFUNCTION("""COMPUTED_VALUE"""),10099.0)</f>
        <v>10099</v>
      </c>
      <c r="J522" s="148">
        <f>IFERROR(__xludf.DUMMYFUNCTION("""COMPUTED_VALUE"""),0.0)</f>
        <v>0</v>
      </c>
      <c r="K522" s="148">
        <f>IFERROR(__xludf.DUMMYFUNCTION("""COMPUTED_VALUE"""),10.0)</f>
        <v>10</v>
      </c>
      <c r="L522" s="148">
        <f>IFERROR(__xludf.DUMMYFUNCTION("""COMPUTED_VALUE"""),99.0)</f>
        <v>99</v>
      </c>
      <c r="M522" s="148">
        <f>IFERROR(__xludf.DUMMYFUNCTION("""COMPUTED_VALUE"""),0.0)</f>
        <v>0</v>
      </c>
      <c r="N522" s="148" t="str">
        <f>IFERROR(__xludf.DUMMYFUNCTION("""COMPUTED_VALUE"""),"[]")</f>
        <v>[]</v>
      </c>
      <c r="O522" s="148" t="str">
        <f>IFERROR(__xludf.DUMMYFUNCTION("""COMPUTED_VALUE"""),"{}")</f>
        <v>{}</v>
      </c>
      <c r="P522" s="148">
        <f>IFERROR(__xludf.DUMMYFUNCTION("""COMPUTED_VALUE"""),0.0)</f>
        <v>0</v>
      </c>
      <c r="Q522" s="148" t="str">
        <f>IFERROR(__xludf.DUMMYFUNCTION("""COMPUTED_VALUE"""),"[]")</f>
        <v>[]</v>
      </c>
      <c r="R522" s="148" t="str">
        <f>IFERROR(__xludf.DUMMYFUNCTION("""COMPUTED_VALUE"""),"{}")</f>
        <v>{}</v>
      </c>
      <c r="S522" s="148">
        <f>IFERROR(__xludf.DUMMYFUNCTION("""COMPUTED_VALUE"""),0.0)</f>
        <v>0</v>
      </c>
      <c r="T522" s="148" t="str">
        <f>IFERROR(__xludf.DUMMYFUNCTION("""COMPUTED_VALUE"""),"[]")</f>
        <v>[]</v>
      </c>
      <c r="U522" s="148">
        <f>IFERROR(__xludf.DUMMYFUNCTION("""COMPUTED_VALUE"""),0.0)</f>
        <v>0</v>
      </c>
      <c r="V522" s="148" t="str">
        <f>IFERROR(__xludf.DUMMYFUNCTION("""COMPUTED_VALUE"""),"{}")</f>
        <v>{}</v>
      </c>
      <c r="W522" s="148" t="str">
        <f>IFERROR(__xludf.DUMMYFUNCTION("""COMPUTED_VALUE"""),"[]")</f>
        <v>[]</v>
      </c>
      <c r="X522" s="148" t="str">
        <f>IFERROR(__xludf.DUMMYFUNCTION("""COMPUTED_VALUE"""),"[{""typ"":""power"",""id"":12141002,""val"":5}]")</f>
        <v>[{"typ":"power","id":12141002,"val":5}]</v>
      </c>
      <c r="Y522" s="148" t="str">
        <f>IFERROR(__xludf.DUMMYFUNCTION("""COMPUTED_VALUE"""),"[{""typ"":""atk"",""val"":160},{""typ"":""def"",""val"":160},{""typ"":""hp"",""val"":160},{""typ"":""speed"",""val"":30},{""typ"":""load"",""val"":20},{""typ"":""backcoef"",""val"":0.5},{""typ"":""atkcoef"",""val"":1.0},{""typ"":""atkcd"",""val"":0}]")</f>
        <v>[{"typ":"atk","val":160},{"typ":"def","val":160},{"typ":"hp","val":160},{"typ":"speed","val":30},{"typ":"load","val":20},{"typ":"backcoef","val":0.5},{"typ":"atkcoef","val":1.0},{"typ":"atkcd","val":0}]</v>
      </c>
      <c r="Z522" s="148" t="str">
        <f>IFERROR(__xludf.DUMMYFUNCTION("""COMPUTED_VALUE"""),"[]")</f>
        <v>[]</v>
      </c>
    </row>
    <row r="523">
      <c r="A523" s="148">
        <f>IFERROR(__xludf.DUMMYFUNCTION("""COMPUTED_VALUE"""),1.1219801E7)</f>
        <v>11219801</v>
      </c>
      <c r="B523" s="148" t="str">
        <f>IFERROR(__xludf.DUMMYFUNCTION("""COMPUTED_VALUE"""),"KVK2-押镖单位-白怪1")</f>
        <v>KVK2-押镖单位-白怪1</v>
      </c>
      <c r="C523" s="148">
        <f>IFERROR(__xludf.DUMMYFUNCTION("""COMPUTED_VALUE"""),1.1221004E7)</f>
        <v>11221004</v>
      </c>
      <c r="D523" s="148">
        <f>IFERROR(__xludf.DUMMYFUNCTION("""COMPUTED_VALUE"""),1.5114811E7)</f>
        <v>15114811</v>
      </c>
      <c r="E523" s="148" t="str">
        <f>IFERROR(__xludf.DUMMYFUNCTION("""COMPUTED_VALUE"""),"{""typ"":""lc"",""txt"":""LC_NPC_kvk2_npc_reg_name""}")</f>
        <v>{"typ":"lc","txt":"LC_NPC_kvk2_npc_reg_name"}</v>
      </c>
      <c r="F523" s="148" t="str">
        <f>IFERROR(__xludf.DUMMYFUNCTION("""COMPUTED_VALUE"""),"{""typ"":""lc"",""txt"":""LC_NPC_kvk2_npc_reg_desc""}")</f>
        <v>{"typ":"lc","txt":"LC_NPC_kvk2_npc_reg_desc"}</v>
      </c>
      <c r="G523" s="148">
        <f>IFERROR(__xludf.DUMMYFUNCTION("""COMPUTED_VALUE"""),10.0)</f>
        <v>10</v>
      </c>
      <c r="H523" s="148">
        <f>IFERROR(__xludf.DUMMYFUNCTION("""COMPUTED_VALUE"""),10099.0)</f>
        <v>10099</v>
      </c>
      <c r="I523" s="148">
        <f>IFERROR(__xludf.DUMMYFUNCTION("""COMPUTED_VALUE"""),10099.0)</f>
        <v>10099</v>
      </c>
      <c r="J523" s="148">
        <f>IFERROR(__xludf.DUMMYFUNCTION("""COMPUTED_VALUE"""),0.0)</f>
        <v>0</v>
      </c>
      <c r="K523" s="148">
        <f>IFERROR(__xludf.DUMMYFUNCTION("""COMPUTED_VALUE"""),10.0)</f>
        <v>10</v>
      </c>
      <c r="L523" s="148">
        <f>IFERROR(__xludf.DUMMYFUNCTION("""COMPUTED_VALUE"""),99.0)</f>
        <v>99</v>
      </c>
      <c r="M523" s="148">
        <f>IFERROR(__xludf.DUMMYFUNCTION("""COMPUTED_VALUE"""),0.0)</f>
        <v>0</v>
      </c>
      <c r="N523" s="148" t="str">
        <f>IFERROR(__xludf.DUMMYFUNCTION("""COMPUTED_VALUE"""),"[]")</f>
        <v>[]</v>
      </c>
      <c r="O523" s="148" t="str">
        <f>IFERROR(__xludf.DUMMYFUNCTION("""COMPUTED_VALUE"""),"{}")</f>
        <v>{}</v>
      </c>
      <c r="P523" s="148">
        <f>IFERROR(__xludf.DUMMYFUNCTION("""COMPUTED_VALUE"""),0.0)</f>
        <v>0</v>
      </c>
      <c r="Q523" s="148" t="str">
        <f>IFERROR(__xludf.DUMMYFUNCTION("""COMPUTED_VALUE"""),"[]")</f>
        <v>[]</v>
      </c>
      <c r="R523" s="148" t="str">
        <f>IFERROR(__xludf.DUMMYFUNCTION("""COMPUTED_VALUE"""),"{}")</f>
        <v>{}</v>
      </c>
      <c r="S523" s="148">
        <f>IFERROR(__xludf.DUMMYFUNCTION("""COMPUTED_VALUE"""),0.0)</f>
        <v>0</v>
      </c>
      <c r="T523" s="148" t="str">
        <f>IFERROR(__xludf.DUMMYFUNCTION("""COMPUTED_VALUE"""),"[]")</f>
        <v>[]</v>
      </c>
      <c r="U523" s="148">
        <f>IFERROR(__xludf.DUMMYFUNCTION("""COMPUTED_VALUE"""),0.0)</f>
        <v>0</v>
      </c>
      <c r="V523" s="148" t="str">
        <f>IFERROR(__xludf.DUMMYFUNCTION("""COMPUTED_VALUE"""),"{}")</f>
        <v>{}</v>
      </c>
      <c r="W523" s="148" t="str">
        <f>IFERROR(__xludf.DUMMYFUNCTION("""COMPUTED_VALUE"""),"[]")</f>
        <v>[]</v>
      </c>
      <c r="X523" s="148" t="str">
        <f>IFERROR(__xludf.DUMMYFUNCTION("""COMPUTED_VALUE"""),"[{""typ"":""power"",""id"":12141002,""val"":1}]")</f>
        <v>[{"typ":"power","id":12141002,"val":1}]</v>
      </c>
      <c r="Y523" s="148" t="str">
        <f>IFERROR(__xludf.DUMMYFUNCTION("""COMPUTED_VALUE"""),"[{""typ"":""atk"",""val"":15},{""typ"":""def"",""val"":125},{""typ"":""hp"",""val"":135},{""typ"":""speed"",""val"":50},{""typ"":""load"",""val"":20},{""typ"":""backcoef"",""val"":0.5},{""typ"":""atkcoef"",""val"":1.0},{""typ"":""atkcd"",""val"":0}]")</f>
        <v>[{"typ":"atk","val":15},{"typ":"def","val":125},{"typ":"hp","val":135},{"typ":"speed","val":50},{"typ":"load","val":20},{"typ":"backcoef","val":0.5},{"typ":"atkcoef","val":1.0},{"typ":"atkcd","val":0}]</v>
      </c>
      <c r="Z523" s="148" t="str">
        <f>IFERROR(__xludf.DUMMYFUNCTION("""COMPUTED_VALUE"""),"[]")</f>
        <v>[]</v>
      </c>
    </row>
    <row r="524">
      <c r="A524" s="148">
        <f>IFERROR(__xludf.DUMMYFUNCTION("""COMPUTED_VALUE"""),1.1219802E7)</f>
        <v>11219802</v>
      </c>
      <c r="B524" s="148" t="str">
        <f>IFERROR(__xludf.DUMMYFUNCTION("""COMPUTED_VALUE"""),"KVK2-押镖单位-白怪2")</f>
        <v>KVK2-押镖单位-白怪2</v>
      </c>
      <c r="C524" s="148">
        <f>IFERROR(__xludf.DUMMYFUNCTION("""COMPUTED_VALUE"""),1.1221004E7)</f>
        <v>11221004</v>
      </c>
      <c r="D524" s="148">
        <f>IFERROR(__xludf.DUMMYFUNCTION("""COMPUTED_VALUE"""),1.5114811E7)</f>
        <v>15114811</v>
      </c>
      <c r="E524" s="148" t="str">
        <f>IFERROR(__xludf.DUMMYFUNCTION("""COMPUTED_VALUE"""),"{""typ"":""lc"",""txt"":""LC_NPC_kvk2_npc_reg_name""}")</f>
        <v>{"typ":"lc","txt":"LC_NPC_kvk2_npc_reg_name"}</v>
      </c>
      <c r="F524" s="148" t="str">
        <f>IFERROR(__xludf.DUMMYFUNCTION("""COMPUTED_VALUE"""),"{""typ"":""lc"",""txt"":""LC_NPC_kvk2_npc_reg_desc""}")</f>
        <v>{"typ":"lc","txt":"LC_NPC_kvk2_npc_reg_desc"}</v>
      </c>
      <c r="G524" s="148">
        <f>IFERROR(__xludf.DUMMYFUNCTION("""COMPUTED_VALUE"""),10.0)</f>
        <v>10</v>
      </c>
      <c r="H524" s="148">
        <f>IFERROR(__xludf.DUMMYFUNCTION("""COMPUTED_VALUE"""),10099.0)</f>
        <v>10099</v>
      </c>
      <c r="I524" s="148">
        <f>IFERROR(__xludf.DUMMYFUNCTION("""COMPUTED_VALUE"""),10099.0)</f>
        <v>10099</v>
      </c>
      <c r="J524" s="148">
        <f>IFERROR(__xludf.DUMMYFUNCTION("""COMPUTED_VALUE"""),0.0)</f>
        <v>0</v>
      </c>
      <c r="K524" s="148">
        <f>IFERROR(__xludf.DUMMYFUNCTION("""COMPUTED_VALUE"""),10.0)</f>
        <v>10</v>
      </c>
      <c r="L524" s="148">
        <f>IFERROR(__xludf.DUMMYFUNCTION("""COMPUTED_VALUE"""),99.0)</f>
        <v>99</v>
      </c>
      <c r="M524" s="148">
        <f>IFERROR(__xludf.DUMMYFUNCTION("""COMPUTED_VALUE"""),0.0)</f>
        <v>0</v>
      </c>
      <c r="N524" s="148" t="str">
        <f>IFERROR(__xludf.DUMMYFUNCTION("""COMPUTED_VALUE"""),"[]")</f>
        <v>[]</v>
      </c>
      <c r="O524" s="148" t="str">
        <f>IFERROR(__xludf.DUMMYFUNCTION("""COMPUTED_VALUE"""),"{}")</f>
        <v>{}</v>
      </c>
      <c r="P524" s="148">
        <f>IFERROR(__xludf.DUMMYFUNCTION("""COMPUTED_VALUE"""),0.0)</f>
        <v>0</v>
      </c>
      <c r="Q524" s="148" t="str">
        <f>IFERROR(__xludf.DUMMYFUNCTION("""COMPUTED_VALUE"""),"[]")</f>
        <v>[]</v>
      </c>
      <c r="R524" s="148" t="str">
        <f>IFERROR(__xludf.DUMMYFUNCTION("""COMPUTED_VALUE"""),"{}")</f>
        <v>{}</v>
      </c>
      <c r="S524" s="148">
        <f>IFERROR(__xludf.DUMMYFUNCTION("""COMPUTED_VALUE"""),0.0)</f>
        <v>0</v>
      </c>
      <c r="T524" s="148" t="str">
        <f>IFERROR(__xludf.DUMMYFUNCTION("""COMPUTED_VALUE"""),"[]")</f>
        <v>[]</v>
      </c>
      <c r="U524" s="148">
        <f>IFERROR(__xludf.DUMMYFUNCTION("""COMPUTED_VALUE"""),0.0)</f>
        <v>0</v>
      </c>
      <c r="V524" s="148" t="str">
        <f>IFERROR(__xludf.DUMMYFUNCTION("""COMPUTED_VALUE"""),"{}")</f>
        <v>{}</v>
      </c>
      <c r="W524" s="148" t="str">
        <f>IFERROR(__xludf.DUMMYFUNCTION("""COMPUTED_VALUE"""),"[]")</f>
        <v>[]</v>
      </c>
      <c r="X524" s="148" t="str">
        <f>IFERROR(__xludf.DUMMYFUNCTION("""COMPUTED_VALUE"""),"[{""typ"":""power"",""id"":12141002,""val"":1}]")</f>
        <v>[{"typ":"power","id":12141002,"val":1}]</v>
      </c>
      <c r="Y524" s="148" t="str">
        <f>IFERROR(__xludf.DUMMYFUNCTION("""COMPUTED_VALUE"""),"[{""typ"":""atk"",""val"":30},{""typ"":""def"",""val"":125},{""typ"":""hp"",""val"":135},{""typ"":""speed"",""val"":50},{""typ"":""load"",""val"":20},{""typ"":""backcoef"",""val"":0.5},{""typ"":""atkcoef"",""val"":1.0},{""typ"":""atkcd"",""val"":0}]")</f>
        <v>[{"typ":"atk","val":30},{"typ":"def","val":125},{"typ":"hp","val":135},{"typ":"speed","val":50},{"typ":"load","val":20},{"typ":"backcoef","val":0.5},{"typ":"atkcoef","val":1.0},{"typ":"atkcd","val":0}]</v>
      </c>
      <c r="Z524" s="148" t="str">
        <f>IFERROR(__xludf.DUMMYFUNCTION("""COMPUTED_VALUE"""),"[]")</f>
        <v>[]</v>
      </c>
    </row>
    <row r="525">
      <c r="A525" s="148">
        <f>IFERROR(__xludf.DUMMYFUNCTION("""COMPUTED_VALUE"""),1.1219803E7)</f>
        <v>11219803</v>
      </c>
      <c r="B525" s="148" t="str">
        <f>IFERROR(__xludf.DUMMYFUNCTION("""COMPUTED_VALUE"""),"KVK2-押镖单位-白怪3")</f>
        <v>KVK2-押镖单位-白怪3</v>
      </c>
      <c r="C525" s="148">
        <f>IFERROR(__xludf.DUMMYFUNCTION("""COMPUTED_VALUE"""),1.1221004E7)</f>
        <v>11221004</v>
      </c>
      <c r="D525" s="148">
        <f>IFERROR(__xludf.DUMMYFUNCTION("""COMPUTED_VALUE"""),1.5114811E7)</f>
        <v>15114811</v>
      </c>
      <c r="E525" s="148" t="str">
        <f>IFERROR(__xludf.DUMMYFUNCTION("""COMPUTED_VALUE"""),"{""typ"":""lc"",""txt"":""LC_NPC_kvk2_npc_reg_name""}")</f>
        <v>{"typ":"lc","txt":"LC_NPC_kvk2_npc_reg_name"}</v>
      </c>
      <c r="F525" s="148" t="str">
        <f>IFERROR(__xludf.DUMMYFUNCTION("""COMPUTED_VALUE"""),"{""typ"":""lc"",""txt"":""LC_NPC_kvk2_npc_reg_desc""}")</f>
        <v>{"typ":"lc","txt":"LC_NPC_kvk2_npc_reg_desc"}</v>
      </c>
      <c r="G525" s="148">
        <f>IFERROR(__xludf.DUMMYFUNCTION("""COMPUTED_VALUE"""),10.0)</f>
        <v>10</v>
      </c>
      <c r="H525" s="148">
        <f>IFERROR(__xludf.DUMMYFUNCTION("""COMPUTED_VALUE"""),10099.0)</f>
        <v>10099</v>
      </c>
      <c r="I525" s="148">
        <f>IFERROR(__xludf.DUMMYFUNCTION("""COMPUTED_VALUE"""),10099.0)</f>
        <v>10099</v>
      </c>
      <c r="J525" s="148">
        <f>IFERROR(__xludf.DUMMYFUNCTION("""COMPUTED_VALUE"""),0.0)</f>
        <v>0</v>
      </c>
      <c r="K525" s="148">
        <f>IFERROR(__xludf.DUMMYFUNCTION("""COMPUTED_VALUE"""),10.0)</f>
        <v>10</v>
      </c>
      <c r="L525" s="148">
        <f>IFERROR(__xludf.DUMMYFUNCTION("""COMPUTED_VALUE"""),99.0)</f>
        <v>99</v>
      </c>
      <c r="M525" s="148">
        <f>IFERROR(__xludf.DUMMYFUNCTION("""COMPUTED_VALUE"""),0.0)</f>
        <v>0</v>
      </c>
      <c r="N525" s="148" t="str">
        <f>IFERROR(__xludf.DUMMYFUNCTION("""COMPUTED_VALUE"""),"[]")</f>
        <v>[]</v>
      </c>
      <c r="O525" s="148" t="str">
        <f>IFERROR(__xludf.DUMMYFUNCTION("""COMPUTED_VALUE"""),"{}")</f>
        <v>{}</v>
      </c>
      <c r="P525" s="148">
        <f>IFERROR(__xludf.DUMMYFUNCTION("""COMPUTED_VALUE"""),0.0)</f>
        <v>0</v>
      </c>
      <c r="Q525" s="148" t="str">
        <f>IFERROR(__xludf.DUMMYFUNCTION("""COMPUTED_VALUE"""),"[]")</f>
        <v>[]</v>
      </c>
      <c r="R525" s="148" t="str">
        <f>IFERROR(__xludf.DUMMYFUNCTION("""COMPUTED_VALUE"""),"{}")</f>
        <v>{}</v>
      </c>
      <c r="S525" s="148">
        <f>IFERROR(__xludf.DUMMYFUNCTION("""COMPUTED_VALUE"""),0.0)</f>
        <v>0</v>
      </c>
      <c r="T525" s="148" t="str">
        <f>IFERROR(__xludf.DUMMYFUNCTION("""COMPUTED_VALUE"""),"[]")</f>
        <v>[]</v>
      </c>
      <c r="U525" s="148">
        <f>IFERROR(__xludf.DUMMYFUNCTION("""COMPUTED_VALUE"""),0.0)</f>
        <v>0</v>
      </c>
      <c r="V525" s="148" t="str">
        <f>IFERROR(__xludf.DUMMYFUNCTION("""COMPUTED_VALUE"""),"{}")</f>
        <v>{}</v>
      </c>
      <c r="W525" s="148" t="str">
        <f>IFERROR(__xludf.DUMMYFUNCTION("""COMPUTED_VALUE"""),"[]")</f>
        <v>[]</v>
      </c>
      <c r="X525" s="148" t="str">
        <f>IFERROR(__xludf.DUMMYFUNCTION("""COMPUTED_VALUE"""),"[{""typ"":""power"",""id"":12141002,""val"":1}]")</f>
        <v>[{"typ":"power","id":12141002,"val":1}]</v>
      </c>
      <c r="Y525" s="148" t="str">
        <f>IFERROR(__xludf.DUMMYFUNCTION("""COMPUTED_VALUE"""),"[{""typ"":""atk"",""val"":60},{""typ"":""def"",""val"":125},{""typ"":""hp"",""val"":135},{""typ"":""speed"",""val"":50},{""typ"":""load"",""val"":20},{""typ"":""backcoef"",""val"":0.5},{""typ"":""atkcoef"",""val"":1.0},{""typ"":""atkcd"",""val"":0}]")</f>
        <v>[{"typ":"atk","val":60},{"typ":"def","val":125},{"typ":"hp","val":135},{"typ":"speed","val":50},{"typ":"load","val":20},{"typ":"backcoef","val":0.5},{"typ":"atkcoef","val":1.0},{"typ":"atkcd","val":0}]</v>
      </c>
      <c r="Z525" s="148" t="str">
        <f>IFERROR(__xludf.DUMMYFUNCTION("""COMPUTED_VALUE"""),"[]")</f>
        <v>[]</v>
      </c>
    </row>
    <row r="526">
      <c r="A526" s="148">
        <f>IFERROR(__xludf.DUMMYFUNCTION("""COMPUTED_VALUE"""),1.1219804E7)</f>
        <v>11219804</v>
      </c>
      <c r="B526" s="148" t="str">
        <f>IFERROR(__xludf.DUMMYFUNCTION("""COMPUTED_VALUE"""),"KVK2-押镖单位-白怪4")</f>
        <v>KVK2-押镖单位-白怪4</v>
      </c>
      <c r="C526" s="148">
        <f>IFERROR(__xludf.DUMMYFUNCTION("""COMPUTED_VALUE"""),1.1221004E7)</f>
        <v>11221004</v>
      </c>
      <c r="D526" s="148">
        <f>IFERROR(__xludf.DUMMYFUNCTION("""COMPUTED_VALUE"""),1.5114811E7)</f>
        <v>15114811</v>
      </c>
      <c r="E526" s="148" t="str">
        <f>IFERROR(__xludf.DUMMYFUNCTION("""COMPUTED_VALUE"""),"{""typ"":""lc"",""txt"":""LC_NPC_kvk2_npc_reg_name""}")</f>
        <v>{"typ":"lc","txt":"LC_NPC_kvk2_npc_reg_name"}</v>
      </c>
      <c r="F526" s="148" t="str">
        <f>IFERROR(__xludf.DUMMYFUNCTION("""COMPUTED_VALUE"""),"{""typ"":""lc"",""txt"":""LC_NPC_kvk2_npc_reg_desc""}")</f>
        <v>{"typ":"lc","txt":"LC_NPC_kvk2_npc_reg_desc"}</v>
      </c>
      <c r="G526" s="148">
        <f>IFERROR(__xludf.DUMMYFUNCTION("""COMPUTED_VALUE"""),10.0)</f>
        <v>10</v>
      </c>
      <c r="H526" s="148">
        <f>IFERROR(__xludf.DUMMYFUNCTION("""COMPUTED_VALUE"""),10099.0)</f>
        <v>10099</v>
      </c>
      <c r="I526" s="148">
        <f>IFERROR(__xludf.DUMMYFUNCTION("""COMPUTED_VALUE"""),10099.0)</f>
        <v>10099</v>
      </c>
      <c r="J526" s="148">
        <f>IFERROR(__xludf.DUMMYFUNCTION("""COMPUTED_VALUE"""),0.0)</f>
        <v>0</v>
      </c>
      <c r="K526" s="148">
        <f>IFERROR(__xludf.DUMMYFUNCTION("""COMPUTED_VALUE"""),10.0)</f>
        <v>10</v>
      </c>
      <c r="L526" s="148">
        <f>IFERROR(__xludf.DUMMYFUNCTION("""COMPUTED_VALUE"""),99.0)</f>
        <v>99</v>
      </c>
      <c r="M526" s="148">
        <f>IFERROR(__xludf.DUMMYFUNCTION("""COMPUTED_VALUE"""),0.0)</f>
        <v>0</v>
      </c>
      <c r="N526" s="148" t="str">
        <f>IFERROR(__xludf.DUMMYFUNCTION("""COMPUTED_VALUE"""),"[]")</f>
        <v>[]</v>
      </c>
      <c r="O526" s="148" t="str">
        <f>IFERROR(__xludf.DUMMYFUNCTION("""COMPUTED_VALUE"""),"{}")</f>
        <v>{}</v>
      </c>
      <c r="P526" s="148">
        <f>IFERROR(__xludf.DUMMYFUNCTION("""COMPUTED_VALUE"""),0.0)</f>
        <v>0</v>
      </c>
      <c r="Q526" s="148" t="str">
        <f>IFERROR(__xludf.DUMMYFUNCTION("""COMPUTED_VALUE"""),"[]")</f>
        <v>[]</v>
      </c>
      <c r="R526" s="148" t="str">
        <f>IFERROR(__xludf.DUMMYFUNCTION("""COMPUTED_VALUE"""),"{}")</f>
        <v>{}</v>
      </c>
      <c r="S526" s="148">
        <f>IFERROR(__xludf.DUMMYFUNCTION("""COMPUTED_VALUE"""),0.0)</f>
        <v>0</v>
      </c>
      <c r="T526" s="148" t="str">
        <f>IFERROR(__xludf.DUMMYFUNCTION("""COMPUTED_VALUE"""),"[]")</f>
        <v>[]</v>
      </c>
      <c r="U526" s="148">
        <f>IFERROR(__xludf.DUMMYFUNCTION("""COMPUTED_VALUE"""),0.0)</f>
        <v>0</v>
      </c>
      <c r="V526" s="148" t="str">
        <f>IFERROR(__xludf.DUMMYFUNCTION("""COMPUTED_VALUE"""),"{}")</f>
        <v>{}</v>
      </c>
      <c r="W526" s="148" t="str">
        <f>IFERROR(__xludf.DUMMYFUNCTION("""COMPUTED_VALUE"""),"[]")</f>
        <v>[]</v>
      </c>
      <c r="X526" s="148" t="str">
        <f>IFERROR(__xludf.DUMMYFUNCTION("""COMPUTED_VALUE"""),"[{""typ"":""power"",""id"":12141002,""val"":1}]")</f>
        <v>[{"typ":"power","id":12141002,"val":1}]</v>
      </c>
      <c r="Y526" s="148" t="str">
        <f>IFERROR(__xludf.DUMMYFUNCTION("""COMPUTED_VALUE"""),"[{""typ"":""atk"",""val"":150},{""typ"":""def"",""val"":125},{""typ"":""hp"",""val"":135},{""typ"":""speed"",""val"":50},{""typ"":""load"",""val"":20},{""typ"":""backcoef"",""val"":0.5},{""typ"":""atkcoef"",""val"":1.0},{""typ"":""atkcd"",""val"":0}]")</f>
        <v>[{"typ":"atk","val":150},{"typ":"def","val":125},{"typ":"hp","val":135},{"typ":"speed","val":50},{"typ":"load","val":20},{"typ":"backcoef","val":0.5},{"typ":"atkcoef","val":1.0},{"typ":"atkcd","val":0}]</v>
      </c>
      <c r="Z526" s="148" t="str">
        <f>IFERROR(__xludf.DUMMYFUNCTION("""COMPUTED_VALUE"""),"[]")</f>
        <v>[]</v>
      </c>
    </row>
    <row r="527">
      <c r="A527" s="148">
        <f>IFERROR(__xludf.DUMMYFUNCTION("""COMPUTED_VALUE"""),1.1219805E7)</f>
        <v>11219805</v>
      </c>
      <c r="B527" s="148" t="str">
        <f>IFERROR(__xludf.DUMMYFUNCTION("""COMPUTED_VALUE"""),"KVK2-押镖单位-白怪5")</f>
        <v>KVK2-押镖单位-白怪5</v>
      </c>
      <c r="C527" s="148">
        <f>IFERROR(__xludf.DUMMYFUNCTION("""COMPUTED_VALUE"""),1.1221004E7)</f>
        <v>11221004</v>
      </c>
      <c r="D527" s="148">
        <f>IFERROR(__xludf.DUMMYFUNCTION("""COMPUTED_VALUE"""),1.5114811E7)</f>
        <v>15114811</v>
      </c>
      <c r="E527" s="148" t="str">
        <f>IFERROR(__xludf.DUMMYFUNCTION("""COMPUTED_VALUE"""),"{""typ"":""lc"",""txt"":""LC_NPC_kvk2_npc_reg_name""}")</f>
        <v>{"typ":"lc","txt":"LC_NPC_kvk2_npc_reg_name"}</v>
      </c>
      <c r="F527" s="148" t="str">
        <f>IFERROR(__xludf.DUMMYFUNCTION("""COMPUTED_VALUE"""),"{""typ"":""lc"",""txt"":""LC_NPC_kvk2_npc_reg_desc""}")</f>
        <v>{"typ":"lc","txt":"LC_NPC_kvk2_npc_reg_desc"}</v>
      </c>
      <c r="G527" s="148">
        <f>IFERROR(__xludf.DUMMYFUNCTION("""COMPUTED_VALUE"""),10.0)</f>
        <v>10</v>
      </c>
      <c r="H527" s="148">
        <f>IFERROR(__xludf.DUMMYFUNCTION("""COMPUTED_VALUE"""),10099.0)</f>
        <v>10099</v>
      </c>
      <c r="I527" s="148">
        <f>IFERROR(__xludf.DUMMYFUNCTION("""COMPUTED_VALUE"""),10099.0)</f>
        <v>10099</v>
      </c>
      <c r="J527" s="148">
        <f>IFERROR(__xludf.DUMMYFUNCTION("""COMPUTED_VALUE"""),0.0)</f>
        <v>0</v>
      </c>
      <c r="K527" s="148">
        <f>IFERROR(__xludf.DUMMYFUNCTION("""COMPUTED_VALUE"""),10.0)</f>
        <v>10</v>
      </c>
      <c r="L527" s="148">
        <f>IFERROR(__xludf.DUMMYFUNCTION("""COMPUTED_VALUE"""),99.0)</f>
        <v>99</v>
      </c>
      <c r="M527" s="148">
        <f>IFERROR(__xludf.DUMMYFUNCTION("""COMPUTED_VALUE"""),0.0)</f>
        <v>0</v>
      </c>
      <c r="N527" s="148" t="str">
        <f>IFERROR(__xludf.DUMMYFUNCTION("""COMPUTED_VALUE"""),"[]")</f>
        <v>[]</v>
      </c>
      <c r="O527" s="148" t="str">
        <f>IFERROR(__xludf.DUMMYFUNCTION("""COMPUTED_VALUE"""),"{}")</f>
        <v>{}</v>
      </c>
      <c r="P527" s="148">
        <f>IFERROR(__xludf.DUMMYFUNCTION("""COMPUTED_VALUE"""),0.0)</f>
        <v>0</v>
      </c>
      <c r="Q527" s="148" t="str">
        <f>IFERROR(__xludf.DUMMYFUNCTION("""COMPUTED_VALUE"""),"[]")</f>
        <v>[]</v>
      </c>
      <c r="R527" s="148" t="str">
        <f>IFERROR(__xludf.DUMMYFUNCTION("""COMPUTED_VALUE"""),"{}")</f>
        <v>{}</v>
      </c>
      <c r="S527" s="148">
        <f>IFERROR(__xludf.DUMMYFUNCTION("""COMPUTED_VALUE"""),0.0)</f>
        <v>0</v>
      </c>
      <c r="T527" s="148" t="str">
        <f>IFERROR(__xludf.DUMMYFUNCTION("""COMPUTED_VALUE"""),"[]")</f>
        <v>[]</v>
      </c>
      <c r="U527" s="148">
        <f>IFERROR(__xludf.DUMMYFUNCTION("""COMPUTED_VALUE"""),0.0)</f>
        <v>0</v>
      </c>
      <c r="V527" s="148" t="str">
        <f>IFERROR(__xludf.DUMMYFUNCTION("""COMPUTED_VALUE"""),"{}")</f>
        <v>{}</v>
      </c>
      <c r="W527" s="148" t="str">
        <f>IFERROR(__xludf.DUMMYFUNCTION("""COMPUTED_VALUE"""),"[]")</f>
        <v>[]</v>
      </c>
      <c r="X527" s="148" t="str">
        <f>IFERROR(__xludf.DUMMYFUNCTION("""COMPUTED_VALUE"""),"[{""typ"":""power"",""id"":12141002,""val"":1}]")</f>
        <v>[{"typ":"power","id":12141002,"val":1}]</v>
      </c>
      <c r="Y527" s="148" t="str">
        <f>IFERROR(__xludf.DUMMYFUNCTION("""COMPUTED_VALUE"""),"[{""typ"":""atk"",""val"":200},{""typ"":""def"",""val"":125},{""typ"":""hp"",""val"":135},{""typ"":""speed"",""val"":50},{""typ"":""load"",""val"":20},{""typ"":""backcoef"",""val"":0.5},{""typ"":""atkcoef"",""val"":1.0},{""typ"":""atkcd"",""val"":0}]")</f>
        <v>[{"typ":"atk","val":200},{"typ":"def","val":125},{"typ":"hp","val":135},{"typ":"speed","val":50},{"typ":"load","val":20},{"typ":"backcoef","val":0.5},{"typ":"atkcoef","val":1.0},{"typ":"atkcd","val":0}]</v>
      </c>
      <c r="Z527" s="148" t="str">
        <f>IFERROR(__xludf.DUMMYFUNCTION("""COMPUTED_VALUE"""),"[]")</f>
        <v>[]</v>
      </c>
    </row>
    <row r="528">
      <c r="A528" s="148">
        <f>IFERROR(__xludf.DUMMYFUNCTION("""COMPUTED_VALUE"""),1.1219806E7)</f>
        <v>11219806</v>
      </c>
      <c r="B528" s="148" t="str">
        <f>IFERROR(__xludf.DUMMYFUNCTION("""COMPUTED_VALUE"""),"KVK2-押镖单位-绿怪1")</f>
        <v>KVK2-押镖单位-绿怪1</v>
      </c>
      <c r="C528" s="148">
        <f>IFERROR(__xludf.DUMMYFUNCTION("""COMPUTED_VALUE"""),1.1221004E7)</f>
        <v>11221004</v>
      </c>
      <c r="D528" s="148">
        <f>IFERROR(__xludf.DUMMYFUNCTION("""COMPUTED_VALUE"""),1.5114811E7)</f>
        <v>15114811</v>
      </c>
      <c r="E528" s="148" t="str">
        <f>IFERROR(__xludf.DUMMYFUNCTION("""COMPUTED_VALUE"""),"{""typ"":""lc"",""txt"":""LC_NPC_kvk2_npc_reg_name""}")</f>
        <v>{"typ":"lc","txt":"LC_NPC_kvk2_npc_reg_name"}</v>
      </c>
      <c r="F528" s="148" t="str">
        <f>IFERROR(__xludf.DUMMYFUNCTION("""COMPUTED_VALUE"""),"{""typ"":""lc"",""txt"":""LC_NPC_kvk2_npc_reg_desc""}")</f>
        <v>{"typ":"lc","txt":"LC_NPC_kvk2_npc_reg_desc"}</v>
      </c>
      <c r="G528" s="148">
        <f>IFERROR(__xludf.DUMMYFUNCTION("""COMPUTED_VALUE"""),10.0)</f>
        <v>10</v>
      </c>
      <c r="H528" s="148">
        <f>IFERROR(__xludf.DUMMYFUNCTION("""COMPUTED_VALUE"""),10099.0)</f>
        <v>10099</v>
      </c>
      <c r="I528" s="148">
        <f>IFERROR(__xludf.DUMMYFUNCTION("""COMPUTED_VALUE"""),10099.0)</f>
        <v>10099</v>
      </c>
      <c r="J528" s="148">
        <f>IFERROR(__xludf.DUMMYFUNCTION("""COMPUTED_VALUE"""),0.0)</f>
        <v>0</v>
      </c>
      <c r="K528" s="148">
        <f>IFERROR(__xludf.DUMMYFUNCTION("""COMPUTED_VALUE"""),10.0)</f>
        <v>10</v>
      </c>
      <c r="L528" s="148">
        <f>IFERROR(__xludf.DUMMYFUNCTION("""COMPUTED_VALUE"""),99.0)</f>
        <v>99</v>
      </c>
      <c r="M528" s="148">
        <f>IFERROR(__xludf.DUMMYFUNCTION("""COMPUTED_VALUE"""),0.0)</f>
        <v>0</v>
      </c>
      <c r="N528" s="148" t="str">
        <f>IFERROR(__xludf.DUMMYFUNCTION("""COMPUTED_VALUE"""),"[]")</f>
        <v>[]</v>
      </c>
      <c r="O528" s="148" t="str">
        <f>IFERROR(__xludf.DUMMYFUNCTION("""COMPUTED_VALUE"""),"{}")</f>
        <v>{}</v>
      </c>
      <c r="P528" s="148">
        <f>IFERROR(__xludf.DUMMYFUNCTION("""COMPUTED_VALUE"""),0.0)</f>
        <v>0</v>
      </c>
      <c r="Q528" s="148" t="str">
        <f>IFERROR(__xludf.DUMMYFUNCTION("""COMPUTED_VALUE"""),"[]")</f>
        <v>[]</v>
      </c>
      <c r="R528" s="148" t="str">
        <f>IFERROR(__xludf.DUMMYFUNCTION("""COMPUTED_VALUE"""),"{}")</f>
        <v>{}</v>
      </c>
      <c r="S528" s="148">
        <f>IFERROR(__xludf.DUMMYFUNCTION("""COMPUTED_VALUE"""),0.0)</f>
        <v>0</v>
      </c>
      <c r="T528" s="148" t="str">
        <f>IFERROR(__xludf.DUMMYFUNCTION("""COMPUTED_VALUE"""),"[]")</f>
        <v>[]</v>
      </c>
      <c r="U528" s="148">
        <f>IFERROR(__xludf.DUMMYFUNCTION("""COMPUTED_VALUE"""),0.0)</f>
        <v>0</v>
      </c>
      <c r="V528" s="148" t="str">
        <f>IFERROR(__xludf.DUMMYFUNCTION("""COMPUTED_VALUE"""),"{}")</f>
        <v>{}</v>
      </c>
      <c r="W528" s="148" t="str">
        <f>IFERROR(__xludf.DUMMYFUNCTION("""COMPUTED_VALUE"""),"[]")</f>
        <v>[]</v>
      </c>
      <c r="X528" s="148" t="str">
        <f>IFERROR(__xludf.DUMMYFUNCTION("""COMPUTED_VALUE"""),"[{""typ"":""power"",""id"":12141002,""val"":2}]")</f>
        <v>[{"typ":"power","id":12141002,"val":2}]</v>
      </c>
      <c r="Y528" s="148" t="str">
        <f>IFERROR(__xludf.DUMMYFUNCTION("""COMPUTED_VALUE"""),"[{""typ"":""atk"",""val"":15},{""typ"":""def"",""val"":125},{""typ"":""hp"",""val"":135},{""typ"":""speed"",""val"":50},{""typ"":""load"",""val"":20},{""typ"":""backcoef"",""val"":0.5},{""typ"":""atkcoef"",""val"":1.0},{""typ"":""atkcd"",""val"":0}]")</f>
        <v>[{"typ":"atk","val":15},{"typ":"def","val":125},{"typ":"hp","val":135},{"typ":"speed","val":50},{"typ":"load","val":20},{"typ":"backcoef","val":0.5},{"typ":"atkcoef","val":1.0},{"typ":"atkcd","val":0}]</v>
      </c>
      <c r="Z528" s="148" t="str">
        <f>IFERROR(__xludf.DUMMYFUNCTION("""COMPUTED_VALUE"""),"[]")</f>
        <v>[]</v>
      </c>
    </row>
    <row r="529">
      <c r="A529" s="148">
        <f>IFERROR(__xludf.DUMMYFUNCTION("""COMPUTED_VALUE"""),1.1219807E7)</f>
        <v>11219807</v>
      </c>
      <c r="B529" s="148" t="str">
        <f>IFERROR(__xludf.DUMMYFUNCTION("""COMPUTED_VALUE"""),"KVK2-押镖单位-绿怪2")</f>
        <v>KVK2-押镖单位-绿怪2</v>
      </c>
      <c r="C529" s="148">
        <f>IFERROR(__xludf.DUMMYFUNCTION("""COMPUTED_VALUE"""),1.1221004E7)</f>
        <v>11221004</v>
      </c>
      <c r="D529" s="148">
        <f>IFERROR(__xludf.DUMMYFUNCTION("""COMPUTED_VALUE"""),1.5114811E7)</f>
        <v>15114811</v>
      </c>
      <c r="E529" s="148" t="str">
        <f>IFERROR(__xludf.DUMMYFUNCTION("""COMPUTED_VALUE"""),"{""typ"":""lc"",""txt"":""LC_NPC_kvk2_npc_reg_name""}")</f>
        <v>{"typ":"lc","txt":"LC_NPC_kvk2_npc_reg_name"}</v>
      </c>
      <c r="F529" s="148" t="str">
        <f>IFERROR(__xludf.DUMMYFUNCTION("""COMPUTED_VALUE"""),"{""typ"":""lc"",""txt"":""LC_NPC_kvk2_npc_reg_desc""}")</f>
        <v>{"typ":"lc","txt":"LC_NPC_kvk2_npc_reg_desc"}</v>
      </c>
      <c r="G529" s="148">
        <f>IFERROR(__xludf.DUMMYFUNCTION("""COMPUTED_VALUE"""),10.0)</f>
        <v>10</v>
      </c>
      <c r="H529" s="148">
        <f>IFERROR(__xludf.DUMMYFUNCTION("""COMPUTED_VALUE"""),10099.0)</f>
        <v>10099</v>
      </c>
      <c r="I529" s="148">
        <f>IFERROR(__xludf.DUMMYFUNCTION("""COMPUTED_VALUE"""),10099.0)</f>
        <v>10099</v>
      </c>
      <c r="J529" s="148">
        <f>IFERROR(__xludf.DUMMYFUNCTION("""COMPUTED_VALUE"""),0.0)</f>
        <v>0</v>
      </c>
      <c r="K529" s="148">
        <f>IFERROR(__xludf.DUMMYFUNCTION("""COMPUTED_VALUE"""),10.0)</f>
        <v>10</v>
      </c>
      <c r="L529" s="148">
        <f>IFERROR(__xludf.DUMMYFUNCTION("""COMPUTED_VALUE"""),99.0)</f>
        <v>99</v>
      </c>
      <c r="M529" s="148">
        <f>IFERROR(__xludf.DUMMYFUNCTION("""COMPUTED_VALUE"""),0.0)</f>
        <v>0</v>
      </c>
      <c r="N529" s="148" t="str">
        <f>IFERROR(__xludf.DUMMYFUNCTION("""COMPUTED_VALUE"""),"[]")</f>
        <v>[]</v>
      </c>
      <c r="O529" s="148" t="str">
        <f>IFERROR(__xludf.DUMMYFUNCTION("""COMPUTED_VALUE"""),"{}")</f>
        <v>{}</v>
      </c>
      <c r="P529" s="148">
        <f>IFERROR(__xludf.DUMMYFUNCTION("""COMPUTED_VALUE"""),0.0)</f>
        <v>0</v>
      </c>
      <c r="Q529" s="148" t="str">
        <f>IFERROR(__xludf.DUMMYFUNCTION("""COMPUTED_VALUE"""),"[]")</f>
        <v>[]</v>
      </c>
      <c r="R529" s="148" t="str">
        <f>IFERROR(__xludf.DUMMYFUNCTION("""COMPUTED_VALUE"""),"{}")</f>
        <v>{}</v>
      </c>
      <c r="S529" s="148">
        <f>IFERROR(__xludf.DUMMYFUNCTION("""COMPUTED_VALUE"""),0.0)</f>
        <v>0</v>
      </c>
      <c r="T529" s="148" t="str">
        <f>IFERROR(__xludf.DUMMYFUNCTION("""COMPUTED_VALUE"""),"[]")</f>
        <v>[]</v>
      </c>
      <c r="U529" s="148">
        <f>IFERROR(__xludf.DUMMYFUNCTION("""COMPUTED_VALUE"""),0.0)</f>
        <v>0</v>
      </c>
      <c r="V529" s="148" t="str">
        <f>IFERROR(__xludf.DUMMYFUNCTION("""COMPUTED_VALUE"""),"{}")</f>
        <v>{}</v>
      </c>
      <c r="W529" s="148" t="str">
        <f>IFERROR(__xludf.DUMMYFUNCTION("""COMPUTED_VALUE"""),"[]")</f>
        <v>[]</v>
      </c>
      <c r="X529" s="148" t="str">
        <f>IFERROR(__xludf.DUMMYFUNCTION("""COMPUTED_VALUE"""),"[{""typ"":""power"",""id"":12141002,""val"":2}]")</f>
        <v>[{"typ":"power","id":12141002,"val":2}]</v>
      </c>
      <c r="Y529" s="148" t="str">
        <f>IFERROR(__xludf.DUMMYFUNCTION("""COMPUTED_VALUE"""),"[{""typ"":""atk"",""val"":30},{""typ"":""def"",""val"":125},{""typ"":""hp"",""val"":135},{""typ"":""speed"",""val"":50},{""typ"":""load"",""val"":20},{""typ"":""backcoef"",""val"":0.5},{""typ"":""atkcoef"",""val"":1.0},{""typ"":""atkcd"",""val"":0}]")</f>
        <v>[{"typ":"atk","val":30},{"typ":"def","val":125},{"typ":"hp","val":135},{"typ":"speed","val":50},{"typ":"load","val":20},{"typ":"backcoef","val":0.5},{"typ":"atkcoef","val":1.0},{"typ":"atkcd","val":0}]</v>
      </c>
      <c r="Z529" s="148" t="str">
        <f>IFERROR(__xludf.DUMMYFUNCTION("""COMPUTED_VALUE"""),"[]")</f>
        <v>[]</v>
      </c>
    </row>
    <row r="530">
      <c r="A530" s="148">
        <f>IFERROR(__xludf.DUMMYFUNCTION("""COMPUTED_VALUE"""),1.1219808E7)</f>
        <v>11219808</v>
      </c>
      <c r="B530" s="148" t="str">
        <f>IFERROR(__xludf.DUMMYFUNCTION("""COMPUTED_VALUE"""),"KVK2-押镖单位-绿怪3")</f>
        <v>KVK2-押镖单位-绿怪3</v>
      </c>
      <c r="C530" s="148">
        <f>IFERROR(__xludf.DUMMYFUNCTION("""COMPUTED_VALUE"""),1.1221004E7)</f>
        <v>11221004</v>
      </c>
      <c r="D530" s="148">
        <f>IFERROR(__xludf.DUMMYFUNCTION("""COMPUTED_VALUE"""),1.5114811E7)</f>
        <v>15114811</v>
      </c>
      <c r="E530" s="148" t="str">
        <f>IFERROR(__xludf.DUMMYFUNCTION("""COMPUTED_VALUE"""),"{""typ"":""lc"",""txt"":""LC_NPC_kvk2_npc_reg_name""}")</f>
        <v>{"typ":"lc","txt":"LC_NPC_kvk2_npc_reg_name"}</v>
      </c>
      <c r="F530" s="148" t="str">
        <f>IFERROR(__xludf.DUMMYFUNCTION("""COMPUTED_VALUE"""),"{""typ"":""lc"",""txt"":""LC_NPC_kvk2_npc_reg_desc""}")</f>
        <v>{"typ":"lc","txt":"LC_NPC_kvk2_npc_reg_desc"}</v>
      </c>
      <c r="G530" s="148">
        <f>IFERROR(__xludf.DUMMYFUNCTION("""COMPUTED_VALUE"""),10.0)</f>
        <v>10</v>
      </c>
      <c r="H530" s="148">
        <f>IFERROR(__xludf.DUMMYFUNCTION("""COMPUTED_VALUE"""),10099.0)</f>
        <v>10099</v>
      </c>
      <c r="I530" s="148">
        <f>IFERROR(__xludf.DUMMYFUNCTION("""COMPUTED_VALUE"""),10099.0)</f>
        <v>10099</v>
      </c>
      <c r="J530" s="148">
        <f>IFERROR(__xludf.DUMMYFUNCTION("""COMPUTED_VALUE"""),0.0)</f>
        <v>0</v>
      </c>
      <c r="K530" s="148">
        <f>IFERROR(__xludf.DUMMYFUNCTION("""COMPUTED_VALUE"""),10.0)</f>
        <v>10</v>
      </c>
      <c r="L530" s="148">
        <f>IFERROR(__xludf.DUMMYFUNCTION("""COMPUTED_VALUE"""),99.0)</f>
        <v>99</v>
      </c>
      <c r="M530" s="148">
        <f>IFERROR(__xludf.DUMMYFUNCTION("""COMPUTED_VALUE"""),0.0)</f>
        <v>0</v>
      </c>
      <c r="N530" s="148" t="str">
        <f>IFERROR(__xludf.DUMMYFUNCTION("""COMPUTED_VALUE"""),"[]")</f>
        <v>[]</v>
      </c>
      <c r="O530" s="148" t="str">
        <f>IFERROR(__xludf.DUMMYFUNCTION("""COMPUTED_VALUE"""),"{}")</f>
        <v>{}</v>
      </c>
      <c r="P530" s="148">
        <f>IFERROR(__xludf.DUMMYFUNCTION("""COMPUTED_VALUE"""),0.0)</f>
        <v>0</v>
      </c>
      <c r="Q530" s="148" t="str">
        <f>IFERROR(__xludf.DUMMYFUNCTION("""COMPUTED_VALUE"""),"[]")</f>
        <v>[]</v>
      </c>
      <c r="R530" s="148" t="str">
        <f>IFERROR(__xludf.DUMMYFUNCTION("""COMPUTED_VALUE"""),"{}")</f>
        <v>{}</v>
      </c>
      <c r="S530" s="148">
        <f>IFERROR(__xludf.DUMMYFUNCTION("""COMPUTED_VALUE"""),0.0)</f>
        <v>0</v>
      </c>
      <c r="T530" s="148" t="str">
        <f>IFERROR(__xludf.DUMMYFUNCTION("""COMPUTED_VALUE"""),"[]")</f>
        <v>[]</v>
      </c>
      <c r="U530" s="148">
        <f>IFERROR(__xludf.DUMMYFUNCTION("""COMPUTED_VALUE"""),0.0)</f>
        <v>0</v>
      </c>
      <c r="V530" s="148" t="str">
        <f>IFERROR(__xludf.DUMMYFUNCTION("""COMPUTED_VALUE"""),"{}")</f>
        <v>{}</v>
      </c>
      <c r="W530" s="148" t="str">
        <f>IFERROR(__xludf.DUMMYFUNCTION("""COMPUTED_VALUE"""),"[]")</f>
        <v>[]</v>
      </c>
      <c r="X530" s="148" t="str">
        <f>IFERROR(__xludf.DUMMYFUNCTION("""COMPUTED_VALUE"""),"[{""typ"":""power"",""id"":12141002,""val"":2}]")</f>
        <v>[{"typ":"power","id":12141002,"val":2}]</v>
      </c>
      <c r="Y530" s="148" t="str">
        <f>IFERROR(__xludf.DUMMYFUNCTION("""COMPUTED_VALUE"""),"[{""typ"":""atk"",""val"":60},{""typ"":""def"",""val"":125},{""typ"":""hp"",""val"":135},{""typ"":""speed"",""val"":50},{""typ"":""load"",""val"":20},{""typ"":""backcoef"",""val"":0.5},{""typ"":""atkcoef"",""val"":1.0},{""typ"":""atkcd"",""val"":0}]")</f>
        <v>[{"typ":"atk","val":60},{"typ":"def","val":125},{"typ":"hp","val":135},{"typ":"speed","val":50},{"typ":"load","val":20},{"typ":"backcoef","val":0.5},{"typ":"atkcoef","val":1.0},{"typ":"atkcd","val":0}]</v>
      </c>
      <c r="Z530" s="148" t="str">
        <f>IFERROR(__xludf.DUMMYFUNCTION("""COMPUTED_VALUE"""),"[]")</f>
        <v>[]</v>
      </c>
    </row>
    <row r="531">
      <c r="A531" s="148">
        <f>IFERROR(__xludf.DUMMYFUNCTION("""COMPUTED_VALUE"""),1.1219809E7)</f>
        <v>11219809</v>
      </c>
      <c r="B531" s="148" t="str">
        <f>IFERROR(__xludf.DUMMYFUNCTION("""COMPUTED_VALUE"""),"KVK2-押镖单位-绿怪4")</f>
        <v>KVK2-押镖单位-绿怪4</v>
      </c>
      <c r="C531" s="148">
        <f>IFERROR(__xludf.DUMMYFUNCTION("""COMPUTED_VALUE"""),1.1221004E7)</f>
        <v>11221004</v>
      </c>
      <c r="D531" s="148">
        <f>IFERROR(__xludf.DUMMYFUNCTION("""COMPUTED_VALUE"""),1.5114811E7)</f>
        <v>15114811</v>
      </c>
      <c r="E531" s="148" t="str">
        <f>IFERROR(__xludf.DUMMYFUNCTION("""COMPUTED_VALUE"""),"{""typ"":""lc"",""txt"":""LC_NPC_kvk2_npc_reg_name""}")</f>
        <v>{"typ":"lc","txt":"LC_NPC_kvk2_npc_reg_name"}</v>
      </c>
      <c r="F531" s="148" t="str">
        <f>IFERROR(__xludf.DUMMYFUNCTION("""COMPUTED_VALUE"""),"{""typ"":""lc"",""txt"":""LC_NPC_kvk2_npc_reg_desc""}")</f>
        <v>{"typ":"lc","txt":"LC_NPC_kvk2_npc_reg_desc"}</v>
      </c>
      <c r="G531" s="148">
        <f>IFERROR(__xludf.DUMMYFUNCTION("""COMPUTED_VALUE"""),10.0)</f>
        <v>10</v>
      </c>
      <c r="H531" s="148">
        <f>IFERROR(__xludf.DUMMYFUNCTION("""COMPUTED_VALUE"""),10099.0)</f>
        <v>10099</v>
      </c>
      <c r="I531" s="148">
        <f>IFERROR(__xludf.DUMMYFUNCTION("""COMPUTED_VALUE"""),10099.0)</f>
        <v>10099</v>
      </c>
      <c r="J531" s="148">
        <f>IFERROR(__xludf.DUMMYFUNCTION("""COMPUTED_VALUE"""),0.0)</f>
        <v>0</v>
      </c>
      <c r="K531" s="148">
        <f>IFERROR(__xludf.DUMMYFUNCTION("""COMPUTED_VALUE"""),10.0)</f>
        <v>10</v>
      </c>
      <c r="L531" s="148">
        <f>IFERROR(__xludf.DUMMYFUNCTION("""COMPUTED_VALUE"""),99.0)</f>
        <v>99</v>
      </c>
      <c r="M531" s="148">
        <f>IFERROR(__xludf.DUMMYFUNCTION("""COMPUTED_VALUE"""),0.0)</f>
        <v>0</v>
      </c>
      <c r="N531" s="148" t="str">
        <f>IFERROR(__xludf.DUMMYFUNCTION("""COMPUTED_VALUE"""),"[]")</f>
        <v>[]</v>
      </c>
      <c r="O531" s="148" t="str">
        <f>IFERROR(__xludf.DUMMYFUNCTION("""COMPUTED_VALUE"""),"{}")</f>
        <v>{}</v>
      </c>
      <c r="P531" s="148">
        <f>IFERROR(__xludf.DUMMYFUNCTION("""COMPUTED_VALUE"""),0.0)</f>
        <v>0</v>
      </c>
      <c r="Q531" s="148" t="str">
        <f>IFERROR(__xludf.DUMMYFUNCTION("""COMPUTED_VALUE"""),"[]")</f>
        <v>[]</v>
      </c>
      <c r="R531" s="148" t="str">
        <f>IFERROR(__xludf.DUMMYFUNCTION("""COMPUTED_VALUE"""),"{}")</f>
        <v>{}</v>
      </c>
      <c r="S531" s="148">
        <f>IFERROR(__xludf.DUMMYFUNCTION("""COMPUTED_VALUE"""),0.0)</f>
        <v>0</v>
      </c>
      <c r="T531" s="148" t="str">
        <f>IFERROR(__xludf.DUMMYFUNCTION("""COMPUTED_VALUE"""),"[]")</f>
        <v>[]</v>
      </c>
      <c r="U531" s="148">
        <f>IFERROR(__xludf.DUMMYFUNCTION("""COMPUTED_VALUE"""),0.0)</f>
        <v>0</v>
      </c>
      <c r="V531" s="148" t="str">
        <f>IFERROR(__xludf.DUMMYFUNCTION("""COMPUTED_VALUE"""),"{}")</f>
        <v>{}</v>
      </c>
      <c r="W531" s="148" t="str">
        <f>IFERROR(__xludf.DUMMYFUNCTION("""COMPUTED_VALUE"""),"[]")</f>
        <v>[]</v>
      </c>
      <c r="X531" s="148" t="str">
        <f>IFERROR(__xludf.DUMMYFUNCTION("""COMPUTED_VALUE"""),"[{""typ"":""power"",""id"":12141002,""val"":2}]")</f>
        <v>[{"typ":"power","id":12141002,"val":2}]</v>
      </c>
      <c r="Y531" s="148" t="str">
        <f>IFERROR(__xludf.DUMMYFUNCTION("""COMPUTED_VALUE"""),"[{""typ"":""atk"",""val"":150},{""typ"":""def"",""val"":125},{""typ"":""hp"",""val"":135},{""typ"":""speed"",""val"":50},{""typ"":""load"",""val"":20},{""typ"":""backcoef"",""val"":0.5},{""typ"":""atkcoef"",""val"":1.0},{""typ"":""atkcd"",""val"":0}]")</f>
        <v>[{"typ":"atk","val":150},{"typ":"def","val":125},{"typ":"hp","val":135},{"typ":"speed","val":50},{"typ":"load","val":20},{"typ":"backcoef","val":0.5},{"typ":"atkcoef","val":1.0},{"typ":"atkcd","val":0}]</v>
      </c>
      <c r="Z531" s="148" t="str">
        <f>IFERROR(__xludf.DUMMYFUNCTION("""COMPUTED_VALUE"""),"[]")</f>
        <v>[]</v>
      </c>
    </row>
    <row r="532">
      <c r="A532" s="148">
        <f>IFERROR(__xludf.DUMMYFUNCTION("""COMPUTED_VALUE"""),1.121981E7)</f>
        <v>11219810</v>
      </c>
      <c r="B532" s="148" t="str">
        <f>IFERROR(__xludf.DUMMYFUNCTION("""COMPUTED_VALUE"""),"KVK2-押镖单位-绿怪5")</f>
        <v>KVK2-押镖单位-绿怪5</v>
      </c>
      <c r="C532" s="148">
        <f>IFERROR(__xludf.DUMMYFUNCTION("""COMPUTED_VALUE"""),1.1221004E7)</f>
        <v>11221004</v>
      </c>
      <c r="D532" s="148">
        <f>IFERROR(__xludf.DUMMYFUNCTION("""COMPUTED_VALUE"""),1.5114811E7)</f>
        <v>15114811</v>
      </c>
      <c r="E532" s="148" t="str">
        <f>IFERROR(__xludf.DUMMYFUNCTION("""COMPUTED_VALUE"""),"{""typ"":""lc"",""txt"":""LC_NPC_kvk2_npc_reg_name""}")</f>
        <v>{"typ":"lc","txt":"LC_NPC_kvk2_npc_reg_name"}</v>
      </c>
      <c r="F532" s="148" t="str">
        <f>IFERROR(__xludf.DUMMYFUNCTION("""COMPUTED_VALUE"""),"{""typ"":""lc"",""txt"":""LC_NPC_kvk2_npc_reg_desc""}")</f>
        <v>{"typ":"lc","txt":"LC_NPC_kvk2_npc_reg_desc"}</v>
      </c>
      <c r="G532" s="148">
        <f>IFERROR(__xludf.DUMMYFUNCTION("""COMPUTED_VALUE"""),10.0)</f>
        <v>10</v>
      </c>
      <c r="H532" s="148">
        <f>IFERROR(__xludf.DUMMYFUNCTION("""COMPUTED_VALUE"""),10099.0)</f>
        <v>10099</v>
      </c>
      <c r="I532" s="148">
        <f>IFERROR(__xludf.DUMMYFUNCTION("""COMPUTED_VALUE"""),10099.0)</f>
        <v>10099</v>
      </c>
      <c r="J532" s="148">
        <f>IFERROR(__xludf.DUMMYFUNCTION("""COMPUTED_VALUE"""),0.0)</f>
        <v>0</v>
      </c>
      <c r="K532" s="148">
        <f>IFERROR(__xludf.DUMMYFUNCTION("""COMPUTED_VALUE"""),10.0)</f>
        <v>10</v>
      </c>
      <c r="L532" s="148">
        <f>IFERROR(__xludf.DUMMYFUNCTION("""COMPUTED_VALUE"""),99.0)</f>
        <v>99</v>
      </c>
      <c r="M532" s="148">
        <f>IFERROR(__xludf.DUMMYFUNCTION("""COMPUTED_VALUE"""),0.0)</f>
        <v>0</v>
      </c>
      <c r="N532" s="148" t="str">
        <f>IFERROR(__xludf.DUMMYFUNCTION("""COMPUTED_VALUE"""),"[]")</f>
        <v>[]</v>
      </c>
      <c r="O532" s="148" t="str">
        <f>IFERROR(__xludf.DUMMYFUNCTION("""COMPUTED_VALUE"""),"{}")</f>
        <v>{}</v>
      </c>
      <c r="P532" s="148">
        <f>IFERROR(__xludf.DUMMYFUNCTION("""COMPUTED_VALUE"""),0.0)</f>
        <v>0</v>
      </c>
      <c r="Q532" s="148" t="str">
        <f>IFERROR(__xludf.DUMMYFUNCTION("""COMPUTED_VALUE"""),"[]")</f>
        <v>[]</v>
      </c>
      <c r="R532" s="148" t="str">
        <f>IFERROR(__xludf.DUMMYFUNCTION("""COMPUTED_VALUE"""),"{}")</f>
        <v>{}</v>
      </c>
      <c r="S532" s="148">
        <f>IFERROR(__xludf.DUMMYFUNCTION("""COMPUTED_VALUE"""),0.0)</f>
        <v>0</v>
      </c>
      <c r="T532" s="148" t="str">
        <f>IFERROR(__xludf.DUMMYFUNCTION("""COMPUTED_VALUE"""),"[]")</f>
        <v>[]</v>
      </c>
      <c r="U532" s="148">
        <f>IFERROR(__xludf.DUMMYFUNCTION("""COMPUTED_VALUE"""),0.0)</f>
        <v>0</v>
      </c>
      <c r="V532" s="148" t="str">
        <f>IFERROR(__xludf.DUMMYFUNCTION("""COMPUTED_VALUE"""),"{}")</f>
        <v>{}</v>
      </c>
      <c r="W532" s="148" t="str">
        <f>IFERROR(__xludf.DUMMYFUNCTION("""COMPUTED_VALUE"""),"[]")</f>
        <v>[]</v>
      </c>
      <c r="X532" s="148" t="str">
        <f>IFERROR(__xludf.DUMMYFUNCTION("""COMPUTED_VALUE"""),"[{""typ"":""power"",""id"":12141002,""val"":2}]")</f>
        <v>[{"typ":"power","id":12141002,"val":2}]</v>
      </c>
      <c r="Y532" s="148" t="str">
        <f>IFERROR(__xludf.DUMMYFUNCTION("""COMPUTED_VALUE"""),"[{""typ"":""atk"",""val"":200},{""typ"":""def"",""val"":125},{""typ"":""hp"",""val"":135},{""typ"":""speed"",""val"":50},{""typ"":""load"",""val"":20},{""typ"":""backcoef"",""val"":0.5},{""typ"":""atkcoef"",""val"":1.0},{""typ"":""atkcd"",""val"":0}]")</f>
        <v>[{"typ":"atk","val":200},{"typ":"def","val":125},{"typ":"hp","val":135},{"typ":"speed","val":50},{"typ":"load","val":20},{"typ":"backcoef","val":0.5},{"typ":"atkcoef","val":1.0},{"typ":"atkcd","val":0}]</v>
      </c>
      <c r="Z532" s="148" t="str">
        <f>IFERROR(__xludf.DUMMYFUNCTION("""COMPUTED_VALUE"""),"[]")</f>
        <v>[]</v>
      </c>
    </row>
    <row r="533">
      <c r="A533" s="148">
        <f>IFERROR(__xludf.DUMMYFUNCTION("""COMPUTED_VALUE"""),1.1219811E7)</f>
        <v>11219811</v>
      </c>
      <c r="B533" s="148" t="str">
        <f>IFERROR(__xludf.DUMMYFUNCTION("""COMPUTED_VALUE"""),"KVK2-押镖单位-精英1")</f>
        <v>KVK2-押镖单位-精英1</v>
      </c>
      <c r="C533" s="148">
        <f>IFERROR(__xludf.DUMMYFUNCTION("""COMPUTED_VALUE"""),1.1221004E7)</f>
        <v>11221004</v>
      </c>
      <c r="D533" s="148">
        <f>IFERROR(__xludf.DUMMYFUNCTION("""COMPUTED_VALUE"""),1.5114811E7)</f>
        <v>15114811</v>
      </c>
      <c r="E533" s="148" t="str">
        <f>IFERROR(__xludf.DUMMYFUNCTION("""COMPUTED_VALUE"""),"{""typ"":""lc"",""txt"":""LC_NPC_kvk2_npc_reg_name""}")</f>
        <v>{"typ":"lc","txt":"LC_NPC_kvk2_npc_reg_name"}</v>
      </c>
      <c r="F533" s="148" t="str">
        <f>IFERROR(__xludf.DUMMYFUNCTION("""COMPUTED_VALUE"""),"{""typ"":""lc"",""txt"":""LC_NPC_kvk2_npc_reg_desc""}")</f>
        <v>{"typ":"lc","txt":"LC_NPC_kvk2_npc_reg_desc"}</v>
      </c>
      <c r="G533" s="148">
        <f>IFERROR(__xludf.DUMMYFUNCTION("""COMPUTED_VALUE"""),10.0)</f>
        <v>10</v>
      </c>
      <c r="H533" s="148">
        <f>IFERROR(__xludf.DUMMYFUNCTION("""COMPUTED_VALUE"""),10099.0)</f>
        <v>10099</v>
      </c>
      <c r="I533" s="148">
        <f>IFERROR(__xludf.DUMMYFUNCTION("""COMPUTED_VALUE"""),10099.0)</f>
        <v>10099</v>
      </c>
      <c r="J533" s="148">
        <f>IFERROR(__xludf.DUMMYFUNCTION("""COMPUTED_VALUE"""),0.0)</f>
        <v>0</v>
      </c>
      <c r="K533" s="148">
        <f>IFERROR(__xludf.DUMMYFUNCTION("""COMPUTED_VALUE"""),10.0)</f>
        <v>10</v>
      </c>
      <c r="L533" s="148">
        <f>IFERROR(__xludf.DUMMYFUNCTION("""COMPUTED_VALUE"""),99.0)</f>
        <v>99</v>
      </c>
      <c r="M533" s="148">
        <f>IFERROR(__xludf.DUMMYFUNCTION("""COMPUTED_VALUE"""),0.0)</f>
        <v>0</v>
      </c>
      <c r="N533" s="148" t="str">
        <f>IFERROR(__xludf.DUMMYFUNCTION("""COMPUTED_VALUE"""),"[]")</f>
        <v>[]</v>
      </c>
      <c r="O533" s="148" t="str">
        <f>IFERROR(__xludf.DUMMYFUNCTION("""COMPUTED_VALUE"""),"{}")</f>
        <v>{}</v>
      </c>
      <c r="P533" s="148">
        <f>IFERROR(__xludf.DUMMYFUNCTION("""COMPUTED_VALUE"""),0.0)</f>
        <v>0</v>
      </c>
      <c r="Q533" s="148" t="str">
        <f>IFERROR(__xludf.DUMMYFUNCTION("""COMPUTED_VALUE"""),"[]")</f>
        <v>[]</v>
      </c>
      <c r="R533" s="148" t="str">
        <f>IFERROR(__xludf.DUMMYFUNCTION("""COMPUTED_VALUE"""),"{}")</f>
        <v>{}</v>
      </c>
      <c r="S533" s="148">
        <f>IFERROR(__xludf.DUMMYFUNCTION("""COMPUTED_VALUE"""),0.0)</f>
        <v>0</v>
      </c>
      <c r="T533" s="148" t="str">
        <f>IFERROR(__xludf.DUMMYFUNCTION("""COMPUTED_VALUE"""),"[]")</f>
        <v>[]</v>
      </c>
      <c r="U533" s="148">
        <f>IFERROR(__xludf.DUMMYFUNCTION("""COMPUTED_VALUE"""),0.0)</f>
        <v>0</v>
      </c>
      <c r="V533" s="148" t="str">
        <f>IFERROR(__xludf.DUMMYFUNCTION("""COMPUTED_VALUE"""),"{}")</f>
        <v>{}</v>
      </c>
      <c r="W533" s="148" t="str">
        <f>IFERROR(__xludf.DUMMYFUNCTION("""COMPUTED_VALUE"""),"[]")</f>
        <v>[]</v>
      </c>
      <c r="X533" s="148" t="str">
        <f>IFERROR(__xludf.DUMMYFUNCTION("""COMPUTED_VALUE"""),"[{""typ"":""power"",""id"":12141002,""val"":5}]")</f>
        <v>[{"typ":"power","id":12141002,"val":5}]</v>
      </c>
      <c r="Y533" s="148" t="str">
        <f>IFERROR(__xludf.DUMMYFUNCTION("""COMPUTED_VALUE"""),"[{""typ"":""atk"",""val"":18},{""typ"":""def"",""val"":125},{""typ"":""hp"",""val"":135},{""typ"":""speed"",""val"":50},{""typ"":""load"",""val"":20},{""typ"":""backcoef"",""val"":0.5},{""typ"":""atkcoef"",""val"":1.0},{""typ"":""atkcd"",""val"":0}]")</f>
        <v>[{"typ":"atk","val":18},{"typ":"def","val":125},{"typ":"hp","val":135},{"typ":"speed","val":50},{"typ":"load","val":20},{"typ":"backcoef","val":0.5},{"typ":"atkcoef","val":1.0},{"typ":"atkcd","val":0}]</v>
      </c>
      <c r="Z533" s="148" t="str">
        <f>IFERROR(__xludf.DUMMYFUNCTION("""COMPUTED_VALUE"""),"[]")</f>
        <v>[]</v>
      </c>
    </row>
    <row r="534">
      <c r="A534" s="148">
        <f>IFERROR(__xludf.DUMMYFUNCTION("""COMPUTED_VALUE"""),1.1219812E7)</f>
        <v>11219812</v>
      </c>
      <c r="B534" s="148" t="str">
        <f>IFERROR(__xludf.DUMMYFUNCTION("""COMPUTED_VALUE"""),"KVK2-押镖单位-精英2")</f>
        <v>KVK2-押镖单位-精英2</v>
      </c>
      <c r="C534" s="148">
        <f>IFERROR(__xludf.DUMMYFUNCTION("""COMPUTED_VALUE"""),1.1221004E7)</f>
        <v>11221004</v>
      </c>
      <c r="D534" s="148">
        <f>IFERROR(__xludf.DUMMYFUNCTION("""COMPUTED_VALUE"""),1.5114811E7)</f>
        <v>15114811</v>
      </c>
      <c r="E534" s="148" t="str">
        <f>IFERROR(__xludf.DUMMYFUNCTION("""COMPUTED_VALUE"""),"{""typ"":""lc"",""txt"":""LC_NPC_kvk2_npc_reg_name""}")</f>
        <v>{"typ":"lc","txt":"LC_NPC_kvk2_npc_reg_name"}</v>
      </c>
      <c r="F534" s="148" t="str">
        <f>IFERROR(__xludf.DUMMYFUNCTION("""COMPUTED_VALUE"""),"{""typ"":""lc"",""txt"":""LC_NPC_kvk2_npc_reg_desc""}")</f>
        <v>{"typ":"lc","txt":"LC_NPC_kvk2_npc_reg_desc"}</v>
      </c>
      <c r="G534" s="148">
        <f>IFERROR(__xludf.DUMMYFUNCTION("""COMPUTED_VALUE"""),10.0)</f>
        <v>10</v>
      </c>
      <c r="H534" s="148">
        <f>IFERROR(__xludf.DUMMYFUNCTION("""COMPUTED_VALUE"""),10099.0)</f>
        <v>10099</v>
      </c>
      <c r="I534" s="148">
        <f>IFERROR(__xludf.DUMMYFUNCTION("""COMPUTED_VALUE"""),10099.0)</f>
        <v>10099</v>
      </c>
      <c r="J534" s="148">
        <f>IFERROR(__xludf.DUMMYFUNCTION("""COMPUTED_VALUE"""),0.0)</f>
        <v>0</v>
      </c>
      <c r="K534" s="148">
        <f>IFERROR(__xludf.DUMMYFUNCTION("""COMPUTED_VALUE"""),10.0)</f>
        <v>10</v>
      </c>
      <c r="L534" s="148">
        <f>IFERROR(__xludf.DUMMYFUNCTION("""COMPUTED_VALUE"""),99.0)</f>
        <v>99</v>
      </c>
      <c r="M534" s="148">
        <f>IFERROR(__xludf.DUMMYFUNCTION("""COMPUTED_VALUE"""),0.0)</f>
        <v>0</v>
      </c>
      <c r="N534" s="148" t="str">
        <f>IFERROR(__xludf.DUMMYFUNCTION("""COMPUTED_VALUE"""),"[]")</f>
        <v>[]</v>
      </c>
      <c r="O534" s="148" t="str">
        <f>IFERROR(__xludf.DUMMYFUNCTION("""COMPUTED_VALUE"""),"{}")</f>
        <v>{}</v>
      </c>
      <c r="P534" s="148">
        <f>IFERROR(__xludf.DUMMYFUNCTION("""COMPUTED_VALUE"""),0.0)</f>
        <v>0</v>
      </c>
      <c r="Q534" s="148" t="str">
        <f>IFERROR(__xludf.DUMMYFUNCTION("""COMPUTED_VALUE"""),"[]")</f>
        <v>[]</v>
      </c>
      <c r="R534" s="148" t="str">
        <f>IFERROR(__xludf.DUMMYFUNCTION("""COMPUTED_VALUE"""),"{}")</f>
        <v>{}</v>
      </c>
      <c r="S534" s="148">
        <f>IFERROR(__xludf.DUMMYFUNCTION("""COMPUTED_VALUE"""),0.0)</f>
        <v>0</v>
      </c>
      <c r="T534" s="148" t="str">
        <f>IFERROR(__xludf.DUMMYFUNCTION("""COMPUTED_VALUE"""),"[]")</f>
        <v>[]</v>
      </c>
      <c r="U534" s="148">
        <f>IFERROR(__xludf.DUMMYFUNCTION("""COMPUTED_VALUE"""),0.0)</f>
        <v>0</v>
      </c>
      <c r="V534" s="148" t="str">
        <f>IFERROR(__xludf.DUMMYFUNCTION("""COMPUTED_VALUE"""),"{}")</f>
        <v>{}</v>
      </c>
      <c r="W534" s="148" t="str">
        <f>IFERROR(__xludf.DUMMYFUNCTION("""COMPUTED_VALUE"""),"[]")</f>
        <v>[]</v>
      </c>
      <c r="X534" s="148" t="str">
        <f>IFERROR(__xludf.DUMMYFUNCTION("""COMPUTED_VALUE"""),"[{""typ"":""power"",""id"":12141002,""val"":5}]")</f>
        <v>[{"typ":"power","id":12141002,"val":5}]</v>
      </c>
      <c r="Y534" s="148" t="str">
        <f>IFERROR(__xludf.DUMMYFUNCTION("""COMPUTED_VALUE"""),"[{""typ"":""atk"",""val"":36},{""typ"":""def"",""val"":125},{""typ"":""hp"",""val"":135},{""typ"":""speed"",""val"":50},{""typ"":""load"",""val"":20},{""typ"":""backcoef"",""val"":0.5},{""typ"":""atkcoef"",""val"":1.0},{""typ"":""atkcd"",""val"":0}]")</f>
        <v>[{"typ":"atk","val":36},{"typ":"def","val":125},{"typ":"hp","val":135},{"typ":"speed","val":50},{"typ":"load","val":20},{"typ":"backcoef","val":0.5},{"typ":"atkcoef","val":1.0},{"typ":"atkcd","val":0}]</v>
      </c>
      <c r="Z534" s="148" t="str">
        <f>IFERROR(__xludf.DUMMYFUNCTION("""COMPUTED_VALUE"""),"[]")</f>
        <v>[]</v>
      </c>
    </row>
    <row r="535">
      <c r="A535" s="148">
        <f>IFERROR(__xludf.DUMMYFUNCTION("""COMPUTED_VALUE"""),1.1219813E7)</f>
        <v>11219813</v>
      </c>
      <c r="B535" s="148" t="str">
        <f>IFERROR(__xludf.DUMMYFUNCTION("""COMPUTED_VALUE"""),"KVK2-押镖单位-精英3")</f>
        <v>KVK2-押镖单位-精英3</v>
      </c>
      <c r="C535" s="148">
        <f>IFERROR(__xludf.DUMMYFUNCTION("""COMPUTED_VALUE"""),1.1221004E7)</f>
        <v>11221004</v>
      </c>
      <c r="D535" s="148">
        <f>IFERROR(__xludf.DUMMYFUNCTION("""COMPUTED_VALUE"""),1.5114811E7)</f>
        <v>15114811</v>
      </c>
      <c r="E535" s="148" t="str">
        <f>IFERROR(__xludf.DUMMYFUNCTION("""COMPUTED_VALUE"""),"{""typ"":""lc"",""txt"":""LC_NPC_kvk2_npc_reg_name""}")</f>
        <v>{"typ":"lc","txt":"LC_NPC_kvk2_npc_reg_name"}</v>
      </c>
      <c r="F535" s="148" t="str">
        <f>IFERROR(__xludf.DUMMYFUNCTION("""COMPUTED_VALUE"""),"{""typ"":""lc"",""txt"":""LC_NPC_kvk2_npc_reg_desc""}")</f>
        <v>{"typ":"lc","txt":"LC_NPC_kvk2_npc_reg_desc"}</v>
      </c>
      <c r="G535" s="148">
        <f>IFERROR(__xludf.DUMMYFUNCTION("""COMPUTED_VALUE"""),10.0)</f>
        <v>10</v>
      </c>
      <c r="H535" s="148">
        <f>IFERROR(__xludf.DUMMYFUNCTION("""COMPUTED_VALUE"""),10099.0)</f>
        <v>10099</v>
      </c>
      <c r="I535" s="148">
        <f>IFERROR(__xludf.DUMMYFUNCTION("""COMPUTED_VALUE"""),10099.0)</f>
        <v>10099</v>
      </c>
      <c r="J535" s="148">
        <f>IFERROR(__xludf.DUMMYFUNCTION("""COMPUTED_VALUE"""),0.0)</f>
        <v>0</v>
      </c>
      <c r="K535" s="148">
        <f>IFERROR(__xludf.DUMMYFUNCTION("""COMPUTED_VALUE"""),10.0)</f>
        <v>10</v>
      </c>
      <c r="L535" s="148">
        <f>IFERROR(__xludf.DUMMYFUNCTION("""COMPUTED_VALUE"""),99.0)</f>
        <v>99</v>
      </c>
      <c r="M535" s="148">
        <f>IFERROR(__xludf.DUMMYFUNCTION("""COMPUTED_VALUE"""),0.0)</f>
        <v>0</v>
      </c>
      <c r="N535" s="148" t="str">
        <f>IFERROR(__xludf.DUMMYFUNCTION("""COMPUTED_VALUE"""),"[]")</f>
        <v>[]</v>
      </c>
      <c r="O535" s="148" t="str">
        <f>IFERROR(__xludf.DUMMYFUNCTION("""COMPUTED_VALUE"""),"{}")</f>
        <v>{}</v>
      </c>
      <c r="P535" s="148">
        <f>IFERROR(__xludf.DUMMYFUNCTION("""COMPUTED_VALUE"""),0.0)</f>
        <v>0</v>
      </c>
      <c r="Q535" s="148" t="str">
        <f>IFERROR(__xludf.DUMMYFUNCTION("""COMPUTED_VALUE"""),"[]")</f>
        <v>[]</v>
      </c>
      <c r="R535" s="148" t="str">
        <f>IFERROR(__xludf.DUMMYFUNCTION("""COMPUTED_VALUE"""),"{}")</f>
        <v>{}</v>
      </c>
      <c r="S535" s="148">
        <f>IFERROR(__xludf.DUMMYFUNCTION("""COMPUTED_VALUE"""),0.0)</f>
        <v>0</v>
      </c>
      <c r="T535" s="148" t="str">
        <f>IFERROR(__xludf.DUMMYFUNCTION("""COMPUTED_VALUE"""),"[]")</f>
        <v>[]</v>
      </c>
      <c r="U535" s="148">
        <f>IFERROR(__xludf.DUMMYFUNCTION("""COMPUTED_VALUE"""),0.0)</f>
        <v>0</v>
      </c>
      <c r="V535" s="148" t="str">
        <f>IFERROR(__xludf.DUMMYFUNCTION("""COMPUTED_VALUE"""),"{}")</f>
        <v>{}</v>
      </c>
      <c r="W535" s="148" t="str">
        <f>IFERROR(__xludf.DUMMYFUNCTION("""COMPUTED_VALUE"""),"[]")</f>
        <v>[]</v>
      </c>
      <c r="X535" s="148" t="str">
        <f>IFERROR(__xludf.DUMMYFUNCTION("""COMPUTED_VALUE"""),"[{""typ"":""power"",""id"":12141002,""val"":5}]")</f>
        <v>[{"typ":"power","id":12141002,"val":5}]</v>
      </c>
      <c r="Y535" s="148" t="str">
        <f>IFERROR(__xludf.DUMMYFUNCTION("""COMPUTED_VALUE"""),"[{""typ"":""atk"",""val"":72},{""typ"":""def"",""val"":125},{""typ"":""hp"",""val"":135},{""typ"":""speed"",""val"":50},{""typ"":""load"",""val"":20},{""typ"":""backcoef"",""val"":0.5},{""typ"":""atkcoef"",""val"":1.0},{""typ"":""atkcd"",""val"":0}]")</f>
        <v>[{"typ":"atk","val":72},{"typ":"def","val":125},{"typ":"hp","val":135},{"typ":"speed","val":50},{"typ":"load","val":20},{"typ":"backcoef","val":0.5},{"typ":"atkcoef","val":1.0},{"typ":"atkcd","val":0}]</v>
      </c>
      <c r="Z535" s="148" t="str">
        <f>IFERROR(__xludf.DUMMYFUNCTION("""COMPUTED_VALUE"""),"[]")</f>
        <v>[]</v>
      </c>
    </row>
    <row r="536">
      <c r="A536" s="148">
        <f>IFERROR(__xludf.DUMMYFUNCTION("""COMPUTED_VALUE"""),1.1219814E7)</f>
        <v>11219814</v>
      </c>
      <c r="B536" s="148" t="str">
        <f>IFERROR(__xludf.DUMMYFUNCTION("""COMPUTED_VALUE"""),"KVK2-押镖单位-精英4")</f>
        <v>KVK2-押镖单位-精英4</v>
      </c>
      <c r="C536" s="148">
        <f>IFERROR(__xludf.DUMMYFUNCTION("""COMPUTED_VALUE"""),1.1221004E7)</f>
        <v>11221004</v>
      </c>
      <c r="D536" s="148">
        <f>IFERROR(__xludf.DUMMYFUNCTION("""COMPUTED_VALUE"""),1.5114811E7)</f>
        <v>15114811</v>
      </c>
      <c r="E536" s="148" t="str">
        <f>IFERROR(__xludf.DUMMYFUNCTION("""COMPUTED_VALUE"""),"{""typ"":""lc"",""txt"":""LC_NPC_kvk2_npc_reg_name""}")</f>
        <v>{"typ":"lc","txt":"LC_NPC_kvk2_npc_reg_name"}</v>
      </c>
      <c r="F536" s="148" t="str">
        <f>IFERROR(__xludf.DUMMYFUNCTION("""COMPUTED_VALUE"""),"{""typ"":""lc"",""txt"":""LC_NPC_kvk2_npc_reg_desc""}")</f>
        <v>{"typ":"lc","txt":"LC_NPC_kvk2_npc_reg_desc"}</v>
      </c>
      <c r="G536" s="148">
        <f>IFERROR(__xludf.DUMMYFUNCTION("""COMPUTED_VALUE"""),10.0)</f>
        <v>10</v>
      </c>
      <c r="H536" s="148">
        <f>IFERROR(__xludf.DUMMYFUNCTION("""COMPUTED_VALUE"""),10099.0)</f>
        <v>10099</v>
      </c>
      <c r="I536" s="148">
        <f>IFERROR(__xludf.DUMMYFUNCTION("""COMPUTED_VALUE"""),10099.0)</f>
        <v>10099</v>
      </c>
      <c r="J536" s="148">
        <f>IFERROR(__xludf.DUMMYFUNCTION("""COMPUTED_VALUE"""),0.0)</f>
        <v>0</v>
      </c>
      <c r="K536" s="148">
        <f>IFERROR(__xludf.DUMMYFUNCTION("""COMPUTED_VALUE"""),10.0)</f>
        <v>10</v>
      </c>
      <c r="L536" s="148">
        <f>IFERROR(__xludf.DUMMYFUNCTION("""COMPUTED_VALUE"""),99.0)</f>
        <v>99</v>
      </c>
      <c r="M536" s="148">
        <f>IFERROR(__xludf.DUMMYFUNCTION("""COMPUTED_VALUE"""),0.0)</f>
        <v>0</v>
      </c>
      <c r="N536" s="148" t="str">
        <f>IFERROR(__xludf.DUMMYFUNCTION("""COMPUTED_VALUE"""),"[]")</f>
        <v>[]</v>
      </c>
      <c r="O536" s="148" t="str">
        <f>IFERROR(__xludf.DUMMYFUNCTION("""COMPUTED_VALUE"""),"{}")</f>
        <v>{}</v>
      </c>
      <c r="P536" s="148">
        <f>IFERROR(__xludf.DUMMYFUNCTION("""COMPUTED_VALUE"""),0.0)</f>
        <v>0</v>
      </c>
      <c r="Q536" s="148" t="str">
        <f>IFERROR(__xludf.DUMMYFUNCTION("""COMPUTED_VALUE"""),"[]")</f>
        <v>[]</v>
      </c>
      <c r="R536" s="148" t="str">
        <f>IFERROR(__xludf.DUMMYFUNCTION("""COMPUTED_VALUE"""),"{}")</f>
        <v>{}</v>
      </c>
      <c r="S536" s="148">
        <f>IFERROR(__xludf.DUMMYFUNCTION("""COMPUTED_VALUE"""),0.0)</f>
        <v>0</v>
      </c>
      <c r="T536" s="148" t="str">
        <f>IFERROR(__xludf.DUMMYFUNCTION("""COMPUTED_VALUE"""),"[]")</f>
        <v>[]</v>
      </c>
      <c r="U536" s="148">
        <f>IFERROR(__xludf.DUMMYFUNCTION("""COMPUTED_VALUE"""),0.0)</f>
        <v>0</v>
      </c>
      <c r="V536" s="148" t="str">
        <f>IFERROR(__xludf.DUMMYFUNCTION("""COMPUTED_VALUE"""),"{}")</f>
        <v>{}</v>
      </c>
      <c r="W536" s="148" t="str">
        <f>IFERROR(__xludf.DUMMYFUNCTION("""COMPUTED_VALUE"""),"[]")</f>
        <v>[]</v>
      </c>
      <c r="X536" s="148" t="str">
        <f>IFERROR(__xludf.DUMMYFUNCTION("""COMPUTED_VALUE"""),"[{""typ"":""power"",""id"":12141002,""val"":5}]")</f>
        <v>[{"typ":"power","id":12141002,"val":5}]</v>
      </c>
      <c r="Y536" s="148" t="str">
        <f>IFERROR(__xludf.DUMMYFUNCTION("""COMPUTED_VALUE"""),"[{""typ"":""atk"",""val"":180},{""typ"":""def"",""val"":125},{""typ"":""hp"",""val"":135},{""typ"":""speed"",""val"":50},{""typ"":""load"",""val"":20},{""typ"":""backcoef"",""val"":0.5},{""typ"":""atkcoef"",""val"":1.0},{""typ"":""atkcd"",""val"":0}]")</f>
        <v>[{"typ":"atk","val":180},{"typ":"def","val":125},{"typ":"hp","val":135},{"typ":"speed","val":50},{"typ":"load","val":20},{"typ":"backcoef","val":0.5},{"typ":"atkcoef","val":1.0},{"typ":"atkcd","val":0}]</v>
      </c>
      <c r="Z536" s="148" t="str">
        <f>IFERROR(__xludf.DUMMYFUNCTION("""COMPUTED_VALUE"""),"[]")</f>
        <v>[]</v>
      </c>
    </row>
    <row r="537">
      <c r="A537" s="148">
        <f>IFERROR(__xludf.DUMMYFUNCTION("""COMPUTED_VALUE"""),1.1219815E7)</f>
        <v>11219815</v>
      </c>
      <c r="B537" s="148" t="str">
        <f>IFERROR(__xludf.DUMMYFUNCTION("""COMPUTED_VALUE"""),"KVK2-押镖单位-精英5")</f>
        <v>KVK2-押镖单位-精英5</v>
      </c>
      <c r="C537" s="148">
        <f>IFERROR(__xludf.DUMMYFUNCTION("""COMPUTED_VALUE"""),1.1221004E7)</f>
        <v>11221004</v>
      </c>
      <c r="D537" s="148">
        <f>IFERROR(__xludf.DUMMYFUNCTION("""COMPUTED_VALUE"""),1.5114811E7)</f>
        <v>15114811</v>
      </c>
      <c r="E537" s="148" t="str">
        <f>IFERROR(__xludf.DUMMYFUNCTION("""COMPUTED_VALUE"""),"{""typ"":""lc"",""txt"":""LC_NPC_kvk2_npc_reg_name""}")</f>
        <v>{"typ":"lc","txt":"LC_NPC_kvk2_npc_reg_name"}</v>
      </c>
      <c r="F537" s="148" t="str">
        <f>IFERROR(__xludf.DUMMYFUNCTION("""COMPUTED_VALUE"""),"{""typ"":""lc"",""txt"":""LC_NPC_kvk2_npc_reg_desc""}")</f>
        <v>{"typ":"lc","txt":"LC_NPC_kvk2_npc_reg_desc"}</v>
      </c>
      <c r="G537" s="148">
        <f>IFERROR(__xludf.DUMMYFUNCTION("""COMPUTED_VALUE"""),10.0)</f>
        <v>10</v>
      </c>
      <c r="H537" s="148">
        <f>IFERROR(__xludf.DUMMYFUNCTION("""COMPUTED_VALUE"""),10099.0)</f>
        <v>10099</v>
      </c>
      <c r="I537" s="148">
        <f>IFERROR(__xludf.DUMMYFUNCTION("""COMPUTED_VALUE"""),10099.0)</f>
        <v>10099</v>
      </c>
      <c r="J537" s="148">
        <f>IFERROR(__xludf.DUMMYFUNCTION("""COMPUTED_VALUE"""),0.0)</f>
        <v>0</v>
      </c>
      <c r="K537" s="148">
        <f>IFERROR(__xludf.DUMMYFUNCTION("""COMPUTED_VALUE"""),10.0)</f>
        <v>10</v>
      </c>
      <c r="L537" s="148">
        <f>IFERROR(__xludf.DUMMYFUNCTION("""COMPUTED_VALUE"""),99.0)</f>
        <v>99</v>
      </c>
      <c r="M537" s="148">
        <f>IFERROR(__xludf.DUMMYFUNCTION("""COMPUTED_VALUE"""),0.0)</f>
        <v>0</v>
      </c>
      <c r="N537" s="148" t="str">
        <f>IFERROR(__xludf.DUMMYFUNCTION("""COMPUTED_VALUE"""),"[]")</f>
        <v>[]</v>
      </c>
      <c r="O537" s="148" t="str">
        <f>IFERROR(__xludf.DUMMYFUNCTION("""COMPUTED_VALUE"""),"{}")</f>
        <v>{}</v>
      </c>
      <c r="P537" s="148">
        <f>IFERROR(__xludf.DUMMYFUNCTION("""COMPUTED_VALUE"""),0.0)</f>
        <v>0</v>
      </c>
      <c r="Q537" s="148" t="str">
        <f>IFERROR(__xludf.DUMMYFUNCTION("""COMPUTED_VALUE"""),"[]")</f>
        <v>[]</v>
      </c>
      <c r="R537" s="148" t="str">
        <f>IFERROR(__xludf.DUMMYFUNCTION("""COMPUTED_VALUE"""),"{}")</f>
        <v>{}</v>
      </c>
      <c r="S537" s="148">
        <f>IFERROR(__xludf.DUMMYFUNCTION("""COMPUTED_VALUE"""),0.0)</f>
        <v>0</v>
      </c>
      <c r="T537" s="148" t="str">
        <f>IFERROR(__xludf.DUMMYFUNCTION("""COMPUTED_VALUE"""),"[]")</f>
        <v>[]</v>
      </c>
      <c r="U537" s="148">
        <f>IFERROR(__xludf.DUMMYFUNCTION("""COMPUTED_VALUE"""),0.0)</f>
        <v>0</v>
      </c>
      <c r="V537" s="148" t="str">
        <f>IFERROR(__xludf.DUMMYFUNCTION("""COMPUTED_VALUE"""),"{}")</f>
        <v>{}</v>
      </c>
      <c r="W537" s="148" t="str">
        <f>IFERROR(__xludf.DUMMYFUNCTION("""COMPUTED_VALUE"""),"[]")</f>
        <v>[]</v>
      </c>
      <c r="X537" s="148" t="str">
        <f>IFERROR(__xludf.DUMMYFUNCTION("""COMPUTED_VALUE"""),"[{""typ"":""power"",""id"":12141002,""val"":5}]")</f>
        <v>[{"typ":"power","id":12141002,"val":5}]</v>
      </c>
      <c r="Y537" s="148" t="str">
        <f>IFERROR(__xludf.DUMMYFUNCTION("""COMPUTED_VALUE"""),"[{""typ"":""atk"",""val"":240},{""typ"":""def"",""val"":125},{""typ"":""hp"",""val"":135},{""typ"":""speed"",""val"":50},{""typ"":""load"",""val"":20},{""typ"":""backcoef"",""val"":0.5},{""typ"":""atkcoef"",""val"":1.0},{""typ"":""atkcd"",""val"":0}]")</f>
        <v>[{"typ":"atk","val":240},{"typ":"def","val":125},{"typ":"hp","val":135},{"typ":"speed","val":50},{"typ":"load","val":20},{"typ":"backcoef","val":0.5},{"typ":"atkcoef","val":1.0},{"typ":"atkcd","val":0}]</v>
      </c>
      <c r="Z537" s="148" t="str">
        <f>IFERROR(__xludf.DUMMYFUNCTION("""COMPUTED_VALUE"""),"[]")</f>
        <v>[]</v>
      </c>
    </row>
    <row r="538">
      <c r="A538" s="148">
        <f>IFERROR(__xludf.DUMMYFUNCTION("""COMPUTED_VALUE"""),1.1219816E7)</f>
        <v>11219816</v>
      </c>
      <c r="B538" s="148" t="str">
        <f>IFERROR(__xludf.DUMMYFUNCTION("""COMPUTED_VALUE"""),"KVK2-押镖单位-BOSS1")</f>
        <v>KVK2-押镖单位-BOSS1</v>
      </c>
      <c r="C538" s="148">
        <f>IFERROR(__xludf.DUMMYFUNCTION("""COMPUTED_VALUE"""),1.1221004E7)</f>
        <v>11221004</v>
      </c>
      <c r="D538" s="148">
        <f>IFERROR(__xludf.DUMMYFUNCTION("""COMPUTED_VALUE"""),1.5114812E7)</f>
        <v>15114812</v>
      </c>
      <c r="E538" s="148" t="str">
        <f>IFERROR(__xludf.DUMMYFUNCTION("""COMPUTED_VALUE"""),"{""typ"":""lc"",""txt"":""LC_NPC_kvk2_npc_boss_name""}")</f>
        <v>{"typ":"lc","txt":"LC_NPC_kvk2_npc_boss_name"}</v>
      </c>
      <c r="F538" s="148" t="str">
        <f>IFERROR(__xludf.DUMMYFUNCTION("""COMPUTED_VALUE"""),"{""typ"":""lc"",""txt"":""LC_NPC_kvk2_npc_boss_desc""}")</f>
        <v>{"typ":"lc","txt":"LC_NPC_kvk2_npc_boss_desc"}</v>
      </c>
      <c r="G538" s="148">
        <f>IFERROR(__xludf.DUMMYFUNCTION("""COMPUTED_VALUE"""),10.0)</f>
        <v>10</v>
      </c>
      <c r="H538" s="148">
        <f>IFERROR(__xludf.DUMMYFUNCTION("""COMPUTED_VALUE"""),10099.0)</f>
        <v>10099</v>
      </c>
      <c r="I538" s="148">
        <f>IFERROR(__xludf.DUMMYFUNCTION("""COMPUTED_VALUE"""),10099.0)</f>
        <v>10099</v>
      </c>
      <c r="J538" s="148">
        <f>IFERROR(__xludf.DUMMYFUNCTION("""COMPUTED_VALUE"""),0.0)</f>
        <v>0</v>
      </c>
      <c r="K538" s="148">
        <f>IFERROR(__xludf.DUMMYFUNCTION("""COMPUTED_VALUE"""),10.0)</f>
        <v>10</v>
      </c>
      <c r="L538" s="148">
        <f>IFERROR(__xludf.DUMMYFUNCTION("""COMPUTED_VALUE"""),99.0)</f>
        <v>99</v>
      </c>
      <c r="M538" s="148">
        <f>IFERROR(__xludf.DUMMYFUNCTION("""COMPUTED_VALUE"""),0.0)</f>
        <v>0</v>
      </c>
      <c r="N538" s="148" t="str">
        <f>IFERROR(__xludf.DUMMYFUNCTION("""COMPUTED_VALUE"""),"[]")</f>
        <v>[]</v>
      </c>
      <c r="O538" s="148" t="str">
        <f>IFERROR(__xludf.DUMMYFUNCTION("""COMPUTED_VALUE"""),"{}")</f>
        <v>{}</v>
      </c>
      <c r="P538" s="148">
        <f>IFERROR(__xludf.DUMMYFUNCTION("""COMPUTED_VALUE"""),0.0)</f>
        <v>0</v>
      </c>
      <c r="Q538" s="148" t="str">
        <f>IFERROR(__xludf.DUMMYFUNCTION("""COMPUTED_VALUE"""),"[]")</f>
        <v>[]</v>
      </c>
      <c r="R538" s="148" t="str">
        <f>IFERROR(__xludf.DUMMYFUNCTION("""COMPUTED_VALUE"""),"{}")</f>
        <v>{}</v>
      </c>
      <c r="S538" s="148">
        <f>IFERROR(__xludf.DUMMYFUNCTION("""COMPUTED_VALUE"""),0.0)</f>
        <v>0</v>
      </c>
      <c r="T538" s="148" t="str">
        <f>IFERROR(__xludf.DUMMYFUNCTION("""COMPUTED_VALUE"""),"[]")</f>
        <v>[]</v>
      </c>
      <c r="U538" s="148">
        <f>IFERROR(__xludf.DUMMYFUNCTION("""COMPUTED_VALUE"""),0.0)</f>
        <v>0</v>
      </c>
      <c r="V538" s="148" t="str">
        <f>IFERROR(__xludf.DUMMYFUNCTION("""COMPUTED_VALUE"""),"{}")</f>
        <v>{}</v>
      </c>
      <c r="W538" s="148" t="str">
        <f>IFERROR(__xludf.DUMMYFUNCTION("""COMPUTED_VALUE"""),"[]")</f>
        <v>[]</v>
      </c>
      <c r="X538" s="148" t="str">
        <f>IFERROR(__xludf.DUMMYFUNCTION("""COMPUTED_VALUE"""),"[{""typ"":""power"",""id"":12141002,""val"":10}]")</f>
        <v>[{"typ":"power","id":12141002,"val":10}]</v>
      </c>
      <c r="Y538" s="148" t="str">
        <f>IFERROR(__xludf.DUMMYFUNCTION("""COMPUTED_VALUE"""),"[{""typ"":""atk"",""val"":22.5},{""typ"":""def"",""val"":125},{""typ"":""hp"",""val"":135},{""typ"":""speed"",""val"":50},{""typ"":""load"",""val"":20},{""typ"":""backcoef"",""val"":0.5},{""typ"":""atkcoef"",""val"":1.0},{""typ"":""atkcd"",""val"":0}]")</f>
        <v>[{"typ":"atk","val":22.5},{"typ":"def","val":125},{"typ":"hp","val":135},{"typ":"speed","val":50},{"typ":"load","val":20},{"typ":"backcoef","val":0.5},{"typ":"atkcoef","val":1.0},{"typ":"atkcd","val":0}]</v>
      </c>
      <c r="Z538" s="148" t="str">
        <f>IFERROR(__xludf.DUMMYFUNCTION("""COMPUTED_VALUE"""),"[]")</f>
        <v>[]</v>
      </c>
    </row>
    <row r="539">
      <c r="A539" s="148">
        <f>IFERROR(__xludf.DUMMYFUNCTION("""COMPUTED_VALUE"""),1.1219817E7)</f>
        <v>11219817</v>
      </c>
      <c r="B539" s="148" t="str">
        <f>IFERROR(__xludf.DUMMYFUNCTION("""COMPUTED_VALUE"""),"KVK2-押镖单位-BOSS2")</f>
        <v>KVK2-押镖单位-BOSS2</v>
      </c>
      <c r="C539" s="148">
        <f>IFERROR(__xludf.DUMMYFUNCTION("""COMPUTED_VALUE"""),1.1221004E7)</f>
        <v>11221004</v>
      </c>
      <c r="D539" s="148">
        <f>IFERROR(__xludf.DUMMYFUNCTION("""COMPUTED_VALUE"""),1.5114812E7)</f>
        <v>15114812</v>
      </c>
      <c r="E539" s="148" t="str">
        <f>IFERROR(__xludf.DUMMYFUNCTION("""COMPUTED_VALUE"""),"{""typ"":""lc"",""txt"":""LC_NPC_kvk2_npc_boss_name""}")</f>
        <v>{"typ":"lc","txt":"LC_NPC_kvk2_npc_boss_name"}</v>
      </c>
      <c r="F539" s="148" t="str">
        <f>IFERROR(__xludf.DUMMYFUNCTION("""COMPUTED_VALUE"""),"{""typ"":""lc"",""txt"":""LC_NPC_kvk2_npc_boss_desc""}")</f>
        <v>{"typ":"lc","txt":"LC_NPC_kvk2_npc_boss_desc"}</v>
      </c>
      <c r="G539" s="148">
        <f>IFERROR(__xludf.DUMMYFUNCTION("""COMPUTED_VALUE"""),10.0)</f>
        <v>10</v>
      </c>
      <c r="H539" s="148">
        <f>IFERROR(__xludf.DUMMYFUNCTION("""COMPUTED_VALUE"""),10099.0)</f>
        <v>10099</v>
      </c>
      <c r="I539" s="148">
        <f>IFERROR(__xludf.DUMMYFUNCTION("""COMPUTED_VALUE"""),10099.0)</f>
        <v>10099</v>
      </c>
      <c r="J539" s="148">
        <f>IFERROR(__xludf.DUMMYFUNCTION("""COMPUTED_VALUE"""),0.0)</f>
        <v>0</v>
      </c>
      <c r="K539" s="148">
        <f>IFERROR(__xludf.DUMMYFUNCTION("""COMPUTED_VALUE"""),10.0)</f>
        <v>10</v>
      </c>
      <c r="L539" s="148">
        <f>IFERROR(__xludf.DUMMYFUNCTION("""COMPUTED_VALUE"""),99.0)</f>
        <v>99</v>
      </c>
      <c r="M539" s="148">
        <f>IFERROR(__xludf.DUMMYFUNCTION("""COMPUTED_VALUE"""),0.0)</f>
        <v>0</v>
      </c>
      <c r="N539" s="148" t="str">
        <f>IFERROR(__xludf.DUMMYFUNCTION("""COMPUTED_VALUE"""),"[]")</f>
        <v>[]</v>
      </c>
      <c r="O539" s="148" t="str">
        <f>IFERROR(__xludf.DUMMYFUNCTION("""COMPUTED_VALUE"""),"{}")</f>
        <v>{}</v>
      </c>
      <c r="P539" s="148">
        <f>IFERROR(__xludf.DUMMYFUNCTION("""COMPUTED_VALUE"""),0.0)</f>
        <v>0</v>
      </c>
      <c r="Q539" s="148" t="str">
        <f>IFERROR(__xludf.DUMMYFUNCTION("""COMPUTED_VALUE"""),"[]")</f>
        <v>[]</v>
      </c>
      <c r="R539" s="148" t="str">
        <f>IFERROR(__xludf.DUMMYFUNCTION("""COMPUTED_VALUE"""),"{}")</f>
        <v>{}</v>
      </c>
      <c r="S539" s="148">
        <f>IFERROR(__xludf.DUMMYFUNCTION("""COMPUTED_VALUE"""),0.0)</f>
        <v>0</v>
      </c>
      <c r="T539" s="148" t="str">
        <f>IFERROR(__xludf.DUMMYFUNCTION("""COMPUTED_VALUE"""),"[]")</f>
        <v>[]</v>
      </c>
      <c r="U539" s="148">
        <f>IFERROR(__xludf.DUMMYFUNCTION("""COMPUTED_VALUE"""),0.0)</f>
        <v>0</v>
      </c>
      <c r="V539" s="148" t="str">
        <f>IFERROR(__xludf.DUMMYFUNCTION("""COMPUTED_VALUE"""),"{}")</f>
        <v>{}</v>
      </c>
      <c r="W539" s="148" t="str">
        <f>IFERROR(__xludf.DUMMYFUNCTION("""COMPUTED_VALUE"""),"[]")</f>
        <v>[]</v>
      </c>
      <c r="X539" s="148" t="str">
        <f>IFERROR(__xludf.DUMMYFUNCTION("""COMPUTED_VALUE"""),"[{""typ"":""power"",""id"":12141002,""val"":10}]")</f>
        <v>[{"typ":"power","id":12141002,"val":10}]</v>
      </c>
      <c r="Y539" s="148" t="str">
        <f>IFERROR(__xludf.DUMMYFUNCTION("""COMPUTED_VALUE"""),"[{""typ"":""atk"",""val"":45},{""typ"":""def"",""val"":125},{""typ"":""hp"",""val"":135},{""typ"":""speed"",""val"":50},{""typ"":""load"",""val"":20},{""typ"":""backcoef"",""val"":0.5},{""typ"":""atkcoef"",""val"":1.0},{""typ"":""atkcd"",""val"":0}]")</f>
        <v>[{"typ":"atk","val":45},{"typ":"def","val":125},{"typ":"hp","val":135},{"typ":"speed","val":50},{"typ":"load","val":20},{"typ":"backcoef","val":0.5},{"typ":"atkcoef","val":1.0},{"typ":"atkcd","val":0}]</v>
      </c>
      <c r="Z539" s="148" t="str">
        <f>IFERROR(__xludf.DUMMYFUNCTION("""COMPUTED_VALUE"""),"[]")</f>
        <v>[]</v>
      </c>
    </row>
    <row r="540">
      <c r="A540" s="148">
        <f>IFERROR(__xludf.DUMMYFUNCTION("""COMPUTED_VALUE"""),1.1219818E7)</f>
        <v>11219818</v>
      </c>
      <c r="B540" s="148" t="str">
        <f>IFERROR(__xludf.DUMMYFUNCTION("""COMPUTED_VALUE"""),"KVK2-押镖单位-BOSS3")</f>
        <v>KVK2-押镖单位-BOSS3</v>
      </c>
      <c r="C540" s="148">
        <f>IFERROR(__xludf.DUMMYFUNCTION("""COMPUTED_VALUE"""),1.1221004E7)</f>
        <v>11221004</v>
      </c>
      <c r="D540" s="148">
        <f>IFERROR(__xludf.DUMMYFUNCTION("""COMPUTED_VALUE"""),1.5114812E7)</f>
        <v>15114812</v>
      </c>
      <c r="E540" s="148" t="str">
        <f>IFERROR(__xludf.DUMMYFUNCTION("""COMPUTED_VALUE"""),"{""typ"":""lc"",""txt"":""LC_NPC_kvk2_npc_boss_name""}")</f>
        <v>{"typ":"lc","txt":"LC_NPC_kvk2_npc_boss_name"}</v>
      </c>
      <c r="F540" s="148" t="str">
        <f>IFERROR(__xludf.DUMMYFUNCTION("""COMPUTED_VALUE"""),"{""typ"":""lc"",""txt"":""LC_NPC_kvk2_npc_boss_desc""}")</f>
        <v>{"typ":"lc","txt":"LC_NPC_kvk2_npc_boss_desc"}</v>
      </c>
      <c r="G540" s="148">
        <f>IFERROR(__xludf.DUMMYFUNCTION("""COMPUTED_VALUE"""),10.0)</f>
        <v>10</v>
      </c>
      <c r="H540" s="148">
        <f>IFERROR(__xludf.DUMMYFUNCTION("""COMPUTED_VALUE"""),10099.0)</f>
        <v>10099</v>
      </c>
      <c r="I540" s="148">
        <f>IFERROR(__xludf.DUMMYFUNCTION("""COMPUTED_VALUE"""),10099.0)</f>
        <v>10099</v>
      </c>
      <c r="J540" s="148">
        <f>IFERROR(__xludf.DUMMYFUNCTION("""COMPUTED_VALUE"""),0.0)</f>
        <v>0</v>
      </c>
      <c r="K540" s="148">
        <f>IFERROR(__xludf.DUMMYFUNCTION("""COMPUTED_VALUE"""),10.0)</f>
        <v>10</v>
      </c>
      <c r="L540" s="148">
        <f>IFERROR(__xludf.DUMMYFUNCTION("""COMPUTED_VALUE"""),99.0)</f>
        <v>99</v>
      </c>
      <c r="M540" s="148">
        <f>IFERROR(__xludf.DUMMYFUNCTION("""COMPUTED_VALUE"""),0.0)</f>
        <v>0</v>
      </c>
      <c r="N540" s="148" t="str">
        <f>IFERROR(__xludf.DUMMYFUNCTION("""COMPUTED_VALUE"""),"[]")</f>
        <v>[]</v>
      </c>
      <c r="O540" s="148" t="str">
        <f>IFERROR(__xludf.DUMMYFUNCTION("""COMPUTED_VALUE"""),"{}")</f>
        <v>{}</v>
      </c>
      <c r="P540" s="148">
        <f>IFERROR(__xludf.DUMMYFUNCTION("""COMPUTED_VALUE"""),0.0)</f>
        <v>0</v>
      </c>
      <c r="Q540" s="148" t="str">
        <f>IFERROR(__xludf.DUMMYFUNCTION("""COMPUTED_VALUE"""),"[]")</f>
        <v>[]</v>
      </c>
      <c r="R540" s="148" t="str">
        <f>IFERROR(__xludf.DUMMYFUNCTION("""COMPUTED_VALUE"""),"{}")</f>
        <v>{}</v>
      </c>
      <c r="S540" s="148">
        <f>IFERROR(__xludf.DUMMYFUNCTION("""COMPUTED_VALUE"""),0.0)</f>
        <v>0</v>
      </c>
      <c r="T540" s="148" t="str">
        <f>IFERROR(__xludf.DUMMYFUNCTION("""COMPUTED_VALUE"""),"[]")</f>
        <v>[]</v>
      </c>
      <c r="U540" s="148">
        <f>IFERROR(__xludf.DUMMYFUNCTION("""COMPUTED_VALUE"""),0.0)</f>
        <v>0</v>
      </c>
      <c r="V540" s="148" t="str">
        <f>IFERROR(__xludf.DUMMYFUNCTION("""COMPUTED_VALUE"""),"{}")</f>
        <v>{}</v>
      </c>
      <c r="W540" s="148" t="str">
        <f>IFERROR(__xludf.DUMMYFUNCTION("""COMPUTED_VALUE"""),"[]")</f>
        <v>[]</v>
      </c>
      <c r="X540" s="148" t="str">
        <f>IFERROR(__xludf.DUMMYFUNCTION("""COMPUTED_VALUE"""),"[{""typ"":""power"",""id"":12141002,""val"":10}]")</f>
        <v>[{"typ":"power","id":12141002,"val":10}]</v>
      </c>
      <c r="Y540" s="148" t="str">
        <f>IFERROR(__xludf.DUMMYFUNCTION("""COMPUTED_VALUE"""),"[{""typ"":""atk"",""val"":90},{""typ"":""def"",""val"":125},{""typ"":""hp"",""val"":135},{""typ"":""speed"",""val"":50},{""typ"":""load"",""val"":20},{""typ"":""backcoef"",""val"":0.5},{""typ"":""atkcoef"",""val"":1.0},{""typ"":""atkcd"",""val"":0}]")</f>
        <v>[{"typ":"atk","val":90},{"typ":"def","val":125},{"typ":"hp","val":135},{"typ":"speed","val":50},{"typ":"load","val":20},{"typ":"backcoef","val":0.5},{"typ":"atkcoef","val":1.0},{"typ":"atkcd","val":0}]</v>
      </c>
      <c r="Z540" s="148" t="str">
        <f>IFERROR(__xludf.DUMMYFUNCTION("""COMPUTED_VALUE"""),"[]")</f>
        <v>[]</v>
      </c>
    </row>
    <row r="541">
      <c r="A541" s="148">
        <f>IFERROR(__xludf.DUMMYFUNCTION("""COMPUTED_VALUE"""),1.1219819E7)</f>
        <v>11219819</v>
      </c>
      <c r="B541" s="148" t="str">
        <f>IFERROR(__xludf.DUMMYFUNCTION("""COMPUTED_VALUE"""),"KVK2-押镖单位-BOSS4")</f>
        <v>KVK2-押镖单位-BOSS4</v>
      </c>
      <c r="C541" s="148">
        <f>IFERROR(__xludf.DUMMYFUNCTION("""COMPUTED_VALUE"""),1.1221004E7)</f>
        <v>11221004</v>
      </c>
      <c r="D541" s="148">
        <f>IFERROR(__xludf.DUMMYFUNCTION("""COMPUTED_VALUE"""),1.5114812E7)</f>
        <v>15114812</v>
      </c>
      <c r="E541" s="148" t="str">
        <f>IFERROR(__xludf.DUMMYFUNCTION("""COMPUTED_VALUE"""),"{""typ"":""lc"",""txt"":""LC_NPC_kvk2_npc_boss_name""}")</f>
        <v>{"typ":"lc","txt":"LC_NPC_kvk2_npc_boss_name"}</v>
      </c>
      <c r="F541" s="148" t="str">
        <f>IFERROR(__xludf.DUMMYFUNCTION("""COMPUTED_VALUE"""),"{""typ"":""lc"",""txt"":""LC_NPC_kvk2_npc_boss_desc""}")</f>
        <v>{"typ":"lc","txt":"LC_NPC_kvk2_npc_boss_desc"}</v>
      </c>
      <c r="G541" s="148">
        <f>IFERROR(__xludf.DUMMYFUNCTION("""COMPUTED_VALUE"""),10.0)</f>
        <v>10</v>
      </c>
      <c r="H541" s="148">
        <f>IFERROR(__xludf.DUMMYFUNCTION("""COMPUTED_VALUE"""),10099.0)</f>
        <v>10099</v>
      </c>
      <c r="I541" s="148">
        <f>IFERROR(__xludf.DUMMYFUNCTION("""COMPUTED_VALUE"""),10099.0)</f>
        <v>10099</v>
      </c>
      <c r="J541" s="148">
        <f>IFERROR(__xludf.DUMMYFUNCTION("""COMPUTED_VALUE"""),0.0)</f>
        <v>0</v>
      </c>
      <c r="K541" s="148">
        <f>IFERROR(__xludf.DUMMYFUNCTION("""COMPUTED_VALUE"""),10.0)</f>
        <v>10</v>
      </c>
      <c r="L541" s="148">
        <f>IFERROR(__xludf.DUMMYFUNCTION("""COMPUTED_VALUE"""),99.0)</f>
        <v>99</v>
      </c>
      <c r="M541" s="148">
        <f>IFERROR(__xludf.DUMMYFUNCTION("""COMPUTED_VALUE"""),0.0)</f>
        <v>0</v>
      </c>
      <c r="N541" s="148" t="str">
        <f>IFERROR(__xludf.DUMMYFUNCTION("""COMPUTED_VALUE"""),"[]")</f>
        <v>[]</v>
      </c>
      <c r="O541" s="148" t="str">
        <f>IFERROR(__xludf.DUMMYFUNCTION("""COMPUTED_VALUE"""),"{}")</f>
        <v>{}</v>
      </c>
      <c r="P541" s="148">
        <f>IFERROR(__xludf.DUMMYFUNCTION("""COMPUTED_VALUE"""),0.0)</f>
        <v>0</v>
      </c>
      <c r="Q541" s="148" t="str">
        <f>IFERROR(__xludf.DUMMYFUNCTION("""COMPUTED_VALUE"""),"[]")</f>
        <v>[]</v>
      </c>
      <c r="R541" s="148" t="str">
        <f>IFERROR(__xludf.DUMMYFUNCTION("""COMPUTED_VALUE"""),"{}")</f>
        <v>{}</v>
      </c>
      <c r="S541" s="148">
        <f>IFERROR(__xludf.DUMMYFUNCTION("""COMPUTED_VALUE"""),0.0)</f>
        <v>0</v>
      </c>
      <c r="T541" s="148" t="str">
        <f>IFERROR(__xludf.DUMMYFUNCTION("""COMPUTED_VALUE"""),"[]")</f>
        <v>[]</v>
      </c>
      <c r="U541" s="148">
        <f>IFERROR(__xludf.DUMMYFUNCTION("""COMPUTED_VALUE"""),0.0)</f>
        <v>0</v>
      </c>
      <c r="V541" s="148" t="str">
        <f>IFERROR(__xludf.DUMMYFUNCTION("""COMPUTED_VALUE"""),"{}")</f>
        <v>{}</v>
      </c>
      <c r="W541" s="148" t="str">
        <f>IFERROR(__xludf.DUMMYFUNCTION("""COMPUTED_VALUE"""),"[]")</f>
        <v>[]</v>
      </c>
      <c r="X541" s="148" t="str">
        <f>IFERROR(__xludf.DUMMYFUNCTION("""COMPUTED_VALUE"""),"[{""typ"":""power"",""id"":12141002,""val"":10}]")</f>
        <v>[{"typ":"power","id":12141002,"val":10}]</v>
      </c>
      <c r="Y541" s="148" t="str">
        <f>IFERROR(__xludf.DUMMYFUNCTION("""COMPUTED_VALUE"""),"[{""typ"":""atk"",""val"":225},{""typ"":""def"",""val"":125},{""typ"":""hp"",""val"":135},{""typ"":""speed"",""val"":50},{""typ"":""load"",""val"":20},{""typ"":""backcoef"",""val"":0.5},{""typ"":""atkcoef"",""val"":1.0},{""typ"":""atkcd"",""val"":0}]")</f>
        <v>[{"typ":"atk","val":225},{"typ":"def","val":125},{"typ":"hp","val":135},{"typ":"speed","val":50},{"typ":"load","val":20},{"typ":"backcoef","val":0.5},{"typ":"atkcoef","val":1.0},{"typ":"atkcd","val":0}]</v>
      </c>
      <c r="Z541" s="148" t="str">
        <f>IFERROR(__xludf.DUMMYFUNCTION("""COMPUTED_VALUE"""),"[]")</f>
        <v>[]</v>
      </c>
    </row>
    <row r="542">
      <c r="A542" s="148">
        <f>IFERROR(__xludf.DUMMYFUNCTION("""COMPUTED_VALUE"""),1.121982E7)</f>
        <v>11219820</v>
      </c>
      <c r="B542" s="148" t="str">
        <f>IFERROR(__xludf.DUMMYFUNCTION("""COMPUTED_VALUE"""),"KVK2-押镖单位-BOSS5")</f>
        <v>KVK2-押镖单位-BOSS5</v>
      </c>
      <c r="C542" s="148">
        <f>IFERROR(__xludf.DUMMYFUNCTION("""COMPUTED_VALUE"""),1.1221004E7)</f>
        <v>11221004</v>
      </c>
      <c r="D542" s="148">
        <f>IFERROR(__xludf.DUMMYFUNCTION("""COMPUTED_VALUE"""),1.5114812E7)</f>
        <v>15114812</v>
      </c>
      <c r="E542" s="148" t="str">
        <f>IFERROR(__xludf.DUMMYFUNCTION("""COMPUTED_VALUE"""),"{""typ"":""lc"",""txt"":""LC_NPC_kvk2_npc_boss_name""}")</f>
        <v>{"typ":"lc","txt":"LC_NPC_kvk2_npc_boss_name"}</v>
      </c>
      <c r="F542" s="148" t="str">
        <f>IFERROR(__xludf.DUMMYFUNCTION("""COMPUTED_VALUE"""),"{""typ"":""lc"",""txt"":""LC_NPC_kvk2_npc_boss_desc""}")</f>
        <v>{"typ":"lc","txt":"LC_NPC_kvk2_npc_boss_desc"}</v>
      </c>
      <c r="G542" s="148">
        <f>IFERROR(__xludf.DUMMYFUNCTION("""COMPUTED_VALUE"""),10.0)</f>
        <v>10</v>
      </c>
      <c r="H542" s="148">
        <f>IFERROR(__xludf.DUMMYFUNCTION("""COMPUTED_VALUE"""),10099.0)</f>
        <v>10099</v>
      </c>
      <c r="I542" s="148">
        <f>IFERROR(__xludf.DUMMYFUNCTION("""COMPUTED_VALUE"""),10099.0)</f>
        <v>10099</v>
      </c>
      <c r="J542" s="148">
        <f>IFERROR(__xludf.DUMMYFUNCTION("""COMPUTED_VALUE"""),0.0)</f>
        <v>0</v>
      </c>
      <c r="K542" s="148">
        <f>IFERROR(__xludf.DUMMYFUNCTION("""COMPUTED_VALUE"""),10.0)</f>
        <v>10</v>
      </c>
      <c r="L542" s="148">
        <f>IFERROR(__xludf.DUMMYFUNCTION("""COMPUTED_VALUE"""),99.0)</f>
        <v>99</v>
      </c>
      <c r="M542" s="148">
        <f>IFERROR(__xludf.DUMMYFUNCTION("""COMPUTED_VALUE"""),0.0)</f>
        <v>0</v>
      </c>
      <c r="N542" s="148" t="str">
        <f>IFERROR(__xludf.DUMMYFUNCTION("""COMPUTED_VALUE"""),"[]")</f>
        <v>[]</v>
      </c>
      <c r="O542" s="148" t="str">
        <f>IFERROR(__xludf.DUMMYFUNCTION("""COMPUTED_VALUE"""),"{}")</f>
        <v>{}</v>
      </c>
      <c r="P542" s="148">
        <f>IFERROR(__xludf.DUMMYFUNCTION("""COMPUTED_VALUE"""),0.0)</f>
        <v>0</v>
      </c>
      <c r="Q542" s="148" t="str">
        <f>IFERROR(__xludf.DUMMYFUNCTION("""COMPUTED_VALUE"""),"[]")</f>
        <v>[]</v>
      </c>
      <c r="R542" s="148" t="str">
        <f>IFERROR(__xludf.DUMMYFUNCTION("""COMPUTED_VALUE"""),"{}")</f>
        <v>{}</v>
      </c>
      <c r="S542" s="148">
        <f>IFERROR(__xludf.DUMMYFUNCTION("""COMPUTED_VALUE"""),0.0)</f>
        <v>0</v>
      </c>
      <c r="T542" s="148" t="str">
        <f>IFERROR(__xludf.DUMMYFUNCTION("""COMPUTED_VALUE"""),"[]")</f>
        <v>[]</v>
      </c>
      <c r="U542" s="148">
        <f>IFERROR(__xludf.DUMMYFUNCTION("""COMPUTED_VALUE"""),0.0)</f>
        <v>0</v>
      </c>
      <c r="V542" s="148" t="str">
        <f>IFERROR(__xludf.DUMMYFUNCTION("""COMPUTED_VALUE"""),"{}")</f>
        <v>{}</v>
      </c>
      <c r="W542" s="148" t="str">
        <f>IFERROR(__xludf.DUMMYFUNCTION("""COMPUTED_VALUE"""),"[]")</f>
        <v>[]</v>
      </c>
      <c r="X542" s="148" t="str">
        <f>IFERROR(__xludf.DUMMYFUNCTION("""COMPUTED_VALUE"""),"[{""typ"":""power"",""id"":12141002,""val"":10}]")</f>
        <v>[{"typ":"power","id":12141002,"val":10}]</v>
      </c>
      <c r="Y542" s="148" t="str">
        <f>IFERROR(__xludf.DUMMYFUNCTION("""COMPUTED_VALUE"""),"[{""typ"":""atk"",""val"":300},{""typ"":""def"",""val"":125},{""typ"":""hp"",""val"":135},{""typ"":""speed"",""val"":50},{""typ"":""load"",""val"":20},{""typ"":""backcoef"",""val"":0.5},{""typ"":""atkcoef"",""val"":1.0},{""typ"":""atkcd"",""val"":0}]")</f>
        <v>[{"typ":"atk","val":300},{"typ":"def","val":125},{"typ":"hp","val":135},{"typ":"speed","val":50},{"typ":"load","val":20},{"typ":"backcoef","val":0.5},{"typ":"atkcoef","val":1.0},{"typ":"atkcd","val":0}]</v>
      </c>
      <c r="Z542" s="148" t="str">
        <f>IFERROR(__xludf.DUMMYFUNCTION("""COMPUTED_VALUE"""),"[]")</f>
        <v>[]</v>
      </c>
    </row>
    <row r="543">
      <c r="A543" s="148">
        <f>IFERROR(__xludf.DUMMYFUNCTION("""COMPUTED_VALUE"""),1.1219901E7)</f>
        <v>11219901</v>
      </c>
      <c r="B543" s="148" t="str">
        <f>IFERROR(__xludf.DUMMYFUNCTION("""COMPUTED_VALUE"""),"组队boss-低攻高防血单位")</f>
        <v>组队boss-低攻高防血单位</v>
      </c>
      <c r="C543" s="148">
        <f>IFERROR(__xludf.DUMMYFUNCTION("""COMPUTED_VALUE"""),1.1221004E7)</f>
        <v>11221004</v>
      </c>
      <c r="D543" s="148">
        <f>IFERROR(__xludf.DUMMYFUNCTION("""COMPUTED_VALUE"""),1.5110234E7)</f>
        <v>15110234</v>
      </c>
      <c r="E543" s="148" t="str">
        <f>IFERROR(__xludf.DUMMYFUNCTION("""COMPUTED_VALUE"""),"{}")</f>
        <v>{}</v>
      </c>
      <c r="F543" s="148" t="str">
        <f>IFERROR(__xludf.DUMMYFUNCTION("""COMPUTED_VALUE"""),"{}")</f>
        <v>{}</v>
      </c>
      <c r="G543" s="148">
        <f>IFERROR(__xludf.DUMMYFUNCTION("""COMPUTED_VALUE"""),1.0)</f>
        <v>1</v>
      </c>
      <c r="H543" s="148">
        <f>IFERROR(__xludf.DUMMYFUNCTION("""COMPUTED_VALUE"""),10099.0)</f>
        <v>10099</v>
      </c>
      <c r="I543" s="148">
        <f>IFERROR(__xludf.DUMMYFUNCTION("""COMPUTED_VALUE"""),10099.0)</f>
        <v>10099</v>
      </c>
      <c r="J543" s="148">
        <f>IFERROR(__xludf.DUMMYFUNCTION("""COMPUTED_VALUE"""),0.0)</f>
        <v>0</v>
      </c>
      <c r="K543" s="148">
        <f>IFERROR(__xludf.DUMMYFUNCTION("""COMPUTED_VALUE"""),10.0)</f>
        <v>10</v>
      </c>
      <c r="L543" s="148">
        <f>IFERROR(__xludf.DUMMYFUNCTION("""COMPUTED_VALUE"""),99.0)</f>
        <v>99</v>
      </c>
      <c r="M543" s="148">
        <f>IFERROR(__xludf.DUMMYFUNCTION("""COMPUTED_VALUE"""),0.0)</f>
        <v>0</v>
      </c>
      <c r="N543" s="148" t="str">
        <f>IFERROR(__xludf.DUMMYFUNCTION("""COMPUTED_VALUE"""),"[]")</f>
        <v>[]</v>
      </c>
      <c r="O543" s="148" t="str">
        <f>IFERROR(__xludf.DUMMYFUNCTION("""COMPUTED_VALUE"""),"{}")</f>
        <v>{}</v>
      </c>
      <c r="P543" s="148">
        <f>IFERROR(__xludf.DUMMYFUNCTION("""COMPUTED_VALUE"""),0.0)</f>
        <v>0</v>
      </c>
      <c r="Q543" s="148" t="str">
        <f>IFERROR(__xludf.DUMMYFUNCTION("""COMPUTED_VALUE"""),"[]")</f>
        <v>[]</v>
      </c>
      <c r="R543" s="148" t="str">
        <f>IFERROR(__xludf.DUMMYFUNCTION("""COMPUTED_VALUE"""),"{}")</f>
        <v>{}</v>
      </c>
      <c r="S543" s="148">
        <f>IFERROR(__xludf.DUMMYFUNCTION("""COMPUTED_VALUE"""),0.0)</f>
        <v>0</v>
      </c>
      <c r="T543" s="148" t="str">
        <f>IFERROR(__xludf.DUMMYFUNCTION("""COMPUTED_VALUE"""),"[]")</f>
        <v>[]</v>
      </c>
      <c r="U543" s="148">
        <f>IFERROR(__xludf.DUMMYFUNCTION("""COMPUTED_VALUE"""),0.0)</f>
        <v>0</v>
      </c>
      <c r="V543" s="148" t="str">
        <f>IFERROR(__xludf.DUMMYFUNCTION("""COMPUTED_VALUE"""),"{}")</f>
        <v>{}</v>
      </c>
      <c r="W543" s="148" t="str">
        <f>IFERROR(__xludf.DUMMYFUNCTION("""COMPUTED_VALUE"""),"[]")</f>
        <v>[]</v>
      </c>
      <c r="X543" s="148" t="str">
        <f>IFERROR(__xludf.DUMMYFUNCTION("""COMPUTED_VALUE"""),"[{""typ"":""power"",""id"":12141002,""val"":1}]")</f>
        <v>[{"typ":"power","id":12141002,"val":1}]</v>
      </c>
      <c r="Y543" s="148" t="str">
        <f>IFERROR(__xludf.DUMMYFUNCTION("""COMPUTED_VALUE"""),"[{""typ"":""atk"",""val"":10},{""typ"":""def"",""val"":300},{""typ"":""hp"",""val"":300},{""typ"":""speed"",""val"":90},{""typ"":""load"",""val"":20},{""typ"":""backcoef"",""val"":0.5},{""typ"":""atkcoef"",""val"":1.0},{""typ"":""atkcd"",""val"":0}]")</f>
        <v>[{"typ":"atk","val":10},{"typ":"def","val":300},{"typ":"hp","val":300},{"typ":"speed","val":90},{"typ":"load","val":20},{"typ":"backcoef","val":0.5},{"typ":"atkcoef","val":1.0},{"typ":"atkcd","val":0}]</v>
      </c>
      <c r="Z543" s="148" t="str">
        <f>IFERROR(__xludf.DUMMYFUNCTION("""COMPUTED_VALUE"""),"[]")</f>
        <v>[]</v>
      </c>
    </row>
    <row r="544">
      <c r="A544" s="148">
        <f>IFERROR(__xludf.DUMMYFUNCTION("""COMPUTED_VALUE"""),1.1219902E7)</f>
        <v>11219902</v>
      </c>
      <c r="B544" s="148" t="str">
        <f>IFERROR(__xludf.DUMMYFUNCTION("""COMPUTED_VALUE"""),"组队boss-BOSS召唤攻击猴")</f>
        <v>组队boss-BOSS召唤攻击猴</v>
      </c>
      <c r="C544" s="148">
        <f>IFERROR(__xludf.DUMMYFUNCTION("""COMPUTED_VALUE"""),1.1221004E7)</f>
        <v>11221004</v>
      </c>
      <c r="D544" s="148">
        <f>IFERROR(__xludf.DUMMYFUNCTION("""COMPUTED_VALUE"""),1.5115814E7)</f>
        <v>15115814</v>
      </c>
      <c r="E544" s="148" t="str">
        <f>IFERROR(__xludf.DUMMYFUNCTION("""COMPUTED_VALUE"""),"{}")</f>
        <v>{}</v>
      </c>
      <c r="F544" s="148" t="str">
        <f>IFERROR(__xludf.DUMMYFUNCTION("""COMPUTED_VALUE"""),"{}")</f>
        <v>{}</v>
      </c>
      <c r="G544" s="148">
        <f>IFERROR(__xludf.DUMMYFUNCTION("""COMPUTED_VALUE"""),1.0)</f>
        <v>1</v>
      </c>
      <c r="H544" s="148">
        <f>IFERROR(__xludf.DUMMYFUNCTION("""COMPUTED_VALUE"""),10099.0)</f>
        <v>10099</v>
      </c>
      <c r="I544" s="148">
        <f>IFERROR(__xludf.DUMMYFUNCTION("""COMPUTED_VALUE"""),10099.0)</f>
        <v>10099</v>
      </c>
      <c r="J544" s="148">
        <f>IFERROR(__xludf.DUMMYFUNCTION("""COMPUTED_VALUE"""),0.0)</f>
        <v>0</v>
      </c>
      <c r="K544" s="148">
        <f>IFERROR(__xludf.DUMMYFUNCTION("""COMPUTED_VALUE"""),10.0)</f>
        <v>10</v>
      </c>
      <c r="L544" s="148">
        <f>IFERROR(__xludf.DUMMYFUNCTION("""COMPUTED_VALUE"""),99.0)</f>
        <v>99</v>
      </c>
      <c r="M544" s="148">
        <f>IFERROR(__xludf.DUMMYFUNCTION("""COMPUTED_VALUE"""),0.0)</f>
        <v>0</v>
      </c>
      <c r="N544" s="148" t="str">
        <f>IFERROR(__xludf.DUMMYFUNCTION("""COMPUTED_VALUE"""),"[]")</f>
        <v>[]</v>
      </c>
      <c r="O544" s="148" t="str">
        <f>IFERROR(__xludf.DUMMYFUNCTION("""COMPUTED_VALUE"""),"{}")</f>
        <v>{}</v>
      </c>
      <c r="P544" s="148">
        <f>IFERROR(__xludf.DUMMYFUNCTION("""COMPUTED_VALUE"""),0.0)</f>
        <v>0</v>
      </c>
      <c r="Q544" s="148" t="str">
        <f>IFERROR(__xludf.DUMMYFUNCTION("""COMPUTED_VALUE"""),"[]")</f>
        <v>[]</v>
      </c>
      <c r="R544" s="148" t="str">
        <f>IFERROR(__xludf.DUMMYFUNCTION("""COMPUTED_VALUE"""),"{}")</f>
        <v>{}</v>
      </c>
      <c r="S544" s="148">
        <f>IFERROR(__xludf.DUMMYFUNCTION("""COMPUTED_VALUE"""),0.0)</f>
        <v>0</v>
      </c>
      <c r="T544" s="148" t="str">
        <f>IFERROR(__xludf.DUMMYFUNCTION("""COMPUTED_VALUE"""),"[]")</f>
        <v>[]</v>
      </c>
      <c r="U544" s="148">
        <f>IFERROR(__xludf.DUMMYFUNCTION("""COMPUTED_VALUE"""),0.0)</f>
        <v>0</v>
      </c>
      <c r="V544" s="148" t="str">
        <f>IFERROR(__xludf.DUMMYFUNCTION("""COMPUTED_VALUE"""),"{}")</f>
        <v>{}</v>
      </c>
      <c r="W544" s="148" t="str">
        <f>IFERROR(__xludf.DUMMYFUNCTION("""COMPUTED_VALUE"""),"[]")</f>
        <v>[]</v>
      </c>
      <c r="X544" s="148" t="str">
        <f>IFERROR(__xludf.DUMMYFUNCTION("""COMPUTED_VALUE"""),"[{""typ"":""power"",""id"":12141002,""val"":1}]")</f>
        <v>[{"typ":"power","id":12141002,"val":1}]</v>
      </c>
      <c r="Y544" s="148" t="str">
        <f>IFERROR(__xludf.DUMMYFUNCTION("""COMPUTED_VALUE"""),"[{""typ"":""atk"",""val"":10},{""typ"":""def"",""val"":300},{""typ"":""hp"",""val"":300},{""typ"":""speed"",""val"":90},{""typ"":""load"",""val"":20},{""typ"":""backcoef"",""val"":0.5},{""typ"":""atkcoef"",""val"":1.0},{""typ"":""atkcd"",""val"":0}]")</f>
        <v>[{"typ":"atk","val":10},{"typ":"def","val":300},{"typ":"hp","val":300},{"typ":"speed","val":90},{"typ":"load","val":20},{"typ":"backcoef","val":0.5},{"typ":"atkcoef","val":1.0},{"typ":"atkcd","val":0}]</v>
      </c>
      <c r="Z544" s="148" t="str">
        <f>IFERROR(__xludf.DUMMYFUNCTION("""COMPUTED_VALUE"""),"[]")</f>
        <v>[]</v>
      </c>
    </row>
    <row r="545">
      <c r="A545" s="148">
        <f>IFERROR(__xludf.DUMMYFUNCTION("""COMPUTED_VALUE"""),1.1219903E7)</f>
        <v>11219903</v>
      </c>
      <c r="B545" s="148" t="str">
        <f>IFERROR(__xludf.DUMMYFUNCTION("""COMPUTED_VALUE"""),"组队boss-BOSS召唤防御猴")</f>
        <v>组队boss-BOSS召唤防御猴</v>
      </c>
      <c r="C545" s="148">
        <f>IFERROR(__xludf.DUMMYFUNCTION("""COMPUTED_VALUE"""),1.1221004E7)</f>
        <v>11221004</v>
      </c>
      <c r="D545" s="148">
        <f>IFERROR(__xludf.DUMMYFUNCTION("""COMPUTED_VALUE"""),1.5115814E7)</f>
        <v>15115814</v>
      </c>
      <c r="E545" s="148" t="str">
        <f>IFERROR(__xludf.DUMMYFUNCTION("""COMPUTED_VALUE"""),"{}")</f>
        <v>{}</v>
      </c>
      <c r="F545" s="148" t="str">
        <f>IFERROR(__xludf.DUMMYFUNCTION("""COMPUTED_VALUE"""),"{}")</f>
        <v>{}</v>
      </c>
      <c r="G545" s="148">
        <f>IFERROR(__xludf.DUMMYFUNCTION("""COMPUTED_VALUE"""),1.0)</f>
        <v>1</v>
      </c>
      <c r="H545" s="148">
        <f>IFERROR(__xludf.DUMMYFUNCTION("""COMPUTED_VALUE"""),10099.0)</f>
        <v>10099</v>
      </c>
      <c r="I545" s="148">
        <f>IFERROR(__xludf.DUMMYFUNCTION("""COMPUTED_VALUE"""),10099.0)</f>
        <v>10099</v>
      </c>
      <c r="J545" s="148">
        <f>IFERROR(__xludf.DUMMYFUNCTION("""COMPUTED_VALUE"""),0.0)</f>
        <v>0</v>
      </c>
      <c r="K545" s="148">
        <f>IFERROR(__xludf.DUMMYFUNCTION("""COMPUTED_VALUE"""),10.0)</f>
        <v>10</v>
      </c>
      <c r="L545" s="148">
        <f>IFERROR(__xludf.DUMMYFUNCTION("""COMPUTED_VALUE"""),99.0)</f>
        <v>99</v>
      </c>
      <c r="M545" s="148">
        <f>IFERROR(__xludf.DUMMYFUNCTION("""COMPUTED_VALUE"""),0.0)</f>
        <v>0</v>
      </c>
      <c r="N545" s="148" t="str">
        <f>IFERROR(__xludf.DUMMYFUNCTION("""COMPUTED_VALUE"""),"[]")</f>
        <v>[]</v>
      </c>
      <c r="O545" s="148" t="str">
        <f>IFERROR(__xludf.DUMMYFUNCTION("""COMPUTED_VALUE"""),"{}")</f>
        <v>{}</v>
      </c>
      <c r="P545" s="148">
        <f>IFERROR(__xludf.DUMMYFUNCTION("""COMPUTED_VALUE"""),0.0)</f>
        <v>0</v>
      </c>
      <c r="Q545" s="148" t="str">
        <f>IFERROR(__xludf.DUMMYFUNCTION("""COMPUTED_VALUE"""),"[]")</f>
        <v>[]</v>
      </c>
      <c r="R545" s="148" t="str">
        <f>IFERROR(__xludf.DUMMYFUNCTION("""COMPUTED_VALUE"""),"{}")</f>
        <v>{}</v>
      </c>
      <c r="S545" s="148">
        <f>IFERROR(__xludf.DUMMYFUNCTION("""COMPUTED_VALUE"""),0.0)</f>
        <v>0</v>
      </c>
      <c r="T545" s="148" t="str">
        <f>IFERROR(__xludf.DUMMYFUNCTION("""COMPUTED_VALUE"""),"[]")</f>
        <v>[]</v>
      </c>
      <c r="U545" s="148">
        <f>IFERROR(__xludf.DUMMYFUNCTION("""COMPUTED_VALUE"""),0.0)</f>
        <v>0</v>
      </c>
      <c r="V545" s="148" t="str">
        <f>IFERROR(__xludf.DUMMYFUNCTION("""COMPUTED_VALUE"""),"{}")</f>
        <v>{}</v>
      </c>
      <c r="W545" s="148" t="str">
        <f>IFERROR(__xludf.DUMMYFUNCTION("""COMPUTED_VALUE"""),"[]")</f>
        <v>[]</v>
      </c>
      <c r="X545" s="148" t="str">
        <f>IFERROR(__xludf.DUMMYFUNCTION("""COMPUTED_VALUE"""),"[{""typ"":""power"",""id"":12141002,""val"":1}]")</f>
        <v>[{"typ":"power","id":12141002,"val":1}]</v>
      </c>
      <c r="Y545" s="148" t="str">
        <f>IFERROR(__xludf.DUMMYFUNCTION("""COMPUTED_VALUE"""),"[{""typ"":""atk"",""val"":10},{""typ"":""def"",""val"":300},{""typ"":""hp"",""val"":300},{""typ"":""speed"",""val"":90},{""typ"":""load"",""val"":20},{""typ"":""backcoef"",""val"":0.5},{""typ"":""atkcoef"",""val"":1.0},{""typ"":""atkcd"",""val"":0}]")</f>
        <v>[{"typ":"atk","val":10},{"typ":"def","val":300},{"typ":"hp","val":300},{"typ":"speed","val":90},{"typ":"load","val":20},{"typ":"backcoef","val":0.5},{"typ":"atkcoef","val":1.0},{"typ":"atkcd","val":0}]</v>
      </c>
      <c r="Z545" s="148" t="str">
        <f>IFERROR(__xludf.DUMMYFUNCTION("""COMPUTED_VALUE"""),"[]")</f>
        <v>[]</v>
      </c>
    </row>
    <row r="546">
      <c r="A546" s="148">
        <f>IFERROR(__xludf.DUMMYFUNCTION("""COMPUTED_VALUE"""),1.1219904E7)</f>
        <v>11219904</v>
      </c>
      <c r="B546" s="148" t="str">
        <f>IFERROR(__xludf.DUMMYFUNCTION("""COMPUTED_VALUE"""),"组队boss-BOSS召唤恢复猴")</f>
        <v>组队boss-BOSS召唤恢复猴</v>
      </c>
      <c r="C546" s="148">
        <f>IFERROR(__xludf.DUMMYFUNCTION("""COMPUTED_VALUE"""),1.1221004E7)</f>
        <v>11221004</v>
      </c>
      <c r="D546" s="148">
        <f>IFERROR(__xludf.DUMMYFUNCTION("""COMPUTED_VALUE"""),1.5115814E7)</f>
        <v>15115814</v>
      </c>
      <c r="E546" s="148" t="str">
        <f>IFERROR(__xludf.DUMMYFUNCTION("""COMPUTED_VALUE"""),"{}")</f>
        <v>{}</v>
      </c>
      <c r="F546" s="148" t="str">
        <f>IFERROR(__xludf.DUMMYFUNCTION("""COMPUTED_VALUE"""),"{}")</f>
        <v>{}</v>
      </c>
      <c r="G546" s="148">
        <f>IFERROR(__xludf.DUMMYFUNCTION("""COMPUTED_VALUE"""),1.0)</f>
        <v>1</v>
      </c>
      <c r="H546" s="148">
        <f>IFERROR(__xludf.DUMMYFUNCTION("""COMPUTED_VALUE"""),10099.0)</f>
        <v>10099</v>
      </c>
      <c r="I546" s="148">
        <f>IFERROR(__xludf.DUMMYFUNCTION("""COMPUTED_VALUE"""),10099.0)</f>
        <v>10099</v>
      </c>
      <c r="J546" s="148">
        <f>IFERROR(__xludf.DUMMYFUNCTION("""COMPUTED_VALUE"""),0.0)</f>
        <v>0</v>
      </c>
      <c r="K546" s="148">
        <f>IFERROR(__xludf.DUMMYFUNCTION("""COMPUTED_VALUE"""),10.0)</f>
        <v>10</v>
      </c>
      <c r="L546" s="148">
        <f>IFERROR(__xludf.DUMMYFUNCTION("""COMPUTED_VALUE"""),99.0)</f>
        <v>99</v>
      </c>
      <c r="M546" s="148">
        <f>IFERROR(__xludf.DUMMYFUNCTION("""COMPUTED_VALUE"""),0.0)</f>
        <v>0</v>
      </c>
      <c r="N546" s="148" t="str">
        <f>IFERROR(__xludf.DUMMYFUNCTION("""COMPUTED_VALUE"""),"[]")</f>
        <v>[]</v>
      </c>
      <c r="O546" s="148" t="str">
        <f>IFERROR(__xludf.DUMMYFUNCTION("""COMPUTED_VALUE"""),"{}")</f>
        <v>{}</v>
      </c>
      <c r="P546" s="148">
        <f>IFERROR(__xludf.DUMMYFUNCTION("""COMPUTED_VALUE"""),0.0)</f>
        <v>0</v>
      </c>
      <c r="Q546" s="148" t="str">
        <f>IFERROR(__xludf.DUMMYFUNCTION("""COMPUTED_VALUE"""),"[]")</f>
        <v>[]</v>
      </c>
      <c r="R546" s="148" t="str">
        <f>IFERROR(__xludf.DUMMYFUNCTION("""COMPUTED_VALUE"""),"{}")</f>
        <v>{}</v>
      </c>
      <c r="S546" s="148">
        <f>IFERROR(__xludf.DUMMYFUNCTION("""COMPUTED_VALUE"""),0.0)</f>
        <v>0</v>
      </c>
      <c r="T546" s="148" t="str">
        <f>IFERROR(__xludf.DUMMYFUNCTION("""COMPUTED_VALUE"""),"[]")</f>
        <v>[]</v>
      </c>
      <c r="U546" s="148">
        <f>IFERROR(__xludf.DUMMYFUNCTION("""COMPUTED_VALUE"""),0.0)</f>
        <v>0</v>
      </c>
      <c r="V546" s="148" t="str">
        <f>IFERROR(__xludf.DUMMYFUNCTION("""COMPUTED_VALUE"""),"{}")</f>
        <v>{}</v>
      </c>
      <c r="W546" s="148" t="str">
        <f>IFERROR(__xludf.DUMMYFUNCTION("""COMPUTED_VALUE"""),"[]")</f>
        <v>[]</v>
      </c>
      <c r="X546" s="148" t="str">
        <f>IFERROR(__xludf.DUMMYFUNCTION("""COMPUTED_VALUE"""),"[{""typ"":""power"",""id"":12141002,""val"":1}]")</f>
        <v>[{"typ":"power","id":12141002,"val":1}]</v>
      </c>
      <c r="Y546" s="148" t="str">
        <f>IFERROR(__xludf.DUMMYFUNCTION("""COMPUTED_VALUE"""),"[{""typ"":""atk"",""val"":10},{""typ"":""def"",""val"":300},{""typ"":""hp"",""val"":300},{""typ"":""speed"",""val"":90},{""typ"":""load"",""val"":20},{""typ"":""backcoef"",""val"":0.5},{""typ"":""atkcoef"",""val"":1.0},{""typ"":""atkcd"",""val"":0}]")</f>
        <v>[{"typ":"atk","val":10},{"typ":"def","val":300},{"typ":"hp","val":300},{"typ":"speed","val":90},{"typ":"load","val":20},{"typ":"backcoef","val":0.5},{"typ":"atkcoef","val":1.0},{"typ":"atkcd","val":0}]</v>
      </c>
      <c r="Z546" s="148" t="str">
        <f>IFERROR(__xludf.DUMMYFUNCTION("""COMPUTED_VALUE"""),"[]")</f>
        <v>[]</v>
      </c>
    </row>
    <row r="547">
      <c r="A547" s="148">
        <f>IFERROR(__xludf.DUMMYFUNCTION("""COMPUTED_VALUE"""),1.1219905E7)</f>
        <v>11219905</v>
      </c>
      <c r="B547" s="148" t="str">
        <f>IFERROR(__xludf.DUMMYFUNCTION("""COMPUTED_VALUE"""),"组队boss-低攻高防血单位boss")</f>
        <v>组队boss-低攻高防血单位boss</v>
      </c>
      <c r="C547" s="148">
        <f>IFERROR(__xludf.DUMMYFUNCTION("""COMPUTED_VALUE"""),1.1221004E7)</f>
        <v>11221004</v>
      </c>
      <c r="D547" s="148">
        <f>IFERROR(__xludf.DUMMYFUNCTION("""COMPUTED_VALUE"""),1.5115813E7)</f>
        <v>15115813</v>
      </c>
      <c r="E547" s="148" t="str">
        <f>IFERROR(__xludf.DUMMYFUNCTION("""COMPUTED_VALUE"""),"{}")</f>
        <v>{}</v>
      </c>
      <c r="F547" s="148" t="str">
        <f>IFERROR(__xludf.DUMMYFUNCTION("""COMPUTED_VALUE"""),"{}")</f>
        <v>{}</v>
      </c>
      <c r="G547" s="148">
        <f>IFERROR(__xludf.DUMMYFUNCTION("""COMPUTED_VALUE"""),1.0)</f>
        <v>1</v>
      </c>
      <c r="H547" s="148">
        <f>IFERROR(__xludf.DUMMYFUNCTION("""COMPUTED_VALUE"""),10099.0)</f>
        <v>10099</v>
      </c>
      <c r="I547" s="148">
        <f>IFERROR(__xludf.DUMMYFUNCTION("""COMPUTED_VALUE"""),10099.0)</f>
        <v>10099</v>
      </c>
      <c r="J547" s="148">
        <f>IFERROR(__xludf.DUMMYFUNCTION("""COMPUTED_VALUE"""),0.0)</f>
        <v>0</v>
      </c>
      <c r="K547" s="148">
        <f>IFERROR(__xludf.DUMMYFUNCTION("""COMPUTED_VALUE"""),10.0)</f>
        <v>10</v>
      </c>
      <c r="L547" s="148">
        <f>IFERROR(__xludf.DUMMYFUNCTION("""COMPUTED_VALUE"""),99.0)</f>
        <v>99</v>
      </c>
      <c r="M547" s="148">
        <f>IFERROR(__xludf.DUMMYFUNCTION("""COMPUTED_VALUE"""),0.0)</f>
        <v>0</v>
      </c>
      <c r="N547" s="148" t="str">
        <f>IFERROR(__xludf.DUMMYFUNCTION("""COMPUTED_VALUE"""),"[]")</f>
        <v>[]</v>
      </c>
      <c r="O547" s="148" t="str">
        <f>IFERROR(__xludf.DUMMYFUNCTION("""COMPUTED_VALUE"""),"{}")</f>
        <v>{}</v>
      </c>
      <c r="P547" s="148">
        <f>IFERROR(__xludf.DUMMYFUNCTION("""COMPUTED_VALUE"""),0.0)</f>
        <v>0</v>
      </c>
      <c r="Q547" s="148" t="str">
        <f>IFERROR(__xludf.DUMMYFUNCTION("""COMPUTED_VALUE"""),"[]")</f>
        <v>[]</v>
      </c>
      <c r="R547" s="148" t="str">
        <f>IFERROR(__xludf.DUMMYFUNCTION("""COMPUTED_VALUE"""),"{}")</f>
        <v>{}</v>
      </c>
      <c r="S547" s="148">
        <f>IFERROR(__xludf.DUMMYFUNCTION("""COMPUTED_VALUE"""),0.0)</f>
        <v>0</v>
      </c>
      <c r="T547" s="148" t="str">
        <f>IFERROR(__xludf.DUMMYFUNCTION("""COMPUTED_VALUE"""),"[]")</f>
        <v>[]</v>
      </c>
      <c r="U547" s="148">
        <f>IFERROR(__xludf.DUMMYFUNCTION("""COMPUTED_VALUE"""),0.0)</f>
        <v>0</v>
      </c>
      <c r="V547" s="148" t="str">
        <f>IFERROR(__xludf.DUMMYFUNCTION("""COMPUTED_VALUE"""),"{}")</f>
        <v>{}</v>
      </c>
      <c r="W547" s="148" t="str">
        <f>IFERROR(__xludf.DUMMYFUNCTION("""COMPUTED_VALUE"""),"[]")</f>
        <v>[]</v>
      </c>
      <c r="X547" s="148" t="str">
        <f>IFERROR(__xludf.DUMMYFUNCTION("""COMPUTED_VALUE"""),"[{""typ"":""power"",""id"":12141002,""val"":1}]")</f>
        <v>[{"typ":"power","id":12141002,"val":1}]</v>
      </c>
      <c r="Y547" s="148" t="str">
        <f>IFERROR(__xludf.DUMMYFUNCTION("""COMPUTED_VALUE"""),"[{""typ"":""atk"",""val"":10},{""typ"":""def"",""val"":300},{""typ"":""hp"",""val"":300},{""typ"":""speed"",""val"":90},{""typ"":""load"",""val"":20},{""typ"":""backcoef"",""val"":0.5},{""typ"":""atkcoef"",""val"":1.0},{""typ"":""atkcd"",""val"":0}]")</f>
        <v>[{"typ":"atk","val":10},{"typ":"def","val":300},{"typ":"hp","val":300},{"typ":"speed","val":90},{"typ":"load","val":20},{"typ":"backcoef","val":0.5},{"typ":"atkcoef","val":1.0},{"typ":"atkcd","val":0}]</v>
      </c>
      <c r="Z547" s="148" t="str">
        <f>IFERROR(__xludf.DUMMYFUNCTION("""COMPUTED_VALUE"""),"[]")</f>
        <v>[]</v>
      </c>
    </row>
    <row r="548">
      <c r="A548" s="148">
        <f>IFERROR(__xludf.DUMMYFUNCTION("""COMPUTED_VALUE"""),1.1219906E7)</f>
        <v>11219906</v>
      </c>
      <c r="B548" s="148" t="str">
        <f>IFERROR(__xludf.DUMMYFUNCTION("""COMPUTED_VALUE"""),"组队boss-低攻高防血中立建筑小怪")</f>
        <v>组队boss-低攻高防血中立建筑小怪</v>
      </c>
      <c r="C548" s="148">
        <f>IFERROR(__xludf.DUMMYFUNCTION("""COMPUTED_VALUE"""),1.1221004E7)</f>
        <v>11221004</v>
      </c>
      <c r="D548" s="148">
        <f>IFERROR(__xludf.DUMMYFUNCTION("""COMPUTED_VALUE"""),1.5110234E7)</f>
        <v>15110234</v>
      </c>
      <c r="E548" s="148" t="str">
        <f>IFERROR(__xludf.DUMMYFUNCTION("""COMPUTED_VALUE"""),"{}")</f>
        <v>{}</v>
      </c>
      <c r="F548" s="148" t="str">
        <f>IFERROR(__xludf.DUMMYFUNCTION("""COMPUTED_VALUE"""),"{}")</f>
        <v>{}</v>
      </c>
      <c r="G548" s="148">
        <f>IFERROR(__xludf.DUMMYFUNCTION("""COMPUTED_VALUE"""),1.0)</f>
        <v>1</v>
      </c>
      <c r="H548" s="148">
        <f>IFERROR(__xludf.DUMMYFUNCTION("""COMPUTED_VALUE"""),10099.0)</f>
        <v>10099</v>
      </c>
      <c r="I548" s="148">
        <f>IFERROR(__xludf.DUMMYFUNCTION("""COMPUTED_VALUE"""),10099.0)</f>
        <v>10099</v>
      </c>
      <c r="J548" s="148">
        <f>IFERROR(__xludf.DUMMYFUNCTION("""COMPUTED_VALUE"""),0.0)</f>
        <v>0</v>
      </c>
      <c r="K548" s="148">
        <f>IFERROR(__xludf.DUMMYFUNCTION("""COMPUTED_VALUE"""),10.0)</f>
        <v>10</v>
      </c>
      <c r="L548" s="148">
        <f>IFERROR(__xludf.DUMMYFUNCTION("""COMPUTED_VALUE"""),99.0)</f>
        <v>99</v>
      </c>
      <c r="M548" s="148">
        <f>IFERROR(__xludf.DUMMYFUNCTION("""COMPUTED_VALUE"""),0.0)</f>
        <v>0</v>
      </c>
      <c r="N548" s="148" t="str">
        <f>IFERROR(__xludf.DUMMYFUNCTION("""COMPUTED_VALUE"""),"[]")</f>
        <v>[]</v>
      </c>
      <c r="O548" s="148" t="str">
        <f>IFERROR(__xludf.DUMMYFUNCTION("""COMPUTED_VALUE"""),"{}")</f>
        <v>{}</v>
      </c>
      <c r="P548" s="148">
        <f>IFERROR(__xludf.DUMMYFUNCTION("""COMPUTED_VALUE"""),0.0)</f>
        <v>0</v>
      </c>
      <c r="Q548" s="148" t="str">
        <f>IFERROR(__xludf.DUMMYFUNCTION("""COMPUTED_VALUE"""),"[]")</f>
        <v>[]</v>
      </c>
      <c r="R548" s="148" t="str">
        <f>IFERROR(__xludf.DUMMYFUNCTION("""COMPUTED_VALUE"""),"{}")</f>
        <v>{}</v>
      </c>
      <c r="S548" s="148">
        <f>IFERROR(__xludf.DUMMYFUNCTION("""COMPUTED_VALUE"""),0.0)</f>
        <v>0</v>
      </c>
      <c r="T548" s="148" t="str">
        <f>IFERROR(__xludf.DUMMYFUNCTION("""COMPUTED_VALUE"""),"[]")</f>
        <v>[]</v>
      </c>
      <c r="U548" s="148">
        <f>IFERROR(__xludf.DUMMYFUNCTION("""COMPUTED_VALUE"""),0.0)</f>
        <v>0</v>
      </c>
      <c r="V548" s="148" t="str">
        <f>IFERROR(__xludf.DUMMYFUNCTION("""COMPUTED_VALUE"""),"{}")</f>
        <v>{}</v>
      </c>
      <c r="W548" s="148" t="str">
        <f>IFERROR(__xludf.DUMMYFUNCTION("""COMPUTED_VALUE"""),"[]")</f>
        <v>[]</v>
      </c>
      <c r="X548" s="148" t="str">
        <f>IFERROR(__xludf.DUMMYFUNCTION("""COMPUTED_VALUE"""),"[{""typ"":""power"",""id"":12141002,""val"":1}]")</f>
        <v>[{"typ":"power","id":12141002,"val":1}]</v>
      </c>
      <c r="Y548" s="148" t="str">
        <f>IFERROR(__xludf.DUMMYFUNCTION("""COMPUTED_VALUE"""),"[{""typ"":""atk"",""val"":10},{""typ"":""def"",""val"":300},{""typ"":""hp"",""val"":300},{""typ"":""speed"",""val"":90},{""typ"":""load"",""val"":20},{""typ"":""backcoef"",""val"":0.5},{""typ"":""atkcoef"",""val"":1.0},{""typ"":""atkcd"",""val"":0}]")</f>
        <v>[{"typ":"atk","val":10},{"typ":"def","val":300},{"typ":"hp","val":300},{"typ":"speed","val":90},{"typ":"load","val":20},{"typ":"backcoef","val":0.5},{"typ":"atkcoef","val":1.0},{"typ":"atkcd","val":0}]</v>
      </c>
      <c r="Z548" s="148" t="str">
        <f>IFERROR(__xludf.DUMMYFUNCTION("""COMPUTED_VALUE"""),"[]")</f>
        <v>[]</v>
      </c>
    </row>
    <row r="549">
      <c r="A549" s="148">
        <f>IFERROR(__xludf.DUMMYFUNCTION("""COMPUTED_VALUE"""),1.1210002E7)</f>
        <v>11210002</v>
      </c>
      <c r="B549" s="148" t="str">
        <f>IFERROR(__xludf.DUMMYFUNCTION("""COMPUTED_VALUE"""),"gm指令专用一拳超人")</f>
        <v>gm指令专用一拳超人</v>
      </c>
      <c r="C549" s="148">
        <f>IFERROR(__xludf.DUMMYFUNCTION("""COMPUTED_VALUE"""),1.1221002E7)</f>
        <v>11221002</v>
      </c>
      <c r="D549" s="148">
        <f>IFERROR(__xludf.DUMMYFUNCTION("""COMPUTED_VALUE"""),1.5110061E7)</f>
        <v>15110061</v>
      </c>
      <c r="E549" s="148" t="str">
        <f>IFERROR(__xludf.DUMMYFUNCTION("""COMPUTED_VALUE"""),"{""typ"":""plain"",""txt"":""一拳超人""}")</f>
        <v>{"typ":"plain","txt":"一拳超人"}</v>
      </c>
      <c r="F549" s="148" t="str">
        <f>IFERROR(__xludf.DUMMYFUNCTION("""COMPUTED_VALUE"""),"{}")</f>
        <v>{}</v>
      </c>
      <c r="G549" s="148">
        <f>IFERROR(__xludf.DUMMYFUNCTION("""COMPUTED_VALUE"""),0.0)</f>
        <v>0</v>
      </c>
      <c r="H549" s="148">
        <f>IFERROR(__xludf.DUMMYFUNCTION("""COMPUTED_VALUE"""),21.0)</f>
        <v>21</v>
      </c>
      <c r="I549" s="148">
        <f>IFERROR(__xludf.DUMMYFUNCTION("""COMPUTED_VALUE"""),0.0)</f>
        <v>0</v>
      </c>
      <c r="J549" s="148">
        <f>IFERROR(__xludf.DUMMYFUNCTION("""COMPUTED_VALUE"""),0.0)</f>
        <v>0</v>
      </c>
      <c r="K549" s="148">
        <f>IFERROR(__xludf.DUMMYFUNCTION("""COMPUTED_VALUE"""),99.0)</f>
        <v>99</v>
      </c>
      <c r="L549" s="148">
        <f>IFERROR(__xludf.DUMMYFUNCTION("""COMPUTED_VALUE"""),99.0)</f>
        <v>99</v>
      </c>
      <c r="M549" s="148">
        <f>IFERROR(__xludf.DUMMYFUNCTION("""COMPUTED_VALUE"""),0.0)</f>
        <v>0</v>
      </c>
      <c r="N549" s="148" t="str">
        <f>IFERROR(__xludf.DUMMYFUNCTION("""COMPUTED_VALUE"""),"[]")</f>
        <v>[]</v>
      </c>
      <c r="O549" s="148" t="str">
        <f>IFERROR(__xludf.DUMMYFUNCTION("""COMPUTED_VALUE"""),"{""op"":""and"",""args"":[{""op"":""ge"",""typ"":""building"",""id"":111811,""val"":99}]}")</f>
        <v>{"op":"and","args":[{"op":"ge","typ":"building","id":111811,"val":99}]}</v>
      </c>
      <c r="P549" s="148">
        <f>IFERROR(__xludf.DUMMYFUNCTION("""COMPUTED_VALUE"""),0.0)</f>
        <v>0</v>
      </c>
      <c r="Q549" s="148" t="str">
        <f>IFERROR(__xludf.DUMMYFUNCTION("""COMPUTED_VALUE"""),"[]")</f>
        <v>[]</v>
      </c>
      <c r="R549" s="148" t="str">
        <f>IFERROR(__xludf.DUMMYFUNCTION("""COMPUTED_VALUE"""),"{}")</f>
        <v>{}</v>
      </c>
      <c r="S549" s="148">
        <f>IFERROR(__xludf.DUMMYFUNCTION("""COMPUTED_VALUE"""),0.0)</f>
        <v>0</v>
      </c>
      <c r="T549" s="148" t="str">
        <f>IFERROR(__xludf.DUMMYFUNCTION("""COMPUTED_VALUE"""),"[]")</f>
        <v>[]</v>
      </c>
      <c r="U549" s="148">
        <f>IFERROR(__xludf.DUMMYFUNCTION("""COMPUTED_VALUE"""),0.0)</f>
        <v>0</v>
      </c>
      <c r="V549" s="148" t="str">
        <f>IFERROR(__xludf.DUMMYFUNCTION("""COMPUTED_VALUE"""),"{}")</f>
        <v>{}</v>
      </c>
      <c r="W549" s="148" t="str">
        <f>IFERROR(__xludf.DUMMYFUNCTION("""COMPUTED_VALUE"""),"[]")</f>
        <v>[]</v>
      </c>
      <c r="X549" s="148" t="str">
        <f>IFERROR(__xludf.DUMMYFUNCTION("""COMPUTED_VALUE"""),"[{""typ"":""power"",""id"":12141002,""val"":20}]")</f>
        <v>[{"typ":"power","id":12141002,"val":20}]</v>
      </c>
      <c r="Y549" s="148" t="str">
        <f>IFERROR(__xludf.DUMMYFUNCTION("""COMPUTED_VALUE"""),"[{""typ"":""atk"",""val"":300000},{""typ"":""def"",""val"":20000},{""typ"":""hp"",""val"":20000},{""typ"":""speed"",""val"":200},{""typ"":""load"",""val"":30},{""typ"":""backcoef"",""val"":0.5},{""typ"":""atkcoef"",""val"":1.0},{""typ"":""atkcd"",""val"":"&amp;"0}]")</f>
        <v>[{"typ":"atk","val":300000},{"typ":"def","val":20000},{"typ":"hp","val":20000},{"typ":"speed","val":200},{"typ":"load","val":30},{"typ":"backcoef","val":0.5},{"typ":"atkcoef","val":1.0},{"typ":"atkcd","val":0}]</v>
      </c>
      <c r="Z549" s="148" t="str">
        <f>IFERROR(__xludf.DUMMYFUNCTION("""COMPUTED_VALUE"""),"[]")</f>
        <v>[]</v>
      </c>
    </row>
    <row r="550">
      <c r="A550" s="148">
        <f>IFERROR(__xludf.DUMMYFUNCTION("""COMPUTED_VALUE"""),1.12110001E8)</f>
        <v>112110001</v>
      </c>
      <c r="B550" s="148" t="str">
        <f>IFERROR(__xludf.DUMMYFUNCTION("""COMPUTED_VALUE"""),"KVK3-押镖单位-白怪1")</f>
        <v>KVK3-押镖单位-白怪1</v>
      </c>
      <c r="C550" s="148">
        <f>IFERROR(__xludf.DUMMYFUNCTION("""COMPUTED_VALUE"""),1.1221004E7)</f>
        <v>11221004</v>
      </c>
      <c r="D550" s="148">
        <f>IFERROR(__xludf.DUMMYFUNCTION("""COMPUTED_VALUE"""),1.5116422E7)</f>
        <v>15116422</v>
      </c>
      <c r="E550" s="148" t="str">
        <f>IFERROR(__xludf.DUMMYFUNCTION("""COMPUTED_VALUE"""),"{""typ"":""lc"",""txt"":""LC_NPC_kvk3_npc_reg_name""}")</f>
        <v>{"typ":"lc","txt":"LC_NPC_kvk3_npc_reg_name"}</v>
      </c>
      <c r="F550" s="148" t="str">
        <f>IFERROR(__xludf.DUMMYFUNCTION("""COMPUTED_VALUE"""),"{""typ"":""lc"",""txt"":""LC_NPC_kvk3_npc_reg_desc""}")</f>
        <v>{"typ":"lc","txt":"LC_NPC_kvk3_npc_reg_desc"}</v>
      </c>
      <c r="G550" s="148">
        <f>IFERROR(__xludf.DUMMYFUNCTION("""COMPUTED_VALUE"""),10.0)</f>
        <v>10</v>
      </c>
      <c r="H550" s="148">
        <f>IFERROR(__xludf.DUMMYFUNCTION("""COMPUTED_VALUE"""),10099.0)</f>
        <v>10099</v>
      </c>
      <c r="I550" s="148">
        <f>IFERROR(__xludf.DUMMYFUNCTION("""COMPUTED_VALUE"""),10099.0)</f>
        <v>10099</v>
      </c>
      <c r="J550" s="148">
        <f>IFERROR(__xludf.DUMMYFUNCTION("""COMPUTED_VALUE"""),0.0)</f>
        <v>0</v>
      </c>
      <c r="K550" s="148">
        <f>IFERROR(__xludf.DUMMYFUNCTION("""COMPUTED_VALUE"""),10.0)</f>
        <v>10</v>
      </c>
      <c r="L550" s="148">
        <f>IFERROR(__xludf.DUMMYFUNCTION("""COMPUTED_VALUE"""),99.0)</f>
        <v>99</v>
      </c>
      <c r="M550" s="148">
        <f>IFERROR(__xludf.DUMMYFUNCTION("""COMPUTED_VALUE"""),0.0)</f>
        <v>0</v>
      </c>
      <c r="N550" s="148" t="str">
        <f>IFERROR(__xludf.DUMMYFUNCTION("""COMPUTED_VALUE"""),"[]")</f>
        <v>[]</v>
      </c>
      <c r="O550" s="148" t="str">
        <f>IFERROR(__xludf.DUMMYFUNCTION("""COMPUTED_VALUE"""),"{}")</f>
        <v>{}</v>
      </c>
      <c r="P550" s="148">
        <f>IFERROR(__xludf.DUMMYFUNCTION("""COMPUTED_VALUE"""),0.0)</f>
        <v>0</v>
      </c>
      <c r="Q550" s="148" t="str">
        <f>IFERROR(__xludf.DUMMYFUNCTION("""COMPUTED_VALUE"""),"[]")</f>
        <v>[]</v>
      </c>
      <c r="R550" s="148" t="str">
        <f>IFERROR(__xludf.DUMMYFUNCTION("""COMPUTED_VALUE"""),"{}")</f>
        <v>{}</v>
      </c>
      <c r="S550" s="148">
        <f>IFERROR(__xludf.DUMMYFUNCTION("""COMPUTED_VALUE"""),0.0)</f>
        <v>0</v>
      </c>
      <c r="T550" s="148" t="str">
        <f>IFERROR(__xludf.DUMMYFUNCTION("""COMPUTED_VALUE"""),"[]")</f>
        <v>[]</v>
      </c>
      <c r="U550" s="148">
        <f>IFERROR(__xludf.DUMMYFUNCTION("""COMPUTED_VALUE"""),0.0)</f>
        <v>0</v>
      </c>
      <c r="V550" s="148" t="str">
        <f>IFERROR(__xludf.DUMMYFUNCTION("""COMPUTED_VALUE"""),"{}")</f>
        <v>{}</v>
      </c>
      <c r="W550" s="148" t="str">
        <f>IFERROR(__xludf.DUMMYFUNCTION("""COMPUTED_VALUE"""),"[]")</f>
        <v>[]</v>
      </c>
      <c r="X550" s="148" t="str">
        <f>IFERROR(__xludf.DUMMYFUNCTION("""COMPUTED_VALUE"""),"[{""typ"":""power"",""id"":12141002,""val"":1}]")</f>
        <v>[{"typ":"power","id":12141002,"val":1}]</v>
      </c>
      <c r="Y550" s="148" t="str">
        <f>IFERROR(__xludf.DUMMYFUNCTION("""COMPUTED_VALUE"""),"[{""typ"":""atk"",""val"":15},{""typ"":""def"",""val"":125},{""typ"":""hp"",""val"":135},{""typ"":""speed"",""val"":50},{""typ"":""load"",""val"":20},{""typ"":""backcoef"",""val"":0.5},{""typ"":""atkcoef"",""val"":1.0},{""typ"":""atkcd"",""val"":0}]")</f>
        <v>[{"typ":"atk","val":15},{"typ":"def","val":125},{"typ":"hp","val":135},{"typ":"speed","val":50},{"typ":"load","val":20},{"typ":"backcoef","val":0.5},{"typ":"atkcoef","val":1.0},{"typ":"atkcd","val":0}]</v>
      </c>
      <c r="Z550" s="148" t="str">
        <f>IFERROR(__xludf.DUMMYFUNCTION("""COMPUTED_VALUE"""),"[]")</f>
        <v>[]</v>
      </c>
    </row>
    <row r="551">
      <c r="A551" s="148">
        <f>IFERROR(__xludf.DUMMYFUNCTION("""COMPUTED_VALUE"""),1.12110002E8)</f>
        <v>112110002</v>
      </c>
      <c r="B551" s="148" t="str">
        <f>IFERROR(__xludf.DUMMYFUNCTION("""COMPUTED_VALUE"""),"KVK3-押镖单位-白怪2")</f>
        <v>KVK3-押镖单位-白怪2</v>
      </c>
      <c r="C551" s="148">
        <f>IFERROR(__xludf.DUMMYFUNCTION("""COMPUTED_VALUE"""),1.1221004E7)</f>
        <v>11221004</v>
      </c>
      <c r="D551" s="148">
        <f>IFERROR(__xludf.DUMMYFUNCTION("""COMPUTED_VALUE"""),1.5116422E7)</f>
        <v>15116422</v>
      </c>
      <c r="E551" s="148" t="str">
        <f>IFERROR(__xludf.DUMMYFUNCTION("""COMPUTED_VALUE"""),"{""typ"":""lc"",""txt"":""LC_NPC_kvk3_npc_reg_name""}")</f>
        <v>{"typ":"lc","txt":"LC_NPC_kvk3_npc_reg_name"}</v>
      </c>
      <c r="F551" s="148" t="str">
        <f>IFERROR(__xludf.DUMMYFUNCTION("""COMPUTED_VALUE"""),"{""typ"":""lc"",""txt"":""LC_NPC_kvk3_npc_reg_desc""}")</f>
        <v>{"typ":"lc","txt":"LC_NPC_kvk3_npc_reg_desc"}</v>
      </c>
      <c r="G551" s="148">
        <f>IFERROR(__xludf.DUMMYFUNCTION("""COMPUTED_VALUE"""),10.0)</f>
        <v>10</v>
      </c>
      <c r="H551" s="148">
        <f>IFERROR(__xludf.DUMMYFUNCTION("""COMPUTED_VALUE"""),10099.0)</f>
        <v>10099</v>
      </c>
      <c r="I551" s="148">
        <f>IFERROR(__xludf.DUMMYFUNCTION("""COMPUTED_VALUE"""),10099.0)</f>
        <v>10099</v>
      </c>
      <c r="J551" s="148">
        <f>IFERROR(__xludf.DUMMYFUNCTION("""COMPUTED_VALUE"""),0.0)</f>
        <v>0</v>
      </c>
      <c r="K551" s="148">
        <f>IFERROR(__xludf.DUMMYFUNCTION("""COMPUTED_VALUE"""),10.0)</f>
        <v>10</v>
      </c>
      <c r="L551" s="148">
        <f>IFERROR(__xludf.DUMMYFUNCTION("""COMPUTED_VALUE"""),99.0)</f>
        <v>99</v>
      </c>
      <c r="M551" s="148">
        <f>IFERROR(__xludf.DUMMYFUNCTION("""COMPUTED_VALUE"""),0.0)</f>
        <v>0</v>
      </c>
      <c r="N551" s="148" t="str">
        <f>IFERROR(__xludf.DUMMYFUNCTION("""COMPUTED_VALUE"""),"[]")</f>
        <v>[]</v>
      </c>
      <c r="O551" s="148" t="str">
        <f>IFERROR(__xludf.DUMMYFUNCTION("""COMPUTED_VALUE"""),"{}")</f>
        <v>{}</v>
      </c>
      <c r="P551" s="148">
        <f>IFERROR(__xludf.DUMMYFUNCTION("""COMPUTED_VALUE"""),0.0)</f>
        <v>0</v>
      </c>
      <c r="Q551" s="148" t="str">
        <f>IFERROR(__xludf.DUMMYFUNCTION("""COMPUTED_VALUE"""),"[]")</f>
        <v>[]</v>
      </c>
      <c r="R551" s="148" t="str">
        <f>IFERROR(__xludf.DUMMYFUNCTION("""COMPUTED_VALUE"""),"{}")</f>
        <v>{}</v>
      </c>
      <c r="S551" s="148">
        <f>IFERROR(__xludf.DUMMYFUNCTION("""COMPUTED_VALUE"""),0.0)</f>
        <v>0</v>
      </c>
      <c r="T551" s="148" t="str">
        <f>IFERROR(__xludf.DUMMYFUNCTION("""COMPUTED_VALUE"""),"[]")</f>
        <v>[]</v>
      </c>
      <c r="U551" s="148">
        <f>IFERROR(__xludf.DUMMYFUNCTION("""COMPUTED_VALUE"""),0.0)</f>
        <v>0</v>
      </c>
      <c r="V551" s="148" t="str">
        <f>IFERROR(__xludf.DUMMYFUNCTION("""COMPUTED_VALUE"""),"{}")</f>
        <v>{}</v>
      </c>
      <c r="W551" s="148" t="str">
        <f>IFERROR(__xludf.DUMMYFUNCTION("""COMPUTED_VALUE"""),"[]")</f>
        <v>[]</v>
      </c>
      <c r="X551" s="148" t="str">
        <f>IFERROR(__xludf.DUMMYFUNCTION("""COMPUTED_VALUE"""),"[{""typ"":""power"",""id"":12141002,""val"":1}]")</f>
        <v>[{"typ":"power","id":12141002,"val":1}]</v>
      </c>
      <c r="Y551" s="148" t="str">
        <f>IFERROR(__xludf.DUMMYFUNCTION("""COMPUTED_VALUE"""),"[{""typ"":""atk"",""val"":30},{""typ"":""def"",""val"":125},{""typ"":""hp"",""val"":135},{""typ"":""speed"",""val"":50},{""typ"":""load"",""val"":20},{""typ"":""backcoef"",""val"":0.5},{""typ"":""atkcoef"",""val"":1.0},{""typ"":""atkcd"",""val"":0}]")</f>
        <v>[{"typ":"atk","val":30},{"typ":"def","val":125},{"typ":"hp","val":135},{"typ":"speed","val":50},{"typ":"load","val":20},{"typ":"backcoef","val":0.5},{"typ":"atkcoef","val":1.0},{"typ":"atkcd","val":0}]</v>
      </c>
      <c r="Z551" s="148" t="str">
        <f>IFERROR(__xludf.DUMMYFUNCTION("""COMPUTED_VALUE"""),"[]")</f>
        <v>[]</v>
      </c>
    </row>
    <row r="552">
      <c r="A552" s="148">
        <f>IFERROR(__xludf.DUMMYFUNCTION("""COMPUTED_VALUE"""),1.12110003E8)</f>
        <v>112110003</v>
      </c>
      <c r="B552" s="148" t="str">
        <f>IFERROR(__xludf.DUMMYFUNCTION("""COMPUTED_VALUE"""),"KVK3-押镖单位-白怪3")</f>
        <v>KVK3-押镖单位-白怪3</v>
      </c>
      <c r="C552" s="148">
        <f>IFERROR(__xludf.DUMMYFUNCTION("""COMPUTED_VALUE"""),1.1221004E7)</f>
        <v>11221004</v>
      </c>
      <c r="D552" s="148">
        <f>IFERROR(__xludf.DUMMYFUNCTION("""COMPUTED_VALUE"""),1.5116422E7)</f>
        <v>15116422</v>
      </c>
      <c r="E552" s="148" t="str">
        <f>IFERROR(__xludf.DUMMYFUNCTION("""COMPUTED_VALUE"""),"{""typ"":""lc"",""txt"":""LC_NPC_kvk3_npc_reg_name""}")</f>
        <v>{"typ":"lc","txt":"LC_NPC_kvk3_npc_reg_name"}</v>
      </c>
      <c r="F552" s="148" t="str">
        <f>IFERROR(__xludf.DUMMYFUNCTION("""COMPUTED_VALUE"""),"{""typ"":""lc"",""txt"":""LC_NPC_kvk3_npc_reg_desc""}")</f>
        <v>{"typ":"lc","txt":"LC_NPC_kvk3_npc_reg_desc"}</v>
      </c>
      <c r="G552" s="148">
        <f>IFERROR(__xludf.DUMMYFUNCTION("""COMPUTED_VALUE"""),10.0)</f>
        <v>10</v>
      </c>
      <c r="H552" s="148">
        <f>IFERROR(__xludf.DUMMYFUNCTION("""COMPUTED_VALUE"""),10099.0)</f>
        <v>10099</v>
      </c>
      <c r="I552" s="148">
        <f>IFERROR(__xludf.DUMMYFUNCTION("""COMPUTED_VALUE"""),10099.0)</f>
        <v>10099</v>
      </c>
      <c r="J552" s="148">
        <f>IFERROR(__xludf.DUMMYFUNCTION("""COMPUTED_VALUE"""),0.0)</f>
        <v>0</v>
      </c>
      <c r="K552" s="148">
        <f>IFERROR(__xludf.DUMMYFUNCTION("""COMPUTED_VALUE"""),10.0)</f>
        <v>10</v>
      </c>
      <c r="L552" s="148">
        <f>IFERROR(__xludf.DUMMYFUNCTION("""COMPUTED_VALUE"""),99.0)</f>
        <v>99</v>
      </c>
      <c r="M552" s="148">
        <f>IFERROR(__xludf.DUMMYFUNCTION("""COMPUTED_VALUE"""),0.0)</f>
        <v>0</v>
      </c>
      <c r="N552" s="148" t="str">
        <f>IFERROR(__xludf.DUMMYFUNCTION("""COMPUTED_VALUE"""),"[]")</f>
        <v>[]</v>
      </c>
      <c r="O552" s="148" t="str">
        <f>IFERROR(__xludf.DUMMYFUNCTION("""COMPUTED_VALUE"""),"{}")</f>
        <v>{}</v>
      </c>
      <c r="P552" s="148">
        <f>IFERROR(__xludf.DUMMYFUNCTION("""COMPUTED_VALUE"""),0.0)</f>
        <v>0</v>
      </c>
      <c r="Q552" s="148" t="str">
        <f>IFERROR(__xludf.DUMMYFUNCTION("""COMPUTED_VALUE"""),"[]")</f>
        <v>[]</v>
      </c>
      <c r="R552" s="148" t="str">
        <f>IFERROR(__xludf.DUMMYFUNCTION("""COMPUTED_VALUE"""),"{}")</f>
        <v>{}</v>
      </c>
      <c r="S552" s="148">
        <f>IFERROR(__xludf.DUMMYFUNCTION("""COMPUTED_VALUE"""),0.0)</f>
        <v>0</v>
      </c>
      <c r="T552" s="148" t="str">
        <f>IFERROR(__xludf.DUMMYFUNCTION("""COMPUTED_VALUE"""),"[]")</f>
        <v>[]</v>
      </c>
      <c r="U552" s="148">
        <f>IFERROR(__xludf.DUMMYFUNCTION("""COMPUTED_VALUE"""),0.0)</f>
        <v>0</v>
      </c>
      <c r="V552" s="148" t="str">
        <f>IFERROR(__xludf.DUMMYFUNCTION("""COMPUTED_VALUE"""),"{}")</f>
        <v>{}</v>
      </c>
      <c r="W552" s="148" t="str">
        <f>IFERROR(__xludf.DUMMYFUNCTION("""COMPUTED_VALUE"""),"[]")</f>
        <v>[]</v>
      </c>
      <c r="X552" s="148" t="str">
        <f>IFERROR(__xludf.DUMMYFUNCTION("""COMPUTED_VALUE"""),"[{""typ"":""power"",""id"":12141002,""val"":1}]")</f>
        <v>[{"typ":"power","id":12141002,"val":1}]</v>
      </c>
      <c r="Y552" s="148" t="str">
        <f>IFERROR(__xludf.DUMMYFUNCTION("""COMPUTED_VALUE"""),"[{""typ"":""atk"",""val"":60},{""typ"":""def"",""val"":125},{""typ"":""hp"",""val"":135},{""typ"":""speed"",""val"":50},{""typ"":""load"",""val"":20},{""typ"":""backcoef"",""val"":0.5},{""typ"":""atkcoef"",""val"":1.0},{""typ"":""atkcd"",""val"":0}]")</f>
        <v>[{"typ":"atk","val":60},{"typ":"def","val":125},{"typ":"hp","val":135},{"typ":"speed","val":50},{"typ":"load","val":20},{"typ":"backcoef","val":0.5},{"typ":"atkcoef","val":1.0},{"typ":"atkcd","val":0}]</v>
      </c>
      <c r="Z552" s="148" t="str">
        <f>IFERROR(__xludf.DUMMYFUNCTION("""COMPUTED_VALUE"""),"[]")</f>
        <v>[]</v>
      </c>
    </row>
    <row r="553">
      <c r="A553" s="148">
        <f>IFERROR(__xludf.DUMMYFUNCTION("""COMPUTED_VALUE"""),1.12110004E8)</f>
        <v>112110004</v>
      </c>
      <c r="B553" s="148" t="str">
        <f>IFERROR(__xludf.DUMMYFUNCTION("""COMPUTED_VALUE"""),"KVK3-押镖单位-白怪4")</f>
        <v>KVK3-押镖单位-白怪4</v>
      </c>
      <c r="C553" s="148">
        <f>IFERROR(__xludf.DUMMYFUNCTION("""COMPUTED_VALUE"""),1.1221004E7)</f>
        <v>11221004</v>
      </c>
      <c r="D553" s="148">
        <f>IFERROR(__xludf.DUMMYFUNCTION("""COMPUTED_VALUE"""),1.5116422E7)</f>
        <v>15116422</v>
      </c>
      <c r="E553" s="148" t="str">
        <f>IFERROR(__xludf.DUMMYFUNCTION("""COMPUTED_VALUE"""),"{""typ"":""lc"",""txt"":""LC_NPC_kvk3_npc_reg_name""}")</f>
        <v>{"typ":"lc","txt":"LC_NPC_kvk3_npc_reg_name"}</v>
      </c>
      <c r="F553" s="148" t="str">
        <f>IFERROR(__xludf.DUMMYFUNCTION("""COMPUTED_VALUE"""),"{""typ"":""lc"",""txt"":""LC_NPC_kvk3_npc_reg_desc""}")</f>
        <v>{"typ":"lc","txt":"LC_NPC_kvk3_npc_reg_desc"}</v>
      </c>
      <c r="G553" s="148">
        <f>IFERROR(__xludf.DUMMYFUNCTION("""COMPUTED_VALUE"""),10.0)</f>
        <v>10</v>
      </c>
      <c r="H553" s="148">
        <f>IFERROR(__xludf.DUMMYFUNCTION("""COMPUTED_VALUE"""),10099.0)</f>
        <v>10099</v>
      </c>
      <c r="I553" s="148">
        <f>IFERROR(__xludf.DUMMYFUNCTION("""COMPUTED_VALUE"""),10099.0)</f>
        <v>10099</v>
      </c>
      <c r="J553" s="148">
        <f>IFERROR(__xludf.DUMMYFUNCTION("""COMPUTED_VALUE"""),0.0)</f>
        <v>0</v>
      </c>
      <c r="K553" s="148">
        <f>IFERROR(__xludf.DUMMYFUNCTION("""COMPUTED_VALUE"""),10.0)</f>
        <v>10</v>
      </c>
      <c r="L553" s="148">
        <f>IFERROR(__xludf.DUMMYFUNCTION("""COMPUTED_VALUE"""),99.0)</f>
        <v>99</v>
      </c>
      <c r="M553" s="148">
        <f>IFERROR(__xludf.DUMMYFUNCTION("""COMPUTED_VALUE"""),0.0)</f>
        <v>0</v>
      </c>
      <c r="N553" s="148" t="str">
        <f>IFERROR(__xludf.DUMMYFUNCTION("""COMPUTED_VALUE"""),"[]")</f>
        <v>[]</v>
      </c>
      <c r="O553" s="148" t="str">
        <f>IFERROR(__xludf.DUMMYFUNCTION("""COMPUTED_VALUE"""),"{}")</f>
        <v>{}</v>
      </c>
      <c r="P553" s="148">
        <f>IFERROR(__xludf.DUMMYFUNCTION("""COMPUTED_VALUE"""),0.0)</f>
        <v>0</v>
      </c>
      <c r="Q553" s="148" t="str">
        <f>IFERROR(__xludf.DUMMYFUNCTION("""COMPUTED_VALUE"""),"[]")</f>
        <v>[]</v>
      </c>
      <c r="R553" s="148" t="str">
        <f>IFERROR(__xludf.DUMMYFUNCTION("""COMPUTED_VALUE"""),"{}")</f>
        <v>{}</v>
      </c>
      <c r="S553" s="148">
        <f>IFERROR(__xludf.DUMMYFUNCTION("""COMPUTED_VALUE"""),0.0)</f>
        <v>0</v>
      </c>
      <c r="T553" s="148" t="str">
        <f>IFERROR(__xludf.DUMMYFUNCTION("""COMPUTED_VALUE"""),"[]")</f>
        <v>[]</v>
      </c>
      <c r="U553" s="148">
        <f>IFERROR(__xludf.DUMMYFUNCTION("""COMPUTED_VALUE"""),0.0)</f>
        <v>0</v>
      </c>
      <c r="V553" s="148" t="str">
        <f>IFERROR(__xludf.DUMMYFUNCTION("""COMPUTED_VALUE"""),"{}")</f>
        <v>{}</v>
      </c>
      <c r="W553" s="148" t="str">
        <f>IFERROR(__xludf.DUMMYFUNCTION("""COMPUTED_VALUE"""),"[]")</f>
        <v>[]</v>
      </c>
      <c r="X553" s="148" t="str">
        <f>IFERROR(__xludf.DUMMYFUNCTION("""COMPUTED_VALUE"""),"[{""typ"":""power"",""id"":12141002,""val"":1}]")</f>
        <v>[{"typ":"power","id":12141002,"val":1}]</v>
      </c>
      <c r="Y553" s="148" t="str">
        <f>IFERROR(__xludf.DUMMYFUNCTION("""COMPUTED_VALUE"""),"[{""typ"":""atk"",""val"":150},{""typ"":""def"",""val"":125},{""typ"":""hp"",""val"":135},{""typ"":""speed"",""val"":50},{""typ"":""load"",""val"":20},{""typ"":""backcoef"",""val"":0.5},{""typ"":""atkcoef"",""val"":1.0},{""typ"":""atkcd"",""val"":0}]")</f>
        <v>[{"typ":"atk","val":150},{"typ":"def","val":125},{"typ":"hp","val":135},{"typ":"speed","val":50},{"typ":"load","val":20},{"typ":"backcoef","val":0.5},{"typ":"atkcoef","val":1.0},{"typ":"atkcd","val":0}]</v>
      </c>
      <c r="Z553" s="148" t="str">
        <f>IFERROR(__xludf.DUMMYFUNCTION("""COMPUTED_VALUE"""),"[]")</f>
        <v>[]</v>
      </c>
    </row>
    <row r="554">
      <c r="A554" s="148">
        <f>IFERROR(__xludf.DUMMYFUNCTION("""COMPUTED_VALUE"""),1.12110005E8)</f>
        <v>112110005</v>
      </c>
      <c r="B554" s="148" t="str">
        <f>IFERROR(__xludf.DUMMYFUNCTION("""COMPUTED_VALUE"""),"KVK3-押镖单位-白怪5")</f>
        <v>KVK3-押镖单位-白怪5</v>
      </c>
      <c r="C554" s="148">
        <f>IFERROR(__xludf.DUMMYFUNCTION("""COMPUTED_VALUE"""),1.1221004E7)</f>
        <v>11221004</v>
      </c>
      <c r="D554" s="148">
        <f>IFERROR(__xludf.DUMMYFUNCTION("""COMPUTED_VALUE"""),1.5116422E7)</f>
        <v>15116422</v>
      </c>
      <c r="E554" s="148" t="str">
        <f>IFERROR(__xludf.DUMMYFUNCTION("""COMPUTED_VALUE"""),"{""typ"":""lc"",""txt"":""LC_NPC_kvk3_npc_reg_name""}")</f>
        <v>{"typ":"lc","txt":"LC_NPC_kvk3_npc_reg_name"}</v>
      </c>
      <c r="F554" s="148" t="str">
        <f>IFERROR(__xludf.DUMMYFUNCTION("""COMPUTED_VALUE"""),"{""typ"":""lc"",""txt"":""LC_NPC_kvk3_npc_reg_desc""}")</f>
        <v>{"typ":"lc","txt":"LC_NPC_kvk3_npc_reg_desc"}</v>
      </c>
      <c r="G554" s="148">
        <f>IFERROR(__xludf.DUMMYFUNCTION("""COMPUTED_VALUE"""),10.0)</f>
        <v>10</v>
      </c>
      <c r="H554" s="148">
        <f>IFERROR(__xludf.DUMMYFUNCTION("""COMPUTED_VALUE"""),10099.0)</f>
        <v>10099</v>
      </c>
      <c r="I554" s="148">
        <f>IFERROR(__xludf.DUMMYFUNCTION("""COMPUTED_VALUE"""),10099.0)</f>
        <v>10099</v>
      </c>
      <c r="J554" s="148">
        <f>IFERROR(__xludf.DUMMYFUNCTION("""COMPUTED_VALUE"""),0.0)</f>
        <v>0</v>
      </c>
      <c r="K554" s="148">
        <f>IFERROR(__xludf.DUMMYFUNCTION("""COMPUTED_VALUE"""),10.0)</f>
        <v>10</v>
      </c>
      <c r="L554" s="148">
        <f>IFERROR(__xludf.DUMMYFUNCTION("""COMPUTED_VALUE"""),99.0)</f>
        <v>99</v>
      </c>
      <c r="M554" s="148">
        <f>IFERROR(__xludf.DUMMYFUNCTION("""COMPUTED_VALUE"""),0.0)</f>
        <v>0</v>
      </c>
      <c r="N554" s="148" t="str">
        <f>IFERROR(__xludf.DUMMYFUNCTION("""COMPUTED_VALUE"""),"[]")</f>
        <v>[]</v>
      </c>
      <c r="O554" s="148" t="str">
        <f>IFERROR(__xludf.DUMMYFUNCTION("""COMPUTED_VALUE"""),"{}")</f>
        <v>{}</v>
      </c>
      <c r="P554" s="148">
        <f>IFERROR(__xludf.DUMMYFUNCTION("""COMPUTED_VALUE"""),0.0)</f>
        <v>0</v>
      </c>
      <c r="Q554" s="148" t="str">
        <f>IFERROR(__xludf.DUMMYFUNCTION("""COMPUTED_VALUE"""),"[]")</f>
        <v>[]</v>
      </c>
      <c r="R554" s="148" t="str">
        <f>IFERROR(__xludf.DUMMYFUNCTION("""COMPUTED_VALUE"""),"{}")</f>
        <v>{}</v>
      </c>
      <c r="S554" s="148">
        <f>IFERROR(__xludf.DUMMYFUNCTION("""COMPUTED_VALUE"""),0.0)</f>
        <v>0</v>
      </c>
      <c r="T554" s="148" t="str">
        <f>IFERROR(__xludf.DUMMYFUNCTION("""COMPUTED_VALUE"""),"[]")</f>
        <v>[]</v>
      </c>
      <c r="U554" s="148">
        <f>IFERROR(__xludf.DUMMYFUNCTION("""COMPUTED_VALUE"""),0.0)</f>
        <v>0</v>
      </c>
      <c r="V554" s="148" t="str">
        <f>IFERROR(__xludf.DUMMYFUNCTION("""COMPUTED_VALUE"""),"{}")</f>
        <v>{}</v>
      </c>
      <c r="W554" s="148" t="str">
        <f>IFERROR(__xludf.DUMMYFUNCTION("""COMPUTED_VALUE"""),"[]")</f>
        <v>[]</v>
      </c>
      <c r="X554" s="148" t="str">
        <f>IFERROR(__xludf.DUMMYFUNCTION("""COMPUTED_VALUE"""),"[{""typ"":""power"",""id"":12141002,""val"":1}]")</f>
        <v>[{"typ":"power","id":12141002,"val":1}]</v>
      </c>
      <c r="Y554" s="148" t="str">
        <f>IFERROR(__xludf.DUMMYFUNCTION("""COMPUTED_VALUE"""),"[{""typ"":""atk"",""val"":200},{""typ"":""def"",""val"":125},{""typ"":""hp"",""val"":135},{""typ"":""speed"",""val"":50},{""typ"":""load"",""val"":20},{""typ"":""backcoef"",""val"":0.5},{""typ"":""atkcoef"",""val"":1.0},{""typ"":""atkcd"",""val"":0}]")</f>
        <v>[{"typ":"atk","val":200},{"typ":"def","val":125},{"typ":"hp","val":135},{"typ":"speed","val":50},{"typ":"load","val":20},{"typ":"backcoef","val":0.5},{"typ":"atkcoef","val":1.0},{"typ":"atkcd","val":0}]</v>
      </c>
      <c r="Z554" s="148" t="str">
        <f>IFERROR(__xludf.DUMMYFUNCTION("""COMPUTED_VALUE"""),"[]")</f>
        <v>[]</v>
      </c>
    </row>
    <row r="555">
      <c r="A555" s="148">
        <f>IFERROR(__xludf.DUMMYFUNCTION("""COMPUTED_VALUE"""),1.12110006E8)</f>
        <v>112110006</v>
      </c>
      <c r="B555" s="148" t="str">
        <f>IFERROR(__xludf.DUMMYFUNCTION("""COMPUTED_VALUE"""),"KVK3-押镖单位-绿怪1")</f>
        <v>KVK3-押镖单位-绿怪1</v>
      </c>
      <c r="C555" s="148">
        <f>IFERROR(__xludf.DUMMYFUNCTION("""COMPUTED_VALUE"""),1.1221004E7)</f>
        <v>11221004</v>
      </c>
      <c r="D555" s="148">
        <f>IFERROR(__xludf.DUMMYFUNCTION("""COMPUTED_VALUE"""),1.5116423E7)</f>
        <v>15116423</v>
      </c>
      <c r="E555" s="148" t="str">
        <f>IFERROR(__xludf.DUMMYFUNCTION("""COMPUTED_VALUE"""),"{""typ"":""lc"",""txt"":""LC_NPC_kvk3_npc_reg_name""}")</f>
        <v>{"typ":"lc","txt":"LC_NPC_kvk3_npc_reg_name"}</v>
      </c>
      <c r="F555" s="148" t="str">
        <f>IFERROR(__xludf.DUMMYFUNCTION("""COMPUTED_VALUE"""),"{""typ"":""lc"",""txt"":""LC_NPC_kvk3_npc_reg_desc""}")</f>
        <v>{"typ":"lc","txt":"LC_NPC_kvk3_npc_reg_desc"}</v>
      </c>
      <c r="G555" s="148">
        <f>IFERROR(__xludf.DUMMYFUNCTION("""COMPUTED_VALUE"""),10.0)</f>
        <v>10</v>
      </c>
      <c r="H555" s="148">
        <f>IFERROR(__xludf.DUMMYFUNCTION("""COMPUTED_VALUE"""),10099.0)</f>
        <v>10099</v>
      </c>
      <c r="I555" s="148">
        <f>IFERROR(__xludf.DUMMYFUNCTION("""COMPUTED_VALUE"""),10099.0)</f>
        <v>10099</v>
      </c>
      <c r="J555" s="148">
        <f>IFERROR(__xludf.DUMMYFUNCTION("""COMPUTED_VALUE"""),0.0)</f>
        <v>0</v>
      </c>
      <c r="K555" s="148">
        <f>IFERROR(__xludf.DUMMYFUNCTION("""COMPUTED_VALUE"""),10.0)</f>
        <v>10</v>
      </c>
      <c r="L555" s="148">
        <f>IFERROR(__xludf.DUMMYFUNCTION("""COMPUTED_VALUE"""),99.0)</f>
        <v>99</v>
      </c>
      <c r="M555" s="148">
        <f>IFERROR(__xludf.DUMMYFUNCTION("""COMPUTED_VALUE"""),0.0)</f>
        <v>0</v>
      </c>
      <c r="N555" s="148" t="str">
        <f>IFERROR(__xludf.DUMMYFUNCTION("""COMPUTED_VALUE"""),"[]")</f>
        <v>[]</v>
      </c>
      <c r="O555" s="148" t="str">
        <f>IFERROR(__xludf.DUMMYFUNCTION("""COMPUTED_VALUE"""),"{}")</f>
        <v>{}</v>
      </c>
      <c r="P555" s="148">
        <f>IFERROR(__xludf.DUMMYFUNCTION("""COMPUTED_VALUE"""),0.0)</f>
        <v>0</v>
      </c>
      <c r="Q555" s="148" t="str">
        <f>IFERROR(__xludf.DUMMYFUNCTION("""COMPUTED_VALUE"""),"[]")</f>
        <v>[]</v>
      </c>
      <c r="R555" s="148" t="str">
        <f>IFERROR(__xludf.DUMMYFUNCTION("""COMPUTED_VALUE"""),"{}")</f>
        <v>{}</v>
      </c>
      <c r="S555" s="148">
        <f>IFERROR(__xludf.DUMMYFUNCTION("""COMPUTED_VALUE"""),0.0)</f>
        <v>0</v>
      </c>
      <c r="T555" s="148" t="str">
        <f>IFERROR(__xludf.DUMMYFUNCTION("""COMPUTED_VALUE"""),"[]")</f>
        <v>[]</v>
      </c>
      <c r="U555" s="148">
        <f>IFERROR(__xludf.DUMMYFUNCTION("""COMPUTED_VALUE"""),0.0)</f>
        <v>0</v>
      </c>
      <c r="V555" s="148" t="str">
        <f>IFERROR(__xludf.DUMMYFUNCTION("""COMPUTED_VALUE"""),"{}")</f>
        <v>{}</v>
      </c>
      <c r="W555" s="148" t="str">
        <f>IFERROR(__xludf.DUMMYFUNCTION("""COMPUTED_VALUE"""),"[]")</f>
        <v>[]</v>
      </c>
      <c r="X555" s="148" t="str">
        <f>IFERROR(__xludf.DUMMYFUNCTION("""COMPUTED_VALUE"""),"[{""typ"":""power"",""id"":12141002,""val"":2}]")</f>
        <v>[{"typ":"power","id":12141002,"val":2}]</v>
      </c>
      <c r="Y555" s="148" t="str">
        <f>IFERROR(__xludf.DUMMYFUNCTION("""COMPUTED_VALUE"""),"[{""typ"":""atk"",""val"":15},{""typ"":""def"",""val"":125},{""typ"":""hp"",""val"":135},{""typ"":""speed"",""val"":50},{""typ"":""load"",""val"":20},{""typ"":""backcoef"",""val"":0.5},{""typ"":""atkcoef"",""val"":1.0},{""typ"":""atkcd"",""val"":0}]")</f>
        <v>[{"typ":"atk","val":15},{"typ":"def","val":125},{"typ":"hp","val":135},{"typ":"speed","val":50},{"typ":"load","val":20},{"typ":"backcoef","val":0.5},{"typ":"atkcoef","val":1.0},{"typ":"atkcd","val":0}]</v>
      </c>
      <c r="Z555" s="148" t="str">
        <f>IFERROR(__xludf.DUMMYFUNCTION("""COMPUTED_VALUE"""),"[]")</f>
        <v>[]</v>
      </c>
    </row>
    <row r="556">
      <c r="A556" s="148">
        <f>IFERROR(__xludf.DUMMYFUNCTION("""COMPUTED_VALUE"""),1.12110007E8)</f>
        <v>112110007</v>
      </c>
      <c r="B556" s="148" t="str">
        <f>IFERROR(__xludf.DUMMYFUNCTION("""COMPUTED_VALUE"""),"KVK3-押镖单位-绿怪2")</f>
        <v>KVK3-押镖单位-绿怪2</v>
      </c>
      <c r="C556" s="148">
        <f>IFERROR(__xludf.DUMMYFUNCTION("""COMPUTED_VALUE"""),1.1221004E7)</f>
        <v>11221004</v>
      </c>
      <c r="D556" s="148">
        <f>IFERROR(__xludf.DUMMYFUNCTION("""COMPUTED_VALUE"""),1.5116423E7)</f>
        <v>15116423</v>
      </c>
      <c r="E556" s="148" t="str">
        <f>IFERROR(__xludf.DUMMYFUNCTION("""COMPUTED_VALUE"""),"{""typ"":""lc"",""txt"":""LC_NPC_kvk3_npc_reg_name""}")</f>
        <v>{"typ":"lc","txt":"LC_NPC_kvk3_npc_reg_name"}</v>
      </c>
      <c r="F556" s="148" t="str">
        <f>IFERROR(__xludf.DUMMYFUNCTION("""COMPUTED_VALUE"""),"{""typ"":""lc"",""txt"":""LC_NPC_kvk3_npc_reg_desc""}")</f>
        <v>{"typ":"lc","txt":"LC_NPC_kvk3_npc_reg_desc"}</v>
      </c>
      <c r="G556" s="148">
        <f>IFERROR(__xludf.DUMMYFUNCTION("""COMPUTED_VALUE"""),10.0)</f>
        <v>10</v>
      </c>
      <c r="H556" s="148">
        <f>IFERROR(__xludf.DUMMYFUNCTION("""COMPUTED_VALUE"""),10099.0)</f>
        <v>10099</v>
      </c>
      <c r="I556" s="148">
        <f>IFERROR(__xludf.DUMMYFUNCTION("""COMPUTED_VALUE"""),10099.0)</f>
        <v>10099</v>
      </c>
      <c r="J556" s="148">
        <f>IFERROR(__xludf.DUMMYFUNCTION("""COMPUTED_VALUE"""),0.0)</f>
        <v>0</v>
      </c>
      <c r="K556" s="148">
        <f>IFERROR(__xludf.DUMMYFUNCTION("""COMPUTED_VALUE"""),10.0)</f>
        <v>10</v>
      </c>
      <c r="L556" s="148">
        <f>IFERROR(__xludf.DUMMYFUNCTION("""COMPUTED_VALUE"""),99.0)</f>
        <v>99</v>
      </c>
      <c r="M556" s="148">
        <f>IFERROR(__xludf.DUMMYFUNCTION("""COMPUTED_VALUE"""),0.0)</f>
        <v>0</v>
      </c>
      <c r="N556" s="148" t="str">
        <f>IFERROR(__xludf.DUMMYFUNCTION("""COMPUTED_VALUE"""),"[]")</f>
        <v>[]</v>
      </c>
      <c r="O556" s="148" t="str">
        <f>IFERROR(__xludf.DUMMYFUNCTION("""COMPUTED_VALUE"""),"{}")</f>
        <v>{}</v>
      </c>
      <c r="P556" s="148">
        <f>IFERROR(__xludf.DUMMYFUNCTION("""COMPUTED_VALUE"""),0.0)</f>
        <v>0</v>
      </c>
      <c r="Q556" s="148" t="str">
        <f>IFERROR(__xludf.DUMMYFUNCTION("""COMPUTED_VALUE"""),"[]")</f>
        <v>[]</v>
      </c>
      <c r="R556" s="148" t="str">
        <f>IFERROR(__xludf.DUMMYFUNCTION("""COMPUTED_VALUE"""),"{}")</f>
        <v>{}</v>
      </c>
      <c r="S556" s="148">
        <f>IFERROR(__xludf.DUMMYFUNCTION("""COMPUTED_VALUE"""),0.0)</f>
        <v>0</v>
      </c>
      <c r="T556" s="148" t="str">
        <f>IFERROR(__xludf.DUMMYFUNCTION("""COMPUTED_VALUE"""),"[]")</f>
        <v>[]</v>
      </c>
      <c r="U556" s="148">
        <f>IFERROR(__xludf.DUMMYFUNCTION("""COMPUTED_VALUE"""),0.0)</f>
        <v>0</v>
      </c>
      <c r="V556" s="148" t="str">
        <f>IFERROR(__xludf.DUMMYFUNCTION("""COMPUTED_VALUE"""),"{}")</f>
        <v>{}</v>
      </c>
      <c r="W556" s="148" t="str">
        <f>IFERROR(__xludf.DUMMYFUNCTION("""COMPUTED_VALUE"""),"[]")</f>
        <v>[]</v>
      </c>
      <c r="X556" s="148" t="str">
        <f>IFERROR(__xludf.DUMMYFUNCTION("""COMPUTED_VALUE"""),"[{""typ"":""power"",""id"":12141002,""val"":2}]")</f>
        <v>[{"typ":"power","id":12141002,"val":2}]</v>
      </c>
      <c r="Y556" s="148" t="str">
        <f>IFERROR(__xludf.DUMMYFUNCTION("""COMPUTED_VALUE"""),"[{""typ"":""atk"",""val"":30},{""typ"":""def"",""val"":125},{""typ"":""hp"",""val"":135},{""typ"":""speed"",""val"":50},{""typ"":""load"",""val"":20},{""typ"":""backcoef"",""val"":0.5},{""typ"":""atkcoef"",""val"":1.0},{""typ"":""atkcd"",""val"":0}]")</f>
        <v>[{"typ":"atk","val":30},{"typ":"def","val":125},{"typ":"hp","val":135},{"typ":"speed","val":50},{"typ":"load","val":20},{"typ":"backcoef","val":0.5},{"typ":"atkcoef","val":1.0},{"typ":"atkcd","val":0}]</v>
      </c>
      <c r="Z556" s="148" t="str">
        <f>IFERROR(__xludf.DUMMYFUNCTION("""COMPUTED_VALUE"""),"[]")</f>
        <v>[]</v>
      </c>
    </row>
    <row r="557">
      <c r="A557" s="148">
        <f>IFERROR(__xludf.DUMMYFUNCTION("""COMPUTED_VALUE"""),1.12110008E8)</f>
        <v>112110008</v>
      </c>
      <c r="B557" s="148" t="str">
        <f>IFERROR(__xludf.DUMMYFUNCTION("""COMPUTED_VALUE"""),"KVK3-押镖单位-绿怪3")</f>
        <v>KVK3-押镖单位-绿怪3</v>
      </c>
      <c r="C557" s="148">
        <f>IFERROR(__xludf.DUMMYFUNCTION("""COMPUTED_VALUE"""),1.1221004E7)</f>
        <v>11221004</v>
      </c>
      <c r="D557" s="148">
        <f>IFERROR(__xludf.DUMMYFUNCTION("""COMPUTED_VALUE"""),1.5116423E7)</f>
        <v>15116423</v>
      </c>
      <c r="E557" s="148" t="str">
        <f>IFERROR(__xludf.DUMMYFUNCTION("""COMPUTED_VALUE"""),"{""typ"":""lc"",""txt"":""LC_NPC_kvk3_npc_reg_name""}")</f>
        <v>{"typ":"lc","txt":"LC_NPC_kvk3_npc_reg_name"}</v>
      </c>
      <c r="F557" s="148" t="str">
        <f>IFERROR(__xludf.DUMMYFUNCTION("""COMPUTED_VALUE"""),"{""typ"":""lc"",""txt"":""LC_NPC_kvk3_npc_reg_desc""}")</f>
        <v>{"typ":"lc","txt":"LC_NPC_kvk3_npc_reg_desc"}</v>
      </c>
      <c r="G557" s="148">
        <f>IFERROR(__xludf.DUMMYFUNCTION("""COMPUTED_VALUE"""),10.0)</f>
        <v>10</v>
      </c>
      <c r="H557" s="148">
        <f>IFERROR(__xludf.DUMMYFUNCTION("""COMPUTED_VALUE"""),10099.0)</f>
        <v>10099</v>
      </c>
      <c r="I557" s="148">
        <f>IFERROR(__xludf.DUMMYFUNCTION("""COMPUTED_VALUE"""),10099.0)</f>
        <v>10099</v>
      </c>
      <c r="J557" s="148">
        <f>IFERROR(__xludf.DUMMYFUNCTION("""COMPUTED_VALUE"""),0.0)</f>
        <v>0</v>
      </c>
      <c r="K557" s="148">
        <f>IFERROR(__xludf.DUMMYFUNCTION("""COMPUTED_VALUE"""),10.0)</f>
        <v>10</v>
      </c>
      <c r="L557" s="148">
        <f>IFERROR(__xludf.DUMMYFUNCTION("""COMPUTED_VALUE"""),99.0)</f>
        <v>99</v>
      </c>
      <c r="M557" s="148">
        <f>IFERROR(__xludf.DUMMYFUNCTION("""COMPUTED_VALUE"""),0.0)</f>
        <v>0</v>
      </c>
      <c r="N557" s="148" t="str">
        <f>IFERROR(__xludf.DUMMYFUNCTION("""COMPUTED_VALUE"""),"[]")</f>
        <v>[]</v>
      </c>
      <c r="O557" s="148" t="str">
        <f>IFERROR(__xludf.DUMMYFUNCTION("""COMPUTED_VALUE"""),"{}")</f>
        <v>{}</v>
      </c>
      <c r="P557" s="148">
        <f>IFERROR(__xludf.DUMMYFUNCTION("""COMPUTED_VALUE"""),0.0)</f>
        <v>0</v>
      </c>
      <c r="Q557" s="148" t="str">
        <f>IFERROR(__xludf.DUMMYFUNCTION("""COMPUTED_VALUE"""),"[]")</f>
        <v>[]</v>
      </c>
      <c r="R557" s="148" t="str">
        <f>IFERROR(__xludf.DUMMYFUNCTION("""COMPUTED_VALUE"""),"{}")</f>
        <v>{}</v>
      </c>
      <c r="S557" s="148">
        <f>IFERROR(__xludf.DUMMYFUNCTION("""COMPUTED_VALUE"""),0.0)</f>
        <v>0</v>
      </c>
      <c r="T557" s="148" t="str">
        <f>IFERROR(__xludf.DUMMYFUNCTION("""COMPUTED_VALUE"""),"[]")</f>
        <v>[]</v>
      </c>
      <c r="U557" s="148">
        <f>IFERROR(__xludf.DUMMYFUNCTION("""COMPUTED_VALUE"""),0.0)</f>
        <v>0</v>
      </c>
      <c r="V557" s="148" t="str">
        <f>IFERROR(__xludf.DUMMYFUNCTION("""COMPUTED_VALUE"""),"{}")</f>
        <v>{}</v>
      </c>
      <c r="W557" s="148" t="str">
        <f>IFERROR(__xludf.DUMMYFUNCTION("""COMPUTED_VALUE"""),"[]")</f>
        <v>[]</v>
      </c>
      <c r="X557" s="148" t="str">
        <f>IFERROR(__xludf.DUMMYFUNCTION("""COMPUTED_VALUE"""),"[{""typ"":""power"",""id"":12141002,""val"":2}]")</f>
        <v>[{"typ":"power","id":12141002,"val":2}]</v>
      </c>
      <c r="Y557" s="148" t="str">
        <f>IFERROR(__xludf.DUMMYFUNCTION("""COMPUTED_VALUE"""),"[{""typ"":""atk"",""val"":60},{""typ"":""def"",""val"":125},{""typ"":""hp"",""val"":135},{""typ"":""speed"",""val"":50},{""typ"":""load"",""val"":20},{""typ"":""backcoef"",""val"":0.5},{""typ"":""atkcoef"",""val"":1.0},{""typ"":""atkcd"",""val"":0}]")</f>
        <v>[{"typ":"atk","val":60},{"typ":"def","val":125},{"typ":"hp","val":135},{"typ":"speed","val":50},{"typ":"load","val":20},{"typ":"backcoef","val":0.5},{"typ":"atkcoef","val":1.0},{"typ":"atkcd","val":0}]</v>
      </c>
      <c r="Z557" s="148" t="str">
        <f>IFERROR(__xludf.DUMMYFUNCTION("""COMPUTED_VALUE"""),"[]")</f>
        <v>[]</v>
      </c>
    </row>
    <row r="558">
      <c r="A558" s="148">
        <f>IFERROR(__xludf.DUMMYFUNCTION("""COMPUTED_VALUE"""),1.12110009E8)</f>
        <v>112110009</v>
      </c>
      <c r="B558" s="148" t="str">
        <f>IFERROR(__xludf.DUMMYFUNCTION("""COMPUTED_VALUE"""),"KVK3-押镖单位-绿怪4")</f>
        <v>KVK3-押镖单位-绿怪4</v>
      </c>
      <c r="C558" s="148">
        <f>IFERROR(__xludf.DUMMYFUNCTION("""COMPUTED_VALUE"""),1.1221004E7)</f>
        <v>11221004</v>
      </c>
      <c r="D558" s="148">
        <f>IFERROR(__xludf.DUMMYFUNCTION("""COMPUTED_VALUE"""),1.5116423E7)</f>
        <v>15116423</v>
      </c>
      <c r="E558" s="148" t="str">
        <f>IFERROR(__xludf.DUMMYFUNCTION("""COMPUTED_VALUE"""),"{""typ"":""lc"",""txt"":""LC_NPC_kvk3_npc_reg_name""}")</f>
        <v>{"typ":"lc","txt":"LC_NPC_kvk3_npc_reg_name"}</v>
      </c>
      <c r="F558" s="148" t="str">
        <f>IFERROR(__xludf.DUMMYFUNCTION("""COMPUTED_VALUE"""),"{""typ"":""lc"",""txt"":""LC_NPC_kvk3_npc_reg_desc""}")</f>
        <v>{"typ":"lc","txt":"LC_NPC_kvk3_npc_reg_desc"}</v>
      </c>
      <c r="G558" s="148">
        <f>IFERROR(__xludf.DUMMYFUNCTION("""COMPUTED_VALUE"""),10.0)</f>
        <v>10</v>
      </c>
      <c r="H558" s="148">
        <f>IFERROR(__xludf.DUMMYFUNCTION("""COMPUTED_VALUE"""),10099.0)</f>
        <v>10099</v>
      </c>
      <c r="I558" s="148">
        <f>IFERROR(__xludf.DUMMYFUNCTION("""COMPUTED_VALUE"""),10099.0)</f>
        <v>10099</v>
      </c>
      <c r="J558" s="148">
        <f>IFERROR(__xludf.DUMMYFUNCTION("""COMPUTED_VALUE"""),0.0)</f>
        <v>0</v>
      </c>
      <c r="K558" s="148">
        <f>IFERROR(__xludf.DUMMYFUNCTION("""COMPUTED_VALUE"""),10.0)</f>
        <v>10</v>
      </c>
      <c r="L558" s="148">
        <f>IFERROR(__xludf.DUMMYFUNCTION("""COMPUTED_VALUE"""),99.0)</f>
        <v>99</v>
      </c>
      <c r="M558" s="148">
        <f>IFERROR(__xludf.DUMMYFUNCTION("""COMPUTED_VALUE"""),0.0)</f>
        <v>0</v>
      </c>
      <c r="N558" s="148" t="str">
        <f>IFERROR(__xludf.DUMMYFUNCTION("""COMPUTED_VALUE"""),"[]")</f>
        <v>[]</v>
      </c>
      <c r="O558" s="148" t="str">
        <f>IFERROR(__xludf.DUMMYFUNCTION("""COMPUTED_VALUE"""),"{}")</f>
        <v>{}</v>
      </c>
      <c r="P558" s="148">
        <f>IFERROR(__xludf.DUMMYFUNCTION("""COMPUTED_VALUE"""),0.0)</f>
        <v>0</v>
      </c>
      <c r="Q558" s="148" t="str">
        <f>IFERROR(__xludf.DUMMYFUNCTION("""COMPUTED_VALUE"""),"[]")</f>
        <v>[]</v>
      </c>
      <c r="R558" s="148" t="str">
        <f>IFERROR(__xludf.DUMMYFUNCTION("""COMPUTED_VALUE"""),"{}")</f>
        <v>{}</v>
      </c>
      <c r="S558" s="148">
        <f>IFERROR(__xludf.DUMMYFUNCTION("""COMPUTED_VALUE"""),0.0)</f>
        <v>0</v>
      </c>
      <c r="T558" s="148" t="str">
        <f>IFERROR(__xludf.DUMMYFUNCTION("""COMPUTED_VALUE"""),"[]")</f>
        <v>[]</v>
      </c>
      <c r="U558" s="148">
        <f>IFERROR(__xludf.DUMMYFUNCTION("""COMPUTED_VALUE"""),0.0)</f>
        <v>0</v>
      </c>
      <c r="V558" s="148" t="str">
        <f>IFERROR(__xludf.DUMMYFUNCTION("""COMPUTED_VALUE"""),"{}")</f>
        <v>{}</v>
      </c>
      <c r="W558" s="148" t="str">
        <f>IFERROR(__xludf.DUMMYFUNCTION("""COMPUTED_VALUE"""),"[]")</f>
        <v>[]</v>
      </c>
      <c r="X558" s="148" t="str">
        <f>IFERROR(__xludf.DUMMYFUNCTION("""COMPUTED_VALUE"""),"[{""typ"":""power"",""id"":12141002,""val"":2}]")</f>
        <v>[{"typ":"power","id":12141002,"val":2}]</v>
      </c>
      <c r="Y558" s="148" t="str">
        <f>IFERROR(__xludf.DUMMYFUNCTION("""COMPUTED_VALUE"""),"[{""typ"":""atk"",""val"":150},{""typ"":""def"",""val"":125},{""typ"":""hp"",""val"":135},{""typ"":""speed"",""val"":50},{""typ"":""load"",""val"":20},{""typ"":""backcoef"",""val"":0.5},{""typ"":""atkcoef"",""val"":1.0},{""typ"":""atkcd"",""val"":0}]")</f>
        <v>[{"typ":"atk","val":150},{"typ":"def","val":125},{"typ":"hp","val":135},{"typ":"speed","val":50},{"typ":"load","val":20},{"typ":"backcoef","val":0.5},{"typ":"atkcoef","val":1.0},{"typ":"atkcd","val":0}]</v>
      </c>
      <c r="Z558" s="148" t="str">
        <f>IFERROR(__xludf.DUMMYFUNCTION("""COMPUTED_VALUE"""),"[]")</f>
        <v>[]</v>
      </c>
    </row>
    <row r="559">
      <c r="A559" s="148">
        <f>IFERROR(__xludf.DUMMYFUNCTION("""COMPUTED_VALUE"""),1.1211001E8)</f>
        <v>112110010</v>
      </c>
      <c r="B559" s="148" t="str">
        <f>IFERROR(__xludf.DUMMYFUNCTION("""COMPUTED_VALUE"""),"KVK3-押镖单位-绿怪5")</f>
        <v>KVK3-押镖单位-绿怪5</v>
      </c>
      <c r="C559" s="148">
        <f>IFERROR(__xludf.DUMMYFUNCTION("""COMPUTED_VALUE"""),1.1221004E7)</f>
        <v>11221004</v>
      </c>
      <c r="D559" s="148">
        <f>IFERROR(__xludf.DUMMYFUNCTION("""COMPUTED_VALUE"""),1.5116423E7)</f>
        <v>15116423</v>
      </c>
      <c r="E559" s="148" t="str">
        <f>IFERROR(__xludf.DUMMYFUNCTION("""COMPUTED_VALUE"""),"{""typ"":""lc"",""txt"":""LC_NPC_kvk3_npc_reg_name""}")</f>
        <v>{"typ":"lc","txt":"LC_NPC_kvk3_npc_reg_name"}</v>
      </c>
      <c r="F559" s="148" t="str">
        <f>IFERROR(__xludf.DUMMYFUNCTION("""COMPUTED_VALUE"""),"{""typ"":""lc"",""txt"":""LC_NPC_kvk3_npc_reg_desc""}")</f>
        <v>{"typ":"lc","txt":"LC_NPC_kvk3_npc_reg_desc"}</v>
      </c>
      <c r="G559" s="148">
        <f>IFERROR(__xludf.DUMMYFUNCTION("""COMPUTED_VALUE"""),10.0)</f>
        <v>10</v>
      </c>
      <c r="H559" s="148">
        <f>IFERROR(__xludf.DUMMYFUNCTION("""COMPUTED_VALUE"""),10099.0)</f>
        <v>10099</v>
      </c>
      <c r="I559" s="148">
        <f>IFERROR(__xludf.DUMMYFUNCTION("""COMPUTED_VALUE"""),10099.0)</f>
        <v>10099</v>
      </c>
      <c r="J559" s="148">
        <f>IFERROR(__xludf.DUMMYFUNCTION("""COMPUTED_VALUE"""),0.0)</f>
        <v>0</v>
      </c>
      <c r="K559" s="148">
        <f>IFERROR(__xludf.DUMMYFUNCTION("""COMPUTED_VALUE"""),10.0)</f>
        <v>10</v>
      </c>
      <c r="L559" s="148">
        <f>IFERROR(__xludf.DUMMYFUNCTION("""COMPUTED_VALUE"""),99.0)</f>
        <v>99</v>
      </c>
      <c r="M559" s="148">
        <f>IFERROR(__xludf.DUMMYFUNCTION("""COMPUTED_VALUE"""),0.0)</f>
        <v>0</v>
      </c>
      <c r="N559" s="148" t="str">
        <f>IFERROR(__xludf.DUMMYFUNCTION("""COMPUTED_VALUE"""),"[]")</f>
        <v>[]</v>
      </c>
      <c r="O559" s="148" t="str">
        <f>IFERROR(__xludf.DUMMYFUNCTION("""COMPUTED_VALUE"""),"{}")</f>
        <v>{}</v>
      </c>
      <c r="P559" s="148">
        <f>IFERROR(__xludf.DUMMYFUNCTION("""COMPUTED_VALUE"""),0.0)</f>
        <v>0</v>
      </c>
      <c r="Q559" s="148" t="str">
        <f>IFERROR(__xludf.DUMMYFUNCTION("""COMPUTED_VALUE"""),"[]")</f>
        <v>[]</v>
      </c>
      <c r="R559" s="148" t="str">
        <f>IFERROR(__xludf.DUMMYFUNCTION("""COMPUTED_VALUE"""),"{}")</f>
        <v>{}</v>
      </c>
      <c r="S559" s="148">
        <f>IFERROR(__xludf.DUMMYFUNCTION("""COMPUTED_VALUE"""),0.0)</f>
        <v>0</v>
      </c>
      <c r="T559" s="148" t="str">
        <f>IFERROR(__xludf.DUMMYFUNCTION("""COMPUTED_VALUE"""),"[]")</f>
        <v>[]</v>
      </c>
      <c r="U559" s="148">
        <f>IFERROR(__xludf.DUMMYFUNCTION("""COMPUTED_VALUE"""),0.0)</f>
        <v>0</v>
      </c>
      <c r="V559" s="148" t="str">
        <f>IFERROR(__xludf.DUMMYFUNCTION("""COMPUTED_VALUE"""),"{}")</f>
        <v>{}</v>
      </c>
      <c r="W559" s="148" t="str">
        <f>IFERROR(__xludf.DUMMYFUNCTION("""COMPUTED_VALUE"""),"[]")</f>
        <v>[]</v>
      </c>
      <c r="X559" s="148" t="str">
        <f>IFERROR(__xludf.DUMMYFUNCTION("""COMPUTED_VALUE"""),"[{""typ"":""power"",""id"":12141002,""val"":2}]")</f>
        <v>[{"typ":"power","id":12141002,"val":2}]</v>
      </c>
      <c r="Y559" s="148" t="str">
        <f>IFERROR(__xludf.DUMMYFUNCTION("""COMPUTED_VALUE"""),"[{""typ"":""atk"",""val"":200},{""typ"":""def"",""val"":125},{""typ"":""hp"",""val"":135},{""typ"":""speed"",""val"":50},{""typ"":""load"",""val"":20},{""typ"":""backcoef"",""val"":0.5},{""typ"":""atkcoef"",""val"":1.0},{""typ"":""atkcd"",""val"":0}]")</f>
        <v>[{"typ":"atk","val":200},{"typ":"def","val":125},{"typ":"hp","val":135},{"typ":"speed","val":50},{"typ":"load","val":20},{"typ":"backcoef","val":0.5},{"typ":"atkcoef","val":1.0},{"typ":"atkcd","val":0}]</v>
      </c>
      <c r="Z559" s="148" t="str">
        <f>IFERROR(__xludf.DUMMYFUNCTION("""COMPUTED_VALUE"""),"[]")</f>
        <v>[]</v>
      </c>
    </row>
    <row r="560">
      <c r="A560" s="148">
        <f>IFERROR(__xludf.DUMMYFUNCTION("""COMPUTED_VALUE"""),1.12110011E8)</f>
        <v>112110011</v>
      </c>
      <c r="B560" s="148" t="str">
        <f>IFERROR(__xludf.DUMMYFUNCTION("""COMPUTED_VALUE"""),"KVK3-押镖单位-精英1")</f>
        <v>KVK3-押镖单位-精英1</v>
      </c>
      <c r="C560" s="148">
        <f>IFERROR(__xludf.DUMMYFUNCTION("""COMPUTED_VALUE"""),1.1221004E7)</f>
        <v>11221004</v>
      </c>
      <c r="D560" s="148">
        <f>IFERROR(__xludf.DUMMYFUNCTION("""COMPUTED_VALUE"""),1.5116424E7)</f>
        <v>15116424</v>
      </c>
      <c r="E560" s="148" t="str">
        <f>IFERROR(__xludf.DUMMYFUNCTION("""COMPUTED_VALUE"""),"{""typ"":""lc"",""txt"":""LC_NPC_kvk3_npc_reg_name""}")</f>
        <v>{"typ":"lc","txt":"LC_NPC_kvk3_npc_reg_name"}</v>
      </c>
      <c r="F560" s="148" t="str">
        <f>IFERROR(__xludf.DUMMYFUNCTION("""COMPUTED_VALUE"""),"{""typ"":""lc"",""txt"":""LC_NPC_kvk3_npc_reg_desc""}")</f>
        <v>{"typ":"lc","txt":"LC_NPC_kvk3_npc_reg_desc"}</v>
      </c>
      <c r="G560" s="148">
        <f>IFERROR(__xludf.DUMMYFUNCTION("""COMPUTED_VALUE"""),10.0)</f>
        <v>10</v>
      </c>
      <c r="H560" s="148">
        <f>IFERROR(__xludf.DUMMYFUNCTION("""COMPUTED_VALUE"""),10099.0)</f>
        <v>10099</v>
      </c>
      <c r="I560" s="148">
        <f>IFERROR(__xludf.DUMMYFUNCTION("""COMPUTED_VALUE"""),10099.0)</f>
        <v>10099</v>
      </c>
      <c r="J560" s="148">
        <f>IFERROR(__xludf.DUMMYFUNCTION("""COMPUTED_VALUE"""),0.0)</f>
        <v>0</v>
      </c>
      <c r="K560" s="148">
        <f>IFERROR(__xludf.DUMMYFUNCTION("""COMPUTED_VALUE"""),10.0)</f>
        <v>10</v>
      </c>
      <c r="L560" s="148">
        <f>IFERROR(__xludf.DUMMYFUNCTION("""COMPUTED_VALUE"""),99.0)</f>
        <v>99</v>
      </c>
      <c r="M560" s="148">
        <f>IFERROR(__xludf.DUMMYFUNCTION("""COMPUTED_VALUE"""),0.0)</f>
        <v>0</v>
      </c>
      <c r="N560" s="148" t="str">
        <f>IFERROR(__xludf.DUMMYFUNCTION("""COMPUTED_VALUE"""),"[]")</f>
        <v>[]</v>
      </c>
      <c r="O560" s="148" t="str">
        <f>IFERROR(__xludf.DUMMYFUNCTION("""COMPUTED_VALUE"""),"{}")</f>
        <v>{}</v>
      </c>
      <c r="P560" s="148">
        <f>IFERROR(__xludf.DUMMYFUNCTION("""COMPUTED_VALUE"""),0.0)</f>
        <v>0</v>
      </c>
      <c r="Q560" s="148" t="str">
        <f>IFERROR(__xludf.DUMMYFUNCTION("""COMPUTED_VALUE"""),"[]")</f>
        <v>[]</v>
      </c>
      <c r="R560" s="148" t="str">
        <f>IFERROR(__xludf.DUMMYFUNCTION("""COMPUTED_VALUE"""),"{}")</f>
        <v>{}</v>
      </c>
      <c r="S560" s="148">
        <f>IFERROR(__xludf.DUMMYFUNCTION("""COMPUTED_VALUE"""),0.0)</f>
        <v>0</v>
      </c>
      <c r="T560" s="148" t="str">
        <f>IFERROR(__xludf.DUMMYFUNCTION("""COMPUTED_VALUE"""),"[]")</f>
        <v>[]</v>
      </c>
      <c r="U560" s="148">
        <f>IFERROR(__xludf.DUMMYFUNCTION("""COMPUTED_VALUE"""),0.0)</f>
        <v>0</v>
      </c>
      <c r="V560" s="148" t="str">
        <f>IFERROR(__xludf.DUMMYFUNCTION("""COMPUTED_VALUE"""),"{}")</f>
        <v>{}</v>
      </c>
      <c r="W560" s="148" t="str">
        <f>IFERROR(__xludf.DUMMYFUNCTION("""COMPUTED_VALUE"""),"[]")</f>
        <v>[]</v>
      </c>
      <c r="X560" s="148" t="str">
        <f>IFERROR(__xludf.DUMMYFUNCTION("""COMPUTED_VALUE"""),"[{""typ"":""power"",""id"":12141002,""val"":5}]")</f>
        <v>[{"typ":"power","id":12141002,"val":5}]</v>
      </c>
      <c r="Y560" s="148" t="str">
        <f>IFERROR(__xludf.DUMMYFUNCTION("""COMPUTED_VALUE"""),"[{""typ"":""atk"",""val"":18},{""typ"":""def"",""val"":125},{""typ"":""hp"",""val"":135},{""typ"":""speed"",""val"":50},{""typ"":""load"",""val"":20},{""typ"":""backcoef"",""val"":0.5},{""typ"":""atkcoef"",""val"":1.0},{""typ"":""atkcd"",""val"":0}]")</f>
        <v>[{"typ":"atk","val":18},{"typ":"def","val":125},{"typ":"hp","val":135},{"typ":"speed","val":50},{"typ":"load","val":20},{"typ":"backcoef","val":0.5},{"typ":"atkcoef","val":1.0},{"typ":"atkcd","val":0}]</v>
      </c>
      <c r="Z560" s="148" t="str">
        <f>IFERROR(__xludf.DUMMYFUNCTION("""COMPUTED_VALUE"""),"[]")</f>
        <v>[]</v>
      </c>
    </row>
    <row r="561">
      <c r="A561" s="148">
        <f>IFERROR(__xludf.DUMMYFUNCTION("""COMPUTED_VALUE"""),1.12110012E8)</f>
        <v>112110012</v>
      </c>
      <c r="B561" s="148" t="str">
        <f>IFERROR(__xludf.DUMMYFUNCTION("""COMPUTED_VALUE"""),"KVK3-押镖单位-精英2")</f>
        <v>KVK3-押镖单位-精英2</v>
      </c>
      <c r="C561" s="148">
        <f>IFERROR(__xludf.DUMMYFUNCTION("""COMPUTED_VALUE"""),1.1221004E7)</f>
        <v>11221004</v>
      </c>
      <c r="D561" s="148">
        <f>IFERROR(__xludf.DUMMYFUNCTION("""COMPUTED_VALUE"""),1.5116424E7)</f>
        <v>15116424</v>
      </c>
      <c r="E561" s="148" t="str">
        <f>IFERROR(__xludf.DUMMYFUNCTION("""COMPUTED_VALUE"""),"{""typ"":""lc"",""txt"":""LC_NPC_kvk3_npc_reg_name""}")</f>
        <v>{"typ":"lc","txt":"LC_NPC_kvk3_npc_reg_name"}</v>
      </c>
      <c r="F561" s="148" t="str">
        <f>IFERROR(__xludf.DUMMYFUNCTION("""COMPUTED_VALUE"""),"{""typ"":""lc"",""txt"":""LC_NPC_kvk3_npc_reg_desc""}")</f>
        <v>{"typ":"lc","txt":"LC_NPC_kvk3_npc_reg_desc"}</v>
      </c>
      <c r="G561" s="148">
        <f>IFERROR(__xludf.DUMMYFUNCTION("""COMPUTED_VALUE"""),10.0)</f>
        <v>10</v>
      </c>
      <c r="H561" s="148">
        <f>IFERROR(__xludf.DUMMYFUNCTION("""COMPUTED_VALUE"""),10099.0)</f>
        <v>10099</v>
      </c>
      <c r="I561" s="148">
        <f>IFERROR(__xludf.DUMMYFUNCTION("""COMPUTED_VALUE"""),10099.0)</f>
        <v>10099</v>
      </c>
      <c r="J561" s="148">
        <f>IFERROR(__xludf.DUMMYFUNCTION("""COMPUTED_VALUE"""),0.0)</f>
        <v>0</v>
      </c>
      <c r="K561" s="148">
        <f>IFERROR(__xludf.DUMMYFUNCTION("""COMPUTED_VALUE"""),10.0)</f>
        <v>10</v>
      </c>
      <c r="L561" s="148">
        <f>IFERROR(__xludf.DUMMYFUNCTION("""COMPUTED_VALUE"""),99.0)</f>
        <v>99</v>
      </c>
      <c r="M561" s="148">
        <f>IFERROR(__xludf.DUMMYFUNCTION("""COMPUTED_VALUE"""),0.0)</f>
        <v>0</v>
      </c>
      <c r="N561" s="148" t="str">
        <f>IFERROR(__xludf.DUMMYFUNCTION("""COMPUTED_VALUE"""),"[]")</f>
        <v>[]</v>
      </c>
      <c r="O561" s="148" t="str">
        <f>IFERROR(__xludf.DUMMYFUNCTION("""COMPUTED_VALUE"""),"{}")</f>
        <v>{}</v>
      </c>
      <c r="P561" s="148">
        <f>IFERROR(__xludf.DUMMYFUNCTION("""COMPUTED_VALUE"""),0.0)</f>
        <v>0</v>
      </c>
      <c r="Q561" s="148" t="str">
        <f>IFERROR(__xludf.DUMMYFUNCTION("""COMPUTED_VALUE"""),"[]")</f>
        <v>[]</v>
      </c>
      <c r="R561" s="148" t="str">
        <f>IFERROR(__xludf.DUMMYFUNCTION("""COMPUTED_VALUE"""),"{}")</f>
        <v>{}</v>
      </c>
      <c r="S561" s="148">
        <f>IFERROR(__xludf.DUMMYFUNCTION("""COMPUTED_VALUE"""),0.0)</f>
        <v>0</v>
      </c>
      <c r="T561" s="148" t="str">
        <f>IFERROR(__xludf.DUMMYFUNCTION("""COMPUTED_VALUE"""),"[]")</f>
        <v>[]</v>
      </c>
      <c r="U561" s="148">
        <f>IFERROR(__xludf.DUMMYFUNCTION("""COMPUTED_VALUE"""),0.0)</f>
        <v>0</v>
      </c>
      <c r="V561" s="148" t="str">
        <f>IFERROR(__xludf.DUMMYFUNCTION("""COMPUTED_VALUE"""),"{}")</f>
        <v>{}</v>
      </c>
      <c r="W561" s="148" t="str">
        <f>IFERROR(__xludf.DUMMYFUNCTION("""COMPUTED_VALUE"""),"[]")</f>
        <v>[]</v>
      </c>
      <c r="X561" s="148" t="str">
        <f>IFERROR(__xludf.DUMMYFUNCTION("""COMPUTED_VALUE"""),"[{""typ"":""power"",""id"":12141002,""val"":5}]")</f>
        <v>[{"typ":"power","id":12141002,"val":5}]</v>
      </c>
      <c r="Y561" s="148" t="str">
        <f>IFERROR(__xludf.DUMMYFUNCTION("""COMPUTED_VALUE"""),"[{""typ"":""atk"",""val"":36},{""typ"":""def"",""val"":125},{""typ"":""hp"",""val"":135},{""typ"":""speed"",""val"":50},{""typ"":""load"",""val"":20},{""typ"":""backcoef"",""val"":0.5},{""typ"":""atkcoef"",""val"":1.0},{""typ"":""atkcd"",""val"":0}]")</f>
        <v>[{"typ":"atk","val":36},{"typ":"def","val":125},{"typ":"hp","val":135},{"typ":"speed","val":50},{"typ":"load","val":20},{"typ":"backcoef","val":0.5},{"typ":"atkcoef","val":1.0},{"typ":"atkcd","val":0}]</v>
      </c>
      <c r="Z561" s="148" t="str">
        <f>IFERROR(__xludf.DUMMYFUNCTION("""COMPUTED_VALUE"""),"[]")</f>
        <v>[]</v>
      </c>
    </row>
    <row r="562">
      <c r="A562" s="148">
        <f>IFERROR(__xludf.DUMMYFUNCTION("""COMPUTED_VALUE"""),1.12110013E8)</f>
        <v>112110013</v>
      </c>
      <c r="B562" s="148" t="str">
        <f>IFERROR(__xludf.DUMMYFUNCTION("""COMPUTED_VALUE"""),"KVK3-押镖单位-精英3")</f>
        <v>KVK3-押镖单位-精英3</v>
      </c>
      <c r="C562" s="148">
        <f>IFERROR(__xludf.DUMMYFUNCTION("""COMPUTED_VALUE"""),1.1221004E7)</f>
        <v>11221004</v>
      </c>
      <c r="D562" s="148">
        <f>IFERROR(__xludf.DUMMYFUNCTION("""COMPUTED_VALUE"""),1.5116424E7)</f>
        <v>15116424</v>
      </c>
      <c r="E562" s="148" t="str">
        <f>IFERROR(__xludf.DUMMYFUNCTION("""COMPUTED_VALUE"""),"{""typ"":""lc"",""txt"":""LC_NPC_kvk3_npc_reg_name""}")</f>
        <v>{"typ":"lc","txt":"LC_NPC_kvk3_npc_reg_name"}</v>
      </c>
      <c r="F562" s="148" t="str">
        <f>IFERROR(__xludf.DUMMYFUNCTION("""COMPUTED_VALUE"""),"{""typ"":""lc"",""txt"":""LC_NPC_kvk3_npc_reg_desc""}")</f>
        <v>{"typ":"lc","txt":"LC_NPC_kvk3_npc_reg_desc"}</v>
      </c>
      <c r="G562" s="148">
        <f>IFERROR(__xludf.DUMMYFUNCTION("""COMPUTED_VALUE"""),10.0)</f>
        <v>10</v>
      </c>
      <c r="H562" s="148">
        <f>IFERROR(__xludf.DUMMYFUNCTION("""COMPUTED_VALUE"""),10099.0)</f>
        <v>10099</v>
      </c>
      <c r="I562" s="148">
        <f>IFERROR(__xludf.DUMMYFUNCTION("""COMPUTED_VALUE"""),10099.0)</f>
        <v>10099</v>
      </c>
      <c r="J562" s="148">
        <f>IFERROR(__xludf.DUMMYFUNCTION("""COMPUTED_VALUE"""),0.0)</f>
        <v>0</v>
      </c>
      <c r="K562" s="148">
        <f>IFERROR(__xludf.DUMMYFUNCTION("""COMPUTED_VALUE"""),10.0)</f>
        <v>10</v>
      </c>
      <c r="L562" s="148">
        <f>IFERROR(__xludf.DUMMYFUNCTION("""COMPUTED_VALUE"""),99.0)</f>
        <v>99</v>
      </c>
      <c r="M562" s="148">
        <f>IFERROR(__xludf.DUMMYFUNCTION("""COMPUTED_VALUE"""),0.0)</f>
        <v>0</v>
      </c>
      <c r="N562" s="148" t="str">
        <f>IFERROR(__xludf.DUMMYFUNCTION("""COMPUTED_VALUE"""),"[]")</f>
        <v>[]</v>
      </c>
      <c r="O562" s="148" t="str">
        <f>IFERROR(__xludf.DUMMYFUNCTION("""COMPUTED_VALUE"""),"{}")</f>
        <v>{}</v>
      </c>
      <c r="P562" s="148">
        <f>IFERROR(__xludf.DUMMYFUNCTION("""COMPUTED_VALUE"""),0.0)</f>
        <v>0</v>
      </c>
      <c r="Q562" s="148" t="str">
        <f>IFERROR(__xludf.DUMMYFUNCTION("""COMPUTED_VALUE"""),"[]")</f>
        <v>[]</v>
      </c>
      <c r="R562" s="148" t="str">
        <f>IFERROR(__xludf.DUMMYFUNCTION("""COMPUTED_VALUE"""),"{}")</f>
        <v>{}</v>
      </c>
      <c r="S562" s="148">
        <f>IFERROR(__xludf.DUMMYFUNCTION("""COMPUTED_VALUE"""),0.0)</f>
        <v>0</v>
      </c>
      <c r="T562" s="148" t="str">
        <f>IFERROR(__xludf.DUMMYFUNCTION("""COMPUTED_VALUE"""),"[]")</f>
        <v>[]</v>
      </c>
      <c r="U562" s="148">
        <f>IFERROR(__xludf.DUMMYFUNCTION("""COMPUTED_VALUE"""),0.0)</f>
        <v>0</v>
      </c>
      <c r="V562" s="148" t="str">
        <f>IFERROR(__xludf.DUMMYFUNCTION("""COMPUTED_VALUE"""),"{}")</f>
        <v>{}</v>
      </c>
      <c r="W562" s="148" t="str">
        <f>IFERROR(__xludf.DUMMYFUNCTION("""COMPUTED_VALUE"""),"[]")</f>
        <v>[]</v>
      </c>
      <c r="X562" s="148" t="str">
        <f>IFERROR(__xludf.DUMMYFUNCTION("""COMPUTED_VALUE"""),"[{""typ"":""power"",""id"":12141002,""val"":5}]")</f>
        <v>[{"typ":"power","id":12141002,"val":5}]</v>
      </c>
      <c r="Y562" s="148" t="str">
        <f>IFERROR(__xludf.DUMMYFUNCTION("""COMPUTED_VALUE"""),"[{""typ"":""atk"",""val"":72},{""typ"":""def"",""val"":125},{""typ"":""hp"",""val"":135},{""typ"":""speed"",""val"":50},{""typ"":""load"",""val"":20},{""typ"":""backcoef"",""val"":0.5},{""typ"":""atkcoef"",""val"":1.0},{""typ"":""atkcd"",""val"":0}]")</f>
        <v>[{"typ":"atk","val":72},{"typ":"def","val":125},{"typ":"hp","val":135},{"typ":"speed","val":50},{"typ":"load","val":20},{"typ":"backcoef","val":0.5},{"typ":"atkcoef","val":1.0},{"typ":"atkcd","val":0}]</v>
      </c>
      <c r="Z562" s="148" t="str">
        <f>IFERROR(__xludf.DUMMYFUNCTION("""COMPUTED_VALUE"""),"[]")</f>
        <v>[]</v>
      </c>
    </row>
    <row r="563">
      <c r="A563" s="148">
        <f>IFERROR(__xludf.DUMMYFUNCTION("""COMPUTED_VALUE"""),1.12110014E8)</f>
        <v>112110014</v>
      </c>
      <c r="B563" s="148" t="str">
        <f>IFERROR(__xludf.DUMMYFUNCTION("""COMPUTED_VALUE"""),"KVK3-押镖单位-精英4")</f>
        <v>KVK3-押镖单位-精英4</v>
      </c>
      <c r="C563" s="148">
        <f>IFERROR(__xludf.DUMMYFUNCTION("""COMPUTED_VALUE"""),1.1221004E7)</f>
        <v>11221004</v>
      </c>
      <c r="D563" s="148">
        <f>IFERROR(__xludf.DUMMYFUNCTION("""COMPUTED_VALUE"""),1.5116424E7)</f>
        <v>15116424</v>
      </c>
      <c r="E563" s="148" t="str">
        <f>IFERROR(__xludf.DUMMYFUNCTION("""COMPUTED_VALUE"""),"{""typ"":""lc"",""txt"":""LC_NPC_kvk3_npc_reg_name""}")</f>
        <v>{"typ":"lc","txt":"LC_NPC_kvk3_npc_reg_name"}</v>
      </c>
      <c r="F563" s="148" t="str">
        <f>IFERROR(__xludf.DUMMYFUNCTION("""COMPUTED_VALUE"""),"{""typ"":""lc"",""txt"":""LC_NPC_kvk3_npc_reg_desc""}")</f>
        <v>{"typ":"lc","txt":"LC_NPC_kvk3_npc_reg_desc"}</v>
      </c>
      <c r="G563" s="148">
        <f>IFERROR(__xludf.DUMMYFUNCTION("""COMPUTED_VALUE"""),10.0)</f>
        <v>10</v>
      </c>
      <c r="H563" s="148">
        <f>IFERROR(__xludf.DUMMYFUNCTION("""COMPUTED_VALUE"""),10099.0)</f>
        <v>10099</v>
      </c>
      <c r="I563" s="148">
        <f>IFERROR(__xludf.DUMMYFUNCTION("""COMPUTED_VALUE"""),10099.0)</f>
        <v>10099</v>
      </c>
      <c r="J563" s="148">
        <f>IFERROR(__xludf.DUMMYFUNCTION("""COMPUTED_VALUE"""),0.0)</f>
        <v>0</v>
      </c>
      <c r="K563" s="148">
        <f>IFERROR(__xludf.DUMMYFUNCTION("""COMPUTED_VALUE"""),10.0)</f>
        <v>10</v>
      </c>
      <c r="L563" s="148">
        <f>IFERROR(__xludf.DUMMYFUNCTION("""COMPUTED_VALUE"""),99.0)</f>
        <v>99</v>
      </c>
      <c r="M563" s="148">
        <f>IFERROR(__xludf.DUMMYFUNCTION("""COMPUTED_VALUE"""),0.0)</f>
        <v>0</v>
      </c>
      <c r="N563" s="148" t="str">
        <f>IFERROR(__xludf.DUMMYFUNCTION("""COMPUTED_VALUE"""),"[]")</f>
        <v>[]</v>
      </c>
      <c r="O563" s="148" t="str">
        <f>IFERROR(__xludf.DUMMYFUNCTION("""COMPUTED_VALUE"""),"{}")</f>
        <v>{}</v>
      </c>
      <c r="P563" s="148">
        <f>IFERROR(__xludf.DUMMYFUNCTION("""COMPUTED_VALUE"""),0.0)</f>
        <v>0</v>
      </c>
      <c r="Q563" s="148" t="str">
        <f>IFERROR(__xludf.DUMMYFUNCTION("""COMPUTED_VALUE"""),"[]")</f>
        <v>[]</v>
      </c>
      <c r="R563" s="148" t="str">
        <f>IFERROR(__xludf.DUMMYFUNCTION("""COMPUTED_VALUE"""),"{}")</f>
        <v>{}</v>
      </c>
      <c r="S563" s="148">
        <f>IFERROR(__xludf.DUMMYFUNCTION("""COMPUTED_VALUE"""),0.0)</f>
        <v>0</v>
      </c>
      <c r="T563" s="148" t="str">
        <f>IFERROR(__xludf.DUMMYFUNCTION("""COMPUTED_VALUE"""),"[]")</f>
        <v>[]</v>
      </c>
      <c r="U563" s="148">
        <f>IFERROR(__xludf.DUMMYFUNCTION("""COMPUTED_VALUE"""),0.0)</f>
        <v>0</v>
      </c>
      <c r="V563" s="148" t="str">
        <f>IFERROR(__xludf.DUMMYFUNCTION("""COMPUTED_VALUE"""),"{}")</f>
        <v>{}</v>
      </c>
      <c r="W563" s="148" t="str">
        <f>IFERROR(__xludf.DUMMYFUNCTION("""COMPUTED_VALUE"""),"[]")</f>
        <v>[]</v>
      </c>
      <c r="X563" s="148" t="str">
        <f>IFERROR(__xludf.DUMMYFUNCTION("""COMPUTED_VALUE"""),"[{""typ"":""power"",""id"":12141002,""val"":5}]")</f>
        <v>[{"typ":"power","id":12141002,"val":5}]</v>
      </c>
      <c r="Y563" s="148" t="str">
        <f>IFERROR(__xludf.DUMMYFUNCTION("""COMPUTED_VALUE"""),"[{""typ"":""atk"",""val"":180},{""typ"":""def"",""val"":125},{""typ"":""hp"",""val"":135},{""typ"":""speed"",""val"":50},{""typ"":""load"",""val"":20},{""typ"":""backcoef"",""val"":0.5},{""typ"":""atkcoef"",""val"":1.0},{""typ"":""atkcd"",""val"":0}]")</f>
        <v>[{"typ":"atk","val":180},{"typ":"def","val":125},{"typ":"hp","val":135},{"typ":"speed","val":50},{"typ":"load","val":20},{"typ":"backcoef","val":0.5},{"typ":"atkcoef","val":1.0},{"typ":"atkcd","val":0}]</v>
      </c>
      <c r="Z563" s="148" t="str">
        <f>IFERROR(__xludf.DUMMYFUNCTION("""COMPUTED_VALUE"""),"[]")</f>
        <v>[]</v>
      </c>
    </row>
    <row r="564">
      <c r="A564" s="148">
        <f>IFERROR(__xludf.DUMMYFUNCTION("""COMPUTED_VALUE"""),1.12110015E8)</f>
        <v>112110015</v>
      </c>
      <c r="B564" s="148" t="str">
        <f>IFERROR(__xludf.DUMMYFUNCTION("""COMPUTED_VALUE"""),"KVK3-押镖单位-精英5")</f>
        <v>KVK3-押镖单位-精英5</v>
      </c>
      <c r="C564" s="148">
        <f>IFERROR(__xludf.DUMMYFUNCTION("""COMPUTED_VALUE"""),1.1221004E7)</f>
        <v>11221004</v>
      </c>
      <c r="D564" s="148">
        <f>IFERROR(__xludf.DUMMYFUNCTION("""COMPUTED_VALUE"""),1.5116424E7)</f>
        <v>15116424</v>
      </c>
      <c r="E564" s="148" t="str">
        <f>IFERROR(__xludf.DUMMYFUNCTION("""COMPUTED_VALUE"""),"{""typ"":""lc"",""txt"":""LC_NPC_kvk3_npc_reg_name""}")</f>
        <v>{"typ":"lc","txt":"LC_NPC_kvk3_npc_reg_name"}</v>
      </c>
      <c r="F564" s="148" t="str">
        <f>IFERROR(__xludf.DUMMYFUNCTION("""COMPUTED_VALUE"""),"{""typ"":""lc"",""txt"":""LC_NPC_kvk3_npc_reg_desc""}")</f>
        <v>{"typ":"lc","txt":"LC_NPC_kvk3_npc_reg_desc"}</v>
      </c>
      <c r="G564" s="148">
        <f>IFERROR(__xludf.DUMMYFUNCTION("""COMPUTED_VALUE"""),10.0)</f>
        <v>10</v>
      </c>
      <c r="H564" s="148">
        <f>IFERROR(__xludf.DUMMYFUNCTION("""COMPUTED_VALUE"""),10099.0)</f>
        <v>10099</v>
      </c>
      <c r="I564" s="148">
        <f>IFERROR(__xludf.DUMMYFUNCTION("""COMPUTED_VALUE"""),10099.0)</f>
        <v>10099</v>
      </c>
      <c r="J564" s="148">
        <f>IFERROR(__xludf.DUMMYFUNCTION("""COMPUTED_VALUE"""),0.0)</f>
        <v>0</v>
      </c>
      <c r="K564" s="148">
        <f>IFERROR(__xludf.DUMMYFUNCTION("""COMPUTED_VALUE"""),10.0)</f>
        <v>10</v>
      </c>
      <c r="L564" s="148">
        <f>IFERROR(__xludf.DUMMYFUNCTION("""COMPUTED_VALUE"""),99.0)</f>
        <v>99</v>
      </c>
      <c r="M564" s="148">
        <f>IFERROR(__xludf.DUMMYFUNCTION("""COMPUTED_VALUE"""),0.0)</f>
        <v>0</v>
      </c>
      <c r="N564" s="148" t="str">
        <f>IFERROR(__xludf.DUMMYFUNCTION("""COMPUTED_VALUE"""),"[]")</f>
        <v>[]</v>
      </c>
      <c r="O564" s="148" t="str">
        <f>IFERROR(__xludf.DUMMYFUNCTION("""COMPUTED_VALUE"""),"{}")</f>
        <v>{}</v>
      </c>
      <c r="P564" s="148">
        <f>IFERROR(__xludf.DUMMYFUNCTION("""COMPUTED_VALUE"""),0.0)</f>
        <v>0</v>
      </c>
      <c r="Q564" s="148" t="str">
        <f>IFERROR(__xludf.DUMMYFUNCTION("""COMPUTED_VALUE"""),"[]")</f>
        <v>[]</v>
      </c>
      <c r="R564" s="148" t="str">
        <f>IFERROR(__xludf.DUMMYFUNCTION("""COMPUTED_VALUE"""),"{}")</f>
        <v>{}</v>
      </c>
      <c r="S564" s="148">
        <f>IFERROR(__xludf.DUMMYFUNCTION("""COMPUTED_VALUE"""),0.0)</f>
        <v>0</v>
      </c>
      <c r="T564" s="148" t="str">
        <f>IFERROR(__xludf.DUMMYFUNCTION("""COMPUTED_VALUE"""),"[]")</f>
        <v>[]</v>
      </c>
      <c r="U564" s="148">
        <f>IFERROR(__xludf.DUMMYFUNCTION("""COMPUTED_VALUE"""),0.0)</f>
        <v>0</v>
      </c>
      <c r="V564" s="148" t="str">
        <f>IFERROR(__xludf.DUMMYFUNCTION("""COMPUTED_VALUE"""),"{}")</f>
        <v>{}</v>
      </c>
      <c r="W564" s="148" t="str">
        <f>IFERROR(__xludf.DUMMYFUNCTION("""COMPUTED_VALUE"""),"[]")</f>
        <v>[]</v>
      </c>
      <c r="X564" s="148" t="str">
        <f>IFERROR(__xludf.DUMMYFUNCTION("""COMPUTED_VALUE"""),"[{""typ"":""power"",""id"":12141002,""val"":5}]")</f>
        <v>[{"typ":"power","id":12141002,"val":5}]</v>
      </c>
      <c r="Y564" s="148" t="str">
        <f>IFERROR(__xludf.DUMMYFUNCTION("""COMPUTED_VALUE"""),"[{""typ"":""atk"",""val"":240},{""typ"":""def"",""val"":125},{""typ"":""hp"",""val"":135},{""typ"":""speed"",""val"":50},{""typ"":""load"",""val"":20},{""typ"":""backcoef"",""val"":0.5},{""typ"":""atkcoef"",""val"":1.0},{""typ"":""atkcd"",""val"":0}]")</f>
        <v>[{"typ":"atk","val":240},{"typ":"def","val":125},{"typ":"hp","val":135},{"typ":"speed","val":50},{"typ":"load","val":20},{"typ":"backcoef","val":0.5},{"typ":"atkcoef","val":1.0},{"typ":"atkcd","val":0}]</v>
      </c>
      <c r="Z564" s="148" t="str">
        <f>IFERROR(__xludf.DUMMYFUNCTION("""COMPUTED_VALUE"""),"[]")</f>
        <v>[]</v>
      </c>
    </row>
    <row r="565">
      <c r="A565" s="148">
        <f>IFERROR(__xludf.DUMMYFUNCTION("""COMPUTED_VALUE"""),1.12110016E8)</f>
        <v>112110016</v>
      </c>
      <c r="B565" s="148" t="str">
        <f>IFERROR(__xludf.DUMMYFUNCTION("""COMPUTED_VALUE"""),"KVK3-押镖单位-BOSS1")</f>
        <v>KVK3-押镖单位-BOSS1</v>
      </c>
      <c r="C565" s="148">
        <f>IFERROR(__xludf.DUMMYFUNCTION("""COMPUTED_VALUE"""),1.1221004E7)</f>
        <v>11221004</v>
      </c>
      <c r="D565" s="148">
        <f>IFERROR(__xludf.DUMMYFUNCTION("""COMPUTED_VALUE"""),1.5116427E7)</f>
        <v>15116427</v>
      </c>
      <c r="E565" s="148" t="str">
        <f>IFERROR(__xludf.DUMMYFUNCTION("""COMPUTED_VALUE"""),"{""typ"":""lc"",""txt"":""LC_NPC_kvk3_npc_reg_name""}")</f>
        <v>{"typ":"lc","txt":"LC_NPC_kvk3_npc_reg_name"}</v>
      </c>
      <c r="F565" s="148" t="str">
        <f>IFERROR(__xludf.DUMMYFUNCTION("""COMPUTED_VALUE"""),"{""typ"":""lc"",""txt"":""LC_NPC_kvk3_npc_reg_desc""}")</f>
        <v>{"typ":"lc","txt":"LC_NPC_kvk3_npc_reg_desc"}</v>
      </c>
      <c r="G565" s="148">
        <f>IFERROR(__xludf.DUMMYFUNCTION("""COMPUTED_VALUE"""),10.0)</f>
        <v>10</v>
      </c>
      <c r="H565" s="148">
        <f>IFERROR(__xludf.DUMMYFUNCTION("""COMPUTED_VALUE"""),10099.0)</f>
        <v>10099</v>
      </c>
      <c r="I565" s="148">
        <f>IFERROR(__xludf.DUMMYFUNCTION("""COMPUTED_VALUE"""),10099.0)</f>
        <v>10099</v>
      </c>
      <c r="J565" s="148">
        <f>IFERROR(__xludf.DUMMYFUNCTION("""COMPUTED_VALUE"""),0.0)</f>
        <v>0</v>
      </c>
      <c r="K565" s="148">
        <f>IFERROR(__xludf.DUMMYFUNCTION("""COMPUTED_VALUE"""),10.0)</f>
        <v>10</v>
      </c>
      <c r="L565" s="148">
        <f>IFERROR(__xludf.DUMMYFUNCTION("""COMPUTED_VALUE"""),99.0)</f>
        <v>99</v>
      </c>
      <c r="M565" s="148">
        <f>IFERROR(__xludf.DUMMYFUNCTION("""COMPUTED_VALUE"""),0.0)</f>
        <v>0</v>
      </c>
      <c r="N565" s="148" t="str">
        <f>IFERROR(__xludf.DUMMYFUNCTION("""COMPUTED_VALUE"""),"[]")</f>
        <v>[]</v>
      </c>
      <c r="O565" s="148" t="str">
        <f>IFERROR(__xludf.DUMMYFUNCTION("""COMPUTED_VALUE"""),"{}")</f>
        <v>{}</v>
      </c>
      <c r="P565" s="148">
        <f>IFERROR(__xludf.DUMMYFUNCTION("""COMPUTED_VALUE"""),0.0)</f>
        <v>0</v>
      </c>
      <c r="Q565" s="148" t="str">
        <f>IFERROR(__xludf.DUMMYFUNCTION("""COMPUTED_VALUE"""),"[]")</f>
        <v>[]</v>
      </c>
      <c r="R565" s="148" t="str">
        <f>IFERROR(__xludf.DUMMYFUNCTION("""COMPUTED_VALUE"""),"{}")</f>
        <v>{}</v>
      </c>
      <c r="S565" s="148">
        <f>IFERROR(__xludf.DUMMYFUNCTION("""COMPUTED_VALUE"""),0.0)</f>
        <v>0</v>
      </c>
      <c r="T565" s="148" t="str">
        <f>IFERROR(__xludf.DUMMYFUNCTION("""COMPUTED_VALUE"""),"[]")</f>
        <v>[]</v>
      </c>
      <c r="U565" s="148">
        <f>IFERROR(__xludf.DUMMYFUNCTION("""COMPUTED_VALUE"""),0.0)</f>
        <v>0</v>
      </c>
      <c r="V565" s="148" t="str">
        <f>IFERROR(__xludf.DUMMYFUNCTION("""COMPUTED_VALUE"""),"{}")</f>
        <v>{}</v>
      </c>
      <c r="W565" s="148" t="str">
        <f>IFERROR(__xludf.DUMMYFUNCTION("""COMPUTED_VALUE"""),"[]")</f>
        <v>[]</v>
      </c>
      <c r="X565" s="148" t="str">
        <f>IFERROR(__xludf.DUMMYFUNCTION("""COMPUTED_VALUE"""),"[{""typ"":""power"",""id"":12141002,""val"":10}]")</f>
        <v>[{"typ":"power","id":12141002,"val":10}]</v>
      </c>
      <c r="Y565" s="148" t="str">
        <f>IFERROR(__xludf.DUMMYFUNCTION("""COMPUTED_VALUE"""),"[{""typ"":""atk"",""val"":22.5},{""typ"":""def"",""val"":125},{""typ"":""hp"",""val"":135},{""typ"":""speed"",""val"":50},{""typ"":""load"",""val"":20},{""typ"":""backcoef"",""val"":0.5},{""typ"":""atkcoef"",""val"":1.0},{""typ"":""atkcd"",""val"":0}]")</f>
        <v>[{"typ":"atk","val":22.5},{"typ":"def","val":125},{"typ":"hp","val":135},{"typ":"speed","val":50},{"typ":"load","val":20},{"typ":"backcoef","val":0.5},{"typ":"atkcoef","val":1.0},{"typ":"atkcd","val":0}]</v>
      </c>
      <c r="Z565" s="148" t="str">
        <f>IFERROR(__xludf.DUMMYFUNCTION("""COMPUTED_VALUE"""),"[]")</f>
        <v>[]</v>
      </c>
    </row>
    <row r="566">
      <c r="A566" s="148">
        <f>IFERROR(__xludf.DUMMYFUNCTION("""COMPUTED_VALUE"""),1.12110017E8)</f>
        <v>112110017</v>
      </c>
      <c r="B566" s="148" t="str">
        <f>IFERROR(__xludf.DUMMYFUNCTION("""COMPUTED_VALUE"""),"KVK3-押镖单位-BOSS2")</f>
        <v>KVK3-押镖单位-BOSS2</v>
      </c>
      <c r="C566" s="148">
        <f>IFERROR(__xludf.DUMMYFUNCTION("""COMPUTED_VALUE"""),1.1221004E7)</f>
        <v>11221004</v>
      </c>
      <c r="D566" s="148">
        <f>IFERROR(__xludf.DUMMYFUNCTION("""COMPUTED_VALUE"""),1.5116427E7)</f>
        <v>15116427</v>
      </c>
      <c r="E566" s="148" t="str">
        <f>IFERROR(__xludf.DUMMYFUNCTION("""COMPUTED_VALUE"""),"{""typ"":""lc"",""txt"":""LC_NPC_kvk3_npc_reg_name""}")</f>
        <v>{"typ":"lc","txt":"LC_NPC_kvk3_npc_reg_name"}</v>
      </c>
      <c r="F566" s="148" t="str">
        <f>IFERROR(__xludf.DUMMYFUNCTION("""COMPUTED_VALUE"""),"{""typ"":""lc"",""txt"":""LC_NPC_kvk3_npc_reg_desc""}")</f>
        <v>{"typ":"lc","txt":"LC_NPC_kvk3_npc_reg_desc"}</v>
      </c>
      <c r="G566" s="148">
        <f>IFERROR(__xludf.DUMMYFUNCTION("""COMPUTED_VALUE"""),10.0)</f>
        <v>10</v>
      </c>
      <c r="H566" s="148">
        <f>IFERROR(__xludf.DUMMYFUNCTION("""COMPUTED_VALUE"""),10099.0)</f>
        <v>10099</v>
      </c>
      <c r="I566" s="148">
        <f>IFERROR(__xludf.DUMMYFUNCTION("""COMPUTED_VALUE"""),10099.0)</f>
        <v>10099</v>
      </c>
      <c r="J566" s="148">
        <f>IFERROR(__xludf.DUMMYFUNCTION("""COMPUTED_VALUE"""),0.0)</f>
        <v>0</v>
      </c>
      <c r="K566" s="148">
        <f>IFERROR(__xludf.DUMMYFUNCTION("""COMPUTED_VALUE"""),10.0)</f>
        <v>10</v>
      </c>
      <c r="L566" s="148">
        <f>IFERROR(__xludf.DUMMYFUNCTION("""COMPUTED_VALUE"""),99.0)</f>
        <v>99</v>
      </c>
      <c r="M566" s="148">
        <f>IFERROR(__xludf.DUMMYFUNCTION("""COMPUTED_VALUE"""),0.0)</f>
        <v>0</v>
      </c>
      <c r="N566" s="148" t="str">
        <f>IFERROR(__xludf.DUMMYFUNCTION("""COMPUTED_VALUE"""),"[]")</f>
        <v>[]</v>
      </c>
      <c r="O566" s="148" t="str">
        <f>IFERROR(__xludf.DUMMYFUNCTION("""COMPUTED_VALUE"""),"{}")</f>
        <v>{}</v>
      </c>
      <c r="P566" s="148">
        <f>IFERROR(__xludf.DUMMYFUNCTION("""COMPUTED_VALUE"""),0.0)</f>
        <v>0</v>
      </c>
      <c r="Q566" s="148" t="str">
        <f>IFERROR(__xludf.DUMMYFUNCTION("""COMPUTED_VALUE"""),"[]")</f>
        <v>[]</v>
      </c>
      <c r="R566" s="148" t="str">
        <f>IFERROR(__xludf.DUMMYFUNCTION("""COMPUTED_VALUE"""),"{}")</f>
        <v>{}</v>
      </c>
      <c r="S566" s="148">
        <f>IFERROR(__xludf.DUMMYFUNCTION("""COMPUTED_VALUE"""),0.0)</f>
        <v>0</v>
      </c>
      <c r="T566" s="148" t="str">
        <f>IFERROR(__xludf.DUMMYFUNCTION("""COMPUTED_VALUE"""),"[]")</f>
        <v>[]</v>
      </c>
      <c r="U566" s="148">
        <f>IFERROR(__xludf.DUMMYFUNCTION("""COMPUTED_VALUE"""),0.0)</f>
        <v>0</v>
      </c>
      <c r="V566" s="148" t="str">
        <f>IFERROR(__xludf.DUMMYFUNCTION("""COMPUTED_VALUE"""),"{}")</f>
        <v>{}</v>
      </c>
      <c r="W566" s="148" t="str">
        <f>IFERROR(__xludf.DUMMYFUNCTION("""COMPUTED_VALUE"""),"[]")</f>
        <v>[]</v>
      </c>
      <c r="X566" s="148" t="str">
        <f>IFERROR(__xludf.DUMMYFUNCTION("""COMPUTED_VALUE"""),"[{""typ"":""power"",""id"":12141002,""val"":10}]")</f>
        <v>[{"typ":"power","id":12141002,"val":10}]</v>
      </c>
      <c r="Y566" s="148" t="str">
        <f>IFERROR(__xludf.DUMMYFUNCTION("""COMPUTED_VALUE"""),"[{""typ"":""atk"",""val"":45},{""typ"":""def"",""val"":125},{""typ"":""hp"",""val"":135},{""typ"":""speed"",""val"":50},{""typ"":""load"",""val"":20},{""typ"":""backcoef"",""val"":0.5},{""typ"":""atkcoef"",""val"":1.0},{""typ"":""atkcd"",""val"":0}]")</f>
        <v>[{"typ":"atk","val":45},{"typ":"def","val":125},{"typ":"hp","val":135},{"typ":"speed","val":50},{"typ":"load","val":20},{"typ":"backcoef","val":0.5},{"typ":"atkcoef","val":1.0},{"typ":"atkcd","val":0}]</v>
      </c>
      <c r="Z566" s="148" t="str">
        <f>IFERROR(__xludf.DUMMYFUNCTION("""COMPUTED_VALUE"""),"[]")</f>
        <v>[]</v>
      </c>
    </row>
    <row r="567">
      <c r="A567" s="148">
        <f>IFERROR(__xludf.DUMMYFUNCTION("""COMPUTED_VALUE"""),1.12110018E8)</f>
        <v>112110018</v>
      </c>
      <c r="B567" s="148" t="str">
        <f>IFERROR(__xludf.DUMMYFUNCTION("""COMPUTED_VALUE"""),"KVK3-押镖单位-BOSS3")</f>
        <v>KVK3-押镖单位-BOSS3</v>
      </c>
      <c r="C567" s="148">
        <f>IFERROR(__xludf.DUMMYFUNCTION("""COMPUTED_VALUE"""),1.1221004E7)</f>
        <v>11221004</v>
      </c>
      <c r="D567" s="148">
        <f>IFERROR(__xludf.DUMMYFUNCTION("""COMPUTED_VALUE"""),1.5116428E7)</f>
        <v>15116428</v>
      </c>
      <c r="E567" s="148" t="str">
        <f>IFERROR(__xludf.DUMMYFUNCTION("""COMPUTED_VALUE"""),"{""typ"":""lc"",""txt"":""LC_NPC_kvk3_npc_reg_name""}")</f>
        <v>{"typ":"lc","txt":"LC_NPC_kvk3_npc_reg_name"}</v>
      </c>
      <c r="F567" s="148" t="str">
        <f>IFERROR(__xludf.DUMMYFUNCTION("""COMPUTED_VALUE"""),"{""typ"":""lc"",""txt"":""LC_NPC_kvk3_npc_reg_desc""}")</f>
        <v>{"typ":"lc","txt":"LC_NPC_kvk3_npc_reg_desc"}</v>
      </c>
      <c r="G567" s="148">
        <f>IFERROR(__xludf.DUMMYFUNCTION("""COMPUTED_VALUE"""),10.0)</f>
        <v>10</v>
      </c>
      <c r="H567" s="148">
        <f>IFERROR(__xludf.DUMMYFUNCTION("""COMPUTED_VALUE"""),10099.0)</f>
        <v>10099</v>
      </c>
      <c r="I567" s="148">
        <f>IFERROR(__xludf.DUMMYFUNCTION("""COMPUTED_VALUE"""),10099.0)</f>
        <v>10099</v>
      </c>
      <c r="J567" s="148">
        <f>IFERROR(__xludf.DUMMYFUNCTION("""COMPUTED_VALUE"""),0.0)</f>
        <v>0</v>
      </c>
      <c r="K567" s="148">
        <f>IFERROR(__xludf.DUMMYFUNCTION("""COMPUTED_VALUE"""),10.0)</f>
        <v>10</v>
      </c>
      <c r="L567" s="148">
        <f>IFERROR(__xludf.DUMMYFUNCTION("""COMPUTED_VALUE"""),99.0)</f>
        <v>99</v>
      </c>
      <c r="M567" s="148">
        <f>IFERROR(__xludf.DUMMYFUNCTION("""COMPUTED_VALUE"""),0.0)</f>
        <v>0</v>
      </c>
      <c r="N567" s="148" t="str">
        <f>IFERROR(__xludf.DUMMYFUNCTION("""COMPUTED_VALUE"""),"[]")</f>
        <v>[]</v>
      </c>
      <c r="O567" s="148" t="str">
        <f>IFERROR(__xludf.DUMMYFUNCTION("""COMPUTED_VALUE"""),"{}")</f>
        <v>{}</v>
      </c>
      <c r="P567" s="148">
        <f>IFERROR(__xludf.DUMMYFUNCTION("""COMPUTED_VALUE"""),0.0)</f>
        <v>0</v>
      </c>
      <c r="Q567" s="148" t="str">
        <f>IFERROR(__xludf.DUMMYFUNCTION("""COMPUTED_VALUE"""),"[]")</f>
        <v>[]</v>
      </c>
      <c r="R567" s="148" t="str">
        <f>IFERROR(__xludf.DUMMYFUNCTION("""COMPUTED_VALUE"""),"{}")</f>
        <v>{}</v>
      </c>
      <c r="S567" s="148">
        <f>IFERROR(__xludf.DUMMYFUNCTION("""COMPUTED_VALUE"""),0.0)</f>
        <v>0</v>
      </c>
      <c r="T567" s="148" t="str">
        <f>IFERROR(__xludf.DUMMYFUNCTION("""COMPUTED_VALUE"""),"[]")</f>
        <v>[]</v>
      </c>
      <c r="U567" s="148">
        <f>IFERROR(__xludf.DUMMYFUNCTION("""COMPUTED_VALUE"""),0.0)</f>
        <v>0</v>
      </c>
      <c r="V567" s="148" t="str">
        <f>IFERROR(__xludf.DUMMYFUNCTION("""COMPUTED_VALUE"""),"{}")</f>
        <v>{}</v>
      </c>
      <c r="W567" s="148" t="str">
        <f>IFERROR(__xludf.DUMMYFUNCTION("""COMPUTED_VALUE"""),"[]")</f>
        <v>[]</v>
      </c>
      <c r="X567" s="148" t="str">
        <f>IFERROR(__xludf.DUMMYFUNCTION("""COMPUTED_VALUE"""),"[{""typ"":""power"",""id"":12141002,""val"":10}]")</f>
        <v>[{"typ":"power","id":12141002,"val":10}]</v>
      </c>
      <c r="Y567" s="148" t="str">
        <f>IFERROR(__xludf.DUMMYFUNCTION("""COMPUTED_VALUE"""),"[{""typ"":""atk"",""val"":90},{""typ"":""def"",""val"":125},{""typ"":""hp"",""val"":135},{""typ"":""speed"",""val"":50},{""typ"":""load"",""val"":20},{""typ"":""backcoef"",""val"":0.5},{""typ"":""atkcoef"",""val"":1.0},{""typ"":""atkcd"",""val"":0}]")</f>
        <v>[{"typ":"atk","val":90},{"typ":"def","val":125},{"typ":"hp","val":135},{"typ":"speed","val":50},{"typ":"load","val":20},{"typ":"backcoef","val":0.5},{"typ":"atkcoef","val":1.0},{"typ":"atkcd","val":0}]</v>
      </c>
      <c r="Z567" s="148" t="str">
        <f>IFERROR(__xludf.DUMMYFUNCTION("""COMPUTED_VALUE"""),"[]")</f>
        <v>[]</v>
      </c>
    </row>
    <row r="568">
      <c r="A568" s="148">
        <f>IFERROR(__xludf.DUMMYFUNCTION("""COMPUTED_VALUE"""),1.12110019E8)</f>
        <v>112110019</v>
      </c>
      <c r="B568" s="148" t="str">
        <f>IFERROR(__xludf.DUMMYFUNCTION("""COMPUTED_VALUE"""),"KVK3-押镖单位-BOSS4")</f>
        <v>KVK3-押镖单位-BOSS4</v>
      </c>
      <c r="C568" s="148">
        <f>IFERROR(__xludf.DUMMYFUNCTION("""COMPUTED_VALUE"""),1.1221004E7)</f>
        <v>11221004</v>
      </c>
      <c r="D568" s="148">
        <f>IFERROR(__xludf.DUMMYFUNCTION("""COMPUTED_VALUE"""),1.5116428E7)</f>
        <v>15116428</v>
      </c>
      <c r="E568" s="148" t="str">
        <f>IFERROR(__xludf.DUMMYFUNCTION("""COMPUTED_VALUE"""),"{""typ"":""lc"",""txt"":""LC_NPC_kvk3_npc_reg_name""}")</f>
        <v>{"typ":"lc","txt":"LC_NPC_kvk3_npc_reg_name"}</v>
      </c>
      <c r="F568" s="148" t="str">
        <f>IFERROR(__xludf.DUMMYFUNCTION("""COMPUTED_VALUE"""),"{""typ"":""lc"",""txt"":""LC_NPC_kvk3_npc_reg_desc""}")</f>
        <v>{"typ":"lc","txt":"LC_NPC_kvk3_npc_reg_desc"}</v>
      </c>
      <c r="G568" s="148">
        <f>IFERROR(__xludf.DUMMYFUNCTION("""COMPUTED_VALUE"""),10.0)</f>
        <v>10</v>
      </c>
      <c r="H568" s="148">
        <f>IFERROR(__xludf.DUMMYFUNCTION("""COMPUTED_VALUE"""),10099.0)</f>
        <v>10099</v>
      </c>
      <c r="I568" s="148">
        <f>IFERROR(__xludf.DUMMYFUNCTION("""COMPUTED_VALUE"""),10099.0)</f>
        <v>10099</v>
      </c>
      <c r="J568" s="148">
        <f>IFERROR(__xludf.DUMMYFUNCTION("""COMPUTED_VALUE"""),0.0)</f>
        <v>0</v>
      </c>
      <c r="K568" s="148">
        <f>IFERROR(__xludf.DUMMYFUNCTION("""COMPUTED_VALUE"""),10.0)</f>
        <v>10</v>
      </c>
      <c r="L568" s="148">
        <f>IFERROR(__xludf.DUMMYFUNCTION("""COMPUTED_VALUE"""),99.0)</f>
        <v>99</v>
      </c>
      <c r="M568" s="148">
        <f>IFERROR(__xludf.DUMMYFUNCTION("""COMPUTED_VALUE"""),0.0)</f>
        <v>0</v>
      </c>
      <c r="N568" s="148" t="str">
        <f>IFERROR(__xludf.DUMMYFUNCTION("""COMPUTED_VALUE"""),"[]")</f>
        <v>[]</v>
      </c>
      <c r="O568" s="148" t="str">
        <f>IFERROR(__xludf.DUMMYFUNCTION("""COMPUTED_VALUE"""),"{}")</f>
        <v>{}</v>
      </c>
      <c r="P568" s="148">
        <f>IFERROR(__xludf.DUMMYFUNCTION("""COMPUTED_VALUE"""),0.0)</f>
        <v>0</v>
      </c>
      <c r="Q568" s="148" t="str">
        <f>IFERROR(__xludf.DUMMYFUNCTION("""COMPUTED_VALUE"""),"[]")</f>
        <v>[]</v>
      </c>
      <c r="R568" s="148" t="str">
        <f>IFERROR(__xludf.DUMMYFUNCTION("""COMPUTED_VALUE"""),"{}")</f>
        <v>{}</v>
      </c>
      <c r="S568" s="148">
        <f>IFERROR(__xludf.DUMMYFUNCTION("""COMPUTED_VALUE"""),0.0)</f>
        <v>0</v>
      </c>
      <c r="T568" s="148" t="str">
        <f>IFERROR(__xludf.DUMMYFUNCTION("""COMPUTED_VALUE"""),"[]")</f>
        <v>[]</v>
      </c>
      <c r="U568" s="148">
        <f>IFERROR(__xludf.DUMMYFUNCTION("""COMPUTED_VALUE"""),0.0)</f>
        <v>0</v>
      </c>
      <c r="V568" s="148" t="str">
        <f>IFERROR(__xludf.DUMMYFUNCTION("""COMPUTED_VALUE"""),"{}")</f>
        <v>{}</v>
      </c>
      <c r="W568" s="148" t="str">
        <f>IFERROR(__xludf.DUMMYFUNCTION("""COMPUTED_VALUE"""),"[]")</f>
        <v>[]</v>
      </c>
      <c r="X568" s="148" t="str">
        <f>IFERROR(__xludf.DUMMYFUNCTION("""COMPUTED_VALUE"""),"[{""typ"":""power"",""id"":12141002,""val"":10}]")</f>
        <v>[{"typ":"power","id":12141002,"val":10}]</v>
      </c>
      <c r="Y568" s="148" t="str">
        <f>IFERROR(__xludf.DUMMYFUNCTION("""COMPUTED_VALUE"""),"[{""typ"":""atk"",""val"":225},{""typ"":""def"",""val"":125},{""typ"":""hp"",""val"":135},{""typ"":""speed"",""val"":50},{""typ"":""load"",""val"":20},{""typ"":""backcoef"",""val"":0.5},{""typ"":""atkcoef"",""val"":1.0},{""typ"":""atkcd"",""val"":0}]")</f>
        <v>[{"typ":"atk","val":225},{"typ":"def","val":125},{"typ":"hp","val":135},{"typ":"speed","val":50},{"typ":"load","val":20},{"typ":"backcoef","val":0.5},{"typ":"atkcoef","val":1.0},{"typ":"atkcd","val":0}]</v>
      </c>
      <c r="Z568" s="148" t="str">
        <f>IFERROR(__xludf.DUMMYFUNCTION("""COMPUTED_VALUE"""),"[]")</f>
        <v>[]</v>
      </c>
    </row>
    <row r="569">
      <c r="A569" s="148">
        <f>IFERROR(__xludf.DUMMYFUNCTION("""COMPUTED_VALUE"""),1.1211002E8)</f>
        <v>112110020</v>
      </c>
      <c r="B569" s="148" t="str">
        <f>IFERROR(__xludf.DUMMYFUNCTION("""COMPUTED_VALUE"""),"KVK3-押镖单位-BOSS5")</f>
        <v>KVK3-押镖单位-BOSS5</v>
      </c>
      <c r="C569" s="148">
        <f>IFERROR(__xludf.DUMMYFUNCTION("""COMPUTED_VALUE"""),1.1221004E7)</f>
        <v>11221004</v>
      </c>
      <c r="D569" s="148">
        <f>IFERROR(__xludf.DUMMYFUNCTION("""COMPUTED_VALUE"""),1.5116429E7)</f>
        <v>15116429</v>
      </c>
      <c r="E569" s="148" t="str">
        <f>IFERROR(__xludf.DUMMYFUNCTION("""COMPUTED_VALUE"""),"{""typ"":""lc"",""txt"":""LC_NPC_kvk3_npc_reg_name""}")</f>
        <v>{"typ":"lc","txt":"LC_NPC_kvk3_npc_reg_name"}</v>
      </c>
      <c r="F569" s="148" t="str">
        <f>IFERROR(__xludf.DUMMYFUNCTION("""COMPUTED_VALUE"""),"{""typ"":""lc"",""txt"":""LC_NPC_kvk3_npc_reg_desc""}")</f>
        <v>{"typ":"lc","txt":"LC_NPC_kvk3_npc_reg_desc"}</v>
      </c>
      <c r="G569" s="148">
        <f>IFERROR(__xludf.DUMMYFUNCTION("""COMPUTED_VALUE"""),10.0)</f>
        <v>10</v>
      </c>
      <c r="H569" s="148">
        <f>IFERROR(__xludf.DUMMYFUNCTION("""COMPUTED_VALUE"""),10099.0)</f>
        <v>10099</v>
      </c>
      <c r="I569" s="148">
        <f>IFERROR(__xludf.DUMMYFUNCTION("""COMPUTED_VALUE"""),10099.0)</f>
        <v>10099</v>
      </c>
      <c r="J569" s="148">
        <f>IFERROR(__xludf.DUMMYFUNCTION("""COMPUTED_VALUE"""),0.0)</f>
        <v>0</v>
      </c>
      <c r="K569" s="148">
        <f>IFERROR(__xludf.DUMMYFUNCTION("""COMPUTED_VALUE"""),10.0)</f>
        <v>10</v>
      </c>
      <c r="L569" s="148">
        <f>IFERROR(__xludf.DUMMYFUNCTION("""COMPUTED_VALUE"""),99.0)</f>
        <v>99</v>
      </c>
      <c r="M569" s="148">
        <f>IFERROR(__xludf.DUMMYFUNCTION("""COMPUTED_VALUE"""),0.0)</f>
        <v>0</v>
      </c>
      <c r="N569" s="148" t="str">
        <f>IFERROR(__xludf.DUMMYFUNCTION("""COMPUTED_VALUE"""),"[]")</f>
        <v>[]</v>
      </c>
      <c r="O569" s="148" t="str">
        <f>IFERROR(__xludf.DUMMYFUNCTION("""COMPUTED_VALUE"""),"{}")</f>
        <v>{}</v>
      </c>
      <c r="P569" s="148">
        <f>IFERROR(__xludf.DUMMYFUNCTION("""COMPUTED_VALUE"""),0.0)</f>
        <v>0</v>
      </c>
      <c r="Q569" s="148" t="str">
        <f>IFERROR(__xludf.DUMMYFUNCTION("""COMPUTED_VALUE"""),"[]")</f>
        <v>[]</v>
      </c>
      <c r="R569" s="148" t="str">
        <f>IFERROR(__xludf.DUMMYFUNCTION("""COMPUTED_VALUE"""),"{}")</f>
        <v>{}</v>
      </c>
      <c r="S569" s="148">
        <f>IFERROR(__xludf.DUMMYFUNCTION("""COMPUTED_VALUE"""),0.0)</f>
        <v>0</v>
      </c>
      <c r="T569" s="148" t="str">
        <f>IFERROR(__xludf.DUMMYFUNCTION("""COMPUTED_VALUE"""),"[]")</f>
        <v>[]</v>
      </c>
      <c r="U569" s="148">
        <f>IFERROR(__xludf.DUMMYFUNCTION("""COMPUTED_VALUE"""),0.0)</f>
        <v>0</v>
      </c>
      <c r="V569" s="148" t="str">
        <f>IFERROR(__xludf.DUMMYFUNCTION("""COMPUTED_VALUE"""),"{}")</f>
        <v>{}</v>
      </c>
      <c r="W569" s="148" t="str">
        <f>IFERROR(__xludf.DUMMYFUNCTION("""COMPUTED_VALUE"""),"[]")</f>
        <v>[]</v>
      </c>
      <c r="X569" s="148" t="str">
        <f>IFERROR(__xludf.DUMMYFUNCTION("""COMPUTED_VALUE"""),"[{""typ"":""power"",""id"":12141002,""val"":10}]")</f>
        <v>[{"typ":"power","id":12141002,"val":10}]</v>
      </c>
      <c r="Y569" s="148" t="str">
        <f>IFERROR(__xludf.DUMMYFUNCTION("""COMPUTED_VALUE"""),"[{""typ"":""atk"",""val"":300},{""typ"":""def"",""val"":125},{""typ"":""hp"",""val"":135},{""typ"":""speed"",""val"":50},{""typ"":""load"",""val"":20},{""typ"":""backcoef"",""val"":0.5},{""typ"":""atkcoef"",""val"":1.0},{""typ"":""atkcd"",""val"":0}]")</f>
        <v>[{"typ":"atk","val":300},{"typ":"def","val":125},{"typ":"hp","val":135},{"typ":"speed","val":50},{"typ":"load","val":20},{"typ":"backcoef","val":0.5},{"typ":"atkcoef","val":1.0},{"typ":"atkcd","val":0}]</v>
      </c>
      <c r="Z569" s="148" t="str">
        <f>IFERROR(__xludf.DUMMYFUNCTION("""COMPUTED_VALUE"""),"[]")</f>
        <v>[]</v>
      </c>
    </row>
    <row r="570">
      <c r="A570" s="148">
        <f>IFERROR(__xludf.DUMMYFUNCTION("""COMPUTED_VALUE"""),1.12110021E8)</f>
        <v>112110021</v>
      </c>
      <c r="B570" s="148" t="str">
        <f>IFERROR(__xludf.DUMMYFUNCTION("""COMPUTED_VALUE"""),"KVK5-押镖单位-白怪1")</f>
        <v>KVK5-押镖单位-白怪1</v>
      </c>
      <c r="C570" s="148">
        <f>IFERROR(__xludf.DUMMYFUNCTION("""COMPUTED_VALUE"""),1.1221004E7)</f>
        <v>11221004</v>
      </c>
      <c r="D570" s="148">
        <f>IFERROR(__xludf.DUMMYFUNCTION("""COMPUTED_VALUE"""),1.51101123E8)</f>
        <v>151101123</v>
      </c>
      <c r="E570" s="148" t="str">
        <f>IFERROR(__xludf.DUMMYFUNCTION("""COMPUTED_VALUE"""),"{""typ"":""lc"",""txt"":""LC_KVK_kvk5_monster_name_1""}")</f>
        <v>{"typ":"lc","txt":"LC_KVK_kvk5_monster_name_1"}</v>
      </c>
      <c r="F570" s="148" t="str">
        <f>IFERROR(__xludf.DUMMYFUNCTION("""COMPUTED_VALUE"""),"{""typ"":""lc"",""txt"":""LC_KVK_kvk5_monster_desc_1""}")</f>
        <v>{"typ":"lc","txt":"LC_KVK_kvk5_monster_desc_1"}</v>
      </c>
      <c r="G570" s="148">
        <f>IFERROR(__xludf.DUMMYFUNCTION("""COMPUTED_VALUE"""),10.0)</f>
        <v>10</v>
      </c>
      <c r="H570" s="148">
        <f>IFERROR(__xludf.DUMMYFUNCTION("""COMPUTED_VALUE"""),10099.0)</f>
        <v>10099</v>
      </c>
      <c r="I570" s="148">
        <f>IFERROR(__xludf.DUMMYFUNCTION("""COMPUTED_VALUE"""),10099.0)</f>
        <v>10099</v>
      </c>
      <c r="J570" s="148">
        <f>IFERROR(__xludf.DUMMYFUNCTION("""COMPUTED_VALUE"""),0.0)</f>
        <v>0</v>
      </c>
      <c r="K570" s="148">
        <f>IFERROR(__xludf.DUMMYFUNCTION("""COMPUTED_VALUE"""),10.0)</f>
        <v>10</v>
      </c>
      <c r="L570" s="148">
        <f>IFERROR(__xludf.DUMMYFUNCTION("""COMPUTED_VALUE"""),99.0)</f>
        <v>99</v>
      </c>
      <c r="M570" s="148">
        <f>IFERROR(__xludf.DUMMYFUNCTION("""COMPUTED_VALUE"""),0.0)</f>
        <v>0</v>
      </c>
      <c r="N570" s="148" t="str">
        <f>IFERROR(__xludf.DUMMYFUNCTION("""COMPUTED_VALUE"""),"[]")</f>
        <v>[]</v>
      </c>
      <c r="O570" s="148" t="str">
        <f>IFERROR(__xludf.DUMMYFUNCTION("""COMPUTED_VALUE"""),"{}")</f>
        <v>{}</v>
      </c>
      <c r="P570" s="148">
        <f>IFERROR(__xludf.DUMMYFUNCTION("""COMPUTED_VALUE"""),0.0)</f>
        <v>0</v>
      </c>
      <c r="Q570" s="148" t="str">
        <f>IFERROR(__xludf.DUMMYFUNCTION("""COMPUTED_VALUE"""),"[]")</f>
        <v>[]</v>
      </c>
      <c r="R570" s="148" t="str">
        <f>IFERROR(__xludf.DUMMYFUNCTION("""COMPUTED_VALUE"""),"{}")</f>
        <v>{}</v>
      </c>
      <c r="S570" s="148">
        <f>IFERROR(__xludf.DUMMYFUNCTION("""COMPUTED_VALUE"""),0.0)</f>
        <v>0</v>
      </c>
      <c r="T570" s="148" t="str">
        <f>IFERROR(__xludf.DUMMYFUNCTION("""COMPUTED_VALUE"""),"[]")</f>
        <v>[]</v>
      </c>
      <c r="U570" s="148">
        <f>IFERROR(__xludf.DUMMYFUNCTION("""COMPUTED_VALUE"""),0.0)</f>
        <v>0</v>
      </c>
      <c r="V570" s="148" t="str">
        <f>IFERROR(__xludf.DUMMYFUNCTION("""COMPUTED_VALUE"""),"{}")</f>
        <v>{}</v>
      </c>
      <c r="W570" s="148" t="str">
        <f>IFERROR(__xludf.DUMMYFUNCTION("""COMPUTED_VALUE"""),"[]")</f>
        <v>[]</v>
      </c>
      <c r="X570" s="148" t="str">
        <f>IFERROR(__xludf.DUMMYFUNCTION("""COMPUTED_VALUE"""),"[{""typ"":""power"",""id"":12141002,""val"":1}]")</f>
        <v>[{"typ":"power","id":12141002,"val":1}]</v>
      </c>
      <c r="Y570" s="148" t="str">
        <f>IFERROR(__xludf.DUMMYFUNCTION("""COMPUTED_VALUE"""),"[{""typ"":""atk"",""val"":500},{""typ"":""def"",""val"":380},{""typ"":""hp"",""val"":315},{""typ"":""speed"",""val"":50},{""typ"":""load"",""val"":20},{""typ"":""backcoef"",""val"":0.5},{""typ"":""atkcoef"",""val"":1.0},{""typ"":""atkcd"",""val"":0}]")</f>
        <v>[{"typ":"atk","val":500},{"typ":"def","val":380},{"typ":"hp","val":315},{"typ":"speed","val":50},{"typ":"load","val":20},{"typ":"backcoef","val":0.5},{"typ":"atkcoef","val":1.0},{"typ":"atkcd","val":0}]</v>
      </c>
      <c r="Z570" s="148" t="str">
        <f>IFERROR(__xludf.DUMMYFUNCTION("""COMPUTED_VALUE"""),"[]")</f>
        <v>[]</v>
      </c>
    </row>
    <row r="571">
      <c r="A571" s="148">
        <f>IFERROR(__xludf.DUMMYFUNCTION("""COMPUTED_VALUE"""),1.12110022E8)</f>
        <v>112110022</v>
      </c>
      <c r="B571" s="148" t="str">
        <f>IFERROR(__xludf.DUMMYFUNCTION("""COMPUTED_VALUE"""),"KVK5-押镖单位-白怪2")</f>
        <v>KVK5-押镖单位-白怪2</v>
      </c>
      <c r="C571" s="148">
        <f>IFERROR(__xludf.DUMMYFUNCTION("""COMPUTED_VALUE"""),1.1221004E7)</f>
        <v>11221004</v>
      </c>
      <c r="D571" s="148">
        <f>IFERROR(__xludf.DUMMYFUNCTION("""COMPUTED_VALUE"""),1.51101123E8)</f>
        <v>151101123</v>
      </c>
      <c r="E571" s="148" t="str">
        <f>IFERROR(__xludf.DUMMYFUNCTION("""COMPUTED_VALUE"""),"{""typ"":""lc"",""txt"":""LC_KVK_kvk5_monster_name_1""}")</f>
        <v>{"typ":"lc","txt":"LC_KVK_kvk5_monster_name_1"}</v>
      </c>
      <c r="F571" s="148" t="str">
        <f>IFERROR(__xludf.DUMMYFUNCTION("""COMPUTED_VALUE"""),"{""typ"":""lc"",""txt"":""LC_KVK_kvk5_monster_desc_1""}")</f>
        <v>{"typ":"lc","txt":"LC_KVK_kvk5_monster_desc_1"}</v>
      </c>
      <c r="G571" s="148">
        <f>IFERROR(__xludf.DUMMYFUNCTION("""COMPUTED_VALUE"""),10.0)</f>
        <v>10</v>
      </c>
      <c r="H571" s="148">
        <f>IFERROR(__xludf.DUMMYFUNCTION("""COMPUTED_VALUE"""),10099.0)</f>
        <v>10099</v>
      </c>
      <c r="I571" s="148">
        <f>IFERROR(__xludf.DUMMYFUNCTION("""COMPUTED_VALUE"""),10099.0)</f>
        <v>10099</v>
      </c>
      <c r="J571" s="148">
        <f>IFERROR(__xludf.DUMMYFUNCTION("""COMPUTED_VALUE"""),0.0)</f>
        <v>0</v>
      </c>
      <c r="K571" s="148">
        <f>IFERROR(__xludf.DUMMYFUNCTION("""COMPUTED_VALUE"""),10.0)</f>
        <v>10</v>
      </c>
      <c r="L571" s="148">
        <f>IFERROR(__xludf.DUMMYFUNCTION("""COMPUTED_VALUE"""),99.0)</f>
        <v>99</v>
      </c>
      <c r="M571" s="148">
        <f>IFERROR(__xludf.DUMMYFUNCTION("""COMPUTED_VALUE"""),0.0)</f>
        <v>0</v>
      </c>
      <c r="N571" s="148" t="str">
        <f>IFERROR(__xludf.DUMMYFUNCTION("""COMPUTED_VALUE"""),"[]")</f>
        <v>[]</v>
      </c>
      <c r="O571" s="148" t="str">
        <f>IFERROR(__xludf.DUMMYFUNCTION("""COMPUTED_VALUE"""),"{}")</f>
        <v>{}</v>
      </c>
      <c r="P571" s="148">
        <f>IFERROR(__xludf.DUMMYFUNCTION("""COMPUTED_VALUE"""),0.0)</f>
        <v>0</v>
      </c>
      <c r="Q571" s="148" t="str">
        <f>IFERROR(__xludf.DUMMYFUNCTION("""COMPUTED_VALUE"""),"[]")</f>
        <v>[]</v>
      </c>
      <c r="R571" s="148" t="str">
        <f>IFERROR(__xludf.DUMMYFUNCTION("""COMPUTED_VALUE"""),"{}")</f>
        <v>{}</v>
      </c>
      <c r="S571" s="148">
        <f>IFERROR(__xludf.DUMMYFUNCTION("""COMPUTED_VALUE"""),0.0)</f>
        <v>0</v>
      </c>
      <c r="T571" s="148" t="str">
        <f>IFERROR(__xludf.DUMMYFUNCTION("""COMPUTED_VALUE"""),"[]")</f>
        <v>[]</v>
      </c>
      <c r="U571" s="148">
        <f>IFERROR(__xludf.DUMMYFUNCTION("""COMPUTED_VALUE"""),0.0)</f>
        <v>0</v>
      </c>
      <c r="V571" s="148" t="str">
        <f>IFERROR(__xludf.DUMMYFUNCTION("""COMPUTED_VALUE"""),"{}")</f>
        <v>{}</v>
      </c>
      <c r="W571" s="148" t="str">
        <f>IFERROR(__xludf.DUMMYFUNCTION("""COMPUTED_VALUE"""),"[]")</f>
        <v>[]</v>
      </c>
      <c r="X571" s="148" t="str">
        <f>IFERROR(__xludf.DUMMYFUNCTION("""COMPUTED_VALUE"""),"[{""typ"":""power"",""id"":12141002,""val"":1}]")</f>
        <v>[{"typ":"power","id":12141002,"val":1}]</v>
      </c>
      <c r="Y571" s="148" t="str">
        <f>IFERROR(__xludf.DUMMYFUNCTION("""COMPUTED_VALUE"""),"[{""typ"":""atk"",""val"":500},{""typ"":""def"",""val"":380},{""typ"":""hp"",""val"":315},{""typ"":""speed"",""val"":50},{""typ"":""load"",""val"":20},{""typ"":""backcoef"",""val"":0.5},{""typ"":""atkcoef"",""val"":1.0},{""typ"":""atkcd"",""val"":0}]")</f>
        <v>[{"typ":"atk","val":500},{"typ":"def","val":380},{"typ":"hp","val":315},{"typ":"speed","val":50},{"typ":"load","val":20},{"typ":"backcoef","val":0.5},{"typ":"atkcoef","val":1.0},{"typ":"atkcd","val":0}]</v>
      </c>
      <c r="Z571" s="148" t="str">
        <f>IFERROR(__xludf.DUMMYFUNCTION("""COMPUTED_VALUE"""),"[]")</f>
        <v>[]</v>
      </c>
    </row>
    <row r="572">
      <c r="A572" s="148">
        <f>IFERROR(__xludf.DUMMYFUNCTION("""COMPUTED_VALUE"""),1.12110023E8)</f>
        <v>112110023</v>
      </c>
      <c r="B572" s="148" t="str">
        <f>IFERROR(__xludf.DUMMYFUNCTION("""COMPUTED_VALUE"""),"KVK5-押镖单位-白怪3")</f>
        <v>KVK5-押镖单位-白怪3</v>
      </c>
      <c r="C572" s="148">
        <f>IFERROR(__xludf.DUMMYFUNCTION("""COMPUTED_VALUE"""),1.1221004E7)</f>
        <v>11221004</v>
      </c>
      <c r="D572" s="148">
        <f>IFERROR(__xludf.DUMMYFUNCTION("""COMPUTED_VALUE"""),1.51101123E8)</f>
        <v>151101123</v>
      </c>
      <c r="E572" s="148" t="str">
        <f>IFERROR(__xludf.DUMMYFUNCTION("""COMPUTED_VALUE"""),"{""typ"":""lc"",""txt"":""LC_KVK_kvk5_monster_name_1""}")</f>
        <v>{"typ":"lc","txt":"LC_KVK_kvk5_monster_name_1"}</v>
      </c>
      <c r="F572" s="148" t="str">
        <f>IFERROR(__xludf.DUMMYFUNCTION("""COMPUTED_VALUE"""),"{""typ"":""lc"",""txt"":""LC_KVK_kvk5_monster_desc_1""}")</f>
        <v>{"typ":"lc","txt":"LC_KVK_kvk5_monster_desc_1"}</v>
      </c>
      <c r="G572" s="148">
        <f>IFERROR(__xludf.DUMMYFUNCTION("""COMPUTED_VALUE"""),10.0)</f>
        <v>10</v>
      </c>
      <c r="H572" s="148">
        <f>IFERROR(__xludf.DUMMYFUNCTION("""COMPUTED_VALUE"""),10099.0)</f>
        <v>10099</v>
      </c>
      <c r="I572" s="148">
        <f>IFERROR(__xludf.DUMMYFUNCTION("""COMPUTED_VALUE"""),10099.0)</f>
        <v>10099</v>
      </c>
      <c r="J572" s="148">
        <f>IFERROR(__xludf.DUMMYFUNCTION("""COMPUTED_VALUE"""),0.0)</f>
        <v>0</v>
      </c>
      <c r="K572" s="148">
        <f>IFERROR(__xludf.DUMMYFUNCTION("""COMPUTED_VALUE"""),10.0)</f>
        <v>10</v>
      </c>
      <c r="L572" s="148">
        <f>IFERROR(__xludf.DUMMYFUNCTION("""COMPUTED_VALUE"""),99.0)</f>
        <v>99</v>
      </c>
      <c r="M572" s="148">
        <f>IFERROR(__xludf.DUMMYFUNCTION("""COMPUTED_VALUE"""),0.0)</f>
        <v>0</v>
      </c>
      <c r="N572" s="148" t="str">
        <f>IFERROR(__xludf.DUMMYFUNCTION("""COMPUTED_VALUE"""),"[]")</f>
        <v>[]</v>
      </c>
      <c r="O572" s="148" t="str">
        <f>IFERROR(__xludf.DUMMYFUNCTION("""COMPUTED_VALUE"""),"{}")</f>
        <v>{}</v>
      </c>
      <c r="P572" s="148">
        <f>IFERROR(__xludf.DUMMYFUNCTION("""COMPUTED_VALUE"""),0.0)</f>
        <v>0</v>
      </c>
      <c r="Q572" s="148" t="str">
        <f>IFERROR(__xludf.DUMMYFUNCTION("""COMPUTED_VALUE"""),"[]")</f>
        <v>[]</v>
      </c>
      <c r="R572" s="148" t="str">
        <f>IFERROR(__xludf.DUMMYFUNCTION("""COMPUTED_VALUE"""),"{}")</f>
        <v>{}</v>
      </c>
      <c r="S572" s="148">
        <f>IFERROR(__xludf.DUMMYFUNCTION("""COMPUTED_VALUE"""),0.0)</f>
        <v>0</v>
      </c>
      <c r="T572" s="148" t="str">
        <f>IFERROR(__xludf.DUMMYFUNCTION("""COMPUTED_VALUE"""),"[]")</f>
        <v>[]</v>
      </c>
      <c r="U572" s="148">
        <f>IFERROR(__xludf.DUMMYFUNCTION("""COMPUTED_VALUE"""),0.0)</f>
        <v>0</v>
      </c>
      <c r="V572" s="148" t="str">
        <f>IFERROR(__xludf.DUMMYFUNCTION("""COMPUTED_VALUE"""),"{}")</f>
        <v>{}</v>
      </c>
      <c r="W572" s="148" t="str">
        <f>IFERROR(__xludf.DUMMYFUNCTION("""COMPUTED_VALUE"""),"[]")</f>
        <v>[]</v>
      </c>
      <c r="X572" s="148" t="str">
        <f>IFERROR(__xludf.DUMMYFUNCTION("""COMPUTED_VALUE"""),"[{""typ"":""power"",""id"":12141002,""val"":1}]")</f>
        <v>[{"typ":"power","id":12141002,"val":1}]</v>
      </c>
      <c r="Y572" s="148" t="str">
        <f>IFERROR(__xludf.DUMMYFUNCTION("""COMPUTED_VALUE"""),"[{""typ"":""atk"",""val"":500},{""typ"":""def"",""val"":380},{""typ"":""hp"",""val"":315},{""typ"":""speed"",""val"":50},{""typ"":""load"",""val"":20},{""typ"":""backcoef"",""val"":0.5},{""typ"":""atkcoef"",""val"":1.0},{""typ"":""atkcd"",""val"":0}]")</f>
        <v>[{"typ":"atk","val":500},{"typ":"def","val":380},{"typ":"hp","val":315},{"typ":"speed","val":50},{"typ":"load","val":20},{"typ":"backcoef","val":0.5},{"typ":"atkcoef","val":1.0},{"typ":"atkcd","val":0}]</v>
      </c>
      <c r="Z572" s="148" t="str">
        <f>IFERROR(__xludf.DUMMYFUNCTION("""COMPUTED_VALUE"""),"[]")</f>
        <v>[]</v>
      </c>
    </row>
    <row r="573">
      <c r="A573" s="148">
        <f>IFERROR(__xludf.DUMMYFUNCTION("""COMPUTED_VALUE"""),1.12110024E8)</f>
        <v>112110024</v>
      </c>
      <c r="B573" s="148" t="str">
        <f>IFERROR(__xludf.DUMMYFUNCTION("""COMPUTED_VALUE"""),"KVK5-押镖单位-白怪4")</f>
        <v>KVK5-押镖单位-白怪4</v>
      </c>
      <c r="C573" s="148">
        <f>IFERROR(__xludf.DUMMYFUNCTION("""COMPUTED_VALUE"""),1.1221004E7)</f>
        <v>11221004</v>
      </c>
      <c r="D573" s="148">
        <f>IFERROR(__xludf.DUMMYFUNCTION("""COMPUTED_VALUE"""),1.51101123E8)</f>
        <v>151101123</v>
      </c>
      <c r="E573" s="148" t="str">
        <f>IFERROR(__xludf.DUMMYFUNCTION("""COMPUTED_VALUE"""),"{""typ"":""lc"",""txt"":""LC_KVK_kvk5_monster_name_1""}")</f>
        <v>{"typ":"lc","txt":"LC_KVK_kvk5_monster_name_1"}</v>
      </c>
      <c r="F573" s="148" t="str">
        <f>IFERROR(__xludf.DUMMYFUNCTION("""COMPUTED_VALUE"""),"{""typ"":""lc"",""txt"":""LC_KVK_kvk5_monster_desc_1""}")</f>
        <v>{"typ":"lc","txt":"LC_KVK_kvk5_monster_desc_1"}</v>
      </c>
      <c r="G573" s="148">
        <f>IFERROR(__xludf.DUMMYFUNCTION("""COMPUTED_VALUE"""),10.0)</f>
        <v>10</v>
      </c>
      <c r="H573" s="148">
        <f>IFERROR(__xludf.DUMMYFUNCTION("""COMPUTED_VALUE"""),10099.0)</f>
        <v>10099</v>
      </c>
      <c r="I573" s="148">
        <f>IFERROR(__xludf.DUMMYFUNCTION("""COMPUTED_VALUE"""),10099.0)</f>
        <v>10099</v>
      </c>
      <c r="J573" s="148">
        <f>IFERROR(__xludf.DUMMYFUNCTION("""COMPUTED_VALUE"""),0.0)</f>
        <v>0</v>
      </c>
      <c r="K573" s="148">
        <f>IFERROR(__xludf.DUMMYFUNCTION("""COMPUTED_VALUE"""),10.0)</f>
        <v>10</v>
      </c>
      <c r="L573" s="148">
        <f>IFERROR(__xludf.DUMMYFUNCTION("""COMPUTED_VALUE"""),99.0)</f>
        <v>99</v>
      </c>
      <c r="M573" s="148">
        <f>IFERROR(__xludf.DUMMYFUNCTION("""COMPUTED_VALUE"""),0.0)</f>
        <v>0</v>
      </c>
      <c r="N573" s="148" t="str">
        <f>IFERROR(__xludf.DUMMYFUNCTION("""COMPUTED_VALUE"""),"[]")</f>
        <v>[]</v>
      </c>
      <c r="O573" s="148" t="str">
        <f>IFERROR(__xludf.DUMMYFUNCTION("""COMPUTED_VALUE"""),"{}")</f>
        <v>{}</v>
      </c>
      <c r="P573" s="148">
        <f>IFERROR(__xludf.DUMMYFUNCTION("""COMPUTED_VALUE"""),0.0)</f>
        <v>0</v>
      </c>
      <c r="Q573" s="148" t="str">
        <f>IFERROR(__xludf.DUMMYFUNCTION("""COMPUTED_VALUE"""),"[]")</f>
        <v>[]</v>
      </c>
      <c r="R573" s="148" t="str">
        <f>IFERROR(__xludf.DUMMYFUNCTION("""COMPUTED_VALUE"""),"{}")</f>
        <v>{}</v>
      </c>
      <c r="S573" s="148">
        <f>IFERROR(__xludf.DUMMYFUNCTION("""COMPUTED_VALUE"""),0.0)</f>
        <v>0</v>
      </c>
      <c r="T573" s="148" t="str">
        <f>IFERROR(__xludf.DUMMYFUNCTION("""COMPUTED_VALUE"""),"[]")</f>
        <v>[]</v>
      </c>
      <c r="U573" s="148">
        <f>IFERROR(__xludf.DUMMYFUNCTION("""COMPUTED_VALUE"""),0.0)</f>
        <v>0</v>
      </c>
      <c r="V573" s="148" t="str">
        <f>IFERROR(__xludf.DUMMYFUNCTION("""COMPUTED_VALUE"""),"{}")</f>
        <v>{}</v>
      </c>
      <c r="W573" s="148" t="str">
        <f>IFERROR(__xludf.DUMMYFUNCTION("""COMPUTED_VALUE"""),"[]")</f>
        <v>[]</v>
      </c>
      <c r="X573" s="148" t="str">
        <f>IFERROR(__xludf.DUMMYFUNCTION("""COMPUTED_VALUE"""),"[{""typ"":""power"",""id"":12141002,""val"":1}]")</f>
        <v>[{"typ":"power","id":12141002,"val":1}]</v>
      </c>
      <c r="Y573" s="148" t="str">
        <f>IFERROR(__xludf.DUMMYFUNCTION("""COMPUTED_VALUE"""),"[{""typ"":""atk"",""val"":500},{""typ"":""def"",""val"":380},{""typ"":""hp"",""val"":315},{""typ"":""speed"",""val"":50},{""typ"":""load"",""val"":20},{""typ"":""backcoef"",""val"":0.5},{""typ"":""atkcoef"",""val"":1.0},{""typ"":""atkcd"",""val"":0}]")</f>
        <v>[{"typ":"atk","val":500},{"typ":"def","val":380},{"typ":"hp","val":315},{"typ":"speed","val":50},{"typ":"load","val":20},{"typ":"backcoef","val":0.5},{"typ":"atkcoef","val":1.0},{"typ":"atkcd","val":0}]</v>
      </c>
      <c r="Z573" s="148" t="str">
        <f>IFERROR(__xludf.DUMMYFUNCTION("""COMPUTED_VALUE"""),"[]")</f>
        <v>[]</v>
      </c>
    </row>
    <row r="574">
      <c r="A574" s="148">
        <f>IFERROR(__xludf.DUMMYFUNCTION("""COMPUTED_VALUE"""),1.12110025E8)</f>
        <v>112110025</v>
      </c>
      <c r="B574" s="148" t="str">
        <f>IFERROR(__xludf.DUMMYFUNCTION("""COMPUTED_VALUE"""),"KVK5-押镖单位-白怪5")</f>
        <v>KVK5-押镖单位-白怪5</v>
      </c>
      <c r="C574" s="148">
        <f>IFERROR(__xludf.DUMMYFUNCTION("""COMPUTED_VALUE"""),1.1221004E7)</f>
        <v>11221004</v>
      </c>
      <c r="D574" s="148">
        <f>IFERROR(__xludf.DUMMYFUNCTION("""COMPUTED_VALUE"""),1.51101123E8)</f>
        <v>151101123</v>
      </c>
      <c r="E574" s="148" t="str">
        <f>IFERROR(__xludf.DUMMYFUNCTION("""COMPUTED_VALUE"""),"{""typ"":""lc"",""txt"":""LC_KVK_kvk5_monster_name_1""}")</f>
        <v>{"typ":"lc","txt":"LC_KVK_kvk5_monster_name_1"}</v>
      </c>
      <c r="F574" s="148" t="str">
        <f>IFERROR(__xludf.DUMMYFUNCTION("""COMPUTED_VALUE"""),"{""typ"":""lc"",""txt"":""LC_KVK_kvk5_monster_desc_1""}")</f>
        <v>{"typ":"lc","txt":"LC_KVK_kvk5_monster_desc_1"}</v>
      </c>
      <c r="G574" s="148">
        <f>IFERROR(__xludf.DUMMYFUNCTION("""COMPUTED_VALUE"""),10.0)</f>
        <v>10</v>
      </c>
      <c r="H574" s="148">
        <f>IFERROR(__xludf.DUMMYFUNCTION("""COMPUTED_VALUE"""),10099.0)</f>
        <v>10099</v>
      </c>
      <c r="I574" s="148">
        <f>IFERROR(__xludf.DUMMYFUNCTION("""COMPUTED_VALUE"""),10099.0)</f>
        <v>10099</v>
      </c>
      <c r="J574" s="148">
        <f>IFERROR(__xludf.DUMMYFUNCTION("""COMPUTED_VALUE"""),0.0)</f>
        <v>0</v>
      </c>
      <c r="K574" s="148">
        <f>IFERROR(__xludf.DUMMYFUNCTION("""COMPUTED_VALUE"""),10.0)</f>
        <v>10</v>
      </c>
      <c r="L574" s="148">
        <f>IFERROR(__xludf.DUMMYFUNCTION("""COMPUTED_VALUE"""),99.0)</f>
        <v>99</v>
      </c>
      <c r="M574" s="148">
        <f>IFERROR(__xludf.DUMMYFUNCTION("""COMPUTED_VALUE"""),0.0)</f>
        <v>0</v>
      </c>
      <c r="N574" s="148" t="str">
        <f>IFERROR(__xludf.DUMMYFUNCTION("""COMPUTED_VALUE"""),"[]")</f>
        <v>[]</v>
      </c>
      <c r="O574" s="148" t="str">
        <f>IFERROR(__xludf.DUMMYFUNCTION("""COMPUTED_VALUE"""),"{}")</f>
        <v>{}</v>
      </c>
      <c r="P574" s="148">
        <f>IFERROR(__xludf.DUMMYFUNCTION("""COMPUTED_VALUE"""),0.0)</f>
        <v>0</v>
      </c>
      <c r="Q574" s="148" t="str">
        <f>IFERROR(__xludf.DUMMYFUNCTION("""COMPUTED_VALUE"""),"[]")</f>
        <v>[]</v>
      </c>
      <c r="R574" s="148" t="str">
        <f>IFERROR(__xludf.DUMMYFUNCTION("""COMPUTED_VALUE"""),"{}")</f>
        <v>{}</v>
      </c>
      <c r="S574" s="148">
        <f>IFERROR(__xludf.DUMMYFUNCTION("""COMPUTED_VALUE"""),0.0)</f>
        <v>0</v>
      </c>
      <c r="T574" s="148" t="str">
        <f>IFERROR(__xludf.DUMMYFUNCTION("""COMPUTED_VALUE"""),"[]")</f>
        <v>[]</v>
      </c>
      <c r="U574" s="148">
        <f>IFERROR(__xludf.DUMMYFUNCTION("""COMPUTED_VALUE"""),0.0)</f>
        <v>0</v>
      </c>
      <c r="V574" s="148" t="str">
        <f>IFERROR(__xludf.DUMMYFUNCTION("""COMPUTED_VALUE"""),"{}")</f>
        <v>{}</v>
      </c>
      <c r="W574" s="148" t="str">
        <f>IFERROR(__xludf.DUMMYFUNCTION("""COMPUTED_VALUE"""),"[]")</f>
        <v>[]</v>
      </c>
      <c r="X574" s="148" t="str">
        <f>IFERROR(__xludf.DUMMYFUNCTION("""COMPUTED_VALUE"""),"[{""typ"":""power"",""id"":12141002,""val"":1}]")</f>
        <v>[{"typ":"power","id":12141002,"val":1}]</v>
      </c>
      <c r="Y574" s="148" t="str">
        <f>IFERROR(__xludf.DUMMYFUNCTION("""COMPUTED_VALUE"""),"[{""typ"":""atk"",""val"":500},{""typ"":""def"",""val"":380},{""typ"":""hp"",""val"":315},{""typ"":""speed"",""val"":50},{""typ"":""load"",""val"":20},{""typ"":""backcoef"",""val"":0.5},{""typ"":""atkcoef"",""val"":1.0},{""typ"":""atkcd"",""val"":0}]")</f>
        <v>[{"typ":"atk","val":500},{"typ":"def","val":380},{"typ":"hp","val":315},{"typ":"speed","val":50},{"typ":"load","val":20},{"typ":"backcoef","val":0.5},{"typ":"atkcoef","val":1.0},{"typ":"atkcd","val":0}]</v>
      </c>
      <c r="Z574" s="148" t="str">
        <f>IFERROR(__xludf.DUMMYFUNCTION("""COMPUTED_VALUE"""),"[]")</f>
        <v>[]</v>
      </c>
    </row>
    <row r="575">
      <c r="A575" s="148">
        <f>IFERROR(__xludf.DUMMYFUNCTION("""COMPUTED_VALUE"""),1.12110026E8)</f>
        <v>112110026</v>
      </c>
      <c r="B575" s="148" t="str">
        <f>IFERROR(__xludf.DUMMYFUNCTION("""COMPUTED_VALUE"""),"KVK5-押镖单位-绿怪1")</f>
        <v>KVK5-押镖单位-绿怪1</v>
      </c>
      <c r="C575" s="148">
        <f>IFERROR(__xludf.DUMMYFUNCTION("""COMPUTED_VALUE"""),1.1221004E7)</f>
        <v>11221004</v>
      </c>
      <c r="D575" s="148">
        <f>IFERROR(__xludf.DUMMYFUNCTION("""COMPUTED_VALUE"""),1.51101124E8)</f>
        <v>151101124</v>
      </c>
      <c r="E575" s="148" t="str">
        <f>IFERROR(__xludf.DUMMYFUNCTION("""COMPUTED_VALUE"""),"{""typ"":""lc"",""txt"":""LC_KVK_kvk5_monster_name_1""}")</f>
        <v>{"typ":"lc","txt":"LC_KVK_kvk5_monster_name_1"}</v>
      </c>
      <c r="F575" s="148" t="str">
        <f>IFERROR(__xludf.DUMMYFUNCTION("""COMPUTED_VALUE"""),"{""typ"":""lc"",""txt"":""LC_KVK_kvk5_monster_desc_1""}")</f>
        <v>{"typ":"lc","txt":"LC_KVK_kvk5_monster_desc_1"}</v>
      </c>
      <c r="G575" s="148">
        <f>IFERROR(__xludf.DUMMYFUNCTION("""COMPUTED_VALUE"""),10.0)</f>
        <v>10</v>
      </c>
      <c r="H575" s="148">
        <f>IFERROR(__xludf.DUMMYFUNCTION("""COMPUTED_VALUE"""),10099.0)</f>
        <v>10099</v>
      </c>
      <c r="I575" s="148">
        <f>IFERROR(__xludf.DUMMYFUNCTION("""COMPUTED_VALUE"""),10099.0)</f>
        <v>10099</v>
      </c>
      <c r="J575" s="148">
        <f>IFERROR(__xludf.DUMMYFUNCTION("""COMPUTED_VALUE"""),0.0)</f>
        <v>0</v>
      </c>
      <c r="K575" s="148">
        <f>IFERROR(__xludf.DUMMYFUNCTION("""COMPUTED_VALUE"""),10.0)</f>
        <v>10</v>
      </c>
      <c r="L575" s="148">
        <f>IFERROR(__xludf.DUMMYFUNCTION("""COMPUTED_VALUE"""),99.0)</f>
        <v>99</v>
      </c>
      <c r="M575" s="148">
        <f>IFERROR(__xludf.DUMMYFUNCTION("""COMPUTED_VALUE"""),0.0)</f>
        <v>0</v>
      </c>
      <c r="N575" s="148" t="str">
        <f>IFERROR(__xludf.DUMMYFUNCTION("""COMPUTED_VALUE"""),"[]")</f>
        <v>[]</v>
      </c>
      <c r="O575" s="148" t="str">
        <f>IFERROR(__xludf.DUMMYFUNCTION("""COMPUTED_VALUE"""),"{}")</f>
        <v>{}</v>
      </c>
      <c r="P575" s="148">
        <f>IFERROR(__xludf.DUMMYFUNCTION("""COMPUTED_VALUE"""),0.0)</f>
        <v>0</v>
      </c>
      <c r="Q575" s="148" t="str">
        <f>IFERROR(__xludf.DUMMYFUNCTION("""COMPUTED_VALUE"""),"[]")</f>
        <v>[]</v>
      </c>
      <c r="R575" s="148" t="str">
        <f>IFERROR(__xludf.DUMMYFUNCTION("""COMPUTED_VALUE"""),"{}")</f>
        <v>{}</v>
      </c>
      <c r="S575" s="148">
        <f>IFERROR(__xludf.DUMMYFUNCTION("""COMPUTED_VALUE"""),0.0)</f>
        <v>0</v>
      </c>
      <c r="T575" s="148" t="str">
        <f>IFERROR(__xludf.DUMMYFUNCTION("""COMPUTED_VALUE"""),"[]")</f>
        <v>[]</v>
      </c>
      <c r="U575" s="148">
        <f>IFERROR(__xludf.DUMMYFUNCTION("""COMPUTED_VALUE"""),0.0)</f>
        <v>0</v>
      </c>
      <c r="V575" s="148" t="str">
        <f>IFERROR(__xludf.DUMMYFUNCTION("""COMPUTED_VALUE"""),"{}")</f>
        <v>{}</v>
      </c>
      <c r="W575" s="148" t="str">
        <f>IFERROR(__xludf.DUMMYFUNCTION("""COMPUTED_VALUE"""),"[]")</f>
        <v>[]</v>
      </c>
      <c r="X575" s="148" t="str">
        <f>IFERROR(__xludf.DUMMYFUNCTION("""COMPUTED_VALUE"""),"[{""typ"":""power"",""id"":12141002,""val"":2}]")</f>
        <v>[{"typ":"power","id":12141002,"val":2}]</v>
      </c>
      <c r="Y575" s="148" t="str">
        <f>IFERROR(__xludf.DUMMYFUNCTION("""COMPUTED_VALUE"""),"[{""typ"":""atk"",""val"":500},{""typ"":""def"",""val"":380},{""typ"":""hp"",""val"":315},{""typ"":""speed"",""val"":50},{""typ"":""load"",""val"":20},{""typ"":""backcoef"",""val"":0.5},{""typ"":""atkcoef"",""val"":1.0},{""typ"":""atkcd"",""val"":0}]")</f>
        <v>[{"typ":"atk","val":500},{"typ":"def","val":380},{"typ":"hp","val":315},{"typ":"speed","val":50},{"typ":"load","val":20},{"typ":"backcoef","val":0.5},{"typ":"atkcoef","val":1.0},{"typ":"atkcd","val":0}]</v>
      </c>
      <c r="Z575" s="148" t="str">
        <f>IFERROR(__xludf.DUMMYFUNCTION("""COMPUTED_VALUE"""),"[]")</f>
        <v>[]</v>
      </c>
    </row>
    <row r="576">
      <c r="A576" s="148">
        <f>IFERROR(__xludf.DUMMYFUNCTION("""COMPUTED_VALUE"""),1.12110027E8)</f>
        <v>112110027</v>
      </c>
      <c r="B576" s="148" t="str">
        <f>IFERROR(__xludf.DUMMYFUNCTION("""COMPUTED_VALUE"""),"KVK5-押镖单位-绿怪2")</f>
        <v>KVK5-押镖单位-绿怪2</v>
      </c>
      <c r="C576" s="148">
        <f>IFERROR(__xludf.DUMMYFUNCTION("""COMPUTED_VALUE"""),1.1221004E7)</f>
        <v>11221004</v>
      </c>
      <c r="D576" s="148">
        <f>IFERROR(__xludf.DUMMYFUNCTION("""COMPUTED_VALUE"""),1.51101124E8)</f>
        <v>151101124</v>
      </c>
      <c r="E576" s="148" t="str">
        <f>IFERROR(__xludf.DUMMYFUNCTION("""COMPUTED_VALUE"""),"{""typ"":""lc"",""txt"":""LC_KVK_kvk5_monster_name_1""}")</f>
        <v>{"typ":"lc","txt":"LC_KVK_kvk5_monster_name_1"}</v>
      </c>
      <c r="F576" s="148" t="str">
        <f>IFERROR(__xludf.DUMMYFUNCTION("""COMPUTED_VALUE"""),"{""typ"":""lc"",""txt"":""LC_KVK_kvk5_monster_desc_1""}")</f>
        <v>{"typ":"lc","txt":"LC_KVK_kvk5_monster_desc_1"}</v>
      </c>
      <c r="G576" s="148">
        <f>IFERROR(__xludf.DUMMYFUNCTION("""COMPUTED_VALUE"""),10.0)</f>
        <v>10</v>
      </c>
      <c r="H576" s="148">
        <f>IFERROR(__xludf.DUMMYFUNCTION("""COMPUTED_VALUE"""),10099.0)</f>
        <v>10099</v>
      </c>
      <c r="I576" s="148">
        <f>IFERROR(__xludf.DUMMYFUNCTION("""COMPUTED_VALUE"""),10099.0)</f>
        <v>10099</v>
      </c>
      <c r="J576" s="148">
        <f>IFERROR(__xludf.DUMMYFUNCTION("""COMPUTED_VALUE"""),0.0)</f>
        <v>0</v>
      </c>
      <c r="K576" s="148">
        <f>IFERROR(__xludf.DUMMYFUNCTION("""COMPUTED_VALUE"""),10.0)</f>
        <v>10</v>
      </c>
      <c r="L576" s="148">
        <f>IFERROR(__xludf.DUMMYFUNCTION("""COMPUTED_VALUE"""),99.0)</f>
        <v>99</v>
      </c>
      <c r="M576" s="148">
        <f>IFERROR(__xludf.DUMMYFUNCTION("""COMPUTED_VALUE"""),0.0)</f>
        <v>0</v>
      </c>
      <c r="N576" s="148" t="str">
        <f>IFERROR(__xludf.DUMMYFUNCTION("""COMPUTED_VALUE"""),"[]")</f>
        <v>[]</v>
      </c>
      <c r="O576" s="148" t="str">
        <f>IFERROR(__xludf.DUMMYFUNCTION("""COMPUTED_VALUE"""),"{}")</f>
        <v>{}</v>
      </c>
      <c r="P576" s="148">
        <f>IFERROR(__xludf.DUMMYFUNCTION("""COMPUTED_VALUE"""),0.0)</f>
        <v>0</v>
      </c>
      <c r="Q576" s="148" t="str">
        <f>IFERROR(__xludf.DUMMYFUNCTION("""COMPUTED_VALUE"""),"[]")</f>
        <v>[]</v>
      </c>
      <c r="R576" s="148" t="str">
        <f>IFERROR(__xludf.DUMMYFUNCTION("""COMPUTED_VALUE"""),"{}")</f>
        <v>{}</v>
      </c>
      <c r="S576" s="148">
        <f>IFERROR(__xludf.DUMMYFUNCTION("""COMPUTED_VALUE"""),0.0)</f>
        <v>0</v>
      </c>
      <c r="T576" s="148" t="str">
        <f>IFERROR(__xludf.DUMMYFUNCTION("""COMPUTED_VALUE"""),"[]")</f>
        <v>[]</v>
      </c>
      <c r="U576" s="148">
        <f>IFERROR(__xludf.DUMMYFUNCTION("""COMPUTED_VALUE"""),0.0)</f>
        <v>0</v>
      </c>
      <c r="V576" s="148" t="str">
        <f>IFERROR(__xludf.DUMMYFUNCTION("""COMPUTED_VALUE"""),"{}")</f>
        <v>{}</v>
      </c>
      <c r="W576" s="148" t="str">
        <f>IFERROR(__xludf.DUMMYFUNCTION("""COMPUTED_VALUE"""),"[]")</f>
        <v>[]</v>
      </c>
      <c r="X576" s="148" t="str">
        <f>IFERROR(__xludf.DUMMYFUNCTION("""COMPUTED_VALUE"""),"[{""typ"":""power"",""id"":12141002,""val"":2}]")</f>
        <v>[{"typ":"power","id":12141002,"val":2}]</v>
      </c>
      <c r="Y576" s="148" t="str">
        <f>IFERROR(__xludf.DUMMYFUNCTION("""COMPUTED_VALUE"""),"[{""typ"":""atk"",""val"":500},{""typ"":""def"",""val"":380},{""typ"":""hp"",""val"":315},{""typ"":""speed"",""val"":50},{""typ"":""load"",""val"":20},{""typ"":""backcoef"",""val"":0.5},{""typ"":""atkcoef"",""val"":1.0},{""typ"":""atkcd"",""val"":0}]")</f>
        <v>[{"typ":"atk","val":500},{"typ":"def","val":380},{"typ":"hp","val":315},{"typ":"speed","val":50},{"typ":"load","val":20},{"typ":"backcoef","val":0.5},{"typ":"atkcoef","val":1.0},{"typ":"atkcd","val":0}]</v>
      </c>
      <c r="Z576" s="148" t="str">
        <f>IFERROR(__xludf.DUMMYFUNCTION("""COMPUTED_VALUE"""),"[]")</f>
        <v>[]</v>
      </c>
    </row>
    <row r="577">
      <c r="A577" s="148">
        <f>IFERROR(__xludf.DUMMYFUNCTION("""COMPUTED_VALUE"""),1.12110028E8)</f>
        <v>112110028</v>
      </c>
      <c r="B577" s="148" t="str">
        <f>IFERROR(__xludf.DUMMYFUNCTION("""COMPUTED_VALUE"""),"KVK5-押镖单位-绿怪3")</f>
        <v>KVK5-押镖单位-绿怪3</v>
      </c>
      <c r="C577" s="148">
        <f>IFERROR(__xludf.DUMMYFUNCTION("""COMPUTED_VALUE"""),1.1221004E7)</f>
        <v>11221004</v>
      </c>
      <c r="D577" s="148">
        <f>IFERROR(__xludf.DUMMYFUNCTION("""COMPUTED_VALUE"""),1.51101124E8)</f>
        <v>151101124</v>
      </c>
      <c r="E577" s="148" t="str">
        <f>IFERROR(__xludf.DUMMYFUNCTION("""COMPUTED_VALUE"""),"{""typ"":""lc"",""txt"":""LC_KVK_kvk5_monster_name_1""}")</f>
        <v>{"typ":"lc","txt":"LC_KVK_kvk5_monster_name_1"}</v>
      </c>
      <c r="F577" s="148" t="str">
        <f>IFERROR(__xludf.DUMMYFUNCTION("""COMPUTED_VALUE"""),"{""typ"":""lc"",""txt"":""LC_KVK_kvk5_monster_desc_1""}")</f>
        <v>{"typ":"lc","txt":"LC_KVK_kvk5_monster_desc_1"}</v>
      </c>
      <c r="G577" s="148">
        <f>IFERROR(__xludf.DUMMYFUNCTION("""COMPUTED_VALUE"""),10.0)</f>
        <v>10</v>
      </c>
      <c r="H577" s="148">
        <f>IFERROR(__xludf.DUMMYFUNCTION("""COMPUTED_VALUE"""),10099.0)</f>
        <v>10099</v>
      </c>
      <c r="I577" s="148">
        <f>IFERROR(__xludf.DUMMYFUNCTION("""COMPUTED_VALUE"""),10099.0)</f>
        <v>10099</v>
      </c>
      <c r="J577" s="148">
        <f>IFERROR(__xludf.DUMMYFUNCTION("""COMPUTED_VALUE"""),0.0)</f>
        <v>0</v>
      </c>
      <c r="K577" s="148">
        <f>IFERROR(__xludf.DUMMYFUNCTION("""COMPUTED_VALUE"""),10.0)</f>
        <v>10</v>
      </c>
      <c r="L577" s="148">
        <f>IFERROR(__xludf.DUMMYFUNCTION("""COMPUTED_VALUE"""),99.0)</f>
        <v>99</v>
      </c>
      <c r="M577" s="148">
        <f>IFERROR(__xludf.DUMMYFUNCTION("""COMPUTED_VALUE"""),0.0)</f>
        <v>0</v>
      </c>
      <c r="N577" s="148" t="str">
        <f>IFERROR(__xludf.DUMMYFUNCTION("""COMPUTED_VALUE"""),"[]")</f>
        <v>[]</v>
      </c>
      <c r="O577" s="148" t="str">
        <f>IFERROR(__xludf.DUMMYFUNCTION("""COMPUTED_VALUE"""),"{}")</f>
        <v>{}</v>
      </c>
      <c r="P577" s="148">
        <f>IFERROR(__xludf.DUMMYFUNCTION("""COMPUTED_VALUE"""),0.0)</f>
        <v>0</v>
      </c>
      <c r="Q577" s="148" t="str">
        <f>IFERROR(__xludf.DUMMYFUNCTION("""COMPUTED_VALUE"""),"[]")</f>
        <v>[]</v>
      </c>
      <c r="R577" s="148" t="str">
        <f>IFERROR(__xludf.DUMMYFUNCTION("""COMPUTED_VALUE"""),"{}")</f>
        <v>{}</v>
      </c>
      <c r="S577" s="148">
        <f>IFERROR(__xludf.DUMMYFUNCTION("""COMPUTED_VALUE"""),0.0)</f>
        <v>0</v>
      </c>
      <c r="T577" s="148" t="str">
        <f>IFERROR(__xludf.DUMMYFUNCTION("""COMPUTED_VALUE"""),"[]")</f>
        <v>[]</v>
      </c>
      <c r="U577" s="148">
        <f>IFERROR(__xludf.DUMMYFUNCTION("""COMPUTED_VALUE"""),0.0)</f>
        <v>0</v>
      </c>
      <c r="V577" s="148" t="str">
        <f>IFERROR(__xludf.DUMMYFUNCTION("""COMPUTED_VALUE"""),"{}")</f>
        <v>{}</v>
      </c>
      <c r="W577" s="148" t="str">
        <f>IFERROR(__xludf.DUMMYFUNCTION("""COMPUTED_VALUE"""),"[]")</f>
        <v>[]</v>
      </c>
      <c r="X577" s="148" t="str">
        <f>IFERROR(__xludf.DUMMYFUNCTION("""COMPUTED_VALUE"""),"[{""typ"":""power"",""id"":12141002,""val"":2}]")</f>
        <v>[{"typ":"power","id":12141002,"val":2}]</v>
      </c>
      <c r="Y577" s="148" t="str">
        <f>IFERROR(__xludf.DUMMYFUNCTION("""COMPUTED_VALUE"""),"[{""typ"":""atk"",""val"":500},{""typ"":""def"",""val"":380},{""typ"":""hp"",""val"":315},{""typ"":""speed"",""val"":50},{""typ"":""load"",""val"":20},{""typ"":""backcoef"",""val"":0.5},{""typ"":""atkcoef"",""val"":1.0},{""typ"":""atkcd"",""val"":0}]")</f>
        <v>[{"typ":"atk","val":500},{"typ":"def","val":380},{"typ":"hp","val":315},{"typ":"speed","val":50},{"typ":"load","val":20},{"typ":"backcoef","val":0.5},{"typ":"atkcoef","val":1.0},{"typ":"atkcd","val":0}]</v>
      </c>
      <c r="Z577" s="148" t="str">
        <f>IFERROR(__xludf.DUMMYFUNCTION("""COMPUTED_VALUE"""),"[]")</f>
        <v>[]</v>
      </c>
    </row>
    <row r="578">
      <c r="A578" s="148">
        <f>IFERROR(__xludf.DUMMYFUNCTION("""COMPUTED_VALUE"""),1.12110029E8)</f>
        <v>112110029</v>
      </c>
      <c r="B578" s="148" t="str">
        <f>IFERROR(__xludf.DUMMYFUNCTION("""COMPUTED_VALUE"""),"KVK5-押镖单位-绿怪4")</f>
        <v>KVK5-押镖单位-绿怪4</v>
      </c>
      <c r="C578" s="148">
        <f>IFERROR(__xludf.DUMMYFUNCTION("""COMPUTED_VALUE"""),1.1221004E7)</f>
        <v>11221004</v>
      </c>
      <c r="D578" s="148">
        <f>IFERROR(__xludf.DUMMYFUNCTION("""COMPUTED_VALUE"""),1.51101124E8)</f>
        <v>151101124</v>
      </c>
      <c r="E578" s="148" t="str">
        <f>IFERROR(__xludf.DUMMYFUNCTION("""COMPUTED_VALUE"""),"{""typ"":""lc"",""txt"":""LC_KVK_kvk5_monster_name_1""}")</f>
        <v>{"typ":"lc","txt":"LC_KVK_kvk5_monster_name_1"}</v>
      </c>
      <c r="F578" s="148" t="str">
        <f>IFERROR(__xludf.DUMMYFUNCTION("""COMPUTED_VALUE"""),"{""typ"":""lc"",""txt"":""LC_KVK_kvk5_monster_desc_1""}")</f>
        <v>{"typ":"lc","txt":"LC_KVK_kvk5_monster_desc_1"}</v>
      </c>
      <c r="G578" s="148">
        <f>IFERROR(__xludf.DUMMYFUNCTION("""COMPUTED_VALUE"""),10.0)</f>
        <v>10</v>
      </c>
      <c r="H578" s="148">
        <f>IFERROR(__xludf.DUMMYFUNCTION("""COMPUTED_VALUE"""),10099.0)</f>
        <v>10099</v>
      </c>
      <c r="I578" s="148">
        <f>IFERROR(__xludf.DUMMYFUNCTION("""COMPUTED_VALUE"""),10099.0)</f>
        <v>10099</v>
      </c>
      <c r="J578" s="148">
        <f>IFERROR(__xludf.DUMMYFUNCTION("""COMPUTED_VALUE"""),0.0)</f>
        <v>0</v>
      </c>
      <c r="K578" s="148">
        <f>IFERROR(__xludf.DUMMYFUNCTION("""COMPUTED_VALUE"""),10.0)</f>
        <v>10</v>
      </c>
      <c r="L578" s="148">
        <f>IFERROR(__xludf.DUMMYFUNCTION("""COMPUTED_VALUE"""),99.0)</f>
        <v>99</v>
      </c>
      <c r="M578" s="148">
        <f>IFERROR(__xludf.DUMMYFUNCTION("""COMPUTED_VALUE"""),0.0)</f>
        <v>0</v>
      </c>
      <c r="N578" s="148" t="str">
        <f>IFERROR(__xludf.DUMMYFUNCTION("""COMPUTED_VALUE"""),"[]")</f>
        <v>[]</v>
      </c>
      <c r="O578" s="148" t="str">
        <f>IFERROR(__xludf.DUMMYFUNCTION("""COMPUTED_VALUE"""),"{}")</f>
        <v>{}</v>
      </c>
      <c r="P578" s="148">
        <f>IFERROR(__xludf.DUMMYFUNCTION("""COMPUTED_VALUE"""),0.0)</f>
        <v>0</v>
      </c>
      <c r="Q578" s="148" t="str">
        <f>IFERROR(__xludf.DUMMYFUNCTION("""COMPUTED_VALUE"""),"[]")</f>
        <v>[]</v>
      </c>
      <c r="R578" s="148" t="str">
        <f>IFERROR(__xludf.DUMMYFUNCTION("""COMPUTED_VALUE"""),"{}")</f>
        <v>{}</v>
      </c>
      <c r="S578" s="148">
        <f>IFERROR(__xludf.DUMMYFUNCTION("""COMPUTED_VALUE"""),0.0)</f>
        <v>0</v>
      </c>
      <c r="T578" s="148" t="str">
        <f>IFERROR(__xludf.DUMMYFUNCTION("""COMPUTED_VALUE"""),"[]")</f>
        <v>[]</v>
      </c>
      <c r="U578" s="148">
        <f>IFERROR(__xludf.DUMMYFUNCTION("""COMPUTED_VALUE"""),0.0)</f>
        <v>0</v>
      </c>
      <c r="V578" s="148" t="str">
        <f>IFERROR(__xludf.DUMMYFUNCTION("""COMPUTED_VALUE"""),"{}")</f>
        <v>{}</v>
      </c>
      <c r="W578" s="148" t="str">
        <f>IFERROR(__xludf.DUMMYFUNCTION("""COMPUTED_VALUE"""),"[]")</f>
        <v>[]</v>
      </c>
      <c r="X578" s="148" t="str">
        <f>IFERROR(__xludf.DUMMYFUNCTION("""COMPUTED_VALUE"""),"[{""typ"":""power"",""id"":12141002,""val"":2}]")</f>
        <v>[{"typ":"power","id":12141002,"val":2}]</v>
      </c>
      <c r="Y578" s="148" t="str">
        <f>IFERROR(__xludf.DUMMYFUNCTION("""COMPUTED_VALUE"""),"[{""typ"":""atk"",""val"":500},{""typ"":""def"",""val"":380},{""typ"":""hp"",""val"":315},{""typ"":""speed"",""val"":50},{""typ"":""load"",""val"":20},{""typ"":""backcoef"",""val"":0.5},{""typ"":""atkcoef"",""val"":1.0},{""typ"":""atkcd"",""val"":0}]")</f>
        <v>[{"typ":"atk","val":500},{"typ":"def","val":380},{"typ":"hp","val":315},{"typ":"speed","val":50},{"typ":"load","val":20},{"typ":"backcoef","val":0.5},{"typ":"atkcoef","val":1.0},{"typ":"atkcd","val":0}]</v>
      </c>
      <c r="Z578" s="148" t="str">
        <f>IFERROR(__xludf.DUMMYFUNCTION("""COMPUTED_VALUE"""),"[]")</f>
        <v>[]</v>
      </c>
    </row>
    <row r="579">
      <c r="A579" s="148">
        <f>IFERROR(__xludf.DUMMYFUNCTION("""COMPUTED_VALUE"""),1.1211003E8)</f>
        <v>112110030</v>
      </c>
      <c r="B579" s="148" t="str">
        <f>IFERROR(__xludf.DUMMYFUNCTION("""COMPUTED_VALUE"""),"KVK5-押镖单位-绿怪5")</f>
        <v>KVK5-押镖单位-绿怪5</v>
      </c>
      <c r="C579" s="148">
        <f>IFERROR(__xludf.DUMMYFUNCTION("""COMPUTED_VALUE"""),1.1221004E7)</f>
        <v>11221004</v>
      </c>
      <c r="D579" s="148">
        <f>IFERROR(__xludf.DUMMYFUNCTION("""COMPUTED_VALUE"""),1.51101124E8)</f>
        <v>151101124</v>
      </c>
      <c r="E579" s="148" t="str">
        <f>IFERROR(__xludf.DUMMYFUNCTION("""COMPUTED_VALUE"""),"{""typ"":""lc"",""txt"":""LC_KVK_kvk5_monster_name_1""}")</f>
        <v>{"typ":"lc","txt":"LC_KVK_kvk5_monster_name_1"}</v>
      </c>
      <c r="F579" s="148" t="str">
        <f>IFERROR(__xludf.DUMMYFUNCTION("""COMPUTED_VALUE"""),"{""typ"":""lc"",""txt"":""LC_KVK_kvk5_monster_desc_1""}")</f>
        <v>{"typ":"lc","txt":"LC_KVK_kvk5_monster_desc_1"}</v>
      </c>
      <c r="G579" s="148">
        <f>IFERROR(__xludf.DUMMYFUNCTION("""COMPUTED_VALUE"""),10.0)</f>
        <v>10</v>
      </c>
      <c r="H579" s="148">
        <f>IFERROR(__xludf.DUMMYFUNCTION("""COMPUTED_VALUE"""),10099.0)</f>
        <v>10099</v>
      </c>
      <c r="I579" s="148">
        <f>IFERROR(__xludf.DUMMYFUNCTION("""COMPUTED_VALUE"""),10099.0)</f>
        <v>10099</v>
      </c>
      <c r="J579" s="148">
        <f>IFERROR(__xludf.DUMMYFUNCTION("""COMPUTED_VALUE"""),0.0)</f>
        <v>0</v>
      </c>
      <c r="K579" s="148">
        <f>IFERROR(__xludf.DUMMYFUNCTION("""COMPUTED_VALUE"""),10.0)</f>
        <v>10</v>
      </c>
      <c r="L579" s="148">
        <f>IFERROR(__xludf.DUMMYFUNCTION("""COMPUTED_VALUE"""),99.0)</f>
        <v>99</v>
      </c>
      <c r="M579" s="148">
        <f>IFERROR(__xludf.DUMMYFUNCTION("""COMPUTED_VALUE"""),0.0)</f>
        <v>0</v>
      </c>
      <c r="N579" s="148" t="str">
        <f>IFERROR(__xludf.DUMMYFUNCTION("""COMPUTED_VALUE"""),"[]")</f>
        <v>[]</v>
      </c>
      <c r="O579" s="148" t="str">
        <f>IFERROR(__xludf.DUMMYFUNCTION("""COMPUTED_VALUE"""),"{}")</f>
        <v>{}</v>
      </c>
      <c r="P579" s="148">
        <f>IFERROR(__xludf.DUMMYFUNCTION("""COMPUTED_VALUE"""),0.0)</f>
        <v>0</v>
      </c>
      <c r="Q579" s="148" t="str">
        <f>IFERROR(__xludf.DUMMYFUNCTION("""COMPUTED_VALUE"""),"[]")</f>
        <v>[]</v>
      </c>
      <c r="R579" s="148" t="str">
        <f>IFERROR(__xludf.DUMMYFUNCTION("""COMPUTED_VALUE"""),"{}")</f>
        <v>{}</v>
      </c>
      <c r="S579" s="148">
        <f>IFERROR(__xludf.DUMMYFUNCTION("""COMPUTED_VALUE"""),0.0)</f>
        <v>0</v>
      </c>
      <c r="T579" s="148" t="str">
        <f>IFERROR(__xludf.DUMMYFUNCTION("""COMPUTED_VALUE"""),"[]")</f>
        <v>[]</v>
      </c>
      <c r="U579" s="148">
        <f>IFERROR(__xludf.DUMMYFUNCTION("""COMPUTED_VALUE"""),0.0)</f>
        <v>0</v>
      </c>
      <c r="V579" s="148" t="str">
        <f>IFERROR(__xludf.DUMMYFUNCTION("""COMPUTED_VALUE"""),"{}")</f>
        <v>{}</v>
      </c>
      <c r="W579" s="148" t="str">
        <f>IFERROR(__xludf.DUMMYFUNCTION("""COMPUTED_VALUE"""),"[]")</f>
        <v>[]</v>
      </c>
      <c r="X579" s="148" t="str">
        <f>IFERROR(__xludf.DUMMYFUNCTION("""COMPUTED_VALUE"""),"[{""typ"":""power"",""id"":12141002,""val"":2}]")</f>
        <v>[{"typ":"power","id":12141002,"val":2}]</v>
      </c>
      <c r="Y579" s="148" t="str">
        <f>IFERROR(__xludf.DUMMYFUNCTION("""COMPUTED_VALUE"""),"[{""typ"":""atk"",""val"":500},{""typ"":""def"",""val"":380},{""typ"":""hp"",""val"":315},{""typ"":""speed"",""val"":50},{""typ"":""load"",""val"":20},{""typ"":""backcoef"",""val"":0.5},{""typ"":""atkcoef"",""val"":1.0},{""typ"":""atkcd"",""val"":0}]")</f>
        <v>[{"typ":"atk","val":500},{"typ":"def","val":380},{"typ":"hp","val":315},{"typ":"speed","val":50},{"typ":"load","val":20},{"typ":"backcoef","val":0.5},{"typ":"atkcoef","val":1.0},{"typ":"atkcd","val":0}]</v>
      </c>
      <c r="Z579" s="148" t="str">
        <f>IFERROR(__xludf.DUMMYFUNCTION("""COMPUTED_VALUE"""),"[]")</f>
        <v>[]</v>
      </c>
    </row>
    <row r="580">
      <c r="A580" s="148">
        <f>IFERROR(__xludf.DUMMYFUNCTION("""COMPUTED_VALUE"""),1.12110031E8)</f>
        <v>112110031</v>
      </c>
      <c r="B580" s="148" t="str">
        <f>IFERROR(__xludf.DUMMYFUNCTION("""COMPUTED_VALUE"""),"KVK5-押镖单位-精英1")</f>
        <v>KVK5-押镖单位-精英1</v>
      </c>
      <c r="C580" s="148">
        <f>IFERROR(__xludf.DUMMYFUNCTION("""COMPUTED_VALUE"""),1.1221004E7)</f>
        <v>11221004</v>
      </c>
      <c r="D580" s="148">
        <f>IFERROR(__xludf.DUMMYFUNCTION("""COMPUTED_VALUE"""),1.51101125E8)</f>
        <v>151101125</v>
      </c>
      <c r="E580" s="148" t="str">
        <f>IFERROR(__xludf.DUMMYFUNCTION("""COMPUTED_VALUE"""),"{""typ"":""lc"",""txt"":""LC_KVK_kvk5_monster_name_1""}")</f>
        <v>{"typ":"lc","txt":"LC_KVK_kvk5_monster_name_1"}</v>
      </c>
      <c r="F580" s="148" t="str">
        <f>IFERROR(__xludf.DUMMYFUNCTION("""COMPUTED_VALUE"""),"{""typ"":""lc"",""txt"":""LC_KVK_kvk5_monster_desc_1""}")</f>
        <v>{"typ":"lc","txt":"LC_KVK_kvk5_monster_desc_1"}</v>
      </c>
      <c r="G580" s="148">
        <f>IFERROR(__xludf.DUMMYFUNCTION("""COMPUTED_VALUE"""),10.0)</f>
        <v>10</v>
      </c>
      <c r="H580" s="148">
        <f>IFERROR(__xludf.DUMMYFUNCTION("""COMPUTED_VALUE"""),10099.0)</f>
        <v>10099</v>
      </c>
      <c r="I580" s="148">
        <f>IFERROR(__xludf.DUMMYFUNCTION("""COMPUTED_VALUE"""),10099.0)</f>
        <v>10099</v>
      </c>
      <c r="J580" s="148">
        <f>IFERROR(__xludf.DUMMYFUNCTION("""COMPUTED_VALUE"""),0.0)</f>
        <v>0</v>
      </c>
      <c r="K580" s="148">
        <f>IFERROR(__xludf.DUMMYFUNCTION("""COMPUTED_VALUE"""),10.0)</f>
        <v>10</v>
      </c>
      <c r="L580" s="148">
        <f>IFERROR(__xludf.DUMMYFUNCTION("""COMPUTED_VALUE"""),99.0)</f>
        <v>99</v>
      </c>
      <c r="M580" s="148">
        <f>IFERROR(__xludf.DUMMYFUNCTION("""COMPUTED_VALUE"""),0.0)</f>
        <v>0</v>
      </c>
      <c r="N580" s="148" t="str">
        <f>IFERROR(__xludf.DUMMYFUNCTION("""COMPUTED_VALUE"""),"[]")</f>
        <v>[]</v>
      </c>
      <c r="O580" s="148" t="str">
        <f>IFERROR(__xludf.DUMMYFUNCTION("""COMPUTED_VALUE"""),"{}")</f>
        <v>{}</v>
      </c>
      <c r="P580" s="148">
        <f>IFERROR(__xludf.DUMMYFUNCTION("""COMPUTED_VALUE"""),0.0)</f>
        <v>0</v>
      </c>
      <c r="Q580" s="148" t="str">
        <f>IFERROR(__xludf.DUMMYFUNCTION("""COMPUTED_VALUE"""),"[]")</f>
        <v>[]</v>
      </c>
      <c r="R580" s="148" t="str">
        <f>IFERROR(__xludf.DUMMYFUNCTION("""COMPUTED_VALUE"""),"{}")</f>
        <v>{}</v>
      </c>
      <c r="S580" s="148">
        <f>IFERROR(__xludf.DUMMYFUNCTION("""COMPUTED_VALUE"""),0.0)</f>
        <v>0</v>
      </c>
      <c r="T580" s="148" t="str">
        <f>IFERROR(__xludf.DUMMYFUNCTION("""COMPUTED_VALUE"""),"[]")</f>
        <v>[]</v>
      </c>
      <c r="U580" s="148">
        <f>IFERROR(__xludf.DUMMYFUNCTION("""COMPUTED_VALUE"""),0.0)</f>
        <v>0</v>
      </c>
      <c r="V580" s="148" t="str">
        <f>IFERROR(__xludf.DUMMYFUNCTION("""COMPUTED_VALUE"""),"{}")</f>
        <v>{}</v>
      </c>
      <c r="W580" s="148" t="str">
        <f>IFERROR(__xludf.DUMMYFUNCTION("""COMPUTED_VALUE"""),"[]")</f>
        <v>[]</v>
      </c>
      <c r="X580" s="148" t="str">
        <f>IFERROR(__xludf.DUMMYFUNCTION("""COMPUTED_VALUE"""),"[{""typ"":""power"",""id"":12141002,""val"":5}]")</f>
        <v>[{"typ":"power","id":12141002,"val":5}]</v>
      </c>
      <c r="Y580" s="148" t="str">
        <f>IFERROR(__xludf.DUMMYFUNCTION("""COMPUTED_VALUE"""),"[{""typ"":""atk"",""val"":500},{""typ"":""def"",""val"":380},{""typ"":""hp"",""val"":315},{""typ"":""speed"",""val"":50},{""typ"":""load"",""val"":20},{""typ"":""backcoef"",""val"":0.5},{""typ"":""atkcoef"",""val"":1.0},{""typ"":""atkcd"",""val"":0}]")</f>
        <v>[{"typ":"atk","val":500},{"typ":"def","val":380},{"typ":"hp","val":315},{"typ":"speed","val":50},{"typ":"load","val":20},{"typ":"backcoef","val":0.5},{"typ":"atkcoef","val":1.0},{"typ":"atkcd","val":0}]</v>
      </c>
      <c r="Z580" s="148" t="str">
        <f>IFERROR(__xludf.DUMMYFUNCTION("""COMPUTED_VALUE"""),"[]")</f>
        <v>[]</v>
      </c>
    </row>
    <row r="581">
      <c r="A581" s="148">
        <f>IFERROR(__xludf.DUMMYFUNCTION("""COMPUTED_VALUE"""),1.12110032E8)</f>
        <v>112110032</v>
      </c>
      <c r="B581" s="148" t="str">
        <f>IFERROR(__xludf.DUMMYFUNCTION("""COMPUTED_VALUE"""),"KVK5-押镖单位-精英2")</f>
        <v>KVK5-押镖单位-精英2</v>
      </c>
      <c r="C581" s="148">
        <f>IFERROR(__xludf.DUMMYFUNCTION("""COMPUTED_VALUE"""),1.1221004E7)</f>
        <v>11221004</v>
      </c>
      <c r="D581" s="148">
        <f>IFERROR(__xludf.DUMMYFUNCTION("""COMPUTED_VALUE"""),1.51101125E8)</f>
        <v>151101125</v>
      </c>
      <c r="E581" s="148" t="str">
        <f>IFERROR(__xludf.DUMMYFUNCTION("""COMPUTED_VALUE"""),"{""typ"":""lc"",""txt"":""LC_KVK_kvk5_monster_name_1""}")</f>
        <v>{"typ":"lc","txt":"LC_KVK_kvk5_monster_name_1"}</v>
      </c>
      <c r="F581" s="148" t="str">
        <f>IFERROR(__xludf.DUMMYFUNCTION("""COMPUTED_VALUE"""),"{""typ"":""lc"",""txt"":""LC_KVK_kvk5_monster_desc_1""}")</f>
        <v>{"typ":"lc","txt":"LC_KVK_kvk5_monster_desc_1"}</v>
      </c>
      <c r="G581" s="148">
        <f>IFERROR(__xludf.DUMMYFUNCTION("""COMPUTED_VALUE"""),10.0)</f>
        <v>10</v>
      </c>
      <c r="H581" s="148">
        <f>IFERROR(__xludf.DUMMYFUNCTION("""COMPUTED_VALUE"""),10099.0)</f>
        <v>10099</v>
      </c>
      <c r="I581" s="148">
        <f>IFERROR(__xludf.DUMMYFUNCTION("""COMPUTED_VALUE"""),10099.0)</f>
        <v>10099</v>
      </c>
      <c r="J581" s="148">
        <f>IFERROR(__xludf.DUMMYFUNCTION("""COMPUTED_VALUE"""),0.0)</f>
        <v>0</v>
      </c>
      <c r="K581" s="148">
        <f>IFERROR(__xludf.DUMMYFUNCTION("""COMPUTED_VALUE"""),10.0)</f>
        <v>10</v>
      </c>
      <c r="L581" s="148">
        <f>IFERROR(__xludf.DUMMYFUNCTION("""COMPUTED_VALUE"""),99.0)</f>
        <v>99</v>
      </c>
      <c r="M581" s="148">
        <f>IFERROR(__xludf.DUMMYFUNCTION("""COMPUTED_VALUE"""),0.0)</f>
        <v>0</v>
      </c>
      <c r="N581" s="148" t="str">
        <f>IFERROR(__xludf.DUMMYFUNCTION("""COMPUTED_VALUE"""),"[]")</f>
        <v>[]</v>
      </c>
      <c r="O581" s="148" t="str">
        <f>IFERROR(__xludf.DUMMYFUNCTION("""COMPUTED_VALUE"""),"{}")</f>
        <v>{}</v>
      </c>
      <c r="P581" s="148">
        <f>IFERROR(__xludf.DUMMYFUNCTION("""COMPUTED_VALUE"""),0.0)</f>
        <v>0</v>
      </c>
      <c r="Q581" s="148" t="str">
        <f>IFERROR(__xludf.DUMMYFUNCTION("""COMPUTED_VALUE"""),"[]")</f>
        <v>[]</v>
      </c>
      <c r="R581" s="148" t="str">
        <f>IFERROR(__xludf.DUMMYFUNCTION("""COMPUTED_VALUE"""),"{}")</f>
        <v>{}</v>
      </c>
      <c r="S581" s="148">
        <f>IFERROR(__xludf.DUMMYFUNCTION("""COMPUTED_VALUE"""),0.0)</f>
        <v>0</v>
      </c>
      <c r="T581" s="148" t="str">
        <f>IFERROR(__xludf.DUMMYFUNCTION("""COMPUTED_VALUE"""),"[]")</f>
        <v>[]</v>
      </c>
      <c r="U581" s="148">
        <f>IFERROR(__xludf.DUMMYFUNCTION("""COMPUTED_VALUE"""),0.0)</f>
        <v>0</v>
      </c>
      <c r="V581" s="148" t="str">
        <f>IFERROR(__xludf.DUMMYFUNCTION("""COMPUTED_VALUE"""),"{}")</f>
        <v>{}</v>
      </c>
      <c r="W581" s="148" t="str">
        <f>IFERROR(__xludf.DUMMYFUNCTION("""COMPUTED_VALUE"""),"[]")</f>
        <v>[]</v>
      </c>
      <c r="X581" s="148" t="str">
        <f>IFERROR(__xludf.DUMMYFUNCTION("""COMPUTED_VALUE"""),"[{""typ"":""power"",""id"":12141002,""val"":5}]")</f>
        <v>[{"typ":"power","id":12141002,"val":5}]</v>
      </c>
      <c r="Y581" s="148" t="str">
        <f>IFERROR(__xludf.DUMMYFUNCTION("""COMPUTED_VALUE"""),"[{""typ"":""atk"",""val"":500},{""typ"":""def"",""val"":380},{""typ"":""hp"",""val"":315},{""typ"":""speed"",""val"":50},{""typ"":""load"",""val"":20},{""typ"":""backcoef"",""val"":0.5},{""typ"":""atkcoef"",""val"":1.0},{""typ"":""atkcd"",""val"":0}]")</f>
        <v>[{"typ":"atk","val":500},{"typ":"def","val":380},{"typ":"hp","val":315},{"typ":"speed","val":50},{"typ":"load","val":20},{"typ":"backcoef","val":0.5},{"typ":"atkcoef","val":1.0},{"typ":"atkcd","val":0}]</v>
      </c>
      <c r="Z581" s="148" t="str">
        <f>IFERROR(__xludf.DUMMYFUNCTION("""COMPUTED_VALUE"""),"[]")</f>
        <v>[]</v>
      </c>
    </row>
    <row r="582">
      <c r="A582" s="148">
        <f>IFERROR(__xludf.DUMMYFUNCTION("""COMPUTED_VALUE"""),1.12110033E8)</f>
        <v>112110033</v>
      </c>
      <c r="B582" s="148" t="str">
        <f>IFERROR(__xludf.DUMMYFUNCTION("""COMPUTED_VALUE"""),"KVK5-押镖单位-精英3")</f>
        <v>KVK5-押镖单位-精英3</v>
      </c>
      <c r="C582" s="148">
        <f>IFERROR(__xludf.DUMMYFUNCTION("""COMPUTED_VALUE"""),1.1221004E7)</f>
        <v>11221004</v>
      </c>
      <c r="D582" s="148">
        <f>IFERROR(__xludf.DUMMYFUNCTION("""COMPUTED_VALUE"""),1.51101125E8)</f>
        <v>151101125</v>
      </c>
      <c r="E582" s="148" t="str">
        <f>IFERROR(__xludf.DUMMYFUNCTION("""COMPUTED_VALUE"""),"{""typ"":""lc"",""txt"":""LC_KVK_kvk5_monster_name_1""}")</f>
        <v>{"typ":"lc","txt":"LC_KVK_kvk5_monster_name_1"}</v>
      </c>
      <c r="F582" s="148" t="str">
        <f>IFERROR(__xludf.DUMMYFUNCTION("""COMPUTED_VALUE"""),"{""typ"":""lc"",""txt"":""LC_KVK_kvk5_monster_desc_1""}")</f>
        <v>{"typ":"lc","txt":"LC_KVK_kvk5_monster_desc_1"}</v>
      </c>
      <c r="G582" s="148">
        <f>IFERROR(__xludf.DUMMYFUNCTION("""COMPUTED_VALUE"""),10.0)</f>
        <v>10</v>
      </c>
      <c r="H582" s="148">
        <f>IFERROR(__xludf.DUMMYFUNCTION("""COMPUTED_VALUE"""),10099.0)</f>
        <v>10099</v>
      </c>
      <c r="I582" s="148">
        <f>IFERROR(__xludf.DUMMYFUNCTION("""COMPUTED_VALUE"""),10099.0)</f>
        <v>10099</v>
      </c>
      <c r="J582" s="148">
        <f>IFERROR(__xludf.DUMMYFUNCTION("""COMPUTED_VALUE"""),0.0)</f>
        <v>0</v>
      </c>
      <c r="K582" s="148">
        <f>IFERROR(__xludf.DUMMYFUNCTION("""COMPUTED_VALUE"""),10.0)</f>
        <v>10</v>
      </c>
      <c r="L582" s="148">
        <f>IFERROR(__xludf.DUMMYFUNCTION("""COMPUTED_VALUE"""),99.0)</f>
        <v>99</v>
      </c>
      <c r="M582" s="148">
        <f>IFERROR(__xludf.DUMMYFUNCTION("""COMPUTED_VALUE"""),0.0)</f>
        <v>0</v>
      </c>
      <c r="N582" s="148" t="str">
        <f>IFERROR(__xludf.DUMMYFUNCTION("""COMPUTED_VALUE"""),"[]")</f>
        <v>[]</v>
      </c>
      <c r="O582" s="148" t="str">
        <f>IFERROR(__xludf.DUMMYFUNCTION("""COMPUTED_VALUE"""),"{}")</f>
        <v>{}</v>
      </c>
      <c r="P582" s="148">
        <f>IFERROR(__xludf.DUMMYFUNCTION("""COMPUTED_VALUE"""),0.0)</f>
        <v>0</v>
      </c>
      <c r="Q582" s="148" t="str">
        <f>IFERROR(__xludf.DUMMYFUNCTION("""COMPUTED_VALUE"""),"[]")</f>
        <v>[]</v>
      </c>
      <c r="R582" s="148" t="str">
        <f>IFERROR(__xludf.DUMMYFUNCTION("""COMPUTED_VALUE"""),"{}")</f>
        <v>{}</v>
      </c>
      <c r="S582" s="148">
        <f>IFERROR(__xludf.DUMMYFUNCTION("""COMPUTED_VALUE"""),0.0)</f>
        <v>0</v>
      </c>
      <c r="T582" s="148" t="str">
        <f>IFERROR(__xludf.DUMMYFUNCTION("""COMPUTED_VALUE"""),"[]")</f>
        <v>[]</v>
      </c>
      <c r="U582" s="148">
        <f>IFERROR(__xludf.DUMMYFUNCTION("""COMPUTED_VALUE"""),0.0)</f>
        <v>0</v>
      </c>
      <c r="V582" s="148" t="str">
        <f>IFERROR(__xludf.DUMMYFUNCTION("""COMPUTED_VALUE"""),"{}")</f>
        <v>{}</v>
      </c>
      <c r="W582" s="148" t="str">
        <f>IFERROR(__xludf.DUMMYFUNCTION("""COMPUTED_VALUE"""),"[]")</f>
        <v>[]</v>
      </c>
      <c r="X582" s="148" t="str">
        <f>IFERROR(__xludf.DUMMYFUNCTION("""COMPUTED_VALUE"""),"[{""typ"":""power"",""id"":12141002,""val"":5}]")</f>
        <v>[{"typ":"power","id":12141002,"val":5}]</v>
      </c>
      <c r="Y582" s="148" t="str">
        <f>IFERROR(__xludf.DUMMYFUNCTION("""COMPUTED_VALUE"""),"[{""typ"":""atk"",""val"":500},{""typ"":""def"",""val"":380},{""typ"":""hp"",""val"":315},{""typ"":""speed"",""val"":50},{""typ"":""load"",""val"":20},{""typ"":""backcoef"",""val"":0.5},{""typ"":""atkcoef"",""val"":1.0},{""typ"":""atkcd"",""val"":0}]")</f>
        <v>[{"typ":"atk","val":500},{"typ":"def","val":380},{"typ":"hp","val":315},{"typ":"speed","val":50},{"typ":"load","val":20},{"typ":"backcoef","val":0.5},{"typ":"atkcoef","val":1.0},{"typ":"atkcd","val":0}]</v>
      </c>
      <c r="Z582" s="148" t="str">
        <f>IFERROR(__xludf.DUMMYFUNCTION("""COMPUTED_VALUE"""),"[]")</f>
        <v>[]</v>
      </c>
    </row>
    <row r="583">
      <c r="A583" s="148">
        <f>IFERROR(__xludf.DUMMYFUNCTION("""COMPUTED_VALUE"""),1.12110034E8)</f>
        <v>112110034</v>
      </c>
      <c r="B583" s="148" t="str">
        <f>IFERROR(__xludf.DUMMYFUNCTION("""COMPUTED_VALUE"""),"KVK5-押镖单位-精英4")</f>
        <v>KVK5-押镖单位-精英4</v>
      </c>
      <c r="C583" s="148">
        <f>IFERROR(__xludf.DUMMYFUNCTION("""COMPUTED_VALUE"""),1.1221004E7)</f>
        <v>11221004</v>
      </c>
      <c r="D583" s="148">
        <f>IFERROR(__xludf.DUMMYFUNCTION("""COMPUTED_VALUE"""),1.51101125E8)</f>
        <v>151101125</v>
      </c>
      <c r="E583" s="148" t="str">
        <f>IFERROR(__xludf.DUMMYFUNCTION("""COMPUTED_VALUE"""),"{""typ"":""lc"",""txt"":""LC_KVK_kvk5_monster_name_1""}")</f>
        <v>{"typ":"lc","txt":"LC_KVK_kvk5_monster_name_1"}</v>
      </c>
      <c r="F583" s="148" t="str">
        <f>IFERROR(__xludf.DUMMYFUNCTION("""COMPUTED_VALUE"""),"{""typ"":""lc"",""txt"":""LC_KVK_kvk5_monster_desc_1""}")</f>
        <v>{"typ":"lc","txt":"LC_KVK_kvk5_monster_desc_1"}</v>
      </c>
      <c r="G583" s="148">
        <f>IFERROR(__xludf.DUMMYFUNCTION("""COMPUTED_VALUE"""),10.0)</f>
        <v>10</v>
      </c>
      <c r="H583" s="148">
        <f>IFERROR(__xludf.DUMMYFUNCTION("""COMPUTED_VALUE"""),10099.0)</f>
        <v>10099</v>
      </c>
      <c r="I583" s="148">
        <f>IFERROR(__xludf.DUMMYFUNCTION("""COMPUTED_VALUE"""),10099.0)</f>
        <v>10099</v>
      </c>
      <c r="J583" s="148">
        <f>IFERROR(__xludf.DUMMYFUNCTION("""COMPUTED_VALUE"""),0.0)</f>
        <v>0</v>
      </c>
      <c r="K583" s="148">
        <f>IFERROR(__xludf.DUMMYFUNCTION("""COMPUTED_VALUE"""),10.0)</f>
        <v>10</v>
      </c>
      <c r="L583" s="148">
        <f>IFERROR(__xludf.DUMMYFUNCTION("""COMPUTED_VALUE"""),99.0)</f>
        <v>99</v>
      </c>
      <c r="M583" s="148">
        <f>IFERROR(__xludf.DUMMYFUNCTION("""COMPUTED_VALUE"""),0.0)</f>
        <v>0</v>
      </c>
      <c r="N583" s="148" t="str">
        <f>IFERROR(__xludf.DUMMYFUNCTION("""COMPUTED_VALUE"""),"[]")</f>
        <v>[]</v>
      </c>
      <c r="O583" s="148" t="str">
        <f>IFERROR(__xludf.DUMMYFUNCTION("""COMPUTED_VALUE"""),"{}")</f>
        <v>{}</v>
      </c>
      <c r="P583" s="148">
        <f>IFERROR(__xludf.DUMMYFUNCTION("""COMPUTED_VALUE"""),0.0)</f>
        <v>0</v>
      </c>
      <c r="Q583" s="148" t="str">
        <f>IFERROR(__xludf.DUMMYFUNCTION("""COMPUTED_VALUE"""),"[]")</f>
        <v>[]</v>
      </c>
      <c r="R583" s="148" t="str">
        <f>IFERROR(__xludf.DUMMYFUNCTION("""COMPUTED_VALUE"""),"{}")</f>
        <v>{}</v>
      </c>
      <c r="S583" s="148">
        <f>IFERROR(__xludf.DUMMYFUNCTION("""COMPUTED_VALUE"""),0.0)</f>
        <v>0</v>
      </c>
      <c r="T583" s="148" t="str">
        <f>IFERROR(__xludf.DUMMYFUNCTION("""COMPUTED_VALUE"""),"[]")</f>
        <v>[]</v>
      </c>
      <c r="U583" s="148">
        <f>IFERROR(__xludf.DUMMYFUNCTION("""COMPUTED_VALUE"""),0.0)</f>
        <v>0</v>
      </c>
      <c r="V583" s="148" t="str">
        <f>IFERROR(__xludf.DUMMYFUNCTION("""COMPUTED_VALUE"""),"{}")</f>
        <v>{}</v>
      </c>
      <c r="W583" s="148" t="str">
        <f>IFERROR(__xludf.DUMMYFUNCTION("""COMPUTED_VALUE"""),"[]")</f>
        <v>[]</v>
      </c>
      <c r="X583" s="148" t="str">
        <f>IFERROR(__xludf.DUMMYFUNCTION("""COMPUTED_VALUE"""),"[{""typ"":""power"",""id"":12141002,""val"":5}]")</f>
        <v>[{"typ":"power","id":12141002,"val":5}]</v>
      </c>
      <c r="Y583" s="148" t="str">
        <f>IFERROR(__xludf.DUMMYFUNCTION("""COMPUTED_VALUE"""),"[{""typ"":""atk"",""val"":500},{""typ"":""def"",""val"":380},{""typ"":""hp"",""val"":315},{""typ"":""speed"",""val"":50},{""typ"":""load"",""val"":20},{""typ"":""backcoef"",""val"":0.5},{""typ"":""atkcoef"",""val"":1.0},{""typ"":""atkcd"",""val"":0}]")</f>
        <v>[{"typ":"atk","val":500},{"typ":"def","val":380},{"typ":"hp","val":315},{"typ":"speed","val":50},{"typ":"load","val":20},{"typ":"backcoef","val":0.5},{"typ":"atkcoef","val":1.0},{"typ":"atkcd","val":0}]</v>
      </c>
      <c r="Z583" s="148" t="str">
        <f>IFERROR(__xludf.DUMMYFUNCTION("""COMPUTED_VALUE"""),"[]")</f>
        <v>[]</v>
      </c>
    </row>
    <row r="584">
      <c r="A584" s="148">
        <f>IFERROR(__xludf.DUMMYFUNCTION("""COMPUTED_VALUE"""),1.12110035E8)</f>
        <v>112110035</v>
      </c>
      <c r="B584" s="148" t="str">
        <f>IFERROR(__xludf.DUMMYFUNCTION("""COMPUTED_VALUE"""),"KVK5-押镖单位-精英5")</f>
        <v>KVK5-押镖单位-精英5</v>
      </c>
      <c r="C584" s="148">
        <f>IFERROR(__xludf.DUMMYFUNCTION("""COMPUTED_VALUE"""),1.1221004E7)</f>
        <v>11221004</v>
      </c>
      <c r="D584" s="148">
        <f>IFERROR(__xludf.DUMMYFUNCTION("""COMPUTED_VALUE"""),1.51101125E8)</f>
        <v>151101125</v>
      </c>
      <c r="E584" s="148" t="str">
        <f>IFERROR(__xludf.DUMMYFUNCTION("""COMPUTED_VALUE"""),"{""typ"":""lc"",""txt"":""LC_KVK_kvk5_monster_name_1""}")</f>
        <v>{"typ":"lc","txt":"LC_KVK_kvk5_monster_name_1"}</v>
      </c>
      <c r="F584" s="148" t="str">
        <f>IFERROR(__xludf.DUMMYFUNCTION("""COMPUTED_VALUE"""),"{""typ"":""lc"",""txt"":""LC_KVK_kvk5_monster_desc_1""}")</f>
        <v>{"typ":"lc","txt":"LC_KVK_kvk5_monster_desc_1"}</v>
      </c>
      <c r="G584" s="148">
        <f>IFERROR(__xludf.DUMMYFUNCTION("""COMPUTED_VALUE"""),10.0)</f>
        <v>10</v>
      </c>
      <c r="H584" s="148">
        <f>IFERROR(__xludf.DUMMYFUNCTION("""COMPUTED_VALUE"""),10099.0)</f>
        <v>10099</v>
      </c>
      <c r="I584" s="148">
        <f>IFERROR(__xludf.DUMMYFUNCTION("""COMPUTED_VALUE"""),10099.0)</f>
        <v>10099</v>
      </c>
      <c r="J584" s="148">
        <f>IFERROR(__xludf.DUMMYFUNCTION("""COMPUTED_VALUE"""),0.0)</f>
        <v>0</v>
      </c>
      <c r="K584" s="148">
        <f>IFERROR(__xludf.DUMMYFUNCTION("""COMPUTED_VALUE"""),10.0)</f>
        <v>10</v>
      </c>
      <c r="L584" s="148">
        <f>IFERROR(__xludf.DUMMYFUNCTION("""COMPUTED_VALUE"""),99.0)</f>
        <v>99</v>
      </c>
      <c r="M584" s="148">
        <f>IFERROR(__xludf.DUMMYFUNCTION("""COMPUTED_VALUE"""),0.0)</f>
        <v>0</v>
      </c>
      <c r="N584" s="148" t="str">
        <f>IFERROR(__xludf.DUMMYFUNCTION("""COMPUTED_VALUE"""),"[]")</f>
        <v>[]</v>
      </c>
      <c r="O584" s="148" t="str">
        <f>IFERROR(__xludf.DUMMYFUNCTION("""COMPUTED_VALUE"""),"{}")</f>
        <v>{}</v>
      </c>
      <c r="P584" s="148">
        <f>IFERROR(__xludf.DUMMYFUNCTION("""COMPUTED_VALUE"""),0.0)</f>
        <v>0</v>
      </c>
      <c r="Q584" s="148" t="str">
        <f>IFERROR(__xludf.DUMMYFUNCTION("""COMPUTED_VALUE"""),"[]")</f>
        <v>[]</v>
      </c>
      <c r="R584" s="148" t="str">
        <f>IFERROR(__xludf.DUMMYFUNCTION("""COMPUTED_VALUE"""),"{}")</f>
        <v>{}</v>
      </c>
      <c r="S584" s="148">
        <f>IFERROR(__xludf.DUMMYFUNCTION("""COMPUTED_VALUE"""),0.0)</f>
        <v>0</v>
      </c>
      <c r="T584" s="148" t="str">
        <f>IFERROR(__xludf.DUMMYFUNCTION("""COMPUTED_VALUE"""),"[]")</f>
        <v>[]</v>
      </c>
      <c r="U584" s="148">
        <f>IFERROR(__xludf.DUMMYFUNCTION("""COMPUTED_VALUE"""),0.0)</f>
        <v>0</v>
      </c>
      <c r="V584" s="148" t="str">
        <f>IFERROR(__xludf.DUMMYFUNCTION("""COMPUTED_VALUE"""),"{}")</f>
        <v>{}</v>
      </c>
      <c r="W584" s="148" t="str">
        <f>IFERROR(__xludf.DUMMYFUNCTION("""COMPUTED_VALUE"""),"[]")</f>
        <v>[]</v>
      </c>
      <c r="X584" s="148" t="str">
        <f>IFERROR(__xludf.DUMMYFUNCTION("""COMPUTED_VALUE"""),"[{""typ"":""power"",""id"":12141002,""val"":5}]")</f>
        <v>[{"typ":"power","id":12141002,"val":5}]</v>
      </c>
      <c r="Y584" s="148" t="str">
        <f>IFERROR(__xludf.DUMMYFUNCTION("""COMPUTED_VALUE"""),"[{""typ"":""atk"",""val"":500},{""typ"":""def"",""val"":380},{""typ"":""hp"",""val"":315},{""typ"":""speed"",""val"":50},{""typ"":""load"",""val"":20},{""typ"":""backcoef"",""val"":0.5},{""typ"":""atkcoef"",""val"":1.0},{""typ"":""atkcd"",""val"":0}]")</f>
        <v>[{"typ":"atk","val":500},{"typ":"def","val":380},{"typ":"hp","val":315},{"typ":"speed","val":50},{"typ":"load","val":20},{"typ":"backcoef","val":0.5},{"typ":"atkcoef","val":1.0},{"typ":"atkcd","val":0}]</v>
      </c>
      <c r="Z584" s="148" t="str">
        <f>IFERROR(__xludf.DUMMYFUNCTION("""COMPUTED_VALUE"""),"[]")</f>
        <v>[]</v>
      </c>
    </row>
    <row r="585">
      <c r="A585" s="148">
        <f>IFERROR(__xludf.DUMMYFUNCTION("""COMPUTED_VALUE"""),1.12110036E8)</f>
        <v>112110036</v>
      </c>
      <c r="B585" s="148" t="str">
        <f>IFERROR(__xludf.DUMMYFUNCTION("""COMPUTED_VALUE"""),"KVK5-押镖单位-BOSS1")</f>
        <v>KVK5-押镖单位-BOSS1</v>
      </c>
      <c r="C585" s="148">
        <f>IFERROR(__xludf.DUMMYFUNCTION("""COMPUTED_VALUE"""),1.1221004E7)</f>
        <v>11221004</v>
      </c>
      <c r="D585" s="148">
        <f>IFERROR(__xludf.DUMMYFUNCTION("""COMPUTED_VALUE"""),1.51101069E8)</f>
        <v>151101069</v>
      </c>
      <c r="E585" s="148" t="str">
        <f>IFERROR(__xludf.DUMMYFUNCTION("""COMPUTED_VALUE"""),"{""typ"":""lc"",""txt"":""LC_KVK_kvk5_monster_name_2""}")</f>
        <v>{"typ":"lc","txt":"LC_KVK_kvk5_monster_name_2"}</v>
      </c>
      <c r="F585" s="148" t="str">
        <f>IFERROR(__xludf.DUMMYFUNCTION("""COMPUTED_VALUE"""),"{""typ"":""lc"",""txt"":""LC_KVK_kvk5_monster_desc_2""}")</f>
        <v>{"typ":"lc","txt":"LC_KVK_kvk5_monster_desc_2"}</v>
      </c>
      <c r="G585" s="148">
        <f>IFERROR(__xludf.DUMMYFUNCTION("""COMPUTED_VALUE"""),10.0)</f>
        <v>10</v>
      </c>
      <c r="H585" s="148">
        <f>IFERROR(__xludf.DUMMYFUNCTION("""COMPUTED_VALUE"""),10099.0)</f>
        <v>10099</v>
      </c>
      <c r="I585" s="148">
        <f>IFERROR(__xludf.DUMMYFUNCTION("""COMPUTED_VALUE"""),10099.0)</f>
        <v>10099</v>
      </c>
      <c r="J585" s="148">
        <f>IFERROR(__xludf.DUMMYFUNCTION("""COMPUTED_VALUE"""),0.0)</f>
        <v>0</v>
      </c>
      <c r="K585" s="148">
        <f>IFERROR(__xludf.DUMMYFUNCTION("""COMPUTED_VALUE"""),10.0)</f>
        <v>10</v>
      </c>
      <c r="L585" s="148">
        <f>IFERROR(__xludf.DUMMYFUNCTION("""COMPUTED_VALUE"""),99.0)</f>
        <v>99</v>
      </c>
      <c r="M585" s="148">
        <f>IFERROR(__xludf.DUMMYFUNCTION("""COMPUTED_VALUE"""),0.0)</f>
        <v>0</v>
      </c>
      <c r="N585" s="148" t="str">
        <f>IFERROR(__xludf.DUMMYFUNCTION("""COMPUTED_VALUE"""),"[]")</f>
        <v>[]</v>
      </c>
      <c r="O585" s="148" t="str">
        <f>IFERROR(__xludf.DUMMYFUNCTION("""COMPUTED_VALUE"""),"{}")</f>
        <v>{}</v>
      </c>
      <c r="P585" s="148">
        <f>IFERROR(__xludf.DUMMYFUNCTION("""COMPUTED_VALUE"""),0.0)</f>
        <v>0</v>
      </c>
      <c r="Q585" s="148" t="str">
        <f>IFERROR(__xludf.DUMMYFUNCTION("""COMPUTED_VALUE"""),"[]")</f>
        <v>[]</v>
      </c>
      <c r="R585" s="148" t="str">
        <f>IFERROR(__xludf.DUMMYFUNCTION("""COMPUTED_VALUE"""),"{}")</f>
        <v>{}</v>
      </c>
      <c r="S585" s="148">
        <f>IFERROR(__xludf.DUMMYFUNCTION("""COMPUTED_VALUE"""),0.0)</f>
        <v>0</v>
      </c>
      <c r="T585" s="148" t="str">
        <f>IFERROR(__xludf.DUMMYFUNCTION("""COMPUTED_VALUE"""),"[]")</f>
        <v>[]</v>
      </c>
      <c r="U585" s="148">
        <f>IFERROR(__xludf.DUMMYFUNCTION("""COMPUTED_VALUE"""),0.0)</f>
        <v>0</v>
      </c>
      <c r="V585" s="148" t="str">
        <f>IFERROR(__xludf.DUMMYFUNCTION("""COMPUTED_VALUE"""),"{}")</f>
        <v>{}</v>
      </c>
      <c r="W585" s="148" t="str">
        <f>IFERROR(__xludf.DUMMYFUNCTION("""COMPUTED_VALUE"""),"[]")</f>
        <v>[]</v>
      </c>
      <c r="X585" s="148" t="str">
        <f>IFERROR(__xludf.DUMMYFUNCTION("""COMPUTED_VALUE"""),"[{""typ"":""power"",""id"":12141002,""val"":10}]")</f>
        <v>[{"typ":"power","id":12141002,"val":10}]</v>
      </c>
      <c r="Y585" s="148" t="str">
        <f>IFERROR(__xludf.DUMMYFUNCTION("""COMPUTED_VALUE"""),"[{""typ"":""atk"",""val"":500},{""typ"":""def"",""val"":380},{""typ"":""hp"",""val"":315},{""typ"":""speed"",""val"":50},{""typ"":""load"",""val"":20},{""typ"":""backcoef"",""val"":0.5},{""typ"":""atkcoef"",""val"":1.0},{""typ"":""atkcd"",""val"":0}]")</f>
        <v>[{"typ":"atk","val":500},{"typ":"def","val":380},{"typ":"hp","val":315},{"typ":"speed","val":50},{"typ":"load","val":20},{"typ":"backcoef","val":0.5},{"typ":"atkcoef","val":1.0},{"typ":"atkcd","val":0}]</v>
      </c>
      <c r="Z585" s="148" t="str">
        <f>IFERROR(__xludf.DUMMYFUNCTION("""COMPUTED_VALUE"""),"[]")</f>
        <v>[]</v>
      </c>
    </row>
    <row r="586">
      <c r="A586" s="148">
        <f>IFERROR(__xludf.DUMMYFUNCTION("""COMPUTED_VALUE"""),1.12110037E8)</f>
        <v>112110037</v>
      </c>
      <c r="B586" s="148" t="str">
        <f>IFERROR(__xludf.DUMMYFUNCTION("""COMPUTED_VALUE"""),"KVK5-押镖单位-BOSS2")</f>
        <v>KVK5-押镖单位-BOSS2</v>
      </c>
      <c r="C586" s="148">
        <f>IFERROR(__xludf.DUMMYFUNCTION("""COMPUTED_VALUE"""),1.1221004E7)</f>
        <v>11221004</v>
      </c>
      <c r="D586" s="148">
        <f>IFERROR(__xludf.DUMMYFUNCTION("""COMPUTED_VALUE"""),1.51101069E8)</f>
        <v>151101069</v>
      </c>
      <c r="E586" s="148" t="str">
        <f>IFERROR(__xludf.DUMMYFUNCTION("""COMPUTED_VALUE"""),"{""typ"":""lc"",""txt"":""LC_KVK_kvk5_monster_name_2""}")</f>
        <v>{"typ":"lc","txt":"LC_KVK_kvk5_monster_name_2"}</v>
      </c>
      <c r="F586" s="148" t="str">
        <f>IFERROR(__xludf.DUMMYFUNCTION("""COMPUTED_VALUE"""),"{""typ"":""lc"",""txt"":""LC_KVK_kvk5_monster_desc_2""}")</f>
        <v>{"typ":"lc","txt":"LC_KVK_kvk5_monster_desc_2"}</v>
      </c>
      <c r="G586" s="148">
        <f>IFERROR(__xludf.DUMMYFUNCTION("""COMPUTED_VALUE"""),10.0)</f>
        <v>10</v>
      </c>
      <c r="H586" s="148">
        <f>IFERROR(__xludf.DUMMYFUNCTION("""COMPUTED_VALUE"""),10099.0)</f>
        <v>10099</v>
      </c>
      <c r="I586" s="148">
        <f>IFERROR(__xludf.DUMMYFUNCTION("""COMPUTED_VALUE"""),10099.0)</f>
        <v>10099</v>
      </c>
      <c r="J586" s="148">
        <f>IFERROR(__xludf.DUMMYFUNCTION("""COMPUTED_VALUE"""),0.0)</f>
        <v>0</v>
      </c>
      <c r="K586" s="148">
        <f>IFERROR(__xludf.DUMMYFUNCTION("""COMPUTED_VALUE"""),10.0)</f>
        <v>10</v>
      </c>
      <c r="L586" s="148">
        <f>IFERROR(__xludf.DUMMYFUNCTION("""COMPUTED_VALUE"""),99.0)</f>
        <v>99</v>
      </c>
      <c r="M586" s="148">
        <f>IFERROR(__xludf.DUMMYFUNCTION("""COMPUTED_VALUE"""),0.0)</f>
        <v>0</v>
      </c>
      <c r="N586" s="148" t="str">
        <f>IFERROR(__xludf.DUMMYFUNCTION("""COMPUTED_VALUE"""),"[]")</f>
        <v>[]</v>
      </c>
      <c r="O586" s="148" t="str">
        <f>IFERROR(__xludf.DUMMYFUNCTION("""COMPUTED_VALUE"""),"{}")</f>
        <v>{}</v>
      </c>
      <c r="P586" s="148">
        <f>IFERROR(__xludf.DUMMYFUNCTION("""COMPUTED_VALUE"""),0.0)</f>
        <v>0</v>
      </c>
      <c r="Q586" s="148" t="str">
        <f>IFERROR(__xludf.DUMMYFUNCTION("""COMPUTED_VALUE"""),"[]")</f>
        <v>[]</v>
      </c>
      <c r="R586" s="148" t="str">
        <f>IFERROR(__xludf.DUMMYFUNCTION("""COMPUTED_VALUE"""),"{}")</f>
        <v>{}</v>
      </c>
      <c r="S586" s="148">
        <f>IFERROR(__xludf.DUMMYFUNCTION("""COMPUTED_VALUE"""),0.0)</f>
        <v>0</v>
      </c>
      <c r="T586" s="148" t="str">
        <f>IFERROR(__xludf.DUMMYFUNCTION("""COMPUTED_VALUE"""),"[]")</f>
        <v>[]</v>
      </c>
      <c r="U586" s="148">
        <f>IFERROR(__xludf.DUMMYFUNCTION("""COMPUTED_VALUE"""),0.0)</f>
        <v>0</v>
      </c>
      <c r="V586" s="148" t="str">
        <f>IFERROR(__xludf.DUMMYFUNCTION("""COMPUTED_VALUE"""),"{}")</f>
        <v>{}</v>
      </c>
      <c r="W586" s="148" t="str">
        <f>IFERROR(__xludf.DUMMYFUNCTION("""COMPUTED_VALUE"""),"[]")</f>
        <v>[]</v>
      </c>
      <c r="X586" s="148" t="str">
        <f>IFERROR(__xludf.DUMMYFUNCTION("""COMPUTED_VALUE"""),"[{""typ"":""power"",""id"":12141002,""val"":10}]")</f>
        <v>[{"typ":"power","id":12141002,"val":10}]</v>
      </c>
      <c r="Y586" s="148" t="str">
        <f>IFERROR(__xludf.DUMMYFUNCTION("""COMPUTED_VALUE"""),"[{""typ"":""atk"",""val"":500},{""typ"":""def"",""val"":380},{""typ"":""hp"",""val"":315},{""typ"":""speed"",""val"":50},{""typ"":""load"",""val"":20},{""typ"":""backcoef"",""val"":0.5},{""typ"":""atkcoef"",""val"":1.0},{""typ"":""atkcd"",""val"":0}]")</f>
        <v>[{"typ":"atk","val":500},{"typ":"def","val":380},{"typ":"hp","val":315},{"typ":"speed","val":50},{"typ":"load","val":20},{"typ":"backcoef","val":0.5},{"typ":"atkcoef","val":1.0},{"typ":"atkcd","val":0}]</v>
      </c>
      <c r="Z586" s="148" t="str">
        <f>IFERROR(__xludf.DUMMYFUNCTION("""COMPUTED_VALUE"""),"[]")</f>
        <v>[]</v>
      </c>
    </row>
    <row r="587">
      <c r="A587" s="148">
        <f>IFERROR(__xludf.DUMMYFUNCTION("""COMPUTED_VALUE"""),1.12110038E8)</f>
        <v>112110038</v>
      </c>
      <c r="B587" s="148" t="str">
        <f>IFERROR(__xludf.DUMMYFUNCTION("""COMPUTED_VALUE"""),"KVK5-押镖单位-BOSS3")</f>
        <v>KVK5-押镖单位-BOSS3</v>
      </c>
      <c r="C587" s="148">
        <f>IFERROR(__xludf.DUMMYFUNCTION("""COMPUTED_VALUE"""),1.1221004E7)</f>
        <v>11221004</v>
      </c>
      <c r="D587" s="148">
        <f>IFERROR(__xludf.DUMMYFUNCTION("""COMPUTED_VALUE"""),1.5110107E8)</f>
        <v>151101070</v>
      </c>
      <c r="E587" s="148" t="str">
        <f>IFERROR(__xludf.DUMMYFUNCTION("""COMPUTED_VALUE"""),"{""typ"":""lc"",""txt"":""LC_KVK_kvk5_monster_name_2""}")</f>
        <v>{"typ":"lc","txt":"LC_KVK_kvk5_monster_name_2"}</v>
      </c>
      <c r="F587" s="148" t="str">
        <f>IFERROR(__xludf.DUMMYFUNCTION("""COMPUTED_VALUE"""),"{""typ"":""lc"",""txt"":""LC_KVK_kvk5_monster_desc_2""}")</f>
        <v>{"typ":"lc","txt":"LC_KVK_kvk5_monster_desc_2"}</v>
      </c>
      <c r="G587" s="148">
        <f>IFERROR(__xludf.DUMMYFUNCTION("""COMPUTED_VALUE"""),10.0)</f>
        <v>10</v>
      </c>
      <c r="H587" s="148">
        <f>IFERROR(__xludf.DUMMYFUNCTION("""COMPUTED_VALUE"""),10099.0)</f>
        <v>10099</v>
      </c>
      <c r="I587" s="148">
        <f>IFERROR(__xludf.DUMMYFUNCTION("""COMPUTED_VALUE"""),10099.0)</f>
        <v>10099</v>
      </c>
      <c r="J587" s="148">
        <f>IFERROR(__xludf.DUMMYFUNCTION("""COMPUTED_VALUE"""),0.0)</f>
        <v>0</v>
      </c>
      <c r="K587" s="148">
        <f>IFERROR(__xludf.DUMMYFUNCTION("""COMPUTED_VALUE"""),10.0)</f>
        <v>10</v>
      </c>
      <c r="L587" s="148">
        <f>IFERROR(__xludf.DUMMYFUNCTION("""COMPUTED_VALUE"""),99.0)</f>
        <v>99</v>
      </c>
      <c r="M587" s="148">
        <f>IFERROR(__xludf.DUMMYFUNCTION("""COMPUTED_VALUE"""),0.0)</f>
        <v>0</v>
      </c>
      <c r="N587" s="148" t="str">
        <f>IFERROR(__xludf.DUMMYFUNCTION("""COMPUTED_VALUE"""),"[]")</f>
        <v>[]</v>
      </c>
      <c r="O587" s="148" t="str">
        <f>IFERROR(__xludf.DUMMYFUNCTION("""COMPUTED_VALUE"""),"{}")</f>
        <v>{}</v>
      </c>
      <c r="P587" s="148">
        <f>IFERROR(__xludf.DUMMYFUNCTION("""COMPUTED_VALUE"""),0.0)</f>
        <v>0</v>
      </c>
      <c r="Q587" s="148" t="str">
        <f>IFERROR(__xludf.DUMMYFUNCTION("""COMPUTED_VALUE"""),"[]")</f>
        <v>[]</v>
      </c>
      <c r="R587" s="148" t="str">
        <f>IFERROR(__xludf.DUMMYFUNCTION("""COMPUTED_VALUE"""),"{}")</f>
        <v>{}</v>
      </c>
      <c r="S587" s="148">
        <f>IFERROR(__xludf.DUMMYFUNCTION("""COMPUTED_VALUE"""),0.0)</f>
        <v>0</v>
      </c>
      <c r="T587" s="148" t="str">
        <f>IFERROR(__xludf.DUMMYFUNCTION("""COMPUTED_VALUE"""),"[]")</f>
        <v>[]</v>
      </c>
      <c r="U587" s="148">
        <f>IFERROR(__xludf.DUMMYFUNCTION("""COMPUTED_VALUE"""),0.0)</f>
        <v>0</v>
      </c>
      <c r="V587" s="148" t="str">
        <f>IFERROR(__xludf.DUMMYFUNCTION("""COMPUTED_VALUE"""),"{}")</f>
        <v>{}</v>
      </c>
      <c r="W587" s="148" t="str">
        <f>IFERROR(__xludf.DUMMYFUNCTION("""COMPUTED_VALUE"""),"[]")</f>
        <v>[]</v>
      </c>
      <c r="X587" s="148" t="str">
        <f>IFERROR(__xludf.DUMMYFUNCTION("""COMPUTED_VALUE"""),"[{""typ"":""power"",""id"":12141002,""val"":10}]")</f>
        <v>[{"typ":"power","id":12141002,"val":10}]</v>
      </c>
      <c r="Y587" s="148" t="str">
        <f>IFERROR(__xludf.DUMMYFUNCTION("""COMPUTED_VALUE"""),"[{""typ"":""atk"",""val"":500},{""typ"":""def"",""val"":380},{""typ"":""hp"",""val"":315},{""typ"":""speed"",""val"":50},{""typ"":""load"",""val"":20},{""typ"":""backcoef"",""val"":0.5},{""typ"":""atkcoef"",""val"":1.0},{""typ"":""atkcd"",""val"":0}]")</f>
        <v>[{"typ":"atk","val":500},{"typ":"def","val":380},{"typ":"hp","val":315},{"typ":"speed","val":50},{"typ":"load","val":20},{"typ":"backcoef","val":0.5},{"typ":"atkcoef","val":1.0},{"typ":"atkcd","val":0}]</v>
      </c>
      <c r="Z587" s="148" t="str">
        <f>IFERROR(__xludf.DUMMYFUNCTION("""COMPUTED_VALUE"""),"[]")</f>
        <v>[]</v>
      </c>
    </row>
    <row r="588">
      <c r="A588" s="148">
        <f>IFERROR(__xludf.DUMMYFUNCTION("""COMPUTED_VALUE"""),1.12110039E8)</f>
        <v>112110039</v>
      </c>
      <c r="B588" s="148" t="str">
        <f>IFERROR(__xludf.DUMMYFUNCTION("""COMPUTED_VALUE"""),"KVK5-押镖单位-BOSS4")</f>
        <v>KVK5-押镖单位-BOSS4</v>
      </c>
      <c r="C588" s="148">
        <f>IFERROR(__xludf.DUMMYFUNCTION("""COMPUTED_VALUE"""),1.1221004E7)</f>
        <v>11221004</v>
      </c>
      <c r="D588" s="148">
        <f>IFERROR(__xludf.DUMMYFUNCTION("""COMPUTED_VALUE"""),1.5110107E8)</f>
        <v>151101070</v>
      </c>
      <c r="E588" s="148" t="str">
        <f>IFERROR(__xludf.DUMMYFUNCTION("""COMPUTED_VALUE"""),"{""typ"":""lc"",""txt"":""LC_KVK_kvk5_monster_name_2""}")</f>
        <v>{"typ":"lc","txt":"LC_KVK_kvk5_monster_name_2"}</v>
      </c>
      <c r="F588" s="148" t="str">
        <f>IFERROR(__xludf.DUMMYFUNCTION("""COMPUTED_VALUE"""),"{""typ"":""lc"",""txt"":""LC_KVK_kvk5_monster_desc_2""}")</f>
        <v>{"typ":"lc","txt":"LC_KVK_kvk5_monster_desc_2"}</v>
      </c>
      <c r="G588" s="148">
        <f>IFERROR(__xludf.DUMMYFUNCTION("""COMPUTED_VALUE"""),10.0)</f>
        <v>10</v>
      </c>
      <c r="H588" s="148">
        <f>IFERROR(__xludf.DUMMYFUNCTION("""COMPUTED_VALUE"""),10099.0)</f>
        <v>10099</v>
      </c>
      <c r="I588" s="148">
        <f>IFERROR(__xludf.DUMMYFUNCTION("""COMPUTED_VALUE"""),10099.0)</f>
        <v>10099</v>
      </c>
      <c r="J588" s="148">
        <f>IFERROR(__xludf.DUMMYFUNCTION("""COMPUTED_VALUE"""),0.0)</f>
        <v>0</v>
      </c>
      <c r="K588" s="148">
        <f>IFERROR(__xludf.DUMMYFUNCTION("""COMPUTED_VALUE"""),10.0)</f>
        <v>10</v>
      </c>
      <c r="L588" s="148">
        <f>IFERROR(__xludf.DUMMYFUNCTION("""COMPUTED_VALUE"""),99.0)</f>
        <v>99</v>
      </c>
      <c r="M588" s="148">
        <f>IFERROR(__xludf.DUMMYFUNCTION("""COMPUTED_VALUE"""),0.0)</f>
        <v>0</v>
      </c>
      <c r="N588" s="148" t="str">
        <f>IFERROR(__xludf.DUMMYFUNCTION("""COMPUTED_VALUE"""),"[]")</f>
        <v>[]</v>
      </c>
      <c r="O588" s="148" t="str">
        <f>IFERROR(__xludf.DUMMYFUNCTION("""COMPUTED_VALUE"""),"{}")</f>
        <v>{}</v>
      </c>
      <c r="P588" s="148">
        <f>IFERROR(__xludf.DUMMYFUNCTION("""COMPUTED_VALUE"""),0.0)</f>
        <v>0</v>
      </c>
      <c r="Q588" s="148" t="str">
        <f>IFERROR(__xludf.DUMMYFUNCTION("""COMPUTED_VALUE"""),"[]")</f>
        <v>[]</v>
      </c>
      <c r="R588" s="148" t="str">
        <f>IFERROR(__xludf.DUMMYFUNCTION("""COMPUTED_VALUE"""),"{}")</f>
        <v>{}</v>
      </c>
      <c r="S588" s="148">
        <f>IFERROR(__xludf.DUMMYFUNCTION("""COMPUTED_VALUE"""),0.0)</f>
        <v>0</v>
      </c>
      <c r="T588" s="148" t="str">
        <f>IFERROR(__xludf.DUMMYFUNCTION("""COMPUTED_VALUE"""),"[]")</f>
        <v>[]</v>
      </c>
      <c r="U588" s="148">
        <f>IFERROR(__xludf.DUMMYFUNCTION("""COMPUTED_VALUE"""),0.0)</f>
        <v>0</v>
      </c>
      <c r="V588" s="148" t="str">
        <f>IFERROR(__xludf.DUMMYFUNCTION("""COMPUTED_VALUE"""),"{}")</f>
        <v>{}</v>
      </c>
      <c r="W588" s="148" t="str">
        <f>IFERROR(__xludf.DUMMYFUNCTION("""COMPUTED_VALUE"""),"[]")</f>
        <v>[]</v>
      </c>
      <c r="X588" s="148" t="str">
        <f>IFERROR(__xludf.DUMMYFUNCTION("""COMPUTED_VALUE"""),"[{""typ"":""power"",""id"":12141002,""val"":10}]")</f>
        <v>[{"typ":"power","id":12141002,"val":10}]</v>
      </c>
      <c r="Y588" s="148" t="str">
        <f>IFERROR(__xludf.DUMMYFUNCTION("""COMPUTED_VALUE"""),"[{""typ"":""atk"",""val"":500},{""typ"":""def"",""val"":380},{""typ"":""hp"",""val"":315},{""typ"":""speed"",""val"":50},{""typ"":""load"",""val"":20},{""typ"":""backcoef"",""val"":0.5},{""typ"":""atkcoef"",""val"":1.0},{""typ"":""atkcd"",""val"":0}]")</f>
        <v>[{"typ":"atk","val":500},{"typ":"def","val":380},{"typ":"hp","val":315},{"typ":"speed","val":50},{"typ":"load","val":20},{"typ":"backcoef","val":0.5},{"typ":"atkcoef","val":1.0},{"typ":"atkcd","val":0}]</v>
      </c>
      <c r="Z588" s="148" t="str">
        <f>IFERROR(__xludf.DUMMYFUNCTION("""COMPUTED_VALUE"""),"[]")</f>
        <v>[]</v>
      </c>
    </row>
    <row r="589">
      <c r="A589" s="148">
        <f>IFERROR(__xludf.DUMMYFUNCTION("""COMPUTED_VALUE"""),1.1211004E8)</f>
        <v>112110040</v>
      </c>
      <c r="B589" s="148" t="str">
        <f>IFERROR(__xludf.DUMMYFUNCTION("""COMPUTED_VALUE"""),"KVK5-押镖单位-BOSS5")</f>
        <v>KVK5-押镖单位-BOSS5</v>
      </c>
      <c r="C589" s="148">
        <f>IFERROR(__xludf.DUMMYFUNCTION("""COMPUTED_VALUE"""),1.1221004E7)</f>
        <v>11221004</v>
      </c>
      <c r="D589" s="148">
        <f>IFERROR(__xludf.DUMMYFUNCTION("""COMPUTED_VALUE"""),1.51101071E8)</f>
        <v>151101071</v>
      </c>
      <c r="E589" s="148" t="str">
        <f>IFERROR(__xludf.DUMMYFUNCTION("""COMPUTED_VALUE"""),"{""typ"":""lc"",""txt"":""LC_KVK_kvk5_monster_name_2""}")</f>
        <v>{"typ":"lc","txt":"LC_KVK_kvk5_monster_name_2"}</v>
      </c>
      <c r="F589" s="148" t="str">
        <f>IFERROR(__xludf.DUMMYFUNCTION("""COMPUTED_VALUE"""),"{""typ"":""lc"",""txt"":""LC_KVK_kvk5_monster_desc_2""}")</f>
        <v>{"typ":"lc","txt":"LC_KVK_kvk5_monster_desc_2"}</v>
      </c>
      <c r="G589" s="148">
        <f>IFERROR(__xludf.DUMMYFUNCTION("""COMPUTED_VALUE"""),10.0)</f>
        <v>10</v>
      </c>
      <c r="H589" s="148">
        <f>IFERROR(__xludf.DUMMYFUNCTION("""COMPUTED_VALUE"""),10099.0)</f>
        <v>10099</v>
      </c>
      <c r="I589" s="148">
        <f>IFERROR(__xludf.DUMMYFUNCTION("""COMPUTED_VALUE"""),10099.0)</f>
        <v>10099</v>
      </c>
      <c r="J589" s="148">
        <f>IFERROR(__xludf.DUMMYFUNCTION("""COMPUTED_VALUE"""),0.0)</f>
        <v>0</v>
      </c>
      <c r="K589" s="148">
        <f>IFERROR(__xludf.DUMMYFUNCTION("""COMPUTED_VALUE"""),10.0)</f>
        <v>10</v>
      </c>
      <c r="L589" s="148">
        <f>IFERROR(__xludf.DUMMYFUNCTION("""COMPUTED_VALUE"""),99.0)</f>
        <v>99</v>
      </c>
      <c r="M589" s="148">
        <f>IFERROR(__xludf.DUMMYFUNCTION("""COMPUTED_VALUE"""),0.0)</f>
        <v>0</v>
      </c>
      <c r="N589" s="148" t="str">
        <f>IFERROR(__xludf.DUMMYFUNCTION("""COMPUTED_VALUE"""),"[]")</f>
        <v>[]</v>
      </c>
      <c r="O589" s="148" t="str">
        <f>IFERROR(__xludf.DUMMYFUNCTION("""COMPUTED_VALUE"""),"{}")</f>
        <v>{}</v>
      </c>
      <c r="P589" s="148">
        <f>IFERROR(__xludf.DUMMYFUNCTION("""COMPUTED_VALUE"""),0.0)</f>
        <v>0</v>
      </c>
      <c r="Q589" s="148" t="str">
        <f>IFERROR(__xludf.DUMMYFUNCTION("""COMPUTED_VALUE"""),"[]")</f>
        <v>[]</v>
      </c>
      <c r="R589" s="148" t="str">
        <f>IFERROR(__xludf.DUMMYFUNCTION("""COMPUTED_VALUE"""),"{}")</f>
        <v>{}</v>
      </c>
      <c r="S589" s="148">
        <f>IFERROR(__xludf.DUMMYFUNCTION("""COMPUTED_VALUE"""),0.0)</f>
        <v>0</v>
      </c>
      <c r="T589" s="148" t="str">
        <f>IFERROR(__xludf.DUMMYFUNCTION("""COMPUTED_VALUE"""),"[]")</f>
        <v>[]</v>
      </c>
      <c r="U589" s="148">
        <f>IFERROR(__xludf.DUMMYFUNCTION("""COMPUTED_VALUE"""),0.0)</f>
        <v>0</v>
      </c>
      <c r="V589" s="148" t="str">
        <f>IFERROR(__xludf.DUMMYFUNCTION("""COMPUTED_VALUE"""),"{}")</f>
        <v>{}</v>
      </c>
      <c r="W589" s="148" t="str">
        <f>IFERROR(__xludf.DUMMYFUNCTION("""COMPUTED_VALUE"""),"[]")</f>
        <v>[]</v>
      </c>
      <c r="X589" s="148" t="str">
        <f>IFERROR(__xludf.DUMMYFUNCTION("""COMPUTED_VALUE"""),"[{""typ"":""power"",""id"":12141002,""val"":10}]")</f>
        <v>[{"typ":"power","id":12141002,"val":10}]</v>
      </c>
      <c r="Y589" s="148" t="str">
        <f>IFERROR(__xludf.DUMMYFUNCTION("""COMPUTED_VALUE"""),"[{""typ"":""atk"",""val"":500},{""typ"":""def"",""val"":380},{""typ"":""hp"",""val"":315},{""typ"":""speed"",""val"":50},{""typ"":""load"",""val"":20},{""typ"":""backcoef"",""val"":0.5},{""typ"":""atkcoef"",""val"":1.0},{""typ"":""atkcd"",""val"":0}]")</f>
        <v>[{"typ":"atk","val":500},{"typ":"def","val":380},{"typ":"hp","val":315},{"typ":"speed","val":50},{"typ":"load","val":20},{"typ":"backcoef","val":0.5},{"typ":"atkcoef","val":1.0},{"typ":"atkcd","val":0}]</v>
      </c>
      <c r="Z589" s="148" t="str">
        <f>IFERROR(__xludf.DUMMYFUNCTION("""COMPUTED_VALUE"""),"[]")</f>
        <v>[]</v>
      </c>
    </row>
    <row r="590">
      <c r="A590" s="148">
        <f>IFERROR(__xludf.DUMMYFUNCTION("""COMPUTED_VALUE"""),1.12110101E8)</f>
        <v>112110101</v>
      </c>
      <c r="B590" s="148" t="str">
        <f>IFERROR(__xludf.DUMMYFUNCTION("""COMPUTED_VALUE"""),"GVEkvk3旗帜--部队")</f>
        <v>GVEkvk3旗帜--部队</v>
      </c>
      <c r="C590" s="148">
        <f>IFERROR(__xludf.DUMMYFUNCTION("""COMPUTED_VALUE"""),1.1221001E7)</f>
        <v>11221001</v>
      </c>
      <c r="D590" s="148">
        <f>IFERROR(__xludf.DUMMYFUNCTION("""COMPUTED_VALUE"""),1.5111315E7)</f>
        <v>15111315</v>
      </c>
      <c r="E590" s="148" t="str">
        <f>IFERROR(__xludf.DUMMYFUNCTION("""COMPUTED_VALUE"""),"{}")</f>
        <v>{}</v>
      </c>
      <c r="F590" s="148" t="str">
        <f>IFERROR(__xludf.DUMMYFUNCTION("""COMPUTED_VALUE"""),"{}")</f>
        <v>{}</v>
      </c>
      <c r="G590" s="148">
        <f>IFERROR(__xludf.DUMMYFUNCTION("""COMPUTED_VALUE"""),10.0)</f>
        <v>10</v>
      </c>
      <c r="H590" s="148">
        <f>IFERROR(__xludf.DUMMYFUNCTION("""COMPUTED_VALUE"""),10099.0)</f>
        <v>10099</v>
      </c>
      <c r="I590" s="148">
        <f>IFERROR(__xludf.DUMMYFUNCTION("""COMPUTED_VALUE"""),10099.0)</f>
        <v>10099</v>
      </c>
      <c r="J590" s="148">
        <f>IFERROR(__xludf.DUMMYFUNCTION("""COMPUTED_VALUE"""),0.0)</f>
        <v>0</v>
      </c>
      <c r="K590" s="148">
        <f>IFERROR(__xludf.DUMMYFUNCTION("""COMPUTED_VALUE"""),10.0)</f>
        <v>10</v>
      </c>
      <c r="L590" s="148">
        <f>IFERROR(__xludf.DUMMYFUNCTION("""COMPUTED_VALUE"""),99.0)</f>
        <v>99</v>
      </c>
      <c r="M590" s="148">
        <f>IFERROR(__xludf.DUMMYFUNCTION("""COMPUTED_VALUE"""),0.0)</f>
        <v>0</v>
      </c>
      <c r="N590" s="148" t="str">
        <f>IFERROR(__xludf.DUMMYFUNCTION("""COMPUTED_VALUE"""),"[]")</f>
        <v>[]</v>
      </c>
      <c r="O590" s="148" t="str">
        <f>IFERROR(__xludf.DUMMYFUNCTION("""COMPUTED_VALUE"""),"{}")</f>
        <v>{}</v>
      </c>
      <c r="P590" s="148">
        <f>IFERROR(__xludf.DUMMYFUNCTION("""COMPUTED_VALUE"""),0.0)</f>
        <v>0</v>
      </c>
      <c r="Q590" s="148" t="str">
        <f>IFERROR(__xludf.DUMMYFUNCTION("""COMPUTED_VALUE"""),"[]")</f>
        <v>[]</v>
      </c>
      <c r="R590" s="148" t="str">
        <f>IFERROR(__xludf.DUMMYFUNCTION("""COMPUTED_VALUE"""),"{}")</f>
        <v>{}</v>
      </c>
      <c r="S590" s="148">
        <f>IFERROR(__xludf.DUMMYFUNCTION("""COMPUTED_VALUE"""),0.0)</f>
        <v>0</v>
      </c>
      <c r="T590" s="148" t="str">
        <f>IFERROR(__xludf.DUMMYFUNCTION("""COMPUTED_VALUE"""),"[]")</f>
        <v>[]</v>
      </c>
      <c r="U590" s="148">
        <f>IFERROR(__xludf.DUMMYFUNCTION("""COMPUTED_VALUE"""),0.0)</f>
        <v>0</v>
      </c>
      <c r="V590" s="148" t="str">
        <f>IFERROR(__xludf.DUMMYFUNCTION("""COMPUTED_VALUE"""),"{}")</f>
        <v>{}</v>
      </c>
      <c r="W590" s="148" t="str">
        <f>IFERROR(__xludf.DUMMYFUNCTION("""COMPUTED_VALUE"""),"[]")</f>
        <v>[]</v>
      </c>
      <c r="X590" s="148" t="str">
        <f>IFERROR(__xludf.DUMMYFUNCTION("""COMPUTED_VALUE"""),"[{""typ"":""power"",""id"":12141002,""val"":4}]")</f>
        <v>[{"typ":"power","id":12141002,"val":4}]</v>
      </c>
      <c r="Y590" s="148" t="str">
        <f>IFERROR(__xludf.DUMMYFUNCTION("""COMPUTED_VALUE"""),"[{""typ"":""atk"",""val"":0},{""typ"":""def"",""val"":160},{""typ"":""hp"",""val"":160},{""typ"":""speed"",""val"":0},{""typ"":""load"",""val"":20},{""typ"":""backcoef"",""val"":0.5},{""typ"":""atkcoef"",""val"":1.0},{""typ"":""atkcd"",""val"":0}]")</f>
        <v>[{"typ":"atk","val":0},{"typ":"def","val":160},{"typ":"hp","val":160},{"typ":"speed","val":0},{"typ":"load","val":20},{"typ":"backcoef","val":0.5},{"typ":"atkcoef","val":1.0},{"typ":"atkcd","val":0}]</v>
      </c>
      <c r="Z590" s="148" t="str">
        <f>IFERROR(__xludf.DUMMYFUNCTION("""COMPUTED_VALUE"""),"[]")</f>
        <v>[]</v>
      </c>
    </row>
    <row r="591">
      <c r="A591" s="148">
        <f>IFERROR(__xludf.DUMMYFUNCTION("""COMPUTED_VALUE"""),1.12110102E8)</f>
        <v>112110102</v>
      </c>
      <c r="B591" s="148" t="str">
        <f>IFERROR(__xludf.DUMMYFUNCTION("""COMPUTED_VALUE"""),"GVE怪--灯泡鱼白")</f>
        <v>GVE怪--灯泡鱼白</v>
      </c>
      <c r="C591" s="148">
        <f>IFERROR(__xludf.DUMMYFUNCTION("""COMPUTED_VALUE"""),1.1221004E7)</f>
        <v>11221004</v>
      </c>
      <c r="D591" s="148">
        <f>IFERROR(__xludf.DUMMYFUNCTION("""COMPUTED_VALUE"""),1.5116422E7)</f>
        <v>15116422</v>
      </c>
      <c r="E591" s="148" t="str">
        <f>IFERROR(__xludf.DUMMYFUNCTION("""COMPUTED_VALUE"""),"{""typ"":""lc"",""txt"":""LC_NPC_kvk3_npc_reg_name""}")</f>
        <v>{"typ":"lc","txt":"LC_NPC_kvk3_npc_reg_name"}</v>
      </c>
      <c r="F591" s="148" t="str">
        <f>IFERROR(__xludf.DUMMYFUNCTION("""COMPUTED_VALUE"""),"{}")</f>
        <v>{}</v>
      </c>
      <c r="G591" s="148">
        <f>IFERROR(__xludf.DUMMYFUNCTION("""COMPUTED_VALUE"""),10.0)</f>
        <v>10</v>
      </c>
      <c r="H591" s="148">
        <f>IFERROR(__xludf.DUMMYFUNCTION("""COMPUTED_VALUE"""),10099.0)</f>
        <v>10099</v>
      </c>
      <c r="I591" s="148">
        <f>IFERROR(__xludf.DUMMYFUNCTION("""COMPUTED_VALUE"""),10099.0)</f>
        <v>10099</v>
      </c>
      <c r="J591" s="148">
        <f>IFERROR(__xludf.DUMMYFUNCTION("""COMPUTED_VALUE"""),0.0)</f>
        <v>0</v>
      </c>
      <c r="K591" s="148">
        <f>IFERROR(__xludf.DUMMYFUNCTION("""COMPUTED_VALUE"""),10.0)</f>
        <v>10</v>
      </c>
      <c r="L591" s="148">
        <f>IFERROR(__xludf.DUMMYFUNCTION("""COMPUTED_VALUE"""),99.0)</f>
        <v>99</v>
      </c>
      <c r="M591" s="148">
        <f>IFERROR(__xludf.DUMMYFUNCTION("""COMPUTED_VALUE"""),0.0)</f>
        <v>0</v>
      </c>
      <c r="N591" s="148" t="str">
        <f>IFERROR(__xludf.DUMMYFUNCTION("""COMPUTED_VALUE"""),"[]")</f>
        <v>[]</v>
      </c>
      <c r="O591" s="148" t="str">
        <f>IFERROR(__xludf.DUMMYFUNCTION("""COMPUTED_VALUE"""),"{}")</f>
        <v>{}</v>
      </c>
      <c r="P591" s="148">
        <f>IFERROR(__xludf.DUMMYFUNCTION("""COMPUTED_VALUE"""),0.0)</f>
        <v>0</v>
      </c>
      <c r="Q591" s="148" t="str">
        <f>IFERROR(__xludf.DUMMYFUNCTION("""COMPUTED_VALUE"""),"[]")</f>
        <v>[]</v>
      </c>
      <c r="R591" s="148" t="str">
        <f>IFERROR(__xludf.DUMMYFUNCTION("""COMPUTED_VALUE"""),"{}")</f>
        <v>{}</v>
      </c>
      <c r="S591" s="148">
        <f>IFERROR(__xludf.DUMMYFUNCTION("""COMPUTED_VALUE"""),0.0)</f>
        <v>0</v>
      </c>
      <c r="T591" s="148" t="str">
        <f>IFERROR(__xludf.DUMMYFUNCTION("""COMPUTED_VALUE"""),"[]")</f>
        <v>[]</v>
      </c>
      <c r="U591" s="148">
        <f>IFERROR(__xludf.DUMMYFUNCTION("""COMPUTED_VALUE"""),0.0)</f>
        <v>0</v>
      </c>
      <c r="V591" s="148" t="str">
        <f>IFERROR(__xludf.DUMMYFUNCTION("""COMPUTED_VALUE"""),"{}")</f>
        <v>{}</v>
      </c>
      <c r="W591" s="148" t="str">
        <f>IFERROR(__xludf.DUMMYFUNCTION("""COMPUTED_VALUE"""),"[]")</f>
        <v>[]</v>
      </c>
      <c r="X591" s="148" t="str">
        <f>IFERROR(__xludf.DUMMYFUNCTION("""COMPUTED_VALUE"""),"[{""typ"":""power"",""id"":12141002,""val"":5}]")</f>
        <v>[{"typ":"power","id":12141002,"val":5}]</v>
      </c>
      <c r="Y591" s="148" t="str">
        <f>IFERROR(__xludf.DUMMYFUNCTION("""COMPUTED_VALUE"""),"[{""typ"":""atk"",""val"":160},{""typ"":""def"",""val"":160},{""typ"":""hp"",""val"":160},{""typ"":""speed"",""val"":60},{""typ"":""load"",""val"":20},{""typ"":""backcoef"",""val"":0.5},{""typ"":""atkcoef"",""val"":1.0},{""typ"":""atkcd"",""val"":0}]")</f>
        <v>[{"typ":"atk","val":160},{"typ":"def","val":160},{"typ":"hp","val":160},{"typ":"speed","val":60},{"typ":"load","val":20},{"typ":"backcoef","val":0.5},{"typ":"atkcoef","val":1.0},{"typ":"atkcd","val":0}]</v>
      </c>
      <c r="Z591" s="148" t="str">
        <f>IFERROR(__xludf.DUMMYFUNCTION("""COMPUTED_VALUE"""),"[]")</f>
        <v>[]</v>
      </c>
    </row>
    <row r="592">
      <c r="A592" s="148">
        <f>IFERROR(__xludf.DUMMYFUNCTION("""COMPUTED_VALUE"""),1.12110103E8)</f>
        <v>112110103</v>
      </c>
      <c r="B592" s="148" t="str">
        <f>IFERROR(__xludf.DUMMYFUNCTION("""COMPUTED_VALUE"""),"GVE怪--灯泡鱼蓝")</f>
        <v>GVE怪--灯泡鱼蓝</v>
      </c>
      <c r="C592" s="148">
        <f>IFERROR(__xludf.DUMMYFUNCTION("""COMPUTED_VALUE"""),1.1221004E7)</f>
        <v>11221004</v>
      </c>
      <c r="D592" s="148">
        <f>IFERROR(__xludf.DUMMYFUNCTION("""COMPUTED_VALUE"""),1.5116423E7)</f>
        <v>15116423</v>
      </c>
      <c r="E592" s="148" t="str">
        <f>IFERROR(__xludf.DUMMYFUNCTION("""COMPUTED_VALUE"""),"{""typ"":""lc"",""txt"":""LC_NPC_kvk3_npc_reg_name""}")</f>
        <v>{"typ":"lc","txt":"LC_NPC_kvk3_npc_reg_name"}</v>
      </c>
      <c r="F592" s="148" t="str">
        <f>IFERROR(__xludf.DUMMYFUNCTION("""COMPUTED_VALUE"""),"{}")</f>
        <v>{}</v>
      </c>
      <c r="G592" s="148">
        <f>IFERROR(__xludf.DUMMYFUNCTION("""COMPUTED_VALUE"""),10.0)</f>
        <v>10</v>
      </c>
      <c r="H592" s="148">
        <f>IFERROR(__xludf.DUMMYFUNCTION("""COMPUTED_VALUE"""),10099.0)</f>
        <v>10099</v>
      </c>
      <c r="I592" s="148">
        <f>IFERROR(__xludf.DUMMYFUNCTION("""COMPUTED_VALUE"""),10099.0)</f>
        <v>10099</v>
      </c>
      <c r="J592" s="148">
        <f>IFERROR(__xludf.DUMMYFUNCTION("""COMPUTED_VALUE"""),0.0)</f>
        <v>0</v>
      </c>
      <c r="K592" s="148">
        <f>IFERROR(__xludf.DUMMYFUNCTION("""COMPUTED_VALUE"""),10.0)</f>
        <v>10</v>
      </c>
      <c r="L592" s="148">
        <f>IFERROR(__xludf.DUMMYFUNCTION("""COMPUTED_VALUE"""),99.0)</f>
        <v>99</v>
      </c>
      <c r="M592" s="148">
        <f>IFERROR(__xludf.DUMMYFUNCTION("""COMPUTED_VALUE"""),0.0)</f>
        <v>0</v>
      </c>
      <c r="N592" s="148" t="str">
        <f>IFERROR(__xludf.DUMMYFUNCTION("""COMPUTED_VALUE"""),"[]")</f>
        <v>[]</v>
      </c>
      <c r="O592" s="148" t="str">
        <f>IFERROR(__xludf.DUMMYFUNCTION("""COMPUTED_VALUE"""),"{}")</f>
        <v>{}</v>
      </c>
      <c r="P592" s="148">
        <f>IFERROR(__xludf.DUMMYFUNCTION("""COMPUTED_VALUE"""),0.0)</f>
        <v>0</v>
      </c>
      <c r="Q592" s="148" t="str">
        <f>IFERROR(__xludf.DUMMYFUNCTION("""COMPUTED_VALUE"""),"[]")</f>
        <v>[]</v>
      </c>
      <c r="R592" s="148" t="str">
        <f>IFERROR(__xludf.DUMMYFUNCTION("""COMPUTED_VALUE"""),"{}")</f>
        <v>{}</v>
      </c>
      <c r="S592" s="148">
        <f>IFERROR(__xludf.DUMMYFUNCTION("""COMPUTED_VALUE"""),0.0)</f>
        <v>0</v>
      </c>
      <c r="T592" s="148" t="str">
        <f>IFERROR(__xludf.DUMMYFUNCTION("""COMPUTED_VALUE"""),"[]")</f>
        <v>[]</v>
      </c>
      <c r="U592" s="148">
        <f>IFERROR(__xludf.DUMMYFUNCTION("""COMPUTED_VALUE"""),0.0)</f>
        <v>0</v>
      </c>
      <c r="V592" s="148" t="str">
        <f>IFERROR(__xludf.DUMMYFUNCTION("""COMPUTED_VALUE"""),"{}")</f>
        <v>{}</v>
      </c>
      <c r="W592" s="148" t="str">
        <f>IFERROR(__xludf.DUMMYFUNCTION("""COMPUTED_VALUE"""),"[]")</f>
        <v>[]</v>
      </c>
      <c r="X592" s="148" t="str">
        <f>IFERROR(__xludf.DUMMYFUNCTION("""COMPUTED_VALUE"""),"[{""typ"":""power"",""id"":12141002,""val"":5}]")</f>
        <v>[{"typ":"power","id":12141002,"val":5}]</v>
      </c>
      <c r="Y592" s="148" t="str">
        <f>IFERROR(__xludf.DUMMYFUNCTION("""COMPUTED_VALUE"""),"[{""typ"":""atk"",""val"":160},{""typ"":""def"",""val"":160},{""typ"":""hp"",""val"":160},{""typ"":""speed"",""val"":45},{""typ"":""load"",""val"":20},{""typ"":""backcoef"",""val"":0.5},{""typ"":""atkcoef"",""val"":1.0},{""typ"":""atkcd"",""val"":0}]")</f>
        <v>[{"typ":"atk","val":160},{"typ":"def","val":160},{"typ":"hp","val":160},{"typ":"speed","val":45},{"typ":"load","val":20},{"typ":"backcoef","val":0.5},{"typ":"atkcoef","val":1.0},{"typ":"atkcd","val":0}]</v>
      </c>
      <c r="Z592" s="148" t="str">
        <f>IFERROR(__xludf.DUMMYFUNCTION("""COMPUTED_VALUE"""),"[]")</f>
        <v>[]</v>
      </c>
    </row>
    <row r="593">
      <c r="A593" s="148">
        <f>IFERROR(__xludf.DUMMYFUNCTION("""COMPUTED_VALUE"""),1.12110104E8)</f>
        <v>112110104</v>
      </c>
      <c r="B593" s="148" t="str">
        <f>IFERROR(__xludf.DUMMYFUNCTION("""COMPUTED_VALUE"""),"GVE怪--灯泡鱼紫")</f>
        <v>GVE怪--灯泡鱼紫</v>
      </c>
      <c r="C593" s="148">
        <f>IFERROR(__xludf.DUMMYFUNCTION("""COMPUTED_VALUE"""),1.1221004E7)</f>
        <v>11221004</v>
      </c>
      <c r="D593" s="148">
        <f>IFERROR(__xludf.DUMMYFUNCTION("""COMPUTED_VALUE"""),1.5116424E7)</f>
        <v>15116424</v>
      </c>
      <c r="E593" s="148" t="str">
        <f>IFERROR(__xludf.DUMMYFUNCTION("""COMPUTED_VALUE"""),"{""typ"":""lc"",""txt"":""LC_NPC_kvk3_npc_reg_name""}")</f>
        <v>{"typ":"lc","txt":"LC_NPC_kvk3_npc_reg_name"}</v>
      </c>
      <c r="F593" s="148" t="str">
        <f>IFERROR(__xludf.DUMMYFUNCTION("""COMPUTED_VALUE"""),"{}")</f>
        <v>{}</v>
      </c>
      <c r="G593" s="148">
        <f>IFERROR(__xludf.DUMMYFUNCTION("""COMPUTED_VALUE"""),10.0)</f>
        <v>10</v>
      </c>
      <c r="H593" s="148">
        <f>IFERROR(__xludf.DUMMYFUNCTION("""COMPUTED_VALUE"""),10099.0)</f>
        <v>10099</v>
      </c>
      <c r="I593" s="148">
        <f>IFERROR(__xludf.DUMMYFUNCTION("""COMPUTED_VALUE"""),10099.0)</f>
        <v>10099</v>
      </c>
      <c r="J593" s="148">
        <f>IFERROR(__xludf.DUMMYFUNCTION("""COMPUTED_VALUE"""),0.0)</f>
        <v>0</v>
      </c>
      <c r="K593" s="148">
        <f>IFERROR(__xludf.DUMMYFUNCTION("""COMPUTED_VALUE"""),10.0)</f>
        <v>10</v>
      </c>
      <c r="L593" s="148">
        <f>IFERROR(__xludf.DUMMYFUNCTION("""COMPUTED_VALUE"""),99.0)</f>
        <v>99</v>
      </c>
      <c r="M593" s="148">
        <f>IFERROR(__xludf.DUMMYFUNCTION("""COMPUTED_VALUE"""),0.0)</f>
        <v>0</v>
      </c>
      <c r="N593" s="148" t="str">
        <f>IFERROR(__xludf.DUMMYFUNCTION("""COMPUTED_VALUE"""),"[]")</f>
        <v>[]</v>
      </c>
      <c r="O593" s="148" t="str">
        <f>IFERROR(__xludf.DUMMYFUNCTION("""COMPUTED_VALUE"""),"{}")</f>
        <v>{}</v>
      </c>
      <c r="P593" s="148">
        <f>IFERROR(__xludf.DUMMYFUNCTION("""COMPUTED_VALUE"""),0.0)</f>
        <v>0</v>
      </c>
      <c r="Q593" s="148" t="str">
        <f>IFERROR(__xludf.DUMMYFUNCTION("""COMPUTED_VALUE"""),"[]")</f>
        <v>[]</v>
      </c>
      <c r="R593" s="148" t="str">
        <f>IFERROR(__xludf.DUMMYFUNCTION("""COMPUTED_VALUE"""),"{}")</f>
        <v>{}</v>
      </c>
      <c r="S593" s="148">
        <f>IFERROR(__xludf.DUMMYFUNCTION("""COMPUTED_VALUE"""),0.0)</f>
        <v>0</v>
      </c>
      <c r="T593" s="148" t="str">
        <f>IFERROR(__xludf.DUMMYFUNCTION("""COMPUTED_VALUE"""),"[]")</f>
        <v>[]</v>
      </c>
      <c r="U593" s="148">
        <f>IFERROR(__xludf.DUMMYFUNCTION("""COMPUTED_VALUE"""),0.0)</f>
        <v>0</v>
      </c>
      <c r="V593" s="148" t="str">
        <f>IFERROR(__xludf.DUMMYFUNCTION("""COMPUTED_VALUE"""),"{}")</f>
        <v>{}</v>
      </c>
      <c r="W593" s="148" t="str">
        <f>IFERROR(__xludf.DUMMYFUNCTION("""COMPUTED_VALUE"""),"[]")</f>
        <v>[]</v>
      </c>
      <c r="X593" s="148" t="str">
        <f>IFERROR(__xludf.DUMMYFUNCTION("""COMPUTED_VALUE"""),"[{""typ"":""power"",""id"":12141002,""val"":5}]")</f>
        <v>[{"typ":"power","id":12141002,"val":5}]</v>
      </c>
      <c r="Y593" s="148" t="str">
        <f>IFERROR(__xludf.DUMMYFUNCTION("""COMPUTED_VALUE"""),"[{""typ"":""atk"",""val"":160},{""typ"":""def"",""val"":160},{""typ"":""hp"",""val"":160},{""typ"":""speed"",""val"":120},{""typ"":""load"",""val"":20},{""typ"":""backcoef"",""val"":0.5},{""typ"":""atkcoef"",""val"":1.0},{""typ"":""atkcd"",""val"":0}]")</f>
        <v>[{"typ":"atk","val":160},{"typ":"def","val":160},{"typ":"hp","val":160},{"typ":"speed","val":120},{"typ":"load","val":20},{"typ":"backcoef","val":0.5},{"typ":"atkcoef","val":1.0},{"typ":"atkcd","val":0}]</v>
      </c>
      <c r="Z593" s="148" t="str">
        <f>IFERROR(__xludf.DUMMYFUNCTION("""COMPUTED_VALUE"""),"[]")</f>
        <v>[]</v>
      </c>
    </row>
    <row r="594">
      <c r="A594" s="148">
        <f>IFERROR(__xludf.DUMMYFUNCTION("""COMPUTED_VALUE"""),1.12110105E8)</f>
        <v>112110105</v>
      </c>
      <c r="B594" s="148" t="str">
        <f>IFERROR(__xludf.DUMMYFUNCTION("""COMPUTED_VALUE"""),"GVE怪--灯泡鱼橙")</f>
        <v>GVE怪--灯泡鱼橙</v>
      </c>
      <c r="C594" s="148">
        <f>IFERROR(__xludf.DUMMYFUNCTION("""COMPUTED_VALUE"""),1.1221004E7)</f>
        <v>11221004</v>
      </c>
      <c r="D594" s="148">
        <f>IFERROR(__xludf.DUMMYFUNCTION("""COMPUTED_VALUE"""),1.5116425E7)</f>
        <v>15116425</v>
      </c>
      <c r="E594" s="148" t="str">
        <f>IFERROR(__xludf.DUMMYFUNCTION("""COMPUTED_VALUE"""),"{""typ"":""lc"",""txt"":""LC_NPC_kvk3_npc_reg_name""}")</f>
        <v>{"typ":"lc","txt":"LC_NPC_kvk3_npc_reg_name"}</v>
      </c>
      <c r="F594" s="148" t="str">
        <f>IFERROR(__xludf.DUMMYFUNCTION("""COMPUTED_VALUE"""),"{}")</f>
        <v>{}</v>
      </c>
      <c r="G594" s="148">
        <f>IFERROR(__xludf.DUMMYFUNCTION("""COMPUTED_VALUE"""),10.0)</f>
        <v>10</v>
      </c>
      <c r="H594" s="148">
        <f>IFERROR(__xludf.DUMMYFUNCTION("""COMPUTED_VALUE"""),10099.0)</f>
        <v>10099</v>
      </c>
      <c r="I594" s="148">
        <f>IFERROR(__xludf.DUMMYFUNCTION("""COMPUTED_VALUE"""),10099.0)</f>
        <v>10099</v>
      </c>
      <c r="J594" s="148">
        <f>IFERROR(__xludf.DUMMYFUNCTION("""COMPUTED_VALUE"""),0.0)</f>
        <v>0</v>
      </c>
      <c r="K594" s="148">
        <f>IFERROR(__xludf.DUMMYFUNCTION("""COMPUTED_VALUE"""),10.0)</f>
        <v>10</v>
      </c>
      <c r="L594" s="148">
        <f>IFERROR(__xludf.DUMMYFUNCTION("""COMPUTED_VALUE"""),99.0)</f>
        <v>99</v>
      </c>
      <c r="M594" s="148">
        <f>IFERROR(__xludf.DUMMYFUNCTION("""COMPUTED_VALUE"""),0.0)</f>
        <v>0</v>
      </c>
      <c r="N594" s="148" t="str">
        <f>IFERROR(__xludf.DUMMYFUNCTION("""COMPUTED_VALUE"""),"[]")</f>
        <v>[]</v>
      </c>
      <c r="O594" s="148" t="str">
        <f>IFERROR(__xludf.DUMMYFUNCTION("""COMPUTED_VALUE"""),"{}")</f>
        <v>{}</v>
      </c>
      <c r="P594" s="148">
        <f>IFERROR(__xludf.DUMMYFUNCTION("""COMPUTED_VALUE"""),0.0)</f>
        <v>0</v>
      </c>
      <c r="Q594" s="148" t="str">
        <f>IFERROR(__xludf.DUMMYFUNCTION("""COMPUTED_VALUE"""),"[]")</f>
        <v>[]</v>
      </c>
      <c r="R594" s="148" t="str">
        <f>IFERROR(__xludf.DUMMYFUNCTION("""COMPUTED_VALUE"""),"{}")</f>
        <v>{}</v>
      </c>
      <c r="S594" s="148">
        <f>IFERROR(__xludf.DUMMYFUNCTION("""COMPUTED_VALUE"""),0.0)</f>
        <v>0</v>
      </c>
      <c r="T594" s="148" t="str">
        <f>IFERROR(__xludf.DUMMYFUNCTION("""COMPUTED_VALUE"""),"[]")</f>
        <v>[]</v>
      </c>
      <c r="U594" s="148">
        <f>IFERROR(__xludf.DUMMYFUNCTION("""COMPUTED_VALUE"""),0.0)</f>
        <v>0</v>
      </c>
      <c r="V594" s="148" t="str">
        <f>IFERROR(__xludf.DUMMYFUNCTION("""COMPUTED_VALUE"""),"{}")</f>
        <v>{}</v>
      </c>
      <c r="W594" s="148" t="str">
        <f>IFERROR(__xludf.DUMMYFUNCTION("""COMPUTED_VALUE"""),"[]")</f>
        <v>[]</v>
      </c>
      <c r="X594" s="148" t="str">
        <f>IFERROR(__xludf.DUMMYFUNCTION("""COMPUTED_VALUE"""),"[{""typ"":""power"",""id"":12141002,""val"":5}]")</f>
        <v>[{"typ":"power","id":12141002,"val":5}]</v>
      </c>
      <c r="Y594" s="148" t="str">
        <f>IFERROR(__xludf.DUMMYFUNCTION("""COMPUTED_VALUE"""),"[{""typ"":""atk"",""val"":160},{""typ"":""def"",""val"":160},{""typ"":""hp"",""val"":160},{""typ"":""speed"",""val"":45},{""typ"":""load"",""val"":20},{""typ"":""backcoef"",""val"":0.5},{""typ"":""atkcoef"",""val"":1.0},{""typ"":""atkcd"",""val"":0}]")</f>
        <v>[{"typ":"atk","val":160},{"typ":"def","val":160},{"typ":"hp","val":160},{"typ":"speed","val":45},{"typ":"load","val":20},{"typ":"backcoef","val":0.5},{"typ":"atkcoef","val":1.0},{"typ":"atkcd","val":0}]</v>
      </c>
      <c r="Z594" s="148" t="str">
        <f>IFERROR(__xludf.DUMMYFUNCTION("""COMPUTED_VALUE"""),"[]")</f>
        <v>[]</v>
      </c>
    </row>
    <row r="595">
      <c r="A595" s="148">
        <f>IFERROR(__xludf.DUMMYFUNCTION("""COMPUTED_VALUE"""),1.12110106E8)</f>
        <v>112110106</v>
      </c>
      <c r="B595" s="148" t="str">
        <f>IFERROR(__xludf.DUMMYFUNCTION("""COMPUTED_VALUE"""),"GVE怪--变异巨蟹白")</f>
        <v>GVE怪--变异巨蟹白</v>
      </c>
      <c r="C595" s="148">
        <f>IFERROR(__xludf.DUMMYFUNCTION("""COMPUTED_VALUE"""),1.1221004E7)</f>
        <v>11221004</v>
      </c>
      <c r="D595" s="148">
        <f>IFERROR(__xludf.DUMMYFUNCTION("""COMPUTED_VALUE"""),1.5116427E7)</f>
        <v>15116427</v>
      </c>
      <c r="E595" s="148" t="str">
        <f>IFERROR(__xludf.DUMMYFUNCTION("""COMPUTED_VALUE"""),"{""typ"":""lc"",""txt"":""LC_NPC_kvk3_npc_boss_name""}")</f>
        <v>{"typ":"lc","txt":"LC_NPC_kvk3_npc_boss_name"}</v>
      </c>
      <c r="F595" s="148" t="str">
        <f>IFERROR(__xludf.DUMMYFUNCTION("""COMPUTED_VALUE"""),"{}")</f>
        <v>{}</v>
      </c>
      <c r="G595" s="148">
        <f>IFERROR(__xludf.DUMMYFUNCTION("""COMPUTED_VALUE"""),10.0)</f>
        <v>10</v>
      </c>
      <c r="H595" s="148">
        <f>IFERROR(__xludf.DUMMYFUNCTION("""COMPUTED_VALUE"""),10099.0)</f>
        <v>10099</v>
      </c>
      <c r="I595" s="148">
        <f>IFERROR(__xludf.DUMMYFUNCTION("""COMPUTED_VALUE"""),10099.0)</f>
        <v>10099</v>
      </c>
      <c r="J595" s="148">
        <f>IFERROR(__xludf.DUMMYFUNCTION("""COMPUTED_VALUE"""),0.0)</f>
        <v>0</v>
      </c>
      <c r="K595" s="148">
        <f>IFERROR(__xludf.DUMMYFUNCTION("""COMPUTED_VALUE"""),10.0)</f>
        <v>10</v>
      </c>
      <c r="L595" s="148">
        <f>IFERROR(__xludf.DUMMYFUNCTION("""COMPUTED_VALUE"""),99.0)</f>
        <v>99</v>
      </c>
      <c r="M595" s="148">
        <f>IFERROR(__xludf.DUMMYFUNCTION("""COMPUTED_VALUE"""),0.0)</f>
        <v>0</v>
      </c>
      <c r="N595" s="148" t="str">
        <f>IFERROR(__xludf.DUMMYFUNCTION("""COMPUTED_VALUE"""),"[]")</f>
        <v>[]</v>
      </c>
      <c r="O595" s="148" t="str">
        <f>IFERROR(__xludf.DUMMYFUNCTION("""COMPUTED_VALUE"""),"{}")</f>
        <v>{}</v>
      </c>
      <c r="P595" s="148">
        <f>IFERROR(__xludf.DUMMYFUNCTION("""COMPUTED_VALUE"""),0.0)</f>
        <v>0</v>
      </c>
      <c r="Q595" s="148" t="str">
        <f>IFERROR(__xludf.DUMMYFUNCTION("""COMPUTED_VALUE"""),"[]")</f>
        <v>[]</v>
      </c>
      <c r="R595" s="148" t="str">
        <f>IFERROR(__xludf.DUMMYFUNCTION("""COMPUTED_VALUE"""),"{}")</f>
        <v>{}</v>
      </c>
      <c r="S595" s="148">
        <f>IFERROR(__xludf.DUMMYFUNCTION("""COMPUTED_VALUE"""),0.0)</f>
        <v>0</v>
      </c>
      <c r="T595" s="148" t="str">
        <f>IFERROR(__xludf.DUMMYFUNCTION("""COMPUTED_VALUE"""),"[]")</f>
        <v>[]</v>
      </c>
      <c r="U595" s="148">
        <f>IFERROR(__xludf.DUMMYFUNCTION("""COMPUTED_VALUE"""),0.0)</f>
        <v>0</v>
      </c>
      <c r="V595" s="148" t="str">
        <f>IFERROR(__xludf.DUMMYFUNCTION("""COMPUTED_VALUE"""),"{}")</f>
        <v>{}</v>
      </c>
      <c r="W595" s="148" t="str">
        <f>IFERROR(__xludf.DUMMYFUNCTION("""COMPUTED_VALUE"""),"[]")</f>
        <v>[]</v>
      </c>
      <c r="X595" s="148" t="str">
        <f>IFERROR(__xludf.DUMMYFUNCTION("""COMPUTED_VALUE"""),"[{""typ"":""power"",""id"":12141002,""val"":5}]")</f>
        <v>[{"typ":"power","id":12141002,"val":5}]</v>
      </c>
      <c r="Y595" s="148" t="str">
        <f>IFERROR(__xludf.DUMMYFUNCTION("""COMPUTED_VALUE"""),"[{""typ"":""atk"",""val"":160},{""typ"":""def"",""val"":160},{""typ"":""hp"",""val"":160},{""typ"":""speed"",""val"":30},{""typ"":""load"",""val"":20},{""typ"":""backcoef"",""val"":0.5},{""typ"":""atkcoef"",""val"":1.0},{""typ"":""atkcd"",""val"":0}]")</f>
        <v>[{"typ":"atk","val":160},{"typ":"def","val":160},{"typ":"hp","val":160},{"typ":"speed","val":30},{"typ":"load","val":20},{"typ":"backcoef","val":0.5},{"typ":"atkcoef","val":1.0},{"typ":"atkcd","val":0}]</v>
      </c>
      <c r="Z595" s="148" t="str">
        <f>IFERROR(__xludf.DUMMYFUNCTION("""COMPUTED_VALUE"""),"[]")</f>
        <v>[]</v>
      </c>
    </row>
    <row r="596">
      <c r="A596" s="148">
        <f>IFERROR(__xludf.DUMMYFUNCTION("""COMPUTED_VALUE"""),1.12110107E8)</f>
        <v>112110107</v>
      </c>
      <c r="B596" s="148" t="str">
        <f>IFERROR(__xludf.DUMMYFUNCTION("""COMPUTED_VALUE"""),"GVE怪--变异巨蟹蓝")</f>
        <v>GVE怪--变异巨蟹蓝</v>
      </c>
      <c r="C596" s="148">
        <f>IFERROR(__xludf.DUMMYFUNCTION("""COMPUTED_VALUE"""),1.1221004E7)</f>
        <v>11221004</v>
      </c>
      <c r="D596" s="148">
        <f>IFERROR(__xludf.DUMMYFUNCTION("""COMPUTED_VALUE"""),1.5116428E7)</f>
        <v>15116428</v>
      </c>
      <c r="E596" s="148" t="str">
        <f>IFERROR(__xludf.DUMMYFUNCTION("""COMPUTED_VALUE"""),"{""typ"":""lc"",""txt"":""LC_NPC_kvk3_npc_boss_name""}")</f>
        <v>{"typ":"lc","txt":"LC_NPC_kvk3_npc_boss_name"}</v>
      </c>
      <c r="F596" s="148" t="str">
        <f>IFERROR(__xludf.DUMMYFUNCTION("""COMPUTED_VALUE"""),"{}")</f>
        <v>{}</v>
      </c>
      <c r="G596" s="148">
        <f>IFERROR(__xludf.DUMMYFUNCTION("""COMPUTED_VALUE"""),10.0)</f>
        <v>10</v>
      </c>
      <c r="H596" s="148">
        <f>IFERROR(__xludf.DUMMYFUNCTION("""COMPUTED_VALUE"""),10099.0)</f>
        <v>10099</v>
      </c>
      <c r="I596" s="148">
        <f>IFERROR(__xludf.DUMMYFUNCTION("""COMPUTED_VALUE"""),10099.0)</f>
        <v>10099</v>
      </c>
      <c r="J596" s="148">
        <f>IFERROR(__xludf.DUMMYFUNCTION("""COMPUTED_VALUE"""),0.0)</f>
        <v>0</v>
      </c>
      <c r="K596" s="148">
        <f>IFERROR(__xludf.DUMMYFUNCTION("""COMPUTED_VALUE"""),10.0)</f>
        <v>10</v>
      </c>
      <c r="L596" s="148">
        <f>IFERROR(__xludf.DUMMYFUNCTION("""COMPUTED_VALUE"""),99.0)</f>
        <v>99</v>
      </c>
      <c r="M596" s="148">
        <f>IFERROR(__xludf.DUMMYFUNCTION("""COMPUTED_VALUE"""),0.0)</f>
        <v>0</v>
      </c>
      <c r="N596" s="148" t="str">
        <f>IFERROR(__xludf.DUMMYFUNCTION("""COMPUTED_VALUE"""),"[]")</f>
        <v>[]</v>
      </c>
      <c r="O596" s="148" t="str">
        <f>IFERROR(__xludf.DUMMYFUNCTION("""COMPUTED_VALUE"""),"{}")</f>
        <v>{}</v>
      </c>
      <c r="P596" s="148">
        <f>IFERROR(__xludf.DUMMYFUNCTION("""COMPUTED_VALUE"""),0.0)</f>
        <v>0</v>
      </c>
      <c r="Q596" s="148" t="str">
        <f>IFERROR(__xludf.DUMMYFUNCTION("""COMPUTED_VALUE"""),"[]")</f>
        <v>[]</v>
      </c>
      <c r="R596" s="148" t="str">
        <f>IFERROR(__xludf.DUMMYFUNCTION("""COMPUTED_VALUE"""),"{}")</f>
        <v>{}</v>
      </c>
      <c r="S596" s="148">
        <f>IFERROR(__xludf.DUMMYFUNCTION("""COMPUTED_VALUE"""),0.0)</f>
        <v>0</v>
      </c>
      <c r="T596" s="148" t="str">
        <f>IFERROR(__xludf.DUMMYFUNCTION("""COMPUTED_VALUE"""),"[]")</f>
        <v>[]</v>
      </c>
      <c r="U596" s="148">
        <f>IFERROR(__xludf.DUMMYFUNCTION("""COMPUTED_VALUE"""),0.0)</f>
        <v>0</v>
      </c>
      <c r="V596" s="148" t="str">
        <f>IFERROR(__xludf.DUMMYFUNCTION("""COMPUTED_VALUE"""),"{}")</f>
        <v>{}</v>
      </c>
      <c r="W596" s="148" t="str">
        <f>IFERROR(__xludf.DUMMYFUNCTION("""COMPUTED_VALUE"""),"[]")</f>
        <v>[]</v>
      </c>
      <c r="X596" s="148" t="str">
        <f>IFERROR(__xludf.DUMMYFUNCTION("""COMPUTED_VALUE"""),"[{""typ"":""power"",""id"":12141002,""val"":5}]")</f>
        <v>[{"typ":"power","id":12141002,"val":5}]</v>
      </c>
      <c r="Y596" s="148" t="str">
        <f>IFERROR(__xludf.DUMMYFUNCTION("""COMPUTED_VALUE"""),"[{""typ"":""atk"",""val"":160},{""typ"":""def"",""val"":160},{""typ"":""hp"",""val"":160},{""typ"":""speed"",""val"":30},{""typ"":""load"",""val"":20},{""typ"":""backcoef"",""val"":0.5},{""typ"":""atkcoef"",""val"":1.0},{""typ"":""atkcd"",""val"":0}]")</f>
        <v>[{"typ":"atk","val":160},{"typ":"def","val":160},{"typ":"hp","val":160},{"typ":"speed","val":30},{"typ":"load","val":20},{"typ":"backcoef","val":0.5},{"typ":"atkcoef","val":1.0},{"typ":"atkcd","val":0}]</v>
      </c>
      <c r="Z596" s="148" t="str">
        <f>IFERROR(__xludf.DUMMYFUNCTION("""COMPUTED_VALUE"""),"[]")</f>
        <v>[]</v>
      </c>
    </row>
    <row r="597">
      <c r="A597" s="148">
        <f>IFERROR(__xludf.DUMMYFUNCTION("""COMPUTED_VALUE"""),1.12110108E8)</f>
        <v>112110108</v>
      </c>
      <c r="B597" s="148" t="str">
        <f>IFERROR(__xludf.DUMMYFUNCTION("""COMPUTED_VALUE"""),"GVE怪--变异巨蟹紫")</f>
        <v>GVE怪--变异巨蟹紫</v>
      </c>
      <c r="C597" s="148">
        <f>IFERROR(__xludf.DUMMYFUNCTION("""COMPUTED_VALUE"""),1.1221004E7)</f>
        <v>11221004</v>
      </c>
      <c r="D597" s="148">
        <f>IFERROR(__xludf.DUMMYFUNCTION("""COMPUTED_VALUE"""),1.5116429E7)</f>
        <v>15116429</v>
      </c>
      <c r="E597" s="148" t="str">
        <f>IFERROR(__xludf.DUMMYFUNCTION("""COMPUTED_VALUE"""),"{""typ"":""lc"",""txt"":""LC_NPC_kvk3_npc_boss_name""}")</f>
        <v>{"typ":"lc","txt":"LC_NPC_kvk3_npc_boss_name"}</v>
      </c>
      <c r="F597" s="148" t="str">
        <f>IFERROR(__xludf.DUMMYFUNCTION("""COMPUTED_VALUE"""),"{}")</f>
        <v>{}</v>
      </c>
      <c r="G597" s="148">
        <f>IFERROR(__xludf.DUMMYFUNCTION("""COMPUTED_VALUE"""),10.0)</f>
        <v>10</v>
      </c>
      <c r="H597" s="148">
        <f>IFERROR(__xludf.DUMMYFUNCTION("""COMPUTED_VALUE"""),10099.0)</f>
        <v>10099</v>
      </c>
      <c r="I597" s="148">
        <f>IFERROR(__xludf.DUMMYFUNCTION("""COMPUTED_VALUE"""),10099.0)</f>
        <v>10099</v>
      </c>
      <c r="J597" s="148">
        <f>IFERROR(__xludf.DUMMYFUNCTION("""COMPUTED_VALUE"""),0.0)</f>
        <v>0</v>
      </c>
      <c r="K597" s="148">
        <f>IFERROR(__xludf.DUMMYFUNCTION("""COMPUTED_VALUE"""),10.0)</f>
        <v>10</v>
      </c>
      <c r="L597" s="148">
        <f>IFERROR(__xludf.DUMMYFUNCTION("""COMPUTED_VALUE"""),99.0)</f>
        <v>99</v>
      </c>
      <c r="M597" s="148">
        <f>IFERROR(__xludf.DUMMYFUNCTION("""COMPUTED_VALUE"""),0.0)</f>
        <v>0</v>
      </c>
      <c r="N597" s="148" t="str">
        <f>IFERROR(__xludf.DUMMYFUNCTION("""COMPUTED_VALUE"""),"[]")</f>
        <v>[]</v>
      </c>
      <c r="O597" s="148" t="str">
        <f>IFERROR(__xludf.DUMMYFUNCTION("""COMPUTED_VALUE"""),"{}")</f>
        <v>{}</v>
      </c>
      <c r="P597" s="148">
        <f>IFERROR(__xludf.DUMMYFUNCTION("""COMPUTED_VALUE"""),0.0)</f>
        <v>0</v>
      </c>
      <c r="Q597" s="148" t="str">
        <f>IFERROR(__xludf.DUMMYFUNCTION("""COMPUTED_VALUE"""),"[]")</f>
        <v>[]</v>
      </c>
      <c r="R597" s="148" t="str">
        <f>IFERROR(__xludf.DUMMYFUNCTION("""COMPUTED_VALUE"""),"{}")</f>
        <v>{}</v>
      </c>
      <c r="S597" s="148">
        <f>IFERROR(__xludf.DUMMYFUNCTION("""COMPUTED_VALUE"""),0.0)</f>
        <v>0</v>
      </c>
      <c r="T597" s="148" t="str">
        <f>IFERROR(__xludf.DUMMYFUNCTION("""COMPUTED_VALUE"""),"[]")</f>
        <v>[]</v>
      </c>
      <c r="U597" s="148">
        <f>IFERROR(__xludf.DUMMYFUNCTION("""COMPUTED_VALUE"""),0.0)</f>
        <v>0</v>
      </c>
      <c r="V597" s="148" t="str">
        <f>IFERROR(__xludf.DUMMYFUNCTION("""COMPUTED_VALUE"""),"{}")</f>
        <v>{}</v>
      </c>
      <c r="W597" s="148" t="str">
        <f>IFERROR(__xludf.DUMMYFUNCTION("""COMPUTED_VALUE"""),"[]")</f>
        <v>[]</v>
      </c>
      <c r="X597" s="148" t="str">
        <f>IFERROR(__xludf.DUMMYFUNCTION("""COMPUTED_VALUE"""),"[{""typ"":""power"",""id"":12141002,""val"":5}]")</f>
        <v>[{"typ":"power","id":12141002,"val":5}]</v>
      </c>
      <c r="Y597" s="148" t="str">
        <f>IFERROR(__xludf.DUMMYFUNCTION("""COMPUTED_VALUE"""),"[{""typ"":""atk"",""val"":160},{""typ"":""def"",""val"":160},{""typ"":""hp"",""val"":160},{""typ"":""speed"",""val"":60},{""typ"":""load"",""val"":20},{""typ"":""backcoef"",""val"":0.5},{""typ"":""atkcoef"",""val"":1.0},{""typ"":""atkcd"",""val"":0}]")</f>
        <v>[{"typ":"atk","val":160},{"typ":"def","val":160},{"typ":"hp","val":160},{"typ":"speed","val":60},{"typ":"load","val":20},{"typ":"backcoef","val":0.5},{"typ":"atkcoef","val":1.0},{"typ":"atkcd","val":0}]</v>
      </c>
      <c r="Z597" s="148" t="str">
        <f>IFERROR(__xludf.DUMMYFUNCTION("""COMPUTED_VALUE"""),"[]")</f>
        <v>[]</v>
      </c>
    </row>
    <row r="598">
      <c r="A598" s="148">
        <f>IFERROR(__xludf.DUMMYFUNCTION("""COMPUTED_VALUE"""),1.12110109E8)</f>
        <v>112110109</v>
      </c>
      <c r="B598" s="148" t="str">
        <f>IFERROR(__xludf.DUMMYFUNCTION("""COMPUTED_VALUE"""),"GVE怪--变异巨蟹橙")</f>
        <v>GVE怪--变异巨蟹橙</v>
      </c>
      <c r="C598" s="148">
        <f>IFERROR(__xludf.DUMMYFUNCTION("""COMPUTED_VALUE"""),1.1221004E7)</f>
        <v>11221004</v>
      </c>
      <c r="D598" s="148">
        <f>IFERROR(__xludf.DUMMYFUNCTION("""COMPUTED_VALUE"""),1.511643E7)</f>
        <v>15116430</v>
      </c>
      <c r="E598" s="148" t="str">
        <f>IFERROR(__xludf.DUMMYFUNCTION("""COMPUTED_VALUE"""),"{""typ"":""lc"",""txt"":""LC_NPC_kvk3_npc_boss_name""}")</f>
        <v>{"typ":"lc","txt":"LC_NPC_kvk3_npc_boss_name"}</v>
      </c>
      <c r="F598" s="148" t="str">
        <f>IFERROR(__xludf.DUMMYFUNCTION("""COMPUTED_VALUE"""),"{}")</f>
        <v>{}</v>
      </c>
      <c r="G598" s="148">
        <f>IFERROR(__xludf.DUMMYFUNCTION("""COMPUTED_VALUE"""),10.0)</f>
        <v>10</v>
      </c>
      <c r="H598" s="148">
        <f>IFERROR(__xludf.DUMMYFUNCTION("""COMPUTED_VALUE"""),10099.0)</f>
        <v>10099</v>
      </c>
      <c r="I598" s="148">
        <f>IFERROR(__xludf.DUMMYFUNCTION("""COMPUTED_VALUE"""),10099.0)</f>
        <v>10099</v>
      </c>
      <c r="J598" s="148">
        <f>IFERROR(__xludf.DUMMYFUNCTION("""COMPUTED_VALUE"""),0.0)</f>
        <v>0</v>
      </c>
      <c r="K598" s="148">
        <f>IFERROR(__xludf.DUMMYFUNCTION("""COMPUTED_VALUE"""),10.0)</f>
        <v>10</v>
      </c>
      <c r="L598" s="148">
        <f>IFERROR(__xludf.DUMMYFUNCTION("""COMPUTED_VALUE"""),99.0)</f>
        <v>99</v>
      </c>
      <c r="M598" s="148">
        <f>IFERROR(__xludf.DUMMYFUNCTION("""COMPUTED_VALUE"""),0.0)</f>
        <v>0</v>
      </c>
      <c r="N598" s="148" t="str">
        <f>IFERROR(__xludf.DUMMYFUNCTION("""COMPUTED_VALUE"""),"[]")</f>
        <v>[]</v>
      </c>
      <c r="O598" s="148" t="str">
        <f>IFERROR(__xludf.DUMMYFUNCTION("""COMPUTED_VALUE"""),"{}")</f>
        <v>{}</v>
      </c>
      <c r="P598" s="148">
        <f>IFERROR(__xludf.DUMMYFUNCTION("""COMPUTED_VALUE"""),0.0)</f>
        <v>0</v>
      </c>
      <c r="Q598" s="148" t="str">
        <f>IFERROR(__xludf.DUMMYFUNCTION("""COMPUTED_VALUE"""),"[]")</f>
        <v>[]</v>
      </c>
      <c r="R598" s="148" t="str">
        <f>IFERROR(__xludf.DUMMYFUNCTION("""COMPUTED_VALUE"""),"{}")</f>
        <v>{}</v>
      </c>
      <c r="S598" s="148">
        <f>IFERROR(__xludf.DUMMYFUNCTION("""COMPUTED_VALUE"""),0.0)</f>
        <v>0</v>
      </c>
      <c r="T598" s="148" t="str">
        <f>IFERROR(__xludf.DUMMYFUNCTION("""COMPUTED_VALUE"""),"[]")</f>
        <v>[]</v>
      </c>
      <c r="U598" s="148">
        <f>IFERROR(__xludf.DUMMYFUNCTION("""COMPUTED_VALUE"""),0.0)</f>
        <v>0</v>
      </c>
      <c r="V598" s="148" t="str">
        <f>IFERROR(__xludf.DUMMYFUNCTION("""COMPUTED_VALUE"""),"{}")</f>
        <v>{}</v>
      </c>
      <c r="W598" s="148" t="str">
        <f>IFERROR(__xludf.DUMMYFUNCTION("""COMPUTED_VALUE"""),"[]")</f>
        <v>[]</v>
      </c>
      <c r="X598" s="148" t="str">
        <f>IFERROR(__xludf.DUMMYFUNCTION("""COMPUTED_VALUE"""),"[{""typ"":""power"",""id"":12141002,""val"":5}]")</f>
        <v>[{"typ":"power","id":12141002,"val":5}]</v>
      </c>
      <c r="Y598" s="148" t="str">
        <f>IFERROR(__xludf.DUMMYFUNCTION("""COMPUTED_VALUE"""),"[{""typ"":""atk"",""val"":160},{""typ"":""def"",""val"":160},{""typ"":""hp"",""val"":160},{""typ"":""speed"",""val"":30},{""typ"":""load"",""val"":20},{""typ"":""backcoef"",""val"":0.5},{""typ"":""atkcoef"",""val"":1.0},{""typ"":""atkcd"",""val"":0}]")</f>
        <v>[{"typ":"atk","val":160},{"typ":"def","val":160},{"typ":"hp","val":160},{"typ":"speed","val":30},{"typ":"load","val":20},{"typ":"backcoef","val":0.5},{"typ":"atkcoef","val":1.0},{"typ":"atkcd","val":0}]</v>
      </c>
      <c r="Z598" s="148" t="str">
        <f>IFERROR(__xludf.DUMMYFUNCTION("""COMPUTED_VALUE"""),"[]")</f>
        <v>[]</v>
      </c>
    </row>
    <row r="599">
      <c r="A599" s="148">
        <f>IFERROR(__xludf.DUMMYFUNCTION("""COMPUTED_VALUE"""),1.1211011E8)</f>
        <v>112110110</v>
      </c>
      <c r="B599" s="148" t="str">
        <f>IFERROR(__xludf.DUMMYFUNCTION("""COMPUTED_VALUE"""),"GVE怪--小雪怪白")</f>
        <v>GVE怪--小雪怪白</v>
      </c>
      <c r="C599" s="148">
        <f>IFERROR(__xludf.DUMMYFUNCTION("""COMPUTED_VALUE"""),1.1221004E7)</f>
        <v>11221004</v>
      </c>
      <c r="D599" s="148">
        <f>IFERROR(__xludf.DUMMYFUNCTION("""COMPUTED_VALUE"""),1.5118705E7)</f>
        <v>15118705</v>
      </c>
      <c r="E599" s="148" t="str">
        <f>IFERROR(__xludf.DUMMYFUNCTION("""COMPUTED_VALUE"""),"{""typ"":""lc"",""txt"":""LC_NPC_kvk4_npc_reg_name""}")</f>
        <v>{"typ":"lc","txt":"LC_NPC_kvk4_npc_reg_name"}</v>
      </c>
      <c r="F599" s="148" t="str">
        <f>IFERROR(__xludf.DUMMYFUNCTION("""COMPUTED_VALUE"""),"{}")</f>
        <v>{}</v>
      </c>
      <c r="G599" s="148">
        <f>IFERROR(__xludf.DUMMYFUNCTION("""COMPUTED_VALUE"""),10.0)</f>
        <v>10</v>
      </c>
      <c r="H599" s="148">
        <f>IFERROR(__xludf.DUMMYFUNCTION("""COMPUTED_VALUE"""),10099.0)</f>
        <v>10099</v>
      </c>
      <c r="I599" s="148">
        <f>IFERROR(__xludf.DUMMYFUNCTION("""COMPUTED_VALUE"""),10099.0)</f>
        <v>10099</v>
      </c>
      <c r="J599" s="148">
        <f>IFERROR(__xludf.DUMMYFUNCTION("""COMPUTED_VALUE"""),0.0)</f>
        <v>0</v>
      </c>
      <c r="K599" s="148">
        <f>IFERROR(__xludf.DUMMYFUNCTION("""COMPUTED_VALUE"""),10.0)</f>
        <v>10</v>
      </c>
      <c r="L599" s="148">
        <f>IFERROR(__xludf.DUMMYFUNCTION("""COMPUTED_VALUE"""),99.0)</f>
        <v>99</v>
      </c>
      <c r="M599" s="148">
        <f>IFERROR(__xludf.DUMMYFUNCTION("""COMPUTED_VALUE"""),0.0)</f>
        <v>0</v>
      </c>
      <c r="N599" s="148" t="str">
        <f>IFERROR(__xludf.DUMMYFUNCTION("""COMPUTED_VALUE"""),"[]")</f>
        <v>[]</v>
      </c>
      <c r="O599" s="148" t="str">
        <f>IFERROR(__xludf.DUMMYFUNCTION("""COMPUTED_VALUE"""),"{}")</f>
        <v>{}</v>
      </c>
      <c r="P599" s="148">
        <f>IFERROR(__xludf.DUMMYFUNCTION("""COMPUTED_VALUE"""),0.0)</f>
        <v>0</v>
      </c>
      <c r="Q599" s="148" t="str">
        <f>IFERROR(__xludf.DUMMYFUNCTION("""COMPUTED_VALUE"""),"[]")</f>
        <v>[]</v>
      </c>
      <c r="R599" s="148" t="str">
        <f>IFERROR(__xludf.DUMMYFUNCTION("""COMPUTED_VALUE"""),"{}")</f>
        <v>{}</v>
      </c>
      <c r="S599" s="148">
        <f>IFERROR(__xludf.DUMMYFUNCTION("""COMPUTED_VALUE"""),0.0)</f>
        <v>0</v>
      </c>
      <c r="T599" s="148" t="str">
        <f>IFERROR(__xludf.DUMMYFUNCTION("""COMPUTED_VALUE"""),"[]")</f>
        <v>[]</v>
      </c>
      <c r="U599" s="148">
        <f>IFERROR(__xludf.DUMMYFUNCTION("""COMPUTED_VALUE"""),0.0)</f>
        <v>0</v>
      </c>
      <c r="V599" s="148" t="str">
        <f>IFERROR(__xludf.DUMMYFUNCTION("""COMPUTED_VALUE"""),"{}")</f>
        <v>{}</v>
      </c>
      <c r="W599" s="148" t="str">
        <f>IFERROR(__xludf.DUMMYFUNCTION("""COMPUTED_VALUE"""),"[]")</f>
        <v>[]</v>
      </c>
      <c r="X599" s="148" t="str">
        <f>IFERROR(__xludf.DUMMYFUNCTION("""COMPUTED_VALUE"""),"[{""typ"":""power"",""id"":12141002,""val"":5}]")</f>
        <v>[{"typ":"power","id":12141002,"val":5}]</v>
      </c>
      <c r="Y599" s="148" t="str">
        <f>IFERROR(__xludf.DUMMYFUNCTION("""COMPUTED_VALUE"""),"[{""typ"":""atk"",""val"":160},{""typ"":""def"",""val"":160},{""typ"":""hp"",""val"":160},{""typ"":""speed"",""val"":60},{""typ"":""load"",""val"":20},{""typ"":""backcoef"",""val"":0.5},{""typ"":""atkcoef"",""val"":1.0},{""typ"":""atkcd"",""val"":0}]")</f>
        <v>[{"typ":"atk","val":160},{"typ":"def","val":160},{"typ":"hp","val":160},{"typ":"speed","val":60},{"typ":"load","val":20},{"typ":"backcoef","val":0.5},{"typ":"atkcoef","val":1.0},{"typ":"atkcd","val":0}]</v>
      </c>
      <c r="Z599" s="148" t="str">
        <f>IFERROR(__xludf.DUMMYFUNCTION("""COMPUTED_VALUE"""),"[]")</f>
        <v>[]</v>
      </c>
    </row>
    <row r="600">
      <c r="A600" s="148">
        <f>IFERROR(__xludf.DUMMYFUNCTION("""COMPUTED_VALUE"""),1.12110111E8)</f>
        <v>112110111</v>
      </c>
      <c r="B600" s="148" t="str">
        <f>IFERROR(__xludf.DUMMYFUNCTION("""COMPUTED_VALUE"""),"GVE怪--小雪怪蓝")</f>
        <v>GVE怪--小雪怪蓝</v>
      </c>
      <c r="C600" s="148">
        <f>IFERROR(__xludf.DUMMYFUNCTION("""COMPUTED_VALUE"""),1.1221004E7)</f>
        <v>11221004</v>
      </c>
      <c r="D600" s="148">
        <f>IFERROR(__xludf.DUMMYFUNCTION("""COMPUTED_VALUE"""),1.5118707E7)</f>
        <v>15118707</v>
      </c>
      <c r="E600" s="148" t="str">
        <f>IFERROR(__xludf.DUMMYFUNCTION("""COMPUTED_VALUE"""),"{""typ"":""lc"",""txt"":""LC_NPC_kvk4_npc_reg_name""}")</f>
        <v>{"typ":"lc","txt":"LC_NPC_kvk4_npc_reg_name"}</v>
      </c>
      <c r="F600" s="148" t="str">
        <f>IFERROR(__xludf.DUMMYFUNCTION("""COMPUTED_VALUE"""),"{}")</f>
        <v>{}</v>
      </c>
      <c r="G600" s="148">
        <f>IFERROR(__xludf.DUMMYFUNCTION("""COMPUTED_VALUE"""),10.0)</f>
        <v>10</v>
      </c>
      <c r="H600" s="148">
        <f>IFERROR(__xludf.DUMMYFUNCTION("""COMPUTED_VALUE"""),10099.0)</f>
        <v>10099</v>
      </c>
      <c r="I600" s="148">
        <f>IFERROR(__xludf.DUMMYFUNCTION("""COMPUTED_VALUE"""),10099.0)</f>
        <v>10099</v>
      </c>
      <c r="J600" s="148">
        <f>IFERROR(__xludf.DUMMYFUNCTION("""COMPUTED_VALUE"""),0.0)</f>
        <v>0</v>
      </c>
      <c r="K600" s="148">
        <f>IFERROR(__xludf.DUMMYFUNCTION("""COMPUTED_VALUE"""),10.0)</f>
        <v>10</v>
      </c>
      <c r="L600" s="148">
        <f>IFERROR(__xludf.DUMMYFUNCTION("""COMPUTED_VALUE"""),99.0)</f>
        <v>99</v>
      </c>
      <c r="M600" s="148">
        <f>IFERROR(__xludf.DUMMYFUNCTION("""COMPUTED_VALUE"""),0.0)</f>
        <v>0</v>
      </c>
      <c r="N600" s="148" t="str">
        <f>IFERROR(__xludf.DUMMYFUNCTION("""COMPUTED_VALUE"""),"[]")</f>
        <v>[]</v>
      </c>
      <c r="O600" s="148" t="str">
        <f>IFERROR(__xludf.DUMMYFUNCTION("""COMPUTED_VALUE"""),"{}")</f>
        <v>{}</v>
      </c>
      <c r="P600" s="148">
        <f>IFERROR(__xludf.DUMMYFUNCTION("""COMPUTED_VALUE"""),0.0)</f>
        <v>0</v>
      </c>
      <c r="Q600" s="148" t="str">
        <f>IFERROR(__xludf.DUMMYFUNCTION("""COMPUTED_VALUE"""),"[]")</f>
        <v>[]</v>
      </c>
      <c r="R600" s="148" t="str">
        <f>IFERROR(__xludf.DUMMYFUNCTION("""COMPUTED_VALUE"""),"{}")</f>
        <v>{}</v>
      </c>
      <c r="S600" s="148">
        <f>IFERROR(__xludf.DUMMYFUNCTION("""COMPUTED_VALUE"""),0.0)</f>
        <v>0</v>
      </c>
      <c r="T600" s="148" t="str">
        <f>IFERROR(__xludf.DUMMYFUNCTION("""COMPUTED_VALUE"""),"[]")</f>
        <v>[]</v>
      </c>
      <c r="U600" s="148">
        <f>IFERROR(__xludf.DUMMYFUNCTION("""COMPUTED_VALUE"""),0.0)</f>
        <v>0</v>
      </c>
      <c r="V600" s="148" t="str">
        <f>IFERROR(__xludf.DUMMYFUNCTION("""COMPUTED_VALUE"""),"{}")</f>
        <v>{}</v>
      </c>
      <c r="W600" s="148" t="str">
        <f>IFERROR(__xludf.DUMMYFUNCTION("""COMPUTED_VALUE"""),"[]")</f>
        <v>[]</v>
      </c>
      <c r="X600" s="148" t="str">
        <f>IFERROR(__xludf.DUMMYFUNCTION("""COMPUTED_VALUE"""),"[{""typ"":""power"",""id"":12141002,""val"":5}]")</f>
        <v>[{"typ":"power","id":12141002,"val":5}]</v>
      </c>
      <c r="Y600" s="148" t="str">
        <f>IFERROR(__xludf.DUMMYFUNCTION("""COMPUTED_VALUE"""),"[{""typ"":""atk"",""val"":160},{""typ"":""def"",""val"":160},{""typ"":""hp"",""val"":160},{""typ"":""speed"",""val"":45},{""typ"":""load"",""val"":20},{""typ"":""backcoef"",""val"":0.5},{""typ"":""atkcoef"",""val"":1.0},{""typ"":""atkcd"",""val"":0}]")</f>
        <v>[{"typ":"atk","val":160},{"typ":"def","val":160},{"typ":"hp","val":160},{"typ":"speed","val":45},{"typ":"load","val":20},{"typ":"backcoef","val":0.5},{"typ":"atkcoef","val":1.0},{"typ":"atkcd","val":0}]</v>
      </c>
      <c r="Z600" s="148" t="str">
        <f>IFERROR(__xludf.DUMMYFUNCTION("""COMPUTED_VALUE"""),"[]")</f>
        <v>[]</v>
      </c>
    </row>
    <row r="601">
      <c r="A601" s="148">
        <f>IFERROR(__xludf.DUMMYFUNCTION("""COMPUTED_VALUE"""),1.12110112E8)</f>
        <v>112110112</v>
      </c>
      <c r="B601" s="148" t="str">
        <f>IFERROR(__xludf.DUMMYFUNCTION("""COMPUTED_VALUE"""),"GVE怪--小雪怪紫")</f>
        <v>GVE怪--小雪怪紫</v>
      </c>
      <c r="C601" s="148">
        <f>IFERROR(__xludf.DUMMYFUNCTION("""COMPUTED_VALUE"""),1.1221004E7)</f>
        <v>11221004</v>
      </c>
      <c r="D601" s="148">
        <f>IFERROR(__xludf.DUMMYFUNCTION("""COMPUTED_VALUE"""),1.5118708E7)</f>
        <v>15118708</v>
      </c>
      <c r="E601" s="148" t="str">
        <f>IFERROR(__xludf.DUMMYFUNCTION("""COMPUTED_VALUE"""),"{""typ"":""lc"",""txt"":""LC_NPC_kvk4_npc_reg_name""}")</f>
        <v>{"typ":"lc","txt":"LC_NPC_kvk4_npc_reg_name"}</v>
      </c>
      <c r="F601" s="148" t="str">
        <f>IFERROR(__xludf.DUMMYFUNCTION("""COMPUTED_VALUE"""),"{}")</f>
        <v>{}</v>
      </c>
      <c r="G601" s="148">
        <f>IFERROR(__xludf.DUMMYFUNCTION("""COMPUTED_VALUE"""),10.0)</f>
        <v>10</v>
      </c>
      <c r="H601" s="148">
        <f>IFERROR(__xludf.DUMMYFUNCTION("""COMPUTED_VALUE"""),10099.0)</f>
        <v>10099</v>
      </c>
      <c r="I601" s="148">
        <f>IFERROR(__xludf.DUMMYFUNCTION("""COMPUTED_VALUE"""),10099.0)</f>
        <v>10099</v>
      </c>
      <c r="J601" s="148">
        <f>IFERROR(__xludf.DUMMYFUNCTION("""COMPUTED_VALUE"""),0.0)</f>
        <v>0</v>
      </c>
      <c r="K601" s="148">
        <f>IFERROR(__xludf.DUMMYFUNCTION("""COMPUTED_VALUE"""),10.0)</f>
        <v>10</v>
      </c>
      <c r="L601" s="148">
        <f>IFERROR(__xludf.DUMMYFUNCTION("""COMPUTED_VALUE"""),99.0)</f>
        <v>99</v>
      </c>
      <c r="M601" s="148">
        <f>IFERROR(__xludf.DUMMYFUNCTION("""COMPUTED_VALUE"""),0.0)</f>
        <v>0</v>
      </c>
      <c r="N601" s="148" t="str">
        <f>IFERROR(__xludf.DUMMYFUNCTION("""COMPUTED_VALUE"""),"[]")</f>
        <v>[]</v>
      </c>
      <c r="O601" s="148" t="str">
        <f>IFERROR(__xludf.DUMMYFUNCTION("""COMPUTED_VALUE"""),"{}")</f>
        <v>{}</v>
      </c>
      <c r="P601" s="148">
        <f>IFERROR(__xludf.DUMMYFUNCTION("""COMPUTED_VALUE"""),0.0)</f>
        <v>0</v>
      </c>
      <c r="Q601" s="148" t="str">
        <f>IFERROR(__xludf.DUMMYFUNCTION("""COMPUTED_VALUE"""),"[]")</f>
        <v>[]</v>
      </c>
      <c r="R601" s="148" t="str">
        <f>IFERROR(__xludf.DUMMYFUNCTION("""COMPUTED_VALUE"""),"{}")</f>
        <v>{}</v>
      </c>
      <c r="S601" s="148">
        <f>IFERROR(__xludf.DUMMYFUNCTION("""COMPUTED_VALUE"""),0.0)</f>
        <v>0</v>
      </c>
      <c r="T601" s="148" t="str">
        <f>IFERROR(__xludf.DUMMYFUNCTION("""COMPUTED_VALUE"""),"[]")</f>
        <v>[]</v>
      </c>
      <c r="U601" s="148">
        <f>IFERROR(__xludf.DUMMYFUNCTION("""COMPUTED_VALUE"""),0.0)</f>
        <v>0</v>
      </c>
      <c r="V601" s="148" t="str">
        <f>IFERROR(__xludf.DUMMYFUNCTION("""COMPUTED_VALUE"""),"{}")</f>
        <v>{}</v>
      </c>
      <c r="W601" s="148" t="str">
        <f>IFERROR(__xludf.DUMMYFUNCTION("""COMPUTED_VALUE"""),"[]")</f>
        <v>[]</v>
      </c>
      <c r="X601" s="148" t="str">
        <f>IFERROR(__xludf.DUMMYFUNCTION("""COMPUTED_VALUE"""),"[{""typ"":""power"",""id"":12141002,""val"":5}]")</f>
        <v>[{"typ":"power","id":12141002,"val":5}]</v>
      </c>
      <c r="Y601" s="148" t="str">
        <f>IFERROR(__xludf.DUMMYFUNCTION("""COMPUTED_VALUE"""),"[{""typ"":""atk"",""val"":160},{""typ"":""def"",""val"":160},{""typ"":""hp"",""val"":160},{""typ"":""speed"",""val"":120},{""typ"":""load"",""val"":20},{""typ"":""backcoef"",""val"":0.5},{""typ"":""atkcoef"",""val"":1.0},{""typ"":""atkcd"",""val"":0}]")</f>
        <v>[{"typ":"atk","val":160},{"typ":"def","val":160},{"typ":"hp","val":160},{"typ":"speed","val":120},{"typ":"load","val":20},{"typ":"backcoef","val":0.5},{"typ":"atkcoef","val":1.0},{"typ":"atkcd","val":0}]</v>
      </c>
      <c r="Z601" s="148" t="str">
        <f>IFERROR(__xludf.DUMMYFUNCTION("""COMPUTED_VALUE"""),"[]")</f>
        <v>[]</v>
      </c>
    </row>
    <row r="602">
      <c r="A602" s="148">
        <f>IFERROR(__xludf.DUMMYFUNCTION("""COMPUTED_VALUE"""),1.12110113E8)</f>
        <v>112110113</v>
      </c>
      <c r="B602" s="148" t="str">
        <f>IFERROR(__xludf.DUMMYFUNCTION("""COMPUTED_VALUE"""),"GVE怪--小雪怪橙")</f>
        <v>GVE怪--小雪怪橙</v>
      </c>
      <c r="C602" s="148">
        <f>IFERROR(__xludf.DUMMYFUNCTION("""COMPUTED_VALUE"""),1.1221004E7)</f>
        <v>11221004</v>
      </c>
      <c r="D602" s="148">
        <f>IFERROR(__xludf.DUMMYFUNCTION("""COMPUTED_VALUE"""),1.5118709E7)</f>
        <v>15118709</v>
      </c>
      <c r="E602" s="148" t="str">
        <f>IFERROR(__xludf.DUMMYFUNCTION("""COMPUTED_VALUE"""),"{""typ"":""lc"",""txt"":""LC_NPC_kvk4_npc_reg_name""}")</f>
        <v>{"typ":"lc","txt":"LC_NPC_kvk4_npc_reg_name"}</v>
      </c>
      <c r="F602" s="148" t="str">
        <f>IFERROR(__xludf.DUMMYFUNCTION("""COMPUTED_VALUE"""),"{}")</f>
        <v>{}</v>
      </c>
      <c r="G602" s="148">
        <f>IFERROR(__xludf.DUMMYFUNCTION("""COMPUTED_VALUE"""),10.0)</f>
        <v>10</v>
      </c>
      <c r="H602" s="148">
        <f>IFERROR(__xludf.DUMMYFUNCTION("""COMPUTED_VALUE"""),10099.0)</f>
        <v>10099</v>
      </c>
      <c r="I602" s="148">
        <f>IFERROR(__xludf.DUMMYFUNCTION("""COMPUTED_VALUE"""),10099.0)</f>
        <v>10099</v>
      </c>
      <c r="J602" s="148">
        <f>IFERROR(__xludf.DUMMYFUNCTION("""COMPUTED_VALUE"""),0.0)</f>
        <v>0</v>
      </c>
      <c r="K602" s="148">
        <f>IFERROR(__xludf.DUMMYFUNCTION("""COMPUTED_VALUE"""),10.0)</f>
        <v>10</v>
      </c>
      <c r="L602" s="148">
        <f>IFERROR(__xludf.DUMMYFUNCTION("""COMPUTED_VALUE"""),99.0)</f>
        <v>99</v>
      </c>
      <c r="M602" s="148">
        <f>IFERROR(__xludf.DUMMYFUNCTION("""COMPUTED_VALUE"""),0.0)</f>
        <v>0</v>
      </c>
      <c r="N602" s="148" t="str">
        <f>IFERROR(__xludf.DUMMYFUNCTION("""COMPUTED_VALUE"""),"[]")</f>
        <v>[]</v>
      </c>
      <c r="O602" s="148" t="str">
        <f>IFERROR(__xludf.DUMMYFUNCTION("""COMPUTED_VALUE"""),"{}")</f>
        <v>{}</v>
      </c>
      <c r="P602" s="148">
        <f>IFERROR(__xludf.DUMMYFUNCTION("""COMPUTED_VALUE"""),0.0)</f>
        <v>0</v>
      </c>
      <c r="Q602" s="148" t="str">
        <f>IFERROR(__xludf.DUMMYFUNCTION("""COMPUTED_VALUE"""),"[]")</f>
        <v>[]</v>
      </c>
      <c r="R602" s="148" t="str">
        <f>IFERROR(__xludf.DUMMYFUNCTION("""COMPUTED_VALUE"""),"{}")</f>
        <v>{}</v>
      </c>
      <c r="S602" s="148">
        <f>IFERROR(__xludf.DUMMYFUNCTION("""COMPUTED_VALUE"""),0.0)</f>
        <v>0</v>
      </c>
      <c r="T602" s="148" t="str">
        <f>IFERROR(__xludf.DUMMYFUNCTION("""COMPUTED_VALUE"""),"[]")</f>
        <v>[]</v>
      </c>
      <c r="U602" s="148">
        <f>IFERROR(__xludf.DUMMYFUNCTION("""COMPUTED_VALUE"""),0.0)</f>
        <v>0</v>
      </c>
      <c r="V602" s="148" t="str">
        <f>IFERROR(__xludf.DUMMYFUNCTION("""COMPUTED_VALUE"""),"{}")</f>
        <v>{}</v>
      </c>
      <c r="W602" s="148" t="str">
        <f>IFERROR(__xludf.DUMMYFUNCTION("""COMPUTED_VALUE"""),"[]")</f>
        <v>[]</v>
      </c>
      <c r="X602" s="148" t="str">
        <f>IFERROR(__xludf.DUMMYFUNCTION("""COMPUTED_VALUE"""),"[{""typ"":""power"",""id"":12141002,""val"":5}]")</f>
        <v>[{"typ":"power","id":12141002,"val":5}]</v>
      </c>
      <c r="Y602" s="148" t="str">
        <f>IFERROR(__xludf.DUMMYFUNCTION("""COMPUTED_VALUE"""),"[{""typ"":""atk"",""val"":160},{""typ"":""def"",""val"":160},{""typ"":""hp"",""val"":160},{""typ"":""speed"",""val"":45},{""typ"":""load"",""val"":20},{""typ"":""backcoef"",""val"":0.5},{""typ"":""atkcoef"",""val"":1.0},{""typ"":""atkcd"",""val"":0}]")</f>
        <v>[{"typ":"atk","val":160},{"typ":"def","val":160},{"typ":"hp","val":160},{"typ":"speed","val":45},{"typ":"load","val":20},{"typ":"backcoef","val":0.5},{"typ":"atkcoef","val":1.0},{"typ":"atkcd","val":0}]</v>
      </c>
      <c r="Z602" s="148" t="str">
        <f>IFERROR(__xludf.DUMMYFUNCTION("""COMPUTED_VALUE"""),"[]")</f>
        <v>[]</v>
      </c>
    </row>
    <row r="603">
      <c r="A603" s="148">
        <f>IFERROR(__xludf.DUMMYFUNCTION("""COMPUTED_VALUE"""),1.12110114E8)</f>
        <v>112110114</v>
      </c>
      <c r="B603" s="148" t="str">
        <f>IFERROR(__xludf.DUMMYFUNCTION("""COMPUTED_VALUE"""),"GVE怪--大雪怪白")</f>
        <v>GVE怪--大雪怪白</v>
      </c>
      <c r="C603" s="148">
        <f>IFERROR(__xludf.DUMMYFUNCTION("""COMPUTED_VALUE"""),1.1221004E7)</f>
        <v>11221004</v>
      </c>
      <c r="D603" s="148">
        <f>IFERROR(__xludf.DUMMYFUNCTION("""COMPUTED_VALUE"""),1.511871E7)</f>
        <v>15118710</v>
      </c>
      <c r="E603" s="148" t="str">
        <f>IFERROR(__xludf.DUMMYFUNCTION("""COMPUTED_VALUE"""),"{""typ"":""lc"",""txt"":""LC_NPC_kvk4_npc_boss_name""}")</f>
        <v>{"typ":"lc","txt":"LC_NPC_kvk4_npc_boss_name"}</v>
      </c>
      <c r="F603" s="148" t="str">
        <f>IFERROR(__xludf.DUMMYFUNCTION("""COMPUTED_VALUE"""),"{}")</f>
        <v>{}</v>
      </c>
      <c r="G603" s="148">
        <f>IFERROR(__xludf.DUMMYFUNCTION("""COMPUTED_VALUE"""),10.0)</f>
        <v>10</v>
      </c>
      <c r="H603" s="148">
        <f>IFERROR(__xludf.DUMMYFUNCTION("""COMPUTED_VALUE"""),10099.0)</f>
        <v>10099</v>
      </c>
      <c r="I603" s="148">
        <f>IFERROR(__xludf.DUMMYFUNCTION("""COMPUTED_VALUE"""),10099.0)</f>
        <v>10099</v>
      </c>
      <c r="J603" s="148">
        <f>IFERROR(__xludf.DUMMYFUNCTION("""COMPUTED_VALUE"""),0.0)</f>
        <v>0</v>
      </c>
      <c r="K603" s="148">
        <f>IFERROR(__xludf.DUMMYFUNCTION("""COMPUTED_VALUE"""),10.0)</f>
        <v>10</v>
      </c>
      <c r="L603" s="148">
        <f>IFERROR(__xludf.DUMMYFUNCTION("""COMPUTED_VALUE"""),99.0)</f>
        <v>99</v>
      </c>
      <c r="M603" s="148">
        <f>IFERROR(__xludf.DUMMYFUNCTION("""COMPUTED_VALUE"""),0.0)</f>
        <v>0</v>
      </c>
      <c r="N603" s="148" t="str">
        <f>IFERROR(__xludf.DUMMYFUNCTION("""COMPUTED_VALUE"""),"[]")</f>
        <v>[]</v>
      </c>
      <c r="O603" s="148" t="str">
        <f>IFERROR(__xludf.DUMMYFUNCTION("""COMPUTED_VALUE"""),"{}")</f>
        <v>{}</v>
      </c>
      <c r="P603" s="148">
        <f>IFERROR(__xludf.DUMMYFUNCTION("""COMPUTED_VALUE"""),0.0)</f>
        <v>0</v>
      </c>
      <c r="Q603" s="148" t="str">
        <f>IFERROR(__xludf.DUMMYFUNCTION("""COMPUTED_VALUE"""),"[]")</f>
        <v>[]</v>
      </c>
      <c r="R603" s="148" t="str">
        <f>IFERROR(__xludf.DUMMYFUNCTION("""COMPUTED_VALUE"""),"{}")</f>
        <v>{}</v>
      </c>
      <c r="S603" s="148">
        <f>IFERROR(__xludf.DUMMYFUNCTION("""COMPUTED_VALUE"""),0.0)</f>
        <v>0</v>
      </c>
      <c r="T603" s="148" t="str">
        <f>IFERROR(__xludf.DUMMYFUNCTION("""COMPUTED_VALUE"""),"[]")</f>
        <v>[]</v>
      </c>
      <c r="U603" s="148">
        <f>IFERROR(__xludf.DUMMYFUNCTION("""COMPUTED_VALUE"""),0.0)</f>
        <v>0</v>
      </c>
      <c r="V603" s="148" t="str">
        <f>IFERROR(__xludf.DUMMYFUNCTION("""COMPUTED_VALUE"""),"{}")</f>
        <v>{}</v>
      </c>
      <c r="W603" s="148" t="str">
        <f>IFERROR(__xludf.DUMMYFUNCTION("""COMPUTED_VALUE"""),"[]")</f>
        <v>[]</v>
      </c>
      <c r="X603" s="148" t="str">
        <f>IFERROR(__xludf.DUMMYFUNCTION("""COMPUTED_VALUE"""),"[{""typ"":""power"",""id"":12141002,""val"":5}]")</f>
        <v>[{"typ":"power","id":12141002,"val":5}]</v>
      </c>
      <c r="Y603" s="148" t="str">
        <f>IFERROR(__xludf.DUMMYFUNCTION("""COMPUTED_VALUE"""),"[{""typ"":""atk"",""val"":160},{""typ"":""def"",""val"":160},{""typ"":""hp"",""val"":160},{""typ"":""speed"",""val"":30},{""typ"":""load"",""val"":20},{""typ"":""backcoef"",""val"":0.5},{""typ"":""atkcoef"",""val"":1.0},{""typ"":""atkcd"",""val"":0}]")</f>
        <v>[{"typ":"atk","val":160},{"typ":"def","val":160},{"typ":"hp","val":160},{"typ":"speed","val":30},{"typ":"load","val":20},{"typ":"backcoef","val":0.5},{"typ":"atkcoef","val":1.0},{"typ":"atkcd","val":0}]</v>
      </c>
      <c r="Z603" s="148" t="str">
        <f>IFERROR(__xludf.DUMMYFUNCTION("""COMPUTED_VALUE"""),"[]")</f>
        <v>[]</v>
      </c>
    </row>
    <row r="604">
      <c r="A604" s="148">
        <f>IFERROR(__xludf.DUMMYFUNCTION("""COMPUTED_VALUE"""),1.12110115E8)</f>
        <v>112110115</v>
      </c>
      <c r="B604" s="148" t="str">
        <f>IFERROR(__xludf.DUMMYFUNCTION("""COMPUTED_VALUE"""),"GVE怪--大雪怪蓝")</f>
        <v>GVE怪--大雪怪蓝</v>
      </c>
      <c r="C604" s="148">
        <f>IFERROR(__xludf.DUMMYFUNCTION("""COMPUTED_VALUE"""),1.1221004E7)</f>
        <v>11221004</v>
      </c>
      <c r="D604" s="148">
        <f>IFERROR(__xludf.DUMMYFUNCTION("""COMPUTED_VALUE"""),1.5118712E7)</f>
        <v>15118712</v>
      </c>
      <c r="E604" s="148" t="str">
        <f>IFERROR(__xludf.DUMMYFUNCTION("""COMPUTED_VALUE"""),"{""typ"":""lc"",""txt"":""LC_NPC_kvk4_npc_boss_name""}")</f>
        <v>{"typ":"lc","txt":"LC_NPC_kvk4_npc_boss_name"}</v>
      </c>
      <c r="F604" s="148" t="str">
        <f>IFERROR(__xludf.DUMMYFUNCTION("""COMPUTED_VALUE"""),"{}")</f>
        <v>{}</v>
      </c>
      <c r="G604" s="148">
        <f>IFERROR(__xludf.DUMMYFUNCTION("""COMPUTED_VALUE"""),10.0)</f>
        <v>10</v>
      </c>
      <c r="H604" s="148">
        <f>IFERROR(__xludf.DUMMYFUNCTION("""COMPUTED_VALUE"""),10099.0)</f>
        <v>10099</v>
      </c>
      <c r="I604" s="148">
        <f>IFERROR(__xludf.DUMMYFUNCTION("""COMPUTED_VALUE"""),10099.0)</f>
        <v>10099</v>
      </c>
      <c r="J604" s="148">
        <f>IFERROR(__xludf.DUMMYFUNCTION("""COMPUTED_VALUE"""),0.0)</f>
        <v>0</v>
      </c>
      <c r="K604" s="148">
        <f>IFERROR(__xludf.DUMMYFUNCTION("""COMPUTED_VALUE"""),10.0)</f>
        <v>10</v>
      </c>
      <c r="L604" s="148">
        <f>IFERROR(__xludf.DUMMYFUNCTION("""COMPUTED_VALUE"""),99.0)</f>
        <v>99</v>
      </c>
      <c r="M604" s="148">
        <f>IFERROR(__xludf.DUMMYFUNCTION("""COMPUTED_VALUE"""),0.0)</f>
        <v>0</v>
      </c>
      <c r="N604" s="148" t="str">
        <f>IFERROR(__xludf.DUMMYFUNCTION("""COMPUTED_VALUE"""),"[]")</f>
        <v>[]</v>
      </c>
      <c r="O604" s="148" t="str">
        <f>IFERROR(__xludf.DUMMYFUNCTION("""COMPUTED_VALUE"""),"{}")</f>
        <v>{}</v>
      </c>
      <c r="P604" s="148">
        <f>IFERROR(__xludf.DUMMYFUNCTION("""COMPUTED_VALUE"""),0.0)</f>
        <v>0</v>
      </c>
      <c r="Q604" s="148" t="str">
        <f>IFERROR(__xludf.DUMMYFUNCTION("""COMPUTED_VALUE"""),"[]")</f>
        <v>[]</v>
      </c>
      <c r="R604" s="148" t="str">
        <f>IFERROR(__xludf.DUMMYFUNCTION("""COMPUTED_VALUE"""),"{}")</f>
        <v>{}</v>
      </c>
      <c r="S604" s="148">
        <f>IFERROR(__xludf.DUMMYFUNCTION("""COMPUTED_VALUE"""),0.0)</f>
        <v>0</v>
      </c>
      <c r="T604" s="148" t="str">
        <f>IFERROR(__xludf.DUMMYFUNCTION("""COMPUTED_VALUE"""),"[]")</f>
        <v>[]</v>
      </c>
      <c r="U604" s="148">
        <f>IFERROR(__xludf.DUMMYFUNCTION("""COMPUTED_VALUE"""),0.0)</f>
        <v>0</v>
      </c>
      <c r="V604" s="148" t="str">
        <f>IFERROR(__xludf.DUMMYFUNCTION("""COMPUTED_VALUE"""),"{}")</f>
        <v>{}</v>
      </c>
      <c r="W604" s="148" t="str">
        <f>IFERROR(__xludf.DUMMYFUNCTION("""COMPUTED_VALUE"""),"[]")</f>
        <v>[]</v>
      </c>
      <c r="X604" s="148" t="str">
        <f>IFERROR(__xludf.DUMMYFUNCTION("""COMPUTED_VALUE"""),"[{""typ"":""power"",""id"":12141002,""val"":5}]")</f>
        <v>[{"typ":"power","id":12141002,"val":5}]</v>
      </c>
      <c r="Y604" s="148" t="str">
        <f>IFERROR(__xludf.DUMMYFUNCTION("""COMPUTED_VALUE"""),"[{""typ"":""atk"",""val"":160},{""typ"":""def"",""val"":160},{""typ"":""hp"",""val"":160},{""typ"":""speed"",""val"":30},{""typ"":""load"",""val"":20},{""typ"":""backcoef"",""val"":0.5},{""typ"":""atkcoef"",""val"":1.0},{""typ"":""atkcd"",""val"":0}]")</f>
        <v>[{"typ":"atk","val":160},{"typ":"def","val":160},{"typ":"hp","val":160},{"typ":"speed","val":30},{"typ":"load","val":20},{"typ":"backcoef","val":0.5},{"typ":"atkcoef","val":1.0},{"typ":"atkcd","val":0}]</v>
      </c>
      <c r="Z604" s="148" t="str">
        <f>IFERROR(__xludf.DUMMYFUNCTION("""COMPUTED_VALUE"""),"[]")</f>
        <v>[]</v>
      </c>
    </row>
    <row r="605">
      <c r="A605" s="148">
        <f>IFERROR(__xludf.DUMMYFUNCTION("""COMPUTED_VALUE"""),1.12110116E8)</f>
        <v>112110116</v>
      </c>
      <c r="B605" s="148" t="str">
        <f>IFERROR(__xludf.DUMMYFUNCTION("""COMPUTED_VALUE"""),"GVE怪--大雪怪紫")</f>
        <v>GVE怪--大雪怪紫</v>
      </c>
      <c r="C605" s="148">
        <f>IFERROR(__xludf.DUMMYFUNCTION("""COMPUTED_VALUE"""),1.1221004E7)</f>
        <v>11221004</v>
      </c>
      <c r="D605" s="148">
        <f>IFERROR(__xludf.DUMMYFUNCTION("""COMPUTED_VALUE"""),1.5118713E7)</f>
        <v>15118713</v>
      </c>
      <c r="E605" s="148" t="str">
        <f>IFERROR(__xludf.DUMMYFUNCTION("""COMPUTED_VALUE"""),"{""typ"":""lc"",""txt"":""LC_NPC_kvk4_npc_boss_name""}")</f>
        <v>{"typ":"lc","txt":"LC_NPC_kvk4_npc_boss_name"}</v>
      </c>
      <c r="F605" s="148" t="str">
        <f>IFERROR(__xludf.DUMMYFUNCTION("""COMPUTED_VALUE"""),"{}")</f>
        <v>{}</v>
      </c>
      <c r="G605" s="148">
        <f>IFERROR(__xludf.DUMMYFUNCTION("""COMPUTED_VALUE"""),10.0)</f>
        <v>10</v>
      </c>
      <c r="H605" s="148">
        <f>IFERROR(__xludf.DUMMYFUNCTION("""COMPUTED_VALUE"""),10099.0)</f>
        <v>10099</v>
      </c>
      <c r="I605" s="148">
        <f>IFERROR(__xludf.DUMMYFUNCTION("""COMPUTED_VALUE"""),10099.0)</f>
        <v>10099</v>
      </c>
      <c r="J605" s="148">
        <f>IFERROR(__xludf.DUMMYFUNCTION("""COMPUTED_VALUE"""),0.0)</f>
        <v>0</v>
      </c>
      <c r="K605" s="148">
        <f>IFERROR(__xludf.DUMMYFUNCTION("""COMPUTED_VALUE"""),10.0)</f>
        <v>10</v>
      </c>
      <c r="L605" s="148">
        <f>IFERROR(__xludf.DUMMYFUNCTION("""COMPUTED_VALUE"""),99.0)</f>
        <v>99</v>
      </c>
      <c r="M605" s="148">
        <f>IFERROR(__xludf.DUMMYFUNCTION("""COMPUTED_VALUE"""),0.0)</f>
        <v>0</v>
      </c>
      <c r="N605" s="148" t="str">
        <f>IFERROR(__xludf.DUMMYFUNCTION("""COMPUTED_VALUE"""),"[]")</f>
        <v>[]</v>
      </c>
      <c r="O605" s="148" t="str">
        <f>IFERROR(__xludf.DUMMYFUNCTION("""COMPUTED_VALUE"""),"{}")</f>
        <v>{}</v>
      </c>
      <c r="P605" s="148">
        <f>IFERROR(__xludf.DUMMYFUNCTION("""COMPUTED_VALUE"""),0.0)</f>
        <v>0</v>
      </c>
      <c r="Q605" s="148" t="str">
        <f>IFERROR(__xludf.DUMMYFUNCTION("""COMPUTED_VALUE"""),"[]")</f>
        <v>[]</v>
      </c>
      <c r="R605" s="148" t="str">
        <f>IFERROR(__xludf.DUMMYFUNCTION("""COMPUTED_VALUE"""),"{}")</f>
        <v>{}</v>
      </c>
      <c r="S605" s="148">
        <f>IFERROR(__xludf.DUMMYFUNCTION("""COMPUTED_VALUE"""),0.0)</f>
        <v>0</v>
      </c>
      <c r="T605" s="148" t="str">
        <f>IFERROR(__xludf.DUMMYFUNCTION("""COMPUTED_VALUE"""),"[]")</f>
        <v>[]</v>
      </c>
      <c r="U605" s="148">
        <f>IFERROR(__xludf.DUMMYFUNCTION("""COMPUTED_VALUE"""),0.0)</f>
        <v>0</v>
      </c>
      <c r="V605" s="148" t="str">
        <f>IFERROR(__xludf.DUMMYFUNCTION("""COMPUTED_VALUE"""),"{}")</f>
        <v>{}</v>
      </c>
      <c r="W605" s="148" t="str">
        <f>IFERROR(__xludf.DUMMYFUNCTION("""COMPUTED_VALUE"""),"[]")</f>
        <v>[]</v>
      </c>
      <c r="X605" s="148" t="str">
        <f>IFERROR(__xludf.DUMMYFUNCTION("""COMPUTED_VALUE"""),"[{""typ"":""power"",""id"":12141002,""val"":5}]")</f>
        <v>[{"typ":"power","id":12141002,"val":5}]</v>
      </c>
      <c r="Y605" s="148" t="str">
        <f>IFERROR(__xludf.DUMMYFUNCTION("""COMPUTED_VALUE"""),"[{""typ"":""atk"",""val"":160},{""typ"":""def"",""val"":160},{""typ"":""hp"",""val"":160},{""typ"":""speed"",""val"":60},{""typ"":""load"",""val"":20},{""typ"":""backcoef"",""val"":0.5},{""typ"":""atkcoef"",""val"":1.0},{""typ"":""atkcd"",""val"":0}]")</f>
        <v>[{"typ":"atk","val":160},{"typ":"def","val":160},{"typ":"hp","val":160},{"typ":"speed","val":60},{"typ":"load","val":20},{"typ":"backcoef","val":0.5},{"typ":"atkcoef","val":1.0},{"typ":"atkcd","val":0}]</v>
      </c>
      <c r="Z605" s="148" t="str">
        <f>IFERROR(__xludf.DUMMYFUNCTION("""COMPUTED_VALUE"""),"[]")</f>
        <v>[]</v>
      </c>
    </row>
    <row r="606">
      <c r="A606" s="148">
        <f>IFERROR(__xludf.DUMMYFUNCTION("""COMPUTED_VALUE"""),1.12110117E8)</f>
        <v>112110117</v>
      </c>
      <c r="B606" s="148" t="str">
        <f>IFERROR(__xludf.DUMMYFUNCTION("""COMPUTED_VALUE"""),"GVE怪--大雪怪橙")</f>
        <v>GVE怪--大雪怪橙</v>
      </c>
      <c r="C606" s="148">
        <f>IFERROR(__xludf.DUMMYFUNCTION("""COMPUTED_VALUE"""),1.1221004E7)</f>
        <v>11221004</v>
      </c>
      <c r="D606" s="148">
        <f>IFERROR(__xludf.DUMMYFUNCTION("""COMPUTED_VALUE"""),1.5118714E7)</f>
        <v>15118714</v>
      </c>
      <c r="E606" s="148" t="str">
        <f>IFERROR(__xludf.DUMMYFUNCTION("""COMPUTED_VALUE"""),"{""typ"":""lc"",""txt"":""LC_NPC_kvk4_npc_boss_name""}")</f>
        <v>{"typ":"lc","txt":"LC_NPC_kvk4_npc_boss_name"}</v>
      </c>
      <c r="F606" s="148" t="str">
        <f>IFERROR(__xludf.DUMMYFUNCTION("""COMPUTED_VALUE"""),"{}")</f>
        <v>{}</v>
      </c>
      <c r="G606" s="148">
        <f>IFERROR(__xludf.DUMMYFUNCTION("""COMPUTED_VALUE"""),10.0)</f>
        <v>10</v>
      </c>
      <c r="H606" s="148">
        <f>IFERROR(__xludf.DUMMYFUNCTION("""COMPUTED_VALUE"""),10099.0)</f>
        <v>10099</v>
      </c>
      <c r="I606" s="148">
        <f>IFERROR(__xludf.DUMMYFUNCTION("""COMPUTED_VALUE"""),10099.0)</f>
        <v>10099</v>
      </c>
      <c r="J606" s="148">
        <f>IFERROR(__xludf.DUMMYFUNCTION("""COMPUTED_VALUE"""),0.0)</f>
        <v>0</v>
      </c>
      <c r="K606" s="148">
        <f>IFERROR(__xludf.DUMMYFUNCTION("""COMPUTED_VALUE"""),10.0)</f>
        <v>10</v>
      </c>
      <c r="L606" s="148">
        <f>IFERROR(__xludf.DUMMYFUNCTION("""COMPUTED_VALUE"""),99.0)</f>
        <v>99</v>
      </c>
      <c r="M606" s="148">
        <f>IFERROR(__xludf.DUMMYFUNCTION("""COMPUTED_VALUE"""),0.0)</f>
        <v>0</v>
      </c>
      <c r="N606" s="148" t="str">
        <f>IFERROR(__xludf.DUMMYFUNCTION("""COMPUTED_VALUE"""),"[]")</f>
        <v>[]</v>
      </c>
      <c r="O606" s="148" t="str">
        <f>IFERROR(__xludf.DUMMYFUNCTION("""COMPUTED_VALUE"""),"{}")</f>
        <v>{}</v>
      </c>
      <c r="P606" s="148">
        <f>IFERROR(__xludf.DUMMYFUNCTION("""COMPUTED_VALUE"""),0.0)</f>
        <v>0</v>
      </c>
      <c r="Q606" s="148" t="str">
        <f>IFERROR(__xludf.DUMMYFUNCTION("""COMPUTED_VALUE"""),"[]")</f>
        <v>[]</v>
      </c>
      <c r="R606" s="148" t="str">
        <f>IFERROR(__xludf.DUMMYFUNCTION("""COMPUTED_VALUE"""),"{}")</f>
        <v>{}</v>
      </c>
      <c r="S606" s="148">
        <f>IFERROR(__xludf.DUMMYFUNCTION("""COMPUTED_VALUE"""),0.0)</f>
        <v>0</v>
      </c>
      <c r="T606" s="148" t="str">
        <f>IFERROR(__xludf.DUMMYFUNCTION("""COMPUTED_VALUE"""),"[]")</f>
        <v>[]</v>
      </c>
      <c r="U606" s="148">
        <f>IFERROR(__xludf.DUMMYFUNCTION("""COMPUTED_VALUE"""),0.0)</f>
        <v>0</v>
      </c>
      <c r="V606" s="148" t="str">
        <f>IFERROR(__xludf.DUMMYFUNCTION("""COMPUTED_VALUE"""),"{}")</f>
        <v>{}</v>
      </c>
      <c r="W606" s="148" t="str">
        <f>IFERROR(__xludf.DUMMYFUNCTION("""COMPUTED_VALUE"""),"[]")</f>
        <v>[]</v>
      </c>
      <c r="X606" s="148" t="str">
        <f>IFERROR(__xludf.DUMMYFUNCTION("""COMPUTED_VALUE"""),"[{""typ"":""power"",""id"":12141002,""val"":5}]")</f>
        <v>[{"typ":"power","id":12141002,"val":5}]</v>
      </c>
      <c r="Y606" s="148" t="str">
        <f>IFERROR(__xludf.DUMMYFUNCTION("""COMPUTED_VALUE"""),"[{""typ"":""atk"",""val"":160},{""typ"":""def"",""val"":160},{""typ"":""hp"",""val"":160},{""typ"":""speed"",""val"":30},{""typ"":""load"",""val"":20},{""typ"":""backcoef"",""val"":0.5},{""typ"":""atkcoef"",""val"":1.0},{""typ"":""atkcd"",""val"":0}]")</f>
        <v>[{"typ":"atk","val":160},{"typ":"def","val":160},{"typ":"hp","val":160},{"typ":"speed","val":30},{"typ":"load","val":20},{"typ":"backcoef","val":0.5},{"typ":"atkcoef","val":1.0},{"typ":"atkcd","val":0}]</v>
      </c>
      <c r="Z606" s="148" t="str">
        <f>IFERROR(__xludf.DUMMYFUNCTION("""COMPUTED_VALUE"""),"[]")</f>
        <v>[]</v>
      </c>
    </row>
    <row r="607">
      <c r="A607" s="148">
        <f>IFERROR(__xludf.DUMMYFUNCTION("""COMPUTED_VALUE"""),1.12110118E8)</f>
        <v>112110118</v>
      </c>
      <c r="B607" s="148" t="str">
        <f>IFERROR(__xludf.DUMMYFUNCTION("""COMPUTED_VALUE"""),"GVEkvk4旗帜--部队")</f>
        <v>GVEkvk4旗帜--部队</v>
      </c>
      <c r="C607" s="148">
        <f>IFERROR(__xludf.DUMMYFUNCTION("""COMPUTED_VALUE"""),1.1221001E7)</f>
        <v>11221001</v>
      </c>
      <c r="D607" s="148">
        <f>IFERROR(__xludf.DUMMYFUNCTION("""COMPUTED_VALUE"""),1.5111315E7)</f>
        <v>15111315</v>
      </c>
      <c r="E607" s="148" t="str">
        <f>IFERROR(__xludf.DUMMYFUNCTION("""COMPUTED_VALUE"""),"{}")</f>
        <v>{}</v>
      </c>
      <c r="F607" s="148" t="str">
        <f>IFERROR(__xludf.DUMMYFUNCTION("""COMPUTED_VALUE"""),"{}")</f>
        <v>{}</v>
      </c>
      <c r="G607" s="148">
        <f>IFERROR(__xludf.DUMMYFUNCTION("""COMPUTED_VALUE"""),10.0)</f>
        <v>10</v>
      </c>
      <c r="H607" s="148">
        <f>IFERROR(__xludf.DUMMYFUNCTION("""COMPUTED_VALUE"""),10099.0)</f>
        <v>10099</v>
      </c>
      <c r="I607" s="148">
        <f>IFERROR(__xludf.DUMMYFUNCTION("""COMPUTED_VALUE"""),10099.0)</f>
        <v>10099</v>
      </c>
      <c r="J607" s="148">
        <f>IFERROR(__xludf.DUMMYFUNCTION("""COMPUTED_VALUE"""),0.0)</f>
        <v>0</v>
      </c>
      <c r="K607" s="148">
        <f>IFERROR(__xludf.DUMMYFUNCTION("""COMPUTED_VALUE"""),10.0)</f>
        <v>10</v>
      </c>
      <c r="L607" s="148">
        <f>IFERROR(__xludf.DUMMYFUNCTION("""COMPUTED_VALUE"""),99.0)</f>
        <v>99</v>
      </c>
      <c r="M607" s="148">
        <f>IFERROR(__xludf.DUMMYFUNCTION("""COMPUTED_VALUE"""),0.0)</f>
        <v>0</v>
      </c>
      <c r="N607" s="148" t="str">
        <f>IFERROR(__xludf.DUMMYFUNCTION("""COMPUTED_VALUE"""),"[]")</f>
        <v>[]</v>
      </c>
      <c r="O607" s="148" t="str">
        <f>IFERROR(__xludf.DUMMYFUNCTION("""COMPUTED_VALUE"""),"{}")</f>
        <v>{}</v>
      </c>
      <c r="P607" s="148">
        <f>IFERROR(__xludf.DUMMYFUNCTION("""COMPUTED_VALUE"""),0.0)</f>
        <v>0</v>
      </c>
      <c r="Q607" s="148" t="str">
        <f>IFERROR(__xludf.DUMMYFUNCTION("""COMPUTED_VALUE"""),"[]")</f>
        <v>[]</v>
      </c>
      <c r="R607" s="148" t="str">
        <f>IFERROR(__xludf.DUMMYFUNCTION("""COMPUTED_VALUE"""),"{}")</f>
        <v>{}</v>
      </c>
      <c r="S607" s="148">
        <f>IFERROR(__xludf.DUMMYFUNCTION("""COMPUTED_VALUE"""),0.0)</f>
        <v>0</v>
      </c>
      <c r="T607" s="148" t="str">
        <f>IFERROR(__xludf.DUMMYFUNCTION("""COMPUTED_VALUE"""),"[]")</f>
        <v>[]</v>
      </c>
      <c r="U607" s="148">
        <f>IFERROR(__xludf.DUMMYFUNCTION("""COMPUTED_VALUE"""),0.0)</f>
        <v>0</v>
      </c>
      <c r="V607" s="148" t="str">
        <f>IFERROR(__xludf.DUMMYFUNCTION("""COMPUTED_VALUE"""),"{}")</f>
        <v>{}</v>
      </c>
      <c r="W607" s="148" t="str">
        <f>IFERROR(__xludf.DUMMYFUNCTION("""COMPUTED_VALUE"""),"[]")</f>
        <v>[]</v>
      </c>
      <c r="X607" s="148" t="str">
        <f>IFERROR(__xludf.DUMMYFUNCTION("""COMPUTED_VALUE"""),"[{""typ"":""power"",""id"":12141002,""val"":4}]")</f>
        <v>[{"typ":"power","id":12141002,"val":4}]</v>
      </c>
      <c r="Y607" s="148" t="str">
        <f>IFERROR(__xludf.DUMMYFUNCTION("""COMPUTED_VALUE"""),"[{""typ"":""atk"",""val"":0},{""typ"":""def"",""val"":160},{""typ"":""hp"",""val"":160},{""typ"":""speed"",""val"":0},{""typ"":""load"",""val"":20},{""typ"":""backcoef"",""val"":0.5},{""typ"":""atkcoef"",""val"":1.0},{""typ"":""atkcd"",""val"":0}]")</f>
        <v>[{"typ":"atk","val":0},{"typ":"def","val":160},{"typ":"hp","val":160},{"typ":"speed","val":0},{"typ":"load","val":20},{"typ":"backcoef","val":0.5},{"typ":"atkcoef","val":1.0},{"typ":"atkcd","val":0}]</v>
      </c>
      <c r="Z607" s="148" t="str">
        <f>IFERROR(__xludf.DUMMYFUNCTION("""COMPUTED_VALUE"""),"[]")</f>
        <v>[]</v>
      </c>
    </row>
    <row r="608">
      <c r="A608" s="148">
        <f>IFERROR(__xludf.DUMMYFUNCTION("""COMPUTED_VALUE"""),1.12110119E8)</f>
        <v>112110119</v>
      </c>
      <c r="B608" s="148" t="str">
        <f>IFERROR(__xludf.DUMMYFUNCTION("""COMPUTED_VALUE"""),"kvk5巨像")</f>
        <v>kvk5巨像</v>
      </c>
      <c r="C608" s="148">
        <f>IFERROR(__xludf.DUMMYFUNCTION("""COMPUTED_VALUE"""),1.1224001E7)</f>
        <v>11224001</v>
      </c>
      <c r="D608" s="148">
        <f>IFERROR(__xludf.DUMMYFUNCTION("""COMPUTED_VALUE"""),1.5111315E7)</f>
        <v>15111315</v>
      </c>
      <c r="E608" s="148" t="str">
        <f>IFERROR(__xludf.DUMMYFUNCTION("""COMPUTED_VALUE"""),"{}")</f>
        <v>{}</v>
      </c>
      <c r="F608" s="148" t="str">
        <f>IFERROR(__xludf.DUMMYFUNCTION("""COMPUTED_VALUE"""),"{}")</f>
        <v>{}</v>
      </c>
      <c r="G608" s="148">
        <f>IFERROR(__xludf.DUMMYFUNCTION("""COMPUTED_VALUE"""),10.0)</f>
        <v>10</v>
      </c>
      <c r="H608" s="148">
        <f>IFERROR(__xludf.DUMMYFUNCTION("""COMPUTED_VALUE"""),10099.0)</f>
        <v>10099</v>
      </c>
      <c r="I608" s="148">
        <f>IFERROR(__xludf.DUMMYFUNCTION("""COMPUTED_VALUE"""),10099.0)</f>
        <v>10099</v>
      </c>
      <c r="J608" s="148">
        <f>IFERROR(__xludf.DUMMYFUNCTION("""COMPUTED_VALUE"""),0.0)</f>
        <v>0</v>
      </c>
      <c r="K608" s="148">
        <f>IFERROR(__xludf.DUMMYFUNCTION("""COMPUTED_VALUE"""),10.0)</f>
        <v>10</v>
      </c>
      <c r="L608" s="148">
        <f>IFERROR(__xludf.DUMMYFUNCTION("""COMPUTED_VALUE"""),99.0)</f>
        <v>99</v>
      </c>
      <c r="M608" s="148">
        <f>IFERROR(__xludf.DUMMYFUNCTION("""COMPUTED_VALUE"""),0.0)</f>
        <v>0</v>
      </c>
      <c r="N608" s="148" t="str">
        <f>IFERROR(__xludf.DUMMYFUNCTION("""COMPUTED_VALUE"""),"[]")</f>
        <v>[]</v>
      </c>
      <c r="O608" s="148" t="str">
        <f>IFERROR(__xludf.DUMMYFUNCTION("""COMPUTED_VALUE"""),"{}")</f>
        <v>{}</v>
      </c>
      <c r="P608" s="148">
        <f>IFERROR(__xludf.DUMMYFUNCTION("""COMPUTED_VALUE"""),0.0)</f>
        <v>0</v>
      </c>
      <c r="Q608" s="148" t="str">
        <f>IFERROR(__xludf.DUMMYFUNCTION("""COMPUTED_VALUE"""),"[]")</f>
        <v>[]</v>
      </c>
      <c r="R608" s="148" t="str">
        <f>IFERROR(__xludf.DUMMYFUNCTION("""COMPUTED_VALUE"""),"{}")</f>
        <v>{}</v>
      </c>
      <c r="S608" s="148">
        <f>IFERROR(__xludf.DUMMYFUNCTION("""COMPUTED_VALUE"""),0.0)</f>
        <v>0</v>
      </c>
      <c r="T608" s="148" t="str">
        <f>IFERROR(__xludf.DUMMYFUNCTION("""COMPUTED_VALUE"""),"[]")</f>
        <v>[]</v>
      </c>
      <c r="U608" s="148">
        <f>IFERROR(__xludf.DUMMYFUNCTION("""COMPUTED_VALUE"""),0.0)</f>
        <v>0</v>
      </c>
      <c r="V608" s="148" t="str">
        <f>IFERROR(__xludf.DUMMYFUNCTION("""COMPUTED_VALUE"""),"{}")</f>
        <v>{}</v>
      </c>
      <c r="W608" s="148" t="str">
        <f>IFERROR(__xludf.DUMMYFUNCTION("""COMPUTED_VALUE"""),"[]")</f>
        <v>[]</v>
      </c>
      <c r="X608" s="148" t="str">
        <f>IFERROR(__xludf.DUMMYFUNCTION("""COMPUTED_VALUE"""),"[{""typ"":""power"",""id"":12141002,""val"":4}]")</f>
        <v>[{"typ":"power","id":12141002,"val":4}]</v>
      </c>
      <c r="Y608" s="148" t="str">
        <f>IFERROR(__xludf.DUMMYFUNCTION("""COMPUTED_VALUE"""),"[{""typ"":""atk"",""val"":500},{""typ"":""def"",""val"":160},{""typ"":""hp"",""val"":160},{""typ"":""speed"",""val"":0},{""typ"":""load"",""val"":20},{""typ"":""backcoef"",""val"":0.5},{""typ"":""atkcoef"",""val"":1.0},{""typ"":""atkcd"",""val"":0}]")</f>
        <v>[{"typ":"atk","val":500},{"typ":"def","val":160},{"typ":"hp","val":160},{"typ":"speed","val":0},{"typ":"load","val":20},{"typ":"backcoef","val":0.5},{"typ":"atkcoef","val":1.0},{"typ":"atkcd","val":0}]</v>
      </c>
      <c r="Z608" s="148" t="str">
        <f>IFERROR(__xludf.DUMMYFUNCTION("""COMPUTED_VALUE"""),"[]")</f>
        <v>[]</v>
      </c>
    </row>
    <row r="609">
      <c r="A609" s="148">
        <f>IFERROR(__xludf.DUMMYFUNCTION("""COMPUTED_VALUE"""),1.12111001E8)</f>
        <v>112111001</v>
      </c>
      <c r="B609" s="148" t="str">
        <f>IFERROR(__xludf.DUMMYFUNCTION("""COMPUTED_VALUE"""),"巅峰领土战火车--部队")</f>
        <v>巅峰领土战火车--部队</v>
      </c>
      <c r="C609" s="148">
        <f>IFERROR(__xludf.DUMMYFUNCTION("""COMPUTED_VALUE"""),1.1221001E7)</f>
        <v>11221001</v>
      </c>
      <c r="D609" s="148">
        <f>IFERROR(__xludf.DUMMYFUNCTION("""COMPUTED_VALUE"""),1.5114409E7)</f>
        <v>15114409</v>
      </c>
      <c r="E609" s="148" t="str">
        <f>IFERROR(__xludf.DUMMYFUNCTION("""COMPUTED_VALUE"""),"{}")</f>
        <v>{}</v>
      </c>
      <c r="F609" s="148" t="str">
        <f>IFERROR(__xludf.DUMMYFUNCTION("""COMPUTED_VALUE"""),"{}")</f>
        <v>{}</v>
      </c>
      <c r="G609" s="148">
        <f>IFERROR(__xludf.DUMMYFUNCTION("""COMPUTED_VALUE"""),10.0)</f>
        <v>10</v>
      </c>
      <c r="H609" s="148">
        <f>IFERROR(__xludf.DUMMYFUNCTION("""COMPUTED_VALUE"""),10099.0)</f>
        <v>10099</v>
      </c>
      <c r="I609" s="148">
        <f>IFERROR(__xludf.DUMMYFUNCTION("""COMPUTED_VALUE"""),10099.0)</f>
        <v>10099</v>
      </c>
      <c r="J609" s="148">
        <f>IFERROR(__xludf.DUMMYFUNCTION("""COMPUTED_VALUE"""),0.0)</f>
        <v>0</v>
      </c>
      <c r="K609" s="148">
        <f>IFERROR(__xludf.DUMMYFUNCTION("""COMPUTED_VALUE"""),10.0)</f>
        <v>10</v>
      </c>
      <c r="L609" s="148">
        <f>IFERROR(__xludf.DUMMYFUNCTION("""COMPUTED_VALUE"""),99.0)</f>
        <v>99</v>
      </c>
      <c r="M609" s="148">
        <f>IFERROR(__xludf.DUMMYFUNCTION("""COMPUTED_VALUE"""),0.0)</f>
        <v>0</v>
      </c>
      <c r="N609" s="148" t="str">
        <f>IFERROR(__xludf.DUMMYFUNCTION("""COMPUTED_VALUE"""),"[]")</f>
        <v>[]</v>
      </c>
      <c r="O609" s="148" t="str">
        <f>IFERROR(__xludf.DUMMYFUNCTION("""COMPUTED_VALUE"""),"{}")</f>
        <v>{}</v>
      </c>
      <c r="P609" s="148">
        <f>IFERROR(__xludf.DUMMYFUNCTION("""COMPUTED_VALUE"""),0.0)</f>
        <v>0</v>
      </c>
      <c r="Q609" s="148" t="str">
        <f>IFERROR(__xludf.DUMMYFUNCTION("""COMPUTED_VALUE"""),"[]")</f>
        <v>[]</v>
      </c>
      <c r="R609" s="148" t="str">
        <f>IFERROR(__xludf.DUMMYFUNCTION("""COMPUTED_VALUE"""),"{}")</f>
        <v>{}</v>
      </c>
      <c r="S609" s="148">
        <f>IFERROR(__xludf.DUMMYFUNCTION("""COMPUTED_VALUE"""),0.0)</f>
        <v>0</v>
      </c>
      <c r="T609" s="148" t="str">
        <f>IFERROR(__xludf.DUMMYFUNCTION("""COMPUTED_VALUE"""),"[]")</f>
        <v>[]</v>
      </c>
      <c r="U609" s="148">
        <f>IFERROR(__xludf.DUMMYFUNCTION("""COMPUTED_VALUE"""),0.0)</f>
        <v>0</v>
      </c>
      <c r="V609" s="148" t="str">
        <f>IFERROR(__xludf.DUMMYFUNCTION("""COMPUTED_VALUE"""),"{}")</f>
        <v>{}</v>
      </c>
      <c r="W609" s="148" t="str">
        <f>IFERROR(__xludf.DUMMYFUNCTION("""COMPUTED_VALUE"""),"[]")</f>
        <v>[]</v>
      </c>
      <c r="X609" s="148" t="str">
        <f>IFERROR(__xludf.DUMMYFUNCTION("""COMPUTED_VALUE"""),"[{""typ"":""power"",""id"":12141002,""val"":2}]")</f>
        <v>[{"typ":"power","id":12141002,"val":2}]</v>
      </c>
      <c r="Y609" s="148" t="str">
        <f>IFERROR(__xludf.DUMMYFUNCTION("""COMPUTED_VALUE"""),"[{""typ"":""atk"",""val"":230},{""typ"":""def"",""val"":210},{""typ"":""hp"",""val"":210},{""typ"":""speed"",""val"":0},{""typ"":""load"",""val"":20},{""typ"":""backcoef"",""val"":0.5},{""typ"":""atkcoef"",""val"":1.0},{""typ"":""atkcd"",""val"":0}]")</f>
        <v>[{"typ":"atk","val":230},{"typ":"def","val":210},{"typ":"hp","val":210},{"typ":"speed","val":0},{"typ":"load","val":20},{"typ":"backcoef","val":0.5},{"typ":"atkcoef","val":1.0},{"typ":"atkcd","val":0}]</v>
      </c>
      <c r="Z609" s="148" t="str">
        <f>IFERROR(__xludf.DUMMYFUNCTION("""COMPUTED_VALUE"""),"[]")</f>
        <v>[]</v>
      </c>
    </row>
    <row r="610">
      <c r="A610" s="148">
        <f>IFERROR(__xludf.DUMMYFUNCTION("""COMPUTED_VALUE"""),1.12111101E8)</f>
        <v>112111101</v>
      </c>
      <c r="B610" s="148" t="str">
        <f>IFERROR(__xludf.DUMMYFUNCTION("""COMPUTED_VALUE"""),"巅峰领土_押镖单位-白怪1")</f>
        <v>巅峰领土_押镖单位-白怪1</v>
      </c>
      <c r="C610" s="148">
        <f>IFERROR(__xludf.DUMMYFUNCTION("""COMPUTED_VALUE"""),1.1221004E7)</f>
        <v>11221004</v>
      </c>
      <c r="D610" s="148">
        <f>IFERROR(__xludf.DUMMYFUNCTION("""COMPUTED_VALUE"""),1.5110234E7)</f>
        <v>15110234</v>
      </c>
      <c r="E610" s="148" t="str">
        <f>IFERROR(__xludf.DUMMYFUNCTION("""COMPUTED_VALUE"""),"{""typ"":""lc"",""txt"":""LC_MAP_escort_monster_name1""}")</f>
        <v>{"typ":"lc","txt":"LC_MAP_escort_monster_name1"}</v>
      </c>
      <c r="F610" s="148" t="str">
        <f>IFERROR(__xludf.DUMMYFUNCTION("""COMPUTED_VALUE"""),"{""typ"":""lc"",""txt"":""LC_MAP_escort_monster_characteristics_desc1""}")</f>
        <v>{"typ":"lc","txt":"LC_MAP_escort_monster_characteristics_desc1"}</v>
      </c>
      <c r="G610" s="148">
        <f>IFERROR(__xludf.DUMMYFUNCTION("""COMPUTED_VALUE"""),10.0)</f>
        <v>10</v>
      </c>
      <c r="H610" s="148">
        <f>IFERROR(__xludf.DUMMYFUNCTION("""COMPUTED_VALUE"""),10099.0)</f>
        <v>10099</v>
      </c>
      <c r="I610" s="148">
        <f>IFERROR(__xludf.DUMMYFUNCTION("""COMPUTED_VALUE"""),10099.0)</f>
        <v>10099</v>
      </c>
      <c r="J610" s="148">
        <f>IFERROR(__xludf.DUMMYFUNCTION("""COMPUTED_VALUE"""),0.0)</f>
        <v>0</v>
      </c>
      <c r="K610" s="148">
        <f>IFERROR(__xludf.DUMMYFUNCTION("""COMPUTED_VALUE"""),10.0)</f>
        <v>10</v>
      </c>
      <c r="L610" s="148">
        <f>IFERROR(__xludf.DUMMYFUNCTION("""COMPUTED_VALUE"""),99.0)</f>
        <v>99</v>
      </c>
      <c r="M610" s="148">
        <f>IFERROR(__xludf.DUMMYFUNCTION("""COMPUTED_VALUE"""),0.0)</f>
        <v>0</v>
      </c>
      <c r="N610" s="148" t="str">
        <f>IFERROR(__xludf.DUMMYFUNCTION("""COMPUTED_VALUE"""),"[]")</f>
        <v>[]</v>
      </c>
      <c r="O610" s="148" t="str">
        <f>IFERROR(__xludf.DUMMYFUNCTION("""COMPUTED_VALUE"""),"{}")</f>
        <v>{}</v>
      </c>
      <c r="P610" s="148">
        <f>IFERROR(__xludf.DUMMYFUNCTION("""COMPUTED_VALUE"""),0.0)</f>
        <v>0</v>
      </c>
      <c r="Q610" s="148" t="str">
        <f>IFERROR(__xludf.DUMMYFUNCTION("""COMPUTED_VALUE"""),"[]")</f>
        <v>[]</v>
      </c>
      <c r="R610" s="148" t="str">
        <f>IFERROR(__xludf.DUMMYFUNCTION("""COMPUTED_VALUE"""),"{}")</f>
        <v>{}</v>
      </c>
      <c r="S610" s="148">
        <f>IFERROR(__xludf.DUMMYFUNCTION("""COMPUTED_VALUE"""),0.0)</f>
        <v>0</v>
      </c>
      <c r="T610" s="148" t="str">
        <f>IFERROR(__xludf.DUMMYFUNCTION("""COMPUTED_VALUE"""),"[]")</f>
        <v>[]</v>
      </c>
      <c r="U610" s="148">
        <f>IFERROR(__xludf.DUMMYFUNCTION("""COMPUTED_VALUE"""),0.0)</f>
        <v>0</v>
      </c>
      <c r="V610" s="148" t="str">
        <f>IFERROR(__xludf.DUMMYFUNCTION("""COMPUTED_VALUE"""),"{}")</f>
        <v>{}</v>
      </c>
      <c r="W610" s="148" t="str">
        <f>IFERROR(__xludf.DUMMYFUNCTION("""COMPUTED_VALUE"""),"[]")</f>
        <v>[]</v>
      </c>
      <c r="X610" s="148" t="str">
        <f>IFERROR(__xludf.DUMMYFUNCTION("""COMPUTED_VALUE"""),"[{""typ"":""power"",""id"":12141002,""val"":1}]")</f>
        <v>[{"typ":"power","id":12141002,"val":1}]</v>
      </c>
      <c r="Y610" s="148" t="str">
        <f>IFERROR(__xludf.DUMMYFUNCTION("""COMPUTED_VALUE"""),"[{""typ"":""atk"",""val"":15},{""typ"":""def"",""val"":125},{""typ"":""hp"",""val"":135},{""typ"":""speed"",""val"":50},{""typ"":""load"",""val"":20},{""typ"":""backcoef"",""val"":0.5},{""typ"":""atkcoef"",""val"":1.0},{""typ"":""atkcd"",""val"":0}]")</f>
        <v>[{"typ":"atk","val":15},{"typ":"def","val":125},{"typ":"hp","val":135},{"typ":"speed","val":50},{"typ":"load","val":20},{"typ":"backcoef","val":0.5},{"typ":"atkcoef","val":1.0},{"typ":"atkcd","val":0}]</v>
      </c>
      <c r="Z610" s="148" t="str">
        <f>IFERROR(__xludf.DUMMYFUNCTION("""COMPUTED_VALUE"""),"[]")</f>
        <v>[]</v>
      </c>
    </row>
    <row r="611">
      <c r="A611" s="148">
        <f>IFERROR(__xludf.DUMMYFUNCTION("""COMPUTED_VALUE"""),1.12111102E8)</f>
        <v>112111102</v>
      </c>
      <c r="B611" s="148" t="str">
        <f>IFERROR(__xludf.DUMMYFUNCTION("""COMPUTED_VALUE"""),"巅峰领土_押镖单位-白怪2")</f>
        <v>巅峰领土_押镖单位-白怪2</v>
      </c>
      <c r="C611" s="148">
        <f>IFERROR(__xludf.DUMMYFUNCTION("""COMPUTED_VALUE"""),1.1221004E7)</f>
        <v>11221004</v>
      </c>
      <c r="D611" s="148">
        <f>IFERROR(__xludf.DUMMYFUNCTION("""COMPUTED_VALUE"""),1.5110234E7)</f>
        <v>15110234</v>
      </c>
      <c r="E611" s="148" t="str">
        <f>IFERROR(__xludf.DUMMYFUNCTION("""COMPUTED_VALUE"""),"{""typ"":""lc"",""txt"":""LC_MAP_escort_monster_name1""}")</f>
        <v>{"typ":"lc","txt":"LC_MAP_escort_monster_name1"}</v>
      </c>
      <c r="F611" s="148" t="str">
        <f>IFERROR(__xludf.DUMMYFUNCTION("""COMPUTED_VALUE"""),"{""typ"":""lc"",""txt"":""LC_MAP_escort_monster_characteristics_desc1""}")</f>
        <v>{"typ":"lc","txt":"LC_MAP_escort_monster_characteristics_desc1"}</v>
      </c>
      <c r="G611" s="148">
        <f>IFERROR(__xludf.DUMMYFUNCTION("""COMPUTED_VALUE"""),10.0)</f>
        <v>10</v>
      </c>
      <c r="H611" s="148">
        <f>IFERROR(__xludf.DUMMYFUNCTION("""COMPUTED_VALUE"""),10099.0)</f>
        <v>10099</v>
      </c>
      <c r="I611" s="148">
        <f>IFERROR(__xludf.DUMMYFUNCTION("""COMPUTED_VALUE"""),10099.0)</f>
        <v>10099</v>
      </c>
      <c r="J611" s="148">
        <f>IFERROR(__xludf.DUMMYFUNCTION("""COMPUTED_VALUE"""),0.0)</f>
        <v>0</v>
      </c>
      <c r="K611" s="148">
        <f>IFERROR(__xludf.DUMMYFUNCTION("""COMPUTED_VALUE"""),10.0)</f>
        <v>10</v>
      </c>
      <c r="L611" s="148">
        <f>IFERROR(__xludf.DUMMYFUNCTION("""COMPUTED_VALUE"""),99.0)</f>
        <v>99</v>
      </c>
      <c r="M611" s="148">
        <f>IFERROR(__xludf.DUMMYFUNCTION("""COMPUTED_VALUE"""),0.0)</f>
        <v>0</v>
      </c>
      <c r="N611" s="148" t="str">
        <f>IFERROR(__xludf.DUMMYFUNCTION("""COMPUTED_VALUE"""),"[]")</f>
        <v>[]</v>
      </c>
      <c r="O611" s="148" t="str">
        <f>IFERROR(__xludf.DUMMYFUNCTION("""COMPUTED_VALUE"""),"{}")</f>
        <v>{}</v>
      </c>
      <c r="P611" s="148">
        <f>IFERROR(__xludf.DUMMYFUNCTION("""COMPUTED_VALUE"""),0.0)</f>
        <v>0</v>
      </c>
      <c r="Q611" s="148" t="str">
        <f>IFERROR(__xludf.DUMMYFUNCTION("""COMPUTED_VALUE"""),"[]")</f>
        <v>[]</v>
      </c>
      <c r="R611" s="148" t="str">
        <f>IFERROR(__xludf.DUMMYFUNCTION("""COMPUTED_VALUE"""),"{}")</f>
        <v>{}</v>
      </c>
      <c r="S611" s="148">
        <f>IFERROR(__xludf.DUMMYFUNCTION("""COMPUTED_VALUE"""),0.0)</f>
        <v>0</v>
      </c>
      <c r="T611" s="148" t="str">
        <f>IFERROR(__xludf.DUMMYFUNCTION("""COMPUTED_VALUE"""),"[]")</f>
        <v>[]</v>
      </c>
      <c r="U611" s="148">
        <f>IFERROR(__xludf.DUMMYFUNCTION("""COMPUTED_VALUE"""),0.0)</f>
        <v>0</v>
      </c>
      <c r="V611" s="148" t="str">
        <f>IFERROR(__xludf.DUMMYFUNCTION("""COMPUTED_VALUE"""),"{}")</f>
        <v>{}</v>
      </c>
      <c r="W611" s="148" t="str">
        <f>IFERROR(__xludf.DUMMYFUNCTION("""COMPUTED_VALUE"""),"[]")</f>
        <v>[]</v>
      </c>
      <c r="X611" s="148" t="str">
        <f>IFERROR(__xludf.DUMMYFUNCTION("""COMPUTED_VALUE"""),"[{""typ"":""power"",""id"":12141002,""val"":1}]")</f>
        <v>[{"typ":"power","id":12141002,"val":1}]</v>
      </c>
      <c r="Y611" s="148" t="str">
        <f>IFERROR(__xludf.DUMMYFUNCTION("""COMPUTED_VALUE"""),"[{""typ"":""atk"",""val"":30},{""typ"":""def"",""val"":125},{""typ"":""hp"",""val"":135},{""typ"":""speed"",""val"":50},{""typ"":""load"",""val"":20},{""typ"":""backcoef"",""val"":0.5},{""typ"":""atkcoef"",""val"":1.0},{""typ"":""atkcd"",""val"":0}]")</f>
        <v>[{"typ":"atk","val":30},{"typ":"def","val":125},{"typ":"hp","val":135},{"typ":"speed","val":50},{"typ":"load","val":20},{"typ":"backcoef","val":0.5},{"typ":"atkcoef","val":1.0},{"typ":"atkcd","val":0}]</v>
      </c>
      <c r="Z611" s="148" t="str">
        <f>IFERROR(__xludf.DUMMYFUNCTION("""COMPUTED_VALUE"""),"[]")</f>
        <v>[]</v>
      </c>
    </row>
    <row r="612">
      <c r="A612" s="148">
        <f>IFERROR(__xludf.DUMMYFUNCTION("""COMPUTED_VALUE"""),1.12111103E8)</f>
        <v>112111103</v>
      </c>
      <c r="B612" s="148" t="str">
        <f>IFERROR(__xludf.DUMMYFUNCTION("""COMPUTED_VALUE"""),"巅峰领土_押镖单位-白怪3")</f>
        <v>巅峰领土_押镖单位-白怪3</v>
      </c>
      <c r="C612" s="148">
        <f>IFERROR(__xludf.DUMMYFUNCTION("""COMPUTED_VALUE"""),1.1221004E7)</f>
        <v>11221004</v>
      </c>
      <c r="D612" s="148">
        <f>IFERROR(__xludf.DUMMYFUNCTION("""COMPUTED_VALUE"""),1.5110234E7)</f>
        <v>15110234</v>
      </c>
      <c r="E612" s="148" t="str">
        <f>IFERROR(__xludf.DUMMYFUNCTION("""COMPUTED_VALUE"""),"{""typ"":""lc"",""txt"":""LC_MAP_escort_monster_name1""}")</f>
        <v>{"typ":"lc","txt":"LC_MAP_escort_monster_name1"}</v>
      </c>
      <c r="F612" s="148" t="str">
        <f>IFERROR(__xludf.DUMMYFUNCTION("""COMPUTED_VALUE"""),"{""typ"":""lc"",""txt"":""LC_MAP_escort_monster_characteristics_desc1""}")</f>
        <v>{"typ":"lc","txt":"LC_MAP_escort_monster_characteristics_desc1"}</v>
      </c>
      <c r="G612" s="148">
        <f>IFERROR(__xludf.DUMMYFUNCTION("""COMPUTED_VALUE"""),10.0)</f>
        <v>10</v>
      </c>
      <c r="H612" s="148">
        <f>IFERROR(__xludf.DUMMYFUNCTION("""COMPUTED_VALUE"""),10099.0)</f>
        <v>10099</v>
      </c>
      <c r="I612" s="148">
        <f>IFERROR(__xludf.DUMMYFUNCTION("""COMPUTED_VALUE"""),10099.0)</f>
        <v>10099</v>
      </c>
      <c r="J612" s="148">
        <f>IFERROR(__xludf.DUMMYFUNCTION("""COMPUTED_VALUE"""),0.0)</f>
        <v>0</v>
      </c>
      <c r="K612" s="148">
        <f>IFERROR(__xludf.DUMMYFUNCTION("""COMPUTED_VALUE"""),10.0)</f>
        <v>10</v>
      </c>
      <c r="L612" s="148">
        <f>IFERROR(__xludf.DUMMYFUNCTION("""COMPUTED_VALUE"""),99.0)</f>
        <v>99</v>
      </c>
      <c r="M612" s="148">
        <f>IFERROR(__xludf.DUMMYFUNCTION("""COMPUTED_VALUE"""),0.0)</f>
        <v>0</v>
      </c>
      <c r="N612" s="148" t="str">
        <f>IFERROR(__xludf.DUMMYFUNCTION("""COMPUTED_VALUE"""),"[]")</f>
        <v>[]</v>
      </c>
      <c r="O612" s="148" t="str">
        <f>IFERROR(__xludf.DUMMYFUNCTION("""COMPUTED_VALUE"""),"{}")</f>
        <v>{}</v>
      </c>
      <c r="P612" s="148">
        <f>IFERROR(__xludf.DUMMYFUNCTION("""COMPUTED_VALUE"""),0.0)</f>
        <v>0</v>
      </c>
      <c r="Q612" s="148" t="str">
        <f>IFERROR(__xludf.DUMMYFUNCTION("""COMPUTED_VALUE"""),"[]")</f>
        <v>[]</v>
      </c>
      <c r="R612" s="148" t="str">
        <f>IFERROR(__xludf.DUMMYFUNCTION("""COMPUTED_VALUE"""),"{}")</f>
        <v>{}</v>
      </c>
      <c r="S612" s="148">
        <f>IFERROR(__xludf.DUMMYFUNCTION("""COMPUTED_VALUE"""),0.0)</f>
        <v>0</v>
      </c>
      <c r="T612" s="148" t="str">
        <f>IFERROR(__xludf.DUMMYFUNCTION("""COMPUTED_VALUE"""),"[]")</f>
        <v>[]</v>
      </c>
      <c r="U612" s="148">
        <f>IFERROR(__xludf.DUMMYFUNCTION("""COMPUTED_VALUE"""),0.0)</f>
        <v>0</v>
      </c>
      <c r="V612" s="148" t="str">
        <f>IFERROR(__xludf.DUMMYFUNCTION("""COMPUTED_VALUE"""),"{}")</f>
        <v>{}</v>
      </c>
      <c r="W612" s="148" t="str">
        <f>IFERROR(__xludf.DUMMYFUNCTION("""COMPUTED_VALUE"""),"[]")</f>
        <v>[]</v>
      </c>
      <c r="X612" s="148" t="str">
        <f>IFERROR(__xludf.DUMMYFUNCTION("""COMPUTED_VALUE"""),"[{""typ"":""power"",""id"":12141002,""val"":1}]")</f>
        <v>[{"typ":"power","id":12141002,"val":1}]</v>
      </c>
      <c r="Y612" s="148" t="str">
        <f>IFERROR(__xludf.DUMMYFUNCTION("""COMPUTED_VALUE"""),"[{""typ"":""atk"",""val"":60},{""typ"":""def"",""val"":125},{""typ"":""hp"",""val"":135},{""typ"":""speed"",""val"":50},{""typ"":""load"",""val"":20},{""typ"":""backcoef"",""val"":0.5},{""typ"":""atkcoef"",""val"":1.0},{""typ"":""atkcd"",""val"":0}]")</f>
        <v>[{"typ":"atk","val":60},{"typ":"def","val":125},{"typ":"hp","val":135},{"typ":"speed","val":50},{"typ":"load","val":20},{"typ":"backcoef","val":0.5},{"typ":"atkcoef","val":1.0},{"typ":"atkcd","val":0}]</v>
      </c>
      <c r="Z612" s="148" t="str">
        <f>IFERROR(__xludf.DUMMYFUNCTION("""COMPUTED_VALUE"""),"[]")</f>
        <v>[]</v>
      </c>
    </row>
    <row r="613">
      <c r="A613" s="148">
        <f>IFERROR(__xludf.DUMMYFUNCTION("""COMPUTED_VALUE"""),1.12111104E8)</f>
        <v>112111104</v>
      </c>
      <c r="B613" s="148" t="str">
        <f>IFERROR(__xludf.DUMMYFUNCTION("""COMPUTED_VALUE"""),"巅峰领土_押镖单位-白怪4")</f>
        <v>巅峰领土_押镖单位-白怪4</v>
      </c>
      <c r="C613" s="148">
        <f>IFERROR(__xludf.DUMMYFUNCTION("""COMPUTED_VALUE"""),1.1221004E7)</f>
        <v>11221004</v>
      </c>
      <c r="D613" s="148">
        <f>IFERROR(__xludf.DUMMYFUNCTION("""COMPUTED_VALUE"""),1.5110234E7)</f>
        <v>15110234</v>
      </c>
      <c r="E613" s="148" t="str">
        <f>IFERROR(__xludf.DUMMYFUNCTION("""COMPUTED_VALUE"""),"{""typ"":""lc"",""txt"":""LC_MAP_escort_monster_name1""}")</f>
        <v>{"typ":"lc","txt":"LC_MAP_escort_monster_name1"}</v>
      </c>
      <c r="F613" s="148" t="str">
        <f>IFERROR(__xludf.DUMMYFUNCTION("""COMPUTED_VALUE"""),"{""typ"":""lc"",""txt"":""LC_MAP_escort_monster_characteristics_desc1""}")</f>
        <v>{"typ":"lc","txt":"LC_MAP_escort_monster_characteristics_desc1"}</v>
      </c>
      <c r="G613" s="148">
        <f>IFERROR(__xludf.DUMMYFUNCTION("""COMPUTED_VALUE"""),10.0)</f>
        <v>10</v>
      </c>
      <c r="H613" s="148">
        <f>IFERROR(__xludf.DUMMYFUNCTION("""COMPUTED_VALUE"""),10099.0)</f>
        <v>10099</v>
      </c>
      <c r="I613" s="148">
        <f>IFERROR(__xludf.DUMMYFUNCTION("""COMPUTED_VALUE"""),10099.0)</f>
        <v>10099</v>
      </c>
      <c r="J613" s="148">
        <f>IFERROR(__xludf.DUMMYFUNCTION("""COMPUTED_VALUE"""),0.0)</f>
        <v>0</v>
      </c>
      <c r="K613" s="148">
        <f>IFERROR(__xludf.DUMMYFUNCTION("""COMPUTED_VALUE"""),10.0)</f>
        <v>10</v>
      </c>
      <c r="L613" s="148">
        <f>IFERROR(__xludf.DUMMYFUNCTION("""COMPUTED_VALUE"""),99.0)</f>
        <v>99</v>
      </c>
      <c r="M613" s="148">
        <f>IFERROR(__xludf.DUMMYFUNCTION("""COMPUTED_VALUE"""),0.0)</f>
        <v>0</v>
      </c>
      <c r="N613" s="148" t="str">
        <f>IFERROR(__xludf.DUMMYFUNCTION("""COMPUTED_VALUE"""),"[]")</f>
        <v>[]</v>
      </c>
      <c r="O613" s="148" t="str">
        <f>IFERROR(__xludf.DUMMYFUNCTION("""COMPUTED_VALUE"""),"{}")</f>
        <v>{}</v>
      </c>
      <c r="P613" s="148">
        <f>IFERROR(__xludf.DUMMYFUNCTION("""COMPUTED_VALUE"""),0.0)</f>
        <v>0</v>
      </c>
      <c r="Q613" s="148" t="str">
        <f>IFERROR(__xludf.DUMMYFUNCTION("""COMPUTED_VALUE"""),"[]")</f>
        <v>[]</v>
      </c>
      <c r="R613" s="148" t="str">
        <f>IFERROR(__xludf.DUMMYFUNCTION("""COMPUTED_VALUE"""),"{}")</f>
        <v>{}</v>
      </c>
      <c r="S613" s="148">
        <f>IFERROR(__xludf.DUMMYFUNCTION("""COMPUTED_VALUE"""),0.0)</f>
        <v>0</v>
      </c>
      <c r="T613" s="148" t="str">
        <f>IFERROR(__xludf.DUMMYFUNCTION("""COMPUTED_VALUE"""),"[]")</f>
        <v>[]</v>
      </c>
      <c r="U613" s="148">
        <f>IFERROR(__xludf.DUMMYFUNCTION("""COMPUTED_VALUE"""),0.0)</f>
        <v>0</v>
      </c>
      <c r="V613" s="148" t="str">
        <f>IFERROR(__xludf.DUMMYFUNCTION("""COMPUTED_VALUE"""),"{}")</f>
        <v>{}</v>
      </c>
      <c r="W613" s="148" t="str">
        <f>IFERROR(__xludf.DUMMYFUNCTION("""COMPUTED_VALUE"""),"[]")</f>
        <v>[]</v>
      </c>
      <c r="X613" s="148" t="str">
        <f>IFERROR(__xludf.DUMMYFUNCTION("""COMPUTED_VALUE"""),"[{""typ"":""power"",""id"":12141002,""val"":1}]")</f>
        <v>[{"typ":"power","id":12141002,"val":1}]</v>
      </c>
      <c r="Y613" s="148" t="str">
        <f>IFERROR(__xludf.DUMMYFUNCTION("""COMPUTED_VALUE"""),"[{""typ"":""atk"",""val"":150},{""typ"":""def"",""val"":125},{""typ"":""hp"",""val"":135},{""typ"":""speed"",""val"":50},{""typ"":""load"",""val"":20},{""typ"":""backcoef"",""val"":0.5},{""typ"":""atkcoef"",""val"":1.0},{""typ"":""atkcd"",""val"":0}]")</f>
        <v>[{"typ":"atk","val":150},{"typ":"def","val":125},{"typ":"hp","val":135},{"typ":"speed","val":50},{"typ":"load","val":20},{"typ":"backcoef","val":0.5},{"typ":"atkcoef","val":1.0},{"typ":"atkcd","val":0}]</v>
      </c>
      <c r="Z613" s="148" t="str">
        <f>IFERROR(__xludf.DUMMYFUNCTION("""COMPUTED_VALUE"""),"[]")</f>
        <v>[]</v>
      </c>
    </row>
    <row r="614">
      <c r="A614" s="148">
        <f>IFERROR(__xludf.DUMMYFUNCTION("""COMPUTED_VALUE"""),1.12111105E8)</f>
        <v>112111105</v>
      </c>
      <c r="B614" s="148" t="str">
        <f>IFERROR(__xludf.DUMMYFUNCTION("""COMPUTED_VALUE"""),"巅峰领土_押镖单位-白怪5")</f>
        <v>巅峰领土_押镖单位-白怪5</v>
      </c>
      <c r="C614" s="148">
        <f>IFERROR(__xludf.DUMMYFUNCTION("""COMPUTED_VALUE"""),1.1221004E7)</f>
        <v>11221004</v>
      </c>
      <c r="D614" s="148">
        <f>IFERROR(__xludf.DUMMYFUNCTION("""COMPUTED_VALUE"""),1.5110234E7)</f>
        <v>15110234</v>
      </c>
      <c r="E614" s="148" t="str">
        <f>IFERROR(__xludf.DUMMYFUNCTION("""COMPUTED_VALUE"""),"{""typ"":""lc"",""txt"":""LC_MAP_escort_monster_name1""}")</f>
        <v>{"typ":"lc","txt":"LC_MAP_escort_monster_name1"}</v>
      </c>
      <c r="F614" s="148" t="str">
        <f>IFERROR(__xludf.DUMMYFUNCTION("""COMPUTED_VALUE"""),"{""typ"":""lc"",""txt"":""LC_MAP_escort_monster_characteristics_desc1""}")</f>
        <v>{"typ":"lc","txt":"LC_MAP_escort_monster_characteristics_desc1"}</v>
      </c>
      <c r="G614" s="148">
        <f>IFERROR(__xludf.DUMMYFUNCTION("""COMPUTED_VALUE"""),10.0)</f>
        <v>10</v>
      </c>
      <c r="H614" s="148">
        <f>IFERROR(__xludf.DUMMYFUNCTION("""COMPUTED_VALUE"""),10099.0)</f>
        <v>10099</v>
      </c>
      <c r="I614" s="148">
        <f>IFERROR(__xludf.DUMMYFUNCTION("""COMPUTED_VALUE"""),10099.0)</f>
        <v>10099</v>
      </c>
      <c r="J614" s="148">
        <f>IFERROR(__xludf.DUMMYFUNCTION("""COMPUTED_VALUE"""),0.0)</f>
        <v>0</v>
      </c>
      <c r="K614" s="148">
        <f>IFERROR(__xludf.DUMMYFUNCTION("""COMPUTED_VALUE"""),10.0)</f>
        <v>10</v>
      </c>
      <c r="L614" s="148">
        <f>IFERROR(__xludf.DUMMYFUNCTION("""COMPUTED_VALUE"""),99.0)</f>
        <v>99</v>
      </c>
      <c r="M614" s="148">
        <f>IFERROR(__xludf.DUMMYFUNCTION("""COMPUTED_VALUE"""),0.0)</f>
        <v>0</v>
      </c>
      <c r="N614" s="148" t="str">
        <f>IFERROR(__xludf.DUMMYFUNCTION("""COMPUTED_VALUE"""),"[]")</f>
        <v>[]</v>
      </c>
      <c r="O614" s="148" t="str">
        <f>IFERROR(__xludf.DUMMYFUNCTION("""COMPUTED_VALUE"""),"{}")</f>
        <v>{}</v>
      </c>
      <c r="P614" s="148">
        <f>IFERROR(__xludf.DUMMYFUNCTION("""COMPUTED_VALUE"""),0.0)</f>
        <v>0</v>
      </c>
      <c r="Q614" s="148" t="str">
        <f>IFERROR(__xludf.DUMMYFUNCTION("""COMPUTED_VALUE"""),"[]")</f>
        <v>[]</v>
      </c>
      <c r="R614" s="148" t="str">
        <f>IFERROR(__xludf.DUMMYFUNCTION("""COMPUTED_VALUE"""),"{}")</f>
        <v>{}</v>
      </c>
      <c r="S614" s="148">
        <f>IFERROR(__xludf.DUMMYFUNCTION("""COMPUTED_VALUE"""),0.0)</f>
        <v>0</v>
      </c>
      <c r="T614" s="148" t="str">
        <f>IFERROR(__xludf.DUMMYFUNCTION("""COMPUTED_VALUE"""),"[]")</f>
        <v>[]</v>
      </c>
      <c r="U614" s="148">
        <f>IFERROR(__xludf.DUMMYFUNCTION("""COMPUTED_VALUE"""),0.0)</f>
        <v>0</v>
      </c>
      <c r="V614" s="148" t="str">
        <f>IFERROR(__xludf.DUMMYFUNCTION("""COMPUTED_VALUE"""),"{}")</f>
        <v>{}</v>
      </c>
      <c r="W614" s="148" t="str">
        <f>IFERROR(__xludf.DUMMYFUNCTION("""COMPUTED_VALUE"""),"[]")</f>
        <v>[]</v>
      </c>
      <c r="X614" s="148" t="str">
        <f>IFERROR(__xludf.DUMMYFUNCTION("""COMPUTED_VALUE"""),"[{""typ"":""power"",""id"":12141002,""val"":1}]")</f>
        <v>[{"typ":"power","id":12141002,"val":1}]</v>
      </c>
      <c r="Y614" s="148" t="str">
        <f>IFERROR(__xludf.DUMMYFUNCTION("""COMPUTED_VALUE"""),"[{""typ"":""atk"",""val"":200},{""typ"":""def"",""val"":125},{""typ"":""hp"",""val"":135},{""typ"":""speed"",""val"":50},{""typ"":""load"",""val"":20},{""typ"":""backcoef"",""val"":0.5},{""typ"":""atkcoef"",""val"":1.0},{""typ"":""atkcd"",""val"":0}]")</f>
        <v>[{"typ":"atk","val":200},{"typ":"def","val":125},{"typ":"hp","val":135},{"typ":"speed","val":50},{"typ":"load","val":20},{"typ":"backcoef","val":0.5},{"typ":"atkcoef","val":1.0},{"typ":"atkcd","val":0}]</v>
      </c>
      <c r="Z614" s="148" t="str">
        <f>IFERROR(__xludf.DUMMYFUNCTION("""COMPUTED_VALUE"""),"[]")</f>
        <v>[]</v>
      </c>
    </row>
    <row r="615">
      <c r="A615" s="148">
        <f>IFERROR(__xludf.DUMMYFUNCTION("""COMPUTED_VALUE"""),1.12111106E8)</f>
        <v>112111106</v>
      </c>
      <c r="B615" s="148" t="str">
        <f>IFERROR(__xludf.DUMMYFUNCTION("""COMPUTED_VALUE"""),"巅峰领土_押镖单位-绿怪1")</f>
        <v>巅峰领土_押镖单位-绿怪1</v>
      </c>
      <c r="C615" s="148">
        <f>IFERROR(__xludf.DUMMYFUNCTION("""COMPUTED_VALUE"""),1.1221004E7)</f>
        <v>11221004</v>
      </c>
      <c r="D615" s="148">
        <f>IFERROR(__xludf.DUMMYFUNCTION("""COMPUTED_VALUE"""),1.5113E7)</f>
        <v>15113000</v>
      </c>
      <c r="E615" s="148" t="str">
        <f>IFERROR(__xludf.DUMMYFUNCTION("""COMPUTED_VALUE"""),"{""typ"":""lc"",""txt"":""LC_MAP_escort_monster_name2""}")</f>
        <v>{"typ":"lc","txt":"LC_MAP_escort_monster_name2"}</v>
      </c>
      <c r="F615" s="148" t="str">
        <f>IFERROR(__xludf.DUMMYFUNCTION("""COMPUTED_VALUE"""),"{""typ"":""lc"",""txt"":""LC_MAP_escort_monster_characteristics_desc2""}")</f>
        <v>{"typ":"lc","txt":"LC_MAP_escort_monster_characteristics_desc2"}</v>
      </c>
      <c r="G615" s="148">
        <f>IFERROR(__xludf.DUMMYFUNCTION("""COMPUTED_VALUE"""),10.0)</f>
        <v>10</v>
      </c>
      <c r="H615" s="148">
        <f>IFERROR(__xludf.DUMMYFUNCTION("""COMPUTED_VALUE"""),10099.0)</f>
        <v>10099</v>
      </c>
      <c r="I615" s="148">
        <f>IFERROR(__xludf.DUMMYFUNCTION("""COMPUTED_VALUE"""),10099.0)</f>
        <v>10099</v>
      </c>
      <c r="J615" s="148">
        <f>IFERROR(__xludf.DUMMYFUNCTION("""COMPUTED_VALUE"""),0.0)</f>
        <v>0</v>
      </c>
      <c r="K615" s="148">
        <f>IFERROR(__xludf.DUMMYFUNCTION("""COMPUTED_VALUE"""),10.0)</f>
        <v>10</v>
      </c>
      <c r="L615" s="148">
        <f>IFERROR(__xludf.DUMMYFUNCTION("""COMPUTED_VALUE"""),99.0)</f>
        <v>99</v>
      </c>
      <c r="M615" s="148">
        <f>IFERROR(__xludf.DUMMYFUNCTION("""COMPUTED_VALUE"""),0.0)</f>
        <v>0</v>
      </c>
      <c r="N615" s="148" t="str">
        <f>IFERROR(__xludf.DUMMYFUNCTION("""COMPUTED_VALUE"""),"[]")</f>
        <v>[]</v>
      </c>
      <c r="O615" s="148" t="str">
        <f>IFERROR(__xludf.DUMMYFUNCTION("""COMPUTED_VALUE"""),"{}")</f>
        <v>{}</v>
      </c>
      <c r="P615" s="148">
        <f>IFERROR(__xludf.DUMMYFUNCTION("""COMPUTED_VALUE"""),0.0)</f>
        <v>0</v>
      </c>
      <c r="Q615" s="148" t="str">
        <f>IFERROR(__xludf.DUMMYFUNCTION("""COMPUTED_VALUE"""),"[]")</f>
        <v>[]</v>
      </c>
      <c r="R615" s="148" t="str">
        <f>IFERROR(__xludf.DUMMYFUNCTION("""COMPUTED_VALUE"""),"{}")</f>
        <v>{}</v>
      </c>
      <c r="S615" s="148">
        <f>IFERROR(__xludf.DUMMYFUNCTION("""COMPUTED_VALUE"""),0.0)</f>
        <v>0</v>
      </c>
      <c r="T615" s="148" t="str">
        <f>IFERROR(__xludf.DUMMYFUNCTION("""COMPUTED_VALUE"""),"[]")</f>
        <v>[]</v>
      </c>
      <c r="U615" s="148">
        <f>IFERROR(__xludf.DUMMYFUNCTION("""COMPUTED_VALUE"""),0.0)</f>
        <v>0</v>
      </c>
      <c r="V615" s="148" t="str">
        <f>IFERROR(__xludf.DUMMYFUNCTION("""COMPUTED_VALUE"""),"{}")</f>
        <v>{}</v>
      </c>
      <c r="W615" s="148" t="str">
        <f>IFERROR(__xludf.DUMMYFUNCTION("""COMPUTED_VALUE"""),"[]")</f>
        <v>[]</v>
      </c>
      <c r="X615" s="148" t="str">
        <f>IFERROR(__xludf.DUMMYFUNCTION("""COMPUTED_VALUE"""),"[{""typ"":""power"",""id"":12141002,""val"":2}]")</f>
        <v>[{"typ":"power","id":12141002,"val":2}]</v>
      </c>
      <c r="Y615" s="148" t="str">
        <f>IFERROR(__xludf.DUMMYFUNCTION("""COMPUTED_VALUE"""),"[{""typ"":""atk"",""val"":15},{""typ"":""def"",""val"":125},{""typ"":""hp"",""val"":135},{""typ"":""speed"",""val"":50},{""typ"":""load"",""val"":20},{""typ"":""backcoef"",""val"":0.5},{""typ"":""atkcoef"",""val"":1.0},{""typ"":""atkcd"",""val"":0}]")</f>
        <v>[{"typ":"atk","val":15},{"typ":"def","val":125},{"typ":"hp","val":135},{"typ":"speed","val":50},{"typ":"load","val":20},{"typ":"backcoef","val":0.5},{"typ":"atkcoef","val":1.0},{"typ":"atkcd","val":0}]</v>
      </c>
      <c r="Z615" s="148" t="str">
        <f>IFERROR(__xludf.DUMMYFUNCTION("""COMPUTED_VALUE"""),"[]")</f>
        <v>[]</v>
      </c>
    </row>
    <row r="616">
      <c r="A616" s="148">
        <f>IFERROR(__xludf.DUMMYFUNCTION("""COMPUTED_VALUE"""),1.12111107E8)</f>
        <v>112111107</v>
      </c>
      <c r="B616" s="148" t="str">
        <f>IFERROR(__xludf.DUMMYFUNCTION("""COMPUTED_VALUE"""),"巅峰领土_押镖单位-绿怪2")</f>
        <v>巅峰领土_押镖单位-绿怪2</v>
      </c>
      <c r="C616" s="148">
        <f>IFERROR(__xludf.DUMMYFUNCTION("""COMPUTED_VALUE"""),1.1221004E7)</f>
        <v>11221004</v>
      </c>
      <c r="D616" s="148">
        <f>IFERROR(__xludf.DUMMYFUNCTION("""COMPUTED_VALUE"""),1.5113E7)</f>
        <v>15113000</v>
      </c>
      <c r="E616" s="148" t="str">
        <f>IFERROR(__xludf.DUMMYFUNCTION("""COMPUTED_VALUE"""),"{""typ"":""lc"",""txt"":""LC_MAP_escort_monster_name2""}")</f>
        <v>{"typ":"lc","txt":"LC_MAP_escort_monster_name2"}</v>
      </c>
      <c r="F616" s="148" t="str">
        <f>IFERROR(__xludf.DUMMYFUNCTION("""COMPUTED_VALUE"""),"{""typ"":""lc"",""txt"":""LC_MAP_escort_monster_characteristics_desc2""}")</f>
        <v>{"typ":"lc","txt":"LC_MAP_escort_monster_characteristics_desc2"}</v>
      </c>
      <c r="G616" s="148">
        <f>IFERROR(__xludf.DUMMYFUNCTION("""COMPUTED_VALUE"""),10.0)</f>
        <v>10</v>
      </c>
      <c r="H616" s="148">
        <f>IFERROR(__xludf.DUMMYFUNCTION("""COMPUTED_VALUE"""),10099.0)</f>
        <v>10099</v>
      </c>
      <c r="I616" s="148">
        <f>IFERROR(__xludf.DUMMYFUNCTION("""COMPUTED_VALUE"""),10099.0)</f>
        <v>10099</v>
      </c>
      <c r="J616" s="148">
        <f>IFERROR(__xludf.DUMMYFUNCTION("""COMPUTED_VALUE"""),0.0)</f>
        <v>0</v>
      </c>
      <c r="K616" s="148">
        <f>IFERROR(__xludf.DUMMYFUNCTION("""COMPUTED_VALUE"""),10.0)</f>
        <v>10</v>
      </c>
      <c r="L616" s="148">
        <f>IFERROR(__xludf.DUMMYFUNCTION("""COMPUTED_VALUE"""),99.0)</f>
        <v>99</v>
      </c>
      <c r="M616" s="148">
        <f>IFERROR(__xludf.DUMMYFUNCTION("""COMPUTED_VALUE"""),0.0)</f>
        <v>0</v>
      </c>
      <c r="N616" s="148" t="str">
        <f>IFERROR(__xludf.DUMMYFUNCTION("""COMPUTED_VALUE"""),"[]")</f>
        <v>[]</v>
      </c>
      <c r="O616" s="148" t="str">
        <f>IFERROR(__xludf.DUMMYFUNCTION("""COMPUTED_VALUE"""),"{}")</f>
        <v>{}</v>
      </c>
      <c r="P616" s="148">
        <f>IFERROR(__xludf.DUMMYFUNCTION("""COMPUTED_VALUE"""),0.0)</f>
        <v>0</v>
      </c>
      <c r="Q616" s="148" t="str">
        <f>IFERROR(__xludf.DUMMYFUNCTION("""COMPUTED_VALUE"""),"[]")</f>
        <v>[]</v>
      </c>
      <c r="R616" s="148" t="str">
        <f>IFERROR(__xludf.DUMMYFUNCTION("""COMPUTED_VALUE"""),"{}")</f>
        <v>{}</v>
      </c>
      <c r="S616" s="148">
        <f>IFERROR(__xludf.DUMMYFUNCTION("""COMPUTED_VALUE"""),0.0)</f>
        <v>0</v>
      </c>
      <c r="T616" s="148" t="str">
        <f>IFERROR(__xludf.DUMMYFUNCTION("""COMPUTED_VALUE"""),"[]")</f>
        <v>[]</v>
      </c>
      <c r="U616" s="148">
        <f>IFERROR(__xludf.DUMMYFUNCTION("""COMPUTED_VALUE"""),0.0)</f>
        <v>0</v>
      </c>
      <c r="V616" s="148" t="str">
        <f>IFERROR(__xludf.DUMMYFUNCTION("""COMPUTED_VALUE"""),"{}")</f>
        <v>{}</v>
      </c>
      <c r="W616" s="148" t="str">
        <f>IFERROR(__xludf.DUMMYFUNCTION("""COMPUTED_VALUE"""),"[]")</f>
        <v>[]</v>
      </c>
      <c r="X616" s="148" t="str">
        <f>IFERROR(__xludf.DUMMYFUNCTION("""COMPUTED_VALUE"""),"[{""typ"":""power"",""id"":12141002,""val"":2}]")</f>
        <v>[{"typ":"power","id":12141002,"val":2}]</v>
      </c>
      <c r="Y616" s="148" t="str">
        <f>IFERROR(__xludf.DUMMYFUNCTION("""COMPUTED_VALUE"""),"[{""typ"":""atk"",""val"":30},{""typ"":""def"",""val"":125},{""typ"":""hp"",""val"":135},{""typ"":""speed"",""val"":50},{""typ"":""load"",""val"":20},{""typ"":""backcoef"",""val"":0.5},{""typ"":""atkcoef"",""val"":1.0},{""typ"":""atkcd"",""val"":0}]")</f>
        <v>[{"typ":"atk","val":30},{"typ":"def","val":125},{"typ":"hp","val":135},{"typ":"speed","val":50},{"typ":"load","val":20},{"typ":"backcoef","val":0.5},{"typ":"atkcoef","val":1.0},{"typ":"atkcd","val":0}]</v>
      </c>
      <c r="Z616" s="148" t="str">
        <f>IFERROR(__xludf.DUMMYFUNCTION("""COMPUTED_VALUE"""),"[]")</f>
        <v>[]</v>
      </c>
    </row>
    <row r="617">
      <c r="A617" s="148">
        <f>IFERROR(__xludf.DUMMYFUNCTION("""COMPUTED_VALUE"""),1.12111108E8)</f>
        <v>112111108</v>
      </c>
      <c r="B617" s="148" t="str">
        <f>IFERROR(__xludf.DUMMYFUNCTION("""COMPUTED_VALUE"""),"巅峰领土_押镖单位-绿怪3")</f>
        <v>巅峰领土_押镖单位-绿怪3</v>
      </c>
      <c r="C617" s="148">
        <f>IFERROR(__xludf.DUMMYFUNCTION("""COMPUTED_VALUE"""),1.1221004E7)</f>
        <v>11221004</v>
      </c>
      <c r="D617" s="148">
        <f>IFERROR(__xludf.DUMMYFUNCTION("""COMPUTED_VALUE"""),1.5113E7)</f>
        <v>15113000</v>
      </c>
      <c r="E617" s="148" t="str">
        <f>IFERROR(__xludf.DUMMYFUNCTION("""COMPUTED_VALUE"""),"{""typ"":""lc"",""txt"":""LC_MAP_escort_monster_name2""}")</f>
        <v>{"typ":"lc","txt":"LC_MAP_escort_monster_name2"}</v>
      </c>
      <c r="F617" s="148" t="str">
        <f>IFERROR(__xludf.DUMMYFUNCTION("""COMPUTED_VALUE"""),"{""typ"":""lc"",""txt"":""LC_MAP_escort_monster_characteristics_desc2""}")</f>
        <v>{"typ":"lc","txt":"LC_MAP_escort_monster_characteristics_desc2"}</v>
      </c>
      <c r="G617" s="148">
        <f>IFERROR(__xludf.DUMMYFUNCTION("""COMPUTED_VALUE"""),10.0)</f>
        <v>10</v>
      </c>
      <c r="H617" s="148">
        <f>IFERROR(__xludf.DUMMYFUNCTION("""COMPUTED_VALUE"""),10099.0)</f>
        <v>10099</v>
      </c>
      <c r="I617" s="148">
        <f>IFERROR(__xludf.DUMMYFUNCTION("""COMPUTED_VALUE"""),10099.0)</f>
        <v>10099</v>
      </c>
      <c r="J617" s="148">
        <f>IFERROR(__xludf.DUMMYFUNCTION("""COMPUTED_VALUE"""),0.0)</f>
        <v>0</v>
      </c>
      <c r="K617" s="148">
        <f>IFERROR(__xludf.DUMMYFUNCTION("""COMPUTED_VALUE"""),10.0)</f>
        <v>10</v>
      </c>
      <c r="L617" s="148">
        <f>IFERROR(__xludf.DUMMYFUNCTION("""COMPUTED_VALUE"""),99.0)</f>
        <v>99</v>
      </c>
      <c r="M617" s="148">
        <f>IFERROR(__xludf.DUMMYFUNCTION("""COMPUTED_VALUE"""),0.0)</f>
        <v>0</v>
      </c>
      <c r="N617" s="148" t="str">
        <f>IFERROR(__xludf.DUMMYFUNCTION("""COMPUTED_VALUE"""),"[]")</f>
        <v>[]</v>
      </c>
      <c r="O617" s="148" t="str">
        <f>IFERROR(__xludf.DUMMYFUNCTION("""COMPUTED_VALUE"""),"{}")</f>
        <v>{}</v>
      </c>
      <c r="P617" s="148">
        <f>IFERROR(__xludf.DUMMYFUNCTION("""COMPUTED_VALUE"""),0.0)</f>
        <v>0</v>
      </c>
      <c r="Q617" s="148" t="str">
        <f>IFERROR(__xludf.DUMMYFUNCTION("""COMPUTED_VALUE"""),"[]")</f>
        <v>[]</v>
      </c>
      <c r="R617" s="148" t="str">
        <f>IFERROR(__xludf.DUMMYFUNCTION("""COMPUTED_VALUE"""),"{}")</f>
        <v>{}</v>
      </c>
      <c r="S617" s="148">
        <f>IFERROR(__xludf.DUMMYFUNCTION("""COMPUTED_VALUE"""),0.0)</f>
        <v>0</v>
      </c>
      <c r="T617" s="148" t="str">
        <f>IFERROR(__xludf.DUMMYFUNCTION("""COMPUTED_VALUE"""),"[]")</f>
        <v>[]</v>
      </c>
      <c r="U617" s="148">
        <f>IFERROR(__xludf.DUMMYFUNCTION("""COMPUTED_VALUE"""),0.0)</f>
        <v>0</v>
      </c>
      <c r="V617" s="148" t="str">
        <f>IFERROR(__xludf.DUMMYFUNCTION("""COMPUTED_VALUE"""),"{}")</f>
        <v>{}</v>
      </c>
      <c r="W617" s="148" t="str">
        <f>IFERROR(__xludf.DUMMYFUNCTION("""COMPUTED_VALUE"""),"[]")</f>
        <v>[]</v>
      </c>
      <c r="X617" s="148" t="str">
        <f>IFERROR(__xludf.DUMMYFUNCTION("""COMPUTED_VALUE"""),"[{""typ"":""power"",""id"":12141002,""val"":2}]")</f>
        <v>[{"typ":"power","id":12141002,"val":2}]</v>
      </c>
      <c r="Y617" s="148" t="str">
        <f>IFERROR(__xludf.DUMMYFUNCTION("""COMPUTED_VALUE"""),"[{""typ"":""atk"",""val"":60},{""typ"":""def"",""val"":125},{""typ"":""hp"",""val"":135},{""typ"":""speed"",""val"":50},{""typ"":""load"",""val"":20},{""typ"":""backcoef"",""val"":0.5},{""typ"":""atkcoef"",""val"":1.0},{""typ"":""atkcd"",""val"":0}]")</f>
        <v>[{"typ":"atk","val":60},{"typ":"def","val":125},{"typ":"hp","val":135},{"typ":"speed","val":50},{"typ":"load","val":20},{"typ":"backcoef","val":0.5},{"typ":"atkcoef","val":1.0},{"typ":"atkcd","val":0}]</v>
      </c>
      <c r="Z617" s="148" t="str">
        <f>IFERROR(__xludf.DUMMYFUNCTION("""COMPUTED_VALUE"""),"[]")</f>
        <v>[]</v>
      </c>
    </row>
    <row r="618">
      <c r="A618" s="148">
        <f>IFERROR(__xludf.DUMMYFUNCTION("""COMPUTED_VALUE"""),1.12111109E8)</f>
        <v>112111109</v>
      </c>
      <c r="B618" s="148" t="str">
        <f>IFERROR(__xludf.DUMMYFUNCTION("""COMPUTED_VALUE"""),"巅峰领土_押镖单位-绿怪4")</f>
        <v>巅峰领土_押镖单位-绿怪4</v>
      </c>
      <c r="C618" s="148">
        <f>IFERROR(__xludf.DUMMYFUNCTION("""COMPUTED_VALUE"""),1.1221004E7)</f>
        <v>11221004</v>
      </c>
      <c r="D618" s="148">
        <f>IFERROR(__xludf.DUMMYFUNCTION("""COMPUTED_VALUE"""),1.5113E7)</f>
        <v>15113000</v>
      </c>
      <c r="E618" s="148" t="str">
        <f>IFERROR(__xludf.DUMMYFUNCTION("""COMPUTED_VALUE"""),"{""typ"":""lc"",""txt"":""LC_MAP_escort_monster_name2""}")</f>
        <v>{"typ":"lc","txt":"LC_MAP_escort_monster_name2"}</v>
      </c>
      <c r="F618" s="148" t="str">
        <f>IFERROR(__xludf.DUMMYFUNCTION("""COMPUTED_VALUE"""),"{""typ"":""lc"",""txt"":""LC_MAP_escort_monster_characteristics_desc2""}")</f>
        <v>{"typ":"lc","txt":"LC_MAP_escort_monster_characteristics_desc2"}</v>
      </c>
      <c r="G618" s="148">
        <f>IFERROR(__xludf.DUMMYFUNCTION("""COMPUTED_VALUE"""),10.0)</f>
        <v>10</v>
      </c>
      <c r="H618" s="148">
        <f>IFERROR(__xludf.DUMMYFUNCTION("""COMPUTED_VALUE"""),10099.0)</f>
        <v>10099</v>
      </c>
      <c r="I618" s="148">
        <f>IFERROR(__xludf.DUMMYFUNCTION("""COMPUTED_VALUE"""),10099.0)</f>
        <v>10099</v>
      </c>
      <c r="J618" s="148">
        <f>IFERROR(__xludf.DUMMYFUNCTION("""COMPUTED_VALUE"""),0.0)</f>
        <v>0</v>
      </c>
      <c r="K618" s="148">
        <f>IFERROR(__xludf.DUMMYFUNCTION("""COMPUTED_VALUE"""),10.0)</f>
        <v>10</v>
      </c>
      <c r="L618" s="148">
        <f>IFERROR(__xludf.DUMMYFUNCTION("""COMPUTED_VALUE"""),99.0)</f>
        <v>99</v>
      </c>
      <c r="M618" s="148">
        <f>IFERROR(__xludf.DUMMYFUNCTION("""COMPUTED_VALUE"""),0.0)</f>
        <v>0</v>
      </c>
      <c r="N618" s="148" t="str">
        <f>IFERROR(__xludf.DUMMYFUNCTION("""COMPUTED_VALUE"""),"[]")</f>
        <v>[]</v>
      </c>
      <c r="O618" s="148" t="str">
        <f>IFERROR(__xludf.DUMMYFUNCTION("""COMPUTED_VALUE"""),"{}")</f>
        <v>{}</v>
      </c>
      <c r="P618" s="148">
        <f>IFERROR(__xludf.DUMMYFUNCTION("""COMPUTED_VALUE"""),0.0)</f>
        <v>0</v>
      </c>
      <c r="Q618" s="148" t="str">
        <f>IFERROR(__xludf.DUMMYFUNCTION("""COMPUTED_VALUE"""),"[]")</f>
        <v>[]</v>
      </c>
      <c r="R618" s="148" t="str">
        <f>IFERROR(__xludf.DUMMYFUNCTION("""COMPUTED_VALUE"""),"{}")</f>
        <v>{}</v>
      </c>
      <c r="S618" s="148">
        <f>IFERROR(__xludf.DUMMYFUNCTION("""COMPUTED_VALUE"""),0.0)</f>
        <v>0</v>
      </c>
      <c r="T618" s="148" t="str">
        <f>IFERROR(__xludf.DUMMYFUNCTION("""COMPUTED_VALUE"""),"[]")</f>
        <v>[]</v>
      </c>
      <c r="U618" s="148">
        <f>IFERROR(__xludf.DUMMYFUNCTION("""COMPUTED_VALUE"""),0.0)</f>
        <v>0</v>
      </c>
      <c r="V618" s="148" t="str">
        <f>IFERROR(__xludf.DUMMYFUNCTION("""COMPUTED_VALUE"""),"{}")</f>
        <v>{}</v>
      </c>
      <c r="W618" s="148" t="str">
        <f>IFERROR(__xludf.DUMMYFUNCTION("""COMPUTED_VALUE"""),"[]")</f>
        <v>[]</v>
      </c>
      <c r="X618" s="148" t="str">
        <f>IFERROR(__xludf.DUMMYFUNCTION("""COMPUTED_VALUE"""),"[{""typ"":""power"",""id"":12141002,""val"":2}]")</f>
        <v>[{"typ":"power","id":12141002,"val":2}]</v>
      </c>
      <c r="Y618" s="148" t="str">
        <f>IFERROR(__xludf.DUMMYFUNCTION("""COMPUTED_VALUE"""),"[{""typ"":""atk"",""val"":150},{""typ"":""def"",""val"":125},{""typ"":""hp"",""val"":135},{""typ"":""speed"",""val"":50},{""typ"":""load"",""val"":20},{""typ"":""backcoef"",""val"":0.5},{""typ"":""atkcoef"",""val"":1.0},{""typ"":""atkcd"",""val"":0}]")</f>
        <v>[{"typ":"atk","val":150},{"typ":"def","val":125},{"typ":"hp","val":135},{"typ":"speed","val":50},{"typ":"load","val":20},{"typ":"backcoef","val":0.5},{"typ":"atkcoef","val":1.0},{"typ":"atkcd","val":0}]</v>
      </c>
      <c r="Z618" s="148" t="str">
        <f>IFERROR(__xludf.DUMMYFUNCTION("""COMPUTED_VALUE"""),"[]")</f>
        <v>[]</v>
      </c>
    </row>
    <row r="619">
      <c r="A619" s="148">
        <f>IFERROR(__xludf.DUMMYFUNCTION("""COMPUTED_VALUE"""),1.1211111E8)</f>
        <v>112111110</v>
      </c>
      <c r="B619" s="148" t="str">
        <f>IFERROR(__xludf.DUMMYFUNCTION("""COMPUTED_VALUE"""),"巅峰领土_押镖单位-绿怪5")</f>
        <v>巅峰领土_押镖单位-绿怪5</v>
      </c>
      <c r="C619" s="148">
        <f>IFERROR(__xludf.DUMMYFUNCTION("""COMPUTED_VALUE"""),1.1221004E7)</f>
        <v>11221004</v>
      </c>
      <c r="D619" s="148">
        <f>IFERROR(__xludf.DUMMYFUNCTION("""COMPUTED_VALUE"""),1.5113E7)</f>
        <v>15113000</v>
      </c>
      <c r="E619" s="148" t="str">
        <f>IFERROR(__xludf.DUMMYFUNCTION("""COMPUTED_VALUE"""),"{""typ"":""lc"",""txt"":""LC_MAP_escort_monster_name2""}")</f>
        <v>{"typ":"lc","txt":"LC_MAP_escort_monster_name2"}</v>
      </c>
      <c r="F619" s="148" t="str">
        <f>IFERROR(__xludf.DUMMYFUNCTION("""COMPUTED_VALUE"""),"{""typ"":""lc"",""txt"":""LC_MAP_escort_monster_characteristics_desc2""}")</f>
        <v>{"typ":"lc","txt":"LC_MAP_escort_monster_characteristics_desc2"}</v>
      </c>
      <c r="G619" s="148">
        <f>IFERROR(__xludf.DUMMYFUNCTION("""COMPUTED_VALUE"""),10.0)</f>
        <v>10</v>
      </c>
      <c r="H619" s="148">
        <f>IFERROR(__xludf.DUMMYFUNCTION("""COMPUTED_VALUE"""),10099.0)</f>
        <v>10099</v>
      </c>
      <c r="I619" s="148">
        <f>IFERROR(__xludf.DUMMYFUNCTION("""COMPUTED_VALUE"""),10099.0)</f>
        <v>10099</v>
      </c>
      <c r="J619" s="148">
        <f>IFERROR(__xludf.DUMMYFUNCTION("""COMPUTED_VALUE"""),0.0)</f>
        <v>0</v>
      </c>
      <c r="K619" s="148">
        <f>IFERROR(__xludf.DUMMYFUNCTION("""COMPUTED_VALUE"""),10.0)</f>
        <v>10</v>
      </c>
      <c r="L619" s="148">
        <f>IFERROR(__xludf.DUMMYFUNCTION("""COMPUTED_VALUE"""),99.0)</f>
        <v>99</v>
      </c>
      <c r="M619" s="148">
        <f>IFERROR(__xludf.DUMMYFUNCTION("""COMPUTED_VALUE"""),0.0)</f>
        <v>0</v>
      </c>
      <c r="N619" s="148" t="str">
        <f>IFERROR(__xludf.DUMMYFUNCTION("""COMPUTED_VALUE"""),"[]")</f>
        <v>[]</v>
      </c>
      <c r="O619" s="148" t="str">
        <f>IFERROR(__xludf.DUMMYFUNCTION("""COMPUTED_VALUE"""),"{}")</f>
        <v>{}</v>
      </c>
      <c r="P619" s="148">
        <f>IFERROR(__xludf.DUMMYFUNCTION("""COMPUTED_VALUE"""),0.0)</f>
        <v>0</v>
      </c>
      <c r="Q619" s="148" t="str">
        <f>IFERROR(__xludf.DUMMYFUNCTION("""COMPUTED_VALUE"""),"[]")</f>
        <v>[]</v>
      </c>
      <c r="R619" s="148" t="str">
        <f>IFERROR(__xludf.DUMMYFUNCTION("""COMPUTED_VALUE"""),"{}")</f>
        <v>{}</v>
      </c>
      <c r="S619" s="148">
        <f>IFERROR(__xludf.DUMMYFUNCTION("""COMPUTED_VALUE"""),0.0)</f>
        <v>0</v>
      </c>
      <c r="T619" s="148" t="str">
        <f>IFERROR(__xludf.DUMMYFUNCTION("""COMPUTED_VALUE"""),"[]")</f>
        <v>[]</v>
      </c>
      <c r="U619" s="148">
        <f>IFERROR(__xludf.DUMMYFUNCTION("""COMPUTED_VALUE"""),0.0)</f>
        <v>0</v>
      </c>
      <c r="V619" s="148" t="str">
        <f>IFERROR(__xludf.DUMMYFUNCTION("""COMPUTED_VALUE"""),"{}")</f>
        <v>{}</v>
      </c>
      <c r="W619" s="148" t="str">
        <f>IFERROR(__xludf.DUMMYFUNCTION("""COMPUTED_VALUE"""),"[]")</f>
        <v>[]</v>
      </c>
      <c r="X619" s="148" t="str">
        <f>IFERROR(__xludf.DUMMYFUNCTION("""COMPUTED_VALUE"""),"[{""typ"":""power"",""id"":12141002,""val"":2}]")</f>
        <v>[{"typ":"power","id":12141002,"val":2}]</v>
      </c>
      <c r="Y619" s="148" t="str">
        <f>IFERROR(__xludf.DUMMYFUNCTION("""COMPUTED_VALUE"""),"[{""typ"":""atk"",""val"":200},{""typ"":""def"",""val"":125},{""typ"":""hp"",""val"":135},{""typ"":""speed"",""val"":50},{""typ"":""load"",""val"":20},{""typ"":""backcoef"",""val"":0.5},{""typ"":""atkcoef"",""val"":1.0},{""typ"":""atkcd"",""val"":0}]")</f>
        <v>[{"typ":"atk","val":200},{"typ":"def","val":125},{"typ":"hp","val":135},{"typ":"speed","val":50},{"typ":"load","val":20},{"typ":"backcoef","val":0.5},{"typ":"atkcoef","val":1.0},{"typ":"atkcd","val":0}]</v>
      </c>
      <c r="Z619" s="148" t="str">
        <f>IFERROR(__xludf.DUMMYFUNCTION("""COMPUTED_VALUE"""),"[]")</f>
        <v>[]</v>
      </c>
    </row>
    <row r="620">
      <c r="A620" s="148">
        <f>IFERROR(__xludf.DUMMYFUNCTION("""COMPUTED_VALUE"""),1.12111111E8)</f>
        <v>112111111</v>
      </c>
      <c r="B620" s="148" t="str">
        <f>IFERROR(__xludf.DUMMYFUNCTION("""COMPUTED_VALUE"""),"巅峰领土_押镖单位-精英1")</f>
        <v>巅峰领土_押镖单位-精英1</v>
      </c>
      <c r="C620" s="148">
        <f>IFERROR(__xludf.DUMMYFUNCTION("""COMPUTED_VALUE"""),1.1221004E7)</f>
        <v>11221004</v>
      </c>
      <c r="D620" s="148">
        <f>IFERROR(__xludf.DUMMYFUNCTION("""COMPUTED_VALUE"""),1.5111041E7)</f>
        <v>15111041</v>
      </c>
      <c r="E620" s="148" t="str">
        <f>IFERROR(__xludf.DUMMYFUNCTION("""COMPUTED_VALUE"""),"{""typ"":""lc"",""txt"":""LC_MAP_escort_monster_name3""}")</f>
        <v>{"typ":"lc","txt":"LC_MAP_escort_monster_name3"}</v>
      </c>
      <c r="F620" s="148" t="str">
        <f>IFERROR(__xludf.DUMMYFUNCTION("""COMPUTED_VALUE"""),"{""typ"":""lc"",""txt"":""LC_MAP_escort_map_pop_ups_desc""}")</f>
        <v>{"typ":"lc","txt":"LC_MAP_escort_map_pop_ups_desc"}</v>
      </c>
      <c r="G620" s="148">
        <f>IFERROR(__xludf.DUMMYFUNCTION("""COMPUTED_VALUE"""),10.0)</f>
        <v>10</v>
      </c>
      <c r="H620" s="148">
        <f>IFERROR(__xludf.DUMMYFUNCTION("""COMPUTED_VALUE"""),10099.0)</f>
        <v>10099</v>
      </c>
      <c r="I620" s="148">
        <f>IFERROR(__xludf.DUMMYFUNCTION("""COMPUTED_VALUE"""),10099.0)</f>
        <v>10099</v>
      </c>
      <c r="J620" s="148">
        <f>IFERROR(__xludf.DUMMYFUNCTION("""COMPUTED_VALUE"""),0.0)</f>
        <v>0</v>
      </c>
      <c r="K620" s="148">
        <f>IFERROR(__xludf.DUMMYFUNCTION("""COMPUTED_VALUE"""),10.0)</f>
        <v>10</v>
      </c>
      <c r="L620" s="148">
        <f>IFERROR(__xludf.DUMMYFUNCTION("""COMPUTED_VALUE"""),99.0)</f>
        <v>99</v>
      </c>
      <c r="M620" s="148">
        <f>IFERROR(__xludf.DUMMYFUNCTION("""COMPUTED_VALUE"""),0.0)</f>
        <v>0</v>
      </c>
      <c r="N620" s="148" t="str">
        <f>IFERROR(__xludf.DUMMYFUNCTION("""COMPUTED_VALUE"""),"[]")</f>
        <v>[]</v>
      </c>
      <c r="O620" s="148" t="str">
        <f>IFERROR(__xludf.DUMMYFUNCTION("""COMPUTED_VALUE"""),"{}")</f>
        <v>{}</v>
      </c>
      <c r="P620" s="148">
        <f>IFERROR(__xludf.DUMMYFUNCTION("""COMPUTED_VALUE"""),0.0)</f>
        <v>0</v>
      </c>
      <c r="Q620" s="148" t="str">
        <f>IFERROR(__xludf.DUMMYFUNCTION("""COMPUTED_VALUE"""),"[]")</f>
        <v>[]</v>
      </c>
      <c r="R620" s="148" t="str">
        <f>IFERROR(__xludf.DUMMYFUNCTION("""COMPUTED_VALUE"""),"{}")</f>
        <v>{}</v>
      </c>
      <c r="S620" s="148">
        <f>IFERROR(__xludf.DUMMYFUNCTION("""COMPUTED_VALUE"""),0.0)</f>
        <v>0</v>
      </c>
      <c r="T620" s="148" t="str">
        <f>IFERROR(__xludf.DUMMYFUNCTION("""COMPUTED_VALUE"""),"[]")</f>
        <v>[]</v>
      </c>
      <c r="U620" s="148">
        <f>IFERROR(__xludf.DUMMYFUNCTION("""COMPUTED_VALUE"""),0.0)</f>
        <v>0</v>
      </c>
      <c r="V620" s="148" t="str">
        <f>IFERROR(__xludf.DUMMYFUNCTION("""COMPUTED_VALUE"""),"{}")</f>
        <v>{}</v>
      </c>
      <c r="W620" s="148" t="str">
        <f>IFERROR(__xludf.DUMMYFUNCTION("""COMPUTED_VALUE"""),"[]")</f>
        <v>[]</v>
      </c>
      <c r="X620" s="148" t="str">
        <f>IFERROR(__xludf.DUMMYFUNCTION("""COMPUTED_VALUE"""),"[{""typ"":""power"",""id"":12141002,""val"":5}]")</f>
        <v>[{"typ":"power","id":12141002,"val":5}]</v>
      </c>
      <c r="Y620" s="148" t="str">
        <f>IFERROR(__xludf.DUMMYFUNCTION("""COMPUTED_VALUE"""),"[{""typ"":""atk"",""val"":18},{""typ"":""def"",""val"":125},{""typ"":""hp"",""val"":135},{""typ"":""speed"",""val"":50},{""typ"":""load"",""val"":20},{""typ"":""backcoef"",""val"":0.5},{""typ"":""atkcoef"",""val"":1.0},{""typ"":""atkcd"",""val"":0}]")</f>
        <v>[{"typ":"atk","val":18},{"typ":"def","val":125},{"typ":"hp","val":135},{"typ":"speed","val":50},{"typ":"load","val":20},{"typ":"backcoef","val":0.5},{"typ":"atkcoef","val":1.0},{"typ":"atkcd","val":0}]</v>
      </c>
      <c r="Z620" s="148" t="str">
        <f>IFERROR(__xludf.DUMMYFUNCTION("""COMPUTED_VALUE"""),"[]")</f>
        <v>[]</v>
      </c>
    </row>
    <row r="621">
      <c r="A621" s="148">
        <f>IFERROR(__xludf.DUMMYFUNCTION("""COMPUTED_VALUE"""),1.12111112E8)</f>
        <v>112111112</v>
      </c>
      <c r="B621" s="148" t="str">
        <f>IFERROR(__xludf.DUMMYFUNCTION("""COMPUTED_VALUE"""),"巅峰领土_押镖单位-精英2")</f>
        <v>巅峰领土_押镖单位-精英2</v>
      </c>
      <c r="C621" s="148">
        <f>IFERROR(__xludf.DUMMYFUNCTION("""COMPUTED_VALUE"""),1.1221004E7)</f>
        <v>11221004</v>
      </c>
      <c r="D621" s="148">
        <f>IFERROR(__xludf.DUMMYFUNCTION("""COMPUTED_VALUE"""),1.5111041E7)</f>
        <v>15111041</v>
      </c>
      <c r="E621" s="148" t="str">
        <f>IFERROR(__xludf.DUMMYFUNCTION("""COMPUTED_VALUE"""),"{""typ"":""lc"",""txt"":""LC_MAP_escort_monster_name3""}")</f>
        <v>{"typ":"lc","txt":"LC_MAP_escort_monster_name3"}</v>
      </c>
      <c r="F621" s="148" t="str">
        <f>IFERROR(__xludf.DUMMYFUNCTION("""COMPUTED_VALUE"""),"{""typ"":""lc"",""txt"":""LC_MAP_escort_map_pop_ups_desc""}")</f>
        <v>{"typ":"lc","txt":"LC_MAP_escort_map_pop_ups_desc"}</v>
      </c>
      <c r="G621" s="148">
        <f>IFERROR(__xludf.DUMMYFUNCTION("""COMPUTED_VALUE"""),10.0)</f>
        <v>10</v>
      </c>
      <c r="H621" s="148">
        <f>IFERROR(__xludf.DUMMYFUNCTION("""COMPUTED_VALUE"""),10099.0)</f>
        <v>10099</v>
      </c>
      <c r="I621" s="148">
        <f>IFERROR(__xludf.DUMMYFUNCTION("""COMPUTED_VALUE"""),10099.0)</f>
        <v>10099</v>
      </c>
      <c r="J621" s="148">
        <f>IFERROR(__xludf.DUMMYFUNCTION("""COMPUTED_VALUE"""),0.0)</f>
        <v>0</v>
      </c>
      <c r="K621" s="148">
        <f>IFERROR(__xludf.DUMMYFUNCTION("""COMPUTED_VALUE"""),10.0)</f>
        <v>10</v>
      </c>
      <c r="L621" s="148">
        <f>IFERROR(__xludf.DUMMYFUNCTION("""COMPUTED_VALUE"""),99.0)</f>
        <v>99</v>
      </c>
      <c r="M621" s="148">
        <f>IFERROR(__xludf.DUMMYFUNCTION("""COMPUTED_VALUE"""),0.0)</f>
        <v>0</v>
      </c>
      <c r="N621" s="148" t="str">
        <f>IFERROR(__xludf.DUMMYFUNCTION("""COMPUTED_VALUE"""),"[]")</f>
        <v>[]</v>
      </c>
      <c r="O621" s="148" t="str">
        <f>IFERROR(__xludf.DUMMYFUNCTION("""COMPUTED_VALUE"""),"{}")</f>
        <v>{}</v>
      </c>
      <c r="P621" s="148">
        <f>IFERROR(__xludf.DUMMYFUNCTION("""COMPUTED_VALUE"""),0.0)</f>
        <v>0</v>
      </c>
      <c r="Q621" s="148" t="str">
        <f>IFERROR(__xludf.DUMMYFUNCTION("""COMPUTED_VALUE"""),"[]")</f>
        <v>[]</v>
      </c>
      <c r="R621" s="148" t="str">
        <f>IFERROR(__xludf.DUMMYFUNCTION("""COMPUTED_VALUE"""),"{}")</f>
        <v>{}</v>
      </c>
      <c r="S621" s="148">
        <f>IFERROR(__xludf.DUMMYFUNCTION("""COMPUTED_VALUE"""),0.0)</f>
        <v>0</v>
      </c>
      <c r="T621" s="148" t="str">
        <f>IFERROR(__xludf.DUMMYFUNCTION("""COMPUTED_VALUE"""),"[]")</f>
        <v>[]</v>
      </c>
      <c r="U621" s="148">
        <f>IFERROR(__xludf.DUMMYFUNCTION("""COMPUTED_VALUE"""),0.0)</f>
        <v>0</v>
      </c>
      <c r="V621" s="148" t="str">
        <f>IFERROR(__xludf.DUMMYFUNCTION("""COMPUTED_VALUE"""),"{}")</f>
        <v>{}</v>
      </c>
      <c r="W621" s="148" t="str">
        <f>IFERROR(__xludf.DUMMYFUNCTION("""COMPUTED_VALUE"""),"[]")</f>
        <v>[]</v>
      </c>
      <c r="X621" s="148" t="str">
        <f>IFERROR(__xludf.DUMMYFUNCTION("""COMPUTED_VALUE"""),"[{""typ"":""power"",""id"":12141002,""val"":5}]")</f>
        <v>[{"typ":"power","id":12141002,"val":5}]</v>
      </c>
      <c r="Y621" s="148" t="str">
        <f>IFERROR(__xludf.DUMMYFUNCTION("""COMPUTED_VALUE"""),"[{""typ"":""atk"",""val"":36},{""typ"":""def"",""val"":125},{""typ"":""hp"",""val"":135},{""typ"":""speed"",""val"":50},{""typ"":""load"",""val"":20},{""typ"":""backcoef"",""val"":0.5},{""typ"":""atkcoef"",""val"":1.0},{""typ"":""atkcd"",""val"":0}]")</f>
        <v>[{"typ":"atk","val":36},{"typ":"def","val":125},{"typ":"hp","val":135},{"typ":"speed","val":50},{"typ":"load","val":20},{"typ":"backcoef","val":0.5},{"typ":"atkcoef","val":1.0},{"typ":"atkcd","val":0}]</v>
      </c>
      <c r="Z621" s="148" t="str">
        <f>IFERROR(__xludf.DUMMYFUNCTION("""COMPUTED_VALUE"""),"[]")</f>
        <v>[]</v>
      </c>
    </row>
    <row r="622">
      <c r="A622" s="148">
        <f>IFERROR(__xludf.DUMMYFUNCTION("""COMPUTED_VALUE"""),1.12111113E8)</f>
        <v>112111113</v>
      </c>
      <c r="B622" s="148" t="str">
        <f>IFERROR(__xludf.DUMMYFUNCTION("""COMPUTED_VALUE"""),"巅峰领土_押镖单位-精英3")</f>
        <v>巅峰领土_押镖单位-精英3</v>
      </c>
      <c r="C622" s="148">
        <f>IFERROR(__xludf.DUMMYFUNCTION("""COMPUTED_VALUE"""),1.1221004E7)</f>
        <v>11221004</v>
      </c>
      <c r="D622" s="148">
        <f>IFERROR(__xludf.DUMMYFUNCTION("""COMPUTED_VALUE"""),1.5111041E7)</f>
        <v>15111041</v>
      </c>
      <c r="E622" s="148" t="str">
        <f>IFERROR(__xludf.DUMMYFUNCTION("""COMPUTED_VALUE"""),"{""typ"":""lc"",""txt"":""LC_MAP_escort_monster_name3""}")</f>
        <v>{"typ":"lc","txt":"LC_MAP_escort_monster_name3"}</v>
      </c>
      <c r="F622" s="148" t="str">
        <f>IFERROR(__xludf.DUMMYFUNCTION("""COMPUTED_VALUE"""),"{""typ"":""lc"",""txt"":""LC_MAP_escort_map_pop_ups_desc""}")</f>
        <v>{"typ":"lc","txt":"LC_MAP_escort_map_pop_ups_desc"}</v>
      </c>
      <c r="G622" s="148">
        <f>IFERROR(__xludf.DUMMYFUNCTION("""COMPUTED_VALUE"""),10.0)</f>
        <v>10</v>
      </c>
      <c r="H622" s="148">
        <f>IFERROR(__xludf.DUMMYFUNCTION("""COMPUTED_VALUE"""),10099.0)</f>
        <v>10099</v>
      </c>
      <c r="I622" s="148">
        <f>IFERROR(__xludf.DUMMYFUNCTION("""COMPUTED_VALUE"""),10099.0)</f>
        <v>10099</v>
      </c>
      <c r="J622" s="148">
        <f>IFERROR(__xludf.DUMMYFUNCTION("""COMPUTED_VALUE"""),0.0)</f>
        <v>0</v>
      </c>
      <c r="K622" s="148">
        <f>IFERROR(__xludf.DUMMYFUNCTION("""COMPUTED_VALUE"""),10.0)</f>
        <v>10</v>
      </c>
      <c r="L622" s="148">
        <f>IFERROR(__xludf.DUMMYFUNCTION("""COMPUTED_VALUE"""),99.0)</f>
        <v>99</v>
      </c>
      <c r="M622" s="148">
        <f>IFERROR(__xludf.DUMMYFUNCTION("""COMPUTED_VALUE"""),0.0)</f>
        <v>0</v>
      </c>
      <c r="N622" s="148" t="str">
        <f>IFERROR(__xludf.DUMMYFUNCTION("""COMPUTED_VALUE"""),"[]")</f>
        <v>[]</v>
      </c>
      <c r="O622" s="148" t="str">
        <f>IFERROR(__xludf.DUMMYFUNCTION("""COMPUTED_VALUE"""),"{}")</f>
        <v>{}</v>
      </c>
      <c r="P622" s="148">
        <f>IFERROR(__xludf.DUMMYFUNCTION("""COMPUTED_VALUE"""),0.0)</f>
        <v>0</v>
      </c>
      <c r="Q622" s="148" t="str">
        <f>IFERROR(__xludf.DUMMYFUNCTION("""COMPUTED_VALUE"""),"[]")</f>
        <v>[]</v>
      </c>
      <c r="R622" s="148" t="str">
        <f>IFERROR(__xludf.DUMMYFUNCTION("""COMPUTED_VALUE"""),"{}")</f>
        <v>{}</v>
      </c>
      <c r="S622" s="148">
        <f>IFERROR(__xludf.DUMMYFUNCTION("""COMPUTED_VALUE"""),0.0)</f>
        <v>0</v>
      </c>
      <c r="T622" s="148" t="str">
        <f>IFERROR(__xludf.DUMMYFUNCTION("""COMPUTED_VALUE"""),"[]")</f>
        <v>[]</v>
      </c>
      <c r="U622" s="148">
        <f>IFERROR(__xludf.DUMMYFUNCTION("""COMPUTED_VALUE"""),0.0)</f>
        <v>0</v>
      </c>
      <c r="V622" s="148" t="str">
        <f>IFERROR(__xludf.DUMMYFUNCTION("""COMPUTED_VALUE"""),"{}")</f>
        <v>{}</v>
      </c>
      <c r="W622" s="148" t="str">
        <f>IFERROR(__xludf.DUMMYFUNCTION("""COMPUTED_VALUE"""),"[]")</f>
        <v>[]</v>
      </c>
      <c r="X622" s="148" t="str">
        <f>IFERROR(__xludf.DUMMYFUNCTION("""COMPUTED_VALUE"""),"[{""typ"":""power"",""id"":12141002,""val"":5}]")</f>
        <v>[{"typ":"power","id":12141002,"val":5}]</v>
      </c>
      <c r="Y622" s="148" t="str">
        <f>IFERROR(__xludf.DUMMYFUNCTION("""COMPUTED_VALUE"""),"[{""typ"":""atk"",""val"":72},{""typ"":""def"",""val"":125},{""typ"":""hp"",""val"":135},{""typ"":""speed"",""val"":50},{""typ"":""load"",""val"":20},{""typ"":""backcoef"",""val"":0.5},{""typ"":""atkcoef"",""val"":1.0},{""typ"":""atkcd"",""val"":0}]")</f>
        <v>[{"typ":"atk","val":72},{"typ":"def","val":125},{"typ":"hp","val":135},{"typ":"speed","val":50},{"typ":"load","val":20},{"typ":"backcoef","val":0.5},{"typ":"atkcoef","val":1.0},{"typ":"atkcd","val":0}]</v>
      </c>
      <c r="Z622" s="148" t="str">
        <f>IFERROR(__xludf.DUMMYFUNCTION("""COMPUTED_VALUE"""),"[]")</f>
        <v>[]</v>
      </c>
    </row>
    <row r="623">
      <c r="A623" s="148">
        <f>IFERROR(__xludf.DUMMYFUNCTION("""COMPUTED_VALUE"""),1.12111114E8)</f>
        <v>112111114</v>
      </c>
      <c r="B623" s="148" t="str">
        <f>IFERROR(__xludf.DUMMYFUNCTION("""COMPUTED_VALUE"""),"巅峰领土_押镖单位-精英4")</f>
        <v>巅峰领土_押镖单位-精英4</v>
      </c>
      <c r="C623" s="148">
        <f>IFERROR(__xludf.DUMMYFUNCTION("""COMPUTED_VALUE"""),1.1221004E7)</f>
        <v>11221004</v>
      </c>
      <c r="D623" s="148">
        <f>IFERROR(__xludf.DUMMYFUNCTION("""COMPUTED_VALUE"""),1.5111041E7)</f>
        <v>15111041</v>
      </c>
      <c r="E623" s="148" t="str">
        <f>IFERROR(__xludf.DUMMYFUNCTION("""COMPUTED_VALUE"""),"{""typ"":""lc"",""txt"":""LC_MAP_escort_monster_name3""}")</f>
        <v>{"typ":"lc","txt":"LC_MAP_escort_monster_name3"}</v>
      </c>
      <c r="F623" s="148" t="str">
        <f>IFERROR(__xludf.DUMMYFUNCTION("""COMPUTED_VALUE"""),"{""typ"":""lc"",""txt"":""LC_MAP_escort_map_pop_ups_desc""}")</f>
        <v>{"typ":"lc","txt":"LC_MAP_escort_map_pop_ups_desc"}</v>
      </c>
      <c r="G623" s="148">
        <f>IFERROR(__xludf.DUMMYFUNCTION("""COMPUTED_VALUE"""),10.0)</f>
        <v>10</v>
      </c>
      <c r="H623" s="148">
        <f>IFERROR(__xludf.DUMMYFUNCTION("""COMPUTED_VALUE"""),10099.0)</f>
        <v>10099</v>
      </c>
      <c r="I623" s="148">
        <f>IFERROR(__xludf.DUMMYFUNCTION("""COMPUTED_VALUE"""),10099.0)</f>
        <v>10099</v>
      </c>
      <c r="J623" s="148">
        <f>IFERROR(__xludf.DUMMYFUNCTION("""COMPUTED_VALUE"""),0.0)</f>
        <v>0</v>
      </c>
      <c r="K623" s="148">
        <f>IFERROR(__xludf.DUMMYFUNCTION("""COMPUTED_VALUE"""),10.0)</f>
        <v>10</v>
      </c>
      <c r="L623" s="148">
        <f>IFERROR(__xludf.DUMMYFUNCTION("""COMPUTED_VALUE"""),99.0)</f>
        <v>99</v>
      </c>
      <c r="M623" s="148">
        <f>IFERROR(__xludf.DUMMYFUNCTION("""COMPUTED_VALUE"""),0.0)</f>
        <v>0</v>
      </c>
      <c r="N623" s="148" t="str">
        <f>IFERROR(__xludf.DUMMYFUNCTION("""COMPUTED_VALUE"""),"[]")</f>
        <v>[]</v>
      </c>
      <c r="O623" s="148" t="str">
        <f>IFERROR(__xludf.DUMMYFUNCTION("""COMPUTED_VALUE"""),"{}")</f>
        <v>{}</v>
      </c>
      <c r="P623" s="148">
        <f>IFERROR(__xludf.DUMMYFUNCTION("""COMPUTED_VALUE"""),0.0)</f>
        <v>0</v>
      </c>
      <c r="Q623" s="148" t="str">
        <f>IFERROR(__xludf.DUMMYFUNCTION("""COMPUTED_VALUE"""),"[]")</f>
        <v>[]</v>
      </c>
      <c r="R623" s="148" t="str">
        <f>IFERROR(__xludf.DUMMYFUNCTION("""COMPUTED_VALUE"""),"{}")</f>
        <v>{}</v>
      </c>
      <c r="S623" s="148">
        <f>IFERROR(__xludf.DUMMYFUNCTION("""COMPUTED_VALUE"""),0.0)</f>
        <v>0</v>
      </c>
      <c r="T623" s="148" t="str">
        <f>IFERROR(__xludf.DUMMYFUNCTION("""COMPUTED_VALUE"""),"[]")</f>
        <v>[]</v>
      </c>
      <c r="U623" s="148">
        <f>IFERROR(__xludf.DUMMYFUNCTION("""COMPUTED_VALUE"""),0.0)</f>
        <v>0</v>
      </c>
      <c r="V623" s="148" t="str">
        <f>IFERROR(__xludf.DUMMYFUNCTION("""COMPUTED_VALUE"""),"{}")</f>
        <v>{}</v>
      </c>
      <c r="W623" s="148" t="str">
        <f>IFERROR(__xludf.DUMMYFUNCTION("""COMPUTED_VALUE"""),"[]")</f>
        <v>[]</v>
      </c>
      <c r="X623" s="148" t="str">
        <f>IFERROR(__xludf.DUMMYFUNCTION("""COMPUTED_VALUE"""),"[{""typ"":""power"",""id"":12141002,""val"":5}]")</f>
        <v>[{"typ":"power","id":12141002,"val":5}]</v>
      </c>
      <c r="Y623" s="148" t="str">
        <f>IFERROR(__xludf.DUMMYFUNCTION("""COMPUTED_VALUE"""),"[{""typ"":""atk"",""val"":180},{""typ"":""def"",""val"":125},{""typ"":""hp"",""val"":135},{""typ"":""speed"",""val"":50},{""typ"":""load"",""val"":20},{""typ"":""backcoef"",""val"":0.5},{""typ"":""atkcoef"",""val"":1.0},{""typ"":""atkcd"",""val"":0}]")</f>
        <v>[{"typ":"atk","val":180},{"typ":"def","val":125},{"typ":"hp","val":135},{"typ":"speed","val":50},{"typ":"load","val":20},{"typ":"backcoef","val":0.5},{"typ":"atkcoef","val":1.0},{"typ":"atkcd","val":0}]</v>
      </c>
      <c r="Z623" s="148" t="str">
        <f>IFERROR(__xludf.DUMMYFUNCTION("""COMPUTED_VALUE"""),"[]")</f>
        <v>[]</v>
      </c>
    </row>
    <row r="624">
      <c r="A624" s="148">
        <f>IFERROR(__xludf.DUMMYFUNCTION("""COMPUTED_VALUE"""),1.12111115E8)</f>
        <v>112111115</v>
      </c>
      <c r="B624" s="148" t="str">
        <f>IFERROR(__xludf.DUMMYFUNCTION("""COMPUTED_VALUE"""),"巅峰领土_押镖单位-精英5")</f>
        <v>巅峰领土_押镖单位-精英5</v>
      </c>
      <c r="C624" s="148">
        <f>IFERROR(__xludf.DUMMYFUNCTION("""COMPUTED_VALUE"""),1.1221004E7)</f>
        <v>11221004</v>
      </c>
      <c r="D624" s="148">
        <f>IFERROR(__xludf.DUMMYFUNCTION("""COMPUTED_VALUE"""),1.5111041E7)</f>
        <v>15111041</v>
      </c>
      <c r="E624" s="148" t="str">
        <f>IFERROR(__xludf.DUMMYFUNCTION("""COMPUTED_VALUE"""),"{""typ"":""lc"",""txt"":""LC_MAP_escort_monster_name3""}")</f>
        <v>{"typ":"lc","txt":"LC_MAP_escort_monster_name3"}</v>
      </c>
      <c r="F624" s="148" t="str">
        <f>IFERROR(__xludf.DUMMYFUNCTION("""COMPUTED_VALUE"""),"{""typ"":""lc"",""txt"":""LC_MAP_escort_map_pop_ups_desc""}")</f>
        <v>{"typ":"lc","txt":"LC_MAP_escort_map_pop_ups_desc"}</v>
      </c>
      <c r="G624" s="148">
        <f>IFERROR(__xludf.DUMMYFUNCTION("""COMPUTED_VALUE"""),10.0)</f>
        <v>10</v>
      </c>
      <c r="H624" s="148">
        <f>IFERROR(__xludf.DUMMYFUNCTION("""COMPUTED_VALUE"""),10099.0)</f>
        <v>10099</v>
      </c>
      <c r="I624" s="148">
        <f>IFERROR(__xludf.DUMMYFUNCTION("""COMPUTED_VALUE"""),10099.0)</f>
        <v>10099</v>
      </c>
      <c r="J624" s="148">
        <f>IFERROR(__xludf.DUMMYFUNCTION("""COMPUTED_VALUE"""),0.0)</f>
        <v>0</v>
      </c>
      <c r="K624" s="148">
        <f>IFERROR(__xludf.DUMMYFUNCTION("""COMPUTED_VALUE"""),10.0)</f>
        <v>10</v>
      </c>
      <c r="L624" s="148">
        <f>IFERROR(__xludf.DUMMYFUNCTION("""COMPUTED_VALUE"""),99.0)</f>
        <v>99</v>
      </c>
      <c r="M624" s="148">
        <f>IFERROR(__xludf.DUMMYFUNCTION("""COMPUTED_VALUE"""),0.0)</f>
        <v>0</v>
      </c>
      <c r="N624" s="148" t="str">
        <f>IFERROR(__xludf.DUMMYFUNCTION("""COMPUTED_VALUE"""),"[]")</f>
        <v>[]</v>
      </c>
      <c r="O624" s="148" t="str">
        <f>IFERROR(__xludf.DUMMYFUNCTION("""COMPUTED_VALUE"""),"{}")</f>
        <v>{}</v>
      </c>
      <c r="P624" s="148">
        <f>IFERROR(__xludf.DUMMYFUNCTION("""COMPUTED_VALUE"""),0.0)</f>
        <v>0</v>
      </c>
      <c r="Q624" s="148" t="str">
        <f>IFERROR(__xludf.DUMMYFUNCTION("""COMPUTED_VALUE"""),"[]")</f>
        <v>[]</v>
      </c>
      <c r="R624" s="148" t="str">
        <f>IFERROR(__xludf.DUMMYFUNCTION("""COMPUTED_VALUE"""),"{}")</f>
        <v>{}</v>
      </c>
      <c r="S624" s="148">
        <f>IFERROR(__xludf.DUMMYFUNCTION("""COMPUTED_VALUE"""),0.0)</f>
        <v>0</v>
      </c>
      <c r="T624" s="148" t="str">
        <f>IFERROR(__xludf.DUMMYFUNCTION("""COMPUTED_VALUE"""),"[]")</f>
        <v>[]</v>
      </c>
      <c r="U624" s="148">
        <f>IFERROR(__xludf.DUMMYFUNCTION("""COMPUTED_VALUE"""),0.0)</f>
        <v>0</v>
      </c>
      <c r="V624" s="148" t="str">
        <f>IFERROR(__xludf.DUMMYFUNCTION("""COMPUTED_VALUE"""),"{}")</f>
        <v>{}</v>
      </c>
      <c r="W624" s="148" t="str">
        <f>IFERROR(__xludf.DUMMYFUNCTION("""COMPUTED_VALUE"""),"[]")</f>
        <v>[]</v>
      </c>
      <c r="X624" s="148" t="str">
        <f>IFERROR(__xludf.DUMMYFUNCTION("""COMPUTED_VALUE"""),"[{""typ"":""power"",""id"":12141002,""val"":5}]")</f>
        <v>[{"typ":"power","id":12141002,"val":5}]</v>
      </c>
      <c r="Y624" s="148" t="str">
        <f>IFERROR(__xludf.DUMMYFUNCTION("""COMPUTED_VALUE"""),"[{""typ"":""atk"",""val"":240},{""typ"":""def"",""val"":125},{""typ"":""hp"",""val"":135},{""typ"":""speed"",""val"":50},{""typ"":""load"",""val"":20},{""typ"":""backcoef"",""val"":0.5},{""typ"":""atkcoef"",""val"":1.0},{""typ"":""atkcd"",""val"":0}]")</f>
        <v>[{"typ":"atk","val":240},{"typ":"def","val":125},{"typ":"hp","val":135},{"typ":"speed","val":50},{"typ":"load","val":20},{"typ":"backcoef","val":0.5},{"typ":"atkcoef","val":1.0},{"typ":"atkcd","val":0}]</v>
      </c>
      <c r="Z624" s="148" t="str">
        <f>IFERROR(__xludf.DUMMYFUNCTION("""COMPUTED_VALUE"""),"[]")</f>
        <v>[]</v>
      </c>
    </row>
    <row r="625">
      <c r="A625" s="148">
        <f>IFERROR(__xludf.DUMMYFUNCTION("""COMPUTED_VALUE"""),1.12111116E8)</f>
        <v>112111116</v>
      </c>
      <c r="B625" s="148" t="str">
        <f>IFERROR(__xludf.DUMMYFUNCTION("""COMPUTED_VALUE"""),"巅峰领土_押镖单位-BOSS1")</f>
        <v>巅峰领土_押镖单位-BOSS1</v>
      </c>
      <c r="C625" s="148">
        <f>IFERROR(__xludf.DUMMYFUNCTION("""COMPUTED_VALUE"""),1.1221004E7)</f>
        <v>11221004</v>
      </c>
      <c r="D625" s="148">
        <f>IFERROR(__xludf.DUMMYFUNCTION("""COMPUTED_VALUE"""),1.5111315E7)</f>
        <v>15111315</v>
      </c>
      <c r="E625" s="148" t="str">
        <f>IFERROR(__xludf.DUMMYFUNCTION("""COMPUTED_VALUE"""),"{""typ"":""lc"",""txt"":""LC_MAP_escort_monster_name4""}")</f>
        <v>{"typ":"lc","txt":"LC_MAP_escort_monster_name4"}</v>
      </c>
      <c r="F625" s="148" t="str">
        <f>IFERROR(__xludf.DUMMYFUNCTION("""COMPUTED_VALUE"""),"{""typ"":""lc"",""txt"":""LC_MAP_escort_map_pop_ups_desc""}")</f>
        <v>{"typ":"lc","txt":"LC_MAP_escort_map_pop_ups_desc"}</v>
      </c>
      <c r="G625" s="148">
        <f>IFERROR(__xludf.DUMMYFUNCTION("""COMPUTED_VALUE"""),10.0)</f>
        <v>10</v>
      </c>
      <c r="H625" s="148">
        <f>IFERROR(__xludf.DUMMYFUNCTION("""COMPUTED_VALUE"""),10099.0)</f>
        <v>10099</v>
      </c>
      <c r="I625" s="148">
        <f>IFERROR(__xludf.DUMMYFUNCTION("""COMPUTED_VALUE"""),10099.0)</f>
        <v>10099</v>
      </c>
      <c r="J625" s="148">
        <f>IFERROR(__xludf.DUMMYFUNCTION("""COMPUTED_VALUE"""),0.0)</f>
        <v>0</v>
      </c>
      <c r="K625" s="148">
        <f>IFERROR(__xludf.DUMMYFUNCTION("""COMPUTED_VALUE"""),10.0)</f>
        <v>10</v>
      </c>
      <c r="L625" s="148">
        <f>IFERROR(__xludf.DUMMYFUNCTION("""COMPUTED_VALUE"""),99.0)</f>
        <v>99</v>
      </c>
      <c r="M625" s="148">
        <f>IFERROR(__xludf.DUMMYFUNCTION("""COMPUTED_VALUE"""),0.0)</f>
        <v>0</v>
      </c>
      <c r="N625" s="148" t="str">
        <f>IFERROR(__xludf.DUMMYFUNCTION("""COMPUTED_VALUE"""),"[]")</f>
        <v>[]</v>
      </c>
      <c r="O625" s="148" t="str">
        <f>IFERROR(__xludf.DUMMYFUNCTION("""COMPUTED_VALUE"""),"{}")</f>
        <v>{}</v>
      </c>
      <c r="P625" s="148">
        <f>IFERROR(__xludf.DUMMYFUNCTION("""COMPUTED_VALUE"""),0.0)</f>
        <v>0</v>
      </c>
      <c r="Q625" s="148" t="str">
        <f>IFERROR(__xludf.DUMMYFUNCTION("""COMPUTED_VALUE"""),"[]")</f>
        <v>[]</v>
      </c>
      <c r="R625" s="148" t="str">
        <f>IFERROR(__xludf.DUMMYFUNCTION("""COMPUTED_VALUE"""),"{}")</f>
        <v>{}</v>
      </c>
      <c r="S625" s="148">
        <f>IFERROR(__xludf.DUMMYFUNCTION("""COMPUTED_VALUE"""),0.0)</f>
        <v>0</v>
      </c>
      <c r="T625" s="148" t="str">
        <f>IFERROR(__xludf.DUMMYFUNCTION("""COMPUTED_VALUE"""),"[]")</f>
        <v>[]</v>
      </c>
      <c r="U625" s="148">
        <f>IFERROR(__xludf.DUMMYFUNCTION("""COMPUTED_VALUE"""),0.0)</f>
        <v>0</v>
      </c>
      <c r="V625" s="148" t="str">
        <f>IFERROR(__xludf.DUMMYFUNCTION("""COMPUTED_VALUE"""),"{}")</f>
        <v>{}</v>
      </c>
      <c r="W625" s="148" t="str">
        <f>IFERROR(__xludf.DUMMYFUNCTION("""COMPUTED_VALUE"""),"[]")</f>
        <v>[]</v>
      </c>
      <c r="X625" s="148" t="str">
        <f>IFERROR(__xludf.DUMMYFUNCTION("""COMPUTED_VALUE"""),"[{""typ"":""power"",""id"":12141002,""val"":10}]")</f>
        <v>[{"typ":"power","id":12141002,"val":10}]</v>
      </c>
      <c r="Y625" s="148" t="str">
        <f>IFERROR(__xludf.DUMMYFUNCTION("""COMPUTED_VALUE"""),"[{""typ"":""atk"",""val"":30},{""typ"":""def"",""val"":125},{""typ"":""hp"",""val"":135},{""typ"":""speed"",""val"":50},{""typ"":""load"",""val"":20},{""typ"":""backcoef"",""val"":0.5},{""typ"":""atkcoef"",""val"":1.0},{""typ"":""atkcd"",""val"":0}]")</f>
        <v>[{"typ":"atk","val":30},{"typ":"def","val":125},{"typ":"hp","val":135},{"typ":"speed","val":50},{"typ":"load","val":20},{"typ":"backcoef","val":0.5},{"typ":"atkcoef","val":1.0},{"typ":"atkcd","val":0}]</v>
      </c>
      <c r="Z625" s="148" t="str">
        <f>IFERROR(__xludf.DUMMYFUNCTION("""COMPUTED_VALUE"""),"[]")</f>
        <v>[]</v>
      </c>
    </row>
    <row r="626">
      <c r="A626" s="148">
        <f>IFERROR(__xludf.DUMMYFUNCTION("""COMPUTED_VALUE"""),1.12111117E8)</f>
        <v>112111117</v>
      </c>
      <c r="B626" s="148" t="str">
        <f>IFERROR(__xludf.DUMMYFUNCTION("""COMPUTED_VALUE"""),"巅峰领土_押镖单位-BOSS2")</f>
        <v>巅峰领土_押镖单位-BOSS2</v>
      </c>
      <c r="C626" s="148">
        <f>IFERROR(__xludf.DUMMYFUNCTION("""COMPUTED_VALUE"""),1.1221004E7)</f>
        <v>11221004</v>
      </c>
      <c r="D626" s="148">
        <f>IFERROR(__xludf.DUMMYFUNCTION("""COMPUTED_VALUE"""),1.5111315E7)</f>
        <v>15111315</v>
      </c>
      <c r="E626" s="148" t="str">
        <f>IFERROR(__xludf.DUMMYFUNCTION("""COMPUTED_VALUE"""),"{""typ"":""lc"",""txt"":""LC_MAP_escort_monster_name4""}")</f>
        <v>{"typ":"lc","txt":"LC_MAP_escort_monster_name4"}</v>
      </c>
      <c r="F626" s="148" t="str">
        <f>IFERROR(__xludf.DUMMYFUNCTION("""COMPUTED_VALUE"""),"{""typ"":""lc"",""txt"":""LC_MAP_escort_map_pop_ups_desc""}")</f>
        <v>{"typ":"lc","txt":"LC_MAP_escort_map_pop_ups_desc"}</v>
      </c>
      <c r="G626" s="148">
        <f>IFERROR(__xludf.DUMMYFUNCTION("""COMPUTED_VALUE"""),10.0)</f>
        <v>10</v>
      </c>
      <c r="H626" s="148">
        <f>IFERROR(__xludf.DUMMYFUNCTION("""COMPUTED_VALUE"""),10099.0)</f>
        <v>10099</v>
      </c>
      <c r="I626" s="148">
        <f>IFERROR(__xludf.DUMMYFUNCTION("""COMPUTED_VALUE"""),10099.0)</f>
        <v>10099</v>
      </c>
      <c r="J626" s="148">
        <f>IFERROR(__xludf.DUMMYFUNCTION("""COMPUTED_VALUE"""),0.0)</f>
        <v>0</v>
      </c>
      <c r="K626" s="148">
        <f>IFERROR(__xludf.DUMMYFUNCTION("""COMPUTED_VALUE"""),10.0)</f>
        <v>10</v>
      </c>
      <c r="L626" s="148">
        <f>IFERROR(__xludf.DUMMYFUNCTION("""COMPUTED_VALUE"""),99.0)</f>
        <v>99</v>
      </c>
      <c r="M626" s="148">
        <f>IFERROR(__xludf.DUMMYFUNCTION("""COMPUTED_VALUE"""),0.0)</f>
        <v>0</v>
      </c>
      <c r="N626" s="148" t="str">
        <f>IFERROR(__xludf.DUMMYFUNCTION("""COMPUTED_VALUE"""),"[]")</f>
        <v>[]</v>
      </c>
      <c r="O626" s="148" t="str">
        <f>IFERROR(__xludf.DUMMYFUNCTION("""COMPUTED_VALUE"""),"{}")</f>
        <v>{}</v>
      </c>
      <c r="P626" s="148">
        <f>IFERROR(__xludf.DUMMYFUNCTION("""COMPUTED_VALUE"""),0.0)</f>
        <v>0</v>
      </c>
      <c r="Q626" s="148" t="str">
        <f>IFERROR(__xludf.DUMMYFUNCTION("""COMPUTED_VALUE"""),"[]")</f>
        <v>[]</v>
      </c>
      <c r="R626" s="148" t="str">
        <f>IFERROR(__xludf.DUMMYFUNCTION("""COMPUTED_VALUE"""),"{}")</f>
        <v>{}</v>
      </c>
      <c r="S626" s="148">
        <f>IFERROR(__xludf.DUMMYFUNCTION("""COMPUTED_VALUE"""),0.0)</f>
        <v>0</v>
      </c>
      <c r="T626" s="148" t="str">
        <f>IFERROR(__xludf.DUMMYFUNCTION("""COMPUTED_VALUE"""),"[]")</f>
        <v>[]</v>
      </c>
      <c r="U626" s="148">
        <f>IFERROR(__xludf.DUMMYFUNCTION("""COMPUTED_VALUE"""),0.0)</f>
        <v>0</v>
      </c>
      <c r="V626" s="148" t="str">
        <f>IFERROR(__xludf.DUMMYFUNCTION("""COMPUTED_VALUE"""),"{}")</f>
        <v>{}</v>
      </c>
      <c r="W626" s="148" t="str">
        <f>IFERROR(__xludf.DUMMYFUNCTION("""COMPUTED_VALUE"""),"[]")</f>
        <v>[]</v>
      </c>
      <c r="X626" s="148" t="str">
        <f>IFERROR(__xludf.DUMMYFUNCTION("""COMPUTED_VALUE"""),"[{""typ"":""power"",""id"":12141002,""val"":10}]")</f>
        <v>[{"typ":"power","id":12141002,"val":10}]</v>
      </c>
      <c r="Y626" s="148" t="str">
        <f>IFERROR(__xludf.DUMMYFUNCTION("""COMPUTED_VALUE"""),"[{""typ"":""atk"",""val"":60},{""typ"":""def"",""val"":125},{""typ"":""hp"",""val"":135},{""typ"":""speed"",""val"":50},{""typ"":""load"",""val"":20},{""typ"":""backcoef"",""val"":0.5},{""typ"":""atkcoef"",""val"":1.0},{""typ"":""atkcd"",""val"":0}]")</f>
        <v>[{"typ":"atk","val":60},{"typ":"def","val":125},{"typ":"hp","val":135},{"typ":"speed","val":50},{"typ":"load","val":20},{"typ":"backcoef","val":0.5},{"typ":"atkcoef","val":1.0},{"typ":"atkcd","val":0}]</v>
      </c>
      <c r="Z626" s="148" t="str">
        <f>IFERROR(__xludf.DUMMYFUNCTION("""COMPUTED_VALUE"""),"[]")</f>
        <v>[]</v>
      </c>
    </row>
    <row r="627">
      <c r="A627" s="148">
        <f>IFERROR(__xludf.DUMMYFUNCTION("""COMPUTED_VALUE"""),1.12111118E8)</f>
        <v>112111118</v>
      </c>
      <c r="B627" s="148" t="str">
        <f>IFERROR(__xludf.DUMMYFUNCTION("""COMPUTED_VALUE"""),"巅峰领土_押镖单位-BOSS3")</f>
        <v>巅峰领土_押镖单位-BOSS3</v>
      </c>
      <c r="C627" s="148">
        <f>IFERROR(__xludf.DUMMYFUNCTION("""COMPUTED_VALUE"""),1.1221004E7)</f>
        <v>11221004</v>
      </c>
      <c r="D627" s="148">
        <f>IFERROR(__xludf.DUMMYFUNCTION("""COMPUTED_VALUE"""),1.5111315E7)</f>
        <v>15111315</v>
      </c>
      <c r="E627" s="148" t="str">
        <f>IFERROR(__xludf.DUMMYFUNCTION("""COMPUTED_VALUE"""),"{""typ"":""lc"",""txt"":""LC_MAP_escort_monster_name4""}")</f>
        <v>{"typ":"lc","txt":"LC_MAP_escort_monster_name4"}</v>
      </c>
      <c r="F627" s="148" t="str">
        <f>IFERROR(__xludf.DUMMYFUNCTION("""COMPUTED_VALUE"""),"{""typ"":""lc"",""txt"":""LC_MAP_escort_map_pop_ups_desc""}")</f>
        <v>{"typ":"lc","txt":"LC_MAP_escort_map_pop_ups_desc"}</v>
      </c>
      <c r="G627" s="148">
        <f>IFERROR(__xludf.DUMMYFUNCTION("""COMPUTED_VALUE"""),10.0)</f>
        <v>10</v>
      </c>
      <c r="H627" s="148">
        <f>IFERROR(__xludf.DUMMYFUNCTION("""COMPUTED_VALUE"""),10099.0)</f>
        <v>10099</v>
      </c>
      <c r="I627" s="148">
        <f>IFERROR(__xludf.DUMMYFUNCTION("""COMPUTED_VALUE"""),10099.0)</f>
        <v>10099</v>
      </c>
      <c r="J627" s="148">
        <f>IFERROR(__xludf.DUMMYFUNCTION("""COMPUTED_VALUE"""),0.0)</f>
        <v>0</v>
      </c>
      <c r="K627" s="148">
        <f>IFERROR(__xludf.DUMMYFUNCTION("""COMPUTED_VALUE"""),10.0)</f>
        <v>10</v>
      </c>
      <c r="L627" s="148">
        <f>IFERROR(__xludf.DUMMYFUNCTION("""COMPUTED_VALUE"""),99.0)</f>
        <v>99</v>
      </c>
      <c r="M627" s="148">
        <f>IFERROR(__xludf.DUMMYFUNCTION("""COMPUTED_VALUE"""),0.0)</f>
        <v>0</v>
      </c>
      <c r="N627" s="148" t="str">
        <f>IFERROR(__xludf.DUMMYFUNCTION("""COMPUTED_VALUE"""),"[]")</f>
        <v>[]</v>
      </c>
      <c r="O627" s="148" t="str">
        <f>IFERROR(__xludf.DUMMYFUNCTION("""COMPUTED_VALUE"""),"{}")</f>
        <v>{}</v>
      </c>
      <c r="P627" s="148">
        <f>IFERROR(__xludf.DUMMYFUNCTION("""COMPUTED_VALUE"""),0.0)</f>
        <v>0</v>
      </c>
      <c r="Q627" s="148" t="str">
        <f>IFERROR(__xludf.DUMMYFUNCTION("""COMPUTED_VALUE"""),"[]")</f>
        <v>[]</v>
      </c>
      <c r="R627" s="148" t="str">
        <f>IFERROR(__xludf.DUMMYFUNCTION("""COMPUTED_VALUE"""),"{}")</f>
        <v>{}</v>
      </c>
      <c r="S627" s="148">
        <f>IFERROR(__xludf.DUMMYFUNCTION("""COMPUTED_VALUE"""),0.0)</f>
        <v>0</v>
      </c>
      <c r="T627" s="148" t="str">
        <f>IFERROR(__xludf.DUMMYFUNCTION("""COMPUTED_VALUE"""),"[]")</f>
        <v>[]</v>
      </c>
      <c r="U627" s="148">
        <f>IFERROR(__xludf.DUMMYFUNCTION("""COMPUTED_VALUE"""),0.0)</f>
        <v>0</v>
      </c>
      <c r="V627" s="148" t="str">
        <f>IFERROR(__xludf.DUMMYFUNCTION("""COMPUTED_VALUE"""),"{}")</f>
        <v>{}</v>
      </c>
      <c r="W627" s="148" t="str">
        <f>IFERROR(__xludf.DUMMYFUNCTION("""COMPUTED_VALUE"""),"[]")</f>
        <v>[]</v>
      </c>
      <c r="X627" s="148" t="str">
        <f>IFERROR(__xludf.DUMMYFUNCTION("""COMPUTED_VALUE"""),"[{""typ"":""power"",""id"":12141002,""val"":10}]")</f>
        <v>[{"typ":"power","id":12141002,"val":10}]</v>
      </c>
      <c r="Y627" s="148" t="str">
        <f>IFERROR(__xludf.DUMMYFUNCTION("""COMPUTED_VALUE"""),"[{""typ"":""atk"",""val"":120},{""typ"":""def"",""val"":125},{""typ"":""hp"",""val"":135},{""typ"":""speed"",""val"":50},{""typ"":""load"",""val"":20},{""typ"":""backcoef"",""val"":0.5},{""typ"":""atkcoef"",""val"":1.0},{""typ"":""atkcd"",""val"":0}]")</f>
        <v>[{"typ":"atk","val":120},{"typ":"def","val":125},{"typ":"hp","val":135},{"typ":"speed","val":50},{"typ":"load","val":20},{"typ":"backcoef","val":0.5},{"typ":"atkcoef","val":1.0},{"typ":"atkcd","val":0}]</v>
      </c>
      <c r="Z627" s="148" t="str">
        <f>IFERROR(__xludf.DUMMYFUNCTION("""COMPUTED_VALUE"""),"[]")</f>
        <v>[]</v>
      </c>
    </row>
    <row r="628">
      <c r="A628" s="148">
        <f>IFERROR(__xludf.DUMMYFUNCTION("""COMPUTED_VALUE"""),1.12111119E8)</f>
        <v>112111119</v>
      </c>
      <c r="B628" s="148" t="str">
        <f>IFERROR(__xludf.DUMMYFUNCTION("""COMPUTED_VALUE"""),"巅峰领土_押镖单位-BOSS4")</f>
        <v>巅峰领土_押镖单位-BOSS4</v>
      </c>
      <c r="C628" s="148">
        <f>IFERROR(__xludf.DUMMYFUNCTION("""COMPUTED_VALUE"""),1.1221004E7)</f>
        <v>11221004</v>
      </c>
      <c r="D628" s="148">
        <f>IFERROR(__xludf.DUMMYFUNCTION("""COMPUTED_VALUE"""),1.5111315E7)</f>
        <v>15111315</v>
      </c>
      <c r="E628" s="148" t="str">
        <f>IFERROR(__xludf.DUMMYFUNCTION("""COMPUTED_VALUE"""),"{""typ"":""lc"",""txt"":""LC_MAP_escort_monster_name4""}")</f>
        <v>{"typ":"lc","txt":"LC_MAP_escort_monster_name4"}</v>
      </c>
      <c r="F628" s="148" t="str">
        <f>IFERROR(__xludf.DUMMYFUNCTION("""COMPUTED_VALUE"""),"{""typ"":""lc"",""txt"":""LC_MAP_escort_map_pop_ups_desc""}")</f>
        <v>{"typ":"lc","txt":"LC_MAP_escort_map_pop_ups_desc"}</v>
      </c>
      <c r="G628" s="148">
        <f>IFERROR(__xludf.DUMMYFUNCTION("""COMPUTED_VALUE"""),10.0)</f>
        <v>10</v>
      </c>
      <c r="H628" s="148">
        <f>IFERROR(__xludf.DUMMYFUNCTION("""COMPUTED_VALUE"""),10099.0)</f>
        <v>10099</v>
      </c>
      <c r="I628" s="148">
        <f>IFERROR(__xludf.DUMMYFUNCTION("""COMPUTED_VALUE"""),10099.0)</f>
        <v>10099</v>
      </c>
      <c r="J628" s="148">
        <f>IFERROR(__xludf.DUMMYFUNCTION("""COMPUTED_VALUE"""),0.0)</f>
        <v>0</v>
      </c>
      <c r="K628" s="148">
        <f>IFERROR(__xludf.DUMMYFUNCTION("""COMPUTED_VALUE"""),10.0)</f>
        <v>10</v>
      </c>
      <c r="L628" s="148">
        <f>IFERROR(__xludf.DUMMYFUNCTION("""COMPUTED_VALUE"""),99.0)</f>
        <v>99</v>
      </c>
      <c r="M628" s="148">
        <f>IFERROR(__xludf.DUMMYFUNCTION("""COMPUTED_VALUE"""),0.0)</f>
        <v>0</v>
      </c>
      <c r="N628" s="148" t="str">
        <f>IFERROR(__xludf.DUMMYFUNCTION("""COMPUTED_VALUE"""),"[]")</f>
        <v>[]</v>
      </c>
      <c r="O628" s="148" t="str">
        <f>IFERROR(__xludf.DUMMYFUNCTION("""COMPUTED_VALUE"""),"{}")</f>
        <v>{}</v>
      </c>
      <c r="P628" s="148">
        <f>IFERROR(__xludf.DUMMYFUNCTION("""COMPUTED_VALUE"""),0.0)</f>
        <v>0</v>
      </c>
      <c r="Q628" s="148" t="str">
        <f>IFERROR(__xludf.DUMMYFUNCTION("""COMPUTED_VALUE"""),"[]")</f>
        <v>[]</v>
      </c>
      <c r="R628" s="148" t="str">
        <f>IFERROR(__xludf.DUMMYFUNCTION("""COMPUTED_VALUE"""),"{}")</f>
        <v>{}</v>
      </c>
      <c r="S628" s="148">
        <f>IFERROR(__xludf.DUMMYFUNCTION("""COMPUTED_VALUE"""),0.0)</f>
        <v>0</v>
      </c>
      <c r="T628" s="148" t="str">
        <f>IFERROR(__xludf.DUMMYFUNCTION("""COMPUTED_VALUE"""),"[]")</f>
        <v>[]</v>
      </c>
      <c r="U628" s="148">
        <f>IFERROR(__xludf.DUMMYFUNCTION("""COMPUTED_VALUE"""),0.0)</f>
        <v>0</v>
      </c>
      <c r="V628" s="148" t="str">
        <f>IFERROR(__xludf.DUMMYFUNCTION("""COMPUTED_VALUE"""),"{}")</f>
        <v>{}</v>
      </c>
      <c r="W628" s="148" t="str">
        <f>IFERROR(__xludf.DUMMYFUNCTION("""COMPUTED_VALUE"""),"[]")</f>
        <v>[]</v>
      </c>
      <c r="X628" s="148" t="str">
        <f>IFERROR(__xludf.DUMMYFUNCTION("""COMPUTED_VALUE"""),"[{""typ"":""power"",""id"":12141002,""val"":10}]")</f>
        <v>[{"typ":"power","id":12141002,"val":10}]</v>
      </c>
      <c r="Y628" s="148" t="str">
        <f>IFERROR(__xludf.DUMMYFUNCTION("""COMPUTED_VALUE"""),"[{""typ"":""atk"",""val"":300},{""typ"":""def"",""val"":125},{""typ"":""hp"",""val"":135},{""typ"":""speed"",""val"":50},{""typ"":""load"",""val"":20},{""typ"":""backcoef"",""val"":0.5},{""typ"":""atkcoef"",""val"":1.0},{""typ"":""atkcd"",""val"":0}]")</f>
        <v>[{"typ":"atk","val":300},{"typ":"def","val":125},{"typ":"hp","val":135},{"typ":"speed","val":50},{"typ":"load","val":20},{"typ":"backcoef","val":0.5},{"typ":"atkcoef","val":1.0},{"typ":"atkcd","val":0}]</v>
      </c>
      <c r="Z628" s="148" t="str">
        <f>IFERROR(__xludf.DUMMYFUNCTION("""COMPUTED_VALUE"""),"[]")</f>
        <v>[]</v>
      </c>
    </row>
    <row r="629">
      <c r="A629" s="148">
        <f>IFERROR(__xludf.DUMMYFUNCTION("""COMPUTED_VALUE"""),1.1211112E8)</f>
        <v>112111120</v>
      </c>
      <c r="B629" s="148" t="str">
        <f>IFERROR(__xludf.DUMMYFUNCTION("""COMPUTED_VALUE"""),"巅峰领土_押镖单位-BOSS5")</f>
        <v>巅峰领土_押镖单位-BOSS5</v>
      </c>
      <c r="C629" s="148">
        <f>IFERROR(__xludf.DUMMYFUNCTION("""COMPUTED_VALUE"""),1.1221004E7)</f>
        <v>11221004</v>
      </c>
      <c r="D629" s="148">
        <f>IFERROR(__xludf.DUMMYFUNCTION("""COMPUTED_VALUE"""),1.5111315E7)</f>
        <v>15111315</v>
      </c>
      <c r="E629" s="148" t="str">
        <f>IFERROR(__xludf.DUMMYFUNCTION("""COMPUTED_VALUE"""),"{""typ"":""lc"",""txt"":""LC_MAP_escort_monster_name4""}")</f>
        <v>{"typ":"lc","txt":"LC_MAP_escort_monster_name4"}</v>
      </c>
      <c r="F629" s="148" t="str">
        <f>IFERROR(__xludf.DUMMYFUNCTION("""COMPUTED_VALUE"""),"{""typ"":""lc"",""txt"":""LC_MAP_escort_map_pop_ups_desc""}")</f>
        <v>{"typ":"lc","txt":"LC_MAP_escort_map_pop_ups_desc"}</v>
      </c>
      <c r="G629" s="148">
        <f>IFERROR(__xludf.DUMMYFUNCTION("""COMPUTED_VALUE"""),10.0)</f>
        <v>10</v>
      </c>
      <c r="H629" s="148">
        <f>IFERROR(__xludf.DUMMYFUNCTION("""COMPUTED_VALUE"""),10099.0)</f>
        <v>10099</v>
      </c>
      <c r="I629" s="148">
        <f>IFERROR(__xludf.DUMMYFUNCTION("""COMPUTED_VALUE"""),10099.0)</f>
        <v>10099</v>
      </c>
      <c r="J629" s="148">
        <f>IFERROR(__xludf.DUMMYFUNCTION("""COMPUTED_VALUE"""),0.0)</f>
        <v>0</v>
      </c>
      <c r="K629" s="148">
        <f>IFERROR(__xludf.DUMMYFUNCTION("""COMPUTED_VALUE"""),10.0)</f>
        <v>10</v>
      </c>
      <c r="L629" s="148">
        <f>IFERROR(__xludf.DUMMYFUNCTION("""COMPUTED_VALUE"""),99.0)</f>
        <v>99</v>
      </c>
      <c r="M629" s="148">
        <f>IFERROR(__xludf.DUMMYFUNCTION("""COMPUTED_VALUE"""),0.0)</f>
        <v>0</v>
      </c>
      <c r="N629" s="148" t="str">
        <f>IFERROR(__xludf.DUMMYFUNCTION("""COMPUTED_VALUE"""),"[]")</f>
        <v>[]</v>
      </c>
      <c r="O629" s="148" t="str">
        <f>IFERROR(__xludf.DUMMYFUNCTION("""COMPUTED_VALUE"""),"{}")</f>
        <v>{}</v>
      </c>
      <c r="P629" s="148">
        <f>IFERROR(__xludf.DUMMYFUNCTION("""COMPUTED_VALUE"""),0.0)</f>
        <v>0</v>
      </c>
      <c r="Q629" s="148" t="str">
        <f>IFERROR(__xludf.DUMMYFUNCTION("""COMPUTED_VALUE"""),"[]")</f>
        <v>[]</v>
      </c>
      <c r="R629" s="148" t="str">
        <f>IFERROR(__xludf.DUMMYFUNCTION("""COMPUTED_VALUE"""),"{}")</f>
        <v>{}</v>
      </c>
      <c r="S629" s="148">
        <f>IFERROR(__xludf.DUMMYFUNCTION("""COMPUTED_VALUE"""),0.0)</f>
        <v>0</v>
      </c>
      <c r="T629" s="148" t="str">
        <f>IFERROR(__xludf.DUMMYFUNCTION("""COMPUTED_VALUE"""),"[]")</f>
        <v>[]</v>
      </c>
      <c r="U629" s="148">
        <f>IFERROR(__xludf.DUMMYFUNCTION("""COMPUTED_VALUE"""),0.0)</f>
        <v>0</v>
      </c>
      <c r="V629" s="148" t="str">
        <f>IFERROR(__xludf.DUMMYFUNCTION("""COMPUTED_VALUE"""),"{}")</f>
        <v>{}</v>
      </c>
      <c r="W629" s="148" t="str">
        <f>IFERROR(__xludf.DUMMYFUNCTION("""COMPUTED_VALUE"""),"[]")</f>
        <v>[]</v>
      </c>
      <c r="X629" s="148" t="str">
        <f>IFERROR(__xludf.DUMMYFUNCTION("""COMPUTED_VALUE"""),"[{""typ"":""power"",""id"":12141002,""val"":10}]")</f>
        <v>[{"typ":"power","id":12141002,"val":10}]</v>
      </c>
      <c r="Y629" s="148" t="str">
        <f>IFERROR(__xludf.DUMMYFUNCTION("""COMPUTED_VALUE"""),"[{""typ"":""atk"",""val"":400},{""typ"":""def"",""val"":125},{""typ"":""hp"",""val"":135},{""typ"":""speed"",""val"":50},{""typ"":""load"",""val"":20},{""typ"":""backcoef"",""val"":0.5},{""typ"":""atkcoef"",""val"":1.0},{""typ"":""atkcd"",""val"":0}]")</f>
        <v>[{"typ":"atk","val":400},{"typ":"def","val":125},{"typ":"hp","val":135},{"typ":"speed","val":50},{"typ":"load","val":20},{"typ":"backcoef","val":0.5},{"typ":"atkcoef","val":1.0},{"typ":"atkcd","val":0}]</v>
      </c>
      <c r="Z629" s="148" t="str">
        <f>IFERROR(__xludf.DUMMYFUNCTION("""COMPUTED_VALUE"""),"[]")</f>
        <v>[]</v>
      </c>
    </row>
    <row r="630">
      <c r="A630" s="148">
        <f>IFERROR(__xludf.DUMMYFUNCTION("""COMPUTED_VALUE"""),1.12111121E8)</f>
        <v>112111121</v>
      </c>
      <c r="B630" s="148" t="str">
        <f>IFERROR(__xludf.DUMMYFUNCTION("""COMPUTED_VALUE"""),"机甲军功展示头像1")</f>
        <v>机甲军功展示头像1</v>
      </c>
      <c r="C630" s="148">
        <f>IFERROR(__xludf.DUMMYFUNCTION("""COMPUTED_VALUE"""),1.1223001E7)</f>
        <v>11223001</v>
      </c>
      <c r="D630" s="148">
        <f>IFERROR(__xludf.DUMMYFUNCTION("""COMPUTED_VALUE"""),1.5119908E7)</f>
        <v>15119908</v>
      </c>
      <c r="E630" s="148" t="str">
        <f>IFERROR(__xludf.DUMMYFUNCTION("""COMPUTED_VALUE"""),"{}")</f>
        <v>{}</v>
      </c>
      <c r="F630" s="148" t="str">
        <f>IFERROR(__xludf.DUMMYFUNCTION("""COMPUTED_VALUE"""),"{}")</f>
        <v>{}</v>
      </c>
      <c r="G630" s="148">
        <f>IFERROR(__xludf.DUMMYFUNCTION("""COMPUTED_VALUE"""),10.0)</f>
        <v>10</v>
      </c>
      <c r="H630" s="148">
        <f>IFERROR(__xludf.DUMMYFUNCTION("""COMPUTED_VALUE"""),10099.0)</f>
        <v>10099</v>
      </c>
      <c r="I630" s="148">
        <f>IFERROR(__xludf.DUMMYFUNCTION("""COMPUTED_VALUE"""),10099.0)</f>
        <v>10099</v>
      </c>
      <c r="J630" s="148">
        <f>IFERROR(__xludf.DUMMYFUNCTION("""COMPUTED_VALUE"""),0.0)</f>
        <v>0</v>
      </c>
      <c r="K630" s="148">
        <f>IFERROR(__xludf.DUMMYFUNCTION("""COMPUTED_VALUE"""),99.0)</f>
        <v>99</v>
      </c>
      <c r="L630" s="148">
        <f>IFERROR(__xludf.DUMMYFUNCTION("""COMPUTED_VALUE"""),99.0)</f>
        <v>99</v>
      </c>
      <c r="M630" s="148">
        <f>IFERROR(__xludf.DUMMYFUNCTION("""COMPUTED_VALUE"""),13000.0)</f>
        <v>13000</v>
      </c>
      <c r="N630" s="148" t="str">
        <f>IFERROR(__xludf.DUMMYFUNCTION("""COMPUTED_VALUE"""),"[{""typ"":""rss"",""id"":11141001,""val"":50},{""typ"":""rss"",""id"":11141003,""val"":50}]")</f>
        <v>[{"typ":"rss","id":11141001,"val":50},{"typ":"rss","id":11141003,"val":50}]</v>
      </c>
      <c r="O630" s="148" t="str">
        <f>IFERROR(__xludf.DUMMYFUNCTION("""COMPUTED_VALUE"""),"{""op"":""and"",""args"":[{""op"":""ge"",""typ"":""building"",""id"":111811,""val"":99}]}")</f>
        <v>{"op":"and","args":[{"op":"ge","typ":"building","id":111811,"val":99}]}</v>
      </c>
      <c r="P630" s="148">
        <f>IFERROR(__xludf.DUMMYFUNCTION("""COMPUTED_VALUE"""),0.0)</f>
        <v>0</v>
      </c>
      <c r="Q630" s="148" t="str">
        <f>IFERROR(__xludf.DUMMYFUNCTION("""COMPUTED_VALUE"""),"[]")</f>
        <v>[]</v>
      </c>
      <c r="R630" s="148" t="str">
        <f>IFERROR(__xludf.DUMMYFUNCTION("""COMPUTED_VALUE"""),"{}")</f>
        <v>{}</v>
      </c>
      <c r="S630" s="148">
        <f>IFERROR(__xludf.DUMMYFUNCTION("""COMPUTED_VALUE"""),0.0)</f>
        <v>0</v>
      </c>
      <c r="T630" s="148" t="str">
        <f>IFERROR(__xludf.DUMMYFUNCTION("""COMPUTED_VALUE"""),"[]")</f>
        <v>[]</v>
      </c>
      <c r="U630" s="148">
        <f>IFERROR(__xludf.DUMMYFUNCTION("""COMPUTED_VALUE"""),0.0)</f>
        <v>0</v>
      </c>
      <c r="V630" s="148" t="str">
        <f>IFERROR(__xludf.DUMMYFUNCTION("""COMPUTED_VALUE"""),"{}")</f>
        <v>{}</v>
      </c>
      <c r="W630" s="148" t="str">
        <f>IFERROR(__xludf.DUMMYFUNCTION("""COMPUTED_VALUE"""),"[]")</f>
        <v>[]</v>
      </c>
      <c r="X630" s="148" t="str">
        <f>IFERROR(__xludf.DUMMYFUNCTION("""COMPUTED_VALUE"""),"[{""typ"":""power"",""id"":12141002,""val"":10}]")</f>
        <v>[{"typ":"power","id":12141002,"val":10}]</v>
      </c>
      <c r="Y630" s="148" t="str">
        <f>IFERROR(__xludf.DUMMYFUNCTION("""COMPUTED_VALUE"""),"[]")</f>
        <v>[]</v>
      </c>
      <c r="Z630" s="148" t="str">
        <f>IFERROR(__xludf.DUMMYFUNCTION("""COMPUTED_VALUE"""),"[]")</f>
        <v>[]</v>
      </c>
    </row>
    <row r="631">
      <c r="A631" s="148">
        <f>IFERROR(__xludf.DUMMYFUNCTION("""COMPUTED_VALUE"""),1.12111122E8)</f>
        <v>112111122</v>
      </c>
      <c r="B631" s="148" t="str">
        <f>IFERROR(__xludf.DUMMYFUNCTION("""COMPUTED_VALUE"""),"机甲军功展示头像2")</f>
        <v>机甲军功展示头像2</v>
      </c>
      <c r="C631" s="148">
        <f>IFERROR(__xludf.DUMMYFUNCTION("""COMPUTED_VALUE"""),1.1223001E7)</f>
        <v>11223001</v>
      </c>
      <c r="D631" s="148">
        <f>IFERROR(__xludf.DUMMYFUNCTION("""COMPUTED_VALUE"""),1.5119915E7)</f>
        <v>15119915</v>
      </c>
      <c r="E631" s="148" t="str">
        <f>IFERROR(__xludf.DUMMYFUNCTION("""COMPUTED_VALUE"""),"{}")</f>
        <v>{}</v>
      </c>
      <c r="F631" s="148" t="str">
        <f>IFERROR(__xludf.DUMMYFUNCTION("""COMPUTED_VALUE"""),"{}")</f>
        <v>{}</v>
      </c>
      <c r="G631" s="148">
        <f>IFERROR(__xludf.DUMMYFUNCTION("""COMPUTED_VALUE"""),10.0)</f>
        <v>10</v>
      </c>
      <c r="H631" s="148">
        <f>IFERROR(__xludf.DUMMYFUNCTION("""COMPUTED_VALUE"""),10099.0)</f>
        <v>10099</v>
      </c>
      <c r="I631" s="148">
        <f>IFERROR(__xludf.DUMMYFUNCTION("""COMPUTED_VALUE"""),10099.0)</f>
        <v>10099</v>
      </c>
      <c r="J631" s="148">
        <f>IFERROR(__xludf.DUMMYFUNCTION("""COMPUTED_VALUE"""),0.0)</f>
        <v>0</v>
      </c>
      <c r="K631" s="148">
        <f>IFERROR(__xludf.DUMMYFUNCTION("""COMPUTED_VALUE"""),99.0)</f>
        <v>99</v>
      </c>
      <c r="L631" s="148">
        <f>IFERROR(__xludf.DUMMYFUNCTION("""COMPUTED_VALUE"""),99.0)</f>
        <v>99</v>
      </c>
      <c r="M631" s="148">
        <f>IFERROR(__xludf.DUMMYFUNCTION("""COMPUTED_VALUE"""),13000.0)</f>
        <v>13000</v>
      </c>
      <c r="N631" s="148" t="str">
        <f>IFERROR(__xludf.DUMMYFUNCTION("""COMPUTED_VALUE"""),"[{""typ"":""rss"",""id"":11141001,""val"":50},{""typ"":""rss"",""id"":11141003,""val"":50}]")</f>
        <v>[{"typ":"rss","id":11141001,"val":50},{"typ":"rss","id":11141003,"val":50}]</v>
      </c>
      <c r="O631" s="148" t="str">
        <f>IFERROR(__xludf.DUMMYFUNCTION("""COMPUTED_VALUE"""),"{""op"":""and"",""args"":[{""op"":""ge"",""typ"":""building"",""id"":111811,""val"":99}]}")</f>
        <v>{"op":"and","args":[{"op":"ge","typ":"building","id":111811,"val":99}]}</v>
      </c>
      <c r="P631" s="148">
        <f>IFERROR(__xludf.DUMMYFUNCTION("""COMPUTED_VALUE"""),0.0)</f>
        <v>0</v>
      </c>
      <c r="Q631" s="148" t="str">
        <f>IFERROR(__xludf.DUMMYFUNCTION("""COMPUTED_VALUE"""),"[]")</f>
        <v>[]</v>
      </c>
      <c r="R631" s="148" t="str">
        <f>IFERROR(__xludf.DUMMYFUNCTION("""COMPUTED_VALUE"""),"{}")</f>
        <v>{}</v>
      </c>
      <c r="S631" s="148">
        <f>IFERROR(__xludf.DUMMYFUNCTION("""COMPUTED_VALUE"""),0.0)</f>
        <v>0</v>
      </c>
      <c r="T631" s="148" t="str">
        <f>IFERROR(__xludf.DUMMYFUNCTION("""COMPUTED_VALUE"""),"[]")</f>
        <v>[]</v>
      </c>
      <c r="U631" s="148">
        <f>IFERROR(__xludf.DUMMYFUNCTION("""COMPUTED_VALUE"""),0.0)</f>
        <v>0</v>
      </c>
      <c r="V631" s="148" t="str">
        <f>IFERROR(__xludf.DUMMYFUNCTION("""COMPUTED_VALUE"""),"{}")</f>
        <v>{}</v>
      </c>
      <c r="W631" s="148" t="str">
        <f>IFERROR(__xludf.DUMMYFUNCTION("""COMPUTED_VALUE"""),"[]")</f>
        <v>[]</v>
      </c>
      <c r="X631" s="148" t="str">
        <f>IFERROR(__xludf.DUMMYFUNCTION("""COMPUTED_VALUE"""),"[{""typ"":""power"",""id"":12141002,""val"":10}]")</f>
        <v>[{"typ":"power","id":12141002,"val":10}]</v>
      </c>
      <c r="Y631" s="148" t="str">
        <f>IFERROR(__xludf.DUMMYFUNCTION("""COMPUTED_VALUE"""),"[]")</f>
        <v>[]</v>
      </c>
      <c r="Z631" s="148" t="str">
        <f>IFERROR(__xludf.DUMMYFUNCTION("""COMPUTED_VALUE"""),"[]")</f>
        <v>[]</v>
      </c>
    </row>
    <row r="632">
      <c r="A632" s="148">
        <f>IFERROR(__xludf.DUMMYFUNCTION("""COMPUTED_VALUE"""),1.12111123E8)</f>
        <v>112111123</v>
      </c>
      <c r="B632" s="148" t="str">
        <f>IFERROR(__xludf.DUMMYFUNCTION("""COMPUTED_VALUE"""),"机甲军功展示头像3")</f>
        <v>机甲军功展示头像3</v>
      </c>
      <c r="C632" s="148">
        <f>IFERROR(__xludf.DUMMYFUNCTION("""COMPUTED_VALUE"""),1.1223001E7)</f>
        <v>11223001</v>
      </c>
      <c r="D632" s="148">
        <f>IFERROR(__xludf.DUMMYFUNCTION("""COMPUTED_VALUE"""),1.5119922E7)</f>
        <v>15119922</v>
      </c>
      <c r="E632" s="148" t="str">
        <f>IFERROR(__xludf.DUMMYFUNCTION("""COMPUTED_VALUE"""),"{}")</f>
        <v>{}</v>
      </c>
      <c r="F632" s="148" t="str">
        <f>IFERROR(__xludf.DUMMYFUNCTION("""COMPUTED_VALUE"""),"{}")</f>
        <v>{}</v>
      </c>
      <c r="G632" s="148">
        <f>IFERROR(__xludf.DUMMYFUNCTION("""COMPUTED_VALUE"""),10.0)</f>
        <v>10</v>
      </c>
      <c r="H632" s="148">
        <f>IFERROR(__xludf.DUMMYFUNCTION("""COMPUTED_VALUE"""),10099.0)</f>
        <v>10099</v>
      </c>
      <c r="I632" s="148">
        <f>IFERROR(__xludf.DUMMYFUNCTION("""COMPUTED_VALUE"""),10099.0)</f>
        <v>10099</v>
      </c>
      <c r="J632" s="148">
        <f>IFERROR(__xludf.DUMMYFUNCTION("""COMPUTED_VALUE"""),0.0)</f>
        <v>0</v>
      </c>
      <c r="K632" s="148">
        <f>IFERROR(__xludf.DUMMYFUNCTION("""COMPUTED_VALUE"""),99.0)</f>
        <v>99</v>
      </c>
      <c r="L632" s="148">
        <f>IFERROR(__xludf.DUMMYFUNCTION("""COMPUTED_VALUE"""),99.0)</f>
        <v>99</v>
      </c>
      <c r="M632" s="148">
        <f>IFERROR(__xludf.DUMMYFUNCTION("""COMPUTED_VALUE"""),13000.0)</f>
        <v>13000</v>
      </c>
      <c r="N632" s="148" t="str">
        <f>IFERROR(__xludf.DUMMYFUNCTION("""COMPUTED_VALUE"""),"[{""typ"":""rss"",""id"":11141001,""val"":50},{""typ"":""rss"",""id"":11141003,""val"":50}]")</f>
        <v>[{"typ":"rss","id":11141001,"val":50},{"typ":"rss","id":11141003,"val":50}]</v>
      </c>
      <c r="O632" s="148" t="str">
        <f>IFERROR(__xludf.DUMMYFUNCTION("""COMPUTED_VALUE"""),"{""op"":""and"",""args"":[{""op"":""ge"",""typ"":""building"",""id"":111811,""val"":99}]}")</f>
        <v>{"op":"and","args":[{"op":"ge","typ":"building","id":111811,"val":99}]}</v>
      </c>
      <c r="P632" s="148">
        <f>IFERROR(__xludf.DUMMYFUNCTION("""COMPUTED_VALUE"""),0.0)</f>
        <v>0</v>
      </c>
      <c r="Q632" s="148" t="str">
        <f>IFERROR(__xludf.DUMMYFUNCTION("""COMPUTED_VALUE"""),"[]")</f>
        <v>[]</v>
      </c>
      <c r="R632" s="148" t="str">
        <f>IFERROR(__xludf.DUMMYFUNCTION("""COMPUTED_VALUE"""),"{}")</f>
        <v>{}</v>
      </c>
      <c r="S632" s="148">
        <f>IFERROR(__xludf.DUMMYFUNCTION("""COMPUTED_VALUE"""),0.0)</f>
        <v>0</v>
      </c>
      <c r="T632" s="148" t="str">
        <f>IFERROR(__xludf.DUMMYFUNCTION("""COMPUTED_VALUE"""),"[]")</f>
        <v>[]</v>
      </c>
      <c r="U632" s="148">
        <f>IFERROR(__xludf.DUMMYFUNCTION("""COMPUTED_VALUE"""),0.0)</f>
        <v>0</v>
      </c>
      <c r="V632" s="148" t="str">
        <f>IFERROR(__xludf.DUMMYFUNCTION("""COMPUTED_VALUE"""),"{}")</f>
        <v>{}</v>
      </c>
      <c r="W632" s="148" t="str">
        <f>IFERROR(__xludf.DUMMYFUNCTION("""COMPUTED_VALUE"""),"[]")</f>
        <v>[]</v>
      </c>
      <c r="X632" s="148" t="str">
        <f>IFERROR(__xludf.DUMMYFUNCTION("""COMPUTED_VALUE"""),"[{""typ"":""power"",""id"":12141002,""val"":10}]")</f>
        <v>[{"typ":"power","id":12141002,"val":10}]</v>
      </c>
      <c r="Y632" s="148" t="str">
        <f>IFERROR(__xludf.DUMMYFUNCTION("""COMPUTED_VALUE"""),"[]")</f>
        <v>[]</v>
      </c>
      <c r="Z632" s="148" t="str">
        <f>IFERROR(__xludf.DUMMYFUNCTION("""COMPUTED_VALUE"""),"[]")</f>
        <v>[]</v>
      </c>
    </row>
    <row r="633">
      <c r="A633" s="148">
        <f>IFERROR(__xludf.DUMMYFUNCTION("""COMPUTED_VALUE"""),1.12111124E8)</f>
        <v>112111124</v>
      </c>
      <c r="B633" s="148" t="str">
        <f>IFERROR(__xludf.DUMMYFUNCTION("""COMPUTED_VALUE"""),"机甲军功展示头像4")</f>
        <v>机甲军功展示头像4</v>
      </c>
      <c r="C633" s="148">
        <f>IFERROR(__xludf.DUMMYFUNCTION("""COMPUTED_VALUE"""),1.1223001E7)</f>
        <v>11223001</v>
      </c>
      <c r="D633" s="148">
        <f>IFERROR(__xludf.DUMMYFUNCTION("""COMPUTED_VALUE"""),1.5119929E7)</f>
        <v>15119929</v>
      </c>
      <c r="E633" s="148" t="str">
        <f>IFERROR(__xludf.DUMMYFUNCTION("""COMPUTED_VALUE"""),"{}")</f>
        <v>{}</v>
      </c>
      <c r="F633" s="148" t="str">
        <f>IFERROR(__xludf.DUMMYFUNCTION("""COMPUTED_VALUE"""),"{}")</f>
        <v>{}</v>
      </c>
      <c r="G633" s="148">
        <f>IFERROR(__xludf.DUMMYFUNCTION("""COMPUTED_VALUE"""),10.0)</f>
        <v>10</v>
      </c>
      <c r="H633" s="148">
        <f>IFERROR(__xludf.DUMMYFUNCTION("""COMPUTED_VALUE"""),10099.0)</f>
        <v>10099</v>
      </c>
      <c r="I633" s="148">
        <f>IFERROR(__xludf.DUMMYFUNCTION("""COMPUTED_VALUE"""),10099.0)</f>
        <v>10099</v>
      </c>
      <c r="J633" s="148">
        <f>IFERROR(__xludf.DUMMYFUNCTION("""COMPUTED_VALUE"""),0.0)</f>
        <v>0</v>
      </c>
      <c r="K633" s="148">
        <f>IFERROR(__xludf.DUMMYFUNCTION("""COMPUTED_VALUE"""),99.0)</f>
        <v>99</v>
      </c>
      <c r="L633" s="148">
        <f>IFERROR(__xludf.DUMMYFUNCTION("""COMPUTED_VALUE"""),99.0)</f>
        <v>99</v>
      </c>
      <c r="M633" s="148">
        <f>IFERROR(__xludf.DUMMYFUNCTION("""COMPUTED_VALUE"""),13000.0)</f>
        <v>13000</v>
      </c>
      <c r="N633" s="148" t="str">
        <f>IFERROR(__xludf.DUMMYFUNCTION("""COMPUTED_VALUE"""),"[{""typ"":""rss"",""id"":11141001,""val"":50},{""typ"":""rss"",""id"":11141003,""val"":50}]")</f>
        <v>[{"typ":"rss","id":11141001,"val":50},{"typ":"rss","id":11141003,"val":50}]</v>
      </c>
      <c r="O633" s="148" t="str">
        <f>IFERROR(__xludf.DUMMYFUNCTION("""COMPUTED_VALUE"""),"{""op"":""and"",""args"":[{""op"":""ge"",""typ"":""building"",""id"":111811,""val"":99}]}")</f>
        <v>{"op":"and","args":[{"op":"ge","typ":"building","id":111811,"val":99}]}</v>
      </c>
      <c r="P633" s="148">
        <f>IFERROR(__xludf.DUMMYFUNCTION("""COMPUTED_VALUE"""),0.0)</f>
        <v>0</v>
      </c>
      <c r="Q633" s="148" t="str">
        <f>IFERROR(__xludf.DUMMYFUNCTION("""COMPUTED_VALUE"""),"[]")</f>
        <v>[]</v>
      </c>
      <c r="R633" s="148" t="str">
        <f>IFERROR(__xludf.DUMMYFUNCTION("""COMPUTED_VALUE"""),"{}")</f>
        <v>{}</v>
      </c>
      <c r="S633" s="148">
        <f>IFERROR(__xludf.DUMMYFUNCTION("""COMPUTED_VALUE"""),0.0)</f>
        <v>0</v>
      </c>
      <c r="T633" s="148" t="str">
        <f>IFERROR(__xludf.DUMMYFUNCTION("""COMPUTED_VALUE"""),"[]")</f>
        <v>[]</v>
      </c>
      <c r="U633" s="148">
        <f>IFERROR(__xludf.DUMMYFUNCTION("""COMPUTED_VALUE"""),0.0)</f>
        <v>0</v>
      </c>
      <c r="V633" s="148" t="str">
        <f>IFERROR(__xludf.DUMMYFUNCTION("""COMPUTED_VALUE"""),"{}")</f>
        <v>{}</v>
      </c>
      <c r="W633" s="148" t="str">
        <f>IFERROR(__xludf.DUMMYFUNCTION("""COMPUTED_VALUE"""),"[]")</f>
        <v>[]</v>
      </c>
      <c r="X633" s="148" t="str">
        <f>IFERROR(__xludf.DUMMYFUNCTION("""COMPUTED_VALUE"""),"[{""typ"":""power"",""id"":12141002,""val"":10}]")</f>
        <v>[{"typ":"power","id":12141002,"val":10}]</v>
      </c>
      <c r="Y633" s="148" t="str">
        <f>IFERROR(__xludf.DUMMYFUNCTION("""COMPUTED_VALUE"""),"[]")</f>
        <v>[]</v>
      </c>
      <c r="Z633" s="148" t="str">
        <f>IFERROR(__xludf.DUMMYFUNCTION("""COMPUTED_VALUE"""),"[]")</f>
        <v>[]</v>
      </c>
    </row>
    <row r="634">
      <c r="A634" s="148">
        <f>IFERROR(__xludf.DUMMYFUNCTION("""COMPUTED_VALUE"""),1.12111125E8)</f>
        <v>112111125</v>
      </c>
      <c r="B634" s="148" t="str">
        <f>IFERROR(__xludf.DUMMYFUNCTION("""COMPUTED_VALUE"""),"异步gve巨猿")</f>
        <v>异步gve巨猿</v>
      </c>
      <c r="C634" s="148">
        <f>IFERROR(__xludf.DUMMYFUNCTION("""COMPUTED_VALUE"""),1.1221004E7)</f>
        <v>11221004</v>
      </c>
      <c r="D634" s="148">
        <f>IFERROR(__xludf.DUMMYFUNCTION("""COMPUTED_VALUE"""),1.5111315E7)</f>
        <v>15111315</v>
      </c>
      <c r="E634" s="148" t="str">
        <f>IFERROR(__xludf.DUMMYFUNCTION("""COMPUTED_VALUE"""),"{}")</f>
        <v>{}</v>
      </c>
      <c r="F634" s="148" t="str">
        <f>IFERROR(__xludf.DUMMYFUNCTION("""COMPUTED_VALUE"""),"{}")</f>
        <v>{}</v>
      </c>
      <c r="G634" s="148">
        <f>IFERROR(__xludf.DUMMYFUNCTION("""COMPUTED_VALUE"""),10.0)</f>
        <v>10</v>
      </c>
      <c r="H634" s="148">
        <f>IFERROR(__xludf.DUMMYFUNCTION("""COMPUTED_VALUE"""),10099.0)</f>
        <v>10099</v>
      </c>
      <c r="I634" s="148">
        <f>IFERROR(__xludf.DUMMYFUNCTION("""COMPUTED_VALUE"""),10099.0)</f>
        <v>10099</v>
      </c>
      <c r="J634" s="148">
        <f>IFERROR(__xludf.DUMMYFUNCTION("""COMPUTED_VALUE"""),0.0)</f>
        <v>0</v>
      </c>
      <c r="K634" s="148">
        <f>IFERROR(__xludf.DUMMYFUNCTION("""COMPUTED_VALUE"""),10.0)</f>
        <v>10</v>
      </c>
      <c r="L634" s="148">
        <f>IFERROR(__xludf.DUMMYFUNCTION("""COMPUTED_VALUE"""),99.0)</f>
        <v>99</v>
      </c>
      <c r="M634" s="148">
        <f>IFERROR(__xludf.DUMMYFUNCTION("""COMPUTED_VALUE"""),0.0)</f>
        <v>0</v>
      </c>
      <c r="N634" s="148" t="str">
        <f>IFERROR(__xludf.DUMMYFUNCTION("""COMPUTED_VALUE"""),"[]")</f>
        <v>[]</v>
      </c>
      <c r="O634" s="148" t="str">
        <f>IFERROR(__xludf.DUMMYFUNCTION("""COMPUTED_VALUE"""),"{}")</f>
        <v>{}</v>
      </c>
      <c r="P634" s="148">
        <f>IFERROR(__xludf.DUMMYFUNCTION("""COMPUTED_VALUE"""),0.0)</f>
        <v>0</v>
      </c>
      <c r="Q634" s="148" t="str">
        <f>IFERROR(__xludf.DUMMYFUNCTION("""COMPUTED_VALUE"""),"[]")</f>
        <v>[]</v>
      </c>
      <c r="R634" s="148" t="str">
        <f>IFERROR(__xludf.DUMMYFUNCTION("""COMPUTED_VALUE"""),"{}")</f>
        <v>{}</v>
      </c>
      <c r="S634" s="148">
        <f>IFERROR(__xludf.DUMMYFUNCTION("""COMPUTED_VALUE"""),0.0)</f>
        <v>0</v>
      </c>
      <c r="T634" s="148" t="str">
        <f>IFERROR(__xludf.DUMMYFUNCTION("""COMPUTED_VALUE"""),"[]")</f>
        <v>[]</v>
      </c>
      <c r="U634" s="148">
        <f>IFERROR(__xludf.DUMMYFUNCTION("""COMPUTED_VALUE"""),0.0)</f>
        <v>0</v>
      </c>
      <c r="V634" s="148" t="str">
        <f>IFERROR(__xludf.DUMMYFUNCTION("""COMPUTED_VALUE"""),"{}")</f>
        <v>{}</v>
      </c>
      <c r="W634" s="148" t="str">
        <f>IFERROR(__xludf.DUMMYFUNCTION("""COMPUTED_VALUE"""),"[]")</f>
        <v>[]</v>
      </c>
      <c r="X634" s="148" t="str">
        <f>IFERROR(__xludf.DUMMYFUNCTION("""COMPUTED_VALUE"""),"[{""typ"":""power"",""id"":12141002,""val"":600}]")</f>
        <v>[{"typ":"power","id":12141002,"val":600}]</v>
      </c>
      <c r="Y634" s="148" t="str">
        <f>IFERROR(__xludf.DUMMYFUNCTION("""COMPUTED_VALUE"""),"[{""typ"":""atk"",""val"":71},{""typ"":""def"",""val"":845},{""typ"":""hp"",""val"":1000},{""typ"":""speed"",""val"":40},{""typ"":""load"",""val"":20},{""typ"":""backcoef"",""val"":0.5},{""typ"":""atkcoef"",""val"":1.0},{""typ"":""atkcd"",""val"":0}]")</f>
        <v>[{"typ":"atk","val":71},{"typ":"def","val":845},{"typ":"hp","val":1000},{"typ":"speed","val":40},{"typ":"load","val":20},{"typ":"backcoef","val":0.5},{"typ":"atkcoef","val":1.0},{"typ":"atkcd","val":0}]</v>
      </c>
      <c r="Z634" s="148" t="str">
        <f>IFERROR(__xludf.DUMMYFUNCTION("""COMPUTED_VALUE"""),"[]")</f>
        <v>[]</v>
      </c>
    </row>
    <row r="635">
      <c r="A635" s="148">
        <f>IFERROR(__xludf.DUMMYFUNCTION("""COMPUTED_VALUE"""),1.12111126E8)</f>
        <v>112111126</v>
      </c>
      <c r="B635" s="148" t="str">
        <f>IFERROR(__xludf.DUMMYFUNCTION("""COMPUTED_VALUE"""),"GVE野怪")</f>
        <v>GVE野怪</v>
      </c>
      <c r="C635" s="148">
        <f>IFERROR(__xludf.DUMMYFUNCTION("""COMPUTED_VALUE"""),1.1221004E7)</f>
        <v>11221004</v>
      </c>
      <c r="D635" s="148">
        <f>IFERROR(__xludf.DUMMYFUNCTION("""COMPUTED_VALUE"""),1.5110055E7)</f>
        <v>15110055</v>
      </c>
      <c r="E635" s="148" t="str">
        <f>IFERROR(__xludf.DUMMYFUNCTION("""COMPUTED_VALUE"""),"{}")</f>
        <v>{}</v>
      </c>
      <c r="F635" s="148" t="str">
        <f>IFERROR(__xludf.DUMMYFUNCTION("""COMPUTED_VALUE"""),"{}")</f>
        <v>{}</v>
      </c>
      <c r="G635" s="148">
        <f>IFERROR(__xludf.DUMMYFUNCTION("""COMPUTED_VALUE"""),10.0)</f>
        <v>10</v>
      </c>
      <c r="H635" s="148">
        <f>IFERROR(__xludf.DUMMYFUNCTION("""COMPUTED_VALUE"""),10099.0)</f>
        <v>10099</v>
      </c>
      <c r="I635" s="148">
        <f>IFERROR(__xludf.DUMMYFUNCTION("""COMPUTED_VALUE"""),10099.0)</f>
        <v>10099</v>
      </c>
      <c r="J635" s="148">
        <f>IFERROR(__xludf.DUMMYFUNCTION("""COMPUTED_VALUE"""),0.0)</f>
        <v>0</v>
      </c>
      <c r="K635" s="148">
        <f>IFERROR(__xludf.DUMMYFUNCTION("""COMPUTED_VALUE"""),10.0)</f>
        <v>10</v>
      </c>
      <c r="L635" s="148">
        <f>IFERROR(__xludf.DUMMYFUNCTION("""COMPUTED_VALUE"""),99.0)</f>
        <v>99</v>
      </c>
      <c r="M635" s="148">
        <f>IFERROR(__xludf.DUMMYFUNCTION("""COMPUTED_VALUE"""),0.0)</f>
        <v>0</v>
      </c>
      <c r="N635" s="148" t="str">
        <f>IFERROR(__xludf.DUMMYFUNCTION("""COMPUTED_VALUE"""),"[]")</f>
        <v>[]</v>
      </c>
      <c r="O635" s="148" t="str">
        <f>IFERROR(__xludf.DUMMYFUNCTION("""COMPUTED_VALUE"""),"{}")</f>
        <v>{}</v>
      </c>
      <c r="P635" s="148">
        <f>IFERROR(__xludf.DUMMYFUNCTION("""COMPUTED_VALUE"""),0.0)</f>
        <v>0</v>
      </c>
      <c r="Q635" s="148" t="str">
        <f>IFERROR(__xludf.DUMMYFUNCTION("""COMPUTED_VALUE"""),"[]")</f>
        <v>[]</v>
      </c>
      <c r="R635" s="148" t="str">
        <f>IFERROR(__xludf.DUMMYFUNCTION("""COMPUTED_VALUE"""),"{}")</f>
        <v>{}</v>
      </c>
      <c r="S635" s="148">
        <f>IFERROR(__xludf.DUMMYFUNCTION("""COMPUTED_VALUE"""),0.0)</f>
        <v>0</v>
      </c>
      <c r="T635" s="148" t="str">
        <f>IFERROR(__xludf.DUMMYFUNCTION("""COMPUTED_VALUE"""),"[]")</f>
        <v>[]</v>
      </c>
      <c r="U635" s="148">
        <f>IFERROR(__xludf.DUMMYFUNCTION("""COMPUTED_VALUE"""),0.0)</f>
        <v>0</v>
      </c>
      <c r="V635" s="148" t="str">
        <f>IFERROR(__xludf.DUMMYFUNCTION("""COMPUTED_VALUE"""),"{}")</f>
        <v>{}</v>
      </c>
      <c r="W635" s="148" t="str">
        <f>IFERROR(__xludf.DUMMYFUNCTION("""COMPUTED_VALUE"""),"[]")</f>
        <v>[]</v>
      </c>
      <c r="X635" s="148" t="str">
        <f>IFERROR(__xludf.DUMMYFUNCTION("""COMPUTED_VALUE"""),"[{""typ"":""power"",""id"":12141002,""val"":6}]")</f>
        <v>[{"typ":"power","id":12141002,"val":6}]</v>
      </c>
      <c r="Y635" s="148" t="str">
        <f>IFERROR(__xludf.DUMMYFUNCTION("""COMPUTED_VALUE"""),"[{""typ"":""atk"",""val"":500},{""typ"":""def"",""val"":380},{""typ"":""hp"",""val"":315},{""typ"":""speed"",""val"":50},{""typ"":""load"",""val"":20},{""typ"":""backcoef"",""val"":0.5},{""typ"":""atkcoef"",""val"":1.0},{""typ"":""atkcd"",""val"":0}]")</f>
        <v>[{"typ":"atk","val":500},{"typ":"def","val":380},{"typ":"hp","val":315},{"typ":"speed","val":50},{"typ":"load","val":20},{"typ":"backcoef","val":0.5},{"typ":"atkcoef","val":1.0},{"typ":"atkcd","val":0}]</v>
      </c>
      <c r="Z635" s="148" t="str">
        <f>IFERROR(__xludf.DUMMYFUNCTION("""COMPUTED_VALUE"""),"[]")</f>
        <v>[]</v>
      </c>
    </row>
    <row r="636">
      <c r="A636" s="148">
        <f>IFERROR(__xludf.DUMMYFUNCTION("""COMPUTED_VALUE"""),1.12111127E8)</f>
        <v>112111127</v>
      </c>
      <c r="B636" s="148" t="str">
        <f>IFERROR(__xludf.DUMMYFUNCTION("""COMPUTED_VALUE"""),"大地图单位-kvk3中立建筑-T6")</f>
        <v>大地图单位-kvk3中立建筑-T6</v>
      </c>
      <c r="C636" s="148">
        <f>IFERROR(__xludf.DUMMYFUNCTION("""COMPUTED_VALUE"""),1.1221004E7)</f>
        <v>11221004</v>
      </c>
      <c r="D636" s="148">
        <f>IFERROR(__xludf.DUMMYFUNCTION("""COMPUTED_VALUE"""),1.5114812E7)</f>
        <v>15114812</v>
      </c>
      <c r="E636" s="148" t="str">
        <f>IFERROR(__xludf.DUMMYFUNCTION("""COMPUTED_VALUE"""),"{""typ"":""lc"",""txt"":""LC_NPC_npc_ruin_name_kvk""}")</f>
        <v>{"typ":"lc","txt":"LC_NPC_npc_ruin_name_kvk"}</v>
      </c>
      <c r="F636" s="148" t="str">
        <f>IFERROR(__xludf.DUMMYFUNCTION("""COMPUTED_VALUE"""),"{}")</f>
        <v>{}</v>
      </c>
      <c r="G636" s="148">
        <f>IFERROR(__xludf.DUMMYFUNCTION("""COMPUTED_VALUE"""),10.0)</f>
        <v>10</v>
      </c>
      <c r="H636" s="148">
        <f>IFERROR(__xludf.DUMMYFUNCTION("""COMPUTED_VALUE"""),10099.0)</f>
        <v>10099</v>
      </c>
      <c r="I636" s="148">
        <f>IFERROR(__xludf.DUMMYFUNCTION("""COMPUTED_VALUE"""),10099.0)</f>
        <v>10099</v>
      </c>
      <c r="J636" s="148">
        <f>IFERROR(__xludf.DUMMYFUNCTION("""COMPUTED_VALUE"""),0.0)</f>
        <v>0</v>
      </c>
      <c r="K636" s="148">
        <f>IFERROR(__xludf.DUMMYFUNCTION("""COMPUTED_VALUE"""),10.0)</f>
        <v>10</v>
      </c>
      <c r="L636" s="148">
        <f>IFERROR(__xludf.DUMMYFUNCTION("""COMPUTED_VALUE"""),99.0)</f>
        <v>99</v>
      </c>
      <c r="M636" s="148">
        <f>IFERROR(__xludf.DUMMYFUNCTION("""COMPUTED_VALUE"""),0.0)</f>
        <v>0</v>
      </c>
      <c r="N636" s="148" t="str">
        <f>IFERROR(__xludf.DUMMYFUNCTION("""COMPUTED_VALUE"""),"[]")</f>
        <v>[]</v>
      </c>
      <c r="O636" s="148" t="str">
        <f>IFERROR(__xludf.DUMMYFUNCTION("""COMPUTED_VALUE"""),"{}")</f>
        <v>{}</v>
      </c>
      <c r="P636" s="148">
        <f>IFERROR(__xludf.DUMMYFUNCTION("""COMPUTED_VALUE"""),0.0)</f>
        <v>0</v>
      </c>
      <c r="Q636" s="148" t="str">
        <f>IFERROR(__xludf.DUMMYFUNCTION("""COMPUTED_VALUE"""),"[]")</f>
        <v>[]</v>
      </c>
      <c r="R636" s="148" t="str">
        <f>IFERROR(__xludf.DUMMYFUNCTION("""COMPUTED_VALUE"""),"{}")</f>
        <v>{}</v>
      </c>
      <c r="S636" s="148">
        <f>IFERROR(__xludf.DUMMYFUNCTION("""COMPUTED_VALUE"""),0.0)</f>
        <v>0</v>
      </c>
      <c r="T636" s="148" t="str">
        <f>IFERROR(__xludf.DUMMYFUNCTION("""COMPUTED_VALUE"""),"[]")</f>
        <v>[]</v>
      </c>
      <c r="U636" s="148">
        <f>IFERROR(__xludf.DUMMYFUNCTION("""COMPUTED_VALUE"""),0.0)</f>
        <v>0</v>
      </c>
      <c r="V636" s="148" t="str">
        <f>IFERROR(__xludf.DUMMYFUNCTION("""COMPUTED_VALUE"""),"{}")</f>
        <v>{}</v>
      </c>
      <c r="W636" s="148" t="str">
        <f>IFERROR(__xludf.DUMMYFUNCTION("""COMPUTED_VALUE"""),"[]")</f>
        <v>[]</v>
      </c>
      <c r="X636" s="148" t="str">
        <f>IFERROR(__xludf.DUMMYFUNCTION("""COMPUTED_VALUE"""),"[{""typ"":""power"",""id"":12141002,""val"":20}]")</f>
        <v>[{"typ":"power","id":12141002,"val":20}]</v>
      </c>
      <c r="Y636" s="148" t="str">
        <f>IFERROR(__xludf.DUMMYFUNCTION("""COMPUTED_VALUE"""),"[{""typ"":""atk"",""val"":280},{""typ"":""def"",""val"":260},{""typ"":""hp"",""val"":250},{""typ"":""speed"",""val"":40},{""typ"":""load"",""val"":20},{""typ"":""backcoef"",""val"":0.5},{""typ"":""atkcoef"",""val"":1.0},{""typ"":""atkcd"",""val"":0}]")</f>
        <v>[{"typ":"atk","val":280},{"typ":"def","val":260},{"typ":"hp","val":250},{"typ":"speed","val":40},{"typ":"load","val":20},{"typ":"backcoef","val":0.5},{"typ":"atkcoef","val":1.0},{"typ":"atkcd","val":0}]</v>
      </c>
      <c r="Z636" s="148" t="str">
        <f>IFERROR(__xludf.DUMMYFUNCTION("""COMPUTED_VALUE"""),"[]")</f>
        <v>[]</v>
      </c>
    </row>
    <row r="637">
      <c r="A637" s="148">
        <f>IFERROR(__xludf.DUMMYFUNCTION("""COMPUTED_VALUE"""),1.12111128E8)</f>
        <v>112111128</v>
      </c>
      <c r="B637" s="148" t="str">
        <f>IFERROR(__xludf.DUMMYFUNCTION("""COMPUTED_VALUE"""),"大地图单位-kvk4-中立建筑-T6")</f>
        <v>大地图单位-kvk4-中立建筑-T6</v>
      </c>
      <c r="C637" s="148">
        <f>IFERROR(__xludf.DUMMYFUNCTION("""COMPUTED_VALUE"""),1.1221004E7)</f>
        <v>11221004</v>
      </c>
      <c r="D637" s="148">
        <f>IFERROR(__xludf.DUMMYFUNCTION("""COMPUTED_VALUE"""),1.5118718E7)</f>
        <v>15118718</v>
      </c>
      <c r="E637" s="148" t="str">
        <f>IFERROR(__xludf.DUMMYFUNCTION("""COMPUTED_VALUE"""),"{""typ"":""lc"",""txt"":""LC_NPC_npc_ruin_name_kvk""}")</f>
        <v>{"typ":"lc","txt":"LC_NPC_npc_ruin_name_kvk"}</v>
      </c>
      <c r="F637" s="148" t="str">
        <f>IFERROR(__xludf.DUMMYFUNCTION("""COMPUTED_VALUE"""),"{}")</f>
        <v>{}</v>
      </c>
      <c r="G637" s="148">
        <f>IFERROR(__xludf.DUMMYFUNCTION("""COMPUTED_VALUE"""),10.0)</f>
        <v>10</v>
      </c>
      <c r="H637" s="148">
        <f>IFERROR(__xludf.DUMMYFUNCTION("""COMPUTED_VALUE"""),10099.0)</f>
        <v>10099</v>
      </c>
      <c r="I637" s="148">
        <f>IFERROR(__xludf.DUMMYFUNCTION("""COMPUTED_VALUE"""),10099.0)</f>
        <v>10099</v>
      </c>
      <c r="J637" s="148">
        <f>IFERROR(__xludf.DUMMYFUNCTION("""COMPUTED_VALUE"""),0.0)</f>
        <v>0</v>
      </c>
      <c r="K637" s="148">
        <f>IFERROR(__xludf.DUMMYFUNCTION("""COMPUTED_VALUE"""),10.0)</f>
        <v>10</v>
      </c>
      <c r="L637" s="148">
        <f>IFERROR(__xludf.DUMMYFUNCTION("""COMPUTED_VALUE"""),99.0)</f>
        <v>99</v>
      </c>
      <c r="M637" s="148">
        <f>IFERROR(__xludf.DUMMYFUNCTION("""COMPUTED_VALUE"""),0.0)</f>
        <v>0</v>
      </c>
      <c r="N637" s="148" t="str">
        <f>IFERROR(__xludf.DUMMYFUNCTION("""COMPUTED_VALUE"""),"[]")</f>
        <v>[]</v>
      </c>
      <c r="O637" s="148" t="str">
        <f>IFERROR(__xludf.DUMMYFUNCTION("""COMPUTED_VALUE"""),"{}")</f>
        <v>{}</v>
      </c>
      <c r="P637" s="148">
        <f>IFERROR(__xludf.DUMMYFUNCTION("""COMPUTED_VALUE"""),0.0)</f>
        <v>0</v>
      </c>
      <c r="Q637" s="148" t="str">
        <f>IFERROR(__xludf.DUMMYFUNCTION("""COMPUTED_VALUE"""),"[]")</f>
        <v>[]</v>
      </c>
      <c r="R637" s="148" t="str">
        <f>IFERROR(__xludf.DUMMYFUNCTION("""COMPUTED_VALUE"""),"{}")</f>
        <v>{}</v>
      </c>
      <c r="S637" s="148">
        <f>IFERROR(__xludf.DUMMYFUNCTION("""COMPUTED_VALUE"""),0.0)</f>
        <v>0</v>
      </c>
      <c r="T637" s="148" t="str">
        <f>IFERROR(__xludf.DUMMYFUNCTION("""COMPUTED_VALUE"""),"[]")</f>
        <v>[]</v>
      </c>
      <c r="U637" s="148">
        <f>IFERROR(__xludf.DUMMYFUNCTION("""COMPUTED_VALUE"""),0.0)</f>
        <v>0</v>
      </c>
      <c r="V637" s="148" t="str">
        <f>IFERROR(__xludf.DUMMYFUNCTION("""COMPUTED_VALUE"""),"{}")</f>
        <v>{}</v>
      </c>
      <c r="W637" s="148" t="str">
        <f>IFERROR(__xludf.DUMMYFUNCTION("""COMPUTED_VALUE"""),"[]")</f>
        <v>[]</v>
      </c>
      <c r="X637" s="148" t="str">
        <f>IFERROR(__xludf.DUMMYFUNCTION("""COMPUTED_VALUE"""),"[{""typ"":""power"",""id"":12141002,""val"":20}]")</f>
        <v>[{"typ":"power","id":12141002,"val":20}]</v>
      </c>
      <c r="Y637" s="148" t="str">
        <f>IFERROR(__xludf.DUMMYFUNCTION("""COMPUTED_VALUE"""),"[{""typ"":""atk"",""val"":280},{""typ"":""def"",""val"":260},{""typ"":""hp"",""val"":250},{""typ"":""speed"",""val"":40},{""typ"":""load"",""val"":20},{""typ"":""backcoef"",""val"":0.5},{""typ"":""atkcoef"",""val"":1.0},{""typ"":""atkcd"",""val"":0}]")</f>
        <v>[{"typ":"atk","val":280},{"typ":"def","val":260},{"typ":"hp","val":250},{"typ":"speed","val":40},{"typ":"load","val":20},{"typ":"backcoef","val":0.5},{"typ":"atkcoef","val":1.0},{"typ":"atkcd","val":0}]</v>
      </c>
      <c r="Z637" s="148" t="str">
        <f>IFERROR(__xludf.DUMMYFUNCTION("""COMPUTED_VALUE"""),"[]")</f>
        <v>[]</v>
      </c>
    </row>
    <row r="638">
      <c r="A638" s="148">
        <f>IFERROR(__xludf.DUMMYFUNCTION("""COMPUTED_VALUE"""),1.12111129E8)</f>
        <v>112111129</v>
      </c>
      <c r="B638" s="148" t="str">
        <f>IFERROR(__xludf.DUMMYFUNCTION("""COMPUTED_VALUE"""),"大地图单位-kvk5-中立建筑-T6")</f>
        <v>大地图单位-kvk5-中立建筑-T6</v>
      </c>
      <c r="C638" s="148">
        <f>IFERROR(__xludf.DUMMYFUNCTION("""COMPUTED_VALUE"""),1.1221004E7)</f>
        <v>11221004</v>
      </c>
      <c r="D638" s="148">
        <f>IFERROR(__xludf.DUMMYFUNCTION("""COMPUTED_VALUE"""),1.51101065E8)</f>
        <v>151101065</v>
      </c>
      <c r="E638" s="148" t="str">
        <f>IFERROR(__xludf.DUMMYFUNCTION("""COMPUTED_VALUE"""),"{""typ"":""lc"",""txt"":""LC_NPC_npc_ruin_name_kvk""}")</f>
        <v>{"typ":"lc","txt":"LC_NPC_npc_ruin_name_kvk"}</v>
      </c>
      <c r="F638" s="148" t="str">
        <f>IFERROR(__xludf.DUMMYFUNCTION("""COMPUTED_VALUE"""),"{}")</f>
        <v>{}</v>
      </c>
      <c r="G638" s="148">
        <f>IFERROR(__xludf.DUMMYFUNCTION("""COMPUTED_VALUE"""),10.0)</f>
        <v>10</v>
      </c>
      <c r="H638" s="148">
        <f>IFERROR(__xludf.DUMMYFUNCTION("""COMPUTED_VALUE"""),10099.0)</f>
        <v>10099</v>
      </c>
      <c r="I638" s="148">
        <f>IFERROR(__xludf.DUMMYFUNCTION("""COMPUTED_VALUE"""),10099.0)</f>
        <v>10099</v>
      </c>
      <c r="J638" s="148">
        <f>IFERROR(__xludf.DUMMYFUNCTION("""COMPUTED_VALUE"""),0.0)</f>
        <v>0</v>
      </c>
      <c r="K638" s="148">
        <f>IFERROR(__xludf.DUMMYFUNCTION("""COMPUTED_VALUE"""),10.0)</f>
        <v>10</v>
      </c>
      <c r="L638" s="148">
        <f>IFERROR(__xludf.DUMMYFUNCTION("""COMPUTED_VALUE"""),99.0)</f>
        <v>99</v>
      </c>
      <c r="M638" s="148">
        <f>IFERROR(__xludf.DUMMYFUNCTION("""COMPUTED_VALUE"""),0.0)</f>
        <v>0</v>
      </c>
      <c r="N638" s="148" t="str">
        <f>IFERROR(__xludf.DUMMYFUNCTION("""COMPUTED_VALUE"""),"[]")</f>
        <v>[]</v>
      </c>
      <c r="O638" s="148" t="str">
        <f>IFERROR(__xludf.DUMMYFUNCTION("""COMPUTED_VALUE"""),"{}")</f>
        <v>{}</v>
      </c>
      <c r="P638" s="148">
        <f>IFERROR(__xludf.DUMMYFUNCTION("""COMPUTED_VALUE"""),0.0)</f>
        <v>0</v>
      </c>
      <c r="Q638" s="148" t="str">
        <f>IFERROR(__xludf.DUMMYFUNCTION("""COMPUTED_VALUE"""),"[]")</f>
        <v>[]</v>
      </c>
      <c r="R638" s="148" t="str">
        <f>IFERROR(__xludf.DUMMYFUNCTION("""COMPUTED_VALUE"""),"{}")</f>
        <v>{}</v>
      </c>
      <c r="S638" s="148">
        <f>IFERROR(__xludf.DUMMYFUNCTION("""COMPUTED_VALUE"""),0.0)</f>
        <v>0</v>
      </c>
      <c r="T638" s="148" t="str">
        <f>IFERROR(__xludf.DUMMYFUNCTION("""COMPUTED_VALUE"""),"[]")</f>
        <v>[]</v>
      </c>
      <c r="U638" s="148">
        <f>IFERROR(__xludf.DUMMYFUNCTION("""COMPUTED_VALUE"""),0.0)</f>
        <v>0</v>
      </c>
      <c r="V638" s="148" t="str">
        <f>IFERROR(__xludf.DUMMYFUNCTION("""COMPUTED_VALUE"""),"{}")</f>
        <v>{}</v>
      </c>
      <c r="W638" s="148" t="str">
        <f>IFERROR(__xludf.DUMMYFUNCTION("""COMPUTED_VALUE"""),"[]")</f>
        <v>[]</v>
      </c>
      <c r="X638" s="148" t="str">
        <f>IFERROR(__xludf.DUMMYFUNCTION("""COMPUTED_VALUE"""),"[{""typ"":""power"",""id"":12141002,""val"":20}]")</f>
        <v>[{"typ":"power","id":12141002,"val":20}]</v>
      </c>
      <c r="Y638" s="148" t="str">
        <f>IFERROR(__xludf.DUMMYFUNCTION("""COMPUTED_VALUE"""),"[{""typ"":""atk"",""val"":280},{""typ"":""def"",""val"":260},{""typ"":""hp"",""val"":250},{""typ"":""speed"",""val"":40},{""typ"":""load"",""val"":20},{""typ"":""backcoef"",""val"":0.5},{""typ"":""atkcoef"",""val"":1.0},{""typ"":""atkcd"",""val"":0}]")</f>
        <v>[{"typ":"atk","val":280},{"typ":"def","val":260},{"typ":"hp","val":250},{"typ":"speed","val":40},{"typ":"load","val":20},{"typ":"backcoef","val":0.5},{"typ":"atkcoef","val":1.0},{"typ":"atkcd","val":0}]</v>
      </c>
      <c r="Z638" s="148" t="str">
        <f>IFERROR(__xludf.DUMMYFUNCTION("""COMPUTED_VALUE"""),"[]")</f>
        <v>[]</v>
      </c>
    </row>
    <row r="639">
      <c r="A639" s="148">
        <f>IFERROR(__xludf.DUMMYFUNCTION("""COMPUTED_VALUE"""),1.1211113E8)</f>
        <v>112111130</v>
      </c>
      <c r="B639" s="148" t="str">
        <f>IFERROR(__xludf.DUMMYFUNCTION("""COMPUTED_VALUE"""),"大地图单位-kvk5-中立建筑-T5")</f>
        <v>大地图单位-kvk5-中立建筑-T5</v>
      </c>
      <c r="C639" s="148">
        <f>IFERROR(__xludf.DUMMYFUNCTION("""COMPUTED_VALUE"""),1.1221004E7)</f>
        <v>11221004</v>
      </c>
      <c r="D639" s="148">
        <f>IFERROR(__xludf.DUMMYFUNCTION("""COMPUTED_VALUE"""),1.51101065E8)</f>
        <v>151101065</v>
      </c>
      <c r="E639" s="148" t="str">
        <f>IFERROR(__xludf.DUMMYFUNCTION("""COMPUTED_VALUE"""),"{""typ"":""lc"",""txt"":""LC_NPC_npc_ruin_name_kvk""}")</f>
        <v>{"typ":"lc","txt":"LC_NPC_npc_ruin_name_kvk"}</v>
      </c>
      <c r="F639" s="148" t="str">
        <f>IFERROR(__xludf.DUMMYFUNCTION("""COMPUTED_VALUE"""),"{}")</f>
        <v>{}</v>
      </c>
      <c r="G639" s="148">
        <f>IFERROR(__xludf.DUMMYFUNCTION("""COMPUTED_VALUE"""),10.0)</f>
        <v>10</v>
      </c>
      <c r="H639" s="148">
        <f>IFERROR(__xludf.DUMMYFUNCTION("""COMPUTED_VALUE"""),10099.0)</f>
        <v>10099</v>
      </c>
      <c r="I639" s="148">
        <f>IFERROR(__xludf.DUMMYFUNCTION("""COMPUTED_VALUE"""),10099.0)</f>
        <v>10099</v>
      </c>
      <c r="J639" s="148">
        <f>IFERROR(__xludf.DUMMYFUNCTION("""COMPUTED_VALUE"""),0.0)</f>
        <v>0</v>
      </c>
      <c r="K639" s="148">
        <f>IFERROR(__xludf.DUMMYFUNCTION("""COMPUTED_VALUE"""),10.0)</f>
        <v>10</v>
      </c>
      <c r="L639" s="148">
        <f>IFERROR(__xludf.DUMMYFUNCTION("""COMPUTED_VALUE"""),99.0)</f>
        <v>99</v>
      </c>
      <c r="M639" s="148">
        <f>IFERROR(__xludf.DUMMYFUNCTION("""COMPUTED_VALUE"""),0.0)</f>
        <v>0</v>
      </c>
      <c r="N639" s="148" t="str">
        <f>IFERROR(__xludf.DUMMYFUNCTION("""COMPUTED_VALUE"""),"[]")</f>
        <v>[]</v>
      </c>
      <c r="O639" s="148" t="str">
        <f>IFERROR(__xludf.DUMMYFUNCTION("""COMPUTED_VALUE"""),"{}")</f>
        <v>{}</v>
      </c>
      <c r="P639" s="148">
        <f>IFERROR(__xludf.DUMMYFUNCTION("""COMPUTED_VALUE"""),0.0)</f>
        <v>0</v>
      </c>
      <c r="Q639" s="148" t="str">
        <f>IFERROR(__xludf.DUMMYFUNCTION("""COMPUTED_VALUE"""),"[]")</f>
        <v>[]</v>
      </c>
      <c r="R639" s="148" t="str">
        <f>IFERROR(__xludf.DUMMYFUNCTION("""COMPUTED_VALUE"""),"{}")</f>
        <v>{}</v>
      </c>
      <c r="S639" s="148">
        <f>IFERROR(__xludf.DUMMYFUNCTION("""COMPUTED_VALUE"""),0.0)</f>
        <v>0</v>
      </c>
      <c r="T639" s="148" t="str">
        <f>IFERROR(__xludf.DUMMYFUNCTION("""COMPUTED_VALUE"""),"[]")</f>
        <v>[]</v>
      </c>
      <c r="U639" s="148">
        <f>IFERROR(__xludf.DUMMYFUNCTION("""COMPUTED_VALUE"""),0.0)</f>
        <v>0</v>
      </c>
      <c r="V639" s="148" t="str">
        <f>IFERROR(__xludf.DUMMYFUNCTION("""COMPUTED_VALUE"""),"{}")</f>
        <v>{}</v>
      </c>
      <c r="W639" s="148" t="str">
        <f>IFERROR(__xludf.DUMMYFUNCTION("""COMPUTED_VALUE"""),"[]")</f>
        <v>[]</v>
      </c>
      <c r="X639" s="148" t="str">
        <f>IFERROR(__xludf.DUMMYFUNCTION("""COMPUTED_VALUE"""),"[{""typ"":""power"",""id"":12141002,""val"":10}]")</f>
        <v>[{"typ":"power","id":12141002,"val":10}]</v>
      </c>
      <c r="Y639" s="148" t="str">
        <f>IFERROR(__xludf.DUMMYFUNCTION("""COMPUTED_VALUE"""),"[{""typ"":""atk"",""val"":230},{""typ"":""def"",""val"":210},{""typ"":""hp"",""val"":210},{""typ"":""speed"",""val"":40},{""typ"":""load"",""val"":20},{""typ"":""backcoef"",""val"":0.5},{""typ"":""atkcoef"",""val"":1.0},{""typ"":""atkcd"",""val"":0}]")</f>
        <v>[{"typ":"atk","val":230},{"typ":"def","val":210},{"typ":"hp","val":210},{"typ":"speed","val":40},{"typ":"load","val":20},{"typ":"backcoef","val":0.5},{"typ":"atkcoef","val":1.0},{"typ":"atkcd","val":0}]</v>
      </c>
      <c r="Z639" s="148" t="str">
        <f>IFERROR(__xludf.DUMMYFUNCTION("""COMPUTED_VALUE"""),"[]")</f>
        <v>[]</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8" t="str">
        <f>IFERROR(__xludf.DUMMYFUNCTION("IMPORTRANGE(""https://docs.google.com/spreadsheets/d/1EWeHnNq6xoE7_BIRFun9nX6VjqYYhXuio5s8yFdI6bg/edit#gid=0"",""rss!A:Z"")"),"A_INT_id")</f>
        <v>A_INT_id</v>
      </c>
      <c r="B1" s="148" t="str">
        <f>IFERROR(__xludf.DUMMYFUNCTION("""COMPUTED_VALUE"""),"S_STR_comment")</f>
        <v>S_STR_comment</v>
      </c>
      <c r="C1" s="148" t="str">
        <f>IFERROR(__xludf.DUMMYFUNCTION("""COMPUTED_VALUE"""),"C_INT_display_key")</f>
        <v>C_INT_display_key</v>
      </c>
      <c r="D1" s="148" t="str">
        <f>IFERROR(__xludf.DUMMYFUNCTION("""COMPUTED_VALUE"""),"C_MAP_lc_name")</f>
        <v>C_MAP_lc_name</v>
      </c>
      <c r="E1" s="148" t="str">
        <f>IFERROR(__xludf.DUMMYFUNCTION("""COMPUTED_VALUE"""),"C_MAP_lc_desc")</f>
        <v>C_MAP_lc_desc</v>
      </c>
      <c r="F1" s="148" t="str">
        <f>IFERROR(__xludf.DUMMYFUNCTION("""COMPUTED_VALUE"""),"N_FLT_value")</f>
        <v>N_FLT_value</v>
      </c>
      <c r="G1" s="148" t="str">
        <f>IFERROR(__xludf.DUMMYFUNCTION("""COMPUTED_VALUE"""),"C_INT_display_order")</f>
        <v>C_INT_display_order</v>
      </c>
      <c r="H1" s="148" t="str">
        <f>IFERROR(__xludf.DUMMYFUNCTION("""COMPUTED_VALUE"""),"A_INT64_max_own")</f>
        <v>A_INT64_max_own</v>
      </c>
      <c r="I1" s="148" t="str">
        <f>IFERROR(__xludf.DUMMYFUNCTION("""COMPUTED_VALUE"""),"A_INT64_max_get")</f>
        <v>A_INT64_max_get</v>
      </c>
      <c r="J1" s="148" t="str">
        <f>IFERROR(__xludf.DUMMYFUNCTION("""COMPUTED_VALUE"""),"A_INT64_max_use")</f>
        <v>A_INT64_max_use</v>
      </c>
      <c r="K1" s="148" t="str">
        <f>IFERROR(__xludf.DUMMYFUNCTION("""COMPUTED_VALUE"""),"C_INT_access_group_id")</f>
        <v>C_INT_access_group_id</v>
      </c>
      <c r="L1" s="148" t="str">
        <f>IFERROR(__xludf.DUMMYFUNCTION("""COMPUTED_VALUE"""),"A_INT_source")</f>
        <v>A_INT_source</v>
      </c>
    </row>
    <row r="2">
      <c r="A2" s="148">
        <f>IFERROR(__xludf.DUMMYFUNCTION("""COMPUTED_VALUE"""),1.1141001E7)</f>
        <v>11141001</v>
      </c>
      <c r="B2" s="148" t="str">
        <f>IFERROR(__xludf.DUMMYFUNCTION("""COMPUTED_VALUE"""),"食物")</f>
        <v>食物</v>
      </c>
      <c r="C2" s="148">
        <f>IFERROR(__xludf.DUMMYFUNCTION("""COMPUTED_VALUE"""),1.5110045E7)</f>
        <v>15110045</v>
      </c>
      <c r="D2" s="148" t="str">
        <f>IFERROR(__xludf.DUMMYFUNCTION("""COMPUTED_VALUE"""),"{""typ"":""lc"",""txt"":""LC_RSS_rss_1001_name""}")</f>
        <v>{"typ":"lc","txt":"LC_RSS_rss_1001_name"}</v>
      </c>
      <c r="E2" s="148" t="str">
        <f>IFERROR(__xludf.DUMMYFUNCTION("""COMPUTED_VALUE"""),"{""typ"":""lc"",""txt"":""LC_RSS_rss_1001_desc""}")</f>
        <v>{"typ":"lc","txt":"LC_RSS_rss_1001_desc"}</v>
      </c>
      <c r="F2" s="148">
        <f>IFERROR(__xludf.DUMMYFUNCTION("""COMPUTED_VALUE"""),1.0)</f>
        <v>1</v>
      </c>
      <c r="G2" s="148">
        <f>IFERROR(__xludf.DUMMYFUNCTION("""COMPUTED_VALUE"""),10001.0)</f>
        <v>10001</v>
      </c>
      <c r="H2" s="148">
        <f>IFERROR(__xludf.DUMMYFUNCTION("""COMPUTED_VALUE"""),9.99999999999E11)</f>
        <v>999999999999</v>
      </c>
      <c r="I2" s="148">
        <f>IFERROR(__xludf.DUMMYFUNCTION("""COMPUTED_VALUE"""),9.999999999E9)</f>
        <v>9999999999</v>
      </c>
      <c r="J2" s="148">
        <f>IFERROR(__xludf.DUMMYFUNCTION("""COMPUTED_VALUE"""),9.999999999E9)</f>
        <v>9999999999</v>
      </c>
      <c r="K2" s="148">
        <f>IFERROR(__xludf.DUMMYFUNCTION("""COMPUTED_VALUE"""),1.1681001E7)</f>
        <v>11681001</v>
      </c>
      <c r="L2" s="148">
        <f>IFERROR(__xludf.DUMMYFUNCTION("""COMPUTED_VALUE"""),1.1742001E7)</f>
        <v>11742001</v>
      </c>
    </row>
    <row r="3">
      <c r="A3" s="148">
        <f>IFERROR(__xludf.DUMMYFUNCTION("""COMPUTED_VALUE"""),1.1141003E7)</f>
        <v>11141003</v>
      </c>
      <c r="B3" s="148" t="str">
        <f>IFERROR(__xludf.DUMMYFUNCTION("""COMPUTED_VALUE"""),"钢铁")</f>
        <v>钢铁</v>
      </c>
      <c r="C3" s="148">
        <f>IFERROR(__xludf.DUMMYFUNCTION("""COMPUTED_VALUE"""),1.5110047E7)</f>
        <v>15110047</v>
      </c>
      <c r="D3" s="148" t="str">
        <f>IFERROR(__xludf.DUMMYFUNCTION("""COMPUTED_VALUE"""),"{""typ"":""lc"",""txt"":""LC_RSS_rss_1003_name""}")</f>
        <v>{"typ":"lc","txt":"LC_RSS_rss_1003_name"}</v>
      </c>
      <c r="E3" s="148" t="str">
        <f>IFERROR(__xludf.DUMMYFUNCTION("""COMPUTED_VALUE"""),"{""typ"":""lc"",""txt"":""LC_RSS_rss_1003_desc""}")</f>
        <v>{"typ":"lc","txt":"LC_RSS_rss_1003_desc"}</v>
      </c>
      <c r="F3" s="148">
        <f>IFERROR(__xludf.DUMMYFUNCTION("""COMPUTED_VALUE"""),1.0)</f>
        <v>1</v>
      </c>
      <c r="G3" s="148">
        <f>IFERROR(__xludf.DUMMYFUNCTION("""COMPUTED_VALUE"""),10002.0)</f>
        <v>10002</v>
      </c>
      <c r="H3" s="148">
        <f>IFERROR(__xludf.DUMMYFUNCTION("""COMPUTED_VALUE"""),9.99999999999E11)</f>
        <v>999999999999</v>
      </c>
      <c r="I3" s="148">
        <f>IFERROR(__xludf.DUMMYFUNCTION("""COMPUTED_VALUE"""),9.999999999E9)</f>
        <v>9999999999</v>
      </c>
      <c r="J3" s="148">
        <f>IFERROR(__xludf.DUMMYFUNCTION("""COMPUTED_VALUE"""),9.999999999E9)</f>
        <v>9999999999</v>
      </c>
      <c r="K3" s="148">
        <f>IFERROR(__xludf.DUMMYFUNCTION("""COMPUTED_VALUE"""),1.1681002E7)</f>
        <v>11681002</v>
      </c>
      <c r="L3" s="148">
        <f>IFERROR(__xludf.DUMMYFUNCTION("""COMPUTED_VALUE"""),1.1742002E7)</f>
        <v>11742002</v>
      </c>
    </row>
    <row r="4">
      <c r="A4" s="148">
        <f>IFERROR(__xludf.DUMMYFUNCTION("""COMPUTED_VALUE"""),1.1141004E7)</f>
        <v>11141004</v>
      </c>
      <c r="B4" s="148" t="str">
        <f>IFERROR(__xludf.DUMMYFUNCTION("""COMPUTED_VALUE"""),"联盟食物")</f>
        <v>联盟食物</v>
      </c>
      <c r="C4" s="148">
        <f>IFERROR(__xludf.DUMMYFUNCTION("""COMPUTED_VALUE"""),1.5110045E7)</f>
        <v>15110045</v>
      </c>
      <c r="D4" s="148" t="str">
        <f>IFERROR(__xludf.DUMMYFUNCTION("""COMPUTED_VALUE"""),"{""typ"":""lc"",""txt"":""LC_UNION_alliance_food""}")</f>
        <v>{"typ":"lc","txt":"LC_UNION_alliance_food"}</v>
      </c>
      <c r="E4" s="148" t="str">
        <f>IFERROR(__xludf.DUMMYFUNCTION("""COMPUTED_VALUE"""),"{""typ"":""lc"",""txt"":""LC_RSS_rss_1001_desc""}")</f>
        <v>{"typ":"lc","txt":"LC_RSS_rss_1001_desc"}</v>
      </c>
      <c r="F4" s="148">
        <f>IFERROR(__xludf.DUMMYFUNCTION("""COMPUTED_VALUE"""),1.0)</f>
        <v>1</v>
      </c>
      <c r="G4" s="148">
        <f>IFERROR(__xludf.DUMMYFUNCTION("""COMPUTED_VALUE"""),10003.0)</f>
        <v>10003</v>
      </c>
      <c r="H4" s="148">
        <f>IFERROR(__xludf.DUMMYFUNCTION("""COMPUTED_VALUE"""),9.99999999999E11)</f>
        <v>999999999999</v>
      </c>
      <c r="I4" s="148">
        <f>IFERROR(__xludf.DUMMYFUNCTION("""COMPUTED_VALUE"""),9.999999999E9)</f>
        <v>9999999999</v>
      </c>
      <c r="J4" s="148">
        <f>IFERROR(__xludf.DUMMYFUNCTION("""COMPUTED_VALUE"""),9.999999999E9)</f>
        <v>9999999999</v>
      </c>
      <c r="K4" s="148">
        <f>IFERROR(__xludf.DUMMYFUNCTION("""COMPUTED_VALUE"""),0.0)</f>
        <v>0</v>
      </c>
      <c r="L4" s="148">
        <f>IFERROR(__xludf.DUMMYFUNCTION("""COMPUTED_VALUE"""),1.174E7)</f>
        <v>11740000</v>
      </c>
    </row>
    <row r="5">
      <c r="A5" s="148">
        <f>IFERROR(__xludf.DUMMYFUNCTION("""COMPUTED_VALUE"""),1.1141005E7)</f>
        <v>11141005</v>
      </c>
      <c r="B5" s="148" t="str">
        <f>IFERROR(__xludf.DUMMYFUNCTION("""COMPUTED_VALUE"""),"联盟钢铁")</f>
        <v>联盟钢铁</v>
      </c>
      <c r="C5" s="148">
        <f>IFERROR(__xludf.DUMMYFUNCTION("""COMPUTED_VALUE"""),1.5110047E7)</f>
        <v>15110047</v>
      </c>
      <c r="D5" s="148" t="str">
        <f>IFERROR(__xludf.DUMMYFUNCTION("""COMPUTED_VALUE"""),"{""typ"":""lc"",""txt"":""LC_UNION_alliance_iron""}")</f>
        <v>{"typ":"lc","txt":"LC_UNION_alliance_iron"}</v>
      </c>
      <c r="E5" s="148" t="str">
        <f>IFERROR(__xludf.DUMMYFUNCTION("""COMPUTED_VALUE"""),"{""typ"":""lc"",""txt"":""LC_RSS_rss_1003_desc""}")</f>
        <v>{"typ":"lc","txt":"LC_RSS_rss_1003_desc"}</v>
      </c>
      <c r="F5" s="148">
        <f>IFERROR(__xludf.DUMMYFUNCTION("""COMPUTED_VALUE"""),1.0)</f>
        <v>1</v>
      </c>
      <c r="G5" s="148">
        <f>IFERROR(__xludf.DUMMYFUNCTION("""COMPUTED_VALUE"""),10004.0)</f>
        <v>10004</v>
      </c>
      <c r="H5" s="148">
        <f>IFERROR(__xludf.DUMMYFUNCTION("""COMPUTED_VALUE"""),9.99999999999E11)</f>
        <v>999999999999</v>
      </c>
      <c r="I5" s="148">
        <f>IFERROR(__xludf.DUMMYFUNCTION("""COMPUTED_VALUE"""),9.999999999E9)</f>
        <v>9999999999</v>
      </c>
      <c r="J5" s="148">
        <f>IFERROR(__xludf.DUMMYFUNCTION("""COMPUTED_VALUE"""),9.999999999E9)</f>
        <v>9999999999</v>
      </c>
      <c r="K5" s="148">
        <f>IFERROR(__xludf.DUMMYFUNCTION("""COMPUTED_VALUE"""),0.0)</f>
        <v>0</v>
      </c>
      <c r="L5" s="148">
        <f>IFERROR(__xludf.DUMMYFUNCTION("""COMPUTED_VALUE"""),1.174E7)</f>
        <v>11740000</v>
      </c>
    </row>
    <row r="6">
      <c r="A6" s="148">
        <f>IFERROR(__xludf.DUMMYFUNCTION("""COMPUTED_VALUE"""),1.1141006E7)</f>
        <v>11141006</v>
      </c>
      <c r="B6" s="148" t="str">
        <f>IFERROR(__xludf.DUMMYFUNCTION("""COMPUTED_VALUE"""),"联盟铀")</f>
        <v>联盟铀</v>
      </c>
      <c r="C6" s="148">
        <f>IFERROR(__xludf.DUMMYFUNCTION("""COMPUTED_VALUE"""),1.5111017E7)</f>
        <v>15111017</v>
      </c>
      <c r="D6" s="148" t="str">
        <f>IFERROR(__xludf.DUMMYFUNCTION("""COMPUTED_VALUE"""),"{""typ"":""lc"",""txt"":""LC_RSS_rss_1011_name""}")</f>
        <v>{"typ":"lc","txt":"LC_RSS_rss_1011_name"}</v>
      </c>
      <c r="E6" s="148" t="str">
        <f>IFERROR(__xludf.DUMMYFUNCTION("""COMPUTED_VALUE"""),"{""typ"":""lc"",""txt"":""LC_RSS_rss_1011_desc""}")</f>
        <v>{"typ":"lc","txt":"LC_RSS_rss_1011_desc"}</v>
      </c>
      <c r="F6" s="148">
        <f>IFERROR(__xludf.DUMMYFUNCTION("""COMPUTED_VALUE"""),1.0)</f>
        <v>1</v>
      </c>
      <c r="G6" s="148">
        <f>IFERROR(__xludf.DUMMYFUNCTION("""COMPUTED_VALUE"""),10005.0)</f>
        <v>10005</v>
      </c>
      <c r="H6" s="148">
        <f>IFERROR(__xludf.DUMMYFUNCTION("""COMPUTED_VALUE"""),9.99999999999E11)</f>
        <v>999999999999</v>
      </c>
      <c r="I6" s="148">
        <f>IFERROR(__xludf.DUMMYFUNCTION("""COMPUTED_VALUE"""),9.999999999E9)</f>
        <v>9999999999</v>
      </c>
      <c r="J6" s="148">
        <f>IFERROR(__xludf.DUMMYFUNCTION("""COMPUTED_VALUE"""),9.999999999E9)</f>
        <v>9999999999</v>
      </c>
      <c r="K6" s="148">
        <f>IFERROR(__xludf.DUMMYFUNCTION("""COMPUTED_VALUE"""),0.0)</f>
        <v>0</v>
      </c>
      <c r="L6" s="148">
        <f>IFERROR(__xludf.DUMMYFUNCTION("""COMPUTED_VALUE"""),1.174E7)</f>
        <v>11740000</v>
      </c>
    </row>
    <row r="7">
      <c r="A7" s="148">
        <f>IFERROR(__xludf.DUMMYFUNCTION("""COMPUTED_VALUE"""),1.1141011E7)</f>
        <v>11141011</v>
      </c>
      <c r="B7" s="148" t="str">
        <f>IFERROR(__xludf.DUMMYFUNCTION("""COMPUTED_VALUE"""),"铀")</f>
        <v>铀</v>
      </c>
      <c r="C7" s="148">
        <f>IFERROR(__xludf.DUMMYFUNCTION("""COMPUTED_VALUE"""),1.5111017E7)</f>
        <v>15111017</v>
      </c>
      <c r="D7" s="148" t="str">
        <f>IFERROR(__xludf.DUMMYFUNCTION("""COMPUTED_VALUE"""),"{""typ"":""lc"",""txt"":""LC_RSS_rss_1011_name""}")</f>
        <v>{"typ":"lc","txt":"LC_RSS_rss_1011_name"}</v>
      </c>
      <c r="E7" s="148" t="str">
        <f>IFERROR(__xludf.DUMMYFUNCTION("""COMPUTED_VALUE"""),"{""typ"":""lc"",""txt"":""LC_RSS_rss_1011_desc""}")</f>
        <v>{"typ":"lc","txt":"LC_RSS_rss_1011_desc"}</v>
      </c>
      <c r="F7" s="148">
        <f>IFERROR(__xludf.DUMMYFUNCTION("""COMPUTED_VALUE"""),1.0)</f>
        <v>1</v>
      </c>
      <c r="G7" s="148">
        <f>IFERROR(__xludf.DUMMYFUNCTION("""COMPUTED_VALUE"""),10005.0)</f>
        <v>10005</v>
      </c>
      <c r="H7" s="148">
        <f>IFERROR(__xludf.DUMMYFUNCTION("""COMPUTED_VALUE"""),9.99999999999E11)</f>
        <v>999999999999</v>
      </c>
      <c r="I7" s="148">
        <f>IFERROR(__xludf.DUMMYFUNCTION("""COMPUTED_VALUE"""),9.999999999E9)</f>
        <v>9999999999</v>
      </c>
      <c r="J7" s="148">
        <f>IFERROR(__xludf.DUMMYFUNCTION("""COMPUTED_VALUE"""),9.999999999E9)</f>
        <v>9999999999</v>
      </c>
      <c r="K7" s="148">
        <f>IFERROR(__xludf.DUMMYFUNCTION("""COMPUTED_VALUE"""),0.0)</f>
        <v>0</v>
      </c>
      <c r="L7" s="148">
        <f>IFERROR(__xludf.DUMMYFUNCTION("""COMPUTED_VALUE"""),1.174E7)</f>
        <v>11740000</v>
      </c>
    </row>
    <row r="8">
      <c r="A8" s="148">
        <f>IFERROR(__xludf.DUMMYFUNCTION("""COMPUTED_VALUE"""),1.1141012E7)</f>
        <v>11141012</v>
      </c>
      <c r="B8" s="148" t="str">
        <f>IFERROR(__xludf.DUMMYFUNCTION("""COMPUTED_VALUE"""),"电池")</f>
        <v>电池</v>
      </c>
      <c r="C8" s="148">
        <f>IFERROR(__xludf.DUMMYFUNCTION("""COMPUTED_VALUE"""),1.5111018E7)</f>
        <v>15111018</v>
      </c>
      <c r="D8" s="148" t="str">
        <f>IFERROR(__xludf.DUMMYFUNCTION("""COMPUTED_VALUE"""),"{""typ"":""lc"",""txt"":""LC_RSS_rss_1012_name""}")</f>
        <v>{"typ":"lc","txt":"LC_RSS_rss_1012_name"}</v>
      </c>
      <c r="E8" s="148" t="str">
        <f>IFERROR(__xludf.DUMMYFUNCTION("""COMPUTED_VALUE"""),"{""typ"":""lc"",""txt"":""LC_RSS_rss_1012_desc""}")</f>
        <v>{"typ":"lc","txt":"LC_RSS_rss_1012_desc"}</v>
      </c>
      <c r="F8" s="148">
        <f>IFERROR(__xludf.DUMMYFUNCTION("""COMPUTED_VALUE"""),1.0)</f>
        <v>1</v>
      </c>
      <c r="G8" s="148">
        <f>IFERROR(__xludf.DUMMYFUNCTION("""COMPUTED_VALUE"""),10005.0)</f>
        <v>10005</v>
      </c>
      <c r="H8" s="148">
        <f>IFERROR(__xludf.DUMMYFUNCTION("""COMPUTED_VALUE"""),9.99999999999E11)</f>
        <v>999999999999</v>
      </c>
      <c r="I8" s="148">
        <f>IFERROR(__xludf.DUMMYFUNCTION("""COMPUTED_VALUE"""),9.999999999E9)</f>
        <v>9999999999</v>
      </c>
      <c r="J8" s="148">
        <f>IFERROR(__xludf.DUMMYFUNCTION("""COMPUTED_VALUE"""),9.999999999E9)</f>
        <v>9999999999</v>
      </c>
      <c r="K8" s="148">
        <f>IFERROR(__xludf.DUMMYFUNCTION("""COMPUTED_VALUE"""),1.1681003E7)</f>
        <v>11681003</v>
      </c>
      <c r="L8" s="148">
        <f>IFERROR(__xludf.DUMMYFUNCTION("""COMPUTED_VALUE"""),1.1742003E7)</f>
        <v>11742003</v>
      </c>
    </row>
    <row r="9">
      <c r="A9" s="148">
        <f>IFERROR(__xludf.DUMMYFUNCTION("""COMPUTED_VALUE"""),1.1141013E7)</f>
        <v>11141013</v>
      </c>
      <c r="B9" s="148" t="str">
        <f>IFERROR(__xludf.DUMMYFUNCTION("""COMPUTED_VALUE"""),"挖矿药水（升级科技）")</f>
        <v>挖矿药水（升级科技）</v>
      </c>
      <c r="C9" s="148">
        <f>IFERROR(__xludf.DUMMYFUNCTION("""COMPUTED_VALUE"""),1.5115588E7)</f>
        <v>15115588</v>
      </c>
      <c r="D9" s="148" t="str">
        <f>IFERROR(__xludf.DUMMYFUNCTION("""COMPUTED_VALUE"""),"{""typ"":""lc"",""txt"":""LC_METRO_liquid_name""}")</f>
        <v>{"typ":"lc","txt":"LC_METRO_liquid_name"}</v>
      </c>
      <c r="E9" s="148" t="str">
        <f>IFERROR(__xludf.DUMMYFUNCTION("""COMPUTED_VALUE"""),"{""typ"":""lc"",""txt"":""LC_METRO_liquid_desc""}")</f>
        <v>{"typ":"lc","txt":"LC_METRO_liquid_desc"}</v>
      </c>
      <c r="F9" s="148">
        <f>IFERROR(__xludf.DUMMYFUNCTION("""COMPUTED_VALUE"""),1.0)</f>
        <v>1</v>
      </c>
      <c r="G9" s="148">
        <f>IFERROR(__xludf.DUMMYFUNCTION("""COMPUTED_VALUE"""),10005.0)</f>
        <v>10005</v>
      </c>
      <c r="H9" s="148">
        <f>IFERROR(__xludf.DUMMYFUNCTION("""COMPUTED_VALUE"""),9.99999999999E11)</f>
        <v>999999999999</v>
      </c>
      <c r="I9" s="148">
        <f>IFERROR(__xludf.DUMMYFUNCTION("""COMPUTED_VALUE"""),9.999999999E9)</f>
        <v>9999999999</v>
      </c>
      <c r="J9" s="148">
        <f>IFERROR(__xludf.DUMMYFUNCTION("""COMPUTED_VALUE"""),9.999999999E9)</f>
        <v>9999999999</v>
      </c>
      <c r="K9" s="148">
        <f>IFERROR(__xludf.DUMMYFUNCTION("""COMPUTED_VALUE"""),0.0)</f>
        <v>0</v>
      </c>
      <c r="L9" s="148">
        <f>IFERROR(__xludf.DUMMYFUNCTION("""COMPUTED_VALUE"""),1.174E7)</f>
        <v>11740000</v>
      </c>
    </row>
    <row r="10">
      <c r="A10" s="148">
        <f>IFERROR(__xludf.DUMMYFUNCTION("""COMPUTED_VALUE"""),1.1141014E7)</f>
        <v>11141014</v>
      </c>
      <c r="B10" s="148" t="str">
        <f>IFERROR(__xludf.DUMMYFUNCTION("""COMPUTED_VALUE"""),"挖矿药水-活动（升级科技）")</f>
        <v>挖矿药水-活动（升级科技）</v>
      </c>
      <c r="C10" s="148">
        <f>IFERROR(__xludf.DUMMYFUNCTION("""COMPUTED_VALUE"""),1.5116261E7)</f>
        <v>15116261</v>
      </c>
      <c r="D10" s="148" t="str">
        <f>IFERROR(__xludf.DUMMYFUNCTION("""COMPUTED_VALUE"""),"{""typ"":""lc"",""txt"":""LC_METRO_actv_liquid_name""}")</f>
        <v>{"typ":"lc","txt":"LC_METRO_actv_liquid_name"}</v>
      </c>
      <c r="E10" s="148" t="str">
        <f>IFERROR(__xludf.DUMMYFUNCTION("""COMPUTED_VALUE"""),"{""typ"":""lc"",""txt"":""LC_METRO_actv_liquid_desc""}")</f>
        <v>{"typ":"lc","txt":"LC_METRO_actv_liquid_desc"}</v>
      </c>
      <c r="F10" s="148">
        <f>IFERROR(__xludf.DUMMYFUNCTION("""COMPUTED_VALUE"""),1.0)</f>
        <v>1</v>
      </c>
      <c r="G10" s="148">
        <f>IFERROR(__xludf.DUMMYFUNCTION("""COMPUTED_VALUE"""),10005.0)</f>
        <v>10005</v>
      </c>
      <c r="H10" s="148">
        <f>IFERROR(__xludf.DUMMYFUNCTION("""COMPUTED_VALUE"""),9.99999999999E11)</f>
        <v>999999999999</v>
      </c>
      <c r="I10" s="148">
        <f>IFERROR(__xludf.DUMMYFUNCTION("""COMPUTED_VALUE"""),9.999999999E9)</f>
        <v>9999999999</v>
      </c>
      <c r="J10" s="148">
        <f>IFERROR(__xludf.DUMMYFUNCTION("""COMPUTED_VALUE"""),9.999999999E9)</f>
        <v>9999999999</v>
      </c>
      <c r="K10" s="148">
        <f>IFERROR(__xludf.DUMMYFUNCTION("""COMPUTED_VALUE"""),0.0)</f>
        <v>0</v>
      </c>
      <c r="L10" s="148">
        <f>IFERROR(__xludf.DUMMYFUNCTION("""COMPUTED_VALUE"""),1.174E7)</f>
        <v>11740000</v>
      </c>
    </row>
    <row r="11">
      <c r="A11" s="148">
        <f>IFERROR(__xludf.DUMMYFUNCTION("""COMPUTED_VALUE"""),1.1141015E7)</f>
        <v>11141015</v>
      </c>
      <c r="B11" s="148" t="str">
        <f>IFERROR(__xludf.DUMMYFUNCTION("""COMPUTED_VALUE"""),"挖矿药水--地下世界-地底试剂（升级科技）")</f>
        <v>挖矿药水--地下世界-地底试剂（升级科技）</v>
      </c>
      <c r="C11" s="148">
        <f>IFERROR(__xludf.DUMMYFUNCTION("""COMPUTED_VALUE"""),1.5117327E7)</f>
        <v>15117327</v>
      </c>
      <c r="D11" s="148" t="str">
        <f>IFERROR(__xludf.DUMMYFUNCTION("""COMPUTED_VALUE"""),"{""typ"":""lc"",""txt"":""LC_METRO_uw_liquid_name""}")</f>
        <v>{"typ":"lc","txt":"LC_METRO_uw_liquid_name"}</v>
      </c>
      <c r="E11" s="148" t="str">
        <f>IFERROR(__xludf.DUMMYFUNCTION("""COMPUTED_VALUE"""),"{""typ"":""lc"",""txt"":""LC_METRO_uw_liquid_desc""}")</f>
        <v>{"typ":"lc","txt":"LC_METRO_uw_liquid_desc"}</v>
      </c>
      <c r="F11" s="148">
        <f>IFERROR(__xludf.DUMMYFUNCTION("""COMPUTED_VALUE"""),1.0)</f>
        <v>1</v>
      </c>
      <c r="G11" s="148">
        <f>IFERROR(__xludf.DUMMYFUNCTION("""COMPUTED_VALUE"""),10005.0)</f>
        <v>10005</v>
      </c>
      <c r="H11" s="148">
        <f>IFERROR(__xludf.DUMMYFUNCTION("""COMPUTED_VALUE"""),9.99999999999E11)</f>
        <v>999999999999</v>
      </c>
      <c r="I11" s="148">
        <f>IFERROR(__xludf.DUMMYFUNCTION("""COMPUTED_VALUE"""),9.999999999E9)</f>
        <v>9999999999</v>
      </c>
      <c r="J11" s="148">
        <f>IFERROR(__xludf.DUMMYFUNCTION("""COMPUTED_VALUE"""),9.999999999E9)</f>
        <v>9999999999</v>
      </c>
      <c r="K11" s="148">
        <f>IFERROR(__xludf.DUMMYFUNCTION("""COMPUTED_VALUE"""),0.0)</f>
        <v>0</v>
      </c>
      <c r="L11" s="148">
        <f>IFERROR(__xludf.DUMMYFUNCTION("""COMPUTED_VALUE"""),1.1740001E7)</f>
        <v>11740001</v>
      </c>
    </row>
    <row r="12">
      <c r="A12" s="148">
        <f>IFERROR(__xludf.DUMMYFUNCTION("""COMPUTED_VALUE"""),1.1141016E7)</f>
        <v>11141016</v>
      </c>
      <c r="B12" s="148" t="str">
        <f>IFERROR(__xludf.DUMMYFUNCTION("""COMPUTED_VALUE"""),"挖矿药水-原服地下世界-地底试剂（升级科技）")</f>
        <v>挖矿药水-原服地下世界-地底试剂（升级科技）</v>
      </c>
      <c r="C12" s="148">
        <f>IFERROR(__xludf.DUMMYFUNCTION("""COMPUTED_VALUE"""),1.51100352E8)</f>
        <v>151100352</v>
      </c>
      <c r="D12" s="148" t="str">
        <f>IFERROR(__xludf.DUMMYFUNCTION("""COMPUTED_VALUE"""),"{""typ"":""lc"",""txt"":""LC_METRO_uw_liquid_name""}")</f>
        <v>{"typ":"lc","txt":"LC_METRO_uw_liquid_name"}</v>
      </c>
      <c r="E12" s="148" t="str">
        <f>IFERROR(__xludf.DUMMYFUNCTION("""COMPUTED_VALUE"""),"{""typ"":""lc"",""txt"":""LC_METRO_uw_liquid_desc""}")</f>
        <v>{"typ":"lc","txt":"LC_METRO_uw_liquid_desc"}</v>
      </c>
      <c r="F12" s="148">
        <f>IFERROR(__xludf.DUMMYFUNCTION("""COMPUTED_VALUE"""),1.0)</f>
        <v>1</v>
      </c>
      <c r="G12" s="148">
        <f>IFERROR(__xludf.DUMMYFUNCTION("""COMPUTED_VALUE"""),10005.0)</f>
        <v>10005</v>
      </c>
      <c r="H12" s="148">
        <f>IFERROR(__xludf.DUMMYFUNCTION("""COMPUTED_VALUE"""),9.99999999999E11)</f>
        <v>999999999999</v>
      </c>
      <c r="I12" s="148">
        <f>IFERROR(__xludf.DUMMYFUNCTION("""COMPUTED_VALUE"""),9.999999999E9)</f>
        <v>9999999999</v>
      </c>
      <c r="J12" s="148">
        <f>IFERROR(__xludf.DUMMYFUNCTION("""COMPUTED_VALUE"""),9.999999999E9)</f>
        <v>9999999999</v>
      </c>
      <c r="K12" s="148">
        <f>IFERROR(__xludf.DUMMYFUNCTION("""COMPUTED_VALUE"""),0.0)</f>
        <v>0</v>
      </c>
      <c r="L12" s="148">
        <f>IFERROR(__xludf.DUMMYFUNCTION("""COMPUTED_VALUE"""),1.1740001E7)</f>
        <v>11740001</v>
      </c>
    </row>
    <row r="13">
      <c r="A13" s="148">
        <f>IFERROR(__xludf.DUMMYFUNCTION("""COMPUTED_VALUE"""),1.1141021E7)</f>
        <v>11141021</v>
      </c>
      <c r="B13" s="148" t="str">
        <f>IFERROR(__xludf.DUMMYFUNCTION("""COMPUTED_VALUE"""),"联盟礼物经验")</f>
        <v>联盟礼物经验</v>
      </c>
      <c r="C13" s="148">
        <f>IFERROR(__xludf.DUMMYFUNCTION("""COMPUTED_VALUE"""),1.5112495E7)</f>
        <v>15112495</v>
      </c>
      <c r="D13" s="148" t="str">
        <f>IFERROR(__xludf.DUMMYFUNCTION("""COMPUTED_VALUE"""),"{""typ"":""lc"",""txt"":""LC_RSS_rss_1021_name""}")</f>
        <v>{"typ":"lc","txt":"LC_RSS_rss_1021_name"}</v>
      </c>
      <c r="E13" s="148" t="str">
        <f>IFERROR(__xludf.DUMMYFUNCTION("""COMPUTED_VALUE"""),"{""typ"":""lc"",""txt"":""LC_RSS_rss_1021_desc""}")</f>
        <v>{"typ":"lc","txt":"LC_RSS_rss_1021_desc"}</v>
      </c>
      <c r="F13" s="148">
        <f>IFERROR(__xludf.DUMMYFUNCTION("""COMPUTED_VALUE"""),1.0)</f>
        <v>1</v>
      </c>
      <c r="G13" s="148">
        <f>IFERROR(__xludf.DUMMYFUNCTION("""COMPUTED_VALUE"""),10006.0)</f>
        <v>10006</v>
      </c>
      <c r="H13" s="148">
        <f>IFERROR(__xludf.DUMMYFUNCTION("""COMPUTED_VALUE"""),9.99999999999E11)</f>
        <v>999999999999</v>
      </c>
      <c r="I13" s="148">
        <f>IFERROR(__xludf.DUMMYFUNCTION("""COMPUTED_VALUE"""),9.999999999E9)</f>
        <v>9999999999</v>
      </c>
      <c r="J13" s="148">
        <f>IFERROR(__xludf.DUMMYFUNCTION("""COMPUTED_VALUE"""),9.999999999E9)</f>
        <v>9999999999</v>
      </c>
      <c r="K13" s="148">
        <f>IFERROR(__xludf.DUMMYFUNCTION("""COMPUTED_VALUE"""),0.0)</f>
        <v>0</v>
      </c>
      <c r="L13" s="148">
        <f>IFERROR(__xludf.DUMMYFUNCTION("""COMPUTED_VALUE"""),1.174E7)</f>
        <v>11740000</v>
      </c>
    </row>
    <row r="14">
      <c r="A14" s="148">
        <f>IFERROR(__xludf.DUMMYFUNCTION("""COMPUTED_VALUE"""),1.1141022E7)</f>
        <v>11141022</v>
      </c>
      <c r="B14" s="148" t="str">
        <f>IFERROR(__xludf.DUMMYFUNCTION("""COMPUTED_VALUE"""),"联盟大宝藏钥匙")</f>
        <v>联盟大宝藏钥匙</v>
      </c>
      <c r="C14" s="148">
        <f>IFERROR(__xludf.DUMMYFUNCTION("""COMPUTED_VALUE"""),1.5112496E7)</f>
        <v>15112496</v>
      </c>
      <c r="D14" s="148" t="str">
        <f>IFERROR(__xludf.DUMMYFUNCTION("""COMPUTED_VALUE"""),"{""typ"":""lc"",""txt"":""LC_RSS_rss_1022_name""}")</f>
        <v>{"typ":"lc","txt":"LC_RSS_rss_1022_name"}</v>
      </c>
      <c r="E14" s="148" t="str">
        <f>IFERROR(__xludf.DUMMYFUNCTION("""COMPUTED_VALUE"""),"{""typ"":""lc"",""txt"":""LC_RSS_rss_1022_desc""}")</f>
        <v>{"typ":"lc","txt":"LC_RSS_rss_1022_desc"}</v>
      </c>
      <c r="F14" s="148">
        <f>IFERROR(__xludf.DUMMYFUNCTION("""COMPUTED_VALUE"""),1.0)</f>
        <v>1</v>
      </c>
      <c r="G14" s="148">
        <f>IFERROR(__xludf.DUMMYFUNCTION("""COMPUTED_VALUE"""),10007.0)</f>
        <v>10007</v>
      </c>
      <c r="H14" s="148">
        <f>IFERROR(__xludf.DUMMYFUNCTION("""COMPUTED_VALUE"""),9.99999999999E11)</f>
        <v>999999999999</v>
      </c>
      <c r="I14" s="148">
        <f>IFERROR(__xludf.DUMMYFUNCTION("""COMPUTED_VALUE"""),9.999999999E9)</f>
        <v>9999999999</v>
      </c>
      <c r="J14" s="148">
        <f>IFERROR(__xludf.DUMMYFUNCTION("""COMPUTED_VALUE"""),9.999999999E9)</f>
        <v>9999999999</v>
      </c>
      <c r="K14" s="148">
        <f>IFERROR(__xludf.DUMMYFUNCTION("""COMPUTED_VALUE"""),0.0)</f>
        <v>0</v>
      </c>
      <c r="L14" s="148">
        <f>IFERROR(__xludf.DUMMYFUNCTION("""COMPUTED_VALUE"""),1.174E7)</f>
        <v>11740000</v>
      </c>
    </row>
    <row r="15">
      <c r="A15" s="148">
        <f>IFERROR(__xludf.DUMMYFUNCTION("""COMPUTED_VALUE"""),1.1141023E7)</f>
        <v>11141023</v>
      </c>
      <c r="B15" s="148" t="str">
        <f>IFERROR(__xludf.DUMMYFUNCTION("""COMPUTED_VALUE"""),"联盟科技进度点")</f>
        <v>联盟科技进度点</v>
      </c>
      <c r="C15" s="148">
        <f>IFERROR(__xludf.DUMMYFUNCTION("""COMPUTED_VALUE"""),1.5112467E7)</f>
        <v>15112467</v>
      </c>
      <c r="D15" s="148" t="str">
        <f>IFERROR(__xludf.DUMMYFUNCTION("""COMPUTED_VALUE"""),"{""typ"":""lc"",""txt"":""LC_RSS_rss_1023_name""}")</f>
        <v>{"typ":"lc","txt":"LC_RSS_rss_1023_name"}</v>
      </c>
      <c r="E15" s="148" t="str">
        <f>IFERROR(__xludf.DUMMYFUNCTION("""COMPUTED_VALUE"""),"{""typ"":""lc"",""txt"":""LC_RSS_rss_1023_desc""}")</f>
        <v>{"typ":"lc","txt":"LC_RSS_rss_1023_desc"}</v>
      </c>
      <c r="F15" s="148">
        <f>IFERROR(__xludf.DUMMYFUNCTION("""COMPUTED_VALUE"""),1.0)</f>
        <v>1</v>
      </c>
      <c r="G15" s="148">
        <f>IFERROR(__xludf.DUMMYFUNCTION("""COMPUTED_VALUE"""),10008.0)</f>
        <v>10008</v>
      </c>
      <c r="H15" s="148">
        <f>IFERROR(__xludf.DUMMYFUNCTION("""COMPUTED_VALUE"""),9.99999999999E11)</f>
        <v>999999999999</v>
      </c>
      <c r="I15" s="148">
        <f>IFERROR(__xludf.DUMMYFUNCTION("""COMPUTED_VALUE"""),9.999999999E9)</f>
        <v>9999999999</v>
      </c>
      <c r="J15" s="148">
        <f>IFERROR(__xludf.DUMMYFUNCTION("""COMPUTED_VALUE"""),9.999999999E9)</f>
        <v>9999999999</v>
      </c>
      <c r="K15" s="148">
        <f>IFERROR(__xludf.DUMMYFUNCTION("""COMPUTED_VALUE"""),0.0)</f>
        <v>0</v>
      </c>
      <c r="L15" s="148">
        <f>IFERROR(__xludf.DUMMYFUNCTION("""COMPUTED_VALUE"""),1.174E7)</f>
        <v>11740000</v>
      </c>
    </row>
    <row r="16">
      <c r="A16" s="148">
        <f>IFERROR(__xludf.DUMMYFUNCTION("""COMPUTED_VALUE"""),1.1141024E7)</f>
        <v>11141024</v>
      </c>
      <c r="B16" s="148" t="str">
        <f>IFERROR(__xludf.DUMMYFUNCTION("""COMPUTED_VALUE"""),"联盟能量进度点")</f>
        <v>联盟能量进度点</v>
      </c>
      <c r="C16" s="148">
        <f>IFERROR(__xludf.DUMMYFUNCTION("""COMPUTED_VALUE"""),1.5114837E7)</f>
        <v>15114837</v>
      </c>
      <c r="D16" s="148" t="str">
        <f>IFERROR(__xludf.DUMMYFUNCTION("""COMPUTED_VALUE"""),"{""typ"":""lc"",""txt"":""LC_RSS_rss_1024_name""}")</f>
        <v>{"typ":"lc","txt":"LC_RSS_rss_1024_name"}</v>
      </c>
      <c r="E16" s="148" t="str">
        <f>IFERROR(__xludf.DUMMYFUNCTION("""COMPUTED_VALUE"""),"{""typ"":""lc"",""txt"":""LC_RSS_rss_1024_desc""}")</f>
        <v>{"typ":"lc","txt":"LC_RSS_rss_1024_desc"}</v>
      </c>
      <c r="F16" s="148">
        <f>IFERROR(__xludf.DUMMYFUNCTION("""COMPUTED_VALUE"""),1.0)</f>
        <v>1</v>
      </c>
      <c r="G16" s="148">
        <f>IFERROR(__xludf.DUMMYFUNCTION("""COMPUTED_VALUE"""),10008.0)</f>
        <v>10008</v>
      </c>
      <c r="H16" s="148">
        <f>IFERROR(__xludf.DUMMYFUNCTION("""COMPUTED_VALUE"""),9.99999999999E11)</f>
        <v>999999999999</v>
      </c>
      <c r="I16" s="148">
        <f>IFERROR(__xludf.DUMMYFUNCTION("""COMPUTED_VALUE"""),9.999999999E9)</f>
        <v>9999999999</v>
      </c>
      <c r="J16" s="148">
        <f>IFERROR(__xludf.DUMMYFUNCTION("""COMPUTED_VALUE"""),9.999999999E9)</f>
        <v>9999999999</v>
      </c>
      <c r="K16" s="148">
        <f>IFERROR(__xludf.DUMMYFUNCTION("""COMPUTED_VALUE"""),0.0)</f>
        <v>0</v>
      </c>
      <c r="L16" s="148">
        <f>IFERROR(__xludf.DUMMYFUNCTION("""COMPUTED_VALUE"""),1.174E7)</f>
        <v>11740000</v>
      </c>
    </row>
    <row r="17">
      <c r="A17" s="148">
        <f>IFERROR(__xludf.DUMMYFUNCTION("""COMPUTED_VALUE"""),1.1141025E7)</f>
        <v>11141025</v>
      </c>
      <c r="B17" s="148" t="str">
        <f>IFERROR(__xludf.DUMMYFUNCTION("""COMPUTED_VALUE"""),"电池技能进度点-电力值")</f>
        <v>电池技能进度点-电力值</v>
      </c>
      <c r="C17" s="148">
        <f>IFERROR(__xludf.DUMMYFUNCTION("""COMPUTED_VALUE"""),1.511636E7)</f>
        <v>15116360</v>
      </c>
      <c r="D17" s="148" t="str">
        <f>IFERROR(__xludf.DUMMYFUNCTION("""COMPUTED_VALUE"""),"{""typ"":""lc"",""txt"":""LC_RESEARCH_battery_power_name""}")</f>
        <v>{"typ":"lc","txt":"LC_RESEARCH_battery_power_name"}</v>
      </c>
      <c r="E17" s="148" t="str">
        <f>IFERROR(__xludf.DUMMYFUNCTION("""COMPUTED_VALUE"""),"{""typ"":""lc"",""txt"":""LC_RESEARCH_battery_power_desc""}")</f>
        <v>{"typ":"lc","txt":"LC_RESEARCH_battery_power_desc"}</v>
      </c>
      <c r="F17" s="148">
        <f>IFERROR(__xludf.DUMMYFUNCTION("""COMPUTED_VALUE"""),1.0)</f>
        <v>1</v>
      </c>
      <c r="G17" s="148">
        <f>IFERROR(__xludf.DUMMYFUNCTION("""COMPUTED_VALUE"""),10014.0)</f>
        <v>10014</v>
      </c>
      <c r="H17" s="148">
        <f>IFERROR(__xludf.DUMMYFUNCTION("""COMPUTED_VALUE"""),9.99999999999E11)</f>
        <v>999999999999</v>
      </c>
      <c r="I17" s="148">
        <f>IFERROR(__xludf.DUMMYFUNCTION("""COMPUTED_VALUE"""),9.999999999E9)</f>
        <v>9999999999</v>
      </c>
      <c r="J17" s="148">
        <f>IFERROR(__xludf.DUMMYFUNCTION("""COMPUTED_VALUE"""),9.999999999E9)</f>
        <v>9999999999</v>
      </c>
      <c r="K17" s="148">
        <f>IFERROR(__xludf.DUMMYFUNCTION("""COMPUTED_VALUE"""),0.0)</f>
        <v>0</v>
      </c>
      <c r="L17" s="148">
        <f>IFERROR(__xludf.DUMMYFUNCTION("""COMPUTED_VALUE"""),1.174E7)</f>
        <v>11740000</v>
      </c>
    </row>
    <row r="18">
      <c r="A18" s="148">
        <f>IFERROR(__xludf.DUMMYFUNCTION("""COMPUTED_VALUE"""),1.1141031E7)</f>
        <v>11141031</v>
      </c>
      <c r="B18" s="148" t="str">
        <f>IFERROR(__xludf.DUMMYFUNCTION("""COMPUTED_VALUE"""),"英雄经验")</f>
        <v>英雄经验</v>
      </c>
      <c r="C18" s="148">
        <f>IFERROR(__xludf.DUMMYFUNCTION("""COMPUTED_VALUE"""),1.5112781E7)</f>
        <v>15112781</v>
      </c>
      <c r="D18" s="148" t="str">
        <f>IFERROR(__xludf.DUMMYFUNCTION("""COMPUTED_VALUE"""),"{""typ"":""lc"",""txt"":""LC_RSS_rss_1031_name""}")</f>
        <v>{"typ":"lc","txt":"LC_RSS_rss_1031_name"}</v>
      </c>
      <c r="E18" s="148" t="str">
        <f>IFERROR(__xludf.DUMMYFUNCTION("""COMPUTED_VALUE"""),"{""typ"":""lc"",""txt"":""LC_RSS_rss_1031_desc""}")</f>
        <v>{"typ":"lc","txt":"LC_RSS_rss_1031_desc"}</v>
      </c>
      <c r="F18" s="148">
        <f>IFERROR(__xludf.DUMMYFUNCTION("""COMPUTED_VALUE"""),1.0)</f>
        <v>1</v>
      </c>
      <c r="G18" s="148">
        <f>IFERROR(__xludf.DUMMYFUNCTION("""COMPUTED_VALUE"""),10009.0)</f>
        <v>10009</v>
      </c>
      <c r="H18" s="148">
        <f>IFERROR(__xludf.DUMMYFUNCTION("""COMPUTED_VALUE"""),9.99999999999E11)</f>
        <v>999999999999</v>
      </c>
      <c r="I18" s="148">
        <f>IFERROR(__xludf.DUMMYFUNCTION("""COMPUTED_VALUE"""),9.999999999E9)</f>
        <v>9999999999</v>
      </c>
      <c r="J18" s="148">
        <f>IFERROR(__xludf.DUMMYFUNCTION("""COMPUTED_VALUE"""),9.999999999E9)</f>
        <v>9999999999</v>
      </c>
      <c r="K18" s="148">
        <f>IFERROR(__xludf.DUMMYFUNCTION("""COMPUTED_VALUE"""),1.168101E7)</f>
        <v>11681010</v>
      </c>
      <c r="L18" s="148">
        <f>IFERROR(__xludf.DUMMYFUNCTION("""COMPUTED_VALUE"""),1.174E7)</f>
        <v>11740000</v>
      </c>
    </row>
    <row r="19">
      <c r="A19" s="148">
        <f>IFERROR(__xludf.DUMMYFUNCTION("""COMPUTED_VALUE"""),1.1141032E7)</f>
        <v>11141032</v>
      </c>
      <c r="B19" s="148" t="str">
        <f>IFERROR(__xludf.DUMMYFUNCTION("""COMPUTED_VALUE"""),"英雄星级经验")</f>
        <v>英雄星级经验</v>
      </c>
      <c r="C19" s="148">
        <f>IFERROR(__xludf.DUMMYFUNCTION("""COMPUTED_VALUE"""),1.5112817E7)</f>
        <v>15112817</v>
      </c>
      <c r="D19" s="148" t="str">
        <f>IFERROR(__xludf.DUMMYFUNCTION("""COMPUTED_VALUE"""),"{""typ"":""lc"",""txt"":""LC_HERO_hero_starup_exp""}")</f>
        <v>{"typ":"lc","txt":"LC_HERO_hero_starup_exp"}</v>
      </c>
      <c r="E19" s="148" t="str">
        <f>IFERROR(__xludf.DUMMYFUNCTION("""COMPUTED_VALUE"""),"{""typ"":""lc"",""txt"":""LC_RSS_rss_1032_desc""}")</f>
        <v>{"typ":"lc","txt":"LC_RSS_rss_1032_desc"}</v>
      </c>
      <c r="F19" s="148">
        <f>IFERROR(__xludf.DUMMYFUNCTION("""COMPUTED_VALUE"""),1.0)</f>
        <v>1</v>
      </c>
      <c r="G19" s="148">
        <f>IFERROR(__xludf.DUMMYFUNCTION("""COMPUTED_VALUE"""),10010.0)</f>
        <v>10010</v>
      </c>
      <c r="H19" s="148">
        <f>IFERROR(__xludf.DUMMYFUNCTION("""COMPUTED_VALUE"""),9.99999999999E11)</f>
        <v>999999999999</v>
      </c>
      <c r="I19" s="148">
        <f>IFERROR(__xludf.DUMMYFUNCTION("""COMPUTED_VALUE"""),9.999999999E9)</f>
        <v>9999999999</v>
      </c>
      <c r="J19" s="148">
        <f>IFERROR(__xludf.DUMMYFUNCTION("""COMPUTED_VALUE"""),9.999999999E9)</f>
        <v>9999999999</v>
      </c>
      <c r="K19" s="148">
        <f>IFERROR(__xludf.DUMMYFUNCTION("""COMPUTED_VALUE"""),0.0)</f>
        <v>0</v>
      </c>
      <c r="L19" s="148">
        <f>IFERROR(__xludf.DUMMYFUNCTION("""COMPUTED_VALUE"""),1.174E7)</f>
        <v>11740000</v>
      </c>
    </row>
    <row r="20">
      <c r="A20" s="148">
        <f>IFERROR(__xludf.DUMMYFUNCTION("""COMPUTED_VALUE"""),1.1141033E7)</f>
        <v>11141033</v>
      </c>
      <c r="B20" s="148" t="str">
        <f>IFERROR(__xludf.DUMMYFUNCTION("""COMPUTED_VALUE"""),"英雄天赋点")</f>
        <v>英雄天赋点</v>
      </c>
      <c r="C20" s="148">
        <f>IFERROR(__xludf.DUMMYFUNCTION("""COMPUTED_VALUE"""),1.511E7)</f>
        <v>15110000</v>
      </c>
      <c r="D20" s="148" t="str">
        <f>IFERROR(__xludf.DUMMYFUNCTION("""COMPUTED_VALUE"""),"{""typ"":""lc"",""txt"":""LC_RSS_rss_1033_name""}")</f>
        <v>{"typ":"lc","txt":"LC_RSS_rss_1033_name"}</v>
      </c>
      <c r="E20" s="148" t="str">
        <f>IFERROR(__xludf.DUMMYFUNCTION("""COMPUTED_VALUE"""),"{""typ"":""lc"",""txt"":""LC_RSS_rss_1033_desc""}")</f>
        <v>{"typ":"lc","txt":"LC_RSS_rss_1033_desc"}</v>
      </c>
      <c r="F20" s="148">
        <f>IFERROR(__xludf.DUMMYFUNCTION("""COMPUTED_VALUE"""),1.0)</f>
        <v>1</v>
      </c>
      <c r="G20" s="148">
        <f>IFERROR(__xludf.DUMMYFUNCTION("""COMPUTED_VALUE"""),10011.0)</f>
        <v>10011</v>
      </c>
      <c r="H20" s="148">
        <f>IFERROR(__xludf.DUMMYFUNCTION("""COMPUTED_VALUE"""),9.99999999999E11)</f>
        <v>999999999999</v>
      </c>
      <c r="I20" s="148">
        <f>IFERROR(__xludf.DUMMYFUNCTION("""COMPUTED_VALUE"""),9.999999999E9)</f>
        <v>9999999999</v>
      </c>
      <c r="J20" s="148">
        <f>IFERROR(__xludf.DUMMYFUNCTION("""COMPUTED_VALUE"""),9.999999999E9)</f>
        <v>9999999999</v>
      </c>
      <c r="K20" s="148">
        <f>IFERROR(__xludf.DUMMYFUNCTION("""COMPUTED_VALUE"""),0.0)</f>
        <v>0</v>
      </c>
      <c r="L20" s="148">
        <f>IFERROR(__xludf.DUMMYFUNCTION("""COMPUTED_VALUE"""),1.174E7)</f>
        <v>11740000</v>
      </c>
    </row>
    <row r="21">
      <c r="A21" s="148">
        <f>IFERROR(__xludf.DUMMYFUNCTION("""COMPUTED_VALUE"""),1.1141034E7)</f>
        <v>11141034</v>
      </c>
      <c r="B21" s="148" t="str">
        <f>IFERROR(__xludf.DUMMYFUNCTION("""COMPUTED_VALUE"""),"英雄星级幸运值")</f>
        <v>英雄星级幸运值</v>
      </c>
      <c r="C21" s="148">
        <f>IFERROR(__xludf.DUMMYFUNCTION("""COMPUTED_VALUE"""),1.5112818E7)</f>
        <v>15112818</v>
      </c>
      <c r="D21" s="148" t="str">
        <f>IFERROR(__xludf.DUMMYFUNCTION("""COMPUTED_VALUE"""),"{""typ"":""lc"",""txt"":""LC_RSS_rss_1034_name""}")</f>
        <v>{"typ":"lc","txt":"LC_RSS_rss_1034_name"}</v>
      </c>
      <c r="E21" s="148" t="str">
        <f>IFERROR(__xludf.DUMMYFUNCTION("""COMPUTED_VALUE"""),"{""typ"":""lc"",""txt"":""LC_RSS_rss_1034_desc""}")</f>
        <v>{"typ":"lc","txt":"LC_RSS_rss_1034_desc"}</v>
      </c>
      <c r="F21" s="148">
        <f>IFERROR(__xludf.DUMMYFUNCTION("""COMPUTED_VALUE"""),1.0)</f>
        <v>1</v>
      </c>
      <c r="G21" s="148">
        <f>IFERROR(__xludf.DUMMYFUNCTION("""COMPUTED_VALUE"""),10012.0)</f>
        <v>10012</v>
      </c>
      <c r="H21" s="148">
        <f>IFERROR(__xludf.DUMMYFUNCTION("""COMPUTED_VALUE"""),9.99999999999E11)</f>
        <v>999999999999</v>
      </c>
      <c r="I21" s="148">
        <f>IFERROR(__xludf.DUMMYFUNCTION("""COMPUTED_VALUE"""),9.999999999E9)</f>
        <v>9999999999</v>
      </c>
      <c r="J21" s="148">
        <f>IFERROR(__xludf.DUMMYFUNCTION("""COMPUTED_VALUE"""),9.999999999E9)</f>
        <v>9999999999</v>
      </c>
      <c r="K21" s="148">
        <f>IFERROR(__xludf.DUMMYFUNCTION("""COMPUTED_VALUE"""),0.0)</f>
        <v>0</v>
      </c>
      <c r="L21" s="148">
        <f>IFERROR(__xludf.DUMMYFUNCTION("""COMPUTED_VALUE"""),1.174E7)</f>
        <v>11740000</v>
      </c>
    </row>
    <row r="22">
      <c r="A22" s="148">
        <f>IFERROR(__xludf.DUMMYFUNCTION("""COMPUTED_VALUE"""),1.1141035E7)</f>
        <v>11141035</v>
      </c>
      <c r="B22" s="148" t="str">
        <f>IFERROR(__xludf.DUMMYFUNCTION("""COMPUTED_VALUE"""),"B道具 推进器")</f>
        <v>B道具 推进器</v>
      </c>
      <c r="C22" s="148">
        <f>IFERROR(__xludf.DUMMYFUNCTION("""COMPUTED_VALUE"""),1.5113041E7)</f>
        <v>15113041</v>
      </c>
      <c r="D22" s="148" t="str">
        <f>IFERROR(__xludf.DUMMYFUNCTION("""COMPUTED_VALUE"""),"{""typ"":""lc"",""txt"":""LC_RSS_rss_1035_name""}")</f>
        <v>{"typ":"lc","txt":"LC_RSS_rss_1035_name"}</v>
      </c>
      <c r="E22" s="148" t="str">
        <f>IFERROR(__xludf.DUMMYFUNCTION("""COMPUTED_VALUE"""),"{""typ"":""lc"",""txt"":""LC_RSS_rss_1035_desc""}")</f>
        <v>{"typ":"lc","txt":"LC_RSS_rss_1035_desc"}</v>
      </c>
      <c r="F22" s="148">
        <f>IFERROR(__xludf.DUMMYFUNCTION("""COMPUTED_VALUE"""),1.0)</f>
        <v>1</v>
      </c>
      <c r="G22" s="148">
        <f>IFERROR(__xludf.DUMMYFUNCTION("""COMPUTED_VALUE"""),10005.0)</f>
        <v>10005</v>
      </c>
      <c r="H22" s="148">
        <f>IFERROR(__xludf.DUMMYFUNCTION("""COMPUTED_VALUE"""),9.99999999999E11)</f>
        <v>999999999999</v>
      </c>
      <c r="I22" s="148">
        <f>IFERROR(__xludf.DUMMYFUNCTION("""COMPUTED_VALUE"""),9.999999999E9)</f>
        <v>9999999999</v>
      </c>
      <c r="J22" s="148">
        <f>IFERROR(__xludf.DUMMYFUNCTION("""COMPUTED_VALUE"""),9.999999999E9)</f>
        <v>9999999999</v>
      </c>
      <c r="K22" s="148">
        <f>IFERROR(__xludf.DUMMYFUNCTION("""COMPUTED_VALUE"""),0.0)</f>
        <v>0</v>
      </c>
      <c r="L22" s="148">
        <f>IFERROR(__xludf.DUMMYFUNCTION("""COMPUTED_VALUE"""),1.174E7)</f>
        <v>11740000</v>
      </c>
    </row>
    <row r="23">
      <c r="A23" s="148">
        <f>IFERROR(__xludf.DUMMYFUNCTION("""COMPUTED_VALUE"""),1.1141036E7)</f>
        <v>11141036</v>
      </c>
      <c r="B23" s="148" t="str">
        <f>IFERROR(__xludf.DUMMYFUNCTION("""COMPUTED_VALUE"""),"卫星战场-蓄电池块")</f>
        <v>卫星战场-蓄电池块</v>
      </c>
      <c r="C23" s="148">
        <f>IFERROR(__xludf.DUMMYFUNCTION("""COMPUTED_VALUE"""),1.5113522E7)</f>
        <v>15113522</v>
      </c>
      <c r="D23" s="148" t="str">
        <f>IFERROR(__xludf.DUMMYFUNCTION("""COMPUTED_VALUE"""),"{""typ"":""lc"",""txt"":""LC_RSS_rss_1036_name""}")</f>
        <v>{"typ":"lc","txt":"LC_RSS_rss_1036_name"}</v>
      </c>
      <c r="E23" s="148" t="str">
        <f>IFERROR(__xludf.DUMMYFUNCTION("""COMPUTED_VALUE"""),"{""typ"":""lc"",""txt"":""LC_RSS_rss_1036_desc""}")</f>
        <v>{"typ":"lc","txt":"LC_RSS_rss_1036_desc"}</v>
      </c>
      <c r="F23" s="148">
        <f>IFERROR(__xludf.DUMMYFUNCTION("""COMPUTED_VALUE"""),1.0)</f>
        <v>1</v>
      </c>
      <c r="G23" s="148">
        <f>IFERROR(__xludf.DUMMYFUNCTION("""COMPUTED_VALUE"""),10012.0)</f>
        <v>10012</v>
      </c>
      <c r="H23" s="148">
        <f>IFERROR(__xludf.DUMMYFUNCTION("""COMPUTED_VALUE"""),9.99999999999E11)</f>
        <v>999999999999</v>
      </c>
      <c r="I23" s="148">
        <f>IFERROR(__xludf.DUMMYFUNCTION("""COMPUTED_VALUE"""),9.999999999E9)</f>
        <v>9999999999</v>
      </c>
      <c r="J23" s="148">
        <f>IFERROR(__xludf.DUMMYFUNCTION("""COMPUTED_VALUE"""),9.999999999E9)</f>
        <v>9999999999</v>
      </c>
      <c r="K23" s="148">
        <f>IFERROR(__xludf.DUMMYFUNCTION("""COMPUTED_VALUE"""),0.0)</f>
        <v>0</v>
      </c>
      <c r="L23" s="148">
        <f>IFERROR(__xludf.DUMMYFUNCTION("""COMPUTED_VALUE"""),1.174E7)</f>
        <v>11740000</v>
      </c>
    </row>
    <row r="24">
      <c r="A24" s="148">
        <f>IFERROR(__xludf.DUMMYFUNCTION("""COMPUTED_VALUE"""),1.1141037E7)</f>
        <v>11141037</v>
      </c>
      <c r="B24" s="148" t="str">
        <f>IFERROR(__xludf.DUMMYFUNCTION("""COMPUTED_VALUE"""),"kvk-基因片段")</f>
        <v>kvk-基因片段</v>
      </c>
      <c r="C24" s="148">
        <f>IFERROR(__xludf.DUMMYFUNCTION("""COMPUTED_VALUE"""),1.5113984E7)</f>
        <v>15113984</v>
      </c>
      <c r="D24" s="148" t="str">
        <f>IFERROR(__xludf.DUMMYFUNCTION("""COMPUTED_VALUE"""),"{""typ"":""lc"",""txt"":""LC_RSS_rss_1037_name""}")</f>
        <v>{"typ":"lc","txt":"LC_RSS_rss_1037_name"}</v>
      </c>
      <c r="E24" s="148" t="str">
        <f>IFERROR(__xludf.DUMMYFUNCTION("""COMPUTED_VALUE"""),"{""typ"":""lc"",""txt"":""LC_RSS_rss_1037_desc""}")</f>
        <v>{"typ":"lc","txt":"LC_RSS_rss_1037_desc"}</v>
      </c>
      <c r="F24" s="148">
        <f>IFERROR(__xludf.DUMMYFUNCTION("""COMPUTED_VALUE"""),1.0)</f>
        <v>1</v>
      </c>
      <c r="G24" s="148">
        <f>IFERROR(__xludf.DUMMYFUNCTION("""COMPUTED_VALUE"""),10005.0)</f>
        <v>10005</v>
      </c>
      <c r="H24" s="148">
        <f>IFERROR(__xludf.DUMMYFUNCTION("""COMPUTED_VALUE"""),9.99999999999E11)</f>
        <v>999999999999</v>
      </c>
      <c r="I24" s="148">
        <f>IFERROR(__xludf.DUMMYFUNCTION("""COMPUTED_VALUE"""),9.999999999E9)</f>
        <v>9999999999</v>
      </c>
      <c r="J24" s="148">
        <f>IFERROR(__xludf.DUMMYFUNCTION("""COMPUTED_VALUE"""),9.999999999E9)</f>
        <v>9999999999</v>
      </c>
      <c r="K24" s="148">
        <f>IFERROR(__xludf.DUMMYFUNCTION("""COMPUTED_VALUE"""),1.1682001E7)</f>
        <v>11682001</v>
      </c>
      <c r="L24" s="148">
        <f>IFERROR(__xludf.DUMMYFUNCTION("""COMPUTED_VALUE"""),1.174E7)</f>
        <v>11740000</v>
      </c>
    </row>
    <row r="25">
      <c r="A25" s="148">
        <f>IFERROR(__xludf.DUMMYFUNCTION("""COMPUTED_VALUE"""),1.1141038E7)</f>
        <v>11141038</v>
      </c>
      <c r="B25" s="148" t="str">
        <f>IFERROR(__xludf.DUMMYFUNCTION("""COMPUTED_VALUE"""),"机甲经验")</f>
        <v>机甲经验</v>
      </c>
      <c r="C25" s="148">
        <f>IFERROR(__xludf.DUMMYFUNCTION("""COMPUTED_VALUE"""),1.5116359E7)</f>
        <v>15116359</v>
      </c>
      <c r="D25" s="148" t="str">
        <f>IFERROR(__xludf.DUMMYFUNCTION("""COMPUTED_VALUE"""),"{""typ"":""lc"",""txt"":""LC_ITEM_mecha_exp_name""}")</f>
        <v>{"typ":"lc","txt":"LC_ITEM_mecha_exp_name"}</v>
      </c>
      <c r="E25" s="148" t="str">
        <f>IFERROR(__xludf.DUMMYFUNCTION("""COMPUTED_VALUE"""),"{""typ"":""lc"",""txt"":""LC_ITEM_mecha_exp_desc""}")</f>
        <v>{"typ":"lc","txt":"LC_ITEM_mecha_exp_desc"}</v>
      </c>
      <c r="F25" s="148">
        <f>IFERROR(__xludf.DUMMYFUNCTION("""COMPUTED_VALUE"""),1.0)</f>
        <v>1</v>
      </c>
      <c r="G25" s="148">
        <f>IFERROR(__xludf.DUMMYFUNCTION("""COMPUTED_VALUE"""),10013.0)</f>
        <v>10013</v>
      </c>
      <c r="H25" s="148">
        <f>IFERROR(__xludf.DUMMYFUNCTION("""COMPUTED_VALUE"""),9.99999999999E11)</f>
        <v>999999999999</v>
      </c>
      <c r="I25" s="148">
        <f>IFERROR(__xludf.DUMMYFUNCTION("""COMPUTED_VALUE"""),9.999999999E9)</f>
        <v>9999999999</v>
      </c>
      <c r="J25" s="148">
        <f>IFERROR(__xludf.DUMMYFUNCTION("""COMPUTED_VALUE"""),9.999999999E9)</f>
        <v>9999999999</v>
      </c>
      <c r="K25" s="148">
        <f>IFERROR(__xludf.DUMMYFUNCTION("""COMPUTED_VALUE"""),1.168101E7)</f>
        <v>11681010</v>
      </c>
      <c r="L25" s="148">
        <f>IFERROR(__xludf.DUMMYFUNCTION("""COMPUTED_VALUE"""),1.174E7)</f>
        <v>11740000</v>
      </c>
    </row>
    <row r="26">
      <c r="A26" s="148">
        <f>IFERROR(__xludf.DUMMYFUNCTION("""COMPUTED_VALUE"""),1.1141039E7)</f>
        <v>11141039</v>
      </c>
      <c r="B26" s="148" t="str">
        <f>IFERROR(__xludf.DUMMYFUNCTION("""COMPUTED_VALUE"""),"kvk-海珀晶石-军团公共资源")</f>
        <v>kvk-海珀晶石-军团公共资源</v>
      </c>
      <c r="C26" s="148">
        <f>IFERROR(__xludf.DUMMYFUNCTION("""COMPUTED_VALUE"""),1.5116555E7)</f>
        <v>15116555</v>
      </c>
      <c r="D26" s="148" t="str">
        <f>IFERROR(__xludf.DUMMYFUNCTION("""COMPUTED_VALUE"""),"{""typ"":""lc"",""txt"":""LC_RSS_rss_1039_name""}")</f>
        <v>{"typ":"lc","txt":"LC_RSS_rss_1039_name"}</v>
      </c>
      <c r="E26" s="148" t="str">
        <f>IFERROR(__xludf.DUMMYFUNCTION("""COMPUTED_VALUE"""),"{""typ"":""lc"",""txt"":""LC_RSS_rss_1039_desc""}")</f>
        <v>{"typ":"lc","txt":"LC_RSS_rss_1039_desc"}</v>
      </c>
      <c r="F26" s="148">
        <f>IFERROR(__xludf.DUMMYFUNCTION("""COMPUTED_VALUE"""),1.0)</f>
        <v>1</v>
      </c>
      <c r="G26" s="148">
        <f>IFERROR(__xludf.DUMMYFUNCTION("""COMPUTED_VALUE"""),10016.0)</f>
        <v>10016</v>
      </c>
      <c r="H26" s="148">
        <f>IFERROR(__xludf.DUMMYFUNCTION("""COMPUTED_VALUE"""),9.99999999999E11)</f>
        <v>999999999999</v>
      </c>
      <c r="I26" s="148">
        <f>IFERROR(__xludf.DUMMYFUNCTION("""COMPUTED_VALUE"""),9.999999999E9)</f>
        <v>9999999999</v>
      </c>
      <c r="J26" s="148">
        <f>IFERROR(__xludf.DUMMYFUNCTION("""COMPUTED_VALUE"""),9.999999999E9)</f>
        <v>9999999999</v>
      </c>
      <c r="K26" s="148">
        <f>IFERROR(__xludf.DUMMYFUNCTION("""COMPUTED_VALUE"""),0.0)</f>
        <v>0</v>
      </c>
      <c r="L26" s="148">
        <f>IFERROR(__xludf.DUMMYFUNCTION("""COMPUTED_VALUE"""),1.174E7)</f>
        <v>11740000</v>
      </c>
    </row>
    <row r="27">
      <c r="A27" s="148">
        <f>IFERROR(__xludf.DUMMYFUNCTION("""COMPUTED_VALUE"""),1.114104E7)</f>
        <v>11141040</v>
      </c>
      <c r="B27" s="148" t="str">
        <f>IFERROR(__xludf.DUMMYFUNCTION("""COMPUTED_VALUE"""),"kvk-军团充能进度点")</f>
        <v>kvk-军团充能进度点</v>
      </c>
      <c r="C27" s="148">
        <f>IFERROR(__xludf.DUMMYFUNCTION("""COMPUTED_VALUE"""),1.5116556E7)</f>
        <v>15116556</v>
      </c>
      <c r="D27" s="148" t="str">
        <f>IFERROR(__xludf.DUMMYFUNCTION("""COMPUTED_VALUE"""),"{""typ"":""lc"",""txt"":""LC_RSS_rss_1040_name""}")</f>
        <v>{"typ":"lc","txt":"LC_RSS_rss_1040_name"}</v>
      </c>
      <c r="E27" s="148" t="str">
        <f>IFERROR(__xludf.DUMMYFUNCTION("""COMPUTED_VALUE"""),"{""typ"":""lc"",""txt"":""LC_RSS_rss_1040_desc""}")</f>
        <v>{"typ":"lc","txt":"LC_RSS_rss_1040_desc"}</v>
      </c>
      <c r="F27" s="148">
        <f>IFERROR(__xludf.DUMMYFUNCTION("""COMPUTED_VALUE"""),1.0)</f>
        <v>1</v>
      </c>
      <c r="G27" s="148">
        <f>IFERROR(__xludf.DUMMYFUNCTION("""COMPUTED_VALUE"""),10008.0)</f>
        <v>10008</v>
      </c>
      <c r="H27" s="148">
        <f>IFERROR(__xludf.DUMMYFUNCTION("""COMPUTED_VALUE"""),9.99999999999E11)</f>
        <v>999999999999</v>
      </c>
      <c r="I27" s="148">
        <f>IFERROR(__xludf.DUMMYFUNCTION("""COMPUTED_VALUE"""),9.999999999E9)</f>
        <v>9999999999</v>
      </c>
      <c r="J27" s="148">
        <f>IFERROR(__xludf.DUMMYFUNCTION("""COMPUTED_VALUE"""),9.999999999E9)</f>
        <v>9999999999</v>
      </c>
      <c r="K27" s="148">
        <f>IFERROR(__xludf.DUMMYFUNCTION("""COMPUTED_VALUE"""),0.0)</f>
        <v>0</v>
      </c>
      <c r="L27" s="148">
        <f>IFERROR(__xludf.DUMMYFUNCTION("""COMPUTED_VALUE"""),1.174E7)</f>
        <v>11740000</v>
      </c>
    </row>
    <row r="28">
      <c r="A28" s="148">
        <f>IFERROR(__xludf.DUMMYFUNCTION("""COMPUTED_VALUE"""),1.1141041E7)</f>
        <v>11141041</v>
      </c>
      <c r="B28" s="148" t="str">
        <f>IFERROR(__xludf.DUMMYFUNCTION("""COMPUTED_VALUE"""),"T6资源-新猩胶囊")</f>
        <v>T6资源-新猩胶囊</v>
      </c>
      <c r="C28" s="148">
        <f>IFERROR(__xludf.DUMMYFUNCTION("""COMPUTED_VALUE"""),1.5117116E7)</f>
        <v>15117116</v>
      </c>
      <c r="D28" s="148" t="str">
        <f>IFERROR(__xludf.DUMMYFUNCTION("""COMPUTED_VALUE"""),"{""typ"":""lc"",""txt"":""LC_RSS_capsule_name""}")</f>
        <v>{"typ":"lc","txt":"LC_RSS_capsule_name"}</v>
      </c>
      <c r="E28" s="148" t="str">
        <f>IFERROR(__xludf.DUMMYFUNCTION("""COMPUTED_VALUE"""),"{""typ"":""lc"",""txt"":""LC_RSS_capsule_desc""}")</f>
        <v>{"typ":"lc","txt":"LC_RSS_capsule_desc"}</v>
      </c>
      <c r="F28" s="148">
        <f>IFERROR(__xludf.DUMMYFUNCTION("""COMPUTED_VALUE"""),1.0)</f>
        <v>1</v>
      </c>
      <c r="G28" s="148">
        <f>IFERROR(__xludf.DUMMYFUNCTION("""COMPUTED_VALUE"""),10003.0)</f>
        <v>10003</v>
      </c>
      <c r="H28" s="148">
        <f>IFERROR(__xludf.DUMMYFUNCTION("""COMPUTED_VALUE"""),9.99999999999E11)</f>
        <v>999999999999</v>
      </c>
      <c r="I28" s="148">
        <f>IFERROR(__xludf.DUMMYFUNCTION("""COMPUTED_VALUE"""),9.999999999E9)</f>
        <v>9999999999</v>
      </c>
      <c r="J28" s="148">
        <f>IFERROR(__xludf.DUMMYFUNCTION("""COMPUTED_VALUE"""),9.999999999E9)</f>
        <v>9999999999</v>
      </c>
      <c r="K28" s="148">
        <f>IFERROR(__xludf.DUMMYFUNCTION("""COMPUTED_VALUE"""),0.0)</f>
        <v>0</v>
      </c>
      <c r="L28" s="148">
        <f>IFERROR(__xludf.DUMMYFUNCTION("""COMPUTED_VALUE"""),1.174E7)</f>
        <v>11740000</v>
      </c>
    </row>
    <row r="29">
      <c r="A29" s="148">
        <f>IFERROR(__xludf.DUMMYFUNCTION("""COMPUTED_VALUE"""),1.1141042E7)</f>
        <v>11141042</v>
      </c>
      <c r="B29" s="148" t="str">
        <f>IFERROR(__xludf.DUMMYFUNCTION("""COMPUTED_VALUE"""),"kvk4-军团机甲点")</f>
        <v>kvk4-军团机甲点</v>
      </c>
      <c r="C29" s="148">
        <f>IFERROR(__xludf.DUMMYFUNCTION("""COMPUTED_VALUE"""),1.5117841E7)</f>
        <v>15117841</v>
      </c>
      <c r="D29" s="148" t="str">
        <f>IFERROR(__xludf.DUMMYFUNCTION("""COMPUTED_VALUE"""),"{""typ"":""lc"",""txt"":""LC_RSS_rss_1042_name""}")</f>
        <v>{"typ":"lc","txt":"LC_RSS_rss_1042_name"}</v>
      </c>
      <c r="E29" s="148" t="str">
        <f>IFERROR(__xludf.DUMMYFUNCTION("""COMPUTED_VALUE"""),"{""typ"":""lc"",""txt"":""LC_RSS_rss_1042_desc""}")</f>
        <v>{"typ":"lc","txt":"LC_RSS_rss_1042_desc"}</v>
      </c>
      <c r="F29" s="148">
        <f>IFERROR(__xludf.DUMMYFUNCTION("""COMPUTED_VALUE"""),1.0)</f>
        <v>1</v>
      </c>
      <c r="G29" s="148">
        <f>IFERROR(__xludf.DUMMYFUNCTION("""COMPUTED_VALUE"""),10003.0)</f>
        <v>10003</v>
      </c>
      <c r="H29" s="148">
        <f>IFERROR(__xludf.DUMMYFUNCTION("""COMPUTED_VALUE"""),9.99999999999E11)</f>
        <v>999999999999</v>
      </c>
      <c r="I29" s="148">
        <f>IFERROR(__xludf.DUMMYFUNCTION("""COMPUTED_VALUE"""),9.999999999E9)</f>
        <v>9999999999</v>
      </c>
      <c r="J29" s="148">
        <f>IFERROR(__xludf.DUMMYFUNCTION("""COMPUTED_VALUE"""),9.999999999E9)</f>
        <v>9999999999</v>
      </c>
      <c r="K29" s="148">
        <f>IFERROR(__xludf.DUMMYFUNCTION("""COMPUTED_VALUE"""),0.0)</f>
        <v>0</v>
      </c>
      <c r="L29" s="148">
        <f>IFERROR(__xludf.DUMMYFUNCTION("""COMPUTED_VALUE"""),1.174E7)</f>
        <v>11740000</v>
      </c>
    </row>
    <row r="30">
      <c r="A30" s="148">
        <f>IFERROR(__xludf.DUMMYFUNCTION("""COMPUTED_VALUE"""),1.1141043E7)</f>
        <v>11141043</v>
      </c>
      <c r="B30" s="148" t="str">
        <f>IFERROR(__xludf.DUMMYFUNCTION("""COMPUTED_VALUE"""),"kvk4-军团科技点-军团纯晶")</f>
        <v>kvk4-军团科技点-军团纯晶</v>
      </c>
      <c r="C30" s="148">
        <f>IFERROR(__xludf.DUMMYFUNCTION("""COMPUTED_VALUE"""),1.5117842E7)</f>
        <v>15117842</v>
      </c>
      <c r="D30" s="148" t="str">
        <f>IFERROR(__xludf.DUMMYFUNCTION("""COMPUTED_VALUE"""),"{""typ"":""lc"",""txt"":""LC_RSS_rss_1043_name""}")</f>
        <v>{"typ":"lc","txt":"LC_RSS_rss_1043_name"}</v>
      </c>
      <c r="E30" s="148" t="str">
        <f>IFERROR(__xludf.DUMMYFUNCTION("""COMPUTED_VALUE"""),"{""typ"":""lc"",""txt"":""LC_RSS_rss_1043_desc""}")</f>
        <v>{"typ":"lc","txt":"LC_RSS_rss_1043_desc"}</v>
      </c>
      <c r="F30" s="148">
        <f>IFERROR(__xludf.DUMMYFUNCTION("""COMPUTED_VALUE"""),1.0)</f>
        <v>1</v>
      </c>
      <c r="G30" s="148">
        <f>IFERROR(__xludf.DUMMYFUNCTION("""COMPUTED_VALUE"""),10003.0)</f>
        <v>10003</v>
      </c>
      <c r="H30" s="148">
        <f>IFERROR(__xludf.DUMMYFUNCTION("""COMPUTED_VALUE"""),9.99999999999E11)</f>
        <v>999999999999</v>
      </c>
      <c r="I30" s="148">
        <f>IFERROR(__xludf.DUMMYFUNCTION("""COMPUTED_VALUE"""),9.999999999E9)</f>
        <v>9999999999</v>
      </c>
      <c r="J30" s="148">
        <f>IFERROR(__xludf.DUMMYFUNCTION("""COMPUTED_VALUE"""),9.999999999E9)</f>
        <v>9999999999</v>
      </c>
      <c r="K30" s="148">
        <f>IFERROR(__xludf.DUMMYFUNCTION("""COMPUTED_VALUE"""),0.0)</f>
        <v>0</v>
      </c>
      <c r="L30" s="148">
        <f>IFERROR(__xludf.DUMMYFUNCTION("""COMPUTED_VALUE"""),1.174E7)</f>
        <v>11740000</v>
      </c>
    </row>
    <row r="31">
      <c r="A31" s="148">
        <f>IFERROR(__xludf.DUMMYFUNCTION("""COMPUTED_VALUE"""),1.1141044E7)</f>
        <v>11141044</v>
      </c>
      <c r="B31" s="148" t="str">
        <f>IFERROR(__xludf.DUMMYFUNCTION("""COMPUTED_VALUE"""),"k4gve门票")</f>
        <v>k4gve门票</v>
      </c>
      <c r="C31" s="148">
        <f>IFERROR(__xludf.DUMMYFUNCTION("""COMPUTED_VALUE"""),1.5118639E7)</f>
        <v>15118639</v>
      </c>
      <c r="D31" s="148" t="str">
        <f>IFERROR(__xludf.DUMMYFUNCTION("""COMPUTED_VALUE"""),"{""typ"":""lc"",""txt"":""LC_ITEM_kvk4gve_ticket_name""}")</f>
        <v>{"typ":"lc","txt":"LC_ITEM_kvk4gve_ticket_name"}</v>
      </c>
      <c r="E31" s="148" t="str">
        <f>IFERROR(__xludf.DUMMYFUNCTION("""COMPUTED_VALUE"""),"{""typ"":""lc"",""txt"":""LC_ITEM_kvk4gve_ticket_desc""}")</f>
        <v>{"typ":"lc","txt":"LC_ITEM_kvk4gve_ticket_desc"}</v>
      </c>
      <c r="F31" s="148">
        <f>IFERROR(__xludf.DUMMYFUNCTION("""COMPUTED_VALUE"""),1.0)</f>
        <v>1</v>
      </c>
      <c r="G31" s="148">
        <f>IFERROR(__xludf.DUMMYFUNCTION("""COMPUTED_VALUE"""),10003.0)</f>
        <v>10003</v>
      </c>
      <c r="H31" s="148">
        <f>IFERROR(__xludf.DUMMYFUNCTION("""COMPUTED_VALUE"""),10.0)</f>
        <v>10</v>
      </c>
      <c r="I31" s="148">
        <f>IFERROR(__xludf.DUMMYFUNCTION("""COMPUTED_VALUE"""),9.999999999E9)</f>
        <v>9999999999</v>
      </c>
      <c r="J31" s="148">
        <f>IFERROR(__xludf.DUMMYFUNCTION("""COMPUTED_VALUE"""),9.999999999E9)</f>
        <v>9999999999</v>
      </c>
      <c r="K31" s="148">
        <f>IFERROR(__xludf.DUMMYFUNCTION("""COMPUTED_VALUE"""),1.168425E7)</f>
        <v>11684250</v>
      </c>
      <c r="L31" s="148">
        <f>IFERROR(__xludf.DUMMYFUNCTION("""COMPUTED_VALUE"""),1.174E7)</f>
        <v>11740000</v>
      </c>
    </row>
    <row r="32">
      <c r="A32" s="148">
        <f>IFERROR(__xludf.DUMMYFUNCTION("""COMPUTED_VALUE"""),1.1141045E7)</f>
        <v>11141045</v>
      </c>
      <c r="B32" s="148" t="str">
        <f>IFERROR(__xludf.DUMMYFUNCTION("""COMPUTED_VALUE"""),"kvk5-巨像科技点")</f>
        <v>kvk5-巨像科技点</v>
      </c>
      <c r="C32" s="148">
        <f>IFERROR(__xludf.DUMMYFUNCTION("""COMPUTED_VALUE"""),1.5117841E7)</f>
        <v>15117841</v>
      </c>
      <c r="D32" s="148" t="str">
        <f>IFERROR(__xludf.DUMMYFUNCTION("""COMPUTED_VALUE"""),"{""typ"":""lc"",""txt"":""LC_KVK_kvk5_colossus_ui_tips43""}")</f>
        <v>{"typ":"lc","txt":"LC_KVK_kvk5_colossus_ui_tips43"}</v>
      </c>
      <c r="E32" s="148" t="str">
        <f>IFERROR(__xludf.DUMMYFUNCTION("""COMPUTED_VALUE"""),"{""typ"":""lc"",""txt"":""LC_KVK_kvk5_colossus_ui_tips44""}")</f>
        <v>{"typ":"lc","txt":"LC_KVK_kvk5_colossus_ui_tips44"}</v>
      </c>
      <c r="F32" s="148">
        <f>IFERROR(__xludf.DUMMYFUNCTION("""COMPUTED_VALUE"""),1.0)</f>
        <v>1</v>
      </c>
      <c r="G32" s="148">
        <f>IFERROR(__xludf.DUMMYFUNCTION("""COMPUTED_VALUE"""),10003.0)</f>
        <v>10003</v>
      </c>
      <c r="H32" s="148">
        <f>IFERROR(__xludf.DUMMYFUNCTION("""COMPUTED_VALUE"""),9.99999999999E11)</f>
        <v>999999999999</v>
      </c>
      <c r="I32" s="148">
        <f>IFERROR(__xludf.DUMMYFUNCTION("""COMPUTED_VALUE"""),9.999999999E9)</f>
        <v>9999999999</v>
      </c>
      <c r="J32" s="148">
        <f>IFERROR(__xludf.DUMMYFUNCTION("""COMPUTED_VALUE"""),9.999999999E9)</f>
        <v>9999999999</v>
      </c>
      <c r="K32" s="148">
        <f>IFERROR(__xludf.DUMMYFUNCTION("""COMPUTED_VALUE"""),0.0)</f>
        <v>0</v>
      </c>
      <c r="L32" s="148">
        <f>IFERROR(__xludf.DUMMYFUNCTION("""COMPUTED_VALUE"""),1.174E7)</f>
        <v>11740000</v>
      </c>
    </row>
    <row r="33">
      <c r="A33" s="148">
        <f>IFERROR(__xludf.DUMMYFUNCTION("""COMPUTED_VALUE"""),1.1142001E7)</f>
        <v>11142001</v>
      </c>
      <c r="B33" s="148" t="str">
        <f>IFERROR(__xludf.DUMMYFUNCTION("""COMPUTED_VALUE"""),"巅峰领土—建筑材料-捐献材料")</f>
        <v>巅峰领土—建筑材料-捐献材料</v>
      </c>
      <c r="C33" s="148">
        <f>IFERROR(__xludf.DUMMYFUNCTION("""COMPUTED_VALUE"""),1.5118025E7)</f>
        <v>15118025</v>
      </c>
      <c r="D33" s="148" t="str">
        <f>IFERROR(__xludf.DUMMYFUNCTION("""COMPUTED_VALUE"""),"{""typ"":""lc"",""txt"":""LC_MAP_miniwar_rss_name_1""}")</f>
        <v>{"typ":"lc","txt":"LC_MAP_miniwar_rss_name_1"}</v>
      </c>
      <c r="E33" s="148" t="str">
        <f>IFERROR(__xludf.DUMMYFUNCTION("""COMPUTED_VALUE"""),"{""typ"":""lc"",""txt"":""LC_MAP_miniwar_rss_desc_1""}")</f>
        <v>{"typ":"lc","txt":"LC_MAP_miniwar_rss_desc_1"}</v>
      </c>
      <c r="F33" s="148">
        <f>IFERROR(__xludf.DUMMYFUNCTION("""COMPUTED_VALUE"""),1.0)</f>
        <v>1</v>
      </c>
      <c r="G33" s="148">
        <f>IFERROR(__xludf.DUMMYFUNCTION("""COMPUTED_VALUE"""),10003.0)</f>
        <v>10003</v>
      </c>
      <c r="H33" s="148">
        <f>IFERROR(__xludf.DUMMYFUNCTION("""COMPUTED_VALUE"""),9.99999999999E11)</f>
        <v>999999999999</v>
      </c>
      <c r="I33" s="148">
        <f>IFERROR(__xludf.DUMMYFUNCTION("""COMPUTED_VALUE"""),9.999999999E9)</f>
        <v>9999999999</v>
      </c>
      <c r="J33" s="148">
        <f>IFERROR(__xludf.DUMMYFUNCTION("""COMPUTED_VALUE"""),9.999999999E9)</f>
        <v>9999999999</v>
      </c>
      <c r="K33" s="148">
        <f>IFERROR(__xludf.DUMMYFUNCTION("""COMPUTED_VALUE"""),0.0)</f>
        <v>0</v>
      </c>
      <c r="L33" s="148">
        <f>IFERROR(__xludf.DUMMYFUNCTION("""COMPUTED_VALUE"""),1.174E7)</f>
        <v>11740000</v>
      </c>
    </row>
    <row r="34">
      <c r="A34" s="148">
        <f>IFERROR(__xludf.DUMMYFUNCTION("""COMPUTED_VALUE"""),1.1142002E7)</f>
        <v>11142002</v>
      </c>
      <c r="B34" s="148" t="str">
        <f>IFERROR(__xludf.DUMMYFUNCTION("""COMPUTED_VALUE"""),"巅峰领土—兑换材料-商店兑换货币")</f>
        <v>巅峰领土—兑换材料-商店兑换货币</v>
      </c>
      <c r="C34" s="148">
        <f>IFERROR(__xludf.DUMMYFUNCTION("""COMPUTED_VALUE"""),1.5118026E7)</f>
        <v>15118026</v>
      </c>
      <c r="D34" s="148" t="str">
        <f>IFERROR(__xludf.DUMMYFUNCTION("""COMPUTED_VALUE"""),"{""typ"":""lc"",""txt"":""LC_MAP_miniwar_rss_name_2""}")</f>
        <v>{"typ":"lc","txt":"LC_MAP_miniwar_rss_name_2"}</v>
      </c>
      <c r="E34" s="148" t="str">
        <f>IFERROR(__xludf.DUMMYFUNCTION("""COMPUTED_VALUE"""),"{""typ"":""lc"",""txt"":""LC_MAP_miniwar_rss_desc_2""}")</f>
        <v>{"typ":"lc","txt":"LC_MAP_miniwar_rss_desc_2"}</v>
      </c>
      <c r="F34" s="148">
        <f>IFERROR(__xludf.DUMMYFUNCTION("""COMPUTED_VALUE"""),1.0)</f>
        <v>1</v>
      </c>
      <c r="G34" s="148">
        <f>IFERROR(__xludf.DUMMYFUNCTION("""COMPUTED_VALUE"""),10003.0)</f>
        <v>10003</v>
      </c>
      <c r="H34" s="148">
        <f>IFERROR(__xludf.DUMMYFUNCTION("""COMPUTED_VALUE"""),9.99999999999E11)</f>
        <v>999999999999</v>
      </c>
      <c r="I34" s="148">
        <f>IFERROR(__xludf.DUMMYFUNCTION("""COMPUTED_VALUE"""),9.999999999E9)</f>
        <v>9999999999</v>
      </c>
      <c r="J34" s="148">
        <f>IFERROR(__xludf.DUMMYFUNCTION("""COMPUTED_VALUE"""),9.999999999E9)</f>
        <v>9999999999</v>
      </c>
      <c r="K34" s="148">
        <f>IFERROR(__xludf.DUMMYFUNCTION("""COMPUTED_VALUE"""),0.0)</f>
        <v>0</v>
      </c>
      <c r="L34" s="148">
        <f>IFERROR(__xludf.DUMMYFUNCTION("""COMPUTED_VALUE"""),1.174E7)</f>
        <v>11740000</v>
      </c>
    </row>
    <row r="35">
      <c r="A35" s="148">
        <f>IFERROR(__xludf.DUMMYFUNCTION("""COMPUTED_VALUE"""),1.1142003E7)</f>
        <v>11142003</v>
      </c>
      <c r="B35" s="148" t="str">
        <f>IFERROR(__xludf.DUMMYFUNCTION("""COMPUTED_VALUE"""),"机甲机师经验")</f>
        <v>机甲机师经验</v>
      </c>
      <c r="C35" s="148">
        <f>IFERROR(__xludf.DUMMYFUNCTION("""COMPUTED_VALUE"""),1.5118779E7)</f>
        <v>15118779</v>
      </c>
      <c r="D35" s="148" t="str">
        <f>IFERROR(__xludf.DUMMYFUNCTION("""COMPUTED_VALUE"""),"{""typ"":""lc"",""txt"":""LC_ITEM_mecha_driver_exp_name""}")</f>
        <v>{"typ":"lc","txt":"LC_ITEM_mecha_driver_exp_name"}</v>
      </c>
      <c r="E35" s="148" t="str">
        <f>IFERROR(__xludf.DUMMYFUNCTION("""COMPUTED_VALUE"""),"{""typ"":""lc"",""txt"":""LC_ITEM_mecha_driver_exp_desc_2""}")</f>
        <v>{"typ":"lc","txt":"LC_ITEM_mecha_driver_exp_desc_2"}</v>
      </c>
      <c r="F35" s="148">
        <f>IFERROR(__xludf.DUMMYFUNCTION("""COMPUTED_VALUE"""),1.0)</f>
        <v>1</v>
      </c>
      <c r="G35" s="148">
        <f>IFERROR(__xludf.DUMMYFUNCTION("""COMPUTED_VALUE"""),10003.0)</f>
        <v>10003</v>
      </c>
      <c r="H35" s="148">
        <f>IFERROR(__xludf.DUMMYFUNCTION("""COMPUTED_VALUE"""),9.99999999999E11)</f>
        <v>999999999999</v>
      </c>
      <c r="I35" s="148">
        <f>IFERROR(__xludf.DUMMYFUNCTION("""COMPUTED_VALUE"""),9.999999999E9)</f>
        <v>9999999999</v>
      </c>
      <c r="J35" s="148">
        <f>IFERROR(__xludf.DUMMYFUNCTION("""COMPUTED_VALUE"""),9.999999999E9)</f>
        <v>9999999999</v>
      </c>
      <c r="K35" s="148">
        <f>IFERROR(__xludf.DUMMYFUNCTION("""COMPUTED_VALUE"""),0.0)</f>
        <v>0</v>
      </c>
      <c r="L35" s="148">
        <f>IFERROR(__xludf.DUMMYFUNCTION("""COMPUTED_VALUE"""),1.174E7)</f>
        <v>11740000</v>
      </c>
    </row>
    <row r="36">
      <c r="A36" s="148">
        <f>IFERROR(__xludf.DUMMYFUNCTION("""COMPUTED_VALUE"""),1.1142004E7)</f>
        <v>11142004</v>
      </c>
      <c r="B36" s="148" t="str">
        <f>IFERROR(__xludf.DUMMYFUNCTION("""COMPUTED_VALUE"""),"流水线饼干")</f>
        <v>流水线饼干</v>
      </c>
      <c r="C36" s="148">
        <f>IFERROR(__xludf.DUMMYFUNCTION("""COMPUTED_VALUE"""),1.5119744E7)</f>
        <v>15119744</v>
      </c>
      <c r="D36" s="148" t="str">
        <f>IFERROR(__xludf.DUMMYFUNCTION("""COMPUTED_VALUE"""),"{""typ"":""lc"",""txt"":""LC_METRO_line_builder_rss_name""}")</f>
        <v>{"typ":"lc","txt":"LC_METRO_line_builder_rss_name"}</v>
      </c>
      <c r="E36" s="148" t="str">
        <f>IFERROR(__xludf.DUMMYFUNCTION("""COMPUTED_VALUE"""),"{""typ"":""lc"",""txt"":""LC_METRO_line_builder_rss_desc""}")</f>
        <v>{"typ":"lc","txt":"LC_METRO_line_builder_rss_desc"}</v>
      </c>
      <c r="F36" s="148">
        <f>IFERROR(__xludf.DUMMYFUNCTION("""COMPUTED_VALUE"""),1.0)</f>
        <v>1</v>
      </c>
      <c r="G36" s="148">
        <f>IFERROR(__xludf.DUMMYFUNCTION("""COMPUTED_VALUE"""),10003.0)</f>
        <v>10003</v>
      </c>
      <c r="H36" s="148">
        <f>IFERROR(__xludf.DUMMYFUNCTION("""COMPUTED_VALUE"""),9.99999999999E11)</f>
        <v>999999999999</v>
      </c>
      <c r="I36" s="148">
        <f>IFERROR(__xludf.DUMMYFUNCTION("""COMPUTED_VALUE"""),9.999999999E9)</f>
        <v>9999999999</v>
      </c>
      <c r="J36" s="148">
        <f>IFERROR(__xludf.DUMMYFUNCTION("""COMPUTED_VALUE"""),9.999999999E9)</f>
        <v>9999999999</v>
      </c>
      <c r="K36" s="148">
        <f>IFERROR(__xludf.DUMMYFUNCTION("""COMPUTED_VALUE"""),0.0)</f>
        <v>0</v>
      </c>
      <c r="L36" s="148">
        <f>IFERROR(__xludf.DUMMYFUNCTION("""COMPUTED_VALUE"""),1.174E7)</f>
        <v>11740000</v>
      </c>
    </row>
    <row r="37">
      <c r="A37" s="148">
        <f>IFERROR(__xludf.DUMMYFUNCTION("""COMPUTED_VALUE"""),1.1142005E7)</f>
        <v>11142005</v>
      </c>
      <c r="B37" s="148" t="str">
        <f>IFERROR(__xludf.DUMMYFUNCTION("""COMPUTED_VALUE"""),"流水线猴子")</f>
        <v>流水线猴子</v>
      </c>
      <c r="C37" s="148">
        <f>IFERROR(__xludf.DUMMYFUNCTION("""COMPUTED_VALUE"""),1.5118779E7)</f>
        <v>15118779</v>
      </c>
      <c r="D37" s="148" t="str">
        <f>IFERROR(__xludf.DUMMYFUNCTION("""COMPUTED_VALUE"""),"{""typ"":""lc"",""txt"":""LC_METRO_line_builder_rss_name""}")</f>
        <v>{"typ":"lc","txt":"LC_METRO_line_builder_rss_name"}</v>
      </c>
      <c r="E37" s="148" t="str">
        <f>IFERROR(__xludf.DUMMYFUNCTION("""COMPUTED_VALUE"""),"{""typ"":""lc"",""txt"":""LC_METRO_line_builder_rss_desc""}")</f>
        <v>{"typ":"lc","txt":"LC_METRO_line_builder_rss_desc"}</v>
      </c>
      <c r="F37" s="148">
        <f>IFERROR(__xludf.DUMMYFUNCTION("""COMPUTED_VALUE"""),1.0)</f>
        <v>1</v>
      </c>
      <c r="G37" s="148">
        <f>IFERROR(__xludf.DUMMYFUNCTION("""COMPUTED_VALUE"""),10003.0)</f>
        <v>10003</v>
      </c>
      <c r="H37" s="148">
        <f>IFERROR(__xludf.DUMMYFUNCTION("""COMPUTED_VALUE"""),9.99999999999E11)</f>
        <v>999999999999</v>
      </c>
      <c r="I37" s="148">
        <f>IFERROR(__xludf.DUMMYFUNCTION("""COMPUTED_VALUE"""),9.999999999E9)</f>
        <v>9999999999</v>
      </c>
      <c r="J37" s="148">
        <f>IFERROR(__xludf.DUMMYFUNCTION("""COMPUTED_VALUE"""),9.999999999E9)</f>
        <v>9999999999</v>
      </c>
      <c r="K37" s="148">
        <f>IFERROR(__xludf.DUMMYFUNCTION("""COMPUTED_VALUE"""),0.0)</f>
        <v>0</v>
      </c>
      <c r="L37" s="148">
        <f>IFERROR(__xludf.DUMMYFUNCTION("""COMPUTED_VALUE"""),1.174E7)</f>
        <v>11740000</v>
      </c>
    </row>
    <row r="38">
      <c r="A38" s="148">
        <f>IFERROR(__xludf.DUMMYFUNCTION("""COMPUTED_VALUE"""),1.1143001E7)</f>
        <v>11143001</v>
      </c>
      <c r="B38" s="148" t="str">
        <f>IFERROR(__xludf.DUMMYFUNCTION("""COMPUTED_VALUE"""),"野果")</f>
        <v>野果</v>
      </c>
      <c r="C38" s="148">
        <f>IFERROR(__xludf.DUMMYFUNCTION("""COMPUTED_VALUE"""),1.51100835E8)</f>
        <v>151100835</v>
      </c>
      <c r="D38" s="148" t="str">
        <f>IFERROR(__xludf.DUMMYFUNCTION("""COMPUTED_VALUE"""),"{""typ"":""lc"",""txt"":""LC_STORY_city_territory_asset_name_1""}")</f>
        <v>{"typ":"lc","txt":"LC_STORY_city_territory_asset_name_1"}</v>
      </c>
      <c r="E38" s="148" t="str">
        <f>IFERROR(__xludf.DUMMYFUNCTION("""COMPUTED_VALUE"""),"{""typ"":""lc"",""txt"":""LC_STORY_city_territory_asset_name_1""}")</f>
        <v>{"typ":"lc","txt":"LC_STORY_city_territory_asset_name_1"}</v>
      </c>
      <c r="F38" s="148">
        <f>IFERROR(__xludf.DUMMYFUNCTION("""COMPUTED_VALUE"""),1.0)</f>
        <v>1</v>
      </c>
      <c r="G38" s="148">
        <f>IFERROR(__xludf.DUMMYFUNCTION("""COMPUTED_VALUE"""),10051.0)</f>
        <v>10051</v>
      </c>
      <c r="H38" s="148">
        <f>IFERROR(__xludf.DUMMYFUNCTION("""COMPUTED_VALUE"""),99999.0)</f>
        <v>99999</v>
      </c>
      <c r="I38" s="148">
        <f>IFERROR(__xludf.DUMMYFUNCTION("""COMPUTED_VALUE"""),99999.0)</f>
        <v>99999</v>
      </c>
      <c r="J38" s="148">
        <f>IFERROR(__xludf.DUMMYFUNCTION("""COMPUTED_VALUE"""),99999.0)</f>
        <v>99999</v>
      </c>
      <c r="K38" s="148">
        <f>IFERROR(__xludf.DUMMYFUNCTION("""COMPUTED_VALUE"""),0.0)</f>
        <v>0</v>
      </c>
      <c r="L38" s="148">
        <f>IFERROR(__xludf.DUMMYFUNCTION("""COMPUTED_VALUE"""),1.174E7)</f>
        <v>11740000</v>
      </c>
    </row>
    <row r="39">
      <c r="A39" s="148">
        <f>IFERROR(__xludf.DUMMYFUNCTION("""COMPUTED_VALUE"""),1.1143002E7)</f>
        <v>11143002</v>
      </c>
      <c r="B39" s="148" t="str">
        <f>IFERROR(__xludf.DUMMYFUNCTION("""COMPUTED_VALUE"""),"原木")</f>
        <v>原木</v>
      </c>
      <c r="C39" s="148">
        <f>IFERROR(__xludf.DUMMYFUNCTION("""COMPUTED_VALUE"""),1.51100836E8)</f>
        <v>151100836</v>
      </c>
      <c r="D39" s="148" t="str">
        <f>IFERROR(__xludf.DUMMYFUNCTION("""COMPUTED_VALUE"""),"{""typ"":""lc"",""txt"":""LC_STORY_city_territory_asset_name_2""}")</f>
        <v>{"typ":"lc","txt":"LC_STORY_city_territory_asset_name_2"}</v>
      </c>
      <c r="E39" s="148" t="str">
        <f>IFERROR(__xludf.DUMMYFUNCTION("""COMPUTED_VALUE"""),"{""typ"":""lc"",""txt"":""LC_STORY_city_territory_asset_name_2""}")</f>
        <v>{"typ":"lc","txt":"LC_STORY_city_territory_asset_name_2"}</v>
      </c>
      <c r="F39" s="148">
        <f>IFERROR(__xludf.DUMMYFUNCTION("""COMPUTED_VALUE"""),1.0)</f>
        <v>1</v>
      </c>
      <c r="G39" s="148">
        <f>IFERROR(__xludf.DUMMYFUNCTION("""COMPUTED_VALUE"""),10052.0)</f>
        <v>10052</v>
      </c>
      <c r="H39" s="148">
        <f>IFERROR(__xludf.DUMMYFUNCTION("""COMPUTED_VALUE"""),99999.0)</f>
        <v>99999</v>
      </c>
      <c r="I39" s="148">
        <f>IFERROR(__xludf.DUMMYFUNCTION("""COMPUTED_VALUE"""),99999.0)</f>
        <v>99999</v>
      </c>
      <c r="J39" s="148">
        <f>IFERROR(__xludf.DUMMYFUNCTION("""COMPUTED_VALUE"""),99999.0)</f>
        <v>99999</v>
      </c>
      <c r="K39" s="148">
        <f>IFERROR(__xludf.DUMMYFUNCTION("""COMPUTED_VALUE"""),0.0)</f>
        <v>0</v>
      </c>
      <c r="L39" s="148">
        <f>IFERROR(__xludf.DUMMYFUNCTION("""COMPUTED_VALUE"""),1.174E7)</f>
        <v>11740000</v>
      </c>
    </row>
    <row r="40">
      <c r="A40" s="148">
        <f>IFERROR(__xludf.DUMMYFUNCTION("""COMPUTED_VALUE"""),1.1143003E7)</f>
        <v>11143003</v>
      </c>
      <c r="B40" s="148" t="str">
        <f>IFERROR(__xludf.DUMMYFUNCTION("""COMPUTED_VALUE"""),"石头")</f>
        <v>石头</v>
      </c>
      <c r="C40" s="148">
        <f>IFERROR(__xludf.DUMMYFUNCTION("""COMPUTED_VALUE"""),1.51100837E8)</f>
        <v>151100837</v>
      </c>
      <c r="D40" s="148" t="str">
        <f>IFERROR(__xludf.DUMMYFUNCTION("""COMPUTED_VALUE"""),"{""typ"":""lc"",""txt"":""LC_STORY_city_territory_asset_name_3""}")</f>
        <v>{"typ":"lc","txt":"LC_STORY_city_territory_asset_name_3"}</v>
      </c>
      <c r="E40" s="148" t="str">
        <f>IFERROR(__xludf.DUMMYFUNCTION("""COMPUTED_VALUE"""),"{""typ"":""lc"",""txt"":""LC_STORY_city_territory_asset_name_3""}")</f>
        <v>{"typ":"lc","txt":"LC_STORY_city_territory_asset_name_3"}</v>
      </c>
      <c r="F40" s="148">
        <f>IFERROR(__xludf.DUMMYFUNCTION("""COMPUTED_VALUE"""),1.0)</f>
        <v>1</v>
      </c>
      <c r="G40" s="148">
        <f>IFERROR(__xludf.DUMMYFUNCTION("""COMPUTED_VALUE"""),10053.0)</f>
        <v>10053</v>
      </c>
      <c r="H40" s="148">
        <f>IFERROR(__xludf.DUMMYFUNCTION("""COMPUTED_VALUE"""),99999.0)</f>
        <v>99999</v>
      </c>
      <c r="I40" s="148">
        <f>IFERROR(__xludf.DUMMYFUNCTION("""COMPUTED_VALUE"""),99999.0)</f>
        <v>99999</v>
      </c>
      <c r="J40" s="148">
        <f>IFERROR(__xludf.DUMMYFUNCTION("""COMPUTED_VALUE"""),99999.0)</f>
        <v>99999</v>
      </c>
      <c r="K40" s="148">
        <f>IFERROR(__xludf.DUMMYFUNCTION("""COMPUTED_VALUE"""),0.0)</f>
        <v>0</v>
      </c>
      <c r="L40" s="148">
        <f>IFERROR(__xludf.DUMMYFUNCTION("""COMPUTED_VALUE"""),1.174E7)</f>
        <v>11740000</v>
      </c>
    </row>
    <row r="41">
      <c r="A41" s="148">
        <f>IFERROR(__xludf.DUMMYFUNCTION("""COMPUTED_VALUE"""),1.1143004E7)</f>
        <v>11143004</v>
      </c>
      <c r="B41" s="148" t="str">
        <f>IFERROR(__xludf.DUMMYFUNCTION("""COMPUTED_VALUE"""),"果酱")</f>
        <v>果酱</v>
      </c>
      <c r="C41" s="148">
        <f>IFERROR(__xludf.DUMMYFUNCTION("""COMPUTED_VALUE"""),1.51100838E8)</f>
        <v>151100838</v>
      </c>
      <c r="D41" s="148" t="str">
        <f>IFERROR(__xludf.DUMMYFUNCTION("""COMPUTED_VALUE"""),"{""typ"":""lc"",""txt"":""LC_STORY_city_territory_asset_name_4""}")</f>
        <v>{"typ":"lc","txt":"LC_STORY_city_territory_asset_name_4"}</v>
      </c>
      <c r="E41" s="148" t="str">
        <f>IFERROR(__xludf.DUMMYFUNCTION("""COMPUTED_VALUE"""),"{""typ"":""lc"",""txt"":""LC_STORY_city_territory_asset_name_4""}")</f>
        <v>{"typ":"lc","txt":"LC_STORY_city_territory_asset_name_4"}</v>
      </c>
      <c r="F41" s="148">
        <f>IFERROR(__xludf.DUMMYFUNCTION("""COMPUTED_VALUE"""),1.0)</f>
        <v>1</v>
      </c>
      <c r="G41" s="148">
        <f>IFERROR(__xludf.DUMMYFUNCTION("""COMPUTED_VALUE"""),10051.0)</f>
        <v>10051</v>
      </c>
      <c r="H41" s="148">
        <f>IFERROR(__xludf.DUMMYFUNCTION("""COMPUTED_VALUE"""),99999.0)</f>
        <v>99999</v>
      </c>
      <c r="I41" s="148">
        <f>IFERROR(__xludf.DUMMYFUNCTION("""COMPUTED_VALUE"""),99999.0)</f>
        <v>99999</v>
      </c>
      <c r="J41" s="148">
        <f>IFERROR(__xludf.DUMMYFUNCTION("""COMPUTED_VALUE"""),99999.0)</f>
        <v>99999</v>
      </c>
      <c r="K41" s="148">
        <f>IFERROR(__xludf.DUMMYFUNCTION("""COMPUTED_VALUE"""),0.0)</f>
        <v>0</v>
      </c>
      <c r="L41" s="148">
        <f>IFERROR(__xludf.DUMMYFUNCTION("""COMPUTED_VALUE"""),1.174E7)</f>
        <v>11740000</v>
      </c>
    </row>
    <row r="42">
      <c r="A42" s="148">
        <f>IFERROR(__xludf.DUMMYFUNCTION("""COMPUTED_VALUE"""),1.1143005E7)</f>
        <v>11143005</v>
      </c>
      <c r="B42" s="148" t="str">
        <f>IFERROR(__xludf.DUMMYFUNCTION("""COMPUTED_VALUE"""),"木板")</f>
        <v>木板</v>
      </c>
      <c r="C42" s="148">
        <f>IFERROR(__xludf.DUMMYFUNCTION("""COMPUTED_VALUE"""),1.51100839E8)</f>
        <v>151100839</v>
      </c>
      <c r="D42" s="148" t="str">
        <f>IFERROR(__xludf.DUMMYFUNCTION("""COMPUTED_VALUE"""),"{""typ"":""lc"",""txt"":""LC_STORY_city_territory_asset_name_5""}")</f>
        <v>{"typ":"lc","txt":"LC_STORY_city_territory_asset_name_5"}</v>
      </c>
      <c r="E42" s="148" t="str">
        <f>IFERROR(__xludf.DUMMYFUNCTION("""COMPUTED_VALUE"""),"{""typ"":""lc"",""txt"":""LC_STORY_city_territory_asset_name_5""}")</f>
        <v>{"typ":"lc","txt":"LC_STORY_city_territory_asset_name_5"}</v>
      </c>
      <c r="F42" s="148">
        <f>IFERROR(__xludf.DUMMYFUNCTION("""COMPUTED_VALUE"""),1.0)</f>
        <v>1</v>
      </c>
      <c r="G42" s="148">
        <f>IFERROR(__xludf.DUMMYFUNCTION("""COMPUTED_VALUE"""),10052.0)</f>
        <v>10052</v>
      </c>
      <c r="H42" s="148">
        <f>IFERROR(__xludf.DUMMYFUNCTION("""COMPUTED_VALUE"""),99999.0)</f>
        <v>99999</v>
      </c>
      <c r="I42" s="148">
        <f>IFERROR(__xludf.DUMMYFUNCTION("""COMPUTED_VALUE"""),99999.0)</f>
        <v>99999</v>
      </c>
      <c r="J42" s="148">
        <f>IFERROR(__xludf.DUMMYFUNCTION("""COMPUTED_VALUE"""),99999.0)</f>
        <v>99999</v>
      </c>
      <c r="K42" s="148">
        <f>IFERROR(__xludf.DUMMYFUNCTION("""COMPUTED_VALUE"""),0.0)</f>
        <v>0</v>
      </c>
      <c r="L42" s="148">
        <f>IFERROR(__xludf.DUMMYFUNCTION("""COMPUTED_VALUE"""),1.174E7)</f>
        <v>11740000</v>
      </c>
    </row>
    <row r="43">
      <c r="A43" s="148">
        <f>IFERROR(__xludf.DUMMYFUNCTION("""COMPUTED_VALUE"""),1.1143006E7)</f>
        <v>11143006</v>
      </c>
      <c r="B43" s="148" t="str">
        <f>IFERROR(__xludf.DUMMYFUNCTION("""COMPUTED_VALUE"""),"石砖")</f>
        <v>石砖</v>
      </c>
      <c r="C43" s="148">
        <f>IFERROR(__xludf.DUMMYFUNCTION("""COMPUTED_VALUE"""),1.5110084E8)</f>
        <v>151100840</v>
      </c>
      <c r="D43" s="148" t="str">
        <f>IFERROR(__xludf.DUMMYFUNCTION("""COMPUTED_VALUE"""),"{""typ"":""lc"",""txt"":""LC_STORY_city_territory_asset_name_6""}")</f>
        <v>{"typ":"lc","txt":"LC_STORY_city_territory_asset_name_6"}</v>
      </c>
      <c r="E43" s="148" t="str">
        <f>IFERROR(__xludf.DUMMYFUNCTION("""COMPUTED_VALUE"""),"{""typ"":""lc"",""txt"":""LC_STORY_city_territory_asset_name_6""}")</f>
        <v>{"typ":"lc","txt":"LC_STORY_city_territory_asset_name_6"}</v>
      </c>
      <c r="F43" s="148">
        <f>IFERROR(__xludf.DUMMYFUNCTION("""COMPUTED_VALUE"""),1.0)</f>
        <v>1</v>
      </c>
      <c r="G43" s="148">
        <f>IFERROR(__xludf.DUMMYFUNCTION("""COMPUTED_VALUE"""),10053.0)</f>
        <v>10053</v>
      </c>
      <c r="H43" s="148">
        <f>IFERROR(__xludf.DUMMYFUNCTION("""COMPUTED_VALUE"""),99999.0)</f>
        <v>99999</v>
      </c>
      <c r="I43" s="148">
        <f>IFERROR(__xludf.DUMMYFUNCTION("""COMPUTED_VALUE"""),99999.0)</f>
        <v>99999</v>
      </c>
      <c r="J43" s="148">
        <f>IFERROR(__xludf.DUMMYFUNCTION("""COMPUTED_VALUE"""),99999.0)</f>
        <v>99999</v>
      </c>
      <c r="K43" s="148">
        <f>IFERROR(__xludf.DUMMYFUNCTION("""COMPUTED_VALUE"""),0.0)</f>
        <v>0</v>
      </c>
      <c r="L43" s="148">
        <f>IFERROR(__xludf.DUMMYFUNCTION("""COMPUTED_VALUE"""),1.174E7)</f>
        <v>11740000</v>
      </c>
    </row>
    <row r="44">
      <c r="A44" s="148">
        <f>IFERROR(__xludf.DUMMYFUNCTION("""COMPUTED_VALUE"""),1.1143007E7)</f>
        <v>11143007</v>
      </c>
      <c r="B44" s="148" t="str">
        <f>IFERROR(__xludf.DUMMYFUNCTION("""COMPUTED_VALUE"""),"新前期战斗资源")</f>
        <v>新前期战斗资源</v>
      </c>
      <c r="C44" s="148">
        <f>IFERROR(__xludf.DUMMYFUNCTION("""COMPUTED_VALUE"""),1.51101007E8)</f>
        <v>151101007</v>
      </c>
      <c r="D44" s="148" t="str">
        <f>IFERROR(__xludf.DUMMYFUNCTION("""COMPUTED_VALUE"""),"{""typ"":""lc"",""txt"":""LC_STORY_city_territory_asset_name_7""}")</f>
        <v>{"typ":"lc","txt":"LC_STORY_city_territory_asset_name_7"}</v>
      </c>
      <c r="E44" s="148" t="str">
        <f>IFERROR(__xludf.DUMMYFUNCTION("""COMPUTED_VALUE"""),"{""typ"":""lc"",""txt"":""LC_STORY_city_territory_asset_name_7""}")</f>
        <v>{"typ":"lc","txt":"LC_STORY_city_territory_asset_name_7"}</v>
      </c>
      <c r="F44" s="148">
        <f>IFERROR(__xludf.DUMMYFUNCTION("""COMPUTED_VALUE"""),1.0)</f>
        <v>1</v>
      </c>
      <c r="G44" s="148">
        <f>IFERROR(__xludf.DUMMYFUNCTION("""COMPUTED_VALUE"""),10054.0)</f>
        <v>10054</v>
      </c>
      <c r="H44" s="148">
        <f>IFERROR(__xludf.DUMMYFUNCTION("""COMPUTED_VALUE"""),99999.0)</f>
        <v>99999</v>
      </c>
      <c r="I44" s="148">
        <f>IFERROR(__xludf.DUMMYFUNCTION("""COMPUTED_VALUE"""),99999.0)</f>
        <v>99999</v>
      </c>
      <c r="J44" s="148">
        <f>IFERROR(__xludf.DUMMYFUNCTION("""COMPUTED_VALUE"""),99999.0)</f>
        <v>99999</v>
      </c>
      <c r="K44" s="148">
        <f>IFERROR(__xludf.DUMMYFUNCTION("""COMPUTED_VALUE"""),0.0)</f>
        <v>0</v>
      </c>
      <c r="L44" s="148">
        <f>IFERROR(__xludf.DUMMYFUNCTION("""COMPUTED_VALUE"""),1.174E7)</f>
        <v>11740000</v>
      </c>
    </row>
    <row r="45">
      <c r="A45" s="148">
        <f>IFERROR(__xludf.DUMMYFUNCTION("""COMPUTED_VALUE"""),1.1143008E7)</f>
        <v>11143008</v>
      </c>
      <c r="B45" s="148" t="str">
        <f>IFERROR(__xludf.DUMMYFUNCTION("""COMPUTED_VALUE"""),"集卡币")</f>
        <v>集卡币</v>
      </c>
      <c r="C45" s="148">
        <f>IFERROR(__xludf.DUMMYFUNCTION("""COMPUTED_VALUE"""),1.51103804E8)</f>
        <v>151103804</v>
      </c>
      <c r="D45" s="148" t="str">
        <f>IFERROR(__xludf.DUMMYFUNCTION("""COMPUTED_VALUE"""),"{""typ"":""lc"",""txt"":""LC_ASSET_card_gallary_book_recycle_coin_name""}")</f>
        <v>{"typ":"lc","txt":"LC_ASSET_card_gallary_book_recycle_coin_name"}</v>
      </c>
      <c r="E45" s="148" t="str">
        <f>IFERROR(__xludf.DUMMYFUNCTION("""COMPUTED_VALUE"""),"{""typ"":""lc"",""txt"":""LC_ASSET_card_gallary_book_recycle_coin_desc""}")</f>
        <v>{"typ":"lc","txt":"LC_ASSET_card_gallary_book_recycle_coin_desc"}</v>
      </c>
      <c r="F45" s="148">
        <f>IFERROR(__xludf.DUMMYFUNCTION("""COMPUTED_VALUE"""),1.0)</f>
        <v>1</v>
      </c>
      <c r="G45" s="148">
        <f>IFERROR(__xludf.DUMMYFUNCTION("""COMPUTED_VALUE"""),10054.0)</f>
        <v>10054</v>
      </c>
      <c r="H45" s="148">
        <f>IFERROR(__xludf.DUMMYFUNCTION("""COMPUTED_VALUE"""),9.99999999999E11)</f>
        <v>999999999999</v>
      </c>
      <c r="I45" s="148">
        <f>IFERROR(__xludf.DUMMYFUNCTION("""COMPUTED_VALUE"""),99999.0)</f>
        <v>99999</v>
      </c>
      <c r="J45" s="148">
        <f>IFERROR(__xludf.DUMMYFUNCTION("""COMPUTED_VALUE"""),99999.0)</f>
        <v>99999</v>
      </c>
      <c r="K45" s="148">
        <f>IFERROR(__xludf.DUMMYFUNCTION("""COMPUTED_VALUE"""),0.0)</f>
        <v>0</v>
      </c>
      <c r="L45" s="148">
        <f>IFERROR(__xludf.DUMMYFUNCTION("""COMPUTED_VALUE"""),1.174E7)</f>
        <v>11740000</v>
      </c>
    </row>
    <row r="46">
      <c r="A46" s="148">
        <f>IFERROR(__xludf.DUMMYFUNCTION("""COMPUTED_VALUE"""),1.1143009E7)</f>
        <v>11143009</v>
      </c>
      <c r="B46" s="148" t="str">
        <f>IFERROR(__xludf.DUMMYFUNCTION("""COMPUTED_VALUE"""),"节日集卡币")</f>
        <v>节日集卡币</v>
      </c>
      <c r="C46" s="148">
        <f>IFERROR(__xludf.DUMMYFUNCTION("""COMPUTED_VALUE"""),1.51104632E8)</f>
        <v>151104632</v>
      </c>
      <c r="D46" s="148" t="str">
        <f>IFERROR(__xludf.DUMMYFUNCTION("""COMPUTED_VALUE"""),"{""typ"":""lc"",""txt"":""LC_ASSET_fes_card_gallary_book_recycle_coin_name""}")</f>
        <v>{"typ":"lc","txt":"LC_ASSET_fes_card_gallary_book_recycle_coin_name"}</v>
      </c>
      <c r="E46" s="148" t="str">
        <f>IFERROR(__xludf.DUMMYFUNCTION("""COMPUTED_VALUE"""),"{""typ"":""lc"",""txt"":""LC_ASSET_fes_card_gallary_book_recycle_coin_desc""}")</f>
        <v>{"typ":"lc","txt":"LC_ASSET_fes_card_gallary_book_recycle_coin_desc"}</v>
      </c>
      <c r="F46" s="148">
        <f>IFERROR(__xludf.DUMMYFUNCTION("""COMPUTED_VALUE"""),1.0)</f>
        <v>1</v>
      </c>
      <c r="G46" s="148">
        <f>IFERROR(__xludf.DUMMYFUNCTION("""COMPUTED_VALUE"""),10054.0)</f>
        <v>10054</v>
      </c>
      <c r="H46" s="148">
        <f>IFERROR(__xludf.DUMMYFUNCTION("""COMPUTED_VALUE"""),9.99999999999E11)</f>
        <v>999999999999</v>
      </c>
      <c r="I46" s="148">
        <f>IFERROR(__xludf.DUMMYFUNCTION("""COMPUTED_VALUE"""),99999.0)</f>
        <v>99999</v>
      </c>
      <c r="J46" s="148">
        <f>IFERROR(__xludf.DUMMYFUNCTION("""COMPUTED_VALUE"""),99999.0)</f>
        <v>99999</v>
      </c>
      <c r="K46" s="148">
        <f>IFERROR(__xludf.DUMMYFUNCTION("""COMPUTED_VALUE"""),0.0)</f>
        <v>0</v>
      </c>
      <c r="L46" s="148">
        <f>IFERROR(__xludf.DUMMYFUNCTION("""COMPUTED_VALUE"""),1.174E7)</f>
        <v>11740000</v>
      </c>
    </row>
    <row r="47">
      <c r="A47" s="148"/>
      <c r="B47" s="148"/>
      <c r="C47" s="148"/>
      <c r="D47" s="148"/>
      <c r="E47" s="148"/>
      <c r="F47" s="148"/>
      <c r="G47" s="148"/>
      <c r="H47" s="148"/>
      <c r="I47" s="148"/>
      <c r="J47" s="148"/>
      <c r="K47" s="148"/>
      <c r="L47" s="148"/>
    </row>
    <row r="48">
      <c r="A48" s="148"/>
      <c r="B48" s="148"/>
      <c r="C48" s="148"/>
      <c r="D48" s="148"/>
      <c r="E48" s="148"/>
      <c r="F48" s="148"/>
      <c r="G48" s="148"/>
      <c r="H48" s="148"/>
      <c r="I48" s="148"/>
      <c r="J48" s="148"/>
      <c r="K48" s="148"/>
      <c r="L48" s="148"/>
    </row>
    <row r="49">
      <c r="A49" s="148"/>
      <c r="B49" s="148"/>
      <c r="C49" s="148"/>
      <c r="D49" s="148"/>
      <c r="E49" s="148"/>
      <c r="F49" s="148"/>
      <c r="G49" s="148"/>
      <c r="H49" s="148"/>
      <c r="I49" s="148"/>
      <c r="J49" s="148"/>
      <c r="K49" s="148"/>
      <c r="L49" s="148"/>
    </row>
    <row r="50">
      <c r="A50" s="148"/>
      <c r="B50" s="148"/>
      <c r="C50" s="148"/>
      <c r="D50" s="148"/>
      <c r="E50" s="148"/>
      <c r="F50" s="148"/>
      <c r="G50" s="148"/>
      <c r="H50" s="148"/>
      <c r="I50" s="148"/>
      <c r="J50" s="148"/>
      <c r="K50" s="148"/>
      <c r="L50" s="148"/>
    </row>
    <row r="51">
      <c r="A51" s="148"/>
      <c r="B51" s="148"/>
      <c r="C51" s="148"/>
      <c r="D51" s="148"/>
      <c r="E51" s="148"/>
      <c r="F51" s="148"/>
      <c r="G51" s="148"/>
      <c r="H51" s="148"/>
      <c r="I51" s="148"/>
      <c r="J51" s="148"/>
      <c r="K51" s="148"/>
      <c r="L51" s="148"/>
    </row>
    <row r="52">
      <c r="A52" s="148"/>
      <c r="B52" s="148"/>
      <c r="C52" s="148"/>
      <c r="D52" s="148"/>
      <c r="E52" s="148"/>
      <c r="F52" s="148"/>
      <c r="G52" s="148"/>
      <c r="H52" s="148"/>
      <c r="I52" s="148"/>
      <c r="J52" s="148"/>
      <c r="K52" s="148"/>
      <c r="L52" s="148"/>
    </row>
    <row r="53">
      <c r="A53" s="148"/>
      <c r="B53" s="148"/>
      <c r="C53" s="148"/>
      <c r="D53" s="148"/>
      <c r="E53" s="148"/>
      <c r="F53" s="148"/>
      <c r="G53" s="148"/>
      <c r="H53" s="148"/>
      <c r="I53" s="148"/>
      <c r="J53" s="148"/>
      <c r="K53" s="148"/>
      <c r="L53" s="148"/>
    </row>
    <row r="54">
      <c r="A54" s="148"/>
      <c r="B54" s="148"/>
      <c r="C54" s="148"/>
      <c r="D54" s="148"/>
      <c r="E54" s="148"/>
      <c r="F54" s="148"/>
      <c r="G54" s="148"/>
      <c r="H54" s="148"/>
      <c r="I54" s="148"/>
      <c r="J54" s="148"/>
      <c r="K54" s="148"/>
      <c r="L54" s="148"/>
    </row>
    <row r="55">
      <c r="A55" s="148"/>
      <c r="B55" s="148"/>
      <c r="C55" s="148"/>
      <c r="D55" s="148"/>
      <c r="E55" s="148"/>
      <c r="F55" s="148"/>
      <c r="G55" s="148"/>
      <c r="H55" s="148"/>
      <c r="I55" s="148"/>
      <c r="J55" s="148"/>
      <c r="K55" s="148"/>
      <c r="L55" s="148"/>
    </row>
    <row r="56">
      <c r="A56" s="148"/>
      <c r="B56" s="148"/>
      <c r="C56" s="148"/>
      <c r="D56" s="148"/>
      <c r="E56" s="148"/>
      <c r="F56" s="148"/>
      <c r="G56" s="148"/>
      <c r="H56" s="148"/>
      <c r="I56" s="148"/>
      <c r="J56" s="148"/>
      <c r="K56" s="148"/>
      <c r="L56" s="148"/>
    </row>
    <row r="57">
      <c r="A57" s="148"/>
      <c r="B57" s="148"/>
      <c r="C57" s="148"/>
      <c r="D57" s="148"/>
      <c r="E57" s="148"/>
      <c r="F57" s="148"/>
      <c r="G57" s="148"/>
      <c r="H57" s="148"/>
      <c r="I57" s="148"/>
      <c r="J57" s="148"/>
      <c r="K57" s="148"/>
      <c r="L57" s="148"/>
    </row>
    <row r="58">
      <c r="A58" s="148"/>
      <c r="B58" s="148"/>
      <c r="C58" s="148"/>
      <c r="D58" s="148"/>
      <c r="E58" s="148"/>
      <c r="F58" s="148"/>
      <c r="G58" s="148"/>
      <c r="H58" s="148"/>
      <c r="I58" s="148"/>
      <c r="J58" s="148"/>
      <c r="K58" s="148"/>
      <c r="L58" s="148"/>
    </row>
    <row r="59">
      <c r="A59" s="148"/>
      <c r="B59" s="148"/>
      <c r="C59" s="148"/>
      <c r="D59" s="148"/>
      <c r="E59" s="148"/>
      <c r="F59" s="148"/>
      <c r="G59" s="148"/>
      <c r="H59" s="148"/>
      <c r="I59" s="148"/>
      <c r="J59" s="148"/>
      <c r="K59" s="148"/>
      <c r="L59" s="148"/>
    </row>
    <row r="60">
      <c r="A60" s="148"/>
      <c r="B60" s="148"/>
      <c r="C60" s="148"/>
      <c r="D60" s="148"/>
      <c r="E60" s="148"/>
      <c r="F60" s="148"/>
      <c r="G60" s="148"/>
      <c r="H60" s="148"/>
      <c r="I60" s="148"/>
      <c r="J60" s="148"/>
      <c r="K60" s="148"/>
      <c r="L60" s="148"/>
    </row>
    <row r="61">
      <c r="A61" s="148"/>
      <c r="B61" s="148"/>
      <c r="C61" s="148"/>
      <c r="D61" s="148"/>
      <c r="E61" s="148"/>
      <c r="F61" s="148"/>
      <c r="G61" s="148"/>
      <c r="H61" s="148"/>
      <c r="I61" s="148"/>
      <c r="J61" s="148"/>
      <c r="K61" s="148"/>
      <c r="L61" s="148"/>
    </row>
    <row r="62">
      <c r="A62" s="148"/>
      <c r="B62" s="148"/>
      <c r="C62" s="148"/>
      <c r="D62" s="148"/>
      <c r="E62" s="148"/>
      <c r="F62" s="148"/>
      <c r="G62" s="148"/>
      <c r="H62" s="148"/>
      <c r="I62" s="148"/>
      <c r="J62" s="148"/>
      <c r="K62" s="148"/>
      <c r="L62" s="148"/>
    </row>
    <row r="63">
      <c r="A63" s="148"/>
      <c r="B63" s="148"/>
      <c r="C63" s="148"/>
      <c r="D63" s="148"/>
      <c r="E63" s="148"/>
      <c r="F63" s="148"/>
      <c r="G63" s="148"/>
      <c r="H63" s="148"/>
      <c r="I63" s="148"/>
      <c r="J63" s="148"/>
      <c r="K63" s="148"/>
      <c r="L63" s="148"/>
    </row>
    <row r="64">
      <c r="A64" s="148"/>
      <c r="B64" s="148"/>
      <c r="C64" s="148"/>
      <c r="D64" s="148"/>
      <c r="E64" s="148"/>
      <c r="F64" s="148"/>
      <c r="G64" s="148"/>
      <c r="H64" s="148"/>
      <c r="I64" s="148"/>
      <c r="J64" s="148"/>
      <c r="K64" s="148"/>
      <c r="L64" s="148"/>
    </row>
    <row r="65">
      <c r="A65" s="148"/>
      <c r="B65" s="148"/>
      <c r="C65" s="148"/>
      <c r="D65" s="148"/>
      <c r="E65" s="148"/>
      <c r="F65" s="148"/>
      <c r="G65" s="148"/>
      <c r="H65" s="148"/>
      <c r="I65" s="148"/>
      <c r="J65" s="148"/>
      <c r="K65" s="148"/>
      <c r="L65" s="148"/>
    </row>
    <row r="66">
      <c r="A66" s="148"/>
      <c r="B66" s="148"/>
      <c r="C66" s="148"/>
      <c r="D66" s="148"/>
      <c r="E66" s="148"/>
      <c r="F66" s="148"/>
      <c r="G66" s="148"/>
      <c r="H66" s="148"/>
      <c r="I66" s="148"/>
      <c r="J66" s="148"/>
      <c r="K66" s="148"/>
      <c r="L66" s="148"/>
    </row>
    <row r="67">
      <c r="A67" s="148"/>
      <c r="B67" s="148"/>
      <c r="C67" s="148"/>
      <c r="D67" s="148"/>
      <c r="E67" s="148"/>
      <c r="F67" s="148"/>
      <c r="G67" s="148"/>
      <c r="H67" s="148"/>
      <c r="I67" s="148"/>
      <c r="J67" s="148"/>
      <c r="K67" s="148"/>
      <c r="L67" s="148"/>
    </row>
    <row r="68">
      <c r="A68" s="148"/>
      <c r="B68" s="148"/>
      <c r="C68" s="148"/>
      <c r="D68" s="148"/>
      <c r="E68" s="148"/>
      <c r="F68" s="148"/>
      <c r="G68" s="148"/>
      <c r="H68" s="148"/>
      <c r="I68" s="148"/>
      <c r="J68" s="148"/>
      <c r="K68" s="148"/>
      <c r="L68" s="148"/>
    </row>
    <row r="69">
      <c r="A69" s="148"/>
      <c r="B69" s="148"/>
      <c r="C69" s="148"/>
      <c r="D69" s="148"/>
      <c r="E69" s="148"/>
      <c r="F69" s="148"/>
      <c r="G69" s="148"/>
      <c r="H69" s="148"/>
      <c r="I69" s="148"/>
      <c r="J69" s="148"/>
      <c r="K69" s="148"/>
      <c r="L69" s="148"/>
    </row>
    <row r="70">
      <c r="A70" s="148"/>
      <c r="B70" s="148"/>
      <c r="C70" s="148"/>
      <c r="D70" s="148"/>
      <c r="E70" s="148"/>
      <c r="F70" s="148"/>
      <c r="G70" s="148"/>
      <c r="H70" s="148"/>
      <c r="I70" s="148"/>
      <c r="J70" s="148"/>
      <c r="K70" s="148"/>
      <c r="L70" s="148"/>
    </row>
    <row r="71">
      <c r="A71" s="148"/>
      <c r="B71" s="148"/>
      <c r="C71" s="148"/>
      <c r="D71" s="148"/>
      <c r="E71" s="148"/>
      <c r="F71" s="148"/>
      <c r="G71" s="148"/>
      <c r="H71" s="148"/>
      <c r="I71" s="148"/>
      <c r="J71" s="148"/>
      <c r="K71" s="148"/>
      <c r="L71" s="148"/>
    </row>
    <row r="72">
      <c r="A72" s="148"/>
      <c r="B72" s="148"/>
      <c r="C72" s="148"/>
      <c r="D72" s="148"/>
      <c r="E72" s="148"/>
      <c r="F72" s="148"/>
      <c r="G72" s="148"/>
      <c r="H72" s="148"/>
      <c r="I72" s="148"/>
      <c r="J72" s="148"/>
      <c r="K72" s="148"/>
      <c r="L72" s="148"/>
    </row>
    <row r="73">
      <c r="A73" s="148"/>
      <c r="B73" s="148"/>
      <c r="C73" s="148"/>
      <c r="D73" s="148"/>
      <c r="E73" s="148"/>
      <c r="F73" s="148"/>
      <c r="G73" s="148"/>
      <c r="H73" s="148"/>
      <c r="I73" s="148"/>
      <c r="J73" s="148"/>
      <c r="K73" s="148"/>
      <c r="L73" s="148"/>
    </row>
    <row r="74">
      <c r="A74" s="148"/>
      <c r="B74" s="148"/>
      <c r="C74" s="148"/>
      <c r="D74" s="148"/>
      <c r="E74" s="148"/>
      <c r="F74" s="148"/>
      <c r="G74" s="148"/>
      <c r="H74" s="148"/>
      <c r="I74" s="148"/>
      <c r="J74" s="148"/>
      <c r="K74" s="148"/>
      <c r="L74" s="148"/>
    </row>
    <row r="75">
      <c r="A75" s="148"/>
      <c r="B75" s="148"/>
      <c r="C75" s="148"/>
      <c r="D75" s="148"/>
      <c r="E75" s="148"/>
      <c r="F75" s="148"/>
      <c r="G75" s="148"/>
      <c r="H75" s="148"/>
      <c r="I75" s="148"/>
      <c r="J75" s="148"/>
      <c r="K75" s="148"/>
      <c r="L75" s="148"/>
    </row>
    <row r="76">
      <c r="A76" s="148"/>
      <c r="B76" s="148"/>
      <c r="C76" s="148"/>
      <c r="D76" s="148"/>
      <c r="E76" s="148"/>
      <c r="F76" s="148"/>
      <c r="G76" s="148"/>
      <c r="H76" s="148"/>
      <c r="I76" s="148"/>
      <c r="J76" s="148"/>
      <c r="K76" s="148"/>
      <c r="L76" s="148"/>
    </row>
    <row r="77">
      <c r="A77" s="148"/>
      <c r="B77" s="148"/>
      <c r="C77" s="148"/>
      <c r="D77" s="148"/>
      <c r="E77" s="148"/>
      <c r="F77" s="148"/>
      <c r="G77" s="148"/>
      <c r="H77" s="148"/>
      <c r="I77" s="148"/>
      <c r="J77" s="148"/>
      <c r="K77" s="148"/>
      <c r="L77" s="148"/>
    </row>
    <row r="78">
      <c r="A78" s="148"/>
      <c r="B78" s="148"/>
      <c r="C78" s="148"/>
      <c r="D78" s="148"/>
      <c r="E78" s="148"/>
      <c r="F78" s="148"/>
      <c r="G78" s="148"/>
      <c r="H78" s="148"/>
      <c r="I78" s="148"/>
      <c r="J78" s="148"/>
      <c r="K78" s="148"/>
      <c r="L78" s="148"/>
    </row>
    <row r="79">
      <c r="A79" s="148"/>
      <c r="B79" s="148"/>
      <c r="C79" s="148"/>
      <c r="D79" s="148"/>
      <c r="E79" s="148"/>
      <c r="F79" s="148"/>
      <c r="G79" s="148"/>
      <c r="H79" s="148"/>
      <c r="I79" s="148"/>
      <c r="J79" s="148"/>
      <c r="K79" s="148"/>
      <c r="L79" s="148"/>
    </row>
    <row r="80">
      <c r="A80" s="148"/>
      <c r="B80" s="148"/>
      <c r="C80" s="148"/>
      <c r="D80" s="148"/>
      <c r="E80" s="148"/>
      <c r="F80" s="148"/>
      <c r="G80" s="148"/>
      <c r="H80" s="148"/>
      <c r="I80" s="148"/>
      <c r="J80" s="148"/>
      <c r="K80" s="148"/>
      <c r="L80" s="148"/>
    </row>
    <row r="81">
      <c r="A81" s="148"/>
      <c r="B81" s="148"/>
      <c r="C81" s="148"/>
      <c r="D81" s="148"/>
      <c r="E81" s="148"/>
      <c r="F81" s="148"/>
      <c r="G81" s="148"/>
      <c r="H81" s="148"/>
      <c r="I81" s="148"/>
      <c r="J81" s="148"/>
      <c r="K81" s="148"/>
      <c r="L81" s="148"/>
    </row>
    <row r="82">
      <c r="A82" s="148"/>
      <c r="B82" s="148"/>
      <c r="C82" s="148"/>
      <c r="D82" s="148"/>
      <c r="E82" s="148"/>
      <c r="F82" s="148"/>
      <c r="G82" s="148"/>
      <c r="H82" s="148"/>
      <c r="I82" s="148"/>
      <c r="J82" s="148"/>
      <c r="K82" s="148"/>
      <c r="L82" s="148"/>
    </row>
    <row r="83">
      <c r="A83" s="148"/>
      <c r="B83" s="148"/>
      <c r="C83" s="148"/>
      <c r="D83" s="148"/>
      <c r="E83" s="148"/>
      <c r="F83" s="148"/>
      <c r="G83" s="148"/>
      <c r="H83" s="148"/>
      <c r="I83" s="148"/>
      <c r="J83" s="148"/>
      <c r="K83" s="148"/>
      <c r="L83" s="148"/>
    </row>
    <row r="84">
      <c r="A84" s="148"/>
      <c r="B84" s="148"/>
      <c r="C84" s="148"/>
      <c r="D84" s="148"/>
      <c r="E84" s="148"/>
      <c r="F84" s="148"/>
      <c r="G84" s="148"/>
      <c r="H84" s="148"/>
      <c r="I84" s="148"/>
      <c r="J84" s="148"/>
      <c r="K84" s="148"/>
      <c r="L84" s="148"/>
    </row>
    <row r="85">
      <c r="A85" s="148"/>
      <c r="B85" s="148"/>
      <c r="C85" s="148"/>
      <c r="D85" s="148"/>
      <c r="E85" s="148"/>
      <c r="F85" s="148"/>
      <c r="G85" s="148"/>
      <c r="H85" s="148"/>
      <c r="I85" s="148"/>
      <c r="J85" s="148"/>
      <c r="K85" s="148"/>
      <c r="L85" s="148"/>
    </row>
    <row r="86">
      <c r="A86" s="148"/>
      <c r="B86" s="148"/>
      <c r="C86" s="148"/>
      <c r="D86" s="148"/>
      <c r="E86" s="148"/>
      <c r="F86" s="148"/>
      <c r="G86" s="148"/>
      <c r="H86" s="148"/>
      <c r="I86" s="148"/>
      <c r="J86" s="148"/>
      <c r="K86" s="148"/>
      <c r="L86" s="148"/>
    </row>
    <row r="87">
      <c r="A87" s="148"/>
      <c r="B87" s="148"/>
      <c r="C87" s="148"/>
      <c r="D87" s="148"/>
      <c r="E87" s="148"/>
      <c r="F87" s="148"/>
      <c r="G87" s="148"/>
      <c r="H87" s="148"/>
      <c r="I87" s="148"/>
      <c r="J87" s="148"/>
      <c r="K87" s="148"/>
      <c r="L87" s="148"/>
    </row>
    <row r="88">
      <c r="A88" s="148"/>
      <c r="B88" s="148"/>
      <c r="C88" s="148"/>
      <c r="D88" s="148"/>
      <c r="E88" s="148"/>
      <c r="F88" s="148"/>
      <c r="G88" s="148"/>
      <c r="H88" s="148"/>
      <c r="I88" s="148"/>
      <c r="J88" s="148"/>
      <c r="K88" s="148"/>
      <c r="L88" s="148"/>
    </row>
    <row r="89">
      <c r="A89" s="148"/>
      <c r="B89" s="148"/>
      <c r="C89" s="148"/>
      <c r="D89" s="148"/>
      <c r="E89" s="148"/>
      <c r="F89" s="148"/>
      <c r="G89" s="148"/>
      <c r="H89" s="148"/>
      <c r="I89" s="148"/>
      <c r="J89" s="148"/>
      <c r="K89" s="148"/>
      <c r="L89" s="148"/>
    </row>
    <row r="90">
      <c r="A90" s="148"/>
      <c r="B90" s="148"/>
      <c r="C90" s="148"/>
      <c r="D90" s="148"/>
      <c r="E90" s="148"/>
      <c r="F90" s="148"/>
      <c r="G90" s="148"/>
      <c r="H90" s="148"/>
      <c r="I90" s="148"/>
      <c r="J90" s="148"/>
      <c r="K90" s="148"/>
      <c r="L90" s="148"/>
    </row>
    <row r="91">
      <c r="A91" s="148"/>
      <c r="B91" s="148"/>
      <c r="C91" s="148"/>
      <c r="D91" s="148"/>
      <c r="E91" s="148"/>
      <c r="F91" s="148"/>
      <c r="G91" s="148"/>
      <c r="H91" s="148"/>
      <c r="I91" s="148"/>
      <c r="J91" s="148"/>
      <c r="K91" s="148"/>
      <c r="L91" s="148"/>
    </row>
    <row r="92">
      <c r="A92" s="148"/>
      <c r="B92" s="148"/>
      <c r="C92" s="148"/>
      <c r="D92" s="148"/>
      <c r="E92" s="148"/>
      <c r="F92" s="148"/>
      <c r="G92" s="148"/>
      <c r="H92" s="148"/>
      <c r="I92" s="148"/>
      <c r="J92" s="148"/>
      <c r="K92" s="148"/>
      <c r="L92" s="148"/>
    </row>
    <row r="93">
      <c r="A93" s="148"/>
      <c r="B93" s="148"/>
      <c r="C93" s="148"/>
      <c r="D93" s="148"/>
      <c r="E93" s="148"/>
      <c r="F93" s="148"/>
      <c r="G93" s="148"/>
      <c r="H93" s="148"/>
      <c r="I93" s="148"/>
      <c r="J93" s="148"/>
      <c r="K93" s="148"/>
      <c r="L93" s="148"/>
    </row>
    <row r="94">
      <c r="A94" s="148"/>
      <c r="B94" s="148"/>
      <c r="C94" s="148"/>
      <c r="D94" s="148"/>
      <c r="E94" s="148"/>
      <c r="F94" s="148"/>
      <c r="G94" s="148"/>
      <c r="H94" s="148"/>
      <c r="I94" s="148"/>
      <c r="J94" s="148"/>
      <c r="K94" s="148"/>
      <c r="L94" s="148"/>
    </row>
    <row r="95">
      <c r="A95" s="148"/>
      <c r="B95" s="148"/>
      <c r="C95" s="148"/>
      <c r="D95" s="148"/>
      <c r="E95" s="148"/>
      <c r="F95" s="148"/>
      <c r="G95" s="148"/>
      <c r="H95" s="148"/>
      <c r="I95" s="148"/>
      <c r="J95" s="148"/>
      <c r="K95" s="148"/>
      <c r="L95" s="148"/>
    </row>
    <row r="96">
      <c r="A96" s="148"/>
      <c r="B96" s="148"/>
      <c r="C96" s="148"/>
      <c r="D96" s="148"/>
      <c r="E96" s="148"/>
      <c r="F96" s="148"/>
      <c r="G96" s="148"/>
      <c r="H96" s="148"/>
      <c r="I96" s="148"/>
      <c r="J96" s="148"/>
      <c r="K96" s="148"/>
      <c r="L96" s="148"/>
    </row>
    <row r="97">
      <c r="A97" s="148"/>
      <c r="B97" s="148"/>
      <c r="C97" s="148"/>
      <c r="D97" s="148"/>
      <c r="E97" s="148"/>
      <c r="F97" s="148"/>
      <c r="G97" s="148"/>
      <c r="H97" s="148"/>
      <c r="I97" s="148"/>
      <c r="J97" s="148"/>
      <c r="K97" s="148"/>
      <c r="L97" s="148"/>
    </row>
    <row r="98">
      <c r="A98" s="148"/>
      <c r="B98" s="148"/>
      <c r="C98" s="148"/>
      <c r="D98" s="148"/>
      <c r="E98" s="148"/>
      <c r="F98" s="148"/>
      <c r="G98" s="148"/>
      <c r="H98" s="148"/>
      <c r="I98" s="148"/>
      <c r="J98" s="148"/>
      <c r="K98" s="148"/>
      <c r="L98" s="148"/>
    </row>
    <row r="99">
      <c r="A99" s="148"/>
      <c r="B99" s="148"/>
      <c r="C99" s="148"/>
      <c r="D99" s="148"/>
      <c r="E99" s="148"/>
      <c r="F99" s="148"/>
      <c r="G99" s="148"/>
      <c r="H99" s="148"/>
      <c r="I99" s="148"/>
      <c r="J99" s="148"/>
      <c r="K99" s="148"/>
      <c r="L99" s="148"/>
    </row>
    <row r="100">
      <c r="A100" s="148"/>
      <c r="B100" s="148"/>
      <c r="C100" s="148"/>
      <c r="D100" s="148"/>
      <c r="E100" s="148"/>
      <c r="F100" s="148"/>
      <c r="G100" s="148"/>
      <c r="H100" s="148"/>
      <c r="I100" s="148"/>
      <c r="J100" s="148"/>
      <c r="K100" s="148"/>
      <c r="L100" s="148"/>
    </row>
    <row r="101">
      <c r="A101" s="148"/>
      <c r="B101" s="148"/>
      <c r="C101" s="148"/>
      <c r="D101" s="148"/>
      <c r="E101" s="148"/>
      <c r="F101" s="148"/>
      <c r="G101" s="148"/>
      <c r="H101" s="148"/>
      <c r="I101" s="148"/>
      <c r="J101" s="148"/>
      <c r="K101" s="148"/>
      <c r="L101" s="148"/>
    </row>
    <row r="102">
      <c r="A102" s="148"/>
      <c r="B102" s="148"/>
      <c r="C102" s="148"/>
      <c r="D102" s="148"/>
      <c r="E102" s="148"/>
      <c r="F102" s="148"/>
      <c r="G102" s="148"/>
      <c r="H102" s="148"/>
      <c r="I102" s="148"/>
      <c r="J102" s="148"/>
      <c r="K102" s="148"/>
      <c r="L102" s="148"/>
    </row>
    <row r="103">
      <c r="A103" s="148"/>
      <c r="B103" s="148"/>
      <c r="C103" s="148"/>
      <c r="D103" s="148"/>
      <c r="E103" s="148"/>
      <c r="F103" s="148"/>
      <c r="G103" s="148"/>
      <c r="H103" s="148"/>
      <c r="I103" s="148"/>
      <c r="J103" s="148"/>
      <c r="K103" s="148"/>
      <c r="L103" s="148"/>
    </row>
    <row r="104">
      <c r="A104" s="148"/>
      <c r="B104" s="148"/>
      <c r="C104" s="148"/>
      <c r="D104" s="148"/>
      <c r="E104" s="148"/>
      <c r="F104" s="148"/>
      <c r="G104" s="148"/>
      <c r="H104" s="148"/>
      <c r="I104" s="148"/>
      <c r="J104" s="148"/>
      <c r="K104" s="148"/>
      <c r="L104" s="148"/>
    </row>
    <row r="105">
      <c r="A105" s="148"/>
      <c r="B105" s="148"/>
      <c r="C105" s="148"/>
      <c r="D105" s="148"/>
      <c r="E105" s="148"/>
      <c r="F105" s="148"/>
      <c r="G105" s="148"/>
      <c r="H105" s="148"/>
      <c r="I105" s="148"/>
      <c r="J105" s="148"/>
      <c r="K105" s="148"/>
      <c r="L105" s="148"/>
    </row>
    <row r="106">
      <c r="A106" s="148"/>
      <c r="B106" s="148"/>
      <c r="C106" s="148"/>
      <c r="D106" s="148"/>
      <c r="E106" s="148"/>
      <c r="F106" s="148"/>
      <c r="G106" s="148"/>
      <c r="H106" s="148"/>
      <c r="I106" s="148"/>
      <c r="J106" s="148"/>
      <c r="K106" s="148"/>
      <c r="L106" s="148"/>
    </row>
    <row r="107">
      <c r="A107" s="148"/>
      <c r="B107" s="148"/>
      <c r="C107" s="148"/>
      <c r="D107" s="148"/>
      <c r="E107" s="148"/>
      <c r="F107" s="148"/>
      <c r="G107" s="148"/>
      <c r="H107" s="148"/>
      <c r="I107" s="148"/>
      <c r="J107" s="148"/>
      <c r="K107" s="148"/>
      <c r="L107" s="148"/>
    </row>
    <row r="108">
      <c r="A108" s="148"/>
      <c r="B108" s="148"/>
      <c r="C108" s="148"/>
      <c r="D108" s="148"/>
      <c r="E108" s="148"/>
      <c r="F108" s="148"/>
      <c r="G108" s="148"/>
      <c r="H108" s="148"/>
      <c r="I108" s="148"/>
      <c r="J108" s="148"/>
      <c r="K108" s="148"/>
      <c r="L108" s="148"/>
    </row>
    <row r="109">
      <c r="A109" s="148"/>
      <c r="B109" s="148"/>
      <c r="C109" s="148"/>
      <c r="D109" s="148"/>
      <c r="E109" s="148"/>
      <c r="F109" s="148"/>
      <c r="G109" s="148"/>
      <c r="H109" s="148"/>
      <c r="I109" s="148"/>
      <c r="J109" s="148"/>
      <c r="K109" s="148"/>
      <c r="L109" s="148"/>
    </row>
    <row r="110">
      <c r="A110" s="148"/>
      <c r="B110" s="148"/>
      <c r="C110" s="148"/>
      <c r="D110" s="148"/>
      <c r="E110" s="148"/>
      <c r="F110" s="148"/>
      <c r="G110" s="148"/>
      <c r="H110" s="148"/>
      <c r="I110" s="148"/>
      <c r="J110" s="148"/>
      <c r="K110" s="148"/>
      <c r="L110" s="148"/>
    </row>
    <row r="111">
      <c r="A111" s="148"/>
      <c r="B111" s="148"/>
      <c r="C111" s="148"/>
      <c r="D111" s="148"/>
      <c r="E111" s="148"/>
      <c r="F111" s="148"/>
      <c r="G111" s="148"/>
      <c r="H111" s="148"/>
      <c r="I111" s="148"/>
      <c r="J111" s="148"/>
      <c r="K111" s="148"/>
      <c r="L111" s="148"/>
    </row>
    <row r="112">
      <c r="A112" s="148"/>
      <c r="B112" s="148"/>
      <c r="C112" s="148"/>
      <c r="D112" s="148"/>
      <c r="E112" s="148"/>
      <c r="F112" s="148"/>
      <c r="G112" s="148"/>
      <c r="H112" s="148"/>
      <c r="I112" s="148"/>
      <c r="J112" s="148"/>
      <c r="K112" s="148"/>
      <c r="L112" s="148"/>
    </row>
    <row r="113">
      <c r="A113" s="148"/>
      <c r="B113" s="148"/>
      <c r="C113" s="148"/>
      <c r="D113" s="148"/>
      <c r="E113" s="148"/>
      <c r="F113" s="148"/>
      <c r="G113" s="148"/>
      <c r="H113" s="148"/>
      <c r="I113" s="148"/>
      <c r="J113" s="148"/>
      <c r="K113" s="148"/>
      <c r="L113" s="148"/>
    </row>
    <row r="114">
      <c r="A114" s="148"/>
      <c r="B114" s="148"/>
      <c r="C114" s="148"/>
      <c r="D114" s="148"/>
      <c r="E114" s="148"/>
      <c r="F114" s="148"/>
      <c r="G114" s="148"/>
      <c r="H114" s="148"/>
      <c r="I114" s="148"/>
      <c r="J114" s="148"/>
      <c r="K114" s="148"/>
      <c r="L114" s="148"/>
    </row>
    <row r="115">
      <c r="A115" s="148"/>
      <c r="B115" s="148"/>
      <c r="C115" s="148"/>
      <c r="D115" s="148"/>
      <c r="E115" s="148"/>
      <c r="F115" s="148"/>
      <c r="G115" s="148"/>
      <c r="H115" s="148"/>
      <c r="I115" s="148"/>
      <c r="J115" s="148"/>
      <c r="K115" s="148"/>
      <c r="L115" s="148"/>
    </row>
    <row r="116">
      <c r="A116" s="148"/>
      <c r="B116" s="148"/>
      <c r="C116" s="148"/>
      <c r="D116" s="148"/>
      <c r="E116" s="148"/>
      <c r="F116" s="148"/>
      <c r="G116" s="148"/>
      <c r="H116" s="148"/>
      <c r="I116" s="148"/>
      <c r="J116" s="148"/>
      <c r="K116" s="148"/>
      <c r="L116" s="148"/>
    </row>
    <row r="117">
      <c r="A117" s="148"/>
      <c r="B117" s="148"/>
      <c r="C117" s="148"/>
      <c r="D117" s="148"/>
      <c r="E117" s="148"/>
      <c r="F117" s="148"/>
      <c r="G117" s="148"/>
      <c r="H117" s="148"/>
      <c r="I117" s="148"/>
      <c r="J117" s="148"/>
      <c r="K117" s="148"/>
      <c r="L117" s="148"/>
    </row>
    <row r="118">
      <c r="A118" s="148"/>
      <c r="B118" s="148"/>
      <c r="C118" s="148"/>
      <c r="D118" s="148"/>
      <c r="E118" s="148"/>
      <c r="F118" s="148"/>
      <c r="G118" s="148"/>
      <c r="H118" s="148"/>
      <c r="I118" s="148"/>
      <c r="J118" s="148"/>
      <c r="K118" s="148"/>
      <c r="L118" s="148"/>
    </row>
    <row r="119">
      <c r="A119" s="148"/>
      <c r="B119" s="148"/>
      <c r="C119" s="148"/>
      <c r="D119" s="148"/>
      <c r="E119" s="148"/>
      <c r="F119" s="148"/>
      <c r="G119" s="148"/>
      <c r="H119" s="148"/>
      <c r="I119" s="148"/>
      <c r="J119" s="148"/>
      <c r="K119" s="148"/>
      <c r="L119" s="148"/>
    </row>
    <row r="120">
      <c r="A120" s="148"/>
      <c r="B120" s="148"/>
      <c r="C120" s="148"/>
      <c r="D120" s="148"/>
      <c r="E120" s="148"/>
      <c r="F120" s="148"/>
      <c r="G120" s="148"/>
      <c r="H120" s="148"/>
      <c r="I120" s="148"/>
      <c r="J120" s="148"/>
      <c r="K120" s="148"/>
      <c r="L120" s="148"/>
    </row>
    <row r="121">
      <c r="A121" s="148"/>
      <c r="B121" s="148"/>
      <c r="C121" s="148"/>
      <c r="D121" s="148"/>
      <c r="E121" s="148"/>
      <c r="F121" s="148"/>
      <c r="G121" s="148"/>
      <c r="H121" s="148"/>
      <c r="I121" s="148"/>
      <c r="J121" s="148"/>
      <c r="K121" s="148"/>
      <c r="L121" s="148"/>
    </row>
    <row r="122">
      <c r="A122" s="148"/>
      <c r="B122" s="148"/>
      <c r="C122" s="148"/>
      <c r="D122" s="148"/>
      <c r="E122" s="148"/>
      <c r="F122" s="148"/>
      <c r="G122" s="148"/>
      <c r="H122" s="148"/>
      <c r="I122" s="148"/>
      <c r="J122" s="148"/>
      <c r="K122" s="148"/>
      <c r="L122" s="148"/>
    </row>
    <row r="123">
      <c r="A123" s="148"/>
      <c r="B123" s="148"/>
      <c r="C123" s="148"/>
      <c r="D123" s="148"/>
      <c r="E123" s="148"/>
      <c r="F123" s="148"/>
      <c r="G123" s="148"/>
      <c r="H123" s="148"/>
      <c r="I123" s="148"/>
      <c r="J123" s="148"/>
      <c r="K123" s="148"/>
      <c r="L123" s="148"/>
    </row>
    <row r="124">
      <c r="A124" s="148"/>
      <c r="B124" s="148"/>
      <c r="C124" s="148"/>
      <c r="D124" s="148"/>
      <c r="E124" s="148"/>
      <c r="F124" s="148"/>
      <c r="G124" s="148"/>
      <c r="H124" s="148"/>
      <c r="I124" s="148"/>
      <c r="J124" s="148"/>
      <c r="K124" s="148"/>
      <c r="L124" s="148"/>
    </row>
    <row r="125">
      <c r="A125" s="148"/>
      <c r="B125" s="148"/>
      <c r="C125" s="148"/>
      <c r="D125" s="148"/>
      <c r="E125" s="148"/>
      <c r="F125" s="148"/>
      <c r="G125" s="148"/>
      <c r="H125" s="148"/>
      <c r="I125" s="148"/>
      <c r="J125" s="148"/>
      <c r="K125" s="148"/>
      <c r="L125" s="148"/>
    </row>
    <row r="126">
      <c r="A126" s="148"/>
      <c r="B126" s="148"/>
      <c r="C126" s="148"/>
      <c r="D126" s="148"/>
      <c r="E126" s="148"/>
      <c r="F126" s="148"/>
      <c r="G126" s="148"/>
      <c r="H126" s="148"/>
      <c r="I126" s="148"/>
      <c r="J126" s="148"/>
      <c r="K126" s="148"/>
      <c r="L126" s="148"/>
    </row>
    <row r="127">
      <c r="A127" s="148"/>
      <c r="B127" s="148"/>
      <c r="C127" s="148"/>
      <c r="D127" s="148"/>
      <c r="E127" s="148"/>
      <c r="F127" s="148"/>
      <c r="G127" s="148"/>
      <c r="H127" s="148"/>
      <c r="I127" s="148"/>
      <c r="J127" s="148"/>
      <c r="K127" s="148"/>
      <c r="L127" s="148"/>
    </row>
    <row r="128">
      <c r="A128" s="148"/>
      <c r="B128" s="148"/>
      <c r="C128" s="148"/>
      <c r="D128" s="148"/>
      <c r="E128" s="148"/>
      <c r="F128" s="148"/>
      <c r="G128" s="148"/>
      <c r="H128" s="148"/>
      <c r="I128" s="148"/>
      <c r="J128" s="148"/>
      <c r="K128" s="148"/>
      <c r="L128" s="148"/>
    </row>
    <row r="129">
      <c r="A129" s="148"/>
      <c r="B129" s="148"/>
      <c r="C129" s="148"/>
      <c r="D129" s="148"/>
      <c r="E129" s="148"/>
      <c r="F129" s="148"/>
      <c r="G129" s="148"/>
      <c r="H129" s="148"/>
      <c r="I129" s="148"/>
      <c r="J129" s="148"/>
      <c r="K129" s="148"/>
      <c r="L129" s="148"/>
    </row>
    <row r="130">
      <c r="A130" s="148"/>
      <c r="B130" s="148"/>
      <c r="C130" s="148"/>
      <c r="D130" s="148"/>
      <c r="E130" s="148"/>
      <c r="F130" s="148"/>
      <c r="G130" s="148"/>
      <c r="H130" s="148"/>
      <c r="I130" s="148"/>
      <c r="J130" s="148"/>
      <c r="K130" s="148"/>
      <c r="L130" s="148"/>
    </row>
    <row r="131">
      <c r="A131" s="148"/>
      <c r="B131" s="148"/>
      <c r="C131" s="148"/>
      <c r="D131" s="148"/>
      <c r="E131" s="148"/>
      <c r="F131" s="148"/>
      <c r="G131" s="148"/>
      <c r="H131" s="148"/>
      <c r="I131" s="148"/>
      <c r="J131" s="148"/>
      <c r="K131" s="148"/>
      <c r="L131" s="148"/>
    </row>
    <row r="132">
      <c r="A132" s="148"/>
      <c r="B132" s="148"/>
      <c r="C132" s="148"/>
      <c r="D132" s="148"/>
      <c r="E132" s="148"/>
      <c r="F132" s="148"/>
      <c r="G132" s="148"/>
      <c r="H132" s="148"/>
      <c r="I132" s="148"/>
      <c r="J132" s="148"/>
      <c r="K132" s="148"/>
      <c r="L132" s="148"/>
    </row>
    <row r="133">
      <c r="A133" s="148"/>
      <c r="B133" s="148"/>
      <c r="C133" s="148"/>
      <c r="D133" s="148"/>
      <c r="E133" s="148"/>
      <c r="F133" s="148"/>
      <c r="G133" s="148"/>
      <c r="H133" s="148"/>
      <c r="I133" s="148"/>
      <c r="J133" s="148"/>
      <c r="K133" s="148"/>
      <c r="L133" s="148"/>
    </row>
    <row r="134">
      <c r="A134" s="148"/>
      <c r="B134" s="148"/>
      <c r="C134" s="148"/>
      <c r="D134" s="148"/>
      <c r="E134" s="148"/>
      <c r="F134" s="148"/>
      <c r="G134" s="148"/>
      <c r="H134" s="148"/>
      <c r="I134" s="148"/>
      <c r="J134" s="148"/>
      <c r="K134" s="148"/>
      <c r="L134" s="148"/>
    </row>
    <row r="135">
      <c r="A135" s="148"/>
      <c r="B135" s="148"/>
      <c r="C135" s="148"/>
      <c r="D135" s="148"/>
      <c r="E135" s="148"/>
      <c r="F135" s="148"/>
      <c r="G135" s="148"/>
      <c r="H135" s="148"/>
      <c r="I135" s="148"/>
      <c r="J135" s="148"/>
      <c r="K135" s="148"/>
      <c r="L135" s="148"/>
    </row>
    <row r="136">
      <c r="A136" s="148"/>
      <c r="B136" s="148"/>
      <c r="C136" s="148"/>
      <c r="D136" s="148"/>
      <c r="E136" s="148"/>
      <c r="F136" s="148"/>
      <c r="G136" s="148"/>
      <c r="H136" s="148"/>
      <c r="I136" s="148"/>
      <c r="J136" s="148"/>
      <c r="K136" s="148"/>
      <c r="L136" s="148"/>
    </row>
    <row r="137">
      <c r="A137" s="148"/>
      <c r="B137" s="148"/>
      <c r="C137" s="148"/>
      <c r="D137" s="148"/>
      <c r="E137" s="148"/>
      <c r="F137" s="148"/>
      <c r="G137" s="148"/>
      <c r="H137" s="148"/>
      <c r="I137" s="148"/>
      <c r="J137" s="148"/>
      <c r="K137" s="148"/>
      <c r="L137" s="148"/>
    </row>
    <row r="138">
      <c r="A138" s="148"/>
      <c r="B138" s="148"/>
      <c r="C138" s="148"/>
      <c r="D138" s="148"/>
      <c r="E138" s="148"/>
      <c r="F138" s="148"/>
      <c r="G138" s="148"/>
      <c r="H138" s="148"/>
      <c r="I138" s="148"/>
      <c r="J138" s="148"/>
      <c r="K138" s="148"/>
      <c r="L138" s="148"/>
    </row>
    <row r="139">
      <c r="A139" s="148"/>
      <c r="B139" s="148"/>
      <c r="C139" s="148"/>
      <c r="D139" s="148"/>
      <c r="E139" s="148"/>
      <c r="F139" s="148"/>
      <c r="G139" s="148"/>
      <c r="H139" s="148"/>
      <c r="I139" s="148"/>
      <c r="J139" s="148"/>
      <c r="K139" s="148"/>
      <c r="L139" s="148"/>
    </row>
    <row r="140">
      <c r="A140" s="148"/>
      <c r="B140" s="148"/>
      <c r="C140" s="148"/>
      <c r="D140" s="148"/>
      <c r="E140" s="148"/>
      <c r="F140" s="148"/>
      <c r="G140" s="148"/>
      <c r="H140" s="148"/>
      <c r="I140" s="148"/>
      <c r="J140" s="148"/>
      <c r="K140" s="148"/>
      <c r="L140" s="148"/>
    </row>
    <row r="141">
      <c r="A141" s="148"/>
      <c r="B141" s="148"/>
      <c r="C141" s="148"/>
      <c r="D141" s="148"/>
      <c r="E141" s="148"/>
      <c r="F141" s="148"/>
      <c r="G141" s="148"/>
      <c r="H141" s="148"/>
      <c r="I141" s="148"/>
      <c r="J141" s="148"/>
      <c r="K141" s="148"/>
      <c r="L141" s="148"/>
    </row>
    <row r="142">
      <c r="A142" s="148"/>
      <c r="B142" s="148"/>
      <c r="C142" s="148"/>
      <c r="D142" s="148"/>
      <c r="E142" s="148"/>
      <c r="F142" s="148"/>
      <c r="G142" s="148"/>
      <c r="H142" s="148"/>
      <c r="I142" s="148"/>
      <c r="J142" s="148"/>
      <c r="K142" s="148"/>
      <c r="L142" s="148"/>
    </row>
    <row r="143">
      <c r="A143" s="148"/>
      <c r="B143" s="148"/>
      <c r="C143" s="148"/>
      <c r="D143" s="148"/>
      <c r="E143" s="148"/>
      <c r="F143" s="148"/>
      <c r="G143" s="148"/>
      <c r="H143" s="148"/>
      <c r="I143" s="148"/>
      <c r="J143" s="148"/>
      <c r="K143" s="148"/>
      <c r="L143" s="148"/>
    </row>
    <row r="144">
      <c r="A144" s="148"/>
      <c r="B144" s="148"/>
      <c r="C144" s="148"/>
      <c r="D144" s="148"/>
      <c r="E144" s="148"/>
      <c r="F144" s="148"/>
      <c r="G144" s="148"/>
      <c r="H144" s="148"/>
      <c r="I144" s="148"/>
      <c r="J144" s="148"/>
      <c r="K144" s="148"/>
      <c r="L144" s="148"/>
    </row>
    <row r="145">
      <c r="A145" s="148"/>
      <c r="B145" s="148"/>
      <c r="C145" s="148"/>
      <c r="D145" s="148"/>
      <c r="E145" s="148"/>
      <c r="F145" s="148"/>
      <c r="G145" s="148"/>
      <c r="H145" s="148"/>
      <c r="I145" s="148"/>
      <c r="J145" s="148"/>
      <c r="K145" s="148"/>
      <c r="L145" s="148"/>
    </row>
    <row r="146">
      <c r="A146" s="148"/>
      <c r="B146" s="148"/>
      <c r="C146" s="148"/>
      <c r="D146" s="148"/>
      <c r="E146" s="148"/>
      <c r="F146" s="148"/>
      <c r="G146" s="148"/>
      <c r="H146" s="148"/>
      <c r="I146" s="148"/>
      <c r="J146" s="148"/>
      <c r="K146" s="148"/>
      <c r="L146" s="148"/>
    </row>
    <row r="147">
      <c r="A147" s="148"/>
      <c r="B147" s="148"/>
      <c r="C147" s="148"/>
      <c r="D147" s="148"/>
      <c r="E147" s="148"/>
      <c r="F147" s="148"/>
      <c r="G147" s="148"/>
      <c r="H147" s="148"/>
      <c r="I147" s="148"/>
      <c r="J147" s="148"/>
      <c r="K147" s="148"/>
      <c r="L147" s="148"/>
    </row>
    <row r="148">
      <c r="A148" s="148"/>
      <c r="B148" s="148"/>
      <c r="C148" s="148"/>
      <c r="D148" s="148"/>
      <c r="E148" s="148"/>
      <c r="F148" s="148"/>
      <c r="G148" s="148"/>
      <c r="H148" s="148"/>
      <c r="I148" s="148"/>
      <c r="J148" s="148"/>
      <c r="K148" s="148"/>
      <c r="L148" s="148"/>
    </row>
    <row r="149">
      <c r="A149" s="148"/>
      <c r="B149" s="148"/>
      <c r="C149" s="148"/>
      <c r="D149" s="148"/>
      <c r="E149" s="148"/>
      <c r="F149" s="148"/>
      <c r="G149" s="148"/>
      <c r="H149" s="148"/>
      <c r="I149" s="148"/>
      <c r="J149" s="148"/>
      <c r="K149" s="148"/>
      <c r="L149" s="148"/>
    </row>
    <row r="150">
      <c r="A150" s="148"/>
      <c r="B150" s="148"/>
      <c r="C150" s="148"/>
      <c r="D150" s="148"/>
      <c r="E150" s="148"/>
      <c r="F150" s="148"/>
      <c r="G150" s="148"/>
      <c r="H150" s="148"/>
      <c r="I150" s="148"/>
      <c r="J150" s="148"/>
      <c r="K150" s="148"/>
      <c r="L150" s="148"/>
    </row>
    <row r="151">
      <c r="A151" s="148"/>
      <c r="B151" s="148"/>
      <c r="C151" s="148"/>
      <c r="D151" s="148"/>
      <c r="E151" s="148"/>
      <c r="F151" s="148"/>
      <c r="G151" s="148"/>
      <c r="H151" s="148"/>
      <c r="I151" s="148"/>
      <c r="J151" s="148"/>
      <c r="K151" s="148"/>
      <c r="L151" s="148"/>
    </row>
    <row r="152">
      <c r="A152" s="148"/>
      <c r="B152" s="148"/>
      <c r="C152" s="148"/>
      <c r="D152" s="148"/>
      <c r="E152" s="148"/>
      <c r="F152" s="148"/>
      <c r="G152" s="148"/>
      <c r="H152" s="148"/>
      <c r="I152" s="148"/>
      <c r="J152" s="148"/>
      <c r="K152" s="148"/>
      <c r="L152" s="148"/>
    </row>
    <row r="153">
      <c r="A153" s="148"/>
      <c r="B153" s="148"/>
      <c r="C153" s="148"/>
      <c r="D153" s="148"/>
      <c r="E153" s="148"/>
      <c r="F153" s="148"/>
      <c r="G153" s="148"/>
      <c r="H153" s="148"/>
      <c r="I153" s="148"/>
      <c r="J153" s="148"/>
      <c r="K153" s="148"/>
      <c r="L153" s="148"/>
    </row>
    <row r="154">
      <c r="A154" s="148"/>
      <c r="B154" s="148"/>
      <c r="C154" s="148"/>
      <c r="D154" s="148"/>
      <c r="E154" s="148"/>
      <c r="F154" s="148"/>
      <c r="G154" s="148"/>
      <c r="H154" s="148"/>
      <c r="I154" s="148"/>
      <c r="J154" s="148"/>
      <c r="K154" s="148"/>
      <c r="L154" s="148"/>
    </row>
    <row r="155">
      <c r="A155" s="148"/>
      <c r="B155" s="148"/>
      <c r="C155" s="148"/>
      <c r="D155" s="148"/>
      <c r="E155" s="148"/>
      <c r="F155" s="148"/>
      <c r="G155" s="148"/>
      <c r="H155" s="148"/>
      <c r="I155" s="148"/>
      <c r="J155" s="148"/>
      <c r="K155" s="148"/>
      <c r="L155" s="148"/>
    </row>
    <row r="156">
      <c r="A156" s="148"/>
      <c r="B156" s="148"/>
      <c r="C156" s="148"/>
      <c r="D156" s="148"/>
      <c r="E156" s="148"/>
      <c r="F156" s="148"/>
      <c r="G156" s="148"/>
      <c r="H156" s="148"/>
      <c r="I156" s="148"/>
      <c r="J156" s="148"/>
      <c r="K156" s="148"/>
      <c r="L156" s="148"/>
    </row>
    <row r="157">
      <c r="A157" s="148"/>
      <c r="B157" s="148"/>
      <c r="C157" s="148"/>
      <c r="D157" s="148"/>
      <c r="E157" s="148"/>
      <c r="F157" s="148"/>
      <c r="G157" s="148"/>
      <c r="H157" s="148"/>
      <c r="I157" s="148"/>
      <c r="J157" s="148"/>
      <c r="K157" s="148"/>
      <c r="L157" s="148"/>
    </row>
    <row r="158">
      <c r="A158" s="148"/>
      <c r="B158" s="148"/>
      <c r="C158" s="148"/>
      <c r="D158" s="148"/>
      <c r="E158" s="148"/>
      <c r="F158" s="148"/>
      <c r="G158" s="148"/>
      <c r="H158" s="148"/>
      <c r="I158" s="148"/>
      <c r="J158" s="148"/>
      <c r="K158" s="148"/>
      <c r="L158" s="148"/>
    </row>
    <row r="159">
      <c r="A159" s="148"/>
      <c r="B159" s="148"/>
      <c r="C159" s="148"/>
      <c r="D159" s="148"/>
      <c r="E159" s="148"/>
      <c r="F159" s="148"/>
      <c r="G159" s="148"/>
      <c r="H159" s="148"/>
      <c r="I159" s="148"/>
      <c r="J159" s="148"/>
      <c r="K159" s="148"/>
      <c r="L159" s="148"/>
    </row>
    <row r="160">
      <c r="A160" s="148"/>
      <c r="B160" s="148"/>
      <c r="C160" s="148"/>
      <c r="D160" s="148"/>
      <c r="E160" s="148"/>
      <c r="F160" s="148"/>
      <c r="G160" s="148"/>
      <c r="H160" s="148"/>
      <c r="I160" s="148"/>
      <c r="J160" s="148"/>
      <c r="K160" s="148"/>
      <c r="L160" s="148"/>
    </row>
    <row r="161">
      <c r="A161" s="148"/>
      <c r="B161" s="148"/>
      <c r="C161" s="148"/>
      <c r="D161" s="148"/>
      <c r="E161" s="148"/>
      <c r="F161" s="148"/>
      <c r="G161" s="148"/>
      <c r="H161" s="148"/>
      <c r="I161" s="148"/>
      <c r="J161" s="148"/>
      <c r="K161" s="148"/>
      <c r="L161" s="148"/>
    </row>
    <row r="162">
      <c r="A162" s="148"/>
      <c r="B162" s="148"/>
      <c r="C162" s="148"/>
      <c r="D162" s="148"/>
      <c r="E162" s="148"/>
      <c r="F162" s="148"/>
      <c r="G162" s="148"/>
      <c r="H162" s="148"/>
      <c r="I162" s="148"/>
      <c r="J162" s="148"/>
      <c r="K162" s="148"/>
      <c r="L162" s="148"/>
    </row>
    <row r="163">
      <c r="A163" s="148"/>
      <c r="B163" s="148"/>
      <c r="C163" s="148"/>
      <c r="D163" s="148"/>
      <c r="E163" s="148"/>
      <c r="F163" s="148"/>
      <c r="G163" s="148"/>
      <c r="H163" s="148"/>
      <c r="I163" s="148"/>
      <c r="J163" s="148"/>
      <c r="K163" s="148"/>
      <c r="L163" s="148"/>
    </row>
    <row r="164">
      <c r="A164" s="148"/>
      <c r="B164" s="148"/>
      <c r="C164" s="148"/>
      <c r="D164" s="148"/>
      <c r="E164" s="148"/>
      <c r="F164" s="148"/>
      <c r="G164" s="148"/>
      <c r="H164" s="148"/>
      <c r="I164" s="148"/>
      <c r="J164" s="148"/>
      <c r="K164" s="148"/>
      <c r="L164" s="148"/>
    </row>
    <row r="165">
      <c r="A165" s="148"/>
      <c r="B165" s="148"/>
      <c r="C165" s="148"/>
      <c r="D165" s="148"/>
      <c r="E165" s="148"/>
      <c r="F165" s="148"/>
      <c r="G165" s="148"/>
      <c r="H165" s="148"/>
      <c r="I165" s="148"/>
      <c r="J165" s="148"/>
      <c r="K165" s="148"/>
      <c r="L165" s="148"/>
    </row>
    <row r="166">
      <c r="A166" s="148"/>
      <c r="B166" s="148"/>
      <c r="C166" s="148"/>
      <c r="D166" s="148"/>
      <c r="E166" s="148"/>
      <c r="F166" s="148"/>
      <c r="G166" s="148"/>
      <c r="H166" s="148"/>
      <c r="I166" s="148"/>
      <c r="J166" s="148"/>
      <c r="K166" s="148"/>
      <c r="L166" s="148"/>
    </row>
    <row r="167">
      <c r="A167" s="148"/>
      <c r="B167" s="148"/>
      <c r="C167" s="148"/>
      <c r="D167" s="148"/>
      <c r="E167" s="148"/>
      <c r="F167" s="148"/>
      <c r="G167" s="148"/>
      <c r="H167" s="148"/>
      <c r="I167" s="148"/>
      <c r="J167" s="148"/>
      <c r="K167" s="148"/>
      <c r="L167" s="148"/>
    </row>
    <row r="168">
      <c r="A168" s="148"/>
      <c r="B168" s="148"/>
      <c r="C168" s="148"/>
      <c r="D168" s="148"/>
      <c r="E168" s="148"/>
      <c r="F168" s="148"/>
      <c r="G168" s="148"/>
      <c r="H168" s="148"/>
      <c r="I168" s="148"/>
      <c r="J168" s="148"/>
      <c r="K168" s="148"/>
      <c r="L168" s="148"/>
    </row>
    <row r="169">
      <c r="A169" s="148"/>
      <c r="B169" s="148"/>
      <c r="C169" s="148"/>
      <c r="D169" s="148"/>
      <c r="E169" s="148"/>
      <c r="F169" s="148"/>
      <c r="G169" s="148"/>
      <c r="H169" s="148"/>
      <c r="I169" s="148"/>
      <c r="J169" s="148"/>
      <c r="K169" s="148"/>
      <c r="L169" s="148"/>
    </row>
    <row r="170">
      <c r="A170" s="148"/>
      <c r="B170" s="148"/>
      <c r="C170" s="148"/>
      <c r="D170" s="148"/>
      <c r="E170" s="148"/>
      <c r="F170" s="148"/>
      <c r="G170" s="148"/>
      <c r="H170" s="148"/>
      <c r="I170" s="148"/>
      <c r="J170" s="148"/>
      <c r="K170" s="148"/>
      <c r="L170" s="148"/>
    </row>
    <row r="171">
      <c r="A171" s="148"/>
      <c r="B171" s="148"/>
      <c r="C171" s="148"/>
      <c r="D171" s="148"/>
      <c r="E171" s="148"/>
      <c r="F171" s="148"/>
      <c r="G171" s="148"/>
      <c r="H171" s="148"/>
      <c r="I171" s="148"/>
      <c r="J171" s="148"/>
      <c r="K171" s="148"/>
      <c r="L171" s="148"/>
    </row>
    <row r="172">
      <c r="A172" s="148"/>
      <c r="B172" s="148"/>
      <c r="C172" s="148"/>
      <c r="D172" s="148"/>
      <c r="E172" s="148"/>
      <c r="F172" s="148"/>
      <c r="G172" s="148"/>
      <c r="H172" s="148"/>
      <c r="I172" s="148"/>
      <c r="J172" s="148"/>
      <c r="K172" s="148"/>
      <c r="L172" s="148"/>
    </row>
    <row r="173">
      <c r="A173" s="148"/>
      <c r="B173" s="148"/>
      <c r="C173" s="148"/>
      <c r="D173" s="148"/>
      <c r="E173" s="148"/>
      <c r="F173" s="148"/>
      <c r="G173" s="148"/>
      <c r="H173" s="148"/>
      <c r="I173" s="148"/>
      <c r="J173" s="148"/>
      <c r="K173" s="148"/>
      <c r="L173" s="148"/>
    </row>
    <row r="174">
      <c r="A174" s="148"/>
      <c r="B174" s="148"/>
      <c r="C174" s="148"/>
      <c r="D174" s="148"/>
      <c r="E174" s="148"/>
      <c r="F174" s="148"/>
      <c r="G174" s="148"/>
      <c r="H174" s="148"/>
      <c r="I174" s="148"/>
      <c r="J174" s="148"/>
      <c r="K174" s="148"/>
      <c r="L174" s="148"/>
    </row>
    <row r="175">
      <c r="A175" s="148"/>
      <c r="B175" s="148"/>
      <c r="C175" s="148"/>
      <c r="D175" s="148"/>
      <c r="E175" s="148"/>
      <c r="F175" s="148"/>
      <c r="G175" s="148"/>
      <c r="H175" s="148"/>
      <c r="I175" s="148"/>
      <c r="J175" s="148"/>
      <c r="K175" s="148"/>
      <c r="L175" s="148"/>
    </row>
    <row r="176">
      <c r="A176" s="148"/>
      <c r="B176" s="148"/>
      <c r="C176" s="148"/>
      <c r="D176" s="148"/>
      <c r="E176" s="148"/>
      <c r="F176" s="148"/>
      <c r="G176" s="148"/>
      <c r="H176" s="148"/>
      <c r="I176" s="148"/>
      <c r="J176" s="148"/>
      <c r="K176" s="148"/>
      <c r="L176" s="148"/>
    </row>
    <row r="177">
      <c r="A177" s="148"/>
      <c r="B177" s="148"/>
      <c r="C177" s="148"/>
      <c r="D177" s="148"/>
      <c r="E177" s="148"/>
      <c r="F177" s="148"/>
      <c r="G177" s="148"/>
      <c r="H177" s="148"/>
      <c r="I177" s="148"/>
      <c r="J177" s="148"/>
      <c r="K177" s="148"/>
      <c r="L177" s="148"/>
    </row>
    <row r="178">
      <c r="A178" s="148"/>
      <c r="B178" s="148"/>
      <c r="C178" s="148"/>
      <c r="D178" s="148"/>
      <c r="E178" s="148"/>
      <c r="F178" s="148"/>
      <c r="G178" s="148"/>
      <c r="H178" s="148"/>
      <c r="I178" s="148"/>
      <c r="J178" s="148"/>
      <c r="K178" s="148"/>
      <c r="L178" s="148"/>
    </row>
    <row r="179">
      <c r="A179" s="148"/>
      <c r="B179" s="148"/>
      <c r="C179" s="148"/>
      <c r="D179" s="148"/>
      <c r="E179" s="148"/>
      <c r="F179" s="148"/>
      <c r="G179" s="148"/>
      <c r="H179" s="148"/>
      <c r="I179" s="148"/>
      <c r="J179" s="148"/>
      <c r="K179" s="148"/>
      <c r="L179" s="148"/>
    </row>
    <row r="180">
      <c r="A180" s="148"/>
      <c r="B180" s="148"/>
      <c r="C180" s="148"/>
      <c r="D180" s="148"/>
      <c r="E180" s="148"/>
      <c r="F180" s="148"/>
      <c r="G180" s="148"/>
      <c r="H180" s="148"/>
      <c r="I180" s="148"/>
      <c r="J180" s="148"/>
      <c r="K180" s="148"/>
      <c r="L180" s="148"/>
    </row>
    <row r="181">
      <c r="A181" s="148"/>
      <c r="B181" s="148"/>
      <c r="C181" s="148"/>
      <c r="D181" s="148"/>
      <c r="E181" s="148"/>
      <c r="F181" s="148"/>
      <c r="G181" s="148"/>
      <c r="H181" s="148"/>
      <c r="I181" s="148"/>
      <c r="J181" s="148"/>
      <c r="K181" s="148"/>
      <c r="L181" s="148"/>
    </row>
    <row r="182">
      <c r="A182" s="148"/>
      <c r="B182" s="148"/>
      <c r="C182" s="148"/>
      <c r="D182" s="148"/>
      <c r="E182" s="148"/>
      <c r="F182" s="148"/>
      <c r="G182" s="148"/>
      <c r="H182" s="148"/>
      <c r="I182" s="148"/>
      <c r="J182" s="148"/>
      <c r="K182" s="148"/>
      <c r="L182" s="148"/>
    </row>
    <row r="183">
      <c r="A183" s="148"/>
      <c r="B183" s="148"/>
      <c r="C183" s="148"/>
      <c r="D183" s="148"/>
      <c r="E183" s="148"/>
      <c r="F183" s="148"/>
      <c r="G183" s="148"/>
      <c r="H183" s="148"/>
      <c r="I183" s="148"/>
      <c r="J183" s="148"/>
      <c r="K183" s="148"/>
      <c r="L183" s="148"/>
    </row>
    <row r="184">
      <c r="A184" s="148"/>
      <c r="B184" s="148"/>
      <c r="C184" s="148"/>
      <c r="D184" s="148"/>
      <c r="E184" s="148"/>
      <c r="F184" s="148"/>
      <c r="G184" s="148"/>
      <c r="H184" s="148"/>
      <c r="I184" s="148"/>
      <c r="J184" s="148"/>
      <c r="K184" s="148"/>
      <c r="L184" s="148"/>
    </row>
    <row r="185">
      <c r="A185" s="148"/>
      <c r="B185" s="148"/>
      <c r="C185" s="148"/>
      <c r="D185" s="148"/>
      <c r="E185" s="148"/>
      <c r="F185" s="148"/>
      <c r="G185" s="148"/>
      <c r="H185" s="148"/>
      <c r="I185" s="148"/>
      <c r="J185" s="148"/>
      <c r="K185" s="148"/>
      <c r="L185" s="148"/>
    </row>
    <row r="186">
      <c r="A186" s="148"/>
      <c r="B186" s="148"/>
      <c r="C186" s="148"/>
      <c r="D186" s="148"/>
      <c r="E186" s="148"/>
      <c r="F186" s="148"/>
      <c r="G186" s="148"/>
      <c r="H186" s="148"/>
      <c r="I186" s="148"/>
      <c r="J186" s="148"/>
      <c r="K186" s="148"/>
      <c r="L186" s="148"/>
    </row>
    <row r="187">
      <c r="A187" s="148"/>
      <c r="B187" s="148"/>
      <c r="C187" s="148"/>
      <c r="D187" s="148"/>
      <c r="E187" s="148"/>
      <c r="F187" s="148"/>
      <c r="G187" s="148"/>
      <c r="H187" s="148"/>
      <c r="I187" s="148"/>
      <c r="J187" s="148"/>
      <c r="K187" s="148"/>
      <c r="L187" s="148"/>
    </row>
    <row r="188">
      <c r="A188" s="148"/>
      <c r="B188" s="148"/>
      <c r="C188" s="148"/>
      <c r="D188" s="148"/>
      <c r="E188" s="148"/>
      <c r="F188" s="148"/>
      <c r="G188" s="148"/>
      <c r="H188" s="148"/>
      <c r="I188" s="148"/>
      <c r="J188" s="148"/>
      <c r="K188" s="148"/>
      <c r="L188" s="148"/>
    </row>
    <row r="189">
      <c r="A189" s="148"/>
      <c r="B189" s="148"/>
      <c r="C189" s="148"/>
      <c r="D189" s="148"/>
      <c r="E189" s="148"/>
      <c r="F189" s="148"/>
      <c r="G189" s="148"/>
      <c r="H189" s="148"/>
      <c r="I189" s="148"/>
      <c r="J189" s="148"/>
      <c r="K189" s="148"/>
      <c r="L189" s="148"/>
    </row>
    <row r="190">
      <c r="A190" s="148"/>
      <c r="B190" s="148"/>
      <c r="C190" s="148"/>
      <c r="D190" s="148"/>
      <c r="E190" s="148"/>
      <c r="F190" s="148"/>
      <c r="G190" s="148"/>
      <c r="H190" s="148"/>
      <c r="I190" s="148"/>
      <c r="J190" s="148"/>
      <c r="K190" s="148"/>
      <c r="L190" s="148"/>
    </row>
    <row r="191">
      <c r="A191" s="148"/>
      <c r="B191" s="148"/>
      <c r="C191" s="148"/>
      <c r="D191" s="148"/>
      <c r="E191" s="148"/>
      <c r="F191" s="148"/>
      <c r="G191" s="148"/>
      <c r="H191" s="148"/>
      <c r="I191" s="148"/>
      <c r="J191" s="148"/>
      <c r="K191" s="148"/>
      <c r="L191" s="148"/>
    </row>
    <row r="192">
      <c r="A192" s="148"/>
      <c r="B192" s="148"/>
      <c r="C192" s="148"/>
      <c r="D192" s="148"/>
      <c r="E192" s="148"/>
      <c r="F192" s="148"/>
      <c r="G192" s="148"/>
      <c r="H192" s="148"/>
      <c r="I192" s="148"/>
      <c r="J192" s="148"/>
      <c r="K192" s="148"/>
      <c r="L192" s="148"/>
    </row>
    <row r="193">
      <c r="A193" s="148"/>
      <c r="B193" s="148"/>
      <c r="C193" s="148"/>
      <c r="D193" s="148"/>
      <c r="E193" s="148"/>
      <c r="F193" s="148"/>
      <c r="G193" s="148"/>
      <c r="H193" s="148"/>
      <c r="I193" s="148"/>
      <c r="J193" s="148"/>
      <c r="K193" s="148"/>
      <c r="L193" s="148"/>
    </row>
    <row r="194">
      <c r="A194" s="148"/>
      <c r="B194" s="148"/>
      <c r="C194" s="148"/>
      <c r="D194" s="148"/>
      <c r="E194" s="148"/>
      <c r="F194" s="148"/>
      <c r="G194" s="148"/>
      <c r="H194" s="148"/>
      <c r="I194" s="148"/>
      <c r="J194" s="148"/>
      <c r="K194" s="148"/>
      <c r="L194" s="148"/>
    </row>
    <row r="195">
      <c r="A195" s="148"/>
      <c r="B195" s="148"/>
      <c r="C195" s="148"/>
      <c r="D195" s="148"/>
      <c r="E195" s="148"/>
      <c r="F195" s="148"/>
      <c r="G195" s="148"/>
      <c r="H195" s="148"/>
      <c r="I195" s="148"/>
      <c r="J195" s="148"/>
      <c r="K195" s="148"/>
      <c r="L195" s="148"/>
    </row>
    <row r="196">
      <c r="A196" s="148"/>
      <c r="B196" s="148"/>
      <c r="C196" s="148"/>
      <c r="D196" s="148"/>
      <c r="E196" s="148"/>
      <c r="F196" s="148"/>
      <c r="G196" s="148"/>
      <c r="H196" s="148"/>
      <c r="I196" s="148"/>
      <c r="J196" s="148"/>
      <c r="K196" s="148"/>
      <c r="L196" s="148"/>
    </row>
    <row r="197">
      <c r="A197" s="148"/>
      <c r="B197" s="148"/>
      <c r="C197" s="148"/>
      <c r="D197" s="148"/>
      <c r="E197" s="148"/>
      <c r="F197" s="148"/>
      <c r="G197" s="148"/>
      <c r="H197" s="148"/>
      <c r="I197" s="148"/>
      <c r="J197" s="148"/>
      <c r="K197" s="148"/>
      <c r="L197" s="148"/>
    </row>
    <row r="198">
      <c r="A198" s="148"/>
      <c r="B198" s="148"/>
      <c r="C198" s="148"/>
      <c r="D198" s="148"/>
      <c r="E198" s="148"/>
      <c r="F198" s="148"/>
      <c r="G198" s="148"/>
      <c r="H198" s="148"/>
      <c r="I198" s="148"/>
      <c r="J198" s="148"/>
      <c r="K198" s="148"/>
      <c r="L198" s="148"/>
    </row>
    <row r="199">
      <c r="A199" s="148"/>
      <c r="B199" s="148"/>
      <c r="C199" s="148"/>
      <c r="D199" s="148"/>
      <c r="E199" s="148"/>
      <c r="F199" s="148"/>
      <c r="G199" s="148"/>
      <c r="H199" s="148"/>
      <c r="I199" s="148"/>
      <c r="J199" s="148"/>
      <c r="K199" s="148"/>
      <c r="L199" s="148"/>
    </row>
    <row r="200">
      <c r="A200" s="148"/>
      <c r="B200" s="148"/>
      <c r="C200" s="148"/>
      <c r="D200" s="148"/>
      <c r="E200" s="148"/>
      <c r="F200" s="148"/>
      <c r="G200" s="148"/>
      <c r="H200" s="148"/>
      <c r="I200" s="148"/>
      <c r="J200" s="148"/>
      <c r="K200" s="148"/>
      <c r="L200" s="148"/>
    </row>
    <row r="201">
      <c r="A201" s="148"/>
      <c r="B201" s="148"/>
      <c r="C201" s="148"/>
      <c r="D201" s="148"/>
      <c r="E201" s="148"/>
      <c r="F201" s="148"/>
      <c r="G201" s="148"/>
      <c r="H201" s="148"/>
      <c r="I201" s="148"/>
      <c r="J201" s="148"/>
      <c r="K201" s="148"/>
      <c r="L201" s="148"/>
    </row>
    <row r="202">
      <c r="A202" s="148"/>
      <c r="B202" s="148"/>
      <c r="C202" s="148"/>
      <c r="D202" s="148"/>
      <c r="E202" s="148"/>
      <c r="F202" s="148"/>
      <c r="G202" s="148"/>
      <c r="H202" s="148"/>
      <c r="I202" s="148"/>
      <c r="J202" s="148"/>
      <c r="K202" s="148"/>
      <c r="L202" s="148"/>
    </row>
    <row r="203">
      <c r="A203" s="148"/>
      <c r="B203" s="148"/>
      <c r="C203" s="148"/>
      <c r="D203" s="148"/>
      <c r="E203" s="148"/>
      <c r="F203" s="148"/>
      <c r="G203" s="148"/>
      <c r="H203" s="148"/>
      <c r="I203" s="148"/>
      <c r="J203" s="148"/>
      <c r="K203" s="148"/>
      <c r="L203" s="148"/>
    </row>
    <row r="204">
      <c r="A204" s="148"/>
      <c r="B204" s="148"/>
      <c r="C204" s="148"/>
      <c r="D204" s="148"/>
      <c r="E204" s="148"/>
      <c r="F204" s="148"/>
      <c r="G204" s="148"/>
      <c r="H204" s="148"/>
      <c r="I204" s="148"/>
      <c r="J204" s="148"/>
      <c r="K204" s="148"/>
      <c r="L204" s="148"/>
    </row>
    <row r="205">
      <c r="A205" s="148"/>
      <c r="B205" s="148"/>
      <c r="C205" s="148"/>
      <c r="D205" s="148"/>
      <c r="E205" s="148"/>
      <c r="F205" s="148"/>
      <c r="G205" s="148"/>
      <c r="H205" s="148"/>
      <c r="I205" s="148"/>
      <c r="J205" s="148"/>
      <c r="K205" s="148"/>
      <c r="L205" s="148"/>
    </row>
    <row r="206">
      <c r="A206" s="148"/>
      <c r="B206" s="148"/>
      <c r="C206" s="148"/>
      <c r="D206" s="148"/>
      <c r="E206" s="148"/>
      <c r="F206" s="148"/>
      <c r="G206" s="148"/>
      <c r="H206" s="148"/>
      <c r="I206" s="148"/>
      <c r="J206" s="148"/>
      <c r="K206" s="148"/>
      <c r="L206" s="148"/>
    </row>
    <row r="207">
      <c r="A207" s="148"/>
      <c r="B207" s="148"/>
      <c r="C207" s="148"/>
      <c r="D207" s="148"/>
      <c r="E207" s="148"/>
      <c r="F207" s="148"/>
      <c r="G207" s="148"/>
      <c r="H207" s="148"/>
      <c r="I207" s="148"/>
      <c r="J207" s="148"/>
      <c r="K207" s="148"/>
      <c r="L207" s="148"/>
    </row>
    <row r="208">
      <c r="A208" s="148"/>
      <c r="B208" s="148"/>
      <c r="C208" s="148"/>
      <c r="D208" s="148"/>
      <c r="E208" s="148"/>
      <c r="F208" s="148"/>
      <c r="G208" s="148"/>
      <c r="H208" s="148"/>
      <c r="I208" s="148"/>
      <c r="J208" s="148"/>
      <c r="K208" s="148"/>
      <c r="L208" s="148"/>
    </row>
    <row r="209">
      <c r="A209" s="148"/>
      <c r="B209" s="148"/>
      <c r="C209" s="148"/>
      <c r="D209" s="148"/>
      <c r="E209" s="148"/>
      <c r="F209" s="148"/>
      <c r="G209" s="148"/>
      <c r="H209" s="148"/>
      <c r="I209" s="148"/>
      <c r="J209" s="148"/>
      <c r="K209" s="148"/>
      <c r="L209" s="148"/>
    </row>
    <row r="210">
      <c r="A210" s="148"/>
      <c r="B210" s="148"/>
      <c r="C210" s="148"/>
      <c r="D210" s="148"/>
      <c r="E210" s="148"/>
      <c r="F210" s="148"/>
      <c r="G210" s="148"/>
      <c r="H210" s="148"/>
      <c r="I210" s="148"/>
      <c r="J210" s="148"/>
      <c r="K210" s="148"/>
      <c r="L210" s="148"/>
    </row>
    <row r="211">
      <c r="A211" s="148"/>
      <c r="B211" s="148"/>
      <c r="C211" s="148"/>
      <c r="D211" s="148"/>
      <c r="E211" s="148"/>
      <c r="F211" s="148"/>
      <c r="G211" s="148"/>
      <c r="H211" s="148"/>
      <c r="I211" s="148"/>
      <c r="J211" s="148"/>
      <c r="K211" s="148"/>
      <c r="L211" s="148"/>
    </row>
    <row r="212">
      <c r="A212" s="148"/>
      <c r="B212" s="148"/>
      <c r="C212" s="148"/>
      <c r="D212" s="148"/>
      <c r="E212" s="148"/>
      <c r="F212" s="148"/>
      <c r="G212" s="148"/>
      <c r="H212" s="148"/>
      <c r="I212" s="148"/>
      <c r="J212" s="148"/>
      <c r="K212" s="148"/>
      <c r="L212" s="148"/>
    </row>
    <row r="213">
      <c r="A213" s="148"/>
      <c r="B213" s="148"/>
      <c r="C213" s="148"/>
      <c r="D213" s="148"/>
      <c r="E213" s="148"/>
      <c r="F213" s="148"/>
      <c r="G213" s="148"/>
      <c r="H213" s="148"/>
      <c r="I213" s="148"/>
      <c r="J213" s="148"/>
      <c r="K213" s="148"/>
      <c r="L213" s="148"/>
    </row>
    <row r="214">
      <c r="A214" s="148"/>
      <c r="B214" s="148"/>
      <c r="C214" s="148"/>
      <c r="D214" s="148"/>
      <c r="E214" s="148"/>
      <c r="F214" s="148"/>
      <c r="G214" s="148"/>
      <c r="H214" s="148"/>
      <c r="I214" s="148"/>
      <c r="J214" s="148"/>
      <c r="K214" s="148"/>
      <c r="L214" s="148"/>
    </row>
    <row r="215">
      <c r="A215" s="148"/>
      <c r="B215" s="148"/>
      <c r="C215" s="148"/>
      <c r="D215" s="148"/>
      <c r="E215" s="148"/>
      <c r="F215" s="148"/>
      <c r="G215" s="148"/>
      <c r="H215" s="148"/>
      <c r="I215" s="148"/>
      <c r="J215" s="148"/>
      <c r="K215" s="148"/>
      <c r="L215" s="148"/>
    </row>
    <row r="216">
      <c r="A216" s="148"/>
      <c r="B216" s="148"/>
      <c r="C216" s="148"/>
      <c r="D216" s="148"/>
      <c r="E216" s="148"/>
      <c r="F216" s="148"/>
      <c r="G216" s="148"/>
      <c r="H216" s="148"/>
      <c r="I216" s="148"/>
      <c r="J216" s="148"/>
      <c r="K216" s="148"/>
      <c r="L216" s="148"/>
    </row>
    <row r="217">
      <c r="A217" s="148"/>
      <c r="B217" s="148"/>
      <c r="C217" s="148"/>
      <c r="D217" s="148"/>
      <c r="E217" s="148"/>
      <c r="F217" s="148"/>
      <c r="G217" s="148"/>
      <c r="H217" s="148"/>
      <c r="I217" s="148"/>
      <c r="J217" s="148"/>
      <c r="K217" s="148"/>
      <c r="L217" s="148"/>
    </row>
    <row r="218">
      <c r="A218" s="148"/>
      <c r="B218" s="148"/>
      <c r="C218" s="148"/>
      <c r="D218" s="148"/>
      <c r="E218" s="148"/>
      <c r="F218" s="148"/>
      <c r="G218" s="148"/>
      <c r="H218" s="148"/>
      <c r="I218" s="148"/>
      <c r="J218" s="148"/>
      <c r="K218" s="148"/>
      <c r="L218" s="148"/>
    </row>
    <row r="219">
      <c r="A219" s="148"/>
      <c r="B219" s="148"/>
      <c r="C219" s="148"/>
      <c r="D219" s="148"/>
      <c r="E219" s="148"/>
      <c r="F219" s="148"/>
      <c r="G219" s="148"/>
      <c r="H219" s="148"/>
      <c r="I219" s="148"/>
      <c r="J219" s="148"/>
      <c r="K219" s="148"/>
      <c r="L219" s="148"/>
    </row>
    <row r="220">
      <c r="A220" s="148"/>
      <c r="B220" s="148"/>
      <c r="C220" s="148"/>
      <c r="D220" s="148"/>
      <c r="E220" s="148"/>
      <c r="F220" s="148"/>
      <c r="G220" s="148"/>
      <c r="H220" s="148"/>
      <c r="I220" s="148"/>
      <c r="J220" s="148"/>
      <c r="K220" s="148"/>
      <c r="L220" s="148"/>
    </row>
    <row r="221">
      <c r="A221" s="148"/>
      <c r="B221" s="148"/>
      <c r="C221" s="148"/>
      <c r="D221" s="148"/>
      <c r="E221" s="148"/>
      <c r="F221" s="148"/>
      <c r="G221" s="148"/>
      <c r="H221" s="148"/>
      <c r="I221" s="148"/>
      <c r="J221" s="148"/>
      <c r="K221" s="148"/>
      <c r="L221" s="148"/>
    </row>
    <row r="222">
      <c r="A222" s="148"/>
      <c r="B222" s="148"/>
      <c r="C222" s="148"/>
      <c r="D222" s="148"/>
      <c r="E222" s="148"/>
      <c r="F222" s="148"/>
      <c r="G222" s="148"/>
      <c r="H222" s="148"/>
      <c r="I222" s="148"/>
      <c r="J222" s="148"/>
      <c r="K222" s="148"/>
      <c r="L222" s="148"/>
    </row>
    <row r="223">
      <c r="A223" s="148"/>
      <c r="B223" s="148"/>
      <c r="C223" s="148"/>
      <c r="D223" s="148"/>
      <c r="E223" s="148"/>
      <c r="F223" s="148"/>
      <c r="G223" s="148"/>
      <c r="H223" s="148"/>
      <c r="I223" s="148"/>
      <c r="J223" s="148"/>
      <c r="K223" s="148"/>
      <c r="L223" s="148"/>
    </row>
    <row r="224">
      <c r="A224" s="148"/>
      <c r="B224" s="148"/>
      <c r="C224" s="148"/>
      <c r="D224" s="148"/>
      <c r="E224" s="148"/>
      <c r="F224" s="148"/>
      <c r="G224" s="148"/>
      <c r="H224" s="148"/>
      <c r="I224" s="148"/>
      <c r="J224" s="148"/>
      <c r="K224" s="148"/>
      <c r="L224" s="148"/>
    </row>
    <row r="225">
      <c r="A225" s="148"/>
      <c r="B225" s="148"/>
      <c r="C225" s="148"/>
      <c r="D225" s="148"/>
      <c r="E225" s="148"/>
      <c r="F225" s="148"/>
      <c r="G225" s="148"/>
      <c r="H225" s="148"/>
      <c r="I225" s="148"/>
      <c r="J225" s="148"/>
      <c r="K225" s="148"/>
      <c r="L225" s="148"/>
    </row>
    <row r="226">
      <c r="A226" s="148"/>
      <c r="B226" s="148"/>
      <c r="C226" s="148"/>
      <c r="D226" s="148"/>
      <c r="E226" s="148"/>
      <c r="F226" s="148"/>
      <c r="G226" s="148"/>
      <c r="H226" s="148"/>
      <c r="I226" s="148"/>
      <c r="J226" s="148"/>
      <c r="K226" s="148"/>
      <c r="L226" s="148"/>
    </row>
    <row r="227">
      <c r="A227" s="148"/>
      <c r="B227" s="148"/>
      <c r="C227" s="148"/>
      <c r="D227" s="148"/>
      <c r="E227" s="148"/>
      <c r="F227" s="148"/>
      <c r="G227" s="148"/>
      <c r="H227" s="148"/>
      <c r="I227" s="148"/>
      <c r="J227" s="148"/>
      <c r="K227" s="148"/>
      <c r="L227" s="148"/>
    </row>
    <row r="228">
      <c r="A228" s="148"/>
      <c r="B228" s="148"/>
      <c r="C228" s="148"/>
      <c r="D228" s="148"/>
      <c r="E228" s="148"/>
      <c r="F228" s="148"/>
      <c r="G228" s="148"/>
      <c r="H228" s="148"/>
      <c r="I228" s="148"/>
      <c r="J228" s="148"/>
      <c r="K228" s="148"/>
      <c r="L228" s="148"/>
    </row>
    <row r="229">
      <c r="A229" s="148"/>
      <c r="B229" s="148"/>
      <c r="C229" s="148"/>
      <c r="D229" s="148"/>
      <c r="E229" s="148"/>
      <c r="F229" s="148"/>
      <c r="G229" s="148"/>
      <c r="H229" s="148"/>
      <c r="I229" s="148"/>
      <c r="J229" s="148"/>
      <c r="K229" s="148"/>
      <c r="L229" s="148"/>
    </row>
    <row r="230">
      <c r="A230" s="148"/>
      <c r="B230" s="148"/>
      <c r="C230" s="148"/>
      <c r="D230" s="148"/>
      <c r="E230" s="148"/>
      <c r="F230" s="148"/>
      <c r="G230" s="148"/>
      <c r="H230" s="148"/>
      <c r="I230" s="148"/>
      <c r="J230" s="148"/>
      <c r="K230" s="148"/>
      <c r="L230" s="148"/>
    </row>
    <row r="231">
      <c r="A231" s="148"/>
      <c r="B231" s="148"/>
      <c r="C231" s="148"/>
      <c r="D231" s="148"/>
      <c r="E231" s="148"/>
      <c r="F231" s="148"/>
      <c r="G231" s="148"/>
      <c r="H231" s="148"/>
      <c r="I231" s="148"/>
      <c r="J231" s="148"/>
      <c r="K231" s="148"/>
      <c r="L231" s="148"/>
    </row>
    <row r="232">
      <c r="A232" s="148"/>
      <c r="B232" s="148"/>
      <c r="C232" s="148"/>
      <c r="D232" s="148"/>
      <c r="E232" s="148"/>
      <c r="F232" s="148"/>
      <c r="G232" s="148"/>
      <c r="H232" s="148"/>
      <c r="I232" s="148"/>
      <c r="J232" s="148"/>
      <c r="K232" s="148"/>
      <c r="L232" s="148"/>
    </row>
    <row r="233">
      <c r="A233" s="148"/>
      <c r="B233" s="148"/>
      <c r="C233" s="148"/>
      <c r="D233" s="148"/>
      <c r="E233" s="148"/>
      <c r="F233" s="148"/>
      <c r="G233" s="148"/>
      <c r="H233" s="148"/>
      <c r="I233" s="148"/>
      <c r="J233" s="148"/>
      <c r="K233" s="148"/>
      <c r="L233" s="148"/>
    </row>
    <row r="234">
      <c r="A234" s="148"/>
      <c r="B234" s="148"/>
      <c r="C234" s="148"/>
      <c r="D234" s="148"/>
      <c r="E234" s="148"/>
      <c r="F234" s="148"/>
      <c r="G234" s="148"/>
      <c r="H234" s="148"/>
      <c r="I234" s="148"/>
      <c r="J234" s="148"/>
      <c r="K234" s="148"/>
      <c r="L234" s="148"/>
    </row>
    <row r="235">
      <c r="A235" s="148"/>
      <c r="B235" s="148"/>
      <c r="C235" s="148"/>
      <c r="D235" s="148"/>
      <c r="E235" s="148"/>
      <c r="F235" s="148"/>
      <c r="G235" s="148"/>
      <c r="H235" s="148"/>
      <c r="I235" s="148"/>
      <c r="J235" s="148"/>
      <c r="K235" s="148"/>
      <c r="L235" s="148"/>
    </row>
    <row r="236">
      <c r="A236" s="148"/>
      <c r="B236" s="148"/>
      <c r="C236" s="148"/>
      <c r="D236" s="148"/>
      <c r="E236" s="148"/>
      <c r="F236" s="148"/>
      <c r="G236" s="148"/>
      <c r="H236" s="148"/>
      <c r="I236" s="148"/>
      <c r="J236" s="148"/>
      <c r="K236" s="148"/>
      <c r="L236" s="148"/>
    </row>
    <row r="237">
      <c r="A237" s="148"/>
      <c r="B237" s="148"/>
      <c r="C237" s="148"/>
      <c r="D237" s="148"/>
      <c r="E237" s="148"/>
      <c r="F237" s="148"/>
      <c r="G237" s="148"/>
      <c r="H237" s="148"/>
      <c r="I237" s="148"/>
      <c r="J237" s="148"/>
      <c r="K237" s="148"/>
      <c r="L237" s="148"/>
    </row>
    <row r="238">
      <c r="A238" s="148"/>
      <c r="B238" s="148"/>
      <c r="C238" s="148"/>
      <c r="D238" s="148"/>
      <c r="E238" s="148"/>
      <c r="F238" s="148"/>
      <c r="G238" s="148"/>
      <c r="H238" s="148"/>
      <c r="I238" s="148"/>
      <c r="J238" s="148"/>
      <c r="K238" s="148"/>
      <c r="L238" s="148"/>
    </row>
    <row r="239">
      <c r="A239" s="148"/>
      <c r="B239" s="148"/>
      <c r="C239" s="148"/>
      <c r="D239" s="148"/>
      <c r="E239" s="148"/>
      <c r="F239" s="148"/>
      <c r="G239" s="148"/>
      <c r="H239" s="148"/>
      <c r="I239" s="148"/>
      <c r="J239" s="148"/>
      <c r="K239" s="148"/>
      <c r="L239" s="148"/>
    </row>
    <row r="240">
      <c r="A240" s="148"/>
      <c r="B240" s="148"/>
      <c r="C240" s="148"/>
      <c r="D240" s="148"/>
      <c r="E240" s="148"/>
      <c r="F240" s="148"/>
      <c r="G240" s="148"/>
      <c r="H240" s="148"/>
      <c r="I240" s="148"/>
      <c r="J240" s="148"/>
      <c r="K240" s="148"/>
      <c r="L240" s="148"/>
    </row>
    <row r="241">
      <c r="A241" s="148"/>
      <c r="B241" s="148"/>
      <c r="C241" s="148"/>
      <c r="D241" s="148"/>
      <c r="E241" s="148"/>
      <c r="F241" s="148"/>
      <c r="G241" s="148"/>
      <c r="H241" s="148"/>
      <c r="I241" s="148"/>
      <c r="J241" s="148"/>
      <c r="K241" s="148"/>
      <c r="L241" s="148"/>
    </row>
    <row r="242">
      <c r="A242" s="148"/>
      <c r="B242" s="148"/>
      <c r="C242" s="148"/>
      <c r="D242" s="148"/>
      <c r="E242" s="148"/>
      <c r="F242" s="148"/>
      <c r="G242" s="148"/>
      <c r="H242" s="148"/>
      <c r="I242" s="148"/>
      <c r="J242" s="148"/>
      <c r="K242" s="148"/>
      <c r="L242" s="148"/>
    </row>
    <row r="243">
      <c r="A243" s="148"/>
      <c r="B243" s="148"/>
      <c r="C243" s="148"/>
      <c r="D243" s="148"/>
      <c r="E243" s="148"/>
      <c r="F243" s="148"/>
      <c r="G243" s="148"/>
      <c r="H243" s="148"/>
      <c r="I243" s="148"/>
      <c r="J243" s="148"/>
      <c r="K243" s="148"/>
      <c r="L243" s="148"/>
    </row>
    <row r="244">
      <c r="A244" s="148"/>
      <c r="B244" s="148"/>
      <c r="C244" s="148"/>
      <c r="D244" s="148"/>
      <c r="E244" s="148"/>
      <c r="F244" s="148"/>
      <c r="G244" s="148"/>
      <c r="H244" s="148"/>
      <c r="I244" s="148"/>
      <c r="J244" s="148"/>
      <c r="K244" s="148"/>
      <c r="L244" s="148"/>
    </row>
    <row r="245">
      <c r="A245" s="148"/>
      <c r="B245" s="148"/>
      <c r="C245" s="148"/>
      <c r="D245" s="148"/>
      <c r="E245" s="148"/>
      <c r="F245" s="148"/>
      <c r="G245" s="148"/>
      <c r="H245" s="148"/>
      <c r="I245" s="148"/>
      <c r="J245" s="148"/>
      <c r="K245" s="148"/>
      <c r="L245" s="148"/>
    </row>
    <row r="246">
      <c r="A246" s="148"/>
      <c r="B246" s="148"/>
      <c r="C246" s="148"/>
      <c r="D246" s="148"/>
      <c r="E246" s="148"/>
      <c r="F246" s="148"/>
      <c r="G246" s="148"/>
      <c r="H246" s="148"/>
      <c r="I246" s="148"/>
      <c r="J246" s="148"/>
      <c r="K246" s="148"/>
      <c r="L246" s="148"/>
    </row>
    <row r="247">
      <c r="A247" s="148"/>
      <c r="B247" s="148"/>
      <c r="C247" s="148"/>
      <c r="D247" s="148"/>
      <c r="E247" s="148"/>
      <c r="F247" s="148"/>
      <c r="G247" s="148"/>
      <c r="H247" s="148"/>
      <c r="I247" s="148"/>
      <c r="J247" s="148"/>
      <c r="K247" s="148"/>
      <c r="L247" s="148"/>
    </row>
    <row r="248">
      <c r="A248" s="148"/>
      <c r="B248" s="148"/>
      <c r="C248" s="148"/>
      <c r="D248" s="148"/>
      <c r="E248" s="148"/>
      <c r="F248" s="148"/>
      <c r="G248" s="148"/>
      <c r="H248" s="148"/>
      <c r="I248" s="148"/>
      <c r="J248" s="148"/>
      <c r="K248" s="148"/>
      <c r="L248" s="148"/>
    </row>
    <row r="249">
      <c r="A249" s="148"/>
      <c r="B249" s="148"/>
      <c r="C249" s="148"/>
      <c r="D249" s="148"/>
      <c r="E249" s="148"/>
      <c r="F249" s="148"/>
      <c r="G249" s="148"/>
      <c r="H249" s="148"/>
      <c r="I249" s="148"/>
      <c r="J249" s="148"/>
      <c r="K249" s="148"/>
      <c r="L249" s="148"/>
    </row>
    <row r="250">
      <c r="A250" s="148"/>
      <c r="B250" s="148"/>
      <c r="C250" s="148"/>
      <c r="D250" s="148"/>
      <c r="E250" s="148"/>
      <c r="F250" s="148"/>
      <c r="G250" s="148"/>
      <c r="H250" s="148"/>
      <c r="I250" s="148"/>
      <c r="J250" s="148"/>
      <c r="K250" s="148"/>
      <c r="L250" s="148"/>
    </row>
    <row r="251">
      <c r="A251" s="148"/>
      <c r="B251" s="148"/>
      <c r="C251" s="148"/>
      <c r="D251" s="148"/>
      <c r="E251" s="148"/>
      <c r="F251" s="148"/>
      <c r="G251" s="148"/>
      <c r="H251" s="148"/>
      <c r="I251" s="148"/>
      <c r="J251" s="148"/>
      <c r="K251" s="148"/>
      <c r="L251" s="148"/>
    </row>
    <row r="252">
      <c r="A252" s="148"/>
      <c r="B252" s="148"/>
      <c r="C252" s="148"/>
      <c r="D252" s="148"/>
      <c r="E252" s="148"/>
      <c r="F252" s="148"/>
      <c r="G252" s="148"/>
      <c r="H252" s="148"/>
      <c r="I252" s="148"/>
      <c r="J252" s="148"/>
      <c r="K252" s="148"/>
      <c r="L252" s="148"/>
    </row>
    <row r="253">
      <c r="A253" s="148"/>
      <c r="B253" s="148"/>
      <c r="C253" s="148"/>
      <c r="D253" s="148"/>
      <c r="E253" s="148"/>
      <c r="F253" s="148"/>
      <c r="G253" s="148"/>
      <c r="H253" s="148"/>
      <c r="I253" s="148"/>
      <c r="J253" s="148"/>
      <c r="K253" s="148"/>
      <c r="L253" s="148"/>
    </row>
    <row r="254">
      <c r="A254" s="148"/>
      <c r="B254" s="148"/>
      <c r="C254" s="148"/>
      <c r="D254" s="148"/>
      <c r="E254" s="148"/>
      <c r="F254" s="148"/>
      <c r="G254" s="148"/>
      <c r="H254" s="148"/>
      <c r="I254" s="148"/>
      <c r="J254" s="148"/>
      <c r="K254" s="148"/>
      <c r="L254" s="148"/>
    </row>
    <row r="255">
      <c r="A255" s="148"/>
      <c r="B255" s="148"/>
      <c r="C255" s="148"/>
      <c r="D255" s="148"/>
      <c r="E255" s="148"/>
      <c r="F255" s="148"/>
      <c r="G255" s="148"/>
      <c r="H255" s="148"/>
      <c r="I255" s="148"/>
      <c r="J255" s="148"/>
      <c r="K255" s="148"/>
      <c r="L255" s="148"/>
    </row>
    <row r="256">
      <c r="A256" s="148"/>
      <c r="B256" s="148"/>
      <c r="C256" s="148"/>
      <c r="D256" s="148"/>
      <c r="E256" s="148"/>
      <c r="F256" s="148"/>
      <c r="G256" s="148"/>
      <c r="H256" s="148"/>
      <c r="I256" s="148"/>
      <c r="J256" s="148"/>
      <c r="K256" s="148"/>
      <c r="L256" s="148"/>
    </row>
    <row r="257">
      <c r="A257" s="148"/>
      <c r="B257" s="148"/>
      <c r="C257" s="148"/>
      <c r="D257" s="148"/>
      <c r="E257" s="148"/>
      <c r="F257" s="148"/>
      <c r="G257" s="148"/>
      <c r="H257" s="148"/>
      <c r="I257" s="148"/>
      <c r="J257" s="148"/>
      <c r="K257" s="148"/>
      <c r="L257" s="148"/>
    </row>
    <row r="258">
      <c r="A258" s="148"/>
      <c r="B258" s="148"/>
      <c r="C258" s="148"/>
      <c r="D258" s="148"/>
      <c r="E258" s="148"/>
      <c r="F258" s="148"/>
      <c r="G258" s="148"/>
      <c r="H258" s="148"/>
      <c r="I258" s="148"/>
      <c r="J258" s="148"/>
      <c r="K258" s="148"/>
      <c r="L258" s="148"/>
    </row>
    <row r="259">
      <c r="A259" s="148"/>
      <c r="B259" s="148"/>
      <c r="C259" s="148"/>
      <c r="D259" s="148"/>
      <c r="E259" s="148"/>
      <c r="F259" s="148"/>
      <c r="G259" s="148"/>
      <c r="H259" s="148"/>
      <c r="I259" s="148"/>
      <c r="J259" s="148"/>
      <c r="K259" s="148"/>
      <c r="L259" s="148"/>
    </row>
    <row r="260">
      <c r="A260" s="148"/>
      <c r="B260" s="148"/>
      <c r="C260" s="148"/>
      <c r="D260" s="148"/>
      <c r="E260" s="148"/>
      <c r="F260" s="148"/>
      <c r="G260" s="148"/>
      <c r="H260" s="148"/>
      <c r="I260" s="148"/>
      <c r="J260" s="148"/>
      <c r="K260" s="148"/>
      <c r="L260" s="148"/>
    </row>
    <row r="261">
      <c r="A261" s="148"/>
      <c r="B261" s="148"/>
      <c r="C261" s="148"/>
      <c r="D261" s="148"/>
      <c r="E261" s="148"/>
      <c r="F261" s="148"/>
      <c r="G261" s="148"/>
      <c r="H261" s="148"/>
      <c r="I261" s="148"/>
      <c r="J261" s="148"/>
      <c r="K261" s="148"/>
      <c r="L261" s="148"/>
    </row>
    <row r="262">
      <c r="A262" s="148"/>
      <c r="B262" s="148"/>
      <c r="C262" s="148"/>
      <c r="D262" s="148"/>
      <c r="E262" s="148"/>
      <c r="F262" s="148"/>
      <c r="G262" s="148"/>
      <c r="H262" s="148"/>
      <c r="I262" s="148"/>
      <c r="J262" s="148"/>
      <c r="K262" s="148"/>
      <c r="L262" s="148"/>
    </row>
    <row r="263">
      <c r="A263" s="148"/>
      <c r="B263" s="148"/>
      <c r="C263" s="148"/>
      <c r="D263" s="148"/>
      <c r="E263" s="148"/>
      <c r="F263" s="148"/>
      <c r="G263" s="148"/>
      <c r="H263" s="148"/>
      <c r="I263" s="148"/>
      <c r="J263" s="148"/>
      <c r="K263" s="148"/>
      <c r="L263" s="148"/>
    </row>
    <row r="264">
      <c r="A264" s="148"/>
      <c r="B264" s="148"/>
      <c r="C264" s="148"/>
      <c r="D264" s="148"/>
      <c r="E264" s="148"/>
      <c r="F264" s="148"/>
      <c r="G264" s="148"/>
      <c r="H264" s="148"/>
      <c r="I264" s="148"/>
      <c r="J264" s="148"/>
      <c r="K264" s="148"/>
      <c r="L264" s="148"/>
    </row>
    <row r="265">
      <c r="A265" s="148"/>
      <c r="B265" s="148"/>
      <c r="C265" s="148"/>
      <c r="D265" s="148"/>
      <c r="E265" s="148"/>
      <c r="F265" s="148"/>
      <c r="G265" s="148"/>
      <c r="H265" s="148"/>
      <c r="I265" s="148"/>
      <c r="J265" s="148"/>
      <c r="K265" s="148"/>
      <c r="L265" s="148"/>
    </row>
    <row r="266">
      <c r="A266" s="148"/>
      <c r="B266" s="148"/>
      <c r="C266" s="148"/>
      <c r="D266" s="148"/>
      <c r="E266" s="148"/>
      <c r="F266" s="148"/>
      <c r="G266" s="148"/>
      <c r="H266" s="148"/>
      <c r="I266" s="148"/>
      <c r="J266" s="148"/>
      <c r="K266" s="148"/>
      <c r="L266" s="148"/>
    </row>
    <row r="267">
      <c r="A267" s="148"/>
      <c r="B267" s="148"/>
      <c r="C267" s="148"/>
      <c r="D267" s="148"/>
      <c r="E267" s="148"/>
      <c r="F267" s="148"/>
      <c r="G267" s="148"/>
      <c r="H267" s="148"/>
      <c r="I267" s="148"/>
      <c r="J267" s="148"/>
      <c r="K267" s="148"/>
      <c r="L267" s="148"/>
    </row>
    <row r="268">
      <c r="A268" s="148"/>
      <c r="B268" s="148"/>
      <c r="C268" s="148"/>
      <c r="D268" s="148"/>
      <c r="E268" s="148"/>
      <c r="F268" s="148"/>
      <c r="G268" s="148"/>
      <c r="H268" s="148"/>
      <c r="I268" s="148"/>
      <c r="J268" s="148"/>
      <c r="K268" s="148"/>
      <c r="L268" s="148"/>
    </row>
    <row r="269">
      <c r="A269" s="148"/>
      <c r="B269" s="148"/>
      <c r="C269" s="148"/>
      <c r="D269" s="148"/>
      <c r="E269" s="148"/>
      <c r="F269" s="148"/>
      <c r="G269" s="148"/>
      <c r="H269" s="148"/>
      <c r="I269" s="148"/>
      <c r="J269" s="148"/>
      <c r="K269" s="148"/>
      <c r="L269" s="148"/>
    </row>
    <row r="270">
      <c r="A270" s="148"/>
      <c r="B270" s="148"/>
      <c r="C270" s="148"/>
      <c r="D270" s="148"/>
      <c r="E270" s="148"/>
      <c r="F270" s="148"/>
      <c r="G270" s="148"/>
      <c r="H270" s="148"/>
      <c r="I270" s="148"/>
      <c r="J270" s="148"/>
      <c r="K270" s="148"/>
      <c r="L270" s="148"/>
    </row>
    <row r="271">
      <c r="A271" s="148"/>
      <c r="B271" s="148"/>
      <c r="C271" s="148"/>
      <c r="D271" s="148"/>
      <c r="E271" s="148"/>
      <c r="F271" s="148"/>
      <c r="G271" s="148"/>
      <c r="H271" s="148"/>
      <c r="I271" s="148"/>
      <c r="J271" s="148"/>
      <c r="K271" s="148"/>
      <c r="L271" s="148"/>
    </row>
    <row r="272">
      <c r="A272" s="148"/>
      <c r="B272" s="148"/>
      <c r="C272" s="148"/>
      <c r="D272" s="148"/>
      <c r="E272" s="148"/>
      <c r="F272" s="148"/>
      <c r="G272" s="148"/>
      <c r="H272" s="148"/>
      <c r="I272" s="148"/>
      <c r="J272" s="148"/>
      <c r="K272" s="148"/>
      <c r="L272" s="148"/>
    </row>
    <row r="273">
      <c r="A273" s="148"/>
      <c r="B273" s="148"/>
      <c r="C273" s="148"/>
      <c r="D273" s="148"/>
      <c r="E273" s="148"/>
      <c r="F273" s="148"/>
      <c r="G273" s="148"/>
      <c r="H273" s="148"/>
      <c r="I273" s="148"/>
      <c r="J273" s="148"/>
      <c r="K273" s="148"/>
      <c r="L273" s="148"/>
    </row>
    <row r="274">
      <c r="A274" s="148"/>
      <c r="B274" s="148"/>
      <c r="C274" s="148"/>
      <c r="D274" s="148"/>
      <c r="E274" s="148"/>
      <c r="F274" s="148"/>
      <c r="G274" s="148"/>
      <c r="H274" s="148"/>
      <c r="I274" s="148"/>
      <c r="J274" s="148"/>
      <c r="K274" s="148"/>
      <c r="L274" s="148"/>
    </row>
    <row r="275">
      <c r="A275" s="148"/>
      <c r="B275" s="148"/>
      <c r="C275" s="148"/>
      <c r="D275" s="148"/>
      <c r="E275" s="148"/>
      <c r="F275" s="148"/>
      <c r="G275" s="148"/>
      <c r="H275" s="148"/>
      <c r="I275" s="148"/>
      <c r="J275" s="148"/>
      <c r="K275" s="148"/>
      <c r="L275" s="148"/>
    </row>
    <row r="276">
      <c r="A276" s="148"/>
      <c r="B276" s="148"/>
      <c r="C276" s="148"/>
      <c r="D276" s="148"/>
      <c r="E276" s="148"/>
      <c r="F276" s="148"/>
      <c r="G276" s="148"/>
      <c r="H276" s="148"/>
      <c r="I276" s="148"/>
      <c r="J276" s="148"/>
      <c r="K276" s="148"/>
      <c r="L276" s="148"/>
    </row>
    <row r="277">
      <c r="A277" s="148"/>
      <c r="B277" s="148"/>
      <c r="C277" s="148"/>
      <c r="D277" s="148"/>
      <c r="E277" s="148"/>
      <c r="F277" s="148"/>
      <c r="G277" s="148"/>
      <c r="H277" s="148"/>
      <c r="I277" s="148"/>
      <c r="J277" s="148"/>
      <c r="K277" s="148"/>
      <c r="L277" s="148"/>
    </row>
    <row r="278">
      <c r="A278" s="148"/>
      <c r="B278" s="148"/>
      <c r="C278" s="148"/>
      <c r="D278" s="148"/>
      <c r="E278" s="148"/>
      <c r="F278" s="148"/>
      <c r="G278" s="148"/>
      <c r="H278" s="148"/>
      <c r="I278" s="148"/>
      <c r="J278" s="148"/>
      <c r="K278" s="148"/>
      <c r="L278" s="148"/>
    </row>
    <row r="279">
      <c r="A279" s="148"/>
      <c r="B279" s="148"/>
      <c r="C279" s="148"/>
      <c r="D279" s="148"/>
      <c r="E279" s="148"/>
      <c r="F279" s="148"/>
      <c r="G279" s="148"/>
      <c r="H279" s="148"/>
      <c r="I279" s="148"/>
      <c r="J279" s="148"/>
      <c r="K279" s="148"/>
      <c r="L279" s="148"/>
    </row>
    <row r="280">
      <c r="A280" s="148"/>
      <c r="B280" s="148"/>
      <c r="C280" s="148"/>
      <c r="D280" s="148"/>
      <c r="E280" s="148"/>
      <c r="F280" s="148"/>
      <c r="G280" s="148"/>
      <c r="H280" s="148"/>
      <c r="I280" s="148"/>
      <c r="J280" s="148"/>
      <c r="K280" s="148"/>
      <c r="L280" s="148"/>
    </row>
    <row r="281">
      <c r="A281" s="148"/>
      <c r="B281" s="148"/>
      <c r="C281" s="148"/>
      <c r="D281" s="148"/>
      <c r="E281" s="148"/>
      <c r="F281" s="148"/>
      <c r="G281" s="148"/>
      <c r="H281" s="148"/>
      <c r="I281" s="148"/>
      <c r="J281" s="148"/>
      <c r="K281" s="148"/>
      <c r="L281" s="148"/>
    </row>
    <row r="282">
      <c r="A282" s="148"/>
      <c r="B282" s="148"/>
      <c r="C282" s="148"/>
      <c r="D282" s="148"/>
      <c r="E282" s="148"/>
      <c r="F282" s="148"/>
      <c r="G282" s="148"/>
      <c r="H282" s="148"/>
      <c r="I282" s="148"/>
      <c r="J282" s="148"/>
      <c r="K282" s="148"/>
      <c r="L282" s="148"/>
    </row>
    <row r="283">
      <c r="A283" s="148"/>
      <c r="B283" s="148"/>
      <c r="C283" s="148"/>
      <c r="D283" s="148"/>
      <c r="E283" s="148"/>
      <c r="F283" s="148"/>
      <c r="G283" s="148"/>
      <c r="H283" s="148"/>
      <c r="I283" s="148"/>
      <c r="J283" s="148"/>
      <c r="K283" s="148"/>
      <c r="L283" s="148"/>
    </row>
    <row r="284">
      <c r="A284" s="148"/>
      <c r="B284" s="148"/>
      <c r="C284" s="148"/>
      <c r="D284" s="148"/>
      <c r="E284" s="148"/>
      <c r="F284" s="148"/>
      <c r="G284" s="148"/>
      <c r="H284" s="148"/>
      <c r="I284" s="148"/>
      <c r="J284" s="148"/>
      <c r="K284" s="148"/>
      <c r="L284" s="148"/>
    </row>
    <row r="285">
      <c r="A285" s="148"/>
      <c r="B285" s="148"/>
      <c r="C285" s="148"/>
      <c r="D285" s="148"/>
      <c r="E285" s="148"/>
      <c r="F285" s="148"/>
      <c r="G285" s="148"/>
      <c r="H285" s="148"/>
      <c r="I285" s="148"/>
      <c r="J285" s="148"/>
      <c r="K285" s="148"/>
      <c r="L285" s="148"/>
    </row>
    <row r="286">
      <c r="A286" s="148"/>
      <c r="B286" s="148"/>
      <c r="C286" s="148"/>
      <c r="D286" s="148"/>
      <c r="E286" s="148"/>
      <c r="F286" s="148"/>
      <c r="G286" s="148"/>
      <c r="H286" s="148"/>
      <c r="I286" s="148"/>
      <c r="J286" s="148"/>
      <c r="K286" s="148"/>
      <c r="L286" s="148"/>
    </row>
    <row r="287">
      <c r="A287" s="148"/>
      <c r="B287" s="148"/>
      <c r="C287" s="148"/>
      <c r="D287" s="148"/>
      <c r="E287" s="148"/>
      <c r="F287" s="148"/>
      <c r="G287" s="148"/>
      <c r="H287" s="148"/>
      <c r="I287" s="148"/>
      <c r="J287" s="148"/>
      <c r="K287" s="148"/>
      <c r="L287" s="148"/>
    </row>
    <row r="288">
      <c r="A288" s="148"/>
      <c r="B288" s="148"/>
      <c r="C288" s="148"/>
      <c r="D288" s="148"/>
      <c r="E288" s="148"/>
      <c r="F288" s="148"/>
      <c r="G288" s="148"/>
      <c r="H288" s="148"/>
      <c r="I288" s="148"/>
      <c r="J288" s="148"/>
      <c r="K288" s="148"/>
      <c r="L288" s="148"/>
    </row>
    <row r="289">
      <c r="A289" s="148"/>
      <c r="B289" s="148"/>
      <c r="C289" s="148"/>
      <c r="D289" s="148"/>
      <c r="E289" s="148"/>
      <c r="F289" s="148"/>
      <c r="G289" s="148"/>
      <c r="H289" s="148"/>
      <c r="I289" s="148"/>
      <c r="J289" s="148"/>
      <c r="K289" s="148"/>
      <c r="L289" s="148"/>
    </row>
    <row r="290">
      <c r="A290" s="148"/>
      <c r="B290" s="148"/>
      <c r="C290" s="148"/>
      <c r="D290" s="148"/>
      <c r="E290" s="148"/>
      <c r="F290" s="148"/>
      <c r="G290" s="148"/>
      <c r="H290" s="148"/>
      <c r="I290" s="148"/>
      <c r="J290" s="148"/>
      <c r="K290" s="148"/>
      <c r="L290" s="148"/>
    </row>
    <row r="291">
      <c r="A291" s="148"/>
      <c r="B291" s="148"/>
      <c r="C291" s="148"/>
      <c r="D291" s="148"/>
      <c r="E291" s="148"/>
      <c r="F291" s="148"/>
      <c r="G291" s="148"/>
      <c r="H291" s="148"/>
      <c r="I291" s="148"/>
      <c r="J291" s="148"/>
      <c r="K291" s="148"/>
      <c r="L291" s="148"/>
    </row>
    <row r="292">
      <c r="A292" s="148"/>
      <c r="B292" s="148"/>
      <c r="C292" s="148"/>
      <c r="D292" s="148"/>
      <c r="E292" s="148"/>
      <c r="F292" s="148"/>
      <c r="G292" s="148"/>
      <c r="H292" s="148"/>
      <c r="I292" s="148"/>
      <c r="J292" s="148"/>
      <c r="K292" s="148"/>
      <c r="L292" s="148"/>
    </row>
    <row r="293">
      <c r="A293" s="148"/>
      <c r="B293" s="148"/>
      <c r="C293" s="148"/>
      <c r="D293" s="148"/>
      <c r="E293" s="148"/>
      <c r="F293" s="148"/>
      <c r="G293" s="148"/>
      <c r="H293" s="148"/>
      <c r="I293" s="148"/>
      <c r="J293" s="148"/>
      <c r="K293" s="148"/>
      <c r="L293" s="148"/>
    </row>
    <row r="294">
      <c r="A294" s="148"/>
      <c r="B294" s="148"/>
      <c r="C294" s="148"/>
      <c r="D294" s="148"/>
      <c r="E294" s="148"/>
      <c r="F294" s="148"/>
      <c r="G294" s="148"/>
      <c r="H294" s="148"/>
      <c r="I294" s="148"/>
      <c r="J294" s="148"/>
      <c r="K294" s="148"/>
      <c r="L294" s="148"/>
    </row>
    <row r="295">
      <c r="A295" s="148"/>
      <c r="B295" s="148"/>
      <c r="C295" s="148"/>
      <c r="D295" s="148"/>
      <c r="E295" s="148"/>
      <c r="F295" s="148"/>
      <c r="G295" s="148"/>
      <c r="H295" s="148"/>
      <c r="I295" s="148"/>
      <c r="J295" s="148"/>
      <c r="K295" s="148"/>
      <c r="L295" s="148"/>
    </row>
    <row r="296">
      <c r="A296" s="148"/>
      <c r="B296" s="148"/>
      <c r="C296" s="148"/>
      <c r="D296" s="148"/>
      <c r="E296" s="148"/>
      <c r="F296" s="148"/>
      <c r="G296" s="148"/>
      <c r="H296" s="148"/>
      <c r="I296" s="148"/>
      <c r="J296" s="148"/>
      <c r="K296" s="148"/>
      <c r="L296" s="148"/>
    </row>
    <row r="297">
      <c r="A297" s="148"/>
      <c r="B297" s="148"/>
      <c r="C297" s="148"/>
      <c r="D297" s="148"/>
      <c r="E297" s="148"/>
      <c r="F297" s="148"/>
      <c r="G297" s="148"/>
      <c r="H297" s="148"/>
      <c r="I297" s="148"/>
      <c r="J297" s="148"/>
      <c r="K297" s="148"/>
      <c r="L297" s="148"/>
    </row>
    <row r="298">
      <c r="A298" s="148"/>
      <c r="B298" s="148"/>
      <c r="C298" s="148"/>
      <c r="D298" s="148"/>
      <c r="E298" s="148"/>
      <c r="F298" s="148"/>
      <c r="G298" s="148"/>
      <c r="H298" s="148"/>
      <c r="I298" s="148"/>
      <c r="J298" s="148"/>
      <c r="K298" s="148"/>
      <c r="L298" s="148"/>
    </row>
    <row r="299">
      <c r="A299" s="148"/>
      <c r="B299" s="148"/>
      <c r="C299" s="148"/>
      <c r="D299" s="148"/>
      <c r="E299" s="148"/>
      <c r="F299" s="148"/>
      <c r="G299" s="148"/>
      <c r="H299" s="148"/>
      <c r="I299" s="148"/>
      <c r="J299" s="148"/>
      <c r="K299" s="148"/>
      <c r="L299" s="148"/>
    </row>
    <row r="300">
      <c r="A300" s="148"/>
      <c r="B300" s="148"/>
      <c r="C300" s="148"/>
      <c r="D300" s="148"/>
      <c r="E300" s="148"/>
      <c r="F300" s="148"/>
      <c r="G300" s="148"/>
      <c r="H300" s="148"/>
      <c r="I300" s="148"/>
      <c r="J300" s="148"/>
      <c r="K300" s="148"/>
      <c r="L300" s="148"/>
    </row>
    <row r="301">
      <c r="A301" s="148"/>
      <c r="B301" s="148"/>
      <c r="C301" s="148"/>
      <c r="D301" s="148"/>
      <c r="E301" s="148"/>
      <c r="F301" s="148"/>
      <c r="G301" s="148"/>
      <c r="H301" s="148"/>
      <c r="I301" s="148"/>
      <c r="J301" s="148"/>
      <c r="K301" s="148"/>
      <c r="L301" s="148"/>
    </row>
    <row r="302">
      <c r="A302" s="148"/>
      <c r="B302" s="148"/>
      <c r="C302" s="148"/>
      <c r="D302" s="148"/>
      <c r="E302" s="148"/>
      <c r="F302" s="148"/>
      <c r="G302" s="148"/>
      <c r="H302" s="148"/>
      <c r="I302" s="148"/>
      <c r="J302" s="148"/>
      <c r="K302" s="148"/>
      <c r="L302" s="148"/>
    </row>
    <row r="303">
      <c r="A303" s="148"/>
      <c r="B303" s="148"/>
      <c r="C303" s="148"/>
      <c r="D303" s="148"/>
      <c r="E303" s="148"/>
      <c r="F303" s="148"/>
      <c r="G303" s="148"/>
      <c r="H303" s="148"/>
      <c r="I303" s="148"/>
      <c r="J303" s="148"/>
      <c r="K303" s="148"/>
      <c r="L303" s="148"/>
    </row>
    <row r="304">
      <c r="A304" s="148"/>
      <c r="B304" s="148"/>
      <c r="C304" s="148"/>
      <c r="D304" s="148"/>
      <c r="E304" s="148"/>
      <c r="F304" s="148"/>
      <c r="G304" s="148"/>
      <c r="H304" s="148"/>
      <c r="I304" s="148"/>
      <c r="J304" s="148"/>
      <c r="K304" s="148"/>
      <c r="L304" s="148"/>
    </row>
    <row r="305">
      <c r="A305" s="148"/>
      <c r="B305" s="148"/>
      <c r="C305" s="148"/>
      <c r="D305" s="148"/>
      <c r="E305" s="148"/>
      <c r="F305" s="148"/>
      <c r="G305" s="148"/>
      <c r="H305" s="148"/>
      <c r="I305" s="148"/>
      <c r="J305" s="148"/>
      <c r="K305" s="148"/>
      <c r="L305" s="148"/>
    </row>
    <row r="306">
      <c r="A306" s="148"/>
      <c r="B306" s="148"/>
      <c r="C306" s="148"/>
      <c r="D306" s="148"/>
      <c r="E306" s="148"/>
      <c r="F306" s="148"/>
      <c r="G306" s="148"/>
      <c r="H306" s="148"/>
      <c r="I306" s="148"/>
      <c r="J306" s="148"/>
      <c r="K306" s="148"/>
      <c r="L306" s="148"/>
    </row>
    <row r="307">
      <c r="A307" s="148"/>
      <c r="B307" s="148"/>
      <c r="C307" s="148"/>
      <c r="D307" s="148"/>
      <c r="E307" s="148"/>
      <c r="F307" s="148"/>
      <c r="G307" s="148"/>
      <c r="H307" s="148"/>
      <c r="I307" s="148"/>
      <c r="J307" s="148"/>
      <c r="K307" s="148"/>
      <c r="L307" s="148"/>
    </row>
    <row r="308">
      <c r="A308" s="148"/>
      <c r="B308" s="148"/>
      <c r="C308" s="148"/>
      <c r="D308" s="148"/>
      <c r="E308" s="148"/>
      <c r="F308" s="148"/>
      <c r="G308" s="148"/>
      <c r="H308" s="148"/>
      <c r="I308" s="148"/>
      <c r="J308" s="148"/>
      <c r="K308" s="148"/>
      <c r="L308" s="148"/>
    </row>
    <row r="309">
      <c r="A309" s="148"/>
      <c r="B309" s="148"/>
      <c r="C309" s="148"/>
      <c r="D309" s="148"/>
      <c r="E309" s="148"/>
      <c r="F309" s="148"/>
      <c r="G309" s="148"/>
      <c r="H309" s="148"/>
      <c r="I309" s="148"/>
      <c r="J309" s="148"/>
      <c r="K309" s="148"/>
      <c r="L309" s="148"/>
    </row>
    <row r="310">
      <c r="A310" s="148"/>
      <c r="B310" s="148"/>
      <c r="C310" s="148"/>
      <c r="D310" s="148"/>
      <c r="E310" s="148"/>
      <c r="F310" s="148"/>
      <c r="G310" s="148"/>
      <c r="H310" s="148"/>
      <c r="I310" s="148"/>
      <c r="J310" s="148"/>
      <c r="K310" s="148"/>
      <c r="L310" s="148"/>
    </row>
    <row r="311">
      <c r="A311" s="148"/>
      <c r="B311" s="148"/>
      <c r="C311" s="148"/>
      <c r="D311" s="148"/>
      <c r="E311" s="148"/>
      <c r="F311" s="148"/>
      <c r="G311" s="148"/>
      <c r="H311" s="148"/>
      <c r="I311" s="148"/>
      <c r="J311" s="148"/>
      <c r="K311" s="148"/>
      <c r="L311" s="148"/>
    </row>
    <row r="312">
      <c r="A312" s="148"/>
      <c r="B312" s="148"/>
      <c r="C312" s="148"/>
      <c r="D312" s="148"/>
      <c r="E312" s="148"/>
      <c r="F312" s="148"/>
      <c r="G312" s="148"/>
      <c r="H312" s="148"/>
      <c r="I312" s="148"/>
      <c r="J312" s="148"/>
      <c r="K312" s="148"/>
      <c r="L312" s="148"/>
    </row>
    <row r="313">
      <c r="A313" s="148"/>
      <c r="B313" s="148"/>
      <c r="C313" s="148"/>
      <c r="D313" s="148"/>
      <c r="E313" s="148"/>
      <c r="F313" s="148"/>
      <c r="G313" s="148"/>
      <c r="H313" s="148"/>
      <c r="I313" s="148"/>
      <c r="J313" s="148"/>
      <c r="K313" s="148"/>
      <c r="L313" s="148"/>
    </row>
    <row r="314">
      <c r="A314" s="148"/>
      <c r="B314" s="148"/>
      <c r="C314" s="148"/>
      <c r="D314" s="148"/>
      <c r="E314" s="148"/>
      <c r="F314" s="148"/>
      <c r="G314" s="148"/>
      <c r="H314" s="148"/>
      <c r="I314" s="148"/>
      <c r="J314" s="148"/>
      <c r="K314" s="148"/>
      <c r="L314" s="148"/>
    </row>
    <row r="315">
      <c r="A315" s="148"/>
      <c r="B315" s="148"/>
      <c r="C315" s="148"/>
      <c r="D315" s="148"/>
      <c r="E315" s="148"/>
      <c r="F315" s="148"/>
      <c r="G315" s="148"/>
      <c r="H315" s="148"/>
      <c r="I315" s="148"/>
      <c r="J315" s="148"/>
      <c r="K315" s="148"/>
      <c r="L315" s="148"/>
    </row>
    <row r="316">
      <c r="A316" s="148"/>
      <c r="B316" s="148"/>
      <c r="C316" s="148"/>
      <c r="D316" s="148"/>
      <c r="E316" s="148"/>
      <c r="F316" s="148"/>
      <c r="G316" s="148"/>
      <c r="H316" s="148"/>
      <c r="I316" s="148"/>
      <c r="J316" s="148"/>
      <c r="K316" s="148"/>
      <c r="L316" s="148"/>
    </row>
    <row r="317">
      <c r="A317" s="148"/>
      <c r="B317" s="148"/>
      <c r="C317" s="148"/>
      <c r="D317" s="148"/>
      <c r="E317" s="148"/>
      <c r="F317" s="148"/>
      <c r="G317" s="148"/>
      <c r="H317" s="148"/>
      <c r="I317" s="148"/>
      <c r="J317" s="148"/>
      <c r="K317" s="148"/>
      <c r="L317" s="148"/>
    </row>
    <row r="318">
      <c r="A318" s="148"/>
      <c r="B318" s="148"/>
      <c r="C318" s="148"/>
      <c r="D318" s="148"/>
      <c r="E318" s="148"/>
      <c r="F318" s="148"/>
      <c r="G318" s="148"/>
      <c r="H318" s="148"/>
      <c r="I318" s="148"/>
      <c r="J318" s="148"/>
      <c r="K318" s="148"/>
      <c r="L318" s="148"/>
    </row>
    <row r="319">
      <c r="A319" s="148"/>
      <c r="B319" s="148"/>
      <c r="C319" s="148"/>
      <c r="D319" s="148"/>
      <c r="E319" s="148"/>
      <c r="F319" s="148"/>
      <c r="G319" s="148"/>
      <c r="H319" s="148"/>
      <c r="I319" s="148"/>
      <c r="J319" s="148"/>
      <c r="K319" s="148"/>
      <c r="L319" s="148"/>
    </row>
    <row r="320">
      <c r="A320" s="148"/>
      <c r="B320" s="148"/>
      <c r="C320" s="148"/>
      <c r="D320" s="148"/>
      <c r="E320" s="148"/>
      <c r="F320" s="148"/>
      <c r="G320" s="148"/>
      <c r="H320" s="148"/>
      <c r="I320" s="148"/>
      <c r="J320" s="148"/>
      <c r="K320" s="148"/>
      <c r="L320" s="148"/>
    </row>
    <row r="321">
      <c r="A321" s="148"/>
      <c r="B321" s="148"/>
      <c r="C321" s="148"/>
      <c r="D321" s="148"/>
      <c r="E321" s="148"/>
      <c r="F321" s="148"/>
      <c r="G321" s="148"/>
      <c r="H321" s="148"/>
      <c r="I321" s="148"/>
      <c r="J321" s="148"/>
      <c r="K321" s="148"/>
      <c r="L321" s="148"/>
    </row>
    <row r="322">
      <c r="A322" s="148"/>
      <c r="B322" s="148"/>
      <c r="C322" s="148"/>
      <c r="D322" s="148"/>
      <c r="E322" s="148"/>
      <c r="F322" s="148"/>
      <c r="G322" s="148"/>
      <c r="H322" s="148"/>
      <c r="I322" s="148"/>
      <c r="J322" s="148"/>
      <c r="K322" s="148"/>
      <c r="L322" s="148"/>
    </row>
    <row r="323">
      <c r="A323" s="148"/>
      <c r="B323" s="148"/>
      <c r="C323" s="148"/>
      <c r="D323" s="148"/>
      <c r="E323" s="148"/>
      <c r="F323" s="148"/>
      <c r="G323" s="148"/>
      <c r="H323" s="148"/>
      <c r="I323" s="148"/>
      <c r="J323" s="148"/>
      <c r="K323" s="148"/>
      <c r="L323" s="148"/>
    </row>
    <row r="324">
      <c r="A324" s="148"/>
      <c r="B324" s="148"/>
      <c r="C324" s="148"/>
      <c r="D324" s="148"/>
      <c r="E324" s="148"/>
      <c r="F324" s="148"/>
      <c r="G324" s="148"/>
      <c r="H324" s="148"/>
      <c r="I324" s="148"/>
      <c r="J324" s="148"/>
      <c r="K324" s="148"/>
      <c r="L324" s="148"/>
    </row>
    <row r="325">
      <c r="A325" s="148"/>
      <c r="B325" s="148"/>
      <c r="C325" s="148"/>
      <c r="D325" s="148"/>
      <c r="E325" s="148"/>
      <c r="F325" s="148"/>
      <c r="G325" s="148"/>
      <c r="H325" s="148"/>
      <c r="I325" s="148"/>
      <c r="J325" s="148"/>
      <c r="K325" s="148"/>
      <c r="L325" s="148"/>
    </row>
    <row r="326">
      <c r="A326" s="148"/>
      <c r="B326" s="148"/>
      <c r="C326" s="148"/>
      <c r="D326" s="148"/>
      <c r="E326" s="148"/>
      <c r="F326" s="148"/>
      <c r="G326" s="148"/>
      <c r="H326" s="148"/>
      <c r="I326" s="148"/>
      <c r="J326" s="148"/>
      <c r="K326" s="148"/>
      <c r="L326" s="148"/>
    </row>
    <row r="327">
      <c r="A327" s="148"/>
      <c r="B327" s="148"/>
      <c r="C327" s="148"/>
      <c r="D327" s="148"/>
      <c r="E327" s="148"/>
      <c r="F327" s="148"/>
      <c r="G327" s="148"/>
      <c r="H327" s="148"/>
      <c r="I327" s="148"/>
      <c r="J327" s="148"/>
      <c r="K327" s="148"/>
      <c r="L327" s="148"/>
    </row>
    <row r="328">
      <c r="A328" s="148"/>
      <c r="B328" s="148"/>
      <c r="C328" s="148"/>
      <c r="D328" s="148"/>
      <c r="E328" s="148"/>
      <c r="F328" s="148"/>
      <c r="G328" s="148"/>
      <c r="H328" s="148"/>
      <c r="I328" s="148"/>
      <c r="J328" s="148"/>
      <c r="K328" s="148"/>
      <c r="L328" s="148"/>
    </row>
    <row r="329">
      <c r="A329" s="148"/>
      <c r="B329" s="148"/>
      <c r="C329" s="148"/>
      <c r="D329" s="148"/>
      <c r="E329" s="148"/>
      <c r="F329" s="148"/>
      <c r="G329" s="148"/>
      <c r="H329" s="148"/>
      <c r="I329" s="148"/>
      <c r="J329" s="148"/>
      <c r="K329" s="148"/>
      <c r="L329" s="148"/>
    </row>
    <row r="330">
      <c r="A330" s="148"/>
      <c r="B330" s="148"/>
      <c r="C330" s="148"/>
      <c r="D330" s="148"/>
      <c r="E330" s="148"/>
      <c r="F330" s="148"/>
      <c r="G330" s="148"/>
      <c r="H330" s="148"/>
      <c r="I330" s="148"/>
      <c r="J330" s="148"/>
      <c r="K330" s="148"/>
      <c r="L330" s="148"/>
    </row>
    <row r="331">
      <c r="A331" s="148"/>
      <c r="B331" s="148"/>
      <c r="C331" s="148"/>
      <c r="D331" s="148"/>
      <c r="E331" s="148"/>
      <c r="F331" s="148"/>
      <c r="G331" s="148"/>
      <c r="H331" s="148"/>
      <c r="I331" s="148"/>
      <c r="J331" s="148"/>
      <c r="K331" s="148"/>
      <c r="L331" s="148"/>
    </row>
    <row r="332">
      <c r="A332" s="148"/>
      <c r="B332" s="148"/>
      <c r="C332" s="148"/>
      <c r="D332" s="148"/>
      <c r="E332" s="148"/>
      <c r="F332" s="148"/>
      <c r="G332" s="148"/>
      <c r="H332" s="148"/>
      <c r="I332" s="148"/>
      <c r="J332" s="148"/>
      <c r="K332" s="148"/>
      <c r="L332" s="148"/>
    </row>
    <row r="333">
      <c r="A333" s="148"/>
      <c r="B333" s="148"/>
      <c r="C333" s="148"/>
      <c r="D333" s="148"/>
      <c r="E333" s="148"/>
      <c r="F333" s="148"/>
      <c r="G333" s="148"/>
      <c r="H333" s="148"/>
      <c r="I333" s="148"/>
      <c r="J333" s="148"/>
      <c r="K333" s="148"/>
      <c r="L333" s="148"/>
    </row>
    <row r="334">
      <c r="A334" s="148"/>
      <c r="B334" s="148"/>
      <c r="C334" s="148"/>
      <c r="D334" s="148"/>
      <c r="E334" s="148"/>
      <c r="F334" s="148"/>
      <c r="G334" s="148"/>
      <c r="H334" s="148"/>
      <c r="I334" s="148"/>
      <c r="J334" s="148"/>
      <c r="K334" s="148"/>
      <c r="L334" s="148"/>
    </row>
    <row r="335">
      <c r="A335" s="148"/>
      <c r="B335" s="148"/>
      <c r="C335" s="148"/>
      <c r="D335" s="148"/>
      <c r="E335" s="148"/>
      <c r="F335" s="148"/>
      <c r="G335" s="148"/>
      <c r="H335" s="148"/>
      <c r="I335" s="148"/>
      <c r="J335" s="148"/>
      <c r="K335" s="148"/>
      <c r="L335" s="148"/>
    </row>
    <row r="336">
      <c r="A336" s="148"/>
      <c r="B336" s="148"/>
      <c r="C336" s="148"/>
      <c r="D336" s="148"/>
      <c r="E336" s="148"/>
      <c r="F336" s="148"/>
      <c r="G336" s="148"/>
      <c r="H336" s="148"/>
      <c r="I336" s="148"/>
      <c r="J336" s="148"/>
      <c r="K336" s="148"/>
      <c r="L336" s="148"/>
    </row>
    <row r="337">
      <c r="A337" s="148"/>
      <c r="B337" s="148"/>
      <c r="C337" s="148"/>
      <c r="D337" s="148"/>
      <c r="E337" s="148"/>
      <c r="F337" s="148"/>
      <c r="G337" s="148"/>
      <c r="H337" s="148"/>
      <c r="I337" s="148"/>
      <c r="J337" s="148"/>
      <c r="K337" s="148"/>
      <c r="L337" s="148"/>
    </row>
    <row r="338">
      <c r="A338" s="148"/>
      <c r="B338" s="148"/>
      <c r="C338" s="148"/>
      <c r="D338" s="148"/>
      <c r="E338" s="148"/>
      <c r="F338" s="148"/>
      <c r="G338" s="148"/>
      <c r="H338" s="148"/>
      <c r="I338" s="148"/>
      <c r="J338" s="148"/>
      <c r="K338" s="148"/>
      <c r="L338" s="148"/>
    </row>
    <row r="339">
      <c r="A339" s="148"/>
      <c r="B339" s="148"/>
      <c r="C339" s="148"/>
      <c r="D339" s="148"/>
      <c r="E339" s="148"/>
      <c r="F339" s="148"/>
      <c r="G339" s="148"/>
      <c r="H339" s="148"/>
      <c r="I339" s="148"/>
      <c r="J339" s="148"/>
      <c r="K339" s="148"/>
      <c r="L339" s="148"/>
    </row>
    <row r="340">
      <c r="A340" s="148"/>
      <c r="B340" s="148"/>
      <c r="C340" s="148"/>
      <c r="D340" s="148"/>
      <c r="E340" s="148"/>
      <c r="F340" s="148"/>
      <c r="G340" s="148"/>
      <c r="H340" s="148"/>
      <c r="I340" s="148"/>
      <c r="J340" s="148"/>
      <c r="K340" s="148"/>
      <c r="L340" s="148"/>
    </row>
    <row r="341">
      <c r="A341" s="148"/>
      <c r="B341" s="148"/>
      <c r="C341" s="148"/>
      <c r="D341" s="148"/>
      <c r="E341" s="148"/>
      <c r="F341" s="148"/>
      <c r="G341" s="148"/>
      <c r="H341" s="148"/>
      <c r="I341" s="148"/>
      <c r="J341" s="148"/>
      <c r="K341" s="148"/>
      <c r="L341" s="148"/>
    </row>
    <row r="342">
      <c r="A342" s="148"/>
      <c r="B342" s="148"/>
      <c r="C342" s="148"/>
      <c r="D342" s="148"/>
      <c r="E342" s="148"/>
      <c r="F342" s="148"/>
      <c r="G342" s="148"/>
      <c r="H342" s="148"/>
      <c r="I342" s="148"/>
      <c r="J342" s="148"/>
      <c r="K342" s="148"/>
      <c r="L342" s="148"/>
    </row>
    <row r="343">
      <c r="A343" s="148"/>
      <c r="B343" s="148"/>
      <c r="C343" s="148"/>
      <c r="D343" s="148"/>
      <c r="E343" s="148"/>
      <c r="F343" s="148"/>
      <c r="G343" s="148"/>
      <c r="H343" s="148"/>
      <c r="I343" s="148"/>
      <c r="J343" s="148"/>
      <c r="K343" s="148"/>
      <c r="L343" s="148"/>
    </row>
    <row r="344">
      <c r="A344" s="148"/>
      <c r="B344" s="148"/>
      <c r="C344" s="148"/>
      <c r="D344" s="148"/>
      <c r="E344" s="148"/>
      <c r="F344" s="148"/>
      <c r="G344" s="148"/>
      <c r="H344" s="148"/>
      <c r="I344" s="148"/>
      <c r="J344" s="148"/>
      <c r="K344" s="148"/>
      <c r="L344" s="148"/>
    </row>
    <row r="345">
      <c r="A345" s="148"/>
      <c r="B345" s="148"/>
      <c r="C345" s="148"/>
      <c r="D345" s="148"/>
      <c r="E345" s="148"/>
      <c r="F345" s="148"/>
      <c r="G345" s="148"/>
      <c r="H345" s="148"/>
      <c r="I345" s="148"/>
      <c r="J345" s="148"/>
      <c r="K345" s="148"/>
      <c r="L345" s="148"/>
    </row>
    <row r="346">
      <c r="A346" s="148"/>
      <c r="B346" s="148"/>
      <c r="C346" s="148"/>
      <c r="D346" s="148"/>
      <c r="E346" s="148"/>
      <c r="F346" s="148"/>
      <c r="G346" s="148"/>
      <c r="H346" s="148"/>
      <c r="I346" s="148"/>
      <c r="J346" s="148"/>
      <c r="K346" s="148"/>
      <c r="L346" s="148"/>
    </row>
    <row r="347">
      <c r="A347" s="148"/>
      <c r="B347" s="148"/>
      <c r="C347" s="148"/>
      <c r="D347" s="148"/>
      <c r="E347" s="148"/>
      <c r="F347" s="148"/>
      <c r="G347" s="148"/>
      <c r="H347" s="148"/>
      <c r="I347" s="148"/>
      <c r="J347" s="148"/>
      <c r="K347" s="148"/>
      <c r="L347" s="148"/>
    </row>
    <row r="348">
      <c r="A348" s="148"/>
      <c r="B348" s="148"/>
      <c r="C348" s="148"/>
      <c r="D348" s="148"/>
      <c r="E348" s="148"/>
      <c r="F348" s="148"/>
      <c r="G348" s="148"/>
      <c r="H348" s="148"/>
      <c r="I348" s="148"/>
      <c r="J348" s="148"/>
      <c r="K348" s="148"/>
      <c r="L348" s="148"/>
    </row>
    <row r="349">
      <c r="A349" s="148"/>
      <c r="B349" s="148"/>
      <c r="C349" s="148"/>
      <c r="D349" s="148"/>
      <c r="E349" s="148"/>
      <c r="F349" s="148"/>
      <c r="G349" s="148"/>
      <c r="H349" s="148"/>
      <c r="I349" s="148"/>
      <c r="J349" s="148"/>
      <c r="K349" s="148"/>
      <c r="L349" s="148"/>
    </row>
    <row r="350">
      <c r="A350" s="148"/>
      <c r="B350" s="148"/>
      <c r="C350" s="148"/>
      <c r="D350" s="148"/>
      <c r="E350" s="148"/>
      <c r="F350" s="148"/>
      <c r="G350" s="148"/>
      <c r="H350" s="148"/>
      <c r="I350" s="148"/>
      <c r="J350" s="148"/>
      <c r="K350" s="148"/>
      <c r="L350" s="148"/>
    </row>
    <row r="351">
      <c r="A351" s="148"/>
      <c r="B351" s="148"/>
      <c r="C351" s="148"/>
      <c r="D351" s="148"/>
      <c r="E351" s="148"/>
      <c r="F351" s="148"/>
      <c r="G351" s="148"/>
      <c r="H351" s="148"/>
      <c r="I351" s="148"/>
      <c r="J351" s="148"/>
      <c r="K351" s="148"/>
      <c r="L351" s="148"/>
    </row>
    <row r="352">
      <c r="A352" s="148"/>
      <c r="B352" s="148"/>
      <c r="C352" s="148"/>
      <c r="D352" s="148"/>
      <c r="E352" s="148"/>
      <c r="F352" s="148"/>
      <c r="G352" s="148"/>
      <c r="H352" s="148"/>
      <c r="I352" s="148"/>
      <c r="J352" s="148"/>
      <c r="K352" s="148"/>
      <c r="L352" s="148"/>
    </row>
    <row r="353">
      <c r="A353" s="148"/>
      <c r="B353" s="148"/>
      <c r="C353" s="148"/>
      <c r="D353" s="148"/>
      <c r="E353" s="148"/>
      <c r="F353" s="148"/>
      <c r="G353" s="148"/>
      <c r="H353" s="148"/>
      <c r="I353" s="148"/>
      <c r="J353" s="148"/>
      <c r="K353" s="148"/>
      <c r="L353" s="148"/>
    </row>
    <row r="354">
      <c r="A354" s="148"/>
      <c r="B354" s="148"/>
      <c r="C354" s="148"/>
      <c r="D354" s="148"/>
      <c r="E354" s="148"/>
      <c r="F354" s="148"/>
      <c r="G354" s="148"/>
      <c r="H354" s="148"/>
      <c r="I354" s="148"/>
      <c r="J354" s="148"/>
      <c r="K354" s="148"/>
      <c r="L354" s="148"/>
    </row>
    <row r="355">
      <c r="A355" s="148"/>
      <c r="B355" s="148"/>
      <c r="C355" s="148"/>
      <c r="D355" s="148"/>
      <c r="E355" s="148"/>
      <c r="F355" s="148"/>
      <c r="G355" s="148"/>
      <c r="H355" s="148"/>
      <c r="I355" s="148"/>
      <c r="J355" s="148"/>
      <c r="K355" s="148"/>
      <c r="L355" s="148"/>
    </row>
    <row r="356">
      <c r="A356" s="148"/>
      <c r="B356" s="148"/>
      <c r="C356" s="148"/>
      <c r="D356" s="148"/>
      <c r="E356" s="148"/>
      <c r="F356" s="148"/>
      <c r="G356" s="148"/>
      <c r="H356" s="148"/>
      <c r="I356" s="148"/>
      <c r="J356" s="148"/>
      <c r="K356" s="148"/>
      <c r="L356" s="148"/>
    </row>
    <row r="357">
      <c r="A357" s="148"/>
      <c r="B357" s="148"/>
      <c r="C357" s="148"/>
      <c r="D357" s="148"/>
      <c r="E357" s="148"/>
      <c r="F357" s="148"/>
      <c r="G357" s="148"/>
      <c r="H357" s="148"/>
      <c r="I357" s="148"/>
      <c r="J357" s="148"/>
      <c r="K357" s="148"/>
      <c r="L357" s="148"/>
    </row>
    <row r="358">
      <c r="A358" s="148"/>
      <c r="B358" s="148"/>
      <c r="C358" s="148"/>
      <c r="D358" s="148"/>
      <c r="E358" s="148"/>
      <c r="F358" s="148"/>
      <c r="G358" s="148"/>
      <c r="H358" s="148"/>
      <c r="I358" s="148"/>
      <c r="J358" s="148"/>
      <c r="K358" s="148"/>
      <c r="L358" s="148"/>
    </row>
    <row r="359">
      <c r="A359" s="148"/>
      <c r="B359" s="148"/>
      <c r="C359" s="148"/>
      <c r="D359" s="148"/>
      <c r="E359" s="148"/>
      <c r="F359" s="148"/>
      <c r="G359" s="148"/>
      <c r="H359" s="148"/>
      <c r="I359" s="148"/>
      <c r="J359" s="148"/>
      <c r="K359" s="148"/>
      <c r="L359" s="148"/>
    </row>
    <row r="360">
      <c r="A360" s="148"/>
      <c r="B360" s="148"/>
      <c r="C360" s="148"/>
      <c r="D360" s="148"/>
      <c r="E360" s="148"/>
      <c r="F360" s="148"/>
      <c r="G360" s="148"/>
      <c r="H360" s="148"/>
      <c r="I360" s="148"/>
      <c r="J360" s="148"/>
      <c r="K360" s="148"/>
      <c r="L360" s="148"/>
    </row>
    <row r="361">
      <c r="A361" s="148"/>
      <c r="B361" s="148"/>
      <c r="C361" s="148"/>
      <c r="D361" s="148"/>
      <c r="E361" s="148"/>
      <c r="F361" s="148"/>
      <c r="G361" s="148"/>
      <c r="H361" s="148"/>
      <c r="I361" s="148"/>
      <c r="J361" s="148"/>
      <c r="K361" s="148"/>
      <c r="L361" s="148"/>
    </row>
    <row r="362">
      <c r="A362" s="148"/>
      <c r="B362" s="148"/>
      <c r="C362" s="148"/>
      <c r="D362" s="148"/>
      <c r="E362" s="148"/>
      <c r="F362" s="148"/>
      <c r="G362" s="148"/>
      <c r="H362" s="148"/>
      <c r="I362" s="148"/>
      <c r="J362" s="148"/>
      <c r="K362" s="148"/>
      <c r="L362" s="148"/>
    </row>
    <row r="363">
      <c r="A363" s="148"/>
      <c r="B363" s="148"/>
      <c r="C363" s="148"/>
      <c r="D363" s="148"/>
      <c r="E363" s="148"/>
      <c r="F363" s="148"/>
      <c r="G363" s="148"/>
      <c r="H363" s="148"/>
      <c r="I363" s="148"/>
      <c r="J363" s="148"/>
      <c r="K363" s="148"/>
      <c r="L363" s="148"/>
    </row>
    <row r="364">
      <c r="A364" s="148"/>
      <c r="B364" s="148"/>
      <c r="C364" s="148"/>
      <c r="D364" s="148"/>
      <c r="E364" s="148"/>
      <c r="F364" s="148"/>
      <c r="G364" s="148"/>
      <c r="H364" s="148"/>
      <c r="I364" s="148"/>
      <c r="J364" s="148"/>
      <c r="K364" s="148"/>
      <c r="L364" s="148"/>
    </row>
    <row r="365">
      <c r="A365" s="148"/>
      <c r="B365" s="148"/>
      <c r="C365" s="148"/>
      <c r="D365" s="148"/>
      <c r="E365" s="148"/>
      <c r="F365" s="148"/>
      <c r="G365" s="148"/>
      <c r="H365" s="148"/>
      <c r="I365" s="148"/>
      <c r="J365" s="148"/>
      <c r="K365" s="148"/>
      <c r="L365" s="148"/>
    </row>
    <row r="366">
      <c r="A366" s="148"/>
      <c r="B366" s="148"/>
      <c r="C366" s="148"/>
      <c r="D366" s="148"/>
      <c r="E366" s="148"/>
      <c r="F366" s="148"/>
      <c r="G366" s="148"/>
      <c r="H366" s="148"/>
      <c r="I366" s="148"/>
      <c r="J366" s="148"/>
      <c r="K366" s="148"/>
      <c r="L366" s="148"/>
    </row>
    <row r="367">
      <c r="A367" s="148"/>
      <c r="B367" s="148"/>
      <c r="C367" s="148"/>
      <c r="D367" s="148"/>
      <c r="E367" s="148"/>
      <c r="F367" s="148"/>
      <c r="G367" s="148"/>
      <c r="H367" s="148"/>
      <c r="I367" s="148"/>
      <c r="J367" s="148"/>
      <c r="K367" s="148"/>
      <c r="L367" s="148"/>
    </row>
    <row r="368">
      <c r="A368" s="148"/>
      <c r="B368" s="148"/>
      <c r="C368" s="148"/>
      <c r="D368" s="148"/>
      <c r="E368" s="148"/>
      <c r="F368" s="148"/>
      <c r="G368" s="148"/>
      <c r="H368" s="148"/>
      <c r="I368" s="148"/>
      <c r="J368" s="148"/>
      <c r="K368" s="148"/>
      <c r="L368" s="148"/>
    </row>
    <row r="369">
      <c r="A369" s="148"/>
      <c r="B369" s="148"/>
      <c r="C369" s="148"/>
      <c r="D369" s="148"/>
      <c r="E369" s="148"/>
      <c r="F369" s="148"/>
      <c r="G369" s="148"/>
      <c r="H369" s="148"/>
      <c r="I369" s="148"/>
      <c r="J369" s="148"/>
      <c r="K369" s="148"/>
      <c r="L369" s="148"/>
    </row>
    <row r="370">
      <c r="A370" s="148"/>
      <c r="B370" s="148"/>
      <c r="C370" s="148"/>
      <c r="D370" s="148"/>
      <c r="E370" s="148"/>
      <c r="F370" s="148"/>
      <c r="G370" s="148"/>
      <c r="H370" s="148"/>
      <c r="I370" s="148"/>
      <c r="J370" s="148"/>
      <c r="K370" s="148"/>
      <c r="L370" s="148"/>
    </row>
    <row r="371">
      <c r="A371" s="148"/>
      <c r="B371" s="148"/>
      <c r="C371" s="148"/>
      <c r="D371" s="148"/>
      <c r="E371" s="148"/>
      <c r="F371" s="148"/>
      <c r="G371" s="148"/>
      <c r="H371" s="148"/>
      <c r="I371" s="148"/>
      <c r="J371" s="148"/>
      <c r="K371" s="148"/>
      <c r="L371" s="148"/>
    </row>
    <row r="372">
      <c r="A372" s="148"/>
      <c r="B372" s="148"/>
      <c r="C372" s="148"/>
      <c r="D372" s="148"/>
      <c r="E372" s="148"/>
      <c r="F372" s="148"/>
      <c r="G372" s="148"/>
      <c r="H372" s="148"/>
      <c r="I372" s="148"/>
      <c r="J372" s="148"/>
      <c r="K372" s="148"/>
      <c r="L372" s="148"/>
    </row>
    <row r="373">
      <c r="A373" s="148"/>
      <c r="B373" s="148"/>
      <c r="C373" s="148"/>
      <c r="D373" s="148"/>
      <c r="E373" s="148"/>
      <c r="F373" s="148"/>
      <c r="G373" s="148"/>
      <c r="H373" s="148"/>
      <c r="I373" s="148"/>
      <c r="J373" s="148"/>
      <c r="K373" s="148"/>
      <c r="L373" s="148"/>
    </row>
    <row r="374">
      <c r="A374" s="148"/>
      <c r="B374" s="148"/>
      <c r="C374" s="148"/>
      <c r="D374" s="148"/>
      <c r="E374" s="148"/>
      <c r="F374" s="148"/>
      <c r="G374" s="148"/>
      <c r="H374" s="148"/>
      <c r="I374" s="148"/>
      <c r="J374" s="148"/>
      <c r="K374" s="148"/>
      <c r="L374" s="148"/>
    </row>
    <row r="375">
      <c r="A375" s="148"/>
      <c r="B375" s="148"/>
      <c r="C375" s="148"/>
      <c r="D375" s="148"/>
      <c r="E375" s="148"/>
      <c r="F375" s="148"/>
      <c r="G375" s="148"/>
      <c r="H375" s="148"/>
      <c r="I375" s="148"/>
      <c r="J375" s="148"/>
      <c r="K375" s="148"/>
      <c r="L375" s="148"/>
    </row>
    <row r="376">
      <c r="A376" s="148"/>
      <c r="B376" s="148"/>
      <c r="C376" s="148"/>
      <c r="D376" s="148"/>
      <c r="E376" s="148"/>
      <c r="F376" s="148"/>
      <c r="G376" s="148"/>
      <c r="H376" s="148"/>
      <c r="I376" s="148"/>
      <c r="J376" s="148"/>
      <c r="K376" s="148"/>
      <c r="L376" s="148"/>
    </row>
    <row r="377">
      <c r="A377" s="148"/>
      <c r="B377" s="148"/>
      <c r="C377" s="148"/>
      <c r="D377" s="148"/>
      <c r="E377" s="148"/>
      <c r="F377" s="148"/>
      <c r="G377" s="148"/>
      <c r="H377" s="148"/>
      <c r="I377" s="148"/>
      <c r="J377" s="148"/>
      <c r="K377" s="148"/>
      <c r="L377" s="148"/>
    </row>
    <row r="378">
      <c r="A378" s="148"/>
      <c r="B378" s="148"/>
      <c r="C378" s="148"/>
      <c r="D378" s="148"/>
      <c r="E378" s="148"/>
      <c r="F378" s="148"/>
      <c r="G378" s="148"/>
      <c r="H378" s="148"/>
      <c r="I378" s="148"/>
      <c r="J378" s="148"/>
      <c r="K378" s="148"/>
      <c r="L378" s="148"/>
    </row>
    <row r="379">
      <c r="A379" s="148"/>
      <c r="B379" s="148"/>
      <c r="C379" s="148"/>
      <c r="D379" s="148"/>
      <c r="E379" s="148"/>
      <c r="F379" s="148"/>
      <c r="G379" s="148"/>
      <c r="H379" s="148"/>
      <c r="I379" s="148"/>
      <c r="J379" s="148"/>
      <c r="K379" s="148"/>
      <c r="L379" s="148"/>
    </row>
    <row r="380">
      <c r="A380" s="148"/>
      <c r="B380" s="148"/>
      <c r="C380" s="148"/>
      <c r="D380" s="148"/>
      <c r="E380" s="148"/>
      <c r="F380" s="148"/>
      <c r="G380" s="148"/>
      <c r="H380" s="148"/>
      <c r="I380" s="148"/>
      <c r="J380" s="148"/>
      <c r="K380" s="148"/>
      <c r="L380" s="148"/>
    </row>
    <row r="381">
      <c r="A381" s="148"/>
      <c r="B381" s="148"/>
      <c r="C381" s="148"/>
      <c r="D381" s="148"/>
      <c r="E381" s="148"/>
      <c r="F381" s="148"/>
      <c r="G381" s="148"/>
      <c r="H381" s="148"/>
      <c r="I381" s="148"/>
      <c r="J381" s="148"/>
      <c r="K381" s="148"/>
      <c r="L381" s="148"/>
    </row>
    <row r="382">
      <c r="A382" s="148"/>
      <c r="B382" s="148"/>
      <c r="C382" s="148"/>
      <c r="D382" s="148"/>
      <c r="E382" s="148"/>
      <c r="F382" s="148"/>
      <c r="G382" s="148"/>
      <c r="H382" s="148"/>
      <c r="I382" s="148"/>
      <c r="J382" s="148"/>
      <c r="K382" s="148"/>
      <c r="L382" s="148"/>
    </row>
    <row r="383">
      <c r="A383" s="148"/>
      <c r="B383" s="148"/>
      <c r="C383" s="148"/>
      <c r="D383" s="148"/>
      <c r="E383" s="148"/>
      <c r="F383" s="148"/>
      <c r="G383" s="148"/>
      <c r="H383" s="148"/>
      <c r="I383" s="148"/>
      <c r="J383" s="148"/>
      <c r="K383" s="148"/>
      <c r="L383" s="148"/>
    </row>
    <row r="384">
      <c r="A384" s="148"/>
      <c r="B384" s="148"/>
      <c r="C384" s="148"/>
      <c r="D384" s="148"/>
      <c r="E384" s="148"/>
      <c r="F384" s="148"/>
      <c r="G384" s="148"/>
      <c r="H384" s="148"/>
      <c r="I384" s="148"/>
      <c r="J384" s="148"/>
      <c r="K384" s="148"/>
      <c r="L384" s="148"/>
    </row>
    <row r="385">
      <c r="A385" s="148"/>
      <c r="B385" s="148"/>
      <c r="C385" s="148"/>
      <c r="D385" s="148"/>
      <c r="E385" s="148"/>
      <c r="F385" s="148"/>
      <c r="G385" s="148"/>
      <c r="H385" s="148"/>
      <c r="I385" s="148"/>
      <c r="J385" s="148"/>
      <c r="K385" s="148"/>
      <c r="L385" s="148"/>
    </row>
    <row r="386">
      <c r="A386" s="148"/>
      <c r="B386" s="148"/>
      <c r="C386" s="148"/>
      <c r="D386" s="148"/>
      <c r="E386" s="148"/>
      <c r="F386" s="148"/>
      <c r="G386" s="148"/>
      <c r="H386" s="148"/>
      <c r="I386" s="148"/>
      <c r="J386" s="148"/>
      <c r="K386" s="148"/>
      <c r="L386" s="148"/>
    </row>
    <row r="387">
      <c r="A387" s="148"/>
      <c r="B387" s="148"/>
      <c r="C387" s="148"/>
      <c r="D387" s="148"/>
      <c r="E387" s="148"/>
      <c r="F387" s="148"/>
      <c r="G387" s="148"/>
      <c r="H387" s="148"/>
      <c r="I387" s="148"/>
      <c r="J387" s="148"/>
      <c r="K387" s="148"/>
      <c r="L387" s="148"/>
    </row>
    <row r="388">
      <c r="A388" s="148"/>
      <c r="B388" s="148"/>
      <c r="C388" s="148"/>
      <c r="D388" s="148"/>
      <c r="E388" s="148"/>
      <c r="F388" s="148"/>
      <c r="G388" s="148"/>
      <c r="H388" s="148"/>
      <c r="I388" s="148"/>
      <c r="J388" s="148"/>
      <c r="K388" s="148"/>
      <c r="L388" s="148"/>
    </row>
    <row r="389">
      <c r="A389" s="148"/>
      <c r="B389" s="148"/>
      <c r="C389" s="148"/>
      <c r="D389" s="148"/>
      <c r="E389" s="148"/>
      <c r="F389" s="148"/>
      <c r="G389" s="148"/>
      <c r="H389" s="148"/>
      <c r="I389" s="148"/>
      <c r="J389" s="148"/>
      <c r="K389" s="148"/>
      <c r="L389" s="148"/>
    </row>
    <row r="390">
      <c r="A390" s="148"/>
      <c r="B390" s="148"/>
      <c r="C390" s="148"/>
      <c r="D390" s="148"/>
      <c r="E390" s="148"/>
      <c r="F390" s="148"/>
      <c r="G390" s="148"/>
      <c r="H390" s="148"/>
      <c r="I390" s="148"/>
      <c r="J390" s="148"/>
      <c r="K390" s="148"/>
      <c r="L390" s="148"/>
    </row>
    <row r="391">
      <c r="A391" s="148"/>
      <c r="B391" s="148"/>
      <c r="C391" s="148"/>
      <c r="D391" s="148"/>
      <c r="E391" s="148"/>
      <c r="F391" s="148"/>
      <c r="G391" s="148"/>
      <c r="H391" s="148"/>
      <c r="I391" s="148"/>
      <c r="J391" s="148"/>
      <c r="K391" s="148"/>
      <c r="L391" s="148"/>
    </row>
    <row r="392">
      <c r="A392" s="148"/>
      <c r="B392" s="148"/>
      <c r="C392" s="148"/>
      <c r="D392" s="148"/>
      <c r="E392" s="148"/>
      <c r="F392" s="148"/>
      <c r="G392" s="148"/>
      <c r="H392" s="148"/>
      <c r="I392" s="148"/>
      <c r="J392" s="148"/>
      <c r="K392" s="148"/>
      <c r="L392" s="148"/>
    </row>
    <row r="393">
      <c r="A393" s="148"/>
      <c r="B393" s="148"/>
      <c r="C393" s="148"/>
      <c r="D393" s="148"/>
      <c r="E393" s="148"/>
      <c r="F393" s="148"/>
      <c r="G393" s="148"/>
      <c r="H393" s="148"/>
      <c r="I393" s="148"/>
      <c r="J393" s="148"/>
      <c r="K393" s="148"/>
      <c r="L393" s="148"/>
    </row>
    <row r="394">
      <c r="A394" s="148"/>
      <c r="B394" s="148"/>
      <c r="C394" s="148"/>
      <c r="D394" s="148"/>
      <c r="E394" s="148"/>
      <c r="F394" s="148"/>
      <c r="G394" s="148"/>
      <c r="H394" s="148"/>
      <c r="I394" s="148"/>
      <c r="J394" s="148"/>
      <c r="K394" s="148"/>
      <c r="L394" s="148"/>
    </row>
    <row r="395">
      <c r="A395" s="148"/>
      <c r="B395" s="148"/>
      <c r="C395" s="148"/>
      <c r="D395" s="148"/>
      <c r="E395" s="148"/>
      <c r="F395" s="148"/>
      <c r="G395" s="148"/>
      <c r="H395" s="148"/>
      <c r="I395" s="148"/>
      <c r="J395" s="148"/>
      <c r="K395" s="148"/>
      <c r="L395" s="148"/>
    </row>
    <row r="396">
      <c r="A396" s="148"/>
      <c r="B396" s="148"/>
      <c r="C396" s="148"/>
      <c r="D396" s="148"/>
      <c r="E396" s="148"/>
      <c r="F396" s="148"/>
      <c r="G396" s="148"/>
      <c r="H396" s="148"/>
      <c r="I396" s="148"/>
      <c r="J396" s="148"/>
      <c r="K396" s="148"/>
      <c r="L396" s="148"/>
    </row>
    <row r="397">
      <c r="A397" s="148"/>
      <c r="B397" s="148"/>
      <c r="C397" s="148"/>
      <c r="D397" s="148"/>
      <c r="E397" s="148"/>
      <c r="F397" s="148"/>
      <c r="G397" s="148"/>
      <c r="H397" s="148"/>
      <c r="I397" s="148"/>
      <c r="J397" s="148"/>
      <c r="K397" s="148"/>
      <c r="L397" s="148"/>
    </row>
    <row r="398">
      <c r="A398" s="148"/>
      <c r="B398" s="148"/>
      <c r="C398" s="148"/>
      <c r="D398" s="148"/>
      <c r="E398" s="148"/>
      <c r="F398" s="148"/>
      <c r="G398" s="148"/>
      <c r="H398" s="148"/>
      <c r="I398" s="148"/>
      <c r="J398" s="148"/>
      <c r="K398" s="148"/>
      <c r="L398" s="148"/>
    </row>
    <row r="399">
      <c r="A399" s="148"/>
      <c r="B399" s="148"/>
      <c r="C399" s="148"/>
      <c r="D399" s="148"/>
      <c r="E399" s="148"/>
      <c r="F399" s="148"/>
      <c r="G399" s="148"/>
      <c r="H399" s="148"/>
      <c r="I399" s="148"/>
      <c r="J399" s="148"/>
      <c r="K399" s="148"/>
      <c r="L399" s="148"/>
    </row>
    <row r="400">
      <c r="A400" s="148"/>
      <c r="B400" s="148"/>
      <c r="C400" s="148"/>
      <c r="D400" s="148"/>
      <c r="E400" s="148"/>
      <c r="F400" s="148"/>
      <c r="G400" s="148"/>
      <c r="H400" s="148"/>
      <c r="I400" s="148"/>
      <c r="J400" s="148"/>
      <c r="K400" s="148"/>
      <c r="L400" s="148"/>
    </row>
    <row r="401">
      <c r="A401" s="148"/>
      <c r="B401" s="148"/>
      <c r="C401" s="148"/>
      <c r="D401" s="148"/>
      <c r="E401" s="148"/>
      <c r="F401" s="148"/>
      <c r="G401" s="148"/>
      <c r="H401" s="148"/>
      <c r="I401" s="148"/>
      <c r="J401" s="148"/>
      <c r="K401" s="148"/>
      <c r="L401" s="148"/>
    </row>
    <row r="402">
      <c r="A402" s="148"/>
      <c r="B402" s="148"/>
      <c r="C402" s="148"/>
      <c r="D402" s="148"/>
      <c r="E402" s="148"/>
      <c r="F402" s="148"/>
      <c r="G402" s="148"/>
      <c r="H402" s="148"/>
      <c r="I402" s="148"/>
      <c r="J402" s="148"/>
      <c r="K402" s="148"/>
      <c r="L402" s="148"/>
    </row>
    <row r="403">
      <c r="A403" s="148"/>
      <c r="B403" s="148"/>
      <c r="C403" s="148"/>
      <c r="D403" s="148"/>
      <c r="E403" s="148"/>
      <c r="F403" s="148"/>
      <c r="G403" s="148"/>
      <c r="H403" s="148"/>
      <c r="I403" s="148"/>
      <c r="J403" s="148"/>
      <c r="K403" s="148"/>
      <c r="L403" s="148"/>
    </row>
    <row r="404">
      <c r="A404" s="148"/>
      <c r="B404" s="148"/>
      <c r="C404" s="148"/>
      <c r="D404" s="148"/>
      <c r="E404" s="148"/>
      <c r="F404" s="148"/>
      <c r="G404" s="148"/>
      <c r="H404" s="148"/>
      <c r="I404" s="148"/>
      <c r="J404" s="148"/>
      <c r="K404" s="148"/>
      <c r="L404" s="148"/>
    </row>
    <row r="405">
      <c r="A405" s="148"/>
      <c r="B405" s="148"/>
      <c r="C405" s="148"/>
      <c r="D405" s="148"/>
      <c r="E405" s="148"/>
      <c r="F405" s="148"/>
      <c r="G405" s="148"/>
      <c r="H405" s="148"/>
      <c r="I405" s="148"/>
      <c r="J405" s="148"/>
      <c r="K405" s="148"/>
      <c r="L405" s="148"/>
    </row>
    <row r="406">
      <c r="A406" s="148"/>
      <c r="B406" s="148"/>
      <c r="C406" s="148"/>
      <c r="D406" s="148"/>
      <c r="E406" s="148"/>
      <c r="F406" s="148"/>
      <c r="G406" s="148"/>
      <c r="H406" s="148"/>
      <c r="I406" s="148"/>
      <c r="J406" s="148"/>
      <c r="K406" s="148"/>
      <c r="L406" s="148"/>
    </row>
    <row r="407">
      <c r="A407" s="148"/>
      <c r="B407" s="148"/>
      <c r="C407" s="148"/>
      <c r="D407" s="148"/>
      <c r="E407" s="148"/>
      <c r="F407" s="148"/>
      <c r="G407" s="148"/>
      <c r="H407" s="148"/>
      <c r="I407" s="148"/>
      <c r="J407" s="148"/>
      <c r="K407" s="148"/>
      <c r="L407" s="148"/>
    </row>
    <row r="408">
      <c r="A408" s="148"/>
      <c r="B408" s="148"/>
      <c r="C408" s="148"/>
      <c r="D408" s="148"/>
      <c r="E408" s="148"/>
      <c r="F408" s="148"/>
      <c r="G408" s="148"/>
      <c r="H408" s="148"/>
      <c r="I408" s="148"/>
      <c r="J408" s="148"/>
      <c r="K408" s="148"/>
      <c r="L408" s="148"/>
    </row>
    <row r="409">
      <c r="A409" s="148"/>
      <c r="B409" s="148"/>
      <c r="C409" s="148"/>
      <c r="D409" s="148"/>
      <c r="E409" s="148"/>
      <c r="F409" s="148"/>
      <c r="G409" s="148"/>
      <c r="H409" s="148"/>
      <c r="I409" s="148"/>
      <c r="J409" s="148"/>
      <c r="K409" s="148"/>
      <c r="L409" s="148"/>
    </row>
    <row r="410">
      <c r="A410" s="148"/>
      <c r="B410" s="148"/>
      <c r="C410" s="148"/>
      <c r="D410" s="148"/>
      <c r="E410" s="148"/>
      <c r="F410" s="148"/>
      <c r="G410" s="148"/>
      <c r="H410" s="148"/>
      <c r="I410" s="148"/>
      <c r="J410" s="148"/>
      <c r="K410" s="148"/>
      <c r="L410" s="148"/>
    </row>
    <row r="411">
      <c r="A411" s="148"/>
      <c r="B411" s="148"/>
      <c r="C411" s="148"/>
      <c r="D411" s="148"/>
      <c r="E411" s="148"/>
      <c r="F411" s="148"/>
      <c r="G411" s="148"/>
      <c r="H411" s="148"/>
      <c r="I411" s="148"/>
      <c r="J411" s="148"/>
      <c r="K411" s="148"/>
      <c r="L411" s="148"/>
    </row>
    <row r="412">
      <c r="A412" s="148"/>
      <c r="B412" s="148"/>
      <c r="C412" s="148"/>
      <c r="D412" s="148"/>
      <c r="E412" s="148"/>
      <c r="F412" s="148"/>
      <c r="G412" s="148"/>
      <c r="H412" s="148"/>
      <c r="I412" s="148"/>
      <c r="J412" s="148"/>
      <c r="K412" s="148"/>
      <c r="L412" s="148"/>
    </row>
    <row r="413">
      <c r="A413" s="148"/>
      <c r="B413" s="148"/>
      <c r="C413" s="148"/>
      <c r="D413" s="148"/>
      <c r="E413" s="148"/>
      <c r="F413" s="148"/>
      <c r="G413" s="148"/>
      <c r="H413" s="148"/>
      <c r="I413" s="148"/>
      <c r="J413" s="148"/>
      <c r="K413" s="148"/>
      <c r="L413" s="148"/>
    </row>
    <row r="414">
      <c r="A414" s="148"/>
      <c r="B414" s="148"/>
      <c r="C414" s="148"/>
      <c r="D414" s="148"/>
      <c r="E414" s="148"/>
      <c r="F414" s="148"/>
      <c r="G414" s="148"/>
      <c r="H414" s="148"/>
      <c r="I414" s="148"/>
      <c r="J414" s="148"/>
      <c r="K414" s="148"/>
      <c r="L414" s="148"/>
    </row>
    <row r="415">
      <c r="A415" s="148"/>
      <c r="B415" s="148"/>
      <c r="C415" s="148"/>
      <c r="D415" s="148"/>
      <c r="E415" s="148"/>
      <c r="F415" s="148"/>
      <c r="G415" s="148"/>
      <c r="H415" s="148"/>
      <c r="I415" s="148"/>
      <c r="J415" s="148"/>
      <c r="K415" s="148"/>
      <c r="L415" s="148"/>
    </row>
    <row r="416">
      <c r="A416" s="148"/>
      <c r="B416" s="148"/>
      <c r="C416" s="148"/>
      <c r="D416" s="148"/>
      <c r="E416" s="148"/>
      <c r="F416" s="148"/>
      <c r="G416" s="148"/>
      <c r="H416" s="148"/>
      <c r="I416" s="148"/>
      <c r="J416" s="148"/>
      <c r="K416" s="148"/>
      <c r="L416" s="148"/>
    </row>
    <row r="417">
      <c r="A417" s="148"/>
      <c r="B417" s="148"/>
      <c r="C417" s="148"/>
      <c r="D417" s="148"/>
      <c r="E417" s="148"/>
      <c r="F417" s="148"/>
      <c r="G417" s="148"/>
      <c r="H417" s="148"/>
      <c r="I417" s="148"/>
      <c r="J417" s="148"/>
      <c r="K417" s="148"/>
      <c r="L417" s="148"/>
    </row>
    <row r="418">
      <c r="A418" s="148"/>
      <c r="B418" s="148"/>
      <c r="C418" s="148"/>
      <c r="D418" s="148"/>
      <c r="E418" s="148"/>
      <c r="F418" s="148"/>
      <c r="G418" s="148"/>
      <c r="H418" s="148"/>
      <c r="I418" s="148"/>
      <c r="J418" s="148"/>
      <c r="K418" s="148"/>
      <c r="L418" s="148"/>
    </row>
    <row r="419">
      <c r="A419" s="148"/>
      <c r="B419" s="148"/>
      <c r="C419" s="148"/>
      <c r="D419" s="148"/>
      <c r="E419" s="148"/>
      <c r="F419" s="148"/>
      <c r="G419" s="148"/>
      <c r="H419" s="148"/>
      <c r="I419" s="148"/>
      <c r="J419" s="148"/>
      <c r="K419" s="148"/>
      <c r="L419" s="148"/>
    </row>
    <row r="420">
      <c r="A420" s="148"/>
      <c r="B420" s="148"/>
      <c r="C420" s="148"/>
      <c r="D420" s="148"/>
      <c r="E420" s="148"/>
      <c r="F420" s="148"/>
      <c r="G420" s="148"/>
      <c r="H420" s="148"/>
      <c r="I420" s="148"/>
      <c r="J420" s="148"/>
      <c r="K420" s="148"/>
      <c r="L420" s="148"/>
    </row>
    <row r="421">
      <c r="A421" s="148"/>
      <c r="B421" s="148"/>
      <c r="C421" s="148"/>
      <c r="D421" s="148"/>
      <c r="E421" s="148"/>
      <c r="F421" s="148"/>
      <c r="G421" s="148"/>
      <c r="H421" s="148"/>
      <c r="I421" s="148"/>
      <c r="J421" s="148"/>
      <c r="K421" s="148"/>
      <c r="L421" s="148"/>
    </row>
    <row r="422">
      <c r="A422" s="148"/>
      <c r="B422" s="148"/>
      <c r="C422" s="148"/>
      <c r="D422" s="148"/>
      <c r="E422" s="148"/>
      <c r="F422" s="148"/>
      <c r="G422" s="148"/>
      <c r="H422" s="148"/>
      <c r="I422" s="148"/>
      <c r="J422" s="148"/>
      <c r="K422" s="148"/>
      <c r="L422" s="148"/>
    </row>
    <row r="423">
      <c r="A423" s="148"/>
      <c r="B423" s="148"/>
      <c r="C423" s="148"/>
      <c r="D423" s="148"/>
      <c r="E423" s="148"/>
      <c r="F423" s="148"/>
      <c r="G423" s="148"/>
      <c r="H423" s="148"/>
      <c r="I423" s="148"/>
      <c r="J423" s="148"/>
      <c r="K423" s="148"/>
      <c r="L423" s="148"/>
    </row>
    <row r="424">
      <c r="A424" s="148"/>
      <c r="B424" s="148"/>
      <c r="C424" s="148"/>
      <c r="D424" s="148"/>
      <c r="E424" s="148"/>
      <c r="F424" s="148"/>
      <c r="G424" s="148"/>
      <c r="H424" s="148"/>
      <c r="I424" s="148"/>
      <c r="J424" s="148"/>
      <c r="K424" s="148"/>
      <c r="L424" s="148"/>
    </row>
    <row r="425">
      <c r="A425" s="148"/>
      <c r="B425" s="148"/>
      <c r="C425" s="148"/>
      <c r="D425" s="148"/>
      <c r="E425" s="148"/>
      <c r="F425" s="148"/>
      <c r="G425" s="148"/>
      <c r="H425" s="148"/>
      <c r="I425" s="148"/>
      <c r="J425" s="148"/>
      <c r="K425" s="148"/>
      <c r="L425" s="148"/>
    </row>
    <row r="426">
      <c r="A426" s="148"/>
      <c r="B426" s="148"/>
      <c r="C426" s="148"/>
      <c r="D426" s="148"/>
      <c r="E426" s="148"/>
      <c r="F426" s="148"/>
      <c r="G426" s="148"/>
      <c r="H426" s="148"/>
      <c r="I426" s="148"/>
      <c r="J426" s="148"/>
      <c r="K426" s="148"/>
      <c r="L426" s="148"/>
    </row>
    <row r="427">
      <c r="A427" s="148"/>
      <c r="B427" s="148"/>
      <c r="C427" s="148"/>
      <c r="D427" s="148"/>
      <c r="E427" s="148"/>
      <c r="F427" s="148"/>
      <c r="G427" s="148"/>
      <c r="H427" s="148"/>
      <c r="I427" s="148"/>
      <c r="J427" s="148"/>
      <c r="K427" s="148"/>
      <c r="L427" s="148"/>
    </row>
    <row r="428">
      <c r="A428" s="148"/>
      <c r="B428" s="148"/>
      <c r="C428" s="148"/>
      <c r="D428" s="148"/>
      <c r="E428" s="148"/>
      <c r="F428" s="148"/>
      <c r="G428" s="148"/>
      <c r="H428" s="148"/>
      <c r="I428" s="148"/>
      <c r="J428" s="148"/>
      <c r="K428" s="148"/>
      <c r="L428" s="148"/>
    </row>
    <row r="429">
      <c r="A429" s="148"/>
      <c r="B429" s="148"/>
      <c r="C429" s="148"/>
      <c r="D429" s="148"/>
      <c r="E429" s="148"/>
      <c r="F429" s="148"/>
      <c r="G429" s="148"/>
      <c r="H429" s="148"/>
      <c r="I429" s="148"/>
      <c r="J429" s="148"/>
      <c r="K429" s="148"/>
      <c r="L429" s="148"/>
    </row>
    <row r="430">
      <c r="A430" s="148"/>
      <c r="B430" s="148"/>
      <c r="C430" s="148"/>
      <c r="D430" s="148"/>
      <c r="E430" s="148"/>
      <c r="F430" s="148"/>
      <c r="G430" s="148"/>
      <c r="H430" s="148"/>
      <c r="I430" s="148"/>
      <c r="J430" s="148"/>
      <c r="K430" s="148"/>
      <c r="L430" s="148"/>
    </row>
    <row r="431">
      <c r="A431" s="148"/>
      <c r="B431" s="148"/>
      <c r="C431" s="148"/>
      <c r="D431" s="148"/>
      <c r="E431" s="148"/>
      <c r="F431" s="148"/>
      <c r="G431" s="148"/>
      <c r="H431" s="148"/>
      <c r="I431" s="148"/>
      <c r="J431" s="148"/>
      <c r="K431" s="148"/>
      <c r="L431" s="148"/>
    </row>
    <row r="432">
      <c r="A432" s="148"/>
      <c r="B432" s="148"/>
      <c r="C432" s="148"/>
      <c r="D432" s="148"/>
      <c r="E432" s="148"/>
      <c r="F432" s="148"/>
      <c r="G432" s="148"/>
      <c r="H432" s="148"/>
      <c r="I432" s="148"/>
      <c r="J432" s="148"/>
      <c r="K432" s="148"/>
      <c r="L432" s="148"/>
    </row>
    <row r="433">
      <c r="A433" s="148"/>
      <c r="B433" s="148"/>
      <c r="C433" s="148"/>
      <c r="D433" s="148"/>
      <c r="E433" s="148"/>
      <c r="F433" s="148"/>
      <c r="G433" s="148"/>
      <c r="H433" s="148"/>
      <c r="I433" s="148"/>
      <c r="J433" s="148"/>
      <c r="K433" s="148"/>
      <c r="L433" s="148"/>
    </row>
    <row r="434">
      <c r="A434" s="148"/>
      <c r="B434" s="148"/>
      <c r="C434" s="148"/>
      <c r="D434" s="148"/>
      <c r="E434" s="148"/>
      <c r="F434" s="148"/>
      <c r="G434" s="148"/>
      <c r="H434" s="148"/>
      <c r="I434" s="148"/>
      <c r="J434" s="148"/>
      <c r="K434" s="148"/>
      <c r="L434" s="148"/>
    </row>
    <row r="435">
      <c r="A435" s="148"/>
      <c r="B435" s="148"/>
      <c r="C435" s="148"/>
      <c r="D435" s="148"/>
      <c r="E435" s="148"/>
      <c r="F435" s="148"/>
      <c r="G435" s="148"/>
      <c r="H435" s="148"/>
      <c r="I435" s="148"/>
      <c r="J435" s="148"/>
      <c r="K435" s="148"/>
      <c r="L435" s="148"/>
    </row>
    <row r="436">
      <c r="A436" s="148"/>
      <c r="B436" s="148"/>
      <c r="C436" s="148"/>
      <c r="D436" s="148"/>
      <c r="E436" s="148"/>
      <c r="F436" s="148"/>
      <c r="G436" s="148"/>
      <c r="H436" s="148"/>
      <c r="I436" s="148"/>
      <c r="J436" s="148"/>
      <c r="K436" s="148"/>
      <c r="L436" s="148"/>
    </row>
    <row r="437">
      <c r="A437" s="148"/>
      <c r="B437" s="148"/>
      <c r="C437" s="148"/>
      <c r="D437" s="148"/>
      <c r="E437" s="148"/>
      <c r="F437" s="148"/>
      <c r="G437" s="148"/>
      <c r="H437" s="148"/>
      <c r="I437" s="148"/>
      <c r="J437" s="148"/>
      <c r="K437" s="148"/>
      <c r="L437" s="148"/>
    </row>
    <row r="438">
      <c r="A438" s="148"/>
      <c r="B438" s="148"/>
      <c r="C438" s="148"/>
      <c r="D438" s="148"/>
      <c r="E438" s="148"/>
      <c r="F438" s="148"/>
      <c r="G438" s="148"/>
      <c r="H438" s="148"/>
      <c r="I438" s="148"/>
      <c r="J438" s="148"/>
      <c r="K438" s="148"/>
      <c r="L438" s="148"/>
    </row>
    <row r="439">
      <c r="A439" s="148"/>
      <c r="B439" s="148"/>
      <c r="C439" s="148"/>
      <c r="D439" s="148"/>
      <c r="E439" s="148"/>
      <c r="F439" s="148"/>
      <c r="G439" s="148"/>
      <c r="H439" s="148"/>
      <c r="I439" s="148"/>
      <c r="J439" s="148"/>
      <c r="K439" s="148"/>
      <c r="L439" s="148"/>
    </row>
    <row r="440">
      <c r="A440" s="148"/>
      <c r="B440" s="148"/>
      <c r="C440" s="148"/>
      <c r="D440" s="148"/>
      <c r="E440" s="148"/>
      <c r="F440" s="148"/>
      <c r="G440" s="148"/>
      <c r="H440" s="148"/>
      <c r="I440" s="148"/>
      <c r="J440" s="148"/>
      <c r="K440" s="148"/>
      <c r="L440" s="148"/>
    </row>
    <row r="441">
      <c r="A441" s="148"/>
      <c r="B441" s="148"/>
      <c r="C441" s="148"/>
      <c r="D441" s="148"/>
      <c r="E441" s="148"/>
      <c r="F441" s="148"/>
      <c r="G441" s="148"/>
      <c r="H441" s="148"/>
      <c r="I441" s="148"/>
      <c r="J441" s="148"/>
      <c r="K441" s="148"/>
      <c r="L441" s="148"/>
    </row>
    <row r="442">
      <c r="A442" s="148"/>
      <c r="B442" s="148"/>
      <c r="C442" s="148"/>
      <c r="D442" s="148"/>
      <c r="E442" s="148"/>
      <c r="F442" s="148"/>
      <c r="G442" s="148"/>
      <c r="H442" s="148"/>
      <c r="I442" s="148"/>
      <c r="J442" s="148"/>
      <c r="K442" s="148"/>
      <c r="L442" s="148"/>
    </row>
    <row r="443">
      <c r="A443" s="148"/>
      <c r="B443" s="148"/>
      <c r="C443" s="148"/>
      <c r="D443" s="148"/>
      <c r="E443" s="148"/>
      <c r="F443" s="148"/>
      <c r="G443" s="148"/>
      <c r="H443" s="148"/>
      <c r="I443" s="148"/>
      <c r="J443" s="148"/>
      <c r="K443" s="148"/>
      <c r="L443" s="148"/>
    </row>
    <row r="444">
      <c r="A444" s="148"/>
      <c r="B444" s="148"/>
      <c r="C444" s="148"/>
      <c r="D444" s="148"/>
      <c r="E444" s="148"/>
      <c r="F444" s="148"/>
      <c r="G444" s="148"/>
      <c r="H444" s="148"/>
      <c r="I444" s="148"/>
      <c r="J444" s="148"/>
      <c r="K444" s="148"/>
      <c r="L444" s="148"/>
    </row>
    <row r="445">
      <c r="A445" s="148"/>
      <c r="B445" s="148"/>
      <c r="C445" s="148"/>
      <c r="D445" s="148"/>
      <c r="E445" s="148"/>
      <c r="F445" s="148"/>
      <c r="G445" s="148"/>
      <c r="H445" s="148"/>
      <c r="I445" s="148"/>
      <c r="J445" s="148"/>
      <c r="K445" s="148"/>
      <c r="L445" s="148"/>
    </row>
    <row r="446">
      <c r="A446" s="148"/>
      <c r="B446" s="148"/>
      <c r="C446" s="148"/>
      <c r="D446" s="148"/>
      <c r="E446" s="148"/>
      <c r="F446" s="148"/>
      <c r="G446" s="148"/>
      <c r="H446" s="148"/>
      <c r="I446" s="148"/>
      <c r="J446" s="148"/>
      <c r="K446" s="148"/>
      <c r="L446" s="148"/>
    </row>
    <row r="447">
      <c r="A447" s="148"/>
      <c r="B447" s="148"/>
      <c r="C447" s="148"/>
      <c r="D447" s="148"/>
      <c r="E447" s="148"/>
      <c r="F447" s="148"/>
      <c r="G447" s="148"/>
      <c r="H447" s="148"/>
      <c r="I447" s="148"/>
      <c r="J447" s="148"/>
      <c r="K447" s="148"/>
      <c r="L447" s="148"/>
    </row>
    <row r="448">
      <c r="A448" s="148"/>
      <c r="B448" s="148"/>
      <c r="C448" s="148"/>
      <c r="D448" s="148"/>
      <c r="E448" s="148"/>
      <c r="F448" s="148"/>
      <c r="G448" s="148"/>
      <c r="H448" s="148"/>
      <c r="I448" s="148"/>
      <c r="J448" s="148"/>
      <c r="K448" s="148"/>
      <c r="L448" s="148"/>
    </row>
    <row r="449">
      <c r="A449" s="148"/>
      <c r="B449" s="148"/>
      <c r="C449" s="148"/>
      <c r="D449" s="148"/>
      <c r="E449" s="148"/>
      <c r="F449" s="148"/>
      <c r="G449" s="148"/>
      <c r="H449" s="148"/>
      <c r="I449" s="148"/>
      <c r="J449" s="148"/>
      <c r="K449" s="148"/>
      <c r="L449" s="148"/>
    </row>
    <row r="450">
      <c r="A450" s="148"/>
      <c r="B450" s="148"/>
      <c r="C450" s="148"/>
      <c r="D450" s="148"/>
      <c r="E450" s="148"/>
      <c r="F450" s="148"/>
      <c r="G450" s="148"/>
      <c r="H450" s="148"/>
      <c r="I450" s="148"/>
      <c r="J450" s="148"/>
      <c r="K450" s="148"/>
      <c r="L450" s="148"/>
    </row>
    <row r="451">
      <c r="A451" s="148"/>
      <c r="B451" s="148"/>
      <c r="C451" s="148"/>
      <c r="D451" s="148"/>
      <c r="E451" s="148"/>
      <c r="F451" s="148"/>
      <c r="G451" s="148"/>
      <c r="H451" s="148"/>
      <c r="I451" s="148"/>
      <c r="J451" s="148"/>
      <c r="K451" s="148"/>
      <c r="L451" s="148"/>
    </row>
    <row r="452">
      <c r="A452" s="148"/>
      <c r="B452" s="148"/>
      <c r="C452" s="148"/>
      <c r="D452" s="148"/>
      <c r="E452" s="148"/>
      <c r="F452" s="148"/>
      <c r="G452" s="148"/>
      <c r="H452" s="148"/>
      <c r="I452" s="148"/>
      <c r="J452" s="148"/>
      <c r="K452" s="148"/>
      <c r="L452" s="148"/>
    </row>
    <row r="453">
      <c r="A453" s="148"/>
      <c r="B453" s="148"/>
      <c r="C453" s="148"/>
      <c r="D453" s="148"/>
      <c r="E453" s="148"/>
      <c r="F453" s="148"/>
      <c r="G453" s="148"/>
      <c r="H453" s="148"/>
      <c r="I453" s="148"/>
      <c r="J453" s="148"/>
      <c r="K453" s="148"/>
      <c r="L453" s="148"/>
    </row>
    <row r="454">
      <c r="A454" s="148"/>
      <c r="B454" s="148"/>
      <c r="C454" s="148"/>
      <c r="D454" s="148"/>
      <c r="E454" s="148"/>
      <c r="F454" s="148"/>
      <c r="G454" s="148"/>
      <c r="H454" s="148"/>
      <c r="I454" s="148"/>
      <c r="J454" s="148"/>
      <c r="K454" s="148"/>
      <c r="L454" s="148"/>
    </row>
    <row r="455">
      <c r="A455" s="148"/>
      <c r="B455" s="148"/>
      <c r="C455" s="148"/>
      <c r="D455" s="148"/>
      <c r="E455" s="148"/>
      <c r="F455" s="148"/>
      <c r="G455" s="148"/>
      <c r="H455" s="148"/>
      <c r="I455" s="148"/>
      <c r="J455" s="148"/>
      <c r="K455" s="148"/>
      <c r="L455" s="148"/>
    </row>
    <row r="456">
      <c r="A456" s="148"/>
      <c r="B456" s="148"/>
      <c r="C456" s="148"/>
      <c r="D456" s="148"/>
      <c r="E456" s="148"/>
      <c r="F456" s="148"/>
      <c r="G456" s="148"/>
      <c r="H456" s="148"/>
      <c r="I456" s="148"/>
      <c r="J456" s="148"/>
      <c r="K456" s="148"/>
      <c r="L456" s="148"/>
    </row>
    <row r="457">
      <c r="A457" s="148"/>
      <c r="B457" s="148"/>
      <c r="C457" s="148"/>
      <c r="D457" s="148"/>
      <c r="E457" s="148"/>
      <c r="F457" s="148"/>
      <c r="G457" s="148"/>
      <c r="H457" s="148"/>
      <c r="I457" s="148"/>
      <c r="J457" s="148"/>
      <c r="K457" s="148"/>
      <c r="L457" s="148"/>
    </row>
    <row r="458">
      <c r="A458" s="148"/>
      <c r="B458" s="148"/>
      <c r="C458" s="148"/>
      <c r="D458" s="148"/>
      <c r="E458" s="148"/>
      <c r="F458" s="148"/>
      <c r="G458" s="148"/>
      <c r="H458" s="148"/>
      <c r="I458" s="148"/>
      <c r="J458" s="148"/>
      <c r="K458" s="148"/>
      <c r="L458" s="148"/>
    </row>
    <row r="459">
      <c r="A459" s="148"/>
      <c r="B459" s="148"/>
      <c r="C459" s="148"/>
      <c r="D459" s="148"/>
      <c r="E459" s="148"/>
      <c r="F459" s="148"/>
      <c r="G459" s="148"/>
      <c r="H459" s="148"/>
      <c r="I459" s="148"/>
      <c r="J459" s="148"/>
      <c r="K459" s="148"/>
      <c r="L459" s="148"/>
    </row>
    <row r="460">
      <c r="A460" s="148"/>
      <c r="B460" s="148"/>
      <c r="C460" s="148"/>
      <c r="D460" s="148"/>
      <c r="E460" s="148"/>
      <c r="F460" s="148"/>
      <c r="G460" s="148"/>
      <c r="H460" s="148"/>
      <c r="I460" s="148"/>
      <c r="J460" s="148"/>
      <c r="K460" s="148"/>
      <c r="L460" s="148"/>
    </row>
    <row r="461">
      <c r="A461" s="148"/>
      <c r="B461" s="148"/>
      <c r="C461" s="148"/>
      <c r="D461" s="148"/>
      <c r="E461" s="148"/>
      <c r="F461" s="148"/>
      <c r="G461" s="148"/>
      <c r="H461" s="148"/>
      <c r="I461" s="148"/>
      <c r="J461" s="148"/>
      <c r="K461" s="148"/>
      <c r="L461" s="148"/>
    </row>
    <row r="462">
      <c r="A462" s="148"/>
      <c r="B462" s="148"/>
      <c r="C462" s="148"/>
      <c r="D462" s="148"/>
      <c r="E462" s="148"/>
      <c r="F462" s="148"/>
      <c r="G462" s="148"/>
      <c r="H462" s="148"/>
      <c r="I462" s="148"/>
      <c r="J462" s="148"/>
      <c r="K462" s="148"/>
      <c r="L462" s="148"/>
    </row>
    <row r="463">
      <c r="A463" s="148"/>
      <c r="B463" s="148"/>
      <c r="C463" s="148"/>
      <c r="D463" s="148"/>
      <c r="E463" s="148"/>
      <c r="F463" s="148"/>
      <c r="G463" s="148"/>
      <c r="H463" s="148"/>
      <c r="I463" s="148"/>
      <c r="J463" s="148"/>
      <c r="K463" s="148"/>
      <c r="L463" s="148"/>
    </row>
    <row r="464">
      <c r="A464" s="148"/>
      <c r="B464" s="148"/>
      <c r="C464" s="148"/>
      <c r="D464" s="148"/>
      <c r="E464" s="148"/>
      <c r="F464" s="148"/>
      <c r="G464" s="148"/>
      <c r="H464" s="148"/>
      <c r="I464" s="148"/>
      <c r="J464" s="148"/>
      <c r="K464" s="148"/>
      <c r="L464" s="148"/>
    </row>
    <row r="465">
      <c r="A465" s="148"/>
      <c r="B465" s="148"/>
      <c r="C465" s="148"/>
      <c r="D465" s="148"/>
      <c r="E465" s="148"/>
      <c r="F465" s="148"/>
      <c r="G465" s="148"/>
      <c r="H465" s="148"/>
      <c r="I465" s="148"/>
      <c r="J465" s="148"/>
      <c r="K465" s="148"/>
      <c r="L465" s="148"/>
    </row>
    <row r="466">
      <c r="A466" s="148"/>
      <c r="B466" s="148"/>
      <c r="C466" s="148"/>
      <c r="D466" s="148"/>
      <c r="E466" s="148"/>
      <c r="F466" s="148"/>
      <c r="G466" s="148"/>
      <c r="H466" s="148"/>
      <c r="I466" s="148"/>
      <c r="J466" s="148"/>
      <c r="K466" s="148"/>
      <c r="L466" s="148"/>
    </row>
    <row r="467">
      <c r="A467" s="148"/>
      <c r="B467" s="148"/>
      <c r="C467" s="148"/>
      <c r="D467" s="148"/>
      <c r="E467" s="148"/>
      <c r="F467" s="148"/>
      <c r="G467" s="148"/>
      <c r="H467" s="148"/>
      <c r="I467" s="148"/>
      <c r="J467" s="148"/>
      <c r="K467" s="148"/>
      <c r="L467" s="148"/>
    </row>
    <row r="468">
      <c r="A468" s="148"/>
      <c r="B468" s="148"/>
      <c r="C468" s="148"/>
      <c r="D468" s="148"/>
      <c r="E468" s="148"/>
      <c r="F468" s="148"/>
      <c r="G468" s="148"/>
      <c r="H468" s="148"/>
      <c r="I468" s="148"/>
      <c r="J468" s="148"/>
      <c r="K468" s="148"/>
      <c r="L468" s="148"/>
    </row>
    <row r="469">
      <c r="A469" s="148"/>
      <c r="B469" s="148"/>
      <c r="C469" s="148"/>
      <c r="D469" s="148"/>
      <c r="E469" s="148"/>
      <c r="F469" s="148"/>
      <c r="G469" s="148"/>
      <c r="H469" s="148"/>
      <c r="I469" s="148"/>
      <c r="J469" s="148"/>
      <c r="K469" s="148"/>
      <c r="L469" s="148"/>
    </row>
    <row r="470">
      <c r="A470" s="148"/>
      <c r="B470" s="148"/>
      <c r="C470" s="148"/>
      <c r="D470" s="148"/>
      <c r="E470" s="148"/>
      <c r="F470" s="148"/>
      <c r="G470" s="148"/>
      <c r="H470" s="148"/>
      <c r="I470" s="148"/>
      <c r="J470" s="148"/>
      <c r="K470" s="148"/>
      <c r="L470" s="148"/>
    </row>
    <row r="471">
      <c r="A471" s="148"/>
      <c r="B471" s="148"/>
      <c r="C471" s="148"/>
      <c r="D471" s="148"/>
      <c r="E471" s="148"/>
      <c r="F471" s="148"/>
      <c r="G471" s="148"/>
      <c r="H471" s="148"/>
      <c r="I471" s="148"/>
      <c r="J471" s="148"/>
      <c r="K471" s="148"/>
      <c r="L471" s="148"/>
    </row>
    <row r="472">
      <c r="A472" s="148"/>
      <c r="B472" s="148"/>
      <c r="C472" s="148"/>
      <c r="D472" s="148"/>
      <c r="E472" s="148"/>
      <c r="F472" s="148"/>
      <c r="G472" s="148"/>
      <c r="H472" s="148"/>
      <c r="I472" s="148"/>
      <c r="J472" s="148"/>
      <c r="K472" s="148"/>
      <c r="L472" s="148"/>
    </row>
    <row r="473">
      <c r="A473" s="148"/>
      <c r="B473" s="148"/>
      <c r="C473" s="148"/>
      <c r="D473" s="148"/>
      <c r="E473" s="148"/>
      <c r="F473" s="148"/>
      <c r="G473" s="148"/>
      <c r="H473" s="148"/>
      <c r="I473" s="148"/>
      <c r="J473" s="148"/>
      <c r="K473" s="148"/>
      <c r="L473" s="148"/>
    </row>
    <row r="474">
      <c r="A474" s="148"/>
      <c r="B474" s="148"/>
      <c r="C474" s="148"/>
      <c r="D474" s="148"/>
      <c r="E474" s="148"/>
      <c r="F474" s="148"/>
      <c r="G474" s="148"/>
      <c r="H474" s="148"/>
      <c r="I474" s="148"/>
      <c r="J474" s="148"/>
      <c r="K474" s="148"/>
      <c r="L474" s="148"/>
    </row>
    <row r="475">
      <c r="A475" s="148"/>
      <c r="B475" s="148"/>
      <c r="C475" s="148"/>
      <c r="D475" s="148"/>
      <c r="E475" s="148"/>
      <c r="F475" s="148"/>
      <c r="G475" s="148"/>
      <c r="H475" s="148"/>
      <c r="I475" s="148"/>
      <c r="J475" s="148"/>
      <c r="K475" s="148"/>
      <c r="L475" s="148"/>
    </row>
    <row r="476">
      <c r="A476" s="148"/>
      <c r="B476" s="148"/>
      <c r="C476" s="148"/>
      <c r="D476" s="148"/>
      <c r="E476" s="148"/>
      <c r="F476" s="148"/>
      <c r="G476" s="148"/>
      <c r="H476" s="148"/>
      <c r="I476" s="148"/>
      <c r="J476" s="148"/>
      <c r="K476" s="148"/>
      <c r="L476" s="148"/>
    </row>
    <row r="477">
      <c r="A477" s="148"/>
      <c r="B477" s="148"/>
      <c r="C477" s="148"/>
      <c r="D477" s="148"/>
      <c r="E477" s="148"/>
      <c r="F477" s="148"/>
      <c r="G477" s="148"/>
      <c r="H477" s="148"/>
      <c r="I477" s="148"/>
      <c r="J477" s="148"/>
      <c r="K477" s="148"/>
      <c r="L477" s="148"/>
    </row>
    <row r="478">
      <c r="A478" s="148"/>
      <c r="B478" s="148"/>
      <c r="C478" s="148"/>
      <c r="D478" s="148"/>
      <c r="E478" s="148"/>
      <c r="F478" s="148"/>
      <c r="G478" s="148"/>
      <c r="H478" s="148"/>
      <c r="I478" s="148"/>
      <c r="J478" s="148"/>
      <c r="K478" s="148"/>
      <c r="L478" s="148"/>
    </row>
    <row r="479">
      <c r="A479" s="148"/>
      <c r="B479" s="148"/>
      <c r="C479" s="148"/>
      <c r="D479" s="148"/>
      <c r="E479" s="148"/>
      <c r="F479" s="148"/>
      <c r="G479" s="148"/>
      <c r="H479" s="148"/>
      <c r="I479" s="148"/>
      <c r="J479" s="148"/>
      <c r="K479" s="148"/>
      <c r="L479" s="148"/>
    </row>
    <row r="480">
      <c r="A480" s="148"/>
      <c r="B480" s="148"/>
      <c r="C480" s="148"/>
      <c r="D480" s="148"/>
      <c r="E480" s="148"/>
      <c r="F480" s="148"/>
      <c r="G480" s="148"/>
      <c r="H480" s="148"/>
      <c r="I480" s="148"/>
      <c r="J480" s="148"/>
      <c r="K480" s="148"/>
      <c r="L480" s="148"/>
    </row>
    <row r="481">
      <c r="A481" s="148"/>
      <c r="B481" s="148"/>
      <c r="C481" s="148"/>
      <c r="D481" s="148"/>
      <c r="E481" s="148"/>
      <c r="F481" s="148"/>
      <c r="G481" s="148"/>
      <c r="H481" s="148"/>
      <c r="I481" s="148"/>
      <c r="J481" s="148"/>
      <c r="K481" s="148"/>
      <c r="L481" s="148"/>
    </row>
    <row r="482">
      <c r="A482" s="148"/>
      <c r="B482" s="148"/>
      <c r="C482" s="148"/>
      <c r="D482" s="148"/>
      <c r="E482" s="148"/>
      <c r="F482" s="148"/>
      <c r="G482" s="148"/>
      <c r="H482" s="148"/>
      <c r="I482" s="148"/>
      <c r="J482" s="148"/>
      <c r="K482" s="148"/>
      <c r="L482" s="148"/>
    </row>
    <row r="483">
      <c r="A483" s="148"/>
      <c r="B483" s="148"/>
      <c r="C483" s="148"/>
      <c r="D483" s="148"/>
      <c r="E483" s="148"/>
      <c r="F483" s="148"/>
      <c r="G483" s="148"/>
      <c r="H483" s="148"/>
      <c r="I483" s="148"/>
      <c r="J483" s="148"/>
      <c r="K483" s="148"/>
      <c r="L483" s="148"/>
    </row>
    <row r="484">
      <c r="A484" s="148"/>
      <c r="B484" s="148"/>
      <c r="C484" s="148"/>
      <c r="D484" s="148"/>
      <c r="E484" s="148"/>
      <c r="F484" s="148"/>
      <c r="G484" s="148"/>
      <c r="H484" s="148"/>
      <c r="I484" s="148"/>
      <c r="J484" s="148"/>
      <c r="K484" s="148"/>
      <c r="L484" s="148"/>
    </row>
    <row r="485">
      <c r="A485" s="148"/>
      <c r="B485" s="148"/>
      <c r="C485" s="148"/>
      <c r="D485" s="148"/>
      <c r="E485" s="148"/>
      <c r="F485" s="148"/>
      <c r="G485" s="148"/>
      <c r="H485" s="148"/>
      <c r="I485" s="148"/>
      <c r="J485" s="148"/>
      <c r="K485" s="148"/>
      <c r="L485" s="148"/>
    </row>
    <row r="486">
      <c r="A486" s="148"/>
      <c r="B486" s="148"/>
      <c r="C486" s="148"/>
      <c r="D486" s="148"/>
      <c r="E486" s="148"/>
      <c r="F486" s="148"/>
      <c r="G486" s="148"/>
      <c r="H486" s="148"/>
      <c r="I486" s="148"/>
      <c r="J486" s="148"/>
      <c r="K486" s="148"/>
      <c r="L486" s="148"/>
    </row>
    <row r="487">
      <c r="A487" s="148"/>
      <c r="B487" s="148"/>
      <c r="C487" s="148"/>
      <c r="D487" s="148"/>
      <c r="E487" s="148"/>
      <c r="F487" s="148"/>
      <c r="G487" s="148"/>
      <c r="H487" s="148"/>
      <c r="I487" s="148"/>
      <c r="J487" s="148"/>
      <c r="K487" s="148"/>
      <c r="L487" s="148"/>
    </row>
    <row r="488">
      <c r="A488" s="148"/>
      <c r="B488" s="148"/>
      <c r="C488" s="148"/>
      <c r="D488" s="148"/>
      <c r="E488" s="148"/>
      <c r="F488" s="148"/>
      <c r="G488" s="148"/>
      <c r="H488" s="148"/>
      <c r="I488" s="148"/>
      <c r="J488" s="148"/>
      <c r="K488" s="148"/>
      <c r="L488" s="148"/>
    </row>
    <row r="489">
      <c r="A489" s="148"/>
      <c r="B489" s="148"/>
      <c r="C489" s="148"/>
      <c r="D489" s="148"/>
      <c r="E489" s="148"/>
      <c r="F489" s="148"/>
      <c r="G489" s="148"/>
      <c r="H489" s="148"/>
      <c r="I489" s="148"/>
      <c r="J489" s="148"/>
      <c r="K489" s="148"/>
      <c r="L489" s="148"/>
    </row>
    <row r="490">
      <c r="A490" s="148"/>
      <c r="B490" s="148"/>
      <c r="C490" s="148"/>
      <c r="D490" s="148"/>
      <c r="E490" s="148"/>
      <c r="F490" s="148"/>
      <c r="G490" s="148"/>
      <c r="H490" s="148"/>
      <c r="I490" s="148"/>
      <c r="J490" s="148"/>
      <c r="K490" s="148"/>
      <c r="L490" s="148"/>
    </row>
    <row r="491">
      <c r="A491" s="148"/>
      <c r="B491" s="148"/>
      <c r="C491" s="148"/>
      <c r="D491" s="148"/>
      <c r="E491" s="148"/>
      <c r="F491" s="148"/>
      <c r="G491" s="148"/>
      <c r="H491" s="148"/>
      <c r="I491" s="148"/>
      <c r="J491" s="148"/>
      <c r="K491" s="148"/>
      <c r="L491" s="148"/>
    </row>
    <row r="492">
      <c r="A492" s="148"/>
      <c r="B492" s="148"/>
      <c r="C492" s="148"/>
      <c r="D492" s="148"/>
      <c r="E492" s="148"/>
      <c r="F492" s="148"/>
      <c r="G492" s="148"/>
      <c r="H492" s="148"/>
      <c r="I492" s="148"/>
      <c r="J492" s="148"/>
      <c r="K492" s="148"/>
      <c r="L492" s="148"/>
    </row>
    <row r="493">
      <c r="A493" s="148"/>
      <c r="B493" s="148"/>
      <c r="C493" s="148"/>
      <c r="D493" s="148"/>
      <c r="E493" s="148"/>
      <c r="F493" s="148"/>
      <c r="G493" s="148"/>
      <c r="H493" s="148"/>
      <c r="I493" s="148"/>
      <c r="J493" s="148"/>
      <c r="K493" s="148"/>
      <c r="L493" s="148"/>
    </row>
    <row r="494">
      <c r="A494" s="148"/>
      <c r="B494" s="148"/>
      <c r="C494" s="148"/>
      <c r="D494" s="148"/>
      <c r="E494" s="148"/>
      <c r="F494" s="148"/>
      <c r="G494" s="148"/>
      <c r="H494" s="148"/>
      <c r="I494" s="148"/>
      <c r="J494" s="148"/>
      <c r="K494" s="148"/>
      <c r="L494" s="148"/>
    </row>
    <row r="495">
      <c r="A495" s="148"/>
      <c r="B495" s="148"/>
      <c r="C495" s="148"/>
      <c r="D495" s="148"/>
      <c r="E495" s="148"/>
      <c r="F495" s="148"/>
      <c r="G495" s="148"/>
      <c r="H495" s="148"/>
      <c r="I495" s="148"/>
      <c r="J495" s="148"/>
      <c r="K495" s="148"/>
      <c r="L495" s="148"/>
    </row>
    <row r="496">
      <c r="A496" s="148"/>
      <c r="B496" s="148"/>
      <c r="C496" s="148"/>
      <c r="D496" s="148"/>
      <c r="E496" s="148"/>
      <c r="F496" s="148"/>
      <c r="G496" s="148"/>
      <c r="H496" s="148"/>
      <c r="I496" s="148"/>
      <c r="J496" s="148"/>
      <c r="K496" s="148"/>
      <c r="L496" s="148"/>
    </row>
    <row r="497">
      <c r="A497" s="148"/>
      <c r="B497" s="148"/>
      <c r="C497" s="148"/>
      <c r="D497" s="148"/>
      <c r="E497" s="148"/>
      <c r="F497" s="148"/>
      <c r="G497" s="148"/>
      <c r="H497" s="148"/>
      <c r="I497" s="148"/>
      <c r="J497" s="148"/>
      <c r="K497" s="148"/>
      <c r="L497" s="148"/>
    </row>
    <row r="498">
      <c r="A498" s="148"/>
      <c r="B498" s="148"/>
      <c r="C498" s="148"/>
      <c r="D498" s="148"/>
      <c r="E498" s="148"/>
      <c r="F498" s="148"/>
      <c r="G498" s="148"/>
      <c r="H498" s="148"/>
      <c r="I498" s="148"/>
      <c r="J498" s="148"/>
      <c r="K498" s="148"/>
      <c r="L498" s="148"/>
    </row>
    <row r="499">
      <c r="A499" s="148"/>
      <c r="B499" s="148"/>
      <c r="C499" s="148"/>
      <c r="D499" s="148"/>
      <c r="E499" s="148"/>
      <c r="F499" s="148"/>
      <c r="G499" s="148"/>
      <c r="H499" s="148"/>
      <c r="I499" s="148"/>
      <c r="J499" s="148"/>
      <c r="K499" s="148"/>
      <c r="L499" s="148"/>
    </row>
    <row r="500">
      <c r="A500" s="148"/>
      <c r="B500" s="148"/>
      <c r="C500" s="148"/>
      <c r="D500" s="148"/>
      <c r="E500" s="148"/>
      <c r="F500" s="148"/>
      <c r="G500" s="148"/>
      <c r="H500" s="148"/>
      <c r="I500" s="148"/>
      <c r="J500" s="148"/>
      <c r="K500" s="148"/>
      <c r="L500" s="148"/>
    </row>
    <row r="501">
      <c r="A501" s="148"/>
      <c r="B501" s="148"/>
      <c r="C501" s="148"/>
      <c r="D501" s="148"/>
      <c r="E501" s="148"/>
      <c r="F501" s="148"/>
      <c r="G501" s="148"/>
      <c r="H501" s="148"/>
      <c r="I501" s="148"/>
      <c r="J501" s="148"/>
      <c r="K501" s="148"/>
      <c r="L501" s="148"/>
    </row>
    <row r="502">
      <c r="A502" s="148"/>
      <c r="B502" s="148"/>
      <c r="C502" s="148"/>
      <c r="D502" s="148"/>
      <c r="E502" s="148"/>
      <c r="F502" s="148"/>
      <c r="G502" s="148"/>
      <c r="H502" s="148"/>
      <c r="I502" s="148"/>
      <c r="J502" s="148"/>
      <c r="K502" s="148"/>
      <c r="L502" s="148"/>
    </row>
    <row r="503">
      <c r="A503" s="148"/>
      <c r="B503" s="148"/>
      <c r="C503" s="148"/>
      <c r="D503" s="148"/>
      <c r="E503" s="148"/>
      <c r="F503" s="148"/>
      <c r="G503" s="148"/>
      <c r="H503" s="148"/>
      <c r="I503" s="148"/>
      <c r="J503" s="148"/>
      <c r="K503" s="148"/>
      <c r="L503" s="148"/>
    </row>
    <row r="504">
      <c r="A504" s="148"/>
      <c r="B504" s="148"/>
      <c r="C504" s="148"/>
      <c r="D504" s="148"/>
      <c r="E504" s="148"/>
      <c r="F504" s="148"/>
      <c r="G504" s="148"/>
      <c r="H504" s="148"/>
      <c r="I504" s="148"/>
      <c r="J504" s="148"/>
      <c r="K504" s="148"/>
      <c r="L504" s="148"/>
    </row>
    <row r="505">
      <c r="A505" s="148"/>
      <c r="B505" s="148"/>
      <c r="C505" s="148"/>
      <c r="D505" s="148"/>
      <c r="E505" s="148"/>
      <c r="F505" s="148"/>
      <c r="G505" s="148"/>
      <c r="H505" s="148"/>
      <c r="I505" s="148"/>
      <c r="J505" s="148"/>
      <c r="K505" s="148"/>
      <c r="L505" s="148"/>
    </row>
    <row r="506">
      <c r="A506" s="148"/>
      <c r="B506" s="148"/>
      <c r="C506" s="148"/>
      <c r="D506" s="148"/>
      <c r="E506" s="148"/>
      <c r="F506" s="148"/>
      <c r="G506" s="148"/>
      <c r="H506" s="148"/>
      <c r="I506" s="148"/>
      <c r="J506" s="148"/>
      <c r="K506" s="148"/>
      <c r="L506" s="148"/>
    </row>
    <row r="507">
      <c r="A507" s="148"/>
      <c r="B507" s="148"/>
      <c r="C507" s="148"/>
      <c r="D507" s="148"/>
      <c r="E507" s="148"/>
      <c r="F507" s="148"/>
      <c r="G507" s="148"/>
      <c r="H507" s="148"/>
      <c r="I507" s="148"/>
      <c r="J507" s="148"/>
      <c r="K507" s="148"/>
      <c r="L507" s="148"/>
    </row>
    <row r="508">
      <c r="A508" s="148"/>
      <c r="B508" s="148"/>
      <c r="C508" s="148"/>
      <c r="D508" s="148"/>
      <c r="E508" s="148"/>
      <c r="F508" s="148"/>
      <c r="G508" s="148"/>
      <c r="H508" s="148"/>
      <c r="I508" s="148"/>
      <c r="J508" s="148"/>
      <c r="K508" s="148"/>
      <c r="L508" s="148"/>
    </row>
    <row r="509">
      <c r="A509" s="148"/>
      <c r="B509" s="148"/>
      <c r="C509" s="148"/>
      <c r="D509" s="148"/>
      <c r="E509" s="148"/>
      <c r="F509" s="148"/>
      <c r="G509" s="148"/>
      <c r="H509" s="148"/>
      <c r="I509" s="148"/>
      <c r="J509" s="148"/>
      <c r="K509" s="148"/>
      <c r="L509" s="148"/>
    </row>
    <row r="510">
      <c r="A510" s="148"/>
      <c r="B510" s="148"/>
      <c r="C510" s="148"/>
      <c r="D510" s="148"/>
      <c r="E510" s="148"/>
      <c r="F510" s="148"/>
      <c r="G510" s="148"/>
      <c r="H510" s="148"/>
      <c r="I510" s="148"/>
      <c r="J510" s="148"/>
      <c r="K510" s="148"/>
      <c r="L510" s="148"/>
    </row>
    <row r="511">
      <c r="A511" s="148"/>
      <c r="B511" s="148"/>
      <c r="C511" s="148"/>
      <c r="D511" s="148"/>
      <c r="E511" s="148"/>
      <c r="F511" s="148"/>
      <c r="G511" s="148"/>
      <c r="H511" s="148"/>
      <c r="I511" s="148"/>
      <c r="J511" s="148"/>
      <c r="K511" s="148"/>
      <c r="L511" s="148"/>
    </row>
    <row r="512">
      <c r="A512" s="148"/>
      <c r="B512" s="148"/>
      <c r="C512" s="148"/>
      <c r="D512" s="148"/>
      <c r="E512" s="148"/>
      <c r="F512" s="148"/>
      <c r="G512" s="148"/>
      <c r="H512" s="148"/>
      <c r="I512" s="148"/>
      <c r="J512" s="148"/>
      <c r="K512" s="148"/>
      <c r="L512" s="148"/>
    </row>
    <row r="513">
      <c r="A513" s="148"/>
      <c r="B513" s="148"/>
      <c r="C513" s="148"/>
      <c r="D513" s="148"/>
      <c r="E513" s="148"/>
      <c r="F513" s="148"/>
      <c r="G513" s="148"/>
      <c r="H513" s="148"/>
      <c r="I513" s="148"/>
      <c r="J513" s="148"/>
      <c r="K513" s="148"/>
      <c r="L513" s="148"/>
    </row>
    <row r="514">
      <c r="A514" s="148"/>
      <c r="B514" s="148"/>
      <c r="C514" s="148"/>
      <c r="D514" s="148"/>
      <c r="E514" s="148"/>
      <c r="F514" s="148"/>
      <c r="G514" s="148"/>
      <c r="H514" s="148"/>
      <c r="I514" s="148"/>
      <c r="J514" s="148"/>
      <c r="K514" s="148"/>
      <c r="L514" s="148"/>
    </row>
    <row r="515">
      <c r="A515" s="148"/>
      <c r="B515" s="148"/>
      <c r="C515" s="148"/>
      <c r="D515" s="148"/>
      <c r="E515" s="148"/>
      <c r="F515" s="148"/>
      <c r="G515" s="148"/>
      <c r="H515" s="148"/>
      <c r="I515" s="148"/>
      <c r="J515" s="148"/>
      <c r="K515" s="148"/>
      <c r="L515" s="148"/>
    </row>
    <row r="516">
      <c r="A516" s="148"/>
      <c r="B516" s="148"/>
      <c r="C516" s="148"/>
      <c r="D516" s="148"/>
      <c r="E516" s="148"/>
      <c r="F516" s="148"/>
      <c r="G516" s="148"/>
      <c r="H516" s="148"/>
      <c r="I516" s="148"/>
      <c r="J516" s="148"/>
      <c r="K516" s="148"/>
      <c r="L516" s="148"/>
    </row>
    <row r="517">
      <c r="A517" s="148"/>
      <c r="B517" s="148"/>
      <c r="C517" s="148"/>
      <c r="D517" s="148"/>
      <c r="E517" s="148"/>
      <c r="F517" s="148"/>
      <c r="G517" s="148"/>
      <c r="H517" s="148"/>
      <c r="I517" s="148"/>
      <c r="J517" s="148"/>
      <c r="K517" s="148"/>
      <c r="L517" s="148"/>
    </row>
    <row r="518">
      <c r="A518" s="148"/>
      <c r="B518" s="148"/>
      <c r="C518" s="148"/>
      <c r="D518" s="148"/>
      <c r="E518" s="148"/>
      <c r="F518" s="148"/>
      <c r="G518" s="148"/>
      <c r="H518" s="148"/>
      <c r="I518" s="148"/>
      <c r="J518" s="148"/>
      <c r="K518" s="148"/>
      <c r="L518" s="148"/>
    </row>
    <row r="519">
      <c r="A519" s="148"/>
      <c r="B519" s="148"/>
      <c r="C519" s="148"/>
      <c r="D519" s="148"/>
      <c r="E519" s="148"/>
      <c r="F519" s="148"/>
      <c r="G519" s="148"/>
      <c r="H519" s="148"/>
      <c r="I519" s="148"/>
      <c r="J519" s="148"/>
      <c r="K519" s="148"/>
      <c r="L519" s="148"/>
    </row>
    <row r="520">
      <c r="A520" s="148"/>
      <c r="B520" s="148"/>
      <c r="C520" s="148"/>
      <c r="D520" s="148"/>
      <c r="E520" s="148"/>
      <c r="F520" s="148"/>
      <c r="G520" s="148"/>
      <c r="H520" s="148"/>
      <c r="I520" s="148"/>
      <c r="J520" s="148"/>
      <c r="K520" s="148"/>
      <c r="L520" s="148"/>
    </row>
    <row r="521">
      <c r="A521" s="148"/>
      <c r="B521" s="148"/>
      <c r="C521" s="148"/>
      <c r="D521" s="148"/>
      <c r="E521" s="148"/>
      <c r="F521" s="148"/>
      <c r="G521" s="148"/>
      <c r="H521" s="148"/>
      <c r="I521" s="148"/>
      <c r="J521" s="148"/>
      <c r="K521" s="148"/>
      <c r="L521" s="148"/>
    </row>
    <row r="522">
      <c r="A522" s="148"/>
      <c r="B522" s="148"/>
      <c r="C522" s="148"/>
      <c r="D522" s="148"/>
      <c r="E522" s="148"/>
      <c r="F522" s="148"/>
      <c r="G522" s="148"/>
      <c r="H522" s="148"/>
      <c r="I522" s="148"/>
      <c r="J522" s="148"/>
      <c r="K522" s="148"/>
      <c r="L522" s="148"/>
    </row>
    <row r="523">
      <c r="A523" s="148"/>
      <c r="B523" s="148"/>
      <c r="C523" s="148"/>
      <c r="D523" s="148"/>
      <c r="E523" s="148"/>
      <c r="F523" s="148"/>
      <c r="G523" s="148"/>
      <c r="H523" s="148"/>
      <c r="I523" s="148"/>
      <c r="J523" s="148"/>
      <c r="K523" s="148"/>
      <c r="L523" s="148"/>
    </row>
    <row r="524">
      <c r="A524" s="148"/>
      <c r="B524" s="148"/>
      <c r="C524" s="148"/>
      <c r="D524" s="148"/>
      <c r="E524" s="148"/>
      <c r="F524" s="148"/>
      <c r="G524" s="148"/>
      <c r="H524" s="148"/>
      <c r="I524" s="148"/>
      <c r="J524" s="148"/>
      <c r="K524" s="148"/>
      <c r="L524" s="148"/>
    </row>
    <row r="525">
      <c r="A525" s="148"/>
      <c r="B525" s="148"/>
      <c r="C525" s="148"/>
      <c r="D525" s="148"/>
      <c r="E525" s="148"/>
      <c r="F525" s="148"/>
      <c r="G525" s="148"/>
      <c r="H525" s="148"/>
      <c r="I525" s="148"/>
      <c r="J525" s="148"/>
      <c r="K525" s="148"/>
      <c r="L525" s="148"/>
    </row>
    <row r="526">
      <c r="A526" s="148"/>
      <c r="B526" s="148"/>
      <c r="C526" s="148"/>
      <c r="D526" s="148"/>
      <c r="E526" s="148"/>
      <c r="F526" s="148"/>
      <c r="G526" s="148"/>
      <c r="H526" s="148"/>
      <c r="I526" s="148"/>
      <c r="J526" s="148"/>
      <c r="K526" s="148"/>
      <c r="L526" s="148"/>
    </row>
    <row r="527">
      <c r="A527" s="148"/>
      <c r="B527" s="148"/>
      <c r="C527" s="148"/>
      <c r="D527" s="148"/>
      <c r="E527" s="148"/>
      <c r="F527" s="148"/>
      <c r="G527" s="148"/>
      <c r="H527" s="148"/>
      <c r="I527" s="148"/>
      <c r="J527" s="148"/>
      <c r="K527" s="148"/>
      <c r="L527" s="148"/>
    </row>
    <row r="528">
      <c r="A528" s="148"/>
      <c r="B528" s="148"/>
      <c r="C528" s="148"/>
      <c r="D528" s="148"/>
      <c r="E528" s="148"/>
      <c r="F528" s="148"/>
      <c r="G528" s="148"/>
      <c r="H528" s="148"/>
      <c r="I528" s="148"/>
      <c r="J528" s="148"/>
      <c r="K528" s="148"/>
      <c r="L528" s="148"/>
    </row>
    <row r="529">
      <c r="A529" s="148"/>
      <c r="B529" s="148"/>
      <c r="C529" s="148"/>
      <c r="D529" s="148"/>
      <c r="E529" s="148"/>
      <c r="F529" s="148"/>
      <c r="G529" s="148"/>
      <c r="H529" s="148"/>
      <c r="I529" s="148"/>
      <c r="J529" s="148"/>
      <c r="K529" s="148"/>
      <c r="L529" s="148"/>
    </row>
    <row r="530">
      <c r="A530" s="148"/>
      <c r="B530" s="148"/>
      <c r="C530" s="148"/>
      <c r="D530" s="148"/>
      <c r="E530" s="148"/>
      <c r="F530" s="148"/>
      <c r="G530" s="148"/>
      <c r="H530" s="148"/>
      <c r="I530" s="148"/>
      <c r="J530" s="148"/>
      <c r="K530" s="148"/>
      <c r="L530" s="148"/>
    </row>
    <row r="531">
      <c r="A531" s="148"/>
      <c r="B531" s="148"/>
      <c r="C531" s="148"/>
      <c r="D531" s="148"/>
      <c r="E531" s="148"/>
      <c r="F531" s="148"/>
      <c r="G531" s="148"/>
      <c r="H531" s="148"/>
      <c r="I531" s="148"/>
      <c r="J531" s="148"/>
      <c r="K531" s="148"/>
      <c r="L531" s="148"/>
    </row>
    <row r="532">
      <c r="A532" s="148"/>
      <c r="B532" s="148"/>
      <c r="C532" s="148"/>
      <c r="D532" s="148"/>
      <c r="E532" s="148"/>
      <c r="F532" s="148"/>
      <c r="G532" s="148"/>
      <c r="H532" s="148"/>
      <c r="I532" s="148"/>
      <c r="J532" s="148"/>
      <c r="K532" s="148"/>
      <c r="L532" s="148"/>
    </row>
    <row r="533">
      <c r="A533" s="148"/>
      <c r="B533" s="148"/>
      <c r="C533" s="148"/>
      <c r="D533" s="148"/>
      <c r="E533" s="148"/>
      <c r="F533" s="148"/>
      <c r="G533" s="148"/>
      <c r="H533" s="148"/>
      <c r="I533" s="148"/>
      <c r="J533" s="148"/>
      <c r="K533" s="148"/>
      <c r="L533" s="148"/>
    </row>
    <row r="534">
      <c r="A534" s="148"/>
      <c r="B534" s="148"/>
      <c r="C534" s="148"/>
      <c r="D534" s="148"/>
      <c r="E534" s="148"/>
      <c r="F534" s="148"/>
      <c r="G534" s="148"/>
      <c r="H534" s="148"/>
      <c r="I534" s="148"/>
      <c r="J534" s="148"/>
      <c r="K534" s="148"/>
      <c r="L534" s="148"/>
    </row>
    <row r="535">
      <c r="A535" s="148"/>
      <c r="B535" s="148"/>
      <c r="C535" s="148"/>
      <c r="D535" s="148"/>
      <c r="E535" s="148"/>
      <c r="F535" s="148"/>
      <c r="G535" s="148"/>
      <c r="H535" s="148"/>
      <c r="I535" s="148"/>
      <c r="J535" s="148"/>
      <c r="K535" s="148"/>
      <c r="L535" s="148"/>
    </row>
    <row r="536">
      <c r="A536" s="148"/>
      <c r="B536" s="148"/>
      <c r="C536" s="148"/>
      <c r="D536" s="148"/>
      <c r="E536" s="148"/>
      <c r="F536" s="148"/>
      <c r="G536" s="148"/>
      <c r="H536" s="148"/>
      <c r="I536" s="148"/>
      <c r="J536" s="148"/>
      <c r="K536" s="148"/>
      <c r="L536" s="148"/>
    </row>
    <row r="537">
      <c r="A537" s="148"/>
      <c r="B537" s="148"/>
      <c r="C537" s="148"/>
      <c r="D537" s="148"/>
      <c r="E537" s="148"/>
      <c r="F537" s="148"/>
      <c r="G537" s="148"/>
      <c r="H537" s="148"/>
      <c r="I537" s="148"/>
      <c r="J537" s="148"/>
      <c r="K537" s="148"/>
      <c r="L537" s="148"/>
    </row>
    <row r="538">
      <c r="A538" s="148"/>
      <c r="B538" s="148"/>
      <c r="C538" s="148"/>
      <c r="D538" s="148"/>
      <c r="E538" s="148"/>
      <c r="F538" s="148"/>
      <c r="G538" s="148"/>
      <c r="H538" s="148"/>
      <c r="I538" s="148"/>
      <c r="J538" s="148"/>
      <c r="K538" s="148"/>
      <c r="L538" s="148"/>
    </row>
    <row r="539">
      <c r="A539" s="148"/>
      <c r="B539" s="148"/>
      <c r="C539" s="148"/>
      <c r="D539" s="148"/>
      <c r="E539" s="148"/>
      <c r="F539" s="148"/>
      <c r="G539" s="148"/>
      <c r="H539" s="148"/>
      <c r="I539" s="148"/>
      <c r="J539" s="148"/>
      <c r="K539" s="148"/>
      <c r="L539" s="148"/>
    </row>
    <row r="540">
      <c r="A540" s="148"/>
      <c r="B540" s="148"/>
      <c r="C540" s="148"/>
      <c r="D540" s="148"/>
      <c r="E540" s="148"/>
      <c r="F540" s="148"/>
      <c r="G540" s="148"/>
      <c r="H540" s="148"/>
      <c r="I540" s="148"/>
      <c r="J540" s="148"/>
      <c r="K540" s="148"/>
      <c r="L540" s="148"/>
    </row>
    <row r="541">
      <c r="A541" s="148"/>
      <c r="B541" s="148"/>
      <c r="C541" s="148"/>
      <c r="D541" s="148"/>
      <c r="E541" s="148"/>
      <c r="F541" s="148"/>
      <c r="G541" s="148"/>
      <c r="H541" s="148"/>
      <c r="I541" s="148"/>
      <c r="J541" s="148"/>
      <c r="K541" s="148"/>
      <c r="L541" s="148"/>
    </row>
    <row r="542">
      <c r="A542" s="148"/>
      <c r="B542" s="148"/>
      <c r="C542" s="148"/>
      <c r="D542" s="148"/>
      <c r="E542" s="148"/>
      <c r="F542" s="148"/>
      <c r="G542" s="148"/>
      <c r="H542" s="148"/>
      <c r="I542" s="148"/>
      <c r="J542" s="148"/>
      <c r="K542" s="148"/>
      <c r="L542" s="148"/>
    </row>
    <row r="543">
      <c r="A543" s="148"/>
      <c r="B543" s="148"/>
      <c r="C543" s="148"/>
      <c r="D543" s="148"/>
      <c r="E543" s="148"/>
      <c r="F543" s="148"/>
      <c r="G543" s="148"/>
      <c r="H543" s="148"/>
      <c r="I543" s="148"/>
      <c r="J543" s="148"/>
      <c r="K543" s="148"/>
      <c r="L543" s="148"/>
    </row>
    <row r="544">
      <c r="A544" s="148"/>
      <c r="B544" s="148"/>
      <c r="C544" s="148"/>
      <c r="D544" s="148"/>
      <c r="E544" s="148"/>
      <c r="F544" s="148"/>
      <c r="G544" s="148"/>
      <c r="H544" s="148"/>
      <c r="I544" s="148"/>
      <c r="J544" s="148"/>
      <c r="K544" s="148"/>
      <c r="L544" s="148"/>
    </row>
    <row r="545">
      <c r="A545" s="148"/>
      <c r="B545" s="148"/>
      <c r="C545" s="148"/>
      <c r="D545" s="148"/>
      <c r="E545" s="148"/>
      <c r="F545" s="148"/>
      <c r="G545" s="148"/>
      <c r="H545" s="148"/>
      <c r="I545" s="148"/>
      <c r="J545" s="148"/>
      <c r="K545" s="148"/>
      <c r="L545" s="148"/>
    </row>
    <row r="546">
      <c r="A546" s="148"/>
      <c r="B546" s="148"/>
      <c r="C546" s="148"/>
      <c r="D546" s="148"/>
      <c r="E546" s="148"/>
      <c r="F546" s="148"/>
      <c r="G546" s="148"/>
      <c r="H546" s="148"/>
      <c r="I546" s="148"/>
      <c r="J546" s="148"/>
      <c r="K546" s="148"/>
      <c r="L546" s="148"/>
    </row>
    <row r="547">
      <c r="A547" s="148"/>
      <c r="B547" s="148"/>
      <c r="C547" s="148"/>
      <c r="D547" s="148"/>
      <c r="E547" s="148"/>
      <c r="F547" s="148"/>
      <c r="G547" s="148"/>
      <c r="H547" s="148"/>
      <c r="I547" s="148"/>
      <c r="J547" s="148"/>
      <c r="K547" s="148"/>
      <c r="L547" s="148"/>
    </row>
    <row r="548">
      <c r="A548" s="148"/>
      <c r="B548" s="148"/>
      <c r="C548" s="148"/>
      <c r="D548" s="148"/>
      <c r="E548" s="148"/>
      <c r="F548" s="148"/>
      <c r="G548" s="148"/>
      <c r="H548" s="148"/>
      <c r="I548" s="148"/>
      <c r="J548" s="148"/>
      <c r="K548" s="148"/>
      <c r="L548" s="148"/>
    </row>
    <row r="549">
      <c r="A549" s="148"/>
      <c r="B549" s="148"/>
      <c r="C549" s="148"/>
      <c r="D549" s="148"/>
      <c r="E549" s="148"/>
      <c r="F549" s="148"/>
      <c r="G549" s="148"/>
      <c r="H549" s="148"/>
      <c r="I549" s="148"/>
      <c r="J549" s="148"/>
      <c r="K549" s="148"/>
      <c r="L549" s="148"/>
    </row>
    <row r="550">
      <c r="A550" s="148"/>
      <c r="B550" s="148"/>
      <c r="C550" s="148"/>
      <c r="D550" s="148"/>
      <c r="E550" s="148"/>
      <c r="F550" s="148"/>
      <c r="G550" s="148"/>
      <c r="H550" s="148"/>
      <c r="I550" s="148"/>
      <c r="J550" s="148"/>
      <c r="K550" s="148"/>
      <c r="L550" s="148"/>
    </row>
    <row r="551">
      <c r="A551" s="148"/>
      <c r="B551" s="148"/>
      <c r="C551" s="148"/>
      <c r="D551" s="148"/>
      <c r="E551" s="148"/>
      <c r="F551" s="148"/>
      <c r="G551" s="148"/>
      <c r="H551" s="148"/>
      <c r="I551" s="148"/>
      <c r="J551" s="148"/>
      <c r="K551" s="148"/>
      <c r="L551" s="148"/>
    </row>
    <row r="552">
      <c r="A552" s="148"/>
      <c r="B552" s="148"/>
      <c r="C552" s="148"/>
      <c r="D552" s="148"/>
      <c r="E552" s="148"/>
      <c r="F552" s="148"/>
      <c r="G552" s="148"/>
      <c r="H552" s="148"/>
      <c r="I552" s="148"/>
      <c r="J552" s="148"/>
      <c r="K552" s="148"/>
      <c r="L552" s="148"/>
    </row>
    <row r="553">
      <c r="A553" s="148"/>
      <c r="B553" s="148"/>
      <c r="C553" s="148"/>
      <c r="D553" s="148"/>
      <c r="E553" s="148"/>
      <c r="F553" s="148"/>
      <c r="G553" s="148"/>
      <c r="H553" s="148"/>
      <c r="I553" s="148"/>
      <c r="J553" s="148"/>
      <c r="K553" s="148"/>
      <c r="L553" s="148"/>
    </row>
    <row r="554">
      <c r="A554" s="148"/>
      <c r="B554" s="148"/>
      <c r="C554" s="148"/>
      <c r="D554" s="148"/>
      <c r="E554" s="148"/>
      <c r="F554" s="148"/>
      <c r="G554" s="148"/>
      <c r="H554" s="148"/>
      <c r="I554" s="148"/>
      <c r="J554" s="148"/>
      <c r="K554" s="148"/>
      <c r="L554" s="148"/>
    </row>
    <row r="555">
      <c r="A555" s="148"/>
      <c r="B555" s="148"/>
      <c r="C555" s="148"/>
      <c r="D555" s="148"/>
      <c r="E555" s="148"/>
      <c r="F555" s="148"/>
      <c r="G555" s="148"/>
      <c r="H555" s="148"/>
      <c r="I555" s="148"/>
      <c r="J555" s="148"/>
      <c r="K555" s="148"/>
      <c r="L555" s="148"/>
    </row>
    <row r="556">
      <c r="A556" s="148"/>
      <c r="B556" s="148"/>
      <c r="C556" s="148"/>
      <c r="D556" s="148"/>
      <c r="E556" s="148"/>
      <c r="F556" s="148"/>
      <c r="G556" s="148"/>
      <c r="H556" s="148"/>
      <c r="I556" s="148"/>
      <c r="J556" s="148"/>
      <c r="K556" s="148"/>
      <c r="L556" s="148"/>
    </row>
    <row r="557">
      <c r="A557" s="148"/>
      <c r="B557" s="148"/>
      <c r="C557" s="148"/>
      <c r="D557" s="148"/>
      <c r="E557" s="148"/>
      <c r="F557" s="148"/>
      <c r="G557" s="148"/>
      <c r="H557" s="148"/>
      <c r="I557" s="148"/>
      <c r="J557" s="148"/>
      <c r="K557" s="148"/>
      <c r="L557" s="148"/>
    </row>
    <row r="558">
      <c r="A558" s="148"/>
      <c r="B558" s="148"/>
      <c r="C558" s="148"/>
      <c r="D558" s="148"/>
      <c r="E558" s="148"/>
      <c r="F558" s="148"/>
      <c r="G558" s="148"/>
      <c r="H558" s="148"/>
      <c r="I558" s="148"/>
      <c r="J558" s="148"/>
      <c r="K558" s="148"/>
      <c r="L558" s="148"/>
    </row>
    <row r="559">
      <c r="A559" s="148"/>
      <c r="B559" s="148"/>
      <c r="C559" s="148"/>
      <c r="D559" s="148"/>
      <c r="E559" s="148"/>
      <c r="F559" s="148"/>
      <c r="G559" s="148"/>
      <c r="H559" s="148"/>
      <c r="I559" s="148"/>
      <c r="J559" s="148"/>
      <c r="K559" s="148"/>
      <c r="L559" s="148"/>
    </row>
    <row r="560">
      <c r="A560" s="148"/>
      <c r="B560" s="148"/>
      <c r="C560" s="148"/>
      <c r="D560" s="148"/>
      <c r="E560" s="148"/>
      <c r="F560" s="148"/>
      <c r="G560" s="148"/>
      <c r="H560" s="148"/>
      <c r="I560" s="148"/>
      <c r="J560" s="148"/>
      <c r="K560" s="148"/>
      <c r="L560" s="148"/>
    </row>
    <row r="561">
      <c r="A561" s="148"/>
      <c r="B561" s="148"/>
      <c r="C561" s="148"/>
      <c r="D561" s="148"/>
      <c r="E561" s="148"/>
      <c r="F561" s="148"/>
      <c r="G561" s="148"/>
      <c r="H561" s="148"/>
      <c r="I561" s="148"/>
      <c r="J561" s="148"/>
      <c r="K561" s="148"/>
      <c r="L561" s="148"/>
    </row>
    <row r="562">
      <c r="A562" s="148"/>
      <c r="B562" s="148"/>
      <c r="C562" s="148"/>
      <c r="D562" s="148"/>
      <c r="E562" s="148"/>
      <c r="F562" s="148"/>
      <c r="G562" s="148"/>
      <c r="H562" s="148"/>
      <c r="I562" s="148"/>
      <c r="J562" s="148"/>
      <c r="K562" s="148"/>
      <c r="L562" s="148"/>
    </row>
    <row r="563">
      <c r="A563" s="148"/>
      <c r="B563" s="148"/>
      <c r="C563" s="148"/>
      <c r="D563" s="148"/>
      <c r="E563" s="148"/>
      <c r="F563" s="148"/>
      <c r="G563" s="148"/>
      <c r="H563" s="148"/>
      <c r="I563" s="148"/>
      <c r="J563" s="148"/>
      <c r="K563" s="148"/>
      <c r="L563" s="148"/>
    </row>
    <row r="564">
      <c r="A564" s="148"/>
      <c r="B564" s="148"/>
      <c r="C564" s="148"/>
      <c r="D564" s="148"/>
      <c r="E564" s="148"/>
      <c r="F564" s="148"/>
      <c r="G564" s="148"/>
      <c r="H564" s="148"/>
      <c r="I564" s="148"/>
      <c r="J564" s="148"/>
      <c r="K564" s="148"/>
      <c r="L564" s="148"/>
    </row>
    <row r="565">
      <c r="A565" s="148"/>
      <c r="B565" s="148"/>
      <c r="C565" s="148"/>
      <c r="D565" s="148"/>
      <c r="E565" s="148"/>
      <c r="F565" s="148"/>
      <c r="G565" s="148"/>
      <c r="H565" s="148"/>
      <c r="I565" s="148"/>
      <c r="J565" s="148"/>
      <c r="K565" s="148"/>
      <c r="L565" s="148"/>
    </row>
    <row r="566">
      <c r="A566" s="148"/>
      <c r="B566" s="148"/>
      <c r="C566" s="148"/>
      <c r="D566" s="148"/>
      <c r="E566" s="148"/>
      <c r="F566" s="148"/>
      <c r="G566" s="148"/>
      <c r="H566" s="148"/>
      <c r="I566" s="148"/>
      <c r="J566" s="148"/>
      <c r="K566" s="148"/>
      <c r="L566" s="148"/>
    </row>
    <row r="567">
      <c r="A567" s="148"/>
      <c r="B567" s="148"/>
      <c r="C567" s="148"/>
      <c r="D567" s="148"/>
      <c r="E567" s="148"/>
      <c r="F567" s="148"/>
      <c r="G567" s="148"/>
      <c r="H567" s="148"/>
      <c r="I567" s="148"/>
      <c r="J567" s="148"/>
      <c r="K567" s="148"/>
      <c r="L567" s="148"/>
    </row>
    <row r="568">
      <c r="A568" s="148"/>
      <c r="B568" s="148"/>
      <c r="C568" s="148"/>
      <c r="D568" s="148"/>
      <c r="E568" s="148"/>
      <c r="F568" s="148"/>
      <c r="G568" s="148"/>
      <c r="H568" s="148"/>
      <c r="I568" s="148"/>
      <c r="J568" s="148"/>
      <c r="K568" s="148"/>
      <c r="L568" s="148"/>
    </row>
    <row r="569">
      <c r="A569" s="148"/>
      <c r="B569" s="148"/>
      <c r="C569" s="148"/>
      <c r="D569" s="148"/>
      <c r="E569" s="148"/>
      <c r="F569" s="148"/>
      <c r="G569" s="148"/>
      <c r="H569" s="148"/>
      <c r="I569" s="148"/>
      <c r="J569" s="148"/>
      <c r="K569" s="148"/>
      <c r="L569" s="148"/>
    </row>
    <row r="570">
      <c r="A570" s="148"/>
      <c r="B570" s="148"/>
      <c r="C570" s="148"/>
      <c r="D570" s="148"/>
      <c r="E570" s="148"/>
      <c r="F570" s="148"/>
      <c r="G570" s="148"/>
      <c r="H570" s="148"/>
      <c r="I570" s="148"/>
      <c r="J570" s="148"/>
      <c r="K570" s="148"/>
      <c r="L570" s="148"/>
    </row>
    <row r="571">
      <c r="A571" s="148"/>
      <c r="B571" s="148"/>
      <c r="C571" s="148"/>
      <c r="D571" s="148"/>
      <c r="E571" s="148"/>
      <c r="F571" s="148"/>
      <c r="G571" s="148"/>
      <c r="H571" s="148"/>
      <c r="I571" s="148"/>
      <c r="J571" s="148"/>
      <c r="K571" s="148"/>
      <c r="L571" s="148"/>
    </row>
    <row r="572">
      <c r="A572" s="148"/>
      <c r="B572" s="148"/>
      <c r="C572" s="148"/>
      <c r="D572" s="148"/>
      <c r="E572" s="148"/>
      <c r="F572" s="148"/>
      <c r="G572" s="148"/>
      <c r="H572" s="148"/>
      <c r="I572" s="148"/>
      <c r="J572" s="148"/>
      <c r="K572" s="148"/>
      <c r="L572" s="148"/>
    </row>
    <row r="573">
      <c r="A573" s="148"/>
      <c r="B573" s="148"/>
      <c r="C573" s="148"/>
      <c r="D573" s="148"/>
      <c r="E573" s="148"/>
      <c r="F573" s="148"/>
      <c r="G573" s="148"/>
      <c r="H573" s="148"/>
      <c r="I573" s="148"/>
      <c r="J573" s="148"/>
      <c r="K573" s="148"/>
      <c r="L573" s="148"/>
    </row>
    <row r="574">
      <c r="A574" s="148"/>
      <c r="B574" s="148"/>
      <c r="C574" s="148"/>
      <c r="D574" s="148"/>
      <c r="E574" s="148"/>
      <c r="F574" s="148"/>
      <c r="G574" s="148"/>
      <c r="H574" s="148"/>
      <c r="I574" s="148"/>
      <c r="J574" s="148"/>
      <c r="K574" s="148"/>
      <c r="L574" s="148"/>
    </row>
    <row r="575">
      <c r="A575" s="148"/>
      <c r="B575" s="148"/>
      <c r="C575" s="148"/>
      <c r="D575" s="148"/>
      <c r="E575" s="148"/>
      <c r="F575" s="148"/>
      <c r="G575" s="148"/>
      <c r="H575" s="148"/>
      <c r="I575" s="148"/>
      <c r="J575" s="148"/>
      <c r="K575" s="148"/>
      <c r="L575" s="148"/>
    </row>
    <row r="576">
      <c r="A576" s="148"/>
      <c r="B576" s="148"/>
      <c r="C576" s="148"/>
      <c r="D576" s="148"/>
      <c r="E576" s="148"/>
      <c r="F576" s="148"/>
      <c r="G576" s="148"/>
      <c r="H576" s="148"/>
      <c r="I576" s="148"/>
      <c r="J576" s="148"/>
      <c r="K576" s="148"/>
      <c r="L576" s="148"/>
    </row>
    <row r="577">
      <c r="A577" s="148"/>
      <c r="B577" s="148"/>
      <c r="C577" s="148"/>
      <c r="D577" s="148"/>
      <c r="E577" s="148"/>
      <c r="F577" s="148"/>
      <c r="G577" s="148"/>
      <c r="H577" s="148"/>
      <c r="I577" s="148"/>
      <c r="J577" s="148"/>
      <c r="K577" s="148"/>
      <c r="L577" s="148"/>
    </row>
    <row r="578">
      <c r="A578" s="148"/>
      <c r="B578" s="148"/>
      <c r="C578" s="148"/>
      <c r="D578" s="148"/>
      <c r="E578" s="148"/>
      <c r="F578" s="148"/>
      <c r="G578" s="148"/>
      <c r="H578" s="148"/>
      <c r="I578" s="148"/>
      <c r="J578" s="148"/>
      <c r="K578" s="148"/>
      <c r="L578" s="148"/>
    </row>
    <row r="579">
      <c r="A579" s="148"/>
      <c r="B579" s="148"/>
      <c r="C579" s="148"/>
      <c r="D579" s="148"/>
      <c r="E579" s="148"/>
      <c r="F579" s="148"/>
      <c r="G579" s="148"/>
      <c r="H579" s="148"/>
      <c r="I579" s="148"/>
      <c r="J579" s="148"/>
      <c r="K579" s="148"/>
      <c r="L579" s="148"/>
    </row>
    <row r="580">
      <c r="A580" s="148"/>
      <c r="B580" s="148"/>
      <c r="C580" s="148"/>
      <c r="D580" s="148"/>
      <c r="E580" s="148"/>
      <c r="F580" s="148"/>
      <c r="G580" s="148"/>
      <c r="H580" s="148"/>
      <c r="I580" s="148"/>
      <c r="J580" s="148"/>
      <c r="K580" s="148"/>
      <c r="L580" s="148"/>
    </row>
    <row r="581">
      <c r="A581" s="148"/>
      <c r="B581" s="148"/>
      <c r="C581" s="148"/>
      <c r="D581" s="148"/>
      <c r="E581" s="148"/>
      <c r="F581" s="148"/>
      <c r="G581" s="148"/>
      <c r="H581" s="148"/>
      <c r="I581" s="148"/>
      <c r="J581" s="148"/>
      <c r="K581" s="148"/>
      <c r="L581" s="148"/>
    </row>
    <row r="582">
      <c r="A582" s="148"/>
      <c r="B582" s="148"/>
      <c r="C582" s="148"/>
      <c r="D582" s="148"/>
      <c r="E582" s="148"/>
      <c r="F582" s="148"/>
      <c r="G582" s="148"/>
      <c r="H582" s="148"/>
      <c r="I582" s="148"/>
      <c r="J582" s="148"/>
      <c r="K582" s="148"/>
      <c r="L582" s="148"/>
    </row>
    <row r="583">
      <c r="A583" s="148"/>
      <c r="B583" s="148"/>
      <c r="C583" s="148"/>
      <c r="D583" s="148"/>
      <c r="E583" s="148"/>
      <c r="F583" s="148"/>
      <c r="G583" s="148"/>
      <c r="H583" s="148"/>
      <c r="I583" s="148"/>
      <c r="J583" s="148"/>
      <c r="K583" s="148"/>
      <c r="L583" s="148"/>
    </row>
    <row r="584">
      <c r="A584" s="148"/>
      <c r="B584" s="148"/>
      <c r="C584" s="148"/>
      <c r="D584" s="148"/>
      <c r="E584" s="148"/>
      <c r="F584" s="148"/>
      <c r="G584" s="148"/>
      <c r="H584" s="148"/>
      <c r="I584" s="148"/>
      <c r="J584" s="148"/>
      <c r="K584" s="148"/>
      <c r="L584" s="148"/>
    </row>
    <row r="585">
      <c r="A585" s="148"/>
      <c r="B585" s="148"/>
      <c r="C585" s="148"/>
      <c r="D585" s="148"/>
      <c r="E585" s="148"/>
      <c r="F585" s="148"/>
      <c r="G585" s="148"/>
      <c r="H585" s="148"/>
      <c r="I585" s="148"/>
      <c r="J585" s="148"/>
      <c r="K585" s="148"/>
      <c r="L585" s="148"/>
    </row>
    <row r="586">
      <c r="A586" s="148"/>
      <c r="B586" s="148"/>
      <c r="C586" s="148"/>
      <c r="D586" s="148"/>
      <c r="E586" s="148"/>
      <c r="F586" s="148"/>
      <c r="G586" s="148"/>
      <c r="H586" s="148"/>
      <c r="I586" s="148"/>
      <c r="J586" s="148"/>
      <c r="K586" s="148"/>
      <c r="L586" s="148"/>
    </row>
    <row r="587">
      <c r="A587" s="148"/>
      <c r="B587" s="148"/>
      <c r="C587" s="148"/>
      <c r="D587" s="148"/>
      <c r="E587" s="148"/>
      <c r="F587" s="148"/>
      <c r="G587" s="148"/>
      <c r="H587" s="148"/>
      <c r="I587" s="148"/>
      <c r="J587" s="148"/>
      <c r="K587" s="148"/>
      <c r="L587" s="148"/>
    </row>
    <row r="588">
      <c r="A588" s="148"/>
      <c r="B588" s="148"/>
      <c r="C588" s="148"/>
      <c r="D588" s="148"/>
      <c r="E588" s="148"/>
      <c r="F588" s="148"/>
      <c r="G588" s="148"/>
      <c r="H588" s="148"/>
      <c r="I588" s="148"/>
      <c r="J588" s="148"/>
      <c r="K588" s="148"/>
      <c r="L588" s="148"/>
    </row>
    <row r="589">
      <c r="A589" s="148"/>
      <c r="B589" s="148"/>
      <c r="C589" s="148"/>
      <c r="D589" s="148"/>
      <c r="E589" s="148"/>
      <c r="F589" s="148"/>
      <c r="G589" s="148"/>
      <c r="H589" s="148"/>
      <c r="I589" s="148"/>
      <c r="J589" s="148"/>
      <c r="K589" s="148"/>
      <c r="L589" s="148"/>
    </row>
    <row r="590">
      <c r="A590" s="148"/>
      <c r="B590" s="148"/>
      <c r="C590" s="148"/>
      <c r="D590" s="148"/>
      <c r="E590" s="148"/>
      <c r="F590" s="148"/>
      <c r="G590" s="148"/>
      <c r="H590" s="148"/>
      <c r="I590" s="148"/>
      <c r="J590" s="148"/>
      <c r="K590" s="148"/>
      <c r="L590" s="148"/>
    </row>
    <row r="591">
      <c r="A591" s="148"/>
      <c r="B591" s="148"/>
      <c r="C591" s="148"/>
      <c r="D591" s="148"/>
      <c r="E591" s="148"/>
      <c r="F591" s="148"/>
      <c r="G591" s="148"/>
      <c r="H591" s="148"/>
      <c r="I591" s="148"/>
      <c r="J591" s="148"/>
      <c r="K591" s="148"/>
      <c r="L591" s="148"/>
    </row>
    <row r="592">
      <c r="A592" s="148"/>
      <c r="B592" s="148"/>
      <c r="C592" s="148"/>
      <c r="D592" s="148"/>
      <c r="E592" s="148"/>
      <c r="F592" s="148"/>
      <c r="G592" s="148"/>
      <c r="H592" s="148"/>
      <c r="I592" s="148"/>
      <c r="J592" s="148"/>
      <c r="K592" s="148"/>
      <c r="L592" s="148"/>
    </row>
    <row r="593">
      <c r="A593" s="148"/>
      <c r="B593" s="148"/>
      <c r="C593" s="148"/>
      <c r="D593" s="148"/>
      <c r="E593" s="148"/>
      <c r="F593" s="148"/>
      <c r="G593" s="148"/>
      <c r="H593" s="148"/>
      <c r="I593" s="148"/>
      <c r="J593" s="148"/>
      <c r="K593" s="148"/>
      <c r="L593" s="148"/>
    </row>
    <row r="594">
      <c r="A594" s="148"/>
      <c r="B594" s="148"/>
      <c r="C594" s="148"/>
      <c r="D594" s="148"/>
      <c r="E594" s="148"/>
      <c r="F594" s="148"/>
      <c r="G594" s="148"/>
      <c r="H594" s="148"/>
      <c r="I594" s="148"/>
      <c r="J594" s="148"/>
      <c r="K594" s="148"/>
      <c r="L594" s="148"/>
    </row>
    <row r="595">
      <c r="A595" s="148"/>
      <c r="B595" s="148"/>
      <c r="C595" s="148"/>
      <c r="D595" s="148"/>
      <c r="E595" s="148"/>
      <c r="F595" s="148"/>
      <c r="G595" s="148"/>
      <c r="H595" s="148"/>
      <c r="I595" s="148"/>
      <c r="J595" s="148"/>
      <c r="K595" s="148"/>
      <c r="L595" s="148"/>
    </row>
    <row r="596">
      <c r="A596" s="148"/>
      <c r="B596" s="148"/>
      <c r="C596" s="148"/>
      <c r="D596" s="148"/>
      <c r="E596" s="148"/>
      <c r="F596" s="148"/>
      <c r="G596" s="148"/>
      <c r="H596" s="148"/>
      <c r="I596" s="148"/>
      <c r="J596" s="148"/>
      <c r="K596" s="148"/>
      <c r="L596" s="148"/>
    </row>
    <row r="597">
      <c r="A597" s="148"/>
      <c r="B597" s="148"/>
      <c r="C597" s="148"/>
      <c r="D597" s="148"/>
      <c r="E597" s="148"/>
      <c r="F597" s="148"/>
      <c r="G597" s="148"/>
      <c r="H597" s="148"/>
      <c r="I597" s="148"/>
      <c r="J597" s="148"/>
      <c r="K597" s="148"/>
      <c r="L597" s="148"/>
    </row>
    <row r="598">
      <c r="A598" s="148"/>
      <c r="B598" s="148"/>
      <c r="C598" s="148"/>
      <c r="D598" s="148"/>
      <c r="E598" s="148"/>
      <c r="F598" s="148"/>
      <c r="G598" s="148"/>
      <c r="H598" s="148"/>
      <c r="I598" s="148"/>
      <c r="J598" s="148"/>
      <c r="K598" s="148"/>
      <c r="L598" s="148"/>
    </row>
    <row r="599">
      <c r="A599" s="148"/>
      <c r="B599" s="148"/>
      <c r="C599" s="148"/>
      <c r="D599" s="148"/>
      <c r="E599" s="148"/>
      <c r="F599" s="148"/>
      <c r="G599" s="148"/>
      <c r="H599" s="148"/>
      <c r="I599" s="148"/>
      <c r="J599" s="148"/>
      <c r="K599" s="148"/>
      <c r="L599" s="148"/>
    </row>
    <row r="600">
      <c r="A600" s="148"/>
      <c r="B600" s="148"/>
      <c r="C600" s="148"/>
      <c r="D600" s="148"/>
      <c r="E600" s="148"/>
      <c r="F600" s="148"/>
      <c r="G600" s="148"/>
      <c r="H600" s="148"/>
      <c r="I600" s="148"/>
      <c r="J600" s="148"/>
      <c r="K600" s="148"/>
      <c r="L600" s="148"/>
    </row>
    <row r="601">
      <c r="A601" s="148"/>
      <c r="B601" s="148"/>
      <c r="C601" s="148"/>
      <c r="D601" s="148"/>
      <c r="E601" s="148"/>
      <c r="F601" s="148"/>
      <c r="G601" s="148"/>
      <c r="H601" s="148"/>
      <c r="I601" s="148"/>
      <c r="J601" s="148"/>
      <c r="K601" s="148"/>
      <c r="L601" s="148"/>
    </row>
    <row r="602">
      <c r="A602" s="148"/>
      <c r="B602" s="148"/>
      <c r="C602" s="148"/>
      <c r="D602" s="148"/>
      <c r="E602" s="148"/>
      <c r="F602" s="148"/>
      <c r="G602" s="148"/>
      <c r="H602" s="148"/>
      <c r="I602" s="148"/>
      <c r="J602" s="148"/>
      <c r="K602" s="148"/>
      <c r="L602" s="148"/>
    </row>
    <row r="603">
      <c r="A603" s="148"/>
      <c r="B603" s="148"/>
      <c r="C603" s="148"/>
      <c r="D603" s="148"/>
      <c r="E603" s="148"/>
      <c r="F603" s="148"/>
      <c r="G603" s="148"/>
      <c r="H603" s="148"/>
      <c r="I603" s="148"/>
      <c r="J603" s="148"/>
      <c r="K603" s="148"/>
      <c r="L603" s="148"/>
    </row>
    <row r="604">
      <c r="A604" s="148"/>
      <c r="B604" s="148"/>
      <c r="C604" s="148"/>
      <c r="D604" s="148"/>
      <c r="E604" s="148"/>
      <c r="F604" s="148"/>
      <c r="G604" s="148"/>
      <c r="H604" s="148"/>
      <c r="I604" s="148"/>
      <c r="J604" s="148"/>
      <c r="K604" s="148"/>
      <c r="L604" s="148"/>
    </row>
    <row r="605">
      <c r="A605" s="148"/>
      <c r="B605" s="148"/>
      <c r="C605" s="148"/>
      <c r="D605" s="148"/>
      <c r="E605" s="148"/>
      <c r="F605" s="148"/>
      <c r="G605" s="148"/>
      <c r="H605" s="148"/>
      <c r="I605" s="148"/>
      <c r="J605" s="148"/>
      <c r="K605" s="148"/>
      <c r="L605" s="148"/>
    </row>
    <row r="606">
      <c r="A606" s="148"/>
      <c r="B606" s="148"/>
      <c r="C606" s="148"/>
      <c r="D606" s="148"/>
      <c r="E606" s="148"/>
      <c r="F606" s="148"/>
      <c r="G606" s="148"/>
      <c r="H606" s="148"/>
      <c r="I606" s="148"/>
      <c r="J606" s="148"/>
      <c r="K606" s="148"/>
      <c r="L606" s="148"/>
    </row>
    <row r="607">
      <c r="A607" s="148"/>
      <c r="B607" s="148"/>
      <c r="C607" s="148"/>
      <c r="D607" s="148"/>
      <c r="E607" s="148"/>
      <c r="F607" s="148"/>
      <c r="G607" s="148"/>
      <c r="H607" s="148"/>
      <c r="I607" s="148"/>
      <c r="J607" s="148"/>
      <c r="K607" s="148"/>
      <c r="L607" s="148"/>
    </row>
    <row r="608">
      <c r="A608" s="148"/>
      <c r="B608" s="148"/>
      <c r="C608" s="148"/>
      <c r="D608" s="148"/>
      <c r="E608" s="148"/>
      <c r="F608" s="148"/>
      <c r="G608" s="148"/>
      <c r="H608" s="148"/>
      <c r="I608" s="148"/>
      <c r="J608" s="148"/>
      <c r="K608" s="148"/>
      <c r="L608" s="148"/>
    </row>
    <row r="609">
      <c r="A609" s="148"/>
      <c r="B609" s="148"/>
      <c r="C609" s="148"/>
      <c r="D609" s="148"/>
      <c r="E609" s="148"/>
      <c r="F609" s="148"/>
      <c r="G609" s="148"/>
      <c r="H609" s="148"/>
      <c r="I609" s="148"/>
      <c r="J609" s="148"/>
      <c r="K609" s="148"/>
      <c r="L609" s="148"/>
    </row>
    <row r="610">
      <c r="A610" s="148"/>
      <c r="B610" s="148"/>
      <c r="C610" s="148"/>
      <c r="D610" s="148"/>
      <c r="E610" s="148"/>
      <c r="F610" s="148"/>
      <c r="G610" s="148"/>
      <c r="H610" s="148"/>
      <c r="I610" s="148"/>
      <c r="J610" s="148"/>
      <c r="K610" s="148"/>
      <c r="L610" s="148"/>
    </row>
    <row r="611">
      <c r="A611" s="148"/>
      <c r="B611" s="148"/>
      <c r="C611" s="148"/>
      <c r="D611" s="148"/>
      <c r="E611" s="148"/>
      <c r="F611" s="148"/>
      <c r="G611" s="148"/>
      <c r="H611" s="148"/>
      <c r="I611" s="148"/>
      <c r="J611" s="148"/>
      <c r="K611" s="148"/>
      <c r="L611" s="148"/>
    </row>
    <row r="612">
      <c r="A612" s="148"/>
      <c r="B612" s="148"/>
      <c r="C612" s="148"/>
      <c r="D612" s="148"/>
      <c r="E612" s="148"/>
      <c r="F612" s="148"/>
      <c r="G612" s="148"/>
      <c r="H612" s="148"/>
      <c r="I612" s="148"/>
      <c r="J612" s="148"/>
      <c r="K612" s="148"/>
      <c r="L612" s="148"/>
    </row>
    <row r="613">
      <c r="A613" s="148"/>
      <c r="B613" s="148"/>
      <c r="C613" s="148"/>
      <c r="D613" s="148"/>
      <c r="E613" s="148"/>
      <c r="F613" s="148"/>
      <c r="G613" s="148"/>
      <c r="H613" s="148"/>
      <c r="I613" s="148"/>
      <c r="J613" s="148"/>
      <c r="K613" s="148"/>
      <c r="L613" s="148"/>
    </row>
    <row r="614">
      <c r="A614" s="148"/>
      <c r="B614" s="148"/>
      <c r="C614" s="148"/>
      <c r="D614" s="148"/>
      <c r="E614" s="148"/>
      <c r="F614" s="148"/>
      <c r="G614" s="148"/>
      <c r="H614" s="148"/>
      <c r="I614" s="148"/>
      <c r="J614" s="148"/>
      <c r="K614" s="148"/>
      <c r="L614" s="148"/>
    </row>
    <row r="615">
      <c r="A615" s="148"/>
      <c r="B615" s="148"/>
      <c r="C615" s="148"/>
      <c r="D615" s="148"/>
      <c r="E615" s="148"/>
      <c r="F615" s="148"/>
      <c r="G615" s="148"/>
      <c r="H615" s="148"/>
      <c r="I615" s="148"/>
      <c r="J615" s="148"/>
      <c r="K615" s="148"/>
      <c r="L615" s="148"/>
    </row>
    <row r="616">
      <c r="A616" s="148"/>
      <c r="B616" s="148"/>
      <c r="C616" s="148"/>
      <c r="D616" s="148"/>
      <c r="E616" s="148"/>
      <c r="F616" s="148"/>
      <c r="G616" s="148"/>
      <c r="H616" s="148"/>
      <c r="I616" s="148"/>
      <c r="J616" s="148"/>
      <c r="K616" s="148"/>
      <c r="L616" s="148"/>
    </row>
    <row r="617">
      <c r="A617" s="148"/>
      <c r="B617" s="148"/>
      <c r="C617" s="148"/>
      <c r="D617" s="148"/>
      <c r="E617" s="148"/>
      <c r="F617" s="148"/>
      <c r="G617" s="148"/>
      <c r="H617" s="148"/>
      <c r="I617" s="148"/>
      <c r="J617" s="148"/>
      <c r="K617" s="148"/>
      <c r="L617" s="148"/>
    </row>
    <row r="618">
      <c r="A618" s="148"/>
      <c r="B618" s="148"/>
      <c r="C618" s="148"/>
      <c r="D618" s="148"/>
      <c r="E618" s="148"/>
      <c r="F618" s="148"/>
      <c r="G618" s="148"/>
      <c r="H618" s="148"/>
      <c r="I618" s="148"/>
      <c r="J618" s="148"/>
      <c r="K618" s="148"/>
      <c r="L618" s="148"/>
    </row>
    <row r="619">
      <c r="A619" s="148"/>
      <c r="B619" s="148"/>
      <c r="C619" s="148"/>
      <c r="D619" s="148"/>
      <c r="E619" s="148"/>
      <c r="F619" s="148"/>
      <c r="G619" s="148"/>
      <c r="H619" s="148"/>
      <c r="I619" s="148"/>
      <c r="J619" s="148"/>
      <c r="K619" s="148"/>
      <c r="L619" s="148"/>
    </row>
    <row r="620">
      <c r="A620" s="148"/>
      <c r="B620" s="148"/>
      <c r="C620" s="148"/>
      <c r="D620" s="148"/>
      <c r="E620" s="148"/>
      <c r="F620" s="148"/>
      <c r="G620" s="148"/>
      <c r="H620" s="148"/>
      <c r="I620" s="148"/>
      <c r="J620" s="148"/>
      <c r="K620" s="148"/>
      <c r="L620" s="148"/>
    </row>
    <row r="621">
      <c r="A621" s="148"/>
      <c r="B621" s="148"/>
      <c r="C621" s="148"/>
      <c r="D621" s="148"/>
      <c r="E621" s="148"/>
      <c r="F621" s="148"/>
      <c r="G621" s="148"/>
      <c r="H621" s="148"/>
      <c r="I621" s="148"/>
      <c r="J621" s="148"/>
      <c r="K621" s="148"/>
      <c r="L621" s="148"/>
    </row>
    <row r="622">
      <c r="A622" s="148"/>
      <c r="B622" s="148"/>
      <c r="C622" s="148"/>
      <c r="D622" s="148"/>
      <c r="E622" s="148"/>
      <c r="F622" s="148"/>
      <c r="G622" s="148"/>
      <c r="H622" s="148"/>
      <c r="I622" s="148"/>
      <c r="J622" s="148"/>
      <c r="K622" s="148"/>
      <c r="L622" s="148"/>
    </row>
    <row r="623">
      <c r="A623" s="148"/>
      <c r="B623" s="148"/>
      <c r="C623" s="148"/>
      <c r="D623" s="148"/>
      <c r="E623" s="148"/>
      <c r="F623" s="148"/>
      <c r="G623" s="148"/>
      <c r="H623" s="148"/>
      <c r="I623" s="148"/>
      <c r="J623" s="148"/>
      <c r="K623" s="148"/>
      <c r="L623" s="148"/>
    </row>
    <row r="624">
      <c r="A624" s="148"/>
      <c r="B624" s="148"/>
      <c r="C624" s="148"/>
      <c r="D624" s="148"/>
      <c r="E624" s="148"/>
      <c r="F624" s="148"/>
      <c r="G624" s="148"/>
      <c r="H624" s="148"/>
      <c r="I624" s="148"/>
      <c r="J624" s="148"/>
      <c r="K624" s="148"/>
      <c r="L624" s="148"/>
    </row>
    <row r="625">
      <c r="A625" s="148"/>
      <c r="B625" s="148"/>
      <c r="C625" s="148"/>
      <c r="D625" s="148"/>
      <c r="E625" s="148"/>
      <c r="F625" s="148"/>
      <c r="G625" s="148"/>
      <c r="H625" s="148"/>
      <c r="I625" s="148"/>
      <c r="J625" s="148"/>
      <c r="K625" s="148"/>
      <c r="L625" s="148"/>
    </row>
    <row r="626">
      <c r="A626" s="148"/>
      <c r="B626" s="148"/>
      <c r="C626" s="148"/>
      <c r="D626" s="148"/>
      <c r="E626" s="148"/>
      <c r="F626" s="148"/>
      <c r="G626" s="148"/>
      <c r="H626" s="148"/>
      <c r="I626" s="148"/>
      <c r="J626" s="148"/>
      <c r="K626" s="148"/>
      <c r="L626" s="148"/>
    </row>
    <row r="627">
      <c r="A627" s="148"/>
      <c r="B627" s="148"/>
      <c r="C627" s="148"/>
      <c r="D627" s="148"/>
      <c r="E627" s="148"/>
      <c r="F627" s="148"/>
      <c r="G627" s="148"/>
      <c r="H627" s="148"/>
      <c r="I627" s="148"/>
      <c r="J627" s="148"/>
      <c r="K627" s="148"/>
      <c r="L627" s="148"/>
    </row>
    <row r="628">
      <c r="A628" s="148"/>
      <c r="B628" s="148"/>
      <c r="C628" s="148"/>
      <c r="D628" s="148"/>
      <c r="E628" s="148"/>
      <c r="F628" s="148"/>
      <c r="G628" s="148"/>
      <c r="H628" s="148"/>
      <c r="I628" s="148"/>
      <c r="J628" s="148"/>
      <c r="K628" s="148"/>
      <c r="L628" s="148"/>
    </row>
    <row r="629">
      <c r="A629" s="148"/>
      <c r="B629" s="148"/>
      <c r="C629" s="148"/>
      <c r="D629" s="148"/>
      <c r="E629" s="148"/>
      <c r="F629" s="148"/>
      <c r="G629" s="148"/>
      <c r="H629" s="148"/>
      <c r="I629" s="148"/>
      <c r="J629" s="148"/>
      <c r="K629" s="148"/>
      <c r="L629" s="148"/>
    </row>
    <row r="630">
      <c r="A630" s="148"/>
      <c r="B630" s="148"/>
      <c r="C630" s="148"/>
      <c r="D630" s="148"/>
      <c r="E630" s="148"/>
      <c r="F630" s="148"/>
      <c r="G630" s="148"/>
      <c r="H630" s="148"/>
      <c r="I630" s="148"/>
      <c r="J630" s="148"/>
      <c r="K630" s="148"/>
      <c r="L630" s="148"/>
    </row>
    <row r="631">
      <c r="A631" s="148"/>
      <c r="B631" s="148"/>
      <c r="C631" s="148"/>
      <c r="D631" s="148"/>
      <c r="E631" s="148"/>
      <c r="F631" s="148"/>
      <c r="G631" s="148"/>
      <c r="H631" s="148"/>
      <c r="I631" s="148"/>
      <c r="J631" s="148"/>
      <c r="K631" s="148"/>
      <c r="L631" s="148"/>
    </row>
    <row r="632">
      <c r="A632" s="148"/>
      <c r="B632" s="148"/>
      <c r="C632" s="148"/>
      <c r="D632" s="148"/>
      <c r="E632" s="148"/>
      <c r="F632" s="148"/>
      <c r="G632" s="148"/>
      <c r="H632" s="148"/>
      <c r="I632" s="148"/>
      <c r="J632" s="148"/>
      <c r="K632" s="148"/>
      <c r="L632" s="148"/>
    </row>
    <row r="633">
      <c r="A633" s="148"/>
      <c r="B633" s="148"/>
      <c r="C633" s="148"/>
      <c r="D633" s="148"/>
      <c r="E633" s="148"/>
      <c r="F633" s="148"/>
      <c r="G633" s="148"/>
      <c r="H633" s="148"/>
      <c r="I633" s="148"/>
      <c r="J633" s="148"/>
      <c r="K633" s="148"/>
      <c r="L633" s="148"/>
    </row>
    <row r="634">
      <c r="A634" s="148"/>
      <c r="B634" s="148"/>
      <c r="C634" s="148"/>
      <c r="D634" s="148"/>
      <c r="E634" s="148"/>
      <c r="F634" s="148"/>
      <c r="G634" s="148"/>
      <c r="H634" s="148"/>
      <c r="I634" s="148"/>
      <c r="J634" s="148"/>
      <c r="K634" s="148"/>
      <c r="L634" s="148"/>
    </row>
    <row r="635">
      <c r="A635" s="148"/>
      <c r="B635" s="148"/>
      <c r="C635" s="148"/>
      <c r="D635" s="148"/>
      <c r="E635" s="148"/>
      <c r="F635" s="148"/>
      <c r="G635" s="148"/>
      <c r="H635" s="148"/>
      <c r="I635" s="148"/>
      <c r="J635" s="148"/>
      <c r="K635" s="148"/>
      <c r="L635" s="148"/>
    </row>
    <row r="636">
      <c r="A636" s="148"/>
      <c r="B636" s="148"/>
      <c r="C636" s="148"/>
      <c r="D636" s="148"/>
      <c r="E636" s="148"/>
      <c r="F636" s="148"/>
      <c r="G636" s="148"/>
      <c r="H636" s="148"/>
      <c r="I636" s="148"/>
      <c r="J636" s="148"/>
      <c r="K636" s="148"/>
      <c r="L636" s="148"/>
    </row>
    <row r="637">
      <c r="A637" s="148"/>
      <c r="B637" s="148"/>
      <c r="C637" s="148"/>
      <c r="D637" s="148"/>
      <c r="E637" s="148"/>
      <c r="F637" s="148"/>
      <c r="G637" s="148"/>
      <c r="H637" s="148"/>
      <c r="I637" s="148"/>
      <c r="J637" s="148"/>
      <c r="K637" s="148"/>
      <c r="L637" s="148"/>
    </row>
    <row r="638">
      <c r="A638" s="148"/>
      <c r="B638" s="148"/>
      <c r="C638" s="148"/>
      <c r="D638" s="148"/>
      <c r="E638" s="148"/>
      <c r="F638" s="148"/>
      <c r="G638" s="148"/>
      <c r="H638" s="148"/>
      <c r="I638" s="148"/>
      <c r="J638" s="148"/>
      <c r="K638" s="148"/>
      <c r="L638" s="148"/>
    </row>
    <row r="639">
      <c r="A639" s="148"/>
      <c r="B639" s="148"/>
      <c r="C639" s="148"/>
      <c r="D639" s="148"/>
      <c r="E639" s="148"/>
      <c r="F639" s="148"/>
      <c r="G639" s="148"/>
      <c r="H639" s="148"/>
      <c r="I639" s="148"/>
      <c r="J639" s="148"/>
      <c r="K639" s="148"/>
      <c r="L639" s="148"/>
    </row>
    <row r="640">
      <c r="A640" s="148"/>
      <c r="B640" s="148"/>
      <c r="C640" s="148"/>
      <c r="D640" s="148"/>
      <c r="E640" s="148"/>
      <c r="F640" s="148"/>
      <c r="G640" s="148"/>
      <c r="H640" s="148"/>
      <c r="I640" s="148"/>
      <c r="J640" s="148"/>
      <c r="K640" s="148"/>
      <c r="L640" s="148"/>
    </row>
    <row r="641">
      <c r="A641" s="148"/>
      <c r="B641" s="148"/>
      <c r="C641" s="148"/>
      <c r="D641" s="148"/>
      <c r="E641" s="148"/>
      <c r="F641" s="148"/>
      <c r="G641" s="148"/>
      <c r="H641" s="148"/>
      <c r="I641" s="148"/>
      <c r="J641" s="148"/>
      <c r="K641" s="148"/>
      <c r="L641" s="148"/>
    </row>
    <row r="642">
      <c r="A642" s="148"/>
      <c r="B642" s="148"/>
      <c r="C642" s="148"/>
      <c r="D642" s="148"/>
      <c r="E642" s="148"/>
      <c r="F642" s="148"/>
      <c r="G642" s="148"/>
      <c r="H642" s="148"/>
      <c r="I642" s="148"/>
      <c r="J642" s="148"/>
      <c r="K642" s="148"/>
      <c r="L642" s="148"/>
    </row>
    <row r="643">
      <c r="A643" s="148"/>
      <c r="B643" s="148"/>
      <c r="C643" s="148"/>
      <c r="D643" s="148"/>
      <c r="E643" s="148"/>
      <c r="F643" s="148"/>
      <c r="G643" s="148"/>
      <c r="H643" s="148"/>
      <c r="I643" s="148"/>
      <c r="J643" s="148"/>
      <c r="K643" s="148"/>
      <c r="L643" s="148"/>
    </row>
    <row r="644">
      <c r="A644" s="148"/>
      <c r="B644" s="148"/>
      <c r="C644" s="148"/>
      <c r="D644" s="148"/>
      <c r="E644" s="148"/>
      <c r="F644" s="148"/>
      <c r="G644" s="148"/>
      <c r="H644" s="148"/>
      <c r="I644" s="148"/>
      <c r="J644" s="148"/>
      <c r="K644" s="148"/>
      <c r="L644" s="148"/>
    </row>
    <row r="645">
      <c r="A645" s="148"/>
      <c r="B645" s="148"/>
      <c r="C645" s="148"/>
      <c r="D645" s="148"/>
      <c r="E645" s="148"/>
      <c r="F645" s="148"/>
      <c r="G645" s="148"/>
      <c r="H645" s="148"/>
      <c r="I645" s="148"/>
      <c r="J645" s="148"/>
      <c r="K645" s="148"/>
      <c r="L645" s="148"/>
    </row>
    <row r="646">
      <c r="A646" s="148"/>
      <c r="B646" s="148"/>
      <c r="C646" s="148"/>
      <c r="D646" s="148"/>
      <c r="E646" s="148"/>
      <c r="F646" s="148"/>
      <c r="G646" s="148"/>
      <c r="H646" s="148"/>
      <c r="I646" s="148"/>
      <c r="J646" s="148"/>
      <c r="K646" s="148"/>
      <c r="L646" s="148"/>
    </row>
    <row r="647">
      <c r="A647" s="148"/>
      <c r="B647" s="148"/>
      <c r="C647" s="148"/>
      <c r="D647" s="148"/>
      <c r="E647" s="148"/>
      <c r="F647" s="148"/>
      <c r="G647" s="148"/>
      <c r="H647" s="148"/>
      <c r="I647" s="148"/>
      <c r="J647" s="148"/>
      <c r="K647" s="148"/>
      <c r="L647" s="148"/>
    </row>
    <row r="648">
      <c r="A648" s="148"/>
      <c r="B648" s="148"/>
      <c r="C648" s="148"/>
      <c r="D648" s="148"/>
      <c r="E648" s="148"/>
      <c r="F648" s="148"/>
      <c r="G648" s="148"/>
      <c r="H648" s="148"/>
      <c r="I648" s="148"/>
      <c r="J648" s="148"/>
      <c r="K648" s="148"/>
      <c r="L648" s="148"/>
    </row>
    <row r="649">
      <c r="A649" s="148"/>
      <c r="B649" s="148"/>
      <c r="C649" s="148"/>
      <c r="D649" s="148"/>
      <c r="E649" s="148"/>
      <c r="F649" s="148"/>
      <c r="G649" s="148"/>
      <c r="H649" s="148"/>
      <c r="I649" s="148"/>
      <c r="J649" s="148"/>
      <c r="K649" s="148"/>
      <c r="L649" s="148"/>
    </row>
    <row r="650">
      <c r="A650" s="148"/>
      <c r="B650" s="148"/>
      <c r="C650" s="148"/>
      <c r="D650" s="148"/>
      <c r="E650" s="148"/>
      <c r="F650" s="148"/>
      <c r="G650" s="148"/>
      <c r="H650" s="148"/>
      <c r="I650" s="148"/>
      <c r="J650" s="148"/>
      <c r="K650" s="148"/>
      <c r="L650" s="148"/>
    </row>
    <row r="651">
      <c r="A651" s="148"/>
      <c r="B651" s="148"/>
      <c r="C651" s="148"/>
      <c r="D651" s="148"/>
      <c r="E651" s="148"/>
      <c r="F651" s="148"/>
      <c r="G651" s="148"/>
      <c r="H651" s="148"/>
      <c r="I651" s="148"/>
      <c r="J651" s="148"/>
      <c r="K651" s="148"/>
      <c r="L651" s="148"/>
    </row>
    <row r="652">
      <c r="A652" s="148"/>
      <c r="B652" s="148"/>
      <c r="C652" s="148"/>
      <c r="D652" s="148"/>
      <c r="E652" s="148"/>
      <c r="F652" s="148"/>
      <c r="G652" s="148"/>
      <c r="H652" s="148"/>
      <c r="I652" s="148"/>
      <c r="J652" s="148"/>
      <c r="K652" s="148"/>
      <c r="L652" s="148"/>
    </row>
    <row r="653">
      <c r="A653" s="148"/>
      <c r="B653" s="148"/>
      <c r="C653" s="148"/>
      <c r="D653" s="148"/>
      <c r="E653" s="148"/>
      <c r="F653" s="148"/>
      <c r="G653" s="148"/>
      <c r="H653" s="148"/>
      <c r="I653" s="148"/>
      <c r="J653" s="148"/>
      <c r="K653" s="148"/>
      <c r="L653" s="148"/>
    </row>
    <row r="654">
      <c r="A654" s="148"/>
      <c r="B654" s="148"/>
      <c r="C654" s="148"/>
      <c r="D654" s="148"/>
      <c r="E654" s="148"/>
      <c r="F654" s="148"/>
      <c r="G654" s="148"/>
      <c r="H654" s="148"/>
      <c r="I654" s="148"/>
      <c r="J654" s="148"/>
      <c r="K654" s="148"/>
      <c r="L654" s="148"/>
    </row>
    <row r="655">
      <c r="A655" s="148"/>
      <c r="B655" s="148"/>
      <c r="C655" s="148"/>
      <c r="D655" s="148"/>
      <c r="E655" s="148"/>
      <c r="F655" s="148"/>
      <c r="G655" s="148"/>
      <c r="H655" s="148"/>
      <c r="I655" s="148"/>
      <c r="J655" s="148"/>
      <c r="K655" s="148"/>
      <c r="L655" s="148"/>
    </row>
    <row r="656">
      <c r="A656" s="148"/>
      <c r="B656" s="148"/>
      <c r="C656" s="148"/>
      <c r="D656" s="148"/>
      <c r="E656" s="148"/>
      <c r="F656" s="148"/>
      <c r="G656" s="148"/>
      <c r="H656" s="148"/>
      <c r="I656" s="148"/>
      <c r="J656" s="148"/>
      <c r="K656" s="148"/>
      <c r="L656" s="148"/>
    </row>
    <row r="657">
      <c r="A657" s="148"/>
      <c r="B657" s="148"/>
      <c r="C657" s="148"/>
      <c r="D657" s="148"/>
      <c r="E657" s="148"/>
      <c r="F657" s="148"/>
      <c r="G657" s="148"/>
      <c r="H657" s="148"/>
      <c r="I657" s="148"/>
      <c r="J657" s="148"/>
      <c r="K657" s="148"/>
      <c r="L657" s="148"/>
    </row>
    <row r="658">
      <c r="A658" s="148"/>
      <c r="B658" s="148"/>
      <c r="C658" s="148"/>
      <c r="D658" s="148"/>
      <c r="E658" s="148"/>
      <c r="F658" s="148"/>
      <c r="G658" s="148"/>
      <c r="H658" s="148"/>
      <c r="I658" s="148"/>
      <c r="J658" s="148"/>
      <c r="K658" s="148"/>
      <c r="L658" s="148"/>
    </row>
    <row r="659">
      <c r="A659" s="148"/>
      <c r="B659" s="148"/>
      <c r="C659" s="148"/>
      <c r="D659" s="148"/>
      <c r="E659" s="148"/>
      <c r="F659" s="148"/>
      <c r="G659" s="148"/>
      <c r="H659" s="148"/>
      <c r="I659" s="148"/>
      <c r="J659" s="148"/>
      <c r="K659" s="148"/>
      <c r="L659" s="148"/>
    </row>
    <row r="660">
      <c r="A660" s="148"/>
      <c r="B660" s="148"/>
      <c r="C660" s="148"/>
      <c r="D660" s="148"/>
      <c r="E660" s="148"/>
      <c r="F660" s="148"/>
      <c r="G660" s="148"/>
      <c r="H660" s="148"/>
      <c r="I660" s="148"/>
      <c r="J660" s="148"/>
      <c r="K660" s="148"/>
      <c r="L660" s="148"/>
    </row>
    <row r="661">
      <c r="A661" s="148"/>
      <c r="B661" s="148"/>
      <c r="C661" s="148"/>
      <c r="D661" s="148"/>
      <c r="E661" s="148"/>
      <c r="F661" s="148"/>
      <c r="G661" s="148"/>
      <c r="H661" s="148"/>
      <c r="I661" s="148"/>
      <c r="J661" s="148"/>
      <c r="K661" s="148"/>
      <c r="L661" s="148"/>
    </row>
    <row r="662">
      <c r="A662" s="148"/>
      <c r="B662" s="148"/>
      <c r="C662" s="148"/>
      <c r="D662" s="148"/>
      <c r="E662" s="148"/>
      <c r="F662" s="148"/>
      <c r="G662" s="148"/>
      <c r="H662" s="148"/>
      <c r="I662" s="148"/>
      <c r="J662" s="148"/>
      <c r="K662" s="148"/>
      <c r="L662" s="148"/>
    </row>
    <row r="663">
      <c r="A663" s="148"/>
      <c r="B663" s="148"/>
      <c r="C663" s="148"/>
      <c r="D663" s="148"/>
      <c r="E663" s="148"/>
      <c r="F663" s="148"/>
      <c r="G663" s="148"/>
      <c r="H663" s="148"/>
      <c r="I663" s="148"/>
      <c r="J663" s="148"/>
      <c r="K663" s="148"/>
      <c r="L663" s="148"/>
    </row>
    <row r="664">
      <c r="A664" s="148"/>
      <c r="B664" s="148"/>
      <c r="C664" s="148"/>
      <c r="D664" s="148"/>
      <c r="E664" s="148"/>
      <c r="F664" s="148"/>
      <c r="G664" s="148"/>
      <c r="H664" s="148"/>
      <c r="I664" s="148"/>
      <c r="J664" s="148"/>
      <c r="K664" s="148"/>
      <c r="L664" s="148"/>
    </row>
    <row r="665">
      <c r="A665" s="148"/>
      <c r="B665" s="148"/>
      <c r="C665" s="148"/>
      <c r="D665" s="148"/>
      <c r="E665" s="148"/>
      <c r="F665" s="148"/>
      <c r="G665" s="148"/>
      <c r="H665" s="148"/>
      <c r="I665" s="148"/>
      <c r="J665" s="148"/>
      <c r="K665" s="148"/>
      <c r="L665" s="148"/>
    </row>
    <row r="666">
      <c r="A666" s="148"/>
      <c r="B666" s="148"/>
      <c r="C666" s="148"/>
      <c r="D666" s="148"/>
      <c r="E666" s="148"/>
      <c r="F666" s="148"/>
      <c r="G666" s="148"/>
      <c r="H666" s="148"/>
      <c r="I666" s="148"/>
      <c r="J666" s="148"/>
      <c r="K666" s="148"/>
      <c r="L666" s="148"/>
    </row>
    <row r="667">
      <c r="A667" s="148"/>
      <c r="B667" s="148"/>
      <c r="C667" s="148"/>
      <c r="D667" s="148"/>
      <c r="E667" s="148"/>
      <c r="F667" s="148"/>
      <c r="G667" s="148"/>
      <c r="H667" s="148"/>
      <c r="I667" s="148"/>
      <c r="J667" s="148"/>
      <c r="K667" s="148"/>
      <c r="L667" s="148"/>
    </row>
    <row r="668">
      <c r="A668" s="148"/>
      <c r="B668" s="148"/>
      <c r="C668" s="148"/>
      <c r="D668" s="148"/>
      <c r="E668" s="148"/>
      <c r="F668" s="148"/>
      <c r="G668" s="148"/>
      <c r="H668" s="148"/>
      <c r="I668" s="148"/>
      <c r="J668" s="148"/>
      <c r="K668" s="148"/>
      <c r="L668" s="148"/>
    </row>
    <row r="669">
      <c r="A669" s="148"/>
      <c r="B669" s="148"/>
      <c r="C669" s="148"/>
      <c r="D669" s="148"/>
      <c r="E669" s="148"/>
      <c r="F669" s="148"/>
      <c r="G669" s="148"/>
      <c r="H669" s="148"/>
      <c r="I669" s="148"/>
      <c r="J669" s="148"/>
      <c r="K669" s="148"/>
      <c r="L669" s="148"/>
    </row>
    <row r="670">
      <c r="A670" s="148"/>
      <c r="B670" s="148"/>
      <c r="C670" s="148"/>
      <c r="D670" s="148"/>
      <c r="E670" s="148"/>
      <c r="F670" s="148"/>
      <c r="G670" s="148"/>
      <c r="H670" s="148"/>
      <c r="I670" s="148"/>
      <c r="J670" s="148"/>
      <c r="K670" s="148"/>
      <c r="L670" s="148"/>
    </row>
    <row r="671">
      <c r="A671" s="148"/>
      <c r="B671" s="148"/>
      <c r="C671" s="148"/>
      <c r="D671" s="148"/>
      <c r="E671" s="148"/>
      <c r="F671" s="148"/>
      <c r="G671" s="148"/>
      <c r="H671" s="148"/>
      <c r="I671" s="148"/>
      <c r="J671" s="148"/>
      <c r="K671" s="148"/>
      <c r="L671" s="148"/>
    </row>
    <row r="672">
      <c r="A672" s="148"/>
      <c r="B672" s="148"/>
      <c r="C672" s="148"/>
      <c r="D672" s="148"/>
      <c r="E672" s="148"/>
      <c r="F672" s="148"/>
      <c r="G672" s="148"/>
      <c r="H672" s="148"/>
      <c r="I672" s="148"/>
      <c r="J672" s="148"/>
      <c r="K672" s="148"/>
      <c r="L672" s="148"/>
    </row>
    <row r="673">
      <c r="A673" s="148"/>
      <c r="B673" s="148"/>
      <c r="C673" s="148"/>
      <c r="D673" s="148"/>
      <c r="E673" s="148"/>
      <c r="F673" s="148"/>
      <c r="G673" s="148"/>
      <c r="H673" s="148"/>
      <c r="I673" s="148"/>
      <c r="J673" s="148"/>
      <c r="K673" s="148"/>
      <c r="L673" s="148"/>
    </row>
    <row r="674">
      <c r="A674" s="148"/>
      <c r="B674" s="148"/>
      <c r="C674" s="148"/>
      <c r="D674" s="148"/>
      <c r="E674" s="148"/>
      <c r="F674" s="148"/>
      <c r="G674" s="148"/>
      <c r="H674" s="148"/>
      <c r="I674" s="148"/>
      <c r="J674" s="148"/>
      <c r="K674" s="148"/>
      <c r="L674" s="148"/>
    </row>
    <row r="675">
      <c r="A675" s="148"/>
      <c r="B675" s="148"/>
      <c r="C675" s="148"/>
      <c r="D675" s="148"/>
      <c r="E675" s="148"/>
      <c r="F675" s="148"/>
      <c r="G675" s="148"/>
      <c r="H675" s="148"/>
      <c r="I675" s="148"/>
      <c r="J675" s="148"/>
      <c r="K675" s="148"/>
      <c r="L675" s="148"/>
    </row>
    <row r="676">
      <c r="A676" s="148"/>
      <c r="B676" s="148"/>
      <c r="C676" s="148"/>
      <c r="D676" s="148"/>
      <c r="E676" s="148"/>
      <c r="F676" s="148"/>
      <c r="G676" s="148"/>
      <c r="H676" s="148"/>
      <c r="I676" s="148"/>
      <c r="J676" s="148"/>
      <c r="K676" s="148"/>
      <c r="L676" s="148"/>
    </row>
    <row r="677">
      <c r="A677" s="148"/>
      <c r="B677" s="148"/>
      <c r="C677" s="148"/>
      <c r="D677" s="148"/>
      <c r="E677" s="148"/>
      <c r="F677" s="148"/>
      <c r="G677" s="148"/>
      <c r="H677" s="148"/>
      <c r="I677" s="148"/>
      <c r="J677" s="148"/>
      <c r="K677" s="148"/>
      <c r="L677" s="148"/>
    </row>
    <row r="678">
      <c r="A678" s="148"/>
      <c r="B678" s="148"/>
      <c r="C678" s="148"/>
      <c r="D678" s="148"/>
      <c r="E678" s="148"/>
      <c r="F678" s="148"/>
      <c r="G678" s="148"/>
      <c r="H678" s="148"/>
      <c r="I678" s="148"/>
      <c r="J678" s="148"/>
      <c r="K678" s="148"/>
      <c r="L678" s="148"/>
    </row>
    <row r="679">
      <c r="A679" s="148"/>
      <c r="B679" s="148"/>
      <c r="C679" s="148"/>
      <c r="D679" s="148"/>
      <c r="E679" s="148"/>
      <c r="F679" s="148"/>
      <c r="G679" s="148"/>
      <c r="H679" s="148"/>
      <c r="I679" s="148"/>
      <c r="J679" s="148"/>
      <c r="K679" s="148"/>
      <c r="L679" s="148"/>
    </row>
    <row r="680">
      <c r="A680" s="148"/>
      <c r="B680" s="148"/>
      <c r="C680" s="148"/>
      <c r="D680" s="148"/>
      <c r="E680" s="148"/>
      <c r="F680" s="148"/>
      <c r="G680" s="148"/>
      <c r="H680" s="148"/>
      <c r="I680" s="148"/>
      <c r="J680" s="148"/>
      <c r="K680" s="148"/>
      <c r="L680" s="148"/>
    </row>
    <row r="681">
      <c r="A681" s="148"/>
      <c r="B681" s="148"/>
      <c r="C681" s="148"/>
      <c r="D681" s="148"/>
      <c r="E681" s="148"/>
      <c r="F681" s="148"/>
      <c r="G681" s="148"/>
      <c r="H681" s="148"/>
      <c r="I681" s="148"/>
      <c r="J681" s="148"/>
      <c r="K681" s="148"/>
      <c r="L681" s="148"/>
    </row>
    <row r="682">
      <c r="A682" s="148"/>
      <c r="B682" s="148"/>
      <c r="C682" s="148"/>
      <c r="D682" s="148"/>
      <c r="E682" s="148"/>
      <c r="F682" s="148"/>
      <c r="G682" s="148"/>
      <c r="H682" s="148"/>
      <c r="I682" s="148"/>
      <c r="J682" s="148"/>
      <c r="K682" s="148"/>
      <c r="L682" s="148"/>
    </row>
    <row r="683">
      <c r="A683" s="148"/>
      <c r="B683" s="148"/>
      <c r="C683" s="148"/>
      <c r="D683" s="148"/>
      <c r="E683" s="148"/>
      <c r="F683" s="148"/>
      <c r="G683" s="148"/>
      <c r="H683" s="148"/>
      <c r="I683" s="148"/>
      <c r="J683" s="148"/>
      <c r="K683" s="148"/>
      <c r="L683" s="148"/>
    </row>
    <row r="684">
      <c r="A684" s="148"/>
      <c r="B684" s="148"/>
      <c r="C684" s="148"/>
      <c r="D684" s="148"/>
      <c r="E684" s="148"/>
      <c r="F684" s="148"/>
      <c r="G684" s="148"/>
      <c r="H684" s="148"/>
      <c r="I684" s="148"/>
      <c r="J684" s="148"/>
      <c r="K684" s="148"/>
      <c r="L684" s="148"/>
    </row>
    <row r="685">
      <c r="A685" s="148"/>
      <c r="B685" s="148"/>
      <c r="C685" s="148"/>
      <c r="D685" s="148"/>
      <c r="E685" s="148"/>
      <c r="F685" s="148"/>
      <c r="G685" s="148"/>
      <c r="H685" s="148"/>
      <c r="I685" s="148"/>
      <c r="J685" s="148"/>
      <c r="K685" s="148"/>
      <c r="L685" s="148"/>
    </row>
    <row r="686">
      <c r="A686" s="148"/>
      <c r="B686" s="148"/>
      <c r="C686" s="148"/>
      <c r="D686" s="148"/>
      <c r="E686" s="148"/>
      <c r="F686" s="148"/>
      <c r="G686" s="148"/>
      <c r="H686" s="148"/>
      <c r="I686" s="148"/>
      <c r="J686" s="148"/>
      <c r="K686" s="148"/>
      <c r="L686" s="148"/>
    </row>
    <row r="687">
      <c r="A687" s="148"/>
      <c r="B687" s="148"/>
      <c r="C687" s="148"/>
      <c r="D687" s="148"/>
      <c r="E687" s="148"/>
      <c r="F687" s="148"/>
      <c r="G687" s="148"/>
      <c r="H687" s="148"/>
      <c r="I687" s="148"/>
      <c r="J687" s="148"/>
      <c r="K687" s="148"/>
      <c r="L687" s="148"/>
    </row>
    <row r="688">
      <c r="A688" s="148"/>
      <c r="B688" s="148"/>
      <c r="C688" s="148"/>
      <c r="D688" s="148"/>
      <c r="E688" s="148"/>
      <c r="F688" s="148"/>
      <c r="G688" s="148"/>
      <c r="H688" s="148"/>
      <c r="I688" s="148"/>
      <c r="J688" s="148"/>
      <c r="K688" s="148"/>
      <c r="L688" s="148"/>
    </row>
    <row r="689">
      <c r="A689" s="148"/>
      <c r="B689" s="148"/>
      <c r="C689" s="148"/>
      <c r="D689" s="148"/>
      <c r="E689" s="148"/>
      <c r="F689" s="148"/>
      <c r="G689" s="148"/>
      <c r="H689" s="148"/>
      <c r="I689" s="148"/>
      <c r="J689" s="148"/>
      <c r="K689" s="148"/>
      <c r="L689" s="148"/>
    </row>
    <row r="690">
      <c r="A690" s="148"/>
      <c r="B690" s="148"/>
      <c r="C690" s="148"/>
      <c r="D690" s="148"/>
      <c r="E690" s="148"/>
      <c r="F690" s="148"/>
      <c r="G690" s="148"/>
      <c r="H690" s="148"/>
      <c r="I690" s="148"/>
      <c r="J690" s="148"/>
      <c r="K690" s="148"/>
      <c r="L690" s="148"/>
    </row>
    <row r="691">
      <c r="A691" s="148"/>
      <c r="B691" s="148"/>
      <c r="C691" s="148"/>
      <c r="D691" s="148"/>
      <c r="E691" s="148"/>
      <c r="F691" s="148"/>
      <c r="G691" s="148"/>
      <c r="H691" s="148"/>
      <c r="I691" s="148"/>
      <c r="J691" s="148"/>
      <c r="K691" s="148"/>
      <c r="L691" s="148"/>
    </row>
    <row r="692">
      <c r="A692" s="148"/>
      <c r="B692" s="148"/>
      <c r="C692" s="148"/>
      <c r="D692" s="148"/>
      <c r="E692" s="148"/>
      <c r="F692" s="148"/>
      <c r="G692" s="148"/>
      <c r="H692" s="148"/>
      <c r="I692" s="148"/>
      <c r="J692" s="148"/>
      <c r="K692" s="148"/>
      <c r="L692" s="148"/>
    </row>
    <row r="693">
      <c r="A693" s="148"/>
      <c r="B693" s="148"/>
      <c r="C693" s="148"/>
      <c r="D693" s="148"/>
      <c r="E693" s="148"/>
      <c r="F693" s="148"/>
      <c r="G693" s="148"/>
      <c r="H693" s="148"/>
      <c r="I693" s="148"/>
      <c r="J693" s="148"/>
      <c r="K693" s="148"/>
      <c r="L693" s="148"/>
    </row>
    <row r="694">
      <c r="A694" s="148"/>
      <c r="B694" s="148"/>
      <c r="C694" s="148"/>
      <c r="D694" s="148"/>
      <c r="E694" s="148"/>
      <c r="F694" s="148"/>
      <c r="G694" s="148"/>
      <c r="H694" s="148"/>
      <c r="I694" s="148"/>
      <c r="J694" s="148"/>
      <c r="K694" s="148"/>
      <c r="L694" s="148"/>
    </row>
    <row r="695">
      <c r="A695" s="148"/>
      <c r="B695" s="148"/>
      <c r="C695" s="148"/>
      <c r="D695" s="148"/>
      <c r="E695" s="148"/>
      <c r="F695" s="148"/>
      <c r="G695" s="148"/>
      <c r="H695" s="148"/>
      <c r="I695" s="148"/>
      <c r="J695" s="148"/>
      <c r="K695" s="148"/>
      <c r="L695" s="148"/>
    </row>
    <row r="696">
      <c r="A696" s="148"/>
      <c r="B696" s="148"/>
      <c r="C696" s="148"/>
      <c r="D696" s="148"/>
      <c r="E696" s="148"/>
      <c r="F696" s="148"/>
      <c r="G696" s="148"/>
      <c r="H696" s="148"/>
      <c r="I696" s="148"/>
      <c r="J696" s="148"/>
      <c r="K696" s="148"/>
      <c r="L696" s="148"/>
    </row>
    <row r="697">
      <c r="A697" s="148"/>
      <c r="B697" s="148"/>
      <c r="C697" s="148"/>
      <c r="D697" s="148"/>
      <c r="E697" s="148"/>
      <c r="F697" s="148"/>
      <c r="G697" s="148"/>
      <c r="H697" s="148"/>
      <c r="I697" s="148"/>
      <c r="J697" s="148"/>
      <c r="K697" s="148"/>
      <c r="L697" s="148"/>
    </row>
    <row r="698">
      <c r="A698" s="148"/>
      <c r="B698" s="148"/>
      <c r="C698" s="148"/>
      <c r="D698" s="148"/>
      <c r="E698" s="148"/>
      <c r="F698" s="148"/>
      <c r="G698" s="148"/>
      <c r="H698" s="148"/>
      <c r="I698" s="148"/>
      <c r="J698" s="148"/>
      <c r="K698" s="148"/>
      <c r="L698" s="148"/>
    </row>
    <row r="699">
      <c r="A699" s="148"/>
      <c r="B699" s="148"/>
      <c r="C699" s="148"/>
      <c r="D699" s="148"/>
      <c r="E699" s="148"/>
      <c r="F699" s="148"/>
      <c r="G699" s="148"/>
      <c r="H699" s="148"/>
      <c r="I699" s="148"/>
      <c r="J699" s="148"/>
      <c r="K699" s="148"/>
      <c r="L699" s="148"/>
    </row>
    <row r="700">
      <c r="A700" s="148"/>
      <c r="B700" s="148"/>
      <c r="C700" s="148"/>
      <c r="D700" s="148"/>
      <c r="E700" s="148"/>
      <c r="F700" s="148"/>
      <c r="G700" s="148"/>
      <c r="H700" s="148"/>
      <c r="I700" s="148"/>
      <c r="J700" s="148"/>
      <c r="K700" s="148"/>
      <c r="L700" s="148"/>
    </row>
    <row r="701">
      <c r="A701" s="148"/>
      <c r="B701" s="148"/>
      <c r="C701" s="148"/>
      <c r="D701" s="148"/>
      <c r="E701" s="148"/>
      <c r="F701" s="148"/>
      <c r="G701" s="148"/>
      <c r="H701" s="148"/>
      <c r="I701" s="148"/>
      <c r="J701" s="148"/>
      <c r="K701" s="148"/>
      <c r="L701" s="148"/>
    </row>
    <row r="702">
      <c r="A702" s="148"/>
      <c r="B702" s="148"/>
      <c r="C702" s="148"/>
      <c r="D702" s="148"/>
      <c r="E702" s="148"/>
      <c r="F702" s="148"/>
      <c r="G702" s="148"/>
      <c r="H702" s="148"/>
      <c r="I702" s="148"/>
      <c r="J702" s="148"/>
      <c r="K702" s="148"/>
      <c r="L702" s="148"/>
    </row>
    <row r="703">
      <c r="A703" s="148"/>
      <c r="B703" s="148"/>
      <c r="C703" s="148"/>
      <c r="D703" s="148"/>
      <c r="E703" s="148"/>
      <c r="F703" s="148"/>
      <c r="G703" s="148"/>
      <c r="H703" s="148"/>
      <c r="I703" s="148"/>
      <c r="J703" s="148"/>
      <c r="K703" s="148"/>
      <c r="L703" s="148"/>
    </row>
    <row r="704">
      <c r="A704" s="148"/>
      <c r="B704" s="148"/>
      <c r="C704" s="148"/>
      <c r="D704" s="148"/>
      <c r="E704" s="148"/>
      <c r="F704" s="148"/>
      <c r="G704" s="148"/>
      <c r="H704" s="148"/>
      <c r="I704" s="148"/>
      <c r="J704" s="148"/>
      <c r="K704" s="148"/>
      <c r="L704" s="148"/>
    </row>
    <row r="705">
      <c r="A705" s="148"/>
      <c r="B705" s="148"/>
      <c r="C705" s="148"/>
      <c r="D705" s="148"/>
      <c r="E705" s="148"/>
      <c r="F705" s="148"/>
      <c r="G705" s="148"/>
      <c r="H705" s="148"/>
      <c r="I705" s="148"/>
      <c r="J705" s="148"/>
      <c r="K705" s="148"/>
      <c r="L705" s="148"/>
    </row>
    <row r="706">
      <c r="A706" s="148"/>
      <c r="B706" s="148"/>
      <c r="C706" s="148"/>
      <c r="D706" s="148"/>
      <c r="E706" s="148"/>
      <c r="F706" s="148"/>
      <c r="G706" s="148"/>
      <c r="H706" s="148"/>
      <c r="I706" s="148"/>
      <c r="J706" s="148"/>
      <c r="K706" s="148"/>
      <c r="L706" s="148"/>
    </row>
    <row r="707">
      <c r="A707" s="148"/>
      <c r="B707" s="148"/>
      <c r="C707" s="148"/>
      <c r="D707" s="148"/>
      <c r="E707" s="148"/>
      <c r="F707" s="148"/>
      <c r="G707" s="148"/>
      <c r="H707" s="148"/>
      <c r="I707" s="148"/>
      <c r="J707" s="148"/>
      <c r="K707" s="148"/>
      <c r="L707" s="148"/>
    </row>
    <row r="708">
      <c r="A708" s="148"/>
      <c r="B708" s="148"/>
      <c r="C708" s="148"/>
      <c r="D708" s="148"/>
      <c r="E708" s="148"/>
      <c r="F708" s="148"/>
      <c r="G708" s="148"/>
      <c r="H708" s="148"/>
      <c r="I708" s="148"/>
      <c r="J708" s="148"/>
      <c r="K708" s="148"/>
      <c r="L708" s="148"/>
    </row>
    <row r="709">
      <c r="A709" s="148"/>
      <c r="B709" s="148"/>
      <c r="C709" s="148"/>
      <c r="D709" s="148"/>
      <c r="E709" s="148"/>
      <c r="F709" s="148"/>
      <c r="G709" s="148"/>
      <c r="H709" s="148"/>
      <c r="I709" s="148"/>
      <c r="J709" s="148"/>
      <c r="K709" s="148"/>
      <c r="L709" s="148"/>
    </row>
    <row r="710">
      <c r="A710" s="148"/>
      <c r="B710" s="148"/>
      <c r="C710" s="148"/>
      <c r="D710" s="148"/>
      <c r="E710" s="148"/>
      <c r="F710" s="148"/>
      <c r="G710" s="148"/>
      <c r="H710" s="148"/>
      <c r="I710" s="148"/>
      <c r="J710" s="148"/>
      <c r="K710" s="148"/>
      <c r="L710" s="148"/>
    </row>
    <row r="711">
      <c r="A711" s="148"/>
      <c r="B711" s="148"/>
      <c r="C711" s="148"/>
      <c r="D711" s="148"/>
      <c r="E711" s="148"/>
      <c r="F711" s="148"/>
      <c r="G711" s="148"/>
      <c r="H711" s="148"/>
      <c r="I711" s="148"/>
      <c r="J711" s="148"/>
      <c r="K711" s="148"/>
      <c r="L711" s="148"/>
    </row>
    <row r="712">
      <c r="A712" s="148"/>
      <c r="B712" s="148"/>
      <c r="C712" s="148"/>
      <c r="D712" s="148"/>
      <c r="E712" s="148"/>
      <c r="F712" s="148"/>
      <c r="G712" s="148"/>
      <c r="H712" s="148"/>
      <c r="I712" s="148"/>
      <c r="J712" s="148"/>
      <c r="K712" s="148"/>
      <c r="L712" s="148"/>
    </row>
    <row r="713">
      <c r="A713" s="148"/>
      <c r="B713" s="148"/>
      <c r="C713" s="148"/>
      <c r="D713" s="148"/>
      <c r="E713" s="148"/>
      <c r="F713" s="148"/>
      <c r="G713" s="148"/>
      <c r="H713" s="148"/>
      <c r="I713" s="148"/>
      <c r="J713" s="148"/>
      <c r="K713" s="148"/>
      <c r="L713" s="148"/>
    </row>
    <row r="714">
      <c r="A714" s="148"/>
      <c r="B714" s="148"/>
      <c r="C714" s="148"/>
      <c r="D714" s="148"/>
      <c r="E714" s="148"/>
      <c r="F714" s="148"/>
      <c r="G714" s="148"/>
      <c r="H714" s="148"/>
      <c r="I714" s="148"/>
      <c r="J714" s="148"/>
      <c r="K714" s="148"/>
      <c r="L714" s="148"/>
    </row>
    <row r="715">
      <c r="A715" s="148"/>
      <c r="B715" s="148"/>
      <c r="C715" s="148"/>
      <c r="D715" s="148"/>
      <c r="E715" s="148"/>
      <c r="F715" s="148"/>
      <c r="G715" s="148"/>
      <c r="H715" s="148"/>
      <c r="I715" s="148"/>
      <c r="J715" s="148"/>
      <c r="K715" s="148"/>
      <c r="L715" s="148"/>
    </row>
    <row r="716">
      <c r="A716" s="148"/>
      <c r="B716" s="148"/>
      <c r="C716" s="148"/>
      <c r="D716" s="148"/>
      <c r="E716" s="148"/>
      <c r="F716" s="148"/>
      <c r="G716" s="148"/>
      <c r="H716" s="148"/>
      <c r="I716" s="148"/>
      <c r="J716" s="148"/>
      <c r="K716" s="148"/>
      <c r="L716" s="148"/>
    </row>
    <row r="717">
      <c r="A717" s="148"/>
      <c r="B717" s="148"/>
      <c r="C717" s="148"/>
      <c r="D717" s="148"/>
      <c r="E717" s="148"/>
      <c r="F717" s="148"/>
      <c r="G717" s="148"/>
      <c r="H717" s="148"/>
      <c r="I717" s="148"/>
      <c r="J717" s="148"/>
      <c r="K717" s="148"/>
      <c r="L717" s="148"/>
    </row>
    <row r="718">
      <c r="A718" s="148"/>
      <c r="B718" s="148"/>
      <c r="C718" s="148"/>
      <c r="D718" s="148"/>
      <c r="E718" s="148"/>
      <c r="F718" s="148"/>
      <c r="G718" s="148"/>
      <c r="H718" s="148"/>
      <c r="I718" s="148"/>
      <c r="J718" s="148"/>
      <c r="K718" s="148"/>
      <c r="L718" s="148"/>
    </row>
    <row r="719">
      <c r="A719" s="148"/>
      <c r="B719" s="148"/>
      <c r="C719" s="148"/>
      <c r="D719" s="148"/>
      <c r="E719" s="148"/>
      <c r="F719" s="148"/>
      <c r="G719" s="148"/>
      <c r="H719" s="148"/>
      <c r="I719" s="148"/>
      <c r="J719" s="148"/>
      <c r="K719" s="148"/>
      <c r="L719" s="148"/>
    </row>
    <row r="720">
      <c r="A720" s="148"/>
      <c r="B720" s="148"/>
      <c r="C720" s="148"/>
      <c r="D720" s="148"/>
      <c r="E720" s="148"/>
      <c r="F720" s="148"/>
      <c r="G720" s="148"/>
      <c r="H720" s="148"/>
      <c r="I720" s="148"/>
      <c r="J720" s="148"/>
      <c r="K720" s="148"/>
      <c r="L720" s="148"/>
    </row>
    <row r="721">
      <c r="A721" s="148"/>
      <c r="B721" s="148"/>
      <c r="C721" s="148"/>
      <c r="D721" s="148"/>
      <c r="E721" s="148"/>
      <c r="F721" s="148"/>
      <c r="G721" s="148"/>
      <c r="H721" s="148"/>
      <c r="I721" s="148"/>
      <c r="J721" s="148"/>
      <c r="K721" s="148"/>
      <c r="L721" s="148"/>
    </row>
    <row r="722">
      <c r="A722" s="148"/>
      <c r="B722" s="148"/>
      <c r="C722" s="148"/>
      <c r="D722" s="148"/>
      <c r="E722" s="148"/>
      <c r="F722" s="148"/>
      <c r="G722" s="148"/>
      <c r="H722" s="148"/>
      <c r="I722" s="148"/>
      <c r="J722" s="148"/>
      <c r="K722" s="148"/>
      <c r="L722" s="148"/>
    </row>
    <row r="723">
      <c r="A723" s="148"/>
      <c r="B723" s="148"/>
      <c r="C723" s="148"/>
      <c r="D723" s="148"/>
      <c r="E723" s="148"/>
      <c r="F723" s="148"/>
      <c r="G723" s="148"/>
      <c r="H723" s="148"/>
      <c r="I723" s="148"/>
      <c r="J723" s="148"/>
      <c r="K723" s="148"/>
      <c r="L723" s="148"/>
    </row>
    <row r="724">
      <c r="A724" s="148"/>
      <c r="B724" s="148"/>
      <c r="C724" s="148"/>
      <c r="D724" s="148"/>
      <c r="E724" s="148"/>
      <c r="F724" s="148"/>
      <c r="G724" s="148"/>
      <c r="H724" s="148"/>
      <c r="I724" s="148"/>
      <c r="J724" s="148"/>
      <c r="K724" s="148"/>
      <c r="L724" s="148"/>
    </row>
    <row r="725">
      <c r="A725" s="148"/>
      <c r="B725" s="148"/>
      <c r="C725" s="148"/>
      <c r="D725" s="148"/>
      <c r="E725" s="148"/>
      <c r="F725" s="148"/>
      <c r="G725" s="148"/>
      <c r="H725" s="148"/>
      <c r="I725" s="148"/>
      <c r="J725" s="148"/>
      <c r="K725" s="148"/>
      <c r="L725" s="148"/>
    </row>
    <row r="726">
      <c r="A726" s="148"/>
      <c r="B726" s="148"/>
      <c r="C726" s="148"/>
      <c r="D726" s="148"/>
      <c r="E726" s="148"/>
      <c r="F726" s="148"/>
      <c r="G726" s="148"/>
      <c r="H726" s="148"/>
      <c r="I726" s="148"/>
      <c r="J726" s="148"/>
      <c r="K726" s="148"/>
      <c r="L726" s="148"/>
    </row>
    <row r="727">
      <c r="A727" s="148"/>
      <c r="B727" s="148"/>
      <c r="C727" s="148"/>
      <c r="D727" s="148"/>
      <c r="E727" s="148"/>
      <c r="F727" s="148"/>
      <c r="G727" s="148"/>
      <c r="H727" s="148"/>
      <c r="I727" s="148"/>
      <c r="J727" s="148"/>
      <c r="K727" s="148"/>
      <c r="L727" s="148"/>
    </row>
    <row r="728">
      <c r="A728" s="148"/>
      <c r="B728" s="148"/>
      <c r="C728" s="148"/>
      <c r="D728" s="148"/>
      <c r="E728" s="148"/>
      <c r="F728" s="148"/>
      <c r="G728" s="148"/>
      <c r="H728" s="148"/>
      <c r="I728" s="148"/>
      <c r="J728" s="148"/>
      <c r="K728" s="148"/>
      <c r="L728" s="148"/>
    </row>
    <row r="729">
      <c r="A729" s="148"/>
      <c r="B729" s="148"/>
      <c r="C729" s="148"/>
      <c r="D729" s="148"/>
      <c r="E729" s="148"/>
      <c r="F729" s="148"/>
      <c r="G729" s="148"/>
      <c r="H729" s="148"/>
      <c r="I729" s="148"/>
      <c r="J729" s="148"/>
      <c r="K729" s="148"/>
      <c r="L729" s="148"/>
    </row>
    <row r="730">
      <c r="A730" s="148"/>
      <c r="B730" s="148"/>
      <c r="C730" s="148"/>
      <c r="D730" s="148"/>
      <c r="E730" s="148"/>
      <c r="F730" s="148"/>
      <c r="G730" s="148"/>
      <c r="H730" s="148"/>
      <c r="I730" s="148"/>
      <c r="J730" s="148"/>
      <c r="K730" s="148"/>
      <c r="L730" s="148"/>
    </row>
    <row r="731">
      <c r="A731" s="148"/>
      <c r="B731" s="148"/>
      <c r="C731" s="148"/>
      <c r="D731" s="148"/>
      <c r="E731" s="148"/>
      <c r="F731" s="148"/>
      <c r="G731" s="148"/>
      <c r="H731" s="148"/>
      <c r="I731" s="148"/>
      <c r="J731" s="148"/>
      <c r="K731" s="148"/>
      <c r="L731" s="148"/>
    </row>
    <row r="732">
      <c r="A732" s="148"/>
      <c r="B732" s="148"/>
      <c r="C732" s="148"/>
      <c r="D732" s="148"/>
      <c r="E732" s="148"/>
      <c r="F732" s="148"/>
      <c r="G732" s="148"/>
      <c r="H732" s="148"/>
      <c r="I732" s="148"/>
      <c r="J732" s="148"/>
      <c r="K732" s="148"/>
      <c r="L732" s="148"/>
    </row>
    <row r="733">
      <c r="A733" s="148"/>
      <c r="B733" s="148"/>
      <c r="C733" s="148"/>
      <c r="D733" s="148"/>
      <c r="E733" s="148"/>
      <c r="F733" s="148"/>
      <c r="G733" s="148"/>
      <c r="H733" s="148"/>
      <c r="I733" s="148"/>
      <c r="J733" s="148"/>
      <c r="K733" s="148"/>
      <c r="L733" s="148"/>
    </row>
    <row r="734">
      <c r="A734" s="148"/>
      <c r="B734" s="148"/>
      <c r="C734" s="148"/>
      <c r="D734" s="148"/>
      <c r="E734" s="148"/>
      <c r="F734" s="148"/>
      <c r="G734" s="148"/>
      <c r="H734" s="148"/>
      <c r="I734" s="148"/>
      <c r="J734" s="148"/>
      <c r="K734" s="148"/>
      <c r="L734" s="148"/>
    </row>
    <row r="735">
      <c r="A735" s="148"/>
      <c r="B735" s="148"/>
      <c r="C735" s="148"/>
      <c r="D735" s="148"/>
      <c r="E735" s="148"/>
      <c r="F735" s="148"/>
      <c r="G735" s="148"/>
      <c r="H735" s="148"/>
      <c r="I735" s="148"/>
      <c r="J735" s="148"/>
      <c r="K735" s="148"/>
      <c r="L735" s="148"/>
    </row>
    <row r="736">
      <c r="A736" s="148"/>
      <c r="B736" s="148"/>
      <c r="C736" s="148"/>
      <c r="D736" s="148"/>
      <c r="E736" s="148"/>
      <c r="F736" s="148"/>
      <c r="G736" s="148"/>
      <c r="H736" s="148"/>
      <c r="I736" s="148"/>
      <c r="J736" s="148"/>
      <c r="K736" s="148"/>
      <c r="L736" s="148"/>
    </row>
    <row r="737">
      <c r="A737" s="148"/>
      <c r="B737" s="148"/>
      <c r="C737" s="148"/>
      <c r="D737" s="148"/>
      <c r="E737" s="148"/>
      <c r="F737" s="148"/>
      <c r="G737" s="148"/>
      <c r="H737" s="148"/>
      <c r="I737" s="148"/>
      <c r="J737" s="148"/>
      <c r="K737" s="148"/>
      <c r="L737" s="148"/>
    </row>
    <row r="738">
      <c r="A738" s="148"/>
      <c r="B738" s="148"/>
      <c r="C738" s="148"/>
      <c r="D738" s="148"/>
      <c r="E738" s="148"/>
      <c r="F738" s="148"/>
      <c r="G738" s="148"/>
      <c r="H738" s="148"/>
      <c r="I738" s="148"/>
      <c r="J738" s="148"/>
      <c r="K738" s="148"/>
      <c r="L738" s="148"/>
    </row>
    <row r="739">
      <c r="A739" s="148"/>
      <c r="B739" s="148"/>
      <c r="C739" s="148"/>
      <c r="D739" s="148"/>
      <c r="E739" s="148"/>
      <c r="F739" s="148"/>
      <c r="G739" s="148"/>
      <c r="H739" s="148"/>
      <c r="I739" s="148"/>
      <c r="J739" s="148"/>
      <c r="K739" s="148"/>
      <c r="L739" s="148"/>
    </row>
    <row r="740">
      <c r="A740" s="148"/>
      <c r="B740" s="148"/>
      <c r="C740" s="148"/>
      <c r="D740" s="148"/>
      <c r="E740" s="148"/>
      <c r="F740" s="148"/>
      <c r="G740" s="148"/>
      <c r="H740" s="148"/>
      <c r="I740" s="148"/>
      <c r="J740" s="148"/>
      <c r="K740" s="148"/>
      <c r="L740" s="148"/>
    </row>
    <row r="741">
      <c r="A741" s="148"/>
      <c r="B741" s="148"/>
      <c r="C741" s="148"/>
      <c r="D741" s="148"/>
      <c r="E741" s="148"/>
      <c r="F741" s="148"/>
      <c r="G741" s="148"/>
      <c r="H741" s="148"/>
      <c r="I741" s="148"/>
      <c r="J741" s="148"/>
      <c r="K741" s="148"/>
      <c r="L741" s="148"/>
    </row>
    <row r="742">
      <c r="A742" s="148"/>
      <c r="B742" s="148"/>
      <c r="C742" s="148"/>
      <c r="D742" s="148"/>
      <c r="E742" s="148"/>
      <c r="F742" s="148"/>
      <c r="G742" s="148"/>
      <c r="H742" s="148"/>
      <c r="I742" s="148"/>
      <c r="J742" s="148"/>
      <c r="K742" s="148"/>
      <c r="L742" s="148"/>
    </row>
    <row r="743">
      <c r="A743" s="148"/>
      <c r="B743" s="148"/>
      <c r="C743" s="148"/>
      <c r="D743" s="148"/>
      <c r="E743" s="148"/>
      <c r="F743" s="148"/>
      <c r="G743" s="148"/>
      <c r="H743" s="148"/>
      <c r="I743" s="148"/>
      <c r="J743" s="148"/>
      <c r="K743" s="148"/>
      <c r="L743" s="148"/>
    </row>
    <row r="744">
      <c r="A744" s="148"/>
      <c r="B744" s="148"/>
      <c r="C744" s="148"/>
      <c r="D744" s="148"/>
      <c r="E744" s="148"/>
      <c r="F744" s="148"/>
      <c r="G744" s="148"/>
      <c r="H744" s="148"/>
      <c r="I744" s="148"/>
      <c r="J744" s="148"/>
      <c r="K744" s="148"/>
      <c r="L744" s="148"/>
    </row>
    <row r="745">
      <c r="A745" s="148"/>
      <c r="B745" s="148"/>
      <c r="C745" s="148"/>
      <c r="D745" s="148"/>
      <c r="E745" s="148"/>
      <c r="F745" s="148"/>
      <c r="G745" s="148"/>
      <c r="H745" s="148"/>
      <c r="I745" s="148"/>
      <c r="J745" s="148"/>
      <c r="K745" s="148"/>
      <c r="L745" s="148"/>
    </row>
    <row r="746">
      <c r="A746" s="148"/>
      <c r="B746" s="148"/>
      <c r="C746" s="148"/>
      <c r="D746" s="148"/>
      <c r="E746" s="148"/>
      <c r="F746" s="148"/>
      <c r="G746" s="148"/>
      <c r="H746" s="148"/>
      <c r="I746" s="148"/>
      <c r="J746" s="148"/>
      <c r="K746" s="148"/>
      <c r="L746" s="148"/>
    </row>
    <row r="747">
      <c r="A747" s="148"/>
      <c r="B747" s="148"/>
      <c r="C747" s="148"/>
      <c r="D747" s="148"/>
      <c r="E747" s="148"/>
      <c r="F747" s="148"/>
      <c r="G747" s="148"/>
      <c r="H747" s="148"/>
      <c r="I747" s="148"/>
      <c r="J747" s="148"/>
      <c r="K747" s="148"/>
      <c r="L747" s="148"/>
    </row>
    <row r="748">
      <c r="A748" s="148"/>
      <c r="B748" s="148"/>
      <c r="C748" s="148"/>
      <c r="D748" s="148"/>
      <c r="E748" s="148"/>
      <c r="F748" s="148"/>
      <c r="G748" s="148"/>
      <c r="H748" s="148"/>
      <c r="I748" s="148"/>
      <c r="J748" s="148"/>
      <c r="K748" s="148"/>
      <c r="L748" s="148"/>
    </row>
    <row r="749">
      <c r="A749" s="148"/>
      <c r="B749" s="148"/>
      <c r="C749" s="148"/>
      <c r="D749" s="148"/>
      <c r="E749" s="148"/>
      <c r="F749" s="148"/>
      <c r="G749" s="148"/>
      <c r="H749" s="148"/>
      <c r="I749" s="148"/>
      <c r="J749" s="148"/>
      <c r="K749" s="148"/>
      <c r="L749" s="148"/>
    </row>
    <row r="750">
      <c r="A750" s="148"/>
      <c r="B750" s="148"/>
      <c r="C750" s="148"/>
      <c r="D750" s="148"/>
      <c r="E750" s="148"/>
      <c r="F750" s="148"/>
      <c r="G750" s="148"/>
      <c r="H750" s="148"/>
      <c r="I750" s="148"/>
      <c r="J750" s="148"/>
      <c r="K750" s="148"/>
      <c r="L750" s="148"/>
    </row>
    <row r="751">
      <c r="A751" s="148"/>
      <c r="B751" s="148"/>
      <c r="C751" s="148"/>
      <c r="D751" s="148"/>
      <c r="E751" s="148"/>
      <c r="F751" s="148"/>
      <c r="G751" s="148"/>
      <c r="H751" s="148"/>
      <c r="I751" s="148"/>
      <c r="J751" s="148"/>
      <c r="K751" s="148"/>
      <c r="L751" s="148"/>
    </row>
    <row r="752">
      <c r="A752" s="148"/>
      <c r="B752" s="148"/>
      <c r="C752" s="148"/>
      <c r="D752" s="148"/>
      <c r="E752" s="148"/>
      <c r="F752" s="148"/>
      <c r="G752" s="148"/>
      <c r="H752" s="148"/>
      <c r="I752" s="148"/>
      <c r="J752" s="148"/>
      <c r="K752" s="148"/>
      <c r="L752" s="148"/>
    </row>
    <row r="753">
      <c r="A753" s="148"/>
      <c r="B753" s="148"/>
      <c r="C753" s="148"/>
      <c r="D753" s="148"/>
      <c r="E753" s="148"/>
      <c r="F753" s="148"/>
      <c r="G753" s="148"/>
      <c r="H753" s="148"/>
      <c r="I753" s="148"/>
      <c r="J753" s="148"/>
      <c r="K753" s="148"/>
      <c r="L753" s="148"/>
    </row>
    <row r="754">
      <c r="A754" s="148"/>
      <c r="B754" s="148"/>
      <c r="C754" s="148"/>
      <c r="D754" s="148"/>
      <c r="E754" s="148"/>
      <c r="F754" s="148"/>
      <c r="G754" s="148"/>
      <c r="H754" s="148"/>
      <c r="I754" s="148"/>
      <c r="J754" s="148"/>
      <c r="K754" s="148"/>
      <c r="L754" s="148"/>
    </row>
    <row r="755">
      <c r="A755" s="148"/>
      <c r="B755" s="148"/>
      <c r="C755" s="148"/>
      <c r="D755" s="148"/>
      <c r="E755" s="148"/>
      <c r="F755" s="148"/>
      <c r="G755" s="148"/>
      <c r="H755" s="148"/>
      <c r="I755" s="148"/>
      <c r="J755" s="148"/>
      <c r="K755" s="148"/>
      <c r="L755" s="148"/>
    </row>
    <row r="756">
      <c r="A756" s="148"/>
      <c r="B756" s="148"/>
      <c r="C756" s="148"/>
      <c r="D756" s="148"/>
      <c r="E756" s="148"/>
      <c r="F756" s="148"/>
      <c r="G756" s="148"/>
      <c r="H756" s="148"/>
      <c r="I756" s="148"/>
      <c r="J756" s="148"/>
      <c r="K756" s="148"/>
      <c r="L756" s="148"/>
    </row>
    <row r="757">
      <c r="A757" s="148"/>
      <c r="B757" s="148"/>
      <c r="C757" s="148"/>
      <c r="D757" s="148"/>
      <c r="E757" s="148"/>
      <c r="F757" s="148"/>
      <c r="G757" s="148"/>
      <c r="H757" s="148"/>
      <c r="I757" s="148"/>
      <c r="J757" s="148"/>
      <c r="K757" s="148"/>
      <c r="L757" s="148"/>
    </row>
    <row r="758">
      <c r="A758" s="148"/>
      <c r="B758" s="148"/>
      <c r="C758" s="148"/>
      <c r="D758" s="148"/>
      <c r="E758" s="148"/>
      <c r="F758" s="148"/>
      <c r="G758" s="148"/>
      <c r="H758" s="148"/>
      <c r="I758" s="148"/>
      <c r="J758" s="148"/>
      <c r="K758" s="148"/>
      <c r="L758" s="148"/>
    </row>
    <row r="759">
      <c r="A759" s="148"/>
      <c r="B759" s="148"/>
      <c r="C759" s="148"/>
      <c r="D759" s="148"/>
      <c r="E759" s="148"/>
      <c r="F759" s="148"/>
      <c r="G759" s="148"/>
      <c r="H759" s="148"/>
      <c r="I759" s="148"/>
      <c r="J759" s="148"/>
      <c r="K759" s="148"/>
      <c r="L759" s="148"/>
    </row>
    <row r="760">
      <c r="A760" s="148"/>
      <c r="B760" s="148"/>
      <c r="C760" s="148"/>
      <c r="D760" s="148"/>
      <c r="E760" s="148"/>
      <c r="F760" s="148"/>
      <c r="G760" s="148"/>
      <c r="H760" s="148"/>
      <c r="I760" s="148"/>
      <c r="J760" s="148"/>
      <c r="K760" s="148"/>
      <c r="L760" s="148"/>
    </row>
    <row r="761">
      <c r="A761" s="148"/>
      <c r="B761" s="148"/>
      <c r="C761" s="148"/>
      <c r="D761" s="148"/>
      <c r="E761" s="148"/>
      <c r="F761" s="148"/>
      <c r="G761" s="148"/>
      <c r="H761" s="148"/>
      <c r="I761" s="148"/>
      <c r="J761" s="148"/>
      <c r="K761" s="148"/>
      <c r="L761" s="148"/>
    </row>
    <row r="762">
      <c r="A762" s="148"/>
      <c r="B762" s="148"/>
      <c r="C762" s="148"/>
      <c r="D762" s="148"/>
      <c r="E762" s="148"/>
      <c r="F762" s="148"/>
      <c r="G762" s="148"/>
      <c r="H762" s="148"/>
      <c r="I762" s="148"/>
      <c r="J762" s="148"/>
      <c r="K762" s="148"/>
      <c r="L762" s="148"/>
    </row>
    <row r="763">
      <c r="A763" s="148"/>
      <c r="B763" s="148"/>
      <c r="C763" s="148"/>
      <c r="D763" s="148"/>
      <c r="E763" s="148"/>
      <c r="F763" s="148"/>
      <c r="G763" s="148"/>
      <c r="H763" s="148"/>
      <c r="I763" s="148"/>
      <c r="J763" s="148"/>
      <c r="K763" s="148"/>
      <c r="L763" s="148"/>
    </row>
    <row r="764">
      <c r="A764" s="148"/>
      <c r="B764" s="148"/>
      <c r="C764" s="148"/>
      <c r="D764" s="148"/>
      <c r="E764" s="148"/>
      <c r="F764" s="148"/>
      <c r="G764" s="148"/>
      <c r="H764" s="148"/>
      <c r="I764" s="148"/>
      <c r="J764" s="148"/>
      <c r="K764" s="148"/>
      <c r="L764" s="148"/>
    </row>
    <row r="765">
      <c r="A765" s="148"/>
      <c r="B765" s="148"/>
      <c r="C765" s="148"/>
      <c r="D765" s="148"/>
      <c r="E765" s="148"/>
      <c r="F765" s="148"/>
      <c r="G765" s="148"/>
      <c r="H765" s="148"/>
      <c r="I765" s="148"/>
      <c r="J765" s="148"/>
      <c r="K765" s="148"/>
      <c r="L765" s="148"/>
    </row>
    <row r="766">
      <c r="A766" s="148"/>
      <c r="B766" s="148"/>
      <c r="C766" s="148"/>
      <c r="D766" s="148"/>
      <c r="E766" s="148"/>
      <c r="F766" s="148"/>
      <c r="G766" s="148"/>
      <c r="H766" s="148"/>
      <c r="I766" s="148"/>
      <c r="J766" s="148"/>
      <c r="K766" s="148"/>
      <c r="L766" s="148"/>
    </row>
    <row r="767">
      <c r="A767" s="148"/>
      <c r="B767" s="148"/>
      <c r="C767" s="148"/>
      <c r="D767" s="148"/>
      <c r="E767" s="148"/>
      <c r="F767" s="148"/>
      <c r="G767" s="148"/>
      <c r="H767" s="148"/>
      <c r="I767" s="148"/>
      <c r="J767" s="148"/>
      <c r="K767" s="148"/>
      <c r="L767" s="148"/>
    </row>
    <row r="768">
      <c r="A768" s="148"/>
      <c r="B768" s="148"/>
      <c r="C768" s="148"/>
      <c r="D768" s="148"/>
      <c r="E768" s="148"/>
      <c r="F768" s="148"/>
      <c r="G768" s="148"/>
      <c r="H768" s="148"/>
      <c r="I768" s="148"/>
      <c r="J768" s="148"/>
      <c r="K768" s="148"/>
      <c r="L768" s="148"/>
    </row>
    <row r="769">
      <c r="A769" s="148"/>
      <c r="B769" s="148"/>
      <c r="C769" s="148"/>
      <c r="D769" s="148"/>
      <c r="E769" s="148"/>
      <c r="F769" s="148"/>
      <c r="G769" s="148"/>
      <c r="H769" s="148"/>
      <c r="I769" s="148"/>
      <c r="J769" s="148"/>
      <c r="K769" s="148"/>
      <c r="L769" s="148"/>
    </row>
    <row r="770">
      <c r="A770" s="148"/>
      <c r="B770" s="148"/>
      <c r="C770" s="148"/>
      <c r="D770" s="148"/>
      <c r="E770" s="148"/>
      <c r="F770" s="148"/>
      <c r="G770" s="148"/>
      <c r="H770" s="148"/>
      <c r="I770" s="148"/>
      <c r="J770" s="148"/>
      <c r="K770" s="148"/>
      <c r="L770" s="148"/>
    </row>
    <row r="771">
      <c r="A771" s="148"/>
      <c r="B771" s="148"/>
      <c r="C771" s="148"/>
      <c r="D771" s="148"/>
      <c r="E771" s="148"/>
      <c r="F771" s="148"/>
      <c r="G771" s="148"/>
      <c r="H771" s="148"/>
      <c r="I771" s="148"/>
      <c r="J771" s="148"/>
      <c r="K771" s="148"/>
      <c r="L771" s="148"/>
    </row>
    <row r="772">
      <c r="A772" s="148"/>
      <c r="B772" s="148"/>
      <c r="C772" s="148"/>
      <c r="D772" s="148"/>
      <c r="E772" s="148"/>
      <c r="F772" s="148"/>
      <c r="G772" s="148"/>
      <c r="H772" s="148"/>
      <c r="I772" s="148"/>
      <c r="J772" s="148"/>
      <c r="K772" s="148"/>
      <c r="L772" s="148"/>
    </row>
    <row r="773">
      <c r="A773" s="148"/>
      <c r="B773" s="148"/>
      <c r="C773" s="148"/>
      <c r="D773" s="148"/>
      <c r="E773" s="148"/>
      <c r="F773" s="148"/>
      <c r="G773" s="148"/>
      <c r="H773" s="148"/>
      <c r="I773" s="148"/>
      <c r="J773" s="148"/>
      <c r="K773" s="148"/>
      <c r="L773" s="148"/>
    </row>
    <row r="774">
      <c r="A774" s="148"/>
      <c r="B774" s="148"/>
      <c r="C774" s="148"/>
      <c r="D774" s="148"/>
      <c r="E774" s="148"/>
      <c r="F774" s="148"/>
      <c r="G774" s="148"/>
      <c r="H774" s="148"/>
      <c r="I774" s="148"/>
      <c r="J774" s="148"/>
      <c r="K774" s="148"/>
      <c r="L774" s="148"/>
    </row>
    <row r="775">
      <c r="A775" s="148"/>
      <c r="B775" s="148"/>
      <c r="C775" s="148"/>
      <c r="D775" s="148"/>
      <c r="E775" s="148"/>
      <c r="F775" s="148"/>
      <c r="G775" s="148"/>
      <c r="H775" s="148"/>
      <c r="I775" s="148"/>
      <c r="J775" s="148"/>
      <c r="K775" s="148"/>
      <c r="L775" s="148"/>
    </row>
    <row r="776">
      <c r="A776" s="148"/>
      <c r="B776" s="148"/>
      <c r="C776" s="148"/>
      <c r="D776" s="148"/>
      <c r="E776" s="148"/>
      <c r="F776" s="148"/>
      <c r="G776" s="148"/>
      <c r="H776" s="148"/>
      <c r="I776" s="148"/>
      <c r="J776" s="148"/>
      <c r="K776" s="148"/>
      <c r="L776" s="148"/>
    </row>
    <row r="777">
      <c r="A777" s="148"/>
      <c r="B777" s="148"/>
      <c r="C777" s="148"/>
      <c r="D777" s="148"/>
      <c r="E777" s="148"/>
      <c r="F777" s="148"/>
      <c r="G777" s="148"/>
      <c r="H777" s="148"/>
      <c r="I777" s="148"/>
      <c r="J777" s="148"/>
      <c r="K777" s="148"/>
      <c r="L777" s="148"/>
    </row>
    <row r="778">
      <c r="A778" s="148"/>
      <c r="B778" s="148"/>
      <c r="C778" s="148"/>
      <c r="D778" s="148"/>
      <c r="E778" s="148"/>
      <c r="F778" s="148"/>
      <c r="G778" s="148"/>
      <c r="H778" s="148"/>
      <c r="I778" s="148"/>
      <c r="J778" s="148"/>
      <c r="K778" s="148"/>
      <c r="L778" s="148"/>
    </row>
    <row r="779">
      <c r="A779" s="148"/>
      <c r="B779" s="148"/>
      <c r="C779" s="148"/>
      <c r="D779" s="148"/>
      <c r="E779" s="148"/>
      <c r="F779" s="148"/>
      <c r="G779" s="148"/>
      <c r="H779" s="148"/>
      <c r="I779" s="148"/>
      <c r="J779" s="148"/>
      <c r="K779" s="148"/>
      <c r="L779" s="148"/>
    </row>
    <row r="780">
      <c r="A780" s="148"/>
      <c r="B780" s="148"/>
      <c r="C780" s="148"/>
      <c r="D780" s="148"/>
      <c r="E780" s="148"/>
      <c r="F780" s="148"/>
      <c r="G780" s="148"/>
      <c r="H780" s="148"/>
      <c r="I780" s="148"/>
      <c r="J780" s="148"/>
      <c r="K780" s="148"/>
      <c r="L780" s="148"/>
    </row>
    <row r="781">
      <c r="A781" s="148"/>
      <c r="B781" s="148"/>
      <c r="C781" s="148"/>
      <c r="D781" s="148"/>
      <c r="E781" s="148"/>
      <c r="F781" s="148"/>
      <c r="G781" s="148"/>
      <c r="H781" s="148"/>
      <c r="I781" s="148"/>
      <c r="J781" s="148"/>
      <c r="K781" s="148"/>
      <c r="L781" s="148"/>
    </row>
    <row r="782">
      <c r="A782" s="148"/>
      <c r="B782" s="148"/>
      <c r="C782" s="148"/>
      <c r="D782" s="148"/>
      <c r="E782" s="148"/>
      <c r="F782" s="148"/>
      <c r="G782" s="148"/>
      <c r="H782" s="148"/>
      <c r="I782" s="148"/>
      <c r="J782" s="148"/>
      <c r="K782" s="148"/>
      <c r="L782" s="148"/>
    </row>
    <row r="783">
      <c r="A783" s="148"/>
      <c r="B783" s="148"/>
      <c r="C783" s="148"/>
      <c r="D783" s="148"/>
      <c r="E783" s="148"/>
      <c r="F783" s="148"/>
      <c r="G783" s="148"/>
      <c r="H783" s="148"/>
      <c r="I783" s="148"/>
      <c r="J783" s="148"/>
      <c r="K783" s="148"/>
      <c r="L783" s="148"/>
    </row>
    <row r="784">
      <c r="A784" s="148"/>
      <c r="B784" s="148"/>
      <c r="C784" s="148"/>
      <c r="D784" s="148"/>
      <c r="E784" s="148"/>
      <c r="F784" s="148"/>
      <c r="G784" s="148"/>
      <c r="H784" s="148"/>
      <c r="I784" s="148"/>
      <c r="J784" s="148"/>
      <c r="K784" s="148"/>
      <c r="L784" s="148"/>
    </row>
    <row r="785">
      <c r="A785" s="148"/>
      <c r="B785" s="148"/>
      <c r="C785" s="148"/>
      <c r="D785" s="148"/>
      <c r="E785" s="148"/>
      <c r="F785" s="148"/>
      <c r="G785" s="148"/>
      <c r="H785" s="148"/>
      <c r="I785" s="148"/>
      <c r="J785" s="148"/>
      <c r="K785" s="148"/>
      <c r="L785" s="148"/>
    </row>
    <row r="786">
      <c r="A786" s="148"/>
      <c r="B786" s="148"/>
      <c r="C786" s="148"/>
      <c r="D786" s="148"/>
      <c r="E786" s="148"/>
      <c r="F786" s="148"/>
      <c r="G786" s="148"/>
      <c r="H786" s="148"/>
      <c r="I786" s="148"/>
      <c r="J786" s="148"/>
      <c r="K786" s="148"/>
      <c r="L786" s="148"/>
    </row>
    <row r="787">
      <c r="A787" s="148"/>
      <c r="B787" s="148"/>
      <c r="C787" s="148"/>
      <c r="D787" s="148"/>
      <c r="E787" s="148"/>
      <c r="F787" s="148"/>
      <c r="G787" s="148"/>
      <c r="H787" s="148"/>
      <c r="I787" s="148"/>
      <c r="J787" s="148"/>
      <c r="K787" s="148"/>
      <c r="L787" s="148"/>
    </row>
    <row r="788">
      <c r="A788" s="148"/>
      <c r="B788" s="148"/>
      <c r="C788" s="148"/>
      <c r="D788" s="148"/>
      <c r="E788" s="148"/>
      <c r="F788" s="148"/>
      <c r="G788" s="148"/>
      <c r="H788" s="148"/>
      <c r="I788" s="148"/>
      <c r="J788" s="148"/>
      <c r="K788" s="148"/>
      <c r="L788" s="148"/>
    </row>
    <row r="789">
      <c r="A789" s="148"/>
      <c r="B789" s="148"/>
      <c r="C789" s="148"/>
      <c r="D789" s="148"/>
      <c r="E789" s="148"/>
      <c r="F789" s="148"/>
      <c r="G789" s="148"/>
      <c r="H789" s="148"/>
      <c r="I789" s="148"/>
      <c r="J789" s="148"/>
      <c r="K789" s="148"/>
      <c r="L789" s="148"/>
    </row>
    <row r="790">
      <c r="A790" s="148"/>
      <c r="B790" s="148"/>
      <c r="C790" s="148"/>
      <c r="D790" s="148"/>
      <c r="E790" s="148"/>
      <c r="F790" s="148"/>
      <c r="G790" s="148"/>
      <c r="H790" s="148"/>
      <c r="I790" s="148"/>
      <c r="J790" s="148"/>
      <c r="K790" s="148"/>
      <c r="L790" s="148"/>
    </row>
    <row r="791">
      <c r="A791" s="148"/>
      <c r="B791" s="148"/>
      <c r="C791" s="148"/>
      <c r="D791" s="148"/>
      <c r="E791" s="148"/>
      <c r="F791" s="148"/>
      <c r="G791" s="148"/>
      <c r="H791" s="148"/>
      <c r="I791" s="148"/>
      <c r="J791" s="148"/>
      <c r="K791" s="148"/>
      <c r="L791" s="148"/>
    </row>
    <row r="792">
      <c r="A792" s="148"/>
      <c r="B792" s="148"/>
      <c r="C792" s="148"/>
      <c r="D792" s="148"/>
      <c r="E792" s="148"/>
      <c r="F792" s="148"/>
      <c r="G792" s="148"/>
      <c r="H792" s="148"/>
      <c r="I792" s="148"/>
      <c r="J792" s="148"/>
      <c r="K792" s="148"/>
      <c r="L792" s="148"/>
    </row>
    <row r="793">
      <c r="A793" s="148"/>
      <c r="B793" s="148"/>
      <c r="C793" s="148"/>
      <c r="D793" s="148"/>
      <c r="E793" s="148"/>
      <c r="F793" s="148"/>
      <c r="G793" s="148"/>
      <c r="H793" s="148"/>
      <c r="I793" s="148"/>
      <c r="J793" s="148"/>
      <c r="K793" s="148"/>
      <c r="L793" s="148"/>
    </row>
    <row r="794">
      <c r="A794" s="148"/>
      <c r="B794" s="148"/>
      <c r="C794" s="148"/>
      <c r="D794" s="148"/>
      <c r="E794" s="148"/>
      <c r="F794" s="148"/>
      <c r="G794" s="148"/>
      <c r="H794" s="148"/>
      <c r="I794" s="148"/>
      <c r="J794" s="148"/>
      <c r="K794" s="148"/>
      <c r="L794" s="148"/>
    </row>
    <row r="795">
      <c r="A795" s="148"/>
      <c r="B795" s="148"/>
      <c r="C795" s="148"/>
      <c r="D795" s="148"/>
      <c r="E795" s="148"/>
      <c r="F795" s="148"/>
      <c r="G795" s="148"/>
      <c r="H795" s="148"/>
      <c r="I795" s="148"/>
      <c r="J795" s="148"/>
      <c r="K795" s="148"/>
      <c r="L795" s="148"/>
    </row>
    <row r="796">
      <c r="A796" s="148"/>
      <c r="B796" s="148"/>
      <c r="C796" s="148"/>
      <c r="D796" s="148"/>
      <c r="E796" s="148"/>
      <c r="F796" s="148"/>
      <c r="G796" s="148"/>
      <c r="H796" s="148"/>
      <c r="I796" s="148"/>
      <c r="J796" s="148"/>
      <c r="K796" s="148"/>
      <c r="L796" s="148"/>
    </row>
    <row r="797">
      <c r="A797" s="148"/>
      <c r="B797" s="148"/>
      <c r="C797" s="148"/>
      <c r="D797" s="148"/>
      <c r="E797" s="148"/>
      <c r="F797" s="148"/>
      <c r="G797" s="148"/>
      <c r="H797" s="148"/>
      <c r="I797" s="148"/>
      <c r="J797" s="148"/>
      <c r="K797" s="148"/>
      <c r="L797" s="148"/>
    </row>
    <row r="798">
      <c r="A798" s="148"/>
      <c r="B798" s="148"/>
      <c r="C798" s="148"/>
      <c r="D798" s="148"/>
      <c r="E798" s="148"/>
      <c r="F798" s="148"/>
      <c r="G798" s="148"/>
      <c r="H798" s="148"/>
      <c r="I798" s="148"/>
      <c r="J798" s="148"/>
      <c r="K798" s="148"/>
      <c r="L798" s="148"/>
    </row>
    <row r="799">
      <c r="A799" s="148"/>
      <c r="B799" s="148"/>
      <c r="C799" s="148"/>
      <c r="D799" s="148"/>
      <c r="E799" s="148"/>
      <c r="F799" s="148"/>
      <c r="G799" s="148"/>
      <c r="H799" s="148"/>
      <c r="I799" s="148"/>
      <c r="J799" s="148"/>
      <c r="K799" s="148"/>
      <c r="L799" s="148"/>
    </row>
    <row r="800">
      <c r="A800" s="148"/>
      <c r="B800" s="148"/>
      <c r="C800" s="148"/>
      <c r="D800" s="148"/>
      <c r="E800" s="148"/>
      <c r="F800" s="148"/>
      <c r="G800" s="148"/>
      <c r="H800" s="148"/>
      <c r="I800" s="148"/>
      <c r="J800" s="148"/>
      <c r="K800" s="148"/>
      <c r="L800" s="148"/>
    </row>
    <row r="801">
      <c r="A801" s="148"/>
      <c r="B801" s="148"/>
      <c r="C801" s="148"/>
      <c r="D801" s="148"/>
      <c r="E801" s="148"/>
      <c r="F801" s="148"/>
      <c r="G801" s="148"/>
      <c r="H801" s="148"/>
      <c r="I801" s="148"/>
      <c r="J801" s="148"/>
      <c r="K801" s="148"/>
      <c r="L801" s="148"/>
    </row>
    <row r="802">
      <c r="A802" s="148"/>
      <c r="B802" s="148"/>
      <c r="C802" s="148"/>
      <c r="D802" s="148"/>
      <c r="E802" s="148"/>
      <c r="F802" s="148"/>
      <c r="G802" s="148"/>
      <c r="H802" s="148"/>
      <c r="I802" s="148"/>
      <c r="J802" s="148"/>
      <c r="K802" s="148"/>
      <c r="L802" s="148"/>
    </row>
    <row r="803">
      <c r="A803" s="148"/>
      <c r="B803" s="148"/>
      <c r="C803" s="148"/>
      <c r="D803" s="148"/>
      <c r="E803" s="148"/>
      <c r="F803" s="148"/>
      <c r="G803" s="148"/>
      <c r="H803" s="148"/>
      <c r="I803" s="148"/>
      <c r="J803" s="148"/>
      <c r="K803" s="148"/>
      <c r="L803" s="148"/>
    </row>
    <row r="804">
      <c r="A804" s="148"/>
      <c r="B804" s="148"/>
      <c r="C804" s="148"/>
      <c r="D804" s="148"/>
      <c r="E804" s="148"/>
      <c r="F804" s="148"/>
      <c r="G804" s="148"/>
      <c r="H804" s="148"/>
      <c r="I804" s="148"/>
      <c r="J804" s="148"/>
      <c r="K804" s="148"/>
      <c r="L804" s="148"/>
    </row>
    <row r="805">
      <c r="A805" s="148"/>
      <c r="B805" s="148"/>
      <c r="C805" s="148"/>
      <c r="D805" s="148"/>
      <c r="E805" s="148"/>
      <c r="F805" s="148"/>
      <c r="G805" s="148"/>
      <c r="H805" s="148"/>
      <c r="I805" s="148"/>
      <c r="J805" s="148"/>
      <c r="K805" s="148"/>
      <c r="L805" s="148"/>
    </row>
    <row r="806">
      <c r="A806" s="148"/>
      <c r="B806" s="148"/>
      <c r="C806" s="148"/>
      <c r="D806" s="148"/>
      <c r="E806" s="148"/>
      <c r="F806" s="148"/>
      <c r="G806" s="148"/>
      <c r="H806" s="148"/>
      <c r="I806" s="148"/>
      <c r="J806" s="148"/>
      <c r="K806" s="148"/>
      <c r="L806" s="148"/>
    </row>
    <row r="807">
      <c r="A807" s="148"/>
      <c r="B807" s="148"/>
      <c r="C807" s="148"/>
      <c r="D807" s="148"/>
      <c r="E807" s="148"/>
      <c r="F807" s="148"/>
      <c r="G807" s="148"/>
      <c r="H807" s="148"/>
      <c r="I807" s="148"/>
      <c r="J807" s="148"/>
      <c r="K807" s="148"/>
      <c r="L807" s="148"/>
    </row>
    <row r="808">
      <c r="A808" s="148"/>
      <c r="B808" s="148"/>
      <c r="C808" s="148"/>
      <c r="D808" s="148"/>
      <c r="E808" s="148"/>
      <c r="F808" s="148"/>
      <c r="G808" s="148"/>
      <c r="H808" s="148"/>
      <c r="I808" s="148"/>
      <c r="J808" s="148"/>
      <c r="K808" s="148"/>
      <c r="L808" s="148"/>
    </row>
    <row r="809">
      <c r="A809" s="148"/>
      <c r="B809" s="148"/>
      <c r="C809" s="148"/>
      <c r="D809" s="148"/>
      <c r="E809" s="148"/>
      <c r="F809" s="148"/>
      <c r="G809" s="148"/>
      <c r="H809" s="148"/>
      <c r="I809" s="148"/>
      <c r="J809" s="148"/>
      <c r="K809" s="148"/>
      <c r="L809" s="148"/>
    </row>
    <row r="810">
      <c r="A810" s="148"/>
      <c r="B810" s="148"/>
      <c r="C810" s="148"/>
      <c r="D810" s="148"/>
      <c r="E810" s="148"/>
      <c r="F810" s="148"/>
      <c r="G810" s="148"/>
      <c r="H810" s="148"/>
      <c r="I810" s="148"/>
      <c r="J810" s="148"/>
      <c r="K810" s="148"/>
      <c r="L810" s="148"/>
    </row>
    <row r="811">
      <c r="A811" s="148"/>
      <c r="B811" s="148"/>
      <c r="C811" s="148"/>
      <c r="D811" s="148"/>
      <c r="E811" s="148"/>
      <c r="F811" s="148"/>
      <c r="G811" s="148"/>
      <c r="H811" s="148"/>
      <c r="I811" s="148"/>
      <c r="J811" s="148"/>
      <c r="K811" s="148"/>
      <c r="L811" s="148"/>
    </row>
    <row r="812">
      <c r="A812" s="148"/>
      <c r="B812" s="148"/>
      <c r="C812" s="148"/>
      <c r="D812" s="148"/>
      <c r="E812" s="148"/>
      <c r="F812" s="148"/>
      <c r="G812" s="148"/>
      <c r="H812" s="148"/>
      <c r="I812" s="148"/>
      <c r="J812" s="148"/>
      <c r="K812" s="148"/>
      <c r="L812" s="148"/>
    </row>
    <row r="813">
      <c r="A813" s="148"/>
      <c r="B813" s="148"/>
      <c r="C813" s="148"/>
      <c r="D813" s="148"/>
      <c r="E813" s="148"/>
      <c r="F813" s="148"/>
      <c r="G813" s="148"/>
      <c r="H813" s="148"/>
      <c r="I813" s="148"/>
      <c r="J813" s="148"/>
      <c r="K813" s="148"/>
      <c r="L813" s="148"/>
    </row>
    <row r="814">
      <c r="A814" s="148"/>
      <c r="B814" s="148"/>
      <c r="C814" s="148"/>
      <c r="D814" s="148"/>
      <c r="E814" s="148"/>
      <c r="F814" s="148"/>
      <c r="G814" s="148"/>
      <c r="H814" s="148"/>
      <c r="I814" s="148"/>
      <c r="J814" s="148"/>
      <c r="K814" s="148"/>
      <c r="L814" s="148"/>
    </row>
    <row r="815">
      <c r="A815" s="148"/>
      <c r="B815" s="148"/>
      <c r="C815" s="148"/>
      <c r="D815" s="148"/>
      <c r="E815" s="148"/>
      <c r="F815" s="148"/>
      <c r="G815" s="148"/>
      <c r="H815" s="148"/>
      <c r="I815" s="148"/>
      <c r="J815" s="148"/>
      <c r="K815" s="148"/>
      <c r="L815" s="148"/>
    </row>
    <row r="816">
      <c r="A816" s="148"/>
      <c r="B816" s="148"/>
      <c r="C816" s="148"/>
      <c r="D816" s="148"/>
      <c r="E816" s="148"/>
      <c r="F816" s="148"/>
      <c r="G816" s="148"/>
      <c r="H816" s="148"/>
      <c r="I816" s="148"/>
      <c r="J816" s="148"/>
      <c r="K816" s="148"/>
      <c r="L816" s="148"/>
    </row>
    <row r="817">
      <c r="A817" s="148"/>
      <c r="B817" s="148"/>
      <c r="C817" s="148"/>
      <c r="D817" s="148"/>
      <c r="E817" s="148"/>
      <c r="F817" s="148"/>
      <c r="G817" s="148"/>
      <c r="H817" s="148"/>
      <c r="I817" s="148"/>
      <c r="J817" s="148"/>
      <c r="K817" s="148"/>
      <c r="L817" s="148"/>
    </row>
    <row r="818">
      <c r="A818" s="148"/>
      <c r="B818" s="148"/>
      <c r="C818" s="148"/>
      <c r="D818" s="148"/>
      <c r="E818" s="148"/>
      <c r="F818" s="148"/>
      <c r="G818" s="148"/>
      <c r="H818" s="148"/>
      <c r="I818" s="148"/>
      <c r="J818" s="148"/>
      <c r="K818" s="148"/>
      <c r="L818" s="148"/>
    </row>
    <row r="819">
      <c r="A819" s="148"/>
      <c r="B819" s="148"/>
      <c r="C819" s="148"/>
      <c r="D819" s="148"/>
      <c r="E819" s="148"/>
      <c r="F819" s="148"/>
      <c r="G819" s="148"/>
      <c r="H819" s="148"/>
      <c r="I819" s="148"/>
      <c r="J819" s="148"/>
      <c r="K819" s="148"/>
      <c r="L819" s="148"/>
    </row>
    <row r="820">
      <c r="A820" s="148"/>
      <c r="B820" s="148"/>
      <c r="C820" s="148"/>
      <c r="D820" s="148"/>
      <c r="E820" s="148"/>
      <c r="F820" s="148"/>
      <c r="G820" s="148"/>
      <c r="H820" s="148"/>
      <c r="I820" s="148"/>
      <c r="J820" s="148"/>
      <c r="K820" s="148"/>
      <c r="L820" s="148"/>
    </row>
    <row r="821">
      <c r="A821" s="148"/>
      <c r="B821" s="148"/>
      <c r="C821" s="148"/>
      <c r="D821" s="148"/>
      <c r="E821" s="148"/>
      <c r="F821" s="148"/>
      <c r="G821" s="148"/>
      <c r="H821" s="148"/>
      <c r="I821" s="148"/>
      <c r="J821" s="148"/>
      <c r="K821" s="148"/>
      <c r="L821" s="148"/>
    </row>
    <row r="822">
      <c r="A822" s="148"/>
      <c r="B822" s="148"/>
      <c r="C822" s="148"/>
      <c r="D822" s="148"/>
      <c r="E822" s="148"/>
      <c r="F822" s="148"/>
      <c r="G822" s="148"/>
      <c r="H822" s="148"/>
      <c r="I822" s="148"/>
      <c r="J822" s="148"/>
      <c r="K822" s="148"/>
      <c r="L822" s="148"/>
    </row>
    <row r="823">
      <c r="A823" s="148"/>
      <c r="B823" s="148"/>
      <c r="C823" s="148"/>
      <c r="D823" s="148"/>
      <c r="E823" s="148"/>
      <c r="F823" s="148"/>
      <c r="G823" s="148"/>
      <c r="H823" s="148"/>
      <c r="I823" s="148"/>
      <c r="J823" s="148"/>
      <c r="K823" s="148"/>
      <c r="L823" s="148"/>
    </row>
    <row r="824">
      <c r="A824" s="148"/>
      <c r="B824" s="148"/>
      <c r="C824" s="148"/>
      <c r="D824" s="148"/>
      <c r="E824" s="148"/>
      <c r="F824" s="148"/>
      <c r="G824" s="148"/>
      <c r="H824" s="148"/>
      <c r="I824" s="148"/>
      <c r="J824" s="148"/>
      <c r="K824" s="148"/>
      <c r="L824" s="148"/>
    </row>
    <row r="825">
      <c r="A825" s="148"/>
      <c r="B825" s="148"/>
      <c r="C825" s="148"/>
      <c r="D825" s="148"/>
      <c r="E825" s="148"/>
      <c r="F825" s="148"/>
      <c r="G825" s="148"/>
      <c r="H825" s="148"/>
      <c r="I825" s="148"/>
      <c r="J825" s="148"/>
      <c r="K825" s="148"/>
      <c r="L825" s="148"/>
    </row>
    <row r="826">
      <c r="A826" s="148"/>
      <c r="B826" s="148"/>
      <c r="C826" s="148"/>
      <c r="D826" s="148"/>
      <c r="E826" s="148"/>
      <c r="F826" s="148"/>
      <c r="G826" s="148"/>
      <c r="H826" s="148"/>
      <c r="I826" s="148"/>
      <c r="J826" s="148"/>
      <c r="K826" s="148"/>
      <c r="L826" s="148"/>
    </row>
    <row r="827">
      <c r="A827" s="148"/>
      <c r="B827" s="148"/>
      <c r="C827" s="148"/>
      <c r="D827" s="148"/>
      <c r="E827" s="148"/>
      <c r="F827" s="148"/>
      <c r="G827" s="148"/>
      <c r="H827" s="148"/>
      <c r="I827" s="148"/>
      <c r="J827" s="148"/>
      <c r="K827" s="148"/>
      <c r="L827" s="148"/>
    </row>
    <row r="828">
      <c r="A828" s="148"/>
      <c r="B828" s="148"/>
      <c r="C828" s="148"/>
      <c r="D828" s="148"/>
      <c r="E828" s="148"/>
      <c r="F828" s="148"/>
      <c r="G828" s="148"/>
      <c r="H828" s="148"/>
      <c r="I828" s="148"/>
      <c r="J828" s="148"/>
      <c r="K828" s="148"/>
      <c r="L828" s="148"/>
    </row>
    <row r="829">
      <c r="A829" s="148"/>
      <c r="B829" s="148"/>
      <c r="C829" s="148"/>
      <c r="D829" s="148"/>
      <c r="E829" s="148"/>
      <c r="F829" s="148"/>
      <c r="G829" s="148"/>
      <c r="H829" s="148"/>
      <c r="I829" s="148"/>
      <c r="J829" s="148"/>
      <c r="K829" s="148"/>
      <c r="L829" s="148"/>
    </row>
    <row r="830">
      <c r="A830" s="148"/>
      <c r="B830" s="148"/>
      <c r="C830" s="148"/>
      <c r="D830" s="148"/>
      <c r="E830" s="148"/>
      <c r="F830" s="148"/>
      <c r="G830" s="148"/>
      <c r="H830" s="148"/>
      <c r="I830" s="148"/>
      <c r="J830" s="148"/>
      <c r="K830" s="148"/>
      <c r="L830" s="148"/>
    </row>
    <row r="831">
      <c r="A831" s="148"/>
      <c r="B831" s="148"/>
      <c r="C831" s="148"/>
      <c r="D831" s="148"/>
      <c r="E831" s="148"/>
      <c r="F831" s="148"/>
      <c r="G831" s="148"/>
      <c r="H831" s="148"/>
      <c r="I831" s="148"/>
      <c r="J831" s="148"/>
      <c r="K831" s="148"/>
      <c r="L831" s="148"/>
    </row>
    <row r="832">
      <c r="A832" s="148"/>
      <c r="B832" s="148"/>
      <c r="C832" s="148"/>
      <c r="D832" s="148"/>
      <c r="E832" s="148"/>
      <c r="F832" s="148"/>
      <c r="G832" s="148"/>
      <c r="H832" s="148"/>
      <c r="I832" s="148"/>
      <c r="J832" s="148"/>
      <c r="K832" s="148"/>
      <c r="L832" s="148"/>
    </row>
    <row r="833">
      <c r="A833" s="148"/>
      <c r="B833" s="148"/>
      <c r="C833" s="148"/>
      <c r="D833" s="148"/>
      <c r="E833" s="148"/>
      <c r="F833" s="148"/>
      <c r="G833" s="148"/>
      <c r="H833" s="148"/>
      <c r="I833" s="148"/>
      <c r="J833" s="148"/>
      <c r="K833" s="148"/>
      <c r="L833" s="148"/>
    </row>
    <row r="834">
      <c r="A834" s="148"/>
      <c r="B834" s="148"/>
      <c r="C834" s="148"/>
      <c r="D834" s="148"/>
      <c r="E834" s="148"/>
      <c r="F834" s="148"/>
      <c r="G834" s="148"/>
      <c r="H834" s="148"/>
      <c r="I834" s="148"/>
      <c r="J834" s="148"/>
      <c r="K834" s="148"/>
      <c r="L834" s="148"/>
    </row>
    <row r="835">
      <c r="A835" s="148"/>
      <c r="B835" s="148"/>
      <c r="C835" s="148"/>
      <c r="D835" s="148"/>
      <c r="E835" s="148"/>
      <c r="F835" s="148"/>
      <c r="G835" s="148"/>
      <c r="H835" s="148"/>
      <c r="I835" s="148"/>
      <c r="J835" s="148"/>
      <c r="K835" s="148"/>
      <c r="L835" s="148"/>
    </row>
    <row r="836">
      <c r="A836" s="148"/>
      <c r="B836" s="148"/>
      <c r="C836" s="148"/>
      <c r="D836" s="148"/>
      <c r="E836" s="148"/>
      <c r="F836" s="148"/>
      <c r="G836" s="148"/>
      <c r="H836" s="148"/>
      <c r="I836" s="148"/>
      <c r="J836" s="148"/>
      <c r="K836" s="148"/>
      <c r="L836" s="148"/>
    </row>
    <row r="837">
      <c r="A837" s="148"/>
      <c r="B837" s="148"/>
      <c r="C837" s="148"/>
      <c r="D837" s="148"/>
      <c r="E837" s="148"/>
      <c r="F837" s="148"/>
      <c r="G837" s="148"/>
      <c r="H837" s="148"/>
      <c r="I837" s="148"/>
      <c r="J837" s="148"/>
      <c r="K837" s="148"/>
      <c r="L837" s="148"/>
    </row>
    <row r="838">
      <c r="A838" s="148"/>
      <c r="B838" s="148"/>
      <c r="C838" s="148"/>
      <c r="D838" s="148"/>
      <c r="E838" s="148"/>
      <c r="F838" s="148"/>
      <c r="G838" s="148"/>
      <c r="H838" s="148"/>
      <c r="I838" s="148"/>
      <c r="J838" s="148"/>
      <c r="K838" s="148"/>
      <c r="L838" s="148"/>
    </row>
    <row r="839">
      <c r="A839" s="148"/>
      <c r="B839" s="148"/>
      <c r="C839" s="148"/>
      <c r="D839" s="148"/>
      <c r="E839" s="148"/>
      <c r="F839" s="148"/>
      <c r="G839" s="148"/>
      <c r="H839" s="148"/>
      <c r="I839" s="148"/>
      <c r="J839" s="148"/>
      <c r="K839" s="148"/>
      <c r="L839" s="148"/>
    </row>
    <row r="840">
      <c r="A840" s="148"/>
      <c r="B840" s="148"/>
      <c r="C840" s="148"/>
      <c r="D840" s="148"/>
      <c r="E840" s="148"/>
      <c r="F840" s="148"/>
      <c r="G840" s="148"/>
      <c r="H840" s="148"/>
      <c r="I840" s="148"/>
      <c r="J840" s="148"/>
      <c r="K840" s="148"/>
      <c r="L840" s="148"/>
    </row>
    <row r="841">
      <c r="A841" s="148"/>
      <c r="B841" s="148"/>
      <c r="C841" s="148"/>
      <c r="D841" s="148"/>
      <c r="E841" s="148"/>
      <c r="F841" s="148"/>
      <c r="G841" s="148"/>
      <c r="H841" s="148"/>
      <c r="I841" s="148"/>
      <c r="J841" s="148"/>
      <c r="K841" s="148"/>
      <c r="L841" s="148"/>
    </row>
    <row r="842">
      <c r="A842" s="148"/>
      <c r="B842" s="148"/>
      <c r="C842" s="148"/>
      <c r="D842" s="148"/>
      <c r="E842" s="148"/>
      <c r="F842" s="148"/>
      <c r="G842" s="148"/>
      <c r="H842" s="148"/>
      <c r="I842" s="148"/>
      <c r="J842" s="148"/>
      <c r="K842" s="148"/>
      <c r="L842" s="148"/>
    </row>
    <row r="843">
      <c r="A843" s="148"/>
      <c r="B843" s="148"/>
      <c r="C843" s="148"/>
      <c r="D843" s="148"/>
      <c r="E843" s="148"/>
      <c r="F843" s="148"/>
      <c r="G843" s="148"/>
      <c r="H843" s="148"/>
      <c r="I843" s="148"/>
      <c r="J843" s="148"/>
      <c r="K843" s="148"/>
      <c r="L843" s="148"/>
    </row>
    <row r="844">
      <c r="A844" s="148"/>
      <c r="B844" s="148"/>
      <c r="C844" s="148"/>
      <c r="D844" s="148"/>
      <c r="E844" s="148"/>
      <c r="F844" s="148"/>
      <c r="G844" s="148"/>
      <c r="H844" s="148"/>
      <c r="I844" s="148"/>
      <c r="J844" s="148"/>
      <c r="K844" s="148"/>
      <c r="L844" s="148"/>
    </row>
    <row r="845">
      <c r="A845" s="148"/>
      <c r="B845" s="148"/>
      <c r="C845" s="148"/>
      <c r="D845" s="148"/>
      <c r="E845" s="148"/>
      <c r="F845" s="148"/>
      <c r="G845" s="148"/>
      <c r="H845" s="148"/>
      <c r="I845" s="148"/>
      <c r="J845" s="148"/>
      <c r="K845" s="148"/>
      <c r="L845" s="148"/>
    </row>
    <row r="846">
      <c r="A846" s="148"/>
      <c r="B846" s="148"/>
      <c r="C846" s="148"/>
      <c r="D846" s="148"/>
      <c r="E846" s="148"/>
      <c r="F846" s="148"/>
      <c r="G846" s="148"/>
      <c r="H846" s="148"/>
      <c r="I846" s="148"/>
      <c r="J846" s="148"/>
      <c r="K846" s="148"/>
      <c r="L846" s="148"/>
    </row>
    <row r="847">
      <c r="A847" s="148"/>
      <c r="B847" s="148"/>
      <c r="C847" s="148"/>
      <c r="D847" s="148"/>
      <c r="E847" s="148"/>
      <c r="F847" s="148"/>
      <c r="G847" s="148"/>
      <c r="H847" s="148"/>
      <c r="I847" s="148"/>
      <c r="J847" s="148"/>
      <c r="K847" s="148"/>
      <c r="L847" s="148"/>
    </row>
    <row r="848">
      <c r="A848" s="148"/>
      <c r="B848" s="148"/>
      <c r="C848" s="148"/>
      <c r="D848" s="148"/>
      <c r="E848" s="148"/>
      <c r="F848" s="148"/>
      <c r="G848" s="148"/>
      <c r="H848" s="148"/>
      <c r="I848" s="148"/>
      <c r="J848" s="148"/>
      <c r="K848" s="148"/>
      <c r="L848" s="148"/>
    </row>
    <row r="849">
      <c r="A849" s="148"/>
      <c r="B849" s="148"/>
      <c r="C849" s="148"/>
      <c r="D849" s="148"/>
      <c r="E849" s="148"/>
      <c r="F849" s="148"/>
      <c r="G849" s="148"/>
      <c r="H849" s="148"/>
      <c r="I849" s="148"/>
      <c r="J849" s="148"/>
      <c r="K849" s="148"/>
      <c r="L849" s="148"/>
    </row>
    <row r="850">
      <c r="A850" s="148"/>
      <c r="B850" s="148"/>
      <c r="C850" s="148"/>
      <c r="D850" s="148"/>
      <c r="E850" s="148"/>
      <c r="F850" s="148"/>
      <c r="G850" s="148"/>
      <c r="H850" s="148"/>
      <c r="I850" s="148"/>
      <c r="J850" s="148"/>
      <c r="K850" s="148"/>
      <c r="L850" s="148"/>
    </row>
    <row r="851">
      <c r="A851" s="148"/>
      <c r="B851" s="148"/>
      <c r="C851" s="148"/>
      <c r="D851" s="148"/>
      <c r="E851" s="148"/>
      <c r="F851" s="148"/>
      <c r="G851" s="148"/>
      <c r="H851" s="148"/>
      <c r="I851" s="148"/>
      <c r="J851" s="148"/>
      <c r="K851" s="148"/>
      <c r="L851" s="148"/>
    </row>
    <row r="852">
      <c r="A852" s="148"/>
      <c r="B852" s="148"/>
      <c r="C852" s="148"/>
      <c r="D852" s="148"/>
      <c r="E852" s="148"/>
      <c r="F852" s="148"/>
      <c r="G852" s="148"/>
      <c r="H852" s="148"/>
      <c r="I852" s="148"/>
      <c r="J852" s="148"/>
      <c r="K852" s="148"/>
      <c r="L852" s="148"/>
    </row>
    <row r="853">
      <c r="A853" s="148"/>
      <c r="B853" s="148"/>
      <c r="C853" s="148"/>
      <c r="D853" s="148"/>
      <c r="E853" s="148"/>
      <c r="F853" s="148"/>
      <c r="G853" s="148"/>
      <c r="H853" s="148"/>
      <c r="I853" s="148"/>
      <c r="J853" s="148"/>
      <c r="K853" s="148"/>
      <c r="L853" s="148"/>
    </row>
    <row r="854">
      <c r="A854" s="148"/>
      <c r="B854" s="148"/>
      <c r="C854" s="148"/>
      <c r="D854" s="148"/>
      <c r="E854" s="148"/>
      <c r="F854" s="148"/>
      <c r="G854" s="148"/>
      <c r="H854" s="148"/>
      <c r="I854" s="148"/>
      <c r="J854" s="148"/>
      <c r="K854" s="148"/>
      <c r="L854" s="148"/>
    </row>
    <row r="855">
      <c r="A855" s="148"/>
      <c r="B855" s="148"/>
      <c r="C855" s="148"/>
      <c r="D855" s="148"/>
      <c r="E855" s="148"/>
      <c r="F855" s="148"/>
      <c r="G855" s="148"/>
      <c r="H855" s="148"/>
      <c r="I855" s="148"/>
      <c r="J855" s="148"/>
      <c r="K855" s="148"/>
      <c r="L855" s="148"/>
    </row>
    <row r="856">
      <c r="A856" s="148"/>
      <c r="B856" s="148"/>
      <c r="C856" s="148"/>
      <c r="D856" s="148"/>
      <c r="E856" s="148"/>
      <c r="F856" s="148"/>
      <c r="G856" s="148"/>
      <c r="H856" s="148"/>
      <c r="I856" s="148"/>
      <c r="J856" s="148"/>
      <c r="K856" s="148"/>
      <c r="L856" s="148"/>
    </row>
    <row r="857">
      <c r="A857" s="148"/>
      <c r="B857" s="148"/>
      <c r="C857" s="148"/>
      <c r="D857" s="148"/>
      <c r="E857" s="148"/>
      <c r="F857" s="148"/>
      <c r="G857" s="148"/>
      <c r="H857" s="148"/>
      <c r="I857" s="148"/>
      <c r="J857" s="148"/>
      <c r="K857" s="148"/>
      <c r="L857" s="148"/>
    </row>
    <row r="858">
      <c r="A858" s="148"/>
      <c r="B858" s="148"/>
      <c r="C858" s="148"/>
      <c r="D858" s="148"/>
      <c r="E858" s="148"/>
      <c r="F858" s="148"/>
      <c r="G858" s="148"/>
      <c r="H858" s="148"/>
      <c r="I858" s="148"/>
      <c r="J858" s="148"/>
      <c r="K858" s="148"/>
      <c r="L858" s="148"/>
    </row>
    <row r="859">
      <c r="A859" s="148"/>
      <c r="B859" s="148"/>
      <c r="C859" s="148"/>
      <c r="D859" s="148"/>
      <c r="E859" s="148"/>
      <c r="F859" s="148"/>
      <c r="G859" s="148"/>
      <c r="H859" s="148"/>
      <c r="I859" s="148"/>
      <c r="J859" s="148"/>
      <c r="K859" s="148"/>
      <c r="L859" s="148"/>
    </row>
    <row r="860">
      <c r="A860" s="148"/>
      <c r="B860" s="148"/>
      <c r="C860" s="148"/>
      <c r="D860" s="148"/>
      <c r="E860" s="148"/>
      <c r="F860" s="148"/>
      <c r="G860" s="148"/>
      <c r="H860" s="148"/>
      <c r="I860" s="148"/>
      <c r="J860" s="148"/>
      <c r="K860" s="148"/>
      <c r="L860" s="148"/>
    </row>
    <row r="861">
      <c r="A861" s="148"/>
      <c r="B861" s="148"/>
      <c r="C861" s="148"/>
      <c r="D861" s="148"/>
      <c r="E861" s="148"/>
      <c r="F861" s="148"/>
      <c r="G861" s="148"/>
      <c r="H861" s="148"/>
      <c r="I861" s="148"/>
      <c r="J861" s="148"/>
      <c r="K861" s="148"/>
      <c r="L861" s="148"/>
    </row>
    <row r="862">
      <c r="A862" s="148"/>
      <c r="B862" s="148"/>
      <c r="C862" s="148"/>
      <c r="D862" s="148"/>
      <c r="E862" s="148"/>
      <c r="F862" s="148"/>
      <c r="G862" s="148"/>
      <c r="H862" s="148"/>
      <c r="I862" s="148"/>
      <c r="J862" s="148"/>
      <c r="K862" s="148"/>
      <c r="L862" s="148"/>
    </row>
    <row r="863">
      <c r="A863" s="148"/>
      <c r="B863" s="148"/>
      <c r="C863" s="148"/>
      <c r="D863" s="148"/>
      <c r="E863" s="148"/>
      <c r="F863" s="148"/>
      <c r="G863" s="148"/>
      <c r="H863" s="148"/>
      <c r="I863" s="148"/>
      <c r="J863" s="148"/>
      <c r="K863" s="148"/>
      <c r="L863" s="148"/>
    </row>
    <row r="864">
      <c r="A864" s="148"/>
      <c r="B864" s="148"/>
      <c r="C864" s="148"/>
      <c r="D864" s="148"/>
      <c r="E864" s="148"/>
      <c r="F864" s="148"/>
      <c r="G864" s="148"/>
      <c r="H864" s="148"/>
      <c r="I864" s="148"/>
      <c r="J864" s="148"/>
      <c r="K864" s="148"/>
      <c r="L864" s="148"/>
    </row>
    <row r="865">
      <c r="A865" s="148"/>
      <c r="B865" s="148"/>
      <c r="C865" s="148"/>
      <c r="D865" s="148"/>
      <c r="E865" s="148"/>
      <c r="F865" s="148"/>
      <c r="G865" s="148"/>
      <c r="H865" s="148"/>
      <c r="I865" s="148"/>
      <c r="J865" s="148"/>
      <c r="K865" s="148"/>
      <c r="L865" s="148"/>
    </row>
    <row r="866">
      <c r="A866" s="148"/>
      <c r="B866" s="148"/>
      <c r="C866" s="148"/>
      <c r="D866" s="148"/>
      <c r="E866" s="148"/>
      <c r="F866" s="148"/>
      <c r="G866" s="148"/>
      <c r="H866" s="148"/>
      <c r="I866" s="148"/>
      <c r="J866" s="148"/>
      <c r="K866" s="148"/>
      <c r="L866" s="148"/>
    </row>
    <row r="867">
      <c r="A867" s="148"/>
      <c r="B867" s="148"/>
      <c r="C867" s="148"/>
      <c r="D867" s="148"/>
      <c r="E867" s="148"/>
      <c r="F867" s="148"/>
      <c r="G867" s="148"/>
      <c r="H867" s="148"/>
      <c r="I867" s="148"/>
      <c r="J867" s="148"/>
      <c r="K867" s="148"/>
      <c r="L867" s="148"/>
    </row>
    <row r="868">
      <c r="A868" s="148"/>
      <c r="B868" s="148"/>
      <c r="C868" s="148"/>
      <c r="D868" s="148"/>
      <c r="E868" s="148"/>
      <c r="F868" s="148"/>
      <c r="G868" s="148"/>
      <c r="H868" s="148"/>
      <c r="I868" s="148"/>
      <c r="J868" s="148"/>
      <c r="K868" s="148"/>
      <c r="L868" s="148"/>
    </row>
    <row r="869">
      <c r="A869" s="148"/>
      <c r="B869" s="148"/>
      <c r="C869" s="148"/>
      <c r="D869" s="148"/>
      <c r="E869" s="148"/>
      <c r="F869" s="148"/>
      <c r="G869" s="148"/>
      <c r="H869" s="148"/>
      <c r="I869" s="148"/>
      <c r="J869" s="148"/>
      <c r="K869" s="148"/>
      <c r="L869" s="148"/>
    </row>
    <row r="870">
      <c r="A870" s="148"/>
      <c r="B870" s="148"/>
      <c r="C870" s="148"/>
      <c r="D870" s="148"/>
      <c r="E870" s="148"/>
      <c r="F870" s="148"/>
      <c r="G870" s="148"/>
      <c r="H870" s="148"/>
      <c r="I870" s="148"/>
      <c r="J870" s="148"/>
      <c r="K870" s="148"/>
      <c r="L870" s="148"/>
    </row>
    <row r="871">
      <c r="A871" s="148"/>
      <c r="B871" s="148"/>
      <c r="C871" s="148"/>
      <c r="D871" s="148"/>
      <c r="E871" s="148"/>
      <c r="F871" s="148"/>
      <c r="G871" s="148"/>
      <c r="H871" s="148"/>
      <c r="I871" s="148"/>
      <c r="J871" s="148"/>
      <c r="K871" s="148"/>
      <c r="L871" s="148"/>
    </row>
    <row r="872">
      <c r="A872" s="148"/>
      <c r="B872" s="148"/>
      <c r="C872" s="148"/>
      <c r="D872" s="148"/>
      <c r="E872" s="148"/>
      <c r="F872" s="148"/>
      <c r="G872" s="148"/>
      <c r="H872" s="148"/>
      <c r="I872" s="148"/>
      <c r="J872" s="148"/>
      <c r="K872" s="148"/>
      <c r="L872" s="148"/>
    </row>
    <row r="873">
      <c r="A873" s="148"/>
      <c r="B873" s="148"/>
      <c r="C873" s="148"/>
      <c r="D873" s="148"/>
      <c r="E873" s="148"/>
      <c r="F873" s="148"/>
      <c r="G873" s="148"/>
      <c r="H873" s="148"/>
      <c r="I873" s="148"/>
      <c r="J873" s="148"/>
      <c r="K873" s="148"/>
      <c r="L873" s="148"/>
    </row>
    <row r="874">
      <c r="A874" s="148"/>
      <c r="B874" s="148"/>
      <c r="C874" s="148"/>
      <c r="D874" s="148"/>
      <c r="E874" s="148"/>
      <c r="F874" s="148"/>
      <c r="G874" s="148"/>
      <c r="H874" s="148"/>
      <c r="I874" s="148"/>
      <c r="J874" s="148"/>
      <c r="K874" s="148"/>
      <c r="L874" s="148"/>
    </row>
    <row r="875">
      <c r="A875" s="148"/>
      <c r="B875" s="148"/>
      <c r="C875" s="148"/>
      <c r="D875" s="148"/>
      <c r="E875" s="148"/>
      <c r="F875" s="148"/>
      <c r="G875" s="148"/>
      <c r="H875" s="148"/>
      <c r="I875" s="148"/>
      <c r="J875" s="148"/>
      <c r="K875" s="148"/>
      <c r="L875" s="148"/>
    </row>
    <row r="876">
      <c r="A876" s="148"/>
      <c r="B876" s="148"/>
      <c r="C876" s="148"/>
      <c r="D876" s="148"/>
      <c r="E876" s="148"/>
      <c r="F876" s="148"/>
      <c r="G876" s="148"/>
      <c r="H876" s="148"/>
      <c r="I876" s="148"/>
      <c r="J876" s="148"/>
      <c r="K876" s="148"/>
      <c r="L876" s="148"/>
    </row>
    <row r="877">
      <c r="A877" s="148"/>
      <c r="B877" s="148"/>
      <c r="C877" s="148"/>
      <c r="D877" s="148"/>
      <c r="E877" s="148"/>
      <c r="F877" s="148"/>
      <c r="G877" s="148"/>
      <c r="H877" s="148"/>
      <c r="I877" s="148"/>
      <c r="J877" s="148"/>
      <c r="K877" s="148"/>
      <c r="L877" s="148"/>
    </row>
    <row r="878">
      <c r="A878" s="148"/>
      <c r="B878" s="148"/>
      <c r="C878" s="148"/>
      <c r="D878" s="148"/>
      <c r="E878" s="148"/>
      <c r="F878" s="148"/>
      <c r="G878" s="148"/>
      <c r="H878" s="148"/>
      <c r="I878" s="148"/>
      <c r="J878" s="148"/>
      <c r="K878" s="148"/>
      <c r="L878" s="148"/>
    </row>
    <row r="879">
      <c r="A879" s="148"/>
      <c r="B879" s="148"/>
      <c r="C879" s="148"/>
      <c r="D879" s="148"/>
      <c r="E879" s="148"/>
      <c r="F879" s="148"/>
      <c r="G879" s="148"/>
      <c r="H879" s="148"/>
      <c r="I879" s="148"/>
      <c r="J879" s="148"/>
      <c r="K879" s="148"/>
      <c r="L879" s="148"/>
    </row>
    <row r="880">
      <c r="A880" s="148"/>
      <c r="B880" s="148"/>
      <c r="C880" s="148"/>
      <c r="D880" s="148"/>
      <c r="E880" s="148"/>
      <c r="F880" s="148"/>
      <c r="G880" s="148"/>
      <c r="H880" s="148"/>
      <c r="I880" s="148"/>
      <c r="J880" s="148"/>
      <c r="K880" s="148"/>
      <c r="L880" s="148"/>
    </row>
    <row r="881">
      <c r="A881" s="148"/>
      <c r="B881" s="148"/>
      <c r="C881" s="148"/>
      <c r="D881" s="148"/>
      <c r="E881" s="148"/>
      <c r="F881" s="148"/>
      <c r="G881" s="148"/>
      <c r="H881" s="148"/>
      <c r="I881" s="148"/>
      <c r="J881" s="148"/>
      <c r="K881" s="148"/>
      <c r="L881" s="148"/>
    </row>
    <row r="882">
      <c r="A882" s="148"/>
      <c r="B882" s="148"/>
      <c r="C882" s="148"/>
      <c r="D882" s="148"/>
      <c r="E882" s="148"/>
      <c r="F882" s="148"/>
      <c r="G882" s="148"/>
      <c r="H882" s="148"/>
      <c r="I882" s="148"/>
      <c r="J882" s="148"/>
      <c r="K882" s="148"/>
      <c r="L882" s="148"/>
    </row>
    <row r="883">
      <c r="A883" s="148"/>
      <c r="B883" s="148"/>
      <c r="C883" s="148"/>
      <c r="D883" s="148"/>
      <c r="E883" s="148"/>
      <c r="F883" s="148"/>
      <c r="G883" s="148"/>
      <c r="H883" s="148"/>
      <c r="I883" s="148"/>
      <c r="J883" s="148"/>
      <c r="K883" s="148"/>
      <c r="L883" s="148"/>
    </row>
    <row r="884">
      <c r="A884" s="148"/>
      <c r="B884" s="148"/>
      <c r="C884" s="148"/>
      <c r="D884" s="148"/>
      <c r="E884" s="148"/>
      <c r="F884" s="148"/>
      <c r="G884" s="148"/>
      <c r="H884" s="148"/>
      <c r="I884" s="148"/>
      <c r="J884" s="148"/>
      <c r="K884" s="148"/>
      <c r="L884" s="148"/>
    </row>
    <row r="885">
      <c r="A885" s="148"/>
      <c r="B885" s="148"/>
      <c r="C885" s="148"/>
      <c r="D885" s="148"/>
      <c r="E885" s="148"/>
      <c r="F885" s="148"/>
      <c r="G885" s="148"/>
      <c r="H885" s="148"/>
      <c r="I885" s="148"/>
      <c r="J885" s="148"/>
      <c r="K885" s="148"/>
      <c r="L885" s="148"/>
    </row>
    <row r="886">
      <c r="A886" s="148"/>
      <c r="B886" s="148"/>
      <c r="C886" s="148"/>
      <c r="D886" s="148"/>
      <c r="E886" s="148"/>
      <c r="F886" s="148"/>
      <c r="G886" s="148"/>
      <c r="H886" s="148"/>
      <c r="I886" s="148"/>
      <c r="J886" s="148"/>
      <c r="K886" s="148"/>
      <c r="L886" s="148"/>
    </row>
    <row r="887">
      <c r="A887" s="148"/>
      <c r="B887" s="148"/>
      <c r="C887" s="148"/>
      <c r="D887" s="148"/>
      <c r="E887" s="148"/>
      <c r="F887" s="148"/>
      <c r="G887" s="148"/>
      <c r="H887" s="148"/>
      <c r="I887" s="148"/>
      <c r="J887" s="148"/>
      <c r="K887" s="148"/>
      <c r="L887" s="148"/>
    </row>
    <row r="888">
      <c r="A888" s="148"/>
      <c r="B888" s="148"/>
      <c r="C888" s="148"/>
      <c r="D888" s="148"/>
      <c r="E888" s="148"/>
      <c r="F888" s="148"/>
      <c r="G888" s="148"/>
      <c r="H888" s="148"/>
      <c r="I888" s="148"/>
      <c r="J888" s="148"/>
      <c r="K888" s="148"/>
      <c r="L888" s="148"/>
    </row>
    <row r="889">
      <c r="A889" s="148"/>
      <c r="B889" s="148"/>
      <c r="C889" s="148"/>
      <c r="D889" s="148"/>
      <c r="E889" s="148"/>
      <c r="F889" s="148"/>
      <c r="G889" s="148"/>
      <c r="H889" s="148"/>
      <c r="I889" s="148"/>
      <c r="J889" s="148"/>
      <c r="K889" s="148"/>
      <c r="L889" s="148"/>
    </row>
    <row r="890">
      <c r="A890" s="148"/>
      <c r="B890" s="148"/>
      <c r="C890" s="148"/>
      <c r="D890" s="148"/>
      <c r="E890" s="148"/>
      <c r="F890" s="148"/>
      <c r="G890" s="148"/>
      <c r="H890" s="148"/>
      <c r="I890" s="148"/>
      <c r="J890" s="148"/>
      <c r="K890" s="148"/>
      <c r="L890" s="148"/>
    </row>
    <row r="891">
      <c r="A891" s="148"/>
      <c r="B891" s="148"/>
      <c r="C891" s="148"/>
      <c r="D891" s="148"/>
      <c r="E891" s="148"/>
      <c r="F891" s="148"/>
      <c r="G891" s="148"/>
      <c r="H891" s="148"/>
      <c r="I891" s="148"/>
      <c r="J891" s="148"/>
      <c r="K891" s="148"/>
      <c r="L891" s="148"/>
    </row>
    <row r="892">
      <c r="A892" s="148"/>
      <c r="B892" s="148"/>
      <c r="C892" s="148"/>
      <c r="D892" s="148"/>
      <c r="E892" s="148"/>
      <c r="F892" s="148"/>
      <c r="G892" s="148"/>
      <c r="H892" s="148"/>
      <c r="I892" s="148"/>
      <c r="J892" s="148"/>
      <c r="K892" s="148"/>
      <c r="L892" s="148"/>
    </row>
    <row r="893">
      <c r="A893" s="148"/>
      <c r="B893" s="148"/>
      <c r="C893" s="148"/>
      <c r="D893" s="148"/>
      <c r="E893" s="148"/>
      <c r="F893" s="148"/>
      <c r="G893" s="148"/>
      <c r="H893" s="148"/>
      <c r="I893" s="148"/>
      <c r="J893" s="148"/>
      <c r="K893" s="148"/>
      <c r="L893" s="148"/>
    </row>
    <row r="894">
      <c r="A894" s="148"/>
      <c r="B894" s="148"/>
      <c r="C894" s="148"/>
      <c r="D894" s="148"/>
      <c r="E894" s="148"/>
      <c r="F894" s="148"/>
      <c r="G894" s="148"/>
      <c r="H894" s="148"/>
      <c r="I894" s="148"/>
      <c r="J894" s="148"/>
      <c r="K894" s="148"/>
      <c r="L894" s="148"/>
    </row>
    <row r="895">
      <c r="A895" s="148"/>
      <c r="B895" s="148"/>
      <c r="C895" s="148"/>
      <c r="D895" s="148"/>
      <c r="E895" s="148"/>
      <c r="F895" s="148"/>
      <c r="G895" s="148"/>
      <c r="H895" s="148"/>
      <c r="I895" s="148"/>
      <c r="J895" s="148"/>
      <c r="K895" s="148"/>
      <c r="L895" s="148"/>
    </row>
    <row r="896">
      <c r="A896" s="148"/>
      <c r="B896" s="148"/>
      <c r="C896" s="148"/>
      <c r="D896" s="148"/>
      <c r="E896" s="148"/>
      <c r="F896" s="148"/>
      <c r="G896" s="148"/>
      <c r="H896" s="148"/>
      <c r="I896" s="148"/>
      <c r="J896" s="148"/>
      <c r="K896" s="148"/>
      <c r="L896" s="148"/>
    </row>
    <row r="897">
      <c r="A897" s="148"/>
      <c r="B897" s="148"/>
      <c r="C897" s="148"/>
      <c r="D897" s="148"/>
      <c r="E897" s="148"/>
      <c r="F897" s="148"/>
      <c r="G897" s="148"/>
      <c r="H897" s="148"/>
      <c r="I897" s="148"/>
      <c r="J897" s="148"/>
      <c r="K897" s="148"/>
      <c r="L897" s="148"/>
    </row>
    <row r="898">
      <c r="A898" s="148"/>
      <c r="B898" s="148"/>
      <c r="C898" s="148"/>
      <c r="D898" s="148"/>
      <c r="E898" s="148"/>
      <c r="F898" s="148"/>
      <c r="G898" s="148"/>
      <c r="H898" s="148"/>
      <c r="I898" s="148"/>
      <c r="J898" s="148"/>
      <c r="K898" s="148"/>
      <c r="L898" s="148"/>
    </row>
    <row r="899">
      <c r="A899" s="148"/>
      <c r="B899" s="148"/>
      <c r="C899" s="148"/>
      <c r="D899" s="148"/>
      <c r="E899" s="148"/>
      <c r="F899" s="148"/>
      <c r="G899" s="148"/>
      <c r="H899" s="148"/>
      <c r="I899" s="148"/>
      <c r="J899" s="148"/>
      <c r="K899" s="148"/>
      <c r="L899" s="148"/>
    </row>
    <row r="900">
      <c r="A900" s="148"/>
      <c r="B900" s="148"/>
      <c r="C900" s="148"/>
      <c r="D900" s="148"/>
      <c r="E900" s="148"/>
      <c r="F900" s="148"/>
      <c r="G900" s="148"/>
      <c r="H900" s="148"/>
      <c r="I900" s="148"/>
      <c r="J900" s="148"/>
      <c r="K900" s="148"/>
      <c r="L900" s="148"/>
    </row>
    <row r="901">
      <c r="A901" s="148"/>
      <c r="B901" s="148"/>
      <c r="C901" s="148"/>
      <c r="D901" s="148"/>
      <c r="E901" s="148"/>
      <c r="F901" s="148"/>
      <c r="G901" s="148"/>
      <c r="H901" s="148"/>
      <c r="I901" s="148"/>
      <c r="J901" s="148"/>
      <c r="K901" s="148"/>
      <c r="L901" s="148"/>
    </row>
    <row r="902">
      <c r="A902" s="148"/>
      <c r="B902" s="148"/>
      <c r="C902" s="148"/>
      <c r="D902" s="148"/>
      <c r="E902" s="148"/>
      <c r="F902" s="148"/>
      <c r="G902" s="148"/>
      <c r="H902" s="148"/>
      <c r="I902" s="148"/>
      <c r="J902" s="148"/>
      <c r="K902" s="148"/>
      <c r="L902" s="148"/>
    </row>
    <row r="903">
      <c r="A903" s="148"/>
      <c r="B903" s="148"/>
      <c r="C903" s="148"/>
      <c r="D903" s="148"/>
      <c r="E903" s="148"/>
      <c r="F903" s="148"/>
      <c r="G903" s="148"/>
      <c r="H903" s="148"/>
      <c r="I903" s="148"/>
      <c r="J903" s="148"/>
      <c r="K903" s="148"/>
      <c r="L903" s="148"/>
    </row>
    <row r="904">
      <c r="A904" s="148"/>
      <c r="B904" s="148"/>
      <c r="C904" s="148"/>
      <c r="D904" s="148"/>
      <c r="E904" s="148"/>
      <c r="F904" s="148"/>
      <c r="G904" s="148"/>
      <c r="H904" s="148"/>
      <c r="I904" s="148"/>
      <c r="J904" s="148"/>
      <c r="K904" s="148"/>
      <c r="L904" s="148"/>
    </row>
    <row r="905">
      <c r="A905" s="148"/>
      <c r="B905" s="148"/>
      <c r="C905" s="148"/>
      <c r="D905" s="148"/>
      <c r="E905" s="148"/>
      <c r="F905" s="148"/>
      <c r="G905" s="148"/>
      <c r="H905" s="148"/>
      <c r="I905" s="148"/>
      <c r="J905" s="148"/>
      <c r="K905" s="148"/>
      <c r="L905" s="148"/>
    </row>
    <row r="906">
      <c r="A906" s="148"/>
      <c r="B906" s="148"/>
      <c r="C906" s="148"/>
      <c r="D906" s="148"/>
      <c r="E906" s="148"/>
      <c r="F906" s="148"/>
      <c r="G906" s="148"/>
      <c r="H906" s="148"/>
      <c r="I906" s="148"/>
      <c r="J906" s="148"/>
      <c r="K906" s="148"/>
      <c r="L906" s="148"/>
    </row>
    <row r="907">
      <c r="A907" s="148"/>
      <c r="B907" s="148"/>
      <c r="C907" s="148"/>
      <c r="D907" s="148"/>
      <c r="E907" s="148"/>
      <c r="F907" s="148"/>
      <c r="G907" s="148"/>
      <c r="H907" s="148"/>
      <c r="I907" s="148"/>
      <c r="J907" s="148"/>
      <c r="K907" s="148"/>
      <c r="L907" s="148"/>
    </row>
    <row r="908">
      <c r="A908" s="148"/>
      <c r="B908" s="148"/>
      <c r="C908" s="148"/>
      <c r="D908" s="148"/>
      <c r="E908" s="148"/>
      <c r="F908" s="148"/>
      <c r="G908" s="148"/>
      <c r="H908" s="148"/>
      <c r="I908" s="148"/>
      <c r="J908" s="148"/>
      <c r="K908" s="148"/>
      <c r="L908" s="148"/>
    </row>
    <row r="909">
      <c r="A909" s="148"/>
      <c r="B909" s="148"/>
      <c r="C909" s="148"/>
      <c r="D909" s="148"/>
      <c r="E909" s="148"/>
      <c r="F909" s="148"/>
      <c r="G909" s="148"/>
      <c r="H909" s="148"/>
      <c r="I909" s="148"/>
      <c r="J909" s="148"/>
      <c r="K909" s="148"/>
      <c r="L909" s="148"/>
    </row>
    <row r="910">
      <c r="A910" s="148"/>
      <c r="B910" s="148"/>
      <c r="C910" s="148"/>
      <c r="D910" s="148"/>
      <c r="E910" s="148"/>
      <c r="F910" s="148"/>
      <c r="G910" s="148"/>
      <c r="H910" s="148"/>
      <c r="I910" s="148"/>
      <c r="J910" s="148"/>
      <c r="K910" s="148"/>
      <c r="L910" s="148"/>
    </row>
    <row r="911">
      <c r="A911" s="148"/>
      <c r="B911" s="148"/>
      <c r="C911" s="148"/>
      <c r="D911" s="148"/>
      <c r="E911" s="148"/>
      <c r="F911" s="148"/>
      <c r="G911" s="148"/>
      <c r="H911" s="148"/>
      <c r="I911" s="148"/>
      <c r="J911" s="148"/>
      <c r="K911" s="148"/>
      <c r="L911" s="148"/>
    </row>
    <row r="912">
      <c r="A912" s="148"/>
      <c r="B912" s="148"/>
      <c r="C912" s="148"/>
      <c r="D912" s="148"/>
      <c r="E912" s="148"/>
      <c r="F912" s="148"/>
      <c r="G912" s="148"/>
      <c r="H912" s="148"/>
      <c r="I912" s="148"/>
      <c r="J912" s="148"/>
      <c r="K912" s="148"/>
      <c r="L912" s="148"/>
    </row>
    <row r="913">
      <c r="A913" s="148"/>
      <c r="B913" s="148"/>
      <c r="C913" s="148"/>
      <c r="D913" s="148"/>
      <c r="E913" s="148"/>
      <c r="F913" s="148"/>
      <c r="G913" s="148"/>
      <c r="H913" s="148"/>
      <c r="I913" s="148"/>
      <c r="J913" s="148"/>
      <c r="K913" s="148"/>
      <c r="L913" s="148"/>
    </row>
    <row r="914">
      <c r="A914" s="148"/>
      <c r="B914" s="148"/>
      <c r="C914" s="148"/>
      <c r="D914" s="148"/>
      <c r="E914" s="148"/>
      <c r="F914" s="148"/>
      <c r="G914" s="148"/>
      <c r="H914" s="148"/>
      <c r="I914" s="148"/>
      <c r="J914" s="148"/>
      <c r="K914" s="148"/>
      <c r="L914" s="148"/>
    </row>
    <row r="915">
      <c r="A915" s="148"/>
      <c r="B915" s="148"/>
      <c r="C915" s="148"/>
      <c r="D915" s="148"/>
      <c r="E915" s="148"/>
      <c r="F915" s="148"/>
      <c r="G915" s="148"/>
      <c r="H915" s="148"/>
      <c r="I915" s="148"/>
      <c r="J915" s="148"/>
      <c r="K915" s="148"/>
      <c r="L915" s="148"/>
    </row>
    <row r="916">
      <c r="A916" s="148"/>
      <c r="B916" s="148"/>
      <c r="C916" s="148"/>
      <c r="D916" s="148"/>
      <c r="E916" s="148"/>
      <c r="F916" s="148"/>
      <c r="G916" s="148"/>
      <c r="H916" s="148"/>
      <c r="I916" s="148"/>
      <c r="J916" s="148"/>
      <c r="K916" s="148"/>
      <c r="L916" s="148"/>
    </row>
    <row r="917">
      <c r="A917" s="148"/>
      <c r="B917" s="148"/>
      <c r="C917" s="148"/>
      <c r="D917" s="148"/>
      <c r="E917" s="148"/>
      <c r="F917" s="148"/>
      <c r="G917" s="148"/>
      <c r="H917" s="148"/>
      <c r="I917" s="148"/>
      <c r="J917" s="148"/>
      <c r="K917" s="148"/>
      <c r="L917" s="148"/>
    </row>
    <row r="918">
      <c r="A918" s="148"/>
      <c r="B918" s="148"/>
      <c r="C918" s="148"/>
      <c r="D918" s="148"/>
      <c r="E918" s="148"/>
      <c r="F918" s="148"/>
      <c r="G918" s="148"/>
      <c r="H918" s="148"/>
      <c r="I918" s="148"/>
      <c r="J918" s="148"/>
      <c r="K918" s="148"/>
      <c r="L918" s="148"/>
    </row>
    <row r="919">
      <c r="A919" s="148"/>
      <c r="B919" s="148"/>
      <c r="C919" s="148"/>
      <c r="D919" s="148"/>
      <c r="E919" s="148"/>
      <c r="F919" s="148"/>
      <c r="G919" s="148"/>
      <c r="H919" s="148"/>
      <c r="I919" s="148"/>
      <c r="J919" s="148"/>
      <c r="K919" s="148"/>
      <c r="L919" s="148"/>
    </row>
    <row r="920">
      <c r="A920" s="148"/>
      <c r="B920" s="148"/>
      <c r="C920" s="148"/>
      <c r="D920" s="148"/>
      <c r="E920" s="148"/>
      <c r="F920" s="148"/>
      <c r="G920" s="148"/>
      <c r="H920" s="148"/>
      <c r="I920" s="148"/>
      <c r="J920" s="148"/>
      <c r="K920" s="148"/>
      <c r="L920" s="148"/>
    </row>
    <row r="921">
      <c r="A921" s="148"/>
      <c r="B921" s="148"/>
      <c r="C921" s="148"/>
      <c r="D921" s="148"/>
      <c r="E921" s="148"/>
      <c r="F921" s="148"/>
      <c r="G921" s="148"/>
      <c r="H921" s="148"/>
      <c r="I921" s="148"/>
      <c r="J921" s="148"/>
      <c r="K921" s="148"/>
      <c r="L921" s="148"/>
    </row>
    <row r="922">
      <c r="A922" s="148"/>
      <c r="B922" s="148"/>
      <c r="C922" s="148"/>
      <c r="D922" s="148"/>
      <c r="E922" s="148"/>
      <c r="F922" s="148"/>
      <c r="G922" s="148"/>
      <c r="H922" s="148"/>
      <c r="I922" s="148"/>
      <c r="J922" s="148"/>
      <c r="K922" s="148"/>
      <c r="L922" s="148"/>
    </row>
    <row r="923">
      <c r="A923" s="148"/>
      <c r="B923" s="148"/>
      <c r="C923" s="148"/>
      <c r="D923" s="148"/>
      <c r="E923" s="148"/>
      <c r="F923" s="148"/>
      <c r="G923" s="148"/>
      <c r="H923" s="148"/>
      <c r="I923" s="148"/>
      <c r="J923" s="148"/>
      <c r="K923" s="148"/>
      <c r="L923" s="148"/>
    </row>
    <row r="924">
      <c r="A924" s="148"/>
      <c r="B924" s="148"/>
      <c r="C924" s="148"/>
      <c r="D924" s="148"/>
      <c r="E924" s="148"/>
      <c r="F924" s="148"/>
      <c r="G924" s="148"/>
      <c r="H924" s="148"/>
      <c r="I924" s="148"/>
      <c r="J924" s="148"/>
      <c r="K924" s="148"/>
      <c r="L924" s="148"/>
    </row>
    <row r="925">
      <c r="A925" s="148"/>
      <c r="B925" s="148"/>
      <c r="C925" s="148"/>
      <c r="D925" s="148"/>
      <c r="E925" s="148"/>
      <c r="F925" s="148"/>
      <c r="G925" s="148"/>
      <c r="H925" s="148"/>
      <c r="I925" s="148"/>
      <c r="J925" s="148"/>
      <c r="K925" s="148"/>
      <c r="L925" s="148"/>
    </row>
    <row r="926">
      <c r="A926" s="148"/>
      <c r="B926" s="148"/>
      <c r="C926" s="148"/>
      <c r="D926" s="148"/>
      <c r="E926" s="148"/>
      <c r="F926" s="148"/>
      <c r="G926" s="148"/>
      <c r="H926" s="148"/>
      <c r="I926" s="148"/>
      <c r="J926" s="148"/>
      <c r="K926" s="148"/>
      <c r="L926" s="148"/>
    </row>
    <row r="927">
      <c r="A927" s="148"/>
      <c r="B927" s="148"/>
      <c r="C927" s="148"/>
      <c r="D927" s="148"/>
      <c r="E927" s="148"/>
      <c r="F927" s="148"/>
      <c r="G927" s="148"/>
      <c r="H927" s="148"/>
      <c r="I927" s="148"/>
      <c r="J927" s="148"/>
      <c r="K927" s="148"/>
      <c r="L927" s="148"/>
    </row>
    <row r="928">
      <c r="A928" s="148"/>
      <c r="B928" s="148"/>
      <c r="C928" s="148"/>
      <c r="D928" s="148"/>
      <c r="E928" s="148"/>
      <c r="F928" s="148"/>
      <c r="G928" s="148"/>
      <c r="H928" s="148"/>
      <c r="I928" s="148"/>
      <c r="J928" s="148"/>
      <c r="K928" s="148"/>
      <c r="L928" s="148"/>
    </row>
    <row r="929">
      <c r="A929" s="148"/>
      <c r="B929" s="148"/>
      <c r="C929" s="148"/>
      <c r="D929" s="148"/>
      <c r="E929" s="148"/>
      <c r="F929" s="148"/>
      <c r="G929" s="148"/>
      <c r="H929" s="148"/>
      <c r="I929" s="148"/>
      <c r="J929" s="148"/>
      <c r="K929" s="148"/>
      <c r="L929" s="148"/>
    </row>
    <row r="930">
      <c r="A930" s="148"/>
      <c r="B930" s="148"/>
      <c r="C930" s="148"/>
      <c r="D930" s="148"/>
      <c r="E930" s="148"/>
      <c r="F930" s="148"/>
      <c r="G930" s="148"/>
      <c r="H930" s="148"/>
      <c r="I930" s="148"/>
      <c r="J930" s="148"/>
      <c r="K930" s="148"/>
      <c r="L930" s="148"/>
    </row>
    <row r="931">
      <c r="A931" s="148"/>
      <c r="B931" s="148"/>
      <c r="C931" s="148"/>
      <c r="D931" s="148"/>
      <c r="E931" s="148"/>
      <c r="F931" s="148"/>
      <c r="G931" s="148"/>
      <c r="H931" s="148"/>
      <c r="I931" s="148"/>
      <c r="J931" s="148"/>
      <c r="K931" s="148"/>
      <c r="L931" s="148"/>
    </row>
    <row r="932">
      <c r="A932" s="148"/>
      <c r="B932" s="148"/>
      <c r="C932" s="148"/>
      <c r="D932" s="148"/>
      <c r="E932" s="148"/>
      <c r="F932" s="148"/>
      <c r="G932" s="148"/>
      <c r="H932" s="148"/>
      <c r="I932" s="148"/>
      <c r="J932" s="148"/>
      <c r="K932" s="148"/>
      <c r="L932" s="148"/>
    </row>
    <row r="933">
      <c r="A933" s="148"/>
      <c r="B933" s="148"/>
      <c r="C933" s="148"/>
      <c r="D933" s="148"/>
      <c r="E933" s="148"/>
      <c r="F933" s="148"/>
      <c r="G933" s="148"/>
      <c r="H933" s="148"/>
      <c r="I933" s="148"/>
      <c r="J933" s="148"/>
      <c r="K933" s="148"/>
      <c r="L933" s="148"/>
    </row>
    <row r="934">
      <c r="A934" s="148"/>
      <c r="B934" s="148"/>
      <c r="C934" s="148"/>
      <c r="D934" s="148"/>
      <c r="E934" s="148"/>
      <c r="F934" s="148"/>
      <c r="G934" s="148"/>
      <c r="H934" s="148"/>
      <c r="I934" s="148"/>
      <c r="J934" s="148"/>
      <c r="K934" s="148"/>
      <c r="L934" s="148"/>
    </row>
    <row r="935">
      <c r="A935" s="148"/>
      <c r="B935" s="148"/>
      <c r="C935" s="148"/>
      <c r="D935" s="148"/>
      <c r="E935" s="148"/>
      <c r="F935" s="148"/>
      <c r="G935" s="148"/>
      <c r="H935" s="148"/>
      <c r="I935" s="148"/>
      <c r="J935" s="148"/>
      <c r="K935" s="148"/>
      <c r="L935" s="148"/>
    </row>
    <row r="936">
      <c r="A936" s="148"/>
      <c r="B936" s="148"/>
      <c r="C936" s="148"/>
      <c r="D936" s="148"/>
      <c r="E936" s="148"/>
      <c r="F936" s="148"/>
      <c r="G936" s="148"/>
      <c r="H936" s="148"/>
      <c r="I936" s="148"/>
      <c r="J936" s="148"/>
      <c r="K936" s="148"/>
      <c r="L936" s="148"/>
    </row>
    <row r="937">
      <c r="A937" s="148"/>
      <c r="B937" s="148"/>
      <c r="C937" s="148"/>
      <c r="D937" s="148"/>
      <c r="E937" s="148"/>
      <c r="F937" s="148"/>
      <c r="G937" s="148"/>
      <c r="H937" s="148"/>
      <c r="I937" s="148"/>
      <c r="J937" s="148"/>
      <c r="K937" s="148"/>
      <c r="L937" s="148"/>
    </row>
    <row r="938">
      <c r="A938" s="148"/>
      <c r="B938" s="148"/>
      <c r="C938" s="148"/>
      <c r="D938" s="148"/>
      <c r="E938" s="148"/>
      <c r="F938" s="148"/>
      <c r="G938" s="148"/>
      <c r="H938" s="148"/>
      <c r="I938" s="148"/>
      <c r="J938" s="148"/>
      <c r="K938" s="148"/>
      <c r="L938" s="148"/>
    </row>
    <row r="939">
      <c r="A939" s="148"/>
      <c r="B939" s="148"/>
      <c r="C939" s="148"/>
      <c r="D939" s="148"/>
      <c r="E939" s="148"/>
      <c r="F939" s="148"/>
      <c r="G939" s="148"/>
      <c r="H939" s="148"/>
      <c r="I939" s="148"/>
      <c r="J939" s="148"/>
      <c r="K939" s="148"/>
      <c r="L939" s="148"/>
    </row>
    <row r="940">
      <c r="A940" s="148"/>
      <c r="B940" s="148"/>
      <c r="C940" s="148"/>
      <c r="D940" s="148"/>
      <c r="E940" s="148"/>
      <c r="F940" s="148"/>
      <c r="G940" s="148"/>
      <c r="H940" s="148"/>
      <c r="I940" s="148"/>
      <c r="J940" s="148"/>
      <c r="K940" s="148"/>
      <c r="L940" s="148"/>
    </row>
    <row r="941">
      <c r="A941" s="148"/>
      <c r="B941" s="148"/>
      <c r="C941" s="148"/>
      <c r="D941" s="148"/>
      <c r="E941" s="148"/>
      <c r="F941" s="148"/>
      <c r="G941" s="148"/>
      <c r="H941" s="148"/>
      <c r="I941" s="148"/>
      <c r="J941" s="148"/>
      <c r="K941" s="148"/>
      <c r="L941" s="148"/>
    </row>
    <row r="942">
      <c r="A942" s="148"/>
      <c r="B942" s="148"/>
      <c r="C942" s="148"/>
      <c r="D942" s="148"/>
      <c r="E942" s="148"/>
      <c r="F942" s="148"/>
      <c r="G942" s="148"/>
      <c r="H942" s="148"/>
      <c r="I942" s="148"/>
      <c r="J942" s="148"/>
      <c r="K942" s="148"/>
      <c r="L942" s="148"/>
    </row>
    <row r="943">
      <c r="A943" s="148"/>
      <c r="B943" s="148"/>
      <c r="C943" s="148"/>
      <c r="D943" s="148"/>
      <c r="E943" s="148"/>
      <c r="F943" s="148"/>
      <c r="G943" s="148"/>
      <c r="H943" s="148"/>
      <c r="I943" s="148"/>
      <c r="J943" s="148"/>
      <c r="K943" s="148"/>
      <c r="L943" s="148"/>
    </row>
    <row r="944">
      <c r="A944" s="148"/>
      <c r="B944" s="148"/>
      <c r="C944" s="148"/>
      <c r="D944" s="148"/>
      <c r="E944" s="148"/>
      <c r="F944" s="148"/>
      <c r="G944" s="148"/>
      <c r="H944" s="148"/>
      <c r="I944" s="148"/>
      <c r="J944" s="148"/>
      <c r="K944" s="148"/>
      <c r="L944" s="148"/>
    </row>
    <row r="945">
      <c r="A945" s="148"/>
      <c r="B945" s="148"/>
      <c r="C945" s="148"/>
      <c r="D945" s="148"/>
      <c r="E945" s="148"/>
      <c r="F945" s="148"/>
      <c r="G945" s="148"/>
      <c r="H945" s="148"/>
      <c r="I945" s="148"/>
      <c r="J945" s="148"/>
      <c r="K945" s="148"/>
      <c r="L945" s="148"/>
    </row>
    <row r="946">
      <c r="A946" s="148"/>
      <c r="B946" s="148"/>
      <c r="C946" s="148"/>
      <c r="D946" s="148"/>
      <c r="E946" s="148"/>
      <c r="F946" s="148"/>
      <c r="G946" s="148"/>
      <c r="H946" s="148"/>
      <c r="I946" s="148"/>
      <c r="J946" s="148"/>
      <c r="K946" s="148"/>
      <c r="L946" s="148"/>
    </row>
    <row r="947">
      <c r="A947" s="148"/>
      <c r="B947" s="148"/>
      <c r="C947" s="148"/>
      <c r="D947" s="148"/>
      <c r="E947" s="148"/>
      <c r="F947" s="148"/>
      <c r="G947" s="148"/>
      <c r="H947" s="148"/>
      <c r="I947" s="148"/>
      <c r="J947" s="148"/>
      <c r="K947" s="148"/>
      <c r="L947" s="148"/>
    </row>
    <row r="948">
      <c r="A948" s="148"/>
      <c r="B948" s="148"/>
      <c r="C948" s="148"/>
      <c r="D948" s="148"/>
      <c r="E948" s="148"/>
      <c r="F948" s="148"/>
      <c r="G948" s="148"/>
      <c r="H948" s="148"/>
      <c r="I948" s="148"/>
      <c r="J948" s="148"/>
      <c r="K948" s="148"/>
      <c r="L948" s="148"/>
    </row>
    <row r="949">
      <c r="A949" s="148"/>
      <c r="B949" s="148"/>
      <c r="C949" s="148"/>
      <c r="D949" s="148"/>
      <c r="E949" s="148"/>
      <c r="F949" s="148"/>
      <c r="G949" s="148"/>
      <c r="H949" s="148"/>
      <c r="I949" s="148"/>
      <c r="J949" s="148"/>
      <c r="K949" s="148"/>
      <c r="L949" s="148"/>
    </row>
    <row r="950">
      <c r="A950" s="148"/>
      <c r="B950" s="148"/>
      <c r="C950" s="148"/>
      <c r="D950" s="148"/>
      <c r="E950" s="148"/>
      <c r="F950" s="148"/>
      <c r="G950" s="148"/>
      <c r="H950" s="148"/>
      <c r="I950" s="148"/>
      <c r="J950" s="148"/>
      <c r="K950" s="148"/>
      <c r="L950" s="148"/>
    </row>
    <row r="951">
      <c r="A951" s="148"/>
      <c r="B951" s="148"/>
      <c r="C951" s="148"/>
      <c r="D951" s="148"/>
      <c r="E951" s="148"/>
      <c r="F951" s="148"/>
      <c r="G951" s="148"/>
      <c r="H951" s="148"/>
      <c r="I951" s="148"/>
      <c r="J951" s="148"/>
      <c r="K951" s="148"/>
      <c r="L951" s="148"/>
    </row>
    <row r="952">
      <c r="A952" s="148"/>
      <c r="B952" s="148"/>
      <c r="C952" s="148"/>
      <c r="D952" s="148"/>
      <c r="E952" s="148"/>
      <c r="F952" s="148"/>
      <c r="G952" s="148"/>
      <c r="H952" s="148"/>
      <c r="I952" s="148"/>
      <c r="J952" s="148"/>
      <c r="K952" s="148"/>
      <c r="L952" s="148"/>
    </row>
    <row r="953">
      <c r="A953" s="148"/>
      <c r="B953" s="148"/>
      <c r="C953" s="148"/>
      <c r="D953" s="148"/>
      <c r="E953" s="148"/>
      <c r="F953" s="148"/>
      <c r="G953" s="148"/>
      <c r="H953" s="148"/>
      <c r="I953" s="148"/>
      <c r="J953" s="148"/>
      <c r="K953" s="148"/>
      <c r="L953" s="148"/>
    </row>
    <row r="954">
      <c r="A954" s="148"/>
      <c r="B954" s="148"/>
      <c r="C954" s="148"/>
      <c r="D954" s="148"/>
      <c r="E954" s="148"/>
      <c r="F954" s="148"/>
      <c r="G954" s="148"/>
      <c r="H954" s="148"/>
      <c r="I954" s="148"/>
      <c r="J954" s="148"/>
      <c r="K954" s="148"/>
      <c r="L954" s="148"/>
    </row>
    <row r="955">
      <c r="A955" s="148"/>
      <c r="B955" s="148"/>
      <c r="C955" s="148"/>
      <c r="D955" s="148"/>
      <c r="E955" s="148"/>
      <c r="F955" s="148"/>
      <c r="G955" s="148"/>
      <c r="H955" s="148"/>
      <c r="I955" s="148"/>
      <c r="J955" s="148"/>
      <c r="K955" s="148"/>
      <c r="L955" s="148"/>
    </row>
    <row r="956">
      <c r="A956" s="148"/>
      <c r="B956" s="148"/>
      <c r="C956" s="148"/>
      <c r="D956" s="148"/>
      <c r="E956" s="148"/>
      <c r="F956" s="148"/>
      <c r="G956" s="148"/>
      <c r="H956" s="148"/>
      <c r="I956" s="148"/>
      <c r="J956" s="148"/>
      <c r="K956" s="148"/>
      <c r="L956" s="148"/>
    </row>
    <row r="957">
      <c r="A957" s="148"/>
      <c r="B957" s="148"/>
      <c r="C957" s="148"/>
      <c r="D957" s="148"/>
      <c r="E957" s="148"/>
      <c r="F957" s="148"/>
      <c r="G957" s="148"/>
      <c r="H957" s="148"/>
      <c r="I957" s="148"/>
      <c r="J957" s="148"/>
      <c r="K957" s="148"/>
      <c r="L957" s="148"/>
    </row>
    <row r="958">
      <c r="A958" s="148"/>
      <c r="B958" s="148"/>
      <c r="C958" s="148"/>
      <c r="D958" s="148"/>
      <c r="E958" s="148"/>
      <c r="F958" s="148"/>
      <c r="G958" s="148"/>
      <c r="H958" s="148"/>
      <c r="I958" s="148"/>
      <c r="J958" s="148"/>
      <c r="K958" s="148"/>
      <c r="L958" s="148"/>
    </row>
    <row r="959">
      <c r="A959" s="148"/>
      <c r="B959" s="148"/>
      <c r="C959" s="148"/>
      <c r="D959" s="148"/>
      <c r="E959" s="148"/>
      <c r="F959" s="148"/>
      <c r="G959" s="148"/>
      <c r="H959" s="148"/>
      <c r="I959" s="148"/>
      <c r="J959" s="148"/>
      <c r="K959" s="148"/>
      <c r="L959" s="148"/>
    </row>
    <row r="960">
      <c r="A960" s="148"/>
      <c r="B960" s="148"/>
      <c r="C960" s="148"/>
      <c r="D960" s="148"/>
      <c r="E960" s="148"/>
      <c r="F960" s="148"/>
      <c r="G960" s="148"/>
      <c r="H960" s="148"/>
      <c r="I960" s="148"/>
      <c r="J960" s="148"/>
      <c r="K960" s="148"/>
      <c r="L960" s="148"/>
    </row>
    <row r="961">
      <c r="A961" s="148"/>
      <c r="B961" s="148"/>
      <c r="C961" s="148"/>
      <c r="D961" s="148"/>
      <c r="E961" s="148"/>
      <c r="F961" s="148"/>
      <c r="G961" s="148"/>
      <c r="H961" s="148"/>
      <c r="I961" s="148"/>
      <c r="J961" s="148"/>
      <c r="K961" s="148"/>
      <c r="L961" s="148"/>
    </row>
    <row r="962">
      <c r="A962" s="148"/>
      <c r="B962" s="148"/>
      <c r="C962" s="148"/>
      <c r="D962" s="148"/>
      <c r="E962" s="148"/>
      <c r="F962" s="148"/>
      <c r="G962" s="148"/>
      <c r="H962" s="148"/>
      <c r="I962" s="148"/>
      <c r="J962" s="148"/>
      <c r="K962" s="148"/>
      <c r="L962" s="148"/>
    </row>
    <row r="963">
      <c r="A963" s="148"/>
      <c r="B963" s="148"/>
      <c r="C963" s="148"/>
      <c r="D963" s="148"/>
      <c r="E963" s="148"/>
      <c r="F963" s="148"/>
      <c r="G963" s="148"/>
      <c r="H963" s="148"/>
      <c r="I963" s="148"/>
      <c r="J963" s="148"/>
      <c r="K963" s="148"/>
      <c r="L963" s="148"/>
    </row>
    <row r="964">
      <c r="A964" s="148"/>
      <c r="B964" s="148"/>
      <c r="C964" s="148"/>
      <c r="D964" s="148"/>
      <c r="E964" s="148"/>
      <c r="F964" s="148"/>
      <c r="G964" s="148"/>
      <c r="H964" s="148"/>
      <c r="I964" s="148"/>
      <c r="J964" s="148"/>
      <c r="K964" s="148"/>
      <c r="L964" s="148"/>
    </row>
    <row r="965">
      <c r="A965" s="148"/>
      <c r="B965" s="148"/>
      <c r="C965" s="148"/>
      <c r="D965" s="148"/>
      <c r="E965" s="148"/>
      <c r="F965" s="148"/>
      <c r="G965" s="148"/>
      <c r="H965" s="148"/>
      <c r="I965" s="148"/>
      <c r="J965" s="148"/>
      <c r="K965" s="148"/>
      <c r="L965" s="148"/>
    </row>
    <row r="966">
      <c r="A966" s="148"/>
      <c r="B966" s="148"/>
      <c r="C966" s="148"/>
      <c r="D966" s="148"/>
      <c r="E966" s="148"/>
      <c r="F966" s="148"/>
      <c r="G966" s="148"/>
      <c r="H966" s="148"/>
      <c r="I966" s="148"/>
      <c r="J966" s="148"/>
      <c r="K966" s="148"/>
      <c r="L966" s="148"/>
    </row>
    <row r="967">
      <c r="A967" s="148"/>
      <c r="B967" s="148"/>
      <c r="C967" s="148"/>
      <c r="D967" s="148"/>
      <c r="E967" s="148"/>
      <c r="F967" s="148"/>
      <c r="G967" s="148"/>
      <c r="H967" s="148"/>
      <c r="I967" s="148"/>
      <c r="J967" s="148"/>
      <c r="K967" s="148"/>
      <c r="L967" s="148"/>
    </row>
    <row r="968">
      <c r="A968" s="148"/>
      <c r="B968" s="148"/>
      <c r="C968" s="148"/>
      <c r="D968" s="148"/>
      <c r="E968" s="148"/>
      <c r="F968" s="148"/>
      <c r="G968" s="148"/>
      <c r="H968" s="148"/>
      <c r="I968" s="148"/>
      <c r="J968" s="148"/>
      <c r="K968" s="148"/>
      <c r="L968" s="148"/>
    </row>
    <row r="969">
      <c r="A969" s="148"/>
      <c r="B969" s="148"/>
      <c r="C969" s="148"/>
      <c r="D969" s="148"/>
      <c r="E969" s="148"/>
      <c r="F969" s="148"/>
      <c r="G969" s="148"/>
      <c r="H969" s="148"/>
      <c r="I969" s="148"/>
      <c r="J969" s="148"/>
      <c r="K969" s="148"/>
      <c r="L969" s="148"/>
    </row>
    <row r="970">
      <c r="A970" s="148"/>
      <c r="B970" s="148"/>
      <c r="C970" s="148"/>
      <c r="D970" s="148"/>
      <c r="E970" s="148"/>
      <c r="F970" s="148"/>
      <c r="G970" s="148"/>
      <c r="H970" s="148"/>
      <c r="I970" s="148"/>
      <c r="J970" s="148"/>
      <c r="K970" s="148"/>
      <c r="L970" s="148"/>
    </row>
    <row r="971">
      <c r="A971" s="148"/>
      <c r="B971" s="148"/>
      <c r="C971" s="148"/>
      <c r="D971" s="148"/>
      <c r="E971" s="148"/>
      <c r="F971" s="148"/>
      <c r="G971" s="148"/>
      <c r="H971" s="148"/>
      <c r="I971" s="148"/>
      <c r="J971" s="148"/>
      <c r="K971" s="148"/>
      <c r="L971" s="148"/>
    </row>
    <row r="972">
      <c r="A972" s="148"/>
      <c r="B972" s="148"/>
      <c r="C972" s="148"/>
      <c r="D972" s="148"/>
      <c r="E972" s="148"/>
      <c r="F972" s="148"/>
      <c r="G972" s="148"/>
      <c r="H972" s="148"/>
      <c r="I972" s="148"/>
      <c r="J972" s="148"/>
      <c r="K972" s="148"/>
      <c r="L972" s="148"/>
    </row>
    <row r="973">
      <c r="A973" s="148"/>
      <c r="B973" s="148"/>
      <c r="C973" s="148"/>
      <c r="D973" s="148"/>
      <c r="E973" s="148"/>
      <c r="F973" s="148"/>
      <c r="G973" s="148"/>
      <c r="H973" s="148"/>
      <c r="I973" s="148"/>
      <c r="J973" s="148"/>
      <c r="K973" s="148"/>
      <c r="L973" s="148"/>
    </row>
    <row r="974">
      <c r="A974" s="148"/>
      <c r="B974" s="148"/>
      <c r="C974" s="148"/>
      <c r="D974" s="148"/>
      <c r="E974" s="148"/>
      <c r="F974" s="148"/>
      <c r="G974" s="148"/>
      <c r="H974" s="148"/>
      <c r="I974" s="148"/>
      <c r="J974" s="148"/>
      <c r="K974" s="148"/>
      <c r="L974" s="148"/>
    </row>
    <row r="975">
      <c r="A975" s="148"/>
      <c r="B975" s="148"/>
      <c r="C975" s="148"/>
      <c r="D975" s="148"/>
      <c r="E975" s="148"/>
      <c r="F975" s="148"/>
      <c r="G975" s="148"/>
      <c r="H975" s="148"/>
      <c r="I975" s="148"/>
      <c r="J975" s="148"/>
      <c r="K975" s="148"/>
      <c r="L975" s="148"/>
    </row>
    <row r="976">
      <c r="A976" s="148"/>
      <c r="B976" s="148"/>
      <c r="C976" s="148"/>
      <c r="D976" s="148"/>
      <c r="E976" s="148"/>
      <c r="F976" s="148"/>
      <c r="G976" s="148"/>
      <c r="H976" s="148"/>
      <c r="I976" s="148"/>
      <c r="J976" s="148"/>
      <c r="K976" s="148"/>
      <c r="L976" s="148"/>
    </row>
    <row r="977">
      <c r="A977" s="148"/>
      <c r="B977" s="148"/>
      <c r="C977" s="148"/>
      <c r="D977" s="148"/>
      <c r="E977" s="148"/>
      <c r="F977" s="148"/>
      <c r="G977" s="148"/>
      <c r="H977" s="148"/>
      <c r="I977" s="148"/>
      <c r="J977" s="148"/>
      <c r="K977" s="148"/>
      <c r="L977" s="148"/>
    </row>
    <row r="978">
      <c r="A978" s="148"/>
      <c r="B978" s="148"/>
      <c r="C978" s="148"/>
      <c r="D978" s="148"/>
      <c r="E978" s="148"/>
      <c r="F978" s="148"/>
      <c r="G978" s="148"/>
      <c r="H978" s="148"/>
      <c r="I978" s="148"/>
      <c r="J978" s="148"/>
      <c r="K978" s="148"/>
      <c r="L978" s="148"/>
    </row>
    <row r="979">
      <c r="A979" s="148"/>
      <c r="B979" s="148"/>
      <c r="C979" s="148"/>
      <c r="D979" s="148"/>
      <c r="E979" s="148"/>
      <c r="F979" s="148"/>
      <c r="G979" s="148"/>
      <c r="H979" s="148"/>
      <c r="I979" s="148"/>
      <c r="J979" s="148"/>
      <c r="K979" s="148"/>
      <c r="L979" s="148"/>
    </row>
    <row r="980">
      <c r="A980" s="148"/>
      <c r="B980" s="148"/>
      <c r="C980" s="148"/>
      <c r="D980" s="148"/>
      <c r="E980" s="148"/>
      <c r="F980" s="148"/>
      <c r="G980" s="148"/>
      <c r="H980" s="148"/>
      <c r="I980" s="148"/>
      <c r="J980" s="148"/>
      <c r="K980" s="148"/>
      <c r="L980" s="148"/>
    </row>
    <row r="981">
      <c r="A981" s="148"/>
      <c r="B981" s="148"/>
      <c r="C981" s="148"/>
      <c r="D981" s="148"/>
      <c r="E981" s="148"/>
      <c r="F981" s="148"/>
      <c r="G981" s="148"/>
      <c r="H981" s="148"/>
      <c r="I981" s="148"/>
      <c r="J981" s="148"/>
      <c r="K981" s="148"/>
      <c r="L981" s="148"/>
    </row>
    <row r="982">
      <c r="A982" s="148"/>
      <c r="B982" s="148"/>
      <c r="C982" s="148"/>
      <c r="D982" s="148"/>
      <c r="E982" s="148"/>
      <c r="F982" s="148"/>
      <c r="G982" s="148"/>
      <c r="H982" s="148"/>
      <c r="I982" s="148"/>
      <c r="J982" s="148"/>
      <c r="K982" s="148"/>
      <c r="L982" s="148"/>
    </row>
    <row r="983">
      <c r="A983" s="148"/>
      <c r="B983" s="148"/>
      <c r="C983" s="148"/>
      <c r="D983" s="148"/>
      <c r="E983" s="148"/>
      <c r="F983" s="148"/>
      <c r="G983" s="148"/>
      <c r="H983" s="148"/>
      <c r="I983" s="148"/>
      <c r="J983" s="148"/>
      <c r="K983" s="148"/>
      <c r="L983" s="148"/>
    </row>
    <row r="984">
      <c r="A984" s="148"/>
      <c r="B984" s="148"/>
      <c r="C984" s="148"/>
      <c r="D984" s="148"/>
      <c r="E984" s="148"/>
      <c r="F984" s="148"/>
      <c r="G984" s="148"/>
      <c r="H984" s="148"/>
      <c r="I984" s="148"/>
      <c r="J984" s="148"/>
      <c r="K984" s="148"/>
      <c r="L984" s="148"/>
    </row>
    <row r="985">
      <c r="A985" s="148"/>
      <c r="B985" s="148"/>
      <c r="C985" s="148"/>
      <c r="D985" s="148"/>
      <c r="E985" s="148"/>
      <c r="F985" s="148"/>
      <c r="G985" s="148"/>
      <c r="H985" s="148"/>
      <c r="I985" s="148"/>
      <c r="J985" s="148"/>
      <c r="K985" s="148"/>
      <c r="L985" s="148"/>
    </row>
    <row r="986">
      <c r="A986" s="148"/>
      <c r="B986" s="148"/>
      <c r="C986" s="148"/>
      <c r="D986" s="148"/>
      <c r="E986" s="148"/>
      <c r="F986" s="148"/>
      <c r="G986" s="148"/>
      <c r="H986" s="148"/>
      <c r="I986" s="148"/>
      <c r="J986" s="148"/>
      <c r="K986" s="148"/>
      <c r="L986" s="148"/>
    </row>
    <row r="987">
      <c r="A987" s="148"/>
      <c r="B987" s="148"/>
      <c r="C987" s="148"/>
      <c r="D987" s="148"/>
      <c r="E987" s="148"/>
      <c r="F987" s="148"/>
      <c r="G987" s="148"/>
      <c r="H987" s="148"/>
      <c r="I987" s="148"/>
      <c r="J987" s="148"/>
      <c r="K987" s="148"/>
      <c r="L987" s="148"/>
    </row>
    <row r="988">
      <c r="A988" s="148"/>
      <c r="B988" s="148"/>
      <c r="C988" s="148"/>
      <c r="D988" s="148"/>
      <c r="E988" s="148"/>
      <c r="F988" s="148"/>
      <c r="G988" s="148"/>
      <c r="H988" s="148"/>
      <c r="I988" s="148"/>
      <c r="J988" s="148"/>
      <c r="K988" s="148"/>
      <c r="L988" s="148"/>
    </row>
    <row r="989">
      <c r="A989" s="148"/>
      <c r="B989" s="148"/>
      <c r="C989" s="148"/>
      <c r="D989" s="148"/>
      <c r="E989" s="148"/>
      <c r="F989" s="148"/>
      <c r="G989" s="148"/>
      <c r="H989" s="148"/>
      <c r="I989" s="148"/>
      <c r="J989" s="148"/>
      <c r="K989" s="148"/>
      <c r="L989" s="148"/>
    </row>
    <row r="990">
      <c r="A990" s="148"/>
      <c r="B990" s="148"/>
      <c r="C990" s="148"/>
      <c r="D990" s="148"/>
      <c r="E990" s="148"/>
      <c r="F990" s="148"/>
      <c r="G990" s="148"/>
      <c r="H990" s="148"/>
      <c r="I990" s="148"/>
      <c r="J990" s="148"/>
      <c r="K990" s="148"/>
      <c r="L990" s="148"/>
    </row>
    <row r="991">
      <c r="A991" s="148"/>
      <c r="B991" s="148"/>
      <c r="C991" s="148"/>
      <c r="D991" s="148"/>
      <c r="E991" s="148"/>
      <c r="F991" s="148"/>
      <c r="G991" s="148"/>
      <c r="H991" s="148"/>
      <c r="I991" s="148"/>
      <c r="J991" s="148"/>
      <c r="K991" s="148"/>
      <c r="L991" s="148"/>
    </row>
    <row r="992">
      <c r="A992" s="148"/>
      <c r="B992" s="148"/>
      <c r="C992" s="148"/>
      <c r="D992" s="148"/>
      <c r="E992" s="148"/>
      <c r="F992" s="148"/>
      <c r="G992" s="148"/>
      <c r="H992" s="148"/>
      <c r="I992" s="148"/>
      <c r="J992" s="148"/>
      <c r="K992" s="148"/>
      <c r="L992" s="148"/>
    </row>
    <row r="993">
      <c r="A993" s="148"/>
      <c r="B993" s="148"/>
      <c r="C993" s="148"/>
      <c r="D993" s="148"/>
      <c r="E993" s="148"/>
      <c r="F993" s="148"/>
      <c r="G993" s="148"/>
      <c r="H993" s="148"/>
      <c r="I993" s="148"/>
      <c r="J993" s="148"/>
      <c r="K993" s="148"/>
      <c r="L993" s="148"/>
    </row>
    <row r="994">
      <c r="A994" s="148"/>
      <c r="B994" s="148"/>
      <c r="C994" s="148"/>
      <c r="D994" s="148"/>
      <c r="E994" s="148"/>
      <c r="F994" s="148"/>
      <c r="G994" s="148"/>
      <c r="H994" s="148"/>
      <c r="I994" s="148"/>
      <c r="J994" s="148"/>
      <c r="K994" s="148"/>
      <c r="L994" s="148"/>
    </row>
    <row r="995">
      <c r="A995" s="148"/>
      <c r="B995" s="148"/>
      <c r="C995" s="148"/>
      <c r="D995" s="148"/>
      <c r="E995" s="148"/>
      <c r="F995" s="148"/>
      <c r="G995" s="148"/>
      <c r="H995" s="148"/>
      <c r="I995" s="148"/>
      <c r="J995" s="148"/>
      <c r="K995" s="148"/>
      <c r="L995" s="148"/>
    </row>
    <row r="996">
      <c r="A996" s="148"/>
      <c r="B996" s="148"/>
      <c r="C996" s="148"/>
      <c r="D996" s="148"/>
      <c r="E996" s="148"/>
      <c r="F996" s="148"/>
      <c r="G996" s="148"/>
      <c r="H996" s="148"/>
      <c r="I996" s="148"/>
      <c r="J996" s="148"/>
      <c r="K996" s="148"/>
      <c r="L996" s="148"/>
    </row>
  </sheetData>
  <drawing r:id="rId1"/>
</worksheet>
</file>